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Thesis" sheetId="4" state="visible" r:id="rId6"/>
    <sheet name="Seg" sheetId="5" state="visible" r:id="rId7"/>
    <sheet name="PL" sheetId="6" state="visible" r:id="rId8"/>
    <sheet name="CF" sheetId="7" state="visible" r:id="rId9"/>
    <sheet name="Val" sheetId="8" state="visible" r:id="rId10"/>
    <sheet name="Recon" sheetId="9" state="visible" r:id="rId11"/>
    <sheet name="Sens" sheetId="10" state="visible" r:id="rId12"/>
    <sheet name="Sources" sheetId="11" state="visible" r:id="rId13"/>
  </sheets>
  <definedNames>
    <definedName function="false" hidden="false" name="ai_net_open" vbProcedure="false">In!$E$157</definedName>
    <definedName function="false" hidden="false" name="ai_net_open_hi" vbProcedure="false">In!$F$157</definedName>
    <definedName function="false" hidden="false" name="ai_net_open_lo" vbProcedure="false">In!$D$157</definedName>
    <definedName function="false" hidden="false" name="ai_runrate" vbProcedure="false">In!$E$223</definedName>
    <definedName function="false" hidden="false" name="al_fro" vbProcedure="false">In!$E$93</definedName>
    <definedName function="false" hidden="false" name="al_fro_hi" vbProcedure="false">In!$F$93</definedName>
    <definedName function="false" hidden="false" name="al_fro_lo" vbProcedure="false">In!$D$93</definedName>
    <definedName function="false" hidden="false" name="al_ind" vbProcedure="false">In!$E$92</definedName>
    <definedName function="false" hidden="false" name="al_ind_hi" vbProcedure="false">In!$F$92</definedName>
    <definedName function="false" hidden="false" name="al_ind_lo" vbProcedure="false">In!$D$92</definedName>
    <definedName function="false" hidden="false" name="al_lic" vbProcedure="false">In!$E$91</definedName>
    <definedName function="false" hidden="false" name="al_lic_hi" vbProcedure="false">In!$F$91</definedName>
    <definedName function="false" hidden="false" name="al_lic_lo" vbProcedure="false">In!$D$91</definedName>
    <definedName function="false" hidden="false" name="al_m365" vbProcedure="false">In!$E$90</definedName>
    <definedName function="false" hidden="false" name="al_m365_hi" vbProcedure="false">In!$F$90</definedName>
    <definedName function="false" hidden="false" name="al_m365_lo" vbProcedure="false">In!$D$90</definedName>
    <definedName function="false" hidden="false" name="al_srch" vbProcedure="false">In!$E$94</definedName>
    <definedName function="false" hidden="false" name="al_srch_hi" vbProcedure="false">In!$F$94</definedName>
    <definedName function="false" hidden="false" name="al_srch_lo" vbProcedure="false">In!$D$94</definedName>
    <definedName function="false" hidden="false" name="a_g3_27" vbProcedure="false">In!$E$135</definedName>
    <definedName function="false" hidden="false" name="a_g3_28" vbProcedure="false">In!$E$136</definedName>
    <definedName function="false" hidden="false" name="a_g3_29" vbProcedure="false">In!$E$137</definedName>
    <definedName function="false" hidden="false" name="a_mai" vbProcedure="false">In!$E$139</definedName>
    <definedName function="false" hidden="false" name="a_mai_hi" vbProcedure="false">In!$F$139</definedName>
    <definedName function="false" hidden="false" name="a_mai_lo" vbProcedure="false">In!$D$139</definedName>
    <definedName function="false" hidden="false" name="base_fy" vbProcedure="false">In!$E$60</definedName>
    <definedName function="false" hidden="false" name="bb_g" vbProcedure="false">In!$E$38</definedName>
    <definedName function="false" hidden="false" name="bb_g_hi" vbProcedure="false">In!$F$38</definedName>
    <definedName function="false" hidden="false" name="bb_g_lo" vbProcedure="false">In!$D$38</definedName>
    <definedName function="false" hidden="false" name="bb_target" vbProcedure="false">In!$E$37</definedName>
    <definedName function="false" hidden="false" name="beta" vbProcedure="false">In!$E$50</definedName>
    <definedName function="false" hidden="false" name="beta_gf" vbProcedure="false">In!$E$48</definedName>
    <definedName function="false" hidden="false" name="beta_hi" vbProcedure="false">In!$F$50</definedName>
    <definedName function="false" hidden="false" name="beta_lo" vbProcedure="false">In!$D$50</definedName>
    <definedName function="false" hidden="false" name="beta_sa" vbProcedure="false">In!$E$47</definedName>
    <definedName function="false" hidden="false" name="blume_w" vbProcedure="false">In!$E$49</definedName>
    <definedName function="false" hidden="false" name="capex_floor27" vbProcedure="false">In!$E$158</definedName>
    <definedName function="false" hidden="false" name="capex_floor27_hi" vbProcedure="false">In!$F$158</definedName>
    <definedName function="false" hidden="false" name="capex_floor27_lo" vbProcedure="false">In!$D$158</definedName>
    <definedName function="false" hidden="false" name="cap_epoch" vbProcedure="false">In!$E$129</definedName>
    <definedName function="false" hidden="false" name="cash_open" vbProcedure="false">In!$E$10</definedName>
    <definedName function="false" hidden="false" name="cash_q1" vbProcedure="false">In!$E$14</definedName>
    <definedName function="false" hidden="false" name="cash_val" vbProcedure="false">In!$E$19</definedName>
    <definedName function="false" hidden="false" name="chip_f" vbProcedure="false">In!$E$155</definedName>
    <definedName function="false" hidden="false" name="chip_f_hi" vbProcedure="false">In!$F$155</definedName>
    <definedName function="false" hidden="false" name="chip_f_lo" vbProcedure="false">In!$D$155</definedName>
    <definedName function="false" hidden="false" name="cons_cx27" vbProcedure="false">In!$E$203</definedName>
    <definedName function="false" hidden="false" name="cons_cx28" vbProcedure="false">In!$E$205</definedName>
    <definedName function="false" hidden="false" name="cons_cx29" vbProcedure="false">In!$E$207</definedName>
    <definedName function="false" hidden="false" name="cons_ebit27" vbProcedure="false">In!$E$202</definedName>
    <definedName function="false" hidden="false" name="cons_ebit28" vbProcedure="false">In!$E$204</definedName>
    <definedName function="false" hidden="false" name="cons_ebit29" vbProcedure="false">In!$E$206</definedName>
    <definedName function="false" hidden="false" name="cons_eps27" vbProcedure="false">In!$E$199</definedName>
    <definedName function="false" hidden="false" name="cons_eps27_hi" vbProcedure="false">In!$F$199</definedName>
    <definedName function="false" hidden="false" name="cons_eps27_lo" vbProcedure="false">In!$D$199</definedName>
    <definedName function="false" hidden="false" name="cons_eps28" vbProcedure="false">In!$E$208</definedName>
    <definedName function="false" hidden="false" name="cons_eps29" vbProcedure="false">In!$E$209</definedName>
    <definedName function="false" hidden="false" name="cons_rev27" vbProcedure="false">In!$E$198</definedName>
    <definedName function="false" hidden="false" name="cons_rev27_hi" vbProcedure="false">In!$F$198</definedName>
    <definedName function="false" hidden="false" name="cons_rev27_lo" vbProcedure="false">In!$D$198</definedName>
    <definedName function="false" hidden="false" name="cons_rev28" vbProcedure="false">In!$E$200</definedName>
    <definedName function="false" hidden="false" name="cons_rev29" vbProcedure="false">In!$E$201</definedName>
    <definedName function="false" hidden="false" name="cons_tp" vbProcedure="false">In!$E$196</definedName>
    <definedName function="false" hidden="false" name="cons_tp_hi" vbProcedure="false">In!$F$196</definedName>
    <definedName function="false" hidden="false" name="cons_tp_lo" vbProcedure="false">In!$D$196</definedName>
    <definedName function="false" hidden="false" name="cons_tp_mb" vbProcedure="false">In!$E$197</definedName>
    <definedName function="false" hidden="false" name="cons_tp_mb_hi" vbProcedure="false">In!$F$197</definedName>
    <definedName function="false" hidden="false" name="cons_tp_mb_lo" vbProcedure="false">In!$D$197</definedName>
    <definedName function="false" hidden="false" name="cop_add_A" vbProcedure="false">In!$E$164</definedName>
    <definedName function="false" hidden="false" name="cop_add_B" vbProcedure="false">In!$E$165</definedName>
    <definedName function="false" hidden="false" name="cop_add_C" vbProcedure="false">In!$E$166</definedName>
    <definedName function="false" hidden="false" name="cop_px" vbProcedure="false">In!$E$163</definedName>
    <definedName function="false" hidden="false" name="cop_px_hi" vbProcedure="false">In!$F$163</definedName>
    <definedName function="false" hidden="false" name="cop_px_lo" vbProcedure="false">In!$D$163</definedName>
    <definedName function="false" hidden="false" name="cop_s24" vbProcedure="false">In!$E$160</definedName>
    <definedName function="false" hidden="false" name="cop_s25" vbProcedure="false">In!$E$161</definedName>
    <definedName function="false" hidden="false" name="cop_s26" vbProcedure="false">In!$E$162</definedName>
    <definedName function="false" hidden="false" name="cop_tail" vbProcedure="false">In!$E$167</definedName>
    <definedName function="false" hidden="false" name="cxit_open" vbProcedure="false">In!$E$142</definedName>
    <definedName function="false" hidden="false" name="cx_azo" vbProcedure="false">In!$E$189</definedName>
    <definedName function="false" hidden="false" name="cx_dev" vbProcedure="false">In!$E$194</definedName>
    <definedName function="false" hidden="false" name="cx_ind" vbProcedure="false">In!$E$192</definedName>
    <definedName function="false" hidden="false" name="cx_lic" vbProcedure="false">In!$E$191</definedName>
    <definedName function="false" hidden="false" name="cx_m365" vbProcedure="false">In!$E$190</definedName>
    <definedName function="false" hidden="false" name="cx_srch" vbProcedure="false">In!$E$193</definedName>
    <definedName function="false" hidden="false" name="days_yr" vbProcedure="false">In!$E$65</definedName>
    <definedName function="false" hidden="false" name="debt_face" vbProcedure="false">In!$E$11</definedName>
    <definedName function="false" hidden="false" name="debt_mat_27" vbProcedure="false">In!$E$22</definedName>
    <definedName function="false" hidden="false" name="debt_mat_28" vbProcedure="false">In!$E$23</definedName>
    <definedName function="false" hidden="false" name="debt_mat_29" vbProcedure="false">In!$E$24</definedName>
    <definedName function="false" hidden="false" name="debt_mat_30" vbProcedure="false">In!$E$25</definedName>
    <definedName function="false" hidden="false" name="debt_mat_31" vbProcedure="false">In!$E$26</definedName>
    <definedName function="false" hidden="false" name="debt_mat_32" vbProcedure="false">In!$E$27</definedName>
    <definedName function="false" hidden="false" name="debt_q1" vbProcedure="false">In!$E$15</definedName>
    <definedName function="false" hidden="false" name="debt_val" vbProcedure="false">In!$E$20</definedName>
    <definedName function="false" hidden="false" name="dil_gap" vbProcedure="false">In!$E$8</definedName>
    <definedName function="false" hidden="false" name="div_rem27" vbProcedure="false">In!$E$43</definedName>
    <definedName function="false" hidden="false" name="dm_seg" vbProcedure="false">In!$E$181</definedName>
    <definedName function="false" hidden="false" name="dm_seg_hi" vbProcedure="false">In!$F$181</definedName>
    <definedName function="false" hidden="false" name="dm_seg_lo" vbProcedure="false">In!$D$181</definedName>
    <definedName function="false" hidden="false" name="dps_27" vbProcedure="false">In!$E$42</definedName>
    <definedName function="false" hidden="false" name="dps_g" vbProcedure="false">In!$E$44</definedName>
    <definedName function="false" hidden="false" name="dps_g_hi" vbProcedure="false">In!$F$44</definedName>
    <definedName function="false" hidden="false" name="dps_g_lo" vbProcedure="false">In!$D$44</definedName>
    <definedName function="false" hidden="false" name="dps_q0" vbProcedure="false">In!$E$40</definedName>
    <definedName function="false" hidden="false" name="dps_q1" vbProcedure="false">In!$E$41</definedName>
    <definedName function="false" hidden="false" name="erp" vbProcedure="false">In!$E$51</definedName>
    <definedName function="false" hidden="false" name="erp_hi" vbProcedure="false">In!$F$51</definedName>
    <definedName function="false" hidden="false" name="erp_lo" vbProcedure="false">In!$D$51</definedName>
    <definedName function="false" hidden="false" name="ext_sh" vbProcedure="false">In!$E$130</definedName>
    <definedName function="false" hidden="false" name="ext_sh_hi" vbProcedure="false">In!$F$130</definedName>
    <definedName function="false" hidden="false" name="ext_sh_lo" vbProcedure="false">In!$D$130</definedName>
    <definedName function="false" hidden="false" name="fac_rent" vbProcedure="false">In!$E$113</definedName>
    <definedName function="false" hidden="false" name="fac_wacc" vbProcedure="false">In!$E$112</definedName>
    <definedName function="false" hidden="false" name="fl_liab" vbProcedure="false">In!$E$28</definedName>
    <definedName function="false" hidden="false" name="fl_liab_q1" vbProcedure="false">In!$E$16</definedName>
    <definedName function="false" hidden="false" name="fl_pay_27" vbProcedure="false">In!$E$30</definedName>
    <definedName function="false" hidden="false" name="fl_pay_28" vbProcedure="false">In!$E$31</definedName>
    <definedName function="false" hidden="false" name="fl_pay_29" vbProcedure="false">In!$E$32</definedName>
    <definedName function="false" hidden="false" name="fl_pay_30" vbProcedure="false">In!$E$33</definedName>
    <definedName function="false" hidden="false" name="fl_pay_31" vbProcedure="false">In!$E$34</definedName>
    <definedName function="false" hidden="false" name="fl_pay_32" vbProcedure="false">In!$E$35</definedName>
    <definedName function="false" hidden="false" name="fl_rate" vbProcedure="false">In!$E$29</definedName>
    <definedName function="false" hidden="false" name="fl_val" vbProcedure="false">In!$E$21</definedName>
    <definedName function="false" hidden="false" name="fy28_end" vbProcedure="false">In!$E$72</definedName>
    <definedName function="false" hidden="false" name="glt_azo" vbProcedure="false">In!$E$172</definedName>
    <definedName function="false" hidden="false" name="glt_azo_hi" vbProcedure="false">In!$F$172</definedName>
    <definedName function="false" hidden="false" name="glt_azo_lo" vbProcedure="false">In!$D$172</definedName>
    <definedName function="false" hidden="false" name="glt_fro" vbProcedure="false">In!$E$176</definedName>
    <definedName function="false" hidden="false" name="glt_fro_hi" vbProcedure="false">In!$F$176</definedName>
    <definedName function="false" hidden="false" name="glt_fro_lo" vbProcedure="false">In!$D$176</definedName>
    <definedName function="false" hidden="false" name="glt_ind" vbProcedure="false">In!$E$175</definedName>
    <definedName function="false" hidden="false" name="glt_ind_hi" vbProcedure="false">In!$F$175</definedName>
    <definedName function="false" hidden="false" name="glt_ind_lo" vbProcedure="false">In!$D$175</definedName>
    <definedName function="false" hidden="false" name="glt_lic" vbProcedure="false">In!$E$174</definedName>
    <definedName function="false" hidden="false" name="glt_lic_hi" vbProcedure="false">In!$F$174</definedName>
    <definedName function="false" hidden="false" name="glt_lic_lo" vbProcedure="false">In!$D$174</definedName>
    <definedName function="false" hidden="false" name="glt_m365b" vbProcedure="false">In!$E$173</definedName>
    <definedName function="false" hidden="false" name="glt_m365b_hi" vbProcedure="false">In!$F$173</definedName>
    <definedName function="false" hidden="false" name="glt_m365b_lo" vbProcedure="false">In!$D$173</definedName>
    <definedName function="false" hidden="false" name="glt_srch" vbProcedure="false">In!$E$177</definedName>
    <definedName function="false" hidden="false" name="glt_srch_hi" vbProcedure="false">In!$F$177</definedName>
    <definedName function="false" hidden="false" name="glt_srch_lo" vbProcedure="false">In!$D$177</definedName>
    <definedName function="false" hidden="false" name="glt_win" vbProcedure="false">In!$E$179</definedName>
    <definedName function="false" hidden="false" name="glt_win_hi" vbProcedure="false">In!$F$179</definedName>
    <definedName function="false" hidden="false" name="glt_win_lo" vbProcedure="false">In!$D$179</definedName>
    <definedName function="false" hidden="false" name="glt_xbox" vbProcedure="false">In!$E$178</definedName>
    <definedName function="false" hidden="false" name="glt_xbox_hi" vbProcedure="false">In!$F$178</definedName>
    <definedName function="false" hidden="false" name="glt_xbox_lo" vbProcedure="false">In!$D$178</definedName>
    <definedName function="false" hidden="false" name="g_cy26_cx" vbProcedure="false">In!$E$221</definedName>
    <definedName function="false" hidden="false" name="g_fy27_opm" vbProcedure="false">In!$E$222</definedName>
    <definedName function="false" hidden="false" name="g_q1_ai" vbProcedure="false">In!$E$211</definedName>
    <definedName function="false" hidden="false" name="g_q1_ai_hi" vbProcedure="false">In!$F$211</definedName>
    <definedName function="false" hidden="false" name="g_q1_ai_lo" vbProcedure="false">In!$D$211</definedName>
    <definedName function="false" hidden="false" name="g_q1_az" vbProcedure="false">In!$E$213</definedName>
    <definedName function="false" hidden="false" name="g_q1_az_hi" vbProcedure="false">In!$F$213</definedName>
    <definedName function="false" hidden="false" name="g_q1_az_lo" vbProcedure="false">In!$D$213</definedName>
    <definedName function="false" hidden="false" name="g_q1_cx" vbProcedure="false">In!$E$214</definedName>
    <definedName function="false" hidden="false" name="g_q1_dc" vbProcedure="false">In!$E$212</definedName>
    <definedName function="false" hidden="false" name="g_q1_dc_hi" vbProcedure="false">In!$F$212</definedName>
    <definedName function="false" hidden="false" name="g_q1_dc_lo" vbProcedure="false">In!$D$212</definedName>
    <definedName function="false" hidden="false" name="g_q1_rev" vbProcedure="false">In!$E$210</definedName>
    <definedName function="false" hidden="false" name="g_q1_rev_hi" vbProcedure="false">In!$F$210</definedName>
    <definedName function="false" hidden="false" name="g_q1_rev_lo" vbProcedure="false">In!$D$210</definedName>
    <definedName function="false" hidden="false" name="g_q2_ai" vbProcedure="false">In!$E$216</definedName>
    <definedName function="false" hidden="false" name="g_q2_ai_hi" vbProcedure="false">In!$F$216</definedName>
    <definedName function="false" hidden="false" name="g_q2_ai_lo" vbProcedure="false">In!$D$216</definedName>
    <definedName function="false" hidden="false" name="g_q2_az" vbProcedure="false">In!$E$218</definedName>
    <definedName function="false" hidden="false" name="g_q2_az_hi" vbProcedure="false">In!$F$218</definedName>
    <definedName function="false" hidden="false" name="g_q2_az_lo" vbProcedure="false">In!$D$218</definedName>
    <definedName function="false" hidden="false" name="g_q2_cx" vbProcedure="false">In!$E$220</definedName>
    <definedName function="false" hidden="false" name="g_q2_dc" vbProcedure="false">In!$E$217</definedName>
    <definedName function="false" hidden="false" name="g_q2_dc_hi" vbProcedure="false">In!$F$217</definedName>
    <definedName function="false" hidden="false" name="g_q2_dc_lo" vbProcedure="false">In!$D$217</definedName>
    <definedName function="false" hidden="false" name="g_q2_rev" vbProcedure="false">In!$E$215</definedName>
    <definedName function="false" hidden="false" name="g_q2_rev_hi" vbProcedure="false">In!$F$215</definedName>
    <definedName function="false" hidden="false" name="g_q2_rev_lo" vbProcedure="false">In!$D$215</definedName>
    <definedName function="false" hidden="false" name="g_q2_win" vbProcedure="false">In!$E$219</definedName>
    <definedName function="false" hidden="false" name="g_q2_win_hi" vbProcedure="false">In!$F$219</definedName>
    <definedName function="false" hidden="false" name="g_q2_win_lo" vbProcedure="false">In!$D$219</definedName>
    <definedName function="false" hidden="false" name="g_tv" vbProcedure="false">In!$E$58</definedName>
    <definedName function="false" hidden="false" name="g_tv_hi" vbProcedure="false">In!$F$58</definedName>
    <definedName function="false" hidden="false" name="g_tv_lo" vbProcedure="false">In!$D$58</definedName>
    <definedName function="false" hidden="false" name="internal_ai_reading" vbProcedure="false">In!$E$168</definedName>
    <definedName function="false" hidden="false" name="internal_ai_reading_lo" vbProcedure="false">In!$D$168</definedName>
    <definedName function="false" hidden="false" name="kd" vbProcedure="false">In!$E$54</definedName>
    <definedName function="false" hidden="false" name="kd_aaa" vbProcedure="false">In!$E$52</definedName>
    <definedName function="false" hidden="false" name="kd_spread" vbProcedure="false">In!$E$53</definedName>
    <definedName function="false" hidden="false" name="kd_spread_hi" vbProcedure="false">In!$F$53</definedName>
    <definedName function="false" hidden="false" name="kd_spread_lo" vbProcedure="false">In!$D$53</definedName>
    <definedName function="false" hidden="false" name="ke" vbProcedure="false">In!$E$56</definedName>
    <definedName function="false" hidden="false" name="k_A" vbProcedure="false">In!$E$152</definedName>
    <definedName function="false" hidden="false" name="k_B" vbProcedure="false">In!$E$153</definedName>
    <definedName function="false" hidden="false" name="k_C" vbProcedure="false">In!$E$154</definedName>
    <definedName function="false" hidden="false" name="k_long" vbProcedure="false">In!$E$145</definedName>
    <definedName function="false" hidden="false" name="k_long_lo" vbProcedure="false">In!$E$147</definedName>
    <definedName function="false" hidden="false" name="k_ramp" vbProcedure="false">In!$E$127</definedName>
    <definedName function="false" hidden="false" name="k_spot" vbProcedure="false">In!$E$148</definedName>
    <definedName function="false" hidden="false" name="life_fac" vbProcedure="false">In!$E$111</definedName>
    <definedName function="false" hidden="false" name="life_it" vbProcedure="false">In!$E$110</definedName>
    <definedName function="false" hidden="false" name="life_it_hi" vbProcedure="false">In!$F$110</definedName>
    <definedName function="false" hidden="false" name="life_it_lo" vbProcedure="false">In!$D$110</definedName>
    <definedName function="false" hidden="false" name="life_nonai" vbProcedure="false">In!$E$188</definedName>
    <definedName function="false" hidden="false" name="life_nonai_hi" vbProcedure="false">In!$F$188</definedName>
    <definedName function="false" hidden="false" name="life_nonai_lo" vbProcedure="false">In!$D$188</definedName>
    <definedName function="false" hidden="false" name="liq_disc" vbProcedure="false">In!$E$81</definedName>
    <definedName function="false" hidden="false" name="liq_disc_hi" vbProcedure="false">In!$F$81</definedName>
    <definedName function="false" hidden="false" name="liq_disc_lo" vbProcedure="false">In!$D$81</definedName>
    <definedName function="false" hidden="false" name="ls_A" vbProcedure="false">In!$E$149</definedName>
    <definedName function="false" hidden="false" name="ls_B" vbProcedure="false">In!$E$150</definedName>
    <definedName function="false" hidden="false" name="ls_C" vbProcedure="false">In!$E$151</definedName>
    <definedName function="false" hidden="false" name="mid_yr" vbProcedure="false">In!$E$61</definedName>
    <definedName function="false" hidden="false" name="min_cash" vbProcedure="false">In!$E$36</definedName>
    <definedName function="false" hidden="false" name="min_cash_hi" vbProcedure="false">In!$F$36</definedName>
    <definedName function="false" hidden="false" name="min_cash_lo" vbProcedure="false">In!$D$36</definedName>
    <definedName function="false" hidden="false" name="mix_g2" vbProcedure="false">In!$E$133</definedName>
    <definedName function="false" hidden="false" name="mix_g3" vbProcedure="false">In!$E$134</definedName>
    <definedName function="false" hidden="false" name="mix_h" vbProcedure="false">In!$E$132</definedName>
    <definedName function="false" hidden="false" name="mw_ext_24" vbProcedure="false">In!$E$115</definedName>
    <definedName function="false" hidden="false" name="mw_ext_25" vbProcedure="false">In!$E$116</definedName>
    <definedName function="false" hidden="false" name="mw_ext_26" vbProcedure="false">In!$E$117</definedName>
    <definedName function="false" hidden="false" name="mw_ext_26_hi" vbProcedure="false">In!$F$117</definedName>
    <definedName function="false" hidden="false" name="mw_ext_26_lo" vbProcedure="false">In!$D$117</definedName>
    <definedName function="false" hidden="false" name="m_ads" vbProcedure="false">In!$E$86</definedName>
    <definedName function="false" hidden="false" name="m_ai" vbProcedure="false">In!$E$83</definedName>
    <definedName function="false" hidden="false" name="m_ai_hi" vbProcedure="false">In!$F$83</definedName>
    <definedName function="false" hidden="false" name="m_ai_lo" vbProcedure="false">In!$D$83</definedName>
    <definedName function="false" hidden="false" name="m_cloud" vbProcedure="false">In!$E$84</definedName>
    <definedName function="false" hidden="false" name="m_game" vbProcedure="false">In!$E$87</definedName>
    <definedName function="false" hidden="false" name="m_own" vbProcedure="false">In!$E$89</definedName>
    <definedName function="false" hidden="false" name="m_pc" vbProcedure="false">In!$E$88</definedName>
    <definedName function="false" hidden="false" name="m_sw" vbProcedure="false">In!$E$85</definedName>
    <definedName function="false" hidden="false" name="nonnv" vbProcedure="false">In!$E$138</definedName>
    <definedName function="false" hidden="false" name="nonnv_lo" vbProcedure="false">In!$D$138</definedName>
    <definedName function="false" hidden="false" name="nv_hold_mai" vbProcedure="false">In!$E$141</definedName>
    <definedName function="false" hidden="false" name="nv_hold_mai_hi" vbProcedure="false">In!$F$141</definedName>
    <definedName function="false" hidden="false" name="nv_hold_mai_lo" vbProcedure="false">In!$D$141</definedName>
    <definedName function="false" hidden="false" name="nv_out_mai" vbProcedure="false">In!$E$140</definedName>
    <definedName function="false" hidden="false" name="nv_out_mai_hi" vbProcedure="false">In!$F$140</definedName>
    <definedName function="false" hidden="false" name="nv_out_mai_lo" vbProcedure="false">In!$D$140</definedName>
    <definedName function="false" hidden="false" name="n_conv" vbProcedure="false">In!$E$171</definedName>
    <definedName function="false" hidden="false" name="oai_rev_q1" vbProcedure="false">In!$E$224</definedName>
    <definedName function="false" hidden="false" name="oai_stake" vbProcedure="false">In!$E$78</definedName>
    <definedName function="false" hidden="false" name="oai_stake26" vbProcedure="false">In!$E$79</definedName>
    <definedName function="false" hidden="false" name="oai_stake_hi" vbProcedure="false">In!$F$78</definedName>
    <definedName function="false" hidden="false" name="oai_v" vbProcedure="false">In!$E$82</definedName>
    <definedName function="false" hidden="false" name="oai_val" vbProcedure="false">In!$E$80</definedName>
    <definedName function="false" hidden="false" name="oie_f" vbProcedure="false">In!$E$182</definedName>
    <definedName function="false" hidden="false" name="oie_f_hi" vbProcedure="false">In!$F$182</definedName>
    <definedName function="false" hidden="false" name="oie_f_lo" vbProcedure="false">In!$D$182</definedName>
    <definedName function="false" hidden="false" name="old_dcf" vbProcedure="false">In!$E$228</definedName>
    <definedName function="false" hidden="false" name="old_ev" vbProcedure="false">In!$E$229</definedName>
    <definedName function="false" hidden="false" name="old_tp" vbProcedure="false">In!$E$227</definedName>
    <definedName function="false" hidden="false" name="old_tp_hi" vbProcedure="false">In!$F$227</definedName>
    <definedName function="false" hidden="false" name="old_tp_lo" vbProcedure="false">In!$D$227</definedName>
    <definedName function="false" hidden="false" name="old_w" vbProcedure="false">In!$E$230</definedName>
    <definedName function="false" hidden="false" name="pace" vbProcedure="false">In!$E$122</definedName>
    <definedName function="false" hidden="false" name="pace_epoch" vbProcedure="false">In!$E$128</definedName>
    <definedName function="false" hidden="false" name="pace_nv0" vbProcedure="false">In!$E$124</definedName>
    <definedName function="false" hidden="false" name="pace_v03" vbProcedure="false">In!$E$123</definedName>
    <definedName function="false" hidden="false" name="pace_y0" vbProcedure="false">In!$E$125</definedName>
    <definedName function="false" hidden="false" name="pace_y1" vbProcedure="false">In!$E$126</definedName>
    <definedName function="false" hidden="false" name="px" vbProcedure="false">In!$E$5</definedName>
    <definedName function="false" hidden="false" name="p_long" vbProcedure="false">In!$E$143</definedName>
    <definedName function="false" hidden="false" name="p_long_lo" vbProcedure="false">In!$E$146</definedName>
    <definedName function="false" hidden="false" name="p_spot" vbProcedure="false">In!$E$144</definedName>
    <definedName function="false" hidden="false" name="p_spot_hi" vbProcedure="false">In!$F$144</definedName>
    <definedName function="false" hidden="false" name="q_per_yr" vbProcedure="false">In!$E$69</definedName>
    <definedName function="false" hidden="false" name="rent_ext_24" vbProcedure="false">In!$E$118</definedName>
    <definedName function="false" hidden="false" name="rent_ext_25" vbProcedure="false">In!$E$119</definedName>
    <definedName function="false" hidden="false" name="rent_ext_26" vbProcedure="false">In!$E$120</definedName>
    <definedName function="false" hidden="false" name="rent_ext_f" vbProcedure="false">In!$E$121</definedName>
    <definedName function="false" hidden="false" name="rent_mw" vbProcedure="false">In!$E$156</definedName>
    <definedName function="false" hidden="false" name="rf" vbProcedure="false">In!$E$46</definedName>
    <definedName function="false" hidden="false" name="roll_d1" vbProcedure="false">In!$E$63</definedName>
    <definedName function="false" hidden="false" name="roll_d2" vbProcedure="false">In!$E$64</definedName>
    <definedName function="false" hidden="false" name="roll_div_q" vbProcedure="false">In!$E$68</definedName>
    <definedName function="false" hidden="false" name="ronic_prem" vbProcedure="false">In!$E$59</definedName>
    <definedName function="false" hidden="false" name="ronic_prem_hi" vbProcedure="false">In!$F$59</definedName>
    <definedName function="false" hidden="false" name="ronic_prem_lo" vbProcedure="false">In!$D$59</definedName>
    <definedName function="false" hidden="false" name="sbc_r" vbProcedure="false">In!$E$184</definedName>
    <definedName function="false" hidden="false" name="self_build" vbProcedure="false">In!$E$131</definedName>
    <definedName function="false" hidden="false" name="self_build_hi" vbProcedure="false">In!$F$131</definedName>
    <definedName function="false" hidden="false" name="self_build_lo" vbProcedure="false">In!$D$131</definedName>
    <definedName function="false" hidden="false" name="shadow_base" vbProcedure="false">In!$E$169</definedName>
    <definedName function="false" hidden="false" name="shadow_base_lo" vbProcedure="false">In!$D$169</definedName>
    <definedName function="false" hidden="false" name="shd_val" vbProcedure="false">In!$E$18</definedName>
    <definedName function="false" hidden="false" name="sh_basic26" vbProcedure="false">In!$E$7</definedName>
    <definedName function="false" hidden="false" name="sh_dil26" vbProcedure="false">In!$E$6</definedName>
    <definedName function="false" hidden="false" name="sh_dil_q1" vbProcedure="false">In!$E$12</definedName>
    <definedName function="false" hidden="false" name="sh_iss" vbProcedure="false">In!$E$39</definedName>
    <definedName function="false" hidden="false" name="sh_iss_hi" vbProcedure="false">In!$F$39</definedName>
    <definedName function="false" hidden="false" name="sh_iss_lo" vbProcedure="false">In!$D$39</definedName>
    <definedName function="false" hidden="false" name="sh_out26" vbProcedure="false">In!$E$9</definedName>
    <definedName function="false" hidden="false" name="sh_out_q1" vbProcedure="false">In!$E$13</definedName>
    <definedName function="false" hidden="false" name="sh_val" vbProcedure="false">In!$E$17</definedName>
    <definedName function="false" hidden="false" name="stub_d0" vbProcedure="false">In!$E$70</definedName>
    <definedName function="false" hidden="false" name="tax_f" vbProcedure="false">In!$E$183</definedName>
    <definedName function="false" hidden="false" name="tax_f_hi" vbProcedure="false">In!$F$183</definedName>
    <definedName function="false" hidden="false" name="tax_f_lo" vbProcedure="false">In!$D$183</definedName>
    <definedName function="false" hidden="false" name="tax_w" vbProcedure="false">In!$E$55</definedName>
    <definedName function="false" hidden="false" name="tgt_alt" vbProcedure="false">In!$E$225</definedName>
    <definedName function="false" hidden="false" name="tk_cxfac" vbProcedure="false">In!$E$108</definedName>
    <definedName function="false" hidden="false" name="tk_cxit_gb200" vbProcedure="false">In!$E$101</definedName>
    <definedName function="false" hidden="false" name="tk_cxit_gb300" vbProcedure="false">In!$E$102</definedName>
    <definedName function="false" hidden="false" name="tk_cxit_h100" vbProcedure="false">In!$E$100</definedName>
    <definedName function="false" hidden="false" name="tk_cxit_vr200" vbProcedure="false">In!$E$103</definedName>
    <definedName function="false" hidden="false" name="tk_gpuhr_h100" vbProcedure="false">In!$E$109</definedName>
    <definedName function="false" hidden="false" name="tk_hold_gb200" vbProcedure="false">In!$E$97</definedName>
    <definedName function="false" hidden="false" name="tk_hold_gb200_hi" vbProcedure="false">In!$F$97</definedName>
    <definedName function="false" hidden="false" name="tk_hold_gb200_lo" vbProcedure="false">In!$D$97</definedName>
    <definedName function="false" hidden="false" name="tk_hold_gb300" vbProcedure="false">In!$E$98</definedName>
    <definedName function="false" hidden="false" name="tk_hold_gb300_hi" vbProcedure="false">In!$F$98</definedName>
    <definedName function="false" hidden="false" name="tk_hold_gb300_lo" vbProcedure="false">In!$D$98</definedName>
    <definedName function="false" hidden="false" name="tk_hold_h100" vbProcedure="false">In!$E$96</definedName>
    <definedName function="false" hidden="false" name="tk_hold_h100_hi" vbProcedure="false">In!$F$96</definedName>
    <definedName function="false" hidden="false" name="tk_hold_h100_lo" vbProcedure="false">In!$D$96</definedName>
    <definedName function="false" hidden="false" name="tk_hold_vr200" vbProcedure="false">In!$E$99</definedName>
    <definedName function="false" hidden="false" name="tk_hold_vr200_hi" vbProcedure="false">In!$F$99</definedName>
    <definedName function="false" hidden="false" name="tk_hold_vr200_lo" vbProcedure="false">In!$D$99</definedName>
    <definedName function="false" hidden="false" name="tk_opex_gb200" vbProcedure="false">In!$E$105</definedName>
    <definedName function="false" hidden="false" name="tk_opex_gb300" vbProcedure="false">In!$E$106</definedName>
    <definedName function="false" hidden="false" name="tk_opex_h100" vbProcedure="false">In!$E$104</definedName>
    <definedName function="false" hidden="false" name="tk_opex_vr200" vbProcedure="false">In!$E$107</definedName>
    <definedName function="false" hidden="false" name="t_roll" vbProcedure="false">In!$E$67</definedName>
    <definedName function="false" hidden="false" name="t_stub" vbProcedure="false">In!$E$71</definedName>
    <definedName function="false" hidden="false" name="val_d0" vbProcedure="false">In!$E$62</definedName>
    <definedName function="false" hidden="false" name="v_off" vbProcedure="false">In!$E$66</definedName>
    <definedName function="false" hidden="false" name="wacc" vbProcedure="false">In!$E$57</definedName>
    <definedName function="false" hidden="false" name="wc26q1" vbProcedure="false">In!$E$186</definedName>
    <definedName function="false" hidden="false" name="wc27" vbProcedure="false">In!$E$185</definedName>
    <definedName function="false" hidden="false" name="wc_f" vbProcedure="false">In!$E$187</definedName>
    <definedName function="false" hidden="false" name="w_A" vbProcedure="false">In!$E$75</definedName>
    <definedName function="false" hidden="false" name="w_B" vbProcedure="false">In!$E$76</definedName>
    <definedName function="false" hidden="false" name="w_C" vbProcedure="false">In!$E$77</definedName>
    <definedName function="false" hidden="false" name="w_dcf" vbProcedure="false">In!$E$74</definedName>
    <definedName function="false" hidden="false" name="w_dcf_hi" vbProcedure="false">In!$F$74</definedName>
    <definedName function="false" hidden="false" name="w_dcf_lo" vbProcedure="false">In!$D$74</definedName>
    <definedName function="false" hidden="false" name="w_ntm28" vbProcedure="false">In!$E$73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<sst xmlns="http://schemas.openxmlformats.org/spreadsheetml/2006/main" count="54803" uniqueCount="2185">
  <si>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MSFT</t>
    </r>
    <r>
      <rPr>
        <sz val="11"/>
        <color theme="1"/>
        <rFont val="Noto Sans CJK SC"/>
        <family val="2"/>
      </rPr>
      <t xml:space="preserve">）個股模型 </t>
    </r>
    <r>
      <rPr>
        <sz val="11"/>
        <color theme="1"/>
        <rFont val="Calibri"/>
        <family val="2"/>
        <charset val="1"/>
      </rPr>
      <t xml:space="preserve">v0.3.1 — </t>
    </r>
    <r>
      <rPr>
        <sz val="11"/>
        <color theme="1"/>
        <rFont val="Noto Sans CJK SC"/>
        <family val="2"/>
      </rPr>
      <t xml:space="preserve">命題＋官方營收分部 → 損益表（</t>
    </r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；資料截至 </t>
    </r>
    <r>
      <rPr>
        <sz val="11"/>
        <color theme="1"/>
        <rFont val="Calibri"/>
        <family val="2"/>
        <charset val="1"/>
      </rPr>
      <t xml:space="preserve">FY27Q1</t>
    </r>
    <r>
      <rPr>
        <sz val="11"/>
        <color theme="1"/>
        <rFont val="Noto Sans CJK SC"/>
        <family val="2"/>
      </rPr>
      <t xml:space="preserve">〔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〕；評價日 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、目標價時點 </t>
    </r>
    <r>
      <rPr>
        <sz val="11"/>
        <color theme="1"/>
        <rFont val="Calibri"/>
        <family val="2"/>
        <charset val="1"/>
      </rPr>
      <t xml:space="preserve">2027-10-29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</si>
  <si>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工作表：</t>
    </r>
    <r>
      <rPr>
        <sz val="11"/>
        <color theme="1"/>
        <rFont val="Calibri"/>
        <family val="2"/>
        <charset val="1"/>
      </rPr>
      <t xml:space="preserve">README → In → Q → Thesis → Seg → PL → CF → Val → Recon → Sens → Sources</t>
    </r>
    <r>
      <rPr>
        <sz val="11"/>
        <color theme="1"/>
        <rFont val="Noto Sans CJK SC"/>
        <family val="2"/>
      </rPr>
      <t xml:space="preserve">。金額十億美元；財年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月結束（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2027-06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</si>
  <si>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命題：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能否同時在 </t>
    </r>
    <r>
      <rPr>
        <sz val="11"/>
        <color theme="1"/>
        <rFont val="Calibri"/>
        <family val="2"/>
        <charset val="1"/>
      </rPr>
      <t xml:space="preserve">Azure</t>
    </r>
    <r>
      <rPr>
        <sz val="11"/>
        <color theme="1"/>
        <rFont val="Noto Sans CJK SC"/>
        <family val="2"/>
      </rPr>
      <t xml:space="preserve">（算力）與 </t>
    </r>
    <r>
      <rPr>
        <sz val="11"/>
        <color theme="1"/>
        <rFont val="Calibri"/>
        <family val="2"/>
        <charset val="1"/>
      </rPr>
      <t xml:space="preserve">Microsoft 365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Copilot </t>
    </r>
    <r>
      <rPr>
        <sz val="11"/>
        <color theme="1"/>
        <rFont val="Noto Sans CJK SC"/>
        <family val="2"/>
      </rPr>
      <t xml:space="preserve">應用）變現，撐住翻倍的資本支出。</t>
    </r>
  </si>
  <si>
    <r>
      <rPr>
        <sz val="11"/>
        <color theme="1"/>
        <rFont val="Noto Sans CJK SC"/>
        <family val="2"/>
      </rPr>
      <t xml:space="preserve">核心問題：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增量營業利益能否覆蓋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資本支出的資金成本（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增量 </t>
    </r>
    <r>
      <rPr>
        <sz val="11"/>
        <color theme="1"/>
        <rFont val="Calibri"/>
        <family val="2"/>
        <charset val="1"/>
      </rPr>
      <t xml:space="preserve">ROIC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），且自由現金流不需停止回購。</t>
    </r>
  </si>
  <si>
    <t xml:space="preserve">驅動 → 推導對照表（每頁輸入、推導量、因果方向）</t>
  </si>
  <si>
    <t xml:space="preserve">頁</t>
  </si>
  <si>
    <r>
      <rPr>
        <b val="true"/>
        <sz val="11"/>
        <rFont val="Noto Sans CJK SC"/>
        <family val="2"/>
      </rPr>
      <t xml:space="preserve">輸入（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頁鍵）</t>
    </r>
  </si>
  <si>
    <t xml:space="preserve">推導量</t>
  </si>
  <si>
    <t xml:space="preserve">因果方向</t>
  </si>
  <si>
    <r>
      <rPr>
        <b val="true"/>
        <sz val="11"/>
        <rFont val="Noto Sans CJK SC"/>
        <family val="2"/>
      </rPr>
      <t xml:space="preserve">基準值（</t>
    </r>
    <r>
      <rPr>
        <b val="true"/>
        <sz val="11"/>
        <rFont val="Cambria"/>
        <family val="0"/>
        <charset val="1"/>
      </rPr>
      <t xml:space="preserve">FY2029</t>
    </r>
    <r>
      <rPr>
        <b val="true"/>
        <sz val="11"/>
        <rFont val="Noto Sans CJK SC"/>
        <family val="2"/>
      </rPr>
      <t xml:space="preserve">，情境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</si>
  <si>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t xml:space="preserve">Thesis</t>
  </si>
  <si>
    <r>
      <rPr>
        <sz val="11"/>
        <color theme="1"/>
        <rFont val="Calibri"/>
        <family val="2"/>
        <charset val="1"/>
      </rPr>
      <t xml:space="preserve">pace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mw_ext_26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ext_sh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rent_ext_f</t>
    </r>
  </si>
  <si>
    <r>
      <rPr>
        <sz val="11"/>
        <color theme="1"/>
        <rFont val="Noto Sans CJK SC"/>
        <family val="2"/>
      </rPr>
      <t xml:space="preserve">在役對外 </t>
    </r>
    <r>
      <rPr>
        <sz val="11"/>
        <color theme="1"/>
        <rFont val="Calibri"/>
        <family val="2"/>
        <charset val="1"/>
      </rPr>
      <t xml:space="preserve">AI MW</t>
    </r>
    <r>
      <rPr>
        <sz val="11"/>
        <color theme="1"/>
        <rFont val="Noto Sans CJK SC"/>
        <family val="2"/>
      </rPr>
      <t xml:space="preserve">、自有 </t>
    </r>
    <r>
      <rPr>
        <sz val="11"/>
        <color theme="1"/>
        <rFont val="Calibri"/>
        <family val="2"/>
        <charset val="1"/>
      </rPr>
      <t xml:space="preserve">AI MW</t>
    </r>
    <r>
      <rPr>
        <sz val="11"/>
        <color theme="1"/>
        <rFont val="Noto Sans CJK SC"/>
        <family val="2"/>
      </rPr>
      <t xml:space="preserve">（含自用）</t>
    </r>
  </si>
  <si>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越多 → </t>
    </r>
    <r>
      <rPr>
        <sz val="11"/>
        <color theme="1"/>
        <rFont val="Calibri"/>
        <family val="2"/>
        <charset val="1"/>
      </rPr>
      <t xml:space="preserve">Azure AI </t>
    </r>
    <r>
      <rPr>
        <sz val="11"/>
        <color theme="1"/>
        <rFont val="Noto Sans CJK SC"/>
        <family val="2"/>
      </rPr>
      <t xml:space="preserve">營收↑、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資本支出與折舊↑</t>
    </r>
  </si>
  <si>
    <r>
      <rPr>
        <sz val="11"/>
        <color theme="1"/>
        <rFont val="Calibri"/>
        <family val="2"/>
        <charset val="1"/>
      </rPr>
      <t xml:space="preserve">tk_hold_*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p_long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p_spot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ls_*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</si>
  <si>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年收入（</t>
    </r>
    <r>
      <rPr>
        <sz val="11"/>
        <color theme="1"/>
        <rFont val="Calibri"/>
        <family val="2"/>
        <charset val="1"/>
      </rPr>
      <t xml:space="preserve">US$M/MW-</t>
    </r>
    <r>
      <rPr>
        <sz val="11"/>
        <color theme="1"/>
        <rFont val="Noto Sans CJK SC"/>
        <family val="2"/>
      </rPr>
      <t xml:space="preserve">年）</t>
    </r>
  </si>
  <si>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越高 → </t>
    </r>
    <r>
      <rPr>
        <sz val="11"/>
        <color theme="1"/>
        <rFont val="Calibri"/>
        <family val="2"/>
        <charset val="1"/>
      </rPr>
      <t xml:space="preserve">Azure AI </t>
    </r>
    <r>
      <rPr>
        <sz val="11"/>
        <color theme="1"/>
        <rFont val="Noto Sans CJK SC"/>
        <family val="2"/>
      </rPr>
      <t xml:space="preserve">營收與 </t>
    </r>
    <r>
      <rPr>
        <sz val="11"/>
        <color theme="1"/>
        <rFont val="Calibri"/>
        <family val="2"/>
        <charset val="1"/>
      </rPr>
      <t xml:space="preserve">EBITDA↑</t>
    </r>
    <r>
      <rPr>
        <sz val="11"/>
        <color theme="1"/>
        <rFont val="Noto Sans CJK SC"/>
        <family val="2"/>
      </rPr>
      <t xml:space="preserve">（三情境主要差異）</t>
    </r>
  </si>
  <si>
    <r>
      <rPr>
        <sz val="11"/>
        <color theme="1"/>
        <rFont val="Calibri"/>
        <family val="2"/>
        <charset val="1"/>
      </rPr>
      <t xml:space="preserve">tk_cxit_*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tk_cxfac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self_build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capex_floor27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life_it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</si>
  <si>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</t>
    </r>
  </si>
  <si>
    <r>
      <rPr>
        <sz val="11"/>
        <color theme="1"/>
        <rFont val="Noto Sans CJK SC"/>
        <family val="2"/>
      </rPr>
      <t xml:space="preserve">資本支出 → 折舊 → </t>
    </r>
    <r>
      <rPr>
        <sz val="11"/>
        <color theme="1"/>
        <rFont val="Calibri"/>
        <family val="2"/>
        <charset val="1"/>
      </rPr>
      <t xml:space="preserve">Agents and Infra </t>
    </r>
    <r>
      <rPr>
        <sz val="11"/>
        <color theme="1"/>
        <rFont val="Noto Sans CJK SC"/>
        <family val="2"/>
      </rPr>
      <t xml:space="preserve">營業利益↓；→ 自由現金流↓</t>
    </r>
  </si>
  <si>
    <t xml:space="preserve">Seg</t>
  </si>
  <si>
    <r>
      <rPr>
        <sz val="11"/>
        <color theme="1"/>
        <rFont val="Calibri"/>
        <family val="2"/>
        <charset val="1"/>
      </rPr>
      <t xml:space="preserve">cop_s26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cop_add_*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cop_px</t>
    </r>
  </si>
  <si>
    <r>
      <rPr>
        <sz val="11"/>
        <color theme="1"/>
        <rFont val="Calibri"/>
        <family val="2"/>
        <charset val="1"/>
      </rPr>
      <t xml:space="preserve">Copilot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M365 cloud </t>
    </r>
    <r>
      <rPr>
        <sz val="11"/>
        <color theme="1"/>
        <rFont val="Noto Sans CJK SC"/>
        <family val="2"/>
      </rPr>
      <t xml:space="preserve">子列）</t>
    </r>
  </si>
  <si>
    <r>
      <rPr>
        <sz val="11"/>
        <color theme="1"/>
        <rFont val="Noto Sans CJK SC"/>
        <family val="2"/>
      </rPr>
      <t xml:space="preserve">座席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月費 → </t>
    </r>
    <r>
      <rPr>
        <sz val="11"/>
        <color theme="1"/>
        <rFont val="Calibri"/>
        <family val="2"/>
        <charset val="1"/>
      </rPr>
      <t xml:space="preserve">M365 cloud↑</t>
    </r>
  </si>
  <si>
    <r>
      <rPr>
        <sz val="11"/>
        <color theme="1"/>
        <rFont val="Calibri"/>
        <family val="2"/>
        <charset val="1"/>
      </rPr>
      <t xml:space="preserve">glt_*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n_conv</t>
    </r>
  </si>
  <si>
    <t xml:space="preserve">非命題產品線營收</t>
  </si>
  <si>
    <t xml:space="preserve">近一年年增收斂到長期值</t>
  </si>
  <si>
    <t xml:space="preserve">PL</t>
  </si>
  <si>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校準）、</t>
    </r>
    <r>
      <rPr>
        <sz val="11"/>
        <color theme="1"/>
        <rFont val="Calibri"/>
        <family val="2"/>
        <charset val="1"/>
      </rPr>
      <t xml:space="preserve">dm_seg</t>
    </r>
  </si>
  <si>
    <r>
      <rPr>
        <sz val="11"/>
        <color theme="1"/>
        <rFont val="Calibri"/>
        <family val="2"/>
        <charset val="1"/>
      </rPr>
      <t xml:space="preserve">Agents and Infra </t>
    </r>
    <r>
      <rPr>
        <sz val="11"/>
        <color theme="1"/>
        <rFont val="Noto Sans CJK SC"/>
        <family val="2"/>
      </rPr>
      <t xml:space="preserve">核心利益率、分部營業利益</t>
    </r>
  </si>
  <si>
    <r>
      <rPr>
        <sz val="11"/>
        <color theme="1"/>
        <rFont val="Noto Sans CJK SC"/>
        <family val="2"/>
      </rPr>
      <t xml:space="preserve">核心利益率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（分部 − </t>
    </r>
    <r>
      <rPr>
        <sz val="11"/>
        <color theme="1"/>
        <rFont val="Calibri"/>
        <family val="2"/>
        <charset val="1"/>
      </rPr>
      <t xml:space="preserve">Azure AI</t>
    </r>
    <r>
      <rPr>
        <sz val="11"/>
        <color theme="1"/>
        <rFont val="Noto Sans CJK SC"/>
        <family val="2"/>
      </rPr>
      <t xml:space="preserve">）＋ </t>
    </r>
    <r>
      <rPr>
        <sz val="11"/>
        <color theme="1"/>
        <rFont val="Calibri"/>
        <family val="2"/>
        <charset val="1"/>
      </rPr>
      <t xml:space="preserve">Azure AI − AI </t>
    </r>
    <r>
      <rPr>
        <sz val="11"/>
        <color theme="1"/>
        <rFont val="Noto Sans CJK SC"/>
        <family val="2"/>
      </rPr>
      <t xml:space="preserve">成本 −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</t>
    </r>
  </si>
  <si>
    <r>
      <rPr>
        <sz val="11"/>
        <color theme="1"/>
        <rFont val="Calibri"/>
        <family val="2"/>
        <charset val="1"/>
      </rPr>
      <t xml:space="preserve">internal_ai_reading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tax_f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oie_f</t>
    </r>
  </si>
  <si>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影子效益、淨利、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（評價口徑）</t>
    </r>
  </si>
  <si>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：自用 </t>
    </r>
    <r>
      <rPr>
        <sz val="11"/>
        <color theme="1"/>
        <rFont val="Calibri"/>
        <family val="2"/>
        <charset val="1"/>
      </rPr>
      <t xml:space="preserve">MW × </t>
    </r>
    <r>
      <rPr>
        <sz val="11"/>
        <color theme="1"/>
        <rFont val="Noto Sans CJK SC"/>
        <family val="2"/>
      </rPr>
      <t xml:space="preserve">持有成本（扣 </t>
    </r>
    <r>
      <rPr>
        <sz val="11"/>
        <color theme="1"/>
        <rFont val="Calibri"/>
        <family val="2"/>
        <charset val="1"/>
      </rPr>
      <t xml:space="preserve">Copilot</t>
    </r>
    <r>
      <rPr>
        <sz val="11"/>
        <color theme="1"/>
        <rFont val="Noto Sans CJK SC"/>
        <family val="2"/>
      </rPr>
      <t xml:space="preserve">）進評價口徑營業利益</t>
    </r>
  </si>
  <si>
    <t xml:space="preserve">CF</t>
  </si>
  <si>
    <r>
      <rPr>
        <sz val="11"/>
        <color theme="1"/>
        <rFont val="Calibri"/>
        <family val="2"/>
        <charset val="1"/>
      </rPr>
      <t xml:space="preserve">sbc_r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wc27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cx_*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fl_pay_*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bb_target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dps_*</t>
    </r>
  </si>
  <si>
    <t xml:space="preserve">自由現金流、回購、舉債、股數</t>
  </si>
  <si>
    <t xml:space="preserve">自由現金流扣股利 → 回購（不足先減）→ 舉債</t>
  </si>
  <si>
    <t xml:space="preserve">Val</t>
  </si>
  <si>
    <r>
      <rPr>
        <sz val="11"/>
        <color theme="1"/>
        <rFont val="Calibri"/>
        <family val="2"/>
        <charset val="1"/>
      </rPr>
      <t xml:space="preserve">rf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erp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g_tv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al_*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w_*</t>
    </r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</si>
  <si>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SOTP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模組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）、加權目標價</t>
    </r>
  </si>
  <si>
    <r>
      <rPr>
        <sz val="11"/>
        <color theme="1"/>
        <rFont val="Calibri"/>
        <family val="2"/>
        <charset val="1"/>
      </rPr>
      <t xml:space="preserve">WACC↑ → DCF↓</t>
    </r>
    <r>
      <rPr>
        <sz val="11"/>
        <color theme="1"/>
        <rFont val="Noto Sans CJK SC"/>
        <family val="2"/>
      </rPr>
      <t xml:space="preserve">；倍數↑ → </t>
    </r>
    <r>
      <rPr>
        <sz val="11"/>
        <color theme="1"/>
        <rFont val="Calibri"/>
        <family val="2"/>
        <charset val="1"/>
      </rPr>
      <t xml:space="preserve">SOTP↑</t>
    </r>
  </si>
  <si>
    <t xml:space="preserve">結果摘要（三情境）</t>
  </si>
  <si>
    <t xml:space="preserve">項目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</si>
  <si>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</si>
  <si>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</si>
  <si>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</t>
    </r>
  </si>
  <si>
    <t xml:space="preserve">說明</t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</si>
  <si>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</si>
  <si>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Azure 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FY2029</t>
    </r>
  </si>
  <si>
    <r>
      <rPr>
        <sz val="11"/>
        <color theme="1"/>
        <rFont val="Calibri"/>
        <family val="2"/>
        <charset val="1"/>
      </rPr>
      <t xml:space="preserve">Copilot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FY2029</t>
    </r>
  </si>
  <si>
    <r>
      <rPr>
        <sz val="11"/>
        <color theme="1"/>
        <rFont val="Noto Sans CJK SC"/>
        <family val="2"/>
      </rPr>
      <t xml:space="preserve">營業利益率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（財報口徑）</t>
    </r>
  </si>
  <si>
    <r>
      <rPr>
        <sz val="11"/>
        <color theme="1"/>
        <rFont val="Calibri"/>
        <family val="2"/>
        <charset val="1"/>
      </rPr>
      <t xml:space="preserve">EPS FY2029</t>
    </r>
    <r>
      <rPr>
        <sz val="11"/>
        <color theme="1"/>
        <rFont val="Noto Sans CJK SC"/>
        <family val="2"/>
      </rPr>
      <t xml:space="preserve">（財報口徑，</t>
    </r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</si>
  <si>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EPS FY2029</t>
    </r>
    <r>
      <rPr>
        <sz val="11"/>
        <color theme="1"/>
        <rFont val="Noto Sans CJK SC"/>
        <family val="2"/>
      </rPr>
      <t xml:space="preserve">（評價口徑，</t>
    </r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</si>
  <si>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自由現金流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（財報現金）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</si>
  <si>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增量 </t>
    </r>
    <r>
      <rPr>
        <sz val="11"/>
        <color theme="1"/>
        <rFont val="Calibri"/>
        <family val="2"/>
        <charset val="1"/>
      </rPr>
      <t xml:space="preserve">ROIC FY2029</t>
    </r>
    <r>
      <rPr>
        <sz val="11"/>
        <color theme="1"/>
        <rFont val="Noto Sans CJK SC"/>
        <family val="2"/>
      </rPr>
      <t xml:space="preserve">（讀法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</si>
  <si>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增量 </t>
    </r>
    <r>
      <rPr>
        <sz val="11"/>
        <color theme="1"/>
        <rFont val="Calibri"/>
        <family val="2"/>
        <charset val="1"/>
      </rPr>
      <t xml:space="preserve">ROIC FY2029</t>
    </r>
    <r>
      <rPr>
        <sz val="11"/>
        <color theme="1"/>
        <rFont val="Noto Sans CJK SC"/>
        <family val="2"/>
      </rPr>
      <t xml:space="preserve">（讀法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</si>
  <si>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情境目標價（</t>
    </r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；讀法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</si>
  <si>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的差異：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架構（對外 </t>
    </r>
    <r>
      <rPr>
        <sz val="11"/>
        <color theme="1"/>
        <rFont val="Calibri"/>
        <family val="2"/>
        <charset val="1"/>
      </rPr>
      <t xml:space="preserve">AI MW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收入＋其餘業務成長率線、融資瀑布）；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改為官方兩分部、八條產品線，命題只驅動 </t>
    </r>
    <r>
      <rPr>
        <sz val="11"/>
        <color theme="1"/>
        <rFont val="Calibri"/>
        <family val="2"/>
        <charset val="1"/>
      </rPr>
      <t xml:space="preserve">Azure AI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Copilot </t>
    </r>
    <r>
      <rPr>
        <sz val="11"/>
        <color theme="1"/>
        <rFont val="Noto Sans CJK SC"/>
        <family val="2"/>
      </rPr>
      <t xml:space="preserve">兩條子列，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資本支出經折舊進分部營業利益；評價改 </t>
    </r>
    <r>
      <rPr>
        <sz val="11"/>
        <color theme="1"/>
        <rFont val="Calibri"/>
        <family val="2"/>
        <charset val="1"/>
      </rPr>
      <t xml:space="preserve">DCF 50%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SOTP 50%</t>
    </r>
    <r>
      <rPr>
        <sz val="11"/>
        <color theme="1"/>
        <rFont val="Noto Sans CJK SC"/>
        <family val="2"/>
      </rPr>
      <t xml:space="preserve">、情境 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。拆解見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節。</t>
    </r>
  </si>
  <si>
    <r>
      <rPr>
        <sz val="11"/>
        <color theme="1"/>
        <rFont val="Noto Sans CJK SC"/>
        <family val="2"/>
      </rPr>
      <t xml:space="preserve">已知限制：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、對外比例、</t>
    </r>
    <r>
      <rPr>
        <sz val="11"/>
        <color theme="1"/>
        <rFont val="Calibri"/>
        <family val="2"/>
        <charset val="1"/>
      </rPr>
      <t xml:space="preserve">Copilot </t>
    </r>
    <r>
      <rPr>
        <sz val="11"/>
        <color theme="1"/>
        <rFont val="Noto Sans CJK SC"/>
        <family val="2"/>
      </rPr>
      <t xml:space="preserve">營收與座席歷史、產品線利潤、</t>
    </r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部署量公司皆未揭露（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，給區間）；非命題產品線依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年增收斂，未套用 </t>
    </r>
    <r>
      <rPr>
        <sz val="11"/>
        <color theme="1"/>
        <rFont val="Calibri"/>
        <family val="2"/>
        <charset val="1"/>
      </rPr>
      <t xml:space="preserve">FY27Q2 </t>
    </r>
    <r>
      <rPr>
        <sz val="11"/>
        <color theme="1"/>
        <rFont val="Noto Sans CJK SC"/>
        <family val="2"/>
      </rPr>
      <t xml:space="preserve">季度指引（</t>
    </r>
    <r>
      <rPr>
        <sz val="11"/>
        <color theme="1"/>
        <rFont val="Calibri"/>
        <family val="2"/>
        <charset val="1"/>
      </rPr>
      <t xml:space="preserve">Windows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mid-thirties </t>
    </r>
    <r>
      <rPr>
        <sz val="11"/>
        <color theme="1"/>
        <rFont val="Noto Sans CJK SC"/>
        <family val="2"/>
      </rPr>
      <t xml:space="preserve">衰退，只列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對照）；共識為財報前（</t>
    </r>
    <r>
      <rPr>
        <sz val="11"/>
        <color theme="1"/>
        <rFont val="Calibri"/>
        <family val="2"/>
        <charset val="1"/>
      </rPr>
      <t xml:space="preserve">2026-10-27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</si>
  <si>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Noto Sans CJK SC"/>
        <family val="2"/>
      </rPr>
      <t xml:space="preserve">建置：</t>
    </r>
    <r>
      <rPr>
        <sz val="11"/>
        <color theme="1"/>
        <rFont val="Calibri"/>
        <family val="2"/>
        <charset val="1"/>
      </rPr>
      <t xml:space="preserve">bash microsoft/make_v03.sh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build_microsoft.py → LibreOffice </t>
    </r>
    <r>
      <rPr>
        <sz val="11"/>
        <color theme="1"/>
        <rFont val="Noto Sans CJK SC"/>
        <family val="2"/>
      </rPr>
      <t xml:space="preserve">重算 → </t>
    </r>
    <r>
      <rPr>
        <sz val="11"/>
        <color theme="1"/>
        <rFont val="Calibri"/>
        <family val="2"/>
        <charset val="1"/>
      </rPr>
      <t xml:space="preserve">check_v03.py → segment_check → HTML</t>
    </r>
    <r>
      <rPr>
        <sz val="11"/>
        <color theme="1"/>
        <rFont val="Noto Sans CJK SC"/>
        <family val="2"/>
      </rPr>
      <t xml:space="preserve">）；變動拆解與 </t>
    </r>
    <r>
      <rPr>
        <sz val="11"/>
        <color theme="1"/>
        <rFont val="Calibri"/>
        <family val="2"/>
        <charset val="1"/>
      </rPr>
      <t xml:space="preserve">C10 </t>
    </r>
    <r>
      <rPr>
        <sz val="11"/>
        <color theme="1"/>
        <rFont val="Noto Sans CJK SC"/>
        <family val="2"/>
      </rPr>
      <t xml:space="preserve">重解：</t>
    </r>
    <r>
      <rPr>
        <sz val="11"/>
        <color theme="1"/>
        <rFont val="Calibri"/>
        <family val="2"/>
        <charset val="1"/>
      </rPr>
      <t xml:space="preserve">python3 microsoft/attrib_v031.py</t>
    </r>
  </si>
  <si>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，季度滾動）：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頁加入 </t>
    </r>
    <r>
      <rPr>
        <sz val="11"/>
        <color theme="1"/>
        <rFont val="Calibri"/>
        <family val="2"/>
        <charset val="1"/>
      </rPr>
      <t xml:space="preserve">FY27Q1</t>
    </r>
    <r>
      <rPr>
        <sz val="11"/>
        <color theme="1"/>
        <rFont val="Noto Sans CJK SC"/>
        <family val="2"/>
      </rPr>
      <t xml:space="preserve">（八季 </t>
    </r>
    <r>
      <rPr>
        <sz val="11"/>
        <color theme="1"/>
        <rFont val="Calibri"/>
        <family val="2"/>
        <charset val="1"/>
      </rPr>
      <t xml:space="preserve">FY25Q2–FY27Q1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Q2–Q4 </t>
    </r>
    <r>
      <rPr>
        <sz val="11"/>
        <color theme="1"/>
        <rFont val="Noto Sans CJK SC"/>
        <family val="2"/>
      </rPr>
      <t xml:space="preserve">模型（首期營運資金依 </t>
    </r>
    <r>
      <rPr>
        <sz val="11"/>
        <color theme="1"/>
        <rFont val="Calibri"/>
        <family val="2"/>
        <charset val="1"/>
      </rPr>
      <t xml:space="preserve">C14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同期）；評價日 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、目標價時點 </t>
    </r>
    <r>
      <rPr>
        <sz val="11"/>
        <color theme="1"/>
        <rFont val="Calibri"/>
        <family val="2"/>
        <charset val="1"/>
      </rPr>
      <t xml:space="preserve">2027-10-29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C10 </t>
    </r>
    <r>
      <rPr>
        <sz val="11"/>
        <color theme="1"/>
        <rFont val="Noto Sans CJK SC"/>
        <family val="2"/>
      </rPr>
      <t xml:space="preserve">依新的資本支出指引重解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速度；</t>
    </r>
    <r>
      <rPr>
        <sz val="11"/>
        <color theme="1"/>
        <rFont val="Calibri"/>
        <family val="2"/>
        <charset val="1"/>
      </rPr>
      <t xml:space="preserve">Tokenomics v21.4 → v21.7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改讀 </t>
    </r>
    <r>
      <rPr>
        <sz val="11"/>
        <color theme="1"/>
        <rFont val="Calibri"/>
        <family val="2"/>
        <charset val="1"/>
      </rPr>
      <t xml:space="preserve">IF_NonNV_*</t>
    </r>
    <r>
      <rPr>
        <sz val="11"/>
        <color theme="1"/>
        <rFont val="Noto Sans CJK SC"/>
        <family val="2"/>
      </rPr>
      <t xml:space="preserve">；現價、共識、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持股 </t>
    </r>
    <r>
      <rPr>
        <sz val="11"/>
        <color theme="1"/>
        <rFont val="Calibri"/>
        <family val="2"/>
        <charset val="1"/>
      </rPr>
      <t xml:space="preserve">24% </t>
    </r>
    <r>
      <rPr>
        <sz val="11"/>
        <color theme="1"/>
        <rFont val="Noto Sans CJK SC"/>
        <family val="2"/>
      </rPr>
      <t xml:space="preserve">更新。變動拆解見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節。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修正一（</t>
    </r>
    <r>
      <rPr>
        <sz val="11"/>
        <color theme="1"/>
        <rFont val="Calibri"/>
        <family val="2"/>
        <charset val="1"/>
      </rPr>
      <t xml:space="preserve">2026-10-27</t>
    </r>
    <r>
      <rPr>
        <sz val="11"/>
        <color theme="1"/>
        <rFont val="Noto Sans CJK SC"/>
        <family val="2"/>
      </rPr>
      <t xml:space="preserve">，獨立核對後）：收支關卡範圍公式誤加 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（改為首年起五年並加核對列）；自用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為主值；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扣股票薪酬、減融資租賃負債、扣期間股利；</t>
    </r>
    <r>
      <rPr>
        <sz val="11"/>
        <color theme="1"/>
        <rFont val="Calibri"/>
        <family val="2"/>
        <charset val="1"/>
      </rPr>
      <t xml:space="preserve">SOTP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腿改用模組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Noto Sans CJK SC"/>
        <family val="2"/>
      </rPr>
      <t xml:space="preserve">改 </t>
    </r>
    <r>
      <rPr>
        <sz val="11"/>
        <color theme="1"/>
        <rFont val="Calibri"/>
        <family val="2"/>
        <charset val="1"/>
      </rPr>
      <t xml:space="preserve">Blume β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年期 </t>
    </r>
    <r>
      <rPr>
        <sz val="11"/>
        <color theme="1"/>
        <rFont val="Calibri"/>
        <family val="2"/>
        <charset val="1"/>
      </rPr>
      <t xml:space="preserve">kd</t>
    </r>
    <r>
      <rPr>
        <sz val="11"/>
        <color theme="1"/>
        <rFont val="Noto Sans CJK SC"/>
        <family val="2"/>
      </rPr>
      <t xml:space="preserve">、負債含融資租賃；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後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新增速度收斂；汰換時更新在役世代。修正二（</t>
    </r>
    <r>
      <rPr>
        <sz val="11"/>
        <color theme="1"/>
        <rFont val="Calibri"/>
        <family val="2"/>
        <charset val="1"/>
      </rPr>
      <t xml:space="preserve">2026-10-27</t>
    </r>
    <r>
      <rPr>
        <sz val="11"/>
        <color theme="1"/>
        <rFont val="Noto Sans CJK SC"/>
        <family val="2"/>
      </rPr>
      <t xml:space="preserve">，第二次核對後；</t>
    </r>
    <r>
      <rPr>
        <sz val="11"/>
        <color theme="1"/>
        <rFont val="Calibri"/>
        <family val="2"/>
        <charset val="1"/>
      </rPr>
      <t xml:space="preserve">Andy 2026-10-27 15:03 </t>
    </r>
    <r>
      <rPr>
        <sz val="11"/>
        <color theme="1"/>
        <rFont val="Noto Sans CJK SC"/>
        <family val="2"/>
      </rPr>
      <t xml:space="preserve">決定讀法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為主值）：影子效益只計評價日後新增的自用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、只扣 </t>
    </r>
    <r>
      <rPr>
        <sz val="11"/>
        <color theme="1"/>
        <rFont val="Calibri"/>
        <family val="2"/>
        <charset val="1"/>
      </rPr>
      <t xml:space="preserve">Copilot </t>
    </r>
    <r>
      <rPr>
        <sz val="11"/>
        <color theme="1"/>
        <rFont val="Noto Sans CJK SC"/>
        <family val="2"/>
      </rPr>
      <t xml:space="preserve">增量；</t>
    </r>
    <r>
      <rPr>
        <sz val="11"/>
        <color theme="1"/>
        <rFont val="Calibri"/>
        <family val="2"/>
        <charset val="1"/>
      </rPr>
      <t xml:space="preserve">SOTP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模組改以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起現金流折到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年底（避免與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年底淨現金重複）並扣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第一季股利、改用稀釋股數；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補足到指引下限的資本支出改列其他資本支出（不增 </t>
    </r>
    <r>
      <rPr>
        <sz val="11"/>
        <color theme="1"/>
        <rFont val="Calibri"/>
        <family val="2"/>
        <charset val="1"/>
      </rPr>
      <t xml:space="preserve">AI MW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FY2032 MW </t>
    </r>
    <r>
      <rPr>
        <sz val="11"/>
        <color theme="1"/>
        <rFont val="Noto Sans CJK SC"/>
        <family val="2"/>
      </rPr>
      <t xml:space="preserve">增量＝</t>
    </r>
    <r>
      <rPr>
        <sz val="11"/>
        <color theme="1"/>
        <rFont val="Calibri"/>
        <family val="2"/>
        <charset val="1"/>
      </rPr>
      <t xml:space="preserve">g × </t>
    </r>
    <r>
      <rPr>
        <sz val="11"/>
        <color theme="1"/>
        <rFont val="Noto Sans CJK SC"/>
        <family val="2"/>
      </rPr>
      <t xml:space="preserve">前一年在役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；加 </t>
    </r>
    <r>
      <rPr>
        <sz val="11"/>
        <color theme="1"/>
        <rFont val="Calibri"/>
        <family val="2"/>
        <charset val="1"/>
      </rPr>
      <t xml:space="preserve">ERP </t>
    </r>
    <r>
      <rPr>
        <sz val="11"/>
        <color theme="1"/>
        <rFont val="Noto Sans CJK SC"/>
        <family val="2"/>
      </rPr>
      <t xml:space="preserve">敏感度。修正三（第三次核對後）：影子效益基準改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平均自用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SOTP </t>
    </r>
    <r>
      <rPr>
        <sz val="11"/>
        <color theme="1"/>
        <rFont val="Noto Sans CJK SC"/>
        <family val="2"/>
      </rPr>
      <t xml:space="preserve">補加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年底到目標價時點的非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自由現金流；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補足差額的折舊由營業利益扣除。前後對照見報告第 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節。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</si>
  <si>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</t>
    </r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實績滾入；</t>
    </r>
    <r>
      <rPr>
        <sz val="11"/>
        <color theme="1"/>
        <rFont val="Calibri"/>
        <family val="2"/>
        <charset val="1"/>
      </rPr>
      <t xml:space="preserve">v0.3.2</t>
    </r>
    <r>
      <rPr>
        <sz val="11"/>
        <color theme="1"/>
        <rFont val="Noto Sans CJK SC"/>
        <family val="2"/>
      </rPr>
      <t xml:space="preserve">：加「情境驅動對照」、欄名改敏感度低／高；</t>
    </r>
    <r>
      <rPr>
        <sz val="11"/>
        <color theme="1"/>
        <rFont val="Calibri"/>
        <family val="2"/>
        <charset val="1"/>
      </rPr>
      <t xml:space="preserve">v0.3.3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IF_HoldEcon </t>
    </r>
    <r>
      <rPr>
        <sz val="11"/>
        <color theme="1"/>
        <rFont val="Noto Sans CJK SC"/>
        <family val="2"/>
      </rPr>
      <t xml:space="preserve">四列補低／高、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頁補鍵欄與案例；數值不變）（藍字＝輸入、黑字＝由其他輸入推得）。基準欄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進主模型；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＝敏感度低／高，只用於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頁、不進目標價；情境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的驅動見本頁最後一節「情境驅動對照」；金額十億美元（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關鍵電力。標記：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一律給區間</t>
    </r>
  </si>
  <si>
    <r>
      <rPr>
        <sz val="11"/>
        <color theme="1"/>
        <rFont val="Noto Sans CJK SC"/>
        <family val="2"/>
      </rPr>
      <t xml:space="preserve">「沿用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」＝</t>
    </r>
    <r>
      <rPr>
        <sz val="11"/>
        <color theme="1"/>
        <rFont val="Calibri"/>
        <family val="2"/>
        <charset val="1"/>
      </rPr>
      <t xml:space="preserve">MAG 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PR #105</t>
    </r>
    <r>
      <rPr>
        <sz val="11"/>
        <color theme="1"/>
        <rFont val="Noto Sans CJK SC"/>
        <family val="2"/>
      </rPr>
      <t xml:space="preserve">）已核准的參數與證據，原出處見來源欄；</t>
    </r>
    <r>
      <rPr>
        <sz val="11"/>
        <color theme="1"/>
        <rFont val="Calibri"/>
        <family val="2"/>
        <charset val="1"/>
      </rPr>
      <t xml:space="preserve">SEC </t>
    </r>
    <r>
      <rPr>
        <sz val="11"/>
        <color theme="1"/>
        <rFont val="Noto Sans CJK SC"/>
        <family val="2"/>
      </rPr>
      <t xml:space="preserve">一手數字取自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v0.1a </t>
    </r>
    <r>
      <rPr>
        <sz val="11"/>
        <color theme="1"/>
        <rFont val="Noto Sans CJK SC"/>
        <family val="2"/>
      </rPr>
      <t xml:space="preserve">起的事實總帳）；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取自 </t>
    </r>
    <r>
      <rPr>
        <sz val="11"/>
        <color theme="1"/>
        <rFont val="Calibri"/>
        <family val="2"/>
        <charset val="1"/>
      </rPr>
      <t xml:space="preserve">microsoft/data/microsoft_facts_FY27Q1_20261029.json</t>
    </r>
    <r>
      <rPr>
        <sz val="11"/>
        <color theme="1"/>
        <rFont val="Noto Sans CJK SC"/>
        <family val="2"/>
      </rPr>
      <t xml:space="preserve">（財報新聞稿與 </t>
    </r>
    <r>
      <rPr>
        <sz val="11"/>
        <color theme="1"/>
        <rFont val="Calibri"/>
        <family val="2"/>
        <charset val="1"/>
      </rPr>
      <t xml:space="preserve">IR </t>
    </r>
    <r>
      <rPr>
        <sz val="11"/>
        <color theme="1"/>
        <rFont val="Noto Sans CJK SC"/>
        <family val="2"/>
      </rPr>
      <t xml:space="preserve">財務報表兩次讀取核對）</t>
    </r>
  </si>
  <si>
    <t xml:space="preserve">鍵</t>
  </si>
  <si>
    <t xml:space="preserve">單位</t>
  </si>
  <si>
    <t xml:space="preserve">敏感度低</t>
  </si>
  <si>
    <t xml:space="preserve">基準</t>
  </si>
  <si>
    <t xml:space="preserve">敏感度高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</si>
  <si>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</si>
  <si>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</si>
  <si>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</si>
  <si>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股價、股數與資本結構（評價日 </t>
    </r>
    <r>
      <rPr>
        <b val="true"/>
        <sz val="11"/>
        <rFont val="Cambria"/>
        <family val="0"/>
        <charset val="1"/>
      </rPr>
      <t xml:space="preserve">2026-09-30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FY27Q1 </t>
    </r>
    <r>
      <rPr>
        <b val="true"/>
        <sz val="11"/>
        <rFont val="Noto Sans CJK SC"/>
        <family val="2"/>
      </rPr>
      <t xml:space="preserve">季底〔</t>
    </r>
    <r>
      <rPr>
        <b val="true"/>
        <sz val="11"/>
        <rFont val="Cambria"/>
        <family val="0"/>
        <charset val="1"/>
      </rPr>
      <t xml:space="preserve">v0.3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2026-06-30</t>
    </r>
    <r>
      <rPr>
        <b val="true"/>
        <sz val="11"/>
        <rFont val="Noto Sans CJK SC"/>
        <family val="2"/>
      </rPr>
      <t xml:space="preserve">〕；目標價時點＝今日 </t>
    </r>
    <r>
      <rPr>
        <b val="true"/>
        <sz val="11"/>
        <rFont val="Cambria"/>
        <family val="0"/>
        <charset val="1"/>
      </rPr>
      <t xml:space="preserve">2026-10-29 </t>
    </r>
    <r>
      <rPr>
        <b val="true"/>
        <sz val="11"/>
        <rFont val="Noto Sans CJK SC"/>
        <family val="2"/>
      </rPr>
      <t xml:space="preserve">後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個月）</t>
    </r>
  </si>
  <si>
    <t xml:space="preserve">px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</si>
  <si>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收盤）</t>
    </r>
  </si>
  <si>
    <t xml:space="preserve">US$</t>
  </si>
  <si>
    <t xml:space="preserve">Verified</t>
  </si>
  <si>
    <r>
      <rPr>
        <sz val="11"/>
        <color theme="1"/>
        <rFont val="Calibri"/>
        <family val="2"/>
        <charset val="1"/>
      </rPr>
      <t xml:space="preserve">https://www.marketbeat.com/stocks/nasdaq/msft/chart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531.01</t>
    </r>
    <r>
      <rPr>
        <sz val="11"/>
        <color theme="1"/>
        <rFont val="Noto Sans CJK SC"/>
        <family val="2"/>
      </rPr>
      <t xml:space="preserve">，−</t>
    </r>
    <r>
      <rPr>
        <sz val="11"/>
        <color theme="1"/>
        <rFont val="Calibri"/>
        <family val="2"/>
        <charset val="1"/>
      </rPr>
      <t xml:space="preserve">0.32</t>
    </r>
    <r>
      <rPr>
        <sz val="11"/>
        <color theme="1"/>
        <rFont val="Noto Sans CJK SC"/>
        <family val="2"/>
      </rPr>
      <t xml:space="preserve">／−</t>
    </r>
    <r>
      <rPr>
        <sz val="11"/>
        <color theme="1"/>
        <rFont val="Calibri"/>
        <family val="2"/>
        <charset val="1"/>
      </rPr>
      <t xml:space="preserve">0.06%</t>
    </r>
    <r>
      <rPr>
        <sz val="11"/>
        <color theme="1"/>
        <rFont val="Noto Sans CJK SC"/>
        <family val="2"/>
      </rPr>
      <t xml:space="preserve">；前日 </t>
    </r>
    <r>
      <rPr>
        <sz val="11"/>
        <color theme="1"/>
        <rFont val="Calibri"/>
        <family val="2"/>
        <charset val="1"/>
      </rPr>
      <t xml:space="preserve">531.33</t>
    </r>
    <r>
      <rPr>
        <sz val="11"/>
        <color theme="1"/>
        <rFont val="Noto Sans CJK SC"/>
        <family val="2"/>
      </rPr>
      <t xml:space="preserve">；擷取 </t>
    </r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</si>
  <si>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https://247wallst.com/investing/2026/10/28/live-will-microsoft-crush-q1-earnings-tonight-after-the-bell/</t>
    </r>
    <r>
      <rPr>
        <sz val="11"/>
        <color theme="1"/>
        <rFont val="Noto Sans CJK SC"/>
        <family val="2"/>
      </rPr>
      <t xml:space="preserve">（報價 </t>
    </r>
    <r>
      <rPr>
        <sz val="11"/>
        <color theme="1"/>
        <rFont val="Calibri"/>
        <family val="2"/>
        <charset val="1"/>
      </rPr>
      <t xml:space="preserve">531.01</t>
    </r>
    <r>
      <rPr>
        <sz val="11"/>
        <color theme="1"/>
        <rFont val="Noto Sans CJK SC"/>
        <family val="2"/>
      </rPr>
      <t xml:space="preserve">，−</t>
    </r>
    <r>
      <rPr>
        <sz val="11"/>
        <color theme="1"/>
        <rFont val="Calibri"/>
        <family val="2"/>
        <charset val="1"/>
      </rPr>
      <t xml:space="preserve">0.06%</t>
    </r>
    <r>
      <rPr>
        <sz val="11"/>
        <color theme="1"/>
        <rFont val="Noto Sans CJK SC"/>
        <family val="2"/>
      </rPr>
      <t xml:space="preserve">）兩來源一致；財報後盤後 </t>
    </r>
    <r>
      <rPr>
        <sz val="11"/>
        <color theme="1"/>
        <rFont val="Calibri"/>
        <family val="2"/>
        <charset val="1"/>
      </rPr>
      <t xml:space="preserve">544.93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+2.6%</t>
    </r>
    <r>
      <rPr>
        <sz val="11"/>
        <color theme="1"/>
        <rFont val="Noto Sans CJK SC"/>
        <family val="2"/>
      </rPr>
      <t xml:space="preserve">）不採用</t>
    </r>
  </si>
  <si>
    <t xml:space="preserve">sh_dil26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</si>
  <si>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稀釋加權股數</t>
    </r>
  </si>
  <si>
    <t xml:space="preserve">十億股</t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</si>
  <si>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is.sharesDilW.fy2026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 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</si>
  <si>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v0.3 DCF </t>
    </r>
    <r>
      <rPr>
        <sz val="11"/>
        <color theme="1"/>
        <rFont val="Noto Sans CJK SC"/>
        <family val="2"/>
      </rPr>
      <t xml:space="preserve">每股的分母（評價日 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）</t>
    </r>
  </si>
  <si>
    <t xml:space="preserve">sh_basic26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</si>
  <si>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基本加權股數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</si>
  <si>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is.sharesBasicW.fy2026</t>
    </r>
  </si>
  <si>
    <t xml:space="preserve">—</t>
  </si>
  <si>
    <t xml:space="preserve">dil_gap</t>
  </si>
  <si>
    <t xml:space="preserve">稀釋與基本股數差</t>
  </si>
  <si>
    <t xml:space="preserve">Derived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</si>
  <si>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稀釋 − 基本</t>
    </r>
  </si>
  <si>
    <t xml:space="preserve">預測期稀釋股數＝期間平均流通股數＋此差額</t>
  </si>
  <si>
    <t xml:space="preserve">sh_out26</t>
  </si>
  <si>
    <r>
      <rPr>
        <sz val="11"/>
        <color theme="1"/>
        <rFont val="Noto Sans CJK SC"/>
        <family val="2"/>
      </rPr>
      <t xml:space="preserve">流通股數（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</si>
  <si>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sh.out.fy2026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）</t>
    </r>
  </si>
  <si>
    <t xml:space="preserve">cash_open</t>
  </si>
  <si>
    <r>
      <rPr>
        <sz val="11"/>
        <color theme="1"/>
        <rFont val="Noto Sans CJK SC"/>
        <family val="2"/>
      </rPr>
      <t xml:space="preserve">現金與短期投資（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）</t>
    </r>
  </si>
  <si>
    <t xml:space="preserve">US$B</t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</si>
  <si>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bs.cashSti.fy2026</t>
    </r>
  </si>
  <si>
    <r>
      <rPr>
        <sz val="11"/>
        <color theme="1"/>
        <rFont val="Calibri"/>
        <family val="2"/>
        <charset val="1"/>
      </rPr>
      <t xml:space="preserve">CF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期初</t>
    </r>
  </si>
  <si>
    <t xml:space="preserve">debt_face</t>
  </si>
  <si>
    <r>
      <rPr>
        <sz val="11"/>
        <color theme="1"/>
        <rFont val="Noto Sans CJK SC"/>
        <family val="2"/>
      </rPr>
      <t xml:space="preserve">債務面額（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</si>
  <si>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debt.face.fy2026</t>
    </r>
    <r>
      <rPr>
        <sz val="11"/>
        <color theme="1"/>
        <rFont val="Noto Sans CJK SC"/>
        <family val="2"/>
      </rPr>
      <t xml:space="preserve">（附註 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</si>
  <si>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帳面值 </t>
    </r>
    <r>
      <rPr>
        <sz val="11"/>
        <color theme="1"/>
        <rFont val="Calibri"/>
        <family val="2"/>
        <charset val="1"/>
      </rPr>
      <t xml:space="preserve">40.294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CF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期初</t>
    </r>
  </si>
  <si>
    <t xml:space="preserve">sh_dil_q1</t>
  </si>
  <si>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稀釋加權股數</t>
    </r>
  </si>
  <si>
    <t xml:space="preserve">Interested-party</t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</si>
  <si>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microsoft/data/microsoft_facts_FY27Q1_20261029.json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q.sharesDilW.fy27q1</t>
    </r>
    <r>
      <rPr>
        <sz val="11"/>
        <color theme="1"/>
        <rFont val="Noto Sans CJK SC"/>
        <family val="2"/>
      </rPr>
      <t xml:space="preserve">（新聞稿損益表；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同值）</t>
    </r>
  </si>
  <si>
    <r>
      <rPr>
        <sz val="11"/>
        <color theme="1"/>
        <rFont val="Calibri"/>
        <family val="2"/>
        <charset val="1"/>
      </rPr>
      <t xml:space="preserve">v0.3.1 DCF </t>
    </r>
    <r>
      <rPr>
        <sz val="11"/>
        <color theme="1"/>
        <rFont val="Noto Sans CJK SC"/>
        <family val="2"/>
      </rPr>
      <t xml:space="preserve">每股的分母（評價日 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</si>
  <si>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t xml:space="preserve">sh_out_q1</t>
  </si>
  <si>
    <r>
      <rPr>
        <sz val="11"/>
        <color theme="1"/>
        <rFont val="Noto Sans CJK SC"/>
        <family val="2"/>
      </rPr>
      <t xml:space="preserve">流通股數（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</si>
  <si>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microsoft/data/microsoft_facts_FY27Q1_20261029.json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sh.out.fy27q1</t>
    </r>
    <r>
      <rPr>
        <sz val="11"/>
        <color theme="1"/>
        <rFont val="Noto Sans CJK SC"/>
        <family val="2"/>
      </rPr>
      <t xml:space="preserve">（資產負債表；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同值）</t>
    </r>
  </si>
  <si>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Noto Sans CJK SC"/>
        <family val="2"/>
      </rPr>
      <t xml:space="preserve">股權市值</t>
    </r>
  </si>
  <si>
    <t xml:space="preserve">cash_q1</t>
  </si>
  <si>
    <r>
      <rPr>
        <sz val="11"/>
        <color theme="1"/>
        <rFont val="Noto Sans CJK SC"/>
        <family val="2"/>
      </rPr>
      <t xml:space="preserve">現金與短期投資（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</si>
  <si>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microsoft/data/microsoft_facts_FY27Q1_20261029.json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bs.cashSti.fy27q1</t>
    </r>
    <r>
      <rPr>
        <sz val="11"/>
        <color theme="1"/>
        <rFont val="Noto Sans CJK SC"/>
        <family val="2"/>
      </rPr>
      <t xml:space="preserve">（新聞稿與 </t>
    </r>
    <r>
      <rPr>
        <sz val="11"/>
        <color theme="1"/>
        <rFont val="Calibri"/>
        <family val="2"/>
        <charset val="1"/>
      </rPr>
      <t xml:space="preserve">IR </t>
    </r>
    <r>
      <rPr>
        <sz val="11"/>
        <color theme="1"/>
        <rFont val="Noto Sans CJK SC"/>
        <family val="2"/>
      </rPr>
      <t xml:space="preserve">財務報表兩讀一致）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</si>
  <si>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權益橋（評價日）</t>
    </r>
  </si>
  <si>
    <t xml:space="preserve">debt_q1</t>
  </si>
  <si>
    <r>
      <rPr>
        <sz val="11"/>
        <color theme="1"/>
        <rFont val="Noto Sans CJK SC"/>
        <family val="2"/>
      </rPr>
      <t xml:space="preserve">債務面額（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</si>
  <si>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microsoft/data/microsoft_facts_FY27Q1_20261029.json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debt.face.fy27q1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到期表合計）</t>
    </r>
  </si>
  <si>
    <r>
      <rPr>
        <sz val="11"/>
        <color theme="1"/>
        <rFont val="Noto Sans CJK SC"/>
        <family val="2"/>
      </rPr>
      <t xml:space="preserve">帳面值 </t>
    </r>
    <r>
      <rPr>
        <sz val="11"/>
        <color theme="1"/>
        <rFont val="Calibri"/>
        <family val="2"/>
        <charset val="1"/>
      </rPr>
      <t xml:space="preserve">35.481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面額 − 本季償還 </t>
    </r>
    <r>
      <rPr>
        <sz val="11"/>
        <color theme="1"/>
        <rFont val="Calibri"/>
        <family val="2"/>
        <charset val="1"/>
      </rPr>
      <t xml:space="preserve">4.850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41.286</t>
    </r>
    <r>
      <rPr>
        <sz val="11"/>
        <color theme="1"/>
        <rFont val="Noto Sans CJK SC"/>
        <family val="2"/>
      </rPr>
      <t xml:space="preserve">（差 </t>
    </r>
    <r>
      <rPr>
        <sz val="11"/>
        <color theme="1"/>
        <rFont val="Calibri"/>
        <family val="2"/>
        <charset val="1"/>
      </rPr>
      <t xml:space="preserve">0.017 </t>
    </r>
    <r>
      <rPr>
        <sz val="11"/>
        <color theme="1"/>
        <rFont val="Noto Sans CJK SC"/>
        <family val="2"/>
      </rPr>
      <t xml:space="preserve">推定匯率）</t>
    </r>
  </si>
  <si>
    <t xml:space="preserve">fl_liab_q1</t>
  </si>
  <si>
    <r>
      <rPr>
        <sz val="11"/>
        <color theme="1"/>
        <rFont val="Noto Sans CJK SC"/>
        <family val="2"/>
      </rPr>
      <t xml:space="preserve">融資租賃負債（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，在帳）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</si>
  <si>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microsoft/data/microsoft_facts_FY27Q1_20261029.json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lease.finLiab.fy27q1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；付款 </t>
    </r>
    <r>
      <rPr>
        <sz val="11"/>
        <color theme="1"/>
        <rFont val="Calibri"/>
        <family val="2"/>
        <charset val="1"/>
      </rPr>
      <t xml:space="preserve">95.246 − </t>
    </r>
    <r>
      <rPr>
        <sz val="11"/>
        <color theme="1"/>
        <rFont val="Noto Sans CJK SC"/>
        <family val="2"/>
      </rPr>
      <t xml:space="preserve">設算利息 </t>
    </r>
    <r>
      <rPr>
        <sz val="11"/>
        <color theme="1"/>
        <rFont val="Calibri"/>
        <family val="2"/>
        <charset val="1"/>
      </rPr>
      <t xml:space="preserve">24.273 </t>
    </r>
    <r>
      <rPr>
        <sz val="11"/>
        <color theme="1"/>
        <rFont val="Noto Sans CJK SC"/>
        <family val="2"/>
      </rPr>
      <t xml:space="preserve">核對）</t>
    </r>
  </si>
  <si>
    <r>
      <rPr>
        <sz val="11"/>
        <color theme="1"/>
        <rFont val="Noto Sans CJK SC"/>
        <family val="2"/>
      </rPr>
      <t xml:space="preserve">含本季新起租；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權益橋（評價日）</t>
    </r>
  </si>
  <si>
    <t xml:space="preserve">sh_val</t>
  </si>
  <si>
    <r>
      <rPr>
        <sz val="11"/>
        <color theme="1"/>
        <rFont val="Noto Sans CJK SC"/>
        <family val="2"/>
      </rPr>
      <t xml:space="preserve">評價日流通股數（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</si>
  <si>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sh_out_q1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：評價日 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</si>
  <si>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t xml:space="preserve">shd_val</t>
  </si>
  <si>
    <r>
      <rPr>
        <sz val="11"/>
        <color theme="1"/>
        <rFont val="Noto Sans CJK SC"/>
        <family val="2"/>
      </rPr>
      <t xml:space="preserve">評價日稀釋股數（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每股分母）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</si>
  <si>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sh_dil_q1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：評價日 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</si>
  <si>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t xml:space="preserve">cash_val</t>
  </si>
  <si>
    <t xml:space="preserve">評價日現金與短期投資</t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</si>
  <si>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cash_q1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：評價日 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</si>
  <si>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t xml:space="preserve">debt_val</t>
  </si>
  <si>
    <t xml:space="preserve">評價日債務面額</t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</si>
  <si>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debt_q1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：評價日 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</si>
  <si>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t xml:space="preserve">fl_val</t>
  </si>
  <si>
    <t xml:space="preserve">評價日在帳融資租賃負債</t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</si>
  <si>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fl_liab_q1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：評價日 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</si>
  <si>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t xml:space="preserve">debt_mat_27</t>
  </si>
  <si>
    <r>
      <rPr>
        <sz val="11"/>
        <color theme="1"/>
        <rFont val="Noto Sans CJK SC"/>
        <family val="2"/>
      </rPr>
      <t xml:space="preserve">債務到期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</si>
  <si>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debt.maturity.fy2027</t>
    </r>
    <r>
      <rPr>
        <sz val="11"/>
        <color theme="1"/>
        <rFont val="Noto Sans CJK SC"/>
        <family val="2"/>
      </rPr>
      <t xml:space="preserve">（附註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到期表）</t>
    </r>
  </si>
  <si>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已還 </t>
    </r>
    <r>
      <rPr>
        <sz val="11"/>
        <color theme="1"/>
        <rFont val="Calibri"/>
        <family val="2"/>
        <charset val="1"/>
      </rPr>
      <t xml:space="preserve">4.850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剩餘三季 </t>
    </r>
    <r>
      <rPr>
        <sz val="11"/>
        <color theme="1"/>
        <rFont val="Calibri"/>
        <family val="2"/>
        <charset val="1"/>
      </rPr>
      <t xml:space="preserve">4.400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9.250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 9.227</t>
    </r>
    <r>
      <rPr>
        <sz val="11"/>
        <color theme="1"/>
        <rFont val="Noto Sans CJK SC"/>
        <family val="2"/>
      </rPr>
      <t xml:space="preserve">）</t>
    </r>
  </si>
  <si>
    <t xml:space="preserve">debt_mat_28</t>
  </si>
  <si>
    <r>
      <rPr>
        <sz val="11"/>
        <color theme="1"/>
        <rFont val="Noto Sans CJK SC"/>
        <family val="2"/>
      </rPr>
      <t xml:space="preserve">債務到期 </t>
    </r>
    <r>
      <rPr>
        <sz val="11"/>
        <color theme="1"/>
        <rFont val="Calibri"/>
        <family val="2"/>
        <charset val="1"/>
      </rPr>
      <t xml:space="preserve">FY2028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</si>
  <si>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debt.maturity.fy2028</t>
    </r>
    <r>
      <rPr>
        <sz val="11"/>
        <color theme="1"/>
        <rFont val="Noto Sans CJK SC"/>
        <family val="2"/>
      </rPr>
      <t xml:space="preserve">（附註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到期表）</t>
    </r>
  </si>
  <si>
    <r>
      <rPr>
        <sz val="11"/>
        <color theme="1"/>
        <rFont val="Calibri"/>
        <family val="2"/>
        <charset val="1"/>
      </rPr>
      <t xml:space="preserve">10-Q 2026-09-30 </t>
    </r>
    <r>
      <rPr>
        <sz val="11"/>
        <color theme="1"/>
        <rFont val="Noto Sans CJK SC"/>
        <family val="2"/>
      </rPr>
      <t xml:space="preserve">到期表同值</t>
    </r>
  </si>
  <si>
    <t xml:space="preserve">debt_mat_29</t>
  </si>
  <si>
    <r>
      <rPr>
        <sz val="11"/>
        <color theme="1"/>
        <rFont val="Noto Sans CJK SC"/>
        <family val="2"/>
      </rPr>
      <t xml:space="preserve">債務到期 </t>
    </r>
    <r>
      <rPr>
        <sz val="11"/>
        <color theme="1"/>
        <rFont val="Calibri"/>
        <family val="2"/>
        <charset val="1"/>
      </rPr>
      <t xml:space="preserve">FY2029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</si>
  <si>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debt.maturity.fy2029</t>
    </r>
    <r>
      <rPr>
        <sz val="11"/>
        <color theme="1"/>
        <rFont val="Noto Sans CJK SC"/>
        <family val="2"/>
      </rPr>
      <t xml:space="preserve">（附註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到期表）</t>
    </r>
  </si>
  <si>
    <t xml:space="preserve">debt_mat_30</t>
  </si>
  <si>
    <r>
      <rPr>
        <sz val="11"/>
        <color theme="1"/>
        <rFont val="Noto Sans CJK SC"/>
        <family val="2"/>
      </rPr>
      <t xml:space="preserve">債務到期 </t>
    </r>
    <r>
      <rPr>
        <sz val="11"/>
        <color theme="1"/>
        <rFont val="Calibri"/>
        <family val="2"/>
        <charset val="1"/>
      </rPr>
      <t xml:space="preserve">FY2030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</si>
  <si>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debt.maturity.fy2030</t>
    </r>
    <r>
      <rPr>
        <sz val="11"/>
        <color theme="1"/>
        <rFont val="Noto Sans CJK SC"/>
        <family val="2"/>
      </rPr>
      <t xml:space="preserve">（附註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到期表）</t>
    </r>
  </si>
  <si>
    <t xml:space="preserve">debt_mat_31</t>
  </si>
  <si>
    <r>
      <rPr>
        <sz val="11"/>
        <color theme="1"/>
        <rFont val="Noto Sans CJK SC"/>
        <family val="2"/>
      </rPr>
      <t xml:space="preserve">債務到期 </t>
    </r>
    <r>
      <rPr>
        <sz val="11"/>
        <color theme="1"/>
        <rFont val="Calibri"/>
        <family val="2"/>
        <charset val="1"/>
      </rPr>
      <t xml:space="preserve">FY2031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</si>
  <si>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debt.maturity.fy2031</t>
    </r>
    <r>
      <rPr>
        <sz val="11"/>
        <color theme="1"/>
        <rFont val="Noto Sans CJK SC"/>
        <family val="2"/>
      </rPr>
      <t xml:space="preserve">（附註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到期表）</t>
    </r>
  </si>
  <si>
    <t xml:space="preserve">debt_mat_32</t>
  </si>
  <si>
    <r>
      <rPr>
        <sz val="11"/>
        <color theme="1"/>
        <rFont val="Noto Sans CJK SC"/>
        <family val="2"/>
      </rPr>
      <t xml:space="preserve">債務到期 </t>
    </r>
    <r>
      <rPr>
        <sz val="11"/>
        <color theme="1"/>
        <rFont val="Calibri"/>
        <family val="2"/>
        <charset val="1"/>
      </rPr>
      <t xml:space="preserve">FY2032</t>
    </r>
  </si>
  <si>
    <t xml:space="preserve">Assumed</t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</si>
  <si>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｜到期表只列 </t>
    </r>
    <r>
      <rPr>
        <sz val="11"/>
        <color theme="1"/>
        <rFont val="Calibri"/>
        <family val="2"/>
        <charset val="1"/>
      </rPr>
      <t xml:space="preserve">FY2031 </t>
    </r>
    <r>
      <rPr>
        <sz val="11"/>
        <color theme="1"/>
        <rFont val="Noto Sans CJK SC"/>
        <family val="2"/>
      </rPr>
      <t xml:space="preserve">以後合計 </t>
    </r>
    <r>
      <rPr>
        <sz val="11"/>
        <color theme="1"/>
        <rFont val="Calibri"/>
        <family val="2"/>
        <charset val="1"/>
      </rPr>
      <t xml:space="preserve">34.385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取 </t>
    </r>
    <r>
      <rPr>
        <sz val="11"/>
        <color theme="1"/>
        <rFont val="Calibri"/>
        <family val="2"/>
        <charset val="1"/>
      </rPr>
      <t xml:space="preserve">0</t>
    </r>
  </si>
  <si>
    <t xml:space="preserve">fl_liab</t>
  </si>
  <si>
    <r>
      <rPr>
        <sz val="11"/>
        <color theme="1"/>
        <rFont val="Noto Sans CJK SC"/>
        <family val="2"/>
      </rPr>
      <t xml:space="preserve">融資租賃負債（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，在帳）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</si>
  <si>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lease.finLiab.fy2026</t>
    </r>
    <r>
      <rPr>
        <sz val="11"/>
        <color theme="1"/>
        <rFont val="Noto Sans CJK SC"/>
        <family val="2"/>
      </rPr>
      <t xml:space="preserve">（附註 </t>
    </r>
    <r>
      <rPr>
        <sz val="11"/>
        <color theme="1"/>
        <rFont val="Calibri"/>
        <family val="2"/>
        <charset val="1"/>
      </rPr>
      <t xml:space="preserve">13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</si>
  <si>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在帳融資租賃的資產已在過去的資本支出（公司口徑）內，其本金在預測期照付（</t>
    </r>
    <r>
      <rPr>
        <sz val="11"/>
        <color theme="1"/>
        <rFont val="Calibri"/>
        <family val="2"/>
        <charset val="1"/>
      </rPr>
      <t xml:space="preserve">CF </t>
    </r>
    <r>
      <rPr>
        <sz val="11"/>
        <color theme="1"/>
        <rFont val="Noto Sans CJK SC"/>
        <family val="2"/>
      </rPr>
      <t xml:space="preserve">頁）</t>
    </r>
  </si>
  <si>
    <t xml:space="preserve">fl_rate</t>
  </si>
  <si>
    <t xml:space="preserve">融資租賃加權利率</t>
  </si>
  <si>
    <t xml:space="preserve">%</t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</si>
  <si>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lease.wtdRate.fin</t>
    </r>
  </si>
  <si>
    <r>
      <rPr>
        <sz val="11"/>
        <color theme="1"/>
        <rFont val="Calibri"/>
        <family val="2"/>
        <charset val="1"/>
      </rPr>
      <t xml:space="preserve">10-Q 2026-09-30 </t>
    </r>
    <r>
      <rPr>
        <sz val="11"/>
        <color theme="1"/>
        <rFont val="Noto Sans CJK SC"/>
        <family val="2"/>
      </rPr>
      <t xml:space="preserve">同為 </t>
    </r>
    <r>
      <rPr>
        <sz val="11"/>
        <color theme="1"/>
        <rFont val="Calibri"/>
        <family val="2"/>
        <charset val="1"/>
      </rPr>
      <t xml:space="preserve">4.5%</t>
    </r>
  </si>
  <si>
    <t xml:space="preserve">fl_pay_27</t>
  </si>
  <si>
    <r>
      <rPr>
        <sz val="11"/>
        <color theme="1"/>
        <rFont val="Noto Sans CJK SC"/>
        <family val="2"/>
      </rPr>
      <t xml:space="preserve">在帳融資租賃付款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（未折現，含息）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</si>
  <si>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lease.maturity.fin.fy2027</t>
    </r>
  </si>
  <si>
    <r>
      <rPr>
        <sz val="11"/>
        <color theme="1"/>
        <rFont val="Calibri"/>
        <family val="2"/>
        <charset val="1"/>
      </rPr>
      <t xml:space="preserve">2026-06-30 </t>
    </r>
    <r>
      <rPr>
        <sz val="11"/>
        <color theme="1"/>
        <rFont val="Noto Sans CJK SC"/>
        <family val="2"/>
      </rPr>
      <t xml:space="preserve">在帳租賃的付款表（收支關卡用；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新起租者已在資本支出內）</t>
    </r>
  </si>
  <si>
    <t xml:space="preserve">fl_pay_28</t>
  </si>
  <si>
    <r>
      <rPr>
        <sz val="11"/>
        <color theme="1"/>
        <rFont val="Noto Sans CJK SC"/>
        <family val="2"/>
      </rPr>
      <t xml:space="preserve">在帳融資租賃付款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（未折現，含息）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</si>
  <si>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lease.maturity.fin.fy2028</t>
    </r>
  </si>
  <si>
    <t xml:space="preserve">fl_pay_29</t>
  </si>
  <si>
    <r>
      <rPr>
        <sz val="11"/>
        <color theme="1"/>
        <rFont val="Noto Sans CJK SC"/>
        <family val="2"/>
      </rPr>
      <t xml:space="preserve">在帳融資租賃付款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（未折現，含息）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</si>
  <si>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lease.maturity.fin.fy2029</t>
    </r>
  </si>
  <si>
    <t xml:space="preserve">fl_pay_30</t>
  </si>
  <si>
    <r>
      <rPr>
        <sz val="11"/>
        <color theme="1"/>
        <rFont val="Noto Sans CJK SC"/>
        <family val="2"/>
      </rPr>
      <t xml:space="preserve">在帳融資租賃付款 </t>
    </r>
    <r>
      <rPr>
        <sz val="11"/>
        <color theme="1"/>
        <rFont val="Calibri"/>
        <family val="2"/>
        <charset val="1"/>
      </rPr>
      <t xml:space="preserve">FY2030</t>
    </r>
    <r>
      <rPr>
        <sz val="11"/>
        <color theme="1"/>
        <rFont val="Noto Sans CJK SC"/>
        <family val="2"/>
      </rPr>
      <t xml:space="preserve">（未折現，含息）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</si>
  <si>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lease.maturity.fin.fy2030</t>
    </r>
  </si>
  <si>
    <t xml:space="preserve">fl_pay_31</t>
  </si>
  <si>
    <r>
      <rPr>
        <sz val="11"/>
        <color theme="1"/>
        <rFont val="Noto Sans CJK SC"/>
        <family val="2"/>
      </rPr>
      <t xml:space="preserve">在帳融資租賃付款 </t>
    </r>
    <r>
      <rPr>
        <sz val="11"/>
        <color theme="1"/>
        <rFont val="Calibri"/>
        <family val="2"/>
        <charset val="1"/>
      </rPr>
      <t xml:space="preserve">FY2031</t>
    </r>
    <r>
      <rPr>
        <sz val="11"/>
        <color theme="1"/>
        <rFont val="Noto Sans CJK SC"/>
        <family val="2"/>
      </rPr>
      <t xml:space="preserve">（未折現，含息）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</si>
  <si>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lease.maturity.fin.fy2031</t>
    </r>
  </si>
  <si>
    <t xml:space="preserve">fl_pay_32</t>
  </si>
  <si>
    <r>
      <rPr>
        <sz val="11"/>
        <color theme="1"/>
        <rFont val="Noto Sans CJK SC"/>
        <family val="2"/>
      </rPr>
      <t xml:space="preserve">在帳融資租賃付款 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（未折現，含息）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</si>
  <si>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比照 </t>
    </r>
    <r>
      <rPr>
        <sz val="11"/>
        <color theme="1"/>
        <rFont val="Calibri"/>
        <family val="2"/>
        <charset val="1"/>
      </rPr>
      <t xml:space="preserve">FY2031</t>
    </r>
    <r>
      <rPr>
        <sz val="11"/>
        <color theme="1"/>
        <rFont val="Noto Sans CJK SC"/>
        <family val="2"/>
      </rPr>
      <t xml:space="preserve">（之後合計 </t>
    </r>
    <r>
      <rPr>
        <sz val="11"/>
        <color theme="1"/>
        <rFont val="Calibri"/>
        <family val="2"/>
        <charset val="1"/>
      </rPr>
      <t xml:space="preserve">55.490 </t>
    </r>
    <r>
      <rPr>
        <sz val="11"/>
        <color theme="1"/>
        <rFont val="Noto Sans CJK SC"/>
        <family val="2"/>
      </rPr>
      <t xml:space="preserve">分多年）</t>
    </r>
  </si>
  <si>
    <t xml:space="preserve">min_cash</t>
  </si>
  <si>
    <t xml:space="preserve">最低現金</t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</si>
  <si>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microsoft/legacy_v0.2/company.json</t>
    </r>
    <r>
      <rPr>
        <sz val="11"/>
        <color theme="1"/>
        <rFont val="Noto Sans CJK SC"/>
        <family val="2"/>
      </rPr>
      <t xml:space="preserve">；交接檔 </t>
    </r>
    <r>
      <rPr>
        <sz val="11"/>
        <color theme="1"/>
        <rFont val="Calibri"/>
        <family val="2"/>
        <charset val="1"/>
      </rPr>
      <t xml:space="preserve">docs/handoff/20261025_Microsoft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交接檔</t>
    </r>
    <r>
      <rPr>
        <sz val="11"/>
        <color theme="1"/>
        <rFont val="Calibri"/>
        <family val="2"/>
        <charset val="1"/>
      </rPr>
      <t xml:space="preserve">_v0_2_2.md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defaults.minCash 50</t>
    </r>
    <r>
      <rPr>
        <sz val="11"/>
        <color theme="1"/>
        <rFont val="Noto Sans CJK SC"/>
        <family val="2"/>
      </rPr>
      <t xml:space="preserve">）</t>
    </r>
  </si>
  <si>
    <t xml:space="preserve">低於此水準先停回購、再舉債</t>
  </si>
  <si>
    <t xml:space="preserve">bb_target</t>
  </si>
  <si>
    <t xml:space="preserve">回購目標（每年）</t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</si>
  <si>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cf.buyback.fy2026</t>
    </r>
    <r>
      <rPr>
        <sz val="11"/>
        <color theme="1"/>
        <rFont val="Noto Sans CJK SC"/>
        <family val="2"/>
      </rPr>
      <t xml:space="preserve">（含員工扣稅買回 </t>
    </r>
    <r>
      <rPr>
        <sz val="11"/>
        <color theme="1"/>
        <rFont val="Calibri"/>
        <family val="2"/>
        <charset val="1"/>
      </rPr>
      <t xml:space="preserve">5.6</t>
    </r>
    <r>
      <rPr>
        <sz val="11"/>
        <color theme="1"/>
        <rFont val="Noto Sans CJK SC"/>
        <family val="2"/>
      </rPr>
      <t xml:space="preserve">）</t>
    </r>
  </si>
  <si>
    <t xml:space="preserve">現金不足時先減回購</t>
  </si>
  <si>
    <t xml:space="preserve">bb_g</t>
  </si>
  <si>
    <t xml:space="preserve">回購價格年增（以現價起算）</t>
  </si>
  <si>
    <t xml:space="preserve">無：約等於股東權益成本扣股利率</t>
  </si>
  <si>
    <t xml:space="preserve">只影響股數</t>
  </si>
  <si>
    <t xml:space="preserve">sh_iss</t>
  </si>
  <si>
    <t xml:space="preserve">員工股票發行（每年）</t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</si>
  <si>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回購約 </t>
    </r>
    <r>
      <rPr>
        <sz val="11"/>
        <color theme="1"/>
        <rFont val="Calibri"/>
        <family val="2"/>
        <charset val="1"/>
      </rPr>
      <t xml:space="preserve">0.048 </t>
    </r>
    <r>
      <rPr>
        <sz val="11"/>
        <color theme="1"/>
        <rFont val="Noto Sans CJK SC"/>
        <family val="2"/>
      </rPr>
      <t xml:space="preserve">十億股（計畫 </t>
    </r>
    <r>
      <rPr>
        <sz val="11"/>
        <color theme="1"/>
        <rFont val="Calibri"/>
        <family val="2"/>
        <charset val="1"/>
      </rPr>
      <t xml:space="preserve">0.036</t>
    </r>
    <r>
      <rPr>
        <sz val="11"/>
        <color theme="1"/>
        <rFont val="Noto Sans CJK SC"/>
        <family val="2"/>
      </rPr>
      <t xml:space="preserve">＋扣稅買回 </t>
    </r>
    <r>
      <rPr>
        <sz val="11"/>
        <color theme="1"/>
        <rFont val="Calibri"/>
        <family val="2"/>
        <charset val="1"/>
      </rPr>
      <t xml:space="preserve">5.6 ÷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470 </t>
    </r>
    <r>
      <rPr>
        <sz val="11"/>
        <color theme="1"/>
        <rFont val="Noto Sans CJK SC"/>
        <family val="2"/>
      </rPr>
      <t xml:space="preserve">美元），基本加權股數 </t>
    </r>
    <r>
      <rPr>
        <sz val="11"/>
        <color theme="1"/>
        <rFont val="Calibri"/>
        <family val="2"/>
        <charset val="1"/>
      </rPr>
      <t xml:space="preserve">7.433 → 7.429 </t>
    </r>
    <r>
      <rPr>
        <sz val="11"/>
        <color theme="1"/>
        <rFont val="Noto Sans CJK SC"/>
        <family val="2"/>
      </rPr>
      <t xml:space="preserve">幾乎不變 → 發行約 </t>
    </r>
    <r>
      <rPr>
        <sz val="11"/>
        <color theme="1"/>
        <rFont val="Calibri"/>
        <family val="2"/>
        <charset val="1"/>
      </rPr>
      <t xml:space="preserve">0.045</t>
    </r>
  </si>
  <si>
    <r>
      <rPr>
        <sz val="11"/>
        <color theme="1"/>
        <rFont val="Noto Sans CJK SC"/>
        <family val="2"/>
      </rPr>
      <t xml:space="preserve">低／高 </t>
    </r>
    <r>
      <rPr>
        <sz val="11"/>
        <color theme="1"/>
        <rFont val="Calibri"/>
        <family val="2"/>
        <charset val="1"/>
      </rPr>
      <t xml:space="preserve">Assumed</t>
    </r>
  </si>
  <si>
    <t xml:space="preserve">dps_q0</t>
  </si>
  <si>
    <r>
      <rPr>
        <sz val="11"/>
        <color theme="1"/>
        <rFont val="Noto Sans CJK SC"/>
        <family val="2"/>
      </rPr>
      <t xml:space="preserve">每季股利（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第一季付，舊額）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</si>
  <si>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sh.dps.fy2026</t>
    </r>
    <r>
      <rPr>
        <sz val="11"/>
        <color theme="1"/>
        <rFont val="Noto Sans CJK SC"/>
        <family val="2"/>
      </rPr>
      <t xml:space="preserve">（每季 </t>
    </r>
    <r>
      <rPr>
        <sz val="11"/>
        <color theme="1"/>
        <rFont val="Calibri"/>
        <family val="2"/>
        <charset val="1"/>
      </rPr>
      <t xml:space="preserve">0.91</t>
    </r>
    <r>
      <rPr>
        <sz val="11"/>
        <color theme="1"/>
        <rFont val="Noto Sans CJK SC"/>
        <family val="2"/>
      </rPr>
      <t xml:space="preserve">）</t>
    </r>
  </si>
  <si>
    <t xml:space="preserve">dps_q1</t>
  </si>
  <si>
    <r>
      <rPr>
        <sz val="11"/>
        <color theme="1"/>
        <rFont val="Noto Sans CJK SC"/>
        <family val="2"/>
      </rPr>
      <t xml:space="preserve">每季股利（</t>
    </r>
    <r>
      <rPr>
        <sz val="11"/>
        <color theme="1"/>
        <rFont val="Calibri"/>
        <family val="2"/>
        <charset val="1"/>
      </rPr>
      <t xml:space="preserve">2026-09-15 </t>
    </r>
    <r>
      <rPr>
        <sz val="11"/>
        <color theme="1"/>
        <rFont val="Noto Sans CJK SC"/>
        <family val="2"/>
      </rPr>
      <t xml:space="preserve">宣告，新額）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</si>
  <si>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sh.dpsQ.fy27q1</t>
    </r>
  </si>
  <si>
    <t xml:space="preserve">dps_27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</si>
  <si>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每股股利（付現）</t>
    </r>
  </si>
  <si>
    <r>
      <rPr>
        <sz val="11"/>
        <color theme="1"/>
        <rFont val="Noto Sans CJK SC"/>
        <family val="2"/>
      </rPr>
      <t xml:space="preserve">第一季付舊額（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現金流量表付現 </t>
    </r>
    <r>
      <rPr>
        <sz val="11"/>
        <color theme="1"/>
        <rFont val="Calibri"/>
        <family val="2"/>
        <charset val="1"/>
      </rPr>
      <t xml:space="preserve">6.757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0.91 × 7.427</t>
    </r>
    <r>
      <rPr>
        <sz val="11"/>
        <color theme="1"/>
        <rFont val="Noto Sans CJK SC"/>
        <family val="2"/>
      </rPr>
      <t xml:space="preserve">）、其後三季付新額</t>
    </r>
  </si>
  <si>
    <t xml:space="preserve">div_rem27</t>
  </si>
  <si>
    <r>
      <rPr>
        <sz val="11"/>
        <color theme="1"/>
        <rFont val="Noto Sans CJK SC"/>
        <family val="2"/>
      </rPr>
      <t xml:space="preserve">評價日後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尚待支付的每股股利</t>
    </r>
  </si>
  <si>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：評價日 </t>
    </r>
    <r>
      <rPr>
        <sz val="11"/>
        <color theme="1"/>
        <rFont val="Calibri"/>
        <family val="2"/>
        <charset val="1"/>
      </rPr>
      <t xml:space="preserve">2026-09-30 </t>
    </r>
    <r>
      <rPr>
        <sz val="11"/>
        <color theme="1"/>
        <rFont val="Noto Sans CJK SC"/>
        <family val="2"/>
      </rPr>
      <t xml:space="preserve">後的 </t>
    </r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第二至第四季（新額 </t>
    </r>
    <r>
      <rPr>
        <sz val="11"/>
        <color theme="1"/>
        <rFont val="Calibri"/>
        <family val="2"/>
        <charset val="1"/>
      </rPr>
      <t xml:space="preserve">× 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</si>
  <si>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推到目標價時點時扣除</t>
    </r>
  </si>
  <si>
    <t xml:space="preserve">dps_g</t>
  </si>
  <si>
    <r>
      <rPr>
        <sz val="11"/>
        <color theme="1"/>
        <rFont val="Noto Sans CJK SC"/>
        <family val="2"/>
      </rPr>
      <t xml:space="preserve">每股股利年增（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</si>
  <si>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microsoft/legacy_v0.2/company.json</t>
    </r>
    <r>
      <rPr>
        <sz val="11"/>
        <color theme="1"/>
        <rFont val="Noto Sans CJK SC"/>
        <family val="2"/>
      </rPr>
      <t xml:space="preserve">；交接檔 </t>
    </r>
    <r>
      <rPr>
        <sz val="11"/>
        <color theme="1"/>
        <rFont val="Calibri"/>
        <family val="2"/>
        <charset val="1"/>
      </rPr>
      <t xml:space="preserve">docs/handoff/20261025_Microsoft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交接檔</t>
    </r>
    <r>
      <rPr>
        <sz val="11"/>
        <color theme="1"/>
        <rFont val="Calibri"/>
        <family val="2"/>
        <charset val="1"/>
      </rPr>
      <t xml:space="preserve">_v0_2_2.md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defaults.dividend.growth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2026-09 </t>
    </r>
    <r>
      <rPr>
        <sz val="11"/>
        <color theme="1"/>
        <rFont val="Noto Sans CJK SC"/>
        <family val="2"/>
      </rPr>
      <t xml:space="preserve">宣告 </t>
    </r>
    <r>
      <rPr>
        <sz val="11"/>
        <color theme="1"/>
        <rFont val="Calibri"/>
        <family val="2"/>
        <charset val="1"/>
      </rPr>
      <t xml:space="preserve">+8%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</si>
  <si>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折現率與評價參數（</t>
    </r>
    <r>
      <rPr>
        <b val="true"/>
        <sz val="11"/>
        <rFont val="Cambria"/>
        <family val="0"/>
        <charset val="1"/>
      </rPr>
      <t xml:space="preserve">WACC </t>
    </r>
    <r>
      <rPr>
        <b val="true"/>
        <sz val="11"/>
        <rFont val="Noto Sans CJK SC"/>
        <family val="2"/>
      </rPr>
      <t xml:space="preserve">沿用 </t>
    </r>
    <r>
      <rPr>
        <b val="true"/>
        <sz val="11"/>
        <rFont val="Cambria"/>
        <family val="0"/>
        <charset val="1"/>
      </rPr>
      <t xml:space="preserve">v0.2.2 </t>
    </r>
    <r>
      <rPr>
        <b val="true"/>
        <sz val="11"/>
        <rFont val="Noto Sans CJK SC"/>
        <family val="2"/>
      </rPr>
      <t xml:space="preserve">的 </t>
    </r>
    <r>
      <rPr>
        <b val="true"/>
        <sz val="11"/>
        <rFont val="Cambria"/>
        <family val="0"/>
        <charset val="1"/>
      </rPr>
      <t xml:space="preserve">CAPM </t>
    </r>
    <r>
      <rPr>
        <b val="true"/>
        <sz val="11"/>
        <rFont val="Noto Sans CJK SC"/>
        <family val="2"/>
      </rPr>
      <t xml:space="preserve">輸入；權重為 </t>
    </r>
    <r>
      <rPr>
        <b val="true"/>
        <sz val="11"/>
        <rFont val="Cambria"/>
        <family val="0"/>
        <charset val="1"/>
      </rPr>
      <t xml:space="preserve">[</t>
    </r>
    <r>
      <rPr>
        <b val="true"/>
        <sz val="11"/>
        <rFont val="Noto Sans CJK SC"/>
        <family val="2"/>
      </rPr>
      <t xml:space="preserve">判斷</t>
    </r>
    <r>
      <rPr>
        <b val="true"/>
        <sz val="11"/>
        <rFont val="Cambria"/>
        <family val="0"/>
        <charset val="1"/>
      </rPr>
      <t xml:space="preserve">] </t>
    </r>
    <r>
      <rPr>
        <b val="true"/>
        <sz val="11"/>
        <rFont val="Noto Sans CJK SC"/>
        <family val="2"/>
      </rPr>
      <t xml:space="preserve">預設，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</si>
  <si>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rf</t>
  </si>
  <si>
    <r>
      <rPr>
        <sz val="11"/>
        <color theme="1"/>
        <rFont val="Noto Sans CJK SC"/>
        <family val="2"/>
      </rPr>
      <t xml:space="preserve">無風險利率（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年美債，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</si>
  <si>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U.S. Treasury 10 </t>
    </r>
    <r>
      <rPr>
        <sz val="11"/>
        <color theme="1"/>
        <rFont val="Noto Sans CJK SC"/>
        <family val="2"/>
      </rPr>
      <t xml:space="preserve">年期殖利率 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5.00%</t>
    </r>
    <r>
      <rPr>
        <sz val="11"/>
        <color theme="1"/>
        <rFont val="Noto Sans CJK SC"/>
        <family val="2"/>
      </rPr>
      <t xml:space="preserve">（修正一：</t>
    </r>
    <r>
      <rPr>
        <sz val="11"/>
        <color theme="1"/>
        <rFont val="Calibri"/>
        <family val="2"/>
        <charset val="1"/>
      </rPr>
      <t xml:space="preserve">chat </t>
    </r>
    <r>
      <rPr>
        <sz val="11"/>
        <color theme="1"/>
        <rFont val="Noto Sans CJK SC"/>
        <family val="2"/>
      </rPr>
      <t xml:space="preserve">端統一 </t>
    </r>
    <r>
      <rPr>
        <sz val="11"/>
        <color theme="1"/>
        <rFont val="Calibri"/>
        <family val="2"/>
        <charset val="1"/>
      </rPr>
      <t xml:space="preserve">MAG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個股模型的同一輸入，與 </t>
    </r>
    <r>
      <rPr>
        <sz val="11"/>
        <color theme="1"/>
        <rFont val="Calibri"/>
        <family val="2"/>
        <charset val="1"/>
      </rPr>
      <t xml:space="preserve">Amazon v0.3 </t>
    </r>
    <r>
      <rPr>
        <sz val="11"/>
        <color theme="1"/>
        <rFont val="Noto Sans CJK SC"/>
        <family val="2"/>
      </rPr>
      <t xml:space="preserve">相同）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</si>
  <si>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val.ust10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2026-10-07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5.28%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初版）</t>
    </r>
  </si>
  <si>
    <t xml:space="preserve">beta_sa</t>
  </si>
  <si>
    <r>
      <rPr>
        <sz val="11"/>
        <color theme="1"/>
        <rFont val="Noto Sans CJK SC"/>
        <family val="2"/>
      </rPr>
      <t xml:space="preserve">原始 </t>
    </r>
    <r>
      <rPr>
        <sz val="11"/>
        <color theme="1"/>
        <rFont val="Calibri"/>
        <family val="2"/>
        <charset val="1"/>
      </rPr>
      <t xml:space="preserve">β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年月資料；</t>
    </r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同值，推測同源，算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個）</t>
    </r>
  </si>
  <si>
    <t xml:space="preserve">x</t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</si>
  <si>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val.beta.sa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</si>
  <si>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C13</t>
    </r>
    <r>
      <rPr>
        <sz val="11"/>
        <color theme="1"/>
        <rFont val="Noto Sans CJK SC"/>
        <family val="2"/>
      </rPr>
      <t xml:space="preserve">：獨立來源</t>
    </r>
  </si>
  <si>
    <t xml:space="preserve">beta_gf</t>
  </si>
  <si>
    <r>
      <rPr>
        <sz val="11"/>
        <color theme="1"/>
        <rFont val="Noto Sans CJK SC"/>
        <family val="2"/>
      </rPr>
      <t xml:space="preserve">原始 </t>
    </r>
    <r>
      <rPr>
        <sz val="11"/>
        <color theme="1"/>
        <rFont val="Calibri"/>
        <family val="2"/>
        <charset val="1"/>
      </rPr>
      <t xml:space="preserve">β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GuruFocus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年）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</si>
  <si>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val.beta.gurufocus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）</t>
    </r>
  </si>
  <si>
    <t xml:space="preserve">blume_w</t>
  </si>
  <si>
    <r>
      <rPr>
        <sz val="11"/>
        <color theme="1"/>
        <rFont val="Calibri"/>
        <family val="2"/>
        <charset val="1"/>
      </rPr>
      <t xml:space="preserve">Blume </t>
    </r>
    <r>
      <rPr>
        <sz val="11"/>
        <color theme="1"/>
        <rFont val="Noto Sans CJK SC"/>
        <family val="2"/>
      </rPr>
      <t xml:space="preserve">調整：原始 </t>
    </r>
    <r>
      <rPr>
        <sz val="11"/>
        <color theme="1"/>
        <rFont val="Calibri"/>
        <family val="2"/>
        <charset val="1"/>
      </rPr>
      <t xml:space="preserve">β </t>
    </r>
    <r>
      <rPr>
        <sz val="11"/>
        <color theme="1"/>
        <rFont val="Noto Sans CJK SC"/>
        <family val="2"/>
      </rPr>
      <t xml:space="preserve">權重（其餘向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收斂）</t>
    </r>
  </si>
  <si>
    <r>
      <rPr>
        <sz val="11"/>
        <color theme="1"/>
        <rFont val="Noto Sans CJK SC"/>
        <family val="2"/>
      </rPr>
      <t xml:space="preserve">共同修正工作單 </t>
    </r>
    <r>
      <rPr>
        <sz val="11"/>
        <color theme="1"/>
        <rFont val="Calibri"/>
        <family val="2"/>
        <charset val="1"/>
      </rPr>
      <t xml:space="preserve">F4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2026-10-27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0.67 × </t>
    </r>
    <r>
      <rPr>
        <sz val="11"/>
        <color theme="1"/>
        <rFont val="Noto Sans CJK SC"/>
        <family val="2"/>
      </rPr>
      <t xml:space="preserve">原始 </t>
    </r>
    <r>
      <rPr>
        <sz val="11"/>
        <color theme="1"/>
        <rFont val="Calibri"/>
        <family val="2"/>
        <charset val="1"/>
      </rPr>
      <t xml:space="preserve">β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0.33</t>
    </r>
  </si>
  <si>
    <t xml:space="preserve">beta</t>
  </si>
  <si>
    <r>
      <rPr>
        <sz val="11"/>
        <color theme="1"/>
        <rFont val="Calibri"/>
        <family val="2"/>
        <charset val="1"/>
      </rPr>
      <t xml:space="preserve">β</t>
    </r>
    <r>
      <rPr>
        <sz val="11"/>
        <color theme="1"/>
        <rFont val="Noto Sans CJK SC"/>
        <family val="2"/>
      </rPr>
      <t xml:space="preserve">（兩個獨立來源 </t>
    </r>
    <r>
      <rPr>
        <sz val="11"/>
        <color theme="1"/>
        <rFont val="Calibri"/>
        <family val="2"/>
        <charset val="1"/>
      </rPr>
      <t xml:space="preserve">Blume </t>
    </r>
    <r>
      <rPr>
        <sz val="11"/>
        <color theme="1"/>
        <rFont val="Noto Sans CJK SC"/>
        <family val="2"/>
      </rPr>
      <t xml:space="preserve">調整後的中位數）</t>
    </r>
  </si>
  <si>
    <r>
      <rPr>
        <sz val="11"/>
        <color theme="1"/>
        <rFont val="Calibri"/>
        <family val="2"/>
        <charset val="1"/>
      </rPr>
      <t xml:space="preserve">Blume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1.10 → 1.067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1.1741 → 1.117</t>
    </r>
    <r>
      <rPr>
        <sz val="11"/>
        <color theme="1"/>
        <rFont val="Noto Sans CJK SC"/>
        <family val="2"/>
      </rPr>
      <t xml:space="preserve">；中位數 </t>
    </r>
    <r>
      <rPr>
        <sz val="11"/>
        <color theme="1"/>
        <rFont val="Calibri"/>
        <family val="2"/>
        <charset val="1"/>
      </rPr>
      <t xml:space="preserve">1.092</t>
    </r>
    <r>
      <rPr>
        <sz val="11"/>
        <color theme="1"/>
        <rFont val="Noto Sans CJK SC"/>
        <family val="2"/>
      </rPr>
      <t xml:space="preserve">（修正一；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初版用原始平均 </t>
    </r>
    <r>
      <rPr>
        <sz val="11"/>
        <color theme="1"/>
        <rFont val="Calibri"/>
        <family val="2"/>
        <charset val="1"/>
      </rPr>
      <t xml:space="preserve">1.137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</si>
  <si>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0.95</t>
    </r>
    <r>
      <rPr>
        <sz val="11"/>
        <color theme="1"/>
        <rFont val="Noto Sans CJK SC"/>
        <family val="2"/>
      </rPr>
      <t xml:space="preserve">＝獨立核對建議區間下緣；高＝原始 </t>
    </r>
    <r>
      <rPr>
        <sz val="11"/>
        <color theme="1"/>
        <rFont val="Calibri"/>
        <family val="2"/>
        <charset val="1"/>
      </rPr>
      <t xml:space="preserve">GuruFocus</t>
    </r>
  </si>
  <si>
    <t xml:space="preserve">erp</t>
  </si>
  <si>
    <t xml:space="preserve">股權風險溢酬</t>
  </si>
  <si>
    <r>
      <rPr>
        <sz val="11"/>
        <color theme="1"/>
        <rFont val="Calibri"/>
        <family val="2"/>
        <charset val="1"/>
      </rPr>
      <t xml:space="preserve">MAG </t>
    </r>
    <r>
      <rPr>
        <sz val="11"/>
        <color theme="1"/>
        <rFont val="Noto Sans CJK SC"/>
        <family val="2"/>
      </rPr>
      <t xml:space="preserve">對照表 </t>
    </r>
    <r>
      <rPr>
        <sz val="11"/>
        <color theme="1"/>
        <rFont val="Calibri"/>
        <family val="2"/>
        <charset val="1"/>
      </rPr>
      <t xml:space="preserve">r1 5.10</t>
    </r>
    <r>
      <rPr>
        <sz val="11"/>
        <color theme="1"/>
        <rFont val="Noto Sans CJK SC"/>
        <family val="2"/>
      </rPr>
      <t xml:space="preserve">（判斷，列敏感度）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</si>
  <si>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microsoft/legacy_v0.2/company.json</t>
    </r>
    <r>
      <rPr>
        <sz val="11"/>
        <color theme="1"/>
        <rFont val="Noto Sans CJK SC"/>
        <family val="2"/>
      </rPr>
      <t xml:space="preserve">；交接檔 </t>
    </r>
    <r>
      <rPr>
        <sz val="11"/>
        <color theme="1"/>
        <rFont val="Calibri"/>
        <family val="2"/>
        <charset val="1"/>
      </rPr>
      <t xml:space="preserve">docs/handoff/20261025_Microsoft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交接檔</t>
    </r>
    <r>
      <rPr>
        <sz val="11"/>
        <color theme="1"/>
        <rFont val="Calibri"/>
        <family val="2"/>
        <charset val="1"/>
      </rPr>
      <t xml:space="preserve">_v0_2_2.md</t>
    </r>
    <r>
      <rPr>
        <sz val="11"/>
        <color theme="1"/>
        <rFont val="Noto Sans CJK SC"/>
        <family val="2"/>
      </rPr>
      <t xml:space="preserve">）</t>
    </r>
  </si>
  <si>
    <t xml:space="preserve">kd_aaa</t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</si>
  <si>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Moody's Aaa </t>
    </r>
    <r>
      <rPr>
        <sz val="11"/>
        <color theme="1"/>
        <rFont val="Noto Sans CJK SC"/>
        <family val="2"/>
      </rPr>
      <t xml:space="preserve">公司債殖利率（長天期）</t>
    </r>
  </si>
  <si>
    <t xml:space="preserve">Analogy</t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</si>
  <si>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val.kd.aaa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FRED DAAA 2026-10-06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</si>
  <si>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初版 </t>
    </r>
    <r>
      <rPr>
        <sz val="11"/>
        <color theme="1"/>
        <rFont val="Calibri"/>
        <family val="2"/>
        <charset val="1"/>
      </rPr>
      <t xml:space="preserve">kd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Aaa </t>
    </r>
    <r>
      <rPr>
        <sz val="11"/>
        <color theme="1"/>
        <rFont val="Noto Sans CJK SC"/>
        <family val="2"/>
      </rPr>
      <t xml:space="preserve">指數為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年以上長債，修正一改用約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年期</t>
    </r>
  </si>
  <si>
    <t xml:space="preserve">kd_spread</t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</si>
  <si>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年期 </t>
    </r>
    <r>
      <rPr>
        <sz val="11"/>
        <color theme="1"/>
        <rFont val="Calibri"/>
        <family val="2"/>
        <charset val="1"/>
      </rPr>
      <t xml:space="preserve">AAA </t>
    </r>
    <r>
      <rPr>
        <sz val="11"/>
        <color theme="1"/>
        <rFont val="Noto Sans CJK SC"/>
        <family val="2"/>
      </rPr>
      <t xml:space="preserve">公司債對美債利差</t>
    </r>
  </si>
  <si>
    <t xml:space="preserve">pt</t>
  </si>
  <si>
    <r>
      <rPr>
        <sz val="11"/>
        <color theme="1"/>
        <rFont val="Noto Sans CJK SC"/>
        <family val="2"/>
      </rPr>
      <t xml:space="preserve">無：</t>
    </r>
    <r>
      <rPr>
        <sz val="11"/>
        <color theme="1"/>
        <rFont val="Calibri"/>
        <family val="2"/>
        <charset val="1"/>
      </rPr>
      <t xml:space="preserve">MSFT </t>
    </r>
    <r>
      <rPr>
        <sz val="11"/>
        <color theme="1"/>
        <rFont val="Noto Sans CJK SC"/>
        <family val="2"/>
      </rPr>
      <t xml:space="preserve">個別債券殖利率找不到；</t>
    </r>
    <r>
      <rPr>
        <sz val="11"/>
        <color theme="1"/>
        <rFont val="Calibri"/>
        <family val="2"/>
        <charset val="1"/>
      </rPr>
      <t xml:space="preserve">AAA 10 </t>
    </r>
    <r>
      <rPr>
        <sz val="11"/>
        <color theme="1"/>
        <rFont val="Noto Sans CJK SC"/>
        <family val="2"/>
      </rPr>
      <t xml:space="preserve">年期利差歷史約 </t>
    </r>
    <r>
      <rPr>
        <sz val="11"/>
        <color theme="1"/>
        <rFont val="Calibri"/>
        <family val="2"/>
        <charset val="1"/>
      </rPr>
      <t xml:space="preserve">0.3–0.9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</si>
  <si>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kd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rf</t>
    </r>
    <r>
      <rPr>
        <sz val="11"/>
        <color theme="1"/>
        <rFont val="Noto Sans CJK SC"/>
        <family val="2"/>
      </rPr>
      <t xml:space="preserve">＋利差（修正一 </t>
    </r>
    <r>
      <rPr>
        <sz val="11"/>
        <color theme="1"/>
        <rFont val="Calibri"/>
        <family val="2"/>
        <charset val="1"/>
      </rPr>
      <t xml:space="preserve">F4</t>
    </r>
    <r>
      <rPr>
        <sz val="11"/>
        <color theme="1"/>
        <rFont val="Noto Sans CJK SC"/>
        <family val="2"/>
      </rPr>
      <t xml:space="preserve">）</t>
    </r>
  </si>
  <si>
    <t xml:space="preserve">kd</t>
  </si>
  <si>
    <r>
      <rPr>
        <sz val="11"/>
        <color theme="1"/>
        <rFont val="Noto Sans CJK SC"/>
        <family val="2"/>
      </rPr>
      <t xml:space="preserve">稅前債務成本（約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年期公司債）</t>
    </r>
  </si>
  <si>
    <r>
      <rPr>
        <sz val="11"/>
        <color theme="1"/>
        <rFont val="Calibri"/>
        <family val="2"/>
        <charset val="1"/>
      </rPr>
      <t xml:space="preserve">rf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年美債）＋利差</t>
    </r>
  </si>
  <si>
    <t xml:space="preserve">tax_w</t>
  </si>
  <si>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Noto Sans CJK SC"/>
        <family val="2"/>
      </rPr>
      <t xml:space="preserve">用稅率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</si>
  <si>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guid.fy27.etr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指引約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）</t>
    </r>
  </si>
  <si>
    <t xml:space="preserve">ke</t>
  </si>
  <si>
    <r>
      <rPr>
        <sz val="11"/>
        <color theme="1"/>
        <rFont val="Noto Sans CJK SC"/>
        <family val="2"/>
      </rPr>
      <t xml:space="preserve">股東權益成本（</t>
    </r>
    <r>
      <rPr>
        <sz val="11"/>
        <color theme="1"/>
        <rFont val="Calibri"/>
        <family val="2"/>
        <charset val="1"/>
      </rPr>
      <t xml:space="preserve">CAPM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</si>
  <si>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rf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β × ERP</t>
    </r>
  </si>
  <si>
    <t xml:space="preserve">wacc</t>
  </si>
  <si>
    <t xml:space="preserve">WACC</t>
  </si>
  <si>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(D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E) × ke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(D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E) × kd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稅率）；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＝現價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評價日流通股數、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＝評價日債務面額＋在帳融資租賃負債（修正一 </t>
    </r>
    <r>
      <rPr>
        <sz val="11"/>
        <color theme="1"/>
        <rFont val="Calibri"/>
        <family val="2"/>
        <charset val="1"/>
      </rPr>
      <t xml:space="preserve">F4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v0.3.1 </t>
    </r>
    <r>
      <rPr>
        <sz val="11"/>
        <color theme="1"/>
        <rFont val="Noto Sans CJK SC"/>
        <family val="2"/>
      </rPr>
      <t xml:space="preserve">改用 </t>
    </r>
    <r>
      <rPr>
        <sz val="11"/>
        <color theme="1"/>
        <rFont val="Calibri"/>
        <family val="2"/>
        <charset val="1"/>
      </rPr>
      <t xml:space="preserve">2026-09-30 </t>
    </r>
    <r>
      <rPr>
        <sz val="11"/>
        <color theme="1"/>
        <rFont val="Noto Sans CJK SC"/>
        <family val="2"/>
      </rPr>
      <t xml:space="preserve">值）</t>
    </r>
  </si>
  <si>
    <r>
      <rPr>
        <sz val="11"/>
        <color theme="1"/>
        <rFont val="Calibri"/>
        <family val="2"/>
        <charset val="1"/>
      </rPr>
      <t xml:space="preserve">v0.2.2 10.90%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v0.3 10.29%</t>
    </r>
  </si>
  <si>
    <t xml:space="preserve">g_tv</t>
  </si>
  <si>
    <r>
      <rPr>
        <sz val="11"/>
        <color theme="1"/>
        <rFont val="Noto Sans CJK SC"/>
        <family val="2"/>
      </rPr>
      <t xml:space="preserve">永續成長率（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後）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</si>
  <si>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20261027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節：</t>
    </r>
    <r>
      <rPr>
        <sz val="11"/>
        <color theme="1"/>
        <rFont val="Calibri"/>
        <family val="2"/>
        <charset val="1"/>
      </rPr>
      <t xml:space="preserve">g 3%</t>
    </r>
  </si>
  <si>
    <t xml:space="preserve">Sens ±1pt</t>
  </si>
  <si>
    <t xml:space="preserve">ronic_prem</t>
  </si>
  <si>
    <r>
      <rPr>
        <sz val="11"/>
        <color theme="1"/>
        <rFont val="Noto Sans CJK SC"/>
        <family val="2"/>
      </rPr>
      <t xml:space="preserve">永續期新投資報酬 − </t>
    </r>
    <r>
      <rPr>
        <sz val="11"/>
        <color theme="1"/>
        <rFont val="Calibri"/>
        <family val="2"/>
        <charset val="1"/>
      </rPr>
      <t xml:space="preserve">WACC</t>
    </r>
  </si>
  <si>
    <t xml:space="preserve">無：永續期新投資只賺資金成本（成長不創造價值）</t>
  </si>
  <si>
    <r>
      <rPr>
        <sz val="11"/>
        <color theme="1"/>
        <rFont val="Noto Sans CJK SC"/>
        <family val="2"/>
      </rPr>
      <t xml:space="preserve">永續期自由現金流＝</t>
    </r>
    <r>
      <rPr>
        <sz val="11"/>
        <color theme="1"/>
        <rFont val="Calibri"/>
        <family val="2"/>
        <charset val="1"/>
      </rPr>
      <t xml:space="preserve">NOPAT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 ÷ </t>
    </r>
    <r>
      <rPr>
        <sz val="11"/>
        <color theme="1"/>
        <rFont val="Noto Sans CJK SC"/>
        <family val="2"/>
      </rPr>
      <t xml:space="preserve">新投資報酬）；替代口徑（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自由現金流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））見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判斷預設表</t>
    </r>
  </si>
  <si>
    <t xml:space="preserve">base_fy</t>
  </si>
  <si>
    <t xml:space="preserve">評價日所屬會計年度（最新已申報年度）</t>
  </si>
  <si>
    <t xml:space="preserve">年</t>
  </si>
  <si>
    <r>
      <rPr>
        <sz val="11"/>
        <color theme="1"/>
        <rFont val="Calibri"/>
        <family val="2"/>
        <charset val="1"/>
      </rPr>
      <t xml:space="preserve">FY2026 10-K</t>
    </r>
    <r>
      <rPr>
        <sz val="11"/>
        <color theme="1"/>
        <rFont val="Noto Sans CJK SC"/>
        <family val="2"/>
      </rPr>
      <t xml:space="preserve">（期末 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</si>
  <si>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公式中的年數以「年度列 − </t>
    </r>
    <r>
      <rPr>
        <sz val="11"/>
        <color theme="1"/>
        <rFont val="Calibri"/>
        <family val="2"/>
        <charset val="1"/>
      </rPr>
      <t xml:space="preserve">base_fy</t>
    </r>
    <r>
      <rPr>
        <sz val="11"/>
        <color theme="1"/>
        <rFont val="Noto Sans CJK SC"/>
        <family val="2"/>
      </rPr>
      <t xml:space="preserve">」計算（修正一 </t>
    </r>
    <r>
      <rPr>
        <sz val="11"/>
        <color theme="1"/>
        <rFont val="Calibri"/>
        <family val="2"/>
        <charset val="1"/>
      </rPr>
      <t xml:space="preserve">F6</t>
    </r>
    <r>
      <rPr>
        <sz val="11"/>
        <color theme="1"/>
        <rFont val="Noto Sans CJK SC"/>
        <family val="2"/>
      </rPr>
      <t xml:space="preserve">：不寫死）</t>
    </r>
  </si>
  <si>
    <t xml:space="preserve">mid_yr</t>
  </si>
  <si>
    <t xml:space="preserve">期中折現：年中偏移</t>
  </si>
  <si>
    <t xml:space="preserve">現金流平均發生在年中</t>
  </si>
  <si>
    <t xml:space="preserve">val_d0</t>
  </si>
  <si>
    <r>
      <rPr>
        <sz val="11"/>
        <color theme="1"/>
        <rFont val="Noto Sans CJK SC"/>
        <family val="2"/>
      </rPr>
      <t xml:space="preserve">最新會計年度年底（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）</t>
    </r>
  </si>
  <si>
    <t xml:space="preserve">日期</t>
  </si>
  <si>
    <r>
      <rPr>
        <sz val="11"/>
        <color theme="1"/>
        <rFont val="Calibri"/>
        <family val="2"/>
        <charset val="1"/>
      </rPr>
      <t xml:space="preserve">FY2026 10-K </t>
    </r>
    <r>
      <rPr>
        <sz val="11"/>
        <color theme="1"/>
        <rFont val="Noto Sans CJK SC"/>
        <family val="2"/>
      </rPr>
      <t xml:space="preserve">期末</t>
    </r>
  </si>
  <si>
    <r>
      <rPr>
        <sz val="11"/>
        <color theme="1"/>
        <rFont val="Noto Sans CJK SC"/>
        <family val="2"/>
      </rPr>
      <t xml:space="preserve">折現年數的起點；評價日與此日的差＝</t>
    </r>
    <r>
      <rPr>
        <sz val="11"/>
        <color theme="1"/>
        <rFont val="Calibri"/>
        <family val="2"/>
        <charset val="1"/>
      </rPr>
      <t xml:space="preserve">v_off</t>
    </r>
  </si>
  <si>
    <t xml:space="preserve">roll_d1</t>
  </si>
  <si>
    <r>
      <rPr>
        <sz val="11"/>
        <color theme="1"/>
        <rFont val="Noto Sans CJK SC"/>
        <family val="2"/>
      </rPr>
      <t xml:space="preserve">評價日（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季底 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</si>
  <si>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：最新已申報季（</t>
    </r>
    <r>
      <rPr>
        <sz val="11"/>
        <color theme="1"/>
        <rFont val="Calibri"/>
        <family val="2"/>
        <charset val="1"/>
      </rPr>
      <t xml:space="preserve">FY27Q1 10-Q</t>
    </r>
    <r>
      <rPr>
        <sz val="11"/>
        <color theme="1"/>
        <rFont val="Noto Sans CJK SC"/>
        <family val="2"/>
      </rPr>
      <t xml:space="preserve">，期末 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2026-06-30</t>
    </r>
  </si>
  <si>
    <t xml:space="preserve">roll_d2</t>
  </si>
  <si>
    <r>
      <rPr>
        <sz val="11"/>
        <color theme="1"/>
        <rFont val="Noto Sans CJK SC"/>
        <family val="2"/>
      </rPr>
      <t xml:space="preserve">目標價時點（今日 </t>
    </r>
    <r>
      <rPr>
        <sz val="11"/>
        <color theme="1"/>
        <rFont val="Calibri"/>
        <family val="2"/>
        <charset val="1"/>
      </rPr>
      <t xml:space="preserve">2026-10-29 </t>
    </r>
    <r>
      <rPr>
        <sz val="11"/>
        <color theme="1"/>
        <rFont val="Noto Sans CJK SC"/>
        <family val="2"/>
      </rPr>
      <t xml:space="preserve">後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個月）</t>
    </r>
  </si>
  <si>
    <r>
      <rPr>
        <sz val="11"/>
        <color theme="1"/>
        <rFont val="Noto Sans CJK SC"/>
        <family val="2"/>
      </rPr>
      <t xml:space="preserve">工作單：目標價約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2027-10-27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</si>
  <si>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工作單字面「目標價日 </t>
    </r>
    <r>
      <rPr>
        <sz val="11"/>
        <color theme="1"/>
        <rFont val="Calibri"/>
        <family val="2"/>
        <charset val="1"/>
      </rPr>
      <t xml:space="preserve">+1 </t>
    </r>
    <r>
      <rPr>
        <sz val="11"/>
        <color theme="1"/>
        <rFont val="Noto Sans CJK SC"/>
        <family val="2"/>
      </rPr>
      <t xml:space="preserve">季」（</t>
    </r>
    <r>
      <rPr>
        <sz val="11"/>
        <color theme="1"/>
        <rFont val="Calibri"/>
        <family val="2"/>
        <charset val="1"/>
      </rPr>
      <t xml:space="preserve">2028-01-27</t>
    </r>
    <r>
      <rPr>
        <sz val="11"/>
        <color theme="1"/>
        <rFont val="Noto Sans CJK SC"/>
        <family val="2"/>
      </rPr>
      <t xml:space="preserve">）列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判斷替代與報告「需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決定」</t>
    </r>
  </si>
  <si>
    <t xml:space="preserve">days_yr</t>
  </si>
  <si>
    <t xml:space="preserve">每年天數</t>
  </si>
  <si>
    <t xml:space="preserve">天</t>
  </si>
  <si>
    <t xml:space="preserve">v_off</t>
  </si>
  <si>
    <r>
      <rPr>
        <sz val="11"/>
        <color theme="1"/>
        <rFont val="Noto Sans CJK SC"/>
        <family val="2"/>
      </rPr>
      <t xml:space="preserve">評價日距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年底（年）</t>
    </r>
  </si>
  <si>
    <r>
      <rPr>
        <sz val="11"/>
        <color theme="1"/>
        <rFont val="Calibri"/>
        <family val="2"/>
        <charset val="1"/>
      </rPr>
      <t xml:space="preserve">2026-06-30 → </t>
    </r>
    <r>
      <rPr>
        <sz val="11"/>
        <color theme="1"/>
        <rFont val="Noto Sans CJK SC"/>
        <family val="2"/>
      </rPr>
      <t xml:space="preserve">評價日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</si>
  <si>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只折現評價日後的剩餘期間；之後各年折現年數減 </t>
    </r>
    <r>
      <rPr>
        <sz val="11"/>
        <color theme="1"/>
        <rFont val="Calibri"/>
        <family val="2"/>
        <charset val="1"/>
      </rPr>
      <t xml:space="preserve">v_off</t>
    </r>
  </si>
  <si>
    <t xml:space="preserve">t_roll</t>
  </si>
  <si>
    <t xml:space="preserve">評價日 → 目標價時點（年）</t>
  </si>
  <si>
    <t xml:space="preserve">評價日 → 目標價時點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</si>
  <si>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每股以 </t>
    </r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Noto Sans CJK SC"/>
        <family val="2"/>
      </rPr>
      <t xml:space="preserve">推到目標價時點（已決定事項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沿用），並扣除期間股利（修正一 </t>
    </r>
    <r>
      <rPr>
        <sz val="11"/>
        <color theme="1"/>
        <rFont val="Calibri"/>
        <family val="2"/>
        <charset val="1"/>
      </rPr>
      <t xml:space="preserve">F6</t>
    </r>
    <r>
      <rPr>
        <sz val="11"/>
        <color theme="1"/>
        <rFont val="Noto Sans CJK SC"/>
        <family val="2"/>
      </rPr>
      <t xml:space="preserve">）</t>
    </r>
  </si>
  <si>
    <t xml:space="preserve">roll_div_q</t>
  </si>
  <si>
    <r>
      <rPr>
        <sz val="11"/>
        <color theme="1"/>
        <rFont val="Noto Sans CJK SC"/>
        <family val="2"/>
      </rPr>
      <t xml:space="preserve">評價日到目標價時點之間、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已付的股利季數</t>
    </r>
  </si>
  <si>
    <t xml:space="preserve">季</t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</si>
  <si>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第一季股利約 </t>
    </r>
    <r>
      <rPr>
        <sz val="11"/>
        <color theme="1"/>
        <rFont val="Calibri"/>
        <family val="2"/>
        <charset val="1"/>
      </rPr>
      <t xml:space="preserve">2027-09 </t>
    </r>
    <r>
      <rPr>
        <sz val="11"/>
        <color theme="1"/>
        <rFont val="Noto Sans CJK SC"/>
        <family val="2"/>
      </rPr>
      <t xml:space="preserve">支付，早於目標價時點</t>
    </r>
  </si>
  <si>
    <t xml:space="preserve">q_per_yr</t>
  </si>
  <si>
    <t xml:space="preserve">每年季數</t>
  </si>
  <si>
    <t xml:space="preserve">stub_d0</t>
  </si>
  <si>
    <r>
      <rPr>
        <sz val="11"/>
        <color theme="1"/>
        <rFont val="Calibri"/>
        <family val="2"/>
        <charset val="1"/>
      </rPr>
      <t xml:space="preserve">SOTP </t>
    </r>
    <r>
      <rPr>
        <sz val="11"/>
        <color theme="1"/>
        <rFont val="Noto Sans CJK SC"/>
        <family val="2"/>
      </rPr>
      <t xml:space="preserve">淨現金日（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2027-06-30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</si>
  <si>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</t>
    </r>
  </si>
  <si>
    <t xml:space="preserve">t_stub</t>
  </si>
  <si>
    <r>
      <rPr>
        <sz val="11"/>
        <color theme="1"/>
        <rFont val="Calibri"/>
        <family val="2"/>
        <charset val="1"/>
      </rPr>
      <t xml:space="preserve">SOTP </t>
    </r>
    <r>
      <rPr>
        <sz val="11"/>
        <color theme="1"/>
        <rFont val="Noto Sans CJK SC"/>
        <family val="2"/>
      </rPr>
      <t xml:space="preserve">淨現金日 → 目標價時點（年）</t>
    </r>
  </si>
  <si>
    <r>
      <rPr>
        <sz val="11"/>
        <color theme="1"/>
        <rFont val="Calibri"/>
        <family val="2"/>
        <charset val="1"/>
      </rPr>
      <t xml:space="preserve">2027-06-30 → </t>
    </r>
    <r>
      <rPr>
        <sz val="11"/>
        <color theme="1"/>
        <rFont val="Noto Sans CJK SC"/>
        <family val="2"/>
      </rPr>
      <t xml:space="preserve">目標價時點</t>
    </r>
  </si>
  <si>
    <r>
      <rPr>
        <sz val="11"/>
        <color theme="1"/>
        <rFont val="Noto Sans CJK SC"/>
        <family val="2"/>
      </rPr>
      <t xml:space="preserve">修正三：此期間的非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自由現金流既不在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年底淨現金、也不在目標價時點 </t>
    </r>
    <r>
      <rPr>
        <sz val="11"/>
        <color theme="1"/>
        <rFont val="Calibri"/>
        <family val="2"/>
        <charset val="1"/>
      </rPr>
      <t xml:space="preserve">NTM EBITDA </t>
    </r>
    <r>
      <rPr>
        <sz val="11"/>
        <color theme="1"/>
        <rFont val="Noto Sans CJK SC"/>
        <family val="2"/>
      </rPr>
      <t xml:space="preserve">倍數內，</t>
    </r>
    <r>
      <rPr>
        <sz val="11"/>
        <color theme="1"/>
        <rFont val="Calibri"/>
        <family val="2"/>
        <charset val="1"/>
      </rPr>
      <t xml:space="preserve">SOTP </t>
    </r>
    <r>
      <rPr>
        <sz val="11"/>
        <color theme="1"/>
        <rFont val="Noto Sans CJK SC"/>
        <family val="2"/>
      </rPr>
      <t xml:space="preserve">補加</t>
    </r>
  </si>
  <si>
    <t xml:space="preserve">fy28_end</t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</si>
  <si>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</si>
  <si>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Noto Sans CJK SC"/>
        <family val="2"/>
      </rPr>
      <t xml:space="preserve">財年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月結束</t>
    </r>
  </si>
  <si>
    <t xml:space="preserve">w_ntm28</t>
  </si>
  <si>
    <r>
      <rPr>
        <sz val="11"/>
        <color theme="1"/>
        <rFont val="Noto Sans CJK SC"/>
        <family val="2"/>
      </rPr>
      <t xml:space="preserve">目標價時點的未來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個月中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的比重</t>
    </r>
  </si>
  <si>
    <r>
      <rPr>
        <sz val="11"/>
        <color theme="1"/>
        <rFont val="Noto Sans CJK SC"/>
        <family val="2"/>
      </rPr>
      <t xml:space="preserve">目標價時點起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個月：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0.67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0.33</t>
    </r>
  </si>
  <si>
    <r>
      <rPr>
        <sz val="11"/>
        <color theme="1"/>
        <rFont val="Calibri"/>
        <family val="2"/>
        <charset val="1"/>
      </rPr>
      <t xml:space="preserve">SOTP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NTM EBITDA</t>
    </r>
  </si>
  <si>
    <t xml:space="preserve">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</si>
  <si>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的權重（其餘為分部加總 </t>
    </r>
    <r>
      <rPr>
        <sz val="11"/>
        <color theme="1"/>
        <rFont val="Calibri"/>
        <family val="2"/>
        <charset val="1"/>
      </rPr>
      <t xml:space="preserve">SOTP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</si>
  <si>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判斷</t>
    </r>
    <r>
      <rPr>
        <sz val="11"/>
        <color theme="1"/>
        <rFont val="Calibri"/>
        <family val="2"/>
        <charset val="1"/>
      </rPr>
      <t xml:space="preserve">] </t>
    </r>
    <r>
      <rPr>
        <sz val="11"/>
        <color theme="1"/>
        <rFont val="Noto Sans CJK SC"/>
        <family val="2"/>
      </rPr>
      <t xml:space="preserve">預設：工作單 </t>
    </r>
    <r>
      <rPr>
        <sz val="11"/>
        <color theme="1"/>
        <rFont val="Calibri"/>
        <family val="2"/>
        <charset val="1"/>
      </rPr>
      <t xml:space="preserve">20261027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節（與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半導體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各半一致；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在分部層做）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</si>
  <si>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</t>
    </r>
  </si>
  <si>
    <t xml:space="preserve">w_A</t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</si>
  <si>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</si>
  <si>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判斷</t>
    </r>
    <r>
      <rPr>
        <sz val="11"/>
        <color theme="1"/>
        <rFont val="Calibri"/>
        <family val="2"/>
        <charset val="1"/>
      </rPr>
      <t xml:space="preserve">] </t>
    </r>
    <r>
      <rPr>
        <sz val="11"/>
        <color theme="1"/>
        <rFont val="Noto Sans CJK SC"/>
        <family val="2"/>
      </rPr>
      <t xml:space="preserve">預設：工作單 </t>
    </r>
    <r>
      <rPr>
        <sz val="11"/>
        <color theme="1"/>
        <rFont val="Calibri"/>
        <family val="2"/>
        <charset val="1"/>
      </rPr>
      <t xml:space="preserve">20261027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 </t>
    </r>
    <r>
      <rPr>
        <sz val="11"/>
        <color theme="1"/>
        <rFont val="Calibri"/>
        <family val="2"/>
        <charset val="1"/>
      </rPr>
      <t xml:space="preserve">A 25%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50%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25%</t>
    </r>
  </si>
  <si>
    <t xml:space="preserve">w_B</t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</si>
  <si>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B</t>
    </r>
  </si>
  <si>
    <t xml:space="preserve">w_C</t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</si>
  <si>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C</t>
    </r>
  </si>
  <si>
    <t xml:space="preserve">oai_stake</t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</si>
  <si>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持股比例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</si>
  <si>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microsoft/data/microsoft_facts_FY27Q1_20261029.json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oai.stake.fy27q1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10-Q FY27Q1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approximate 24% interest on an as-converted basis</t>
    </r>
    <r>
      <rPr>
        <sz val="11"/>
        <color theme="1"/>
        <rFont val="Noto Sans CJK SC"/>
        <family val="2"/>
      </rPr>
      <t xml:space="preserve">，最新）</t>
    </r>
  </si>
  <si>
    <r>
      <rPr>
        <sz val="11"/>
        <color theme="1"/>
        <rFont val="Calibri"/>
        <family val="2"/>
        <charset val="1"/>
      </rPr>
      <t xml:space="preserve">FY2026 10-K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oai.stake.fy2026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主值）；重組時（</t>
    </r>
    <r>
      <rPr>
        <sz val="11"/>
        <color theme="1"/>
        <rFont val="Calibri"/>
        <family val="2"/>
        <charset val="1"/>
      </rPr>
      <t xml:space="preserve">2025-10-28</t>
    </r>
    <r>
      <rPr>
        <sz val="11"/>
        <color theme="1"/>
        <rFont val="Noto Sans CJK SC"/>
        <family val="2"/>
      </rPr>
      <t xml:space="preserve">）約 </t>
    </r>
    <r>
      <rPr>
        <sz val="11"/>
        <color theme="1"/>
        <rFont val="Calibri"/>
        <family val="2"/>
        <charset val="1"/>
      </rPr>
      <t xml:space="preserve">27%</t>
    </r>
    <r>
      <rPr>
        <sz val="11"/>
        <color theme="1"/>
        <rFont val="Noto Sans CJK SC"/>
        <family val="2"/>
      </rPr>
      <t xml:space="preserve">，列判斷替代</t>
    </r>
  </si>
  <si>
    <t xml:space="preserve">oai_stake26</t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</si>
  <si>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持股（</t>
    </r>
    <r>
      <rPr>
        <sz val="11"/>
        <color theme="1"/>
        <rFont val="Calibri"/>
        <family val="2"/>
        <charset val="1"/>
      </rPr>
      <t xml:space="preserve">FY2026 10-K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</si>
  <si>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oai.stake.fy2026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approximate 25%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</si>
  <si>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主值；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判斷替代</t>
    </r>
  </si>
  <si>
    <t xml:space="preserve">oai_val</t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</si>
  <si>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最近一輪投後估值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</si>
  <si>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oai.valuation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結案，募資 </t>
    </r>
    <r>
      <rPr>
        <sz val="11"/>
        <color theme="1"/>
        <rFont val="Calibri"/>
        <family val="2"/>
        <charset val="1"/>
      </rPr>
      <t xml:space="preserve">122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</si>
  <si>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新創自報估值；</t>
    </r>
    <r>
      <rPr>
        <sz val="11"/>
        <color theme="1"/>
        <rFont val="Calibri"/>
        <family val="2"/>
        <charset val="1"/>
      </rPr>
      <t xml:space="preserve">2026-09-30 </t>
    </r>
    <r>
      <rPr>
        <sz val="11"/>
        <color theme="1"/>
        <rFont val="Noto Sans CJK SC"/>
        <family val="2"/>
      </rPr>
      <t xml:space="preserve">報導洽談 </t>
    </r>
    <r>
      <rPr>
        <sz val="11"/>
        <color theme="1"/>
        <rFont val="Calibri"/>
        <family val="2"/>
        <charset val="1"/>
      </rPr>
      <t xml:space="preserve">300 </t>
    </r>
    <r>
      <rPr>
        <sz val="11"/>
        <color theme="1"/>
        <rFont val="Noto Sans CJK SC"/>
        <family val="2"/>
      </rPr>
      <t xml:space="preserve">億美元、估值 </t>
    </r>
    <r>
      <rPr>
        <sz val="11"/>
        <color theme="1"/>
        <rFont val="Calibri"/>
        <family val="2"/>
        <charset val="1"/>
      </rPr>
      <t xml:space="preserve">1.4 </t>
    </r>
    <r>
      <rPr>
        <sz val="11"/>
        <color theme="1"/>
        <rFont val="Noto Sans CJK SC"/>
        <family val="2"/>
      </rPr>
      <t xml:space="preserve">兆（未結案，不採用；</t>
    </r>
    <r>
      <rPr>
        <sz val="11"/>
        <color theme="1"/>
        <rFont val="Calibri"/>
        <family val="2"/>
        <charset val="1"/>
      </rPr>
      <t xml:space="preserve">https://propakistani.pk/2026/09/30/openai-reportedly-seeks-30-billion-at-1-4-trillion-valuation/</t>
    </r>
    <r>
      <rPr>
        <sz val="11"/>
        <color theme="1"/>
        <rFont val="Noto Sans CJK SC"/>
        <family val="2"/>
      </rPr>
      <t xml:space="preserve">）</t>
    </r>
  </si>
  <si>
    <t xml:space="preserve">liq_disc</t>
  </si>
  <si>
    <t xml:space="preserve">未上市持股流動性折價</t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</si>
  <si>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20261027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20%</t>
    </r>
  </si>
  <si>
    <t xml:space="preserve">oai_v</t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</si>
  <si>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持股價值（扣折價）</t>
    </r>
  </si>
  <si>
    <r>
      <rPr>
        <sz val="11"/>
        <color theme="1"/>
        <rFont val="Noto Sans CJK SC"/>
        <family val="2"/>
      </rPr>
      <t xml:space="preserve">比例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估值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折價）</t>
    </r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</si>
  <si>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持股比例未揭露 → 不估值（資料缺口）</t>
    </r>
  </si>
  <si>
    <t xml:space="preserve">m_ai</t>
  </si>
  <si>
    <r>
      <rPr>
        <sz val="11"/>
        <color theme="1"/>
        <rFont val="Calibri"/>
        <family val="2"/>
        <charset val="1"/>
      </rPr>
      <t xml:space="preserve">Azure AI </t>
    </r>
    <r>
      <rPr>
        <sz val="11"/>
        <color theme="1"/>
        <rFont val="Noto Sans CJK SC"/>
        <family val="2"/>
      </rPr>
      <t xml:space="preserve">倍數（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NTM EBITDA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</si>
  <si>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microsoft/legacy_v0.2/company.json</t>
    </r>
    <r>
      <rPr>
        <sz val="11"/>
        <color theme="1"/>
        <rFont val="Noto Sans CJK SC"/>
        <family val="2"/>
      </rPr>
      <t xml:space="preserve">；交接檔 </t>
    </r>
    <r>
      <rPr>
        <sz val="11"/>
        <color theme="1"/>
        <rFont val="Calibri"/>
        <family val="2"/>
        <charset val="1"/>
      </rPr>
      <t xml:space="preserve">docs/handoff/20261025_Microsoft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交接檔</t>
    </r>
    <r>
      <rPr>
        <sz val="11"/>
        <color theme="1"/>
        <rFont val="Calibri"/>
        <family val="2"/>
        <charset val="1"/>
      </rPr>
      <t xml:space="preserve">_v0_2_2.md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valuation.evEbitda 6×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</si>
  <si>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基礎設施租賃同業（</t>
    </r>
    <r>
      <rPr>
        <sz val="11"/>
        <color theme="1"/>
        <rFont val="Calibri"/>
        <family val="2"/>
        <charset val="1"/>
      </rPr>
      <t xml:space="preserve">CRWV TTM 25×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NBIS </t>
    </r>
    <r>
      <rPr>
        <sz val="11"/>
        <color theme="1"/>
        <rFont val="Noto Sans CJK SC"/>
        <family val="2"/>
      </rPr>
      <t xml:space="preserve">不具意義、</t>
    </r>
    <r>
      <rPr>
        <sz val="11"/>
        <color theme="1"/>
        <rFont val="Calibri"/>
        <family val="2"/>
        <charset val="1"/>
      </rPr>
      <t xml:space="preserve">ORCL NTM 9.5×</t>
    </r>
    <r>
      <rPr>
        <sz val="11"/>
        <color theme="1"/>
        <rFont val="Noto Sans CJK SC"/>
        <family val="2"/>
      </rPr>
      <t xml:space="preserve">）口徑不一，沿用 </t>
    </r>
    <r>
      <rPr>
        <sz val="11"/>
        <color theme="1"/>
        <rFont val="Calibri"/>
        <family val="2"/>
        <charset val="1"/>
      </rPr>
      <t xml:space="preserve">v0.2.2</t>
    </r>
  </si>
  <si>
    <t xml:space="preserve">m_cloud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</si>
  <si>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雲端倍數（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其他）</t>
    </r>
  </si>
  <si>
    <r>
      <rPr>
        <sz val="11"/>
        <color theme="1"/>
        <rFont val="Calibri"/>
        <family val="2"/>
        <charset val="1"/>
      </rPr>
      <t xml:space="preserve">microsoft/data/peers_cloud_20261008.json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ORCL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IBM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SAP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NOW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AKAM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EQIX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DOCN </t>
    </r>
    <r>
      <rPr>
        <sz val="11"/>
        <color theme="1"/>
        <rFont val="Noto Sans CJK SC"/>
        <family val="2"/>
      </rPr>
      <t xml:space="preserve">中位數（</t>
    </r>
    <r>
      <rPr>
        <sz val="11"/>
        <color theme="1"/>
        <rFont val="Calibri"/>
        <family val="2"/>
        <charset val="1"/>
      </rPr>
      <t xml:space="preserve">C12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</si>
  <si>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2026-10-07 </t>
    </r>
    <r>
      <rPr>
        <sz val="11"/>
        <color theme="1"/>
        <rFont val="Noto Sans CJK SC"/>
        <family val="2"/>
      </rPr>
      <t xml:space="preserve">收盤</t>
    </r>
  </si>
  <si>
    <t xml:space="preserve">m_sw</t>
  </si>
  <si>
    <r>
      <rPr>
        <sz val="11"/>
        <color theme="1"/>
        <rFont val="Noto Sans CJK SC"/>
        <family val="2"/>
      </rPr>
      <t xml:space="preserve">企業軟體倍數（</t>
    </r>
    <r>
      <rPr>
        <sz val="11"/>
        <color theme="1"/>
        <rFont val="Calibri"/>
        <family val="2"/>
        <charset val="1"/>
      </rPr>
      <t xml:space="preserve">M365 cloud</t>
    </r>
    <r>
      <rPr>
        <sz val="11"/>
        <color theme="1"/>
        <rFont val="Noto Sans CJK SC"/>
        <family val="2"/>
      </rPr>
      <t xml:space="preserve">、授權、產業、</t>
    </r>
    <r>
      <rPr>
        <sz val="11"/>
        <color theme="1"/>
        <rFont val="Calibri"/>
        <family val="2"/>
        <charset val="1"/>
      </rPr>
      <t xml:space="preserve">Frontier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</si>
  <si>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val.peer.sw.*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ORCL 9.54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SAP 15.02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CRM 10.80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ADBE 6.60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NOW 20.65 </t>
    </r>
    <r>
      <rPr>
        <sz val="11"/>
        <color theme="1"/>
        <rFont val="Noto Sans CJK SC"/>
        <family val="2"/>
      </rPr>
      <t xml:space="preserve">中位數（不含 </t>
    </r>
    <r>
      <rPr>
        <sz val="11"/>
        <color theme="1"/>
        <rFont val="Calibri"/>
        <family val="2"/>
        <charset val="1"/>
      </rPr>
      <t xml:space="preserve">MSFT</t>
    </r>
    <r>
      <rPr>
        <sz val="11"/>
        <color theme="1"/>
        <rFont val="Noto Sans CJK SC"/>
        <family val="2"/>
      </rPr>
      <t xml:space="preserve">）</t>
    </r>
  </si>
  <si>
    <t xml:space="preserve">2026-10-07</t>
  </si>
  <si>
    <t xml:space="preserve">m_ads</t>
  </si>
  <si>
    <r>
      <rPr>
        <sz val="11"/>
        <color theme="1"/>
        <rFont val="Noto Sans CJK SC"/>
        <family val="2"/>
      </rPr>
      <t xml:space="preserve">數位廣告倍數（</t>
    </r>
    <r>
      <rPr>
        <sz val="11"/>
        <color theme="1"/>
        <rFont val="Calibri"/>
        <family val="2"/>
        <charset val="1"/>
      </rPr>
      <t xml:space="preserve">Search and advertising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</si>
  <si>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microsoft/data/peers_ads_20261009.json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PINS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TTD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APP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RDDT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SNAP </t>
    </r>
    <r>
      <rPr>
        <sz val="11"/>
        <color theme="1"/>
        <rFont val="Noto Sans CJK SC"/>
        <family val="2"/>
      </rPr>
      <t xml:space="preserve">中位數（</t>
    </r>
    <r>
      <rPr>
        <sz val="11"/>
        <color theme="1"/>
        <rFont val="Calibri"/>
        <family val="2"/>
        <charset val="1"/>
      </rPr>
      <t xml:space="preserve">C18</t>
    </r>
    <r>
      <rPr>
        <sz val="11"/>
        <color theme="1"/>
        <rFont val="Noto Sans CJK SC"/>
        <family val="2"/>
      </rPr>
      <t xml:space="preserve">）</t>
    </r>
  </si>
  <si>
    <t xml:space="preserve">m_game</t>
  </si>
  <si>
    <r>
      <rPr>
        <sz val="11"/>
        <color theme="1"/>
        <rFont val="Noto Sans CJK SC"/>
        <family val="2"/>
      </rPr>
      <t xml:space="preserve">遊戲倍數（</t>
    </r>
    <r>
      <rPr>
        <sz val="11"/>
        <color theme="1"/>
        <rFont val="Calibri"/>
        <family val="2"/>
        <charset val="1"/>
      </rPr>
      <t xml:space="preserve">XBOX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</si>
  <si>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val.peer.game.*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TTWO 50.9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NTDOY 12.63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NTES 8.23 </t>
    </r>
    <r>
      <rPr>
        <sz val="11"/>
        <color theme="1"/>
        <rFont val="Noto Sans CJK SC"/>
        <family val="2"/>
      </rPr>
      <t xml:space="preserve">中位數（</t>
    </r>
    <r>
      <rPr>
        <sz val="11"/>
        <color theme="1"/>
        <rFont val="Calibri"/>
        <family val="2"/>
        <charset val="1"/>
      </rPr>
      <t xml:space="preserve">TTM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NTM </t>
    </r>
    <r>
      <rPr>
        <sz val="11"/>
        <color theme="1"/>
        <rFont val="Noto Sans CJK SC"/>
        <family val="2"/>
      </rPr>
      <t xml:space="preserve">找不到）</t>
    </r>
  </si>
  <si>
    <t xml:space="preserve">2026-10-08</t>
  </si>
  <si>
    <t xml:space="preserve">m_pc</t>
  </si>
  <si>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／裝置倍數（</t>
    </r>
    <r>
      <rPr>
        <sz val="11"/>
        <color theme="1"/>
        <rFont val="Calibri"/>
        <family val="2"/>
        <charset val="1"/>
      </rPr>
      <t xml:space="preserve">Windows OEM and devices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</si>
  <si>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val.peer.pc.*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HPQ 7.6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DELL 22.1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Lenovo 14.47 </t>
    </r>
    <r>
      <rPr>
        <sz val="11"/>
        <color theme="1"/>
        <rFont val="Noto Sans CJK SC"/>
        <family val="2"/>
      </rPr>
      <t xml:space="preserve">中位數（</t>
    </r>
    <r>
      <rPr>
        <sz val="11"/>
        <color theme="1"/>
        <rFont val="Calibri"/>
        <family val="2"/>
        <charset val="1"/>
      </rPr>
      <t xml:space="preserve">TTM</t>
    </r>
    <r>
      <rPr>
        <sz val="11"/>
        <color theme="1"/>
        <rFont val="Noto Sans CJK SC"/>
        <family val="2"/>
      </rPr>
      <t xml:space="preserve">）</t>
    </r>
  </si>
  <si>
    <t xml:space="preserve">m_own</t>
  </si>
  <si>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自身 </t>
    </r>
    <r>
      <rPr>
        <sz val="11"/>
        <color theme="1"/>
        <rFont val="Calibri"/>
        <family val="2"/>
        <charset val="1"/>
      </rPr>
      <t xml:space="preserve">NTM EV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（對照）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</si>
  <si>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val.msft.ownNtm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</si>
  <si>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只用於判斷預設替代（非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各線改用自身倍數）</t>
    </r>
  </si>
  <si>
    <t xml:space="preserve">al_m365</t>
  </si>
  <si>
    <r>
      <rPr>
        <sz val="11"/>
        <color theme="1"/>
        <rFont val="Noto Sans CJK SC"/>
        <family val="2"/>
      </rPr>
      <t xml:space="preserve">產品線營業利益率分配：</t>
    </r>
    <r>
      <rPr>
        <sz val="11"/>
        <color theme="1"/>
        <rFont val="Calibri"/>
        <family val="2"/>
        <charset val="1"/>
      </rPr>
      <t xml:space="preserve">Microsoft 365 cloud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SOTP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</si>
  <si>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alloc.oiMargin</t>
    </r>
    <r>
      <rPr>
        <sz val="11"/>
        <color theme="1"/>
        <rFont val="Noto Sans CJK SC"/>
        <family val="2"/>
      </rPr>
      <t xml:space="preserve">（公司不揭露產品線利潤）；沿用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microsoft/legacy_v0.2/company.json</t>
    </r>
    <r>
      <rPr>
        <sz val="11"/>
        <color theme="1"/>
        <rFont val="Noto Sans CJK SC"/>
        <family val="2"/>
      </rPr>
      <t xml:space="preserve">；交接檔 </t>
    </r>
    <r>
      <rPr>
        <sz val="11"/>
        <color theme="1"/>
        <rFont val="Calibri"/>
        <family val="2"/>
        <charset val="1"/>
      </rPr>
      <t xml:space="preserve">docs/handoff/20261025_Microsoft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交接檔</t>
    </r>
    <r>
      <rPr>
        <sz val="11"/>
        <color theme="1"/>
        <rFont val="Calibri"/>
        <family val="2"/>
        <charset val="1"/>
      </rPr>
      <t xml:space="preserve">_v0_2_2.md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</si>
  <si>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舊 </t>
    </r>
    <r>
      <rPr>
        <sz val="11"/>
        <color theme="1"/>
        <rFont val="Calibri"/>
        <family val="2"/>
        <charset val="1"/>
      </rPr>
      <t xml:space="preserve">PBP </t>
    </r>
    <r>
      <rPr>
        <sz val="11"/>
        <color theme="1"/>
        <rFont val="Noto Sans CJK SC"/>
        <family val="2"/>
      </rPr>
      <t xml:space="preserve">分部 </t>
    </r>
    <r>
      <rPr>
        <sz val="11"/>
        <color theme="1"/>
        <rFont val="Calibri"/>
        <family val="2"/>
        <charset val="1"/>
      </rPr>
      <t xml:space="preserve">FY2026 59.9% </t>
    </r>
    <r>
      <rPr>
        <sz val="11"/>
        <color theme="1"/>
        <rFont val="Noto Sans CJK SC"/>
        <family val="2"/>
      </rPr>
      <t xml:space="preserve">類比；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其他、</t>
    </r>
    <r>
      <rPr>
        <sz val="11"/>
        <color theme="1"/>
        <rFont val="Calibri"/>
        <family val="2"/>
        <charset val="1"/>
      </rPr>
      <t xml:space="preserve">XBOX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Windows </t>
    </r>
    <r>
      <rPr>
        <sz val="11"/>
        <color theme="1"/>
        <rFont val="Noto Sans CJK SC"/>
        <family val="2"/>
      </rPr>
      <t xml:space="preserve">為分部殘差</t>
    </r>
  </si>
  <si>
    <t xml:space="preserve">al_lic</t>
  </si>
  <si>
    <r>
      <rPr>
        <sz val="11"/>
        <color theme="1"/>
        <rFont val="Noto Sans CJK SC"/>
        <family val="2"/>
      </rPr>
      <t xml:space="preserve">產品線營業利益率分配：</t>
    </r>
    <r>
      <rPr>
        <sz val="11"/>
        <color theme="1"/>
        <rFont val="Calibri"/>
        <family val="2"/>
        <charset val="1"/>
      </rPr>
      <t xml:space="preserve">Productivity and server licensing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SOTP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</si>
  <si>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Noto Sans CJK SC"/>
        <family val="2"/>
      </rPr>
      <t xml:space="preserve">地端授權毛利高、銷售費用低；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其他、</t>
    </r>
    <r>
      <rPr>
        <sz val="11"/>
        <color theme="1"/>
        <rFont val="Calibri"/>
        <family val="2"/>
        <charset val="1"/>
      </rPr>
      <t xml:space="preserve">XBOX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Windows </t>
    </r>
    <r>
      <rPr>
        <sz val="11"/>
        <color theme="1"/>
        <rFont val="Noto Sans CJK SC"/>
        <family val="2"/>
      </rPr>
      <t xml:space="preserve">為分部殘差</t>
    </r>
  </si>
  <si>
    <t xml:space="preserve">al_ind</t>
  </si>
  <si>
    <r>
      <rPr>
        <sz val="11"/>
        <color theme="1"/>
        <rFont val="Noto Sans CJK SC"/>
        <family val="2"/>
      </rPr>
      <t xml:space="preserve">產品線營業利益率分配：</t>
    </r>
    <r>
      <rPr>
        <sz val="11"/>
        <color theme="1"/>
        <rFont val="Calibri"/>
        <family val="2"/>
        <charset val="1"/>
      </rPr>
      <t xml:space="preserve">Industry solutions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SOTP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</si>
  <si>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Dynamics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LinkedIn </t>
    </r>
    <r>
      <rPr>
        <sz val="11"/>
        <color theme="1"/>
        <rFont val="Noto Sans CJK SC"/>
        <family val="2"/>
      </rPr>
      <t xml:space="preserve">等；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其他、</t>
    </r>
    <r>
      <rPr>
        <sz val="11"/>
        <color theme="1"/>
        <rFont val="Calibri"/>
        <family val="2"/>
        <charset val="1"/>
      </rPr>
      <t xml:space="preserve">XBOX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Windows </t>
    </r>
    <r>
      <rPr>
        <sz val="11"/>
        <color theme="1"/>
        <rFont val="Noto Sans CJK SC"/>
        <family val="2"/>
      </rPr>
      <t xml:space="preserve">為分部殘差</t>
    </r>
  </si>
  <si>
    <t xml:space="preserve">al_fro</t>
  </si>
  <si>
    <r>
      <rPr>
        <sz val="11"/>
        <color theme="1"/>
        <rFont val="Noto Sans CJK SC"/>
        <family val="2"/>
      </rPr>
      <t xml:space="preserve">產品線營業利益率分配：</t>
    </r>
    <r>
      <rPr>
        <sz val="11"/>
        <color theme="1"/>
        <rFont val="Calibri"/>
        <family val="2"/>
        <charset val="1"/>
      </rPr>
      <t xml:space="preserve">Frontier and support services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SOTP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</si>
  <si>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Noto Sans CJK SC"/>
        <family val="2"/>
      </rPr>
      <t xml:space="preserve">含支援服務；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其他、</t>
    </r>
    <r>
      <rPr>
        <sz val="11"/>
        <color theme="1"/>
        <rFont val="Calibri"/>
        <family val="2"/>
        <charset val="1"/>
      </rPr>
      <t xml:space="preserve">XBOX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Windows </t>
    </r>
    <r>
      <rPr>
        <sz val="11"/>
        <color theme="1"/>
        <rFont val="Noto Sans CJK SC"/>
        <family val="2"/>
      </rPr>
      <t xml:space="preserve">為分部殘差</t>
    </r>
  </si>
  <si>
    <t xml:space="preserve">al_srch</t>
  </si>
  <si>
    <r>
      <rPr>
        <sz val="11"/>
        <color theme="1"/>
        <rFont val="Noto Sans CJK SC"/>
        <family val="2"/>
      </rPr>
      <t xml:space="preserve">產品線營業利益率分配：</t>
    </r>
    <r>
      <rPr>
        <sz val="11"/>
        <color theme="1"/>
        <rFont val="Calibri"/>
        <family val="2"/>
        <charset val="1"/>
      </rPr>
      <t xml:space="preserve">Search and advertising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SOTP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</si>
  <si>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Noto Sans CJK SC"/>
        <family val="2"/>
      </rPr>
      <t xml:space="preserve">—；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其他、</t>
    </r>
    <r>
      <rPr>
        <sz val="11"/>
        <color theme="1"/>
        <rFont val="Calibri"/>
        <family val="2"/>
        <charset val="1"/>
      </rPr>
      <t xml:space="preserve">XBOX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Windows </t>
    </r>
    <r>
      <rPr>
        <sz val="11"/>
        <color theme="1"/>
        <rFont val="Noto Sans CJK SC"/>
        <family val="2"/>
      </rPr>
      <t xml:space="preserve">為分部殘差</t>
    </r>
  </si>
  <si>
    <r>
      <rPr>
        <b val="true"/>
        <sz val="11"/>
        <rFont val="Cambria"/>
        <family val="0"/>
        <charset val="1"/>
      </rPr>
      <t xml:space="preserve">C. Tokenomics v21.7 </t>
    </r>
    <r>
      <rPr>
        <b val="true"/>
        <sz val="11"/>
        <rFont val="Noto Sans CJK SC"/>
        <family val="2"/>
      </rPr>
      <t xml:space="preserve">快照（</t>
    </r>
    <r>
      <rPr>
        <b val="true"/>
        <sz val="11"/>
        <rFont val="Cambria"/>
        <family val="0"/>
        <charset val="1"/>
      </rPr>
      <t xml:space="preserve">microsoft/data/tokenomics_snapshot_v21.7.json</t>
    </r>
    <r>
      <rPr>
        <b val="true"/>
        <sz val="11"/>
        <rFont val="Noto Sans CJK SC"/>
        <family val="2"/>
      </rPr>
      <t xml:space="preserve">；基準成本欄；每 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IT </t>
    </r>
    <r>
      <rPr>
        <b val="true"/>
        <sz val="11"/>
        <rFont val="Noto Sans CJK SC"/>
        <family val="2"/>
      </rPr>
      <t xml:space="preserve">關鍵電力；</t>
    </r>
    <r>
      <rPr>
        <b val="true"/>
        <sz val="11"/>
        <rFont val="Cambria"/>
        <family val="0"/>
        <charset val="1"/>
      </rPr>
      <t xml:space="preserve">v0.3.1 </t>
    </r>
    <r>
      <rPr>
        <b val="true"/>
        <sz val="11"/>
        <rFont val="Noto Sans CJK SC"/>
        <family val="2"/>
      </rPr>
      <t xml:space="preserve">由 </t>
    </r>
    <r>
      <rPr>
        <b val="true"/>
        <sz val="11"/>
        <rFont val="Cambria"/>
        <family val="0"/>
        <charset val="1"/>
      </rPr>
      <t xml:space="preserve">v21.4 </t>
    </r>
    <r>
      <rPr>
        <b val="true"/>
        <sz val="11"/>
        <rFont val="Noto Sans CJK SC"/>
        <family val="2"/>
      </rPr>
      <t xml:space="preserve">升級，契約名稱值逐一比對無差異）</t>
    </r>
  </si>
  <si>
    <t xml:space="preserve">tk_hold_h100</t>
  </si>
  <si>
    <r>
      <rPr>
        <sz val="11"/>
        <color theme="1"/>
        <rFont val="Calibri"/>
        <family val="2"/>
        <charset val="1"/>
      </rPr>
      <t xml:space="preserve">IF_HoldEcon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年持有成本，</t>
    </r>
    <r>
      <rPr>
        <sz val="11"/>
        <color theme="1"/>
        <rFont val="Calibri"/>
        <family val="2"/>
        <charset val="1"/>
      </rPr>
      <t xml:space="preserve">WACC 10% </t>
    </r>
    <r>
      <rPr>
        <sz val="11"/>
        <color theme="1"/>
        <rFont val="Noto Sans CJK SC"/>
        <family val="2"/>
      </rPr>
      <t xml:space="preserve">打平）</t>
    </r>
  </si>
  <si>
    <r>
      <rPr>
        <sz val="11"/>
        <color theme="1"/>
        <rFont val="Calibri"/>
        <family val="2"/>
        <charset val="1"/>
      </rPr>
      <t xml:space="preserve">US$M/MW-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</si>
  <si>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Calibri"/>
        <family val="2"/>
        <charset val="1"/>
      </rPr>
      <t xml:space="preserve">Tokenomics v21.7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20261025_Tokenomics_v21.7.xlsx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master 6621bc5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</si>
  <si>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基準成本欄；低／高＝同一快照的低成本／高成本欄（</t>
    </r>
    <r>
      <rPr>
        <sz val="11"/>
        <color theme="1"/>
        <rFont val="Calibri"/>
        <family val="2"/>
        <charset val="1"/>
      </rPr>
      <t xml:space="preserve">Interface!C13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Interface!E13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v0.3.3 </t>
    </r>
    <r>
      <rPr>
        <sz val="11"/>
        <color theme="1"/>
        <rFont val="Noto Sans CJK SC"/>
        <family val="2"/>
      </rPr>
      <t xml:space="preserve">補區間，只用於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he_all </t>
    </r>
    <r>
      <rPr>
        <sz val="11"/>
        <color theme="1"/>
        <rFont val="Noto Sans CJK SC"/>
        <family val="2"/>
      </rPr>
      <t xml:space="preserve">案例）</t>
    </r>
  </si>
  <si>
    <t xml:space="preserve">tk_hold_gb200</t>
  </si>
  <si>
    <r>
      <rPr>
        <sz val="11"/>
        <color theme="1"/>
        <rFont val="Calibri"/>
        <family val="2"/>
        <charset val="1"/>
      </rPr>
      <t xml:space="preserve">IF_HoldEcon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年持有成本，</t>
    </r>
    <r>
      <rPr>
        <sz val="11"/>
        <color theme="1"/>
        <rFont val="Calibri"/>
        <family val="2"/>
        <charset val="1"/>
      </rPr>
      <t xml:space="preserve">WACC 10% </t>
    </r>
    <r>
      <rPr>
        <sz val="11"/>
        <color theme="1"/>
        <rFont val="Noto Sans CJK SC"/>
        <family val="2"/>
      </rPr>
      <t xml:space="preserve">打平）</t>
    </r>
  </si>
  <si>
    <r>
      <rPr>
        <sz val="11"/>
        <color theme="1"/>
        <rFont val="Noto Sans CJK SC"/>
        <family val="2"/>
      </rPr>
      <t xml:space="preserve">基準成本欄；低／高＝同一快照的低成本／高成本欄（</t>
    </r>
    <r>
      <rPr>
        <sz val="11"/>
        <color theme="1"/>
        <rFont val="Calibri"/>
        <family val="2"/>
        <charset val="1"/>
      </rPr>
      <t xml:space="preserve">Interface!F13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Interface!H13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v0.3.3 </t>
    </r>
    <r>
      <rPr>
        <sz val="11"/>
        <color theme="1"/>
        <rFont val="Noto Sans CJK SC"/>
        <family val="2"/>
      </rPr>
      <t xml:space="preserve">補區間，只用於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he_all </t>
    </r>
    <r>
      <rPr>
        <sz val="11"/>
        <color theme="1"/>
        <rFont val="Noto Sans CJK SC"/>
        <family val="2"/>
      </rPr>
      <t xml:space="preserve">案例）</t>
    </r>
  </si>
  <si>
    <t xml:space="preserve">tk_hold_gb300</t>
  </si>
  <si>
    <r>
      <rPr>
        <sz val="11"/>
        <color theme="1"/>
        <rFont val="Calibri"/>
        <family val="2"/>
        <charset val="1"/>
      </rPr>
      <t xml:space="preserve">IF_HoldEcon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年持有成本，</t>
    </r>
    <r>
      <rPr>
        <sz val="11"/>
        <color theme="1"/>
        <rFont val="Calibri"/>
        <family val="2"/>
        <charset val="1"/>
      </rPr>
      <t xml:space="preserve">WACC 10% </t>
    </r>
    <r>
      <rPr>
        <sz val="11"/>
        <color theme="1"/>
        <rFont val="Noto Sans CJK SC"/>
        <family val="2"/>
      </rPr>
      <t xml:space="preserve">打平）</t>
    </r>
  </si>
  <si>
    <r>
      <rPr>
        <sz val="11"/>
        <color theme="1"/>
        <rFont val="Noto Sans CJK SC"/>
        <family val="2"/>
      </rPr>
      <t xml:space="preserve">基準成本欄；低／高＝同一快照的低成本／高成本欄（</t>
    </r>
    <r>
      <rPr>
        <sz val="11"/>
        <color theme="1"/>
        <rFont val="Calibri"/>
        <family val="2"/>
        <charset val="1"/>
      </rPr>
      <t xml:space="preserve">Interface!I13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Interface!K13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v0.3.3 </t>
    </r>
    <r>
      <rPr>
        <sz val="11"/>
        <color theme="1"/>
        <rFont val="Noto Sans CJK SC"/>
        <family val="2"/>
      </rPr>
      <t xml:space="preserve">補區間，只用於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he_all </t>
    </r>
    <r>
      <rPr>
        <sz val="11"/>
        <color theme="1"/>
        <rFont val="Noto Sans CJK SC"/>
        <family val="2"/>
      </rPr>
      <t xml:space="preserve">案例）</t>
    </r>
  </si>
  <si>
    <t xml:space="preserve">tk_hold_vr200</t>
  </si>
  <si>
    <r>
      <rPr>
        <sz val="11"/>
        <color theme="1"/>
        <rFont val="Calibri"/>
        <family val="2"/>
        <charset val="1"/>
      </rPr>
      <t xml:space="preserve">IF_HoldEcon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年持有成本，</t>
    </r>
    <r>
      <rPr>
        <sz val="11"/>
        <color theme="1"/>
        <rFont val="Calibri"/>
        <family val="2"/>
        <charset val="1"/>
      </rPr>
      <t xml:space="preserve">WACC 10% </t>
    </r>
    <r>
      <rPr>
        <sz val="11"/>
        <color theme="1"/>
        <rFont val="Noto Sans CJK SC"/>
        <family val="2"/>
      </rPr>
      <t xml:space="preserve">打平）</t>
    </r>
  </si>
  <si>
    <r>
      <rPr>
        <sz val="11"/>
        <color theme="1"/>
        <rFont val="Noto Sans CJK SC"/>
        <family val="2"/>
      </rPr>
      <t xml:space="preserve">基準成本欄；低／高＝同一快照的低成本／高成本欄（</t>
    </r>
    <r>
      <rPr>
        <sz val="11"/>
        <color theme="1"/>
        <rFont val="Calibri"/>
        <family val="2"/>
        <charset val="1"/>
      </rPr>
      <t xml:space="preserve">Interface!L13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Interface!N13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v0.3.3 </t>
    </r>
    <r>
      <rPr>
        <sz val="11"/>
        <color theme="1"/>
        <rFont val="Noto Sans CJK SC"/>
        <family val="2"/>
      </rPr>
      <t xml:space="preserve">補區間，只用於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he_all </t>
    </r>
    <r>
      <rPr>
        <sz val="11"/>
        <color theme="1"/>
        <rFont val="Noto Sans CJK SC"/>
        <family val="2"/>
      </rPr>
      <t xml:space="preserve">案例）</t>
    </r>
  </si>
  <si>
    <t xml:space="preserve">tk_cxit_h100</t>
  </si>
  <si>
    <r>
      <rPr>
        <sz val="11"/>
        <color theme="1"/>
        <rFont val="Calibri"/>
        <family val="2"/>
        <charset val="1"/>
      </rPr>
      <t xml:space="preserve">IF_CapexIT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IT </t>
    </r>
    <r>
      <rPr>
        <sz val="11"/>
        <color theme="1"/>
        <rFont val="Noto Sans CJK SC"/>
        <family val="2"/>
      </rPr>
      <t xml:space="preserve">資本支出）</t>
    </r>
  </si>
  <si>
    <t xml:space="preserve">US$M/MW</t>
  </si>
  <si>
    <t xml:space="preserve">tk_cxit_gb200</t>
  </si>
  <si>
    <r>
      <rPr>
        <sz val="11"/>
        <color theme="1"/>
        <rFont val="Calibri"/>
        <family val="2"/>
        <charset val="1"/>
      </rPr>
      <t xml:space="preserve">IF_CapexIT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IT </t>
    </r>
    <r>
      <rPr>
        <sz val="11"/>
        <color theme="1"/>
        <rFont val="Noto Sans CJK SC"/>
        <family val="2"/>
      </rPr>
      <t xml:space="preserve">資本支出）</t>
    </r>
  </si>
  <si>
    <t xml:space="preserve">tk_cxit_gb300</t>
  </si>
  <si>
    <r>
      <rPr>
        <sz val="11"/>
        <color theme="1"/>
        <rFont val="Calibri"/>
        <family val="2"/>
        <charset val="1"/>
      </rPr>
      <t xml:space="preserve">IF_CapexIT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IT </t>
    </r>
    <r>
      <rPr>
        <sz val="11"/>
        <color theme="1"/>
        <rFont val="Noto Sans CJK SC"/>
        <family val="2"/>
      </rPr>
      <t xml:space="preserve">資本支出）</t>
    </r>
  </si>
  <si>
    <t xml:space="preserve">tk_cxit_vr200</t>
  </si>
  <si>
    <r>
      <rPr>
        <sz val="11"/>
        <color theme="1"/>
        <rFont val="Calibri"/>
        <family val="2"/>
        <charset val="1"/>
      </rPr>
      <t xml:space="preserve">IF_CapexIT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IT </t>
    </r>
    <r>
      <rPr>
        <sz val="11"/>
        <color theme="1"/>
        <rFont val="Noto Sans CJK SC"/>
        <family val="2"/>
      </rPr>
      <t xml:space="preserve">資本支出）</t>
    </r>
  </si>
  <si>
    <t xml:space="preserve">tk_opex_h100</t>
  </si>
  <si>
    <r>
      <rPr>
        <sz val="11"/>
        <color theme="1"/>
        <rFont val="Calibri"/>
        <family val="2"/>
        <charset val="1"/>
      </rPr>
      <t xml:space="preserve">IF_OpexGW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年營運成本）</t>
    </r>
  </si>
  <si>
    <t xml:space="preserve">電力、維護、人員、稅保</t>
  </si>
  <si>
    <t xml:space="preserve">tk_opex_gb200</t>
  </si>
  <si>
    <r>
      <rPr>
        <sz val="11"/>
        <color theme="1"/>
        <rFont val="Calibri"/>
        <family val="2"/>
        <charset val="1"/>
      </rPr>
      <t xml:space="preserve">IF_OpexGW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年營運成本）</t>
    </r>
  </si>
  <si>
    <t xml:space="preserve">tk_opex_gb300</t>
  </si>
  <si>
    <r>
      <rPr>
        <sz val="11"/>
        <color theme="1"/>
        <rFont val="Calibri"/>
        <family val="2"/>
        <charset val="1"/>
      </rPr>
      <t xml:space="preserve">IF_OpexGW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年營運成本）</t>
    </r>
  </si>
  <si>
    <t xml:space="preserve">tk_opex_vr200</t>
  </si>
  <si>
    <r>
      <rPr>
        <sz val="11"/>
        <color theme="1"/>
        <rFont val="Calibri"/>
        <family val="2"/>
        <charset val="1"/>
      </rPr>
      <t xml:space="preserve">IF_OpexGW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年營運成本）</t>
    </r>
  </si>
  <si>
    <t xml:space="preserve">tk_cxfac</t>
  </si>
  <si>
    <r>
      <rPr>
        <sz val="11"/>
        <color theme="1"/>
        <rFont val="Calibri"/>
        <family val="2"/>
        <charset val="1"/>
      </rPr>
      <t xml:space="preserve">IF_CapexFacility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機房資本支出）</t>
    </r>
  </si>
  <si>
    <t xml:space="preserve">各世代相同</t>
  </si>
  <si>
    <t xml:space="preserve">tk_gpuhr_h100</t>
  </si>
  <si>
    <r>
      <rPr>
        <sz val="11"/>
        <color theme="1"/>
        <rFont val="Calibri"/>
        <family val="2"/>
        <charset val="1"/>
      </rPr>
      <t xml:space="preserve">IF_GPUhrEcon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小時打平價）</t>
    </r>
  </si>
  <si>
    <t xml:space="preserve">US$/GPU-hr</t>
  </si>
  <si>
    <r>
      <rPr>
        <sz val="11"/>
        <color theme="1"/>
        <rFont val="Calibri"/>
        <family val="2"/>
        <charset val="1"/>
      </rPr>
      <t xml:space="preserve">k_</t>
    </r>
    <r>
      <rPr>
        <sz val="11"/>
        <color theme="1"/>
        <rFont val="Noto Sans CJK SC"/>
        <family val="2"/>
      </rPr>
      <t xml:space="preserve">現貨的分母</t>
    </r>
  </si>
  <si>
    <t xml:space="preserve">life_it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</si>
  <si>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折舊年限（</t>
    </r>
    <r>
      <rPr>
        <sz val="11"/>
        <color theme="1"/>
        <rFont val="Calibri"/>
        <family val="2"/>
        <charset val="1"/>
      </rPr>
      <t xml:space="preserve">IF_DeprLifeIT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</si>
  <si>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 v21.7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20261025_Tokenomics_v21.7.xlsx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master 6621bc5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伺服器與網路設備 </t>
    </r>
    <r>
      <rPr>
        <sz val="11"/>
        <color theme="1"/>
        <rFont val="Calibri"/>
        <family val="2"/>
        <charset val="1"/>
      </rPr>
      <t xml:space="preserve">2–6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pl.usefulLife.servers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</si>
  <si>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±1 </t>
    </r>
    <r>
      <rPr>
        <sz val="11"/>
        <color theme="1"/>
        <rFont val="Noto Sans CJK SC"/>
        <family val="2"/>
      </rPr>
      <t xml:space="preserve">年</t>
    </r>
  </si>
  <si>
    <t xml:space="preserve">life_fac</t>
  </si>
  <si>
    <t xml:space="preserve">機房折舊年限</t>
  </si>
  <si>
    <r>
      <rPr>
        <sz val="11"/>
        <color theme="1"/>
        <rFont val="Calibri"/>
        <family val="2"/>
        <charset val="1"/>
      </rPr>
      <t xml:space="preserve">Tokenomics v21.7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20261025_Tokenomics_v21.7.xlsx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master 6621bc5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IF_CapexFacility ÷ IF_DeprFac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</si>
  <si>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起建物 </t>
    </r>
    <r>
      <rPr>
        <sz val="11"/>
        <color theme="1"/>
        <rFont val="Calibri"/>
        <family val="2"/>
        <charset val="1"/>
      </rPr>
      <t xml:space="preserve">15 → 25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guid.usefulLife</t>
    </r>
    <r>
      <rPr>
        <sz val="11"/>
        <color theme="1"/>
        <rFont val="Noto Sans CJK SC"/>
        <family val="2"/>
      </rPr>
      <t xml:space="preserve">）</t>
    </r>
  </si>
  <si>
    <t xml:space="preserve">fac_wacc</t>
  </si>
  <si>
    <r>
      <rPr>
        <sz val="11"/>
        <color theme="1"/>
        <rFont val="Noto Sans CJK SC"/>
        <family val="2"/>
      </rPr>
      <t xml:space="preserve">機房租金年金折現率（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經濟 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</si>
  <si>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microsoft/legacy_v0.2/company.json</t>
    </r>
    <r>
      <rPr>
        <sz val="11"/>
        <color theme="1"/>
        <rFont val="Noto Sans CJK SC"/>
        <family val="2"/>
      </rPr>
      <t xml:space="preserve">；交接檔 </t>
    </r>
    <r>
      <rPr>
        <sz val="11"/>
        <color theme="1"/>
        <rFont val="Calibri"/>
        <family val="2"/>
        <charset val="1"/>
      </rPr>
      <t xml:space="preserve">docs/handoff/20261025_Microsoft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交接檔</t>
    </r>
    <r>
      <rPr>
        <sz val="11"/>
        <color theme="1"/>
        <rFont val="Calibri"/>
        <family val="2"/>
        <charset val="1"/>
      </rPr>
      <t xml:space="preserve">_v0_2_2.md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tokenomics.holdEconWacc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Tokenomics Inputs!E28 </t>
    </r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</si>
  <si>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IF_HoldEcon </t>
    </r>
    <r>
      <rPr>
        <sz val="11"/>
        <color theme="1"/>
        <rFont val="Noto Sans CJK SC"/>
        <family val="2"/>
      </rPr>
      <t xml:space="preserve">同一折現率</t>
    </r>
  </si>
  <si>
    <t xml:space="preserve">fac_rent</t>
  </si>
  <si>
    <r>
      <rPr>
        <sz val="11"/>
        <color theme="1"/>
        <rFont val="Noto Sans CJK SC"/>
        <family val="2"/>
      </rPr>
      <t xml:space="preserve">租用機房每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年租金（資本回收年金）</t>
    </r>
  </si>
  <si>
    <r>
      <rPr>
        <sz val="11"/>
        <color theme="1"/>
        <rFont val="Calibri"/>
        <family val="2"/>
        <charset val="1"/>
      </rPr>
      <t xml:space="preserve">IF_CapexFacility × </t>
    </r>
    <r>
      <rPr>
        <sz val="11"/>
        <color theme="1"/>
        <rFont val="Noto Sans CJK SC"/>
        <family val="2"/>
      </rPr>
      <t xml:space="preserve">年金因子（</t>
    </r>
    <r>
      <rPr>
        <sz val="11"/>
        <color theme="1"/>
        <rFont val="Calibri"/>
        <family val="2"/>
        <charset val="1"/>
      </rPr>
      <t xml:space="preserve">fac_wacc</t>
    </r>
    <r>
      <rPr>
        <sz val="11"/>
        <color theme="1"/>
        <rFont val="Noto Sans CJK SC"/>
        <family val="2"/>
      </rPr>
      <t xml:space="preserve">、機房年限）</t>
    </r>
  </si>
  <si>
    <r>
      <rPr>
        <sz val="11"/>
        <color theme="1"/>
        <rFont val="Calibri"/>
        <family val="2"/>
        <charset val="1"/>
      </rPr>
      <t xml:space="preserve">C22</t>
    </r>
    <r>
      <rPr>
        <sz val="11"/>
        <color theme="1"/>
        <rFont val="Noto Sans CJK SC"/>
        <family val="2"/>
      </rPr>
      <t xml:space="preserve">：租用機房的租金計入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營運成本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</si>
  <si>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命題模組：</t>
    </r>
    <r>
      <rPr>
        <b val="true"/>
        <sz val="11"/>
        <rFont val="Cambria"/>
        <family val="0"/>
        <charset val="1"/>
      </rPr>
      <t xml:space="preserve">AI MW</t>
    </r>
    <r>
      <rPr>
        <b val="true"/>
        <sz val="11"/>
        <rFont val="Noto Sans CJK SC"/>
        <family val="2"/>
      </rPr>
      <t xml:space="preserve">、對外比例、</t>
    </r>
    <r>
      <rPr>
        <b val="true"/>
        <sz val="11"/>
        <rFont val="Cambria"/>
        <family val="0"/>
        <charset val="1"/>
      </rPr>
      <t xml:space="preserve">k</t>
    </r>
    <r>
      <rPr>
        <b val="true"/>
        <sz val="11"/>
        <rFont val="Noto Sans CJK SC"/>
        <family val="2"/>
      </rPr>
      <t xml:space="preserve">（沿用 </t>
    </r>
    <r>
      <rPr>
        <b val="true"/>
        <sz val="11"/>
        <rFont val="Cambria"/>
        <family val="0"/>
        <charset val="1"/>
      </rPr>
      <t xml:space="preserve">v0.2.2</t>
    </r>
    <r>
      <rPr>
        <b val="true"/>
        <sz val="11"/>
        <rFont val="Noto Sans CJK SC"/>
        <family val="2"/>
      </rPr>
      <t xml:space="preserve">；不以 </t>
    </r>
    <r>
      <rPr>
        <b val="true"/>
        <sz val="11"/>
        <rFont val="Cambria"/>
        <family val="0"/>
        <charset val="1"/>
      </rPr>
      <t xml:space="preserve">Azure </t>
    </r>
    <r>
      <rPr>
        <b val="true"/>
        <sz val="11"/>
        <rFont val="Noto Sans CJK SC"/>
        <family val="2"/>
      </rPr>
      <t xml:space="preserve">營收、</t>
    </r>
    <r>
      <rPr>
        <b val="true"/>
        <sz val="11"/>
        <rFont val="Cambria"/>
        <family val="0"/>
        <charset val="1"/>
      </rPr>
      <t xml:space="preserve">RPO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AI run-rate </t>
    </r>
    <r>
      <rPr>
        <b val="true"/>
        <sz val="11"/>
        <rFont val="Noto Sans CJK SC"/>
        <family val="2"/>
      </rPr>
      <t xml:space="preserve">反推）</t>
    </r>
  </si>
  <si>
    <t xml:space="preserve">mw_ext_24</t>
  </si>
  <si>
    <r>
      <rPr>
        <sz val="11"/>
        <color theme="1"/>
        <rFont val="Noto Sans CJK SC"/>
        <family val="2"/>
      </rPr>
      <t xml:space="preserve">在役對外 </t>
    </r>
    <r>
      <rPr>
        <sz val="11"/>
        <color theme="1"/>
        <rFont val="Calibri"/>
        <family val="2"/>
        <charset val="1"/>
      </rPr>
      <t xml:space="preserve">AI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年底，含租用）</t>
    </r>
  </si>
  <si>
    <t xml:space="preserve">MW</t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</si>
  <si>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microsoft/legacy_v0.2/company.json</t>
    </r>
    <r>
      <rPr>
        <sz val="11"/>
        <color theme="1"/>
        <rFont val="Noto Sans CJK SC"/>
        <family val="2"/>
      </rPr>
      <t xml:space="preserve">；交接檔 </t>
    </r>
    <r>
      <rPr>
        <sz val="11"/>
        <color theme="1"/>
        <rFont val="Calibri"/>
        <family val="2"/>
        <charset val="1"/>
      </rPr>
      <t xml:space="preserve">docs/handoff/20261025_Microsoft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交接檔</t>
    </r>
    <r>
      <rPr>
        <sz val="11"/>
        <color theme="1"/>
        <rFont val="Calibri"/>
        <family val="2"/>
        <charset val="1"/>
      </rPr>
      <t xml:space="preserve">_v0_2_2.md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v0.2.2 defaults.mwYearEnd</t>
    </r>
  </si>
  <si>
    <r>
      <rPr>
        <sz val="11"/>
        <color theme="1"/>
        <rFont val="Noto Sans CJK SC"/>
        <family val="2"/>
      </rPr>
      <t xml:space="preserve">公司未揭露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（不存在）</t>
    </r>
  </si>
  <si>
    <t xml:space="preserve">mw_ext_25</t>
  </si>
  <si>
    <r>
      <rPr>
        <sz val="11"/>
        <color theme="1"/>
        <rFont val="Noto Sans CJK SC"/>
        <family val="2"/>
      </rPr>
      <t xml:space="preserve">在役對外 </t>
    </r>
    <r>
      <rPr>
        <sz val="11"/>
        <color theme="1"/>
        <rFont val="Calibri"/>
        <family val="2"/>
        <charset val="1"/>
      </rPr>
      <t xml:space="preserve">AI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年底，含租用）</t>
    </r>
  </si>
  <si>
    <t xml:space="preserve">mw_ext_26</t>
  </si>
  <si>
    <r>
      <rPr>
        <sz val="11"/>
        <color theme="1"/>
        <rFont val="Noto Sans CJK SC"/>
        <family val="2"/>
      </rPr>
      <t xml:space="preserve">在役對外 </t>
    </r>
    <r>
      <rPr>
        <sz val="11"/>
        <color theme="1"/>
        <rFont val="Calibri"/>
        <family val="2"/>
        <charset val="1"/>
      </rPr>
      <t xml:space="preserve">AI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年底，含租用）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</si>
  <si>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microsoft/legacy_v0.2/company.json</t>
    </r>
    <r>
      <rPr>
        <sz val="11"/>
        <color theme="1"/>
        <rFont val="Noto Sans CJK SC"/>
        <family val="2"/>
      </rPr>
      <t xml:space="preserve">；交接檔 </t>
    </r>
    <r>
      <rPr>
        <sz val="11"/>
        <color theme="1"/>
        <rFont val="Calibri"/>
        <family val="2"/>
        <charset val="1"/>
      </rPr>
      <t xml:space="preserve">docs/handoff/20261025_Microsoft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交接檔</t>
    </r>
    <r>
      <rPr>
        <sz val="11"/>
        <color theme="1"/>
        <rFont val="Calibri"/>
        <family val="2"/>
        <charset val="1"/>
      </rPr>
      <t xml:space="preserve">_v0_2_2.md</t>
    </r>
    <r>
      <rPr>
        <sz val="11"/>
        <color theme="1"/>
        <rFont val="Noto Sans CJK SC"/>
        <family val="2"/>
      </rPr>
      <t xml:space="preserve">）｜三法交叉：自有在役 </t>
    </r>
    <r>
      <rPr>
        <sz val="11"/>
        <color theme="1"/>
        <rFont val="Calibri"/>
        <family val="2"/>
        <charset val="1"/>
      </rPr>
      <t xml:space="preserve">AI 4,500 × </t>
    </r>
    <r>
      <rPr>
        <sz val="11"/>
        <color theme="1"/>
        <rFont val="Noto Sans CJK SC"/>
        <family val="2"/>
      </rPr>
      <t xml:space="preserve">對外 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neocloud </t>
    </r>
    <r>
      <rPr>
        <sz val="11"/>
        <color theme="1"/>
        <rFont val="Noto Sans CJK SC"/>
        <family val="2"/>
      </rPr>
      <t xml:space="preserve">租用 </t>
    </r>
    <r>
      <rPr>
        <sz val="11"/>
        <color theme="1"/>
        <rFont val="Calibri"/>
        <family val="2"/>
        <charset val="1"/>
      </rPr>
      <t xml:space="preserve">1,100 × 50%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split.extMW</t>
    </r>
    <r>
      <rPr>
        <sz val="11"/>
        <color theme="1"/>
        <rFont val="Noto Sans CJK SC"/>
        <family val="2"/>
      </rPr>
      <t xml:space="preserve">）</t>
    </r>
  </si>
  <si>
    <t xml:space="preserve">rent_ext_24</t>
  </si>
  <si>
    <r>
      <rPr>
        <sz val="11"/>
        <color theme="1"/>
        <rFont val="Noto Sans CJK SC"/>
        <family val="2"/>
      </rPr>
      <t xml:space="preserve">其中租用 </t>
    </r>
    <r>
      <rPr>
        <sz val="11"/>
        <color theme="1"/>
        <rFont val="Calibri"/>
        <family val="2"/>
        <charset val="1"/>
      </rPr>
      <t xml:space="preserve">neocloud </t>
    </r>
    <r>
      <rPr>
        <sz val="11"/>
        <color theme="1"/>
        <rFont val="Noto Sans CJK SC"/>
        <family val="2"/>
      </rPr>
      <t xml:space="preserve">的對外 </t>
    </r>
    <r>
      <rPr>
        <sz val="11"/>
        <color theme="1"/>
        <rFont val="Calibri"/>
        <family val="2"/>
        <charset val="1"/>
      </rPr>
      <t xml:space="preserve">AI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年底）</t>
    </r>
  </si>
  <si>
    <r>
      <rPr>
        <sz val="11"/>
        <color theme="1"/>
        <rFont val="Noto Sans CJK SC"/>
        <family val="2"/>
      </rPr>
      <t xml:space="preserve">無：</t>
    </r>
    <r>
      <rPr>
        <sz val="11"/>
        <color theme="1"/>
        <rFont val="Calibri"/>
        <family val="2"/>
        <charset val="1"/>
      </rPr>
      <t xml:space="preserve">CoreWeave 2024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營收約 </t>
    </r>
    <r>
      <rPr>
        <sz val="11"/>
        <color theme="1"/>
        <rFont val="Calibri"/>
        <family val="2"/>
        <charset val="1"/>
      </rPr>
      <t xml:space="preserve">62%–67% </t>
    </r>
    <r>
      <rPr>
        <sz val="11"/>
        <color theme="1"/>
        <rFont val="Noto Sans CJK SC"/>
        <family val="2"/>
      </rPr>
      <t xml:space="preserve">來自 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nc.crwv.*</t>
    </r>
    <r>
      <rPr>
        <sz val="11"/>
        <color theme="1"/>
        <rFont val="Noto Sans CJK SC"/>
        <family val="2"/>
      </rPr>
      <t xml:space="preserve">）推估</t>
    </r>
  </si>
  <si>
    <r>
      <rPr>
        <sz val="11"/>
        <color theme="1"/>
        <rFont val="Noto Sans CJK SC"/>
        <family val="2"/>
      </rPr>
      <t xml:space="preserve">租用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收入照算，不計資本支出與折舊（</t>
    </r>
    <r>
      <rPr>
        <sz val="11"/>
        <color theme="1"/>
        <rFont val="Calibri"/>
        <family val="2"/>
        <charset val="1"/>
      </rPr>
      <t xml:space="preserve">C20</t>
    </r>
    <r>
      <rPr>
        <sz val="11"/>
        <color theme="1"/>
        <rFont val="Noto Sans CJK SC"/>
        <family val="2"/>
      </rPr>
      <t xml:space="preserve">）</t>
    </r>
  </si>
  <si>
    <t xml:space="preserve">rent_ext_25</t>
  </si>
  <si>
    <r>
      <rPr>
        <sz val="11"/>
        <color theme="1"/>
        <rFont val="Noto Sans CJK SC"/>
        <family val="2"/>
      </rPr>
      <t xml:space="preserve">其中租用 </t>
    </r>
    <r>
      <rPr>
        <sz val="11"/>
        <color theme="1"/>
        <rFont val="Calibri"/>
        <family val="2"/>
        <charset val="1"/>
      </rPr>
      <t xml:space="preserve">neocloud </t>
    </r>
    <r>
      <rPr>
        <sz val="11"/>
        <color theme="1"/>
        <rFont val="Noto Sans CJK SC"/>
        <family val="2"/>
      </rPr>
      <t xml:space="preserve">的對外 </t>
    </r>
    <r>
      <rPr>
        <sz val="11"/>
        <color theme="1"/>
        <rFont val="Calibri"/>
        <family val="2"/>
        <charset val="1"/>
      </rPr>
      <t xml:space="preserve">AI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年底）</t>
    </r>
  </si>
  <si>
    <t xml:space="preserve">rent_ext_26</t>
  </si>
  <si>
    <r>
      <rPr>
        <sz val="11"/>
        <color theme="1"/>
        <rFont val="Noto Sans CJK SC"/>
        <family val="2"/>
      </rPr>
      <t xml:space="preserve">其中租用 </t>
    </r>
    <r>
      <rPr>
        <sz val="11"/>
        <color theme="1"/>
        <rFont val="Calibri"/>
        <family val="2"/>
        <charset val="1"/>
      </rPr>
      <t xml:space="preserve">neocloud </t>
    </r>
    <r>
      <rPr>
        <sz val="11"/>
        <color theme="1"/>
        <rFont val="Noto Sans CJK SC"/>
        <family val="2"/>
      </rPr>
      <t xml:space="preserve">的對外 </t>
    </r>
    <r>
      <rPr>
        <sz val="11"/>
        <color theme="1"/>
        <rFont val="Calibri"/>
        <family val="2"/>
        <charset val="1"/>
      </rPr>
      <t xml:space="preserve">AI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年底）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</si>
  <si>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microsoft/legacy_v0.2/company.json</t>
    </r>
    <r>
      <rPr>
        <sz val="11"/>
        <color theme="1"/>
        <rFont val="Noto Sans CJK SC"/>
        <family val="2"/>
      </rPr>
      <t xml:space="preserve">；交接檔 </t>
    </r>
    <r>
      <rPr>
        <sz val="11"/>
        <color theme="1"/>
        <rFont val="Calibri"/>
        <family val="2"/>
        <charset val="1"/>
      </rPr>
      <t xml:space="preserve">docs/handoff/20261025_Microsoft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交接檔</t>
    </r>
    <r>
      <rPr>
        <sz val="11"/>
        <color theme="1"/>
        <rFont val="Calibri"/>
        <family val="2"/>
        <charset val="1"/>
      </rPr>
      <t xml:space="preserve">_v0_2_2.md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capexModel.rentedExt</t>
    </r>
    <r>
      <rPr>
        <sz val="11"/>
        <color theme="1"/>
        <rFont val="Noto Sans CJK SC"/>
        <family val="2"/>
      </rPr>
      <t xml:space="preserve">：期初 </t>
    </r>
    <r>
      <rPr>
        <sz val="11"/>
        <color theme="1"/>
        <rFont val="Calibri"/>
        <family val="2"/>
        <charset val="1"/>
      </rPr>
      <t xml:space="preserve">550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neocloud </t>
    </r>
    <r>
      <rPr>
        <sz val="11"/>
        <color theme="1"/>
        <rFont val="Noto Sans CJK SC"/>
        <family val="2"/>
      </rPr>
      <t xml:space="preserve">在役 </t>
    </r>
    <r>
      <rPr>
        <sz val="11"/>
        <color theme="1"/>
        <rFont val="Calibri"/>
        <family val="2"/>
        <charset val="1"/>
      </rPr>
      <t xml:space="preserve">1,100 × </t>
    </r>
    <r>
      <rPr>
        <sz val="11"/>
        <color theme="1"/>
        <rFont val="Noto Sans CJK SC"/>
        <family val="2"/>
      </rPr>
      <t xml:space="preserve">對外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）</t>
    </r>
  </si>
  <si>
    <t xml:space="preserve">rent_ext_f</t>
  </si>
  <si>
    <r>
      <rPr>
        <sz val="11"/>
        <color theme="1"/>
        <rFont val="Noto Sans CJK SC"/>
        <family val="2"/>
      </rPr>
      <t xml:space="preserve">租用 </t>
    </r>
    <r>
      <rPr>
        <sz val="11"/>
        <color theme="1"/>
        <rFont val="Calibri"/>
        <family val="2"/>
        <charset val="1"/>
      </rPr>
      <t xml:space="preserve">neocloud </t>
    </r>
    <r>
      <rPr>
        <sz val="11"/>
        <color theme="1"/>
        <rFont val="Noto Sans CJK SC"/>
        <family val="2"/>
      </rPr>
      <t xml:space="preserve">的對外 </t>
    </r>
    <r>
      <rPr>
        <sz val="11"/>
        <color theme="1"/>
        <rFont val="Calibri"/>
        <family val="2"/>
        <charset val="1"/>
      </rPr>
      <t xml:space="preserve">AI 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</si>
  <si>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microsoft/legacy_v0.2/company.json</t>
    </r>
    <r>
      <rPr>
        <sz val="11"/>
        <color theme="1"/>
        <rFont val="Noto Sans CJK SC"/>
        <family val="2"/>
      </rPr>
      <t xml:space="preserve">；交接檔 </t>
    </r>
    <r>
      <rPr>
        <sz val="11"/>
        <color theme="1"/>
        <rFont val="Calibri"/>
        <family val="2"/>
        <charset val="1"/>
      </rPr>
      <t xml:space="preserve">docs/handoff/20261025_Microsoft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交接檔</t>
    </r>
    <r>
      <rPr>
        <sz val="11"/>
        <color theme="1"/>
        <rFont val="Calibri"/>
        <family val="2"/>
        <charset val="1"/>
      </rPr>
      <t xml:space="preserve">_v0_2_2.md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rentedExt.path</t>
    </r>
    <r>
      <rPr>
        <sz val="11"/>
        <color theme="1"/>
        <rFont val="Noto Sans CJK SC"/>
        <family val="2"/>
      </rPr>
      <t xml:space="preserve">：加 </t>
    </r>
    <r>
      <rPr>
        <sz val="11"/>
        <color theme="1"/>
        <rFont val="Calibri"/>
        <family val="2"/>
        <charset val="1"/>
      </rPr>
      <t xml:space="preserve">Nscale </t>
    </r>
    <r>
      <rPr>
        <sz val="11"/>
        <color theme="1"/>
        <rFont val="Noto Sans CJK SC"/>
        <family val="2"/>
      </rPr>
      <t xml:space="preserve">對外 </t>
    </r>
    <r>
      <rPr>
        <sz val="11"/>
        <color theme="1"/>
        <rFont val="Calibri"/>
        <family val="2"/>
        <charset val="1"/>
      </rPr>
      <t xml:space="preserve">205.5</t>
    </r>
    <r>
      <rPr>
        <sz val="11"/>
        <color theme="1"/>
        <rFont val="Noto Sans CJK SC"/>
        <family val="2"/>
      </rPr>
      <t xml:space="preserve">；到期以相同條件續約）</t>
    </r>
  </si>
  <si>
    <t xml:space="preserve">pace</t>
  </si>
  <si>
    <r>
      <rPr>
        <sz val="11"/>
        <color theme="1"/>
        <rFont val="Noto Sans CJK SC"/>
        <family val="2"/>
      </rPr>
      <t xml:space="preserve">在役對外 </t>
    </r>
    <r>
      <rPr>
        <sz val="11"/>
        <color theme="1"/>
        <rFont val="Calibri"/>
        <family val="2"/>
        <charset val="1"/>
      </rPr>
      <t xml:space="preserve">AI MW </t>
    </r>
    <r>
      <rPr>
        <sz val="11"/>
        <color theme="1"/>
        <rFont val="Noto Sans CJK SC"/>
        <family val="2"/>
      </rPr>
      <t xml:space="preserve">每年新增（三情境相同；</t>
    </r>
    <r>
      <rPr>
        <sz val="11"/>
        <color theme="1"/>
        <rFont val="Calibri"/>
        <family val="2"/>
        <charset val="1"/>
      </rPr>
      <t xml:space="preserve">C10 </t>
    </r>
    <r>
      <rPr>
        <sz val="11"/>
        <color theme="1"/>
        <rFont val="Noto Sans CJK SC"/>
        <family val="2"/>
      </rPr>
      <t xml:space="preserve">重解）</t>
    </r>
  </si>
  <si>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／年</t>
    </r>
  </si>
  <si>
    <r>
      <rPr>
        <sz val="11"/>
        <color theme="1"/>
        <rFont val="Calibri"/>
        <family val="2"/>
        <charset val="1"/>
      </rPr>
      <t xml:space="preserve">C10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v0.3.1 </t>
    </r>
    <r>
      <rPr>
        <sz val="11"/>
        <color theme="1"/>
        <rFont val="Noto Sans CJK SC"/>
        <family val="2"/>
      </rPr>
      <t xml:space="preserve">重解）：使基準情境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模型資本支出（</t>
    </r>
    <r>
      <rPr>
        <sz val="11"/>
        <color theme="1"/>
        <rFont val="Calibri"/>
        <family val="2"/>
        <charset val="1"/>
      </rPr>
      <t xml:space="preserve">AI IT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機房＋非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）＝公司指引推估 </t>
    </r>
    <r>
      <rPr>
        <sz val="11"/>
        <color theme="1"/>
        <rFont val="Calibri"/>
        <family val="2"/>
        <charset val="1"/>
      </rPr>
      <t xml:space="preserve">capex_floor27</t>
    </r>
    <r>
      <rPr>
        <sz val="11"/>
        <color theme="1"/>
        <rFont val="Noto Sans CJK SC"/>
        <family val="2"/>
      </rPr>
      <t xml:space="preserve">，對帳落差 ≈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microsoft/attrib_v031.py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LibreOffice </t>
    </r>
    <r>
      <rPr>
        <sz val="11"/>
        <color theme="1"/>
        <rFont val="Noto Sans CJK SC"/>
        <family val="2"/>
      </rPr>
      <t xml:space="preserve">重算割線法求解）</t>
    </r>
  </si>
  <si>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2,527.2</t>
    </r>
    <r>
      <rPr>
        <sz val="11"/>
        <color theme="1"/>
        <rFont val="Noto Sans CJK SC"/>
        <family val="2"/>
      </rPr>
      <t xml:space="preserve">（當時 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引擎有 </t>
    </r>
    <r>
      <rPr>
        <sz val="11"/>
        <color theme="1"/>
        <rFont val="Calibri"/>
        <family val="2"/>
        <charset val="1"/>
      </rPr>
      <t xml:space="preserve">8.3 </t>
    </r>
    <r>
      <rPr>
        <sz val="11"/>
        <color theme="1"/>
        <rFont val="Noto Sans CJK SC"/>
        <family val="2"/>
      </rPr>
      <t xml:space="preserve">的補足差額）；情境差異集中在命題的變現驅動；替代（保守＝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可辨識站點 </t>
    </r>
    <r>
      <rPr>
        <sz val="11"/>
        <color theme="1"/>
        <rFont val="Calibri"/>
        <family val="2"/>
        <charset val="1"/>
      </rPr>
      <t xml:space="preserve">650</t>
    </r>
    <r>
      <rPr>
        <sz val="11"/>
        <color theme="1"/>
        <rFont val="Noto Sans CJK SC"/>
        <family val="2"/>
      </rPr>
      <t xml:space="preserve">／年）見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判斷預設表</t>
    </r>
  </si>
  <si>
    <t xml:space="preserve">pace_v03</t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</si>
  <si>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速度（</t>
    </r>
    <r>
      <rPr>
        <sz val="11"/>
        <color theme="1"/>
        <rFont val="Calibri"/>
        <family val="2"/>
        <charset val="1"/>
      </rPr>
      <t xml:space="preserve">v0.2.2 C10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</si>
  <si>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microsoft/legacy_v0.2/company.json</t>
    </r>
    <r>
      <rPr>
        <sz val="11"/>
        <color theme="1"/>
        <rFont val="Noto Sans CJK SC"/>
        <family val="2"/>
      </rPr>
      <t xml:space="preserve">；交接檔 </t>
    </r>
    <r>
      <rPr>
        <sz val="11"/>
        <color theme="1"/>
        <rFont val="Calibri"/>
        <family val="2"/>
        <charset val="1"/>
      </rPr>
      <t xml:space="preserve">docs/handoff/20261025_Microsoft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交接檔</t>
    </r>
    <r>
      <rPr>
        <sz val="11"/>
        <color theme="1"/>
        <rFont val="Calibri"/>
        <family val="2"/>
        <charset val="1"/>
      </rPr>
      <t xml:space="preserve">_v0_2_2.md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scripts/calib_pace.js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204.2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</si>
  <si>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變動拆解 </t>
    </r>
    <r>
      <rPr>
        <sz val="11"/>
        <color theme="1"/>
        <rFont val="Calibri"/>
        <family val="2"/>
        <charset val="1"/>
      </rPr>
      <t xml:space="preserve">(b) </t>
    </r>
    <r>
      <rPr>
        <sz val="11"/>
        <color theme="1"/>
        <rFont val="Noto Sans CJK SC"/>
        <family val="2"/>
      </rPr>
      <t xml:space="preserve">以前的狀態</t>
    </r>
  </si>
  <si>
    <t xml:space="preserve">pace_nv0</t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</si>
  <si>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舊口徑（</t>
    </r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GB300 × 1.0</t>
    </r>
    <r>
      <rPr>
        <sz val="11"/>
        <color theme="1"/>
        <rFont val="Noto Sans CJK SC"/>
        <family val="2"/>
      </rPr>
      <t xml:space="preserve">）下重解的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速度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</si>
  <si>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pace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C10 </t>
    </r>
    <r>
      <rPr>
        <sz val="11"/>
        <color theme="1"/>
        <rFont val="Noto Sans CJK SC"/>
        <family val="2"/>
      </rPr>
      <t xml:space="preserve">重解，但 </t>
    </r>
    <r>
      <rPr>
        <sz val="11"/>
        <color theme="1"/>
        <rFont val="Calibri"/>
        <family val="2"/>
        <charset val="1"/>
      </rPr>
      <t xml:space="preserve">nonnv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</si>
  <si>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判斷替代「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舊口徑」用</t>
    </r>
  </si>
  <si>
    <t xml:space="preserve">pace_y0</t>
  </si>
  <si>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新增速度開始收斂的年度（此年後逐年線性收斂）</t>
    </r>
  </si>
  <si>
    <r>
      <rPr>
        <sz val="11"/>
        <color theme="1"/>
        <rFont val="Noto Sans CJK SC"/>
        <family val="2"/>
      </rPr>
      <t xml:space="preserve">共同修正工作單 </t>
    </r>
    <r>
      <rPr>
        <sz val="11"/>
        <color theme="1"/>
        <rFont val="Calibri"/>
        <family val="2"/>
        <charset val="1"/>
      </rPr>
      <t xml:space="preserve">F5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之後逐年收斂，終值不得落在建置高峰</t>
    </r>
  </si>
  <si>
    <t xml:space="preserve">pace_y1</t>
  </si>
  <si>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新增速度收斂完成的年度</t>
    </r>
  </si>
  <si>
    <r>
      <rPr>
        <sz val="11"/>
        <color theme="1"/>
        <rFont val="Noto Sans CJK SC"/>
        <family val="2"/>
      </rPr>
      <t xml:space="preserve">同上：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只剩與永續成長 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一致的增量（＝</t>
    </r>
    <r>
      <rPr>
        <sz val="11"/>
        <color theme="1"/>
        <rFont val="Calibri"/>
        <family val="2"/>
        <charset val="1"/>
      </rPr>
      <t xml:space="preserve">g_tv × FY2029 </t>
    </r>
    <r>
      <rPr>
        <sz val="11"/>
        <color theme="1"/>
        <rFont val="Noto Sans CJK SC"/>
        <family val="2"/>
      </rPr>
      <t xml:space="preserve">年底在役對外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）</t>
    </r>
  </si>
  <si>
    <t xml:space="preserve">汰換另計</t>
  </si>
  <si>
    <t xml:space="preserve">k_ramp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</si>
  <si>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由基準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移到情境值的年數</t>
    </r>
  </si>
  <si>
    <t xml:space="preserve">無：合約重新定價需時</t>
  </si>
  <si>
    <t xml:space="preserve">pace_epoch</t>
  </si>
  <si>
    <r>
      <rPr>
        <sz val="11"/>
        <color theme="1"/>
        <rFont val="Noto Sans CJK SC"/>
        <family val="2"/>
      </rPr>
      <t xml:space="preserve">替代：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可辨識站點速度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</si>
  <si>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microsoft/legacy_v0.2/company.json</t>
    </r>
    <r>
      <rPr>
        <sz val="11"/>
        <color theme="1"/>
        <rFont val="Noto Sans CJK SC"/>
        <family val="2"/>
      </rPr>
      <t xml:space="preserve">；交接檔 </t>
    </r>
    <r>
      <rPr>
        <sz val="11"/>
        <color theme="1"/>
        <rFont val="Calibri"/>
        <family val="2"/>
        <charset val="1"/>
      </rPr>
      <t xml:space="preserve">docs/handoff/20261025_Microsoft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交接檔</t>
    </r>
    <r>
      <rPr>
        <sz val="11"/>
        <color theme="1"/>
        <rFont val="Calibri"/>
        <family val="2"/>
        <charset val="1"/>
      </rPr>
      <t xml:space="preserve">_v0_2_2.md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scenarios.mwPath.pace.low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Fairwater Wisconsin 369 → 2,263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</si>
  <si>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上限 </t>
    </r>
    <r>
      <rPr>
        <sz val="11"/>
        <color theme="1"/>
        <rFont val="Calibri"/>
        <family val="2"/>
        <charset val="1"/>
      </rPr>
      <t xml:space="preserve">cap_epoch</t>
    </r>
  </si>
  <si>
    <t xml:space="preserve">cap_epoch</t>
  </si>
  <si>
    <r>
      <rPr>
        <sz val="11"/>
        <color theme="1"/>
        <rFont val="Noto Sans CJK SC"/>
        <family val="2"/>
      </rPr>
      <t xml:space="preserve">替代：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可辨識站點上限</t>
    </r>
  </si>
  <si>
    <t xml:space="preserve">ext_sh</t>
  </si>
  <si>
    <r>
      <rPr>
        <sz val="11"/>
        <color theme="1"/>
        <rFont val="Noto Sans CJK SC"/>
        <family val="2"/>
      </rPr>
      <t xml:space="preserve">對外比例（對外 </t>
    </r>
    <r>
      <rPr>
        <sz val="11"/>
        <color theme="1"/>
        <rFont val="Calibri"/>
        <family val="2"/>
        <charset val="1"/>
      </rPr>
      <t xml:space="preserve">AI MW ÷ </t>
    </r>
    <r>
      <rPr>
        <sz val="11"/>
        <color theme="1"/>
        <rFont val="Noto Sans CJK SC"/>
        <family val="2"/>
      </rPr>
      <t xml:space="preserve">自有 </t>
    </r>
    <r>
      <rPr>
        <sz val="11"/>
        <color theme="1"/>
        <rFont val="Calibri"/>
        <family val="2"/>
        <charset val="1"/>
      </rPr>
      <t xml:space="preserve">AI MW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</si>
  <si>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microsoft/legacy_v0.2/company.json</t>
    </r>
    <r>
      <rPr>
        <sz val="11"/>
        <color theme="1"/>
        <rFont val="Noto Sans CJK SC"/>
        <family val="2"/>
      </rPr>
      <t xml:space="preserve">；交接檔 </t>
    </r>
    <r>
      <rPr>
        <sz val="11"/>
        <color theme="1"/>
        <rFont val="Calibri"/>
        <family val="2"/>
        <charset val="1"/>
      </rPr>
      <t xml:space="preserve">docs/handoff/20261025_Microsoft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交接檔</t>
    </r>
    <r>
      <rPr>
        <sz val="11"/>
        <color theme="1"/>
        <rFont val="Calibri"/>
        <family val="2"/>
        <charset val="1"/>
      </rPr>
      <t xml:space="preserve">_v0_2_2.md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C23</t>
    </r>
    <r>
      <rPr>
        <sz val="11"/>
        <color theme="1"/>
        <rFont val="Noto Sans CJK SC"/>
        <family val="2"/>
      </rPr>
      <t xml:space="preserve">：公司無揭露，最大不確定）</t>
    </r>
  </si>
  <si>
    <r>
      <rPr>
        <sz val="11"/>
        <color theme="1"/>
        <rFont val="Calibri"/>
        <family val="2"/>
        <charset val="1"/>
      </rPr>
      <t xml:space="preserve">Sens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0.75</t>
    </r>
  </si>
  <si>
    <t xml:space="preserve">self_build</t>
  </si>
  <si>
    <t xml:space="preserve">機房自建比例（自建＋融資租賃）</t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</si>
  <si>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microsoft/legacy_v0.2/company.json</t>
    </r>
    <r>
      <rPr>
        <sz val="11"/>
        <color theme="1"/>
        <rFont val="Noto Sans CJK SC"/>
        <family val="2"/>
      </rPr>
      <t xml:space="preserve">；交接檔 </t>
    </r>
    <r>
      <rPr>
        <sz val="11"/>
        <color theme="1"/>
        <rFont val="Calibri"/>
        <family val="2"/>
        <charset val="1"/>
      </rPr>
      <t xml:space="preserve">docs/handoff/20261025_Microsoft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交接檔</t>
    </r>
    <r>
      <rPr>
        <sz val="11"/>
        <color theme="1"/>
        <rFont val="Calibri"/>
        <family val="2"/>
        <charset val="1"/>
      </rPr>
      <t xml:space="preserve">_v0_2_2.md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capexModel.selfBuild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</si>
  <si>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其餘為營業租賃：不計資本支出，計租金（</t>
    </r>
    <r>
      <rPr>
        <sz val="11"/>
        <color theme="1"/>
        <rFont val="Calibri"/>
        <family val="2"/>
        <charset val="1"/>
      </rPr>
      <t xml:space="preserve">C22</t>
    </r>
    <r>
      <rPr>
        <sz val="11"/>
        <color theme="1"/>
        <rFont val="Noto Sans CJK SC"/>
        <family val="2"/>
      </rPr>
      <t xml:space="preserve">）</t>
    </r>
  </si>
  <si>
    <t xml:space="preserve">mix_h</t>
  </si>
  <si>
    <r>
      <rPr>
        <sz val="11"/>
        <color theme="1"/>
        <rFont val="Noto Sans CJK SC"/>
        <family val="2"/>
      </rPr>
      <t xml:space="preserve">期初在役世代占比：</t>
    </r>
    <r>
      <rPr>
        <sz val="11"/>
        <color theme="1"/>
        <rFont val="Calibri"/>
        <family val="2"/>
        <charset val="1"/>
      </rPr>
      <t xml:space="preserve">Hopper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</si>
  <si>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microsoft/legacy_v0.2/company.json</t>
    </r>
    <r>
      <rPr>
        <sz val="11"/>
        <color theme="1"/>
        <rFont val="Noto Sans CJK SC"/>
        <family val="2"/>
      </rPr>
      <t xml:space="preserve">；交接檔 </t>
    </r>
    <r>
      <rPr>
        <sz val="11"/>
        <color theme="1"/>
        <rFont val="Calibri"/>
        <family val="2"/>
        <charset val="1"/>
      </rPr>
      <t xml:space="preserve">docs/handoff/20261025_Microsoft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交接檔</t>
    </r>
    <r>
      <rPr>
        <sz val="11"/>
        <color theme="1"/>
        <rFont val="Calibri"/>
        <family val="2"/>
        <charset val="1"/>
      </rPr>
      <t xml:space="preserve">_v0_2_2.md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mw.genMix.open</t>
    </r>
    <r>
      <rPr>
        <sz val="11"/>
        <color theme="1"/>
        <rFont val="Noto Sans CJK SC"/>
        <family val="2"/>
      </rPr>
      <t xml:space="preserve">；區間 </t>
    </r>
    <r>
      <rPr>
        <sz val="11"/>
        <color theme="1"/>
        <rFont val="Calibri"/>
        <family val="2"/>
        <charset val="1"/>
      </rPr>
      <t xml:space="preserve">Hopper 15–30%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GB200 35–55%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GB300 20–40%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</si>
  <si>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以前各年同此占比</t>
    </r>
  </si>
  <si>
    <t xml:space="preserve">mix_g2</t>
  </si>
  <si>
    <r>
      <rPr>
        <sz val="11"/>
        <color theme="1"/>
        <rFont val="Noto Sans CJK SC"/>
        <family val="2"/>
      </rPr>
      <t xml:space="preserve">期初在役世代占比：</t>
    </r>
    <r>
      <rPr>
        <sz val="11"/>
        <color theme="1"/>
        <rFont val="Calibri"/>
        <family val="2"/>
        <charset val="1"/>
      </rPr>
      <t xml:space="preserve">GB200</t>
    </r>
  </si>
  <si>
    <t xml:space="preserve">mix_g3</t>
  </si>
  <si>
    <r>
      <rPr>
        <sz val="11"/>
        <color theme="1"/>
        <rFont val="Noto Sans CJK SC"/>
        <family val="2"/>
      </rPr>
      <t xml:space="preserve">期初在役世代占比：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Maia 200</t>
    </r>
    <r>
      <rPr>
        <sz val="11"/>
        <color theme="1"/>
        <rFont val="Noto Sans CJK SC"/>
        <family val="2"/>
      </rPr>
      <t xml:space="preserve">）</t>
    </r>
  </si>
  <si>
    <t xml:space="preserve">a_g3_27</t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</si>
  <si>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中 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Maia 200 </t>
    </r>
    <r>
      <rPr>
        <sz val="11"/>
        <color theme="1"/>
        <rFont val="Noto Sans CJK SC"/>
        <family val="2"/>
      </rPr>
      <t xml:space="preserve">合計占比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</si>
  <si>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microsoft/legacy_v0.2/company.json</t>
    </r>
    <r>
      <rPr>
        <sz val="11"/>
        <color theme="1"/>
        <rFont val="Noto Sans CJK SC"/>
        <family val="2"/>
      </rPr>
      <t xml:space="preserve">；交接檔 </t>
    </r>
    <r>
      <rPr>
        <sz val="11"/>
        <color theme="1"/>
        <rFont val="Calibri"/>
        <family val="2"/>
        <charset val="1"/>
      </rPr>
      <t xml:space="preserve">docs/handoff/20261025_Microsoft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交接檔</t>
    </r>
    <r>
      <rPr>
        <sz val="11"/>
        <color theme="1"/>
        <rFont val="Calibri"/>
        <family val="2"/>
        <charset val="1"/>
      </rPr>
      <t xml:space="preserve">_v0_2_2.md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chips.mixAdds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 60%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Maia 10%</t>
    </r>
    <r>
      <rPr>
        <sz val="11"/>
        <color theme="1"/>
        <rFont val="Noto Sans CJK SC"/>
        <family val="2"/>
      </rPr>
      <t xml:space="preserve">；其餘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</si>
  <si>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nonnv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時其中 </t>
    </r>
    <r>
      <rPr>
        <sz val="11"/>
        <color theme="1"/>
        <rFont val="Calibri"/>
        <family val="2"/>
        <charset val="1"/>
      </rPr>
      <t xml:space="preserve">a_mai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（改讀 </t>
    </r>
    <r>
      <rPr>
        <sz val="11"/>
        <color theme="1"/>
        <rFont val="Calibri"/>
        <family val="2"/>
        <charset val="1"/>
      </rPr>
      <t xml:space="preserve">Tokenomics IF_NonNV_*</t>
    </r>
    <r>
      <rPr>
        <sz val="11"/>
        <color theme="1"/>
        <rFont val="Noto Sans CJK SC"/>
        <family val="2"/>
      </rPr>
      <t xml:space="preserve">），其餘為 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nonnv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時 </t>
    </r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GB300 × 1.0 </t>
    </r>
    <r>
      <rPr>
        <sz val="11"/>
        <color theme="1"/>
        <rFont val="Noto Sans CJK SC"/>
        <family val="2"/>
      </rPr>
      <t xml:space="preserve">計（</t>
    </r>
    <r>
      <rPr>
        <sz val="11"/>
        <color theme="1"/>
        <rFont val="Calibri"/>
        <family val="2"/>
        <charset val="1"/>
      </rPr>
      <t xml:space="preserve">C2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口徑）</t>
    </r>
  </si>
  <si>
    <t xml:space="preserve">a_g3_28</t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</si>
  <si>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中 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Maia 200 </t>
    </r>
    <r>
      <rPr>
        <sz val="11"/>
        <color theme="1"/>
        <rFont val="Noto Sans CJK SC"/>
        <family val="2"/>
      </rPr>
      <t xml:space="preserve">合計占比 </t>
    </r>
    <r>
      <rPr>
        <sz val="11"/>
        <color theme="1"/>
        <rFont val="Calibri"/>
        <family val="2"/>
        <charset val="1"/>
      </rPr>
      <t xml:space="preserve">FY2028</t>
    </r>
  </si>
  <si>
    <t xml:space="preserve">a_g3_29</t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</si>
  <si>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中 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Maia 200 </t>
    </r>
    <r>
      <rPr>
        <sz val="11"/>
        <color theme="1"/>
        <rFont val="Noto Sans CJK SC"/>
        <family val="2"/>
      </rPr>
      <t xml:space="preserve">合計占比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起同）</t>
    </r>
  </si>
  <si>
    <t xml:space="preserve">nonnv</t>
  </si>
  <si>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口徑（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改讀 </t>
    </r>
    <r>
      <rPr>
        <sz val="11"/>
        <color theme="1"/>
        <rFont val="Calibri"/>
        <family val="2"/>
        <charset val="1"/>
      </rPr>
      <t xml:space="preserve">Tokenomics IF_NonNV_*</t>
    </r>
    <r>
      <rPr>
        <sz val="11"/>
        <color theme="1"/>
        <rFont val="Noto Sans CJK SC"/>
        <family val="2"/>
      </rPr>
      <t xml:space="preserve">，主值；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口徑：</t>
    </r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GB300 × 1.0</t>
    </r>
    <r>
      <rPr>
        <sz val="11"/>
        <color theme="1"/>
        <rFont val="Noto Sans CJK SC"/>
        <family val="2"/>
      </rPr>
      <t xml:space="preserve">）</t>
    </r>
  </si>
  <si>
    <t xml:space="preserve">代碼</t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</si>
  <si>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20261029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節第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項：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已有正式 </t>
    </r>
    <r>
      <rPr>
        <sz val="11"/>
        <color theme="1"/>
        <rFont val="Calibri"/>
        <family val="2"/>
        <charset val="1"/>
      </rPr>
      <t xml:space="preserve">IF_NonNV_Out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Hold_Maia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v21.1 </t>
    </r>
    <r>
      <rPr>
        <sz val="11"/>
        <color theme="1"/>
        <rFont val="Noto Sans CJK SC"/>
        <family val="2"/>
      </rPr>
      <t xml:space="preserve">起），權威在 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（規則第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條）→ 預設改讀</t>
    </r>
  </si>
  <si>
    <r>
      <rPr>
        <sz val="11"/>
        <color theme="1"/>
        <rFont val="Noto Sans CJK SC"/>
        <family val="2"/>
      </rPr>
      <t xml:space="preserve">舊口徑列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判斷替代（含 </t>
    </r>
    <r>
      <rPr>
        <sz val="11"/>
        <color theme="1"/>
        <rFont val="Calibri"/>
        <family val="2"/>
        <charset val="1"/>
      </rPr>
      <t xml:space="preserve">C10 </t>
    </r>
    <r>
      <rPr>
        <sz val="11"/>
        <color theme="1"/>
        <rFont val="Noto Sans CJK SC"/>
        <family val="2"/>
      </rPr>
      <t xml:space="preserve">重解）</t>
    </r>
  </si>
  <si>
    <t xml:space="preserve">a_mai</t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</si>
  <si>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中 </t>
    </r>
    <r>
      <rPr>
        <sz val="11"/>
        <color theme="1"/>
        <rFont val="Calibri"/>
        <family val="2"/>
        <charset val="1"/>
      </rPr>
      <t xml:space="preserve">Maia 200 </t>
    </r>
    <r>
      <rPr>
        <sz val="11"/>
        <color theme="1"/>
        <rFont val="Noto Sans CJK SC"/>
        <family val="2"/>
      </rPr>
      <t xml:space="preserve">占比（各年）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</si>
  <si>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microsoft/legacy_v0.2/company.json</t>
    </r>
    <r>
      <rPr>
        <sz val="11"/>
        <color theme="1"/>
        <rFont val="Noto Sans CJK SC"/>
        <family val="2"/>
      </rPr>
      <t xml:space="preserve">；交接檔 </t>
    </r>
    <r>
      <rPr>
        <sz val="11"/>
        <color theme="1"/>
        <rFont val="Calibri"/>
        <family val="2"/>
        <charset val="1"/>
      </rPr>
      <t xml:space="preserve">docs/handoff/20261025_Microsoft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交接檔</t>
    </r>
    <r>
      <rPr>
        <sz val="11"/>
        <color theme="1"/>
        <rFont val="Calibri"/>
        <family val="2"/>
        <charset val="1"/>
      </rPr>
      <t xml:space="preserve">_v0_2_2.md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chips.mixAdds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Maia 10%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</si>
  <si>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公司未揭露 </t>
    </r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部署量（不存在）</t>
    </r>
  </si>
  <si>
    <t xml:space="preserve">nv_out_mai</t>
  </si>
  <si>
    <r>
      <rPr>
        <sz val="11"/>
        <color theme="1"/>
        <rFont val="Calibri"/>
        <family val="2"/>
        <charset val="1"/>
      </rPr>
      <t xml:space="preserve">IF_NonNV_Out_Maia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Maia 200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</si>
  <si>
    <r>
      <rPr>
        <sz val="11"/>
        <color theme="1"/>
        <rFont val="Calibri"/>
        <family val="2"/>
        <charset val="1"/>
      </rPr>
      <t xml:space="preserve">Tokenomics v21.7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20261025_Tokenomics_v21.7.xlsx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master 6621bc5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Interface P </t>
    </r>
    <r>
      <rPr>
        <sz val="11"/>
        <color theme="1"/>
        <rFont val="Noto Sans CJK SC"/>
        <family val="2"/>
      </rPr>
      <t xml:space="preserve">節（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列；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</si>
  <si>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收入＝產出比 </t>
    </r>
    <r>
      <rPr>
        <sz val="11"/>
        <color theme="1"/>
        <rFont val="Calibri"/>
        <family val="2"/>
        <charset val="1"/>
      </rPr>
      <t xml:space="preserve">× IF_HoldEcon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VR200 × k</t>
    </r>
    <r>
      <rPr>
        <sz val="11"/>
        <color theme="1"/>
        <rFont val="Noto Sans CJK SC"/>
        <family val="2"/>
      </rPr>
      <t xml:space="preserve">（同一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價格）</t>
    </r>
  </si>
  <si>
    <t xml:space="preserve">nv_hold_mai</t>
  </si>
  <si>
    <r>
      <rPr>
        <sz val="11"/>
        <color theme="1"/>
        <rFont val="Calibri"/>
        <family val="2"/>
        <charset val="1"/>
      </rPr>
      <t xml:space="preserve">IF_NonNV_Hold_Maia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Maia 200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</si>
  <si>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持有成本（影子效益用）＝持有成本比 </t>
    </r>
    <r>
      <rPr>
        <sz val="11"/>
        <color theme="1"/>
        <rFont val="Calibri"/>
        <family val="2"/>
        <charset val="1"/>
      </rPr>
      <t xml:space="preserve">× IF_HoldEcon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；每 </t>
    </r>
    <r>
      <rPr>
        <sz val="11"/>
        <color theme="1"/>
        <rFont val="Calibri"/>
        <family val="2"/>
        <charset val="1"/>
      </rPr>
      <t xml:space="preserve">MW IT </t>
    </r>
    <r>
      <rPr>
        <sz val="11"/>
        <color theme="1"/>
        <rFont val="Noto Sans CJK SC"/>
        <family val="2"/>
      </rPr>
      <t xml:space="preserve">資本支出＝持有成本比 </t>
    </r>
    <r>
      <rPr>
        <sz val="11"/>
        <color theme="1"/>
        <rFont val="Calibri"/>
        <family val="2"/>
        <charset val="1"/>
      </rPr>
      <t xml:space="preserve">× IF_CapexIT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（依每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設備價推導，</t>
    </r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套用到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資本支出）；營運成本與機房同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電力相同）</t>
    </r>
  </si>
  <si>
    <t xml:space="preserve">cxit_open</t>
  </si>
  <si>
    <r>
      <rPr>
        <sz val="11"/>
        <color theme="1"/>
        <rFont val="Noto Sans CJK SC"/>
        <family val="2"/>
      </rPr>
      <t xml:space="preserve">期初世代加權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</si>
  <si>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Noto Sans CJK SC"/>
        <family val="2"/>
      </rPr>
      <t xml:space="preserve">期初占比 </t>
    </r>
    <r>
      <rPr>
        <sz val="11"/>
        <color theme="1"/>
        <rFont val="Calibri"/>
        <family val="2"/>
        <charset val="1"/>
      </rPr>
      <t xml:space="preserve">× IF_CapexIT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</si>
  <si>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以前各年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資本支出估計與折舊用</t>
    </r>
  </si>
  <si>
    <t xml:space="preserve">p_long</t>
  </si>
  <si>
    <r>
      <rPr>
        <sz val="11"/>
        <color theme="1"/>
        <rFont val="Noto Sans CJK SC"/>
        <family val="2"/>
      </rPr>
      <t xml:space="preserve">長約證據價格：</t>
    </r>
    <r>
      <rPr>
        <sz val="11"/>
        <color theme="1"/>
        <rFont val="Calibri"/>
        <family val="2"/>
        <charset val="1"/>
      </rPr>
      <t xml:space="preserve">IREN–Microsoft GB300 </t>
    </r>
    <r>
      <rPr>
        <sz val="11"/>
        <color theme="1"/>
        <rFont val="Noto Sans CJK SC"/>
        <family val="2"/>
      </rPr>
      <t xml:space="preserve">五年約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</si>
  <si>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microsoft/legacy_v0.2/company.json</t>
    </r>
    <r>
      <rPr>
        <sz val="11"/>
        <color theme="1"/>
        <rFont val="Noto Sans CJK SC"/>
        <family val="2"/>
      </rPr>
      <t xml:space="preserve">；交接檔 </t>
    </r>
    <r>
      <rPr>
        <sz val="11"/>
        <color theme="1"/>
        <rFont val="Calibri"/>
        <family val="2"/>
        <charset val="1"/>
      </rPr>
      <t xml:space="preserve">docs/handoff/20261025_Microsoft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交接檔</t>
    </r>
    <r>
      <rPr>
        <sz val="11"/>
        <color theme="1"/>
        <rFont val="Calibri"/>
        <family val="2"/>
        <charset val="1"/>
      </rPr>
      <t xml:space="preserve">_v0_2_2.md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kevidence lc.iren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TCV 9,700 ÷ 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÷ 200 MW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</si>
  <si>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付給 </t>
    </r>
    <r>
      <rPr>
        <sz val="11"/>
        <color theme="1"/>
        <rFont val="Calibri"/>
        <family val="2"/>
        <charset val="1"/>
      </rPr>
      <t xml:space="preserve">neocloud </t>
    </r>
    <r>
      <rPr>
        <sz val="11"/>
        <color theme="1"/>
        <rFont val="Noto Sans CJK SC"/>
        <family val="2"/>
      </rPr>
      <t xml:space="preserve">的買價，代理長約賣價</t>
    </r>
  </si>
  <si>
    <t xml:space="preserve">p_spot</t>
  </si>
  <si>
    <r>
      <rPr>
        <sz val="11"/>
        <color theme="1"/>
        <rFont val="Noto Sans CJK SC"/>
        <family val="2"/>
      </rPr>
      <t xml:space="preserve">現貨證據價格：</t>
    </r>
    <r>
      <rPr>
        <sz val="11"/>
        <color theme="1"/>
        <rFont val="Calibri"/>
        <family val="2"/>
        <charset val="1"/>
      </rPr>
      <t xml:space="preserve">Silicon Data H100 </t>
    </r>
    <r>
      <rPr>
        <sz val="11"/>
        <color theme="1"/>
        <rFont val="Noto Sans CJK SC"/>
        <family val="2"/>
      </rPr>
      <t xml:space="preserve">指數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</si>
  <si>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microsoft/legacy_v0.2/company.json</t>
    </r>
    <r>
      <rPr>
        <sz val="11"/>
        <color theme="1"/>
        <rFont val="Noto Sans CJK SC"/>
        <family val="2"/>
      </rPr>
      <t xml:space="preserve">；交接檔 </t>
    </r>
    <r>
      <rPr>
        <sz val="11"/>
        <color theme="1"/>
        <rFont val="Calibri"/>
        <family val="2"/>
        <charset val="1"/>
      </rPr>
      <t xml:space="preserve">docs/handoff/20261025_Microsoft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交接檔</t>
    </r>
    <r>
      <rPr>
        <sz val="11"/>
        <color theme="1"/>
        <rFont val="Calibri"/>
        <family val="2"/>
        <charset val="1"/>
      </rPr>
      <t xml:space="preserve">_v0_2_2.md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kevidence spot.h100.index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</si>
  <si>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高＝</t>
    </r>
    <r>
      <rPr>
        <sz val="11"/>
        <color theme="1"/>
        <rFont val="Calibri"/>
        <family val="2"/>
        <charset val="1"/>
      </rPr>
      <t xml:space="preserve">Azure H100 </t>
    </r>
    <r>
      <rPr>
        <sz val="11"/>
        <color theme="1"/>
        <rFont val="Noto Sans CJK SC"/>
        <family val="2"/>
      </rPr>
      <t xml:space="preserve">隨需牌價 </t>
    </r>
    <r>
      <rPr>
        <sz val="11"/>
        <color theme="1"/>
        <rFont val="Calibri"/>
        <family val="2"/>
        <charset val="1"/>
      </rPr>
      <t xml:space="preserve">12.29</t>
    </r>
    <r>
      <rPr>
        <sz val="11"/>
        <color theme="1"/>
        <rFont val="Noto Sans CJK SC"/>
        <family val="2"/>
      </rPr>
      <t xml:space="preserve">（只作上限）</t>
    </r>
  </si>
  <si>
    <t xml:space="preserve">k_long</t>
  </si>
  <si>
    <r>
      <rPr>
        <sz val="11"/>
        <color theme="1"/>
        <rFont val="Calibri"/>
        <family val="2"/>
        <charset val="1"/>
      </rPr>
      <t xml:space="preserve">k_</t>
    </r>
    <r>
      <rPr>
        <sz val="11"/>
        <color theme="1"/>
        <rFont val="Noto Sans CJK SC"/>
        <family val="2"/>
      </rPr>
      <t xml:space="preserve">長約</t>
    </r>
  </si>
  <si>
    <r>
      <rPr>
        <sz val="11"/>
        <color theme="1"/>
        <rFont val="Noto Sans CJK SC"/>
        <family val="2"/>
      </rPr>
      <t xml:space="preserve">證據價格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同世代 </t>
    </r>
    <r>
      <rPr>
        <sz val="11"/>
        <color theme="1"/>
        <rFont val="Calibri"/>
        <family val="2"/>
        <charset val="1"/>
      </rPr>
      <t xml:space="preserve">IF_HoldEcon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kspec </t>
    </r>
    <r>
      <rPr>
        <sz val="11"/>
        <color theme="1"/>
        <rFont val="Noto Sans CJK SC"/>
        <family val="2"/>
      </rPr>
      <t xml:space="preserve">規格）</t>
    </r>
  </si>
  <si>
    <t xml:space="preserve">v0.2.2 0.891</t>
  </si>
  <si>
    <t xml:space="preserve">p_long_lo</t>
  </si>
  <si>
    <r>
      <rPr>
        <sz val="11"/>
        <color theme="1"/>
        <rFont val="Noto Sans CJK SC"/>
        <family val="2"/>
      </rPr>
      <t xml:space="preserve">長約低端價格（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判斷倍數 </t>
    </r>
    <r>
      <rPr>
        <sz val="11"/>
        <color theme="1"/>
        <rFont val="Calibri"/>
        <family val="2"/>
        <charset val="1"/>
      </rPr>
      <t xml:space="preserve">0.45 × 12.762 </t>
    </r>
    <r>
      <rPr>
        <sz val="11"/>
        <color theme="1"/>
        <rFont val="Noto Sans CJK SC"/>
        <family val="2"/>
      </rPr>
      <t xml:space="preserve">換算）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</si>
  <si>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microsoft/legacy_v0.2/company.json</t>
    </r>
    <r>
      <rPr>
        <sz val="11"/>
        <color theme="1"/>
        <rFont val="Noto Sans CJK SC"/>
        <family val="2"/>
      </rPr>
      <t xml:space="preserve">；交接檔 </t>
    </r>
    <r>
      <rPr>
        <sz val="11"/>
        <color theme="1"/>
        <rFont val="Calibri"/>
        <family val="2"/>
        <charset val="1"/>
      </rPr>
      <t xml:space="preserve">docs/handoff/20261025_Microsoft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交接檔</t>
    </r>
    <r>
      <rPr>
        <sz val="11"/>
        <color theme="1"/>
        <rFont val="Calibri"/>
        <family val="2"/>
        <charset val="1"/>
      </rPr>
      <t xml:space="preserve">_v0_2_2.md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kevidence long.low</t>
    </r>
    <r>
      <rPr>
        <sz val="11"/>
        <color theme="1"/>
        <rFont val="Noto Sans CJK SC"/>
        <family val="2"/>
      </rPr>
      <t xml:space="preserve">：非觀察價格）</t>
    </r>
  </si>
  <si>
    <t xml:space="preserve">只用於判斷預設替代</t>
  </si>
  <si>
    <t xml:space="preserve">k_long_lo</t>
  </si>
  <si>
    <r>
      <rPr>
        <sz val="11"/>
        <color theme="1"/>
        <rFont val="Calibri"/>
        <family val="2"/>
        <charset val="1"/>
      </rPr>
      <t xml:space="preserve">k_</t>
    </r>
    <r>
      <rPr>
        <sz val="11"/>
        <color theme="1"/>
        <rFont val="Noto Sans CJK SC"/>
        <family val="2"/>
      </rPr>
      <t xml:space="preserve">長約低端</t>
    </r>
  </si>
  <si>
    <r>
      <rPr>
        <sz val="11"/>
        <color theme="1"/>
        <rFont val="Noto Sans CJK SC"/>
        <family val="2"/>
      </rPr>
      <t xml:space="preserve">長約低端價格 </t>
    </r>
    <r>
      <rPr>
        <sz val="11"/>
        <color theme="1"/>
        <rFont val="Calibri"/>
        <family val="2"/>
        <charset val="1"/>
      </rPr>
      <t xml:space="preserve">÷ IF_HoldEcon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VR200</t>
    </r>
  </si>
  <si>
    <t xml:space="preserve">v0.2.2 0.470</t>
  </si>
  <si>
    <t xml:space="preserve">k_spot</t>
  </si>
  <si>
    <r>
      <rPr>
        <sz val="11"/>
        <color theme="1"/>
        <rFont val="Calibri"/>
        <family val="2"/>
        <charset val="1"/>
      </rPr>
      <t xml:space="preserve">k_</t>
    </r>
    <r>
      <rPr>
        <sz val="11"/>
        <color theme="1"/>
        <rFont val="Noto Sans CJK SC"/>
        <family val="2"/>
      </rPr>
      <t xml:space="preserve">現貨</t>
    </r>
  </si>
  <si>
    <r>
      <rPr>
        <sz val="11"/>
        <color theme="1"/>
        <rFont val="Noto Sans CJK SC"/>
        <family val="2"/>
      </rPr>
      <t xml:space="preserve">證據價格 </t>
    </r>
    <r>
      <rPr>
        <sz val="11"/>
        <color theme="1"/>
        <rFont val="Calibri"/>
        <family val="2"/>
        <charset val="1"/>
      </rPr>
      <t xml:space="preserve">÷ IF_GPUhrEcon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H100</t>
    </r>
  </si>
  <si>
    <t xml:space="preserve">v0.2.2 1.828</t>
  </si>
  <si>
    <t xml:space="preserve">ls_A</t>
  </si>
  <si>
    <r>
      <rPr>
        <sz val="11"/>
        <color theme="1"/>
        <rFont val="Noto Sans CJK SC"/>
        <family val="2"/>
      </rPr>
      <t xml:space="preserve">長約占比（情境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</si>
  <si>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長約 </t>
    </r>
    <r>
      <rPr>
        <sz val="11"/>
        <color theme="1"/>
        <rFont val="Calibri"/>
        <family val="2"/>
        <charset val="1"/>
      </rPr>
      <t xml:space="preserve">45%</t>
    </r>
    <r>
      <rPr>
        <sz val="11"/>
        <color theme="1"/>
        <rFont val="Noto Sans CJK SC"/>
        <family val="2"/>
      </rPr>
      <t xml:space="preserve">＋現貨 </t>
    </r>
    <r>
      <rPr>
        <sz val="11"/>
        <color theme="1"/>
        <rFont val="Calibri"/>
        <family val="2"/>
        <charset val="1"/>
      </rPr>
      <t xml:space="preserve">55%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v0.1a split.k </t>
    </r>
    <r>
      <rPr>
        <sz val="11"/>
        <color theme="1"/>
        <rFont val="Noto Sans CJK SC"/>
        <family val="2"/>
      </rPr>
      <t xml:space="preserve">高端口徑）</t>
    </r>
  </si>
  <si>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判斷</t>
    </r>
    <r>
      <rPr>
        <sz val="11"/>
        <color theme="1"/>
        <rFont val="Calibri"/>
        <family val="2"/>
        <charset val="1"/>
      </rPr>
      <t xml:space="preserve">] </t>
    </r>
    <r>
      <rPr>
        <sz val="11"/>
        <color theme="1"/>
        <rFont val="Noto Sans CJK SC"/>
        <family val="2"/>
      </rPr>
      <t xml:space="preserve">預設：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的價格軸差異是本版主要情境軸</t>
    </r>
  </si>
  <si>
    <t xml:space="preserve">ls_B</t>
  </si>
  <si>
    <r>
      <rPr>
        <sz val="11"/>
        <color theme="1"/>
        <rFont val="Noto Sans CJK SC"/>
        <family val="2"/>
      </rPr>
      <t xml:space="preserve">長約占比（情境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</si>
  <si>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 longShare 70%</t>
    </r>
  </si>
  <si>
    <t xml:space="preserve">ls_C</t>
  </si>
  <si>
    <r>
      <rPr>
        <sz val="11"/>
        <color theme="1"/>
        <rFont val="Noto Sans CJK SC"/>
        <family val="2"/>
      </rPr>
      <t xml:space="preserve">長約占比（情境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</si>
  <si>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全長約（</t>
    </r>
    <r>
      <rPr>
        <sz val="11"/>
        <color theme="1"/>
        <rFont val="Calibri"/>
        <family val="2"/>
        <charset val="1"/>
      </rPr>
      <t xml:space="preserve">v0.1a split.k </t>
    </r>
    <r>
      <rPr>
        <sz val="11"/>
        <color theme="1"/>
        <rFont val="Noto Sans CJK SC"/>
        <family val="2"/>
      </rPr>
      <t xml:space="preserve">低端口徑）</t>
    </r>
  </si>
  <si>
    <t xml:space="preserve">k_A</t>
  </si>
  <si>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</si>
  <si>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長約占比 </t>
    </r>
    <r>
      <rPr>
        <sz val="11"/>
        <color theme="1"/>
        <rFont val="Calibri"/>
        <family val="2"/>
        <charset val="1"/>
      </rPr>
      <t xml:space="preserve">× k_</t>
    </r>
    <r>
      <rPr>
        <sz val="11"/>
        <color theme="1"/>
        <rFont val="Noto Sans CJK SC"/>
        <family val="2"/>
      </rPr>
      <t xml:space="preserve">長約 ＋（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長約占比）</t>
    </r>
    <r>
      <rPr>
        <sz val="11"/>
        <color theme="1"/>
        <rFont val="Calibri"/>
        <family val="2"/>
        <charset val="1"/>
      </rPr>
      <t xml:space="preserve">× k_</t>
    </r>
    <r>
      <rPr>
        <sz val="11"/>
        <color theme="1"/>
        <rFont val="Noto Sans CJK SC"/>
        <family val="2"/>
      </rPr>
      <t xml:space="preserve">現貨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</si>
  <si>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混合 </t>
    </r>
    <r>
      <rPr>
        <sz val="11"/>
        <color theme="1"/>
        <rFont val="Calibri"/>
        <family val="2"/>
        <charset val="1"/>
      </rPr>
      <t xml:space="preserve">k 1.172</t>
    </r>
  </si>
  <si>
    <t xml:space="preserve">k_B</t>
  </si>
  <si>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</si>
  <si>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k_C</t>
  </si>
  <si>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</si>
  <si>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chip_f</t>
  </si>
  <si>
    <r>
      <rPr>
        <sz val="11"/>
        <color theme="1"/>
        <rFont val="Noto Sans CJK SC"/>
        <family val="2"/>
      </rPr>
      <t xml:space="preserve">自研晶片係數（全部對外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的每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收入乘數）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</si>
  <si>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microsoft/legacy_v0.2/company.json</t>
    </r>
    <r>
      <rPr>
        <sz val="11"/>
        <color theme="1"/>
        <rFont val="Noto Sans CJK SC"/>
        <family val="2"/>
      </rPr>
      <t xml:space="preserve">；交接檔 </t>
    </r>
    <r>
      <rPr>
        <sz val="11"/>
        <color theme="1"/>
        <rFont val="Calibri"/>
        <family val="2"/>
        <charset val="1"/>
      </rPr>
      <t xml:space="preserve">docs/handoff/20261025_Microsoft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交接檔</t>
    </r>
    <r>
      <rPr>
        <sz val="11"/>
        <color theme="1"/>
        <rFont val="Calibri"/>
        <family val="2"/>
        <charset val="1"/>
      </rPr>
      <t xml:space="preserve">_v0_2_2.md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C2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</si>
  <si>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v0.3.1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改由 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IF_NonNV_* </t>
    </r>
    <r>
      <rPr>
        <sz val="11"/>
        <color theme="1"/>
        <rFont val="Noto Sans CJK SC"/>
        <family val="2"/>
      </rPr>
      <t xml:space="preserve">處理，本係數維持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（不重複）</t>
    </r>
  </si>
  <si>
    <t xml:space="preserve">rent_mw</t>
  </si>
  <si>
    <r>
      <rPr>
        <sz val="11"/>
        <color theme="1"/>
        <rFont val="Noto Sans CJK SC"/>
        <family val="2"/>
      </rPr>
      <t xml:space="preserve">租用 </t>
    </r>
    <r>
      <rPr>
        <sz val="11"/>
        <color theme="1"/>
        <rFont val="Calibri"/>
        <family val="2"/>
        <charset val="1"/>
      </rPr>
      <t xml:space="preserve">neocloud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年租金（全額）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</si>
  <si>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microsoft/legacy_v0.2/company.json</t>
    </r>
    <r>
      <rPr>
        <sz val="11"/>
        <color theme="1"/>
        <rFont val="Noto Sans CJK SC"/>
        <family val="2"/>
      </rPr>
      <t xml:space="preserve">；交接檔 </t>
    </r>
    <r>
      <rPr>
        <sz val="11"/>
        <color theme="1"/>
        <rFont val="Calibri"/>
        <family val="2"/>
        <charset val="1"/>
      </rPr>
      <t xml:space="preserve">docs/handoff/20261025_Microsoft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交接檔</t>
    </r>
    <r>
      <rPr>
        <sz val="11"/>
        <color theme="1"/>
        <rFont val="Calibri"/>
        <family val="2"/>
        <charset val="1"/>
      </rPr>
      <t xml:space="preserve">_v0_2_2.md</t>
    </r>
    <r>
      <rPr>
        <sz val="11"/>
        <color theme="1"/>
        <rFont val="Noto Sans CJK SC"/>
        <family val="2"/>
      </rPr>
      <t xml:space="preserve">）（已揭露合約全額年租金 </t>
    </r>
    <r>
      <rPr>
        <sz val="11"/>
        <color theme="1"/>
        <rFont val="Calibri"/>
        <family val="2"/>
        <charset val="1"/>
      </rPr>
      <t xml:space="preserve">13.96 ÷ 1,571 MW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</si>
  <si>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租用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不另計營運成本</t>
    </r>
  </si>
  <si>
    <t xml:space="preserve">ai_net_open</t>
  </si>
  <si>
    <r>
      <rPr>
        <sz val="11"/>
        <color theme="1"/>
        <rFont val="Noto Sans CJK SC"/>
        <family val="2"/>
      </rPr>
      <t xml:space="preserve">期初 </t>
    </r>
    <r>
      <rPr>
        <sz val="11"/>
        <color theme="1"/>
        <rFont val="Calibri"/>
        <family val="2"/>
        <charset val="1"/>
      </rPr>
      <t xml:space="preserve">AI PP&amp;E </t>
    </r>
    <r>
      <rPr>
        <sz val="11"/>
        <color theme="1"/>
        <rFont val="Noto Sans CJK SC"/>
        <family val="2"/>
      </rPr>
      <t xml:space="preserve">淨額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毛額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</si>
  <si>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microsoft/legacy_v0.2/company.json</t>
    </r>
    <r>
      <rPr>
        <sz val="11"/>
        <color theme="1"/>
        <rFont val="Noto Sans CJK SC"/>
        <family val="2"/>
      </rPr>
      <t xml:space="preserve">；交接檔 </t>
    </r>
    <r>
      <rPr>
        <sz val="11"/>
        <color theme="1"/>
        <rFont val="Calibri"/>
        <family val="2"/>
        <charset val="1"/>
      </rPr>
      <t xml:space="preserve">docs/handoff/20261025_Microsoft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交接檔</t>
    </r>
    <r>
      <rPr>
        <sz val="11"/>
        <color theme="1"/>
        <rFont val="Calibri"/>
        <family val="2"/>
        <charset val="1"/>
      </rPr>
      <t xml:space="preserve">_v0_2_2.md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capexModel.aiNetShare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</si>
  <si>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增量 </t>
    </r>
    <r>
      <rPr>
        <sz val="11"/>
        <color theme="1"/>
        <rFont val="Calibri"/>
        <family val="2"/>
        <charset val="1"/>
      </rPr>
      <t xml:space="preserve">ROIC </t>
    </r>
    <r>
      <rPr>
        <sz val="11"/>
        <color theme="1"/>
        <rFont val="Noto Sans CJK SC"/>
        <family val="2"/>
      </rPr>
      <t xml:space="preserve">的期初投入資本</t>
    </r>
  </si>
  <si>
    <t xml:space="preserve">capex_floor27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</si>
  <si>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資本支出（公司口徑，含融資租賃；</t>
    </r>
    <r>
      <rPr>
        <sz val="11"/>
        <color theme="1"/>
        <rFont val="Calibri"/>
        <family val="2"/>
        <charset val="1"/>
      </rPr>
      <t xml:space="preserve">C10 </t>
    </r>
    <r>
      <rPr>
        <sz val="11"/>
        <color theme="1"/>
        <rFont val="Noto Sans CJK SC"/>
        <family val="2"/>
      </rPr>
      <t xml:space="preserve">對帳目標）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</si>
  <si>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microsoft/data/microsoft_facts_FY27Q1_20261029.json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capex.fy27.derived.q1</t>
    </r>
    <r>
      <rPr>
        <sz val="11"/>
        <color theme="1"/>
        <rFont val="Noto Sans CJK SC"/>
        <family val="2"/>
      </rPr>
      <t xml:space="preserve">：上半年＝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45.2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51.9</t>
    </r>
    <r>
      <rPr>
        <sz val="11"/>
        <color theme="1"/>
        <rFont val="Noto Sans CJK SC"/>
        <family val="2"/>
      </rPr>
      <t xml:space="preserve">（曆年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170 − 31.9 − 41.0 − 45.2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over 50 </t>
    </r>
    <r>
      <rPr>
        <sz val="11"/>
        <color theme="1"/>
        <rFont val="Noto Sans CJK SC"/>
        <family val="2"/>
      </rPr>
      <t xml:space="preserve">吻合）＝</t>
    </r>
    <r>
      <rPr>
        <sz val="11"/>
        <color theme="1"/>
        <rFont val="Calibri"/>
        <family val="2"/>
        <charset val="1"/>
      </rPr>
      <t xml:space="preserve">97.1</t>
    </r>
    <r>
      <rPr>
        <sz val="11"/>
        <color theme="1"/>
        <rFont val="Noto Sans CJK SC"/>
        <family val="2"/>
      </rPr>
      <t xml:space="preserve">；下半年＝前次推估 </t>
    </r>
    <r>
      <rPr>
        <sz val="11"/>
        <color theme="1"/>
        <rFont val="Calibri"/>
        <family val="2"/>
        <charset val="1"/>
      </rPr>
      <t xml:space="preserve">102.1</t>
    </r>
    <r>
      <rPr>
        <sz val="11"/>
        <color theme="1"/>
        <rFont val="Noto Sans CJK SC"/>
        <family val="2"/>
      </rPr>
      <t xml:space="preserve">＋延到下半年的第三方產能約 </t>
    </r>
    <r>
      <rPr>
        <sz val="11"/>
        <color theme="1"/>
        <rFont val="Calibri"/>
        <family val="2"/>
        <charset val="1"/>
      </rPr>
      <t xml:space="preserve">5.0</t>
    </r>
    <r>
      <rPr>
        <sz val="11"/>
        <color theme="1"/>
        <rFont val="Noto Sans CJK SC"/>
        <family val="2"/>
      </rPr>
      <t xml:space="preserve">（曆年 </t>
    </r>
    <r>
      <rPr>
        <sz val="11"/>
        <color theme="1"/>
        <rFont val="Calibri"/>
        <family val="2"/>
        <charset val="1"/>
      </rPr>
      <t xml:space="preserve">175 → 170</t>
    </r>
    <r>
      <rPr>
        <sz val="11"/>
        <color theme="1"/>
        <rFont val="Noto Sans CJK SC"/>
        <family val="2"/>
      </rPr>
      <t xml:space="preserve">）＝</t>
    </r>
    <r>
      <rPr>
        <sz val="11"/>
        <color theme="1"/>
        <rFont val="Calibri"/>
        <family val="2"/>
        <charset val="1"/>
      </rPr>
      <t xml:space="preserve">107.1</t>
    </r>
  </si>
  <si>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194.2</t>
    </r>
    <r>
      <rPr>
        <sz val="11"/>
        <color theme="1"/>
        <rFont val="Noto Sans CJK SC"/>
        <family val="2"/>
      </rPr>
      <t xml:space="preserve">＝下半年同上半年；高 </t>
    </r>
    <r>
      <rPr>
        <sz val="11"/>
        <color theme="1"/>
        <rFont val="Calibri"/>
        <family val="2"/>
        <charset val="1"/>
      </rPr>
      <t xml:space="preserve">213.6</t>
    </r>
    <r>
      <rPr>
        <sz val="11"/>
        <color theme="1"/>
        <rFont val="Noto Sans CJK SC"/>
        <family val="2"/>
      </rPr>
      <t xml:space="preserve">＝下半年較上半年 </t>
    </r>
    <r>
      <rPr>
        <sz val="11"/>
        <color theme="1"/>
        <rFont val="Calibri"/>
        <family val="2"/>
        <charset val="1"/>
      </rPr>
      <t xml:space="preserve">+20%</t>
    </r>
    <r>
      <rPr>
        <sz val="11"/>
        <color theme="1"/>
        <rFont val="Noto Sans CJK SC"/>
        <family val="2"/>
      </rPr>
      <t xml:space="preserve">（公司：下半年加速）。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推估 </t>
    </r>
    <r>
      <rPr>
        <sz val="11"/>
        <color theme="1"/>
        <rFont val="Calibri"/>
        <family val="2"/>
        <charset val="1"/>
      </rPr>
      <t xml:space="preserve">204.2</t>
    </r>
    <r>
      <rPr>
        <sz val="11"/>
        <color theme="1"/>
        <rFont val="Noto Sans CJK SC"/>
        <family val="2"/>
      </rPr>
      <t xml:space="preserve">（曆年 </t>
    </r>
    <r>
      <rPr>
        <sz val="11"/>
        <color theme="1"/>
        <rFont val="Calibri"/>
        <family val="2"/>
        <charset val="1"/>
      </rPr>
      <t xml:space="preserve">175 − 72.9 → </t>
    </r>
    <r>
      <rPr>
        <sz val="11"/>
        <color theme="1"/>
        <rFont val="Noto Sans CJK SC"/>
        <family val="2"/>
      </rPr>
      <t xml:space="preserve">上半年 </t>
    </r>
    <r>
      <rPr>
        <sz val="11"/>
        <color theme="1"/>
        <rFont val="Calibri"/>
        <family val="2"/>
        <charset val="1"/>
      </rPr>
      <t xml:space="preserve">102.1 × 2</t>
    </r>
    <r>
      <rPr>
        <sz val="11"/>
        <color theme="1"/>
        <rFont val="Noto Sans CJK SC"/>
        <family val="2"/>
      </rPr>
      <t xml:space="preserve">）；共識 </t>
    </r>
    <r>
      <rPr>
        <sz val="11"/>
        <color theme="1"/>
        <rFont val="Calibri"/>
        <family val="2"/>
        <charset val="1"/>
      </rPr>
      <t xml:space="preserve">192.8</t>
    </r>
    <r>
      <rPr>
        <sz val="11"/>
        <color theme="1"/>
        <rFont val="Noto Sans CJK SC"/>
        <family val="2"/>
      </rPr>
      <t xml:space="preserve">（推定現金口徑）</t>
    </r>
  </si>
  <si>
    <r>
      <rPr>
        <b val="true"/>
        <sz val="11"/>
        <rFont val="Cambria"/>
        <family val="0"/>
        <charset val="1"/>
      </rPr>
      <t xml:space="preserve">E. Microsoft 365 cloud </t>
    </r>
    <r>
      <rPr>
        <b val="true"/>
        <sz val="11"/>
        <rFont val="Noto Sans CJK SC"/>
        <family val="2"/>
      </rPr>
      <t xml:space="preserve">的 </t>
    </r>
    <r>
      <rPr>
        <b val="true"/>
        <sz val="11"/>
        <rFont val="Cambria"/>
        <family val="0"/>
        <charset val="1"/>
      </rPr>
      <t xml:space="preserve">Copilot</t>
    </r>
    <r>
      <rPr>
        <b val="true"/>
        <sz val="11"/>
        <rFont val="Noto Sans CJK SC"/>
        <family val="2"/>
      </rPr>
      <t xml:space="preserve">（命題子列：付費座席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每座席月費）</t>
    </r>
  </si>
  <si>
    <t xml:space="preserve">cop_s24</t>
  </si>
  <si>
    <r>
      <rPr>
        <sz val="11"/>
        <color theme="1"/>
        <rFont val="Calibri"/>
        <family val="2"/>
        <charset val="1"/>
      </rPr>
      <t xml:space="preserve">M365 Copilot </t>
    </r>
    <r>
      <rPr>
        <sz val="11"/>
        <color theme="1"/>
        <rFont val="Noto Sans CJK SC"/>
        <family val="2"/>
      </rPr>
      <t xml:space="preserve">付費座席（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年底）</t>
    </r>
  </si>
  <si>
    <t xml:space="preserve">百萬席</t>
  </si>
  <si>
    <r>
      <rPr>
        <sz val="11"/>
        <color theme="1"/>
        <rFont val="Noto Sans CJK SC"/>
        <family val="2"/>
      </rPr>
      <t xml:space="preserve">無：</t>
    </r>
    <r>
      <rPr>
        <sz val="11"/>
        <color theme="1"/>
        <rFont val="Calibri"/>
        <family val="2"/>
        <charset val="1"/>
      </rPr>
      <t xml:space="preserve">Copilot 2023-11 </t>
    </r>
    <r>
      <rPr>
        <sz val="11"/>
        <color theme="1"/>
        <rFont val="Noto Sans CJK SC"/>
        <family val="2"/>
      </rPr>
      <t xml:space="preserve">上市，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年底座席未揭露</t>
    </r>
  </si>
  <si>
    <t xml:space="preserve">cop_s25</t>
  </si>
  <si>
    <r>
      <rPr>
        <sz val="11"/>
        <color theme="1"/>
        <rFont val="Calibri"/>
        <family val="2"/>
        <charset val="1"/>
      </rPr>
      <t xml:space="preserve">M365 Copilot </t>
    </r>
    <r>
      <rPr>
        <sz val="11"/>
        <color theme="1"/>
        <rFont val="Noto Sans CJK SC"/>
        <family val="2"/>
      </rPr>
      <t xml:space="preserve">付費座席（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年底）</t>
    </r>
  </si>
  <si>
    <r>
      <rPr>
        <sz val="11"/>
        <color theme="1"/>
        <rFont val="Noto Sans CJK SC"/>
        <family val="2"/>
      </rPr>
      <t xml:space="preserve">無：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年底座席未揭露（</t>
    </r>
    <r>
      <rPr>
        <sz val="11"/>
        <color theme="1"/>
        <rFont val="Calibri"/>
        <family val="2"/>
        <charset val="1"/>
      </rPr>
      <t xml:space="preserve">FY26Q2 15 </t>
    </r>
    <r>
      <rPr>
        <sz val="11"/>
        <color theme="1"/>
        <rFont val="Noto Sans CJK SC"/>
        <family val="2"/>
      </rPr>
      <t xml:space="preserve">百萬）</t>
    </r>
  </si>
  <si>
    <t xml:space="preserve">cop_s26</t>
  </si>
  <si>
    <r>
      <rPr>
        <sz val="11"/>
        <color theme="1"/>
        <rFont val="Calibri"/>
        <family val="2"/>
        <charset val="1"/>
      </rPr>
      <t xml:space="preserve">M365 Copilot </t>
    </r>
    <r>
      <rPr>
        <sz val="11"/>
        <color theme="1"/>
        <rFont val="Noto Sans CJK SC"/>
        <family val="2"/>
      </rPr>
      <t xml:space="preserve">付費座席（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年底）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</si>
  <si>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call.copilotSeats.fy26q4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FY26Q4 </t>
    </r>
    <r>
      <rPr>
        <sz val="11"/>
        <color theme="1"/>
        <rFont val="Noto Sans CJK SC"/>
        <family val="2"/>
      </rPr>
      <t xml:space="preserve">法說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百萬席；</t>
    </r>
    <r>
      <rPr>
        <sz val="11"/>
        <color theme="1"/>
        <rFont val="Calibri"/>
        <family val="2"/>
        <charset val="1"/>
      </rPr>
      <t xml:space="preserve">FY26Q2 15 </t>
    </r>
    <r>
      <rPr>
        <sz val="11"/>
        <color theme="1"/>
        <rFont val="Noto Sans CJK SC"/>
        <family val="2"/>
      </rPr>
      <t xml:space="preserve">百萬）</t>
    </r>
  </si>
  <si>
    <t xml:space="preserve">cop_px</t>
  </si>
  <si>
    <r>
      <rPr>
        <sz val="11"/>
        <color theme="1"/>
        <rFont val="Calibri"/>
        <family val="2"/>
        <charset val="1"/>
      </rPr>
      <t xml:space="preserve">Copilot </t>
    </r>
    <r>
      <rPr>
        <sz val="11"/>
        <color theme="1"/>
        <rFont val="Noto Sans CJK SC"/>
        <family val="2"/>
      </rPr>
      <t xml:space="preserve">每座席月費（實收）</t>
    </r>
  </si>
  <si>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／月</t>
    </r>
  </si>
  <si>
    <r>
      <rPr>
        <sz val="11"/>
        <color theme="1"/>
        <rFont val="Noto Sans CJK SC"/>
        <family val="2"/>
      </rPr>
      <t xml:space="preserve">無：牌價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美元／月，大客戶折扣未揭露</t>
    </r>
  </si>
  <si>
    <r>
      <rPr>
        <sz val="11"/>
        <color theme="1"/>
        <rFont val="Calibri"/>
        <family val="2"/>
        <charset val="1"/>
      </rPr>
      <t xml:space="preserve">Sens 18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30</t>
    </r>
  </si>
  <si>
    <t xml:space="preserve">cop_add_A</t>
  </si>
  <si>
    <r>
      <rPr>
        <sz val="11"/>
        <color theme="1"/>
        <rFont val="Calibri"/>
        <family val="2"/>
        <charset val="1"/>
      </rPr>
      <t xml:space="preserve">Copilot </t>
    </r>
    <r>
      <rPr>
        <sz val="11"/>
        <color theme="1"/>
        <rFont val="Noto Sans CJK SC"/>
        <family val="2"/>
      </rPr>
      <t xml:space="preserve">每年淨增座席 </t>
    </r>
    <r>
      <rPr>
        <sz val="11"/>
        <color theme="1"/>
        <rFont val="Calibri"/>
        <family val="2"/>
        <charset val="1"/>
      </rPr>
      <t xml:space="preserve">FY2027–FY2029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</si>
  <si>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淨增約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百萬（</t>
    </r>
    <r>
      <rPr>
        <sz val="11"/>
        <color theme="1"/>
        <rFont val="Calibri"/>
        <family val="2"/>
        <charset val="1"/>
      </rPr>
      <t xml:space="preserve">5 → 30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起點）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</si>
  <si>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× cop_tail</t>
    </r>
  </si>
  <si>
    <t xml:space="preserve">cop_add_B</t>
  </si>
  <si>
    <r>
      <rPr>
        <sz val="11"/>
        <color theme="1"/>
        <rFont val="Calibri"/>
        <family val="2"/>
        <charset val="1"/>
      </rPr>
      <t xml:space="preserve">Copilot </t>
    </r>
    <r>
      <rPr>
        <sz val="11"/>
        <color theme="1"/>
        <rFont val="Noto Sans CJK SC"/>
        <family val="2"/>
      </rPr>
      <t xml:space="preserve">每年淨增座席 </t>
    </r>
    <r>
      <rPr>
        <sz val="11"/>
        <color theme="1"/>
        <rFont val="Calibri"/>
        <family val="2"/>
        <charset val="1"/>
      </rPr>
      <t xml:space="preserve">FY2027–FY2029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</si>
  <si>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cop_add_C</t>
  </si>
  <si>
    <r>
      <rPr>
        <sz val="11"/>
        <color theme="1"/>
        <rFont val="Calibri"/>
        <family val="2"/>
        <charset val="1"/>
      </rPr>
      <t xml:space="preserve">Copilot </t>
    </r>
    <r>
      <rPr>
        <sz val="11"/>
        <color theme="1"/>
        <rFont val="Noto Sans CJK SC"/>
        <family val="2"/>
      </rPr>
      <t xml:space="preserve">每年淨增座席 </t>
    </r>
    <r>
      <rPr>
        <sz val="11"/>
        <color theme="1"/>
        <rFont val="Calibri"/>
        <family val="2"/>
        <charset val="1"/>
      </rPr>
      <t xml:space="preserve">FY2027–FY2029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</si>
  <si>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cop_tail</t>
  </si>
  <si>
    <r>
      <rPr>
        <sz val="11"/>
        <color theme="1"/>
        <rFont val="Calibri"/>
        <family val="2"/>
        <charset val="1"/>
      </rPr>
      <t xml:space="preserve">Copilot FY2030 </t>
    </r>
    <r>
      <rPr>
        <sz val="11"/>
        <color theme="1"/>
        <rFont val="Noto Sans CJK SC"/>
        <family val="2"/>
      </rPr>
      <t xml:space="preserve">起淨增相對前期的比例</t>
    </r>
  </si>
  <si>
    <t xml:space="preserve">無：滲透率上升後放緩</t>
  </si>
  <si>
    <t xml:space="preserve">internal_ai_reading</t>
  </si>
  <si>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讀法（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＝主值：自用 </t>
    </r>
    <r>
      <rPr>
        <sz val="11"/>
        <color theme="1"/>
        <rFont val="Calibri"/>
        <family val="2"/>
        <charset val="1"/>
      </rPr>
      <t xml:space="preserve">AI MW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計影子效益；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＝敏感度：自用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只計成本）</t>
    </r>
  </si>
  <si>
    <r>
      <rPr>
        <sz val="11"/>
        <color theme="1"/>
        <rFont val="Noto Sans CJK SC"/>
        <family val="2"/>
      </rPr>
      <t xml:space="preserve">共同修正工作單 </t>
    </r>
    <r>
      <rPr>
        <sz val="11"/>
        <color theme="1"/>
        <rFont val="Calibri"/>
        <family val="2"/>
        <charset val="1"/>
      </rPr>
      <t xml:space="preserve">F1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Andy 2026-10-27 15:03 </t>
    </r>
    <r>
      <rPr>
        <sz val="11"/>
        <color theme="1"/>
        <rFont val="Noto Sans CJK SC"/>
        <family val="2"/>
      </rPr>
      <t xml:space="preserve">決定讀法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為主值、讀法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為敏感度</t>
    </r>
  </si>
  <si>
    <r>
      <rPr>
        <sz val="11"/>
        <color theme="1"/>
        <rFont val="Noto Sans CJK SC"/>
        <family val="2"/>
      </rPr>
      <t xml:space="preserve">影子效益＝</t>
    </r>
    <r>
      <rPr>
        <sz val="11"/>
        <color theme="1"/>
        <rFont val="Calibri"/>
        <family val="2"/>
        <charset val="1"/>
      </rPr>
      <t xml:space="preserve">MAX(0, </t>
    </r>
    <r>
      <rPr>
        <sz val="11"/>
        <color theme="1"/>
        <rFont val="Noto Sans CJK SC"/>
        <family val="2"/>
      </rPr>
      <t xml:space="preserve">評價日後新增的自用在役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（相對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平均）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持有成本（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）− </t>
    </r>
    <r>
      <rPr>
        <sz val="11"/>
        <color theme="1"/>
        <rFont val="Calibri"/>
        <family val="2"/>
        <charset val="1"/>
      </rPr>
      <t xml:space="preserve">Copilot </t>
    </r>
    <r>
      <rPr>
        <sz val="11"/>
        <color theme="1"/>
        <rFont val="Noto Sans CJK SC"/>
        <family val="2"/>
      </rPr>
      <t xml:space="preserve">增量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核心利益率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：扣 </t>
    </r>
    <r>
      <rPr>
        <sz val="11"/>
        <color theme="1"/>
        <rFont val="Calibri"/>
        <family val="2"/>
        <charset val="1"/>
      </rPr>
      <t xml:space="preserve">Copilot </t>
    </r>
    <r>
      <rPr>
        <sz val="11"/>
        <color theme="1"/>
        <rFont val="Noto Sans CJK SC"/>
        <family val="2"/>
      </rPr>
      <t xml:space="preserve">已計的部分，避免重複</t>
    </r>
  </si>
  <si>
    <t xml:space="preserve">shadow_base</t>
  </si>
  <si>
    <r>
      <rPr>
        <sz val="11"/>
        <color theme="1"/>
        <rFont val="Noto Sans CJK SC"/>
        <family val="2"/>
      </rPr>
      <t xml:space="preserve">影子效益的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基準（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平均，主值；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年底）</t>
    </r>
  </si>
  <si>
    <r>
      <rPr>
        <sz val="11"/>
        <color theme="1"/>
        <rFont val="Noto Sans CJK SC"/>
        <family val="2"/>
      </rPr>
      <t xml:space="preserve">修正三：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核心利益率反映的是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平均自用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1,310</t>
    </r>
    <r>
      <rPr>
        <sz val="11"/>
        <color theme="1"/>
        <rFont val="Noto Sans CJK SC"/>
        <family val="2"/>
      </rPr>
      <t xml:space="preserve">），不是年底 </t>
    </r>
    <r>
      <rPr>
        <sz val="11"/>
        <color theme="1"/>
        <rFont val="Calibri"/>
        <family val="2"/>
        <charset val="1"/>
      </rPr>
      <t xml:space="preserve">1,800</t>
    </r>
    <r>
      <rPr>
        <sz val="11"/>
        <color theme="1"/>
        <rFont val="Noto Sans CJK SC"/>
        <family val="2"/>
      </rPr>
      <t xml:space="preserve">；下半年新增的約 </t>
    </r>
    <r>
      <rPr>
        <sz val="11"/>
        <color theme="1"/>
        <rFont val="Calibri"/>
        <family val="2"/>
        <charset val="1"/>
      </rPr>
      <t xml:space="preserve">490 MW </t>
    </r>
    <r>
      <rPr>
        <sz val="11"/>
        <color theme="1"/>
        <rFont val="Noto Sans CJK SC"/>
        <family val="2"/>
      </rPr>
      <t xml:space="preserve">尚未反映在利益率內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</si>
  <si>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判斷預設表：年底基準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</si>
  <si>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產品線成長路徑：近一年年增（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對 </t>
    </r>
    <r>
      <rPr>
        <b val="true"/>
        <sz val="11"/>
        <rFont val="Cambria"/>
        <family val="0"/>
        <charset val="1"/>
      </rPr>
      <t xml:space="preserve">FY2025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8-K </t>
    </r>
    <r>
      <rPr>
        <b val="true"/>
        <sz val="11"/>
        <rFont val="Noto Sans CJK SC"/>
        <family val="2"/>
      </rPr>
      <t xml:space="preserve">重編口徑）線性收斂到長期值（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到達）</t>
    </r>
  </si>
  <si>
    <t xml:space="preserve">n_conv</t>
  </si>
  <si>
    <t xml:space="preserve">收斂年數</t>
  </si>
  <si>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半導體 </t>
    </r>
    <r>
      <rPr>
        <sz val="11"/>
        <color theme="1"/>
        <rFont val="Calibri"/>
        <family val="2"/>
        <charset val="1"/>
      </rPr>
      <t xml:space="preserve">v2 DCF </t>
    </r>
    <r>
      <rPr>
        <sz val="11"/>
        <color theme="1"/>
        <rFont val="Noto Sans CJK SC"/>
        <family val="2"/>
      </rPr>
      <t xml:space="preserve">明確期（到 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）一致</t>
    </r>
  </si>
  <si>
    <t xml:space="preserve">glt_azo</t>
  </si>
  <si>
    <r>
      <rPr>
        <sz val="11"/>
        <color theme="1"/>
        <rFont val="Noto Sans CJK SC"/>
        <family val="2"/>
      </rPr>
      <t xml:space="preserve">長期年增：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其他（非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雲端）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</si>
  <si>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microsoft/legacy_v0.2/company.json</t>
    </r>
    <r>
      <rPr>
        <sz val="11"/>
        <color theme="1"/>
        <rFont val="Noto Sans CJK SC"/>
        <family val="2"/>
      </rPr>
      <t xml:space="preserve">；交接檔 </t>
    </r>
    <r>
      <rPr>
        <sz val="11"/>
        <color theme="1"/>
        <rFont val="Calibri"/>
        <family val="2"/>
        <charset val="1"/>
      </rPr>
      <t xml:space="preserve">docs/handoff/20261025_Microsoft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交接檔</t>
    </r>
    <r>
      <rPr>
        <sz val="11"/>
        <color theme="1"/>
        <rFont val="Calibri"/>
        <family val="2"/>
        <charset val="1"/>
      </rPr>
      <t xml:space="preserve">_v0_2_2.md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azureNonAi gLT 8%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</si>
  <si>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三情境相同（非命題業務）；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用低／高</t>
    </r>
  </si>
  <si>
    <t xml:space="preserve">glt_m365b</t>
  </si>
  <si>
    <r>
      <rPr>
        <sz val="11"/>
        <color theme="1"/>
        <rFont val="Noto Sans CJK SC"/>
        <family val="2"/>
      </rPr>
      <t xml:space="preserve">長期年增：</t>
    </r>
    <r>
      <rPr>
        <sz val="11"/>
        <color theme="1"/>
        <rFont val="Calibri"/>
        <family val="2"/>
        <charset val="1"/>
      </rPr>
      <t xml:space="preserve">M365 cloud </t>
    </r>
    <r>
      <rPr>
        <sz val="11"/>
        <color theme="1"/>
        <rFont val="Noto Sans CJK SC"/>
        <family val="2"/>
      </rPr>
      <t xml:space="preserve">基礎（不含 </t>
    </r>
    <r>
      <rPr>
        <sz val="11"/>
        <color theme="1"/>
        <rFont val="Calibri"/>
        <family val="2"/>
        <charset val="1"/>
      </rPr>
      <t xml:space="preserve">Copilot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</si>
  <si>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v0.2.2 M365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Copilot 10%</t>
    </r>
    <r>
      <rPr>
        <sz val="11"/>
        <color theme="1"/>
        <rFont val="Noto Sans CJK SC"/>
        <family val="2"/>
      </rPr>
      <t xml:space="preserve">；扣 </t>
    </r>
    <r>
      <rPr>
        <sz val="11"/>
        <color theme="1"/>
        <rFont val="Calibri"/>
        <family val="2"/>
        <charset val="1"/>
      </rPr>
      <t xml:space="preserve">Copilot </t>
    </r>
    <r>
      <rPr>
        <sz val="11"/>
        <color theme="1"/>
        <rFont val="Noto Sans CJK SC"/>
        <family val="2"/>
      </rPr>
      <t xml:space="preserve">後取 </t>
    </r>
    <r>
      <rPr>
        <sz val="11"/>
        <color theme="1"/>
        <rFont val="Calibri"/>
        <family val="2"/>
        <charset val="1"/>
      </rPr>
      <t xml:space="preserve">7%</t>
    </r>
  </si>
  <si>
    <t xml:space="preserve">glt_lic</t>
  </si>
  <si>
    <r>
      <rPr>
        <sz val="11"/>
        <color theme="1"/>
        <rFont val="Noto Sans CJK SC"/>
        <family val="2"/>
      </rPr>
      <t xml:space="preserve">長期年增：</t>
    </r>
    <r>
      <rPr>
        <sz val="11"/>
        <color theme="1"/>
        <rFont val="Calibri"/>
        <family val="2"/>
        <charset val="1"/>
      </rPr>
      <t xml:space="preserve">Productivity and server licensing</t>
    </r>
  </si>
  <si>
    <t xml:space="preserve">glt_ind</t>
  </si>
  <si>
    <r>
      <rPr>
        <sz val="11"/>
        <color theme="1"/>
        <rFont val="Noto Sans CJK SC"/>
        <family val="2"/>
      </rPr>
      <t xml:space="preserve">長期年增：</t>
    </r>
    <r>
      <rPr>
        <sz val="11"/>
        <color theme="1"/>
        <rFont val="Calibri"/>
        <family val="2"/>
        <charset val="1"/>
      </rPr>
      <t xml:space="preserve">Industry solutions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</si>
  <si>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microsoft/legacy_v0.2/company.json</t>
    </r>
    <r>
      <rPr>
        <sz val="11"/>
        <color theme="1"/>
        <rFont val="Noto Sans CJK SC"/>
        <family val="2"/>
      </rPr>
      <t xml:space="preserve">；交接檔 </t>
    </r>
    <r>
      <rPr>
        <sz val="11"/>
        <color theme="1"/>
        <rFont val="Calibri"/>
        <family val="2"/>
        <charset val="1"/>
      </rPr>
      <t xml:space="preserve">docs/handoff/20261025_Microsoft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交接檔</t>
    </r>
    <r>
      <rPr>
        <sz val="11"/>
        <color theme="1"/>
        <rFont val="Calibri"/>
        <family val="2"/>
        <charset val="1"/>
      </rPr>
      <t xml:space="preserve">_v0_2_2.md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indFrontier 7%</t>
    </r>
    <r>
      <rPr>
        <sz val="11"/>
        <color theme="1"/>
        <rFont val="Noto Sans CJK SC"/>
        <family val="2"/>
      </rPr>
      <t xml:space="preserve">）</t>
    </r>
  </si>
  <si>
    <t xml:space="preserve">glt_fro</t>
  </si>
  <si>
    <r>
      <rPr>
        <sz val="11"/>
        <color theme="1"/>
        <rFont val="Noto Sans CJK SC"/>
        <family val="2"/>
      </rPr>
      <t xml:space="preserve">長期年增：</t>
    </r>
    <r>
      <rPr>
        <sz val="11"/>
        <color theme="1"/>
        <rFont val="Calibri"/>
        <family val="2"/>
        <charset val="1"/>
      </rPr>
      <t xml:space="preserve">Frontier and support services</t>
    </r>
  </si>
  <si>
    <t xml:space="preserve">glt_srch</t>
  </si>
  <si>
    <r>
      <rPr>
        <sz val="11"/>
        <color theme="1"/>
        <rFont val="Noto Sans CJK SC"/>
        <family val="2"/>
      </rPr>
      <t xml:space="preserve">長期年增：</t>
    </r>
    <r>
      <rPr>
        <sz val="11"/>
        <color theme="1"/>
        <rFont val="Calibri"/>
        <family val="2"/>
        <charset val="1"/>
      </rPr>
      <t xml:space="preserve">Search and advertising</t>
    </r>
  </si>
  <si>
    <t xml:space="preserve">glt_xbox</t>
  </si>
  <si>
    <r>
      <rPr>
        <sz val="11"/>
        <color theme="1"/>
        <rFont val="Noto Sans CJK SC"/>
        <family val="2"/>
      </rPr>
      <t xml:space="preserve">長期年增：</t>
    </r>
    <r>
      <rPr>
        <sz val="11"/>
        <color theme="1"/>
        <rFont val="Calibri"/>
        <family val="2"/>
        <charset val="1"/>
      </rPr>
      <t xml:space="preserve">XBOX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</si>
  <si>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microsoft/legacy_v0.2/company.json</t>
    </r>
    <r>
      <rPr>
        <sz val="11"/>
        <color theme="1"/>
        <rFont val="Noto Sans CJK SC"/>
        <family val="2"/>
      </rPr>
      <t xml:space="preserve">；交接檔 </t>
    </r>
    <r>
      <rPr>
        <sz val="11"/>
        <color theme="1"/>
        <rFont val="Calibri"/>
        <family val="2"/>
        <charset val="1"/>
      </rPr>
      <t xml:space="preserve">docs/handoff/20261025_Microsoft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交接檔</t>
    </r>
    <r>
      <rPr>
        <sz val="11"/>
        <color theme="1"/>
        <rFont val="Calibri"/>
        <family val="2"/>
        <charset val="1"/>
      </rPr>
      <t xml:space="preserve">_v0_2_2.md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devGaming 2%</t>
    </r>
    <r>
      <rPr>
        <sz val="11"/>
        <color theme="1"/>
        <rFont val="Noto Sans CJK SC"/>
        <family val="2"/>
      </rPr>
      <t xml:space="preserve">）</t>
    </r>
  </si>
  <si>
    <t xml:space="preserve">glt_win</t>
  </si>
  <si>
    <r>
      <rPr>
        <sz val="11"/>
        <color theme="1"/>
        <rFont val="Noto Sans CJK SC"/>
        <family val="2"/>
      </rPr>
      <t xml:space="preserve">長期年增：</t>
    </r>
    <r>
      <rPr>
        <sz val="11"/>
        <color theme="1"/>
        <rFont val="Calibri"/>
        <family val="2"/>
        <charset val="1"/>
      </rPr>
      <t xml:space="preserve">Windows OEM and devices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</si>
  <si>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損益、現金與非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資本支出</t>
    </r>
  </si>
  <si>
    <t xml:space="preserve">dm_seg</t>
  </si>
  <si>
    <r>
      <rPr>
        <sz val="11"/>
        <color theme="1"/>
        <rFont val="Noto Sans CJK SC"/>
        <family val="2"/>
      </rPr>
      <t xml:space="preserve">分部核心利益率調整（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</si>
  <si>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無</t>
  </si>
  <si>
    <r>
      <rPr>
        <sz val="11"/>
        <color theme="1"/>
        <rFont val="Noto Sans CJK SC"/>
        <family val="2"/>
      </rPr>
      <t xml:space="preserve">加在 </t>
    </r>
    <r>
      <rPr>
        <sz val="11"/>
        <color theme="1"/>
        <rFont val="Calibri"/>
        <family val="2"/>
        <charset val="1"/>
      </rPr>
      <t xml:space="preserve">Agents and Infra </t>
    </r>
    <r>
      <rPr>
        <sz val="11"/>
        <color theme="1"/>
        <rFont val="Noto Sans CJK SC"/>
        <family val="2"/>
      </rPr>
      <t xml:space="preserve">核心利益率與 </t>
    </r>
    <r>
      <rPr>
        <sz val="11"/>
        <color theme="1"/>
        <rFont val="Calibri"/>
        <family val="2"/>
        <charset val="1"/>
      </rPr>
      <t xml:space="preserve">Devices and Consumer </t>
    </r>
    <r>
      <rPr>
        <sz val="11"/>
        <color theme="1"/>
        <rFont val="Noto Sans CJK SC"/>
        <family val="2"/>
      </rPr>
      <t xml:space="preserve">利益率</t>
    </r>
  </si>
  <si>
    <t xml:space="preserve">oie_f</t>
  </si>
  <si>
    <t xml:space="preserve">業外收支（不含持股評價損益；每年）</t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</si>
  <si>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microsoft/data/microsoft_facts_FY27Q1_20261029.json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guid.fy27q2.oie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FY27Q2 </t>
    </r>
    <r>
      <rPr>
        <sz val="11"/>
        <color theme="1"/>
        <rFont val="Noto Sans CJK SC"/>
        <family val="2"/>
      </rPr>
      <t xml:space="preserve">約 −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（每季，含資料中心融資租賃利息）</t>
    </r>
    <r>
      <rPr>
        <sz val="11"/>
        <color theme="1"/>
        <rFont val="Calibri"/>
        <family val="2"/>
        <charset val="1"/>
      </rPr>
      <t xml:space="preserve">× 4</t>
    </r>
  </si>
  <si>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：−</t>
    </r>
    <r>
      <rPr>
        <sz val="11"/>
        <color theme="1"/>
        <rFont val="Calibri"/>
        <family val="2"/>
        <charset val="1"/>
      </rPr>
      <t xml:space="preserve">0.4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指引 −</t>
    </r>
    <r>
      <rPr>
        <sz val="11"/>
        <color theme="1"/>
        <rFont val="Calibri"/>
        <family val="2"/>
        <charset val="1"/>
      </rPr>
      <t xml:space="preserve">0.1 × 4</t>
    </r>
    <r>
      <rPr>
        <sz val="11"/>
        <color theme="1"/>
        <rFont val="Noto Sans CJK SC"/>
        <family val="2"/>
      </rPr>
      <t xml:space="preserve">；實際 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不含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為 −</t>
    </r>
    <r>
      <rPr>
        <sz val="11"/>
        <color theme="1"/>
        <rFont val="Calibri"/>
        <family val="2"/>
        <charset val="1"/>
      </rPr>
      <t xml:space="preserve">0.234</t>
    </r>
    <r>
      <rPr>
        <sz val="11"/>
        <color theme="1"/>
        <rFont val="Noto Sans CJK SC"/>
        <family val="2"/>
      </rPr>
      <t xml:space="preserve">）；持股評價損益（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權益法、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）預測期設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 × </t>
    </r>
    <r>
      <rPr>
        <sz val="11"/>
        <color theme="1"/>
        <rFont val="Noto Sans CJK SC"/>
        <family val="2"/>
      </rPr>
      <t xml:space="preserve">本值</t>
    </r>
  </si>
  <si>
    <t xml:space="preserve">tax_f</t>
  </si>
  <si>
    <r>
      <rPr>
        <sz val="11"/>
        <color theme="1"/>
        <rFont val="Noto Sans CJK SC"/>
        <family val="2"/>
      </rPr>
      <t xml:space="preserve">有效稅率（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</si>
  <si>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guid.fy27.etr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）</t>
    </r>
  </si>
  <si>
    <t xml:space="preserve">FY2026 19.4%</t>
  </si>
  <si>
    <t xml:space="preserve">sbc_r</t>
  </si>
  <si>
    <r>
      <rPr>
        <sz val="11"/>
        <color theme="1"/>
        <rFont val="Noto Sans CJK SC"/>
        <family val="2"/>
      </rPr>
      <t xml:space="preserve">股票薪酬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</si>
  <si>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實績（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</si>
  <si>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wc27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</si>
  <si>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營運資金變動（全年口徑＝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實績）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</si>
  <si>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cf.wc.total.fy2026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C14</t>
    </r>
    <r>
      <rPr>
        <sz val="11"/>
        <color theme="1"/>
        <rFont val="Noto Sans CJK SC"/>
        <family val="2"/>
      </rPr>
      <t xml:space="preserve">：首期＝上一年度同期實績）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</si>
  <si>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起見 </t>
    </r>
    <r>
      <rPr>
        <sz val="11"/>
        <color theme="1"/>
        <rFont val="Calibri"/>
        <family val="2"/>
        <charset val="1"/>
      </rPr>
      <t xml:space="preserve">wc_f</t>
    </r>
  </si>
  <si>
    <t xml:space="preserve">wc26q1</t>
  </si>
  <si>
    <r>
      <rPr>
        <sz val="11"/>
        <color theme="1"/>
        <rFont val="Calibri"/>
        <family val="2"/>
        <charset val="1"/>
      </rPr>
      <t xml:space="preserve">FY26Q1 </t>
    </r>
    <r>
      <rPr>
        <sz val="11"/>
        <color theme="1"/>
        <rFont val="Noto Sans CJK SC"/>
        <family val="2"/>
      </rPr>
      <t xml:space="preserve">營運資金變動（九項）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</si>
  <si>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microsoft/data/microsoft_facts_FY27Q1_20261029.json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q.cf.wc.fy26q1</t>
    </r>
    <r>
      <rPr>
        <sz val="11"/>
        <color theme="1"/>
        <rFont val="Noto Sans CJK SC"/>
        <family val="2"/>
      </rPr>
      <t xml:space="preserve">（本季新聞稿前期欄；</t>
    </r>
    <r>
      <rPr>
        <sz val="11"/>
        <color theme="1"/>
        <rFont val="Calibri"/>
        <family val="2"/>
        <charset val="1"/>
      </rPr>
      <t xml:space="preserve">IR </t>
    </r>
    <r>
      <rPr>
        <sz val="11"/>
        <color theme="1"/>
        <rFont val="Noto Sans CJK SC"/>
        <family val="2"/>
      </rPr>
      <t xml:space="preserve">財務報表同值）</t>
    </r>
  </si>
  <si>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第二至第四季營運資金＝</t>
    </r>
    <r>
      <rPr>
        <sz val="11"/>
        <color theme="1"/>
        <rFont val="Calibri"/>
        <family val="2"/>
        <charset val="1"/>
      </rPr>
      <t xml:space="preserve">wc27 − </t>
    </r>
    <r>
      <rPr>
        <sz val="11"/>
        <color theme="1"/>
        <rFont val="Noto Sans CJK SC"/>
        <family val="2"/>
      </rPr>
      <t xml:space="preserve">本值（</t>
    </r>
    <r>
      <rPr>
        <sz val="11"/>
        <color theme="1"/>
        <rFont val="Calibri"/>
        <family val="2"/>
        <charset val="1"/>
      </rPr>
      <t xml:space="preserve">C14 </t>
    </r>
    <r>
      <rPr>
        <sz val="11"/>
        <color theme="1"/>
        <rFont val="Noto Sans CJK SC"/>
        <family val="2"/>
      </rPr>
      <t xml:space="preserve">前一年度同期）</t>
    </r>
  </si>
  <si>
    <t xml:space="preserve">wc_f</t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</si>
  <si>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起營運資金變動（每年）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</si>
  <si>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microsoft/legacy_v0.2/company.json</t>
    </r>
    <r>
      <rPr>
        <sz val="11"/>
        <color theme="1"/>
        <rFont val="Noto Sans CJK SC"/>
        <family val="2"/>
      </rPr>
      <t xml:space="preserve">；交接檔 </t>
    </r>
    <r>
      <rPr>
        <sz val="11"/>
        <color theme="1"/>
        <rFont val="Calibri"/>
        <family val="2"/>
        <charset val="1"/>
      </rPr>
      <t xml:space="preserve">docs/handoff/20261025_Microsoft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交接檔</t>
    </r>
    <r>
      <rPr>
        <sz val="11"/>
        <color theme="1"/>
        <rFont val="Calibri"/>
        <family val="2"/>
        <charset val="1"/>
      </rPr>
      <t xml:space="preserve">_v0_2_2.md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wcPctOfRevGrowth 0</t>
    </r>
    <r>
      <rPr>
        <sz val="11"/>
        <color theme="1"/>
        <rFont val="Noto Sans CJK SC"/>
        <family val="2"/>
      </rPr>
      <t xml:space="preserve">）</t>
    </r>
  </si>
  <si>
    <t xml:space="preserve">life_nonai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</si>
  <si>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資產折舊年限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</si>
  <si>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microsoft/legacy_v0.2/company.json</t>
    </r>
    <r>
      <rPr>
        <sz val="11"/>
        <color theme="1"/>
        <rFont val="Noto Sans CJK SC"/>
        <family val="2"/>
      </rPr>
      <t xml:space="preserve">；交接檔 </t>
    </r>
    <r>
      <rPr>
        <sz val="11"/>
        <color theme="1"/>
        <rFont val="Calibri"/>
        <family val="2"/>
        <charset val="1"/>
      </rPr>
      <t xml:space="preserve">docs/handoff/20261025_Microsoft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交接檔</t>
    </r>
    <r>
      <rPr>
        <sz val="11"/>
        <color theme="1"/>
        <rFont val="Calibri"/>
        <family val="2"/>
        <charset val="1"/>
      </rPr>
      <t xml:space="preserve">_v0_2_2.md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C17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</si>
  <si>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折舊＝前期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1 − 1</t>
    </r>
    <r>
      <rPr>
        <sz val="11"/>
        <color theme="1"/>
        <rFont val="Noto Sans CJK SC"/>
        <family val="2"/>
      </rPr>
      <t xml:space="preserve">／年限）＋ 當期非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年限</t>
    </r>
  </si>
  <si>
    <t xml:space="preserve">cx_azo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</si>
  <si>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營收：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其他</t>
    </r>
  </si>
  <si>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microsoft/legacy_v0.2/company.json</t>
    </r>
    <r>
      <rPr>
        <sz val="11"/>
        <color theme="1"/>
        <rFont val="Noto Sans CJK SC"/>
        <family val="2"/>
      </rPr>
      <t xml:space="preserve">；交接檔 </t>
    </r>
    <r>
      <rPr>
        <sz val="11"/>
        <color theme="1"/>
        <rFont val="Calibri"/>
        <family val="2"/>
        <charset val="1"/>
      </rPr>
      <t xml:space="preserve">docs/handoff/20261025_Microsoft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交接檔</t>
    </r>
    <r>
      <rPr>
        <sz val="11"/>
        <color theme="1"/>
        <rFont val="Calibri"/>
        <family val="2"/>
        <charset val="1"/>
      </rPr>
      <t xml:space="preserve">_v0_2_2.md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legacyBiz.lines.cx</t>
    </r>
    <r>
      <rPr>
        <sz val="11"/>
        <color theme="1"/>
        <rFont val="Noto Sans CJK SC"/>
        <family val="2"/>
      </rPr>
      <t xml:space="preserve">）</t>
    </r>
  </si>
  <si>
    <t xml:space="preserve">公司不揭露分部資本支出</t>
  </si>
  <si>
    <t xml:space="preserve">cx_m365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</si>
  <si>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營收：</t>
    </r>
    <r>
      <rPr>
        <sz val="11"/>
        <color theme="1"/>
        <rFont val="Calibri"/>
        <family val="2"/>
        <charset val="1"/>
      </rPr>
      <t xml:space="preserve">Microsoft 365 cloud</t>
    </r>
  </si>
  <si>
    <t xml:space="preserve">cx_lic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</si>
  <si>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營收：授權</t>
    </r>
  </si>
  <si>
    <t xml:space="preserve">cx_ind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</si>
  <si>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營收：</t>
    </r>
    <r>
      <rPr>
        <sz val="11"/>
        <color theme="1"/>
        <rFont val="Calibri"/>
        <family val="2"/>
        <charset val="1"/>
      </rPr>
      <t xml:space="preserve">Industry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Frontier</t>
    </r>
  </si>
  <si>
    <t xml:space="preserve">cx_srch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</si>
  <si>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營收：</t>
    </r>
    <r>
      <rPr>
        <sz val="11"/>
        <color theme="1"/>
        <rFont val="Calibri"/>
        <family val="2"/>
        <charset val="1"/>
      </rPr>
      <t xml:space="preserve">Search and advertising</t>
    </r>
  </si>
  <si>
    <t xml:space="preserve">cx_dev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</si>
  <si>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營收：</t>
    </r>
    <r>
      <rPr>
        <sz val="11"/>
        <color theme="1"/>
        <rFont val="Calibri"/>
        <family val="2"/>
        <charset val="1"/>
      </rPr>
      <t xml:space="preserve">XBOX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Windows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</si>
  <si>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市場共識與公司指引（只作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對照，不作校準）</t>
    </r>
  </si>
  <si>
    <t xml:space="preserve">cons_tp</t>
  </si>
  <si>
    <r>
      <rPr>
        <sz val="11"/>
        <color theme="1"/>
        <rFont val="Noto Sans CJK SC"/>
        <family val="2"/>
      </rPr>
      <t xml:space="preserve">市場共識目標價（</t>
    </r>
    <r>
      <rPr>
        <sz val="11"/>
        <color theme="1"/>
        <rFont val="Calibri"/>
        <family val="2"/>
        <charset val="1"/>
      </rPr>
      <t xml:space="preserve">S&amp;P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57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</si>
  <si>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Calibri"/>
        <family val="2"/>
        <charset val="1"/>
      </rPr>
      <t xml:space="preserve">https://stockanalysis.com/stocks/msft/forecast/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2026-10-27 </t>
    </r>
    <r>
      <rPr>
        <sz val="11"/>
        <color theme="1"/>
        <rFont val="Noto Sans CJK SC"/>
        <family val="2"/>
      </rPr>
      <t xml:space="preserve">頁面；底層 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；中位數 </t>
    </r>
    <r>
      <rPr>
        <sz val="11"/>
        <color theme="1"/>
        <rFont val="Calibri"/>
        <family val="2"/>
        <charset val="1"/>
      </rPr>
      <t xml:space="preserve">600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Strong Buy 41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Buy 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Hold 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</si>
  <si>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只作對照，不進模型（只被 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引用）；</t>
    </r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603.43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）；財報後的調整尚未反映</t>
    </r>
  </si>
  <si>
    <t xml:space="preserve">cons_tp_mb</t>
  </si>
  <si>
    <r>
      <rPr>
        <sz val="11"/>
        <color theme="1"/>
        <rFont val="Noto Sans CJK SC"/>
        <family val="2"/>
      </rPr>
      <t xml:space="preserve">市場共識目標價（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49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</si>
  <si>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Calibri"/>
        <family val="2"/>
        <charset val="1"/>
      </rPr>
      <t xml:space="preserve">https://www.marketbeat.com/stocks/NASDAQ/MSFT/forecast/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2026-10-27 </t>
    </r>
    <r>
      <rPr>
        <sz val="11"/>
        <color theme="1"/>
        <rFont val="Noto Sans CJK SC"/>
        <family val="2"/>
      </rPr>
      <t xml:space="preserve">更新；</t>
    </r>
    <r>
      <rPr>
        <sz val="11"/>
        <color theme="1"/>
        <rFont val="Calibri"/>
        <family val="2"/>
        <charset val="1"/>
      </rPr>
      <t xml:space="preserve">Buy 44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Hold 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Sell 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</si>
  <si>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只作對照，不進模型（只被 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引用）；第二個呈現；底層為 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彙整的券商報告</t>
    </r>
  </si>
  <si>
    <t xml:space="preserve">cons_rev27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</si>
  <si>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</si>
  <si>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https://stockanalysis.com/stocks/msft/forecast/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2026-10-27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</si>
  <si>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Noto Sans CJK SC"/>
        <family val="2"/>
      </rPr>
      <t xml:space="preserve">只作對照，不進模型（只被 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引用）；</t>
    </r>
    <r>
      <rPr>
        <sz val="11"/>
        <color theme="1"/>
        <rFont val="Calibri"/>
        <family val="2"/>
        <charset val="1"/>
      </rPr>
      <t xml:space="preserve">MarketScreener 391.271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）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</si>
  <si>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</si>
  <si>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</si>
  <si>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https://stockanalysis.com/stocks/msft/forecast/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</si>
  <si>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只作對照，不進模型（只被 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引用）；</t>
    </r>
    <r>
      <rPr>
        <sz val="11"/>
        <color theme="1"/>
        <rFont val="Calibri"/>
        <family val="2"/>
        <charset val="1"/>
      </rPr>
      <t xml:space="preserve">MarketScreener GAAP 19.72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）</t>
    </r>
  </si>
  <si>
    <t xml:space="preserve">cons_rev28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</si>
  <si>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</si>
  <si>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microsoft/data/consensus_msft_20261008.json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）</t>
    </r>
  </si>
  <si>
    <t xml:space="preserve">cons_rev29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</si>
  <si>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</si>
  <si>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cons_ebit27</t>
  </si>
  <si>
    <r>
      <rPr>
        <sz val="11"/>
        <color theme="1"/>
        <rFont val="Noto Sans CJK SC"/>
        <family val="2"/>
      </rPr>
      <t xml:space="preserve">共識營業利益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</si>
  <si>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營業利益口徑</t>
    </r>
  </si>
  <si>
    <t xml:space="preserve">cons_cx27</t>
  </si>
  <si>
    <r>
      <rPr>
        <sz val="11"/>
        <color theme="1"/>
        <rFont val="Noto Sans CJK SC"/>
        <family val="2"/>
      </rPr>
      <t xml:space="preserve">共識資本支出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，推定現金口徑）</t>
    </r>
  </si>
  <si>
    <t xml:space="preserve">microsoft/data/consensus_msft_20261008.json</t>
  </si>
  <si>
    <t xml:space="preserve">模型為公司口徑（含融資租賃）</t>
  </si>
  <si>
    <t xml:space="preserve">cons_ebit28</t>
  </si>
  <si>
    <r>
      <rPr>
        <sz val="11"/>
        <color theme="1"/>
        <rFont val="Noto Sans CJK SC"/>
        <family val="2"/>
      </rPr>
      <t xml:space="preserve">共識營業利益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</si>
  <si>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cons_cx28</t>
  </si>
  <si>
    <r>
      <rPr>
        <sz val="11"/>
        <color theme="1"/>
        <rFont val="Noto Sans CJK SC"/>
        <family val="2"/>
      </rPr>
      <t xml:space="preserve">共識資本支出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，推定現金口徑）</t>
    </r>
  </si>
  <si>
    <t xml:space="preserve">cons_ebit29</t>
  </si>
  <si>
    <r>
      <rPr>
        <sz val="11"/>
        <color theme="1"/>
        <rFont val="Noto Sans CJK SC"/>
        <family val="2"/>
      </rPr>
      <t xml:space="preserve">共識營業利益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）</t>
    </r>
  </si>
  <si>
    <t xml:space="preserve">cons_cx29</t>
  </si>
  <si>
    <r>
      <rPr>
        <sz val="11"/>
        <color theme="1"/>
        <rFont val="Noto Sans CJK SC"/>
        <family val="2"/>
      </rPr>
      <t xml:space="preserve">共識資本支出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，推定現金口徑）</t>
    </r>
  </si>
  <si>
    <t xml:space="preserve">cons_eps28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</si>
  <si>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</si>
  <si>
    <t xml:space="preserve">cons_eps29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</si>
  <si>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</si>
  <si>
    <t xml:space="preserve">g_q1_rev</t>
  </si>
  <si>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營收指引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</si>
  <si>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guid.fy27q1.rev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8-K 2026-09-02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</si>
  <si>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只作對照，不進模型（只被 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引用）；實績 </t>
    </r>
    <r>
      <rPr>
        <sz val="11"/>
        <color theme="1"/>
        <rFont val="Calibri"/>
        <family val="2"/>
        <charset val="1"/>
      </rPr>
      <t xml:space="preserve">92.279</t>
    </r>
  </si>
  <si>
    <t xml:space="preserve">g_q1_ai</t>
  </si>
  <si>
    <r>
      <rPr>
        <sz val="11"/>
        <color theme="1"/>
        <rFont val="Calibri"/>
        <family val="2"/>
        <charset val="1"/>
      </rPr>
      <t xml:space="preserve">FY27Q1 Agents and Infra </t>
    </r>
    <r>
      <rPr>
        <sz val="11"/>
        <color theme="1"/>
        <rFont val="Noto Sans CJK SC"/>
        <family val="2"/>
      </rPr>
      <t xml:space="preserve">營收指引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</si>
  <si>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guid.fy27q1.rev.ai</t>
    </r>
  </si>
  <si>
    <r>
      <rPr>
        <sz val="11"/>
        <color theme="1"/>
        <rFont val="Noto Sans CJK SC"/>
        <family val="2"/>
      </rPr>
      <t xml:space="preserve">只作對照，不進模型（只被 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引用）；實績 </t>
    </r>
    <r>
      <rPr>
        <sz val="11"/>
        <color theme="1"/>
        <rFont val="Calibri"/>
        <family val="2"/>
        <charset val="1"/>
      </rPr>
      <t xml:space="preserve">76.795</t>
    </r>
  </si>
  <si>
    <t xml:space="preserve">g_q1_dc</t>
  </si>
  <si>
    <r>
      <rPr>
        <sz val="11"/>
        <color theme="1"/>
        <rFont val="Calibri"/>
        <family val="2"/>
        <charset val="1"/>
      </rPr>
      <t xml:space="preserve">FY27Q1 Devices and Consumer </t>
    </r>
    <r>
      <rPr>
        <sz val="11"/>
        <color theme="1"/>
        <rFont val="Noto Sans CJK SC"/>
        <family val="2"/>
      </rPr>
      <t xml:space="preserve">營收指引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</si>
  <si>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guid.fy27q1.rev.dc</t>
    </r>
  </si>
  <si>
    <r>
      <rPr>
        <sz val="11"/>
        <color theme="1"/>
        <rFont val="Noto Sans CJK SC"/>
        <family val="2"/>
      </rPr>
      <t xml:space="preserve">只作對照，不進模型（只被 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引用）；實績 </t>
    </r>
    <r>
      <rPr>
        <sz val="11"/>
        <color theme="1"/>
        <rFont val="Calibri"/>
        <family val="2"/>
        <charset val="1"/>
      </rPr>
      <t xml:space="preserve">15.484</t>
    </r>
  </si>
  <si>
    <t xml:space="preserve">g_q1_az</t>
  </si>
  <si>
    <r>
      <rPr>
        <sz val="11"/>
        <color theme="1"/>
        <rFont val="Calibri"/>
        <family val="2"/>
        <charset val="1"/>
      </rPr>
      <t xml:space="preserve">FY27Q1 Azure </t>
    </r>
    <r>
      <rPr>
        <sz val="11"/>
        <color theme="1"/>
        <rFont val="Noto Sans CJK SC"/>
        <family val="2"/>
      </rPr>
      <t xml:space="preserve">年增指引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</si>
  <si>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guid.fy27q1.azure</t>
    </r>
  </si>
  <si>
    <r>
      <rPr>
        <sz val="11"/>
        <color theme="1"/>
        <rFont val="Noto Sans CJK SC"/>
        <family val="2"/>
      </rPr>
      <t xml:space="preserve">只作對照，不進模型（只被 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引用）；實績 </t>
    </r>
    <r>
      <rPr>
        <sz val="11"/>
        <color theme="1"/>
        <rFont val="Calibri"/>
        <family val="2"/>
        <charset val="1"/>
      </rPr>
      <t xml:space="preserve">48%</t>
    </r>
  </si>
  <si>
    <t xml:space="preserve">g_q1_cx</t>
  </si>
  <si>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資本支出指引（下限）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</si>
  <si>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guid.fy27q1.capex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over 50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</si>
  <si>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45.2</t>
    </r>
    <r>
      <rPr>
        <sz val="11"/>
        <color theme="1"/>
        <rFont val="Noto Sans CJK SC"/>
        <family val="2"/>
      </rPr>
      <t xml:space="preserve">（第三方產能交付延後）</t>
    </r>
  </si>
  <si>
    <t xml:space="preserve">g_q2_rev</t>
  </si>
  <si>
    <r>
      <rPr>
        <sz val="11"/>
        <color theme="1"/>
        <rFont val="Calibri"/>
        <family val="2"/>
        <charset val="1"/>
      </rPr>
      <t xml:space="preserve">FY27Q2 </t>
    </r>
    <r>
      <rPr>
        <sz val="11"/>
        <color theme="1"/>
        <rFont val="Noto Sans CJK SC"/>
        <family val="2"/>
      </rPr>
      <t xml:space="preserve">營收指引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</si>
  <si>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microsoft/data/microsoft_facts_FY27Q1_20261029.json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guid.fy27q2.*</t>
    </r>
    <r>
      <rPr>
        <sz val="11"/>
        <color theme="1"/>
        <rFont val="Noto Sans CJK SC"/>
        <family val="2"/>
      </rPr>
      <t xml:space="preserve">（展望簡報第 </t>
    </r>
    <r>
      <rPr>
        <sz val="11"/>
        <color theme="1"/>
        <rFont val="Calibri"/>
        <family val="2"/>
        <charset val="1"/>
      </rPr>
      <t xml:space="preserve">3–4 </t>
    </r>
    <r>
      <rPr>
        <sz val="11"/>
        <color theme="1"/>
        <rFont val="Noto Sans CJK SC"/>
        <family val="2"/>
      </rPr>
      <t xml:space="preserve">頁；法說 </t>
    </r>
    <r>
      <rPr>
        <sz val="11"/>
        <color theme="1"/>
        <rFont val="Calibri"/>
        <family val="2"/>
        <charset val="1"/>
      </rPr>
      <t xml:space="preserve">CFO </t>
    </r>
    <r>
      <rPr>
        <sz val="11"/>
        <color theme="1"/>
        <rFont val="Noto Sans CJK SC"/>
        <family val="2"/>
      </rPr>
      <t xml:space="preserve">指引段同值）</t>
    </r>
  </si>
  <si>
    <r>
      <rPr>
        <sz val="11"/>
        <color theme="1"/>
        <rFont val="Noto Sans CJK SC"/>
        <family val="2"/>
      </rPr>
      <t xml:space="preserve">只作對照，不進模型（只被 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引用）；區間取中點</t>
    </r>
  </si>
  <si>
    <t xml:space="preserve">g_q2_ai</t>
  </si>
  <si>
    <r>
      <rPr>
        <sz val="11"/>
        <color theme="1"/>
        <rFont val="Calibri"/>
        <family val="2"/>
        <charset val="1"/>
      </rPr>
      <t xml:space="preserve">FY27Q2 Agents and Infra </t>
    </r>
    <r>
      <rPr>
        <sz val="11"/>
        <color theme="1"/>
        <rFont val="Noto Sans CJK SC"/>
        <family val="2"/>
      </rPr>
      <t xml:space="preserve">營收指引</t>
    </r>
  </si>
  <si>
    <r>
      <rPr>
        <sz val="11"/>
        <color theme="1"/>
        <rFont val="Noto Sans CJK SC"/>
        <family val="2"/>
      </rPr>
      <t xml:space="preserve">只作對照，不進模型（只被 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引用）</t>
    </r>
  </si>
  <si>
    <t xml:space="preserve">g_q2_dc</t>
  </si>
  <si>
    <r>
      <rPr>
        <sz val="11"/>
        <color theme="1"/>
        <rFont val="Calibri"/>
        <family val="2"/>
        <charset val="1"/>
      </rPr>
      <t xml:space="preserve">FY27Q2 Devices and Consumer </t>
    </r>
    <r>
      <rPr>
        <sz val="11"/>
        <color theme="1"/>
        <rFont val="Noto Sans CJK SC"/>
        <family val="2"/>
      </rPr>
      <t xml:space="preserve">營收指引</t>
    </r>
  </si>
  <si>
    <t xml:space="preserve">g_q2_az</t>
  </si>
  <si>
    <r>
      <rPr>
        <sz val="11"/>
        <color theme="1"/>
        <rFont val="Calibri"/>
        <family val="2"/>
        <charset val="1"/>
      </rPr>
      <t xml:space="preserve">FY27Q2 Azure </t>
    </r>
    <r>
      <rPr>
        <sz val="11"/>
        <color theme="1"/>
        <rFont val="Noto Sans CJK SC"/>
        <family val="2"/>
      </rPr>
      <t xml:space="preserve">年增指引（</t>
    </r>
    <r>
      <rPr>
        <sz val="11"/>
        <color theme="1"/>
        <rFont val="Calibri"/>
        <family val="2"/>
        <charset val="1"/>
      </rPr>
      <t xml:space="preserve">cc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</si>
  <si>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只作對照，不進模型（只被 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引用）；匯率無重大影響</t>
    </r>
  </si>
  <si>
    <t xml:space="preserve">g_q2_win</t>
  </si>
  <si>
    <r>
      <rPr>
        <sz val="11"/>
        <color theme="1"/>
        <rFont val="Calibri"/>
        <family val="2"/>
        <charset val="1"/>
      </rPr>
      <t xml:space="preserve">FY27Q2 Windows OEM and devices </t>
    </r>
    <r>
      <rPr>
        <sz val="11"/>
        <color theme="1"/>
        <rFont val="Noto Sans CJK SC"/>
        <family val="2"/>
      </rPr>
      <t xml:space="preserve">年增指引（</t>
    </r>
    <r>
      <rPr>
        <sz val="11"/>
        <color theme="1"/>
        <rFont val="Calibri"/>
        <family val="2"/>
        <charset val="1"/>
      </rPr>
      <t xml:space="preserve">mid-thirties </t>
    </r>
    <r>
      <rPr>
        <sz val="11"/>
        <color theme="1"/>
        <rFont val="Noto Sans CJK SC"/>
        <family val="2"/>
      </rPr>
      <t xml:space="preserve">衰退）</t>
    </r>
  </si>
  <si>
    <t xml:space="preserve">法說：此趨勢延續本財年其餘各季</t>
  </si>
  <si>
    <t xml:space="preserve">g_q2_cx</t>
  </si>
  <si>
    <r>
      <rPr>
        <sz val="11"/>
        <color theme="1"/>
        <rFont val="Calibri"/>
        <family val="2"/>
        <charset val="1"/>
      </rPr>
      <t xml:space="preserve">FY27Q2 </t>
    </r>
    <r>
      <rPr>
        <sz val="11"/>
        <color theme="1"/>
        <rFont val="Noto Sans CJK SC"/>
        <family val="2"/>
      </rPr>
      <t xml:space="preserve">資本支出指引（下限）</t>
    </r>
  </si>
  <si>
    <r>
      <rPr>
        <sz val="11"/>
        <color theme="1"/>
        <rFont val="Noto Sans CJK SC"/>
        <family val="2"/>
      </rPr>
      <t xml:space="preserve">曆年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170 </t>
    </r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51.9</t>
    </r>
  </si>
  <si>
    <t xml:space="preserve">g_cy26_cx</t>
  </si>
  <si>
    <r>
      <rPr>
        <sz val="11"/>
        <color theme="1"/>
        <rFont val="Noto Sans CJK SC"/>
        <family val="2"/>
      </rPr>
      <t xml:space="preserve">曆年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資本支出指引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</si>
  <si>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microsoft/data/microsoft_facts_FY27Q1_20261029.json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guid.cy26.capex</t>
    </r>
    <r>
      <rPr>
        <sz val="11"/>
        <color theme="1"/>
        <rFont val="Noto Sans CJK SC"/>
        <family val="2"/>
      </rPr>
      <t xml:space="preserve">（法說；前次約 </t>
    </r>
    <r>
      <rPr>
        <sz val="11"/>
        <color theme="1"/>
        <rFont val="Calibri"/>
        <family val="2"/>
        <charset val="1"/>
      </rPr>
      <t xml:space="preserve">175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</si>
  <si>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第三方產能延到 </t>
    </r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下半年</t>
    </r>
  </si>
  <si>
    <t xml:space="preserve">g_fy27_opm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</si>
  <si>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營業利益率變動指引（上限）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</si>
  <si>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guid.fy27.opm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down less than a point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法說未更新全年）</t>
    </r>
  </si>
  <si>
    <r>
      <rPr>
        <sz val="11"/>
        <color theme="1"/>
        <rFont val="Calibri"/>
        <family val="2"/>
        <charset val="1"/>
      </rPr>
      <t xml:space="preserve">FY27Q2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down slightly year-over-year</t>
    </r>
  </si>
  <si>
    <t xml:space="preserve">ai_runrate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</si>
  <si>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業務年化營收（</t>
    </r>
    <r>
      <rPr>
        <sz val="11"/>
        <color theme="1"/>
        <rFont val="Calibri"/>
        <family val="2"/>
        <charset val="1"/>
      </rPr>
      <t xml:space="preserve">FY26Q3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</si>
  <si>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microsoft/data/microsoft_facts_20261008.json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call.aiRunRate.fy26q3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Copilot </t>
    </r>
    <r>
      <rPr>
        <sz val="11"/>
        <color theme="1"/>
        <rFont val="Noto Sans CJK SC"/>
        <family val="2"/>
      </rPr>
      <t xml:space="preserve">等自有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產品）</t>
    </r>
  </si>
  <si>
    <r>
      <rPr>
        <sz val="11"/>
        <color theme="1"/>
        <rFont val="Calibri"/>
        <family val="2"/>
        <charset val="1"/>
      </rPr>
      <t xml:space="preserve">C3</t>
    </r>
    <r>
      <rPr>
        <sz val="11"/>
        <color theme="1"/>
        <rFont val="Noto Sans CJK SC"/>
        <family val="2"/>
      </rPr>
      <t xml:space="preserve">：只作驗證列；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未更新</t>
    </r>
  </si>
  <si>
    <t xml:space="preserve">oai_rev_q1</t>
  </si>
  <si>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來自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的營收（含分潤；關係人揭露）</t>
    </r>
  </si>
  <si>
    <r>
      <rPr>
        <sz val="11"/>
        <color theme="1"/>
        <rFont val="Noto Sans CJK SC"/>
        <family val="2"/>
      </rPr>
      <t xml:space="preserve">事實總帳 </t>
    </r>
    <r>
      <rPr>
        <sz val="11"/>
        <color theme="1"/>
        <rFont val="Calibri"/>
        <family val="2"/>
        <charset val="1"/>
      </rPr>
      <t xml:space="preserve">microsoft/data/microsoft_facts_FY27Q1_20261029.json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oai.rev.fy27q1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</si>
  <si>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C3</t>
    </r>
    <r>
      <rPr>
        <sz val="11"/>
        <color theme="1"/>
        <rFont val="Noto Sans CJK SC"/>
        <family val="2"/>
      </rPr>
      <t xml:space="preserve">：只作驗證列，不回推 </t>
    </r>
    <r>
      <rPr>
        <sz val="11"/>
        <color theme="1"/>
        <rFont val="Calibri"/>
        <family val="2"/>
        <charset val="1"/>
      </rPr>
      <t xml:space="preserve">k</t>
    </r>
  </si>
  <si>
    <t xml:space="preserve">tgt_alt</t>
  </si>
  <si>
    <r>
      <rPr>
        <sz val="11"/>
        <color theme="1"/>
        <rFont val="Noto Sans CJK SC"/>
        <family val="2"/>
      </rPr>
      <t xml:space="preserve">替代：目標價時點 </t>
    </r>
    <r>
      <rPr>
        <sz val="11"/>
        <color theme="1"/>
        <rFont val="Calibri"/>
        <family val="2"/>
        <charset val="1"/>
      </rPr>
      <t xml:space="preserve">2028-01-27</t>
    </r>
    <r>
      <rPr>
        <sz val="11"/>
        <color theme="1"/>
        <rFont val="Noto Sans CJK SC"/>
        <family val="2"/>
      </rPr>
      <t xml:space="preserve">（工作單字面「目標價日 </t>
    </r>
    <r>
      <rPr>
        <sz val="11"/>
        <color theme="1"/>
        <rFont val="Calibri"/>
        <family val="2"/>
        <charset val="1"/>
      </rPr>
      <t xml:space="preserve">+1 </t>
    </r>
    <r>
      <rPr>
        <sz val="11"/>
        <color theme="1"/>
        <rFont val="Noto Sans CJK SC"/>
        <family val="2"/>
      </rPr>
      <t xml:space="preserve">季」）</t>
    </r>
  </si>
  <si>
    <r>
      <rPr>
        <sz val="11"/>
        <color theme="1"/>
        <rFont val="Noto Sans CJK SC"/>
        <family val="2"/>
      </rPr>
      <t xml:space="preserve">工作單第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節第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項 </t>
    </r>
    <r>
      <rPr>
        <sz val="11"/>
        <color theme="1"/>
        <rFont val="Calibri"/>
        <family val="2"/>
        <charset val="1"/>
      </rPr>
      <t xml:space="preserve">(a)</t>
    </r>
  </si>
  <si>
    <r>
      <rPr>
        <sz val="11"/>
        <color theme="1"/>
        <rFont val="Noto Sans CJK SC"/>
        <family val="2"/>
      </rPr>
      <t xml:space="preserve">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判斷替代</t>
    </r>
  </si>
  <si>
    <r>
      <rPr>
        <b val="true"/>
        <sz val="11"/>
        <rFont val="Cambria"/>
        <family val="0"/>
        <charset val="1"/>
      </rPr>
      <t xml:space="preserve">I. v0.2.2 </t>
    </r>
    <r>
      <rPr>
        <b val="true"/>
        <sz val="11"/>
        <rFont val="Noto Sans CJK SC"/>
        <family val="2"/>
      </rPr>
      <t xml:space="preserve">對照（</t>
    </r>
    <r>
      <rPr>
        <b val="true"/>
        <sz val="11"/>
        <rFont val="Cambria"/>
        <family val="0"/>
        <charset val="1"/>
      </rPr>
      <t xml:space="preserve">microsoft/dist/_</t>
    </r>
    <r>
      <rPr>
        <b val="true"/>
        <sz val="11"/>
        <rFont val="Noto Sans CJK SC"/>
        <family val="2"/>
      </rPr>
      <t xml:space="preserve">待刪除</t>
    </r>
    <r>
      <rPr>
        <b val="true"/>
        <sz val="11"/>
        <rFont val="Cambria"/>
        <family val="0"/>
        <charset val="1"/>
      </rPr>
      <t xml:space="preserve">/20261025_Microsoft</t>
    </r>
    <r>
      <rPr>
        <b val="true"/>
        <sz val="11"/>
        <rFont val="Noto Sans CJK SC"/>
        <family val="2"/>
      </rPr>
      <t xml:space="preserve">收支模型</t>
    </r>
    <r>
      <rPr>
        <b val="true"/>
        <sz val="11"/>
        <rFont val="Cambria"/>
        <family val="0"/>
        <charset val="1"/>
      </rPr>
      <t xml:space="preserve">_v0_2_2.xlsx </t>
    </r>
    <r>
      <rPr>
        <b val="true"/>
        <sz val="11"/>
        <rFont val="Noto Sans CJK SC"/>
        <family val="2"/>
      </rPr>
      <t xml:space="preserve">評價</t>
    </r>
    <r>
      <rPr>
        <b val="true"/>
        <sz val="11"/>
        <rFont val="Cambria"/>
        <family val="0"/>
        <charset val="1"/>
      </rPr>
      <t xml:space="preserve">_DCF</t>
    </r>
    <r>
      <rPr>
        <b val="true"/>
        <sz val="11"/>
        <rFont val="Noto Sans CJK SC"/>
        <family val="2"/>
      </rPr>
      <t xml:space="preserve">與目標價）</t>
    </r>
  </si>
  <si>
    <t xml:space="preserve">old_tp</t>
  </si>
  <si>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基準目標價（讀法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</si>
  <si>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成品：低欄＝積極、高欄＝保守情境</t>
    </r>
  </si>
  <si>
    <r>
      <rPr>
        <sz val="11"/>
        <color theme="1"/>
        <rFont val="Noto Sans CJK SC"/>
        <family val="2"/>
      </rPr>
      <t xml:space="preserve">只作對照，不進模型（只被 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引用）；讀法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429.43</t>
    </r>
  </si>
  <si>
    <t xml:space="preserve">old_dcf</t>
  </si>
  <si>
    <r>
      <rPr>
        <sz val="11"/>
        <color theme="1"/>
        <rFont val="Calibri"/>
        <family val="2"/>
        <charset val="1"/>
      </rPr>
      <t xml:space="preserve">v0.2.2 DCF </t>
    </r>
    <r>
      <rPr>
        <sz val="11"/>
        <color theme="1"/>
        <rFont val="Noto Sans CJK SC"/>
        <family val="2"/>
      </rPr>
      <t xml:space="preserve">每股（推到目標價時點）</t>
    </r>
  </si>
  <si>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成品</t>
    </r>
  </si>
  <si>
    <t xml:space="preserve">old_ev</t>
  </si>
  <si>
    <r>
      <rPr>
        <sz val="11"/>
        <color theme="1"/>
        <rFont val="Calibri"/>
        <family val="2"/>
        <charset val="1"/>
      </rPr>
      <t xml:space="preserve">v0.2.2 EV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每股（融資後）</t>
    </r>
  </si>
  <si>
    <t xml:space="preserve">old_w</t>
  </si>
  <si>
    <r>
      <rPr>
        <sz val="11"/>
        <color theme="1"/>
        <rFont val="Calibri"/>
        <family val="2"/>
        <charset val="1"/>
      </rPr>
      <t xml:space="preserve">v0.2.2 DCF </t>
    </r>
    <r>
      <rPr>
        <sz val="11"/>
        <color theme="1"/>
        <rFont val="Noto Sans CJK SC"/>
        <family val="2"/>
      </rPr>
      <t xml:space="preserve">權重</t>
    </r>
  </si>
  <si>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DCF 45%</t>
    </r>
    <r>
      <rPr>
        <sz val="11"/>
        <color theme="1"/>
        <rFont val="Noto Sans CJK SC"/>
        <family val="2"/>
      </rPr>
      <t xml:space="preserve">＋分部 </t>
    </r>
    <r>
      <rPr>
        <sz val="11"/>
        <color theme="1"/>
        <rFont val="Calibri"/>
        <family val="2"/>
        <charset val="1"/>
      </rPr>
      <t xml:space="preserve">EV/EBITDA 55%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</si>
  <si>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情境驅動對照（三情境並排，進主模型的加權目標價；本節只引用上方各列，修改請改上方藍字。上方「敏感度低／高」欄只用於 </t>
    </r>
    <r>
      <rPr>
        <b val="true"/>
        <sz val="11"/>
        <rFont val="Cambria"/>
        <family val="0"/>
        <charset val="1"/>
      </rPr>
      <t xml:space="preserve">Sens </t>
    </r>
    <r>
      <rPr>
        <b val="true"/>
        <sz val="11"/>
        <rFont val="Noto Sans CJK SC"/>
        <family val="2"/>
      </rPr>
      <t xml:space="preserve">頁，不進目標價）</t>
    </r>
  </si>
  <si>
    <t xml:space="preserve">scn_ls</t>
  </si>
  <si>
    <t xml:space="preserve">長約占比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</si>
  <si>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ls_A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ls_B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ls_C</t>
    </r>
    <r>
      <rPr>
        <sz val="11"/>
        <color theme="1"/>
        <rFont val="Noto Sans CJK SC"/>
        <family val="2"/>
      </rPr>
      <t xml:space="preserve">；長約 </t>
    </r>
    <r>
      <rPr>
        <sz val="11"/>
        <color theme="1"/>
        <rFont val="Calibri"/>
        <family val="2"/>
        <charset val="1"/>
      </rPr>
      <t xml:space="preserve">× k_</t>
    </r>
    <r>
      <rPr>
        <sz val="11"/>
        <color theme="1"/>
        <rFont val="Noto Sans CJK SC"/>
        <family val="2"/>
      </rPr>
      <t xml:space="preserve">長約＋其餘 </t>
    </r>
    <r>
      <rPr>
        <sz val="11"/>
        <color theme="1"/>
        <rFont val="Calibri"/>
        <family val="2"/>
        <charset val="1"/>
      </rPr>
      <t xml:space="preserve">× k_</t>
    </r>
    <r>
      <rPr>
        <sz val="11"/>
        <color theme="1"/>
        <rFont val="Noto Sans CJK SC"/>
        <family val="2"/>
      </rPr>
      <t xml:space="preserve">現貨 → 混合 </t>
    </r>
    <r>
      <rPr>
        <sz val="11"/>
        <color theme="1"/>
        <rFont val="Calibri"/>
        <family val="2"/>
        <charset val="1"/>
      </rPr>
      <t xml:space="preserve">k</t>
    </r>
  </si>
  <si>
    <t xml:space="preserve">scn_k</t>
  </si>
  <si>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實收 </t>
    </r>
    <r>
      <rPr>
        <sz val="11"/>
        <color theme="1"/>
        <rFont val="Calibri"/>
        <family val="2"/>
        <charset val="1"/>
      </rPr>
      <t xml:space="preserve">÷ Tokenomics </t>
    </r>
    <r>
      <rPr>
        <sz val="11"/>
        <color theme="1"/>
        <rFont val="Noto Sans CJK SC"/>
        <family val="2"/>
      </rPr>
      <t xml:space="preserve">持有成本）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</si>
  <si>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k_A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k_B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k_C</t>
    </r>
    <r>
      <rPr>
        <sz val="11"/>
        <color theme="1"/>
        <rFont val="Noto Sans CJK SC"/>
        <family val="2"/>
      </rPr>
      <t xml:space="preserve">；三情境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路徑相同，差在變現</t>
    </r>
  </si>
  <si>
    <t xml:space="preserve">scn_cop</t>
  </si>
  <si>
    <r>
      <rPr>
        <sz val="11"/>
        <color theme="1"/>
        <rFont val="Calibri"/>
        <family val="2"/>
        <charset val="1"/>
      </rPr>
      <t xml:space="preserve">Copilot </t>
    </r>
    <r>
      <rPr>
        <sz val="11"/>
        <color theme="1"/>
        <rFont val="Noto Sans CJK SC"/>
        <family val="2"/>
      </rPr>
      <t xml:space="preserve">每年淨增座席 </t>
    </r>
    <r>
      <rPr>
        <sz val="11"/>
        <color theme="1"/>
        <rFont val="Calibri"/>
        <family val="2"/>
        <charset val="1"/>
      </rPr>
      <t xml:space="preserve">FY2027–FY2029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</si>
  <si>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cop_add_A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cop_add_B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cop_add_C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× cop_tail</t>
    </r>
  </si>
  <si>
    <t xml:space="preserve">scn_w</t>
  </si>
  <si>
    <t xml:space="preserve">情境權重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</si>
  <si>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w_A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w_C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判斷</t>
    </r>
    <r>
      <rPr>
        <sz val="11"/>
        <color theme="1"/>
        <rFont val="Calibri"/>
        <family val="2"/>
        <charset val="1"/>
      </rPr>
      <t xml:space="preserve">] </t>
    </r>
    <r>
      <rPr>
        <sz val="11"/>
        <color theme="1"/>
        <rFont val="Noto Sans CJK SC"/>
        <family val="2"/>
      </rPr>
      <t xml:space="preserve">黃底，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</si>
  <si>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實績（十億美元）。分部與產品線為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起的報導口徑（</t>
    </r>
    <r>
      <rPr>
        <sz val="11"/>
        <color theme="1"/>
        <rFont val="Calibri"/>
        <family val="2"/>
        <charset val="1"/>
      </rPr>
      <t xml:space="preserve">FY25Q2–FY26Q4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8-K 2026-09-02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Segment History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Products and Service Offerings — As Restated</t>
    </r>
    <r>
      <rPr>
        <sz val="11"/>
        <color theme="1"/>
        <rFont val="Noto Sans CJK SC"/>
        <family val="2"/>
      </rPr>
      <t xml:space="preserve">」，未經查核；</t>
    </r>
    <r>
      <rPr>
        <sz val="11"/>
        <color theme="1"/>
        <rFont val="Calibri"/>
        <family val="2"/>
        <charset val="1"/>
      </rPr>
      <t xml:space="preserve">FY27Q1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財報新聞稿與 </t>
    </r>
    <r>
      <rPr>
        <sz val="11"/>
        <color theme="1"/>
        <rFont val="Calibri"/>
        <family val="2"/>
        <charset val="1"/>
      </rPr>
      <t xml:space="preserve">IR </t>
    </r>
    <r>
      <rPr>
        <sz val="11"/>
        <color theme="1"/>
        <rFont val="Noto Sans CJK SC"/>
        <family val="2"/>
      </rPr>
      <t xml:space="preserve">財務報表，兩次讀取核對一致）；合併損益、現金流量取自 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／財報新聞稿（事實總帳）</t>
    </r>
  </si>
  <si>
    <r>
      <rPr>
        <sz val="11"/>
        <color theme="1"/>
        <rFont val="Noto Sans CJK SC"/>
        <family val="2"/>
      </rPr>
      <t xml:space="preserve">最近八季 </t>
    </r>
    <r>
      <rPr>
        <sz val="11"/>
        <color theme="1"/>
        <rFont val="Calibri"/>
        <family val="2"/>
        <charset val="1"/>
      </rPr>
      <t xml:space="preserve">FY25Q2–FY27Q1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v0.3.1 </t>
    </r>
    <r>
      <rPr>
        <sz val="11"/>
        <color theme="1"/>
        <rFont val="Noto Sans CJK SC"/>
        <family val="2"/>
      </rPr>
      <t xml:space="preserve">加入 </t>
    </r>
    <r>
      <rPr>
        <sz val="11"/>
        <color theme="1"/>
        <rFont val="Calibri"/>
        <family val="2"/>
        <charset val="1"/>
      </rPr>
      <t xml:space="preserve">FY27Q1</t>
    </r>
    <r>
      <rPr>
        <sz val="11"/>
        <color theme="1"/>
        <rFont val="Noto Sans CJK SC"/>
        <family val="2"/>
      </rPr>
      <t xml:space="preserve">、移出 </t>
    </r>
    <r>
      <rPr>
        <sz val="11"/>
        <color theme="1"/>
        <rFont val="Calibri"/>
        <family val="2"/>
        <charset val="1"/>
      </rPr>
      <t xml:space="preserve">FY25Q1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欄＝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四季合計（公式）、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欄＝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年初至今（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 </t>
    </r>
    <r>
      <rPr>
        <sz val="11"/>
        <color theme="1"/>
        <rFont val="Noto Sans CJK SC"/>
        <family val="2"/>
      </rPr>
      <t xml:space="preserve">欄＝公司揭露的年度值（輸入）；核對列實績必須為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。舊三分部（</t>
    </r>
    <r>
      <rPr>
        <sz val="11"/>
        <color theme="1"/>
        <rFont val="Calibri"/>
        <family val="2"/>
        <charset val="1"/>
      </rPr>
      <t xml:space="preserve">PBP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MPC</t>
    </r>
    <r>
      <rPr>
        <sz val="11"/>
        <color theme="1"/>
        <rFont val="Noto Sans CJK SC"/>
        <family val="2"/>
      </rPr>
      <t xml:space="preserve">）列在下方對照（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以前口徑）</t>
    </r>
  </si>
  <si>
    <r>
      <rPr>
        <b val="true"/>
        <sz val="11"/>
        <rFont val="Cambria"/>
        <family val="0"/>
        <charset val="1"/>
      </rPr>
      <t xml:space="preserve">FY25Q2</t>
    </r>
    <r>
      <rPr>
        <b val="true"/>
        <sz val="11"/>
        <rFont val="Noto Sans CJK SC"/>
        <family val="2"/>
      </rPr>
      <t xml:space="preserve">（～</t>
    </r>
    <r>
      <rPr>
        <b val="true"/>
        <sz val="11"/>
        <rFont val="Cambria"/>
        <family val="0"/>
        <charset val="1"/>
      </rPr>
      <t xml:space="preserve">2024-12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</si>
  <si>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FY25Q3</t>
    </r>
    <r>
      <rPr>
        <b val="true"/>
        <sz val="11"/>
        <rFont val="Noto Sans CJK SC"/>
        <family val="2"/>
      </rPr>
      <t xml:space="preserve">（～</t>
    </r>
    <r>
      <rPr>
        <b val="true"/>
        <sz val="11"/>
        <rFont val="Cambria"/>
        <family val="0"/>
        <charset val="1"/>
      </rPr>
      <t xml:space="preserve">2025-03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</si>
  <si>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FY25Q4</t>
    </r>
    <r>
      <rPr>
        <b val="true"/>
        <sz val="11"/>
        <rFont val="Noto Sans CJK SC"/>
        <family val="2"/>
      </rPr>
      <t xml:space="preserve">（～</t>
    </r>
    <r>
      <rPr>
        <b val="true"/>
        <sz val="11"/>
        <rFont val="Cambria"/>
        <family val="0"/>
        <charset val="1"/>
      </rPr>
      <t xml:space="preserve">06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</si>
  <si>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FY26Q1</t>
    </r>
    <r>
      <rPr>
        <b val="true"/>
        <sz val="11"/>
        <rFont val="Noto Sans CJK SC"/>
        <family val="2"/>
      </rPr>
      <t xml:space="preserve">（～</t>
    </r>
    <r>
      <rPr>
        <b val="true"/>
        <sz val="11"/>
        <rFont val="Cambria"/>
        <family val="0"/>
        <charset val="1"/>
      </rPr>
      <t xml:space="preserve">2025-09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</si>
  <si>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FY26Q2</t>
    </r>
    <r>
      <rPr>
        <b val="true"/>
        <sz val="11"/>
        <rFont val="Noto Sans CJK SC"/>
        <family val="2"/>
      </rPr>
      <t xml:space="preserve">（～</t>
    </r>
    <r>
      <rPr>
        <b val="true"/>
        <sz val="11"/>
        <rFont val="Cambria"/>
        <family val="0"/>
        <charset val="1"/>
      </rPr>
      <t xml:space="preserve">12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</si>
  <si>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FY26Q3</t>
    </r>
    <r>
      <rPr>
        <b val="true"/>
        <sz val="11"/>
        <rFont val="Noto Sans CJK SC"/>
        <family val="2"/>
      </rPr>
      <t xml:space="preserve">（～</t>
    </r>
    <r>
      <rPr>
        <b val="true"/>
        <sz val="11"/>
        <rFont val="Cambria"/>
        <family val="0"/>
        <charset val="1"/>
      </rPr>
      <t xml:space="preserve">2026-03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</si>
  <si>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FY26Q4</t>
    </r>
    <r>
      <rPr>
        <b val="true"/>
        <sz val="11"/>
        <rFont val="Noto Sans CJK SC"/>
        <family val="2"/>
      </rPr>
      <t xml:space="preserve">（～</t>
    </r>
    <r>
      <rPr>
        <b val="true"/>
        <sz val="11"/>
        <rFont val="Cambria"/>
        <family val="0"/>
        <charset val="1"/>
      </rPr>
      <t xml:space="preserve">06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</si>
  <si>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FY27Q1</t>
    </r>
    <r>
      <rPr>
        <b val="true"/>
        <sz val="11"/>
        <rFont val="Noto Sans CJK SC"/>
        <family val="2"/>
      </rPr>
      <t xml:space="preserve">（～</t>
    </r>
    <r>
      <rPr>
        <b val="true"/>
        <sz val="11"/>
        <rFont val="Cambria"/>
        <family val="0"/>
        <charset val="1"/>
      </rPr>
      <t xml:space="preserve">2026-09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</si>
  <si>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（四季合計）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</si>
  <si>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年初至今（</t>
    </r>
    <r>
      <rPr>
        <b val="true"/>
        <sz val="11"/>
        <rFont val="Cambria"/>
        <family val="0"/>
        <charset val="1"/>
      </rPr>
      <t xml:space="preserve">Q1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</si>
  <si>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FY2025</t>
    </r>
    <r>
      <rPr>
        <b val="true"/>
        <sz val="11"/>
        <rFont val="Noto Sans CJK SC"/>
        <family val="2"/>
      </rPr>
      <t xml:space="preserve">（公司年度值）</t>
    </r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</si>
  <si>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（公司年度值）</t>
    </r>
  </si>
  <si>
    <r>
      <rPr>
        <b val="true"/>
        <sz val="11"/>
        <rFont val="Noto Sans CJK SC"/>
        <family val="2"/>
      </rPr>
      <t xml:space="preserve">來源（事實總帳 </t>
    </r>
    <r>
      <rPr>
        <b val="true"/>
        <sz val="11"/>
        <rFont val="Cambria"/>
        <family val="0"/>
        <charset val="1"/>
      </rPr>
      <t xml:space="preserve">id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</si>
  <si>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官方分部與產品線營收（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起報導口徑）</t>
    </r>
  </si>
  <si>
    <t xml:space="preserve">Agents and Infra</t>
  </si>
  <si>
    <r>
      <rPr>
        <sz val="11"/>
        <color theme="1"/>
        <rFont val="Calibri"/>
        <family val="2"/>
        <charset val="1"/>
      </rPr>
      <t xml:space="preserve">8-K 2026-09-02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 Restated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FY27Q1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新聞稿／</t>
    </r>
    <r>
      <rPr>
        <sz val="11"/>
        <color theme="1"/>
        <rFont val="Calibri"/>
        <family val="2"/>
        <charset val="1"/>
      </rPr>
      <t xml:space="preserve">IR </t>
    </r>
    <r>
      <rPr>
        <sz val="11"/>
        <color theme="1"/>
        <rFont val="Noto Sans CJK SC"/>
        <family val="2"/>
      </rPr>
      <t xml:space="preserve">財務報表｜</t>
    </r>
    <r>
      <rPr>
        <sz val="11"/>
        <color theme="1"/>
        <rFont val="Calibri"/>
        <family val="2"/>
        <charset val="1"/>
      </rPr>
      <t xml:space="preserve">q.seg27.ai.rev.*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seg27.ai.rev.*</t>
    </r>
  </si>
  <si>
    <t xml:space="preserve">  Azure</t>
  </si>
  <si>
    <r>
      <rPr>
        <sz val="11"/>
        <color theme="1"/>
        <rFont val="Calibri"/>
        <family val="2"/>
        <charset val="1"/>
      </rPr>
      <t xml:space="preserve">8-K 2026-09-02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 Restated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FY27Q1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新聞稿／</t>
    </r>
    <r>
      <rPr>
        <sz val="11"/>
        <color theme="1"/>
        <rFont val="Calibri"/>
        <family val="2"/>
        <charset val="1"/>
      </rPr>
      <t xml:space="preserve">IR </t>
    </r>
    <r>
      <rPr>
        <sz val="11"/>
        <color theme="1"/>
        <rFont val="Noto Sans CJK SC"/>
        <family val="2"/>
      </rPr>
      <t xml:space="preserve">財務報表｜</t>
    </r>
    <r>
      <rPr>
        <sz val="11"/>
        <color theme="1"/>
        <rFont val="Calibri"/>
        <family val="2"/>
        <charset val="1"/>
      </rPr>
      <t xml:space="preserve">q.prod27.azure.*</t>
    </r>
  </si>
  <si>
    <t xml:space="preserve">  Microsoft 365 cloud</t>
  </si>
  <si>
    <r>
      <rPr>
        <sz val="11"/>
        <color theme="1"/>
        <rFont val="Calibri"/>
        <family val="2"/>
        <charset val="1"/>
      </rPr>
      <t xml:space="preserve">8-K 2026-09-02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 Restated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FY27Q1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新聞稿／</t>
    </r>
    <r>
      <rPr>
        <sz val="11"/>
        <color theme="1"/>
        <rFont val="Calibri"/>
        <family val="2"/>
        <charset val="1"/>
      </rPr>
      <t xml:space="preserve">IR </t>
    </r>
    <r>
      <rPr>
        <sz val="11"/>
        <color theme="1"/>
        <rFont val="Noto Sans CJK SC"/>
        <family val="2"/>
      </rPr>
      <t xml:space="preserve">財務報表｜</t>
    </r>
    <r>
      <rPr>
        <sz val="11"/>
        <color theme="1"/>
        <rFont val="Calibri"/>
        <family val="2"/>
        <charset val="1"/>
      </rPr>
      <t xml:space="preserve">q.prod27.m365cloud.*</t>
    </r>
  </si>
  <si>
    <t xml:space="preserve">  Productivity and server licensing</t>
  </si>
  <si>
    <r>
      <rPr>
        <sz val="11"/>
        <color theme="1"/>
        <rFont val="Calibri"/>
        <family val="2"/>
        <charset val="1"/>
      </rPr>
      <t xml:space="preserve">8-K 2026-09-02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 Restated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FY27Q1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新聞稿／</t>
    </r>
    <r>
      <rPr>
        <sz val="11"/>
        <color theme="1"/>
        <rFont val="Calibri"/>
        <family val="2"/>
        <charset val="1"/>
      </rPr>
      <t xml:space="preserve">IR </t>
    </r>
    <r>
      <rPr>
        <sz val="11"/>
        <color theme="1"/>
        <rFont val="Noto Sans CJK SC"/>
        <family val="2"/>
      </rPr>
      <t xml:space="preserve">財務報表｜</t>
    </r>
    <r>
      <rPr>
        <sz val="11"/>
        <color theme="1"/>
        <rFont val="Calibri"/>
        <family val="2"/>
        <charset val="1"/>
      </rPr>
      <t xml:space="preserve">q.prod27.licensing.*</t>
    </r>
  </si>
  <si>
    <t xml:space="preserve">  Industry solutions</t>
  </si>
  <si>
    <r>
      <rPr>
        <sz val="11"/>
        <color theme="1"/>
        <rFont val="Calibri"/>
        <family val="2"/>
        <charset val="1"/>
      </rPr>
      <t xml:space="preserve">8-K 2026-09-02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 Restated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FY27Q1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新聞稿／</t>
    </r>
    <r>
      <rPr>
        <sz val="11"/>
        <color theme="1"/>
        <rFont val="Calibri"/>
        <family val="2"/>
        <charset val="1"/>
      </rPr>
      <t xml:space="preserve">IR </t>
    </r>
    <r>
      <rPr>
        <sz val="11"/>
        <color theme="1"/>
        <rFont val="Noto Sans CJK SC"/>
        <family val="2"/>
      </rPr>
      <t xml:space="preserve">財務報表｜</t>
    </r>
    <r>
      <rPr>
        <sz val="11"/>
        <color theme="1"/>
        <rFont val="Calibri"/>
        <family val="2"/>
        <charset val="1"/>
      </rPr>
      <t xml:space="preserve">q.prod27.industry.*</t>
    </r>
  </si>
  <si>
    <t xml:space="preserve">  Frontier and support services</t>
  </si>
  <si>
    <r>
      <rPr>
        <sz val="11"/>
        <color theme="1"/>
        <rFont val="Calibri"/>
        <family val="2"/>
        <charset val="1"/>
      </rPr>
      <t xml:space="preserve">8-K 2026-09-02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 Restated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FY27Q1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新聞稿／</t>
    </r>
    <r>
      <rPr>
        <sz val="11"/>
        <color theme="1"/>
        <rFont val="Calibri"/>
        <family val="2"/>
        <charset val="1"/>
      </rPr>
      <t xml:space="preserve">IR </t>
    </r>
    <r>
      <rPr>
        <sz val="11"/>
        <color theme="1"/>
        <rFont val="Noto Sans CJK SC"/>
        <family val="2"/>
      </rPr>
      <t xml:space="preserve">財務報表｜</t>
    </r>
    <r>
      <rPr>
        <sz val="11"/>
        <color theme="1"/>
        <rFont val="Calibri"/>
        <family val="2"/>
        <charset val="1"/>
      </rPr>
      <t xml:space="preserve">q.prod27.frontier.*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</si>
  <si>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Agents and Infra </t>
    </r>
    <r>
      <rPr>
        <sz val="11"/>
        <color theme="1"/>
        <rFont val="Noto Sans CJK SC"/>
        <family val="2"/>
      </rPr>
      <t xml:space="preserve">產品線合計 − 分部</t>
    </r>
  </si>
  <si>
    <t xml:space="preserve">核對</t>
  </si>
  <si>
    <t xml:space="preserve">Devices and Consumer</t>
  </si>
  <si>
    <r>
      <rPr>
        <sz val="11"/>
        <color theme="1"/>
        <rFont val="Calibri"/>
        <family val="2"/>
        <charset val="1"/>
      </rPr>
      <t xml:space="preserve">8-K 2026-09-02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 Restated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FY27Q1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新聞稿／</t>
    </r>
    <r>
      <rPr>
        <sz val="11"/>
        <color theme="1"/>
        <rFont val="Calibri"/>
        <family val="2"/>
        <charset val="1"/>
      </rPr>
      <t xml:space="preserve">IR </t>
    </r>
    <r>
      <rPr>
        <sz val="11"/>
        <color theme="1"/>
        <rFont val="Noto Sans CJK SC"/>
        <family val="2"/>
      </rPr>
      <t xml:space="preserve">財務報表｜</t>
    </r>
    <r>
      <rPr>
        <sz val="11"/>
        <color theme="1"/>
        <rFont val="Calibri"/>
        <family val="2"/>
        <charset val="1"/>
      </rPr>
      <t xml:space="preserve">q.seg27.dc.rev.*</t>
    </r>
  </si>
  <si>
    <t xml:space="preserve">  Search and advertising</t>
  </si>
  <si>
    <r>
      <rPr>
        <sz val="11"/>
        <color theme="1"/>
        <rFont val="Calibri"/>
        <family val="2"/>
        <charset val="1"/>
      </rPr>
      <t xml:space="preserve">8-K 2026-09-02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 Restated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FY27Q1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新聞稿／</t>
    </r>
    <r>
      <rPr>
        <sz val="11"/>
        <color theme="1"/>
        <rFont val="Calibri"/>
        <family val="2"/>
        <charset val="1"/>
      </rPr>
      <t xml:space="preserve">IR </t>
    </r>
    <r>
      <rPr>
        <sz val="11"/>
        <color theme="1"/>
        <rFont val="Noto Sans CJK SC"/>
        <family val="2"/>
      </rPr>
      <t xml:space="preserve">財務報表｜</t>
    </r>
    <r>
      <rPr>
        <sz val="11"/>
        <color theme="1"/>
        <rFont val="Calibri"/>
        <family val="2"/>
        <charset val="1"/>
      </rPr>
      <t xml:space="preserve">q.prod27.searchads.*</t>
    </r>
  </si>
  <si>
    <t xml:space="preserve">  XBOX</t>
  </si>
  <si>
    <r>
      <rPr>
        <sz val="11"/>
        <color theme="1"/>
        <rFont val="Calibri"/>
        <family val="2"/>
        <charset val="1"/>
      </rPr>
      <t xml:space="preserve">8-K 2026-09-02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 Restated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FY27Q1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新聞稿／</t>
    </r>
    <r>
      <rPr>
        <sz val="11"/>
        <color theme="1"/>
        <rFont val="Calibri"/>
        <family val="2"/>
        <charset val="1"/>
      </rPr>
      <t xml:space="preserve">IR </t>
    </r>
    <r>
      <rPr>
        <sz val="11"/>
        <color theme="1"/>
        <rFont val="Noto Sans CJK SC"/>
        <family val="2"/>
      </rPr>
      <t xml:space="preserve">財務報表｜</t>
    </r>
    <r>
      <rPr>
        <sz val="11"/>
        <color theme="1"/>
        <rFont val="Calibri"/>
        <family val="2"/>
        <charset val="1"/>
      </rPr>
      <t xml:space="preserve">q.prod27.xbox.*</t>
    </r>
  </si>
  <si>
    <t xml:space="preserve">  Windows OEM and devices</t>
  </si>
  <si>
    <r>
      <rPr>
        <sz val="11"/>
        <color theme="1"/>
        <rFont val="Calibri"/>
        <family val="2"/>
        <charset val="1"/>
      </rPr>
      <t xml:space="preserve">8-K 2026-09-02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 Restated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FY27Q1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新聞稿／</t>
    </r>
    <r>
      <rPr>
        <sz val="11"/>
        <color theme="1"/>
        <rFont val="Calibri"/>
        <family val="2"/>
        <charset val="1"/>
      </rPr>
      <t xml:space="preserve">IR </t>
    </r>
    <r>
      <rPr>
        <sz val="11"/>
        <color theme="1"/>
        <rFont val="Noto Sans CJK SC"/>
        <family val="2"/>
      </rPr>
      <t xml:space="preserve">財務報表｜</t>
    </r>
    <r>
      <rPr>
        <sz val="11"/>
        <color theme="1"/>
        <rFont val="Calibri"/>
        <family val="2"/>
        <charset val="1"/>
      </rPr>
      <t xml:space="preserve">q.prod27.windows.*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</si>
  <si>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Devices and Consumer </t>
    </r>
    <r>
      <rPr>
        <sz val="11"/>
        <color theme="1"/>
        <rFont val="Noto Sans CJK SC"/>
        <family val="2"/>
      </rPr>
      <t xml:space="preserve">產品線合計 − 分部</t>
    </r>
  </si>
  <si>
    <t xml:space="preserve">分部合計（營收）</t>
  </si>
  <si>
    <t xml:space="preserve">合併營收（公司損益表）</t>
  </si>
  <si>
    <r>
      <rPr>
        <sz val="11"/>
        <color theme="1"/>
        <rFont val="Noto Sans CJK SC"/>
        <family val="2"/>
      </rPr>
      <t xml:space="preserve">財報新聞稿／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q.rev.*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is.rev.*</t>
    </r>
  </si>
  <si>
    <t xml:space="preserve">檢查：分部合計 − 合併營收</t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</si>
  <si>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分部營業利益（</t>
    </r>
    <r>
      <rPr>
        <b val="true"/>
        <sz val="11"/>
        <rFont val="Cambria"/>
        <family val="0"/>
        <charset val="1"/>
      </rPr>
      <t xml:space="preserve">Microsoft </t>
    </r>
    <r>
      <rPr>
        <b val="true"/>
        <sz val="11"/>
        <rFont val="Noto Sans CJK SC"/>
        <family val="2"/>
      </rPr>
      <t xml:space="preserve">無未分攤項：分部合計＝合併營業利益）</t>
    </r>
  </si>
  <si>
    <r>
      <rPr>
        <sz val="11"/>
        <color theme="1"/>
        <rFont val="Calibri"/>
        <family val="2"/>
        <charset val="1"/>
      </rPr>
      <t xml:space="preserve">Agents and Infra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</si>
  <si>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Calibri"/>
        <family val="2"/>
        <charset val="1"/>
      </rPr>
      <t xml:space="preserve">8-K 2026-09-02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 Restated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FY27Q1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新聞稿／</t>
    </r>
    <r>
      <rPr>
        <sz val="11"/>
        <color theme="1"/>
        <rFont val="Calibri"/>
        <family val="2"/>
        <charset val="1"/>
      </rPr>
      <t xml:space="preserve">IR </t>
    </r>
    <r>
      <rPr>
        <sz val="11"/>
        <color theme="1"/>
        <rFont val="Noto Sans CJK SC"/>
        <family val="2"/>
      </rPr>
      <t xml:space="preserve">財務報表｜</t>
    </r>
    <r>
      <rPr>
        <sz val="11"/>
        <color theme="1"/>
        <rFont val="Calibri"/>
        <family val="2"/>
        <charset val="1"/>
      </rPr>
      <t xml:space="preserve">q.seg27.ai.oi.*</t>
    </r>
  </si>
  <si>
    <r>
      <rPr>
        <sz val="11"/>
        <color theme="1"/>
        <rFont val="Calibri"/>
        <family val="2"/>
        <charset val="1"/>
      </rPr>
      <t xml:space="preserve">Devices and Consumer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</si>
  <si>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Calibri"/>
        <family val="2"/>
        <charset val="1"/>
      </rPr>
      <t xml:space="preserve">8-K 2026-09-02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 Restated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FY27Q1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新聞稿／</t>
    </r>
    <r>
      <rPr>
        <sz val="11"/>
        <color theme="1"/>
        <rFont val="Calibri"/>
        <family val="2"/>
        <charset val="1"/>
      </rPr>
      <t xml:space="preserve">IR </t>
    </r>
    <r>
      <rPr>
        <sz val="11"/>
        <color theme="1"/>
        <rFont val="Noto Sans CJK SC"/>
        <family val="2"/>
      </rPr>
      <t xml:space="preserve">財務報表｜</t>
    </r>
    <r>
      <rPr>
        <sz val="11"/>
        <color theme="1"/>
        <rFont val="Calibri"/>
        <family val="2"/>
        <charset val="1"/>
      </rPr>
      <t xml:space="preserve">q.seg27.dc.oi.*</t>
    </r>
  </si>
  <si>
    <t xml:space="preserve">合併營業利益（公司損益表）</t>
  </si>
  <si>
    <r>
      <rPr>
        <sz val="11"/>
        <color theme="1"/>
        <rFont val="Noto Sans CJK SC"/>
        <family val="2"/>
      </rPr>
      <t xml:space="preserve">財報新聞稿／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q.oi.*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is.oi.*</t>
    </r>
  </si>
  <si>
    <r>
      <rPr>
        <sz val="11"/>
        <color theme="1"/>
        <rFont val="Noto Sans CJK SC"/>
        <family val="2"/>
      </rPr>
      <t xml:space="preserve">檢查：分部營業利益合計 − 合併營業利益（未分攤＝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</si>
  <si>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合併損益主要列（年度值；淨利另列各季；</t>
    </r>
    <r>
      <rPr>
        <b val="true"/>
        <sz val="11"/>
        <rFont val="Cambria"/>
        <family val="0"/>
        <charset val="1"/>
      </rPr>
      <t xml:space="preserve">FY27Q1 </t>
    </r>
    <r>
      <rPr>
        <b val="true"/>
        <sz val="11"/>
        <rFont val="Noto Sans CJK SC"/>
        <family val="2"/>
      </rPr>
      <t xml:space="preserve">單季另填 </t>
    </r>
    <r>
      <rPr>
        <b val="true"/>
        <sz val="11"/>
        <rFont val="Cambria"/>
        <family val="0"/>
        <charset val="1"/>
      </rPr>
      <t xml:space="preserve">I </t>
    </r>
    <r>
      <rPr>
        <b val="true"/>
        <sz val="11"/>
        <rFont val="Noto Sans CJK SC"/>
        <family val="2"/>
      </rPr>
      <t xml:space="preserve">欄）</t>
    </r>
  </si>
  <si>
    <r>
      <rPr>
        <sz val="11"/>
        <color theme="1"/>
        <rFont val="Noto Sans CJK SC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，含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等持股損益）</t>
    </r>
  </si>
  <si>
    <r>
      <rPr>
        <sz val="11"/>
        <color theme="1"/>
        <rFont val="Noto Sans CJK SC"/>
        <family val="2"/>
      </rPr>
      <t xml:space="preserve">財報新聞稿／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q.ni.*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is.ni.*</t>
    </r>
  </si>
  <si>
    <r>
      <rPr>
        <sz val="11"/>
        <color theme="1"/>
        <rFont val="Noto Sans CJK SC"/>
        <family val="2"/>
      </rPr>
      <t xml:space="preserve">業外收支（</t>
    </r>
    <r>
      <rPr>
        <sz val="11"/>
        <color theme="1"/>
        <rFont val="Calibri"/>
        <family val="2"/>
        <charset val="1"/>
      </rPr>
      <t xml:space="preserve">other income (expense), net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</si>
  <si>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is.oie.*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FY27Q1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q.oie.fy27q1</t>
    </r>
  </si>
  <si>
    <t xml:space="preserve">稅前淨利</t>
  </si>
  <si>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is.pretax.*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FY27Q1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q.pretax.fy27q1</t>
    </r>
  </si>
  <si>
    <t xml:space="preserve">所得稅</t>
  </si>
  <si>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is.tax.*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FY27Q1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q.tax.fy27q1</t>
    </r>
  </si>
  <si>
    <r>
      <rPr>
        <sz val="11"/>
        <color theme="1"/>
        <rFont val="Noto Sans CJK SC"/>
        <family val="2"/>
      </rPr>
      <t xml:space="preserve">  其中：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等持股損益（公司非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調節；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為稅前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淨利得）</t>
    </r>
  </si>
  <si>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is.openaiGain.*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FY27Q1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q.openaiGain.fy27q1</t>
    </r>
  </si>
  <si>
    <t xml:space="preserve">稀釋加權股數（十億股）</t>
  </si>
  <si>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is.sharesDilW.*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FY27Q1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q.sharesDilW.fy27q1</t>
    </r>
  </si>
  <si>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</si>
  <si>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is.epsDil.*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FY27Q1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q.epsDil.fy27q1</t>
    </r>
  </si>
  <si>
    <r>
      <rPr>
        <sz val="11"/>
        <color theme="1"/>
        <rFont val="Noto Sans CJK SC"/>
        <family val="2"/>
      </rPr>
      <t xml:space="preserve">檢查：營業利益＋業外 − 稅前；稅前 − 稅 − 淨利（年度與 </t>
    </r>
    <r>
      <rPr>
        <sz val="11"/>
        <color theme="1"/>
        <rFont val="Calibri"/>
        <family val="2"/>
        <charset val="1"/>
      </rPr>
      <t xml:space="preserve">FY27Q1</t>
    </r>
    <r>
      <rPr>
        <sz val="11"/>
        <color theme="1"/>
        <rFont val="Noto Sans CJK SC"/>
        <family val="2"/>
      </rPr>
      <t xml:space="preserve">，應為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</si>
  <si>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Noto Sans CJK SC"/>
        <family val="2"/>
      </rPr>
      <t xml:space="preserve">現金流量（各季為新聞稿單季值；資本支出為現金 </t>
    </r>
    <r>
      <rPr>
        <b val="true"/>
        <sz val="11"/>
        <rFont val="Cambria"/>
        <family val="0"/>
        <charset val="1"/>
      </rPr>
      <t xml:space="preserve">PP&amp;E</t>
    </r>
    <r>
      <rPr>
        <b val="true"/>
        <sz val="11"/>
        <rFont val="Noto Sans CJK SC"/>
        <family val="2"/>
      </rPr>
      <t xml:space="preserve">）</t>
    </r>
  </si>
  <si>
    <t xml:space="preserve">營業現金流</t>
  </si>
  <si>
    <r>
      <rPr>
        <sz val="11"/>
        <color theme="1"/>
        <rFont val="Noto Sans CJK SC"/>
        <family val="2"/>
      </rPr>
      <t xml:space="preserve">新聞稿現金流量表｜</t>
    </r>
    <r>
      <rPr>
        <sz val="11"/>
        <color theme="1"/>
        <rFont val="Calibri"/>
        <family val="2"/>
        <charset val="1"/>
      </rPr>
      <t xml:space="preserve">q.cf.ocf.*</t>
    </r>
  </si>
  <si>
    <r>
      <rPr>
        <sz val="11"/>
        <color theme="1"/>
        <rFont val="Noto Sans CJK SC"/>
        <family val="2"/>
      </rPr>
      <t xml:space="preserve">資本支出（現金 </t>
    </r>
    <r>
      <rPr>
        <sz val="11"/>
        <color theme="1"/>
        <rFont val="Calibri"/>
        <family val="2"/>
        <charset val="1"/>
      </rPr>
      <t xml:space="preserve">PP&amp;E</t>
    </r>
    <r>
      <rPr>
        <sz val="11"/>
        <color theme="1"/>
        <rFont val="Noto Sans CJK SC"/>
        <family val="2"/>
      </rPr>
      <t xml:space="preserve">，正值）</t>
    </r>
  </si>
  <si>
    <r>
      <rPr>
        <sz val="11"/>
        <color theme="1"/>
        <rFont val="Noto Sans CJK SC"/>
        <family val="2"/>
      </rPr>
      <t xml:space="preserve">新聞稿現金流量表｜</t>
    </r>
    <r>
      <rPr>
        <sz val="11"/>
        <color theme="1"/>
        <rFont val="Calibri"/>
        <family val="2"/>
        <charset val="1"/>
      </rPr>
      <t xml:space="preserve">q.cf.capex.*</t>
    </r>
  </si>
  <si>
    <t xml:space="preserve">自由現金流（營業現金流 − 現金資本支出）</t>
  </si>
  <si>
    <t xml:space="preserve">折舊、攤銷及其他（現金流量表）</t>
  </si>
  <si>
    <r>
      <rPr>
        <sz val="11"/>
        <color theme="1"/>
        <rFont val="Noto Sans CJK SC"/>
        <family val="2"/>
      </rPr>
      <t xml:space="preserve">新聞稿現金流量表｜</t>
    </r>
    <r>
      <rPr>
        <sz val="11"/>
        <color theme="1"/>
        <rFont val="Calibri"/>
        <family val="2"/>
        <charset val="1"/>
      </rPr>
      <t xml:space="preserve">q.cf.da.*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由年初至今推得）</t>
    </r>
  </si>
  <si>
    <t xml:space="preserve">股票薪酬</t>
  </si>
  <si>
    <r>
      <rPr>
        <sz val="11"/>
        <color theme="1"/>
        <rFont val="Noto Sans CJK SC"/>
        <family val="2"/>
      </rPr>
      <t xml:space="preserve">新聞稿現金流量表｜</t>
    </r>
    <r>
      <rPr>
        <sz val="11"/>
        <color theme="1"/>
        <rFont val="Calibri"/>
        <family val="2"/>
        <charset val="1"/>
      </rPr>
      <t xml:space="preserve">q.cf.sbc.*</t>
    </r>
  </si>
  <si>
    <t xml:space="preserve">回購（正值）</t>
  </si>
  <si>
    <r>
      <rPr>
        <sz val="11"/>
        <color theme="1"/>
        <rFont val="Noto Sans CJK SC"/>
        <family val="2"/>
      </rPr>
      <t xml:space="preserve">新聞稿現金流量表｜</t>
    </r>
    <r>
      <rPr>
        <sz val="11"/>
        <color theme="1"/>
        <rFont val="Calibri"/>
        <family val="2"/>
        <charset val="1"/>
      </rPr>
      <t xml:space="preserve">q.cf.buyback.*</t>
    </r>
  </si>
  <si>
    <t xml:space="preserve">股利（正值）</t>
  </si>
  <si>
    <r>
      <rPr>
        <sz val="11"/>
        <color theme="1"/>
        <rFont val="Noto Sans CJK SC"/>
        <family val="2"/>
      </rPr>
      <t xml:space="preserve">新聞稿現金流量表｜</t>
    </r>
    <r>
      <rPr>
        <sz val="11"/>
        <color theme="1"/>
        <rFont val="Calibri"/>
        <family val="2"/>
        <charset val="1"/>
      </rPr>
      <t xml:space="preserve">q.cf.div.*</t>
    </r>
  </si>
  <si>
    <t xml:space="preserve">營運資產與負債變動（九項合計）</t>
  </si>
  <si>
    <r>
      <rPr>
        <sz val="11"/>
        <color theme="1"/>
        <rFont val="Noto Sans CJK SC"/>
        <family val="2"/>
      </rPr>
      <t xml:space="preserve">新聞稿現金流量表｜</t>
    </r>
    <r>
      <rPr>
        <sz val="11"/>
        <color theme="1"/>
        <rFont val="Calibri"/>
        <family val="2"/>
        <charset val="1"/>
      </rPr>
      <t xml:space="preserve">q.cf.wc.fy26q1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q.cf.wc.fy27q1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cf.wc.total.fy2026</t>
    </r>
  </si>
  <si>
    <t xml:space="preserve">資本支出（公司口徑：含融資租賃，法說值）</t>
  </si>
  <si>
    <r>
      <rPr>
        <sz val="11"/>
        <color theme="1"/>
        <rFont val="Noto Sans CJK SC"/>
        <family val="2"/>
      </rPr>
      <t xml:space="preserve">法說／</t>
    </r>
    <r>
      <rPr>
        <sz val="11"/>
        <color theme="1"/>
        <rFont val="Calibri"/>
        <family val="2"/>
        <charset val="1"/>
      </rPr>
      <t xml:space="preserve">IR </t>
    </r>
    <r>
      <rPr>
        <sz val="11"/>
        <color theme="1"/>
        <rFont val="Noto Sans CJK SC"/>
        <family val="2"/>
      </rPr>
      <t xml:space="preserve">財務報表 </t>
    </r>
    <r>
      <rPr>
        <sz val="11"/>
        <color theme="1"/>
        <rFont val="Calibri"/>
        <family val="2"/>
        <charset val="1"/>
      </rPr>
      <t xml:space="preserve">CapEx </t>
    </r>
    <r>
      <rPr>
        <sz val="11"/>
        <color theme="1"/>
        <rFont val="Noto Sans CJK SC"/>
        <family val="2"/>
      </rPr>
      <t xml:space="preserve">工作表｜</t>
    </r>
    <r>
      <rPr>
        <sz val="11"/>
        <color theme="1"/>
        <rFont val="Calibri"/>
        <family val="2"/>
        <charset val="1"/>
      </rPr>
      <t xml:space="preserve">capexFL.*</t>
    </r>
    <r>
      <rPr>
        <sz val="11"/>
        <color theme="1"/>
        <rFont val="Noto Sans CJK SC"/>
        <family val="2"/>
      </rPr>
      <t xml:space="preserve">（公司口徑≠現金＋融資租賃）</t>
    </r>
  </si>
  <si>
    <t xml:space="preserve">融資租賃本金（正值）</t>
  </si>
  <si>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13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lease.finPrincipal.*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FY27Q1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12 q.cf.flPrincipal.fy27q1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</si>
  <si>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四季合計 − 公司年度值（以上各列絕對值合計）</t>
    </r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</si>
  <si>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對照：舊三分部（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以前口徑；</t>
    </r>
    <r>
      <rPr>
        <b val="true"/>
        <sz val="11"/>
        <rFont val="Cambria"/>
        <family val="0"/>
        <charset val="1"/>
      </rPr>
      <t xml:space="preserve">10-K</t>
    </r>
    <r>
      <rPr>
        <b val="true"/>
        <sz val="11"/>
        <rFont val="Noto Sans CJK SC"/>
        <family val="2"/>
      </rPr>
      <t xml:space="preserve">／各季新聞稿；</t>
    </r>
    <r>
      <rPr>
        <b val="true"/>
        <sz val="11"/>
        <rFont val="Cambria"/>
        <family val="0"/>
        <charset val="1"/>
      </rPr>
      <t xml:space="preserve">FY27Q1 </t>
    </r>
    <r>
      <rPr>
        <b val="true"/>
        <sz val="11"/>
        <rFont val="Noto Sans CJK SC"/>
        <family val="2"/>
      </rPr>
      <t xml:space="preserve">起不再揭露）與 </t>
    </r>
    <r>
      <rPr>
        <b val="true"/>
        <sz val="11"/>
        <rFont val="Cambria"/>
        <family val="0"/>
        <charset val="1"/>
      </rPr>
      <t xml:space="preserve">Azure </t>
    </r>
    <r>
      <rPr>
        <b val="true"/>
        <sz val="11"/>
        <rFont val="Noto Sans CJK SC"/>
        <family val="2"/>
      </rPr>
      <t xml:space="preserve">年增</t>
    </r>
  </si>
  <si>
    <r>
      <rPr>
        <sz val="11"/>
        <color theme="1"/>
        <rFont val="Calibri"/>
        <family val="2"/>
        <charset val="1"/>
      </rPr>
      <t xml:space="preserve">Productivity and Business Processes</t>
    </r>
    <r>
      <rPr>
        <sz val="11"/>
        <color theme="1"/>
        <rFont val="Noto Sans CJK SC"/>
        <family val="2"/>
      </rPr>
      <t xml:space="preserve">（舊） 營收</t>
    </r>
  </si>
  <si>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／新聞稿｜</t>
    </r>
    <r>
      <rPr>
        <sz val="11"/>
        <color theme="1"/>
        <rFont val="Calibri"/>
        <family val="2"/>
        <charset val="1"/>
      </rPr>
      <t xml:space="preserve">q.seg.pbp.rev.*</t>
    </r>
  </si>
  <si>
    <r>
      <rPr>
        <sz val="11"/>
        <color theme="1"/>
        <rFont val="Calibri"/>
        <family val="2"/>
        <charset val="1"/>
      </rPr>
      <t xml:space="preserve">Intelligent Cloud</t>
    </r>
    <r>
      <rPr>
        <sz val="11"/>
        <color theme="1"/>
        <rFont val="Noto Sans CJK SC"/>
        <family val="2"/>
      </rPr>
      <t xml:space="preserve">（舊） 營收</t>
    </r>
  </si>
  <si>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／新聞稿｜</t>
    </r>
    <r>
      <rPr>
        <sz val="11"/>
        <color theme="1"/>
        <rFont val="Calibri"/>
        <family val="2"/>
        <charset val="1"/>
      </rPr>
      <t xml:space="preserve">q.seg.ic.rev.*</t>
    </r>
  </si>
  <si>
    <r>
      <rPr>
        <sz val="11"/>
        <color theme="1"/>
        <rFont val="Calibri"/>
        <family val="2"/>
        <charset val="1"/>
      </rPr>
      <t xml:space="preserve">More Personal Computing</t>
    </r>
    <r>
      <rPr>
        <sz val="11"/>
        <color theme="1"/>
        <rFont val="Noto Sans CJK SC"/>
        <family val="2"/>
      </rPr>
      <t xml:space="preserve">（舊） 營收</t>
    </r>
  </si>
  <si>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／新聞稿｜</t>
    </r>
    <r>
      <rPr>
        <sz val="11"/>
        <color theme="1"/>
        <rFont val="Calibri"/>
        <family val="2"/>
        <charset val="1"/>
      </rPr>
      <t xml:space="preserve">q.seg.mpc.rev.*</t>
    </r>
  </si>
  <si>
    <r>
      <rPr>
        <sz val="11"/>
        <color theme="1"/>
        <rFont val="Noto Sans CJK SC"/>
        <family val="2"/>
      </rPr>
      <t xml:space="preserve">檢查：舊三分部合計 − 合併營收（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以前）</t>
    </r>
  </si>
  <si>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年增（重編口徑，公司揭露）</t>
    </r>
  </si>
  <si>
    <r>
      <rPr>
        <sz val="11"/>
        <color theme="1"/>
        <rFont val="Calibri"/>
        <family val="2"/>
        <charset val="1"/>
      </rPr>
      <t xml:space="preserve">8-K 2026-09-02 Investor Metrics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q.azure27.growth.*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新聞稿</t>
    </r>
  </si>
  <si>
    <r>
      <rPr>
        <sz val="11"/>
        <color theme="1"/>
        <rFont val="Calibri"/>
        <family val="2"/>
        <charset val="1"/>
      </rPr>
      <t xml:space="preserve">Thesis — </t>
    </r>
    <r>
      <rPr>
        <sz val="11"/>
        <color theme="1"/>
        <rFont val="Noto Sans CJK SC"/>
        <family val="2"/>
      </rPr>
      <t xml:space="preserve">命題模組：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在役 </t>
    </r>
    <r>
      <rPr>
        <sz val="11"/>
        <color theme="1"/>
        <rFont val="Calibri"/>
        <family val="2"/>
        <charset val="1"/>
      </rPr>
      <t xml:space="preserve">MW → Azure AI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MW × Tokenomics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× k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MW × Tokenomics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成本）→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折舊與營運成本 → </t>
    </r>
    <r>
      <rPr>
        <sz val="11"/>
        <color theme="1"/>
        <rFont val="Calibri"/>
        <family val="2"/>
        <charset val="1"/>
      </rPr>
      <t xml:space="preserve">Agents and Infra </t>
    </r>
    <r>
      <rPr>
        <sz val="11"/>
        <color theme="1"/>
        <rFont val="Noto Sans CJK SC"/>
        <family val="2"/>
      </rPr>
      <t xml:space="preserve">營業利益；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增量 </t>
    </r>
    <r>
      <rPr>
        <sz val="11"/>
        <color theme="1"/>
        <rFont val="Calibri"/>
        <family val="2"/>
        <charset val="1"/>
      </rPr>
      <t xml:space="preserve">ROIC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WACC</t>
    </r>
  </si>
  <si>
    <r>
      <rPr>
        <sz val="11"/>
        <color theme="1"/>
        <rFont val="Noto Sans CJK SC"/>
        <family val="2"/>
      </rPr>
      <t xml:space="preserve">三情境的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路徑相同（資本支出依公司指引），差在變現：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（長約／現貨組合）與 </t>
    </r>
    <r>
      <rPr>
        <sz val="11"/>
        <color theme="1"/>
        <rFont val="Calibri"/>
        <family val="2"/>
        <charset val="1"/>
      </rPr>
      <t xml:space="preserve">Copilot </t>
    </r>
    <r>
      <rPr>
        <sz val="11"/>
        <color theme="1"/>
        <rFont val="Noto Sans CJK SC"/>
        <family val="2"/>
      </rPr>
      <t xml:space="preserve">座席。命題模組只驅動 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的「</t>
    </r>
    <r>
      <rPr>
        <sz val="11"/>
        <color theme="1"/>
        <rFont val="Calibri"/>
        <family val="2"/>
        <charset val="1"/>
      </rPr>
      <t xml:space="preserve">Azure AI</t>
    </r>
    <r>
      <rPr>
        <sz val="11"/>
        <color theme="1"/>
        <rFont val="Noto Sans CJK SC"/>
        <family val="2"/>
      </rPr>
      <t xml:space="preserve">」子列與 </t>
    </r>
    <r>
      <rPr>
        <sz val="11"/>
        <color theme="1"/>
        <rFont val="Calibri"/>
        <family val="2"/>
        <charset val="1"/>
      </rPr>
      <t xml:space="preserve">M365 cloud </t>
    </r>
    <r>
      <rPr>
        <sz val="11"/>
        <color theme="1"/>
        <rFont val="Noto Sans CJK SC"/>
        <family val="2"/>
      </rPr>
      <t xml:space="preserve">的「</t>
    </r>
    <r>
      <rPr>
        <sz val="11"/>
        <color theme="1"/>
        <rFont val="Calibri"/>
        <family val="2"/>
        <charset val="1"/>
      </rPr>
      <t xml:space="preserve">Copilot</t>
    </r>
    <r>
      <rPr>
        <sz val="11"/>
        <color theme="1"/>
        <rFont val="Noto Sans CJK SC"/>
        <family val="2"/>
      </rPr>
      <t xml:space="preserve">」子列，不取代官方分部</t>
    </r>
  </si>
  <si>
    <r>
      <rPr>
        <sz val="11"/>
        <color theme="1"/>
        <rFont val="Noto Sans CJK SC"/>
        <family val="2"/>
      </rPr>
      <t xml:space="preserve">核心問題的答案列：「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增量 </t>
    </r>
    <r>
      <rPr>
        <sz val="11"/>
        <color theme="1"/>
        <rFont val="Calibri"/>
        <family val="2"/>
        <charset val="1"/>
      </rPr>
      <t xml:space="preserve">ROIC − WACC</t>
    </r>
    <r>
      <rPr>
        <sz val="11"/>
        <color theme="1"/>
        <rFont val="Noto Sans CJK SC"/>
        <family val="2"/>
      </rPr>
      <t xml:space="preserve">」（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欄）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</si>
  <si>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</si>
  <si>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t xml:space="preserve">FY2024A</t>
  </si>
  <si>
    <t xml:space="preserve">FY2025A</t>
  </si>
  <si>
    <t xml:space="preserve">FY2026A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</si>
  <si>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</si>
  <si>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</si>
  <si>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</si>
  <si>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</si>
  <si>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</si>
  <si>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</si>
  <si>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r>
      <rPr>
        <sz val="11"/>
        <color theme="1"/>
        <rFont val="Noto Sans CJK SC"/>
        <family val="2"/>
      </rPr>
      <t xml:space="preserve">會計年度（數值；公式以「年度 − </t>
    </r>
    <r>
      <rPr>
        <sz val="11"/>
        <color theme="1"/>
        <rFont val="Calibri"/>
        <family val="2"/>
        <charset val="1"/>
      </rPr>
      <t xml:space="preserve">base_fy</t>
    </r>
    <r>
      <rPr>
        <sz val="11"/>
        <color theme="1"/>
        <rFont val="Noto Sans CJK SC"/>
        <family val="2"/>
      </rPr>
      <t xml:space="preserve">」計年數）</t>
    </r>
  </si>
  <si>
    <r>
      <rPr>
        <sz val="11"/>
        <color theme="1"/>
        <rFont val="Noto Sans CJK SC"/>
        <family val="2"/>
      </rPr>
      <t xml:space="preserve">在役對外 </t>
    </r>
    <r>
      <rPr>
        <sz val="11"/>
        <color theme="1"/>
        <rFont val="Calibri"/>
        <family val="2"/>
        <charset val="1"/>
      </rPr>
      <t xml:space="preserve">AI MW </t>
    </r>
    <r>
      <rPr>
        <sz val="11"/>
        <color theme="1"/>
        <rFont val="Noto Sans CJK SC"/>
        <family val="2"/>
      </rPr>
      <t xml:space="preserve">每年新增</t>
    </r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</si>
  <si>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以前＝依資本支出指引的速度；之後逐年線性收斂到 </t>
    </r>
    <r>
      <rPr>
        <sz val="11"/>
        <color theme="1"/>
        <rFont val="Calibri"/>
        <family val="2"/>
        <charset val="1"/>
      </rPr>
      <t xml:space="preserve">g_tv × </t>
    </r>
    <r>
      <rPr>
        <sz val="11"/>
        <color theme="1"/>
        <rFont val="Noto Sans CJK SC"/>
        <family val="2"/>
      </rPr>
      <t xml:space="preserve">前一年在役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的在役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年增＝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（修正二 </t>
    </r>
    <r>
      <rPr>
        <sz val="11"/>
        <color theme="1"/>
        <rFont val="Calibri"/>
        <family val="2"/>
        <charset val="1"/>
      </rPr>
      <t xml:space="preserve">F5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</si>
  <si>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在役對外 </t>
    </r>
    <r>
      <rPr>
        <sz val="11"/>
        <color theme="1"/>
        <rFont val="Calibri"/>
        <family val="2"/>
        <charset val="1"/>
      </rPr>
      <t xml:space="preserve">AI MW</t>
    </r>
    <r>
      <rPr>
        <sz val="11"/>
        <color theme="1"/>
        <rFont val="Noto Sans CJK SC"/>
        <family val="2"/>
      </rPr>
      <t xml:space="preserve">（年底，含租用）</t>
    </r>
  </si>
  <si>
    <t xml:space="preserve">三情境速度相同（變現驅動不同）</t>
  </si>
  <si>
    <r>
      <rPr>
        <sz val="11"/>
        <color theme="1"/>
        <rFont val="Noto Sans CJK SC"/>
        <family val="2"/>
      </rPr>
      <t xml:space="preserve">  其中租用 </t>
    </r>
    <r>
      <rPr>
        <sz val="11"/>
        <color theme="1"/>
        <rFont val="Calibri"/>
        <family val="2"/>
        <charset val="1"/>
      </rPr>
      <t xml:space="preserve">neocloud </t>
    </r>
    <r>
      <rPr>
        <sz val="11"/>
        <color theme="1"/>
        <rFont val="Noto Sans CJK SC"/>
        <family val="2"/>
      </rPr>
      <t xml:space="preserve">的對外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</si>
  <si>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Noto Sans CJK SC"/>
        <family val="2"/>
      </rPr>
      <t xml:space="preserve">收入照算，不計資本支出與折舊（</t>
    </r>
    <r>
      <rPr>
        <sz val="11"/>
        <color theme="1"/>
        <rFont val="Calibri"/>
        <family val="2"/>
        <charset val="1"/>
      </rPr>
      <t xml:space="preserve">C20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</si>
  <si>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自有對外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</si>
  <si>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Noto Sans CJK SC"/>
        <family val="2"/>
      </rPr>
      <t xml:space="preserve">自有 </t>
    </r>
    <r>
      <rPr>
        <sz val="11"/>
        <color theme="1"/>
        <rFont val="Calibri"/>
        <family val="2"/>
        <charset val="1"/>
      </rPr>
      <t xml:space="preserve">AI MW</t>
    </r>
    <r>
      <rPr>
        <sz val="11"/>
        <color theme="1"/>
        <rFont val="Noto Sans CJK SC"/>
        <family val="2"/>
      </rPr>
      <t xml:space="preserve">（對外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對外比例）</t>
    </r>
  </si>
  <si>
    <r>
      <rPr>
        <sz val="11"/>
        <color theme="1"/>
        <rFont val="Noto Sans CJK SC"/>
        <family val="2"/>
      </rPr>
      <t xml:space="preserve">含自用（</t>
    </r>
    <r>
      <rPr>
        <sz val="11"/>
        <color theme="1"/>
        <rFont val="Calibri"/>
        <family val="2"/>
        <charset val="1"/>
      </rPr>
      <t xml:space="preserve">M365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GitHub Copilot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 </t>
    </r>
    <r>
      <rPr>
        <sz val="11"/>
        <color theme="1"/>
        <rFont val="Noto Sans CJK SC"/>
        <family val="2"/>
      </rPr>
      <t xml:space="preserve">研發）</t>
    </r>
  </si>
  <si>
    <r>
      <rPr>
        <sz val="11"/>
        <color theme="1"/>
        <rFont val="Noto Sans CJK SC"/>
        <family val="2"/>
      </rPr>
      <t xml:space="preserve">  其中自用 </t>
    </r>
    <r>
      <rPr>
        <sz val="11"/>
        <color theme="1"/>
        <rFont val="Calibri"/>
        <family val="2"/>
        <charset val="1"/>
      </rPr>
      <t xml:space="preserve">AI MW</t>
    </r>
  </si>
  <si>
    <r>
      <rPr>
        <sz val="11"/>
        <color theme="1"/>
        <rFont val="Noto Sans CJK SC"/>
        <family val="2"/>
      </rPr>
      <t xml:space="preserve">自有 </t>
    </r>
    <r>
      <rPr>
        <sz val="11"/>
        <color theme="1"/>
        <rFont val="Calibri"/>
        <family val="2"/>
        <charset val="1"/>
      </rPr>
      <t xml:space="preserve">AI MW </t>
    </r>
    <r>
      <rPr>
        <sz val="11"/>
        <color theme="1"/>
        <rFont val="Noto Sans CJK SC"/>
        <family val="2"/>
      </rPr>
      <t xml:space="preserve">新增（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欄含以前全部）</t>
    </r>
  </si>
  <si>
    <r>
      <rPr>
        <sz val="11"/>
        <color theme="1"/>
        <rFont val="Noto Sans CJK SC"/>
        <family val="2"/>
      </rPr>
      <t xml:space="preserve">在役對外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新增</t>
    </r>
  </si>
  <si>
    <r>
      <rPr>
        <sz val="11"/>
        <color theme="1"/>
        <rFont val="Noto Sans CJK SC"/>
        <family val="2"/>
      </rPr>
      <t xml:space="preserve">  其中汰換為新世代的對外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（汰換 </t>
    </r>
    <r>
      <rPr>
        <sz val="11"/>
        <color theme="1"/>
        <rFont val="Calibri"/>
        <family val="2"/>
        <charset val="1"/>
      </rPr>
      <t xml:space="preserve">MW × </t>
    </r>
    <r>
      <rPr>
        <sz val="11"/>
        <color theme="1"/>
        <rFont val="Noto Sans CJK SC"/>
        <family val="2"/>
      </rPr>
      <t xml:space="preserve">對外比例）</t>
    </r>
  </si>
  <si>
    <t xml:space="preserve">修正一：汰換時在役世代占比同步更新（舊世代依期初占比移出、新世代依當年新增占比移入）</t>
  </si>
  <si>
    <r>
      <rPr>
        <sz val="11"/>
        <color theme="1"/>
        <rFont val="Noto Sans CJK SC"/>
        <family val="2"/>
      </rPr>
      <t xml:space="preserve">  在役對外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Hopper</t>
    </r>
  </si>
  <si>
    <r>
      <rPr>
        <sz val="11"/>
        <color theme="1"/>
        <rFont val="Noto Sans CJK SC"/>
        <family val="2"/>
      </rPr>
      <t xml:space="preserve">  在役對外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GB200</t>
    </r>
  </si>
  <si>
    <r>
      <rPr>
        <sz val="11"/>
        <color theme="1"/>
        <rFont val="Noto Sans CJK SC"/>
        <family val="2"/>
      </rPr>
      <t xml:space="preserve">  在役對外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nonnv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時含 </t>
    </r>
    <r>
      <rPr>
        <sz val="11"/>
        <color theme="1"/>
        <rFont val="Calibri"/>
        <family val="2"/>
        <charset val="1"/>
      </rPr>
      <t xml:space="preserve">Maia 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</si>
  <si>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在役對外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Maia 200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nonnv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Tokenomics IF_NonNV_*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</si>
  <si>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改讀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產出比與持有成本比（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GB300 × 1.0 </t>
    </r>
    <r>
      <rPr>
        <sz val="11"/>
        <color theme="1"/>
        <rFont val="Noto Sans CJK SC"/>
        <family val="2"/>
      </rPr>
      <t xml:space="preserve">計</t>
    </r>
  </si>
  <si>
    <r>
      <rPr>
        <sz val="11"/>
        <color theme="1"/>
        <rFont val="Noto Sans CJK SC"/>
        <family val="2"/>
      </rPr>
      <t xml:space="preserve">  在役對外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VR200</t>
    </r>
  </si>
  <si>
    <r>
      <rPr>
        <sz val="11"/>
        <color theme="1"/>
        <rFont val="Noto Sans CJK SC"/>
        <family val="2"/>
      </rPr>
      <t xml:space="preserve">在役世代加權持有成本（</t>
    </r>
    <r>
      <rPr>
        <sz val="11"/>
        <color theme="1"/>
        <rFont val="Calibri"/>
        <family val="2"/>
        <charset val="1"/>
      </rPr>
      <t xml:space="preserve">IF_HoldEcon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＝持有成本比 </t>
    </r>
    <r>
      <rPr>
        <sz val="11"/>
        <color theme="1"/>
        <rFont val="Calibri"/>
        <family val="2"/>
        <charset val="1"/>
      </rPr>
      <t xml:space="preserve">× 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</si>
  <si>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影子效益（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）用此成本口徑</t>
    </r>
  </si>
  <si>
    <r>
      <rPr>
        <sz val="11"/>
        <color theme="1"/>
        <rFont val="Noto Sans CJK SC"/>
        <family val="2"/>
      </rPr>
      <t xml:space="preserve">在役世代加權收入錨（</t>
    </r>
    <r>
      <rPr>
        <sz val="11"/>
        <color theme="1"/>
        <rFont val="Calibri"/>
        <family val="2"/>
        <charset val="1"/>
      </rPr>
      <t xml:space="preserve">IF_HoldEcon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＝產出比 </t>
    </r>
    <r>
      <rPr>
        <sz val="11"/>
        <color theme="1"/>
        <rFont val="Calibri"/>
        <family val="2"/>
        <charset val="1"/>
      </rPr>
      <t xml:space="preserve">× 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</si>
  <si>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nonnv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時與持有成本列相同</t>
    </r>
  </si>
  <si>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（長約占比 </t>
    </r>
    <r>
      <rPr>
        <sz val="11"/>
        <color theme="1"/>
        <rFont val="Calibri"/>
        <family val="2"/>
        <charset val="1"/>
      </rPr>
      <t xml:space="preserve">× k_</t>
    </r>
    <r>
      <rPr>
        <sz val="11"/>
        <color theme="1"/>
        <rFont val="Noto Sans CJK SC"/>
        <family val="2"/>
      </rPr>
      <t xml:space="preserve">長約＋其餘 </t>
    </r>
    <r>
      <rPr>
        <sz val="11"/>
        <color theme="1"/>
        <rFont val="Calibri"/>
        <family val="2"/>
        <charset val="1"/>
      </rPr>
      <t xml:space="preserve">× k_</t>
    </r>
    <r>
      <rPr>
        <sz val="11"/>
        <color theme="1"/>
        <rFont val="Noto Sans CJK SC"/>
        <family val="2"/>
      </rPr>
      <t xml:space="preserve">現貨）</t>
    </r>
  </si>
  <si>
    <r>
      <rPr>
        <sz val="11"/>
        <color theme="1"/>
        <rFont val="Noto Sans CJK SC"/>
        <family val="2"/>
      </rPr>
      <t xml:space="preserve">實績期三情境同用基準 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（拆分是估計，不是情境）；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k_ramp </t>
    </r>
    <r>
      <rPr>
        <sz val="11"/>
        <color theme="1"/>
        <rFont val="Noto Sans CJK SC"/>
        <family val="2"/>
      </rPr>
      <t xml:space="preserve">年線性移到情境 </t>
    </r>
    <r>
      <rPr>
        <sz val="11"/>
        <color theme="1"/>
        <rFont val="Calibri"/>
        <family val="2"/>
        <charset val="1"/>
      </rPr>
      <t xml:space="preserve">k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</si>
  <si>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年收入（對外）</t>
    </r>
  </si>
  <si>
    <r>
      <rPr>
        <sz val="11"/>
        <color theme="1"/>
        <rFont val="Noto Sans CJK SC"/>
        <family val="2"/>
      </rPr>
      <t xml:space="preserve">按 </t>
    </r>
    <r>
      <rPr>
        <sz val="11"/>
        <color theme="1"/>
        <rFont val="Calibri"/>
        <family val="2"/>
        <charset val="1"/>
      </rPr>
      <t xml:space="preserve">MW-year </t>
    </r>
    <r>
      <rPr>
        <sz val="11"/>
        <color theme="1"/>
        <rFont val="Noto Sans CJK SC"/>
        <family val="2"/>
      </rPr>
      <t xml:space="preserve">計價，不乘利用率（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口徑）</t>
    </r>
  </si>
  <si>
    <r>
      <rPr>
        <sz val="11"/>
        <color theme="1"/>
        <rFont val="Calibri"/>
        <family val="2"/>
        <charset val="1"/>
      </rPr>
      <t xml:space="preserve">Azure AI </t>
    </r>
    <r>
      <rPr>
        <sz val="11"/>
        <color theme="1"/>
        <rFont val="Noto Sans CJK SC"/>
        <family val="2"/>
      </rPr>
      <t xml:space="preserve">營收（期間平均在役對外 </t>
    </r>
    <r>
      <rPr>
        <sz val="11"/>
        <color theme="1"/>
        <rFont val="Calibri"/>
        <family val="2"/>
        <charset val="1"/>
      </rPr>
      <t xml:space="preserve">MW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年收入）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</si>
  <si>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為模型估計（用於拆出 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其他）</t>
    </r>
  </si>
  <si>
    <r>
      <rPr>
        <sz val="11"/>
        <color theme="1"/>
        <rFont val="Noto Sans CJK SC"/>
        <family val="2"/>
      </rPr>
      <t xml:space="preserve">在役世代加權 </t>
    </r>
    <r>
      <rPr>
        <sz val="11"/>
        <color theme="1"/>
        <rFont val="Calibri"/>
        <family val="2"/>
        <charset val="1"/>
      </rPr>
      <t xml:space="preserve">IF_OpexGW</t>
    </r>
  </si>
  <si>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的每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營運成本以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計（電力相同；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</si>
  <si>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營運成本：自有 </t>
    </r>
    <r>
      <rPr>
        <sz val="11"/>
        <color theme="1"/>
        <rFont val="Calibri"/>
        <family val="2"/>
        <charset val="1"/>
      </rPr>
      <t xml:space="preserve">AI MW</t>
    </r>
    <r>
      <rPr>
        <sz val="11"/>
        <color theme="1"/>
        <rFont val="Noto Sans CJK SC"/>
        <family val="2"/>
      </rPr>
      <t xml:space="preserve">（平均 </t>
    </r>
    <r>
      <rPr>
        <sz val="11"/>
        <color theme="1"/>
        <rFont val="Calibri"/>
        <family val="2"/>
        <charset val="1"/>
      </rPr>
      <t xml:space="preserve">× IF_OpexGW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</si>
  <si>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營運成本：租用 </t>
    </r>
    <r>
      <rPr>
        <sz val="11"/>
        <color theme="1"/>
        <rFont val="Calibri"/>
        <family val="2"/>
        <charset val="1"/>
      </rPr>
      <t xml:space="preserve">neocloud </t>
    </r>
    <r>
      <rPr>
        <sz val="11"/>
        <color theme="1"/>
        <rFont val="Noto Sans CJK SC"/>
        <family val="2"/>
      </rPr>
      <t xml:space="preserve">租金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</si>
  <si>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營運成本：租用機房租金（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自建比例）</t>
    </r>
  </si>
  <si>
    <t xml:space="preserve">C22</t>
  </si>
  <si>
    <r>
      <rPr>
        <sz val="11"/>
        <color theme="1"/>
        <rFont val="Noto Sans CJK SC"/>
        <family val="2"/>
      </rPr>
      <t xml:space="preserve">自有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中對外的比重（期間平均）</t>
    </r>
  </si>
  <si>
    <r>
      <rPr>
        <sz val="11"/>
        <color theme="1"/>
        <rFont val="Calibri"/>
        <family val="2"/>
        <charset val="1"/>
      </rPr>
      <t xml:space="preserve">Azure AI EBITDA</t>
    </r>
    <r>
      <rPr>
        <sz val="11"/>
        <color theme="1"/>
        <rFont val="Noto Sans CJK SC"/>
        <family val="2"/>
      </rPr>
      <t xml:space="preserve">（營收 − 對外營運成本 − 租金）</t>
    </r>
  </si>
  <si>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營運成本（服務 </t>
    </r>
    <r>
      <rPr>
        <sz val="11"/>
        <color theme="1"/>
        <rFont val="Calibri"/>
        <family val="2"/>
        <charset val="1"/>
      </rPr>
      <t xml:space="preserve">Copilot </t>
    </r>
    <r>
      <rPr>
        <sz val="11"/>
        <color theme="1"/>
        <rFont val="Noto Sans CJK SC"/>
        <family val="2"/>
      </rPr>
      <t xml:space="preserve">等自有產品）</t>
    </r>
  </si>
  <si>
    <r>
      <rPr>
        <sz val="11"/>
        <color theme="1"/>
        <rFont val="Noto Sans CJK SC"/>
        <family val="2"/>
      </rPr>
      <t xml:space="preserve">新增與汰換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資本支出（世代加權）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</si>
  <si>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以前用期初世代加權（估計）</t>
    </r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</si>
  <si>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汰換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（自有 </t>
    </r>
    <r>
      <rPr>
        <sz val="11"/>
        <color theme="1"/>
        <rFont val="Calibri"/>
        <family val="2"/>
        <charset val="1"/>
      </rPr>
      <t xml:space="preserve">AI MW </t>
    </r>
    <r>
      <rPr>
        <sz val="11"/>
        <color theme="1"/>
        <rFont val="Noto Sans CJK SC"/>
        <family val="2"/>
      </rPr>
      <t xml:space="preserve">滿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年限者）</t>
    </r>
  </si>
  <si>
    <r>
      <rPr>
        <sz val="11"/>
        <color theme="1"/>
        <rFont val="Noto Sans CJK SC"/>
        <family val="2"/>
      </rPr>
      <t xml:space="preserve">只換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、機房不換；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欄含 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以前全部（視同 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投入）；舊機隊在年限到期後停止折舊，汰換後的新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另計折舊（不重複）</t>
    </r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</si>
  <si>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資本支出（公式）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</si>
  <si>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機房資本支出（自建比例 </t>
    </r>
    <r>
      <rPr>
        <sz val="11"/>
        <color theme="1"/>
        <rFont val="Calibri"/>
        <family val="2"/>
        <charset val="1"/>
      </rPr>
      <t xml:space="preserve">× IF_CapexFacility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</si>
  <si>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C10 </t>
    </r>
    <r>
      <rPr>
        <sz val="11"/>
        <color theme="1"/>
        <rFont val="Noto Sans CJK SC"/>
        <family val="2"/>
      </rPr>
      <t xml:space="preserve">對帳落差：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公司指引推估 − 模型資本支出（</t>
    </r>
    <r>
      <rPr>
        <sz val="11"/>
        <color theme="1"/>
        <rFont val="Calibri"/>
        <family val="2"/>
        <charset val="1"/>
      </rPr>
      <t xml:space="preserve">AI IT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機房＋非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；正負）</t>
    </r>
  </si>
  <si>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：基準情境以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速度重解使此列 ≈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其他略有不同，殘差見報告）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</si>
  <si>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補足到公司指引的差額（落差為正時補足）</t>
    </r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</si>
  <si>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</si>
  <si>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資本支出合計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</si>
  <si>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以前為依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估計的值（非公司揭露）</t>
    </r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</si>
  <si>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折舊（半年慣例、年限 </t>
    </r>
    <r>
      <rPr>
        <sz val="11"/>
        <color theme="1"/>
        <rFont val="Calibri"/>
        <family val="2"/>
        <charset val="1"/>
      </rPr>
      <t xml:space="preserve">life_it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</si>
  <si>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機房折舊（年限 </t>
    </r>
    <r>
      <rPr>
        <sz val="11"/>
        <color theme="1"/>
        <rFont val="Calibri"/>
        <family val="2"/>
        <charset val="1"/>
      </rPr>
      <t xml:space="preserve">life_fac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</si>
  <si>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折舊合計（進 </t>
    </r>
    <r>
      <rPr>
        <sz val="11"/>
        <color theme="1"/>
        <rFont val="Calibri"/>
        <family val="2"/>
        <charset val="1"/>
      </rPr>
      <t xml:space="preserve">Agents and Infra </t>
    </r>
    <r>
      <rPr>
        <sz val="11"/>
        <color theme="1"/>
        <rFont val="Noto Sans CJK SC"/>
        <family val="2"/>
      </rPr>
      <t xml:space="preserve">營業利益）</t>
    </r>
  </si>
  <si>
    <r>
      <rPr>
        <sz val="11"/>
        <color theme="1"/>
        <rFont val="Calibri"/>
        <family val="2"/>
        <charset val="1"/>
      </rPr>
      <t xml:space="preserve">Azure AI </t>
    </r>
    <r>
      <rPr>
        <sz val="11"/>
        <color theme="1"/>
        <rFont val="Noto Sans CJK SC"/>
        <family val="2"/>
      </rPr>
      <t xml:space="preserve">營業利益（</t>
    </r>
    <r>
      <rPr>
        <sz val="11"/>
        <color theme="1"/>
        <rFont val="Calibri"/>
        <family val="2"/>
        <charset val="1"/>
      </rPr>
      <t xml:space="preserve">EBITDA − </t>
    </r>
    <r>
      <rPr>
        <sz val="11"/>
        <color theme="1"/>
        <rFont val="Noto Sans CJK SC"/>
        <family val="2"/>
      </rPr>
      <t xml:space="preserve">對外分攤折舊）</t>
    </r>
  </si>
  <si>
    <r>
      <rPr>
        <sz val="11"/>
        <color theme="1"/>
        <rFont val="Calibri"/>
        <family val="2"/>
        <charset val="1"/>
      </rPr>
      <t xml:space="preserve">Copilot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Seg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</si>
  <si>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影子效益（讀法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金額）＝</t>
    </r>
    <r>
      <rPr>
        <sz val="11"/>
        <color theme="1"/>
        <rFont val="Calibri"/>
        <family val="2"/>
        <charset val="1"/>
      </rPr>
      <t xml:space="preserve">MAX(0,</t>
    </r>
    <r>
      <rPr>
        <sz val="11"/>
        <color theme="1"/>
        <rFont val="Noto Sans CJK SC"/>
        <family val="2"/>
      </rPr>
      <t xml:space="preserve">（當年平均自用 </t>
    </r>
    <r>
      <rPr>
        <sz val="11"/>
        <color theme="1"/>
        <rFont val="Calibri"/>
        <family val="2"/>
        <charset val="1"/>
      </rPr>
      <t xml:space="preserve">MW − FY2026 </t>
    </r>
    <r>
      <rPr>
        <sz val="11"/>
        <color theme="1"/>
        <rFont val="Noto Sans CJK SC"/>
        <family val="2"/>
      </rPr>
      <t xml:space="preserve">平均自用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持有成本（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）− </t>
    </r>
    <r>
      <rPr>
        <sz val="11"/>
        <color theme="1"/>
        <rFont val="Calibri"/>
        <family val="2"/>
        <charset val="1"/>
      </rPr>
      <t xml:space="preserve">Copilot </t>
    </r>
    <r>
      <rPr>
        <sz val="11"/>
        <color theme="1"/>
        <rFont val="Noto Sans CJK SC"/>
        <family val="2"/>
      </rPr>
      <t xml:space="preserve">增量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核心利益率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</si>
  <si>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修正二：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已反映在核心利益率內的自用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不再計；修正三：基準改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平均自用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（核心利益率以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全年校準）；</t>
    </r>
    <r>
      <rPr>
        <sz val="11"/>
        <color theme="1"/>
        <rFont val="Calibri"/>
        <family val="2"/>
        <charset val="1"/>
      </rPr>
      <t xml:space="preserve">Copilot </t>
    </r>
    <r>
      <rPr>
        <sz val="11"/>
        <color theme="1"/>
        <rFont val="Noto Sans CJK SC"/>
        <family val="2"/>
      </rPr>
      <t xml:space="preserve">只扣高於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的增量</t>
    </r>
  </si>
  <si>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影子效益（依讀法開關 </t>
    </r>
    <r>
      <rPr>
        <sz val="11"/>
        <color theme="1"/>
        <rFont val="Calibri"/>
        <family val="2"/>
        <charset val="1"/>
      </rPr>
      <t xml:space="preserve">internal_ai_reading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</si>
  <si>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增量營業利益（評價口徑）＝</t>
    </r>
    <r>
      <rPr>
        <sz val="11"/>
        <color theme="1"/>
        <rFont val="Calibri"/>
        <family val="2"/>
        <charset val="1"/>
      </rPr>
      <t xml:space="preserve">Azure AI EBITDA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Copilot × </t>
    </r>
    <r>
      <rPr>
        <sz val="11"/>
        <color theme="1"/>
        <rFont val="Noto Sans CJK SC"/>
        <family val="2"/>
      </rPr>
      <t xml:space="preserve">核心利益率＋影子效益 − 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營運成本 −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</t>
    </r>
  </si>
  <si>
    <r>
      <rPr>
        <sz val="11"/>
        <color theme="1"/>
        <rFont val="Calibri"/>
        <family val="2"/>
        <charset val="1"/>
      </rPr>
      <t xml:space="preserve">AI PP&amp;E </t>
    </r>
    <r>
      <rPr>
        <sz val="11"/>
        <color theme="1"/>
        <rFont val="Noto Sans CJK SC"/>
        <family val="2"/>
      </rPr>
      <t xml:space="preserve">淨額（年底）</t>
    </r>
  </si>
  <si>
    <r>
      <rPr>
        <sz val="11"/>
        <color theme="1"/>
        <rFont val="Noto Sans CJK SC"/>
        <family val="2"/>
      </rPr>
      <t xml:space="preserve">期初＝自有 </t>
    </r>
    <r>
      <rPr>
        <sz val="11"/>
        <color theme="1"/>
        <rFont val="Calibri"/>
        <family val="2"/>
        <charset val="1"/>
      </rPr>
      <t xml:space="preserve">AI MW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全成本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淨額比（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</si>
  <si>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增量 </t>
    </r>
    <r>
      <rPr>
        <sz val="11"/>
        <color theme="1"/>
        <rFont val="Calibri"/>
        <family val="2"/>
        <charset val="1"/>
      </rPr>
      <t xml:space="preserve">ROIC</t>
    </r>
    <r>
      <rPr>
        <sz val="11"/>
        <color theme="1"/>
        <rFont val="Noto Sans CJK SC"/>
        <family val="2"/>
      </rPr>
      <t xml:space="preserve">（評價口徑；稅後營業利益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AI PP&amp;E </t>
    </r>
    <r>
      <rPr>
        <sz val="11"/>
        <color theme="1"/>
        <rFont val="Noto Sans CJK SC"/>
        <family val="2"/>
      </rPr>
      <t xml:space="preserve">淨額）</t>
    </r>
  </si>
  <si>
    <r>
      <rPr>
        <sz val="11"/>
        <color theme="1"/>
        <rFont val="Noto Sans CJK SC"/>
        <family val="2"/>
      </rPr>
      <t xml:space="preserve">  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只計成本）的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增量 </t>
    </r>
    <r>
      <rPr>
        <sz val="11"/>
        <color theme="1"/>
        <rFont val="Calibri"/>
        <family val="2"/>
        <charset val="1"/>
      </rPr>
      <t xml:space="preserve">ROIC</t>
    </r>
  </si>
  <si>
    <r>
      <rPr>
        <sz val="11"/>
        <color theme="1"/>
        <rFont val="Noto Sans CJK SC"/>
        <family val="2"/>
      </rPr>
      <t xml:space="preserve">  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（自用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價值中性）的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增量 </t>
    </r>
    <r>
      <rPr>
        <sz val="11"/>
        <color theme="1"/>
        <rFont val="Calibri"/>
        <family val="2"/>
        <charset val="1"/>
      </rPr>
      <t xml:space="preserve">ROIC</t>
    </r>
  </si>
  <si>
    <r>
      <rPr>
        <sz val="11"/>
        <color theme="1"/>
        <rFont val="Noto Sans CJK SC"/>
        <family val="2"/>
      </rPr>
      <t xml:space="preserve">  對外 </t>
    </r>
    <r>
      <rPr>
        <sz val="11"/>
        <color theme="1"/>
        <rFont val="Calibri"/>
        <family val="2"/>
        <charset val="1"/>
      </rPr>
      <t xml:space="preserve">AI ROIC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Azure AI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對外分攤的 </t>
    </r>
    <r>
      <rPr>
        <sz val="11"/>
        <color theme="1"/>
        <rFont val="Calibri"/>
        <family val="2"/>
        <charset val="1"/>
      </rPr>
      <t xml:space="preserve">PP&amp;E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C11 </t>
    </r>
    <r>
      <rPr>
        <sz val="11"/>
        <color theme="1"/>
        <rFont val="Noto Sans CJK SC"/>
        <family val="2"/>
      </rPr>
      <t xml:space="preserve">口徑）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</si>
  <si>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增量 </t>
    </r>
    <r>
      <rPr>
        <sz val="11"/>
        <color theme="1"/>
        <rFont val="Calibri"/>
        <family val="2"/>
        <charset val="1"/>
      </rPr>
      <t xml:space="preserve">ROIC − WACC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</si>
  <si>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經濟利潤＝稅後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營業利益 − </t>
    </r>
    <r>
      <rPr>
        <sz val="11"/>
        <color theme="1"/>
        <rFont val="Calibri"/>
        <family val="2"/>
        <charset val="1"/>
      </rPr>
      <t xml:space="preserve">WACC × </t>
    </r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AI PP&amp;E </t>
    </r>
    <r>
      <rPr>
        <sz val="11"/>
        <color theme="1"/>
        <rFont val="Noto Sans CJK SC"/>
        <family val="2"/>
      </rPr>
      <t xml:space="preserve">淨額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</si>
  <si>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</si>
  <si>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</si>
  <si>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Seg — </t>
    </r>
    <r>
      <rPr>
        <sz val="11"/>
        <color theme="1"/>
        <rFont val="Noto Sans CJK SC"/>
        <family val="2"/>
      </rPr>
      <t xml:space="preserve">營收分部層：官方分部 </t>
    </r>
    <r>
      <rPr>
        <sz val="11"/>
        <color theme="1"/>
        <rFont val="Calibri"/>
        <family val="2"/>
        <charset val="1"/>
      </rPr>
      <t xml:space="preserve">Agents and Infra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Devices and Consumer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8-K 2026-09-02 </t>
    </r>
    <r>
      <rPr>
        <sz val="11"/>
        <color theme="1"/>
        <rFont val="Noto Sans CJK SC"/>
        <family val="2"/>
      </rPr>
      <t xml:space="preserve">重編）→ 八條產品線；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Azure AI</t>
    </r>
    <r>
      <rPr>
        <sz val="11"/>
        <color theme="1"/>
        <rFont val="Noto Sans CJK SC"/>
        <family val="2"/>
      </rPr>
      <t xml:space="preserve">（命題）＋ 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其他；</t>
    </r>
    <r>
      <rPr>
        <sz val="11"/>
        <color theme="1"/>
        <rFont val="Calibri"/>
        <family val="2"/>
        <charset val="1"/>
      </rPr>
      <t xml:space="preserve">Microsoft 365 cloud </t>
    </r>
    <r>
      <rPr>
        <sz val="11"/>
        <color theme="1"/>
        <rFont val="Noto Sans CJK SC"/>
        <family val="2"/>
      </rPr>
      <t xml:space="preserve">＝ 基礎 ＋ </t>
    </r>
    <r>
      <rPr>
        <sz val="11"/>
        <color theme="1"/>
        <rFont val="Calibri"/>
        <family val="2"/>
        <charset val="1"/>
      </rPr>
      <t xml:space="preserve">Copilot</t>
    </r>
    <r>
      <rPr>
        <sz val="11"/>
        <color theme="1"/>
        <rFont val="Noto Sans CJK SC"/>
        <family val="2"/>
      </rPr>
      <t xml:space="preserve">（命題）</t>
    </r>
  </si>
  <si>
    <r>
      <rPr>
        <sz val="11"/>
        <color theme="1"/>
        <rFont val="Noto Sans CJK SC"/>
        <family val="2"/>
      </rPr>
      <t xml:space="preserve">非命題產品線：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年增線性收斂到長期值（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到達；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節）；三情境相同。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欄為實績（</t>
    </r>
    <r>
      <rPr>
        <sz val="11"/>
        <color theme="1"/>
        <rFont val="Calibri"/>
        <family val="2"/>
        <charset val="1"/>
      </rPr>
      <t xml:space="preserve">Azure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M365 cloud </t>
    </r>
    <r>
      <rPr>
        <sz val="11"/>
        <color theme="1"/>
        <rFont val="Noto Sans CJK SC"/>
        <family val="2"/>
      </rPr>
      <t xml:space="preserve">的子列為模型拆分）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</si>
  <si>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</si>
  <si>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Azure AI</t>
    </r>
    <r>
      <rPr>
        <sz val="11"/>
        <color theme="1"/>
        <rFont val="Noto Sans CJK SC"/>
        <family val="2"/>
      </rPr>
      <t xml:space="preserve">（命題子列）</t>
    </r>
  </si>
  <si>
    <r>
      <rPr>
        <sz val="11"/>
        <color theme="1"/>
        <rFont val="Calibri"/>
        <family val="2"/>
        <charset val="1"/>
      </rPr>
      <t xml:space="preserve">  Azure </t>
    </r>
    <r>
      <rPr>
        <sz val="11"/>
        <color theme="1"/>
        <rFont val="Noto Sans CJK SC"/>
        <family val="2"/>
      </rPr>
      <t xml:space="preserve">其他（非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雲端；</t>
    </r>
    <r>
      <rPr>
        <sz val="11"/>
        <color theme="1"/>
        <rFont val="Calibri"/>
        <family val="2"/>
        <charset val="1"/>
      </rPr>
      <t xml:space="preserve">FY2025–26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實績 − </t>
    </r>
    <r>
      <rPr>
        <sz val="11"/>
        <color theme="1"/>
        <rFont val="Calibri"/>
        <family val="2"/>
        <charset val="1"/>
      </rPr>
      <t xml:space="preserve">Azure AI </t>
    </r>
    <r>
      <rPr>
        <sz val="11"/>
        <color theme="1"/>
        <rFont val="Noto Sans CJK SC"/>
        <family val="2"/>
      </rPr>
      <t xml:space="preserve">估計；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Azure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Q2–Q4 </t>
    </r>
    <r>
      <rPr>
        <sz val="11"/>
        <color theme="1"/>
        <rFont val="Noto Sans CJK SC"/>
        <family val="2"/>
      </rPr>
      <t xml:space="preserve">模型）− </t>
    </r>
    <r>
      <rPr>
        <sz val="11"/>
        <color theme="1"/>
        <rFont val="Calibri"/>
        <family val="2"/>
        <charset val="1"/>
      </rPr>
      <t xml:space="preserve">Azure 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</si>
  <si>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Azure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實績＋（</t>
    </r>
    <r>
      <rPr>
        <sz val="11"/>
        <color theme="1"/>
        <rFont val="Calibri"/>
        <family val="2"/>
        <charset val="1"/>
      </rPr>
      <t xml:space="preserve">Azure AI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其他的全年模型）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FY26Q1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比重）；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實績與模型的差額歸 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其他（不回推 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C3</t>
    </r>
    <r>
      <rPr>
        <sz val="11"/>
        <color theme="1"/>
        <rFont val="Noto Sans CJK SC"/>
        <family val="2"/>
      </rPr>
      <t xml:space="preserve">）</t>
    </r>
  </si>
  <si>
    <t xml:space="preserve">    年增（近一年 → 長期值）</t>
  </si>
  <si>
    <t xml:space="preserve">Azure</t>
  </si>
  <si>
    <r>
      <rPr>
        <sz val="11"/>
        <color theme="1"/>
        <rFont val="Calibri"/>
        <family val="2"/>
        <charset val="1"/>
      </rPr>
      <t xml:space="preserve">  Copilot </t>
    </r>
    <r>
      <rPr>
        <sz val="11"/>
        <color theme="1"/>
        <rFont val="Noto Sans CJK SC"/>
        <family val="2"/>
      </rPr>
      <t xml:space="preserve">付費座席（年底）</t>
    </r>
  </si>
  <si>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每年淨增 </t>
    </r>
    <r>
      <rPr>
        <sz val="11"/>
        <color theme="1"/>
        <rFont val="Calibri"/>
        <family val="2"/>
        <charset val="1"/>
      </rPr>
      <t xml:space="preserve">cop_add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× cop_tail</t>
    </r>
  </si>
  <si>
    <r>
      <rPr>
        <sz val="11"/>
        <color theme="1"/>
        <rFont val="Calibri"/>
        <family val="2"/>
        <charset val="1"/>
      </rPr>
      <t xml:space="preserve">  Copilot</t>
    </r>
    <r>
      <rPr>
        <sz val="11"/>
        <color theme="1"/>
        <rFont val="Noto Sans CJK SC"/>
        <family val="2"/>
      </rPr>
      <t xml:space="preserve">（命題子列：平均座席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月費 </t>
    </r>
    <r>
      <rPr>
        <sz val="11"/>
        <color theme="1"/>
        <rFont val="Calibri"/>
        <family val="2"/>
        <charset val="1"/>
      </rPr>
      <t xml:space="preserve">× 12</t>
    </r>
    <r>
      <rPr>
        <sz val="11"/>
        <color theme="1"/>
        <rFont val="Noto Sans CJK SC"/>
        <family val="2"/>
      </rPr>
      <t xml:space="preserve">）</t>
    </r>
  </si>
  <si>
    <t xml:space="preserve">實績期用基準月費（拆分是估計）；敏感度只改預測期</t>
  </si>
  <si>
    <r>
      <rPr>
        <sz val="11"/>
        <color theme="1"/>
        <rFont val="Calibri"/>
        <family val="2"/>
        <charset val="1"/>
      </rPr>
      <t xml:space="preserve">  M365 </t>
    </r>
    <r>
      <rPr>
        <sz val="11"/>
        <color theme="1"/>
        <rFont val="Noto Sans CJK SC"/>
        <family val="2"/>
      </rPr>
      <t xml:space="preserve">基礎（不含 </t>
    </r>
    <r>
      <rPr>
        <sz val="11"/>
        <color theme="1"/>
        <rFont val="Calibri"/>
        <family val="2"/>
        <charset val="1"/>
      </rPr>
      <t xml:space="preserve">Copilot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FY2025–26</t>
    </r>
    <r>
      <rPr>
        <sz val="11"/>
        <color theme="1"/>
        <rFont val="Noto Sans CJK SC"/>
        <family val="2"/>
      </rPr>
      <t xml:space="preserve">＝實績 − </t>
    </r>
    <r>
      <rPr>
        <sz val="11"/>
        <color theme="1"/>
        <rFont val="Calibri"/>
        <family val="2"/>
        <charset val="1"/>
      </rPr>
      <t xml:space="preserve">Copilot </t>
    </r>
    <r>
      <rPr>
        <sz val="11"/>
        <color theme="1"/>
        <rFont val="Noto Sans CJK SC"/>
        <family val="2"/>
      </rPr>
      <t xml:space="preserve">估計；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M365 cloud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Q2–Q4 </t>
    </r>
    <r>
      <rPr>
        <sz val="11"/>
        <color theme="1"/>
        <rFont val="Noto Sans CJK SC"/>
        <family val="2"/>
      </rPr>
      <t xml:space="preserve">模型）− </t>
    </r>
    <r>
      <rPr>
        <sz val="11"/>
        <color theme="1"/>
        <rFont val="Calibri"/>
        <family val="2"/>
        <charset val="1"/>
      </rPr>
      <t xml:space="preserve">Copilot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</si>
  <si>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實績與模型的差額歸 </t>
    </r>
    <r>
      <rPr>
        <sz val="11"/>
        <color theme="1"/>
        <rFont val="Calibri"/>
        <family val="2"/>
        <charset val="1"/>
      </rPr>
      <t xml:space="preserve">M365 </t>
    </r>
    <r>
      <rPr>
        <sz val="11"/>
        <color theme="1"/>
        <rFont val="Noto Sans CJK SC"/>
        <family val="2"/>
      </rPr>
      <t xml:space="preserve">基礎</t>
    </r>
  </si>
  <si>
    <t xml:space="preserve">Microsoft 365 cloud</t>
  </si>
  <si>
    <t xml:space="preserve">Productivity and server licensing</t>
  </si>
  <si>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第二至第四季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＋年增）</t>
    </r>
  </si>
  <si>
    <t xml:space="preserve">Industry solutions</t>
  </si>
  <si>
    <t xml:space="preserve">Frontier and support services</t>
  </si>
  <si>
    <t xml:space="preserve">Search and advertising</t>
  </si>
  <si>
    <t xml:space="preserve">XBOX</t>
  </si>
  <si>
    <t xml:space="preserve">Windows OEM and devices</t>
  </si>
  <si>
    <t xml:space="preserve">合併營收（分部合計）</t>
  </si>
  <si>
    <t xml:space="preserve">檢查：產品線合計 − 分部；實績期另比對公司分部值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</si>
  <si>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</si>
  <si>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</si>
  <si>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分部營收 → 分部營業利益（</t>
    </r>
    <r>
      <rPr>
        <sz val="11"/>
        <color theme="1"/>
        <rFont val="Calibri"/>
        <family val="2"/>
        <charset val="1"/>
      </rPr>
      <t xml:space="preserve">Agents and Infra </t>
    </r>
    <r>
      <rPr>
        <sz val="11"/>
        <color theme="1"/>
        <rFont val="Noto Sans CJK SC"/>
        <family val="2"/>
      </rPr>
      <t xml:space="preserve">由核心利益率扣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營運成本與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折舊；</t>
    </r>
    <r>
      <rPr>
        <sz val="11"/>
        <color theme="1"/>
        <rFont val="Calibri"/>
        <family val="2"/>
        <charset val="1"/>
      </rPr>
      <t xml:space="preserve">Devices and Consumer </t>
    </r>
    <r>
      <rPr>
        <sz val="11"/>
        <color theme="1"/>
        <rFont val="Noto Sans CJK SC"/>
        <family val="2"/>
      </rPr>
      <t xml:space="preserve">依實績利益率）→ 合併營業利益 → 業外 → 稅 → 淨利 →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</si>
  <si>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Noto Sans CJK SC"/>
        <family val="2"/>
      </rPr>
      <t xml:space="preserve">核對列（三情境、全部年度合計，應為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segments.json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tools/segment_check </t>
    </r>
    <r>
      <rPr>
        <sz val="11"/>
        <color theme="1"/>
        <rFont val="Noto Sans CJK SC"/>
        <family val="2"/>
      </rPr>
      <t xml:space="preserve">讀這三列）</t>
    </r>
  </si>
  <si>
    <t xml:space="preserve">檢查：分部合計 − 合併營收（三情境，實績期另比對公司值）</t>
  </si>
  <si>
    <t xml:space="preserve">檢查：產品線合計 − 分部（三情境，實績期另比對公司值）</t>
  </si>
  <si>
    <r>
      <rPr>
        <sz val="11"/>
        <color theme="1"/>
        <rFont val="Noto Sans CJK SC"/>
        <family val="2"/>
      </rPr>
      <t xml:space="preserve">檢查：命題子列合計 − 母列（</t>
    </r>
    <r>
      <rPr>
        <sz val="11"/>
        <color theme="1"/>
        <rFont val="Calibri"/>
        <family val="2"/>
        <charset val="1"/>
      </rPr>
      <t xml:space="preserve">Azure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Microsoft 365 cloud</t>
    </r>
    <r>
      <rPr>
        <sz val="11"/>
        <color theme="1"/>
        <rFont val="Noto Sans CJK SC"/>
        <family val="2"/>
      </rPr>
      <t xml:space="preserve">；三情境）</t>
    </r>
  </si>
  <si>
    <t xml:space="preserve">檢查：分部營業利益合計 − 合併營業利益（三情境；實績期比對公司值）</t>
  </si>
  <si>
    <r>
      <rPr>
        <sz val="11"/>
        <color theme="1"/>
        <rFont val="Noto Sans CJK SC"/>
        <family val="2"/>
      </rPr>
      <t xml:space="preserve">以下三個區塊依序為情境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；分部與產品線列標籤與 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相同（</t>
    </r>
    <r>
      <rPr>
        <sz val="11"/>
        <color theme="1"/>
        <rFont val="Calibri"/>
        <family val="2"/>
        <charset val="1"/>
      </rPr>
      <t xml:space="preserve">segments.json </t>
    </r>
    <r>
      <rPr>
        <sz val="11"/>
        <color theme="1"/>
        <rFont val="Noto Sans CJK SC"/>
        <family val="2"/>
      </rPr>
      <t xml:space="preserve">對應）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</si>
  <si>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</si>
  <si>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Azure </t>
    </r>
    <r>
      <rPr>
        <sz val="11"/>
        <color theme="1"/>
        <rFont val="Noto Sans CJK SC"/>
        <family val="2"/>
      </rPr>
      <t xml:space="preserve">其他</t>
    </r>
  </si>
  <si>
    <r>
      <rPr>
        <sz val="11"/>
        <color theme="1"/>
        <rFont val="Calibri"/>
        <family val="2"/>
        <charset val="1"/>
      </rPr>
      <t xml:space="preserve">  M365 </t>
    </r>
    <r>
      <rPr>
        <sz val="11"/>
        <color theme="1"/>
        <rFont val="Noto Sans CJK SC"/>
        <family val="2"/>
      </rPr>
      <t xml:space="preserve">基礎（不含 </t>
    </r>
    <r>
      <rPr>
        <sz val="11"/>
        <color theme="1"/>
        <rFont val="Calibri"/>
        <family val="2"/>
        <charset val="1"/>
      </rPr>
      <t xml:space="preserve">Copilot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</si>
  <si>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Copilot</t>
    </r>
    <r>
      <rPr>
        <sz val="11"/>
        <color theme="1"/>
        <rFont val="Noto Sans CJK SC"/>
        <family val="2"/>
      </rPr>
      <t xml:space="preserve">（命題子列）</t>
    </r>
  </si>
  <si>
    <t xml:space="preserve">合併營收</t>
  </si>
  <si>
    <t xml:space="preserve">營收年增</t>
  </si>
  <si>
    <r>
      <rPr>
        <sz val="11"/>
        <color theme="1"/>
        <rFont val="Noto Sans CJK SC"/>
        <family val="2"/>
      </rPr>
      <t xml:space="preserve">檢查：分部合計 − 合併營收；子列合計 − 母列（</t>
    </r>
    <r>
      <rPr>
        <sz val="11"/>
        <color theme="1"/>
        <rFont val="Calibri"/>
        <family val="2"/>
        <charset val="1"/>
      </rPr>
      <t xml:space="preserve">Azure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M365 cloud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</si>
  <si>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Agents and Infra </t>
    </r>
    <r>
      <rPr>
        <sz val="11"/>
        <color theme="1"/>
        <rFont val="Noto Sans CJK SC"/>
        <family val="2"/>
      </rPr>
      <t xml:space="preserve">核心利益率（扣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營運成本與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折舊前；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</t>
    </r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</si>
  <si>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分部營業利益＋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營運成本＋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 − </t>
    </r>
    <r>
      <rPr>
        <sz val="11"/>
        <color theme="1"/>
        <rFont val="Calibri"/>
        <family val="2"/>
        <charset val="1"/>
      </rPr>
      <t xml:space="preserve">Azure AI </t>
    </r>
    <r>
      <rPr>
        <sz val="11"/>
        <color theme="1"/>
        <rFont val="Noto Sans CJK SC"/>
        <family val="2"/>
      </rPr>
      <t xml:space="preserve">營收</t>
    </r>
    <r>
      <rPr>
        <sz val="11"/>
        <color theme="1"/>
        <rFont val="Calibri"/>
        <family val="2"/>
        <charset val="1"/>
      </rPr>
      <t xml:space="preserve">) ÷ (</t>
    </r>
    <r>
      <rPr>
        <sz val="11"/>
        <color theme="1"/>
        <rFont val="Noto Sans CJK SC"/>
        <family val="2"/>
      </rPr>
      <t xml:space="preserve">分部營收 − </t>
    </r>
    <r>
      <rPr>
        <sz val="11"/>
        <color theme="1"/>
        <rFont val="Calibri"/>
        <family val="2"/>
        <charset val="1"/>
      </rPr>
      <t xml:space="preserve">Azure AI </t>
    </r>
    <r>
      <rPr>
        <sz val="11"/>
        <color theme="1"/>
        <rFont val="Noto Sans CJK SC"/>
        <family val="2"/>
      </rPr>
      <t xml:space="preserve">營收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；之後固定（＋</t>
    </r>
    <r>
      <rPr>
        <sz val="11"/>
        <color theme="1"/>
        <rFont val="Calibri"/>
        <family val="2"/>
        <charset val="1"/>
      </rPr>
      <t xml:space="preserve">dm_seg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</si>
  <si>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修正三：另扣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補足差額的折舊；＝核心利益率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（分部營收 − </t>
    </r>
    <r>
      <rPr>
        <sz val="11"/>
        <color theme="1"/>
        <rFont val="Calibri"/>
        <family val="2"/>
        <charset val="1"/>
      </rPr>
      <t xml:space="preserve">Azure AI</t>
    </r>
    <r>
      <rPr>
        <sz val="11"/>
        <color theme="1"/>
        <rFont val="Noto Sans CJK SC"/>
        <family val="2"/>
      </rPr>
      <t xml:space="preserve">）＋ </t>
    </r>
    <r>
      <rPr>
        <sz val="11"/>
        <color theme="1"/>
        <rFont val="Calibri"/>
        <family val="2"/>
        <charset val="1"/>
      </rPr>
      <t xml:space="preserve">Azure AI </t>
    </r>
    <r>
      <rPr>
        <sz val="11"/>
        <color theme="1"/>
        <rFont val="Noto Sans CJK SC"/>
        <family val="2"/>
      </rPr>
      <t xml:space="preserve">營收 −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營運成本 −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資本支出經折舊進分部營業利益；</t>
    </r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實績＋全年模型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第二至第四季營收占比</t>
    </r>
  </si>
  <si>
    <r>
      <rPr>
        <sz val="11"/>
        <color theme="1"/>
        <rFont val="Calibri"/>
        <family val="2"/>
        <charset val="1"/>
      </rPr>
      <t xml:space="preserve">Devices and Consumer </t>
    </r>
    <r>
      <rPr>
        <sz val="11"/>
        <color theme="1"/>
        <rFont val="Noto Sans CJK SC"/>
        <family val="2"/>
      </rPr>
      <t xml:space="preserve">營業利益率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</si>
  <si>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實績後固定（＋</t>
    </r>
    <r>
      <rPr>
        <sz val="11"/>
        <color theme="1"/>
        <rFont val="Calibri"/>
        <family val="2"/>
        <charset val="1"/>
      </rPr>
      <t xml:space="preserve">dm_seg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</si>
  <si>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實績＋第二至第四季營收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利益率</t>
    </r>
  </si>
  <si>
    <t xml:space="preserve">合併營業利益（財報口徑；分部合計，無未分攤項）</t>
  </si>
  <si>
    <t xml:space="preserve">檢查：分部營業利益合計 − 公司合併營業利益（實績）</t>
  </si>
  <si>
    <t xml:space="preserve">營業利益率（財報口徑）</t>
  </si>
  <si>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影子效益（讀法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；非財報營收；分攤到 </t>
    </r>
    <r>
      <rPr>
        <sz val="11"/>
        <color theme="1"/>
        <rFont val="Calibri"/>
        <family val="2"/>
        <charset val="1"/>
      </rPr>
      <t xml:space="preserve">Agents and Infra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</si>
  <si>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修正一 </t>
    </r>
    <r>
      <rPr>
        <sz val="11"/>
        <color theme="1"/>
        <rFont val="Calibri"/>
        <family val="2"/>
        <charset val="1"/>
      </rPr>
      <t xml:space="preserve">F1</t>
    </r>
    <r>
      <rPr>
        <sz val="11"/>
        <color theme="1"/>
        <rFont val="Noto Sans CJK SC"/>
        <family val="2"/>
      </rPr>
      <t xml:space="preserve">：營收與分部對帳不動；只進評價口徑的營業利益、淨利、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DCF</t>
    </r>
  </si>
  <si>
    <r>
      <rPr>
        <sz val="11"/>
        <color theme="1"/>
        <rFont val="Noto Sans CJK SC"/>
        <family val="2"/>
      </rPr>
      <t xml:space="preserve">營業利益（評價口徑＝財報＋自用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影子效益）</t>
    </r>
  </si>
  <si>
    <r>
      <rPr>
        <sz val="11"/>
        <color theme="1"/>
        <rFont val="Noto Sans CJK SC"/>
        <family val="2"/>
      </rPr>
      <t xml:space="preserve">  備忘：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折舊（</t>
    </r>
    <r>
      <rPr>
        <sz val="11"/>
        <color theme="1"/>
        <rFont val="Calibri"/>
        <family val="2"/>
        <charset val="1"/>
      </rPr>
      <t xml:space="preserve">Thesis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</si>
  <si>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備忘：非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折舊攤銷（</t>
    </r>
    <r>
      <rPr>
        <sz val="11"/>
        <color theme="1"/>
        <rFont val="Calibri"/>
        <family val="2"/>
        <charset val="1"/>
      </rPr>
      <t xml:space="preserve">CF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</si>
  <si>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業外收支（預測期不含持股評價損益＝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</si>
  <si>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重組利得等 </t>
    </r>
    <r>
      <rPr>
        <sz val="11"/>
        <color theme="1"/>
        <rFont val="Calibri"/>
        <family val="2"/>
        <charset val="1"/>
      </rPr>
      <t xml:space="preserve">+6.5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FY2027 Q1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+0.038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稅前利得 </t>
    </r>
    <r>
      <rPr>
        <sz val="11"/>
        <color theme="1"/>
        <rFont val="Calibri"/>
        <family val="2"/>
        <charset val="1"/>
      </rPr>
      <t xml:space="preserve">0.272</t>
    </r>
    <r>
      <rPr>
        <sz val="11"/>
        <color theme="1"/>
        <rFont val="Noto Sans CJK SC"/>
        <family val="2"/>
      </rPr>
      <t xml:space="preserve">）＋其餘三季 </t>
    </r>
    <r>
      <rPr>
        <sz val="11"/>
        <color theme="1"/>
        <rFont val="Calibri"/>
        <family val="2"/>
        <charset val="1"/>
      </rPr>
      <t xml:space="preserve">× oie_f</t>
    </r>
  </si>
  <si>
    <t xml:space="preserve">稅前淨利（財報口徑）</t>
  </si>
  <si>
    <t xml:space="preserve">所得稅（財報口徑）</t>
  </si>
  <si>
    <t xml:space="preserve">淨利（財報口徑）</t>
  </si>
  <si>
    <r>
      <rPr>
        <sz val="11"/>
        <color theme="1"/>
        <rFont val="Noto Sans CJK SC"/>
        <family val="2"/>
      </rPr>
      <t xml:space="preserve">稀釋股數（十億股；回購依 </t>
    </r>
    <r>
      <rPr>
        <sz val="11"/>
        <color theme="1"/>
        <rFont val="Calibri"/>
        <family val="2"/>
        <charset val="1"/>
      </rPr>
      <t xml:space="preserve">CF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</si>
  <si>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（財報口徑，</t>
    </r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</si>
  <si>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實績期與公司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差 </t>
    </r>
    <r>
      <rPr>
        <sz val="11"/>
        <color theme="1"/>
        <rFont val="Calibri"/>
        <family val="2"/>
        <charset val="1"/>
      </rPr>
      <t xml:space="preserve">&lt; 0.01</t>
    </r>
    <r>
      <rPr>
        <sz val="11"/>
        <color theme="1"/>
        <rFont val="Noto Sans CJK SC"/>
        <family val="2"/>
      </rPr>
      <t xml:space="preserve">（四捨五入）</t>
    </r>
  </si>
  <si>
    <r>
      <rPr>
        <sz val="11"/>
        <color theme="1"/>
        <rFont val="Noto Sans CJK SC"/>
        <family val="2"/>
      </rPr>
      <t xml:space="preserve">淨利（評價口徑＝財報＋影子效益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稅率））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</si>
  <si>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（評價口徑，</t>
    </r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</si>
  <si>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主值；讀法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時＝財報口徑</t>
    </r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</si>
  <si>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年增（評價口徑）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</si>
  <si>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</si>
  <si>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</si>
  <si>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CF — </t>
    </r>
    <r>
      <rPr>
        <sz val="11"/>
        <color theme="1"/>
        <rFont val="Noto Sans CJK SC"/>
        <family val="2"/>
      </rPr>
      <t xml:space="preserve">營業現金流（淨利＋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與非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折舊＋股票薪酬＋營運資金）− 資本支出（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Thesis</t>
    </r>
    <r>
      <rPr>
        <sz val="11"/>
        <color theme="1"/>
        <rFont val="Noto Sans CJK SC"/>
        <family val="2"/>
      </rPr>
      <t xml:space="preserve">；非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＝營收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比例）− 融資租賃本金 → 自由現金流（財報現金）；股利、回購、舉債（最低現金）</t>
    </r>
  </si>
  <si>
    <r>
      <rPr>
        <sz val="11"/>
        <color theme="1"/>
        <rFont val="Noto Sans CJK SC"/>
        <family val="2"/>
      </rPr>
      <t xml:space="preserve">收支關卡（地圖讀此表）：模型期間首年起五年（</t>
    </r>
    <r>
      <rPr>
        <sz val="11"/>
        <color theme="1"/>
        <rFont val="Calibri"/>
        <family val="2"/>
        <charset val="1"/>
      </rPr>
      <t xml:space="preserve">FY2027–FY2031</t>
    </r>
    <r>
      <rPr>
        <sz val="11"/>
        <color theme="1"/>
        <rFont val="Noto Sans CJK SC"/>
        <family val="2"/>
      </rPr>
      <t xml:space="preserve">）自由現金流扣股利後合計（財報現金，不含自用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影子效益）；並判斷是否需要舉債或停止回購</t>
    </r>
  </si>
  <si>
    <t xml:space="preserve">收支關卡：自由現金流扣股利（五年合計）</t>
  </si>
  <si>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；為正＝五年自由現金流足以支付股利（地圖收支關卡讀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欄＝基準情境）。修正一：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初版的範圍公式被讀成 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欄到 </t>
    </r>
    <r>
      <rPr>
        <sz val="11"/>
        <color theme="1"/>
        <rFont val="Calibri"/>
        <family val="2"/>
        <charset val="1"/>
      </rPr>
      <t xml:space="preserve">CF </t>
    </r>
    <r>
      <rPr>
        <sz val="11"/>
        <color theme="1"/>
        <rFont val="Noto Sans CJK SC"/>
        <family val="2"/>
      </rPr>
      <t xml:space="preserve">欄，誤加了 </t>
    </r>
    <r>
      <rPr>
        <sz val="11"/>
        <color theme="1"/>
        <rFont val="Calibri"/>
        <family val="2"/>
        <charset val="1"/>
      </rPr>
      <t xml:space="preserve">FY2032</t>
    </r>
  </si>
  <si>
    <r>
      <rPr>
        <sz val="11"/>
        <color theme="1"/>
        <rFont val="Noto Sans CJK SC"/>
        <family val="2"/>
      </rPr>
      <t xml:space="preserve">是否需要舉債或停止回購（</t>
    </r>
    <r>
      <rPr>
        <sz val="11"/>
        <color theme="1"/>
        <rFont val="Calibri"/>
        <family val="2"/>
        <charset val="1"/>
      </rPr>
      <t xml:space="preserve">FY2027–FY2031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</si>
  <si>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自由現金流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（參考）</t>
    </r>
  </si>
  <si>
    <r>
      <rPr>
        <sz val="11"/>
        <color theme="1"/>
        <rFont val="Noto Sans CJK SC"/>
        <family val="2"/>
      </rPr>
      <t xml:space="preserve">自由現金流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（參考）</t>
    </r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</si>
  <si>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（公司口徑，參考）</t>
    </r>
  </si>
  <si>
    <r>
      <rPr>
        <sz val="11"/>
        <color theme="1"/>
        <rFont val="Noto Sans CJK SC"/>
        <family val="2"/>
      </rPr>
      <t xml:space="preserve">回購合計 </t>
    </r>
    <r>
      <rPr>
        <sz val="11"/>
        <color theme="1"/>
        <rFont val="Calibri"/>
        <family val="2"/>
        <charset val="1"/>
      </rPr>
      <t xml:space="preserve">FY2027–FY2031</t>
    </r>
  </si>
  <si>
    <r>
      <rPr>
        <sz val="11"/>
        <color theme="1"/>
        <rFont val="Noto Sans CJK SC"/>
        <family val="2"/>
      </rPr>
      <t xml:space="preserve">新增舉債合計 </t>
    </r>
    <r>
      <rPr>
        <sz val="11"/>
        <color theme="1"/>
        <rFont val="Calibri"/>
        <family val="2"/>
        <charset val="1"/>
      </rPr>
      <t xml:space="preserve">FY2027–FY2031</t>
    </r>
  </si>
  <si>
    <t xml:space="preserve">檢查：收支關卡＝首年起五年自由現金流扣股利（逐欄加總）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</si>
  <si>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</si>
  <si>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折舊攤銷</t>
    </r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</si>
  <si>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＝公司 </t>
    </r>
    <r>
      <rPr>
        <sz val="11"/>
        <color theme="1"/>
        <rFont val="Calibri"/>
        <family val="2"/>
        <charset val="1"/>
      </rPr>
      <t xml:space="preserve">D&amp;A − AI </t>
    </r>
    <r>
      <rPr>
        <sz val="11"/>
        <color theme="1"/>
        <rFont val="Noto Sans CJK SC"/>
        <family val="2"/>
      </rPr>
      <t xml:space="preserve">折舊估計（</t>
    </r>
    <r>
      <rPr>
        <sz val="11"/>
        <color theme="1"/>
        <rFont val="Calibri"/>
        <family val="2"/>
        <charset val="1"/>
      </rPr>
      <t xml:space="preserve">C17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</si>
  <si>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其中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補足差額的折舊（非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遞減法：差額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年限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1 − 1</t>
    </r>
    <r>
      <rPr>
        <sz val="11"/>
        <color theme="1"/>
        <rFont val="Noto Sans CJK SC"/>
        <family val="2"/>
      </rPr>
      <t xml:space="preserve">／年限）</t>
    </r>
    <r>
      <rPr>
        <sz val="11"/>
        <color theme="1"/>
        <rFont val="Calibri"/>
        <family val="2"/>
        <charset val="1"/>
      </rPr>
      <t xml:space="preserve">^</t>
    </r>
    <r>
      <rPr>
        <sz val="11"/>
        <color theme="1"/>
        <rFont val="Noto Sans CJK SC"/>
        <family val="2"/>
      </rPr>
      <t xml:space="preserve">（年度 −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））</t>
    </r>
  </si>
  <si>
    <r>
      <rPr>
        <sz val="11"/>
        <color theme="1"/>
        <rFont val="Noto Sans CJK SC"/>
        <family val="2"/>
      </rPr>
      <t xml:space="preserve">修正三：核心利益率固定，補足差額的折舊須另由 </t>
    </r>
    <r>
      <rPr>
        <sz val="11"/>
        <color theme="1"/>
        <rFont val="Calibri"/>
        <family val="2"/>
        <charset val="1"/>
      </rPr>
      <t xml:space="preserve">Agents and Infra </t>
    </r>
    <r>
      <rPr>
        <sz val="11"/>
        <color theme="1"/>
        <rFont val="Noto Sans CJK SC"/>
        <family val="2"/>
      </rPr>
      <t xml:space="preserve">營業利益扣除</t>
    </r>
  </si>
  <si>
    <r>
      <rPr>
        <sz val="11"/>
        <color theme="1"/>
        <rFont val="Noto Sans CJK SC"/>
        <family val="2"/>
      </rPr>
      <t xml:space="preserve">折舊攤銷合計（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＋非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</si>
  <si>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股票薪酬（現金流量表加回；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視為現金成本）</t>
    </r>
  </si>
  <si>
    <r>
      <rPr>
        <sz val="11"/>
        <color theme="1"/>
        <rFont val="Noto Sans CJK SC"/>
        <family val="2"/>
      </rPr>
      <t xml:space="preserve">營運資金變動（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為第二至第四季）</t>
    </r>
  </si>
  <si>
    <r>
      <rPr>
        <sz val="11"/>
        <color theme="1"/>
        <rFont val="Calibri"/>
        <family val="2"/>
        <charset val="1"/>
      </rPr>
      <t xml:space="preserve">C14</t>
    </r>
    <r>
      <rPr>
        <sz val="11"/>
        <color theme="1"/>
        <rFont val="Noto Sans CJK SC"/>
        <family val="2"/>
      </rPr>
      <t xml:space="preserve">：首期＝上一年度同期實績（</t>
    </r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全年 − </t>
    </r>
    <r>
      <rPr>
        <sz val="11"/>
        <color theme="1"/>
        <rFont val="Calibri"/>
        <family val="2"/>
        <charset val="1"/>
      </rPr>
      <t xml:space="preserve">FY26Q1</t>
    </r>
    <r>
      <rPr>
        <sz val="11"/>
        <color theme="1"/>
        <rFont val="Noto Sans CJK SC"/>
        <family val="2"/>
      </rPr>
      <t xml:space="preserve">）；之後 </t>
    </r>
    <r>
      <rPr>
        <sz val="11"/>
        <color theme="1"/>
        <rFont val="Calibri"/>
        <family val="2"/>
        <charset val="1"/>
      </rPr>
      <t xml:space="preserve">wc_f</t>
    </r>
  </si>
  <si>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實績的營運資金與其他項目（營業現金流 − 淨利 − 折舊 − 股票薪酬）</t>
    </r>
  </si>
  <si>
    <r>
      <rPr>
        <sz val="11"/>
        <color theme="1"/>
        <rFont val="Noto Sans CJK SC"/>
        <family val="2"/>
      </rPr>
      <t xml:space="preserve">含遞延稅 </t>
    </r>
    <r>
      <rPr>
        <sz val="11"/>
        <color theme="1"/>
        <rFont val="Calibri"/>
        <family val="2"/>
        <charset val="1"/>
      </rPr>
      <t xml:space="preserve">+4.6</t>
    </r>
    <r>
      <rPr>
        <sz val="11"/>
        <color theme="1"/>
        <rFont val="Noto Sans CJK SC"/>
        <family val="2"/>
      </rPr>
      <t xml:space="preserve">、應收帳款回收等；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營業現金流＝全年淨利＋折舊＋股票薪酬＋本列＋第二至第四季營運資金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</si>
  <si>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Thesis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</si>
  <si>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資本支出（各線營收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比例）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</si>
  <si>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補足到公司指引下限的其他資本支出（不增 </t>
    </r>
    <r>
      <rPr>
        <sz val="11"/>
        <color theme="1"/>
        <rFont val="Calibri"/>
        <family val="2"/>
        <charset val="1"/>
      </rPr>
      <t xml:space="preserve">AI MW</t>
    </r>
    <r>
      <rPr>
        <sz val="11"/>
        <color theme="1"/>
        <rFont val="Noto Sans CJK SC"/>
        <family val="2"/>
      </rPr>
      <t xml:space="preserve">；非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遞減法每年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／年限折舊，折舊由 </t>
    </r>
    <r>
      <rPr>
        <sz val="11"/>
        <color theme="1"/>
        <rFont val="Calibri"/>
        <family val="2"/>
        <charset val="1"/>
      </rPr>
      <t xml:space="preserve">Agents and Infra </t>
    </r>
    <r>
      <rPr>
        <sz val="11"/>
        <color theme="1"/>
        <rFont val="Noto Sans CJK SC"/>
        <family val="2"/>
      </rPr>
      <t xml:space="preserve">營業利益扣除）</t>
    </r>
  </si>
  <si>
    <r>
      <rPr>
        <sz val="11"/>
        <color theme="1"/>
        <rFont val="Noto Sans CJK SC"/>
        <family val="2"/>
      </rPr>
      <t xml:space="preserve">修正二：補足差額不再當 </t>
    </r>
    <r>
      <rPr>
        <sz val="11"/>
        <color theme="1"/>
        <rFont val="Calibri"/>
        <family val="2"/>
        <charset val="1"/>
      </rPr>
      <t xml:space="preserve">AI 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修正一有折舊卻無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與收入）；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公司口徑 </t>
    </r>
    <r>
      <rPr>
        <sz val="11"/>
        <color theme="1"/>
        <rFont val="Calibri"/>
        <family val="2"/>
        <charset val="1"/>
      </rPr>
      <t xml:space="preserve">145.3 </t>
    </r>
    <r>
      <rPr>
        <sz val="11"/>
        <color theme="1"/>
        <rFont val="Noto Sans CJK SC"/>
        <family val="2"/>
      </rPr>
      <t xml:space="preserve">比模型估計 </t>
    </r>
    <r>
      <rPr>
        <sz val="11"/>
        <color theme="1"/>
        <rFont val="Calibri"/>
        <family val="2"/>
        <charset val="1"/>
      </rPr>
      <t xml:space="preserve">116.4 </t>
    </r>
    <r>
      <rPr>
        <sz val="11"/>
        <color theme="1"/>
        <rFont val="Noto Sans CJK SC"/>
        <family val="2"/>
      </rPr>
      <t xml:space="preserve">多 </t>
    </r>
    <r>
      <rPr>
        <sz val="11"/>
        <color theme="1"/>
        <rFont val="Calibri"/>
        <family val="2"/>
        <charset val="1"/>
      </rPr>
      <t xml:space="preserve">28.9</t>
    </r>
    <r>
      <rPr>
        <sz val="11"/>
        <color theme="1"/>
        <rFont val="Noto Sans CJK SC"/>
        <family val="2"/>
      </rPr>
      <t xml:space="preserve">，推定含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以外的資料中心與未拆分項目</t>
    </r>
  </si>
  <si>
    <t xml:space="preserve">資本支出合計（公司口徑，含融資租賃）</t>
  </si>
  <si>
    <r>
      <rPr>
        <sz val="11"/>
        <color theme="1"/>
        <rFont val="Noto Sans CJK SC"/>
        <family val="2"/>
      </rPr>
      <t xml:space="preserve">新的融資租賃在取得時視同現金（偏保守，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口徑）；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為公司法說值</t>
    </r>
  </si>
  <si>
    <t xml:space="preserve">在帳融資租賃負債（年底）</t>
  </si>
  <si>
    <t xml:space="preserve">在帳融資租賃本金（付款 − 利息）</t>
  </si>
  <si>
    <t xml:space="preserve">自由現金流（財報現金：營業現金流 − 資本支出 − 融資租賃本金）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</si>
  <si>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為實績（現金資本支出口徑）；收支關卡用此列（不含影子效益）</t>
    </r>
  </si>
  <si>
    <t xml:space="preserve">每股股利</t>
  </si>
  <si>
    <t xml:space="preserve">股利</t>
  </si>
  <si>
    <r>
      <rPr>
        <sz val="11"/>
        <color theme="1"/>
        <rFont val="Noto Sans CJK SC"/>
        <family val="2"/>
      </rPr>
      <t xml:space="preserve">每股股利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期初流通股數（避免與回購循環）</t>
    </r>
  </si>
  <si>
    <t xml:space="preserve">自由現金流扣股利</t>
  </si>
  <si>
    <t xml:space="preserve">債務到期償還</t>
  </si>
  <si>
    <t xml:space="preserve">回購（現金不足時先減）</t>
  </si>
  <si>
    <t xml:space="preserve">新增舉債（維持最低現金）</t>
  </si>
  <si>
    <t xml:space="preserve">現金與短期投資（年底）</t>
  </si>
  <si>
    <t xml:space="preserve">債務（年底，面額）</t>
  </si>
  <si>
    <t xml:space="preserve">淨現金（不含租賃）</t>
  </si>
  <si>
    <t xml:space="preserve">回購均價</t>
  </si>
  <si>
    <t xml:space="preserve">流通股數（年底）</t>
  </si>
  <si>
    <t xml:space="preserve">稀釋加權股數</t>
  </si>
  <si>
    <r>
      <rPr>
        <sz val="11"/>
        <color theme="1"/>
        <rFont val="Noto Sans CJK SC"/>
        <family val="2"/>
      </rPr>
      <t xml:space="preserve">自由現金流扣股利（</t>
    </r>
    <r>
      <rPr>
        <sz val="11"/>
        <color theme="1"/>
        <rFont val="Calibri"/>
        <family val="2"/>
        <charset val="1"/>
      </rPr>
      <t xml:space="preserve">FY2027–FY2031 </t>
    </r>
    <r>
      <rPr>
        <sz val="11"/>
        <color theme="1"/>
        <rFont val="Noto Sans CJK SC"/>
        <family val="2"/>
      </rPr>
      <t xml:space="preserve">合計，本情境）</t>
    </r>
  </si>
  <si>
    <t xml:space="preserve">文字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</si>
  <si>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</si>
  <si>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</si>
  <si>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Val — </t>
    </r>
    <r>
      <rPr>
        <sz val="11"/>
        <color theme="1"/>
        <rFont val="Noto Sans CJK SC"/>
        <family val="2"/>
      </rPr>
      <t xml:space="preserve">目標價（約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個月後，</t>
    </r>
    <r>
      <rPr>
        <sz val="11"/>
        <color theme="1"/>
        <rFont val="Calibri"/>
        <family val="2"/>
        <charset val="1"/>
      </rPr>
      <t xml:space="preserve">2027-10-29</t>
    </r>
    <r>
      <rPr>
        <sz val="11"/>
        <color theme="1"/>
        <rFont val="Noto Sans CJK SC"/>
        <family val="2"/>
      </rPr>
      <t xml:space="preserve">；評價日 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）＝</t>
    </r>
    <r>
      <rPr>
        <sz val="11"/>
        <color theme="1"/>
        <rFont val="Calibri"/>
        <family val="2"/>
        <charset val="1"/>
      </rPr>
      <t xml:space="preserve">DCF 50%</t>
    </r>
    <r>
      <rPr>
        <sz val="11"/>
        <color theme="1"/>
        <rFont val="Noto Sans CJK SC"/>
        <family val="2"/>
      </rPr>
      <t xml:space="preserve">＋分部加總 </t>
    </r>
    <r>
      <rPr>
        <sz val="11"/>
        <color theme="1"/>
        <rFont val="Calibri"/>
        <family val="2"/>
        <charset val="1"/>
      </rPr>
      <t xml:space="preserve">SOTP 50%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在分部層做）；情境權重 </t>
    </r>
    <r>
      <rPr>
        <sz val="11"/>
        <color theme="1"/>
        <rFont val="Calibri"/>
        <family val="2"/>
        <charset val="1"/>
      </rPr>
      <t xml:space="preserve">A 25%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50%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25%</t>
    </r>
    <r>
      <rPr>
        <sz val="11"/>
        <color theme="1"/>
        <rFont val="Noto Sans CJK SC"/>
        <family val="2"/>
      </rPr>
      <t xml:space="preserve">（皆 </t>
    </r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判斷</t>
    </r>
    <r>
      <rPr>
        <sz val="11"/>
        <color theme="1"/>
        <rFont val="Calibri"/>
        <family val="2"/>
        <charset val="1"/>
      </rPr>
      <t xml:space="preserve">] </t>
    </r>
    <r>
      <rPr>
        <sz val="11"/>
        <color theme="1"/>
        <rFont val="Noto Sans CJK SC"/>
        <family val="2"/>
      </rPr>
      <t xml:space="preserve">預設，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可改，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頁黃底）。主值＝讀法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（自用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價值中性），讀法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並列</t>
    </r>
  </si>
  <si>
    <r>
      <rPr>
        <sz val="11"/>
        <color theme="1"/>
        <rFont val="Noto Sans CJK SC"/>
        <family val="2"/>
      </rPr>
      <t xml:space="preserve">口徑（修正一）：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的自由現金流扣股票薪酬（視為現金成本）、加自用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影子效益（稅後），在帳融資租賃負債自權益橋扣除，推到目標價時點後扣期間股利；</t>
    </r>
    <r>
      <rPr>
        <sz val="11"/>
        <color theme="1"/>
        <rFont val="Calibri"/>
        <family val="2"/>
        <charset val="1"/>
      </rPr>
      <t xml:space="preserve">SOTP </t>
    </r>
    <r>
      <rPr>
        <sz val="11"/>
        <color theme="1"/>
        <rFont val="Noto Sans CJK SC"/>
        <family val="2"/>
      </rPr>
      <t xml:space="preserve">的產品線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為股票薪酬加回口徑（與同業倍數同口徑），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基礎設施模組以自身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（含資本支出與汰換）計價，同業倍數版列對照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</si>
  <si>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</si>
  <si>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（評價用自由現金流折現；</t>
    </r>
    <r>
      <rPr>
        <b val="true"/>
        <sz val="11"/>
        <rFont val="Cambria"/>
        <family val="0"/>
        <charset val="1"/>
      </rPr>
      <t xml:space="preserve">WACC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Blume β</t>
    </r>
    <r>
      <rPr>
        <b val="true"/>
        <sz val="11"/>
        <rFont val="Noto Sans CJK SC"/>
        <family val="2"/>
      </rPr>
      <t xml:space="preserve">、約 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年期 </t>
    </r>
    <r>
      <rPr>
        <b val="true"/>
        <sz val="11"/>
        <rFont val="Cambria"/>
        <family val="0"/>
        <charset val="1"/>
      </rPr>
      <t xml:space="preserve">kd</t>
    </r>
    <r>
      <rPr>
        <b val="true"/>
        <sz val="11"/>
        <rFont val="Noto Sans CJK SC"/>
        <family val="2"/>
      </rPr>
      <t xml:space="preserve">、負債含融資租賃；</t>
    </r>
    <r>
      <rPr>
        <b val="true"/>
        <sz val="11"/>
        <rFont val="Cambria"/>
        <family val="0"/>
        <charset val="1"/>
      </rPr>
      <t xml:space="preserve">g 3%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</si>
  <si>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企業價值（評價日 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</si>
  <si>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只計第二至第四季</t>
    </r>
  </si>
  <si>
    <t xml:space="preserve">永續價值占比</t>
  </si>
  <si>
    <r>
      <rPr>
        <sz val="11"/>
        <color theme="1"/>
        <rFont val="Noto Sans CJK SC"/>
        <family val="2"/>
      </rPr>
      <t xml:space="preserve">永續價值現值 </t>
    </r>
    <r>
      <rPr>
        <sz val="11"/>
        <color theme="1"/>
        <rFont val="Calibri"/>
        <family val="2"/>
        <charset val="1"/>
      </rPr>
      <t xml:space="preserve">÷ EV</t>
    </r>
  </si>
  <si>
    <r>
      <rPr>
        <sz val="11"/>
        <color theme="1"/>
        <rFont val="Noto Sans CJK SC"/>
        <family val="2"/>
      </rPr>
      <t xml:space="preserve">加：淨現金（評價日 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</si>
  <si>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現金與短期投資 </t>
    </r>
    <r>
      <rPr>
        <sz val="11"/>
        <color theme="1"/>
        <rFont val="Calibri"/>
        <family val="2"/>
        <charset val="1"/>
      </rPr>
      <t xml:space="preserve">64.509 − </t>
    </r>
    <r>
      <rPr>
        <sz val="11"/>
        <color theme="1"/>
        <rFont val="Noto Sans CJK SC"/>
        <family val="2"/>
      </rPr>
      <t xml:space="preserve">債務面額 </t>
    </r>
    <r>
      <rPr>
        <sz val="11"/>
        <color theme="1"/>
        <rFont val="Calibri"/>
        <family val="2"/>
        <charset val="1"/>
      </rPr>
      <t xml:space="preserve">41.269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</si>
  <si>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減：在帳融資租賃負債（評價日 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</si>
  <si>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修正一 </t>
    </r>
    <r>
      <rPr>
        <sz val="11"/>
        <color theme="1"/>
        <rFont val="Calibri"/>
        <family val="2"/>
        <charset val="1"/>
      </rPr>
      <t xml:space="preserve">F6</t>
    </r>
    <r>
      <rPr>
        <sz val="11"/>
        <color theme="1"/>
        <rFont val="Noto Sans CJK SC"/>
        <family val="2"/>
      </rPr>
      <t xml:space="preserve">：融資租賃列入淨負債；</t>
    </r>
    <r>
      <rPr>
        <sz val="11"/>
        <color theme="1"/>
        <rFont val="Calibri"/>
        <family val="2"/>
        <charset val="1"/>
      </rPr>
      <t xml:space="preserve">10-Q 70.973</t>
    </r>
    <r>
      <rPr>
        <sz val="11"/>
        <color theme="1"/>
        <rFont val="Noto Sans CJK SC"/>
        <family val="2"/>
      </rPr>
      <t xml:space="preserve">（含本季新起租）</t>
    </r>
  </si>
  <si>
    <r>
      <rPr>
        <sz val="11"/>
        <color theme="1"/>
        <rFont val="Noto Sans CJK SC"/>
        <family val="2"/>
      </rPr>
      <t xml:space="preserve">加：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持股（比例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估值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流動性折價））</t>
    </r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</si>
  <si>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Noto Sans CJK SC"/>
        <family val="2"/>
      </rPr>
      <t xml:space="preserve">比例未揭露，不估值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</si>
  <si>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每股價值（評價日）</t>
    </r>
  </si>
  <si>
    <r>
      <rPr>
        <sz val="11"/>
        <color theme="1"/>
        <rFont val="Calibri"/>
        <family val="2"/>
        <charset val="1"/>
      </rPr>
      <t xml:space="preserve">÷ FY27Q1 </t>
    </r>
    <r>
      <rPr>
        <sz val="11"/>
        <color theme="1"/>
        <rFont val="Noto Sans CJK SC"/>
        <family val="2"/>
      </rPr>
      <t xml:space="preserve">稀釋加權股數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</si>
  <si>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^t − </t>
    </r>
    <r>
      <rPr>
        <sz val="11"/>
        <color theme="1"/>
        <rFont val="Noto Sans CJK SC"/>
        <family val="2"/>
      </rPr>
      <t xml:space="preserve">期間股利）</t>
    </r>
  </si>
  <si>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2026-09-30 → 2027-10-29</t>
    </r>
    <r>
      <rPr>
        <sz val="11"/>
        <color theme="1"/>
        <rFont val="Noto Sans CJK SC"/>
        <family val="2"/>
      </rPr>
      <t xml:space="preserve">；扣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第二至第四季與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第一季股利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</si>
  <si>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</si>
  <si>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</t>
    </r>
  </si>
  <si>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／永續成長率</t>
    </r>
  </si>
  <si>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頁（</t>
    </r>
    <r>
      <rPr>
        <sz val="11"/>
        <color theme="1"/>
        <rFont val="Calibri"/>
        <family val="2"/>
        <charset val="1"/>
      </rPr>
      <t xml:space="preserve">CAPM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Blume β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</si>
  <si>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</t>
    </r>
    <r>
      <rPr>
        <b val="true"/>
        <sz val="11"/>
        <rFont val="Noto Sans CJK SC"/>
        <family val="2"/>
      </rPr>
      <t xml:space="preserve">分部加總（</t>
    </r>
    <r>
      <rPr>
        <b val="true"/>
        <sz val="11"/>
        <rFont val="Cambria"/>
        <family val="0"/>
        <charset val="1"/>
      </rPr>
      <t xml:space="preserve">SOTP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在分部層做：非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產品線＝目標價時點 </t>
    </r>
    <r>
      <rPr>
        <b val="true"/>
        <sz val="11"/>
        <rFont val="Cambria"/>
        <family val="0"/>
        <charset val="1"/>
      </rPr>
      <t xml:space="preserve">NTM EBITDA × </t>
    </r>
    <r>
      <rPr>
        <b val="true"/>
        <sz val="11"/>
        <rFont val="Noto Sans CJK SC"/>
        <family val="2"/>
      </rPr>
      <t xml:space="preserve">同業 </t>
    </r>
    <r>
      <rPr>
        <b val="true"/>
        <sz val="11"/>
        <rFont val="Cambria"/>
        <family val="0"/>
        <charset val="1"/>
      </rPr>
      <t xml:space="preserve">NTM EV/EBITDA </t>
    </r>
    <r>
      <rPr>
        <b val="true"/>
        <sz val="11"/>
        <rFont val="Noto Sans CJK SC"/>
        <family val="2"/>
      </rPr>
      <t xml:space="preserve">中位數；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基礎設施＝模組 </t>
    </r>
    <r>
      <rPr>
        <b val="true"/>
        <sz val="11"/>
        <rFont val="Cambria"/>
        <family val="0"/>
        <charset val="1"/>
      </rPr>
      <t xml:space="preserve">DCF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</si>
  <si>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倍數（</t>
    </r>
    <r>
      <rPr>
        <b val="true"/>
        <sz val="11"/>
        <rFont val="Cambria"/>
        <family val="0"/>
        <charset val="1"/>
      </rPr>
      <t xml:space="preserve">x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</si>
  <si>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基礎設施模組（</t>
    </r>
    <r>
      <rPr>
        <sz val="11"/>
        <color theme="1"/>
        <rFont val="Calibri"/>
        <family val="2"/>
        <charset val="1"/>
      </rPr>
      <t xml:space="preserve">Azure AI</t>
    </r>
    <r>
      <rPr>
        <sz val="11"/>
        <color theme="1"/>
        <rFont val="Noto Sans CJK SC"/>
        <family val="2"/>
      </rPr>
      <t xml:space="preserve">＋自用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；模組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</si>
  <si>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其他（非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雲端同業）</t>
    </r>
  </si>
  <si>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Microsoft 365 cloud</t>
    </r>
    <r>
      <rPr>
        <sz val="11"/>
        <color theme="1"/>
        <rFont val="Noto Sans CJK SC"/>
        <family val="2"/>
      </rPr>
      <t xml:space="preserve">（企業軟體同業）</t>
    </r>
  </si>
  <si>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Productivity and server licensing</t>
    </r>
    <r>
      <rPr>
        <sz val="11"/>
        <color theme="1"/>
        <rFont val="Noto Sans CJK SC"/>
        <family val="2"/>
      </rPr>
      <t xml:space="preserve">（企業軟體）</t>
    </r>
  </si>
  <si>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Industry solutions</t>
    </r>
    <r>
      <rPr>
        <sz val="11"/>
        <color theme="1"/>
        <rFont val="Noto Sans CJK SC"/>
        <family val="2"/>
      </rPr>
      <t xml:space="preserve">（企業軟體）</t>
    </r>
  </si>
  <si>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Frontier and support services</t>
    </r>
    <r>
      <rPr>
        <sz val="11"/>
        <color theme="1"/>
        <rFont val="Noto Sans CJK SC"/>
        <family val="2"/>
      </rPr>
      <t xml:space="preserve">（企業軟體）</t>
    </r>
  </si>
  <si>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Search and advertising</t>
    </r>
    <r>
      <rPr>
        <sz val="11"/>
        <color theme="1"/>
        <rFont val="Noto Sans CJK SC"/>
        <family val="2"/>
      </rPr>
      <t xml:space="preserve">（數位廣告同業）</t>
    </r>
  </si>
  <si>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XBOX</t>
    </r>
    <r>
      <rPr>
        <sz val="11"/>
        <color theme="1"/>
        <rFont val="Noto Sans CJK SC"/>
        <family val="2"/>
      </rPr>
      <t xml:space="preserve">（遊戲同業）</t>
    </r>
  </si>
  <si>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Windows OEM and devices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／裝置同業）</t>
    </r>
  </si>
  <si>
    <r>
      <rPr>
        <sz val="11"/>
        <color theme="1"/>
        <rFont val="Noto Sans CJK SC"/>
        <family val="2"/>
      </rPr>
      <t xml:space="preserve">分部加總 </t>
    </r>
    <r>
      <rPr>
        <sz val="11"/>
        <color theme="1"/>
        <rFont val="Calibri"/>
        <family val="2"/>
        <charset val="1"/>
      </rPr>
      <t xml:space="preserve">EV</t>
    </r>
  </si>
  <si>
    <r>
      <rPr>
        <sz val="11"/>
        <color theme="1"/>
        <rFont val="Noto Sans CJK SC"/>
        <family val="2"/>
      </rPr>
      <t xml:space="preserve">加：淨現金（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年底）＋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持股 − 在帳融資租賃負債＋期間非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自由現金流</t>
    </r>
  </si>
  <si>
    <r>
      <rPr>
        <sz val="11"/>
        <color theme="1"/>
        <rFont val="Noto Sans CJK SC"/>
        <family val="2"/>
      </rPr>
      <t xml:space="preserve">期間＝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 → 目標價時點（修正三）</t>
    </r>
  </si>
  <si>
    <t xml:space="preserve">分部加總每股價值（目標價時點）</t>
  </si>
  <si>
    <r>
      <rPr>
        <sz val="11"/>
        <color theme="1"/>
        <rFont val="Calibri"/>
        <family val="2"/>
        <charset val="1"/>
      </rPr>
      <t xml:space="preserve">÷ FY2027 </t>
    </r>
    <r>
      <rPr>
        <sz val="11"/>
        <color theme="1"/>
        <rFont val="Noto Sans CJK SC"/>
        <family val="2"/>
      </rPr>
      <t xml:space="preserve">年底稀釋股數；扣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第一季股利（修正二）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</si>
  <si>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</si>
  <si>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r>
      <rPr>
        <sz val="11"/>
        <color theme="1"/>
        <rFont val="Noto Sans CJK SC"/>
        <family val="2"/>
      </rPr>
      <t xml:space="preserve">＝分部加總（</t>
    </r>
    <r>
      <rPr>
        <sz val="11"/>
        <color theme="1"/>
        <rFont val="Calibri"/>
        <family val="2"/>
        <charset val="1"/>
      </rPr>
      <t xml:space="preserve">SOTP</t>
    </r>
    <r>
      <rPr>
        <sz val="11"/>
        <color theme="1"/>
        <rFont val="Noto Sans CJK SC"/>
        <family val="2"/>
      </rPr>
      <t xml:space="preserve">）情境加權；同業倍數見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節與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欄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</si>
  <si>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Azure AI </t>
    </r>
    <r>
      <rPr>
        <sz val="11"/>
        <color theme="1"/>
        <rFont val="Noto Sans CJK SC"/>
        <family val="2"/>
      </rPr>
      <t xml:space="preserve">以同業倍數計（</t>
    </r>
    <r>
      <rPr>
        <sz val="11"/>
        <color theme="1"/>
        <rFont val="Calibri"/>
        <family val="2"/>
        <charset val="1"/>
      </rPr>
      <t xml:space="preserve">NTM EBITDA × 6×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初版口徑）</t>
    </r>
  </si>
  <si>
    <r>
      <rPr>
        <sz val="11"/>
        <color theme="1"/>
        <rFont val="Calibri"/>
        <family val="2"/>
        <charset val="1"/>
      </rPr>
      <t xml:space="preserve">F3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腿不再用 </t>
    </r>
    <r>
      <rPr>
        <sz val="11"/>
        <color theme="1"/>
        <rFont val="Calibri"/>
        <family val="2"/>
        <charset val="1"/>
      </rPr>
      <t xml:space="preserve">EBITDA × </t>
    </r>
    <r>
      <rPr>
        <sz val="11"/>
        <color theme="1"/>
        <rFont val="Noto Sans CJK SC"/>
        <family val="2"/>
      </rPr>
      <t xml:space="preserve">倍數（忽略資本密集度）；差額見報告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</si>
  <si>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</si>
  <si>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</si>
  <si>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t xml:space="preserve">對照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</si>
  <si>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</si>
  <si>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w_dcf × DCF 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分部加總；</t>
    </r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判斷</t>
    </r>
    <r>
      <rPr>
        <sz val="11"/>
        <color theme="1"/>
        <rFont val="Calibri"/>
        <family val="2"/>
        <charset val="1"/>
      </rPr>
      <t xml:space="preserve">]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；主值＝讀法 </t>
    </r>
    <r>
      <rPr>
        <sz val="11"/>
        <color theme="1"/>
        <rFont val="Calibri"/>
        <family val="2"/>
        <charset val="1"/>
      </rPr>
      <t xml:space="preserve">2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</si>
  <si>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</si>
  <si>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S&amp;P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57 </t>
    </r>
    <r>
      <rPr>
        <sz val="11"/>
        <color theme="1"/>
        <rFont val="Noto Sans CJK SC"/>
        <family val="2"/>
      </rPr>
      <t xml:space="preserve">位平均；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＝最低、最高（</t>
    </r>
    <r>
      <rPr>
        <sz val="11"/>
        <color theme="1"/>
        <rFont val="Calibri"/>
        <family val="2"/>
        <charset val="1"/>
      </rPr>
      <t xml:space="preserve">2026-10-27</t>
    </r>
    <r>
      <rPr>
        <sz val="11"/>
        <color theme="1"/>
        <rFont val="Noto Sans CJK SC"/>
        <family val="2"/>
      </rPr>
      <t xml:space="preserve">；財報後調整未反映）；</t>
    </r>
    <r>
      <rPr>
        <sz val="11"/>
        <color theme="1"/>
        <rFont val="Calibri"/>
        <family val="2"/>
        <charset val="1"/>
      </rPr>
      <t xml:space="preserve">MarketBeat 49 </t>
    </r>
    <r>
      <rPr>
        <sz val="11"/>
        <color theme="1"/>
        <rFont val="Noto Sans CJK SC"/>
        <family val="2"/>
      </rPr>
      <t xml:space="preserve">位 </t>
    </r>
    <r>
      <rPr>
        <sz val="11"/>
        <color theme="1"/>
        <rFont val="Calibri"/>
        <family val="2"/>
        <charset val="1"/>
      </rPr>
      <t xml:space="preserve">596.07</t>
    </r>
  </si>
  <si>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247wallst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531.01</t>
    </r>
    <r>
      <rPr>
        <sz val="11"/>
        <color theme="1"/>
        <rFont val="Noto Sans CJK SC"/>
        <family val="2"/>
      </rPr>
      <t xml:space="preserve">；財報後盤後 </t>
    </r>
    <r>
      <rPr>
        <sz val="11"/>
        <color theme="1"/>
        <rFont val="Calibri"/>
        <family val="2"/>
        <charset val="1"/>
      </rPr>
      <t xml:space="preserve">544.93 </t>
    </r>
    <r>
      <rPr>
        <sz val="11"/>
        <color theme="1"/>
        <rFont val="Noto Sans CJK SC"/>
        <family val="2"/>
      </rPr>
      <t xml:space="preserve">不採用）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</si>
  <si>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</si>
  <si>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目標價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</si>
  <si>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</si>
  <si>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</si>
  <si>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</si>
  <si>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</si>
  <si>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五級固定規則：≥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放空、≤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</si>
  <si>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r>
      <rPr>
        <sz val="11"/>
        <color theme="1"/>
        <rFont val="Noto Sans CJK SC"/>
        <family val="2"/>
      </rPr>
      <t xml:space="preserve">情境目標價（</t>
    </r>
    <r>
      <rPr>
        <sz val="11"/>
        <color theme="1"/>
        <rFont val="Calibri"/>
        <family val="2"/>
        <charset val="1"/>
      </rPr>
      <t xml:space="preserve">DCF 50%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SOTP 50%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</si>
  <si>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</si>
  <si>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上檔空間：情境目標價</t>
  </si>
  <si>
    <r>
      <rPr>
        <sz val="11"/>
        <color theme="1"/>
        <rFont val="Noto Sans CJK SC"/>
        <family val="2"/>
      </rPr>
      <t xml:space="preserve">投資建議（基準情境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，參考）</t>
    </r>
  </si>
  <si>
    <t xml:space="preserve">地圖與評等用加權目標價</t>
  </si>
  <si>
    <r>
      <rPr>
        <sz val="11"/>
        <color theme="1"/>
        <rFont val="Noto Sans CJK SC"/>
        <family val="2"/>
      </rPr>
      <t xml:space="preserve">目標價（讀法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只計成本；敏感度）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</si>
  <si>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頁「讀法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」案例（三情境全部重算）</t>
    </r>
  </si>
  <si>
    <r>
      <rPr>
        <sz val="11"/>
        <color theme="1"/>
        <rFont val="Noto Sans CJK SC"/>
        <family val="2"/>
      </rPr>
      <t xml:space="preserve">上檔空間（讀法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</si>
  <si>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投資建議（讀法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</si>
  <si>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悲觀情境價（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</si>
  <si>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工作單：悲觀情境價＝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DCF</t>
    </r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</si>
  <si>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</si>
  <si>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（皆推到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</si>
  <si>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</si>
  <si>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；評價口徑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</si>
  <si>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加權目標價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（基準）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</si>
  <si>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</si>
  <si>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：評價用自由現金流（營業現金流 − 股票薪酬 − 公司口徑資本支出＋自用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影子效益稅後），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CAPM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rf 5.00%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，沿用 </t>
    </r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Blume β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ERP 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kd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rf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年期 </t>
    </r>
    <r>
      <rPr>
        <sz val="11"/>
        <color theme="1"/>
        <rFont val="Calibri"/>
        <family val="2"/>
        <charset val="1"/>
      </rPr>
      <t xml:space="preserve">AAA </t>
    </r>
    <r>
      <rPr>
        <sz val="11"/>
        <color theme="1"/>
        <rFont val="Noto Sans CJK SC"/>
        <family val="2"/>
      </rPr>
      <t xml:space="preserve">利差；負債含融資租賃），</t>
    </r>
    <r>
      <rPr>
        <sz val="11"/>
        <color theme="1"/>
        <rFont val="Calibri"/>
        <family val="2"/>
        <charset val="1"/>
      </rPr>
      <t xml:space="preserve">FY2027–FY2032 </t>
    </r>
    <r>
      <rPr>
        <sz val="11"/>
        <color theme="1"/>
        <rFont val="Noto Sans CJK SC"/>
        <family val="2"/>
      </rPr>
      <t xml:space="preserve">明確期（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後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新增速度收斂），永續期 </t>
    </r>
    <r>
      <rPr>
        <sz val="11"/>
        <color theme="1"/>
        <rFont val="Calibri"/>
        <family val="2"/>
        <charset val="1"/>
      </rPr>
      <t xml:space="preserve">NOPAT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 ÷ WACC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WACC − g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g 3%</t>
    </r>
    <r>
      <rPr>
        <sz val="11"/>
        <color theme="1"/>
        <rFont val="Noto Sans CJK SC"/>
        <family val="2"/>
      </rPr>
      <t xml:space="preserve">；評價日 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只計第二至第四季），以 </t>
    </r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Noto Sans CJK SC"/>
        <family val="2"/>
      </rPr>
      <t xml:space="preserve">推到 </t>
    </r>
    <r>
      <rPr>
        <sz val="11"/>
        <color theme="1"/>
        <rFont val="Calibri"/>
        <family val="2"/>
        <charset val="1"/>
      </rPr>
      <t xml:space="preserve">2027-10-29 </t>
    </r>
    <r>
      <rPr>
        <sz val="11"/>
        <color theme="1"/>
        <rFont val="Noto Sans CJK SC"/>
        <family val="2"/>
      </rPr>
      <t xml:space="preserve">並扣期間股利。</t>
    </r>
    <r>
      <rPr>
        <sz val="11"/>
        <color theme="1"/>
        <rFont val="Calibri"/>
        <family val="2"/>
        <charset val="1"/>
      </rPr>
      <t xml:space="preserve">SOTP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基礎設施模組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13.82×</t>
    </r>
    <r>
      <rPr>
        <sz val="11"/>
        <color theme="1"/>
        <rFont val="Noto Sans CJK SC"/>
        <family val="2"/>
      </rPr>
      <t xml:space="preserve">（非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雲端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家）、</t>
    </r>
    <r>
      <rPr>
        <sz val="11"/>
        <color theme="1"/>
        <rFont val="Calibri"/>
        <family val="2"/>
        <charset val="1"/>
      </rPr>
      <t xml:space="preserve">M365 cloud</t>
    </r>
    <r>
      <rPr>
        <sz val="11"/>
        <color theme="1"/>
        <rFont val="Noto Sans CJK SC"/>
        <family val="2"/>
      </rPr>
      <t xml:space="preserve">／授權／產業／</t>
    </r>
    <r>
      <rPr>
        <sz val="11"/>
        <color theme="1"/>
        <rFont val="Calibri"/>
        <family val="2"/>
        <charset val="1"/>
      </rPr>
      <t xml:space="preserve">Frontier 10.8×</t>
    </r>
    <r>
      <rPr>
        <sz val="11"/>
        <color theme="1"/>
        <rFont val="Noto Sans CJK SC"/>
        <family val="2"/>
      </rPr>
      <t xml:space="preserve">（企業軟體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家，不含 </t>
    </r>
    <r>
      <rPr>
        <sz val="11"/>
        <color theme="1"/>
        <rFont val="Calibri"/>
        <family val="2"/>
        <charset val="1"/>
      </rPr>
      <t xml:space="preserve">MSFT</t>
    </r>
    <r>
      <rPr>
        <sz val="11"/>
        <color theme="1"/>
        <rFont val="Noto Sans CJK SC"/>
        <family val="2"/>
      </rPr>
      <t xml:space="preserve">）、搜尋與廣告 </t>
    </r>
    <r>
      <rPr>
        <sz val="11"/>
        <color theme="1"/>
        <rFont val="Calibri"/>
        <family val="2"/>
        <charset val="1"/>
      </rPr>
      <t xml:space="preserve">9.11×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家）、</t>
    </r>
    <r>
      <rPr>
        <sz val="11"/>
        <color theme="1"/>
        <rFont val="Calibri"/>
        <family val="2"/>
        <charset val="1"/>
      </rPr>
      <t xml:space="preserve">XBOX 12.63×</t>
    </r>
    <r>
      <rPr>
        <sz val="11"/>
        <color theme="1"/>
        <rFont val="Noto Sans CJK SC"/>
        <family val="2"/>
      </rPr>
      <t xml:space="preserve">（遊戲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家 </t>
    </r>
    <r>
      <rPr>
        <sz val="11"/>
        <color theme="1"/>
        <rFont val="Calibri"/>
        <family val="2"/>
        <charset val="1"/>
      </rPr>
      <t xml:space="preserve">TTM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Windows 14.47×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PC 3 </t>
    </r>
    <r>
      <rPr>
        <sz val="11"/>
        <color theme="1"/>
        <rFont val="Noto Sans CJK SC"/>
        <family val="2"/>
      </rPr>
      <t xml:space="preserve">家 </t>
    </r>
    <r>
      <rPr>
        <sz val="11"/>
        <color theme="1"/>
        <rFont val="Calibri"/>
        <family val="2"/>
        <charset val="1"/>
      </rPr>
      <t xml:space="preserve">TTM</t>
    </r>
    <r>
      <rPr>
        <sz val="11"/>
        <color theme="1"/>
        <rFont val="Noto Sans CJK SC"/>
        <family val="2"/>
      </rPr>
      <t xml:space="preserve">），乘目標價時點 </t>
    </r>
    <r>
      <rPr>
        <sz val="11"/>
        <color theme="1"/>
        <rFont val="Calibri"/>
        <family val="2"/>
        <charset val="1"/>
      </rPr>
      <t xml:space="preserve">NTM EBITDA</t>
    </r>
    <r>
      <rPr>
        <sz val="11"/>
        <color theme="1"/>
        <rFont val="Noto Sans CJK SC"/>
        <family val="2"/>
      </rPr>
      <t xml:space="preserve">（股票薪酬加回）；加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年底淨現金、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年底到目標價時點的非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自由現金流與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持股（</t>
    </r>
    <r>
      <rPr>
        <sz val="11"/>
        <color theme="1"/>
        <rFont val="Calibri"/>
        <family val="2"/>
        <charset val="1"/>
      </rPr>
      <t xml:space="preserve">24% × 852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1 − 20%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10-Q FY27Q1</t>
    </r>
    <r>
      <rPr>
        <sz val="11"/>
        <color theme="1"/>
        <rFont val="Noto Sans CJK SC"/>
        <family val="2"/>
      </rPr>
      <t xml:space="preserve">）、減在帳融資租賃負債。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</si>
  <si>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各情境評價明細（引擎輸出；列 </t>
    </r>
    <r>
      <rPr>
        <b val="true"/>
        <sz val="11"/>
        <rFont val="Cambria"/>
        <family val="0"/>
        <charset val="1"/>
      </rPr>
      <t xml:space="preserve">70 </t>
    </r>
    <r>
      <rPr>
        <b val="true"/>
        <sz val="11"/>
        <rFont val="Noto Sans CJK SC"/>
        <family val="2"/>
      </rPr>
      <t xml:space="preserve">起）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</si>
  <si>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</si>
  <si>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t xml:space="preserve">折現年數（期中，自評價日）</t>
  </si>
  <si>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：評價日後剩餘期間的中點；之後：年中 − 評價日距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年底（</t>
    </r>
    <r>
      <rPr>
        <sz val="11"/>
        <color theme="1"/>
        <rFont val="Calibri"/>
        <family val="2"/>
        <charset val="1"/>
      </rPr>
      <t xml:space="preserve">v_off</t>
    </r>
    <r>
      <rPr>
        <sz val="11"/>
        <color theme="1"/>
        <rFont val="Noto Sans CJK SC"/>
        <family val="2"/>
      </rPr>
      <t xml:space="preserve">）</t>
    </r>
  </si>
  <si>
    <t xml:space="preserve">年底距評價日（年）</t>
  </si>
  <si>
    <t xml:space="preserve">折現因子</t>
  </si>
  <si>
    <r>
      <rPr>
        <sz val="11"/>
        <color theme="1"/>
        <rFont val="Noto Sans CJK SC"/>
        <family val="2"/>
      </rPr>
      <t xml:space="preserve">減：評價日前的 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實績（營業現金流 − 股票薪酬 − 公司口徑資本支出）</t>
    </r>
  </si>
  <si>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：評價日 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只折現第二至第四季</t>
    </r>
  </si>
  <si>
    <r>
      <rPr>
        <sz val="11"/>
        <color theme="1"/>
        <rFont val="Noto Sans CJK SC"/>
        <family val="2"/>
      </rPr>
      <t xml:space="preserve">評價用自由現金流＝營業現金流 − 股票薪酬 − 資本支出＋影子效益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稅率）（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為評價日後部分）</t>
    </r>
  </si>
  <si>
    <r>
      <rPr>
        <sz val="11"/>
        <color theme="1"/>
        <rFont val="Noto Sans CJK SC"/>
        <family val="2"/>
      </rPr>
      <t xml:space="preserve">修正一：</t>
    </r>
    <r>
      <rPr>
        <sz val="11"/>
        <color theme="1"/>
        <rFont val="Calibri"/>
        <family val="2"/>
        <charset val="1"/>
      </rPr>
      <t xml:space="preserve">F2 </t>
    </r>
    <r>
      <rPr>
        <sz val="11"/>
        <color theme="1"/>
        <rFont val="Noto Sans CJK SC"/>
        <family val="2"/>
      </rPr>
      <t xml:space="preserve">股票薪酬視為現金成本；</t>
    </r>
    <r>
      <rPr>
        <sz val="11"/>
        <color theme="1"/>
        <rFont val="Calibri"/>
        <family val="2"/>
        <charset val="1"/>
      </rPr>
      <t xml:space="preserve">F1 </t>
    </r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影子效益；在帳融資租賃本金不扣，改在權益橋減負債（</t>
    </r>
    <r>
      <rPr>
        <sz val="11"/>
        <color theme="1"/>
        <rFont val="Calibri"/>
        <family val="2"/>
        <charset val="1"/>
      </rPr>
      <t xml:space="preserve">F6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影子效益只計評價日後的比例</t>
    </r>
  </si>
  <si>
    <t xml:space="preserve">評價用自由現金流現值</t>
  </si>
  <si>
    <r>
      <rPr>
        <sz val="11"/>
        <color theme="1"/>
        <rFont val="Noto Sans CJK SC"/>
        <family val="2"/>
      </rPr>
      <t xml:space="preserve">明確期現值合計（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</si>
  <si>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永續起點 </t>
    </r>
    <r>
      <rPr>
        <sz val="11"/>
        <color theme="1"/>
        <rFont val="Calibri"/>
        <family val="2"/>
        <charset val="1"/>
      </rPr>
      <t xml:space="preserve">NOPAT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評價口徑營業利益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稅率））</t>
    </r>
  </si>
  <si>
    <r>
      <rPr>
        <sz val="11"/>
        <color theme="1"/>
        <rFont val="Noto Sans CJK SC"/>
        <family val="2"/>
      </rPr>
      <t xml:space="preserve">永續期自由現金流（</t>
    </r>
    <r>
      <rPr>
        <sz val="11"/>
        <color theme="1"/>
        <rFont val="Calibri"/>
        <family val="2"/>
        <charset val="1"/>
      </rPr>
      <t xml:space="preserve">NOPAT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 ÷ </t>
    </r>
    <r>
      <rPr>
        <sz val="11"/>
        <color theme="1"/>
        <rFont val="Noto Sans CJK SC"/>
        <family val="2"/>
      </rPr>
      <t xml:space="preserve">新投資報酬））</t>
    </r>
  </si>
  <si>
    <r>
      <rPr>
        <sz val="11"/>
        <color theme="1"/>
        <rFont val="Noto Sans CJK SC"/>
        <family val="2"/>
      </rPr>
      <t xml:space="preserve">永續價值（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年底）</t>
    </r>
  </si>
  <si>
    <t xml:space="preserve">永續價值現值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</si>
  <si>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企業價值（評價日）</t>
    </r>
  </si>
  <si>
    <r>
      <rPr>
        <sz val="11"/>
        <color theme="1"/>
        <rFont val="Noto Sans CJK SC"/>
        <family val="2"/>
      </rPr>
      <t xml:space="preserve">股東權益價值＝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＋評價日淨現金 − 評價日在帳融資租賃負債＋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持股</t>
    </r>
  </si>
  <si>
    <t xml:space="preserve">評價日到目標價時點已付的每股股利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</si>
  <si>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每股價值推到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^t_roll − </t>
    </r>
    <r>
      <rPr>
        <sz val="11"/>
        <color theme="1"/>
        <rFont val="Noto Sans CJK SC"/>
        <family val="2"/>
      </rPr>
      <t xml:space="preserve">期間股利）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</si>
  <si>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（營收 − </t>
    </r>
    <r>
      <rPr>
        <sz val="11"/>
        <color theme="1"/>
        <rFont val="Calibri"/>
        <family val="2"/>
        <charset val="1"/>
      </rPr>
      <t xml:space="preserve">Azure 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</si>
  <si>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Microsoft 365 cloud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（分配利益率＋折舊率＋股票薪酬率））</t>
    </r>
  </si>
  <si>
    <r>
      <rPr>
        <sz val="11"/>
        <color theme="1"/>
        <rFont val="Calibri"/>
        <family val="2"/>
        <charset val="1"/>
      </rPr>
      <t xml:space="preserve">F2</t>
    </r>
    <r>
      <rPr>
        <sz val="11"/>
        <color theme="1"/>
        <rFont val="Noto Sans CJK SC"/>
        <family val="2"/>
      </rPr>
      <t xml:space="preserve">：同業 </t>
    </r>
    <r>
      <rPr>
        <sz val="11"/>
        <color theme="1"/>
        <rFont val="Calibri"/>
        <family val="2"/>
        <charset val="1"/>
      </rPr>
      <t xml:space="preserve">EV/EBITDA </t>
    </r>
    <r>
      <rPr>
        <sz val="11"/>
        <color theme="1"/>
        <rFont val="Noto Sans CJK SC"/>
        <family val="2"/>
      </rPr>
      <t xml:space="preserve">多為股票薪酬加回口徑，分部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同口徑</t>
    </r>
  </si>
  <si>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Productivity and server licensing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（分配利益率＋折舊率＋股票薪酬率））</t>
    </r>
  </si>
  <si>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Industry solutions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（分配利益率＋折舊率＋股票薪酬率））</t>
    </r>
  </si>
  <si>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Frontier and support services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（分配利益率＋折舊率＋股票薪酬率））</t>
    </r>
  </si>
  <si>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Search and advertising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（分配利益率＋折舊率＋股票薪酬率））</t>
    </r>
  </si>
  <si>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基礎設施模組（</t>
    </r>
    <r>
      <rPr>
        <sz val="11"/>
        <color theme="1"/>
        <rFont val="Calibri"/>
        <family val="2"/>
        <charset val="1"/>
      </rPr>
      <t xml:space="preserve">Azure AI EBITDA − </t>
    </r>
    <r>
      <rPr>
        <sz val="11"/>
        <color theme="1"/>
        <rFont val="Noto Sans CJK SC"/>
        <family val="2"/>
      </rPr>
      <t xml:space="preserve">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營運成本＋影子效益）</t>
    </r>
  </si>
  <si>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Agents and Infra </t>
    </r>
    <r>
      <rPr>
        <sz val="11"/>
        <color theme="1"/>
        <rFont val="Noto Sans CJK SC"/>
        <family val="2"/>
      </rPr>
      <t xml:space="preserve">合計（評價口徑營業利益＋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折舊＋非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折舊與股票薪酬分攤）</t>
    </r>
  </si>
  <si>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其他（分部殘差；不含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模組）</t>
    </r>
  </si>
  <si>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Devices and Consumer </t>
    </r>
    <r>
      <rPr>
        <sz val="11"/>
        <color theme="1"/>
        <rFont val="Noto Sans CJK SC"/>
        <family val="2"/>
      </rPr>
      <t xml:space="preserve">合計</t>
    </r>
  </si>
  <si>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XBOX</t>
    </r>
    <r>
      <rPr>
        <sz val="11"/>
        <color theme="1"/>
        <rFont val="Noto Sans CJK SC"/>
        <family val="2"/>
      </rPr>
      <t xml:space="preserve">（分部殘差按營收分）</t>
    </r>
  </si>
  <si>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Windows OEM and devices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</si>
  <si>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模組自由現金流＝</t>
    </r>
    <r>
      <rPr>
        <sz val="11"/>
        <color theme="1"/>
        <rFont val="Calibri"/>
        <family val="2"/>
        <charset val="1"/>
      </rPr>
      <t xml:space="preserve">EBITDA − </t>
    </r>
    <r>
      <rPr>
        <sz val="11"/>
        <color theme="1"/>
        <rFont val="Noto Sans CJK SC"/>
        <family val="2"/>
      </rPr>
      <t xml:space="preserve">稅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EBITDA − AI </t>
    </r>
    <r>
      <rPr>
        <sz val="11"/>
        <color theme="1"/>
        <rFont val="Noto Sans CJK SC"/>
        <family val="2"/>
      </rPr>
      <t xml:space="preserve">折舊）−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資本支出（含汰換）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</si>
  <si>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模組自由現金流折到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</si>
  <si>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修正二：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模組現金流已反映在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年底淨現金（權益橋），不再重複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</si>
  <si>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模組永續價值折到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年底（</t>
    </r>
    <r>
      <rPr>
        <sz val="11"/>
        <color theme="1"/>
        <rFont val="Calibri"/>
        <family val="2"/>
        <charset val="1"/>
      </rPr>
      <t xml:space="preserve">NOPAT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 ÷ </t>
    </r>
    <r>
      <rPr>
        <sz val="11"/>
        <color theme="1"/>
        <rFont val="Noto Sans CJK SC"/>
        <family val="2"/>
      </rPr>
      <t xml:space="preserve">新投資報酬）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WACC − g</t>
    </r>
    <r>
      <rPr>
        <sz val="11"/>
        <color theme="1"/>
        <rFont val="Noto Sans CJK SC"/>
        <family val="2"/>
      </rPr>
      <t xml:space="preserve">））</t>
    </r>
  </si>
  <si>
    <r>
      <rPr>
        <sz val="11"/>
        <color theme="1"/>
        <rFont val="Noto Sans CJK SC"/>
        <family val="2"/>
      </rPr>
      <t xml:space="preserve">分部加總：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基礎設施模組（模組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年底推到目標價時點）</t>
    </r>
  </si>
  <si>
    <r>
      <rPr>
        <sz val="11"/>
        <color theme="1"/>
        <rFont val="Calibri"/>
        <family val="2"/>
        <charset val="1"/>
      </rPr>
      <t xml:space="preserve">F3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腿以自身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計入資本密集度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</si>
  <si>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Azure AI NTM EBITDA × </t>
    </r>
    <r>
      <rPr>
        <sz val="11"/>
        <color theme="1"/>
        <rFont val="Noto Sans CJK SC"/>
        <family val="2"/>
      </rPr>
      <t xml:space="preserve">同業倍數（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初版口徑）</t>
    </r>
  </si>
  <si>
    <r>
      <rPr>
        <sz val="11"/>
        <color theme="1"/>
        <rFont val="Noto Sans CJK SC"/>
        <family val="2"/>
      </rPr>
      <t xml:space="preserve">分部加總：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其他（</t>
    </r>
    <r>
      <rPr>
        <sz val="11"/>
        <color theme="1"/>
        <rFont val="Calibri"/>
        <family val="2"/>
        <charset val="1"/>
      </rPr>
      <t xml:space="preserve">NTM EBITDA × </t>
    </r>
    <r>
      <rPr>
        <sz val="11"/>
        <color theme="1"/>
        <rFont val="Noto Sans CJK SC"/>
        <family val="2"/>
      </rPr>
      <t xml:space="preserve">倍數）</t>
    </r>
  </si>
  <si>
    <r>
      <rPr>
        <sz val="11"/>
        <color theme="1"/>
        <rFont val="Noto Sans CJK SC"/>
        <family val="2"/>
      </rPr>
      <t xml:space="preserve">分部加總：</t>
    </r>
    <r>
      <rPr>
        <sz val="11"/>
        <color theme="1"/>
        <rFont val="Calibri"/>
        <family val="2"/>
        <charset val="1"/>
      </rPr>
      <t xml:space="preserve">Microsoft 365 cloud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NTM EBITDA × </t>
    </r>
    <r>
      <rPr>
        <sz val="11"/>
        <color theme="1"/>
        <rFont val="Noto Sans CJK SC"/>
        <family val="2"/>
      </rPr>
      <t xml:space="preserve">倍數）</t>
    </r>
  </si>
  <si>
    <r>
      <rPr>
        <sz val="11"/>
        <color theme="1"/>
        <rFont val="Noto Sans CJK SC"/>
        <family val="2"/>
      </rPr>
      <t xml:space="preserve">分部加總：</t>
    </r>
    <r>
      <rPr>
        <sz val="11"/>
        <color theme="1"/>
        <rFont val="Calibri"/>
        <family val="2"/>
        <charset val="1"/>
      </rPr>
      <t xml:space="preserve">Productivity and server licensing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NTM EBITDA × </t>
    </r>
    <r>
      <rPr>
        <sz val="11"/>
        <color theme="1"/>
        <rFont val="Noto Sans CJK SC"/>
        <family val="2"/>
      </rPr>
      <t xml:space="preserve">倍數）</t>
    </r>
  </si>
  <si>
    <r>
      <rPr>
        <sz val="11"/>
        <color theme="1"/>
        <rFont val="Noto Sans CJK SC"/>
        <family val="2"/>
      </rPr>
      <t xml:space="preserve">分部加總：</t>
    </r>
    <r>
      <rPr>
        <sz val="11"/>
        <color theme="1"/>
        <rFont val="Calibri"/>
        <family val="2"/>
        <charset val="1"/>
      </rPr>
      <t xml:space="preserve">Industry solutions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NTM EBITDA × </t>
    </r>
    <r>
      <rPr>
        <sz val="11"/>
        <color theme="1"/>
        <rFont val="Noto Sans CJK SC"/>
        <family val="2"/>
      </rPr>
      <t xml:space="preserve">倍數）</t>
    </r>
  </si>
  <si>
    <r>
      <rPr>
        <sz val="11"/>
        <color theme="1"/>
        <rFont val="Noto Sans CJK SC"/>
        <family val="2"/>
      </rPr>
      <t xml:space="preserve">分部加總：</t>
    </r>
    <r>
      <rPr>
        <sz val="11"/>
        <color theme="1"/>
        <rFont val="Calibri"/>
        <family val="2"/>
        <charset val="1"/>
      </rPr>
      <t xml:space="preserve">Frontier and support services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NTM EBITDA × </t>
    </r>
    <r>
      <rPr>
        <sz val="11"/>
        <color theme="1"/>
        <rFont val="Noto Sans CJK SC"/>
        <family val="2"/>
      </rPr>
      <t xml:space="preserve">倍數）</t>
    </r>
  </si>
  <si>
    <r>
      <rPr>
        <sz val="11"/>
        <color theme="1"/>
        <rFont val="Noto Sans CJK SC"/>
        <family val="2"/>
      </rPr>
      <t xml:space="preserve">分部加總：</t>
    </r>
    <r>
      <rPr>
        <sz val="11"/>
        <color theme="1"/>
        <rFont val="Calibri"/>
        <family val="2"/>
        <charset val="1"/>
      </rPr>
      <t xml:space="preserve">Search and advertising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NTM EBITDA × </t>
    </r>
    <r>
      <rPr>
        <sz val="11"/>
        <color theme="1"/>
        <rFont val="Noto Sans CJK SC"/>
        <family val="2"/>
      </rPr>
      <t xml:space="preserve">倍數）</t>
    </r>
  </si>
  <si>
    <r>
      <rPr>
        <sz val="11"/>
        <color theme="1"/>
        <rFont val="Noto Sans CJK SC"/>
        <family val="2"/>
      </rPr>
      <t xml:space="preserve">分部加總：</t>
    </r>
    <r>
      <rPr>
        <sz val="11"/>
        <color theme="1"/>
        <rFont val="Calibri"/>
        <family val="2"/>
        <charset val="1"/>
      </rPr>
      <t xml:space="preserve">XBOX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NTM EBITDA × </t>
    </r>
    <r>
      <rPr>
        <sz val="11"/>
        <color theme="1"/>
        <rFont val="Noto Sans CJK SC"/>
        <family val="2"/>
      </rPr>
      <t xml:space="preserve">倍數）</t>
    </r>
  </si>
  <si>
    <r>
      <rPr>
        <sz val="11"/>
        <color theme="1"/>
        <rFont val="Noto Sans CJK SC"/>
        <family val="2"/>
      </rPr>
      <t xml:space="preserve">分部加總：</t>
    </r>
    <r>
      <rPr>
        <sz val="11"/>
        <color theme="1"/>
        <rFont val="Calibri"/>
        <family val="2"/>
        <charset val="1"/>
      </rPr>
      <t xml:space="preserve">Windows OEM and devices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NTM EBITDA × </t>
    </r>
    <r>
      <rPr>
        <sz val="11"/>
        <color theme="1"/>
        <rFont val="Noto Sans CJK SC"/>
        <family val="2"/>
      </rPr>
      <t xml:space="preserve">倍數）</t>
    </r>
  </si>
  <si>
    <r>
      <rPr>
        <sz val="11"/>
        <color theme="1"/>
        <rFont val="Noto Sans CJK SC"/>
        <family val="2"/>
      </rPr>
      <t xml:space="preserve">分部加總 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（目標價時點）</t>
    </r>
  </si>
  <si>
    <r>
      <rPr>
        <sz val="11"/>
        <color theme="1"/>
        <rFont val="Noto Sans CJK SC"/>
        <family val="2"/>
      </rPr>
      <t xml:space="preserve">加：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 → 目標價時點的非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自由現金流（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評價用自由現金流 −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模組自由現金流）</t>
    </r>
    <r>
      <rPr>
        <sz val="11"/>
        <color theme="1"/>
        <rFont val="Calibri"/>
        <family val="2"/>
        <charset val="1"/>
      </rPr>
      <t xml:space="preserve">× t_stub</t>
    </r>
  </si>
  <si>
    <r>
      <rPr>
        <sz val="11"/>
        <color theme="1"/>
        <rFont val="Noto Sans CJK SC"/>
        <family val="2"/>
      </rPr>
      <t xml:space="preserve">修正三：非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各線用目標價時點 </t>
    </r>
    <r>
      <rPr>
        <sz val="11"/>
        <color theme="1"/>
        <rFont val="Calibri"/>
        <family val="2"/>
        <charset val="1"/>
      </rPr>
      <t xml:space="preserve">NTM EBITDA</t>
    </r>
    <r>
      <rPr>
        <sz val="11"/>
        <color theme="1"/>
        <rFont val="Noto Sans CJK SC"/>
        <family val="2"/>
      </rPr>
      <t xml:space="preserve">，此段現金流不在 </t>
    </r>
    <r>
      <rPr>
        <sz val="11"/>
        <color theme="1"/>
        <rFont val="Calibri"/>
        <family val="2"/>
        <charset val="1"/>
      </rPr>
      <t xml:space="preserve">EV </t>
    </r>
    <r>
      <rPr>
        <sz val="11"/>
        <color theme="1"/>
        <rFont val="Noto Sans CJK SC"/>
        <family val="2"/>
      </rPr>
      <t xml:space="preserve">也不在淨現金；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模組已含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全年</t>
    </r>
  </si>
  <si>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EV </t>
    </r>
    <r>
      <rPr>
        <sz val="11"/>
        <color theme="1"/>
        <rFont val="Noto Sans CJK SC"/>
        <family val="2"/>
      </rPr>
      <t xml:space="preserve">含租賃；</t>
    </r>
    <r>
      <rPr>
        <sz val="11"/>
        <color theme="1"/>
        <rFont val="Calibri"/>
        <family val="2"/>
        <charset val="1"/>
      </rPr>
      <t xml:space="preserve">Microsoft EBITDA </t>
    </r>
    <r>
      <rPr>
        <sz val="11"/>
        <color theme="1"/>
        <rFont val="Noto Sans CJK SC"/>
        <family val="2"/>
      </rPr>
      <t xml:space="preserve">已扣營業租金、未扣融資租賃折舊 → 減融資租賃負債</t>
    </r>
  </si>
  <si>
    <r>
      <rPr>
        <sz val="11"/>
        <color theme="1"/>
        <rFont val="Noto Sans CJK SC"/>
        <family val="2"/>
      </rPr>
      <t xml:space="preserve">分部加總每股價值（目標價時點；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年底稀釋股數，扣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第一季股利）</t>
    </r>
  </si>
  <si>
    <r>
      <rPr>
        <sz val="11"/>
        <color theme="1"/>
        <rFont val="Noto Sans CJK SC"/>
        <family val="2"/>
      </rPr>
      <t xml:space="preserve">修正二：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以評價日（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年底）稀釋股數、</t>
    </r>
    <r>
      <rPr>
        <sz val="11"/>
        <color theme="1"/>
        <rFont val="Calibri"/>
        <family val="2"/>
        <charset val="1"/>
      </rPr>
      <t xml:space="preserve">SOTP </t>
    </r>
    <r>
      <rPr>
        <sz val="11"/>
        <color theme="1"/>
        <rFont val="Noto Sans CJK SC"/>
        <family val="2"/>
      </rPr>
      <t xml:space="preserve">以其淨現金日（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年底）稀釋股數，各自對應其權益橋日期</t>
    </r>
  </si>
  <si>
    <r>
      <rPr>
        <sz val="11"/>
        <color theme="1"/>
        <rFont val="Noto Sans CJK SC"/>
        <family val="2"/>
      </rPr>
      <t xml:space="preserve">情境目標價＝</t>
    </r>
    <r>
      <rPr>
        <sz val="11"/>
        <color theme="1"/>
        <rFont val="Calibri"/>
        <family val="2"/>
        <charset val="1"/>
      </rPr>
      <t xml:space="preserve">w_dcf × DCF 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分部加總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</si>
  <si>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</si>
  <si>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</si>
  <si>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模型（基準情境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）對照市場共識與公司指引；差距超過 </t>
    </r>
    <r>
      <rPr>
        <sz val="11"/>
        <color theme="1"/>
        <rFont val="Calibri"/>
        <family val="2"/>
        <charset val="1"/>
      </rPr>
      <t xml:space="preserve">5% </t>
    </r>
    <r>
      <rPr>
        <sz val="11"/>
        <color theme="1"/>
        <rFont val="Noto Sans CJK SC"/>
        <family val="2"/>
      </rPr>
      <t xml:space="preserve">者附原因。產品線層級的市場共識：未找到（免費資料源只提供合併層級）</t>
    </r>
  </si>
  <si>
    <r>
      <rPr>
        <b val="true"/>
        <sz val="11"/>
        <rFont val="Noto Sans CJK SC"/>
        <family val="2"/>
      </rPr>
      <t xml:space="preserve">模型（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</si>
  <si>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t xml:space="preserve">共識／指引</t>
  </si>
  <si>
    <t xml:space="preserve">差距</t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</si>
  <si>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%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</si>
  <si>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合併層級對共識（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營收與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S&amp;P 2026-10-27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FY2028–FY2029 </t>
    </r>
    <r>
      <rPr>
        <b val="true"/>
        <sz val="11"/>
        <rFont val="Noto Sans CJK SC"/>
        <family val="2"/>
      </rPr>
      <t xml:space="preserve">與資本支出：</t>
    </r>
    <r>
      <rPr>
        <b val="true"/>
        <sz val="11"/>
        <rFont val="Cambria"/>
        <family val="0"/>
        <charset val="1"/>
      </rPr>
      <t xml:space="preserve">MarketScreener 2026-10-08</t>
    </r>
    <r>
      <rPr>
        <b val="true"/>
        <sz val="11"/>
        <rFont val="Noto Sans CJK SC"/>
        <family val="2"/>
      </rPr>
      <t xml:space="preserve">，財報後未找到更新）</t>
    </r>
  </si>
  <si>
    <r>
      <rPr>
        <sz val="11"/>
        <color theme="1"/>
        <rFont val="Noto Sans CJK SC"/>
        <family val="2"/>
      </rPr>
      <t xml:space="preserve">目標價：模型加權（讀法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S&amp;P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57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</si>
  <si>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Noto Sans CJK SC"/>
        <family val="2"/>
      </rPr>
      <t xml:space="preserve">觀點：見報告第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節；</t>
    </r>
    <r>
      <rPr>
        <sz val="11"/>
        <color theme="1"/>
        <rFont val="Calibri"/>
        <family val="2"/>
        <charset val="1"/>
      </rPr>
      <t xml:space="preserve">MarketBeat 49 </t>
    </r>
    <r>
      <rPr>
        <sz val="11"/>
        <color theme="1"/>
        <rFont val="Noto Sans CJK SC"/>
        <family val="2"/>
      </rPr>
      <t xml:space="preserve">位 </t>
    </r>
    <r>
      <rPr>
        <sz val="11"/>
        <color theme="1"/>
        <rFont val="Calibri"/>
        <family val="2"/>
        <charset val="1"/>
      </rPr>
      <t xml:space="preserve">596.07</t>
    </r>
  </si>
  <si>
    <r>
      <rPr>
        <sz val="11"/>
        <color theme="1"/>
        <rFont val="Noto Sans CJK SC"/>
        <family val="2"/>
      </rPr>
      <t xml:space="preserve">目標價：模型加權 </t>
    </r>
    <r>
      <rPr>
        <sz val="11"/>
        <color theme="1"/>
        <rFont val="Calibri"/>
        <family val="2"/>
        <charset val="1"/>
      </rPr>
      <t xml:space="preserve">vs MarketBeat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49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</si>
  <si>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Noto Sans CJK SC"/>
        <family val="2"/>
      </rPr>
      <t xml:space="preserve">第二個呈現（</t>
    </r>
    <r>
      <rPr>
        <sz val="11"/>
        <color theme="1"/>
        <rFont val="Calibri"/>
        <family val="2"/>
        <charset val="1"/>
      </rPr>
      <t xml:space="preserve">2026-10-27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</si>
  <si>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（對 </t>
    </r>
    <r>
      <rPr>
        <sz val="11"/>
        <color theme="1"/>
        <rFont val="Calibri"/>
        <family val="2"/>
        <charset val="1"/>
      </rPr>
      <t xml:space="preserve">S&amp;P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</si>
  <si>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觀點：</t>
    </r>
    <r>
      <rPr>
        <sz val="11"/>
        <color theme="1"/>
        <rFont val="Calibri"/>
        <family val="2"/>
        <charset val="1"/>
      </rPr>
      <t xml:space="preserve">Azure AI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MW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收入、其他線依近一年年增收斂；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實績已含</t>
    </r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</si>
  <si>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FY2028</t>
    </r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</si>
  <si>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FY2029</t>
    </r>
  </si>
  <si>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</si>
  <si>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Noto Sans CJK SC"/>
        <family val="2"/>
      </rPr>
      <t xml:space="preserve">觀點：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資本支出依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成本與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年折舊進損益，折舊上升快於共識（見報告第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節）</t>
    </r>
  </si>
  <si>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FY2028</t>
    </r>
  </si>
  <si>
    <t xml:space="preserve">同上</t>
  </si>
  <si>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FY2029</t>
    </r>
  </si>
  <si>
    <r>
      <rPr>
        <sz val="11"/>
        <color theme="1"/>
        <rFont val="Calibri"/>
        <family val="2"/>
        <charset val="1"/>
      </rPr>
      <t xml:space="preserve">EPS FY2027</t>
    </r>
    <r>
      <rPr>
        <sz val="11"/>
        <color theme="1"/>
        <rFont val="Noto Sans CJK SC"/>
        <family val="2"/>
      </rPr>
      <t xml:space="preserve">（財報口徑；對 </t>
    </r>
    <r>
      <rPr>
        <sz val="11"/>
        <color theme="1"/>
        <rFont val="Calibri"/>
        <family val="2"/>
        <charset val="1"/>
      </rPr>
      <t xml:space="preserve">S&amp;P 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</si>
  <si>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口徑：模型為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利得 </t>
    </r>
    <r>
      <rPr>
        <sz val="11"/>
        <color theme="1"/>
        <rFont val="Calibri"/>
        <family val="2"/>
        <charset val="1"/>
      </rPr>
      <t xml:space="preserve">+0.03</t>
    </r>
    <r>
      <rPr>
        <sz val="11"/>
        <color theme="1"/>
        <rFont val="Noto Sans CJK SC"/>
        <family val="2"/>
      </rPr>
      <t xml:space="preserve">／股），</t>
    </r>
    <r>
      <rPr>
        <sz val="11"/>
        <color theme="1"/>
        <rFont val="Calibri"/>
        <family val="2"/>
        <charset val="1"/>
      </rPr>
      <t xml:space="preserve">S&amp;P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non-GAAP</t>
    </r>
  </si>
  <si>
    <r>
      <rPr>
        <sz val="11"/>
        <color theme="1"/>
        <rFont val="Calibri"/>
        <family val="2"/>
        <charset val="1"/>
      </rPr>
      <t xml:space="preserve">EPS FY2028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MarketScreener GAAP</t>
    </r>
    <r>
      <rPr>
        <sz val="11"/>
        <color theme="1"/>
        <rFont val="Noto Sans CJK SC"/>
        <family val="2"/>
      </rPr>
      <t xml:space="preserve">）</t>
    </r>
  </si>
  <si>
    <t xml:space="preserve">EPS FY2029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</si>
  <si>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（模型公司口徑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共識推定現金口徑）</t>
    </r>
  </si>
  <si>
    <r>
      <rPr>
        <sz val="11"/>
        <color theme="1"/>
        <rFont val="Noto Sans CJK SC"/>
        <family val="2"/>
      </rPr>
      <t xml:space="preserve">拆法：模型含融資租賃（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融資租賃 </t>
    </r>
    <r>
      <rPr>
        <sz val="11"/>
        <color theme="1"/>
        <rFont val="Calibri"/>
        <family val="2"/>
        <charset val="1"/>
      </rPr>
      <t xml:space="preserve">7.4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C10 </t>
    </r>
    <r>
      <rPr>
        <sz val="11"/>
        <color theme="1"/>
        <rFont val="Noto Sans CJK SC"/>
        <family val="2"/>
      </rPr>
      <t xml:space="preserve">對帳目標 </t>
    </r>
    <r>
      <rPr>
        <sz val="11"/>
        <color theme="1"/>
        <rFont val="Calibri"/>
        <family val="2"/>
        <charset val="1"/>
      </rPr>
      <t xml:space="preserve">capex_floor27</t>
    </r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</si>
  <si>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（模型公司口徑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共識推定現金口徑）</t>
    </r>
  </si>
  <si>
    <r>
      <rPr>
        <sz val="11"/>
        <color theme="1"/>
        <rFont val="Noto Sans CJK SC"/>
        <family val="2"/>
      </rPr>
      <t xml:space="preserve">觀點：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路徑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成本＋汰換</t>
    </r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</si>
  <si>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（模型公司口徑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共識推定現金口徑）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</si>
  <si>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公司指引（</t>
    </r>
    <r>
      <rPr>
        <b val="true"/>
        <sz val="11"/>
        <rFont val="Cambria"/>
        <family val="0"/>
        <charset val="1"/>
      </rPr>
      <t xml:space="preserve">FY27Q1 </t>
    </r>
    <r>
      <rPr>
        <b val="true"/>
        <sz val="11"/>
        <rFont val="Noto Sans CJK SC"/>
        <family val="2"/>
      </rPr>
      <t xml:space="preserve">實績對前次指引；</t>
    </r>
    <r>
      <rPr>
        <b val="true"/>
        <sz val="11"/>
        <rFont val="Cambria"/>
        <family val="0"/>
        <charset val="1"/>
      </rPr>
      <t xml:space="preserve">FY27Q2 </t>
    </r>
    <r>
      <rPr>
        <b val="true"/>
        <sz val="11"/>
        <rFont val="Noto Sans CJK SC"/>
        <family val="2"/>
      </rPr>
      <t xml:space="preserve">指引對模型第二至第四季平均——季節性未調整，只作量級參考）</t>
    </r>
  </si>
  <si>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指引中點：合併營收</t>
    </r>
  </si>
  <si>
    <r>
      <rPr>
        <sz val="11"/>
        <color theme="1"/>
        <rFont val="Noto Sans CJK SC"/>
        <family val="2"/>
      </rPr>
      <t xml:space="preserve">實績高於指引上緣 </t>
    </r>
    <r>
      <rPr>
        <sz val="11"/>
        <color theme="1"/>
        <rFont val="Calibri"/>
        <family val="2"/>
        <charset val="1"/>
      </rPr>
      <t xml:space="preserve">90.95</t>
    </r>
  </si>
  <si>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指引中點：</t>
    </r>
    <r>
      <rPr>
        <sz val="11"/>
        <color theme="1"/>
        <rFont val="Calibri"/>
        <family val="2"/>
        <charset val="1"/>
      </rPr>
      <t xml:space="preserve">Agents and Infra</t>
    </r>
  </si>
  <si>
    <r>
      <rPr>
        <sz val="11"/>
        <color theme="1"/>
        <rFont val="Calibri"/>
        <family val="2"/>
        <charset val="1"/>
      </rPr>
      <t xml:space="preserve">Azure 48%</t>
    </r>
    <r>
      <rPr>
        <sz val="11"/>
        <color theme="1"/>
        <rFont val="Noto Sans CJK SC"/>
        <family val="2"/>
      </rPr>
      <t xml:space="preserve">（指引 </t>
    </r>
    <r>
      <rPr>
        <sz val="11"/>
        <color theme="1"/>
        <rFont val="Calibri"/>
        <family val="2"/>
        <charset val="1"/>
      </rPr>
      <t xml:space="preserve">44–45%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</si>
  <si>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指引中點：</t>
    </r>
    <r>
      <rPr>
        <sz val="11"/>
        <color theme="1"/>
        <rFont val="Calibri"/>
        <family val="2"/>
        <charset val="1"/>
      </rPr>
      <t xml:space="preserve">Devices and Consumer</t>
    </r>
  </si>
  <si>
    <r>
      <rPr>
        <sz val="11"/>
        <color theme="1"/>
        <rFont val="Noto Sans CJK SC"/>
        <family val="2"/>
      </rPr>
      <t xml:space="preserve">搜尋與廣告、</t>
    </r>
    <r>
      <rPr>
        <sz val="11"/>
        <color theme="1"/>
        <rFont val="Calibri"/>
        <family val="2"/>
        <charset val="1"/>
      </rPr>
      <t xml:space="preserve">XBOX </t>
    </r>
    <r>
      <rPr>
        <sz val="11"/>
        <color theme="1"/>
        <rFont val="Noto Sans CJK SC"/>
        <family val="2"/>
      </rPr>
      <t xml:space="preserve">優於預期；</t>
    </r>
    <r>
      <rPr>
        <sz val="11"/>
        <color theme="1"/>
        <rFont val="Calibri"/>
        <family val="2"/>
        <charset val="1"/>
      </rPr>
      <t xml:space="preserve">Windows OEM </t>
    </r>
    <r>
      <rPr>
        <sz val="11"/>
        <color theme="1"/>
        <rFont val="Noto Sans CJK SC"/>
        <family val="2"/>
      </rPr>
      <t xml:space="preserve">低於預期</t>
    </r>
  </si>
  <si>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指引：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</si>
  <si>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指引：資本支出（公司口徑）</t>
    </r>
  </si>
  <si>
    <t xml:space="preserve">低於指引：第三方產能交付延後（法說）</t>
  </si>
  <si>
    <r>
      <rPr>
        <sz val="11"/>
        <color theme="1"/>
        <rFont val="Calibri"/>
        <family val="2"/>
        <charset val="1"/>
      </rPr>
      <t xml:space="preserve">Agents and Infra</t>
    </r>
    <r>
      <rPr>
        <sz val="11"/>
        <color theme="1"/>
        <rFont val="Noto Sans CJK SC"/>
        <family val="2"/>
      </rPr>
      <t xml:space="preserve">：第二至第四季年增（模型）</t>
    </r>
    <r>
      <rPr>
        <sz val="11"/>
        <color theme="1"/>
        <rFont val="Calibri"/>
        <family val="2"/>
        <charset val="1"/>
      </rPr>
      <t xml:space="preserve">vs FY27Q2 </t>
    </r>
    <r>
      <rPr>
        <sz val="11"/>
        <color theme="1"/>
        <rFont val="Noto Sans CJK SC"/>
        <family val="2"/>
      </rPr>
      <t xml:space="preserve">指引中點年增</t>
    </r>
  </si>
  <si>
    <r>
      <rPr>
        <sz val="11"/>
        <color theme="1"/>
        <rFont val="Noto Sans CJK SC"/>
        <family val="2"/>
      </rPr>
      <t xml:space="preserve">模型年增為第二至第四季合計對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同期；指引為 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中點對 </t>
    </r>
    <r>
      <rPr>
        <sz val="11"/>
        <color theme="1"/>
        <rFont val="Calibri"/>
        <family val="2"/>
        <charset val="1"/>
      </rPr>
      <t xml:space="preserve">FY26Q2</t>
    </r>
  </si>
  <si>
    <r>
      <rPr>
        <sz val="11"/>
        <color theme="1"/>
        <rFont val="Calibri"/>
        <family val="2"/>
        <charset val="1"/>
      </rPr>
      <t xml:space="preserve">Devices and Consumer</t>
    </r>
    <r>
      <rPr>
        <sz val="11"/>
        <color theme="1"/>
        <rFont val="Noto Sans CJK SC"/>
        <family val="2"/>
      </rPr>
      <t xml:space="preserve">：第二至第四季年增（模型）</t>
    </r>
    <r>
      <rPr>
        <sz val="11"/>
        <color theme="1"/>
        <rFont val="Calibri"/>
        <family val="2"/>
        <charset val="1"/>
      </rPr>
      <t xml:space="preserve">vs FY27Q2 </t>
    </r>
    <r>
      <rPr>
        <sz val="11"/>
        <color theme="1"/>
        <rFont val="Noto Sans CJK SC"/>
        <family val="2"/>
      </rPr>
      <t xml:space="preserve">指引中點年增</t>
    </r>
  </si>
  <si>
    <r>
      <rPr>
        <sz val="11"/>
        <color theme="1"/>
        <rFont val="Calibri"/>
        <family val="2"/>
        <charset val="1"/>
      </rPr>
      <t xml:space="preserve">XBOX </t>
    </r>
    <r>
      <rPr>
        <sz val="11"/>
        <color theme="1"/>
        <rFont val="Noto Sans CJK SC"/>
        <family val="2"/>
      </rPr>
      <t xml:space="preserve">第二季旺季；</t>
    </r>
    <r>
      <rPr>
        <sz val="11"/>
        <color theme="1"/>
        <rFont val="Calibri"/>
        <family val="2"/>
        <charset val="1"/>
      </rPr>
      <t xml:space="preserve">Windows </t>
    </r>
    <r>
      <rPr>
        <sz val="11"/>
        <color theme="1"/>
        <rFont val="Noto Sans CJK SC"/>
        <family val="2"/>
      </rPr>
      <t xml:space="preserve">見下</t>
    </r>
  </si>
  <si>
    <r>
      <rPr>
        <sz val="11"/>
        <color theme="1"/>
        <rFont val="Noto Sans CJK SC"/>
        <family val="2"/>
      </rPr>
      <t xml:space="preserve">合併營收：第二至第四季年增（模型）</t>
    </r>
    <r>
      <rPr>
        <sz val="11"/>
        <color theme="1"/>
        <rFont val="Calibri"/>
        <family val="2"/>
        <charset val="1"/>
      </rPr>
      <t xml:space="preserve">vs FY27Q2 </t>
    </r>
    <r>
      <rPr>
        <sz val="11"/>
        <color theme="1"/>
        <rFont val="Noto Sans CJK SC"/>
        <family val="2"/>
      </rPr>
      <t xml:space="preserve">指引中點年增</t>
    </r>
  </si>
  <si>
    <r>
      <rPr>
        <sz val="11"/>
        <color theme="1"/>
        <rFont val="Calibri"/>
        <family val="2"/>
        <charset val="1"/>
      </rPr>
      <t xml:space="preserve">Azure</t>
    </r>
    <r>
      <rPr>
        <sz val="11"/>
        <color theme="1"/>
        <rFont val="Noto Sans CJK SC"/>
        <family val="2"/>
      </rPr>
      <t xml:space="preserve">：第二至第四季年增（模型）</t>
    </r>
    <r>
      <rPr>
        <sz val="11"/>
        <color theme="1"/>
        <rFont val="Calibri"/>
        <family val="2"/>
        <charset val="1"/>
      </rPr>
      <t xml:space="preserve">vs FY27Q2 </t>
    </r>
    <r>
      <rPr>
        <sz val="11"/>
        <color theme="1"/>
        <rFont val="Noto Sans CJK SC"/>
        <family val="2"/>
      </rPr>
      <t xml:space="preserve">指引中點（</t>
    </r>
    <r>
      <rPr>
        <sz val="11"/>
        <color theme="1"/>
        <rFont val="Calibri"/>
        <family val="2"/>
        <charset val="1"/>
      </rPr>
      <t xml:space="preserve">cc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</si>
  <si>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觀點：</t>
    </r>
    <r>
      <rPr>
        <sz val="11"/>
        <color theme="1"/>
        <rFont val="Calibri"/>
        <family val="2"/>
        <charset val="1"/>
      </rPr>
      <t xml:space="preserve">Azure AI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路徑推得（不以 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營收回推，</t>
    </r>
    <r>
      <rPr>
        <sz val="11"/>
        <color theme="1"/>
        <rFont val="Calibri"/>
        <family val="2"/>
        <charset val="1"/>
      </rPr>
      <t xml:space="preserve">C3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</si>
  <si>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Windows OEM and devices</t>
    </r>
    <r>
      <rPr>
        <sz val="11"/>
        <color theme="1"/>
        <rFont val="Noto Sans CJK SC"/>
        <family val="2"/>
      </rPr>
      <t xml:space="preserve">：第二至第四季年增（模型）</t>
    </r>
    <r>
      <rPr>
        <sz val="11"/>
        <color theme="1"/>
        <rFont val="Calibri"/>
        <family val="2"/>
        <charset val="1"/>
      </rPr>
      <t xml:space="preserve">vs FY27Q2 </t>
    </r>
    <r>
      <rPr>
        <sz val="11"/>
        <color theme="1"/>
        <rFont val="Noto Sans CJK SC"/>
        <family val="2"/>
      </rPr>
      <t xml:space="preserve">指引（</t>
    </r>
    <r>
      <rPr>
        <sz val="11"/>
        <color theme="1"/>
        <rFont val="Calibri"/>
        <family val="2"/>
        <charset val="1"/>
      </rPr>
      <t xml:space="preserve">mid-thirties </t>
    </r>
    <r>
      <rPr>
        <sz val="11"/>
        <color theme="1"/>
        <rFont val="Noto Sans CJK SC"/>
        <family val="2"/>
      </rPr>
      <t xml:space="preserve">衰退）</t>
    </r>
  </si>
  <si>
    <r>
      <rPr>
        <sz val="11"/>
        <color theme="1"/>
        <rFont val="Noto Sans CJK SC"/>
        <family val="2"/>
      </rPr>
      <t xml:space="preserve">觀點：非命題產品線依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年增收斂，未套用季度指引（指引只作對照）；差額約 </t>
    </r>
    <r>
      <rPr>
        <sz val="11"/>
        <color theme="1"/>
        <rFont val="Calibri"/>
        <family val="2"/>
        <charset val="1"/>
      </rPr>
      <t xml:space="preserve">3–4 </t>
    </r>
    <r>
      <rPr>
        <sz val="11"/>
        <color theme="1"/>
        <rFont val="Noto Sans CJK SC"/>
        <family val="2"/>
      </rPr>
      <t xml:space="preserve">十億美元營收</t>
    </r>
  </si>
  <si>
    <r>
      <rPr>
        <sz val="11"/>
        <color theme="1"/>
        <rFont val="Noto Sans CJK SC"/>
        <family val="2"/>
      </rPr>
      <t xml:space="preserve">營業利益率變動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（模型）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公司「下降不到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個百分點」</t>
    </r>
  </si>
  <si>
    <r>
      <rPr>
        <sz val="11"/>
        <color theme="1"/>
        <rFont val="Noto Sans CJK SC"/>
        <family val="2"/>
      </rPr>
      <t xml:space="preserve">觀點：模型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增加較多（</t>
    </r>
    <r>
      <rPr>
        <sz val="11"/>
        <color theme="1"/>
        <rFont val="Calibri"/>
        <family val="2"/>
        <charset val="1"/>
      </rPr>
      <t xml:space="preserve">AI IT 6 </t>
    </r>
    <r>
      <rPr>
        <sz val="11"/>
        <color theme="1"/>
        <rFont val="Noto Sans CJK SC"/>
        <family val="2"/>
      </rPr>
      <t xml:space="preserve">年、首年半年慣例）；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營業利益率實際 </t>
    </r>
    <r>
      <rPr>
        <sz val="11"/>
        <color theme="1"/>
        <rFont val="Calibri"/>
        <family val="2"/>
        <charset val="1"/>
      </rPr>
      <t xml:space="preserve">+1.0pt</t>
    </r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</si>
  <si>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（模型）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指引推估（</t>
    </r>
    <r>
      <rPr>
        <sz val="11"/>
        <color theme="1"/>
        <rFont val="Calibri"/>
        <family val="2"/>
        <charset val="1"/>
      </rPr>
      <t xml:space="preserve">C10 </t>
    </r>
    <r>
      <rPr>
        <sz val="11"/>
        <color theme="1"/>
        <rFont val="Noto Sans CJK SC"/>
        <family val="2"/>
      </rPr>
      <t xml:space="preserve">對帳目標）</t>
    </r>
  </si>
  <si>
    <r>
      <rPr>
        <sz val="11"/>
        <color theme="1"/>
        <rFont val="Calibri"/>
        <family val="2"/>
        <charset val="1"/>
      </rPr>
      <t xml:space="preserve">C10 </t>
    </r>
    <r>
      <rPr>
        <sz val="11"/>
        <color theme="1"/>
        <rFont val="Noto Sans CJK SC"/>
        <family val="2"/>
      </rPr>
      <t xml:space="preserve">重解後落差 ≈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Thesis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C10 </t>
    </r>
    <r>
      <rPr>
        <sz val="11"/>
        <color theme="1"/>
        <rFont val="Noto Sans CJK SC"/>
        <family val="2"/>
      </rPr>
      <t xml:space="preserve">對帳落差列）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</si>
  <si>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命題驗證列（</t>
    </r>
    <r>
      <rPr>
        <b val="true"/>
        <sz val="11"/>
        <rFont val="Cambria"/>
        <family val="0"/>
        <charset val="1"/>
      </rPr>
      <t xml:space="preserve">C3</t>
    </r>
    <r>
      <rPr>
        <b val="true"/>
        <sz val="11"/>
        <rFont val="Noto Sans CJK SC"/>
        <family val="2"/>
      </rPr>
      <t xml:space="preserve">：只作驗證，不回頭校準）</t>
    </r>
  </si>
  <si>
    <r>
      <rPr>
        <sz val="11"/>
        <color theme="1"/>
        <rFont val="Calibri"/>
        <family val="2"/>
        <charset val="1"/>
      </rPr>
      <t xml:space="preserve">Azure AI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Copilot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（模型）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業務年化（</t>
    </r>
    <r>
      <rPr>
        <sz val="11"/>
        <color theme="1"/>
        <rFont val="Calibri"/>
        <family val="2"/>
        <charset val="1"/>
      </rPr>
      <t xml:space="preserve">FY26Q3 &gt;37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</si>
  <si>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公司數字為 </t>
    </r>
    <r>
      <rPr>
        <sz val="11"/>
        <color theme="1"/>
        <rFont val="Calibri"/>
        <family val="2"/>
        <charset val="1"/>
      </rPr>
      <t xml:space="preserve">FY26Q3 </t>
    </r>
    <r>
      <rPr>
        <sz val="11"/>
        <color theme="1"/>
        <rFont val="Noto Sans CJK SC"/>
        <family val="2"/>
      </rPr>
      <t xml:space="preserve">年化（期末水準），模型為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全年平均；要對上須期末對外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約多 </t>
    </r>
    <r>
      <rPr>
        <sz val="11"/>
        <color theme="1"/>
        <rFont val="Calibri"/>
        <family val="2"/>
        <charset val="1"/>
      </rPr>
      <t xml:space="preserve">20%–30%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較高</t>
    </r>
  </si>
  <si>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中 </t>
    </r>
    <r>
      <rPr>
        <sz val="11"/>
        <color theme="1"/>
        <rFont val="Calibri"/>
        <family val="2"/>
        <charset val="1"/>
      </rPr>
      <t xml:space="preserve">Azure AI </t>
    </r>
    <r>
      <rPr>
        <sz val="11"/>
        <color theme="1"/>
        <rFont val="Noto Sans CJK SC"/>
        <family val="2"/>
      </rPr>
      <t xml:space="preserve">占比（模型）</t>
    </r>
  </si>
  <si>
    <r>
      <rPr>
        <sz val="11"/>
        <color theme="1"/>
        <rFont val="Noto Sans CJK SC"/>
        <family val="2"/>
      </rPr>
      <t xml:space="preserve">公司未揭露 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中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占比（不存在）</t>
    </r>
  </si>
  <si>
    <r>
      <rPr>
        <sz val="11"/>
        <color theme="1"/>
        <rFont val="Calibri"/>
        <family val="2"/>
        <charset val="1"/>
      </rPr>
      <t xml:space="preserve">Copilot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（模型估計）</t>
    </r>
  </si>
  <si>
    <r>
      <rPr>
        <sz val="11"/>
        <color theme="1"/>
        <rFont val="Noto Sans CJK SC"/>
        <family val="2"/>
      </rPr>
      <t xml:space="preserve">公司未揭露 </t>
    </r>
    <r>
      <rPr>
        <sz val="11"/>
        <color theme="1"/>
        <rFont val="Calibri"/>
        <family val="2"/>
        <charset val="1"/>
      </rPr>
      <t xml:space="preserve">Copilot </t>
    </r>
    <r>
      <rPr>
        <sz val="11"/>
        <color theme="1"/>
        <rFont val="Noto Sans CJK SC"/>
        <family val="2"/>
      </rPr>
      <t xml:space="preserve">營收（不存在）；座席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百萬（</t>
    </r>
    <r>
      <rPr>
        <sz val="11"/>
        <color theme="1"/>
        <rFont val="Calibri"/>
        <family val="2"/>
        <charset val="1"/>
      </rPr>
      <t xml:space="preserve">FY26Q4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未更新座席（只說日活躍季增近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</si>
  <si>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Azure AI FY2027</t>
    </r>
    <r>
      <rPr>
        <sz val="11"/>
        <color theme="1"/>
        <rFont val="Noto Sans CJK SC"/>
        <family val="2"/>
      </rPr>
      <t xml:space="preserve">（模型）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來自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的營收 </t>
    </r>
    <r>
      <rPr>
        <sz val="11"/>
        <color theme="1"/>
        <rFont val="Calibri"/>
        <family val="2"/>
        <charset val="1"/>
      </rPr>
      <t xml:space="preserve">FY27Q1 × 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關係人揭露，含分潤）</t>
    </r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</si>
  <si>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營收含 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算力與分潤，不等於 </t>
    </r>
    <r>
      <rPr>
        <sz val="11"/>
        <color theme="1"/>
        <rFont val="Calibri"/>
        <family val="2"/>
        <charset val="1"/>
      </rPr>
      <t xml:space="preserve">Azure AI</t>
    </r>
    <r>
      <rPr>
        <sz val="11"/>
        <color theme="1"/>
        <rFont val="Noto Sans CJK SC"/>
        <family val="2"/>
      </rPr>
      <t xml:space="preserve">；模型 </t>
    </r>
    <r>
      <rPr>
        <sz val="11"/>
        <color theme="1"/>
        <rFont val="Calibri"/>
        <family val="2"/>
        <charset val="1"/>
      </rPr>
      <t xml:space="preserve">Azure AI </t>
    </r>
    <r>
      <rPr>
        <sz val="11"/>
        <color theme="1"/>
        <rFont val="Noto Sans CJK SC"/>
        <family val="2"/>
      </rPr>
      <t xml:space="preserve">含所有對外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客戶。只作量級驗證，不回推 </t>
    </r>
    <r>
      <rPr>
        <sz val="11"/>
        <color theme="1"/>
        <rFont val="Calibri"/>
        <family val="2"/>
        <charset val="1"/>
      </rPr>
      <t xml:space="preserve">k</t>
    </r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</si>
  <si>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Noto Sans CJK SC"/>
        <family val="2"/>
      </rPr>
      <t xml:space="preserve">產品線層級市場共識</t>
    </r>
  </si>
  <si>
    <r>
      <rPr>
        <sz val="11"/>
        <color theme="1"/>
        <rFont val="Calibri"/>
        <family val="2"/>
        <charset val="1"/>
      </rPr>
      <t xml:space="preserve">Azure</t>
    </r>
    <r>
      <rPr>
        <sz val="11"/>
        <color theme="1"/>
        <rFont val="Noto Sans CJK SC"/>
        <family val="2"/>
      </rPr>
      <t xml:space="preserve">：市場共識</t>
    </r>
  </si>
  <si>
    <r>
      <rPr>
        <sz val="11"/>
        <color theme="1"/>
        <rFont val="Noto Sans CJK SC"/>
        <family val="2"/>
      </rPr>
      <t xml:space="preserve">未找到（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新產品線口徑 </t>
    </r>
    <r>
      <rPr>
        <sz val="11"/>
        <color theme="1"/>
        <rFont val="Calibri"/>
        <family val="2"/>
        <charset val="1"/>
      </rPr>
      <t xml:space="preserve">2026-09-02 </t>
    </r>
    <r>
      <rPr>
        <sz val="11"/>
        <color theme="1"/>
        <rFont val="Noto Sans CJK SC"/>
        <family val="2"/>
      </rPr>
      <t xml:space="preserve">才公布；免費資料源無產品線共識）</t>
    </r>
  </si>
  <si>
    <r>
      <rPr>
        <sz val="11"/>
        <color theme="1"/>
        <rFont val="Calibri"/>
        <family val="2"/>
        <charset val="1"/>
      </rPr>
      <t xml:space="preserve">Microsoft 365 cloud</t>
    </r>
    <r>
      <rPr>
        <sz val="11"/>
        <color theme="1"/>
        <rFont val="Noto Sans CJK SC"/>
        <family val="2"/>
      </rPr>
      <t xml:space="preserve">：市場共識</t>
    </r>
  </si>
  <si>
    <r>
      <rPr>
        <sz val="11"/>
        <color theme="1"/>
        <rFont val="Calibri"/>
        <family val="2"/>
        <charset val="1"/>
      </rPr>
      <t xml:space="preserve">Productivity and server licensing</t>
    </r>
    <r>
      <rPr>
        <sz val="11"/>
        <color theme="1"/>
        <rFont val="Noto Sans CJK SC"/>
        <family val="2"/>
      </rPr>
      <t xml:space="preserve">：市場共識</t>
    </r>
  </si>
  <si>
    <r>
      <rPr>
        <sz val="11"/>
        <color theme="1"/>
        <rFont val="Calibri"/>
        <family val="2"/>
        <charset val="1"/>
      </rPr>
      <t xml:space="preserve">Industry solutions</t>
    </r>
    <r>
      <rPr>
        <sz val="11"/>
        <color theme="1"/>
        <rFont val="Noto Sans CJK SC"/>
        <family val="2"/>
      </rPr>
      <t xml:space="preserve">：市場共識</t>
    </r>
  </si>
  <si>
    <r>
      <rPr>
        <sz val="11"/>
        <color theme="1"/>
        <rFont val="Calibri"/>
        <family val="2"/>
        <charset val="1"/>
      </rPr>
      <t xml:space="preserve">Frontier and support services</t>
    </r>
    <r>
      <rPr>
        <sz val="11"/>
        <color theme="1"/>
        <rFont val="Noto Sans CJK SC"/>
        <family val="2"/>
      </rPr>
      <t xml:space="preserve">：市場共識</t>
    </r>
  </si>
  <si>
    <r>
      <rPr>
        <sz val="11"/>
        <color theme="1"/>
        <rFont val="Calibri"/>
        <family val="2"/>
        <charset val="1"/>
      </rPr>
      <t xml:space="preserve">Search and advertising</t>
    </r>
    <r>
      <rPr>
        <sz val="11"/>
        <color theme="1"/>
        <rFont val="Noto Sans CJK SC"/>
        <family val="2"/>
      </rPr>
      <t xml:space="preserve">：市場共識</t>
    </r>
  </si>
  <si>
    <r>
      <rPr>
        <sz val="11"/>
        <color theme="1"/>
        <rFont val="Calibri"/>
        <family val="2"/>
        <charset val="1"/>
      </rPr>
      <t xml:space="preserve">XBOX</t>
    </r>
    <r>
      <rPr>
        <sz val="11"/>
        <color theme="1"/>
        <rFont val="Noto Sans CJK SC"/>
        <family val="2"/>
      </rPr>
      <t xml:space="preserve">：市場共識</t>
    </r>
  </si>
  <si>
    <r>
      <rPr>
        <sz val="11"/>
        <color theme="1"/>
        <rFont val="Calibri"/>
        <family val="2"/>
        <charset val="1"/>
      </rPr>
      <t xml:space="preserve">Windows OEM and devices</t>
    </r>
    <r>
      <rPr>
        <sz val="11"/>
        <color theme="1"/>
        <rFont val="Noto Sans CJK SC"/>
        <family val="2"/>
      </rPr>
      <t xml:space="preserve">：市場共識</t>
    </r>
  </si>
  <si>
    <r>
      <rPr>
        <b val="true"/>
        <sz val="11"/>
        <rFont val="Cambria"/>
        <family val="0"/>
        <charset val="1"/>
      </rPr>
      <t xml:space="preserve">5. v0.3 → v0.3.1</t>
    </r>
    <r>
      <rPr>
        <b val="true"/>
        <sz val="11"/>
        <rFont val="Noto Sans CJK SC"/>
        <family val="2"/>
      </rPr>
      <t xml:space="preserve">：加權目標價變動拆解（依序累加；每步以 </t>
    </r>
    <r>
      <rPr>
        <b val="true"/>
        <sz val="11"/>
        <rFont val="Cambria"/>
        <family val="0"/>
        <charset val="1"/>
      </rPr>
      <t xml:space="preserve">LibreOffice </t>
    </r>
    <r>
      <rPr>
        <b val="true"/>
        <sz val="11"/>
        <rFont val="Noto Sans CJK SC"/>
        <family val="2"/>
      </rPr>
      <t xml:space="preserve">整本重算；</t>
    </r>
    <r>
      <rPr>
        <b val="true"/>
        <sz val="11"/>
        <rFont val="Cambria"/>
        <family val="0"/>
        <charset val="1"/>
      </rPr>
      <t xml:space="preserve">microsoft/attrib_v031.py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</si>
  <si>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加權目標價（以本程式 </t>
    </r>
    <r>
      <rPr>
        <sz val="11"/>
        <color theme="1"/>
        <rFont val="Calibri"/>
        <family val="2"/>
        <charset val="1"/>
      </rPr>
      <t xml:space="preserve">--legacy-q1 </t>
    </r>
    <r>
      <rPr>
        <sz val="11"/>
        <color theme="1"/>
        <rFont val="Noto Sans CJK SC"/>
        <family val="2"/>
      </rPr>
      <t xml:space="preserve">等設定重現；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成品 </t>
    </r>
    <r>
      <rPr>
        <sz val="11"/>
        <color theme="1"/>
        <rFont val="Calibri"/>
        <family val="2"/>
        <charset val="1"/>
      </rPr>
      <t xml:space="preserve">385.56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</si>
  <si>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重現差 </t>
    </r>
    <r>
      <rPr>
        <sz val="11"/>
        <color theme="1"/>
        <rFont val="Calibri"/>
        <family val="2"/>
        <charset val="1"/>
      </rPr>
      <t xml:space="preserve">+0.000200</t>
    </r>
  </si>
  <si>
    <r>
      <rPr>
        <sz val="11"/>
        <color theme="1"/>
        <rFont val="Calibri"/>
        <family val="2"/>
        <charset val="1"/>
      </rPr>
      <t xml:space="preserve">(a) </t>
    </r>
    <r>
      <rPr>
        <sz val="11"/>
        <color theme="1"/>
        <rFont val="Noto Sans CJK SC"/>
        <family val="2"/>
      </rPr>
      <t xml:space="preserve">時間推移：目標價時點 </t>
    </r>
    <r>
      <rPr>
        <sz val="11"/>
        <color theme="1"/>
        <rFont val="Calibri"/>
        <family val="2"/>
        <charset val="1"/>
      </rPr>
      <t xml:space="preserve">2027-10-27 → 2027-10-29</t>
    </r>
    <r>
      <rPr>
        <sz val="11"/>
        <color theme="1"/>
        <rFont val="Noto Sans CJK SC"/>
        <family val="2"/>
      </rPr>
      <t xml:space="preserve">（評價日移到 </t>
    </r>
    <r>
      <rPr>
        <sz val="11"/>
        <color theme="1"/>
        <rFont val="Calibri"/>
        <family val="2"/>
        <charset val="1"/>
      </rPr>
      <t xml:space="preserve">2026-09-30 </t>
    </r>
    <r>
      <rPr>
        <sz val="11"/>
        <color theme="1"/>
        <rFont val="Noto Sans CJK SC"/>
        <family val="2"/>
      </rPr>
      <t xml:space="preserve">在模型自洽時不改價值，其實際影響併入 </t>
    </r>
    <r>
      <rPr>
        <sz val="11"/>
        <color theme="1"/>
        <rFont val="Calibri"/>
        <family val="2"/>
        <charset val="1"/>
      </rPr>
      <t xml:space="preserve">(b)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</si>
  <si>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累計 </t>
    </r>
    <r>
      <rPr>
        <sz val="11"/>
        <color theme="1"/>
        <rFont val="Calibri"/>
        <family val="2"/>
        <charset val="1"/>
      </rPr>
      <t xml:space="preserve">385.84</t>
    </r>
    <r>
      <rPr>
        <sz val="11"/>
        <color theme="1"/>
        <rFont val="Noto Sans CJK SC"/>
        <family val="2"/>
      </rPr>
      <t xml:space="preserve">；讀法 </t>
    </r>
    <r>
      <rPr>
        <sz val="11"/>
        <color theme="1"/>
        <rFont val="Calibri"/>
        <family val="2"/>
        <charset val="1"/>
      </rPr>
      <t xml:space="preserve">1 315.50</t>
    </r>
  </si>
  <si>
    <r>
      <rPr>
        <sz val="11"/>
        <color theme="1"/>
        <rFont val="Calibri"/>
        <family val="2"/>
        <charset val="1"/>
      </rPr>
      <t xml:space="preserve">(b) </t>
    </r>
    <r>
      <rPr>
        <sz val="11"/>
        <color theme="1"/>
        <rFont val="Noto Sans CJK SC"/>
        <family val="2"/>
      </rPr>
      <t xml:space="preserve">新季實績：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滾入（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Q2–Q4 </t>
    </r>
    <r>
      <rPr>
        <sz val="11"/>
        <color theme="1"/>
        <rFont val="Noto Sans CJK SC"/>
        <family val="2"/>
      </rPr>
      <t xml:space="preserve">模型；評價日 </t>
    </r>
    <r>
      <rPr>
        <sz val="11"/>
        <color theme="1"/>
        <rFont val="Calibri"/>
        <family val="2"/>
        <charset val="1"/>
      </rPr>
      <t xml:space="preserve">2026-09-30 </t>
    </r>
    <r>
      <rPr>
        <sz val="11"/>
        <color theme="1"/>
        <rFont val="Noto Sans CJK SC"/>
        <family val="2"/>
      </rPr>
      <t xml:space="preserve">的現金、債務、租賃、股數）</t>
    </r>
  </si>
  <si>
    <r>
      <rPr>
        <sz val="11"/>
        <color theme="1"/>
        <rFont val="Noto Sans CJK SC"/>
        <family val="2"/>
      </rPr>
      <t xml:space="preserve">累計 </t>
    </r>
    <r>
      <rPr>
        <sz val="11"/>
        <color theme="1"/>
        <rFont val="Calibri"/>
        <family val="2"/>
        <charset val="1"/>
      </rPr>
      <t xml:space="preserve">386.26</t>
    </r>
    <r>
      <rPr>
        <sz val="11"/>
        <color theme="1"/>
        <rFont val="Noto Sans CJK SC"/>
        <family val="2"/>
      </rPr>
      <t xml:space="preserve">；讀法 </t>
    </r>
    <r>
      <rPr>
        <sz val="11"/>
        <color theme="1"/>
        <rFont val="Calibri"/>
        <family val="2"/>
        <charset val="1"/>
      </rPr>
      <t xml:space="preserve">1 316.03</t>
    </r>
  </si>
  <si>
    <r>
      <rPr>
        <sz val="11"/>
        <color theme="1"/>
        <rFont val="Calibri"/>
        <family val="2"/>
        <charset val="1"/>
      </rPr>
      <t xml:space="preserve">(c) </t>
    </r>
    <r>
      <rPr>
        <sz val="11"/>
        <color theme="1"/>
        <rFont val="Noto Sans CJK SC"/>
        <family val="2"/>
      </rPr>
      <t xml:space="preserve">公司指引與 </t>
    </r>
    <r>
      <rPr>
        <sz val="11"/>
        <color theme="1"/>
        <rFont val="Calibri"/>
        <family val="2"/>
        <charset val="1"/>
      </rPr>
      <t xml:space="preserve">C10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資本支出推估 </t>
    </r>
    <r>
      <rPr>
        <sz val="11"/>
        <color theme="1"/>
        <rFont val="Calibri"/>
        <family val="2"/>
        <charset val="1"/>
      </rPr>
      <t xml:space="preserve">204.2</t>
    </r>
    <r>
      <rPr>
        <sz val="11"/>
        <color theme="1"/>
        <rFont val="Noto Sans CJK SC"/>
        <family val="2"/>
      </rPr>
      <t xml:space="preserve">（上半年 </t>
    </r>
    <r>
      <rPr>
        <sz val="11"/>
        <color theme="1"/>
        <rFont val="Calibri"/>
        <family val="2"/>
        <charset val="1"/>
      </rPr>
      <t xml:space="preserve">97.1</t>
    </r>
    <r>
      <rPr>
        <sz val="11"/>
        <color theme="1"/>
        <rFont val="Noto Sans CJK SC"/>
        <family val="2"/>
      </rPr>
      <t xml:space="preserve">＋下半年 </t>
    </r>
    <r>
      <rPr>
        <sz val="11"/>
        <color theme="1"/>
        <rFont val="Calibri"/>
        <family val="2"/>
        <charset val="1"/>
      </rPr>
      <t xml:space="preserve">107.1</t>
    </r>
    <r>
      <rPr>
        <sz val="11"/>
        <color theme="1"/>
        <rFont val="Noto Sans CJK SC"/>
        <family val="2"/>
      </rPr>
      <t xml:space="preserve">）→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速度重解（對帳落差 ≈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）；業外 −</t>
    </r>
    <r>
      <rPr>
        <sz val="11"/>
        <color theme="1"/>
        <rFont val="Calibri"/>
        <family val="2"/>
        <charset val="1"/>
      </rPr>
      <t xml:space="preserve">0.4 → −1.2</t>
    </r>
    <r>
      <rPr>
        <sz val="11"/>
        <color theme="1"/>
        <rFont val="Noto Sans CJK SC"/>
        <family val="2"/>
      </rPr>
      <t xml:space="preserve">／年</t>
    </r>
  </si>
  <si>
    <r>
      <rPr>
        <sz val="11"/>
        <color theme="1"/>
        <rFont val="Noto Sans CJK SC"/>
        <family val="2"/>
      </rPr>
      <t xml:space="preserve">累計 </t>
    </r>
    <r>
      <rPr>
        <sz val="11"/>
        <color theme="1"/>
        <rFont val="Calibri"/>
        <family val="2"/>
        <charset val="1"/>
      </rPr>
      <t xml:space="preserve">388.05</t>
    </r>
    <r>
      <rPr>
        <sz val="11"/>
        <color theme="1"/>
        <rFont val="Noto Sans CJK SC"/>
        <family val="2"/>
      </rPr>
      <t xml:space="preserve">；讀法 </t>
    </r>
    <r>
      <rPr>
        <sz val="11"/>
        <color theme="1"/>
        <rFont val="Calibri"/>
        <family val="2"/>
        <charset val="1"/>
      </rPr>
      <t xml:space="preserve">1 313.99</t>
    </r>
  </si>
  <si>
    <r>
      <rPr>
        <sz val="11"/>
        <color theme="1"/>
        <rFont val="Calibri"/>
        <family val="2"/>
        <charset val="1"/>
      </rPr>
      <t xml:space="preserve">(d) Tokenomics v21.4 → v21.7</t>
    </r>
    <r>
      <rPr>
        <sz val="11"/>
        <color theme="1"/>
        <rFont val="Noto Sans CJK SC"/>
        <family val="2"/>
      </rPr>
      <t xml:space="preserve">（契約名稱值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差異）＋ </t>
    </r>
    <r>
      <rPr>
        <sz val="11"/>
        <color theme="1"/>
        <rFont val="Calibri"/>
        <family val="2"/>
        <charset val="1"/>
      </rPr>
      <t xml:space="preserve">NonNV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改讀 </t>
    </r>
    <r>
      <rPr>
        <sz val="11"/>
        <color theme="1"/>
        <rFont val="Calibri"/>
        <family val="2"/>
        <charset val="1"/>
      </rPr>
      <t xml:space="preserve">IF_NonNV_*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C10 </t>
    </r>
    <r>
      <rPr>
        <sz val="11"/>
        <color theme="1"/>
        <rFont val="Noto Sans CJK SC"/>
        <family val="2"/>
      </rPr>
      <t xml:space="preserve">重解）</t>
    </r>
  </si>
  <si>
    <r>
      <rPr>
        <sz val="11"/>
        <color theme="1"/>
        <rFont val="Noto Sans CJK SC"/>
        <family val="2"/>
      </rPr>
      <t xml:space="preserve">累計 </t>
    </r>
    <r>
      <rPr>
        <sz val="11"/>
        <color theme="1"/>
        <rFont val="Calibri"/>
        <family val="2"/>
        <charset val="1"/>
      </rPr>
      <t xml:space="preserve">385.06</t>
    </r>
    <r>
      <rPr>
        <sz val="11"/>
        <color theme="1"/>
        <rFont val="Noto Sans CJK SC"/>
        <family val="2"/>
      </rPr>
      <t xml:space="preserve">；讀法 </t>
    </r>
    <r>
      <rPr>
        <sz val="11"/>
        <color theme="1"/>
        <rFont val="Calibri"/>
        <family val="2"/>
        <charset val="1"/>
      </rPr>
      <t xml:space="preserve">1 311.84</t>
    </r>
  </si>
  <si>
    <r>
      <rPr>
        <sz val="11"/>
        <color theme="1"/>
        <rFont val="Calibri"/>
        <family val="2"/>
        <charset val="1"/>
      </rPr>
      <t xml:space="preserve">(e) </t>
    </r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532.60 → 531.01</t>
    </r>
    <r>
      <rPr>
        <sz val="11"/>
        <color theme="1"/>
        <rFont val="Noto Sans CJK SC"/>
        <family val="2"/>
      </rPr>
      <t xml:space="preserve">（只經 </t>
    </r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Noto Sans CJK SC"/>
        <family val="2"/>
      </rPr>
      <t xml:space="preserve">權重與回購價影響目標價）與共識（不影響目標價）</t>
    </r>
  </si>
  <si>
    <r>
      <rPr>
        <sz val="11"/>
        <color theme="1"/>
        <rFont val="Noto Sans CJK SC"/>
        <family val="2"/>
      </rPr>
      <t xml:space="preserve">累計 </t>
    </r>
    <r>
      <rPr>
        <sz val="11"/>
        <color theme="1"/>
        <rFont val="Calibri"/>
        <family val="2"/>
        <charset val="1"/>
      </rPr>
      <t xml:space="preserve">385.07</t>
    </r>
    <r>
      <rPr>
        <sz val="11"/>
        <color theme="1"/>
        <rFont val="Noto Sans CJK SC"/>
        <family val="2"/>
      </rPr>
      <t xml:space="preserve">；讀法 </t>
    </r>
    <r>
      <rPr>
        <sz val="11"/>
        <color theme="1"/>
        <rFont val="Calibri"/>
        <family val="2"/>
        <charset val="1"/>
      </rPr>
      <t xml:space="preserve">1 311.85</t>
    </r>
  </si>
  <si>
    <r>
      <rPr>
        <sz val="11"/>
        <color theme="1"/>
        <rFont val="Calibri"/>
        <family val="2"/>
        <charset val="1"/>
      </rPr>
      <t xml:space="preserve">(f) </t>
    </r>
    <r>
      <rPr>
        <sz val="11"/>
        <color theme="1"/>
        <rFont val="Noto Sans CJK SC"/>
        <family val="2"/>
      </rPr>
      <t xml:space="preserve">其他：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持股 </t>
    </r>
    <r>
      <rPr>
        <sz val="11"/>
        <color theme="1"/>
        <rFont val="Calibri"/>
        <family val="2"/>
        <charset val="1"/>
      </rPr>
      <t xml:space="preserve">25% → 24%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10-Q FY27Q1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</si>
  <si>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累計 </t>
    </r>
    <r>
      <rPr>
        <sz val="11"/>
        <color theme="1"/>
        <rFont val="Calibri"/>
        <family val="2"/>
        <charset val="1"/>
      </rPr>
      <t xml:space="preserve">384.10</t>
    </r>
    <r>
      <rPr>
        <sz val="11"/>
        <color theme="1"/>
        <rFont val="Noto Sans CJK SC"/>
        <family val="2"/>
      </rPr>
      <t xml:space="preserve">；讀法 </t>
    </r>
    <r>
      <rPr>
        <sz val="11"/>
        <color theme="1"/>
        <rFont val="Calibri"/>
        <family val="2"/>
        <charset val="1"/>
      </rPr>
      <t xml:space="preserve">1 310.88</t>
    </r>
  </si>
  <si>
    <r>
      <rPr>
        <sz val="11"/>
        <color theme="1"/>
        <rFont val="Calibri"/>
        <family val="2"/>
        <charset val="1"/>
      </rPr>
      <t xml:space="preserve">v0.3.1 </t>
    </r>
    <r>
      <rPr>
        <sz val="11"/>
        <color theme="1"/>
        <rFont val="Noto Sans CJK SC"/>
        <family val="2"/>
      </rPr>
      <t xml:space="preserve">加權目標價（本檔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</si>
  <si>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(a)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(f) − v0.3.1</t>
    </r>
    <r>
      <rPr>
        <sz val="11"/>
        <color theme="1"/>
        <rFont val="Noto Sans CJK SC"/>
        <family val="2"/>
      </rPr>
      <t xml:space="preserve">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</si>
  <si>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拆解 </t>
    </r>
    <r>
      <rPr>
        <sz val="11"/>
        <color theme="1"/>
        <rFont val="Calibri"/>
        <family val="2"/>
        <charset val="1"/>
      </rPr>
      <t xml:space="preserve">JSON </t>
    </r>
    <r>
      <rPr>
        <sz val="11"/>
        <color theme="1"/>
        <rFont val="Noto Sans CJK SC"/>
        <family val="2"/>
      </rPr>
      <t xml:space="preserve">與本檔不同步時不為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（重跑 </t>
    </r>
    <r>
      <rPr>
        <sz val="11"/>
        <color theme="1"/>
        <rFont val="Calibri"/>
        <family val="2"/>
        <charset val="1"/>
      </rPr>
      <t xml:space="preserve">attrib_v031.py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</si>
  <si>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新季實績 </t>
    </r>
    <r>
      <rPr>
        <b val="true"/>
        <sz val="11"/>
        <rFont val="Cambria"/>
        <family val="0"/>
        <charset val="1"/>
      </rPr>
      <t xml:space="preserve">vs v0.3 </t>
    </r>
    <r>
      <rPr>
        <b val="true"/>
        <sz val="11"/>
        <rFont val="Noto Sans CJK SC"/>
        <family val="2"/>
      </rPr>
      <t xml:space="preserve">模型（</t>
    </r>
    <r>
      <rPr>
        <b val="true"/>
        <sz val="11"/>
        <rFont val="Cambria"/>
        <family val="0"/>
        <charset val="1"/>
      </rPr>
      <t xml:space="preserve">FY27Q1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v0.3 </t>
    </r>
    <r>
      <rPr>
        <b val="true"/>
        <sz val="11"/>
        <rFont val="Noto Sans CJK SC"/>
        <family val="2"/>
      </rPr>
      <t xml:space="preserve">模型季值＝</t>
    </r>
    <r>
      <rPr>
        <b val="true"/>
        <sz val="11"/>
        <rFont val="Cambria"/>
        <family val="0"/>
        <charset val="1"/>
      </rPr>
      <t xml:space="preserve">v0.3 </t>
    </r>
    <r>
      <rPr>
        <b val="true"/>
        <sz val="11"/>
        <rFont val="Noto Sans CJK SC"/>
        <family val="2"/>
      </rPr>
      <t xml:space="preserve">基準情境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全年 </t>
    </r>
    <r>
      <rPr>
        <b val="true"/>
        <sz val="11"/>
        <rFont val="Cambria"/>
        <family val="0"/>
        <charset val="1"/>
      </rPr>
      <t xml:space="preserve">× FY26Q1 </t>
    </r>
    <r>
      <rPr>
        <b val="true"/>
        <sz val="11"/>
        <rFont val="Noto Sans CJK SC"/>
        <family val="2"/>
      </rPr>
      <t xml:space="preserve">占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比重）</t>
    </r>
  </si>
  <si>
    <r>
      <rPr>
        <b val="true"/>
        <sz val="11"/>
        <rFont val="Cambria"/>
        <family val="0"/>
        <charset val="1"/>
      </rPr>
      <t xml:space="preserve">FY27Q1 </t>
    </r>
    <r>
      <rPr>
        <b val="true"/>
        <sz val="11"/>
        <rFont val="Noto Sans CJK SC"/>
        <family val="2"/>
      </rPr>
      <t xml:space="preserve">實績</t>
    </r>
  </si>
  <si>
    <r>
      <rPr>
        <b val="true"/>
        <sz val="11"/>
        <rFont val="Cambria"/>
        <family val="0"/>
        <charset val="1"/>
      </rPr>
      <t xml:space="preserve">v0.3 </t>
    </r>
    <r>
      <rPr>
        <b val="true"/>
        <sz val="11"/>
        <rFont val="Noto Sans CJK SC"/>
        <family val="2"/>
      </rPr>
      <t xml:space="preserve">模型季值</t>
    </r>
  </si>
  <si>
    <r>
      <rPr>
        <sz val="11"/>
        <color theme="1"/>
        <rFont val="Calibri"/>
        <family val="2"/>
        <charset val="1"/>
      </rPr>
      <t xml:space="preserve">Azure AI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推得；差額歸 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其他</t>
    </r>
  </si>
  <si>
    <r>
      <rPr>
        <sz val="11"/>
        <color theme="1"/>
        <rFont val="Calibri"/>
        <family val="2"/>
        <charset val="1"/>
      </rPr>
      <t xml:space="preserve">GitHub Copilot </t>
    </r>
    <r>
      <rPr>
        <sz val="11"/>
        <color theme="1"/>
        <rFont val="Noto Sans CJK SC"/>
        <family val="2"/>
      </rPr>
      <t xml:space="preserve">用量帶動</t>
    </r>
  </si>
  <si>
    <t xml:space="preserve">前一年產品上市的高基期</t>
  </si>
  <si>
    <r>
      <rPr>
        <sz val="11"/>
        <color theme="1"/>
        <rFont val="Calibri"/>
        <family val="2"/>
        <charset val="1"/>
      </rPr>
      <t xml:space="preserve">Windows 10 </t>
    </r>
    <r>
      <rPr>
        <sz val="11"/>
        <color theme="1"/>
        <rFont val="Noto Sans CJK SC"/>
        <family val="2"/>
      </rPr>
      <t xml:space="preserve">終止支援的高基期、通路去庫存、</t>
    </r>
    <r>
      <rPr>
        <sz val="11"/>
        <color theme="1"/>
        <rFont val="Calibri"/>
        <family val="2"/>
        <charset val="1"/>
      </rPr>
      <t xml:space="preserve">PC </t>
    </r>
    <r>
      <rPr>
        <sz val="11"/>
        <color theme="1"/>
        <rFont val="Noto Sans CJK SC"/>
        <family val="2"/>
      </rPr>
      <t xml:space="preserve">需求弱</t>
    </r>
  </si>
  <si>
    <r>
      <rPr>
        <sz val="11"/>
        <color theme="1"/>
        <rFont val="Noto Sans CJK SC"/>
        <family val="2"/>
      </rPr>
      <t xml:space="preserve">營運費用年增 </t>
    </r>
    <r>
      <rPr>
        <sz val="11"/>
        <color theme="1"/>
        <rFont val="Calibri"/>
        <family val="2"/>
        <charset val="1"/>
      </rPr>
      <t xml:space="preserve">10% </t>
    </r>
    <r>
      <rPr>
        <sz val="11"/>
        <color theme="1"/>
        <rFont val="Noto Sans CJK SC"/>
        <family val="2"/>
      </rPr>
      <t xml:space="preserve">低於營收</t>
    </r>
  </si>
  <si>
    <r>
      <rPr>
        <sz val="11"/>
        <color theme="1"/>
        <rFont val="Calibri"/>
        <family val="2"/>
        <charset val="1"/>
      </rPr>
      <t xml:space="preserve">Activision </t>
    </r>
    <r>
      <rPr>
        <sz val="11"/>
        <color theme="1"/>
        <rFont val="Noto Sans CJK SC"/>
        <family val="2"/>
      </rPr>
      <t xml:space="preserve">無形資產攤銷減少</t>
    </r>
  </si>
  <si>
    <t xml:space="preserve">合併營業利益</t>
  </si>
  <si>
    <r>
      <rPr>
        <sz val="11"/>
        <color theme="1"/>
        <rFont val="Noto Sans CJK SC"/>
        <family val="2"/>
      </rPr>
      <t xml:space="preserve">資本支出（公司口徑）：實績 </t>
    </r>
    <r>
      <rPr>
        <sz val="11"/>
        <color theme="1"/>
        <rFont val="Calibri"/>
        <family val="2"/>
        <charset val="1"/>
      </rPr>
      <t xml:space="preserve">vs v0.3 </t>
    </r>
    <r>
      <rPr>
        <sz val="11"/>
        <color theme="1"/>
        <rFont val="Noto Sans CJK SC"/>
        <family val="2"/>
      </rPr>
      <t xml:space="preserve">全年 </t>
    </r>
    <r>
      <rPr>
        <sz val="11"/>
        <color theme="1"/>
        <rFont val="Calibri"/>
        <family val="2"/>
        <charset val="1"/>
      </rPr>
      <t xml:space="preserve">÷ 4</t>
    </r>
  </si>
  <si>
    <r>
      <rPr>
        <sz val="11"/>
        <color theme="1"/>
        <rFont val="Noto Sans CJK SC"/>
        <family val="2"/>
      </rPr>
      <t xml:space="preserve">第三方產能交付延後；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全年 </t>
    </r>
    <r>
      <rPr>
        <sz val="11"/>
        <color theme="1"/>
        <rFont val="Calibri"/>
        <family val="2"/>
        <charset val="1"/>
      </rPr>
      <t xml:space="preserve">204.2</t>
    </r>
  </si>
  <si>
    <r>
      <rPr>
        <b val="true"/>
        <sz val="11"/>
        <rFont val="Cambria"/>
        <family val="0"/>
        <charset val="1"/>
      </rPr>
      <t xml:space="preserve">7. v0.3.1 vs v0.2.2</t>
    </r>
    <r>
      <rPr>
        <b val="true"/>
        <sz val="11"/>
        <rFont val="Noto Sans CJK SC"/>
        <family val="2"/>
      </rPr>
      <t xml:space="preserve">：目標價差異拆解（加總＝總變動；沿用 </t>
    </r>
    <r>
      <rPr>
        <b val="true"/>
        <sz val="11"/>
        <rFont val="Cambria"/>
        <family val="0"/>
        <charset val="1"/>
      </rPr>
      <t xml:space="preserve">v0.3 </t>
    </r>
    <r>
      <rPr>
        <b val="true"/>
        <sz val="11"/>
        <rFont val="Noto Sans CJK SC"/>
        <family val="2"/>
      </rPr>
      <t xml:space="preserve">的拆法）</t>
    </r>
  </si>
  <si>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基準目標價（讀法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DCF 45%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EV/EBITDA 55%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</si>
  <si>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① 評價權重 </t>
    </r>
    <r>
      <rPr>
        <sz val="11"/>
        <color theme="1"/>
        <rFont val="Calibri"/>
        <family val="2"/>
        <charset val="1"/>
      </rPr>
      <t xml:space="preserve">old_w → w_dcf</t>
    </r>
    <r>
      <rPr>
        <sz val="11"/>
        <color theme="1"/>
        <rFont val="Noto Sans CJK SC"/>
        <family val="2"/>
      </rPr>
      <t xml:space="preserve">（用 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的兩條腿）</t>
    </r>
  </si>
  <si>
    <t xml:space="preserve">方法</t>
  </si>
  <si>
    <r>
      <rPr>
        <sz val="11"/>
        <color theme="1"/>
        <rFont val="Calibri"/>
        <family val="2"/>
        <charset val="1"/>
      </rPr>
      <t xml:space="preserve">② DCF </t>
    </r>
    <r>
      <rPr>
        <sz val="11"/>
        <color theme="1"/>
        <rFont val="Noto Sans CJK SC"/>
        <family val="2"/>
      </rPr>
      <t xml:space="preserve">腿：</t>
    </r>
    <r>
      <rPr>
        <sz val="11"/>
        <color theme="1"/>
        <rFont val="Calibri"/>
        <family val="2"/>
        <charset val="1"/>
      </rPr>
      <t xml:space="preserve">v0.2.2 DCF → v0.3.1 </t>
    </r>
    <r>
      <rPr>
        <sz val="11"/>
        <color theme="1"/>
        <rFont val="Noto Sans CJK SC"/>
        <family val="2"/>
      </rPr>
      <t xml:space="preserve">基準情境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× 50%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</si>
  <si>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營收結構（分部＋產品線）、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折舊進損益與稅、資本支出路徑、永續期口徑</t>
    </r>
  </si>
  <si>
    <r>
      <rPr>
        <sz val="11"/>
        <color theme="1"/>
        <rFont val="Noto Sans CJK SC"/>
        <family val="2"/>
      </rPr>
      <t xml:space="preserve">③ 倍數腿：</t>
    </r>
    <r>
      <rPr>
        <sz val="11"/>
        <color theme="1"/>
        <rFont val="Calibri"/>
        <family val="2"/>
        <charset val="1"/>
      </rPr>
      <t xml:space="preserve">v0.2.2 EV/EBITDA → v0.3.1 </t>
    </r>
    <r>
      <rPr>
        <sz val="11"/>
        <color theme="1"/>
        <rFont val="Noto Sans CJK SC"/>
        <family val="2"/>
      </rPr>
      <t xml:space="preserve">基準情境 </t>
    </r>
    <r>
      <rPr>
        <sz val="11"/>
        <color theme="1"/>
        <rFont val="Calibri"/>
        <family val="2"/>
        <charset val="1"/>
      </rPr>
      <t xml:space="preserve">SOTP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× 50%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</si>
  <si>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產品線 </t>
    </r>
    <r>
      <rPr>
        <sz val="11"/>
        <color theme="1"/>
        <rFont val="Calibri"/>
        <family val="2"/>
        <charset val="1"/>
      </rPr>
      <t xml:space="preserve">EBITDA × </t>
    </r>
    <r>
      <rPr>
        <sz val="11"/>
        <color theme="1"/>
        <rFont val="Noto Sans CJK SC"/>
        <family val="2"/>
      </rPr>
      <t xml:space="preserve">各同業倍數（取代 </t>
    </r>
    <r>
      <rPr>
        <sz val="11"/>
        <color theme="1"/>
        <rFont val="Calibri"/>
        <family val="2"/>
        <charset val="1"/>
      </rPr>
      <t xml:space="preserve">AI 6×</t>
    </r>
    <r>
      <rPr>
        <sz val="11"/>
        <color theme="1"/>
        <rFont val="Noto Sans CJK SC"/>
        <family val="2"/>
      </rPr>
      <t xml:space="preserve">／非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加權倍數）</t>
    </r>
  </si>
  <si>
    <r>
      <rPr>
        <sz val="11"/>
        <color theme="1"/>
        <rFont val="Noto Sans CJK SC"/>
        <family val="2"/>
      </rPr>
      <t xml:space="preserve">④ 情境加權：基準情境 → </t>
    </r>
    <r>
      <rPr>
        <sz val="11"/>
        <color theme="1"/>
        <rFont val="Calibri"/>
        <family val="2"/>
        <charset val="1"/>
      </rPr>
      <t xml:space="preserve">A 25%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50%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25%</t>
    </r>
  </si>
  <si>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以基準情境為點位</t>
    </r>
  </si>
  <si>
    <r>
      <rPr>
        <sz val="11"/>
        <color theme="1"/>
        <rFont val="Calibri"/>
        <family val="2"/>
        <charset val="1"/>
      </rPr>
      <t xml:space="preserve">v0.3.1 </t>
    </r>
    <r>
      <rPr>
        <sz val="11"/>
        <color theme="1"/>
        <rFont val="Noto Sans CJK SC"/>
        <family val="2"/>
      </rPr>
      <t xml:space="preserve">加權目標價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</si>
  <si>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＋ ①＋②＋③＋④ − </t>
    </r>
    <r>
      <rPr>
        <sz val="11"/>
        <color theme="1"/>
        <rFont val="Calibri"/>
        <family val="2"/>
        <charset val="1"/>
      </rPr>
      <t xml:space="preserve">v0.3.1</t>
    </r>
    <r>
      <rPr>
        <sz val="11"/>
        <color theme="1"/>
        <rFont val="Noto Sans CJK SC"/>
        <family val="2"/>
      </rPr>
      <t xml:space="preserve">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</si>
  <si>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一次動一個驅動，三情境全部重算後的加權目標價（</t>
    </r>
    <r>
      <rPr>
        <sz val="11"/>
        <color theme="1"/>
        <rFont val="Calibri"/>
        <family val="2"/>
        <charset val="1"/>
      </rPr>
      <t xml:space="preserve">DCF 50%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SOTP 50%</t>
    </r>
    <r>
      <rPr>
        <sz val="11"/>
        <color theme="1"/>
        <rFont val="Noto Sans CJK SC"/>
        <family val="2"/>
      </rPr>
      <t xml:space="preserve">、情境 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；主值讀法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）；下方列 </t>
    </r>
    <r>
      <rPr>
        <sz val="11"/>
        <color theme="1"/>
        <rFont val="Calibri"/>
        <family val="2"/>
        <charset val="1"/>
      </rPr>
      <t xml:space="preserve">200 </t>
    </r>
    <r>
      <rPr>
        <sz val="11"/>
        <color theme="1"/>
        <rFont val="Noto Sans CJK SC"/>
        <family val="2"/>
      </rPr>
      <t xml:space="preserve">起為各案例的完整引擎區塊（與主模型同一個函式）。「整本重算」列為 </t>
    </r>
    <r>
      <rPr>
        <sz val="11"/>
        <color theme="1"/>
        <rFont val="Calibri"/>
        <family val="2"/>
        <charset val="1"/>
      </rPr>
      <t xml:space="preserve">microsoft/sens_v033.py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LibreOffice </t>
    </r>
    <r>
      <rPr>
        <sz val="11"/>
        <color theme="1"/>
        <rFont val="Noto Sans CJK SC"/>
        <family val="2"/>
      </rPr>
      <t xml:space="preserve">重算整本活頁簿的數值（</t>
    </r>
    <r>
      <rPr>
        <sz val="11"/>
        <color theme="1"/>
        <rFont val="Calibri"/>
        <family val="2"/>
        <charset val="1"/>
      </rPr>
      <t xml:space="preserve">v0.3.3</t>
    </r>
    <r>
      <rPr>
        <sz val="11"/>
        <color theme="1"/>
        <rFont val="Noto Sans CJK SC"/>
        <family val="2"/>
      </rPr>
      <t xml:space="preserve">，原則第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節：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頁每個有低／高的鍵都有案例，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欄「鍵」）</t>
    </r>
  </si>
  <si>
    <r>
      <rPr>
        <sz val="11"/>
        <color theme="1"/>
        <rFont val="Noto Sans CJK SC"/>
        <family val="2"/>
      </rPr>
      <t xml:space="preserve">豁免（原則第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節；</t>
    </r>
    <r>
      <rPr>
        <sz val="11"/>
        <color theme="1"/>
        <rFont val="Calibri"/>
        <family val="2"/>
        <charset val="1"/>
      </rPr>
      <t xml:space="preserve">2026-10-30 </t>
    </r>
    <r>
      <rPr>
        <sz val="11"/>
        <color theme="1"/>
        <rFont val="Noto Sans CJK SC"/>
        <family val="2"/>
      </rPr>
      <t xml:space="preserve">整本重算）：</t>
    </r>
    <r>
      <rPr>
        <sz val="11"/>
        <color theme="1"/>
        <rFont val="Calibri"/>
        <family val="2"/>
        <charset val="1"/>
      </rPr>
      <t xml:space="preserve">ai_net_open</t>
    </r>
    <r>
      <rPr>
        <sz val="11"/>
        <color theme="1"/>
        <rFont val="Noto Sans CJK SC"/>
        <family val="2"/>
      </rPr>
      <t xml:space="preserve">（期初 </t>
    </r>
    <r>
      <rPr>
        <sz val="11"/>
        <color theme="1"/>
        <rFont val="Calibri"/>
        <family val="2"/>
        <charset val="1"/>
      </rPr>
      <t xml:space="preserve">AI PP&amp;E </t>
    </r>
    <r>
      <rPr>
        <sz val="11"/>
        <color theme="1"/>
        <rFont val="Noto Sans CJK SC"/>
        <family val="2"/>
      </rPr>
      <t xml:space="preserve">淨額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毛額）不列：只進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增量 </t>
    </r>
    <r>
      <rPr>
        <sz val="11"/>
        <color theme="1"/>
        <rFont val="Calibri"/>
        <family val="2"/>
        <charset val="1"/>
      </rPr>
      <t xml:space="preserve">ROIC </t>
    </r>
    <r>
      <rPr>
        <sz val="11"/>
        <color theme="1"/>
        <rFont val="Noto Sans CJK SC"/>
        <family val="2"/>
      </rPr>
      <t xml:space="preserve">的期初投入資本，不進目標價，重算變動為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90%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384.1046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384.1046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m_ai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Azure AI </t>
    </r>
    <r>
      <rPr>
        <sz val="11"/>
        <color theme="1"/>
        <rFont val="Noto Sans CJK SC"/>
        <family val="2"/>
      </rPr>
      <t xml:space="preserve">倍數）不列：修正一起分部加總的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腿以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模組自身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計，本倍數只進對照列，重算變動為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10x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384.1046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384.1046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bb_g</t>
    </r>
    <r>
      <rPr>
        <sz val="11"/>
        <color theme="1"/>
        <rFont val="Noto Sans CJK SC"/>
        <family val="2"/>
      </rPr>
      <t xml:space="preserve">（回購價格年增）不列：只影響回購股數，重算變動 </t>
    </r>
    <r>
      <rPr>
        <sz val="11"/>
        <color theme="1"/>
        <rFont val="Calibri"/>
        <family val="2"/>
        <charset val="1"/>
      </rPr>
      <t xml:space="preserve">+0.0005%</t>
    </r>
    <r>
      <rPr>
        <sz val="11"/>
        <color theme="1"/>
        <rFont val="Noto Sans CJK SC"/>
        <family val="2"/>
      </rPr>
      <t xml:space="preserve">／−</t>
    </r>
    <r>
      <rPr>
        <sz val="11"/>
        <color theme="1"/>
        <rFont val="Calibri"/>
        <family val="2"/>
        <charset val="1"/>
      </rPr>
      <t xml:space="preserve">0.0003%</t>
    </r>
    <r>
      <rPr>
        <sz val="11"/>
        <color theme="1"/>
        <rFont val="Noto Sans CJK SC"/>
        <family val="2"/>
      </rPr>
      <t xml:space="preserve">，小於 </t>
    </r>
    <r>
      <rPr>
        <sz val="11"/>
        <color theme="1"/>
        <rFont val="Calibri"/>
        <family val="2"/>
        <charset val="1"/>
      </rPr>
      <t xml:space="preserve">0.001%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12%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384.1067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384.1036</t>
    </r>
    <r>
      <rPr>
        <sz val="11"/>
        <color theme="1"/>
        <rFont val="Noto Sans CJK SC"/>
        <family val="2"/>
      </rPr>
      <t xml:space="preserve">）</t>
    </r>
  </si>
  <si>
    <t xml:space="preserve">案例</t>
  </si>
  <si>
    <t xml:space="preserve">驅動</t>
  </si>
  <si>
    <t xml:space="preserve">加權目標價</t>
  </si>
  <si>
    <t xml:space="preserve">相對基準</t>
  </si>
  <si>
    <r>
      <rPr>
        <b val="true"/>
        <sz val="11"/>
        <rFont val="Noto Sans CJK SC"/>
        <family val="2"/>
      </rPr>
      <t xml:space="preserve">相對基準 </t>
    </r>
    <r>
      <rPr>
        <b val="true"/>
        <sz val="11"/>
        <rFont val="Cambria"/>
        <family val="0"/>
        <charset val="1"/>
      </rPr>
      <t xml:space="preserve">%</t>
    </r>
  </si>
  <si>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只計成本）</t>
    </r>
  </si>
  <si>
    <r>
      <rPr>
        <sz val="11"/>
        <color theme="1"/>
        <rFont val="Noto Sans CJK SC"/>
        <family val="2"/>
      </rPr>
      <t xml:space="preserve">命題：自用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讀法</t>
    </r>
  </si>
  <si>
    <r>
      <rPr>
        <sz val="11"/>
        <color theme="1"/>
        <rFont val="Calibri"/>
        <family val="2"/>
        <charset val="1"/>
      </rPr>
      <t xml:space="preserve">F1</t>
    </r>
    <r>
      <rPr>
        <sz val="11"/>
        <color theme="1"/>
        <rFont val="Noto Sans CJK SC"/>
        <family val="2"/>
      </rPr>
      <t xml:space="preserve">：自用 </t>
    </r>
    <r>
      <rPr>
        <sz val="11"/>
        <color theme="1"/>
        <rFont val="Calibri"/>
        <family val="2"/>
        <charset val="1"/>
      </rPr>
      <t xml:space="preserve">AI MW </t>
    </r>
    <r>
      <rPr>
        <sz val="11"/>
        <color theme="1"/>
        <rFont val="Noto Sans CJK SC"/>
        <family val="2"/>
      </rPr>
      <t xml:space="preserve">不計影子效益（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初版口徑）</t>
    </r>
  </si>
  <si>
    <t xml:space="preserve">k −15%</t>
  </si>
  <si>
    <r>
      <rPr>
        <sz val="11"/>
        <color theme="1"/>
        <rFont val="Noto Sans CJK SC"/>
        <family val="2"/>
      </rPr>
      <t xml:space="preserve">命題：每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價格 </t>
    </r>
    <r>
      <rPr>
        <sz val="11"/>
        <color theme="1"/>
        <rFont val="Calibri"/>
        <family val="2"/>
        <charset val="1"/>
      </rPr>
      <t xml:space="preserve">k</t>
    </r>
  </si>
  <si>
    <r>
      <rPr>
        <sz val="11"/>
        <color theme="1"/>
        <rFont val="Noto Sans CJK SC"/>
        <family val="2"/>
      </rPr>
      <t xml:space="preserve">三情境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同乘 </t>
    </r>
    <r>
      <rPr>
        <sz val="11"/>
        <color theme="1"/>
        <rFont val="Calibri"/>
        <family val="2"/>
        <charset val="1"/>
      </rPr>
      <t xml:space="preserve">0.85</t>
    </r>
  </si>
  <si>
    <t xml:space="preserve">kmult</t>
  </si>
  <si>
    <t xml:space="preserve">k +15%</t>
  </si>
  <si>
    <r>
      <rPr>
        <sz val="11"/>
        <color theme="1"/>
        <rFont val="Noto Sans CJK SC"/>
        <family val="2"/>
      </rPr>
      <t xml:space="preserve">三情境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同乘 </t>
    </r>
    <r>
      <rPr>
        <sz val="11"/>
        <color theme="1"/>
        <rFont val="Calibri"/>
        <family val="2"/>
        <charset val="1"/>
      </rPr>
      <t xml:space="preserve">1.15</t>
    </r>
  </si>
  <si>
    <r>
      <rPr>
        <sz val="11"/>
        <color theme="1"/>
        <rFont val="Noto Sans CJK SC"/>
        <family val="2"/>
      </rPr>
      <t xml:space="preserve">對外比例 </t>
    </r>
    <r>
      <rPr>
        <sz val="11"/>
        <color theme="1"/>
        <rFont val="Calibri"/>
        <family val="2"/>
        <charset val="1"/>
      </rPr>
      <t xml:space="preserve">50%</t>
    </r>
  </si>
  <si>
    <t xml:space="preserve">命題：對外比例</t>
  </si>
  <si>
    <r>
      <rPr>
        <sz val="11"/>
        <color theme="1"/>
        <rFont val="Noto Sans CJK SC"/>
        <family val="2"/>
      </rPr>
      <t xml:space="preserve">自有 </t>
    </r>
    <r>
      <rPr>
        <sz val="11"/>
        <color theme="1"/>
        <rFont val="Calibri"/>
        <family val="2"/>
        <charset val="1"/>
      </rPr>
      <t xml:space="preserve">AI MW</t>
    </r>
    <r>
      <rPr>
        <sz val="11"/>
        <color theme="1"/>
        <rFont val="Noto Sans CJK SC"/>
        <family val="2"/>
      </rPr>
      <t xml:space="preserve">＝對外 </t>
    </r>
    <r>
      <rPr>
        <sz val="11"/>
        <color theme="1"/>
        <rFont val="Calibri"/>
        <family val="2"/>
        <charset val="1"/>
      </rPr>
      <t xml:space="preserve">÷ 50%</t>
    </r>
    <r>
      <rPr>
        <sz val="11"/>
        <color theme="1"/>
        <rFont val="Noto Sans CJK SC"/>
        <family val="2"/>
      </rPr>
      <t xml:space="preserve">（同樣對外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要多建自用）</t>
    </r>
  </si>
  <si>
    <r>
      <rPr>
        <sz val="11"/>
        <color theme="1"/>
        <rFont val="Noto Sans CJK SC"/>
        <family val="2"/>
      </rPr>
      <t xml:space="preserve">對外比例 </t>
    </r>
    <r>
      <rPr>
        <sz val="11"/>
        <color theme="1"/>
        <rFont val="Calibri"/>
        <family val="2"/>
        <charset val="1"/>
      </rPr>
      <t xml:space="preserve">75%</t>
    </r>
  </si>
  <si>
    <r>
      <rPr>
        <sz val="11"/>
        <color theme="1"/>
        <rFont val="Calibri"/>
        <family val="2"/>
        <charset val="1"/>
      </rPr>
      <t xml:space="preserve">C23</t>
    </r>
    <r>
      <rPr>
        <sz val="11"/>
        <color theme="1"/>
        <rFont val="Noto Sans CJK SC"/>
        <family val="2"/>
      </rPr>
      <t xml:space="preserve">：最大不確定</t>
    </r>
  </si>
  <si>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速度：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可辨識站點</t>
    </r>
  </si>
  <si>
    <r>
      <rPr>
        <sz val="11"/>
        <color theme="1"/>
        <rFont val="Noto Sans CJK SC"/>
        <family val="2"/>
      </rPr>
      <t xml:space="preserve">命題：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速度</t>
    </r>
  </si>
  <si>
    <r>
      <rPr>
        <sz val="11"/>
        <color theme="1"/>
        <rFont val="Noto Sans CJK SC"/>
        <family val="2"/>
      </rPr>
      <t xml:space="preserve">每年 </t>
    </r>
    <r>
      <rPr>
        <sz val="11"/>
        <color theme="1"/>
        <rFont val="Calibri"/>
        <family val="2"/>
        <charset val="1"/>
      </rPr>
      <t xml:space="preserve">+650</t>
    </r>
    <r>
      <rPr>
        <sz val="11"/>
        <color theme="1"/>
        <rFont val="Noto Sans CJK SC"/>
        <family val="2"/>
      </rPr>
      <t xml:space="preserve">、上限 </t>
    </r>
    <r>
      <rPr>
        <sz val="11"/>
        <color theme="1"/>
        <rFont val="Calibri"/>
        <family val="2"/>
        <charset val="1"/>
      </rPr>
      <t xml:space="preserve">4,386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保守情境）</t>
    </r>
  </si>
  <si>
    <t xml:space="preserve">pace pace_epoch cap_epoch</t>
  </si>
  <si>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速度 </t>
    </r>
    <r>
      <rPr>
        <sz val="11"/>
        <color theme="1"/>
        <rFont val="Calibri"/>
        <family val="2"/>
        <charset val="1"/>
      </rPr>
      <t xml:space="preserve">+20%</t>
    </r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</si>
  <si>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前每年 </t>
    </r>
    <r>
      <rPr>
        <sz val="11"/>
        <color theme="1"/>
        <rFont val="Calibri"/>
        <family val="2"/>
        <charset val="1"/>
      </rPr>
      <t xml:space="preserve">+3,033</t>
    </r>
    <r>
      <rPr>
        <sz val="11"/>
        <color theme="1"/>
        <rFont val="Noto Sans CJK SC"/>
        <family val="2"/>
      </rPr>
      <t xml:space="preserve">，之後同樣收斂</t>
    </r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</si>
  <si>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折舊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</si>
  <si>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Noto Sans CJK SC"/>
        <family val="2"/>
      </rPr>
      <t xml:space="preserve">命題：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折舊年限</t>
    </r>
  </si>
  <si>
    <t xml:space="preserve">折舊與汰換提前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</si>
  <si>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折舊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</si>
  <si>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產出比 </t>
    </r>
    <r>
      <rPr>
        <sz val="11"/>
        <color theme="1"/>
        <rFont val="Calibri"/>
        <family val="2"/>
        <charset val="1"/>
      </rPr>
      <t xml:space="preserve">0.25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IF_NonNV_Out_Maia </t>
    </r>
    <r>
      <rPr>
        <sz val="11"/>
        <color theme="1"/>
        <rFont val="Noto Sans CJK SC"/>
        <family val="2"/>
      </rPr>
      <t xml:space="preserve">低）</t>
    </r>
  </si>
  <si>
    <r>
      <rPr>
        <sz val="11"/>
        <color theme="1"/>
        <rFont val="Noto Sans CJK SC"/>
        <family val="2"/>
      </rPr>
      <t xml:space="preserve">命題：</t>
    </r>
    <r>
      <rPr>
        <sz val="11"/>
        <color theme="1"/>
        <rFont val="Calibri"/>
        <family val="2"/>
        <charset val="1"/>
      </rPr>
      <t xml:space="preserve">NonNV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</si>
  <si>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低端；基準 </t>
    </r>
    <r>
      <rPr>
        <sz val="11"/>
        <color theme="1"/>
        <rFont val="Calibri"/>
        <family val="2"/>
        <charset val="1"/>
      </rPr>
      <t xml:space="preserve">0.55</t>
    </r>
  </si>
  <si>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產出比 </t>
    </r>
    <r>
      <rPr>
        <sz val="11"/>
        <color theme="1"/>
        <rFont val="Calibri"/>
        <family val="2"/>
        <charset val="1"/>
      </rPr>
      <t xml:space="preserve">0.75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IF_NonNV_Out_Maia </t>
    </r>
    <r>
      <rPr>
        <sz val="11"/>
        <color theme="1"/>
        <rFont val="Noto Sans CJK SC"/>
        <family val="2"/>
      </rPr>
      <t xml:space="preserve">高）</t>
    </r>
  </si>
  <si>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高端</t>
    </r>
  </si>
  <si>
    <r>
      <rPr>
        <sz val="11"/>
        <color theme="1"/>
        <rFont val="Calibri"/>
        <family val="2"/>
        <charset val="1"/>
      </rPr>
      <t xml:space="preserve">Copilot </t>
    </r>
    <r>
      <rPr>
        <sz val="11"/>
        <color theme="1"/>
        <rFont val="Noto Sans CJK SC"/>
        <family val="2"/>
      </rPr>
      <t xml:space="preserve">座席淨增 −</t>
    </r>
    <r>
      <rPr>
        <sz val="11"/>
        <color theme="1"/>
        <rFont val="Calibri"/>
        <family val="2"/>
        <charset val="1"/>
      </rPr>
      <t xml:space="preserve">50%</t>
    </r>
  </si>
  <si>
    <r>
      <rPr>
        <sz val="11"/>
        <color theme="1"/>
        <rFont val="Noto Sans CJK SC"/>
        <family val="2"/>
      </rPr>
      <t xml:space="preserve">命題：</t>
    </r>
    <r>
      <rPr>
        <sz val="11"/>
        <color theme="1"/>
        <rFont val="Calibri"/>
        <family val="2"/>
        <charset val="1"/>
      </rPr>
      <t xml:space="preserve">Copilot </t>
    </r>
    <r>
      <rPr>
        <sz val="11"/>
        <color theme="1"/>
        <rFont val="Noto Sans CJK SC"/>
        <family val="2"/>
      </rPr>
      <t xml:space="preserve">座席</t>
    </r>
  </si>
  <si>
    <t xml:space="preserve">各情境每年淨增座席減半</t>
  </si>
  <si>
    <t xml:space="preserve">cop_add_A cop_add_B cop_add_C</t>
  </si>
  <si>
    <r>
      <rPr>
        <sz val="11"/>
        <color theme="1"/>
        <rFont val="Calibri"/>
        <family val="2"/>
        <charset val="1"/>
      </rPr>
      <t xml:space="preserve">Copilot </t>
    </r>
    <r>
      <rPr>
        <sz val="11"/>
        <color theme="1"/>
        <rFont val="Noto Sans CJK SC"/>
        <family val="2"/>
      </rPr>
      <t xml:space="preserve">座席淨增 </t>
    </r>
    <r>
      <rPr>
        <sz val="11"/>
        <color theme="1"/>
        <rFont val="Calibri"/>
        <family val="2"/>
        <charset val="1"/>
      </rPr>
      <t xml:space="preserve">+50%</t>
    </r>
  </si>
  <si>
    <r>
      <rPr>
        <sz val="11"/>
        <color theme="1"/>
        <rFont val="Calibri"/>
        <family val="2"/>
        <charset val="1"/>
      </rPr>
      <t xml:space="preserve">Copilot </t>
    </r>
    <r>
      <rPr>
        <sz val="11"/>
        <color theme="1"/>
        <rFont val="Noto Sans CJK SC"/>
        <family val="2"/>
      </rPr>
      <t xml:space="preserve">月費 </t>
    </r>
    <r>
      <rPr>
        <sz val="11"/>
        <color theme="1"/>
        <rFont val="Calibri"/>
        <family val="2"/>
        <charset val="1"/>
      </rPr>
      <t xml:space="preserve">18 </t>
    </r>
    <r>
      <rPr>
        <sz val="11"/>
        <color theme="1"/>
        <rFont val="Noto Sans CJK SC"/>
        <family val="2"/>
      </rPr>
      <t xml:space="preserve">美元</t>
    </r>
  </si>
  <si>
    <r>
      <rPr>
        <sz val="11"/>
        <color theme="1"/>
        <rFont val="Noto Sans CJK SC"/>
        <family val="2"/>
      </rPr>
      <t xml:space="preserve">命題：</t>
    </r>
    <r>
      <rPr>
        <sz val="11"/>
        <color theme="1"/>
        <rFont val="Calibri"/>
        <family val="2"/>
        <charset val="1"/>
      </rPr>
      <t xml:space="preserve">Copilot </t>
    </r>
    <r>
      <rPr>
        <sz val="11"/>
        <color theme="1"/>
        <rFont val="Noto Sans CJK SC"/>
        <family val="2"/>
      </rPr>
      <t xml:space="preserve">月費</t>
    </r>
  </si>
  <si>
    <r>
      <rPr>
        <sz val="11"/>
        <color theme="1"/>
        <rFont val="Noto Sans CJK SC"/>
        <family val="2"/>
      </rPr>
      <t xml:space="preserve">牌價 </t>
    </r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Noto Sans CJK SC"/>
        <family val="2"/>
      </rPr>
      <t xml:space="preserve">、基準實收 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（預測期）</t>
    </r>
  </si>
  <si>
    <r>
      <rPr>
        <sz val="11"/>
        <color theme="1"/>
        <rFont val="Calibri"/>
        <family val="2"/>
        <charset val="1"/>
      </rPr>
      <t xml:space="preserve">Copilot </t>
    </r>
    <r>
      <rPr>
        <sz val="11"/>
        <color theme="1"/>
        <rFont val="Noto Sans CJK SC"/>
        <family val="2"/>
      </rPr>
      <t xml:space="preserve">月費 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美元</t>
    </r>
  </si>
  <si>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其他長期年增 </t>
    </r>
    <r>
      <rPr>
        <sz val="11"/>
        <color theme="1"/>
        <rFont val="Calibri"/>
        <family val="2"/>
        <charset val="1"/>
      </rPr>
      <t xml:space="preserve">5%</t>
    </r>
  </si>
  <si>
    <r>
      <rPr>
        <sz val="11"/>
        <color theme="1"/>
        <rFont val="Noto Sans CJK SC"/>
        <family val="2"/>
      </rPr>
      <t xml:space="preserve">業務：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其他成長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</si>
  <si>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8%</t>
    </r>
  </si>
  <si>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其他長期年增 </t>
    </r>
    <r>
      <rPr>
        <sz val="11"/>
        <color theme="1"/>
        <rFont val="Calibri"/>
        <family val="2"/>
        <charset val="1"/>
      </rPr>
      <t xml:space="preserve">12%</t>
    </r>
  </si>
  <si>
    <r>
      <rPr>
        <sz val="11"/>
        <color theme="1"/>
        <rFont val="Noto Sans CJK SC"/>
        <family val="2"/>
      </rPr>
      <t xml:space="preserve">搜尋與廣告長期年增 </t>
    </r>
    <r>
      <rPr>
        <sz val="11"/>
        <color theme="1"/>
        <rFont val="Calibri"/>
        <family val="2"/>
        <charset val="1"/>
      </rPr>
      <t xml:space="preserve">4%</t>
    </r>
  </si>
  <si>
    <r>
      <rPr>
        <sz val="11"/>
        <color theme="1"/>
        <rFont val="Noto Sans CJK SC"/>
        <family val="2"/>
      </rPr>
      <t xml:space="preserve">業務：</t>
    </r>
    <r>
      <rPr>
        <sz val="11"/>
        <color theme="1"/>
        <rFont val="Calibri"/>
        <family val="2"/>
        <charset val="1"/>
      </rPr>
      <t xml:space="preserve">Search and advertising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</si>
  <si>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7%</t>
    </r>
  </si>
  <si>
    <r>
      <rPr>
        <sz val="11"/>
        <color theme="1"/>
        <rFont val="Noto Sans CJK SC"/>
        <family val="2"/>
      </rPr>
      <t xml:space="preserve">搜尋與廣告長期年增 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</si>
  <si>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Calibri"/>
        <family val="2"/>
        <charset val="1"/>
      </rPr>
      <t xml:space="preserve">XBOX </t>
    </r>
    <r>
      <rPr>
        <sz val="11"/>
        <color theme="1"/>
        <rFont val="Noto Sans CJK SC"/>
        <family val="2"/>
      </rPr>
      <t xml:space="preserve">長期年增 −</t>
    </r>
    <r>
      <rPr>
        <sz val="11"/>
        <color theme="1"/>
        <rFont val="Calibri"/>
        <family val="2"/>
        <charset val="1"/>
      </rPr>
      <t xml:space="preserve">2%</t>
    </r>
  </si>
  <si>
    <r>
      <rPr>
        <sz val="11"/>
        <color theme="1"/>
        <rFont val="Noto Sans CJK SC"/>
        <family val="2"/>
      </rPr>
      <t xml:space="preserve">業務：</t>
    </r>
    <r>
      <rPr>
        <sz val="11"/>
        <color theme="1"/>
        <rFont val="Calibri"/>
        <family val="2"/>
        <charset val="1"/>
      </rPr>
      <t xml:space="preserve">XBOX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</si>
  <si>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2%</t>
    </r>
  </si>
  <si>
    <r>
      <rPr>
        <sz val="11"/>
        <color theme="1"/>
        <rFont val="Calibri"/>
        <family val="2"/>
        <charset val="1"/>
      </rPr>
      <t xml:space="preserve">XBOX </t>
    </r>
    <r>
      <rPr>
        <sz val="11"/>
        <color theme="1"/>
        <rFont val="Noto Sans CJK SC"/>
        <family val="2"/>
      </rPr>
      <t xml:space="preserve">長期年增 </t>
    </r>
    <r>
      <rPr>
        <sz val="11"/>
        <color theme="1"/>
        <rFont val="Calibri"/>
        <family val="2"/>
        <charset val="1"/>
      </rPr>
      <t xml:space="preserve">5%</t>
    </r>
  </si>
  <si>
    <r>
      <rPr>
        <sz val="11"/>
        <color theme="1"/>
        <rFont val="Noto Sans CJK SC"/>
        <family val="2"/>
      </rPr>
      <t xml:space="preserve">分部利益率 −</t>
    </r>
    <r>
      <rPr>
        <sz val="11"/>
        <color theme="1"/>
        <rFont val="Calibri"/>
        <family val="2"/>
        <charset val="1"/>
      </rPr>
      <t xml:space="preserve">2pt</t>
    </r>
  </si>
  <si>
    <t xml:space="preserve">業務：分部利益率</t>
  </si>
  <si>
    <r>
      <rPr>
        <sz val="11"/>
        <color theme="1"/>
        <rFont val="Calibri"/>
        <family val="2"/>
        <charset val="1"/>
      </rPr>
      <t xml:space="preserve">Agents and Infra </t>
    </r>
    <r>
      <rPr>
        <sz val="11"/>
        <color theme="1"/>
        <rFont val="Noto Sans CJK SC"/>
        <family val="2"/>
      </rPr>
      <t xml:space="preserve">核心利益率與 </t>
    </r>
    <r>
      <rPr>
        <sz val="11"/>
        <color theme="1"/>
        <rFont val="Calibri"/>
        <family val="2"/>
        <charset val="1"/>
      </rPr>
      <t xml:space="preserve">Devices and Consumer </t>
    </r>
    <r>
      <rPr>
        <sz val="11"/>
        <color theme="1"/>
        <rFont val="Noto Sans CJK SC"/>
        <family val="2"/>
      </rPr>
      <t xml:space="preserve">利益率同減</t>
    </r>
  </si>
  <si>
    <r>
      <rPr>
        <sz val="11"/>
        <color theme="1"/>
        <rFont val="Noto Sans CJK SC"/>
        <family val="2"/>
      </rPr>
      <t xml:space="preserve">分部利益率 </t>
    </r>
    <r>
      <rPr>
        <sz val="11"/>
        <color theme="1"/>
        <rFont val="Calibri"/>
        <family val="2"/>
        <charset val="1"/>
      </rPr>
      <t xml:space="preserve">+2pt</t>
    </r>
  </si>
  <si>
    <t xml:space="preserve">WACC −1pt</t>
  </si>
  <si>
    <r>
      <rPr>
        <sz val="11"/>
        <color theme="1"/>
        <rFont val="Noto Sans CJK SC"/>
        <family val="2"/>
      </rPr>
      <t xml:space="preserve">評價：</t>
    </r>
    <r>
      <rPr>
        <sz val="11"/>
        <color theme="1"/>
        <rFont val="Calibri"/>
        <family val="2"/>
        <charset val="1"/>
      </rPr>
      <t xml:space="preserve">WACC</t>
    </r>
  </si>
  <si>
    <t xml:space="preserve">只改折現（營運不變）</t>
  </si>
  <si>
    <t xml:space="preserve">WACC +1pt</t>
  </si>
  <si>
    <t xml:space="preserve">g 2%</t>
  </si>
  <si>
    <t xml:space="preserve">評價：永續成長</t>
  </si>
  <si>
    <t xml:space="preserve">g 4%</t>
  </si>
  <si>
    <t xml:space="preserve">ERP 4.5%</t>
  </si>
  <si>
    <t xml:space="preserve">評價：股權風險溢酬</t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</si>
  <si>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（判斷）</t>
    </r>
  </si>
  <si>
    <t xml:space="preserve">ERP 6%</t>
  </si>
  <si>
    <r>
      <rPr>
        <sz val="11"/>
        <color theme="1"/>
        <rFont val="Noto Sans CJK SC"/>
        <family val="2"/>
      </rPr>
      <t xml:space="preserve">永續期新投資報酬 </t>
    </r>
    <r>
      <rPr>
        <sz val="11"/>
        <color theme="1"/>
        <rFont val="Calibri"/>
        <family val="2"/>
        <charset val="1"/>
      </rPr>
      <t xml:space="preserve">WACC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5pt</t>
    </r>
  </si>
  <si>
    <t xml:space="preserve">評價：永續期新投資報酬</t>
  </si>
  <si>
    <r>
      <rPr>
        <sz val="11"/>
        <color theme="1"/>
        <rFont val="Calibri"/>
        <family val="2"/>
        <charset val="1"/>
      </rPr>
      <t xml:space="preserve">F5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RONIC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Noto Sans CJK SC"/>
        <family val="2"/>
      </rPr>
      <t xml:space="preserve">為判斷，列敏感度</t>
    </r>
  </si>
  <si>
    <r>
      <rPr>
        <sz val="11"/>
        <color theme="1"/>
        <rFont val="Calibri"/>
        <family val="2"/>
        <charset val="1"/>
      </rPr>
      <t xml:space="preserve">SOTP </t>
    </r>
    <r>
      <rPr>
        <sz val="11"/>
        <color theme="1"/>
        <rFont val="Noto Sans CJK SC"/>
        <family val="2"/>
      </rPr>
      <t xml:space="preserve">倍數 −</t>
    </r>
    <r>
      <rPr>
        <sz val="11"/>
        <color theme="1"/>
        <rFont val="Calibri"/>
        <family val="2"/>
        <charset val="1"/>
      </rPr>
      <t xml:space="preserve">20%</t>
    </r>
  </si>
  <si>
    <t xml:space="preserve">評價：同業倍數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</si>
  <si>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產品線倍數同乘（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模組為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，不受影響）</t>
    </r>
  </si>
  <si>
    <t xml:space="preserve">m_sw m_cloud m_ads m_game m_pc</t>
  </si>
  <si>
    <r>
      <rPr>
        <sz val="11"/>
        <color theme="1"/>
        <rFont val="Calibri"/>
        <family val="2"/>
        <charset val="1"/>
      </rPr>
      <t xml:space="preserve">SOTP </t>
    </r>
    <r>
      <rPr>
        <sz val="11"/>
        <color theme="1"/>
        <rFont val="Noto Sans CJK SC"/>
        <family val="2"/>
      </rPr>
      <t xml:space="preserve">倍數 </t>
    </r>
    <r>
      <rPr>
        <sz val="11"/>
        <color theme="1"/>
        <rFont val="Calibri"/>
        <family val="2"/>
        <charset val="1"/>
      </rPr>
      <t xml:space="preserve">+20%</t>
    </r>
  </si>
  <si>
    <r>
      <rPr>
        <sz val="11"/>
        <color theme="1"/>
        <rFont val="Calibri"/>
        <family val="2"/>
        <charset val="1"/>
      </rPr>
      <t xml:space="preserve">IF_HoldEcon </t>
    </r>
    <r>
      <rPr>
        <sz val="11"/>
        <color theme="1"/>
        <rFont val="Noto Sans CJK SC"/>
        <family val="2"/>
      </rPr>
      <t xml:space="preserve">四世代同時（每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年持有成本）：低</t>
    </r>
  </si>
  <si>
    <r>
      <rPr>
        <sz val="11"/>
        <color theme="1"/>
        <rFont val="Noto Sans CJK SC"/>
        <family val="2"/>
      </rPr>
      <t xml:space="preserve">命題：每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持有成本（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）（整本重算）</t>
    </r>
  </si>
  <si>
    <r>
      <rPr>
        <sz val="11"/>
        <color theme="1"/>
        <rFont val="Calibri"/>
        <family val="2"/>
        <charset val="1"/>
      </rPr>
      <t xml:space="preserve">Tokenomics v21.7 </t>
    </r>
    <r>
      <rPr>
        <sz val="11"/>
        <color theme="1"/>
        <rFont val="Noto Sans CJK SC"/>
        <family val="2"/>
      </rPr>
      <t xml:space="preserve">低成本／高成本欄（四世代同時；</t>
    </r>
    <r>
      <rPr>
        <sz val="11"/>
        <color theme="1"/>
        <rFont val="Calibri"/>
        <family val="2"/>
        <charset val="1"/>
      </rPr>
      <t xml:space="preserve">GB300 10.89 → 8.43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k_</t>
    </r>
    <r>
      <rPr>
        <sz val="11"/>
        <color theme="1"/>
        <rFont val="Noto Sans CJK SC"/>
        <family val="2"/>
      </rPr>
      <t xml:space="preserve">長約分母同步變動；</t>
    </r>
    <r>
      <rPr>
        <sz val="11"/>
        <color theme="1"/>
        <rFont val="Calibri"/>
        <family val="2"/>
        <charset val="1"/>
      </rPr>
      <t xml:space="preserve">pace </t>
    </r>
    <r>
      <rPr>
        <sz val="11"/>
        <color theme="1"/>
        <rFont val="Noto Sans CJK SC"/>
        <family val="2"/>
      </rPr>
      <t xml:space="preserve">不重解）</t>
    </r>
  </si>
  <si>
    <t xml:space="preserve">he_all</t>
  </si>
  <si>
    <r>
      <rPr>
        <sz val="11"/>
        <color theme="1"/>
        <rFont val="Calibri"/>
        <family val="2"/>
        <charset val="1"/>
      </rPr>
      <t xml:space="preserve">IF_HoldEcon </t>
    </r>
    <r>
      <rPr>
        <sz val="11"/>
        <color theme="1"/>
        <rFont val="Noto Sans CJK SC"/>
        <family val="2"/>
      </rPr>
      <t xml:space="preserve">四世代同時（每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年持有成本）：高</t>
    </r>
  </si>
  <si>
    <r>
      <rPr>
        <sz val="11"/>
        <color theme="1"/>
        <rFont val="Calibri"/>
        <family val="2"/>
        <charset val="1"/>
      </rPr>
      <t xml:space="preserve">Tokenomics v21.7 </t>
    </r>
    <r>
      <rPr>
        <sz val="11"/>
        <color theme="1"/>
        <rFont val="Noto Sans CJK SC"/>
        <family val="2"/>
      </rPr>
      <t xml:space="preserve">低成本／高成本欄（四世代同時；</t>
    </r>
    <r>
      <rPr>
        <sz val="11"/>
        <color theme="1"/>
        <rFont val="Calibri"/>
        <family val="2"/>
        <charset val="1"/>
      </rPr>
      <t xml:space="preserve">GB300 10.89 → 18.53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k_</t>
    </r>
    <r>
      <rPr>
        <sz val="11"/>
        <color theme="1"/>
        <rFont val="Noto Sans CJK SC"/>
        <family val="2"/>
      </rPr>
      <t xml:space="preserve">長約分母同步變動；</t>
    </r>
    <r>
      <rPr>
        <sz val="11"/>
        <color theme="1"/>
        <rFont val="Calibri"/>
        <family val="2"/>
        <charset val="1"/>
      </rPr>
      <t xml:space="preserve">pace </t>
    </r>
    <r>
      <rPr>
        <sz val="11"/>
        <color theme="1"/>
        <rFont val="Noto Sans CJK SC"/>
        <family val="2"/>
      </rPr>
      <t xml:space="preserve">不重解）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</si>
  <si>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年底在役對外 </t>
    </r>
    <r>
      <rPr>
        <sz val="11"/>
        <color theme="1"/>
        <rFont val="Calibri"/>
        <family val="2"/>
        <charset val="1"/>
      </rPr>
      <t xml:space="preserve">AI MW</t>
    </r>
    <r>
      <rPr>
        <sz val="11"/>
        <color theme="1"/>
        <rFont val="Noto Sans CJK SC"/>
        <family val="2"/>
      </rPr>
      <t xml:space="preserve">：低</t>
    </r>
  </si>
  <si>
    <r>
      <rPr>
        <sz val="11"/>
        <color theme="1"/>
        <rFont val="Noto Sans CJK SC"/>
        <family val="2"/>
      </rPr>
      <t xml:space="preserve">命題：</t>
    </r>
    <r>
      <rPr>
        <sz val="11"/>
        <color theme="1"/>
        <rFont val="Calibri"/>
        <family val="2"/>
        <charset val="1"/>
      </rPr>
      <t xml:space="preserve">AI MW</t>
    </r>
    <r>
      <rPr>
        <sz val="11"/>
        <color theme="1"/>
        <rFont val="Noto Sans CJK SC"/>
        <family val="2"/>
      </rPr>
      <t xml:space="preserve">（整本重算）</t>
    </r>
  </si>
  <si>
    <r>
      <rPr>
        <sz val="11"/>
        <color theme="1"/>
        <rFont val="Calibri"/>
        <family val="2"/>
        <charset val="1"/>
      </rPr>
      <t xml:space="preserve">3,250 → 2,150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pace </t>
    </r>
    <r>
      <rPr>
        <sz val="11"/>
        <color theme="1"/>
        <rFont val="Noto Sans CJK SC"/>
        <family val="2"/>
      </rPr>
      <t xml:space="preserve">不重解）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</si>
  <si>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年底在役對外 </t>
    </r>
    <r>
      <rPr>
        <sz val="11"/>
        <color theme="1"/>
        <rFont val="Calibri"/>
        <family val="2"/>
        <charset val="1"/>
      </rPr>
      <t xml:space="preserve">AI MW</t>
    </r>
    <r>
      <rPr>
        <sz val="11"/>
        <color theme="1"/>
        <rFont val="Noto Sans CJK SC"/>
        <family val="2"/>
      </rPr>
      <t xml:space="preserve">：高</t>
    </r>
  </si>
  <si>
    <r>
      <rPr>
        <sz val="11"/>
        <color theme="1"/>
        <rFont val="Calibri"/>
        <family val="2"/>
        <charset val="1"/>
      </rPr>
      <t xml:space="preserve">3,250 → 4,875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pace </t>
    </r>
    <r>
      <rPr>
        <sz val="11"/>
        <color theme="1"/>
        <rFont val="Noto Sans CJK SC"/>
        <family val="2"/>
      </rPr>
      <t xml:space="preserve">不重解）</t>
    </r>
  </si>
  <si>
    <t xml:space="preserve">機房自建比例：低</t>
  </si>
  <si>
    <t xml:space="preserve">命題：機房（整本重算）</t>
  </si>
  <si>
    <t xml:space="preserve">60% → 40%</t>
  </si>
  <si>
    <t xml:space="preserve">機房自建比例：高</t>
  </si>
  <si>
    <t xml:space="preserve">60% → 80%</t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</si>
  <si>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中 </t>
    </r>
    <r>
      <rPr>
        <sz val="11"/>
        <color theme="1"/>
        <rFont val="Calibri"/>
        <family val="2"/>
        <charset val="1"/>
      </rPr>
      <t xml:space="preserve">Maia 200 </t>
    </r>
    <r>
      <rPr>
        <sz val="11"/>
        <color theme="1"/>
        <rFont val="Noto Sans CJK SC"/>
        <family val="2"/>
      </rPr>
      <t xml:space="preserve">占比：低</t>
    </r>
  </si>
  <si>
    <r>
      <rPr>
        <sz val="11"/>
        <color theme="1"/>
        <rFont val="Noto Sans CJK SC"/>
        <family val="2"/>
      </rPr>
      <t xml:space="preserve">命題：</t>
    </r>
    <r>
      <rPr>
        <sz val="11"/>
        <color theme="1"/>
        <rFont val="Calibri"/>
        <family val="2"/>
        <charset val="1"/>
      </rPr>
      <t xml:space="preserve">NonNV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）（整本重算）</t>
    </r>
  </si>
  <si>
    <t xml:space="preserve">10% → 5%</t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</si>
  <si>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中 </t>
    </r>
    <r>
      <rPr>
        <sz val="11"/>
        <color theme="1"/>
        <rFont val="Calibri"/>
        <family val="2"/>
        <charset val="1"/>
      </rPr>
      <t xml:space="preserve">Maia 200 </t>
    </r>
    <r>
      <rPr>
        <sz val="11"/>
        <color theme="1"/>
        <rFont val="Noto Sans CJK SC"/>
        <family val="2"/>
      </rPr>
      <t xml:space="preserve">占比：高</t>
    </r>
  </si>
  <si>
    <t xml:space="preserve">10% → 20%</t>
  </si>
  <si>
    <r>
      <rPr>
        <sz val="11"/>
        <color theme="1"/>
        <rFont val="Calibri"/>
        <family val="2"/>
        <charset val="1"/>
      </rPr>
      <t xml:space="preserve">IF_NonNV_Hold_Maia</t>
    </r>
    <r>
      <rPr>
        <sz val="11"/>
        <color theme="1"/>
        <rFont val="Noto Sans CJK SC"/>
        <family val="2"/>
      </rPr>
      <t xml:space="preserve">：低</t>
    </r>
  </si>
  <si>
    <t xml:space="preserve">0.5 → 0.4</t>
  </si>
  <si>
    <r>
      <rPr>
        <sz val="11"/>
        <color theme="1"/>
        <rFont val="Calibri"/>
        <family val="2"/>
        <charset val="1"/>
      </rPr>
      <t xml:space="preserve">IF_NonNV_Hold_Maia</t>
    </r>
    <r>
      <rPr>
        <sz val="11"/>
        <color theme="1"/>
        <rFont val="Noto Sans CJK SC"/>
        <family val="2"/>
      </rPr>
      <t xml:space="preserve">：高</t>
    </r>
  </si>
  <si>
    <t xml:space="preserve">0.5 → 0.6</t>
  </si>
  <si>
    <r>
      <rPr>
        <sz val="11"/>
        <color theme="1"/>
        <rFont val="Noto Sans CJK SC"/>
        <family val="2"/>
      </rPr>
      <t xml:space="preserve">現貨證據價格（高＝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隨需牌價）：高</t>
    </r>
  </si>
  <si>
    <r>
      <rPr>
        <sz val="11"/>
        <color theme="1"/>
        <rFont val="Noto Sans CJK SC"/>
        <family val="2"/>
      </rPr>
      <t xml:space="preserve">命題：每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價格 </t>
    </r>
    <r>
      <rPr>
        <sz val="11"/>
        <color theme="1"/>
        <rFont val="Calibri"/>
        <family val="2"/>
        <charset val="1"/>
      </rPr>
      <t xml:space="preserve">k</t>
    </r>
    <r>
      <rPr>
        <sz val="11"/>
        <color theme="1"/>
        <rFont val="Noto Sans CJK SC"/>
        <family val="2"/>
      </rPr>
      <t xml:space="preserve">（整本重算）</t>
    </r>
  </si>
  <si>
    <t xml:space="preserve">2.82 → 12.29</t>
  </si>
  <si>
    <t xml:space="preserve">自研晶片係數：低</t>
  </si>
  <si>
    <t xml:space="preserve">1 → 0.7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</si>
  <si>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資本支出推估（</t>
    </r>
    <r>
      <rPr>
        <sz val="11"/>
        <color theme="1"/>
        <rFont val="Calibri"/>
        <family val="2"/>
        <charset val="1"/>
      </rPr>
      <t xml:space="preserve">C10 </t>
    </r>
    <r>
      <rPr>
        <sz val="11"/>
        <color theme="1"/>
        <rFont val="Noto Sans CJK SC"/>
        <family val="2"/>
      </rPr>
      <t xml:space="preserve">對帳目標）：低</t>
    </r>
  </si>
  <si>
    <t xml:space="preserve">命題：資本支出（整本重算）</t>
  </si>
  <si>
    <r>
      <rPr>
        <sz val="11"/>
        <color theme="1"/>
        <rFont val="Calibri"/>
        <family val="2"/>
        <charset val="1"/>
      </rPr>
      <t xml:space="preserve">204.2 → 194.2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pace </t>
    </r>
    <r>
      <rPr>
        <sz val="11"/>
        <color theme="1"/>
        <rFont val="Noto Sans CJK SC"/>
        <family val="2"/>
      </rPr>
      <t xml:space="preserve">不重解）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</si>
  <si>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資本支出推估（</t>
    </r>
    <r>
      <rPr>
        <sz val="11"/>
        <color theme="1"/>
        <rFont val="Calibri"/>
        <family val="2"/>
        <charset val="1"/>
      </rPr>
      <t xml:space="preserve">C10 </t>
    </r>
    <r>
      <rPr>
        <sz val="11"/>
        <color theme="1"/>
        <rFont val="Noto Sans CJK SC"/>
        <family val="2"/>
      </rPr>
      <t xml:space="preserve">對帳目標）：高</t>
    </r>
  </si>
  <si>
    <r>
      <rPr>
        <sz val="11"/>
        <color theme="1"/>
        <rFont val="Calibri"/>
        <family val="2"/>
        <charset val="1"/>
      </rPr>
      <t xml:space="preserve">204.2 → 213.6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pace </t>
    </r>
    <r>
      <rPr>
        <sz val="11"/>
        <color theme="1"/>
        <rFont val="Noto Sans CJK SC"/>
        <family val="2"/>
      </rPr>
      <t xml:space="preserve">不重解）</t>
    </r>
  </si>
  <si>
    <r>
      <rPr>
        <sz val="11"/>
        <color theme="1"/>
        <rFont val="Calibri"/>
        <family val="2"/>
        <charset val="1"/>
      </rPr>
      <t xml:space="preserve">M365 cloud </t>
    </r>
    <r>
      <rPr>
        <sz val="11"/>
        <color theme="1"/>
        <rFont val="Noto Sans CJK SC"/>
        <family val="2"/>
      </rPr>
      <t xml:space="preserve">基礎長期年增：低</t>
    </r>
  </si>
  <si>
    <r>
      <rPr>
        <sz val="11"/>
        <color theme="1"/>
        <rFont val="Noto Sans CJK SC"/>
        <family val="2"/>
      </rPr>
      <t xml:space="preserve">業務：</t>
    </r>
    <r>
      <rPr>
        <sz val="11"/>
        <color theme="1"/>
        <rFont val="Calibri"/>
        <family val="2"/>
        <charset val="1"/>
      </rPr>
      <t xml:space="preserve">M365 cloud</t>
    </r>
    <r>
      <rPr>
        <sz val="11"/>
        <color theme="1"/>
        <rFont val="Noto Sans CJK SC"/>
        <family val="2"/>
      </rPr>
      <t xml:space="preserve">（整本重算）</t>
    </r>
  </si>
  <si>
    <t xml:space="preserve">7% → 4%</t>
  </si>
  <si>
    <r>
      <rPr>
        <sz val="11"/>
        <color theme="1"/>
        <rFont val="Calibri"/>
        <family val="2"/>
        <charset val="1"/>
      </rPr>
      <t xml:space="preserve">M365 cloud </t>
    </r>
    <r>
      <rPr>
        <sz val="11"/>
        <color theme="1"/>
        <rFont val="Noto Sans CJK SC"/>
        <family val="2"/>
      </rPr>
      <t xml:space="preserve">基礎長期年增：高</t>
    </r>
  </si>
  <si>
    <t xml:space="preserve">7% → 10%</t>
  </si>
  <si>
    <t xml:space="preserve">授權長期年增：低</t>
  </si>
  <si>
    <t xml:space="preserve">業務：授權（整本重算）</t>
  </si>
  <si>
    <t xml:space="preserve">2% → 0%</t>
  </si>
  <si>
    <t xml:space="preserve">授權長期年增：高</t>
  </si>
  <si>
    <t xml:space="preserve">2% → 4%</t>
  </si>
  <si>
    <r>
      <rPr>
        <sz val="11"/>
        <color theme="1"/>
        <rFont val="Calibri"/>
        <family val="2"/>
        <charset val="1"/>
      </rPr>
      <t xml:space="preserve">Industry solutions </t>
    </r>
    <r>
      <rPr>
        <sz val="11"/>
        <color theme="1"/>
        <rFont val="Noto Sans CJK SC"/>
        <family val="2"/>
      </rPr>
      <t xml:space="preserve">長期年增：低</t>
    </r>
  </si>
  <si>
    <r>
      <rPr>
        <sz val="11"/>
        <color theme="1"/>
        <rFont val="Noto Sans CJK SC"/>
        <family val="2"/>
      </rPr>
      <t xml:space="preserve">業務：</t>
    </r>
    <r>
      <rPr>
        <sz val="11"/>
        <color theme="1"/>
        <rFont val="Calibri"/>
        <family val="2"/>
        <charset val="1"/>
      </rPr>
      <t xml:space="preserve">Industry</t>
    </r>
    <r>
      <rPr>
        <sz val="11"/>
        <color theme="1"/>
        <rFont val="Noto Sans CJK SC"/>
        <family val="2"/>
      </rPr>
      <t xml:space="preserve">（整本重算）</t>
    </r>
  </si>
  <si>
    <r>
      <rPr>
        <sz val="11"/>
        <color theme="1"/>
        <rFont val="Calibri"/>
        <family val="2"/>
        <charset val="1"/>
      </rPr>
      <t xml:space="preserve">Industry solutions </t>
    </r>
    <r>
      <rPr>
        <sz val="11"/>
        <color theme="1"/>
        <rFont val="Noto Sans CJK SC"/>
        <family val="2"/>
      </rPr>
      <t xml:space="preserve">長期年增：高</t>
    </r>
  </si>
  <si>
    <r>
      <rPr>
        <sz val="11"/>
        <color theme="1"/>
        <rFont val="Calibri"/>
        <family val="2"/>
        <charset val="1"/>
      </rPr>
      <t xml:space="preserve">Frontier and support </t>
    </r>
    <r>
      <rPr>
        <sz val="11"/>
        <color theme="1"/>
        <rFont val="Noto Sans CJK SC"/>
        <family val="2"/>
      </rPr>
      <t xml:space="preserve">長期年增：低</t>
    </r>
  </si>
  <si>
    <r>
      <rPr>
        <sz val="11"/>
        <color theme="1"/>
        <rFont val="Noto Sans CJK SC"/>
        <family val="2"/>
      </rPr>
      <t xml:space="preserve">業務：</t>
    </r>
    <r>
      <rPr>
        <sz val="11"/>
        <color theme="1"/>
        <rFont val="Calibri"/>
        <family val="2"/>
        <charset val="1"/>
      </rPr>
      <t xml:space="preserve">Frontier</t>
    </r>
    <r>
      <rPr>
        <sz val="11"/>
        <color theme="1"/>
        <rFont val="Noto Sans CJK SC"/>
        <family val="2"/>
      </rPr>
      <t xml:space="preserve">（整本重算）</t>
    </r>
  </si>
  <si>
    <r>
      <rPr>
        <sz val="11"/>
        <color theme="1"/>
        <rFont val="Calibri"/>
        <family val="2"/>
        <charset val="1"/>
      </rPr>
      <t xml:space="preserve">Frontier and support </t>
    </r>
    <r>
      <rPr>
        <sz val="11"/>
        <color theme="1"/>
        <rFont val="Noto Sans CJK SC"/>
        <family val="2"/>
      </rPr>
      <t xml:space="preserve">長期年增：高</t>
    </r>
  </si>
  <si>
    <r>
      <rPr>
        <sz val="11"/>
        <color theme="1"/>
        <rFont val="Calibri"/>
        <family val="2"/>
        <charset val="1"/>
      </rPr>
      <t xml:space="preserve">Windows OEM and devices </t>
    </r>
    <r>
      <rPr>
        <sz val="11"/>
        <color theme="1"/>
        <rFont val="Noto Sans CJK SC"/>
        <family val="2"/>
      </rPr>
      <t xml:space="preserve">長期年增：低</t>
    </r>
  </si>
  <si>
    <r>
      <rPr>
        <sz val="11"/>
        <color theme="1"/>
        <rFont val="Noto Sans CJK SC"/>
        <family val="2"/>
      </rPr>
      <t xml:space="preserve">業務：</t>
    </r>
    <r>
      <rPr>
        <sz val="11"/>
        <color theme="1"/>
        <rFont val="Calibri"/>
        <family val="2"/>
        <charset val="1"/>
      </rPr>
      <t xml:space="preserve">Windows</t>
    </r>
    <r>
      <rPr>
        <sz val="11"/>
        <color theme="1"/>
        <rFont val="Noto Sans CJK SC"/>
        <family val="2"/>
      </rPr>
      <t xml:space="preserve">（整本重算）</t>
    </r>
  </si>
  <si>
    <t xml:space="preserve">2% → -2%</t>
  </si>
  <si>
    <r>
      <rPr>
        <sz val="11"/>
        <color theme="1"/>
        <rFont val="Calibri"/>
        <family val="2"/>
        <charset val="1"/>
      </rPr>
      <t xml:space="preserve">Windows OEM and devices </t>
    </r>
    <r>
      <rPr>
        <sz val="11"/>
        <color theme="1"/>
        <rFont val="Noto Sans CJK SC"/>
        <family val="2"/>
      </rPr>
      <t xml:space="preserve">長期年增：高</t>
    </r>
  </si>
  <si>
    <t xml:space="preserve">業外收支（每年）：低</t>
  </si>
  <si>
    <t xml:space="preserve">損益：業外（整本重算）</t>
  </si>
  <si>
    <t xml:space="preserve">-1.2 → -2</t>
  </si>
  <si>
    <t xml:space="preserve">業外收支（每年）：高</t>
  </si>
  <si>
    <t xml:space="preserve">-1.2 → -0.4</t>
  </si>
  <si>
    <t xml:space="preserve">有效稅率：低</t>
  </si>
  <si>
    <t xml:space="preserve">損益：稅率（整本重算）</t>
  </si>
  <si>
    <t xml:space="preserve">20% → 19%</t>
  </si>
  <si>
    <t xml:space="preserve">有效稅率：高</t>
  </si>
  <si>
    <t xml:space="preserve">20% → 21%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</si>
  <si>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資產折舊年限：低</t>
    </r>
  </si>
  <si>
    <t xml:space="preserve">損益：折舊（整本重算）</t>
  </si>
  <si>
    <t xml:space="preserve">10 → 8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</si>
  <si>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資產折舊年限：高</t>
    </r>
  </si>
  <si>
    <t xml:space="preserve">10 → 15</t>
  </si>
  <si>
    <t xml:space="preserve">最低現金：低</t>
  </si>
  <si>
    <t xml:space="preserve">現金：資本配置（整本重算）</t>
  </si>
  <si>
    <t xml:space="preserve">50 → 30</t>
  </si>
  <si>
    <t xml:space="preserve">最低現金：高</t>
  </si>
  <si>
    <t xml:space="preserve">50 → 70</t>
  </si>
  <si>
    <t xml:space="preserve">員工股票發行：低</t>
  </si>
  <si>
    <t xml:space="preserve">現金：股數（整本重算）</t>
  </si>
  <si>
    <t xml:space="preserve">0.045 → 0.035</t>
  </si>
  <si>
    <t xml:space="preserve">員工股票發行：高</t>
  </si>
  <si>
    <t xml:space="preserve">0.045 → 0.055</t>
  </si>
  <si>
    <t xml:space="preserve">每股股利年增：低</t>
  </si>
  <si>
    <t xml:space="preserve">現金：股利（整本重算）</t>
  </si>
  <si>
    <t xml:space="preserve">8% → 5%</t>
  </si>
  <si>
    <t xml:space="preserve">每股股利年增：高</t>
  </si>
  <si>
    <t xml:space="preserve">8% → 10%</t>
  </si>
  <si>
    <r>
      <rPr>
        <sz val="11"/>
        <color theme="1"/>
        <rFont val="Calibri"/>
        <family val="2"/>
        <charset val="1"/>
      </rPr>
      <t xml:space="preserve">β</t>
    </r>
    <r>
      <rPr>
        <sz val="11"/>
        <color theme="1"/>
        <rFont val="Noto Sans CJK SC"/>
        <family val="2"/>
      </rPr>
      <t xml:space="preserve">：低</t>
    </r>
  </si>
  <si>
    <r>
      <rPr>
        <sz val="11"/>
        <color theme="1"/>
        <rFont val="Noto Sans CJK SC"/>
        <family val="2"/>
      </rPr>
      <t xml:space="preserve">評價：</t>
    </r>
    <r>
      <rPr>
        <sz val="11"/>
        <color theme="1"/>
        <rFont val="Calibri"/>
        <family val="2"/>
        <charset val="1"/>
      </rPr>
      <t xml:space="preserve">β</t>
    </r>
    <r>
      <rPr>
        <sz val="11"/>
        <color theme="1"/>
        <rFont val="Noto Sans CJK SC"/>
        <family val="2"/>
      </rPr>
      <t xml:space="preserve">（整本重算）</t>
    </r>
  </si>
  <si>
    <r>
      <rPr>
        <sz val="11"/>
        <color theme="1"/>
        <rFont val="Noto Sans CJK SC"/>
        <family val="2"/>
      </rPr>
      <t xml:space="preserve">公式值 → </t>
    </r>
    <r>
      <rPr>
        <sz val="11"/>
        <color theme="1"/>
        <rFont val="Calibri"/>
        <family val="2"/>
        <charset val="1"/>
      </rPr>
      <t xml:space="preserve">0.95</t>
    </r>
  </si>
  <si>
    <r>
      <rPr>
        <sz val="11"/>
        <color theme="1"/>
        <rFont val="Calibri"/>
        <family val="2"/>
        <charset val="1"/>
      </rPr>
      <t xml:space="preserve">β</t>
    </r>
    <r>
      <rPr>
        <sz val="11"/>
        <color theme="1"/>
        <rFont val="Noto Sans CJK SC"/>
        <family val="2"/>
      </rPr>
      <t xml:space="preserve">：高</t>
    </r>
  </si>
  <si>
    <r>
      <rPr>
        <sz val="11"/>
        <color theme="1"/>
        <rFont val="Noto Sans CJK SC"/>
        <family val="2"/>
      </rPr>
      <t xml:space="preserve">公式值 → </t>
    </r>
    <r>
      <rPr>
        <sz val="11"/>
        <color theme="1"/>
        <rFont val="Calibri"/>
        <family val="2"/>
        <charset val="1"/>
      </rPr>
      <t xml:space="preserve">1.174</t>
    </r>
  </si>
  <si>
    <t xml:space="preserve">公司債利差：低</t>
  </si>
  <si>
    <t xml:space="preserve">評價：債務成本（整本重算）</t>
  </si>
  <si>
    <t xml:space="preserve">0.6% → 0.3%</t>
  </si>
  <si>
    <t xml:space="preserve">公司債利差：高</t>
  </si>
  <si>
    <t xml:space="preserve">0.6% → 0.9%</t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</si>
  <si>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持股流動性折價：低</t>
    </r>
  </si>
  <si>
    <r>
      <rPr>
        <sz val="11"/>
        <color theme="1"/>
        <rFont val="Noto Sans CJK SC"/>
        <family val="2"/>
      </rPr>
      <t xml:space="preserve">評價：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持股（整本重算）</t>
    </r>
  </si>
  <si>
    <t xml:space="preserve">20% → 0%</t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</si>
  <si>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持股流動性折價：高</t>
    </r>
  </si>
  <si>
    <t xml:space="preserve">20% → 40%</t>
  </si>
  <si>
    <r>
      <rPr>
        <sz val="11"/>
        <color theme="1"/>
        <rFont val="Calibri"/>
        <family val="2"/>
        <charset val="1"/>
      </rPr>
      <t xml:space="preserve">SOTP </t>
    </r>
    <r>
      <rPr>
        <sz val="11"/>
        <color theme="1"/>
        <rFont val="Noto Sans CJK SC"/>
        <family val="2"/>
      </rPr>
      <t xml:space="preserve">利益率分配：</t>
    </r>
    <r>
      <rPr>
        <sz val="11"/>
        <color theme="1"/>
        <rFont val="Calibri"/>
        <family val="2"/>
        <charset val="1"/>
      </rPr>
      <t xml:space="preserve">M365 cloud</t>
    </r>
    <r>
      <rPr>
        <sz val="11"/>
        <color theme="1"/>
        <rFont val="Noto Sans CJK SC"/>
        <family val="2"/>
      </rPr>
      <t xml:space="preserve">：低</t>
    </r>
  </si>
  <si>
    <r>
      <rPr>
        <sz val="11"/>
        <color theme="1"/>
        <rFont val="Noto Sans CJK SC"/>
        <family val="2"/>
      </rPr>
      <t xml:space="preserve">評價：</t>
    </r>
    <r>
      <rPr>
        <sz val="11"/>
        <color theme="1"/>
        <rFont val="Calibri"/>
        <family val="2"/>
        <charset val="1"/>
      </rPr>
      <t xml:space="preserve">SOTP </t>
    </r>
    <r>
      <rPr>
        <sz val="11"/>
        <color theme="1"/>
        <rFont val="Noto Sans CJK SC"/>
        <family val="2"/>
      </rPr>
      <t xml:space="preserve">分配（整本重算）</t>
    </r>
  </si>
  <si>
    <t xml:space="preserve">60% → 50%</t>
  </si>
  <si>
    <r>
      <rPr>
        <sz val="11"/>
        <color theme="1"/>
        <rFont val="Calibri"/>
        <family val="2"/>
        <charset val="1"/>
      </rPr>
      <t xml:space="preserve">SOTP </t>
    </r>
    <r>
      <rPr>
        <sz val="11"/>
        <color theme="1"/>
        <rFont val="Noto Sans CJK SC"/>
        <family val="2"/>
      </rPr>
      <t xml:space="preserve">利益率分配：</t>
    </r>
    <r>
      <rPr>
        <sz val="11"/>
        <color theme="1"/>
        <rFont val="Calibri"/>
        <family val="2"/>
        <charset val="1"/>
      </rPr>
      <t xml:space="preserve">M365 cloud</t>
    </r>
    <r>
      <rPr>
        <sz val="11"/>
        <color theme="1"/>
        <rFont val="Noto Sans CJK SC"/>
        <family val="2"/>
      </rPr>
      <t xml:space="preserve">：高</t>
    </r>
  </si>
  <si>
    <t xml:space="preserve">60% → 70%</t>
  </si>
  <si>
    <r>
      <rPr>
        <sz val="11"/>
        <color theme="1"/>
        <rFont val="Calibri"/>
        <family val="2"/>
        <charset val="1"/>
      </rPr>
      <t xml:space="preserve">SOTP </t>
    </r>
    <r>
      <rPr>
        <sz val="11"/>
        <color theme="1"/>
        <rFont val="Noto Sans CJK SC"/>
        <family val="2"/>
      </rPr>
      <t xml:space="preserve">利益率分配：授權：低</t>
    </r>
  </si>
  <si>
    <t xml:space="preserve">75% → 65%</t>
  </si>
  <si>
    <r>
      <rPr>
        <sz val="11"/>
        <color theme="1"/>
        <rFont val="Calibri"/>
        <family val="2"/>
        <charset val="1"/>
      </rPr>
      <t xml:space="preserve">SOTP </t>
    </r>
    <r>
      <rPr>
        <sz val="11"/>
        <color theme="1"/>
        <rFont val="Noto Sans CJK SC"/>
        <family val="2"/>
      </rPr>
      <t xml:space="preserve">利益率分配：授權：高</t>
    </r>
  </si>
  <si>
    <t xml:space="preserve">75% → 85%</t>
  </si>
  <si>
    <r>
      <rPr>
        <sz val="11"/>
        <color theme="1"/>
        <rFont val="Calibri"/>
        <family val="2"/>
        <charset val="1"/>
      </rPr>
      <t xml:space="preserve">SOTP </t>
    </r>
    <r>
      <rPr>
        <sz val="11"/>
        <color theme="1"/>
        <rFont val="Noto Sans CJK SC"/>
        <family val="2"/>
      </rPr>
      <t xml:space="preserve">利益率分配：</t>
    </r>
    <r>
      <rPr>
        <sz val="11"/>
        <color theme="1"/>
        <rFont val="Calibri"/>
        <family val="2"/>
        <charset val="1"/>
      </rPr>
      <t xml:space="preserve">Industry</t>
    </r>
    <r>
      <rPr>
        <sz val="11"/>
        <color theme="1"/>
        <rFont val="Noto Sans CJK SC"/>
        <family val="2"/>
      </rPr>
      <t xml:space="preserve">：低</t>
    </r>
  </si>
  <si>
    <t xml:space="preserve">30% → 20%</t>
  </si>
  <si>
    <r>
      <rPr>
        <sz val="11"/>
        <color theme="1"/>
        <rFont val="Calibri"/>
        <family val="2"/>
        <charset val="1"/>
      </rPr>
      <t xml:space="preserve">SOTP </t>
    </r>
    <r>
      <rPr>
        <sz val="11"/>
        <color theme="1"/>
        <rFont val="Noto Sans CJK SC"/>
        <family val="2"/>
      </rPr>
      <t xml:space="preserve">利益率分配：</t>
    </r>
    <r>
      <rPr>
        <sz val="11"/>
        <color theme="1"/>
        <rFont val="Calibri"/>
        <family val="2"/>
        <charset val="1"/>
      </rPr>
      <t xml:space="preserve">Industry</t>
    </r>
    <r>
      <rPr>
        <sz val="11"/>
        <color theme="1"/>
        <rFont val="Noto Sans CJK SC"/>
        <family val="2"/>
      </rPr>
      <t xml:space="preserve">：高</t>
    </r>
  </si>
  <si>
    <t xml:space="preserve">30% → 40%</t>
  </si>
  <si>
    <r>
      <rPr>
        <sz val="11"/>
        <color theme="1"/>
        <rFont val="Calibri"/>
        <family val="2"/>
        <charset val="1"/>
      </rPr>
      <t xml:space="preserve">SOTP </t>
    </r>
    <r>
      <rPr>
        <sz val="11"/>
        <color theme="1"/>
        <rFont val="Noto Sans CJK SC"/>
        <family val="2"/>
      </rPr>
      <t xml:space="preserve">利益率分配：</t>
    </r>
    <r>
      <rPr>
        <sz val="11"/>
        <color theme="1"/>
        <rFont val="Calibri"/>
        <family val="2"/>
        <charset val="1"/>
      </rPr>
      <t xml:space="preserve">Frontier</t>
    </r>
    <r>
      <rPr>
        <sz val="11"/>
        <color theme="1"/>
        <rFont val="Noto Sans CJK SC"/>
        <family val="2"/>
      </rPr>
      <t xml:space="preserve">：低</t>
    </r>
  </si>
  <si>
    <r>
      <rPr>
        <sz val="11"/>
        <color theme="1"/>
        <rFont val="Calibri"/>
        <family val="2"/>
        <charset val="1"/>
      </rPr>
      <t xml:space="preserve">SOTP </t>
    </r>
    <r>
      <rPr>
        <sz val="11"/>
        <color theme="1"/>
        <rFont val="Noto Sans CJK SC"/>
        <family val="2"/>
      </rPr>
      <t xml:space="preserve">利益率分配：</t>
    </r>
    <r>
      <rPr>
        <sz val="11"/>
        <color theme="1"/>
        <rFont val="Calibri"/>
        <family val="2"/>
        <charset val="1"/>
      </rPr>
      <t xml:space="preserve">Frontier</t>
    </r>
    <r>
      <rPr>
        <sz val="11"/>
        <color theme="1"/>
        <rFont val="Noto Sans CJK SC"/>
        <family val="2"/>
      </rPr>
      <t xml:space="preserve">：高</t>
    </r>
  </si>
  <si>
    <r>
      <rPr>
        <sz val="11"/>
        <color theme="1"/>
        <rFont val="Calibri"/>
        <family val="2"/>
        <charset val="1"/>
      </rPr>
      <t xml:space="preserve">SOTP </t>
    </r>
    <r>
      <rPr>
        <sz val="11"/>
        <color theme="1"/>
        <rFont val="Noto Sans CJK SC"/>
        <family val="2"/>
      </rPr>
      <t xml:space="preserve">利益率分配：</t>
    </r>
    <r>
      <rPr>
        <sz val="11"/>
        <color theme="1"/>
        <rFont val="Calibri"/>
        <family val="2"/>
        <charset val="1"/>
      </rPr>
      <t xml:space="preserve">Search and advertising</t>
    </r>
    <r>
      <rPr>
        <sz val="11"/>
        <color theme="1"/>
        <rFont val="Noto Sans CJK SC"/>
        <family val="2"/>
      </rPr>
      <t xml:space="preserve">：低</t>
    </r>
  </si>
  <si>
    <r>
      <rPr>
        <sz val="11"/>
        <color theme="1"/>
        <rFont val="Calibri"/>
        <family val="2"/>
        <charset val="1"/>
      </rPr>
      <t xml:space="preserve">SOTP </t>
    </r>
    <r>
      <rPr>
        <sz val="11"/>
        <color theme="1"/>
        <rFont val="Noto Sans CJK SC"/>
        <family val="2"/>
      </rPr>
      <t xml:space="preserve">利益率分配：</t>
    </r>
    <r>
      <rPr>
        <sz val="11"/>
        <color theme="1"/>
        <rFont val="Calibri"/>
        <family val="2"/>
        <charset val="1"/>
      </rPr>
      <t xml:space="preserve">Search and advertising</t>
    </r>
    <r>
      <rPr>
        <sz val="11"/>
        <color theme="1"/>
        <rFont val="Noto Sans CJK SC"/>
        <family val="2"/>
      </rPr>
      <t xml:space="preserve">：高</t>
    </r>
  </si>
  <si>
    <r>
      <rPr>
        <b val="true"/>
        <sz val="11"/>
        <rFont val="Noto Sans CJK SC"/>
        <family val="2"/>
      </rPr>
      <t xml:space="preserve">判斷預設的替代（報告第 </t>
    </r>
    <r>
      <rPr>
        <b val="true"/>
        <sz val="11"/>
        <rFont val="Cambria"/>
        <family val="0"/>
        <charset val="1"/>
      </rPr>
      <t xml:space="preserve">5 </t>
    </r>
    <r>
      <rPr>
        <b val="true"/>
        <sz val="11"/>
        <rFont val="Noto Sans CJK SC"/>
        <family val="2"/>
      </rPr>
      <t xml:space="preserve">節）：每列只改一項，其餘同基準</t>
    </r>
  </si>
  <si>
    <t xml:space="preserve">替代</t>
  </si>
  <si>
    <t xml:space="preserve">影響範圍</t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</si>
  <si>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情境改用 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可辨識站點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速度（</t>
    </r>
    <r>
      <rPr>
        <sz val="11"/>
        <color theme="1"/>
        <rFont val="Calibri"/>
        <family val="2"/>
        <charset val="1"/>
      </rPr>
      <t xml:space="preserve">650</t>
    </r>
    <r>
      <rPr>
        <sz val="11"/>
        <color theme="1"/>
        <rFont val="Noto Sans CJK SC"/>
        <family val="2"/>
      </rPr>
      <t xml:space="preserve">／年，上限 </t>
    </r>
    <r>
      <rPr>
        <sz val="11"/>
        <color theme="1"/>
        <rFont val="Calibri"/>
        <family val="2"/>
        <charset val="1"/>
      </rPr>
      <t xml:space="preserve">4,386</t>
    </r>
    <r>
      <rPr>
        <sz val="11"/>
        <color theme="1"/>
        <rFont val="Noto Sans CJK SC"/>
        <family val="2"/>
      </rPr>
      <t xml:space="preserve">）</t>
    </r>
  </si>
  <si>
    <t xml:space="preserve">C</t>
  </si>
  <si>
    <t xml:space="preserve">pace_epoch cap_epoch</t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</si>
  <si>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改用長約低端（</t>
    </r>
    <r>
      <rPr>
        <sz val="11"/>
        <color theme="1"/>
        <rFont val="Calibri"/>
        <family val="2"/>
        <charset val="1"/>
      </rPr>
      <t xml:space="preserve">k_long_lo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價格軸低）</t>
    </r>
  </si>
  <si>
    <t xml:space="preserve">k_long_lo p_long_lo</t>
  </si>
  <si>
    <r>
      <rPr>
        <sz val="11"/>
        <color theme="1"/>
        <rFont val="Noto Sans CJK SC"/>
        <family val="2"/>
      </rPr>
      <t xml:space="preserve">永續期改用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評價用自由現金流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）</t>
    </r>
  </si>
  <si>
    <t xml:space="preserve">三情境</t>
  </si>
  <si>
    <t xml:space="preserve">tv_alt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</si>
  <si>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各線改用 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自身倍數 </t>
    </r>
    <r>
      <rPr>
        <sz val="11"/>
        <color theme="1"/>
        <rFont val="Calibri"/>
        <family val="2"/>
        <charset val="1"/>
      </rPr>
      <t xml:space="preserve">15.67×</t>
    </r>
  </si>
  <si>
    <r>
      <rPr>
        <sz val="11"/>
        <color theme="1"/>
        <rFont val="Noto Sans CJK SC"/>
        <family val="2"/>
      </rPr>
      <t xml:space="preserve">讀法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且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速度改 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可辨識站點（與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「讀法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」比較＝讀法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下的容量效果）</t>
    </r>
  </si>
  <si>
    <t xml:space="preserve">internal_ai_reading pace_epoch</t>
  </si>
  <si>
    <r>
      <rPr>
        <sz val="11"/>
        <color theme="1"/>
        <rFont val="Noto Sans CJK SC"/>
        <family val="2"/>
      </rPr>
      <t xml:space="preserve">影子效益基準改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年底自用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（修正二口徑）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</si>
  <si>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補足差額不計（資本支出低於公司指引）</t>
    </r>
  </si>
  <si>
    <t xml:space="preserve">floor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</si>
  <si>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補足差額改列 </t>
    </r>
    <r>
      <rPr>
        <sz val="11"/>
        <color theme="1"/>
        <rFont val="Calibri"/>
        <family val="2"/>
        <charset val="1"/>
      </rPr>
      <t xml:space="preserve">AI IT</t>
    </r>
    <r>
      <rPr>
        <sz val="11"/>
        <color theme="1"/>
        <rFont val="Noto Sans CJK SC"/>
        <family val="2"/>
      </rPr>
      <t xml:space="preserve">（修正一口徑）</t>
    </r>
  </si>
  <si>
    <r>
      <rPr>
        <sz val="11"/>
        <color theme="1"/>
        <rFont val="Calibri"/>
        <family val="2"/>
        <charset val="1"/>
      </rPr>
      <t xml:space="preserve">Windows OEM and devices FY2027 </t>
    </r>
    <r>
      <rPr>
        <sz val="11"/>
        <color theme="1"/>
        <rFont val="Noto Sans CJK SC"/>
        <family val="2"/>
      </rPr>
      <t xml:space="preserve">第二至第四季套用指引（年減 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；之後依收斂路徑）</t>
    </r>
  </si>
  <si>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舊口徑（</t>
    </r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GB300 × 1.0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C10 </t>
    </r>
    <r>
      <rPr>
        <sz val="11"/>
        <color theme="1"/>
        <rFont val="Noto Sans CJK SC"/>
        <family val="2"/>
      </rPr>
      <t xml:space="preserve">依此重解）</t>
    </r>
  </si>
  <si>
    <t xml:space="preserve">nonnv pace_nv0</t>
  </si>
  <si>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舊口徑（</t>
    </r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GB300 × 1.0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速度不重解）</t>
    </r>
  </si>
  <si>
    <r>
      <rPr>
        <sz val="11"/>
        <color theme="1"/>
        <rFont val="Noto Sans CJK SC"/>
        <family val="2"/>
      </rPr>
      <t xml:space="preserve">目標價時點改 </t>
    </r>
    <r>
      <rPr>
        <sz val="11"/>
        <color theme="1"/>
        <rFont val="Calibri"/>
        <family val="2"/>
        <charset val="1"/>
      </rPr>
      <t xml:space="preserve">2028-01-27</t>
    </r>
    <r>
      <rPr>
        <sz val="11"/>
        <color theme="1"/>
        <rFont val="Noto Sans CJK SC"/>
        <family val="2"/>
      </rPr>
      <t xml:space="preserve">（工作單字面「目標價日 </t>
    </r>
    <r>
      <rPr>
        <sz val="11"/>
        <color theme="1"/>
        <rFont val="Calibri"/>
        <family val="2"/>
        <charset val="1"/>
      </rPr>
      <t xml:space="preserve">+1 </t>
    </r>
    <r>
      <rPr>
        <sz val="11"/>
        <color theme="1"/>
        <rFont val="Noto Sans CJK SC"/>
        <family val="2"/>
      </rPr>
      <t xml:space="preserve">季」）</t>
    </r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</si>
  <si>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持股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10-K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主值）</t>
    </r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</si>
  <si>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持股 </t>
    </r>
    <r>
      <rPr>
        <sz val="11"/>
        <color theme="1"/>
        <rFont val="Calibri"/>
        <family val="2"/>
        <charset val="1"/>
      </rPr>
      <t xml:space="preserve">27%</t>
    </r>
    <r>
      <rPr>
        <sz val="11"/>
        <color theme="1"/>
        <rFont val="Noto Sans CJK SC"/>
        <family val="2"/>
      </rPr>
      <t xml:space="preserve">（重組時比例）</t>
    </r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</si>
  <si>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持股 </t>
    </r>
    <r>
      <rPr>
        <sz val="11"/>
        <color theme="1"/>
        <rFont val="Calibri"/>
        <family val="2"/>
        <charset val="1"/>
      </rPr>
      <t xml:space="preserve">27%</t>
    </r>
    <r>
      <rPr>
        <sz val="11"/>
        <color theme="1"/>
        <rFont val="Noto Sans CJK SC"/>
        <family val="2"/>
      </rPr>
      <t xml:space="preserve">、無流動性折價</t>
    </r>
  </si>
  <si>
    <t xml:space="preserve">oai_stake liq_disc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</si>
  <si>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SOTP </t>
    </r>
    <r>
      <rPr>
        <sz val="11"/>
        <color theme="1"/>
        <rFont val="Noto Sans CJK SC"/>
        <family val="2"/>
      </rPr>
      <t xml:space="preserve">權重改 </t>
    </r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70</t>
    </r>
  </si>
  <si>
    <t xml:space="preserve">評價權重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</si>
  <si>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SOTP </t>
    </r>
    <r>
      <rPr>
        <sz val="11"/>
        <color theme="1"/>
        <rFont val="Noto Sans CJK SC"/>
        <family val="2"/>
      </rPr>
      <t xml:space="preserve">權重改 </t>
    </r>
    <r>
      <rPr>
        <sz val="11"/>
        <color theme="1"/>
        <rFont val="Calibri"/>
        <family val="2"/>
        <charset val="1"/>
      </rPr>
      <t xml:space="preserve">70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30</t>
    </r>
  </si>
  <si>
    <r>
      <rPr>
        <sz val="11"/>
        <color theme="1"/>
        <rFont val="Noto Sans CJK SC"/>
        <family val="2"/>
      </rPr>
      <t xml:space="preserve">情境權重改 </t>
    </r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</t>
    </r>
  </si>
  <si>
    <t xml:space="preserve">w_A w_B w_C</t>
  </si>
  <si>
    <r>
      <rPr>
        <sz val="11"/>
        <color theme="1"/>
        <rFont val="Noto Sans CJK SC"/>
        <family val="2"/>
      </rPr>
      <t xml:space="preserve">只用基準情境 </t>
    </r>
    <r>
      <rPr>
        <sz val="11"/>
        <color theme="1"/>
        <rFont val="Calibri"/>
        <family val="2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</si>
  <si>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讀法：龍捲風以加權目標價的變動排序；命題驅動（自用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讀法、</t>
    </r>
    <r>
      <rPr>
        <b val="true"/>
        <sz val="11"/>
        <rFont val="Cambria"/>
        <family val="0"/>
        <charset val="1"/>
      </rPr>
      <t xml:space="preserve">k</t>
    </r>
    <r>
      <rPr>
        <b val="true"/>
        <sz val="11"/>
        <rFont val="Noto Sans CJK SC"/>
        <family val="2"/>
      </rPr>
      <t xml:space="preserve">、對外比例、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速度、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折舊年限、</t>
    </r>
    <r>
      <rPr>
        <b val="true"/>
        <sz val="11"/>
        <rFont val="Cambria"/>
        <family val="0"/>
        <charset val="1"/>
      </rPr>
      <t xml:space="preserve">Copilot</t>
    </r>
    <r>
      <rPr>
        <b val="true"/>
        <sz val="11"/>
        <rFont val="Noto Sans CJK SC"/>
        <family val="2"/>
      </rPr>
      <t xml:space="preserve">）與業務驅動、評價參數並列。判斷預設的替代見上表</t>
    </r>
  </si>
  <si>
    <r>
      <rPr>
        <sz val="11"/>
        <color theme="1"/>
        <rFont val="Noto Sans CJK SC"/>
        <family val="2"/>
      </rPr>
      <t xml:space="preserve">敏感度重算時的基準加權目標價 −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頁現值（整本重算案例用；應為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，不為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＝重跑 </t>
    </r>
    <r>
      <rPr>
        <sz val="11"/>
        <color theme="1"/>
        <rFont val="Calibri"/>
        <family val="2"/>
        <charset val="1"/>
      </rPr>
      <t xml:space="preserve">microsoft/sens_v033.py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</si>
  <si>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敏感度「讀法 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（自用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只計成本）」｜情境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</si>
  <si>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敏感度「讀法 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（自用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只計成本）」｜情境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</si>
  <si>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敏感度「讀法 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（自用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只計成本）」｜情境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</si>
  <si>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敏感度「讀法 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（自用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只計成本）」｜情境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</si>
  <si>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敏感度「讀法 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（自用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只計成本）」｜情境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</si>
  <si>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敏感度「讀法 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（自用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只計成本）」｜情境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</si>
  <si>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敏感度「讀法 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（自用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只計成本）」｜情境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</si>
  <si>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敏感度「讀法 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（自用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只計成本）」｜情境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</si>
  <si>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敏感度「讀法 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（自用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只計成本）」｜情境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</si>
  <si>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敏感度「讀法 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（自用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只計成本）」｜情境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</si>
  <si>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敏感度「讀法 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（自用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只計成本）」｜情境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</si>
  <si>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敏感度「讀法 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（自用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只計成本）」｜情境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</si>
  <si>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敏感度「讀法 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（自用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只計成本）」｜情境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</si>
  <si>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敏感度「讀法 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（自用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只計成本）」｜情境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</si>
  <si>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敏感度「讀法 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（自用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只計成本）」｜情境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</si>
  <si>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k −15%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</si>
  <si>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k −15%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</si>
  <si>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k −15%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</si>
  <si>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k −15%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</si>
  <si>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k −15%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</si>
  <si>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k −15%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</si>
  <si>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k −15%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</si>
  <si>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k −15%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</si>
  <si>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k −15%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</si>
  <si>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k −15%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</si>
  <si>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k −15%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</si>
  <si>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k −15%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</si>
  <si>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k −15%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</si>
  <si>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k −15%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</si>
  <si>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k −15%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</si>
  <si>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k +15%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</si>
  <si>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k +15%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</si>
  <si>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k +15%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</si>
  <si>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k +15%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</si>
  <si>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k +15%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</si>
  <si>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k +15%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</si>
  <si>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k +15%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</si>
  <si>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k +15%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</si>
  <si>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k +15%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</si>
  <si>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k +15%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</si>
  <si>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k +15%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</si>
  <si>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k +15%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</si>
  <si>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k +15%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</si>
  <si>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k +15%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</si>
  <si>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k +15%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</si>
  <si>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敏感度「對外比例 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</si>
  <si>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敏感度「對外比例 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</si>
  <si>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敏感度「對外比例 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</si>
  <si>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敏感度「對外比例 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</si>
  <si>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敏感度「對外比例 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</si>
  <si>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敏感度「對外比例 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</si>
  <si>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敏感度「對外比例 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</si>
  <si>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敏感度「對外比例 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</si>
  <si>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敏感度「對外比例 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</si>
  <si>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敏感度「對外比例 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</si>
  <si>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敏感度「對外比例 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</si>
  <si>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敏感度「對外比例 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</si>
  <si>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敏感度「對外比例 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</si>
  <si>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敏感度「對外比例 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</si>
  <si>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敏感度「對外比例 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</si>
  <si>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敏感度「對外比例 </t>
    </r>
    <r>
      <rPr>
        <b val="true"/>
        <sz val="11"/>
        <rFont val="Cambria"/>
        <family val="0"/>
        <charset val="1"/>
      </rPr>
      <t xml:space="preserve">75%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</si>
  <si>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敏感度「對外比例 </t>
    </r>
    <r>
      <rPr>
        <b val="true"/>
        <sz val="11"/>
        <rFont val="Cambria"/>
        <family val="0"/>
        <charset val="1"/>
      </rPr>
      <t xml:space="preserve">75%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</si>
  <si>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敏感度「對外比例 </t>
    </r>
    <r>
      <rPr>
        <b val="true"/>
        <sz val="11"/>
        <rFont val="Cambria"/>
        <family val="0"/>
        <charset val="1"/>
      </rPr>
      <t xml:space="preserve">75%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</si>
  <si>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敏感度「對外比例 </t>
    </r>
    <r>
      <rPr>
        <b val="true"/>
        <sz val="11"/>
        <rFont val="Cambria"/>
        <family val="0"/>
        <charset val="1"/>
      </rPr>
      <t xml:space="preserve">75%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</si>
  <si>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敏感度「對外比例 </t>
    </r>
    <r>
      <rPr>
        <b val="true"/>
        <sz val="11"/>
        <rFont val="Cambria"/>
        <family val="0"/>
        <charset val="1"/>
      </rPr>
      <t xml:space="preserve">75%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</si>
  <si>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敏感度「對外比例 </t>
    </r>
    <r>
      <rPr>
        <b val="true"/>
        <sz val="11"/>
        <rFont val="Cambria"/>
        <family val="0"/>
        <charset val="1"/>
      </rPr>
      <t xml:space="preserve">75%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</si>
  <si>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敏感度「對外比例 </t>
    </r>
    <r>
      <rPr>
        <b val="true"/>
        <sz val="11"/>
        <rFont val="Cambria"/>
        <family val="0"/>
        <charset val="1"/>
      </rPr>
      <t xml:space="preserve">75%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</si>
  <si>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敏感度「對外比例 </t>
    </r>
    <r>
      <rPr>
        <b val="true"/>
        <sz val="11"/>
        <rFont val="Cambria"/>
        <family val="0"/>
        <charset val="1"/>
      </rPr>
      <t xml:space="preserve">75%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</si>
  <si>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敏感度「對外比例 </t>
    </r>
    <r>
      <rPr>
        <b val="true"/>
        <sz val="11"/>
        <rFont val="Cambria"/>
        <family val="0"/>
        <charset val="1"/>
      </rPr>
      <t xml:space="preserve">75%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</si>
  <si>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敏感度「對外比例 </t>
    </r>
    <r>
      <rPr>
        <b val="true"/>
        <sz val="11"/>
        <rFont val="Cambria"/>
        <family val="0"/>
        <charset val="1"/>
      </rPr>
      <t xml:space="preserve">75%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</si>
  <si>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敏感度「對外比例 </t>
    </r>
    <r>
      <rPr>
        <b val="true"/>
        <sz val="11"/>
        <rFont val="Cambria"/>
        <family val="0"/>
        <charset val="1"/>
      </rPr>
      <t xml:space="preserve">75%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</si>
  <si>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敏感度「對外比例 </t>
    </r>
    <r>
      <rPr>
        <b val="true"/>
        <sz val="11"/>
        <rFont val="Cambria"/>
        <family val="0"/>
        <charset val="1"/>
      </rPr>
      <t xml:space="preserve">75%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</si>
  <si>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敏感度「對外比例 </t>
    </r>
    <r>
      <rPr>
        <b val="true"/>
        <sz val="11"/>
        <rFont val="Cambria"/>
        <family val="0"/>
        <charset val="1"/>
      </rPr>
      <t xml:space="preserve">75%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</si>
  <si>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敏感度「對外比例 </t>
    </r>
    <r>
      <rPr>
        <b val="true"/>
        <sz val="11"/>
        <rFont val="Cambria"/>
        <family val="0"/>
        <charset val="1"/>
      </rPr>
      <t xml:space="preserve">75%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</si>
  <si>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敏感度「對外比例 </t>
    </r>
    <r>
      <rPr>
        <b val="true"/>
        <sz val="11"/>
        <rFont val="Cambria"/>
        <family val="0"/>
        <charset val="1"/>
      </rPr>
      <t xml:space="preserve">75%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</si>
  <si>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速度：</t>
    </r>
    <r>
      <rPr>
        <b val="true"/>
        <sz val="11"/>
        <rFont val="Cambria"/>
        <family val="0"/>
        <charset val="1"/>
      </rPr>
      <t xml:space="preserve">Epoch </t>
    </r>
    <r>
      <rPr>
        <b val="true"/>
        <sz val="11"/>
        <rFont val="Noto Sans CJK SC"/>
        <family val="2"/>
      </rPr>
      <t xml:space="preserve">可辨識站點」｜情境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</si>
  <si>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速度：</t>
    </r>
    <r>
      <rPr>
        <b val="true"/>
        <sz val="11"/>
        <rFont val="Cambria"/>
        <family val="0"/>
        <charset val="1"/>
      </rPr>
      <t xml:space="preserve">Epoch </t>
    </r>
    <r>
      <rPr>
        <b val="true"/>
        <sz val="11"/>
        <rFont val="Noto Sans CJK SC"/>
        <family val="2"/>
      </rPr>
      <t xml:space="preserve">可辨識站點」｜情境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</si>
  <si>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速度：</t>
    </r>
    <r>
      <rPr>
        <b val="true"/>
        <sz val="11"/>
        <rFont val="Cambria"/>
        <family val="0"/>
        <charset val="1"/>
      </rPr>
      <t xml:space="preserve">Epoch </t>
    </r>
    <r>
      <rPr>
        <b val="true"/>
        <sz val="11"/>
        <rFont val="Noto Sans CJK SC"/>
        <family val="2"/>
      </rPr>
      <t xml:space="preserve">可辨識站點」｜情境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</si>
  <si>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速度：</t>
    </r>
    <r>
      <rPr>
        <b val="true"/>
        <sz val="11"/>
        <rFont val="Cambria"/>
        <family val="0"/>
        <charset val="1"/>
      </rPr>
      <t xml:space="preserve">Epoch </t>
    </r>
    <r>
      <rPr>
        <b val="true"/>
        <sz val="11"/>
        <rFont val="Noto Sans CJK SC"/>
        <family val="2"/>
      </rPr>
      <t xml:space="preserve">可辨識站點」｜情境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</si>
  <si>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速度：</t>
    </r>
    <r>
      <rPr>
        <b val="true"/>
        <sz val="11"/>
        <rFont val="Cambria"/>
        <family val="0"/>
        <charset val="1"/>
      </rPr>
      <t xml:space="preserve">Epoch </t>
    </r>
    <r>
      <rPr>
        <b val="true"/>
        <sz val="11"/>
        <rFont val="Noto Sans CJK SC"/>
        <family val="2"/>
      </rPr>
      <t xml:space="preserve">可辨識站點」｜情境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</si>
  <si>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速度：</t>
    </r>
    <r>
      <rPr>
        <b val="true"/>
        <sz val="11"/>
        <rFont val="Cambria"/>
        <family val="0"/>
        <charset val="1"/>
      </rPr>
      <t xml:space="preserve">Epoch </t>
    </r>
    <r>
      <rPr>
        <b val="true"/>
        <sz val="11"/>
        <rFont val="Noto Sans CJK SC"/>
        <family val="2"/>
      </rPr>
      <t xml:space="preserve">可辨識站點」｜情境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</si>
  <si>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速度：</t>
    </r>
    <r>
      <rPr>
        <b val="true"/>
        <sz val="11"/>
        <rFont val="Cambria"/>
        <family val="0"/>
        <charset val="1"/>
      </rPr>
      <t xml:space="preserve">Epoch </t>
    </r>
    <r>
      <rPr>
        <b val="true"/>
        <sz val="11"/>
        <rFont val="Noto Sans CJK SC"/>
        <family val="2"/>
      </rPr>
      <t xml:space="preserve">可辨識站點」｜情境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</si>
  <si>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速度：</t>
    </r>
    <r>
      <rPr>
        <b val="true"/>
        <sz val="11"/>
        <rFont val="Cambria"/>
        <family val="0"/>
        <charset val="1"/>
      </rPr>
      <t xml:space="preserve">Epoch </t>
    </r>
    <r>
      <rPr>
        <b val="true"/>
        <sz val="11"/>
        <rFont val="Noto Sans CJK SC"/>
        <family val="2"/>
      </rPr>
      <t xml:space="preserve">可辨識站點」｜情境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</si>
  <si>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速度：</t>
    </r>
    <r>
      <rPr>
        <b val="true"/>
        <sz val="11"/>
        <rFont val="Cambria"/>
        <family val="0"/>
        <charset val="1"/>
      </rPr>
      <t xml:space="preserve">Epoch </t>
    </r>
    <r>
      <rPr>
        <b val="true"/>
        <sz val="11"/>
        <rFont val="Noto Sans CJK SC"/>
        <family val="2"/>
      </rPr>
      <t xml:space="preserve">可辨識站點」｜情境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</si>
  <si>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速度：</t>
    </r>
    <r>
      <rPr>
        <b val="true"/>
        <sz val="11"/>
        <rFont val="Cambria"/>
        <family val="0"/>
        <charset val="1"/>
      </rPr>
      <t xml:space="preserve">Epoch </t>
    </r>
    <r>
      <rPr>
        <b val="true"/>
        <sz val="11"/>
        <rFont val="Noto Sans CJK SC"/>
        <family val="2"/>
      </rPr>
      <t xml:space="preserve">可辨識站點」｜情境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</si>
  <si>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速度：</t>
    </r>
    <r>
      <rPr>
        <b val="true"/>
        <sz val="11"/>
        <rFont val="Cambria"/>
        <family val="0"/>
        <charset val="1"/>
      </rPr>
      <t xml:space="preserve">Epoch </t>
    </r>
    <r>
      <rPr>
        <b val="true"/>
        <sz val="11"/>
        <rFont val="Noto Sans CJK SC"/>
        <family val="2"/>
      </rPr>
      <t xml:space="preserve">可辨識站點」｜情境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</si>
  <si>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速度：</t>
    </r>
    <r>
      <rPr>
        <b val="true"/>
        <sz val="11"/>
        <rFont val="Cambria"/>
        <family val="0"/>
        <charset val="1"/>
      </rPr>
      <t xml:space="preserve">Epoch </t>
    </r>
    <r>
      <rPr>
        <b val="true"/>
        <sz val="11"/>
        <rFont val="Noto Sans CJK SC"/>
        <family val="2"/>
      </rPr>
      <t xml:space="preserve">可辨識站點」｜情境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</si>
  <si>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速度：</t>
    </r>
    <r>
      <rPr>
        <b val="true"/>
        <sz val="11"/>
        <rFont val="Cambria"/>
        <family val="0"/>
        <charset val="1"/>
      </rPr>
      <t xml:space="preserve">Epoch </t>
    </r>
    <r>
      <rPr>
        <b val="true"/>
        <sz val="11"/>
        <rFont val="Noto Sans CJK SC"/>
        <family val="2"/>
      </rPr>
      <t xml:space="preserve">可辨識站點」｜情境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</si>
  <si>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速度：</t>
    </r>
    <r>
      <rPr>
        <b val="true"/>
        <sz val="11"/>
        <rFont val="Cambria"/>
        <family val="0"/>
        <charset val="1"/>
      </rPr>
      <t xml:space="preserve">Epoch </t>
    </r>
    <r>
      <rPr>
        <b val="true"/>
        <sz val="11"/>
        <rFont val="Noto Sans CJK SC"/>
        <family val="2"/>
      </rPr>
      <t xml:space="preserve">可辨識站點」｜情境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</si>
  <si>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速度：</t>
    </r>
    <r>
      <rPr>
        <b val="true"/>
        <sz val="11"/>
        <rFont val="Cambria"/>
        <family val="0"/>
        <charset val="1"/>
      </rPr>
      <t xml:space="preserve">Epoch </t>
    </r>
    <r>
      <rPr>
        <b val="true"/>
        <sz val="11"/>
        <rFont val="Noto Sans CJK SC"/>
        <family val="2"/>
      </rPr>
      <t xml:space="preserve">可辨識站點」｜情境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</si>
  <si>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 </t>
    </r>
    <r>
      <rPr>
        <b val="true"/>
        <sz val="11"/>
        <rFont val="Cambria"/>
        <family val="0"/>
        <charset val="1"/>
      </rPr>
      <t xml:space="preserve">+20%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</si>
  <si>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 </t>
    </r>
    <r>
      <rPr>
        <b val="true"/>
        <sz val="11"/>
        <rFont val="Cambria"/>
        <family val="0"/>
        <charset val="1"/>
      </rPr>
      <t xml:space="preserve">+20%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</si>
  <si>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 </t>
    </r>
    <r>
      <rPr>
        <b val="true"/>
        <sz val="11"/>
        <rFont val="Cambria"/>
        <family val="0"/>
        <charset val="1"/>
      </rPr>
      <t xml:space="preserve">+20%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</si>
  <si>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 </t>
    </r>
    <r>
      <rPr>
        <b val="true"/>
        <sz val="11"/>
        <rFont val="Cambria"/>
        <family val="0"/>
        <charset val="1"/>
      </rPr>
      <t xml:space="preserve">+20%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</si>
  <si>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 </t>
    </r>
    <r>
      <rPr>
        <b val="true"/>
        <sz val="11"/>
        <rFont val="Cambria"/>
        <family val="0"/>
        <charset val="1"/>
      </rPr>
      <t xml:space="preserve">+20%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</si>
  <si>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 </t>
    </r>
    <r>
      <rPr>
        <b val="true"/>
        <sz val="11"/>
        <rFont val="Cambria"/>
        <family val="0"/>
        <charset val="1"/>
      </rPr>
      <t xml:space="preserve">+20%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</si>
  <si>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 </t>
    </r>
    <r>
      <rPr>
        <b val="true"/>
        <sz val="11"/>
        <rFont val="Cambria"/>
        <family val="0"/>
        <charset val="1"/>
      </rPr>
      <t xml:space="preserve">+20%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</si>
  <si>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 </t>
    </r>
    <r>
      <rPr>
        <b val="true"/>
        <sz val="11"/>
        <rFont val="Cambria"/>
        <family val="0"/>
        <charset val="1"/>
      </rPr>
      <t xml:space="preserve">+20%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</si>
  <si>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 </t>
    </r>
    <r>
      <rPr>
        <b val="true"/>
        <sz val="11"/>
        <rFont val="Cambria"/>
        <family val="0"/>
        <charset val="1"/>
      </rPr>
      <t xml:space="preserve">+20%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</si>
  <si>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 </t>
    </r>
    <r>
      <rPr>
        <b val="true"/>
        <sz val="11"/>
        <rFont val="Cambria"/>
        <family val="0"/>
        <charset val="1"/>
      </rPr>
      <t xml:space="preserve">+20%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</si>
  <si>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 </t>
    </r>
    <r>
      <rPr>
        <b val="true"/>
        <sz val="11"/>
        <rFont val="Cambria"/>
        <family val="0"/>
        <charset val="1"/>
      </rPr>
      <t xml:space="preserve">+20%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</si>
  <si>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 </t>
    </r>
    <r>
      <rPr>
        <b val="true"/>
        <sz val="11"/>
        <rFont val="Cambria"/>
        <family val="0"/>
        <charset val="1"/>
      </rPr>
      <t xml:space="preserve">+20%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</si>
  <si>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 </t>
    </r>
    <r>
      <rPr>
        <b val="true"/>
        <sz val="11"/>
        <rFont val="Cambria"/>
        <family val="0"/>
        <charset val="1"/>
      </rPr>
      <t xml:space="preserve">+20%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</si>
  <si>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 </t>
    </r>
    <r>
      <rPr>
        <b val="true"/>
        <sz val="11"/>
        <rFont val="Cambria"/>
        <family val="0"/>
        <charset val="1"/>
      </rPr>
      <t xml:space="preserve">+20%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</si>
  <si>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 </t>
    </r>
    <r>
      <rPr>
        <b val="true"/>
        <sz val="11"/>
        <rFont val="Cambria"/>
        <family val="0"/>
        <charset val="1"/>
      </rPr>
      <t xml:space="preserve">+20%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</si>
  <si>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折舊 </t>
    </r>
    <r>
      <rPr>
        <b val="true"/>
        <sz val="11"/>
        <rFont val="Cambria"/>
        <family val="0"/>
        <charset val="1"/>
      </rPr>
      <t xml:space="preserve">5 </t>
    </r>
    <r>
      <rPr>
        <b val="true"/>
        <sz val="11"/>
        <rFont val="Noto Sans CJK SC"/>
        <family val="2"/>
      </rPr>
      <t xml:space="preserve">年」｜情境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</si>
  <si>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折舊 </t>
    </r>
    <r>
      <rPr>
        <b val="true"/>
        <sz val="11"/>
        <rFont val="Cambria"/>
        <family val="0"/>
        <charset val="1"/>
      </rPr>
      <t xml:space="preserve">5 </t>
    </r>
    <r>
      <rPr>
        <b val="true"/>
        <sz val="11"/>
        <rFont val="Noto Sans CJK SC"/>
        <family val="2"/>
      </rPr>
      <t xml:space="preserve">年」｜情境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</si>
  <si>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折舊 </t>
    </r>
    <r>
      <rPr>
        <b val="true"/>
        <sz val="11"/>
        <rFont val="Cambria"/>
        <family val="0"/>
        <charset val="1"/>
      </rPr>
      <t xml:space="preserve">5 </t>
    </r>
    <r>
      <rPr>
        <b val="true"/>
        <sz val="11"/>
        <rFont val="Noto Sans CJK SC"/>
        <family val="2"/>
      </rPr>
      <t xml:space="preserve">年」｜情境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</si>
  <si>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折舊 </t>
    </r>
    <r>
      <rPr>
        <b val="true"/>
        <sz val="11"/>
        <rFont val="Cambria"/>
        <family val="0"/>
        <charset val="1"/>
      </rPr>
      <t xml:space="preserve">5 </t>
    </r>
    <r>
      <rPr>
        <b val="true"/>
        <sz val="11"/>
        <rFont val="Noto Sans CJK SC"/>
        <family val="2"/>
      </rPr>
      <t xml:space="preserve">年」｜情境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</si>
  <si>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折舊 </t>
    </r>
    <r>
      <rPr>
        <b val="true"/>
        <sz val="11"/>
        <rFont val="Cambria"/>
        <family val="0"/>
        <charset val="1"/>
      </rPr>
      <t xml:space="preserve">5 </t>
    </r>
    <r>
      <rPr>
        <b val="true"/>
        <sz val="11"/>
        <rFont val="Noto Sans CJK SC"/>
        <family val="2"/>
      </rPr>
      <t xml:space="preserve">年」｜情境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</si>
  <si>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折舊 </t>
    </r>
    <r>
      <rPr>
        <b val="true"/>
        <sz val="11"/>
        <rFont val="Cambria"/>
        <family val="0"/>
        <charset val="1"/>
      </rPr>
      <t xml:space="preserve">5 </t>
    </r>
    <r>
      <rPr>
        <b val="true"/>
        <sz val="11"/>
        <rFont val="Noto Sans CJK SC"/>
        <family val="2"/>
      </rPr>
      <t xml:space="preserve">年」｜情境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</si>
  <si>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折舊 </t>
    </r>
    <r>
      <rPr>
        <b val="true"/>
        <sz val="11"/>
        <rFont val="Cambria"/>
        <family val="0"/>
        <charset val="1"/>
      </rPr>
      <t xml:space="preserve">5 </t>
    </r>
    <r>
      <rPr>
        <b val="true"/>
        <sz val="11"/>
        <rFont val="Noto Sans CJK SC"/>
        <family val="2"/>
      </rPr>
      <t xml:space="preserve">年」｜情境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</si>
  <si>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折舊 </t>
    </r>
    <r>
      <rPr>
        <b val="true"/>
        <sz val="11"/>
        <rFont val="Cambria"/>
        <family val="0"/>
        <charset val="1"/>
      </rPr>
      <t xml:space="preserve">5 </t>
    </r>
    <r>
      <rPr>
        <b val="true"/>
        <sz val="11"/>
        <rFont val="Noto Sans CJK SC"/>
        <family val="2"/>
      </rPr>
      <t xml:space="preserve">年」｜情境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</si>
  <si>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折舊 </t>
    </r>
    <r>
      <rPr>
        <b val="true"/>
        <sz val="11"/>
        <rFont val="Cambria"/>
        <family val="0"/>
        <charset val="1"/>
      </rPr>
      <t xml:space="preserve">5 </t>
    </r>
    <r>
      <rPr>
        <b val="true"/>
        <sz val="11"/>
        <rFont val="Noto Sans CJK SC"/>
        <family val="2"/>
      </rPr>
      <t xml:space="preserve">年」｜情境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</si>
  <si>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折舊 </t>
    </r>
    <r>
      <rPr>
        <b val="true"/>
        <sz val="11"/>
        <rFont val="Cambria"/>
        <family val="0"/>
        <charset val="1"/>
      </rPr>
      <t xml:space="preserve">5 </t>
    </r>
    <r>
      <rPr>
        <b val="true"/>
        <sz val="11"/>
        <rFont val="Noto Sans CJK SC"/>
        <family val="2"/>
      </rPr>
      <t xml:space="preserve">年」｜情境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</si>
  <si>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折舊 </t>
    </r>
    <r>
      <rPr>
        <b val="true"/>
        <sz val="11"/>
        <rFont val="Cambria"/>
        <family val="0"/>
        <charset val="1"/>
      </rPr>
      <t xml:space="preserve">5 </t>
    </r>
    <r>
      <rPr>
        <b val="true"/>
        <sz val="11"/>
        <rFont val="Noto Sans CJK SC"/>
        <family val="2"/>
      </rPr>
      <t xml:space="preserve">年」｜情境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</si>
  <si>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折舊 </t>
    </r>
    <r>
      <rPr>
        <b val="true"/>
        <sz val="11"/>
        <rFont val="Cambria"/>
        <family val="0"/>
        <charset val="1"/>
      </rPr>
      <t xml:space="preserve">5 </t>
    </r>
    <r>
      <rPr>
        <b val="true"/>
        <sz val="11"/>
        <rFont val="Noto Sans CJK SC"/>
        <family val="2"/>
      </rPr>
      <t xml:space="preserve">年」｜情境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</si>
  <si>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折舊 </t>
    </r>
    <r>
      <rPr>
        <b val="true"/>
        <sz val="11"/>
        <rFont val="Cambria"/>
        <family val="0"/>
        <charset val="1"/>
      </rPr>
      <t xml:space="preserve">5 </t>
    </r>
    <r>
      <rPr>
        <b val="true"/>
        <sz val="11"/>
        <rFont val="Noto Sans CJK SC"/>
        <family val="2"/>
      </rPr>
      <t xml:space="preserve">年」｜情境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</si>
  <si>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折舊 </t>
    </r>
    <r>
      <rPr>
        <b val="true"/>
        <sz val="11"/>
        <rFont val="Cambria"/>
        <family val="0"/>
        <charset val="1"/>
      </rPr>
      <t xml:space="preserve">5 </t>
    </r>
    <r>
      <rPr>
        <b val="true"/>
        <sz val="11"/>
        <rFont val="Noto Sans CJK SC"/>
        <family val="2"/>
      </rPr>
      <t xml:space="preserve">年」｜情境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</si>
  <si>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折舊 </t>
    </r>
    <r>
      <rPr>
        <b val="true"/>
        <sz val="11"/>
        <rFont val="Cambria"/>
        <family val="0"/>
        <charset val="1"/>
      </rPr>
      <t xml:space="preserve">5 </t>
    </r>
    <r>
      <rPr>
        <b val="true"/>
        <sz val="11"/>
        <rFont val="Noto Sans CJK SC"/>
        <family val="2"/>
      </rPr>
      <t xml:space="preserve">年」｜情境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</si>
  <si>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折舊 </t>
    </r>
    <r>
      <rPr>
        <b val="true"/>
        <sz val="11"/>
        <rFont val="Cambria"/>
        <family val="0"/>
        <charset val="1"/>
      </rPr>
      <t xml:space="preserve">7 </t>
    </r>
    <r>
      <rPr>
        <b val="true"/>
        <sz val="11"/>
        <rFont val="Noto Sans CJK SC"/>
        <family val="2"/>
      </rPr>
      <t xml:space="preserve">年」｜情境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</si>
  <si>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折舊 </t>
    </r>
    <r>
      <rPr>
        <b val="true"/>
        <sz val="11"/>
        <rFont val="Cambria"/>
        <family val="0"/>
        <charset val="1"/>
      </rPr>
      <t xml:space="preserve">7 </t>
    </r>
    <r>
      <rPr>
        <b val="true"/>
        <sz val="11"/>
        <rFont val="Noto Sans CJK SC"/>
        <family val="2"/>
      </rPr>
      <t xml:space="preserve">年」｜情境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</si>
  <si>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折舊 </t>
    </r>
    <r>
      <rPr>
        <b val="true"/>
        <sz val="11"/>
        <rFont val="Cambria"/>
        <family val="0"/>
        <charset val="1"/>
      </rPr>
      <t xml:space="preserve">7 </t>
    </r>
    <r>
      <rPr>
        <b val="true"/>
        <sz val="11"/>
        <rFont val="Noto Sans CJK SC"/>
        <family val="2"/>
      </rPr>
      <t xml:space="preserve">年」｜情境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</si>
  <si>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折舊 </t>
    </r>
    <r>
      <rPr>
        <b val="true"/>
        <sz val="11"/>
        <rFont val="Cambria"/>
        <family val="0"/>
        <charset val="1"/>
      </rPr>
      <t xml:space="preserve">7 </t>
    </r>
    <r>
      <rPr>
        <b val="true"/>
        <sz val="11"/>
        <rFont val="Noto Sans CJK SC"/>
        <family val="2"/>
      </rPr>
      <t xml:space="preserve">年」｜情境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</si>
  <si>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折舊 </t>
    </r>
    <r>
      <rPr>
        <b val="true"/>
        <sz val="11"/>
        <rFont val="Cambria"/>
        <family val="0"/>
        <charset val="1"/>
      </rPr>
      <t xml:space="preserve">7 </t>
    </r>
    <r>
      <rPr>
        <b val="true"/>
        <sz val="11"/>
        <rFont val="Noto Sans CJK SC"/>
        <family val="2"/>
      </rPr>
      <t xml:space="preserve">年」｜情境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</si>
  <si>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折舊 </t>
    </r>
    <r>
      <rPr>
        <b val="true"/>
        <sz val="11"/>
        <rFont val="Cambria"/>
        <family val="0"/>
        <charset val="1"/>
      </rPr>
      <t xml:space="preserve">7 </t>
    </r>
    <r>
      <rPr>
        <b val="true"/>
        <sz val="11"/>
        <rFont val="Noto Sans CJK SC"/>
        <family val="2"/>
      </rPr>
      <t xml:space="preserve">年」｜情境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</si>
  <si>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折舊 </t>
    </r>
    <r>
      <rPr>
        <b val="true"/>
        <sz val="11"/>
        <rFont val="Cambria"/>
        <family val="0"/>
        <charset val="1"/>
      </rPr>
      <t xml:space="preserve">7 </t>
    </r>
    <r>
      <rPr>
        <b val="true"/>
        <sz val="11"/>
        <rFont val="Noto Sans CJK SC"/>
        <family val="2"/>
      </rPr>
      <t xml:space="preserve">年」｜情境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</si>
  <si>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折舊 </t>
    </r>
    <r>
      <rPr>
        <b val="true"/>
        <sz val="11"/>
        <rFont val="Cambria"/>
        <family val="0"/>
        <charset val="1"/>
      </rPr>
      <t xml:space="preserve">7 </t>
    </r>
    <r>
      <rPr>
        <b val="true"/>
        <sz val="11"/>
        <rFont val="Noto Sans CJK SC"/>
        <family val="2"/>
      </rPr>
      <t xml:space="preserve">年」｜情境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</si>
  <si>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折舊 </t>
    </r>
    <r>
      <rPr>
        <b val="true"/>
        <sz val="11"/>
        <rFont val="Cambria"/>
        <family val="0"/>
        <charset val="1"/>
      </rPr>
      <t xml:space="preserve">7 </t>
    </r>
    <r>
      <rPr>
        <b val="true"/>
        <sz val="11"/>
        <rFont val="Noto Sans CJK SC"/>
        <family val="2"/>
      </rPr>
      <t xml:space="preserve">年」｜情境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</si>
  <si>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折舊 </t>
    </r>
    <r>
      <rPr>
        <b val="true"/>
        <sz val="11"/>
        <rFont val="Cambria"/>
        <family val="0"/>
        <charset val="1"/>
      </rPr>
      <t xml:space="preserve">7 </t>
    </r>
    <r>
      <rPr>
        <b val="true"/>
        <sz val="11"/>
        <rFont val="Noto Sans CJK SC"/>
        <family val="2"/>
      </rPr>
      <t xml:space="preserve">年」｜情境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</si>
  <si>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折舊 </t>
    </r>
    <r>
      <rPr>
        <b val="true"/>
        <sz val="11"/>
        <rFont val="Cambria"/>
        <family val="0"/>
        <charset val="1"/>
      </rPr>
      <t xml:space="preserve">7 </t>
    </r>
    <r>
      <rPr>
        <b val="true"/>
        <sz val="11"/>
        <rFont val="Noto Sans CJK SC"/>
        <family val="2"/>
      </rPr>
      <t xml:space="preserve">年」｜情境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</si>
  <si>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折舊 </t>
    </r>
    <r>
      <rPr>
        <b val="true"/>
        <sz val="11"/>
        <rFont val="Cambria"/>
        <family val="0"/>
        <charset val="1"/>
      </rPr>
      <t xml:space="preserve">7 </t>
    </r>
    <r>
      <rPr>
        <b val="true"/>
        <sz val="11"/>
        <rFont val="Noto Sans CJK SC"/>
        <family val="2"/>
      </rPr>
      <t xml:space="preserve">年」｜情境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</si>
  <si>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折舊 </t>
    </r>
    <r>
      <rPr>
        <b val="true"/>
        <sz val="11"/>
        <rFont val="Cambria"/>
        <family val="0"/>
        <charset val="1"/>
      </rPr>
      <t xml:space="preserve">7 </t>
    </r>
    <r>
      <rPr>
        <b val="true"/>
        <sz val="11"/>
        <rFont val="Noto Sans CJK SC"/>
        <family val="2"/>
      </rPr>
      <t xml:space="preserve">年」｜情境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</si>
  <si>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折舊 </t>
    </r>
    <r>
      <rPr>
        <b val="true"/>
        <sz val="11"/>
        <rFont val="Cambria"/>
        <family val="0"/>
        <charset val="1"/>
      </rPr>
      <t xml:space="preserve">7 </t>
    </r>
    <r>
      <rPr>
        <b val="true"/>
        <sz val="11"/>
        <rFont val="Noto Sans CJK SC"/>
        <family val="2"/>
      </rPr>
      <t xml:space="preserve">年」｜情境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</si>
  <si>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折舊 </t>
    </r>
    <r>
      <rPr>
        <b val="true"/>
        <sz val="11"/>
        <rFont val="Cambria"/>
        <family val="0"/>
        <charset val="1"/>
      </rPr>
      <t xml:space="preserve">7 </t>
    </r>
    <r>
      <rPr>
        <b val="true"/>
        <sz val="11"/>
        <rFont val="Noto Sans CJK SC"/>
        <family val="2"/>
      </rPr>
      <t xml:space="preserve">年」｜情境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</si>
  <si>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產出比 </t>
    </r>
    <r>
      <rPr>
        <b val="true"/>
        <sz val="11"/>
        <rFont val="Cambria"/>
        <family val="0"/>
        <charset val="1"/>
      </rPr>
      <t xml:space="preserve">0.25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IF_NonNV_Out_Maia </t>
    </r>
    <r>
      <rPr>
        <b val="true"/>
        <sz val="11"/>
        <rFont val="Noto Sans CJK SC"/>
        <family val="2"/>
      </rPr>
      <t xml:space="preserve">低）」｜情境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</si>
  <si>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產出比 </t>
    </r>
    <r>
      <rPr>
        <b val="true"/>
        <sz val="11"/>
        <rFont val="Cambria"/>
        <family val="0"/>
        <charset val="1"/>
      </rPr>
      <t xml:space="preserve">0.25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IF_NonNV_Out_Maia </t>
    </r>
    <r>
      <rPr>
        <b val="true"/>
        <sz val="11"/>
        <rFont val="Noto Sans CJK SC"/>
        <family val="2"/>
      </rPr>
      <t xml:space="preserve">低）」｜情境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</si>
  <si>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產出比 </t>
    </r>
    <r>
      <rPr>
        <b val="true"/>
        <sz val="11"/>
        <rFont val="Cambria"/>
        <family val="0"/>
        <charset val="1"/>
      </rPr>
      <t xml:space="preserve">0.25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IF_NonNV_Out_Maia </t>
    </r>
    <r>
      <rPr>
        <b val="true"/>
        <sz val="11"/>
        <rFont val="Noto Sans CJK SC"/>
        <family val="2"/>
      </rPr>
      <t xml:space="preserve">低）」｜情境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</si>
  <si>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產出比 </t>
    </r>
    <r>
      <rPr>
        <b val="true"/>
        <sz val="11"/>
        <rFont val="Cambria"/>
        <family val="0"/>
        <charset val="1"/>
      </rPr>
      <t xml:space="preserve">0.25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IF_NonNV_Out_Maia </t>
    </r>
    <r>
      <rPr>
        <b val="true"/>
        <sz val="11"/>
        <rFont val="Noto Sans CJK SC"/>
        <family val="2"/>
      </rPr>
      <t xml:space="preserve">低）」｜情境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</si>
  <si>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產出比 </t>
    </r>
    <r>
      <rPr>
        <b val="true"/>
        <sz val="11"/>
        <rFont val="Cambria"/>
        <family val="0"/>
        <charset val="1"/>
      </rPr>
      <t xml:space="preserve">0.25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IF_NonNV_Out_Maia </t>
    </r>
    <r>
      <rPr>
        <b val="true"/>
        <sz val="11"/>
        <rFont val="Noto Sans CJK SC"/>
        <family val="2"/>
      </rPr>
      <t xml:space="preserve">低）」｜情境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</si>
  <si>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產出比 </t>
    </r>
    <r>
      <rPr>
        <b val="true"/>
        <sz val="11"/>
        <rFont val="Cambria"/>
        <family val="0"/>
        <charset val="1"/>
      </rPr>
      <t xml:space="preserve">0.25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IF_NonNV_Out_Maia </t>
    </r>
    <r>
      <rPr>
        <b val="true"/>
        <sz val="11"/>
        <rFont val="Noto Sans CJK SC"/>
        <family val="2"/>
      </rPr>
      <t xml:space="preserve">低）」｜情境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</si>
  <si>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產出比 </t>
    </r>
    <r>
      <rPr>
        <b val="true"/>
        <sz val="11"/>
        <rFont val="Cambria"/>
        <family val="0"/>
        <charset val="1"/>
      </rPr>
      <t xml:space="preserve">0.25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IF_NonNV_Out_Maia </t>
    </r>
    <r>
      <rPr>
        <b val="true"/>
        <sz val="11"/>
        <rFont val="Noto Sans CJK SC"/>
        <family val="2"/>
      </rPr>
      <t xml:space="preserve">低）」｜情境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</si>
  <si>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產出比 </t>
    </r>
    <r>
      <rPr>
        <b val="true"/>
        <sz val="11"/>
        <rFont val="Cambria"/>
        <family val="0"/>
        <charset val="1"/>
      </rPr>
      <t xml:space="preserve">0.25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IF_NonNV_Out_Maia </t>
    </r>
    <r>
      <rPr>
        <b val="true"/>
        <sz val="11"/>
        <rFont val="Noto Sans CJK SC"/>
        <family val="2"/>
      </rPr>
      <t xml:space="preserve">低）」｜情境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</si>
  <si>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產出比 </t>
    </r>
    <r>
      <rPr>
        <b val="true"/>
        <sz val="11"/>
        <rFont val="Cambria"/>
        <family val="0"/>
        <charset val="1"/>
      </rPr>
      <t xml:space="preserve">0.25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IF_NonNV_Out_Maia </t>
    </r>
    <r>
      <rPr>
        <b val="true"/>
        <sz val="11"/>
        <rFont val="Noto Sans CJK SC"/>
        <family val="2"/>
      </rPr>
      <t xml:space="preserve">低）」｜情境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</si>
  <si>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產出比 </t>
    </r>
    <r>
      <rPr>
        <b val="true"/>
        <sz val="11"/>
        <rFont val="Cambria"/>
        <family val="0"/>
        <charset val="1"/>
      </rPr>
      <t xml:space="preserve">0.25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IF_NonNV_Out_Maia </t>
    </r>
    <r>
      <rPr>
        <b val="true"/>
        <sz val="11"/>
        <rFont val="Noto Sans CJK SC"/>
        <family val="2"/>
      </rPr>
      <t xml:space="preserve">低）」｜情境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</si>
  <si>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產出比 </t>
    </r>
    <r>
      <rPr>
        <b val="true"/>
        <sz val="11"/>
        <rFont val="Cambria"/>
        <family val="0"/>
        <charset val="1"/>
      </rPr>
      <t xml:space="preserve">0.25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IF_NonNV_Out_Maia </t>
    </r>
    <r>
      <rPr>
        <b val="true"/>
        <sz val="11"/>
        <rFont val="Noto Sans CJK SC"/>
        <family val="2"/>
      </rPr>
      <t xml:space="preserve">低）」｜情境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</si>
  <si>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產出比 </t>
    </r>
    <r>
      <rPr>
        <b val="true"/>
        <sz val="11"/>
        <rFont val="Cambria"/>
        <family val="0"/>
        <charset val="1"/>
      </rPr>
      <t xml:space="preserve">0.25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IF_NonNV_Out_Maia </t>
    </r>
    <r>
      <rPr>
        <b val="true"/>
        <sz val="11"/>
        <rFont val="Noto Sans CJK SC"/>
        <family val="2"/>
      </rPr>
      <t xml:space="preserve">低）」｜情境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</si>
  <si>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產出比 </t>
    </r>
    <r>
      <rPr>
        <b val="true"/>
        <sz val="11"/>
        <rFont val="Cambria"/>
        <family val="0"/>
        <charset val="1"/>
      </rPr>
      <t xml:space="preserve">0.25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IF_NonNV_Out_Maia </t>
    </r>
    <r>
      <rPr>
        <b val="true"/>
        <sz val="11"/>
        <rFont val="Noto Sans CJK SC"/>
        <family val="2"/>
      </rPr>
      <t xml:space="preserve">低）」｜情境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</si>
  <si>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產出比 </t>
    </r>
    <r>
      <rPr>
        <b val="true"/>
        <sz val="11"/>
        <rFont val="Cambria"/>
        <family val="0"/>
        <charset val="1"/>
      </rPr>
      <t xml:space="preserve">0.25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IF_NonNV_Out_Maia </t>
    </r>
    <r>
      <rPr>
        <b val="true"/>
        <sz val="11"/>
        <rFont val="Noto Sans CJK SC"/>
        <family val="2"/>
      </rPr>
      <t xml:space="preserve">低）」｜情境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</si>
  <si>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產出比 </t>
    </r>
    <r>
      <rPr>
        <b val="true"/>
        <sz val="11"/>
        <rFont val="Cambria"/>
        <family val="0"/>
        <charset val="1"/>
      </rPr>
      <t xml:space="preserve">0.25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IF_NonNV_Out_Maia </t>
    </r>
    <r>
      <rPr>
        <b val="true"/>
        <sz val="11"/>
        <rFont val="Noto Sans CJK SC"/>
        <family val="2"/>
      </rPr>
      <t xml:space="preserve">低）」｜情境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</si>
  <si>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產出比 </t>
    </r>
    <r>
      <rPr>
        <b val="true"/>
        <sz val="11"/>
        <rFont val="Cambria"/>
        <family val="0"/>
        <charset val="1"/>
      </rPr>
      <t xml:space="preserve">0.75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IF_NonNV_Out_Maia </t>
    </r>
    <r>
      <rPr>
        <b val="true"/>
        <sz val="11"/>
        <rFont val="Noto Sans CJK SC"/>
        <family val="2"/>
      </rPr>
      <t xml:space="preserve">高）」｜情境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</si>
  <si>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產出比 </t>
    </r>
    <r>
      <rPr>
        <b val="true"/>
        <sz val="11"/>
        <rFont val="Cambria"/>
        <family val="0"/>
        <charset val="1"/>
      </rPr>
      <t xml:space="preserve">0.75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IF_NonNV_Out_Maia </t>
    </r>
    <r>
      <rPr>
        <b val="true"/>
        <sz val="11"/>
        <rFont val="Noto Sans CJK SC"/>
        <family val="2"/>
      </rPr>
      <t xml:space="preserve">高）」｜情境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</si>
  <si>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產出比 </t>
    </r>
    <r>
      <rPr>
        <b val="true"/>
        <sz val="11"/>
        <rFont val="Cambria"/>
        <family val="0"/>
        <charset val="1"/>
      </rPr>
      <t xml:space="preserve">0.75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IF_NonNV_Out_Maia </t>
    </r>
    <r>
      <rPr>
        <b val="true"/>
        <sz val="11"/>
        <rFont val="Noto Sans CJK SC"/>
        <family val="2"/>
      </rPr>
      <t xml:space="preserve">高）」｜情境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</si>
  <si>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產出比 </t>
    </r>
    <r>
      <rPr>
        <b val="true"/>
        <sz val="11"/>
        <rFont val="Cambria"/>
        <family val="0"/>
        <charset val="1"/>
      </rPr>
      <t xml:space="preserve">0.75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IF_NonNV_Out_Maia </t>
    </r>
    <r>
      <rPr>
        <b val="true"/>
        <sz val="11"/>
        <rFont val="Noto Sans CJK SC"/>
        <family val="2"/>
      </rPr>
      <t xml:space="preserve">高）」｜情境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</si>
  <si>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產出比 </t>
    </r>
    <r>
      <rPr>
        <b val="true"/>
        <sz val="11"/>
        <rFont val="Cambria"/>
        <family val="0"/>
        <charset val="1"/>
      </rPr>
      <t xml:space="preserve">0.75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IF_NonNV_Out_Maia </t>
    </r>
    <r>
      <rPr>
        <b val="true"/>
        <sz val="11"/>
        <rFont val="Noto Sans CJK SC"/>
        <family val="2"/>
      </rPr>
      <t xml:space="preserve">高）」｜情境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</si>
  <si>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產出比 </t>
    </r>
    <r>
      <rPr>
        <b val="true"/>
        <sz val="11"/>
        <rFont val="Cambria"/>
        <family val="0"/>
        <charset val="1"/>
      </rPr>
      <t xml:space="preserve">0.75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IF_NonNV_Out_Maia </t>
    </r>
    <r>
      <rPr>
        <b val="true"/>
        <sz val="11"/>
        <rFont val="Noto Sans CJK SC"/>
        <family val="2"/>
      </rPr>
      <t xml:space="preserve">高）」｜情境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</si>
  <si>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產出比 </t>
    </r>
    <r>
      <rPr>
        <b val="true"/>
        <sz val="11"/>
        <rFont val="Cambria"/>
        <family val="0"/>
        <charset val="1"/>
      </rPr>
      <t xml:space="preserve">0.75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IF_NonNV_Out_Maia </t>
    </r>
    <r>
      <rPr>
        <b val="true"/>
        <sz val="11"/>
        <rFont val="Noto Sans CJK SC"/>
        <family val="2"/>
      </rPr>
      <t xml:space="preserve">高）」｜情境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</si>
  <si>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產出比 </t>
    </r>
    <r>
      <rPr>
        <b val="true"/>
        <sz val="11"/>
        <rFont val="Cambria"/>
        <family val="0"/>
        <charset val="1"/>
      </rPr>
      <t xml:space="preserve">0.75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IF_NonNV_Out_Maia </t>
    </r>
    <r>
      <rPr>
        <b val="true"/>
        <sz val="11"/>
        <rFont val="Noto Sans CJK SC"/>
        <family val="2"/>
      </rPr>
      <t xml:space="preserve">高）」｜情境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</si>
  <si>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產出比 </t>
    </r>
    <r>
      <rPr>
        <b val="true"/>
        <sz val="11"/>
        <rFont val="Cambria"/>
        <family val="0"/>
        <charset val="1"/>
      </rPr>
      <t xml:space="preserve">0.75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IF_NonNV_Out_Maia </t>
    </r>
    <r>
      <rPr>
        <b val="true"/>
        <sz val="11"/>
        <rFont val="Noto Sans CJK SC"/>
        <family val="2"/>
      </rPr>
      <t xml:space="preserve">高）」｜情境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</si>
  <si>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產出比 </t>
    </r>
    <r>
      <rPr>
        <b val="true"/>
        <sz val="11"/>
        <rFont val="Cambria"/>
        <family val="0"/>
        <charset val="1"/>
      </rPr>
      <t xml:space="preserve">0.75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IF_NonNV_Out_Maia </t>
    </r>
    <r>
      <rPr>
        <b val="true"/>
        <sz val="11"/>
        <rFont val="Noto Sans CJK SC"/>
        <family val="2"/>
      </rPr>
      <t xml:space="preserve">高）」｜情境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</si>
  <si>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產出比 </t>
    </r>
    <r>
      <rPr>
        <b val="true"/>
        <sz val="11"/>
        <rFont val="Cambria"/>
        <family val="0"/>
        <charset val="1"/>
      </rPr>
      <t xml:space="preserve">0.75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IF_NonNV_Out_Maia </t>
    </r>
    <r>
      <rPr>
        <b val="true"/>
        <sz val="11"/>
        <rFont val="Noto Sans CJK SC"/>
        <family val="2"/>
      </rPr>
      <t xml:space="preserve">高）」｜情境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</si>
  <si>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產出比 </t>
    </r>
    <r>
      <rPr>
        <b val="true"/>
        <sz val="11"/>
        <rFont val="Cambria"/>
        <family val="0"/>
        <charset val="1"/>
      </rPr>
      <t xml:space="preserve">0.75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IF_NonNV_Out_Maia </t>
    </r>
    <r>
      <rPr>
        <b val="true"/>
        <sz val="11"/>
        <rFont val="Noto Sans CJK SC"/>
        <family val="2"/>
      </rPr>
      <t xml:space="preserve">高）」｜情境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</si>
  <si>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產出比 </t>
    </r>
    <r>
      <rPr>
        <b val="true"/>
        <sz val="11"/>
        <rFont val="Cambria"/>
        <family val="0"/>
        <charset val="1"/>
      </rPr>
      <t xml:space="preserve">0.75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IF_NonNV_Out_Maia </t>
    </r>
    <r>
      <rPr>
        <b val="true"/>
        <sz val="11"/>
        <rFont val="Noto Sans CJK SC"/>
        <family val="2"/>
      </rPr>
      <t xml:space="preserve">高）」｜情境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</si>
  <si>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產出比 </t>
    </r>
    <r>
      <rPr>
        <b val="true"/>
        <sz val="11"/>
        <rFont val="Cambria"/>
        <family val="0"/>
        <charset val="1"/>
      </rPr>
      <t xml:space="preserve">0.75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IF_NonNV_Out_Maia </t>
    </r>
    <r>
      <rPr>
        <b val="true"/>
        <sz val="11"/>
        <rFont val="Noto Sans CJK SC"/>
        <family val="2"/>
      </rPr>
      <t xml:space="preserve">高）」｜情境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</si>
  <si>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產出比 </t>
    </r>
    <r>
      <rPr>
        <b val="true"/>
        <sz val="11"/>
        <rFont val="Cambria"/>
        <family val="0"/>
        <charset val="1"/>
      </rPr>
      <t xml:space="preserve">0.75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IF_NonNV_Out_Maia </t>
    </r>
    <r>
      <rPr>
        <b val="true"/>
        <sz val="11"/>
        <rFont val="Noto Sans CJK SC"/>
        <family val="2"/>
      </rPr>
      <t xml:space="preserve">高）」｜情境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</si>
  <si>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座席淨增 −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</si>
  <si>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座席淨增 −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</si>
  <si>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座席淨增 −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</si>
  <si>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座席淨增 −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</si>
  <si>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座席淨增 −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</si>
  <si>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座席淨增 −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</si>
  <si>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座席淨增 −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</si>
  <si>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座席淨增 −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</si>
  <si>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座席淨增 −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</si>
  <si>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座席淨增 −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</si>
  <si>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座席淨增 −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</si>
  <si>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座席淨增 −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</si>
  <si>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座席淨增 −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</si>
  <si>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座席淨增 −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</si>
  <si>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座席淨增 −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</si>
  <si>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座席淨增 </t>
    </r>
    <r>
      <rPr>
        <b val="true"/>
        <sz val="11"/>
        <rFont val="Cambria"/>
        <family val="0"/>
        <charset val="1"/>
      </rPr>
      <t xml:space="preserve">+50%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</si>
  <si>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座席淨增 </t>
    </r>
    <r>
      <rPr>
        <b val="true"/>
        <sz val="11"/>
        <rFont val="Cambria"/>
        <family val="0"/>
        <charset val="1"/>
      </rPr>
      <t xml:space="preserve">+50%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</si>
  <si>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座席淨增 </t>
    </r>
    <r>
      <rPr>
        <b val="true"/>
        <sz val="11"/>
        <rFont val="Cambria"/>
        <family val="0"/>
        <charset val="1"/>
      </rPr>
      <t xml:space="preserve">+50%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</si>
  <si>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座席淨增 </t>
    </r>
    <r>
      <rPr>
        <b val="true"/>
        <sz val="11"/>
        <rFont val="Cambria"/>
        <family val="0"/>
        <charset val="1"/>
      </rPr>
      <t xml:space="preserve">+50%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</si>
  <si>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座席淨增 </t>
    </r>
    <r>
      <rPr>
        <b val="true"/>
        <sz val="11"/>
        <rFont val="Cambria"/>
        <family val="0"/>
        <charset val="1"/>
      </rPr>
      <t xml:space="preserve">+50%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</si>
  <si>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座席淨增 </t>
    </r>
    <r>
      <rPr>
        <b val="true"/>
        <sz val="11"/>
        <rFont val="Cambria"/>
        <family val="0"/>
        <charset val="1"/>
      </rPr>
      <t xml:space="preserve">+50%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</si>
  <si>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座席淨增 </t>
    </r>
    <r>
      <rPr>
        <b val="true"/>
        <sz val="11"/>
        <rFont val="Cambria"/>
        <family val="0"/>
        <charset val="1"/>
      </rPr>
      <t xml:space="preserve">+50%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</si>
  <si>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座席淨增 </t>
    </r>
    <r>
      <rPr>
        <b val="true"/>
        <sz val="11"/>
        <rFont val="Cambria"/>
        <family val="0"/>
        <charset val="1"/>
      </rPr>
      <t xml:space="preserve">+50%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</si>
  <si>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座席淨增 </t>
    </r>
    <r>
      <rPr>
        <b val="true"/>
        <sz val="11"/>
        <rFont val="Cambria"/>
        <family val="0"/>
        <charset val="1"/>
      </rPr>
      <t xml:space="preserve">+50%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</si>
  <si>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座席淨增 </t>
    </r>
    <r>
      <rPr>
        <b val="true"/>
        <sz val="11"/>
        <rFont val="Cambria"/>
        <family val="0"/>
        <charset val="1"/>
      </rPr>
      <t xml:space="preserve">+50%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</si>
  <si>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座席淨增 </t>
    </r>
    <r>
      <rPr>
        <b val="true"/>
        <sz val="11"/>
        <rFont val="Cambria"/>
        <family val="0"/>
        <charset val="1"/>
      </rPr>
      <t xml:space="preserve">+50%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</si>
  <si>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座席淨增 </t>
    </r>
    <r>
      <rPr>
        <b val="true"/>
        <sz val="11"/>
        <rFont val="Cambria"/>
        <family val="0"/>
        <charset val="1"/>
      </rPr>
      <t xml:space="preserve">+50%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</si>
  <si>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座席淨增 </t>
    </r>
    <r>
      <rPr>
        <b val="true"/>
        <sz val="11"/>
        <rFont val="Cambria"/>
        <family val="0"/>
        <charset val="1"/>
      </rPr>
      <t xml:space="preserve">+50%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</si>
  <si>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座席淨增 </t>
    </r>
    <r>
      <rPr>
        <b val="true"/>
        <sz val="11"/>
        <rFont val="Cambria"/>
        <family val="0"/>
        <charset val="1"/>
      </rPr>
      <t xml:space="preserve">+50%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</si>
  <si>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座席淨增 </t>
    </r>
    <r>
      <rPr>
        <b val="true"/>
        <sz val="11"/>
        <rFont val="Cambria"/>
        <family val="0"/>
        <charset val="1"/>
      </rPr>
      <t xml:space="preserve">+50%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</si>
  <si>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月費 </t>
    </r>
    <r>
      <rPr>
        <b val="true"/>
        <sz val="11"/>
        <rFont val="Cambria"/>
        <family val="0"/>
        <charset val="1"/>
      </rPr>
      <t xml:space="preserve">18 </t>
    </r>
    <r>
      <rPr>
        <b val="true"/>
        <sz val="11"/>
        <rFont val="Noto Sans CJK SC"/>
        <family val="2"/>
      </rPr>
      <t xml:space="preserve">美元」｜情境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</si>
  <si>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月費 </t>
    </r>
    <r>
      <rPr>
        <b val="true"/>
        <sz val="11"/>
        <rFont val="Cambria"/>
        <family val="0"/>
        <charset val="1"/>
      </rPr>
      <t xml:space="preserve">18 </t>
    </r>
    <r>
      <rPr>
        <b val="true"/>
        <sz val="11"/>
        <rFont val="Noto Sans CJK SC"/>
        <family val="2"/>
      </rPr>
      <t xml:space="preserve">美元」｜情境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</si>
  <si>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月費 </t>
    </r>
    <r>
      <rPr>
        <b val="true"/>
        <sz val="11"/>
        <rFont val="Cambria"/>
        <family val="0"/>
        <charset val="1"/>
      </rPr>
      <t xml:space="preserve">18 </t>
    </r>
    <r>
      <rPr>
        <b val="true"/>
        <sz val="11"/>
        <rFont val="Noto Sans CJK SC"/>
        <family val="2"/>
      </rPr>
      <t xml:space="preserve">美元」｜情境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</si>
  <si>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月費 </t>
    </r>
    <r>
      <rPr>
        <b val="true"/>
        <sz val="11"/>
        <rFont val="Cambria"/>
        <family val="0"/>
        <charset val="1"/>
      </rPr>
      <t xml:space="preserve">18 </t>
    </r>
    <r>
      <rPr>
        <b val="true"/>
        <sz val="11"/>
        <rFont val="Noto Sans CJK SC"/>
        <family val="2"/>
      </rPr>
      <t xml:space="preserve">美元」｜情境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</si>
  <si>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月費 </t>
    </r>
    <r>
      <rPr>
        <b val="true"/>
        <sz val="11"/>
        <rFont val="Cambria"/>
        <family val="0"/>
        <charset val="1"/>
      </rPr>
      <t xml:space="preserve">18 </t>
    </r>
    <r>
      <rPr>
        <b val="true"/>
        <sz val="11"/>
        <rFont val="Noto Sans CJK SC"/>
        <family val="2"/>
      </rPr>
      <t xml:space="preserve">美元」｜情境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</si>
  <si>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月費 </t>
    </r>
    <r>
      <rPr>
        <b val="true"/>
        <sz val="11"/>
        <rFont val="Cambria"/>
        <family val="0"/>
        <charset val="1"/>
      </rPr>
      <t xml:space="preserve">18 </t>
    </r>
    <r>
      <rPr>
        <b val="true"/>
        <sz val="11"/>
        <rFont val="Noto Sans CJK SC"/>
        <family val="2"/>
      </rPr>
      <t xml:space="preserve">美元」｜情境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</si>
  <si>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月費 </t>
    </r>
    <r>
      <rPr>
        <b val="true"/>
        <sz val="11"/>
        <rFont val="Cambria"/>
        <family val="0"/>
        <charset val="1"/>
      </rPr>
      <t xml:space="preserve">18 </t>
    </r>
    <r>
      <rPr>
        <b val="true"/>
        <sz val="11"/>
        <rFont val="Noto Sans CJK SC"/>
        <family val="2"/>
      </rPr>
      <t xml:space="preserve">美元」｜情境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</si>
  <si>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月費 </t>
    </r>
    <r>
      <rPr>
        <b val="true"/>
        <sz val="11"/>
        <rFont val="Cambria"/>
        <family val="0"/>
        <charset val="1"/>
      </rPr>
      <t xml:space="preserve">18 </t>
    </r>
    <r>
      <rPr>
        <b val="true"/>
        <sz val="11"/>
        <rFont val="Noto Sans CJK SC"/>
        <family val="2"/>
      </rPr>
      <t xml:space="preserve">美元」｜情境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</si>
  <si>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月費 </t>
    </r>
    <r>
      <rPr>
        <b val="true"/>
        <sz val="11"/>
        <rFont val="Cambria"/>
        <family val="0"/>
        <charset val="1"/>
      </rPr>
      <t xml:space="preserve">18 </t>
    </r>
    <r>
      <rPr>
        <b val="true"/>
        <sz val="11"/>
        <rFont val="Noto Sans CJK SC"/>
        <family val="2"/>
      </rPr>
      <t xml:space="preserve">美元」｜情境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</si>
  <si>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月費 </t>
    </r>
    <r>
      <rPr>
        <b val="true"/>
        <sz val="11"/>
        <rFont val="Cambria"/>
        <family val="0"/>
        <charset val="1"/>
      </rPr>
      <t xml:space="preserve">18 </t>
    </r>
    <r>
      <rPr>
        <b val="true"/>
        <sz val="11"/>
        <rFont val="Noto Sans CJK SC"/>
        <family val="2"/>
      </rPr>
      <t xml:space="preserve">美元」｜情境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</si>
  <si>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月費 </t>
    </r>
    <r>
      <rPr>
        <b val="true"/>
        <sz val="11"/>
        <rFont val="Cambria"/>
        <family val="0"/>
        <charset val="1"/>
      </rPr>
      <t xml:space="preserve">18 </t>
    </r>
    <r>
      <rPr>
        <b val="true"/>
        <sz val="11"/>
        <rFont val="Noto Sans CJK SC"/>
        <family val="2"/>
      </rPr>
      <t xml:space="preserve">美元」｜情境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</si>
  <si>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月費 </t>
    </r>
    <r>
      <rPr>
        <b val="true"/>
        <sz val="11"/>
        <rFont val="Cambria"/>
        <family val="0"/>
        <charset val="1"/>
      </rPr>
      <t xml:space="preserve">18 </t>
    </r>
    <r>
      <rPr>
        <b val="true"/>
        <sz val="11"/>
        <rFont val="Noto Sans CJK SC"/>
        <family val="2"/>
      </rPr>
      <t xml:space="preserve">美元」｜情境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</si>
  <si>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月費 </t>
    </r>
    <r>
      <rPr>
        <b val="true"/>
        <sz val="11"/>
        <rFont val="Cambria"/>
        <family val="0"/>
        <charset val="1"/>
      </rPr>
      <t xml:space="preserve">18 </t>
    </r>
    <r>
      <rPr>
        <b val="true"/>
        <sz val="11"/>
        <rFont val="Noto Sans CJK SC"/>
        <family val="2"/>
      </rPr>
      <t xml:space="preserve">美元」｜情境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</si>
  <si>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月費 </t>
    </r>
    <r>
      <rPr>
        <b val="true"/>
        <sz val="11"/>
        <rFont val="Cambria"/>
        <family val="0"/>
        <charset val="1"/>
      </rPr>
      <t xml:space="preserve">18 </t>
    </r>
    <r>
      <rPr>
        <b val="true"/>
        <sz val="11"/>
        <rFont val="Noto Sans CJK SC"/>
        <family val="2"/>
      </rPr>
      <t xml:space="preserve">美元」｜情境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</si>
  <si>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月費 </t>
    </r>
    <r>
      <rPr>
        <b val="true"/>
        <sz val="11"/>
        <rFont val="Cambria"/>
        <family val="0"/>
        <charset val="1"/>
      </rPr>
      <t xml:space="preserve">18 </t>
    </r>
    <r>
      <rPr>
        <b val="true"/>
        <sz val="11"/>
        <rFont val="Noto Sans CJK SC"/>
        <family val="2"/>
      </rPr>
      <t xml:space="preserve">美元」｜情境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</si>
  <si>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月費 </t>
    </r>
    <r>
      <rPr>
        <b val="true"/>
        <sz val="11"/>
        <rFont val="Cambria"/>
        <family val="0"/>
        <charset val="1"/>
      </rPr>
      <t xml:space="preserve">30 </t>
    </r>
    <r>
      <rPr>
        <b val="true"/>
        <sz val="11"/>
        <rFont val="Noto Sans CJK SC"/>
        <family val="2"/>
      </rPr>
      <t xml:space="preserve">美元」｜情境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</si>
  <si>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月費 </t>
    </r>
    <r>
      <rPr>
        <b val="true"/>
        <sz val="11"/>
        <rFont val="Cambria"/>
        <family val="0"/>
        <charset val="1"/>
      </rPr>
      <t xml:space="preserve">30 </t>
    </r>
    <r>
      <rPr>
        <b val="true"/>
        <sz val="11"/>
        <rFont val="Noto Sans CJK SC"/>
        <family val="2"/>
      </rPr>
      <t xml:space="preserve">美元」｜情境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</si>
  <si>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月費 </t>
    </r>
    <r>
      <rPr>
        <b val="true"/>
        <sz val="11"/>
        <rFont val="Cambria"/>
        <family val="0"/>
        <charset val="1"/>
      </rPr>
      <t xml:space="preserve">30 </t>
    </r>
    <r>
      <rPr>
        <b val="true"/>
        <sz val="11"/>
        <rFont val="Noto Sans CJK SC"/>
        <family val="2"/>
      </rPr>
      <t xml:space="preserve">美元」｜情境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</si>
  <si>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月費 </t>
    </r>
    <r>
      <rPr>
        <b val="true"/>
        <sz val="11"/>
        <rFont val="Cambria"/>
        <family val="0"/>
        <charset val="1"/>
      </rPr>
      <t xml:space="preserve">30 </t>
    </r>
    <r>
      <rPr>
        <b val="true"/>
        <sz val="11"/>
        <rFont val="Noto Sans CJK SC"/>
        <family val="2"/>
      </rPr>
      <t xml:space="preserve">美元」｜情境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</si>
  <si>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月費 </t>
    </r>
    <r>
      <rPr>
        <b val="true"/>
        <sz val="11"/>
        <rFont val="Cambria"/>
        <family val="0"/>
        <charset val="1"/>
      </rPr>
      <t xml:space="preserve">30 </t>
    </r>
    <r>
      <rPr>
        <b val="true"/>
        <sz val="11"/>
        <rFont val="Noto Sans CJK SC"/>
        <family val="2"/>
      </rPr>
      <t xml:space="preserve">美元」｜情境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</si>
  <si>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月費 </t>
    </r>
    <r>
      <rPr>
        <b val="true"/>
        <sz val="11"/>
        <rFont val="Cambria"/>
        <family val="0"/>
        <charset val="1"/>
      </rPr>
      <t xml:space="preserve">30 </t>
    </r>
    <r>
      <rPr>
        <b val="true"/>
        <sz val="11"/>
        <rFont val="Noto Sans CJK SC"/>
        <family val="2"/>
      </rPr>
      <t xml:space="preserve">美元」｜情境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</si>
  <si>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月費 </t>
    </r>
    <r>
      <rPr>
        <b val="true"/>
        <sz val="11"/>
        <rFont val="Cambria"/>
        <family val="0"/>
        <charset val="1"/>
      </rPr>
      <t xml:space="preserve">30 </t>
    </r>
    <r>
      <rPr>
        <b val="true"/>
        <sz val="11"/>
        <rFont val="Noto Sans CJK SC"/>
        <family val="2"/>
      </rPr>
      <t xml:space="preserve">美元」｜情境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</si>
  <si>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月費 </t>
    </r>
    <r>
      <rPr>
        <b val="true"/>
        <sz val="11"/>
        <rFont val="Cambria"/>
        <family val="0"/>
        <charset val="1"/>
      </rPr>
      <t xml:space="preserve">30 </t>
    </r>
    <r>
      <rPr>
        <b val="true"/>
        <sz val="11"/>
        <rFont val="Noto Sans CJK SC"/>
        <family val="2"/>
      </rPr>
      <t xml:space="preserve">美元」｜情境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</si>
  <si>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月費 </t>
    </r>
    <r>
      <rPr>
        <b val="true"/>
        <sz val="11"/>
        <rFont val="Cambria"/>
        <family val="0"/>
        <charset val="1"/>
      </rPr>
      <t xml:space="preserve">30 </t>
    </r>
    <r>
      <rPr>
        <b val="true"/>
        <sz val="11"/>
        <rFont val="Noto Sans CJK SC"/>
        <family val="2"/>
      </rPr>
      <t xml:space="preserve">美元」｜情境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</si>
  <si>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月費 </t>
    </r>
    <r>
      <rPr>
        <b val="true"/>
        <sz val="11"/>
        <rFont val="Cambria"/>
        <family val="0"/>
        <charset val="1"/>
      </rPr>
      <t xml:space="preserve">30 </t>
    </r>
    <r>
      <rPr>
        <b val="true"/>
        <sz val="11"/>
        <rFont val="Noto Sans CJK SC"/>
        <family val="2"/>
      </rPr>
      <t xml:space="preserve">美元」｜情境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</si>
  <si>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月費 </t>
    </r>
    <r>
      <rPr>
        <b val="true"/>
        <sz val="11"/>
        <rFont val="Cambria"/>
        <family val="0"/>
        <charset val="1"/>
      </rPr>
      <t xml:space="preserve">30 </t>
    </r>
    <r>
      <rPr>
        <b val="true"/>
        <sz val="11"/>
        <rFont val="Noto Sans CJK SC"/>
        <family val="2"/>
      </rPr>
      <t xml:space="preserve">美元」｜情境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</si>
  <si>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月費 </t>
    </r>
    <r>
      <rPr>
        <b val="true"/>
        <sz val="11"/>
        <rFont val="Cambria"/>
        <family val="0"/>
        <charset val="1"/>
      </rPr>
      <t xml:space="preserve">30 </t>
    </r>
    <r>
      <rPr>
        <b val="true"/>
        <sz val="11"/>
        <rFont val="Noto Sans CJK SC"/>
        <family val="2"/>
      </rPr>
      <t xml:space="preserve">美元」｜情境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</si>
  <si>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月費 </t>
    </r>
    <r>
      <rPr>
        <b val="true"/>
        <sz val="11"/>
        <rFont val="Cambria"/>
        <family val="0"/>
        <charset val="1"/>
      </rPr>
      <t xml:space="preserve">30 </t>
    </r>
    <r>
      <rPr>
        <b val="true"/>
        <sz val="11"/>
        <rFont val="Noto Sans CJK SC"/>
        <family val="2"/>
      </rPr>
      <t xml:space="preserve">美元」｜情境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</si>
  <si>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月費 </t>
    </r>
    <r>
      <rPr>
        <b val="true"/>
        <sz val="11"/>
        <rFont val="Cambria"/>
        <family val="0"/>
        <charset val="1"/>
      </rPr>
      <t xml:space="preserve">30 </t>
    </r>
    <r>
      <rPr>
        <b val="true"/>
        <sz val="11"/>
        <rFont val="Noto Sans CJK SC"/>
        <family val="2"/>
      </rPr>
      <t xml:space="preserve">美元」｜情境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</si>
  <si>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Copilot </t>
    </r>
    <r>
      <rPr>
        <b val="true"/>
        <sz val="11"/>
        <rFont val="Noto Sans CJK SC"/>
        <family val="2"/>
      </rPr>
      <t xml:space="preserve">月費 </t>
    </r>
    <r>
      <rPr>
        <b val="true"/>
        <sz val="11"/>
        <rFont val="Cambria"/>
        <family val="0"/>
        <charset val="1"/>
      </rPr>
      <t xml:space="preserve">30 </t>
    </r>
    <r>
      <rPr>
        <b val="true"/>
        <sz val="11"/>
        <rFont val="Noto Sans CJK SC"/>
        <family val="2"/>
      </rPr>
      <t xml:space="preserve">美元」｜情境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</si>
  <si>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Azure </t>
    </r>
    <r>
      <rPr>
        <b val="true"/>
        <sz val="11"/>
        <rFont val="Noto Sans CJK SC"/>
        <family val="2"/>
      </rPr>
      <t xml:space="preserve">其他長期年增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</si>
  <si>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Azure </t>
    </r>
    <r>
      <rPr>
        <b val="true"/>
        <sz val="11"/>
        <rFont val="Noto Sans CJK SC"/>
        <family val="2"/>
      </rPr>
      <t xml:space="preserve">其他長期年增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</si>
  <si>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Azure </t>
    </r>
    <r>
      <rPr>
        <b val="true"/>
        <sz val="11"/>
        <rFont val="Noto Sans CJK SC"/>
        <family val="2"/>
      </rPr>
      <t xml:space="preserve">其他長期年增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</si>
  <si>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Azure </t>
    </r>
    <r>
      <rPr>
        <b val="true"/>
        <sz val="11"/>
        <rFont val="Noto Sans CJK SC"/>
        <family val="2"/>
      </rPr>
      <t xml:space="preserve">其他長期年增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</si>
  <si>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Azure </t>
    </r>
    <r>
      <rPr>
        <b val="true"/>
        <sz val="11"/>
        <rFont val="Noto Sans CJK SC"/>
        <family val="2"/>
      </rPr>
      <t xml:space="preserve">其他長期年增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</si>
  <si>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Azure </t>
    </r>
    <r>
      <rPr>
        <b val="true"/>
        <sz val="11"/>
        <rFont val="Noto Sans CJK SC"/>
        <family val="2"/>
      </rPr>
      <t xml:space="preserve">其他長期年增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</si>
  <si>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Azure </t>
    </r>
    <r>
      <rPr>
        <b val="true"/>
        <sz val="11"/>
        <rFont val="Noto Sans CJK SC"/>
        <family val="2"/>
      </rPr>
      <t xml:space="preserve">其他長期年增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</si>
  <si>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Azure </t>
    </r>
    <r>
      <rPr>
        <b val="true"/>
        <sz val="11"/>
        <rFont val="Noto Sans CJK SC"/>
        <family val="2"/>
      </rPr>
      <t xml:space="preserve">其他長期年增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</si>
  <si>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Azure </t>
    </r>
    <r>
      <rPr>
        <b val="true"/>
        <sz val="11"/>
        <rFont val="Noto Sans CJK SC"/>
        <family val="2"/>
      </rPr>
      <t xml:space="preserve">其他長期年增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</si>
  <si>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Azure </t>
    </r>
    <r>
      <rPr>
        <b val="true"/>
        <sz val="11"/>
        <rFont val="Noto Sans CJK SC"/>
        <family val="2"/>
      </rPr>
      <t xml:space="preserve">其他長期年增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</si>
  <si>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Azure </t>
    </r>
    <r>
      <rPr>
        <b val="true"/>
        <sz val="11"/>
        <rFont val="Noto Sans CJK SC"/>
        <family val="2"/>
      </rPr>
      <t xml:space="preserve">其他長期年增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</si>
  <si>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Azure </t>
    </r>
    <r>
      <rPr>
        <b val="true"/>
        <sz val="11"/>
        <rFont val="Noto Sans CJK SC"/>
        <family val="2"/>
      </rPr>
      <t xml:space="preserve">其他長期年增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</si>
  <si>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Azure </t>
    </r>
    <r>
      <rPr>
        <b val="true"/>
        <sz val="11"/>
        <rFont val="Noto Sans CJK SC"/>
        <family val="2"/>
      </rPr>
      <t xml:space="preserve">其他長期年增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</si>
  <si>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Azure </t>
    </r>
    <r>
      <rPr>
        <b val="true"/>
        <sz val="11"/>
        <rFont val="Noto Sans CJK SC"/>
        <family val="2"/>
      </rPr>
      <t xml:space="preserve">其他長期年增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</si>
  <si>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Azure </t>
    </r>
    <r>
      <rPr>
        <b val="true"/>
        <sz val="11"/>
        <rFont val="Noto Sans CJK SC"/>
        <family val="2"/>
      </rPr>
      <t xml:space="preserve">其他長期年增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</si>
  <si>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Azure </t>
    </r>
    <r>
      <rPr>
        <b val="true"/>
        <sz val="11"/>
        <rFont val="Noto Sans CJK SC"/>
        <family val="2"/>
      </rPr>
      <t xml:space="preserve">其他長期年增 </t>
    </r>
    <r>
      <rPr>
        <b val="true"/>
        <sz val="11"/>
        <rFont val="Cambria"/>
        <family val="0"/>
        <charset val="1"/>
      </rPr>
      <t xml:space="preserve">12%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</si>
  <si>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Azure </t>
    </r>
    <r>
      <rPr>
        <b val="true"/>
        <sz val="11"/>
        <rFont val="Noto Sans CJK SC"/>
        <family val="2"/>
      </rPr>
      <t xml:space="preserve">其他長期年增 </t>
    </r>
    <r>
      <rPr>
        <b val="true"/>
        <sz val="11"/>
        <rFont val="Cambria"/>
        <family val="0"/>
        <charset val="1"/>
      </rPr>
      <t xml:space="preserve">12%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</si>
  <si>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Azure </t>
    </r>
    <r>
      <rPr>
        <b val="true"/>
        <sz val="11"/>
        <rFont val="Noto Sans CJK SC"/>
        <family val="2"/>
      </rPr>
      <t xml:space="preserve">其他長期年增 </t>
    </r>
    <r>
      <rPr>
        <b val="true"/>
        <sz val="11"/>
        <rFont val="Cambria"/>
        <family val="0"/>
        <charset val="1"/>
      </rPr>
      <t xml:space="preserve">12%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</si>
  <si>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Azure </t>
    </r>
    <r>
      <rPr>
        <b val="true"/>
        <sz val="11"/>
        <rFont val="Noto Sans CJK SC"/>
        <family val="2"/>
      </rPr>
      <t xml:space="preserve">其他長期年增 </t>
    </r>
    <r>
      <rPr>
        <b val="true"/>
        <sz val="11"/>
        <rFont val="Cambria"/>
        <family val="0"/>
        <charset val="1"/>
      </rPr>
      <t xml:space="preserve">12%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</si>
  <si>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Azure </t>
    </r>
    <r>
      <rPr>
        <b val="true"/>
        <sz val="11"/>
        <rFont val="Noto Sans CJK SC"/>
        <family val="2"/>
      </rPr>
      <t xml:space="preserve">其他長期年增 </t>
    </r>
    <r>
      <rPr>
        <b val="true"/>
        <sz val="11"/>
        <rFont val="Cambria"/>
        <family val="0"/>
        <charset val="1"/>
      </rPr>
      <t xml:space="preserve">12%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</si>
  <si>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Azure </t>
    </r>
    <r>
      <rPr>
        <b val="true"/>
        <sz val="11"/>
        <rFont val="Noto Sans CJK SC"/>
        <family val="2"/>
      </rPr>
      <t xml:space="preserve">其他長期年增 </t>
    </r>
    <r>
      <rPr>
        <b val="true"/>
        <sz val="11"/>
        <rFont val="Cambria"/>
        <family val="0"/>
        <charset val="1"/>
      </rPr>
      <t xml:space="preserve">12%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</si>
  <si>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Azure </t>
    </r>
    <r>
      <rPr>
        <b val="true"/>
        <sz val="11"/>
        <rFont val="Noto Sans CJK SC"/>
        <family val="2"/>
      </rPr>
      <t xml:space="preserve">其他長期年增 </t>
    </r>
    <r>
      <rPr>
        <b val="true"/>
        <sz val="11"/>
        <rFont val="Cambria"/>
        <family val="0"/>
        <charset val="1"/>
      </rPr>
      <t xml:space="preserve">12%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</si>
  <si>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Azure </t>
    </r>
    <r>
      <rPr>
        <b val="true"/>
        <sz val="11"/>
        <rFont val="Noto Sans CJK SC"/>
        <family val="2"/>
      </rPr>
      <t xml:space="preserve">其他長期年增 </t>
    </r>
    <r>
      <rPr>
        <b val="true"/>
        <sz val="11"/>
        <rFont val="Cambria"/>
        <family val="0"/>
        <charset val="1"/>
      </rPr>
      <t xml:space="preserve">12%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</si>
  <si>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Azure </t>
    </r>
    <r>
      <rPr>
        <b val="true"/>
        <sz val="11"/>
        <rFont val="Noto Sans CJK SC"/>
        <family val="2"/>
      </rPr>
      <t xml:space="preserve">其他長期年增 </t>
    </r>
    <r>
      <rPr>
        <b val="true"/>
        <sz val="11"/>
        <rFont val="Cambria"/>
        <family val="0"/>
        <charset val="1"/>
      </rPr>
      <t xml:space="preserve">12%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</si>
  <si>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Azure </t>
    </r>
    <r>
      <rPr>
        <b val="true"/>
        <sz val="11"/>
        <rFont val="Noto Sans CJK SC"/>
        <family val="2"/>
      </rPr>
      <t xml:space="preserve">其他長期年增 </t>
    </r>
    <r>
      <rPr>
        <b val="true"/>
        <sz val="11"/>
        <rFont val="Cambria"/>
        <family val="0"/>
        <charset val="1"/>
      </rPr>
      <t xml:space="preserve">12%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</si>
  <si>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Azure </t>
    </r>
    <r>
      <rPr>
        <b val="true"/>
        <sz val="11"/>
        <rFont val="Noto Sans CJK SC"/>
        <family val="2"/>
      </rPr>
      <t xml:space="preserve">其他長期年增 </t>
    </r>
    <r>
      <rPr>
        <b val="true"/>
        <sz val="11"/>
        <rFont val="Cambria"/>
        <family val="0"/>
        <charset val="1"/>
      </rPr>
      <t xml:space="preserve">12%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</si>
  <si>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Azure </t>
    </r>
    <r>
      <rPr>
        <b val="true"/>
        <sz val="11"/>
        <rFont val="Noto Sans CJK SC"/>
        <family val="2"/>
      </rPr>
      <t xml:space="preserve">其他長期年增 </t>
    </r>
    <r>
      <rPr>
        <b val="true"/>
        <sz val="11"/>
        <rFont val="Cambria"/>
        <family val="0"/>
        <charset val="1"/>
      </rPr>
      <t xml:space="preserve">12%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</si>
  <si>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Azure </t>
    </r>
    <r>
      <rPr>
        <b val="true"/>
        <sz val="11"/>
        <rFont val="Noto Sans CJK SC"/>
        <family val="2"/>
      </rPr>
      <t xml:space="preserve">其他長期年增 </t>
    </r>
    <r>
      <rPr>
        <b val="true"/>
        <sz val="11"/>
        <rFont val="Cambria"/>
        <family val="0"/>
        <charset val="1"/>
      </rPr>
      <t xml:space="preserve">12%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</si>
  <si>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Azure </t>
    </r>
    <r>
      <rPr>
        <b val="true"/>
        <sz val="11"/>
        <rFont val="Noto Sans CJK SC"/>
        <family val="2"/>
      </rPr>
      <t xml:space="preserve">其他長期年增 </t>
    </r>
    <r>
      <rPr>
        <b val="true"/>
        <sz val="11"/>
        <rFont val="Cambria"/>
        <family val="0"/>
        <charset val="1"/>
      </rPr>
      <t xml:space="preserve">12%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</si>
  <si>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Azure </t>
    </r>
    <r>
      <rPr>
        <b val="true"/>
        <sz val="11"/>
        <rFont val="Noto Sans CJK SC"/>
        <family val="2"/>
      </rPr>
      <t xml:space="preserve">其他長期年增 </t>
    </r>
    <r>
      <rPr>
        <b val="true"/>
        <sz val="11"/>
        <rFont val="Cambria"/>
        <family val="0"/>
        <charset val="1"/>
      </rPr>
      <t xml:space="preserve">12%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</si>
  <si>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敏感度「搜尋與廣告長期年增 </t>
    </r>
    <r>
      <rPr>
        <b val="true"/>
        <sz val="11"/>
        <rFont val="Cambria"/>
        <family val="0"/>
        <charset val="1"/>
      </rPr>
      <t xml:space="preserve">4%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</si>
  <si>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敏感度「搜尋與廣告長期年增 </t>
    </r>
    <r>
      <rPr>
        <b val="true"/>
        <sz val="11"/>
        <rFont val="Cambria"/>
        <family val="0"/>
        <charset val="1"/>
      </rPr>
      <t xml:space="preserve">4%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</si>
  <si>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敏感度「搜尋與廣告長期年增 </t>
    </r>
    <r>
      <rPr>
        <b val="true"/>
        <sz val="11"/>
        <rFont val="Cambria"/>
        <family val="0"/>
        <charset val="1"/>
      </rPr>
      <t xml:space="preserve">4%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</si>
  <si>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敏感度「搜尋與廣告長期年增 </t>
    </r>
    <r>
      <rPr>
        <b val="true"/>
        <sz val="11"/>
        <rFont val="Cambria"/>
        <family val="0"/>
        <charset val="1"/>
      </rPr>
      <t xml:space="preserve">4%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</si>
  <si>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敏感度「搜尋與廣告長期年增 </t>
    </r>
    <r>
      <rPr>
        <b val="true"/>
        <sz val="11"/>
        <rFont val="Cambria"/>
        <family val="0"/>
        <charset val="1"/>
      </rPr>
      <t xml:space="preserve">4%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</si>
  <si>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敏感度「搜尋與廣告長期年增 </t>
    </r>
    <r>
      <rPr>
        <b val="true"/>
        <sz val="11"/>
        <rFont val="Cambria"/>
        <family val="0"/>
        <charset val="1"/>
      </rPr>
      <t xml:space="preserve">4%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</si>
  <si>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敏感度「搜尋與廣告長期年增 </t>
    </r>
    <r>
      <rPr>
        <b val="true"/>
        <sz val="11"/>
        <rFont val="Cambria"/>
        <family val="0"/>
        <charset val="1"/>
      </rPr>
      <t xml:space="preserve">4%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</si>
  <si>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敏感度「搜尋與廣告長期年增 </t>
    </r>
    <r>
      <rPr>
        <b val="true"/>
        <sz val="11"/>
        <rFont val="Cambria"/>
        <family val="0"/>
        <charset val="1"/>
      </rPr>
      <t xml:space="preserve">4%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</si>
  <si>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敏感度「搜尋與廣告長期年增 </t>
    </r>
    <r>
      <rPr>
        <b val="true"/>
        <sz val="11"/>
        <rFont val="Cambria"/>
        <family val="0"/>
        <charset val="1"/>
      </rPr>
      <t xml:space="preserve">4%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</si>
  <si>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敏感度「搜尋與廣告長期年增 </t>
    </r>
    <r>
      <rPr>
        <b val="true"/>
        <sz val="11"/>
        <rFont val="Cambria"/>
        <family val="0"/>
        <charset val="1"/>
      </rPr>
      <t xml:space="preserve">4%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</si>
  <si>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敏感度「搜尋與廣告長期年增 </t>
    </r>
    <r>
      <rPr>
        <b val="true"/>
        <sz val="11"/>
        <rFont val="Cambria"/>
        <family val="0"/>
        <charset val="1"/>
      </rPr>
      <t xml:space="preserve">4%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</si>
  <si>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敏感度「搜尋與廣告長期年增 </t>
    </r>
    <r>
      <rPr>
        <b val="true"/>
        <sz val="11"/>
        <rFont val="Cambria"/>
        <family val="0"/>
        <charset val="1"/>
      </rPr>
      <t xml:space="preserve">4%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</si>
  <si>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敏感度「搜尋與廣告長期年增 </t>
    </r>
    <r>
      <rPr>
        <b val="true"/>
        <sz val="11"/>
        <rFont val="Cambria"/>
        <family val="0"/>
        <charset val="1"/>
      </rPr>
      <t xml:space="preserve">4%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</si>
  <si>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敏感度「搜尋與廣告長期年增 </t>
    </r>
    <r>
      <rPr>
        <b val="true"/>
        <sz val="11"/>
        <rFont val="Cambria"/>
        <family val="0"/>
        <charset val="1"/>
      </rPr>
      <t xml:space="preserve">4%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</si>
  <si>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敏感度「搜尋與廣告長期年增 </t>
    </r>
    <r>
      <rPr>
        <b val="true"/>
        <sz val="11"/>
        <rFont val="Cambria"/>
        <family val="0"/>
        <charset val="1"/>
      </rPr>
      <t xml:space="preserve">4%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</si>
  <si>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敏感度「搜尋與廣告長期年增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</si>
  <si>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敏感度「搜尋與廣告長期年增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</si>
  <si>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敏感度「搜尋與廣告長期年增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</si>
  <si>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敏感度「搜尋與廣告長期年增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</si>
  <si>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敏感度「搜尋與廣告長期年增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</si>
  <si>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敏感度「搜尋與廣告長期年增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</si>
  <si>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敏感度「搜尋與廣告長期年增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</si>
  <si>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敏感度「搜尋與廣告長期年增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</si>
  <si>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敏感度「搜尋與廣告長期年增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</si>
  <si>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敏感度「搜尋與廣告長期年增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</si>
  <si>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敏感度「搜尋與廣告長期年增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</si>
  <si>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敏感度「搜尋與廣告長期年增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</si>
  <si>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敏感度「搜尋與廣告長期年增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</si>
  <si>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敏感度「搜尋與廣告長期年增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</si>
  <si>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敏感度「搜尋與廣告長期年增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</si>
  <si>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XBOX </t>
    </r>
    <r>
      <rPr>
        <b val="true"/>
        <sz val="11"/>
        <rFont val="Noto Sans CJK SC"/>
        <family val="2"/>
      </rPr>
      <t xml:space="preserve">長期年增 −</t>
    </r>
    <r>
      <rPr>
        <b val="true"/>
        <sz val="11"/>
        <rFont val="Cambria"/>
        <family val="0"/>
        <charset val="1"/>
      </rPr>
      <t xml:space="preserve">2%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</si>
  <si>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XBOX </t>
    </r>
    <r>
      <rPr>
        <b val="true"/>
        <sz val="11"/>
        <rFont val="Noto Sans CJK SC"/>
        <family val="2"/>
      </rPr>
      <t xml:space="preserve">長期年增 −</t>
    </r>
    <r>
      <rPr>
        <b val="true"/>
        <sz val="11"/>
        <rFont val="Cambria"/>
        <family val="0"/>
        <charset val="1"/>
      </rPr>
      <t xml:space="preserve">2%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</si>
  <si>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XBOX </t>
    </r>
    <r>
      <rPr>
        <b val="true"/>
        <sz val="11"/>
        <rFont val="Noto Sans CJK SC"/>
        <family val="2"/>
      </rPr>
      <t xml:space="preserve">長期年增 −</t>
    </r>
    <r>
      <rPr>
        <b val="true"/>
        <sz val="11"/>
        <rFont val="Cambria"/>
        <family val="0"/>
        <charset val="1"/>
      </rPr>
      <t xml:space="preserve">2%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</si>
  <si>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XBOX </t>
    </r>
    <r>
      <rPr>
        <b val="true"/>
        <sz val="11"/>
        <rFont val="Noto Sans CJK SC"/>
        <family val="2"/>
      </rPr>
      <t xml:space="preserve">長期年增 −</t>
    </r>
    <r>
      <rPr>
        <b val="true"/>
        <sz val="11"/>
        <rFont val="Cambria"/>
        <family val="0"/>
        <charset val="1"/>
      </rPr>
      <t xml:space="preserve">2%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</si>
  <si>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XBOX </t>
    </r>
    <r>
      <rPr>
        <b val="true"/>
        <sz val="11"/>
        <rFont val="Noto Sans CJK SC"/>
        <family val="2"/>
      </rPr>
      <t xml:space="preserve">長期年增 −</t>
    </r>
    <r>
      <rPr>
        <b val="true"/>
        <sz val="11"/>
        <rFont val="Cambria"/>
        <family val="0"/>
        <charset val="1"/>
      </rPr>
      <t xml:space="preserve">2%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</si>
  <si>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XBOX </t>
    </r>
    <r>
      <rPr>
        <b val="true"/>
        <sz val="11"/>
        <rFont val="Noto Sans CJK SC"/>
        <family val="2"/>
      </rPr>
      <t xml:space="preserve">長期年增 −</t>
    </r>
    <r>
      <rPr>
        <b val="true"/>
        <sz val="11"/>
        <rFont val="Cambria"/>
        <family val="0"/>
        <charset val="1"/>
      </rPr>
      <t xml:space="preserve">2%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</si>
  <si>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XBOX </t>
    </r>
    <r>
      <rPr>
        <b val="true"/>
        <sz val="11"/>
        <rFont val="Noto Sans CJK SC"/>
        <family val="2"/>
      </rPr>
      <t xml:space="preserve">長期年增 −</t>
    </r>
    <r>
      <rPr>
        <b val="true"/>
        <sz val="11"/>
        <rFont val="Cambria"/>
        <family val="0"/>
        <charset val="1"/>
      </rPr>
      <t xml:space="preserve">2%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</si>
  <si>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XBOX </t>
    </r>
    <r>
      <rPr>
        <b val="true"/>
        <sz val="11"/>
        <rFont val="Noto Sans CJK SC"/>
        <family val="2"/>
      </rPr>
      <t xml:space="preserve">長期年增 −</t>
    </r>
    <r>
      <rPr>
        <b val="true"/>
        <sz val="11"/>
        <rFont val="Cambria"/>
        <family val="0"/>
        <charset val="1"/>
      </rPr>
      <t xml:space="preserve">2%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</si>
  <si>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XBOX </t>
    </r>
    <r>
      <rPr>
        <b val="true"/>
        <sz val="11"/>
        <rFont val="Noto Sans CJK SC"/>
        <family val="2"/>
      </rPr>
      <t xml:space="preserve">長期年增 −</t>
    </r>
    <r>
      <rPr>
        <b val="true"/>
        <sz val="11"/>
        <rFont val="Cambria"/>
        <family val="0"/>
        <charset val="1"/>
      </rPr>
      <t xml:space="preserve">2%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</si>
  <si>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XBOX </t>
    </r>
    <r>
      <rPr>
        <b val="true"/>
        <sz val="11"/>
        <rFont val="Noto Sans CJK SC"/>
        <family val="2"/>
      </rPr>
      <t xml:space="preserve">長期年增 −</t>
    </r>
    <r>
      <rPr>
        <b val="true"/>
        <sz val="11"/>
        <rFont val="Cambria"/>
        <family val="0"/>
        <charset val="1"/>
      </rPr>
      <t xml:space="preserve">2%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</si>
  <si>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XBOX </t>
    </r>
    <r>
      <rPr>
        <b val="true"/>
        <sz val="11"/>
        <rFont val="Noto Sans CJK SC"/>
        <family val="2"/>
      </rPr>
      <t xml:space="preserve">長期年增 −</t>
    </r>
    <r>
      <rPr>
        <b val="true"/>
        <sz val="11"/>
        <rFont val="Cambria"/>
        <family val="0"/>
        <charset val="1"/>
      </rPr>
      <t xml:space="preserve">2%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</si>
  <si>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XBOX </t>
    </r>
    <r>
      <rPr>
        <b val="true"/>
        <sz val="11"/>
        <rFont val="Noto Sans CJK SC"/>
        <family val="2"/>
      </rPr>
      <t xml:space="preserve">長期年增 −</t>
    </r>
    <r>
      <rPr>
        <b val="true"/>
        <sz val="11"/>
        <rFont val="Cambria"/>
        <family val="0"/>
        <charset val="1"/>
      </rPr>
      <t xml:space="preserve">2%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</si>
  <si>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XBOX </t>
    </r>
    <r>
      <rPr>
        <b val="true"/>
        <sz val="11"/>
        <rFont val="Noto Sans CJK SC"/>
        <family val="2"/>
      </rPr>
      <t xml:space="preserve">長期年增 −</t>
    </r>
    <r>
      <rPr>
        <b val="true"/>
        <sz val="11"/>
        <rFont val="Cambria"/>
        <family val="0"/>
        <charset val="1"/>
      </rPr>
      <t xml:space="preserve">2%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</si>
  <si>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XBOX </t>
    </r>
    <r>
      <rPr>
        <b val="true"/>
        <sz val="11"/>
        <rFont val="Noto Sans CJK SC"/>
        <family val="2"/>
      </rPr>
      <t xml:space="preserve">長期年增 −</t>
    </r>
    <r>
      <rPr>
        <b val="true"/>
        <sz val="11"/>
        <rFont val="Cambria"/>
        <family val="0"/>
        <charset val="1"/>
      </rPr>
      <t xml:space="preserve">2%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</si>
  <si>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XBOX </t>
    </r>
    <r>
      <rPr>
        <b val="true"/>
        <sz val="11"/>
        <rFont val="Noto Sans CJK SC"/>
        <family val="2"/>
      </rPr>
      <t xml:space="preserve">長期年增 −</t>
    </r>
    <r>
      <rPr>
        <b val="true"/>
        <sz val="11"/>
        <rFont val="Cambria"/>
        <family val="0"/>
        <charset val="1"/>
      </rPr>
      <t xml:space="preserve">2%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</si>
  <si>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XBOX </t>
    </r>
    <r>
      <rPr>
        <b val="true"/>
        <sz val="11"/>
        <rFont val="Noto Sans CJK SC"/>
        <family val="2"/>
      </rPr>
      <t xml:space="preserve">長期年增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</si>
  <si>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XBOX </t>
    </r>
    <r>
      <rPr>
        <b val="true"/>
        <sz val="11"/>
        <rFont val="Noto Sans CJK SC"/>
        <family val="2"/>
      </rPr>
      <t xml:space="preserve">長期年增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</si>
  <si>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XBOX </t>
    </r>
    <r>
      <rPr>
        <b val="true"/>
        <sz val="11"/>
        <rFont val="Noto Sans CJK SC"/>
        <family val="2"/>
      </rPr>
      <t xml:space="preserve">長期年增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</si>
  <si>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XBOX </t>
    </r>
    <r>
      <rPr>
        <b val="true"/>
        <sz val="11"/>
        <rFont val="Noto Sans CJK SC"/>
        <family val="2"/>
      </rPr>
      <t xml:space="preserve">長期年增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</si>
  <si>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XBOX </t>
    </r>
    <r>
      <rPr>
        <b val="true"/>
        <sz val="11"/>
        <rFont val="Noto Sans CJK SC"/>
        <family val="2"/>
      </rPr>
      <t xml:space="preserve">長期年增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</si>
  <si>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XBOX </t>
    </r>
    <r>
      <rPr>
        <b val="true"/>
        <sz val="11"/>
        <rFont val="Noto Sans CJK SC"/>
        <family val="2"/>
      </rPr>
      <t xml:space="preserve">長期年增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</si>
  <si>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XBOX </t>
    </r>
    <r>
      <rPr>
        <b val="true"/>
        <sz val="11"/>
        <rFont val="Noto Sans CJK SC"/>
        <family val="2"/>
      </rPr>
      <t xml:space="preserve">長期年增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</si>
  <si>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XBOX </t>
    </r>
    <r>
      <rPr>
        <b val="true"/>
        <sz val="11"/>
        <rFont val="Noto Sans CJK SC"/>
        <family val="2"/>
      </rPr>
      <t xml:space="preserve">長期年增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</si>
  <si>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XBOX </t>
    </r>
    <r>
      <rPr>
        <b val="true"/>
        <sz val="11"/>
        <rFont val="Noto Sans CJK SC"/>
        <family val="2"/>
      </rPr>
      <t xml:space="preserve">長期年增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</si>
  <si>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XBOX </t>
    </r>
    <r>
      <rPr>
        <b val="true"/>
        <sz val="11"/>
        <rFont val="Noto Sans CJK SC"/>
        <family val="2"/>
      </rPr>
      <t xml:space="preserve">長期年增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</si>
  <si>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XBOX </t>
    </r>
    <r>
      <rPr>
        <b val="true"/>
        <sz val="11"/>
        <rFont val="Noto Sans CJK SC"/>
        <family val="2"/>
      </rPr>
      <t xml:space="preserve">長期年增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</si>
  <si>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XBOX </t>
    </r>
    <r>
      <rPr>
        <b val="true"/>
        <sz val="11"/>
        <rFont val="Noto Sans CJK SC"/>
        <family val="2"/>
      </rPr>
      <t xml:space="preserve">長期年增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</si>
  <si>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XBOX </t>
    </r>
    <r>
      <rPr>
        <b val="true"/>
        <sz val="11"/>
        <rFont val="Noto Sans CJK SC"/>
        <family val="2"/>
      </rPr>
      <t xml:space="preserve">長期年增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</si>
  <si>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XBOX </t>
    </r>
    <r>
      <rPr>
        <b val="true"/>
        <sz val="11"/>
        <rFont val="Noto Sans CJK SC"/>
        <family val="2"/>
      </rPr>
      <t xml:space="preserve">長期年增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</si>
  <si>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XBOX </t>
    </r>
    <r>
      <rPr>
        <b val="true"/>
        <sz val="11"/>
        <rFont val="Noto Sans CJK SC"/>
        <family val="2"/>
      </rPr>
      <t xml:space="preserve">長期年增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</si>
  <si>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敏感度「分部利益率 −</t>
    </r>
    <r>
      <rPr>
        <b val="true"/>
        <sz val="11"/>
        <rFont val="Cambria"/>
        <family val="0"/>
        <charset val="1"/>
      </rPr>
      <t xml:space="preserve">2pt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</si>
  <si>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敏感度「分部利益率 −</t>
    </r>
    <r>
      <rPr>
        <b val="true"/>
        <sz val="11"/>
        <rFont val="Cambria"/>
        <family val="0"/>
        <charset val="1"/>
      </rPr>
      <t xml:space="preserve">2pt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</si>
  <si>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敏感度「分部利益率 −</t>
    </r>
    <r>
      <rPr>
        <b val="true"/>
        <sz val="11"/>
        <rFont val="Cambria"/>
        <family val="0"/>
        <charset val="1"/>
      </rPr>
      <t xml:space="preserve">2pt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</si>
  <si>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敏感度「分部利益率 −</t>
    </r>
    <r>
      <rPr>
        <b val="true"/>
        <sz val="11"/>
        <rFont val="Cambria"/>
        <family val="0"/>
        <charset val="1"/>
      </rPr>
      <t xml:space="preserve">2pt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</si>
  <si>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敏感度「分部利益率 −</t>
    </r>
    <r>
      <rPr>
        <b val="true"/>
        <sz val="11"/>
        <rFont val="Cambria"/>
        <family val="0"/>
        <charset val="1"/>
      </rPr>
      <t xml:space="preserve">2pt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</si>
  <si>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敏感度「分部利益率 −</t>
    </r>
    <r>
      <rPr>
        <b val="true"/>
        <sz val="11"/>
        <rFont val="Cambria"/>
        <family val="0"/>
        <charset val="1"/>
      </rPr>
      <t xml:space="preserve">2pt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</si>
  <si>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敏感度「分部利益率 −</t>
    </r>
    <r>
      <rPr>
        <b val="true"/>
        <sz val="11"/>
        <rFont val="Cambria"/>
        <family val="0"/>
        <charset val="1"/>
      </rPr>
      <t xml:space="preserve">2pt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</si>
  <si>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敏感度「分部利益率 −</t>
    </r>
    <r>
      <rPr>
        <b val="true"/>
        <sz val="11"/>
        <rFont val="Cambria"/>
        <family val="0"/>
        <charset val="1"/>
      </rPr>
      <t xml:space="preserve">2pt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</si>
  <si>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敏感度「分部利益率 −</t>
    </r>
    <r>
      <rPr>
        <b val="true"/>
        <sz val="11"/>
        <rFont val="Cambria"/>
        <family val="0"/>
        <charset val="1"/>
      </rPr>
      <t xml:space="preserve">2pt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</si>
  <si>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敏感度「分部利益率 −</t>
    </r>
    <r>
      <rPr>
        <b val="true"/>
        <sz val="11"/>
        <rFont val="Cambria"/>
        <family val="0"/>
        <charset val="1"/>
      </rPr>
      <t xml:space="preserve">2pt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</si>
  <si>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敏感度「分部利益率 −</t>
    </r>
    <r>
      <rPr>
        <b val="true"/>
        <sz val="11"/>
        <rFont val="Cambria"/>
        <family val="0"/>
        <charset val="1"/>
      </rPr>
      <t xml:space="preserve">2pt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</si>
  <si>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敏感度「分部利益率 −</t>
    </r>
    <r>
      <rPr>
        <b val="true"/>
        <sz val="11"/>
        <rFont val="Cambria"/>
        <family val="0"/>
        <charset val="1"/>
      </rPr>
      <t xml:space="preserve">2pt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</si>
  <si>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敏感度「分部利益率 −</t>
    </r>
    <r>
      <rPr>
        <b val="true"/>
        <sz val="11"/>
        <rFont val="Cambria"/>
        <family val="0"/>
        <charset val="1"/>
      </rPr>
      <t xml:space="preserve">2pt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</si>
  <si>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敏感度「分部利益率 −</t>
    </r>
    <r>
      <rPr>
        <b val="true"/>
        <sz val="11"/>
        <rFont val="Cambria"/>
        <family val="0"/>
        <charset val="1"/>
      </rPr>
      <t xml:space="preserve">2pt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</si>
  <si>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敏感度「分部利益率 −</t>
    </r>
    <r>
      <rPr>
        <b val="true"/>
        <sz val="11"/>
        <rFont val="Cambria"/>
        <family val="0"/>
        <charset val="1"/>
      </rPr>
      <t xml:space="preserve">2pt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</si>
  <si>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敏感度「分部利益率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</si>
  <si>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敏感度「分部利益率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</si>
  <si>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敏感度「分部利益率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</si>
  <si>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敏感度「分部利益率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</si>
  <si>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敏感度「分部利益率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</si>
  <si>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敏感度「分部利益率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</si>
  <si>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敏感度「分部利益率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</si>
  <si>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敏感度「分部利益率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</si>
  <si>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敏感度「分部利益率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</si>
  <si>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敏感度「分部利益率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</si>
  <si>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敏感度「分部利益率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</si>
  <si>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敏感度「分部利益率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</si>
  <si>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敏感度「分部利益率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</si>
  <si>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敏感度「分部利益率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</si>
  <si>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敏感度「分部利益率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</si>
  <si>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WACC −1pt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</si>
  <si>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WACC −1pt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</si>
  <si>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WACC −1pt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</si>
  <si>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WACC +1pt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</si>
  <si>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WACC +1pt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</si>
  <si>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WACC +1pt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</si>
  <si>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g 2%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</si>
  <si>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g 2%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</si>
  <si>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g 2%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</si>
  <si>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g 4%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</si>
  <si>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g 4%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</si>
  <si>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g 4%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</si>
  <si>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ERP 4.5%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</si>
  <si>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ERP 4.5%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</si>
  <si>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ERP 4.5%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</si>
  <si>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ERP 6%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</si>
  <si>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ERP 6%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</si>
  <si>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ERP 6%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</si>
  <si>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敏感度「永續期新投資報酬 </t>
    </r>
    <r>
      <rPr>
        <b val="true"/>
        <sz val="11"/>
        <rFont val="Cambria"/>
        <family val="0"/>
        <charset val="1"/>
      </rPr>
      <t xml:space="preserve">WACC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5pt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</si>
  <si>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敏感度「永續期新投資報酬 </t>
    </r>
    <r>
      <rPr>
        <b val="true"/>
        <sz val="11"/>
        <rFont val="Cambria"/>
        <family val="0"/>
        <charset val="1"/>
      </rPr>
      <t xml:space="preserve">WACC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5pt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</si>
  <si>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敏感度「永續期新投資報酬 </t>
    </r>
    <r>
      <rPr>
        <b val="true"/>
        <sz val="11"/>
        <rFont val="Cambria"/>
        <family val="0"/>
        <charset val="1"/>
      </rPr>
      <t xml:space="preserve">WACC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5pt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</si>
  <si>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SOTP </t>
    </r>
    <r>
      <rPr>
        <b val="true"/>
        <sz val="11"/>
        <rFont val="Noto Sans CJK SC"/>
        <family val="2"/>
      </rPr>
      <t xml:space="preserve">倍數 −</t>
    </r>
    <r>
      <rPr>
        <b val="true"/>
        <sz val="11"/>
        <rFont val="Cambria"/>
        <family val="0"/>
        <charset val="1"/>
      </rPr>
      <t xml:space="preserve">20%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</si>
  <si>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SOTP </t>
    </r>
    <r>
      <rPr>
        <b val="true"/>
        <sz val="11"/>
        <rFont val="Noto Sans CJK SC"/>
        <family val="2"/>
      </rPr>
      <t xml:space="preserve">倍數 −</t>
    </r>
    <r>
      <rPr>
        <b val="true"/>
        <sz val="11"/>
        <rFont val="Cambria"/>
        <family val="0"/>
        <charset val="1"/>
      </rPr>
      <t xml:space="preserve">20%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</si>
  <si>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SOTP </t>
    </r>
    <r>
      <rPr>
        <b val="true"/>
        <sz val="11"/>
        <rFont val="Noto Sans CJK SC"/>
        <family val="2"/>
      </rPr>
      <t xml:space="preserve">倍數 −</t>
    </r>
    <r>
      <rPr>
        <b val="true"/>
        <sz val="11"/>
        <rFont val="Cambria"/>
        <family val="0"/>
        <charset val="1"/>
      </rPr>
      <t xml:space="preserve">20%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</si>
  <si>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SOTP </t>
    </r>
    <r>
      <rPr>
        <b val="true"/>
        <sz val="11"/>
        <rFont val="Noto Sans CJK SC"/>
        <family val="2"/>
      </rPr>
      <t xml:space="preserve">倍數 </t>
    </r>
    <r>
      <rPr>
        <b val="true"/>
        <sz val="11"/>
        <rFont val="Cambria"/>
        <family val="0"/>
        <charset val="1"/>
      </rPr>
      <t xml:space="preserve">+20%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</si>
  <si>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SOTP </t>
    </r>
    <r>
      <rPr>
        <b val="true"/>
        <sz val="11"/>
        <rFont val="Noto Sans CJK SC"/>
        <family val="2"/>
      </rPr>
      <t xml:space="preserve">倍數 </t>
    </r>
    <r>
      <rPr>
        <b val="true"/>
        <sz val="11"/>
        <rFont val="Cambria"/>
        <family val="0"/>
        <charset val="1"/>
      </rPr>
      <t xml:space="preserve">+20%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</si>
  <si>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敏感度「</t>
    </r>
    <r>
      <rPr>
        <b val="true"/>
        <sz val="11"/>
        <rFont val="Cambria"/>
        <family val="0"/>
        <charset val="1"/>
      </rPr>
      <t xml:space="preserve">SOTP </t>
    </r>
    <r>
      <rPr>
        <b val="true"/>
        <sz val="11"/>
        <rFont val="Noto Sans CJK SC"/>
        <family val="2"/>
      </rPr>
      <t xml:space="preserve">倍數 </t>
    </r>
    <r>
      <rPr>
        <b val="true"/>
        <sz val="11"/>
        <rFont val="Cambria"/>
        <family val="0"/>
        <charset val="1"/>
      </rPr>
      <t xml:space="preserve">+20%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</si>
  <si>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情境改用 </t>
    </r>
    <r>
      <rPr>
        <b val="true"/>
        <sz val="11"/>
        <rFont val="Cambria"/>
        <family val="0"/>
        <charset val="1"/>
      </rPr>
      <t xml:space="preserve">Epoch </t>
    </r>
    <r>
      <rPr>
        <b val="true"/>
        <sz val="11"/>
        <rFont val="Noto Sans CJK SC"/>
        <family val="2"/>
      </rPr>
      <t xml:space="preserve">可辨識站點 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速度（</t>
    </r>
    <r>
      <rPr>
        <b val="true"/>
        <sz val="11"/>
        <rFont val="Cambria"/>
        <family val="0"/>
        <charset val="1"/>
      </rPr>
      <t xml:space="preserve">650</t>
    </r>
    <r>
      <rPr>
        <b val="true"/>
        <sz val="11"/>
        <rFont val="Noto Sans CJK SC"/>
        <family val="2"/>
      </rPr>
      <t xml:space="preserve">／年，上限 </t>
    </r>
    <r>
      <rPr>
        <b val="true"/>
        <sz val="11"/>
        <rFont val="Cambria"/>
        <family val="0"/>
        <charset val="1"/>
      </rPr>
      <t xml:space="preserve">4,386</t>
    </r>
    <r>
      <rPr>
        <b val="true"/>
        <sz val="11"/>
        <rFont val="Noto Sans CJK SC"/>
        <family val="2"/>
      </rPr>
      <t xml:space="preserve">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</si>
  <si>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情境改用 </t>
    </r>
    <r>
      <rPr>
        <b val="true"/>
        <sz val="11"/>
        <rFont val="Cambria"/>
        <family val="0"/>
        <charset val="1"/>
      </rPr>
      <t xml:space="preserve">Epoch </t>
    </r>
    <r>
      <rPr>
        <b val="true"/>
        <sz val="11"/>
        <rFont val="Noto Sans CJK SC"/>
        <family val="2"/>
      </rPr>
      <t xml:space="preserve">可辨識站點 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速度（</t>
    </r>
    <r>
      <rPr>
        <b val="true"/>
        <sz val="11"/>
        <rFont val="Cambria"/>
        <family val="0"/>
        <charset val="1"/>
      </rPr>
      <t xml:space="preserve">650</t>
    </r>
    <r>
      <rPr>
        <b val="true"/>
        <sz val="11"/>
        <rFont val="Noto Sans CJK SC"/>
        <family val="2"/>
      </rPr>
      <t xml:space="preserve">／年，上限 </t>
    </r>
    <r>
      <rPr>
        <b val="true"/>
        <sz val="11"/>
        <rFont val="Cambria"/>
        <family val="0"/>
        <charset val="1"/>
      </rPr>
      <t xml:space="preserve">4,386</t>
    </r>
    <r>
      <rPr>
        <b val="true"/>
        <sz val="11"/>
        <rFont val="Noto Sans CJK SC"/>
        <family val="2"/>
      </rPr>
      <t xml:space="preserve">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</si>
  <si>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情境改用 </t>
    </r>
    <r>
      <rPr>
        <b val="true"/>
        <sz val="11"/>
        <rFont val="Cambria"/>
        <family val="0"/>
        <charset val="1"/>
      </rPr>
      <t xml:space="preserve">Epoch </t>
    </r>
    <r>
      <rPr>
        <b val="true"/>
        <sz val="11"/>
        <rFont val="Noto Sans CJK SC"/>
        <family val="2"/>
      </rPr>
      <t xml:space="preserve">可辨識站點 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速度（</t>
    </r>
    <r>
      <rPr>
        <b val="true"/>
        <sz val="11"/>
        <rFont val="Cambria"/>
        <family val="0"/>
        <charset val="1"/>
      </rPr>
      <t xml:space="preserve">650</t>
    </r>
    <r>
      <rPr>
        <b val="true"/>
        <sz val="11"/>
        <rFont val="Noto Sans CJK SC"/>
        <family val="2"/>
      </rPr>
      <t xml:space="preserve">／年，上限 </t>
    </r>
    <r>
      <rPr>
        <b val="true"/>
        <sz val="11"/>
        <rFont val="Cambria"/>
        <family val="0"/>
        <charset val="1"/>
      </rPr>
      <t xml:space="preserve">4,386</t>
    </r>
    <r>
      <rPr>
        <b val="true"/>
        <sz val="11"/>
        <rFont val="Noto Sans CJK SC"/>
        <family val="2"/>
      </rPr>
      <t xml:space="preserve">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</si>
  <si>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情境改用 </t>
    </r>
    <r>
      <rPr>
        <b val="true"/>
        <sz val="11"/>
        <rFont val="Cambria"/>
        <family val="0"/>
        <charset val="1"/>
      </rPr>
      <t xml:space="preserve">Epoch </t>
    </r>
    <r>
      <rPr>
        <b val="true"/>
        <sz val="11"/>
        <rFont val="Noto Sans CJK SC"/>
        <family val="2"/>
      </rPr>
      <t xml:space="preserve">可辨識站點 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速度（</t>
    </r>
    <r>
      <rPr>
        <b val="true"/>
        <sz val="11"/>
        <rFont val="Cambria"/>
        <family val="0"/>
        <charset val="1"/>
      </rPr>
      <t xml:space="preserve">650</t>
    </r>
    <r>
      <rPr>
        <b val="true"/>
        <sz val="11"/>
        <rFont val="Noto Sans CJK SC"/>
        <family val="2"/>
      </rPr>
      <t xml:space="preserve">／年，上限 </t>
    </r>
    <r>
      <rPr>
        <b val="true"/>
        <sz val="11"/>
        <rFont val="Cambria"/>
        <family val="0"/>
        <charset val="1"/>
      </rPr>
      <t xml:space="preserve">4,386</t>
    </r>
    <r>
      <rPr>
        <b val="true"/>
        <sz val="11"/>
        <rFont val="Noto Sans CJK SC"/>
        <family val="2"/>
      </rPr>
      <t xml:space="preserve">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</si>
  <si>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情境改用 </t>
    </r>
    <r>
      <rPr>
        <b val="true"/>
        <sz val="11"/>
        <rFont val="Cambria"/>
        <family val="0"/>
        <charset val="1"/>
      </rPr>
      <t xml:space="preserve">Epoch </t>
    </r>
    <r>
      <rPr>
        <b val="true"/>
        <sz val="11"/>
        <rFont val="Noto Sans CJK SC"/>
        <family val="2"/>
      </rPr>
      <t xml:space="preserve">可辨識站點 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速度（</t>
    </r>
    <r>
      <rPr>
        <b val="true"/>
        <sz val="11"/>
        <rFont val="Cambria"/>
        <family val="0"/>
        <charset val="1"/>
      </rPr>
      <t xml:space="preserve">650</t>
    </r>
    <r>
      <rPr>
        <b val="true"/>
        <sz val="11"/>
        <rFont val="Noto Sans CJK SC"/>
        <family val="2"/>
      </rPr>
      <t xml:space="preserve">／年，上限 </t>
    </r>
    <r>
      <rPr>
        <b val="true"/>
        <sz val="11"/>
        <rFont val="Cambria"/>
        <family val="0"/>
        <charset val="1"/>
      </rPr>
      <t xml:space="preserve">4,386</t>
    </r>
    <r>
      <rPr>
        <b val="true"/>
        <sz val="11"/>
        <rFont val="Noto Sans CJK SC"/>
        <family val="2"/>
      </rPr>
      <t xml:space="preserve">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</si>
  <si>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k </t>
    </r>
    <r>
      <rPr>
        <b val="true"/>
        <sz val="11"/>
        <rFont val="Noto Sans CJK SC"/>
        <family val="2"/>
      </rPr>
      <t xml:space="preserve">改用長約低端（</t>
    </r>
    <r>
      <rPr>
        <b val="true"/>
        <sz val="11"/>
        <rFont val="Cambria"/>
        <family val="0"/>
        <charset val="1"/>
      </rPr>
      <t xml:space="preserve">k_long_lo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v0.2.2 </t>
    </r>
    <r>
      <rPr>
        <b val="true"/>
        <sz val="11"/>
        <rFont val="Noto Sans CJK SC"/>
        <family val="2"/>
      </rPr>
      <t xml:space="preserve">價格軸低）」｜情境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</si>
  <si>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k </t>
    </r>
    <r>
      <rPr>
        <b val="true"/>
        <sz val="11"/>
        <rFont val="Noto Sans CJK SC"/>
        <family val="2"/>
      </rPr>
      <t xml:space="preserve">改用長約低端（</t>
    </r>
    <r>
      <rPr>
        <b val="true"/>
        <sz val="11"/>
        <rFont val="Cambria"/>
        <family val="0"/>
        <charset val="1"/>
      </rPr>
      <t xml:space="preserve">k_long_lo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v0.2.2 </t>
    </r>
    <r>
      <rPr>
        <b val="true"/>
        <sz val="11"/>
        <rFont val="Noto Sans CJK SC"/>
        <family val="2"/>
      </rPr>
      <t xml:space="preserve">價格軸低）」｜情境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</si>
  <si>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k </t>
    </r>
    <r>
      <rPr>
        <b val="true"/>
        <sz val="11"/>
        <rFont val="Noto Sans CJK SC"/>
        <family val="2"/>
      </rPr>
      <t xml:space="preserve">改用長約低端（</t>
    </r>
    <r>
      <rPr>
        <b val="true"/>
        <sz val="11"/>
        <rFont val="Cambria"/>
        <family val="0"/>
        <charset val="1"/>
      </rPr>
      <t xml:space="preserve">k_long_lo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v0.2.2 </t>
    </r>
    <r>
      <rPr>
        <b val="true"/>
        <sz val="11"/>
        <rFont val="Noto Sans CJK SC"/>
        <family val="2"/>
      </rPr>
      <t xml:space="preserve">價格軸低）」｜情境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</si>
  <si>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k </t>
    </r>
    <r>
      <rPr>
        <b val="true"/>
        <sz val="11"/>
        <rFont val="Noto Sans CJK SC"/>
        <family val="2"/>
      </rPr>
      <t xml:space="preserve">改用長約低端（</t>
    </r>
    <r>
      <rPr>
        <b val="true"/>
        <sz val="11"/>
        <rFont val="Cambria"/>
        <family val="0"/>
        <charset val="1"/>
      </rPr>
      <t xml:space="preserve">k_long_lo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v0.2.2 </t>
    </r>
    <r>
      <rPr>
        <b val="true"/>
        <sz val="11"/>
        <rFont val="Noto Sans CJK SC"/>
        <family val="2"/>
      </rPr>
      <t xml:space="preserve">價格軸低）」｜情境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</si>
  <si>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k </t>
    </r>
    <r>
      <rPr>
        <b val="true"/>
        <sz val="11"/>
        <rFont val="Noto Sans CJK SC"/>
        <family val="2"/>
      </rPr>
      <t xml:space="preserve">改用長約低端（</t>
    </r>
    <r>
      <rPr>
        <b val="true"/>
        <sz val="11"/>
        <rFont val="Cambria"/>
        <family val="0"/>
        <charset val="1"/>
      </rPr>
      <t xml:space="preserve">k_long_lo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v0.2.2 </t>
    </r>
    <r>
      <rPr>
        <b val="true"/>
        <sz val="11"/>
        <rFont val="Noto Sans CJK SC"/>
        <family val="2"/>
      </rPr>
      <t xml:space="preserve">價格軸低）」｜情境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</si>
  <si>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判斷替代「永續期改用 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評價用自由現金流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g</t>
    </r>
    <r>
      <rPr>
        <b val="true"/>
        <sz val="11"/>
        <rFont val="Noto Sans CJK SC"/>
        <family val="2"/>
      </rPr>
      <t xml:space="preserve">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</si>
  <si>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永續期自由現金流（替代：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評價用自由現金流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））</t>
    </r>
  </si>
  <si>
    <r>
      <rPr>
        <b val="true"/>
        <sz val="11"/>
        <rFont val="Noto Sans CJK SC"/>
        <family val="2"/>
      </rPr>
      <t xml:space="preserve">判斷替代「永續期改用 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評價用自由現金流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g</t>
    </r>
    <r>
      <rPr>
        <b val="true"/>
        <sz val="11"/>
        <rFont val="Noto Sans CJK SC"/>
        <family val="2"/>
      </rPr>
      <t xml:space="preserve">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</si>
  <si>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判斷替代「永續期改用 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評價用自由現金流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g</t>
    </r>
    <r>
      <rPr>
        <b val="true"/>
        <sz val="11"/>
        <rFont val="Noto Sans CJK SC"/>
        <family val="2"/>
      </rPr>
      <t xml:space="preserve">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</si>
  <si>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各線改用 </t>
    </r>
    <r>
      <rPr>
        <b val="true"/>
        <sz val="11"/>
        <rFont val="Cambria"/>
        <family val="0"/>
        <charset val="1"/>
      </rPr>
      <t xml:space="preserve">Microsoft </t>
    </r>
    <r>
      <rPr>
        <b val="true"/>
        <sz val="11"/>
        <rFont val="Noto Sans CJK SC"/>
        <family val="2"/>
      </rPr>
      <t xml:space="preserve">自身倍數 </t>
    </r>
    <r>
      <rPr>
        <b val="true"/>
        <sz val="11"/>
        <rFont val="Cambria"/>
        <family val="0"/>
        <charset val="1"/>
      </rPr>
      <t xml:space="preserve">15.67×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</si>
  <si>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各線改用 </t>
    </r>
    <r>
      <rPr>
        <b val="true"/>
        <sz val="11"/>
        <rFont val="Cambria"/>
        <family val="0"/>
        <charset val="1"/>
      </rPr>
      <t xml:space="preserve">Microsoft </t>
    </r>
    <r>
      <rPr>
        <b val="true"/>
        <sz val="11"/>
        <rFont val="Noto Sans CJK SC"/>
        <family val="2"/>
      </rPr>
      <t xml:space="preserve">自身倍數 </t>
    </r>
    <r>
      <rPr>
        <b val="true"/>
        <sz val="11"/>
        <rFont val="Cambria"/>
        <family val="0"/>
        <charset val="1"/>
      </rPr>
      <t xml:space="preserve">15.67×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</si>
  <si>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各線改用 </t>
    </r>
    <r>
      <rPr>
        <b val="true"/>
        <sz val="11"/>
        <rFont val="Cambria"/>
        <family val="0"/>
        <charset val="1"/>
      </rPr>
      <t xml:space="preserve">Microsoft </t>
    </r>
    <r>
      <rPr>
        <b val="true"/>
        <sz val="11"/>
        <rFont val="Noto Sans CJK SC"/>
        <family val="2"/>
      </rPr>
      <t xml:space="preserve">自身倍數 </t>
    </r>
    <r>
      <rPr>
        <b val="true"/>
        <sz val="11"/>
        <rFont val="Cambria"/>
        <family val="0"/>
        <charset val="1"/>
      </rPr>
      <t xml:space="preserve">15.67×</t>
    </r>
    <r>
      <rPr>
        <b val="true"/>
        <sz val="11"/>
        <rFont val="Noto Sans CJK SC"/>
        <family val="2"/>
      </rPr>
      <t xml:space="preserve">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</si>
  <si>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判斷替代「讀法 </t>
    </r>
    <r>
      <rPr>
        <b val="true"/>
        <sz val="11"/>
        <rFont val="Cambria"/>
        <family val="0"/>
        <charset val="1"/>
      </rPr>
      <t xml:space="preserve">1 </t>
    </r>
    <r>
      <rPr>
        <b val="true"/>
        <sz val="11"/>
        <rFont val="Noto Sans CJK SC"/>
        <family val="2"/>
      </rPr>
      <t xml:space="preserve">且 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速度改 </t>
    </r>
    <r>
      <rPr>
        <b val="true"/>
        <sz val="11"/>
        <rFont val="Cambria"/>
        <family val="0"/>
        <charset val="1"/>
      </rPr>
      <t xml:space="preserve">Epoch </t>
    </r>
    <r>
      <rPr>
        <b val="true"/>
        <sz val="11"/>
        <rFont val="Noto Sans CJK SC"/>
        <family val="2"/>
      </rPr>
      <t xml:space="preserve">可辨識站點（與 </t>
    </r>
    <r>
      <rPr>
        <b val="true"/>
        <sz val="11"/>
        <rFont val="Cambria"/>
        <family val="0"/>
        <charset val="1"/>
      </rPr>
      <t xml:space="preserve">Sens</t>
    </r>
    <r>
      <rPr>
        <b val="true"/>
        <sz val="11"/>
        <rFont val="Noto Sans CJK SC"/>
        <family val="2"/>
      </rPr>
      <t xml:space="preserve">「讀法 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」比較＝讀法 </t>
    </r>
    <r>
      <rPr>
        <b val="true"/>
        <sz val="11"/>
        <rFont val="Cambria"/>
        <family val="0"/>
        <charset val="1"/>
      </rPr>
      <t xml:space="preserve">1 </t>
    </r>
    <r>
      <rPr>
        <b val="true"/>
        <sz val="11"/>
        <rFont val="Noto Sans CJK SC"/>
        <family val="2"/>
      </rPr>
      <t xml:space="preserve">下的容量效果）」｜情境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</si>
  <si>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判斷替代「讀法 </t>
    </r>
    <r>
      <rPr>
        <b val="true"/>
        <sz val="11"/>
        <rFont val="Cambria"/>
        <family val="0"/>
        <charset val="1"/>
      </rPr>
      <t xml:space="preserve">1 </t>
    </r>
    <r>
      <rPr>
        <b val="true"/>
        <sz val="11"/>
        <rFont val="Noto Sans CJK SC"/>
        <family val="2"/>
      </rPr>
      <t xml:space="preserve">且 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速度改 </t>
    </r>
    <r>
      <rPr>
        <b val="true"/>
        <sz val="11"/>
        <rFont val="Cambria"/>
        <family val="0"/>
        <charset val="1"/>
      </rPr>
      <t xml:space="preserve">Epoch </t>
    </r>
    <r>
      <rPr>
        <b val="true"/>
        <sz val="11"/>
        <rFont val="Noto Sans CJK SC"/>
        <family val="2"/>
      </rPr>
      <t xml:space="preserve">可辨識站點（與 </t>
    </r>
    <r>
      <rPr>
        <b val="true"/>
        <sz val="11"/>
        <rFont val="Cambria"/>
        <family val="0"/>
        <charset val="1"/>
      </rPr>
      <t xml:space="preserve">Sens</t>
    </r>
    <r>
      <rPr>
        <b val="true"/>
        <sz val="11"/>
        <rFont val="Noto Sans CJK SC"/>
        <family val="2"/>
      </rPr>
      <t xml:space="preserve">「讀法 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」比較＝讀法 </t>
    </r>
    <r>
      <rPr>
        <b val="true"/>
        <sz val="11"/>
        <rFont val="Cambria"/>
        <family val="0"/>
        <charset val="1"/>
      </rPr>
      <t xml:space="preserve">1 </t>
    </r>
    <r>
      <rPr>
        <b val="true"/>
        <sz val="11"/>
        <rFont val="Noto Sans CJK SC"/>
        <family val="2"/>
      </rPr>
      <t xml:space="preserve">下的容量效果）」｜情境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</si>
  <si>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判斷替代「讀法 </t>
    </r>
    <r>
      <rPr>
        <b val="true"/>
        <sz val="11"/>
        <rFont val="Cambria"/>
        <family val="0"/>
        <charset val="1"/>
      </rPr>
      <t xml:space="preserve">1 </t>
    </r>
    <r>
      <rPr>
        <b val="true"/>
        <sz val="11"/>
        <rFont val="Noto Sans CJK SC"/>
        <family val="2"/>
      </rPr>
      <t xml:space="preserve">且 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速度改 </t>
    </r>
    <r>
      <rPr>
        <b val="true"/>
        <sz val="11"/>
        <rFont val="Cambria"/>
        <family val="0"/>
        <charset val="1"/>
      </rPr>
      <t xml:space="preserve">Epoch </t>
    </r>
    <r>
      <rPr>
        <b val="true"/>
        <sz val="11"/>
        <rFont val="Noto Sans CJK SC"/>
        <family val="2"/>
      </rPr>
      <t xml:space="preserve">可辨識站點（與 </t>
    </r>
    <r>
      <rPr>
        <b val="true"/>
        <sz val="11"/>
        <rFont val="Cambria"/>
        <family val="0"/>
        <charset val="1"/>
      </rPr>
      <t xml:space="preserve">Sens</t>
    </r>
    <r>
      <rPr>
        <b val="true"/>
        <sz val="11"/>
        <rFont val="Noto Sans CJK SC"/>
        <family val="2"/>
      </rPr>
      <t xml:space="preserve">「讀法 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」比較＝讀法 </t>
    </r>
    <r>
      <rPr>
        <b val="true"/>
        <sz val="11"/>
        <rFont val="Cambria"/>
        <family val="0"/>
        <charset val="1"/>
      </rPr>
      <t xml:space="preserve">1 </t>
    </r>
    <r>
      <rPr>
        <b val="true"/>
        <sz val="11"/>
        <rFont val="Noto Sans CJK SC"/>
        <family val="2"/>
      </rPr>
      <t xml:space="preserve">下的容量效果）」｜情境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</si>
  <si>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判斷替代「讀法 </t>
    </r>
    <r>
      <rPr>
        <b val="true"/>
        <sz val="11"/>
        <rFont val="Cambria"/>
        <family val="0"/>
        <charset val="1"/>
      </rPr>
      <t xml:space="preserve">1 </t>
    </r>
    <r>
      <rPr>
        <b val="true"/>
        <sz val="11"/>
        <rFont val="Noto Sans CJK SC"/>
        <family val="2"/>
      </rPr>
      <t xml:space="preserve">且 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速度改 </t>
    </r>
    <r>
      <rPr>
        <b val="true"/>
        <sz val="11"/>
        <rFont val="Cambria"/>
        <family val="0"/>
        <charset val="1"/>
      </rPr>
      <t xml:space="preserve">Epoch </t>
    </r>
    <r>
      <rPr>
        <b val="true"/>
        <sz val="11"/>
        <rFont val="Noto Sans CJK SC"/>
        <family val="2"/>
      </rPr>
      <t xml:space="preserve">可辨識站點（與 </t>
    </r>
    <r>
      <rPr>
        <b val="true"/>
        <sz val="11"/>
        <rFont val="Cambria"/>
        <family val="0"/>
        <charset val="1"/>
      </rPr>
      <t xml:space="preserve">Sens</t>
    </r>
    <r>
      <rPr>
        <b val="true"/>
        <sz val="11"/>
        <rFont val="Noto Sans CJK SC"/>
        <family val="2"/>
      </rPr>
      <t xml:space="preserve">「讀法 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」比較＝讀法 </t>
    </r>
    <r>
      <rPr>
        <b val="true"/>
        <sz val="11"/>
        <rFont val="Cambria"/>
        <family val="0"/>
        <charset val="1"/>
      </rPr>
      <t xml:space="preserve">1 </t>
    </r>
    <r>
      <rPr>
        <b val="true"/>
        <sz val="11"/>
        <rFont val="Noto Sans CJK SC"/>
        <family val="2"/>
      </rPr>
      <t xml:space="preserve">下的容量效果）」｜情境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</si>
  <si>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判斷替代「讀法 </t>
    </r>
    <r>
      <rPr>
        <b val="true"/>
        <sz val="11"/>
        <rFont val="Cambria"/>
        <family val="0"/>
        <charset val="1"/>
      </rPr>
      <t xml:space="preserve">1 </t>
    </r>
    <r>
      <rPr>
        <b val="true"/>
        <sz val="11"/>
        <rFont val="Noto Sans CJK SC"/>
        <family val="2"/>
      </rPr>
      <t xml:space="preserve">且 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速度改 </t>
    </r>
    <r>
      <rPr>
        <b val="true"/>
        <sz val="11"/>
        <rFont val="Cambria"/>
        <family val="0"/>
        <charset val="1"/>
      </rPr>
      <t xml:space="preserve">Epoch </t>
    </r>
    <r>
      <rPr>
        <b val="true"/>
        <sz val="11"/>
        <rFont val="Noto Sans CJK SC"/>
        <family val="2"/>
      </rPr>
      <t xml:space="preserve">可辨識站點（與 </t>
    </r>
    <r>
      <rPr>
        <b val="true"/>
        <sz val="11"/>
        <rFont val="Cambria"/>
        <family val="0"/>
        <charset val="1"/>
      </rPr>
      <t xml:space="preserve">Sens</t>
    </r>
    <r>
      <rPr>
        <b val="true"/>
        <sz val="11"/>
        <rFont val="Noto Sans CJK SC"/>
        <family val="2"/>
      </rPr>
      <t xml:space="preserve">「讀法 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」比較＝讀法 </t>
    </r>
    <r>
      <rPr>
        <b val="true"/>
        <sz val="11"/>
        <rFont val="Cambria"/>
        <family val="0"/>
        <charset val="1"/>
      </rPr>
      <t xml:space="preserve">1 </t>
    </r>
    <r>
      <rPr>
        <b val="true"/>
        <sz val="11"/>
        <rFont val="Noto Sans CJK SC"/>
        <family val="2"/>
      </rPr>
      <t xml:space="preserve">下的容量效果）」｜情境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</si>
  <si>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判斷替代「讀法 </t>
    </r>
    <r>
      <rPr>
        <b val="true"/>
        <sz val="11"/>
        <rFont val="Cambria"/>
        <family val="0"/>
        <charset val="1"/>
      </rPr>
      <t xml:space="preserve">1 </t>
    </r>
    <r>
      <rPr>
        <b val="true"/>
        <sz val="11"/>
        <rFont val="Noto Sans CJK SC"/>
        <family val="2"/>
      </rPr>
      <t xml:space="preserve">且 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速度改 </t>
    </r>
    <r>
      <rPr>
        <b val="true"/>
        <sz val="11"/>
        <rFont val="Cambria"/>
        <family val="0"/>
        <charset val="1"/>
      </rPr>
      <t xml:space="preserve">Epoch </t>
    </r>
    <r>
      <rPr>
        <b val="true"/>
        <sz val="11"/>
        <rFont val="Noto Sans CJK SC"/>
        <family val="2"/>
      </rPr>
      <t xml:space="preserve">可辨識站點（與 </t>
    </r>
    <r>
      <rPr>
        <b val="true"/>
        <sz val="11"/>
        <rFont val="Cambria"/>
        <family val="0"/>
        <charset val="1"/>
      </rPr>
      <t xml:space="preserve">Sens</t>
    </r>
    <r>
      <rPr>
        <b val="true"/>
        <sz val="11"/>
        <rFont val="Noto Sans CJK SC"/>
        <family val="2"/>
      </rPr>
      <t xml:space="preserve">「讀法 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」比較＝讀法 </t>
    </r>
    <r>
      <rPr>
        <b val="true"/>
        <sz val="11"/>
        <rFont val="Cambria"/>
        <family val="0"/>
        <charset val="1"/>
      </rPr>
      <t xml:space="preserve">1 </t>
    </r>
    <r>
      <rPr>
        <b val="true"/>
        <sz val="11"/>
        <rFont val="Noto Sans CJK SC"/>
        <family val="2"/>
      </rPr>
      <t xml:space="preserve">下的容量效果）」｜情境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</si>
  <si>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判斷替代「讀法 </t>
    </r>
    <r>
      <rPr>
        <b val="true"/>
        <sz val="11"/>
        <rFont val="Cambria"/>
        <family val="0"/>
        <charset val="1"/>
      </rPr>
      <t xml:space="preserve">1 </t>
    </r>
    <r>
      <rPr>
        <b val="true"/>
        <sz val="11"/>
        <rFont val="Noto Sans CJK SC"/>
        <family val="2"/>
      </rPr>
      <t xml:space="preserve">且 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速度改 </t>
    </r>
    <r>
      <rPr>
        <b val="true"/>
        <sz val="11"/>
        <rFont val="Cambria"/>
        <family val="0"/>
        <charset val="1"/>
      </rPr>
      <t xml:space="preserve">Epoch </t>
    </r>
    <r>
      <rPr>
        <b val="true"/>
        <sz val="11"/>
        <rFont val="Noto Sans CJK SC"/>
        <family val="2"/>
      </rPr>
      <t xml:space="preserve">可辨識站點（與 </t>
    </r>
    <r>
      <rPr>
        <b val="true"/>
        <sz val="11"/>
        <rFont val="Cambria"/>
        <family val="0"/>
        <charset val="1"/>
      </rPr>
      <t xml:space="preserve">Sens</t>
    </r>
    <r>
      <rPr>
        <b val="true"/>
        <sz val="11"/>
        <rFont val="Noto Sans CJK SC"/>
        <family val="2"/>
      </rPr>
      <t xml:space="preserve">「讀法 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」比較＝讀法 </t>
    </r>
    <r>
      <rPr>
        <b val="true"/>
        <sz val="11"/>
        <rFont val="Cambria"/>
        <family val="0"/>
        <charset val="1"/>
      </rPr>
      <t xml:space="preserve">1 </t>
    </r>
    <r>
      <rPr>
        <b val="true"/>
        <sz val="11"/>
        <rFont val="Noto Sans CJK SC"/>
        <family val="2"/>
      </rPr>
      <t xml:space="preserve">下的容量效果）」｜情境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</si>
  <si>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判斷替代「讀法 </t>
    </r>
    <r>
      <rPr>
        <b val="true"/>
        <sz val="11"/>
        <rFont val="Cambria"/>
        <family val="0"/>
        <charset val="1"/>
      </rPr>
      <t xml:space="preserve">1 </t>
    </r>
    <r>
      <rPr>
        <b val="true"/>
        <sz val="11"/>
        <rFont val="Noto Sans CJK SC"/>
        <family val="2"/>
      </rPr>
      <t xml:space="preserve">且 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速度改 </t>
    </r>
    <r>
      <rPr>
        <b val="true"/>
        <sz val="11"/>
        <rFont val="Cambria"/>
        <family val="0"/>
        <charset val="1"/>
      </rPr>
      <t xml:space="preserve">Epoch </t>
    </r>
    <r>
      <rPr>
        <b val="true"/>
        <sz val="11"/>
        <rFont val="Noto Sans CJK SC"/>
        <family val="2"/>
      </rPr>
      <t xml:space="preserve">可辨識站點（與 </t>
    </r>
    <r>
      <rPr>
        <b val="true"/>
        <sz val="11"/>
        <rFont val="Cambria"/>
        <family val="0"/>
        <charset val="1"/>
      </rPr>
      <t xml:space="preserve">Sens</t>
    </r>
    <r>
      <rPr>
        <b val="true"/>
        <sz val="11"/>
        <rFont val="Noto Sans CJK SC"/>
        <family val="2"/>
      </rPr>
      <t xml:space="preserve">「讀法 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」比較＝讀法 </t>
    </r>
    <r>
      <rPr>
        <b val="true"/>
        <sz val="11"/>
        <rFont val="Cambria"/>
        <family val="0"/>
        <charset val="1"/>
      </rPr>
      <t xml:space="preserve">1 </t>
    </r>
    <r>
      <rPr>
        <b val="true"/>
        <sz val="11"/>
        <rFont val="Noto Sans CJK SC"/>
        <family val="2"/>
      </rPr>
      <t xml:space="preserve">下的容量效果）」｜情境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</si>
  <si>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判斷替代「讀法 </t>
    </r>
    <r>
      <rPr>
        <b val="true"/>
        <sz val="11"/>
        <rFont val="Cambria"/>
        <family val="0"/>
        <charset val="1"/>
      </rPr>
      <t xml:space="preserve">1 </t>
    </r>
    <r>
      <rPr>
        <b val="true"/>
        <sz val="11"/>
        <rFont val="Noto Sans CJK SC"/>
        <family val="2"/>
      </rPr>
      <t xml:space="preserve">且 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速度改 </t>
    </r>
    <r>
      <rPr>
        <b val="true"/>
        <sz val="11"/>
        <rFont val="Cambria"/>
        <family val="0"/>
        <charset val="1"/>
      </rPr>
      <t xml:space="preserve">Epoch </t>
    </r>
    <r>
      <rPr>
        <b val="true"/>
        <sz val="11"/>
        <rFont val="Noto Sans CJK SC"/>
        <family val="2"/>
      </rPr>
      <t xml:space="preserve">可辨識站點（與 </t>
    </r>
    <r>
      <rPr>
        <b val="true"/>
        <sz val="11"/>
        <rFont val="Cambria"/>
        <family val="0"/>
        <charset val="1"/>
      </rPr>
      <t xml:space="preserve">Sens</t>
    </r>
    <r>
      <rPr>
        <b val="true"/>
        <sz val="11"/>
        <rFont val="Noto Sans CJK SC"/>
        <family val="2"/>
      </rPr>
      <t xml:space="preserve">「讀法 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」比較＝讀法 </t>
    </r>
    <r>
      <rPr>
        <b val="true"/>
        <sz val="11"/>
        <rFont val="Cambria"/>
        <family val="0"/>
        <charset val="1"/>
      </rPr>
      <t xml:space="preserve">1 </t>
    </r>
    <r>
      <rPr>
        <b val="true"/>
        <sz val="11"/>
        <rFont val="Noto Sans CJK SC"/>
        <family val="2"/>
      </rPr>
      <t xml:space="preserve">下的容量效果）」｜情境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</si>
  <si>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判斷替代「讀法 </t>
    </r>
    <r>
      <rPr>
        <b val="true"/>
        <sz val="11"/>
        <rFont val="Cambria"/>
        <family val="0"/>
        <charset val="1"/>
      </rPr>
      <t xml:space="preserve">1 </t>
    </r>
    <r>
      <rPr>
        <b val="true"/>
        <sz val="11"/>
        <rFont val="Noto Sans CJK SC"/>
        <family val="2"/>
      </rPr>
      <t xml:space="preserve">且 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速度改 </t>
    </r>
    <r>
      <rPr>
        <b val="true"/>
        <sz val="11"/>
        <rFont val="Cambria"/>
        <family val="0"/>
        <charset val="1"/>
      </rPr>
      <t xml:space="preserve">Epoch </t>
    </r>
    <r>
      <rPr>
        <b val="true"/>
        <sz val="11"/>
        <rFont val="Noto Sans CJK SC"/>
        <family val="2"/>
      </rPr>
      <t xml:space="preserve">可辨識站點（與 </t>
    </r>
    <r>
      <rPr>
        <b val="true"/>
        <sz val="11"/>
        <rFont val="Cambria"/>
        <family val="0"/>
        <charset val="1"/>
      </rPr>
      <t xml:space="preserve">Sens</t>
    </r>
    <r>
      <rPr>
        <b val="true"/>
        <sz val="11"/>
        <rFont val="Noto Sans CJK SC"/>
        <family val="2"/>
      </rPr>
      <t xml:space="preserve">「讀法 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」比較＝讀法 </t>
    </r>
    <r>
      <rPr>
        <b val="true"/>
        <sz val="11"/>
        <rFont val="Cambria"/>
        <family val="0"/>
        <charset val="1"/>
      </rPr>
      <t xml:space="preserve">1 </t>
    </r>
    <r>
      <rPr>
        <b val="true"/>
        <sz val="11"/>
        <rFont val="Noto Sans CJK SC"/>
        <family val="2"/>
      </rPr>
      <t xml:space="preserve">下的容量效果）」｜情境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</si>
  <si>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判斷替代「讀法 </t>
    </r>
    <r>
      <rPr>
        <b val="true"/>
        <sz val="11"/>
        <rFont val="Cambria"/>
        <family val="0"/>
        <charset val="1"/>
      </rPr>
      <t xml:space="preserve">1 </t>
    </r>
    <r>
      <rPr>
        <b val="true"/>
        <sz val="11"/>
        <rFont val="Noto Sans CJK SC"/>
        <family val="2"/>
      </rPr>
      <t xml:space="preserve">且 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速度改 </t>
    </r>
    <r>
      <rPr>
        <b val="true"/>
        <sz val="11"/>
        <rFont val="Cambria"/>
        <family val="0"/>
        <charset val="1"/>
      </rPr>
      <t xml:space="preserve">Epoch </t>
    </r>
    <r>
      <rPr>
        <b val="true"/>
        <sz val="11"/>
        <rFont val="Noto Sans CJK SC"/>
        <family val="2"/>
      </rPr>
      <t xml:space="preserve">可辨識站點（與 </t>
    </r>
    <r>
      <rPr>
        <b val="true"/>
        <sz val="11"/>
        <rFont val="Cambria"/>
        <family val="0"/>
        <charset val="1"/>
      </rPr>
      <t xml:space="preserve">Sens</t>
    </r>
    <r>
      <rPr>
        <b val="true"/>
        <sz val="11"/>
        <rFont val="Noto Sans CJK SC"/>
        <family val="2"/>
      </rPr>
      <t xml:space="preserve">「讀法 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」比較＝讀法 </t>
    </r>
    <r>
      <rPr>
        <b val="true"/>
        <sz val="11"/>
        <rFont val="Cambria"/>
        <family val="0"/>
        <charset val="1"/>
      </rPr>
      <t xml:space="preserve">1 </t>
    </r>
    <r>
      <rPr>
        <b val="true"/>
        <sz val="11"/>
        <rFont val="Noto Sans CJK SC"/>
        <family val="2"/>
      </rPr>
      <t xml:space="preserve">下的容量效果）」｜情境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</si>
  <si>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判斷替代「讀法 </t>
    </r>
    <r>
      <rPr>
        <b val="true"/>
        <sz val="11"/>
        <rFont val="Cambria"/>
        <family val="0"/>
        <charset val="1"/>
      </rPr>
      <t xml:space="preserve">1 </t>
    </r>
    <r>
      <rPr>
        <b val="true"/>
        <sz val="11"/>
        <rFont val="Noto Sans CJK SC"/>
        <family val="2"/>
      </rPr>
      <t xml:space="preserve">且 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速度改 </t>
    </r>
    <r>
      <rPr>
        <b val="true"/>
        <sz val="11"/>
        <rFont val="Cambria"/>
        <family val="0"/>
        <charset val="1"/>
      </rPr>
      <t xml:space="preserve">Epoch </t>
    </r>
    <r>
      <rPr>
        <b val="true"/>
        <sz val="11"/>
        <rFont val="Noto Sans CJK SC"/>
        <family val="2"/>
      </rPr>
      <t xml:space="preserve">可辨識站點（與 </t>
    </r>
    <r>
      <rPr>
        <b val="true"/>
        <sz val="11"/>
        <rFont val="Cambria"/>
        <family val="0"/>
        <charset val="1"/>
      </rPr>
      <t xml:space="preserve">Sens</t>
    </r>
    <r>
      <rPr>
        <b val="true"/>
        <sz val="11"/>
        <rFont val="Noto Sans CJK SC"/>
        <family val="2"/>
      </rPr>
      <t xml:space="preserve">「讀法 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」比較＝讀法 </t>
    </r>
    <r>
      <rPr>
        <b val="true"/>
        <sz val="11"/>
        <rFont val="Cambria"/>
        <family val="0"/>
        <charset val="1"/>
      </rPr>
      <t xml:space="preserve">1 </t>
    </r>
    <r>
      <rPr>
        <b val="true"/>
        <sz val="11"/>
        <rFont val="Noto Sans CJK SC"/>
        <family val="2"/>
      </rPr>
      <t xml:space="preserve">下的容量效果）」｜情境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</si>
  <si>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判斷替代「讀法 </t>
    </r>
    <r>
      <rPr>
        <b val="true"/>
        <sz val="11"/>
        <rFont val="Cambria"/>
        <family val="0"/>
        <charset val="1"/>
      </rPr>
      <t xml:space="preserve">1 </t>
    </r>
    <r>
      <rPr>
        <b val="true"/>
        <sz val="11"/>
        <rFont val="Noto Sans CJK SC"/>
        <family val="2"/>
      </rPr>
      <t xml:space="preserve">且 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速度改 </t>
    </r>
    <r>
      <rPr>
        <b val="true"/>
        <sz val="11"/>
        <rFont val="Cambria"/>
        <family val="0"/>
        <charset val="1"/>
      </rPr>
      <t xml:space="preserve">Epoch </t>
    </r>
    <r>
      <rPr>
        <b val="true"/>
        <sz val="11"/>
        <rFont val="Noto Sans CJK SC"/>
        <family val="2"/>
      </rPr>
      <t xml:space="preserve">可辨識站點（與 </t>
    </r>
    <r>
      <rPr>
        <b val="true"/>
        <sz val="11"/>
        <rFont val="Cambria"/>
        <family val="0"/>
        <charset val="1"/>
      </rPr>
      <t xml:space="preserve">Sens</t>
    </r>
    <r>
      <rPr>
        <b val="true"/>
        <sz val="11"/>
        <rFont val="Noto Sans CJK SC"/>
        <family val="2"/>
      </rPr>
      <t xml:space="preserve">「讀法 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」比較＝讀法 </t>
    </r>
    <r>
      <rPr>
        <b val="true"/>
        <sz val="11"/>
        <rFont val="Cambria"/>
        <family val="0"/>
        <charset val="1"/>
      </rPr>
      <t xml:space="preserve">1 </t>
    </r>
    <r>
      <rPr>
        <b val="true"/>
        <sz val="11"/>
        <rFont val="Noto Sans CJK SC"/>
        <family val="2"/>
      </rPr>
      <t xml:space="preserve">下的容量效果）」｜情境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</si>
  <si>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判斷替代「讀法 </t>
    </r>
    <r>
      <rPr>
        <b val="true"/>
        <sz val="11"/>
        <rFont val="Cambria"/>
        <family val="0"/>
        <charset val="1"/>
      </rPr>
      <t xml:space="preserve">1 </t>
    </r>
    <r>
      <rPr>
        <b val="true"/>
        <sz val="11"/>
        <rFont val="Noto Sans CJK SC"/>
        <family val="2"/>
      </rPr>
      <t xml:space="preserve">且 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速度改 </t>
    </r>
    <r>
      <rPr>
        <b val="true"/>
        <sz val="11"/>
        <rFont val="Cambria"/>
        <family val="0"/>
        <charset val="1"/>
      </rPr>
      <t xml:space="preserve">Epoch </t>
    </r>
    <r>
      <rPr>
        <b val="true"/>
        <sz val="11"/>
        <rFont val="Noto Sans CJK SC"/>
        <family val="2"/>
      </rPr>
      <t xml:space="preserve">可辨識站點（與 </t>
    </r>
    <r>
      <rPr>
        <b val="true"/>
        <sz val="11"/>
        <rFont val="Cambria"/>
        <family val="0"/>
        <charset val="1"/>
      </rPr>
      <t xml:space="preserve">Sens</t>
    </r>
    <r>
      <rPr>
        <b val="true"/>
        <sz val="11"/>
        <rFont val="Noto Sans CJK SC"/>
        <family val="2"/>
      </rPr>
      <t xml:space="preserve">「讀法 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」比較＝讀法 </t>
    </r>
    <r>
      <rPr>
        <b val="true"/>
        <sz val="11"/>
        <rFont val="Cambria"/>
        <family val="0"/>
        <charset val="1"/>
      </rPr>
      <t xml:space="preserve">1 </t>
    </r>
    <r>
      <rPr>
        <b val="true"/>
        <sz val="11"/>
        <rFont val="Noto Sans CJK SC"/>
        <family val="2"/>
      </rPr>
      <t xml:space="preserve">下的容量效果）」｜情境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</si>
  <si>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判斷替代「讀法 </t>
    </r>
    <r>
      <rPr>
        <b val="true"/>
        <sz val="11"/>
        <rFont val="Cambria"/>
        <family val="0"/>
        <charset val="1"/>
      </rPr>
      <t xml:space="preserve">1 </t>
    </r>
    <r>
      <rPr>
        <b val="true"/>
        <sz val="11"/>
        <rFont val="Noto Sans CJK SC"/>
        <family val="2"/>
      </rPr>
      <t xml:space="preserve">且 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速度改 </t>
    </r>
    <r>
      <rPr>
        <b val="true"/>
        <sz val="11"/>
        <rFont val="Cambria"/>
        <family val="0"/>
        <charset val="1"/>
      </rPr>
      <t xml:space="preserve">Epoch </t>
    </r>
    <r>
      <rPr>
        <b val="true"/>
        <sz val="11"/>
        <rFont val="Noto Sans CJK SC"/>
        <family val="2"/>
      </rPr>
      <t xml:space="preserve">可辨識站點（與 </t>
    </r>
    <r>
      <rPr>
        <b val="true"/>
        <sz val="11"/>
        <rFont val="Cambria"/>
        <family val="0"/>
        <charset val="1"/>
      </rPr>
      <t xml:space="preserve">Sens</t>
    </r>
    <r>
      <rPr>
        <b val="true"/>
        <sz val="11"/>
        <rFont val="Noto Sans CJK SC"/>
        <family val="2"/>
      </rPr>
      <t xml:space="preserve">「讀法 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」比較＝讀法 </t>
    </r>
    <r>
      <rPr>
        <b val="true"/>
        <sz val="11"/>
        <rFont val="Cambria"/>
        <family val="0"/>
        <charset val="1"/>
      </rPr>
      <t xml:space="preserve">1 </t>
    </r>
    <r>
      <rPr>
        <b val="true"/>
        <sz val="11"/>
        <rFont val="Noto Sans CJK SC"/>
        <family val="2"/>
      </rPr>
      <t xml:space="preserve">下的容量效果）」｜情境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</si>
  <si>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判斷替代「影子效益基準改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年底自用 </t>
    </r>
    <r>
      <rPr>
        <b val="true"/>
        <sz val="11"/>
        <rFont val="Cambria"/>
        <family val="0"/>
        <charset val="1"/>
      </rPr>
      <t xml:space="preserve">MW</t>
    </r>
    <r>
      <rPr>
        <b val="true"/>
        <sz val="11"/>
        <rFont val="Noto Sans CJK SC"/>
        <family val="2"/>
      </rPr>
      <t xml:space="preserve">（修正二口徑）」｜情境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</si>
  <si>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判斷替代「影子效益基準改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年底自用 </t>
    </r>
    <r>
      <rPr>
        <b val="true"/>
        <sz val="11"/>
        <rFont val="Cambria"/>
        <family val="0"/>
        <charset val="1"/>
      </rPr>
      <t xml:space="preserve">MW</t>
    </r>
    <r>
      <rPr>
        <b val="true"/>
        <sz val="11"/>
        <rFont val="Noto Sans CJK SC"/>
        <family val="2"/>
      </rPr>
      <t xml:space="preserve">（修正二口徑）」｜情境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</si>
  <si>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判斷替代「影子效益基準改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年底自用 </t>
    </r>
    <r>
      <rPr>
        <b val="true"/>
        <sz val="11"/>
        <rFont val="Cambria"/>
        <family val="0"/>
        <charset val="1"/>
      </rPr>
      <t xml:space="preserve">MW</t>
    </r>
    <r>
      <rPr>
        <b val="true"/>
        <sz val="11"/>
        <rFont val="Noto Sans CJK SC"/>
        <family val="2"/>
      </rPr>
      <t xml:space="preserve">（修正二口徑）」｜情境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</si>
  <si>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判斷替代「影子效益基準改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年底自用 </t>
    </r>
    <r>
      <rPr>
        <b val="true"/>
        <sz val="11"/>
        <rFont val="Cambria"/>
        <family val="0"/>
        <charset val="1"/>
      </rPr>
      <t xml:space="preserve">MW</t>
    </r>
    <r>
      <rPr>
        <b val="true"/>
        <sz val="11"/>
        <rFont val="Noto Sans CJK SC"/>
        <family val="2"/>
      </rPr>
      <t xml:space="preserve">（修正二口徑）」｜情境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</si>
  <si>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判斷替代「影子效益基準改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年底自用 </t>
    </r>
    <r>
      <rPr>
        <b val="true"/>
        <sz val="11"/>
        <rFont val="Cambria"/>
        <family val="0"/>
        <charset val="1"/>
      </rPr>
      <t xml:space="preserve">MW</t>
    </r>
    <r>
      <rPr>
        <b val="true"/>
        <sz val="11"/>
        <rFont val="Noto Sans CJK SC"/>
        <family val="2"/>
      </rPr>
      <t xml:space="preserve">（修正二口徑）」｜情境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</si>
  <si>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判斷替代「影子效益基準改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年底自用 </t>
    </r>
    <r>
      <rPr>
        <b val="true"/>
        <sz val="11"/>
        <rFont val="Cambria"/>
        <family val="0"/>
        <charset val="1"/>
      </rPr>
      <t xml:space="preserve">MW</t>
    </r>
    <r>
      <rPr>
        <b val="true"/>
        <sz val="11"/>
        <rFont val="Noto Sans CJK SC"/>
        <family val="2"/>
      </rPr>
      <t xml:space="preserve">（修正二口徑）」｜情境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</si>
  <si>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判斷替代「影子效益基準改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年底自用 </t>
    </r>
    <r>
      <rPr>
        <b val="true"/>
        <sz val="11"/>
        <rFont val="Cambria"/>
        <family val="0"/>
        <charset val="1"/>
      </rPr>
      <t xml:space="preserve">MW</t>
    </r>
    <r>
      <rPr>
        <b val="true"/>
        <sz val="11"/>
        <rFont val="Noto Sans CJK SC"/>
        <family val="2"/>
      </rPr>
      <t xml:space="preserve">（修正二口徑）」｜情境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</si>
  <si>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判斷替代「影子效益基準改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年底自用 </t>
    </r>
    <r>
      <rPr>
        <b val="true"/>
        <sz val="11"/>
        <rFont val="Cambria"/>
        <family val="0"/>
        <charset val="1"/>
      </rPr>
      <t xml:space="preserve">MW</t>
    </r>
    <r>
      <rPr>
        <b val="true"/>
        <sz val="11"/>
        <rFont val="Noto Sans CJK SC"/>
        <family val="2"/>
      </rPr>
      <t xml:space="preserve">（修正二口徑）」｜情境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</si>
  <si>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判斷替代「影子效益基準改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年底自用 </t>
    </r>
    <r>
      <rPr>
        <b val="true"/>
        <sz val="11"/>
        <rFont val="Cambria"/>
        <family val="0"/>
        <charset val="1"/>
      </rPr>
      <t xml:space="preserve">MW</t>
    </r>
    <r>
      <rPr>
        <b val="true"/>
        <sz val="11"/>
        <rFont val="Noto Sans CJK SC"/>
        <family val="2"/>
      </rPr>
      <t xml:space="preserve">（修正二口徑）」｜情境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</si>
  <si>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判斷替代「影子效益基準改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年底自用 </t>
    </r>
    <r>
      <rPr>
        <b val="true"/>
        <sz val="11"/>
        <rFont val="Cambria"/>
        <family val="0"/>
        <charset val="1"/>
      </rPr>
      <t xml:space="preserve">MW</t>
    </r>
    <r>
      <rPr>
        <b val="true"/>
        <sz val="11"/>
        <rFont val="Noto Sans CJK SC"/>
        <family val="2"/>
      </rPr>
      <t xml:space="preserve">（修正二口徑）」｜情境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</si>
  <si>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判斷替代「影子效益基準改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年底自用 </t>
    </r>
    <r>
      <rPr>
        <b val="true"/>
        <sz val="11"/>
        <rFont val="Cambria"/>
        <family val="0"/>
        <charset val="1"/>
      </rPr>
      <t xml:space="preserve">MW</t>
    </r>
    <r>
      <rPr>
        <b val="true"/>
        <sz val="11"/>
        <rFont val="Noto Sans CJK SC"/>
        <family val="2"/>
      </rPr>
      <t xml:space="preserve">（修正二口徑）」｜情境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</si>
  <si>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判斷替代「影子效益基準改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年底自用 </t>
    </r>
    <r>
      <rPr>
        <b val="true"/>
        <sz val="11"/>
        <rFont val="Cambria"/>
        <family val="0"/>
        <charset val="1"/>
      </rPr>
      <t xml:space="preserve">MW</t>
    </r>
    <r>
      <rPr>
        <b val="true"/>
        <sz val="11"/>
        <rFont val="Noto Sans CJK SC"/>
        <family val="2"/>
      </rPr>
      <t xml:space="preserve">（修正二口徑）」｜情境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</si>
  <si>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判斷替代「影子效益基準改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年底自用 </t>
    </r>
    <r>
      <rPr>
        <b val="true"/>
        <sz val="11"/>
        <rFont val="Cambria"/>
        <family val="0"/>
        <charset val="1"/>
      </rPr>
      <t xml:space="preserve">MW</t>
    </r>
    <r>
      <rPr>
        <b val="true"/>
        <sz val="11"/>
        <rFont val="Noto Sans CJK SC"/>
        <family val="2"/>
      </rPr>
      <t xml:space="preserve">（修正二口徑）」｜情境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</si>
  <si>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判斷替代「影子效益基準改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年底自用 </t>
    </r>
    <r>
      <rPr>
        <b val="true"/>
        <sz val="11"/>
        <rFont val="Cambria"/>
        <family val="0"/>
        <charset val="1"/>
      </rPr>
      <t xml:space="preserve">MW</t>
    </r>
    <r>
      <rPr>
        <b val="true"/>
        <sz val="11"/>
        <rFont val="Noto Sans CJK SC"/>
        <family val="2"/>
      </rPr>
      <t xml:space="preserve">（修正二口徑）」｜情境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</si>
  <si>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判斷替代「影子效益基準改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年底自用 </t>
    </r>
    <r>
      <rPr>
        <b val="true"/>
        <sz val="11"/>
        <rFont val="Cambria"/>
        <family val="0"/>
        <charset val="1"/>
      </rPr>
      <t xml:space="preserve">MW</t>
    </r>
    <r>
      <rPr>
        <b val="true"/>
        <sz val="11"/>
        <rFont val="Noto Sans CJK SC"/>
        <family val="2"/>
      </rPr>
      <t xml:space="preserve">（修正二口徑）」｜情境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</si>
  <si>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補足差額不計（資本支出低於公司指引）」｜情境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</si>
  <si>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補足差額不計（資本支出低於公司指引）」｜情境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</si>
  <si>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補足差額不計（資本支出低於公司指引）」｜情境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</si>
  <si>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補足差額不計（資本支出低於公司指引）」｜情境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</si>
  <si>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補足差額不計（資本支出低於公司指引）」｜情境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</si>
  <si>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補足差額不計（資本支出低於公司指引）」｜情境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</si>
  <si>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補足差額不計（資本支出低於公司指引）」｜情境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</si>
  <si>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補足差額不計（資本支出低於公司指引）」｜情境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</si>
  <si>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補足差額不計（資本支出低於公司指引）」｜情境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</si>
  <si>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補足差額不計（資本支出低於公司指引）」｜情境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</si>
  <si>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補足差額不計（資本支出低於公司指引）」｜情境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</si>
  <si>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補足差額不計（資本支出低於公司指引）」｜情境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</si>
  <si>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補足差額不計（資本支出低於公司指引）」｜情境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</si>
  <si>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補足差額不計（資本支出低於公司指引）」｜情境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</si>
  <si>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補足差額不計（資本支出低於公司指引）」｜情境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</si>
  <si>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補足差額改列 </t>
    </r>
    <r>
      <rPr>
        <b val="true"/>
        <sz val="11"/>
        <rFont val="Cambria"/>
        <family val="0"/>
        <charset val="1"/>
      </rPr>
      <t xml:space="preserve">AI IT</t>
    </r>
    <r>
      <rPr>
        <b val="true"/>
        <sz val="11"/>
        <rFont val="Noto Sans CJK SC"/>
        <family val="2"/>
      </rPr>
      <t xml:space="preserve">（修正一口徑）」｜情境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</si>
  <si>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補足差額改列 </t>
    </r>
    <r>
      <rPr>
        <b val="true"/>
        <sz val="11"/>
        <rFont val="Cambria"/>
        <family val="0"/>
        <charset val="1"/>
      </rPr>
      <t xml:space="preserve">AI IT</t>
    </r>
    <r>
      <rPr>
        <b val="true"/>
        <sz val="11"/>
        <rFont val="Noto Sans CJK SC"/>
        <family val="2"/>
      </rPr>
      <t xml:space="preserve">（修正一口徑）」｜情境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</si>
  <si>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補足差額改列 </t>
    </r>
    <r>
      <rPr>
        <b val="true"/>
        <sz val="11"/>
        <rFont val="Cambria"/>
        <family val="0"/>
        <charset val="1"/>
      </rPr>
      <t xml:space="preserve">AI IT</t>
    </r>
    <r>
      <rPr>
        <b val="true"/>
        <sz val="11"/>
        <rFont val="Noto Sans CJK SC"/>
        <family val="2"/>
      </rPr>
      <t xml:space="preserve">（修正一口徑）」｜情境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</si>
  <si>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補足差額改列 </t>
    </r>
    <r>
      <rPr>
        <b val="true"/>
        <sz val="11"/>
        <rFont val="Cambria"/>
        <family val="0"/>
        <charset val="1"/>
      </rPr>
      <t xml:space="preserve">AI IT</t>
    </r>
    <r>
      <rPr>
        <b val="true"/>
        <sz val="11"/>
        <rFont val="Noto Sans CJK SC"/>
        <family val="2"/>
      </rPr>
      <t xml:space="preserve">（修正一口徑）」｜情境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</si>
  <si>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補足差額改列 </t>
    </r>
    <r>
      <rPr>
        <b val="true"/>
        <sz val="11"/>
        <rFont val="Cambria"/>
        <family val="0"/>
        <charset val="1"/>
      </rPr>
      <t xml:space="preserve">AI IT</t>
    </r>
    <r>
      <rPr>
        <b val="true"/>
        <sz val="11"/>
        <rFont val="Noto Sans CJK SC"/>
        <family val="2"/>
      </rPr>
      <t xml:space="preserve">（修正一口徑）」｜情境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</si>
  <si>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補足差額改列 </t>
    </r>
    <r>
      <rPr>
        <b val="true"/>
        <sz val="11"/>
        <rFont val="Cambria"/>
        <family val="0"/>
        <charset val="1"/>
      </rPr>
      <t xml:space="preserve">AI IT</t>
    </r>
    <r>
      <rPr>
        <b val="true"/>
        <sz val="11"/>
        <rFont val="Noto Sans CJK SC"/>
        <family val="2"/>
      </rPr>
      <t xml:space="preserve">（修正一口徑）」｜情境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</si>
  <si>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補足差額改列 </t>
    </r>
    <r>
      <rPr>
        <b val="true"/>
        <sz val="11"/>
        <rFont val="Cambria"/>
        <family val="0"/>
        <charset val="1"/>
      </rPr>
      <t xml:space="preserve">AI IT</t>
    </r>
    <r>
      <rPr>
        <b val="true"/>
        <sz val="11"/>
        <rFont val="Noto Sans CJK SC"/>
        <family val="2"/>
      </rPr>
      <t xml:space="preserve">（修正一口徑）」｜情境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</si>
  <si>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補足差額改列 </t>
    </r>
    <r>
      <rPr>
        <b val="true"/>
        <sz val="11"/>
        <rFont val="Cambria"/>
        <family val="0"/>
        <charset val="1"/>
      </rPr>
      <t xml:space="preserve">AI IT</t>
    </r>
    <r>
      <rPr>
        <b val="true"/>
        <sz val="11"/>
        <rFont val="Noto Sans CJK SC"/>
        <family val="2"/>
      </rPr>
      <t xml:space="preserve">（修正一口徑）」｜情境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</si>
  <si>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補足差額改列 </t>
    </r>
    <r>
      <rPr>
        <b val="true"/>
        <sz val="11"/>
        <rFont val="Cambria"/>
        <family val="0"/>
        <charset val="1"/>
      </rPr>
      <t xml:space="preserve">AI IT</t>
    </r>
    <r>
      <rPr>
        <b val="true"/>
        <sz val="11"/>
        <rFont val="Noto Sans CJK SC"/>
        <family val="2"/>
      </rPr>
      <t xml:space="preserve">（修正一口徑）」｜情境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</si>
  <si>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補足差額改列 </t>
    </r>
    <r>
      <rPr>
        <b val="true"/>
        <sz val="11"/>
        <rFont val="Cambria"/>
        <family val="0"/>
        <charset val="1"/>
      </rPr>
      <t xml:space="preserve">AI IT</t>
    </r>
    <r>
      <rPr>
        <b val="true"/>
        <sz val="11"/>
        <rFont val="Noto Sans CJK SC"/>
        <family val="2"/>
      </rPr>
      <t xml:space="preserve">（修正一口徑）」｜情境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</si>
  <si>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補足差額改列 </t>
    </r>
    <r>
      <rPr>
        <b val="true"/>
        <sz val="11"/>
        <rFont val="Cambria"/>
        <family val="0"/>
        <charset val="1"/>
      </rPr>
      <t xml:space="preserve">AI IT</t>
    </r>
    <r>
      <rPr>
        <b val="true"/>
        <sz val="11"/>
        <rFont val="Noto Sans CJK SC"/>
        <family val="2"/>
      </rPr>
      <t xml:space="preserve">（修正一口徑）」｜情境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</si>
  <si>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補足差額改列 </t>
    </r>
    <r>
      <rPr>
        <b val="true"/>
        <sz val="11"/>
        <rFont val="Cambria"/>
        <family val="0"/>
        <charset val="1"/>
      </rPr>
      <t xml:space="preserve">AI IT</t>
    </r>
    <r>
      <rPr>
        <b val="true"/>
        <sz val="11"/>
        <rFont val="Noto Sans CJK SC"/>
        <family val="2"/>
      </rPr>
      <t xml:space="preserve">（修正一口徑）」｜情境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</si>
  <si>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補足差額改列 </t>
    </r>
    <r>
      <rPr>
        <b val="true"/>
        <sz val="11"/>
        <rFont val="Cambria"/>
        <family val="0"/>
        <charset val="1"/>
      </rPr>
      <t xml:space="preserve">AI IT</t>
    </r>
    <r>
      <rPr>
        <b val="true"/>
        <sz val="11"/>
        <rFont val="Noto Sans CJK SC"/>
        <family val="2"/>
      </rPr>
      <t xml:space="preserve">（修正一口徑）」｜情境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</si>
  <si>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補足差額改列 </t>
    </r>
    <r>
      <rPr>
        <b val="true"/>
        <sz val="11"/>
        <rFont val="Cambria"/>
        <family val="0"/>
        <charset val="1"/>
      </rPr>
      <t xml:space="preserve">AI IT</t>
    </r>
    <r>
      <rPr>
        <b val="true"/>
        <sz val="11"/>
        <rFont val="Noto Sans CJK SC"/>
        <family val="2"/>
      </rPr>
      <t xml:space="preserve">（修正一口徑）」｜情境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</si>
  <si>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補足差額改列 </t>
    </r>
    <r>
      <rPr>
        <b val="true"/>
        <sz val="11"/>
        <rFont val="Cambria"/>
        <family val="0"/>
        <charset val="1"/>
      </rPr>
      <t xml:space="preserve">AI IT</t>
    </r>
    <r>
      <rPr>
        <b val="true"/>
        <sz val="11"/>
        <rFont val="Noto Sans CJK SC"/>
        <family val="2"/>
      </rPr>
      <t xml:space="preserve">（修正一口徑）」｜情境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</si>
  <si>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Windows OEM and devices FY2027 </t>
    </r>
    <r>
      <rPr>
        <b val="true"/>
        <sz val="11"/>
        <rFont val="Noto Sans CJK SC"/>
        <family val="2"/>
      </rPr>
      <t xml:space="preserve">第二至第四季套用指引（年減 </t>
    </r>
    <r>
      <rPr>
        <b val="true"/>
        <sz val="11"/>
        <rFont val="Cambria"/>
        <family val="0"/>
        <charset val="1"/>
      </rPr>
      <t xml:space="preserve">35%</t>
    </r>
    <r>
      <rPr>
        <b val="true"/>
        <sz val="11"/>
        <rFont val="Noto Sans CJK SC"/>
        <family val="2"/>
      </rPr>
      <t xml:space="preserve">；之後依收斂路徑）」｜情境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</si>
  <si>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Windows OEM and devices FY2027 </t>
    </r>
    <r>
      <rPr>
        <b val="true"/>
        <sz val="11"/>
        <rFont val="Noto Sans CJK SC"/>
        <family val="2"/>
      </rPr>
      <t xml:space="preserve">第二至第四季套用指引（年減 </t>
    </r>
    <r>
      <rPr>
        <b val="true"/>
        <sz val="11"/>
        <rFont val="Cambria"/>
        <family val="0"/>
        <charset val="1"/>
      </rPr>
      <t xml:space="preserve">35%</t>
    </r>
    <r>
      <rPr>
        <b val="true"/>
        <sz val="11"/>
        <rFont val="Noto Sans CJK SC"/>
        <family val="2"/>
      </rPr>
      <t xml:space="preserve">；之後依收斂路徑）」｜情境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</si>
  <si>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Windows OEM and devices FY2027 </t>
    </r>
    <r>
      <rPr>
        <b val="true"/>
        <sz val="11"/>
        <rFont val="Noto Sans CJK SC"/>
        <family val="2"/>
      </rPr>
      <t xml:space="preserve">第二至第四季套用指引（年減 </t>
    </r>
    <r>
      <rPr>
        <b val="true"/>
        <sz val="11"/>
        <rFont val="Cambria"/>
        <family val="0"/>
        <charset val="1"/>
      </rPr>
      <t xml:space="preserve">35%</t>
    </r>
    <r>
      <rPr>
        <b val="true"/>
        <sz val="11"/>
        <rFont val="Noto Sans CJK SC"/>
        <family val="2"/>
      </rPr>
      <t xml:space="preserve">；之後依收斂路徑）」｜情境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</si>
  <si>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Windows OEM and devices FY2027 </t>
    </r>
    <r>
      <rPr>
        <b val="true"/>
        <sz val="11"/>
        <rFont val="Noto Sans CJK SC"/>
        <family val="2"/>
      </rPr>
      <t xml:space="preserve">第二至第四季套用指引（年減 </t>
    </r>
    <r>
      <rPr>
        <b val="true"/>
        <sz val="11"/>
        <rFont val="Cambria"/>
        <family val="0"/>
        <charset val="1"/>
      </rPr>
      <t xml:space="preserve">35%</t>
    </r>
    <r>
      <rPr>
        <b val="true"/>
        <sz val="11"/>
        <rFont val="Noto Sans CJK SC"/>
        <family val="2"/>
      </rPr>
      <t xml:space="preserve">；之後依收斂路徑）」｜情境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</si>
  <si>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Windows OEM and devices FY2027 </t>
    </r>
    <r>
      <rPr>
        <b val="true"/>
        <sz val="11"/>
        <rFont val="Noto Sans CJK SC"/>
        <family val="2"/>
      </rPr>
      <t xml:space="preserve">第二至第四季套用指引（年減 </t>
    </r>
    <r>
      <rPr>
        <b val="true"/>
        <sz val="11"/>
        <rFont val="Cambria"/>
        <family val="0"/>
        <charset val="1"/>
      </rPr>
      <t xml:space="preserve">35%</t>
    </r>
    <r>
      <rPr>
        <b val="true"/>
        <sz val="11"/>
        <rFont val="Noto Sans CJK SC"/>
        <family val="2"/>
      </rPr>
      <t xml:space="preserve">；之後依收斂路徑）」｜情境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</si>
  <si>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Windows OEM and devices FY2027 </t>
    </r>
    <r>
      <rPr>
        <b val="true"/>
        <sz val="11"/>
        <rFont val="Noto Sans CJK SC"/>
        <family val="2"/>
      </rPr>
      <t xml:space="preserve">第二至第四季套用指引（年減 </t>
    </r>
    <r>
      <rPr>
        <b val="true"/>
        <sz val="11"/>
        <rFont val="Cambria"/>
        <family val="0"/>
        <charset val="1"/>
      </rPr>
      <t xml:space="preserve">35%</t>
    </r>
    <r>
      <rPr>
        <b val="true"/>
        <sz val="11"/>
        <rFont val="Noto Sans CJK SC"/>
        <family val="2"/>
      </rPr>
      <t xml:space="preserve">；之後依收斂路徑）」｜情境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</si>
  <si>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Windows OEM and devices FY2027 </t>
    </r>
    <r>
      <rPr>
        <b val="true"/>
        <sz val="11"/>
        <rFont val="Noto Sans CJK SC"/>
        <family val="2"/>
      </rPr>
      <t xml:space="preserve">第二至第四季套用指引（年減 </t>
    </r>
    <r>
      <rPr>
        <b val="true"/>
        <sz val="11"/>
        <rFont val="Cambria"/>
        <family val="0"/>
        <charset val="1"/>
      </rPr>
      <t xml:space="preserve">35%</t>
    </r>
    <r>
      <rPr>
        <b val="true"/>
        <sz val="11"/>
        <rFont val="Noto Sans CJK SC"/>
        <family val="2"/>
      </rPr>
      <t xml:space="preserve">；之後依收斂路徑）」｜情境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</si>
  <si>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Windows OEM and devices FY2027 </t>
    </r>
    <r>
      <rPr>
        <b val="true"/>
        <sz val="11"/>
        <rFont val="Noto Sans CJK SC"/>
        <family val="2"/>
      </rPr>
      <t xml:space="preserve">第二至第四季套用指引（年減 </t>
    </r>
    <r>
      <rPr>
        <b val="true"/>
        <sz val="11"/>
        <rFont val="Cambria"/>
        <family val="0"/>
        <charset val="1"/>
      </rPr>
      <t xml:space="preserve">35%</t>
    </r>
    <r>
      <rPr>
        <b val="true"/>
        <sz val="11"/>
        <rFont val="Noto Sans CJK SC"/>
        <family val="2"/>
      </rPr>
      <t xml:space="preserve">；之後依收斂路徑）」｜情境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</si>
  <si>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Windows OEM and devices FY2027 </t>
    </r>
    <r>
      <rPr>
        <b val="true"/>
        <sz val="11"/>
        <rFont val="Noto Sans CJK SC"/>
        <family val="2"/>
      </rPr>
      <t xml:space="preserve">第二至第四季套用指引（年減 </t>
    </r>
    <r>
      <rPr>
        <b val="true"/>
        <sz val="11"/>
        <rFont val="Cambria"/>
        <family val="0"/>
        <charset val="1"/>
      </rPr>
      <t xml:space="preserve">35%</t>
    </r>
    <r>
      <rPr>
        <b val="true"/>
        <sz val="11"/>
        <rFont val="Noto Sans CJK SC"/>
        <family val="2"/>
      </rPr>
      <t xml:space="preserve">；之後依收斂路徑）」｜情境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</si>
  <si>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Windows OEM and devices FY2027 </t>
    </r>
    <r>
      <rPr>
        <b val="true"/>
        <sz val="11"/>
        <rFont val="Noto Sans CJK SC"/>
        <family val="2"/>
      </rPr>
      <t xml:space="preserve">第二至第四季套用指引（年減 </t>
    </r>
    <r>
      <rPr>
        <b val="true"/>
        <sz val="11"/>
        <rFont val="Cambria"/>
        <family val="0"/>
        <charset val="1"/>
      </rPr>
      <t xml:space="preserve">35%</t>
    </r>
    <r>
      <rPr>
        <b val="true"/>
        <sz val="11"/>
        <rFont val="Noto Sans CJK SC"/>
        <family val="2"/>
      </rPr>
      <t xml:space="preserve">；之後依收斂路徑）」｜情境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</si>
  <si>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Windows OEM and devices FY2027 </t>
    </r>
    <r>
      <rPr>
        <b val="true"/>
        <sz val="11"/>
        <rFont val="Noto Sans CJK SC"/>
        <family val="2"/>
      </rPr>
      <t xml:space="preserve">第二至第四季套用指引（年減 </t>
    </r>
    <r>
      <rPr>
        <b val="true"/>
        <sz val="11"/>
        <rFont val="Cambria"/>
        <family val="0"/>
        <charset val="1"/>
      </rPr>
      <t xml:space="preserve">35%</t>
    </r>
    <r>
      <rPr>
        <b val="true"/>
        <sz val="11"/>
        <rFont val="Noto Sans CJK SC"/>
        <family val="2"/>
      </rPr>
      <t xml:space="preserve">；之後依收斂路徑）」｜情境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</si>
  <si>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Windows OEM and devices FY2027 </t>
    </r>
    <r>
      <rPr>
        <b val="true"/>
        <sz val="11"/>
        <rFont val="Noto Sans CJK SC"/>
        <family val="2"/>
      </rPr>
      <t xml:space="preserve">第二至第四季套用指引（年減 </t>
    </r>
    <r>
      <rPr>
        <b val="true"/>
        <sz val="11"/>
        <rFont val="Cambria"/>
        <family val="0"/>
        <charset val="1"/>
      </rPr>
      <t xml:space="preserve">35%</t>
    </r>
    <r>
      <rPr>
        <b val="true"/>
        <sz val="11"/>
        <rFont val="Noto Sans CJK SC"/>
        <family val="2"/>
      </rPr>
      <t xml:space="preserve">；之後依收斂路徑）」｜情境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</si>
  <si>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Windows OEM and devices FY2027 </t>
    </r>
    <r>
      <rPr>
        <b val="true"/>
        <sz val="11"/>
        <rFont val="Noto Sans CJK SC"/>
        <family val="2"/>
      </rPr>
      <t xml:space="preserve">第二至第四季套用指引（年減 </t>
    </r>
    <r>
      <rPr>
        <b val="true"/>
        <sz val="11"/>
        <rFont val="Cambria"/>
        <family val="0"/>
        <charset val="1"/>
      </rPr>
      <t xml:space="preserve">35%</t>
    </r>
    <r>
      <rPr>
        <b val="true"/>
        <sz val="11"/>
        <rFont val="Noto Sans CJK SC"/>
        <family val="2"/>
      </rPr>
      <t xml:space="preserve">；之後依收斂路徑）」｜情境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</si>
  <si>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Windows OEM and devices FY2027 </t>
    </r>
    <r>
      <rPr>
        <b val="true"/>
        <sz val="11"/>
        <rFont val="Noto Sans CJK SC"/>
        <family val="2"/>
      </rPr>
      <t xml:space="preserve">第二至第四季套用指引（年減 </t>
    </r>
    <r>
      <rPr>
        <b val="true"/>
        <sz val="11"/>
        <rFont val="Cambria"/>
        <family val="0"/>
        <charset val="1"/>
      </rPr>
      <t xml:space="preserve">35%</t>
    </r>
    <r>
      <rPr>
        <b val="true"/>
        <sz val="11"/>
        <rFont val="Noto Sans CJK SC"/>
        <family val="2"/>
      </rPr>
      <t xml:space="preserve">；之後依收斂路徑）」｜情境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</si>
  <si>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Windows OEM and devices FY2027 </t>
    </r>
    <r>
      <rPr>
        <b val="true"/>
        <sz val="11"/>
        <rFont val="Noto Sans CJK SC"/>
        <family val="2"/>
      </rPr>
      <t xml:space="preserve">第二至第四季套用指引（年減 </t>
    </r>
    <r>
      <rPr>
        <b val="true"/>
        <sz val="11"/>
        <rFont val="Cambria"/>
        <family val="0"/>
        <charset val="1"/>
      </rPr>
      <t xml:space="preserve">35%</t>
    </r>
    <r>
      <rPr>
        <b val="true"/>
        <sz val="11"/>
        <rFont val="Noto Sans CJK SC"/>
        <family val="2"/>
      </rPr>
      <t xml:space="preserve">；之後依收斂路徑）」｜情境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</si>
  <si>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NonNV </t>
    </r>
    <r>
      <rPr>
        <b val="true"/>
        <sz val="11"/>
        <rFont val="Noto Sans CJK SC"/>
        <family val="2"/>
      </rPr>
      <t xml:space="preserve">舊口徑（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以 </t>
    </r>
    <r>
      <rPr>
        <b val="true"/>
        <sz val="11"/>
        <rFont val="Cambria"/>
        <family val="0"/>
        <charset val="1"/>
      </rPr>
      <t xml:space="preserve">GB300 × 1.0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C10 </t>
    </r>
    <r>
      <rPr>
        <b val="true"/>
        <sz val="11"/>
        <rFont val="Noto Sans CJK SC"/>
        <family val="2"/>
      </rPr>
      <t xml:space="preserve">依此重解）」｜情境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</si>
  <si>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NonNV </t>
    </r>
    <r>
      <rPr>
        <b val="true"/>
        <sz val="11"/>
        <rFont val="Noto Sans CJK SC"/>
        <family val="2"/>
      </rPr>
      <t xml:space="preserve">舊口徑（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以 </t>
    </r>
    <r>
      <rPr>
        <b val="true"/>
        <sz val="11"/>
        <rFont val="Cambria"/>
        <family val="0"/>
        <charset val="1"/>
      </rPr>
      <t xml:space="preserve">GB300 × 1.0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C10 </t>
    </r>
    <r>
      <rPr>
        <b val="true"/>
        <sz val="11"/>
        <rFont val="Noto Sans CJK SC"/>
        <family val="2"/>
      </rPr>
      <t xml:space="preserve">依此重解）」｜情境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</si>
  <si>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NonNV </t>
    </r>
    <r>
      <rPr>
        <b val="true"/>
        <sz val="11"/>
        <rFont val="Noto Sans CJK SC"/>
        <family val="2"/>
      </rPr>
      <t xml:space="preserve">舊口徑（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以 </t>
    </r>
    <r>
      <rPr>
        <b val="true"/>
        <sz val="11"/>
        <rFont val="Cambria"/>
        <family val="0"/>
        <charset val="1"/>
      </rPr>
      <t xml:space="preserve">GB300 × 1.0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C10 </t>
    </r>
    <r>
      <rPr>
        <b val="true"/>
        <sz val="11"/>
        <rFont val="Noto Sans CJK SC"/>
        <family val="2"/>
      </rPr>
      <t xml:space="preserve">依此重解）」｜情境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</si>
  <si>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NonNV </t>
    </r>
    <r>
      <rPr>
        <b val="true"/>
        <sz val="11"/>
        <rFont val="Noto Sans CJK SC"/>
        <family val="2"/>
      </rPr>
      <t xml:space="preserve">舊口徑（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以 </t>
    </r>
    <r>
      <rPr>
        <b val="true"/>
        <sz val="11"/>
        <rFont val="Cambria"/>
        <family val="0"/>
        <charset val="1"/>
      </rPr>
      <t xml:space="preserve">GB300 × 1.0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C10 </t>
    </r>
    <r>
      <rPr>
        <b val="true"/>
        <sz val="11"/>
        <rFont val="Noto Sans CJK SC"/>
        <family val="2"/>
      </rPr>
      <t xml:space="preserve">依此重解）」｜情境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</si>
  <si>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NonNV </t>
    </r>
    <r>
      <rPr>
        <b val="true"/>
        <sz val="11"/>
        <rFont val="Noto Sans CJK SC"/>
        <family val="2"/>
      </rPr>
      <t xml:space="preserve">舊口徑（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以 </t>
    </r>
    <r>
      <rPr>
        <b val="true"/>
        <sz val="11"/>
        <rFont val="Cambria"/>
        <family val="0"/>
        <charset val="1"/>
      </rPr>
      <t xml:space="preserve">GB300 × 1.0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C10 </t>
    </r>
    <r>
      <rPr>
        <b val="true"/>
        <sz val="11"/>
        <rFont val="Noto Sans CJK SC"/>
        <family val="2"/>
      </rPr>
      <t xml:space="preserve">依此重解）」｜情境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</si>
  <si>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NonNV </t>
    </r>
    <r>
      <rPr>
        <b val="true"/>
        <sz val="11"/>
        <rFont val="Noto Sans CJK SC"/>
        <family val="2"/>
      </rPr>
      <t xml:space="preserve">舊口徑（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以 </t>
    </r>
    <r>
      <rPr>
        <b val="true"/>
        <sz val="11"/>
        <rFont val="Cambria"/>
        <family val="0"/>
        <charset val="1"/>
      </rPr>
      <t xml:space="preserve">GB300 × 1.0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C10 </t>
    </r>
    <r>
      <rPr>
        <b val="true"/>
        <sz val="11"/>
        <rFont val="Noto Sans CJK SC"/>
        <family val="2"/>
      </rPr>
      <t xml:space="preserve">依此重解）」｜情境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</si>
  <si>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NonNV </t>
    </r>
    <r>
      <rPr>
        <b val="true"/>
        <sz val="11"/>
        <rFont val="Noto Sans CJK SC"/>
        <family val="2"/>
      </rPr>
      <t xml:space="preserve">舊口徑（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以 </t>
    </r>
    <r>
      <rPr>
        <b val="true"/>
        <sz val="11"/>
        <rFont val="Cambria"/>
        <family val="0"/>
        <charset val="1"/>
      </rPr>
      <t xml:space="preserve">GB300 × 1.0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C10 </t>
    </r>
    <r>
      <rPr>
        <b val="true"/>
        <sz val="11"/>
        <rFont val="Noto Sans CJK SC"/>
        <family val="2"/>
      </rPr>
      <t xml:space="preserve">依此重解）」｜情境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</si>
  <si>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NonNV </t>
    </r>
    <r>
      <rPr>
        <b val="true"/>
        <sz val="11"/>
        <rFont val="Noto Sans CJK SC"/>
        <family val="2"/>
      </rPr>
      <t xml:space="preserve">舊口徑（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以 </t>
    </r>
    <r>
      <rPr>
        <b val="true"/>
        <sz val="11"/>
        <rFont val="Cambria"/>
        <family val="0"/>
        <charset val="1"/>
      </rPr>
      <t xml:space="preserve">GB300 × 1.0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C10 </t>
    </r>
    <r>
      <rPr>
        <b val="true"/>
        <sz val="11"/>
        <rFont val="Noto Sans CJK SC"/>
        <family val="2"/>
      </rPr>
      <t xml:space="preserve">依此重解）」｜情境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</si>
  <si>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NonNV </t>
    </r>
    <r>
      <rPr>
        <b val="true"/>
        <sz val="11"/>
        <rFont val="Noto Sans CJK SC"/>
        <family val="2"/>
      </rPr>
      <t xml:space="preserve">舊口徑（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以 </t>
    </r>
    <r>
      <rPr>
        <b val="true"/>
        <sz val="11"/>
        <rFont val="Cambria"/>
        <family val="0"/>
        <charset val="1"/>
      </rPr>
      <t xml:space="preserve">GB300 × 1.0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C10 </t>
    </r>
    <r>
      <rPr>
        <b val="true"/>
        <sz val="11"/>
        <rFont val="Noto Sans CJK SC"/>
        <family val="2"/>
      </rPr>
      <t xml:space="preserve">依此重解）」｜情境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</si>
  <si>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NonNV </t>
    </r>
    <r>
      <rPr>
        <b val="true"/>
        <sz val="11"/>
        <rFont val="Noto Sans CJK SC"/>
        <family val="2"/>
      </rPr>
      <t xml:space="preserve">舊口徑（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以 </t>
    </r>
    <r>
      <rPr>
        <b val="true"/>
        <sz val="11"/>
        <rFont val="Cambria"/>
        <family val="0"/>
        <charset val="1"/>
      </rPr>
      <t xml:space="preserve">GB300 × 1.0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C10 </t>
    </r>
    <r>
      <rPr>
        <b val="true"/>
        <sz val="11"/>
        <rFont val="Noto Sans CJK SC"/>
        <family val="2"/>
      </rPr>
      <t xml:space="preserve">依此重解）」｜情境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</si>
  <si>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NonNV </t>
    </r>
    <r>
      <rPr>
        <b val="true"/>
        <sz val="11"/>
        <rFont val="Noto Sans CJK SC"/>
        <family val="2"/>
      </rPr>
      <t xml:space="preserve">舊口徑（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以 </t>
    </r>
    <r>
      <rPr>
        <b val="true"/>
        <sz val="11"/>
        <rFont val="Cambria"/>
        <family val="0"/>
        <charset val="1"/>
      </rPr>
      <t xml:space="preserve">GB300 × 1.0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C10 </t>
    </r>
    <r>
      <rPr>
        <b val="true"/>
        <sz val="11"/>
        <rFont val="Noto Sans CJK SC"/>
        <family val="2"/>
      </rPr>
      <t xml:space="preserve">依此重解）」｜情境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</si>
  <si>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NonNV </t>
    </r>
    <r>
      <rPr>
        <b val="true"/>
        <sz val="11"/>
        <rFont val="Noto Sans CJK SC"/>
        <family val="2"/>
      </rPr>
      <t xml:space="preserve">舊口徑（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以 </t>
    </r>
    <r>
      <rPr>
        <b val="true"/>
        <sz val="11"/>
        <rFont val="Cambria"/>
        <family val="0"/>
        <charset val="1"/>
      </rPr>
      <t xml:space="preserve">GB300 × 1.0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C10 </t>
    </r>
    <r>
      <rPr>
        <b val="true"/>
        <sz val="11"/>
        <rFont val="Noto Sans CJK SC"/>
        <family val="2"/>
      </rPr>
      <t xml:space="preserve">依此重解）」｜情境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</si>
  <si>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NonNV </t>
    </r>
    <r>
      <rPr>
        <b val="true"/>
        <sz val="11"/>
        <rFont val="Noto Sans CJK SC"/>
        <family val="2"/>
      </rPr>
      <t xml:space="preserve">舊口徑（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以 </t>
    </r>
    <r>
      <rPr>
        <b val="true"/>
        <sz val="11"/>
        <rFont val="Cambria"/>
        <family val="0"/>
        <charset val="1"/>
      </rPr>
      <t xml:space="preserve">GB300 × 1.0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C10 </t>
    </r>
    <r>
      <rPr>
        <b val="true"/>
        <sz val="11"/>
        <rFont val="Noto Sans CJK SC"/>
        <family val="2"/>
      </rPr>
      <t xml:space="preserve">依此重解）」｜情境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</si>
  <si>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NonNV </t>
    </r>
    <r>
      <rPr>
        <b val="true"/>
        <sz val="11"/>
        <rFont val="Noto Sans CJK SC"/>
        <family val="2"/>
      </rPr>
      <t xml:space="preserve">舊口徑（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以 </t>
    </r>
    <r>
      <rPr>
        <b val="true"/>
        <sz val="11"/>
        <rFont val="Cambria"/>
        <family val="0"/>
        <charset val="1"/>
      </rPr>
      <t xml:space="preserve">GB300 × 1.0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C10 </t>
    </r>
    <r>
      <rPr>
        <b val="true"/>
        <sz val="11"/>
        <rFont val="Noto Sans CJK SC"/>
        <family val="2"/>
      </rPr>
      <t xml:space="preserve">依此重解）」｜情境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</si>
  <si>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NonNV </t>
    </r>
    <r>
      <rPr>
        <b val="true"/>
        <sz val="11"/>
        <rFont val="Noto Sans CJK SC"/>
        <family val="2"/>
      </rPr>
      <t xml:space="preserve">舊口徑（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以 </t>
    </r>
    <r>
      <rPr>
        <b val="true"/>
        <sz val="11"/>
        <rFont val="Cambria"/>
        <family val="0"/>
        <charset val="1"/>
      </rPr>
      <t xml:space="preserve">GB300 × 1.0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C10 </t>
    </r>
    <r>
      <rPr>
        <b val="true"/>
        <sz val="11"/>
        <rFont val="Noto Sans CJK SC"/>
        <family val="2"/>
      </rPr>
      <t xml:space="preserve">依此重解）」｜情境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</si>
  <si>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NonNV </t>
    </r>
    <r>
      <rPr>
        <b val="true"/>
        <sz val="11"/>
        <rFont val="Noto Sans CJK SC"/>
        <family val="2"/>
      </rPr>
      <t xml:space="preserve">舊口徑（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以 </t>
    </r>
    <r>
      <rPr>
        <b val="true"/>
        <sz val="11"/>
        <rFont val="Cambria"/>
        <family val="0"/>
        <charset val="1"/>
      </rPr>
      <t xml:space="preserve">GB300 × 1.0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速度不重解）」｜情境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</si>
  <si>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NonNV </t>
    </r>
    <r>
      <rPr>
        <b val="true"/>
        <sz val="11"/>
        <rFont val="Noto Sans CJK SC"/>
        <family val="2"/>
      </rPr>
      <t xml:space="preserve">舊口徑（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以 </t>
    </r>
    <r>
      <rPr>
        <b val="true"/>
        <sz val="11"/>
        <rFont val="Cambria"/>
        <family val="0"/>
        <charset val="1"/>
      </rPr>
      <t xml:space="preserve">GB300 × 1.0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速度不重解）」｜情境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</si>
  <si>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NonNV </t>
    </r>
    <r>
      <rPr>
        <b val="true"/>
        <sz val="11"/>
        <rFont val="Noto Sans CJK SC"/>
        <family val="2"/>
      </rPr>
      <t xml:space="preserve">舊口徑（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以 </t>
    </r>
    <r>
      <rPr>
        <b val="true"/>
        <sz val="11"/>
        <rFont val="Cambria"/>
        <family val="0"/>
        <charset val="1"/>
      </rPr>
      <t xml:space="preserve">GB300 × 1.0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速度不重解）」｜情境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</si>
  <si>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NonNV </t>
    </r>
    <r>
      <rPr>
        <b val="true"/>
        <sz val="11"/>
        <rFont val="Noto Sans CJK SC"/>
        <family val="2"/>
      </rPr>
      <t xml:space="preserve">舊口徑（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以 </t>
    </r>
    <r>
      <rPr>
        <b val="true"/>
        <sz val="11"/>
        <rFont val="Cambria"/>
        <family val="0"/>
        <charset val="1"/>
      </rPr>
      <t xml:space="preserve">GB300 × 1.0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速度不重解）」｜情境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</si>
  <si>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NonNV </t>
    </r>
    <r>
      <rPr>
        <b val="true"/>
        <sz val="11"/>
        <rFont val="Noto Sans CJK SC"/>
        <family val="2"/>
      </rPr>
      <t xml:space="preserve">舊口徑（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以 </t>
    </r>
    <r>
      <rPr>
        <b val="true"/>
        <sz val="11"/>
        <rFont val="Cambria"/>
        <family val="0"/>
        <charset val="1"/>
      </rPr>
      <t xml:space="preserve">GB300 × 1.0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速度不重解）」｜情境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</si>
  <si>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NonNV </t>
    </r>
    <r>
      <rPr>
        <b val="true"/>
        <sz val="11"/>
        <rFont val="Noto Sans CJK SC"/>
        <family val="2"/>
      </rPr>
      <t xml:space="preserve">舊口徑（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以 </t>
    </r>
    <r>
      <rPr>
        <b val="true"/>
        <sz val="11"/>
        <rFont val="Cambria"/>
        <family val="0"/>
        <charset val="1"/>
      </rPr>
      <t xml:space="preserve">GB300 × 1.0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速度不重解）」｜情境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</si>
  <si>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NonNV </t>
    </r>
    <r>
      <rPr>
        <b val="true"/>
        <sz val="11"/>
        <rFont val="Noto Sans CJK SC"/>
        <family val="2"/>
      </rPr>
      <t xml:space="preserve">舊口徑（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以 </t>
    </r>
    <r>
      <rPr>
        <b val="true"/>
        <sz val="11"/>
        <rFont val="Cambria"/>
        <family val="0"/>
        <charset val="1"/>
      </rPr>
      <t xml:space="preserve">GB300 × 1.0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速度不重解）」｜情境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</si>
  <si>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NonNV </t>
    </r>
    <r>
      <rPr>
        <b val="true"/>
        <sz val="11"/>
        <rFont val="Noto Sans CJK SC"/>
        <family val="2"/>
      </rPr>
      <t xml:space="preserve">舊口徑（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以 </t>
    </r>
    <r>
      <rPr>
        <b val="true"/>
        <sz val="11"/>
        <rFont val="Cambria"/>
        <family val="0"/>
        <charset val="1"/>
      </rPr>
      <t xml:space="preserve">GB300 × 1.0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速度不重解）」｜情境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</si>
  <si>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NonNV </t>
    </r>
    <r>
      <rPr>
        <b val="true"/>
        <sz val="11"/>
        <rFont val="Noto Sans CJK SC"/>
        <family val="2"/>
      </rPr>
      <t xml:space="preserve">舊口徑（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以 </t>
    </r>
    <r>
      <rPr>
        <b val="true"/>
        <sz val="11"/>
        <rFont val="Cambria"/>
        <family val="0"/>
        <charset val="1"/>
      </rPr>
      <t xml:space="preserve">GB300 × 1.0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速度不重解）」｜情境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</si>
  <si>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NonNV </t>
    </r>
    <r>
      <rPr>
        <b val="true"/>
        <sz val="11"/>
        <rFont val="Noto Sans CJK SC"/>
        <family val="2"/>
      </rPr>
      <t xml:space="preserve">舊口徑（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以 </t>
    </r>
    <r>
      <rPr>
        <b val="true"/>
        <sz val="11"/>
        <rFont val="Cambria"/>
        <family val="0"/>
        <charset val="1"/>
      </rPr>
      <t xml:space="preserve">GB300 × 1.0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速度不重解）」｜情境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</si>
  <si>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NonNV </t>
    </r>
    <r>
      <rPr>
        <b val="true"/>
        <sz val="11"/>
        <rFont val="Noto Sans CJK SC"/>
        <family val="2"/>
      </rPr>
      <t xml:space="preserve">舊口徑（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以 </t>
    </r>
    <r>
      <rPr>
        <b val="true"/>
        <sz val="11"/>
        <rFont val="Cambria"/>
        <family val="0"/>
        <charset val="1"/>
      </rPr>
      <t xml:space="preserve">GB300 × 1.0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速度不重解）」｜情境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（保守）｜命題模組（</t>
    </r>
    <r>
      <rPr>
        <b val="true"/>
        <sz val="11"/>
        <rFont val="Cambria"/>
        <family val="0"/>
        <charset val="1"/>
      </rPr>
      <t xml:space="preserve">Thesis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</si>
  <si>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NonNV </t>
    </r>
    <r>
      <rPr>
        <b val="true"/>
        <sz val="11"/>
        <rFont val="Noto Sans CJK SC"/>
        <family val="2"/>
      </rPr>
      <t xml:space="preserve">舊口徑（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以 </t>
    </r>
    <r>
      <rPr>
        <b val="true"/>
        <sz val="11"/>
        <rFont val="Cambria"/>
        <family val="0"/>
        <charset val="1"/>
      </rPr>
      <t xml:space="preserve">GB300 × 1.0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速度不重解）」｜情境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（保守）｜營收分部層（</t>
    </r>
    <r>
      <rPr>
        <b val="true"/>
        <sz val="11"/>
        <rFont val="Cambria"/>
        <family val="0"/>
        <charset val="1"/>
      </rPr>
      <t xml:space="preserve">Seg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</si>
  <si>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NonNV </t>
    </r>
    <r>
      <rPr>
        <b val="true"/>
        <sz val="11"/>
        <rFont val="Noto Sans CJK SC"/>
        <family val="2"/>
      </rPr>
      <t xml:space="preserve">舊口徑（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以 </t>
    </r>
    <r>
      <rPr>
        <b val="true"/>
        <sz val="11"/>
        <rFont val="Cambria"/>
        <family val="0"/>
        <charset val="1"/>
      </rPr>
      <t xml:space="preserve">GB300 × 1.0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速度不重解）」｜情境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（保守）｜損益（</t>
    </r>
    <r>
      <rPr>
        <b val="true"/>
        <sz val="11"/>
        <rFont val="Cambria"/>
        <family val="0"/>
        <charset val="1"/>
      </rPr>
      <t xml:space="preserve">PL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</si>
  <si>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NonNV </t>
    </r>
    <r>
      <rPr>
        <b val="true"/>
        <sz val="11"/>
        <rFont val="Noto Sans CJK SC"/>
        <family val="2"/>
      </rPr>
      <t xml:space="preserve">舊口徑（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以 </t>
    </r>
    <r>
      <rPr>
        <b val="true"/>
        <sz val="11"/>
        <rFont val="Cambria"/>
        <family val="0"/>
        <charset val="1"/>
      </rPr>
      <t xml:space="preserve">GB300 × 1.0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速度不重解）」｜情境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（保守）｜現金流與資金（</t>
    </r>
    <r>
      <rPr>
        <b val="true"/>
        <sz val="11"/>
        <rFont val="Cambria"/>
        <family val="0"/>
        <charset val="1"/>
      </rPr>
      <t xml:space="preserve">CF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</si>
  <si>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NonNV </t>
    </r>
    <r>
      <rPr>
        <b val="true"/>
        <sz val="11"/>
        <rFont val="Noto Sans CJK SC"/>
        <family val="2"/>
      </rPr>
      <t xml:space="preserve">舊口徑（</t>
    </r>
    <r>
      <rPr>
        <b val="true"/>
        <sz val="11"/>
        <rFont val="Cambria"/>
        <family val="0"/>
        <charset val="1"/>
      </rPr>
      <t xml:space="preserve">Maia </t>
    </r>
    <r>
      <rPr>
        <b val="true"/>
        <sz val="11"/>
        <rFont val="Noto Sans CJK SC"/>
        <family val="2"/>
      </rPr>
      <t xml:space="preserve">以 </t>
    </r>
    <r>
      <rPr>
        <b val="true"/>
        <sz val="11"/>
        <rFont val="Cambria"/>
        <family val="0"/>
        <charset val="1"/>
      </rPr>
      <t xml:space="preserve">GB300 × 1.0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速度不重解）」｜情境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</si>
  <si>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判斷替代「目標價時點改 </t>
    </r>
    <r>
      <rPr>
        <b val="true"/>
        <sz val="11"/>
        <rFont val="Cambria"/>
        <family val="0"/>
        <charset val="1"/>
      </rPr>
      <t xml:space="preserve">2028-01-27</t>
    </r>
    <r>
      <rPr>
        <b val="true"/>
        <sz val="11"/>
        <rFont val="Noto Sans CJK SC"/>
        <family val="2"/>
      </rPr>
      <t xml:space="preserve">（工作單字面「目標價日 </t>
    </r>
    <r>
      <rPr>
        <b val="true"/>
        <sz val="11"/>
        <rFont val="Cambria"/>
        <family val="0"/>
        <charset val="1"/>
      </rPr>
      <t xml:space="preserve">+1 </t>
    </r>
    <r>
      <rPr>
        <b val="true"/>
        <sz val="11"/>
        <rFont val="Noto Sans CJK SC"/>
        <family val="2"/>
      </rPr>
      <t xml:space="preserve">季」）」｜情境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</si>
  <si>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判斷替代「目標價時點改 </t>
    </r>
    <r>
      <rPr>
        <b val="true"/>
        <sz val="11"/>
        <rFont val="Cambria"/>
        <family val="0"/>
        <charset val="1"/>
      </rPr>
      <t xml:space="preserve">2028-01-27</t>
    </r>
    <r>
      <rPr>
        <b val="true"/>
        <sz val="11"/>
        <rFont val="Noto Sans CJK SC"/>
        <family val="2"/>
      </rPr>
      <t xml:space="preserve">（工作單字面「目標價日 </t>
    </r>
    <r>
      <rPr>
        <b val="true"/>
        <sz val="11"/>
        <rFont val="Cambria"/>
        <family val="0"/>
        <charset val="1"/>
      </rPr>
      <t xml:space="preserve">+1 </t>
    </r>
    <r>
      <rPr>
        <b val="true"/>
        <sz val="11"/>
        <rFont val="Noto Sans CJK SC"/>
        <family val="2"/>
      </rPr>
      <t xml:space="preserve">季」）」｜情境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</si>
  <si>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判斷替代「目標價時點改 </t>
    </r>
    <r>
      <rPr>
        <b val="true"/>
        <sz val="11"/>
        <rFont val="Cambria"/>
        <family val="0"/>
        <charset val="1"/>
      </rPr>
      <t xml:space="preserve">2028-01-27</t>
    </r>
    <r>
      <rPr>
        <b val="true"/>
        <sz val="11"/>
        <rFont val="Noto Sans CJK SC"/>
        <family val="2"/>
      </rPr>
      <t xml:space="preserve">（工作單字面「目標價日 </t>
    </r>
    <r>
      <rPr>
        <b val="true"/>
        <sz val="11"/>
        <rFont val="Cambria"/>
        <family val="0"/>
        <charset val="1"/>
      </rPr>
      <t xml:space="preserve">+1 </t>
    </r>
    <r>
      <rPr>
        <b val="true"/>
        <sz val="11"/>
        <rFont val="Noto Sans CJK SC"/>
        <family val="2"/>
      </rPr>
      <t xml:space="preserve">季」）」｜情境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</si>
  <si>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OpenAI </t>
    </r>
    <r>
      <rPr>
        <b val="true"/>
        <sz val="11"/>
        <rFont val="Noto Sans CJK SC"/>
        <family val="2"/>
      </rPr>
      <t xml:space="preserve">持股 </t>
    </r>
    <r>
      <rPr>
        <b val="true"/>
        <sz val="11"/>
        <rFont val="Cambria"/>
        <family val="0"/>
        <charset val="1"/>
      </rPr>
      <t xml:space="preserve">25%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FY2026 10-K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v0.3 </t>
    </r>
    <r>
      <rPr>
        <b val="true"/>
        <sz val="11"/>
        <rFont val="Noto Sans CJK SC"/>
        <family val="2"/>
      </rPr>
      <t xml:space="preserve">主值）」｜情境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</si>
  <si>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OpenAI </t>
    </r>
    <r>
      <rPr>
        <b val="true"/>
        <sz val="11"/>
        <rFont val="Noto Sans CJK SC"/>
        <family val="2"/>
      </rPr>
      <t xml:space="preserve">持股 </t>
    </r>
    <r>
      <rPr>
        <b val="true"/>
        <sz val="11"/>
        <rFont val="Cambria"/>
        <family val="0"/>
        <charset val="1"/>
      </rPr>
      <t xml:space="preserve">25%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FY2026 10-K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v0.3 </t>
    </r>
    <r>
      <rPr>
        <b val="true"/>
        <sz val="11"/>
        <rFont val="Noto Sans CJK SC"/>
        <family val="2"/>
      </rPr>
      <t xml:space="preserve">主值）」｜情境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</si>
  <si>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OpenAI </t>
    </r>
    <r>
      <rPr>
        <b val="true"/>
        <sz val="11"/>
        <rFont val="Noto Sans CJK SC"/>
        <family val="2"/>
      </rPr>
      <t xml:space="preserve">持股 </t>
    </r>
    <r>
      <rPr>
        <b val="true"/>
        <sz val="11"/>
        <rFont val="Cambria"/>
        <family val="0"/>
        <charset val="1"/>
      </rPr>
      <t xml:space="preserve">25%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FY2026 10-K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v0.3 </t>
    </r>
    <r>
      <rPr>
        <b val="true"/>
        <sz val="11"/>
        <rFont val="Noto Sans CJK SC"/>
        <family val="2"/>
      </rPr>
      <t xml:space="preserve">主值）」｜情境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</si>
  <si>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OpenAI </t>
    </r>
    <r>
      <rPr>
        <b val="true"/>
        <sz val="11"/>
        <rFont val="Noto Sans CJK SC"/>
        <family val="2"/>
      </rPr>
      <t xml:space="preserve">持股 </t>
    </r>
    <r>
      <rPr>
        <b val="true"/>
        <sz val="11"/>
        <rFont val="Cambria"/>
        <family val="0"/>
        <charset val="1"/>
      </rPr>
      <t xml:space="preserve">27%</t>
    </r>
    <r>
      <rPr>
        <b val="true"/>
        <sz val="11"/>
        <rFont val="Noto Sans CJK SC"/>
        <family val="2"/>
      </rPr>
      <t xml:space="preserve">（重組時比例）」｜情境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</si>
  <si>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OpenAI </t>
    </r>
    <r>
      <rPr>
        <b val="true"/>
        <sz val="11"/>
        <rFont val="Noto Sans CJK SC"/>
        <family val="2"/>
      </rPr>
      <t xml:space="preserve">持股 </t>
    </r>
    <r>
      <rPr>
        <b val="true"/>
        <sz val="11"/>
        <rFont val="Cambria"/>
        <family val="0"/>
        <charset val="1"/>
      </rPr>
      <t xml:space="preserve">27%</t>
    </r>
    <r>
      <rPr>
        <b val="true"/>
        <sz val="11"/>
        <rFont val="Noto Sans CJK SC"/>
        <family val="2"/>
      </rPr>
      <t xml:space="preserve">（重組時比例）」｜情境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</si>
  <si>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OpenAI </t>
    </r>
    <r>
      <rPr>
        <b val="true"/>
        <sz val="11"/>
        <rFont val="Noto Sans CJK SC"/>
        <family val="2"/>
      </rPr>
      <t xml:space="preserve">持股 </t>
    </r>
    <r>
      <rPr>
        <b val="true"/>
        <sz val="11"/>
        <rFont val="Cambria"/>
        <family val="0"/>
        <charset val="1"/>
      </rPr>
      <t xml:space="preserve">27%</t>
    </r>
    <r>
      <rPr>
        <b val="true"/>
        <sz val="11"/>
        <rFont val="Noto Sans CJK SC"/>
        <family val="2"/>
      </rPr>
      <t xml:space="preserve">（重組時比例）」｜情境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</si>
  <si>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OpenAI </t>
    </r>
    <r>
      <rPr>
        <b val="true"/>
        <sz val="11"/>
        <rFont val="Noto Sans CJK SC"/>
        <family val="2"/>
      </rPr>
      <t xml:space="preserve">持股 </t>
    </r>
    <r>
      <rPr>
        <b val="true"/>
        <sz val="11"/>
        <rFont val="Cambria"/>
        <family val="0"/>
        <charset val="1"/>
      </rPr>
      <t xml:space="preserve">27%</t>
    </r>
    <r>
      <rPr>
        <b val="true"/>
        <sz val="11"/>
        <rFont val="Noto Sans CJK SC"/>
        <family val="2"/>
      </rPr>
      <t xml:space="preserve">、無流動性折價」｜情境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</si>
  <si>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OpenAI </t>
    </r>
    <r>
      <rPr>
        <b val="true"/>
        <sz val="11"/>
        <rFont val="Noto Sans CJK SC"/>
        <family val="2"/>
      </rPr>
      <t xml:space="preserve">持股 </t>
    </r>
    <r>
      <rPr>
        <b val="true"/>
        <sz val="11"/>
        <rFont val="Cambria"/>
        <family val="0"/>
        <charset val="1"/>
      </rPr>
      <t xml:space="preserve">27%</t>
    </r>
    <r>
      <rPr>
        <b val="true"/>
        <sz val="11"/>
        <rFont val="Noto Sans CJK SC"/>
        <family val="2"/>
      </rPr>
      <t xml:space="preserve">、無流動性折價」｜情境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</si>
  <si>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判斷替代「</t>
    </r>
    <r>
      <rPr>
        <b val="true"/>
        <sz val="11"/>
        <rFont val="Cambria"/>
        <family val="0"/>
        <charset val="1"/>
      </rPr>
      <t xml:space="preserve">OpenAI </t>
    </r>
    <r>
      <rPr>
        <b val="true"/>
        <sz val="11"/>
        <rFont val="Noto Sans CJK SC"/>
        <family val="2"/>
      </rPr>
      <t xml:space="preserve">持股 </t>
    </r>
    <r>
      <rPr>
        <b val="true"/>
        <sz val="11"/>
        <rFont val="Cambria"/>
        <family val="0"/>
        <charset val="1"/>
      </rPr>
      <t xml:space="preserve">27%</t>
    </r>
    <r>
      <rPr>
        <b val="true"/>
        <sz val="11"/>
        <rFont val="Noto Sans CJK SC"/>
        <family val="2"/>
      </rPr>
      <t xml:space="preserve">、無流動性折價」｜情境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（保守）｜評價（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）</t>
    </r>
  </si>
  <si>
    <t xml:space="preserve">編號</t>
  </si>
  <si>
    <t xml:space="preserve">文件</t>
  </si>
  <si>
    <t xml:space="preserve">網址</t>
  </si>
  <si>
    <r>
      <rPr>
        <sz val="11"/>
        <color theme="1"/>
        <rFont val="Calibri"/>
        <family val="2"/>
        <charset val="1"/>
      </rPr>
      <t xml:space="preserve">Microsoft Form 10-K FY2026</t>
    </r>
    <r>
      <rPr>
        <sz val="11"/>
        <color theme="1"/>
        <rFont val="Noto Sans CJK SC"/>
        <family val="2"/>
      </rPr>
      <t xml:space="preserve">（期末 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，經查核）</t>
    </r>
  </si>
  <si>
    <t xml:space="preserve">2026-07-29</t>
  </si>
  <si>
    <t xml:space="preserve">https://www.sec.gov/Archives/edgar/data/789019/000119312526323660/msft-20260630.htm</t>
  </si>
  <si>
    <r>
      <rPr>
        <sz val="11"/>
        <color theme="1"/>
        <rFont val="Calibri"/>
        <family val="2"/>
        <charset val="1"/>
      </rPr>
      <t xml:space="preserve">Microsoft 8-K </t>
    </r>
    <r>
      <rPr>
        <sz val="11"/>
        <color theme="1"/>
        <rFont val="Noto Sans CJK SC"/>
        <family val="2"/>
      </rPr>
      <t xml:space="preserve">附件 </t>
    </r>
    <r>
      <rPr>
        <sz val="11"/>
        <color theme="1"/>
        <rFont val="Calibri"/>
        <family val="2"/>
        <charset val="1"/>
      </rPr>
      <t xml:space="preserve">99.1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FY27 Segments and Investor Metrics</t>
    </r>
    <r>
      <rPr>
        <sz val="11"/>
        <color theme="1"/>
        <rFont val="Noto Sans CJK SC"/>
        <family val="2"/>
      </rPr>
      <t xml:space="preserve">（分部重編、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金額、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調整後指引）</t>
    </r>
  </si>
  <si>
    <t xml:space="preserve">2026-09-02</t>
  </si>
  <si>
    <t xml:space="preserve">https://www.sec.gov/Archives/edgar/data/789019/000119312526380280/d291965dex991.htm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</si>
  <si>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（指引）</t>
    </r>
  </si>
  <si>
    <r>
      <rPr>
        <sz val="11"/>
        <color theme="1"/>
        <rFont val="Calibri"/>
        <family val="2"/>
        <charset val="1"/>
      </rPr>
      <t xml:space="preserve">Microsoft FY26 </t>
    </r>
    <r>
      <rPr>
        <sz val="11"/>
        <color theme="1"/>
        <rFont val="Noto Sans CJK SC"/>
        <family val="2"/>
      </rPr>
      <t xml:space="preserve">各季財報新聞稿與法說（</t>
    </r>
    <r>
      <rPr>
        <sz val="11"/>
        <color theme="1"/>
        <rFont val="Calibri"/>
        <family val="2"/>
        <charset val="1"/>
      </rPr>
      <t xml:space="preserve">IR </t>
    </r>
    <r>
      <rPr>
        <sz val="11"/>
        <color theme="1"/>
        <rFont val="Noto Sans CJK SC"/>
        <family val="2"/>
      </rPr>
      <t xml:space="preserve">網站）</t>
    </r>
  </si>
  <si>
    <r>
      <rPr>
        <sz val="11"/>
        <color theme="1"/>
        <rFont val="Calibri"/>
        <family val="2"/>
        <charset val="1"/>
      </rPr>
      <t xml:space="preserve">2025-10-29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2026-07-29</t>
    </r>
  </si>
  <si>
    <t xml:space="preserve">https://www.microsoft.com/en-us/investor/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</si>
  <si>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</si>
  <si>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事實總帳（</t>
    </r>
    <r>
      <rPr>
        <sz val="11"/>
        <color theme="1"/>
        <rFont val="Calibri"/>
        <family val="2"/>
        <charset val="1"/>
      </rPr>
      <t xml:space="preserve">v0.1a </t>
    </r>
    <r>
      <rPr>
        <sz val="11"/>
        <color theme="1"/>
        <rFont val="Noto Sans CJK SC"/>
        <family val="2"/>
      </rPr>
      <t xml:space="preserve">起；每筆附來源、日期、標記）</t>
    </r>
  </si>
  <si>
    <t xml:space="preserve">microsoft/data/microsoft_facts_20261008.json</t>
  </si>
  <si>
    <t xml:space="preserve">依各筆</t>
  </si>
  <si>
    <r>
      <rPr>
        <sz val="11"/>
        <color theme="1"/>
        <rFont val="Calibri"/>
        <family val="2"/>
        <charset val="1"/>
      </rPr>
      <t xml:space="preserve">Tokenomics v21.7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20261025_Tokenomics_v21.7.xlsx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master 6621bc5</t>
    </r>
    <r>
      <rPr>
        <sz val="11"/>
        <color theme="1"/>
        <rFont val="Noto Sans CJK SC"/>
        <family val="2"/>
      </rPr>
      <t xml:space="preserve">） 快照</t>
    </r>
  </si>
  <si>
    <t xml:space="preserve">2026-10-29</t>
  </si>
  <si>
    <t xml:space="preserve">microsoft/data/tokenomics_snapshot_v21.7.json</t>
  </si>
  <si>
    <r>
      <rPr>
        <sz val="11"/>
        <color theme="1"/>
        <rFont val="Calibri"/>
        <family val="2"/>
        <charset val="1"/>
      </rPr>
      <t xml:space="preserve">Microsoft FY27Q1 </t>
    </r>
    <r>
      <rPr>
        <sz val="11"/>
        <color theme="1"/>
        <rFont val="Noto Sans CJK SC"/>
        <family val="2"/>
      </rPr>
      <t xml:space="preserve">財報新聞稿（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</t>
    </r>
  </si>
  <si>
    <t xml:space="preserve">2026-10-28</t>
  </si>
  <si>
    <r>
      <rPr>
        <sz val="11"/>
        <color theme="1"/>
        <rFont val="Calibri"/>
        <family val="2"/>
        <charset val="1"/>
      </rPr>
      <t xml:space="preserve">mag/extract/docs/2026Q3/microsoft_FY27Q1_</t>
    </r>
    <r>
      <rPr>
        <sz val="11"/>
        <color theme="1"/>
        <rFont val="Noto Sans CJK SC"/>
        <family val="2"/>
      </rPr>
      <t xml:space="preserve">新聞稿</t>
    </r>
    <r>
      <rPr>
        <sz val="11"/>
        <color theme="1"/>
        <rFont val="Calibri"/>
        <family val="2"/>
        <charset val="1"/>
      </rPr>
      <t xml:space="preserve">.docx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提供）</t>
    </r>
  </si>
  <si>
    <r>
      <rPr>
        <sz val="11"/>
        <color theme="1"/>
        <rFont val="Calibri"/>
        <family val="2"/>
        <charset val="1"/>
      </rPr>
      <t xml:space="preserve">Microsoft FY27Q1 IR </t>
    </r>
    <r>
      <rPr>
        <sz val="11"/>
        <color theme="1"/>
        <rFont val="Noto Sans CJK SC"/>
        <family val="2"/>
      </rPr>
      <t xml:space="preserve">財務報表（</t>
    </r>
    <r>
      <rPr>
        <sz val="11"/>
        <color theme="1"/>
        <rFont val="Calibri"/>
        <family val="2"/>
        <charset val="1"/>
      </rPr>
      <t xml:space="preserve">Segment History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Products &amp; Services History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CapEx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Metrics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</si>
  <si>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mag/extract/docs/2026Q3/microsoft_FY27Q1_</t>
    </r>
    <r>
      <rPr>
        <sz val="11"/>
        <color theme="1"/>
        <rFont val="Noto Sans CJK SC"/>
        <family val="2"/>
      </rPr>
      <t xml:space="preserve">財務報表</t>
    </r>
    <r>
      <rPr>
        <sz val="11"/>
        <color theme="1"/>
        <rFont val="Calibri"/>
        <family val="2"/>
        <charset val="1"/>
      </rPr>
      <t xml:space="preserve">.xlsx</t>
    </r>
  </si>
  <si>
    <r>
      <rPr>
        <sz val="11"/>
        <color theme="1"/>
        <rFont val="Calibri"/>
        <family val="2"/>
        <charset val="1"/>
      </rPr>
      <t xml:space="preserve">Microsoft Form 10-Q FY27Q1</t>
    </r>
    <r>
      <rPr>
        <sz val="11"/>
        <color theme="1"/>
        <rFont val="Noto Sans CJK SC"/>
        <family val="2"/>
      </rPr>
      <t xml:space="preserve">（期末 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，未經查核）</t>
    </r>
  </si>
  <si>
    <t xml:space="preserve">mag/extract/docs/2026Q3/microsoft_FY27Q1_10-Q.docx</t>
  </si>
  <si>
    <r>
      <rPr>
        <sz val="11"/>
        <color theme="1"/>
        <rFont val="Calibri"/>
        <family val="2"/>
        <charset val="1"/>
      </rPr>
      <t xml:space="preserve">Microsoft FY27Q2 </t>
    </r>
    <r>
      <rPr>
        <sz val="11"/>
        <color theme="1"/>
        <rFont val="Noto Sans CJK SC"/>
        <family val="2"/>
      </rPr>
      <t xml:space="preserve">展望簡報（圖片；逐頁看圖）</t>
    </r>
  </si>
  <si>
    <r>
      <rPr>
        <sz val="11"/>
        <color theme="1"/>
        <rFont val="Calibri"/>
        <family val="2"/>
        <charset val="1"/>
      </rPr>
      <t xml:space="preserve">mag/extract/docs/2026Q3/microsoft_FY27Q2_</t>
    </r>
    <r>
      <rPr>
        <sz val="11"/>
        <color theme="1"/>
        <rFont val="Noto Sans CJK SC"/>
        <family val="2"/>
      </rPr>
      <t xml:space="preserve">展望簡報</t>
    </r>
    <r>
      <rPr>
        <sz val="11"/>
        <color theme="1"/>
        <rFont val="Calibri"/>
        <family val="2"/>
        <charset val="1"/>
      </rPr>
      <t xml:space="preserve">.pptx</t>
    </r>
  </si>
  <si>
    <r>
      <rPr>
        <sz val="11"/>
        <color theme="1"/>
        <rFont val="Calibri"/>
        <family val="2"/>
        <charset val="1"/>
      </rPr>
      <t xml:space="preserve">Microsoft FY27Q1 </t>
    </r>
    <r>
      <rPr>
        <sz val="11"/>
        <color theme="1"/>
        <rFont val="Noto Sans CJK SC"/>
        <family val="2"/>
      </rPr>
      <t xml:space="preserve">法說逐字稿（不在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；只引用必要數字與短語）</t>
    </r>
  </si>
  <si>
    <r>
      <rPr>
        <sz val="11"/>
        <color theme="1"/>
        <rFont val="Calibri"/>
        <family val="2"/>
        <charset val="1"/>
      </rPr>
      <t xml:space="preserve">Microsoft FY27Q1 </t>
    </r>
    <r>
      <rPr>
        <sz val="11"/>
        <color theme="1"/>
        <rFont val="Noto Sans CJK SC"/>
        <family val="2"/>
      </rPr>
      <t xml:space="preserve">事實總帳（兩次讀取核對）</t>
    </r>
  </si>
  <si>
    <t xml:space="preserve">microsoft/data/microsoft_facts_FY27Q1_20261029.json</t>
  </si>
  <si>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證據（</t>
    </r>
    <r>
      <rPr>
        <sz val="11"/>
        <color theme="1"/>
        <rFont val="Calibri"/>
        <family val="2"/>
        <charset val="1"/>
      </rPr>
      <t xml:space="preserve">IREN </t>
    </r>
    <r>
      <rPr>
        <sz val="11"/>
        <color theme="1"/>
        <rFont val="Noto Sans CJK SC"/>
        <family val="2"/>
      </rPr>
      <t xml:space="preserve">長約、</t>
    </r>
    <r>
      <rPr>
        <sz val="11"/>
        <color theme="1"/>
        <rFont val="Calibri"/>
        <family val="2"/>
        <charset val="1"/>
      </rPr>
      <t xml:space="preserve">Silicon Data H100 </t>
    </r>
    <r>
      <rPr>
        <sz val="11"/>
        <color theme="1"/>
        <rFont val="Noto Sans CJK SC"/>
        <family val="2"/>
      </rPr>
      <t xml:space="preserve">指數、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牌價）</t>
    </r>
  </si>
  <si>
    <t xml:space="preserve">microsoft/data/kevidence_microsoft_20261008.json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</si>
  <si>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Verified</t>
    </r>
  </si>
  <si>
    <r>
      <rPr>
        <sz val="11"/>
        <color theme="1"/>
        <rFont val="Noto Sans CJK SC"/>
        <family val="2"/>
      </rPr>
      <t xml:space="preserve">市場共識（</t>
    </r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S&amp;P </t>
    </r>
    <r>
      <rPr>
        <sz val="11"/>
        <color theme="1"/>
        <rFont val="Noto Sans CJK SC"/>
        <family val="2"/>
      </rPr>
      <t xml:space="preserve">經 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</si>
  <si>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報價頁（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531.01</t>
    </r>
    <r>
      <rPr>
        <sz val="11"/>
        <color theme="1"/>
        <rFont val="Noto Sans CJK SC"/>
        <family val="2"/>
      </rPr>
      <t xml:space="preserve">）</t>
    </r>
  </si>
  <si>
    <t xml:space="preserve">https://www.marketbeat.com/stocks/nasdaq/msft/chart</t>
  </si>
  <si>
    <r>
      <rPr>
        <sz val="11"/>
        <color theme="1"/>
        <rFont val="Calibri"/>
        <family val="2"/>
        <charset val="1"/>
      </rPr>
      <t xml:space="preserve">247wallst </t>
    </r>
    <r>
      <rPr>
        <sz val="11"/>
        <color theme="1"/>
        <rFont val="Noto Sans CJK SC"/>
        <family val="2"/>
      </rPr>
      <t xml:space="preserve">財報直播頁（報價 </t>
    </r>
    <r>
      <rPr>
        <sz val="11"/>
        <color theme="1"/>
        <rFont val="Calibri"/>
        <family val="2"/>
        <charset val="1"/>
      </rPr>
      <t xml:space="preserve">531.01</t>
    </r>
    <r>
      <rPr>
        <sz val="11"/>
        <color theme="1"/>
        <rFont val="Noto Sans CJK SC"/>
        <family val="2"/>
      </rPr>
      <t xml:space="preserve">、−</t>
    </r>
    <r>
      <rPr>
        <sz val="11"/>
        <color theme="1"/>
        <rFont val="Calibri"/>
        <family val="2"/>
        <charset val="1"/>
      </rPr>
      <t xml:space="preserve">0.06%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FY27Q1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4.72</t>
    </r>
    <r>
      <rPr>
        <sz val="11"/>
        <color theme="1"/>
        <rFont val="Noto Sans CJK SC"/>
        <family val="2"/>
      </rPr>
      <t xml:space="preserve">、營收 </t>
    </r>
    <r>
      <rPr>
        <sz val="11"/>
        <color theme="1"/>
        <rFont val="Calibri"/>
        <family val="2"/>
        <charset val="1"/>
      </rPr>
      <t xml:space="preserve">90.75</t>
    </r>
    <r>
      <rPr>
        <sz val="11"/>
        <color theme="1"/>
        <rFont val="Noto Sans CJK SC"/>
        <family val="2"/>
      </rPr>
      <t xml:space="preserve">）</t>
    </r>
  </si>
  <si>
    <t xml:space="preserve">https://247wallst.com/investing/2026/10/28/live-will-microsoft-crush-q1-earnings-tonight-after-the-bell/</t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</si>
  <si>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預測頁（</t>
    </r>
    <r>
      <rPr>
        <sz val="11"/>
        <color theme="1"/>
        <rFont val="Calibri"/>
        <family val="2"/>
        <charset val="1"/>
      </rPr>
      <t xml:space="preserve">S&amp;P </t>
    </r>
    <r>
      <rPr>
        <sz val="11"/>
        <color theme="1"/>
        <rFont val="Noto Sans CJK SC"/>
        <family val="2"/>
      </rPr>
      <t xml:space="preserve">共識目標價 </t>
    </r>
    <r>
      <rPr>
        <sz val="11"/>
        <color theme="1"/>
        <rFont val="Calibri"/>
        <family val="2"/>
        <charset val="1"/>
      </rPr>
      <t xml:space="preserve">605.12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391.58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EPS 19.76</t>
    </r>
    <r>
      <rPr>
        <sz val="11"/>
        <color theme="1"/>
        <rFont val="Noto Sans CJK SC"/>
        <family val="2"/>
      </rPr>
      <t xml:space="preserve">）</t>
    </r>
  </si>
  <si>
    <t xml:space="preserve">2026-10-27</t>
  </si>
  <si>
    <t xml:space="preserve">https://stockanalysis.com/stocks/msft/forecast/</t>
  </si>
  <si>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預測頁（共識目標價 </t>
    </r>
    <r>
      <rPr>
        <sz val="11"/>
        <color theme="1"/>
        <rFont val="Calibri"/>
        <family val="2"/>
        <charset val="1"/>
      </rPr>
      <t xml:space="preserve">596.07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49 </t>
    </r>
    <r>
      <rPr>
        <sz val="11"/>
        <color theme="1"/>
        <rFont val="Noto Sans CJK SC"/>
        <family val="2"/>
      </rPr>
      <t xml:space="preserve">位）</t>
    </r>
  </si>
  <si>
    <t xml:space="preserve">https://www.marketbeat.com/stocks/NASDAQ/MSFT/forecast/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</si>
  <si>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雲端同業 </t>
    </r>
    <r>
      <rPr>
        <sz val="11"/>
        <color theme="1"/>
        <rFont val="Calibri"/>
        <family val="2"/>
        <charset val="1"/>
      </rPr>
      <t xml:space="preserve">NTM EV/EBITDA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家）</t>
    </r>
  </si>
  <si>
    <t xml:space="preserve">microsoft/data/peers_cloud_20261008.json</t>
  </si>
  <si>
    <r>
      <rPr>
        <sz val="11"/>
        <color theme="1"/>
        <rFont val="Noto Sans CJK SC"/>
        <family val="2"/>
      </rPr>
      <t xml:space="preserve">數位廣告同業 </t>
    </r>
    <r>
      <rPr>
        <sz val="11"/>
        <color theme="1"/>
        <rFont val="Calibri"/>
        <family val="2"/>
        <charset val="1"/>
      </rPr>
      <t xml:space="preserve">NTM EV/EBITDA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家）</t>
    </r>
  </si>
  <si>
    <t xml:space="preserve">microsoft/data/peers_ads_20261009.json</t>
  </si>
  <si>
    <r>
      <rPr>
        <sz val="11"/>
        <color theme="1"/>
        <rFont val="Calibri"/>
        <family val="2"/>
        <charset val="1"/>
      </rPr>
      <t xml:space="preserve">MAG </t>
    </r>
    <r>
      <rPr>
        <sz val="11"/>
        <color theme="1"/>
        <rFont val="Noto Sans CJK SC"/>
        <family val="2"/>
      </rPr>
      <t xml:space="preserve">命題與驅動對照表 </t>
    </r>
    <r>
      <rPr>
        <sz val="11"/>
        <color theme="1"/>
        <rFont val="Calibri"/>
        <family val="2"/>
        <charset val="1"/>
      </rPr>
      <t xml:space="preserve">r1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C1–C23</t>
    </r>
    <r>
      <rPr>
        <sz val="11"/>
        <color theme="1"/>
        <rFont val="Noto Sans CJK SC"/>
        <family val="2"/>
      </rPr>
      <t xml:space="preserve">）</t>
    </r>
  </si>
  <si>
    <t xml:space="preserve">2026-10-09</t>
  </si>
  <si>
    <r>
      <rPr>
        <sz val="11"/>
        <color theme="1"/>
        <rFont val="Calibri"/>
        <family val="2"/>
        <charset val="1"/>
      </rPr>
      <t xml:space="preserve">mag/docs/plan/20261008_MAG_</t>
    </r>
    <r>
      <rPr>
        <sz val="11"/>
        <color theme="1"/>
        <rFont val="Noto Sans CJK SC"/>
        <family val="2"/>
      </rPr>
      <t xml:space="preserve">命題與驅動對照表</t>
    </r>
    <r>
      <rPr>
        <sz val="11"/>
        <color theme="1"/>
        <rFont val="Calibri"/>
        <family val="2"/>
        <charset val="1"/>
      </rPr>
      <t xml:space="preserve">_r1.md</t>
    </r>
  </si>
  <si>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成品（對照）</t>
    </r>
  </si>
  <si>
    <t xml:space="preserve">2026-10-25</t>
  </si>
  <si>
    <r>
      <rPr>
        <sz val="11"/>
        <color theme="1"/>
        <rFont val="Calibri"/>
        <family val="2"/>
        <charset val="1"/>
      </rPr>
      <t xml:space="preserve">microsoft/dist/_</t>
    </r>
    <r>
      <rPr>
        <sz val="11"/>
        <color theme="1"/>
        <rFont val="Noto Sans CJK SC"/>
        <family val="2"/>
      </rPr>
      <t xml:space="preserve">待刪除</t>
    </r>
    <r>
      <rPr>
        <sz val="11"/>
        <color theme="1"/>
        <rFont val="Calibri"/>
        <family val="2"/>
        <charset val="1"/>
      </rPr>
      <t xml:space="preserve">/20261025_Microsoft</t>
    </r>
    <r>
      <rPr>
        <sz val="11"/>
        <color theme="1"/>
        <rFont val="Noto Sans CJK SC"/>
        <family val="2"/>
      </rPr>
      <t xml:space="preserve">收支模型</t>
    </r>
    <r>
      <rPr>
        <sz val="11"/>
        <color theme="1"/>
        <rFont val="Calibri"/>
        <family val="2"/>
        <charset val="1"/>
      </rPr>
      <t xml:space="preserve">_v0_2_2.xlsx</t>
    </r>
  </si>
  <si>
    <t xml:space="preserve">個股模型原則（命題＋營收分部）</t>
  </si>
  <si>
    <r>
      <rPr>
        <sz val="11"/>
        <color theme="1"/>
        <rFont val="Calibri"/>
        <family val="2"/>
        <charset val="1"/>
      </rPr>
      <t xml:space="preserve">docs/plan/</t>
    </r>
    <r>
      <rPr>
        <sz val="11"/>
        <color theme="1"/>
        <rFont val="Noto Sans CJK SC"/>
        <family val="2"/>
      </rPr>
      <t xml:space="preserve">個股模型原則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命題加營收分部</t>
    </r>
    <r>
      <rPr>
        <sz val="11"/>
        <color theme="1"/>
        <rFont val="Calibri"/>
        <family val="2"/>
        <charset val="1"/>
      </rPr>
      <t xml:space="preserve">.md</t>
    </r>
  </si>
  <si>
    <r>
      <rPr>
        <sz val="11"/>
        <color theme="1"/>
        <rFont val="Calibri"/>
        <family val="2"/>
        <charset val="1"/>
      </rPr>
      <t xml:space="preserve">MAG v0.3 </t>
    </r>
    <r>
      <rPr>
        <sz val="11"/>
        <color theme="1"/>
        <rFont val="Noto Sans CJK SC"/>
        <family val="2"/>
      </rPr>
      <t xml:space="preserve">工作單</t>
    </r>
  </si>
  <si>
    <r>
      <rPr>
        <sz val="11"/>
        <color theme="1"/>
        <rFont val="Calibri"/>
        <family val="2"/>
        <charset val="1"/>
      </rPr>
      <t xml:space="preserve">mag/docs/workorders/20261027_MAG_v0.3_</t>
    </r>
    <r>
      <rPr>
        <sz val="11"/>
        <color theme="1"/>
        <rFont val="Noto Sans CJK SC"/>
        <family val="2"/>
      </rPr>
      <t xml:space="preserve">個股模型重建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分部架構</t>
    </r>
    <r>
      <rPr>
        <sz val="11"/>
        <color theme="1"/>
        <rFont val="Calibri"/>
        <family val="2"/>
        <charset val="1"/>
      </rPr>
      <t xml:space="preserve">.md</t>
    </r>
  </si>
  <si>
    <r>
      <rPr>
        <sz val="11"/>
        <color theme="1"/>
        <rFont val="Calibri"/>
        <family val="2"/>
        <charset val="1"/>
      </rPr>
      <t xml:space="preserve">MAG v0.3.1 </t>
    </r>
    <r>
      <rPr>
        <sz val="11"/>
        <color theme="1"/>
        <rFont val="Noto Sans CJK SC"/>
        <family val="2"/>
      </rPr>
      <t xml:space="preserve">季度滾動工作單</t>
    </r>
  </si>
  <si>
    <r>
      <rPr>
        <sz val="11"/>
        <color theme="1"/>
        <rFont val="Calibri"/>
        <family val="2"/>
        <charset val="1"/>
      </rPr>
      <t xml:space="preserve">mag/docs/workorders/20261029_MAG_v0.3.1_</t>
    </r>
    <r>
      <rPr>
        <sz val="11"/>
        <color theme="1"/>
        <rFont val="Noto Sans CJK SC"/>
        <family val="2"/>
      </rPr>
      <t xml:space="preserve">季度滾動</t>
    </r>
    <r>
      <rPr>
        <sz val="11"/>
        <color theme="1"/>
        <rFont val="Calibri"/>
        <family val="2"/>
        <charset val="1"/>
      </rPr>
      <t xml:space="preserve">_2026Q3.md</t>
    </r>
  </si>
  <si>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成品（對照；變動拆解起點）</t>
    </r>
  </si>
  <si>
    <r>
      <rPr>
        <sz val="11"/>
        <color theme="1"/>
        <rFont val="Calibri"/>
        <family val="2"/>
        <charset val="1"/>
      </rPr>
      <t xml:space="preserve">microsoft/dist/_</t>
    </r>
    <r>
      <rPr>
        <sz val="11"/>
        <color theme="1"/>
        <rFont val="Noto Sans CJK SC"/>
        <family val="2"/>
      </rPr>
      <t xml:space="preserve">待刪除</t>
    </r>
    <r>
      <rPr>
        <sz val="11"/>
        <color theme="1"/>
        <rFont val="Calibri"/>
        <family val="2"/>
        <charset val="1"/>
      </rPr>
      <t xml:space="preserve">/20261027_Microsoft</t>
    </r>
    <r>
      <rPr>
        <sz val="11"/>
        <color theme="1"/>
        <rFont val="Noto Sans CJK SC"/>
        <family val="2"/>
      </rPr>
      <t xml:space="preserve">個股模型</t>
    </r>
    <r>
      <rPr>
        <sz val="11"/>
        <color theme="1"/>
        <rFont val="Calibri"/>
        <family val="2"/>
        <charset val="1"/>
      </rPr>
      <t xml:space="preserve">_v0.3.xlsx</t>
    </r>
  </si>
  <si>
    <r>
      <rPr>
        <sz val="11"/>
        <color theme="1"/>
        <rFont val="Noto Sans CJK SC"/>
        <family val="2"/>
      </rPr>
      <t xml:space="preserve">未找到：產品線層級市場共識；財報後（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以後）更新的共識；</t>
    </r>
    <r>
      <rPr>
        <sz val="11"/>
        <color theme="1"/>
        <rFont val="Calibri"/>
        <family val="2"/>
        <charset val="1"/>
      </rPr>
      <t xml:space="preserve">Copilot </t>
    </r>
    <r>
      <rPr>
        <sz val="11"/>
        <color theme="1"/>
        <rFont val="Noto Sans CJK SC"/>
        <family val="2"/>
      </rPr>
      <t xml:space="preserve">營收與 </t>
    </r>
    <r>
      <rPr>
        <sz val="11"/>
        <color theme="1"/>
        <rFont val="Calibri"/>
        <family val="2"/>
        <charset val="1"/>
      </rPr>
      <t xml:space="preserve">FY2024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年底座席；</t>
    </r>
    <r>
      <rPr>
        <sz val="11"/>
        <color theme="1"/>
        <rFont val="Calibri"/>
        <family val="2"/>
        <charset val="1"/>
      </rPr>
      <t xml:space="preserve">M365 </t>
    </r>
    <r>
      <rPr>
        <sz val="11"/>
        <color theme="1"/>
        <rFont val="Noto Sans CJK SC"/>
        <family val="2"/>
      </rPr>
      <t xml:space="preserve">商用座席數（只有年增 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中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占比；</t>
    </r>
    <r>
      <rPr>
        <sz val="11"/>
        <color theme="1"/>
        <rFont val="Calibri"/>
        <family val="2"/>
        <charset val="1"/>
      </rPr>
      <t xml:space="preserve">MSFT </t>
    </r>
    <r>
      <rPr>
        <sz val="11"/>
        <color theme="1"/>
        <rFont val="Noto Sans CJK SC"/>
        <family val="2"/>
      </rPr>
      <t xml:space="preserve">個別長債殖利率；遊戲與 </t>
    </r>
    <r>
      <rPr>
        <sz val="11"/>
        <color theme="1"/>
        <rFont val="Calibri"/>
        <family val="2"/>
        <charset val="1"/>
      </rPr>
      <t xml:space="preserve">PC </t>
    </r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NTM </t>
    </r>
    <r>
      <rPr>
        <sz val="11"/>
        <color theme="1"/>
        <rFont val="Noto Sans CJK SC"/>
        <family val="2"/>
      </rPr>
      <t xml:space="preserve">倍數（改用 </t>
    </r>
    <r>
      <rPr>
        <sz val="11"/>
        <color theme="1"/>
        <rFont val="Calibri"/>
        <family val="2"/>
        <charset val="1"/>
      </rPr>
      <t xml:space="preserve">TTM</t>
    </r>
    <r>
      <rPr>
        <sz val="11"/>
        <color theme="1"/>
        <rFont val="Noto Sans CJK SC"/>
        <family val="2"/>
      </rPr>
      <t xml:space="preserve">）</t>
    </r>
  </si>
</sst>
</file>

<file path=xl/styles.xml><?xml version="1.0" encoding="utf-8"?>
<styleSheet xmlns="http://schemas.openxmlformats.org/spreadsheetml/2006/main">
  <numFmts count="17">
    <numFmt numFmtId="164" formatCode="General"/>
    <numFmt numFmtId="165" formatCode="#,##0.00"/>
    <numFmt numFmtId="166" formatCode="#,##0.0"/>
    <numFmt numFmtId="167" formatCode="0.0%"/>
    <numFmt numFmtId="168" formatCode="0.00"/>
    <numFmt numFmtId="169" formatCode="0.000"/>
    <numFmt numFmtId="170" formatCode="yyyy\-mm\-dd"/>
    <numFmt numFmtId="171" formatCode="0"/>
    <numFmt numFmtId="172" formatCode="0%"/>
    <numFmt numFmtId="173" formatCode="#,##0.000"/>
    <numFmt numFmtId="174" formatCode="#,##0"/>
    <numFmt numFmtId="175" formatCode="@"/>
    <numFmt numFmtId="176" formatCode="0.00%"/>
    <numFmt numFmtId="177" formatCode="0.0"/>
    <numFmt numFmtId="178" formatCode="\+0.0%;\-0.0%"/>
    <numFmt numFmtId="179" formatCode="\+#,##0.00;\-#,##0.00"/>
    <numFmt numFmtId="180" formatCode="0.00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Noto Sans CJK SC"/>
      <family val="2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  <col collapsed="false" customWidth="true" hidden="false" outlineLevel="0" max="5" min="2" style="0" width="24"/>
  </cols>
  <sheetData>
    <row r="1" customFormat="false" ht="17.15" hidden="false" customHeight="false" outlineLevel="0" collapsed="false">
      <c r="A1" s="0" t="s">
        <v>0</v>
      </c>
    </row>
    <row r="2" customFormat="false" ht="17.15" hidden="false" customHeight="false" outlineLevel="0" collapsed="false">
      <c r="A2" s="1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64.15" hidden="false" customHeight="false" outlineLevel="0" collapsed="false">
      <c r="A5" s="2" t="str">
        <f aca="false">"① 命題答案（FY2029，基準情境 B）：讀法 2（主值；自用 AI 價值中性）AI 增量 ROIC "&amp;TEXT(Thesis!H102,"0.0%")&amp;"，讀法 1（自用 AI 只計成本）"&amp;TEXT(Thesis!H103,"0.0%")&amp;"，WACC "&amp;TEXT(wacc,"0.0%")&amp;"；對外 Azure AI 本身 "&amp;TEXT(Thesis!H105,"0.0%")&amp;"。讀法 1 下 AI 容量越大、目標價越低（自用算力只有成本）；讀法 2 下容量增加對目標價中性偏正（敏感度：MW 速度改 Epoch 可辨識站點 "&amp;TEXT(Sens!D9,"+0.0;-0.0")&amp;"、+20% "&amp;TEXT(Sens!D10,"+0.0;-0.0")&amp;"）。AI 折舊 FY2026 "&amp;TEXT(Thesis!E95,"0.0")&amp;" → FY2029 "&amp;TEXT(Thesis!H95,"0.0")&amp;" 十億美元，財報口徑營業利益率 FY2029 "&amp;TEXT(PL!H76,"0.0%")&amp;"（FY2026 "&amp;TEXT(PL!E76,"0.0%")&amp;"）。"</f>
        <v>① 命題答案（FY2029，基準情境 B）：讀法 2（主值；自用 AI 價值中性）AI 增量 ROIC 8.6%，讀法 1（自用 AI 只計成本）1.0%，WACC 10.3%；對外 Azure AI 本身 13.1%。讀法 1 下 AI 容量越大、目標價越低（自用算力只有成本）；讀法 2 下容量增加對目標價中性偏正（敏感度：MW 速度改 Epoch 可辨識站點 -28.5、+20% +2.8）。AI 折舊 FY2026 16.3 → FY2029 89.1 十億美元，財報口徑營業利益率 FY2029 39.1%（FY2026 46.8%）。</v>
      </c>
    </row>
    <row r="6" customFormat="false" ht="32.8" hidden="false" customHeight="false" outlineLevel="0" collapsed="false">
      <c r="A6" s="2" t="str">
        <f aca="false">"② 收支關卡：基準情境首年起五年（FY2027–FY2031）自由現金流扣股利合計 "&amp;TEXT(CF!C5,"#,##0.0")&amp;" 十億美元（樂觀 "&amp;TEXT(CF!B5,"#,##0.0")&amp;"、保守 "&amp;TEXT(CF!D5,"#,##0.0")&amp;"）；"&amp;CF!C6&amp;"。"</f>
        <v>② 收支關卡：基準情境首年起五年（FY2027–FY2031）自由現金流扣股利合計 259.6 十億美元（樂觀 363.2、保守 137.9）；需要舉債 8.1 十億美元；回購較每年 22.3 的目標少 44.3 十億美元（2 年減少）。</v>
      </c>
    </row>
    <row r="7" customFormat="false" ht="32.8" hidden="false" customHeight="false" outlineLevel="0" collapsed="false">
      <c r="A7" s="2" t="str">
        <f aca="false">"③ 評價：加權目標價 "&amp;TEXT(Val!$B$36,"#,##0")&amp;" 美元（讀法 2），較現價 "&amp;TEXT(px,"#,##0.00")&amp;" "&amp;TEXT(Val!$B$40,"+0.0%;-0.0%")&amp;"；DCF "&amp;TEXT(Val!$B$14,"#,##0")&amp;"、分部加總 "&amp;TEXT(Val!$B$31,"#,##0")&amp;"；讀法 1 目標價 "&amp;TEXT(Val!$B$47,"#,##0")&amp;"（"&amp;Val!$B$49&amp;"）；市場共識 "&amp;TEXT(cons_tp,"#,##0")&amp;"。WACC "&amp;TEXT(wacc,"0.0%")&amp;"（−1pt 時目標價 "&amp;TEXT(Sens!C27,"#,##0")&amp;"）；非 AI 各線改用 Microsoft 自身 NTM EV/EBITDA "&amp;TEXT(m_own,"0.0")&amp;"× 時目標價 "&amp;TEXT(Sens!C94,"#,##0")&amp;"。"</f>
        <v>③ 評價：加權目標價 384 美元（讀法 2），較現價 531.01 -27.7%；DCF 324、分部加總 444；讀法 1 目標價 311（放空）；市場共識 605。WACC 10.3%（−1pt 時目標價 406）；非 AI 各線改用 Microsoft 自身 NTM EV/EBITDA 15.7× 時目標價 450。</v>
      </c>
    </row>
    <row r="8" customFormat="false" ht="32.8" hidden="false" customHeight="false" outlineLevel="0" collapsed="false">
      <c r="A8" s="2" t="str">
        <f aca="false">"投資建議："&amp;Val!$B$43&amp;"（讀法 2 主值；上檔空間 "&amp;TEXT(Val!$B$40,"+0.0%;-0.0%")&amp;"；讀法 1："&amp;Val!$B$49&amp;"；五級固定規則：≥ +50% 強力買進、+25%～+50% 買進、−25%～+25% 中立、−50%～−25% 放空、≤ −50% 強力放空）"</f>
        <v>投資建議：放空（讀法 2 主值；上檔空間 -27.7%；讀法 1：放空；五級固定規則：≥ +50% 強力買進、+25%～+50% 買進、−25%～+25% 中立、−50%～−25% 放空、≤ −50% 強力放空）</v>
      </c>
    </row>
    <row r="9" customFormat="false" ht="17.15" hidden="false" customHeight="false" outlineLevel="0" collapsed="false">
      <c r="A9" s="2" t="str">
        <f aca="false">"收支關卡（地圖）：CF 頁「收支關卡：自由現金流扣股利（五年合計）」基準 "&amp;TEXT(CF!C5,"#,##0.0")&amp;" 十億美元（財報現金，不含影子效益）"</f>
        <v>收支關卡（地圖）：CF 頁「收支關卡：自由現金流扣股利（五年合計）」基準 259.6 十億美元（財報現金，不含影子效益）</v>
      </c>
    </row>
    <row r="11" customFormat="false" ht="15" hidden="false" customHeight="false" outlineLevel="0" collapsed="false">
      <c r="A11" s="3" t="s">
        <v>4</v>
      </c>
    </row>
    <row r="12" customFormat="false" ht="17.15" hidden="false" customHeight="false" outlineLevel="0" collapsed="false">
      <c r="A12" s="4" t="s">
        <v>5</v>
      </c>
      <c r="B12" s="4" t="s">
        <v>6</v>
      </c>
      <c r="C12" s="4" t="s">
        <v>7</v>
      </c>
      <c r="D12" s="4" t="s">
        <v>8</v>
      </c>
      <c r="E12" s="4" t="s">
        <v>9</v>
      </c>
    </row>
    <row r="13" customFormat="false" ht="17.15" hidden="false" customHeight="false" outlineLevel="0" collapsed="false">
      <c r="A13" s="0" t="s">
        <v>10</v>
      </c>
      <c r="B13" s="0" t="s">
        <v>11</v>
      </c>
      <c r="C13" s="1" t="s">
        <v>12</v>
      </c>
      <c r="D13" s="0" t="s">
        <v>13</v>
      </c>
      <c r="E13" s="5" t="n">
        <f aca="false">Thesis!H60</f>
        <v>11429.6053</v>
      </c>
    </row>
    <row r="14" customFormat="false" ht="17.15" hidden="false" customHeight="false" outlineLevel="0" collapsed="false">
      <c r="A14" s="0" t="s">
        <v>10</v>
      </c>
      <c r="B14" s="0" t="s">
        <v>14</v>
      </c>
      <c r="C14" s="1" t="s">
        <v>15</v>
      </c>
      <c r="D14" s="0" t="s">
        <v>16</v>
      </c>
      <c r="E14" s="5" t="n">
        <f aca="false">Thesis!H76</f>
        <v>12.735045931073</v>
      </c>
    </row>
    <row r="15" customFormat="false" ht="17.15" hidden="false" customHeight="false" outlineLevel="0" collapsed="false">
      <c r="A15" s="0" t="s">
        <v>10</v>
      </c>
      <c r="B15" s="0" t="s">
        <v>17</v>
      </c>
      <c r="C15" s="0" t="s">
        <v>18</v>
      </c>
      <c r="D15" s="1" t="s">
        <v>19</v>
      </c>
      <c r="E15" s="5" t="n">
        <f aca="false">Thesis!H95</f>
        <v>89.1000906614457</v>
      </c>
    </row>
    <row r="16" customFormat="false" ht="17.15" hidden="false" customHeight="false" outlineLevel="0" collapsed="false">
      <c r="A16" s="0" t="s">
        <v>20</v>
      </c>
      <c r="B16" s="0" t="s">
        <v>21</v>
      </c>
      <c r="C16" s="0" t="s">
        <v>22</v>
      </c>
      <c r="D16" s="1" t="s">
        <v>23</v>
      </c>
      <c r="E16" s="5" t="n">
        <f aca="false">Seg!H38</f>
        <v>24</v>
      </c>
    </row>
    <row r="17" customFormat="false" ht="17.15" hidden="false" customHeight="false" outlineLevel="0" collapsed="false">
      <c r="A17" s="0" t="s">
        <v>20</v>
      </c>
      <c r="B17" s="0" t="s">
        <v>24</v>
      </c>
      <c r="C17" s="1" t="s">
        <v>25</v>
      </c>
      <c r="D17" s="1" t="s">
        <v>26</v>
      </c>
      <c r="E17" s="5" t="n">
        <f aca="false">Seg!H56</f>
        <v>555.72683159012</v>
      </c>
    </row>
    <row r="18" customFormat="false" ht="17.15" hidden="false" customHeight="false" outlineLevel="0" collapsed="false">
      <c r="A18" s="0" t="s">
        <v>27</v>
      </c>
      <c r="B18" s="1" t="s">
        <v>28</v>
      </c>
      <c r="C18" s="0" t="s">
        <v>29</v>
      </c>
      <c r="D18" s="1" t="s">
        <v>30</v>
      </c>
      <c r="E18" s="5" t="n">
        <f aca="false">PL!H71</f>
        <v>196.763686018119</v>
      </c>
    </row>
    <row r="19" customFormat="false" ht="17.15" hidden="false" customHeight="false" outlineLevel="0" collapsed="false">
      <c r="A19" s="0" t="s">
        <v>27</v>
      </c>
      <c r="B19" s="0" t="s">
        <v>31</v>
      </c>
      <c r="C19" s="1" t="s">
        <v>32</v>
      </c>
      <c r="D19" s="1" t="s">
        <v>33</v>
      </c>
      <c r="E19" s="5" t="n">
        <f aca="false">PL!H88</f>
        <v>27.3746396012331</v>
      </c>
    </row>
    <row r="20" customFormat="false" ht="17.15" hidden="false" customHeight="false" outlineLevel="0" collapsed="false">
      <c r="A20" s="0" t="s">
        <v>34</v>
      </c>
      <c r="B20" s="0" t="s">
        <v>35</v>
      </c>
      <c r="C20" s="1" t="s">
        <v>36</v>
      </c>
      <c r="D20" s="1" t="s">
        <v>37</v>
      </c>
      <c r="E20" s="5" t="n">
        <f aca="false">CF!H62</f>
        <v>62.2118750539102</v>
      </c>
    </row>
    <row r="21" customFormat="false" ht="17.15" hidden="false" customHeight="false" outlineLevel="0" collapsed="false">
      <c r="A21" s="0" t="s">
        <v>38</v>
      </c>
      <c r="B21" s="0" t="s">
        <v>39</v>
      </c>
      <c r="C21" s="0" t="s">
        <v>40</v>
      </c>
      <c r="D21" s="0" t="s">
        <v>41</v>
      </c>
      <c r="E21" s="5" t="n">
        <f aca="false">Val!$B$36</f>
        <v>384.104559856734</v>
      </c>
    </row>
    <row r="23" customFormat="false" ht="15" hidden="false" customHeight="false" outlineLevel="0" collapsed="false">
      <c r="A23" s="3" t="s">
        <v>42</v>
      </c>
    </row>
    <row r="24" customFormat="false" ht="17.15" hidden="false" customHeight="false" outlineLevel="0" collapsed="false">
      <c r="A24" s="4" t="s">
        <v>43</v>
      </c>
      <c r="B24" s="4" t="s">
        <v>44</v>
      </c>
      <c r="C24" s="4" t="s">
        <v>45</v>
      </c>
      <c r="D24" s="4" t="s">
        <v>46</v>
      </c>
      <c r="E24" s="4" t="s">
        <v>47</v>
      </c>
    </row>
    <row r="25" customFormat="false" ht="17.15" hidden="false" customHeight="false" outlineLevel="0" collapsed="false">
      <c r="A25" s="1" t="s">
        <v>48</v>
      </c>
      <c r="B25" s="6" t="n">
        <f aca="false">Seg!H29</f>
        <v>587.294787614101</v>
      </c>
      <c r="C25" s="6" t="n">
        <f aca="false">Seg!H56</f>
        <v>555.72683159012</v>
      </c>
      <c r="D25" s="6" t="n">
        <f aca="false">Seg!H83</f>
        <v>519.258246925162</v>
      </c>
    </row>
    <row r="26" customFormat="false" ht="17.15" hidden="false" customHeight="false" outlineLevel="0" collapsed="false">
      <c r="A26" s="0" t="s">
        <v>49</v>
      </c>
      <c r="B26" s="6" t="n">
        <f aca="false">Thesis!H25</f>
        <v>153.816719989035</v>
      </c>
      <c r="C26" s="6" t="n">
        <f aca="false">Thesis!H77</f>
        <v>128.195273603944</v>
      </c>
      <c r="D26" s="6" t="n">
        <f aca="false">Thesis!H129</f>
        <v>97.4495379418341</v>
      </c>
    </row>
    <row r="27" customFormat="false" ht="17.15" hidden="false" customHeight="false" outlineLevel="0" collapsed="false">
      <c r="A27" s="0" t="s">
        <v>50</v>
      </c>
      <c r="B27" s="6" t="n">
        <f aca="false">Seg!H11</f>
        <v>31.5</v>
      </c>
      <c r="C27" s="6" t="n">
        <f aca="false">Seg!H38</f>
        <v>24</v>
      </c>
      <c r="D27" s="6" t="n">
        <f aca="false">Seg!H65</f>
        <v>16.5</v>
      </c>
    </row>
    <row r="28" customFormat="false" ht="17.15" hidden="false" customHeight="false" outlineLevel="0" collapsed="false">
      <c r="A28" s="1" t="s">
        <v>51</v>
      </c>
      <c r="B28" s="7" t="n">
        <f aca="false">PL!H37</f>
        <v>0.419091252076636</v>
      </c>
      <c r="C28" s="7" t="n">
        <f aca="false">PL!H76</f>
        <v>0.390690709821335</v>
      </c>
      <c r="D28" s="7" t="n">
        <f aca="false">PL!H115</f>
        <v>0.352626221331819</v>
      </c>
    </row>
    <row r="29" customFormat="false" ht="17.15" hidden="false" customHeight="false" outlineLevel="0" collapsed="false">
      <c r="A29" s="0" t="s">
        <v>52</v>
      </c>
      <c r="B29" s="8" t="n">
        <f aca="false">PL!H47</f>
        <v>26.0054149641273</v>
      </c>
      <c r="C29" s="8" t="n">
        <f aca="false">PL!H86</f>
        <v>22.8916652882548</v>
      </c>
      <c r="D29" s="8" t="n">
        <f aca="false">PL!H125</f>
        <v>19.2402008074151</v>
      </c>
    </row>
    <row r="30" customFormat="false" ht="17.15" hidden="false" customHeight="false" outlineLevel="0" collapsed="false">
      <c r="A30" s="0" t="s">
        <v>53</v>
      </c>
      <c r="B30" s="8" t="n">
        <f aca="false">PL!H49</f>
        <v>30.0402547940645</v>
      </c>
      <c r="C30" s="8" t="n">
        <f aca="false">PL!H88</f>
        <v>27.3746396012331</v>
      </c>
      <c r="D30" s="8" t="n">
        <f aca="false">PL!H127</f>
        <v>24.1655613417055</v>
      </c>
    </row>
    <row r="31" customFormat="false" ht="17.15" hidden="false" customHeight="false" outlineLevel="0" collapsed="false">
      <c r="A31" s="1" t="s">
        <v>54</v>
      </c>
      <c r="B31" s="6" t="n">
        <f aca="false">CF!H30</f>
        <v>86.1872783032704</v>
      </c>
      <c r="C31" s="6" t="n">
        <f aca="false">CF!H62</f>
        <v>62.2118750539102</v>
      </c>
      <c r="D31" s="6" t="n">
        <f aca="false">CF!H94</f>
        <v>34.0226076317587</v>
      </c>
    </row>
    <row r="32" customFormat="false" ht="17.15" hidden="false" customHeight="false" outlineLevel="0" collapsed="false">
      <c r="A32" s="0" t="s">
        <v>55</v>
      </c>
      <c r="B32" s="7" t="n">
        <f aca="false">Thesis!H50</f>
        <v>0.131951044114011</v>
      </c>
      <c r="C32" s="7" t="n">
        <f aca="false">Thesis!H102</f>
        <v>0.0859557095566361</v>
      </c>
      <c r="D32" s="7" t="n">
        <f aca="false">Thesis!H154</f>
        <v>0.0307613080877867</v>
      </c>
    </row>
    <row r="33" customFormat="false" ht="17.15" hidden="false" customHeight="false" outlineLevel="0" collapsed="false">
      <c r="A33" s="0" t="s">
        <v>56</v>
      </c>
      <c r="B33" s="7" t="n">
        <f aca="false">Thesis!H51</f>
        <v>0.0637305557287023</v>
      </c>
      <c r="C33" s="7" t="n">
        <f aca="false">Thesis!H103</f>
        <v>0.010047899197893</v>
      </c>
      <c r="D33" s="7" t="n">
        <f aca="false">Thesis!H155</f>
        <v>-0.0528338242443913</v>
      </c>
    </row>
    <row r="35" customFormat="false" ht="17.15" hidden="false" customHeight="false" outlineLevel="0" collapsed="false">
      <c r="A35" s="1" t="s">
        <v>57</v>
      </c>
      <c r="B35" s="5" t="n">
        <f aca="false">Val!B44</f>
        <v>423.247865987</v>
      </c>
      <c r="C35" s="5" t="n">
        <f aca="false">Val!C44</f>
        <v>386.052170373482</v>
      </c>
      <c r="D35" s="5" t="n">
        <f aca="false">Val!D44</f>
        <v>341.066032692973</v>
      </c>
    </row>
    <row r="37" customFormat="false" ht="48.5" hidden="false" customHeight="false" outlineLevel="0" collapsed="false">
      <c r="A37" s="2" t="s">
        <v>58</v>
      </c>
    </row>
    <row r="38" customFormat="false" ht="48.5" hidden="false" customHeight="false" outlineLevel="0" collapsed="false">
      <c r="A38" s="2" t="s">
        <v>59</v>
      </c>
    </row>
    <row r="39" customFormat="false" ht="32.8" hidden="false" customHeight="false" outlineLevel="0" collapsed="false">
      <c r="A39" s="2" t="s">
        <v>60</v>
      </c>
    </row>
    <row r="40" customFormat="false" ht="158.2" hidden="false" customHeight="false" outlineLevel="0" collapsed="false">
      <c r="A40" s="9" t="s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60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6"/>
    <col collapsed="false" customWidth="true" hidden="false" outlineLevel="0" max="8" min="8" style="0" width="80"/>
    <col collapsed="false" customWidth="true" hidden="false" outlineLevel="0" max="9" min="9" style="0" width="70"/>
  </cols>
  <sheetData>
    <row r="1" customFormat="false" ht="17.15" hidden="false" customHeight="false" outlineLevel="0" collapsed="false">
      <c r="A1" s="0" t="s">
        <v>62</v>
      </c>
    </row>
    <row r="2" customFormat="false" ht="17.15" hidden="false" customHeight="false" outlineLevel="0" collapsed="false">
      <c r="A2" s="1" t="s">
        <v>63</v>
      </c>
    </row>
    <row r="3" customFormat="false" ht="17.15" hidden="false" customHeight="false" outlineLevel="0" collapsed="false">
      <c r="A3" s="4" t="s">
        <v>64</v>
      </c>
      <c r="B3" s="4" t="s">
        <v>43</v>
      </c>
      <c r="C3" s="4" t="s">
        <v>65</v>
      </c>
      <c r="D3" s="4" t="s">
        <v>66</v>
      </c>
      <c r="E3" s="4" t="s">
        <v>67</v>
      </c>
      <c r="F3" s="4" t="s">
        <v>68</v>
      </c>
      <c r="G3" s="4" t="s">
        <v>69</v>
      </c>
      <c r="H3" s="4" t="s">
        <v>70</v>
      </c>
      <c r="I3" s="4" t="s">
        <v>71</v>
      </c>
    </row>
    <row r="4" customFormat="false" ht="17.15" hidden="false" customHeight="false" outlineLevel="0" collapsed="false">
      <c r="A4" s="10" t="s">
        <v>72</v>
      </c>
    </row>
    <row r="5" customFormat="false" ht="17.15" hidden="false" customHeight="false" outlineLevel="0" collapsed="false">
      <c r="A5" s="0" t="s">
        <v>73</v>
      </c>
      <c r="B5" s="1" t="s">
        <v>74</v>
      </c>
      <c r="C5" s="0" t="s">
        <v>75</v>
      </c>
      <c r="E5" s="11" t="n">
        <v>531.01</v>
      </c>
      <c r="G5" s="12" t="s">
        <v>76</v>
      </c>
      <c r="H5" s="12" t="s">
        <v>77</v>
      </c>
      <c r="I5" s="12" t="s">
        <v>78</v>
      </c>
    </row>
    <row r="6" customFormat="false" ht="17.15" hidden="false" customHeight="false" outlineLevel="0" collapsed="false">
      <c r="A6" s="0" t="s">
        <v>79</v>
      </c>
      <c r="B6" s="0" t="s">
        <v>80</v>
      </c>
      <c r="C6" s="1" t="s">
        <v>81</v>
      </c>
      <c r="E6" s="11" t="n">
        <v>7.453</v>
      </c>
      <c r="G6" s="12" t="s">
        <v>76</v>
      </c>
      <c r="H6" s="1" t="s">
        <v>82</v>
      </c>
      <c r="I6" s="12" t="s">
        <v>83</v>
      </c>
    </row>
    <row r="7" customFormat="false" ht="17.15" hidden="false" customHeight="false" outlineLevel="0" collapsed="false">
      <c r="A7" s="0" t="s">
        <v>84</v>
      </c>
      <c r="B7" s="0" t="s">
        <v>85</v>
      </c>
      <c r="C7" s="1" t="s">
        <v>81</v>
      </c>
      <c r="E7" s="11" t="n">
        <v>7.429</v>
      </c>
      <c r="G7" s="12" t="s">
        <v>76</v>
      </c>
      <c r="H7" s="1" t="s">
        <v>86</v>
      </c>
      <c r="I7" s="12" t="s">
        <v>87</v>
      </c>
    </row>
    <row r="8" customFormat="false" ht="17.15" hidden="false" customHeight="false" outlineLevel="0" collapsed="false">
      <c r="A8" s="0" t="s">
        <v>88</v>
      </c>
      <c r="B8" s="1" t="s">
        <v>89</v>
      </c>
      <c r="C8" s="1" t="s">
        <v>81</v>
      </c>
      <c r="E8" s="0" t="n">
        <f aca="false">sh_dil26-sh_basic26</f>
        <v>0.024</v>
      </c>
      <c r="G8" s="0" t="s">
        <v>90</v>
      </c>
      <c r="H8" s="0" t="s">
        <v>91</v>
      </c>
      <c r="I8" s="1" t="s">
        <v>92</v>
      </c>
    </row>
    <row r="9" customFormat="false" ht="17.15" hidden="false" customHeight="false" outlineLevel="0" collapsed="false">
      <c r="A9" s="0" t="s">
        <v>93</v>
      </c>
      <c r="B9" s="1" t="s">
        <v>94</v>
      </c>
      <c r="C9" s="1" t="s">
        <v>81</v>
      </c>
      <c r="E9" s="11" t="n">
        <v>7.427</v>
      </c>
      <c r="G9" s="12" t="s">
        <v>76</v>
      </c>
      <c r="H9" s="1" t="s">
        <v>95</v>
      </c>
      <c r="I9" s="12" t="s">
        <v>87</v>
      </c>
    </row>
    <row r="10" customFormat="false" ht="17.15" hidden="false" customHeight="false" outlineLevel="0" collapsed="false">
      <c r="A10" s="0" t="s">
        <v>96</v>
      </c>
      <c r="B10" s="1" t="s">
        <v>97</v>
      </c>
      <c r="C10" s="0" t="s">
        <v>98</v>
      </c>
      <c r="E10" s="11" t="n">
        <v>76.843</v>
      </c>
      <c r="G10" s="12" t="s">
        <v>76</v>
      </c>
      <c r="H10" s="1" t="s">
        <v>99</v>
      </c>
      <c r="I10" s="12" t="s">
        <v>100</v>
      </c>
    </row>
    <row r="11" customFormat="false" ht="17.15" hidden="false" customHeight="false" outlineLevel="0" collapsed="false">
      <c r="A11" s="0" t="s">
        <v>101</v>
      </c>
      <c r="B11" s="1" t="s">
        <v>102</v>
      </c>
      <c r="C11" s="0" t="s">
        <v>98</v>
      </c>
      <c r="E11" s="11" t="n">
        <v>46.136</v>
      </c>
      <c r="G11" s="12" t="s">
        <v>76</v>
      </c>
      <c r="H11" s="1" t="s">
        <v>103</v>
      </c>
      <c r="I11" s="1" t="s">
        <v>104</v>
      </c>
    </row>
    <row r="12" customFormat="false" ht="17.15" hidden="false" customHeight="false" outlineLevel="0" collapsed="false">
      <c r="A12" s="0" t="s">
        <v>105</v>
      </c>
      <c r="B12" s="0" t="s">
        <v>106</v>
      </c>
      <c r="C12" s="1" t="s">
        <v>81</v>
      </c>
      <c r="E12" s="11" t="n">
        <v>7.446</v>
      </c>
      <c r="G12" s="12" t="s">
        <v>107</v>
      </c>
      <c r="H12" s="1" t="s">
        <v>108</v>
      </c>
      <c r="I12" s="12" t="s">
        <v>109</v>
      </c>
    </row>
    <row r="13" customFormat="false" ht="17.15" hidden="false" customHeight="false" outlineLevel="0" collapsed="false">
      <c r="A13" s="0" t="s">
        <v>110</v>
      </c>
      <c r="B13" s="1" t="s">
        <v>111</v>
      </c>
      <c r="C13" s="1" t="s">
        <v>81</v>
      </c>
      <c r="E13" s="11" t="n">
        <v>7.427</v>
      </c>
      <c r="G13" s="12" t="s">
        <v>107</v>
      </c>
      <c r="H13" s="1" t="s">
        <v>112</v>
      </c>
      <c r="I13" s="12" t="s">
        <v>113</v>
      </c>
    </row>
    <row r="14" customFormat="false" ht="17.15" hidden="false" customHeight="false" outlineLevel="0" collapsed="false">
      <c r="A14" s="0" t="s">
        <v>114</v>
      </c>
      <c r="B14" s="1" t="s">
        <v>115</v>
      </c>
      <c r="C14" s="0" t="s">
        <v>98</v>
      </c>
      <c r="E14" s="11" t="n">
        <v>64.509</v>
      </c>
      <c r="G14" s="12" t="s">
        <v>107</v>
      </c>
      <c r="H14" s="1" t="s">
        <v>116</v>
      </c>
      <c r="I14" s="12" t="s">
        <v>117</v>
      </c>
    </row>
    <row r="15" customFormat="false" ht="17.15" hidden="false" customHeight="false" outlineLevel="0" collapsed="false">
      <c r="A15" s="0" t="s">
        <v>118</v>
      </c>
      <c r="B15" s="1" t="s">
        <v>119</v>
      </c>
      <c r="C15" s="0" t="s">
        <v>98</v>
      </c>
      <c r="E15" s="11" t="n">
        <v>41.269</v>
      </c>
      <c r="G15" s="12" t="s">
        <v>107</v>
      </c>
      <c r="H15" s="1" t="s">
        <v>120</v>
      </c>
      <c r="I15" s="1" t="s">
        <v>121</v>
      </c>
    </row>
    <row r="16" customFormat="false" ht="17.15" hidden="false" customHeight="false" outlineLevel="0" collapsed="false">
      <c r="A16" s="0" t="s">
        <v>122</v>
      </c>
      <c r="B16" s="1" t="s">
        <v>123</v>
      </c>
      <c r="C16" s="0" t="s">
        <v>98</v>
      </c>
      <c r="E16" s="11" t="n">
        <v>70.973</v>
      </c>
      <c r="G16" s="12" t="s">
        <v>107</v>
      </c>
      <c r="H16" s="1" t="s">
        <v>124</v>
      </c>
      <c r="I16" s="1" t="s">
        <v>125</v>
      </c>
    </row>
    <row r="17" customFormat="false" ht="17.15" hidden="false" customHeight="false" outlineLevel="0" collapsed="false">
      <c r="A17" s="0" t="s">
        <v>126</v>
      </c>
      <c r="B17" s="1" t="s">
        <v>127</v>
      </c>
      <c r="C17" s="1" t="s">
        <v>81</v>
      </c>
      <c r="E17" s="0" t="n">
        <f aca="false">sh_out_q1</f>
        <v>7.427</v>
      </c>
      <c r="G17" s="0" t="s">
        <v>90</v>
      </c>
      <c r="H17" s="1" t="s">
        <v>128</v>
      </c>
      <c r="I17" s="0" t="s">
        <v>87</v>
      </c>
    </row>
    <row r="18" customFormat="false" ht="17.15" hidden="false" customHeight="false" outlineLevel="0" collapsed="false">
      <c r="A18" s="0" t="s">
        <v>129</v>
      </c>
      <c r="B18" s="1" t="s">
        <v>130</v>
      </c>
      <c r="C18" s="1" t="s">
        <v>81</v>
      </c>
      <c r="E18" s="0" t="n">
        <f aca="false">sh_dil_q1</f>
        <v>7.446</v>
      </c>
      <c r="G18" s="0" t="s">
        <v>90</v>
      </c>
      <c r="H18" s="1" t="s">
        <v>131</v>
      </c>
      <c r="I18" s="0" t="s">
        <v>87</v>
      </c>
    </row>
    <row r="19" customFormat="false" ht="17.15" hidden="false" customHeight="false" outlineLevel="0" collapsed="false">
      <c r="A19" s="0" t="s">
        <v>132</v>
      </c>
      <c r="B19" s="1" t="s">
        <v>133</v>
      </c>
      <c r="C19" s="0" t="s">
        <v>98</v>
      </c>
      <c r="E19" s="0" t="n">
        <f aca="false">cash_q1</f>
        <v>64.509</v>
      </c>
      <c r="G19" s="0" t="s">
        <v>90</v>
      </c>
      <c r="H19" s="1" t="s">
        <v>134</v>
      </c>
      <c r="I19" s="0" t="s">
        <v>87</v>
      </c>
    </row>
    <row r="20" customFormat="false" ht="17.15" hidden="false" customHeight="false" outlineLevel="0" collapsed="false">
      <c r="A20" s="0" t="s">
        <v>135</v>
      </c>
      <c r="B20" s="1" t="s">
        <v>136</v>
      </c>
      <c r="C20" s="0" t="s">
        <v>98</v>
      </c>
      <c r="E20" s="0" t="n">
        <f aca="false">debt_q1</f>
        <v>41.269</v>
      </c>
      <c r="G20" s="0" t="s">
        <v>90</v>
      </c>
      <c r="H20" s="1" t="s">
        <v>137</v>
      </c>
      <c r="I20" s="0" t="s">
        <v>87</v>
      </c>
    </row>
    <row r="21" customFormat="false" ht="17.15" hidden="false" customHeight="false" outlineLevel="0" collapsed="false">
      <c r="A21" s="0" t="s">
        <v>138</v>
      </c>
      <c r="B21" s="1" t="s">
        <v>139</v>
      </c>
      <c r="C21" s="0" t="s">
        <v>98</v>
      </c>
      <c r="E21" s="0" t="n">
        <f aca="false">fl_liab_q1</f>
        <v>70.973</v>
      </c>
      <c r="G21" s="0" t="s">
        <v>90</v>
      </c>
      <c r="H21" s="1" t="s">
        <v>140</v>
      </c>
      <c r="I21" s="0" t="s">
        <v>87</v>
      </c>
    </row>
    <row r="22" customFormat="false" ht="17.15" hidden="false" customHeight="false" outlineLevel="0" collapsed="false">
      <c r="A22" s="0" t="s">
        <v>141</v>
      </c>
      <c r="B22" s="1" t="s">
        <v>142</v>
      </c>
      <c r="C22" s="0" t="s">
        <v>98</v>
      </c>
      <c r="E22" s="11" t="n">
        <v>9.25</v>
      </c>
      <c r="G22" s="12" t="s">
        <v>76</v>
      </c>
      <c r="H22" s="1" t="s">
        <v>143</v>
      </c>
      <c r="I22" s="12" t="s">
        <v>144</v>
      </c>
    </row>
    <row r="23" customFormat="false" ht="17.15" hidden="false" customHeight="false" outlineLevel="0" collapsed="false">
      <c r="A23" s="0" t="s">
        <v>145</v>
      </c>
      <c r="B23" s="1" t="s">
        <v>146</v>
      </c>
      <c r="C23" s="0" t="s">
        <v>98</v>
      </c>
      <c r="E23" s="11" t="n">
        <v>0</v>
      </c>
      <c r="G23" s="12" t="s">
        <v>76</v>
      </c>
      <c r="H23" s="1" t="s">
        <v>147</v>
      </c>
      <c r="I23" s="12" t="s">
        <v>148</v>
      </c>
    </row>
    <row r="24" customFormat="false" ht="17.15" hidden="false" customHeight="false" outlineLevel="0" collapsed="false">
      <c r="A24" s="0" t="s">
        <v>149</v>
      </c>
      <c r="B24" s="1" t="s">
        <v>150</v>
      </c>
      <c r="C24" s="0" t="s">
        <v>98</v>
      </c>
      <c r="E24" s="11" t="n">
        <v>2.001</v>
      </c>
      <c r="G24" s="12" t="s">
        <v>76</v>
      </c>
      <c r="H24" s="1" t="s">
        <v>151</v>
      </c>
      <c r="I24" s="12" t="s">
        <v>148</v>
      </c>
    </row>
    <row r="25" customFormat="false" ht="17.15" hidden="false" customHeight="false" outlineLevel="0" collapsed="false">
      <c r="A25" s="0" t="s">
        <v>152</v>
      </c>
      <c r="B25" s="1" t="s">
        <v>153</v>
      </c>
      <c r="C25" s="0" t="s">
        <v>98</v>
      </c>
      <c r="E25" s="11" t="n">
        <v>0</v>
      </c>
      <c r="G25" s="12" t="s">
        <v>76</v>
      </c>
      <c r="H25" s="1" t="s">
        <v>154</v>
      </c>
      <c r="I25" s="12" t="s">
        <v>148</v>
      </c>
    </row>
    <row r="26" customFormat="false" ht="17.15" hidden="false" customHeight="false" outlineLevel="0" collapsed="false">
      <c r="A26" s="0" t="s">
        <v>155</v>
      </c>
      <c r="B26" s="1" t="s">
        <v>156</v>
      </c>
      <c r="C26" s="0" t="s">
        <v>98</v>
      </c>
      <c r="E26" s="11" t="n">
        <v>0.5</v>
      </c>
      <c r="G26" s="12" t="s">
        <v>76</v>
      </c>
      <c r="H26" s="1" t="s">
        <v>157</v>
      </c>
      <c r="I26" s="12" t="s">
        <v>148</v>
      </c>
    </row>
    <row r="27" customFormat="false" ht="17.15" hidden="false" customHeight="false" outlineLevel="0" collapsed="false">
      <c r="A27" s="0" t="s">
        <v>158</v>
      </c>
      <c r="B27" s="1" t="s">
        <v>159</v>
      </c>
      <c r="C27" s="0" t="s">
        <v>98</v>
      </c>
      <c r="E27" s="11" t="n">
        <v>0</v>
      </c>
      <c r="G27" s="12" t="s">
        <v>160</v>
      </c>
      <c r="H27" s="1" t="s">
        <v>161</v>
      </c>
      <c r="I27" s="12" t="s">
        <v>87</v>
      </c>
    </row>
    <row r="28" customFormat="false" ht="17.15" hidden="false" customHeight="false" outlineLevel="0" collapsed="false">
      <c r="A28" s="0" t="s">
        <v>162</v>
      </c>
      <c r="B28" s="1" t="s">
        <v>163</v>
      </c>
      <c r="C28" s="0" t="s">
        <v>98</v>
      </c>
      <c r="E28" s="11" t="n">
        <v>66.594</v>
      </c>
      <c r="G28" s="12" t="s">
        <v>76</v>
      </c>
      <c r="H28" s="1" t="s">
        <v>164</v>
      </c>
      <c r="I28" s="1" t="s">
        <v>165</v>
      </c>
    </row>
    <row r="29" customFormat="false" ht="17.15" hidden="false" customHeight="false" outlineLevel="0" collapsed="false">
      <c r="A29" s="0" t="s">
        <v>166</v>
      </c>
      <c r="B29" s="1" t="s">
        <v>167</v>
      </c>
      <c r="C29" s="0" t="s">
        <v>168</v>
      </c>
      <c r="E29" s="13" t="n">
        <v>0.045</v>
      </c>
      <c r="G29" s="12" t="s">
        <v>76</v>
      </c>
      <c r="H29" s="1" t="s">
        <v>169</v>
      </c>
      <c r="I29" s="12" t="s">
        <v>170</v>
      </c>
    </row>
    <row r="30" customFormat="false" ht="17.15" hidden="false" customHeight="false" outlineLevel="0" collapsed="false">
      <c r="A30" s="0" t="s">
        <v>171</v>
      </c>
      <c r="B30" s="1" t="s">
        <v>172</v>
      </c>
      <c r="C30" s="0" t="s">
        <v>98</v>
      </c>
      <c r="E30" s="11" t="n">
        <v>7.121</v>
      </c>
      <c r="G30" s="12" t="s">
        <v>76</v>
      </c>
      <c r="H30" s="1" t="s">
        <v>173</v>
      </c>
      <c r="I30" s="12" t="s">
        <v>174</v>
      </c>
    </row>
    <row r="31" customFormat="false" ht="17.15" hidden="false" customHeight="false" outlineLevel="0" collapsed="false">
      <c r="A31" s="0" t="s">
        <v>175</v>
      </c>
      <c r="B31" s="1" t="s">
        <v>176</v>
      </c>
      <c r="C31" s="0" t="s">
        <v>98</v>
      </c>
      <c r="E31" s="11" t="n">
        <v>7.294</v>
      </c>
      <c r="G31" s="12" t="s">
        <v>76</v>
      </c>
      <c r="H31" s="1" t="s">
        <v>177</v>
      </c>
      <c r="I31" s="12" t="s">
        <v>174</v>
      </c>
    </row>
    <row r="32" customFormat="false" ht="17.15" hidden="false" customHeight="false" outlineLevel="0" collapsed="false">
      <c r="A32" s="0" t="s">
        <v>178</v>
      </c>
      <c r="B32" s="1" t="s">
        <v>179</v>
      </c>
      <c r="C32" s="0" t="s">
        <v>98</v>
      </c>
      <c r="E32" s="11" t="n">
        <v>6.668</v>
      </c>
      <c r="G32" s="12" t="s">
        <v>76</v>
      </c>
      <c r="H32" s="1" t="s">
        <v>180</v>
      </c>
      <c r="I32" s="12" t="s">
        <v>174</v>
      </c>
    </row>
    <row r="33" customFormat="false" ht="17.15" hidden="false" customHeight="false" outlineLevel="0" collapsed="false">
      <c r="A33" s="0" t="s">
        <v>181</v>
      </c>
      <c r="B33" s="1" t="s">
        <v>182</v>
      </c>
      <c r="C33" s="0" t="s">
        <v>98</v>
      </c>
      <c r="E33" s="11" t="n">
        <v>6.57</v>
      </c>
      <c r="G33" s="12" t="s">
        <v>76</v>
      </c>
      <c r="H33" s="1" t="s">
        <v>183</v>
      </c>
      <c r="I33" s="12" t="s">
        <v>174</v>
      </c>
    </row>
    <row r="34" customFormat="false" ht="17.15" hidden="false" customHeight="false" outlineLevel="0" collapsed="false">
      <c r="A34" s="0" t="s">
        <v>184</v>
      </c>
      <c r="B34" s="1" t="s">
        <v>185</v>
      </c>
      <c r="C34" s="0" t="s">
        <v>98</v>
      </c>
      <c r="E34" s="11" t="n">
        <v>6.543</v>
      </c>
      <c r="G34" s="12" t="s">
        <v>76</v>
      </c>
      <c r="H34" s="1" t="s">
        <v>186</v>
      </c>
      <c r="I34" s="12" t="s">
        <v>174</v>
      </c>
    </row>
    <row r="35" customFormat="false" ht="17.15" hidden="false" customHeight="false" outlineLevel="0" collapsed="false">
      <c r="A35" s="0" t="s">
        <v>187</v>
      </c>
      <c r="B35" s="1" t="s">
        <v>188</v>
      </c>
      <c r="C35" s="0" t="s">
        <v>98</v>
      </c>
      <c r="E35" s="0" t="n">
        <f aca="false">fl_pay_31</f>
        <v>6.543</v>
      </c>
      <c r="G35" s="0" t="s">
        <v>160</v>
      </c>
      <c r="H35" s="1" t="s">
        <v>189</v>
      </c>
      <c r="I35" s="0" t="s">
        <v>174</v>
      </c>
    </row>
    <row r="36" customFormat="false" ht="17.15" hidden="false" customHeight="false" outlineLevel="0" collapsed="false">
      <c r="A36" s="0" t="s">
        <v>190</v>
      </c>
      <c r="B36" s="1" t="s">
        <v>191</v>
      </c>
      <c r="C36" s="0" t="s">
        <v>98</v>
      </c>
      <c r="D36" s="11" t="n">
        <v>30</v>
      </c>
      <c r="E36" s="11" t="n">
        <v>50</v>
      </c>
      <c r="F36" s="11" t="n">
        <v>70</v>
      </c>
      <c r="G36" s="12" t="s">
        <v>160</v>
      </c>
      <c r="H36" s="1" t="s">
        <v>192</v>
      </c>
      <c r="I36" s="1" t="s">
        <v>193</v>
      </c>
    </row>
    <row r="37" customFormat="false" ht="17.15" hidden="false" customHeight="false" outlineLevel="0" collapsed="false">
      <c r="A37" s="0" t="s">
        <v>194</v>
      </c>
      <c r="B37" s="1" t="s">
        <v>195</v>
      </c>
      <c r="C37" s="0" t="s">
        <v>98</v>
      </c>
      <c r="E37" s="11" t="n">
        <v>22.271</v>
      </c>
      <c r="G37" s="12" t="s">
        <v>76</v>
      </c>
      <c r="H37" s="1" t="s">
        <v>196</v>
      </c>
      <c r="I37" s="1" t="s">
        <v>197</v>
      </c>
    </row>
    <row r="38" customFormat="false" ht="15" hidden="false" customHeight="false" outlineLevel="0" collapsed="false">
      <c r="A38" s="0" t="s">
        <v>198</v>
      </c>
      <c r="B38" s="1" t="s">
        <v>199</v>
      </c>
      <c r="C38" s="0" t="s">
        <v>168</v>
      </c>
      <c r="D38" s="13" t="n">
        <v>0</v>
      </c>
      <c r="E38" s="13" t="n">
        <v>0.08</v>
      </c>
      <c r="F38" s="13" t="n">
        <v>0.12</v>
      </c>
      <c r="G38" s="12" t="s">
        <v>160</v>
      </c>
      <c r="H38" s="1" t="s">
        <v>200</v>
      </c>
      <c r="I38" s="1" t="s">
        <v>201</v>
      </c>
    </row>
    <row r="39" customFormat="false" ht="17.15" hidden="false" customHeight="false" outlineLevel="0" collapsed="false">
      <c r="A39" s="0" t="s">
        <v>202</v>
      </c>
      <c r="B39" s="1" t="s">
        <v>203</v>
      </c>
      <c r="C39" s="1" t="s">
        <v>81</v>
      </c>
      <c r="D39" s="11" t="n">
        <v>0.035</v>
      </c>
      <c r="E39" s="11" t="n">
        <v>0.045</v>
      </c>
      <c r="F39" s="11" t="n">
        <v>0.055</v>
      </c>
      <c r="G39" s="12" t="s">
        <v>90</v>
      </c>
      <c r="H39" s="1" t="s">
        <v>204</v>
      </c>
      <c r="I39" s="1" t="s">
        <v>205</v>
      </c>
    </row>
    <row r="40" customFormat="false" ht="17.15" hidden="false" customHeight="false" outlineLevel="0" collapsed="false">
      <c r="A40" s="0" t="s">
        <v>206</v>
      </c>
      <c r="B40" s="1" t="s">
        <v>207</v>
      </c>
      <c r="C40" s="0" t="s">
        <v>75</v>
      </c>
      <c r="E40" s="11" t="n">
        <v>0.91</v>
      </c>
      <c r="G40" s="12" t="s">
        <v>76</v>
      </c>
      <c r="H40" s="1" t="s">
        <v>208</v>
      </c>
      <c r="I40" s="12" t="s">
        <v>87</v>
      </c>
    </row>
    <row r="41" customFormat="false" ht="17.15" hidden="false" customHeight="false" outlineLevel="0" collapsed="false">
      <c r="A41" s="0" t="s">
        <v>209</v>
      </c>
      <c r="B41" s="1" t="s">
        <v>210</v>
      </c>
      <c r="C41" s="0" t="s">
        <v>75</v>
      </c>
      <c r="E41" s="11" t="n">
        <v>0.98</v>
      </c>
      <c r="G41" s="12" t="s">
        <v>107</v>
      </c>
      <c r="H41" s="1" t="s">
        <v>211</v>
      </c>
      <c r="I41" s="12" t="s">
        <v>87</v>
      </c>
    </row>
    <row r="42" customFormat="false" ht="17.15" hidden="false" customHeight="false" outlineLevel="0" collapsed="false">
      <c r="A42" s="0" t="s">
        <v>212</v>
      </c>
      <c r="B42" s="0" t="s">
        <v>213</v>
      </c>
      <c r="C42" s="0" t="s">
        <v>75</v>
      </c>
      <c r="E42" s="0" t="n">
        <f aca="false">dps_q0+3*dps_q1</f>
        <v>3.85</v>
      </c>
      <c r="G42" s="0" t="s">
        <v>90</v>
      </c>
      <c r="H42" s="1" t="s">
        <v>214</v>
      </c>
      <c r="I42" s="0" t="s">
        <v>87</v>
      </c>
    </row>
    <row r="43" customFormat="false" ht="17.15" hidden="false" customHeight="false" outlineLevel="0" collapsed="false">
      <c r="A43" s="0" t="s">
        <v>215</v>
      </c>
      <c r="B43" s="1" t="s">
        <v>216</v>
      </c>
      <c r="C43" s="0" t="s">
        <v>75</v>
      </c>
      <c r="E43" s="0" t="n">
        <f aca="false">3*dps_q1</f>
        <v>2.94</v>
      </c>
      <c r="G43" s="0" t="s">
        <v>90</v>
      </c>
      <c r="H43" s="0" t="s">
        <v>217</v>
      </c>
      <c r="I43" s="0" t="s">
        <v>218</v>
      </c>
    </row>
    <row r="44" customFormat="false" ht="17.15" hidden="false" customHeight="false" outlineLevel="0" collapsed="false">
      <c r="A44" s="0" t="s">
        <v>219</v>
      </c>
      <c r="B44" s="1" t="s">
        <v>220</v>
      </c>
      <c r="C44" s="0" t="s">
        <v>168</v>
      </c>
      <c r="D44" s="13" t="n">
        <v>0.05</v>
      </c>
      <c r="E44" s="13" t="n">
        <v>0.08</v>
      </c>
      <c r="F44" s="13" t="n">
        <v>0.1</v>
      </c>
      <c r="G44" s="12" t="s">
        <v>107</v>
      </c>
      <c r="H44" s="1" t="s">
        <v>221</v>
      </c>
      <c r="I44" s="12" t="s">
        <v>87</v>
      </c>
    </row>
    <row r="45" customFormat="false" ht="17.15" hidden="false" customHeight="false" outlineLevel="0" collapsed="false">
      <c r="A45" s="10" t="s">
        <v>222</v>
      </c>
    </row>
    <row r="46" customFormat="false" ht="17.15" hidden="false" customHeight="false" outlineLevel="0" collapsed="false">
      <c r="A46" s="0" t="s">
        <v>223</v>
      </c>
      <c r="B46" s="1" t="s">
        <v>224</v>
      </c>
      <c r="C46" s="0" t="s">
        <v>168</v>
      </c>
      <c r="E46" s="13" t="n">
        <v>0.05</v>
      </c>
      <c r="G46" s="12" t="s">
        <v>76</v>
      </c>
      <c r="H46" s="12" t="s">
        <v>225</v>
      </c>
      <c r="I46" s="1" t="s">
        <v>226</v>
      </c>
    </row>
    <row r="47" customFormat="false" ht="17.15" hidden="false" customHeight="false" outlineLevel="0" collapsed="false">
      <c r="A47" s="0" t="s">
        <v>227</v>
      </c>
      <c r="B47" s="1" t="s">
        <v>228</v>
      </c>
      <c r="C47" s="0" t="s">
        <v>229</v>
      </c>
      <c r="E47" s="14" t="n">
        <v>1.1</v>
      </c>
      <c r="G47" s="12" t="s">
        <v>76</v>
      </c>
      <c r="H47" s="1" t="s">
        <v>230</v>
      </c>
      <c r="I47" s="12" t="s">
        <v>231</v>
      </c>
    </row>
    <row r="48" customFormat="false" ht="17.15" hidden="false" customHeight="false" outlineLevel="0" collapsed="false">
      <c r="A48" s="0" t="s">
        <v>232</v>
      </c>
      <c r="B48" s="1" t="s">
        <v>233</v>
      </c>
      <c r="C48" s="0" t="s">
        <v>229</v>
      </c>
      <c r="E48" s="14" t="n">
        <v>1.1741</v>
      </c>
      <c r="G48" s="12" t="s">
        <v>76</v>
      </c>
      <c r="H48" s="1" t="s">
        <v>234</v>
      </c>
      <c r="I48" s="12" t="s">
        <v>231</v>
      </c>
    </row>
    <row r="49" customFormat="false" ht="17.15" hidden="false" customHeight="false" outlineLevel="0" collapsed="false">
      <c r="A49" s="0" t="s">
        <v>235</v>
      </c>
      <c r="B49" s="0" t="s">
        <v>236</v>
      </c>
      <c r="C49" s="0" t="s">
        <v>229</v>
      </c>
      <c r="E49" s="14" t="n">
        <v>0.67</v>
      </c>
      <c r="G49" s="12" t="s">
        <v>160</v>
      </c>
      <c r="H49" s="1" t="s">
        <v>237</v>
      </c>
      <c r="I49" s="12" t="s">
        <v>87</v>
      </c>
    </row>
    <row r="50" customFormat="false" ht="17.15" hidden="false" customHeight="false" outlineLevel="0" collapsed="false">
      <c r="A50" s="0" t="s">
        <v>238</v>
      </c>
      <c r="B50" s="0" t="s">
        <v>239</v>
      </c>
      <c r="C50" s="0" t="s">
        <v>229</v>
      </c>
      <c r="D50" s="14" t="n">
        <v>0.95</v>
      </c>
      <c r="E50" s="15" t="n">
        <f aca="false">MEDIAN(blume_w*beta_sa+(1-blume_w),blume_w*beta_gf+(1-blume_w))</f>
        <v>1.0918235</v>
      </c>
      <c r="F50" s="14" t="n">
        <v>1.174</v>
      </c>
      <c r="G50" s="12" t="s">
        <v>90</v>
      </c>
      <c r="H50" s="12" t="s">
        <v>240</v>
      </c>
      <c r="I50" s="1" t="s">
        <v>241</v>
      </c>
    </row>
    <row r="51" customFormat="false" ht="17.15" hidden="false" customHeight="false" outlineLevel="0" collapsed="false">
      <c r="A51" s="0" t="s">
        <v>242</v>
      </c>
      <c r="B51" s="1" t="s">
        <v>243</v>
      </c>
      <c r="C51" s="0" t="s">
        <v>168</v>
      </c>
      <c r="D51" s="13" t="n">
        <v>0.045</v>
      </c>
      <c r="E51" s="13" t="n">
        <v>0.05</v>
      </c>
      <c r="F51" s="13" t="n">
        <v>0.06</v>
      </c>
      <c r="G51" s="12" t="s">
        <v>160</v>
      </c>
      <c r="H51" s="12" t="s">
        <v>244</v>
      </c>
      <c r="I51" s="1" t="s">
        <v>245</v>
      </c>
    </row>
    <row r="52" customFormat="false" ht="17.15" hidden="false" customHeight="false" outlineLevel="0" collapsed="false">
      <c r="A52" s="0" t="s">
        <v>246</v>
      </c>
      <c r="B52" s="1" t="s">
        <v>247</v>
      </c>
      <c r="C52" s="0" t="s">
        <v>168</v>
      </c>
      <c r="E52" s="13" t="n">
        <v>0.0626</v>
      </c>
      <c r="G52" s="12" t="s">
        <v>248</v>
      </c>
      <c r="H52" s="1" t="s">
        <v>249</v>
      </c>
      <c r="I52" s="12" t="s">
        <v>250</v>
      </c>
    </row>
    <row r="53" customFormat="false" ht="17.15" hidden="false" customHeight="false" outlineLevel="0" collapsed="false">
      <c r="A53" s="0" t="s">
        <v>251</v>
      </c>
      <c r="B53" s="1" t="s">
        <v>252</v>
      </c>
      <c r="C53" s="0" t="s">
        <v>253</v>
      </c>
      <c r="D53" s="13" t="n">
        <v>0.003</v>
      </c>
      <c r="E53" s="13" t="n">
        <v>0.006</v>
      </c>
      <c r="F53" s="13" t="n">
        <v>0.009</v>
      </c>
      <c r="G53" s="12" t="s">
        <v>160</v>
      </c>
      <c r="H53" s="1" t="s">
        <v>254</v>
      </c>
      <c r="I53" s="12" t="s">
        <v>255</v>
      </c>
    </row>
    <row r="54" customFormat="false" ht="17.15" hidden="false" customHeight="false" outlineLevel="0" collapsed="false">
      <c r="A54" s="0" t="s">
        <v>256</v>
      </c>
      <c r="B54" s="1" t="s">
        <v>257</v>
      </c>
      <c r="C54" s="0" t="s">
        <v>168</v>
      </c>
      <c r="E54" s="7" t="n">
        <f aca="false">rf+kd_spread</f>
        <v>0.056</v>
      </c>
      <c r="G54" s="12" t="s">
        <v>90</v>
      </c>
      <c r="H54" s="12" t="s">
        <v>258</v>
      </c>
      <c r="I54" s="12" t="s">
        <v>87</v>
      </c>
    </row>
    <row r="55" customFormat="false" ht="17.15" hidden="false" customHeight="false" outlineLevel="0" collapsed="false">
      <c r="A55" s="0" t="s">
        <v>259</v>
      </c>
      <c r="B55" s="0" t="s">
        <v>260</v>
      </c>
      <c r="C55" s="0" t="s">
        <v>168</v>
      </c>
      <c r="E55" s="13" t="n">
        <v>0.2</v>
      </c>
      <c r="G55" s="12" t="s">
        <v>107</v>
      </c>
      <c r="H55" s="1" t="s">
        <v>261</v>
      </c>
      <c r="I55" s="12" t="s">
        <v>87</v>
      </c>
    </row>
    <row r="56" customFormat="false" ht="17.15" hidden="false" customHeight="false" outlineLevel="0" collapsed="false">
      <c r="A56" s="0" t="s">
        <v>262</v>
      </c>
      <c r="B56" s="1" t="s">
        <v>263</v>
      </c>
      <c r="C56" s="0" t="s">
        <v>168</v>
      </c>
      <c r="E56" s="7" t="n">
        <f aca="false">rf+beta*erp</f>
        <v>0.104591175</v>
      </c>
      <c r="G56" s="12" t="s">
        <v>90</v>
      </c>
      <c r="H56" s="12" t="s">
        <v>264</v>
      </c>
      <c r="I56" s="12" t="s">
        <v>87</v>
      </c>
    </row>
    <row r="57" customFormat="false" ht="17.15" hidden="false" customHeight="false" outlineLevel="0" collapsed="false">
      <c r="A57" s="0" t="s">
        <v>265</v>
      </c>
      <c r="B57" s="0" t="s">
        <v>266</v>
      </c>
      <c r="C57" s="0" t="s">
        <v>168</v>
      </c>
      <c r="E57" s="7" t="n">
        <f aca="false">(px*sh_val*ke+(debt_val+fl_val)*kd*(1-tax_w))/(px*sh_val+debt_val+fl_val)</f>
        <v>0.102936590945597</v>
      </c>
      <c r="G57" s="12" t="s">
        <v>90</v>
      </c>
      <c r="H57" s="12" t="s">
        <v>267</v>
      </c>
      <c r="I57" s="12" t="s">
        <v>268</v>
      </c>
    </row>
    <row r="58" customFormat="false" ht="17.15" hidden="false" customHeight="false" outlineLevel="0" collapsed="false">
      <c r="A58" s="0" t="s">
        <v>269</v>
      </c>
      <c r="B58" s="1" t="s">
        <v>270</v>
      </c>
      <c r="C58" s="0" t="s">
        <v>168</v>
      </c>
      <c r="D58" s="13" t="n">
        <v>0.02</v>
      </c>
      <c r="E58" s="13" t="n">
        <v>0.03</v>
      </c>
      <c r="F58" s="13" t="n">
        <v>0.04</v>
      </c>
      <c r="G58" s="12" t="s">
        <v>160</v>
      </c>
      <c r="H58" s="1" t="s">
        <v>271</v>
      </c>
      <c r="I58" s="12" t="s">
        <v>272</v>
      </c>
    </row>
    <row r="59" customFormat="false" ht="17.15" hidden="false" customHeight="false" outlineLevel="0" collapsed="false">
      <c r="A59" s="0" t="s">
        <v>273</v>
      </c>
      <c r="B59" s="1" t="s">
        <v>274</v>
      </c>
      <c r="C59" s="0" t="s">
        <v>253</v>
      </c>
      <c r="D59" s="13" t="n">
        <v>-0.02</v>
      </c>
      <c r="E59" s="13" t="n">
        <v>0</v>
      </c>
      <c r="F59" s="13" t="n">
        <v>0.05</v>
      </c>
      <c r="G59" s="12" t="s">
        <v>160</v>
      </c>
      <c r="H59" s="1" t="s">
        <v>275</v>
      </c>
      <c r="I59" s="1" t="s">
        <v>276</v>
      </c>
    </row>
    <row r="60" customFormat="false" ht="17.15" hidden="false" customHeight="false" outlineLevel="0" collapsed="false">
      <c r="A60" s="0" t="s">
        <v>277</v>
      </c>
      <c r="B60" s="1" t="s">
        <v>278</v>
      </c>
      <c r="C60" s="1" t="s">
        <v>279</v>
      </c>
      <c r="E60" s="11" t="n">
        <v>2026</v>
      </c>
      <c r="G60" s="12" t="s">
        <v>76</v>
      </c>
      <c r="H60" s="12" t="s">
        <v>280</v>
      </c>
      <c r="I60" s="1" t="s">
        <v>281</v>
      </c>
    </row>
    <row r="61" customFormat="false" ht="15" hidden="false" customHeight="false" outlineLevel="0" collapsed="false">
      <c r="A61" s="0" t="s">
        <v>282</v>
      </c>
      <c r="B61" s="1" t="s">
        <v>283</v>
      </c>
      <c r="C61" s="1" t="s">
        <v>279</v>
      </c>
      <c r="E61" s="11" t="n">
        <v>0.5</v>
      </c>
      <c r="G61" s="12" t="s">
        <v>160</v>
      </c>
      <c r="H61" s="1" t="s">
        <v>284</v>
      </c>
      <c r="I61" s="12" t="s">
        <v>87</v>
      </c>
    </row>
    <row r="62" customFormat="false" ht="17.15" hidden="false" customHeight="false" outlineLevel="0" collapsed="false">
      <c r="A62" s="0" t="s">
        <v>285</v>
      </c>
      <c r="B62" s="1" t="s">
        <v>286</v>
      </c>
      <c r="C62" s="1" t="s">
        <v>287</v>
      </c>
      <c r="E62" s="16" t="n">
        <f aca="false">DATE(2026,6,30)</f>
        <v>46203</v>
      </c>
      <c r="G62" s="12" t="s">
        <v>76</v>
      </c>
      <c r="H62" s="12" t="s">
        <v>288</v>
      </c>
      <c r="I62" s="1" t="s">
        <v>289</v>
      </c>
    </row>
    <row r="63" customFormat="false" ht="17.15" hidden="false" customHeight="false" outlineLevel="0" collapsed="false">
      <c r="A63" s="0" t="s">
        <v>290</v>
      </c>
      <c r="B63" s="1" t="s">
        <v>291</v>
      </c>
      <c r="C63" s="1" t="s">
        <v>287</v>
      </c>
      <c r="E63" s="16" t="n">
        <f aca="false">DATE(2026,9,30)</f>
        <v>46295</v>
      </c>
      <c r="G63" s="12" t="s">
        <v>76</v>
      </c>
      <c r="H63" s="12" t="s">
        <v>292</v>
      </c>
      <c r="I63" s="12" t="s">
        <v>87</v>
      </c>
    </row>
    <row r="64" customFormat="false" ht="17.15" hidden="false" customHeight="false" outlineLevel="0" collapsed="false">
      <c r="A64" s="0" t="s">
        <v>293</v>
      </c>
      <c r="B64" s="1" t="s">
        <v>294</v>
      </c>
      <c r="C64" s="1" t="s">
        <v>287</v>
      </c>
      <c r="E64" s="16" t="n">
        <f aca="false">DATE(2027,10,29)</f>
        <v>46689</v>
      </c>
      <c r="G64" s="12" t="s">
        <v>160</v>
      </c>
      <c r="H64" s="1" t="s">
        <v>295</v>
      </c>
      <c r="I64" s="1" t="s">
        <v>296</v>
      </c>
    </row>
    <row r="65" customFormat="false" ht="15" hidden="false" customHeight="false" outlineLevel="0" collapsed="false">
      <c r="A65" s="0" t="s">
        <v>297</v>
      </c>
      <c r="B65" s="1" t="s">
        <v>298</v>
      </c>
      <c r="C65" s="1" t="s">
        <v>299</v>
      </c>
      <c r="E65" s="11" t="n">
        <v>365</v>
      </c>
      <c r="G65" s="12" t="s">
        <v>160</v>
      </c>
      <c r="H65" s="12" t="s">
        <v>87</v>
      </c>
      <c r="I65" s="12" t="s">
        <v>87</v>
      </c>
    </row>
    <row r="66" customFormat="false" ht="17.15" hidden="false" customHeight="false" outlineLevel="0" collapsed="false">
      <c r="A66" s="0" t="s">
        <v>300</v>
      </c>
      <c r="B66" s="1" t="s">
        <v>301</v>
      </c>
      <c r="C66" s="1" t="s">
        <v>279</v>
      </c>
      <c r="E66" s="0" t="n">
        <f aca="false">(roll_d1-val_d0)/days_yr</f>
        <v>0.252054794520548</v>
      </c>
      <c r="G66" s="0" t="s">
        <v>90</v>
      </c>
      <c r="H66" s="0" t="s">
        <v>302</v>
      </c>
      <c r="I66" s="0" t="s">
        <v>303</v>
      </c>
    </row>
    <row r="67" customFormat="false" ht="17.15" hidden="false" customHeight="false" outlineLevel="0" collapsed="false">
      <c r="A67" s="0" t="s">
        <v>304</v>
      </c>
      <c r="B67" s="1" t="s">
        <v>305</v>
      </c>
      <c r="C67" s="1" t="s">
        <v>279</v>
      </c>
      <c r="E67" s="0" t="n">
        <f aca="false">(roll_d2-roll_d1)/days_yr</f>
        <v>1.07945205479452</v>
      </c>
      <c r="G67" s="0" t="s">
        <v>90</v>
      </c>
      <c r="H67" s="1" t="s">
        <v>306</v>
      </c>
      <c r="I67" s="0" t="s">
        <v>307</v>
      </c>
    </row>
    <row r="68" customFormat="false" ht="17.15" hidden="false" customHeight="false" outlineLevel="0" collapsed="false">
      <c r="A68" s="0" t="s">
        <v>308</v>
      </c>
      <c r="B68" s="1" t="s">
        <v>309</v>
      </c>
      <c r="C68" s="1" t="s">
        <v>310</v>
      </c>
      <c r="E68" s="11" t="n">
        <v>1</v>
      </c>
      <c r="G68" s="12" t="s">
        <v>90</v>
      </c>
      <c r="H68" s="12" t="s">
        <v>311</v>
      </c>
      <c r="I68" s="12" t="s">
        <v>87</v>
      </c>
    </row>
    <row r="69" customFormat="false" ht="15" hidden="false" customHeight="false" outlineLevel="0" collapsed="false">
      <c r="A69" s="0" t="s">
        <v>312</v>
      </c>
      <c r="B69" s="1" t="s">
        <v>313</v>
      </c>
      <c r="C69" s="1" t="s">
        <v>310</v>
      </c>
      <c r="E69" s="11" t="n">
        <v>4</v>
      </c>
      <c r="G69" s="12" t="s">
        <v>76</v>
      </c>
      <c r="H69" s="12" t="s">
        <v>87</v>
      </c>
      <c r="I69" s="12" t="s">
        <v>87</v>
      </c>
    </row>
    <row r="70" customFormat="false" ht="17.15" hidden="false" customHeight="false" outlineLevel="0" collapsed="false">
      <c r="A70" s="0" t="s">
        <v>314</v>
      </c>
      <c r="B70" s="0" t="s">
        <v>315</v>
      </c>
      <c r="C70" s="1" t="s">
        <v>287</v>
      </c>
      <c r="E70" s="16" t="n">
        <f aca="false">DATE(2027,6,30)</f>
        <v>46568</v>
      </c>
      <c r="G70" s="12" t="s">
        <v>76</v>
      </c>
      <c r="H70" s="12" t="s">
        <v>316</v>
      </c>
      <c r="I70" s="12" t="s">
        <v>87</v>
      </c>
    </row>
    <row r="71" customFormat="false" ht="17.15" hidden="false" customHeight="false" outlineLevel="0" collapsed="false">
      <c r="A71" s="0" t="s">
        <v>317</v>
      </c>
      <c r="B71" s="0" t="s">
        <v>318</v>
      </c>
      <c r="C71" s="1" t="s">
        <v>279</v>
      </c>
      <c r="E71" s="0" t="n">
        <f aca="false">(roll_d2-stub_d0)/days_yr</f>
        <v>0.331506849315069</v>
      </c>
      <c r="G71" s="0" t="s">
        <v>90</v>
      </c>
      <c r="H71" s="0" t="s">
        <v>319</v>
      </c>
      <c r="I71" s="1" t="s">
        <v>320</v>
      </c>
    </row>
    <row r="72" customFormat="false" ht="17.15" hidden="false" customHeight="false" outlineLevel="0" collapsed="false">
      <c r="A72" s="0" t="s">
        <v>321</v>
      </c>
      <c r="B72" s="0" t="s">
        <v>322</v>
      </c>
      <c r="C72" s="1" t="s">
        <v>287</v>
      </c>
      <c r="E72" s="16" t="n">
        <f aca="false">DATE(2028,6,30)</f>
        <v>46934</v>
      </c>
      <c r="G72" s="12" t="s">
        <v>76</v>
      </c>
      <c r="H72" s="1" t="s">
        <v>323</v>
      </c>
      <c r="I72" s="12" t="s">
        <v>87</v>
      </c>
    </row>
    <row r="73" customFormat="false" ht="17.15" hidden="false" customHeight="false" outlineLevel="0" collapsed="false">
      <c r="A73" s="17" t="s">
        <v>324</v>
      </c>
      <c r="B73" s="18" t="s">
        <v>325</v>
      </c>
      <c r="C73" s="17" t="s">
        <v>229</v>
      </c>
      <c r="D73" s="17"/>
      <c r="E73" s="19" t="n">
        <f aca="false">(fy28_end-roll_d2)/days_yr</f>
        <v>0.671232876712329</v>
      </c>
      <c r="F73" s="17"/>
      <c r="G73" s="17" t="s">
        <v>90</v>
      </c>
      <c r="H73" s="18" t="s">
        <v>326</v>
      </c>
      <c r="I73" s="17" t="s">
        <v>327</v>
      </c>
    </row>
    <row r="74" customFormat="false" ht="17.15" hidden="false" customHeight="false" outlineLevel="0" collapsed="false">
      <c r="A74" s="17" t="s">
        <v>328</v>
      </c>
      <c r="B74" s="18" t="s">
        <v>329</v>
      </c>
      <c r="C74" s="17" t="s">
        <v>168</v>
      </c>
      <c r="D74" s="20" t="n">
        <v>0.3</v>
      </c>
      <c r="E74" s="20" t="n">
        <v>0.5</v>
      </c>
      <c r="F74" s="20" t="n">
        <v>0.7</v>
      </c>
      <c r="G74" s="17" t="s">
        <v>160</v>
      </c>
      <c r="H74" s="17" t="s">
        <v>330</v>
      </c>
      <c r="I74" s="17" t="s">
        <v>331</v>
      </c>
    </row>
    <row r="75" customFormat="false" ht="17.15" hidden="false" customHeight="false" outlineLevel="0" collapsed="false">
      <c r="A75" s="17" t="s">
        <v>332</v>
      </c>
      <c r="B75" s="18" t="s">
        <v>333</v>
      </c>
      <c r="C75" s="17" t="s">
        <v>168</v>
      </c>
      <c r="D75" s="17"/>
      <c r="E75" s="20" t="n">
        <v>0.25</v>
      </c>
      <c r="F75" s="17"/>
      <c r="G75" s="17" t="s">
        <v>160</v>
      </c>
      <c r="H75" s="17" t="s">
        <v>334</v>
      </c>
      <c r="I75" s="17" t="s">
        <v>331</v>
      </c>
    </row>
    <row r="76" customFormat="false" ht="17.15" hidden="false" customHeight="false" outlineLevel="0" collapsed="false">
      <c r="A76" s="17" t="s">
        <v>335</v>
      </c>
      <c r="B76" s="18" t="s">
        <v>336</v>
      </c>
      <c r="C76" s="17" t="s">
        <v>168</v>
      </c>
      <c r="D76" s="17"/>
      <c r="E76" s="20" t="n">
        <v>0.5</v>
      </c>
      <c r="F76" s="17"/>
      <c r="G76" s="17" t="s">
        <v>160</v>
      </c>
      <c r="H76" s="17" t="s">
        <v>334</v>
      </c>
      <c r="I76" s="17" t="s">
        <v>331</v>
      </c>
    </row>
    <row r="77" customFormat="false" ht="17.15" hidden="false" customHeight="false" outlineLevel="0" collapsed="false">
      <c r="A77" s="17" t="s">
        <v>337</v>
      </c>
      <c r="B77" s="18" t="s">
        <v>338</v>
      </c>
      <c r="C77" s="17" t="s">
        <v>168</v>
      </c>
      <c r="D77" s="17"/>
      <c r="E77" s="20" t="n">
        <v>0.25</v>
      </c>
      <c r="F77" s="17"/>
      <c r="G77" s="17" t="s">
        <v>160</v>
      </c>
      <c r="H77" s="17" t="s">
        <v>334</v>
      </c>
      <c r="I77" s="17" t="s">
        <v>331</v>
      </c>
    </row>
    <row r="78" customFormat="false" ht="17.15" hidden="false" customHeight="false" outlineLevel="0" collapsed="false">
      <c r="A78" s="0" t="s">
        <v>339</v>
      </c>
      <c r="B78" s="0" t="s">
        <v>340</v>
      </c>
      <c r="C78" s="0" t="s">
        <v>168</v>
      </c>
      <c r="E78" s="13" t="n">
        <v>0.24</v>
      </c>
      <c r="F78" s="13" t="n">
        <v>0.27</v>
      </c>
      <c r="G78" s="12" t="s">
        <v>107</v>
      </c>
      <c r="H78" s="1" t="s">
        <v>341</v>
      </c>
      <c r="I78" s="12" t="s">
        <v>342</v>
      </c>
    </row>
    <row r="79" customFormat="false" ht="17.15" hidden="false" customHeight="false" outlineLevel="0" collapsed="false">
      <c r="A79" s="0" t="s">
        <v>343</v>
      </c>
      <c r="B79" s="1" t="s">
        <v>344</v>
      </c>
      <c r="C79" s="0" t="s">
        <v>168</v>
      </c>
      <c r="E79" s="13" t="n">
        <v>0.25</v>
      </c>
      <c r="G79" s="12" t="s">
        <v>76</v>
      </c>
      <c r="H79" s="1" t="s">
        <v>345</v>
      </c>
      <c r="I79" s="12" t="s">
        <v>346</v>
      </c>
    </row>
    <row r="80" customFormat="false" ht="17.15" hidden="false" customHeight="false" outlineLevel="0" collapsed="false">
      <c r="A80" s="0" t="s">
        <v>347</v>
      </c>
      <c r="B80" s="0" t="s">
        <v>348</v>
      </c>
      <c r="C80" s="0" t="s">
        <v>98</v>
      </c>
      <c r="E80" s="11" t="n">
        <v>852</v>
      </c>
      <c r="G80" s="12" t="s">
        <v>107</v>
      </c>
      <c r="H80" s="1" t="s">
        <v>349</v>
      </c>
      <c r="I80" s="1" t="s">
        <v>350</v>
      </c>
    </row>
    <row r="81" customFormat="false" ht="17.15" hidden="false" customHeight="false" outlineLevel="0" collapsed="false">
      <c r="A81" s="0" t="s">
        <v>351</v>
      </c>
      <c r="B81" s="1" t="s">
        <v>352</v>
      </c>
      <c r="C81" s="0" t="s">
        <v>168</v>
      </c>
      <c r="D81" s="13" t="n">
        <v>0</v>
      </c>
      <c r="E81" s="13" t="n">
        <v>0.2</v>
      </c>
      <c r="F81" s="13" t="n">
        <v>0.4</v>
      </c>
      <c r="G81" s="12" t="s">
        <v>160</v>
      </c>
      <c r="H81" s="1" t="s">
        <v>353</v>
      </c>
      <c r="I81" s="1" t="s">
        <v>245</v>
      </c>
    </row>
    <row r="82" customFormat="false" ht="17.15" hidden="false" customHeight="false" outlineLevel="0" collapsed="false">
      <c r="A82" s="0" t="s">
        <v>354</v>
      </c>
      <c r="B82" s="0" t="s">
        <v>355</v>
      </c>
      <c r="C82" s="0" t="s">
        <v>98</v>
      </c>
      <c r="E82" s="0" t="n">
        <f aca="false">oai_stake*oai_val*(1-liq_disc)</f>
        <v>163.584</v>
      </c>
      <c r="G82" s="0" t="s">
        <v>90</v>
      </c>
      <c r="H82" s="1" t="s">
        <v>356</v>
      </c>
      <c r="I82" s="0" t="s">
        <v>357</v>
      </c>
    </row>
    <row r="83" customFormat="false" ht="17.15" hidden="false" customHeight="false" outlineLevel="0" collapsed="false">
      <c r="A83" s="0" t="s">
        <v>358</v>
      </c>
      <c r="B83" s="0" t="s">
        <v>359</v>
      </c>
      <c r="C83" s="0" t="s">
        <v>229</v>
      </c>
      <c r="D83" s="14" t="n">
        <v>4</v>
      </c>
      <c r="E83" s="14" t="n">
        <v>6</v>
      </c>
      <c r="F83" s="14" t="n">
        <v>10</v>
      </c>
      <c r="G83" s="12" t="s">
        <v>160</v>
      </c>
      <c r="H83" s="1" t="s">
        <v>360</v>
      </c>
      <c r="I83" s="12" t="s">
        <v>361</v>
      </c>
    </row>
    <row r="84" customFormat="false" ht="17.15" hidden="false" customHeight="false" outlineLevel="0" collapsed="false">
      <c r="A84" s="0" t="s">
        <v>362</v>
      </c>
      <c r="B84" s="1" t="s">
        <v>363</v>
      </c>
      <c r="C84" s="0" t="s">
        <v>229</v>
      </c>
      <c r="E84" s="14" t="n">
        <v>13.82</v>
      </c>
      <c r="G84" s="12" t="s">
        <v>90</v>
      </c>
      <c r="H84" s="12" t="s">
        <v>364</v>
      </c>
      <c r="I84" s="12" t="s">
        <v>365</v>
      </c>
    </row>
    <row r="85" customFormat="false" ht="17.15" hidden="false" customHeight="false" outlineLevel="0" collapsed="false">
      <c r="A85" s="0" t="s">
        <v>366</v>
      </c>
      <c r="B85" s="1" t="s">
        <v>367</v>
      </c>
      <c r="C85" s="0" t="s">
        <v>229</v>
      </c>
      <c r="E85" s="14" t="n">
        <v>10.8</v>
      </c>
      <c r="G85" s="12" t="s">
        <v>90</v>
      </c>
      <c r="H85" s="1" t="s">
        <v>368</v>
      </c>
      <c r="I85" s="12" t="s">
        <v>369</v>
      </c>
    </row>
    <row r="86" customFormat="false" ht="17.15" hidden="false" customHeight="false" outlineLevel="0" collapsed="false">
      <c r="A86" s="0" t="s">
        <v>370</v>
      </c>
      <c r="B86" s="1" t="s">
        <v>371</v>
      </c>
      <c r="C86" s="0" t="s">
        <v>229</v>
      </c>
      <c r="E86" s="14" t="n">
        <v>9.11</v>
      </c>
      <c r="G86" s="12" t="s">
        <v>90</v>
      </c>
      <c r="H86" s="12" t="s">
        <v>372</v>
      </c>
      <c r="I86" s="12" t="s">
        <v>369</v>
      </c>
    </row>
    <row r="87" customFormat="false" ht="17.15" hidden="false" customHeight="false" outlineLevel="0" collapsed="false">
      <c r="A87" s="0" t="s">
        <v>373</v>
      </c>
      <c r="B87" s="1" t="s">
        <v>374</v>
      </c>
      <c r="C87" s="0" t="s">
        <v>229</v>
      </c>
      <c r="E87" s="14" t="n">
        <v>12.63</v>
      </c>
      <c r="G87" s="12" t="s">
        <v>90</v>
      </c>
      <c r="H87" s="1" t="s">
        <v>375</v>
      </c>
      <c r="I87" s="12" t="s">
        <v>376</v>
      </c>
    </row>
    <row r="88" customFormat="false" ht="17.15" hidden="false" customHeight="false" outlineLevel="0" collapsed="false">
      <c r="A88" s="0" t="s">
        <v>377</v>
      </c>
      <c r="B88" s="0" t="s">
        <v>378</v>
      </c>
      <c r="C88" s="0" t="s">
        <v>229</v>
      </c>
      <c r="E88" s="14" t="n">
        <v>14.47</v>
      </c>
      <c r="G88" s="12" t="s">
        <v>90</v>
      </c>
      <c r="H88" s="1" t="s">
        <v>379</v>
      </c>
      <c r="I88" s="12" t="s">
        <v>376</v>
      </c>
    </row>
    <row r="89" customFormat="false" ht="17.15" hidden="false" customHeight="false" outlineLevel="0" collapsed="false">
      <c r="A89" s="0" t="s">
        <v>380</v>
      </c>
      <c r="B89" s="0" t="s">
        <v>381</v>
      </c>
      <c r="C89" s="0" t="s">
        <v>229</v>
      </c>
      <c r="E89" s="14" t="n">
        <v>15.67</v>
      </c>
      <c r="G89" s="12" t="s">
        <v>90</v>
      </c>
      <c r="H89" s="1" t="s">
        <v>382</v>
      </c>
      <c r="I89" s="1" t="s">
        <v>383</v>
      </c>
    </row>
    <row r="90" customFormat="false" ht="17.15" hidden="false" customHeight="false" outlineLevel="0" collapsed="false">
      <c r="A90" s="0" t="s">
        <v>384</v>
      </c>
      <c r="B90" s="1" t="s">
        <v>385</v>
      </c>
      <c r="C90" s="0" t="s">
        <v>168</v>
      </c>
      <c r="D90" s="13" t="n">
        <v>0.5</v>
      </c>
      <c r="E90" s="13" t="n">
        <v>0.6</v>
      </c>
      <c r="F90" s="13" t="n">
        <v>0.7</v>
      </c>
      <c r="G90" s="12" t="s">
        <v>160</v>
      </c>
      <c r="H90" s="1" t="s">
        <v>386</v>
      </c>
      <c r="I90" s="1" t="s">
        <v>387</v>
      </c>
    </row>
    <row r="91" customFormat="false" ht="17.15" hidden="false" customHeight="false" outlineLevel="0" collapsed="false">
      <c r="A91" s="0" t="s">
        <v>388</v>
      </c>
      <c r="B91" s="1" t="s">
        <v>389</v>
      </c>
      <c r="C91" s="0" t="s">
        <v>168</v>
      </c>
      <c r="D91" s="13" t="n">
        <v>0.65</v>
      </c>
      <c r="E91" s="13" t="n">
        <v>0.75</v>
      </c>
      <c r="F91" s="13" t="n">
        <v>0.85</v>
      </c>
      <c r="G91" s="12" t="s">
        <v>160</v>
      </c>
      <c r="H91" s="1" t="s">
        <v>386</v>
      </c>
      <c r="I91" s="1" t="s">
        <v>390</v>
      </c>
    </row>
    <row r="92" customFormat="false" ht="17.15" hidden="false" customHeight="false" outlineLevel="0" collapsed="false">
      <c r="A92" s="0" t="s">
        <v>391</v>
      </c>
      <c r="B92" s="1" t="s">
        <v>392</v>
      </c>
      <c r="C92" s="0" t="s">
        <v>168</v>
      </c>
      <c r="D92" s="13" t="n">
        <v>0.2</v>
      </c>
      <c r="E92" s="13" t="n">
        <v>0.3</v>
      </c>
      <c r="F92" s="13" t="n">
        <v>0.4</v>
      </c>
      <c r="G92" s="12" t="s">
        <v>160</v>
      </c>
      <c r="H92" s="1" t="s">
        <v>386</v>
      </c>
      <c r="I92" s="1" t="s">
        <v>393</v>
      </c>
    </row>
    <row r="93" customFormat="false" ht="17.15" hidden="false" customHeight="false" outlineLevel="0" collapsed="false">
      <c r="A93" s="0" t="s">
        <v>394</v>
      </c>
      <c r="B93" s="1" t="s">
        <v>395</v>
      </c>
      <c r="C93" s="0" t="s">
        <v>168</v>
      </c>
      <c r="D93" s="13" t="n">
        <v>0.2</v>
      </c>
      <c r="E93" s="13" t="n">
        <v>0.3</v>
      </c>
      <c r="F93" s="13" t="n">
        <v>0.4</v>
      </c>
      <c r="G93" s="12" t="s">
        <v>160</v>
      </c>
      <c r="H93" s="1" t="s">
        <v>386</v>
      </c>
      <c r="I93" s="1" t="s">
        <v>396</v>
      </c>
    </row>
    <row r="94" customFormat="false" ht="17.15" hidden="false" customHeight="false" outlineLevel="0" collapsed="false">
      <c r="A94" s="0" t="s">
        <v>397</v>
      </c>
      <c r="B94" s="1" t="s">
        <v>398</v>
      </c>
      <c r="C94" s="0" t="s">
        <v>168</v>
      </c>
      <c r="D94" s="13" t="n">
        <v>0.2</v>
      </c>
      <c r="E94" s="13" t="n">
        <v>0.3</v>
      </c>
      <c r="F94" s="13" t="n">
        <v>0.4</v>
      </c>
      <c r="G94" s="12" t="s">
        <v>160</v>
      </c>
      <c r="H94" s="1" t="s">
        <v>386</v>
      </c>
      <c r="I94" s="1" t="s">
        <v>399</v>
      </c>
    </row>
    <row r="95" customFormat="false" ht="17.15" hidden="false" customHeight="false" outlineLevel="0" collapsed="false">
      <c r="A95" s="10" t="s">
        <v>400</v>
      </c>
    </row>
    <row r="96" customFormat="false" ht="17.15" hidden="false" customHeight="false" outlineLevel="0" collapsed="false">
      <c r="A96" s="0" t="s">
        <v>401</v>
      </c>
      <c r="B96" s="0" t="s">
        <v>402</v>
      </c>
      <c r="C96" s="0" t="s">
        <v>403</v>
      </c>
      <c r="D96" s="11" t="n">
        <v>6.79107465326444</v>
      </c>
      <c r="E96" s="11" t="n">
        <v>9.70308728611469</v>
      </c>
      <c r="F96" s="11" t="n">
        <v>16.6637697337026</v>
      </c>
      <c r="G96" s="12" t="s">
        <v>90</v>
      </c>
      <c r="H96" s="12" t="s">
        <v>404</v>
      </c>
      <c r="I96" s="1" t="s">
        <v>405</v>
      </c>
    </row>
    <row r="97" customFormat="false" ht="17.15" hidden="false" customHeight="false" outlineLevel="0" collapsed="false">
      <c r="A97" s="0" t="s">
        <v>406</v>
      </c>
      <c r="B97" s="0" t="s">
        <v>407</v>
      </c>
      <c r="C97" s="0" t="s">
        <v>403</v>
      </c>
      <c r="D97" s="11" t="n">
        <v>6.6118162762144</v>
      </c>
      <c r="E97" s="11" t="n">
        <v>8.82816556596761</v>
      </c>
      <c r="F97" s="11" t="n">
        <v>14.3185748619737</v>
      </c>
      <c r="G97" s="12" t="s">
        <v>90</v>
      </c>
      <c r="H97" s="12" t="s">
        <v>404</v>
      </c>
      <c r="I97" s="1" t="s">
        <v>408</v>
      </c>
    </row>
    <row r="98" customFormat="false" ht="17.15" hidden="false" customHeight="false" outlineLevel="0" collapsed="false">
      <c r="A98" s="0" t="s">
        <v>409</v>
      </c>
      <c r="B98" s="0" t="s">
        <v>410</v>
      </c>
      <c r="C98" s="0" t="s">
        <v>403</v>
      </c>
      <c r="D98" s="11" t="n">
        <v>8.42889912085495</v>
      </c>
      <c r="E98" s="11" t="n">
        <v>10.8864110021101</v>
      </c>
      <c r="F98" s="11" t="n">
        <v>18.5346455040469</v>
      </c>
      <c r="G98" s="12" t="s">
        <v>90</v>
      </c>
      <c r="H98" s="12" t="s">
        <v>404</v>
      </c>
      <c r="I98" s="1" t="s">
        <v>411</v>
      </c>
    </row>
    <row r="99" customFormat="false" ht="17.15" hidden="false" customHeight="false" outlineLevel="0" collapsed="false">
      <c r="A99" s="0" t="s">
        <v>412</v>
      </c>
      <c r="B99" s="0" t="s">
        <v>413</v>
      </c>
      <c r="C99" s="0" t="s">
        <v>403</v>
      </c>
      <c r="D99" s="11" t="n">
        <v>9.21907146281596</v>
      </c>
      <c r="E99" s="11" t="n">
        <v>12.2254710045841</v>
      </c>
      <c r="F99" s="11" t="n">
        <v>19.7506269894487</v>
      </c>
      <c r="G99" s="12" t="s">
        <v>90</v>
      </c>
      <c r="H99" s="12" t="s">
        <v>404</v>
      </c>
      <c r="I99" s="1" t="s">
        <v>414</v>
      </c>
    </row>
    <row r="100" customFormat="false" ht="17.15" hidden="false" customHeight="false" outlineLevel="0" collapsed="false">
      <c r="A100" s="0" t="s">
        <v>415</v>
      </c>
      <c r="B100" s="0" t="s">
        <v>416</v>
      </c>
      <c r="C100" s="0" t="s">
        <v>417</v>
      </c>
      <c r="E100" s="11" t="n">
        <v>27.510214</v>
      </c>
      <c r="G100" s="12" t="s">
        <v>90</v>
      </c>
      <c r="H100" s="12" t="s">
        <v>404</v>
      </c>
      <c r="I100" s="12" t="s">
        <v>87</v>
      </c>
    </row>
    <row r="101" customFormat="false" ht="17.15" hidden="false" customHeight="false" outlineLevel="0" collapsed="false">
      <c r="A101" s="0" t="s">
        <v>418</v>
      </c>
      <c r="B101" s="0" t="s">
        <v>419</v>
      </c>
      <c r="C101" s="0" t="s">
        <v>417</v>
      </c>
      <c r="E101" s="11" t="n">
        <v>24.015174</v>
      </c>
      <c r="G101" s="12" t="s">
        <v>90</v>
      </c>
      <c r="H101" s="12" t="s">
        <v>404</v>
      </c>
      <c r="I101" s="12" t="s">
        <v>87</v>
      </c>
    </row>
    <row r="102" customFormat="false" ht="17.15" hidden="false" customHeight="false" outlineLevel="0" collapsed="false">
      <c r="A102" s="0" t="s">
        <v>420</v>
      </c>
      <c r="B102" s="0" t="s">
        <v>421</v>
      </c>
      <c r="C102" s="0" t="s">
        <v>417</v>
      </c>
      <c r="E102" s="11" t="n">
        <v>32.237224</v>
      </c>
      <c r="G102" s="12" t="s">
        <v>90</v>
      </c>
      <c r="H102" s="12" t="s">
        <v>404</v>
      </c>
      <c r="I102" s="12" t="s">
        <v>87</v>
      </c>
    </row>
    <row r="103" customFormat="false" ht="17.15" hidden="false" customHeight="false" outlineLevel="0" collapsed="false">
      <c r="A103" s="0" t="s">
        <v>422</v>
      </c>
      <c r="B103" s="0" t="s">
        <v>423</v>
      </c>
      <c r="C103" s="0" t="s">
        <v>417</v>
      </c>
      <c r="E103" s="11" t="n">
        <v>37.586352</v>
      </c>
      <c r="G103" s="12" t="s">
        <v>90</v>
      </c>
      <c r="H103" s="12" t="s">
        <v>404</v>
      </c>
      <c r="I103" s="12" t="s">
        <v>87</v>
      </c>
    </row>
    <row r="104" customFormat="false" ht="17.15" hidden="false" customHeight="false" outlineLevel="0" collapsed="false">
      <c r="A104" s="0" t="s">
        <v>424</v>
      </c>
      <c r="B104" s="0" t="s">
        <v>425</v>
      </c>
      <c r="C104" s="0" t="s">
        <v>403</v>
      </c>
      <c r="E104" s="11" t="n">
        <v>1.88466748019734</v>
      </c>
      <c r="G104" s="12" t="s">
        <v>90</v>
      </c>
      <c r="H104" s="12" t="s">
        <v>404</v>
      </c>
      <c r="I104" s="1" t="s">
        <v>426</v>
      </c>
    </row>
    <row r="105" customFormat="false" ht="17.15" hidden="false" customHeight="false" outlineLevel="0" collapsed="false">
      <c r="A105" s="0" t="s">
        <v>427</v>
      </c>
      <c r="B105" s="0" t="s">
        <v>428</v>
      </c>
      <c r="C105" s="0" t="s">
        <v>403</v>
      </c>
      <c r="E105" s="11" t="n">
        <v>1.812232738713</v>
      </c>
      <c r="G105" s="12" t="s">
        <v>90</v>
      </c>
      <c r="H105" s="12" t="s">
        <v>404</v>
      </c>
      <c r="I105" s="1" t="s">
        <v>426</v>
      </c>
    </row>
    <row r="106" customFormat="false" ht="17.15" hidden="false" customHeight="false" outlineLevel="0" collapsed="false">
      <c r="A106" s="0" t="s">
        <v>429</v>
      </c>
      <c r="B106" s="0" t="s">
        <v>430</v>
      </c>
      <c r="C106" s="0" t="s">
        <v>403</v>
      </c>
      <c r="E106" s="11" t="n">
        <v>1.98263481314457</v>
      </c>
      <c r="G106" s="12" t="s">
        <v>90</v>
      </c>
      <c r="H106" s="12" t="s">
        <v>404</v>
      </c>
      <c r="I106" s="1" t="s">
        <v>426</v>
      </c>
    </row>
    <row r="107" customFormat="false" ht="17.15" hidden="false" customHeight="false" outlineLevel="0" collapsed="false">
      <c r="A107" s="0" t="s">
        <v>431</v>
      </c>
      <c r="B107" s="0" t="s">
        <v>432</v>
      </c>
      <c r="C107" s="0" t="s">
        <v>403</v>
      </c>
      <c r="E107" s="11" t="n">
        <v>2.09349554831403</v>
      </c>
      <c r="G107" s="12" t="s">
        <v>90</v>
      </c>
      <c r="H107" s="12" t="s">
        <v>404</v>
      </c>
      <c r="I107" s="1" t="s">
        <v>426</v>
      </c>
    </row>
    <row r="108" customFormat="false" ht="17.15" hidden="false" customHeight="false" outlineLevel="0" collapsed="false">
      <c r="A108" s="0" t="s">
        <v>433</v>
      </c>
      <c r="B108" s="0" t="s">
        <v>434</v>
      </c>
      <c r="C108" s="0" t="s">
        <v>417</v>
      </c>
      <c r="E108" s="11" t="n">
        <v>12.67</v>
      </c>
      <c r="G108" s="12" t="s">
        <v>90</v>
      </c>
      <c r="H108" s="12" t="s">
        <v>404</v>
      </c>
      <c r="I108" s="1" t="s">
        <v>435</v>
      </c>
    </row>
    <row r="109" customFormat="false" ht="17.15" hidden="false" customHeight="false" outlineLevel="0" collapsed="false">
      <c r="A109" s="0" t="s">
        <v>436</v>
      </c>
      <c r="B109" s="0" t="s">
        <v>437</v>
      </c>
      <c r="C109" s="0" t="s">
        <v>438</v>
      </c>
      <c r="E109" s="11" t="n">
        <v>1.54259654785589</v>
      </c>
      <c r="G109" s="12" t="s">
        <v>90</v>
      </c>
      <c r="H109" s="12" t="s">
        <v>404</v>
      </c>
      <c r="I109" s="12" t="s">
        <v>439</v>
      </c>
    </row>
    <row r="110" customFormat="false" ht="17.15" hidden="false" customHeight="false" outlineLevel="0" collapsed="false">
      <c r="A110" s="0" t="s">
        <v>440</v>
      </c>
      <c r="B110" s="0" t="s">
        <v>441</v>
      </c>
      <c r="C110" s="1" t="s">
        <v>279</v>
      </c>
      <c r="D110" s="11" t="n">
        <v>5</v>
      </c>
      <c r="E110" s="11" t="n">
        <v>6</v>
      </c>
      <c r="F110" s="11" t="n">
        <v>7</v>
      </c>
      <c r="G110" s="12" t="s">
        <v>90</v>
      </c>
      <c r="H110" s="12" t="s">
        <v>442</v>
      </c>
      <c r="I110" s="12" t="s">
        <v>443</v>
      </c>
    </row>
    <row r="111" customFormat="false" ht="17.15" hidden="false" customHeight="false" outlineLevel="0" collapsed="false">
      <c r="A111" s="0" t="s">
        <v>444</v>
      </c>
      <c r="B111" s="1" t="s">
        <v>445</v>
      </c>
      <c r="C111" s="1" t="s">
        <v>279</v>
      </c>
      <c r="E111" s="11" t="n">
        <v>20</v>
      </c>
      <c r="G111" s="12" t="s">
        <v>90</v>
      </c>
      <c r="H111" s="12" t="s">
        <v>446</v>
      </c>
      <c r="I111" s="1" t="s">
        <v>447</v>
      </c>
    </row>
    <row r="112" customFormat="false" ht="17.15" hidden="false" customHeight="false" outlineLevel="0" collapsed="false">
      <c r="A112" s="0" t="s">
        <v>448</v>
      </c>
      <c r="B112" s="1" t="s">
        <v>449</v>
      </c>
      <c r="C112" s="0" t="s">
        <v>168</v>
      </c>
      <c r="E112" s="13" t="n">
        <v>0.1</v>
      </c>
      <c r="G112" s="12" t="s">
        <v>90</v>
      </c>
      <c r="H112" s="1" t="s">
        <v>450</v>
      </c>
      <c r="I112" s="1" t="s">
        <v>451</v>
      </c>
    </row>
    <row r="113" customFormat="false" ht="17.15" hidden="false" customHeight="false" outlineLevel="0" collapsed="false">
      <c r="A113" s="0" t="s">
        <v>452</v>
      </c>
      <c r="B113" s="1" t="s">
        <v>453</v>
      </c>
      <c r="C113" s="0" t="s">
        <v>403</v>
      </c>
      <c r="E113" s="0" t="n">
        <f aca="false">tk_cxfac*fac_wacc/(1-(1+fac_wacc)^(-life_fac))</f>
        <v>1.48821344586815</v>
      </c>
      <c r="G113" s="0" t="s">
        <v>90</v>
      </c>
      <c r="H113" s="0" t="s">
        <v>454</v>
      </c>
      <c r="I113" s="0" t="s">
        <v>455</v>
      </c>
    </row>
    <row r="114" customFormat="false" ht="17.15" hidden="false" customHeight="false" outlineLevel="0" collapsed="false">
      <c r="A114" s="10" t="s">
        <v>456</v>
      </c>
    </row>
    <row r="115" customFormat="false" ht="17.15" hidden="false" customHeight="false" outlineLevel="0" collapsed="false">
      <c r="A115" s="0" t="s">
        <v>457</v>
      </c>
      <c r="B115" s="1" t="s">
        <v>458</v>
      </c>
      <c r="C115" s="0" t="s">
        <v>459</v>
      </c>
      <c r="E115" s="11" t="n">
        <v>640</v>
      </c>
      <c r="G115" s="12" t="s">
        <v>90</v>
      </c>
      <c r="H115" s="1" t="s">
        <v>460</v>
      </c>
      <c r="I115" s="1" t="s">
        <v>461</v>
      </c>
    </row>
    <row r="116" customFormat="false" ht="17.15" hidden="false" customHeight="false" outlineLevel="0" collapsed="false">
      <c r="A116" s="0" t="s">
        <v>462</v>
      </c>
      <c r="B116" s="1" t="s">
        <v>463</v>
      </c>
      <c r="C116" s="0" t="s">
        <v>459</v>
      </c>
      <c r="E116" s="11" t="n">
        <v>1630</v>
      </c>
      <c r="G116" s="12" t="s">
        <v>90</v>
      </c>
      <c r="H116" s="1" t="s">
        <v>460</v>
      </c>
      <c r="I116" s="1" t="s">
        <v>461</v>
      </c>
    </row>
    <row r="117" customFormat="false" ht="17.15" hidden="false" customHeight="false" outlineLevel="0" collapsed="false">
      <c r="A117" s="0" t="s">
        <v>464</v>
      </c>
      <c r="B117" s="1" t="s">
        <v>465</v>
      </c>
      <c r="C117" s="0" t="s">
        <v>459</v>
      </c>
      <c r="D117" s="11" t="n">
        <v>2150</v>
      </c>
      <c r="E117" s="11" t="n">
        <v>3250</v>
      </c>
      <c r="F117" s="11" t="n">
        <v>4875</v>
      </c>
      <c r="G117" s="12" t="s">
        <v>90</v>
      </c>
      <c r="H117" s="1" t="s">
        <v>466</v>
      </c>
      <c r="I117" s="1" t="s">
        <v>461</v>
      </c>
    </row>
    <row r="118" customFormat="false" ht="17.15" hidden="false" customHeight="false" outlineLevel="0" collapsed="false">
      <c r="A118" s="0" t="s">
        <v>467</v>
      </c>
      <c r="B118" s="1" t="s">
        <v>468</v>
      </c>
      <c r="C118" s="0" t="s">
        <v>459</v>
      </c>
      <c r="E118" s="11" t="n">
        <v>150</v>
      </c>
      <c r="G118" s="12" t="s">
        <v>160</v>
      </c>
      <c r="H118" s="1" t="s">
        <v>469</v>
      </c>
      <c r="I118" s="1" t="s">
        <v>470</v>
      </c>
    </row>
    <row r="119" customFormat="false" ht="17.15" hidden="false" customHeight="false" outlineLevel="0" collapsed="false">
      <c r="A119" s="0" t="s">
        <v>471</v>
      </c>
      <c r="B119" s="1" t="s">
        <v>472</v>
      </c>
      <c r="C119" s="0" t="s">
        <v>459</v>
      </c>
      <c r="E119" s="11" t="n">
        <v>400</v>
      </c>
      <c r="G119" s="12" t="s">
        <v>160</v>
      </c>
      <c r="H119" s="1" t="s">
        <v>469</v>
      </c>
      <c r="I119" s="1" t="s">
        <v>470</v>
      </c>
    </row>
    <row r="120" customFormat="false" ht="17.15" hidden="false" customHeight="false" outlineLevel="0" collapsed="false">
      <c r="A120" s="0" t="s">
        <v>473</v>
      </c>
      <c r="B120" s="1" t="s">
        <v>474</v>
      </c>
      <c r="C120" s="0" t="s">
        <v>459</v>
      </c>
      <c r="E120" s="11" t="n">
        <v>550</v>
      </c>
      <c r="G120" s="12" t="s">
        <v>90</v>
      </c>
      <c r="H120" s="1" t="s">
        <v>475</v>
      </c>
      <c r="I120" s="1" t="s">
        <v>470</v>
      </c>
    </row>
    <row r="121" customFormat="false" ht="17.15" hidden="false" customHeight="false" outlineLevel="0" collapsed="false">
      <c r="A121" s="0" t="s">
        <v>476</v>
      </c>
      <c r="B121" s="1" t="s">
        <v>477</v>
      </c>
      <c r="C121" s="0" t="s">
        <v>459</v>
      </c>
      <c r="E121" s="11" t="n">
        <v>756</v>
      </c>
      <c r="G121" s="12" t="s">
        <v>90</v>
      </c>
      <c r="H121" s="1" t="s">
        <v>478</v>
      </c>
      <c r="I121" s="12" t="s">
        <v>87</v>
      </c>
    </row>
    <row r="122" customFormat="false" ht="17.15" hidden="false" customHeight="false" outlineLevel="0" collapsed="false">
      <c r="A122" s="0" t="s">
        <v>479</v>
      </c>
      <c r="B122" s="1" t="s">
        <v>480</v>
      </c>
      <c r="C122" s="0" t="s">
        <v>481</v>
      </c>
      <c r="E122" s="11" t="n">
        <v>2726.5351</v>
      </c>
      <c r="G122" s="12" t="s">
        <v>90</v>
      </c>
      <c r="H122" s="12" t="s">
        <v>482</v>
      </c>
      <c r="I122" s="12" t="s">
        <v>483</v>
      </c>
    </row>
    <row r="123" customFormat="false" ht="17.15" hidden="false" customHeight="false" outlineLevel="0" collapsed="false">
      <c r="A123" s="0" t="s">
        <v>484</v>
      </c>
      <c r="B123" s="1" t="s">
        <v>485</v>
      </c>
      <c r="C123" s="0" t="s">
        <v>481</v>
      </c>
      <c r="E123" s="11" t="n">
        <v>2527.2</v>
      </c>
      <c r="G123" s="12" t="s">
        <v>90</v>
      </c>
      <c r="H123" s="1" t="s">
        <v>486</v>
      </c>
      <c r="I123" s="1" t="s">
        <v>487</v>
      </c>
    </row>
    <row r="124" customFormat="false" ht="17.15" hidden="false" customHeight="false" outlineLevel="0" collapsed="false">
      <c r="A124" s="0" t="s">
        <v>488</v>
      </c>
      <c r="B124" s="1" t="s">
        <v>489</v>
      </c>
      <c r="C124" s="0" t="s">
        <v>481</v>
      </c>
      <c r="E124" s="11" t="n">
        <v>2645.0669</v>
      </c>
      <c r="G124" s="12" t="s">
        <v>90</v>
      </c>
      <c r="H124" s="1" t="s">
        <v>490</v>
      </c>
      <c r="I124" s="12" t="s">
        <v>491</v>
      </c>
    </row>
    <row r="125" customFormat="false" ht="17.15" hidden="false" customHeight="false" outlineLevel="0" collapsed="false">
      <c r="A125" s="0" t="s">
        <v>492</v>
      </c>
      <c r="B125" s="0" t="s">
        <v>493</v>
      </c>
      <c r="C125" s="1" t="s">
        <v>279</v>
      </c>
      <c r="E125" s="11" t="n">
        <v>2029</v>
      </c>
      <c r="G125" s="12" t="s">
        <v>160</v>
      </c>
      <c r="H125" s="1" t="s">
        <v>494</v>
      </c>
      <c r="I125" s="12" t="s">
        <v>87</v>
      </c>
    </row>
    <row r="126" customFormat="false" ht="17.15" hidden="false" customHeight="false" outlineLevel="0" collapsed="false">
      <c r="A126" s="0" t="s">
        <v>495</v>
      </c>
      <c r="B126" s="0" t="s">
        <v>496</v>
      </c>
      <c r="C126" s="1" t="s">
        <v>279</v>
      </c>
      <c r="E126" s="11" t="n">
        <v>2032</v>
      </c>
      <c r="G126" s="12" t="s">
        <v>160</v>
      </c>
      <c r="H126" s="1" t="s">
        <v>497</v>
      </c>
      <c r="I126" s="1" t="s">
        <v>498</v>
      </c>
    </row>
    <row r="127" customFormat="false" ht="17.15" hidden="false" customHeight="false" outlineLevel="0" collapsed="false">
      <c r="A127" s="0" t="s">
        <v>499</v>
      </c>
      <c r="B127" s="1" t="s">
        <v>500</v>
      </c>
      <c r="C127" s="1" t="s">
        <v>279</v>
      </c>
      <c r="E127" s="11" t="n">
        <v>3</v>
      </c>
      <c r="G127" s="12" t="s">
        <v>160</v>
      </c>
      <c r="H127" s="1" t="s">
        <v>501</v>
      </c>
      <c r="I127" s="12" t="s">
        <v>87</v>
      </c>
    </row>
    <row r="128" customFormat="false" ht="17.15" hidden="false" customHeight="false" outlineLevel="0" collapsed="false">
      <c r="A128" s="0" t="s">
        <v>502</v>
      </c>
      <c r="B128" s="1" t="s">
        <v>503</v>
      </c>
      <c r="C128" s="0" t="s">
        <v>481</v>
      </c>
      <c r="E128" s="11" t="n">
        <v>650</v>
      </c>
      <c r="G128" s="12" t="s">
        <v>90</v>
      </c>
      <c r="H128" s="1" t="s">
        <v>504</v>
      </c>
      <c r="I128" s="1" t="s">
        <v>505</v>
      </c>
    </row>
    <row r="129" customFormat="false" ht="17.15" hidden="false" customHeight="false" outlineLevel="0" collapsed="false">
      <c r="A129" s="0" t="s">
        <v>506</v>
      </c>
      <c r="B129" s="1" t="s">
        <v>507</v>
      </c>
      <c r="C129" s="0" t="s">
        <v>459</v>
      </c>
      <c r="E129" s="11" t="n">
        <v>4386</v>
      </c>
      <c r="G129" s="12" t="s">
        <v>90</v>
      </c>
      <c r="H129" s="1" t="s">
        <v>245</v>
      </c>
      <c r="I129" s="12" t="s">
        <v>87</v>
      </c>
    </row>
    <row r="130" customFormat="false" ht="17.15" hidden="false" customHeight="false" outlineLevel="0" collapsed="false">
      <c r="A130" s="0" t="s">
        <v>508</v>
      </c>
      <c r="B130" s="1" t="s">
        <v>509</v>
      </c>
      <c r="C130" s="0" t="s">
        <v>168</v>
      </c>
      <c r="D130" s="13" t="n">
        <v>0.5</v>
      </c>
      <c r="E130" s="13" t="n">
        <v>0.6</v>
      </c>
      <c r="F130" s="13" t="n">
        <v>0.75</v>
      </c>
      <c r="G130" s="12" t="s">
        <v>160</v>
      </c>
      <c r="H130" s="1" t="s">
        <v>510</v>
      </c>
      <c r="I130" s="12" t="s">
        <v>511</v>
      </c>
    </row>
    <row r="131" customFormat="false" ht="17.15" hidden="false" customHeight="false" outlineLevel="0" collapsed="false">
      <c r="A131" s="0" t="s">
        <v>512</v>
      </c>
      <c r="B131" s="1" t="s">
        <v>513</v>
      </c>
      <c r="C131" s="0" t="s">
        <v>168</v>
      </c>
      <c r="D131" s="13" t="n">
        <v>0.4</v>
      </c>
      <c r="E131" s="13" t="n">
        <v>0.6</v>
      </c>
      <c r="F131" s="13" t="n">
        <v>0.8</v>
      </c>
      <c r="G131" s="12" t="s">
        <v>160</v>
      </c>
      <c r="H131" s="1" t="s">
        <v>514</v>
      </c>
      <c r="I131" s="1" t="s">
        <v>515</v>
      </c>
    </row>
    <row r="132" customFormat="false" ht="17.15" hidden="false" customHeight="false" outlineLevel="0" collapsed="false">
      <c r="A132" s="0" t="s">
        <v>516</v>
      </c>
      <c r="B132" s="1" t="s">
        <v>517</v>
      </c>
      <c r="C132" s="0" t="s">
        <v>168</v>
      </c>
      <c r="E132" s="13" t="n">
        <v>0.2</v>
      </c>
      <c r="G132" s="12" t="s">
        <v>160</v>
      </c>
      <c r="H132" s="1" t="s">
        <v>518</v>
      </c>
      <c r="I132" s="12" t="s">
        <v>519</v>
      </c>
    </row>
    <row r="133" customFormat="false" ht="17.15" hidden="false" customHeight="false" outlineLevel="0" collapsed="false">
      <c r="A133" s="0" t="s">
        <v>520</v>
      </c>
      <c r="B133" s="1" t="s">
        <v>521</v>
      </c>
      <c r="C133" s="0" t="s">
        <v>168</v>
      </c>
      <c r="E133" s="13" t="n">
        <v>0.45</v>
      </c>
      <c r="G133" s="12" t="s">
        <v>160</v>
      </c>
      <c r="H133" s="1" t="s">
        <v>518</v>
      </c>
      <c r="I133" s="12" t="s">
        <v>519</v>
      </c>
    </row>
    <row r="134" customFormat="false" ht="17.15" hidden="false" customHeight="false" outlineLevel="0" collapsed="false">
      <c r="A134" s="0" t="s">
        <v>522</v>
      </c>
      <c r="B134" s="1" t="s">
        <v>523</v>
      </c>
      <c r="C134" s="0" t="s">
        <v>168</v>
      </c>
      <c r="E134" s="13" t="n">
        <v>0.35</v>
      </c>
      <c r="G134" s="12" t="s">
        <v>160</v>
      </c>
      <c r="H134" s="1" t="s">
        <v>518</v>
      </c>
      <c r="I134" s="12" t="s">
        <v>519</v>
      </c>
    </row>
    <row r="135" customFormat="false" ht="17.15" hidden="false" customHeight="false" outlineLevel="0" collapsed="false">
      <c r="A135" s="0" t="s">
        <v>524</v>
      </c>
      <c r="B135" s="1" t="s">
        <v>525</v>
      </c>
      <c r="C135" s="0" t="s">
        <v>168</v>
      </c>
      <c r="E135" s="13" t="n">
        <v>0.7</v>
      </c>
      <c r="G135" s="12" t="s">
        <v>160</v>
      </c>
      <c r="H135" s="1" t="s">
        <v>526</v>
      </c>
      <c r="I135" s="12" t="s">
        <v>527</v>
      </c>
    </row>
    <row r="136" customFormat="false" ht="17.15" hidden="false" customHeight="false" outlineLevel="0" collapsed="false">
      <c r="A136" s="0" t="s">
        <v>528</v>
      </c>
      <c r="B136" s="1" t="s">
        <v>529</v>
      </c>
      <c r="C136" s="0" t="s">
        <v>168</v>
      </c>
      <c r="E136" s="13" t="n">
        <v>0.3</v>
      </c>
      <c r="G136" s="12" t="s">
        <v>160</v>
      </c>
      <c r="H136" s="1" t="s">
        <v>526</v>
      </c>
      <c r="I136" s="12" t="s">
        <v>527</v>
      </c>
    </row>
    <row r="137" customFormat="false" ht="17.15" hidden="false" customHeight="false" outlineLevel="0" collapsed="false">
      <c r="A137" s="0" t="s">
        <v>530</v>
      </c>
      <c r="B137" s="1" t="s">
        <v>531</v>
      </c>
      <c r="C137" s="0" t="s">
        <v>168</v>
      </c>
      <c r="E137" s="13" t="n">
        <v>0.1</v>
      </c>
      <c r="G137" s="12" t="s">
        <v>160</v>
      </c>
      <c r="H137" s="1" t="s">
        <v>526</v>
      </c>
      <c r="I137" s="12" t="s">
        <v>527</v>
      </c>
    </row>
    <row r="138" customFormat="false" ht="17.15" hidden="false" customHeight="false" outlineLevel="0" collapsed="false">
      <c r="A138" s="0" t="s">
        <v>532</v>
      </c>
      <c r="B138" s="0" t="s">
        <v>533</v>
      </c>
      <c r="C138" s="1" t="s">
        <v>534</v>
      </c>
      <c r="D138" s="11" t="n">
        <v>0</v>
      </c>
      <c r="E138" s="11" t="n">
        <v>1</v>
      </c>
      <c r="G138" s="12" t="s">
        <v>160</v>
      </c>
      <c r="H138" s="1" t="s">
        <v>535</v>
      </c>
      <c r="I138" s="1" t="s">
        <v>536</v>
      </c>
    </row>
    <row r="139" customFormat="false" ht="17.15" hidden="false" customHeight="false" outlineLevel="0" collapsed="false">
      <c r="A139" s="0" t="s">
        <v>537</v>
      </c>
      <c r="B139" s="1" t="s">
        <v>538</v>
      </c>
      <c r="C139" s="0" t="s">
        <v>168</v>
      </c>
      <c r="D139" s="13" t="n">
        <v>0.05</v>
      </c>
      <c r="E139" s="13" t="n">
        <v>0.1</v>
      </c>
      <c r="F139" s="13" t="n">
        <v>0.2</v>
      </c>
      <c r="G139" s="12" t="s">
        <v>160</v>
      </c>
      <c r="H139" s="1" t="s">
        <v>539</v>
      </c>
      <c r="I139" s="1" t="s">
        <v>540</v>
      </c>
    </row>
    <row r="140" customFormat="false" ht="17.15" hidden="false" customHeight="false" outlineLevel="0" collapsed="false">
      <c r="A140" s="0" t="s">
        <v>541</v>
      </c>
      <c r="B140" s="0" t="s">
        <v>542</v>
      </c>
      <c r="C140" s="0" t="s">
        <v>229</v>
      </c>
      <c r="D140" s="14" t="n">
        <v>0.25</v>
      </c>
      <c r="E140" s="14" t="n">
        <v>0.55</v>
      </c>
      <c r="F140" s="14" t="n">
        <v>0.75</v>
      </c>
      <c r="G140" s="12" t="s">
        <v>160</v>
      </c>
      <c r="H140" s="12" t="s">
        <v>543</v>
      </c>
      <c r="I140" s="1" t="s">
        <v>544</v>
      </c>
    </row>
    <row r="141" customFormat="false" ht="17.15" hidden="false" customHeight="false" outlineLevel="0" collapsed="false">
      <c r="A141" s="0" t="s">
        <v>545</v>
      </c>
      <c r="B141" s="0" t="s">
        <v>546</v>
      </c>
      <c r="C141" s="0" t="s">
        <v>229</v>
      </c>
      <c r="D141" s="14" t="n">
        <v>0.4</v>
      </c>
      <c r="E141" s="14" t="n">
        <v>0.5</v>
      </c>
      <c r="F141" s="14" t="n">
        <v>0.6</v>
      </c>
      <c r="G141" s="12" t="s">
        <v>160</v>
      </c>
      <c r="H141" s="12" t="s">
        <v>543</v>
      </c>
      <c r="I141" s="12" t="s">
        <v>547</v>
      </c>
    </row>
    <row r="142" customFormat="false" ht="17.15" hidden="false" customHeight="false" outlineLevel="0" collapsed="false">
      <c r="A142" s="0" t="s">
        <v>548</v>
      </c>
      <c r="B142" s="1" t="s">
        <v>549</v>
      </c>
      <c r="C142" s="0" t="s">
        <v>417</v>
      </c>
      <c r="E142" s="0" t="n">
        <f aca="false">mix_h*tk_cxit_h100+mix_g2*tk_cxit_gb200+mix_g3*tk_cxit_gb300</f>
        <v>27.5918995</v>
      </c>
      <c r="G142" s="0" t="s">
        <v>90</v>
      </c>
      <c r="H142" s="1" t="s">
        <v>550</v>
      </c>
      <c r="I142" s="0" t="s">
        <v>551</v>
      </c>
    </row>
    <row r="143" customFormat="false" ht="17.15" hidden="false" customHeight="false" outlineLevel="0" collapsed="false">
      <c r="A143" s="0" t="s">
        <v>552</v>
      </c>
      <c r="B143" s="1" t="s">
        <v>553</v>
      </c>
      <c r="C143" s="0" t="s">
        <v>403</v>
      </c>
      <c r="E143" s="11" t="n">
        <v>9.7</v>
      </c>
      <c r="G143" s="12" t="s">
        <v>248</v>
      </c>
      <c r="H143" s="1" t="s">
        <v>554</v>
      </c>
      <c r="I143" s="12" t="s">
        <v>555</v>
      </c>
    </row>
    <row r="144" customFormat="false" ht="17.15" hidden="false" customHeight="false" outlineLevel="0" collapsed="false">
      <c r="A144" s="0" t="s">
        <v>556</v>
      </c>
      <c r="B144" s="1" t="s">
        <v>557</v>
      </c>
      <c r="C144" s="0" t="s">
        <v>438</v>
      </c>
      <c r="E144" s="11" t="n">
        <v>2.82</v>
      </c>
      <c r="F144" s="11" t="n">
        <v>12.29</v>
      </c>
      <c r="G144" s="12" t="s">
        <v>76</v>
      </c>
      <c r="H144" s="1" t="s">
        <v>558</v>
      </c>
      <c r="I144" s="1" t="s">
        <v>559</v>
      </c>
    </row>
    <row r="145" customFormat="false" ht="17.15" hidden="false" customHeight="false" outlineLevel="0" collapsed="false">
      <c r="A145" s="0" t="s">
        <v>560</v>
      </c>
      <c r="B145" s="0" t="s">
        <v>561</v>
      </c>
      <c r="C145" s="0" t="s">
        <v>229</v>
      </c>
      <c r="E145" s="15" t="n">
        <f aca="false">p_long/tk_hold_gb300</f>
        <v>0.891019087752599</v>
      </c>
      <c r="G145" s="12" t="s">
        <v>90</v>
      </c>
      <c r="H145" s="1" t="s">
        <v>562</v>
      </c>
      <c r="I145" s="12" t="s">
        <v>563</v>
      </c>
    </row>
    <row r="146" customFormat="false" ht="17.15" hidden="false" customHeight="false" outlineLevel="0" collapsed="false">
      <c r="A146" s="0" t="s">
        <v>564</v>
      </c>
      <c r="B146" s="1" t="s">
        <v>565</v>
      </c>
      <c r="C146" s="0" t="s">
        <v>403</v>
      </c>
      <c r="E146" s="11" t="n">
        <v>5.7429</v>
      </c>
      <c r="G146" s="12" t="s">
        <v>160</v>
      </c>
      <c r="H146" s="1" t="s">
        <v>566</v>
      </c>
      <c r="I146" s="1" t="s">
        <v>567</v>
      </c>
    </row>
    <row r="147" customFormat="false" ht="17.15" hidden="false" customHeight="false" outlineLevel="0" collapsed="false">
      <c r="A147" s="0" t="s">
        <v>568</v>
      </c>
      <c r="B147" s="0" t="s">
        <v>569</v>
      </c>
      <c r="C147" s="0" t="s">
        <v>229</v>
      </c>
      <c r="E147" s="15" t="n">
        <f aca="false">p_long_lo/tk_hold_vr200</f>
        <v>0.469748772693226</v>
      </c>
      <c r="G147" s="12" t="s">
        <v>90</v>
      </c>
      <c r="H147" s="1" t="s">
        <v>570</v>
      </c>
      <c r="I147" s="12" t="s">
        <v>571</v>
      </c>
    </row>
    <row r="148" customFormat="false" ht="17.15" hidden="false" customHeight="false" outlineLevel="0" collapsed="false">
      <c r="A148" s="0" t="s">
        <v>572</v>
      </c>
      <c r="B148" s="0" t="s">
        <v>573</v>
      </c>
      <c r="C148" s="0" t="s">
        <v>229</v>
      </c>
      <c r="E148" s="15" t="n">
        <f aca="false">p_spot/tk_gpuhr_h100</f>
        <v>1.82808654921445</v>
      </c>
      <c r="G148" s="12" t="s">
        <v>90</v>
      </c>
      <c r="H148" s="1" t="s">
        <v>574</v>
      </c>
      <c r="I148" s="12" t="s">
        <v>575</v>
      </c>
    </row>
    <row r="149" customFormat="false" ht="17.15" hidden="false" customHeight="false" outlineLevel="0" collapsed="false">
      <c r="A149" s="0" t="s">
        <v>576</v>
      </c>
      <c r="B149" s="1" t="s">
        <v>577</v>
      </c>
      <c r="C149" s="0" t="s">
        <v>168</v>
      </c>
      <c r="E149" s="13" t="n">
        <v>0.45</v>
      </c>
      <c r="G149" s="12" t="s">
        <v>160</v>
      </c>
      <c r="H149" s="1" t="s">
        <v>578</v>
      </c>
      <c r="I149" s="12" t="s">
        <v>579</v>
      </c>
    </row>
    <row r="150" customFormat="false" ht="17.15" hidden="false" customHeight="false" outlineLevel="0" collapsed="false">
      <c r="A150" s="0" t="s">
        <v>580</v>
      </c>
      <c r="B150" s="1" t="s">
        <v>581</v>
      </c>
      <c r="C150" s="0" t="s">
        <v>168</v>
      </c>
      <c r="E150" s="13" t="n">
        <v>0.7</v>
      </c>
      <c r="G150" s="12" t="s">
        <v>160</v>
      </c>
      <c r="H150" s="1" t="s">
        <v>582</v>
      </c>
      <c r="I150" s="12" t="s">
        <v>579</v>
      </c>
    </row>
    <row r="151" customFormat="false" ht="17.15" hidden="false" customHeight="false" outlineLevel="0" collapsed="false">
      <c r="A151" s="0" t="s">
        <v>583</v>
      </c>
      <c r="B151" s="1" t="s">
        <v>584</v>
      </c>
      <c r="C151" s="0" t="s">
        <v>168</v>
      </c>
      <c r="E151" s="13" t="n">
        <v>1</v>
      </c>
      <c r="G151" s="12" t="s">
        <v>160</v>
      </c>
      <c r="H151" s="1" t="s">
        <v>585</v>
      </c>
      <c r="I151" s="12" t="s">
        <v>579</v>
      </c>
    </row>
    <row r="152" customFormat="false" ht="17.15" hidden="false" customHeight="false" outlineLevel="0" collapsed="false">
      <c r="A152" s="0" t="s">
        <v>586</v>
      </c>
      <c r="B152" s="0" t="s">
        <v>587</v>
      </c>
      <c r="C152" s="0" t="s">
        <v>229</v>
      </c>
      <c r="E152" s="15" t="n">
        <f aca="false">ls_A*k_long+(1-ls_A)*k_spot</f>
        <v>1.40640619155662</v>
      </c>
      <c r="G152" s="12" t="s">
        <v>90</v>
      </c>
      <c r="H152" s="1" t="s">
        <v>588</v>
      </c>
      <c r="I152" s="12" t="s">
        <v>589</v>
      </c>
    </row>
    <row r="153" customFormat="false" ht="17.15" hidden="false" customHeight="false" outlineLevel="0" collapsed="false">
      <c r="A153" s="0" t="s">
        <v>590</v>
      </c>
      <c r="B153" s="0" t="s">
        <v>591</v>
      </c>
      <c r="C153" s="0" t="s">
        <v>229</v>
      </c>
      <c r="E153" s="15" t="n">
        <f aca="false">ls_B*k_long+(1-ls_B)*k_spot</f>
        <v>1.17213932619116</v>
      </c>
      <c r="G153" s="12" t="s">
        <v>90</v>
      </c>
      <c r="H153" s="1" t="s">
        <v>588</v>
      </c>
      <c r="I153" s="12" t="s">
        <v>589</v>
      </c>
    </row>
    <row r="154" customFormat="false" ht="17.15" hidden="false" customHeight="false" outlineLevel="0" collapsed="false">
      <c r="A154" s="0" t="s">
        <v>592</v>
      </c>
      <c r="B154" s="0" t="s">
        <v>593</v>
      </c>
      <c r="C154" s="0" t="s">
        <v>229</v>
      </c>
      <c r="E154" s="15" t="n">
        <f aca="false">ls_C*k_long+(1-ls_C)*k_spot</f>
        <v>0.891019087752599</v>
      </c>
      <c r="G154" s="12" t="s">
        <v>90</v>
      </c>
      <c r="H154" s="1" t="s">
        <v>588</v>
      </c>
      <c r="I154" s="12" t="s">
        <v>589</v>
      </c>
    </row>
    <row r="155" customFormat="false" ht="17.15" hidden="false" customHeight="false" outlineLevel="0" collapsed="false">
      <c r="A155" s="0" t="s">
        <v>594</v>
      </c>
      <c r="B155" s="1" t="s">
        <v>595</v>
      </c>
      <c r="C155" s="0" t="s">
        <v>229</v>
      </c>
      <c r="D155" s="14" t="n">
        <v>0.7</v>
      </c>
      <c r="E155" s="14" t="n">
        <v>1</v>
      </c>
      <c r="F155" s="14" t="n">
        <v>1</v>
      </c>
      <c r="G155" s="12" t="s">
        <v>160</v>
      </c>
      <c r="H155" s="1" t="s">
        <v>596</v>
      </c>
      <c r="I155" s="12" t="s">
        <v>597</v>
      </c>
    </row>
    <row r="156" customFormat="false" ht="17.15" hidden="false" customHeight="false" outlineLevel="0" collapsed="false">
      <c r="A156" s="0" t="s">
        <v>598</v>
      </c>
      <c r="B156" s="1" t="s">
        <v>599</v>
      </c>
      <c r="C156" s="0" t="s">
        <v>403</v>
      </c>
      <c r="E156" s="11" t="n">
        <v>8.89</v>
      </c>
      <c r="G156" s="12" t="s">
        <v>90</v>
      </c>
      <c r="H156" s="1" t="s">
        <v>600</v>
      </c>
      <c r="I156" s="1" t="s">
        <v>601</v>
      </c>
    </row>
    <row r="157" customFormat="false" ht="17.15" hidden="false" customHeight="false" outlineLevel="0" collapsed="false">
      <c r="A157" s="0" t="s">
        <v>602</v>
      </c>
      <c r="B157" s="1" t="s">
        <v>603</v>
      </c>
      <c r="C157" s="0" t="s">
        <v>168</v>
      </c>
      <c r="D157" s="13" t="n">
        <v>0.65</v>
      </c>
      <c r="E157" s="13" t="n">
        <v>0.8</v>
      </c>
      <c r="F157" s="13" t="n">
        <v>0.9</v>
      </c>
      <c r="G157" s="12" t="s">
        <v>160</v>
      </c>
      <c r="H157" s="1" t="s">
        <v>604</v>
      </c>
      <c r="I157" s="12" t="s">
        <v>605</v>
      </c>
    </row>
    <row r="158" customFormat="false" ht="17.15" hidden="false" customHeight="false" outlineLevel="0" collapsed="false">
      <c r="A158" s="0" t="s">
        <v>606</v>
      </c>
      <c r="B158" s="0" t="s">
        <v>607</v>
      </c>
      <c r="C158" s="0" t="s">
        <v>98</v>
      </c>
      <c r="D158" s="11" t="n">
        <v>194.2</v>
      </c>
      <c r="E158" s="11" t="n">
        <v>204.2</v>
      </c>
      <c r="F158" s="11" t="n">
        <v>213.6</v>
      </c>
      <c r="G158" s="12" t="s">
        <v>90</v>
      </c>
      <c r="H158" s="1" t="s">
        <v>608</v>
      </c>
      <c r="I158" s="1" t="s">
        <v>609</v>
      </c>
    </row>
    <row r="159" customFormat="false" ht="17.15" hidden="false" customHeight="false" outlineLevel="0" collapsed="false">
      <c r="A159" s="10" t="s">
        <v>610</v>
      </c>
    </row>
    <row r="160" customFormat="false" ht="17.15" hidden="false" customHeight="false" outlineLevel="0" collapsed="false">
      <c r="A160" s="0" t="s">
        <v>611</v>
      </c>
      <c r="B160" s="0" t="s">
        <v>612</v>
      </c>
      <c r="C160" s="1" t="s">
        <v>613</v>
      </c>
      <c r="E160" s="11" t="n">
        <v>1</v>
      </c>
      <c r="G160" s="12" t="s">
        <v>160</v>
      </c>
      <c r="H160" s="1" t="s">
        <v>614</v>
      </c>
      <c r="I160" s="12" t="s">
        <v>87</v>
      </c>
    </row>
    <row r="161" customFormat="false" ht="17.15" hidden="false" customHeight="false" outlineLevel="0" collapsed="false">
      <c r="A161" s="0" t="s">
        <v>615</v>
      </c>
      <c r="B161" s="0" t="s">
        <v>616</v>
      </c>
      <c r="C161" s="1" t="s">
        <v>613</v>
      </c>
      <c r="E161" s="11" t="n">
        <v>5</v>
      </c>
      <c r="G161" s="12" t="s">
        <v>160</v>
      </c>
      <c r="H161" s="1" t="s">
        <v>617</v>
      </c>
      <c r="I161" s="12" t="s">
        <v>87</v>
      </c>
    </row>
    <row r="162" customFormat="false" ht="17.15" hidden="false" customHeight="false" outlineLevel="0" collapsed="false">
      <c r="A162" s="0" t="s">
        <v>618</v>
      </c>
      <c r="B162" s="0" t="s">
        <v>619</v>
      </c>
      <c r="C162" s="1" t="s">
        <v>613</v>
      </c>
      <c r="E162" s="11" t="n">
        <v>30</v>
      </c>
      <c r="G162" s="12" t="s">
        <v>107</v>
      </c>
      <c r="H162" s="1" t="s">
        <v>620</v>
      </c>
      <c r="I162" s="12" t="s">
        <v>87</v>
      </c>
    </row>
    <row r="163" customFormat="false" ht="17.15" hidden="false" customHeight="false" outlineLevel="0" collapsed="false">
      <c r="A163" s="0" t="s">
        <v>621</v>
      </c>
      <c r="B163" s="0" t="s">
        <v>622</v>
      </c>
      <c r="C163" s="0" t="s">
        <v>623</v>
      </c>
      <c r="D163" s="11" t="n">
        <v>18</v>
      </c>
      <c r="E163" s="11" t="n">
        <v>25</v>
      </c>
      <c r="F163" s="11" t="n">
        <v>30</v>
      </c>
      <c r="G163" s="12" t="s">
        <v>160</v>
      </c>
      <c r="H163" s="1" t="s">
        <v>624</v>
      </c>
      <c r="I163" s="12" t="s">
        <v>625</v>
      </c>
    </row>
    <row r="164" customFormat="false" ht="17.15" hidden="false" customHeight="false" outlineLevel="0" collapsed="false">
      <c r="A164" s="0" t="s">
        <v>626</v>
      </c>
      <c r="B164" s="0" t="s">
        <v>627</v>
      </c>
      <c r="C164" s="1" t="s">
        <v>613</v>
      </c>
      <c r="E164" s="11" t="n">
        <v>30</v>
      </c>
      <c r="G164" s="12" t="s">
        <v>160</v>
      </c>
      <c r="H164" s="12" t="s">
        <v>628</v>
      </c>
      <c r="I164" s="12" t="s">
        <v>629</v>
      </c>
    </row>
    <row r="165" customFormat="false" ht="17.15" hidden="false" customHeight="false" outlineLevel="0" collapsed="false">
      <c r="A165" s="0" t="s">
        <v>630</v>
      </c>
      <c r="B165" s="0" t="s">
        <v>631</v>
      </c>
      <c r="C165" s="1" t="s">
        <v>613</v>
      </c>
      <c r="E165" s="11" t="n">
        <v>20</v>
      </c>
      <c r="G165" s="12" t="s">
        <v>160</v>
      </c>
      <c r="H165" s="12" t="s">
        <v>628</v>
      </c>
      <c r="I165" s="12" t="s">
        <v>629</v>
      </c>
    </row>
    <row r="166" customFormat="false" ht="17.15" hidden="false" customHeight="false" outlineLevel="0" collapsed="false">
      <c r="A166" s="0" t="s">
        <v>632</v>
      </c>
      <c r="B166" s="0" t="s">
        <v>633</v>
      </c>
      <c r="C166" s="1" t="s">
        <v>613</v>
      </c>
      <c r="E166" s="11" t="n">
        <v>10</v>
      </c>
      <c r="G166" s="12" t="s">
        <v>160</v>
      </c>
      <c r="H166" s="12" t="s">
        <v>628</v>
      </c>
      <c r="I166" s="12" t="s">
        <v>629</v>
      </c>
    </row>
    <row r="167" customFormat="false" ht="17.15" hidden="false" customHeight="false" outlineLevel="0" collapsed="false">
      <c r="A167" s="0" t="s">
        <v>634</v>
      </c>
      <c r="B167" s="0" t="s">
        <v>635</v>
      </c>
      <c r="C167" s="0" t="s">
        <v>229</v>
      </c>
      <c r="E167" s="14" t="n">
        <v>0.5</v>
      </c>
      <c r="G167" s="12" t="s">
        <v>160</v>
      </c>
      <c r="H167" s="1" t="s">
        <v>636</v>
      </c>
      <c r="I167" s="12" t="s">
        <v>87</v>
      </c>
    </row>
    <row r="168" customFormat="false" ht="17.15" hidden="false" customHeight="false" outlineLevel="0" collapsed="false">
      <c r="A168" s="0" t="s">
        <v>637</v>
      </c>
      <c r="B168" s="1" t="s">
        <v>638</v>
      </c>
      <c r="C168" s="1" t="s">
        <v>534</v>
      </c>
      <c r="D168" s="11" t="n">
        <v>1</v>
      </c>
      <c r="E168" s="11" t="n">
        <v>2</v>
      </c>
      <c r="G168" s="12" t="s">
        <v>160</v>
      </c>
      <c r="H168" s="1" t="s">
        <v>639</v>
      </c>
      <c r="I168" s="1" t="s">
        <v>640</v>
      </c>
    </row>
    <row r="169" customFormat="false" ht="17.15" hidden="false" customHeight="false" outlineLevel="0" collapsed="false">
      <c r="A169" s="0" t="s">
        <v>641</v>
      </c>
      <c r="B169" s="1" t="s">
        <v>642</v>
      </c>
      <c r="C169" s="1" t="s">
        <v>534</v>
      </c>
      <c r="D169" s="11" t="n">
        <v>0</v>
      </c>
      <c r="E169" s="11" t="n">
        <v>1</v>
      </c>
      <c r="G169" s="12" t="s">
        <v>160</v>
      </c>
      <c r="H169" s="1" t="s">
        <v>643</v>
      </c>
      <c r="I169" s="12" t="s">
        <v>644</v>
      </c>
    </row>
    <row r="170" customFormat="false" ht="17.15" hidden="false" customHeight="false" outlineLevel="0" collapsed="false">
      <c r="A170" s="10" t="s">
        <v>645</v>
      </c>
    </row>
    <row r="171" customFormat="false" ht="17.15" hidden="false" customHeight="false" outlineLevel="0" collapsed="false">
      <c r="A171" s="0" t="s">
        <v>646</v>
      </c>
      <c r="B171" s="1" t="s">
        <v>647</v>
      </c>
      <c r="C171" s="1" t="s">
        <v>279</v>
      </c>
      <c r="E171" s="11" t="n">
        <v>6</v>
      </c>
      <c r="G171" s="12" t="s">
        <v>160</v>
      </c>
      <c r="H171" s="1" t="s">
        <v>648</v>
      </c>
      <c r="I171" s="12" t="s">
        <v>87</v>
      </c>
    </row>
    <row r="172" customFormat="false" ht="17.15" hidden="false" customHeight="false" outlineLevel="0" collapsed="false">
      <c r="A172" s="0" t="s">
        <v>649</v>
      </c>
      <c r="B172" s="1" t="s">
        <v>650</v>
      </c>
      <c r="C172" s="0" t="s">
        <v>168</v>
      </c>
      <c r="D172" s="13" t="n">
        <v>0.05</v>
      </c>
      <c r="E172" s="13" t="n">
        <v>0.08</v>
      </c>
      <c r="F172" s="13" t="n">
        <v>0.12</v>
      </c>
      <c r="G172" s="12" t="s">
        <v>160</v>
      </c>
      <c r="H172" s="1" t="s">
        <v>651</v>
      </c>
      <c r="I172" s="1" t="s">
        <v>652</v>
      </c>
    </row>
    <row r="173" customFormat="false" ht="17.15" hidden="false" customHeight="false" outlineLevel="0" collapsed="false">
      <c r="A173" s="0" t="s">
        <v>653</v>
      </c>
      <c r="B173" s="1" t="s">
        <v>654</v>
      </c>
      <c r="C173" s="0" t="s">
        <v>168</v>
      </c>
      <c r="D173" s="13" t="n">
        <v>0.04</v>
      </c>
      <c r="E173" s="13" t="n">
        <v>0.07</v>
      </c>
      <c r="F173" s="13" t="n">
        <v>0.1</v>
      </c>
      <c r="G173" s="12" t="s">
        <v>160</v>
      </c>
      <c r="H173" s="12" t="s">
        <v>655</v>
      </c>
      <c r="I173" s="1" t="s">
        <v>652</v>
      </c>
    </row>
    <row r="174" customFormat="false" ht="17.15" hidden="false" customHeight="false" outlineLevel="0" collapsed="false">
      <c r="A174" s="0" t="s">
        <v>656</v>
      </c>
      <c r="B174" s="1" t="s">
        <v>657</v>
      </c>
      <c r="C174" s="0" t="s">
        <v>168</v>
      </c>
      <c r="D174" s="13" t="n">
        <v>0</v>
      </c>
      <c r="E174" s="13" t="n">
        <v>0.02</v>
      </c>
      <c r="F174" s="13" t="n">
        <v>0.04</v>
      </c>
      <c r="G174" s="12" t="s">
        <v>160</v>
      </c>
      <c r="H174" s="1" t="s">
        <v>245</v>
      </c>
      <c r="I174" s="1" t="s">
        <v>652</v>
      </c>
    </row>
    <row r="175" customFormat="false" ht="17.15" hidden="false" customHeight="false" outlineLevel="0" collapsed="false">
      <c r="A175" s="0" t="s">
        <v>658</v>
      </c>
      <c r="B175" s="1" t="s">
        <v>659</v>
      </c>
      <c r="C175" s="0" t="s">
        <v>168</v>
      </c>
      <c r="D175" s="13" t="n">
        <v>0.04</v>
      </c>
      <c r="E175" s="13" t="n">
        <v>0.07</v>
      </c>
      <c r="F175" s="13" t="n">
        <v>0.1</v>
      </c>
      <c r="G175" s="12" t="s">
        <v>160</v>
      </c>
      <c r="H175" s="1" t="s">
        <v>660</v>
      </c>
      <c r="I175" s="1" t="s">
        <v>652</v>
      </c>
    </row>
    <row r="176" customFormat="false" ht="17.15" hidden="false" customHeight="false" outlineLevel="0" collapsed="false">
      <c r="A176" s="0" t="s">
        <v>661</v>
      </c>
      <c r="B176" s="1" t="s">
        <v>662</v>
      </c>
      <c r="C176" s="0" t="s">
        <v>168</v>
      </c>
      <c r="D176" s="13" t="n">
        <v>0.04</v>
      </c>
      <c r="E176" s="13" t="n">
        <v>0.07</v>
      </c>
      <c r="F176" s="13" t="n">
        <v>0.1</v>
      </c>
      <c r="G176" s="12" t="s">
        <v>160</v>
      </c>
      <c r="H176" s="1" t="s">
        <v>660</v>
      </c>
      <c r="I176" s="1" t="s">
        <v>652</v>
      </c>
    </row>
    <row r="177" customFormat="false" ht="17.15" hidden="false" customHeight="false" outlineLevel="0" collapsed="false">
      <c r="A177" s="0" t="s">
        <v>663</v>
      </c>
      <c r="B177" s="1" t="s">
        <v>664</v>
      </c>
      <c r="C177" s="0" t="s">
        <v>168</v>
      </c>
      <c r="D177" s="13" t="n">
        <v>0.04</v>
      </c>
      <c r="E177" s="13" t="n">
        <v>0.07</v>
      </c>
      <c r="F177" s="13" t="n">
        <v>0.1</v>
      </c>
      <c r="G177" s="12" t="s">
        <v>160</v>
      </c>
      <c r="H177" s="1" t="s">
        <v>245</v>
      </c>
      <c r="I177" s="1" t="s">
        <v>652</v>
      </c>
    </row>
    <row r="178" customFormat="false" ht="17.15" hidden="false" customHeight="false" outlineLevel="0" collapsed="false">
      <c r="A178" s="0" t="s">
        <v>665</v>
      </c>
      <c r="B178" s="1" t="s">
        <v>666</v>
      </c>
      <c r="C178" s="0" t="s">
        <v>168</v>
      </c>
      <c r="D178" s="13" t="n">
        <v>-0.02</v>
      </c>
      <c r="E178" s="13" t="n">
        <v>0.02</v>
      </c>
      <c r="F178" s="13" t="n">
        <v>0.05</v>
      </c>
      <c r="G178" s="12" t="s">
        <v>160</v>
      </c>
      <c r="H178" s="1" t="s">
        <v>667</v>
      </c>
      <c r="I178" s="1" t="s">
        <v>652</v>
      </c>
    </row>
    <row r="179" customFormat="false" ht="17.15" hidden="false" customHeight="false" outlineLevel="0" collapsed="false">
      <c r="A179" s="0" t="s">
        <v>668</v>
      </c>
      <c r="B179" s="1" t="s">
        <v>669</v>
      </c>
      <c r="C179" s="0" t="s">
        <v>168</v>
      </c>
      <c r="D179" s="13" t="n">
        <v>-0.02</v>
      </c>
      <c r="E179" s="13" t="n">
        <v>0.02</v>
      </c>
      <c r="F179" s="13" t="n">
        <v>0.04</v>
      </c>
      <c r="G179" s="12" t="s">
        <v>160</v>
      </c>
      <c r="H179" s="1" t="s">
        <v>667</v>
      </c>
      <c r="I179" s="1" t="s">
        <v>652</v>
      </c>
    </row>
    <row r="180" customFormat="false" ht="17.15" hidden="false" customHeight="false" outlineLevel="0" collapsed="false">
      <c r="A180" s="10" t="s">
        <v>670</v>
      </c>
    </row>
    <row r="181" customFormat="false" ht="17.15" hidden="false" customHeight="false" outlineLevel="0" collapsed="false">
      <c r="A181" s="0" t="s">
        <v>671</v>
      </c>
      <c r="B181" s="1" t="s">
        <v>672</v>
      </c>
      <c r="C181" s="0" t="s">
        <v>253</v>
      </c>
      <c r="D181" s="13" t="n">
        <v>-0.02</v>
      </c>
      <c r="E181" s="13" t="n">
        <v>0</v>
      </c>
      <c r="F181" s="13" t="n">
        <v>0.02</v>
      </c>
      <c r="G181" s="12" t="s">
        <v>160</v>
      </c>
      <c r="H181" s="1" t="s">
        <v>673</v>
      </c>
      <c r="I181" s="1" t="s">
        <v>674</v>
      </c>
    </row>
    <row r="182" customFormat="false" ht="17.15" hidden="false" customHeight="false" outlineLevel="0" collapsed="false">
      <c r="A182" s="0" t="s">
        <v>675</v>
      </c>
      <c r="B182" s="1" t="s">
        <v>676</v>
      </c>
      <c r="C182" s="0" t="s">
        <v>98</v>
      </c>
      <c r="D182" s="11" t="n">
        <v>-2</v>
      </c>
      <c r="E182" s="11" t="n">
        <v>-1.2</v>
      </c>
      <c r="F182" s="11" t="n">
        <v>-0.4</v>
      </c>
      <c r="G182" s="12" t="s">
        <v>107</v>
      </c>
      <c r="H182" s="1" t="s">
        <v>677</v>
      </c>
      <c r="I182" s="12" t="s">
        <v>678</v>
      </c>
    </row>
    <row r="183" customFormat="false" ht="17.15" hidden="false" customHeight="false" outlineLevel="0" collapsed="false">
      <c r="A183" s="0" t="s">
        <v>679</v>
      </c>
      <c r="B183" s="1" t="s">
        <v>680</v>
      </c>
      <c r="C183" s="0" t="s">
        <v>168</v>
      </c>
      <c r="D183" s="13" t="n">
        <v>0.19</v>
      </c>
      <c r="E183" s="13" t="n">
        <v>0.2</v>
      </c>
      <c r="F183" s="13" t="n">
        <v>0.21</v>
      </c>
      <c r="G183" s="12" t="s">
        <v>107</v>
      </c>
      <c r="H183" s="1" t="s">
        <v>681</v>
      </c>
      <c r="I183" s="12" t="s">
        <v>682</v>
      </c>
    </row>
    <row r="184" customFormat="false" ht="17.15" hidden="false" customHeight="false" outlineLevel="0" collapsed="false">
      <c r="A184" s="0" t="s">
        <v>683</v>
      </c>
      <c r="B184" s="1" t="s">
        <v>684</v>
      </c>
      <c r="C184" s="0" t="s">
        <v>168</v>
      </c>
      <c r="E184" s="7" t="n">
        <f aca="false">Q!M39/Q!M18</f>
        <v>0.0373825861336371</v>
      </c>
      <c r="G184" s="12" t="s">
        <v>90</v>
      </c>
      <c r="H184" s="12" t="s">
        <v>685</v>
      </c>
      <c r="I184" s="12" t="s">
        <v>87</v>
      </c>
    </row>
    <row r="185" customFormat="false" ht="17.15" hidden="false" customHeight="false" outlineLevel="0" collapsed="false">
      <c r="A185" s="0" t="s">
        <v>686</v>
      </c>
      <c r="B185" s="0" t="s">
        <v>687</v>
      </c>
      <c r="C185" s="0" t="s">
        <v>98</v>
      </c>
      <c r="E185" s="11" t="n">
        <v>-4.895</v>
      </c>
      <c r="G185" s="12" t="s">
        <v>90</v>
      </c>
      <c r="H185" s="1" t="s">
        <v>688</v>
      </c>
      <c r="I185" s="12" t="s">
        <v>689</v>
      </c>
    </row>
    <row r="186" customFormat="false" ht="17.15" hidden="false" customHeight="false" outlineLevel="0" collapsed="false">
      <c r="A186" s="0" t="s">
        <v>690</v>
      </c>
      <c r="B186" s="0" t="s">
        <v>691</v>
      </c>
      <c r="C186" s="0" t="s">
        <v>98</v>
      </c>
      <c r="E186" s="11" t="n">
        <v>-0.218</v>
      </c>
      <c r="G186" s="12" t="s">
        <v>107</v>
      </c>
      <c r="H186" s="1" t="s">
        <v>692</v>
      </c>
      <c r="I186" s="12" t="s">
        <v>693</v>
      </c>
    </row>
    <row r="187" customFormat="false" ht="17.15" hidden="false" customHeight="false" outlineLevel="0" collapsed="false">
      <c r="A187" s="0" t="s">
        <v>694</v>
      </c>
      <c r="B187" s="0" t="s">
        <v>695</v>
      </c>
      <c r="C187" s="0" t="s">
        <v>98</v>
      </c>
      <c r="E187" s="11" t="n">
        <v>0</v>
      </c>
      <c r="G187" s="12" t="s">
        <v>160</v>
      </c>
      <c r="H187" s="1" t="s">
        <v>696</v>
      </c>
      <c r="I187" s="12" t="s">
        <v>87</v>
      </c>
    </row>
    <row r="188" customFormat="false" ht="17.15" hidden="false" customHeight="false" outlineLevel="0" collapsed="false">
      <c r="A188" s="0" t="s">
        <v>697</v>
      </c>
      <c r="B188" s="1" t="s">
        <v>698</v>
      </c>
      <c r="C188" s="1" t="s">
        <v>279</v>
      </c>
      <c r="D188" s="11" t="n">
        <v>8</v>
      </c>
      <c r="E188" s="11" t="n">
        <v>10</v>
      </c>
      <c r="F188" s="11" t="n">
        <v>15</v>
      </c>
      <c r="G188" s="12" t="s">
        <v>160</v>
      </c>
      <c r="H188" s="1" t="s">
        <v>699</v>
      </c>
      <c r="I188" s="1" t="s">
        <v>700</v>
      </c>
    </row>
    <row r="189" customFormat="false" ht="17.15" hidden="false" customHeight="false" outlineLevel="0" collapsed="false">
      <c r="A189" s="0" t="s">
        <v>701</v>
      </c>
      <c r="B189" s="1" t="s">
        <v>702</v>
      </c>
      <c r="C189" s="0" t="s">
        <v>168</v>
      </c>
      <c r="E189" s="13" t="n">
        <v>0.2</v>
      </c>
      <c r="G189" s="12" t="s">
        <v>160</v>
      </c>
      <c r="H189" s="1" t="s">
        <v>703</v>
      </c>
      <c r="I189" s="1" t="s">
        <v>704</v>
      </c>
    </row>
    <row r="190" customFormat="false" ht="17.15" hidden="false" customHeight="false" outlineLevel="0" collapsed="false">
      <c r="A190" s="0" t="s">
        <v>705</v>
      </c>
      <c r="B190" s="1" t="s">
        <v>706</v>
      </c>
      <c r="C190" s="0" t="s">
        <v>168</v>
      </c>
      <c r="E190" s="13" t="n">
        <v>0.1</v>
      </c>
      <c r="G190" s="12" t="s">
        <v>160</v>
      </c>
      <c r="H190" s="1" t="s">
        <v>703</v>
      </c>
      <c r="I190" s="1" t="s">
        <v>704</v>
      </c>
    </row>
    <row r="191" customFormat="false" ht="17.15" hidden="false" customHeight="false" outlineLevel="0" collapsed="false">
      <c r="A191" s="0" t="s">
        <v>707</v>
      </c>
      <c r="B191" s="1" t="s">
        <v>708</v>
      </c>
      <c r="C191" s="0" t="s">
        <v>168</v>
      </c>
      <c r="E191" s="13" t="n">
        <v>0.02</v>
      </c>
      <c r="G191" s="12" t="s">
        <v>160</v>
      </c>
      <c r="H191" s="1" t="s">
        <v>703</v>
      </c>
      <c r="I191" s="1" t="s">
        <v>704</v>
      </c>
    </row>
    <row r="192" customFormat="false" ht="17.15" hidden="false" customHeight="false" outlineLevel="0" collapsed="false">
      <c r="A192" s="0" t="s">
        <v>709</v>
      </c>
      <c r="B192" s="1" t="s">
        <v>710</v>
      </c>
      <c r="C192" s="0" t="s">
        <v>168</v>
      </c>
      <c r="E192" s="13" t="n">
        <v>0.05</v>
      </c>
      <c r="G192" s="12" t="s">
        <v>160</v>
      </c>
      <c r="H192" s="1" t="s">
        <v>703</v>
      </c>
      <c r="I192" s="1" t="s">
        <v>704</v>
      </c>
    </row>
    <row r="193" customFormat="false" ht="17.15" hidden="false" customHeight="false" outlineLevel="0" collapsed="false">
      <c r="A193" s="0" t="s">
        <v>711</v>
      </c>
      <c r="B193" s="1" t="s">
        <v>712</v>
      </c>
      <c r="C193" s="0" t="s">
        <v>168</v>
      </c>
      <c r="E193" s="13" t="n">
        <v>0.08</v>
      </c>
      <c r="G193" s="12" t="s">
        <v>160</v>
      </c>
      <c r="H193" s="1" t="s">
        <v>703</v>
      </c>
      <c r="I193" s="1" t="s">
        <v>704</v>
      </c>
    </row>
    <row r="194" customFormat="false" ht="17.15" hidden="false" customHeight="false" outlineLevel="0" collapsed="false">
      <c r="A194" s="0" t="s">
        <v>713</v>
      </c>
      <c r="B194" s="1" t="s">
        <v>714</v>
      </c>
      <c r="C194" s="0" t="s">
        <v>168</v>
      </c>
      <c r="E194" s="13" t="n">
        <v>0.03</v>
      </c>
      <c r="G194" s="12" t="s">
        <v>160</v>
      </c>
      <c r="H194" s="1" t="s">
        <v>703</v>
      </c>
      <c r="I194" s="1" t="s">
        <v>704</v>
      </c>
    </row>
    <row r="195" customFormat="false" ht="17.15" hidden="false" customHeight="false" outlineLevel="0" collapsed="false">
      <c r="A195" s="10" t="s">
        <v>715</v>
      </c>
    </row>
    <row r="196" customFormat="false" ht="17.15" hidden="false" customHeight="false" outlineLevel="0" collapsed="false">
      <c r="A196" s="0" t="s">
        <v>716</v>
      </c>
      <c r="B196" s="1" t="s">
        <v>717</v>
      </c>
      <c r="C196" s="0" t="s">
        <v>75</v>
      </c>
      <c r="D196" s="11" t="n">
        <v>440</v>
      </c>
      <c r="E196" s="11" t="n">
        <v>605.12</v>
      </c>
      <c r="F196" s="11" t="n">
        <v>870</v>
      </c>
      <c r="G196" s="12" t="s">
        <v>107</v>
      </c>
      <c r="H196" s="12" t="s">
        <v>718</v>
      </c>
      <c r="I196" s="1" t="s">
        <v>719</v>
      </c>
    </row>
    <row r="197" customFormat="false" ht="17.15" hidden="false" customHeight="false" outlineLevel="0" collapsed="false">
      <c r="A197" s="0" t="s">
        <v>720</v>
      </c>
      <c r="B197" s="1" t="s">
        <v>721</v>
      </c>
      <c r="C197" s="0" t="s">
        <v>75</v>
      </c>
      <c r="D197" s="11" t="n">
        <v>440</v>
      </c>
      <c r="E197" s="11" t="n">
        <v>596.07</v>
      </c>
      <c r="F197" s="11" t="n">
        <v>870</v>
      </c>
      <c r="G197" s="12" t="s">
        <v>107</v>
      </c>
      <c r="H197" s="12" t="s">
        <v>722</v>
      </c>
      <c r="I197" s="1" t="s">
        <v>723</v>
      </c>
    </row>
    <row r="198" customFormat="false" ht="17.15" hidden="false" customHeight="false" outlineLevel="0" collapsed="false">
      <c r="A198" s="0" t="s">
        <v>724</v>
      </c>
      <c r="B198" s="1" t="s">
        <v>725</v>
      </c>
      <c r="C198" s="0" t="s">
        <v>98</v>
      </c>
      <c r="D198" s="11" t="n">
        <v>380</v>
      </c>
      <c r="E198" s="11" t="n">
        <v>391.58</v>
      </c>
      <c r="F198" s="11" t="n">
        <v>402.7</v>
      </c>
      <c r="G198" s="12" t="s">
        <v>107</v>
      </c>
      <c r="H198" s="12" t="s">
        <v>726</v>
      </c>
      <c r="I198" s="1" t="s">
        <v>727</v>
      </c>
    </row>
    <row r="199" customFormat="false" ht="17.15" hidden="false" customHeight="false" outlineLevel="0" collapsed="false">
      <c r="A199" s="0" t="s">
        <v>728</v>
      </c>
      <c r="B199" s="1" t="s">
        <v>729</v>
      </c>
      <c r="C199" s="0" t="s">
        <v>75</v>
      </c>
      <c r="D199" s="11" t="n">
        <v>19.06</v>
      </c>
      <c r="E199" s="11" t="n">
        <v>19.76</v>
      </c>
      <c r="F199" s="11" t="n">
        <v>20.7</v>
      </c>
      <c r="G199" s="12" t="s">
        <v>107</v>
      </c>
      <c r="H199" s="12" t="s">
        <v>730</v>
      </c>
      <c r="I199" s="1" t="s">
        <v>731</v>
      </c>
    </row>
    <row r="200" customFormat="false" ht="17.15" hidden="false" customHeight="false" outlineLevel="0" collapsed="false">
      <c r="A200" s="0" t="s">
        <v>732</v>
      </c>
      <c r="B200" s="1" t="s">
        <v>733</v>
      </c>
      <c r="C200" s="0" t="s">
        <v>98</v>
      </c>
      <c r="E200" s="11" t="n">
        <v>467.955</v>
      </c>
      <c r="G200" s="12" t="s">
        <v>107</v>
      </c>
      <c r="H200" s="12" t="s">
        <v>734</v>
      </c>
      <c r="I200" s="12" t="s">
        <v>87</v>
      </c>
    </row>
    <row r="201" customFormat="false" ht="17.15" hidden="false" customHeight="false" outlineLevel="0" collapsed="false">
      <c r="A201" s="0" t="s">
        <v>735</v>
      </c>
      <c r="B201" s="1" t="s">
        <v>736</v>
      </c>
      <c r="C201" s="0" t="s">
        <v>98</v>
      </c>
      <c r="E201" s="11" t="n">
        <v>569.502</v>
      </c>
      <c r="G201" s="12" t="s">
        <v>107</v>
      </c>
      <c r="H201" s="12" t="s">
        <v>734</v>
      </c>
      <c r="I201" s="12" t="s">
        <v>87</v>
      </c>
    </row>
    <row r="202" customFormat="false" ht="17.15" hidden="false" customHeight="false" outlineLevel="0" collapsed="false">
      <c r="A202" s="0" t="s">
        <v>737</v>
      </c>
      <c r="B202" s="1" t="s">
        <v>738</v>
      </c>
      <c r="C202" s="0" t="s">
        <v>98</v>
      </c>
      <c r="E202" s="11" t="n">
        <v>182.305</v>
      </c>
      <c r="G202" s="12" t="s">
        <v>107</v>
      </c>
      <c r="H202" s="12" t="s">
        <v>734</v>
      </c>
      <c r="I202" s="12" t="s">
        <v>739</v>
      </c>
    </row>
    <row r="203" customFormat="false" ht="17.15" hidden="false" customHeight="false" outlineLevel="0" collapsed="false">
      <c r="A203" s="0" t="s">
        <v>740</v>
      </c>
      <c r="B203" s="1" t="s">
        <v>741</v>
      </c>
      <c r="C203" s="0" t="s">
        <v>98</v>
      </c>
      <c r="E203" s="11" t="n">
        <v>192.827</v>
      </c>
      <c r="G203" s="12" t="s">
        <v>107</v>
      </c>
      <c r="H203" s="12" t="s">
        <v>742</v>
      </c>
      <c r="I203" s="1" t="s">
        <v>743</v>
      </c>
    </row>
    <row r="204" customFormat="false" ht="17.15" hidden="false" customHeight="false" outlineLevel="0" collapsed="false">
      <c r="A204" s="0" t="s">
        <v>744</v>
      </c>
      <c r="B204" s="1" t="s">
        <v>745</v>
      </c>
      <c r="C204" s="0" t="s">
        <v>98</v>
      </c>
      <c r="E204" s="11" t="n">
        <v>217.245</v>
      </c>
      <c r="G204" s="12" t="s">
        <v>107</v>
      </c>
      <c r="H204" s="12" t="s">
        <v>734</v>
      </c>
      <c r="I204" s="12" t="s">
        <v>739</v>
      </c>
    </row>
    <row r="205" customFormat="false" ht="17.15" hidden="false" customHeight="false" outlineLevel="0" collapsed="false">
      <c r="A205" s="0" t="s">
        <v>746</v>
      </c>
      <c r="B205" s="1" t="s">
        <v>747</v>
      </c>
      <c r="C205" s="0" t="s">
        <v>98</v>
      </c>
      <c r="E205" s="11" t="n">
        <v>216.787</v>
      </c>
      <c r="G205" s="12" t="s">
        <v>107</v>
      </c>
      <c r="H205" s="12" t="s">
        <v>742</v>
      </c>
      <c r="I205" s="1" t="s">
        <v>743</v>
      </c>
    </row>
    <row r="206" customFormat="false" ht="17.15" hidden="false" customHeight="false" outlineLevel="0" collapsed="false">
      <c r="A206" s="0" t="s">
        <v>748</v>
      </c>
      <c r="B206" s="1" t="s">
        <v>749</v>
      </c>
      <c r="C206" s="0" t="s">
        <v>98</v>
      </c>
      <c r="E206" s="11" t="n">
        <v>262.608</v>
      </c>
      <c r="G206" s="12" t="s">
        <v>107</v>
      </c>
      <c r="H206" s="12" t="s">
        <v>734</v>
      </c>
      <c r="I206" s="12" t="s">
        <v>739</v>
      </c>
    </row>
    <row r="207" customFormat="false" ht="17.15" hidden="false" customHeight="false" outlineLevel="0" collapsed="false">
      <c r="A207" s="0" t="s">
        <v>750</v>
      </c>
      <c r="B207" s="1" t="s">
        <v>751</v>
      </c>
      <c r="C207" s="0" t="s">
        <v>98</v>
      </c>
      <c r="E207" s="11" t="n">
        <v>251.173</v>
      </c>
      <c r="G207" s="12" t="s">
        <v>107</v>
      </c>
      <c r="H207" s="12" t="s">
        <v>742</v>
      </c>
      <c r="I207" s="1" t="s">
        <v>743</v>
      </c>
    </row>
    <row r="208" customFormat="false" ht="17.15" hidden="false" customHeight="false" outlineLevel="0" collapsed="false">
      <c r="A208" s="0" t="s">
        <v>752</v>
      </c>
      <c r="B208" s="1" t="s">
        <v>753</v>
      </c>
      <c r="C208" s="0" t="s">
        <v>75</v>
      </c>
      <c r="E208" s="11" t="n">
        <v>23.6</v>
      </c>
      <c r="G208" s="12" t="s">
        <v>107</v>
      </c>
      <c r="H208" s="12" t="s">
        <v>742</v>
      </c>
      <c r="I208" s="12" t="s">
        <v>87</v>
      </c>
    </row>
    <row r="209" customFormat="false" ht="17.15" hidden="false" customHeight="false" outlineLevel="0" collapsed="false">
      <c r="A209" s="0" t="s">
        <v>754</v>
      </c>
      <c r="B209" s="1" t="s">
        <v>755</v>
      </c>
      <c r="C209" s="0" t="s">
        <v>75</v>
      </c>
      <c r="E209" s="11" t="n">
        <v>29.03</v>
      </c>
      <c r="G209" s="12" t="s">
        <v>107</v>
      </c>
      <c r="H209" s="12" t="s">
        <v>742</v>
      </c>
      <c r="I209" s="12" t="s">
        <v>87</v>
      </c>
    </row>
    <row r="210" customFormat="false" ht="17.15" hidden="false" customHeight="false" outlineLevel="0" collapsed="false">
      <c r="A210" s="0" t="s">
        <v>756</v>
      </c>
      <c r="B210" s="0" t="s">
        <v>757</v>
      </c>
      <c r="C210" s="0" t="s">
        <v>98</v>
      </c>
      <c r="D210" s="11" t="n">
        <v>89.85</v>
      </c>
      <c r="E210" s="11" t="n">
        <v>90.4</v>
      </c>
      <c r="F210" s="11" t="n">
        <v>90.95</v>
      </c>
      <c r="G210" s="12" t="s">
        <v>107</v>
      </c>
      <c r="H210" s="1" t="s">
        <v>758</v>
      </c>
      <c r="I210" s="1" t="s">
        <v>759</v>
      </c>
    </row>
    <row r="211" customFormat="false" ht="17.15" hidden="false" customHeight="false" outlineLevel="0" collapsed="false">
      <c r="A211" s="0" t="s">
        <v>760</v>
      </c>
      <c r="B211" s="0" t="s">
        <v>761</v>
      </c>
      <c r="C211" s="0" t="s">
        <v>98</v>
      </c>
      <c r="D211" s="11" t="n">
        <v>75.15</v>
      </c>
      <c r="E211" s="11" t="n">
        <v>75.45</v>
      </c>
      <c r="F211" s="11" t="n">
        <v>75.75</v>
      </c>
      <c r="G211" s="12" t="s">
        <v>107</v>
      </c>
      <c r="H211" s="1" t="s">
        <v>762</v>
      </c>
      <c r="I211" s="1" t="s">
        <v>763</v>
      </c>
    </row>
    <row r="212" customFormat="false" ht="17.15" hidden="false" customHeight="false" outlineLevel="0" collapsed="false">
      <c r="A212" s="0" t="s">
        <v>764</v>
      </c>
      <c r="B212" s="0" t="s">
        <v>765</v>
      </c>
      <c r="C212" s="0" t="s">
        <v>98</v>
      </c>
      <c r="D212" s="11" t="n">
        <v>14.7</v>
      </c>
      <c r="E212" s="11" t="n">
        <v>14.95</v>
      </c>
      <c r="F212" s="11" t="n">
        <v>15.2</v>
      </c>
      <c r="G212" s="12" t="s">
        <v>107</v>
      </c>
      <c r="H212" s="1" t="s">
        <v>766</v>
      </c>
      <c r="I212" s="1" t="s">
        <v>767</v>
      </c>
    </row>
    <row r="213" customFormat="false" ht="17.15" hidden="false" customHeight="false" outlineLevel="0" collapsed="false">
      <c r="A213" s="0" t="s">
        <v>768</v>
      </c>
      <c r="B213" s="0" t="s">
        <v>769</v>
      </c>
      <c r="C213" s="0" t="s">
        <v>168</v>
      </c>
      <c r="D213" s="13" t="n">
        <v>0.44</v>
      </c>
      <c r="E213" s="13" t="n">
        <v>0.445</v>
      </c>
      <c r="F213" s="13" t="n">
        <v>0.45</v>
      </c>
      <c r="G213" s="12" t="s">
        <v>107</v>
      </c>
      <c r="H213" s="1" t="s">
        <v>770</v>
      </c>
      <c r="I213" s="1" t="s">
        <v>771</v>
      </c>
    </row>
    <row r="214" customFormat="false" ht="17.15" hidden="false" customHeight="false" outlineLevel="0" collapsed="false">
      <c r="A214" s="0" t="s">
        <v>772</v>
      </c>
      <c r="B214" s="0" t="s">
        <v>773</v>
      </c>
      <c r="C214" s="0" t="s">
        <v>98</v>
      </c>
      <c r="E214" s="11" t="n">
        <v>50</v>
      </c>
      <c r="G214" s="12" t="s">
        <v>107</v>
      </c>
      <c r="H214" s="1" t="s">
        <v>774</v>
      </c>
      <c r="I214" s="1" t="s">
        <v>775</v>
      </c>
    </row>
    <row r="215" customFormat="false" ht="17.15" hidden="false" customHeight="false" outlineLevel="0" collapsed="false">
      <c r="A215" s="0" t="s">
        <v>776</v>
      </c>
      <c r="B215" s="0" t="s">
        <v>777</v>
      </c>
      <c r="C215" s="0" t="s">
        <v>98</v>
      </c>
      <c r="D215" s="11" t="n">
        <v>96</v>
      </c>
      <c r="E215" s="11" t="n">
        <v>96.55</v>
      </c>
      <c r="F215" s="11" t="n">
        <v>97.1</v>
      </c>
      <c r="G215" s="12" t="s">
        <v>107</v>
      </c>
      <c r="H215" s="1" t="s">
        <v>778</v>
      </c>
      <c r="I215" s="1" t="s">
        <v>779</v>
      </c>
    </row>
    <row r="216" customFormat="false" ht="17.15" hidden="false" customHeight="false" outlineLevel="0" collapsed="false">
      <c r="A216" s="0" t="s">
        <v>780</v>
      </c>
      <c r="B216" s="0" t="s">
        <v>781</v>
      </c>
      <c r="C216" s="0" t="s">
        <v>98</v>
      </c>
      <c r="D216" s="11" t="n">
        <v>80.1</v>
      </c>
      <c r="E216" s="11" t="n">
        <v>80.4</v>
      </c>
      <c r="F216" s="11" t="n">
        <v>80.7</v>
      </c>
      <c r="G216" s="12" t="s">
        <v>107</v>
      </c>
      <c r="H216" s="1" t="s">
        <v>778</v>
      </c>
      <c r="I216" s="1" t="s">
        <v>782</v>
      </c>
    </row>
    <row r="217" customFormat="false" ht="17.15" hidden="false" customHeight="false" outlineLevel="0" collapsed="false">
      <c r="A217" s="0" t="s">
        <v>783</v>
      </c>
      <c r="B217" s="0" t="s">
        <v>784</v>
      </c>
      <c r="C217" s="0" t="s">
        <v>98</v>
      </c>
      <c r="D217" s="11" t="n">
        <v>15.9</v>
      </c>
      <c r="E217" s="11" t="n">
        <v>16.15</v>
      </c>
      <c r="F217" s="11" t="n">
        <v>16.4</v>
      </c>
      <c r="G217" s="12" t="s">
        <v>107</v>
      </c>
      <c r="H217" s="1" t="s">
        <v>778</v>
      </c>
      <c r="I217" s="1" t="s">
        <v>782</v>
      </c>
    </row>
    <row r="218" customFormat="false" ht="17.15" hidden="false" customHeight="false" outlineLevel="0" collapsed="false">
      <c r="A218" s="0" t="s">
        <v>785</v>
      </c>
      <c r="B218" s="0" t="s">
        <v>786</v>
      </c>
      <c r="C218" s="0" t="s">
        <v>168</v>
      </c>
      <c r="D218" s="13" t="n">
        <v>0.49</v>
      </c>
      <c r="E218" s="13" t="n">
        <v>0.495</v>
      </c>
      <c r="F218" s="13" t="n">
        <v>0.5</v>
      </c>
      <c r="G218" s="12" t="s">
        <v>107</v>
      </c>
      <c r="H218" s="1" t="s">
        <v>778</v>
      </c>
      <c r="I218" s="1" t="s">
        <v>787</v>
      </c>
    </row>
    <row r="219" customFormat="false" ht="17.15" hidden="false" customHeight="false" outlineLevel="0" collapsed="false">
      <c r="A219" s="0" t="s">
        <v>788</v>
      </c>
      <c r="B219" s="0" t="s">
        <v>789</v>
      </c>
      <c r="C219" s="0" t="s">
        <v>168</v>
      </c>
      <c r="D219" s="13" t="n">
        <v>-0.37</v>
      </c>
      <c r="E219" s="13" t="n">
        <v>-0.35</v>
      </c>
      <c r="F219" s="13" t="n">
        <v>-0.33</v>
      </c>
      <c r="G219" s="12" t="s">
        <v>107</v>
      </c>
      <c r="H219" s="1" t="s">
        <v>778</v>
      </c>
      <c r="I219" s="1" t="s">
        <v>790</v>
      </c>
    </row>
    <row r="220" customFormat="false" ht="17.15" hidden="false" customHeight="false" outlineLevel="0" collapsed="false">
      <c r="A220" s="0" t="s">
        <v>791</v>
      </c>
      <c r="B220" s="0" t="s">
        <v>792</v>
      </c>
      <c r="C220" s="0" t="s">
        <v>98</v>
      </c>
      <c r="E220" s="11" t="n">
        <v>50</v>
      </c>
      <c r="G220" s="12" t="s">
        <v>107</v>
      </c>
      <c r="H220" s="1" t="s">
        <v>778</v>
      </c>
      <c r="I220" s="1" t="s">
        <v>793</v>
      </c>
    </row>
    <row r="221" customFormat="false" ht="17.15" hidden="false" customHeight="false" outlineLevel="0" collapsed="false">
      <c r="A221" s="0" t="s">
        <v>794</v>
      </c>
      <c r="B221" s="1" t="s">
        <v>795</v>
      </c>
      <c r="C221" s="0" t="s">
        <v>98</v>
      </c>
      <c r="E221" s="11" t="n">
        <v>170</v>
      </c>
      <c r="G221" s="12" t="s">
        <v>107</v>
      </c>
      <c r="H221" s="1" t="s">
        <v>796</v>
      </c>
      <c r="I221" s="1" t="s">
        <v>797</v>
      </c>
    </row>
    <row r="222" customFormat="false" ht="17.15" hidden="false" customHeight="false" outlineLevel="0" collapsed="false">
      <c r="A222" s="0" t="s">
        <v>798</v>
      </c>
      <c r="B222" s="0" t="s">
        <v>799</v>
      </c>
      <c r="C222" s="0" t="s">
        <v>253</v>
      </c>
      <c r="E222" s="13" t="n">
        <v>-0.01</v>
      </c>
      <c r="G222" s="12" t="s">
        <v>107</v>
      </c>
      <c r="H222" s="1" t="s">
        <v>800</v>
      </c>
      <c r="I222" s="12" t="s">
        <v>801</v>
      </c>
    </row>
    <row r="223" customFormat="false" ht="17.15" hidden="false" customHeight="false" outlineLevel="0" collapsed="false">
      <c r="A223" s="0" t="s">
        <v>802</v>
      </c>
      <c r="B223" s="1" t="s">
        <v>803</v>
      </c>
      <c r="C223" s="0" t="s">
        <v>98</v>
      </c>
      <c r="E223" s="11" t="n">
        <v>37</v>
      </c>
      <c r="G223" s="12" t="s">
        <v>107</v>
      </c>
      <c r="H223" s="1" t="s">
        <v>804</v>
      </c>
      <c r="I223" s="12" t="s">
        <v>805</v>
      </c>
    </row>
    <row r="224" customFormat="false" ht="17.15" hidden="false" customHeight="false" outlineLevel="0" collapsed="false">
      <c r="A224" s="0" t="s">
        <v>806</v>
      </c>
      <c r="B224" s="0" t="s">
        <v>807</v>
      </c>
      <c r="C224" s="0" t="s">
        <v>98</v>
      </c>
      <c r="E224" s="11" t="n">
        <v>10</v>
      </c>
      <c r="G224" s="12" t="s">
        <v>107</v>
      </c>
      <c r="H224" s="1" t="s">
        <v>808</v>
      </c>
      <c r="I224" s="12" t="s">
        <v>809</v>
      </c>
    </row>
    <row r="225" customFormat="false" ht="17.15" hidden="false" customHeight="false" outlineLevel="0" collapsed="false">
      <c r="A225" s="0" t="s">
        <v>810</v>
      </c>
      <c r="B225" s="1" t="s">
        <v>811</v>
      </c>
      <c r="C225" s="1" t="s">
        <v>287</v>
      </c>
      <c r="E225" s="16" t="n">
        <f aca="false">DATE(2028,1,27)</f>
        <v>46779</v>
      </c>
      <c r="G225" s="12" t="s">
        <v>160</v>
      </c>
      <c r="H225" s="1" t="s">
        <v>812</v>
      </c>
      <c r="I225" s="1" t="s">
        <v>813</v>
      </c>
    </row>
    <row r="226" customFormat="false" ht="17.15" hidden="false" customHeight="false" outlineLevel="0" collapsed="false">
      <c r="A226" s="10" t="s">
        <v>814</v>
      </c>
    </row>
    <row r="227" customFormat="false" ht="17.15" hidden="false" customHeight="false" outlineLevel="0" collapsed="false">
      <c r="A227" s="0" t="s">
        <v>815</v>
      </c>
      <c r="B227" s="0" t="s">
        <v>816</v>
      </c>
      <c r="C227" s="0" t="s">
        <v>75</v>
      </c>
      <c r="D227" s="11" t="n">
        <v>360.16</v>
      </c>
      <c r="E227" s="11" t="n">
        <v>359.06</v>
      </c>
      <c r="F227" s="11" t="n">
        <v>380.56</v>
      </c>
      <c r="G227" s="12" t="s">
        <v>90</v>
      </c>
      <c r="H227" s="12" t="s">
        <v>817</v>
      </c>
      <c r="I227" s="1" t="s">
        <v>818</v>
      </c>
    </row>
    <row r="228" customFormat="false" ht="17.15" hidden="false" customHeight="false" outlineLevel="0" collapsed="false">
      <c r="A228" s="0" t="s">
        <v>819</v>
      </c>
      <c r="B228" s="0" t="s">
        <v>820</v>
      </c>
      <c r="C228" s="0" t="s">
        <v>75</v>
      </c>
      <c r="E228" s="11" t="n">
        <v>324.13</v>
      </c>
      <c r="G228" s="12" t="s">
        <v>90</v>
      </c>
      <c r="H228" s="12" t="s">
        <v>821</v>
      </c>
      <c r="I228" s="12" t="s">
        <v>87</v>
      </c>
    </row>
    <row r="229" customFormat="false" ht="17.15" hidden="false" customHeight="false" outlineLevel="0" collapsed="false">
      <c r="A229" s="0" t="s">
        <v>822</v>
      </c>
      <c r="B229" s="0" t="s">
        <v>823</v>
      </c>
      <c r="C229" s="0" t="s">
        <v>75</v>
      </c>
      <c r="E229" s="11" t="n">
        <v>387.64</v>
      </c>
      <c r="G229" s="12" t="s">
        <v>90</v>
      </c>
      <c r="H229" s="12" t="s">
        <v>821</v>
      </c>
      <c r="I229" s="12" t="s">
        <v>87</v>
      </c>
    </row>
    <row r="230" customFormat="false" ht="17.15" hidden="false" customHeight="false" outlineLevel="0" collapsed="false">
      <c r="A230" s="0" t="s">
        <v>824</v>
      </c>
      <c r="B230" s="0" t="s">
        <v>825</v>
      </c>
      <c r="C230" s="0" t="s">
        <v>168</v>
      </c>
      <c r="E230" s="13" t="n">
        <v>0.45</v>
      </c>
      <c r="G230" s="12" t="s">
        <v>90</v>
      </c>
      <c r="H230" s="12" t="s">
        <v>826</v>
      </c>
      <c r="I230" s="12" t="s">
        <v>87</v>
      </c>
    </row>
    <row r="232" customFormat="false" ht="17.15" hidden="false" customHeight="false" outlineLevel="0" collapsed="false">
      <c r="A232" s="10" t="s">
        <v>827</v>
      </c>
    </row>
    <row r="233" customFormat="false" ht="17.15" hidden="false" customHeight="false" outlineLevel="0" collapsed="false">
      <c r="A233" s="4" t="s">
        <v>64</v>
      </c>
      <c r="B233" s="4" t="s">
        <v>43</v>
      </c>
      <c r="C233" s="4" t="s">
        <v>65</v>
      </c>
      <c r="D233" s="4" t="s">
        <v>44</v>
      </c>
      <c r="E233" s="4" t="s">
        <v>45</v>
      </c>
      <c r="F233" s="4" t="s">
        <v>46</v>
      </c>
      <c r="G233" s="4" t="s">
        <v>69</v>
      </c>
      <c r="H233" s="4" t="s">
        <v>47</v>
      </c>
    </row>
    <row r="234" customFormat="false" ht="17.15" hidden="false" customHeight="false" outlineLevel="0" collapsed="false">
      <c r="A234" s="0" t="s">
        <v>828</v>
      </c>
      <c r="B234" s="1" t="s">
        <v>829</v>
      </c>
      <c r="C234" s="0" t="s">
        <v>168</v>
      </c>
      <c r="D234" s="7" t="n">
        <f aca="false">E149</f>
        <v>0.45</v>
      </c>
      <c r="E234" s="7" t="n">
        <f aca="false">E150</f>
        <v>0.7</v>
      </c>
      <c r="F234" s="7" t="n">
        <f aca="false">E151</f>
        <v>1</v>
      </c>
      <c r="G234" s="12" t="s">
        <v>90</v>
      </c>
      <c r="H234" s="1" t="s">
        <v>830</v>
      </c>
    </row>
    <row r="235" customFormat="false" ht="17.15" hidden="false" customHeight="false" outlineLevel="0" collapsed="false">
      <c r="A235" s="0" t="s">
        <v>831</v>
      </c>
      <c r="B235" s="0" t="s">
        <v>832</v>
      </c>
      <c r="C235" s="0" t="s">
        <v>229</v>
      </c>
      <c r="D235" s="15" t="n">
        <f aca="false">E152</f>
        <v>1.40640619155662</v>
      </c>
      <c r="E235" s="15" t="n">
        <f aca="false">E153</f>
        <v>1.17213932619116</v>
      </c>
      <c r="F235" s="15" t="n">
        <f aca="false">E154</f>
        <v>0.891019087752599</v>
      </c>
      <c r="G235" s="12" t="s">
        <v>90</v>
      </c>
      <c r="H235" s="1" t="s">
        <v>833</v>
      </c>
    </row>
    <row r="236" customFormat="false" ht="17.15" hidden="false" customHeight="false" outlineLevel="0" collapsed="false">
      <c r="A236" s="0" t="s">
        <v>834</v>
      </c>
      <c r="B236" s="0" t="s">
        <v>835</v>
      </c>
      <c r="C236" s="1" t="s">
        <v>613</v>
      </c>
      <c r="D236" s="21" t="n">
        <f aca="false">E164</f>
        <v>30</v>
      </c>
      <c r="E236" s="21" t="n">
        <f aca="false">E165</f>
        <v>20</v>
      </c>
      <c r="F236" s="21" t="n">
        <f aca="false">E166</f>
        <v>10</v>
      </c>
      <c r="G236" s="12" t="s">
        <v>90</v>
      </c>
      <c r="H236" s="1" t="s">
        <v>836</v>
      </c>
    </row>
    <row r="237" customFormat="false" ht="17.15" hidden="false" customHeight="false" outlineLevel="0" collapsed="false">
      <c r="A237" s="0" t="s">
        <v>837</v>
      </c>
      <c r="B237" s="1" t="s">
        <v>838</v>
      </c>
      <c r="C237" s="0" t="s">
        <v>168</v>
      </c>
      <c r="D237" s="22" t="n">
        <f aca="false">E75</f>
        <v>0.25</v>
      </c>
      <c r="E237" s="22" t="n">
        <f aca="false">E76</f>
        <v>0.5</v>
      </c>
      <c r="F237" s="22" t="n">
        <f aca="false">E77</f>
        <v>0.25</v>
      </c>
      <c r="G237" s="12" t="s">
        <v>90</v>
      </c>
      <c r="H237" s="1" t="s">
        <v>839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13" min="2" style="0" width="13"/>
    <col collapsed="false" customWidth="true" hidden="false" outlineLevel="0" max="14" min="14" style="0" width="16"/>
    <col collapsed="false" customWidth="true" hidden="false" outlineLevel="0" max="15" min="15" style="0" width="70"/>
  </cols>
  <sheetData>
    <row r="1" customFormat="false" ht="17.15" hidden="false" customHeight="false" outlineLevel="0" collapsed="false">
      <c r="A1" s="0" t="s">
        <v>840</v>
      </c>
    </row>
    <row r="2" customFormat="false" ht="17.15" hidden="false" customHeight="false" outlineLevel="0" collapsed="false">
      <c r="A2" s="1" t="s">
        <v>841</v>
      </c>
    </row>
    <row r="3" customFormat="false" ht="17.15" hidden="false" customHeight="false" outlineLevel="0" collapsed="false">
      <c r="A3" s="4" t="s">
        <v>43</v>
      </c>
      <c r="B3" s="23" t="s">
        <v>842</v>
      </c>
      <c r="C3" s="23" t="s">
        <v>843</v>
      </c>
      <c r="D3" s="23" t="s">
        <v>844</v>
      </c>
      <c r="E3" s="23" t="s">
        <v>845</v>
      </c>
      <c r="F3" s="23" t="s">
        <v>846</v>
      </c>
      <c r="G3" s="23" t="s">
        <v>847</v>
      </c>
      <c r="H3" s="23" t="s">
        <v>848</v>
      </c>
      <c r="I3" s="23" t="s">
        <v>849</v>
      </c>
      <c r="J3" s="23" t="s">
        <v>850</v>
      </c>
      <c r="K3" s="23" t="s">
        <v>851</v>
      </c>
      <c r="L3" s="23" t="s">
        <v>852</v>
      </c>
      <c r="M3" s="23" t="s">
        <v>853</v>
      </c>
      <c r="N3" s="4" t="s">
        <v>69</v>
      </c>
      <c r="O3" s="4" t="s">
        <v>854</v>
      </c>
    </row>
    <row r="4" customFormat="false" ht="17.15" hidden="false" customHeight="false" outlineLevel="0" collapsed="false">
      <c r="A4" s="10" t="s">
        <v>855</v>
      </c>
    </row>
    <row r="5" customFormat="false" ht="17.15" hidden="false" customHeight="false" outlineLevel="0" collapsed="false">
      <c r="A5" s="0" t="s">
        <v>856</v>
      </c>
      <c r="B5" s="24" t="n">
        <v>52.766</v>
      </c>
      <c r="C5" s="24" t="n">
        <v>54.763</v>
      </c>
      <c r="D5" s="24" t="n">
        <v>60.778</v>
      </c>
      <c r="E5" s="24" t="n">
        <v>61.672</v>
      </c>
      <c r="F5" s="24" t="n">
        <v>64.441</v>
      </c>
      <c r="G5" s="24" t="n">
        <v>67.438</v>
      </c>
      <c r="H5" s="24" t="n">
        <v>74.576</v>
      </c>
      <c r="I5" s="24" t="n">
        <v>76.795</v>
      </c>
      <c r="J5" s="25" t="n">
        <f aca="false">SUM(E5:H5)</f>
        <v>268.127</v>
      </c>
      <c r="K5" s="25" t="n">
        <f aca="false">I5</f>
        <v>76.795</v>
      </c>
      <c r="L5" s="24" t="n">
        <v>218.783</v>
      </c>
      <c r="M5" s="24" t="n">
        <v>268.127</v>
      </c>
      <c r="N5" s="12" t="s">
        <v>76</v>
      </c>
      <c r="O5" s="12" t="s">
        <v>857</v>
      </c>
    </row>
    <row r="6" customFormat="false" ht="17.15" hidden="false" customHeight="false" outlineLevel="0" collapsed="false">
      <c r="A6" s="0" t="s">
        <v>858</v>
      </c>
      <c r="B6" s="24" t="n">
        <v>17.337</v>
      </c>
      <c r="C6" s="24" t="n">
        <v>18.54</v>
      </c>
      <c r="D6" s="24" t="n">
        <v>20.712</v>
      </c>
      <c r="E6" s="24" t="n">
        <v>22.384</v>
      </c>
      <c r="F6" s="24" t="n">
        <v>24.129</v>
      </c>
      <c r="G6" s="24" t="n">
        <v>26.008</v>
      </c>
      <c r="H6" s="24" t="n">
        <v>29.417</v>
      </c>
      <c r="I6" s="24" t="n">
        <v>33.165</v>
      </c>
      <c r="J6" s="25" t="n">
        <f aca="false">SUM(E6:H6)</f>
        <v>101.938</v>
      </c>
      <c r="K6" s="25" t="n">
        <f aca="false">I6</f>
        <v>33.165</v>
      </c>
      <c r="L6" s="24" t="n">
        <v>72.61</v>
      </c>
      <c r="M6" s="24" t="n">
        <v>101.938</v>
      </c>
      <c r="N6" s="12" t="s">
        <v>76</v>
      </c>
      <c r="O6" s="12" t="s">
        <v>859</v>
      </c>
    </row>
    <row r="7" customFormat="false" ht="17.15" hidden="false" customHeight="false" outlineLevel="0" collapsed="false">
      <c r="A7" s="0" t="s">
        <v>860</v>
      </c>
      <c r="B7" s="24" t="n">
        <v>20.686</v>
      </c>
      <c r="C7" s="24" t="n">
        <v>20.967</v>
      </c>
      <c r="D7" s="24" t="n">
        <v>22.935</v>
      </c>
      <c r="E7" s="24" t="n">
        <v>23.694</v>
      </c>
      <c r="F7" s="24" t="n">
        <v>24.466</v>
      </c>
      <c r="G7" s="24" t="n">
        <v>25.418</v>
      </c>
      <c r="H7" s="24" t="n">
        <v>26.721</v>
      </c>
      <c r="I7" s="24" t="n">
        <v>27.778</v>
      </c>
      <c r="J7" s="25" t="n">
        <f aca="false">SUM(E7:H7)</f>
        <v>100.299</v>
      </c>
      <c r="K7" s="25" t="n">
        <f aca="false">I7</f>
        <v>27.778</v>
      </c>
      <c r="L7" s="24" t="n">
        <v>84.605</v>
      </c>
      <c r="M7" s="24" t="n">
        <v>100.299</v>
      </c>
      <c r="N7" s="12" t="s">
        <v>76</v>
      </c>
      <c r="O7" s="12" t="s">
        <v>861</v>
      </c>
    </row>
    <row r="8" customFormat="false" ht="17.15" hidden="false" customHeight="false" outlineLevel="0" collapsed="false">
      <c r="A8" s="0" t="s">
        <v>862</v>
      </c>
      <c r="B8" s="24" t="n">
        <v>8.307</v>
      </c>
      <c r="C8" s="24" t="n">
        <v>8.731</v>
      </c>
      <c r="D8" s="24" t="n">
        <v>10.302</v>
      </c>
      <c r="E8" s="24" t="n">
        <v>8.678</v>
      </c>
      <c r="F8" s="24" t="n">
        <v>8.814</v>
      </c>
      <c r="G8" s="24" t="n">
        <v>8.76</v>
      </c>
      <c r="H8" s="24" t="n">
        <v>11.033</v>
      </c>
      <c r="I8" s="24" t="n">
        <v>8.407</v>
      </c>
      <c r="J8" s="25" t="n">
        <f aca="false">SUM(E8:H8)</f>
        <v>37.285</v>
      </c>
      <c r="K8" s="25" t="n">
        <f aca="false">I8</f>
        <v>8.407</v>
      </c>
      <c r="L8" s="24" t="n">
        <v>35.391</v>
      </c>
      <c r="M8" s="24" t="n">
        <v>37.285</v>
      </c>
      <c r="N8" s="12" t="s">
        <v>76</v>
      </c>
      <c r="O8" s="12" t="s">
        <v>863</v>
      </c>
    </row>
    <row r="9" customFormat="false" ht="17.15" hidden="false" customHeight="false" outlineLevel="0" collapsed="false">
      <c r="A9" s="0" t="s">
        <v>864</v>
      </c>
      <c r="B9" s="24" t="n">
        <v>4.544</v>
      </c>
      <c r="C9" s="24" t="n">
        <v>4.579</v>
      </c>
      <c r="D9" s="24" t="n">
        <v>4.835</v>
      </c>
      <c r="E9" s="24" t="n">
        <v>4.894</v>
      </c>
      <c r="F9" s="24" t="n">
        <v>4.994</v>
      </c>
      <c r="G9" s="24" t="n">
        <v>5.165</v>
      </c>
      <c r="H9" s="24" t="n">
        <v>5.292</v>
      </c>
      <c r="I9" s="24" t="n">
        <v>5.337</v>
      </c>
      <c r="J9" s="25" t="n">
        <f aca="false">SUM(E9:H9)</f>
        <v>20.345</v>
      </c>
      <c r="K9" s="25" t="n">
        <f aca="false">I9</f>
        <v>5.337</v>
      </c>
      <c r="L9" s="24" t="n">
        <v>18.417</v>
      </c>
      <c r="M9" s="24" t="n">
        <v>20.345</v>
      </c>
      <c r="N9" s="12" t="s">
        <v>76</v>
      </c>
      <c r="O9" s="12" t="s">
        <v>865</v>
      </c>
    </row>
    <row r="10" customFormat="false" ht="17.15" hidden="false" customHeight="false" outlineLevel="0" collapsed="false">
      <c r="A10" s="0" t="s">
        <v>866</v>
      </c>
      <c r="B10" s="24" t="n">
        <v>1.892</v>
      </c>
      <c r="C10" s="24" t="n">
        <v>1.946</v>
      </c>
      <c r="D10" s="24" t="n">
        <v>1.994</v>
      </c>
      <c r="E10" s="24" t="n">
        <v>2.022</v>
      </c>
      <c r="F10" s="24" t="n">
        <v>2.038</v>
      </c>
      <c r="G10" s="24" t="n">
        <v>2.087</v>
      </c>
      <c r="H10" s="24" t="n">
        <v>2.113</v>
      </c>
      <c r="I10" s="24" t="n">
        <v>2.108</v>
      </c>
      <c r="J10" s="25" t="n">
        <f aca="false">SUM(E10:H10)</f>
        <v>8.26</v>
      </c>
      <c r="K10" s="25" t="n">
        <f aca="false">I10</f>
        <v>2.108</v>
      </c>
      <c r="L10" s="24" t="n">
        <v>7.76</v>
      </c>
      <c r="M10" s="24" t="n">
        <v>8.26</v>
      </c>
      <c r="N10" s="12" t="s">
        <v>76</v>
      </c>
      <c r="O10" s="12" t="s">
        <v>867</v>
      </c>
    </row>
    <row r="11" customFormat="false" ht="17.15" hidden="false" customHeight="false" outlineLevel="0" collapsed="false">
      <c r="A11" s="26" t="s">
        <v>868</v>
      </c>
      <c r="B11" s="27" t="n">
        <f aca="false">SUM(B6:B10)-B5</f>
        <v>0</v>
      </c>
      <c r="C11" s="27" t="n">
        <f aca="false">SUM(C6:C10)-C5</f>
        <v>0</v>
      </c>
      <c r="D11" s="27" t="n">
        <f aca="false">SUM(D6:D10)-D5</f>
        <v>0</v>
      </c>
      <c r="E11" s="27" t="n">
        <f aca="false">SUM(E6:E10)-E5</f>
        <v>0</v>
      </c>
      <c r="F11" s="27" t="n">
        <f aca="false">SUM(F6:F10)-F5</f>
        <v>0</v>
      </c>
      <c r="G11" s="27" t="n">
        <f aca="false">SUM(G6:G10)-G5</f>
        <v>0</v>
      </c>
      <c r="H11" s="27" t="n">
        <f aca="false">SUM(H6:H10)-H5</f>
        <v>0</v>
      </c>
      <c r="I11" s="27" t="n">
        <f aca="false">SUM(I6:I10)-I5</f>
        <v>0</v>
      </c>
      <c r="J11" s="27" t="n">
        <f aca="false">SUM(J6:J10)-J5</f>
        <v>0</v>
      </c>
      <c r="K11" s="27" t="n">
        <f aca="false">SUM(K6:K10)-K5</f>
        <v>0</v>
      </c>
      <c r="L11" s="27" t="n">
        <f aca="false">SUM(L6:L10)-L5</f>
        <v>0</v>
      </c>
      <c r="M11" s="27" t="n">
        <f aca="false">SUM(M6:M10)-M5</f>
        <v>0</v>
      </c>
      <c r="N11" s="1" t="s">
        <v>869</v>
      </c>
    </row>
    <row r="12" customFormat="false" ht="17.15" hidden="false" customHeight="false" outlineLevel="0" collapsed="false">
      <c r="A12" s="0" t="s">
        <v>870</v>
      </c>
      <c r="B12" s="24" t="n">
        <v>16.866</v>
      </c>
      <c r="C12" s="24" t="n">
        <v>15.303</v>
      </c>
      <c r="D12" s="24" t="n">
        <v>15.663</v>
      </c>
      <c r="E12" s="24" t="n">
        <v>16.001</v>
      </c>
      <c r="F12" s="24" t="n">
        <v>16.832</v>
      </c>
      <c r="G12" s="24" t="n">
        <v>15.448</v>
      </c>
      <c r="H12" s="24" t="n">
        <v>15.431</v>
      </c>
      <c r="I12" s="24" t="n">
        <v>15.484</v>
      </c>
      <c r="J12" s="25" t="n">
        <f aca="false">SUM(E12:H12)</f>
        <v>63.712</v>
      </c>
      <c r="K12" s="25" t="n">
        <f aca="false">I12</f>
        <v>15.484</v>
      </c>
      <c r="L12" s="24" t="n">
        <v>62.941</v>
      </c>
      <c r="M12" s="24" t="n">
        <v>63.712</v>
      </c>
      <c r="N12" s="12" t="s">
        <v>76</v>
      </c>
      <c r="O12" s="12" t="s">
        <v>871</v>
      </c>
    </row>
    <row r="13" customFormat="false" ht="17.15" hidden="false" customHeight="false" outlineLevel="0" collapsed="false">
      <c r="A13" s="0" t="s">
        <v>872</v>
      </c>
      <c r="B13" s="24" t="n">
        <v>5.773</v>
      </c>
      <c r="C13" s="24" t="n">
        <v>5.437</v>
      </c>
      <c r="D13" s="24" t="n">
        <v>5.802</v>
      </c>
      <c r="E13" s="24" t="n">
        <v>5.942</v>
      </c>
      <c r="F13" s="24" t="n">
        <v>6.393</v>
      </c>
      <c r="G13" s="24" t="n">
        <v>6.065</v>
      </c>
      <c r="H13" s="24" t="n">
        <v>6.435</v>
      </c>
      <c r="I13" s="24" t="n">
        <v>6.554</v>
      </c>
      <c r="J13" s="25" t="n">
        <f aca="false">SUM(E13:H13)</f>
        <v>24.835</v>
      </c>
      <c r="K13" s="25" t="n">
        <f aca="false">I13</f>
        <v>6.554</v>
      </c>
      <c r="L13" s="24" t="n">
        <v>22.171</v>
      </c>
      <c r="M13" s="24" t="n">
        <v>24.835</v>
      </c>
      <c r="N13" s="12" t="s">
        <v>76</v>
      </c>
      <c r="O13" s="12" t="s">
        <v>873</v>
      </c>
    </row>
    <row r="14" customFormat="false" ht="17.15" hidden="false" customHeight="false" outlineLevel="0" collapsed="false">
      <c r="A14" s="0" t="s">
        <v>874</v>
      </c>
      <c r="B14" s="24" t="n">
        <v>6.581</v>
      </c>
      <c r="C14" s="24" t="n">
        <v>5.721</v>
      </c>
      <c r="D14" s="24" t="n">
        <v>5.532</v>
      </c>
      <c r="E14" s="24" t="n">
        <v>5.508</v>
      </c>
      <c r="F14" s="24" t="n">
        <v>5.958</v>
      </c>
      <c r="G14" s="24" t="n">
        <v>5.341</v>
      </c>
      <c r="H14" s="24" t="n">
        <v>4.983</v>
      </c>
      <c r="I14" s="24" t="n">
        <v>5.379</v>
      </c>
      <c r="J14" s="25" t="n">
        <f aca="false">SUM(E14:H14)</f>
        <v>21.79</v>
      </c>
      <c r="K14" s="25" t="n">
        <f aca="false">I14</f>
        <v>5.379</v>
      </c>
      <c r="L14" s="24" t="n">
        <v>23.455</v>
      </c>
      <c r="M14" s="24" t="n">
        <v>21.79</v>
      </c>
      <c r="N14" s="12" t="s">
        <v>76</v>
      </c>
      <c r="O14" s="12" t="s">
        <v>875</v>
      </c>
    </row>
    <row r="15" customFormat="false" ht="17.15" hidden="false" customHeight="false" outlineLevel="0" collapsed="false">
      <c r="A15" s="0" t="s">
        <v>876</v>
      </c>
      <c r="B15" s="24" t="n">
        <v>4.512</v>
      </c>
      <c r="C15" s="24" t="n">
        <v>4.145</v>
      </c>
      <c r="D15" s="24" t="n">
        <v>4.329</v>
      </c>
      <c r="E15" s="24" t="n">
        <v>4.551</v>
      </c>
      <c r="F15" s="24" t="n">
        <v>4.481</v>
      </c>
      <c r="G15" s="24" t="n">
        <v>4.042</v>
      </c>
      <c r="H15" s="24" t="n">
        <v>4.013</v>
      </c>
      <c r="I15" s="24" t="n">
        <v>3.551</v>
      </c>
      <c r="J15" s="25" t="n">
        <f aca="false">SUM(E15:H15)</f>
        <v>17.087</v>
      </c>
      <c r="K15" s="25" t="n">
        <f aca="false">I15</f>
        <v>3.551</v>
      </c>
      <c r="L15" s="24" t="n">
        <v>17.315</v>
      </c>
      <c r="M15" s="24" t="n">
        <v>17.087</v>
      </c>
      <c r="N15" s="12" t="s">
        <v>76</v>
      </c>
      <c r="O15" s="12" t="s">
        <v>877</v>
      </c>
    </row>
    <row r="16" customFormat="false" ht="17.15" hidden="false" customHeight="false" outlineLevel="0" collapsed="false">
      <c r="A16" s="26" t="s">
        <v>878</v>
      </c>
      <c r="B16" s="27" t="n">
        <f aca="false">SUM(B13:B15)-B12</f>
        <v>0</v>
      </c>
      <c r="C16" s="27" t="n">
        <f aca="false">SUM(C13:C15)-C12</f>
        <v>0</v>
      </c>
      <c r="D16" s="27" t="n">
        <f aca="false">SUM(D13:D15)-D12</f>
        <v>0</v>
      </c>
      <c r="E16" s="27" t="n">
        <f aca="false">SUM(E13:E15)-E12</f>
        <v>0</v>
      </c>
      <c r="F16" s="27" t="n">
        <f aca="false">SUM(F13:F15)-F12</f>
        <v>0</v>
      </c>
      <c r="G16" s="27" t="n">
        <f aca="false">SUM(G13:G15)-G12</f>
        <v>0</v>
      </c>
      <c r="H16" s="27" t="n">
        <f aca="false">SUM(H13:H15)-H12</f>
        <v>0</v>
      </c>
      <c r="I16" s="27" t="n">
        <f aca="false">SUM(I13:I15)-I12</f>
        <v>0</v>
      </c>
      <c r="J16" s="27" t="n">
        <f aca="false">SUM(J13:J15)-J12</f>
        <v>0</v>
      </c>
      <c r="K16" s="27" t="n">
        <f aca="false">SUM(K13:K15)-K12</f>
        <v>0</v>
      </c>
      <c r="L16" s="27" t="n">
        <f aca="false">SUM(L13:L15)-L12</f>
        <v>0</v>
      </c>
      <c r="M16" s="27" t="n">
        <f aca="false">SUM(M13:M15)-M12</f>
        <v>0</v>
      </c>
      <c r="N16" s="1" t="s">
        <v>869</v>
      </c>
    </row>
    <row r="17" customFormat="false" ht="15" hidden="false" customHeight="false" outlineLevel="0" collapsed="false">
      <c r="A17" s="1" t="s">
        <v>879</v>
      </c>
      <c r="B17" s="25" t="n">
        <f aca="false">B5+B12</f>
        <v>69.632</v>
      </c>
      <c r="C17" s="25" t="n">
        <f aca="false">C5+C12</f>
        <v>70.066</v>
      </c>
      <c r="D17" s="25" t="n">
        <f aca="false">D5+D12</f>
        <v>76.441</v>
      </c>
      <c r="E17" s="25" t="n">
        <f aca="false">E5+E12</f>
        <v>77.673</v>
      </c>
      <c r="F17" s="25" t="n">
        <f aca="false">F5+F12</f>
        <v>81.273</v>
      </c>
      <c r="G17" s="25" t="n">
        <f aca="false">G5+G12</f>
        <v>82.886</v>
      </c>
      <c r="H17" s="25" t="n">
        <f aca="false">H5+H12</f>
        <v>90.007</v>
      </c>
      <c r="I17" s="25" t="n">
        <f aca="false">I5+I12</f>
        <v>92.279</v>
      </c>
      <c r="J17" s="25" t="n">
        <f aca="false">SUM(E17:H17)</f>
        <v>331.839</v>
      </c>
      <c r="K17" s="25" t="n">
        <f aca="false">I17</f>
        <v>92.279</v>
      </c>
      <c r="L17" s="25" t="n">
        <f aca="false">L5+L12</f>
        <v>281.724</v>
      </c>
      <c r="M17" s="25" t="n">
        <f aca="false">M5+M12</f>
        <v>331.839</v>
      </c>
      <c r="N17" s="12" t="s">
        <v>90</v>
      </c>
    </row>
    <row r="18" customFormat="false" ht="17.15" hidden="false" customHeight="false" outlineLevel="0" collapsed="false">
      <c r="A18" s="1" t="s">
        <v>880</v>
      </c>
      <c r="B18" s="24" t="n">
        <v>69.632</v>
      </c>
      <c r="C18" s="24" t="n">
        <v>70.066</v>
      </c>
      <c r="D18" s="24" t="n">
        <v>76.441</v>
      </c>
      <c r="E18" s="24" t="n">
        <v>77.673</v>
      </c>
      <c r="F18" s="24" t="n">
        <v>81.273</v>
      </c>
      <c r="G18" s="24" t="n">
        <v>82.886</v>
      </c>
      <c r="H18" s="24" t="n">
        <v>90.007</v>
      </c>
      <c r="I18" s="24" t="n">
        <v>92.279</v>
      </c>
      <c r="J18" s="25" t="n">
        <f aca="false">SUM(E18:H18)</f>
        <v>331.839</v>
      </c>
      <c r="K18" s="25" t="n">
        <f aca="false">I18</f>
        <v>92.279</v>
      </c>
      <c r="L18" s="24" t="n">
        <v>281.724</v>
      </c>
      <c r="M18" s="24" t="n">
        <v>331.839</v>
      </c>
      <c r="N18" s="12" t="s">
        <v>76</v>
      </c>
      <c r="O18" s="1" t="s">
        <v>881</v>
      </c>
    </row>
    <row r="19" customFormat="false" ht="15" hidden="false" customHeight="false" outlineLevel="0" collapsed="false">
      <c r="A19" s="26" t="s">
        <v>882</v>
      </c>
      <c r="B19" s="27" t="n">
        <f aca="false">B17-B18</f>
        <v>0</v>
      </c>
      <c r="C19" s="27" t="n">
        <f aca="false">C17-C18</f>
        <v>0</v>
      </c>
      <c r="D19" s="27" t="n">
        <f aca="false">D17-D18</f>
        <v>0</v>
      </c>
      <c r="E19" s="27" t="n">
        <f aca="false">E17-E18</f>
        <v>0</v>
      </c>
      <c r="F19" s="27" t="n">
        <f aca="false">F17-F18</f>
        <v>0</v>
      </c>
      <c r="G19" s="27" t="n">
        <f aca="false">G17-G18</f>
        <v>0</v>
      </c>
      <c r="H19" s="27" t="n">
        <f aca="false">H17-H18</f>
        <v>0</v>
      </c>
      <c r="I19" s="27" t="n">
        <f aca="false">I17-I18</f>
        <v>0</v>
      </c>
      <c r="J19" s="27" t="n">
        <f aca="false">J17-J18</f>
        <v>0</v>
      </c>
      <c r="K19" s="27" t="n">
        <f aca="false">K17-K18</f>
        <v>0</v>
      </c>
      <c r="L19" s="27" t="n">
        <f aca="false">L17-L18</f>
        <v>0</v>
      </c>
      <c r="M19" s="27" t="n">
        <f aca="false">M17-M18</f>
        <v>0</v>
      </c>
      <c r="N19" s="1" t="s">
        <v>869</v>
      </c>
    </row>
    <row r="20" customFormat="false" ht="17.15" hidden="false" customHeight="false" outlineLevel="0" collapsed="false">
      <c r="A20" s="10" t="s">
        <v>883</v>
      </c>
    </row>
    <row r="21" customFormat="false" ht="17.15" hidden="false" customHeight="false" outlineLevel="0" collapsed="false">
      <c r="A21" s="0" t="s">
        <v>884</v>
      </c>
      <c r="B21" s="24" t="n">
        <v>26.718</v>
      </c>
      <c r="C21" s="24" t="n">
        <v>27.704</v>
      </c>
      <c r="D21" s="24" t="n">
        <v>30.221</v>
      </c>
      <c r="E21" s="24" t="n">
        <v>32.718</v>
      </c>
      <c r="F21" s="24" t="n">
        <v>33.167</v>
      </c>
      <c r="G21" s="24" t="n">
        <v>33.748</v>
      </c>
      <c r="H21" s="24" t="n">
        <v>36.732</v>
      </c>
      <c r="I21" s="24" t="n">
        <v>40.558</v>
      </c>
      <c r="J21" s="25" t="n">
        <f aca="false">SUM(E21:H21)</f>
        <v>136.365</v>
      </c>
      <c r="K21" s="25" t="n">
        <f aca="false">I21</f>
        <v>40.558</v>
      </c>
      <c r="L21" s="24" t="n">
        <v>110.814</v>
      </c>
      <c r="M21" s="24" t="n">
        <v>136.365</v>
      </c>
      <c r="N21" s="12" t="s">
        <v>76</v>
      </c>
      <c r="O21" s="12" t="s">
        <v>885</v>
      </c>
    </row>
    <row r="22" customFormat="false" ht="17.15" hidden="false" customHeight="false" outlineLevel="0" collapsed="false">
      <c r="A22" s="0" t="s">
        <v>886</v>
      </c>
      <c r="B22" s="24" t="n">
        <v>4.935</v>
      </c>
      <c r="C22" s="24" t="n">
        <v>4.296</v>
      </c>
      <c r="D22" s="24" t="n">
        <v>4.102</v>
      </c>
      <c r="E22" s="24" t="n">
        <v>5.243</v>
      </c>
      <c r="F22" s="24" t="n">
        <v>5.108</v>
      </c>
      <c r="G22" s="24" t="n">
        <v>4.65</v>
      </c>
      <c r="H22" s="24" t="n">
        <v>3.871</v>
      </c>
      <c r="I22" s="24" t="n">
        <v>5.357</v>
      </c>
      <c r="J22" s="25" t="n">
        <f aca="false">SUM(E22:H22)</f>
        <v>18.872</v>
      </c>
      <c r="K22" s="25" t="n">
        <f aca="false">I22</f>
        <v>5.357</v>
      </c>
      <c r="L22" s="24" t="n">
        <v>17.714</v>
      </c>
      <c r="M22" s="24" t="n">
        <v>18.872</v>
      </c>
      <c r="N22" s="12" t="s">
        <v>76</v>
      </c>
      <c r="O22" s="12" t="s">
        <v>887</v>
      </c>
    </row>
    <row r="23" customFormat="false" ht="17.15" hidden="false" customHeight="false" outlineLevel="0" collapsed="false">
      <c r="A23" s="1" t="s">
        <v>888</v>
      </c>
      <c r="B23" s="24" t="n">
        <v>31.653</v>
      </c>
      <c r="C23" s="24" t="n">
        <v>32</v>
      </c>
      <c r="D23" s="24" t="n">
        <v>34.323</v>
      </c>
      <c r="E23" s="24" t="n">
        <v>37.961</v>
      </c>
      <c r="F23" s="24" t="n">
        <v>38.275</v>
      </c>
      <c r="G23" s="24" t="n">
        <v>38.398</v>
      </c>
      <c r="H23" s="24" t="n">
        <v>40.603</v>
      </c>
      <c r="I23" s="24" t="n">
        <v>45.915</v>
      </c>
      <c r="J23" s="25" t="n">
        <f aca="false">SUM(E23:H23)</f>
        <v>155.237</v>
      </c>
      <c r="K23" s="25" t="n">
        <f aca="false">I23</f>
        <v>45.915</v>
      </c>
      <c r="L23" s="24" t="n">
        <v>128.528</v>
      </c>
      <c r="M23" s="24" t="n">
        <v>155.237</v>
      </c>
      <c r="N23" s="12" t="s">
        <v>76</v>
      </c>
      <c r="O23" s="1" t="s">
        <v>889</v>
      </c>
    </row>
    <row r="24" customFormat="false" ht="17.15" hidden="false" customHeight="false" outlineLevel="0" collapsed="false">
      <c r="A24" s="26" t="s">
        <v>890</v>
      </c>
      <c r="B24" s="27" t="n">
        <f aca="false">B21+B22-B23</f>
        <v>0</v>
      </c>
      <c r="C24" s="27" t="n">
        <f aca="false">C21+C22-C23</f>
        <v>0</v>
      </c>
      <c r="D24" s="27" t="n">
        <f aca="false">D21+D22-D23</f>
        <v>0</v>
      </c>
      <c r="E24" s="27" t="n">
        <f aca="false">E21+E22-E23</f>
        <v>0</v>
      </c>
      <c r="F24" s="27" t="n">
        <f aca="false">F21+F22-F23</f>
        <v>0</v>
      </c>
      <c r="G24" s="27" t="n">
        <f aca="false">G21+G22-G23</f>
        <v>0</v>
      </c>
      <c r="H24" s="27" t="n">
        <f aca="false">H21+H22-H23</f>
        <v>0</v>
      </c>
      <c r="I24" s="27" t="n">
        <f aca="false">I21+I22-I23</f>
        <v>0</v>
      </c>
      <c r="J24" s="27" t="n">
        <f aca="false">J21+J22-J23</f>
        <v>0</v>
      </c>
      <c r="K24" s="27" t="n">
        <f aca="false">K21+K22-K23</f>
        <v>0</v>
      </c>
      <c r="L24" s="27" t="n">
        <f aca="false">L21+L22-L23</f>
        <v>0</v>
      </c>
      <c r="M24" s="27" t="n">
        <f aca="false">M21+M22-M23</f>
        <v>0</v>
      </c>
      <c r="N24" s="1" t="s">
        <v>869</v>
      </c>
    </row>
    <row r="25" customFormat="false" ht="17.15" hidden="false" customHeight="false" outlineLevel="0" collapsed="false">
      <c r="A25" s="10" t="s">
        <v>891</v>
      </c>
    </row>
    <row r="26" customFormat="false" ht="17.15" hidden="false" customHeight="false" outlineLevel="0" collapsed="false">
      <c r="A26" s="1" t="s">
        <v>892</v>
      </c>
      <c r="B26" s="24" t="n">
        <v>24.108</v>
      </c>
      <c r="C26" s="24" t="n">
        <v>25.824</v>
      </c>
      <c r="D26" s="24" t="n">
        <v>27.233</v>
      </c>
      <c r="E26" s="24" t="n">
        <v>27.747</v>
      </c>
      <c r="F26" s="24" t="n">
        <v>38.458</v>
      </c>
      <c r="G26" s="24" t="n">
        <v>31.778</v>
      </c>
      <c r="H26" s="24" t="n">
        <v>35.766</v>
      </c>
      <c r="I26" s="24" t="n">
        <v>36.629</v>
      </c>
      <c r="J26" s="25" t="n">
        <f aca="false">SUM(E26:H26)</f>
        <v>133.749</v>
      </c>
      <c r="K26" s="25" t="n">
        <f aca="false">I26</f>
        <v>36.629</v>
      </c>
      <c r="L26" s="24" t="n">
        <v>101.832</v>
      </c>
      <c r="M26" s="24" t="n">
        <v>133.749</v>
      </c>
      <c r="N26" s="12" t="s">
        <v>76</v>
      </c>
      <c r="O26" s="1" t="s">
        <v>893</v>
      </c>
    </row>
    <row r="27" customFormat="false" ht="17.15" hidden="false" customHeight="false" outlineLevel="0" collapsed="false">
      <c r="A27" s="1" t="s">
        <v>894</v>
      </c>
      <c r="B27" s="25"/>
      <c r="C27" s="25"/>
      <c r="D27" s="25"/>
      <c r="E27" s="25"/>
      <c r="F27" s="25"/>
      <c r="G27" s="25"/>
      <c r="H27" s="25"/>
      <c r="I27" s="24" t="n">
        <v>0.038</v>
      </c>
      <c r="J27" s="25"/>
      <c r="K27" s="25" t="n">
        <f aca="false">I27</f>
        <v>0.038</v>
      </c>
      <c r="L27" s="24" t="n">
        <v>-4.901</v>
      </c>
      <c r="M27" s="24" t="n">
        <v>10.697</v>
      </c>
      <c r="N27" s="12" t="s">
        <v>76</v>
      </c>
      <c r="O27" s="12" t="s">
        <v>895</v>
      </c>
    </row>
    <row r="28" customFormat="false" ht="17.15" hidden="false" customHeight="false" outlineLevel="0" collapsed="false">
      <c r="A28" s="1" t="s">
        <v>896</v>
      </c>
      <c r="B28" s="25"/>
      <c r="C28" s="25"/>
      <c r="D28" s="25"/>
      <c r="E28" s="25"/>
      <c r="F28" s="25"/>
      <c r="G28" s="25"/>
      <c r="H28" s="25"/>
      <c r="I28" s="24" t="n">
        <v>45.953</v>
      </c>
      <c r="J28" s="25"/>
      <c r="K28" s="25" t="n">
        <f aca="false">I28</f>
        <v>45.953</v>
      </c>
      <c r="L28" s="24" t="n">
        <v>123.627</v>
      </c>
      <c r="M28" s="24" t="n">
        <v>165.934</v>
      </c>
      <c r="N28" s="12" t="s">
        <v>76</v>
      </c>
      <c r="O28" s="12" t="s">
        <v>897</v>
      </c>
    </row>
    <row r="29" customFormat="false" ht="17.15" hidden="false" customHeight="false" outlineLevel="0" collapsed="false">
      <c r="A29" s="1" t="s">
        <v>898</v>
      </c>
      <c r="B29" s="25"/>
      <c r="C29" s="25"/>
      <c r="D29" s="25"/>
      <c r="E29" s="25"/>
      <c r="F29" s="25"/>
      <c r="G29" s="25"/>
      <c r="H29" s="25"/>
      <c r="I29" s="24" t="n">
        <v>9.324</v>
      </c>
      <c r="J29" s="25"/>
      <c r="K29" s="25" t="n">
        <f aca="false">I29</f>
        <v>9.324</v>
      </c>
      <c r="L29" s="24" t="n">
        <v>21.795</v>
      </c>
      <c r="M29" s="24" t="n">
        <v>32.185</v>
      </c>
      <c r="N29" s="12" t="s">
        <v>76</v>
      </c>
      <c r="O29" s="12" t="s">
        <v>899</v>
      </c>
    </row>
    <row r="30" customFormat="false" ht="17.15" hidden="false" customHeight="false" outlineLevel="0" collapsed="false">
      <c r="A30" s="1" t="s">
        <v>900</v>
      </c>
      <c r="B30" s="25"/>
      <c r="C30" s="25"/>
      <c r="D30" s="25"/>
      <c r="E30" s="25"/>
      <c r="F30" s="25"/>
      <c r="G30" s="25"/>
      <c r="H30" s="25"/>
      <c r="I30" s="24" t="n">
        <v>0.272</v>
      </c>
      <c r="J30" s="25"/>
      <c r="K30" s="25" t="n">
        <f aca="false">I30</f>
        <v>0.272</v>
      </c>
      <c r="L30" s="24" t="n">
        <v>-4.763</v>
      </c>
      <c r="M30" s="24" t="n">
        <v>6.53</v>
      </c>
      <c r="N30" s="12" t="s">
        <v>76</v>
      </c>
      <c r="O30" s="12" t="s">
        <v>901</v>
      </c>
    </row>
    <row r="31" customFormat="false" ht="17.15" hidden="false" customHeight="false" outlineLevel="0" collapsed="false">
      <c r="A31" s="1" t="s">
        <v>902</v>
      </c>
      <c r="B31" s="25"/>
      <c r="C31" s="25"/>
      <c r="D31" s="25"/>
      <c r="E31" s="25"/>
      <c r="F31" s="25"/>
      <c r="G31" s="25"/>
      <c r="H31" s="25"/>
      <c r="I31" s="24" t="n">
        <v>7.446</v>
      </c>
      <c r="J31" s="25"/>
      <c r="K31" s="25" t="n">
        <f aca="false">I31</f>
        <v>7.446</v>
      </c>
      <c r="L31" s="24" t="n">
        <v>7.465</v>
      </c>
      <c r="M31" s="24" t="n">
        <v>7.453</v>
      </c>
      <c r="N31" s="12" t="s">
        <v>76</v>
      </c>
      <c r="O31" s="12" t="s">
        <v>903</v>
      </c>
    </row>
    <row r="32" customFormat="false" ht="17.15" hidden="false" customHeight="false" outlineLevel="0" collapsed="false">
      <c r="A32" s="1" t="s">
        <v>904</v>
      </c>
      <c r="B32" s="8"/>
      <c r="C32" s="8"/>
      <c r="D32" s="8"/>
      <c r="E32" s="8"/>
      <c r="F32" s="8"/>
      <c r="G32" s="8"/>
      <c r="H32" s="8"/>
      <c r="I32" s="28" t="n">
        <v>4.92</v>
      </c>
      <c r="J32" s="8"/>
      <c r="K32" s="8" t="n">
        <f aca="false">I32</f>
        <v>4.92</v>
      </c>
      <c r="L32" s="28" t="n">
        <v>13.64</v>
      </c>
      <c r="M32" s="28" t="n">
        <v>17.95</v>
      </c>
      <c r="N32" s="12" t="s">
        <v>76</v>
      </c>
      <c r="O32" s="12" t="s">
        <v>905</v>
      </c>
    </row>
    <row r="33" customFormat="false" ht="17.15" hidden="false" customHeight="false" outlineLevel="0" collapsed="false">
      <c r="A33" s="26" t="s">
        <v>906</v>
      </c>
      <c r="B33" s="26"/>
      <c r="C33" s="26"/>
      <c r="D33" s="26"/>
      <c r="E33" s="26"/>
      <c r="F33" s="26"/>
      <c r="G33" s="26"/>
      <c r="H33" s="26"/>
      <c r="I33" s="27" t="n">
        <f aca="false">(I23+I27-I28)+(I28-I29-I26)</f>
        <v>0</v>
      </c>
      <c r="J33" s="26"/>
      <c r="K33" s="26"/>
      <c r="L33" s="27" t="n">
        <f aca="false">(L23+L27-L28)+(L28-L29-L26)</f>
        <v>0</v>
      </c>
      <c r="M33" s="27" t="n">
        <f aca="false">(M23+M27-M28)+(M28-M29-M26)</f>
        <v>0</v>
      </c>
      <c r="N33" s="1" t="s">
        <v>869</v>
      </c>
    </row>
    <row r="34" customFormat="false" ht="17.15" hidden="false" customHeight="false" outlineLevel="0" collapsed="false">
      <c r="A34" s="10" t="s">
        <v>907</v>
      </c>
    </row>
    <row r="35" customFormat="false" ht="17.15" hidden="false" customHeight="false" outlineLevel="0" collapsed="false">
      <c r="A35" s="1" t="s">
        <v>908</v>
      </c>
      <c r="B35" s="24" t="n">
        <v>22.291</v>
      </c>
      <c r="C35" s="24" t="n">
        <v>37.044</v>
      </c>
      <c r="D35" s="24" t="n">
        <v>42.647</v>
      </c>
      <c r="E35" s="24" t="n">
        <v>45.057</v>
      </c>
      <c r="F35" s="24" t="n">
        <v>35.758</v>
      </c>
      <c r="G35" s="24" t="n">
        <v>46.679</v>
      </c>
      <c r="H35" s="24" t="n">
        <v>55.441</v>
      </c>
      <c r="I35" s="24" t="n">
        <v>58</v>
      </c>
      <c r="J35" s="25" t="n">
        <f aca="false">SUM(E35:H35)</f>
        <v>182.935</v>
      </c>
      <c r="K35" s="25" t="n">
        <f aca="false">I35</f>
        <v>58</v>
      </c>
      <c r="L35" s="24" t="n">
        <v>136.162</v>
      </c>
      <c r="M35" s="24" t="n">
        <v>182.935</v>
      </c>
      <c r="N35" s="12" t="s">
        <v>76</v>
      </c>
      <c r="O35" s="1" t="s">
        <v>909</v>
      </c>
    </row>
    <row r="36" customFormat="false" ht="17.15" hidden="false" customHeight="false" outlineLevel="0" collapsed="false">
      <c r="A36" s="1" t="s">
        <v>910</v>
      </c>
      <c r="B36" s="24" t="n">
        <v>15.804</v>
      </c>
      <c r="C36" s="24" t="n">
        <v>16.745</v>
      </c>
      <c r="D36" s="24" t="n">
        <v>17.079</v>
      </c>
      <c r="E36" s="24" t="n">
        <v>19.394</v>
      </c>
      <c r="F36" s="24" t="n">
        <v>29.876</v>
      </c>
      <c r="G36" s="24" t="n">
        <v>30.876</v>
      </c>
      <c r="H36" s="24" t="n">
        <v>35.802</v>
      </c>
      <c r="I36" s="24" t="n">
        <v>39.367</v>
      </c>
      <c r="J36" s="25" t="n">
        <f aca="false">SUM(E36:H36)</f>
        <v>115.948</v>
      </c>
      <c r="K36" s="25" t="n">
        <f aca="false">I36</f>
        <v>39.367</v>
      </c>
      <c r="L36" s="24" t="n">
        <v>64.551</v>
      </c>
      <c r="M36" s="24" t="n">
        <v>115.948</v>
      </c>
      <c r="N36" s="12" t="s">
        <v>76</v>
      </c>
      <c r="O36" s="1" t="s">
        <v>911</v>
      </c>
    </row>
    <row r="37" customFormat="false" ht="15" hidden="false" customHeight="false" outlineLevel="0" collapsed="false">
      <c r="A37" s="1" t="s">
        <v>912</v>
      </c>
      <c r="B37" s="25" t="n">
        <f aca="false">B35-B36</f>
        <v>6.487</v>
      </c>
      <c r="C37" s="25" t="n">
        <f aca="false">C35-C36</f>
        <v>20.299</v>
      </c>
      <c r="D37" s="25" t="n">
        <f aca="false">D35-D36</f>
        <v>25.568</v>
      </c>
      <c r="E37" s="25" t="n">
        <f aca="false">E35-E36</f>
        <v>25.663</v>
      </c>
      <c r="F37" s="25" t="n">
        <f aca="false">F35-F36</f>
        <v>5.882</v>
      </c>
      <c r="G37" s="25" t="n">
        <f aca="false">G35-G36</f>
        <v>15.803</v>
      </c>
      <c r="H37" s="25" t="n">
        <f aca="false">H35-H36</f>
        <v>19.639</v>
      </c>
      <c r="I37" s="25" t="n">
        <f aca="false">I35-I36</f>
        <v>18.633</v>
      </c>
      <c r="J37" s="25" t="n">
        <f aca="false">SUM(E37:H37)</f>
        <v>66.987</v>
      </c>
      <c r="K37" s="25" t="n">
        <f aca="false">I37</f>
        <v>18.633</v>
      </c>
      <c r="L37" s="25" t="n">
        <f aca="false">L35-L36</f>
        <v>71.611</v>
      </c>
      <c r="M37" s="25" t="n">
        <f aca="false">M35-M36</f>
        <v>66.987</v>
      </c>
      <c r="N37" s="12" t="s">
        <v>90</v>
      </c>
    </row>
    <row r="38" customFormat="false" ht="17.15" hidden="false" customHeight="false" outlineLevel="0" collapsed="false">
      <c r="A38" s="1" t="s">
        <v>913</v>
      </c>
      <c r="B38" s="24" t="n">
        <v>5.667</v>
      </c>
      <c r="C38" s="24" t="n">
        <v>7.734</v>
      </c>
      <c r="D38" s="24" t="n">
        <v>9.317</v>
      </c>
      <c r="E38" s="24" t="n">
        <v>8.147</v>
      </c>
      <c r="F38" s="24" t="n">
        <v>9.198</v>
      </c>
      <c r="G38" s="24" t="n">
        <v>10.167</v>
      </c>
      <c r="H38" s="24" t="n">
        <v>11.022</v>
      </c>
      <c r="I38" s="24" t="n">
        <v>11.744</v>
      </c>
      <c r="J38" s="25" t="n">
        <f aca="false">SUM(E38:H38)</f>
        <v>38.534</v>
      </c>
      <c r="K38" s="25" t="n">
        <f aca="false">I38</f>
        <v>11.744</v>
      </c>
      <c r="L38" s="24" t="n">
        <v>29.433</v>
      </c>
      <c r="M38" s="24" t="n">
        <v>38.534</v>
      </c>
      <c r="N38" s="12" t="s">
        <v>76</v>
      </c>
      <c r="O38" s="1" t="s">
        <v>914</v>
      </c>
    </row>
    <row r="39" customFormat="false" ht="17.15" hidden="false" customHeight="false" outlineLevel="0" collapsed="false">
      <c r="A39" s="1" t="s">
        <v>915</v>
      </c>
      <c r="B39" s="24" t="n">
        <v>3.089</v>
      </c>
      <c r="C39" s="24" t="n">
        <v>2.98</v>
      </c>
      <c r="D39" s="24" t="n">
        <v>3.073</v>
      </c>
      <c r="E39" s="24" t="n">
        <v>2.983</v>
      </c>
      <c r="F39" s="24" t="n">
        <v>3.219</v>
      </c>
      <c r="G39" s="24" t="n">
        <v>3.081</v>
      </c>
      <c r="H39" s="24" t="n">
        <v>3.122</v>
      </c>
      <c r="I39" s="24" t="n">
        <v>3.134</v>
      </c>
      <c r="J39" s="25" t="n">
        <f aca="false">SUM(E39:H39)</f>
        <v>12.405</v>
      </c>
      <c r="K39" s="25" t="n">
        <f aca="false">I39</f>
        <v>3.134</v>
      </c>
      <c r="L39" s="24" t="n">
        <v>11.974</v>
      </c>
      <c r="M39" s="24" t="n">
        <v>12.405</v>
      </c>
      <c r="N39" s="12" t="s">
        <v>76</v>
      </c>
      <c r="O39" s="1" t="s">
        <v>916</v>
      </c>
    </row>
    <row r="40" customFormat="false" ht="17.15" hidden="false" customHeight="false" outlineLevel="0" collapsed="false">
      <c r="A40" s="1" t="s">
        <v>917</v>
      </c>
      <c r="B40" s="24" t="n">
        <v>4.986</v>
      </c>
      <c r="C40" s="24" t="n">
        <v>4.781</v>
      </c>
      <c r="D40" s="24" t="n">
        <v>4.546</v>
      </c>
      <c r="E40" s="24" t="n">
        <v>5.65</v>
      </c>
      <c r="F40" s="24" t="n">
        <v>7.415</v>
      </c>
      <c r="G40" s="24" t="n">
        <v>4.627</v>
      </c>
      <c r="H40" s="24" t="n">
        <v>4.579</v>
      </c>
      <c r="I40" s="24" t="n">
        <v>4.379</v>
      </c>
      <c r="J40" s="25" t="n">
        <f aca="false">SUM(E40:H40)</f>
        <v>22.271</v>
      </c>
      <c r="K40" s="25" t="n">
        <f aca="false">I40</f>
        <v>4.379</v>
      </c>
      <c r="L40" s="24" t="n">
        <v>18.42</v>
      </c>
      <c r="M40" s="24" t="n">
        <v>22.271</v>
      </c>
      <c r="N40" s="12" t="s">
        <v>76</v>
      </c>
      <c r="O40" s="1" t="s">
        <v>918</v>
      </c>
    </row>
    <row r="41" customFormat="false" ht="17.15" hidden="false" customHeight="false" outlineLevel="0" collapsed="false">
      <c r="A41" s="1" t="s">
        <v>919</v>
      </c>
      <c r="B41" s="24" t="n">
        <v>6.17</v>
      </c>
      <c r="C41" s="24" t="n">
        <v>6.169</v>
      </c>
      <c r="D41" s="24" t="n">
        <v>6.169</v>
      </c>
      <c r="E41" s="24" t="n">
        <v>6.169</v>
      </c>
      <c r="F41" s="24" t="n">
        <v>6.762</v>
      </c>
      <c r="G41" s="24" t="n">
        <v>6.756</v>
      </c>
      <c r="H41" s="24" t="n">
        <v>6.758</v>
      </c>
      <c r="I41" s="24" t="n">
        <v>6.757</v>
      </c>
      <c r="J41" s="25" t="n">
        <f aca="false">SUM(E41:H41)</f>
        <v>26.445</v>
      </c>
      <c r="K41" s="25" t="n">
        <f aca="false">I41</f>
        <v>6.757</v>
      </c>
      <c r="L41" s="24" t="n">
        <v>24.082</v>
      </c>
      <c r="M41" s="24" t="n">
        <v>26.445</v>
      </c>
      <c r="N41" s="12" t="s">
        <v>76</v>
      </c>
      <c r="O41" s="1" t="s">
        <v>920</v>
      </c>
    </row>
    <row r="42" customFormat="false" ht="17.15" hidden="false" customHeight="false" outlineLevel="0" collapsed="false">
      <c r="A42" s="1" t="s">
        <v>921</v>
      </c>
      <c r="B42" s="25"/>
      <c r="C42" s="25"/>
      <c r="D42" s="25"/>
      <c r="E42" s="24" t="n">
        <v>-0.218</v>
      </c>
      <c r="F42" s="25"/>
      <c r="G42" s="25"/>
      <c r="H42" s="25"/>
      <c r="I42" s="24" t="n">
        <v>2.115</v>
      </c>
      <c r="J42" s="25"/>
      <c r="K42" s="25" t="n">
        <f aca="false">I42</f>
        <v>2.115</v>
      </c>
      <c r="L42" s="25"/>
      <c r="M42" s="24" t="n">
        <v>-4.895</v>
      </c>
      <c r="N42" s="12" t="s">
        <v>107</v>
      </c>
      <c r="O42" s="1" t="s">
        <v>922</v>
      </c>
    </row>
    <row r="43" customFormat="false" ht="17.15" hidden="false" customHeight="false" outlineLevel="0" collapsed="false">
      <c r="A43" s="1" t="s">
        <v>923</v>
      </c>
      <c r="B43" s="24" t="n">
        <v>22.6</v>
      </c>
      <c r="C43" s="24" t="n">
        <v>21.4</v>
      </c>
      <c r="D43" s="24" t="n">
        <v>24.2</v>
      </c>
      <c r="E43" s="24" t="n">
        <v>34.9</v>
      </c>
      <c r="F43" s="24" t="n">
        <v>37.5</v>
      </c>
      <c r="G43" s="24" t="n">
        <v>31.9</v>
      </c>
      <c r="H43" s="24" t="n">
        <v>41</v>
      </c>
      <c r="I43" s="24" t="n">
        <v>45.2</v>
      </c>
      <c r="J43" s="25" t="n">
        <f aca="false">SUM(E43:H43)</f>
        <v>145.3</v>
      </c>
      <c r="K43" s="25" t="n">
        <f aca="false">I43</f>
        <v>45.2</v>
      </c>
      <c r="L43" s="25"/>
      <c r="M43" s="24" t="n">
        <v>145.3</v>
      </c>
      <c r="N43" s="12" t="s">
        <v>107</v>
      </c>
      <c r="O43" s="1" t="s">
        <v>924</v>
      </c>
    </row>
    <row r="44" customFormat="false" ht="17.15" hidden="false" customHeight="false" outlineLevel="0" collapsed="false">
      <c r="A44" s="1" t="s">
        <v>925</v>
      </c>
      <c r="B44" s="25"/>
      <c r="C44" s="25"/>
      <c r="D44" s="25"/>
      <c r="E44" s="25"/>
      <c r="F44" s="25"/>
      <c r="G44" s="25"/>
      <c r="H44" s="25"/>
      <c r="I44" s="24" t="n">
        <v>1</v>
      </c>
      <c r="J44" s="25"/>
      <c r="K44" s="25" t="n">
        <f aca="false">I44</f>
        <v>1</v>
      </c>
      <c r="L44" s="24" t="n">
        <v>2.283</v>
      </c>
      <c r="M44" s="24" t="n">
        <v>3.101</v>
      </c>
      <c r="N44" s="12" t="s">
        <v>76</v>
      </c>
      <c r="O44" s="12" t="s">
        <v>926</v>
      </c>
    </row>
    <row r="45" customFormat="false" ht="17.15" hidden="false" customHeight="false" outlineLevel="0" collapsed="false">
      <c r="A45" s="26" t="s">
        <v>927</v>
      </c>
      <c r="B45" s="26"/>
      <c r="C45" s="26"/>
      <c r="D45" s="26"/>
      <c r="E45" s="26"/>
      <c r="F45" s="26"/>
      <c r="G45" s="26"/>
      <c r="H45" s="26"/>
      <c r="I45" s="26"/>
      <c r="J45" s="27" t="n">
        <f aca="false">SUMPRODUCT(ABS(J5:J23-M5:M23))+ABS(J26-M26)+SUMPRODUCT(ABS(J35:J41-M35:M41))+ABS(J43-M43)</f>
        <v>0</v>
      </c>
      <c r="K45" s="26"/>
      <c r="L45" s="26"/>
      <c r="M45" s="26"/>
      <c r="N45" s="1" t="s">
        <v>869</v>
      </c>
    </row>
    <row r="46" customFormat="false" ht="17.15" hidden="false" customHeight="false" outlineLevel="0" collapsed="false">
      <c r="A46" s="10" t="s">
        <v>928</v>
      </c>
    </row>
    <row r="47" customFormat="false" ht="17.15" hidden="false" customHeight="false" outlineLevel="0" collapsed="false">
      <c r="A47" s="0" t="s">
        <v>929</v>
      </c>
      <c r="B47" s="24" t="n">
        <v>29.437</v>
      </c>
      <c r="C47" s="24" t="n">
        <v>29.944</v>
      </c>
      <c r="D47" s="24" t="n">
        <v>33.112</v>
      </c>
      <c r="E47" s="24" t="n">
        <v>33.02</v>
      </c>
      <c r="F47" s="24" t="n">
        <v>34.116</v>
      </c>
      <c r="G47" s="24" t="n">
        <v>35.013</v>
      </c>
      <c r="H47" s="24" t="n">
        <v>37.847</v>
      </c>
      <c r="I47" s="25"/>
      <c r="J47" s="25" t="n">
        <f aca="false">SUM(E47:H47)</f>
        <v>139.996</v>
      </c>
      <c r="K47" s="25"/>
      <c r="L47" s="24" t="n">
        <v>120.81</v>
      </c>
      <c r="M47" s="24" t="n">
        <v>139.996</v>
      </c>
      <c r="N47" s="12" t="s">
        <v>76</v>
      </c>
      <c r="O47" s="12" t="s">
        <v>930</v>
      </c>
    </row>
    <row r="48" customFormat="false" ht="17.15" hidden="false" customHeight="false" outlineLevel="0" collapsed="false">
      <c r="A48" s="0" t="s">
        <v>931</v>
      </c>
      <c r="B48" s="24" t="n">
        <v>25.544</v>
      </c>
      <c r="C48" s="24" t="n">
        <v>26.751</v>
      </c>
      <c r="D48" s="24" t="n">
        <v>29.878</v>
      </c>
      <c r="E48" s="24" t="n">
        <v>30.897</v>
      </c>
      <c r="F48" s="24" t="n">
        <v>32.907</v>
      </c>
      <c r="G48" s="24" t="n">
        <v>34.681</v>
      </c>
      <c r="H48" s="24" t="n">
        <v>39.306</v>
      </c>
      <c r="I48" s="25"/>
      <c r="J48" s="25" t="n">
        <f aca="false">SUM(E48:H48)</f>
        <v>137.791</v>
      </c>
      <c r="K48" s="25"/>
      <c r="L48" s="24" t="n">
        <v>106.265</v>
      </c>
      <c r="M48" s="24" t="n">
        <v>137.791</v>
      </c>
      <c r="N48" s="12" t="s">
        <v>76</v>
      </c>
      <c r="O48" s="12" t="s">
        <v>932</v>
      </c>
    </row>
    <row r="49" customFormat="false" ht="17.15" hidden="false" customHeight="false" outlineLevel="0" collapsed="false">
      <c r="A49" s="0" t="s">
        <v>933</v>
      </c>
      <c r="B49" s="24" t="n">
        <v>14.651</v>
      </c>
      <c r="C49" s="24" t="n">
        <v>13.371</v>
      </c>
      <c r="D49" s="24" t="n">
        <v>13.451</v>
      </c>
      <c r="E49" s="24" t="n">
        <v>13.756</v>
      </c>
      <c r="F49" s="24" t="n">
        <v>14.25</v>
      </c>
      <c r="G49" s="24" t="n">
        <v>13.192</v>
      </c>
      <c r="H49" s="24" t="n">
        <v>12.854</v>
      </c>
      <c r="I49" s="25"/>
      <c r="J49" s="25" t="n">
        <f aca="false">SUM(E49:H49)</f>
        <v>54.052</v>
      </c>
      <c r="K49" s="25"/>
      <c r="L49" s="24" t="n">
        <v>54.649</v>
      </c>
      <c r="M49" s="24" t="n">
        <v>54.052</v>
      </c>
      <c r="N49" s="12" t="s">
        <v>76</v>
      </c>
      <c r="O49" s="12" t="s">
        <v>934</v>
      </c>
    </row>
    <row r="50" customFormat="false" ht="17.15" hidden="false" customHeight="false" outlineLevel="0" collapsed="false">
      <c r="A50" s="26" t="s">
        <v>935</v>
      </c>
      <c r="B50" s="27" t="n">
        <f aca="false">B47+B48+B49-B18</f>
        <v>0</v>
      </c>
      <c r="C50" s="27" t="n">
        <f aca="false">C47+C48+C49-C18</f>
        <v>0</v>
      </c>
      <c r="D50" s="27" t="n">
        <f aca="false">D47+D48+D49-D18</f>
        <v>0</v>
      </c>
      <c r="E50" s="27" t="n">
        <f aca="false">E47+E48+E49-E18</f>
        <v>0</v>
      </c>
      <c r="F50" s="27" t="n">
        <f aca="false">F47+F48+F49-F18</f>
        <v>0</v>
      </c>
      <c r="G50" s="27" t="n">
        <f aca="false">G47+G48+G49-G18</f>
        <v>0</v>
      </c>
      <c r="H50" s="27" t="n">
        <f aca="false">H47+H48+H49-H18</f>
        <v>0</v>
      </c>
      <c r="I50" s="26"/>
      <c r="J50" s="27" t="n">
        <f aca="false">J47+J48+J49-J18</f>
        <v>0</v>
      </c>
      <c r="K50" s="26"/>
      <c r="L50" s="27" t="n">
        <f aca="false">L47+L48+L49-L18</f>
        <v>0</v>
      </c>
      <c r="M50" s="27" t="n">
        <f aca="false">M47+M48+M49-M18</f>
        <v>0</v>
      </c>
      <c r="N50" s="1" t="s">
        <v>869</v>
      </c>
    </row>
    <row r="51" customFormat="false" ht="17.15" hidden="false" customHeight="false" outlineLevel="0" collapsed="false">
      <c r="A51" s="0" t="s">
        <v>936</v>
      </c>
      <c r="B51" s="22"/>
      <c r="C51" s="22"/>
      <c r="D51" s="22"/>
      <c r="E51" s="29" t="n">
        <v>0.4</v>
      </c>
      <c r="F51" s="29" t="n">
        <v>0.39</v>
      </c>
      <c r="G51" s="29" t="n">
        <v>0.4</v>
      </c>
      <c r="H51" s="29" t="n">
        <v>0.42</v>
      </c>
      <c r="I51" s="29" t="n">
        <v>0.48</v>
      </c>
      <c r="J51" s="22"/>
      <c r="K51" s="22"/>
      <c r="L51" s="22"/>
      <c r="M51" s="22"/>
      <c r="N51" s="12" t="s">
        <v>107</v>
      </c>
      <c r="O51" s="12" t="s">
        <v>937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2"/>
    <col collapsed="false" customWidth="true" hidden="false" outlineLevel="0" max="11" min="3" style="0" width="11"/>
    <col collapsed="false" customWidth="true" hidden="false" outlineLevel="0" max="12" min="12" style="0" width="70"/>
  </cols>
  <sheetData>
    <row r="1" customFormat="false" ht="17.15" hidden="false" customHeight="false" outlineLevel="0" collapsed="false">
      <c r="A1" s="0" t="s">
        <v>938</v>
      </c>
    </row>
    <row r="2" customFormat="false" ht="17.15" hidden="false" customHeight="false" outlineLevel="0" collapsed="false">
      <c r="A2" s="1" t="s">
        <v>939</v>
      </c>
    </row>
    <row r="3" customFormat="false" ht="17.15" hidden="false" customHeight="false" outlineLevel="0" collapsed="false">
      <c r="A3" s="1" t="s">
        <v>940</v>
      </c>
    </row>
    <row r="4" customFormat="false" ht="17.15" hidden="false" customHeight="false" outlineLevel="0" collapsed="false">
      <c r="A4" s="3" t="s">
        <v>941</v>
      </c>
    </row>
    <row r="5" customFormat="false" ht="15" hidden="false" customHeight="false" outlineLevel="0" collapsed="false">
      <c r="A5" s="4" t="s">
        <v>43</v>
      </c>
      <c r="B5" s="4" t="s">
        <v>65</v>
      </c>
      <c r="C5" s="23" t="s">
        <v>942</v>
      </c>
      <c r="D5" s="23" t="s">
        <v>943</v>
      </c>
      <c r="E5" s="23" t="s">
        <v>944</v>
      </c>
      <c r="F5" s="23" t="s">
        <v>945</v>
      </c>
      <c r="G5" s="23" t="s">
        <v>946</v>
      </c>
      <c r="H5" s="23" t="s">
        <v>947</v>
      </c>
      <c r="I5" s="23" t="s">
        <v>948</v>
      </c>
      <c r="J5" s="23" t="s">
        <v>949</v>
      </c>
      <c r="K5" s="23" t="s">
        <v>950</v>
      </c>
      <c r="L5" s="4" t="s">
        <v>47</v>
      </c>
    </row>
    <row r="6" customFormat="false" ht="17.15" hidden="false" customHeight="false" outlineLevel="0" collapsed="false">
      <c r="A6" s="1" t="s">
        <v>951</v>
      </c>
      <c r="B6" s="1" t="s">
        <v>279</v>
      </c>
      <c r="C6" s="21" t="n">
        <v>2024</v>
      </c>
      <c r="D6" s="21" t="n">
        <v>2025</v>
      </c>
      <c r="E6" s="21" t="n">
        <v>2026</v>
      </c>
      <c r="F6" s="21" t="n">
        <v>2027</v>
      </c>
      <c r="G6" s="21" t="n">
        <v>2028</v>
      </c>
      <c r="H6" s="21" t="n">
        <v>2029</v>
      </c>
      <c r="I6" s="21" t="n">
        <v>2030</v>
      </c>
      <c r="J6" s="21" t="n">
        <v>2031</v>
      </c>
      <c r="K6" s="21" t="n">
        <v>2032</v>
      </c>
    </row>
    <row r="7" customFormat="false" ht="17.15" hidden="false" customHeight="false" outlineLevel="0" collapsed="false">
      <c r="A7" s="1" t="s">
        <v>952</v>
      </c>
      <c r="B7" s="0" t="s">
        <v>459</v>
      </c>
      <c r="F7" s="30" t="n">
        <f aca="false">pace</f>
        <v>2726.5351</v>
      </c>
      <c r="G7" s="30" t="n">
        <f aca="false">pace</f>
        <v>2726.5351</v>
      </c>
      <c r="H7" s="30" t="n">
        <f aca="false">pace</f>
        <v>2726.5351</v>
      </c>
      <c r="I7" s="30" t="n">
        <f aca="false">pace+(g_tv*Thesis!H8-pace)*MIN(1,(Thesis!I6-pace_y0)/(pace_y1-pace_y0))</f>
        <v>1931.98611966667</v>
      </c>
      <c r="J7" s="30" t="n">
        <f aca="false">pace+(g_tv*Thesis!I8-pace)*MIN(1,(Thesis!J6-pace_y0)/(pace_y1-pace_y0))</f>
        <v>1176.07686172667</v>
      </c>
      <c r="K7" s="30" t="n">
        <f aca="false">pace+(g_tv*Thesis!J8-pace)*MIN(1,(Thesis!K6-pace_y0)/(pace_y1-pace_y0))</f>
        <v>436.1300484418</v>
      </c>
      <c r="L7" s="12" t="s">
        <v>953</v>
      </c>
    </row>
    <row r="8" customFormat="false" ht="17.15" hidden="false" customHeight="false" outlineLevel="0" collapsed="false">
      <c r="A8" s="1" t="s">
        <v>954</v>
      </c>
      <c r="B8" s="0" t="s">
        <v>459</v>
      </c>
      <c r="C8" s="30" t="n">
        <f aca="false">mw_ext_24</f>
        <v>640</v>
      </c>
      <c r="D8" s="30" t="n">
        <f aca="false">mw_ext_25</f>
        <v>1630</v>
      </c>
      <c r="E8" s="30" t="n">
        <f aca="false">mw_ext_26</f>
        <v>3250</v>
      </c>
      <c r="F8" s="30" t="n">
        <f aca="false">Thesis!E8+Thesis!F7</f>
        <v>5976.5351</v>
      </c>
      <c r="G8" s="30" t="n">
        <f aca="false">Thesis!F8+Thesis!G7</f>
        <v>8703.0702</v>
      </c>
      <c r="H8" s="30" t="n">
        <f aca="false">Thesis!G8+Thesis!H7</f>
        <v>11429.6053</v>
      </c>
      <c r="I8" s="30" t="n">
        <f aca="false">Thesis!H8+Thesis!I7</f>
        <v>13361.5914196667</v>
      </c>
      <c r="J8" s="30" t="n">
        <f aca="false">Thesis!I8+Thesis!J7</f>
        <v>14537.6682813933</v>
      </c>
      <c r="K8" s="30" t="n">
        <f aca="false">Thesis!J8+Thesis!K7</f>
        <v>14973.7983298351</v>
      </c>
      <c r="L8" s="1" t="s">
        <v>955</v>
      </c>
    </row>
    <row r="9" customFormat="false" ht="17.15" hidden="false" customHeight="false" outlineLevel="0" collapsed="false">
      <c r="A9" s="1" t="s">
        <v>956</v>
      </c>
      <c r="B9" s="0" t="s">
        <v>459</v>
      </c>
      <c r="C9" s="30" t="n">
        <f aca="false">rent_ext_24</f>
        <v>150</v>
      </c>
      <c r="D9" s="30" t="n">
        <f aca="false">rent_ext_25</f>
        <v>400</v>
      </c>
      <c r="E9" s="30" t="n">
        <f aca="false">rent_ext_26</f>
        <v>550</v>
      </c>
      <c r="F9" s="30" t="n">
        <f aca="false">rent_ext_f</f>
        <v>756</v>
      </c>
      <c r="G9" s="30" t="n">
        <f aca="false">rent_ext_f</f>
        <v>756</v>
      </c>
      <c r="H9" s="30" t="n">
        <f aca="false">rent_ext_f</f>
        <v>756</v>
      </c>
      <c r="I9" s="30" t="n">
        <f aca="false">rent_ext_f</f>
        <v>756</v>
      </c>
      <c r="J9" s="30" t="n">
        <f aca="false">rent_ext_f</f>
        <v>756</v>
      </c>
      <c r="K9" s="30" t="n">
        <f aca="false">rent_ext_f</f>
        <v>756</v>
      </c>
      <c r="L9" s="1" t="s">
        <v>957</v>
      </c>
    </row>
    <row r="10" customFormat="false" ht="17.15" hidden="false" customHeight="false" outlineLevel="0" collapsed="false">
      <c r="A10" s="1" t="s">
        <v>958</v>
      </c>
      <c r="B10" s="0" t="s">
        <v>459</v>
      </c>
      <c r="C10" s="30" t="n">
        <f aca="false">Thesis!C8-Thesis!C9</f>
        <v>490</v>
      </c>
      <c r="D10" s="30" t="n">
        <f aca="false">Thesis!D8-Thesis!D9</f>
        <v>1230</v>
      </c>
      <c r="E10" s="30" t="n">
        <f aca="false">Thesis!E8-Thesis!E9</f>
        <v>2700</v>
      </c>
      <c r="F10" s="30" t="n">
        <f aca="false">Thesis!F8-Thesis!F9</f>
        <v>5220.5351</v>
      </c>
      <c r="G10" s="30" t="n">
        <f aca="false">Thesis!G8-Thesis!G9</f>
        <v>7947.0702</v>
      </c>
      <c r="H10" s="30" t="n">
        <f aca="false">Thesis!H8-Thesis!H9</f>
        <v>10673.6053</v>
      </c>
      <c r="I10" s="30" t="n">
        <f aca="false">Thesis!I8-Thesis!I9</f>
        <v>12605.5914196667</v>
      </c>
      <c r="J10" s="30" t="n">
        <f aca="false">Thesis!J8-Thesis!J9</f>
        <v>13781.6682813933</v>
      </c>
      <c r="K10" s="30" t="n">
        <f aca="false">Thesis!K8-Thesis!K9</f>
        <v>14217.7983298351</v>
      </c>
    </row>
    <row r="11" customFormat="false" ht="17.15" hidden="false" customHeight="false" outlineLevel="0" collapsed="false">
      <c r="A11" s="1" t="s">
        <v>959</v>
      </c>
      <c r="B11" s="0" t="s">
        <v>459</v>
      </c>
      <c r="C11" s="30" t="n">
        <f aca="false">Thesis!C10/ext_sh</f>
        <v>816.666666666667</v>
      </c>
      <c r="D11" s="30" t="n">
        <f aca="false">Thesis!D10/ext_sh</f>
        <v>2050</v>
      </c>
      <c r="E11" s="30" t="n">
        <f aca="false">Thesis!E10/ext_sh</f>
        <v>4500</v>
      </c>
      <c r="F11" s="30" t="n">
        <f aca="false">Thesis!F10/ext_sh</f>
        <v>8700.89183333333</v>
      </c>
      <c r="G11" s="30" t="n">
        <f aca="false">Thesis!G10/ext_sh</f>
        <v>13245.117</v>
      </c>
      <c r="H11" s="30" t="n">
        <f aca="false">Thesis!H10/ext_sh</f>
        <v>17789.3421666667</v>
      </c>
      <c r="I11" s="30" t="n">
        <f aca="false">Thesis!I10/ext_sh</f>
        <v>21009.3190327778</v>
      </c>
      <c r="J11" s="30" t="n">
        <f aca="false">Thesis!J10/ext_sh</f>
        <v>22969.4471356556</v>
      </c>
      <c r="K11" s="30" t="n">
        <f aca="false">Thesis!K10/ext_sh</f>
        <v>23696.3305497252</v>
      </c>
      <c r="L11" s="1" t="s">
        <v>960</v>
      </c>
    </row>
    <row r="12" customFormat="false" ht="17.15" hidden="false" customHeight="false" outlineLevel="0" collapsed="false">
      <c r="A12" s="1" t="s">
        <v>961</v>
      </c>
      <c r="B12" s="0" t="s">
        <v>459</v>
      </c>
      <c r="C12" s="30" t="n">
        <f aca="false">Thesis!C11-Thesis!C10</f>
        <v>326.666666666667</v>
      </c>
      <c r="D12" s="30" t="n">
        <f aca="false">Thesis!D11-Thesis!D10</f>
        <v>820</v>
      </c>
      <c r="E12" s="30" t="n">
        <f aca="false">Thesis!E11-Thesis!E10</f>
        <v>1800</v>
      </c>
      <c r="F12" s="30" t="n">
        <f aca="false">Thesis!F11-Thesis!F10</f>
        <v>3480.35673333333</v>
      </c>
      <c r="G12" s="30" t="n">
        <f aca="false">Thesis!G11-Thesis!G10</f>
        <v>5298.0468</v>
      </c>
      <c r="H12" s="30" t="n">
        <f aca="false">Thesis!H11-Thesis!H10</f>
        <v>7115.73686666667</v>
      </c>
      <c r="I12" s="30" t="n">
        <f aca="false">Thesis!I11-Thesis!I10</f>
        <v>8403.72761311111</v>
      </c>
      <c r="J12" s="30" t="n">
        <f aca="false">Thesis!J11-Thesis!J10</f>
        <v>9187.77885426222</v>
      </c>
      <c r="K12" s="30" t="n">
        <f aca="false">Thesis!K11-Thesis!K10</f>
        <v>9478.53221989009</v>
      </c>
    </row>
    <row r="13" customFormat="false" ht="17.15" hidden="false" customHeight="false" outlineLevel="0" collapsed="false">
      <c r="A13" s="1" t="s">
        <v>962</v>
      </c>
      <c r="B13" s="0" t="s">
        <v>459</v>
      </c>
      <c r="C13" s="30" t="n">
        <f aca="false">Thesis!C11</f>
        <v>816.666666666667</v>
      </c>
      <c r="D13" s="30" t="n">
        <f aca="false">Thesis!D11-Thesis!C11</f>
        <v>1233.33333333333</v>
      </c>
      <c r="E13" s="30" t="n">
        <f aca="false">Thesis!E11-Thesis!D11</f>
        <v>2450</v>
      </c>
      <c r="F13" s="30" t="n">
        <f aca="false">Thesis!F11-Thesis!E11</f>
        <v>4200.89183333333</v>
      </c>
      <c r="G13" s="30" t="n">
        <f aca="false">Thesis!G11-Thesis!F11</f>
        <v>4544.22516666667</v>
      </c>
      <c r="H13" s="30" t="n">
        <f aca="false">Thesis!H11-Thesis!G11</f>
        <v>4544.22516666667</v>
      </c>
      <c r="I13" s="30" t="n">
        <f aca="false">Thesis!I11-Thesis!H11</f>
        <v>3219.97686611111</v>
      </c>
      <c r="J13" s="30" t="n">
        <f aca="false">Thesis!J11-Thesis!I11</f>
        <v>1960.12810287778</v>
      </c>
      <c r="K13" s="30" t="n">
        <f aca="false">Thesis!K11-Thesis!J11</f>
        <v>726.883414069667</v>
      </c>
    </row>
    <row r="14" customFormat="false" ht="17.15" hidden="false" customHeight="false" outlineLevel="0" collapsed="false">
      <c r="A14" s="1" t="s">
        <v>963</v>
      </c>
      <c r="B14" s="0" t="s">
        <v>459</v>
      </c>
      <c r="D14" s="30" t="n">
        <f aca="false">Thesis!D8-Thesis!C8</f>
        <v>990</v>
      </c>
      <c r="E14" s="30" t="n">
        <f aca="false">Thesis!E8-Thesis!D8</f>
        <v>1620</v>
      </c>
      <c r="F14" s="30" t="n">
        <f aca="false">Thesis!F8-Thesis!E8</f>
        <v>2726.5351</v>
      </c>
      <c r="G14" s="30" t="n">
        <f aca="false">Thesis!G8-Thesis!F8</f>
        <v>2726.5351</v>
      </c>
      <c r="H14" s="30" t="n">
        <f aca="false">Thesis!H8-Thesis!G8</f>
        <v>2726.5351</v>
      </c>
      <c r="I14" s="30" t="n">
        <f aca="false">Thesis!I8-Thesis!H8</f>
        <v>1931.98611966667</v>
      </c>
      <c r="J14" s="30" t="n">
        <f aca="false">Thesis!J8-Thesis!I8</f>
        <v>1176.07686172667</v>
      </c>
      <c r="K14" s="30" t="n">
        <f aca="false">Thesis!K8-Thesis!J8</f>
        <v>436.130048441799</v>
      </c>
    </row>
    <row r="15" customFormat="false" ht="17.15" hidden="false" customHeight="false" outlineLevel="0" collapsed="false">
      <c r="A15" s="1" t="s">
        <v>964</v>
      </c>
      <c r="B15" s="0" t="s">
        <v>459</v>
      </c>
      <c r="F15" s="30" t="n">
        <f aca="false">Thesis!F34*ext_sh</f>
        <v>0</v>
      </c>
      <c r="G15" s="30" t="n">
        <f aca="false">Thesis!G34*ext_sh</f>
        <v>0</v>
      </c>
      <c r="H15" s="30" t="n">
        <f aca="false">Thesis!H34*ext_sh</f>
        <v>0</v>
      </c>
      <c r="I15" s="30" t="n">
        <f aca="false">Thesis!I34*ext_sh</f>
        <v>490</v>
      </c>
      <c r="J15" s="30" t="n">
        <f aca="false">Thesis!J34*ext_sh</f>
        <v>740</v>
      </c>
      <c r="K15" s="30" t="n">
        <f aca="false">Thesis!K34*ext_sh</f>
        <v>1470</v>
      </c>
      <c r="L15" s="1" t="s">
        <v>965</v>
      </c>
    </row>
    <row r="16" customFormat="false" ht="17.15" hidden="false" customHeight="false" outlineLevel="0" collapsed="false">
      <c r="A16" s="1" t="s">
        <v>966</v>
      </c>
      <c r="B16" s="0" t="s">
        <v>459</v>
      </c>
      <c r="C16" s="30" t="n">
        <f aca="false">mix_h*Thesis!C8</f>
        <v>128</v>
      </c>
      <c r="D16" s="30" t="n">
        <f aca="false">mix_h*Thesis!D8</f>
        <v>326</v>
      </c>
      <c r="E16" s="30" t="n">
        <f aca="false">mix_h*Thesis!E8</f>
        <v>650</v>
      </c>
      <c r="F16" s="30" t="n">
        <f aca="false">Thesis!E16-Thesis!F15*mix_h</f>
        <v>650</v>
      </c>
      <c r="G16" s="30" t="n">
        <f aca="false">Thesis!F16-Thesis!G15*mix_h</f>
        <v>650</v>
      </c>
      <c r="H16" s="30" t="n">
        <f aca="false">Thesis!G16-Thesis!H15*mix_h</f>
        <v>650</v>
      </c>
      <c r="I16" s="30" t="n">
        <f aca="false">Thesis!H16-Thesis!I15*mix_h</f>
        <v>552</v>
      </c>
      <c r="J16" s="30" t="n">
        <f aca="false">Thesis!I16-Thesis!J15*mix_h</f>
        <v>404</v>
      </c>
      <c r="K16" s="30" t="n">
        <f aca="false">Thesis!J16-Thesis!K15*mix_h</f>
        <v>110</v>
      </c>
    </row>
    <row r="17" customFormat="false" ht="17.15" hidden="false" customHeight="false" outlineLevel="0" collapsed="false">
      <c r="A17" s="1" t="s">
        <v>967</v>
      </c>
      <c r="B17" s="0" t="s">
        <v>459</v>
      </c>
      <c r="C17" s="30" t="n">
        <f aca="false">mix_g2*Thesis!C8</f>
        <v>288</v>
      </c>
      <c r="D17" s="30" t="n">
        <f aca="false">mix_g2*Thesis!D8</f>
        <v>733.5</v>
      </c>
      <c r="E17" s="30" t="n">
        <f aca="false">mix_g2*Thesis!E8</f>
        <v>1462.5</v>
      </c>
      <c r="F17" s="30" t="n">
        <f aca="false">Thesis!E17-Thesis!F15*mix_g2</f>
        <v>1462.5</v>
      </c>
      <c r="G17" s="30" t="n">
        <f aca="false">Thesis!F17-Thesis!G15*mix_g2</f>
        <v>1462.5</v>
      </c>
      <c r="H17" s="30" t="n">
        <f aca="false">Thesis!G17-Thesis!H15*mix_g2</f>
        <v>1462.5</v>
      </c>
      <c r="I17" s="30" t="n">
        <f aca="false">Thesis!H17-Thesis!I15*mix_g2</f>
        <v>1242</v>
      </c>
      <c r="J17" s="30" t="n">
        <f aca="false">Thesis!I17-Thesis!J15*mix_g2</f>
        <v>909</v>
      </c>
      <c r="K17" s="30" t="n">
        <f aca="false">Thesis!J17-Thesis!K15*mix_g2</f>
        <v>247.5</v>
      </c>
    </row>
    <row r="18" customFormat="false" ht="17.15" hidden="false" customHeight="false" outlineLevel="0" collapsed="false">
      <c r="A18" s="1" t="s">
        <v>968</v>
      </c>
      <c r="B18" s="0" t="s">
        <v>459</v>
      </c>
      <c r="C18" s="30" t="n">
        <f aca="false">mix_g3*Thesis!C8</f>
        <v>224</v>
      </c>
      <c r="D18" s="30" t="n">
        <f aca="false">mix_g3*Thesis!D8</f>
        <v>570.5</v>
      </c>
      <c r="E18" s="30" t="n">
        <f aca="false">mix_g3*Thesis!E8</f>
        <v>1137.5</v>
      </c>
      <c r="F18" s="30" t="n">
        <f aca="false">Thesis!E18+(Thesis!F14+Thesis!F15)*(a_g3_27-nonnv*a_mai)-Thesis!F15*mix_g3</f>
        <v>2773.42106</v>
      </c>
      <c r="G18" s="30" t="n">
        <f aca="false">Thesis!F18+(Thesis!G14+Thesis!G15)*(a_g3_28-nonnv*a_mai)-Thesis!G15*mix_g3</f>
        <v>3318.72808</v>
      </c>
      <c r="H18" s="30" t="n">
        <f aca="false">Thesis!G18+(Thesis!H14+Thesis!H15)*(a_g3_29-nonnv*a_mai)-Thesis!H15*mix_g3</f>
        <v>3318.72808</v>
      </c>
      <c r="I18" s="30" t="n">
        <f aca="false">Thesis!H18+(Thesis!I14+Thesis!I15)*(a_g3_29-nonnv*a_mai)-Thesis!I15*mix_g3</f>
        <v>3147.22808</v>
      </c>
      <c r="J18" s="30" t="n">
        <f aca="false">Thesis!I18+(Thesis!J14+Thesis!J15)*(a_g3_29-nonnv*a_mai)-Thesis!J15*mix_g3</f>
        <v>2888.22808</v>
      </c>
      <c r="K18" s="30" t="n">
        <f aca="false">Thesis!J18+(Thesis!K14+Thesis!K15)*(a_g3_29-nonnv*a_mai)-Thesis!K15*mix_g3</f>
        <v>2373.72808</v>
      </c>
    </row>
    <row r="19" customFormat="false" ht="17.15" hidden="false" customHeight="false" outlineLevel="0" collapsed="false">
      <c r="A19" s="1" t="s">
        <v>969</v>
      </c>
      <c r="B19" s="0" t="s">
        <v>459</v>
      </c>
      <c r="C19" s="30" t="n">
        <v>0</v>
      </c>
      <c r="D19" s="30" t="n">
        <v>0</v>
      </c>
      <c r="E19" s="30" t="n">
        <v>0</v>
      </c>
      <c r="F19" s="30" t="n">
        <f aca="false">Thesis!E19+(Thesis!F14+Thesis!F15)*nonnv*a_mai</f>
        <v>272.65351</v>
      </c>
      <c r="G19" s="30" t="n">
        <f aca="false">Thesis!F19+(Thesis!G14+Thesis!G15)*nonnv*a_mai</f>
        <v>545.30702</v>
      </c>
      <c r="H19" s="30" t="n">
        <f aca="false">Thesis!G19+(Thesis!H14+Thesis!H15)*nonnv*a_mai</f>
        <v>817.96053</v>
      </c>
      <c r="I19" s="30" t="n">
        <f aca="false">Thesis!H19+(Thesis!I14+Thesis!I15)*nonnv*a_mai</f>
        <v>1060.15914196667</v>
      </c>
      <c r="J19" s="30" t="n">
        <f aca="false">Thesis!I19+(Thesis!J14+Thesis!J15)*nonnv*a_mai</f>
        <v>1251.76682813933</v>
      </c>
      <c r="K19" s="30" t="n">
        <f aca="false">Thesis!J19+(Thesis!K14+Thesis!K15)*nonnv*a_mai</f>
        <v>1442.37983298351</v>
      </c>
      <c r="L19" s="12" t="s">
        <v>970</v>
      </c>
    </row>
    <row r="20" customFormat="false" ht="17.15" hidden="false" customHeight="false" outlineLevel="0" collapsed="false">
      <c r="A20" s="1" t="s">
        <v>971</v>
      </c>
      <c r="B20" s="0" t="s">
        <v>459</v>
      </c>
      <c r="C20" s="30" t="n">
        <v>0</v>
      </c>
      <c r="D20" s="30" t="n">
        <v>0</v>
      </c>
      <c r="E20" s="30" t="n">
        <v>0</v>
      </c>
      <c r="F20" s="30" t="n">
        <f aca="false">Thesis!E20+(Thesis!F14+Thesis!F15)*(1-a_g3_27)</f>
        <v>817.96053</v>
      </c>
      <c r="G20" s="30" t="n">
        <f aca="false">Thesis!F20+(Thesis!G14+Thesis!G15)*(1-a_g3_28)</f>
        <v>2726.5351</v>
      </c>
      <c r="H20" s="30" t="n">
        <f aca="false">Thesis!G20+(Thesis!H14+Thesis!H15)*(1-a_g3_29)</f>
        <v>5180.41669</v>
      </c>
      <c r="I20" s="30" t="n">
        <f aca="false">Thesis!H20+(Thesis!I14+Thesis!I15)*(1-a_g3_29)</f>
        <v>7360.2041977</v>
      </c>
      <c r="J20" s="30" t="n">
        <f aca="false">Thesis!I20+(Thesis!J14+Thesis!J15)*(1-a_g3_29)</f>
        <v>9084.673373254</v>
      </c>
      <c r="K20" s="30" t="n">
        <f aca="false">Thesis!J20+(Thesis!K14+Thesis!K15)*(1-a_g3_29)</f>
        <v>10800.1904168516</v>
      </c>
    </row>
    <row r="21" customFormat="false" ht="17.15" hidden="false" customHeight="false" outlineLevel="0" collapsed="false">
      <c r="A21" s="1" t="s">
        <v>972</v>
      </c>
      <c r="B21" s="0" t="s">
        <v>403</v>
      </c>
      <c r="C21" s="15" t="n">
        <f aca="false">(Thesis!C16*tk_hold_h100+Thesis!C17*tk_hold_gb200+Thesis!C18*tk_hold_gb300+Thesis!C20*tk_hold_vr200+Thesis!C19*nv_hold_mai*tk_hold_vr200)/Thesis!C8</f>
        <v>9.7235358126469</v>
      </c>
      <c r="D21" s="15" t="n">
        <f aca="false">(Thesis!D16*tk_hold_h100+Thesis!D17*tk_hold_gb200+Thesis!D18*tk_hold_gb300+Thesis!D20*tk_hold_vr200+Thesis!D19*nv_hold_mai*tk_hold_vr200)/Thesis!D8</f>
        <v>9.7235358126469</v>
      </c>
      <c r="E21" s="15" t="n">
        <f aca="false">(Thesis!E16*tk_hold_h100+Thesis!E17*tk_hold_gb200+Thesis!E18*tk_hold_gb300+Thesis!E20*tk_hold_vr200+Thesis!E19*nv_hold_mai*tk_hold_vr200)/Thesis!E8</f>
        <v>9.7235358126469</v>
      </c>
      <c r="F21" s="15" t="n">
        <f aca="false">(Thesis!F16*tk_hold_h100+Thesis!F17*tk_hold_gb200+Thesis!F18*tk_hold_gb300+Thesis!F20*tk_hold_vr200+Thesis!F19*nv_hold_mai*tk_hold_vr200)/Thesis!F8</f>
        <v>10.2195353876665</v>
      </c>
      <c r="G21" s="15" t="n">
        <f aca="false">(Thesis!G16*tk_hold_h100+Thesis!G17*tk_hold_gb200+Thesis!G18*tk_hold_gb300+Thesis!G20*tk_hold_vr200+Thesis!G19*nv_hold_mai*tk_hold_vr200)/Thesis!G8</f>
        <v>10.5725598017306</v>
      </c>
      <c r="H21" s="15" t="n">
        <f aca="false">(Thesis!H16*tk_hold_h100+Thesis!H17*tk_hold_gb200+Thesis!H18*tk_hold_gb300+Thesis!H20*tk_hold_vr200+Thesis!H19*nv_hold_mai*tk_hold_vr200)/Thesis!H8</f>
        <v>10.8210427149036</v>
      </c>
      <c r="I21" s="15" t="n">
        <f aca="false">(Thesis!I16*tk_hold_h100+Thesis!I17*tk_hold_gb200+Thesis!I18*tk_hold_gb300+Thesis!I20*tk_hold_vr200+Thesis!I19*nv_hold_mai*tk_hold_vr200)/Thesis!I8</f>
        <v>11.0050618241982</v>
      </c>
      <c r="J21" s="15" t="n">
        <f aca="false">(Thesis!J16*tk_hold_h100+Thesis!J17*tk_hold_gb200+Thesis!J18*tk_hold_gb300+Thesis!J20*tk_hold_vr200+Thesis!J19*nv_hold_mai*tk_hold_vr200)/Thesis!J8</f>
        <v>11.1505789658881</v>
      </c>
      <c r="K21" s="15" t="n">
        <f aca="false">(Thesis!K16*tk_hold_h100+Thesis!K17*tk_hold_gb200+Thesis!K18*tk_hold_gb300+Thesis!K20*tk_hold_vr200+Thesis!K19*nv_hold_mai*tk_hold_vr200)/Thesis!K8</f>
        <v>11.3496914757183</v>
      </c>
      <c r="L21" s="1" t="s">
        <v>973</v>
      </c>
    </row>
    <row r="22" customFormat="false" ht="17.15" hidden="false" customHeight="false" outlineLevel="0" collapsed="false">
      <c r="A22" s="1" t="s">
        <v>974</v>
      </c>
      <c r="B22" s="0" t="s">
        <v>403</v>
      </c>
      <c r="C22" s="15" t="n">
        <f aca="false">(Thesis!C16*tk_hold_h100+Thesis!C17*tk_hold_gb200+Thesis!C18*tk_hold_gb300+Thesis!C20*tk_hold_vr200+Thesis!C19*nv_out_mai*tk_hold_vr200)/Thesis!C8</f>
        <v>9.7235358126469</v>
      </c>
      <c r="D22" s="15" t="n">
        <f aca="false">(Thesis!D16*tk_hold_h100+Thesis!D17*tk_hold_gb200+Thesis!D18*tk_hold_gb300+Thesis!D20*tk_hold_vr200+Thesis!D19*nv_out_mai*tk_hold_vr200)/Thesis!D8</f>
        <v>9.7235358126469</v>
      </c>
      <c r="E22" s="15" t="n">
        <f aca="false">(Thesis!E16*tk_hold_h100+Thesis!E17*tk_hold_gb200+Thesis!E18*tk_hold_gb300+Thesis!E20*tk_hold_vr200+Thesis!E19*nv_out_mai*tk_hold_vr200)/Thesis!E8</f>
        <v>9.7235358126469</v>
      </c>
      <c r="F22" s="15" t="n">
        <f aca="false">(Thesis!F16*tk_hold_h100+Thesis!F17*tk_hold_gb200+Thesis!F18*tk_hold_gb300+Thesis!F20*tk_hold_vr200+Thesis!F19*nv_out_mai*tk_hold_vr200)/Thesis!F8</f>
        <v>10.247422093969</v>
      </c>
      <c r="G22" s="15" t="n">
        <f aca="false">(Thesis!G16*tk_hold_h100+Thesis!G17*tk_hold_gb200+Thesis!G18*tk_hold_gb300+Thesis!G20*tk_hold_vr200+Thesis!G19*nv_out_mai*tk_hold_vr200)/Thesis!G8</f>
        <v>10.6108602808053</v>
      </c>
      <c r="H22" s="15" t="n">
        <f aca="false">(Thesis!H16*tk_hold_h100+Thesis!H17*tk_hold_gb200+Thesis!H18*tk_hold_gb300+Thesis!H20*tk_hold_vr200+Thesis!H19*nv_out_mai*tk_hold_vr200)/Thesis!H8</f>
        <v>10.8647885507393</v>
      </c>
      <c r="I22" s="15" t="n">
        <f aca="false">(Thesis!I16*tk_hold_h100+Thesis!I17*tk_hold_gb200+Thesis!I18*tk_hold_gb300+Thesis!I20*tk_hold_vr200+Thesis!I19*nv_out_mai*tk_hold_vr200)/Thesis!I8</f>
        <v>11.0535625770025</v>
      </c>
      <c r="J22" s="15" t="n">
        <f aca="false">(Thesis!J16*tk_hold_h100+Thesis!J17*tk_hold_gb200+Thesis!J18*tk_hold_gb300+Thesis!J20*tk_hold_vr200+Thesis!J19*nv_out_mai*tk_hold_vr200)/Thesis!J8</f>
        <v>11.2032127128058</v>
      </c>
      <c r="K22" s="15" t="n">
        <f aca="false">(Thesis!K16*tk_hold_h100+Thesis!K17*tk_hold_gb200+Thesis!K18*tk_hold_gb300+Thesis!K20*tk_hold_vr200+Thesis!K19*nv_out_mai*tk_hold_vr200)/Thesis!K8</f>
        <v>11.4085735724225</v>
      </c>
      <c r="L22" s="12" t="s">
        <v>975</v>
      </c>
    </row>
    <row r="23" customFormat="false" ht="17.15" hidden="false" customHeight="false" outlineLevel="0" collapsed="false">
      <c r="A23" s="0" t="s">
        <v>976</v>
      </c>
      <c r="B23" s="0" t="s">
        <v>229</v>
      </c>
      <c r="C23" s="15" t="n">
        <f aca="false">k_B</f>
        <v>1.17213932619116</v>
      </c>
      <c r="D23" s="15" t="n">
        <f aca="false">k_B</f>
        <v>1.17213932619116</v>
      </c>
      <c r="E23" s="15" t="n">
        <f aca="false">k_B</f>
        <v>1.17213932619116</v>
      </c>
      <c r="F23" s="15" t="n">
        <f aca="false">(k_B+((ls_A*k_long+(1-ls_A)*k_spot)-k_B)*MIN(1,(Thesis!F6-base_fy)/k_ramp))</f>
        <v>1.25022828131298</v>
      </c>
      <c r="G23" s="15" t="n">
        <f aca="false">(k_B+((ls_A*k_long+(1-ls_A)*k_spot)-k_B)*MIN(1,(Thesis!G6-base_fy)/k_ramp))</f>
        <v>1.3283172364348</v>
      </c>
      <c r="H23" s="15" t="n">
        <f aca="false">(k_B+((ls_A*k_long+(1-ls_A)*k_spot)-k_B)*MIN(1,(Thesis!H6-base_fy)/k_ramp))</f>
        <v>1.40640619155662</v>
      </c>
      <c r="I23" s="15" t="n">
        <f aca="false">(k_B+((ls_A*k_long+(1-ls_A)*k_spot)-k_B)*MIN(1,(Thesis!I6-base_fy)/k_ramp))</f>
        <v>1.40640619155662</v>
      </c>
      <c r="J23" s="15" t="n">
        <f aca="false">(k_B+((ls_A*k_long+(1-ls_A)*k_spot)-k_B)*MIN(1,(Thesis!J6-base_fy)/k_ramp))</f>
        <v>1.40640619155662</v>
      </c>
      <c r="K23" s="15" t="n">
        <f aca="false">(k_B+((ls_A*k_long+(1-ls_A)*k_spot)-k_B)*MIN(1,(Thesis!K6-base_fy)/k_ramp))</f>
        <v>1.40640619155662</v>
      </c>
      <c r="L23" s="1" t="s">
        <v>977</v>
      </c>
    </row>
    <row r="24" customFormat="false" ht="17.15" hidden="false" customHeight="false" outlineLevel="0" collapsed="false">
      <c r="A24" s="1" t="s">
        <v>978</v>
      </c>
      <c r="B24" s="0" t="s">
        <v>403</v>
      </c>
      <c r="C24" s="15" t="n">
        <f aca="false">Thesis!C22*Thesis!C23*chip_f</f>
        <v>11.3973387156315</v>
      </c>
      <c r="D24" s="15" t="n">
        <f aca="false">Thesis!D22*Thesis!D23*chip_f</f>
        <v>11.3973387156315</v>
      </c>
      <c r="E24" s="15" t="n">
        <f aca="false">Thesis!E22*Thesis!E23*chip_f</f>
        <v>11.3973387156315</v>
      </c>
      <c r="F24" s="15" t="n">
        <f aca="false">Thesis!F22*Thesis!F23*chip_f</f>
        <v>12.8116169124314</v>
      </c>
      <c r="G24" s="15" t="n">
        <f aca="false">Thesis!G22*Thesis!G23*chip_f</f>
        <v>14.094588604395</v>
      </c>
      <c r="H24" s="15" t="n">
        <f aca="false">Thesis!H22*Thesis!H23*chip_f</f>
        <v>15.2803058877132</v>
      </c>
      <c r="I24" s="15" t="n">
        <f aca="false">Thesis!I22*Thesis!I23*chip_f</f>
        <v>15.5457988470549</v>
      </c>
      <c r="J24" s="15" t="n">
        <f aca="false">Thesis!J22*Thesis!J23*chip_f</f>
        <v>15.7562677246158</v>
      </c>
      <c r="K24" s="15" t="n">
        <f aca="false">Thesis!K22*Thesis!K23*chip_f</f>
        <v>16.0450885090842</v>
      </c>
      <c r="L24" s="1" t="s">
        <v>979</v>
      </c>
    </row>
    <row r="25" customFormat="false" ht="17.15" hidden="false" customHeight="false" outlineLevel="0" collapsed="false">
      <c r="A25" s="0" t="s">
        <v>980</v>
      </c>
      <c r="B25" s="0" t="s">
        <v>98</v>
      </c>
      <c r="D25" s="6" t="n">
        <f aca="false">(Thesis!C8+Thesis!D8)/2*Thesis!D24/1000</f>
        <v>12.9359794422418</v>
      </c>
      <c r="E25" s="6" t="n">
        <f aca="false">(Thesis!D8+Thesis!E8)/2*Thesis!E24/1000</f>
        <v>27.8095064661409</v>
      </c>
      <c r="F25" s="6" t="n">
        <f aca="false">(Thesis!E8+Thesis!F8)/2*Thesis!F24/1000</f>
        <v>59.1034165651511</v>
      </c>
      <c r="G25" s="6" t="n">
        <f aca="false">(Thesis!F8+Thesis!G8)/2*Thesis!G24/1000</f>
        <v>103.451498789198</v>
      </c>
      <c r="H25" s="6" t="n">
        <f aca="false">(Thesis!G8+Thesis!H8)/2*Thesis!H24/1000</f>
        <v>153.816719989035</v>
      </c>
      <c r="I25" s="6" t="n">
        <f aca="false">(Thesis!H8+Thesis!I8)/2*Thesis!I24/1000</f>
        <v>192.699478690852</v>
      </c>
      <c r="J25" s="6" t="n">
        <f aca="false">(Thesis!I8+Thesis!J8)/2*Thesis!J24/1000</f>
        <v>219.794102584244</v>
      </c>
      <c r="K25" s="6" t="n">
        <f aca="false">(Thesis!J8+Thesis!K8)/2*Thesis!K24/1000</f>
        <v>236.757046905022</v>
      </c>
      <c r="L25" s="12" t="s">
        <v>981</v>
      </c>
    </row>
    <row r="26" customFormat="false" ht="17.15" hidden="false" customHeight="false" outlineLevel="0" collapsed="false">
      <c r="A26" s="1" t="s">
        <v>982</v>
      </c>
      <c r="B26" s="0" t="s">
        <v>403</v>
      </c>
      <c r="C26" s="15" t="n">
        <f aca="false">(Thesis!C16*tk_opex_h100+Thesis!C17*tk_opex_gb200+Thesis!C18*tk_opex_gb300+(Thesis!C20+Thesis!C19)*tk_opex_vr200)/Thesis!C8</f>
        <v>1.88636041306092</v>
      </c>
      <c r="D26" s="15" t="n">
        <f aca="false">(Thesis!D16*tk_opex_h100+Thesis!D17*tk_opex_gb200+Thesis!D18*tk_opex_gb300+(Thesis!D20+Thesis!D19)*tk_opex_vr200)/Thesis!D8</f>
        <v>1.88636041306092</v>
      </c>
      <c r="E26" s="15" t="n">
        <f aca="false">(Thesis!E16*tk_opex_h100+Thesis!E17*tk_opex_gb200+Thesis!E18*tk_opex_gb300+(Thesis!E20+Thesis!E19)*tk_opex_vr200)/Thesis!E8</f>
        <v>1.88636041306092</v>
      </c>
      <c r="F26" s="15" t="n">
        <f aca="false">(Thesis!F16*tk_opex_h100+Thesis!F17*tk_opex_gb200+Thesis!F18*tk_opex_gb300+(Thesis!F20+Thesis!F19)*tk_opex_vr200)/Thesis!F8</f>
        <v>1.95051159746876</v>
      </c>
      <c r="G26" s="15" t="n">
        <f aca="false">(Thesis!G16*tk_opex_h100+Thesis!G17*tk_opex_gb200+Thesis!G18*tk_opex_gb300+(Thesis!G20+Thesis!G19)*tk_opex_vr200)/Thesis!G8</f>
        <v>1.98836003669956</v>
      </c>
      <c r="H26" s="15" t="n">
        <f aca="false">(Thesis!H16*tk_opex_h100+Thesis!H17*tk_opex_gb200+Thesis!H18*tk_opex_gb300+(Thesis!H20+Thesis!H19)*tk_opex_vr200)/Thesis!H8</f>
        <v>2.01344013834343</v>
      </c>
      <c r="I26" s="15" t="n">
        <f aca="false">(Thesis!I16*tk_opex_h100+Thesis!I17*tk_opex_gb200+Thesis!I18*tk_opex_gb300+(Thesis!I20+Thesis!I19)*tk_opex_vr200)/Thesis!I8</f>
        <v>2.03261166882178</v>
      </c>
      <c r="J26" s="15" t="n">
        <f aca="false">(Thesis!J16*tk_opex_h100+Thesis!J17*tk_opex_gb200+Thesis!J18*tk_opex_gb300+(Thesis!J20+Thesis!J19)*tk_opex_vr200)/Thesis!J8</f>
        <v>2.04808073288745</v>
      </c>
      <c r="K26" s="15" t="n">
        <f aca="false">(Thesis!K16*tk_opex_h100+Thesis!K17*tk_opex_gb200+Thesis!K18*tk_opex_gb300+(Thesis!K20+Thesis!K19)*tk_opex_vr200)/Thesis!K8</f>
        <v>2.06973825807449</v>
      </c>
      <c r="L26" s="12" t="s">
        <v>983</v>
      </c>
    </row>
    <row r="27" customFormat="false" ht="17.15" hidden="false" customHeight="false" outlineLevel="0" collapsed="false">
      <c r="A27" s="0" t="s">
        <v>984</v>
      </c>
      <c r="B27" s="0" t="s">
        <v>98</v>
      </c>
      <c r="D27" s="6" t="n">
        <f aca="false">(Thesis!C11+Thesis!D11)/2*Thesis!D26/1000</f>
        <v>2.70378325872065</v>
      </c>
      <c r="E27" s="6" t="n">
        <f aca="false">(Thesis!D11+Thesis!E11)/2*Thesis!E26/1000</f>
        <v>6.17783035277451</v>
      </c>
      <c r="F27" s="6" t="n">
        <f aca="false">(Thesis!E11+Thesis!F11)/2*Thesis!F26/1000</f>
        <v>12.8742463089237</v>
      </c>
      <c r="G27" s="6" t="n">
        <f aca="false">(Thesis!F11+Thesis!G11)/2*Thesis!G26/1000</f>
        <v>21.8182834646277</v>
      </c>
      <c r="H27" s="6" t="n">
        <f aca="false">(Thesis!G11+Thesis!H11)/2*Thesis!H26/1000</f>
        <v>31.2430128789734</v>
      </c>
      <c r="I27" s="6" t="n">
        <f aca="false">(Thesis!H11+Thesis!I11)/2*Thesis!I26/1000</f>
        <v>39.4313057443268</v>
      </c>
      <c r="J27" s="6" t="n">
        <f aca="false">(Thesis!I11+Thesis!J11)/2*Thesis!J26/1000</f>
        <v>45.0360318228653</v>
      </c>
      <c r="K27" s="6" t="n">
        <f aca="false">(Thesis!J11+Thesis!K11)/2*Thesis!K26/1000</f>
        <v>48.2929727091156</v>
      </c>
    </row>
    <row r="28" customFormat="false" ht="17.15" hidden="false" customHeight="false" outlineLevel="0" collapsed="false">
      <c r="A28" s="0" t="s">
        <v>985</v>
      </c>
      <c r="B28" s="0" t="s">
        <v>98</v>
      </c>
      <c r="D28" s="6" t="n">
        <f aca="false">(Thesis!C9+Thesis!D9)/2*rent_mw/1000</f>
        <v>2.44475</v>
      </c>
      <c r="E28" s="6" t="n">
        <f aca="false">(Thesis!D9+Thesis!E9)/2*rent_mw/1000</f>
        <v>4.22275</v>
      </c>
      <c r="F28" s="6" t="n">
        <f aca="false">(Thesis!E9+Thesis!F9)/2*rent_mw/1000</f>
        <v>5.80517</v>
      </c>
      <c r="G28" s="6" t="n">
        <f aca="false">(Thesis!F9+Thesis!G9)/2*rent_mw/1000</f>
        <v>6.72084</v>
      </c>
      <c r="H28" s="6" t="n">
        <f aca="false">(Thesis!G9+Thesis!H9)/2*rent_mw/1000</f>
        <v>6.72084</v>
      </c>
      <c r="I28" s="6" t="n">
        <f aca="false">(Thesis!H9+Thesis!I9)/2*rent_mw/1000</f>
        <v>6.72084</v>
      </c>
      <c r="J28" s="6" t="n">
        <f aca="false">(Thesis!I9+Thesis!J9)/2*rent_mw/1000</f>
        <v>6.72084</v>
      </c>
      <c r="K28" s="6" t="n">
        <f aca="false">(Thesis!J9+Thesis!K9)/2*rent_mw/1000</f>
        <v>6.72084</v>
      </c>
    </row>
    <row r="29" customFormat="false" ht="17.15" hidden="false" customHeight="false" outlineLevel="0" collapsed="false">
      <c r="A29" s="0" t="s">
        <v>986</v>
      </c>
      <c r="B29" s="0" t="s">
        <v>98</v>
      </c>
      <c r="D29" s="6" t="n">
        <f aca="false">(Thesis!C11+Thesis!D11)/2*(1-self_build)*fac_rent/1000</f>
        <v>0.853242375631075</v>
      </c>
      <c r="E29" s="6" t="n">
        <f aca="false">(Thesis!D11+Thesis!E11)/2*(1-self_build)*fac_rent/1000</f>
        <v>1.94955961408728</v>
      </c>
      <c r="F29" s="6" t="n">
        <f aca="false">(Thesis!E11+Thesis!F11)/2*(1-self_build)*fac_rent/1000</f>
        <v>3.92914894476356</v>
      </c>
      <c r="G29" s="6" t="n">
        <f aca="false">(Thesis!F11+Thesis!G11)/2*(1-self_build)*fac_rent/1000</f>
        <v>6.53206908578159</v>
      </c>
      <c r="H29" s="6" t="n">
        <f aca="false">(Thesis!G11+Thesis!H11)/2*(1-self_build)*fac_rent/1000</f>
        <v>9.23717988341591</v>
      </c>
      <c r="I29" s="6" t="n">
        <f aca="false">(Thesis!H11+Thesis!I11)/2*(1-self_build)*fac_rent/1000</f>
        <v>11.5481378557393</v>
      </c>
      <c r="J29" s="6" t="n">
        <f aca="false">(Thesis!I11+Thesis!J11)/2*(1-self_build)*fac_rent/1000</f>
        <v>13.0899582289108</v>
      </c>
      <c r="K29" s="6" t="n">
        <f aca="false">(Thesis!J11+Thesis!K11)/2*(1-self_build)*fac_rent/1000</f>
        <v>13.8897275626556</v>
      </c>
      <c r="L29" s="12" t="s">
        <v>987</v>
      </c>
    </row>
    <row r="30" customFormat="false" ht="17.15" hidden="false" customHeight="false" outlineLevel="0" collapsed="false">
      <c r="A30" s="1" t="s">
        <v>988</v>
      </c>
      <c r="B30" s="0" t="s">
        <v>168</v>
      </c>
      <c r="D30" s="7" t="n">
        <f aca="false">(Thesis!C10+Thesis!D10)/(Thesis!C11+Thesis!D11)</f>
        <v>0.6</v>
      </c>
      <c r="E30" s="7" t="n">
        <f aca="false">(Thesis!D10+Thesis!E10)/(Thesis!D11+Thesis!E11)</f>
        <v>0.6</v>
      </c>
      <c r="F30" s="7" t="n">
        <f aca="false">(Thesis!E10+Thesis!F10)/(Thesis!E11+Thesis!F11)</f>
        <v>0.6</v>
      </c>
      <c r="G30" s="7" t="n">
        <f aca="false">(Thesis!F10+Thesis!G10)/(Thesis!F11+Thesis!G11)</f>
        <v>0.6</v>
      </c>
      <c r="H30" s="7" t="n">
        <f aca="false">(Thesis!G10+Thesis!H10)/(Thesis!G11+Thesis!H11)</f>
        <v>0.6</v>
      </c>
      <c r="I30" s="7" t="n">
        <f aca="false">(Thesis!H10+Thesis!I10)/(Thesis!H11+Thesis!I11)</f>
        <v>0.6</v>
      </c>
      <c r="J30" s="7" t="n">
        <f aca="false">(Thesis!I10+Thesis!J10)/(Thesis!I11+Thesis!J11)</f>
        <v>0.6</v>
      </c>
      <c r="K30" s="7" t="n">
        <f aca="false">(Thesis!J10+Thesis!K10)/(Thesis!J11+Thesis!K11)</f>
        <v>0.6</v>
      </c>
    </row>
    <row r="31" customFormat="false" ht="17.15" hidden="false" customHeight="false" outlineLevel="0" collapsed="false">
      <c r="A31" s="0" t="s">
        <v>989</v>
      </c>
      <c r="B31" s="0" t="s">
        <v>98</v>
      </c>
      <c r="D31" s="6" t="n">
        <f aca="false">Thesis!D25-Thesis!D30*(Thesis!D27+Thesis!D29)-Thesis!D28</f>
        <v>8.35701406163072</v>
      </c>
      <c r="E31" s="6" t="n">
        <f aca="false">Thesis!E25-Thesis!E30*(Thesis!E27+Thesis!E29)-Thesis!E28</f>
        <v>18.7103224860238</v>
      </c>
      <c r="F31" s="6" t="n">
        <f aca="false">Thesis!F25-Thesis!F30*(Thesis!F27+Thesis!F29)-Thesis!F28</f>
        <v>43.2162094129388</v>
      </c>
      <c r="G31" s="6" t="n">
        <f aca="false">Thesis!G25-Thesis!G30*(Thesis!G27+Thesis!G29)-Thesis!G28</f>
        <v>79.7204472589529</v>
      </c>
      <c r="H31" s="6" t="n">
        <f aca="false">Thesis!H25-Thesis!H30*(Thesis!H27+Thesis!H29)-Thesis!H28</f>
        <v>122.807764331602</v>
      </c>
      <c r="I31" s="6" t="n">
        <f aca="false">Thesis!I25-Thesis!I30*(Thesis!I27+Thesis!I29)-Thesis!I28</f>
        <v>155.390972530813</v>
      </c>
      <c r="J31" s="6" t="n">
        <f aca="false">Thesis!J25-Thesis!J30*(Thesis!J27+Thesis!J29)-Thesis!J28</f>
        <v>178.197668553178</v>
      </c>
      <c r="K31" s="6" t="n">
        <f aca="false">Thesis!K25-Thesis!K30*(Thesis!K27+Thesis!K29)-Thesis!K28</f>
        <v>192.726586741959</v>
      </c>
    </row>
    <row r="32" customFormat="false" ht="17.15" hidden="false" customHeight="false" outlineLevel="0" collapsed="false">
      <c r="A32" s="1" t="s">
        <v>990</v>
      </c>
      <c r="B32" s="0" t="s">
        <v>98</v>
      </c>
      <c r="D32" s="6" t="n">
        <f aca="false">(1-Thesis!D30)*(Thesis!D27+Thesis!D29)</f>
        <v>1.42281025374069</v>
      </c>
      <c r="E32" s="6" t="n">
        <f aca="false">(1-Thesis!E30)*(Thesis!E27+Thesis!E29)</f>
        <v>3.25095598674472</v>
      </c>
      <c r="F32" s="6" t="n">
        <f aca="false">(1-Thesis!F30)*(Thesis!F27+Thesis!F29)</f>
        <v>6.72135810147489</v>
      </c>
      <c r="G32" s="6" t="n">
        <f aca="false">(1-Thesis!G30)*(Thesis!G27+Thesis!G29)</f>
        <v>11.3401410201637</v>
      </c>
      <c r="H32" s="6" t="n">
        <f aca="false">(1-Thesis!H30)*(Thesis!H27+Thesis!H29)</f>
        <v>16.1920771049557</v>
      </c>
      <c r="I32" s="6" t="n">
        <f aca="false">(1-Thesis!I30)*(Thesis!I27+Thesis!I29)</f>
        <v>20.3917774400264</v>
      </c>
      <c r="J32" s="6" t="n">
        <f aca="false">(1-Thesis!J30)*(Thesis!J27+Thesis!J29)</f>
        <v>23.2503960207104</v>
      </c>
      <c r="K32" s="6" t="n">
        <f aca="false">(1-Thesis!K30)*(Thesis!K27+Thesis!K29)</f>
        <v>24.8730801087085</v>
      </c>
    </row>
    <row r="33" customFormat="false" ht="17.15" hidden="false" customHeight="false" outlineLevel="0" collapsed="false">
      <c r="A33" s="1" t="s">
        <v>991</v>
      </c>
      <c r="B33" s="0" t="s">
        <v>417</v>
      </c>
      <c r="C33" s="8" t="n">
        <f aca="false">cxit_open</f>
        <v>27.5918995</v>
      </c>
      <c r="D33" s="8" t="n">
        <f aca="false">cxit_open</f>
        <v>27.5918995</v>
      </c>
      <c r="E33" s="8" t="n">
        <f aca="false">cxit_open</f>
        <v>27.5918995</v>
      </c>
      <c r="F33" s="8" t="n">
        <f aca="false">((a_g3_27-nonnv*a_mai)*tk_cxit_gb300+nonnv*a_mai*nv_hold_mai*tk_cxit_vr200+(1-a_g3_27)*tk_cxit_vr200)</f>
        <v>32.4975576</v>
      </c>
      <c r="G33" s="8" t="n">
        <f aca="false">((a_g3_28-nonnv*a_mai)*tk_cxit_gb300+nonnv*a_mai*nv_hold_mai*tk_cxit_vr200+(1-a_g3_28)*tk_cxit_vr200)</f>
        <v>34.6372088</v>
      </c>
      <c r="H33" s="8" t="n">
        <f aca="false">((a_g3_29-nonnv*a_mai)*tk_cxit_gb300+nonnv*a_mai*nv_hold_mai*tk_cxit_vr200+(1-a_g3_29)*tk_cxit_vr200)</f>
        <v>35.7070344</v>
      </c>
      <c r="I33" s="8" t="n">
        <f aca="false">((a_g3_29-nonnv*a_mai)*tk_cxit_gb300+nonnv*a_mai*nv_hold_mai*tk_cxit_vr200+(1-a_g3_29)*tk_cxit_vr200)</f>
        <v>35.7070344</v>
      </c>
      <c r="J33" s="8" t="n">
        <f aca="false">((a_g3_29-nonnv*a_mai)*tk_cxit_gb300+nonnv*a_mai*nv_hold_mai*tk_cxit_vr200+(1-a_g3_29)*tk_cxit_vr200)</f>
        <v>35.7070344</v>
      </c>
      <c r="K33" s="8" t="n">
        <f aca="false">((a_g3_29-nonnv*a_mai)*tk_cxit_gb300+nonnv*a_mai*nv_hold_mai*tk_cxit_vr200+(1-a_g3_29)*tk_cxit_vr200)</f>
        <v>35.7070344</v>
      </c>
      <c r="L33" s="12" t="s">
        <v>992</v>
      </c>
    </row>
    <row r="34" customFormat="false" ht="17.15" hidden="false" customHeight="false" outlineLevel="0" collapsed="false">
      <c r="A34" s="0" t="s">
        <v>993</v>
      </c>
      <c r="B34" s="0" t="s">
        <v>459</v>
      </c>
      <c r="F34" s="30" t="n">
        <f aca="false">Thesis!C13*IF(Thesis!F6-Thesis!C6=life_it,1,0)+Thesis!D13*IF(Thesis!F6-Thesis!D6=life_it,1,0)+Thesis!E13*IF(Thesis!F6-Thesis!E6=life_it,1,0)</f>
        <v>0</v>
      </c>
      <c r="G34" s="30" t="n">
        <f aca="false">Thesis!C13*IF(Thesis!G6-Thesis!C6=life_it,1,0)+Thesis!D13*IF(Thesis!G6-Thesis!D6=life_it,1,0)+Thesis!E13*IF(Thesis!G6-Thesis!E6=life_it,1,0)+Thesis!F13*IF(Thesis!G6-Thesis!F6=life_it,1,0)</f>
        <v>0</v>
      </c>
      <c r="H34" s="30" t="n">
        <f aca="false">Thesis!C13*IF(Thesis!H6-Thesis!C6=life_it,1,0)+Thesis!D13*IF(Thesis!H6-Thesis!D6=life_it,1,0)+Thesis!E13*IF(Thesis!H6-Thesis!E6=life_it,1,0)+Thesis!F13*IF(Thesis!H6-Thesis!F6=life_it,1,0)+Thesis!G13*IF(Thesis!H6-Thesis!G6=life_it,1,0)</f>
        <v>0</v>
      </c>
      <c r="I34" s="30" t="n">
        <f aca="false">Thesis!C13*IF(Thesis!I6-Thesis!C6=life_it,1,0)+Thesis!D13*IF(Thesis!I6-Thesis!D6=life_it,1,0)+Thesis!E13*IF(Thesis!I6-Thesis!E6=life_it,1,0)+Thesis!F13*IF(Thesis!I6-Thesis!F6=life_it,1,0)+Thesis!G13*IF(Thesis!I6-Thesis!G6=life_it,1,0)+Thesis!H13*IF(Thesis!I6-Thesis!H6=life_it,1,0)</f>
        <v>816.666666666667</v>
      </c>
      <c r="J34" s="30" t="n">
        <f aca="false">Thesis!C13*IF(Thesis!J6-Thesis!C6=life_it,1,0)+Thesis!D13*IF(Thesis!J6-Thesis!D6=life_it,1,0)+Thesis!E13*IF(Thesis!J6-Thesis!E6=life_it,1,0)+Thesis!F13*IF(Thesis!J6-Thesis!F6=life_it,1,0)+Thesis!G13*IF(Thesis!J6-Thesis!G6=life_it,1,0)+Thesis!H13*IF(Thesis!J6-Thesis!H6=life_it,1,0)+Thesis!I13*IF(Thesis!J6-Thesis!I6=life_it,1,0)</f>
        <v>1233.33333333333</v>
      </c>
      <c r="K34" s="30" t="n">
        <f aca="false">Thesis!C13*IF(Thesis!K6-Thesis!C6=life_it,1,0)+Thesis!D13*IF(Thesis!K6-Thesis!D6=life_it,1,0)+Thesis!E13*IF(Thesis!K6-Thesis!E6=life_it,1,0)+Thesis!F13*IF(Thesis!K6-Thesis!F6=life_it,1,0)+Thesis!G13*IF(Thesis!K6-Thesis!G6=life_it,1,0)+Thesis!H13*IF(Thesis!K6-Thesis!H6=life_it,1,0)+Thesis!I13*IF(Thesis!K6-Thesis!I6=life_it,1,0)+Thesis!J13*IF(Thesis!K6-Thesis!J6=life_it,1,0)</f>
        <v>2450</v>
      </c>
      <c r="L34" s="1" t="s">
        <v>994</v>
      </c>
    </row>
    <row r="35" customFormat="false" ht="17.15" hidden="false" customHeight="false" outlineLevel="0" collapsed="false">
      <c r="A35" s="0" t="s">
        <v>995</v>
      </c>
      <c r="B35" s="0" t="s">
        <v>98</v>
      </c>
      <c r="C35" s="6" t="n">
        <f aca="false">Thesis!C13*Thesis!C33/1000</f>
        <v>22.5333845916667</v>
      </c>
      <c r="D35" s="6" t="n">
        <f aca="false">Thesis!D13*Thesis!D33/1000</f>
        <v>34.0300093833333</v>
      </c>
      <c r="E35" s="6" t="n">
        <f aca="false">Thesis!E13*Thesis!E33/1000</f>
        <v>67.600153775</v>
      </c>
      <c r="F35" s="6" t="n">
        <f aca="false">(Thesis!F13+Thesis!F34)*Thesis!F33/1000</f>
        <v>136.51872432512</v>
      </c>
      <c r="G35" s="6" t="n">
        <f aca="false">(Thesis!G13+Thesis!G34)*Thesis!G33/1000</f>
        <v>157.399275932048</v>
      </c>
      <c r="H35" s="6" t="n">
        <f aca="false">(Thesis!H13+Thesis!H34)*Thesis!H33/1000</f>
        <v>162.260804347512</v>
      </c>
      <c r="I35" s="6" t="n">
        <f aca="false">(Thesis!I13+Thesis!I34)*Thesis!I33/1000</f>
        <v>144.136569485434</v>
      </c>
      <c r="J35" s="6" t="n">
        <f aca="false">(Thesis!J13+Thesis!J34)*Thesis!J33/1000</f>
        <v>114.029037357864</v>
      </c>
      <c r="K35" s="6" t="n">
        <f aca="false">(Thesis!K13+Thesis!K34)*Thesis!K33/1000</f>
        <v>113.437085350975</v>
      </c>
    </row>
    <row r="36" customFormat="false" ht="17.15" hidden="false" customHeight="false" outlineLevel="0" collapsed="false">
      <c r="A36" s="0" t="s">
        <v>996</v>
      </c>
      <c r="B36" s="0" t="s">
        <v>98</v>
      </c>
      <c r="C36" s="6" t="n">
        <f aca="false">Thesis!C13*self_build*tk_cxfac/1000</f>
        <v>6.2083</v>
      </c>
      <c r="D36" s="6" t="n">
        <f aca="false">Thesis!D13*self_build*tk_cxfac/1000</f>
        <v>9.3758</v>
      </c>
      <c r="E36" s="6" t="n">
        <f aca="false">Thesis!E13*self_build*tk_cxfac/1000</f>
        <v>18.6249</v>
      </c>
      <c r="F36" s="6" t="n">
        <f aca="false">Thesis!F13*self_build*tk_cxfac/1000</f>
        <v>31.935179717</v>
      </c>
      <c r="G36" s="6" t="n">
        <f aca="false">Thesis!G13*self_build*tk_cxfac/1000</f>
        <v>34.545199717</v>
      </c>
      <c r="H36" s="6" t="n">
        <f aca="false">Thesis!H13*self_build*tk_cxfac/1000</f>
        <v>34.545199717</v>
      </c>
      <c r="I36" s="6" t="n">
        <f aca="false">Thesis!I13*self_build*tk_cxfac/1000</f>
        <v>24.4782641361767</v>
      </c>
      <c r="J36" s="6" t="n">
        <f aca="false">Thesis!J13*self_build*tk_cxfac/1000</f>
        <v>14.9008938380769</v>
      </c>
      <c r="K36" s="6" t="n">
        <f aca="false">Thesis!K13*self_build*tk_cxfac/1000</f>
        <v>5.52576771375761</v>
      </c>
    </row>
    <row r="37" customFormat="false" ht="17.15" hidden="false" customHeight="false" outlineLevel="0" collapsed="false">
      <c r="A37" s="0" t="s">
        <v>997</v>
      </c>
      <c r="B37" s="0" t="s">
        <v>98</v>
      </c>
      <c r="F37" s="15" t="n">
        <f aca="false">capex_floor27-Thesis!F35-Thesis!F36-CF!F25</f>
        <v>0.0475774452575593</v>
      </c>
      <c r="L37" s="12" t="s">
        <v>998</v>
      </c>
    </row>
    <row r="38" customFormat="false" ht="17.15" hidden="false" customHeight="false" outlineLevel="0" collapsed="false">
      <c r="A38" s="0" t="s">
        <v>999</v>
      </c>
      <c r="B38" s="0" t="s">
        <v>98</v>
      </c>
      <c r="F38" s="6" t="n">
        <f aca="false">MAX(0,Thesis!F37)</f>
        <v>0.0475774452575593</v>
      </c>
    </row>
    <row r="39" customFormat="false" ht="17.15" hidden="false" customHeight="false" outlineLevel="0" collapsed="false">
      <c r="A39" s="0" t="s">
        <v>1000</v>
      </c>
      <c r="B39" s="0" t="s">
        <v>98</v>
      </c>
      <c r="C39" s="6" t="n">
        <f aca="false">Thesis!C35</f>
        <v>22.5333845916667</v>
      </c>
      <c r="D39" s="6" t="n">
        <f aca="false">Thesis!D35</f>
        <v>34.0300093833333</v>
      </c>
      <c r="E39" s="6" t="n">
        <f aca="false">Thesis!E35</f>
        <v>67.600153775</v>
      </c>
      <c r="F39" s="6" t="n">
        <f aca="false">Thesis!F35</f>
        <v>136.51872432512</v>
      </c>
      <c r="G39" s="6" t="n">
        <f aca="false">Thesis!G35</f>
        <v>157.399275932048</v>
      </c>
      <c r="H39" s="6" t="n">
        <f aca="false">Thesis!H35</f>
        <v>162.260804347512</v>
      </c>
      <c r="I39" s="6" t="n">
        <f aca="false">Thesis!I35</f>
        <v>144.136569485434</v>
      </c>
      <c r="J39" s="6" t="n">
        <f aca="false">Thesis!J35</f>
        <v>114.029037357864</v>
      </c>
      <c r="K39" s="6" t="n">
        <f aca="false">Thesis!K35</f>
        <v>113.437085350975</v>
      </c>
    </row>
    <row r="40" customFormat="false" ht="17.15" hidden="false" customHeight="false" outlineLevel="0" collapsed="false">
      <c r="A40" s="0" t="s">
        <v>1001</v>
      </c>
      <c r="B40" s="0" t="s">
        <v>98</v>
      </c>
      <c r="C40" s="6" t="n">
        <f aca="false">Thesis!C39+Thesis!C36</f>
        <v>28.7416845916667</v>
      </c>
      <c r="D40" s="6" t="n">
        <f aca="false">Thesis!D39+Thesis!D36</f>
        <v>43.4058093833333</v>
      </c>
      <c r="E40" s="6" t="n">
        <f aca="false">Thesis!E39+Thesis!E36</f>
        <v>86.225053775</v>
      </c>
      <c r="F40" s="6" t="n">
        <f aca="false">Thesis!F39+Thesis!F36</f>
        <v>168.45390404212</v>
      </c>
      <c r="G40" s="6" t="n">
        <f aca="false">Thesis!G39+Thesis!G36</f>
        <v>191.944475649048</v>
      </c>
      <c r="H40" s="6" t="n">
        <f aca="false">Thesis!H39+Thesis!H36</f>
        <v>196.806004064512</v>
      </c>
      <c r="I40" s="6" t="n">
        <f aca="false">Thesis!I39+Thesis!I36</f>
        <v>168.61483362161</v>
      </c>
      <c r="J40" s="6" t="n">
        <f aca="false">Thesis!J39+Thesis!J36</f>
        <v>128.92993119594</v>
      </c>
      <c r="K40" s="6" t="n">
        <f aca="false">Thesis!K39+Thesis!K36</f>
        <v>118.962853064733</v>
      </c>
      <c r="L40" s="12" t="s">
        <v>1002</v>
      </c>
    </row>
    <row r="41" customFormat="false" ht="17.15" hidden="false" customHeight="false" outlineLevel="0" collapsed="false">
      <c r="A41" s="0" t="s">
        <v>1003</v>
      </c>
      <c r="B41" s="0" t="s">
        <v>98</v>
      </c>
      <c r="E41" s="6" t="n">
        <f aca="false">(Thesis!C39*IF(2&lt;life_it,1,IF(2=life_it,0.5,0))+Thesis!D39*IF(1&lt;life_it,1,IF(1=life_it,0.5,0))+Thesis!E39*0.5)/life_it</f>
        <v>15.0605784770833</v>
      </c>
      <c r="F41" s="6" t="n">
        <f aca="false">(Thesis!C39*IF(3&lt;life_it,1,IF(3=life_it,0.5,0))+Thesis!D39*IF(2&lt;life_it,1,IF(2=life_it,0.5,0))+Thesis!E39*IF(1&lt;life_it,1,IF(1=life_it,0.5,0))+Thesis!F39*0.5)/life_it</f>
        <v>32.0704849854266</v>
      </c>
      <c r="G41" s="6" t="n">
        <f aca="false">(Thesis!C39*IF(4&lt;life_it,1,IF(4=life_it,0.5,0))+Thesis!D39*IF(3&lt;life_it,1,IF(3=life_it,0.5,0))+Thesis!E39*IF(2&lt;life_it,1,IF(2=life_it,0.5,0))+Thesis!F39*IF(1&lt;life_it,1,IF(1=life_it,0.5,0))+Thesis!G39*0.5)/life_it</f>
        <v>56.5636516735239</v>
      </c>
      <c r="H41" s="6" t="n">
        <f aca="false">(Thesis!C39*IF(5&lt;life_it,1,IF(5=life_it,0.5,0))+Thesis!D39*IF(4&lt;life_it,1,IF(4=life_it,0.5,0))+Thesis!E39*IF(3&lt;life_it,1,IF(3=life_it,0.5,0))+Thesis!F39*IF(2&lt;life_it,1,IF(2=life_it,0.5,0))+Thesis!G39*IF(1&lt;life_it,1,IF(1=life_it,0.5,0))+Thesis!H39*0.5)/life_it</f>
        <v>83.2019916968207</v>
      </c>
      <c r="I41" s="6" t="n">
        <f aca="false">(Thesis!C39*IF(6&lt;life_it,1,IF(6=life_it,0.5,0))+Thesis!D39*IF(5&lt;life_it,1,IF(5=life_it,0.5,0))+Thesis!E39*IF(4&lt;life_it,1,IF(4=life_it,0.5,0))+Thesis!F39*IF(3&lt;life_it,1,IF(3=life_it,0.5,0))+Thesis!G39*IF(2&lt;life_it,1,IF(2=life_it,0.5,0))+Thesis!H39*IF(1&lt;life_it,1,IF(1=life_it,0.5,0))+Thesis!I39*0.5)/life_it</f>
        <v>106.857324133594</v>
      </c>
      <c r="J41" s="6" t="n">
        <f aca="false">(Thesis!C39*IF(7&lt;life_it,1,IF(7=life_it,0.5,0))+Thesis!D39*IF(6&lt;life_it,1,IF(6=life_it,0.5,0))+Thesis!E39*IF(5&lt;life_it,1,IF(5=life_it,0.5,0))+Thesis!F39*IF(4&lt;life_it,1,IF(4=life_it,0.5,0))+Thesis!G39*IF(3&lt;life_it,1,IF(3=life_it,0.5,0))+Thesis!H39*IF(2&lt;life_it,1,IF(2=life_it,0.5,0))+Thesis!I39*IF(1&lt;life_it,1,IF(1=life_it,0.5,0))+Thesis!J39*0.5)/life_it</f>
        <v>123.657508539285</v>
      </c>
      <c r="K41" s="6" t="n">
        <f aca="false">(Thesis!C39*IF(8&lt;life_it,1,IF(8=life_it,0.5,0))+Thesis!D39*IF(7&lt;life_it,1,IF(7=life_it,0.5,0))+Thesis!E39*IF(6&lt;life_it,1,IF(6=life_it,0.5,0))+Thesis!F39*IF(5&lt;life_it,1,IF(5=life_it,0.5,0))+Thesis!G39*IF(4&lt;life_it,1,IF(4=life_it,0.5,0))+Thesis!H39*IF(3&lt;life_it,1,IF(3=life_it,0.5,0))+Thesis!I39*IF(2&lt;life_it,1,IF(2=life_it,0.5,0))+Thesis!J39*IF(1&lt;life_it,1,IF(1=life_it,0.5,0))+Thesis!K39*0.5)/life_it</f>
        <v>134.143838501827</v>
      </c>
    </row>
    <row r="42" customFormat="false" ht="17.15" hidden="false" customHeight="false" outlineLevel="0" collapsed="false">
      <c r="A42" s="0" t="s">
        <v>1004</v>
      </c>
      <c r="B42" s="0" t="s">
        <v>98</v>
      </c>
      <c r="E42" s="6" t="n">
        <f aca="false">(Thesis!C36*IF(2&lt;life_fac,1,IF(2=life_fac,0.5,0))+Thesis!D36*IF(1&lt;life_fac,1,IF(1=life_fac,0.5,0))+Thesis!E36*0.5)/life_fac</f>
        <v>1.2448275</v>
      </c>
      <c r="F42" s="6" t="n">
        <f aca="false">(Thesis!C36*IF(3&lt;life_fac,1,IF(3=life_fac,0.5,0))+Thesis!D36*IF(2&lt;life_fac,1,IF(2=life_fac,0.5,0))+Thesis!E36*IF(1&lt;life_fac,1,IF(1=life_fac,0.5,0))+Thesis!F36*0.5)/life_fac</f>
        <v>2.508829492925</v>
      </c>
      <c r="G42" s="6" t="n">
        <f aca="false">(Thesis!C36*IF(4&lt;life_fac,1,IF(4=life_fac,0.5,0))+Thesis!D36*IF(3&lt;life_fac,1,IF(3=life_fac,0.5,0))+Thesis!E36*IF(2&lt;life_fac,1,IF(2=life_fac,0.5,0))+Thesis!F36*IF(1&lt;life_fac,1,IF(1=life_fac,0.5,0))+Thesis!G36*0.5)/life_fac</f>
        <v>4.170838978775</v>
      </c>
      <c r="H42" s="6" t="n">
        <f aca="false">(Thesis!C36*IF(5&lt;life_fac,1,IF(5=life_fac,0.5,0))+Thesis!D36*IF(4&lt;life_fac,1,IF(4=life_fac,0.5,0))+Thesis!E36*IF(3&lt;life_fac,1,IF(3=life_fac,0.5,0))+Thesis!F36*IF(2&lt;life_fac,1,IF(2=life_fac,0.5,0))+Thesis!G36*IF(1&lt;life_fac,1,IF(1=life_fac,0.5,0))+Thesis!H36*0.5)/life_fac</f>
        <v>5.898098964625</v>
      </c>
      <c r="I42" s="6" t="n">
        <f aca="false">(Thesis!C36*IF(6&lt;life_fac,1,IF(6=life_fac,0.5,0))+Thesis!D36*IF(5&lt;life_fac,1,IF(5=life_fac,0.5,0))+Thesis!E36*IF(4&lt;life_fac,1,IF(4=life_fac,0.5,0))+Thesis!F36*IF(3&lt;life_fac,1,IF(3=life_fac,0.5,0))+Thesis!G36*IF(2&lt;life_fac,1,IF(2=life_fac,0.5,0))+Thesis!H36*IF(1&lt;life_fac,1,IF(1=life_fac,0.5,0))+Thesis!I36*0.5)/life_fac</f>
        <v>7.37368556095442</v>
      </c>
      <c r="J42" s="6" t="n">
        <f aca="false">(Thesis!C36*IF(7&lt;life_fac,1,IF(7=life_fac,0.5,0))+Thesis!D36*IF(6&lt;life_fac,1,IF(6=life_fac,0.5,0))+Thesis!E36*IF(5&lt;life_fac,1,IF(5=life_fac,0.5,0))+Thesis!F36*IF(4&lt;life_fac,1,IF(4=life_fac,0.5,0))+Thesis!G36*IF(3&lt;life_fac,1,IF(3=life_fac,0.5,0))+Thesis!H36*IF(2&lt;life_fac,1,IF(2=life_fac,0.5,0))+Thesis!I36*IF(1&lt;life_fac,1,IF(1=life_fac,0.5,0))+Thesis!J36*0.5)/life_fac</f>
        <v>8.35816451031075</v>
      </c>
      <c r="K42" s="6" t="n">
        <f aca="false">(Thesis!C36*IF(8&lt;life_fac,1,IF(8=life_fac,0.5,0))+Thesis!D36*IF(7&lt;life_fac,1,IF(7=life_fac,0.5,0))+Thesis!E36*IF(6&lt;life_fac,1,IF(6=life_fac,0.5,0))+Thesis!F36*IF(5&lt;life_fac,1,IF(5=life_fac,0.5,0))+Thesis!G36*IF(4&lt;life_fac,1,IF(4=life_fac,0.5,0))+Thesis!H36*IF(3&lt;life_fac,1,IF(3=life_fac,0.5,0))+Thesis!I36*IF(2&lt;life_fac,1,IF(2=life_fac,0.5,0))+Thesis!J36*IF(1&lt;life_fac,1,IF(1=life_fac,0.5,0))+Thesis!K36*0.5)/life_fac</f>
        <v>8.86883104910662</v>
      </c>
    </row>
    <row r="43" customFormat="false" ht="17.15" hidden="false" customHeight="false" outlineLevel="0" collapsed="false">
      <c r="A43" s="0" t="s">
        <v>1005</v>
      </c>
      <c r="B43" s="0" t="s">
        <v>98</v>
      </c>
      <c r="E43" s="6" t="n">
        <f aca="false">Thesis!E41+Thesis!E42</f>
        <v>16.3054059770833</v>
      </c>
      <c r="F43" s="6" t="n">
        <f aca="false">Thesis!F41+Thesis!F42</f>
        <v>34.5793144783516</v>
      </c>
      <c r="G43" s="6" t="n">
        <f aca="false">Thesis!G41+Thesis!G42</f>
        <v>60.7344906522989</v>
      </c>
      <c r="H43" s="6" t="n">
        <f aca="false">Thesis!H41+Thesis!H42</f>
        <v>89.1000906614457</v>
      </c>
      <c r="I43" s="6" t="n">
        <f aca="false">Thesis!I41+Thesis!I42</f>
        <v>114.231009694548</v>
      </c>
      <c r="J43" s="6" t="n">
        <f aca="false">Thesis!J41+Thesis!J42</f>
        <v>132.015673049596</v>
      </c>
      <c r="K43" s="6" t="n">
        <f aca="false">Thesis!K41+Thesis!K42</f>
        <v>143.012669550934</v>
      </c>
    </row>
    <row r="44" customFormat="false" ht="17.15" hidden="false" customHeight="false" outlineLevel="0" collapsed="false">
      <c r="A44" s="0" t="s">
        <v>1006</v>
      </c>
      <c r="B44" s="0" t="s">
        <v>98</v>
      </c>
      <c r="E44" s="6" t="n">
        <f aca="false">Thesis!E31-Thesis!E30*Thesis!E43</f>
        <v>8.92707889977379</v>
      </c>
      <c r="F44" s="6" t="n">
        <f aca="false">Thesis!F31-Thesis!F30*Thesis!F43</f>
        <v>22.4686207259278</v>
      </c>
      <c r="G44" s="6" t="n">
        <f aca="false">Thesis!G31-Thesis!G30*Thesis!G43</f>
        <v>43.2797528675735</v>
      </c>
      <c r="H44" s="6" t="n">
        <f aca="false">Thesis!H31-Thesis!H30*Thesis!H43</f>
        <v>69.3477099347341</v>
      </c>
      <c r="I44" s="6" t="n">
        <f aca="false">Thesis!I31-Thesis!I30*Thesis!I43</f>
        <v>86.8523667140836</v>
      </c>
      <c r="J44" s="6" t="n">
        <f aca="false">Thesis!J31-Thesis!J30*Thesis!J43</f>
        <v>98.9882647234202</v>
      </c>
      <c r="K44" s="6" t="n">
        <f aca="false">Thesis!K31-Thesis!K30*Thesis!K43</f>
        <v>106.918985011399</v>
      </c>
    </row>
    <row r="45" customFormat="false" ht="17.15" hidden="false" customHeight="false" outlineLevel="0" collapsed="false">
      <c r="A45" s="0" t="s">
        <v>1007</v>
      </c>
      <c r="B45" s="0" t="s">
        <v>98</v>
      </c>
      <c r="E45" s="6" t="n">
        <f aca="false">Seg!E11</f>
        <v>5.25</v>
      </c>
      <c r="F45" s="6" t="n">
        <f aca="false">Seg!F11</f>
        <v>13.5</v>
      </c>
      <c r="G45" s="6" t="n">
        <f aca="false">Seg!G11</f>
        <v>22.5</v>
      </c>
      <c r="H45" s="6" t="n">
        <f aca="false">Seg!H11</f>
        <v>31.5</v>
      </c>
      <c r="I45" s="6" t="n">
        <f aca="false">Seg!I11</f>
        <v>38.25</v>
      </c>
      <c r="J45" s="6" t="n">
        <f aca="false">Seg!J11</f>
        <v>42.75</v>
      </c>
      <c r="K45" s="6" t="n">
        <f aca="false">Seg!K11</f>
        <v>47.25</v>
      </c>
    </row>
    <row r="46" customFormat="false" ht="17.15" hidden="false" customHeight="false" outlineLevel="0" collapsed="false">
      <c r="A46" s="1" t="s">
        <v>1008</v>
      </c>
      <c r="B46" s="0" t="s">
        <v>98</v>
      </c>
      <c r="F46" s="6" t="n">
        <f aca="false">MAX(0,((Thesis!E12+Thesis!F12)/2-(shadow_base*(Thesis!$D$12+Thesis!$E$12)/2+(1-shadow_base)*Thesis!$E$12))*Thesis!F21/1000-(Thesis!F45-Thesis!$E$45)*PL!F31)</f>
        <v>8.88340674531245</v>
      </c>
      <c r="G46" s="6" t="n">
        <f aca="false">MAX(0,((Thesis!F12+Thesis!G12)/2-(shadow_base*(Thesis!$D$12+Thesis!$E$12)/2+(1-shadow_base)*Thesis!$E$12))*Thesis!G21/1000-(Thesis!G45-Thesis!$E$45)*PL!G31)</f>
        <v>22.7060305170273</v>
      </c>
      <c r="H46" s="6" t="n">
        <f aca="false">MAX(0,((Thesis!G12+Thesis!H12)/2-(shadow_base*(Thesis!$D$12+Thesis!$E$12)/2+(1-shadow_base)*Thesis!$E$12))*Thesis!H21/1000-(Thesis!H45-Thesis!$E$45)*PL!H31)</f>
        <v>38.0018452382075</v>
      </c>
      <c r="I46" s="6" t="n">
        <f aca="false">MAX(0,((Thesis!H12+Thesis!I12)/2-(shadow_base*(Thesis!$D$12+Thesis!$E$12)/2+(1-shadow_base)*Thesis!$E$12))*Thesis!I21/1000-(Thesis!I45-Thesis!$E$45)*PL!I31)</f>
        <v>52.1381094705177</v>
      </c>
      <c r="J46" s="6" t="n">
        <f aca="false">MAX(0,((Thesis!I12+Thesis!J12)/2-(shadow_base*(Thesis!$D$12+Thesis!$E$12)/2+(1-shadow_base)*Thesis!$E$12))*Thesis!J21/1000-(Thesis!J45-Thesis!$E$45)*PL!J31)</f>
        <v>62.0595818934393</v>
      </c>
      <c r="K46" s="6" t="n">
        <f aca="false">MAX(0,((Thesis!J12+Thesis!K12)/2-(shadow_base*(Thesis!$D$12+Thesis!$E$12)/2+(1-shadow_base)*Thesis!$E$12))*Thesis!K21/1000-(Thesis!K45-Thesis!$E$45)*PL!K31)</f>
        <v>67.0801312706266</v>
      </c>
      <c r="L46" s="1" t="s">
        <v>1009</v>
      </c>
    </row>
    <row r="47" customFormat="false" ht="17.15" hidden="false" customHeight="false" outlineLevel="0" collapsed="false">
      <c r="A47" s="1" t="s">
        <v>1010</v>
      </c>
      <c r="B47" s="0" t="s">
        <v>98</v>
      </c>
      <c r="F47" s="6" t="n">
        <f aca="false">IF(internal_ai_reading=2,1,0)*Thesis!F46</f>
        <v>8.88340674531245</v>
      </c>
      <c r="G47" s="6" t="n">
        <f aca="false">IF(internal_ai_reading=2,1,0)*Thesis!G46</f>
        <v>22.7060305170273</v>
      </c>
      <c r="H47" s="6" t="n">
        <f aca="false">IF(internal_ai_reading=2,1,0)*Thesis!H46</f>
        <v>38.0018452382075</v>
      </c>
      <c r="I47" s="6" t="n">
        <f aca="false">IF(internal_ai_reading=2,1,0)*Thesis!I46</f>
        <v>52.1381094705177</v>
      </c>
      <c r="J47" s="6" t="n">
        <f aca="false">IF(internal_ai_reading=2,1,0)*Thesis!J46</f>
        <v>62.0595818934393</v>
      </c>
      <c r="K47" s="6" t="n">
        <f aca="false">IF(internal_ai_reading=2,1,0)*Thesis!K46</f>
        <v>67.0801312706266</v>
      </c>
    </row>
    <row r="48" customFormat="false" ht="17.15" hidden="false" customHeight="false" outlineLevel="0" collapsed="false">
      <c r="A48" s="0" t="s">
        <v>1011</v>
      </c>
      <c r="B48" s="0" t="s">
        <v>98</v>
      </c>
      <c r="F48" s="6" t="n">
        <f aca="false">Thesis!F31+Thesis!F45*PL!F31+Thesis!F47-Thesis!F32-Thesis!F43</f>
        <v>18.5068678152817</v>
      </c>
      <c r="G48" s="6" t="n">
        <f aca="false">Thesis!G31+Thesis!G45*PL!G31+Thesis!G47-Thesis!G32-Thesis!G43</f>
        <v>43.1983864982792</v>
      </c>
      <c r="H48" s="6" t="n">
        <f aca="false">Thesis!H31+Thesis!H45*PL!H31+Thesis!H47-Thesis!H32-Thesis!H43</f>
        <v>73.502598356074</v>
      </c>
      <c r="I48" s="6" t="n">
        <f aca="false">Thesis!I31+Thesis!I45*PL!I31+Thesis!I47-Thesis!I32-Thesis!I43</f>
        <v>94.7454135378504</v>
      </c>
      <c r="J48" s="6" t="n">
        <f aca="false">Thesis!J31+Thesis!J45*PL!J31+Thesis!J47-Thesis!J32-Thesis!J43</f>
        <v>109.399608126358</v>
      </c>
      <c r="K48" s="6" t="n">
        <f aca="false">Thesis!K31+Thesis!K45*PL!K31+Thesis!K47-Thesis!K32-Thesis!K43</f>
        <v>118.898703181943</v>
      </c>
    </row>
    <row r="49" customFormat="false" ht="17.15" hidden="false" customHeight="false" outlineLevel="0" collapsed="false">
      <c r="A49" s="0" t="s">
        <v>1012</v>
      </c>
      <c r="B49" s="0" t="s">
        <v>98</v>
      </c>
      <c r="E49" s="6" t="n">
        <f aca="false">Thesis!E11*(cxit_open+self_build*tk_cxfac)/1000*ai_net_open</f>
        <v>126.6980382</v>
      </c>
      <c r="F49" s="6" t="n">
        <f aca="false">Thesis!E49+Thesis!F40-Thesis!F43</f>
        <v>260.572627763768</v>
      </c>
      <c r="G49" s="6" t="n">
        <f aca="false">Thesis!F49+Thesis!G40-Thesis!G43</f>
        <v>391.782612760517</v>
      </c>
      <c r="H49" s="6" t="n">
        <f aca="false">Thesis!G49+Thesis!H40-Thesis!H43</f>
        <v>499.488526163584</v>
      </c>
      <c r="I49" s="6" t="n">
        <f aca="false">Thesis!H49+Thesis!I40-Thesis!I43</f>
        <v>553.872350090646</v>
      </c>
      <c r="J49" s="6" t="n">
        <f aca="false">Thesis!I49+Thesis!J40-Thesis!J43</f>
        <v>550.78660823699</v>
      </c>
      <c r="K49" s="6" t="n">
        <f aca="false">Thesis!J49+Thesis!K40-Thesis!K43</f>
        <v>526.736791750789</v>
      </c>
      <c r="L49" s="1" t="s">
        <v>1013</v>
      </c>
    </row>
    <row r="50" customFormat="false" ht="17.15" hidden="false" customHeight="false" outlineLevel="0" collapsed="false">
      <c r="A50" s="0" t="s">
        <v>1014</v>
      </c>
      <c r="B50" s="0" t="s">
        <v>168</v>
      </c>
      <c r="F50" s="7" t="n">
        <f aca="false">Thesis!F48*(1-tax_f)/((Thesis!E49+Thesis!F49)/2)</f>
        <v>0.0764607059271074</v>
      </c>
      <c r="G50" s="7" t="n">
        <f aca="false">Thesis!G48*(1-tax_f)/((Thesis!F49+Thesis!G49)/2)</f>
        <v>0.105950583522098</v>
      </c>
      <c r="H50" s="7" t="n">
        <f aca="false">Thesis!H48*(1-tax_f)/((Thesis!G49+Thesis!H49)/2)</f>
        <v>0.131951044114011</v>
      </c>
      <c r="I50" s="7" t="n">
        <f aca="false">Thesis!I48*(1-tax_f)/((Thesis!H49+Thesis!I49)/2)</f>
        <v>0.143913320760143</v>
      </c>
      <c r="J50" s="7" t="n">
        <f aca="false">Thesis!J48*(1-tax_f)/((Thesis!I49+Thesis!J49)/2)</f>
        <v>0.158455577336889</v>
      </c>
      <c r="K50" s="7" t="n">
        <f aca="false">Thesis!K48*(1-tax_f)/((Thesis!J49+Thesis!K49)/2)</f>
        <v>0.176551084731214</v>
      </c>
    </row>
    <row r="51" customFormat="false" ht="17.15" hidden="false" customHeight="false" outlineLevel="0" collapsed="false">
      <c r="A51" s="1" t="s">
        <v>1015</v>
      </c>
      <c r="B51" s="0" t="s">
        <v>168</v>
      </c>
      <c r="F51" s="7" t="n">
        <f aca="false">(Thesis!F48-Thesis!F47)*(1-tax_f)/((Thesis!E49+Thesis!F49)/2)</f>
        <v>0.0397591118181705</v>
      </c>
      <c r="G51" s="7" t="n">
        <f aca="false">(Thesis!G48-Thesis!G47)*(1-tax_f)/((Thesis!F49+Thesis!G49)/2)</f>
        <v>0.0502606057761598</v>
      </c>
      <c r="H51" s="7" t="n">
        <f aca="false">(Thesis!H48-Thesis!H47)*(1-tax_f)/((Thesis!G49+Thesis!H49)/2)</f>
        <v>0.0637305557287023</v>
      </c>
      <c r="I51" s="7" t="n">
        <f aca="false">(Thesis!I48-Thesis!I47)*(1-tax_f)/((Thesis!H49+Thesis!I49)/2)</f>
        <v>0.0647182632699936</v>
      </c>
      <c r="J51" s="7" t="n">
        <f aca="false">(Thesis!J48-Thesis!J47)*(1-tax_f)/((Thesis!I49+Thesis!J49)/2)</f>
        <v>0.0685678067440289</v>
      </c>
      <c r="K51" s="7" t="n">
        <f aca="false">(Thesis!K48-Thesis!K47)*(1-tax_f)/((Thesis!J49+Thesis!K49)/2)</f>
        <v>0.0769447002812616</v>
      </c>
    </row>
    <row r="52" customFormat="false" ht="17.15" hidden="false" customHeight="false" outlineLevel="0" collapsed="false">
      <c r="A52" s="1" t="s">
        <v>1016</v>
      </c>
      <c r="B52" s="0" t="s">
        <v>168</v>
      </c>
      <c r="F52" s="7" t="n">
        <f aca="false">(Thesis!F48-Thesis!F47+Thesis!F46)*(1-tax_f)/((Thesis!E49+Thesis!F49)/2)</f>
        <v>0.0764607059271074</v>
      </c>
      <c r="G52" s="7" t="n">
        <f aca="false">(Thesis!G48-Thesis!G47+Thesis!G46)*(1-tax_f)/((Thesis!F49+Thesis!G49)/2)</f>
        <v>0.105950583522098</v>
      </c>
      <c r="H52" s="7" t="n">
        <f aca="false">(Thesis!H48-Thesis!H47+Thesis!H46)*(1-tax_f)/((Thesis!G49+Thesis!H49)/2)</f>
        <v>0.131951044114011</v>
      </c>
      <c r="I52" s="7" t="n">
        <f aca="false">(Thesis!I48-Thesis!I47+Thesis!I46)*(1-tax_f)/((Thesis!H49+Thesis!I49)/2)</f>
        <v>0.143913320760143</v>
      </c>
      <c r="J52" s="7" t="n">
        <f aca="false">(Thesis!J48-Thesis!J47+Thesis!J46)*(1-tax_f)/((Thesis!I49+Thesis!J49)/2)</f>
        <v>0.158455577336889</v>
      </c>
      <c r="K52" s="7" t="n">
        <f aca="false">(Thesis!K48-Thesis!K47+Thesis!K46)*(1-tax_f)/((Thesis!J49+Thesis!K49)/2)</f>
        <v>0.176551084731214</v>
      </c>
    </row>
    <row r="53" customFormat="false" ht="17.15" hidden="false" customHeight="false" outlineLevel="0" collapsed="false">
      <c r="A53" s="1" t="s">
        <v>1017</v>
      </c>
      <c r="B53" s="0" t="s">
        <v>168</v>
      </c>
      <c r="F53" s="7" t="n">
        <f aca="false">Thesis!F44*(1-tax_f)/(Thesis!F30*(Thesis!E49+Thesis!F49)/2)</f>
        <v>0.15471433083293</v>
      </c>
      <c r="G53" s="7" t="n">
        <f aca="false">Thesis!G44*(1-tax_f)/(Thesis!G30*(Thesis!F49+Thesis!G49)/2)</f>
        <v>0.176916911437355</v>
      </c>
      <c r="H53" s="7" t="n">
        <f aca="false">Thesis!H44*(1-tax_f)/(Thesis!H30*(Thesis!G49+Thesis!H49)/2)</f>
        <v>0.207487057996582</v>
      </c>
      <c r="I53" s="7" t="n">
        <f aca="false">Thesis!I44*(1-tax_f)/(Thesis!I30*(Thesis!H49+Thesis!I49)/2)</f>
        <v>0.219873660070946</v>
      </c>
      <c r="J53" s="7" t="n">
        <f aca="false">Thesis!J44*(1-tax_f)/(Thesis!J30*(Thesis!I49+Thesis!J49)/2)</f>
        <v>0.238959457974928</v>
      </c>
      <c r="K53" s="7" t="n">
        <f aca="false">Thesis!K44*(1-tax_f)/(Thesis!K30*(Thesis!J49+Thesis!K49)/2)</f>
        <v>0.264604270651536</v>
      </c>
    </row>
    <row r="54" customFormat="false" ht="17.15" hidden="false" customHeight="false" outlineLevel="0" collapsed="false">
      <c r="A54" s="0" t="s">
        <v>1018</v>
      </c>
      <c r="B54" s="0" t="s">
        <v>253</v>
      </c>
      <c r="F54" s="7" t="n">
        <f aca="false">Thesis!F50-wacc</f>
        <v>-0.0264758850184899</v>
      </c>
      <c r="G54" s="7" t="n">
        <f aca="false">Thesis!G50-wacc</f>
        <v>0.00301399257650095</v>
      </c>
      <c r="H54" s="7" t="n">
        <f aca="false">Thesis!H50-wacc</f>
        <v>0.0290144531684132</v>
      </c>
      <c r="I54" s="7" t="n">
        <f aca="false">Thesis!I50-wacc</f>
        <v>0.0409767298145461</v>
      </c>
      <c r="J54" s="7" t="n">
        <f aca="false">Thesis!J50-wacc</f>
        <v>0.0555189863912922</v>
      </c>
      <c r="K54" s="7" t="n">
        <f aca="false">Thesis!K50-wacc</f>
        <v>0.0736144937856168</v>
      </c>
    </row>
    <row r="55" customFormat="false" ht="17.15" hidden="false" customHeight="false" outlineLevel="0" collapsed="false">
      <c r="A55" s="0" t="s">
        <v>1019</v>
      </c>
      <c r="B55" s="0" t="s">
        <v>98</v>
      </c>
      <c r="F55" s="6" t="n">
        <f aca="false">Thesis!F48*(1-tax_f)-wacc*(Thesis!E49+Thesis!F49)/2</f>
        <v>-5.12666681154535</v>
      </c>
      <c r="G55" s="6" t="n">
        <f aca="false">Thesis!G48*(1-tax_f)-wacc*(Thesis!F49+Thesis!G49)/2</f>
        <v>0.983096926090845</v>
      </c>
      <c r="H55" s="6" t="n">
        <f aca="false">Thesis!H48*(1-tax_f)-wacc*(Thesis!G49+Thesis!H49)/2</f>
        <v>12.9298723603358</v>
      </c>
      <c r="I55" s="6" t="n">
        <f aca="false">Thesis!I48*(1-tax_f)-wacc*(Thesis!H49+Thesis!I49)/2</f>
        <v>21.5816420117415</v>
      </c>
      <c r="J55" s="6" t="n">
        <f aca="false">Thesis!J48*(1-tax_f)-wacc*(Thesis!I49+Thesis!J49)/2</f>
        <v>30.6647728372055</v>
      </c>
      <c r="K55" s="6" t="n">
        <f aca="false">Thesis!K48*(1-tax_f)-wacc*(Thesis!J49+Thesis!K49)/2</f>
        <v>39.6606698161285</v>
      </c>
    </row>
    <row r="56" customFormat="false" ht="17.15" hidden="false" customHeight="false" outlineLevel="0" collapsed="false">
      <c r="A56" s="3" t="s">
        <v>1020</v>
      </c>
    </row>
    <row r="57" customFormat="false" ht="15" hidden="false" customHeight="false" outlineLevel="0" collapsed="false">
      <c r="A57" s="4" t="s">
        <v>43</v>
      </c>
      <c r="B57" s="4" t="s">
        <v>65</v>
      </c>
      <c r="C57" s="23" t="s">
        <v>942</v>
      </c>
      <c r="D57" s="23" t="s">
        <v>943</v>
      </c>
      <c r="E57" s="23" t="s">
        <v>944</v>
      </c>
      <c r="F57" s="23" t="s">
        <v>945</v>
      </c>
      <c r="G57" s="23" t="s">
        <v>946</v>
      </c>
      <c r="H57" s="23" t="s">
        <v>947</v>
      </c>
      <c r="I57" s="23" t="s">
        <v>948</v>
      </c>
      <c r="J57" s="23" t="s">
        <v>949</v>
      </c>
      <c r="K57" s="23" t="s">
        <v>950</v>
      </c>
      <c r="L57" s="4" t="s">
        <v>47</v>
      </c>
    </row>
    <row r="58" customFormat="false" ht="17.15" hidden="false" customHeight="false" outlineLevel="0" collapsed="false">
      <c r="A58" s="1" t="s">
        <v>951</v>
      </c>
      <c r="B58" s="1" t="s">
        <v>279</v>
      </c>
      <c r="C58" s="21" t="n">
        <v>2024</v>
      </c>
      <c r="D58" s="21" t="n">
        <v>2025</v>
      </c>
      <c r="E58" s="21" t="n">
        <v>2026</v>
      </c>
      <c r="F58" s="21" t="n">
        <v>2027</v>
      </c>
      <c r="G58" s="21" t="n">
        <v>2028</v>
      </c>
      <c r="H58" s="21" t="n">
        <v>2029</v>
      </c>
      <c r="I58" s="21" t="n">
        <v>2030</v>
      </c>
      <c r="J58" s="21" t="n">
        <v>2031</v>
      </c>
      <c r="K58" s="21" t="n">
        <v>2032</v>
      </c>
    </row>
    <row r="59" customFormat="false" ht="17.15" hidden="false" customHeight="false" outlineLevel="0" collapsed="false">
      <c r="A59" s="1" t="s">
        <v>952</v>
      </c>
      <c r="B59" s="0" t="s">
        <v>459</v>
      </c>
      <c r="F59" s="30" t="n">
        <f aca="false">pace</f>
        <v>2726.5351</v>
      </c>
      <c r="G59" s="30" t="n">
        <f aca="false">pace</f>
        <v>2726.5351</v>
      </c>
      <c r="H59" s="30" t="n">
        <f aca="false">pace</f>
        <v>2726.5351</v>
      </c>
      <c r="I59" s="30" t="n">
        <f aca="false">pace+(g_tv*Thesis!H60-pace)*MIN(1,(Thesis!I58-pace_y0)/(pace_y1-pace_y0))</f>
        <v>1931.98611966667</v>
      </c>
      <c r="J59" s="30" t="n">
        <f aca="false">pace+(g_tv*Thesis!I60-pace)*MIN(1,(Thesis!J58-pace_y0)/(pace_y1-pace_y0))</f>
        <v>1176.07686172667</v>
      </c>
      <c r="K59" s="30" t="n">
        <f aca="false">pace+(g_tv*Thesis!J60-pace)*MIN(1,(Thesis!K58-pace_y0)/(pace_y1-pace_y0))</f>
        <v>436.1300484418</v>
      </c>
      <c r="L59" s="12" t="s">
        <v>953</v>
      </c>
    </row>
    <row r="60" customFormat="false" ht="17.15" hidden="false" customHeight="false" outlineLevel="0" collapsed="false">
      <c r="A60" s="1" t="s">
        <v>954</v>
      </c>
      <c r="B60" s="0" t="s">
        <v>459</v>
      </c>
      <c r="C60" s="30" t="n">
        <f aca="false">mw_ext_24</f>
        <v>640</v>
      </c>
      <c r="D60" s="30" t="n">
        <f aca="false">mw_ext_25</f>
        <v>1630</v>
      </c>
      <c r="E60" s="30" t="n">
        <f aca="false">mw_ext_26</f>
        <v>3250</v>
      </c>
      <c r="F60" s="30" t="n">
        <f aca="false">Thesis!E60+Thesis!F59</f>
        <v>5976.5351</v>
      </c>
      <c r="G60" s="30" t="n">
        <f aca="false">Thesis!F60+Thesis!G59</f>
        <v>8703.0702</v>
      </c>
      <c r="H60" s="30" t="n">
        <f aca="false">Thesis!G60+Thesis!H59</f>
        <v>11429.6053</v>
      </c>
      <c r="I60" s="30" t="n">
        <f aca="false">Thesis!H60+Thesis!I59</f>
        <v>13361.5914196667</v>
      </c>
      <c r="J60" s="30" t="n">
        <f aca="false">Thesis!I60+Thesis!J59</f>
        <v>14537.6682813933</v>
      </c>
      <c r="K60" s="30" t="n">
        <f aca="false">Thesis!J60+Thesis!K59</f>
        <v>14973.7983298351</v>
      </c>
      <c r="L60" s="1" t="s">
        <v>955</v>
      </c>
    </row>
    <row r="61" customFormat="false" ht="17.15" hidden="false" customHeight="false" outlineLevel="0" collapsed="false">
      <c r="A61" s="1" t="s">
        <v>956</v>
      </c>
      <c r="B61" s="0" t="s">
        <v>459</v>
      </c>
      <c r="C61" s="30" t="n">
        <f aca="false">rent_ext_24</f>
        <v>150</v>
      </c>
      <c r="D61" s="30" t="n">
        <f aca="false">rent_ext_25</f>
        <v>400</v>
      </c>
      <c r="E61" s="30" t="n">
        <f aca="false">rent_ext_26</f>
        <v>550</v>
      </c>
      <c r="F61" s="30" t="n">
        <f aca="false">rent_ext_f</f>
        <v>756</v>
      </c>
      <c r="G61" s="30" t="n">
        <f aca="false">rent_ext_f</f>
        <v>756</v>
      </c>
      <c r="H61" s="30" t="n">
        <f aca="false">rent_ext_f</f>
        <v>756</v>
      </c>
      <c r="I61" s="30" t="n">
        <f aca="false">rent_ext_f</f>
        <v>756</v>
      </c>
      <c r="J61" s="30" t="n">
        <f aca="false">rent_ext_f</f>
        <v>756</v>
      </c>
      <c r="K61" s="30" t="n">
        <f aca="false">rent_ext_f</f>
        <v>756</v>
      </c>
      <c r="L61" s="1" t="s">
        <v>957</v>
      </c>
    </row>
    <row r="62" customFormat="false" ht="17.15" hidden="false" customHeight="false" outlineLevel="0" collapsed="false">
      <c r="A62" s="1" t="s">
        <v>958</v>
      </c>
      <c r="B62" s="0" t="s">
        <v>459</v>
      </c>
      <c r="C62" s="30" t="n">
        <f aca="false">Thesis!C60-Thesis!C61</f>
        <v>490</v>
      </c>
      <c r="D62" s="30" t="n">
        <f aca="false">Thesis!D60-Thesis!D61</f>
        <v>1230</v>
      </c>
      <c r="E62" s="30" t="n">
        <f aca="false">Thesis!E60-Thesis!E61</f>
        <v>2700</v>
      </c>
      <c r="F62" s="30" t="n">
        <f aca="false">Thesis!F60-Thesis!F61</f>
        <v>5220.5351</v>
      </c>
      <c r="G62" s="30" t="n">
        <f aca="false">Thesis!G60-Thesis!G61</f>
        <v>7947.0702</v>
      </c>
      <c r="H62" s="30" t="n">
        <f aca="false">Thesis!H60-Thesis!H61</f>
        <v>10673.6053</v>
      </c>
      <c r="I62" s="30" t="n">
        <f aca="false">Thesis!I60-Thesis!I61</f>
        <v>12605.5914196667</v>
      </c>
      <c r="J62" s="30" t="n">
        <f aca="false">Thesis!J60-Thesis!J61</f>
        <v>13781.6682813933</v>
      </c>
      <c r="K62" s="30" t="n">
        <f aca="false">Thesis!K60-Thesis!K61</f>
        <v>14217.7983298351</v>
      </c>
    </row>
    <row r="63" customFormat="false" ht="17.15" hidden="false" customHeight="false" outlineLevel="0" collapsed="false">
      <c r="A63" s="1" t="s">
        <v>959</v>
      </c>
      <c r="B63" s="0" t="s">
        <v>459</v>
      </c>
      <c r="C63" s="30" t="n">
        <f aca="false">Thesis!C62/ext_sh</f>
        <v>816.666666666667</v>
      </c>
      <c r="D63" s="30" t="n">
        <f aca="false">Thesis!D62/ext_sh</f>
        <v>2050</v>
      </c>
      <c r="E63" s="30" t="n">
        <f aca="false">Thesis!E62/ext_sh</f>
        <v>4500</v>
      </c>
      <c r="F63" s="30" t="n">
        <f aca="false">Thesis!F62/ext_sh</f>
        <v>8700.89183333333</v>
      </c>
      <c r="G63" s="30" t="n">
        <f aca="false">Thesis!G62/ext_sh</f>
        <v>13245.117</v>
      </c>
      <c r="H63" s="30" t="n">
        <f aca="false">Thesis!H62/ext_sh</f>
        <v>17789.3421666667</v>
      </c>
      <c r="I63" s="30" t="n">
        <f aca="false">Thesis!I62/ext_sh</f>
        <v>21009.3190327778</v>
      </c>
      <c r="J63" s="30" t="n">
        <f aca="false">Thesis!J62/ext_sh</f>
        <v>22969.4471356556</v>
      </c>
      <c r="K63" s="30" t="n">
        <f aca="false">Thesis!K62/ext_sh</f>
        <v>23696.3305497252</v>
      </c>
      <c r="L63" s="1" t="s">
        <v>960</v>
      </c>
    </row>
    <row r="64" customFormat="false" ht="17.15" hidden="false" customHeight="false" outlineLevel="0" collapsed="false">
      <c r="A64" s="1" t="s">
        <v>961</v>
      </c>
      <c r="B64" s="0" t="s">
        <v>459</v>
      </c>
      <c r="C64" s="30" t="n">
        <f aca="false">Thesis!C63-Thesis!C62</f>
        <v>326.666666666667</v>
      </c>
      <c r="D64" s="30" t="n">
        <f aca="false">Thesis!D63-Thesis!D62</f>
        <v>820</v>
      </c>
      <c r="E64" s="30" t="n">
        <f aca="false">Thesis!E63-Thesis!E62</f>
        <v>1800</v>
      </c>
      <c r="F64" s="30" t="n">
        <f aca="false">Thesis!F63-Thesis!F62</f>
        <v>3480.35673333333</v>
      </c>
      <c r="G64" s="30" t="n">
        <f aca="false">Thesis!G63-Thesis!G62</f>
        <v>5298.0468</v>
      </c>
      <c r="H64" s="30" t="n">
        <f aca="false">Thesis!H63-Thesis!H62</f>
        <v>7115.73686666667</v>
      </c>
      <c r="I64" s="30" t="n">
        <f aca="false">Thesis!I63-Thesis!I62</f>
        <v>8403.72761311111</v>
      </c>
      <c r="J64" s="30" t="n">
        <f aca="false">Thesis!J63-Thesis!J62</f>
        <v>9187.77885426222</v>
      </c>
      <c r="K64" s="30" t="n">
        <f aca="false">Thesis!K63-Thesis!K62</f>
        <v>9478.53221989009</v>
      </c>
    </row>
    <row r="65" customFormat="false" ht="17.15" hidden="false" customHeight="false" outlineLevel="0" collapsed="false">
      <c r="A65" s="1" t="s">
        <v>962</v>
      </c>
      <c r="B65" s="0" t="s">
        <v>459</v>
      </c>
      <c r="C65" s="30" t="n">
        <f aca="false">Thesis!C63</f>
        <v>816.666666666667</v>
      </c>
      <c r="D65" s="30" t="n">
        <f aca="false">Thesis!D63-Thesis!C63</f>
        <v>1233.33333333333</v>
      </c>
      <c r="E65" s="30" t="n">
        <f aca="false">Thesis!E63-Thesis!D63</f>
        <v>2450</v>
      </c>
      <c r="F65" s="30" t="n">
        <f aca="false">Thesis!F63-Thesis!E63</f>
        <v>4200.89183333333</v>
      </c>
      <c r="G65" s="30" t="n">
        <f aca="false">Thesis!G63-Thesis!F63</f>
        <v>4544.22516666667</v>
      </c>
      <c r="H65" s="30" t="n">
        <f aca="false">Thesis!H63-Thesis!G63</f>
        <v>4544.22516666667</v>
      </c>
      <c r="I65" s="30" t="n">
        <f aca="false">Thesis!I63-Thesis!H63</f>
        <v>3219.97686611111</v>
      </c>
      <c r="J65" s="30" t="n">
        <f aca="false">Thesis!J63-Thesis!I63</f>
        <v>1960.12810287778</v>
      </c>
      <c r="K65" s="30" t="n">
        <f aca="false">Thesis!K63-Thesis!J63</f>
        <v>726.883414069667</v>
      </c>
    </row>
    <row r="66" customFormat="false" ht="17.15" hidden="false" customHeight="false" outlineLevel="0" collapsed="false">
      <c r="A66" s="1" t="s">
        <v>963</v>
      </c>
      <c r="B66" s="0" t="s">
        <v>459</v>
      </c>
      <c r="D66" s="30" t="n">
        <f aca="false">Thesis!D60-Thesis!C60</f>
        <v>990</v>
      </c>
      <c r="E66" s="30" t="n">
        <f aca="false">Thesis!E60-Thesis!D60</f>
        <v>1620</v>
      </c>
      <c r="F66" s="30" t="n">
        <f aca="false">Thesis!F60-Thesis!E60</f>
        <v>2726.5351</v>
      </c>
      <c r="G66" s="30" t="n">
        <f aca="false">Thesis!G60-Thesis!F60</f>
        <v>2726.5351</v>
      </c>
      <c r="H66" s="30" t="n">
        <f aca="false">Thesis!H60-Thesis!G60</f>
        <v>2726.5351</v>
      </c>
      <c r="I66" s="30" t="n">
        <f aca="false">Thesis!I60-Thesis!H60</f>
        <v>1931.98611966667</v>
      </c>
      <c r="J66" s="30" t="n">
        <f aca="false">Thesis!J60-Thesis!I60</f>
        <v>1176.07686172667</v>
      </c>
      <c r="K66" s="30" t="n">
        <f aca="false">Thesis!K60-Thesis!J60</f>
        <v>436.130048441799</v>
      </c>
    </row>
    <row r="67" customFormat="false" ht="17.15" hidden="false" customHeight="false" outlineLevel="0" collapsed="false">
      <c r="A67" s="1" t="s">
        <v>964</v>
      </c>
      <c r="B67" s="0" t="s">
        <v>459</v>
      </c>
      <c r="F67" s="30" t="n">
        <f aca="false">Thesis!F86*ext_sh</f>
        <v>0</v>
      </c>
      <c r="G67" s="30" t="n">
        <f aca="false">Thesis!G86*ext_sh</f>
        <v>0</v>
      </c>
      <c r="H67" s="30" t="n">
        <f aca="false">Thesis!H86*ext_sh</f>
        <v>0</v>
      </c>
      <c r="I67" s="30" t="n">
        <f aca="false">Thesis!I86*ext_sh</f>
        <v>490</v>
      </c>
      <c r="J67" s="30" t="n">
        <f aca="false">Thesis!J86*ext_sh</f>
        <v>740</v>
      </c>
      <c r="K67" s="30" t="n">
        <f aca="false">Thesis!K86*ext_sh</f>
        <v>1470</v>
      </c>
      <c r="L67" s="1" t="s">
        <v>965</v>
      </c>
    </row>
    <row r="68" customFormat="false" ht="17.15" hidden="false" customHeight="false" outlineLevel="0" collapsed="false">
      <c r="A68" s="1" t="s">
        <v>966</v>
      </c>
      <c r="B68" s="0" t="s">
        <v>459</v>
      </c>
      <c r="C68" s="30" t="n">
        <f aca="false">mix_h*Thesis!C60</f>
        <v>128</v>
      </c>
      <c r="D68" s="30" t="n">
        <f aca="false">mix_h*Thesis!D60</f>
        <v>326</v>
      </c>
      <c r="E68" s="30" t="n">
        <f aca="false">mix_h*Thesis!E60</f>
        <v>650</v>
      </c>
      <c r="F68" s="30" t="n">
        <f aca="false">Thesis!E68-Thesis!F67*mix_h</f>
        <v>650</v>
      </c>
      <c r="G68" s="30" t="n">
        <f aca="false">Thesis!F68-Thesis!G67*mix_h</f>
        <v>650</v>
      </c>
      <c r="H68" s="30" t="n">
        <f aca="false">Thesis!G68-Thesis!H67*mix_h</f>
        <v>650</v>
      </c>
      <c r="I68" s="30" t="n">
        <f aca="false">Thesis!H68-Thesis!I67*mix_h</f>
        <v>552</v>
      </c>
      <c r="J68" s="30" t="n">
        <f aca="false">Thesis!I68-Thesis!J67*mix_h</f>
        <v>404</v>
      </c>
      <c r="K68" s="30" t="n">
        <f aca="false">Thesis!J68-Thesis!K67*mix_h</f>
        <v>110</v>
      </c>
    </row>
    <row r="69" customFormat="false" ht="17.15" hidden="false" customHeight="false" outlineLevel="0" collapsed="false">
      <c r="A69" s="1" t="s">
        <v>967</v>
      </c>
      <c r="B69" s="0" t="s">
        <v>459</v>
      </c>
      <c r="C69" s="30" t="n">
        <f aca="false">mix_g2*Thesis!C60</f>
        <v>288</v>
      </c>
      <c r="D69" s="30" t="n">
        <f aca="false">mix_g2*Thesis!D60</f>
        <v>733.5</v>
      </c>
      <c r="E69" s="30" t="n">
        <f aca="false">mix_g2*Thesis!E60</f>
        <v>1462.5</v>
      </c>
      <c r="F69" s="30" t="n">
        <f aca="false">Thesis!E69-Thesis!F67*mix_g2</f>
        <v>1462.5</v>
      </c>
      <c r="G69" s="30" t="n">
        <f aca="false">Thesis!F69-Thesis!G67*mix_g2</f>
        <v>1462.5</v>
      </c>
      <c r="H69" s="30" t="n">
        <f aca="false">Thesis!G69-Thesis!H67*mix_g2</f>
        <v>1462.5</v>
      </c>
      <c r="I69" s="30" t="n">
        <f aca="false">Thesis!H69-Thesis!I67*mix_g2</f>
        <v>1242</v>
      </c>
      <c r="J69" s="30" t="n">
        <f aca="false">Thesis!I69-Thesis!J67*mix_g2</f>
        <v>909</v>
      </c>
      <c r="K69" s="30" t="n">
        <f aca="false">Thesis!J69-Thesis!K67*mix_g2</f>
        <v>247.5</v>
      </c>
    </row>
    <row r="70" customFormat="false" ht="17.15" hidden="false" customHeight="false" outlineLevel="0" collapsed="false">
      <c r="A70" s="1" t="s">
        <v>968</v>
      </c>
      <c r="B70" s="0" t="s">
        <v>459</v>
      </c>
      <c r="C70" s="30" t="n">
        <f aca="false">mix_g3*Thesis!C60</f>
        <v>224</v>
      </c>
      <c r="D70" s="30" t="n">
        <f aca="false">mix_g3*Thesis!D60</f>
        <v>570.5</v>
      </c>
      <c r="E70" s="30" t="n">
        <f aca="false">mix_g3*Thesis!E60</f>
        <v>1137.5</v>
      </c>
      <c r="F70" s="30" t="n">
        <f aca="false">Thesis!E70+(Thesis!F66+Thesis!F67)*(a_g3_27-nonnv*a_mai)-Thesis!F67*mix_g3</f>
        <v>2773.42106</v>
      </c>
      <c r="G70" s="30" t="n">
        <f aca="false">Thesis!F70+(Thesis!G66+Thesis!G67)*(a_g3_28-nonnv*a_mai)-Thesis!G67*mix_g3</f>
        <v>3318.72808</v>
      </c>
      <c r="H70" s="30" t="n">
        <f aca="false">Thesis!G70+(Thesis!H66+Thesis!H67)*(a_g3_29-nonnv*a_mai)-Thesis!H67*mix_g3</f>
        <v>3318.72808</v>
      </c>
      <c r="I70" s="30" t="n">
        <f aca="false">Thesis!H70+(Thesis!I66+Thesis!I67)*(a_g3_29-nonnv*a_mai)-Thesis!I67*mix_g3</f>
        <v>3147.22808</v>
      </c>
      <c r="J70" s="30" t="n">
        <f aca="false">Thesis!I70+(Thesis!J66+Thesis!J67)*(a_g3_29-nonnv*a_mai)-Thesis!J67*mix_g3</f>
        <v>2888.22808</v>
      </c>
      <c r="K70" s="30" t="n">
        <f aca="false">Thesis!J70+(Thesis!K66+Thesis!K67)*(a_g3_29-nonnv*a_mai)-Thesis!K67*mix_g3</f>
        <v>2373.72808</v>
      </c>
    </row>
    <row r="71" customFormat="false" ht="17.15" hidden="false" customHeight="false" outlineLevel="0" collapsed="false">
      <c r="A71" s="1" t="s">
        <v>969</v>
      </c>
      <c r="B71" s="0" t="s">
        <v>459</v>
      </c>
      <c r="C71" s="30" t="n">
        <v>0</v>
      </c>
      <c r="D71" s="30" t="n">
        <v>0</v>
      </c>
      <c r="E71" s="30" t="n">
        <v>0</v>
      </c>
      <c r="F71" s="30" t="n">
        <f aca="false">Thesis!E71+(Thesis!F66+Thesis!F67)*nonnv*a_mai</f>
        <v>272.65351</v>
      </c>
      <c r="G71" s="30" t="n">
        <f aca="false">Thesis!F71+(Thesis!G66+Thesis!G67)*nonnv*a_mai</f>
        <v>545.30702</v>
      </c>
      <c r="H71" s="30" t="n">
        <f aca="false">Thesis!G71+(Thesis!H66+Thesis!H67)*nonnv*a_mai</f>
        <v>817.96053</v>
      </c>
      <c r="I71" s="30" t="n">
        <f aca="false">Thesis!H71+(Thesis!I66+Thesis!I67)*nonnv*a_mai</f>
        <v>1060.15914196667</v>
      </c>
      <c r="J71" s="30" t="n">
        <f aca="false">Thesis!I71+(Thesis!J66+Thesis!J67)*nonnv*a_mai</f>
        <v>1251.76682813933</v>
      </c>
      <c r="K71" s="30" t="n">
        <f aca="false">Thesis!J71+(Thesis!K66+Thesis!K67)*nonnv*a_mai</f>
        <v>1442.37983298351</v>
      </c>
      <c r="L71" s="12" t="s">
        <v>970</v>
      </c>
    </row>
    <row r="72" customFormat="false" ht="17.15" hidden="false" customHeight="false" outlineLevel="0" collapsed="false">
      <c r="A72" s="1" t="s">
        <v>971</v>
      </c>
      <c r="B72" s="0" t="s">
        <v>459</v>
      </c>
      <c r="C72" s="30" t="n">
        <v>0</v>
      </c>
      <c r="D72" s="30" t="n">
        <v>0</v>
      </c>
      <c r="E72" s="30" t="n">
        <v>0</v>
      </c>
      <c r="F72" s="30" t="n">
        <f aca="false">Thesis!E72+(Thesis!F66+Thesis!F67)*(1-a_g3_27)</f>
        <v>817.96053</v>
      </c>
      <c r="G72" s="30" t="n">
        <f aca="false">Thesis!F72+(Thesis!G66+Thesis!G67)*(1-a_g3_28)</f>
        <v>2726.5351</v>
      </c>
      <c r="H72" s="30" t="n">
        <f aca="false">Thesis!G72+(Thesis!H66+Thesis!H67)*(1-a_g3_29)</f>
        <v>5180.41669</v>
      </c>
      <c r="I72" s="30" t="n">
        <f aca="false">Thesis!H72+(Thesis!I66+Thesis!I67)*(1-a_g3_29)</f>
        <v>7360.2041977</v>
      </c>
      <c r="J72" s="30" t="n">
        <f aca="false">Thesis!I72+(Thesis!J66+Thesis!J67)*(1-a_g3_29)</f>
        <v>9084.673373254</v>
      </c>
      <c r="K72" s="30" t="n">
        <f aca="false">Thesis!J72+(Thesis!K66+Thesis!K67)*(1-a_g3_29)</f>
        <v>10800.1904168516</v>
      </c>
    </row>
    <row r="73" customFormat="false" ht="17.15" hidden="false" customHeight="false" outlineLevel="0" collapsed="false">
      <c r="A73" s="1" t="s">
        <v>972</v>
      </c>
      <c r="B73" s="0" t="s">
        <v>403</v>
      </c>
      <c r="C73" s="15" t="n">
        <f aca="false">(Thesis!C68*tk_hold_h100+Thesis!C69*tk_hold_gb200+Thesis!C70*tk_hold_gb300+Thesis!C72*tk_hold_vr200+Thesis!C71*nv_hold_mai*tk_hold_vr200)/Thesis!C60</f>
        <v>9.7235358126469</v>
      </c>
      <c r="D73" s="15" t="n">
        <f aca="false">(Thesis!D68*tk_hold_h100+Thesis!D69*tk_hold_gb200+Thesis!D70*tk_hold_gb300+Thesis!D72*tk_hold_vr200+Thesis!D71*nv_hold_mai*tk_hold_vr200)/Thesis!D60</f>
        <v>9.7235358126469</v>
      </c>
      <c r="E73" s="15" t="n">
        <f aca="false">(Thesis!E68*tk_hold_h100+Thesis!E69*tk_hold_gb200+Thesis!E70*tk_hold_gb300+Thesis!E72*tk_hold_vr200+Thesis!E71*nv_hold_mai*tk_hold_vr200)/Thesis!E60</f>
        <v>9.7235358126469</v>
      </c>
      <c r="F73" s="15" t="n">
        <f aca="false">(Thesis!F68*tk_hold_h100+Thesis!F69*tk_hold_gb200+Thesis!F70*tk_hold_gb300+Thesis!F72*tk_hold_vr200+Thesis!F71*nv_hold_mai*tk_hold_vr200)/Thesis!F60</f>
        <v>10.2195353876665</v>
      </c>
      <c r="G73" s="15" t="n">
        <f aca="false">(Thesis!G68*tk_hold_h100+Thesis!G69*tk_hold_gb200+Thesis!G70*tk_hold_gb300+Thesis!G72*tk_hold_vr200+Thesis!G71*nv_hold_mai*tk_hold_vr200)/Thesis!G60</f>
        <v>10.5725598017306</v>
      </c>
      <c r="H73" s="15" t="n">
        <f aca="false">(Thesis!H68*tk_hold_h100+Thesis!H69*tk_hold_gb200+Thesis!H70*tk_hold_gb300+Thesis!H72*tk_hold_vr200+Thesis!H71*nv_hold_mai*tk_hold_vr200)/Thesis!H60</f>
        <v>10.8210427149036</v>
      </c>
      <c r="I73" s="15" t="n">
        <f aca="false">(Thesis!I68*tk_hold_h100+Thesis!I69*tk_hold_gb200+Thesis!I70*tk_hold_gb300+Thesis!I72*tk_hold_vr200+Thesis!I71*nv_hold_mai*tk_hold_vr200)/Thesis!I60</f>
        <v>11.0050618241982</v>
      </c>
      <c r="J73" s="15" t="n">
        <f aca="false">(Thesis!J68*tk_hold_h100+Thesis!J69*tk_hold_gb200+Thesis!J70*tk_hold_gb300+Thesis!J72*tk_hold_vr200+Thesis!J71*nv_hold_mai*tk_hold_vr200)/Thesis!J60</f>
        <v>11.1505789658881</v>
      </c>
      <c r="K73" s="15" t="n">
        <f aca="false">(Thesis!K68*tk_hold_h100+Thesis!K69*tk_hold_gb200+Thesis!K70*tk_hold_gb300+Thesis!K72*tk_hold_vr200+Thesis!K71*nv_hold_mai*tk_hold_vr200)/Thesis!K60</f>
        <v>11.3496914757183</v>
      </c>
      <c r="L73" s="1" t="s">
        <v>973</v>
      </c>
    </row>
    <row r="74" customFormat="false" ht="17.15" hidden="false" customHeight="false" outlineLevel="0" collapsed="false">
      <c r="A74" s="1" t="s">
        <v>974</v>
      </c>
      <c r="B74" s="0" t="s">
        <v>403</v>
      </c>
      <c r="C74" s="15" t="n">
        <f aca="false">(Thesis!C68*tk_hold_h100+Thesis!C69*tk_hold_gb200+Thesis!C70*tk_hold_gb300+Thesis!C72*tk_hold_vr200+Thesis!C71*nv_out_mai*tk_hold_vr200)/Thesis!C60</f>
        <v>9.7235358126469</v>
      </c>
      <c r="D74" s="15" t="n">
        <f aca="false">(Thesis!D68*tk_hold_h100+Thesis!D69*tk_hold_gb200+Thesis!D70*tk_hold_gb300+Thesis!D72*tk_hold_vr200+Thesis!D71*nv_out_mai*tk_hold_vr200)/Thesis!D60</f>
        <v>9.7235358126469</v>
      </c>
      <c r="E74" s="15" t="n">
        <f aca="false">(Thesis!E68*tk_hold_h100+Thesis!E69*tk_hold_gb200+Thesis!E70*tk_hold_gb300+Thesis!E72*tk_hold_vr200+Thesis!E71*nv_out_mai*tk_hold_vr200)/Thesis!E60</f>
        <v>9.7235358126469</v>
      </c>
      <c r="F74" s="15" t="n">
        <f aca="false">(Thesis!F68*tk_hold_h100+Thesis!F69*tk_hold_gb200+Thesis!F70*tk_hold_gb300+Thesis!F72*tk_hold_vr200+Thesis!F71*nv_out_mai*tk_hold_vr200)/Thesis!F60</f>
        <v>10.247422093969</v>
      </c>
      <c r="G74" s="15" t="n">
        <f aca="false">(Thesis!G68*tk_hold_h100+Thesis!G69*tk_hold_gb200+Thesis!G70*tk_hold_gb300+Thesis!G72*tk_hold_vr200+Thesis!G71*nv_out_mai*tk_hold_vr200)/Thesis!G60</f>
        <v>10.6108602808053</v>
      </c>
      <c r="H74" s="15" t="n">
        <f aca="false">(Thesis!H68*tk_hold_h100+Thesis!H69*tk_hold_gb200+Thesis!H70*tk_hold_gb300+Thesis!H72*tk_hold_vr200+Thesis!H71*nv_out_mai*tk_hold_vr200)/Thesis!H60</f>
        <v>10.8647885507393</v>
      </c>
      <c r="I74" s="15" t="n">
        <f aca="false">(Thesis!I68*tk_hold_h100+Thesis!I69*tk_hold_gb200+Thesis!I70*tk_hold_gb300+Thesis!I72*tk_hold_vr200+Thesis!I71*nv_out_mai*tk_hold_vr200)/Thesis!I60</f>
        <v>11.0535625770025</v>
      </c>
      <c r="J74" s="15" t="n">
        <f aca="false">(Thesis!J68*tk_hold_h100+Thesis!J69*tk_hold_gb200+Thesis!J70*tk_hold_gb300+Thesis!J72*tk_hold_vr200+Thesis!J71*nv_out_mai*tk_hold_vr200)/Thesis!J60</f>
        <v>11.2032127128058</v>
      </c>
      <c r="K74" s="15" t="n">
        <f aca="false">(Thesis!K68*tk_hold_h100+Thesis!K69*tk_hold_gb200+Thesis!K70*tk_hold_gb300+Thesis!K72*tk_hold_vr200+Thesis!K71*nv_out_mai*tk_hold_vr200)/Thesis!K60</f>
        <v>11.4085735724225</v>
      </c>
      <c r="L74" s="12" t="s">
        <v>975</v>
      </c>
    </row>
    <row r="75" customFormat="false" ht="17.15" hidden="false" customHeight="false" outlineLevel="0" collapsed="false">
      <c r="A75" s="0" t="s">
        <v>976</v>
      </c>
      <c r="B75" s="0" t="s">
        <v>229</v>
      </c>
      <c r="C75" s="15" t="n">
        <f aca="false">k_B</f>
        <v>1.17213932619116</v>
      </c>
      <c r="D75" s="15" t="n">
        <f aca="false">k_B</f>
        <v>1.17213932619116</v>
      </c>
      <c r="E75" s="15" t="n">
        <f aca="false">k_B</f>
        <v>1.17213932619116</v>
      </c>
      <c r="F75" s="15" t="n">
        <f aca="false">(k_B+((ls_B*k_long+(1-ls_B)*k_spot)-k_B)*MIN(1,(Thesis!F58-base_fy)/k_ramp))</f>
        <v>1.17213932619116</v>
      </c>
      <c r="G75" s="15" t="n">
        <f aca="false">(k_B+((ls_B*k_long+(1-ls_B)*k_spot)-k_B)*MIN(1,(Thesis!G58-base_fy)/k_ramp))</f>
        <v>1.17213932619116</v>
      </c>
      <c r="H75" s="15" t="n">
        <f aca="false">(k_B+((ls_B*k_long+(1-ls_B)*k_spot)-k_B)*MIN(1,(Thesis!H58-base_fy)/k_ramp))</f>
        <v>1.17213932619116</v>
      </c>
      <c r="I75" s="15" t="n">
        <f aca="false">(k_B+((ls_B*k_long+(1-ls_B)*k_spot)-k_B)*MIN(1,(Thesis!I58-base_fy)/k_ramp))</f>
        <v>1.17213932619116</v>
      </c>
      <c r="J75" s="15" t="n">
        <f aca="false">(k_B+((ls_B*k_long+(1-ls_B)*k_spot)-k_B)*MIN(1,(Thesis!J58-base_fy)/k_ramp))</f>
        <v>1.17213932619116</v>
      </c>
      <c r="K75" s="15" t="n">
        <f aca="false">(k_B+((ls_B*k_long+(1-ls_B)*k_spot)-k_B)*MIN(1,(Thesis!K58-base_fy)/k_ramp))</f>
        <v>1.17213932619116</v>
      </c>
      <c r="L75" s="1" t="s">
        <v>977</v>
      </c>
    </row>
    <row r="76" customFormat="false" ht="17.15" hidden="false" customHeight="false" outlineLevel="0" collapsed="false">
      <c r="A76" s="1" t="s">
        <v>978</v>
      </c>
      <c r="B76" s="0" t="s">
        <v>403</v>
      </c>
      <c r="C76" s="15" t="n">
        <f aca="false">Thesis!C74*Thesis!C75*chip_f</f>
        <v>11.3973387156315</v>
      </c>
      <c r="D76" s="15" t="n">
        <f aca="false">Thesis!D74*Thesis!D75*chip_f</f>
        <v>11.3973387156315</v>
      </c>
      <c r="E76" s="15" t="n">
        <f aca="false">Thesis!E74*Thesis!E75*chip_f</f>
        <v>11.3973387156315</v>
      </c>
      <c r="F76" s="15" t="n">
        <f aca="false">Thesis!F74*Thesis!F75*chip_f</f>
        <v>12.0114064284211</v>
      </c>
      <c r="G76" s="15" t="n">
        <f aca="false">Thesis!G74*Thesis!G75*chip_f</f>
        <v>12.4374066198516</v>
      </c>
      <c r="H76" s="15" t="n">
        <f aca="false">Thesis!H74*Thesis!H75*chip_f</f>
        <v>12.735045931073</v>
      </c>
      <c r="I76" s="15" t="n">
        <f aca="false">Thesis!I74*Thesis!I75*chip_f</f>
        <v>12.9563153910195</v>
      </c>
      <c r="J76" s="15" t="n">
        <f aca="false">Thesis!J74*Thesis!J75*chip_f</f>
        <v>13.1317262003643</v>
      </c>
      <c r="K76" s="15" t="n">
        <f aca="false">Thesis!K74*Thesis!K75*chip_f</f>
        <v>13.3724377399815</v>
      </c>
      <c r="L76" s="1" t="s">
        <v>979</v>
      </c>
    </row>
    <row r="77" customFormat="false" ht="17.15" hidden="false" customHeight="false" outlineLevel="0" collapsed="false">
      <c r="A77" s="0" t="s">
        <v>980</v>
      </c>
      <c r="B77" s="0" t="s">
        <v>98</v>
      </c>
      <c r="D77" s="6" t="n">
        <f aca="false">(Thesis!C60+Thesis!D60)/2*Thesis!D76/1000</f>
        <v>12.9359794422418</v>
      </c>
      <c r="E77" s="6" t="n">
        <f aca="false">(Thesis!D60+Thesis!E60)/2*Thesis!E76/1000</f>
        <v>27.8095064661409</v>
      </c>
      <c r="F77" s="6" t="n">
        <f aca="false">(Thesis!E60+Thesis!F60)/2*Thesis!F76/1000</f>
        <v>55.4118315060966</v>
      </c>
      <c r="G77" s="6" t="n">
        <f aca="false">(Thesis!F60+Thesis!G60)/2*Thesis!G76/1000</f>
        <v>91.2881100675143</v>
      </c>
      <c r="H77" s="6" t="n">
        <f aca="false">(Thesis!G60+Thesis!H60)/2*Thesis!H76/1000</f>
        <v>128.195273603944</v>
      </c>
      <c r="I77" s="6" t="n">
        <f aca="false">(Thesis!H60+Thesis!I60)/2*Thesis!I76/1000</f>
        <v>160.601281810405</v>
      </c>
      <c r="J77" s="6" t="n">
        <f aca="false">(Thesis!I60+Thesis!J60)/2*Thesis!J76/1000</f>
        <v>183.182719793589</v>
      </c>
      <c r="K77" s="6" t="n">
        <f aca="false">(Thesis!J60+Thesis!K60)/2*Thesis!K76/1000</f>
        <v>197.320124937098</v>
      </c>
      <c r="L77" s="12" t="s">
        <v>981</v>
      </c>
    </row>
    <row r="78" customFormat="false" ht="17.15" hidden="false" customHeight="false" outlineLevel="0" collapsed="false">
      <c r="A78" s="1" t="s">
        <v>982</v>
      </c>
      <c r="B78" s="0" t="s">
        <v>403</v>
      </c>
      <c r="C78" s="15" t="n">
        <f aca="false">(Thesis!C68*tk_opex_h100+Thesis!C69*tk_opex_gb200+Thesis!C70*tk_opex_gb300+(Thesis!C72+Thesis!C71)*tk_opex_vr200)/Thesis!C60</f>
        <v>1.88636041306092</v>
      </c>
      <c r="D78" s="15" t="n">
        <f aca="false">(Thesis!D68*tk_opex_h100+Thesis!D69*tk_opex_gb200+Thesis!D70*tk_opex_gb300+(Thesis!D72+Thesis!D71)*tk_opex_vr200)/Thesis!D60</f>
        <v>1.88636041306092</v>
      </c>
      <c r="E78" s="15" t="n">
        <f aca="false">(Thesis!E68*tk_opex_h100+Thesis!E69*tk_opex_gb200+Thesis!E70*tk_opex_gb300+(Thesis!E72+Thesis!E71)*tk_opex_vr200)/Thesis!E60</f>
        <v>1.88636041306092</v>
      </c>
      <c r="F78" s="15" t="n">
        <f aca="false">(Thesis!F68*tk_opex_h100+Thesis!F69*tk_opex_gb200+Thesis!F70*tk_opex_gb300+(Thesis!F72+Thesis!F71)*tk_opex_vr200)/Thesis!F60</f>
        <v>1.95051159746876</v>
      </c>
      <c r="G78" s="15" t="n">
        <f aca="false">(Thesis!G68*tk_opex_h100+Thesis!G69*tk_opex_gb200+Thesis!G70*tk_opex_gb300+(Thesis!G72+Thesis!G71)*tk_opex_vr200)/Thesis!G60</f>
        <v>1.98836003669956</v>
      </c>
      <c r="H78" s="15" t="n">
        <f aca="false">(Thesis!H68*tk_opex_h100+Thesis!H69*tk_opex_gb200+Thesis!H70*tk_opex_gb300+(Thesis!H72+Thesis!H71)*tk_opex_vr200)/Thesis!H60</f>
        <v>2.01344013834343</v>
      </c>
      <c r="I78" s="15" t="n">
        <f aca="false">(Thesis!I68*tk_opex_h100+Thesis!I69*tk_opex_gb200+Thesis!I70*tk_opex_gb300+(Thesis!I72+Thesis!I71)*tk_opex_vr200)/Thesis!I60</f>
        <v>2.03261166882178</v>
      </c>
      <c r="J78" s="15" t="n">
        <f aca="false">(Thesis!J68*tk_opex_h100+Thesis!J69*tk_opex_gb200+Thesis!J70*tk_opex_gb300+(Thesis!J72+Thesis!J71)*tk_opex_vr200)/Thesis!J60</f>
        <v>2.04808073288745</v>
      </c>
      <c r="K78" s="15" t="n">
        <f aca="false">(Thesis!K68*tk_opex_h100+Thesis!K69*tk_opex_gb200+Thesis!K70*tk_opex_gb300+(Thesis!K72+Thesis!K71)*tk_opex_vr200)/Thesis!K60</f>
        <v>2.06973825807449</v>
      </c>
      <c r="L78" s="12" t="s">
        <v>983</v>
      </c>
    </row>
    <row r="79" customFormat="false" ht="17.15" hidden="false" customHeight="false" outlineLevel="0" collapsed="false">
      <c r="A79" s="0" t="s">
        <v>984</v>
      </c>
      <c r="B79" s="0" t="s">
        <v>98</v>
      </c>
      <c r="D79" s="6" t="n">
        <f aca="false">(Thesis!C63+Thesis!D63)/2*Thesis!D78/1000</f>
        <v>2.70378325872065</v>
      </c>
      <c r="E79" s="6" t="n">
        <f aca="false">(Thesis!D63+Thesis!E63)/2*Thesis!E78/1000</f>
        <v>6.17783035277451</v>
      </c>
      <c r="F79" s="6" t="n">
        <f aca="false">(Thesis!E63+Thesis!F63)/2*Thesis!F78/1000</f>
        <v>12.8742463089237</v>
      </c>
      <c r="G79" s="6" t="n">
        <f aca="false">(Thesis!F63+Thesis!G63)/2*Thesis!G78/1000</f>
        <v>21.8182834646277</v>
      </c>
      <c r="H79" s="6" t="n">
        <f aca="false">(Thesis!G63+Thesis!H63)/2*Thesis!H78/1000</f>
        <v>31.2430128789734</v>
      </c>
      <c r="I79" s="6" t="n">
        <f aca="false">(Thesis!H63+Thesis!I63)/2*Thesis!I78/1000</f>
        <v>39.4313057443268</v>
      </c>
      <c r="J79" s="6" t="n">
        <f aca="false">(Thesis!I63+Thesis!J63)/2*Thesis!J78/1000</f>
        <v>45.0360318228653</v>
      </c>
      <c r="K79" s="6" t="n">
        <f aca="false">(Thesis!J63+Thesis!K63)/2*Thesis!K78/1000</f>
        <v>48.2929727091156</v>
      </c>
    </row>
    <row r="80" customFormat="false" ht="17.15" hidden="false" customHeight="false" outlineLevel="0" collapsed="false">
      <c r="A80" s="0" t="s">
        <v>985</v>
      </c>
      <c r="B80" s="0" t="s">
        <v>98</v>
      </c>
      <c r="D80" s="6" t="n">
        <f aca="false">(Thesis!C61+Thesis!D61)/2*rent_mw/1000</f>
        <v>2.44475</v>
      </c>
      <c r="E80" s="6" t="n">
        <f aca="false">(Thesis!D61+Thesis!E61)/2*rent_mw/1000</f>
        <v>4.22275</v>
      </c>
      <c r="F80" s="6" t="n">
        <f aca="false">(Thesis!E61+Thesis!F61)/2*rent_mw/1000</f>
        <v>5.80517</v>
      </c>
      <c r="G80" s="6" t="n">
        <f aca="false">(Thesis!F61+Thesis!G61)/2*rent_mw/1000</f>
        <v>6.72084</v>
      </c>
      <c r="H80" s="6" t="n">
        <f aca="false">(Thesis!G61+Thesis!H61)/2*rent_mw/1000</f>
        <v>6.72084</v>
      </c>
      <c r="I80" s="6" t="n">
        <f aca="false">(Thesis!H61+Thesis!I61)/2*rent_mw/1000</f>
        <v>6.72084</v>
      </c>
      <c r="J80" s="6" t="n">
        <f aca="false">(Thesis!I61+Thesis!J61)/2*rent_mw/1000</f>
        <v>6.72084</v>
      </c>
      <c r="K80" s="6" t="n">
        <f aca="false">(Thesis!J61+Thesis!K61)/2*rent_mw/1000</f>
        <v>6.72084</v>
      </c>
    </row>
    <row r="81" customFormat="false" ht="17.15" hidden="false" customHeight="false" outlineLevel="0" collapsed="false">
      <c r="A81" s="0" t="s">
        <v>986</v>
      </c>
      <c r="B81" s="0" t="s">
        <v>98</v>
      </c>
      <c r="D81" s="6" t="n">
        <f aca="false">(Thesis!C63+Thesis!D63)/2*(1-self_build)*fac_rent/1000</f>
        <v>0.853242375631075</v>
      </c>
      <c r="E81" s="6" t="n">
        <f aca="false">(Thesis!D63+Thesis!E63)/2*(1-self_build)*fac_rent/1000</f>
        <v>1.94955961408728</v>
      </c>
      <c r="F81" s="6" t="n">
        <f aca="false">(Thesis!E63+Thesis!F63)/2*(1-self_build)*fac_rent/1000</f>
        <v>3.92914894476356</v>
      </c>
      <c r="G81" s="6" t="n">
        <f aca="false">(Thesis!F63+Thesis!G63)/2*(1-self_build)*fac_rent/1000</f>
        <v>6.53206908578159</v>
      </c>
      <c r="H81" s="6" t="n">
        <f aca="false">(Thesis!G63+Thesis!H63)/2*(1-self_build)*fac_rent/1000</f>
        <v>9.23717988341591</v>
      </c>
      <c r="I81" s="6" t="n">
        <f aca="false">(Thesis!H63+Thesis!I63)/2*(1-self_build)*fac_rent/1000</f>
        <v>11.5481378557393</v>
      </c>
      <c r="J81" s="6" t="n">
        <f aca="false">(Thesis!I63+Thesis!J63)/2*(1-self_build)*fac_rent/1000</f>
        <v>13.0899582289108</v>
      </c>
      <c r="K81" s="6" t="n">
        <f aca="false">(Thesis!J63+Thesis!K63)/2*(1-self_build)*fac_rent/1000</f>
        <v>13.8897275626556</v>
      </c>
      <c r="L81" s="12" t="s">
        <v>987</v>
      </c>
    </row>
    <row r="82" customFormat="false" ht="17.15" hidden="false" customHeight="false" outlineLevel="0" collapsed="false">
      <c r="A82" s="1" t="s">
        <v>988</v>
      </c>
      <c r="B82" s="0" t="s">
        <v>168</v>
      </c>
      <c r="D82" s="7" t="n">
        <f aca="false">(Thesis!C62+Thesis!D62)/(Thesis!C63+Thesis!D63)</f>
        <v>0.6</v>
      </c>
      <c r="E82" s="7" t="n">
        <f aca="false">(Thesis!D62+Thesis!E62)/(Thesis!D63+Thesis!E63)</f>
        <v>0.6</v>
      </c>
      <c r="F82" s="7" t="n">
        <f aca="false">(Thesis!E62+Thesis!F62)/(Thesis!E63+Thesis!F63)</f>
        <v>0.6</v>
      </c>
      <c r="G82" s="7" t="n">
        <f aca="false">(Thesis!F62+Thesis!G62)/(Thesis!F63+Thesis!G63)</f>
        <v>0.6</v>
      </c>
      <c r="H82" s="7" t="n">
        <f aca="false">(Thesis!G62+Thesis!H62)/(Thesis!G63+Thesis!H63)</f>
        <v>0.6</v>
      </c>
      <c r="I82" s="7" t="n">
        <f aca="false">(Thesis!H62+Thesis!I62)/(Thesis!H63+Thesis!I63)</f>
        <v>0.6</v>
      </c>
      <c r="J82" s="7" t="n">
        <f aca="false">(Thesis!I62+Thesis!J62)/(Thesis!I63+Thesis!J63)</f>
        <v>0.6</v>
      </c>
      <c r="K82" s="7" t="n">
        <f aca="false">(Thesis!J62+Thesis!K62)/(Thesis!J63+Thesis!K63)</f>
        <v>0.6</v>
      </c>
    </row>
    <row r="83" customFormat="false" ht="17.15" hidden="false" customHeight="false" outlineLevel="0" collapsed="false">
      <c r="A83" s="0" t="s">
        <v>989</v>
      </c>
      <c r="B83" s="0" t="s">
        <v>98</v>
      </c>
      <c r="D83" s="6" t="n">
        <f aca="false">Thesis!D77-Thesis!D82*(Thesis!D79+Thesis!D81)-Thesis!D80</f>
        <v>8.35701406163072</v>
      </c>
      <c r="E83" s="6" t="n">
        <f aca="false">Thesis!E77-Thesis!E82*(Thesis!E79+Thesis!E81)-Thesis!E80</f>
        <v>18.7103224860238</v>
      </c>
      <c r="F83" s="6" t="n">
        <f aca="false">Thesis!F77-Thesis!F82*(Thesis!F79+Thesis!F81)-Thesis!F80</f>
        <v>39.5246243538843</v>
      </c>
      <c r="G83" s="6" t="n">
        <f aca="false">Thesis!G77-Thesis!G82*(Thesis!G79+Thesis!G81)-Thesis!G80</f>
        <v>67.5570585372687</v>
      </c>
      <c r="H83" s="6" t="n">
        <f aca="false">Thesis!H77-Thesis!H82*(Thesis!H79+Thesis!H81)-Thesis!H80</f>
        <v>97.1863179465102</v>
      </c>
      <c r="I83" s="6" t="n">
        <f aca="false">Thesis!I77-Thesis!I82*(Thesis!I79+Thesis!I81)-Thesis!I80</f>
        <v>123.292775650365</v>
      </c>
      <c r="J83" s="6" t="n">
        <f aca="false">Thesis!J77-Thesis!J82*(Thesis!J79+Thesis!J81)-Thesis!J80</f>
        <v>141.586285762524</v>
      </c>
      <c r="K83" s="6" t="n">
        <f aca="false">Thesis!K77-Thesis!K82*(Thesis!K79+Thesis!K81)-Thesis!K80</f>
        <v>153.289664774035</v>
      </c>
    </row>
    <row r="84" customFormat="false" ht="17.15" hidden="false" customHeight="false" outlineLevel="0" collapsed="false">
      <c r="A84" s="1" t="s">
        <v>990</v>
      </c>
      <c r="B84" s="0" t="s">
        <v>98</v>
      </c>
      <c r="D84" s="6" t="n">
        <f aca="false">(1-Thesis!D82)*(Thesis!D79+Thesis!D81)</f>
        <v>1.42281025374069</v>
      </c>
      <c r="E84" s="6" t="n">
        <f aca="false">(1-Thesis!E82)*(Thesis!E79+Thesis!E81)</f>
        <v>3.25095598674472</v>
      </c>
      <c r="F84" s="6" t="n">
        <f aca="false">(1-Thesis!F82)*(Thesis!F79+Thesis!F81)</f>
        <v>6.72135810147489</v>
      </c>
      <c r="G84" s="6" t="n">
        <f aca="false">(1-Thesis!G82)*(Thesis!G79+Thesis!G81)</f>
        <v>11.3401410201637</v>
      </c>
      <c r="H84" s="6" t="n">
        <f aca="false">(1-Thesis!H82)*(Thesis!H79+Thesis!H81)</f>
        <v>16.1920771049557</v>
      </c>
      <c r="I84" s="6" t="n">
        <f aca="false">(1-Thesis!I82)*(Thesis!I79+Thesis!I81)</f>
        <v>20.3917774400264</v>
      </c>
      <c r="J84" s="6" t="n">
        <f aca="false">(1-Thesis!J82)*(Thesis!J79+Thesis!J81)</f>
        <v>23.2503960207104</v>
      </c>
      <c r="K84" s="6" t="n">
        <f aca="false">(1-Thesis!K82)*(Thesis!K79+Thesis!K81)</f>
        <v>24.8730801087085</v>
      </c>
    </row>
    <row r="85" customFormat="false" ht="17.15" hidden="false" customHeight="false" outlineLevel="0" collapsed="false">
      <c r="A85" s="1" t="s">
        <v>991</v>
      </c>
      <c r="B85" s="0" t="s">
        <v>417</v>
      </c>
      <c r="C85" s="8" t="n">
        <f aca="false">cxit_open</f>
        <v>27.5918995</v>
      </c>
      <c r="D85" s="8" t="n">
        <f aca="false">cxit_open</f>
        <v>27.5918995</v>
      </c>
      <c r="E85" s="8" t="n">
        <f aca="false">cxit_open</f>
        <v>27.5918995</v>
      </c>
      <c r="F85" s="8" t="n">
        <f aca="false">((a_g3_27-nonnv*a_mai)*tk_cxit_gb300+nonnv*a_mai*nv_hold_mai*tk_cxit_vr200+(1-a_g3_27)*tk_cxit_vr200)</f>
        <v>32.4975576</v>
      </c>
      <c r="G85" s="8" t="n">
        <f aca="false">((a_g3_28-nonnv*a_mai)*tk_cxit_gb300+nonnv*a_mai*nv_hold_mai*tk_cxit_vr200+(1-a_g3_28)*tk_cxit_vr200)</f>
        <v>34.6372088</v>
      </c>
      <c r="H85" s="8" t="n">
        <f aca="false">((a_g3_29-nonnv*a_mai)*tk_cxit_gb300+nonnv*a_mai*nv_hold_mai*tk_cxit_vr200+(1-a_g3_29)*tk_cxit_vr200)</f>
        <v>35.7070344</v>
      </c>
      <c r="I85" s="8" t="n">
        <f aca="false">((a_g3_29-nonnv*a_mai)*tk_cxit_gb300+nonnv*a_mai*nv_hold_mai*tk_cxit_vr200+(1-a_g3_29)*tk_cxit_vr200)</f>
        <v>35.7070344</v>
      </c>
      <c r="J85" s="8" t="n">
        <f aca="false">((a_g3_29-nonnv*a_mai)*tk_cxit_gb300+nonnv*a_mai*nv_hold_mai*tk_cxit_vr200+(1-a_g3_29)*tk_cxit_vr200)</f>
        <v>35.7070344</v>
      </c>
      <c r="K85" s="8" t="n">
        <f aca="false">((a_g3_29-nonnv*a_mai)*tk_cxit_gb300+nonnv*a_mai*nv_hold_mai*tk_cxit_vr200+(1-a_g3_29)*tk_cxit_vr200)</f>
        <v>35.7070344</v>
      </c>
      <c r="L85" s="12" t="s">
        <v>992</v>
      </c>
    </row>
    <row r="86" customFormat="false" ht="17.15" hidden="false" customHeight="false" outlineLevel="0" collapsed="false">
      <c r="A86" s="0" t="s">
        <v>993</v>
      </c>
      <c r="B86" s="0" t="s">
        <v>459</v>
      </c>
      <c r="F86" s="30" t="n">
        <f aca="false">Thesis!C65*IF(Thesis!F58-Thesis!C58=life_it,1,0)+Thesis!D65*IF(Thesis!F58-Thesis!D58=life_it,1,0)+Thesis!E65*IF(Thesis!F58-Thesis!E58=life_it,1,0)</f>
        <v>0</v>
      </c>
      <c r="G86" s="30" t="n">
        <f aca="false">Thesis!C65*IF(Thesis!G58-Thesis!C58=life_it,1,0)+Thesis!D65*IF(Thesis!G58-Thesis!D58=life_it,1,0)+Thesis!E65*IF(Thesis!G58-Thesis!E58=life_it,1,0)+Thesis!F65*IF(Thesis!G58-Thesis!F58=life_it,1,0)</f>
        <v>0</v>
      </c>
      <c r="H86" s="30" t="n">
        <f aca="false">Thesis!C65*IF(Thesis!H58-Thesis!C58=life_it,1,0)+Thesis!D65*IF(Thesis!H58-Thesis!D58=life_it,1,0)+Thesis!E65*IF(Thesis!H58-Thesis!E58=life_it,1,0)+Thesis!F65*IF(Thesis!H58-Thesis!F58=life_it,1,0)+Thesis!G65*IF(Thesis!H58-Thesis!G58=life_it,1,0)</f>
        <v>0</v>
      </c>
      <c r="I86" s="30" t="n">
        <f aca="false">Thesis!C65*IF(Thesis!I58-Thesis!C58=life_it,1,0)+Thesis!D65*IF(Thesis!I58-Thesis!D58=life_it,1,0)+Thesis!E65*IF(Thesis!I58-Thesis!E58=life_it,1,0)+Thesis!F65*IF(Thesis!I58-Thesis!F58=life_it,1,0)+Thesis!G65*IF(Thesis!I58-Thesis!G58=life_it,1,0)+Thesis!H65*IF(Thesis!I58-Thesis!H58=life_it,1,0)</f>
        <v>816.666666666667</v>
      </c>
      <c r="J86" s="30" t="n">
        <f aca="false">Thesis!C65*IF(Thesis!J58-Thesis!C58=life_it,1,0)+Thesis!D65*IF(Thesis!J58-Thesis!D58=life_it,1,0)+Thesis!E65*IF(Thesis!J58-Thesis!E58=life_it,1,0)+Thesis!F65*IF(Thesis!J58-Thesis!F58=life_it,1,0)+Thesis!G65*IF(Thesis!J58-Thesis!G58=life_it,1,0)+Thesis!H65*IF(Thesis!J58-Thesis!H58=life_it,1,0)+Thesis!I65*IF(Thesis!J58-Thesis!I58=life_it,1,0)</f>
        <v>1233.33333333333</v>
      </c>
      <c r="K86" s="30" t="n">
        <f aca="false">Thesis!C65*IF(Thesis!K58-Thesis!C58=life_it,1,0)+Thesis!D65*IF(Thesis!K58-Thesis!D58=life_it,1,0)+Thesis!E65*IF(Thesis!K58-Thesis!E58=life_it,1,0)+Thesis!F65*IF(Thesis!K58-Thesis!F58=life_it,1,0)+Thesis!G65*IF(Thesis!K58-Thesis!G58=life_it,1,0)+Thesis!H65*IF(Thesis!K58-Thesis!H58=life_it,1,0)+Thesis!I65*IF(Thesis!K58-Thesis!I58=life_it,1,0)+Thesis!J65*IF(Thesis!K58-Thesis!J58=life_it,1,0)</f>
        <v>2450</v>
      </c>
      <c r="L86" s="1" t="s">
        <v>994</v>
      </c>
    </row>
    <row r="87" customFormat="false" ht="17.15" hidden="false" customHeight="false" outlineLevel="0" collapsed="false">
      <c r="A87" s="0" t="s">
        <v>995</v>
      </c>
      <c r="B87" s="0" t="s">
        <v>98</v>
      </c>
      <c r="C87" s="6" t="n">
        <f aca="false">Thesis!C65*Thesis!C85/1000</f>
        <v>22.5333845916667</v>
      </c>
      <c r="D87" s="6" t="n">
        <f aca="false">Thesis!D65*Thesis!D85/1000</f>
        <v>34.0300093833333</v>
      </c>
      <c r="E87" s="6" t="n">
        <f aca="false">Thesis!E65*Thesis!E85/1000</f>
        <v>67.600153775</v>
      </c>
      <c r="F87" s="6" t="n">
        <f aca="false">(Thesis!F65+Thesis!F86)*Thesis!F85/1000</f>
        <v>136.51872432512</v>
      </c>
      <c r="G87" s="6" t="n">
        <f aca="false">(Thesis!G65+Thesis!G86)*Thesis!G85/1000</f>
        <v>157.399275932048</v>
      </c>
      <c r="H87" s="6" t="n">
        <f aca="false">(Thesis!H65+Thesis!H86)*Thesis!H85/1000</f>
        <v>162.260804347512</v>
      </c>
      <c r="I87" s="6" t="n">
        <f aca="false">(Thesis!I65+Thesis!I86)*Thesis!I85/1000</f>
        <v>144.136569485434</v>
      </c>
      <c r="J87" s="6" t="n">
        <f aca="false">(Thesis!J65+Thesis!J86)*Thesis!J85/1000</f>
        <v>114.029037357864</v>
      </c>
      <c r="K87" s="6" t="n">
        <f aca="false">(Thesis!K65+Thesis!K86)*Thesis!K85/1000</f>
        <v>113.437085350975</v>
      </c>
    </row>
    <row r="88" customFormat="false" ht="17.15" hidden="false" customHeight="false" outlineLevel="0" collapsed="false">
      <c r="A88" s="0" t="s">
        <v>996</v>
      </c>
      <c r="B88" s="0" t="s">
        <v>98</v>
      </c>
      <c r="C88" s="6" t="n">
        <f aca="false">Thesis!C65*self_build*tk_cxfac/1000</f>
        <v>6.2083</v>
      </c>
      <c r="D88" s="6" t="n">
        <f aca="false">Thesis!D65*self_build*tk_cxfac/1000</f>
        <v>9.3758</v>
      </c>
      <c r="E88" s="6" t="n">
        <f aca="false">Thesis!E65*self_build*tk_cxfac/1000</f>
        <v>18.6249</v>
      </c>
      <c r="F88" s="6" t="n">
        <f aca="false">Thesis!F65*self_build*tk_cxfac/1000</f>
        <v>31.935179717</v>
      </c>
      <c r="G88" s="6" t="n">
        <f aca="false">Thesis!G65*self_build*tk_cxfac/1000</f>
        <v>34.545199717</v>
      </c>
      <c r="H88" s="6" t="n">
        <f aca="false">Thesis!H65*self_build*tk_cxfac/1000</f>
        <v>34.545199717</v>
      </c>
      <c r="I88" s="6" t="n">
        <f aca="false">Thesis!I65*self_build*tk_cxfac/1000</f>
        <v>24.4782641361767</v>
      </c>
      <c r="J88" s="6" t="n">
        <f aca="false">Thesis!J65*self_build*tk_cxfac/1000</f>
        <v>14.9008938380769</v>
      </c>
      <c r="K88" s="6" t="n">
        <f aca="false">Thesis!K65*self_build*tk_cxfac/1000</f>
        <v>5.52576771375761</v>
      </c>
    </row>
    <row r="89" customFormat="false" ht="17.15" hidden="false" customHeight="false" outlineLevel="0" collapsed="false">
      <c r="A89" s="0" t="s">
        <v>997</v>
      </c>
      <c r="B89" s="0" t="s">
        <v>98</v>
      </c>
      <c r="F89" s="15" t="n">
        <f aca="false">capex_floor27-Thesis!F87-Thesis!F88-CF!F57</f>
        <v>1.94586576753863E-005</v>
      </c>
      <c r="L89" s="12" t="s">
        <v>998</v>
      </c>
    </row>
    <row r="90" customFormat="false" ht="17.15" hidden="false" customHeight="false" outlineLevel="0" collapsed="false">
      <c r="A90" s="0" t="s">
        <v>999</v>
      </c>
      <c r="B90" s="0" t="s">
        <v>98</v>
      </c>
      <c r="F90" s="6" t="n">
        <f aca="false">MAX(0,Thesis!F89)</f>
        <v>1.94586576753863E-005</v>
      </c>
    </row>
    <row r="91" customFormat="false" ht="17.15" hidden="false" customHeight="false" outlineLevel="0" collapsed="false">
      <c r="A91" s="0" t="s">
        <v>1000</v>
      </c>
      <c r="B91" s="0" t="s">
        <v>98</v>
      </c>
      <c r="C91" s="6" t="n">
        <f aca="false">Thesis!C87</f>
        <v>22.5333845916667</v>
      </c>
      <c r="D91" s="6" t="n">
        <f aca="false">Thesis!D87</f>
        <v>34.0300093833333</v>
      </c>
      <c r="E91" s="6" t="n">
        <f aca="false">Thesis!E87</f>
        <v>67.600153775</v>
      </c>
      <c r="F91" s="6" t="n">
        <f aca="false">Thesis!F87</f>
        <v>136.51872432512</v>
      </c>
      <c r="G91" s="6" t="n">
        <f aca="false">Thesis!G87</f>
        <v>157.399275932048</v>
      </c>
      <c r="H91" s="6" t="n">
        <f aca="false">Thesis!H87</f>
        <v>162.260804347512</v>
      </c>
      <c r="I91" s="6" t="n">
        <f aca="false">Thesis!I87</f>
        <v>144.136569485434</v>
      </c>
      <c r="J91" s="6" t="n">
        <f aca="false">Thesis!J87</f>
        <v>114.029037357864</v>
      </c>
      <c r="K91" s="6" t="n">
        <f aca="false">Thesis!K87</f>
        <v>113.437085350975</v>
      </c>
    </row>
    <row r="92" customFormat="false" ht="17.15" hidden="false" customHeight="false" outlineLevel="0" collapsed="false">
      <c r="A92" s="0" t="s">
        <v>1001</v>
      </c>
      <c r="B92" s="0" t="s">
        <v>98</v>
      </c>
      <c r="C92" s="6" t="n">
        <f aca="false">Thesis!C91+Thesis!C88</f>
        <v>28.7416845916667</v>
      </c>
      <c r="D92" s="6" t="n">
        <f aca="false">Thesis!D91+Thesis!D88</f>
        <v>43.4058093833333</v>
      </c>
      <c r="E92" s="6" t="n">
        <f aca="false">Thesis!E91+Thesis!E88</f>
        <v>86.225053775</v>
      </c>
      <c r="F92" s="6" t="n">
        <f aca="false">Thesis!F91+Thesis!F88</f>
        <v>168.45390404212</v>
      </c>
      <c r="G92" s="6" t="n">
        <f aca="false">Thesis!G91+Thesis!G88</f>
        <v>191.944475649048</v>
      </c>
      <c r="H92" s="6" t="n">
        <f aca="false">Thesis!H91+Thesis!H88</f>
        <v>196.806004064512</v>
      </c>
      <c r="I92" s="6" t="n">
        <f aca="false">Thesis!I91+Thesis!I88</f>
        <v>168.61483362161</v>
      </c>
      <c r="J92" s="6" t="n">
        <f aca="false">Thesis!J91+Thesis!J88</f>
        <v>128.92993119594</v>
      </c>
      <c r="K92" s="6" t="n">
        <f aca="false">Thesis!K91+Thesis!K88</f>
        <v>118.962853064733</v>
      </c>
      <c r="L92" s="12" t="s">
        <v>1002</v>
      </c>
    </row>
    <row r="93" customFormat="false" ht="17.15" hidden="false" customHeight="false" outlineLevel="0" collapsed="false">
      <c r="A93" s="0" t="s">
        <v>1003</v>
      </c>
      <c r="B93" s="0" t="s">
        <v>98</v>
      </c>
      <c r="E93" s="6" t="n">
        <f aca="false">(Thesis!C91*IF(2&lt;life_it,1,IF(2=life_it,0.5,0))+Thesis!D91*IF(1&lt;life_it,1,IF(1=life_it,0.5,0))+Thesis!E91*0.5)/life_it</f>
        <v>15.0605784770833</v>
      </c>
      <c r="F93" s="6" t="n">
        <f aca="false">(Thesis!C91*IF(3&lt;life_it,1,IF(3=life_it,0.5,0))+Thesis!D91*IF(2&lt;life_it,1,IF(2=life_it,0.5,0))+Thesis!E91*IF(1&lt;life_it,1,IF(1=life_it,0.5,0))+Thesis!F91*0.5)/life_it</f>
        <v>32.0704849854266</v>
      </c>
      <c r="G93" s="6" t="n">
        <f aca="false">(Thesis!C91*IF(4&lt;life_it,1,IF(4=life_it,0.5,0))+Thesis!D91*IF(3&lt;life_it,1,IF(3=life_it,0.5,0))+Thesis!E91*IF(2&lt;life_it,1,IF(2=life_it,0.5,0))+Thesis!F91*IF(1&lt;life_it,1,IF(1=life_it,0.5,0))+Thesis!G91*0.5)/life_it</f>
        <v>56.5636516735239</v>
      </c>
      <c r="H93" s="6" t="n">
        <f aca="false">(Thesis!C91*IF(5&lt;life_it,1,IF(5=life_it,0.5,0))+Thesis!D91*IF(4&lt;life_it,1,IF(4=life_it,0.5,0))+Thesis!E91*IF(3&lt;life_it,1,IF(3=life_it,0.5,0))+Thesis!F91*IF(2&lt;life_it,1,IF(2=life_it,0.5,0))+Thesis!G91*IF(1&lt;life_it,1,IF(1=life_it,0.5,0))+Thesis!H91*0.5)/life_it</f>
        <v>83.2019916968207</v>
      </c>
      <c r="I93" s="6" t="n">
        <f aca="false">(Thesis!C91*IF(6&lt;life_it,1,IF(6=life_it,0.5,0))+Thesis!D91*IF(5&lt;life_it,1,IF(5=life_it,0.5,0))+Thesis!E91*IF(4&lt;life_it,1,IF(4=life_it,0.5,0))+Thesis!F91*IF(3&lt;life_it,1,IF(3=life_it,0.5,0))+Thesis!G91*IF(2&lt;life_it,1,IF(2=life_it,0.5,0))+Thesis!H91*IF(1&lt;life_it,1,IF(1=life_it,0.5,0))+Thesis!I91*0.5)/life_it</f>
        <v>106.857324133594</v>
      </c>
      <c r="J93" s="6" t="n">
        <f aca="false">(Thesis!C91*IF(7&lt;life_it,1,IF(7=life_it,0.5,0))+Thesis!D91*IF(6&lt;life_it,1,IF(6=life_it,0.5,0))+Thesis!E91*IF(5&lt;life_it,1,IF(5=life_it,0.5,0))+Thesis!F91*IF(4&lt;life_it,1,IF(4=life_it,0.5,0))+Thesis!G91*IF(3&lt;life_it,1,IF(3=life_it,0.5,0))+Thesis!H91*IF(2&lt;life_it,1,IF(2=life_it,0.5,0))+Thesis!I91*IF(1&lt;life_it,1,IF(1=life_it,0.5,0))+Thesis!J91*0.5)/life_it</f>
        <v>123.657508539285</v>
      </c>
      <c r="K93" s="6" t="n">
        <f aca="false">(Thesis!C91*IF(8&lt;life_it,1,IF(8=life_it,0.5,0))+Thesis!D91*IF(7&lt;life_it,1,IF(7=life_it,0.5,0))+Thesis!E91*IF(6&lt;life_it,1,IF(6=life_it,0.5,0))+Thesis!F91*IF(5&lt;life_it,1,IF(5=life_it,0.5,0))+Thesis!G91*IF(4&lt;life_it,1,IF(4=life_it,0.5,0))+Thesis!H91*IF(3&lt;life_it,1,IF(3=life_it,0.5,0))+Thesis!I91*IF(2&lt;life_it,1,IF(2=life_it,0.5,0))+Thesis!J91*IF(1&lt;life_it,1,IF(1=life_it,0.5,0))+Thesis!K91*0.5)/life_it</f>
        <v>134.143838501827</v>
      </c>
    </row>
    <row r="94" customFormat="false" ht="17.15" hidden="false" customHeight="false" outlineLevel="0" collapsed="false">
      <c r="A94" s="0" t="s">
        <v>1004</v>
      </c>
      <c r="B94" s="0" t="s">
        <v>98</v>
      </c>
      <c r="E94" s="6" t="n">
        <f aca="false">(Thesis!C88*IF(2&lt;life_fac,1,IF(2=life_fac,0.5,0))+Thesis!D88*IF(1&lt;life_fac,1,IF(1=life_fac,0.5,0))+Thesis!E88*0.5)/life_fac</f>
        <v>1.2448275</v>
      </c>
      <c r="F94" s="6" t="n">
        <f aca="false">(Thesis!C88*IF(3&lt;life_fac,1,IF(3=life_fac,0.5,0))+Thesis!D88*IF(2&lt;life_fac,1,IF(2=life_fac,0.5,0))+Thesis!E88*IF(1&lt;life_fac,1,IF(1=life_fac,0.5,0))+Thesis!F88*0.5)/life_fac</f>
        <v>2.508829492925</v>
      </c>
      <c r="G94" s="6" t="n">
        <f aca="false">(Thesis!C88*IF(4&lt;life_fac,1,IF(4=life_fac,0.5,0))+Thesis!D88*IF(3&lt;life_fac,1,IF(3=life_fac,0.5,0))+Thesis!E88*IF(2&lt;life_fac,1,IF(2=life_fac,0.5,0))+Thesis!F88*IF(1&lt;life_fac,1,IF(1=life_fac,0.5,0))+Thesis!G88*0.5)/life_fac</f>
        <v>4.170838978775</v>
      </c>
      <c r="H94" s="6" t="n">
        <f aca="false">(Thesis!C88*IF(5&lt;life_fac,1,IF(5=life_fac,0.5,0))+Thesis!D88*IF(4&lt;life_fac,1,IF(4=life_fac,0.5,0))+Thesis!E88*IF(3&lt;life_fac,1,IF(3=life_fac,0.5,0))+Thesis!F88*IF(2&lt;life_fac,1,IF(2=life_fac,0.5,0))+Thesis!G88*IF(1&lt;life_fac,1,IF(1=life_fac,0.5,0))+Thesis!H88*0.5)/life_fac</f>
        <v>5.898098964625</v>
      </c>
      <c r="I94" s="6" t="n">
        <f aca="false">(Thesis!C88*IF(6&lt;life_fac,1,IF(6=life_fac,0.5,0))+Thesis!D88*IF(5&lt;life_fac,1,IF(5=life_fac,0.5,0))+Thesis!E88*IF(4&lt;life_fac,1,IF(4=life_fac,0.5,0))+Thesis!F88*IF(3&lt;life_fac,1,IF(3=life_fac,0.5,0))+Thesis!G88*IF(2&lt;life_fac,1,IF(2=life_fac,0.5,0))+Thesis!H88*IF(1&lt;life_fac,1,IF(1=life_fac,0.5,0))+Thesis!I88*0.5)/life_fac</f>
        <v>7.37368556095442</v>
      </c>
      <c r="J94" s="6" t="n">
        <f aca="false">(Thesis!C88*IF(7&lt;life_fac,1,IF(7=life_fac,0.5,0))+Thesis!D88*IF(6&lt;life_fac,1,IF(6=life_fac,0.5,0))+Thesis!E88*IF(5&lt;life_fac,1,IF(5=life_fac,0.5,0))+Thesis!F88*IF(4&lt;life_fac,1,IF(4=life_fac,0.5,0))+Thesis!G88*IF(3&lt;life_fac,1,IF(3=life_fac,0.5,0))+Thesis!H88*IF(2&lt;life_fac,1,IF(2=life_fac,0.5,0))+Thesis!I88*IF(1&lt;life_fac,1,IF(1=life_fac,0.5,0))+Thesis!J88*0.5)/life_fac</f>
        <v>8.35816451031075</v>
      </c>
      <c r="K94" s="6" t="n">
        <f aca="false">(Thesis!C88*IF(8&lt;life_fac,1,IF(8=life_fac,0.5,0))+Thesis!D88*IF(7&lt;life_fac,1,IF(7=life_fac,0.5,0))+Thesis!E88*IF(6&lt;life_fac,1,IF(6=life_fac,0.5,0))+Thesis!F88*IF(5&lt;life_fac,1,IF(5=life_fac,0.5,0))+Thesis!G88*IF(4&lt;life_fac,1,IF(4=life_fac,0.5,0))+Thesis!H88*IF(3&lt;life_fac,1,IF(3=life_fac,0.5,0))+Thesis!I88*IF(2&lt;life_fac,1,IF(2=life_fac,0.5,0))+Thesis!J88*IF(1&lt;life_fac,1,IF(1=life_fac,0.5,0))+Thesis!K88*0.5)/life_fac</f>
        <v>8.86883104910662</v>
      </c>
    </row>
    <row r="95" customFormat="false" ht="17.15" hidden="false" customHeight="false" outlineLevel="0" collapsed="false">
      <c r="A95" s="0" t="s">
        <v>1005</v>
      </c>
      <c r="B95" s="0" t="s">
        <v>98</v>
      </c>
      <c r="E95" s="6" t="n">
        <f aca="false">Thesis!E93+Thesis!E94</f>
        <v>16.3054059770833</v>
      </c>
      <c r="F95" s="6" t="n">
        <f aca="false">Thesis!F93+Thesis!F94</f>
        <v>34.5793144783516</v>
      </c>
      <c r="G95" s="6" t="n">
        <f aca="false">Thesis!G93+Thesis!G94</f>
        <v>60.7344906522989</v>
      </c>
      <c r="H95" s="6" t="n">
        <f aca="false">Thesis!H93+Thesis!H94</f>
        <v>89.1000906614457</v>
      </c>
      <c r="I95" s="6" t="n">
        <f aca="false">Thesis!I93+Thesis!I94</f>
        <v>114.231009694548</v>
      </c>
      <c r="J95" s="6" t="n">
        <f aca="false">Thesis!J93+Thesis!J94</f>
        <v>132.015673049596</v>
      </c>
      <c r="K95" s="6" t="n">
        <f aca="false">Thesis!K93+Thesis!K94</f>
        <v>143.012669550934</v>
      </c>
    </row>
    <row r="96" customFormat="false" ht="17.15" hidden="false" customHeight="false" outlineLevel="0" collapsed="false">
      <c r="A96" s="0" t="s">
        <v>1006</v>
      </c>
      <c r="B96" s="0" t="s">
        <v>98</v>
      </c>
      <c r="E96" s="6" t="n">
        <f aca="false">Thesis!E83-Thesis!E82*Thesis!E95</f>
        <v>8.92707889977379</v>
      </c>
      <c r="F96" s="6" t="n">
        <f aca="false">Thesis!F83-Thesis!F82*Thesis!F95</f>
        <v>18.7770356668733</v>
      </c>
      <c r="G96" s="6" t="n">
        <f aca="false">Thesis!G83-Thesis!G82*Thesis!G95</f>
        <v>31.1163641458894</v>
      </c>
      <c r="H96" s="6" t="n">
        <f aca="false">Thesis!H83-Thesis!H82*Thesis!H95</f>
        <v>43.7262635496428</v>
      </c>
      <c r="I96" s="6" t="n">
        <f aca="false">Thesis!I83-Thesis!I82*Thesis!I95</f>
        <v>54.7541698336361</v>
      </c>
      <c r="J96" s="6" t="n">
        <f aca="false">Thesis!J83-Thesis!J82*Thesis!J95</f>
        <v>62.3768819327658</v>
      </c>
      <c r="K96" s="6" t="n">
        <f aca="false">Thesis!K83-Thesis!K82*Thesis!K95</f>
        <v>67.4820630434748</v>
      </c>
    </row>
    <row r="97" customFormat="false" ht="17.15" hidden="false" customHeight="false" outlineLevel="0" collapsed="false">
      <c r="A97" s="0" t="s">
        <v>1007</v>
      </c>
      <c r="B97" s="0" t="s">
        <v>98</v>
      </c>
      <c r="E97" s="6" t="n">
        <f aca="false">Seg!E38</f>
        <v>5.25</v>
      </c>
      <c r="F97" s="6" t="n">
        <f aca="false">Seg!F38</f>
        <v>12</v>
      </c>
      <c r="G97" s="6" t="n">
        <f aca="false">Seg!G38</f>
        <v>18</v>
      </c>
      <c r="H97" s="6" t="n">
        <f aca="false">Seg!H38</f>
        <v>24</v>
      </c>
      <c r="I97" s="6" t="n">
        <f aca="false">Seg!I38</f>
        <v>28.5</v>
      </c>
      <c r="J97" s="6" t="n">
        <f aca="false">Seg!J38</f>
        <v>31.5</v>
      </c>
      <c r="K97" s="6" t="n">
        <f aca="false">Seg!K38</f>
        <v>34.5</v>
      </c>
    </row>
    <row r="98" customFormat="false" ht="17.15" hidden="false" customHeight="false" outlineLevel="0" collapsed="false">
      <c r="A98" s="1" t="s">
        <v>1008</v>
      </c>
      <c r="B98" s="0" t="s">
        <v>98</v>
      </c>
      <c r="F98" s="6" t="n">
        <f aca="false">MAX(0,((Thesis!E64+Thesis!F64)/2-(shadow_base*(Thesis!$D$64+Thesis!$E$64)/2+(1-shadow_base)*Thesis!$E$64))*Thesis!F73/1000-(Thesis!F97-Thesis!$E$97)*PL!F70)</f>
        <v>9.7398427716299</v>
      </c>
      <c r="G98" s="6" t="n">
        <f aca="false">MAX(0,((Thesis!F64+Thesis!G64)/2-(shadow_base*(Thesis!$D$64+Thesis!$E$64)/2+(1-shadow_base)*Thesis!$E$64))*Thesis!G73/1000-(Thesis!G97-Thesis!$E$97)*PL!G70)</f>
        <v>25.2753385959797</v>
      </c>
      <c r="H98" s="6" t="n">
        <f aca="false">MAX(0,((Thesis!G64+Thesis!H64)/2-(shadow_base*(Thesis!$D$64+Thesis!$E$64)/2+(1-shadow_base)*Thesis!$E$64))*Thesis!H73/1000-(Thesis!H97-Thesis!$E$97)*PL!H70)</f>
        <v>42.2840253697948</v>
      </c>
      <c r="I98" s="6" t="n">
        <f aca="false">MAX(0,((Thesis!H64+Thesis!I64)/2-(shadow_base*(Thesis!$D$64+Thesis!$E$64)/2+(1-shadow_base)*Thesis!$E$64))*Thesis!I73/1000-(Thesis!I97-Thesis!$E$97)*PL!I70)</f>
        <v>57.704943641581</v>
      </c>
      <c r="J98" s="6" t="n">
        <f aca="false">MAX(0,((Thesis!I64+Thesis!J64)/2-(shadow_base*(Thesis!$D$64+Thesis!$E$64)/2+(1-shadow_base)*Thesis!$E$64))*Thesis!J73/1000-(Thesis!J97-Thesis!$E$97)*PL!J70)</f>
        <v>68.4828520908201</v>
      </c>
      <c r="K98" s="6" t="n">
        <f aca="false">MAX(0,((Thesis!J64+Thesis!K64)/2-(shadow_base*(Thesis!$D$64+Thesis!$E$64)/2+(1-shadow_base)*Thesis!$E$64))*Thesis!K73/1000-(Thesis!K97-Thesis!$E$97)*PL!K70)</f>
        <v>74.3598374943249</v>
      </c>
      <c r="L98" s="1" t="s">
        <v>1009</v>
      </c>
    </row>
    <row r="99" customFormat="false" ht="17.15" hidden="false" customHeight="false" outlineLevel="0" collapsed="false">
      <c r="A99" s="1" t="s">
        <v>1010</v>
      </c>
      <c r="B99" s="0" t="s">
        <v>98</v>
      </c>
      <c r="F99" s="6" t="n">
        <f aca="false">IF(internal_ai_reading=2,1,0)*Thesis!F98</f>
        <v>9.7398427716299</v>
      </c>
      <c r="G99" s="6" t="n">
        <f aca="false">IF(internal_ai_reading=2,1,0)*Thesis!G98</f>
        <v>25.2753385959797</v>
      </c>
      <c r="H99" s="6" t="n">
        <f aca="false">IF(internal_ai_reading=2,1,0)*Thesis!H98</f>
        <v>42.2840253697948</v>
      </c>
      <c r="I99" s="6" t="n">
        <f aca="false">IF(internal_ai_reading=2,1,0)*Thesis!I98</f>
        <v>57.704943641581</v>
      </c>
      <c r="J99" s="6" t="n">
        <f aca="false">IF(internal_ai_reading=2,1,0)*Thesis!J98</f>
        <v>68.4828520908201</v>
      </c>
      <c r="K99" s="6" t="n">
        <f aca="false">IF(internal_ai_reading=2,1,0)*Thesis!K98</f>
        <v>74.3598374943249</v>
      </c>
    </row>
    <row r="100" customFormat="false" ht="17.15" hidden="false" customHeight="false" outlineLevel="0" collapsed="false">
      <c r="A100" s="0" t="s">
        <v>1011</v>
      </c>
      <c r="B100" s="0" t="s">
        <v>98</v>
      </c>
      <c r="F100" s="6" t="n">
        <f aca="false">Thesis!F83+Thesis!F97*PL!F70+Thesis!F99-Thesis!F84-Thesis!F95</f>
        <v>14.8152827562272</v>
      </c>
      <c r="G100" s="6" t="n">
        <f aca="false">Thesis!G83+Thesis!G97*PL!G70+Thesis!G99-Thesis!G84-Thesis!G95</f>
        <v>31.0349977765951</v>
      </c>
      <c r="H100" s="6" t="n">
        <f aca="false">Thesis!H83+Thesis!H97*PL!H70+Thesis!H99-Thesis!H84-Thesis!H95</f>
        <v>47.8811519709826</v>
      </c>
      <c r="I100" s="6" t="n">
        <f aca="false">Thesis!I83+Thesis!I97*PL!I70+Thesis!I99-Thesis!I84-Thesis!I95</f>
        <v>62.6472166574028</v>
      </c>
      <c r="J100" s="6" t="n">
        <f aca="false">Thesis!J83+Thesis!J97*PL!J70+Thesis!J99-Thesis!J84-Thesis!J95</f>
        <v>72.7882253357034</v>
      </c>
      <c r="K100" s="6" t="n">
        <f aca="false">Thesis!K83+Thesis!K97*PL!K70+Thesis!K99-Thesis!K84-Thesis!K95</f>
        <v>79.4617812140187</v>
      </c>
    </row>
    <row r="101" customFormat="false" ht="17.15" hidden="false" customHeight="false" outlineLevel="0" collapsed="false">
      <c r="A101" s="0" t="s">
        <v>1012</v>
      </c>
      <c r="B101" s="0" t="s">
        <v>98</v>
      </c>
      <c r="E101" s="6" t="n">
        <f aca="false">Thesis!E63*(cxit_open+self_build*tk_cxfac)/1000*ai_net_open</f>
        <v>126.6980382</v>
      </c>
      <c r="F101" s="6" t="n">
        <f aca="false">Thesis!E101+Thesis!F92-Thesis!F95</f>
        <v>260.572627763768</v>
      </c>
      <c r="G101" s="6" t="n">
        <f aca="false">Thesis!F101+Thesis!G92-Thesis!G95</f>
        <v>391.782612760517</v>
      </c>
      <c r="H101" s="6" t="n">
        <f aca="false">Thesis!G101+Thesis!H92-Thesis!H95</f>
        <v>499.488526163584</v>
      </c>
      <c r="I101" s="6" t="n">
        <f aca="false">Thesis!H101+Thesis!I92-Thesis!I95</f>
        <v>553.872350090646</v>
      </c>
      <c r="J101" s="6" t="n">
        <f aca="false">Thesis!I101+Thesis!J92-Thesis!J95</f>
        <v>550.78660823699</v>
      </c>
      <c r="K101" s="6" t="n">
        <f aca="false">Thesis!J101+Thesis!K92-Thesis!K95</f>
        <v>526.736791750789</v>
      </c>
      <c r="L101" s="1" t="s">
        <v>1013</v>
      </c>
    </row>
    <row r="102" customFormat="false" ht="17.15" hidden="false" customHeight="false" outlineLevel="0" collapsed="false">
      <c r="A102" s="0" t="s">
        <v>1014</v>
      </c>
      <c r="B102" s="0" t="s">
        <v>168</v>
      </c>
      <c r="F102" s="7" t="n">
        <f aca="false">Thesis!F100*(1-tax_f)/((Thesis!E101+Thesis!F101)/2)</f>
        <v>0.0612090057246454</v>
      </c>
      <c r="G102" s="7" t="n">
        <f aca="false">Thesis!G100*(1-tax_f)/((Thesis!F101+Thesis!G101)/2)</f>
        <v>0.0761180310326695</v>
      </c>
      <c r="H102" s="7" t="n">
        <f aca="false">Thesis!H100*(1-tax_f)/((Thesis!G101+Thesis!H101)/2)</f>
        <v>0.0859557095566361</v>
      </c>
      <c r="I102" s="7" t="n">
        <f aca="false">Thesis!I100*(1-tax_f)/((Thesis!H101+Thesis!I101)/2)</f>
        <v>0.0951578408800258</v>
      </c>
      <c r="J102" s="7" t="n">
        <f aca="false">Thesis!J100*(1-tax_f)/((Thesis!I101+Thesis!J101)/2)</f>
        <v>0.105427253958487</v>
      </c>
      <c r="K102" s="7" t="n">
        <f aca="false">Thesis!K100*(1-tax_f)/((Thesis!J101+Thesis!K101)/2)</f>
        <v>0.117991729872291</v>
      </c>
    </row>
    <row r="103" customFormat="false" ht="17.15" hidden="false" customHeight="false" outlineLevel="0" collapsed="false">
      <c r="A103" s="1" t="s">
        <v>1015</v>
      </c>
      <c r="B103" s="0" t="s">
        <v>168</v>
      </c>
      <c r="F103" s="7" t="n">
        <f aca="false">(Thesis!F100-Thesis!F99)*(1-tax_f)/((Thesis!E101+Thesis!F101)/2)</f>
        <v>0.0209690655375262</v>
      </c>
      <c r="G103" s="7" t="n">
        <f aca="false">(Thesis!G100-Thesis!G99)*(1-tax_f)/((Thesis!F101+Thesis!G101)/2)</f>
        <v>0.014126436206105</v>
      </c>
      <c r="H103" s="7" t="n">
        <f aca="false">(Thesis!H100-Thesis!H99)*(1-tax_f)/((Thesis!G101+Thesis!H101)/2)</f>
        <v>0.010047899197893</v>
      </c>
      <c r="I103" s="7" t="n">
        <f aca="false">(Thesis!I100-Thesis!I99)*(1-tax_f)/((Thesis!H101+Thesis!I101)/2)</f>
        <v>0.00750705385359908</v>
      </c>
      <c r="J103" s="7" t="n">
        <f aca="false">(Thesis!J100-Thesis!J99)*(1-tax_f)/((Thesis!I101+Thesis!J101)/2)</f>
        <v>0.00623594924015468</v>
      </c>
      <c r="K103" s="7" t="n">
        <f aca="false">(Thesis!K100-Thesis!K99)*(1-tax_f)/((Thesis!J101+Thesis!K101)/2)</f>
        <v>0.00757580758951754</v>
      </c>
    </row>
    <row r="104" customFormat="false" ht="17.15" hidden="false" customHeight="false" outlineLevel="0" collapsed="false">
      <c r="A104" s="1" t="s">
        <v>1016</v>
      </c>
      <c r="B104" s="0" t="s">
        <v>168</v>
      </c>
      <c r="F104" s="7" t="n">
        <f aca="false">(Thesis!F100-Thesis!F99+Thesis!F98)*(1-tax_f)/((Thesis!E101+Thesis!F101)/2)</f>
        <v>0.0612090057246454</v>
      </c>
      <c r="G104" s="7" t="n">
        <f aca="false">(Thesis!G100-Thesis!G99+Thesis!G98)*(1-tax_f)/((Thesis!F101+Thesis!G101)/2)</f>
        <v>0.0761180310326695</v>
      </c>
      <c r="H104" s="7" t="n">
        <f aca="false">(Thesis!H100-Thesis!H99+Thesis!H98)*(1-tax_f)/((Thesis!G101+Thesis!H101)/2)</f>
        <v>0.0859557095566361</v>
      </c>
      <c r="I104" s="7" t="n">
        <f aca="false">(Thesis!I100-Thesis!I99+Thesis!I98)*(1-tax_f)/((Thesis!H101+Thesis!I101)/2)</f>
        <v>0.0951578408800258</v>
      </c>
      <c r="J104" s="7" t="n">
        <f aca="false">(Thesis!J100-Thesis!J99+Thesis!J98)*(1-tax_f)/((Thesis!I101+Thesis!J101)/2)</f>
        <v>0.105427253958487</v>
      </c>
      <c r="K104" s="7" t="n">
        <f aca="false">(Thesis!K100-Thesis!K99+Thesis!K98)*(1-tax_f)/((Thesis!J101+Thesis!K101)/2)</f>
        <v>0.117991729872291</v>
      </c>
    </row>
    <row r="105" customFormat="false" ht="17.15" hidden="false" customHeight="false" outlineLevel="0" collapsed="false">
      <c r="A105" s="1" t="s">
        <v>1017</v>
      </c>
      <c r="B105" s="0" t="s">
        <v>168</v>
      </c>
      <c r="F105" s="7" t="n">
        <f aca="false">Thesis!F96*(1-tax_f)/(Thesis!F82*(Thesis!E101+Thesis!F101)/2)</f>
        <v>0.129294830495493</v>
      </c>
      <c r="G105" s="7" t="n">
        <f aca="false">Thesis!G96*(1-tax_f)/(Thesis!G82*(Thesis!F101+Thesis!G101)/2)</f>
        <v>0.12719599062164</v>
      </c>
      <c r="H105" s="7" t="n">
        <f aca="false">Thesis!H96*(1-tax_f)/(Thesis!H82*(Thesis!G101+Thesis!H101)/2)</f>
        <v>0.130828167067624</v>
      </c>
      <c r="I105" s="7" t="n">
        <f aca="false">Thesis!I96*(1-tax_f)/(Thesis!I82*(Thesis!H101+Thesis!I101)/2)</f>
        <v>0.138614526937417</v>
      </c>
      <c r="J105" s="7" t="n">
        <f aca="false">Thesis!J96*(1-tax_f)/(Thesis!J82*(Thesis!I101+Thesis!J101)/2)</f>
        <v>0.150578919010924</v>
      </c>
      <c r="K105" s="7" t="n">
        <f aca="false">Thesis!K96*(1-tax_f)/(Thesis!K82*(Thesis!J101+Thesis!K101)/2)</f>
        <v>0.167005345886664</v>
      </c>
    </row>
    <row r="106" customFormat="false" ht="17.15" hidden="false" customHeight="false" outlineLevel="0" collapsed="false">
      <c r="A106" s="0" t="s">
        <v>1018</v>
      </c>
      <c r="B106" s="0" t="s">
        <v>253</v>
      </c>
      <c r="F106" s="7" t="n">
        <f aca="false">Thesis!F102-wacc</f>
        <v>-0.0417275852209519</v>
      </c>
      <c r="G106" s="7" t="n">
        <f aca="false">Thesis!G102-wacc</f>
        <v>-0.0268185599129278</v>
      </c>
      <c r="H106" s="7" t="n">
        <f aca="false">Thesis!H102-wacc</f>
        <v>-0.0169808813889612</v>
      </c>
      <c r="I106" s="7" t="n">
        <f aca="false">Thesis!I102-wacc</f>
        <v>-0.00777875006557149</v>
      </c>
      <c r="J106" s="7" t="n">
        <f aca="false">Thesis!J102-wacc</f>
        <v>0.0024906630128898</v>
      </c>
      <c r="K106" s="7" t="n">
        <f aca="false">Thesis!K102-wacc</f>
        <v>0.0150551389266932</v>
      </c>
    </row>
    <row r="107" customFormat="false" ht="17.15" hidden="false" customHeight="false" outlineLevel="0" collapsed="false">
      <c r="A107" s="0" t="s">
        <v>1019</v>
      </c>
      <c r="B107" s="0" t="s">
        <v>98</v>
      </c>
      <c r="F107" s="6" t="n">
        <f aca="false">Thesis!F100*(1-tax_f)-wacc*(Thesis!E101+Thesis!F101)/2</f>
        <v>-8.07993485878896</v>
      </c>
      <c r="G107" s="6" t="n">
        <f aca="false">Thesis!G100*(1-tax_f)-wacc*(Thesis!F101+Thesis!G101)/2</f>
        <v>-8.74761405125648</v>
      </c>
      <c r="H107" s="6" t="n">
        <f aca="false">Thesis!H100*(1-tax_f)-wacc*(Thesis!G101+Thesis!H101)/2</f>
        <v>-7.56728474773728</v>
      </c>
      <c r="I107" s="6" t="n">
        <f aca="false">Thesis!I100*(1-tax_f)-wacc*(Thesis!H101+Thesis!I101)/2</f>
        <v>-4.09691549261652</v>
      </c>
      <c r="J107" s="6" t="n">
        <f aca="false">Thesis!J100*(1-tax_f)-wacc*(Thesis!I101+Thesis!J101)/2</f>
        <v>1.37566660468201</v>
      </c>
      <c r="K107" s="6" t="n">
        <f aca="false">Thesis!K100*(1-tax_f)-wacc*(Thesis!J101+Thesis!K101)/2</f>
        <v>8.11113224178941</v>
      </c>
    </row>
    <row r="108" customFormat="false" ht="17.15" hidden="false" customHeight="false" outlineLevel="0" collapsed="false">
      <c r="A108" s="3" t="s">
        <v>1021</v>
      </c>
    </row>
    <row r="109" customFormat="false" ht="15" hidden="false" customHeight="false" outlineLevel="0" collapsed="false">
      <c r="A109" s="4" t="s">
        <v>43</v>
      </c>
      <c r="B109" s="4" t="s">
        <v>65</v>
      </c>
      <c r="C109" s="23" t="s">
        <v>942</v>
      </c>
      <c r="D109" s="23" t="s">
        <v>943</v>
      </c>
      <c r="E109" s="23" t="s">
        <v>944</v>
      </c>
      <c r="F109" s="23" t="s">
        <v>945</v>
      </c>
      <c r="G109" s="23" t="s">
        <v>946</v>
      </c>
      <c r="H109" s="23" t="s">
        <v>947</v>
      </c>
      <c r="I109" s="23" t="s">
        <v>948</v>
      </c>
      <c r="J109" s="23" t="s">
        <v>949</v>
      </c>
      <c r="K109" s="23" t="s">
        <v>950</v>
      </c>
      <c r="L109" s="4" t="s">
        <v>47</v>
      </c>
    </row>
    <row r="110" customFormat="false" ht="17.15" hidden="false" customHeight="false" outlineLevel="0" collapsed="false">
      <c r="A110" s="1" t="s">
        <v>951</v>
      </c>
      <c r="B110" s="1" t="s">
        <v>279</v>
      </c>
      <c r="C110" s="21" t="n">
        <v>2024</v>
      </c>
      <c r="D110" s="21" t="n">
        <v>2025</v>
      </c>
      <c r="E110" s="21" t="n">
        <v>2026</v>
      </c>
      <c r="F110" s="21" t="n">
        <v>2027</v>
      </c>
      <c r="G110" s="21" t="n">
        <v>2028</v>
      </c>
      <c r="H110" s="21" t="n">
        <v>2029</v>
      </c>
      <c r="I110" s="21" t="n">
        <v>2030</v>
      </c>
      <c r="J110" s="21" t="n">
        <v>2031</v>
      </c>
      <c r="K110" s="21" t="n">
        <v>2032</v>
      </c>
    </row>
    <row r="111" customFormat="false" ht="17.15" hidden="false" customHeight="false" outlineLevel="0" collapsed="false">
      <c r="A111" s="1" t="s">
        <v>952</v>
      </c>
      <c r="B111" s="0" t="s">
        <v>459</v>
      </c>
      <c r="F111" s="30" t="n">
        <f aca="false">pace</f>
        <v>2726.5351</v>
      </c>
      <c r="G111" s="30" t="n">
        <f aca="false">pace</f>
        <v>2726.5351</v>
      </c>
      <c r="H111" s="30" t="n">
        <f aca="false">pace</f>
        <v>2726.5351</v>
      </c>
      <c r="I111" s="30" t="n">
        <f aca="false">pace+(g_tv*Thesis!H112-pace)*MIN(1,(Thesis!I110-pace_y0)/(pace_y1-pace_y0))</f>
        <v>1931.98611966667</v>
      </c>
      <c r="J111" s="30" t="n">
        <f aca="false">pace+(g_tv*Thesis!I112-pace)*MIN(1,(Thesis!J110-pace_y0)/(pace_y1-pace_y0))</f>
        <v>1176.07686172667</v>
      </c>
      <c r="K111" s="30" t="n">
        <f aca="false">pace+(g_tv*Thesis!J112-pace)*MIN(1,(Thesis!K110-pace_y0)/(pace_y1-pace_y0))</f>
        <v>436.1300484418</v>
      </c>
      <c r="L111" s="12" t="s">
        <v>953</v>
      </c>
    </row>
    <row r="112" customFormat="false" ht="17.15" hidden="false" customHeight="false" outlineLevel="0" collapsed="false">
      <c r="A112" s="1" t="s">
        <v>954</v>
      </c>
      <c r="B112" s="0" t="s">
        <v>459</v>
      </c>
      <c r="C112" s="30" t="n">
        <f aca="false">mw_ext_24</f>
        <v>640</v>
      </c>
      <c r="D112" s="30" t="n">
        <f aca="false">mw_ext_25</f>
        <v>1630</v>
      </c>
      <c r="E112" s="30" t="n">
        <f aca="false">mw_ext_26</f>
        <v>3250</v>
      </c>
      <c r="F112" s="30" t="n">
        <f aca="false">Thesis!E112+Thesis!F111</f>
        <v>5976.5351</v>
      </c>
      <c r="G112" s="30" t="n">
        <f aca="false">Thesis!F112+Thesis!G111</f>
        <v>8703.0702</v>
      </c>
      <c r="H112" s="30" t="n">
        <f aca="false">Thesis!G112+Thesis!H111</f>
        <v>11429.6053</v>
      </c>
      <c r="I112" s="30" t="n">
        <f aca="false">Thesis!H112+Thesis!I111</f>
        <v>13361.5914196667</v>
      </c>
      <c r="J112" s="30" t="n">
        <f aca="false">Thesis!I112+Thesis!J111</f>
        <v>14537.6682813933</v>
      </c>
      <c r="K112" s="30" t="n">
        <f aca="false">Thesis!J112+Thesis!K111</f>
        <v>14973.7983298351</v>
      </c>
      <c r="L112" s="1" t="s">
        <v>955</v>
      </c>
    </row>
    <row r="113" customFormat="false" ht="17.15" hidden="false" customHeight="false" outlineLevel="0" collapsed="false">
      <c r="A113" s="1" t="s">
        <v>956</v>
      </c>
      <c r="B113" s="0" t="s">
        <v>459</v>
      </c>
      <c r="C113" s="30" t="n">
        <f aca="false">rent_ext_24</f>
        <v>150</v>
      </c>
      <c r="D113" s="30" t="n">
        <f aca="false">rent_ext_25</f>
        <v>400</v>
      </c>
      <c r="E113" s="30" t="n">
        <f aca="false">rent_ext_26</f>
        <v>550</v>
      </c>
      <c r="F113" s="30" t="n">
        <f aca="false">rent_ext_f</f>
        <v>756</v>
      </c>
      <c r="G113" s="30" t="n">
        <f aca="false">rent_ext_f</f>
        <v>756</v>
      </c>
      <c r="H113" s="30" t="n">
        <f aca="false">rent_ext_f</f>
        <v>756</v>
      </c>
      <c r="I113" s="30" t="n">
        <f aca="false">rent_ext_f</f>
        <v>756</v>
      </c>
      <c r="J113" s="30" t="n">
        <f aca="false">rent_ext_f</f>
        <v>756</v>
      </c>
      <c r="K113" s="30" t="n">
        <f aca="false">rent_ext_f</f>
        <v>756</v>
      </c>
      <c r="L113" s="1" t="s">
        <v>957</v>
      </c>
    </row>
    <row r="114" customFormat="false" ht="17.15" hidden="false" customHeight="false" outlineLevel="0" collapsed="false">
      <c r="A114" s="1" t="s">
        <v>958</v>
      </c>
      <c r="B114" s="0" t="s">
        <v>459</v>
      </c>
      <c r="C114" s="30" t="n">
        <f aca="false">Thesis!C112-Thesis!C113</f>
        <v>490</v>
      </c>
      <c r="D114" s="30" t="n">
        <f aca="false">Thesis!D112-Thesis!D113</f>
        <v>1230</v>
      </c>
      <c r="E114" s="30" t="n">
        <f aca="false">Thesis!E112-Thesis!E113</f>
        <v>2700</v>
      </c>
      <c r="F114" s="30" t="n">
        <f aca="false">Thesis!F112-Thesis!F113</f>
        <v>5220.5351</v>
      </c>
      <c r="G114" s="30" t="n">
        <f aca="false">Thesis!G112-Thesis!G113</f>
        <v>7947.0702</v>
      </c>
      <c r="H114" s="30" t="n">
        <f aca="false">Thesis!H112-Thesis!H113</f>
        <v>10673.6053</v>
      </c>
      <c r="I114" s="30" t="n">
        <f aca="false">Thesis!I112-Thesis!I113</f>
        <v>12605.5914196667</v>
      </c>
      <c r="J114" s="30" t="n">
        <f aca="false">Thesis!J112-Thesis!J113</f>
        <v>13781.6682813933</v>
      </c>
      <c r="K114" s="30" t="n">
        <f aca="false">Thesis!K112-Thesis!K113</f>
        <v>14217.7983298351</v>
      </c>
    </row>
    <row r="115" customFormat="false" ht="17.15" hidden="false" customHeight="false" outlineLevel="0" collapsed="false">
      <c r="A115" s="1" t="s">
        <v>959</v>
      </c>
      <c r="B115" s="0" t="s">
        <v>459</v>
      </c>
      <c r="C115" s="30" t="n">
        <f aca="false">Thesis!C114/ext_sh</f>
        <v>816.666666666667</v>
      </c>
      <c r="D115" s="30" t="n">
        <f aca="false">Thesis!D114/ext_sh</f>
        <v>2050</v>
      </c>
      <c r="E115" s="30" t="n">
        <f aca="false">Thesis!E114/ext_sh</f>
        <v>4500</v>
      </c>
      <c r="F115" s="30" t="n">
        <f aca="false">Thesis!F114/ext_sh</f>
        <v>8700.89183333333</v>
      </c>
      <c r="G115" s="30" t="n">
        <f aca="false">Thesis!G114/ext_sh</f>
        <v>13245.117</v>
      </c>
      <c r="H115" s="30" t="n">
        <f aca="false">Thesis!H114/ext_sh</f>
        <v>17789.3421666667</v>
      </c>
      <c r="I115" s="30" t="n">
        <f aca="false">Thesis!I114/ext_sh</f>
        <v>21009.3190327778</v>
      </c>
      <c r="J115" s="30" t="n">
        <f aca="false">Thesis!J114/ext_sh</f>
        <v>22969.4471356556</v>
      </c>
      <c r="K115" s="30" t="n">
        <f aca="false">Thesis!K114/ext_sh</f>
        <v>23696.3305497252</v>
      </c>
      <c r="L115" s="1" t="s">
        <v>960</v>
      </c>
    </row>
    <row r="116" customFormat="false" ht="17.15" hidden="false" customHeight="false" outlineLevel="0" collapsed="false">
      <c r="A116" s="1" t="s">
        <v>961</v>
      </c>
      <c r="B116" s="0" t="s">
        <v>459</v>
      </c>
      <c r="C116" s="30" t="n">
        <f aca="false">Thesis!C115-Thesis!C114</f>
        <v>326.666666666667</v>
      </c>
      <c r="D116" s="30" t="n">
        <f aca="false">Thesis!D115-Thesis!D114</f>
        <v>820</v>
      </c>
      <c r="E116" s="30" t="n">
        <f aca="false">Thesis!E115-Thesis!E114</f>
        <v>1800</v>
      </c>
      <c r="F116" s="30" t="n">
        <f aca="false">Thesis!F115-Thesis!F114</f>
        <v>3480.35673333333</v>
      </c>
      <c r="G116" s="30" t="n">
        <f aca="false">Thesis!G115-Thesis!G114</f>
        <v>5298.0468</v>
      </c>
      <c r="H116" s="30" t="n">
        <f aca="false">Thesis!H115-Thesis!H114</f>
        <v>7115.73686666667</v>
      </c>
      <c r="I116" s="30" t="n">
        <f aca="false">Thesis!I115-Thesis!I114</f>
        <v>8403.72761311111</v>
      </c>
      <c r="J116" s="30" t="n">
        <f aca="false">Thesis!J115-Thesis!J114</f>
        <v>9187.77885426222</v>
      </c>
      <c r="K116" s="30" t="n">
        <f aca="false">Thesis!K115-Thesis!K114</f>
        <v>9478.53221989009</v>
      </c>
    </row>
    <row r="117" customFormat="false" ht="17.15" hidden="false" customHeight="false" outlineLevel="0" collapsed="false">
      <c r="A117" s="1" t="s">
        <v>962</v>
      </c>
      <c r="B117" s="0" t="s">
        <v>459</v>
      </c>
      <c r="C117" s="30" t="n">
        <f aca="false">Thesis!C115</f>
        <v>816.666666666667</v>
      </c>
      <c r="D117" s="30" t="n">
        <f aca="false">Thesis!D115-Thesis!C115</f>
        <v>1233.33333333333</v>
      </c>
      <c r="E117" s="30" t="n">
        <f aca="false">Thesis!E115-Thesis!D115</f>
        <v>2450</v>
      </c>
      <c r="F117" s="30" t="n">
        <f aca="false">Thesis!F115-Thesis!E115</f>
        <v>4200.89183333333</v>
      </c>
      <c r="G117" s="30" t="n">
        <f aca="false">Thesis!G115-Thesis!F115</f>
        <v>4544.22516666667</v>
      </c>
      <c r="H117" s="30" t="n">
        <f aca="false">Thesis!H115-Thesis!G115</f>
        <v>4544.22516666667</v>
      </c>
      <c r="I117" s="30" t="n">
        <f aca="false">Thesis!I115-Thesis!H115</f>
        <v>3219.97686611111</v>
      </c>
      <c r="J117" s="30" t="n">
        <f aca="false">Thesis!J115-Thesis!I115</f>
        <v>1960.12810287778</v>
      </c>
      <c r="K117" s="30" t="n">
        <f aca="false">Thesis!K115-Thesis!J115</f>
        <v>726.883414069667</v>
      </c>
    </row>
    <row r="118" customFormat="false" ht="17.15" hidden="false" customHeight="false" outlineLevel="0" collapsed="false">
      <c r="A118" s="1" t="s">
        <v>963</v>
      </c>
      <c r="B118" s="0" t="s">
        <v>459</v>
      </c>
      <c r="D118" s="30" t="n">
        <f aca="false">Thesis!D112-Thesis!C112</f>
        <v>990</v>
      </c>
      <c r="E118" s="30" t="n">
        <f aca="false">Thesis!E112-Thesis!D112</f>
        <v>1620</v>
      </c>
      <c r="F118" s="30" t="n">
        <f aca="false">Thesis!F112-Thesis!E112</f>
        <v>2726.5351</v>
      </c>
      <c r="G118" s="30" t="n">
        <f aca="false">Thesis!G112-Thesis!F112</f>
        <v>2726.5351</v>
      </c>
      <c r="H118" s="30" t="n">
        <f aca="false">Thesis!H112-Thesis!G112</f>
        <v>2726.5351</v>
      </c>
      <c r="I118" s="30" t="n">
        <f aca="false">Thesis!I112-Thesis!H112</f>
        <v>1931.98611966667</v>
      </c>
      <c r="J118" s="30" t="n">
        <f aca="false">Thesis!J112-Thesis!I112</f>
        <v>1176.07686172667</v>
      </c>
      <c r="K118" s="30" t="n">
        <f aca="false">Thesis!K112-Thesis!J112</f>
        <v>436.130048441799</v>
      </c>
    </row>
    <row r="119" customFormat="false" ht="17.15" hidden="false" customHeight="false" outlineLevel="0" collapsed="false">
      <c r="A119" s="1" t="s">
        <v>964</v>
      </c>
      <c r="B119" s="0" t="s">
        <v>459</v>
      </c>
      <c r="F119" s="30" t="n">
        <f aca="false">Thesis!F138*ext_sh</f>
        <v>0</v>
      </c>
      <c r="G119" s="30" t="n">
        <f aca="false">Thesis!G138*ext_sh</f>
        <v>0</v>
      </c>
      <c r="H119" s="30" t="n">
        <f aca="false">Thesis!H138*ext_sh</f>
        <v>0</v>
      </c>
      <c r="I119" s="30" t="n">
        <f aca="false">Thesis!I138*ext_sh</f>
        <v>490</v>
      </c>
      <c r="J119" s="30" t="n">
        <f aca="false">Thesis!J138*ext_sh</f>
        <v>740</v>
      </c>
      <c r="K119" s="30" t="n">
        <f aca="false">Thesis!K138*ext_sh</f>
        <v>1470</v>
      </c>
      <c r="L119" s="1" t="s">
        <v>965</v>
      </c>
    </row>
    <row r="120" customFormat="false" ht="17.15" hidden="false" customHeight="false" outlineLevel="0" collapsed="false">
      <c r="A120" s="1" t="s">
        <v>966</v>
      </c>
      <c r="B120" s="0" t="s">
        <v>459</v>
      </c>
      <c r="C120" s="30" t="n">
        <f aca="false">mix_h*Thesis!C112</f>
        <v>128</v>
      </c>
      <c r="D120" s="30" t="n">
        <f aca="false">mix_h*Thesis!D112</f>
        <v>326</v>
      </c>
      <c r="E120" s="30" t="n">
        <f aca="false">mix_h*Thesis!E112</f>
        <v>650</v>
      </c>
      <c r="F120" s="30" t="n">
        <f aca="false">Thesis!E120-Thesis!F119*mix_h</f>
        <v>650</v>
      </c>
      <c r="G120" s="30" t="n">
        <f aca="false">Thesis!F120-Thesis!G119*mix_h</f>
        <v>650</v>
      </c>
      <c r="H120" s="30" t="n">
        <f aca="false">Thesis!G120-Thesis!H119*mix_h</f>
        <v>650</v>
      </c>
      <c r="I120" s="30" t="n">
        <f aca="false">Thesis!H120-Thesis!I119*mix_h</f>
        <v>552</v>
      </c>
      <c r="J120" s="30" t="n">
        <f aca="false">Thesis!I120-Thesis!J119*mix_h</f>
        <v>404</v>
      </c>
      <c r="K120" s="30" t="n">
        <f aca="false">Thesis!J120-Thesis!K119*mix_h</f>
        <v>110</v>
      </c>
    </row>
    <row r="121" customFormat="false" ht="17.15" hidden="false" customHeight="false" outlineLevel="0" collapsed="false">
      <c r="A121" s="1" t="s">
        <v>967</v>
      </c>
      <c r="B121" s="0" t="s">
        <v>459</v>
      </c>
      <c r="C121" s="30" t="n">
        <f aca="false">mix_g2*Thesis!C112</f>
        <v>288</v>
      </c>
      <c r="D121" s="30" t="n">
        <f aca="false">mix_g2*Thesis!D112</f>
        <v>733.5</v>
      </c>
      <c r="E121" s="30" t="n">
        <f aca="false">mix_g2*Thesis!E112</f>
        <v>1462.5</v>
      </c>
      <c r="F121" s="30" t="n">
        <f aca="false">Thesis!E121-Thesis!F119*mix_g2</f>
        <v>1462.5</v>
      </c>
      <c r="G121" s="30" t="n">
        <f aca="false">Thesis!F121-Thesis!G119*mix_g2</f>
        <v>1462.5</v>
      </c>
      <c r="H121" s="30" t="n">
        <f aca="false">Thesis!G121-Thesis!H119*mix_g2</f>
        <v>1462.5</v>
      </c>
      <c r="I121" s="30" t="n">
        <f aca="false">Thesis!H121-Thesis!I119*mix_g2</f>
        <v>1242</v>
      </c>
      <c r="J121" s="30" t="n">
        <f aca="false">Thesis!I121-Thesis!J119*mix_g2</f>
        <v>909</v>
      </c>
      <c r="K121" s="30" t="n">
        <f aca="false">Thesis!J121-Thesis!K119*mix_g2</f>
        <v>247.5</v>
      </c>
    </row>
    <row r="122" customFormat="false" ht="17.15" hidden="false" customHeight="false" outlineLevel="0" collapsed="false">
      <c r="A122" s="1" t="s">
        <v>968</v>
      </c>
      <c r="B122" s="0" t="s">
        <v>459</v>
      </c>
      <c r="C122" s="30" t="n">
        <f aca="false">mix_g3*Thesis!C112</f>
        <v>224</v>
      </c>
      <c r="D122" s="30" t="n">
        <f aca="false">mix_g3*Thesis!D112</f>
        <v>570.5</v>
      </c>
      <c r="E122" s="30" t="n">
        <f aca="false">mix_g3*Thesis!E112</f>
        <v>1137.5</v>
      </c>
      <c r="F122" s="30" t="n">
        <f aca="false">Thesis!E122+(Thesis!F118+Thesis!F119)*(a_g3_27-nonnv*a_mai)-Thesis!F119*mix_g3</f>
        <v>2773.42106</v>
      </c>
      <c r="G122" s="30" t="n">
        <f aca="false">Thesis!F122+(Thesis!G118+Thesis!G119)*(a_g3_28-nonnv*a_mai)-Thesis!G119*mix_g3</f>
        <v>3318.72808</v>
      </c>
      <c r="H122" s="30" t="n">
        <f aca="false">Thesis!G122+(Thesis!H118+Thesis!H119)*(a_g3_29-nonnv*a_mai)-Thesis!H119*mix_g3</f>
        <v>3318.72808</v>
      </c>
      <c r="I122" s="30" t="n">
        <f aca="false">Thesis!H122+(Thesis!I118+Thesis!I119)*(a_g3_29-nonnv*a_mai)-Thesis!I119*mix_g3</f>
        <v>3147.22808</v>
      </c>
      <c r="J122" s="30" t="n">
        <f aca="false">Thesis!I122+(Thesis!J118+Thesis!J119)*(a_g3_29-nonnv*a_mai)-Thesis!J119*mix_g3</f>
        <v>2888.22808</v>
      </c>
      <c r="K122" s="30" t="n">
        <f aca="false">Thesis!J122+(Thesis!K118+Thesis!K119)*(a_g3_29-nonnv*a_mai)-Thesis!K119*mix_g3</f>
        <v>2373.72808</v>
      </c>
    </row>
    <row r="123" customFormat="false" ht="17.15" hidden="false" customHeight="false" outlineLevel="0" collapsed="false">
      <c r="A123" s="1" t="s">
        <v>969</v>
      </c>
      <c r="B123" s="0" t="s">
        <v>459</v>
      </c>
      <c r="C123" s="30" t="n">
        <v>0</v>
      </c>
      <c r="D123" s="30" t="n">
        <v>0</v>
      </c>
      <c r="E123" s="30" t="n">
        <v>0</v>
      </c>
      <c r="F123" s="30" t="n">
        <f aca="false">Thesis!E123+(Thesis!F118+Thesis!F119)*nonnv*a_mai</f>
        <v>272.65351</v>
      </c>
      <c r="G123" s="30" t="n">
        <f aca="false">Thesis!F123+(Thesis!G118+Thesis!G119)*nonnv*a_mai</f>
        <v>545.30702</v>
      </c>
      <c r="H123" s="30" t="n">
        <f aca="false">Thesis!G123+(Thesis!H118+Thesis!H119)*nonnv*a_mai</f>
        <v>817.96053</v>
      </c>
      <c r="I123" s="30" t="n">
        <f aca="false">Thesis!H123+(Thesis!I118+Thesis!I119)*nonnv*a_mai</f>
        <v>1060.15914196667</v>
      </c>
      <c r="J123" s="30" t="n">
        <f aca="false">Thesis!I123+(Thesis!J118+Thesis!J119)*nonnv*a_mai</f>
        <v>1251.76682813933</v>
      </c>
      <c r="K123" s="30" t="n">
        <f aca="false">Thesis!J123+(Thesis!K118+Thesis!K119)*nonnv*a_mai</f>
        <v>1442.37983298351</v>
      </c>
      <c r="L123" s="12" t="s">
        <v>970</v>
      </c>
    </row>
    <row r="124" customFormat="false" ht="17.15" hidden="false" customHeight="false" outlineLevel="0" collapsed="false">
      <c r="A124" s="1" t="s">
        <v>971</v>
      </c>
      <c r="B124" s="0" t="s">
        <v>459</v>
      </c>
      <c r="C124" s="30" t="n">
        <v>0</v>
      </c>
      <c r="D124" s="30" t="n">
        <v>0</v>
      </c>
      <c r="E124" s="30" t="n">
        <v>0</v>
      </c>
      <c r="F124" s="30" t="n">
        <f aca="false">Thesis!E124+(Thesis!F118+Thesis!F119)*(1-a_g3_27)</f>
        <v>817.96053</v>
      </c>
      <c r="G124" s="30" t="n">
        <f aca="false">Thesis!F124+(Thesis!G118+Thesis!G119)*(1-a_g3_28)</f>
        <v>2726.5351</v>
      </c>
      <c r="H124" s="30" t="n">
        <f aca="false">Thesis!G124+(Thesis!H118+Thesis!H119)*(1-a_g3_29)</f>
        <v>5180.41669</v>
      </c>
      <c r="I124" s="30" t="n">
        <f aca="false">Thesis!H124+(Thesis!I118+Thesis!I119)*(1-a_g3_29)</f>
        <v>7360.2041977</v>
      </c>
      <c r="J124" s="30" t="n">
        <f aca="false">Thesis!I124+(Thesis!J118+Thesis!J119)*(1-a_g3_29)</f>
        <v>9084.673373254</v>
      </c>
      <c r="K124" s="30" t="n">
        <f aca="false">Thesis!J124+(Thesis!K118+Thesis!K119)*(1-a_g3_29)</f>
        <v>10800.1904168516</v>
      </c>
    </row>
    <row r="125" customFormat="false" ht="17.15" hidden="false" customHeight="false" outlineLevel="0" collapsed="false">
      <c r="A125" s="1" t="s">
        <v>972</v>
      </c>
      <c r="B125" s="0" t="s">
        <v>403</v>
      </c>
      <c r="C125" s="15" t="n">
        <f aca="false">(Thesis!C120*tk_hold_h100+Thesis!C121*tk_hold_gb200+Thesis!C122*tk_hold_gb300+Thesis!C124*tk_hold_vr200+Thesis!C123*nv_hold_mai*tk_hold_vr200)/Thesis!C112</f>
        <v>9.7235358126469</v>
      </c>
      <c r="D125" s="15" t="n">
        <f aca="false">(Thesis!D120*tk_hold_h100+Thesis!D121*tk_hold_gb200+Thesis!D122*tk_hold_gb300+Thesis!D124*tk_hold_vr200+Thesis!D123*nv_hold_mai*tk_hold_vr200)/Thesis!D112</f>
        <v>9.7235358126469</v>
      </c>
      <c r="E125" s="15" t="n">
        <f aca="false">(Thesis!E120*tk_hold_h100+Thesis!E121*tk_hold_gb200+Thesis!E122*tk_hold_gb300+Thesis!E124*tk_hold_vr200+Thesis!E123*nv_hold_mai*tk_hold_vr200)/Thesis!E112</f>
        <v>9.7235358126469</v>
      </c>
      <c r="F125" s="15" t="n">
        <f aca="false">(Thesis!F120*tk_hold_h100+Thesis!F121*tk_hold_gb200+Thesis!F122*tk_hold_gb300+Thesis!F124*tk_hold_vr200+Thesis!F123*nv_hold_mai*tk_hold_vr200)/Thesis!F112</f>
        <v>10.2195353876665</v>
      </c>
      <c r="G125" s="15" t="n">
        <f aca="false">(Thesis!G120*tk_hold_h100+Thesis!G121*tk_hold_gb200+Thesis!G122*tk_hold_gb300+Thesis!G124*tk_hold_vr200+Thesis!G123*nv_hold_mai*tk_hold_vr200)/Thesis!G112</f>
        <v>10.5725598017306</v>
      </c>
      <c r="H125" s="15" t="n">
        <f aca="false">(Thesis!H120*tk_hold_h100+Thesis!H121*tk_hold_gb200+Thesis!H122*tk_hold_gb300+Thesis!H124*tk_hold_vr200+Thesis!H123*nv_hold_mai*tk_hold_vr200)/Thesis!H112</f>
        <v>10.8210427149036</v>
      </c>
      <c r="I125" s="15" t="n">
        <f aca="false">(Thesis!I120*tk_hold_h100+Thesis!I121*tk_hold_gb200+Thesis!I122*tk_hold_gb300+Thesis!I124*tk_hold_vr200+Thesis!I123*nv_hold_mai*tk_hold_vr200)/Thesis!I112</f>
        <v>11.0050618241982</v>
      </c>
      <c r="J125" s="15" t="n">
        <f aca="false">(Thesis!J120*tk_hold_h100+Thesis!J121*tk_hold_gb200+Thesis!J122*tk_hold_gb300+Thesis!J124*tk_hold_vr200+Thesis!J123*nv_hold_mai*tk_hold_vr200)/Thesis!J112</f>
        <v>11.1505789658881</v>
      </c>
      <c r="K125" s="15" t="n">
        <f aca="false">(Thesis!K120*tk_hold_h100+Thesis!K121*tk_hold_gb200+Thesis!K122*tk_hold_gb300+Thesis!K124*tk_hold_vr200+Thesis!K123*nv_hold_mai*tk_hold_vr200)/Thesis!K112</f>
        <v>11.3496914757183</v>
      </c>
      <c r="L125" s="1" t="s">
        <v>973</v>
      </c>
    </row>
    <row r="126" customFormat="false" ht="17.15" hidden="false" customHeight="false" outlineLevel="0" collapsed="false">
      <c r="A126" s="1" t="s">
        <v>974</v>
      </c>
      <c r="B126" s="0" t="s">
        <v>403</v>
      </c>
      <c r="C126" s="15" t="n">
        <f aca="false">(Thesis!C120*tk_hold_h100+Thesis!C121*tk_hold_gb200+Thesis!C122*tk_hold_gb300+Thesis!C124*tk_hold_vr200+Thesis!C123*nv_out_mai*tk_hold_vr200)/Thesis!C112</f>
        <v>9.7235358126469</v>
      </c>
      <c r="D126" s="15" t="n">
        <f aca="false">(Thesis!D120*tk_hold_h100+Thesis!D121*tk_hold_gb200+Thesis!D122*tk_hold_gb300+Thesis!D124*tk_hold_vr200+Thesis!D123*nv_out_mai*tk_hold_vr200)/Thesis!D112</f>
        <v>9.7235358126469</v>
      </c>
      <c r="E126" s="15" t="n">
        <f aca="false">(Thesis!E120*tk_hold_h100+Thesis!E121*tk_hold_gb200+Thesis!E122*tk_hold_gb300+Thesis!E124*tk_hold_vr200+Thesis!E123*nv_out_mai*tk_hold_vr200)/Thesis!E112</f>
        <v>9.7235358126469</v>
      </c>
      <c r="F126" s="15" t="n">
        <f aca="false">(Thesis!F120*tk_hold_h100+Thesis!F121*tk_hold_gb200+Thesis!F122*tk_hold_gb300+Thesis!F124*tk_hold_vr200+Thesis!F123*nv_out_mai*tk_hold_vr200)/Thesis!F112</f>
        <v>10.247422093969</v>
      </c>
      <c r="G126" s="15" t="n">
        <f aca="false">(Thesis!G120*tk_hold_h100+Thesis!G121*tk_hold_gb200+Thesis!G122*tk_hold_gb300+Thesis!G124*tk_hold_vr200+Thesis!G123*nv_out_mai*tk_hold_vr200)/Thesis!G112</f>
        <v>10.6108602808053</v>
      </c>
      <c r="H126" s="15" t="n">
        <f aca="false">(Thesis!H120*tk_hold_h100+Thesis!H121*tk_hold_gb200+Thesis!H122*tk_hold_gb300+Thesis!H124*tk_hold_vr200+Thesis!H123*nv_out_mai*tk_hold_vr200)/Thesis!H112</f>
        <v>10.8647885507393</v>
      </c>
      <c r="I126" s="15" t="n">
        <f aca="false">(Thesis!I120*tk_hold_h100+Thesis!I121*tk_hold_gb200+Thesis!I122*tk_hold_gb300+Thesis!I124*tk_hold_vr200+Thesis!I123*nv_out_mai*tk_hold_vr200)/Thesis!I112</f>
        <v>11.0535625770025</v>
      </c>
      <c r="J126" s="15" t="n">
        <f aca="false">(Thesis!J120*tk_hold_h100+Thesis!J121*tk_hold_gb200+Thesis!J122*tk_hold_gb300+Thesis!J124*tk_hold_vr200+Thesis!J123*nv_out_mai*tk_hold_vr200)/Thesis!J112</f>
        <v>11.2032127128058</v>
      </c>
      <c r="K126" s="15" t="n">
        <f aca="false">(Thesis!K120*tk_hold_h100+Thesis!K121*tk_hold_gb200+Thesis!K122*tk_hold_gb300+Thesis!K124*tk_hold_vr200+Thesis!K123*nv_out_mai*tk_hold_vr200)/Thesis!K112</f>
        <v>11.4085735724225</v>
      </c>
      <c r="L126" s="12" t="s">
        <v>975</v>
      </c>
    </row>
    <row r="127" customFormat="false" ht="17.15" hidden="false" customHeight="false" outlineLevel="0" collapsed="false">
      <c r="A127" s="0" t="s">
        <v>976</v>
      </c>
      <c r="B127" s="0" t="s">
        <v>229</v>
      </c>
      <c r="C127" s="15" t="n">
        <f aca="false">k_B</f>
        <v>1.17213932619116</v>
      </c>
      <c r="D127" s="15" t="n">
        <f aca="false">k_B</f>
        <v>1.17213932619116</v>
      </c>
      <c r="E127" s="15" t="n">
        <f aca="false">k_B</f>
        <v>1.17213932619116</v>
      </c>
      <c r="F127" s="15" t="n">
        <f aca="false">(k_B+((ls_C*k_long+(1-ls_C)*k_spot)-k_B)*MIN(1,(Thesis!F110-base_fy)/k_ramp))</f>
        <v>1.07843258004497</v>
      </c>
      <c r="G127" s="15" t="n">
        <f aca="false">(k_B+((ls_C*k_long+(1-ls_C)*k_spot)-k_B)*MIN(1,(Thesis!G110-base_fy)/k_ramp))</f>
        <v>0.984725833898784</v>
      </c>
      <c r="H127" s="15" t="n">
        <f aca="false">(k_B+((ls_C*k_long+(1-ls_C)*k_spot)-k_B)*MIN(1,(Thesis!H110-base_fy)/k_ramp))</f>
        <v>0.891019087752599</v>
      </c>
      <c r="I127" s="15" t="n">
        <f aca="false">(k_B+((ls_C*k_long+(1-ls_C)*k_spot)-k_B)*MIN(1,(Thesis!I110-base_fy)/k_ramp))</f>
        <v>0.891019087752599</v>
      </c>
      <c r="J127" s="15" t="n">
        <f aca="false">(k_B+((ls_C*k_long+(1-ls_C)*k_spot)-k_B)*MIN(1,(Thesis!J110-base_fy)/k_ramp))</f>
        <v>0.891019087752599</v>
      </c>
      <c r="K127" s="15" t="n">
        <f aca="false">(k_B+((ls_C*k_long+(1-ls_C)*k_spot)-k_B)*MIN(1,(Thesis!K110-base_fy)/k_ramp))</f>
        <v>0.891019087752599</v>
      </c>
      <c r="L127" s="1" t="s">
        <v>977</v>
      </c>
    </row>
    <row r="128" customFormat="false" ht="17.15" hidden="false" customHeight="false" outlineLevel="0" collapsed="false">
      <c r="A128" s="1" t="s">
        <v>978</v>
      </c>
      <c r="B128" s="0" t="s">
        <v>403</v>
      </c>
      <c r="C128" s="15" t="n">
        <f aca="false">Thesis!C126*Thesis!C127*chip_f</f>
        <v>11.3973387156315</v>
      </c>
      <c r="D128" s="15" t="n">
        <f aca="false">Thesis!D126*Thesis!D127*chip_f</f>
        <v>11.3973387156315</v>
      </c>
      <c r="E128" s="15" t="n">
        <f aca="false">Thesis!E126*Thesis!E127*chip_f</f>
        <v>11.3973387156315</v>
      </c>
      <c r="F128" s="15" t="n">
        <f aca="false">Thesis!F126*Thesis!F127*chip_f</f>
        <v>11.0511538476088</v>
      </c>
      <c r="G128" s="15" t="n">
        <f aca="false">Thesis!G126*Thesis!G127*chip_f</f>
        <v>10.4487882383995</v>
      </c>
      <c r="H128" s="15" t="n">
        <f aca="false">Thesis!H126*Thesis!H127*chip_f</f>
        <v>9.68073398310464</v>
      </c>
      <c r="I128" s="15" t="n">
        <f aca="false">Thesis!I126*Thesis!I127*chip_f</f>
        <v>9.84893524377706</v>
      </c>
      <c r="J128" s="15" t="n">
        <f aca="false">Thesis!J126*Thesis!J127*chip_f</f>
        <v>9.98227637126252</v>
      </c>
      <c r="K128" s="15" t="n">
        <f aca="false">Thesis!K126*Thesis!K127*chip_f</f>
        <v>10.1652568170583</v>
      </c>
      <c r="L128" s="1" t="s">
        <v>979</v>
      </c>
    </row>
    <row r="129" customFormat="false" ht="17.15" hidden="false" customHeight="false" outlineLevel="0" collapsed="false">
      <c r="A129" s="0" t="s">
        <v>980</v>
      </c>
      <c r="B129" s="0" t="s">
        <v>98</v>
      </c>
      <c r="D129" s="6" t="n">
        <f aca="false">(Thesis!C112+Thesis!D112)/2*Thesis!D128/1000</f>
        <v>12.9359794422418</v>
      </c>
      <c r="E129" s="6" t="n">
        <f aca="false">(Thesis!D112+Thesis!E112)/2*Thesis!E128/1000</f>
        <v>27.8095064661409</v>
      </c>
      <c r="F129" s="6" t="n">
        <f aca="false">(Thesis!E112+Thesis!F112)/2*Thesis!F128/1000</f>
        <v>50.9819294352312</v>
      </c>
      <c r="G129" s="6" t="n">
        <f aca="false">(Thesis!F112+Thesis!G112)/2*Thesis!G128/1000</f>
        <v>76.6920436014933</v>
      </c>
      <c r="H129" s="6" t="n">
        <f aca="false">(Thesis!G112+Thesis!H112)/2*Thesis!H128/1000</f>
        <v>97.4495379418341</v>
      </c>
      <c r="I129" s="6" t="n">
        <f aca="false">(Thesis!H112+Thesis!I112)/2*Thesis!I128/1000</f>
        <v>122.083445553868</v>
      </c>
      <c r="J129" s="6" t="n">
        <f aca="false">(Thesis!I112+Thesis!J112)/2*Thesis!J128/1000</f>
        <v>139.249060444804</v>
      </c>
      <c r="K129" s="6" t="n">
        <f aca="false">(Thesis!J112+Thesis!K112)/2*Thesis!K128/1000</f>
        <v>149.995818575589</v>
      </c>
      <c r="L129" s="12" t="s">
        <v>981</v>
      </c>
    </row>
    <row r="130" customFormat="false" ht="17.15" hidden="false" customHeight="false" outlineLevel="0" collapsed="false">
      <c r="A130" s="1" t="s">
        <v>982</v>
      </c>
      <c r="B130" s="0" t="s">
        <v>403</v>
      </c>
      <c r="C130" s="15" t="n">
        <f aca="false">(Thesis!C120*tk_opex_h100+Thesis!C121*tk_opex_gb200+Thesis!C122*tk_opex_gb300+(Thesis!C124+Thesis!C123)*tk_opex_vr200)/Thesis!C112</f>
        <v>1.88636041306092</v>
      </c>
      <c r="D130" s="15" t="n">
        <f aca="false">(Thesis!D120*tk_opex_h100+Thesis!D121*tk_opex_gb200+Thesis!D122*tk_opex_gb300+(Thesis!D124+Thesis!D123)*tk_opex_vr200)/Thesis!D112</f>
        <v>1.88636041306092</v>
      </c>
      <c r="E130" s="15" t="n">
        <f aca="false">(Thesis!E120*tk_opex_h100+Thesis!E121*tk_opex_gb200+Thesis!E122*tk_opex_gb300+(Thesis!E124+Thesis!E123)*tk_opex_vr200)/Thesis!E112</f>
        <v>1.88636041306092</v>
      </c>
      <c r="F130" s="15" t="n">
        <f aca="false">(Thesis!F120*tk_opex_h100+Thesis!F121*tk_opex_gb200+Thesis!F122*tk_opex_gb300+(Thesis!F124+Thesis!F123)*tk_opex_vr200)/Thesis!F112</f>
        <v>1.95051159746876</v>
      </c>
      <c r="G130" s="15" t="n">
        <f aca="false">(Thesis!G120*tk_opex_h100+Thesis!G121*tk_opex_gb200+Thesis!G122*tk_opex_gb300+(Thesis!G124+Thesis!G123)*tk_opex_vr200)/Thesis!G112</f>
        <v>1.98836003669956</v>
      </c>
      <c r="H130" s="15" t="n">
        <f aca="false">(Thesis!H120*tk_opex_h100+Thesis!H121*tk_opex_gb200+Thesis!H122*tk_opex_gb300+(Thesis!H124+Thesis!H123)*tk_opex_vr200)/Thesis!H112</f>
        <v>2.01344013834343</v>
      </c>
      <c r="I130" s="15" t="n">
        <f aca="false">(Thesis!I120*tk_opex_h100+Thesis!I121*tk_opex_gb200+Thesis!I122*tk_opex_gb300+(Thesis!I124+Thesis!I123)*tk_opex_vr200)/Thesis!I112</f>
        <v>2.03261166882178</v>
      </c>
      <c r="J130" s="15" t="n">
        <f aca="false">(Thesis!J120*tk_opex_h100+Thesis!J121*tk_opex_gb200+Thesis!J122*tk_opex_gb300+(Thesis!J124+Thesis!J123)*tk_opex_vr200)/Thesis!J112</f>
        <v>2.04808073288745</v>
      </c>
      <c r="K130" s="15" t="n">
        <f aca="false">(Thesis!K120*tk_opex_h100+Thesis!K121*tk_opex_gb200+Thesis!K122*tk_opex_gb300+(Thesis!K124+Thesis!K123)*tk_opex_vr200)/Thesis!K112</f>
        <v>2.06973825807449</v>
      </c>
      <c r="L130" s="12" t="s">
        <v>983</v>
      </c>
    </row>
    <row r="131" customFormat="false" ht="17.15" hidden="false" customHeight="false" outlineLevel="0" collapsed="false">
      <c r="A131" s="0" t="s">
        <v>984</v>
      </c>
      <c r="B131" s="0" t="s">
        <v>98</v>
      </c>
      <c r="D131" s="6" t="n">
        <f aca="false">(Thesis!C115+Thesis!D115)/2*Thesis!D130/1000</f>
        <v>2.70378325872065</v>
      </c>
      <c r="E131" s="6" t="n">
        <f aca="false">(Thesis!D115+Thesis!E115)/2*Thesis!E130/1000</f>
        <v>6.17783035277451</v>
      </c>
      <c r="F131" s="6" t="n">
        <f aca="false">(Thesis!E115+Thesis!F115)/2*Thesis!F130/1000</f>
        <v>12.8742463089237</v>
      </c>
      <c r="G131" s="6" t="n">
        <f aca="false">(Thesis!F115+Thesis!G115)/2*Thesis!G130/1000</f>
        <v>21.8182834646277</v>
      </c>
      <c r="H131" s="6" t="n">
        <f aca="false">(Thesis!G115+Thesis!H115)/2*Thesis!H130/1000</f>
        <v>31.2430128789734</v>
      </c>
      <c r="I131" s="6" t="n">
        <f aca="false">(Thesis!H115+Thesis!I115)/2*Thesis!I130/1000</f>
        <v>39.4313057443268</v>
      </c>
      <c r="J131" s="6" t="n">
        <f aca="false">(Thesis!I115+Thesis!J115)/2*Thesis!J130/1000</f>
        <v>45.0360318228653</v>
      </c>
      <c r="K131" s="6" t="n">
        <f aca="false">(Thesis!J115+Thesis!K115)/2*Thesis!K130/1000</f>
        <v>48.2929727091156</v>
      </c>
    </row>
    <row r="132" customFormat="false" ht="17.15" hidden="false" customHeight="false" outlineLevel="0" collapsed="false">
      <c r="A132" s="0" t="s">
        <v>985</v>
      </c>
      <c r="B132" s="0" t="s">
        <v>98</v>
      </c>
      <c r="D132" s="6" t="n">
        <f aca="false">(Thesis!C113+Thesis!D113)/2*rent_mw/1000</f>
        <v>2.44475</v>
      </c>
      <c r="E132" s="6" t="n">
        <f aca="false">(Thesis!D113+Thesis!E113)/2*rent_mw/1000</f>
        <v>4.22275</v>
      </c>
      <c r="F132" s="6" t="n">
        <f aca="false">(Thesis!E113+Thesis!F113)/2*rent_mw/1000</f>
        <v>5.80517</v>
      </c>
      <c r="G132" s="6" t="n">
        <f aca="false">(Thesis!F113+Thesis!G113)/2*rent_mw/1000</f>
        <v>6.72084</v>
      </c>
      <c r="H132" s="6" t="n">
        <f aca="false">(Thesis!G113+Thesis!H113)/2*rent_mw/1000</f>
        <v>6.72084</v>
      </c>
      <c r="I132" s="6" t="n">
        <f aca="false">(Thesis!H113+Thesis!I113)/2*rent_mw/1000</f>
        <v>6.72084</v>
      </c>
      <c r="J132" s="6" t="n">
        <f aca="false">(Thesis!I113+Thesis!J113)/2*rent_mw/1000</f>
        <v>6.72084</v>
      </c>
      <c r="K132" s="6" t="n">
        <f aca="false">(Thesis!J113+Thesis!K113)/2*rent_mw/1000</f>
        <v>6.72084</v>
      </c>
    </row>
    <row r="133" customFormat="false" ht="17.15" hidden="false" customHeight="false" outlineLevel="0" collapsed="false">
      <c r="A133" s="0" t="s">
        <v>986</v>
      </c>
      <c r="B133" s="0" t="s">
        <v>98</v>
      </c>
      <c r="D133" s="6" t="n">
        <f aca="false">(Thesis!C115+Thesis!D115)/2*(1-self_build)*fac_rent/1000</f>
        <v>0.853242375631075</v>
      </c>
      <c r="E133" s="6" t="n">
        <f aca="false">(Thesis!D115+Thesis!E115)/2*(1-self_build)*fac_rent/1000</f>
        <v>1.94955961408728</v>
      </c>
      <c r="F133" s="6" t="n">
        <f aca="false">(Thesis!E115+Thesis!F115)/2*(1-self_build)*fac_rent/1000</f>
        <v>3.92914894476356</v>
      </c>
      <c r="G133" s="6" t="n">
        <f aca="false">(Thesis!F115+Thesis!G115)/2*(1-self_build)*fac_rent/1000</f>
        <v>6.53206908578159</v>
      </c>
      <c r="H133" s="6" t="n">
        <f aca="false">(Thesis!G115+Thesis!H115)/2*(1-self_build)*fac_rent/1000</f>
        <v>9.23717988341591</v>
      </c>
      <c r="I133" s="6" t="n">
        <f aca="false">(Thesis!H115+Thesis!I115)/2*(1-self_build)*fac_rent/1000</f>
        <v>11.5481378557393</v>
      </c>
      <c r="J133" s="6" t="n">
        <f aca="false">(Thesis!I115+Thesis!J115)/2*(1-self_build)*fac_rent/1000</f>
        <v>13.0899582289108</v>
      </c>
      <c r="K133" s="6" t="n">
        <f aca="false">(Thesis!J115+Thesis!K115)/2*(1-self_build)*fac_rent/1000</f>
        <v>13.8897275626556</v>
      </c>
      <c r="L133" s="12" t="s">
        <v>987</v>
      </c>
    </row>
    <row r="134" customFormat="false" ht="17.15" hidden="false" customHeight="false" outlineLevel="0" collapsed="false">
      <c r="A134" s="1" t="s">
        <v>988</v>
      </c>
      <c r="B134" s="0" t="s">
        <v>168</v>
      </c>
      <c r="D134" s="7" t="n">
        <f aca="false">(Thesis!C114+Thesis!D114)/(Thesis!C115+Thesis!D115)</f>
        <v>0.6</v>
      </c>
      <c r="E134" s="7" t="n">
        <f aca="false">(Thesis!D114+Thesis!E114)/(Thesis!D115+Thesis!E115)</f>
        <v>0.6</v>
      </c>
      <c r="F134" s="7" t="n">
        <f aca="false">(Thesis!E114+Thesis!F114)/(Thesis!E115+Thesis!F115)</f>
        <v>0.6</v>
      </c>
      <c r="G134" s="7" t="n">
        <f aca="false">(Thesis!F114+Thesis!G114)/(Thesis!F115+Thesis!G115)</f>
        <v>0.6</v>
      </c>
      <c r="H134" s="7" t="n">
        <f aca="false">(Thesis!G114+Thesis!H114)/(Thesis!G115+Thesis!H115)</f>
        <v>0.6</v>
      </c>
      <c r="I134" s="7" t="n">
        <f aca="false">(Thesis!H114+Thesis!I114)/(Thesis!H115+Thesis!I115)</f>
        <v>0.6</v>
      </c>
      <c r="J134" s="7" t="n">
        <f aca="false">(Thesis!I114+Thesis!J114)/(Thesis!I115+Thesis!J115)</f>
        <v>0.6</v>
      </c>
      <c r="K134" s="7" t="n">
        <f aca="false">(Thesis!J114+Thesis!K114)/(Thesis!J115+Thesis!K115)</f>
        <v>0.6</v>
      </c>
    </row>
    <row r="135" customFormat="false" ht="17.15" hidden="false" customHeight="false" outlineLevel="0" collapsed="false">
      <c r="A135" s="0" t="s">
        <v>989</v>
      </c>
      <c r="B135" s="0" t="s">
        <v>98</v>
      </c>
      <c r="D135" s="6" t="n">
        <f aca="false">Thesis!D129-Thesis!D134*(Thesis!D131+Thesis!D133)-Thesis!D132</f>
        <v>8.35701406163072</v>
      </c>
      <c r="E135" s="6" t="n">
        <f aca="false">Thesis!E129-Thesis!E134*(Thesis!E131+Thesis!E133)-Thesis!E132</f>
        <v>18.7103224860238</v>
      </c>
      <c r="F135" s="6" t="n">
        <f aca="false">Thesis!F129-Thesis!F134*(Thesis!F131+Thesis!F133)-Thesis!F132</f>
        <v>35.0947222830189</v>
      </c>
      <c r="G135" s="6" t="n">
        <f aca="false">Thesis!G129-Thesis!G134*(Thesis!G131+Thesis!G133)-Thesis!G132</f>
        <v>52.9609920712477</v>
      </c>
      <c r="H135" s="6" t="n">
        <f aca="false">Thesis!H129-Thesis!H134*(Thesis!H131+Thesis!H133)-Thesis!H132</f>
        <v>66.4405822844005</v>
      </c>
      <c r="I135" s="6" t="n">
        <f aca="false">Thesis!I129-Thesis!I134*(Thesis!I131+Thesis!I133)-Thesis!I132</f>
        <v>84.7749393938279</v>
      </c>
      <c r="J135" s="6" t="n">
        <f aca="false">Thesis!J129-Thesis!J134*(Thesis!J131+Thesis!J133)-Thesis!J132</f>
        <v>97.6526264137382</v>
      </c>
      <c r="K135" s="6" t="n">
        <f aca="false">Thesis!K129-Thesis!K134*(Thesis!K131+Thesis!K133)-Thesis!K132</f>
        <v>105.965358412527</v>
      </c>
    </row>
    <row r="136" customFormat="false" ht="17.15" hidden="false" customHeight="false" outlineLevel="0" collapsed="false">
      <c r="A136" s="1" t="s">
        <v>990</v>
      </c>
      <c r="B136" s="0" t="s">
        <v>98</v>
      </c>
      <c r="D136" s="6" t="n">
        <f aca="false">(1-Thesis!D134)*(Thesis!D131+Thesis!D133)</f>
        <v>1.42281025374069</v>
      </c>
      <c r="E136" s="6" t="n">
        <f aca="false">(1-Thesis!E134)*(Thesis!E131+Thesis!E133)</f>
        <v>3.25095598674472</v>
      </c>
      <c r="F136" s="6" t="n">
        <f aca="false">(1-Thesis!F134)*(Thesis!F131+Thesis!F133)</f>
        <v>6.72135810147489</v>
      </c>
      <c r="G136" s="6" t="n">
        <f aca="false">(1-Thesis!G134)*(Thesis!G131+Thesis!G133)</f>
        <v>11.3401410201637</v>
      </c>
      <c r="H136" s="6" t="n">
        <f aca="false">(1-Thesis!H134)*(Thesis!H131+Thesis!H133)</f>
        <v>16.1920771049557</v>
      </c>
      <c r="I136" s="6" t="n">
        <f aca="false">(1-Thesis!I134)*(Thesis!I131+Thesis!I133)</f>
        <v>20.3917774400264</v>
      </c>
      <c r="J136" s="6" t="n">
        <f aca="false">(1-Thesis!J134)*(Thesis!J131+Thesis!J133)</f>
        <v>23.2503960207104</v>
      </c>
      <c r="K136" s="6" t="n">
        <f aca="false">(1-Thesis!K134)*(Thesis!K131+Thesis!K133)</f>
        <v>24.8730801087085</v>
      </c>
    </row>
    <row r="137" customFormat="false" ht="17.15" hidden="false" customHeight="false" outlineLevel="0" collapsed="false">
      <c r="A137" s="1" t="s">
        <v>991</v>
      </c>
      <c r="B137" s="0" t="s">
        <v>417</v>
      </c>
      <c r="C137" s="8" t="n">
        <f aca="false">cxit_open</f>
        <v>27.5918995</v>
      </c>
      <c r="D137" s="8" t="n">
        <f aca="false">cxit_open</f>
        <v>27.5918995</v>
      </c>
      <c r="E137" s="8" t="n">
        <f aca="false">cxit_open</f>
        <v>27.5918995</v>
      </c>
      <c r="F137" s="8" t="n">
        <f aca="false">((a_g3_27-nonnv*a_mai)*tk_cxit_gb300+nonnv*a_mai*nv_hold_mai*tk_cxit_vr200+(1-a_g3_27)*tk_cxit_vr200)</f>
        <v>32.4975576</v>
      </c>
      <c r="G137" s="8" t="n">
        <f aca="false">((a_g3_28-nonnv*a_mai)*tk_cxit_gb300+nonnv*a_mai*nv_hold_mai*tk_cxit_vr200+(1-a_g3_28)*tk_cxit_vr200)</f>
        <v>34.6372088</v>
      </c>
      <c r="H137" s="8" t="n">
        <f aca="false">((a_g3_29-nonnv*a_mai)*tk_cxit_gb300+nonnv*a_mai*nv_hold_mai*tk_cxit_vr200+(1-a_g3_29)*tk_cxit_vr200)</f>
        <v>35.7070344</v>
      </c>
      <c r="I137" s="8" t="n">
        <f aca="false">((a_g3_29-nonnv*a_mai)*tk_cxit_gb300+nonnv*a_mai*nv_hold_mai*tk_cxit_vr200+(1-a_g3_29)*tk_cxit_vr200)</f>
        <v>35.7070344</v>
      </c>
      <c r="J137" s="8" t="n">
        <f aca="false">((a_g3_29-nonnv*a_mai)*tk_cxit_gb300+nonnv*a_mai*nv_hold_mai*tk_cxit_vr200+(1-a_g3_29)*tk_cxit_vr200)</f>
        <v>35.7070344</v>
      </c>
      <c r="K137" s="8" t="n">
        <f aca="false">((a_g3_29-nonnv*a_mai)*tk_cxit_gb300+nonnv*a_mai*nv_hold_mai*tk_cxit_vr200+(1-a_g3_29)*tk_cxit_vr200)</f>
        <v>35.7070344</v>
      </c>
      <c r="L137" s="12" t="s">
        <v>992</v>
      </c>
    </row>
    <row r="138" customFormat="false" ht="17.15" hidden="false" customHeight="false" outlineLevel="0" collapsed="false">
      <c r="A138" s="0" t="s">
        <v>993</v>
      </c>
      <c r="B138" s="0" t="s">
        <v>459</v>
      </c>
      <c r="F138" s="30" t="n">
        <f aca="false">Thesis!C117*IF(Thesis!F110-Thesis!C110=life_it,1,0)+Thesis!D117*IF(Thesis!F110-Thesis!D110=life_it,1,0)+Thesis!E117*IF(Thesis!F110-Thesis!E110=life_it,1,0)</f>
        <v>0</v>
      </c>
      <c r="G138" s="30" t="n">
        <f aca="false">Thesis!C117*IF(Thesis!G110-Thesis!C110=life_it,1,0)+Thesis!D117*IF(Thesis!G110-Thesis!D110=life_it,1,0)+Thesis!E117*IF(Thesis!G110-Thesis!E110=life_it,1,0)+Thesis!F117*IF(Thesis!G110-Thesis!F110=life_it,1,0)</f>
        <v>0</v>
      </c>
      <c r="H138" s="30" t="n">
        <f aca="false">Thesis!C117*IF(Thesis!H110-Thesis!C110=life_it,1,0)+Thesis!D117*IF(Thesis!H110-Thesis!D110=life_it,1,0)+Thesis!E117*IF(Thesis!H110-Thesis!E110=life_it,1,0)+Thesis!F117*IF(Thesis!H110-Thesis!F110=life_it,1,0)+Thesis!G117*IF(Thesis!H110-Thesis!G110=life_it,1,0)</f>
        <v>0</v>
      </c>
      <c r="I138" s="30" t="n">
        <f aca="false">Thesis!C117*IF(Thesis!I110-Thesis!C110=life_it,1,0)+Thesis!D117*IF(Thesis!I110-Thesis!D110=life_it,1,0)+Thesis!E117*IF(Thesis!I110-Thesis!E110=life_it,1,0)+Thesis!F117*IF(Thesis!I110-Thesis!F110=life_it,1,0)+Thesis!G117*IF(Thesis!I110-Thesis!G110=life_it,1,0)+Thesis!H117*IF(Thesis!I110-Thesis!H110=life_it,1,0)</f>
        <v>816.666666666667</v>
      </c>
      <c r="J138" s="30" t="n">
        <f aca="false">Thesis!C117*IF(Thesis!J110-Thesis!C110=life_it,1,0)+Thesis!D117*IF(Thesis!J110-Thesis!D110=life_it,1,0)+Thesis!E117*IF(Thesis!J110-Thesis!E110=life_it,1,0)+Thesis!F117*IF(Thesis!J110-Thesis!F110=life_it,1,0)+Thesis!G117*IF(Thesis!J110-Thesis!G110=life_it,1,0)+Thesis!H117*IF(Thesis!J110-Thesis!H110=life_it,1,0)+Thesis!I117*IF(Thesis!J110-Thesis!I110=life_it,1,0)</f>
        <v>1233.33333333333</v>
      </c>
      <c r="K138" s="30" t="n">
        <f aca="false">Thesis!C117*IF(Thesis!K110-Thesis!C110=life_it,1,0)+Thesis!D117*IF(Thesis!K110-Thesis!D110=life_it,1,0)+Thesis!E117*IF(Thesis!K110-Thesis!E110=life_it,1,0)+Thesis!F117*IF(Thesis!K110-Thesis!F110=life_it,1,0)+Thesis!G117*IF(Thesis!K110-Thesis!G110=life_it,1,0)+Thesis!H117*IF(Thesis!K110-Thesis!H110=life_it,1,0)+Thesis!I117*IF(Thesis!K110-Thesis!I110=life_it,1,0)+Thesis!J117*IF(Thesis!K110-Thesis!J110=life_it,1,0)</f>
        <v>2450</v>
      </c>
      <c r="L138" s="1" t="s">
        <v>994</v>
      </c>
    </row>
    <row r="139" customFormat="false" ht="17.15" hidden="false" customHeight="false" outlineLevel="0" collapsed="false">
      <c r="A139" s="0" t="s">
        <v>995</v>
      </c>
      <c r="B139" s="0" t="s">
        <v>98</v>
      </c>
      <c r="C139" s="6" t="n">
        <f aca="false">Thesis!C117*Thesis!C137/1000</f>
        <v>22.5333845916667</v>
      </c>
      <c r="D139" s="6" t="n">
        <f aca="false">Thesis!D117*Thesis!D137/1000</f>
        <v>34.0300093833333</v>
      </c>
      <c r="E139" s="6" t="n">
        <f aca="false">Thesis!E117*Thesis!E137/1000</f>
        <v>67.600153775</v>
      </c>
      <c r="F139" s="6" t="n">
        <f aca="false">(Thesis!F117+Thesis!F138)*Thesis!F137/1000</f>
        <v>136.51872432512</v>
      </c>
      <c r="G139" s="6" t="n">
        <f aca="false">(Thesis!G117+Thesis!G138)*Thesis!G137/1000</f>
        <v>157.399275932048</v>
      </c>
      <c r="H139" s="6" t="n">
        <f aca="false">(Thesis!H117+Thesis!H138)*Thesis!H137/1000</f>
        <v>162.260804347512</v>
      </c>
      <c r="I139" s="6" t="n">
        <f aca="false">(Thesis!I117+Thesis!I138)*Thesis!I137/1000</f>
        <v>144.136569485434</v>
      </c>
      <c r="J139" s="6" t="n">
        <f aca="false">(Thesis!J117+Thesis!J138)*Thesis!J137/1000</f>
        <v>114.029037357864</v>
      </c>
      <c r="K139" s="6" t="n">
        <f aca="false">(Thesis!K117+Thesis!K138)*Thesis!K137/1000</f>
        <v>113.437085350975</v>
      </c>
    </row>
    <row r="140" customFormat="false" ht="17.15" hidden="false" customHeight="false" outlineLevel="0" collapsed="false">
      <c r="A140" s="0" t="s">
        <v>996</v>
      </c>
      <c r="B140" s="0" t="s">
        <v>98</v>
      </c>
      <c r="C140" s="6" t="n">
        <f aca="false">Thesis!C117*self_build*tk_cxfac/1000</f>
        <v>6.2083</v>
      </c>
      <c r="D140" s="6" t="n">
        <f aca="false">Thesis!D117*self_build*tk_cxfac/1000</f>
        <v>9.3758</v>
      </c>
      <c r="E140" s="6" t="n">
        <f aca="false">Thesis!E117*self_build*tk_cxfac/1000</f>
        <v>18.6249</v>
      </c>
      <c r="F140" s="6" t="n">
        <f aca="false">Thesis!F117*self_build*tk_cxfac/1000</f>
        <v>31.935179717</v>
      </c>
      <c r="G140" s="6" t="n">
        <f aca="false">Thesis!G117*self_build*tk_cxfac/1000</f>
        <v>34.545199717</v>
      </c>
      <c r="H140" s="6" t="n">
        <f aca="false">Thesis!H117*self_build*tk_cxfac/1000</f>
        <v>34.545199717</v>
      </c>
      <c r="I140" s="6" t="n">
        <f aca="false">Thesis!I117*self_build*tk_cxfac/1000</f>
        <v>24.4782641361767</v>
      </c>
      <c r="J140" s="6" t="n">
        <f aca="false">Thesis!J117*self_build*tk_cxfac/1000</f>
        <v>14.9008938380769</v>
      </c>
      <c r="K140" s="6" t="n">
        <f aca="false">Thesis!K117*self_build*tk_cxfac/1000</f>
        <v>5.52576771375761</v>
      </c>
    </row>
    <row r="141" customFormat="false" ht="17.15" hidden="false" customHeight="false" outlineLevel="0" collapsed="false">
      <c r="A141" s="0" t="s">
        <v>997</v>
      </c>
      <c r="B141" s="0" t="s">
        <v>98</v>
      </c>
      <c r="F141" s="15" t="n">
        <f aca="false">capex_floor27-Thesis!F139-Thesis!F140-CF!F89</f>
        <v>-0.0799631154216058</v>
      </c>
      <c r="L141" s="12" t="s">
        <v>998</v>
      </c>
    </row>
    <row r="142" customFormat="false" ht="17.15" hidden="false" customHeight="false" outlineLevel="0" collapsed="false">
      <c r="A142" s="0" t="s">
        <v>999</v>
      </c>
      <c r="B142" s="0" t="s">
        <v>98</v>
      </c>
      <c r="F142" s="6" t="n">
        <f aca="false">MAX(0,Thesis!F141)</f>
        <v>0</v>
      </c>
    </row>
    <row r="143" customFormat="false" ht="17.15" hidden="false" customHeight="false" outlineLevel="0" collapsed="false">
      <c r="A143" s="0" t="s">
        <v>1000</v>
      </c>
      <c r="B143" s="0" t="s">
        <v>98</v>
      </c>
      <c r="C143" s="6" t="n">
        <f aca="false">Thesis!C139</f>
        <v>22.5333845916667</v>
      </c>
      <c r="D143" s="6" t="n">
        <f aca="false">Thesis!D139</f>
        <v>34.0300093833333</v>
      </c>
      <c r="E143" s="6" t="n">
        <f aca="false">Thesis!E139</f>
        <v>67.600153775</v>
      </c>
      <c r="F143" s="6" t="n">
        <f aca="false">Thesis!F139</f>
        <v>136.51872432512</v>
      </c>
      <c r="G143" s="6" t="n">
        <f aca="false">Thesis!G139</f>
        <v>157.399275932048</v>
      </c>
      <c r="H143" s="6" t="n">
        <f aca="false">Thesis!H139</f>
        <v>162.260804347512</v>
      </c>
      <c r="I143" s="6" t="n">
        <f aca="false">Thesis!I139</f>
        <v>144.136569485434</v>
      </c>
      <c r="J143" s="6" t="n">
        <f aca="false">Thesis!J139</f>
        <v>114.029037357864</v>
      </c>
      <c r="K143" s="6" t="n">
        <f aca="false">Thesis!K139</f>
        <v>113.437085350975</v>
      </c>
    </row>
    <row r="144" customFormat="false" ht="17.15" hidden="false" customHeight="false" outlineLevel="0" collapsed="false">
      <c r="A144" s="0" t="s">
        <v>1001</v>
      </c>
      <c r="B144" s="0" t="s">
        <v>98</v>
      </c>
      <c r="C144" s="6" t="n">
        <f aca="false">Thesis!C143+Thesis!C140</f>
        <v>28.7416845916667</v>
      </c>
      <c r="D144" s="6" t="n">
        <f aca="false">Thesis!D143+Thesis!D140</f>
        <v>43.4058093833333</v>
      </c>
      <c r="E144" s="6" t="n">
        <f aca="false">Thesis!E143+Thesis!E140</f>
        <v>86.225053775</v>
      </c>
      <c r="F144" s="6" t="n">
        <f aca="false">Thesis!F143+Thesis!F140</f>
        <v>168.45390404212</v>
      </c>
      <c r="G144" s="6" t="n">
        <f aca="false">Thesis!G143+Thesis!G140</f>
        <v>191.944475649048</v>
      </c>
      <c r="H144" s="6" t="n">
        <f aca="false">Thesis!H143+Thesis!H140</f>
        <v>196.806004064512</v>
      </c>
      <c r="I144" s="6" t="n">
        <f aca="false">Thesis!I143+Thesis!I140</f>
        <v>168.61483362161</v>
      </c>
      <c r="J144" s="6" t="n">
        <f aca="false">Thesis!J143+Thesis!J140</f>
        <v>128.92993119594</v>
      </c>
      <c r="K144" s="6" t="n">
        <f aca="false">Thesis!K143+Thesis!K140</f>
        <v>118.962853064733</v>
      </c>
      <c r="L144" s="12" t="s">
        <v>1002</v>
      </c>
    </row>
    <row r="145" customFormat="false" ht="17.15" hidden="false" customHeight="false" outlineLevel="0" collapsed="false">
      <c r="A145" s="0" t="s">
        <v>1003</v>
      </c>
      <c r="B145" s="0" t="s">
        <v>98</v>
      </c>
      <c r="E145" s="6" t="n">
        <f aca="false">(Thesis!C143*IF(2&lt;life_it,1,IF(2=life_it,0.5,0))+Thesis!D143*IF(1&lt;life_it,1,IF(1=life_it,0.5,0))+Thesis!E143*0.5)/life_it</f>
        <v>15.0605784770833</v>
      </c>
      <c r="F145" s="6" t="n">
        <f aca="false">(Thesis!C143*IF(3&lt;life_it,1,IF(3=life_it,0.5,0))+Thesis!D143*IF(2&lt;life_it,1,IF(2=life_it,0.5,0))+Thesis!E143*IF(1&lt;life_it,1,IF(1=life_it,0.5,0))+Thesis!F143*0.5)/life_it</f>
        <v>32.0704849854266</v>
      </c>
      <c r="G145" s="6" t="n">
        <f aca="false">(Thesis!C143*IF(4&lt;life_it,1,IF(4=life_it,0.5,0))+Thesis!D143*IF(3&lt;life_it,1,IF(3=life_it,0.5,0))+Thesis!E143*IF(2&lt;life_it,1,IF(2=life_it,0.5,0))+Thesis!F143*IF(1&lt;life_it,1,IF(1=life_it,0.5,0))+Thesis!G143*0.5)/life_it</f>
        <v>56.5636516735239</v>
      </c>
      <c r="H145" s="6" t="n">
        <f aca="false">(Thesis!C143*IF(5&lt;life_it,1,IF(5=life_it,0.5,0))+Thesis!D143*IF(4&lt;life_it,1,IF(4=life_it,0.5,0))+Thesis!E143*IF(3&lt;life_it,1,IF(3=life_it,0.5,0))+Thesis!F143*IF(2&lt;life_it,1,IF(2=life_it,0.5,0))+Thesis!G143*IF(1&lt;life_it,1,IF(1=life_it,0.5,0))+Thesis!H143*0.5)/life_it</f>
        <v>83.2019916968207</v>
      </c>
      <c r="I145" s="6" t="n">
        <f aca="false">(Thesis!C143*IF(6&lt;life_it,1,IF(6=life_it,0.5,0))+Thesis!D143*IF(5&lt;life_it,1,IF(5=life_it,0.5,0))+Thesis!E143*IF(4&lt;life_it,1,IF(4=life_it,0.5,0))+Thesis!F143*IF(3&lt;life_it,1,IF(3=life_it,0.5,0))+Thesis!G143*IF(2&lt;life_it,1,IF(2=life_it,0.5,0))+Thesis!H143*IF(1&lt;life_it,1,IF(1=life_it,0.5,0))+Thesis!I143*0.5)/life_it</f>
        <v>106.857324133594</v>
      </c>
      <c r="J145" s="6" t="n">
        <f aca="false">(Thesis!C143*IF(7&lt;life_it,1,IF(7=life_it,0.5,0))+Thesis!D143*IF(6&lt;life_it,1,IF(6=life_it,0.5,0))+Thesis!E143*IF(5&lt;life_it,1,IF(5=life_it,0.5,0))+Thesis!F143*IF(4&lt;life_it,1,IF(4=life_it,0.5,0))+Thesis!G143*IF(3&lt;life_it,1,IF(3=life_it,0.5,0))+Thesis!H143*IF(2&lt;life_it,1,IF(2=life_it,0.5,0))+Thesis!I143*IF(1&lt;life_it,1,IF(1=life_it,0.5,0))+Thesis!J143*0.5)/life_it</f>
        <v>123.657508539285</v>
      </c>
      <c r="K145" s="6" t="n">
        <f aca="false">(Thesis!C143*IF(8&lt;life_it,1,IF(8=life_it,0.5,0))+Thesis!D143*IF(7&lt;life_it,1,IF(7=life_it,0.5,0))+Thesis!E143*IF(6&lt;life_it,1,IF(6=life_it,0.5,0))+Thesis!F143*IF(5&lt;life_it,1,IF(5=life_it,0.5,0))+Thesis!G143*IF(4&lt;life_it,1,IF(4=life_it,0.5,0))+Thesis!H143*IF(3&lt;life_it,1,IF(3=life_it,0.5,0))+Thesis!I143*IF(2&lt;life_it,1,IF(2=life_it,0.5,0))+Thesis!J143*IF(1&lt;life_it,1,IF(1=life_it,0.5,0))+Thesis!K143*0.5)/life_it</f>
        <v>134.143838501827</v>
      </c>
    </row>
    <row r="146" customFormat="false" ht="17.15" hidden="false" customHeight="false" outlineLevel="0" collapsed="false">
      <c r="A146" s="0" t="s">
        <v>1004</v>
      </c>
      <c r="B146" s="0" t="s">
        <v>98</v>
      </c>
      <c r="E146" s="6" t="n">
        <f aca="false">(Thesis!C140*IF(2&lt;life_fac,1,IF(2=life_fac,0.5,0))+Thesis!D140*IF(1&lt;life_fac,1,IF(1=life_fac,0.5,0))+Thesis!E140*0.5)/life_fac</f>
        <v>1.2448275</v>
      </c>
      <c r="F146" s="6" t="n">
        <f aca="false">(Thesis!C140*IF(3&lt;life_fac,1,IF(3=life_fac,0.5,0))+Thesis!D140*IF(2&lt;life_fac,1,IF(2=life_fac,0.5,0))+Thesis!E140*IF(1&lt;life_fac,1,IF(1=life_fac,0.5,0))+Thesis!F140*0.5)/life_fac</f>
        <v>2.508829492925</v>
      </c>
      <c r="G146" s="6" t="n">
        <f aca="false">(Thesis!C140*IF(4&lt;life_fac,1,IF(4=life_fac,0.5,0))+Thesis!D140*IF(3&lt;life_fac,1,IF(3=life_fac,0.5,0))+Thesis!E140*IF(2&lt;life_fac,1,IF(2=life_fac,0.5,0))+Thesis!F140*IF(1&lt;life_fac,1,IF(1=life_fac,0.5,0))+Thesis!G140*0.5)/life_fac</f>
        <v>4.170838978775</v>
      </c>
      <c r="H146" s="6" t="n">
        <f aca="false">(Thesis!C140*IF(5&lt;life_fac,1,IF(5=life_fac,0.5,0))+Thesis!D140*IF(4&lt;life_fac,1,IF(4=life_fac,0.5,0))+Thesis!E140*IF(3&lt;life_fac,1,IF(3=life_fac,0.5,0))+Thesis!F140*IF(2&lt;life_fac,1,IF(2=life_fac,0.5,0))+Thesis!G140*IF(1&lt;life_fac,1,IF(1=life_fac,0.5,0))+Thesis!H140*0.5)/life_fac</f>
        <v>5.898098964625</v>
      </c>
      <c r="I146" s="6" t="n">
        <f aca="false">(Thesis!C140*IF(6&lt;life_fac,1,IF(6=life_fac,0.5,0))+Thesis!D140*IF(5&lt;life_fac,1,IF(5=life_fac,0.5,0))+Thesis!E140*IF(4&lt;life_fac,1,IF(4=life_fac,0.5,0))+Thesis!F140*IF(3&lt;life_fac,1,IF(3=life_fac,0.5,0))+Thesis!G140*IF(2&lt;life_fac,1,IF(2=life_fac,0.5,0))+Thesis!H140*IF(1&lt;life_fac,1,IF(1=life_fac,0.5,0))+Thesis!I140*0.5)/life_fac</f>
        <v>7.37368556095442</v>
      </c>
      <c r="J146" s="6" t="n">
        <f aca="false">(Thesis!C140*IF(7&lt;life_fac,1,IF(7=life_fac,0.5,0))+Thesis!D140*IF(6&lt;life_fac,1,IF(6=life_fac,0.5,0))+Thesis!E140*IF(5&lt;life_fac,1,IF(5=life_fac,0.5,0))+Thesis!F140*IF(4&lt;life_fac,1,IF(4=life_fac,0.5,0))+Thesis!G140*IF(3&lt;life_fac,1,IF(3=life_fac,0.5,0))+Thesis!H140*IF(2&lt;life_fac,1,IF(2=life_fac,0.5,0))+Thesis!I140*IF(1&lt;life_fac,1,IF(1=life_fac,0.5,0))+Thesis!J140*0.5)/life_fac</f>
        <v>8.35816451031075</v>
      </c>
      <c r="K146" s="6" t="n">
        <f aca="false">(Thesis!C140*IF(8&lt;life_fac,1,IF(8=life_fac,0.5,0))+Thesis!D140*IF(7&lt;life_fac,1,IF(7=life_fac,0.5,0))+Thesis!E140*IF(6&lt;life_fac,1,IF(6=life_fac,0.5,0))+Thesis!F140*IF(5&lt;life_fac,1,IF(5=life_fac,0.5,0))+Thesis!G140*IF(4&lt;life_fac,1,IF(4=life_fac,0.5,0))+Thesis!H140*IF(3&lt;life_fac,1,IF(3=life_fac,0.5,0))+Thesis!I140*IF(2&lt;life_fac,1,IF(2=life_fac,0.5,0))+Thesis!J140*IF(1&lt;life_fac,1,IF(1=life_fac,0.5,0))+Thesis!K140*0.5)/life_fac</f>
        <v>8.86883104910662</v>
      </c>
    </row>
    <row r="147" customFormat="false" ht="17.15" hidden="false" customHeight="false" outlineLevel="0" collapsed="false">
      <c r="A147" s="0" t="s">
        <v>1005</v>
      </c>
      <c r="B147" s="0" t="s">
        <v>98</v>
      </c>
      <c r="E147" s="6" t="n">
        <f aca="false">Thesis!E145+Thesis!E146</f>
        <v>16.3054059770833</v>
      </c>
      <c r="F147" s="6" t="n">
        <f aca="false">Thesis!F145+Thesis!F146</f>
        <v>34.5793144783516</v>
      </c>
      <c r="G147" s="6" t="n">
        <f aca="false">Thesis!G145+Thesis!G146</f>
        <v>60.7344906522989</v>
      </c>
      <c r="H147" s="6" t="n">
        <f aca="false">Thesis!H145+Thesis!H146</f>
        <v>89.1000906614457</v>
      </c>
      <c r="I147" s="6" t="n">
        <f aca="false">Thesis!I145+Thesis!I146</f>
        <v>114.231009694548</v>
      </c>
      <c r="J147" s="6" t="n">
        <f aca="false">Thesis!J145+Thesis!J146</f>
        <v>132.015673049596</v>
      </c>
      <c r="K147" s="6" t="n">
        <f aca="false">Thesis!K145+Thesis!K146</f>
        <v>143.012669550934</v>
      </c>
    </row>
    <row r="148" customFormat="false" ht="17.15" hidden="false" customHeight="false" outlineLevel="0" collapsed="false">
      <c r="A148" s="0" t="s">
        <v>1006</v>
      </c>
      <c r="B148" s="0" t="s">
        <v>98</v>
      </c>
      <c r="E148" s="6" t="n">
        <f aca="false">Thesis!E135-Thesis!E134*Thesis!E147</f>
        <v>8.92707889977379</v>
      </c>
      <c r="F148" s="6" t="n">
        <f aca="false">Thesis!F135-Thesis!F134*Thesis!F147</f>
        <v>14.3471335960079</v>
      </c>
      <c r="G148" s="6" t="n">
        <f aca="false">Thesis!G135-Thesis!G134*Thesis!G147</f>
        <v>16.5202976798683</v>
      </c>
      <c r="H148" s="6" t="n">
        <f aca="false">Thesis!H135-Thesis!H134*Thesis!H147</f>
        <v>12.9805278875331</v>
      </c>
      <c r="I148" s="6" t="n">
        <f aca="false">Thesis!I135-Thesis!I134*Thesis!I147</f>
        <v>16.2363335770989</v>
      </c>
      <c r="J148" s="6" t="n">
        <f aca="false">Thesis!J135-Thesis!J134*Thesis!J147</f>
        <v>18.4432225839805</v>
      </c>
      <c r="K148" s="6" t="n">
        <f aca="false">Thesis!K135-Thesis!K134*Thesis!K147</f>
        <v>20.1577566819661</v>
      </c>
    </row>
    <row r="149" customFormat="false" ht="17.15" hidden="false" customHeight="false" outlineLevel="0" collapsed="false">
      <c r="A149" s="0" t="s">
        <v>1007</v>
      </c>
      <c r="B149" s="0" t="s">
        <v>98</v>
      </c>
      <c r="E149" s="6" t="n">
        <f aca="false">Seg!E65</f>
        <v>5.25</v>
      </c>
      <c r="F149" s="6" t="n">
        <f aca="false">Seg!F65</f>
        <v>10.5</v>
      </c>
      <c r="G149" s="6" t="n">
        <f aca="false">Seg!G65</f>
        <v>13.5</v>
      </c>
      <c r="H149" s="6" t="n">
        <f aca="false">Seg!H65</f>
        <v>16.5</v>
      </c>
      <c r="I149" s="6" t="n">
        <f aca="false">Seg!I65</f>
        <v>18.75</v>
      </c>
      <c r="J149" s="6" t="n">
        <f aca="false">Seg!J65</f>
        <v>20.25</v>
      </c>
      <c r="K149" s="6" t="n">
        <f aca="false">Seg!K65</f>
        <v>21.75</v>
      </c>
    </row>
    <row r="150" customFormat="false" ht="17.15" hidden="false" customHeight="false" outlineLevel="0" collapsed="false">
      <c r="A150" s="1" t="s">
        <v>1008</v>
      </c>
      <c r="B150" s="0" t="s">
        <v>98</v>
      </c>
      <c r="F150" s="6" t="n">
        <f aca="false">MAX(0,((Thesis!E116+Thesis!F116)/2-(shadow_base*(Thesis!$D$116+Thesis!$E$116)/2+(1-shadow_base)*Thesis!$E$116))*Thesis!F125/1000-(Thesis!F149-Thesis!$E$149)*PL!F109)</f>
        <v>10.5962787979473</v>
      </c>
      <c r="G150" s="6" t="n">
        <f aca="false">MAX(0,((Thesis!F116+Thesis!G116)/2-(shadow_base*(Thesis!$D$116+Thesis!$E$116)/2+(1-shadow_base)*Thesis!$E$116))*Thesis!G125/1000-(Thesis!G149-Thesis!$E$149)*PL!G109)</f>
        <v>27.844646674932</v>
      </c>
      <c r="H150" s="6" t="n">
        <f aca="false">MAX(0,((Thesis!G116+Thesis!H116)/2-(shadow_base*(Thesis!$D$116+Thesis!$E$116)/2+(1-shadow_base)*Thesis!$E$116))*Thesis!H125/1000-(Thesis!H149-Thesis!$E$149)*PL!H109)</f>
        <v>46.566205501382</v>
      </c>
      <c r="I150" s="6" t="n">
        <f aca="false">MAX(0,((Thesis!H116+Thesis!I116)/2-(shadow_base*(Thesis!$D$116+Thesis!$E$116)/2+(1-shadow_base)*Thesis!$E$116))*Thesis!I125/1000-(Thesis!I149-Thesis!$E$149)*PL!I109)</f>
        <v>63.2717778126444</v>
      </c>
      <c r="J150" s="6" t="n">
        <f aca="false">MAX(0,((Thesis!I116+Thesis!J116)/2-(shadow_base*(Thesis!$D$116+Thesis!$E$116)/2+(1-shadow_base)*Thesis!$E$116))*Thesis!J125/1000-(Thesis!J149-Thesis!$E$149)*PL!J109)</f>
        <v>74.9061222882009</v>
      </c>
      <c r="K150" s="6" t="n">
        <f aca="false">MAX(0,((Thesis!J116+Thesis!K116)/2-(shadow_base*(Thesis!$D$116+Thesis!$E$116)/2+(1-shadow_base)*Thesis!$E$116))*Thesis!K125/1000-(Thesis!K149-Thesis!$E$149)*PL!K109)</f>
        <v>81.6395437180232</v>
      </c>
      <c r="L150" s="1" t="s">
        <v>1009</v>
      </c>
    </row>
    <row r="151" customFormat="false" ht="17.15" hidden="false" customHeight="false" outlineLevel="0" collapsed="false">
      <c r="A151" s="1" t="s">
        <v>1010</v>
      </c>
      <c r="B151" s="0" t="s">
        <v>98</v>
      </c>
      <c r="F151" s="6" t="n">
        <f aca="false">IF(internal_ai_reading=2,1,0)*Thesis!F150</f>
        <v>10.5962787979473</v>
      </c>
      <c r="G151" s="6" t="n">
        <f aca="false">IF(internal_ai_reading=2,1,0)*Thesis!G150</f>
        <v>27.844646674932</v>
      </c>
      <c r="H151" s="6" t="n">
        <f aca="false">IF(internal_ai_reading=2,1,0)*Thesis!H150</f>
        <v>46.566205501382</v>
      </c>
      <c r="I151" s="6" t="n">
        <f aca="false">IF(internal_ai_reading=2,1,0)*Thesis!I150</f>
        <v>63.2717778126444</v>
      </c>
      <c r="J151" s="6" t="n">
        <f aca="false">IF(internal_ai_reading=2,1,0)*Thesis!J150</f>
        <v>74.9061222882009</v>
      </c>
      <c r="K151" s="6" t="n">
        <f aca="false">IF(internal_ai_reading=2,1,0)*Thesis!K150</f>
        <v>81.6395437180232</v>
      </c>
    </row>
    <row r="152" customFormat="false" ht="17.15" hidden="false" customHeight="false" outlineLevel="0" collapsed="false">
      <c r="A152" s="0" t="s">
        <v>1011</v>
      </c>
      <c r="B152" s="0" t="s">
        <v>98</v>
      </c>
      <c r="F152" s="6" t="n">
        <f aca="false">Thesis!F135+Thesis!F149*PL!F109+Thesis!F151-Thesis!F136-Thesis!F147</f>
        <v>10.3853806853618</v>
      </c>
      <c r="G152" s="6" t="n">
        <f aca="false">Thesis!G135+Thesis!G149*PL!G109+Thesis!G151-Thesis!G136-Thesis!G147</f>
        <v>16.4389313105741</v>
      </c>
      <c r="H152" s="6" t="n">
        <f aca="false">Thesis!H135+Thesis!H149*PL!H109+Thesis!H151-Thesis!H136-Thesis!H147</f>
        <v>17.135416308873</v>
      </c>
      <c r="I152" s="6" t="n">
        <f aca="false">Thesis!I135+Thesis!I149*PL!I109+Thesis!I151-Thesis!I136-Thesis!I147</f>
        <v>24.1293804008657</v>
      </c>
      <c r="J152" s="6" t="n">
        <f aca="false">Thesis!J135+Thesis!J149*PL!J109+Thesis!J151-Thesis!J136-Thesis!J147</f>
        <v>28.8545659869181</v>
      </c>
      <c r="K152" s="6" t="n">
        <f aca="false">Thesis!K135+Thesis!K149*PL!K109+Thesis!K151-Thesis!K136-Thesis!K147</f>
        <v>32.13747485251</v>
      </c>
    </row>
    <row r="153" customFormat="false" ht="17.15" hidden="false" customHeight="false" outlineLevel="0" collapsed="false">
      <c r="A153" s="0" t="s">
        <v>1012</v>
      </c>
      <c r="B153" s="0" t="s">
        <v>98</v>
      </c>
      <c r="E153" s="6" t="n">
        <f aca="false">Thesis!E115*(cxit_open+self_build*tk_cxfac)/1000*ai_net_open</f>
        <v>126.6980382</v>
      </c>
      <c r="F153" s="6" t="n">
        <f aca="false">Thesis!E153+Thesis!F144-Thesis!F147</f>
        <v>260.572627763768</v>
      </c>
      <c r="G153" s="6" t="n">
        <f aca="false">Thesis!F153+Thesis!G144-Thesis!G147</f>
        <v>391.782612760517</v>
      </c>
      <c r="H153" s="6" t="n">
        <f aca="false">Thesis!G153+Thesis!H144-Thesis!H147</f>
        <v>499.488526163584</v>
      </c>
      <c r="I153" s="6" t="n">
        <f aca="false">Thesis!H153+Thesis!I144-Thesis!I147</f>
        <v>553.872350090646</v>
      </c>
      <c r="J153" s="6" t="n">
        <f aca="false">Thesis!I153+Thesis!J144-Thesis!J147</f>
        <v>550.78660823699</v>
      </c>
      <c r="K153" s="6" t="n">
        <f aca="false">Thesis!J153+Thesis!K144-Thesis!K147</f>
        <v>526.736791750789</v>
      </c>
      <c r="L153" s="1" t="s">
        <v>1013</v>
      </c>
    </row>
    <row r="154" customFormat="false" ht="17.15" hidden="false" customHeight="false" outlineLevel="0" collapsed="false">
      <c r="A154" s="0" t="s">
        <v>1014</v>
      </c>
      <c r="B154" s="0" t="s">
        <v>168</v>
      </c>
      <c r="F154" s="7" t="n">
        <f aca="false">Thesis!F152*(1-tax_f)/((Thesis!E153+Thesis!F153)/2)</f>
        <v>0.0429069654816909</v>
      </c>
      <c r="G154" s="7" t="n">
        <f aca="false">Thesis!G152*(1-tax_f)/((Thesis!F153+Thesis!G153)/2)</f>
        <v>0.0403189680453549</v>
      </c>
      <c r="H154" s="7" t="n">
        <f aca="false">Thesis!H152*(1-tax_f)/((Thesis!G153+Thesis!H153)/2)</f>
        <v>0.0307613080877867</v>
      </c>
      <c r="I154" s="7" t="n">
        <f aca="false">Thesis!I152*(1-tax_f)/((Thesis!H153+Thesis!I153)/2)</f>
        <v>0.0366512650238846</v>
      </c>
      <c r="J154" s="7" t="n">
        <f aca="false">Thesis!J152*(1-tax_f)/((Thesis!I153+Thesis!J153)/2)</f>
        <v>0.0417932659044041</v>
      </c>
      <c r="K154" s="7" t="n">
        <f aca="false">Thesis!K152*(1-tax_f)/((Thesis!J153+Thesis!K153)/2)</f>
        <v>0.0477205040415821</v>
      </c>
    </row>
    <row r="155" customFormat="false" ht="17.15" hidden="false" customHeight="false" outlineLevel="0" collapsed="false">
      <c r="A155" s="1" t="s">
        <v>1015</v>
      </c>
      <c r="B155" s="0" t="s">
        <v>168</v>
      </c>
      <c r="F155" s="7" t="n">
        <f aca="false">(Thesis!F152-Thesis!F151)*(1-tax_f)/((Thesis!E153+Thesis!F153)/2)</f>
        <v>-0.000871320783610466</v>
      </c>
      <c r="G155" s="7" t="n">
        <f aca="false">(Thesis!G152-Thesis!G151)*(1-tax_f)/((Thesis!F153+Thesis!G153)/2)</f>
        <v>-0.0279742438618356</v>
      </c>
      <c r="H155" s="7" t="n">
        <f aca="false">(Thesis!H152-Thesis!H151)*(1-tax_f)/((Thesis!G153+Thesis!H153)/2)</f>
        <v>-0.0528338242443913</v>
      </c>
      <c r="I155" s="7" t="n">
        <f aca="false">(Thesis!I152-Thesis!I151)*(1-tax_f)/((Thesis!H153+Thesis!I153)/2)</f>
        <v>-0.059455251538819</v>
      </c>
      <c r="J155" s="7" t="n">
        <f aca="false">(Thesis!J152-Thesis!J151)*(1-tax_f)/((Thesis!I153+Thesis!J153)/2)</f>
        <v>-0.0667015729394002</v>
      </c>
      <c r="K155" s="7" t="n">
        <f aca="false">(Thesis!K152-Thesis!K151)*(1-tax_f)/((Thesis!J153+Thesis!K153)/2)</f>
        <v>-0.0735049560740113</v>
      </c>
    </row>
    <row r="156" customFormat="false" ht="17.15" hidden="false" customHeight="false" outlineLevel="0" collapsed="false">
      <c r="A156" s="1" t="s">
        <v>1016</v>
      </c>
      <c r="B156" s="0" t="s">
        <v>168</v>
      </c>
      <c r="F156" s="7" t="n">
        <f aca="false">(Thesis!F152-Thesis!F151+Thesis!F150)*(1-tax_f)/((Thesis!E153+Thesis!F153)/2)</f>
        <v>0.0429069654816909</v>
      </c>
      <c r="G156" s="7" t="n">
        <f aca="false">(Thesis!G152-Thesis!G151+Thesis!G150)*(1-tax_f)/((Thesis!F153+Thesis!G153)/2)</f>
        <v>0.0403189680453549</v>
      </c>
      <c r="H156" s="7" t="n">
        <f aca="false">(Thesis!H152-Thesis!H151+Thesis!H150)*(1-tax_f)/((Thesis!G153+Thesis!H153)/2)</f>
        <v>0.0307613080877867</v>
      </c>
      <c r="I156" s="7" t="n">
        <f aca="false">(Thesis!I152-Thesis!I151+Thesis!I150)*(1-tax_f)/((Thesis!H153+Thesis!I153)/2)</f>
        <v>0.0366512650238846</v>
      </c>
      <c r="J156" s="7" t="n">
        <f aca="false">(Thesis!J152-Thesis!J151+Thesis!J150)*(1-tax_f)/((Thesis!I153+Thesis!J153)/2)</f>
        <v>0.0417932659044041</v>
      </c>
      <c r="K156" s="7" t="n">
        <f aca="false">(Thesis!K152-Thesis!K151+Thesis!K150)*(1-tax_f)/((Thesis!J153+Thesis!K153)/2)</f>
        <v>0.0477205040415821</v>
      </c>
    </row>
    <row r="157" customFormat="false" ht="17.15" hidden="false" customHeight="false" outlineLevel="0" collapsed="false">
      <c r="A157" s="1" t="s">
        <v>1017</v>
      </c>
      <c r="B157" s="0" t="s">
        <v>168</v>
      </c>
      <c r="F157" s="7" t="n">
        <f aca="false">Thesis!F148*(1-tax_f)/(Thesis!F134*(Thesis!E153+Thesis!F153)/2)</f>
        <v>0.098791430090569</v>
      </c>
      <c r="G157" s="7" t="n">
        <f aca="false">Thesis!G148*(1-tax_f)/(Thesis!G134*(Thesis!F153+Thesis!G153)/2)</f>
        <v>0.0675308856427828</v>
      </c>
      <c r="H157" s="7" t="n">
        <f aca="false">Thesis!H148*(1-tax_f)/(Thesis!H134*(Thesis!G153+Thesis!H153)/2)</f>
        <v>0.0388374979528754</v>
      </c>
      <c r="I157" s="7" t="n">
        <f aca="false">Thesis!I148*(1-tax_f)/(Thesis!I134*(Thesis!H153+Thesis!I153)/2)</f>
        <v>0.0411035671771815</v>
      </c>
      <c r="J157" s="7" t="n">
        <f aca="false">Thesis!J148*(1-tax_f)/(Thesis!J134*(Thesis!I153+Thesis!J153)/2)</f>
        <v>0.0445222722541192</v>
      </c>
      <c r="K157" s="7" t="n">
        <f aca="false">Thesis!K148*(1-tax_f)/(Thesis!K134*(Thesis!J153+Thesis!K153)/2)</f>
        <v>0.0498866361688162</v>
      </c>
    </row>
    <row r="158" customFormat="false" ht="17.15" hidden="false" customHeight="false" outlineLevel="0" collapsed="false">
      <c r="A158" s="0" t="s">
        <v>1018</v>
      </c>
      <c r="B158" s="0" t="s">
        <v>253</v>
      </c>
      <c r="F158" s="7" t="n">
        <f aca="false">Thesis!F154-wacc</f>
        <v>-0.0600296254639064</v>
      </c>
      <c r="G158" s="7" t="n">
        <f aca="false">Thesis!G154-wacc</f>
        <v>-0.0626176229002424</v>
      </c>
      <c r="H158" s="7" t="n">
        <f aca="false">Thesis!H154-wacc</f>
        <v>-0.0721752828578106</v>
      </c>
      <c r="I158" s="7" t="n">
        <f aca="false">Thesis!I154-wacc</f>
        <v>-0.0662853259217127</v>
      </c>
      <c r="J158" s="7" t="n">
        <f aca="false">Thesis!J154-wacc</f>
        <v>-0.0611433250411932</v>
      </c>
      <c r="K158" s="7" t="n">
        <f aca="false">Thesis!K154-wacc</f>
        <v>-0.0552160869040152</v>
      </c>
    </row>
    <row r="159" customFormat="false" ht="17.15" hidden="false" customHeight="false" outlineLevel="0" collapsed="false">
      <c r="A159" s="0" t="s">
        <v>1019</v>
      </c>
      <c r="B159" s="0" t="s">
        <v>98</v>
      </c>
      <c r="F159" s="6" t="n">
        <f aca="false">Thesis!F152*(1-tax_f)-wacc*(Thesis!E153+Thesis!F153)/2</f>
        <v>-11.6238565154813</v>
      </c>
      <c r="G159" s="6" t="n">
        <f aca="false">Thesis!G152*(1-tax_f)-wacc*(Thesis!F153+Thesis!G153)/2</f>
        <v>-20.4244672240733</v>
      </c>
      <c r="H159" s="6" t="n">
        <f aca="false">Thesis!H152*(1-tax_f)-wacc*(Thesis!G153+Thesis!H153)/2</f>
        <v>-32.163873277425</v>
      </c>
      <c r="I159" s="6" t="n">
        <f aca="false">Thesis!I152*(1-tax_f)-wacc*(Thesis!H153+Thesis!I153)/2</f>
        <v>-34.9111844978462</v>
      </c>
      <c r="J159" s="6" t="n">
        <f aca="false">Thesis!J152*(1-tax_f)-wacc*(Thesis!I153+Thesis!J153)/2</f>
        <v>-33.7712608743463</v>
      </c>
      <c r="K159" s="6" t="n">
        <f aca="false">Thesis!K152*(1-tax_f)-wacc*(Thesis!J153+Thesis!K153)/2</f>
        <v>-29.7483128474176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2"/>
    <col collapsed="false" customWidth="true" hidden="false" outlineLevel="0" max="11" min="3" style="0" width="11"/>
    <col collapsed="false" customWidth="true" hidden="false" outlineLevel="0" max="12" min="12" style="0" width="70"/>
  </cols>
  <sheetData>
    <row r="1" customFormat="false" ht="17.15" hidden="false" customHeight="false" outlineLevel="0" collapsed="false">
      <c r="A1" s="0" t="s">
        <v>1022</v>
      </c>
    </row>
    <row r="2" customFormat="false" ht="17.15" hidden="false" customHeight="false" outlineLevel="0" collapsed="false">
      <c r="A2" s="1" t="s">
        <v>1023</v>
      </c>
    </row>
    <row r="4" customFormat="false" ht="17.15" hidden="false" customHeight="false" outlineLevel="0" collapsed="false">
      <c r="A4" s="3" t="s">
        <v>1024</v>
      </c>
    </row>
    <row r="5" customFormat="false" ht="15" hidden="false" customHeight="false" outlineLevel="0" collapsed="false">
      <c r="A5" s="4" t="s">
        <v>43</v>
      </c>
      <c r="B5" s="4" t="s">
        <v>65</v>
      </c>
      <c r="C5" s="23" t="s">
        <v>942</v>
      </c>
      <c r="D5" s="23" t="s">
        <v>943</v>
      </c>
      <c r="E5" s="23" t="s">
        <v>944</v>
      </c>
      <c r="F5" s="23" t="s">
        <v>945</v>
      </c>
      <c r="G5" s="23" t="s">
        <v>946</v>
      </c>
      <c r="H5" s="23" t="s">
        <v>947</v>
      </c>
      <c r="I5" s="23" t="s">
        <v>948</v>
      </c>
      <c r="J5" s="23" t="s">
        <v>949</v>
      </c>
      <c r="K5" s="23" t="s">
        <v>950</v>
      </c>
      <c r="L5" s="4" t="s">
        <v>47</v>
      </c>
    </row>
    <row r="6" customFormat="false" ht="17.15" hidden="false" customHeight="false" outlineLevel="0" collapsed="false">
      <c r="A6" s="0" t="s">
        <v>1025</v>
      </c>
      <c r="B6" s="0" t="s">
        <v>98</v>
      </c>
      <c r="D6" s="6" t="n">
        <f aca="false">Thesis!D25</f>
        <v>12.9359794422418</v>
      </c>
      <c r="E6" s="6" t="n">
        <f aca="false">Thesis!E25</f>
        <v>27.8095064661409</v>
      </c>
      <c r="F6" s="6" t="n">
        <f aca="false">Thesis!F25</f>
        <v>59.1034165651511</v>
      </c>
      <c r="G6" s="6" t="n">
        <f aca="false">Thesis!G25</f>
        <v>103.451498789198</v>
      </c>
      <c r="H6" s="6" t="n">
        <f aca="false">Thesis!H25</f>
        <v>153.816719989035</v>
      </c>
      <c r="I6" s="6" t="n">
        <f aca="false">Thesis!I25</f>
        <v>192.699478690852</v>
      </c>
      <c r="J6" s="6" t="n">
        <f aca="false">Thesis!J25</f>
        <v>219.794102584244</v>
      </c>
      <c r="K6" s="6" t="n">
        <f aca="false">Thesis!K25</f>
        <v>236.757046905022</v>
      </c>
    </row>
    <row r="7" customFormat="false" ht="17.15" hidden="false" customHeight="false" outlineLevel="0" collapsed="false">
      <c r="A7" s="0" t="s">
        <v>1026</v>
      </c>
      <c r="B7" s="0" t="s">
        <v>98</v>
      </c>
      <c r="D7" s="6" t="n">
        <f aca="false">Q!L6-Seg!D6</f>
        <v>59.6740205577583</v>
      </c>
      <c r="E7" s="6" t="n">
        <f aca="false">Q!M6-Seg!E6</f>
        <v>74.1284935338591</v>
      </c>
      <c r="F7" s="6" t="n">
        <f aca="false">Q!$I$6+(Seg!F6+Seg!E7*(1+Seg!F8))*(1-Q!$E$6/Q!M6)-Seg!F6</f>
        <v>90.4866018070994</v>
      </c>
      <c r="G7" s="6" t="n">
        <f aca="false">Seg!F7*(1+Seg!G8)</f>
        <v>107.511588557154</v>
      </c>
      <c r="H7" s="6" t="n">
        <f aca="false">Seg!G7*(1+Seg!H8)</f>
        <v>124.832989325489</v>
      </c>
      <c r="I7" s="6" t="n">
        <f aca="false">Seg!H7*(1+Seg!I8)</f>
        <v>141.56992589148</v>
      </c>
      <c r="J7" s="6" t="n">
        <f aca="false">Seg!I7*(1+Seg!J8)</f>
        <v>156.723190479428</v>
      </c>
      <c r="K7" s="6" t="n">
        <f aca="false">Seg!J7*(1+Seg!K8)</f>
        <v>169.261045717783</v>
      </c>
      <c r="L7" s="12" t="s">
        <v>1027</v>
      </c>
    </row>
    <row r="8" customFormat="false" ht="15" hidden="false" customHeight="false" outlineLevel="0" collapsed="false">
      <c r="A8" s="1" t="s">
        <v>1028</v>
      </c>
      <c r="B8" s="0" t="s">
        <v>168</v>
      </c>
      <c r="E8" s="7" t="n">
        <f aca="false">Seg!E7/Seg!D7-1</f>
        <v>0.242223883039864</v>
      </c>
      <c r="F8" s="7" t="n">
        <f aca="false">Seg!$E$8+(glt_azo-Seg!$E$8)*MIN(1,(Thesis!F6-base_fy)/n_conv)</f>
        <v>0.215186569199887</v>
      </c>
      <c r="G8" s="7" t="n">
        <f aca="false">Seg!$E$8+(glt_azo-Seg!$E$8)*MIN(1,(Thesis!G6-base_fy)/n_conv)</f>
        <v>0.18814925535991</v>
      </c>
      <c r="H8" s="7" t="n">
        <f aca="false">Seg!$E$8+(glt_azo-Seg!$E$8)*MIN(1,(Thesis!H6-base_fy)/n_conv)</f>
        <v>0.161111941519932</v>
      </c>
      <c r="I8" s="7" t="n">
        <f aca="false">Seg!$E$8+(glt_azo-Seg!$E$8)*MIN(1,(Thesis!I6-base_fy)/n_conv)</f>
        <v>0.134074627679955</v>
      </c>
      <c r="J8" s="7" t="n">
        <f aca="false">Seg!$E$8+(glt_azo-Seg!$E$8)*MIN(1,(Thesis!J6-base_fy)/n_conv)</f>
        <v>0.107037313839977</v>
      </c>
      <c r="K8" s="7" t="n">
        <f aca="false">Seg!$E$8+(glt_azo-Seg!$E$8)*MIN(1,(Thesis!K6-base_fy)/n_conv)</f>
        <v>0.08</v>
      </c>
    </row>
    <row r="9" customFormat="false" ht="15" hidden="false" customHeight="false" outlineLevel="0" collapsed="false">
      <c r="A9" s="0" t="s">
        <v>1029</v>
      </c>
      <c r="B9" s="0" t="s">
        <v>98</v>
      </c>
      <c r="D9" s="6" t="n">
        <f aca="false">Seg!D6+Seg!D7</f>
        <v>72.61</v>
      </c>
      <c r="E9" s="6" t="n">
        <f aca="false">Seg!E6+Seg!E7</f>
        <v>101.938</v>
      </c>
      <c r="F9" s="6" t="n">
        <f aca="false">Seg!F6+Seg!F7</f>
        <v>149.59001837225</v>
      </c>
      <c r="G9" s="6" t="n">
        <f aca="false">Seg!G6+Seg!G7</f>
        <v>210.963087346352</v>
      </c>
      <c r="H9" s="6" t="n">
        <f aca="false">Seg!H6+Seg!H7</f>
        <v>278.649709314524</v>
      </c>
      <c r="I9" s="6" t="n">
        <f aca="false">Seg!I6+Seg!I7</f>
        <v>334.269404582332</v>
      </c>
      <c r="J9" s="6" t="n">
        <f aca="false">Seg!J6+Seg!J7</f>
        <v>376.517293063672</v>
      </c>
      <c r="K9" s="6" t="n">
        <f aca="false">Seg!K6+Seg!K7</f>
        <v>406.018092622804</v>
      </c>
    </row>
    <row r="10" customFormat="false" ht="17.15" hidden="false" customHeight="false" outlineLevel="0" collapsed="false">
      <c r="A10" s="0" t="s">
        <v>1030</v>
      </c>
      <c r="B10" s="1" t="s">
        <v>613</v>
      </c>
      <c r="C10" s="30" t="n">
        <f aca="false">cop_s24</f>
        <v>1</v>
      </c>
      <c r="D10" s="30" t="n">
        <f aca="false">cop_s25</f>
        <v>5</v>
      </c>
      <c r="E10" s="30" t="n">
        <f aca="false">cop_s26</f>
        <v>30</v>
      </c>
      <c r="F10" s="30" t="n">
        <f aca="false">Seg!E10+cop_add_A</f>
        <v>60</v>
      </c>
      <c r="G10" s="30" t="n">
        <f aca="false">Seg!F10+cop_add_A</f>
        <v>90</v>
      </c>
      <c r="H10" s="30" t="n">
        <f aca="false">Seg!G10+cop_add_A</f>
        <v>120</v>
      </c>
      <c r="I10" s="30" t="n">
        <f aca="false">Seg!H10+cop_add_A*cop_tail</f>
        <v>135</v>
      </c>
      <c r="J10" s="30" t="n">
        <f aca="false">Seg!I10+cop_add_A*cop_tail</f>
        <v>150</v>
      </c>
      <c r="K10" s="30" t="n">
        <f aca="false">Seg!J10+cop_add_A*cop_tail</f>
        <v>165</v>
      </c>
      <c r="L10" s="12" t="s">
        <v>1031</v>
      </c>
    </row>
    <row r="11" customFormat="false" ht="17.15" hidden="false" customHeight="false" outlineLevel="0" collapsed="false">
      <c r="A11" s="0" t="s">
        <v>1032</v>
      </c>
      <c r="B11" s="0" t="s">
        <v>98</v>
      </c>
      <c r="D11" s="6" t="n">
        <f aca="false">(Seg!C10+Seg!D10)/2*cop_px*12/1000</f>
        <v>0.9</v>
      </c>
      <c r="E11" s="6" t="n">
        <f aca="false">(Seg!D10+Seg!E10)/2*cop_px*12/1000</f>
        <v>5.25</v>
      </c>
      <c r="F11" s="6" t="n">
        <f aca="false">(Seg!E10+Seg!F10)/2*cop_px*12/1000</f>
        <v>13.5</v>
      </c>
      <c r="G11" s="6" t="n">
        <f aca="false">(Seg!F10+Seg!G10)/2*cop_px*12/1000</f>
        <v>22.5</v>
      </c>
      <c r="H11" s="6" t="n">
        <f aca="false">(Seg!G10+Seg!H10)/2*cop_px*12/1000</f>
        <v>31.5</v>
      </c>
      <c r="I11" s="6" t="n">
        <f aca="false">(Seg!H10+Seg!I10)/2*cop_px*12/1000</f>
        <v>38.25</v>
      </c>
      <c r="J11" s="6" t="n">
        <f aca="false">(Seg!I10+Seg!J10)/2*cop_px*12/1000</f>
        <v>42.75</v>
      </c>
      <c r="K11" s="6" t="n">
        <f aca="false">(Seg!J10+Seg!K10)/2*cop_px*12/1000</f>
        <v>47.25</v>
      </c>
      <c r="L11" s="1" t="s">
        <v>1033</v>
      </c>
    </row>
    <row r="12" customFormat="false" ht="17.15" hidden="false" customHeight="false" outlineLevel="0" collapsed="false">
      <c r="A12" s="0" t="s">
        <v>1034</v>
      </c>
      <c r="B12" s="0" t="s">
        <v>98</v>
      </c>
      <c r="D12" s="6" t="n">
        <f aca="false">Q!L7-Seg!D11</f>
        <v>83.705</v>
      </c>
      <c r="E12" s="6" t="n">
        <f aca="false">Q!M7-Seg!E11</f>
        <v>95.049</v>
      </c>
      <c r="F12" s="6" t="n">
        <f aca="false">Q!$I$7+(Seg!E12*(1+Seg!F13)+Seg!F11)*(1-Q!$E$7/Q!M7)-Seg!F11</f>
        <v>106.229653205718</v>
      </c>
      <c r="G12" s="6" t="n">
        <f aca="false">Seg!F12*(1+Seg!G13)</f>
        <v>118.306092647576</v>
      </c>
      <c r="H12" s="6" t="n">
        <f aca="false">Seg!G12*(1+Seg!H13)</f>
        <v>130.463437602768</v>
      </c>
      <c r="I12" s="6" t="n">
        <f aca="false">Seg!H12*(1+Seg!I13)</f>
        <v>142.445354741933</v>
      </c>
      <c r="J12" s="6" t="n">
        <f aca="false">Seg!I12*(1+Seg!J13)</f>
        <v>153.972117481571</v>
      </c>
      <c r="K12" s="6" t="n">
        <f aca="false">Seg!J12*(1+Seg!K13)</f>
        <v>164.75016570528</v>
      </c>
      <c r="L12" s="12" t="s">
        <v>1035</v>
      </c>
    </row>
    <row r="13" customFormat="false" ht="15" hidden="false" customHeight="false" outlineLevel="0" collapsed="false">
      <c r="A13" s="1" t="s">
        <v>1028</v>
      </c>
      <c r="B13" s="0" t="s">
        <v>168</v>
      </c>
      <c r="E13" s="7" t="n">
        <f aca="false">Seg!E12/Seg!D12-1</f>
        <v>0.135523564900544</v>
      </c>
      <c r="F13" s="7" t="n">
        <f aca="false">Seg!$E$13+(glt_m365b-Seg!$E$13)*MIN(1,(Thesis!F6-base_fy)/n_conv)</f>
        <v>0.124602970750453</v>
      </c>
      <c r="G13" s="7" t="n">
        <f aca="false">Seg!$E$13+(glt_m365b-Seg!$E$13)*MIN(1,(Thesis!G6-base_fy)/n_conv)</f>
        <v>0.113682376600363</v>
      </c>
      <c r="H13" s="7" t="n">
        <f aca="false">Seg!$E$13+(glt_m365b-Seg!$E$13)*MIN(1,(Thesis!H6-base_fy)/n_conv)</f>
        <v>0.102761782450272</v>
      </c>
      <c r="I13" s="7" t="n">
        <f aca="false">Seg!$E$13+(glt_m365b-Seg!$E$13)*MIN(1,(Thesis!I6-base_fy)/n_conv)</f>
        <v>0.0918411883001813</v>
      </c>
      <c r="J13" s="7" t="n">
        <f aca="false">Seg!$E$13+(glt_m365b-Seg!$E$13)*MIN(1,(Thesis!J6-base_fy)/n_conv)</f>
        <v>0.0809205941500906</v>
      </c>
      <c r="K13" s="7" t="n">
        <f aca="false">Seg!$E$13+(glt_m365b-Seg!$E$13)*MIN(1,(Thesis!K6-base_fy)/n_conv)</f>
        <v>0.07</v>
      </c>
    </row>
    <row r="14" customFormat="false" ht="15" hidden="false" customHeight="false" outlineLevel="0" collapsed="false">
      <c r="A14" s="0" t="s">
        <v>1036</v>
      </c>
      <c r="B14" s="0" t="s">
        <v>98</v>
      </c>
      <c r="D14" s="6" t="n">
        <f aca="false">Seg!D12+Seg!D11</f>
        <v>84.605</v>
      </c>
      <c r="E14" s="6" t="n">
        <f aca="false">Seg!E12+Seg!E11</f>
        <v>100.299</v>
      </c>
      <c r="F14" s="6" t="n">
        <f aca="false">Seg!F12+Seg!F11</f>
        <v>119.729653205718</v>
      </c>
      <c r="G14" s="6" t="n">
        <f aca="false">Seg!G12+Seg!G11</f>
        <v>140.806092647576</v>
      </c>
      <c r="H14" s="6" t="n">
        <f aca="false">Seg!H12+Seg!H11</f>
        <v>161.963437602768</v>
      </c>
      <c r="I14" s="6" t="n">
        <f aca="false">Seg!I12+Seg!I11</f>
        <v>180.695354741933</v>
      </c>
      <c r="J14" s="6" t="n">
        <f aca="false">Seg!J12+Seg!J11</f>
        <v>196.722117481571</v>
      </c>
      <c r="K14" s="6" t="n">
        <f aca="false">Seg!K12+Seg!K11</f>
        <v>212.00016570528</v>
      </c>
    </row>
    <row r="15" customFormat="false" ht="17.15" hidden="false" customHeight="false" outlineLevel="0" collapsed="false">
      <c r="A15" s="0" t="s">
        <v>1037</v>
      </c>
      <c r="B15" s="0" t="s">
        <v>98</v>
      </c>
      <c r="D15" s="6" t="n">
        <f aca="false">Q!L8</f>
        <v>35.391</v>
      </c>
      <c r="E15" s="6" t="n">
        <f aca="false">Q!M8</f>
        <v>37.285</v>
      </c>
      <c r="F15" s="6" t="n">
        <f aca="false">Q!$I$8+(Q!M8-Q!$E$8)*(1+Seg!F16)</f>
        <v>38.3851437782675</v>
      </c>
      <c r="G15" s="6" t="n">
        <f aca="false">Seg!F15*(1+Seg!G16)</f>
        <v>40.0105353288615</v>
      </c>
      <c r="H15" s="6" t="n">
        <f aca="false">Seg!G15*(1+Seg!H16)</f>
        <v>41.4812512033683</v>
      </c>
      <c r="I15" s="6" t="n">
        <f aca="false">Seg!H15*(1+Seg!I16)</f>
        <v>42.7743107216329</v>
      </c>
      <c r="J15" s="6" t="n">
        <f aca="false">Seg!I15*(1+Seg!J16)</f>
        <v>43.8687373064601</v>
      </c>
      <c r="K15" s="6" t="n">
        <f aca="false">Seg!J15*(1+Seg!K16)</f>
        <v>44.7461120525893</v>
      </c>
      <c r="L15" s="12" t="s">
        <v>1038</v>
      </c>
    </row>
    <row r="16" customFormat="false" ht="15" hidden="false" customHeight="false" outlineLevel="0" collapsed="false">
      <c r="A16" s="1" t="s">
        <v>1028</v>
      </c>
      <c r="B16" s="0" t="s">
        <v>168</v>
      </c>
      <c r="E16" s="7" t="n">
        <f aca="false">Seg!E15/Seg!D15-1</f>
        <v>0.0535164307309768</v>
      </c>
      <c r="F16" s="7" t="n">
        <f aca="false">Seg!$E$16+(glt_lic-Seg!$E$16)*MIN(1,(Thesis!F6-base_fy)/n_conv)</f>
        <v>0.0479303589424807</v>
      </c>
      <c r="G16" s="7" t="n">
        <f aca="false">Seg!$E$16+(glt_lic-Seg!$E$16)*MIN(1,(Thesis!G6-base_fy)/n_conv)</f>
        <v>0.0423442871539845</v>
      </c>
      <c r="H16" s="7" t="n">
        <f aca="false">Seg!$E$16+(glt_lic-Seg!$E$16)*MIN(1,(Thesis!H6-base_fy)/n_conv)</f>
        <v>0.0367582153654884</v>
      </c>
      <c r="I16" s="7" t="n">
        <f aca="false">Seg!$E$16+(glt_lic-Seg!$E$16)*MIN(1,(Thesis!I6-base_fy)/n_conv)</f>
        <v>0.0311721435769923</v>
      </c>
      <c r="J16" s="7" t="n">
        <f aca="false">Seg!$E$16+(glt_lic-Seg!$E$16)*MIN(1,(Thesis!J6-base_fy)/n_conv)</f>
        <v>0.0255860717884961</v>
      </c>
      <c r="K16" s="7" t="n">
        <f aca="false">Seg!$E$16+(glt_lic-Seg!$E$16)*MIN(1,(Thesis!K6-base_fy)/n_conv)</f>
        <v>0.02</v>
      </c>
    </row>
    <row r="17" customFormat="false" ht="17.15" hidden="false" customHeight="false" outlineLevel="0" collapsed="false">
      <c r="A17" s="0" t="s">
        <v>1039</v>
      </c>
      <c r="B17" s="0" t="s">
        <v>98</v>
      </c>
      <c r="D17" s="6" t="n">
        <f aca="false">Q!L9</f>
        <v>18.417</v>
      </c>
      <c r="E17" s="6" t="n">
        <f aca="false">Q!M9</f>
        <v>20.345</v>
      </c>
      <c r="F17" s="6" t="n">
        <f aca="false">Q!$I$9+(Q!M9-Q!$E$9)*(1+Seg!F18)</f>
        <v>22.3161797133988</v>
      </c>
      <c r="G17" s="6" t="n">
        <f aca="false">Seg!F17*(1+Seg!G18)</f>
        <v>24.3943499673233</v>
      </c>
      <c r="H17" s="6" t="n">
        <f aca="false">Seg!G17*(1+Seg!H18)</f>
        <v>26.5250243109019</v>
      </c>
      <c r="I17" s="6" t="n">
        <f aca="false">Seg!H17*(1+Seg!I18)</f>
        <v>28.6884573538181</v>
      </c>
      <c r="J17" s="6" t="n">
        <f aca="false">Seg!I17*(1+Seg!J18)</f>
        <v>30.8624968052127</v>
      </c>
      <c r="K17" s="6" t="n">
        <f aca="false">Seg!J17*(1+Seg!K18)</f>
        <v>33.0228715815776</v>
      </c>
      <c r="L17" s="12" t="s">
        <v>1038</v>
      </c>
    </row>
    <row r="18" customFormat="false" ht="15" hidden="false" customHeight="false" outlineLevel="0" collapsed="false">
      <c r="A18" s="1" t="s">
        <v>1028</v>
      </c>
      <c r="B18" s="0" t="s">
        <v>168</v>
      </c>
      <c r="E18" s="7" t="n">
        <f aca="false">Seg!E17/Seg!D17-1</f>
        <v>0.104685888038225</v>
      </c>
      <c r="F18" s="7" t="n">
        <f aca="false">Seg!$E$18+(glt_ind-Seg!$E$18)*MIN(1,(Thesis!F6-base_fy)/n_conv)</f>
        <v>0.0989049066985211</v>
      </c>
      <c r="G18" s="7" t="n">
        <f aca="false">Seg!$E$18+(glt_ind-Seg!$E$18)*MIN(1,(Thesis!G6-base_fy)/n_conv)</f>
        <v>0.0931239253588169</v>
      </c>
      <c r="H18" s="7" t="n">
        <f aca="false">Seg!$E$18+(glt_ind-Seg!$E$18)*MIN(1,(Thesis!H6-base_fy)/n_conv)</f>
        <v>0.0873429440191127</v>
      </c>
      <c r="I18" s="7" t="n">
        <f aca="false">Seg!$E$18+(glt_ind-Seg!$E$18)*MIN(1,(Thesis!I6-base_fy)/n_conv)</f>
        <v>0.0815619626794085</v>
      </c>
      <c r="J18" s="7" t="n">
        <f aca="false">Seg!$E$18+(glt_ind-Seg!$E$18)*MIN(1,(Thesis!J6-base_fy)/n_conv)</f>
        <v>0.0757809813397042</v>
      </c>
      <c r="K18" s="7" t="n">
        <f aca="false">Seg!$E$18+(glt_ind-Seg!$E$18)*MIN(1,(Thesis!K6-base_fy)/n_conv)</f>
        <v>0.07</v>
      </c>
    </row>
    <row r="19" customFormat="false" ht="17.15" hidden="false" customHeight="false" outlineLevel="0" collapsed="false">
      <c r="A19" s="0" t="s">
        <v>1040</v>
      </c>
      <c r="B19" s="0" t="s">
        <v>98</v>
      </c>
      <c r="D19" s="6" t="n">
        <f aca="false">Q!L10</f>
        <v>7.76</v>
      </c>
      <c r="E19" s="6" t="n">
        <f aca="false">Q!M10</f>
        <v>8.26</v>
      </c>
      <c r="F19" s="6" t="n">
        <f aca="false">Q!$I$10+(Q!M10-Q!$E$10)*(1+Seg!F20)</f>
        <v>8.75372082474227</v>
      </c>
      <c r="G19" s="6" t="n">
        <f aca="false">Seg!F19*(1+Seg!G20)</f>
        <v>9.33399324642364</v>
      </c>
      <c r="H19" s="6" t="n">
        <f aca="false">Seg!G19*(1+Seg!H20)</f>
        <v>9.96139155535851</v>
      </c>
      <c r="I19" s="6" t="n">
        <f aca="false">Seg!H19*(1+Seg!I20)</f>
        <v>10.6402039077391</v>
      </c>
      <c r="J19" s="6" t="n">
        <f aca="false">Seg!I19*(1+Seg!J20)</f>
        <v>11.3751458271397</v>
      </c>
      <c r="K19" s="6" t="n">
        <f aca="false">Seg!J19*(1+Seg!K20)</f>
        <v>12.1714060350394</v>
      </c>
      <c r="L19" s="12" t="s">
        <v>1038</v>
      </c>
    </row>
    <row r="20" customFormat="false" ht="15" hidden="false" customHeight="false" outlineLevel="0" collapsed="false">
      <c r="A20" s="1" t="s">
        <v>1028</v>
      </c>
      <c r="B20" s="0" t="s">
        <v>168</v>
      </c>
      <c r="E20" s="7" t="n">
        <f aca="false">Seg!E19/Seg!D19-1</f>
        <v>0.0644329896907216</v>
      </c>
      <c r="F20" s="7" t="n">
        <f aca="false">Seg!$E$20+(glt_fro-Seg!$E$20)*MIN(1,(Thesis!F6-base_fy)/n_conv)</f>
        <v>0.065360824742268</v>
      </c>
      <c r="G20" s="7" t="n">
        <f aca="false">Seg!$E$20+(glt_fro-Seg!$E$20)*MIN(1,(Thesis!G6-base_fy)/n_conv)</f>
        <v>0.0662886597938144</v>
      </c>
      <c r="H20" s="7" t="n">
        <f aca="false">Seg!$E$20+(glt_fro-Seg!$E$20)*MIN(1,(Thesis!H6-base_fy)/n_conv)</f>
        <v>0.0672164948453608</v>
      </c>
      <c r="I20" s="7" t="n">
        <f aca="false">Seg!$E$20+(glt_fro-Seg!$E$20)*MIN(1,(Thesis!I6-base_fy)/n_conv)</f>
        <v>0.0681443298969072</v>
      </c>
      <c r="J20" s="7" t="n">
        <f aca="false">Seg!$E$20+(glt_fro-Seg!$E$20)*MIN(1,(Thesis!J6-base_fy)/n_conv)</f>
        <v>0.0690721649484536</v>
      </c>
      <c r="K20" s="7" t="n">
        <f aca="false">Seg!$E$20+(glt_fro-Seg!$E$20)*MIN(1,(Thesis!K6-base_fy)/n_conv)</f>
        <v>0.07</v>
      </c>
    </row>
    <row r="21" customFormat="false" ht="15" hidden="false" customHeight="false" outlineLevel="0" collapsed="false">
      <c r="A21" s="0" t="s">
        <v>856</v>
      </c>
      <c r="B21" s="0" t="s">
        <v>98</v>
      </c>
      <c r="D21" s="6" t="n">
        <f aca="false">Seg!D9+Seg!D14+Seg!D15+Seg!D17+Seg!D19</f>
        <v>218.783</v>
      </c>
      <c r="E21" s="6" t="n">
        <f aca="false">Seg!E9+Seg!E14+Seg!E15+Seg!E17+Seg!E19</f>
        <v>268.127</v>
      </c>
      <c r="F21" s="6" t="n">
        <f aca="false">Seg!F9+Seg!F14+Seg!F15+Seg!F17+Seg!F19</f>
        <v>338.774715894377</v>
      </c>
      <c r="G21" s="6" t="n">
        <f aca="false">Seg!G9+Seg!G14+Seg!G15+Seg!G17+Seg!G19</f>
        <v>425.508058536537</v>
      </c>
      <c r="H21" s="6" t="n">
        <f aca="false">Seg!H9+Seg!H14+Seg!H15+Seg!H17+Seg!H19</f>
        <v>518.580813986921</v>
      </c>
      <c r="I21" s="6" t="n">
        <f aca="false">Seg!I9+Seg!I14+Seg!I15+Seg!I17+Seg!I19</f>
        <v>597.067731307455</v>
      </c>
      <c r="J21" s="6" t="n">
        <f aca="false">Seg!J9+Seg!J14+Seg!J15+Seg!J17+Seg!J19</f>
        <v>659.345790484055</v>
      </c>
      <c r="K21" s="6" t="n">
        <f aca="false">Seg!K9+Seg!K14+Seg!K15+Seg!K17+Seg!K19</f>
        <v>707.958647997291</v>
      </c>
    </row>
    <row r="22" customFormat="false" ht="17.15" hidden="false" customHeight="false" outlineLevel="0" collapsed="false">
      <c r="A22" s="0" t="s">
        <v>1041</v>
      </c>
      <c r="B22" s="0" t="s">
        <v>98</v>
      </c>
      <c r="D22" s="6" t="n">
        <f aca="false">Q!L13</f>
        <v>22.171</v>
      </c>
      <c r="E22" s="6" t="n">
        <f aca="false">Q!M13</f>
        <v>24.835</v>
      </c>
      <c r="F22" s="6" t="n">
        <f aca="false">Q!$I$13+(Q!M13-Q!$E$13)*(1+Seg!F23)</f>
        <v>27.5591895660247</v>
      </c>
      <c r="G22" s="6" t="n">
        <f aca="false">Seg!F22*(1+Seg!G23)</f>
        <v>30.4098563144583</v>
      </c>
      <c r="H22" s="6" t="n">
        <f aca="false">Seg!G22*(1+Seg!H23)</f>
        <v>33.3011792571777</v>
      </c>
      <c r="I22" s="6" t="n">
        <f aca="false">Seg!H22*(1+Seg!I23)</f>
        <v>36.189023797112</v>
      </c>
      <c r="J22" s="6" t="n">
        <f aca="false">Seg!I22*(1+Seg!J23)</f>
        <v>39.0247773769199</v>
      </c>
      <c r="K22" s="6" t="n">
        <f aca="false">Seg!J22*(1+Seg!K23)</f>
        <v>41.7565117933043</v>
      </c>
      <c r="L22" s="12" t="s">
        <v>1038</v>
      </c>
    </row>
    <row r="23" customFormat="false" ht="15" hidden="false" customHeight="false" outlineLevel="0" collapsed="false">
      <c r="A23" s="1" t="s">
        <v>1028</v>
      </c>
      <c r="B23" s="0" t="s">
        <v>168</v>
      </c>
      <c r="E23" s="7" t="n">
        <f aca="false">Seg!E22/Seg!D22-1</f>
        <v>0.120156961796942</v>
      </c>
      <c r="F23" s="7" t="n">
        <f aca="false">Seg!$E$23+(glt_srch-Seg!$E$23)*MIN(1,(Thesis!F6-base_fy)/n_conv)</f>
        <v>0.111797468164118</v>
      </c>
      <c r="G23" s="7" t="n">
        <f aca="false">Seg!$E$23+(glt_srch-Seg!$E$23)*MIN(1,(Thesis!G6-base_fy)/n_conv)</f>
        <v>0.103437974531295</v>
      </c>
      <c r="H23" s="7" t="n">
        <f aca="false">Seg!$E$23+(glt_srch-Seg!$E$23)*MIN(1,(Thesis!H6-base_fy)/n_conv)</f>
        <v>0.095078480898471</v>
      </c>
      <c r="I23" s="7" t="n">
        <f aca="false">Seg!$E$23+(glt_srch-Seg!$E$23)*MIN(1,(Thesis!I6-base_fy)/n_conv)</f>
        <v>0.0867189872656474</v>
      </c>
      <c r="J23" s="7" t="n">
        <f aca="false">Seg!$E$23+(glt_srch-Seg!$E$23)*MIN(1,(Thesis!J6-base_fy)/n_conv)</f>
        <v>0.0783594936328237</v>
      </c>
      <c r="K23" s="7" t="n">
        <f aca="false">Seg!$E$23+(glt_srch-Seg!$E$23)*MIN(1,(Thesis!K6-base_fy)/n_conv)</f>
        <v>0.07</v>
      </c>
    </row>
    <row r="24" customFormat="false" ht="17.15" hidden="false" customHeight="false" outlineLevel="0" collapsed="false">
      <c r="A24" s="0" t="s">
        <v>1042</v>
      </c>
      <c r="B24" s="0" t="s">
        <v>98</v>
      </c>
      <c r="D24" s="6" t="n">
        <f aca="false">Q!L14</f>
        <v>23.455</v>
      </c>
      <c r="E24" s="6" t="n">
        <f aca="false">Q!M14</f>
        <v>21.79</v>
      </c>
      <c r="F24" s="6" t="n">
        <f aca="false">Q!$I$14+(Q!M14-Q!$E$14)*(1+Seg!F25)</f>
        <v>20.7520981041711</v>
      </c>
      <c r="G24" s="6" t="n">
        <f aca="false">Seg!F24*(1+Seg!G25)</f>
        <v>19.9083593495882</v>
      </c>
      <c r="H24" s="6" t="n">
        <f aca="false">Seg!G24*(1+Seg!H25)</f>
        <v>19.4008256265831</v>
      </c>
      <c r="I24" s="6" t="n">
        <f aca="false">Seg!H24*(1+Seg!I25)</f>
        <v>19.200434522122</v>
      </c>
      <c r="J24" s="6" t="n">
        <f aca="false">Seg!I24*(1+Seg!J25)</f>
        <v>19.2932782348507</v>
      </c>
      <c r="K24" s="6" t="n">
        <f aca="false">Seg!J24*(1+Seg!K25)</f>
        <v>19.6791437995477</v>
      </c>
      <c r="L24" s="12" t="s">
        <v>1038</v>
      </c>
    </row>
    <row r="25" customFormat="false" ht="15" hidden="false" customHeight="false" outlineLevel="0" collapsed="false">
      <c r="A25" s="1" t="s">
        <v>1028</v>
      </c>
      <c r="B25" s="0" t="s">
        <v>168</v>
      </c>
      <c r="E25" s="7" t="n">
        <f aca="false">Seg!E24/Seg!D24-1</f>
        <v>-0.0709869963760392</v>
      </c>
      <c r="F25" s="7" t="n">
        <f aca="false">Seg!$E$25+(glt_xbox-Seg!$E$25)*MIN(1,(Thesis!F6-base_fy)/n_conv)</f>
        <v>-0.0558224969800327</v>
      </c>
      <c r="G25" s="7" t="n">
        <f aca="false">Seg!$E$25+(glt_xbox-Seg!$E$25)*MIN(1,(Thesis!G6-base_fy)/n_conv)</f>
        <v>-0.0406579975840262</v>
      </c>
      <c r="H25" s="7" t="n">
        <f aca="false">Seg!$E$25+(glt_xbox-Seg!$E$25)*MIN(1,(Thesis!H6-base_fy)/n_conv)</f>
        <v>-0.0254934981880196</v>
      </c>
      <c r="I25" s="7" t="n">
        <f aca="false">Seg!$E$25+(glt_xbox-Seg!$E$25)*MIN(1,(Thesis!I6-base_fy)/n_conv)</f>
        <v>-0.0103289987920131</v>
      </c>
      <c r="J25" s="7" t="n">
        <f aca="false">Seg!$E$25+(glt_xbox-Seg!$E$25)*MIN(1,(Thesis!J6-base_fy)/n_conv)</f>
        <v>0.00483550060399347</v>
      </c>
      <c r="K25" s="7" t="n">
        <f aca="false">Seg!$E$25+(glt_xbox-Seg!$E$25)*MIN(1,(Thesis!K6-base_fy)/n_conv)</f>
        <v>0.02</v>
      </c>
    </row>
    <row r="26" customFormat="false" ht="17.15" hidden="false" customHeight="false" outlineLevel="0" collapsed="false">
      <c r="A26" s="0" t="s">
        <v>1043</v>
      </c>
      <c r="B26" s="0" t="s">
        <v>98</v>
      </c>
      <c r="D26" s="6" t="n">
        <f aca="false">Q!L15</f>
        <v>17.315</v>
      </c>
      <c r="E26" s="6" t="n">
        <f aca="false">Q!M15</f>
        <v>17.087</v>
      </c>
      <c r="F26" s="6" t="n">
        <f aca="false">Q!$I$15+(Q!M15-Q!$E$15)*(1+Seg!F27)</f>
        <v>15.9912273250553</v>
      </c>
      <c r="G26" s="6" t="n">
        <f aca="false">Seg!F26*(1+Seg!G27)</f>
        <v>15.9574562664827</v>
      </c>
      <c r="H26" s="6" t="n">
        <f aca="false">Seg!G26*(1+Seg!H27)</f>
        <v>16.0119687434196</v>
      </c>
      <c r="I26" s="6" t="n">
        <f aca="false">Seg!H26*(1+Seg!I27)</f>
        <v>16.1551810001948</v>
      </c>
      <c r="J26" s="6" t="n">
        <f aca="false">Seg!I26*(1+Seg!J27)</f>
        <v>16.3889793892005</v>
      </c>
      <c r="K26" s="6" t="n">
        <f aca="false">Seg!J26*(1+Seg!K27)</f>
        <v>16.7167589769845</v>
      </c>
      <c r="L26" s="12" t="s">
        <v>1038</v>
      </c>
    </row>
    <row r="27" customFormat="false" ht="15" hidden="false" customHeight="false" outlineLevel="0" collapsed="false">
      <c r="A27" s="1" t="s">
        <v>1028</v>
      </c>
      <c r="B27" s="0" t="s">
        <v>168</v>
      </c>
      <c r="E27" s="7" t="n">
        <f aca="false">Seg!E26/Seg!D26-1</f>
        <v>-0.0131677736066995</v>
      </c>
      <c r="F27" s="7" t="n">
        <f aca="false">Seg!$E$27+(glt_win-Seg!$E$27)*MIN(1,(Thesis!F6-base_fy)/n_conv)</f>
        <v>-0.00763981133891627</v>
      </c>
      <c r="G27" s="7" t="n">
        <f aca="false">Seg!$E$27+(glt_win-Seg!$E$27)*MIN(1,(Thesis!G6-base_fy)/n_conv)</f>
        <v>-0.00211184907113301</v>
      </c>
      <c r="H27" s="7" t="n">
        <f aca="false">Seg!$E$27+(glt_win-Seg!$E$27)*MIN(1,(Thesis!H6-base_fy)/n_conv)</f>
        <v>0.00341611319665024</v>
      </c>
      <c r="I27" s="7" t="n">
        <f aca="false">Seg!$E$27+(glt_win-Seg!$E$27)*MIN(1,(Thesis!I6-base_fy)/n_conv)</f>
        <v>0.00894407546443349</v>
      </c>
      <c r="J27" s="7" t="n">
        <f aca="false">Seg!$E$27+(glt_win-Seg!$E$27)*MIN(1,(Thesis!J6-base_fy)/n_conv)</f>
        <v>0.0144720377322168</v>
      </c>
      <c r="K27" s="7" t="n">
        <f aca="false">Seg!$E$27+(glt_win-Seg!$E$27)*MIN(1,(Thesis!K6-base_fy)/n_conv)</f>
        <v>0.02</v>
      </c>
    </row>
    <row r="28" customFormat="false" ht="15" hidden="false" customHeight="false" outlineLevel="0" collapsed="false">
      <c r="A28" s="0" t="s">
        <v>870</v>
      </c>
      <c r="B28" s="0" t="s">
        <v>98</v>
      </c>
      <c r="D28" s="6" t="n">
        <f aca="false">Seg!D22+Seg!D24+Seg!D26</f>
        <v>62.941</v>
      </c>
      <c r="E28" s="6" t="n">
        <f aca="false">Seg!E22+Seg!E24+Seg!E26</f>
        <v>63.712</v>
      </c>
      <c r="F28" s="6" t="n">
        <f aca="false">Seg!F22+Seg!F24+Seg!F26</f>
        <v>64.3025149952511</v>
      </c>
      <c r="G28" s="6" t="n">
        <f aca="false">Seg!G22+Seg!G24+Seg!G26</f>
        <v>66.2756719305292</v>
      </c>
      <c r="H28" s="6" t="n">
        <f aca="false">Seg!H22+Seg!H24+Seg!H26</f>
        <v>68.7139736271804</v>
      </c>
      <c r="I28" s="6" t="n">
        <f aca="false">Seg!I22+Seg!I24+Seg!I26</f>
        <v>71.5446393194289</v>
      </c>
      <c r="J28" s="6" t="n">
        <f aca="false">Seg!J22+Seg!J24+Seg!J26</f>
        <v>74.707035000971</v>
      </c>
      <c r="K28" s="6" t="n">
        <f aca="false">Seg!K22+Seg!K24+Seg!K26</f>
        <v>78.1524145698365</v>
      </c>
    </row>
    <row r="29" customFormat="false" ht="15" hidden="false" customHeight="false" outlineLevel="0" collapsed="false">
      <c r="A29" s="1" t="s">
        <v>1044</v>
      </c>
      <c r="B29" s="0" t="s">
        <v>98</v>
      </c>
      <c r="D29" s="6" t="n">
        <f aca="false">Seg!D21+Seg!D28</f>
        <v>281.724</v>
      </c>
      <c r="E29" s="6" t="n">
        <f aca="false">Seg!E21+Seg!E28</f>
        <v>331.839</v>
      </c>
      <c r="F29" s="6" t="n">
        <f aca="false">Seg!F21+Seg!F28</f>
        <v>403.077230889628</v>
      </c>
      <c r="G29" s="6" t="n">
        <f aca="false">Seg!G21+Seg!G28</f>
        <v>491.783730467066</v>
      </c>
      <c r="H29" s="6" t="n">
        <f aca="false">Seg!H21+Seg!H28</f>
        <v>587.294787614101</v>
      </c>
      <c r="I29" s="6" t="n">
        <f aca="false">Seg!I21+Seg!I28</f>
        <v>668.612370626884</v>
      </c>
      <c r="J29" s="6" t="n">
        <f aca="false">Seg!J21+Seg!J28</f>
        <v>734.052825485026</v>
      </c>
      <c r="K29" s="6" t="n">
        <f aca="false">Seg!K21+Seg!K28</f>
        <v>786.111062567128</v>
      </c>
    </row>
    <row r="30" customFormat="false" ht="15" hidden="false" customHeight="false" outlineLevel="0" collapsed="false">
      <c r="A30" s="26" t="s">
        <v>1045</v>
      </c>
      <c r="B30" s="31" t="s">
        <v>98</v>
      </c>
      <c r="C30" s="31"/>
      <c r="D30" s="27" t="n">
        <f aca="false">(Seg!D9+Seg!D14+Seg!D15+Seg!D17+Seg!D19-Seg!D21)+(Seg!D22+Seg!D24+Seg!D26-Seg!D28)+(Seg!D21-Q!L5)+(Seg!D28-Q!L12)+(Seg!D9-Q!L6)+(Seg!D14-Q!L7)</f>
        <v>0</v>
      </c>
      <c r="E30" s="27" t="n">
        <f aca="false">(Seg!E9+Seg!E14+Seg!E15+Seg!E17+Seg!E19-Seg!E21)+(Seg!E22+Seg!E24+Seg!E26-Seg!E28)+(Seg!E21-Q!M5)+(Seg!E28-Q!M12)+(Seg!E9-Q!M6)+(Seg!E14-Q!M7)</f>
        <v>0</v>
      </c>
      <c r="F30" s="27" t="n">
        <f aca="false">(Seg!F9+Seg!F14+Seg!F15+Seg!F17+Seg!F19-Seg!F21)+(Seg!F22+Seg!F24+Seg!F26-Seg!F28)</f>
        <v>0</v>
      </c>
      <c r="G30" s="27" t="n">
        <f aca="false">(Seg!G9+Seg!G14+Seg!G15+Seg!G17+Seg!G19-Seg!G21)+(Seg!G22+Seg!G24+Seg!G26-Seg!G28)</f>
        <v>0</v>
      </c>
      <c r="H30" s="27" t="n">
        <f aca="false">(Seg!H9+Seg!H14+Seg!H15+Seg!H17+Seg!H19-Seg!H21)+(Seg!H22+Seg!H24+Seg!H26-Seg!H28)</f>
        <v>0</v>
      </c>
      <c r="I30" s="27" t="n">
        <f aca="false">(Seg!I9+Seg!I14+Seg!I15+Seg!I17+Seg!I19-Seg!I21)+(Seg!I22+Seg!I24+Seg!I26-Seg!I28)</f>
        <v>0</v>
      </c>
      <c r="J30" s="27" t="n">
        <f aca="false">(Seg!J9+Seg!J14+Seg!J15+Seg!J17+Seg!J19-Seg!J21)+(Seg!J22+Seg!J24+Seg!J26-Seg!J28)</f>
        <v>0</v>
      </c>
      <c r="K30" s="27" t="n">
        <f aca="false">(Seg!K9+Seg!K14+Seg!K15+Seg!K17+Seg!K19-Seg!K21)+(Seg!K22+Seg!K24+Seg!K26-Seg!K28)</f>
        <v>0</v>
      </c>
    </row>
    <row r="31" customFormat="false" ht="17.15" hidden="false" customHeight="false" outlineLevel="0" collapsed="false">
      <c r="A31" s="3" t="s">
        <v>1046</v>
      </c>
    </row>
    <row r="32" customFormat="false" ht="15" hidden="false" customHeight="false" outlineLevel="0" collapsed="false">
      <c r="A32" s="4" t="s">
        <v>43</v>
      </c>
      <c r="B32" s="4" t="s">
        <v>65</v>
      </c>
      <c r="C32" s="23" t="s">
        <v>942</v>
      </c>
      <c r="D32" s="23" t="s">
        <v>943</v>
      </c>
      <c r="E32" s="23" t="s">
        <v>944</v>
      </c>
      <c r="F32" s="23" t="s">
        <v>945</v>
      </c>
      <c r="G32" s="23" t="s">
        <v>946</v>
      </c>
      <c r="H32" s="23" t="s">
        <v>947</v>
      </c>
      <c r="I32" s="23" t="s">
        <v>948</v>
      </c>
      <c r="J32" s="23" t="s">
        <v>949</v>
      </c>
      <c r="K32" s="23" t="s">
        <v>950</v>
      </c>
      <c r="L32" s="4" t="s">
        <v>47</v>
      </c>
    </row>
    <row r="33" customFormat="false" ht="17.15" hidden="false" customHeight="false" outlineLevel="0" collapsed="false">
      <c r="A33" s="0" t="s">
        <v>1025</v>
      </c>
      <c r="B33" s="0" t="s">
        <v>98</v>
      </c>
      <c r="D33" s="6" t="n">
        <f aca="false">Thesis!D77</f>
        <v>12.9359794422418</v>
      </c>
      <c r="E33" s="6" t="n">
        <f aca="false">Thesis!E77</f>
        <v>27.8095064661409</v>
      </c>
      <c r="F33" s="6" t="n">
        <f aca="false">Thesis!F77</f>
        <v>55.4118315060966</v>
      </c>
      <c r="G33" s="6" t="n">
        <f aca="false">Thesis!G77</f>
        <v>91.2881100675143</v>
      </c>
      <c r="H33" s="6" t="n">
        <f aca="false">Thesis!H77</f>
        <v>128.195273603944</v>
      </c>
      <c r="I33" s="6" t="n">
        <f aca="false">Thesis!I77</f>
        <v>160.601281810405</v>
      </c>
      <c r="J33" s="6" t="n">
        <f aca="false">Thesis!J77</f>
        <v>183.182719793589</v>
      </c>
      <c r="K33" s="6" t="n">
        <f aca="false">Thesis!K77</f>
        <v>197.320124937098</v>
      </c>
    </row>
    <row r="34" customFormat="false" ht="17.15" hidden="false" customHeight="false" outlineLevel="0" collapsed="false">
      <c r="A34" s="0" t="s">
        <v>1026</v>
      </c>
      <c r="B34" s="0" t="s">
        <v>98</v>
      </c>
      <c r="D34" s="6" t="n">
        <f aca="false">Q!L6-Seg!D33</f>
        <v>59.6740205577583</v>
      </c>
      <c r="E34" s="6" t="n">
        <f aca="false">Q!M6-Seg!E33</f>
        <v>74.1284935338591</v>
      </c>
      <c r="F34" s="6" t="n">
        <f aca="false">Q!$I$6+(Seg!F33+Seg!E34*(1+Seg!F35))*(1-Q!$E$6/Q!M6)-Seg!F33</f>
        <v>91.2972164940844</v>
      </c>
      <c r="G34" s="6" t="n">
        <f aca="false">Seg!F34*(1+Seg!G35)</f>
        <v>108.474719793879</v>
      </c>
      <c r="H34" s="6" t="n">
        <f aca="false">Seg!G34*(1+Seg!H35)</f>
        <v>125.951292505701</v>
      </c>
      <c r="I34" s="6" t="n">
        <f aca="false">Seg!H34*(1+Seg!I35)</f>
        <v>142.838165154212</v>
      </c>
      <c r="J34" s="6" t="n">
        <f aca="false">Seg!I34*(1+Seg!J35)</f>
        <v>158.12717866615</v>
      </c>
      <c r="K34" s="6" t="n">
        <f aca="false">Seg!J34*(1+Seg!K35)</f>
        <v>170.777352959442</v>
      </c>
      <c r="L34" s="12" t="s">
        <v>1027</v>
      </c>
    </row>
    <row r="35" customFormat="false" ht="15" hidden="false" customHeight="false" outlineLevel="0" collapsed="false">
      <c r="A35" s="1" t="s">
        <v>1028</v>
      </c>
      <c r="B35" s="0" t="s">
        <v>168</v>
      </c>
      <c r="E35" s="7" t="n">
        <f aca="false">Seg!E34/Seg!D34-1</f>
        <v>0.242223883039864</v>
      </c>
      <c r="F35" s="7" t="n">
        <f aca="false">Seg!$E$35+(glt_azo-Seg!$E$35)*MIN(1,(Thesis!F58-base_fy)/n_conv)</f>
        <v>0.215186569199887</v>
      </c>
      <c r="G35" s="7" t="n">
        <f aca="false">Seg!$E$35+(glt_azo-Seg!$E$35)*MIN(1,(Thesis!G58-base_fy)/n_conv)</f>
        <v>0.18814925535991</v>
      </c>
      <c r="H35" s="7" t="n">
        <f aca="false">Seg!$E$35+(glt_azo-Seg!$E$35)*MIN(1,(Thesis!H58-base_fy)/n_conv)</f>
        <v>0.161111941519932</v>
      </c>
      <c r="I35" s="7" t="n">
        <f aca="false">Seg!$E$35+(glt_azo-Seg!$E$35)*MIN(1,(Thesis!I58-base_fy)/n_conv)</f>
        <v>0.134074627679955</v>
      </c>
      <c r="J35" s="7" t="n">
        <f aca="false">Seg!$E$35+(glt_azo-Seg!$E$35)*MIN(1,(Thesis!J58-base_fy)/n_conv)</f>
        <v>0.107037313839977</v>
      </c>
      <c r="K35" s="7" t="n">
        <f aca="false">Seg!$E$35+(glt_azo-Seg!$E$35)*MIN(1,(Thesis!K58-base_fy)/n_conv)</f>
        <v>0.08</v>
      </c>
    </row>
    <row r="36" customFormat="false" ht="15" hidden="false" customHeight="false" outlineLevel="0" collapsed="false">
      <c r="A36" s="0" t="s">
        <v>1029</v>
      </c>
      <c r="B36" s="0" t="s">
        <v>98</v>
      </c>
      <c r="D36" s="6" t="n">
        <f aca="false">Seg!D33+Seg!D34</f>
        <v>72.61</v>
      </c>
      <c r="E36" s="6" t="n">
        <f aca="false">Seg!E33+Seg!E34</f>
        <v>101.938</v>
      </c>
      <c r="F36" s="6" t="n">
        <f aca="false">Seg!F33+Seg!F34</f>
        <v>146.709048000181</v>
      </c>
      <c r="G36" s="6" t="n">
        <f aca="false">Seg!G33+Seg!G34</f>
        <v>199.762829861393</v>
      </c>
      <c r="H36" s="6" t="n">
        <f aca="false">Seg!H33+Seg!H34</f>
        <v>254.146566109645</v>
      </c>
      <c r="I36" s="6" t="n">
        <f aca="false">Seg!I33+Seg!I34</f>
        <v>303.439446964617</v>
      </c>
      <c r="J36" s="6" t="n">
        <f aca="false">Seg!J33+Seg!J34</f>
        <v>341.309898459739</v>
      </c>
      <c r="K36" s="6" t="n">
        <f aca="false">Seg!K33+Seg!K34</f>
        <v>368.09747789654</v>
      </c>
    </row>
    <row r="37" customFormat="false" ht="17.15" hidden="false" customHeight="false" outlineLevel="0" collapsed="false">
      <c r="A37" s="0" t="s">
        <v>1030</v>
      </c>
      <c r="B37" s="1" t="s">
        <v>613</v>
      </c>
      <c r="C37" s="30" t="n">
        <f aca="false">cop_s24</f>
        <v>1</v>
      </c>
      <c r="D37" s="30" t="n">
        <f aca="false">cop_s25</f>
        <v>5</v>
      </c>
      <c r="E37" s="30" t="n">
        <f aca="false">cop_s26</f>
        <v>30</v>
      </c>
      <c r="F37" s="30" t="n">
        <f aca="false">Seg!E37+cop_add_B</f>
        <v>50</v>
      </c>
      <c r="G37" s="30" t="n">
        <f aca="false">Seg!F37+cop_add_B</f>
        <v>70</v>
      </c>
      <c r="H37" s="30" t="n">
        <f aca="false">Seg!G37+cop_add_B</f>
        <v>90</v>
      </c>
      <c r="I37" s="30" t="n">
        <f aca="false">Seg!H37+cop_add_B*cop_tail</f>
        <v>100</v>
      </c>
      <c r="J37" s="30" t="n">
        <f aca="false">Seg!I37+cop_add_B*cop_tail</f>
        <v>110</v>
      </c>
      <c r="K37" s="30" t="n">
        <f aca="false">Seg!J37+cop_add_B*cop_tail</f>
        <v>120</v>
      </c>
      <c r="L37" s="12" t="s">
        <v>1031</v>
      </c>
    </row>
    <row r="38" customFormat="false" ht="17.15" hidden="false" customHeight="false" outlineLevel="0" collapsed="false">
      <c r="A38" s="0" t="s">
        <v>1032</v>
      </c>
      <c r="B38" s="0" t="s">
        <v>98</v>
      </c>
      <c r="D38" s="6" t="n">
        <f aca="false">(Seg!C37+Seg!D37)/2*cop_px*12/1000</f>
        <v>0.9</v>
      </c>
      <c r="E38" s="6" t="n">
        <f aca="false">(Seg!D37+Seg!E37)/2*cop_px*12/1000</f>
        <v>5.25</v>
      </c>
      <c r="F38" s="6" t="n">
        <f aca="false">(Seg!E37+Seg!F37)/2*cop_px*12/1000</f>
        <v>12</v>
      </c>
      <c r="G38" s="6" t="n">
        <f aca="false">(Seg!F37+Seg!G37)/2*cop_px*12/1000</f>
        <v>18</v>
      </c>
      <c r="H38" s="6" t="n">
        <f aca="false">(Seg!G37+Seg!H37)/2*cop_px*12/1000</f>
        <v>24</v>
      </c>
      <c r="I38" s="6" t="n">
        <f aca="false">(Seg!H37+Seg!I37)/2*cop_px*12/1000</f>
        <v>28.5</v>
      </c>
      <c r="J38" s="6" t="n">
        <f aca="false">(Seg!I37+Seg!J37)/2*cop_px*12/1000</f>
        <v>31.5</v>
      </c>
      <c r="K38" s="6" t="n">
        <f aca="false">(Seg!J37+Seg!K37)/2*cop_px*12/1000</f>
        <v>34.5</v>
      </c>
      <c r="L38" s="1" t="s">
        <v>1033</v>
      </c>
    </row>
    <row r="39" customFormat="false" ht="17.15" hidden="false" customHeight="false" outlineLevel="0" collapsed="false">
      <c r="A39" s="0" t="s">
        <v>1034</v>
      </c>
      <c r="B39" s="0" t="s">
        <v>98</v>
      </c>
      <c r="D39" s="6" t="n">
        <f aca="false">Q!L7-Seg!D38</f>
        <v>83.705</v>
      </c>
      <c r="E39" s="6" t="n">
        <f aca="false">Q!M7-Seg!E38</f>
        <v>95.049</v>
      </c>
      <c r="F39" s="6" t="n">
        <f aca="false">Q!$I$7+(Seg!E39*(1+Seg!F40)+Seg!F38)*(1-Q!$E$7/Q!M7)-Seg!F38</f>
        <v>106.584003697747</v>
      </c>
      <c r="G39" s="6" t="n">
        <f aca="false">Seg!F39*(1+Seg!G40)</f>
        <v>118.700726545688</v>
      </c>
      <c r="H39" s="6" t="n">
        <f aca="false">Seg!G39*(1+Seg!H40)</f>
        <v>130.898624783666</v>
      </c>
      <c r="I39" s="6" t="n">
        <f aca="false">Seg!H39*(1+Seg!I40)</f>
        <v>142.920510030657</v>
      </c>
      <c r="J39" s="6" t="n">
        <f aca="false">Seg!I39*(1+Seg!J40)</f>
        <v>154.485722618572</v>
      </c>
      <c r="K39" s="6" t="n">
        <f aca="false">Seg!J39*(1+Seg!K40)</f>
        <v>165.299723201872</v>
      </c>
      <c r="L39" s="12" t="s">
        <v>1035</v>
      </c>
    </row>
    <row r="40" customFormat="false" ht="15" hidden="false" customHeight="false" outlineLevel="0" collapsed="false">
      <c r="A40" s="1" t="s">
        <v>1028</v>
      </c>
      <c r="B40" s="0" t="s">
        <v>168</v>
      </c>
      <c r="E40" s="7" t="n">
        <f aca="false">Seg!E39/Seg!D39-1</f>
        <v>0.135523564900544</v>
      </c>
      <c r="F40" s="7" t="n">
        <f aca="false">Seg!$E$40+(glt_m365b-Seg!$E$40)*MIN(1,(Thesis!F58-base_fy)/n_conv)</f>
        <v>0.124602970750453</v>
      </c>
      <c r="G40" s="7" t="n">
        <f aca="false">Seg!$E$40+(glt_m365b-Seg!$E$40)*MIN(1,(Thesis!G58-base_fy)/n_conv)</f>
        <v>0.113682376600363</v>
      </c>
      <c r="H40" s="7" t="n">
        <f aca="false">Seg!$E$40+(glt_m365b-Seg!$E$40)*MIN(1,(Thesis!H58-base_fy)/n_conv)</f>
        <v>0.102761782450272</v>
      </c>
      <c r="I40" s="7" t="n">
        <f aca="false">Seg!$E$40+(glt_m365b-Seg!$E$40)*MIN(1,(Thesis!I58-base_fy)/n_conv)</f>
        <v>0.0918411883001813</v>
      </c>
      <c r="J40" s="7" t="n">
        <f aca="false">Seg!$E$40+(glt_m365b-Seg!$E$40)*MIN(1,(Thesis!J58-base_fy)/n_conv)</f>
        <v>0.0809205941500906</v>
      </c>
      <c r="K40" s="7" t="n">
        <f aca="false">Seg!$E$40+(glt_m365b-Seg!$E$40)*MIN(1,(Thesis!K58-base_fy)/n_conv)</f>
        <v>0.07</v>
      </c>
    </row>
    <row r="41" customFormat="false" ht="15" hidden="false" customHeight="false" outlineLevel="0" collapsed="false">
      <c r="A41" s="0" t="s">
        <v>1036</v>
      </c>
      <c r="B41" s="0" t="s">
        <v>98</v>
      </c>
      <c r="D41" s="6" t="n">
        <f aca="false">Seg!D39+Seg!D38</f>
        <v>84.605</v>
      </c>
      <c r="E41" s="6" t="n">
        <f aca="false">Seg!E39+Seg!E38</f>
        <v>100.299</v>
      </c>
      <c r="F41" s="6" t="n">
        <f aca="false">Seg!F39+Seg!F38</f>
        <v>118.584003697747</v>
      </c>
      <c r="G41" s="6" t="n">
        <f aca="false">Seg!G39+Seg!G38</f>
        <v>136.700726545688</v>
      </c>
      <c r="H41" s="6" t="n">
        <f aca="false">Seg!H39+Seg!H38</f>
        <v>154.898624783666</v>
      </c>
      <c r="I41" s="6" t="n">
        <f aca="false">Seg!I39+Seg!I38</f>
        <v>171.420510030657</v>
      </c>
      <c r="J41" s="6" t="n">
        <f aca="false">Seg!J39+Seg!J38</f>
        <v>185.985722618572</v>
      </c>
      <c r="K41" s="6" t="n">
        <f aca="false">Seg!K39+Seg!K38</f>
        <v>199.799723201872</v>
      </c>
    </row>
    <row r="42" customFormat="false" ht="17.15" hidden="false" customHeight="false" outlineLevel="0" collapsed="false">
      <c r="A42" s="0" t="s">
        <v>1037</v>
      </c>
      <c r="B42" s="0" t="s">
        <v>98</v>
      </c>
      <c r="D42" s="6" t="n">
        <f aca="false">Q!L8</f>
        <v>35.391</v>
      </c>
      <c r="E42" s="6" t="n">
        <f aca="false">Q!M8</f>
        <v>37.285</v>
      </c>
      <c r="F42" s="6" t="n">
        <f aca="false">Q!$I$8+(Q!M8-Q!$E$8)*(1+Seg!F43)</f>
        <v>38.3851437782675</v>
      </c>
      <c r="G42" s="6" t="n">
        <f aca="false">Seg!F42*(1+Seg!G43)</f>
        <v>40.0105353288615</v>
      </c>
      <c r="H42" s="6" t="n">
        <f aca="false">Seg!G42*(1+Seg!H43)</f>
        <v>41.4812512033683</v>
      </c>
      <c r="I42" s="6" t="n">
        <f aca="false">Seg!H42*(1+Seg!I43)</f>
        <v>42.7743107216329</v>
      </c>
      <c r="J42" s="6" t="n">
        <f aca="false">Seg!I42*(1+Seg!J43)</f>
        <v>43.8687373064601</v>
      </c>
      <c r="K42" s="6" t="n">
        <f aca="false">Seg!J42*(1+Seg!K43)</f>
        <v>44.7461120525893</v>
      </c>
      <c r="L42" s="12" t="s">
        <v>1038</v>
      </c>
    </row>
    <row r="43" customFormat="false" ht="15" hidden="false" customHeight="false" outlineLevel="0" collapsed="false">
      <c r="A43" s="1" t="s">
        <v>1028</v>
      </c>
      <c r="B43" s="0" t="s">
        <v>168</v>
      </c>
      <c r="E43" s="7" t="n">
        <f aca="false">Seg!E42/Seg!D42-1</f>
        <v>0.0535164307309768</v>
      </c>
      <c r="F43" s="7" t="n">
        <f aca="false">Seg!$E$43+(glt_lic-Seg!$E$43)*MIN(1,(Thesis!F58-base_fy)/n_conv)</f>
        <v>0.0479303589424807</v>
      </c>
      <c r="G43" s="7" t="n">
        <f aca="false">Seg!$E$43+(glt_lic-Seg!$E$43)*MIN(1,(Thesis!G58-base_fy)/n_conv)</f>
        <v>0.0423442871539845</v>
      </c>
      <c r="H43" s="7" t="n">
        <f aca="false">Seg!$E$43+(glt_lic-Seg!$E$43)*MIN(1,(Thesis!H58-base_fy)/n_conv)</f>
        <v>0.0367582153654884</v>
      </c>
      <c r="I43" s="7" t="n">
        <f aca="false">Seg!$E$43+(glt_lic-Seg!$E$43)*MIN(1,(Thesis!I58-base_fy)/n_conv)</f>
        <v>0.0311721435769923</v>
      </c>
      <c r="J43" s="7" t="n">
        <f aca="false">Seg!$E$43+(glt_lic-Seg!$E$43)*MIN(1,(Thesis!J58-base_fy)/n_conv)</f>
        <v>0.0255860717884961</v>
      </c>
      <c r="K43" s="7" t="n">
        <f aca="false">Seg!$E$43+(glt_lic-Seg!$E$43)*MIN(1,(Thesis!K58-base_fy)/n_conv)</f>
        <v>0.02</v>
      </c>
    </row>
    <row r="44" customFormat="false" ht="17.15" hidden="false" customHeight="false" outlineLevel="0" collapsed="false">
      <c r="A44" s="0" t="s">
        <v>1039</v>
      </c>
      <c r="B44" s="0" t="s">
        <v>98</v>
      </c>
      <c r="D44" s="6" t="n">
        <f aca="false">Q!L9</f>
        <v>18.417</v>
      </c>
      <c r="E44" s="6" t="n">
        <f aca="false">Q!M9</f>
        <v>20.345</v>
      </c>
      <c r="F44" s="6" t="n">
        <f aca="false">Q!$I$9+(Q!M9-Q!$E$9)*(1+Seg!F45)</f>
        <v>22.3161797133988</v>
      </c>
      <c r="G44" s="6" t="n">
        <f aca="false">Seg!F44*(1+Seg!G45)</f>
        <v>24.3943499673233</v>
      </c>
      <c r="H44" s="6" t="n">
        <f aca="false">Seg!G44*(1+Seg!H45)</f>
        <v>26.5250243109019</v>
      </c>
      <c r="I44" s="6" t="n">
        <f aca="false">Seg!H44*(1+Seg!I45)</f>
        <v>28.6884573538181</v>
      </c>
      <c r="J44" s="6" t="n">
        <f aca="false">Seg!I44*(1+Seg!J45)</f>
        <v>30.8624968052127</v>
      </c>
      <c r="K44" s="6" t="n">
        <f aca="false">Seg!J44*(1+Seg!K45)</f>
        <v>33.0228715815776</v>
      </c>
      <c r="L44" s="12" t="s">
        <v>1038</v>
      </c>
    </row>
    <row r="45" customFormat="false" ht="15" hidden="false" customHeight="false" outlineLevel="0" collapsed="false">
      <c r="A45" s="1" t="s">
        <v>1028</v>
      </c>
      <c r="B45" s="0" t="s">
        <v>168</v>
      </c>
      <c r="E45" s="7" t="n">
        <f aca="false">Seg!E44/Seg!D44-1</f>
        <v>0.104685888038225</v>
      </c>
      <c r="F45" s="7" t="n">
        <f aca="false">Seg!$E$45+(glt_ind-Seg!$E$45)*MIN(1,(Thesis!F58-base_fy)/n_conv)</f>
        <v>0.0989049066985211</v>
      </c>
      <c r="G45" s="7" t="n">
        <f aca="false">Seg!$E$45+(glt_ind-Seg!$E$45)*MIN(1,(Thesis!G58-base_fy)/n_conv)</f>
        <v>0.0931239253588169</v>
      </c>
      <c r="H45" s="7" t="n">
        <f aca="false">Seg!$E$45+(glt_ind-Seg!$E$45)*MIN(1,(Thesis!H58-base_fy)/n_conv)</f>
        <v>0.0873429440191127</v>
      </c>
      <c r="I45" s="7" t="n">
        <f aca="false">Seg!$E$45+(glt_ind-Seg!$E$45)*MIN(1,(Thesis!I58-base_fy)/n_conv)</f>
        <v>0.0815619626794085</v>
      </c>
      <c r="J45" s="7" t="n">
        <f aca="false">Seg!$E$45+(glt_ind-Seg!$E$45)*MIN(1,(Thesis!J58-base_fy)/n_conv)</f>
        <v>0.0757809813397042</v>
      </c>
      <c r="K45" s="7" t="n">
        <f aca="false">Seg!$E$45+(glt_ind-Seg!$E$45)*MIN(1,(Thesis!K58-base_fy)/n_conv)</f>
        <v>0.07</v>
      </c>
    </row>
    <row r="46" customFormat="false" ht="17.15" hidden="false" customHeight="false" outlineLevel="0" collapsed="false">
      <c r="A46" s="0" t="s">
        <v>1040</v>
      </c>
      <c r="B46" s="0" t="s">
        <v>98</v>
      </c>
      <c r="D46" s="6" t="n">
        <f aca="false">Q!L10</f>
        <v>7.76</v>
      </c>
      <c r="E46" s="6" t="n">
        <f aca="false">Q!M10</f>
        <v>8.26</v>
      </c>
      <c r="F46" s="6" t="n">
        <f aca="false">Q!$I$10+(Q!M10-Q!$E$10)*(1+Seg!F47)</f>
        <v>8.75372082474227</v>
      </c>
      <c r="G46" s="6" t="n">
        <f aca="false">Seg!F46*(1+Seg!G47)</f>
        <v>9.33399324642364</v>
      </c>
      <c r="H46" s="6" t="n">
        <f aca="false">Seg!G46*(1+Seg!H47)</f>
        <v>9.96139155535851</v>
      </c>
      <c r="I46" s="6" t="n">
        <f aca="false">Seg!H46*(1+Seg!I47)</f>
        <v>10.6402039077391</v>
      </c>
      <c r="J46" s="6" t="n">
        <f aca="false">Seg!I46*(1+Seg!J47)</f>
        <v>11.3751458271397</v>
      </c>
      <c r="K46" s="6" t="n">
        <f aca="false">Seg!J46*(1+Seg!K47)</f>
        <v>12.1714060350394</v>
      </c>
      <c r="L46" s="12" t="s">
        <v>1038</v>
      </c>
    </row>
    <row r="47" customFormat="false" ht="15" hidden="false" customHeight="false" outlineLevel="0" collapsed="false">
      <c r="A47" s="1" t="s">
        <v>1028</v>
      </c>
      <c r="B47" s="0" t="s">
        <v>168</v>
      </c>
      <c r="E47" s="7" t="n">
        <f aca="false">Seg!E46/Seg!D46-1</f>
        <v>0.0644329896907216</v>
      </c>
      <c r="F47" s="7" t="n">
        <f aca="false">Seg!$E$47+(glt_fro-Seg!$E$47)*MIN(1,(Thesis!F58-base_fy)/n_conv)</f>
        <v>0.065360824742268</v>
      </c>
      <c r="G47" s="7" t="n">
        <f aca="false">Seg!$E$47+(glt_fro-Seg!$E$47)*MIN(1,(Thesis!G58-base_fy)/n_conv)</f>
        <v>0.0662886597938144</v>
      </c>
      <c r="H47" s="7" t="n">
        <f aca="false">Seg!$E$47+(glt_fro-Seg!$E$47)*MIN(1,(Thesis!H58-base_fy)/n_conv)</f>
        <v>0.0672164948453608</v>
      </c>
      <c r="I47" s="7" t="n">
        <f aca="false">Seg!$E$47+(glt_fro-Seg!$E$47)*MIN(1,(Thesis!I58-base_fy)/n_conv)</f>
        <v>0.0681443298969072</v>
      </c>
      <c r="J47" s="7" t="n">
        <f aca="false">Seg!$E$47+(glt_fro-Seg!$E$47)*MIN(1,(Thesis!J58-base_fy)/n_conv)</f>
        <v>0.0690721649484536</v>
      </c>
      <c r="K47" s="7" t="n">
        <f aca="false">Seg!$E$47+(glt_fro-Seg!$E$47)*MIN(1,(Thesis!K58-base_fy)/n_conv)</f>
        <v>0.07</v>
      </c>
    </row>
    <row r="48" customFormat="false" ht="15" hidden="false" customHeight="false" outlineLevel="0" collapsed="false">
      <c r="A48" s="0" t="s">
        <v>856</v>
      </c>
      <c r="B48" s="0" t="s">
        <v>98</v>
      </c>
      <c r="D48" s="6" t="n">
        <f aca="false">Seg!D36+Seg!D41+Seg!D42+Seg!D44+Seg!D46</f>
        <v>218.783</v>
      </c>
      <c r="E48" s="6" t="n">
        <f aca="false">Seg!E36+Seg!E41+Seg!E42+Seg!E44+Seg!E46</f>
        <v>268.127</v>
      </c>
      <c r="F48" s="6" t="n">
        <f aca="false">Seg!F36+Seg!F41+Seg!F42+Seg!F44+Seg!F46</f>
        <v>334.748096014336</v>
      </c>
      <c r="G48" s="6" t="n">
        <f aca="false">Seg!G36+Seg!G41+Seg!G42+Seg!G44+Seg!G46</f>
        <v>410.20243494969</v>
      </c>
      <c r="H48" s="6" t="n">
        <f aca="false">Seg!H36+Seg!H41+Seg!H42+Seg!H44+Seg!H46</f>
        <v>487.012857962939</v>
      </c>
      <c r="I48" s="6" t="n">
        <f aca="false">Seg!I36+Seg!I41+Seg!I42+Seg!I44+Seg!I46</f>
        <v>556.962928978464</v>
      </c>
      <c r="J48" s="6" t="n">
        <f aca="false">Seg!J36+Seg!J41+Seg!J42+Seg!J44+Seg!J46</f>
        <v>613.402001017124</v>
      </c>
      <c r="K48" s="6" t="n">
        <f aca="false">Seg!K36+Seg!K41+Seg!K42+Seg!K44+Seg!K46</f>
        <v>657.837590767618</v>
      </c>
    </row>
    <row r="49" customFormat="false" ht="17.15" hidden="false" customHeight="false" outlineLevel="0" collapsed="false">
      <c r="A49" s="0" t="s">
        <v>1041</v>
      </c>
      <c r="B49" s="0" t="s">
        <v>98</v>
      </c>
      <c r="D49" s="6" t="n">
        <f aca="false">Q!L13</f>
        <v>22.171</v>
      </c>
      <c r="E49" s="6" t="n">
        <f aca="false">Q!M13</f>
        <v>24.835</v>
      </c>
      <c r="F49" s="6" t="n">
        <f aca="false">Q!$I$13+(Q!M13-Q!$E$13)*(1+Seg!F50)</f>
        <v>27.5591895660247</v>
      </c>
      <c r="G49" s="6" t="n">
        <f aca="false">Seg!F49*(1+Seg!G50)</f>
        <v>30.4098563144583</v>
      </c>
      <c r="H49" s="6" t="n">
        <f aca="false">Seg!G49*(1+Seg!H50)</f>
        <v>33.3011792571777</v>
      </c>
      <c r="I49" s="6" t="n">
        <f aca="false">Seg!H49*(1+Seg!I50)</f>
        <v>36.189023797112</v>
      </c>
      <c r="J49" s="6" t="n">
        <f aca="false">Seg!I49*(1+Seg!J50)</f>
        <v>39.0247773769199</v>
      </c>
      <c r="K49" s="6" t="n">
        <f aca="false">Seg!J49*(1+Seg!K50)</f>
        <v>41.7565117933043</v>
      </c>
      <c r="L49" s="12" t="s">
        <v>1038</v>
      </c>
    </row>
    <row r="50" customFormat="false" ht="15" hidden="false" customHeight="false" outlineLevel="0" collapsed="false">
      <c r="A50" s="1" t="s">
        <v>1028</v>
      </c>
      <c r="B50" s="0" t="s">
        <v>168</v>
      </c>
      <c r="E50" s="7" t="n">
        <f aca="false">Seg!E49/Seg!D49-1</f>
        <v>0.120156961796942</v>
      </c>
      <c r="F50" s="7" t="n">
        <f aca="false">Seg!$E$50+(glt_srch-Seg!$E$50)*MIN(1,(Thesis!F58-base_fy)/n_conv)</f>
        <v>0.111797468164118</v>
      </c>
      <c r="G50" s="7" t="n">
        <f aca="false">Seg!$E$50+(glt_srch-Seg!$E$50)*MIN(1,(Thesis!G58-base_fy)/n_conv)</f>
        <v>0.103437974531295</v>
      </c>
      <c r="H50" s="7" t="n">
        <f aca="false">Seg!$E$50+(glt_srch-Seg!$E$50)*MIN(1,(Thesis!H58-base_fy)/n_conv)</f>
        <v>0.095078480898471</v>
      </c>
      <c r="I50" s="7" t="n">
        <f aca="false">Seg!$E$50+(glt_srch-Seg!$E$50)*MIN(1,(Thesis!I58-base_fy)/n_conv)</f>
        <v>0.0867189872656474</v>
      </c>
      <c r="J50" s="7" t="n">
        <f aca="false">Seg!$E$50+(glt_srch-Seg!$E$50)*MIN(1,(Thesis!J58-base_fy)/n_conv)</f>
        <v>0.0783594936328237</v>
      </c>
      <c r="K50" s="7" t="n">
        <f aca="false">Seg!$E$50+(glt_srch-Seg!$E$50)*MIN(1,(Thesis!K58-base_fy)/n_conv)</f>
        <v>0.07</v>
      </c>
    </row>
    <row r="51" customFormat="false" ht="17.15" hidden="false" customHeight="false" outlineLevel="0" collapsed="false">
      <c r="A51" s="0" t="s">
        <v>1042</v>
      </c>
      <c r="B51" s="0" t="s">
        <v>98</v>
      </c>
      <c r="D51" s="6" t="n">
        <f aca="false">Q!L14</f>
        <v>23.455</v>
      </c>
      <c r="E51" s="6" t="n">
        <f aca="false">Q!M14</f>
        <v>21.79</v>
      </c>
      <c r="F51" s="6" t="n">
        <f aca="false">Q!$I$14+(Q!M14-Q!$E$14)*(1+Seg!F52)</f>
        <v>20.7520981041711</v>
      </c>
      <c r="G51" s="6" t="n">
        <f aca="false">Seg!F51*(1+Seg!G52)</f>
        <v>19.9083593495882</v>
      </c>
      <c r="H51" s="6" t="n">
        <f aca="false">Seg!G51*(1+Seg!H52)</f>
        <v>19.4008256265831</v>
      </c>
      <c r="I51" s="6" t="n">
        <f aca="false">Seg!H51*(1+Seg!I52)</f>
        <v>19.200434522122</v>
      </c>
      <c r="J51" s="6" t="n">
        <f aca="false">Seg!I51*(1+Seg!J52)</f>
        <v>19.2932782348507</v>
      </c>
      <c r="K51" s="6" t="n">
        <f aca="false">Seg!J51*(1+Seg!K52)</f>
        <v>19.6791437995477</v>
      </c>
      <c r="L51" s="12" t="s">
        <v>1038</v>
      </c>
    </row>
    <row r="52" customFormat="false" ht="15" hidden="false" customHeight="false" outlineLevel="0" collapsed="false">
      <c r="A52" s="1" t="s">
        <v>1028</v>
      </c>
      <c r="B52" s="0" t="s">
        <v>168</v>
      </c>
      <c r="E52" s="7" t="n">
        <f aca="false">Seg!E51/Seg!D51-1</f>
        <v>-0.0709869963760392</v>
      </c>
      <c r="F52" s="7" t="n">
        <f aca="false">Seg!$E$52+(glt_xbox-Seg!$E$52)*MIN(1,(Thesis!F58-base_fy)/n_conv)</f>
        <v>-0.0558224969800327</v>
      </c>
      <c r="G52" s="7" t="n">
        <f aca="false">Seg!$E$52+(glt_xbox-Seg!$E$52)*MIN(1,(Thesis!G58-base_fy)/n_conv)</f>
        <v>-0.0406579975840262</v>
      </c>
      <c r="H52" s="7" t="n">
        <f aca="false">Seg!$E$52+(glt_xbox-Seg!$E$52)*MIN(1,(Thesis!H58-base_fy)/n_conv)</f>
        <v>-0.0254934981880196</v>
      </c>
      <c r="I52" s="7" t="n">
        <f aca="false">Seg!$E$52+(glt_xbox-Seg!$E$52)*MIN(1,(Thesis!I58-base_fy)/n_conv)</f>
        <v>-0.0103289987920131</v>
      </c>
      <c r="J52" s="7" t="n">
        <f aca="false">Seg!$E$52+(glt_xbox-Seg!$E$52)*MIN(1,(Thesis!J58-base_fy)/n_conv)</f>
        <v>0.00483550060399347</v>
      </c>
      <c r="K52" s="7" t="n">
        <f aca="false">Seg!$E$52+(glt_xbox-Seg!$E$52)*MIN(1,(Thesis!K58-base_fy)/n_conv)</f>
        <v>0.02</v>
      </c>
    </row>
    <row r="53" customFormat="false" ht="17.15" hidden="false" customHeight="false" outlineLevel="0" collapsed="false">
      <c r="A53" s="0" t="s">
        <v>1043</v>
      </c>
      <c r="B53" s="0" t="s">
        <v>98</v>
      </c>
      <c r="D53" s="6" t="n">
        <f aca="false">Q!L15</f>
        <v>17.315</v>
      </c>
      <c r="E53" s="6" t="n">
        <f aca="false">Q!M15</f>
        <v>17.087</v>
      </c>
      <c r="F53" s="6" t="n">
        <f aca="false">Q!$I$15+(Q!M15-Q!$E$15)*(1+Seg!F54)</f>
        <v>15.9912273250553</v>
      </c>
      <c r="G53" s="6" t="n">
        <f aca="false">Seg!F53*(1+Seg!G54)</f>
        <v>15.9574562664827</v>
      </c>
      <c r="H53" s="6" t="n">
        <f aca="false">Seg!G53*(1+Seg!H54)</f>
        <v>16.0119687434196</v>
      </c>
      <c r="I53" s="6" t="n">
        <f aca="false">Seg!H53*(1+Seg!I54)</f>
        <v>16.1551810001948</v>
      </c>
      <c r="J53" s="6" t="n">
        <f aca="false">Seg!I53*(1+Seg!J54)</f>
        <v>16.3889793892005</v>
      </c>
      <c r="K53" s="6" t="n">
        <f aca="false">Seg!J53*(1+Seg!K54)</f>
        <v>16.7167589769845</v>
      </c>
      <c r="L53" s="12" t="s">
        <v>1038</v>
      </c>
    </row>
    <row r="54" customFormat="false" ht="15" hidden="false" customHeight="false" outlineLevel="0" collapsed="false">
      <c r="A54" s="1" t="s">
        <v>1028</v>
      </c>
      <c r="B54" s="0" t="s">
        <v>168</v>
      </c>
      <c r="E54" s="7" t="n">
        <f aca="false">Seg!E53/Seg!D53-1</f>
        <v>-0.0131677736066995</v>
      </c>
      <c r="F54" s="7" t="n">
        <f aca="false">Seg!$E$54+(glt_win-Seg!$E$54)*MIN(1,(Thesis!F58-base_fy)/n_conv)</f>
        <v>-0.00763981133891627</v>
      </c>
      <c r="G54" s="7" t="n">
        <f aca="false">Seg!$E$54+(glt_win-Seg!$E$54)*MIN(1,(Thesis!G58-base_fy)/n_conv)</f>
        <v>-0.00211184907113301</v>
      </c>
      <c r="H54" s="7" t="n">
        <f aca="false">Seg!$E$54+(glt_win-Seg!$E$54)*MIN(1,(Thesis!H58-base_fy)/n_conv)</f>
        <v>0.00341611319665024</v>
      </c>
      <c r="I54" s="7" t="n">
        <f aca="false">Seg!$E$54+(glt_win-Seg!$E$54)*MIN(1,(Thesis!I58-base_fy)/n_conv)</f>
        <v>0.00894407546443349</v>
      </c>
      <c r="J54" s="7" t="n">
        <f aca="false">Seg!$E$54+(glt_win-Seg!$E$54)*MIN(1,(Thesis!J58-base_fy)/n_conv)</f>
        <v>0.0144720377322168</v>
      </c>
      <c r="K54" s="7" t="n">
        <f aca="false">Seg!$E$54+(glt_win-Seg!$E$54)*MIN(1,(Thesis!K58-base_fy)/n_conv)</f>
        <v>0.02</v>
      </c>
    </row>
    <row r="55" customFormat="false" ht="15" hidden="false" customHeight="false" outlineLevel="0" collapsed="false">
      <c r="A55" s="0" t="s">
        <v>870</v>
      </c>
      <c r="B55" s="0" t="s">
        <v>98</v>
      </c>
      <c r="D55" s="6" t="n">
        <f aca="false">Seg!D49+Seg!D51+Seg!D53</f>
        <v>62.941</v>
      </c>
      <c r="E55" s="6" t="n">
        <f aca="false">Seg!E49+Seg!E51+Seg!E53</f>
        <v>63.712</v>
      </c>
      <c r="F55" s="6" t="n">
        <f aca="false">Seg!F49+Seg!F51+Seg!F53</f>
        <v>64.3025149952511</v>
      </c>
      <c r="G55" s="6" t="n">
        <f aca="false">Seg!G49+Seg!G51+Seg!G53</f>
        <v>66.2756719305292</v>
      </c>
      <c r="H55" s="6" t="n">
        <f aca="false">Seg!H49+Seg!H51+Seg!H53</f>
        <v>68.7139736271804</v>
      </c>
      <c r="I55" s="6" t="n">
        <f aca="false">Seg!I49+Seg!I51+Seg!I53</f>
        <v>71.5446393194289</v>
      </c>
      <c r="J55" s="6" t="n">
        <f aca="false">Seg!J49+Seg!J51+Seg!J53</f>
        <v>74.707035000971</v>
      </c>
      <c r="K55" s="6" t="n">
        <f aca="false">Seg!K49+Seg!K51+Seg!K53</f>
        <v>78.1524145698365</v>
      </c>
    </row>
    <row r="56" customFormat="false" ht="15" hidden="false" customHeight="false" outlineLevel="0" collapsed="false">
      <c r="A56" s="1" t="s">
        <v>1044</v>
      </c>
      <c r="B56" s="0" t="s">
        <v>98</v>
      </c>
      <c r="D56" s="6" t="n">
        <f aca="false">Seg!D48+Seg!D55</f>
        <v>281.724</v>
      </c>
      <c r="E56" s="6" t="n">
        <f aca="false">Seg!E48+Seg!E55</f>
        <v>331.839</v>
      </c>
      <c r="F56" s="6" t="n">
        <f aca="false">Seg!F48+Seg!F55</f>
        <v>399.050611009588</v>
      </c>
      <c r="G56" s="6" t="n">
        <f aca="false">Seg!G48+Seg!G55</f>
        <v>476.478106880219</v>
      </c>
      <c r="H56" s="6" t="n">
        <f aca="false">Seg!H48+Seg!H55</f>
        <v>555.72683159012</v>
      </c>
      <c r="I56" s="6" t="n">
        <f aca="false">Seg!I48+Seg!I55</f>
        <v>628.507568297893</v>
      </c>
      <c r="J56" s="6" t="n">
        <f aca="false">Seg!J48+Seg!J55</f>
        <v>688.109036018095</v>
      </c>
      <c r="K56" s="6" t="n">
        <f aca="false">Seg!K48+Seg!K55</f>
        <v>735.990005337455</v>
      </c>
    </row>
    <row r="57" customFormat="false" ht="15" hidden="false" customHeight="false" outlineLevel="0" collapsed="false">
      <c r="A57" s="26" t="s">
        <v>1045</v>
      </c>
      <c r="B57" s="31" t="s">
        <v>98</v>
      </c>
      <c r="C57" s="31"/>
      <c r="D57" s="27" t="n">
        <f aca="false">(Seg!D36+Seg!D41+Seg!D42+Seg!D44+Seg!D46-Seg!D48)+(Seg!D49+Seg!D51+Seg!D53-Seg!D55)+(Seg!D48-Q!L5)+(Seg!D55-Q!L12)+(Seg!D36-Q!L6)+(Seg!D41-Q!L7)</f>
        <v>0</v>
      </c>
      <c r="E57" s="27" t="n">
        <f aca="false">(Seg!E36+Seg!E41+Seg!E42+Seg!E44+Seg!E46-Seg!E48)+(Seg!E49+Seg!E51+Seg!E53-Seg!E55)+(Seg!E48-Q!M5)+(Seg!E55-Q!M12)+(Seg!E36-Q!M6)+(Seg!E41-Q!M7)</f>
        <v>0</v>
      </c>
      <c r="F57" s="27" t="n">
        <f aca="false">(Seg!F36+Seg!F41+Seg!F42+Seg!F44+Seg!F46-Seg!F48)+(Seg!F49+Seg!F51+Seg!F53-Seg!F55)</f>
        <v>0</v>
      </c>
      <c r="G57" s="27" t="n">
        <f aca="false">(Seg!G36+Seg!G41+Seg!G42+Seg!G44+Seg!G46-Seg!G48)+(Seg!G49+Seg!G51+Seg!G53-Seg!G55)</f>
        <v>0</v>
      </c>
      <c r="H57" s="27" t="n">
        <f aca="false">(Seg!H36+Seg!H41+Seg!H42+Seg!H44+Seg!H46-Seg!H48)+(Seg!H49+Seg!H51+Seg!H53-Seg!H55)</f>
        <v>0</v>
      </c>
      <c r="I57" s="27" t="n">
        <f aca="false">(Seg!I36+Seg!I41+Seg!I42+Seg!I44+Seg!I46-Seg!I48)+(Seg!I49+Seg!I51+Seg!I53-Seg!I55)</f>
        <v>0</v>
      </c>
      <c r="J57" s="27" t="n">
        <f aca="false">(Seg!J36+Seg!J41+Seg!J42+Seg!J44+Seg!J46-Seg!J48)+(Seg!J49+Seg!J51+Seg!J53-Seg!J55)</f>
        <v>0</v>
      </c>
      <c r="K57" s="27" t="n">
        <f aca="false">(Seg!K36+Seg!K41+Seg!K42+Seg!K44+Seg!K46-Seg!K48)+(Seg!K49+Seg!K51+Seg!K53-Seg!K55)</f>
        <v>0</v>
      </c>
    </row>
    <row r="58" customFormat="false" ht="17.15" hidden="false" customHeight="false" outlineLevel="0" collapsed="false">
      <c r="A58" s="3" t="s">
        <v>1047</v>
      </c>
    </row>
    <row r="59" customFormat="false" ht="15" hidden="false" customHeight="false" outlineLevel="0" collapsed="false">
      <c r="A59" s="4" t="s">
        <v>43</v>
      </c>
      <c r="B59" s="4" t="s">
        <v>65</v>
      </c>
      <c r="C59" s="23" t="s">
        <v>942</v>
      </c>
      <c r="D59" s="23" t="s">
        <v>943</v>
      </c>
      <c r="E59" s="23" t="s">
        <v>944</v>
      </c>
      <c r="F59" s="23" t="s">
        <v>945</v>
      </c>
      <c r="G59" s="23" t="s">
        <v>946</v>
      </c>
      <c r="H59" s="23" t="s">
        <v>947</v>
      </c>
      <c r="I59" s="23" t="s">
        <v>948</v>
      </c>
      <c r="J59" s="23" t="s">
        <v>949</v>
      </c>
      <c r="K59" s="23" t="s">
        <v>950</v>
      </c>
      <c r="L59" s="4" t="s">
        <v>47</v>
      </c>
    </row>
    <row r="60" customFormat="false" ht="17.15" hidden="false" customHeight="false" outlineLevel="0" collapsed="false">
      <c r="A60" s="0" t="s">
        <v>1025</v>
      </c>
      <c r="B60" s="0" t="s">
        <v>98</v>
      </c>
      <c r="D60" s="6" t="n">
        <f aca="false">Thesis!D129</f>
        <v>12.9359794422418</v>
      </c>
      <c r="E60" s="6" t="n">
        <f aca="false">Thesis!E129</f>
        <v>27.8095064661409</v>
      </c>
      <c r="F60" s="6" t="n">
        <f aca="false">Thesis!F129</f>
        <v>50.9819294352312</v>
      </c>
      <c r="G60" s="6" t="n">
        <f aca="false">Thesis!G129</f>
        <v>76.6920436014933</v>
      </c>
      <c r="H60" s="6" t="n">
        <f aca="false">Thesis!H129</f>
        <v>97.4495379418341</v>
      </c>
      <c r="I60" s="6" t="n">
        <f aca="false">Thesis!I129</f>
        <v>122.083445553868</v>
      </c>
      <c r="J60" s="6" t="n">
        <f aca="false">Thesis!J129</f>
        <v>139.249060444804</v>
      </c>
      <c r="K60" s="6" t="n">
        <f aca="false">Thesis!K129</f>
        <v>149.995818575589</v>
      </c>
    </row>
    <row r="61" customFormat="false" ht="17.15" hidden="false" customHeight="false" outlineLevel="0" collapsed="false">
      <c r="A61" s="0" t="s">
        <v>1026</v>
      </c>
      <c r="B61" s="0" t="s">
        <v>98</v>
      </c>
      <c r="D61" s="6" t="n">
        <f aca="false">Q!L6-Seg!D60</f>
        <v>59.6740205577583</v>
      </c>
      <c r="E61" s="6" t="n">
        <f aca="false">Q!M6-Seg!E60</f>
        <v>74.1284935338591</v>
      </c>
      <c r="F61" s="6" t="n">
        <f aca="false">Q!$I$6+(Seg!F60+Seg!E61*(1+Seg!F62))*(1-Q!$E$6/Q!M6)-Seg!F60</f>
        <v>92.2699541184664</v>
      </c>
      <c r="G61" s="6" t="n">
        <f aca="false">Seg!F61*(1+Seg!G62)</f>
        <v>109.630477277949</v>
      </c>
      <c r="H61" s="6" t="n">
        <f aca="false">Seg!G61*(1+Seg!H62)</f>
        <v>127.293256321956</v>
      </c>
      <c r="I61" s="6" t="n">
        <f aca="false">Seg!H61*(1+Seg!I62)</f>
        <v>144.360052269491</v>
      </c>
      <c r="J61" s="6" t="n">
        <f aca="false">Seg!I61*(1+Seg!J62)</f>
        <v>159.811964490216</v>
      </c>
      <c r="K61" s="6" t="n">
        <f aca="false">Seg!J61*(1+Seg!K62)</f>
        <v>172.596921649434</v>
      </c>
      <c r="L61" s="12" t="s">
        <v>1027</v>
      </c>
    </row>
    <row r="62" customFormat="false" ht="15" hidden="false" customHeight="false" outlineLevel="0" collapsed="false">
      <c r="A62" s="1" t="s">
        <v>1028</v>
      </c>
      <c r="B62" s="0" t="s">
        <v>168</v>
      </c>
      <c r="E62" s="7" t="n">
        <f aca="false">Seg!E61/Seg!D61-1</f>
        <v>0.242223883039864</v>
      </c>
      <c r="F62" s="7" t="n">
        <f aca="false">Seg!$E$62+(glt_azo-Seg!$E$62)*MIN(1,(Thesis!F110-base_fy)/n_conv)</f>
        <v>0.215186569199887</v>
      </c>
      <c r="G62" s="7" t="n">
        <f aca="false">Seg!$E$62+(glt_azo-Seg!$E$62)*MIN(1,(Thesis!G110-base_fy)/n_conv)</f>
        <v>0.18814925535991</v>
      </c>
      <c r="H62" s="7" t="n">
        <f aca="false">Seg!$E$62+(glt_azo-Seg!$E$62)*MIN(1,(Thesis!H110-base_fy)/n_conv)</f>
        <v>0.161111941519932</v>
      </c>
      <c r="I62" s="7" t="n">
        <f aca="false">Seg!$E$62+(glt_azo-Seg!$E$62)*MIN(1,(Thesis!I110-base_fy)/n_conv)</f>
        <v>0.134074627679955</v>
      </c>
      <c r="J62" s="7" t="n">
        <f aca="false">Seg!$E$62+(glt_azo-Seg!$E$62)*MIN(1,(Thesis!J110-base_fy)/n_conv)</f>
        <v>0.107037313839977</v>
      </c>
      <c r="K62" s="7" t="n">
        <f aca="false">Seg!$E$62+(glt_azo-Seg!$E$62)*MIN(1,(Thesis!K110-base_fy)/n_conv)</f>
        <v>0.08</v>
      </c>
    </row>
    <row r="63" customFormat="false" ht="15" hidden="false" customHeight="false" outlineLevel="0" collapsed="false">
      <c r="A63" s="0" t="s">
        <v>1029</v>
      </c>
      <c r="B63" s="0" t="s">
        <v>98</v>
      </c>
      <c r="D63" s="6" t="n">
        <f aca="false">Seg!D60+Seg!D61</f>
        <v>72.61</v>
      </c>
      <c r="E63" s="6" t="n">
        <f aca="false">Seg!E60+Seg!E61</f>
        <v>101.938</v>
      </c>
      <c r="F63" s="6" t="n">
        <f aca="false">Seg!F60+Seg!F61</f>
        <v>143.251883553698</v>
      </c>
      <c r="G63" s="6" t="n">
        <f aca="false">Seg!G60+Seg!G61</f>
        <v>186.322520879442</v>
      </c>
      <c r="H63" s="6" t="n">
        <f aca="false">Seg!H60+Seg!H61</f>
        <v>224.74279426379</v>
      </c>
      <c r="I63" s="6" t="n">
        <f aca="false">Seg!I60+Seg!I61</f>
        <v>266.443497823359</v>
      </c>
      <c r="J63" s="6" t="n">
        <f aca="false">Seg!J60+Seg!J61</f>
        <v>299.06102493502</v>
      </c>
      <c r="K63" s="6" t="n">
        <f aca="false">Seg!K60+Seg!K61</f>
        <v>322.592740225023</v>
      </c>
    </row>
    <row r="64" customFormat="false" ht="17.15" hidden="false" customHeight="false" outlineLevel="0" collapsed="false">
      <c r="A64" s="0" t="s">
        <v>1030</v>
      </c>
      <c r="B64" s="1" t="s">
        <v>613</v>
      </c>
      <c r="C64" s="30" t="n">
        <f aca="false">cop_s24</f>
        <v>1</v>
      </c>
      <c r="D64" s="30" t="n">
        <f aca="false">cop_s25</f>
        <v>5</v>
      </c>
      <c r="E64" s="30" t="n">
        <f aca="false">cop_s26</f>
        <v>30</v>
      </c>
      <c r="F64" s="30" t="n">
        <f aca="false">Seg!E64+cop_add_C</f>
        <v>40</v>
      </c>
      <c r="G64" s="30" t="n">
        <f aca="false">Seg!F64+cop_add_C</f>
        <v>50</v>
      </c>
      <c r="H64" s="30" t="n">
        <f aca="false">Seg!G64+cop_add_C</f>
        <v>60</v>
      </c>
      <c r="I64" s="30" t="n">
        <f aca="false">Seg!H64+cop_add_C*cop_tail</f>
        <v>65</v>
      </c>
      <c r="J64" s="30" t="n">
        <f aca="false">Seg!I64+cop_add_C*cop_tail</f>
        <v>70</v>
      </c>
      <c r="K64" s="30" t="n">
        <f aca="false">Seg!J64+cop_add_C*cop_tail</f>
        <v>75</v>
      </c>
      <c r="L64" s="12" t="s">
        <v>1031</v>
      </c>
    </row>
    <row r="65" customFormat="false" ht="17.15" hidden="false" customHeight="false" outlineLevel="0" collapsed="false">
      <c r="A65" s="0" t="s">
        <v>1032</v>
      </c>
      <c r="B65" s="0" t="s">
        <v>98</v>
      </c>
      <c r="D65" s="6" t="n">
        <f aca="false">(Seg!C64+Seg!D64)/2*cop_px*12/1000</f>
        <v>0.9</v>
      </c>
      <c r="E65" s="6" t="n">
        <f aca="false">(Seg!D64+Seg!E64)/2*cop_px*12/1000</f>
        <v>5.25</v>
      </c>
      <c r="F65" s="6" t="n">
        <f aca="false">(Seg!E64+Seg!F64)/2*cop_px*12/1000</f>
        <v>10.5</v>
      </c>
      <c r="G65" s="6" t="n">
        <f aca="false">(Seg!F64+Seg!G64)/2*cop_px*12/1000</f>
        <v>13.5</v>
      </c>
      <c r="H65" s="6" t="n">
        <f aca="false">(Seg!G64+Seg!H64)/2*cop_px*12/1000</f>
        <v>16.5</v>
      </c>
      <c r="I65" s="6" t="n">
        <f aca="false">(Seg!H64+Seg!I64)/2*cop_px*12/1000</f>
        <v>18.75</v>
      </c>
      <c r="J65" s="6" t="n">
        <f aca="false">(Seg!I64+Seg!J64)/2*cop_px*12/1000</f>
        <v>20.25</v>
      </c>
      <c r="K65" s="6" t="n">
        <f aca="false">(Seg!J64+Seg!K64)/2*cop_px*12/1000</f>
        <v>21.75</v>
      </c>
      <c r="L65" s="1" t="s">
        <v>1033</v>
      </c>
    </row>
    <row r="66" customFormat="false" ht="17.15" hidden="false" customHeight="false" outlineLevel="0" collapsed="false">
      <c r="A66" s="0" t="s">
        <v>1034</v>
      </c>
      <c r="B66" s="0" t="s">
        <v>98</v>
      </c>
      <c r="D66" s="6" t="n">
        <f aca="false">Q!L7-Seg!D65</f>
        <v>83.705</v>
      </c>
      <c r="E66" s="6" t="n">
        <f aca="false">Q!M7-Seg!E65</f>
        <v>95.049</v>
      </c>
      <c r="F66" s="6" t="n">
        <f aca="false">Q!$I$7+(Seg!E66*(1+Seg!F67)+Seg!F65)*(1-Q!$E$7/Q!M7)-Seg!F65</f>
        <v>106.938354189776</v>
      </c>
      <c r="G66" s="6" t="n">
        <f aca="false">Seg!F66*(1+Seg!G67)</f>
        <v>119.095360443801</v>
      </c>
      <c r="H66" s="6" t="n">
        <f aca="false">Seg!G66*(1+Seg!H67)</f>
        <v>131.333811964563</v>
      </c>
      <c r="I66" s="6" t="n">
        <f aca="false">Seg!H66*(1+Seg!I67)</f>
        <v>143.395665319381</v>
      </c>
      <c r="J66" s="6" t="n">
        <f aca="false">Seg!I66*(1+Seg!J67)</f>
        <v>154.999327755573</v>
      </c>
      <c r="K66" s="6" t="n">
        <f aca="false">Seg!J66*(1+Seg!K67)</f>
        <v>165.849280698463</v>
      </c>
      <c r="L66" s="12" t="s">
        <v>1035</v>
      </c>
    </row>
    <row r="67" customFormat="false" ht="15" hidden="false" customHeight="false" outlineLevel="0" collapsed="false">
      <c r="A67" s="1" t="s">
        <v>1028</v>
      </c>
      <c r="B67" s="0" t="s">
        <v>168</v>
      </c>
      <c r="E67" s="7" t="n">
        <f aca="false">Seg!E66/Seg!D66-1</f>
        <v>0.135523564900544</v>
      </c>
      <c r="F67" s="7" t="n">
        <f aca="false">Seg!$E$67+(glt_m365b-Seg!$E$67)*MIN(1,(Thesis!F110-base_fy)/n_conv)</f>
        <v>0.124602970750453</v>
      </c>
      <c r="G67" s="7" t="n">
        <f aca="false">Seg!$E$67+(glt_m365b-Seg!$E$67)*MIN(1,(Thesis!G110-base_fy)/n_conv)</f>
        <v>0.113682376600363</v>
      </c>
      <c r="H67" s="7" t="n">
        <f aca="false">Seg!$E$67+(glt_m365b-Seg!$E$67)*MIN(1,(Thesis!H110-base_fy)/n_conv)</f>
        <v>0.102761782450272</v>
      </c>
      <c r="I67" s="7" t="n">
        <f aca="false">Seg!$E$67+(glt_m365b-Seg!$E$67)*MIN(1,(Thesis!I110-base_fy)/n_conv)</f>
        <v>0.0918411883001813</v>
      </c>
      <c r="J67" s="7" t="n">
        <f aca="false">Seg!$E$67+(glt_m365b-Seg!$E$67)*MIN(1,(Thesis!J110-base_fy)/n_conv)</f>
        <v>0.0809205941500906</v>
      </c>
      <c r="K67" s="7" t="n">
        <f aca="false">Seg!$E$67+(glt_m365b-Seg!$E$67)*MIN(1,(Thesis!K110-base_fy)/n_conv)</f>
        <v>0.07</v>
      </c>
    </row>
    <row r="68" customFormat="false" ht="15" hidden="false" customHeight="false" outlineLevel="0" collapsed="false">
      <c r="A68" s="0" t="s">
        <v>1036</v>
      </c>
      <c r="B68" s="0" t="s">
        <v>98</v>
      </c>
      <c r="D68" s="6" t="n">
        <f aca="false">Seg!D66+Seg!D65</f>
        <v>84.605</v>
      </c>
      <c r="E68" s="6" t="n">
        <f aca="false">Seg!E66+Seg!E65</f>
        <v>100.299</v>
      </c>
      <c r="F68" s="6" t="n">
        <f aca="false">Seg!F66+Seg!F65</f>
        <v>117.438354189776</v>
      </c>
      <c r="G68" s="6" t="n">
        <f aca="false">Seg!G66+Seg!G65</f>
        <v>132.595360443801</v>
      </c>
      <c r="H68" s="6" t="n">
        <f aca="false">Seg!H66+Seg!H65</f>
        <v>147.833811964563</v>
      </c>
      <c r="I68" s="6" t="n">
        <f aca="false">Seg!I66+Seg!I65</f>
        <v>162.145665319381</v>
      </c>
      <c r="J68" s="6" t="n">
        <f aca="false">Seg!J66+Seg!J65</f>
        <v>175.249327755573</v>
      </c>
      <c r="K68" s="6" t="n">
        <f aca="false">Seg!K66+Seg!K65</f>
        <v>187.599280698463</v>
      </c>
    </row>
    <row r="69" customFormat="false" ht="17.15" hidden="false" customHeight="false" outlineLevel="0" collapsed="false">
      <c r="A69" s="0" t="s">
        <v>1037</v>
      </c>
      <c r="B69" s="0" t="s">
        <v>98</v>
      </c>
      <c r="D69" s="6" t="n">
        <f aca="false">Q!L8</f>
        <v>35.391</v>
      </c>
      <c r="E69" s="6" t="n">
        <f aca="false">Q!M8</f>
        <v>37.285</v>
      </c>
      <c r="F69" s="6" t="n">
        <f aca="false">Q!$I$8+(Q!M8-Q!$E$8)*(1+Seg!F70)</f>
        <v>38.3851437782675</v>
      </c>
      <c r="G69" s="6" t="n">
        <f aca="false">Seg!F69*(1+Seg!G70)</f>
        <v>40.0105353288615</v>
      </c>
      <c r="H69" s="6" t="n">
        <f aca="false">Seg!G69*(1+Seg!H70)</f>
        <v>41.4812512033683</v>
      </c>
      <c r="I69" s="6" t="n">
        <f aca="false">Seg!H69*(1+Seg!I70)</f>
        <v>42.7743107216329</v>
      </c>
      <c r="J69" s="6" t="n">
        <f aca="false">Seg!I69*(1+Seg!J70)</f>
        <v>43.8687373064601</v>
      </c>
      <c r="K69" s="6" t="n">
        <f aca="false">Seg!J69*(1+Seg!K70)</f>
        <v>44.7461120525893</v>
      </c>
      <c r="L69" s="12" t="s">
        <v>1038</v>
      </c>
    </row>
    <row r="70" customFormat="false" ht="15" hidden="false" customHeight="false" outlineLevel="0" collapsed="false">
      <c r="A70" s="1" t="s">
        <v>1028</v>
      </c>
      <c r="B70" s="0" t="s">
        <v>168</v>
      </c>
      <c r="E70" s="7" t="n">
        <f aca="false">Seg!E69/Seg!D69-1</f>
        <v>0.0535164307309768</v>
      </c>
      <c r="F70" s="7" t="n">
        <f aca="false">Seg!$E$70+(glt_lic-Seg!$E$70)*MIN(1,(Thesis!F110-base_fy)/n_conv)</f>
        <v>0.0479303589424807</v>
      </c>
      <c r="G70" s="7" t="n">
        <f aca="false">Seg!$E$70+(glt_lic-Seg!$E$70)*MIN(1,(Thesis!G110-base_fy)/n_conv)</f>
        <v>0.0423442871539845</v>
      </c>
      <c r="H70" s="7" t="n">
        <f aca="false">Seg!$E$70+(glt_lic-Seg!$E$70)*MIN(1,(Thesis!H110-base_fy)/n_conv)</f>
        <v>0.0367582153654884</v>
      </c>
      <c r="I70" s="7" t="n">
        <f aca="false">Seg!$E$70+(glt_lic-Seg!$E$70)*MIN(1,(Thesis!I110-base_fy)/n_conv)</f>
        <v>0.0311721435769923</v>
      </c>
      <c r="J70" s="7" t="n">
        <f aca="false">Seg!$E$70+(glt_lic-Seg!$E$70)*MIN(1,(Thesis!J110-base_fy)/n_conv)</f>
        <v>0.0255860717884961</v>
      </c>
      <c r="K70" s="7" t="n">
        <f aca="false">Seg!$E$70+(glt_lic-Seg!$E$70)*MIN(1,(Thesis!K110-base_fy)/n_conv)</f>
        <v>0.02</v>
      </c>
    </row>
    <row r="71" customFormat="false" ht="17.15" hidden="false" customHeight="false" outlineLevel="0" collapsed="false">
      <c r="A71" s="0" t="s">
        <v>1039</v>
      </c>
      <c r="B71" s="0" t="s">
        <v>98</v>
      </c>
      <c r="D71" s="6" t="n">
        <f aca="false">Q!L9</f>
        <v>18.417</v>
      </c>
      <c r="E71" s="6" t="n">
        <f aca="false">Q!M9</f>
        <v>20.345</v>
      </c>
      <c r="F71" s="6" t="n">
        <f aca="false">Q!$I$9+(Q!M9-Q!$E$9)*(1+Seg!F72)</f>
        <v>22.3161797133988</v>
      </c>
      <c r="G71" s="6" t="n">
        <f aca="false">Seg!F71*(1+Seg!G72)</f>
        <v>24.3943499673233</v>
      </c>
      <c r="H71" s="6" t="n">
        <f aca="false">Seg!G71*(1+Seg!H72)</f>
        <v>26.5250243109019</v>
      </c>
      <c r="I71" s="6" t="n">
        <f aca="false">Seg!H71*(1+Seg!I72)</f>
        <v>28.6884573538181</v>
      </c>
      <c r="J71" s="6" t="n">
        <f aca="false">Seg!I71*(1+Seg!J72)</f>
        <v>30.8624968052127</v>
      </c>
      <c r="K71" s="6" t="n">
        <f aca="false">Seg!J71*(1+Seg!K72)</f>
        <v>33.0228715815776</v>
      </c>
      <c r="L71" s="12" t="s">
        <v>1038</v>
      </c>
    </row>
    <row r="72" customFormat="false" ht="15" hidden="false" customHeight="false" outlineLevel="0" collapsed="false">
      <c r="A72" s="1" t="s">
        <v>1028</v>
      </c>
      <c r="B72" s="0" t="s">
        <v>168</v>
      </c>
      <c r="E72" s="7" t="n">
        <f aca="false">Seg!E71/Seg!D71-1</f>
        <v>0.104685888038225</v>
      </c>
      <c r="F72" s="7" t="n">
        <f aca="false">Seg!$E$72+(glt_ind-Seg!$E$72)*MIN(1,(Thesis!F110-base_fy)/n_conv)</f>
        <v>0.0989049066985211</v>
      </c>
      <c r="G72" s="7" t="n">
        <f aca="false">Seg!$E$72+(glt_ind-Seg!$E$72)*MIN(1,(Thesis!G110-base_fy)/n_conv)</f>
        <v>0.0931239253588169</v>
      </c>
      <c r="H72" s="7" t="n">
        <f aca="false">Seg!$E$72+(glt_ind-Seg!$E$72)*MIN(1,(Thesis!H110-base_fy)/n_conv)</f>
        <v>0.0873429440191127</v>
      </c>
      <c r="I72" s="7" t="n">
        <f aca="false">Seg!$E$72+(glt_ind-Seg!$E$72)*MIN(1,(Thesis!I110-base_fy)/n_conv)</f>
        <v>0.0815619626794085</v>
      </c>
      <c r="J72" s="7" t="n">
        <f aca="false">Seg!$E$72+(glt_ind-Seg!$E$72)*MIN(1,(Thesis!J110-base_fy)/n_conv)</f>
        <v>0.0757809813397042</v>
      </c>
      <c r="K72" s="7" t="n">
        <f aca="false">Seg!$E$72+(glt_ind-Seg!$E$72)*MIN(1,(Thesis!K110-base_fy)/n_conv)</f>
        <v>0.07</v>
      </c>
    </row>
    <row r="73" customFormat="false" ht="17.15" hidden="false" customHeight="false" outlineLevel="0" collapsed="false">
      <c r="A73" s="0" t="s">
        <v>1040</v>
      </c>
      <c r="B73" s="0" t="s">
        <v>98</v>
      </c>
      <c r="D73" s="6" t="n">
        <f aca="false">Q!L10</f>
        <v>7.76</v>
      </c>
      <c r="E73" s="6" t="n">
        <f aca="false">Q!M10</f>
        <v>8.26</v>
      </c>
      <c r="F73" s="6" t="n">
        <f aca="false">Q!$I$10+(Q!M10-Q!$E$10)*(1+Seg!F74)</f>
        <v>8.75372082474227</v>
      </c>
      <c r="G73" s="6" t="n">
        <f aca="false">Seg!F73*(1+Seg!G74)</f>
        <v>9.33399324642364</v>
      </c>
      <c r="H73" s="6" t="n">
        <f aca="false">Seg!G73*(1+Seg!H74)</f>
        <v>9.96139155535851</v>
      </c>
      <c r="I73" s="6" t="n">
        <f aca="false">Seg!H73*(1+Seg!I74)</f>
        <v>10.6402039077391</v>
      </c>
      <c r="J73" s="6" t="n">
        <f aca="false">Seg!I73*(1+Seg!J74)</f>
        <v>11.3751458271397</v>
      </c>
      <c r="K73" s="6" t="n">
        <f aca="false">Seg!J73*(1+Seg!K74)</f>
        <v>12.1714060350394</v>
      </c>
      <c r="L73" s="12" t="s">
        <v>1038</v>
      </c>
    </row>
    <row r="74" customFormat="false" ht="15" hidden="false" customHeight="false" outlineLevel="0" collapsed="false">
      <c r="A74" s="1" t="s">
        <v>1028</v>
      </c>
      <c r="B74" s="0" t="s">
        <v>168</v>
      </c>
      <c r="E74" s="7" t="n">
        <f aca="false">Seg!E73/Seg!D73-1</f>
        <v>0.0644329896907216</v>
      </c>
      <c r="F74" s="7" t="n">
        <f aca="false">Seg!$E$74+(glt_fro-Seg!$E$74)*MIN(1,(Thesis!F110-base_fy)/n_conv)</f>
        <v>0.065360824742268</v>
      </c>
      <c r="G74" s="7" t="n">
        <f aca="false">Seg!$E$74+(glt_fro-Seg!$E$74)*MIN(1,(Thesis!G110-base_fy)/n_conv)</f>
        <v>0.0662886597938144</v>
      </c>
      <c r="H74" s="7" t="n">
        <f aca="false">Seg!$E$74+(glt_fro-Seg!$E$74)*MIN(1,(Thesis!H110-base_fy)/n_conv)</f>
        <v>0.0672164948453608</v>
      </c>
      <c r="I74" s="7" t="n">
        <f aca="false">Seg!$E$74+(glt_fro-Seg!$E$74)*MIN(1,(Thesis!I110-base_fy)/n_conv)</f>
        <v>0.0681443298969072</v>
      </c>
      <c r="J74" s="7" t="n">
        <f aca="false">Seg!$E$74+(glt_fro-Seg!$E$74)*MIN(1,(Thesis!J110-base_fy)/n_conv)</f>
        <v>0.0690721649484536</v>
      </c>
      <c r="K74" s="7" t="n">
        <f aca="false">Seg!$E$74+(glt_fro-Seg!$E$74)*MIN(1,(Thesis!K110-base_fy)/n_conv)</f>
        <v>0.07</v>
      </c>
    </row>
    <row r="75" customFormat="false" ht="15" hidden="false" customHeight="false" outlineLevel="0" collapsed="false">
      <c r="A75" s="0" t="s">
        <v>856</v>
      </c>
      <c r="B75" s="0" t="s">
        <v>98</v>
      </c>
      <c r="D75" s="6" t="n">
        <f aca="false">Seg!D63+Seg!D68+Seg!D69+Seg!D71+Seg!D73</f>
        <v>218.783</v>
      </c>
      <c r="E75" s="6" t="n">
        <f aca="false">Seg!E63+Seg!E68+Seg!E69+Seg!E71+Seg!E73</f>
        <v>268.127</v>
      </c>
      <c r="F75" s="6" t="n">
        <f aca="false">Seg!F63+Seg!F68+Seg!F69+Seg!F71+Seg!F73</f>
        <v>330.145282059882</v>
      </c>
      <c r="G75" s="6" t="n">
        <f aca="false">Seg!G63+Seg!G68+Seg!G69+Seg!G71+Seg!G73</f>
        <v>392.656759865851</v>
      </c>
      <c r="H75" s="6" t="n">
        <f aca="false">Seg!H63+Seg!H68+Seg!H69+Seg!H71+Seg!H73</f>
        <v>450.544273297982</v>
      </c>
      <c r="I75" s="6" t="n">
        <f aca="false">Seg!I63+Seg!I68+Seg!I69+Seg!I71+Seg!I73</f>
        <v>510.69213512593</v>
      </c>
      <c r="J75" s="6" t="n">
        <f aca="false">Seg!J63+Seg!J68+Seg!J69+Seg!J71+Seg!J73</f>
        <v>560.416732629406</v>
      </c>
      <c r="K75" s="6" t="n">
        <f aca="false">Seg!K63+Seg!K68+Seg!K69+Seg!K71+Seg!K73</f>
        <v>600.132410592692</v>
      </c>
    </row>
    <row r="76" customFormat="false" ht="17.15" hidden="false" customHeight="false" outlineLevel="0" collapsed="false">
      <c r="A76" s="0" t="s">
        <v>1041</v>
      </c>
      <c r="B76" s="0" t="s">
        <v>98</v>
      </c>
      <c r="D76" s="6" t="n">
        <f aca="false">Q!L13</f>
        <v>22.171</v>
      </c>
      <c r="E76" s="6" t="n">
        <f aca="false">Q!M13</f>
        <v>24.835</v>
      </c>
      <c r="F76" s="6" t="n">
        <f aca="false">Q!$I$13+(Q!M13-Q!$E$13)*(1+Seg!F77)</f>
        <v>27.5591895660247</v>
      </c>
      <c r="G76" s="6" t="n">
        <f aca="false">Seg!F76*(1+Seg!G77)</f>
        <v>30.4098563144583</v>
      </c>
      <c r="H76" s="6" t="n">
        <f aca="false">Seg!G76*(1+Seg!H77)</f>
        <v>33.3011792571777</v>
      </c>
      <c r="I76" s="6" t="n">
        <f aca="false">Seg!H76*(1+Seg!I77)</f>
        <v>36.189023797112</v>
      </c>
      <c r="J76" s="6" t="n">
        <f aca="false">Seg!I76*(1+Seg!J77)</f>
        <v>39.0247773769199</v>
      </c>
      <c r="K76" s="6" t="n">
        <f aca="false">Seg!J76*(1+Seg!K77)</f>
        <v>41.7565117933043</v>
      </c>
      <c r="L76" s="12" t="s">
        <v>1038</v>
      </c>
    </row>
    <row r="77" customFormat="false" ht="15" hidden="false" customHeight="false" outlineLevel="0" collapsed="false">
      <c r="A77" s="1" t="s">
        <v>1028</v>
      </c>
      <c r="B77" s="0" t="s">
        <v>168</v>
      </c>
      <c r="E77" s="7" t="n">
        <f aca="false">Seg!E76/Seg!D76-1</f>
        <v>0.120156961796942</v>
      </c>
      <c r="F77" s="7" t="n">
        <f aca="false">Seg!$E$77+(glt_srch-Seg!$E$77)*MIN(1,(Thesis!F110-base_fy)/n_conv)</f>
        <v>0.111797468164118</v>
      </c>
      <c r="G77" s="7" t="n">
        <f aca="false">Seg!$E$77+(glt_srch-Seg!$E$77)*MIN(1,(Thesis!G110-base_fy)/n_conv)</f>
        <v>0.103437974531295</v>
      </c>
      <c r="H77" s="7" t="n">
        <f aca="false">Seg!$E$77+(glt_srch-Seg!$E$77)*MIN(1,(Thesis!H110-base_fy)/n_conv)</f>
        <v>0.095078480898471</v>
      </c>
      <c r="I77" s="7" t="n">
        <f aca="false">Seg!$E$77+(glt_srch-Seg!$E$77)*MIN(1,(Thesis!I110-base_fy)/n_conv)</f>
        <v>0.0867189872656474</v>
      </c>
      <c r="J77" s="7" t="n">
        <f aca="false">Seg!$E$77+(glt_srch-Seg!$E$77)*MIN(1,(Thesis!J110-base_fy)/n_conv)</f>
        <v>0.0783594936328237</v>
      </c>
      <c r="K77" s="7" t="n">
        <f aca="false">Seg!$E$77+(glt_srch-Seg!$E$77)*MIN(1,(Thesis!K110-base_fy)/n_conv)</f>
        <v>0.07</v>
      </c>
    </row>
    <row r="78" customFormat="false" ht="17.15" hidden="false" customHeight="false" outlineLevel="0" collapsed="false">
      <c r="A78" s="0" t="s">
        <v>1042</v>
      </c>
      <c r="B78" s="0" t="s">
        <v>98</v>
      </c>
      <c r="D78" s="6" t="n">
        <f aca="false">Q!L14</f>
        <v>23.455</v>
      </c>
      <c r="E78" s="6" t="n">
        <f aca="false">Q!M14</f>
        <v>21.79</v>
      </c>
      <c r="F78" s="6" t="n">
        <f aca="false">Q!$I$14+(Q!M14-Q!$E$14)*(1+Seg!F79)</f>
        <v>20.7520981041711</v>
      </c>
      <c r="G78" s="6" t="n">
        <f aca="false">Seg!F78*(1+Seg!G79)</f>
        <v>19.9083593495882</v>
      </c>
      <c r="H78" s="6" t="n">
        <f aca="false">Seg!G78*(1+Seg!H79)</f>
        <v>19.4008256265831</v>
      </c>
      <c r="I78" s="6" t="n">
        <f aca="false">Seg!H78*(1+Seg!I79)</f>
        <v>19.200434522122</v>
      </c>
      <c r="J78" s="6" t="n">
        <f aca="false">Seg!I78*(1+Seg!J79)</f>
        <v>19.2932782348507</v>
      </c>
      <c r="K78" s="6" t="n">
        <f aca="false">Seg!J78*(1+Seg!K79)</f>
        <v>19.6791437995477</v>
      </c>
      <c r="L78" s="12" t="s">
        <v>1038</v>
      </c>
    </row>
    <row r="79" customFormat="false" ht="15" hidden="false" customHeight="false" outlineLevel="0" collapsed="false">
      <c r="A79" s="1" t="s">
        <v>1028</v>
      </c>
      <c r="B79" s="0" t="s">
        <v>168</v>
      </c>
      <c r="E79" s="7" t="n">
        <f aca="false">Seg!E78/Seg!D78-1</f>
        <v>-0.0709869963760392</v>
      </c>
      <c r="F79" s="7" t="n">
        <f aca="false">Seg!$E$79+(glt_xbox-Seg!$E$79)*MIN(1,(Thesis!F110-base_fy)/n_conv)</f>
        <v>-0.0558224969800327</v>
      </c>
      <c r="G79" s="7" t="n">
        <f aca="false">Seg!$E$79+(glt_xbox-Seg!$E$79)*MIN(1,(Thesis!G110-base_fy)/n_conv)</f>
        <v>-0.0406579975840262</v>
      </c>
      <c r="H79" s="7" t="n">
        <f aca="false">Seg!$E$79+(glt_xbox-Seg!$E$79)*MIN(1,(Thesis!H110-base_fy)/n_conv)</f>
        <v>-0.0254934981880196</v>
      </c>
      <c r="I79" s="7" t="n">
        <f aca="false">Seg!$E$79+(glt_xbox-Seg!$E$79)*MIN(1,(Thesis!I110-base_fy)/n_conv)</f>
        <v>-0.0103289987920131</v>
      </c>
      <c r="J79" s="7" t="n">
        <f aca="false">Seg!$E$79+(glt_xbox-Seg!$E$79)*MIN(1,(Thesis!J110-base_fy)/n_conv)</f>
        <v>0.00483550060399347</v>
      </c>
      <c r="K79" s="7" t="n">
        <f aca="false">Seg!$E$79+(glt_xbox-Seg!$E$79)*MIN(1,(Thesis!K110-base_fy)/n_conv)</f>
        <v>0.02</v>
      </c>
    </row>
    <row r="80" customFormat="false" ht="17.15" hidden="false" customHeight="false" outlineLevel="0" collapsed="false">
      <c r="A80" s="0" t="s">
        <v>1043</v>
      </c>
      <c r="B80" s="0" t="s">
        <v>98</v>
      </c>
      <c r="D80" s="6" t="n">
        <f aca="false">Q!L15</f>
        <v>17.315</v>
      </c>
      <c r="E80" s="6" t="n">
        <f aca="false">Q!M15</f>
        <v>17.087</v>
      </c>
      <c r="F80" s="6" t="n">
        <f aca="false">Q!$I$15+(Q!M15-Q!$E$15)*(1+Seg!F81)</f>
        <v>15.9912273250553</v>
      </c>
      <c r="G80" s="6" t="n">
        <f aca="false">Seg!F80*(1+Seg!G81)</f>
        <v>15.9574562664827</v>
      </c>
      <c r="H80" s="6" t="n">
        <f aca="false">Seg!G80*(1+Seg!H81)</f>
        <v>16.0119687434196</v>
      </c>
      <c r="I80" s="6" t="n">
        <f aca="false">Seg!H80*(1+Seg!I81)</f>
        <v>16.1551810001948</v>
      </c>
      <c r="J80" s="6" t="n">
        <f aca="false">Seg!I80*(1+Seg!J81)</f>
        <v>16.3889793892005</v>
      </c>
      <c r="K80" s="6" t="n">
        <f aca="false">Seg!J80*(1+Seg!K81)</f>
        <v>16.7167589769845</v>
      </c>
      <c r="L80" s="12" t="s">
        <v>1038</v>
      </c>
    </row>
    <row r="81" customFormat="false" ht="15" hidden="false" customHeight="false" outlineLevel="0" collapsed="false">
      <c r="A81" s="1" t="s">
        <v>1028</v>
      </c>
      <c r="B81" s="0" t="s">
        <v>168</v>
      </c>
      <c r="E81" s="7" t="n">
        <f aca="false">Seg!E80/Seg!D80-1</f>
        <v>-0.0131677736066995</v>
      </c>
      <c r="F81" s="7" t="n">
        <f aca="false">Seg!$E$81+(glt_win-Seg!$E$81)*MIN(1,(Thesis!F110-base_fy)/n_conv)</f>
        <v>-0.00763981133891627</v>
      </c>
      <c r="G81" s="7" t="n">
        <f aca="false">Seg!$E$81+(glt_win-Seg!$E$81)*MIN(1,(Thesis!G110-base_fy)/n_conv)</f>
        <v>-0.00211184907113301</v>
      </c>
      <c r="H81" s="7" t="n">
        <f aca="false">Seg!$E$81+(glt_win-Seg!$E$81)*MIN(1,(Thesis!H110-base_fy)/n_conv)</f>
        <v>0.00341611319665024</v>
      </c>
      <c r="I81" s="7" t="n">
        <f aca="false">Seg!$E$81+(glt_win-Seg!$E$81)*MIN(1,(Thesis!I110-base_fy)/n_conv)</f>
        <v>0.00894407546443349</v>
      </c>
      <c r="J81" s="7" t="n">
        <f aca="false">Seg!$E$81+(glt_win-Seg!$E$81)*MIN(1,(Thesis!J110-base_fy)/n_conv)</f>
        <v>0.0144720377322168</v>
      </c>
      <c r="K81" s="7" t="n">
        <f aca="false">Seg!$E$81+(glt_win-Seg!$E$81)*MIN(1,(Thesis!K110-base_fy)/n_conv)</f>
        <v>0.02</v>
      </c>
    </row>
    <row r="82" customFormat="false" ht="15" hidden="false" customHeight="false" outlineLevel="0" collapsed="false">
      <c r="A82" s="0" t="s">
        <v>870</v>
      </c>
      <c r="B82" s="0" t="s">
        <v>98</v>
      </c>
      <c r="D82" s="6" t="n">
        <f aca="false">Seg!D76+Seg!D78+Seg!D80</f>
        <v>62.941</v>
      </c>
      <c r="E82" s="6" t="n">
        <f aca="false">Seg!E76+Seg!E78+Seg!E80</f>
        <v>63.712</v>
      </c>
      <c r="F82" s="6" t="n">
        <f aca="false">Seg!F76+Seg!F78+Seg!F80</f>
        <v>64.3025149952511</v>
      </c>
      <c r="G82" s="6" t="n">
        <f aca="false">Seg!G76+Seg!G78+Seg!G80</f>
        <v>66.2756719305292</v>
      </c>
      <c r="H82" s="6" t="n">
        <f aca="false">Seg!H76+Seg!H78+Seg!H80</f>
        <v>68.7139736271804</v>
      </c>
      <c r="I82" s="6" t="n">
        <f aca="false">Seg!I76+Seg!I78+Seg!I80</f>
        <v>71.5446393194289</v>
      </c>
      <c r="J82" s="6" t="n">
        <f aca="false">Seg!J76+Seg!J78+Seg!J80</f>
        <v>74.707035000971</v>
      </c>
      <c r="K82" s="6" t="n">
        <f aca="false">Seg!K76+Seg!K78+Seg!K80</f>
        <v>78.1524145698365</v>
      </c>
    </row>
    <row r="83" customFormat="false" ht="15" hidden="false" customHeight="false" outlineLevel="0" collapsed="false">
      <c r="A83" s="1" t="s">
        <v>1044</v>
      </c>
      <c r="B83" s="0" t="s">
        <v>98</v>
      </c>
      <c r="D83" s="6" t="n">
        <f aca="false">Seg!D75+Seg!D82</f>
        <v>281.724</v>
      </c>
      <c r="E83" s="6" t="n">
        <f aca="false">Seg!E75+Seg!E82</f>
        <v>331.839</v>
      </c>
      <c r="F83" s="6" t="n">
        <f aca="false">Seg!F75+Seg!F82</f>
        <v>394.447797055133</v>
      </c>
      <c r="G83" s="6" t="n">
        <f aca="false">Seg!G75+Seg!G82</f>
        <v>458.93243179638</v>
      </c>
      <c r="H83" s="6" t="n">
        <f aca="false">Seg!H75+Seg!H82</f>
        <v>519.258246925162</v>
      </c>
      <c r="I83" s="6" t="n">
        <f aca="false">Seg!I75+Seg!I82</f>
        <v>582.236774445359</v>
      </c>
      <c r="J83" s="6" t="n">
        <f aca="false">Seg!J75+Seg!J82</f>
        <v>635.123767630377</v>
      </c>
      <c r="K83" s="6" t="n">
        <f aca="false">Seg!K75+Seg!K82</f>
        <v>678.284825162529</v>
      </c>
    </row>
    <row r="84" customFormat="false" ht="15" hidden="false" customHeight="false" outlineLevel="0" collapsed="false">
      <c r="A84" s="26" t="s">
        <v>1045</v>
      </c>
      <c r="B84" s="31" t="s">
        <v>98</v>
      </c>
      <c r="C84" s="31"/>
      <c r="D84" s="27" t="n">
        <f aca="false">(Seg!D63+Seg!D68+Seg!D69+Seg!D71+Seg!D73-Seg!D75)+(Seg!D76+Seg!D78+Seg!D80-Seg!D82)+(Seg!D75-Q!L5)+(Seg!D82-Q!L12)+(Seg!D63-Q!L6)+(Seg!D68-Q!L7)</f>
        <v>0</v>
      </c>
      <c r="E84" s="27" t="n">
        <f aca="false">(Seg!E63+Seg!E68+Seg!E69+Seg!E71+Seg!E73-Seg!E75)+(Seg!E76+Seg!E78+Seg!E80-Seg!E82)+(Seg!E75-Q!M5)+(Seg!E82-Q!M12)+(Seg!E63-Q!M6)+(Seg!E68-Q!M7)</f>
        <v>0</v>
      </c>
      <c r="F84" s="27" t="n">
        <f aca="false">(Seg!F63+Seg!F68+Seg!F69+Seg!F71+Seg!F73-Seg!F75)+(Seg!F76+Seg!F78+Seg!F80-Seg!F82)</f>
        <v>0</v>
      </c>
      <c r="G84" s="27" t="n">
        <f aca="false">(Seg!G63+Seg!G68+Seg!G69+Seg!G71+Seg!G73-Seg!G75)+(Seg!G76+Seg!G78+Seg!G80-Seg!G82)</f>
        <v>0</v>
      </c>
      <c r="H84" s="27" t="n">
        <f aca="false">(Seg!H63+Seg!H68+Seg!H69+Seg!H71+Seg!H73-Seg!H75)+(Seg!H76+Seg!H78+Seg!H80-Seg!H82)</f>
        <v>0</v>
      </c>
      <c r="I84" s="27" t="n">
        <f aca="false">(Seg!I63+Seg!I68+Seg!I69+Seg!I71+Seg!I73-Seg!I75)+(Seg!I76+Seg!I78+Seg!I80-Seg!I82)</f>
        <v>0</v>
      </c>
      <c r="J84" s="27" t="n">
        <f aca="false">(Seg!J63+Seg!J68+Seg!J69+Seg!J71+Seg!J73-Seg!J75)+(Seg!J76+Seg!J78+Seg!J80-Seg!J82)</f>
        <v>0</v>
      </c>
      <c r="K84" s="27" t="n">
        <f aca="false">(Seg!K63+Seg!K68+Seg!K69+Seg!K71+Seg!K73-Seg!K75)+(Seg!K76+Seg!K78+Seg!K80-Seg!K82)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2"/>
    <col collapsed="false" customWidth="true" hidden="false" outlineLevel="0" max="11" min="3" style="0" width="11"/>
    <col collapsed="false" customWidth="true" hidden="false" outlineLevel="0" max="12" min="12" style="0" width="70"/>
  </cols>
  <sheetData>
    <row r="1" customFormat="false" ht="17.15" hidden="false" customHeight="false" outlineLevel="0" collapsed="false">
      <c r="A1" s="0" t="s">
        <v>1048</v>
      </c>
    </row>
    <row r="2" customFormat="false" ht="17.15" hidden="false" customHeight="false" outlineLevel="0" collapsed="false">
      <c r="A2" s="1" t="s">
        <v>1049</v>
      </c>
    </row>
    <row r="3" customFormat="false" ht="15" hidden="false" customHeight="false" outlineLevel="0" collapsed="false">
      <c r="A3" s="4" t="s">
        <v>43</v>
      </c>
      <c r="B3" s="4" t="s">
        <v>65</v>
      </c>
      <c r="C3" s="23" t="s">
        <v>942</v>
      </c>
      <c r="D3" s="23" t="s">
        <v>943</v>
      </c>
      <c r="E3" s="23" t="s">
        <v>944</v>
      </c>
      <c r="F3" s="23" t="s">
        <v>945</v>
      </c>
      <c r="G3" s="23" t="s">
        <v>946</v>
      </c>
      <c r="H3" s="23" t="s">
        <v>947</v>
      </c>
      <c r="I3" s="23" t="s">
        <v>948</v>
      </c>
      <c r="J3" s="23" t="s">
        <v>949</v>
      </c>
      <c r="K3" s="23" t="s">
        <v>950</v>
      </c>
      <c r="L3" s="4" t="s">
        <v>47</v>
      </c>
    </row>
    <row r="4" customFormat="false" ht="15" hidden="false" customHeight="false" outlineLevel="0" collapsed="false">
      <c r="A4" s="26" t="s">
        <v>1050</v>
      </c>
      <c r="B4" s="31" t="s">
        <v>98</v>
      </c>
      <c r="C4" s="31"/>
      <c r="D4" s="27" t="n">
        <f aca="false">ABS(PL!D23+PL!D27-PL!D28)+ABS(PL!D28-Q!L18)+ABS(PL!D62+PL!D66-PL!D67)+ABS(PL!D67-Q!L18)+ABS(PL!D101+PL!D105-PL!D106)+ABS(PL!D106-Q!L18)</f>
        <v>0</v>
      </c>
      <c r="E4" s="27" t="n">
        <f aca="false">ABS(PL!E23+PL!E27-PL!E28)+ABS(PL!E28-Q!M18)+ABS(PL!E62+PL!E66-PL!E67)+ABS(PL!E67-Q!M18)+ABS(PL!E101+PL!E105-PL!E106)+ABS(PL!E106-Q!M18)</f>
        <v>0</v>
      </c>
      <c r="F4" s="27" t="n">
        <f aca="false">ABS(PL!F23+PL!F27-PL!F28)+ABS(PL!F62+PL!F66-PL!F67)+ABS(PL!F101+PL!F105-PL!F106)</f>
        <v>0</v>
      </c>
      <c r="G4" s="27" t="n">
        <f aca="false">ABS(PL!G23+PL!G27-PL!G28)+ABS(PL!G62+PL!G66-PL!G67)+ABS(PL!G101+PL!G105-PL!G106)</f>
        <v>0</v>
      </c>
      <c r="H4" s="27" t="n">
        <f aca="false">ABS(PL!H23+PL!H27-PL!H28)+ABS(PL!H62+PL!H66-PL!H67)+ABS(PL!H101+PL!H105-PL!H106)</f>
        <v>0</v>
      </c>
      <c r="I4" s="27" t="n">
        <f aca="false">ABS(PL!I23+PL!I27-PL!I28)+ABS(PL!I62+PL!I66-PL!I67)+ABS(PL!I101+PL!I105-PL!I106)</f>
        <v>0</v>
      </c>
      <c r="J4" s="27" t="n">
        <f aca="false">ABS(PL!J23+PL!J27-PL!J28)+ABS(PL!J62+PL!J66-PL!J67)+ABS(PL!J101+PL!J105-PL!J106)</f>
        <v>0</v>
      </c>
      <c r="K4" s="27" t="n">
        <f aca="false">ABS(PL!K23+PL!K27-PL!K28)+ABS(PL!K62+PL!K66-PL!K67)+ABS(PL!K101+PL!K105-PL!K106)</f>
        <v>0</v>
      </c>
    </row>
    <row r="5" customFormat="false" ht="15" hidden="false" customHeight="false" outlineLevel="0" collapsed="false">
      <c r="A5" s="26" t="s">
        <v>1051</v>
      </c>
      <c r="B5" s="31" t="s">
        <v>98</v>
      </c>
      <c r="C5" s="31"/>
      <c r="D5" s="27" t="n">
        <f aca="false">ABS(Seg!D30)+ABS(Seg!D57)+ABS(Seg!D84)</f>
        <v>0</v>
      </c>
      <c r="E5" s="27" t="n">
        <f aca="false">ABS(Seg!E30)+ABS(Seg!E57)+ABS(Seg!E84)</f>
        <v>0</v>
      </c>
      <c r="F5" s="27" t="n">
        <f aca="false">ABS(Seg!F30)+ABS(Seg!F57)+ABS(Seg!F84)</f>
        <v>0</v>
      </c>
      <c r="G5" s="27" t="n">
        <f aca="false">ABS(Seg!G30)+ABS(Seg!G57)+ABS(Seg!G84)</f>
        <v>0</v>
      </c>
      <c r="H5" s="27" t="n">
        <f aca="false">ABS(Seg!H30)+ABS(Seg!H57)+ABS(Seg!H84)</f>
        <v>0</v>
      </c>
      <c r="I5" s="27" t="n">
        <f aca="false">ABS(Seg!I30)+ABS(Seg!I57)+ABS(Seg!I84)</f>
        <v>0</v>
      </c>
      <c r="J5" s="27" t="n">
        <f aca="false">ABS(Seg!J30)+ABS(Seg!J57)+ABS(Seg!J84)</f>
        <v>0</v>
      </c>
      <c r="K5" s="27" t="n">
        <f aca="false">ABS(Seg!K30)+ABS(Seg!K57)+ABS(Seg!K84)</f>
        <v>0</v>
      </c>
    </row>
    <row r="6" customFormat="false" ht="17.15" hidden="false" customHeight="false" outlineLevel="0" collapsed="false">
      <c r="A6" s="26" t="s">
        <v>1052</v>
      </c>
      <c r="B6" s="31" t="s">
        <v>98</v>
      </c>
      <c r="C6" s="31"/>
      <c r="D6" s="27" t="n">
        <f aca="false">ABS(PL!D15+PL!D16-PL!D14)+ABS(PL!D18+PL!D19-PL!D17)+ABS(PL!D54+PL!D55-PL!D53)+ABS(PL!D57+PL!D58-PL!D56)+ABS(PL!D93+PL!D94-PL!D92)+ABS(PL!D96+PL!D97-PL!D95)</f>
        <v>0</v>
      </c>
      <c r="E6" s="27" t="n">
        <f aca="false">ABS(PL!E15+PL!E16-PL!E14)+ABS(PL!E18+PL!E19-PL!E17)+ABS(PL!E54+PL!E55-PL!E53)+ABS(PL!E57+PL!E58-PL!E56)+ABS(PL!E93+PL!E94-PL!E92)+ABS(PL!E96+PL!E97-PL!E95)</f>
        <v>0</v>
      </c>
      <c r="F6" s="27" t="n">
        <f aca="false">ABS(PL!F15+PL!F16-PL!F14)+ABS(PL!F18+PL!F19-PL!F17)+ABS(PL!F54+PL!F55-PL!F53)+ABS(PL!F57+PL!F58-PL!F56)+ABS(PL!F93+PL!F94-PL!F92)+ABS(PL!F96+PL!F97-PL!F95)</f>
        <v>0</v>
      </c>
      <c r="G6" s="27" t="n">
        <f aca="false">ABS(PL!G15+PL!G16-PL!G14)+ABS(PL!G18+PL!G19-PL!G17)+ABS(PL!G54+PL!G55-PL!G53)+ABS(PL!G57+PL!G58-PL!G56)+ABS(PL!G93+PL!G94-PL!G92)+ABS(PL!G96+PL!G97-PL!G95)</f>
        <v>0</v>
      </c>
      <c r="H6" s="27" t="n">
        <f aca="false">ABS(PL!H15+PL!H16-PL!H14)+ABS(PL!H18+PL!H19-PL!H17)+ABS(PL!H54+PL!H55-PL!H53)+ABS(PL!H57+PL!H58-PL!H56)+ABS(PL!H93+PL!H94-PL!H92)+ABS(PL!H96+PL!H97-PL!H95)</f>
        <v>0</v>
      </c>
      <c r="I6" s="27" t="n">
        <f aca="false">ABS(PL!I15+PL!I16-PL!I14)+ABS(PL!I18+PL!I19-PL!I17)+ABS(PL!I54+PL!I55-PL!I53)+ABS(PL!I57+PL!I58-PL!I56)+ABS(PL!I93+PL!I94-PL!I92)+ABS(PL!I96+PL!I97-PL!I95)</f>
        <v>0</v>
      </c>
      <c r="J6" s="27" t="n">
        <f aca="false">ABS(PL!J15+PL!J16-PL!J14)+ABS(PL!J18+PL!J19-PL!J17)+ABS(PL!J54+PL!J55-PL!J53)+ABS(PL!J57+PL!J58-PL!J56)+ABS(PL!J93+PL!J94-PL!J92)+ABS(PL!J96+PL!J97-PL!J95)</f>
        <v>0</v>
      </c>
      <c r="K6" s="27" t="n">
        <f aca="false">ABS(PL!K15+PL!K16-PL!K14)+ABS(PL!K18+PL!K19-PL!K17)+ABS(PL!K54+PL!K55-PL!K53)+ABS(PL!K57+PL!K58-PL!K56)+ABS(PL!K93+PL!K94-PL!K92)+ABS(PL!K96+PL!K97-PL!K95)</f>
        <v>0</v>
      </c>
    </row>
    <row r="7" customFormat="false" ht="15" hidden="false" customHeight="false" outlineLevel="0" collapsed="false">
      <c r="A7" s="26" t="s">
        <v>1053</v>
      </c>
      <c r="B7" s="31" t="s">
        <v>98</v>
      </c>
      <c r="C7" s="31"/>
      <c r="D7" s="27" t="n">
        <f aca="false">ABS(PL!D32+PL!D34-PL!D35)+ABS(PL!D36)+ABS(PL!D71+PL!D73-PL!D74)+ABS(PL!D75)+ABS(PL!D110+PL!D112-PL!D113)+ABS(PL!D114)</f>
        <v>0</v>
      </c>
      <c r="E7" s="27" t="n">
        <f aca="false">ABS(PL!E32+PL!E34-PL!E35)+ABS(PL!E36)+ABS(PL!E71+PL!E73-PL!E74)+ABS(PL!E75)+ABS(PL!E110+PL!E112-PL!E113)+ABS(PL!E114)</f>
        <v>0</v>
      </c>
      <c r="F7" s="27" t="n">
        <f aca="false">ABS(PL!F32+PL!F34-PL!F35)+ABS(PL!F71+PL!F73-PL!F74)+ABS(PL!F110+PL!F112-PL!F113)</f>
        <v>0</v>
      </c>
      <c r="G7" s="27" t="n">
        <f aca="false">ABS(PL!G32+PL!G34-PL!G35)+ABS(PL!G71+PL!G73-PL!G74)+ABS(PL!G110+PL!G112-PL!G113)</f>
        <v>0</v>
      </c>
      <c r="H7" s="27" t="n">
        <f aca="false">ABS(PL!H32+PL!H34-PL!H35)+ABS(PL!H71+PL!H73-PL!H74)+ABS(PL!H110+PL!H112-PL!H113)</f>
        <v>0</v>
      </c>
      <c r="I7" s="27" t="n">
        <f aca="false">ABS(PL!I32+PL!I34-PL!I35)+ABS(PL!I71+PL!I73-PL!I74)+ABS(PL!I110+PL!I112-PL!I113)</f>
        <v>0</v>
      </c>
      <c r="J7" s="27" t="n">
        <f aca="false">ABS(PL!J32+PL!J34-PL!J35)+ABS(PL!J71+PL!J73-PL!J74)+ABS(PL!J110+PL!J112-PL!J113)</f>
        <v>0</v>
      </c>
      <c r="K7" s="27" t="n">
        <f aca="false">ABS(PL!K32+PL!K34-PL!K35)+ABS(PL!K71+PL!K73-PL!K74)+ABS(PL!K110+PL!K112-PL!K113)</f>
        <v>0</v>
      </c>
    </row>
    <row r="9" customFormat="false" ht="17.15" hidden="false" customHeight="false" outlineLevel="0" collapsed="false">
      <c r="A9" s="1" t="s">
        <v>1054</v>
      </c>
    </row>
    <row r="12" customFormat="false" ht="17.15" hidden="false" customHeight="false" outlineLevel="0" collapsed="false">
      <c r="A12" s="3" t="s">
        <v>1055</v>
      </c>
    </row>
    <row r="13" customFormat="false" ht="15" hidden="false" customHeight="false" outlineLevel="0" collapsed="false">
      <c r="A13" s="4" t="s">
        <v>43</v>
      </c>
      <c r="B13" s="4" t="s">
        <v>65</v>
      </c>
      <c r="C13" s="23" t="s">
        <v>942</v>
      </c>
      <c r="D13" s="23" t="s">
        <v>943</v>
      </c>
      <c r="E13" s="23" t="s">
        <v>944</v>
      </c>
      <c r="F13" s="23" t="s">
        <v>945</v>
      </c>
      <c r="G13" s="23" t="s">
        <v>946</v>
      </c>
      <c r="H13" s="23" t="s">
        <v>947</v>
      </c>
      <c r="I13" s="23" t="s">
        <v>948</v>
      </c>
      <c r="J13" s="23" t="s">
        <v>949</v>
      </c>
      <c r="K13" s="23" t="s">
        <v>950</v>
      </c>
      <c r="L13" s="4" t="s">
        <v>47</v>
      </c>
    </row>
    <row r="14" customFormat="false" ht="15" hidden="false" customHeight="false" outlineLevel="0" collapsed="false">
      <c r="A14" s="0" t="s">
        <v>1029</v>
      </c>
      <c r="B14" s="0" t="s">
        <v>98</v>
      </c>
      <c r="D14" s="6" t="n">
        <f aca="false">Seg!D9</f>
        <v>72.61</v>
      </c>
      <c r="E14" s="6" t="n">
        <f aca="false">Seg!E9</f>
        <v>101.938</v>
      </c>
      <c r="F14" s="6" t="n">
        <f aca="false">Seg!F9</f>
        <v>149.59001837225</v>
      </c>
      <c r="G14" s="6" t="n">
        <f aca="false">Seg!G9</f>
        <v>210.963087346352</v>
      </c>
      <c r="H14" s="6" t="n">
        <f aca="false">Seg!H9</f>
        <v>278.649709314524</v>
      </c>
      <c r="I14" s="6" t="n">
        <f aca="false">Seg!I9</f>
        <v>334.269404582332</v>
      </c>
      <c r="J14" s="6" t="n">
        <f aca="false">Seg!J9</f>
        <v>376.517293063672</v>
      </c>
      <c r="K14" s="6" t="n">
        <f aca="false">Seg!K9</f>
        <v>406.018092622804</v>
      </c>
    </row>
    <row r="15" customFormat="false" ht="17.15" hidden="false" customHeight="false" outlineLevel="0" collapsed="false">
      <c r="A15" s="0" t="s">
        <v>1025</v>
      </c>
      <c r="B15" s="0" t="s">
        <v>98</v>
      </c>
      <c r="D15" s="6" t="n">
        <f aca="false">Seg!D6</f>
        <v>12.9359794422418</v>
      </c>
      <c r="E15" s="6" t="n">
        <f aca="false">Seg!E6</f>
        <v>27.8095064661409</v>
      </c>
      <c r="F15" s="6" t="n">
        <f aca="false">Seg!F6</f>
        <v>59.1034165651511</v>
      </c>
      <c r="G15" s="6" t="n">
        <f aca="false">Seg!G6</f>
        <v>103.451498789198</v>
      </c>
      <c r="H15" s="6" t="n">
        <f aca="false">Seg!H6</f>
        <v>153.816719989035</v>
      </c>
      <c r="I15" s="6" t="n">
        <f aca="false">Seg!I6</f>
        <v>192.699478690852</v>
      </c>
      <c r="J15" s="6" t="n">
        <f aca="false">Seg!J6</f>
        <v>219.794102584244</v>
      </c>
      <c r="K15" s="6" t="n">
        <f aca="false">Seg!K6</f>
        <v>236.757046905022</v>
      </c>
    </row>
    <row r="16" customFormat="false" ht="17.15" hidden="false" customHeight="false" outlineLevel="0" collapsed="false">
      <c r="A16" s="0" t="s">
        <v>1056</v>
      </c>
      <c r="B16" s="0" t="s">
        <v>98</v>
      </c>
      <c r="D16" s="6" t="n">
        <f aca="false">Seg!D7</f>
        <v>59.6740205577583</v>
      </c>
      <c r="E16" s="6" t="n">
        <f aca="false">Seg!E7</f>
        <v>74.1284935338591</v>
      </c>
      <c r="F16" s="6" t="n">
        <f aca="false">Seg!F7</f>
        <v>90.4866018070994</v>
      </c>
      <c r="G16" s="6" t="n">
        <f aca="false">Seg!G7</f>
        <v>107.511588557154</v>
      </c>
      <c r="H16" s="6" t="n">
        <f aca="false">Seg!H7</f>
        <v>124.832989325489</v>
      </c>
      <c r="I16" s="6" t="n">
        <f aca="false">Seg!I7</f>
        <v>141.56992589148</v>
      </c>
      <c r="J16" s="6" t="n">
        <f aca="false">Seg!J7</f>
        <v>156.723190479428</v>
      </c>
      <c r="K16" s="6" t="n">
        <f aca="false">Seg!K7</f>
        <v>169.261045717783</v>
      </c>
    </row>
    <row r="17" customFormat="false" ht="15" hidden="false" customHeight="false" outlineLevel="0" collapsed="false">
      <c r="A17" s="0" t="s">
        <v>1036</v>
      </c>
      <c r="B17" s="0" t="s">
        <v>98</v>
      </c>
      <c r="D17" s="6" t="n">
        <f aca="false">Seg!D14</f>
        <v>84.605</v>
      </c>
      <c r="E17" s="6" t="n">
        <f aca="false">Seg!E14</f>
        <v>100.299</v>
      </c>
      <c r="F17" s="6" t="n">
        <f aca="false">Seg!F14</f>
        <v>119.729653205718</v>
      </c>
      <c r="G17" s="6" t="n">
        <f aca="false">Seg!G14</f>
        <v>140.806092647576</v>
      </c>
      <c r="H17" s="6" t="n">
        <f aca="false">Seg!H14</f>
        <v>161.963437602768</v>
      </c>
      <c r="I17" s="6" t="n">
        <f aca="false">Seg!I14</f>
        <v>180.695354741933</v>
      </c>
      <c r="J17" s="6" t="n">
        <f aca="false">Seg!J14</f>
        <v>196.722117481571</v>
      </c>
      <c r="K17" s="6" t="n">
        <f aca="false">Seg!K14</f>
        <v>212.00016570528</v>
      </c>
    </row>
    <row r="18" customFormat="false" ht="17.15" hidden="false" customHeight="false" outlineLevel="0" collapsed="false">
      <c r="A18" s="0" t="s">
        <v>1057</v>
      </c>
      <c r="B18" s="0" t="s">
        <v>98</v>
      </c>
      <c r="D18" s="6" t="n">
        <f aca="false">Seg!D12</f>
        <v>83.705</v>
      </c>
      <c r="E18" s="6" t="n">
        <f aca="false">Seg!E12</f>
        <v>95.049</v>
      </c>
      <c r="F18" s="6" t="n">
        <f aca="false">Seg!F12</f>
        <v>106.229653205718</v>
      </c>
      <c r="G18" s="6" t="n">
        <f aca="false">Seg!G12</f>
        <v>118.306092647576</v>
      </c>
      <c r="H18" s="6" t="n">
        <f aca="false">Seg!H12</f>
        <v>130.463437602768</v>
      </c>
      <c r="I18" s="6" t="n">
        <f aca="false">Seg!I12</f>
        <v>142.445354741933</v>
      </c>
      <c r="J18" s="6" t="n">
        <f aca="false">Seg!J12</f>
        <v>153.972117481571</v>
      </c>
      <c r="K18" s="6" t="n">
        <f aca="false">Seg!K12</f>
        <v>164.75016570528</v>
      </c>
    </row>
    <row r="19" customFormat="false" ht="17.15" hidden="false" customHeight="false" outlineLevel="0" collapsed="false">
      <c r="A19" s="0" t="s">
        <v>1058</v>
      </c>
      <c r="B19" s="0" t="s">
        <v>98</v>
      </c>
      <c r="D19" s="6" t="n">
        <f aca="false">Seg!D11</f>
        <v>0.9</v>
      </c>
      <c r="E19" s="6" t="n">
        <f aca="false">Seg!E11</f>
        <v>5.25</v>
      </c>
      <c r="F19" s="6" t="n">
        <f aca="false">Seg!F11</f>
        <v>13.5</v>
      </c>
      <c r="G19" s="6" t="n">
        <f aca="false">Seg!G11</f>
        <v>22.5</v>
      </c>
      <c r="H19" s="6" t="n">
        <f aca="false">Seg!H11</f>
        <v>31.5</v>
      </c>
      <c r="I19" s="6" t="n">
        <f aca="false">Seg!I11</f>
        <v>38.25</v>
      </c>
      <c r="J19" s="6" t="n">
        <f aca="false">Seg!J11</f>
        <v>42.75</v>
      </c>
      <c r="K19" s="6" t="n">
        <f aca="false">Seg!K11</f>
        <v>47.25</v>
      </c>
    </row>
    <row r="20" customFormat="false" ht="15" hidden="false" customHeight="false" outlineLevel="0" collapsed="false">
      <c r="A20" s="0" t="s">
        <v>1037</v>
      </c>
      <c r="B20" s="0" t="s">
        <v>98</v>
      </c>
      <c r="D20" s="6" t="n">
        <f aca="false">Seg!D15</f>
        <v>35.391</v>
      </c>
      <c r="E20" s="6" t="n">
        <f aca="false">Seg!E15</f>
        <v>37.285</v>
      </c>
      <c r="F20" s="6" t="n">
        <f aca="false">Seg!F15</f>
        <v>38.3851437782675</v>
      </c>
      <c r="G20" s="6" t="n">
        <f aca="false">Seg!G15</f>
        <v>40.0105353288615</v>
      </c>
      <c r="H20" s="6" t="n">
        <f aca="false">Seg!H15</f>
        <v>41.4812512033683</v>
      </c>
      <c r="I20" s="6" t="n">
        <f aca="false">Seg!I15</f>
        <v>42.7743107216329</v>
      </c>
      <c r="J20" s="6" t="n">
        <f aca="false">Seg!J15</f>
        <v>43.8687373064601</v>
      </c>
      <c r="K20" s="6" t="n">
        <f aca="false">Seg!K15</f>
        <v>44.7461120525893</v>
      </c>
    </row>
    <row r="21" customFormat="false" ht="15" hidden="false" customHeight="false" outlineLevel="0" collapsed="false">
      <c r="A21" s="0" t="s">
        <v>1039</v>
      </c>
      <c r="B21" s="0" t="s">
        <v>98</v>
      </c>
      <c r="D21" s="6" t="n">
        <f aca="false">Seg!D17</f>
        <v>18.417</v>
      </c>
      <c r="E21" s="6" t="n">
        <f aca="false">Seg!E17</f>
        <v>20.345</v>
      </c>
      <c r="F21" s="6" t="n">
        <f aca="false">Seg!F17</f>
        <v>22.3161797133988</v>
      </c>
      <c r="G21" s="6" t="n">
        <f aca="false">Seg!G17</f>
        <v>24.3943499673233</v>
      </c>
      <c r="H21" s="6" t="n">
        <f aca="false">Seg!H17</f>
        <v>26.5250243109019</v>
      </c>
      <c r="I21" s="6" t="n">
        <f aca="false">Seg!I17</f>
        <v>28.6884573538181</v>
      </c>
      <c r="J21" s="6" t="n">
        <f aca="false">Seg!J17</f>
        <v>30.8624968052127</v>
      </c>
      <c r="K21" s="6" t="n">
        <f aca="false">Seg!K17</f>
        <v>33.0228715815776</v>
      </c>
    </row>
    <row r="22" customFormat="false" ht="15" hidden="false" customHeight="false" outlineLevel="0" collapsed="false">
      <c r="A22" s="0" t="s">
        <v>1040</v>
      </c>
      <c r="B22" s="0" t="s">
        <v>98</v>
      </c>
      <c r="D22" s="6" t="n">
        <f aca="false">Seg!D19</f>
        <v>7.76</v>
      </c>
      <c r="E22" s="6" t="n">
        <f aca="false">Seg!E19</f>
        <v>8.26</v>
      </c>
      <c r="F22" s="6" t="n">
        <f aca="false">Seg!F19</f>
        <v>8.75372082474227</v>
      </c>
      <c r="G22" s="6" t="n">
        <f aca="false">Seg!G19</f>
        <v>9.33399324642364</v>
      </c>
      <c r="H22" s="6" t="n">
        <f aca="false">Seg!H19</f>
        <v>9.96139155535851</v>
      </c>
      <c r="I22" s="6" t="n">
        <f aca="false">Seg!I19</f>
        <v>10.6402039077391</v>
      </c>
      <c r="J22" s="6" t="n">
        <f aca="false">Seg!J19</f>
        <v>11.3751458271397</v>
      </c>
      <c r="K22" s="6" t="n">
        <f aca="false">Seg!K19</f>
        <v>12.1714060350394</v>
      </c>
    </row>
    <row r="23" customFormat="false" ht="15" hidden="false" customHeight="false" outlineLevel="0" collapsed="false">
      <c r="A23" s="0" t="s">
        <v>856</v>
      </c>
      <c r="B23" s="0" t="s">
        <v>98</v>
      </c>
      <c r="D23" s="6" t="n">
        <f aca="false">Seg!D21</f>
        <v>218.783</v>
      </c>
      <c r="E23" s="6" t="n">
        <f aca="false">Seg!E21</f>
        <v>268.127</v>
      </c>
      <c r="F23" s="6" t="n">
        <f aca="false">Seg!F21</f>
        <v>338.774715894377</v>
      </c>
      <c r="G23" s="6" t="n">
        <f aca="false">Seg!G21</f>
        <v>425.508058536537</v>
      </c>
      <c r="H23" s="6" t="n">
        <f aca="false">Seg!H21</f>
        <v>518.580813986921</v>
      </c>
      <c r="I23" s="6" t="n">
        <f aca="false">Seg!I21</f>
        <v>597.067731307455</v>
      </c>
      <c r="J23" s="6" t="n">
        <f aca="false">Seg!J21</f>
        <v>659.345790484055</v>
      </c>
      <c r="K23" s="6" t="n">
        <f aca="false">Seg!K21</f>
        <v>707.958647997291</v>
      </c>
    </row>
    <row r="24" customFormat="false" ht="15" hidden="false" customHeight="false" outlineLevel="0" collapsed="false">
      <c r="A24" s="0" t="s">
        <v>1041</v>
      </c>
      <c r="B24" s="0" t="s">
        <v>98</v>
      </c>
      <c r="D24" s="6" t="n">
        <f aca="false">Seg!D22</f>
        <v>22.171</v>
      </c>
      <c r="E24" s="6" t="n">
        <f aca="false">Seg!E22</f>
        <v>24.835</v>
      </c>
      <c r="F24" s="6" t="n">
        <f aca="false">Seg!F22</f>
        <v>27.5591895660247</v>
      </c>
      <c r="G24" s="6" t="n">
        <f aca="false">Seg!G22</f>
        <v>30.4098563144583</v>
      </c>
      <c r="H24" s="6" t="n">
        <f aca="false">Seg!H22</f>
        <v>33.3011792571777</v>
      </c>
      <c r="I24" s="6" t="n">
        <f aca="false">Seg!I22</f>
        <v>36.189023797112</v>
      </c>
      <c r="J24" s="6" t="n">
        <f aca="false">Seg!J22</f>
        <v>39.0247773769199</v>
      </c>
      <c r="K24" s="6" t="n">
        <f aca="false">Seg!K22</f>
        <v>41.7565117933043</v>
      </c>
    </row>
    <row r="25" customFormat="false" ht="15" hidden="false" customHeight="false" outlineLevel="0" collapsed="false">
      <c r="A25" s="0" t="s">
        <v>1042</v>
      </c>
      <c r="B25" s="0" t="s">
        <v>98</v>
      </c>
      <c r="D25" s="6" t="n">
        <f aca="false">Seg!D24</f>
        <v>23.455</v>
      </c>
      <c r="E25" s="6" t="n">
        <f aca="false">Seg!E24</f>
        <v>21.79</v>
      </c>
      <c r="F25" s="6" t="n">
        <f aca="false">Seg!F24</f>
        <v>20.7520981041711</v>
      </c>
      <c r="G25" s="6" t="n">
        <f aca="false">Seg!G24</f>
        <v>19.9083593495882</v>
      </c>
      <c r="H25" s="6" t="n">
        <f aca="false">Seg!H24</f>
        <v>19.4008256265831</v>
      </c>
      <c r="I25" s="6" t="n">
        <f aca="false">Seg!I24</f>
        <v>19.200434522122</v>
      </c>
      <c r="J25" s="6" t="n">
        <f aca="false">Seg!J24</f>
        <v>19.2932782348507</v>
      </c>
      <c r="K25" s="6" t="n">
        <f aca="false">Seg!K24</f>
        <v>19.6791437995477</v>
      </c>
    </row>
    <row r="26" customFormat="false" ht="15" hidden="false" customHeight="false" outlineLevel="0" collapsed="false">
      <c r="A26" s="0" t="s">
        <v>1043</v>
      </c>
      <c r="B26" s="0" t="s">
        <v>98</v>
      </c>
      <c r="D26" s="6" t="n">
        <f aca="false">Seg!D26</f>
        <v>17.315</v>
      </c>
      <c r="E26" s="6" t="n">
        <f aca="false">Seg!E26</f>
        <v>17.087</v>
      </c>
      <c r="F26" s="6" t="n">
        <f aca="false">Seg!F26</f>
        <v>15.9912273250553</v>
      </c>
      <c r="G26" s="6" t="n">
        <f aca="false">Seg!G26</f>
        <v>15.9574562664827</v>
      </c>
      <c r="H26" s="6" t="n">
        <f aca="false">Seg!H26</f>
        <v>16.0119687434196</v>
      </c>
      <c r="I26" s="6" t="n">
        <f aca="false">Seg!I26</f>
        <v>16.1551810001948</v>
      </c>
      <c r="J26" s="6" t="n">
        <f aca="false">Seg!J26</f>
        <v>16.3889793892005</v>
      </c>
      <c r="K26" s="6" t="n">
        <f aca="false">Seg!K26</f>
        <v>16.7167589769845</v>
      </c>
    </row>
    <row r="27" customFormat="false" ht="15" hidden="false" customHeight="false" outlineLevel="0" collapsed="false">
      <c r="A27" s="0" t="s">
        <v>870</v>
      </c>
      <c r="B27" s="0" t="s">
        <v>98</v>
      </c>
      <c r="D27" s="6" t="n">
        <f aca="false">Seg!D28</f>
        <v>62.941</v>
      </c>
      <c r="E27" s="6" t="n">
        <f aca="false">Seg!E28</f>
        <v>63.712</v>
      </c>
      <c r="F27" s="6" t="n">
        <f aca="false">Seg!F28</f>
        <v>64.3025149952511</v>
      </c>
      <c r="G27" s="6" t="n">
        <f aca="false">Seg!G28</f>
        <v>66.2756719305292</v>
      </c>
      <c r="H27" s="6" t="n">
        <f aca="false">Seg!H28</f>
        <v>68.7139736271804</v>
      </c>
      <c r="I27" s="6" t="n">
        <f aca="false">Seg!I28</f>
        <v>71.5446393194289</v>
      </c>
      <c r="J27" s="6" t="n">
        <f aca="false">Seg!J28</f>
        <v>74.707035000971</v>
      </c>
      <c r="K27" s="6" t="n">
        <f aca="false">Seg!K28</f>
        <v>78.1524145698365</v>
      </c>
    </row>
    <row r="28" customFormat="false" ht="15" hidden="false" customHeight="false" outlineLevel="0" collapsed="false">
      <c r="A28" s="1" t="s">
        <v>1059</v>
      </c>
      <c r="B28" s="0" t="s">
        <v>98</v>
      </c>
      <c r="D28" s="6" t="n">
        <f aca="false">Seg!D29</f>
        <v>281.724</v>
      </c>
      <c r="E28" s="6" t="n">
        <f aca="false">Seg!E29</f>
        <v>331.839</v>
      </c>
      <c r="F28" s="6" t="n">
        <f aca="false">Seg!F29</f>
        <v>403.077230889628</v>
      </c>
      <c r="G28" s="6" t="n">
        <f aca="false">Seg!G29</f>
        <v>491.783730467066</v>
      </c>
      <c r="H28" s="6" t="n">
        <f aca="false">Seg!H29</f>
        <v>587.294787614101</v>
      </c>
      <c r="I28" s="6" t="n">
        <f aca="false">Seg!I29</f>
        <v>668.612370626884</v>
      </c>
      <c r="J28" s="6" t="n">
        <f aca="false">Seg!J29</f>
        <v>734.052825485026</v>
      </c>
      <c r="K28" s="6" t="n">
        <f aca="false">Seg!K29</f>
        <v>786.111062567128</v>
      </c>
    </row>
    <row r="29" customFormat="false" ht="15" hidden="false" customHeight="false" outlineLevel="0" collapsed="false">
      <c r="A29" s="1" t="s">
        <v>1060</v>
      </c>
      <c r="B29" s="0" t="s">
        <v>168</v>
      </c>
      <c r="E29" s="7" t="n">
        <f aca="false">PL!E28/PL!D28-1</f>
        <v>0.177886867998467</v>
      </c>
      <c r="F29" s="7" t="n">
        <f aca="false">PL!F28/PL!E28-1</f>
        <v>0.21467709006364</v>
      </c>
      <c r="G29" s="7" t="n">
        <f aca="false">PL!G28/PL!F28-1</f>
        <v>0.220073208753704</v>
      </c>
      <c r="H29" s="7" t="n">
        <f aca="false">PL!H28/PL!G28-1</f>
        <v>0.194213535808362</v>
      </c>
      <c r="I29" s="7" t="n">
        <f aca="false">PL!I28/PL!H28-1</f>
        <v>0.13846127145643</v>
      </c>
      <c r="J29" s="7" t="n">
        <f aca="false">PL!J28/PL!I28-1</f>
        <v>0.0978750285412546</v>
      </c>
      <c r="K29" s="7" t="n">
        <f aca="false">PL!K28/PL!J28-1</f>
        <v>0.0709189247350204</v>
      </c>
    </row>
    <row r="30" customFormat="false" ht="17.15" hidden="false" customHeight="false" outlineLevel="0" collapsed="false">
      <c r="A30" s="26" t="s">
        <v>1061</v>
      </c>
      <c r="B30" s="31" t="s">
        <v>98</v>
      </c>
      <c r="C30" s="31"/>
      <c r="D30" s="27" t="n">
        <f aca="false">(PL!D23+PL!D27-PL!D28)+(PL!D15+PL!D16-PL!D14)+(PL!D18+PL!D19-PL!D17)+(PL!D28-Q!L18)</f>
        <v>0</v>
      </c>
      <c r="E30" s="27" t="n">
        <f aca="false">(PL!E23+PL!E27-PL!E28)+(PL!E15+PL!E16-PL!E14)+(PL!E18+PL!E19-PL!E17)+(PL!E28-Q!M18)</f>
        <v>0</v>
      </c>
      <c r="F30" s="27" t="n">
        <f aca="false">(PL!F23+PL!F27-PL!F28)+(PL!F15+PL!F16-PL!F14)+(PL!F18+PL!F19-PL!F17)</f>
        <v>0</v>
      </c>
      <c r="G30" s="27" t="n">
        <f aca="false">(PL!G23+PL!G27-PL!G28)+(PL!G15+PL!G16-PL!G14)+(PL!G18+PL!G19-PL!G17)</f>
        <v>0</v>
      </c>
      <c r="H30" s="27" t="n">
        <f aca="false">(PL!H23+PL!H27-PL!H28)+(PL!H15+PL!H16-PL!H14)+(PL!H18+PL!H19-PL!H17)</f>
        <v>0</v>
      </c>
      <c r="I30" s="27" t="n">
        <f aca="false">(PL!I23+PL!I27-PL!I28)+(PL!I15+PL!I16-PL!I14)+(PL!I18+PL!I19-PL!I17)</f>
        <v>0</v>
      </c>
      <c r="J30" s="27" t="n">
        <f aca="false">(PL!J23+PL!J27-PL!J28)+(PL!J15+PL!J16-PL!J14)+(PL!J18+PL!J19-PL!J17)</f>
        <v>0</v>
      </c>
      <c r="K30" s="27" t="n">
        <f aca="false">(PL!K23+PL!K27-PL!K28)+(PL!K15+PL!K16-PL!K14)+(PL!K18+PL!K19-PL!K17)</f>
        <v>0</v>
      </c>
    </row>
    <row r="31" customFormat="false" ht="17.15" hidden="false" customHeight="false" outlineLevel="0" collapsed="false">
      <c r="A31" s="0" t="s">
        <v>1062</v>
      </c>
      <c r="B31" s="0" t="s">
        <v>168</v>
      </c>
      <c r="E31" s="7" t="n">
        <f aca="false">(Q!M21+Thesis!E27+Thesis!E28+Thesis!E29+Thesis!E43-Thesis!E25)/(Q!M5-Thesis!E25)</f>
        <v>0.570957350878296</v>
      </c>
      <c r="F31" s="7" t="n">
        <f aca="false">PL!$E$31+dm_seg</f>
        <v>0.570957350878296</v>
      </c>
      <c r="G31" s="7" t="n">
        <f aca="false">PL!$E$31+dm_seg</f>
        <v>0.570957350878296</v>
      </c>
      <c r="H31" s="7" t="n">
        <f aca="false">PL!$E$31+dm_seg</f>
        <v>0.570957350878296</v>
      </c>
      <c r="I31" s="7" t="n">
        <f aca="false">PL!$E$31+dm_seg</f>
        <v>0.570957350878296</v>
      </c>
      <c r="J31" s="7" t="n">
        <f aca="false">PL!$E$31+dm_seg</f>
        <v>0.570957350878296</v>
      </c>
      <c r="K31" s="7" t="n">
        <f aca="false">PL!$E$31+dm_seg</f>
        <v>0.570957350878296</v>
      </c>
      <c r="L31" s="12" t="s">
        <v>1063</v>
      </c>
    </row>
    <row r="32" customFormat="false" ht="17.15" hidden="false" customHeight="false" outlineLevel="0" collapsed="false">
      <c r="A32" s="0" t="s">
        <v>884</v>
      </c>
      <c r="B32" s="0" t="s">
        <v>98</v>
      </c>
      <c r="D32" s="6" t="n">
        <f aca="false">Q!L21</f>
        <v>110.814</v>
      </c>
      <c r="E32" s="6" t="n">
        <f aca="false">Q!M21</f>
        <v>136.365</v>
      </c>
      <c r="F32" s="6" t="n">
        <f aca="false">Q!$I$21+(PL!F31*(Seg!F21-Thesis!F25)+Thesis!F25-(Thesis!F27+Thesis!F28+Thesis!F29)-Thesis!F43-CF!F18)*(Seg!F21-Q!$I$5)/Seg!F21</f>
        <v>165.518940289865</v>
      </c>
      <c r="G32" s="6" t="n">
        <f aca="false">(PL!G31*(Seg!G21-Thesis!G25)+Thesis!G25-(Thesis!G27+Thesis!G28+Thesis!G29)-Thesis!G43-CF!G18)</f>
        <v>191.522093802735</v>
      </c>
      <c r="H32" s="6" t="n">
        <f aca="false">(PL!H31*(Seg!H21-Thesis!H25)+Thesis!H25-(Thesis!H27+Thesis!H28+Thesis!H29)-Thesis!H43-CF!H18)</f>
        <v>225.776483596689</v>
      </c>
      <c r="I32" s="6" t="n">
        <f aca="false">(PL!I31*(Seg!I21-Thesis!I25)+Thesis!I25-(Thesis!I27+Thesis!I28+Thesis!I29)-Thesis!I43-CF!I18)</f>
        <v>251.64174329374</v>
      </c>
      <c r="J32" s="6" t="n">
        <f aca="false">(PL!J31*(Seg!J21-Thesis!J25)+Thesis!J25-(Thesis!J27+Thesis!J28+Thesis!J29)-Thesis!J43-CF!J18)</f>
        <v>273.893745224048</v>
      </c>
      <c r="K32" s="6" t="n">
        <f aca="false">(PL!K31*(Seg!K21-Thesis!K25)+Thesis!K25-(Thesis!K27+Thesis!K28+Thesis!K29)-Thesis!K43-CF!K18)</f>
        <v>293.874045571005</v>
      </c>
      <c r="L32" s="1" t="s">
        <v>1064</v>
      </c>
    </row>
    <row r="33" customFormat="false" ht="17.15" hidden="false" customHeight="false" outlineLevel="0" collapsed="false">
      <c r="A33" s="0" t="s">
        <v>1065</v>
      </c>
      <c r="B33" s="0" t="s">
        <v>168</v>
      </c>
      <c r="E33" s="7" t="n">
        <f aca="false">Q!M22/Q!M12</f>
        <v>0.296207935710698</v>
      </c>
      <c r="F33" s="7" t="n">
        <f aca="false">PL!$E$33+dm_seg</f>
        <v>0.296207935710698</v>
      </c>
      <c r="G33" s="7" t="n">
        <f aca="false">PL!$E$33+dm_seg</f>
        <v>0.296207935710698</v>
      </c>
      <c r="H33" s="7" t="n">
        <f aca="false">PL!$E$33+dm_seg</f>
        <v>0.296207935710698</v>
      </c>
      <c r="I33" s="7" t="n">
        <f aca="false">PL!$E$33+dm_seg</f>
        <v>0.296207935710698</v>
      </c>
      <c r="J33" s="7" t="n">
        <f aca="false">PL!$E$33+dm_seg</f>
        <v>0.296207935710698</v>
      </c>
      <c r="K33" s="7" t="n">
        <f aca="false">PL!$E$33+dm_seg</f>
        <v>0.296207935710698</v>
      </c>
      <c r="L33" s="12" t="s">
        <v>1066</v>
      </c>
    </row>
    <row r="34" customFormat="false" ht="17.15" hidden="false" customHeight="false" outlineLevel="0" collapsed="false">
      <c r="A34" s="0" t="s">
        <v>886</v>
      </c>
      <c r="B34" s="0" t="s">
        <v>98</v>
      </c>
      <c r="D34" s="6" t="n">
        <f aca="false">Q!L22</f>
        <v>17.714</v>
      </c>
      <c r="E34" s="6" t="n">
        <f aca="false">Q!M22</f>
        <v>18.872</v>
      </c>
      <c r="F34" s="6" t="n">
        <f aca="false">Q!$I$22+(Seg!F28-Q!$I$12)*PL!F33</f>
        <v>19.8174315512051</v>
      </c>
      <c r="G34" s="6" t="n">
        <f aca="false">Seg!G28*PL!G33</f>
        <v>19.6313799703815</v>
      </c>
      <c r="H34" s="6" t="n">
        <f aca="false">Seg!H28*PL!H33</f>
        <v>20.3536242825865</v>
      </c>
      <c r="I34" s="6" t="n">
        <f aca="false">Seg!I28*PL!I33</f>
        <v>21.1920899239745</v>
      </c>
      <c r="J34" s="6" t="n">
        <f aca="false">Seg!J28*PL!J33</f>
        <v>22.1288166207045</v>
      </c>
      <c r="K34" s="6" t="n">
        <f aca="false">Seg!K28*PL!K33</f>
        <v>23.1493653905379</v>
      </c>
      <c r="L34" s="12" t="s">
        <v>1067</v>
      </c>
    </row>
    <row r="35" customFormat="false" ht="15" hidden="false" customHeight="false" outlineLevel="0" collapsed="false">
      <c r="A35" s="1" t="s">
        <v>1068</v>
      </c>
      <c r="B35" s="0" t="s">
        <v>98</v>
      </c>
      <c r="D35" s="6" t="n">
        <f aca="false">PL!D32+PL!D34</f>
        <v>128.528</v>
      </c>
      <c r="E35" s="6" t="n">
        <f aca="false">PL!E32+PL!E34</f>
        <v>155.237</v>
      </c>
      <c r="F35" s="6" t="n">
        <f aca="false">PL!F32+PL!F34</f>
        <v>185.33637184107</v>
      </c>
      <c r="G35" s="6" t="n">
        <f aca="false">PL!G32+PL!G34</f>
        <v>211.153473773117</v>
      </c>
      <c r="H35" s="6" t="n">
        <f aca="false">PL!H32+PL!H34</f>
        <v>246.130107879275</v>
      </c>
      <c r="I35" s="6" t="n">
        <f aca="false">PL!I32+PL!I34</f>
        <v>272.833833217714</v>
      </c>
      <c r="J35" s="6" t="n">
        <f aca="false">PL!J32+PL!J34</f>
        <v>296.022561844752</v>
      </c>
      <c r="K35" s="6" t="n">
        <f aca="false">PL!K32+PL!K34</f>
        <v>317.023410961543</v>
      </c>
    </row>
    <row r="36" customFormat="false" ht="15" hidden="false" customHeight="false" outlineLevel="0" collapsed="false">
      <c r="A36" s="26" t="s">
        <v>1069</v>
      </c>
      <c r="B36" s="31" t="s">
        <v>98</v>
      </c>
      <c r="C36" s="31"/>
      <c r="D36" s="27" t="n">
        <f aca="false">PL!D35-Q!L23</f>
        <v>0</v>
      </c>
      <c r="E36" s="27" t="n">
        <f aca="false">PL!E35-Q!M23</f>
        <v>0</v>
      </c>
      <c r="F36" s="31"/>
      <c r="G36" s="31"/>
      <c r="H36" s="31"/>
      <c r="I36" s="31"/>
      <c r="J36" s="31"/>
      <c r="K36" s="31"/>
    </row>
    <row r="37" customFormat="false" ht="15" hidden="false" customHeight="false" outlineLevel="0" collapsed="false">
      <c r="A37" s="1" t="s">
        <v>1070</v>
      </c>
      <c r="B37" s="0" t="s">
        <v>168</v>
      </c>
      <c r="D37" s="7" t="n">
        <f aca="false">PL!D35/PL!D28</f>
        <v>0.456219562408598</v>
      </c>
      <c r="E37" s="7" t="n">
        <f aca="false">PL!E35/PL!E28</f>
        <v>0.467808184089272</v>
      </c>
      <c r="F37" s="7" t="n">
        <f aca="false">PL!F35/PL!F28</f>
        <v>0.45980362480911</v>
      </c>
      <c r="G37" s="7" t="n">
        <f aca="false">PL!G35/PL!G28</f>
        <v>0.429362462992779</v>
      </c>
      <c r="H37" s="7" t="n">
        <f aca="false">PL!H35/PL!H28</f>
        <v>0.419091252076636</v>
      </c>
      <c r="I37" s="7" t="n">
        <f aca="false">PL!I35/PL!I28</f>
        <v>0.408059804460256</v>
      </c>
      <c r="J37" s="7" t="n">
        <f aca="false">PL!J35/PL!J28</f>
        <v>0.403271469800767</v>
      </c>
      <c r="K37" s="7" t="n">
        <f aca="false">PL!K35/PL!K28</f>
        <v>0.403280689024106</v>
      </c>
    </row>
    <row r="38" customFormat="false" ht="17.15" hidden="false" customHeight="false" outlineLevel="0" collapsed="false">
      <c r="A38" s="1" t="s">
        <v>1071</v>
      </c>
      <c r="B38" s="0" t="s">
        <v>98</v>
      </c>
      <c r="F38" s="6" t="n">
        <f aca="false">Thesis!F47</f>
        <v>8.88340674531245</v>
      </c>
      <c r="G38" s="6" t="n">
        <f aca="false">Thesis!G47</f>
        <v>22.7060305170273</v>
      </c>
      <c r="H38" s="6" t="n">
        <f aca="false">Thesis!H47</f>
        <v>38.0018452382075</v>
      </c>
      <c r="I38" s="6" t="n">
        <f aca="false">Thesis!I47</f>
        <v>52.1381094705177</v>
      </c>
      <c r="J38" s="6" t="n">
        <f aca="false">Thesis!J47</f>
        <v>62.0595818934393</v>
      </c>
      <c r="K38" s="6" t="n">
        <f aca="false">Thesis!K47</f>
        <v>67.0801312706266</v>
      </c>
      <c r="L38" s="1" t="s">
        <v>1072</v>
      </c>
    </row>
    <row r="39" customFormat="false" ht="17.15" hidden="false" customHeight="false" outlineLevel="0" collapsed="false">
      <c r="A39" s="1" t="s">
        <v>1073</v>
      </c>
      <c r="B39" s="0" t="s">
        <v>98</v>
      </c>
      <c r="D39" s="6" t="n">
        <f aca="false">PL!D35</f>
        <v>128.528</v>
      </c>
      <c r="E39" s="6" t="n">
        <f aca="false">PL!E35</f>
        <v>155.237</v>
      </c>
      <c r="F39" s="6" t="n">
        <f aca="false">PL!F35+PL!F38</f>
        <v>194.219778586382</v>
      </c>
      <c r="G39" s="6" t="n">
        <f aca="false">PL!G35+PL!G38</f>
        <v>233.859504290144</v>
      </c>
      <c r="H39" s="6" t="n">
        <f aca="false">PL!H35+PL!H38</f>
        <v>284.131953117483</v>
      </c>
      <c r="I39" s="6" t="n">
        <f aca="false">PL!I35+PL!I38</f>
        <v>324.971942688232</v>
      </c>
      <c r="J39" s="6" t="n">
        <f aca="false">PL!J35+PL!J38</f>
        <v>358.082143738192</v>
      </c>
      <c r="K39" s="6" t="n">
        <f aca="false">PL!K35+PL!K38</f>
        <v>384.10354223217</v>
      </c>
    </row>
    <row r="40" customFormat="false" ht="17.15" hidden="false" customHeight="false" outlineLevel="0" collapsed="false">
      <c r="A40" s="1" t="s">
        <v>1074</v>
      </c>
      <c r="B40" s="0" t="s">
        <v>98</v>
      </c>
      <c r="E40" s="6" t="n">
        <f aca="false">Thesis!E43</f>
        <v>16.3054059770833</v>
      </c>
      <c r="F40" s="6" t="n">
        <f aca="false">Thesis!F43</f>
        <v>34.5793144783516</v>
      </c>
      <c r="G40" s="6" t="n">
        <f aca="false">Thesis!G43</f>
        <v>60.7344906522989</v>
      </c>
      <c r="H40" s="6" t="n">
        <f aca="false">Thesis!H43</f>
        <v>89.1000906614457</v>
      </c>
      <c r="I40" s="6" t="n">
        <f aca="false">Thesis!I43</f>
        <v>114.231009694548</v>
      </c>
      <c r="J40" s="6" t="n">
        <f aca="false">Thesis!J43</f>
        <v>132.015673049596</v>
      </c>
      <c r="K40" s="6" t="n">
        <f aca="false">Thesis!K43</f>
        <v>143.012669550934</v>
      </c>
    </row>
    <row r="41" customFormat="false" ht="17.15" hidden="false" customHeight="false" outlineLevel="0" collapsed="false">
      <c r="A41" s="1" t="s">
        <v>1075</v>
      </c>
      <c r="B41" s="0" t="s">
        <v>98</v>
      </c>
      <c r="E41" s="6" t="n">
        <f aca="false">CF!E17</f>
        <v>22.2285940229167</v>
      </c>
      <c r="F41" s="6" t="n">
        <f aca="false">CF!F17</f>
        <v>23.580344216413</v>
      </c>
      <c r="G41" s="6" t="n">
        <f aca="false">CF!G17</f>
        <v>25.3801415764809</v>
      </c>
      <c r="H41" s="6" t="n">
        <f aca="false">CF!H17</f>
        <v>27.5964639802758</v>
      </c>
      <c r="I41" s="6" t="n">
        <f aca="false">CF!I17</f>
        <v>30.152940612192</v>
      </c>
      <c r="J41" s="6" t="n">
        <f aca="false">CF!J17</f>
        <v>32.9575022150393</v>
      </c>
      <c r="K41" s="6" t="n">
        <f aca="false">CF!K17</f>
        <v>35.9256779798081</v>
      </c>
    </row>
    <row r="42" customFormat="false" ht="17.15" hidden="false" customHeight="false" outlineLevel="0" collapsed="false">
      <c r="A42" s="1" t="s">
        <v>1076</v>
      </c>
      <c r="B42" s="0" t="s">
        <v>98</v>
      </c>
      <c r="D42" s="6" t="n">
        <f aca="false">Q!L27</f>
        <v>-4.901</v>
      </c>
      <c r="E42" s="6" t="n">
        <f aca="false">Q!M27</f>
        <v>10.697</v>
      </c>
      <c r="F42" s="6" t="n">
        <f aca="false">Q!$I$27+oie_f*(q_per_yr-1)/q_per_yr</f>
        <v>-0.862</v>
      </c>
      <c r="G42" s="6" t="n">
        <f aca="false">oie_f</f>
        <v>-1.2</v>
      </c>
      <c r="H42" s="6" t="n">
        <f aca="false">oie_f</f>
        <v>-1.2</v>
      </c>
      <c r="I42" s="6" t="n">
        <f aca="false">oie_f</f>
        <v>-1.2</v>
      </c>
      <c r="J42" s="6" t="n">
        <f aca="false">oie_f</f>
        <v>-1.2</v>
      </c>
      <c r="K42" s="6" t="n">
        <f aca="false">oie_f</f>
        <v>-1.2</v>
      </c>
      <c r="L42" s="12" t="s">
        <v>1077</v>
      </c>
    </row>
    <row r="43" customFormat="false" ht="15" hidden="false" customHeight="false" outlineLevel="0" collapsed="false">
      <c r="A43" s="1" t="s">
        <v>1078</v>
      </c>
      <c r="B43" s="0" t="s">
        <v>98</v>
      </c>
      <c r="D43" s="6" t="n">
        <f aca="false">PL!D35+PL!D42</f>
        <v>123.627</v>
      </c>
      <c r="E43" s="6" t="n">
        <f aca="false">PL!E35+PL!E42</f>
        <v>165.934</v>
      </c>
      <c r="F43" s="6" t="n">
        <f aca="false">PL!F35+PL!F42</f>
        <v>184.47437184107</v>
      </c>
      <c r="G43" s="6" t="n">
        <f aca="false">PL!G35+PL!G42</f>
        <v>209.953473773117</v>
      </c>
      <c r="H43" s="6" t="n">
        <f aca="false">PL!H35+PL!H42</f>
        <v>244.930107879275</v>
      </c>
      <c r="I43" s="6" t="n">
        <f aca="false">PL!I35+PL!I42</f>
        <v>271.633833217714</v>
      </c>
      <c r="J43" s="6" t="n">
        <f aca="false">PL!J35+PL!J42</f>
        <v>294.822561844752</v>
      </c>
      <c r="K43" s="6" t="n">
        <f aca="false">PL!K35+PL!K42</f>
        <v>315.823410961543</v>
      </c>
    </row>
    <row r="44" customFormat="false" ht="15" hidden="false" customHeight="false" outlineLevel="0" collapsed="false">
      <c r="A44" s="1" t="s">
        <v>1079</v>
      </c>
      <c r="B44" s="0" t="s">
        <v>98</v>
      </c>
      <c r="D44" s="6" t="n">
        <f aca="false">Q!L29</f>
        <v>21.795</v>
      </c>
      <c r="E44" s="6" t="n">
        <f aca="false">Q!M29</f>
        <v>32.185</v>
      </c>
      <c r="F44" s="6" t="n">
        <f aca="false">Q!$I$29+(PL!F43-Q!$I$28)*tax_f</f>
        <v>37.0282743682139</v>
      </c>
      <c r="G44" s="6" t="n">
        <f aca="false">PL!G43*tax_f</f>
        <v>41.9906947546233</v>
      </c>
      <c r="H44" s="6" t="n">
        <f aca="false">PL!H43*tax_f</f>
        <v>48.9860215758551</v>
      </c>
      <c r="I44" s="6" t="n">
        <f aca="false">PL!I43*tax_f</f>
        <v>54.3267666435428</v>
      </c>
      <c r="J44" s="6" t="n">
        <f aca="false">PL!J43*tax_f</f>
        <v>58.9645123689505</v>
      </c>
      <c r="K44" s="6" t="n">
        <f aca="false">PL!K43*tax_f</f>
        <v>63.1646821923086</v>
      </c>
    </row>
    <row r="45" customFormat="false" ht="15" hidden="false" customHeight="false" outlineLevel="0" collapsed="false">
      <c r="A45" s="1" t="s">
        <v>1080</v>
      </c>
      <c r="B45" s="0" t="s">
        <v>98</v>
      </c>
      <c r="D45" s="6" t="n">
        <f aca="false">PL!D43-PL!D44</f>
        <v>101.832</v>
      </c>
      <c r="E45" s="6" t="n">
        <f aca="false">PL!E43-PL!E44</f>
        <v>133.749</v>
      </c>
      <c r="F45" s="6" t="n">
        <f aca="false">PL!F43-PL!F44</f>
        <v>147.446097472856</v>
      </c>
      <c r="G45" s="6" t="n">
        <f aca="false">PL!G43-PL!G44</f>
        <v>167.962779018493</v>
      </c>
      <c r="H45" s="6" t="n">
        <f aca="false">PL!H43-PL!H44</f>
        <v>195.94408630342</v>
      </c>
      <c r="I45" s="6" t="n">
        <f aca="false">PL!I43-PL!I44</f>
        <v>217.307066574171</v>
      </c>
      <c r="J45" s="6" t="n">
        <f aca="false">PL!J43-PL!J44</f>
        <v>235.858049475802</v>
      </c>
      <c r="K45" s="6" t="n">
        <f aca="false">PL!K43-PL!K44</f>
        <v>252.658728769235</v>
      </c>
    </row>
    <row r="46" customFormat="false" ht="17.15" hidden="false" customHeight="false" outlineLevel="0" collapsed="false">
      <c r="A46" s="1" t="s">
        <v>1081</v>
      </c>
      <c r="B46" s="1" t="s">
        <v>81</v>
      </c>
      <c r="D46" s="15" t="n">
        <f aca="false">Q!L31</f>
        <v>7.465</v>
      </c>
      <c r="E46" s="15" t="n">
        <f aca="false">Q!M31</f>
        <v>7.453</v>
      </c>
      <c r="F46" s="15" t="n">
        <f aca="false">CF!F42</f>
        <v>7.4706326876771</v>
      </c>
      <c r="G46" s="15" t="n">
        <f aca="false">CF!G42</f>
        <v>7.50990360175967</v>
      </c>
      <c r="H46" s="15" t="n">
        <f aca="false">CF!H42</f>
        <v>7.53474176719395</v>
      </c>
      <c r="I46" s="15" t="n">
        <f aca="false">CF!I42</f>
        <v>7.54642313124942</v>
      </c>
      <c r="J46" s="15" t="n">
        <f aca="false">CF!J42</f>
        <v>7.56057254241189</v>
      </c>
      <c r="K46" s="15" t="n">
        <f aca="false">CF!K42</f>
        <v>7.57700718237714</v>
      </c>
    </row>
    <row r="47" customFormat="false" ht="17.15" hidden="false" customHeight="false" outlineLevel="0" collapsed="false">
      <c r="A47" s="0" t="s">
        <v>1082</v>
      </c>
      <c r="B47" s="0" t="s">
        <v>75</v>
      </c>
      <c r="D47" s="8" t="n">
        <f aca="false">PL!D45/PL!D46</f>
        <v>13.641259209645</v>
      </c>
      <c r="E47" s="8" t="n">
        <f aca="false">PL!E45/PL!E46</f>
        <v>17.9456594659869</v>
      </c>
      <c r="F47" s="8" t="n">
        <f aca="false">PL!F45/PL!F46</f>
        <v>19.7367617492518</v>
      </c>
      <c r="G47" s="8" t="n">
        <f aca="false">PL!G45/PL!G46</f>
        <v>22.365503996501</v>
      </c>
      <c r="H47" s="8" t="n">
        <f aca="false">PL!H45/PL!H46</f>
        <v>26.0054149641273</v>
      </c>
      <c r="I47" s="8" t="n">
        <f aca="false">PL!I45/PL!I46</f>
        <v>28.7960352599779</v>
      </c>
      <c r="J47" s="8" t="n">
        <f aca="false">PL!J45/PL!J46</f>
        <v>31.195792137795</v>
      </c>
      <c r="K47" s="8" t="n">
        <f aca="false">PL!K45/PL!K46</f>
        <v>33.3454519294738</v>
      </c>
      <c r="L47" s="1" t="s">
        <v>1083</v>
      </c>
    </row>
    <row r="48" customFormat="false" ht="17.15" hidden="false" customHeight="false" outlineLevel="0" collapsed="false">
      <c r="A48" s="1" t="s">
        <v>1084</v>
      </c>
      <c r="B48" s="0" t="s">
        <v>98</v>
      </c>
      <c r="D48" s="6" t="n">
        <f aca="false">PL!D45</f>
        <v>101.832</v>
      </c>
      <c r="E48" s="6" t="n">
        <f aca="false">PL!E45</f>
        <v>133.749</v>
      </c>
      <c r="F48" s="6" t="n">
        <f aca="false">PL!F45+PL!F38*(1-tax_f)</f>
        <v>154.552822869106</v>
      </c>
      <c r="G48" s="6" t="n">
        <f aca="false">PL!G45+PL!G38*(1-tax_f)</f>
        <v>186.127603432115</v>
      </c>
      <c r="H48" s="6" t="n">
        <f aca="false">PL!H45+PL!H38*(1-tax_f)</f>
        <v>226.345562493986</v>
      </c>
      <c r="I48" s="6" t="n">
        <f aca="false">PL!I45+PL!I38*(1-tax_f)</f>
        <v>259.017554150585</v>
      </c>
      <c r="J48" s="6" t="n">
        <f aca="false">PL!J45+PL!J38*(1-tax_f)</f>
        <v>285.505714990553</v>
      </c>
      <c r="K48" s="6" t="n">
        <f aca="false">PL!K45+PL!K38*(1-tax_f)</f>
        <v>306.322833785736</v>
      </c>
    </row>
    <row r="49" customFormat="false" ht="17.15" hidden="false" customHeight="false" outlineLevel="0" collapsed="false">
      <c r="A49" s="0" t="s">
        <v>1085</v>
      </c>
      <c r="B49" s="0" t="s">
        <v>75</v>
      </c>
      <c r="D49" s="8" t="n">
        <f aca="false">PL!D48/PL!D46</f>
        <v>13.641259209645</v>
      </c>
      <c r="E49" s="8" t="n">
        <f aca="false">PL!E48/PL!E46</f>
        <v>17.9456594659869</v>
      </c>
      <c r="F49" s="8" t="n">
        <f aca="false">PL!F48/PL!F46</f>
        <v>20.6880500394622</v>
      </c>
      <c r="G49" s="8" t="n">
        <f aca="false">PL!G48/PL!G46</f>
        <v>24.7842866303241</v>
      </c>
      <c r="H49" s="8" t="n">
        <f aca="false">PL!H48/PL!H46</f>
        <v>30.0402547940645</v>
      </c>
      <c r="I49" s="8" t="n">
        <f aca="false">PL!I48/PL!I46</f>
        <v>34.3232216966479</v>
      </c>
      <c r="J49" s="8" t="n">
        <f aca="false">PL!J48/PL!J46</f>
        <v>37.7624463476776</v>
      </c>
      <c r="K49" s="8" t="n">
        <f aca="false">PL!K48/PL!K46</f>
        <v>40.427945547972</v>
      </c>
      <c r="L49" s="1" t="s">
        <v>1086</v>
      </c>
    </row>
    <row r="50" customFormat="false" ht="17.15" hidden="false" customHeight="false" outlineLevel="0" collapsed="false">
      <c r="A50" s="0" t="s">
        <v>1087</v>
      </c>
      <c r="B50" s="0" t="s">
        <v>168</v>
      </c>
      <c r="E50" s="7" t="n">
        <f aca="false">PL!E49/PL!D49-1</f>
        <v>0.315542736208578</v>
      </c>
      <c r="F50" s="7" t="n">
        <f aca="false">PL!F49/PL!E49-1</f>
        <v>0.152816372041</v>
      </c>
      <c r="G50" s="7" t="n">
        <f aca="false">PL!G49/PL!F49-1</f>
        <v>0.198000129690735</v>
      </c>
      <c r="H50" s="7" t="n">
        <f aca="false">PL!H49/PL!G49-1</f>
        <v>0.212068567562063</v>
      </c>
      <c r="I50" s="7" t="n">
        <f aca="false">PL!I49/PL!H49-1</f>
        <v>0.14257425351231</v>
      </c>
      <c r="J50" s="7" t="n">
        <f aca="false">PL!J49/PL!I49-1</f>
        <v>0.100201102373953</v>
      </c>
      <c r="K50" s="7" t="n">
        <f aca="false">PL!K49/PL!J49-1</f>
        <v>0.0705859778191604</v>
      </c>
    </row>
    <row r="51" customFormat="false" ht="17.15" hidden="false" customHeight="false" outlineLevel="0" collapsed="false">
      <c r="A51" s="3" t="s">
        <v>1088</v>
      </c>
    </row>
    <row r="52" customFormat="false" ht="15" hidden="false" customHeight="false" outlineLevel="0" collapsed="false">
      <c r="A52" s="4" t="s">
        <v>43</v>
      </c>
      <c r="B52" s="4" t="s">
        <v>65</v>
      </c>
      <c r="C52" s="23" t="s">
        <v>942</v>
      </c>
      <c r="D52" s="23" t="s">
        <v>943</v>
      </c>
      <c r="E52" s="23" t="s">
        <v>944</v>
      </c>
      <c r="F52" s="23" t="s">
        <v>945</v>
      </c>
      <c r="G52" s="23" t="s">
        <v>946</v>
      </c>
      <c r="H52" s="23" t="s">
        <v>947</v>
      </c>
      <c r="I52" s="23" t="s">
        <v>948</v>
      </c>
      <c r="J52" s="23" t="s">
        <v>949</v>
      </c>
      <c r="K52" s="23" t="s">
        <v>950</v>
      </c>
      <c r="L52" s="4" t="s">
        <v>47</v>
      </c>
    </row>
    <row r="53" customFormat="false" ht="15" hidden="false" customHeight="false" outlineLevel="0" collapsed="false">
      <c r="A53" s="0" t="s">
        <v>1029</v>
      </c>
      <c r="B53" s="0" t="s">
        <v>98</v>
      </c>
      <c r="D53" s="6" t="n">
        <f aca="false">Seg!D36</f>
        <v>72.61</v>
      </c>
      <c r="E53" s="6" t="n">
        <f aca="false">Seg!E36</f>
        <v>101.938</v>
      </c>
      <c r="F53" s="6" t="n">
        <f aca="false">Seg!F36</f>
        <v>146.709048000181</v>
      </c>
      <c r="G53" s="6" t="n">
        <f aca="false">Seg!G36</f>
        <v>199.762829861393</v>
      </c>
      <c r="H53" s="6" t="n">
        <f aca="false">Seg!H36</f>
        <v>254.146566109645</v>
      </c>
      <c r="I53" s="6" t="n">
        <f aca="false">Seg!I36</f>
        <v>303.439446964617</v>
      </c>
      <c r="J53" s="6" t="n">
        <f aca="false">Seg!J36</f>
        <v>341.309898459739</v>
      </c>
      <c r="K53" s="6" t="n">
        <f aca="false">Seg!K36</f>
        <v>368.09747789654</v>
      </c>
    </row>
    <row r="54" customFormat="false" ht="17.15" hidden="false" customHeight="false" outlineLevel="0" collapsed="false">
      <c r="A54" s="0" t="s">
        <v>1025</v>
      </c>
      <c r="B54" s="0" t="s">
        <v>98</v>
      </c>
      <c r="D54" s="6" t="n">
        <f aca="false">Seg!D33</f>
        <v>12.9359794422418</v>
      </c>
      <c r="E54" s="6" t="n">
        <f aca="false">Seg!E33</f>
        <v>27.8095064661409</v>
      </c>
      <c r="F54" s="6" t="n">
        <f aca="false">Seg!F33</f>
        <v>55.4118315060966</v>
      </c>
      <c r="G54" s="6" t="n">
        <f aca="false">Seg!G33</f>
        <v>91.2881100675143</v>
      </c>
      <c r="H54" s="6" t="n">
        <f aca="false">Seg!H33</f>
        <v>128.195273603944</v>
      </c>
      <c r="I54" s="6" t="n">
        <f aca="false">Seg!I33</f>
        <v>160.601281810405</v>
      </c>
      <c r="J54" s="6" t="n">
        <f aca="false">Seg!J33</f>
        <v>183.182719793589</v>
      </c>
      <c r="K54" s="6" t="n">
        <f aca="false">Seg!K33</f>
        <v>197.320124937098</v>
      </c>
    </row>
    <row r="55" customFormat="false" ht="17.15" hidden="false" customHeight="false" outlineLevel="0" collapsed="false">
      <c r="A55" s="0" t="s">
        <v>1056</v>
      </c>
      <c r="B55" s="0" t="s">
        <v>98</v>
      </c>
      <c r="D55" s="6" t="n">
        <f aca="false">Seg!D34</f>
        <v>59.6740205577583</v>
      </c>
      <c r="E55" s="6" t="n">
        <f aca="false">Seg!E34</f>
        <v>74.1284935338591</v>
      </c>
      <c r="F55" s="6" t="n">
        <f aca="false">Seg!F34</f>
        <v>91.2972164940844</v>
      </c>
      <c r="G55" s="6" t="n">
        <f aca="false">Seg!G34</f>
        <v>108.474719793879</v>
      </c>
      <c r="H55" s="6" t="n">
        <f aca="false">Seg!H34</f>
        <v>125.951292505701</v>
      </c>
      <c r="I55" s="6" t="n">
        <f aca="false">Seg!I34</f>
        <v>142.838165154212</v>
      </c>
      <c r="J55" s="6" t="n">
        <f aca="false">Seg!J34</f>
        <v>158.12717866615</v>
      </c>
      <c r="K55" s="6" t="n">
        <f aca="false">Seg!K34</f>
        <v>170.777352959442</v>
      </c>
    </row>
    <row r="56" customFormat="false" ht="15" hidden="false" customHeight="false" outlineLevel="0" collapsed="false">
      <c r="A56" s="0" t="s">
        <v>1036</v>
      </c>
      <c r="B56" s="0" t="s">
        <v>98</v>
      </c>
      <c r="D56" s="6" t="n">
        <f aca="false">Seg!D41</f>
        <v>84.605</v>
      </c>
      <c r="E56" s="6" t="n">
        <f aca="false">Seg!E41</f>
        <v>100.299</v>
      </c>
      <c r="F56" s="6" t="n">
        <f aca="false">Seg!F41</f>
        <v>118.584003697747</v>
      </c>
      <c r="G56" s="6" t="n">
        <f aca="false">Seg!G41</f>
        <v>136.700726545688</v>
      </c>
      <c r="H56" s="6" t="n">
        <f aca="false">Seg!H41</f>
        <v>154.898624783666</v>
      </c>
      <c r="I56" s="6" t="n">
        <f aca="false">Seg!I41</f>
        <v>171.420510030657</v>
      </c>
      <c r="J56" s="6" t="n">
        <f aca="false">Seg!J41</f>
        <v>185.985722618572</v>
      </c>
      <c r="K56" s="6" t="n">
        <f aca="false">Seg!K41</f>
        <v>199.799723201872</v>
      </c>
    </row>
    <row r="57" customFormat="false" ht="17.15" hidden="false" customHeight="false" outlineLevel="0" collapsed="false">
      <c r="A57" s="0" t="s">
        <v>1057</v>
      </c>
      <c r="B57" s="0" t="s">
        <v>98</v>
      </c>
      <c r="D57" s="6" t="n">
        <f aca="false">Seg!D39</f>
        <v>83.705</v>
      </c>
      <c r="E57" s="6" t="n">
        <f aca="false">Seg!E39</f>
        <v>95.049</v>
      </c>
      <c r="F57" s="6" t="n">
        <f aca="false">Seg!F39</f>
        <v>106.584003697747</v>
      </c>
      <c r="G57" s="6" t="n">
        <f aca="false">Seg!G39</f>
        <v>118.700726545688</v>
      </c>
      <c r="H57" s="6" t="n">
        <f aca="false">Seg!H39</f>
        <v>130.898624783666</v>
      </c>
      <c r="I57" s="6" t="n">
        <f aca="false">Seg!I39</f>
        <v>142.920510030657</v>
      </c>
      <c r="J57" s="6" t="n">
        <f aca="false">Seg!J39</f>
        <v>154.485722618572</v>
      </c>
      <c r="K57" s="6" t="n">
        <f aca="false">Seg!K39</f>
        <v>165.299723201872</v>
      </c>
    </row>
    <row r="58" customFormat="false" ht="17.15" hidden="false" customHeight="false" outlineLevel="0" collapsed="false">
      <c r="A58" s="0" t="s">
        <v>1058</v>
      </c>
      <c r="B58" s="0" t="s">
        <v>98</v>
      </c>
      <c r="D58" s="6" t="n">
        <f aca="false">Seg!D38</f>
        <v>0.9</v>
      </c>
      <c r="E58" s="6" t="n">
        <f aca="false">Seg!E38</f>
        <v>5.25</v>
      </c>
      <c r="F58" s="6" t="n">
        <f aca="false">Seg!F38</f>
        <v>12</v>
      </c>
      <c r="G58" s="6" t="n">
        <f aca="false">Seg!G38</f>
        <v>18</v>
      </c>
      <c r="H58" s="6" t="n">
        <f aca="false">Seg!H38</f>
        <v>24</v>
      </c>
      <c r="I58" s="6" t="n">
        <f aca="false">Seg!I38</f>
        <v>28.5</v>
      </c>
      <c r="J58" s="6" t="n">
        <f aca="false">Seg!J38</f>
        <v>31.5</v>
      </c>
      <c r="K58" s="6" t="n">
        <f aca="false">Seg!K38</f>
        <v>34.5</v>
      </c>
    </row>
    <row r="59" customFormat="false" ht="15" hidden="false" customHeight="false" outlineLevel="0" collapsed="false">
      <c r="A59" s="0" t="s">
        <v>1037</v>
      </c>
      <c r="B59" s="0" t="s">
        <v>98</v>
      </c>
      <c r="D59" s="6" t="n">
        <f aca="false">Seg!D42</f>
        <v>35.391</v>
      </c>
      <c r="E59" s="6" t="n">
        <f aca="false">Seg!E42</f>
        <v>37.285</v>
      </c>
      <c r="F59" s="6" t="n">
        <f aca="false">Seg!F42</f>
        <v>38.3851437782675</v>
      </c>
      <c r="G59" s="6" t="n">
        <f aca="false">Seg!G42</f>
        <v>40.0105353288615</v>
      </c>
      <c r="H59" s="6" t="n">
        <f aca="false">Seg!H42</f>
        <v>41.4812512033683</v>
      </c>
      <c r="I59" s="6" t="n">
        <f aca="false">Seg!I42</f>
        <v>42.7743107216329</v>
      </c>
      <c r="J59" s="6" t="n">
        <f aca="false">Seg!J42</f>
        <v>43.8687373064601</v>
      </c>
      <c r="K59" s="6" t="n">
        <f aca="false">Seg!K42</f>
        <v>44.7461120525893</v>
      </c>
    </row>
    <row r="60" customFormat="false" ht="15" hidden="false" customHeight="false" outlineLevel="0" collapsed="false">
      <c r="A60" s="0" t="s">
        <v>1039</v>
      </c>
      <c r="B60" s="0" t="s">
        <v>98</v>
      </c>
      <c r="D60" s="6" t="n">
        <f aca="false">Seg!D44</f>
        <v>18.417</v>
      </c>
      <c r="E60" s="6" t="n">
        <f aca="false">Seg!E44</f>
        <v>20.345</v>
      </c>
      <c r="F60" s="6" t="n">
        <f aca="false">Seg!F44</f>
        <v>22.3161797133988</v>
      </c>
      <c r="G60" s="6" t="n">
        <f aca="false">Seg!G44</f>
        <v>24.3943499673233</v>
      </c>
      <c r="H60" s="6" t="n">
        <f aca="false">Seg!H44</f>
        <v>26.5250243109019</v>
      </c>
      <c r="I60" s="6" t="n">
        <f aca="false">Seg!I44</f>
        <v>28.6884573538181</v>
      </c>
      <c r="J60" s="6" t="n">
        <f aca="false">Seg!J44</f>
        <v>30.8624968052127</v>
      </c>
      <c r="K60" s="6" t="n">
        <f aca="false">Seg!K44</f>
        <v>33.0228715815776</v>
      </c>
    </row>
    <row r="61" customFormat="false" ht="15" hidden="false" customHeight="false" outlineLevel="0" collapsed="false">
      <c r="A61" s="0" t="s">
        <v>1040</v>
      </c>
      <c r="B61" s="0" t="s">
        <v>98</v>
      </c>
      <c r="D61" s="6" t="n">
        <f aca="false">Seg!D46</f>
        <v>7.76</v>
      </c>
      <c r="E61" s="6" t="n">
        <f aca="false">Seg!E46</f>
        <v>8.26</v>
      </c>
      <c r="F61" s="6" t="n">
        <f aca="false">Seg!F46</f>
        <v>8.75372082474227</v>
      </c>
      <c r="G61" s="6" t="n">
        <f aca="false">Seg!G46</f>
        <v>9.33399324642364</v>
      </c>
      <c r="H61" s="6" t="n">
        <f aca="false">Seg!H46</f>
        <v>9.96139155535851</v>
      </c>
      <c r="I61" s="6" t="n">
        <f aca="false">Seg!I46</f>
        <v>10.6402039077391</v>
      </c>
      <c r="J61" s="6" t="n">
        <f aca="false">Seg!J46</f>
        <v>11.3751458271397</v>
      </c>
      <c r="K61" s="6" t="n">
        <f aca="false">Seg!K46</f>
        <v>12.1714060350394</v>
      </c>
    </row>
    <row r="62" customFormat="false" ht="15" hidden="false" customHeight="false" outlineLevel="0" collapsed="false">
      <c r="A62" s="0" t="s">
        <v>856</v>
      </c>
      <c r="B62" s="0" t="s">
        <v>98</v>
      </c>
      <c r="D62" s="6" t="n">
        <f aca="false">Seg!D48</f>
        <v>218.783</v>
      </c>
      <c r="E62" s="6" t="n">
        <f aca="false">Seg!E48</f>
        <v>268.127</v>
      </c>
      <c r="F62" s="6" t="n">
        <f aca="false">Seg!F48</f>
        <v>334.748096014336</v>
      </c>
      <c r="G62" s="6" t="n">
        <f aca="false">Seg!G48</f>
        <v>410.20243494969</v>
      </c>
      <c r="H62" s="6" t="n">
        <f aca="false">Seg!H48</f>
        <v>487.012857962939</v>
      </c>
      <c r="I62" s="6" t="n">
        <f aca="false">Seg!I48</f>
        <v>556.962928978464</v>
      </c>
      <c r="J62" s="6" t="n">
        <f aca="false">Seg!J48</f>
        <v>613.402001017124</v>
      </c>
      <c r="K62" s="6" t="n">
        <f aca="false">Seg!K48</f>
        <v>657.837590767618</v>
      </c>
    </row>
    <row r="63" customFormat="false" ht="15" hidden="false" customHeight="false" outlineLevel="0" collapsed="false">
      <c r="A63" s="0" t="s">
        <v>1041</v>
      </c>
      <c r="B63" s="0" t="s">
        <v>98</v>
      </c>
      <c r="D63" s="6" t="n">
        <f aca="false">Seg!D49</f>
        <v>22.171</v>
      </c>
      <c r="E63" s="6" t="n">
        <f aca="false">Seg!E49</f>
        <v>24.835</v>
      </c>
      <c r="F63" s="6" t="n">
        <f aca="false">Seg!F49</f>
        <v>27.5591895660247</v>
      </c>
      <c r="G63" s="6" t="n">
        <f aca="false">Seg!G49</f>
        <v>30.4098563144583</v>
      </c>
      <c r="H63" s="6" t="n">
        <f aca="false">Seg!H49</f>
        <v>33.3011792571777</v>
      </c>
      <c r="I63" s="6" t="n">
        <f aca="false">Seg!I49</f>
        <v>36.189023797112</v>
      </c>
      <c r="J63" s="6" t="n">
        <f aca="false">Seg!J49</f>
        <v>39.0247773769199</v>
      </c>
      <c r="K63" s="6" t="n">
        <f aca="false">Seg!K49</f>
        <v>41.7565117933043</v>
      </c>
    </row>
    <row r="64" customFormat="false" ht="15" hidden="false" customHeight="false" outlineLevel="0" collapsed="false">
      <c r="A64" s="0" t="s">
        <v>1042</v>
      </c>
      <c r="B64" s="0" t="s">
        <v>98</v>
      </c>
      <c r="D64" s="6" t="n">
        <f aca="false">Seg!D51</f>
        <v>23.455</v>
      </c>
      <c r="E64" s="6" t="n">
        <f aca="false">Seg!E51</f>
        <v>21.79</v>
      </c>
      <c r="F64" s="6" t="n">
        <f aca="false">Seg!F51</f>
        <v>20.7520981041711</v>
      </c>
      <c r="G64" s="6" t="n">
        <f aca="false">Seg!G51</f>
        <v>19.9083593495882</v>
      </c>
      <c r="H64" s="6" t="n">
        <f aca="false">Seg!H51</f>
        <v>19.4008256265831</v>
      </c>
      <c r="I64" s="6" t="n">
        <f aca="false">Seg!I51</f>
        <v>19.200434522122</v>
      </c>
      <c r="J64" s="6" t="n">
        <f aca="false">Seg!J51</f>
        <v>19.2932782348507</v>
      </c>
      <c r="K64" s="6" t="n">
        <f aca="false">Seg!K51</f>
        <v>19.6791437995477</v>
      </c>
    </row>
    <row r="65" customFormat="false" ht="15" hidden="false" customHeight="false" outlineLevel="0" collapsed="false">
      <c r="A65" s="0" t="s">
        <v>1043</v>
      </c>
      <c r="B65" s="0" t="s">
        <v>98</v>
      </c>
      <c r="D65" s="6" t="n">
        <f aca="false">Seg!D53</f>
        <v>17.315</v>
      </c>
      <c r="E65" s="6" t="n">
        <f aca="false">Seg!E53</f>
        <v>17.087</v>
      </c>
      <c r="F65" s="6" t="n">
        <f aca="false">Seg!F53</f>
        <v>15.9912273250553</v>
      </c>
      <c r="G65" s="6" t="n">
        <f aca="false">Seg!G53</f>
        <v>15.9574562664827</v>
      </c>
      <c r="H65" s="6" t="n">
        <f aca="false">Seg!H53</f>
        <v>16.0119687434196</v>
      </c>
      <c r="I65" s="6" t="n">
        <f aca="false">Seg!I53</f>
        <v>16.1551810001948</v>
      </c>
      <c r="J65" s="6" t="n">
        <f aca="false">Seg!J53</f>
        <v>16.3889793892005</v>
      </c>
      <c r="K65" s="6" t="n">
        <f aca="false">Seg!K53</f>
        <v>16.7167589769845</v>
      </c>
    </row>
    <row r="66" customFormat="false" ht="15" hidden="false" customHeight="false" outlineLevel="0" collapsed="false">
      <c r="A66" s="0" t="s">
        <v>870</v>
      </c>
      <c r="B66" s="0" t="s">
        <v>98</v>
      </c>
      <c r="D66" s="6" t="n">
        <f aca="false">Seg!D55</f>
        <v>62.941</v>
      </c>
      <c r="E66" s="6" t="n">
        <f aca="false">Seg!E55</f>
        <v>63.712</v>
      </c>
      <c r="F66" s="6" t="n">
        <f aca="false">Seg!F55</f>
        <v>64.3025149952511</v>
      </c>
      <c r="G66" s="6" t="n">
        <f aca="false">Seg!G55</f>
        <v>66.2756719305292</v>
      </c>
      <c r="H66" s="6" t="n">
        <f aca="false">Seg!H55</f>
        <v>68.7139736271804</v>
      </c>
      <c r="I66" s="6" t="n">
        <f aca="false">Seg!I55</f>
        <v>71.5446393194289</v>
      </c>
      <c r="J66" s="6" t="n">
        <f aca="false">Seg!J55</f>
        <v>74.707035000971</v>
      </c>
      <c r="K66" s="6" t="n">
        <f aca="false">Seg!K55</f>
        <v>78.1524145698365</v>
      </c>
    </row>
    <row r="67" customFormat="false" ht="15" hidden="false" customHeight="false" outlineLevel="0" collapsed="false">
      <c r="A67" s="1" t="s">
        <v>1059</v>
      </c>
      <c r="B67" s="0" t="s">
        <v>98</v>
      </c>
      <c r="D67" s="6" t="n">
        <f aca="false">Seg!D56</f>
        <v>281.724</v>
      </c>
      <c r="E67" s="6" t="n">
        <f aca="false">Seg!E56</f>
        <v>331.839</v>
      </c>
      <c r="F67" s="6" t="n">
        <f aca="false">Seg!F56</f>
        <v>399.050611009588</v>
      </c>
      <c r="G67" s="6" t="n">
        <f aca="false">Seg!G56</f>
        <v>476.478106880219</v>
      </c>
      <c r="H67" s="6" t="n">
        <f aca="false">Seg!H56</f>
        <v>555.72683159012</v>
      </c>
      <c r="I67" s="6" t="n">
        <f aca="false">Seg!I56</f>
        <v>628.507568297893</v>
      </c>
      <c r="J67" s="6" t="n">
        <f aca="false">Seg!J56</f>
        <v>688.109036018095</v>
      </c>
      <c r="K67" s="6" t="n">
        <f aca="false">Seg!K56</f>
        <v>735.990005337455</v>
      </c>
    </row>
    <row r="68" customFormat="false" ht="15" hidden="false" customHeight="false" outlineLevel="0" collapsed="false">
      <c r="A68" s="1" t="s">
        <v>1060</v>
      </c>
      <c r="B68" s="0" t="s">
        <v>168</v>
      </c>
      <c r="E68" s="7" t="n">
        <f aca="false">PL!E67/PL!D67-1</f>
        <v>0.177886867998467</v>
      </c>
      <c r="F68" s="7" t="n">
        <f aca="false">PL!F67/PL!E67-1</f>
        <v>0.202542832547071</v>
      </c>
      <c r="G68" s="7" t="n">
        <f aca="false">PL!G67/PL!F67-1</f>
        <v>0.194029262791359</v>
      </c>
      <c r="H68" s="7" t="n">
        <f aca="false">PL!H67/PL!G67-1</f>
        <v>0.166321859421387</v>
      </c>
      <c r="I68" s="7" t="n">
        <f aca="false">PL!I67/PL!H67-1</f>
        <v>0.13096494999085</v>
      </c>
      <c r="J68" s="7" t="n">
        <f aca="false">PL!J67/PL!I67-1</f>
        <v>0.0948301511811749</v>
      </c>
      <c r="K68" s="7" t="n">
        <f aca="false">PL!K67/PL!J67-1</f>
        <v>0.0695834043924704</v>
      </c>
    </row>
    <row r="69" customFormat="false" ht="17.15" hidden="false" customHeight="false" outlineLevel="0" collapsed="false">
      <c r="A69" s="26" t="s">
        <v>1061</v>
      </c>
      <c r="B69" s="31" t="s">
        <v>98</v>
      </c>
      <c r="C69" s="31"/>
      <c r="D69" s="27" t="n">
        <f aca="false">(PL!D62+PL!D66-PL!D67)+(PL!D54+PL!D55-PL!D53)+(PL!D57+PL!D58-PL!D56)+(PL!D67-Q!L18)</f>
        <v>0</v>
      </c>
      <c r="E69" s="27" t="n">
        <f aca="false">(PL!E62+PL!E66-PL!E67)+(PL!E54+PL!E55-PL!E53)+(PL!E57+PL!E58-PL!E56)+(PL!E67-Q!M18)</f>
        <v>0</v>
      </c>
      <c r="F69" s="27" t="n">
        <f aca="false">(PL!F62+PL!F66-PL!F67)+(PL!F54+PL!F55-PL!F53)+(PL!F57+PL!F58-PL!F56)</f>
        <v>0</v>
      </c>
      <c r="G69" s="27" t="n">
        <f aca="false">(PL!G62+PL!G66-PL!G67)+(PL!G54+PL!G55-PL!G53)+(PL!G57+PL!G58-PL!G56)</f>
        <v>0</v>
      </c>
      <c r="H69" s="27" t="n">
        <f aca="false">(PL!H62+PL!H66-PL!H67)+(PL!H54+PL!H55-PL!H53)+(PL!H57+PL!H58-PL!H56)</f>
        <v>0</v>
      </c>
      <c r="I69" s="27" t="n">
        <f aca="false">(PL!I62+PL!I66-PL!I67)+(PL!I54+PL!I55-PL!I53)+(PL!I57+PL!I58-PL!I56)</f>
        <v>0</v>
      </c>
      <c r="J69" s="27" t="n">
        <f aca="false">(PL!J62+PL!J66-PL!J67)+(PL!J54+PL!J55-PL!J53)+(PL!J57+PL!J58-PL!J56)</f>
        <v>0</v>
      </c>
      <c r="K69" s="27" t="n">
        <f aca="false">(PL!K62+PL!K66-PL!K67)+(PL!K54+PL!K55-PL!K53)+(PL!K57+PL!K58-PL!K56)</f>
        <v>0</v>
      </c>
    </row>
    <row r="70" customFormat="false" ht="17.15" hidden="false" customHeight="false" outlineLevel="0" collapsed="false">
      <c r="A70" s="0" t="s">
        <v>1062</v>
      </c>
      <c r="B70" s="0" t="s">
        <v>168</v>
      </c>
      <c r="E70" s="7" t="n">
        <f aca="false">(Q!M21+Thesis!E79+Thesis!E80+Thesis!E81+Thesis!E95-Thesis!E77)/(Q!M5-Thesis!E77)</f>
        <v>0.570957350878296</v>
      </c>
      <c r="F70" s="7" t="n">
        <f aca="false">PL!$E$70+dm_seg</f>
        <v>0.570957350878296</v>
      </c>
      <c r="G70" s="7" t="n">
        <f aca="false">PL!$E$70+dm_seg</f>
        <v>0.570957350878296</v>
      </c>
      <c r="H70" s="7" t="n">
        <f aca="false">PL!$E$70+dm_seg</f>
        <v>0.570957350878296</v>
      </c>
      <c r="I70" s="7" t="n">
        <f aca="false">PL!$E$70+dm_seg</f>
        <v>0.570957350878296</v>
      </c>
      <c r="J70" s="7" t="n">
        <f aca="false">PL!$E$70+dm_seg</f>
        <v>0.570957350878296</v>
      </c>
      <c r="K70" s="7" t="n">
        <f aca="false">PL!$E$70+dm_seg</f>
        <v>0.570957350878296</v>
      </c>
      <c r="L70" s="12" t="s">
        <v>1063</v>
      </c>
    </row>
    <row r="71" customFormat="false" ht="17.15" hidden="false" customHeight="false" outlineLevel="0" collapsed="false">
      <c r="A71" s="0" t="s">
        <v>884</v>
      </c>
      <c r="B71" s="0" t="s">
        <v>98</v>
      </c>
      <c r="D71" s="6" t="n">
        <f aca="false">Q!L21</f>
        <v>110.814</v>
      </c>
      <c r="E71" s="6" t="n">
        <f aca="false">Q!M21</f>
        <v>136.365</v>
      </c>
      <c r="F71" s="6" t="n">
        <f aca="false">Q!$I$21+(PL!F70*(Seg!F48-Thesis!F77)+Thesis!F77-(Thesis!F79+Thesis!F80+Thesis!F81)-Thesis!F95-CF!F50)*(Seg!F48-Q!$I$5)/Seg!F48</f>
        <v>162.089887157538</v>
      </c>
      <c r="G71" s="6" t="n">
        <f aca="false">(PL!G70*(Seg!G48-Thesis!G77)+Thesis!G77-(Thesis!G79+Thesis!G80+Thesis!G81)-Thesis!G95-CF!G50)</f>
        <v>177.568903205394</v>
      </c>
      <c r="H71" s="6" t="n">
        <f aca="false">(PL!H70*(Seg!H48-Thesis!H77)+Thesis!H77-(Thesis!H79+Thesis!H80+Thesis!H81)-Thesis!H95-CF!H50)</f>
        <v>196.763686018119</v>
      </c>
      <c r="I71" s="6" t="n">
        <f aca="false">(PL!I70*(Seg!I48-Thesis!I77)+Thesis!I77-(Thesis!I79+Thesis!I80+Thesis!I81)-Thesis!I95-CF!I50)</f>
        <v>214.975583154087</v>
      </c>
      <c r="J71" s="6" t="n">
        <f aca="false">(PL!J70*(Seg!J48-Thesis!J77)+Thesis!J77-(Thesis!J79+Thesis!J80+Thesis!J81)-Thesis!J95-CF!J50)</f>
        <v>231.957076519688</v>
      </c>
      <c r="K71" s="6" t="n">
        <f aca="false">(PL!K70*(Seg!K48-Thesis!K77)+Thesis!K77-(Thesis!K79+Thesis!K80+Thesis!K81)-Thesis!K95-CF!K50)</f>
        <v>248.339746289158</v>
      </c>
      <c r="L71" s="1" t="s">
        <v>1064</v>
      </c>
    </row>
    <row r="72" customFormat="false" ht="17.15" hidden="false" customHeight="false" outlineLevel="0" collapsed="false">
      <c r="A72" s="0" t="s">
        <v>1065</v>
      </c>
      <c r="B72" s="0" t="s">
        <v>168</v>
      </c>
      <c r="E72" s="7" t="n">
        <f aca="false">Q!M22/Q!M12</f>
        <v>0.296207935710698</v>
      </c>
      <c r="F72" s="7" t="n">
        <f aca="false">PL!$E$72+dm_seg</f>
        <v>0.296207935710698</v>
      </c>
      <c r="G72" s="7" t="n">
        <f aca="false">PL!$E$72+dm_seg</f>
        <v>0.296207935710698</v>
      </c>
      <c r="H72" s="7" t="n">
        <f aca="false">PL!$E$72+dm_seg</f>
        <v>0.296207935710698</v>
      </c>
      <c r="I72" s="7" t="n">
        <f aca="false">PL!$E$72+dm_seg</f>
        <v>0.296207935710698</v>
      </c>
      <c r="J72" s="7" t="n">
        <f aca="false">PL!$E$72+dm_seg</f>
        <v>0.296207935710698</v>
      </c>
      <c r="K72" s="7" t="n">
        <f aca="false">PL!$E$72+dm_seg</f>
        <v>0.296207935710698</v>
      </c>
      <c r="L72" s="12" t="s">
        <v>1066</v>
      </c>
    </row>
    <row r="73" customFormat="false" ht="17.15" hidden="false" customHeight="false" outlineLevel="0" collapsed="false">
      <c r="A73" s="0" t="s">
        <v>886</v>
      </c>
      <c r="B73" s="0" t="s">
        <v>98</v>
      </c>
      <c r="D73" s="6" t="n">
        <f aca="false">Q!L22</f>
        <v>17.714</v>
      </c>
      <c r="E73" s="6" t="n">
        <f aca="false">Q!M22</f>
        <v>18.872</v>
      </c>
      <c r="F73" s="6" t="n">
        <f aca="false">Q!$I$22+(Seg!F55-Q!$I$12)*PL!F72</f>
        <v>19.8174315512051</v>
      </c>
      <c r="G73" s="6" t="n">
        <f aca="false">Seg!G55*PL!G72</f>
        <v>19.6313799703815</v>
      </c>
      <c r="H73" s="6" t="n">
        <f aca="false">Seg!H55*PL!H72</f>
        <v>20.3536242825865</v>
      </c>
      <c r="I73" s="6" t="n">
        <f aca="false">Seg!I55*PL!I72</f>
        <v>21.1920899239745</v>
      </c>
      <c r="J73" s="6" t="n">
        <f aca="false">Seg!J55*PL!J72</f>
        <v>22.1288166207045</v>
      </c>
      <c r="K73" s="6" t="n">
        <f aca="false">Seg!K55*PL!K72</f>
        <v>23.1493653905379</v>
      </c>
      <c r="L73" s="12" t="s">
        <v>1067</v>
      </c>
    </row>
    <row r="74" customFormat="false" ht="15" hidden="false" customHeight="false" outlineLevel="0" collapsed="false">
      <c r="A74" s="1" t="s">
        <v>1068</v>
      </c>
      <c r="B74" s="0" t="s">
        <v>98</v>
      </c>
      <c r="D74" s="6" t="n">
        <f aca="false">PL!D71+PL!D73</f>
        <v>128.528</v>
      </c>
      <c r="E74" s="6" t="n">
        <f aca="false">PL!E71+PL!E73</f>
        <v>155.237</v>
      </c>
      <c r="F74" s="6" t="n">
        <f aca="false">PL!F71+PL!F73</f>
        <v>181.907318708743</v>
      </c>
      <c r="G74" s="6" t="n">
        <f aca="false">PL!G71+PL!G73</f>
        <v>197.200283175776</v>
      </c>
      <c r="H74" s="6" t="n">
        <f aca="false">PL!H71+PL!H73</f>
        <v>217.117310300706</v>
      </c>
      <c r="I74" s="6" t="n">
        <f aca="false">PL!I71+PL!I73</f>
        <v>236.167673078062</v>
      </c>
      <c r="J74" s="6" t="n">
        <f aca="false">PL!J71+PL!J73</f>
        <v>254.085893140393</v>
      </c>
      <c r="K74" s="6" t="n">
        <f aca="false">PL!K71+PL!K73</f>
        <v>271.489111679696</v>
      </c>
    </row>
    <row r="75" customFormat="false" ht="15" hidden="false" customHeight="false" outlineLevel="0" collapsed="false">
      <c r="A75" s="26" t="s">
        <v>1069</v>
      </c>
      <c r="B75" s="31" t="s">
        <v>98</v>
      </c>
      <c r="C75" s="31"/>
      <c r="D75" s="27" t="n">
        <f aca="false">PL!D74-Q!L23</f>
        <v>0</v>
      </c>
      <c r="E75" s="27" t="n">
        <f aca="false">PL!E74-Q!M23</f>
        <v>0</v>
      </c>
      <c r="F75" s="31"/>
      <c r="G75" s="31"/>
      <c r="H75" s="31"/>
      <c r="I75" s="31"/>
      <c r="J75" s="31"/>
      <c r="K75" s="31"/>
    </row>
    <row r="76" customFormat="false" ht="15" hidden="false" customHeight="false" outlineLevel="0" collapsed="false">
      <c r="A76" s="1" t="s">
        <v>1070</v>
      </c>
      <c r="B76" s="0" t="s">
        <v>168</v>
      </c>
      <c r="D76" s="7" t="n">
        <f aca="false">PL!D74/PL!D67</f>
        <v>0.456219562408598</v>
      </c>
      <c r="E76" s="7" t="n">
        <f aca="false">PL!E74/PL!E67</f>
        <v>0.467808184089272</v>
      </c>
      <c r="F76" s="7" t="n">
        <f aca="false">PL!F74/PL!F67</f>
        <v>0.455850244781037</v>
      </c>
      <c r="G76" s="7" t="n">
        <f aca="false">PL!G74/PL!G67</f>
        <v>0.41387060670418</v>
      </c>
      <c r="H76" s="7" t="n">
        <f aca="false">PL!H74/PL!H67</f>
        <v>0.390690709821335</v>
      </c>
      <c r="I76" s="7" t="n">
        <f aca="false">PL!I74/PL!I67</f>
        <v>0.375759473696784</v>
      </c>
      <c r="J76" s="7" t="n">
        <f aca="false">PL!J74/PL!J67</f>
        <v>0.369252371122345</v>
      </c>
      <c r="K76" s="7" t="n">
        <f aca="false">PL!K74/PL!K67</f>
        <v>0.368876084880008</v>
      </c>
    </row>
    <row r="77" customFormat="false" ht="17.15" hidden="false" customHeight="false" outlineLevel="0" collapsed="false">
      <c r="A77" s="1" t="s">
        <v>1071</v>
      </c>
      <c r="B77" s="0" t="s">
        <v>98</v>
      </c>
      <c r="F77" s="6" t="n">
        <f aca="false">Thesis!F99</f>
        <v>9.7398427716299</v>
      </c>
      <c r="G77" s="6" t="n">
        <f aca="false">Thesis!G99</f>
        <v>25.2753385959797</v>
      </c>
      <c r="H77" s="6" t="n">
        <f aca="false">Thesis!H99</f>
        <v>42.2840253697948</v>
      </c>
      <c r="I77" s="6" t="n">
        <f aca="false">Thesis!I99</f>
        <v>57.704943641581</v>
      </c>
      <c r="J77" s="6" t="n">
        <f aca="false">Thesis!J99</f>
        <v>68.4828520908201</v>
      </c>
      <c r="K77" s="6" t="n">
        <f aca="false">Thesis!K99</f>
        <v>74.3598374943249</v>
      </c>
      <c r="L77" s="1" t="s">
        <v>1072</v>
      </c>
    </row>
    <row r="78" customFormat="false" ht="17.15" hidden="false" customHeight="false" outlineLevel="0" collapsed="false">
      <c r="A78" s="1" t="s">
        <v>1073</v>
      </c>
      <c r="B78" s="0" t="s">
        <v>98</v>
      </c>
      <c r="D78" s="6" t="n">
        <f aca="false">PL!D74</f>
        <v>128.528</v>
      </c>
      <c r="E78" s="6" t="n">
        <f aca="false">PL!E74</f>
        <v>155.237</v>
      </c>
      <c r="F78" s="6" t="n">
        <f aca="false">PL!F74+PL!F77</f>
        <v>191.647161480373</v>
      </c>
      <c r="G78" s="6" t="n">
        <f aca="false">PL!G74+PL!G77</f>
        <v>222.475621771755</v>
      </c>
      <c r="H78" s="6" t="n">
        <f aca="false">PL!H74+PL!H77</f>
        <v>259.4013356705</v>
      </c>
      <c r="I78" s="6" t="n">
        <f aca="false">PL!I74+PL!I77</f>
        <v>293.872616719643</v>
      </c>
      <c r="J78" s="6" t="n">
        <f aca="false">PL!J74+PL!J77</f>
        <v>322.568745231213</v>
      </c>
      <c r="K78" s="6" t="n">
        <f aca="false">PL!K74+PL!K77</f>
        <v>345.848949174021</v>
      </c>
    </row>
    <row r="79" customFormat="false" ht="17.15" hidden="false" customHeight="false" outlineLevel="0" collapsed="false">
      <c r="A79" s="1" t="s">
        <v>1074</v>
      </c>
      <c r="B79" s="0" t="s">
        <v>98</v>
      </c>
      <c r="E79" s="6" t="n">
        <f aca="false">Thesis!E95</f>
        <v>16.3054059770833</v>
      </c>
      <c r="F79" s="6" t="n">
        <f aca="false">Thesis!F95</f>
        <v>34.5793144783516</v>
      </c>
      <c r="G79" s="6" t="n">
        <f aca="false">Thesis!G95</f>
        <v>60.7344906522989</v>
      </c>
      <c r="H79" s="6" t="n">
        <f aca="false">Thesis!H95</f>
        <v>89.1000906614457</v>
      </c>
      <c r="I79" s="6" t="n">
        <f aca="false">Thesis!I95</f>
        <v>114.231009694548</v>
      </c>
      <c r="J79" s="6" t="n">
        <f aca="false">Thesis!J95</f>
        <v>132.015673049596</v>
      </c>
      <c r="K79" s="6" t="n">
        <f aca="false">Thesis!K95</f>
        <v>143.012669550934</v>
      </c>
    </row>
    <row r="80" customFormat="false" ht="17.15" hidden="false" customHeight="false" outlineLevel="0" collapsed="false">
      <c r="A80" s="1" t="s">
        <v>1075</v>
      </c>
      <c r="B80" s="0" t="s">
        <v>98</v>
      </c>
      <c r="E80" s="6" t="n">
        <f aca="false">CF!E49</f>
        <v>22.2285940229167</v>
      </c>
      <c r="F80" s="6" t="n">
        <f aca="false">CF!F49</f>
        <v>23.580344216413</v>
      </c>
      <c r="G80" s="6" t="n">
        <f aca="false">CF!G49</f>
        <v>25.3583505401965</v>
      </c>
      <c r="H80" s="6" t="n">
        <f aca="false">CF!H49</f>
        <v>27.528569983033</v>
      </c>
      <c r="I80" s="6" t="n">
        <f aca="false">CF!I49</f>
        <v>30.0244523528154</v>
      </c>
      <c r="J80" s="6" t="n">
        <f aca="false">CF!J49</f>
        <v>32.7625785967048</v>
      </c>
      <c r="K80" s="6" t="n">
        <f aca="false">CF!K49</f>
        <v>35.6585684431062</v>
      </c>
    </row>
    <row r="81" customFormat="false" ht="17.15" hidden="false" customHeight="false" outlineLevel="0" collapsed="false">
      <c r="A81" s="1" t="s">
        <v>1076</v>
      </c>
      <c r="B81" s="0" t="s">
        <v>98</v>
      </c>
      <c r="D81" s="6" t="n">
        <f aca="false">Q!L27</f>
        <v>-4.901</v>
      </c>
      <c r="E81" s="6" t="n">
        <f aca="false">Q!M27</f>
        <v>10.697</v>
      </c>
      <c r="F81" s="6" t="n">
        <f aca="false">Q!$I$27+oie_f*(q_per_yr-1)/q_per_yr</f>
        <v>-0.862</v>
      </c>
      <c r="G81" s="6" t="n">
        <f aca="false">oie_f</f>
        <v>-1.2</v>
      </c>
      <c r="H81" s="6" t="n">
        <f aca="false">oie_f</f>
        <v>-1.2</v>
      </c>
      <c r="I81" s="6" t="n">
        <f aca="false">oie_f</f>
        <v>-1.2</v>
      </c>
      <c r="J81" s="6" t="n">
        <f aca="false">oie_f</f>
        <v>-1.2</v>
      </c>
      <c r="K81" s="6" t="n">
        <f aca="false">oie_f</f>
        <v>-1.2</v>
      </c>
      <c r="L81" s="12" t="s">
        <v>1077</v>
      </c>
    </row>
    <row r="82" customFormat="false" ht="15" hidden="false" customHeight="false" outlineLevel="0" collapsed="false">
      <c r="A82" s="1" t="s">
        <v>1078</v>
      </c>
      <c r="B82" s="0" t="s">
        <v>98</v>
      </c>
      <c r="D82" s="6" t="n">
        <f aca="false">PL!D74+PL!D81</f>
        <v>123.627</v>
      </c>
      <c r="E82" s="6" t="n">
        <f aca="false">PL!E74+PL!E81</f>
        <v>165.934</v>
      </c>
      <c r="F82" s="6" t="n">
        <f aca="false">PL!F74+PL!F81</f>
        <v>181.045318708743</v>
      </c>
      <c r="G82" s="6" t="n">
        <f aca="false">PL!G74+PL!G81</f>
        <v>196.000283175776</v>
      </c>
      <c r="H82" s="6" t="n">
        <f aca="false">PL!H74+PL!H81</f>
        <v>215.917310300706</v>
      </c>
      <c r="I82" s="6" t="n">
        <f aca="false">PL!I74+PL!I81</f>
        <v>234.967673078062</v>
      </c>
      <c r="J82" s="6" t="n">
        <f aca="false">PL!J74+PL!J81</f>
        <v>252.885893140393</v>
      </c>
      <c r="K82" s="6" t="n">
        <f aca="false">PL!K74+PL!K81</f>
        <v>270.289111679696</v>
      </c>
    </row>
    <row r="83" customFormat="false" ht="15" hidden="false" customHeight="false" outlineLevel="0" collapsed="false">
      <c r="A83" s="1" t="s">
        <v>1079</v>
      </c>
      <c r="B83" s="0" t="s">
        <v>98</v>
      </c>
      <c r="D83" s="6" t="n">
        <f aca="false">Q!L29</f>
        <v>21.795</v>
      </c>
      <c r="E83" s="6" t="n">
        <f aca="false">Q!M29</f>
        <v>32.185</v>
      </c>
      <c r="F83" s="6" t="n">
        <f aca="false">Q!$I$29+(PL!F82-Q!$I$28)*tax_f</f>
        <v>36.3424637417486</v>
      </c>
      <c r="G83" s="6" t="n">
        <f aca="false">PL!G82*tax_f</f>
        <v>39.2000566351551</v>
      </c>
      <c r="H83" s="6" t="n">
        <f aca="false">PL!H82*tax_f</f>
        <v>43.1834620601411</v>
      </c>
      <c r="I83" s="6" t="n">
        <f aca="false">PL!I82*tax_f</f>
        <v>46.9935346156123</v>
      </c>
      <c r="J83" s="6" t="n">
        <f aca="false">PL!J82*tax_f</f>
        <v>50.5771786280786</v>
      </c>
      <c r="K83" s="6" t="n">
        <f aca="false">PL!K82*tax_f</f>
        <v>54.0578223359393</v>
      </c>
    </row>
    <row r="84" customFormat="false" ht="15" hidden="false" customHeight="false" outlineLevel="0" collapsed="false">
      <c r="A84" s="1" t="s">
        <v>1080</v>
      </c>
      <c r="B84" s="0" t="s">
        <v>98</v>
      </c>
      <c r="D84" s="6" t="n">
        <f aca="false">PL!D82-PL!D83</f>
        <v>101.832</v>
      </c>
      <c r="E84" s="6" t="n">
        <f aca="false">PL!E82-PL!E83</f>
        <v>133.749</v>
      </c>
      <c r="F84" s="6" t="n">
        <f aca="false">PL!F82-PL!F83</f>
        <v>144.702854966994</v>
      </c>
      <c r="G84" s="6" t="n">
        <f aca="false">PL!G82-PL!G83</f>
        <v>156.80022654062</v>
      </c>
      <c r="H84" s="6" t="n">
        <f aca="false">PL!H82-PL!H83</f>
        <v>172.733848240564</v>
      </c>
      <c r="I84" s="6" t="n">
        <f aca="false">PL!I82-PL!I83</f>
        <v>187.974138462449</v>
      </c>
      <c r="J84" s="6" t="n">
        <f aca="false">PL!J82-PL!J83</f>
        <v>202.308714512314</v>
      </c>
      <c r="K84" s="6" t="n">
        <f aca="false">PL!K82-PL!K83</f>
        <v>216.231289343757</v>
      </c>
    </row>
    <row r="85" customFormat="false" ht="17.15" hidden="false" customHeight="false" outlineLevel="0" collapsed="false">
      <c r="A85" s="1" t="s">
        <v>1081</v>
      </c>
      <c r="B85" s="1" t="s">
        <v>81</v>
      </c>
      <c r="D85" s="15" t="n">
        <f aca="false">Q!L31</f>
        <v>7.465</v>
      </c>
      <c r="E85" s="15" t="n">
        <f aca="false">Q!M31</f>
        <v>7.453</v>
      </c>
      <c r="F85" s="15" t="n">
        <f aca="false">CF!F74</f>
        <v>7.47325460584037</v>
      </c>
      <c r="G85" s="15" t="n">
        <f aca="false">CF!G74</f>
        <v>7.51800921168074</v>
      </c>
      <c r="H85" s="15" t="n">
        <f aca="false">CF!H74</f>
        <v>7.54570915070954</v>
      </c>
      <c r="I85" s="15" t="n">
        <f aca="false">CF!I74</f>
        <v>7.55739051476501</v>
      </c>
      <c r="J85" s="15" t="n">
        <f aca="false">CF!J74</f>
        <v>7.57153992592748</v>
      </c>
      <c r="K85" s="15" t="n">
        <f aca="false">CF!K74</f>
        <v>7.58797456589273</v>
      </c>
    </row>
    <row r="86" customFormat="false" ht="17.15" hidden="false" customHeight="false" outlineLevel="0" collapsed="false">
      <c r="A86" s="0" t="s">
        <v>1082</v>
      </c>
      <c r="B86" s="0" t="s">
        <v>75</v>
      </c>
      <c r="D86" s="8" t="n">
        <f aca="false">PL!D84/PL!D85</f>
        <v>13.641259209645</v>
      </c>
      <c r="E86" s="8" t="n">
        <f aca="false">PL!E84/PL!E85</f>
        <v>17.9456594659869</v>
      </c>
      <c r="F86" s="8" t="n">
        <f aca="false">PL!F84/PL!F85</f>
        <v>19.3627626247216</v>
      </c>
      <c r="G86" s="8" t="n">
        <f aca="false">PL!G84/PL!G85</f>
        <v>20.8566153785765</v>
      </c>
      <c r="H86" s="8" t="n">
        <f aca="false">PL!H84/PL!H85</f>
        <v>22.8916652882548</v>
      </c>
      <c r="I86" s="8" t="n">
        <f aca="false">PL!I84/PL!I85</f>
        <v>24.8728894047755</v>
      </c>
      <c r="J86" s="8" t="n">
        <f aca="false">PL!J84/PL!J85</f>
        <v>26.7196259270246</v>
      </c>
      <c r="K86" s="8" t="n">
        <f aca="false">PL!K84/PL!K85</f>
        <v>28.496575399145</v>
      </c>
      <c r="L86" s="1" t="s">
        <v>1083</v>
      </c>
    </row>
    <row r="87" customFormat="false" ht="17.15" hidden="false" customHeight="false" outlineLevel="0" collapsed="false">
      <c r="A87" s="1" t="s">
        <v>1084</v>
      </c>
      <c r="B87" s="0" t="s">
        <v>98</v>
      </c>
      <c r="D87" s="6" t="n">
        <f aca="false">PL!D84</f>
        <v>101.832</v>
      </c>
      <c r="E87" s="6" t="n">
        <f aca="false">PL!E84</f>
        <v>133.749</v>
      </c>
      <c r="F87" s="6" t="n">
        <f aca="false">PL!F84+PL!F77*(1-tax_f)</f>
        <v>152.494729184298</v>
      </c>
      <c r="G87" s="6" t="n">
        <f aca="false">PL!G84+PL!G77*(1-tax_f)</f>
        <v>177.020497417404</v>
      </c>
      <c r="H87" s="6" t="n">
        <f aca="false">PL!H84+PL!H77*(1-tax_f)</f>
        <v>206.5610685364</v>
      </c>
      <c r="I87" s="6" t="n">
        <f aca="false">PL!I84+PL!I77*(1-tax_f)</f>
        <v>234.138093375714</v>
      </c>
      <c r="J87" s="6" t="n">
        <f aca="false">PL!J84+PL!J77*(1-tax_f)</f>
        <v>257.09499618497</v>
      </c>
      <c r="K87" s="6" t="n">
        <f aca="false">PL!K84+PL!K77*(1-tax_f)</f>
        <v>275.719159339217</v>
      </c>
    </row>
    <row r="88" customFormat="false" ht="17.15" hidden="false" customHeight="false" outlineLevel="0" collapsed="false">
      <c r="A88" s="0" t="s">
        <v>1085</v>
      </c>
      <c r="B88" s="0" t="s">
        <v>75</v>
      </c>
      <c r="D88" s="8" t="n">
        <f aca="false">PL!D87/PL!D85</f>
        <v>13.641259209645</v>
      </c>
      <c r="E88" s="8" t="n">
        <f aca="false">PL!E87/PL!E85</f>
        <v>17.9456594659869</v>
      </c>
      <c r="F88" s="8" t="n">
        <f aca="false">PL!F87/PL!F85</f>
        <v>20.405397276994</v>
      </c>
      <c r="G88" s="8" t="n">
        <f aca="false">PL!G87/PL!G85</f>
        <v>23.5461932052926</v>
      </c>
      <c r="H88" s="8" t="n">
        <f aca="false">PL!H87/PL!H85</f>
        <v>27.3746396012331</v>
      </c>
      <c r="I88" s="8" t="n">
        <f aca="false">PL!I87/PL!I85</f>
        <v>30.9813411015713</v>
      </c>
      <c r="J88" s="8" t="n">
        <f aca="false">PL!J87/PL!J85</f>
        <v>33.9554435029248</v>
      </c>
      <c r="K88" s="8" t="n">
        <f aca="false">PL!K87/PL!K85</f>
        <v>36.3363315130957</v>
      </c>
      <c r="L88" s="1" t="s">
        <v>1086</v>
      </c>
    </row>
    <row r="89" customFormat="false" ht="17.15" hidden="false" customHeight="false" outlineLevel="0" collapsed="false">
      <c r="A89" s="0" t="s">
        <v>1087</v>
      </c>
      <c r="B89" s="0" t="s">
        <v>168</v>
      </c>
      <c r="E89" s="7" t="n">
        <f aca="false">PL!E88/PL!D88-1</f>
        <v>0.315542736208578</v>
      </c>
      <c r="F89" s="7" t="n">
        <f aca="false">PL!F88/PL!E88-1</f>
        <v>0.137065891374415</v>
      </c>
      <c r="G89" s="7" t="n">
        <f aca="false">PL!G88/PL!F88-1</f>
        <v>0.153919861773023</v>
      </c>
      <c r="H89" s="7" t="n">
        <f aca="false">PL!H88/PL!G88-1</f>
        <v>0.162593008668592</v>
      </c>
      <c r="I89" s="7" t="n">
        <f aca="false">PL!I88/PL!H88-1</f>
        <v>0.131753387546908</v>
      </c>
      <c r="J89" s="7" t="n">
        <f aca="false">PL!J88/PL!I88-1</f>
        <v>0.0959965674695318</v>
      </c>
      <c r="K89" s="7" t="n">
        <f aca="false">PL!K88/PL!J88-1</f>
        <v>0.0701180065566158</v>
      </c>
    </row>
    <row r="90" customFormat="false" ht="17.15" hidden="false" customHeight="false" outlineLevel="0" collapsed="false">
      <c r="A90" s="3" t="s">
        <v>1089</v>
      </c>
    </row>
    <row r="91" customFormat="false" ht="15" hidden="false" customHeight="false" outlineLevel="0" collapsed="false">
      <c r="A91" s="4" t="s">
        <v>43</v>
      </c>
      <c r="B91" s="4" t="s">
        <v>65</v>
      </c>
      <c r="C91" s="23" t="s">
        <v>942</v>
      </c>
      <c r="D91" s="23" t="s">
        <v>943</v>
      </c>
      <c r="E91" s="23" t="s">
        <v>944</v>
      </c>
      <c r="F91" s="23" t="s">
        <v>945</v>
      </c>
      <c r="G91" s="23" t="s">
        <v>946</v>
      </c>
      <c r="H91" s="23" t="s">
        <v>947</v>
      </c>
      <c r="I91" s="23" t="s">
        <v>948</v>
      </c>
      <c r="J91" s="23" t="s">
        <v>949</v>
      </c>
      <c r="K91" s="23" t="s">
        <v>950</v>
      </c>
      <c r="L91" s="4" t="s">
        <v>47</v>
      </c>
    </row>
    <row r="92" customFormat="false" ht="15" hidden="false" customHeight="false" outlineLevel="0" collapsed="false">
      <c r="A92" s="0" t="s">
        <v>1029</v>
      </c>
      <c r="B92" s="0" t="s">
        <v>98</v>
      </c>
      <c r="D92" s="6" t="n">
        <f aca="false">Seg!D63</f>
        <v>72.61</v>
      </c>
      <c r="E92" s="6" t="n">
        <f aca="false">Seg!E63</f>
        <v>101.938</v>
      </c>
      <c r="F92" s="6" t="n">
        <f aca="false">Seg!F63</f>
        <v>143.251883553698</v>
      </c>
      <c r="G92" s="6" t="n">
        <f aca="false">Seg!G63</f>
        <v>186.322520879442</v>
      </c>
      <c r="H92" s="6" t="n">
        <f aca="false">Seg!H63</f>
        <v>224.74279426379</v>
      </c>
      <c r="I92" s="6" t="n">
        <f aca="false">Seg!I63</f>
        <v>266.443497823359</v>
      </c>
      <c r="J92" s="6" t="n">
        <f aca="false">Seg!J63</f>
        <v>299.06102493502</v>
      </c>
      <c r="K92" s="6" t="n">
        <f aca="false">Seg!K63</f>
        <v>322.592740225023</v>
      </c>
    </row>
    <row r="93" customFormat="false" ht="17.15" hidden="false" customHeight="false" outlineLevel="0" collapsed="false">
      <c r="A93" s="0" t="s">
        <v>1025</v>
      </c>
      <c r="B93" s="0" t="s">
        <v>98</v>
      </c>
      <c r="D93" s="6" t="n">
        <f aca="false">Seg!D60</f>
        <v>12.9359794422418</v>
      </c>
      <c r="E93" s="6" t="n">
        <f aca="false">Seg!E60</f>
        <v>27.8095064661409</v>
      </c>
      <c r="F93" s="6" t="n">
        <f aca="false">Seg!F60</f>
        <v>50.9819294352312</v>
      </c>
      <c r="G93" s="6" t="n">
        <f aca="false">Seg!G60</f>
        <v>76.6920436014933</v>
      </c>
      <c r="H93" s="6" t="n">
        <f aca="false">Seg!H60</f>
        <v>97.4495379418341</v>
      </c>
      <c r="I93" s="6" t="n">
        <f aca="false">Seg!I60</f>
        <v>122.083445553868</v>
      </c>
      <c r="J93" s="6" t="n">
        <f aca="false">Seg!J60</f>
        <v>139.249060444804</v>
      </c>
      <c r="K93" s="6" t="n">
        <f aca="false">Seg!K60</f>
        <v>149.995818575589</v>
      </c>
    </row>
    <row r="94" customFormat="false" ht="17.15" hidden="false" customHeight="false" outlineLevel="0" collapsed="false">
      <c r="A94" s="0" t="s">
        <v>1056</v>
      </c>
      <c r="B94" s="0" t="s">
        <v>98</v>
      </c>
      <c r="D94" s="6" t="n">
        <f aca="false">Seg!D61</f>
        <v>59.6740205577583</v>
      </c>
      <c r="E94" s="6" t="n">
        <f aca="false">Seg!E61</f>
        <v>74.1284935338591</v>
      </c>
      <c r="F94" s="6" t="n">
        <f aca="false">Seg!F61</f>
        <v>92.2699541184664</v>
      </c>
      <c r="G94" s="6" t="n">
        <f aca="false">Seg!G61</f>
        <v>109.630477277949</v>
      </c>
      <c r="H94" s="6" t="n">
        <f aca="false">Seg!H61</f>
        <v>127.293256321956</v>
      </c>
      <c r="I94" s="6" t="n">
        <f aca="false">Seg!I61</f>
        <v>144.360052269491</v>
      </c>
      <c r="J94" s="6" t="n">
        <f aca="false">Seg!J61</f>
        <v>159.811964490216</v>
      </c>
      <c r="K94" s="6" t="n">
        <f aca="false">Seg!K61</f>
        <v>172.596921649434</v>
      </c>
    </row>
    <row r="95" customFormat="false" ht="15" hidden="false" customHeight="false" outlineLevel="0" collapsed="false">
      <c r="A95" s="0" t="s">
        <v>1036</v>
      </c>
      <c r="B95" s="0" t="s">
        <v>98</v>
      </c>
      <c r="D95" s="6" t="n">
        <f aca="false">Seg!D68</f>
        <v>84.605</v>
      </c>
      <c r="E95" s="6" t="n">
        <f aca="false">Seg!E68</f>
        <v>100.299</v>
      </c>
      <c r="F95" s="6" t="n">
        <f aca="false">Seg!F68</f>
        <v>117.438354189776</v>
      </c>
      <c r="G95" s="6" t="n">
        <f aca="false">Seg!G68</f>
        <v>132.595360443801</v>
      </c>
      <c r="H95" s="6" t="n">
        <f aca="false">Seg!H68</f>
        <v>147.833811964563</v>
      </c>
      <c r="I95" s="6" t="n">
        <f aca="false">Seg!I68</f>
        <v>162.145665319381</v>
      </c>
      <c r="J95" s="6" t="n">
        <f aca="false">Seg!J68</f>
        <v>175.249327755573</v>
      </c>
      <c r="K95" s="6" t="n">
        <f aca="false">Seg!K68</f>
        <v>187.599280698463</v>
      </c>
    </row>
    <row r="96" customFormat="false" ht="17.15" hidden="false" customHeight="false" outlineLevel="0" collapsed="false">
      <c r="A96" s="0" t="s">
        <v>1057</v>
      </c>
      <c r="B96" s="0" t="s">
        <v>98</v>
      </c>
      <c r="D96" s="6" t="n">
        <f aca="false">Seg!D66</f>
        <v>83.705</v>
      </c>
      <c r="E96" s="6" t="n">
        <f aca="false">Seg!E66</f>
        <v>95.049</v>
      </c>
      <c r="F96" s="6" t="n">
        <f aca="false">Seg!F66</f>
        <v>106.938354189776</v>
      </c>
      <c r="G96" s="6" t="n">
        <f aca="false">Seg!G66</f>
        <v>119.095360443801</v>
      </c>
      <c r="H96" s="6" t="n">
        <f aca="false">Seg!H66</f>
        <v>131.333811964563</v>
      </c>
      <c r="I96" s="6" t="n">
        <f aca="false">Seg!I66</f>
        <v>143.395665319381</v>
      </c>
      <c r="J96" s="6" t="n">
        <f aca="false">Seg!J66</f>
        <v>154.999327755573</v>
      </c>
      <c r="K96" s="6" t="n">
        <f aca="false">Seg!K66</f>
        <v>165.849280698463</v>
      </c>
    </row>
    <row r="97" customFormat="false" ht="17.15" hidden="false" customHeight="false" outlineLevel="0" collapsed="false">
      <c r="A97" s="0" t="s">
        <v>1058</v>
      </c>
      <c r="B97" s="0" t="s">
        <v>98</v>
      </c>
      <c r="D97" s="6" t="n">
        <f aca="false">Seg!D65</f>
        <v>0.9</v>
      </c>
      <c r="E97" s="6" t="n">
        <f aca="false">Seg!E65</f>
        <v>5.25</v>
      </c>
      <c r="F97" s="6" t="n">
        <f aca="false">Seg!F65</f>
        <v>10.5</v>
      </c>
      <c r="G97" s="6" t="n">
        <f aca="false">Seg!G65</f>
        <v>13.5</v>
      </c>
      <c r="H97" s="6" t="n">
        <f aca="false">Seg!H65</f>
        <v>16.5</v>
      </c>
      <c r="I97" s="6" t="n">
        <f aca="false">Seg!I65</f>
        <v>18.75</v>
      </c>
      <c r="J97" s="6" t="n">
        <f aca="false">Seg!J65</f>
        <v>20.25</v>
      </c>
      <c r="K97" s="6" t="n">
        <f aca="false">Seg!K65</f>
        <v>21.75</v>
      </c>
    </row>
    <row r="98" customFormat="false" ht="15" hidden="false" customHeight="false" outlineLevel="0" collapsed="false">
      <c r="A98" s="0" t="s">
        <v>1037</v>
      </c>
      <c r="B98" s="0" t="s">
        <v>98</v>
      </c>
      <c r="D98" s="6" t="n">
        <f aca="false">Seg!D69</f>
        <v>35.391</v>
      </c>
      <c r="E98" s="6" t="n">
        <f aca="false">Seg!E69</f>
        <v>37.285</v>
      </c>
      <c r="F98" s="6" t="n">
        <f aca="false">Seg!F69</f>
        <v>38.3851437782675</v>
      </c>
      <c r="G98" s="6" t="n">
        <f aca="false">Seg!G69</f>
        <v>40.0105353288615</v>
      </c>
      <c r="H98" s="6" t="n">
        <f aca="false">Seg!H69</f>
        <v>41.4812512033683</v>
      </c>
      <c r="I98" s="6" t="n">
        <f aca="false">Seg!I69</f>
        <v>42.7743107216329</v>
      </c>
      <c r="J98" s="6" t="n">
        <f aca="false">Seg!J69</f>
        <v>43.8687373064601</v>
      </c>
      <c r="K98" s="6" t="n">
        <f aca="false">Seg!K69</f>
        <v>44.7461120525893</v>
      </c>
    </row>
    <row r="99" customFormat="false" ht="15" hidden="false" customHeight="false" outlineLevel="0" collapsed="false">
      <c r="A99" s="0" t="s">
        <v>1039</v>
      </c>
      <c r="B99" s="0" t="s">
        <v>98</v>
      </c>
      <c r="D99" s="6" t="n">
        <f aca="false">Seg!D71</f>
        <v>18.417</v>
      </c>
      <c r="E99" s="6" t="n">
        <f aca="false">Seg!E71</f>
        <v>20.345</v>
      </c>
      <c r="F99" s="6" t="n">
        <f aca="false">Seg!F71</f>
        <v>22.3161797133988</v>
      </c>
      <c r="G99" s="6" t="n">
        <f aca="false">Seg!G71</f>
        <v>24.3943499673233</v>
      </c>
      <c r="H99" s="6" t="n">
        <f aca="false">Seg!H71</f>
        <v>26.5250243109019</v>
      </c>
      <c r="I99" s="6" t="n">
        <f aca="false">Seg!I71</f>
        <v>28.6884573538181</v>
      </c>
      <c r="J99" s="6" t="n">
        <f aca="false">Seg!J71</f>
        <v>30.8624968052127</v>
      </c>
      <c r="K99" s="6" t="n">
        <f aca="false">Seg!K71</f>
        <v>33.0228715815776</v>
      </c>
    </row>
    <row r="100" customFormat="false" ht="15" hidden="false" customHeight="false" outlineLevel="0" collapsed="false">
      <c r="A100" s="0" t="s">
        <v>1040</v>
      </c>
      <c r="B100" s="0" t="s">
        <v>98</v>
      </c>
      <c r="D100" s="6" t="n">
        <f aca="false">Seg!D73</f>
        <v>7.76</v>
      </c>
      <c r="E100" s="6" t="n">
        <f aca="false">Seg!E73</f>
        <v>8.26</v>
      </c>
      <c r="F100" s="6" t="n">
        <f aca="false">Seg!F73</f>
        <v>8.75372082474227</v>
      </c>
      <c r="G100" s="6" t="n">
        <f aca="false">Seg!G73</f>
        <v>9.33399324642364</v>
      </c>
      <c r="H100" s="6" t="n">
        <f aca="false">Seg!H73</f>
        <v>9.96139155535851</v>
      </c>
      <c r="I100" s="6" t="n">
        <f aca="false">Seg!I73</f>
        <v>10.6402039077391</v>
      </c>
      <c r="J100" s="6" t="n">
        <f aca="false">Seg!J73</f>
        <v>11.3751458271397</v>
      </c>
      <c r="K100" s="6" t="n">
        <f aca="false">Seg!K73</f>
        <v>12.1714060350394</v>
      </c>
    </row>
    <row r="101" customFormat="false" ht="15" hidden="false" customHeight="false" outlineLevel="0" collapsed="false">
      <c r="A101" s="0" t="s">
        <v>856</v>
      </c>
      <c r="B101" s="0" t="s">
        <v>98</v>
      </c>
      <c r="D101" s="6" t="n">
        <f aca="false">Seg!D75</f>
        <v>218.783</v>
      </c>
      <c r="E101" s="6" t="n">
        <f aca="false">Seg!E75</f>
        <v>268.127</v>
      </c>
      <c r="F101" s="6" t="n">
        <f aca="false">Seg!F75</f>
        <v>330.145282059882</v>
      </c>
      <c r="G101" s="6" t="n">
        <f aca="false">Seg!G75</f>
        <v>392.656759865851</v>
      </c>
      <c r="H101" s="6" t="n">
        <f aca="false">Seg!H75</f>
        <v>450.544273297982</v>
      </c>
      <c r="I101" s="6" t="n">
        <f aca="false">Seg!I75</f>
        <v>510.69213512593</v>
      </c>
      <c r="J101" s="6" t="n">
        <f aca="false">Seg!J75</f>
        <v>560.416732629406</v>
      </c>
      <c r="K101" s="6" t="n">
        <f aca="false">Seg!K75</f>
        <v>600.132410592692</v>
      </c>
    </row>
    <row r="102" customFormat="false" ht="15" hidden="false" customHeight="false" outlineLevel="0" collapsed="false">
      <c r="A102" s="0" t="s">
        <v>1041</v>
      </c>
      <c r="B102" s="0" t="s">
        <v>98</v>
      </c>
      <c r="D102" s="6" t="n">
        <f aca="false">Seg!D76</f>
        <v>22.171</v>
      </c>
      <c r="E102" s="6" t="n">
        <f aca="false">Seg!E76</f>
        <v>24.835</v>
      </c>
      <c r="F102" s="6" t="n">
        <f aca="false">Seg!F76</f>
        <v>27.5591895660247</v>
      </c>
      <c r="G102" s="6" t="n">
        <f aca="false">Seg!G76</f>
        <v>30.4098563144583</v>
      </c>
      <c r="H102" s="6" t="n">
        <f aca="false">Seg!H76</f>
        <v>33.3011792571777</v>
      </c>
      <c r="I102" s="6" t="n">
        <f aca="false">Seg!I76</f>
        <v>36.189023797112</v>
      </c>
      <c r="J102" s="6" t="n">
        <f aca="false">Seg!J76</f>
        <v>39.0247773769199</v>
      </c>
      <c r="K102" s="6" t="n">
        <f aca="false">Seg!K76</f>
        <v>41.7565117933043</v>
      </c>
    </row>
    <row r="103" customFormat="false" ht="15" hidden="false" customHeight="false" outlineLevel="0" collapsed="false">
      <c r="A103" s="0" t="s">
        <v>1042</v>
      </c>
      <c r="B103" s="0" t="s">
        <v>98</v>
      </c>
      <c r="D103" s="6" t="n">
        <f aca="false">Seg!D78</f>
        <v>23.455</v>
      </c>
      <c r="E103" s="6" t="n">
        <f aca="false">Seg!E78</f>
        <v>21.79</v>
      </c>
      <c r="F103" s="6" t="n">
        <f aca="false">Seg!F78</f>
        <v>20.7520981041711</v>
      </c>
      <c r="G103" s="6" t="n">
        <f aca="false">Seg!G78</f>
        <v>19.9083593495882</v>
      </c>
      <c r="H103" s="6" t="n">
        <f aca="false">Seg!H78</f>
        <v>19.4008256265831</v>
      </c>
      <c r="I103" s="6" t="n">
        <f aca="false">Seg!I78</f>
        <v>19.200434522122</v>
      </c>
      <c r="J103" s="6" t="n">
        <f aca="false">Seg!J78</f>
        <v>19.2932782348507</v>
      </c>
      <c r="K103" s="6" t="n">
        <f aca="false">Seg!K78</f>
        <v>19.6791437995477</v>
      </c>
    </row>
    <row r="104" customFormat="false" ht="15" hidden="false" customHeight="false" outlineLevel="0" collapsed="false">
      <c r="A104" s="0" t="s">
        <v>1043</v>
      </c>
      <c r="B104" s="0" t="s">
        <v>98</v>
      </c>
      <c r="D104" s="6" t="n">
        <f aca="false">Seg!D80</f>
        <v>17.315</v>
      </c>
      <c r="E104" s="6" t="n">
        <f aca="false">Seg!E80</f>
        <v>17.087</v>
      </c>
      <c r="F104" s="6" t="n">
        <f aca="false">Seg!F80</f>
        <v>15.9912273250553</v>
      </c>
      <c r="G104" s="6" t="n">
        <f aca="false">Seg!G80</f>
        <v>15.9574562664827</v>
      </c>
      <c r="H104" s="6" t="n">
        <f aca="false">Seg!H80</f>
        <v>16.0119687434196</v>
      </c>
      <c r="I104" s="6" t="n">
        <f aca="false">Seg!I80</f>
        <v>16.1551810001948</v>
      </c>
      <c r="J104" s="6" t="n">
        <f aca="false">Seg!J80</f>
        <v>16.3889793892005</v>
      </c>
      <c r="K104" s="6" t="n">
        <f aca="false">Seg!K80</f>
        <v>16.7167589769845</v>
      </c>
    </row>
    <row r="105" customFormat="false" ht="15" hidden="false" customHeight="false" outlineLevel="0" collapsed="false">
      <c r="A105" s="0" t="s">
        <v>870</v>
      </c>
      <c r="B105" s="0" t="s">
        <v>98</v>
      </c>
      <c r="D105" s="6" t="n">
        <f aca="false">Seg!D82</f>
        <v>62.941</v>
      </c>
      <c r="E105" s="6" t="n">
        <f aca="false">Seg!E82</f>
        <v>63.712</v>
      </c>
      <c r="F105" s="6" t="n">
        <f aca="false">Seg!F82</f>
        <v>64.3025149952511</v>
      </c>
      <c r="G105" s="6" t="n">
        <f aca="false">Seg!G82</f>
        <v>66.2756719305292</v>
      </c>
      <c r="H105" s="6" t="n">
        <f aca="false">Seg!H82</f>
        <v>68.7139736271804</v>
      </c>
      <c r="I105" s="6" t="n">
        <f aca="false">Seg!I82</f>
        <v>71.5446393194289</v>
      </c>
      <c r="J105" s="6" t="n">
        <f aca="false">Seg!J82</f>
        <v>74.707035000971</v>
      </c>
      <c r="K105" s="6" t="n">
        <f aca="false">Seg!K82</f>
        <v>78.1524145698365</v>
      </c>
    </row>
    <row r="106" customFormat="false" ht="15" hidden="false" customHeight="false" outlineLevel="0" collapsed="false">
      <c r="A106" s="1" t="s">
        <v>1059</v>
      </c>
      <c r="B106" s="0" t="s">
        <v>98</v>
      </c>
      <c r="D106" s="6" t="n">
        <f aca="false">Seg!D83</f>
        <v>281.724</v>
      </c>
      <c r="E106" s="6" t="n">
        <f aca="false">Seg!E83</f>
        <v>331.839</v>
      </c>
      <c r="F106" s="6" t="n">
        <f aca="false">Seg!F83</f>
        <v>394.447797055133</v>
      </c>
      <c r="G106" s="6" t="n">
        <f aca="false">Seg!G83</f>
        <v>458.93243179638</v>
      </c>
      <c r="H106" s="6" t="n">
        <f aca="false">Seg!H83</f>
        <v>519.258246925162</v>
      </c>
      <c r="I106" s="6" t="n">
        <f aca="false">Seg!I83</f>
        <v>582.236774445359</v>
      </c>
      <c r="J106" s="6" t="n">
        <f aca="false">Seg!J83</f>
        <v>635.123767630377</v>
      </c>
      <c r="K106" s="6" t="n">
        <f aca="false">Seg!K83</f>
        <v>678.284825162529</v>
      </c>
    </row>
    <row r="107" customFormat="false" ht="15" hidden="false" customHeight="false" outlineLevel="0" collapsed="false">
      <c r="A107" s="1" t="s">
        <v>1060</v>
      </c>
      <c r="B107" s="0" t="s">
        <v>168</v>
      </c>
      <c r="E107" s="7" t="n">
        <f aca="false">PL!E106/PL!D106-1</f>
        <v>0.177886867998467</v>
      </c>
      <c r="F107" s="7" t="n">
        <f aca="false">PL!F106/PL!E106-1</f>
        <v>0.188672208676897</v>
      </c>
      <c r="G107" s="7" t="n">
        <f aca="false">PL!G106/PL!F106-1</f>
        <v>0.16348078306604</v>
      </c>
      <c r="H107" s="7" t="n">
        <f aca="false">PL!H106/PL!G106-1</f>
        <v>0.131448141271366</v>
      </c>
      <c r="I107" s="7" t="n">
        <f aca="false">PL!I106/PL!H106-1</f>
        <v>0.121285560495438</v>
      </c>
      <c r="J107" s="7" t="n">
        <f aca="false">PL!J106/PL!I106-1</f>
        <v>0.0908341683422489</v>
      </c>
      <c r="K107" s="7" t="n">
        <f aca="false">PL!K106/PL!J106-1</f>
        <v>0.0679569238814417</v>
      </c>
    </row>
    <row r="108" customFormat="false" ht="17.15" hidden="false" customHeight="false" outlineLevel="0" collapsed="false">
      <c r="A108" s="26" t="s">
        <v>1061</v>
      </c>
      <c r="B108" s="31" t="s">
        <v>98</v>
      </c>
      <c r="C108" s="31"/>
      <c r="D108" s="27" t="n">
        <f aca="false">(PL!D101+PL!D105-PL!D106)+(PL!D93+PL!D94-PL!D92)+(PL!D96+PL!D97-PL!D95)+(PL!D106-Q!L18)</f>
        <v>0</v>
      </c>
      <c r="E108" s="27" t="n">
        <f aca="false">(PL!E101+PL!E105-PL!E106)+(PL!E93+PL!E94-PL!E92)+(PL!E96+PL!E97-PL!E95)+(PL!E106-Q!M18)</f>
        <v>0</v>
      </c>
      <c r="F108" s="27" t="n">
        <f aca="false">(PL!F101+PL!F105-PL!F106)+(PL!F93+PL!F94-PL!F92)+(PL!F96+PL!F97-PL!F95)</f>
        <v>0</v>
      </c>
      <c r="G108" s="27" t="n">
        <f aca="false">(PL!G101+PL!G105-PL!G106)+(PL!G93+PL!G94-PL!G92)+(PL!G96+PL!G97-PL!G95)</f>
        <v>0</v>
      </c>
      <c r="H108" s="27" t="n">
        <f aca="false">(PL!H101+PL!H105-PL!H106)+(PL!H93+PL!H94-PL!H92)+(PL!H96+PL!H97-PL!H95)</f>
        <v>0</v>
      </c>
      <c r="I108" s="27" t="n">
        <f aca="false">(PL!I101+PL!I105-PL!I106)+(PL!I93+PL!I94-PL!I92)+(PL!I96+PL!I97-PL!I95)</f>
        <v>0</v>
      </c>
      <c r="J108" s="27" t="n">
        <f aca="false">(PL!J101+PL!J105-PL!J106)+(PL!J93+PL!J94-PL!J92)+(PL!J96+PL!J97-PL!J95)</f>
        <v>0</v>
      </c>
      <c r="K108" s="27" t="n">
        <f aca="false">(PL!K101+PL!K105-PL!K106)+(PL!K93+PL!K94-PL!K92)+(PL!K96+PL!K97-PL!K95)</f>
        <v>0</v>
      </c>
    </row>
    <row r="109" customFormat="false" ht="17.15" hidden="false" customHeight="false" outlineLevel="0" collapsed="false">
      <c r="A109" s="0" t="s">
        <v>1062</v>
      </c>
      <c r="B109" s="0" t="s">
        <v>168</v>
      </c>
      <c r="E109" s="7" t="n">
        <f aca="false">(Q!M21+Thesis!E131+Thesis!E132+Thesis!E133+Thesis!E147-Thesis!E129)/(Q!M5-Thesis!E129)</f>
        <v>0.570957350878296</v>
      </c>
      <c r="F109" s="7" t="n">
        <f aca="false">PL!$E$109+dm_seg</f>
        <v>0.570957350878296</v>
      </c>
      <c r="G109" s="7" t="n">
        <f aca="false">PL!$E$109+dm_seg</f>
        <v>0.570957350878296</v>
      </c>
      <c r="H109" s="7" t="n">
        <f aca="false">PL!$E$109+dm_seg</f>
        <v>0.570957350878296</v>
      </c>
      <c r="I109" s="7" t="n">
        <f aca="false">PL!$E$109+dm_seg</f>
        <v>0.570957350878296</v>
      </c>
      <c r="J109" s="7" t="n">
        <f aca="false">PL!$E$109+dm_seg</f>
        <v>0.570957350878296</v>
      </c>
      <c r="K109" s="7" t="n">
        <f aca="false">PL!$E$109+dm_seg</f>
        <v>0.570957350878296</v>
      </c>
      <c r="L109" s="12" t="s">
        <v>1063</v>
      </c>
    </row>
    <row r="110" customFormat="false" ht="17.15" hidden="false" customHeight="false" outlineLevel="0" collapsed="false">
      <c r="A110" s="0" t="s">
        <v>884</v>
      </c>
      <c r="B110" s="0" t="s">
        <v>98</v>
      </c>
      <c r="D110" s="6" t="n">
        <f aca="false">Q!L21</f>
        <v>110.814</v>
      </c>
      <c r="E110" s="6" t="n">
        <f aca="false">Q!M21</f>
        <v>136.365</v>
      </c>
      <c r="F110" s="6" t="n">
        <f aca="false">Q!$I$21+(PL!F109*(Seg!F75-Thesis!F129)+Thesis!F129-(Thesis!F131+Thesis!F132+Thesis!F133)-Thesis!F147-CF!F82)*(Seg!F75-Q!$I$5)/Seg!F75</f>
        <v>158.110234156687</v>
      </c>
      <c r="G110" s="6" t="n">
        <f aca="false">(PL!G109*(Seg!G75-Thesis!G129)+Thesis!G129-(Thesis!G131+Thesis!G132+Thesis!G133)-Thesis!G147-CF!G82)</f>
        <v>161.288737768095</v>
      </c>
      <c r="H110" s="6" t="n">
        <f aca="false">(PL!H109*(Seg!H75-Thesis!H129)+Thesis!H129-(Thesis!H131+Thesis!H132+Thesis!H133)-Thesis!H147-CF!H82)</f>
        <v>162.750449226018</v>
      </c>
      <c r="I110" s="6" t="n">
        <f aca="false">(PL!I109*(Seg!I75-Thesis!I129)+Thesis!I129-(Thesis!I131+Thesis!I132+Thesis!I133)-Thesis!I147-CF!I82)</f>
        <v>172.031140185604</v>
      </c>
      <c r="J110" s="6" t="n">
        <f aca="false">(PL!J109*(Seg!J75-Thesis!J129)+Thesis!J129-(Thesis!J131+Thesis!J132+Thesis!J133)-Thesis!J147-CF!J82)</f>
        <v>182.855335729531</v>
      </c>
      <c r="K110" s="6" t="n">
        <f aca="false">(PL!K109*(Seg!K75-Thesis!K129)+Thesis!K129-(Thesis!K131+Thesis!K132+Thesis!K133)-Thesis!K147-CF!K82)</f>
        <v>195.088404864353</v>
      </c>
      <c r="L110" s="1" t="s">
        <v>1064</v>
      </c>
    </row>
    <row r="111" customFormat="false" ht="17.15" hidden="false" customHeight="false" outlineLevel="0" collapsed="false">
      <c r="A111" s="0" t="s">
        <v>1065</v>
      </c>
      <c r="B111" s="0" t="s">
        <v>168</v>
      </c>
      <c r="E111" s="7" t="n">
        <f aca="false">Q!M22/Q!M12</f>
        <v>0.296207935710698</v>
      </c>
      <c r="F111" s="7" t="n">
        <f aca="false">PL!$E$111+dm_seg</f>
        <v>0.296207935710698</v>
      </c>
      <c r="G111" s="7" t="n">
        <f aca="false">PL!$E$111+dm_seg</f>
        <v>0.296207935710698</v>
      </c>
      <c r="H111" s="7" t="n">
        <f aca="false">PL!$E$111+dm_seg</f>
        <v>0.296207935710698</v>
      </c>
      <c r="I111" s="7" t="n">
        <f aca="false">PL!$E$111+dm_seg</f>
        <v>0.296207935710698</v>
      </c>
      <c r="J111" s="7" t="n">
        <f aca="false">PL!$E$111+dm_seg</f>
        <v>0.296207935710698</v>
      </c>
      <c r="K111" s="7" t="n">
        <f aca="false">PL!$E$111+dm_seg</f>
        <v>0.296207935710698</v>
      </c>
      <c r="L111" s="12" t="s">
        <v>1066</v>
      </c>
    </row>
    <row r="112" customFormat="false" ht="17.15" hidden="false" customHeight="false" outlineLevel="0" collapsed="false">
      <c r="A112" s="0" t="s">
        <v>886</v>
      </c>
      <c r="B112" s="0" t="s">
        <v>98</v>
      </c>
      <c r="D112" s="6" t="n">
        <f aca="false">Q!L22</f>
        <v>17.714</v>
      </c>
      <c r="E112" s="6" t="n">
        <f aca="false">Q!M22</f>
        <v>18.872</v>
      </c>
      <c r="F112" s="6" t="n">
        <f aca="false">Q!$I$22+(Seg!F82-Q!$I$12)*PL!F111</f>
        <v>19.8174315512051</v>
      </c>
      <c r="G112" s="6" t="n">
        <f aca="false">Seg!G82*PL!G111</f>
        <v>19.6313799703815</v>
      </c>
      <c r="H112" s="6" t="n">
        <f aca="false">Seg!H82*PL!H111</f>
        <v>20.3536242825865</v>
      </c>
      <c r="I112" s="6" t="n">
        <f aca="false">Seg!I82*PL!I111</f>
        <v>21.1920899239745</v>
      </c>
      <c r="J112" s="6" t="n">
        <f aca="false">Seg!J82*PL!J111</f>
        <v>22.1288166207045</v>
      </c>
      <c r="K112" s="6" t="n">
        <f aca="false">Seg!K82*PL!K111</f>
        <v>23.1493653905379</v>
      </c>
      <c r="L112" s="12" t="s">
        <v>1067</v>
      </c>
    </row>
    <row r="113" customFormat="false" ht="15" hidden="false" customHeight="false" outlineLevel="0" collapsed="false">
      <c r="A113" s="1" t="s">
        <v>1068</v>
      </c>
      <c r="B113" s="0" t="s">
        <v>98</v>
      </c>
      <c r="D113" s="6" t="n">
        <f aca="false">PL!D110+PL!D112</f>
        <v>128.528</v>
      </c>
      <c r="E113" s="6" t="n">
        <f aca="false">PL!E110+PL!E112</f>
        <v>155.237</v>
      </c>
      <c r="F113" s="6" t="n">
        <f aca="false">PL!F110+PL!F112</f>
        <v>177.927665707892</v>
      </c>
      <c r="G113" s="6" t="n">
        <f aca="false">PL!G110+PL!G112</f>
        <v>180.920117738477</v>
      </c>
      <c r="H113" s="6" t="n">
        <f aca="false">PL!H110+PL!H112</f>
        <v>183.104073508605</v>
      </c>
      <c r="I113" s="6" t="n">
        <f aca="false">PL!I110+PL!I112</f>
        <v>193.223230109579</v>
      </c>
      <c r="J113" s="6" t="n">
        <f aca="false">PL!J110+PL!J112</f>
        <v>204.984152350235</v>
      </c>
      <c r="K113" s="6" t="n">
        <f aca="false">PL!K110+PL!K112</f>
        <v>218.237770254891</v>
      </c>
    </row>
    <row r="114" customFormat="false" ht="15" hidden="false" customHeight="false" outlineLevel="0" collapsed="false">
      <c r="A114" s="26" t="s">
        <v>1069</v>
      </c>
      <c r="B114" s="31" t="s">
        <v>98</v>
      </c>
      <c r="C114" s="31"/>
      <c r="D114" s="27" t="n">
        <f aca="false">PL!D113-Q!L23</f>
        <v>0</v>
      </c>
      <c r="E114" s="27" t="n">
        <f aca="false">PL!E113-Q!M23</f>
        <v>0</v>
      </c>
      <c r="F114" s="31"/>
      <c r="G114" s="31"/>
      <c r="H114" s="31"/>
      <c r="I114" s="31"/>
      <c r="J114" s="31"/>
      <c r="K114" s="31"/>
    </row>
    <row r="115" customFormat="false" ht="15" hidden="false" customHeight="false" outlineLevel="0" collapsed="false">
      <c r="A115" s="1" t="s">
        <v>1070</v>
      </c>
      <c r="B115" s="0" t="s">
        <v>168</v>
      </c>
      <c r="D115" s="7" t="n">
        <f aca="false">PL!D113/PL!D106</f>
        <v>0.456219562408598</v>
      </c>
      <c r="E115" s="7" t="n">
        <f aca="false">PL!E113/PL!E106</f>
        <v>0.467808184089272</v>
      </c>
      <c r="F115" s="7" t="n">
        <f aca="false">PL!F113/PL!F106</f>
        <v>0.451080388929191</v>
      </c>
      <c r="G115" s="7" t="n">
        <f aca="false">PL!G113/PL!G106</f>
        <v>0.394219508589333</v>
      </c>
      <c r="H115" s="7" t="n">
        <f aca="false">PL!H113/PL!H106</f>
        <v>0.352626221331819</v>
      </c>
      <c r="I115" s="7" t="n">
        <f aca="false">PL!I113/PL!I106</f>
        <v>0.331863665419698</v>
      </c>
      <c r="J115" s="7" t="n">
        <f aca="false">PL!J113/PL!J106</f>
        <v>0.32274678227682</v>
      </c>
      <c r="K115" s="7" t="n">
        <f aca="false">PL!K113/PL!K106</f>
        <v>0.3217494512023</v>
      </c>
    </row>
    <row r="116" customFormat="false" ht="17.15" hidden="false" customHeight="false" outlineLevel="0" collapsed="false">
      <c r="A116" s="1" t="s">
        <v>1071</v>
      </c>
      <c r="B116" s="0" t="s">
        <v>98</v>
      </c>
      <c r="F116" s="6" t="n">
        <f aca="false">Thesis!F151</f>
        <v>10.5962787979473</v>
      </c>
      <c r="G116" s="6" t="n">
        <f aca="false">Thesis!G151</f>
        <v>27.844646674932</v>
      </c>
      <c r="H116" s="6" t="n">
        <f aca="false">Thesis!H151</f>
        <v>46.566205501382</v>
      </c>
      <c r="I116" s="6" t="n">
        <f aca="false">Thesis!I151</f>
        <v>63.2717778126444</v>
      </c>
      <c r="J116" s="6" t="n">
        <f aca="false">Thesis!J151</f>
        <v>74.9061222882009</v>
      </c>
      <c r="K116" s="6" t="n">
        <f aca="false">Thesis!K151</f>
        <v>81.6395437180232</v>
      </c>
      <c r="L116" s="1" t="s">
        <v>1072</v>
      </c>
    </row>
    <row r="117" customFormat="false" ht="17.15" hidden="false" customHeight="false" outlineLevel="0" collapsed="false">
      <c r="A117" s="1" t="s">
        <v>1073</v>
      </c>
      <c r="B117" s="0" t="s">
        <v>98</v>
      </c>
      <c r="D117" s="6" t="n">
        <f aca="false">PL!D113</f>
        <v>128.528</v>
      </c>
      <c r="E117" s="6" t="n">
        <f aca="false">PL!E113</f>
        <v>155.237</v>
      </c>
      <c r="F117" s="6" t="n">
        <f aca="false">PL!F113+PL!F116</f>
        <v>188.523944505839</v>
      </c>
      <c r="G117" s="6" t="n">
        <f aca="false">PL!G113+PL!G116</f>
        <v>208.764764413409</v>
      </c>
      <c r="H117" s="6" t="n">
        <f aca="false">PL!H113+PL!H116</f>
        <v>229.670279009987</v>
      </c>
      <c r="I117" s="6" t="n">
        <f aca="false">PL!I113+PL!I116</f>
        <v>256.495007922223</v>
      </c>
      <c r="J117" s="6" t="n">
        <f aca="false">PL!J113+PL!J116</f>
        <v>279.890274638436</v>
      </c>
      <c r="K117" s="6" t="n">
        <f aca="false">PL!K113+PL!K116</f>
        <v>299.877313972915</v>
      </c>
    </row>
    <row r="118" customFormat="false" ht="17.15" hidden="false" customHeight="false" outlineLevel="0" collapsed="false">
      <c r="A118" s="1" t="s">
        <v>1074</v>
      </c>
      <c r="B118" s="0" t="s">
        <v>98</v>
      </c>
      <c r="E118" s="6" t="n">
        <f aca="false">Thesis!E147</f>
        <v>16.3054059770833</v>
      </c>
      <c r="F118" s="6" t="n">
        <f aca="false">Thesis!F147</f>
        <v>34.5793144783516</v>
      </c>
      <c r="G118" s="6" t="n">
        <f aca="false">Thesis!G147</f>
        <v>60.7344906522989</v>
      </c>
      <c r="H118" s="6" t="n">
        <f aca="false">Thesis!H147</f>
        <v>89.1000906614457</v>
      </c>
      <c r="I118" s="6" t="n">
        <f aca="false">Thesis!I147</f>
        <v>114.231009694548</v>
      </c>
      <c r="J118" s="6" t="n">
        <f aca="false">Thesis!J147</f>
        <v>132.015673049596</v>
      </c>
      <c r="K118" s="6" t="n">
        <f aca="false">Thesis!K147</f>
        <v>143.012669550934</v>
      </c>
    </row>
    <row r="119" customFormat="false" ht="17.15" hidden="false" customHeight="false" outlineLevel="0" collapsed="false">
      <c r="A119" s="1" t="s">
        <v>1075</v>
      </c>
      <c r="B119" s="0" t="s">
        <v>98</v>
      </c>
      <c r="E119" s="6" t="n">
        <f aca="false">CF!E81</f>
        <v>22.2285940229167</v>
      </c>
      <c r="F119" s="6" t="n">
        <f aca="false">CF!F81</f>
        <v>23.5883405279552</v>
      </c>
      <c r="G119" s="6" t="n">
        <f aca="false">CF!G81</f>
        <v>25.347608709247</v>
      </c>
      <c r="H119" s="6" t="n">
        <f aca="false">CF!H81</f>
        <v>27.4750934833125</v>
      </c>
      <c r="I119" s="6" t="n">
        <f aca="false">CF!I81</f>
        <v>29.9140127982598</v>
      </c>
      <c r="J119" s="6" t="n">
        <f aca="false">CF!J81</f>
        <v>32.5895147654561</v>
      </c>
      <c r="K119" s="6" t="n">
        <f aca="false">CF!K81</f>
        <v>35.4171979437481</v>
      </c>
    </row>
    <row r="120" customFormat="false" ht="17.15" hidden="false" customHeight="false" outlineLevel="0" collapsed="false">
      <c r="A120" s="1" t="s">
        <v>1076</v>
      </c>
      <c r="B120" s="0" t="s">
        <v>98</v>
      </c>
      <c r="D120" s="6" t="n">
        <f aca="false">Q!L27</f>
        <v>-4.901</v>
      </c>
      <c r="E120" s="6" t="n">
        <f aca="false">Q!M27</f>
        <v>10.697</v>
      </c>
      <c r="F120" s="6" t="n">
        <f aca="false">Q!$I$27+oie_f*(q_per_yr-1)/q_per_yr</f>
        <v>-0.862</v>
      </c>
      <c r="G120" s="6" t="n">
        <f aca="false">oie_f</f>
        <v>-1.2</v>
      </c>
      <c r="H120" s="6" t="n">
        <f aca="false">oie_f</f>
        <v>-1.2</v>
      </c>
      <c r="I120" s="6" t="n">
        <f aca="false">oie_f</f>
        <v>-1.2</v>
      </c>
      <c r="J120" s="6" t="n">
        <f aca="false">oie_f</f>
        <v>-1.2</v>
      </c>
      <c r="K120" s="6" t="n">
        <f aca="false">oie_f</f>
        <v>-1.2</v>
      </c>
      <c r="L120" s="12" t="s">
        <v>1077</v>
      </c>
    </row>
    <row r="121" customFormat="false" ht="15" hidden="false" customHeight="false" outlineLevel="0" collapsed="false">
      <c r="A121" s="1" t="s">
        <v>1078</v>
      </c>
      <c r="B121" s="0" t="s">
        <v>98</v>
      </c>
      <c r="D121" s="6" t="n">
        <f aca="false">PL!D113+PL!D120</f>
        <v>123.627</v>
      </c>
      <c r="E121" s="6" t="n">
        <f aca="false">PL!E113+PL!E120</f>
        <v>165.934</v>
      </c>
      <c r="F121" s="6" t="n">
        <f aca="false">PL!F113+PL!F120</f>
        <v>177.065665707892</v>
      </c>
      <c r="G121" s="6" t="n">
        <f aca="false">PL!G113+PL!G120</f>
        <v>179.720117738477</v>
      </c>
      <c r="H121" s="6" t="n">
        <f aca="false">PL!H113+PL!H120</f>
        <v>181.904073508605</v>
      </c>
      <c r="I121" s="6" t="n">
        <f aca="false">PL!I113+PL!I120</f>
        <v>192.023230109579</v>
      </c>
      <c r="J121" s="6" t="n">
        <f aca="false">PL!J113+PL!J120</f>
        <v>203.784152350235</v>
      </c>
      <c r="K121" s="6" t="n">
        <f aca="false">PL!K113+PL!K120</f>
        <v>217.037770254891</v>
      </c>
    </row>
    <row r="122" customFormat="false" ht="15" hidden="false" customHeight="false" outlineLevel="0" collapsed="false">
      <c r="A122" s="1" t="s">
        <v>1079</v>
      </c>
      <c r="B122" s="0" t="s">
        <v>98</v>
      </c>
      <c r="D122" s="6" t="n">
        <f aca="false">Q!L29</f>
        <v>21.795</v>
      </c>
      <c r="E122" s="6" t="n">
        <f aca="false">Q!M29</f>
        <v>32.185</v>
      </c>
      <c r="F122" s="6" t="n">
        <f aca="false">Q!$I$29+(PL!F121-Q!$I$28)*tax_f</f>
        <v>35.5465331415784</v>
      </c>
      <c r="G122" s="6" t="n">
        <f aca="false">PL!G121*tax_f</f>
        <v>35.9440235476954</v>
      </c>
      <c r="H122" s="6" t="n">
        <f aca="false">PL!H121*tax_f</f>
        <v>36.380814701721</v>
      </c>
      <c r="I122" s="6" t="n">
        <f aca="false">PL!I121*tax_f</f>
        <v>38.4046460219157</v>
      </c>
      <c r="J122" s="6" t="n">
        <f aca="false">PL!J121*tax_f</f>
        <v>40.756830470047</v>
      </c>
      <c r="K122" s="6" t="n">
        <f aca="false">PL!K121*tax_f</f>
        <v>43.4075540509783</v>
      </c>
    </row>
    <row r="123" customFormat="false" ht="15" hidden="false" customHeight="false" outlineLevel="0" collapsed="false">
      <c r="A123" s="1" t="s">
        <v>1080</v>
      </c>
      <c r="B123" s="0" t="s">
        <v>98</v>
      </c>
      <c r="D123" s="6" t="n">
        <f aca="false">PL!D121-PL!D122</f>
        <v>101.832</v>
      </c>
      <c r="E123" s="6" t="n">
        <f aca="false">PL!E121-PL!E122</f>
        <v>133.749</v>
      </c>
      <c r="F123" s="6" t="n">
        <f aca="false">PL!F121-PL!F122</f>
        <v>141.519132566314</v>
      </c>
      <c r="G123" s="6" t="n">
        <f aca="false">PL!G121-PL!G122</f>
        <v>143.776094190781</v>
      </c>
      <c r="H123" s="6" t="n">
        <f aca="false">PL!H121-PL!H122</f>
        <v>145.523258806884</v>
      </c>
      <c r="I123" s="6" t="n">
        <f aca="false">PL!I121-PL!I122</f>
        <v>153.618584087663</v>
      </c>
      <c r="J123" s="6" t="n">
        <f aca="false">PL!J121-PL!J122</f>
        <v>163.027321880188</v>
      </c>
      <c r="K123" s="6" t="n">
        <f aca="false">PL!K121-PL!K122</f>
        <v>173.630216203913</v>
      </c>
    </row>
    <row r="124" customFormat="false" ht="17.15" hidden="false" customHeight="false" outlineLevel="0" collapsed="false">
      <c r="A124" s="1" t="s">
        <v>1081</v>
      </c>
      <c r="B124" s="1" t="s">
        <v>81</v>
      </c>
      <c r="D124" s="15" t="n">
        <f aca="false">Q!L31</f>
        <v>7.465</v>
      </c>
      <c r="E124" s="15" t="n">
        <f aca="false">Q!M31</f>
        <v>7.453</v>
      </c>
      <c r="F124" s="15" t="n">
        <f aca="false">CF!F106</f>
        <v>7.4735</v>
      </c>
      <c r="G124" s="15" t="n">
        <f aca="false">CF!G106</f>
        <v>7.5185</v>
      </c>
      <c r="H124" s="15" t="n">
        <f aca="false">CF!H106</f>
        <v>7.5635</v>
      </c>
      <c r="I124" s="15" t="n">
        <f aca="false">CF!I106</f>
        <v>7.59248142502667</v>
      </c>
      <c r="J124" s="15" t="n">
        <f aca="false">CF!J106</f>
        <v>7.60663083618914</v>
      </c>
      <c r="K124" s="15" t="n">
        <f aca="false">CF!K106</f>
        <v>7.62306547615439</v>
      </c>
    </row>
    <row r="125" customFormat="false" ht="17.15" hidden="false" customHeight="false" outlineLevel="0" collapsed="false">
      <c r="A125" s="0" t="s">
        <v>1082</v>
      </c>
      <c r="B125" s="0" t="s">
        <v>75</v>
      </c>
      <c r="D125" s="8" t="n">
        <f aca="false">PL!D123/PL!D124</f>
        <v>13.641259209645</v>
      </c>
      <c r="E125" s="8" t="n">
        <f aca="false">PL!E123/PL!E124</f>
        <v>17.9456594659869</v>
      </c>
      <c r="F125" s="8" t="n">
        <f aca="false">PL!F123/PL!F124</f>
        <v>18.9361253182998</v>
      </c>
      <c r="G125" s="8" t="n">
        <f aca="false">PL!G123/PL!G124</f>
        <v>19.1229758849214</v>
      </c>
      <c r="H125" s="8" t="n">
        <f aca="false">PL!H123/PL!H124</f>
        <v>19.2402008074151</v>
      </c>
      <c r="I125" s="8" t="n">
        <f aca="false">PL!I123/PL!I124</f>
        <v>20.2329878057125</v>
      </c>
      <c r="J125" s="8" t="n">
        <f aca="false">PL!J123/PL!J124</f>
        <v>21.4322642167111</v>
      </c>
      <c r="K125" s="8" t="n">
        <f aca="false">PL!K123/PL!K124</f>
        <v>22.7769545922232</v>
      </c>
      <c r="L125" s="1" t="s">
        <v>1083</v>
      </c>
    </row>
    <row r="126" customFormat="false" ht="17.15" hidden="false" customHeight="false" outlineLevel="0" collapsed="false">
      <c r="A126" s="1" t="s">
        <v>1084</v>
      </c>
      <c r="B126" s="0" t="s">
        <v>98</v>
      </c>
      <c r="D126" s="6" t="n">
        <f aca="false">PL!D123</f>
        <v>101.832</v>
      </c>
      <c r="E126" s="6" t="n">
        <f aca="false">PL!E123</f>
        <v>133.749</v>
      </c>
      <c r="F126" s="6" t="n">
        <f aca="false">PL!F123+PL!F116*(1-tax_f)</f>
        <v>149.996155604671</v>
      </c>
      <c r="G126" s="6" t="n">
        <f aca="false">PL!G123+PL!G116*(1-tax_f)</f>
        <v>166.051811530727</v>
      </c>
      <c r="H126" s="6" t="n">
        <f aca="false">PL!H123+PL!H116*(1-tax_f)</f>
        <v>182.776223207989</v>
      </c>
      <c r="I126" s="6" t="n">
        <f aca="false">PL!I123+PL!I116*(1-tax_f)</f>
        <v>204.236006337778</v>
      </c>
      <c r="J126" s="6" t="n">
        <f aca="false">PL!J123+PL!J116*(1-tax_f)</f>
        <v>222.952219710749</v>
      </c>
      <c r="K126" s="6" t="n">
        <f aca="false">PL!K123+PL!K116*(1-tax_f)</f>
        <v>238.941851178332</v>
      </c>
    </row>
    <row r="127" customFormat="false" ht="17.15" hidden="false" customHeight="false" outlineLevel="0" collapsed="false">
      <c r="A127" s="0" t="s">
        <v>1085</v>
      </c>
      <c r="B127" s="0" t="s">
        <v>75</v>
      </c>
      <c r="D127" s="8" t="n">
        <f aca="false">PL!D126/PL!D124</f>
        <v>13.641259209645</v>
      </c>
      <c r="E127" s="8" t="n">
        <f aca="false">PL!E126/PL!E124</f>
        <v>17.9456594659869</v>
      </c>
      <c r="F127" s="8" t="n">
        <f aca="false">PL!F126/PL!F124</f>
        <v>20.0704028373147</v>
      </c>
      <c r="G127" s="8" t="n">
        <f aca="false">PL!G126/PL!G124</f>
        <v>22.0857633212379</v>
      </c>
      <c r="H127" s="8" t="n">
        <f aca="false">PL!H126/PL!H124</f>
        <v>24.1655613417055</v>
      </c>
      <c r="I127" s="8" t="n">
        <f aca="false">PL!I126/PL!I124</f>
        <v>26.8997702996766</v>
      </c>
      <c r="J127" s="8" t="n">
        <f aca="false">PL!J126/PL!J124</f>
        <v>29.3102458252655</v>
      </c>
      <c r="K127" s="8" t="n">
        <f aca="false">PL!K126/PL!K124</f>
        <v>31.3445885944129</v>
      </c>
      <c r="L127" s="1" t="s">
        <v>1086</v>
      </c>
    </row>
    <row r="128" customFormat="false" ht="17.15" hidden="false" customHeight="false" outlineLevel="0" collapsed="false">
      <c r="A128" s="0" t="s">
        <v>1087</v>
      </c>
      <c r="B128" s="0" t="s">
        <v>168</v>
      </c>
      <c r="E128" s="7" t="n">
        <f aca="false">PL!E127/PL!D127-1</f>
        <v>0.315542736208578</v>
      </c>
      <c r="F128" s="7" t="n">
        <f aca="false">PL!F127/PL!E127-1</f>
        <v>0.118398734543858</v>
      </c>
      <c r="G128" s="7" t="n">
        <f aca="false">PL!G127/PL!F127-1</f>
        <v>0.100414550732198</v>
      </c>
      <c r="H128" s="7" t="n">
        <f aca="false">PL!H127/PL!G127-1</f>
        <v>0.0941691708915331</v>
      </c>
      <c r="I128" s="7" t="n">
        <f aca="false">PL!I127/PL!H127-1</f>
        <v>0.113144855991916</v>
      </c>
      <c r="J128" s="7" t="n">
        <f aca="false">PL!J127/PL!I127-1</f>
        <v>0.0896095207778762</v>
      </c>
      <c r="K128" s="7" t="n">
        <f aca="false">PL!K127/PL!J127-1</f>
        <v>0.0694072230330376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2"/>
    <col collapsed="false" customWidth="true" hidden="false" outlineLevel="0" max="11" min="3" style="0" width="11"/>
    <col collapsed="false" customWidth="true" hidden="false" outlineLevel="0" max="12" min="12" style="0" width="70"/>
  </cols>
  <sheetData>
    <row r="1" customFormat="false" ht="17.15" hidden="false" customHeight="false" outlineLevel="0" collapsed="false">
      <c r="A1" s="0" t="s">
        <v>1090</v>
      </c>
    </row>
    <row r="2" customFormat="false" ht="17.15" hidden="false" customHeight="false" outlineLevel="0" collapsed="false">
      <c r="A2" s="1" t="s">
        <v>1091</v>
      </c>
    </row>
    <row r="4" customFormat="false" ht="17.15" hidden="false" customHeight="false" outlineLevel="0" collapsed="false">
      <c r="A4" s="4" t="s">
        <v>43</v>
      </c>
      <c r="B4" s="4" t="s">
        <v>44</v>
      </c>
      <c r="C4" s="4" t="s">
        <v>45</v>
      </c>
      <c r="D4" s="4" t="s">
        <v>46</v>
      </c>
      <c r="E4" s="4" t="s">
        <v>47</v>
      </c>
    </row>
    <row r="5" customFormat="false" ht="17.15" hidden="false" customHeight="false" outlineLevel="0" collapsed="false">
      <c r="A5" s="18" t="s">
        <v>1092</v>
      </c>
      <c r="B5" s="32" t="n">
        <f aca="false">CF!$C$43</f>
        <v>363.185394407545</v>
      </c>
      <c r="C5" s="32" t="n">
        <f aca="false">CF!$C$75</f>
        <v>259.640219939081</v>
      </c>
      <c r="D5" s="32" t="n">
        <f aca="false">CF!$C$107</f>
        <v>137.882463313615</v>
      </c>
      <c r="E5" s="17" t="s">
        <v>1093</v>
      </c>
    </row>
    <row r="6" customFormat="false" ht="17.15" hidden="false" customHeight="false" outlineLevel="0" collapsed="false">
      <c r="A6" s="1" t="s">
        <v>1094</v>
      </c>
      <c r="B6" s="0" t="str">
        <f aca="false">CF!$C$45</f>
        <v>不需舉債；回購較每年 22.3 的目標少 38.0 十億美元（2 年減少）</v>
      </c>
      <c r="C6" s="0" t="str">
        <f aca="false">CF!$C$77</f>
        <v>需要舉債 8.1 十億美元；回購較每年 22.3 的目標少 44.3 十億美元（2 年減少）</v>
      </c>
      <c r="D6" s="0" t="str">
        <f aca="false">CF!$C$109</f>
        <v>需要舉債 26.6 十億美元；回購較每年 22.3 的目標少 66.8 十億美元（3 年減少）</v>
      </c>
    </row>
    <row r="7" customFormat="false" ht="17.15" hidden="false" customHeight="false" outlineLevel="0" collapsed="false">
      <c r="A7" s="1" t="s">
        <v>1095</v>
      </c>
      <c r="B7" s="6" t="n">
        <f aca="false">CF!F30</f>
        <v>14.1655554698598</v>
      </c>
      <c r="C7" s="6" t="n">
        <f aca="false">CF!F62</f>
        <v>11.2717874995055</v>
      </c>
      <c r="D7" s="6" t="n">
        <f aca="false">CF!F94</f>
        <v>7.8440332058357</v>
      </c>
    </row>
    <row r="8" customFormat="false" ht="17.15" hidden="false" customHeight="false" outlineLevel="0" collapsed="false">
      <c r="A8" s="1" t="s">
        <v>1096</v>
      </c>
      <c r="B8" s="6" t="n">
        <f aca="false">CF!H30</f>
        <v>86.1872783032704</v>
      </c>
      <c r="C8" s="6" t="n">
        <f aca="false">CF!H62</f>
        <v>62.2118750539102</v>
      </c>
      <c r="D8" s="6" t="n">
        <f aca="false">CF!H94</f>
        <v>34.0226076317587</v>
      </c>
    </row>
    <row r="9" customFormat="false" ht="17.15" hidden="false" customHeight="false" outlineLevel="0" collapsed="false">
      <c r="A9" s="1" t="s">
        <v>1097</v>
      </c>
      <c r="B9" s="6" t="n">
        <f aca="false">CF!F27</f>
        <v>204.2</v>
      </c>
      <c r="C9" s="6" t="n">
        <f aca="false">CF!F59</f>
        <v>204.2</v>
      </c>
      <c r="D9" s="6" t="n">
        <f aca="false">CF!F91</f>
        <v>204.279963115422</v>
      </c>
    </row>
    <row r="10" customFormat="false" ht="17.15" hidden="false" customHeight="false" outlineLevel="0" collapsed="false">
      <c r="A10" s="1" t="s">
        <v>1098</v>
      </c>
      <c r="B10" s="6" t="n">
        <f aca="false">SUM(CF!F35:J35)</f>
        <v>73.3887773335768</v>
      </c>
      <c r="C10" s="6" t="n">
        <f aca="false">SUM(CF!F67:J67)</f>
        <v>67.0838374995055</v>
      </c>
      <c r="D10" s="6" t="n">
        <f aca="false">SUM(CF!F99:J99)</f>
        <v>44.542</v>
      </c>
    </row>
    <row r="11" customFormat="false" ht="17.15" hidden="false" customHeight="false" outlineLevel="0" collapsed="false">
      <c r="A11" s="1" t="s">
        <v>1099</v>
      </c>
      <c r="B11" s="6" t="n">
        <f aca="false">SUM(CF!F36:J36)</f>
        <v>0</v>
      </c>
      <c r="C11" s="6" t="n">
        <f aca="false">SUM(CF!F68:J68)</f>
        <v>8.14922895110651</v>
      </c>
      <c r="D11" s="6" t="n">
        <f aca="false">SUM(CF!F100:J100)</f>
        <v>26.5541114688518</v>
      </c>
    </row>
    <row r="12" customFormat="false" ht="15" hidden="false" customHeight="false" outlineLevel="0" collapsed="false">
      <c r="A12" s="26" t="s">
        <v>1100</v>
      </c>
      <c r="B12" s="27" t="n">
        <f aca="false">B5-(CF!F33+CF!G33+CF!H33+CF!I33+CF!J33)</f>
        <v>0</v>
      </c>
      <c r="C12" s="27" t="n">
        <f aca="false">C5-(CF!F65+CF!G65+CF!H65+CF!I65+CF!J65)</f>
        <v>0</v>
      </c>
      <c r="D12" s="27" t="n">
        <f aca="false">D5-(CF!F97+CF!G97+CF!H97+CF!I97+CF!J97)</f>
        <v>0</v>
      </c>
      <c r="E12" s="31"/>
    </row>
    <row r="14" customFormat="false" ht="17.15" hidden="false" customHeight="false" outlineLevel="0" collapsed="false">
      <c r="A14" s="3" t="s">
        <v>1101</v>
      </c>
    </row>
    <row r="15" customFormat="false" ht="15" hidden="false" customHeight="false" outlineLevel="0" collapsed="false">
      <c r="A15" s="4" t="s">
        <v>43</v>
      </c>
      <c r="B15" s="4" t="s">
        <v>65</v>
      </c>
      <c r="C15" s="23" t="s">
        <v>942</v>
      </c>
      <c r="D15" s="23" t="s">
        <v>943</v>
      </c>
      <c r="E15" s="23" t="s">
        <v>944</v>
      </c>
      <c r="F15" s="23" t="s">
        <v>945</v>
      </c>
      <c r="G15" s="23" t="s">
        <v>946</v>
      </c>
      <c r="H15" s="23" t="s">
        <v>947</v>
      </c>
      <c r="I15" s="23" t="s">
        <v>948</v>
      </c>
      <c r="J15" s="23" t="s">
        <v>949</v>
      </c>
      <c r="K15" s="23" t="s">
        <v>950</v>
      </c>
      <c r="L15" s="4" t="s">
        <v>47</v>
      </c>
    </row>
    <row r="16" customFormat="false" ht="15" hidden="false" customHeight="false" outlineLevel="0" collapsed="false">
      <c r="A16" s="1" t="s">
        <v>1080</v>
      </c>
      <c r="B16" s="0" t="s">
        <v>98</v>
      </c>
      <c r="F16" s="6" t="n">
        <f aca="false">PL!F45</f>
        <v>147.446097472856</v>
      </c>
      <c r="G16" s="6" t="n">
        <f aca="false">PL!G45</f>
        <v>167.962779018493</v>
      </c>
      <c r="H16" s="6" t="n">
        <f aca="false">PL!H45</f>
        <v>195.94408630342</v>
      </c>
      <c r="I16" s="6" t="n">
        <f aca="false">PL!I45</f>
        <v>217.307066574171</v>
      </c>
      <c r="J16" s="6" t="n">
        <f aca="false">PL!J45</f>
        <v>235.858049475802</v>
      </c>
      <c r="K16" s="6" t="n">
        <f aca="false">PL!K45</f>
        <v>252.658728769235</v>
      </c>
    </row>
    <row r="17" customFormat="false" ht="17.15" hidden="false" customHeight="false" outlineLevel="0" collapsed="false">
      <c r="A17" s="1" t="s">
        <v>1102</v>
      </c>
      <c r="B17" s="0" t="s">
        <v>98</v>
      </c>
      <c r="E17" s="6" t="n">
        <f aca="false">Q!M38-Thesis!E43</f>
        <v>22.2285940229167</v>
      </c>
      <c r="F17" s="6" t="n">
        <f aca="false">CF!E17*(1-1/life_nonai)+(CF!F25+CF!F26)/life_nonai</f>
        <v>23.580344216413</v>
      </c>
      <c r="G17" s="6" t="n">
        <f aca="false">CF!F17*(1-1/life_nonai)+(CF!G25)/life_nonai</f>
        <v>25.3801415764809</v>
      </c>
      <c r="H17" s="6" t="n">
        <f aca="false">CF!G17*(1-1/life_nonai)+(CF!H25)/life_nonai</f>
        <v>27.5964639802758</v>
      </c>
      <c r="I17" s="6" t="n">
        <f aca="false">CF!H17*(1-1/life_nonai)+(CF!I25)/life_nonai</f>
        <v>30.152940612192</v>
      </c>
      <c r="J17" s="6" t="n">
        <f aca="false">CF!I17*(1-1/life_nonai)+(CF!J25)/life_nonai</f>
        <v>32.9575022150393</v>
      </c>
      <c r="K17" s="6" t="n">
        <f aca="false">CF!J17*(1-1/life_nonai)+(CF!K25)/life_nonai</f>
        <v>35.9256779798081</v>
      </c>
      <c r="L17" s="12" t="s">
        <v>1103</v>
      </c>
    </row>
    <row r="18" customFormat="false" ht="17.15" hidden="false" customHeight="false" outlineLevel="0" collapsed="false">
      <c r="A18" s="1" t="s">
        <v>1104</v>
      </c>
      <c r="B18" s="0" t="s">
        <v>98</v>
      </c>
      <c r="F18" s="6" t="n">
        <f aca="false">CF!$F$26/life_nonai*(1-1/life_nonai)^(Thesis!F6-2027)</f>
        <v>0.00475774452575592</v>
      </c>
      <c r="G18" s="6" t="n">
        <f aca="false">CF!$F$26/life_nonai*(1-1/life_nonai)^(Thesis!G6-2027)</f>
        <v>0.00428197007318033</v>
      </c>
      <c r="H18" s="6" t="n">
        <f aca="false">CF!$F$26/life_nonai*(1-1/life_nonai)^(Thesis!H6-2027)</f>
        <v>0.0038537730658623</v>
      </c>
      <c r="I18" s="6" t="n">
        <f aca="false">CF!$F$26/life_nonai*(1-1/life_nonai)^(Thesis!I6-2027)</f>
        <v>0.00346839575927607</v>
      </c>
      <c r="J18" s="6" t="n">
        <f aca="false">CF!$F$26/life_nonai*(1-1/life_nonai)^(Thesis!J6-2027)</f>
        <v>0.00312155618334846</v>
      </c>
      <c r="K18" s="6" t="n">
        <f aca="false">CF!$F$26/life_nonai*(1-1/life_nonai)^(Thesis!K6-2027)</f>
        <v>0.00280940056501362</v>
      </c>
      <c r="L18" s="1" t="s">
        <v>1105</v>
      </c>
    </row>
    <row r="19" customFormat="false" ht="17.15" hidden="false" customHeight="false" outlineLevel="0" collapsed="false">
      <c r="A19" s="1" t="s">
        <v>1106</v>
      </c>
      <c r="B19" s="0" t="s">
        <v>98</v>
      </c>
      <c r="E19" s="6" t="n">
        <f aca="false">Thesis!E43+CF!E17</f>
        <v>38.534</v>
      </c>
      <c r="F19" s="6" t="n">
        <f aca="false">Thesis!F43+CF!F17</f>
        <v>58.1596586947647</v>
      </c>
      <c r="G19" s="6" t="n">
        <f aca="false">Thesis!G43+CF!G17</f>
        <v>86.1146322287799</v>
      </c>
      <c r="H19" s="6" t="n">
        <f aca="false">Thesis!H43+CF!H17</f>
        <v>116.696554641721</v>
      </c>
      <c r="I19" s="6" t="n">
        <f aca="false">Thesis!I43+CF!I17</f>
        <v>144.38395030674</v>
      </c>
      <c r="J19" s="6" t="n">
        <f aca="false">Thesis!J43+CF!J17</f>
        <v>164.973175264635</v>
      </c>
      <c r="K19" s="6" t="n">
        <f aca="false">Thesis!K43+CF!K17</f>
        <v>178.938347530742</v>
      </c>
    </row>
    <row r="20" customFormat="false" ht="17.15" hidden="false" customHeight="false" outlineLevel="0" collapsed="false">
      <c r="A20" s="1" t="s">
        <v>1107</v>
      </c>
      <c r="B20" s="0" t="s">
        <v>98</v>
      </c>
      <c r="F20" s="6" t="n">
        <f aca="false">Seg!F29*sbc_r</f>
        <v>15.0680693022395</v>
      </c>
      <c r="G20" s="6" t="n">
        <f aca="false">Seg!G29*sbc_r</f>
        <v>18.3841476633065</v>
      </c>
      <c r="H20" s="6" t="n">
        <f aca="false">Seg!H29*sbc_r</f>
        <v>21.9545979838202</v>
      </c>
      <c r="I20" s="6" t="n">
        <f aca="false">Seg!I29*sbc_r</f>
        <v>24.9944595349748</v>
      </c>
      <c r="J20" s="6" t="n">
        <f aca="false">Seg!J29*sbc_r</f>
        <v>27.4407929753337</v>
      </c>
      <c r="K20" s="6" t="n">
        <f aca="false">Seg!K29*sbc_r</f>
        <v>29.3868645070206</v>
      </c>
    </row>
    <row r="21" customFormat="false" ht="17.15" hidden="false" customHeight="false" outlineLevel="0" collapsed="false">
      <c r="A21" s="1" t="s">
        <v>1108</v>
      </c>
      <c r="B21" s="0" t="s">
        <v>98</v>
      </c>
      <c r="F21" s="6" t="n">
        <f aca="false">wc27-wc26q1</f>
        <v>-4.677</v>
      </c>
      <c r="G21" s="6" t="n">
        <f aca="false">wc_f</f>
        <v>0</v>
      </c>
      <c r="H21" s="6" t="n">
        <f aca="false">wc_f</f>
        <v>0</v>
      </c>
      <c r="I21" s="6" t="n">
        <f aca="false">wc_f</f>
        <v>0</v>
      </c>
      <c r="J21" s="6" t="n">
        <f aca="false">wc_f</f>
        <v>0</v>
      </c>
      <c r="K21" s="6" t="n">
        <f aca="false">wc_f</f>
        <v>0</v>
      </c>
      <c r="L21" s="12" t="s">
        <v>1109</v>
      </c>
    </row>
    <row r="22" customFormat="false" ht="17.15" hidden="false" customHeight="false" outlineLevel="0" collapsed="false">
      <c r="A22" s="0" t="s">
        <v>1110</v>
      </c>
      <c r="B22" s="0" t="s">
        <v>98</v>
      </c>
      <c r="F22" s="6" t="n">
        <f aca="false">Q!$I$35-Q!$I$26-Q!$I$38-Q!$I$39</f>
        <v>6.493</v>
      </c>
      <c r="L22" s="1" t="s">
        <v>1111</v>
      </c>
    </row>
    <row r="23" customFormat="false" ht="15" hidden="false" customHeight="false" outlineLevel="0" collapsed="false">
      <c r="A23" s="1" t="s">
        <v>908</v>
      </c>
      <c r="B23" s="0" t="s">
        <v>98</v>
      </c>
      <c r="E23" s="6" t="n">
        <f aca="false">Q!M35</f>
        <v>182.935</v>
      </c>
      <c r="F23" s="6" t="n">
        <f aca="false">CF!F16+CF!F19+CF!F20+CF!F21+CF!F22</f>
        <v>222.48982546986</v>
      </c>
      <c r="G23" s="6" t="n">
        <f aca="false">CF!G16+CF!G19+CF!G20+CF!G21</f>
        <v>272.46155891058</v>
      </c>
      <c r="H23" s="6" t="n">
        <f aca="false">CF!H16+CF!H19+CF!H20+CF!H21</f>
        <v>334.595238928962</v>
      </c>
      <c r="I23" s="6" t="n">
        <f aca="false">CF!I16+CF!I19+CF!I20+CF!I21</f>
        <v>386.685476415886</v>
      </c>
      <c r="J23" s="6" t="n">
        <f aca="false">CF!J16+CF!J19+CF!J20+CF!J21</f>
        <v>428.272017715771</v>
      </c>
      <c r="K23" s="6" t="n">
        <f aca="false">CF!K16+CF!K19+CF!K20+CF!K21</f>
        <v>460.983940806997</v>
      </c>
    </row>
    <row r="24" customFormat="false" ht="17.15" hidden="false" customHeight="false" outlineLevel="0" collapsed="false">
      <c r="A24" s="0" t="s">
        <v>1112</v>
      </c>
      <c r="B24" s="0" t="s">
        <v>98</v>
      </c>
      <c r="F24" s="6" t="n">
        <f aca="false">Thesis!F40</f>
        <v>168.45390404212</v>
      </c>
      <c r="G24" s="6" t="n">
        <f aca="false">Thesis!G40</f>
        <v>191.944475649048</v>
      </c>
      <c r="H24" s="6" t="n">
        <f aca="false">Thesis!H40</f>
        <v>196.806004064512</v>
      </c>
      <c r="I24" s="6" t="n">
        <f aca="false">Thesis!I40</f>
        <v>168.61483362161</v>
      </c>
      <c r="J24" s="6" t="n">
        <f aca="false">Thesis!J40</f>
        <v>128.92993119594</v>
      </c>
      <c r="K24" s="6" t="n">
        <f aca="false">Thesis!K40</f>
        <v>118.962853064733</v>
      </c>
    </row>
    <row r="25" customFormat="false" ht="17.15" hidden="false" customHeight="false" outlineLevel="0" collapsed="false">
      <c r="A25" s="1" t="s">
        <v>1113</v>
      </c>
      <c r="B25" s="0" t="s">
        <v>98</v>
      </c>
      <c r="E25" s="6" t="n">
        <f aca="false">Seg!E7*cx_azo+Seg!E14*cx_m365+Seg!E15*cx_lic+(Seg!E17+Seg!E19)*cx_ind+Seg!E22*cx_srch+(Seg!E24+Seg!E26)*cx_dev</f>
        <v>30.1846587067718</v>
      </c>
      <c r="F25" s="6" t="n">
        <f aca="false">Seg!F7*cx_azo+Seg!F14*cx_m365+Seg!F15*cx_lic+(Seg!F17+Seg!F19)*cx_ind+Seg!F22*cx_srch+(Seg!F24+Seg!F26)*cx_dev</f>
        <v>35.6985185126228</v>
      </c>
      <c r="G25" s="6" t="n">
        <f aca="false">Seg!G7*cx_azo+Seg!G14*cx_m365+Seg!G15*cx_lic+(Seg!G17+Seg!G19)*cx_ind+Seg!G22*cx_srch+(Seg!G24+Seg!G26)*cx_dev</f>
        <v>41.5783178170917</v>
      </c>
      <c r="H25" s="6" t="n">
        <f aca="false">Seg!H7*cx_azo+Seg!H14*cx_m365+Seg!H15*cx_lic+(Seg!H17+Seg!H19)*cx_ind+Seg!H22*cx_srch+(Seg!H24+Seg!H26)*cx_dev</f>
        <v>47.5433656144293</v>
      </c>
      <c r="I25" s="6" t="n">
        <f aca="false">Seg!I7*cx_azo+Seg!I14*cx_m365+Seg!I15*cx_lic+(Seg!I17+Seg!I19)*cx_ind+Seg!I22*cx_srch+(Seg!I24+Seg!I26)*cx_dev</f>
        <v>53.1612302994382</v>
      </c>
      <c r="J25" s="6" t="n">
        <f aca="false">Seg!J7*cx_azo+Seg!J14*cx_m365+Seg!J15*cx_lic+(Seg!J17+Seg!J19)*cx_ind+Seg!J22*cx_srch+(Seg!J24+Seg!J26)*cx_dev</f>
        <v>58.1985566406647</v>
      </c>
      <c r="K25" s="6" t="n">
        <f aca="false">Seg!K7*cx_azo+Seg!K14*cx_m365+Seg!K15*cx_lic+(Seg!K17+Seg!K19)*cx_ind+Seg!K22*cx_srch+(Seg!K24+Seg!K26)*cx_dev</f>
        <v>62.6392598627275</v>
      </c>
    </row>
    <row r="26" customFormat="false" ht="17.15" hidden="false" customHeight="false" outlineLevel="0" collapsed="false">
      <c r="A26" s="0" t="s">
        <v>1114</v>
      </c>
      <c r="B26" s="0" t="s">
        <v>98</v>
      </c>
      <c r="F26" s="6" t="n">
        <f aca="false">Thesis!F38</f>
        <v>0.0475774452575593</v>
      </c>
      <c r="L26" s="1" t="s">
        <v>1115</v>
      </c>
    </row>
    <row r="27" customFormat="false" ht="17.15" hidden="false" customHeight="false" outlineLevel="0" collapsed="false">
      <c r="A27" s="1" t="s">
        <v>1116</v>
      </c>
      <c r="B27" s="0" t="s">
        <v>98</v>
      </c>
      <c r="E27" s="6" t="n">
        <f aca="false">Q!M43</f>
        <v>145.3</v>
      </c>
      <c r="F27" s="6" t="n">
        <f aca="false">CF!F24+CF!F25+CF!F26</f>
        <v>204.2</v>
      </c>
      <c r="G27" s="6" t="n">
        <f aca="false">CF!G24+CF!G25</f>
        <v>233.52279346614</v>
      </c>
      <c r="H27" s="6" t="n">
        <f aca="false">CF!H24+CF!H25</f>
        <v>244.349369678942</v>
      </c>
      <c r="I27" s="6" t="n">
        <f aca="false">CF!I24+CF!I25</f>
        <v>221.776063921049</v>
      </c>
      <c r="J27" s="6" t="n">
        <f aca="false">CF!J24+CF!J25</f>
        <v>187.128487836605</v>
      </c>
      <c r="K27" s="6" t="n">
        <f aca="false">CF!K24+CF!K25</f>
        <v>181.60211292746</v>
      </c>
      <c r="L27" s="1" t="s">
        <v>1117</v>
      </c>
    </row>
    <row r="28" customFormat="false" ht="15" hidden="false" customHeight="false" outlineLevel="0" collapsed="false">
      <c r="A28" s="1" t="s">
        <v>1118</v>
      </c>
      <c r="B28" s="0" t="s">
        <v>98</v>
      </c>
      <c r="E28" s="6" t="n">
        <f aca="false">fl_liab</f>
        <v>66.594</v>
      </c>
      <c r="F28" s="6" t="n">
        <f aca="false">CF!E28-CF!F29</f>
        <v>62.46973</v>
      </c>
      <c r="G28" s="6" t="n">
        <f aca="false">CF!F28-CF!G29</f>
        <v>57.98686785</v>
      </c>
      <c r="H28" s="6" t="n">
        <f aca="false">CF!G28-CF!H29</f>
        <v>53.92827690325</v>
      </c>
      <c r="I28" s="6" t="n">
        <f aca="false">CF!H28-CF!I29</f>
        <v>49.7850493638962</v>
      </c>
      <c r="J28" s="6" t="n">
        <f aca="false">CF!I28-CF!J29</f>
        <v>45.4823765852716</v>
      </c>
      <c r="K28" s="6" t="n">
        <f aca="false">CF!J28-CF!K29</f>
        <v>40.9860835316088</v>
      </c>
    </row>
    <row r="29" customFormat="false" ht="15" hidden="false" customHeight="false" outlineLevel="0" collapsed="false">
      <c r="A29" s="1" t="s">
        <v>1119</v>
      </c>
      <c r="B29" s="0" t="s">
        <v>98</v>
      </c>
      <c r="F29" s="6" t="n">
        <f aca="false">fl_pay_27-CF!E28*fl_rate</f>
        <v>4.12427</v>
      </c>
      <c r="G29" s="6" t="n">
        <f aca="false">fl_pay_28-CF!F28*fl_rate</f>
        <v>4.48286215</v>
      </c>
      <c r="H29" s="6" t="n">
        <f aca="false">fl_pay_29-CF!G28*fl_rate</f>
        <v>4.05859094675</v>
      </c>
      <c r="I29" s="6" t="n">
        <f aca="false">fl_pay_30-CF!H28*fl_rate</f>
        <v>4.14322753935375</v>
      </c>
      <c r="J29" s="6" t="n">
        <f aca="false">fl_pay_31-CF!I28*fl_rate</f>
        <v>4.30267277862467</v>
      </c>
      <c r="K29" s="6" t="n">
        <f aca="false">fl_pay_32-CF!J28*fl_rate</f>
        <v>4.49629305366278</v>
      </c>
    </row>
    <row r="30" customFormat="false" ht="17.15" hidden="false" customHeight="false" outlineLevel="0" collapsed="false">
      <c r="A30" s="1" t="s">
        <v>1120</v>
      </c>
      <c r="B30" s="0" t="s">
        <v>98</v>
      </c>
      <c r="E30" s="6" t="n">
        <f aca="false">Q!M35-Q!M36-Q!M44</f>
        <v>63.886</v>
      </c>
      <c r="F30" s="6" t="n">
        <f aca="false">CF!F23-CF!F27-CF!F29</f>
        <v>14.1655554698598</v>
      </c>
      <c r="G30" s="6" t="n">
        <f aca="false">CF!G23-CF!G27-CF!G29</f>
        <v>34.4559032944397</v>
      </c>
      <c r="H30" s="6" t="n">
        <f aca="false">CF!H23-CF!H27-CF!H29</f>
        <v>86.1872783032704</v>
      </c>
      <c r="I30" s="6" t="n">
        <f aca="false">CF!I23-CF!I27-CF!I29</f>
        <v>160.766184955484</v>
      </c>
      <c r="J30" s="6" t="n">
        <f aca="false">CF!J23-CF!J27-CF!J29</f>
        <v>236.840857100541</v>
      </c>
      <c r="K30" s="6" t="n">
        <f aca="false">CF!K23-CF!K27-CF!K29</f>
        <v>274.885534825874</v>
      </c>
      <c r="L30" s="12" t="s">
        <v>1121</v>
      </c>
    </row>
    <row r="31" customFormat="false" ht="15" hidden="false" customHeight="false" outlineLevel="0" collapsed="false">
      <c r="A31" s="1" t="s">
        <v>1122</v>
      </c>
      <c r="B31" s="0" t="s">
        <v>75</v>
      </c>
      <c r="F31" s="8" t="n">
        <f aca="false">dps_27</f>
        <v>3.85</v>
      </c>
      <c r="G31" s="8" t="n">
        <f aca="false">CF!F31*(1+dps_g)</f>
        <v>4.158</v>
      </c>
      <c r="H31" s="8" t="n">
        <f aca="false">CF!G31*(1+dps_g)</f>
        <v>4.49064</v>
      </c>
      <c r="I31" s="8" t="n">
        <f aca="false">CF!H31*(1+dps_g)</f>
        <v>4.8498912</v>
      </c>
      <c r="J31" s="8" t="n">
        <f aca="false">CF!I31*(1+dps_g)</f>
        <v>5.237882496</v>
      </c>
      <c r="K31" s="8" t="n">
        <f aca="false">CF!J31*(1+dps_g)</f>
        <v>5.65691309568</v>
      </c>
    </row>
    <row r="32" customFormat="false" ht="17.15" hidden="false" customHeight="false" outlineLevel="0" collapsed="false">
      <c r="A32" s="1" t="s">
        <v>1123</v>
      </c>
      <c r="B32" s="0" t="s">
        <v>98</v>
      </c>
      <c r="E32" s="6" t="n">
        <f aca="false">Q!M41</f>
        <v>26.445</v>
      </c>
      <c r="F32" s="6" t="n">
        <f aca="false">CF!F31*CF!E41</f>
        <v>28.59395</v>
      </c>
      <c r="G32" s="6" t="n">
        <f aca="false">CF!G31*CF!F41</f>
        <v>31.0447314307227</v>
      </c>
      <c r="H32" s="6" t="n">
        <f aca="false">CF!H31*CF!G41</f>
        <v>33.7046863552316</v>
      </c>
      <c r="I32" s="6" t="n">
        <f aca="false">CF!I31*CF!H41</f>
        <v>36.4514995407227</v>
      </c>
      <c r="J32" s="6" t="n">
        <f aca="false">CF!J31*CF!I41</f>
        <v>39.4355173893732</v>
      </c>
      <c r="K32" s="6" t="n">
        <f aca="false">CF!K31*CF!J41</f>
        <v>42.6771130429013</v>
      </c>
      <c r="L32" s="1" t="s">
        <v>1124</v>
      </c>
    </row>
    <row r="33" customFormat="false" ht="15" hidden="false" customHeight="false" outlineLevel="0" collapsed="false">
      <c r="A33" s="1" t="s">
        <v>1125</v>
      </c>
      <c r="B33" s="0" t="s">
        <v>98</v>
      </c>
      <c r="E33" s="6" t="n">
        <f aca="false">CF!E30-CF!E32</f>
        <v>37.441</v>
      </c>
      <c r="F33" s="6" t="n">
        <f aca="false">CF!F30-CF!F32</f>
        <v>-14.4283945301402</v>
      </c>
      <c r="G33" s="6" t="n">
        <f aca="false">CF!G30-CF!G32</f>
        <v>3.41117186371696</v>
      </c>
      <c r="H33" s="6" t="n">
        <f aca="false">CF!H30-CF!H32</f>
        <v>52.4825919480388</v>
      </c>
      <c r="I33" s="6" t="n">
        <f aca="false">CF!I30-CF!I32</f>
        <v>124.314685414761</v>
      </c>
      <c r="J33" s="6" t="n">
        <f aca="false">CF!J30-CF!J32</f>
        <v>197.405339711168</v>
      </c>
      <c r="K33" s="6" t="n">
        <f aca="false">CF!K30-CF!K32</f>
        <v>232.208421782973</v>
      </c>
    </row>
    <row r="34" customFormat="false" ht="15" hidden="false" customHeight="false" outlineLevel="0" collapsed="false">
      <c r="A34" s="1" t="s">
        <v>1126</v>
      </c>
      <c r="B34" s="0" t="s">
        <v>98</v>
      </c>
      <c r="F34" s="6" t="n">
        <f aca="false">debt_mat_27</f>
        <v>9.25</v>
      </c>
      <c r="G34" s="6" t="n">
        <f aca="false">debt_mat_28</f>
        <v>0</v>
      </c>
      <c r="H34" s="6" t="n">
        <f aca="false">debt_mat_29</f>
        <v>2.001</v>
      </c>
      <c r="I34" s="6" t="n">
        <f aca="false">debt_mat_30</f>
        <v>0</v>
      </c>
      <c r="J34" s="6" t="n">
        <f aca="false">debt_mat_31</f>
        <v>0.5</v>
      </c>
      <c r="K34" s="6" t="n">
        <f aca="false">debt_mat_32</f>
        <v>0</v>
      </c>
    </row>
    <row r="35" customFormat="false" ht="15" hidden="false" customHeight="false" outlineLevel="0" collapsed="false">
      <c r="A35" s="1" t="s">
        <v>1127</v>
      </c>
      <c r="B35" s="0" t="s">
        <v>98</v>
      </c>
      <c r="E35" s="6" t="n">
        <f aca="false">Q!M40</f>
        <v>22.271</v>
      </c>
      <c r="F35" s="6" t="n">
        <f aca="false">MAX(0,MIN(bb_target,CF!E37+CF!F33-CF!F34-min_cash))</f>
        <v>3.16460546985984</v>
      </c>
      <c r="G35" s="6" t="n">
        <f aca="false">MAX(0,MIN(bb_target,CF!F37+CF!G33-CF!G34-min_cash))</f>
        <v>3.41117186371696</v>
      </c>
      <c r="H35" s="6" t="n">
        <f aca="false">MAX(0,MIN(bb_target,CF!G37+CF!H33-CF!H34-min_cash))</f>
        <v>22.271</v>
      </c>
      <c r="I35" s="6" t="n">
        <f aca="false">MAX(0,MIN(bb_target,CF!H37+CF!I33-CF!I34-min_cash))</f>
        <v>22.271</v>
      </c>
      <c r="J35" s="6" t="n">
        <f aca="false">MAX(0,MIN(bb_target,CF!I37+CF!J33-CF!J34-min_cash))</f>
        <v>22.271</v>
      </c>
      <c r="K35" s="6" t="n">
        <f aca="false">MAX(0,MIN(bb_target,CF!J37+CF!K33-CF!K34-min_cash))</f>
        <v>22.271</v>
      </c>
    </row>
    <row r="36" customFormat="false" ht="15" hidden="false" customHeight="false" outlineLevel="0" collapsed="false">
      <c r="A36" s="1" t="s">
        <v>1128</v>
      </c>
      <c r="B36" s="0" t="s">
        <v>98</v>
      </c>
      <c r="F36" s="6" t="n">
        <f aca="false">MAX(0,min_cash-(CF!E37+CF!F33-CF!F34-CF!F35))</f>
        <v>0</v>
      </c>
      <c r="G36" s="6" t="n">
        <f aca="false">MAX(0,min_cash-(CF!F37+CF!G33-CF!G34-CF!G35))</f>
        <v>0</v>
      </c>
      <c r="H36" s="6" t="n">
        <f aca="false">MAX(0,min_cash-(CF!G37+CF!H33-CF!H34-CF!H35))</f>
        <v>0</v>
      </c>
      <c r="I36" s="6" t="n">
        <f aca="false">MAX(0,min_cash-(CF!H37+CF!I33-CF!I34-CF!I35))</f>
        <v>0</v>
      </c>
      <c r="J36" s="6" t="n">
        <f aca="false">MAX(0,min_cash-(CF!I37+CF!J33-CF!J34-CF!J35))</f>
        <v>0</v>
      </c>
      <c r="K36" s="6" t="n">
        <f aca="false">MAX(0,min_cash-(CF!J37+CF!K33-CF!K34-CF!K35))</f>
        <v>0</v>
      </c>
    </row>
    <row r="37" customFormat="false" ht="15" hidden="false" customHeight="false" outlineLevel="0" collapsed="false">
      <c r="A37" s="1" t="s">
        <v>1129</v>
      </c>
      <c r="B37" s="0" t="s">
        <v>98</v>
      </c>
      <c r="E37" s="6" t="n">
        <f aca="false">cash_open</f>
        <v>76.843</v>
      </c>
      <c r="F37" s="6" t="n">
        <f aca="false">CF!E37+CF!F33-CF!F34-CF!F35+CF!F36</f>
        <v>50</v>
      </c>
      <c r="G37" s="6" t="n">
        <f aca="false">CF!F37+CF!G33-CF!G34-CF!G35+CF!G36</f>
        <v>50</v>
      </c>
      <c r="H37" s="6" t="n">
        <f aca="false">CF!G37+CF!H33-CF!H34-CF!H35+CF!H36</f>
        <v>78.2105919480388</v>
      </c>
      <c r="I37" s="6" t="n">
        <f aca="false">CF!H37+CF!I33-CF!I34-CF!I35+CF!I36</f>
        <v>180.2542773628</v>
      </c>
      <c r="J37" s="6" t="n">
        <f aca="false">CF!I37+CF!J33-CF!J34-CF!J35+CF!J36</f>
        <v>354.888617073968</v>
      </c>
      <c r="K37" s="6" t="n">
        <f aca="false">CF!J37+CF!K33-CF!K34-CF!K35+CF!K36</f>
        <v>564.826038856941</v>
      </c>
    </row>
    <row r="38" customFormat="false" ht="15" hidden="false" customHeight="false" outlineLevel="0" collapsed="false">
      <c r="A38" s="1" t="s">
        <v>1130</v>
      </c>
      <c r="B38" s="0" t="s">
        <v>98</v>
      </c>
      <c r="E38" s="6" t="n">
        <f aca="false">debt_face</f>
        <v>46.136</v>
      </c>
      <c r="F38" s="6" t="n">
        <f aca="false">CF!E38-CF!F34+CF!F36</f>
        <v>36.886</v>
      </c>
      <c r="G38" s="6" t="n">
        <f aca="false">CF!F38-CF!G34+CF!G36</f>
        <v>36.886</v>
      </c>
      <c r="H38" s="6" t="n">
        <f aca="false">CF!G38-CF!H34+CF!H36</f>
        <v>34.885</v>
      </c>
      <c r="I38" s="6" t="n">
        <f aca="false">CF!H38-CF!I34+CF!I36</f>
        <v>34.885</v>
      </c>
      <c r="J38" s="6" t="n">
        <f aca="false">CF!I38-CF!J34+CF!J36</f>
        <v>34.385</v>
      </c>
      <c r="K38" s="6" t="n">
        <f aca="false">CF!J38-CF!K34+CF!K36</f>
        <v>34.385</v>
      </c>
    </row>
    <row r="39" customFormat="false" ht="15" hidden="false" customHeight="false" outlineLevel="0" collapsed="false">
      <c r="A39" s="1" t="s">
        <v>1131</v>
      </c>
      <c r="B39" s="0" t="s">
        <v>98</v>
      </c>
      <c r="E39" s="6" t="n">
        <f aca="false">CF!E37-CF!E38</f>
        <v>30.707</v>
      </c>
      <c r="F39" s="6" t="n">
        <f aca="false">CF!F37-CF!F38</f>
        <v>13.114</v>
      </c>
      <c r="G39" s="6" t="n">
        <f aca="false">CF!G37-CF!G38</f>
        <v>13.114</v>
      </c>
      <c r="H39" s="6" t="n">
        <f aca="false">CF!H37-CF!H38</f>
        <v>43.3255919480388</v>
      </c>
      <c r="I39" s="6" t="n">
        <f aca="false">CF!I37-CF!I38</f>
        <v>145.3692773628</v>
      </c>
      <c r="J39" s="6" t="n">
        <f aca="false">CF!J37-CF!J38</f>
        <v>320.503617073968</v>
      </c>
      <c r="K39" s="6" t="n">
        <f aca="false">CF!K37-CF!K38</f>
        <v>530.441038856941</v>
      </c>
    </row>
    <row r="40" customFormat="false" ht="15" hidden="false" customHeight="false" outlineLevel="0" collapsed="false">
      <c r="A40" s="1" t="s">
        <v>1132</v>
      </c>
      <c r="B40" s="0" t="s">
        <v>75</v>
      </c>
      <c r="F40" s="30" t="n">
        <f aca="false">px*(1+bb_g)^(Thesis!F6-base_fy-mid_yr)</f>
        <v>551.84177959629</v>
      </c>
      <c r="G40" s="30" t="n">
        <f aca="false">px*(1+bb_g)^(Thesis!G6-base_fy-mid_yr)</f>
        <v>595.989121963993</v>
      </c>
      <c r="H40" s="30" t="n">
        <f aca="false">px*(1+bb_g)^(Thesis!H6-base_fy-mid_yr)</f>
        <v>643.668251721112</v>
      </c>
      <c r="I40" s="30" t="n">
        <f aca="false">px*(1+bb_g)^(Thesis!I6-base_fy-mid_yr)</f>
        <v>695.161711858801</v>
      </c>
      <c r="J40" s="30" t="n">
        <f aca="false">px*(1+bb_g)^(Thesis!J6-base_fy-mid_yr)</f>
        <v>750.774648807506</v>
      </c>
      <c r="K40" s="30" t="n">
        <f aca="false">px*(1+bb_g)^(Thesis!K6-base_fy-mid_yr)</f>
        <v>810.836620712106</v>
      </c>
    </row>
    <row r="41" customFormat="false" ht="15" hidden="false" customHeight="false" outlineLevel="0" collapsed="false">
      <c r="A41" s="1" t="s">
        <v>1133</v>
      </c>
      <c r="B41" s="1" t="s">
        <v>81</v>
      </c>
      <c r="E41" s="15" t="n">
        <f aca="false">sh_out26</f>
        <v>7.427</v>
      </c>
      <c r="F41" s="15" t="n">
        <f aca="false">CF!E41+sh_iss-CF!F35/CF!F40</f>
        <v>7.46626537535419</v>
      </c>
      <c r="G41" s="15" t="n">
        <f aca="false">CF!F41+sh_iss-CF!G35/CF!G40</f>
        <v>7.50554182816515</v>
      </c>
      <c r="H41" s="15" t="n">
        <f aca="false">CF!G41+sh_iss-CF!H35/CF!H40</f>
        <v>7.51594170622275</v>
      </c>
      <c r="I41" s="15" t="n">
        <f aca="false">CF!H41+sh_iss-CF!I35/CF!I40</f>
        <v>7.52890455627609</v>
      </c>
      <c r="J41" s="15" t="n">
        <f aca="false">CF!I41+sh_iss-CF!J35/CF!J40</f>
        <v>7.5442405285477</v>
      </c>
      <c r="K41" s="15" t="n">
        <f aca="false">CF!J41+sh_iss-CF!K35/CF!K40</f>
        <v>7.56177383620659</v>
      </c>
    </row>
    <row r="42" customFormat="false" ht="15" hidden="false" customHeight="false" outlineLevel="0" collapsed="false">
      <c r="A42" s="1" t="s">
        <v>1134</v>
      </c>
      <c r="B42" s="1" t="s">
        <v>81</v>
      </c>
      <c r="E42" s="15" t="n">
        <f aca="false">sh_dil26</f>
        <v>7.453</v>
      </c>
      <c r="F42" s="15" t="n">
        <f aca="false">(CF!E41+CF!F41)/2+dil_gap</f>
        <v>7.4706326876771</v>
      </c>
      <c r="G42" s="15" t="n">
        <f aca="false">(CF!F41+CF!G41)/2+dil_gap</f>
        <v>7.50990360175967</v>
      </c>
      <c r="H42" s="15" t="n">
        <f aca="false">(CF!G41+CF!H41)/2+dil_gap</f>
        <v>7.53474176719395</v>
      </c>
      <c r="I42" s="15" t="n">
        <f aca="false">(CF!H41+CF!I41)/2+dil_gap</f>
        <v>7.54642313124942</v>
      </c>
      <c r="J42" s="15" t="n">
        <f aca="false">(CF!I41+CF!J41)/2+dil_gap</f>
        <v>7.56057254241189</v>
      </c>
      <c r="K42" s="15" t="n">
        <f aca="false">(CF!J41+CF!K41)/2+dil_gap</f>
        <v>7.57700718237714</v>
      </c>
    </row>
    <row r="43" customFormat="false" ht="17.15" hidden="false" customHeight="false" outlineLevel="0" collapsed="false">
      <c r="A43" s="1" t="s">
        <v>1135</v>
      </c>
      <c r="B43" s="0" t="s">
        <v>98</v>
      </c>
      <c r="C43" s="6" t="n">
        <f aca="false">SUM(CF!F33:J33)</f>
        <v>363.185394407545</v>
      </c>
    </row>
    <row r="44" customFormat="false" ht="15" hidden="false" customHeight="false" outlineLevel="0" collapsed="false">
      <c r="A44" s="26" t="s">
        <v>1100</v>
      </c>
      <c r="B44" s="31" t="s">
        <v>98</v>
      </c>
      <c r="C44" s="27" t="n">
        <f aca="false">CF!$C$43-(CF!F33+CF!G33+CF!H33+CF!I33+CF!J33)</f>
        <v>0</v>
      </c>
      <c r="D44" s="31"/>
      <c r="E44" s="31"/>
      <c r="F44" s="31"/>
      <c r="G44" s="31"/>
      <c r="H44" s="31"/>
      <c r="I44" s="31"/>
      <c r="J44" s="31"/>
      <c r="K44" s="31"/>
    </row>
    <row r="45" customFormat="false" ht="17.15" hidden="false" customHeight="false" outlineLevel="0" collapsed="false">
      <c r="A45" s="1" t="s">
        <v>1094</v>
      </c>
      <c r="B45" s="1" t="s">
        <v>1136</v>
      </c>
      <c r="C45" s="33" t="str">
        <f aca="false">IF(SUM(CF!F36:J36)&gt;0.05,"需要舉債 "&amp;TEXT(SUM(CF!F36:J36),"0.0")&amp;" 十億美元","不需舉債")&amp;"；"&amp;IF(SUM(CF!F35:J35)&lt;COUNT(CF!F35:J35)*bb_target-0.05,"回購較每年 "&amp;TEXT(bb_target,"0.0")&amp;" 的目標少 "&amp;TEXT(COUNT(CF!F35:J35)*bb_target-SUM(CF!F35:J35),"0.0")&amp;" 十億美元（"&amp;TEXT(COUNTIF(CF!F35:J35,"&lt;"&amp;(bb_target-0.05)),"0")&amp;" 年減少）","回購不減")</f>
        <v>不需舉債；回購較每年 22.3 的目標少 38.0 十億美元（2 年減少）</v>
      </c>
    </row>
    <row r="46" customFormat="false" ht="17.15" hidden="false" customHeight="false" outlineLevel="0" collapsed="false">
      <c r="A46" s="3" t="s">
        <v>1137</v>
      </c>
    </row>
    <row r="47" customFormat="false" ht="15" hidden="false" customHeight="false" outlineLevel="0" collapsed="false">
      <c r="A47" s="4" t="s">
        <v>43</v>
      </c>
      <c r="B47" s="4" t="s">
        <v>65</v>
      </c>
      <c r="C47" s="23" t="s">
        <v>942</v>
      </c>
      <c r="D47" s="23" t="s">
        <v>943</v>
      </c>
      <c r="E47" s="23" t="s">
        <v>944</v>
      </c>
      <c r="F47" s="23" t="s">
        <v>945</v>
      </c>
      <c r="G47" s="23" t="s">
        <v>946</v>
      </c>
      <c r="H47" s="23" t="s">
        <v>947</v>
      </c>
      <c r="I47" s="23" t="s">
        <v>948</v>
      </c>
      <c r="J47" s="23" t="s">
        <v>949</v>
      </c>
      <c r="K47" s="23" t="s">
        <v>950</v>
      </c>
      <c r="L47" s="4" t="s">
        <v>47</v>
      </c>
    </row>
    <row r="48" customFormat="false" ht="15" hidden="false" customHeight="false" outlineLevel="0" collapsed="false">
      <c r="A48" s="1" t="s">
        <v>1080</v>
      </c>
      <c r="B48" s="0" t="s">
        <v>98</v>
      </c>
      <c r="F48" s="6" t="n">
        <f aca="false">PL!F84</f>
        <v>144.702854966994</v>
      </c>
      <c r="G48" s="6" t="n">
        <f aca="false">PL!G84</f>
        <v>156.80022654062</v>
      </c>
      <c r="H48" s="6" t="n">
        <f aca="false">PL!H84</f>
        <v>172.733848240564</v>
      </c>
      <c r="I48" s="6" t="n">
        <f aca="false">PL!I84</f>
        <v>187.974138462449</v>
      </c>
      <c r="J48" s="6" t="n">
        <f aca="false">PL!J84</f>
        <v>202.308714512314</v>
      </c>
      <c r="K48" s="6" t="n">
        <f aca="false">PL!K84</f>
        <v>216.231289343757</v>
      </c>
    </row>
    <row r="49" customFormat="false" ht="17.15" hidden="false" customHeight="false" outlineLevel="0" collapsed="false">
      <c r="A49" s="1" t="s">
        <v>1102</v>
      </c>
      <c r="B49" s="0" t="s">
        <v>98</v>
      </c>
      <c r="E49" s="6" t="n">
        <f aca="false">Q!M38-Thesis!E95</f>
        <v>22.2285940229167</v>
      </c>
      <c r="F49" s="6" t="n">
        <f aca="false">CF!E49*(1-1/life_nonai)+(CF!F57+CF!F58)/life_nonai</f>
        <v>23.580344216413</v>
      </c>
      <c r="G49" s="6" t="n">
        <f aca="false">CF!F49*(1-1/life_nonai)+(CF!G57)/life_nonai</f>
        <v>25.3583505401965</v>
      </c>
      <c r="H49" s="6" t="n">
        <f aca="false">CF!G49*(1-1/life_nonai)+(CF!H57)/life_nonai</f>
        <v>27.528569983033</v>
      </c>
      <c r="I49" s="6" t="n">
        <f aca="false">CF!H49*(1-1/life_nonai)+(CF!I57)/life_nonai</f>
        <v>30.0244523528154</v>
      </c>
      <c r="J49" s="6" t="n">
        <f aca="false">CF!I49*(1-1/life_nonai)+(CF!J57)/life_nonai</f>
        <v>32.7625785967048</v>
      </c>
      <c r="K49" s="6" t="n">
        <f aca="false">CF!J49*(1-1/life_nonai)+(CF!K57)/life_nonai</f>
        <v>35.6585684431062</v>
      </c>
      <c r="L49" s="12" t="s">
        <v>1103</v>
      </c>
    </row>
    <row r="50" customFormat="false" ht="17.15" hidden="false" customHeight="false" outlineLevel="0" collapsed="false">
      <c r="A50" s="1" t="s">
        <v>1104</v>
      </c>
      <c r="B50" s="0" t="s">
        <v>98</v>
      </c>
      <c r="F50" s="6" t="n">
        <f aca="false">CF!$F$58/life_nonai*(1-1/life_nonai)^(Thesis!F58-2027)</f>
        <v>1.94586576753864E-006</v>
      </c>
      <c r="G50" s="6" t="n">
        <f aca="false">CF!$F$58/life_nonai*(1-1/life_nonai)^(Thesis!G58-2027)</f>
        <v>1.75127919078477E-006</v>
      </c>
      <c r="H50" s="6" t="n">
        <f aca="false">CF!$F$58/life_nonai*(1-1/life_nonai)^(Thesis!H58-2027)</f>
        <v>1.57615127170629E-006</v>
      </c>
      <c r="I50" s="6" t="n">
        <f aca="false">CF!$F$58/life_nonai*(1-1/life_nonai)^(Thesis!I58-2027)</f>
        <v>1.41853614453567E-006</v>
      </c>
      <c r="J50" s="6" t="n">
        <f aca="false">CF!$F$58/life_nonai*(1-1/life_nonai)^(Thesis!J58-2027)</f>
        <v>1.2766825300821E-006</v>
      </c>
      <c r="K50" s="6" t="n">
        <f aca="false">CF!$F$58/life_nonai*(1-1/life_nonai)^(Thesis!K58-2027)</f>
        <v>1.14901427707389E-006</v>
      </c>
      <c r="L50" s="1" t="s">
        <v>1105</v>
      </c>
    </row>
    <row r="51" customFormat="false" ht="17.15" hidden="false" customHeight="false" outlineLevel="0" collapsed="false">
      <c r="A51" s="1" t="s">
        <v>1106</v>
      </c>
      <c r="B51" s="0" t="s">
        <v>98</v>
      </c>
      <c r="E51" s="6" t="n">
        <f aca="false">Thesis!E95+CF!E49</f>
        <v>38.534</v>
      </c>
      <c r="F51" s="6" t="n">
        <f aca="false">Thesis!F95+CF!F49</f>
        <v>58.1596586947647</v>
      </c>
      <c r="G51" s="6" t="n">
        <f aca="false">Thesis!G95+CF!G49</f>
        <v>86.0928411924955</v>
      </c>
      <c r="H51" s="6" t="n">
        <f aca="false">Thesis!H95+CF!H49</f>
        <v>116.628660644479</v>
      </c>
      <c r="I51" s="6" t="n">
        <f aca="false">Thesis!I95+CF!I49</f>
        <v>144.255462047364</v>
      </c>
      <c r="J51" s="6" t="n">
        <f aca="false">Thesis!J95+CF!J49</f>
        <v>164.778251646301</v>
      </c>
      <c r="K51" s="6" t="n">
        <f aca="false">Thesis!K95+CF!K49</f>
        <v>178.67123799404</v>
      </c>
    </row>
    <row r="52" customFormat="false" ht="17.15" hidden="false" customHeight="false" outlineLevel="0" collapsed="false">
      <c r="A52" s="1" t="s">
        <v>1107</v>
      </c>
      <c r="B52" s="0" t="s">
        <v>98</v>
      </c>
      <c r="F52" s="6" t="n">
        <f aca="false">Seg!F56*sbc_r</f>
        <v>14.9175438377464</v>
      </c>
      <c r="G52" s="6" t="n">
        <f aca="false">Seg!G56*sbc_r</f>
        <v>17.8119838712421</v>
      </c>
      <c r="H52" s="6" t="n">
        <f aca="false">Seg!H56*sbc_r</f>
        <v>20.7745061486909</v>
      </c>
      <c r="I52" s="6" t="n">
        <f aca="false">Seg!I56*sbc_r</f>
        <v>23.4952383075388</v>
      </c>
      <c r="J52" s="6" t="n">
        <f aca="false">Seg!J56*sbc_r</f>
        <v>25.7232953082804</v>
      </c>
      <c r="K52" s="6" t="n">
        <f aca="false">Seg!K56*sbc_r</f>
        <v>27.5132097680234</v>
      </c>
    </row>
    <row r="53" customFormat="false" ht="17.15" hidden="false" customHeight="false" outlineLevel="0" collapsed="false">
      <c r="A53" s="1" t="s">
        <v>1108</v>
      </c>
      <c r="B53" s="0" t="s">
        <v>98</v>
      </c>
      <c r="F53" s="6" t="n">
        <f aca="false">wc27-wc26q1</f>
        <v>-4.677</v>
      </c>
      <c r="G53" s="6" t="n">
        <f aca="false">wc_f</f>
        <v>0</v>
      </c>
      <c r="H53" s="6" t="n">
        <f aca="false">wc_f</f>
        <v>0</v>
      </c>
      <c r="I53" s="6" t="n">
        <f aca="false">wc_f</f>
        <v>0</v>
      </c>
      <c r="J53" s="6" t="n">
        <f aca="false">wc_f</f>
        <v>0</v>
      </c>
      <c r="K53" s="6" t="n">
        <f aca="false">wc_f</f>
        <v>0</v>
      </c>
      <c r="L53" s="12" t="s">
        <v>1109</v>
      </c>
    </row>
    <row r="54" customFormat="false" ht="17.15" hidden="false" customHeight="false" outlineLevel="0" collapsed="false">
      <c r="A54" s="0" t="s">
        <v>1110</v>
      </c>
      <c r="B54" s="0" t="s">
        <v>98</v>
      </c>
      <c r="F54" s="6" t="n">
        <f aca="false">Q!$I$35-Q!$I$26-Q!$I$38-Q!$I$39</f>
        <v>6.493</v>
      </c>
      <c r="L54" s="1" t="s">
        <v>1111</v>
      </c>
    </row>
    <row r="55" customFormat="false" ht="15" hidden="false" customHeight="false" outlineLevel="0" collapsed="false">
      <c r="A55" s="1" t="s">
        <v>908</v>
      </c>
      <c r="B55" s="0" t="s">
        <v>98</v>
      </c>
      <c r="E55" s="6" t="n">
        <f aca="false">Q!M35</f>
        <v>182.935</v>
      </c>
      <c r="F55" s="6" t="n">
        <f aca="false">CF!F48+CF!F51+CF!F52+CF!F53+CF!F54</f>
        <v>219.596057499506</v>
      </c>
      <c r="G55" s="6" t="n">
        <f aca="false">CF!G48+CF!G51+CF!G52+CF!G53</f>
        <v>260.705051604358</v>
      </c>
      <c r="H55" s="6" t="n">
        <f aca="false">CF!H48+CF!H51+CF!H52+CF!H53</f>
        <v>310.137015033734</v>
      </c>
      <c r="I55" s="6" t="n">
        <f aca="false">CF!I48+CF!I51+CF!I52+CF!I53</f>
        <v>355.724838817352</v>
      </c>
      <c r="J55" s="6" t="n">
        <f aca="false">CF!J48+CF!J51+CF!J52+CF!J53</f>
        <v>392.810261466896</v>
      </c>
      <c r="K55" s="6" t="n">
        <f aca="false">CF!K48+CF!K51+CF!K52+CF!K53</f>
        <v>422.415737105821</v>
      </c>
    </row>
    <row r="56" customFormat="false" ht="17.15" hidden="false" customHeight="false" outlineLevel="0" collapsed="false">
      <c r="A56" s="0" t="s">
        <v>1112</v>
      </c>
      <c r="B56" s="0" t="s">
        <v>98</v>
      </c>
      <c r="F56" s="6" t="n">
        <f aca="false">Thesis!F92</f>
        <v>168.45390404212</v>
      </c>
      <c r="G56" s="6" t="n">
        <f aca="false">Thesis!G92</f>
        <v>191.944475649048</v>
      </c>
      <c r="H56" s="6" t="n">
        <f aca="false">Thesis!H92</f>
        <v>196.806004064512</v>
      </c>
      <c r="I56" s="6" t="n">
        <f aca="false">Thesis!I92</f>
        <v>168.61483362161</v>
      </c>
      <c r="J56" s="6" t="n">
        <f aca="false">Thesis!J92</f>
        <v>128.92993119594</v>
      </c>
      <c r="K56" s="6" t="n">
        <f aca="false">Thesis!K92</f>
        <v>118.962853064733</v>
      </c>
    </row>
    <row r="57" customFormat="false" ht="17.15" hidden="false" customHeight="false" outlineLevel="0" collapsed="false">
      <c r="A57" s="1" t="s">
        <v>1113</v>
      </c>
      <c r="B57" s="0" t="s">
        <v>98</v>
      </c>
      <c r="E57" s="6" t="n">
        <f aca="false">Seg!E34*cx_azo+Seg!E41*cx_m365+Seg!E42*cx_lic+(Seg!E44+Seg!E46)*cx_ind+Seg!E49*cx_srch+(Seg!E51+Seg!E53)*cx_dev</f>
        <v>30.1846587067718</v>
      </c>
      <c r="F57" s="6" t="n">
        <f aca="false">Seg!F34*cx_azo+Seg!F41*cx_m365+Seg!F42*cx_lic+(Seg!F44+Seg!F46)*cx_ind+Seg!F49*cx_srch+(Seg!F51+Seg!F53)*cx_dev</f>
        <v>35.7460764992227</v>
      </c>
      <c r="G57" s="6" t="n">
        <f aca="false">Seg!G34*cx_azo+Seg!G41*cx_m365+Seg!G42*cx_lic+(Seg!G44+Seg!G46)*cx_ind+Seg!G49*cx_srch+(Seg!G51+Seg!G53)*cx_dev</f>
        <v>41.360407454248</v>
      </c>
      <c r="H57" s="6" t="n">
        <f aca="false">Seg!H34*cx_azo+Seg!H41*cx_m365+Seg!H42*cx_lic+(Seg!H44+Seg!H46)*cx_ind+Seg!H49*cx_srch+(Seg!H51+Seg!H53)*cx_dev</f>
        <v>47.0605449685615</v>
      </c>
      <c r="I57" s="6" t="n">
        <f aca="false">Seg!I34*cx_azo+Seg!I41*cx_m365+Seg!I42*cx_lic+(Seg!I44+Seg!I46)*cx_ind+Seg!I49*cx_srch+(Seg!I51+Seg!I53)*cx_dev</f>
        <v>52.4873936808571</v>
      </c>
      <c r="J57" s="6" t="n">
        <f aca="false">Seg!J34*cx_azo+Seg!J41*cx_m365+Seg!J42*cx_lic+(Seg!J44+Seg!J46)*cx_ind+Seg!J49*cx_srch+(Seg!J51+Seg!J53)*cx_dev</f>
        <v>57.4057147917091</v>
      </c>
      <c r="K57" s="6" t="n">
        <f aca="false">Seg!K34*cx_azo+Seg!K41*cx_m365+Seg!K42*cx_lic+(Seg!K44+Seg!K46)*cx_ind+Seg!K49*cx_srch+(Seg!K51+Seg!K53)*cx_dev</f>
        <v>61.7224770607185</v>
      </c>
    </row>
    <row r="58" customFormat="false" ht="17.15" hidden="false" customHeight="false" outlineLevel="0" collapsed="false">
      <c r="A58" s="0" t="s">
        <v>1114</v>
      </c>
      <c r="B58" s="0" t="s">
        <v>98</v>
      </c>
      <c r="F58" s="6" t="n">
        <f aca="false">Thesis!F90</f>
        <v>1.94586576753863E-005</v>
      </c>
      <c r="L58" s="1" t="s">
        <v>1115</v>
      </c>
    </row>
    <row r="59" customFormat="false" ht="17.15" hidden="false" customHeight="false" outlineLevel="0" collapsed="false">
      <c r="A59" s="1" t="s">
        <v>1116</v>
      </c>
      <c r="B59" s="0" t="s">
        <v>98</v>
      </c>
      <c r="E59" s="6" t="n">
        <f aca="false">Q!M43</f>
        <v>145.3</v>
      </c>
      <c r="F59" s="6" t="n">
        <f aca="false">CF!F56+CF!F57+CF!F58</f>
        <v>204.2</v>
      </c>
      <c r="G59" s="6" t="n">
        <f aca="false">CF!G56+CF!G57</f>
        <v>233.304883103296</v>
      </c>
      <c r="H59" s="6" t="n">
        <f aca="false">CF!H56+CF!H57</f>
        <v>243.866549033074</v>
      </c>
      <c r="I59" s="6" t="n">
        <f aca="false">CF!I56+CF!I57</f>
        <v>221.102227302467</v>
      </c>
      <c r="J59" s="6" t="n">
        <f aca="false">CF!J56+CF!J57</f>
        <v>186.33564598765</v>
      </c>
      <c r="K59" s="6" t="n">
        <f aca="false">CF!K56+CF!K57</f>
        <v>180.685330125451</v>
      </c>
      <c r="L59" s="1" t="s">
        <v>1117</v>
      </c>
    </row>
    <row r="60" customFormat="false" ht="15" hidden="false" customHeight="false" outlineLevel="0" collapsed="false">
      <c r="A60" s="1" t="s">
        <v>1118</v>
      </c>
      <c r="B60" s="0" t="s">
        <v>98</v>
      </c>
      <c r="E60" s="6" t="n">
        <f aca="false">fl_liab</f>
        <v>66.594</v>
      </c>
      <c r="F60" s="6" t="n">
        <f aca="false">CF!E60-CF!F61</f>
        <v>62.46973</v>
      </c>
      <c r="G60" s="6" t="n">
        <f aca="false">CF!F60-CF!G61</f>
        <v>57.98686785</v>
      </c>
      <c r="H60" s="6" t="n">
        <f aca="false">CF!G60-CF!H61</f>
        <v>53.92827690325</v>
      </c>
      <c r="I60" s="6" t="n">
        <f aca="false">CF!H60-CF!I61</f>
        <v>49.7850493638962</v>
      </c>
      <c r="J60" s="6" t="n">
        <f aca="false">CF!I60-CF!J61</f>
        <v>45.4823765852716</v>
      </c>
      <c r="K60" s="6" t="n">
        <f aca="false">CF!J60-CF!K61</f>
        <v>40.9860835316088</v>
      </c>
    </row>
    <row r="61" customFormat="false" ht="15" hidden="false" customHeight="false" outlineLevel="0" collapsed="false">
      <c r="A61" s="1" t="s">
        <v>1119</v>
      </c>
      <c r="B61" s="0" t="s">
        <v>98</v>
      </c>
      <c r="F61" s="6" t="n">
        <f aca="false">fl_pay_27-CF!E60*fl_rate</f>
        <v>4.12427</v>
      </c>
      <c r="G61" s="6" t="n">
        <f aca="false">fl_pay_28-CF!F60*fl_rate</f>
        <v>4.48286215</v>
      </c>
      <c r="H61" s="6" t="n">
        <f aca="false">fl_pay_29-CF!G60*fl_rate</f>
        <v>4.05859094675</v>
      </c>
      <c r="I61" s="6" t="n">
        <f aca="false">fl_pay_30-CF!H60*fl_rate</f>
        <v>4.14322753935375</v>
      </c>
      <c r="J61" s="6" t="n">
        <f aca="false">fl_pay_31-CF!I60*fl_rate</f>
        <v>4.30267277862467</v>
      </c>
      <c r="K61" s="6" t="n">
        <f aca="false">fl_pay_32-CF!J60*fl_rate</f>
        <v>4.49629305366278</v>
      </c>
    </row>
    <row r="62" customFormat="false" ht="17.15" hidden="false" customHeight="false" outlineLevel="0" collapsed="false">
      <c r="A62" s="1" t="s">
        <v>1120</v>
      </c>
      <c r="B62" s="0" t="s">
        <v>98</v>
      </c>
      <c r="E62" s="6" t="n">
        <f aca="false">Q!M35-Q!M36-Q!M44</f>
        <v>63.886</v>
      </c>
      <c r="F62" s="6" t="n">
        <f aca="false">CF!F55-CF!F59-CF!F61</f>
        <v>11.2717874995055</v>
      </c>
      <c r="G62" s="6" t="n">
        <f aca="false">CF!G55-CF!G59-CF!G61</f>
        <v>22.917306351062</v>
      </c>
      <c r="H62" s="6" t="n">
        <f aca="false">CF!H55-CF!H59-CF!H61</f>
        <v>62.2118750539102</v>
      </c>
      <c r="I62" s="6" t="n">
        <f aca="false">CF!I55-CF!I59-CF!I61</f>
        <v>130.479383975531</v>
      </c>
      <c r="J62" s="6" t="n">
        <f aca="false">CF!J55-CF!J59-CF!J61</f>
        <v>202.171942700621</v>
      </c>
      <c r="K62" s="6" t="n">
        <f aca="false">CF!K55-CF!K59-CF!K61</f>
        <v>237.234113926707</v>
      </c>
      <c r="L62" s="12" t="s">
        <v>1121</v>
      </c>
    </row>
    <row r="63" customFormat="false" ht="15" hidden="false" customHeight="false" outlineLevel="0" collapsed="false">
      <c r="A63" s="1" t="s">
        <v>1122</v>
      </c>
      <c r="B63" s="0" t="s">
        <v>75</v>
      </c>
      <c r="F63" s="8" t="n">
        <f aca="false">dps_27</f>
        <v>3.85</v>
      </c>
      <c r="G63" s="8" t="n">
        <f aca="false">CF!F63*(1+dps_g)</f>
        <v>4.158</v>
      </c>
      <c r="H63" s="8" t="n">
        <f aca="false">CF!G63*(1+dps_g)</f>
        <v>4.49064</v>
      </c>
      <c r="I63" s="8" t="n">
        <f aca="false">CF!H63*(1+dps_g)</f>
        <v>4.8498912</v>
      </c>
      <c r="J63" s="8" t="n">
        <f aca="false">CF!I63*(1+dps_g)</f>
        <v>5.237882496</v>
      </c>
      <c r="K63" s="8" t="n">
        <f aca="false">CF!J63*(1+dps_g)</f>
        <v>5.65691309568</v>
      </c>
    </row>
    <row r="64" customFormat="false" ht="17.15" hidden="false" customHeight="false" outlineLevel="0" collapsed="false">
      <c r="A64" s="1" t="s">
        <v>1123</v>
      </c>
      <c r="B64" s="0" t="s">
        <v>98</v>
      </c>
      <c r="E64" s="6" t="n">
        <f aca="false">Q!M41</f>
        <v>26.445</v>
      </c>
      <c r="F64" s="6" t="n">
        <f aca="false">CF!F63*CF!E73</f>
        <v>28.59395</v>
      </c>
      <c r="G64" s="6" t="n">
        <f aca="false">CF!G63*CF!F73</f>
        <v>31.0665353021685</v>
      </c>
      <c r="H64" s="6" t="n">
        <f aca="false">CF!H63*CF!G73</f>
        <v>33.753936926342</v>
      </c>
      <c r="I64" s="6" t="n">
        <f aca="false">CF!I63*CF!H73</f>
        <v>36.504690157522</v>
      </c>
      <c r="J64" s="6" t="n">
        <f aca="false">CF!J63*CF!I73</f>
        <v>39.4929632555164</v>
      </c>
      <c r="K64" s="6" t="n">
        <f aca="false">CF!K63*CF!J73</f>
        <v>42.739154578336</v>
      </c>
      <c r="L64" s="1" t="s">
        <v>1124</v>
      </c>
    </row>
    <row r="65" customFormat="false" ht="15" hidden="false" customHeight="false" outlineLevel="0" collapsed="false">
      <c r="A65" s="1" t="s">
        <v>1125</v>
      </c>
      <c r="B65" s="0" t="s">
        <v>98</v>
      </c>
      <c r="E65" s="6" t="n">
        <f aca="false">CF!E62-CF!E64</f>
        <v>37.441</v>
      </c>
      <c r="F65" s="6" t="n">
        <f aca="false">CF!F62-CF!F64</f>
        <v>-17.3221625004945</v>
      </c>
      <c r="G65" s="6" t="n">
        <f aca="false">CF!G62-CF!G64</f>
        <v>-8.14922895110651</v>
      </c>
      <c r="H65" s="6" t="n">
        <f aca="false">CF!H62-CF!H64</f>
        <v>28.4579381275682</v>
      </c>
      <c r="I65" s="6" t="n">
        <f aca="false">CF!I62-CF!I64</f>
        <v>93.9746938180087</v>
      </c>
      <c r="J65" s="6" t="n">
        <f aca="false">CF!J62-CF!J64</f>
        <v>162.678979445105</v>
      </c>
      <c r="K65" s="6" t="n">
        <f aca="false">CF!K62-CF!K64</f>
        <v>194.494959348371</v>
      </c>
    </row>
    <row r="66" customFormat="false" ht="15" hidden="false" customHeight="false" outlineLevel="0" collapsed="false">
      <c r="A66" s="1" t="s">
        <v>1126</v>
      </c>
      <c r="B66" s="0" t="s">
        <v>98</v>
      </c>
      <c r="F66" s="6" t="n">
        <f aca="false">debt_mat_27</f>
        <v>9.25</v>
      </c>
      <c r="G66" s="6" t="n">
        <f aca="false">debt_mat_28</f>
        <v>0</v>
      </c>
      <c r="H66" s="6" t="n">
        <f aca="false">debt_mat_29</f>
        <v>2.001</v>
      </c>
      <c r="I66" s="6" t="n">
        <f aca="false">debt_mat_30</f>
        <v>0</v>
      </c>
      <c r="J66" s="6" t="n">
        <f aca="false">debt_mat_31</f>
        <v>0.5</v>
      </c>
      <c r="K66" s="6" t="n">
        <f aca="false">debt_mat_32</f>
        <v>0</v>
      </c>
    </row>
    <row r="67" customFormat="false" ht="15" hidden="false" customHeight="false" outlineLevel="0" collapsed="false">
      <c r="A67" s="1" t="s">
        <v>1127</v>
      </c>
      <c r="B67" s="0" t="s">
        <v>98</v>
      </c>
      <c r="E67" s="6" t="n">
        <f aca="false">Q!M40</f>
        <v>22.271</v>
      </c>
      <c r="F67" s="6" t="n">
        <f aca="false">MAX(0,MIN(bb_target,CF!E69+CF!F65-CF!F66-min_cash))</f>
        <v>0.270837499505504</v>
      </c>
      <c r="G67" s="6" t="n">
        <f aca="false">MAX(0,MIN(bb_target,CF!F69+CF!G65-CF!G66-min_cash))</f>
        <v>0</v>
      </c>
      <c r="H67" s="6" t="n">
        <f aca="false">MAX(0,MIN(bb_target,CF!G69+CF!H65-CF!H66-min_cash))</f>
        <v>22.271</v>
      </c>
      <c r="I67" s="6" t="n">
        <f aca="false">MAX(0,MIN(bb_target,CF!H69+CF!I65-CF!I66-min_cash))</f>
        <v>22.271</v>
      </c>
      <c r="J67" s="6" t="n">
        <f aca="false">MAX(0,MIN(bb_target,CF!I69+CF!J65-CF!J66-min_cash))</f>
        <v>22.271</v>
      </c>
      <c r="K67" s="6" t="n">
        <f aca="false">MAX(0,MIN(bb_target,CF!J69+CF!K65-CF!K66-min_cash))</f>
        <v>22.271</v>
      </c>
    </row>
    <row r="68" customFormat="false" ht="15" hidden="false" customHeight="false" outlineLevel="0" collapsed="false">
      <c r="A68" s="1" t="s">
        <v>1128</v>
      </c>
      <c r="B68" s="0" t="s">
        <v>98</v>
      </c>
      <c r="F68" s="6" t="n">
        <f aca="false">MAX(0,min_cash-(CF!E69+CF!F65-CF!F66-CF!F67))</f>
        <v>0</v>
      </c>
      <c r="G68" s="6" t="n">
        <f aca="false">MAX(0,min_cash-(CF!F69+CF!G65-CF!G66-CF!G67))</f>
        <v>8.14922895110651</v>
      </c>
      <c r="H68" s="6" t="n">
        <f aca="false">MAX(0,min_cash-(CF!G69+CF!H65-CF!H66-CF!H67))</f>
        <v>0</v>
      </c>
      <c r="I68" s="6" t="n">
        <f aca="false">MAX(0,min_cash-(CF!H69+CF!I65-CF!I66-CF!I67))</f>
        <v>0</v>
      </c>
      <c r="J68" s="6" t="n">
        <f aca="false">MAX(0,min_cash-(CF!I69+CF!J65-CF!J66-CF!J67))</f>
        <v>0</v>
      </c>
      <c r="K68" s="6" t="n">
        <f aca="false">MAX(0,min_cash-(CF!J69+CF!K65-CF!K66-CF!K67))</f>
        <v>0</v>
      </c>
    </row>
    <row r="69" customFormat="false" ht="15" hidden="false" customHeight="false" outlineLevel="0" collapsed="false">
      <c r="A69" s="1" t="s">
        <v>1129</v>
      </c>
      <c r="B69" s="0" t="s">
        <v>98</v>
      </c>
      <c r="E69" s="6" t="n">
        <f aca="false">cash_open</f>
        <v>76.843</v>
      </c>
      <c r="F69" s="6" t="n">
        <f aca="false">CF!E69+CF!F65-CF!F66-CF!F67+CF!F68</f>
        <v>50</v>
      </c>
      <c r="G69" s="6" t="n">
        <f aca="false">CF!F69+CF!G65-CF!G66-CF!G67+CF!G68</f>
        <v>50</v>
      </c>
      <c r="H69" s="6" t="n">
        <f aca="false">CF!G69+CF!H65-CF!H66-CF!H67+CF!H68</f>
        <v>54.1859381275682</v>
      </c>
      <c r="I69" s="6" t="n">
        <f aca="false">CF!H69+CF!I65-CF!I66-CF!I67+CF!I68</f>
        <v>125.889631945577</v>
      </c>
      <c r="J69" s="6" t="n">
        <f aca="false">CF!I69+CF!J65-CF!J66-CF!J67+CF!J68</f>
        <v>265.797611390682</v>
      </c>
      <c r="K69" s="6" t="n">
        <f aca="false">CF!J69+CF!K65-CF!K66-CF!K67+CF!K68</f>
        <v>438.021570739053</v>
      </c>
    </row>
    <row r="70" customFormat="false" ht="15" hidden="false" customHeight="false" outlineLevel="0" collapsed="false">
      <c r="A70" s="1" t="s">
        <v>1130</v>
      </c>
      <c r="B70" s="0" t="s">
        <v>98</v>
      </c>
      <c r="E70" s="6" t="n">
        <f aca="false">debt_face</f>
        <v>46.136</v>
      </c>
      <c r="F70" s="6" t="n">
        <f aca="false">CF!E70-CF!F66+CF!F68</f>
        <v>36.886</v>
      </c>
      <c r="G70" s="6" t="n">
        <f aca="false">CF!F70-CF!G66+CF!G68</f>
        <v>45.0352289511065</v>
      </c>
      <c r="H70" s="6" t="n">
        <f aca="false">CF!G70-CF!H66+CF!H68</f>
        <v>43.0342289511065</v>
      </c>
      <c r="I70" s="6" t="n">
        <f aca="false">CF!H70-CF!I66+CF!I68</f>
        <v>43.0342289511065</v>
      </c>
      <c r="J70" s="6" t="n">
        <f aca="false">CF!I70-CF!J66+CF!J68</f>
        <v>42.5342289511065</v>
      </c>
      <c r="K70" s="6" t="n">
        <f aca="false">CF!J70-CF!K66+CF!K68</f>
        <v>42.5342289511065</v>
      </c>
    </row>
    <row r="71" customFormat="false" ht="15" hidden="false" customHeight="false" outlineLevel="0" collapsed="false">
      <c r="A71" s="1" t="s">
        <v>1131</v>
      </c>
      <c r="B71" s="0" t="s">
        <v>98</v>
      </c>
      <c r="E71" s="6" t="n">
        <f aca="false">CF!E69-CF!E70</f>
        <v>30.707</v>
      </c>
      <c r="F71" s="6" t="n">
        <f aca="false">CF!F69-CF!F70</f>
        <v>13.114</v>
      </c>
      <c r="G71" s="6" t="n">
        <f aca="false">CF!G69-CF!G70</f>
        <v>4.96477104889349</v>
      </c>
      <c r="H71" s="6" t="n">
        <f aca="false">CF!H69-CF!H70</f>
        <v>11.1517091764617</v>
      </c>
      <c r="I71" s="6" t="n">
        <f aca="false">CF!I69-CF!I70</f>
        <v>82.8554029944703</v>
      </c>
      <c r="J71" s="6" t="n">
        <f aca="false">CF!J69-CF!J70</f>
        <v>223.263382439575</v>
      </c>
      <c r="K71" s="6" t="n">
        <f aca="false">CF!K69-CF!K70</f>
        <v>395.487341787946</v>
      </c>
    </row>
    <row r="72" customFormat="false" ht="15" hidden="false" customHeight="false" outlineLevel="0" collapsed="false">
      <c r="A72" s="1" t="s">
        <v>1132</v>
      </c>
      <c r="B72" s="0" t="s">
        <v>75</v>
      </c>
      <c r="F72" s="30" t="n">
        <f aca="false">px*(1+bb_g)^(Thesis!F58-base_fy-mid_yr)</f>
        <v>551.84177959629</v>
      </c>
      <c r="G72" s="30" t="n">
        <f aca="false">px*(1+bb_g)^(Thesis!G58-base_fy-mid_yr)</f>
        <v>595.989121963993</v>
      </c>
      <c r="H72" s="30" t="n">
        <f aca="false">px*(1+bb_g)^(Thesis!H58-base_fy-mid_yr)</f>
        <v>643.668251721112</v>
      </c>
      <c r="I72" s="30" t="n">
        <f aca="false">px*(1+bb_g)^(Thesis!I58-base_fy-mid_yr)</f>
        <v>695.161711858801</v>
      </c>
      <c r="J72" s="30" t="n">
        <f aca="false">px*(1+bb_g)^(Thesis!J58-base_fy-mid_yr)</f>
        <v>750.774648807506</v>
      </c>
      <c r="K72" s="30" t="n">
        <f aca="false">px*(1+bb_g)^(Thesis!K58-base_fy-mid_yr)</f>
        <v>810.836620712106</v>
      </c>
    </row>
    <row r="73" customFormat="false" ht="15" hidden="false" customHeight="false" outlineLevel="0" collapsed="false">
      <c r="A73" s="1" t="s">
        <v>1133</v>
      </c>
      <c r="B73" s="1" t="s">
        <v>81</v>
      </c>
      <c r="E73" s="15" t="n">
        <f aca="false">sh_out26</f>
        <v>7.427</v>
      </c>
      <c r="F73" s="15" t="n">
        <f aca="false">CF!E73+sh_iss-CF!F67/CF!F72</f>
        <v>7.47150921168074</v>
      </c>
      <c r="G73" s="15" t="n">
        <f aca="false">CF!F73+sh_iss-CF!G67/CF!G72</f>
        <v>7.51650921168074</v>
      </c>
      <c r="H73" s="15" t="n">
        <f aca="false">CF!G73+sh_iss-CF!H67/CF!H72</f>
        <v>7.52690908973834</v>
      </c>
      <c r="I73" s="15" t="n">
        <f aca="false">CF!H73+sh_iss-CF!I67/CF!I72</f>
        <v>7.53987193979168</v>
      </c>
      <c r="J73" s="15" t="n">
        <f aca="false">CF!I73+sh_iss-CF!J67/CF!J72</f>
        <v>7.55520791206329</v>
      </c>
      <c r="K73" s="15" t="n">
        <f aca="false">CF!J73+sh_iss-CF!K67/CF!K72</f>
        <v>7.57274121972218</v>
      </c>
    </row>
    <row r="74" customFormat="false" ht="15" hidden="false" customHeight="false" outlineLevel="0" collapsed="false">
      <c r="A74" s="1" t="s">
        <v>1134</v>
      </c>
      <c r="B74" s="1" t="s">
        <v>81</v>
      </c>
      <c r="E74" s="15" t="n">
        <f aca="false">sh_dil26</f>
        <v>7.453</v>
      </c>
      <c r="F74" s="15" t="n">
        <f aca="false">(CF!E73+CF!F73)/2+dil_gap</f>
        <v>7.47325460584037</v>
      </c>
      <c r="G74" s="15" t="n">
        <f aca="false">(CF!F73+CF!G73)/2+dil_gap</f>
        <v>7.51800921168074</v>
      </c>
      <c r="H74" s="15" t="n">
        <f aca="false">(CF!G73+CF!H73)/2+dil_gap</f>
        <v>7.54570915070954</v>
      </c>
      <c r="I74" s="15" t="n">
        <f aca="false">(CF!H73+CF!I73)/2+dil_gap</f>
        <v>7.55739051476501</v>
      </c>
      <c r="J74" s="15" t="n">
        <f aca="false">(CF!I73+CF!J73)/2+dil_gap</f>
        <v>7.57153992592748</v>
      </c>
      <c r="K74" s="15" t="n">
        <f aca="false">(CF!J73+CF!K73)/2+dil_gap</f>
        <v>7.58797456589273</v>
      </c>
    </row>
    <row r="75" customFormat="false" ht="17.15" hidden="false" customHeight="false" outlineLevel="0" collapsed="false">
      <c r="A75" s="1" t="s">
        <v>1135</v>
      </c>
      <c r="B75" s="0" t="s">
        <v>98</v>
      </c>
      <c r="C75" s="6" t="n">
        <f aca="false">SUM(CF!F65:J65)</f>
        <v>259.640219939081</v>
      </c>
    </row>
    <row r="76" customFormat="false" ht="15" hidden="false" customHeight="false" outlineLevel="0" collapsed="false">
      <c r="A76" s="26" t="s">
        <v>1100</v>
      </c>
      <c r="B76" s="31" t="s">
        <v>98</v>
      </c>
      <c r="C76" s="27" t="n">
        <f aca="false">CF!$C$75-(CF!F65+CF!G65+CF!H65+CF!I65+CF!J65)</f>
        <v>0</v>
      </c>
      <c r="D76" s="31"/>
      <c r="E76" s="31"/>
      <c r="F76" s="31"/>
      <c r="G76" s="31"/>
      <c r="H76" s="31"/>
      <c r="I76" s="31"/>
      <c r="J76" s="31"/>
      <c r="K76" s="31"/>
    </row>
    <row r="77" customFormat="false" ht="17.15" hidden="false" customHeight="false" outlineLevel="0" collapsed="false">
      <c r="A77" s="1" t="s">
        <v>1094</v>
      </c>
      <c r="B77" s="1" t="s">
        <v>1136</v>
      </c>
      <c r="C77" s="33" t="str">
        <f aca="false">IF(SUM(CF!F68:J68)&gt;0.05,"需要舉債 "&amp;TEXT(SUM(CF!F68:J68),"0.0")&amp;" 十億美元","不需舉債")&amp;"；"&amp;IF(SUM(CF!F67:J67)&lt;COUNT(CF!F67:J67)*bb_target-0.05,"回購較每年 "&amp;TEXT(bb_target,"0.0")&amp;" 的目標少 "&amp;TEXT(COUNT(CF!F67:J67)*bb_target-SUM(CF!F67:J67),"0.0")&amp;" 十億美元（"&amp;TEXT(COUNTIF(CF!F67:J67,"&lt;"&amp;(bb_target-0.05)),"0")&amp;" 年減少）","回購不減")</f>
        <v>需要舉債 8.1 十億美元；回購較每年 22.3 的目標少 44.3 十億美元（2 年減少）</v>
      </c>
    </row>
    <row r="78" customFormat="false" ht="17.15" hidden="false" customHeight="false" outlineLevel="0" collapsed="false">
      <c r="A78" s="3" t="s">
        <v>1138</v>
      </c>
    </row>
    <row r="79" customFormat="false" ht="15" hidden="false" customHeight="false" outlineLevel="0" collapsed="false">
      <c r="A79" s="4" t="s">
        <v>43</v>
      </c>
      <c r="B79" s="4" t="s">
        <v>65</v>
      </c>
      <c r="C79" s="23" t="s">
        <v>942</v>
      </c>
      <c r="D79" s="23" t="s">
        <v>943</v>
      </c>
      <c r="E79" s="23" t="s">
        <v>944</v>
      </c>
      <c r="F79" s="23" t="s">
        <v>945</v>
      </c>
      <c r="G79" s="23" t="s">
        <v>946</v>
      </c>
      <c r="H79" s="23" t="s">
        <v>947</v>
      </c>
      <c r="I79" s="23" t="s">
        <v>948</v>
      </c>
      <c r="J79" s="23" t="s">
        <v>949</v>
      </c>
      <c r="K79" s="23" t="s">
        <v>950</v>
      </c>
      <c r="L79" s="4" t="s">
        <v>47</v>
      </c>
    </row>
    <row r="80" customFormat="false" ht="15" hidden="false" customHeight="false" outlineLevel="0" collapsed="false">
      <c r="A80" s="1" t="s">
        <v>1080</v>
      </c>
      <c r="B80" s="0" t="s">
        <v>98</v>
      </c>
      <c r="F80" s="6" t="n">
        <f aca="false">PL!F123</f>
        <v>141.519132566314</v>
      </c>
      <c r="G80" s="6" t="n">
        <f aca="false">PL!G123</f>
        <v>143.776094190781</v>
      </c>
      <c r="H80" s="6" t="n">
        <f aca="false">PL!H123</f>
        <v>145.523258806884</v>
      </c>
      <c r="I80" s="6" t="n">
        <f aca="false">PL!I123</f>
        <v>153.618584087663</v>
      </c>
      <c r="J80" s="6" t="n">
        <f aca="false">PL!J123</f>
        <v>163.027321880188</v>
      </c>
      <c r="K80" s="6" t="n">
        <f aca="false">PL!K123</f>
        <v>173.630216203913</v>
      </c>
    </row>
    <row r="81" customFormat="false" ht="17.15" hidden="false" customHeight="false" outlineLevel="0" collapsed="false">
      <c r="A81" s="1" t="s">
        <v>1102</v>
      </c>
      <c r="B81" s="0" t="s">
        <v>98</v>
      </c>
      <c r="E81" s="6" t="n">
        <f aca="false">Q!M38-Thesis!E147</f>
        <v>22.2285940229167</v>
      </c>
      <c r="F81" s="6" t="n">
        <f aca="false">CF!E81*(1-1/life_nonai)+(CF!F89+CF!F90)/life_nonai</f>
        <v>23.5883405279552</v>
      </c>
      <c r="G81" s="6" t="n">
        <f aca="false">CF!F81*(1-1/life_nonai)+(CF!G89)/life_nonai</f>
        <v>25.347608709247</v>
      </c>
      <c r="H81" s="6" t="n">
        <f aca="false">CF!G81*(1-1/life_nonai)+(CF!H89)/life_nonai</f>
        <v>27.4750934833125</v>
      </c>
      <c r="I81" s="6" t="n">
        <f aca="false">CF!H81*(1-1/life_nonai)+(CF!I89)/life_nonai</f>
        <v>29.9140127982598</v>
      </c>
      <c r="J81" s="6" t="n">
        <f aca="false">CF!I81*(1-1/life_nonai)+(CF!J89)/life_nonai</f>
        <v>32.5895147654561</v>
      </c>
      <c r="K81" s="6" t="n">
        <f aca="false">CF!J81*(1-1/life_nonai)+(CF!K89)/life_nonai</f>
        <v>35.4171979437481</v>
      </c>
      <c r="L81" s="12" t="s">
        <v>1103</v>
      </c>
    </row>
    <row r="82" customFormat="false" ht="17.15" hidden="false" customHeight="false" outlineLevel="0" collapsed="false">
      <c r="A82" s="1" t="s">
        <v>1104</v>
      </c>
      <c r="B82" s="0" t="s">
        <v>98</v>
      </c>
      <c r="F82" s="6" t="n">
        <f aca="false">CF!$F$90/life_nonai*(1-1/life_nonai)^(Thesis!F110-2027)</f>
        <v>0</v>
      </c>
      <c r="G82" s="6" t="n">
        <f aca="false">CF!$F$90/life_nonai*(1-1/life_nonai)^(Thesis!G110-2027)</f>
        <v>0</v>
      </c>
      <c r="H82" s="6" t="n">
        <f aca="false">CF!$F$90/life_nonai*(1-1/life_nonai)^(Thesis!H110-2027)</f>
        <v>0</v>
      </c>
      <c r="I82" s="6" t="n">
        <f aca="false">CF!$F$90/life_nonai*(1-1/life_nonai)^(Thesis!I110-2027)</f>
        <v>0</v>
      </c>
      <c r="J82" s="6" t="n">
        <f aca="false">CF!$F$90/life_nonai*(1-1/life_nonai)^(Thesis!J110-2027)</f>
        <v>0</v>
      </c>
      <c r="K82" s="6" t="n">
        <f aca="false">CF!$F$90/life_nonai*(1-1/life_nonai)^(Thesis!K110-2027)</f>
        <v>0</v>
      </c>
      <c r="L82" s="1" t="s">
        <v>1105</v>
      </c>
    </row>
    <row r="83" customFormat="false" ht="17.15" hidden="false" customHeight="false" outlineLevel="0" collapsed="false">
      <c r="A83" s="1" t="s">
        <v>1106</v>
      </c>
      <c r="B83" s="0" t="s">
        <v>98</v>
      </c>
      <c r="E83" s="6" t="n">
        <f aca="false">Thesis!E147+CF!E81</f>
        <v>38.534</v>
      </c>
      <c r="F83" s="6" t="n">
        <f aca="false">Thesis!F147+CF!F81</f>
        <v>58.1676550063068</v>
      </c>
      <c r="G83" s="6" t="n">
        <f aca="false">Thesis!G147+CF!G81</f>
        <v>86.0820993615459</v>
      </c>
      <c r="H83" s="6" t="n">
        <f aca="false">Thesis!H147+CF!H81</f>
        <v>116.575184144758</v>
      </c>
      <c r="I83" s="6" t="n">
        <f aca="false">Thesis!I147+CF!I81</f>
        <v>144.145022492808</v>
      </c>
      <c r="J83" s="6" t="n">
        <f aca="false">Thesis!J147+CF!J81</f>
        <v>164.605187815052</v>
      </c>
      <c r="K83" s="6" t="n">
        <f aca="false">Thesis!K147+CF!K81</f>
        <v>178.429867494682</v>
      </c>
    </row>
    <row r="84" customFormat="false" ht="17.15" hidden="false" customHeight="false" outlineLevel="0" collapsed="false">
      <c r="A84" s="1" t="s">
        <v>1107</v>
      </c>
      <c r="B84" s="0" t="s">
        <v>98</v>
      </c>
      <c r="F84" s="6" t="n">
        <f aca="false">Seg!F83*sbc_r</f>
        <v>14.7454787486369</v>
      </c>
      <c r="G84" s="6" t="n">
        <f aca="false">Seg!G83*sbc_r</f>
        <v>17.1560811611477</v>
      </c>
      <c r="H84" s="6" t="n">
        <f aca="false">Seg!H83*sbc_r</f>
        <v>19.4112161412813</v>
      </c>
      <c r="I84" s="6" t="n">
        <f aca="false">Seg!I83*sbc_r</f>
        <v>21.7655163708747</v>
      </c>
      <c r="J84" s="6" t="n">
        <f aca="false">Seg!J83*sbc_r</f>
        <v>23.7425689489627</v>
      </c>
      <c r="K84" s="6" t="n">
        <f aca="false">Seg!K83*sbc_r</f>
        <v>25.3560408997772</v>
      </c>
    </row>
    <row r="85" customFormat="false" ht="17.15" hidden="false" customHeight="false" outlineLevel="0" collapsed="false">
      <c r="A85" s="1" t="s">
        <v>1108</v>
      </c>
      <c r="B85" s="0" t="s">
        <v>98</v>
      </c>
      <c r="F85" s="6" t="n">
        <f aca="false">wc27-wc26q1</f>
        <v>-4.677</v>
      </c>
      <c r="G85" s="6" t="n">
        <f aca="false">wc_f</f>
        <v>0</v>
      </c>
      <c r="H85" s="6" t="n">
        <f aca="false">wc_f</f>
        <v>0</v>
      </c>
      <c r="I85" s="6" t="n">
        <f aca="false">wc_f</f>
        <v>0</v>
      </c>
      <c r="J85" s="6" t="n">
        <f aca="false">wc_f</f>
        <v>0</v>
      </c>
      <c r="K85" s="6" t="n">
        <f aca="false">wc_f</f>
        <v>0</v>
      </c>
      <c r="L85" s="12" t="s">
        <v>1109</v>
      </c>
    </row>
    <row r="86" customFormat="false" ht="17.15" hidden="false" customHeight="false" outlineLevel="0" collapsed="false">
      <c r="A86" s="0" t="s">
        <v>1110</v>
      </c>
      <c r="B86" s="0" t="s">
        <v>98</v>
      </c>
      <c r="F86" s="6" t="n">
        <f aca="false">Q!$I$35-Q!$I$26-Q!$I$38-Q!$I$39</f>
        <v>6.493</v>
      </c>
      <c r="L86" s="1" t="s">
        <v>1111</v>
      </c>
    </row>
    <row r="87" customFormat="false" ht="15" hidden="false" customHeight="false" outlineLevel="0" collapsed="false">
      <c r="A87" s="1" t="s">
        <v>908</v>
      </c>
      <c r="B87" s="0" t="s">
        <v>98</v>
      </c>
      <c r="E87" s="6" t="n">
        <f aca="false">Q!M35</f>
        <v>182.935</v>
      </c>
      <c r="F87" s="6" t="n">
        <f aca="false">CF!F80+CF!F83+CF!F84+CF!F85+CF!F86</f>
        <v>216.248266321257</v>
      </c>
      <c r="G87" s="6" t="n">
        <f aca="false">CF!G80+CF!G83+CF!G84+CF!G85</f>
        <v>247.014274713475</v>
      </c>
      <c r="H87" s="6" t="n">
        <f aca="false">CF!H80+CF!H83+CF!H84+CF!H85</f>
        <v>281.509659092923</v>
      </c>
      <c r="I87" s="6" t="n">
        <f aca="false">CF!I80+CF!I83+CF!I84+CF!I85</f>
        <v>319.529122951346</v>
      </c>
      <c r="J87" s="6" t="n">
        <f aca="false">CF!J80+CF!J83+CF!J84+CF!J85</f>
        <v>351.375078644203</v>
      </c>
      <c r="K87" s="6" t="n">
        <f aca="false">CF!K80+CF!K83+CF!K84+CF!K85</f>
        <v>377.416124598373</v>
      </c>
    </row>
    <row r="88" customFormat="false" ht="17.15" hidden="false" customHeight="false" outlineLevel="0" collapsed="false">
      <c r="A88" s="0" t="s">
        <v>1112</v>
      </c>
      <c r="B88" s="0" t="s">
        <v>98</v>
      </c>
      <c r="F88" s="6" t="n">
        <f aca="false">Thesis!F144</f>
        <v>168.45390404212</v>
      </c>
      <c r="G88" s="6" t="n">
        <f aca="false">Thesis!G144</f>
        <v>191.944475649048</v>
      </c>
      <c r="H88" s="6" t="n">
        <f aca="false">Thesis!H144</f>
        <v>196.806004064512</v>
      </c>
      <c r="I88" s="6" t="n">
        <f aca="false">Thesis!I144</f>
        <v>168.61483362161</v>
      </c>
      <c r="J88" s="6" t="n">
        <f aca="false">Thesis!J144</f>
        <v>128.92993119594</v>
      </c>
      <c r="K88" s="6" t="n">
        <f aca="false">Thesis!K144</f>
        <v>118.962853064733</v>
      </c>
    </row>
    <row r="89" customFormat="false" ht="17.15" hidden="false" customHeight="false" outlineLevel="0" collapsed="false">
      <c r="A89" s="1" t="s">
        <v>1113</v>
      </c>
      <c r="B89" s="0" t="s">
        <v>98</v>
      </c>
      <c r="E89" s="6" t="n">
        <f aca="false">Seg!E61*cx_azo+Seg!E68*cx_m365+Seg!E69*cx_lic+(Seg!E71+Seg!E73)*cx_ind+Seg!E76*cx_srch+(Seg!E78+Seg!E80)*cx_dev</f>
        <v>30.1846587067718</v>
      </c>
      <c r="F89" s="6" t="n">
        <f aca="false">Seg!F61*cx_azo+Seg!F68*cx_m365+Seg!F69*cx_lic+(Seg!F71+Seg!F73)*cx_ind+Seg!F76*cx_srch+(Seg!F78+Seg!F80)*cx_dev</f>
        <v>35.826059073302</v>
      </c>
      <c r="G89" s="6" t="n">
        <f aca="false">Seg!G61*cx_azo+Seg!G68*cx_m365+Seg!G69*cx_lic+(Seg!G71+Seg!G73)*cx_ind+Seg!G76*cx_srch+(Seg!G78+Seg!G80)*cx_dev</f>
        <v>41.1810223408732</v>
      </c>
      <c r="H89" s="6" t="n">
        <f aca="false">Seg!H61*cx_azo+Seg!H68*cx_m365+Seg!H69*cx_lic+(Seg!H71+Seg!H73)*cx_ind+Seg!H76*cx_srch+(Seg!H78+Seg!H80)*cx_dev</f>
        <v>46.6224564499022</v>
      </c>
      <c r="I89" s="6" t="n">
        <f aca="false">Seg!I61*cx_azo+Seg!I68*cx_m365+Seg!I69*cx_lic+(Seg!I71+Seg!I73)*cx_ind+Seg!I76*cx_srch+(Seg!I78+Seg!I80)*cx_dev</f>
        <v>51.8642866327854</v>
      </c>
      <c r="J89" s="6" t="n">
        <f aca="false">Seg!J61*cx_azo+Seg!J68*cx_m365+Seg!J69*cx_lic+(Seg!J71+Seg!J73)*cx_ind+Seg!J76*cx_srch+(Seg!J78+Seg!J80)*cx_dev</f>
        <v>56.6690324702225</v>
      </c>
      <c r="K89" s="6" t="n">
        <f aca="false">Seg!K61*cx_azo+Seg!K68*cx_m365+Seg!K69*cx_lic+(Seg!K71+Seg!K73)*cx_ind+Seg!K76*cx_srch+(Seg!K78+Seg!K80)*cx_dev</f>
        <v>60.866346548376</v>
      </c>
    </row>
    <row r="90" customFormat="false" ht="17.15" hidden="false" customHeight="false" outlineLevel="0" collapsed="false">
      <c r="A90" s="0" t="s">
        <v>1114</v>
      </c>
      <c r="B90" s="0" t="s">
        <v>98</v>
      </c>
      <c r="F90" s="6" t="n">
        <f aca="false">Thesis!F142</f>
        <v>0</v>
      </c>
      <c r="L90" s="1" t="s">
        <v>1115</v>
      </c>
    </row>
    <row r="91" customFormat="false" ht="17.15" hidden="false" customHeight="false" outlineLevel="0" collapsed="false">
      <c r="A91" s="1" t="s">
        <v>1116</v>
      </c>
      <c r="B91" s="0" t="s">
        <v>98</v>
      </c>
      <c r="E91" s="6" t="n">
        <f aca="false">Q!M43</f>
        <v>145.3</v>
      </c>
      <c r="F91" s="6" t="n">
        <f aca="false">CF!F88+CF!F89+CF!F90</f>
        <v>204.279963115422</v>
      </c>
      <c r="G91" s="6" t="n">
        <f aca="false">CF!G88+CF!G89</f>
        <v>233.125497989921</v>
      </c>
      <c r="H91" s="6" t="n">
        <f aca="false">CF!H88+CF!H89</f>
        <v>243.428460514415</v>
      </c>
      <c r="I91" s="6" t="n">
        <f aca="false">CF!I88+CF!I89</f>
        <v>220.479120254396</v>
      </c>
      <c r="J91" s="6" t="n">
        <f aca="false">CF!J88+CF!J89</f>
        <v>185.598963666163</v>
      </c>
      <c r="K91" s="6" t="n">
        <f aca="false">CF!K88+CF!K89</f>
        <v>179.829199613109</v>
      </c>
      <c r="L91" s="1" t="s">
        <v>1117</v>
      </c>
    </row>
    <row r="92" customFormat="false" ht="15" hidden="false" customHeight="false" outlineLevel="0" collapsed="false">
      <c r="A92" s="1" t="s">
        <v>1118</v>
      </c>
      <c r="B92" s="0" t="s">
        <v>98</v>
      </c>
      <c r="E92" s="6" t="n">
        <f aca="false">fl_liab</f>
        <v>66.594</v>
      </c>
      <c r="F92" s="6" t="n">
        <f aca="false">CF!E92-CF!F93</f>
        <v>62.46973</v>
      </c>
      <c r="G92" s="6" t="n">
        <f aca="false">CF!F92-CF!G93</f>
        <v>57.98686785</v>
      </c>
      <c r="H92" s="6" t="n">
        <f aca="false">CF!G92-CF!H93</f>
        <v>53.92827690325</v>
      </c>
      <c r="I92" s="6" t="n">
        <f aca="false">CF!H92-CF!I93</f>
        <v>49.7850493638962</v>
      </c>
      <c r="J92" s="6" t="n">
        <f aca="false">CF!I92-CF!J93</f>
        <v>45.4823765852716</v>
      </c>
      <c r="K92" s="6" t="n">
        <f aca="false">CF!J92-CF!K93</f>
        <v>40.9860835316088</v>
      </c>
    </row>
    <row r="93" customFormat="false" ht="15" hidden="false" customHeight="false" outlineLevel="0" collapsed="false">
      <c r="A93" s="1" t="s">
        <v>1119</v>
      </c>
      <c r="B93" s="0" t="s">
        <v>98</v>
      </c>
      <c r="F93" s="6" t="n">
        <f aca="false">fl_pay_27-CF!E92*fl_rate</f>
        <v>4.12427</v>
      </c>
      <c r="G93" s="6" t="n">
        <f aca="false">fl_pay_28-CF!F92*fl_rate</f>
        <v>4.48286215</v>
      </c>
      <c r="H93" s="6" t="n">
        <f aca="false">fl_pay_29-CF!G92*fl_rate</f>
        <v>4.05859094675</v>
      </c>
      <c r="I93" s="6" t="n">
        <f aca="false">fl_pay_30-CF!H92*fl_rate</f>
        <v>4.14322753935375</v>
      </c>
      <c r="J93" s="6" t="n">
        <f aca="false">fl_pay_31-CF!I92*fl_rate</f>
        <v>4.30267277862467</v>
      </c>
      <c r="K93" s="6" t="n">
        <f aca="false">fl_pay_32-CF!J92*fl_rate</f>
        <v>4.49629305366278</v>
      </c>
    </row>
    <row r="94" customFormat="false" ht="17.15" hidden="false" customHeight="false" outlineLevel="0" collapsed="false">
      <c r="A94" s="1" t="s">
        <v>1120</v>
      </c>
      <c r="B94" s="0" t="s">
        <v>98</v>
      </c>
      <c r="E94" s="6" t="n">
        <f aca="false">Q!M35-Q!M36-Q!M44</f>
        <v>63.886</v>
      </c>
      <c r="F94" s="6" t="n">
        <f aca="false">CF!F87-CF!F91-CF!F93</f>
        <v>7.8440332058357</v>
      </c>
      <c r="G94" s="6" t="n">
        <f aca="false">CF!G87-CF!G91-CF!G93</f>
        <v>9.40591457355372</v>
      </c>
      <c r="H94" s="6" t="n">
        <f aca="false">CF!H87-CF!H91-CF!H93</f>
        <v>34.0226076317587</v>
      </c>
      <c r="I94" s="6" t="n">
        <f aca="false">CF!I87-CF!I91-CF!I93</f>
        <v>94.9067751575962</v>
      </c>
      <c r="J94" s="6" t="n">
        <f aca="false">CF!J87-CF!J91-CF!J93</f>
        <v>161.473442199415</v>
      </c>
      <c r="K94" s="6" t="n">
        <f aca="false">CF!K87-CF!K91-CF!K93</f>
        <v>193.090631931601</v>
      </c>
      <c r="L94" s="12" t="s">
        <v>1121</v>
      </c>
    </row>
    <row r="95" customFormat="false" ht="15" hidden="false" customHeight="false" outlineLevel="0" collapsed="false">
      <c r="A95" s="1" t="s">
        <v>1122</v>
      </c>
      <c r="B95" s="0" t="s">
        <v>75</v>
      </c>
      <c r="F95" s="8" t="n">
        <f aca="false">dps_27</f>
        <v>3.85</v>
      </c>
      <c r="G95" s="8" t="n">
        <f aca="false">CF!F95*(1+dps_g)</f>
        <v>4.158</v>
      </c>
      <c r="H95" s="8" t="n">
        <f aca="false">CF!G95*(1+dps_g)</f>
        <v>4.49064</v>
      </c>
      <c r="I95" s="8" t="n">
        <f aca="false">CF!H95*(1+dps_g)</f>
        <v>4.8498912</v>
      </c>
      <c r="J95" s="8" t="n">
        <f aca="false">CF!I95*(1+dps_g)</f>
        <v>5.237882496</v>
      </c>
      <c r="K95" s="8" t="n">
        <f aca="false">CF!J95*(1+dps_g)</f>
        <v>5.65691309568</v>
      </c>
    </row>
    <row r="96" customFormat="false" ht="17.15" hidden="false" customHeight="false" outlineLevel="0" collapsed="false">
      <c r="A96" s="1" t="s">
        <v>1123</v>
      </c>
      <c r="B96" s="0" t="s">
        <v>98</v>
      </c>
      <c r="E96" s="6" t="n">
        <f aca="false">Q!M41</f>
        <v>26.445</v>
      </c>
      <c r="F96" s="6" t="n">
        <f aca="false">CF!F95*CF!E105</f>
        <v>28.59395</v>
      </c>
      <c r="G96" s="6" t="n">
        <f aca="false">CF!G95*CF!F105</f>
        <v>31.068576</v>
      </c>
      <c r="H96" s="6" t="n">
        <f aca="false">CF!H95*CF!G105</f>
        <v>33.75614088</v>
      </c>
      <c r="I96" s="6" t="n">
        <f aca="false">CF!I95*CF!H105</f>
        <v>36.6748772544</v>
      </c>
      <c r="J96" s="6" t="n">
        <f aca="false">CF!J95*CF!I105</f>
        <v>39.6767653201446</v>
      </c>
      <c r="K96" s="6" t="n">
        <f aca="false">CF!K95*CF!J105</f>
        <v>42.9376608081345</v>
      </c>
      <c r="L96" s="1" t="s">
        <v>1124</v>
      </c>
    </row>
    <row r="97" customFormat="false" ht="15" hidden="false" customHeight="false" outlineLevel="0" collapsed="false">
      <c r="A97" s="1" t="s">
        <v>1125</v>
      </c>
      <c r="B97" s="0" t="s">
        <v>98</v>
      </c>
      <c r="E97" s="6" t="n">
        <f aca="false">CF!E94-CF!E96</f>
        <v>37.441</v>
      </c>
      <c r="F97" s="6" t="n">
        <f aca="false">CF!F94-CF!F96</f>
        <v>-20.7499167941643</v>
      </c>
      <c r="G97" s="6" t="n">
        <f aca="false">CF!G94-CF!G96</f>
        <v>-21.6626614264463</v>
      </c>
      <c r="H97" s="6" t="n">
        <f aca="false">CF!H94-CF!H96</f>
        <v>0.266466751758742</v>
      </c>
      <c r="I97" s="6" t="n">
        <f aca="false">CF!I94-CF!I96</f>
        <v>58.2318979031962</v>
      </c>
      <c r="J97" s="6" t="n">
        <f aca="false">CF!J94-CF!J96</f>
        <v>121.796676879271</v>
      </c>
      <c r="K97" s="6" t="n">
        <f aca="false">CF!K94-CF!K96</f>
        <v>150.152971123467</v>
      </c>
    </row>
    <row r="98" customFormat="false" ht="15" hidden="false" customHeight="false" outlineLevel="0" collapsed="false">
      <c r="A98" s="1" t="s">
        <v>1126</v>
      </c>
      <c r="B98" s="0" t="s">
        <v>98</v>
      </c>
      <c r="F98" s="6" t="n">
        <f aca="false">debt_mat_27</f>
        <v>9.25</v>
      </c>
      <c r="G98" s="6" t="n">
        <f aca="false">debt_mat_28</f>
        <v>0</v>
      </c>
      <c r="H98" s="6" t="n">
        <f aca="false">debt_mat_29</f>
        <v>2.001</v>
      </c>
      <c r="I98" s="6" t="n">
        <f aca="false">debt_mat_30</f>
        <v>0</v>
      </c>
      <c r="J98" s="6" t="n">
        <f aca="false">debt_mat_31</f>
        <v>0.5</v>
      </c>
      <c r="K98" s="6" t="n">
        <f aca="false">debt_mat_32</f>
        <v>0</v>
      </c>
    </row>
    <row r="99" customFormat="false" ht="15" hidden="false" customHeight="false" outlineLevel="0" collapsed="false">
      <c r="A99" s="1" t="s">
        <v>1127</v>
      </c>
      <c r="B99" s="0" t="s">
        <v>98</v>
      </c>
      <c r="E99" s="6" t="n">
        <f aca="false">Q!M40</f>
        <v>22.271</v>
      </c>
      <c r="F99" s="6" t="n">
        <f aca="false">MAX(0,MIN(bb_target,CF!E101+CF!F97-CF!F98-min_cash))</f>
        <v>0</v>
      </c>
      <c r="G99" s="6" t="n">
        <f aca="false">MAX(0,MIN(bb_target,CF!F101+CF!G97-CF!G98-min_cash))</f>
        <v>0</v>
      </c>
      <c r="H99" s="6" t="n">
        <f aca="false">MAX(0,MIN(bb_target,CF!G101+CF!H97-CF!H98-min_cash))</f>
        <v>0</v>
      </c>
      <c r="I99" s="6" t="n">
        <f aca="false">MAX(0,MIN(bb_target,CF!H101+CF!I97-CF!I98-min_cash))</f>
        <v>22.271</v>
      </c>
      <c r="J99" s="6" t="n">
        <f aca="false">MAX(0,MIN(bb_target,CF!I101+CF!J97-CF!J98-min_cash))</f>
        <v>22.271</v>
      </c>
      <c r="K99" s="6" t="n">
        <f aca="false">MAX(0,MIN(bb_target,CF!J101+CF!K97-CF!K98-min_cash))</f>
        <v>22.271</v>
      </c>
    </row>
    <row r="100" customFormat="false" ht="15" hidden="false" customHeight="false" outlineLevel="0" collapsed="false">
      <c r="A100" s="1" t="s">
        <v>1128</v>
      </c>
      <c r="B100" s="0" t="s">
        <v>98</v>
      </c>
      <c r="F100" s="6" t="n">
        <f aca="false">MAX(0,min_cash-(CF!E101+CF!F97-CF!F98-CF!F99))</f>
        <v>3.1569167941643</v>
      </c>
      <c r="G100" s="6" t="n">
        <f aca="false">MAX(0,min_cash-(CF!F101+CF!G97-CF!G98-CF!G99))</f>
        <v>21.6626614264463</v>
      </c>
      <c r="H100" s="6" t="n">
        <f aca="false">MAX(0,min_cash-(CF!G101+CF!H97-CF!H98-CF!H99))</f>
        <v>1.73453324824126</v>
      </c>
      <c r="I100" s="6" t="n">
        <f aca="false">MAX(0,min_cash-(CF!H101+CF!I97-CF!I98-CF!I99))</f>
        <v>0</v>
      </c>
      <c r="J100" s="6" t="n">
        <f aca="false">MAX(0,min_cash-(CF!I101+CF!J97-CF!J98-CF!J99))</f>
        <v>0</v>
      </c>
      <c r="K100" s="6" t="n">
        <f aca="false">MAX(0,min_cash-(CF!J101+CF!K97-CF!K98-CF!K99))</f>
        <v>0</v>
      </c>
    </row>
    <row r="101" customFormat="false" ht="15" hidden="false" customHeight="false" outlineLevel="0" collapsed="false">
      <c r="A101" s="1" t="s">
        <v>1129</v>
      </c>
      <c r="B101" s="0" t="s">
        <v>98</v>
      </c>
      <c r="E101" s="6" t="n">
        <f aca="false">cash_open</f>
        <v>76.843</v>
      </c>
      <c r="F101" s="6" t="n">
        <f aca="false">CF!E101+CF!F97-CF!F98-CF!F99+CF!F100</f>
        <v>50</v>
      </c>
      <c r="G101" s="6" t="n">
        <f aca="false">CF!F101+CF!G97-CF!G98-CF!G99+CF!G100</f>
        <v>50</v>
      </c>
      <c r="H101" s="6" t="n">
        <f aca="false">CF!G101+CF!H97-CF!H98-CF!H99+CF!H100</f>
        <v>50</v>
      </c>
      <c r="I101" s="6" t="n">
        <f aca="false">CF!H101+CF!I97-CF!I98-CF!I99+CF!I100</f>
        <v>85.9608979031962</v>
      </c>
      <c r="J101" s="6" t="n">
        <f aca="false">CF!I101+CF!J97-CF!J98-CF!J99+CF!J100</f>
        <v>184.986574782467</v>
      </c>
      <c r="K101" s="6" t="n">
        <f aca="false">CF!J101+CF!K97-CF!K98-CF!K99+CF!K100</f>
        <v>312.868545905934</v>
      </c>
    </row>
    <row r="102" customFormat="false" ht="15" hidden="false" customHeight="false" outlineLevel="0" collapsed="false">
      <c r="A102" s="1" t="s">
        <v>1130</v>
      </c>
      <c r="B102" s="0" t="s">
        <v>98</v>
      </c>
      <c r="E102" s="6" t="n">
        <f aca="false">debt_face</f>
        <v>46.136</v>
      </c>
      <c r="F102" s="6" t="n">
        <f aca="false">CF!E102-CF!F98+CF!F100</f>
        <v>40.0429167941643</v>
      </c>
      <c r="G102" s="6" t="n">
        <f aca="false">CF!F102-CF!G98+CF!G100</f>
        <v>61.7055782206106</v>
      </c>
      <c r="H102" s="6" t="n">
        <f aca="false">CF!G102-CF!H98+CF!H100</f>
        <v>61.4391114688519</v>
      </c>
      <c r="I102" s="6" t="n">
        <f aca="false">CF!H102-CF!I98+CF!I100</f>
        <v>61.4391114688519</v>
      </c>
      <c r="J102" s="6" t="n">
        <f aca="false">CF!I102-CF!J98+CF!J100</f>
        <v>60.9391114688519</v>
      </c>
      <c r="K102" s="6" t="n">
        <f aca="false">CF!J102-CF!K98+CF!K100</f>
        <v>60.9391114688519</v>
      </c>
    </row>
    <row r="103" customFormat="false" ht="15" hidden="false" customHeight="false" outlineLevel="0" collapsed="false">
      <c r="A103" s="1" t="s">
        <v>1131</v>
      </c>
      <c r="B103" s="0" t="s">
        <v>98</v>
      </c>
      <c r="E103" s="6" t="n">
        <f aca="false">CF!E101-CF!E102</f>
        <v>30.707</v>
      </c>
      <c r="F103" s="6" t="n">
        <f aca="false">CF!F101-CF!F102</f>
        <v>9.95708320583569</v>
      </c>
      <c r="G103" s="6" t="n">
        <f aca="false">CF!G101-CF!G102</f>
        <v>-11.7055782206106</v>
      </c>
      <c r="H103" s="6" t="n">
        <f aca="false">CF!H101-CF!H102</f>
        <v>-11.4391114688518</v>
      </c>
      <c r="I103" s="6" t="n">
        <f aca="false">CF!I101-CF!I102</f>
        <v>24.5217864343444</v>
      </c>
      <c r="J103" s="6" t="n">
        <f aca="false">CF!J101-CF!J102</f>
        <v>124.047463313615</v>
      </c>
      <c r="K103" s="6" t="n">
        <f aca="false">CF!K101-CF!K102</f>
        <v>251.929434437082</v>
      </c>
    </row>
    <row r="104" customFormat="false" ht="15" hidden="false" customHeight="false" outlineLevel="0" collapsed="false">
      <c r="A104" s="1" t="s">
        <v>1132</v>
      </c>
      <c r="B104" s="0" t="s">
        <v>75</v>
      </c>
      <c r="F104" s="30" t="n">
        <f aca="false">px*(1+bb_g)^(Thesis!F110-base_fy-mid_yr)</f>
        <v>551.84177959629</v>
      </c>
      <c r="G104" s="30" t="n">
        <f aca="false">px*(1+bb_g)^(Thesis!G110-base_fy-mid_yr)</f>
        <v>595.989121963993</v>
      </c>
      <c r="H104" s="30" t="n">
        <f aca="false">px*(1+bb_g)^(Thesis!H110-base_fy-mid_yr)</f>
        <v>643.668251721112</v>
      </c>
      <c r="I104" s="30" t="n">
        <f aca="false">px*(1+bb_g)^(Thesis!I110-base_fy-mid_yr)</f>
        <v>695.161711858801</v>
      </c>
      <c r="J104" s="30" t="n">
        <f aca="false">px*(1+bb_g)^(Thesis!J110-base_fy-mid_yr)</f>
        <v>750.774648807506</v>
      </c>
      <c r="K104" s="30" t="n">
        <f aca="false">px*(1+bb_g)^(Thesis!K110-base_fy-mid_yr)</f>
        <v>810.836620712106</v>
      </c>
    </row>
    <row r="105" customFormat="false" ht="15" hidden="false" customHeight="false" outlineLevel="0" collapsed="false">
      <c r="A105" s="1" t="s">
        <v>1133</v>
      </c>
      <c r="B105" s="1" t="s">
        <v>81</v>
      </c>
      <c r="E105" s="15" t="n">
        <f aca="false">sh_out26</f>
        <v>7.427</v>
      </c>
      <c r="F105" s="15" t="n">
        <f aca="false">CF!E105+sh_iss-CF!F99/CF!F104</f>
        <v>7.472</v>
      </c>
      <c r="G105" s="15" t="n">
        <f aca="false">CF!F105+sh_iss-CF!G99/CF!G104</f>
        <v>7.517</v>
      </c>
      <c r="H105" s="15" t="n">
        <f aca="false">CF!G105+sh_iss-CF!H99/CF!H104</f>
        <v>7.562</v>
      </c>
      <c r="I105" s="15" t="n">
        <f aca="false">CF!H105+sh_iss-CF!I99/CF!I104</f>
        <v>7.57496285005334</v>
      </c>
      <c r="J105" s="15" t="n">
        <f aca="false">CF!I105+sh_iss-CF!J99/CF!J104</f>
        <v>7.59029882232494</v>
      </c>
      <c r="K105" s="15" t="n">
        <f aca="false">CF!J105+sh_iss-CF!K99/CF!K104</f>
        <v>7.60783212998384</v>
      </c>
    </row>
    <row r="106" customFormat="false" ht="15" hidden="false" customHeight="false" outlineLevel="0" collapsed="false">
      <c r="A106" s="1" t="s">
        <v>1134</v>
      </c>
      <c r="B106" s="1" t="s">
        <v>81</v>
      </c>
      <c r="E106" s="15" t="n">
        <f aca="false">sh_dil26</f>
        <v>7.453</v>
      </c>
      <c r="F106" s="15" t="n">
        <f aca="false">(CF!E105+CF!F105)/2+dil_gap</f>
        <v>7.4735</v>
      </c>
      <c r="G106" s="15" t="n">
        <f aca="false">(CF!F105+CF!G105)/2+dil_gap</f>
        <v>7.5185</v>
      </c>
      <c r="H106" s="15" t="n">
        <f aca="false">(CF!G105+CF!H105)/2+dil_gap</f>
        <v>7.5635</v>
      </c>
      <c r="I106" s="15" t="n">
        <f aca="false">(CF!H105+CF!I105)/2+dil_gap</f>
        <v>7.59248142502667</v>
      </c>
      <c r="J106" s="15" t="n">
        <f aca="false">(CF!I105+CF!J105)/2+dil_gap</f>
        <v>7.60663083618914</v>
      </c>
      <c r="K106" s="15" t="n">
        <f aca="false">(CF!J105+CF!K105)/2+dil_gap</f>
        <v>7.62306547615439</v>
      </c>
    </row>
    <row r="107" customFormat="false" ht="17.15" hidden="false" customHeight="false" outlineLevel="0" collapsed="false">
      <c r="A107" s="1" t="s">
        <v>1135</v>
      </c>
      <c r="B107" s="0" t="s">
        <v>98</v>
      </c>
      <c r="C107" s="6" t="n">
        <f aca="false">SUM(CF!F97:J97)</f>
        <v>137.882463313615</v>
      </c>
    </row>
    <row r="108" customFormat="false" ht="15" hidden="false" customHeight="false" outlineLevel="0" collapsed="false">
      <c r="A108" s="26" t="s">
        <v>1100</v>
      </c>
      <c r="B108" s="31" t="s">
        <v>98</v>
      </c>
      <c r="C108" s="27" t="n">
        <f aca="false">CF!$C$107-(CF!F97+CF!G97+CF!H97+CF!I97+CF!J97)</f>
        <v>0</v>
      </c>
      <c r="D108" s="31"/>
      <c r="E108" s="31"/>
      <c r="F108" s="31"/>
      <c r="G108" s="31"/>
      <c r="H108" s="31"/>
      <c r="I108" s="31"/>
      <c r="J108" s="31"/>
      <c r="K108" s="31"/>
    </row>
    <row r="109" customFormat="false" ht="17.15" hidden="false" customHeight="false" outlineLevel="0" collapsed="false">
      <c r="A109" s="1" t="s">
        <v>1094</v>
      </c>
      <c r="B109" s="1" t="s">
        <v>1136</v>
      </c>
      <c r="C109" s="33" t="str">
        <f aca="false">IF(SUM(CF!F100:J100)&gt;0.05,"需要舉債 "&amp;TEXT(SUM(CF!F100:J100),"0.0")&amp;" 十億美元","不需舉債")&amp;"；"&amp;IF(SUM(CF!F99:J99)&lt;COUNT(CF!F99:J99)*bb_target-0.05,"回購較每年 "&amp;TEXT(bb_target,"0.0")&amp;" 的目標少 "&amp;TEXT(COUNT(CF!F99:J99)*bb_target-SUM(CF!F99:J99),"0.0")&amp;" 十億美元（"&amp;TEXT(COUNTIF(CF!F99:J99,"&lt;"&amp;(bb_target-0.05)),"0")&amp;" 年減少）","回購不減")</f>
        <v>需要舉債 26.6 十億美元；回購較每年 22.3 的目標少 66.8 十億美元（3 年減少）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4" min="2" style="0" width="15"/>
    <col collapsed="false" customWidth="true" hidden="false" outlineLevel="0" max="5" min="5" style="0" width="70"/>
    <col collapsed="false" customWidth="true" hidden="false" outlineLevel="0" max="11" min="6" style="0" width="11"/>
    <col collapsed="false" customWidth="true" hidden="false" outlineLevel="0" max="12" min="12" style="0" width="60"/>
  </cols>
  <sheetData>
    <row r="1" customFormat="false" ht="17.15" hidden="false" customHeight="false" outlineLevel="0" collapsed="false">
      <c r="A1" s="0" t="s">
        <v>1139</v>
      </c>
    </row>
    <row r="2" customFormat="false" ht="17.15" hidden="false" customHeight="false" outlineLevel="0" collapsed="false">
      <c r="A2" s="1" t="s">
        <v>1140</v>
      </c>
    </row>
    <row r="4" customFormat="false" ht="17.15" hidden="false" customHeight="false" outlineLevel="0" collapsed="false">
      <c r="A4" s="10" t="s">
        <v>1141</v>
      </c>
    </row>
    <row r="5" customFormat="false" ht="17.15" hidden="false" customHeight="false" outlineLevel="0" collapsed="false">
      <c r="A5" s="10" t="s">
        <v>1142</v>
      </c>
    </row>
    <row r="6" customFormat="false" ht="17.15" hidden="false" customHeight="false" outlineLevel="0" collapsed="false">
      <c r="A6" s="4" t="s">
        <v>43</v>
      </c>
      <c r="B6" s="4" t="s">
        <v>44</v>
      </c>
      <c r="C6" s="4" t="s">
        <v>45</v>
      </c>
      <c r="D6" s="4" t="s">
        <v>46</v>
      </c>
      <c r="E6" s="4" t="s">
        <v>47</v>
      </c>
    </row>
    <row r="7" customFormat="false" ht="17.15" hidden="false" customHeight="false" outlineLevel="0" collapsed="false">
      <c r="A7" s="0" t="s">
        <v>1143</v>
      </c>
      <c r="B7" s="6" t="n">
        <f aca="false">Val!$C$83</f>
        <v>2350.52316370017</v>
      </c>
      <c r="C7" s="6" t="n">
        <f aca="false">Val!$C$132</f>
        <v>2096.62227502262</v>
      </c>
      <c r="D7" s="6" t="n">
        <f aca="false">Val!$C$181</f>
        <v>1790.9538464592</v>
      </c>
      <c r="E7" s="12" t="s">
        <v>1144</v>
      </c>
    </row>
    <row r="8" customFormat="false" ht="17.15" hidden="false" customHeight="false" outlineLevel="0" collapsed="false">
      <c r="A8" s="1" t="s">
        <v>1145</v>
      </c>
      <c r="B8" s="7" t="n">
        <f aca="false">Val!$C$84</f>
        <v>0.744840024638574</v>
      </c>
      <c r="C8" s="7" t="n">
        <f aca="false">Val!$C$133</f>
        <v>0.751874738831729</v>
      </c>
      <c r="D8" s="7" t="n">
        <f aca="false">Val!$C$182</f>
        <v>0.763200149941769</v>
      </c>
      <c r="E8" s="1" t="s">
        <v>1146</v>
      </c>
    </row>
    <row r="9" customFormat="false" ht="17.15" hidden="false" customHeight="false" outlineLevel="0" collapsed="false">
      <c r="A9" s="1" t="s">
        <v>1147</v>
      </c>
      <c r="B9" s="6" t="n">
        <f aca="false">cash_val-debt_val</f>
        <v>23.24</v>
      </c>
      <c r="C9" s="6" t="n">
        <f aca="false">cash_val-debt_val</f>
        <v>23.24</v>
      </c>
      <c r="D9" s="6" t="n">
        <f aca="false">cash_val-debt_val</f>
        <v>23.24</v>
      </c>
      <c r="E9" s="1" t="s">
        <v>1148</v>
      </c>
    </row>
    <row r="10" customFormat="false" ht="17.15" hidden="false" customHeight="false" outlineLevel="0" collapsed="false">
      <c r="A10" s="1" t="s">
        <v>1149</v>
      </c>
      <c r="B10" s="6" t="n">
        <f aca="false">fl_val</f>
        <v>70.973</v>
      </c>
      <c r="C10" s="6" t="n">
        <f aca="false">fl_val</f>
        <v>70.973</v>
      </c>
      <c r="D10" s="6" t="n">
        <f aca="false">fl_val</f>
        <v>70.973</v>
      </c>
      <c r="E10" s="1" t="s">
        <v>1150</v>
      </c>
    </row>
    <row r="11" customFormat="false" ht="17.15" hidden="false" customHeight="false" outlineLevel="0" collapsed="false">
      <c r="A11" s="1" t="s">
        <v>1151</v>
      </c>
      <c r="B11" s="6" t="n">
        <f aca="false">oai_v</f>
        <v>163.584</v>
      </c>
      <c r="C11" s="6" t="n">
        <f aca="false">oai_v</f>
        <v>163.584</v>
      </c>
      <c r="D11" s="6" t="n">
        <f aca="false">oai_v</f>
        <v>163.584</v>
      </c>
      <c r="E11" s="12" t="s">
        <v>1152</v>
      </c>
    </row>
    <row r="12" customFormat="false" ht="17.15" hidden="false" customHeight="false" outlineLevel="0" collapsed="false">
      <c r="A12" s="0" t="s">
        <v>1153</v>
      </c>
      <c r="B12" s="5" t="n">
        <f aca="false">Val!$C$86</f>
        <v>331.234778901447</v>
      </c>
      <c r="C12" s="5" t="n">
        <f aca="false">Val!$C$135</f>
        <v>297.13581453433</v>
      </c>
      <c r="D12" s="5" t="n">
        <f aca="false">Val!$C$184</f>
        <v>256.084454265269</v>
      </c>
      <c r="E12" s="12" t="s">
        <v>1154</v>
      </c>
    </row>
    <row r="13" customFormat="false" ht="17.15" hidden="false" customHeight="false" outlineLevel="0" collapsed="false">
      <c r="A13" s="0" t="s">
        <v>1155</v>
      </c>
      <c r="B13" s="5" t="n">
        <f aca="false">Val!$C$88</f>
        <v>364.206443208347</v>
      </c>
      <c r="C13" s="5" t="n">
        <f aca="false">Val!$C$137</f>
        <v>326.303541225732</v>
      </c>
      <c r="D13" s="5" t="n">
        <f aca="false">Val!$C$186</f>
        <v>280.67266317972</v>
      </c>
      <c r="E13" s="12" t="s">
        <v>1156</v>
      </c>
    </row>
    <row r="14" customFormat="false" ht="17.15" hidden="false" customHeight="false" outlineLevel="0" collapsed="false">
      <c r="A14" s="0" t="s">
        <v>1157</v>
      </c>
      <c r="B14" s="34" t="n">
        <f aca="false">w_A*B13+w_B*C13+w_C*D13</f>
        <v>324.371547209883</v>
      </c>
      <c r="E14" s="12" t="s">
        <v>1158</v>
      </c>
    </row>
    <row r="15" customFormat="false" ht="17.15" hidden="false" customHeight="false" outlineLevel="0" collapsed="false">
      <c r="A15" s="0" t="s">
        <v>1159</v>
      </c>
      <c r="B15" s="35" t="n">
        <f aca="false">wacc</f>
        <v>0.102936590945597</v>
      </c>
      <c r="C15" s="35" t="n">
        <f aca="false">g_tv</f>
        <v>0.03</v>
      </c>
      <c r="E15" s="12" t="s">
        <v>1160</v>
      </c>
    </row>
    <row r="17" customFormat="false" ht="17.15" hidden="false" customHeight="false" outlineLevel="0" collapsed="false">
      <c r="A17" s="10" t="s">
        <v>1161</v>
      </c>
    </row>
    <row r="18" customFormat="false" ht="17.15" hidden="false" customHeight="false" outlineLevel="0" collapsed="false">
      <c r="A18" s="4" t="s">
        <v>43</v>
      </c>
      <c r="B18" s="4" t="s">
        <v>44</v>
      </c>
      <c r="C18" s="4" t="s">
        <v>45</v>
      </c>
      <c r="D18" s="4" t="s">
        <v>46</v>
      </c>
      <c r="E18" s="4" t="s">
        <v>1162</v>
      </c>
    </row>
    <row r="19" customFormat="false" ht="17.15" hidden="false" customHeight="false" outlineLevel="0" collapsed="false">
      <c r="A19" s="0" t="s">
        <v>1163</v>
      </c>
      <c r="B19" s="6" t="n">
        <f aca="false">Val!$C$104</f>
        <v>424.259738494477</v>
      </c>
      <c r="C19" s="6" t="n">
        <f aca="false">Val!$C$153</f>
        <v>186.592133308255</v>
      </c>
      <c r="D19" s="6" t="n">
        <f aca="false">Val!$C$202</f>
        <v>-109.248827617462</v>
      </c>
    </row>
    <row r="20" customFormat="false" ht="17.15" hidden="false" customHeight="false" outlineLevel="0" collapsed="false">
      <c r="A20" s="0" t="s">
        <v>1164</v>
      </c>
      <c r="B20" s="6" t="n">
        <f aca="false">Val!$C$106</f>
        <v>1085.17964696599</v>
      </c>
      <c r="C20" s="6" t="n">
        <f aca="false">Val!$C$155</f>
        <v>1089.03436702245</v>
      </c>
      <c r="D20" s="6" t="n">
        <f aca="false">Val!$C$204</f>
        <v>1093.03877543039</v>
      </c>
      <c r="E20" s="8" t="n">
        <f aca="false">m_cloud</f>
        <v>13.82</v>
      </c>
    </row>
    <row r="21" customFormat="false" ht="17.15" hidden="false" customHeight="false" outlineLevel="0" collapsed="false">
      <c r="A21" s="0" t="s">
        <v>1165</v>
      </c>
      <c r="B21" s="6" t="n">
        <f aca="false">Val!$C$107</f>
        <v>1120.47763155275</v>
      </c>
      <c r="C21" s="6" t="n">
        <f aca="false">Val!$C$156</f>
        <v>1082.84962646159</v>
      </c>
      <c r="D21" s="6" t="n">
        <f aca="false">Val!$C$205</f>
        <v>1045.17056616266</v>
      </c>
      <c r="E21" s="8" t="n">
        <f aca="false">m_sw</f>
        <v>10.8</v>
      </c>
    </row>
    <row r="22" customFormat="false" ht="17.15" hidden="false" customHeight="false" outlineLevel="0" collapsed="false">
      <c r="A22" s="0" t="s">
        <v>1166</v>
      </c>
      <c r="B22" s="6" t="n">
        <f aca="false">Val!$C$108</f>
        <v>372.68398809041</v>
      </c>
      <c r="C22" s="6" t="n">
        <f aca="false">Val!$C$157</f>
        <v>372.929250898731</v>
      </c>
      <c r="D22" s="6" t="n">
        <f aca="false">Val!$C$206</f>
        <v>373.178444957791</v>
      </c>
      <c r="E22" s="8" t="n">
        <f aca="false">m_sw</f>
        <v>10.8</v>
      </c>
    </row>
    <row r="23" customFormat="false" ht="17.15" hidden="false" customHeight="false" outlineLevel="0" collapsed="false">
      <c r="A23" s="0" t="s">
        <v>1167</v>
      </c>
      <c r="B23" s="6" t="n">
        <f aca="false">Val!$C$109</f>
        <v>108.992632332144</v>
      </c>
      <c r="C23" s="6" t="n">
        <f aca="false">Val!$C$158</f>
        <v>109.1453525431</v>
      </c>
      <c r="D23" s="6" t="n">
        <f aca="false">Val!$C$207</f>
        <v>109.30055788101</v>
      </c>
      <c r="E23" s="8" t="n">
        <f aca="false">m_sw</f>
        <v>10.8</v>
      </c>
    </row>
    <row r="24" customFormat="false" ht="17.15" hidden="false" customHeight="false" outlineLevel="0" collapsed="false">
      <c r="A24" s="0" t="s">
        <v>1168</v>
      </c>
      <c r="B24" s="6" t="n">
        <f aca="false">Val!$C$110</f>
        <v>41.4362652527414</v>
      </c>
      <c r="C24" s="6" t="n">
        <f aca="false">Val!$C$159</f>
        <v>41.4942157634893</v>
      </c>
      <c r="D24" s="6" t="n">
        <f aca="false">Val!$C$208</f>
        <v>41.5531037214606</v>
      </c>
      <c r="E24" s="8" t="n">
        <f aca="false">m_sw</f>
        <v>10.8</v>
      </c>
    </row>
    <row r="25" customFormat="false" ht="17.15" hidden="false" customHeight="false" outlineLevel="0" collapsed="false">
      <c r="A25" s="0" t="s">
        <v>1169</v>
      </c>
      <c r="B25" s="6" t="n">
        <f aca="false">Val!$C$111</f>
        <v>114.891070326937</v>
      </c>
      <c r="C25" s="6" t="n">
        <f aca="false">Val!$C$160</f>
        <v>115.052171478463</v>
      </c>
      <c r="D25" s="6" t="n">
        <f aca="false">Val!$C$209</f>
        <v>115.215899994784</v>
      </c>
      <c r="E25" s="8" t="n">
        <f aca="false">m_ads</f>
        <v>9.11</v>
      </c>
    </row>
    <row r="26" customFormat="false" ht="17.15" hidden="false" customHeight="false" outlineLevel="0" collapsed="false">
      <c r="A26" s="0" t="s">
        <v>1170</v>
      </c>
      <c r="B26" s="6" t="n">
        <f aca="false">Val!$C$112</f>
        <v>98.505199156718</v>
      </c>
      <c r="C26" s="6" t="n">
        <f aca="false">Val!$C$161</f>
        <v>98.6441755076202</v>
      </c>
      <c r="D26" s="6" t="n">
        <f aca="false">Val!$C$210</f>
        <v>98.7853357615783</v>
      </c>
      <c r="E26" s="8" t="n">
        <f aca="false">m_game</f>
        <v>12.63</v>
      </c>
    </row>
    <row r="27" customFormat="false" ht="17.15" hidden="false" customHeight="false" outlineLevel="0" collapsed="false">
      <c r="A27" s="0" t="s">
        <v>1171</v>
      </c>
      <c r="B27" s="6" t="n">
        <f aca="false">Val!$C$113</f>
        <v>91.3231561150564</v>
      </c>
      <c r="C27" s="6" t="n">
        <f aca="false">Val!$C$162</f>
        <v>91.4523754763561</v>
      </c>
      <c r="D27" s="6" t="n">
        <f aca="false">Val!$C$211</f>
        <v>91.5836445602173</v>
      </c>
      <c r="E27" s="8" t="n">
        <f aca="false">m_pc</f>
        <v>14.47</v>
      </c>
    </row>
    <row r="28" customFormat="false" ht="17.15" hidden="false" customHeight="false" outlineLevel="0" collapsed="false">
      <c r="A28" s="1" t="s">
        <v>1172</v>
      </c>
      <c r="B28" s="6" t="n">
        <f aca="false">Val!$C$114</f>
        <v>3457.74932828722</v>
      </c>
      <c r="C28" s="6" t="n">
        <f aca="false">Val!$C$163</f>
        <v>3187.19366846006</v>
      </c>
      <c r="D28" s="6" t="n">
        <f aca="false">Val!$C$212</f>
        <v>2858.57750085243</v>
      </c>
      <c r="E28" s="12" t="s">
        <v>98</v>
      </c>
    </row>
    <row r="29" customFormat="false" ht="17.15" hidden="false" customHeight="false" outlineLevel="0" collapsed="false">
      <c r="A29" s="1" t="s">
        <v>1173</v>
      </c>
      <c r="B29" s="6" t="n">
        <f aca="false">Val!$C$116</f>
        <v>162.511563116032</v>
      </c>
      <c r="C29" s="6" t="n">
        <f aca="false">Val!$C$165</f>
        <v>162.101912751511</v>
      </c>
      <c r="D29" s="6" t="n">
        <f aca="false">Val!$C$214</f>
        <v>158.55427008544</v>
      </c>
      <c r="E29" s="1" t="s">
        <v>1174</v>
      </c>
    </row>
    <row r="30" customFormat="false" ht="17.15" hidden="false" customHeight="false" outlineLevel="0" collapsed="false">
      <c r="A30" s="1" t="s">
        <v>1175</v>
      </c>
      <c r="B30" s="5" t="n">
        <f aca="false">Val!$C$117</f>
        <v>482.289288765653</v>
      </c>
      <c r="C30" s="5" t="n">
        <f aca="false">Val!$C$166</f>
        <v>445.800799521231</v>
      </c>
      <c r="D30" s="5" t="n">
        <f aca="false">Val!$C$215</f>
        <v>401.459402206225</v>
      </c>
      <c r="E30" s="12" t="s">
        <v>1176</v>
      </c>
    </row>
    <row r="31" customFormat="false" ht="17.15" hidden="false" customHeight="false" outlineLevel="0" collapsed="false">
      <c r="A31" s="0" t="s">
        <v>1177</v>
      </c>
      <c r="B31" s="34" t="n">
        <f aca="false">w_A*B30+w_B*C30+w_C*D30</f>
        <v>443.837572503585</v>
      </c>
      <c r="E31" s="1" t="s">
        <v>1178</v>
      </c>
    </row>
    <row r="32" customFormat="false" ht="17.15" hidden="false" customHeight="false" outlineLevel="0" collapsed="false">
      <c r="A32" s="1" t="s">
        <v>1179</v>
      </c>
      <c r="B32" s="6" t="n">
        <f aca="false">Val!$C$105</f>
        <v>563.316843258668</v>
      </c>
      <c r="C32" s="6" t="n">
        <f aca="false">Val!$C$154</f>
        <v>463.789109510335</v>
      </c>
      <c r="D32" s="6" t="n">
        <f aca="false">Val!$C$203</f>
        <v>344.355829012336</v>
      </c>
      <c r="E32" s="12" t="s">
        <v>1180</v>
      </c>
    </row>
    <row r="34" customFormat="false" ht="17.15" hidden="false" customHeight="false" outlineLevel="0" collapsed="false">
      <c r="A34" s="10" t="s">
        <v>1181</v>
      </c>
    </row>
    <row r="35" customFormat="false" ht="15" hidden="false" customHeight="false" outlineLevel="0" collapsed="false">
      <c r="A35" s="4" t="s">
        <v>43</v>
      </c>
      <c r="B35" s="4" t="s">
        <v>1182</v>
      </c>
      <c r="C35" s="4" t="s">
        <v>1183</v>
      </c>
      <c r="D35" s="4" t="s">
        <v>1183</v>
      </c>
      <c r="E35" s="4" t="s">
        <v>47</v>
      </c>
    </row>
    <row r="36" customFormat="false" ht="17.15" hidden="false" customHeight="false" outlineLevel="0" collapsed="false">
      <c r="A36" s="1" t="s">
        <v>1184</v>
      </c>
      <c r="B36" s="34" t="n">
        <f aca="false">w_dcf*$B$14+(1-w_dcf)*$B$31</f>
        <v>384.104559856734</v>
      </c>
      <c r="E36" s="12" t="s">
        <v>1185</v>
      </c>
    </row>
    <row r="37" customFormat="false" ht="17.15" hidden="false" customHeight="false" outlineLevel="0" collapsed="false">
      <c r="A37" s="0" t="s">
        <v>1157</v>
      </c>
      <c r="B37" s="5" t="n">
        <f aca="false">$B$14</f>
        <v>324.371547209883</v>
      </c>
    </row>
    <row r="38" customFormat="false" ht="17.15" hidden="false" customHeight="false" outlineLevel="0" collapsed="false">
      <c r="A38" s="1" t="s">
        <v>1186</v>
      </c>
      <c r="B38" s="5" t="n">
        <f aca="false">cons_tp</f>
        <v>605.12</v>
      </c>
      <c r="C38" s="5" t="n">
        <f aca="false">cons_tp_lo</f>
        <v>440</v>
      </c>
      <c r="D38" s="5" t="n">
        <f aca="false">cons_tp_hi</f>
        <v>870</v>
      </c>
      <c r="E38" s="12" t="s">
        <v>1187</v>
      </c>
    </row>
    <row r="39" customFormat="false" ht="17.15" hidden="false" customHeight="false" outlineLevel="0" collapsed="false">
      <c r="A39" s="1" t="s">
        <v>74</v>
      </c>
      <c r="B39" s="5" t="n">
        <f aca="false">px</f>
        <v>531.01</v>
      </c>
      <c r="E39" s="12" t="s">
        <v>1188</v>
      </c>
    </row>
    <row r="40" customFormat="false" ht="17.15" hidden="false" customHeight="false" outlineLevel="0" collapsed="false">
      <c r="A40" s="1" t="s">
        <v>1189</v>
      </c>
      <c r="B40" s="7" t="n">
        <f aca="false">$B$36/px-1</f>
        <v>-0.276652869330645</v>
      </c>
      <c r="E40" s="1" t="s">
        <v>1190</v>
      </c>
    </row>
    <row r="41" customFormat="false" ht="17.15" hidden="false" customHeight="false" outlineLevel="0" collapsed="false">
      <c r="A41" s="1" t="s">
        <v>1191</v>
      </c>
      <c r="B41" s="7" t="n">
        <f aca="false">$B$31/px-1</f>
        <v>-0.164163438534895</v>
      </c>
    </row>
    <row r="42" customFormat="false" ht="17.15" hidden="false" customHeight="false" outlineLevel="0" collapsed="false">
      <c r="A42" s="1" t="s">
        <v>1192</v>
      </c>
      <c r="B42" s="33" t="str">
        <f aca="false">IF($B$40&gt;=0.5,"≥ +50%",IF($B$40&gt;=0.25,"+25%～+50%",IF($B$40&gt;=0,"0%～+25%",IF($B$40&gt;-0.25,"−25%～0%",IF($B$40&gt;-0.5,"−50%～−25%","≤ −50%")))))</f>
        <v>−50%～−25%</v>
      </c>
      <c r="E42" s="1" t="s">
        <v>1193</v>
      </c>
    </row>
    <row r="43" customFormat="false" ht="17.15" hidden="false" customHeight="false" outlineLevel="0" collapsed="false">
      <c r="A43" s="18" t="s">
        <v>1194</v>
      </c>
      <c r="B43" s="36" t="str">
        <f aca="false">IF($B$40&gt;=0.5,"強力買進",IF($B$40&gt;=0.25,"買進",IF($B$40&gt;-0.25,"中立",IF($B$40&gt;-0.5,"放空","強力放空"))))</f>
        <v>放空</v>
      </c>
      <c r="C43" s="17"/>
      <c r="D43" s="17"/>
      <c r="E43" s="18" t="s">
        <v>1195</v>
      </c>
    </row>
    <row r="44" customFormat="false" ht="17.15" hidden="false" customHeight="false" outlineLevel="0" collapsed="false">
      <c r="A44" s="1" t="s">
        <v>1196</v>
      </c>
      <c r="B44" s="5" t="n">
        <f aca="false">Val!$C$118</f>
        <v>423.247865987</v>
      </c>
      <c r="C44" s="5" t="n">
        <f aca="false">Val!$C$167</f>
        <v>386.052170373482</v>
      </c>
      <c r="D44" s="5" t="n">
        <f aca="false">Val!$C$216</f>
        <v>341.066032692973</v>
      </c>
      <c r="E44" s="12" t="s">
        <v>1197</v>
      </c>
    </row>
    <row r="45" customFormat="false" ht="15" hidden="false" customHeight="false" outlineLevel="0" collapsed="false">
      <c r="A45" s="1" t="s">
        <v>1198</v>
      </c>
      <c r="B45" s="7" t="n">
        <f aca="false">B44/px-1</f>
        <v>-0.202938050155363</v>
      </c>
      <c r="C45" s="7" t="n">
        <f aca="false">C44/px-1</f>
        <v>-0.272985121987379</v>
      </c>
      <c r="D45" s="7" t="n">
        <f aca="false">D44/px-1</f>
        <v>-0.357703183192458</v>
      </c>
    </row>
    <row r="46" customFormat="false" ht="17.15" hidden="false" customHeight="false" outlineLevel="0" collapsed="false">
      <c r="A46" s="1" t="s">
        <v>1199</v>
      </c>
      <c r="C46" s="33" t="str">
        <f aca="false">IF(C45&gt;=0.5,"強力買進",IF(C45&gt;=0.25,"買進",IF(C45&gt;-0.25,"中立",IF(C45&gt;-0.5,"放空","強力放空"))))</f>
        <v>放空</v>
      </c>
      <c r="E46" s="1" t="s">
        <v>1200</v>
      </c>
    </row>
    <row r="47" customFormat="false" ht="17.15" hidden="false" customHeight="false" outlineLevel="0" collapsed="false">
      <c r="A47" s="1" t="s">
        <v>1201</v>
      </c>
      <c r="B47" s="5" t="n">
        <f aca="false">Sens!C4</f>
        <v>310.883696018351</v>
      </c>
      <c r="E47" s="12" t="s">
        <v>1202</v>
      </c>
    </row>
    <row r="48" customFormat="false" ht="17.15" hidden="false" customHeight="false" outlineLevel="0" collapsed="false">
      <c r="A48" s="1" t="s">
        <v>1203</v>
      </c>
      <c r="B48" s="7" t="n">
        <f aca="false">$B$47/px-1</f>
        <v>-0.414542671478219</v>
      </c>
    </row>
    <row r="49" customFormat="false" ht="17.15" hidden="false" customHeight="false" outlineLevel="0" collapsed="false">
      <c r="A49" s="1" t="s">
        <v>1204</v>
      </c>
      <c r="B49" s="0" t="str">
        <f aca="false">IF($B$48&gt;=0.5,"強力買進",IF($B$48&gt;=0.25,"買進",IF($B$48&gt;-0.25,"中立",IF($B$48&gt;-0.5,"放空","強力放空"))))</f>
        <v>放空</v>
      </c>
    </row>
    <row r="50" customFormat="false" ht="17.15" hidden="false" customHeight="false" outlineLevel="0" collapsed="false">
      <c r="A50" s="1" t="s">
        <v>1205</v>
      </c>
      <c r="B50" s="5" t="n">
        <f aca="false">D13</f>
        <v>280.67266317972</v>
      </c>
      <c r="E50" s="1" t="s">
        <v>1206</v>
      </c>
    </row>
    <row r="51" customFormat="false" ht="17.15" hidden="false" customHeight="false" outlineLevel="0" collapsed="false">
      <c r="A51" s="1" t="s">
        <v>1207</v>
      </c>
      <c r="B51" s="5" t="n">
        <f aca="false">D13</f>
        <v>280.67266317972</v>
      </c>
      <c r="C51" s="5" t="n">
        <f aca="false">B13</f>
        <v>364.206443208347</v>
      </c>
      <c r="E51" s="12" t="s">
        <v>1208</v>
      </c>
    </row>
    <row r="52" customFormat="false" ht="17.15" hidden="false" customHeight="false" outlineLevel="0" collapsed="false">
      <c r="A52" s="1" t="s">
        <v>1209</v>
      </c>
      <c r="B52" s="37" t="n">
        <f aca="false">px/PL!G49</f>
        <v>21.4252686760932</v>
      </c>
      <c r="C52" s="37" t="n">
        <f aca="false">px/PL!G88</f>
        <v>22.551840774017</v>
      </c>
      <c r="D52" s="37" t="n">
        <f aca="false">px/PL!G127</f>
        <v>24.0430902150154</v>
      </c>
      <c r="E52" s="12" t="s">
        <v>1210</v>
      </c>
    </row>
    <row r="53" customFormat="false" ht="17.15" hidden="false" customHeight="false" outlineLevel="0" collapsed="false">
      <c r="A53" s="1" t="s">
        <v>1211</v>
      </c>
      <c r="B53" s="37" t="n">
        <f aca="false">$B$36/PL!G88</f>
        <v>16.3128093151974</v>
      </c>
    </row>
    <row r="54" customFormat="false" ht="17.15" hidden="false" customHeight="false" outlineLevel="0" collapsed="false">
      <c r="A54" s="1" t="s">
        <v>1212</v>
      </c>
      <c r="B54" s="0" t="s">
        <v>1213</v>
      </c>
    </row>
    <row r="56" customFormat="false" ht="17.15" hidden="false" customHeight="false" outlineLevel="0" collapsed="false">
      <c r="A56" s="10" t="s">
        <v>1214</v>
      </c>
    </row>
    <row r="70" customFormat="false" ht="17.15" hidden="false" customHeight="false" outlineLevel="0" collapsed="false">
      <c r="A70" s="3" t="s">
        <v>1215</v>
      </c>
    </row>
    <row r="71" customFormat="false" ht="15" hidden="false" customHeight="false" outlineLevel="0" collapsed="false">
      <c r="A71" s="4" t="s">
        <v>43</v>
      </c>
      <c r="B71" s="4" t="s">
        <v>65</v>
      </c>
      <c r="C71" s="23" t="s">
        <v>942</v>
      </c>
      <c r="D71" s="23" t="s">
        <v>943</v>
      </c>
      <c r="E71" s="23" t="s">
        <v>944</v>
      </c>
      <c r="F71" s="23" t="s">
        <v>945</v>
      </c>
      <c r="G71" s="23" t="s">
        <v>946</v>
      </c>
      <c r="H71" s="23" t="s">
        <v>947</v>
      </c>
      <c r="I71" s="23" t="s">
        <v>948</v>
      </c>
      <c r="J71" s="23" t="s">
        <v>949</v>
      </c>
      <c r="K71" s="23" t="s">
        <v>950</v>
      </c>
      <c r="L71" s="4" t="s">
        <v>47</v>
      </c>
    </row>
    <row r="72" customFormat="false" ht="17.15" hidden="false" customHeight="false" outlineLevel="0" collapsed="false">
      <c r="A72" s="1" t="s">
        <v>1216</v>
      </c>
      <c r="B72" s="1" t="s">
        <v>279</v>
      </c>
      <c r="F72" s="8" t="n">
        <f aca="false">(1-v_off)*mid_yr</f>
        <v>0.373972602739726</v>
      </c>
      <c r="G72" s="8" t="n">
        <f aca="false">Thesis!G6-base_fy-mid_yr-v_off</f>
        <v>1.24794520547945</v>
      </c>
      <c r="H72" s="8" t="n">
        <f aca="false">Thesis!H6-base_fy-mid_yr-v_off</f>
        <v>2.24794520547945</v>
      </c>
      <c r="I72" s="8" t="n">
        <f aca="false">Thesis!I6-base_fy-mid_yr-v_off</f>
        <v>3.24794520547945</v>
      </c>
      <c r="J72" s="8" t="n">
        <f aca="false">Thesis!J6-base_fy-mid_yr-v_off</f>
        <v>4.24794520547945</v>
      </c>
      <c r="K72" s="8" t="n">
        <f aca="false">Thesis!K6-base_fy-mid_yr-v_off</f>
        <v>5.24794520547945</v>
      </c>
      <c r="L72" s="12" t="s">
        <v>1217</v>
      </c>
    </row>
    <row r="73" customFormat="false" ht="15" hidden="false" customHeight="false" outlineLevel="0" collapsed="false">
      <c r="A73" s="1" t="s">
        <v>1218</v>
      </c>
      <c r="B73" s="1" t="s">
        <v>279</v>
      </c>
      <c r="F73" s="8" t="n">
        <f aca="false">Thesis!F6-base_fy-v_off</f>
        <v>0.747945205479452</v>
      </c>
      <c r="G73" s="8" t="n">
        <f aca="false">Thesis!G6-base_fy-v_off</f>
        <v>1.74794520547945</v>
      </c>
      <c r="H73" s="8" t="n">
        <f aca="false">Thesis!H6-base_fy-v_off</f>
        <v>2.74794520547945</v>
      </c>
      <c r="I73" s="8" t="n">
        <f aca="false">Thesis!I6-base_fy-v_off</f>
        <v>3.74794520547945</v>
      </c>
      <c r="J73" s="8" t="n">
        <f aca="false">Thesis!J6-base_fy-v_off</f>
        <v>4.74794520547945</v>
      </c>
      <c r="K73" s="8" t="n">
        <f aca="false">Thesis!K6-base_fy-v_off</f>
        <v>5.74794520547945</v>
      </c>
    </row>
    <row r="74" customFormat="false" ht="15" hidden="false" customHeight="false" outlineLevel="0" collapsed="false">
      <c r="A74" s="1" t="s">
        <v>1219</v>
      </c>
      <c r="B74" s="0" t="s">
        <v>229</v>
      </c>
      <c r="F74" s="15" t="n">
        <f aca="false">1/(1+wacc)^Val!F72</f>
        <v>0.964022703286649</v>
      </c>
      <c r="G74" s="15" t="n">
        <f aca="false">1/(1+wacc)^Val!G72</f>
        <v>0.884910302296739</v>
      </c>
      <c r="H74" s="15" t="n">
        <f aca="false">1/(1+wacc)^Val!H72</f>
        <v>0.802322009770358</v>
      </c>
      <c r="I74" s="15" t="n">
        <f aca="false">1/(1+wacc)^Val!I72</f>
        <v>0.727441646561469</v>
      </c>
      <c r="J74" s="15" t="n">
        <f aca="false">1/(1+wacc)^Val!J72</f>
        <v>0.659549834988973</v>
      </c>
      <c r="K74" s="15" t="n">
        <f aca="false">1/(1+wacc)^Val!K72</f>
        <v>0.597994336576966</v>
      </c>
    </row>
    <row r="75" customFormat="false" ht="17.15" hidden="false" customHeight="false" outlineLevel="0" collapsed="false">
      <c r="A75" s="1" t="s">
        <v>1220</v>
      </c>
      <c r="B75" s="0" t="s">
        <v>98</v>
      </c>
      <c r="F75" s="6" t="n">
        <f aca="false">Q!$I$35-Q!$I$39-Q!$I$43</f>
        <v>9.666</v>
      </c>
      <c r="L75" s="12" t="s">
        <v>1221</v>
      </c>
    </row>
    <row r="76" customFormat="false" ht="17.15" hidden="false" customHeight="false" outlineLevel="0" collapsed="false">
      <c r="A76" s="1" t="s">
        <v>1222</v>
      </c>
      <c r="B76" s="0" t="s">
        <v>98</v>
      </c>
      <c r="F76" s="6" t="n">
        <f aca="false">CF!F23-CF!F20-CF!F27+Thesis!F47*(1-tax_f)*(1-v_off)-Val!F75</f>
        <v>-1.12880264559539</v>
      </c>
      <c r="G76" s="6" t="n">
        <f aca="false">CF!G23-CF!G20-CF!G27+Thesis!G47*(1-tax_f)</f>
        <v>38.7194421947551</v>
      </c>
      <c r="H76" s="6" t="n">
        <f aca="false">CF!H23-CF!H20-CF!H27+Thesis!H47*(1-tax_f)</f>
        <v>98.6927474567662</v>
      </c>
      <c r="I76" s="6" t="n">
        <f aca="false">CF!I23-CF!I20-CF!I27+Thesis!I47*(1-tax_f)</f>
        <v>181.625440536277</v>
      </c>
      <c r="J76" s="6" t="n">
        <f aca="false">CF!J23-CF!J20-CF!J27+Thesis!J47*(1-tax_f)</f>
        <v>263.350402418584</v>
      </c>
      <c r="K76" s="6" t="n">
        <f aca="false">CF!K23-CF!K20-CF!K27+Thesis!K47*(1-tax_f)</f>
        <v>303.659068389018</v>
      </c>
      <c r="L76" s="1" t="s">
        <v>1223</v>
      </c>
    </row>
    <row r="77" customFormat="false" ht="15" hidden="false" customHeight="false" outlineLevel="0" collapsed="false">
      <c r="A77" s="1" t="s">
        <v>1224</v>
      </c>
      <c r="B77" s="0" t="s">
        <v>98</v>
      </c>
      <c r="F77" s="6" t="n">
        <f aca="false">Val!F76*Val!F74</f>
        <v>-1.08819137788399</v>
      </c>
      <c r="G77" s="6" t="n">
        <f aca="false">Val!G76*Val!G74</f>
        <v>34.2632332973219</v>
      </c>
      <c r="H77" s="6" t="n">
        <f aca="false">Val!H76*Val!H74</f>
        <v>79.183363489271</v>
      </c>
      <c r="I77" s="6" t="n">
        <f aca="false">Val!I76*Val!I74</f>
        <v>132.121909521162</v>
      </c>
      <c r="J77" s="6" t="n">
        <f aca="false">Val!J76*Val!J74</f>
        <v>173.692714459456</v>
      </c>
      <c r="K77" s="6" t="n">
        <f aca="false">Val!K76*Val!K74</f>
        <v>181.58640314687</v>
      </c>
    </row>
    <row r="78" customFormat="false" ht="17.15" hidden="false" customHeight="false" outlineLevel="0" collapsed="false">
      <c r="A78" s="1" t="s">
        <v>1225</v>
      </c>
      <c r="B78" s="0" t="s">
        <v>98</v>
      </c>
      <c r="C78" s="6" t="n">
        <f aca="false">SUM(Val!F77:K77)</f>
        <v>599.759432536197</v>
      </c>
    </row>
    <row r="79" customFormat="false" ht="17.15" hidden="false" customHeight="false" outlineLevel="0" collapsed="false">
      <c r="A79" s="1" t="s">
        <v>1226</v>
      </c>
      <c r="B79" s="0" t="s">
        <v>98</v>
      </c>
      <c r="C79" s="6" t="n">
        <f aca="false">PL!K39*(1+g_tv)*(1-tax_f)</f>
        <v>316.501318799308</v>
      </c>
    </row>
    <row r="80" customFormat="false" ht="17.15" hidden="false" customHeight="false" outlineLevel="0" collapsed="false">
      <c r="A80" s="1" t="s">
        <v>1227</v>
      </c>
      <c r="B80" s="0" t="s">
        <v>98</v>
      </c>
      <c r="C80" s="6" t="n">
        <f aca="false">Val!$C$79*(1-g_tv/(wacc+ronic_prem))</f>
        <v>224.25968269347</v>
      </c>
    </row>
    <row r="81" customFormat="false" ht="17.15" hidden="false" customHeight="false" outlineLevel="0" collapsed="false">
      <c r="A81" s="1" t="s">
        <v>1228</v>
      </c>
      <c r="B81" s="0" t="s">
        <v>98</v>
      </c>
      <c r="C81" s="6" t="n">
        <f aca="false">Val!$C$80/(wacc-g_tv)</f>
        <v>3074.72120352792</v>
      </c>
    </row>
    <row r="82" customFormat="false" ht="15" hidden="false" customHeight="false" outlineLevel="0" collapsed="false">
      <c r="A82" s="1" t="s">
        <v>1229</v>
      </c>
      <c r="B82" s="0" t="s">
        <v>98</v>
      </c>
      <c r="C82" s="6" t="n">
        <f aca="false">Val!$C$81/(1+wacc)^Val!K73</f>
        <v>1750.76373116397</v>
      </c>
    </row>
    <row r="83" customFormat="false" ht="17.15" hidden="false" customHeight="false" outlineLevel="0" collapsed="false">
      <c r="A83" s="0" t="s">
        <v>1230</v>
      </c>
      <c r="B83" s="0" t="s">
        <v>98</v>
      </c>
      <c r="C83" s="6" t="n">
        <f aca="false">Val!$C$78+Val!$C$82</f>
        <v>2350.52316370017</v>
      </c>
    </row>
    <row r="84" customFormat="false" ht="15" hidden="false" customHeight="false" outlineLevel="0" collapsed="false">
      <c r="A84" s="1" t="s">
        <v>1145</v>
      </c>
      <c r="B84" s="0" t="s">
        <v>168</v>
      </c>
      <c r="C84" s="7" t="n">
        <f aca="false">Val!$C$82/Val!$C$83</f>
        <v>0.744840024638574</v>
      </c>
    </row>
    <row r="85" customFormat="false" ht="17.15" hidden="false" customHeight="false" outlineLevel="0" collapsed="false">
      <c r="A85" s="1" t="s">
        <v>1231</v>
      </c>
      <c r="B85" s="0" t="s">
        <v>98</v>
      </c>
      <c r="C85" s="6" t="n">
        <f aca="false">Val!$C$83+cash_val-debt_val-fl_val+oai_v</f>
        <v>2466.37416370017</v>
      </c>
    </row>
    <row r="86" customFormat="false" ht="17.15" hidden="false" customHeight="false" outlineLevel="0" collapsed="false">
      <c r="A86" s="0" t="s">
        <v>1153</v>
      </c>
      <c r="B86" s="0" t="s">
        <v>75</v>
      </c>
      <c r="C86" s="5" t="n">
        <f aca="false">Val!$C$85/shd_val</f>
        <v>331.234778901447</v>
      </c>
    </row>
    <row r="87" customFormat="false" ht="15" hidden="false" customHeight="false" outlineLevel="0" collapsed="false">
      <c r="A87" s="1" t="s">
        <v>1232</v>
      </c>
      <c r="B87" s="0" t="s">
        <v>75</v>
      </c>
      <c r="C87" s="8" t="n">
        <f aca="false">div_rem27+CF!G31*roll_div_q/q_per_yr</f>
        <v>3.9795</v>
      </c>
    </row>
    <row r="88" customFormat="false" ht="17.15" hidden="false" customHeight="false" outlineLevel="0" collapsed="false">
      <c r="A88" s="0" t="s">
        <v>1233</v>
      </c>
      <c r="B88" s="0" t="s">
        <v>75</v>
      </c>
      <c r="C88" s="5" t="n">
        <f aca="false">Val!$C$86*(1+wacc)^t_roll-Val!$C$87</f>
        <v>364.206443208347</v>
      </c>
    </row>
    <row r="89" customFormat="false" ht="17.15" hidden="false" customHeight="false" outlineLevel="0" collapsed="false">
      <c r="A89" s="1" t="s">
        <v>1234</v>
      </c>
      <c r="B89" s="0" t="s">
        <v>168</v>
      </c>
      <c r="F89" s="7" t="n">
        <f aca="false">CF!F17/(Seg!F29-Thesis!F25)</f>
        <v>0.0685527305696859</v>
      </c>
      <c r="G89" s="7" t="n">
        <f aca="false">CF!G17/(Seg!G29-Thesis!G25)</f>
        <v>0.0653567731599844</v>
      </c>
      <c r="H89" s="7" t="n">
        <f aca="false">CF!H17/(Seg!H29-Thesis!H25)</f>
        <v>0.0636628841026972</v>
      </c>
      <c r="I89" s="7" t="n">
        <f aca="false">CF!I17/(Seg!I29-Thesis!I25)</f>
        <v>0.0633581084335176</v>
      </c>
      <c r="J89" s="7" t="n">
        <f aca="false">CF!J17/(Seg!J29-Thesis!J25)</f>
        <v>0.0640873955995062</v>
      </c>
      <c r="K89" s="7" t="n">
        <f aca="false">CF!K17/(Seg!K29-Thesis!K25)</f>
        <v>0.0653962234835198</v>
      </c>
    </row>
    <row r="90" customFormat="false" ht="17.15" hidden="false" customHeight="false" outlineLevel="0" collapsed="false">
      <c r="A90" s="0" t="s">
        <v>1235</v>
      </c>
      <c r="B90" s="0" t="s">
        <v>98</v>
      </c>
      <c r="F90" s="6" t="n">
        <f aca="false">Seg!F14*(al_m365+Val!F89+sbc_r)</f>
        <v>84.5213906545575</v>
      </c>
      <c r="G90" s="6" t="n">
        <f aca="false">Seg!G14*(al_m365+Val!G89+sbc_r)</f>
        <v>98.949983331796</v>
      </c>
      <c r="H90" s="6" t="n">
        <f aca="false">Seg!H14*(al_m365+Val!H89+sbc_r)</f>
        <v>113.543734275326</v>
      </c>
      <c r="I90" s="6" t="n">
        <f aca="false">Seg!I14*(al_m365+Val!I89+sbc_r)</f>
        <v>126.62058838692</v>
      </c>
      <c r="J90" s="6" t="n">
        <f aca="false">Seg!J14*(al_m365+Val!J89+sbc_r)</f>
        <v>137.994660156303</v>
      </c>
      <c r="K90" s="6" t="n">
        <f aca="false">Seg!K14*(al_m365+Val!K89+sbc_r)</f>
        <v>148.989224092997</v>
      </c>
      <c r="L90" s="12" t="s">
        <v>1236</v>
      </c>
    </row>
    <row r="91" customFormat="false" ht="17.15" hidden="false" customHeight="false" outlineLevel="0" collapsed="false">
      <c r="A91" s="0" t="s">
        <v>1237</v>
      </c>
      <c r="B91" s="0" t="s">
        <v>98</v>
      </c>
      <c r="F91" s="6" t="n">
        <f aca="false">Seg!F15*(al_lic+Val!F89+sbc_r)</f>
        <v>32.855200196554</v>
      </c>
      <c r="G91" s="6" t="n">
        <f aca="false">Seg!G15*(al_lic+Val!G89+sbc_r)</f>
        <v>34.1185582613282</v>
      </c>
      <c r="H91" s="6" t="n">
        <f aca="false">Seg!H15*(al_lic+Val!H89+sbc_r)</f>
        <v>35.3024309363621</v>
      </c>
      <c r="I91" s="6" t="n">
        <f aca="false">Seg!I15*(al_lic+Val!I89+sbc_r)</f>
        <v>36.3898468129533</v>
      </c>
      <c r="J91" s="6" t="n">
        <f aca="false">Seg!J15*(al_lic+Val!J89+sbc_r)</f>
        <v>37.3529129529876</v>
      </c>
      <c r="K91" s="6" t="n">
        <f aca="false">Seg!K15*(al_lic+Val!K89+sbc_r)</f>
        <v>38.158536171203</v>
      </c>
    </row>
    <row r="92" customFormat="false" ht="17.15" hidden="false" customHeight="false" outlineLevel="0" collapsed="false">
      <c r="A92" s="0" t="s">
        <v>1238</v>
      </c>
      <c r="B92" s="0" t="s">
        <v>98</v>
      </c>
      <c r="F92" s="6" t="n">
        <f aca="false">Seg!F17*(al_ind+Val!F89+sbc_r)</f>
        <v>9.05892547956683</v>
      </c>
      <c r="G92" s="6" t="n">
        <f aca="false">Seg!G17*(al_ind+Val!G89+sbc_r)</f>
        <v>9.82456487622418</v>
      </c>
      <c r="H92" s="6" t="n">
        <f aca="false">Seg!H17*(al_ind+Val!H89+sbc_r)</f>
        <v>10.6377408477959</v>
      </c>
      <c r="I92" s="6" t="n">
        <f aca="false">Seg!I17*(al_ind+Val!I89+sbc_r)</f>
        <v>11.4966323260293</v>
      </c>
      <c r="J92" s="6" t="n">
        <f aca="false">Seg!J17*(al_ind+Val!J89+sbc_r)</f>
        <v>12.3903660286279</v>
      </c>
      <c r="K92" s="6" t="n">
        <f aca="false">Seg!K17*(al_ind+Val!K89+sbc_r)</f>
        <v>13.3009129057681</v>
      </c>
    </row>
    <row r="93" customFormat="false" ht="17.15" hidden="false" customHeight="false" outlineLevel="0" collapsed="false">
      <c r="A93" s="0" t="s">
        <v>1239</v>
      </c>
      <c r="B93" s="0" t="s">
        <v>98</v>
      </c>
      <c r="F93" s="6" t="n">
        <f aca="false">Seg!F19*(al_fro+Val!F89+sbc_r)</f>
        <v>3.55344443532423</v>
      </c>
      <c r="G93" s="6" t="n">
        <f aca="false">Seg!G19*(al_fro+Val!G89+sbc_r)</f>
        <v>3.75916645971565</v>
      </c>
      <c r="H93" s="6" t="n">
        <f aca="false">Seg!H19*(al_fro+Val!H89+sbc_r)</f>
        <v>3.994970960527</v>
      </c>
      <c r="I93" s="6" t="n">
        <f aca="false">Seg!I19*(al_fro+Val!I89+sbc_r)</f>
        <v>4.26396270432353</v>
      </c>
      <c r="J93" s="6" t="n">
        <f aca="false">Seg!J19*(al_fro+Val!J89+sbc_r)</f>
        <v>4.5667795874336</v>
      </c>
      <c r="K93" s="6" t="n">
        <f aca="false">Seg!K19*(al_fro+Val!K89+sbc_r)</f>
        <v>4.90238443416026</v>
      </c>
    </row>
    <row r="94" customFormat="false" ht="17.15" hidden="false" customHeight="false" outlineLevel="0" collapsed="false">
      <c r="A94" s="0" t="s">
        <v>1240</v>
      </c>
      <c r="B94" s="0" t="s">
        <v>98</v>
      </c>
      <c r="F94" s="6" t="n">
        <f aca="false">Seg!F22*(al_srch+Val!F89+sbc_r)</f>
        <v>11.1872483445711</v>
      </c>
      <c r="G94" s="6" t="n">
        <f aca="false">Seg!G22*(al_srch+Val!G89+sbc_r)</f>
        <v>12.247246048296</v>
      </c>
      <c r="H94" s="6" t="n">
        <f aca="false">Seg!H22*(al_srch+Val!H89+sbc_r)</f>
        <v>13.3552870946193</v>
      </c>
      <c r="I94" s="6" t="n">
        <f aca="false">Seg!I22*(al_srch+Val!I89+sbc_r)</f>
        <v>14.5024145321619</v>
      </c>
      <c r="J94" s="6" t="n">
        <f aca="false">Seg!J22*(al_srch+Val!J89+sbc_r)</f>
        <v>15.667276660652</v>
      </c>
      <c r="K94" s="6" t="n">
        <f aca="false">Seg!K22*(al_srch+Val!K89+sbc_r)</f>
        <v>16.8186381138719</v>
      </c>
    </row>
    <row r="95" customFormat="false" ht="17.15" hidden="false" customHeight="false" outlineLevel="0" collapsed="false">
      <c r="A95" s="0" t="s">
        <v>1241</v>
      </c>
      <c r="B95" s="0" t="s">
        <v>98</v>
      </c>
      <c r="F95" s="6" t="n">
        <f aca="false">Thesis!F31-Thesis!F32+Thesis!F47</f>
        <v>45.3782580567763</v>
      </c>
      <c r="G95" s="6" t="n">
        <f aca="false">Thesis!G31-Thesis!G32+Thesis!G47</f>
        <v>91.0863367558165</v>
      </c>
      <c r="H95" s="6" t="n">
        <f aca="false">Thesis!H31-Thesis!H32+Thesis!H47</f>
        <v>144.617532464853</v>
      </c>
      <c r="I95" s="6" t="n">
        <f aca="false">Thesis!I31-Thesis!I32+Thesis!I47</f>
        <v>187.137304561304</v>
      </c>
      <c r="J95" s="6" t="n">
        <f aca="false">Thesis!J31-Thesis!J32+Thesis!J47</f>
        <v>217.006854425907</v>
      </c>
      <c r="K95" s="6" t="n">
        <f aca="false">Thesis!K31-Thesis!K32+Thesis!K47</f>
        <v>234.933637903877</v>
      </c>
    </row>
    <row r="96" customFormat="false" ht="17.15" hidden="false" customHeight="false" outlineLevel="0" collapsed="false">
      <c r="A96" s="0" t="s">
        <v>1242</v>
      </c>
      <c r="B96" s="0" t="s">
        <v>98</v>
      </c>
      <c r="F96" s="6" t="n">
        <f aca="false">PL!F32+Thesis!F47+Thesis!F43+Val!F89*(Seg!F21-Thesis!F25)+sbc_r*Seg!F21</f>
        <v>240.818167741339</v>
      </c>
      <c r="G96" s="6" t="n">
        <f aca="false">PL!G32+Thesis!G47+Thesis!G43+Val!G89*(Seg!G21-Thesis!G25)+sbc_r*Seg!G21</f>
        <v>311.917784140952</v>
      </c>
      <c r="H96" s="6" t="n">
        <f aca="false">PL!H32+Thesis!H47+Thesis!H43+Val!H89*(Seg!H21-Thesis!H25)+sbc_r*Seg!H21</f>
        <v>395.486245683473</v>
      </c>
      <c r="I96" s="6" t="n">
        <f aca="false">PL!I32+Thesis!I47+Thesis!I43+Val!I89*(Seg!I21-Thesis!I25)+sbc_r*Seg!I21</f>
        <v>465.950805948377</v>
      </c>
      <c r="J96" s="6" t="n">
        <f aca="false">PL!J32+Thesis!J47+Thesis!J43+Val!J89*(Seg!J21-Thesis!J25)+sbc_r*Seg!J21</f>
        <v>520.78677388057</v>
      </c>
      <c r="K96" s="6" t="n">
        <f aca="false">PL!K32+Thesis!K47+Thesis!K43+Val!K89*(Seg!K21-Thesis!K25)+sbc_r*Seg!K21</f>
        <v>561.2469767412</v>
      </c>
    </row>
    <row r="97" customFormat="false" ht="17.15" hidden="false" customHeight="false" outlineLevel="0" collapsed="false">
      <c r="A97" s="0" t="s">
        <v>1243</v>
      </c>
      <c r="B97" s="0" t="s">
        <v>98</v>
      </c>
      <c r="F97" s="6" t="n">
        <f aca="false">Val!F96-Val!F90-Val!F91-Val!F92-Val!F93-Val!F95</f>
        <v>65.4509489185601</v>
      </c>
      <c r="G97" s="6" t="n">
        <f aca="false">Val!G96-Val!G90-Val!G91-Val!G92-Val!G93-Val!G95</f>
        <v>74.1791744560715</v>
      </c>
      <c r="H97" s="6" t="n">
        <f aca="false">Val!H96-Val!H90-Val!H91-Val!H92-Val!H93-Val!H95</f>
        <v>87.3898361986086</v>
      </c>
      <c r="I97" s="6" t="n">
        <f aca="false">Val!I96-Val!I90-Val!I91-Val!I92-Val!I93-Val!I95</f>
        <v>100.042471156846</v>
      </c>
      <c r="J97" s="6" t="n">
        <f aca="false">Val!J96-Val!J90-Val!J91-Val!J92-Val!J93-Val!J95</f>
        <v>111.475200729312</v>
      </c>
      <c r="K97" s="6" t="n">
        <f aca="false">Val!K96-Val!K90-Val!K91-Val!K92-Val!K93-Val!K95</f>
        <v>120.962281233195</v>
      </c>
    </row>
    <row r="98" customFormat="false" ht="17.15" hidden="false" customHeight="false" outlineLevel="0" collapsed="false">
      <c r="A98" s="0" t="s">
        <v>1244</v>
      </c>
      <c r="B98" s="0" t="s">
        <v>98</v>
      </c>
      <c r="F98" s="6" t="n">
        <f aca="false">PL!F34+Val!F89*Seg!F28+sbc_r*Seg!F28</f>
        <v>26.6293388420472</v>
      </c>
      <c r="G98" s="6" t="n">
        <f aca="false">PL!G34+Val!G89*Seg!G28+sbc_r*Seg!G28</f>
        <v>26.4405000412783</v>
      </c>
      <c r="H98" s="6" t="n">
        <f aca="false">PL!H34+Val!H89*Seg!H28+sbc_r*Seg!H28</f>
        <v>27.296860059552</v>
      </c>
      <c r="I98" s="6" t="n">
        <f aca="false">PL!I34+Val!I89*Seg!I28+sbc_r*Seg!I28</f>
        <v>28.3995465815703</v>
      </c>
      <c r="J98" s="6" t="n">
        <f aca="false">PL!J34+Val!J89*Seg!J28+sbc_r*Seg!J28</f>
        <v>29.7093380975903</v>
      </c>
      <c r="K98" s="6" t="n">
        <f aca="false">PL!K34+Val!K89*Seg!K28+sbc_r*Seg!K28</f>
        <v>31.1817775287323</v>
      </c>
    </row>
    <row r="99" customFormat="false" ht="17.15" hidden="false" customHeight="false" outlineLevel="0" collapsed="false">
      <c r="A99" s="0" t="s">
        <v>1245</v>
      </c>
      <c r="B99" s="0" t="s">
        <v>98</v>
      </c>
      <c r="F99" s="6" t="n">
        <f aca="false">(Val!F98-Val!F94)*Seg!F24/(Seg!F24+Seg!F26)</f>
        <v>8.72146908842971</v>
      </c>
      <c r="G99" s="6" t="n">
        <f aca="false">(Val!G98-Val!G94)*Seg!G24/(Seg!G24+Seg!G26)</f>
        <v>7.87837655379173</v>
      </c>
      <c r="H99" s="6" t="n">
        <f aca="false">(Val!H98-Val!H94)*Seg!H24/(Seg!H24+Seg!H26)</f>
        <v>7.63786170689933</v>
      </c>
      <c r="I99" s="6" t="n">
        <f aca="false">(Val!I98-Val!I94)*Seg!I24/(Seg!I24+Seg!I26)</f>
        <v>7.5470606300581</v>
      </c>
      <c r="J99" s="6" t="n">
        <f aca="false">(Val!J98-Val!J94)*Seg!J24/(Seg!J24+Seg!J26)</f>
        <v>7.59249600034024</v>
      </c>
      <c r="K99" s="6" t="n">
        <f aca="false">(Val!K98-Val!K94)*Seg!K24/(Seg!K24+Seg!K26)</f>
        <v>7.76610179704742</v>
      </c>
    </row>
    <row r="100" customFormat="false" ht="17.15" hidden="false" customHeight="false" outlineLevel="0" collapsed="false">
      <c r="A100" s="0" t="s">
        <v>1246</v>
      </c>
      <c r="B100" s="0" t="s">
        <v>98</v>
      </c>
      <c r="F100" s="6" t="n">
        <f aca="false">Val!F98-Val!F94-Val!F99</f>
        <v>6.72062140904636</v>
      </c>
      <c r="G100" s="6" t="n">
        <f aca="false">Val!G98-Val!G94-Val!G99</f>
        <v>6.31487743919059</v>
      </c>
      <c r="H100" s="6" t="n">
        <f aca="false">Val!H98-Val!H94-Val!H99</f>
        <v>6.30371125803333</v>
      </c>
      <c r="I100" s="6" t="n">
        <f aca="false">Val!I98-Val!I94-Val!I99</f>
        <v>6.35007141935025</v>
      </c>
      <c r="J100" s="6" t="n">
        <f aca="false">Val!J98-Val!J94-Val!J99</f>
        <v>6.44956543659808</v>
      </c>
      <c r="K100" s="6" t="n">
        <f aca="false">Val!K98-Val!K94-Val!K99</f>
        <v>6.597037617813</v>
      </c>
    </row>
    <row r="101" customFormat="false" ht="17.15" hidden="false" customHeight="false" outlineLevel="0" collapsed="false">
      <c r="A101" s="0" t="s">
        <v>1247</v>
      </c>
      <c r="B101" s="0" t="s">
        <v>98</v>
      </c>
      <c r="F101" s="6" t="n">
        <f aca="false">Val!F95-tax_f*(Val!F95-Thesis!F43)-Thesis!F40</f>
        <v>-125.235434701028</v>
      </c>
      <c r="G101" s="6" t="n">
        <f aca="false">Val!G95-tax_f*(Val!G95-Thesis!G43)-Thesis!G40</f>
        <v>-106.928508113935</v>
      </c>
      <c r="H101" s="6" t="n">
        <f aca="false">Val!H95-tax_f*(Val!H95-Thesis!H43)-Thesis!H40</f>
        <v>-63.2919599603405</v>
      </c>
      <c r="I101" s="6" t="n">
        <f aca="false">Val!I95-tax_f*(Val!I95-Thesis!I43)-Thesis!I40</f>
        <v>3.94121196634245</v>
      </c>
      <c r="J101" s="6" t="n">
        <f aca="false">Val!J95-tax_f*(Val!J95-Thesis!J43)-Thesis!J40</f>
        <v>71.0786869547042</v>
      </c>
      <c r="K101" s="6" t="n">
        <f aca="false">Val!K95-tax_f*(Val!K95-Thesis!K43)-Thesis!K40</f>
        <v>97.5865911685559</v>
      </c>
    </row>
    <row r="102" customFormat="false" ht="17.15" hidden="false" customHeight="false" outlineLevel="0" collapsed="false">
      <c r="A102" s="0" t="s">
        <v>1248</v>
      </c>
      <c r="B102" s="0" t="s">
        <v>98</v>
      </c>
      <c r="G102" s="6" t="n">
        <f aca="false">Val!G101/(1+wacc)^(Val!G72-Val!F73)</f>
        <v>-101.81651667568</v>
      </c>
      <c r="H102" s="6" t="n">
        <f aca="false">Val!H101/(1+wacc)^(Val!H72-Val!F73)</f>
        <v>-54.6415143556151</v>
      </c>
      <c r="I102" s="6" t="n">
        <f aca="false">Val!I101/(1+wacc)^(Val!I72-Val!F73)</f>
        <v>3.08498765169516</v>
      </c>
      <c r="J102" s="6" t="n">
        <f aca="false">Val!J101/(1+wacc)^(Val!J72-Val!F73)</f>
        <v>50.4443451596971</v>
      </c>
      <c r="K102" s="6" t="n">
        <f aca="false">Val!K101/(1+wacc)^(Val!K72-Val!F73)</f>
        <v>62.7932114544856</v>
      </c>
      <c r="L102" s="1" t="s">
        <v>1249</v>
      </c>
    </row>
    <row r="103" customFormat="false" ht="17.15" hidden="false" customHeight="false" outlineLevel="0" collapsed="false">
      <c r="A103" s="0" t="s">
        <v>1250</v>
      </c>
      <c r="B103" s="0" t="s">
        <v>98</v>
      </c>
      <c r="C103" s="6" t="n">
        <f aca="false">(Val!K95-Thesis!K43)*(1-tax_f)*(1+g_tv)*(1-g_tv/(wacc+ronic_prem))/(wacc-g_tv)/(1+wacc)^(Val!K73-Val!F73)</f>
        <v>450.836735002813</v>
      </c>
    </row>
    <row r="104" customFormat="false" ht="17.15" hidden="false" customHeight="false" outlineLevel="0" collapsed="false">
      <c r="A104" s="1" t="s">
        <v>1251</v>
      </c>
      <c r="B104" s="0" t="s">
        <v>98</v>
      </c>
      <c r="C104" s="6" t="n">
        <f aca="false">(SUM(Val!G102:K102)+Val!$C$103)*(1+wacc)^(t_roll-Val!F73)</f>
        <v>424.259738494477</v>
      </c>
      <c r="L104" s="12" t="s">
        <v>1252</v>
      </c>
    </row>
    <row r="105" customFormat="false" ht="17.15" hidden="false" customHeight="false" outlineLevel="0" collapsed="false">
      <c r="A105" s="1" t="s">
        <v>1253</v>
      </c>
      <c r="B105" s="0" t="s">
        <v>98</v>
      </c>
      <c r="C105" s="6" t="n">
        <f aca="false">(w_ntm28*Thesis!G31+(1-w_ntm28)*Thesis!H31)*m_ai</f>
        <v>563.316843258668</v>
      </c>
    </row>
    <row r="106" customFormat="false" ht="17.15" hidden="false" customHeight="false" outlineLevel="0" collapsed="false">
      <c r="A106" s="1" t="s">
        <v>1254</v>
      </c>
      <c r="B106" s="0" t="s">
        <v>98</v>
      </c>
      <c r="C106" s="6" t="n">
        <f aca="false">(w_ntm28*Val!G97+(1-w_ntm28)*Val!H97)*m_cloud</f>
        <v>1085.17964696599</v>
      </c>
    </row>
    <row r="107" customFormat="false" ht="17.15" hidden="false" customHeight="false" outlineLevel="0" collapsed="false">
      <c r="A107" s="1" t="s">
        <v>1255</v>
      </c>
      <c r="B107" s="0" t="s">
        <v>98</v>
      </c>
      <c r="C107" s="6" t="n">
        <f aca="false">(w_ntm28*Val!G90+(1-w_ntm28)*Val!H90)*m_sw</f>
        <v>1120.47763155275</v>
      </c>
    </row>
    <row r="108" customFormat="false" ht="17.15" hidden="false" customHeight="false" outlineLevel="0" collapsed="false">
      <c r="A108" s="1" t="s">
        <v>1256</v>
      </c>
      <c r="B108" s="0" t="s">
        <v>98</v>
      </c>
      <c r="C108" s="6" t="n">
        <f aca="false">(w_ntm28*Val!G91+(1-w_ntm28)*Val!H91)*m_sw</f>
        <v>372.68398809041</v>
      </c>
    </row>
    <row r="109" customFormat="false" ht="17.15" hidden="false" customHeight="false" outlineLevel="0" collapsed="false">
      <c r="A109" s="1" t="s">
        <v>1257</v>
      </c>
      <c r="B109" s="0" t="s">
        <v>98</v>
      </c>
      <c r="C109" s="6" t="n">
        <f aca="false">(w_ntm28*Val!G92+(1-w_ntm28)*Val!H92)*m_sw</f>
        <v>108.992632332144</v>
      </c>
    </row>
    <row r="110" customFormat="false" ht="17.15" hidden="false" customHeight="false" outlineLevel="0" collapsed="false">
      <c r="A110" s="1" t="s">
        <v>1258</v>
      </c>
      <c r="B110" s="0" t="s">
        <v>98</v>
      </c>
      <c r="C110" s="6" t="n">
        <f aca="false">(w_ntm28*Val!G93+(1-w_ntm28)*Val!H93)*m_sw</f>
        <v>41.4362652527414</v>
      </c>
    </row>
    <row r="111" customFormat="false" ht="17.15" hidden="false" customHeight="false" outlineLevel="0" collapsed="false">
      <c r="A111" s="1" t="s">
        <v>1259</v>
      </c>
      <c r="B111" s="0" t="s">
        <v>98</v>
      </c>
      <c r="C111" s="6" t="n">
        <f aca="false">(w_ntm28*Val!G94+(1-w_ntm28)*Val!H94)*m_ads</f>
        <v>114.891070326937</v>
      </c>
    </row>
    <row r="112" customFormat="false" ht="17.15" hidden="false" customHeight="false" outlineLevel="0" collapsed="false">
      <c r="A112" s="1" t="s">
        <v>1260</v>
      </c>
      <c r="B112" s="0" t="s">
        <v>98</v>
      </c>
      <c r="C112" s="6" t="n">
        <f aca="false">(w_ntm28*Val!G99+(1-w_ntm28)*Val!H99)*m_game</f>
        <v>98.505199156718</v>
      </c>
    </row>
    <row r="113" customFormat="false" ht="17.15" hidden="false" customHeight="false" outlineLevel="0" collapsed="false">
      <c r="A113" s="1" t="s">
        <v>1261</v>
      </c>
      <c r="B113" s="0" t="s">
        <v>98</v>
      </c>
      <c r="C113" s="6" t="n">
        <f aca="false">(w_ntm28*Val!G100+(1-w_ntm28)*Val!H100)*m_pc</f>
        <v>91.3231561150564</v>
      </c>
    </row>
    <row r="114" customFormat="false" ht="17.15" hidden="false" customHeight="false" outlineLevel="0" collapsed="false">
      <c r="A114" s="1" t="s">
        <v>1262</v>
      </c>
      <c r="B114" s="0" t="s">
        <v>98</v>
      </c>
      <c r="C114" s="6" t="n">
        <f aca="false">Val!$C$104+Val!$C$106+Val!$C$107+Val!$C$108+Val!$C$109+Val!$C$110+Val!$C$111+Val!$C$112+Val!$C$113</f>
        <v>3457.74932828722</v>
      </c>
    </row>
    <row r="115" customFormat="false" ht="17.15" hidden="false" customHeight="false" outlineLevel="0" collapsed="false">
      <c r="A115" s="1" t="s">
        <v>1263</v>
      </c>
      <c r="B115" s="0" t="s">
        <v>98</v>
      </c>
      <c r="C115" s="6" t="n">
        <f aca="false">(Val!G76-Val!G101)*t_stub</f>
        <v>48.2832931160316</v>
      </c>
      <c r="L115" s="1" t="s">
        <v>1264</v>
      </c>
    </row>
    <row r="116" customFormat="false" ht="17.15" hidden="false" customHeight="false" outlineLevel="0" collapsed="false">
      <c r="A116" s="1" t="s">
        <v>1173</v>
      </c>
      <c r="B116" s="0" t="s">
        <v>98</v>
      </c>
      <c r="C116" s="6" t="n">
        <f aca="false">CF!F39+oai_v-CF!F28+Val!$C$115</f>
        <v>162.511563116032</v>
      </c>
      <c r="L116" s="1" t="s">
        <v>1265</v>
      </c>
    </row>
    <row r="117" customFormat="false" ht="17.15" hidden="false" customHeight="false" outlineLevel="0" collapsed="false">
      <c r="A117" s="1" t="s">
        <v>1266</v>
      </c>
      <c r="B117" s="0" t="s">
        <v>75</v>
      </c>
      <c r="C117" s="5" t="n">
        <f aca="false">(Val!$C$114+Val!$C$116)/(CF!F41+dil_gap)-CF!G31*roll_div_q/q_per_yr</f>
        <v>482.289288765653</v>
      </c>
      <c r="L117" s="1" t="s">
        <v>1267</v>
      </c>
    </row>
    <row r="118" customFormat="false" ht="17.15" hidden="false" customHeight="false" outlineLevel="0" collapsed="false">
      <c r="A118" s="1" t="s">
        <v>1268</v>
      </c>
      <c r="B118" s="0" t="s">
        <v>75</v>
      </c>
      <c r="C118" s="5" t="n">
        <f aca="false">w_dcf*Val!$C$88+(1-w_dcf)*Val!$C$117</f>
        <v>423.247865987</v>
      </c>
    </row>
    <row r="119" customFormat="false" ht="17.15" hidden="false" customHeight="false" outlineLevel="0" collapsed="false">
      <c r="A119" s="3" t="s">
        <v>1269</v>
      </c>
    </row>
    <row r="120" customFormat="false" ht="15" hidden="false" customHeight="false" outlineLevel="0" collapsed="false">
      <c r="A120" s="4" t="s">
        <v>43</v>
      </c>
      <c r="B120" s="4" t="s">
        <v>65</v>
      </c>
      <c r="C120" s="23" t="s">
        <v>942</v>
      </c>
      <c r="D120" s="23" t="s">
        <v>943</v>
      </c>
      <c r="E120" s="23" t="s">
        <v>944</v>
      </c>
      <c r="F120" s="23" t="s">
        <v>945</v>
      </c>
      <c r="G120" s="23" t="s">
        <v>946</v>
      </c>
      <c r="H120" s="23" t="s">
        <v>947</v>
      </c>
      <c r="I120" s="23" t="s">
        <v>948</v>
      </c>
      <c r="J120" s="23" t="s">
        <v>949</v>
      </c>
      <c r="K120" s="23" t="s">
        <v>950</v>
      </c>
      <c r="L120" s="4" t="s">
        <v>47</v>
      </c>
    </row>
    <row r="121" customFormat="false" ht="17.15" hidden="false" customHeight="false" outlineLevel="0" collapsed="false">
      <c r="A121" s="1" t="s">
        <v>1216</v>
      </c>
      <c r="B121" s="1" t="s">
        <v>279</v>
      </c>
      <c r="F121" s="8" t="n">
        <f aca="false">(1-v_off)*mid_yr</f>
        <v>0.373972602739726</v>
      </c>
      <c r="G121" s="8" t="n">
        <f aca="false">Thesis!G58-base_fy-mid_yr-v_off</f>
        <v>1.24794520547945</v>
      </c>
      <c r="H121" s="8" t="n">
        <f aca="false">Thesis!H58-base_fy-mid_yr-v_off</f>
        <v>2.24794520547945</v>
      </c>
      <c r="I121" s="8" t="n">
        <f aca="false">Thesis!I58-base_fy-mid_yr-v_off</f>
        <v>3.24794520547945</v>
      </c>
      <c r="J121" s="8" t="n">
        <f aca="false">Thesis!J58-base_fy-mid_yr-v_off</f>
        <v>4.24794520547945</v>
      </c>
      <c r="K121" s="8" t="n">
        <f aca="false">Thesis!K58-base_fy-mid_yr-v_off</f>
        <v>5.24794520547945</v>
      </c>
      <c r="L121" s="12" t="s">
        <v>1217</v>
      </c>
    </row>
    <row r="122" customFormat="false" ht="15" hidden="false" customHeight="false" outlineLevel="0" collapsed="false">
      <c r="A122" s="1" t="s">
        <v>1218</v>
      </c>
      <c r="B122" s="1" t="s">
        <v>279</v>
      </c>
      <c r="F122" s="8" t="n">
        <f aca="false">Thesis!F58-base_fy-v_off</f>
        <v>0.747945205479452</v>
      </c>
      <c r="G122" s="8" t="n">
        <f aca="false">Thesis!G58-base_fy-v_off</f>
        <v>1.74794520547945</v>
      </c>
      <c r="H122" s="8" t="n">
        <f aca="false">Thesis!H58-base_fy-v_off</f>
        <v>2.74794520547945</v>
      </c>
      <c r="I122" s="8" t="n">
        <f aca="false">Thesis!I58-base_fy-v_off</f>
        <v>3.74794520547945</v>
      </c>
      <c r="J122" s="8" t="n">
        <f aca="false">Thesis!J58-base_fy-v_off</f>
        <v>4.74794520547945</v>
      </c>
      <c r="K122" s="8" t="n">
        <f aca="false">Thesis!K58-base_fy-v_off</f>
        <v>5.74794520547945</v>
      </c>
    </row>
    <row r="123" customFormat="false" ht="15" hidden="false" customHeight="false" outlineLevel="0" collapsed="false">
      <c r="A123" s="1" t="s">
        <v>1219</v>
      </c>
      <c r="B123" s="0" t="s">
        <v>229</v>
      </c>
      <c r="F123" s="15" t="n">
        <f aca="false">1/(1+wacc)^Val!F121</f>
        <v>0.964022703286649</v>
      </c>
      <c r="G123" s="15" t="n">
        <f aca="false">1/(1+wacc)^Val!G121</f>
        <v>0.884910302296739</v>
      </c>
      <c r="H123" s="15" t="n">
        <f aca="false">1/(1+wacc)^Val!H121</f>
        <v>0.802322009770358</v>
      </c>
      <c r="I123" s="15" t="n">
        <f aca="false">1/(1+wacc)^Val!I121</f>
        <v>0.727441646561469</v>
      </c>
      <c r="J123" s="15" t="n">
        <f aca="false">1/(1+wacc)^Val!J121</f>
        <v>0.659549834988973</v>
      </c>
      <c r="K123" s="15" t="n">
        <f aca="false">1/(1+wacc)^Val!K121</f>
        <v>0.597994336576966</v>
      </c>
    </row>
    <row r="124" customFormat="false" ht="17.15" hidden="false" customHeight="false" outlineLevel="0" collapsed="false">
      <c r="A124" s="1" t="s">
        <v>1220</v>
      </c>
      <c r="B124" s="0" t="s">
        <v>98</v>
      </c>
      <c r="F124" s="6" t="n">
        <f aca="false">Q!$I$35-Q!$I$39-Q!$I$43</f>
        <v>9.666</v>
      </c>
      <c r="L124" s="12" t="s">
        <v>1221</v>
      </c>
    </row>
    <row r="125" customFormat="false" ht="17.15" hidden="false" customHeight="false" outlineLevel="0" collapsed="false">
      <c r="A125" s="1" t="s">
        <v>1222</v>
      </c>
      <c r="B125" s="0" t="s">
        <v>98</v>
      </c>
      <c r="F125" s="6" t="n">
        <f aca="false">CF!F55-CF!F52-CF!F59+Thesis!F99*(1-tax_f)*(1-v_off)-Val!F124</f>
        <v>-3.35959137570949</v>
      </c>
      <c r="G125" s="6" t="n">
        <f aca="false">CF!G55-CF!G52-CF!G59+Thesis!G99*(1-tax_f)</f>
        <v>29.8084555066036</v>
      </c>
      <c r="H125" s="6" t="n">
        <f aca="false">CF!H55-CF!H52-CF!H59+Thesis!H99*(1-tax_f)</f>
        <v>79.3231801478051</v>
      </c>
      <c r="I125" s="6" t="n">
        <f aca="false">CF!I55-CF!I52-CF!I59+Thesis!I99*(1-tax_f)</f>
        <v>157.29132812061</v>
      </c>
      <c r="J125" s="6" t="n">
        <f aca="false">CF!J55-CF!J52-CF!J59+Thesis!J99*(1-tax_f)</f>
        <v>235.537601843622</v>
      </c>
      <c r="K125" s="6" t="n">
        <f aca="false">CF!K55-CF!K52-CF!K59+Thesis!K99*(1-tax_f)</f>
        <v>273.705067207806</v>
      </c>
      <c r="L125" s="1" t="s">
        <v>1223</v>
      </c>
    </row>
    <row r="126" customFormat="false" ht="15" hidden="false" customHeight="false" outlineLevel="0" collapsed="false">
      <c r="A126" s="1" t="s">
        <v>1224</v>
      </c>
      <c r="B126" s="0" t="s">
        <v>98</v>
      </c>
      <c r="F126" s="6" t="n">
        <f aca="false">Val!F125*Val!F123</f>
        <v>-3.23872235994998</v>
      </c>
      <c r="G126" s="6" t="n">
        <f aca="false">Val!G125*Val!G123</f>
        <v>26.3778093733475</v>
      </c>
      <c r="H126" s="6" t="n">
        <f aca="false">Val!H125*Val!H123</f>
        <v>63.6427333175632</v>
      </c>
      <c r="I126" s="6" t="n">
        <f aca="false">Val!I125*Val!I123</f>
        <v>114.420262717897</v>
      </c>
      <c r="J126" s="6" t="n">
        <f aca="false">Val!J125*Val!J123</f>
        <v>155.348786429659</v>
      </c>
      <c r="K126" s="6" t="n">
        <f aca="false">Val!K125*Val!K123</f>
        <v>163.674080082686</v>
      </c>
    </row>
    <row r="127" customFormat="false" ht="17.15" hidden="false" customHeight="false" outlineLevel="0" collapsed="false">
      <c r="A127" s="1" t="s">
        <v>1225</v>
      </c>
      <c r="B127" s="0" t="s">
        <v>98</v>
      </c>
      <c r="C127" s="6" t="n">
        <f aca="false">SUM(Val!F126:K126)</f>
        <v>520.224949561203</v>
      </c>
    </row>
    <row r="128" customFormat="false" ht="17.15" hidden="false" customHeight="false" outlineLevel="0" collapsed="false">
      <c r="A128" s="1" t="s">
        <v>1226</v>
      </c>
      <c r="B128" s="0" t="s">
        <v>98</v>
      </c>
      <c r="C128" s="6" t="n">
        <f aca="false">PL!K78*(1+g_tv)*(1-tax_f)</f>
        <v>284.979534119394</v>
      </c>
    </row>
    <row r="129" customFormat="false" ht="17.15" hidden="false" customHeight="false" outlineLevel="0" collapsed="false">
      <c r="A129" s="1" t="s">
        <v>1227</v>
      </c>
      <c r="B129" s="0" t="s">
        <v>98</v>
      </c>
      <c r="C129" s="6" t="n">
        <f aca="false">Val!$C$128*(1-g_tv/(wacc+ronic_prem))</f>
        <v>201.924655916751</v>
      </c>
    </row>
    <row r="130" customFormat="false" ht="17.15" hidden="false" customHeight="false" outlineLevel="0" collapsed="false">
      <c r="A130" s="1" t="s">
        <v>1228</v>
      </c>
      <c r="B130" s="0" t="s">
        <v>98</v>
      </c>
      <c r="C130" s="6" t="n">
        <f aca="false">Val!$C$129/(wacc-g_tv)</f>
        <v>2768.49594008808</v>
      </c>
    </row>
    <row r="131" customFormat="false" ht="15" hidden="false" customHeight="false" outlineLevel="0" collapsed="false">
      <c r="A131" s="1" t="s">
        <v>1229</v>
      </c>
      <c r="B131" s="0" t="s">
        <v>98</v>
      </c>
      <c r="C131" s="6" t="n">
        <f aca="false">Val!$C$130/(1+wacc)^Val!K122</f>
        <v>1576.39732546142</v>
      </c>
    </row>
    <row r="132" customFormat="false" ht="17.15" hidden="false" customHeight="false" outlineLevel="0" collapsed="false">
      <c r="A132" s="0" t="s">
        <v>1230</v>
      </c>
      <c r="B132" s="0" t="s">
        <v>98</v>
      </c>
      <c r="C132" s="6" t="n">
        <f aca="false">Val!$C$127+Val!$C$131</f>
        <v>2096.62227502262</v>
      </c>
    </row>
    <row r="133" customFormat="false" ht="15" hidden="false" customHeight="false" outlineLevel="0" collapsed="false">
      <c r="A133" s="1" t="s">
        <v>1145</v>
      </c>
      <c r="B133" s="0" t="s">
        <v>168</v>
      </c>
      <c r="C133" s="7" t="n">
        <f aca="false">Val!$C$131/Val!$C$132</f>
        <v>0.751874738831729</v>
      </c>
    </row>
    <row r="134" customFormat="false" ht="17.15" hidden="false" customHeight="false" outlineLevel="0" collapsed="false">
      <c r="A134" s="1" t="s">
        <v>1231</v>
      </c>
      <c r="B134" s="0" t="s">
        <v>98</v>
      </c>
      <c r="C134" s="6" t="n">
        <f aca="false">Val!$C$132+cash_val-debt_val-fl_val+oai_v</f>
        <v>2212.47327502262</v>
      </c>
    </row>
    <row r="135" customFormat="false" ht="17.15" hidden="false" customHeight="false" outlineLevel="0" collapsed="false">
      <c r="A135" s="0" t="s">
        <v>1153</v>
      </c>
      <c r="B135" s="0" t="s">
        <v>75</v>
      </c>
      <c r="C135" s="5" t="n">
        <f aca="false">Val!$C$134/shd_val</f>
        <v>297.13581453433</v>
      </c>
    </row>
    <row r="136" customFormat="false" ht="15" hidden="false" customHeight="false" outlineLevel="0" collapsed="false">
      <c r="A136" s="1" t="s">
        <v>1232</v>
      </c>
      <c r="B136" s="0" t="s">
        <v>75</v>
      </c>
      <c r="C136" s="8" t="n">
        <f aca="false">div_rem27+CF!G63*roll_div_q/q_per_yr</f>
        <v>3.9795</v>
      </c>
    </row>
    <row r="137" customFormat="false" ht="17.15" hidden="false" customHeight="false" outlineLevel="0" collapsed="false">
      <c r="A137" s="0" t="s">
        <v>1233</v>
      </c>
      <c r="B137" s="0" t="s">
        <v>75</v>
      </c>
      <c r="C137" s="5" t="n">
        <f aca="false">Val!$C$135*(1+wacc)^t_roll-Val!$C$136</f>
        <v>326.303541225732</v>
      </c>
    </row>
    <row r="138" customFormat="false" ht="17.15" hidden="false" customHeight="false" outlineLevel="0" collapsed="false">
      <c r="A138" s="1" t="s">
        <v>1234</v>
      </c>
      <c r="B138" s="0" t="s">
        <v>168</v>
      </c>
      <c r="F138" s="7" t="n">
        <f aca="false">CF!F49/(Seg!F56-Thesis!F77)</f>
        <v>0.0686195668908011</v>
      </c>
      <c r="G138" s="7" t="n">
        <f aca="false">CF!G49/(Seg!G56-Thesis!G77)</f>
        <v>0.0658333569148391</v>
      </c>
      <c r="H138" s="7" t="n">
        <f aca="false">CF!H49/(Seg!H56-Thesis!H77)</f>
        <v>0.0643895625218926</v>
      </c>
      <c r="I138" s="7" t="n">
        <f aca="false">CF!I49/(Seg!I56-Thesis!I77)</f>
        <v>0.0641676618157989</v>
      </c>
      <c r="J138" s="7" t="n">
        <f aca="false">CF!J49/(Seg!J56-Thesis!J77)</f>
        <v>0.0648858606572163</v>
      </c>
      <c r="K138" s="7" t="n">
        <f aca="false">CF!K49/(Seg!K56-Thesis!K77)</f>
        <v>0.0661974425163768</v>
      </c>
    </row>
    <row r="139" customFormat="false" ht="17.15" hidden="false" customHeight="false" outlineLevel="0" collapsed="false">
      <c r="A139" s="0" t="s">
        <v>1235</v>
      </c>
      <c r="B139" s="0" t="s">
        <v>98</v>
      </c>
      <c r="F139" s="6" t="n">
        <f aca="false">Seg!F41*(al_m365+Val!F138+sbc_r)</f>
        <v>83.7205619248671</v>
      </c>
      <c r="G139" s="6" t="n">
        <f aca="false">Seg!G41*(al_m365+Val!G138+sbc_r)</f>
        <v>96.1301303332381</v>
      </c>
      <c r="H139" s="6" t="n">
        <f aca="false">Seg!H41*(al_m365+Val!H138+sbc_r)</f>
        <v>108.70354073822</v>
      </c>
      <c r="I139" s="6" t="n">
        <f aca="false">Seg!I41*(al_m365+Val!I138+sbc_r)</f>
        <v>120.260101315626</v>
      </c>
      <c r="J139" s="6" t="n">
        <f aca="false">Seg!J41*(al_m365+Val!J138+sbc_r)</f>
        <v>130.611904548619</v>
      </c>
      <c r="K139" s="6" t="n">
        <f aca="false">Seg!K41*(al_m365+Val!K138+sbc_r)</f>
        <v>140.575094974638</v>
      </c>
      <c r="L139" s="12" t="s">
        <v>1236</v>
      </c>
    </row>
    <row r="140" customFormat="false" ht="17.15" hidden="false" customHeight="false" outlineLevel="0" collapsed="false">
      <c r="A140" s="0" t="s">
        <v>1237</v>
      </c>
      <c r="B140" s="0" t="s">
        <v>98</v>
      </c>
      <c r="F140" s="6" t="n">
        <f aca="false">Seg!F42*(al_lic+Val!F138+sbc_r)</f>
        <v>32.8577657183496</v>
      </c>
      <c r="G140" s="6" t="n">
        <f aca="false">Seg!G42*(al_lic+Val!G138+sbc_r)</f>
        <v>34.1376266324889</v>
      </c>
      <c r="H140" s="6" t="n">
        <f aca="false">Seg!H42*(al_lic+Val!H138+sbc_r)</f>
        <v>35.3325744664128</v>
      </c>
      <c r="I140" s="6" t="n">
        <f aca="false">Seg!I42*(al_lic+Val!I138+sbc_r)</f>
        <v>36.4244749008727</v>
      </c>
      <c r="J140" s="6" t="n">
        <f aca="false">Seg!J42*(al_lic+Val!J138+sbc_r)</f>
        <v>37.3879406068527</v>
      </c>
      <c r="K140" s="6" t="n">
        <f aca="false">Seg!K42*(al_lic+Val!K138+sbc_r)</f>
        <v>38.1943876078259</v>
      </c>
    </row>
    <row r="141" customFormat="false" ht="17.15" hidden="false" customHeight="false" outlineLevel="0" collapsed="false">
      <c r="A141" s="0" t="s">
        <v>1238</v>
      </c>
      <c r="B141" s="0" t="s">
        <v>98</v>
      </c>
      <c r="F141" s="6" t="n">
        <f aca="false">Seg!F44*(al_ind+Val!F138+sbc_r)</f>
        <v>9.06041701092022</v>
      </c>
      <c r="G141" s="6" t="n">
        <f aca="false">Seg!G44*(al_ind+Val!G138+sbc_r)</f>
        <v>9.83619082712885</v>
      </c>
      <c r="H141" s="6" t="n">
        <f aca="false">Seg!H44*(al_ind+Val!H138+sbc_r)</f>
        <v>10.6570160105312</v>
      </c>
      <c r="I141" s="6" t="n">
        <f aca="false">Seg!I44*(al_ind+Val!I138+sbc_r)</f>
        <v>11.5198571637125</v>
      </c>
      <c r="J141" s="6" t="n">
        <f aca="false">Seg!J44*(al_ind+Val!J138+sbc_r)</f>
        <v>12.4150086539206</v>
      </c>
      <c r="K141" s="6" t="n">
        <f aca="false">Seg!K44*(al_ind+Val!K138+sbc_r)</f>
        <v>13.3273714589988</v>
      </c>
    </row>
    <row r="142" customFormat="false" ht="17.15" hidden="false" customHeight="false" outlineLevel="0" collapsed="false">
      <c r="A142" s="0" t="s">
        <v>1239</v>
      </c>
      <c r="B142" s="0" t="s">
        <v>98</v>
      </c>
      <c r="F142" s="6" t="n">
        <f aca="false">Seg!F46*(al_fro+Val!F138+sbc_r)</f>
        <v>3.55402950182022</v>
      </c>
      <c r="G142" s="6" t="n">
        <f aca="false">Seg!G46*(al_fro+Val!G138+sbc_r)</f>
        <v>3.76361488926481</v>
      </c>
      <c r="H142" s="6" t="n">
        <f aca="false">Seg!H46*(al_fro+Val!H138+sbc_r)</f>
        <v>4.00220968879544</v>
      </c>
      <c r="I142" s="6" t="n">
        <f aca="false">Seg!I46*(al_fro+Val!I138+sbc_r)</f>
        <v>4.2725765173852</v>
      </c>
      <c r="J142" s="6" t="n">
        <f aca="false">Seg!J46*(al_fro+Val!J138+sbc_r)</f>
        <v>4.57586224390293</v>
      </c>
      <c r="K142" s="6" t="n">
        <f aca="false">Seg!K46*(al_fro+Val!K138+sbc_r)</f>
        <v>4.91213639633217</v>
      </c>
    </row>
    <row r="143" customFormat="false" ht="17.15" hidden="false" customHeight="false" outlineLevel="0" collapsed="false">
      <c r="A143" s="0" t="s">
        <v>1240</v>
      </c>
      <c r="B143" s="0" t="s">
        <v>98</v>
      </c>
      <c r="F143" s="6" t="n">
        <f aca="false">Seg!F49*(al_srch+Val!F138+sbc_r)</f>
        <v>11.1890902994147</v>
      </c>
      <c r="G143" s="6" t="n">
        <f aca="false">Seg!G49*(al_srch+Val!G138+sbc_r)</f>
        <v>12.261738891803</v>
      </c>
      <c r="H143" s="6" t="n">
        <f aca="false">Seg!H49*(al_srch+Val!H138+sbc_r)</f>
        <v>13.3794863429193</v>
      </c>
      <c r="I143" s="6" t="n">
        <f aca="false">Seg!I49*(al_srch+Val!I138+sbc_r)</f>
        <v>14.5317114787784</v>
      </c>
      <c r="J143" s="6" t="n">
        <f aca="false">Seg!J49*(al_srch+Val!J138+sbc_r)</f>
        <v>15.6984365817724</v>
      </c>
      <c r="K143" s="6" t="n">
        <f aca="false">Seg!K49*(al_srch+Val!K138+sbc_r)</f>
        <v>16.8520942258664</v>
      </c>
    </row>
    <row r="144" customFormat="false" ht="17.15" hidden="false" customHeight="false" outlineLevel="0" collapsed="false">
      <c r="A144" s="0" t="s">
        <v>1241</v>
      </c>
      <c r="B144" s="0" t="s">
        <v>98</v>
      </c>
      <c r="F144" s="6" t="n">
        <f aca="false">Thesis!F83-Thesis!F84+Thesis!F99</f>
        <v>42.5431090240393</v>
      </c>
      <c r="G144" s="6" t="n">
        <f aca="false">Thesis!G83-Thesis!G84+Thesis!G99</f>
        <v>81.4922561130847</v>
      </c>
      <c r="H144" s="6" t="n">
        <f aca="false">Thesis!H83-Thesis!H84+Thesis!H99</f>
        <v>123.278266211349</v>
      </c>
      <c r="I144" s="6" t="n">
        <f aca="false">Thesis!I83-Thesis!I84+Thesis!I99</f>
        <v>160.60594185192</v>
      </c>
      <c r="J144" s="6" t="n">
        <f aca="false">Thesis!J83-Thesis!J84+Thesis!J99</f>
        <v>186.818741832633</v>
      </c>
      <c r="K144" s="6" t="n">
        <f aca="false">Thesis!K83-Thesis!K84+Thesis!K99</f>
        <v>202.776422159652</v>
      </c>
    </row>
    <row r="145" customFormat="false" ht="17.15" hidden="false" customHeight="false" outlineLevel="0" collapsed="false">
      <c r="A145" s="0" t="s">
        <v>1242</v>
      </c>
      <c r="B145" s="0" t="s">
        <v>98</v>
      </c>
      <c r="F145" s="6" t="n">
        <f aca="false">PL!F71+Thesis!F99+Thesis!F95+Val!F138*(Seg!F48-Thesis!F77)+sbc_r*Seg!F48</f>
        <v>238.090727427296</v>
      </c>
      <c r="G145" s="6" t="n">
        <f aca="false">PL!G71+Thesis!G99+Thesis!G95+Val!G138*(Seg!G48-Thesis!G77)+sbc_r*Seg!G48</f>
        <v>299.90836088563</v>
      </c>
      <c r="H145" s="6" t="n">
        <f aca="false">PL!H71+Thesis!H99+Thesis!H95+Val!H138*(Seg!H48-Thesis!H77)+sbc_r*Seg!H48</f>
        <v>369.457709442386</v>
      </c>
      <c r="I145" s="6" t="n">
        <f aca="false">PL!I71+Thesis!I99+Thesis!I95+Val!I138*(Seg!I48-Thesis!I77)+sbc_r*Seg!I48</f>
        <v>433.16585128823</v>
      </c>
      <c r="J145" s="6" t="n">
        <f aca="false">PL!J71+Thesis!J99+Thesis!J95+Val!J138*(Seg!J48-Thesis!J77)+sbc_r*Seg!J48</f>
        <v>483.301303131191</v>
      </c>
      <c r="K145" s="6" t="n">
        <f aca="false">PL!K71+Thesis!K99+Thesis!K95+Val!K138*(Seg!K48-Thesis!K77)+sbc_r*Seg!K48</f>
        <v>520.789002205336</v>
      </c>
    </row>
    <row r="146" customFormat="false" ht="17.15" hidden="false" customHeight="false" outlineLevel="0" collapsed="false">
      <c r="A146" s="0" t="s">
        <v>1243</v>
      </c>
      <c r="B146" s="0" t="s">
        <v>98</v>
      </c>
      <c r="F146" s="6" t="n">
        <f aca="false">Val!F145-Val!F139-Val!F140-Val!F141-Val!F142-Val!F144</f>
        <v>66.3548442472996</v>
      </c>
      <c r="G146" s="6" t="n">
        <f aca="false">Val!G145-Val!G139-Val!G140-Val!G141-Val!G142-Val!G144</f>
        <v>74.548542090425</v>
      </c>
      <c r="H146" s="6" t="n">
        <f aca="false">Val!H145-Val!H139-Val!H140-Val!H141-Val!H142-Val!H144</f>
        <v>87.4841023270775</v>
      </c>
      <c r="I146" s="6" t="n">
        <f aca="false">Val!I145-Val!I139-Val!I140-Val!I141-Val!I142-Val!I144</f>
        <v>100.082899538713</v>
      </c>
      <c r="J146" s="6" t="n">
        <f aca="false">Val!J145-Val!J139-Val!J140-Val!J141-Val!J142-Val!J144</f>
        <v>111.491845245262</v>
      </c>
      <c r="K146" s="6" t="n">
        <f aca="false">Val!K145-Val!K139-Val!K140-Val!K141-Val!K142-Val!K144</f>
        <v>121.003589607889</v>
      </c>
    </row>
    <row r="147" customFormat="false" ht="17.15" hidden="false" customHeight="false" outlineLevel="0" collapsed="false">
      <c r="A147" s="0" t="s">
        <v>1244</v>
      </c>
      <c r="B147" s="0" t="s">
        <v>98</v>
      </c>
      <c r="F147" s="6" t="n">
        <f aca="false">PL!F73+Val!F138*Seg!F55+sbc_r*Seg!F55</f>
        <v>26.6336365855879</v>
      </c>
      <c r="G147" s="6" t="n">
        <f aca="false">PL!G73+Val!G138*Seg!G55+sbc_r*Seg!G55</f>
        <v>26.4720859498625</v>
      </c>
      <c r="H147" s="6" t="n">
        <f aca="false">PL!H73+Val!H138*Seg!H55+sbc_r*Seg!H55</f>
        <v>27.346793021284</v>
      </c>
      <c r="I147" s="6" t="n">
        <f aca="false">PL!I73+Val!I138*Seg!I55+sbc_r*Seg!I55</f>
        <v>28.4574657863154</v>
      </c>
      <c r="J147" s="6" t="n">
        <f aca="false">PL!J73+Val!J138*Seg!J55+sbc_r*Seg!J55</f>
        <v>29.7689890546037</v>
      </c>
      <c r="K147" s="6" t="n">
        <f aca="false">PL!K73+Val!K138*Seg!K55+sbc_r*Seg!K55</f>
        <v>31.2443947307494</v>
      </c>
    </row>
    <row r="148" customFormat="false" ht="17.15" hidden="false" customHeight="false" outlineLevel="0" collapsed="false">
      <c r="A148" s="0" t="s">
        <v>1245</v>
      </c>
      <c r="B148" s="0" t="s">
        <v>98</v>
      </c>
      <c r="F148" s="6" t="n">
        <f aca="false">(Val!F147-Val!F143)*Seg!F51/(Seg!F51+Seg!F53)</f>
        <v>8.72285608232241</v>
      </c>
      <c r="G148" s="6" t="n">
        <f aca="false">(Val!G147-Val!G143)*Seg!G51/(Seg!G51+Seg!G53)</f>
        <v>7.88786455444355</v>
      </c>
      <c r="H148" s="6" t="n">
        <f aca="false">(Val!H147-Val!H143)*Seg!H51/(Seg!H51+Seg!H53)</f>
        <v>7.65195986819674</v>
      </c>
      <c r="I148" s="6" t="n">
        <f aca="false">(Val!I147-Val!I143)*Seg!I51/(Seg!I51+Seg!I53)</f>
        <v>7.56260440676676</v>
      </c>
      <c r="J148" s="6" t="n">
        <f aca="false">(Val!J147-Val!J143)*Seg!J51/(Seg!J51+Seg!J53)</f>
        <v>7.60790100885945</v>
      </c>
      <c r="K148" s="6" t="n">
        <f aca="false">(Val!K147-Val!K143)*Seg!K51/(Seg!K51+Seg!K53)</f>
        <v>7.78186910160995</v>
      </c>
    </row>
    <row r="149" customFormat="false" ht="17.15" hidden="false" customHeight="false" outlineLevel="0" collapsed="false">
      <c r="A149" s="0" t="s">
        <v>1246</v>
      </c>
      <c r="B149" s="0" t="s">
        <v>98</v>
      </c>
      <c r="F149" s="6" t="n">
        <f aca="false">Val!F147-Val!F143-Val!F148</f>
        <v>6.72169020385088</v>
      </c>
      <c r="G149" s="6" t="n">
        <f aca="false">Val!G147-Val!G143-Val!G148</f>
        <v>6.322482503616</v>
      </c>
      <c r="H149" s="6" t="n">
        <f aca="false">Val!H147-Val!H143-Val!H148</f>
        <v>6.315346810168</v>
      </c>
      <c r="I149" s="6" t="n">
        <f aca="false">Val!I147-Val!I143-Val!I148</f>
        <v>6.36314990077033</v>
      </c>
      <c r="J149" s="6" t="n">
        <f aca="false">Val!J147-Val!J143-Val!J148</f>
        <v>6.46265146397189</v>
      </c>
      <c r="K149" s="6" t="n">
        <f aca="false">Val!K147-Val!K143-Val!K148</f>
        <v>6.61043140327304</v>
      </c>
    </row>
    <row r="150" customFormat="false" ht="17.15" hidden="false" customHeight="false" outlineLevel="0" collapsed="false">
      <c r="A150" s="0" t="s">
        <v>1247</v>
      </c>
      <c r="B150" s="0" t="s">
        <v>98</v>
      </c>
      <c r="F150" s="6" t="n">
        <f aca="false">Val!F144-tax_f*(Val!F144-Thesis!F95)-Thesis!F92</f>
        <v>-127.503553927218</v>
      </c>
      <c r="G150" s="6" t="n">
        <f aca="false">Val!G144-tax_f*(Val!G144-Thesis!G95)-Thesis!G92</f>
        <v>-114.603772628121</v>
      </c>
      <c r="H150" s="6" t="n">
        <f aca="false">Val!H144-tax_f*(Val!H144-Thesis!H95)-Thesis!H92</f>
        <v>-80.3633729631438</v>
      </c>
      <c r="I150" s="6" t="n">
        <f aca="false">Val!I144-tax_f*(Val!I144-Thesis!I95)-Thesis!I92</f>
        <v>-17.2838782011649</v>
      </c>
      <c r="J150" s="6" t="n">
        <f aca="false">Val!J144-tax_f*(Val!J144-Thesis!J95)-Thesis!J92</f>
        <v>46.9281968800854</v>
      </c>
      <c r="K150" s="6" t="n">
        <f aca="false">Val!K144-tax_f*(Val!K144-Thesis!K95)-Thesis!K92</f>
        <v>71.8608185731755</v>
      </c>
    </row>
    <row r="151" customFormat="false" ht="17.15" hidden="false" customHeight="false" outlineLevel="0" collapsed="false">
      <c r="A151" s="0" t="s">
        <v>1248</v>
      </c>
      <c r="B151" s="0" t="s">
        <v>98</v>
      </c>
      <c r="G151" s="6" t="n">
        <f aca="false">Val!G150/(1+wacc)^(Val!G121-Val!F122)</f>
        <v>-109.124845494465</v>
      </c>
      <c r="H151" s="6" t="n">
        <f aca="false">Val!H150/(1+wacc)^(Val!H121-Val!F122)</f>
        <v>-69.3796874071025</v>
      </c>
      <c r="I151" s="6" t="n">
        <f aca="false">Val!I150/(1+wacc)^(Val!I121-Val!F122)</f>
        <v>-13.5289731380471</v>
      </c>
      <c r="J151" s="6" t="n">
        <f aca="false">Val!J150/(1+wacc)^(Val!J121-Val!F122)</f>
        <v>33.3048099587126</v>
      </c>
      <c r="K151" s="6" t="n">
        <f aca="false">Val!K150/(1+wacc)^(Val!K121-Val!F122)</f>
        <v>46.2396679904913</v>
      </c>
      <c r="L151" s="1" t="s">
        <v>1249</v>
      </c>
    </row>
    <row r="152" customFormat="false" ht="17.15" hidden="false" customHeight="false" outlineLevel="0" collapsed="false">
      <c r="A152" s="0" t="s">
        <v>1250</v>
      </c>
      <c r="B152" s="0" t="s">
        <v>98</v>
      </c>
      <c r="C152" s="6" t="n">
        <f aca="false">(Val!K144-Thesis!K95)*(1-tax_f)*(1+g_tv)*(1-g_tv/(wacc+ronic_prem))/(wacc-g_tv)/(1+wacc)^(Val!K122-Val!F122)</f>
        <v>293.118051086843</v>
      </c>
    </row>
    <row r="153" customFormat="false" ht="17.15" hidden="false" customHeight="false" outlineLevel="0" collapsed="false">
      <c r="A153" s="1" t="s">
        <v>1251</v>
      </c>
      <c r="B153" s="0" t="s">
        <v>98</v>
      </c>
      <c r="C153" s="6" t="n">
        <f aca="false">(SUM(Val!G151:K151)+Val!$C$152)*(1+wacc)^(t_roll-Val!F122)</f>
        <v>186.592133308255</v>
      </c>
      <c r="L153" s="12" t="s">
        <v>1252</v>
      </c>
    </row>
    <row r="154" customFormat="false" ht="17.15" hidden="false" customHeight="false" outlineLevel="0" collapsed="false">
      <c r="A154" s="1" t="s">
        <v>1253</v>
      </c>
      <c r="B154" s="0" t="s">
        <v>98</v>
      </c>
      <c r="C154" s="6" t="n">
        <f aca="false">(w_ntm28*Thesis!G83+(1-w_ntm28)*Thesis!H83)*m_ai</f>
        <v>463.789109510335</v>
      </c>
    </row>
    <row r="155" customFormat="false" ht="17.15" hidden="false" customHeight="false" outlineLevel="0" collapsed="false">
      <c r="A155" s="1" t="s">
        <v>1254</v>
      </c>
      <c r="B155" s="0" t="s">
        <v>98</v>
      </c>
      <c r="C155" s="6" t="n">
        <f aca="false">(w_ntm28*Val!G146+(1-w_ntm28)*Val!H146)*m_cloud</f>
        <v>1089.03436702245</v>
      </c>
    </row>
    <row r="156" customFormat="false" ht="17.15" hidden="false" customHeight="false" outlineLevel="0" collapsed="false">
      <c r="A156" s="1" t="s">
        <v>1255</v>
      </c>
      <c r="B156" s="0" t="s">
        <v>98</v>
      </c>
      <c r="C156" s="6" t="n">
        <f aca="false">(w_ntm28*Val!G139+(1-w_ntm28)*Val!H139)*m_sw</f>
        <v>1082.84962646159</v>
      </c>
    </row>
    <row r="157" customFormat="false" ht="17.15" hidden="false" customHeight="false" outlineLevel="0" collapsed="false">
      <c r="A157" s="1" t="s">
        <v>1256</v>
      </c>
      <c r="B157" s="0" t="s">
        <v>98</v>
      </c>
      <c r="C157" s="6" t="n">
        <f aca="false">(w_ntm28*Val!G140+(1-w_ntm28)*Val!H140)*m_sw</f>
        <v>372.929250898731</v>
      </c>
    </row>
    <row r="158" customFormat="false" ht="17.15" hidden="false" customHeight="false" outlineLevel="0" collapsed="false">
      <c r="A158" s="1" t="s">
        <v>1257</v>
      </c>
      <c r="B158" s="0" t="s">
        <v>98</v>
      </c>
      <c r="C158" s="6" t="n">
        <f aca="false">(w_ntm28*Val!G141+(1-w_ntm28)*Val!H141)*m_sw</f>
        <v>109.1453525431</v>
      </c>
    </row>
    <row r="159" customFormat="false" ht="17.15" hidden="false" customHeight="false" outlineLevel="0" collapsed="false">
      <c r="A159" s="1" t="s">
        <v>1258</v>
      </c>
      <c r="B159" s="0" t="s">
        <v>98</v>
      </c>
      <c r="C159" s="6" t="n">
        <f aca="false">(w_ntm28*Val!G142+(1-w_ntm28)*Val!H142)*m_sw</f>
        <v>41.4942157634893</v>
      </c>
    </row>
    <row r="160" customFormat="false" ht="17.15" hidden="false" customHeight="false" outlineLevel="0" collapsed="false">
      <c r="A160" s="1" t="s">
        <v>1259</v>
      </c>
      <c r="B160" s="0" t="s">
        <v>98</v>
      </c>
      <c r="C160" s="6" t="n">
        <f aca="false">(w_ntm28*Val!G143+(1-w_ntm28)*Val!H143)*m_ads</f>
        <v>115.052171478463</v>
      </c>
    </row>
    <row r="161" customFormat="false" ht="17.15" hidden="false" customHeight="false" outlineLevel="0" collapsed="false">
      <c r="A161" s="1" t="s">
        <v>1260</v>
      </c>
      <c r="B161" s="0" t="s">
        <v>98</v>
      </c>
      <c r="C161" s="6" t="n">
        <f aca="false">(w_ntm28*Val!G148+(1-w_ntm28)*Val!H148)*m_game</f>
        <v>98.6441755076202</v>
      </c>
    </row>
    <row r="162" customFormat="false" ht="17.15" hidden="false" customHeight="false" outlineLevel="0" collapsed="false">
      <c r="A162" s="1" t="s">
        <v>1261</v>
      </c>
      <c r="B162" s="0" t="s">
        <v>98</v>
      </c>
      <c r="C162" s="6" t="n">
        <f aca="false">(w_ntm28*Val!G149+(1-w_ntm28)*Val!H149)*m_pc</f>
        <v>91.4523754763561</v>
      </c>
    </row>
    <row r="163" customFormat="false" ht="17.15" hidden="false" customHeight="false" outlineLevel="0" collapsed="false">
      <c r="A163" s="1" t="s">
        <v>1262</v>
      </c>
      <c r="B163" s="0" t="s">
        <v>98</v>
      </c>
      <c r="C163" s="6" t="n">
        <f aca="false">Val!$C$153+Val!$C$155+Val!$C$156+Val!$C$157+Val!$C$158+Val!$C$159+Val!$C$160+Val!$C$161+Val!$C$162</f>
        <v>3187.19366846006</v>
      </c>
    </row>
    <row r="164" customFormat="false" ht="17.15" hidden="false" customHeight="false" outlineLevel="0" collapsed="false">
      <c r="A164" s="1" t="s">
        <v>1263</v>
      </c>
      <c r="B164" s="0" t="s">
        <v>98</v>
      </c>
      <c r="C164" s="6" t="n">
        <f aca="false">(Val!G125-Val!G150)*t_stub</f>
        <v>47.8736427515113</v>
      </c>
      <c r="L164" s="1" t="s">
        <v>1264</v>
      </c>
    </row>
    <row r="165" customFormat="false" ht="17.15" hidden="false" customHeight="false" outlineLevel="0" collapsed="false">
      <c r="A165" s="1" t="s">
        <v>1173</v>
      </c>
      <c r="B165" s="0" t="s">
        <v>98</v>
      </c>
      <c r="C165" s="6" t="n">
        <f aca="false">CF!F71+oai_v-CF!F60+Val!$C$164</f>
        <v>162.101912751511</v>
      </c>
      <c r="L165" s="1" t="s">
        <v>1265</v>
      </c>
    </row>
    <row r="166" customFormat="false" ht="17.15" hidden="false" customHeight="false" outlineLevel="0" collapsed="false">
      <c r="A166" s="1" t="s">
        <v>1266</v>
      </c>
      <c r="B166" s="0" t="s">
        <v>75</v>
      </c>
      <c r="C166" s="5" t="n">
        <f aca="false">(Val!$C$163+Val!$C$165)/(CF!F73+dil_gap)-CF!G63*roll_div_q/q_per_yr</f>
        <v>445.800799521231</v>
      </c>
      <c r="L166" s="1" t="s">
        <v>1267</v>
      </c>
    </row>
    <row r="167" customFormat="false" ht="17.15" hidden="false" customHeight="false" outlineLevel="0" collapsed="false">
      <c r="A167" s="1" t="s">
        <v>1268</v>
      </c>
      <c r="B167" s="0" t="s">
        <v>75</v>
      </c>
      <c r="C167" s="5" t="n">
        <f aca="false">w_dcf*Val!$C$137+(1-w_dcf)*Val!$C$166</f>
        <v>386.052170373482</v>
      </c>
    </row>
    <row r="168" customFormat="false" ht="17.15" hidden="false" customHeight="false" outlineLevel="0" collapsed="false">
      <c r="A168" s="3" t="s">
        <v>1270</v>
      </c>
    </row>
    <row r="169" customFormat="false" ht="15" hidden="false" customHeight="false" outlineLevel="0" collapsed="false">
      <c r="A169" s="4" t="s">
        <v>43</v>
      </c>
      <c r="B169" s="4" t="s">
        <v>65</v>
      </c>
      <c r="C169" s="23" t="s">
        <v>942</v>
      </c>
      <c r="D169" s="23" t="s">
        <v>943</v>
      </c>
      <c r="E169" s="23" t="s">
        <v>944</v>
      </c>
      <c r="F169" s="23" t="s">
        <v>945</v>
      </c>
      <c r="G169" s="23" t="s">
        <v>946</v>
      </c>
      <c r="H169" s="23" t="s">
        <v>947</v>
      </c>
      <c r="I169" s="23" t="s">
        <v>948</v>
      </c>
      <c r="J169" s="23" t="s">
        <v>949</v>
      </c>
      <c r="K169" s="23" t="s">
        <v>950</v>
      </c>
      <c r="L169" s="4" t="s">
        <v>47</v>
      </c>
    </row>
    <row r="170" customFormat="false" ht="17.15" hidden="false" customHeight="false" outlineLevel="0" collapsed="false">
      <c r="A170" s="1" t="s">
        <v>1216</v>
      </c>
      <c r="B170" s="1" t="s">
        <v>279</v>
      </c>
      <c r="F170" s="8" t="n">
        <f aca="false">(1-v_off)*mid_yr</f>
        <v>0.373972602739726</v>
      </c>
      <c r="G170" s="8" t="n">
        <f aca="false">Thesis!G110-base_fy-mid_yr-v_off</f>
        <v>1.24794520547945</v>
      </c>
      <c r="H170" s="8" t="n">
        <f aca="false">Thesis!H110-base_fy-mid_yr-v_off</f>
        <v>2.24794520547945</v>
      </c>
      <c r="I170" s="8" t="n">
        <f aca="false">Thesis!I110-base_fy-mid_yr-v_off</f>
        <v>3.24794520547945</v>
      </c>
      <c r="J170" s="8" t="n">
        <f aca="false">Thesis!J110-base_fy-mid_yr-v_off</f>
        <v>4.24794520547945</v>
      </c>
      <c r="K170" s="8" t="n">
        <f aca="false">Thesis!K110-base_fy-mid_yr-v_off</f>
        <v>5.24794520547945</v>
      </c>
      <c r="L170" s="12" t="s">
        <v>1217</v>
      </c>
    </row>
    <row r="171" customFormat="false" ht="15" hidden="false" customHeight="false" outlineLevel="0" collapsed="false">
      <c r="A171" s="1" t="s">
        <v>1218</v>
      </c>
      <c r="B171" s="1" t="s">
        <v>279</v>
      </c>
      <c r="F171" s="8" t="n">
        <f aca="false">Thesis!F110-base_fy-v_off</f>
        <v>0.747945205479452</v>
      </c>
      <c r="G171" s="8" t="n">
        <f aca="false">Thesis!G110-base_fy-v_off</f>
        <v>1.74794520547945</v>
      </c>
      <c r="H171" s="8" t="n">
        <f aca="false">Thesis!H110-base_fy-v_off</f>
        <v>2.74794520547945</v>
      </c>
      <c r="I171" s="8" t="n">
        <f aca="false">Thesis!I110-base_fy-v_off</f>
        <v>3.74794520547945</v>
      </c>
      <c r="J171" s="8" t="n">
        <f aca="false">Thesis!J110-base_fy-v_off</f>
        <v>4.74794520547945</v>
      </c>
      <c r="K171" s="8" t="n">
        <f aca="false">Thesis!K110-base_fy-v_off</f>
        <v>5.74794520547945</v>
      </c>
    </row>
    <row r="172" customFormat="false" ht="15" hidden="false" customHeight="false" outlineLevel="0" collapsed="false">
      <c r="A172" s="1" t="s">
        <v>1219</v>
      </c>
      <c r="B172" s="0" t="s">
        <v>229</v>
      </c>
      <c r="F172" s="15" t="n">
        <f aca="false">1/(1+wacc)^Val!F170</f>
        <v>0.964022703286649</v>
      </c>
      <c r="G172" s="15" t="n">
        <f aca="false">1/(1+wacc)^Val!G170</f>
        <v>0.884910302296739</v>
      </c>
      <c r="H172" s="15" t="n">
        <f aca="false">1/(1+wacc)^Val!H170</f>
        <v>0.802322009770358</v>
      </c>
      <c r="I172" s="15" t="n">
        <f aca="false">1/(1+wacc)^Val!I170</f>
        <v>0.727441646561469</v>
      </c>
      <c r="J172" s="15" t="n">
        <f aca="false">1/(1+wacc)^Val!J170</f>
        <v>0.659549834988973</v>
      </c>
      <c r="K172" s="15" t="n">
        <f aca="false">1/(1+wacc)^Val!K170</f>
        <v>0.597994336576966</v>
      </c>
    </row>
    <row r="173" customFormat="false" ht="17.15" hidden="false" customHeight="false" outlineLevel="0" collapsed="false">
      <c r="A173" s="1" t="s">
        <v>1220</v>
      </c>
      <c r="B173" s="0" t="s">
        <v>98</v>
      </c>
      <c r="F173" s="6" t="n">
        <f aca="false">Q!$I$35-Q!$I$39-Q!$I$43</f>
        <v>9.666</v>
      </c>
      <c r="L173" s="12" t="s">
        <v>1221</v>
      </c>
    </row>
    <row r="174" customFormat="false" ht="17.15" hidden="false" customHeight="false" outlineLevel="0" collapsed="false">
      <c r="A174" s="1" t="s">
        <v>1222</v>
      </c>
      <c r="B174" s="0" t="s">
        <v>98</v>
      </c>
      <c r="F174" s="6" t="n">
        <f aca="false">CF!F87-CF!F84-CF!F91+Thesis!F151*(1-tax_f)*(1-v_off)-Val!F173</f>
        <v>-6.10282680452259</v>
      </c>
      <c r="G174" s="6" t="n">
        <f aca="false">CF!G87-CF!G84-CF!G91+Thesis!G151*(1-tax_f)</f>
        <v>19.0084129023516</v>
      </c>
      <c r="H174" s="6" t="n">
        <f aca="false">CF!H87-CF!H84-CF!H91+Thesis!H151*(1-tax_f)</f>
        <v>55.9229468383331</v>
      </c>
      <c r="I174" s="6" t="n">
        <f aca="false">CF!I87-CF!I84-CF!I91+Thesis!I151*(1-tax_f)</f>
        <v>127.901908576191</v>
      </c>
      <c r="J174" s="6" t="n">
        <f aca="false">CF!J87-CF!J84-CF!J91+Thesis!J151*(1-tax_f)</f>
        <v>201.958443859638</v>
      </c>
      <c r="K174" s="6" t="n">
        <f aca="false">CF!K87-CF!K84-CF!K91+Thesis!K151*(1-tax_f)</f>
        <v>237.542519059905</v>
      </c>
      <c r="L174" s="1" t="s">
        <v>1223</v>
      </c>
    </row>
    <row r="175" customFormat="false" ht="15" hidden="false" customHeight="false" outlineLevel="0" collapsed="false">
      <c r="A175" s="1" t="s">
        <v>1224</v>
      </c>
      <c r="B175" s="0" t="s">
        <v>98</v>
      </c>
      <c r="F175" s="6" t="n">
        <f aca="false">Val!F174*Val!F172</f>
        <v>-5.88326359378609</v>
      </c>
      <c r="G175" s="6" t="n">
        <f aca="false">Val!G174*Val!G172</f>
        <v>16.8207404076012</v>
      </c>
      <c r="H175" s="6" t="n">
        <f aca="false">Val!H174*Val!H172</f>
        <v>44.8682110996123</v>
      </c>
      <c r="I175" s="6" t="n">
        <f aca="false">Val!I174*Val!I172</f>
        <v>93.0411749730187</v>
      </c>
      <c r="J175" s="6" t="n">
        <f aca="false">Val!J174*Val!J172</f>
        <v>133.201658322254</v>
      </c>
      <c r="K175" s="6" t="n">
        <f aca="false">Val!K174*Val!K172</f>
        <v>142.049081094049</v>
      </c>
    </row>
    <row r="176" customFormat="false" ht="17.15" hidden="false" customHeight="false" outlineLevel="0" collapsed="false">
      <c r="A176" s="1" t="s">
        <v>1225</v>
      </c>
      <c r="B176" s="0" t="s">
        <v>98</v>
      </c>
      <c r="C176" s="6" t="n">
        <f aca="false">SUM(Val!F175:K175)</f>
        <v>424.097602302749</v>
      </c>
    </row>
    <row r="177" customFormat="false" ht="17.15" hidden="false" customHeight="false" outlineLevel="0" collapsed="false">
      <c r="A177" s="1" t="s">
        <v>1226</v>
      </c>
      <c r="B177" s="0" t="s">
        <v>98</v>
      </c>
      <c r="C177" s="6" t="n">
        <f aca="false">PL!K117*(1+g_tv)*(1-tax_f)</f>
        <v>247.098906713682</v>
      </c>
    </row>
    <row r="178" customFormat="false" ht="17.15" hidden="false" customHeight="false" outlineLevel="0" collapsed="false">
      <c r="A178" s="1" t="s">
        <v>1227</v>
      </c>
      <c r="B178" s="0" t="s">
        <v>98</v>
      </c>
      <c r="C178" s="6" t="n">
        <f aca="false">Val!$C$177*(1-g_tv/(wacc+ronic_prem))</f>
        <v>175.084017418113</v>
      </c>
    </row>
    <row r="179" customFormat="false" ht="17.15" hidden="false" customHeight="false" outlineLevel="0" collapsed="false">
      <c r="A179" s="1" t="s">
        <v>1228</v>
      </c>
      <c r="B179" s="0" t="s">
        <v>98</v>
      </c>
      <c r="C179" s="6" t="n">
        <f aca="false">Val!$C$178/(wacc-g_tv)</f>
        <v>2400.4963098523</v>
      </c>
    </row>
    <row r="180" customFormat="false" ht="15" hidden="false" customHeight="false" outlineLevel="0" collapsed="false">
      <c r="A180" s="1" t="s">
        <v>1229</v>
      </c>
      <c r="B180" s="0" t="s">
        <v>98</v>
      </c>
      <c r="C180" s="6" t="n">
        <f aca="false">Val!$C$179/(1+wacc)^Val!K171</f>
        <v>1366.85624415645</v>
      </c>
    </row>
    <row r="181" customFormat="false" ht="17.15" hidden="false" customHeight="false" outlineLevel="0" collapsed="false">
      <c r="A181" s="0" t="s">
        <v>1230</v>
      </c>
      <c r="B181" s="0" t="s">
        <v>98</v>
      </c>
      <c r="C181" s="6" t="n">
        <f aca="false">Val!$C$176+Val!$C$180</f>
        <v>1790.9538464592</v>
      </c>
    </row>
    <row r="182" customFormat="false" ht="15" hidden="false" customHeight="false" outlineLevel="0" collapsed="false">
      <c r="A182" s="1" t="s">
        <v>1145</v>
      </c>
      <c r="B182" s="0" t="s">
        <v>168</v>
      </c>
      <c r="C182" s="7" t="n">
        <f aca="false">Val!$C$180/Val!$C$181</f>
        <v>0.763200149941769</v>
      </c>
    </row>
    <row r="183" customFormat="false" ht="17.15" hidden="false" customHeight="false" outlineLevel="0" collapsed="false">
      <c r="A183" s="1" t="s">
        <v>1231</v>
      </c>
      <c r="B183" s="0" t="s">
        <v>98</v>
      </c>
      <c r="C183" s="6" t="n">
        <f aca="false">Val!$C$181+cash_val-debt_val-fl_val+oai_v</f>
        <v>1906.8048464592</v>
      </c>
    </row>
    <row r="184" customFormat="false" ht="17.15" hidden="false" customHeight="false" outlineLevel="0" collapsed="false">
      <c r="A184" s="0" t="s">
        <v>1153</v>
      </c>
      <c r="B184" s="0" t="s">
        <v>75</v>
      </c>
      <c r="C184" s="5" t="n">
        <f aca="false">Val!$C$183/shd_val</f>
        <v>256.084454265269</v>
      </c>
    </row>
    <row r="185" customFormat="false" ht="15" hidden="false" customHeight="false" outlineLevel="0" collapsed="false">
      <c r="A185" s="1" t="s">
        <v>1232</v>
      </c>
      <c r="B185" s="0" t="s">
        <v>75</v>
      </c>
      <c r="C185" s="8" t="n">
        <f aca="false">div_rem27+CF!G95*roll_div_q/q_per_yr</f>
        <v>3.9795</v>
      </c>
    </row>
    <row r="186" customFormat="false" ht="17.15" hidden="false" customHeight="false" outlineLevel="0" collapsed="false">
      <c r="A186" s="0" t="s">
        <v>1233</v>
      </c>
      <c r="B186" s="0" t="s">
        <v>75</v>
      </c>
      <c r="C186" s="5" t="n">
        <f aca="false">Val!$C$184*(1+wacc)^t_roll-Val!$C$185</f>
        <v>280.67266317972</v>
      </c>
    </row>
    <row r="187" customFormat="false" ht="17.15" hidden="false" customHeight="false" outlineLevel="0" collapsed="false">
      <c r="A187" s="1" t="s">
        <v>1234</v>
      </c>
      <c r="B187" s="0" t="s">
        <v>168</v>
      </c>
      <c r="F187" s="7" t="n">
        <f aca="false">CF!F81/(Seg!F83-Thesis!F129)</f>
        <v>0.068677393452264</v>
      </c>
      <c r="G187" s="7" t="n">
        <f aca="false">CF!G81/(Seg!G83-Thesis!G129)</f>
        <v>0.0663132664471956</v>
      </c>
      <c r="H187" s="7" t="n">
        <f aca="false">CF!H81/(Seg!H83-Thesis!H129)</f>
        <v>0.0651363826734039</v>
      </c>
      <c r="I187" s="7" t="n">
        <f aca="false">CF!I81/(Seg!I83-Thesis!I129)</f>
        <v>0.0650087936347709</v>
      </c>
      <c r="J187" s="7" t="n">
        <f aca="false">CF!J81/(Seg!J83-Thesis!J129)</f>
        <v>0.0657212684841778</v>
      </c>
      <c r="K187" s="7" t="n">
        <f aca="false">CF!K81/(Seg!K83-Thesis!K129)</f>
        <v>0.0670413306015285</v>
      </c>
    </row>
    <row r="188" customFormat="false" ht="17.15" hidden="false" customHeight="false" outlineLevel="0" collapsed="false">
      <c r="A188" s="0" t="s">
        <v>1235</v>
      </c>
      <c r="B188" s="0" t="s">
        <v>98</v>
      </c>
      <c r="F188" s="6" t="n">
        <f aca="false">Seg!F68*(al_m365+Val!F187+sbc_r)</f>
        <v>82.9185219618347</v>
      </c>
      <c r="G188" s="6" t="n">
        <f aca="false">Seg!G68*(al_m365+Val!G187+sbc_r)</f>
        <v>93.3068052157631</v>
      </c>
      <c r="H188" s="6" t="n">
        <f aca="false">Seg!H68*(al_m365+Val!H187+sbc_r)</f>
        <v>103.856057136159</v>
      </c>
      <c r="I188" s="6" t="n">
        <f aca="false">Seg!I68*(al_m365+Val!I187+sbc_r)</f>
        <v>113.889717587147</v>
      </c>
      <c r="J188" s="6" t="n">
        <f aca="false">Seg!J68*(al_m365+Val!J187+sbc_r)</f>
        <v>123.218477864124</v>
      </c>
      <c r="K188" s="6" t="n">
        <f aca="false">Seg!K68*(al_m365+Val!K187+sbc_r)</f>
        <v>132.149420086311</v>
      </c>
      <c r="L188" s="12" t="s">
        <v>1236</v>
      </c>
    </row>
    <row r="189" customFormat="false" ht="17.15" hidden="false" customHeight="false" outlineLevel="0" collapsed="false">
      <c r="A189" s="0" t="s">
        <v>1237</v>
      </c>
      <c r="B189" s="0" t="s">
        <v>98</v>
      </c>
      <c r="F189" s="6" t="n">
        <f aca="false">Seg!F69*(al_lic+Val!F187+sbc_r)</f>
        <v>32.8599853992256</v>
      </c>
      <c r="G189" s="6" t="n">
        <f aca="false">Seg!G69*(al_lic+Val!G187+sbc_r)</f>
        <v>34.1568280697879</v>
      </c>
      <c r="H189" s="6" t="n">
        <f aca="false">Seg!H69*(al_lic+Val!H187+sbc_r)</f>
        <v>35.3635535007213</v>
      </c>
      <c r="I189" s="6" t="n">
        <f aca="false">Seg!I69*(al_lic+Val!I187+sbc_r)</f>
        <v>36.4604537346553</v>
      </c>
      <c r="J189" s="6" t="n">
        <f aca="false">Seg!J69*(al_lic+Val!J187+sbc_r)</f>
        <v>37.4245888933574</v>
      </c>
      <c r="K189" s="6" t="n">
        <f aca="false">Seg!K69*(al_lic+Val!K187+sbc_r)</f>
        <v>38.2321483186439</v>
      </c>
    </row>
    <row r="190" customFormat="false" ht="17.15" hidden="false" customHeight="false" outlineLevel="0" collapsed="false">
      <c r="A190" s="0" t="s">
        <v>1238</v>
      </c>
      <c r="B190" s="0" t="s">
        <v>98</v>
      </c>
      <c r="F190" s="6" t="n">
        <f aca="false">Seg!F71*(al_ind+Val!F187+sbc_r)</f>
        <v>9.06170747885803</v>
      </c>
      <c r="G190" s="6" t="n">
        <f aca="false">Seg!G71*(al_ind+Val!G187+sbc_r)</f>
        <v>9.8478979082138</v>
      </c>
      <c r="H190" s="6" t="n">
        <f aca="false">Seg!H71*(al_ind+Val!H187+sbc_r)</f>
        <v>10.6768254332059</v>
      </c>
      <c r="I190" s="6" t="n">
        <f aca="false">Seg!I71*(al_ind+Val!I187+sbc_r)</f>
        <v>11.54398793803</v>
      </c>
      <c r="J190" s="6" t="n">
        <f aca="false">Seg!J71*(al_ind+Val!J187+sbc_r)</f>
        <v>12.4407914253112</v>
      </c>
      <c r="K190" s="6" t="n">
        <f aca="false">Seg!K71*(al_ind+Val!K187+sbc_r)</f>
        <v>13.355239066864</v>
      </c>
    </row>
    <row r="191" customFormat="false" ht="17.15" hidden="false" customHeight="false" outlineLevel="0" collapsed="false">
      <c r="A191" s="0" t="s">
        <v>1239</v>
      </c>
      <c r="B191" s="0" t="s">
        <v>98</v>
      </c>
      <c r="F191" s="6" t="n">
        <f aca="false">Seg!F73*(al_fro+Val!F187+sbc_r)</f>
        <v>3.55453569939552</v>
      </c>
      <c r="G191" s="6" t="n">
        <f aca="false">Seg!G73*(al_fro+Val!G187+sbc_r)</f>
        <v>3.76809436159872</v>
      </c>
      <c r="H191" s="6" t="n">
        <f aca="false">Seg!H73*(al_fro+Val!H187+sbc_r)</f>
        <v>4.00964905674607</v>
      </c>
      <c r="I191" s="6" t="n">
        <f aca="false">Seg!I73*(al_fro+Val!I187+sbc_r)</f>
        <v>4.28152633145235</v>
      </c>
      <c r="J191" s="6" t="n">
        <f aca="false">Seg!J73*(al_fro+Val!J187+sbc_r)</f>
        <v>4.58536512975975</v>
      </c>
      <c r="K191" s="6" t="n">
        <f aca="false">Seg!K73*(al_fro+Val!K187+sbc_r)</f>
        <v>4.92240770086468</v>
      </c>
    </row>
    <row r="192" customFormat="false" ht="17.15" hidden="false" customHeight="false" outlineLevel="0" collapsed="false">
      <c r="A192" s="0" t="s">
        <v>1240</v>
      </c>
      <c r="B192" s="0" t="s">
        <v>98</v>
      </c>
      <c r="F192" s="6" t="n">
        <f aca="false">Seg!F76*(al_srch+Val!F187+sbc_r)</f>
        <v>11.190683952584</v>
      </c>
      <c r="G192" s="6" t="n">
        <f aca="false">Seg!G76*(al_srch+Val!G187+sbc_r)</f>
        <v>12.2763328717258</v>
      </c>
      <c r="H192" s="6" t="n">
        <f aca="false">Seg!H76*(al_srch+Val!H187+sbc_r)</f>
        <v>13.4043563346576</v>
      </c>
      <c r="I192" s="6" t="n">
        <f aca="false">Seg!I76*(al_srch+Val!I187+sbc_r)</f>
        <v>14.5621512181916</v>
      </c>
      <c r="J192" s="6" t="n">
        <f aca="false">Seg!J76*(al_srch+Val!J187+sbc_r)</f>
        <v>15.7310381862385</v>
      </c>
      <c r="K192" s="6" t="n">
        <f aca="false">Seg!K76*(al_srch+Val!K187+sbc_r)</f>
        <v>16.8873320486462</v>
      </c>
    </row>
    <row r="193" customFormat="false" ht="17.15" hidden="false" customHeight="false" outlineLevel="0" collapsed="false">
      <c r="A193" s="0" t="s">
        <v>1241</v>
      </c>
      <c r="B193" s="0" t="s">
        <v>98</v>
      </c>
      <c r="F193" s="6" t="n">
        <f aca="false">Thesis!F135-Thesis!F136+Thesis!F151</f>
        <v>38.9696429794913</v>
      </c>
      <c r="G193" s="6" t="n">
        <f aca="false">Thesis!G135-Thesis!G136+Thesis!G151</f>
        <v>69.465497726016</v>
      </c>
      <c r="H193" s="6" t="n">
        <f aca="false">Thesis!H135-Thesis!H136+Thesis!H151</f>
        <v>96.8147106808268</v>
      </c>
      <c r="I193" s="6" t="n">
        <f aca="false">Thesis!I135-Thesis!I136+Thesis!I151</f>
        <v>127.654939766446</v>
      </c>
      <c r="J193" s="6" t="n">
        <f aca="false">Thesis!J135-Thesis!J136+Thesis!J151</f>
        <v>149.308352681229</v>
      </c>
      <c r="K193" s="6" t="n">
        <f aca="false">Thesis!K135-Thesis!K136+Thesis!K151</f>
        <v>162.731822021841</v>
      </c>
    </row>
    <row r="194" customFormat="false" ht="17.15" hidden="false" customHeight="false" outlineLevel="0" collapsed="false">
      <c r="A194" s="0" t="s">
        <v>1242</v>
      </c>
      <c r="B194" s="0" t="s">
        <v>98</v>
      </c>
      <c r="F194" s="6" t="n">
        <f aca="false">PL!F110+Thesis!F151+Thesis!F147+Val!F187*(Seg!F75-Thesis!F129)+sbc_r*Seg!F75</f>
        <v>234.79972328186</v>
      </c>
      <c r="G194" s="6" t="n">
        <f aca="false">PL!G110+Thesis!G151+Thesis!G147+Val!G187*(Seg!G75-Thesis!G129)+sbc_r*Seg!G75</f>
        <v>285.499052659517</v>
      </c>
      <c r="H194" s="6" t="n">
        <f aca="false">PL!H110+Thesis!H151+Thesis!H147+Val!H187*(Seg!H75-Thesis!H129)+sbc_r*Seg!H75</f>
        <v>338.258569294547</v>
      </c>
      <c r="I194" s="6" t="n">
        <f aca="false">PL!I110+Thesis!I151+Thesis!I147+Val!I187*(Seg!I75-Thesis!I129)+sbc_r*Seg!I75</f>
        <v>393.887902526982</v>
      </c>
      <c r="J194" s="6" t="n">
        <f aca="false">PL!J110+Thesis!J151+Thesis!J147+Val!J187*(Seg!J75-Thesis!J129)+sbc_r*Seg!J75</f>
        <v>438.406631506078</v>
      </c>
      <c r="K194" s="6" t="n">
        <f aca="false">PL!K110+Thesis!K151+Thesis!K147+Val!K187*(Seg!K75-Thesis!K129)+sbc_r*Seg!K75</f>
        <v>472.352875745143</v>
      </c>
    </row>
    <row r="195" customFormat="false" ht="17.15" hidden="false" customHeight="false" outlineLevel="0" collapsed="false">
      <c r="A195" s="0" t="s">
        <v>1243</v>
      </c>
      <c r="B195" s="0" t="s">
        <v>98</v>
      </c>
      <c r="F195" s="6" t="n">
        <f aca="false">Val!F194-Val!F188-Val!F189-Val!F190-Val!F191-Val!F193</f>
        <v>67.4353297630543</v>
      </c>
      <c r="G195" s="6" t="n">
        <f aca="false">Val!G194-Val!G188-Val!G189-Val!G190-Val!G191-Val!G193</f>
        <v>74.9539293781376</v>
      </c>
      <c r="H195" s="6" t="n">
        <f aca="false">Val!H194-Val!H188-Val!H189-Val!H190-Val!H191-Val!H193</f>
        <v>87.537773486888</v>
      </c>
      <c r="I195" s="6" t="n">
        <f aca="false">Val!I194-Val!I188-Val!I189-Val!I190-Val!I191-Val!I193</f>
        <v>100.057277169252</v>
      </c>
      <c r="J195" s="6" t="n">
        <f aca="false">Val!J194-Val!J188-Val!J189-Val!J190-Val!J191-Val!J193</f>
        <v>111.429055512297</v>
      </c>
      <c r="K195" s="6" t="n">
        <f aca="false">Val!K194-Val!K188-Val!K189-Val!K190-Val!K191-Val!K193</f>
        <v>120.961838550618</v>
      </c>
    </row>
    <row r="196" customFormat="false" ht="17.15" hidden="false" customHeight="false" outlineLevel="0" collapsed="false">
      <c r="A196" s="0" t="s">
        <v>1244</v>
      </c>
      <c r="B196" s="0" t="s">
        <v>98</v>
      </c>
      <c r="F196" s="6" t="n">
        <f aca="false">PL!F112+Val!F187*Seg!F82+sbc_r*Seg!F82</f>
        <v>26.6373549789235</v>
      </c>
      <c r="G196" s="6" t="n">
        <f aca="false">PL!G112+Val!G187*Seg!G82+sbc_r*Seg!G82</f>
        <v>26.5038922765853</v>
      </c>
      <c r="H196" s="6" t="n">
        <f aca="false">PL!H112+Val!H187*Seg!H82+sbc_r*Seg!H82</f>
        <v>27.3981100014792</v>
      </c>
      <c r="I196" s="6" t="n">
        <f aca="false">PL!I112+Val!I187*Seg!I82+sbc_r*Seg!I82</f>
        <v>28.5176442589239</v>
      </c>
      <c r="J196" s="6" t="n">
        <f aca="false">PL!J112+Val!J187*Seg!J82+sbc_r*Seg!J82</f>
        <v>29.8313998963726</v>
      </c>
      <c r="K196" s="6" t="n">
        <f aca="false">PL!K112+Val!K187*Seg!K82+sbc_r*Seg!K82</f>
        <v>31.3103466222307</v>
      </c>
    </row>
    <row r="197" customFormat="false" ht="17.15" hidden="false" customHeight="false" outlineLevel="0" collapsed="false">
      <c r="A197" s="0" t="s">
        <v>1245</v>
      </c>
      <c r="B197" s="0" t="s">
        <v>98</v>
      </c>
      <c r="F197" s="6" t="n">
        <f aca="false">(Val!F196-Val!F192)*Seg!F78/(Seg!F78+Seg!F80)</f>
        <v>8.72405610479892</v>
      </c>
      <c r="G197" s="6" t="n">
        <f aca="false">(Val!G196-Val!G192)*Seg!G78/(Seg!G78+Seg!G80)</f>
        <v>7.897418765869</v>
      </c>
      <c r="H197" s="6" t="n">
        <f aca="false">(Val!H196-Val!H192)*Seg!H78/(Seg!H78+Seg!H80)</f>
        <v>7.66644879573063</v>
      </c>
      <c r="I197" s="6" t="n">
        <f aca="false">(Val!I196-Val!I192)*Seg!I78/(Seg!I78+Seg!I80)</f>
        <v>7.5787545031814</v>
      </c>
      <c r="J197" s="6" t="n">
        <f aca="false">(Val!J196-Val!J192)*Seg!J78/(Seg!J78+Seg!J80)</f>
        <v>7.62401876450459</v>
      </c>
      <c r="K197" s="6" t="n">
        <f aca="false">(Val!K196-Val!K192)*Seg!K78/(Seg!K78+Seg!K80)</f>
        <v>7.79847609658838</v>
      </c>
    </row>
    <row r="198" customFormat="false" ht="17.15" hidden="false" customHeight="false" outlineLevel="0" collapsed="false">
      <c r="A198" s="0" t="s">
        <v>1246</v>
      </c>
      <c r="B198" s="0" t="s">
        <v>98</v>
      </c>
      <c r="F198" s="6" t="n">
        <f aca="false">Val!F196-Val!F192-Val!F197</f>
        <v>6.72261492154066</v>
      </c>
      <c r="G198" s="6" t="n">
        <f aca="false">Val!G196-Val!G192-Val!G197</f>
        <v>6.33014063899044</v>
      </c>
      <c r="H198" s="6" t="n">
        <f aca="false">Val!H196-Val!H192-Val!H197</f>
        <v>6.32730487109095</v>
      </c>
      <c r="I198" s="6" t="n">
        <f aca="false">Val!I196-Val!I192-Val!I197</f>
        <v>6.37673853755084</v>
      </c>
      <c r="J198" s="6" t="n">
        <f aca="false">Val!J196-Val!J192-Val!J197</f>
        <v>6.47634294562954</v>
      </c>
      <c r="K198" s="6" t="n">
        <f aca="false">Val!K196-Val!K192-Val!K197</f>
        <v>6.62453847699607</v>
      </c>
    </row>
    <row r="199" customFormat="false" ht="17.15" hidden="false" customHeight="false" outlineLevel="0" collapsed="false">
      <c r="A199" s="0" t="s">
        <v>1247</v>
      </c>
      <c r="B199" s="0" t="s">
        <v>98</v>
      </c>
      <c r="F199" s="6" t="n">
        <f aca="false">Val!F193-tax_f*(Val!F193-Thesis!F147)-Thesis!F144</f>
        <v>-130.362326762856</v>
      </c>
      <c r="G199" s="6" t="n">
        <f aca="false">Val!G193-tax_f*(Val!G193-Thesis!G147)-Thesis!G144</f>
        <v>-124.225179337776</v>
      </c>
      <c r="H199" s="6" t="n">
        <f aca="false">Val!H193-tax_f*(Val!H193-Thesis!H147)-Thesis!H144</f>
        <v>-101.534217387562</v>
      </c>
      <c r="I199" s="6" t="n">
        <f aca="false">Val!I193-tax_f*(Val!I193-Thesis!I147)-Thesis!I144</f>
        <v>-43.6446798695439</v>
      </c>
      <c r="J199" s="6" t="n">
        <f aca="false">Val!J193-tax_f*(Val!J193-Thesis!J147)-Thesis!J144</f>
        <v>16.9198855589618</v>
      </c>
      <c r="K199" s="6" t="n">
        <f aca="false">Val!K193-tax_f*(Val!K193-Thesis!K147)-Thesis!K144</f>
        <v>39.8251384629271</v>
      </c>
    </row>
    <row r="200" customFormat="false" ht="17.15" hidden="false" customHeight="false" outlineLevel="0" collapsed="false">
      <c r="A200" s="0" t="s">
        <v>1248</v>
      </c>
      <c r="B200" s="0" t="s">
        <v>98</v>
      </c>
      <c r="G200" s="6" t="n">
        <f aca="false">Val!G199/(1+wacc)^(Val!G170-Val!F171)</f>
        <v>-118.286276192192</v>
      </c>
      <c r="H200" s="6" t="n">
        <f aca="false">Val!H199/(1+wacc)^(Val!H170-Val!F171)</f>
        <v>-87.6570009910427</v>
      </c>
      <c r="I200" s="6" t="n">
        <f aca="false">Val!I199/(1+wacc)^(Val!I170-Val!F171)</f>
        <v>-34.1629172979204</v>
      </c>
      <c r="J200" s="6" t="n">
        <f aca="false">Val!J199/(1+wacc)^(Val!J170-Val!F171)</f>
        <v>12.0079954170053</v>
      </c>
      <c r="K200" s="6" t="n">
        <f aca="false">Val!K199/(1+wacc)^(Val!K170-Val!F171)</f>
        <v>25.6259421582556</v>
      </c>
      <c r="L200" s="1" t="s">
        <v>1249</v>
      </c>
    </row>
    <row r="201" customFormat="false" ht="17.15" hidden="false" customHeight="false" outlineLevel="0" collapsed="false">
      <c r="A201" s="0" t="s">
        <v>1250</v>
      </c>
      <c r="B201" s="0" t="s">
        <v>98</v>
      </c>
      <c r="C201" s="6" t="n">
        <f aca="false">(Val!K193-Thesis!K147)*(1-tax_f)*(1+g_tv)*(1-g_tv/(wacc+ronic_prem))/(wacc-g_tv)/(1+wacc)^(Val!K171-Val!F171)</f>
        <v>96.7148026864948</v>
      </c>
    </row>
    <row r="202" customFormat="false" ht="17.15" hidden="false" customHeight="false" outlineLevel="0" collapsed="false">
      <c r="A202" s="1" t="s">
        <v>1251</v>
      </c>
      <c r="B202" s="0" t="s">
        <v>98</v>
      </c>
      <c r="C202" s="6" t="n">
        <f aca="false">(SUM(Val!G200:K200)+Val!$C$201)*(1+wacc)^(t_roll-Val!F171)</f>
        <v>-109.248827617462</v>
      </c>
      <c r="L202" s="12" t="s">
        <v>1252</v>
      </c>
    </row>
    <row r="203" customFormat="false" ht="17.15" hidden="false" customHeight="false" outlineLevel="0" collapsed="false">
      <c r="A203" s="1" t="s">
        <v>1253</v>
      </c>
      <c r="B203" s="0" t="s">
        <v>98</v>
      </c>
      <c r="C203" s="6" t="n">
        <f aca="false">(w_ntm28*Thesis!G135+(1-w_ntm28)*Thesis!H135)*m_ai</f>
        <v>344.355829012336</v>
      </c>
    </row>
    <row r="204" customFormat="false" ht="17.15" hidden="false" customHeight="false" outlineLevel="0" collapsed="false">
      <c r="A204" s="1" t="s">
        <v>1254</v>
      </c>
      <c r="B204" s="0" t="s">
        <v>98</v>
      </c>
      <c r="C204" s="6" t="n">
        <f aca="false">(w_ntm28*Val!G195+(1-w_ntm28)*Val!H195)*m_cloud</f>
        <v>1093.03877543039</v>
      </c>
    </row>
    <row r="205" customFormat="false" ht="17.15" hidden="false" customHeight="false" outlineLevel="0" collapsed="false">
      <c r="A205" s="1" t="s">
        <v>1255</v>
      </c>
      <c r="B205" s="0" t="s">
        <v>98</v>
      </c>
      <c r="C205" s="6" t="n">
        <f aca="false">(w_ntm28*Val!G188+(1-w_ntm28)*Val!H188)*m_sw</f>
        <v>1045.17056616266</v>
      </c>
    </row>
    <row r="206" customFormat="false" ht="17.15" hidden="false" customHeight="false" outlineLevel="0" collapsed="false">
      <c r="A206" s="1" t="s">
        <v>1256</v>
      </c>
      <c r="B206" s="0" t="s">
        <v>98</v>
      </c>
      <c r="C206" s="6" t="n">
        <f aca="false">(w_ntm28*Val!G189+(1-w_ntm28)*Val!H189)*m_sw</f>
        <v>373.178444957791</v>
      </c>
    </row>
    <row r="207" customFormat="false" ht="17.15" hidden="false" customHeight="false" outlineLevel="0" collapsed="false">
      <c r="A207" s="1" t="s">
        <v>1257</v>
      </c>
      <c r="B207" s="0" t="s">
        <v>98</v>
      </c>
      <c r="C207" s="6" t="n">
        <f aca="false">(w_ntm28*Val!G190+(1-w_ntm28)*Val!H190)*m_sw</f>
        <v>109.30055788101</v>
      </c>
    </row>
    <row r="208" customFormat="false" ht="17.15" hidden="false" customHeight="false" outlineLevel="0" collapsed="false">
      <c r="A208" s="1" t="s">
        <v>1258</v>
      </c>
      <c r="B208" s="0" t="s">
        <v>98</v>
      </c>
      <c r="C208" s="6" t="n">
        <f aca="false">(w_ntm28*Val!G191+(1-w_ntm28)*Val!H191)*m_sw</f>
        <v>41.5531037214606</v>
      </c>
    </row>
    <row r="209" customFormat="false" ht="17.15" hidden="false" customHeight="false" outlineLevel="0" collapsed="false">
      <c r="A209" s="1" t="s">
        <v>1259</v>
      </c>
      <c r="B209" s="0" t="s">
        <v>98</v>
      </c>
      <c r="C209" s="6" t="n">
        <f aca="false">(w_ntm28*Val!G192+(1-w_ntm28)*Val!H192)*m_ads</f>
        <v>115.215899994784</v>
      </c>
    </row>
    <row r="210" customFormat="false" ht="17.15" hidden="false" customHeight="false" outlineLevel="0" collapsed="false">
      <c r="A210" s="1" t="s">
        <v>1260</v>
      </c>
      <c r="B210" s="0" t="s">
        <v>98</v>
      </c>
      <c r="C210" s="6" t="n">
        <f aca="false">(w_ntm28*Val!G197+(1-w_ntm28)*Val!H197)*m_game</f>
        <v>98.7853357615783</v>
      </c>
    </row>
    <row r="211" customFormat="false" ht="17.15" hidden="false" customHeight="false" outlineLevel="0" collapsed="false">
      <c r="A211" s="1" t="s">
        <v>1261</v>
      </c>
      <c r="B211" s="0" t="s">
        <v>98</v>
      </c>
      <c r="C211" s="6" t="n">
        <f aca="false">(w_ntm28*Val!G198+(1-w_ntm28)*Val!H198)*m_pc</f>
        <v>91.5836445602173</v>
      </c>
    </row>
    <row r="212" customFormat="false" ht="17.15" hidden="false" customHeight="false" outlineLevel="0" collapsed="false">
      <c r="A212" s="1" t="s">
        <v>1262</v>
      </c>
      <c r="B212" s="0" t="s">
        <v>98</v>
      </c>
      <c r="C212" s="6" t="n">
        <f aca="false">Val!$C$202+Val!$C$204+Val!$C$205+Val!$C$206+Val!$C$207+Val!$C$208+Val!$C$209+Val!$C$210+Val!$C$211</f>
        <v>2858.57750085243</v>
      </c>
    </row>
    <row r="213" customFormat="false" ht="17.15" hidden="false" customHeight="false" outlineLevel="0" collapsed="false">
      <c r="A213" s="1" t="s">
        <v>1263</v>
      </c>
      <c r="B213" s="0" t="s">
        <v>98</v>
      </c>
      <c r="C213" s="6" t="n">
        <f aca="false">(Val!G174-Val!G199)*t_stub</f>
        <v>47.4829168796038</v>
      </c>
      <c r="L213" s="1" t="s">
        <v>1264</v>
      </c>
    </row>
    <row r="214" customFormat="false" ht="17.15" hidden="false" customHeight="false" outlineLevel="0" collapsed="false">
      <c r="A214" s="1" t="s">
        <v>1173</v>
      </c>
      <c r="B214" s="0" t="s">
        <v>98</v>
      </c>
      <c r="C214" s="6" t="n">
        <f aca="false">CF!F103+oai_v-CF!F92+Val!$C$213</f>
        <v>158.55427008544</v>
      </c>
      <c r="L214" s="1" t="s">
        <v>1265</v>
      </c>
    </row>
    <row r="215" customFormat="false" ht="17.15" hidden="false" customHeight="false" outlineLevel="0" collapsed="false">
      <c r="A215" s="1" t="s">
        <v>1266</v>
      </c>
      <c r="B215" s="0" t="s">
        <v>75</v>
      </c>
      <c r="C215" s="5" t="n">
        <f aca="false">(Val!$C$212+Val!$C$214)/(CF!F105+dil_gap)-CF!G95*roll_div_q/q_per_yr</f>
        <v>401.459402206225</v>
      </c>
      <c r="L215" s="1" t="s">
        <v>1267</v>
      </c>
    </row>
    <row r="216" customFormat="false" ht="17.15" hidden="false" customHeight="false" outlineLevel="0" collapsed="false">
      <c r="A216" s="1" t="s">
        <v>1268</v>
      </c>
      <c r="B216" s="0" t="s">
        <v>75</v>
      </c>
      <c r="C216" s="5" t="n">
        <f aca="false">w_dcf*Val!$C$186+(1-w_dcf)*Val!$C$215</f>
        <v>341.066032692973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5" min="2" style="0" width="13"/>
    <col collapsed="false" customWidth="true" hidden="false" outlineLevel="0" max="6" min="6" style="0" width="80"/>
  </cols>
  <sheetData>
    <row r="1" customFormat="false" ht="17.15" hidden="false" customHeight="false" outlineLevel="0" collapsed="false">
      <c r="A1" s="0" t="s">
        <v>1271</v>
      </c>
    </row>
    <row r="3" customFormat="false" ht="17.15" hidden="false" customHeight="false" outlineLevel="0" collapsed="false">
      <c r="A3" s="4" t="s">
        <v>43</v>
      </c>
      <c r="B3" s="4" t="s">
        <v>1272</v>
      </c>
      <c r="C3" s="4" t="s">
        <v>1273</v>
      </c>
      <c r="D3" s="4" t="s">
        <v>1274</v>
      </c>
      <c r="E3" s="4" t="s">
        <v>1275</v>
      </c>
      <c r="F3" s="4" t="s">
        <v>47</v>
      </c>
    </row>
    <row r="4" customFormat="false" ht="17.15" hidden="false" customHeight="false" outlineLevel="0" collapsed="false">
      <c r="A4" s="10" t="s">
        <v>1276</v>
      </c>
    </row>
    <row r="5" customFormat="false" ht="17.15" hidden="false" customHeight="false" outlineLevel="0" collapsed="false">
      <c r="A5" s="1" t="s">
        <v>1277</v>
      </c>
      <c r="B5" s="8" t="n">
        <f aca="false">Val!$B$36</f>
        <v>384.104559856734</v>
      </c>
      <c r="C5" s="8" t="n">
        <f aca="false">cons_tp</f>
        <v>605.12</v>
      </c>
      <c r="D5" s="8" t="n">
        <f aca="false">B5-C5</f>
        <v>-221.015440143266</v>
      </c>
      <c r="E5" s="38" t="n">
        <f aca="false">B5/C5-1</f>
        <v>-0.365242332336174</v>
      </c>
      <c r="F5" s="1" t="s">
        <v>1278</v>
      </c>
    </row>
    <row r="6" customFormat="false" ht="17.15" hidden="false" customHeight="false" outlineLevel="0" collapsed="false">
      <c r="A6" s="1" t="s">
        <v>1279</v>
      </c>
      <c r="B6" s="8" t="n">
        <f aca="false">Val!$B$36</f>
        <v>384.104559856734</v>
      </c>
      <c r="C6" s="8" t="n">
        <f aca="false">cons_tp_mb</f>
        <v>596.07</v>
      </c>
      <c r="D6" s="8" t="n">
        <f aca="false">B6-C6</f>
        <v>-211.965440143266</v>
      </c>
      <c r="E6" s="38" t="n">
        <f aca="false">B6/C6-1</f>
        <v>-0.355604945968202</v>
      </c>
      <c r="F6" s="1" t="s">
        <v>1280</v>
      </c>
    </row>
    <row r="7" customFormat="false" ht="17.15" hidden="false" customHeight="false" outlineLevel="0" collapsed="false">
      <c r="A7" s="1" t="s">
        <v>1281</v>
      </c>
      <c r="B7" s="6" t="n">
        <f aca="false">Seg!F56</f>
        <v>399.050611009588</v>
      </c>
      <c r="C7" s="6" t="n">
        <f aca="false">cons_rev27</f>
        <v>391.58</v>
      </c>
      <c r="D7" s="6" t="n">
        <f aca="false">B7-C7</f>
        <v>7.47061100958757</v>
      </c>
      <c r="E7" s="38" t="n">
        <f aca="false">B7/C7-1</f>
        <v>0.0190781219918983</v>
      </c>
      <c r="F7" s="1" t="s">
        <v>1282</v>
      </c>
    </row>
    <row r="8" customFormat="false" ht="17.15" hidden="false" customHeight="false" outlineLevel="0" collapsed="false">
      <c r="A8" s="1" t="s">
        <v>1283</v>
      </c>
      <c r="B8" s="6" t="n">
        <f aca="false">Seg!G56</f>
        <v>476.478106880219</v>
      </c>
      <c r="C8" s="6" t="n">
        <f aca="false">cons_rev28</f>
        <v>467.955</v>
      </c>
      <c r="D8" s="6" t="n">
        <f aca="false">B8-C8</f>
        <v>8.52310688021913</v>
      </c>
      <c r="E8" s="38" t="n">
        <f aca="false">B8/C8-1</f>
        <v>0.018213518137896</v>
      </c>
      <c r="F8" s="12" t="s">
        <v>87</v>
      </c>
    </row>
    <row r="9" customFormat="false" ht="17.15" hidden="false" customHeight="false" outlineLevel="0" collapsed="false">
      <c r="A9" s="1" t="s">
        <v>1284</v>
      </c>
      <c r="B9" s="6" t="n">
        <f aca="false">Seg!H56</f>
        <v>555.72683159012</v>
      </c>
      <c r="C9" s="6" t="n">
        <f aca="false">cons_rev29</f>
        <v>569.502</v>
      </c>
      <c r="D9" s="6" t="n">
        <f aca="false">B9-C9</f>
        <v>-13.7751684098804</v>
      </c>
      <c r="E9" s="38" t="n">
        <f aca="false">B9/C9-1</f>
        <v>-0.0241880948791758</v>
      </c>
      <c r="F9" s="12" t="s">
        <v>87</v>
      </c>
    </row>
    <row r="10" customFormat="false" ht="17.15" hidden="false" customHeight="false" outlineLevel="0" collapsed="false">
      <c r="A10" s="1" t="s">
        <v>1285</v>
      </c>
      <c r="B10" s="6" t="n">
        <f aca="false">PL!F74</f>
        <v>181.907318708743</v>
      </c>
      <c r="C10" s="6" t="n">
        <f aca="false">cons_ebit27</f>
        <v>182.305</v>
      </c>
      <c r="D10" s="6" t="n">
        <f aca="false">B10-C10</f>
        <v>-0.397681291257015</v>
      </c>
      <c r="E10" s="38" t="n">
        <f aca="false">B10/C10-1</f>
        <v>-0.00218140638631426</v>
      </c>
      <c r="F10" s="1" t="s">
        <v>1286</v>
      </c>
    </row>
    <row r="11" customFormat="false" ht="17.15" hidden="false" customHeight="false" outlineLevel="0" collapsed="false">
      <c r="A11" s="1" t="s">
        <v>1287</v>
      </c>
      <c r="B11" s="6" t="n">
        <f aca="false">PL!G74</f>
        <v>197.200283175776</v>
      </c>
      <c r="C11" s="6" t="n">
        <f aca="false">cons_ebit28</f>
        <v>217.245</v>
      </c>
      <c r="D11" s="6" t="n">
        <f aca="false">B11-C11</f>
        <v>-20.0447168242244</v>
      </c>
      <c r="E11" s="38" t="n">
        <f aca="false">B11/C11-1</f>
        <v>-0.0922677936165363</v>
      </c>
      <c r="F11" s="1" t="s">
        <v>1288</v>
      </c>
    </row>
    <row r="12" customFormat="false" ht="17.15" hidden="false" customHeight="false" outlineLevel="0" collapsed="false">
      <c r="A12" s="1" t="s">
        <v>1289</v>
      </c>
      <c r="B12" s="6" t="n">
        <f aca="false">PL!H74</f>
        <v>217.117310300706</v>
      </c>
      <c r="C12" s="6" t="n">
        <f aca="false">cons_ebit29</f>
        <v>262.608</v>
      </c>
      <c r="D12" s="6" t="n">
        <f aca="false">B12-C12</f>
        <v>-45.4906896992945</v>
      </c>
      <c r="E12" s="38" t="n">
        <f aca="false">B12/C12-1</f>
        <v>-0.173226595150546</v>
      </c>
      <c r="F12" s="1" t="s">
        <v>1288</v>
      </c>
    </row>
    <row r="13" customFormat="false" ht="17.15" hidden="false" customHeight="false" outlineLevel="0" collapsed="false">
      <c r="A13" s="0" t="s">
        <v>1290</v>
      </c>
      <c r="B13" s="8" t="n">
        <f aca="false">PL!F86</f>
        <v>19.3627626247216</v>
      </c>
      <c r="C13" s="8" t="n">
        <f aca="false">cons_eps27</f>
        <v>19.76</v>
      </c>
      <c r="D13" s="8" t="n">
        <f aca="false">B13-C13</f>
        <v>-0.397237375278412</v>
      </c>
      <c r="E13" s="38" t="n">
        <f aca="false">B13/C13-1</f>
        <v>-0.0201031060363569</v>
      </c>
      <c r="F13" s="1" t="s">
        <v>1291</v>
      </c>
    </row>
    <row r="14" customFormat="false" ht="17.15" hidden="false" customHeight="false" outlineLevel="0" collapsed="false">
      <c r="A14" s="0" t="s">
        <v>1292</v>
      </c>
      <c r="B14" s="8" t="n">
        <f aca="false">PL!G86</f>
        <v>20.8566153785765</v>
      </c>
      <c r="C14" s="8" t="n">
        <f aca="false">cons_eps28</f>
        <v>23.6</v>
      </c>
      <c r="D14" s="8" t="n">
        <f aca="false">B14-C14</f>
        <v>-2.74338462142348</v>
      </c>
      <c r="E14" s="38" t="n">
        <f aca="false">B14/C14-1</f>
        <v>-0.116245111077266</v>
      </c>
      <c r="F14" s="12" t="s">
        <v>87</v>
      </c>
    </row>
    <row r="15" customFormat="false" ht="15" hidden="false" customHeight="false" outlineLevel="0" collapsed="false">
      <c r="A15" s="0" t="s">
        <v>1293</v>
      </c>
      <c r="B15" s="8" t="n">
        <f aca="false">PL!H86</f>
        <v>22.8916652882548</v>
      </c>
      <c r="C15" s="8" t="n">
        <f aca="false">cons_eps29</f>
        <v>29.03</v>
      </c>
      <c r="D15" s="8" t="n">
        <f aca="false">B15-C15</f>
        <v>-6.13833471174517</v>
      </c>
      <c r="E15" s="38" t="n">
        <f aca="false">B15/C15-1</f>
        <v>-0.211447974913716</v>
      </c>
      <c r="F15" s="12" t="s">
        <v>87</v>
      </c>
    </row>
    <row r="16" customFormat="false" ht="17.15" hidden="false" customHeight="false" outlineLevel="0" collapsed="false">
      <c r="A16" s="1" t="s">
        <v>1294</v>
      </c>
      <c r="B16" s="6" t="n">
        <f aca="false">CF!F59</f>
        <v>204.2</v>
      </c>
      <c r="C16" s="6" t="n">
        <f aca="false">cons_cx27</f>
        <v>192.827</v>
      </c>
      <c r="D16" s="6" t="n">
        <f aca="false">B16-C16</f>
        <v>11.373</v>
      </c>
      <c r="E16" s="38" t="n">
        <f aca="false">B16/C16-1</f>
        <v>0.058980329518169</v>
      </c>
      <c r="F16" s="1" t="s">
        <v>1295</v>
      </c>
    </row>
    <row r="17" customFormat="false" ht="17.15" hidden="false" customHeight="false" outlineLevel="0" collapsed="false">
      <c r="A17" s="1" t="s">
        <v>1296</v>
      </c>
      <c r="B17" s="6" t="n">
        <f aca="false">CF!G59</f>
        <v>233.304883103296</v>
      </c>
      <c r="C17" s="6" t="n">
        <f aca="false">cons_cx28</f>
        <v>216.787</v>
      </c>
      <c r="D17" s="6" t="n">
        <f aca="false">B17-C17</f>
        <v>16.5178831032961</v>
      </c>
      <c r="E17" s="38" t="n">
        <f aca="false">B17/C17-1</f>
        <v>0.0761940665413337</v>
      </c>
      <c r="F17" s="1" t="s">
        <v>1297</v>
      </c>
    </row>
    <row r="18" customFormat="false" ht="17.15" hidden="false" customHeight="false" outlineLevel="0" collapsed="false">
      <c r="A18" s="1" t="s">
        <v>1298</v>
      </c>
      <c r="B18" s="6" t="n">
        <f aca="false">CF!H59</f>
        <v>243.866549033074</v>
      </c>
      <c r="C18" s="6" t="n">
        <f aca="false">cons_cx29</f>
        <v>251.173</v>
      </c>
      <c r="D18" s="6" t="n">
        <f aca="false">B18-C18</f>
        <v>-7.30645096692621</v>
      </c>
      <c r="E18" s="38" t="n">
        <f aca="false">B18/C18-1</f>
        <v>-0.0290893167933106</v>
      </c>
      <c r="F18" s="1" t="s">
        <v>1297</v>
      </c>
    </row>
    <row r="19" customFormat="false" ht="17.15" hidden="false" customHeight="false" outlineLevel="0" collapsed="false">
      <c r="A19" s="10" t="s">
        <v>1299</v>
      </c>
    </row>
    <row r="20" customFormat="false" ht="17.15" hidden="false" customHeight="false" outlineLevel="0" collapsed="false">
      <c r="A20" s="0" t="s">
        <v>1300</v>
      </c>
      <c r="B20" s="6" t="n">
        <f aca="false">Q!$I$18</f>
        <v>92.279</v>
      </c>
      <c r="C20" s="6" t="n">
        <f aca="false">g_q1_rev</f>
        <v>90.4</v>
      </c>
      <c r="D20" s="6" t="n">
        <f aca="false">B20-C20</f>
        <v>1.87899999999999</v>
      </c>
      <c r="E20" s="38" t="n">
        <f aca="false">B20/C20-1</f>
        <v>0.0207853982300883</v>
      </c>
      <c r="F20" s="1" t="s">
        <v>1301</v>
      </c>
    </row>
    <row r="21" customFormat="false" ht="17.15" hidden="false" customHeight="false" outlineLevel="0" collapsed="false">
      <c r="A21" s="0" t="s">
        <v>1302</v>
      </c>
      <c r="B21" s="6" t="n">
        <f aca="false">Q!$I$5</f>
        <v>76.795</v>
      </c>
      <c r="C21" s="6" t="n">
        <f aca="false">g_q1_ai</f>
        <v>75.45</v>
      </c>
      <c r="D21" s="6" t="n">
        <f aca="false">B21-C21</f>
        <v>1.345</v>
      </c>
      <c r="E21" s="38" t="n">
        <f aca="false">B21/C21-1</f>
        <v>0.0178263750828362</v>
      </c>
      <c r="F21" s="12" t="s">
        <v>1303</v>
      </c>
    </row>
    <row r="22" customFormat="false" ht="17.15" hidden="false" customHeight="false" outlineLevel="0" collapsed="false">
      <c r="A22" s="0" t="s">
        <v>1304</v>
      </c>
      <c r="B22" s="6" t="n">
        <f aca="false">Q!$I$12</f>
        <v>15.484</v>
      </c>
      <c r="C22" s="6" t="n">
        <f aca="false">g_q1_dc</f>
        <v>14.95</v>
      </c>
      <c r="D22" s="6" t="n">
        <f aca="false">B22-C22</f>
        <v>0.534000000000001</v>
      </c>
      <c r="E22" s="38" t="n">
        <f aca="false">B22/C22-1</f>
        <v>0.0357190635451505</v>
      </c>
      <c r="F22" s="1" t="s">
        <v>1305</v>
      </c>
    </row>
    <row r="23" customFormat="false" ht="17.15" hidden="false" customHeight="false" outlineLevel="0" collapsed="false">
      <c r="A23" s="0" t="s">
        <v>1306</v>
      </c>
      <c r="B23" s="7" t="n">
        <f aca="false">0.48</f>
        <v>0.48</v>
      </c>
      <c r="C23" s="7" t="n">
        <f aca="false">g_q1_az</f>
        <v>0.445</v>
      </c>
      <c r="D23" s="7" t="n">
        <f aca="false">B23-C23</f>
        <v>0.035</v>
      </c>
      <c r="F23" s="12" t="s">
        <v>87</v>
      </c>
    </row>
    <row r="24" customFormat="false" ht="17.15" hidden="false" customHeight="false" outlineLevel="0" collapsed="false">
      <c r="A24" s="0" t="s">
        <v>1307</v>
      </c>
      <c r="B24" s="6" t="n">
        <f aca="false">Q!$I$43</f>
        <v>45.2</v>
      </c>
      <c r="C24" s="6" t="n">
        <f aca="false">g_q1_cx</f>
        <v>50</v>
      </c>
      <c r="D24" s="6" t="n">
        <f aca="false">B24-C24</f>
        <v>-4.8</v>
      </c>
      <c r="E24" s="38" t="n">
        <f aca="false">B24/C24-1</f>
        <v>-0.096</v>
      </c>
      <c r="F24" s="1" t="s">
        <v>1308</v>
      </c>
    </row>
    <row r="25" customFormat="false" ht="17.15" hidden="false" customHeight="false" outlineLevel="0" collapsed="false">
      <c r="A25" s="0" t="s">
        <v>1309</v>
      </c>
      <c r="B25" s="7" t="n">
        <f aca="false">(Seg!F48-Q!$I$5)/(Q!M5-Q!$E$5)-1</f>
        <v>0.249439810197556</v>
      </c>
      <c r="C25" s="7" t="n">
        <f aca="false">g_q2_ai/Q!$F$5-1</f>
        <v>0.247652891792493</v>
      </c>
      <c r="D25" s="7" t="n">
        <f aca="false">B25-C25</f>
        <v>0.00178691840506318</v>
      </c>
      <c r="F25" s="1" t="s">
        <v>1310</v>
      </c>
    </row>
    <row r="26" customFormat="false" ht="17.15" hidden="false" customHeight="false" outlineLevel="0" collapsed="false">
      <c r="A26" s="0" t="s">
        <v>1311</v>
      </c>
      <c r="B26" s="7" t="n">
        <f aca="false">(Seg!F55-Q!$I$12)/(Q!M12-Q!$E$12)-1</f>
        <v>0.0232129906153957</v>
      </c>
      <c r="C26" s="7" t="n">
        <f aca="false">g_q2_dc/Q!$F$12-1</f>
        <v>-0.040518060836502</v>
      </c>
      <c r="D26" s="7" t="n">
        <f aca="false">B26-C26</f>
        <v>0.0637310514518977</v>
      </c>
      <c r="F26" s="12" t="s">
        <v>1312</v>
      </c>
    </row>
    <row r="27" customFormat="false" ht="17.15" hidden="false" customHeight="false" outlineLevel="0" collapsed="false">
      <c r="A27" s="1" t="s">
        <v>1313</v>
      </c>
      <c r="B27" s="7" t="n">
        <f aca="false">(Seg!F56-Q!$I$18)/(Q!M18-Q!$E$18)-1</f>
        <v>0.206973438656577</v>
      </c>
      <c r="C27" s="7" t="n">
        <f aca="false">g_q2_rev/Q!$F$18-1</f>
        <v>0.187971405017657</v>
      </c>
      <c r="D27" s="7" t="n">
        <f aca="false">B27-C27</f>
        <v>0.0190020336389205</v>
      </c>
      <c r="F27" s="12" t="s">
        <v>87</v>
      </c>
    </row>
    <row r="28" customFormat="false" ht="17.15" hidden="false" customHeight="false" outlineLevel="0" collapsed="false">
      <c r="A28" s="0" t="s">
        <v>1314</v>
      </c>
      <c r="B28" s="7" t="n">
        <f aca="false">(Seg!F36-Q!$I$6)/(Q!M6-Q!$E$6)-1</f>
        <v>0.427257560904303</v>
      </c>
      <c r="C28" s="7" t="n">
        <f aca="false">g_q2_az</f>
        <v>0.495</v>
      </c>
      <c r="D28" s="7" t="n">
        <f aca="false">B28-C28</f>
        <v>-0.0677424390956966</v>
      </c>
      <c r="F28" s="1" t="s">
        <v>1315</v>
      </c>
    </row>
    <row r="29" customFormat="false" ht="17.15" hidden="false" customHeight="false" outlineLevel="0" collapsed="false">
      <c r="A29" s="0" t="s">
        <v>1316</v>
      </c>
      <c r="B29" s="7" t="n">
        <f aca="false">(Seg!F53-Q!$I$15)/(Q!M15-Q!$E$15)-1</f>
        <v>-0.00763981133891623</v>
      </c>
      <c r="C29" s="7" t="n">
        <f aca="false">g_q2_win</f>
        <v>-0.35</v>
      </c>
      <c r="D29" s="7" t="n">
        <f aca="false">B29-C29</f>
        <v>0.342360188661084</v>
      </c>
      <c r="F29" s="1" t="s">
        <v>1317</v>
      </c>
    </row>
    <row r="30" customFormat="false" ht="17.15" hidden="false" customHeight="false" outlineLevel="0" collapsed="false">
      <c r="A30" s="1" t="s">
        <v>1318</v>
      </c>
      <c r="B30" s="7" t="n">
        <f aca="false">PL!F76-PL!E76</f>
        <v>-0.011957939308235</v>
      </c>
      <c r="C30" s="7" t="n">
        <f aca="false">g_fy27_opm</f>
        <v>-0.01</v>
      </c>
      <c r="D30" s="7" t="n">
        <f aca="false">B30-C30</f>
        <v>-0.00195793930823497</v>
      </c>
      <c r="F30" s="1" t="s">
        <v>1319</v>
      </c>
    </row>
    <row r="31" customFormat="false" ht="17.15" hidden="false" customHeight="false" outlineLevel="0" collapsed="false">
      <c r="A31" s="1" t="s">
        <v>1320</v>
      </c>
      <c r="B31" s="6" t="n">
        <f aca="false">CF!F59</f>
        <v>204.2</v>
      </c>
      <c r="C31" s="6" t="n">
        <f aca="false">capex_floor27</f>
        <v>204.2</v>
      </c>
      <c r="D31" s="6" t="n">
        <f aca="false">B31-C31</f>
        <v>0</v>
      </c>
      <c r="E31" s="38" t="n">
        <f aca="false">B31/C31-1</f>
        <v>0</v>
      </c>
      <c r="F31" s="12" t="s">
        <v>1321</v>
      </c>
    </row>
    <row r="32" customFormat="false" ht="17.15" hidden="false" customHeight="false" outlineLevel="0" collapsed="false">
      <c r="A32" s="10" t="s">
        <v>1322</v>
      </c>
    </row>
    <row r="33" customFormat="false" ht="17.15" hidden="false" customHeight="false" outlineLevel="0" collapsed="false">
      <c r="A33" s="0" t="s">
        <v>1323</v>
      </c>
      <c r="B33" s="6" t="n">
        <f aca="false">Thesis!E77+Seg!E38</f>
        <v>33.0595064661409</v>
      </c>
      <c r="C33" s="6" t="n">
        <f aca="false">ai_runrate</f>
        <v>37</v>
      </c>
      <c r="D33" s="6" t="n">
        <f aca="false">B33-C33</f>
        <v>-3.94049353385914</v>
      </c>
      <c r="E33" s="38" t="n">
        <f aca="false">B33/C33-1</f>
        <v>-0.106499825239436</v>
      </c>
      <c r="F33" s="1" t="s">
        <v>1324</v>
      </c>
    </row>
    <row r="34" customFormat="false" ht="17.15" hidden="false" customHeight="false" outlineLevel="0" collapsed="false">
      <c r="A34" s="0" t="s">
        <v>1325</v>
      </c>
      <c r="B34" s="7" t="n">
        <f aca="false">Thesis!E77/Seg!E36</f>
        <v>0.272808044754075</v>
      </c>
      <c r="F34" s="1" t="s">
        <v>1326</v>
      </c>
    </row>
    <row r="35" customFormat="false" ht="17.15" hidden="false" customHeight="false" outlineLevel="0" collapsed="false">
      <c r="A35" s="0" t="s">
        <v>1327</v>
      </c>
      <c r="B35" s="6" t="n">
        <f aca="false">Seg!E38</f>
        <v>5.25</v>
      </c>
      <c r="F35" s="1" t="s">
        <v>1328</v>
      </c>
    </row>
    <row r="36" customFormat="false" ht="17.15" hidden="false" customHeight="false" outlineLevel="0" collapsed="false">
      <c r="A36" s="0" t="s">
        <v>1329</v>
      </c>
      <c r="B36" s="6" t="n">
        <f aca="false">Thesis!F77</f>
        <v>55.4118315060966</v>
      </c>
      <c r="C36" s="6" t="n">
        <f aca="false">oai_rev_q1*q_per_yr</f>
        <v>40</v>
      </c>
      <c r="D36" s="6" t="n">
        <f aca="false">B36-C36</f>
        <v>15.4118315060966</v>
      </c>
      <c r="E36" s="38" t="n">
        <f aca="false">B36/C36-1</f>
        <v>0.385295787652415</v>
      </c>
      <c r="F36" s="12" t="s">
        <v>1330</v>
      </c>
    </row>
    <row r="37" customFormat="false" ht="17.15" hidden="false" customHeight="false" outlineLevel="0" collapsed="false">
      <c r="A37" s="10" t="s">
        <v>1331</v>
      </c>
    </row>
    <row r="38" customFormat="false" ht="17.15" hidden="false" customHeight="false" outlineLevel="0" collapsed="false">
      <c r="A38" s="0" t="s">
        <v>1332</v>
      </c>
      <c r="B38" s="6" t="n">
        <f aca="false">Seg!F36</f>
        <v>146.709048000181</v>
      </c>
      <c r="F38" s="1" t="s">
        <v>1333</v>
      </c>
    </row>
    <row r="39" customFormat="false" ht="17.15" hidden="false" customHeight="false" outlineLevel="0" collapsed="false">
      <c r="A39" s="0" t="s">
        <v>1334</v>
      </c>
      <c r="B39" s="6" t="n">
        <f aca="false">Seg!F41</f>
        <v>118.584003697747</v>
      </c>
      <c r="F39" s="1" t="s">
        <v>1333</v>
      </c>
    </row>
    <row r="40" customFormat="false" ht="17.15" hidden="false" customHeight="false" outlineLevel="0" collapsed="false">
      <c r="A40" s="0" t="s">
        <v>1335</v>
      </c>
      <c r="B40" s="6" t="n">
        <f aca="false">Seg!F42</f>
        <v>38.3851437782675</v>
      </c>
      <c r="F40" s="1" t="s">
        <v>1333</v>
      </c>
    </row>
    <row r="41" customFormat="false" ht="17.15" hidden="false" customHeight="false" outlineLevel="0" collapsed="false">
      <c r="A41" s="0" t="s">
        <v>1336</v>
      </c>
      <c r="B41" s="6" t="n">
        <f aca="false">Seg!F44</f>
        <v>22.3161797133988</v>
      </c>
      <c r="F41" s="1" t="s">
        <v>1333</v>
      </c>
    </row>
    <row r="42" customFormat="false" ht="17.15" hidden="false" customHeight="false" outlineLevel="0" collapsed="false">
      <c r="A42" s="0" t="s">
        <v>1337</v>
      </c>
      <c r="B42" s="6" t="n">
        <f aca="false">Seg!F46</f>
        <v>8.75372082474227</v>
      </c>
      <c r="F42" s="1" t="s">
        <v>1333</v>
      </c>
    </row>
    <row r="43" customFormat="false" ht="17.15" hidden="false" customHeight="false" outlineLevel="0" collapsed="false">
      <c r="A43" s="0" t="s">
        <v>1338</v>
      </c>
      <c r="B43" s="6" t="n">
        <f aca="false">Seg!F49</f>
        <v>27.5591895660247</v>
      </c>
      <c r="F43" s="1" t="s">
        <v>1333</v>
      </c>
    </row>
    <row r="44" customFormat="false" ht="17.15" hidden="false" customHeight="false" outlineLevel="0" collapsed="false">
      <c r="A44" s="0" t="s">
        <v>1339</v>
      </c>
      <c r="B44" s="6" t="n">
        <f aca="false">Seg!F51</f>
        <v>20.7520981041711</v>
      </c>
      <c r="F44" s="1" t="s">
        <v>1333</v>
      </c>
    </row>
    <row r="45" customFormat="false" ht="17.15" hidden="false" customHeight="false" outlineLevel="0" collapsed="false">
      <c r="A45" s="0" t="s">
        <v>1340</v>
      </c>
      <c r="B45" s="6" t="n">
        <f aca="false">Seg!F53</f>
        <v>15.9912273250553</v>
      </c>
      <c r="F45" s="1" t="s">
        <v>1333</v>
      </c>
    </row>
    <row r="46" customFormat="false" ht="17.15" hidden="false" customHeight="false" outlineLevel="0" collapsed="false">
      <c r="A46" s="10" t="s">
        <v>1341</v>
      </c>
    </row>
    <row r="47" customFormat="false" ht="17.15" hidden="false" customHeight="false" outlineLevel="0" collapsed="false">
      <c r="A47" s="0" t="s">
        <v>1342</v>
      </c>
      <c r="B47" s="8" t="n">
        <v>385.56245022499</v>
      </c>
      <c r="F47" s="1" t="s">
        <v>1343</v>
      </c>
    </row>
    <row r="48" customFormat="false" ht="17.15" hidden="false" customHeight="false" outlineLevel="0" collapsed="false">
      <c r="A48" s="0" t="s">
        <v>1344</v>
      </c>
      <c r="B48" s="8" t="n">
        <v>0.274357676504963</v>
      </c>
      <c r="F48" s="1" t="s">
        <v>1345</v>
      </c>
    </row>
    <row r="49" customFormat="false" ht="17.15" hidden="false" customHeight="false" outlineLevel="0" collapsed="false">
      <c r="A49" s="0" t="s">
        <v>1346</v>
      </c>
      <c r="B49" s="8" t="n">
        <v>0.421441025037041</v>
      </c>
      <c r="F49" s="1" t="s">
        <v>1347</v>
      </c>
    </row>
    <row r="50" customFormat="false" ht="17.15" hidden="false" customHeight="false" outlineLevel="0" collapsed="false">
      <c r="A50" s="0" t="s">
        <v>1348</v>
      </c>
      <c r="B50" s="8" t="n">
        <v>1.79235151101699</v>
      </c>
      <c r="F50" s="1" t="s">
        <v>1349</v>
      </c>
    </row>
    <row r="51" customFormat="false" ht="17.15" hidden="false" customHeight="false" outlineLevel="0" collapsed="false">
      <c r="A51" s="0" t="s">
        <v>1350</v>
      </c>
      <c r="B51" s="8" t="n">
        <v>-2.99233973574303</v>
      </c>
      <c r="F51" s="1" t="s">
        <v>1351</v>
      </c>
    </row>
    <row r="52" customFormat="false" ht="17.15" hidden="false" customHeight="false" outlineLevel="0" collapsed="false">
      <c r="A52" s="0" t="s">
        <v>1352</v>
      </c>
      <c r="B52" s="8" t="n">
        <v>0.00979752424501612</v>
      </c>
      <c r="F52" s="1" t="s">
        <v>1353</v>
      </c>
    </row>
    <row r="53" customFormat="false" ht="17.15" hidden="false" customHeight="false" outlineLevel="0" collapsed="false">
      <c r="A53" s="0" t="s">
        <v>1354</v>
      </c>
      <c r="B53" s="8" t="n">
        <v>-0.963498369316994</v>
      </c>
      <c r="F53" s="1" t="s">
        <v>1355</v>
      </c>
    </row>
    <row r="54" customFormat="false" ht="17.15" hidden="false" customHeight="false" outlineLevel="0" collapsed="false">
      <c r="A54" s="0" t="s">
        <v>1356</v>
      </c>
      <c r="B54" s="8" t="n">
        <f aca="false">Val!$B$36</f>
        <v>384.104559856734</v>
      </c>
      <c r="F54" s="12" t="s">
        <v>87</v>
      </c>
    </row>
    <row r="55" customFormat="false" ht="17.15" hidden="false" customHeight="false" outlineLevel="0" collapsed="false">
      <c r="A55" s="26" t="s">
        <v>1357</v>
      </c>
      <c r="B55" s="27" t="n">
        <f aca="false">SUM(B47:B53)-B54</f>
        <v>0</v>
      </c>
      <c r="C55" s="31"/>
      <c r="D55" s="31"/>
      <c r="E55" s="31"/>
      <c r="F55" s="26" t="s">
        <v>1358</v>
      </c>
    </row>
    <row r="56" customFormat="false" ht="17.15" hidden="false" customHeight="false" outlineLevel="0" collapsed="false">
      <c r="A56" s="10" t="s">
        <v>1359</v>
      </c>
    </row>
    <row r="57" customFormat="false" ht="17.15" hidden="false" customHeight="false" outlineLevel="0" collapsed="false">
      <c r="A57" s="4" t="s">
        <v>43</v>
      </c>
      <c r="B57" s="23" t="s">
        <v>1360</v>
      </c>
      <c r="C57" s="23" t="s">
        <v>1361</v>
      </c>
      <c r="D57" s="4" t="s">
        <v>1274</v>
      </c>
      <c r="E57" s="4" t="s">
        <v>1275</v>
      </c>
      <c r="F57" s="4" t="s">
        <v>47</v>
      </c>
    </row>
    <row r="58" customFormat="false" ht="15" hidden="false" customHeight="false" outlineLevel="0" collapsed="false">
      <c r="A58" s="0" t="s">
        <v>856</v>
      </c>
      <c r="B58" s="6" t="n">
        <f aca="false">Q!$I$5</f>
        <v>76.795</v>
      </c>
      <c r="C58" s="6" t="n">
        <f aca="false">334.265528251508*Q!$E$5/Q!M5</f>
        <v>76.8845497034129</v>
      </c>
      <c r="D58" s="6" t="n">
        <f aca="false">B58-C58</f>
        <v>-0.0895497034129278</v>
      </c>
      <c r="E58" s="38" t="n">
        <f aca="false">B58/C58-1</f>
        <v>-0.00116472950363067</v>
      </c>
    </row>
    <row r="59" customFormat="false" ht="17.15" hidden="false" customHeight="false" outlineLevel="0" collapsed="false">
      <c r="A59" s="0" t="s">
        <v>858</v>
      </c>
      <c r="B59" s="6" t="n">
        <f aca="false">Q!$I$6</f>
        <v>33.165</v>
      </c>
      <c r="C59" s="6" t="n">
        <f aca="false">145.143956312325*Q!$E$6/Q!M6</f>
        <v>31.8713562959356</v>
      </c>
      <c r="D59" s="6" t="n">
        <f aca="false">B59-C59</f>
        <v>1.2936437040644</v>
      </c>
      <c r="E59" s="38" t="n">
        <f aca="false">B59/C59-1</f>
        <v>0.0405895404027525</v>
      </c>
      <c r="F59" s="12" t="s">
        <v>1362</v>
      </c>
    </row>
    <row r="60" customFormat="false" ht="17.15" hidden="false" customHeight="false" outlineLevel="0" collapsed="false">
      <c r="A60" s="0" t="s">
        <v>860</v>
      </c>
      <c r="B60" s="6" t="n">
        <f aca="false">Q!$I$7</f>
        <v>27.778</v>
      </c>
      <c r="C60" s="6" t="n">
        <f aca="false">118.89238776686*Q!$E$7/Q!M7</f>
        <v>28.0863840691132</v>
      </c>
      <c r="D60" s="6" t="n">
        <f aca="false">B60-C60</f>
        <v>-0.30838406911316</v>
      </c>
      <c r="E60" s="38" t="n">
        <f aca="false">B60/C60-1</f>
        <v>-0.0109798423447571</v>
      </c>
      <c r="F60" s="12" t="s">
        <v>1363</v>
      </c>
    </row>
    <row r="61" customFormat="false" ht="15" hidden="false" customHeight="false" outlineLevel="0" collapsed="false">
      <c r="A61" s="0" t="s">
        <v>862</v>
      </c>
      <c r="B61" s="6" t="n">
        <f aca="false">Q!$I$8</f>
        <v>8.407</v>
      </c>
      <c r="C61" s="6" t="n">
        <f aca="false">39.0720834331704*Q!$E$8/Q!M8</f>
        <v>9.09393965490285</v>
      </c>
      <c r="D61" s="6" t="n">
        <f aca="false">B61-C61</f>
        <v>-0.686939654902851</v>
      </c>
      <c r="E61" s="38" t="n">
        <f aca="false">B61/C61-1</f>
        <v>-0.0755381804774236</v>
      </c>
      <c r="F61" s="1" t="s">
        <v>1364</v>
      </c>
    </row>
    <row r="62" customFormat="false" ht="15" hidden="false" customHeight="false" outlineLevel="0" collapsed="false">
      <c r="A62" s="0" t="s">
        <v>864</v>
      </c>
      <c r="B62" s="6" t="n">
        <f aca="false">Q!$I$9</f>
        <v>5.337</v>
      </c>
      <c r="C62" s="6" t="n">
        <f aca="false">22.3572203267814*Q!$E$9/Q!M9</f>
        <v>5.37804061338256</v>
      </c>
      <c r="D62" s="6" t="n">
        <f aca="false">B62-C62</f>
        <v>-0.0410406133825596</v>
      </c>
      <c r="E62" s="38" t="n">
        <f aca="false">B62/C62-1</f>
        <v>-0.00763114604981507</v>
      </c>
    </row>
    <row r="63" customFormat="false" ht="15" hidden="false" customHeight="false" outlineLevel="0" collapsed="false">
      <c r="A63" s="0" t="s">
        <v>866</v>
      </c>
      <c r="B63" s="6" t="n">
        <f aca="false">Q!$I$10</f>
        <v>2.108</v>
      </c>
      <c r="C63" s="6" t="n">
        <f aca="false">8.79988041237113*Q!$E$10/Q!M10</f>
        <v>2.15415958762886</v>
      </c>
      <c r="D63" s="6" t="n">
        <f aca="false">B63-C63</f>
        <v>-0.0461595876288645</v>
      </c>
      <c r="E63" s="38" t="n">
        <f aca="false">B63/C63-1</f>
        <v>-0.0214281188329568</v>
      </c>
    </row>
    <row r="64" customFormat="false" ht="15" hidden="false" customHeight="false" outlineLevel="0" collapsed="false">
      <c r="A64" s="0" t="s">
        <v>870</v>
      </c>
      <c r="B64" s="6" t="n">
        <f aca="false">Q!$I$12</f>
        <v>15.484</v>
      </c>
      <c r="C64" s="6" t="n">
        <f aca="false">65.1415764563129*Q!$E$12/Q!M12</f>
        <v>16.3600320956407</v>
      </c>
      <c r="D64" s="6" t="n">
        <f aca="false">B64-C64</f>
        <v>-0.87603209564074</v>
      </c>
      <c r="E64" s="38" t="n">
        <f aca="false">B64/C64-1</f>
        <v>-0.0535470890594503</v>
      </c>
    </row>
    <row r="65" customFormat="false" ht="15" hidden="false" customHeight="false" outlineLevel="0" collapsed="false">
      <c r="A65" s="0" t="s">
        <v>872</v>
      </c>
      <c r="B65" s="6" t="n">
        <f aca="false">Q!$I$13</f>
        <v>6.554</v>
      </c>
      <c r="C65" s="6" t="n">
        <f aca="false">27.6114901218559*Q!$E$13/Q!M13</f>
        <v>6.6063005558312</v>
      </c>
      <c r="D65" s="6" t="n">
        <f aca="false">B65-C65</f>
        <v>-0.052300555831196</v>
      </c>
      <c r="E65" s="38" t="n">
        <f aca="false">B65/C65-1</f>
        <v>-0.00791676905844552</v>
      </c>
    </row>
    <row r="66" customFormat="false" ht="15" hidden="false" customHeight="false" outlineLevel="0" collapsed="false">
      <c r="A66" s="0" t="s">
        <v>874</v>
      </c>
      <c r="B66" s="6" t="n">
        <f aca="false">Q!$I$14</f>
        <v>5.379</v>
      </c>
      <c r="C66" s="6" t="n">
        <f aca="false">20.5736277908051*Q!$E$14/Q!M14</f>
        <v>5.20052968663398</v>
      </c>
      <c r="D66" s="6" t="n">
        <f aca="false">B66-C66</f>
        <v>0.178470313366016</v>
      </c>
      <c r="E66" s="38" t="n">
        <f aca="false">B66/C66-1</f>
        <v>0.0343177184094741</v>
      </c>
    </row>
    <row r="67" customFormat="false" ht="17.15" hidden="false" customHeight="false" outlineLevel="0" collapsed="false">
      <c r="A67" s="0" t="s">
        <v>876</v>
      </c>
      <c r="B67" s="6" t="n">
        <f aca="false">Q!$I$15</f>
        <v>3.551</v>
      </c>
      <c r="C67" s="6" t="n">
        <f aca="false">16.9564585436519*Q!$E$15/Q!M15</f>
        <v>4.51623121859658</v>
      </c>
      <c r="D67" s="6" t="n">
        <f aca="false">B67-C67</f>
        <v>-0.965231218596583</v>
      </c>
      <c r="E67" s="38" t="n">
        <f aca="false">B67/C67-1</f>
        <v>-0.213724933883374</v>
      </c>
      <c r="F67" s="12" t="s">
        <v>1365</v>
      </c>
    </row>
    <row r="68" customFormat="false" ht="15" hidden="false" customHeight="false" outlineLevel="0" collapsed="false">
      <c r="A68" s="1" t="s">
        <v>1059</v>
      </c>
      <c r="B68" s="6" t="n">
        <f aca="false">Q!$I$18</f>
        <v>92.279</v>
      </c>
      <c r="C68" s="6" t="n">
        <f aca="false">399.407104707821*Q!$E$18/Q!M18</f>
        <v>93.4885533164293</v>
      </c>
      <c r="D68" s="6" t="n">
        <f aca="false">B68-C68</f>
        <v>-1.20955331642929</v>
      </c>
      <c r="E68" s="38" t="n">
        <f aca="false">B68/C68-1</f>
        <v>-0.0129379830313059</v>
      </c>
    </row>
    <row r="69" customFormat="false" ht="17.15" hidden="false" customHeight="false" outlineLevel="0" collapsed="false">
      <c r="A69" s="0" t="s">
        <v>884</v>
      </c>
      <c r="B69" s="6" t="n">
        <f aca="false">Q!$I$21</f>
        <v>40.558</v>
      </c>
      <c r="C69" s="6" t="n">
        <f aca="false">157.460006305463*Q!$E$21/Q!M21</f>
        <v>37.779316439718</v>
      </c>
      <c r="D69" s="6" t="n">
        <f aca="false">B69-C69</f>
        <v>2.77868356028205</v>
      </c>
      <c r="E69" s="38" t="n">
        <f aca="false">B69/C69-1</f>
        <v>0.0735503927053793</v>
      </c>
      <c r="F69" s="1" t="s">
        <v>1366</v>
      </c>
    </row>
    <row r="70" customFormat="false" ht="17.15" hidden="false" customHeight="false" outlineLevel="0" collapsed="false">
      <c r="A70" s="0" t="s">
        <v>886</v>
      </c>
      <c r="B70" s="6" t="n">
        <f aca="false">Q!$I$22</f>
        <v>5.357</v>
      </c>
      <c r="C70" s="6" t="n">
        <f aca="false">19.2954518910651*Q!$E$22/Q!M22</f>
        <v>5.36064297715421</v>
      </c>
      <c r="D70" s="6" t="n">
        <f aca="false">B70-C70</f>
        <v>-0.00364297715421369</v>
      </c>
      <c r="E70" s="38" t="n">
        <f aca="false">B70/C70-1</f>
        <v>-0.000679578395677338</v>
      </c>
      <c r="F70" s="12" t="s">
        <v>1367</v>
      </c>
    </row>
    <row r="71" customFormat="false" ht="15" hidden="false" customHeight="false" outlineLevel="0" collapsed="false">
      <c r="A71" s="1" t="s">
        <v>1368</v>
      </c>
      <c r="B71" s="6" t="n">
        <f aca="false">Q!$I$23</f>
        <v>45.915</v>
      </c>
      <c r="C71" s="6" t="n">
        <f aca="false">176.755458196528*Q!$E$23/Q!M23</f>
        <v>43.223032837522</v>
      </c>
      <c r="D71" s="6" t="n">
        <f aca="false">B71-C71</f>
        <v>2.69196716247802</v>
      </c>
      <c r="E71" s="38" t="n">
        <f aca="false">B71/C71-1</f>
        <v>0.0622808485604722</v>
      </c>
    </row>
    <row r="72" customFormat="false" ht="17.15" hidden="false" customHeight="false" outlineLevel="0" collapsed="false">
      <c r="A72" s="1" t="s">
        <v>1369</v>
      </c>
      <c r="B72" s="6" t="n">
        <f aca="false">Q!$I$43</f>
        <v>45.2</v>
      </c>
      <c r="C72" s="6" t="n">
        <f aca="false">204.2/q_per_yr</f>
        <v>51.05</v>
      </c>
      <c r="D72" s="6" t="n">
        <f aca="false">B72-C72</f>
        <v>-5.84999999999999</v>
      </c>
      <c r="E72" s="38" t="n">
        <f aca="false">B72/C72-1</f>
        <v>-0.114593535749265</v>
      </c>
      <c r="F72" s="1" t="s">
        <v>1370</v>
      </c>
    </row>
    <row r="73" customFormat="false" ht="17.15" hidden="false" customHeight="false" outlineLevel="0" collapsed="false">
      <c r="A73" s="10" t="s">
        <v>1371</v>
      </c>
    </row>
    <row r="74" customFormat="false" ht="17.15" hidden="false" customHeight="false" outlineLevel="0" collapsed="false">
      <c r="A74" s="0" t="s">
        <v>1372</v>
      </c>
      <c r="B74" s="6" t="n">
        <f aca="false">old_tp</f>
        <v>359.06</v>
      </c>
      <c r="F74" s="12" t="s">
        <v>821</v>
      </c>
    </row>
    <row r="75" customFormat="false" ht="17.15" hidden="false" customHeight="false" outlineLevel="0" collapsed="false">
      <c r="A75" s="1" t="s">
        <v>1373</v>
      </c>
      <c r="B75" s="6" t="n">
        <f aca="false">w_dcf*old_dcf+(1-w_dcf)*old_ev-old_tp</f>
        <v>-3.17500000000001</v>
      </c>
      <c r="F75" s="1" t="s">
        <v>1374</v>
      </c>
    </row>
    <row r="76" customFormat="false" ht="17.15" hidden="false" customHeight="false" outlineLevel="0" collapsed="false">
      <c r="A76" s="0" t="s">
        <v>1375</v>
      </c>
      <c r="B76" s="6" t="n">
        <f aca="false">w_dcf*(Val!$C$13-old_dcf)</f>
        <v>1.0867706128661</v>
      </c>
      <c r="F76" s="1" t="s">
        <v>1376</v>
      </c>
    </row>
    <row r="77" customFormat="false" ht="17.15" hidden="false" customHeight="false" outlineLevel="0" collapsed="false">
      <c r="A77" s="1" t="s">
        <v>1377</v>
      </c>
      <c r="B77" s="6" t="n">
        <f aca="false">(1-w_dcf)*(Val!$C$30-old_ev)</f>
        <v>29.0803997606157</v>
      </c>
      <c r="F77" s="1" t="s">
        <v>1378</v>
      </c>
    </row>
    <row r="78" customFormat="false" ht="17.15" hidden="false" customHeight="false" outlineLevel="0" collapsed="false">
      <c r="A78" s="1" t="s">
        <v>1379</v>
      </c>
      <c r="B78" s="6" t="n">
        <f aca="false">Val!$B$36-Val!$C$44</f>
        <v>-1.94761051674766</v>
      </c>
      <c r="F78" s="12" t="s">
        <v>1380</v>
      </c>
    </row>
    <row r="79" customFormat="false" ht="17.15" hidden="false" customHeight="false" outlineLevel="0" collapsed="false">
      <c r="A79" s="0" t="s">
        <v>1381</v>
      </c>
      <c r="B79" s="6" t="n">
        <f aca="false">Val!$B$36</f>
        <v>384.104559856734</v>
      </c>
      <c r="F79" s="12" t="s">
        <v>87</v>
      </c>
    </row>
    <row r="80" customFormat="false" ht="17.15" hidden="false" customHeight="false" outlineLevel="0" collapsed="false">
      <c r="A80" s="26" t="s">
        <v>1382</v>
      </c>
      <c r="B80" s="27" t="n">
        <f aca="false">B74+B75+B76+B77+B78-B79</f>
        <v>0</v>
      </c>
      <c r="C80" s="31"/>
      <c r="D80" s="31"/>
      <c r="E80" s="31"/>
      <c r="F80" s="31" t="s">
        <v>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7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24"/>
    <col collapsed="false" customWidth="true" hidden="false" outlineLevel="0" max="5" min="3" style="0" width="14"/>
    <col collapsed="false" customWidth="true" hidden="false" outlineLevel="0" max="6" min="6" style="0" width="50"/>
    <col collapsed="false" customWidth="true" hidden="false" outlineLevel="0" max="11" min="7" style="0" width="11"/>
    <col collapsed="false" customWidth="true" hidden="false" outlineLevel="0" max="12" min="12" style="0" width="50"/>
  </cols>
  <sheetData>
    <row r="1" customFormat="false" ht="17.15" hidden="false" customHeight="false" outlineLevel="0" collapsed="false">
      <c r="A1" s="0" t="s">
        <v>1383</v>
      </c>
    </row>
    <row r="2" customFormat="false" ht="17.15" hidden="false" customHeight="false" outlineLevel="0" collapsed="false">
      <c r="A2" s="1" t="s">
        <v>1384</v>
      </c>
    </row>
    <row r="3" customFormat="false" ht="17.15" hidden="false" customHeight="false" outlineLevel="0" collapsed="false">
      <c r="A3" s="4" t="s">
        <v>1385</v>
      </c>
      <c r="B3" s="4" t="s">
        <v>1386</v>
      </c>
      <c r="C3" s="4" t="s">
        <v>1387</v>
      </c>
      <c r="D3" s="4" t="s">
        <v>1388</v>
      </c>
      <c r="E3" s="4" t="s">
        <v>1389</v>
      </c>
      <c r="F3" s="4" t="s">
        <v>47</v>
      </c>
      <c r="G3" s="4" t="s">
        <v>64</v>
      </c>
    </row>
    <row r="4" customFormat="false" ht="17.15" hidden="false" customHeight="false" outlineLevel="0" collapsed="false">
      <c r="A4" s="1" t="s">
        <v>1390</v>
      </c>
      <c r="B4" s="1" t="s">
        <v>1391</v>
      </c>
      <c r="C4" s="5" t="n">
        <f aca="false">w_dcf*(w_A*Sens!$C$368+w_B*Sens!$C$567+w_C*Sens!$C$766)+(1-w_dcf)*(w_A*Sens!$C$397+w_B*Sens!$C$596+w_C*Sens!$C$795)</f>
        <v>310.883696018351</v>
      </c>
      <c r="D4" s="39" t="n">
        <f aca="false">C4-Val!$B$36</f>
        <v>-73.2208638383831</v>
      </c>
      <c r="E4" s="38" t="n">
        <f aca="false">C4/Val!$B$36-1</f>
        <v>-0.190627426723842</v>
      </c>
      <c r="F4" s="12" t="s">
        <v>1392</v>
      </c>
      <c r="G4" s="12" t="s">
        <v>637</v>
      </c>
    </row>
    <row r="5" customFormat="false" ht="17.15" hidden="false" customHeight="false" outlineLevel="0" collapsed="false">
      <c r="A5" s="0" t="s">
        <v>1393</v>
      </c>
      <c r="B5" s="1" t="s">
        <v>1394</v>
      </c>
      <c r="C5" s="5" t="n">
        <f aca="false">w_dcf*(w_A*Sens!$C$965+w_B*Sens!$C$1164+w_C*Sens!$C$1363)+(1-w_dcf)*(w_A*Sens!$C$994+w_B*Sens!$C$1193+w_C*Sens!$C$1392)</f>
        <v>355.698111583731</v>
      </c>
      <c r="D5" s="39" t="n">
        <f aca="false">C5-Val!$B$36</f>
        <v>-28.4064482730034</v>
      </c>
      <c r="E5" s="38" t="n">
        <f aca="false">C5/Val!$B$36-1</f>
        <v>-0.0739549884114853</v>
      </c>
      <c r="F5" s="1" t="s">
        <v>1395</v>
      </c>
      <c r="G5" s="12" t="s">
        <v>1396</v>
      </c>
    </row>
    <row r="6" customFormat="false" ht="17.15" hidden="false" customHeight="false" outlineLevel="0" collapsed="false">
      <c r="A6" s="0" t="s">
        <v>1397</v>
      </c>
      <c r="B6" s="1" t="s">
        <v>1394</v>
      </c>
      <c r="C6" s="5" t="n">
        <f aca="false">w_dcf*(w_A*Sens!$C$1562+w_B*Sens!$C$1761+w_C*Sens!$C$1960)+(1-w_dcf)*(w_A*Sens!$C$1591+w_B*Sens!$C$1790+w_C*Sens!$C$1989)</f>
        <v>412.436662279004</v>
      </c>
      <c r="D6" s="39" t="n">
        <f aca="false">C6-Val!$B$36</f>
        <v>28.3321024222695</v>
      </c>
      <c r="E6" s="38" t="n">
        <f aca="false">C6/Val!$B$36-1</f>
        <v>0.0737614321288895</v>
      </c>
      <c r="F6" s="1" t="s">
        <v>1398</v>
      </c>
      <c r="G6" s="12" t="s">
        <v>1396</v>
      </c>
    </row>
    <row r="7" customFormat="false" ht="17.15" hidden="false" customHeight="false" outlineLevel="0" collapsed="false">
      <c r="A7" s="1" t="s">
        <v>1399</v>
      </c>
      <c r="B7" s="1" t="s">
        <v>1400</v>
      </c>
      <c r="C7" s="5" t="n">
        <f aca="false">w_dcf*(w_A*Sens!$C$2159+w_B*Sens!$C$2358+w_C*Sens!$C$2557)+(1-w_dcf)*(w_A*Sens!$C$2188+w_B*Sens!$C$2387+w_C*Sens!$C$2586)</f>
        <v>384.921456864688</v>
      </c>
      <c r="D7" s="39" t="n">
        <f aca="false">C7-Val!$B$36</f>
        <v>0.816897007953571</v>
      </c>
      <c r="E7" s="38" t="n">
        <f aca="false">C7/Val!$B$36-1</f>
        <v>0.00212675686083563</v>
      </c>
      <c r="F7" s="1" t="s">
        <v>1401</v>
      </c>
      <c r="G7" s="12" t="s">
        <v>508</v>
      </c>
    </row>
    <row r="8" customFormat="false" ht="17.15" hidden="false" customHeight="false" outlineLevel="0" collapsed="false">
      <c r="A8" s="1" t="s">
        <v>1402</v>
      </c>
      <c r="B8" s="1" t="s">
        <v>1400</v>
      </c>
      <c r="C8" s="5" t="n">
        <f aca="false">w_dcf*(w_A*Sens!$C$2756+w_B*Sens!$C$2955+w_C*Sens!$C$3154)+(1-w_dcf)*(w_A*Sens!$C$2785+w_B*Sens!$C$2984+w_C*Sens!$C$3183)</f>
        <v>377.881091615759</v>
      </c>
      <c r="D8" s="39" t="n">
        <f aca="false">C8-Val!$B$36</f>
        <v>-6.22346824097559</v>
      </c>
      <c r="E8" s="38" t="n">
        <f aca="false">C8/Val!$B$36-1</f>
        <v>-0.0162025367345205</v>
      </c>
      <c r="F8" s="12" t="s">
        <v>1403</v>
      </c>
      <c r="G8" s="12" t="s">
        <v>508</v>
      </c>
    </row>
    <row r="9" customFormat="false" ht="17.15" hidden="false" customHeight="false" outlineLevel="0" collapsed="false">
      <c r="A9" s="0" t="s">
        <v>1404</v>
      </c>
      <c r="B9" s="1" t="s">
        <v>1405</v>
      </c>
      <c r="C9" s="5" t="n">
        <f aca="false">w_dcf*(w_A*Sens!$C$3353+w_B*Sens!$C$3552+w_C*Sens!$C$3751)+(1-w_dcf)*(w_A*Sens!$C$3382+w_B*Sens!$C$3581+w_C*Sens!$C$3780)</f>
        <v>355.554808525254</v>
      </c>
      <c r="D9" s="39" t="n">
        <f aca="false">C9-Val!$B$36</f>
        <v>-28.5497513314804</v>
      </c>
      <c r="E9" s="38" t="n">
        <f aca="false">C9/Val!$B$36-1</f>
        <v>-0.0743280718722243</v>
      </c>
      <c r="F9" s="1" t="s">
        <v>1406</v>
      </c>
      <c r="G9" s="12" t="s">
        <v>1407</v>
      </c>
    </row>
    <row r="10" customFormat="false" ht="17.15" hidden="false" customHeight="false" outlineLevel="0" collapsed="false">
      <c r="A10" s="0" t="s">
        <v>1408</v>
      </c>
      <c r="B10" s="1" t="s">
        <v>1405</v>
      </c>
      <c r="C10" s="5" t="n">
        <f aca="false">w_dcf*(w_A*Sens!$C$3950+w_B*Sens!$C$4149+w_C*Sens!$C$4348)+(1-w_dcf)*(w_A*Sens!$C$3979+w_B*Sens!$C$4178+w_C*Sens!$C$4377)</f>
        <v>386.889702037667</v>
      </c>
      <c r="D10" s="39" t="n">
        <f aca="false">C10-Val!$B$36</f>
        <v>2.78514218093267</v>
      </c>
      <c r="E10" s="38" t="n">
        <f aca="false">C10/Val!$B$36-1</f>
        <v>0.00725100004533008</v>
      </c>
      <c r="F10" s="12" t="s">
        <v>1409</v>
      </c>
      <c r="G10" s="12" t="s">
        <v>479</v>
      </c>
    </row>
    <row r="11" customFormat="false" ht="17.15" hidden="false" customHeight="false" outlineLevel="0" collapsed="false">
      <c r="A11" s="0" t="s">
        <v>1410</v>
      </c>
      <c r="B11" s="1" t="s">
        <v>1411</v>
      </c>
      <c r="C11" s="5" t="n">
        <f aca="false">w_dcf*(w_A*Sens!$C$4547+w_B*Sens!$C$4746+w_C*Sens!$C$4945)+(1-w_dcf)*(w_A*Sens!$C$4576+w_B*Sens!$C$4775+w_C*Sens!$C$4974)</f>
        <v>361.511422726888</v>
      </c>
      <c r="D11" s="39" t="n">
        <f aca="false">C11-Val!$B$36</f>
        <v>-22.5931371298459</v>
      </c>
      <c r="E11" s="38" t="n">
        <f aca="false">C11/Val!$B$36-1</f>
        <v>-0.0588202783592906</v>
      </c>
      <c r="F11" s="1" t="s">
        <v>1412</v>
      </c>
      <c r="G11" s="12" t="s">
        <v>440</v>
      </c>
    </row>
    <row r="12" customFormat="false" ht="17.15" hidden="false" customHeight="false" outlineLevel="0" collapsed="false">
      <c r="A12" s="0" t="s">
        <v>1413</v>
      </c>
      <c r="B12" s="1" t="s">
        <v>1411</v>
      </c>
      <c r="C12" s="5" t="n">
        <f aca="false">w_dcf*(w_A*Sens!$C$5144+w_B*Sens!$C$5343+w_C*Sens!$C$5542)+(1-w_dcf)*(w_A*Sens!$C$5173+w_B*Sens!$C$5372+w_C*Sens!$C$5571)</f>
        <v>398.833480967003</v>
      </c>
      <c r="D12" s="39" t="n">
        <f aca="false">C12-Val!$B$36</f>
        <v>14.7289211102689</v>
      </c>
      <c r="E12" s="38" t="n">
        <f aca="false">C12/Val!$B$36-1</f>
        <v>0.0383461240755969</v>
      </c>
      <c r="F12" s="12" t="s">
        <v>87</v>
      </c>
      <c r="G12" s="12" t="s">
        <v>440</v>
      </c>
    </row>
    <row r="13" customFormat="false" ht="17.15" hidden="false" customHeight="false" outlineLevel="0" collapsed="false">
      <c r="A13" s="0" t="s">
        <v>1414</v>
      </c>
      <c r="B13" s="1" t="s">
        <v>1415</v>
      </c>
      <c r="C13" s="5" t="n">
        <f aca="false">w_dcf*(w_A*Sens!$C$5741+w_B*Sens!$C$5940+w_C*Sens!$C$6139)+(1-w_dcf)*(w_A*Sens!$C$5770+w_B*Sens!$C$5969+w_C*Sens!$C$6168)</f>
        <v>378.397575753738</v>
      </c>
      <c r="D13" s="39" t="n">
        <f aca="false">C13-Val!$B$36</f>
        <v>-5.7069841029961</v>
      </c>
      <c r="E13" s="38" t="n">
        <f aca="false">C13/Val!$B$36-1</f>
        <v>-0.014857892093561</v>
      </c>
      <c r="F13" s="12" t="s">
        <v>1416</v>
      </c>
      <c r="G13" s="12" t="s">
        <v>541</v>
      </c>
    </row>
    <row r="14" customFormat="false" ht="17.15" hidden="false" customHeight="false" outlineLevel="0" collapsed="false">
      <c r="A14" s="0" t="s">
        <v>1417</v>
      </c>
      <c r="B14" s="1" t="s">
        <v>1415</v>
      </c>
      <c r="C14" s="5" t="n">
        <f aca="false">w_dcf*(w_A*Sens!$C$6338+w_B*Sens!$C$6537+w_C*Sens!$C$6736)+(1-w_dcf)*(w_A*Sens!$C$6367+w_B*Sens!$C$6566+w_C*Sens!$C$6765)</f>
        <v>387.906128817514</v>
      </c>
      <c r="D14" s="39" t="n">
        <f aca="false">C14-Val!$B$36</f>
        <v>3.80156896077955</v>
      </c>
      <c r="E14" s="38" t="n">
        <f aca="false">C14/Val!$B$36-1</f>
        <v>0.00989722424070538</v>
      </c>
      <c r="F14" s="12" t="s">
        <v>1418</v>
      </c>
      <c r="G14" s="12" t="s">
        <v>541</v>
      </c>
    </row>
    <row r="15" customFormat="false" ht="17.15" hidden="false" customHeight="false" outlineLevel="0" collapsed="false">
      <c r="A15" s="0" t="s">
        <v>1419</v>
      </c>
      <c r="B15" s="1" t="s">
        <v>1420</v>
      </c>
      <c r="C15" s="5" t="n">
        <f aca="false">w_dcf*(w_A*Sens!$C$6935+w_B*Sens!$C$7134+w_C*Sens!$C$7333)+(1-w_dcf)*(w_A*Sens!$C$6964+w_B*Sens!$C$7163+w_C*Sens!$C$7362)</f>
        <v>385.694340556992</v>
      </c>
      <c r="D15" s="39" t="n">
        <f aca="false">C15-Val!$B$36</f>
        <v>1.58978070025807</v>
      </c>
      <c r="E15" s="38" t="n">
        <f aca="false">C15/Val!$B$36-1</f>
        <v>0.00413892691315887</v>
      </c>
      <c r="F15" s="1" t="s">
        <v>1421</v>
      </c>
      <c r="G15" s="12" t="s">
        <v>1422</v>
      </c>
    </row>
    <row r="16" customFormat="false" ht="17.15" hidden="false" customHeight="false" outlineLevel="0" collapsed="false">
      <c r="A16" s="0" t="s">
        <v>1423</v>
      </c>
      <c r="B16" s="1" t="s">
        <v>1420</v>
      </c>
      <c r="C16" s="5" t="n">
        <f aca="false">w_dcf*(w_A*Sens!$C$7532+w_B*Sens!$C$7731+w_C*Sens!$C$7930)+(1-w_dcf)*(w_A*Sens!$C$7561+w_B*Sens!$C$7760+w_C*Sens!$C$7959)</f>
        <v>382.499962754302</v>
      </c>
      <c r="D16" s="39" t="n">
        <f aca="false">C16-Val!$B$36</f>
        <v>-1.60459710243185</v>
      </c>
      <c r="E16" s="38" t="n">
        <f aca="false">C16/Val!$B$36-1</f>
        <v>-0.00417750079048873</v>
      </c>
      <c r="F16" s="12" t="s">
        <v>87</v>
      </c>
      <c r="G16" s="12" t="s">
        <v>1422</v>
      </c>
    </row>
    <row r="17" customFormat="false" ht="17.15" hidden="false" customHeight="false" outlineLevel="0" collapsed="false">
      <c r="A17" s="0" t="s">
        <v>1424</v>
      </c>
      <c r="B17" s="1" t="s">
        <v>1425</v>
      </c>
      <c r="C17" s="5" t="n">
        <f aca="false">w_dcf*(w_A*Sens!$C$8129+w_B*Sens!$C$8328+w_C*Sens!$C$8527)+(1-w_dcf)*(w_A*Sens!$C$8158+w_B*Sens!$C$8357+w_C*Sens!$C$8556)</f>
        <v>385.208536595606</v>
      </c>
      <c r="D17" s="39" t="n">
        <f aca="false">C17-Val!$B$36</f>
        <v>1.10397673887189</v>
      </c>
      <c r="E17" s="38" t="n">
        <f aca="false">C17/Val!$B$36-1</f>
        <v>0.00287415681626801</v>
      </c>
      <c r="F17" s="1" t="s">
        <v>1426</v>
      </c>
      <c r="G17" s="12" t="s">
        <v>621</v>
      </c>
    </row>
    <row r="18" customFormat="false" ht="17.15" hidden="false" customHeight="false" outlineLevel="0" collapsed="false">
      <c r="A18" s="0" t="s">
        <v>1427</v>
      </c>
      <c r="B18" s="1" t="s">
        <v>1425</v>
      </c>
      <c r="C18" s="5" t="n">
        <f aca="false">w_dcf*(w_A*Sens!$C$8726+w_B*Sens!$C$8925+w_C*Sens!$C$9124)+(1-w_dcf)*(w_A*Sens!$C$8755+w_B*Sens!$C$8954+w_C*Sens!$C$9153)</f>
        <v>383.287934655702</v>
      </c>
      <c r="D18" s="39" t="n">
        <f aca="false">C18-Val!$B$36</f>
        <v>-0.816625201031911</v>
      </c>
      <c r="E18" s="38" t="n">
        <f aca="false">C18/Val!$B$36-1</f>
        <v>-0.00212604922299409</v>
      </c>
      <c r="F18" s="12" t="s">
        <v>87</v>
      </c>
      <c r="G18" s="12" t="s">
        <v>621</v>
      </c>
    </row>
    <row r="19" customFormat="false" ht="17.15" hidden="false" customHeight="false" outlineLevel="0" collapsed="false">
      <c r="A19" s="0" t="s">
        <v>1428</v>
      </c>
      <c r="B19" s="1" t="s">
        <v>1429</v>
      </c>
      <c r="C19" s="5" t="n">
        <f aca="false">w_dcf*(w_A*Sens!$C$9323+w_B*Sens!$C$9522+w_C*Sens!$C$9721)+(1-w_dcf)*(w_A*Sens!$C$9352+w_B*Sens!$C$9551+w_C*Sens!$C$9750)</f>
        <v>379.509075504804</v>
      </c>
      <c r="D19" s="39" t="n">
        <f aca="false">C19-Val!$B$36</f>
        <v>-4.59548435193005</v>
      </c>
      <c r="E19" s="38" t="n">
        <f aca="false">C19/Val!$B$36-1</f>
        <v>-0.0119641494327589</v>
      </c>
      <c r="F19" s="1" t="s">
        <v>1430</v>
      </c>
      <c r="G19" s="12" t="s">
        <v>649</v>
      </c>
    </row>
    <row r="20" customFormat="false" ht="17.15" hidden="false" customHeight="false" outlineLevel="0" collapsed="false">
      <c r="A20" s="0" t="s">
        <v>1431</v>
      </c>
      <c r="B20" s="1" t="s">
        <v>1429</v>
      </c>
      <c r="C20" s="5" t="n">
        <f aca="false">w_dcf*(w_A*Sens!$C$9920+w_B*Sens!$C$10119+w_C*Sens!$C$10318)+(1-w_dcf)*(w_A*Sens!$C$9949+w_B*Sens!$C$10148+w_C*Sens!$C$10347)</f>
        <v>390.630052869307</v>
      </c>
      <c r="D20" s="39" t="n">
        <f aca="false">C20-Val!$B$36</f>
        <v>6.5254930125725</v>
      </c>
      <c r="E20" s="38" t="n">
        <f aca="false">C20/Val!$B$36-1</f>
        <v>0.0169888454721976</v>
      </c>
      <c r="F20" s="12" t="s">
        <v>87</v>
      </c>
      <c r="G20" s="12" t="s">
        <v>649</v>
      </c>
    </row>
    <row r="21" customFormat="false" ht="17.15" hidden="false" customHeight="false" outlineLevel="0" collapsed="false">
      <c r="A21" s="1" t="s">
        <v>1432</v>
      </c>
      <c r="B21" s="1" t="s">
        <v>1433</v>
      </c>
      <c r="C21" s="5" t="n">
        <f aca="false">w_dcf*(w_A*Sens!$C$10517+w_B*Sens!$C$10716+w_C*Sens!$C$10915)+(1-w_dcf)*(w_A*Sens!$C$10546+w_B*Sens!$C$10745+w_C*Sens!$C$10944)</f>
        <v>383.52524497232</v>
      </c>
      <c r="D21" s="39" t="n">
        <f aca="false">C21-Val!$B$36</f>
        <v>-0.579314884413748</v>
      </c>
      <c r="E21" s="38" t="n">
        <f aca="false">C21/Val!$B$36-1</f>
        <v>-0.00150822183581945</v>
      </c>
      <c r="F21" s="1" t="s">
        <v>1434</v>
      </c>
      <c r="G21" s="12" t="s">
        <v>663</v>
      </c>
    </row>
    <row r="22" customFormat="false" ht="17.15" hidden="false" customHeight="false" outlineLevel="0" collapsed="false">
      <c r="A22" s="1" t="s">
        <v>1435</v>
      </c>
      <c r="B22" s="1" t="s">
        <v>1433</v>
      </c>
      <c r="C22" s="5" t="n">
        <f aca="false">w_dcf*(w_A*Sens!$C$11114+w_B*Sens!$C$11313+w_C*Sens!$C$11512)+(1-w_dcf)*(w_A*Sens!$C$11143+w_B*Sens!$C$11342+w_C*Sens!$C$11541)</f>
        <v>384.718918690942</v>
      </c>
      <c r="D22" s="39" t="n">
        <f aca="false">C22-Val!$B$36</f>
        <v>0.614358834207906</v>
      </c>
      <c r="E22" s="38" t="n">
        <f aca="false">C22/Val!$B$36-1</f>
        <v>0.00159945727912492</v>
      </c>
      <c r="F22" s="12" t="s">
        <v>87</v>
      </c>
      <c r="G22" s="12" t="s">
        <v>663</v>
      </c>
    </row>
    <row r="23" customFormat="false" ht="17.15" hidden="false" customHeight="false" outlineLevel="0" collapsed="false">
      <c r="A23" s="0" t="s">
        <v>1436</v>
      </c>
      <c r="B23" s="1" t="s">
        <v>1437</v>
      </c>
      <c r="C23" s="5" t="n">
        <f aca="false">w_dcf*(w_A*Sens!$C$11711+w_B*Sens!$C$11910+w_C*Sens!$C$12109)+(1-w_dcf)*(w_A*Sens!$C$11740+w_B*Sens!$C$11939+w_C*Sens!$C$12138)</f>
        <v>383.619311608564</v>
      </c>
      <c r="D23" s="39" t="n">
        <f aca="false">C23-Val!$B$36</f>
        <v>-0.485248248170137</v>
      </c>
      <c r="E23" s="38" t="n">
        <f aca="false">C23/Val!$B$36-1</f>
        <v>-0.00126332332100176</v>
      </c>
      <c r="F23" s="1" t="s">
        <v>1438</v>
      </c>
      <c r="G23" s="12" t="s">
        <v>665</v>
      </c>
    </row>
    <row r="24" customFormat="false" ht="17.15" hidden="false" customHeight="false" outlineLevel="0" collapsed="false">
      <c r="A24" s="0" t="s">
        <v>1439</v>
      </c>
      <c r="B24" s="1" t="s">
        <v>1437</v>
      </c>
      <c r="C24" s="5" t="n">
        <f aca="false">w_dcf*(w_A*Sens!$C$12308+w_B*Sens!$C$12507+w_C*Sens!$C$12706)+(1-w_dcf)*(w_A*Sens!$C$12337+w_B*Sens!$C$12536+w_C*Sens!$C$12735)</f>
        <v>384.493059129691</v>
      </c>
      <c r="D24" s="39" t="n">
        <f aca="false">C24-Val!$B$36</f>
        <v>0.388499272957233</v>
      </c>
      <c r="E24" s="38" t="n">
        <f aca="false">C24/Val!$B$36-1</f>
        <v>0.00101144144995868</v>
      </c>
      <c r="F24" s="12" t="s">
        <v>87</v>
      </c>
      <c r="G24" s="12" t="s">
        <v>665</v>
      </c>
    </row>
    <row r="25" customFormat="false" ht="17.15" hidden="false" customHeight="false" outlineLevel="0" collapsed="false">
      <c r="A25" s="1" t="s">
        <v>1440</v>
      </c>
      <c r="B25" s="1" t="s">
        <v>1441</v>
      </c>
      <c r="C25" s="5" t="n">
        <f aca="false">w_dcf*(w_A*Sens!$C$12905+w_B*Sens!$C$13104+w_C*Sens!$C$13303)+(1-w_dcf)*(w_A*Sens!$C$12934+w_B*Sens!$C$13133+w_C*Sens!$C$13332)</f>
        <v>370.980983235135</v>
      </c>
      <c r="D25" s="39" t="n">
        <f aca="false">C25-Val!$B$36</f>
        <v>-13.1235766215987</v>
      </c>
      <c r="E25" s="38" t="n">
        <f aca="false">C25/Val!$B$36-1</f>
        <v>-0.0341666774966005</v>
      </c>
      <c r="F25" s="12" t="s">
        <v>1442</v>
      </c>
      <c r="G25" s="12" t="s">
        <v>671</v>
      </c>
    </row>
    <row r="26" customFormat="false" ht="17.15" hidden="false" customHeight="false" outlineLevel="0" collapsed="false">
      <c r="A26" s="1" t="s">
        <v>1443</v>
      </c>
      <c r="B26" s="1" t="s">
        <v>1441</v>
      </c>
      <c r="C26" s="5" t="n">
        <f aca="false">w_dcf*(w_A*Sens!$C$13502+w_B*Sens!$C$13701+w_C*Sens!$C$13900)+(1-w_dcf)*(w_A*Sens!$C$13531+w_B*Sens!$C$13730+w_C*Sens!$C$13929)</f>
        <v>397.203873372213</v>
      </c>
      <c r="D26" s="39" t="n">
        <f aca="false">C26-Val!$B$36</f>
        <v>13.0993135154791</v>
      </c>
      <c r="E26" s="38" t="n">
        <f aca="false">C26/Val!$B$36-1</f>
        <v>0.034103509524503</v>
      </c>
      <c r="F26" s="12" t="s">
        <v>87</v>
      </c>
      <c r="G26" s="12" t="s">
        <v>671</v>
      </c>
    </row>
    <row r="27" customFormat="false" ht="17.15" hidden="false" customHeight="false" outlineLevel="0" collapsed="false">
      <c r="A27" s="0" t="s">
        <v>1444</v>
      </c>
      <c r="B27" s="1" t="s">
        <v>1445</v>
      </c>
      <c r="C27" s="5" t="n">
        <f aca="false">w_dcf*(w_A*Sens!$C$13949+w_B*Sens!$C$13998+w_C*Sens!$C$14047)+(1-w_dcf)*(w_A*Sens!$C$13978+w_B*Sens!$C$14027+w_C*Sens!$C$14076)</f>
        <v>406.415266893494</v>
      </c>
      <c r="D27" s="39" t="n">
        <f aca="false">C27-Val!$B$36</f>
        <v>22.3107070367601</v>
      </c>
      <c r="E27" s="38" t="n">
        <f aca="false">C27/Val!$B$36-1</f>
        <v>0.0580849835395905</v>
      </c>
      <c r="F27" s="1" t="s">
        <v>1446</v>
      </c>
      <c r="G27" s="12" t="s">
        <v>265</v>
      </c>
    </row>
    <row r="28" customFormat="false" ht="17.15" hidden="false" customHeight="false" outlineLevel="0" collapsed="false">
      <c r="A28" s="0" t="s">
        <v>1447</v>
      </c>
      <c r="B28" s="1" t="s">
        <v>1445</v>
      </c>
      <c r="C28" s="5" t="n">
        <f aca="false">w_dcf*(w_A*Sens!$C$14096+w_B*Sens!$C$14145+w_C*Sens!$C$14194)+(1-w_dcf)*(w_A*Sens!$C$14125+w_B*Sens!$C$14174+w_C*Sens!$C$14223)</f>
        <v>365.876071961982</v>
      </c>
      <c r="D28" s="39" t="n">
        <f aca="false">C28-Val!$B$36</f>
        <v>-18.2284878947522</v>
      </c>
      <c r="E28" s="38" t="n">
        <f aca="false">C28/Val!$B$36-1</f>
        <v>-0.0474570984045365</v>
      </c>
      <c r="F28" s="12" t="s">
        <v>87</v>
      </c>
      <c r="G28" s="12" t="s">
        <v>265</v>
      </c>
    </row>
    <row r="29" customFormat="false" ht="15" hidden="false" customHeight="false" outlineLevel="0" collapsed="false">
      <c r="A29" s="0" t="s">
        <v>1448</v>
      </c>
      <c r="B29" s="1" t="s">
        <v>1449</v>
      </c>
      <c r="C29" s="5" t="n">
        <f aca="false">w_dcf*(w_A*Sens!$C$14243+w_B*Sens!$C$14292+w_C*Sens!$C$14341)+(1-w_dcf)*(w_A*Sens!$C$14272+w_B*Sens!$C$14321+w_C*Sens!$C$14370)</f>
        <v>382.778879928943</v>
      </c>
      <c r="D29" s="39" t="n">
        <f aca="false">C29-Val!$B$36</f>
        <v>-1.32567992779104</v>
      </c>
      <c r="E29" s="38" t="n">
        <f aca="false">C29/Val!$B$36-1</f>
        <v>-0.00345135170560196</v>
      </c>
      <c r="F29" s="12" t="s">
        <v>87</v>
      </c>
      <c r="G29" s="12" t="s">
        <v>269</v>
      </c>
    </row>
    <row r="30" customFormat="false" ht="15" hidden="false" customHeight="false" outlineLevel="0" collapsed="false">
      <c r="A30" s="0" t="s">
        <v>1450</v>
      </c>
      <c r="B30" s="1" t="s">
        <v>1449</v>
      </c>
      <c r="C30" s="5" t="n">
        <f aca="false">w_dcf*(w_A*Sens!$C$14390+w_B*Sens!$C$14439+w_C*Sens!$C$14488)+(1-w_dcf)*(w_A*Sens!$C$14419+w_B*Sens!$C$14468+w_C*Sens!$C$14517)</f>
        <v>385.430239784525</v>
      </c>
      <c r="D30" s="39" t="n">
        <f aca="false">C30-Val!$B$36</f>
        <v>1.32567992779127</v>
      </c>
      <c r="E30" s="38" t="n">
        <f aca="false">C30/Val!$B$36-1</f>
        <v>0.00345135170560251</v>
      </c>
      <c r="F30" s="12" t="s">
        <v>87</v>
      </c>
      <c r="G30" s="12" t="s">
        <v>269</v>
      </c>
    </row>
    <row r="31" customFormat="false" ht="17.15" hidden="false" customHeight="false" outlineLevel="0" collapsed="false">
      <c r="A31" s="0" t="s">
        <v>1451</v>
      </c>
      <c r="B31" s="1" t="s">
        <v>1452</v>
      </c>
      <c r="C31" s="5" t="n">
        <f aca="false">w_dcf*(w_A*Sens!$C$14537+w_B*Sens!$C$14586+w_C*Sens!$C$14635)+(1-w_dcf)*(w_A*Sens!$C$14566+w_B*Sens!$C$14615+w_C*Sens!$C$14664)</f>
        <v>395.358678833893</v>
      </c>
      <c r="D31" s="39" t="n">
        <f aca="false">C31-Val!$B$36</f>
        <v>11.2541189771584</v>
      </c>
      <c r="E31" s="38" t="n">
        <f aca="false">C31/Val!$B$36-1</f>
        <v>0.0292996234706406</v>
      </c>
      <c r="F31" s="1" t="s">
        <v>1453</v>
      </c>
      <c r="G31" s="12" t="s">
        <v>242</v>
      </c>
    </row>
    <row r="32" customFormat="false" ht="15" hidden="false" customHeight="false" outlineLevel="0" collapsed="false">
      <c r="A32" s="0" t="s">
        <v>1454</v>
      </c>
      <c r="B32" s="1" t="s">
        <v>1452</v>
      </c>
      <c r="C32" s="5" t="n">
        <f aca="false">w_dcf*(w_A*Sens!$C$14684+w_B*Sens!$C$14733+w_C*Sens!$C$14782)+(1-w_dcf)*(w_A*Sens!$C$14713+w_B*Sens!$C$14762+w_C*Sens!$C$14811)</f>
        <v>364.862143276164</v>
      </c>
      <c r="D32" s="39" t="n">
        <f aca="false">C32-Val!$B$36</f>
        <v>-19.2424165805702</v>
      </c>
      <c r="E32" s="38" t="n">
        <f aca="false">C32/Val!$B$36-1</f>
        <v>-0.0500968189176076</v>
      </c>
      <c r="F32" s="12" t="s">
        <v>87</v>
      </c>
      <c r="G32" s="12" t="s">
        <v>242</v>
      </c>
    </row>
    <row r="33" customFormat="false" ht="17.15" hidden="false" customHeight="false" outlineLevel="0" collapsed="false">
      <c r="A33" s="1" t="s">
        <v>1455</v>
      </c>
      <c r="B33" s="1" t="s">
        <v>1456</v>
      </c>
      <c r="C33" s="5" t="n">
        <f aca="false">w_dcf*(w_A*Sens!$C$14831+w_B*Sens!$C$14880+w_C*Sens!$C$14929)+(1-w_dcf)*(w_A*Sens!$C$14860+w_B*Sens!$C$14909+w_C*Sens!$C$14958)</f>
        <v>402.466150402382</v>
      </c>
      <c r="D33" s="39" t="n">
        <f aca="false">C33-Val!$B$36</f>
        <v>18.3615905456475</v>
      </c>
      <c r="E33" s="38" t="n">
        <f aca="false">C33/Val!$B$36-1</f>
        <v>0.0478036255349223</v>
      </c>
      <c r="F33" s="12" t="s">
        <v>1457</v>
      </c>
      <c r="G33" s="12" t="s">
        <v>273</v>
      </c>
    </row>
    <row r="34" customFormat="false" ht="17.15" hidden="false" customHeight="false" outlineLevel="0" collapsed="false">
      <c r="A34" s="0" t="s">
        <v>1458</v>
      </c>
      <c r="B34" s="1" t="s">
        <v>1459</v>
      </c>
      <c r="C34" s="5" t="n">
        <f aca="false">w_dcf*(w_A*Sens!$C$14978+w_B*Sens!$C$15027+w_C*Sens!$C$15076)+(1-w_dcf)*(w_A*Sens!$C$15007+w_B*Sens!$C$15056+w_C*Sens!$C$15105)</f>
        <v>344.065757814848</v>
      </c>
      <c r="D34" s="39" t="n">
        <f aca="false">C34-Val!$B$36</f>
        <v>-40.0388020418865</v>
      </c>
      <c r="E34" s="38" t="n">
        <f aca="false">C34/Val!$B$36-1</f>
        <v>-0.104239330188687</v>
      </c>
      <c r="F34" s="1" t="s">
        <v>1460</v>
      </c>
      <c r="G34" s="12" t="s">
        <v>1461</v>
      </c>
    </row>
    <row r="35" customFormat="false" ht="17.15" hidden="false" customHeight="false" outlineLevel="0" collapsed="false">
      <c r="A35" s="0" t="s">
        <v>1462</v>
      </c>
      <c r="B35" s="1" t="s">
        <v>1459</v>
      </c>
      <c r="C35" s="5" t="n">
        <f aca="false">w_dcf*(w_A*Sens!$C$15125+w_B*Sens!$C$15174+w_C*Sens!$C$15223)+(1-w_dcf)*(w_A*Sens!$C$15154+w_B*Sens!$C$15203+w_C*Sens!$C$15252)</f>
        <v>424.143361898621</v>
      </c>
      <c r="D35" s="39" t="n">
        <f aca="false">C35-Val!$B$36</f>
        <v>40.0388020418865</v>
      </c>
      <c r="E35" s="38" t="n">
        <f aca="false">C35/Val!$B$36-1</f>
        <v>0.104239330188687</v>
      </c>
      <c r="F35" s="12" t="s">
        <v>87</v>
      </c>
      <c r="G35" s="12" t="s">
        <v>1461</v>
      </c>
    </row>
    <row r="36" customFormat="false" ht="17.15" hidden="false" customHeight="false" outlineLevel="0" collapsed="false">
      <c r="A36" s="0" t="s">
        <v>1463</v>
      </c>
      <c r="B36" s="1" t="s">
        <v>1464</v>
      </c>
      <c r="C36" s="40" t="n">
        <v>352.041854363742</v>
      </c>
      <c r="D36" s="39" t="n">
        <f aca="false">C36-Val!$B$36</f>
        <v>-32.0627054929921</v>
      </c>
      <c r="E36" s="38" t="n">
        <f aca="false">C36/Val!$B$36-1</f>
        <v>-0.0834738996718786</v>
      </c>
      <c r="F36" s="12" t="s">
        <v>1465</v>
      </c>
      <c r="G36" s="12" t="s">
        <v>1466</v>
      </c>
    </row>
    <row r="37" customFormat="false" ht="17.15" hidden="false" customHeight="false" outlineLevel="0" collapsed="false">
      <c r="A37" s="0" t="s">
        <v>1467</v>
      </c>
      <c r="B37" s="1" t="s">
        <v>1464</v>
      </c>
      <c r="C37" s="40" t="n">
        <v>462.762182347233</v>
      </c>
      <c r="D37" s="39" t="n">
        <f aca="false">C37-Val!$B$36</f>
        <v>78.6576224904989</v>
      </c>
      <c r="E37" s="38" t="n">
        <f aca="false">C37/Val!$B$36-1</f>
        <v>0.204781798268256</v>
      </c>
      <c r="F37" s="12" t="s">
        <v>1468</v>
      </c>
      <c r="G37" s="12" t="s">
        <v>1466</v>
      </c>
    </row>
    <row r="38" customFormat="false" ht="17.15" hidden="false" customHeight="false" outlineLevel="0" collapsed="false">
      <c r="A38" s="0" t="s">
        <v>1469</v>
      </c>
      <c r="B38" s="1" t="s">
        <v>1470</v>
      </c>
      <c r="C38" s="40" t="n">
        <v>405.508163407785</v>
      </c>
      <c r="D38" s="39" t="n">
        <f aca="false">C38-Val!$B$36</f>
        <v>21.4036035510509</v>
      </c>
      <c r="E38" s="38" t="n">
        <f aca="false">C38/Val!$B$36-1</f>
        <v>0.0557233779235375</v>
      </c>
      <c r="F38" s="12" t="s">
        <v>1471</v>
      </c>
      <c r="G38" s="12" t="s">
        <v>464</v>
      </c>
    </row>
    <row r="39" customFormat="false" ht="17.15" hidden="false" customHeight="false" outlineLevel="0" collapsed="false">
      <c r="A39" s="0" t="s">
        <v>1472</v>
      </c>
      <c r="B39" s="1" t="s">
        <v>1470</v>
      </c>
      <c r="C39" s="40" t="n">
        <v>359.288713248563</v>
      </c>
      <c r="D39" s="39" t="n">
        <f aca="false">C39-Val!$B$36</f>
        <v>-24.8158466081711</v>
      </c>
      <c r="E39" s="38" t="n">
        <f aca="false">C39/Val!$B$36-1</f>
        <v>-0.064607008616162</v>
      </c>
      <c r="F39" s="12" t="s">
        <v>1473</v>
      </c>
      <c r="G39" s="12" t="s">
        <v>464</v>
      </c>
    </row>
    <row r="40" customFormat="false" ht="15" hidden="false" customHeight="false" outlineLevel="0" collapsed="false">
      <c r="A40" s="1" t="s">
        <v>1474</v>
      </c>
      <c r="B40" s="1" t="s">
        <v>1475</v>
      </c>
      <c r="C40" s="40" t="n">
        <v>384.51199970556</v>
      </c>
      <c r="D40" s="39" t="n">
        <f aca="false">C40-Val!$B$36</f>
        <v>0.407439848825902</v>
      </c>
      <c r="E40" s="38" t="n">
        <f aca="false">C40/Val!$B$36-1</f>
        <v>0.00106075243933024</v>
      </c>
      <c r="F40" s="12" t="s">
        <v>1476</v>
      </c>
      <c r="G40" s="12" t="s">
        <v>512</v>
      </c>
    </row>
    <row r="41" customFormat="false" ht="15" hidden="false" customHeight="false" outlineLevel="0" collapsed="false">
      <c r="A41" s="1" t="s">
        <v>1477</v>
      </c>
      <c r="B41" s="1" t="s">
        <v>1475</v>
      </c>
      <c r="C41" s="40" t="n">
        <v>382.001130209991</v>
      </c>
      <c r="D41" s="39" t="n">
        <f aca="false">C41-Val!$B$36</f>
        <v>-2.10342964674311</v>
      </c>
      <c r="E41" s="38" t="n">
        <f aca="false">C41/Val!$B$36-1</f>
        <v>-0.005476190252799</v>
      </c>
      <c r="F41" s="12" t="s">
        <v>1478</v>
      </c>
      <c r="G41" s="12" t="s">
        <v>512</v>
      </c>
    </row>
    <row r="42" customFormat="false" ht="17.15" hidden="false" customHeight="false" outlineLevel="0" collapsed="false">
      <c r="A42" s="1" t="s">
        <v>1479</v>
      </c>
      <c r="B42" s="1" t="s">
        <v>1480</v>
      </c>
      <c r="C42" s="40" t="n">
        <v>385.869060286426</v>
      </c>
      <c r="D42" s="39" t="n">
        <f aca="false">C42-Val!$B$36</f>
        <v>1.76450042969191</v>
      </c>
      <c r="E42" s="38" t="n">
        <f aca="false">C42/Val!$B$36-1</f>
        <v>0.00459380234993834</v>
      </c>
      <c r="F42" s="12" t="s">
        <v>1481</v>
      </c>
      <c r="G42" s="12" t="s">
        <v>537</v>
      </c>
    </row>
    <row r="43" customFormat="false" ht="17.15" hidden="false" customHeight="false" outlineLevel="0" collapsed="false">
      <c r="A43" s="1" t="s">
        <v>1482</v>
      </c>
      <c r="B43" s="1" t="s">
        <v>1480</v>
      </c>
      <c r="C43" s="40" t="n">
        <v>379.697487869093</v>
      </c>
      <c r="D43" s="39" t="n">
        <f aca="false">C43-Val!$B$36</f>
        <v>-4.40707198764113</v>
      </c>
      <c r="E43" s="38" t="n">
        <f aca="false">C43/Val!$B$36-1</f>
        <v>-0.0114736257994045</v>
      </c>
      <c r="F43" s="12" t="s">
        <v>1483</v>
      </c>
      <c r="G43" s="12" t="s">
        <v>537</v>
      </c>
    </row>
    <row r="44" customFormat="false" ht="17.15" hidden="false" customHeight="false" outlineLevel="0" collapsed="false">
      <c r="A44" s="0" t="s">
        <v>1484</v>
      </c>
      <c r="B44" s="1" t="s">
        <v>1480</v>
      </c>
      <c r="C44" s="40" t="n">
        <v>384.83318178094</v>
      </c>
      <c r="D44" s="39" t="n">
        <f aca="false">C44-Val!$B$36</f>
        <v>0.728621924205868</v>
      </c>
      <c r="E44" s="38" t="n">
        <f aca="false">C44/Val!$B$36-1</f>
        <v>0.00189693640835098</v>
      </c>
      <c r="F44" s="12" t="s">
        <v>1485</v>
      </c>
      <c r="G44" s="12" t="s">
        <v>545</v>
      </c>
    </row>
    <row r="45" customFormat="false" ht="17.15" hidden="false" customHeight="false" outlineLevel="0" collapsed="false">
      <c r="A45" s="0" t="s">
        <v>1486</v>
      </c>
      <c r="B45" s="1" t="s">
        <v>1480</v>
      </c>
      <c r="C45" s="40" t="n">
        <v>383.131881729632</v>
      </c>
      <c r="D45" s="39" t="n">
        <f aca="false">C45-Val!$B$36</f>
        <v>-0.972678127102086</v>
      </c>
      <c r="E45" s="38" t="n">
        <f aca="false">C45/Val!$B$36-1</f>
        <v>-0.00253232642555679</v>
      </c>
      <c r="F45" s="12" t="s">
        <v>1487</v>
      </c>
      <c r="G45" s="12" t="s">
        <v>545</v>
      </c>
    </row>
    <row r="46" customFormat="false" ht="17.15" hidden="false" customHeight="false" outlineLevel="0" collapsed="false">
      <c r="A46" s="1" t="s">
        <v>1488</v>
      </c>
      <c r="B46" s="1" t="s">
        <v>1489</v>
      </c>
      <c r="C46" s="40" t="n">
        <v>558.421928544139</v>
      </c>
      <c r="D46" s="39" t="n">
        <f aca="false">C46-Val!$B$36</f>
        <v>174.317368687405</v>
      </c>
      <c r="E46" s="38" t="n">
        <f aca="false">C46/Val!$B$36-1</f>
        <v>0.453827907568769</v>
      </c>
      <c r="F46" s="12" t="s">
        <v>1490</v>
      </c>
      <c r="G46" s="12" t="s">
        <v>556</v>
      </c>
    </row>
    <row r="47" customFormat="false" ht="17.15" hidden="false" customHeight="false" outlineLevel="0" collapsed="false">
      <c r="A47" s="1" t="s">
        <v>1491</v>
      </c>
      <c r="B47" s="1" t="s">
        <v>1489</v>
      </c>
      <c r="C47" s="40" t="n">
        <v>357.005232856155</v>
      </c>
      <c r="D47" s="39" t="n">
        <f aca="false">C47-Val!$B$36</f>
        <v>-27.0993270005791</v>
      </c>
      <c r="E47" s="38" t="n">
        <f aca="false">C47/Val!$B$36-1</f>
        <v>-0.0705519533813575</v>
      </c>
      <c r="F47" s="12" t="s">
        <v>1492</v>
      </c>
      <c r="G47" s="12" t="s">
        <v>594</v>
      </c>
    </row>
    <row r="48" customFormat="false" ht="17.15" hidden="false" customHeight="false" outlineLevel="0" collapsed="false">
      <c r="A48" s="0" t="s">
        <v>1493</v>
      </c>
      <c r="B48" s="1" t="s">
        <v>1494</v>
      </c>
      <c r="C48" s="40" t="n">
        <v>384.106381576557</v>
      </c>
      <c r="D48" s="39" t="n">
        <f aca="false">C48-Val!$B$36</f>
        <v>0.00182171982288537</v>
      </c>
      <c r="E48" s="38" t="n">
        <f aca="false">C48/Val!$B$36-1</f>
        <v>4.74277062356698E-006</v>
      </c>
      <c r="F48" s="12" t="s">
        <v>1495</v>
      </c>
      <c r="G48" s="12" t="s">
        <v>606</v>
      </c>
    </row>
    <row r="49" customFormat="false" ht="17.15" hidden="false" customHeight="false" outlineLevel="0" collapsed="false">
      <c r="A49" s="0" t="s">
        <v>1496</v>
      </c>
      <c r="B49" s="1" t="s">
        <v>1494</v>
      </c>
      <c r="C49" s="40" t="n">
        <v>382.604365715966</v>
      </c>
      <c r="D49" s="39" t="n">
        <f aca="false">C49-Val!$B$36</f>
        <v>-1.50019414076809</v>
      </c>
      <c r="E49" s="38" t="n">
        <f aca="false">C49/Val!$B$36-1</f>
        <v>-0.00390569208896563</v>
      </c>
      <c r="F49" s="12" t="s">
        <v>1497</v>
      </c>
      <c r="G49" s="12" t="s">
        <v>606</v>
      </c>
    </row>
    <row r="50" customFormat="false" ht="17.15" hidden="false" customHeight="false" outlineLevel="0" collapsed="false">
      <c r="A50" s="0" t="s">
        <v>1498</v>
      </c>
      <c r="B50" s="1" t="s">
        <v>1499</v>
      </c>
      <c r="C50" s="40" t="n">
        <v>379.517363748215</v>
      </c>
      <c r="D50" s="39" t="n">
        <f aca="false">C50-Val!$B$36</f>
        <v>-4.5871961085191</v>
      </c>
      <c r="E50" s="38" t="n">
        <f aca="false">C50/Val!$B$36-1</f>
        <v>-0.0119425713410694</v>
      </c>
      <c r="F50" s="12" t="s">
        <v>1500</v>
      </c>
      <c r="G50" s="12" t="s">
        <v>653</v>
      </c>
    </row>
    <row r="51" customFormat="false" ht="17.15" hidden="false" customHeight="false" outlineLevel="0" collapsed="false">
      <c r="A51" s="0" t="s">
        <v>1501</v>
      </c>
      <c r="B51" s="1" t="s">
        <v>1499</v>
      </c>
      <c r="C51" s="40" t="n">
        <v>388.964011876548</v>
      </c>
      <c r="D51" s="39" t="n">
        <f aca="false">C51-Val!$B$36</f>
        <v>4.85945201981389</v>
      </c>
      <c r="E51" s="38" t="n">
        <f aca="false">C51/Val!$B$36-1</f>
        <v>0.0126513781081548</v>
      </c>
      <c r="F51" s="12" t="s">
        <v>1502</v>
      </c>
      <c r="G51" s="12" t="s">
        <v>653</v>
      </c>
    </row>
    <row r="52" customFormat="false" ht="15" hidden="false" customHeight="false" outlineLevel="0" collapsed="false">
      <c r="A52" s="1" t="s">
        <v>1503</v>
      </c>
      <c r="B52" s="1" t="s">
        <v>1504</v>
      </c>
      <c r="C52" s="40" t="n">
        <v>383.165245475826</v>
      </c>
      <c r="D52" s="39" t="n">
        <f aca="false">C52-Val!$B$36</f>
        <v>-0.939314380908115</v>
      </c>
      <c r="E52" s="38" t="n">
        <f aca="false">C52/Val!$B$36-1</f>
        <v>-0.0024454653213658</v>
      </c>
      <c r="F52" s="12" t="s">
        <v>1505</v>
      </c>
      <c r="G52" s="12" t="s">
        <v>656</v>
      </c>
    </row>
    <row r="53" customFormat="false" ht="15" hidden="false" customHeight="false" outlineLevel="0" collapsed="false">
      <c r="A53" s="1" t="s">
        <v>1506</v>
      </c>
      <c r="B53" s="1" t="s">
        <v>1504</v>
      </c>
      <c r="C53" s="40" t="n">
        <v>385.081998561323</v>
      </c>
      <c r="D53" s="39" t="n">
        <f aca="false">C53-Val!$B$36</f>
        <v>0.977438704588906</v>
      </c>
      <c r="E53" s="38" t="n">
        <f aca="false">C53/Val!$B$36-1</f>
        <v>0.00254472038799403</v>
      </c>
      <c r="F53" s="12" t="s">
        <v>1507</v>
      </c>
      <c r="G53" s="12" t="s">
        <v>656</v>
      </c>
    </row>
    <row r="54" customFormat="false" ht="17.15" hidden="false" customHeight="false" outlineLevel="0" collapsed="false">
      <c r="A54" s="0" t="s">
        <v>1508</v>
      </c>
      <c r="B54" s="1" t="s">
        <v>1509</v>
      </c>
      <c r="C54" s="40" t="n">
        <v>383.135336320668</v>
      </c>
      <c r="D54" s="39" t="n">
        <f aca="false">C54-Val!$B$36</f>
        <v>-0.969223536066124</v>
      </c>
      <c r="E54" s="38" t="n">
        <f aca="false">C54/Val!$B$36-1</f>
        <v>-0.00252333254368975</v>
      </c>
      <c r="F54" s="12" t="s">
        <v>1500</v>
      </c>
      <c r="G54" s="12" t="s">
        <v>658</v>
      </c>
    </row>
    <row r="55" customFormat="false" ht="17.15" hidden="false" customHeight="false" outlineLevel="0" collapsed="false">
      <c r="A55" s="0" t="s">
        <v>1510</v>
      </c>
      <c r="B55" s="1" t="s">
        <v>1509</v>
      </c>
      <c r="C55" s="40" t="n">
        <v>385.130452590087</v>
      </c>
      <c r="D55" s="39" t="n">
        <f aca="false">C55-Val!$B$36</f>
        <v>1.02589273335286</v>
      </c>
      <c r="E55" s="38" t="n">
        <f aca="false">C55/Val!$B$36-1</f>
        <v>0.00267086840555986</v>
      </c>
      <c r="F55" s="12" t="s">
        <v>1502</v>
      </c>
      <c r="G55" s="12" t="s">
        <v>658</v>
      </c>
    </row>
    <row r="56" customFormat="false" ht="17.15" hidden="false" customHeight="false" outlineLevel="0" collapsed="false">
      <c r="A56" s="0" t="s">
        <v>1511</v>
      </c>
      <c r="B56" s="1" t="s">
        <v>1512</v>
      </c>
      <c r="C56" s="40" t="n">
        <v>383.739652984533</v>
      </c>
      <c r="D56" s="39" t="n">
        <f aca="false">C56-Val!$B$36</f>
        <v>-0.364906872201118</v>
      </c>
      <c r="E56" s="38" t="n">
        <f aca="false">C56/Val!$B$36-1</f>
        <v>-0.000950019630949539</v>
      </c>
      <c r="F56" s="12" t="s">
        <v>1500</v>
      </c>
      <c r="G56" s="12" t="s">
        <v>661</v>
      </c>
    </row>
    <row r="57" customFormat="false" ht="17.15" hidden="false" customHeight="false" outlineLevel="0" collapsed="false">
      <c r="A57" s="0" t="s">
        <v>1513</v>
      </c>
      <c r="B57" s="1" t="s">
        <v>1512</v>
      </c>
      <c r="C57" s="40" t="n">
        <v>384.490866702801</v>
      </c>
      <c r="D57" s="39" t="n">
        <f aca="false">C57-Val!$B$36</f>
        <v>0.386306846066873</v>
      </c>
      <c r="E57" s="38" t="n">
        <f aca="false">C57/Val!$B$36-1</f>
        <v>0.00100573355914069</v>
      </c>
      <c r="F57" s="12" t="s">
        <v>1502</v>
      </c>
      <c r="G57" s="12" t="s">
        <v>661</v>
      </c>
    </row>
    <row r="58" customFormat="false" ht="17.15" hidden="false" customHeight="false" outlineLevel="0" collapsed="false">
      <c r="A58" s="0" t="s">
        <v>1514</v>
      </c>
      <c r="B58" s="1" t="s">
        <v>1515</v>
      </c>
      <c r="C58" s="40" t="n">
        <v>383.686817352627</v>
      </c>
      <c r="D58" s="39" t="n">
        <f aca="false">C58-Val!$B$36</f>
        <v>-0.417742504107139</v>
      </c>
      <c r="E58" s="38" t="n">
        <f aca="false">C58/Val!$B$36-1</f>
        <v>-0.00108757496725098</v>
      </c>
      <c r="F58" s="12" t="s">
        <v>1516</v>
      </c>
      <c r="G58" s="12" t="s">
        <v>668</v>
      </c>
    </row>
    <row r="59" customFormat="false" ht="17.15" hidden="false" customHeight="false" outlineLevel="0" collapsed="false">
      <c r="A59" s="0" t="s">
        <v>1517</v>
      </c>
      <c r="B59" s="1" t="s">
        <v>1515</v>
      </c>
      <c r="C59" s="40" t="n">
        <v>384.324977446449</v>
      </c>
      <c r="D59" s="39" t="n">
        <f aca="false">C59-Val!$B$36</f>
        <v>0.220417589714884</v>
      </c>
      <c r="E59" s="38" t="n">
        <f aca="false">C59/Val!$B$36-1</f>
        <v>0.000573847886099266</v>
      </c>
      <c r="F59" s="12" t="s">
        <v>1507</v>
      </c>
      <c r="G59" s="12" t="s">
        <v>668</v>
      </c>
    </row>
    <row r="60" customFormat="false" ht="15" hidden="false" customHeight="false" outlineLevel="0" collapsed="false">
      <c r="A60" s="1" t="s">
        <v>1518</v>
      </c>
      <c r="B60" s="1" t="s">
        <v>1519</v>
      </c>
      <c r="C60" s="40" t="n">
        <v>383.851134723927</v>
      </c>
      <c r="D60" s="39" t="n">
        <f aca="false">C60-Val!$B$36</f>
        <v>-0.253425132807138</v>
      </c>
      <c r="E60" s="38" t="n">
        <f aca="false">C60/Val!$B$36-1</f>
        <v>-0.000659781630558243</v>
      </c>
      <c r="F60" s="12" t="s">
        <v>1520</v>
      </c>
      <c r="G60" s="12" t="s">
        <v>675</v>
      </c>
    </row>
    <row r="61" customFormat="false" ht="15" hidden="false" customHeight="false" outlineLevel="0" collapsed="false">
      <c r="A61" s="1" t="s">
        <v>1521</v>
      </c>
      <c r="B61" s="1" t="s">
        <v>1519</v>
      </c>
      <c r="C61" s="40" t="n">
        <v>384.356663760817</v>
      </c>
      <c r="D61" s="39" t="n">
        <f aca="false">C61-Val!$B$36</f>
        <v>0.252103904082901</v>
      </c>
      <c r="E61" s="38" t="n">
        <f aca="false">C61/Val!$B$36-1</f>
        <v>0.000656341867373067</v>
      </c>
      <c r="F61" s="12" t="s">
        <v>1522</v>
      </c>
      <c r="G61" s="12" t="s">
        <v>675</v>
      </c>
    </row>
    <row r="62" customFormat="false" ht="15" hidden="false" customHeight="false" outlineLevel="0" collapsed="false">
      <c r="A62" s="1" t="s">
        <v>1523</v>
      </c>
      <c r="B62" s="1" t="s">
        <v>1524</v>
      </c>
      <c r="C62" s="40" t="n">
        <v>386.913317674583</v>
      </c>
      <c r="D62" s="39" t="n">
        <f aca="false">C62-Val!$B$36</f>
        <v>2.80875781784891</v>
      </c>
      <c r="E62" s="38" t="n">
        <f aca="false">C62/Val!$B$36-1</f>
        <v>0.00731248235870075</v>
      </c>
      <c r="F62" s="12" t="s">
        <v>1525</v>
      </c>
      <c r="G62" s="12" t="s">
        <v>679</v>
      </c>
    </row>
    <row r="63" customFormat="false" ht="15" hidden="false" customHeight="false" outlineLevel="0" collapsed="false">
      <c r="A63" s="1" t="s">
        <v>1526</v>
      </c>
      <c r="B63" s="1" t="s">
        <v>1524</v>
      </c>
      <c r="C63" s="40" t="n">
        <v>381.289157942784</v>
      </c>
      <c r="D63" s="39" t="n">
        <f aca="false">C63-Val!$B$36</f>
        <v>-2.8154019139501</v>
      </c>
      <c r="E63" s="38" t="n">
        <f aca="false">C63/Val!$B$36-1</f>
        <v>-0.00732977998230533</v>
      </c>
      <c r="F63" s="12" t="s">
        <v>1527</v>
      </c>
      <c r="G63" s="12" t="s">
        <v>679</v>
      </c>
    </row>
    <row r="64" customFormat="false" ht="17.15" hidden="false" customHeight="false" outlineLevel="0" collapsed="false">
      <c r="A64" s="1" t="s">
        <v>1528</v>
      </c>
      <c r="B64" s="1" t="s">
        <v>1529</v>
      </c>
      <c r="C64" s="40" t="n">
        <v>385.295025202891</v>
      </c>
      <c r="D64" s="39" t="n">
        <f aca="false">C64-Val!$B$36</f>
        <v>1.19046534615688</v>
      </c>
      <c r="E64" s="38" t="n">
        <f aca="false">C64/Val!$B$36-1</f>
        <v>0.00309932625272902</v>
      </c>
      <c r="F64" s="12" t="s">
        <v>1530</v>
      </c>
      <c r="G64" s="12" t="s">
        <v>697</v>
      </c>
    </row>
    <row r="65" customFormat="false" ht="17.15" hidden="false" customHeight="false" outlineLevel="0" collapsed="false">
      <c r="A65" s="1" t="s">
        <v>1531</v>
      </c>
      <c r="B65" s="1" t="s">
        <v>1529</v>
      </c>
      <c r="C65" s="40" t="n">
        <v>382.431187132243</v>
      </c>
      <c r="D65" s="39" t="n">
        <f aca="false">C65-Val!$B$36</f>
        <v>-1.67337272449112</v>
      </c>
      <c r="E65" s="38" t="n">
        <f aca="false">C65/Val!$B$36-1</f>
        <v>-0.00435655521797307</v>
      </c>
      <c r="F65" s="12" t="s">
        <v>1532</v>
      </c>
      <c r="G65" s="12" t="s">
        <v>697</v>
      </c>
    </row>
    <row r="66" customFormat="false" ht="15" hidden="false" customHeight="false" outlineLevel="0" collapsed="false">
      <c r="A66" s="1" t="s">
        <v>1533</v>
      </c>
      <c r="B66" s="1" t="s">
        <v>1534</v>
      </c>
      <c r="C66" s="40" t="n">
        <v>383.860925860301</v>
      </c>
      <c r="D66" s="39" t="n">
        <f aca="false">C66-Val!$B$36</f>
        <v>-0.243633996433118</v>
      </c>
      <c r="E66" s="38" t="n">
        <f aca="false">C66/Val!$B$36-1</f>
        <v>-0.00063429082050992</v>
      </c>
      <c r="F66" s="12" t="s">
        <v>1535</v>
      </c>
      <c r="G66" s="12" t="s">
        <v>190</v>
      </c>
    </row>
    <row r="67" customFormat="false" ht="15" hidden="false" customHeight="false" outlineLevel="0" collapsed="false">
      <c r="A67" s="1" t="s">
        <v>1536</v>
      </c>
      <c r="B67" s="1" t="s">
        <v>1534</v>
      </c>
      <c r="C67" s="40" t="n">
        <v>384.11283032241</v>
      </c>
      <c r="D67" s="39" t="n">
        <f aca="false">C67-Val!$B$36</f>
        <v>0.00827046567587786</v>
      </c>
      <c r="E67" s="38" t="n">
        <f aca="false">C67/Val!$B$36-1</f>
        <v>2.15318081071558E-005</v>
      </c>
      <c r="F67" s="12" t="s">
        <v>1537</v>
      </c>
      <c r="G67" s="12" t="s">
        <v>190</v>
      </c>
    </row>
    <row r="68" customFormat="false" ht="15" hidden="false" customHeight="false" outlineLevel="0" collapsed="false">
      <c r="A68" s="1" t="s">
        <v>1538</v>
      </c>
      <c r="B68" s="1" t="s">
        <v>1539</v>
      </c>
      <c r="C68" s="40" t="n">
        <v>384.401770887408</v>
      </c>
      <c r="D68" s="39" t="n">
        <f aca="false">C68-Val!$B$36</f>
        <v>0.297211030673907</v>
      </c>
      <c r="E68" s="38" t="n">
        <f aca="false">C68/Val!$B$36-1</f>
        <v>0.000773776366478796</v>
      </c>
      <c r="F68" s="12" t="s">
        <v>1540</v>
      </c>
      <c r="G68" s="12" t="s">
        <v>202</v>
      </c>
    </row>
    <row r="69" customFormat="false" ht="15" hidden="false" customHeight="false" outlineLevel="0" collapsed="false">
      <c r="A69" s="1" t="s">
        <v>1541</v>
      </c>
      <c r="B69" s="1" t="s">
        <v>1539</v>
      </c>
      <c r="C69" s="40" t="n">
        <v>383.808140945812</v>
      </c>
      <c r="D69" s="39" t="n">
        <f aca="false">C69-Val!$B$36</f>
        <v>-0.296418910922114</v>
      </c>
      <c r="E69" s="38" t="n">
        <f aca="false">C69/Val!$B$36-1</f>
        <v>-0.000771714116158062</v>
      </c>
      <c r="F69" s="12" t="s">
        <v>1542</v>
      </c>
      <c r="G69" s="12" t="s">
        <v>202</v>
      </c>
    </row>
    <row r="70" customFormat="false" ht="15" hidden="false" customHeight="false" outlineLevel="0" collapsed="false">
      <c r="A70" s="1" t="s">
        <v>1543</v>
      </c>
      <c r="B70" s="1" t="s">
        <v>1544</v>
      </c>
      <c r="C70" s="40" t="n">
        <v>384.133434856734</v>
      </c>
      <c r="D70" s="39" t="n">
        <f aca="false">C70-Val!$B$36</f>
        <v>0.0288749999999141</v>
      </c>
      <c r="E70" s="38" t="n">
        <f aca="false">C70/Val!$B$36-1</f>
        <v>7.51748430445343E-005</v>
      </c>
      <c r="F70" s="12" t="s">
        <v>1545</v>
      </c>
      <c r="G70" s="12" t="s">
        <v>219</v>
      </c>
    </row>
    <row r="71" customFormat="false" ht="15" hidden="false" customHeight="false" outlineLevel="0" collapsed="false">
      <c r="A71" s="1" t="s">
        <v>1546</v>
      </c>
      <c r="B71" s="1" t="s">
        <v>1544</v>
      </c>
      <c r="C71" s="40" t="n">
        <v>384.085309856734</v>
      </c>
      <c r="D71" s="39" t="n">
        <f aca="false">C71-Val!$B$36</f>
        <v>-0.0192500000001132</v>
      </c>
      <c r="E71" s="38" t="n">
        <f aca="false">C71/Val!$B$36-1</f>
        <v>-5.01165620301336E-005</v>
      </c>
      <c r="F71" s="12" t="s">
        <v>1547</v>
      </c>
      <c r="G71" s="12" t="s">
        <v>219</v>
      </c>
    </row>
    <row r="72" customFormat="false" ht="17.15" hidden="false" customHeight="false" outlineLevel="0" collapsed="false">
      <c r="A72" s="0" t="s">
        <v>1548</v>
      </c>
      <c r="B72" s="1" t="s">
        <v>1549</v>
      </c>
      <c r="C72" s="40" t="n">
        <v>398.973358446245</v>
      </c>
      <c r="D72" s="39" t="n">
        <f aca="false">C72-Val!$B$36</f>
        <v>14.8687985895109</v>
      </c>
      <c r="E72" s="38" t="n">
        <f aca="false">C72/Val!$B$36-1</f>
        <v>0.0387102891854676</v>
      </c>
      <c r="F72" s="1" t="s">
        <v>1550</v>
      </c>
      <c r="G72" s="12" t="s">
        <v>238</v>
      </c>
    </row>
    <row r="73" customFormat="false" ht="17.15" hidden="false" customHeight="false" outlineLevel="0" collapsed="false">
      <c r="A73" s="0" t="s">
        <v>1551</v>
      </c>
      <c r="B73" s="1" t="s">
        <v>1549</v>
      </c>
      <c r="C73" s="40" t="n">
        <v>376.396844252387</v>
      </c>
      <c r="D73" s="39" t="n">
        <f aca="false">C73-Val!$B$36</f>
        <v>-7.70771560434713</v>
      </c>
      <c r="E73" s="38" t="n">
        <f aca="false">C73/Val!$B$36-1</f>
        <v>-0.0200667120620021</v>
      </c>
      <c r="F73" s="1" t="s">
        <v>1552</v>
      </c>
      <c r="G73" s="12" t="s">
        <v>238</v>
      </c>
    </row>
    <row r="74" customFormat="false" ht="15" hidden="false" customHeight="false" outlineLevel="0" collapsed="false">
      <c r="A74" s="1" t="s">
        <v>1553</v>
      </c>
      <c r="B74" s="1" t="s">
        <v>1554</v>
      </c>
      <c r="C74" s="40" t="n">
        <v>384.237944088853</v>
      </c>
      <c r="D74" s="39" t="n">
        <f aca="false">C74-Val!$B$36</f>
        <v>0.133384232118885</v>
      </c>
      <c r="E74" s="38" t="n">
        <f aca="false">C74/Val!$B$36-1</f>
        <v>0.000347260215209699</v>
      </c>
      <c r="F74" s="12" t="s">
        <v>1555</v>
      </c>
      <c r="G74" s="12" t="s">
        <v>251</v>
      </c>
    </row>
    <row r="75" customFormat="false" ht="15" hidden="false" customHeight="false" outlineLevel="0" collapsed="false">
      <c r="A75" s="1" t="s">
        <v>1556</v>
      </c>
      <c r="B75" s="1" t="s">
        <v>1554</v>
      </c>
      <c r="C75" s="40" t="n">
        <v>383.971353975856</v>
      </c>
      <c r="D75" s="39" t="n">
        <f aca="false">C75-Val!$B$36</f>
        <v>-0.133205880878108</v>
      </c>
      <c r="E75" s="38" t="n">
        <f aca="false">C75/Val!$B$36-1</f>
        <v>-0.000346795885286522</v>
      </c>
      <c r="F75" s="12" t="s">
        <v>1557</v>
      </c>
      <c r="G75" s="12" t="s">
        <v>251</v>
      </c>
    </row>
    <row r="76" customFormat="false" ht="17.15" hidden="false" customHeight="false" outlineLevel="0" collapsed="false">
      <c r="A76" s="0" t="s">
        <v>1558</v>
      </c>
      <c r="B76" s="1" t="s">
        <v>1559</v>
      </c>
      <c r="C76" s="40" t="n">
        <v>389.885550072634</v>
      </c>
      <c r="D76" s="39" t="n">
        <f aca="false">C76-Val!$B$36</f>
        <v>5.78099021589986</v>
      </c>
      <c r="E76" s="38" t="n">
        <f aca="false">C76/Val!$B$36-1</f>
        <v>0.0150505638830638</v>
      </c>
      <c r="F76" s="12" t="s">
        <v>1560</v>
      </c>
      <c r="G76" s="12" t="s">
        <v>351</v>
      </c>
    </row>
    <row r="77" customFormat="false" ht="17.15" hidden="false" customHeight="false" outlineLevel="0" collapsed="false">
      <c r="A77" s="0" t="s">
        <v>1561</v>
      </c>
      <c r="B77" s="1" t="s">
        <v>1559</v>
      </c>
      <c r="C77" s="40" t="n">
        <v>378.323569640835</v>
      </c>
      <c r="D77" s="39" t="n">
        <f aca="false">C77-Val!$B$36</f>
        <v>-5.78099021589912</v>
      </c>
      <c r="E77" s="38" t="n">
        <f aca="false">C77/Val!$B$36-1</f>
        <v>-0.0150505638830618</v>
      </c>
      <c r="F77" s="12" t="s">
        <v>1562</v>
      </c>
      <c r="G77" s="12" t="s">
        <v>351</v>
      </c>
    </row>
    <row r="78" customFormat="false" ht="17.15" hidden="false" customHeight="false" outlineLevel="0" collapsed="false">
      <c r="A78" s="0" t="s">
        <v>1563</v>
      </c>
      <c r="B78" s="1" t="s">
        <v>1564</v>
      </c>
      <c r="C78" s="40" t="n">
        <v>386.979453016655</v>
      </c>
      <c r="D78" s="39" t="n">
        <f aca="false">C78-Val!$B$36</f>
        <v>2.87489315992087</v>
      </c>
      <c r="E78" s="38" t="n">
        <f aca="false">C78/Val!$B$36-1</f>
        <v>0.00748466292874306</v>
      </c>
      <c r="F78" s="12" t="s">
        <v>1565</v>
      </c>
      <c r="G78" s="12" t="s">
        <v>384</v>
      </c>
    </row>
    <row r="79" customFormat="false" ht="17.15" hidden="false" customHeight="false" outlineLevel="0" collapsed="false">
      <c r="A79" s="0" t="s">
        <v>1566</v>
      </c>
      <c r="B79" s="1" t="s">
        <v>1564</v>
      </c>
      <c r="C79" s="40" t="n">
        <v>381.229666696813</v>
      </c>
      <c r="D79" s="39" t="n">
        <f aca="false">C79-Val!$B$36</f>
        <v>-2.8748931599211</v>
      </c>
      <c r="E79" s="38" t="n">
        <f aca="false">C79/Val!$B$36-1</f>
        <v>-0.00748466292874361</v>
      </c>
      <c r="F79" s="12" t="s">
        <v>1567</v>
      </c>
      <c r="G79" s="12" t="s">
        <v>384</v>
      </c>
    </row>
    <row r="80" customFormat="false" ht="17.15" hidden="false" customHeight="false" outlineLevel="0" collapsed="false">
      <c r="A80" s="0" t="s">
        <v>1568</v>
      </c>
      <c r="B80" s="1" t="s">
        <v>1564</v>
      </c>
      <c r="C80" s="40" t="n">
        <v>384.920458115468</v>
      </c>
      <c r="D80" s="39" t="n">
        <f aca="false">C80-Val!$B$36</f>
        <v>0.81589825873391</v>
      </c>
      <c r="E80" s="38" t="n">
        <f aca="false">C80/Val!$B$36-1</f>
        <v>0.00212415665942167</v>
      </c>
      <c r="F80" s="12" t="s">
        <v>1569</v>
      </c>
      <c r="G80" s="12" t="s">
        <v>388</v>
      </c>
    </row>
    <row r="81" customFormat="false" ht="17.15" hidden="false" customHeight="false" outlineLevel="0" collapsed="false">
      <c r="A81" s="0" t="s">
        <v>1570</v>
      </c>
      <c r="B81" s="1" t="s">
        <v>1564</v>
      </c>
      <c r="C81" s="40" t="n">
        <v>383.288661598</v>
      </c>
      <c r="D81" s="39" t="n">
        <f aca="false">C81-Val!$B$36</f>
        <v>-0.815898258734137</v>
      </c>
      <c r="E81" s="38" t="n">
        <f aca="false">C81/Val!$B$36-1</f>
        <v>-0.00212415665942223</v>
      </c>
      <c r="F81" s="12" t="s">
        <v>1571</v>
      </c>
      <c r="G81" s="12" t="s">
        <v>388</v>
      </c>
    </row>
    <row r="82" customFormat="false" ht="17.15" hidden="false" customHeight="false" outlineLevel="0" collapsed="false">
      <c r="A82" s="0" t="s">
        <v>1572</v>
      </c>
      <c r="B82" s="1" t="s">
        <v>1564</v>
      </c>
      <c r="C82" s="40" t="n">
        <v>384.610185661942</v>
      </c>
      <c r="D82" s="39" t="n">
        <f aca="false">C82-Val!$B$36</f>
        <v>0.505625805207899</v>
      </c>
      <c r="E82" s="38" t="n">
        <f aca="false">C82/Val!$B$36-1</f>
        <v>0.00131637543016017</v>
      </c>
      <c r="F82" s="12" t="s">
        <v>1573</v>
      </c>
      <c r="G82" s="12" t="s">
        <v>391</v>
      </c>
    </row>
    <row r="83" customFormat="false" ht="17.15" hidden="false" customHeight="false" outlineLevel="0" collapsed="false">
      <c r="A83" s="0" t="s">
        <v>1574</v>
      </c>
      <c r="B83" s="1" t="s">
        <v>1564</v>
      </c>
      <c r="C83" s="40" t="n">
        <v>383.598934051526</v>
      </c>
      <c r="D83" s="39" t="n">
        <f aca="false">C83-Val!$B$36</f>
        <v>-0.505625805208126</v>
      </c>
      <c r="E83" s="38" t="n">
        <f aca="false">C83/Val!$B$36-1</f>
        <v>-0.00131637543016083</v>
      </c>
      <c r="F83" s="12" t="s">
        <v>1575</v>
      </c>
      <c r="G83" s="12" t="s">
        <v>391</v>
      </c>
    </row>
    <row r="84" customFormat="false" ht="17.15" hidden="false" customHeight="false" outlineLevel="0" collapsed="false">
      <c r="A84" s="0" t="s">
        <v>1576</v>
      </c>
      <c r="B84" s="1" t="s">
        <v>1564</v>
      </c>
      <c r="C84" s="40" t="n">
        <v>384.296782686541</v>
      </c>
      <c r="D84" s="39" t="n">
        <f aca="false">C84-Val!$B$36</f>
        <v>0.192222829806894</v>
      </c>
      <c r="E84" s="38" t="n">
        <f aca="false">C84/Val!$B$36-1</f>
        <v>0.000500444019406077</v>
      </c>
      <c r="F84" s="12" t="s">
        <v>1573</v>
      </c>
      <c r="G84" s="12" t="s">
        <v>394</v>
      </c>
    </row>
    <row r="85" customFormat="false" ht="17.15" hidden="false" customHeight="false" outlineLevel="0" collapsed="false">
      <c r="A85" s="0" t="s">
        <v>1577</v>
      </c>
      <c r="B85" s="1" t="s">
        <v>1564</v>
      </c>
      <c r="C85" s="40" t="n">
        <v>383.912337026927</v>
      </c>
      <c r="D85" s="39" t="n">
        <f aca="false">C85-Val!$B$36</f>
        <v>-0.192222829807122</v>
      </c>
      <c r="E85" s="38" t="n">
        <f aca="false">C85/Val!$B$36-1</f>
        <v>-0.000500444019406632</v>
      </c>
      <c r="F85" s="12" t="s">
        <v>1575</v>
      </c>
      <c r="G85" s="12" t="s">
        <v>394</v>
      </c>
    </row>
    <row r="86" customFormat="false" ht="17.15" hidden="false" customHeight="false" outlineLevel="0" collapsed="false">
      <c r="A86" s="0" t="s">
        <v>1578</v>
      </c>
      <c r="B86" s="1" t="s">
        <v>1564</v>
      </c>
      <c r="C86" s="40" t="n">
        <v>385.013299643111</v>
      </c>
      <c r="D86" s="39" t="n">
        <f aca="false">C86-Val!$B$36</f>
        <v>0.908739786376884</v>
      </c>
      <c r="E86" s="38" t="n">
        <f aca="false">C86/Val!$B$36-1</f>
        <v>0.0023658656557366</v>
      </c>
      <c r="F86" s="12" t="s">
        <v>1573</v>
      </c>
      <c r="G86" s="12" t="s">
        <v>397</v>
      </c>
    </row>
    <row r="87" customFormat="false" ht="17.15" hidden="false" customHeight="false" outlineLevel="0" collapsed="false">
      <c r="A87" s="0" t="s">
        <v>1579</v>
      </c>
      <c r="B87" s="1" t="s">
        <v>1564</v>
      </c>
      <c r="C87" s="40" t="n">
        <v>383.195820070357</v>
      </c>
      <c r="D87" s="39" t="n">
        <f aca="false">C87-Val!$B$36</f>
        <v>-0.908739786377112</v>
      </c>
      <c r="E87" s="38" t="n">
        <f aca="false">C87/Val!$B$36-1</f>
        <v>-0.00236586565573727</v>
      </c>
      <c r="F87" s="12" t="s">
        <v>1575</v>
      </c>
      <c r="G87" s="12" t="s">
        <v>397</v>
      </c>
    </row>
    <row r="89" customFormat="false" ht="17.15" hidden="false" customHeight="false" outlineLevel="0" collapsed="false">
      <c r="A89" s="3" t="s">
        <v>1580</v>
      </c>
    </row>
    <row r="90" customFormat="false" ht="17.15" hidden="false" customHeight="false" outlineLevel="0" collapsed="false">
      <c r="A90" s="4" t="s">
        <v>1581</v>
      </c>
      <c r="B90" s="4" t="s">
        <v>1582</v>
      </c>
      <c r="C90" s="4" t="s">
        <v>1387</v>
      </c>
      <c r="D90" s="4" t="s">
        <v>1388</v>
      </c>
      <c r="E90" s="4" t="s">
        <v>1389</v>
      </c>
      <c r="F90" s="4" t="s">
        <v>47</v>
      </c>
      <c r="G90" s="4" t="s">
        <v>64</v>
      </c>
    </row>
    <row r="91" customFormat="false" ht="17.15" hidden="false" customHeight="false" outlineLevel="0" collapsed="false">
      <c r="A91" s="0" t="s">
        <v>1583</v>
      </c>
      <c r="B91" s="0" t="s">
        <v>1584</v>
      </c>
      <c r="C91" s="5" t="n">
        <f aca="false">w_dcf*(w_A*Val!$C$88+w_B*Val!$C$137+w_C*Sens!$C$15422)+(1-w_dcf)*(w_A*Val!$C$117+w_B*Val!$C$166+w_C*Sens!$C$15451)</f>
        <v>383.611924966035</v>
      </c>
      <c r="D91" s="39" t="n">
        <f aca="false">C91-Val!$B$36</f>
        <v>-0.492634890699264</v>
      </c>
      <c r="E91" s="38" t="n">
        <f aca="false">C91/Val!$B$36-1</f>
        <v>-0.00128255413287204</v>
      </c>
      <c r="G91" s="12" t="s">
        <v>1585</v>
      </c>
    </row>
    <row r="92" customFormat="false" ht="17.15" hidden="false" customHeight="false" outlineLevel="0" collapsed="false">
      <c r="A92" s="0" t="s">
        <v>1586</v>
      </c>
      <c r="B92" s="0" t="s">
        <v>1584</v>
      </c>
      <c r="C92" s="5" t="n">
        <f aca="false">w_dcf*(w_A*Val!$C$88+w_B*Val!$C$137+w_C*Sens!$C$15621)+(1-w_dcf)*(w_A*Val!$C$117+w_B*Val!$C$166+w_C*Sens!$C$15650)</f>
        <v>366.995301994165</v>
      </c>
      <c r="D92" s="39" t="n">
        <f aca="false">C92-Val!$B$36</f>
        <v>-17.1092578625688</v>
      </c>
      <c r="E92" s="38" t="n">
        <f aca="false">C92/Val!$B$36-1</f>
        <v>-0.0445432302833123</v>
      </c>
      <c r="G92" s="12" t="s">
        <v>1587</v>
      </c>
    </row>
    <row r="93" customFormat="false" ht="17.15" hidden="false" customHeight="false" outlineLevel="0" collapsed="false">
      <c r="A93" s="1" t="s">
        <v>1588</v>
      </c>
      <c r="B93" s="1" t="s">
        <v>1589</v>
      </c>
      <c r="C93" s="5" t="n">
        <f aca="false">w_dcf*(w_A*Sens!$C$15670+w_B*Sens!$C$15719+w_C*Sens!$C$15768)+(1-w_dcf)*(w_A*Sens!$C$15699+w_B*Sens!$C$15748+w_C*Sens!$C$15797)</f>
        <v>430.441456382661</v>
      </c>
      <c r="D93" s="39" t="n">
        <f aca="false">C93-Val!$B$36</f>
        <v>46.3368965259266</v>
      </c>
      <c r="E93" s="38" t="n">
        <f aca="false">C93/Val!$B$36-1</f>
        <v>0.120636153195395</v>
      </c>
      <c r="G93" s="12" t="s">
        <v>1590</v>
      </c>
    </row>
    <row r="94" customFormat="false" ht="17.15" hidden="false" customHeight="false" outlineLevel="0" collapsed="false">
      <c r="A94" s="1" t="s">
        <v>1591</v>
      </c>
      <c r="B94" s="1" t="s">
        <v>1589</v>
      </c>
      <c r="C94" s="5" t="n">
        <f aca="false">w_dcf*(w_A*Sens!$C$15817+w_B*Sens!$C$15866+w_C*Sens!$C$15915)+(1-w_dcf)*(w_A*Sens!$C$15846+w_B*Sens!$C$15895+w_C*Sens!$C$15944)</f>
        <v>449.77677075261</v>
      </c>
      <c r="D94" s="39" t="n">
        <f aca="false">C94-Val!$B$36</f>
        <v>65.6722108958759</v>
      </c>
      <c r="E94" s="38" t="n">
        <f aca="false">C94/Val!$B$36-1</f>
        <v>0.170974827584371</v>
      </c>
      <c r="G94" s="12" t="s">
        <v>380</v>
      </c>
    </row>
    <row r="95" customFormat="false" ht="17.15" hidden="false" customHeight="false" outlineLevel="0" collapsed="false">
      <c r="A95" s="1" t="s">
        <v>1592</v>
      </c>
      <c r="B95" s="1" t="s">
        <v>1589</v>
      </c>
      <c r="C95" s="5" t="n">
        <f aca="false">w_dcf*(w_A*Sens!$C$16114+w_B*Sens!$C$16313+w_C*Sens!$C$16512)+(1-w_dcf)*(w_A*Sens!$C$16143+w_B*Sens!$C$16342+w_C*Sens!$C$16541)</f>
        <v>354.353967755318</v>
      </c>
      <c r="D95" s="39" t="n">
        <f aca="false">C95-Val!$B$36</f>
        <v>-29.7505921014163</v>
      </c>
      <c r="E95" s="38" t="n">
        <f aca="false">C95/Val!$B$36-1</f>
        <v>-0.0774544101025847</v>
      </c>
      <c r="G95" s="12" t="s">
        <v>1593</v>
      </c>
    </row>
    <row r="96" customFormat="false" ht="17.15" hidden="false" customHeight="false" outlineLevel="0" collapsed="false">
      <c r="A96" s="1" t="s">
        <v>1594</v>
      </c>
      <c r="B96" s="1" t="s">
        <v>1589</v>
      </c>
      <c r="C96" s="5" t="n">
        <f aca="false">w_dcf*(w_A*Sens!$C$16711+w_B*Sens!$C$16910+w_C*Sens!$C$17109)+(1-w_dcf)*(w_A*Sens!$C$16740+w_B*Sens!$C$16939+w_C*Sens!$C$17138)</f>
        <v>377.77304121736</v>
      </c>
      <c r="D96" s="39" t="n">
        <f aca="false">C96-Val!$B$36</f>
        <v>-6.33151863937383</v>
      </c>
      <c r="E96" s="38" t="n">
        <f aca="false">C96/Val!$B$36-1</f>
        <v>-0.0164838413835425</v>
      </c>
      <c r="G96" s="12" t="s">
        <v>641</v>
      </c>
    </row>
    <row r="97" customFormat="false" ht="17.15" hidden="false" customHeight="false" outlineLevel="0" collapsed="false">
      <c r="A97" s="0" t="s">
        <v>1595</v>
      </c>
      <c r="B97" s="1" t="s">
        <v>1589</v>
      </c>
      <c r="C97" s="5" t="n">
        <f aca="false">w_dcf*(w_A*Sens!$C$17308+w_B*Sens!$C$17507+w_C*Sens!$C$17706)+(1-w_dcf)*(w_A*Sens!$C$17337+w_B*Sens!$C$17536+w_C*Sens!$C$17735)</f>
        <v>384.106381576557</v>
      </c>
      <c r="D97" s="39" t="n">
        <f aca="false">C97-Val!$B$36</f>
        <v>0.00182171982248747</v>
      </c>
      <c r="E97" s="38" t="n">
        <f aca="false">C97/Val!$B$36-1</f>
        <v>4.74277062267881E-006</v>
      </c>
      <c r="G97" s="12" t="s">
        <v>1596</v>
      </c>
    </row>
    <row r="98" customFormat="false" ht="17.15" hidden="false" customHeight="false" outlineLevel="0" collapsed="false">
      <c r="A98" s="0" t="s">
        <v>1597</v>
      </c>
      <c r="B98" s="1" t="s">
        <v>1589</v>
      </c>
      <c r="C98" s="5" t="n">
        <f aca="false">w_dcf*(w_A*Sens!$C$17905+w_B*Sens!$C$18104+w_C*Sens!$C$18303)+(1-w_dcf)*(w_A*Sens!$C$17934+w_B*Sens!$C$18133+w_C*Sens!$C$18332)</f>
        <v>384.103749276838</v>
      </c>
      <c r="D98" s="39" t="n">
        <f aca="false">C98-Val!$B$36</f>
        <v>-0.00081057989615374</v>
      </c>
      <c r="E98" s="38" t="n">
        <f aca="false">C98/Val!$B$36-1</f>
        <v>-2.11031052710364E-006</v>
      </c>
      <c r="G98" s="12" t="s">
        <v>1596</v>
      </c>
    </row>
    <row r="99" customFormat="false" ht="17.15" hidden="false" customHeight="false" outlineLevel="0" collapsed="false">
      <c r="A99" s="0" t="s">
        <v>1598</v>
      </c>
      <c r="B99" s="1" t="s">
        <v>1589</v>
      </c>
      <c r="C99" s="5" t="n">
        <f aca="false">w_dcf*(w_A*Sens!$C$18502+w_B*Sens!$C$18701+w_C*Sens!$C$18900)+(1-w_dcf)*(w_A*Sens!$C$18531+w_B*Sens!$C$18730+w_C*Sens!$C$18929)</f>
        <v>381.772585611107</v>
      </c>
      <c r="D99" s="39" t="n">
        <f aca="false">C99-Val!$B$36</f>
        <v>-2.33197424562741</v>
      </c>
      <c r="E99" s="38" t="n">
        <f aca="false">C99/Val!$B$36-1</f>
        <v>-0.0060711964640493</v>
      </c>
      <c r="G99" s="12" t="s">
        <v>788</v>
      </c>
    </row>
    <row r="100" customFormat="false" ht="17.15" hidden="false" customHeight="false" outlineLevel="0" collapsed="false">
      <c r="A100" s="0" t="s">
        <v>1599</v>
      </c>
      <c r="B100" s="1" t="s">
        <v>1589</v>
      </c>
      <c r="C100" s="5" t="n">
        <f aca="false">w_dcf*(w_A*Sens!$C$19099+w_B*Sens!$C$19298+w_C*Sens!$C$19497)+(1-w_dcf)*(w_A*Sens!$C$19128+w_B*Sens!$C$19327+w_C*Sens!$C$19526)</f>
        <v>387.097087366998</v>
      </c>
      <c r="D100" s="39" t="n">
        <f aca="false">C100-Val!$B$36</f>
        <v>2.9925275102637</v>
      </c>
      <c r="E100" s="38" t="n">
        <f aca="false">C100/Val!$B$36-1</f>
        <v>0.00779091899190121</v>
      </c>
      <c r="G100" s="12" t="s">
        <v>1600</v>
      </c>
    </row>
    <row r="101" customFormat="false" ht="17.15" hidden="false" customHeight="false" outlineLevel="0" collapsed="false">
      <c r="A101" s="0" t="s">
        <v>1601</v>
      </c>
      <c r="B101" s="1" t="s">
        <v>1589</v>
      </c>
      <c r="C101" s="5" t="n">
        <f aca="false">w_dcf*(w_A*Sens!$C$19696+w_B*Sens!$C$19895+w_C*Sens!$C$20094)+(1-w_dcf)*(w_A*Sens!$C$19725+w_B*Sens!$C$19924+w_C*Sens!$C$20123)</f>
        <v>387.626796883231</v>
      </c>
      <c r="D101" s="39" t="n">
        <f aca="false">C101-Val!$B$36</f>
        <v>3.52223702649695</v>
      </c>
      <c r="E101" s="38" t="n">
        <f aca="false">C101/Val!$B$36-1</f>
        <v>0.00916999534660734</v>
      </c>
      <c r="G101" s="12" t="s">
        <v>532</v>
      </c>
    </row>
    <row r="102" customFormat="false" ht="17.15" hidden="false" customHeight="false" outlineLevel="0" collapsed="false">
      <c r="A102" s="1" t="s">
        <v>1602</v>
      </c>
      <c r="B102" s="1" t="s">
        <v>1589</v>
      </c>
      <c r="C102" s="5" t="n">
        <f aca="false">w_dcf*(w_A*Sens!$C$20143+w_B*Sens!$C$20192+w_C*Sens!$C$20241)+(1-w_dcf)*(w_A*Sens!$C$20172+w_B*Sens!$C$20221+w_C*Sens!$C$20270)</f>
        <v>395.424101814915</v>
      </c>
      <c r="D102" s="39" t="n">
        <f aca="false">C102-Val!$B$36</f>
        <v>11.319541958181</v>
      </c>
      <c r="E102" s="38" t="n">
        <f aca="false">C102/Val!$B$36-1</f>
        <v>0.0294699494387753</v>
      </c>
      <c r="G102" s="12" t="s">
        <v>810</v>
      </c>
    </row>
    <row r="103" customFormat="false" ht="17.15" hidden="false" customHeight="false" outlineLevel="0" collapsed="false">
      <c r="A103" s="0" t="s">
        <v>1603</v>
      </c>
      <c r="B103" s="1" t="s">
        <v>1589</v>
      </c>
      <c r="C103" s="5" t="n">
        <f aca="false">w_dcf*(w_A*Sens!$C$20290+w_B*Sens!$C$20339+w_C*Sens!$C$20388)+(1-w_dcf)*(w_A*Sens!$C$20319+w_B*Sens!$C$20368+w_C*Sens!$C$20417)</f>
        <v>385.068058226051</v>
      </c>
      <c r="D103" s="39" t="n">
        <f aca="false">C103-Val!$B$36</f>
        <v>0.963498369316596</v>
      </c>
      <c r="E103" s="38" t="n">
        <f aca="false">C103/Val!$B$36-1</f>
        <v>0.00250842731384382</v>
      </c>
      <c r="G103" s="12" t="s">
        <v>343</v>
      </c>
    </row>
    <row r="104" customFormat="false" ht="17.15" hidden="false" customHeight="false" outlineLevel="0" collapsed="false">
      <c r="A104" s="0" t="s">
        <v>1604</v>
      </c>
      <c r="B104" s="1" t="s">
        <v>1589</v>
      </c>
      <c r="C104" s="5" t="n">
        <f aca="false">w_dcf*(w_A*Sens!$C$20437+w_B*Sens!$C$20486+w_C*Sens!$C$20535)+(1-w_dcf)*(w_A*Sens!$C$20466+w_B*Sens!$C$20515+w_C*Sens!$C$20564)</f>
        <v>386.995054964684</v>
      </c>
      <c r="D104" s="39" t="n">
        <f aca="false">C104-Val!$B$36</f>
        <v>2.89049510794973</v>
      </c>
      <c r="E104" s="38" t="n">
        <f aca="false">C104/Val!$B$36-1</f>
        <v>0.00752528194153146</v>
      </c>
      <c r="G104" s="12" t="s">
        <v>339</v>
      </c>
    </row>
    <row r="105" customFormat="false" ht="17.15" hidden="false" customHeight="false" outlineLevel="0" collapsed="false">
      <c r="A105" s="0" t="s">
        <v>1605</v>
      </c>
      <c r="B105" s="1" t="s">
        <v>1589</v>
      </c>
      <c r="C105" s="5" t="n">
        <f aca="false">w_dcf*(w_A*Sens!$C$20584+w_B*Sens!$C$20633+w_C*Sens!$C$20682)+(1-w_dcf)*(w_A*Sens!$C$20613+w_B*Sens!$C$20662+w_C*Sens!$C$20711)</f>
        <v>393.498668957571</v>
      </c>
      <c r="D105" s="39" t="n">
        <f aca="false">C105-Val!$B$36</f>
        <v>9.39410910083672</v>
      </c>
      <c r="E105" s="38" t="n">
        <f aca="false">C105/Val!$B$36-1</f>
        <v>0.0244571663099771</v>
      </c>
      <c r="G105" s="12" t="s">
        <v>1606</v>
      </c>
    </row>
    <row r="106" customFormat="false" ht="17.15" hidden="false" customHeight="false" outlineLevel="0" collapsed="false">
      <c r="A106" s="0" t="s">
        <v>1607</v>
      </c>
      <c r="B106" s="1" t="s">
        <v>1608</v>
      </c>
      <c r="C106" s="5" t="n">
        <f aca="false">0.3*Val!$B$14+0.7*Val!$B$31</f>
        <v>407.997764915475</v>
      </c>
      <c r="D106" s="39" t="n">
        <f aca="false">C106-Val!$B$36</f>
        <v>23.8932050587405</v>
      </c>
      <c r="E106" s="38" t="n">
        <f aca="false">C106/Val!$B$36-1</f>
        <v>0.0622049503074171</v>
      </c>
      <c r="G106" s="12" t="s">
        <v>328</v>
      </c>
    </row>
    <row r="107" customFormat="false" ht="17.15" hidden="false" customHeight="false" outlineLevel="0" collapsed="false">
      <c r="A107" s="0" t="s">
        <v>1609</v>
      </c>
      <c r="B107" s="1" t="s">
        <v>1608</v>
      </c>
      <c r="C107" s="5" t="n">
        <f aca="false">0.7*Val!$B$14+0.3*Val!$B$31</f>
        <v>360.211354797994</v>
      </c>
      <c r="D107" s="39" t="n">
        <f aca="false">C107-Val!$B$36</f>
        <v>-23.8932050587405</v>
      </c>
      <c r="E107" s="38" t="n">
        <f aca="false">C107/Val!$B$36-1</f>
        <v>-0.0622049503074171</v>
      </c>
      <c r="G107" s="12" t="s">
        <v>328</v>
      </c>
    </row>
    <row r="108" customFormat="false" ht="17.15" hidden="false" customHeight="false" outlineLevel="0" collapsed="false">
      <c r="A108" s="1" t="s">
        <v>1610</v>
      </c>
      <c r="B108" s="1" t="s">
        <v>1608</v>
      </c>
      <c r="C108" s="5" t="n">
        <f aca="false">w_dcf*(0.3*Val!$B$13+0.5*Val!$C$13+0.2*Val!$D$13)+(1-w_dcf)*(0.3*Val!$B$30+0.5*Val!$C$30+0.2*Val!$D$30)</f>
        <v>388.213651521436</v>
      </c>
      <c r="D108" s="39" t="n">
        <f aca="false">C108-Val!$B$36</f>
        <v>4.1090916647014</v>
      </c>
      <c r="E108" s="38" t="n">
        <f aca="false">C108/Val!$B$36-1</f>
        <v>0.0106978466130006</v>
      </c>
      <c r="G108" s="12" t="s">
        <v>1611</v>
      </c>
    </row>
    <row r="109" customFormat="false" ht="17.15" hidden="false" customHeight="false" outlineLevel="0" collapsed="false">
      <c r="A109" s="1" t="s">
        <v>1612</v>
      </c>
      <c r="B109" s="1" t="s">
        <v>1608</v>
      </c>
      <c r="C109" s="5" t="n">
        <f aca="false">Val!$C$44</f>
        <v>386.052170373482</v>
      </c>
      <c r="D109" s="39" t="n">
        <f aca="false">C109-Val!$B$36</f>
        <v>1.94761051674766</v>
      </c>
      <c r="E109" s="38" t="n">
        <f aca="false">C109/Val!$B$36-1</f>
        <v>0.00507052172844325</v>
      </c>
      <c r="G109" s="12" t="s">
        <v>335</v>
      </c>
    </row>
    <row r="111" customFormat="false" ht="17.15" hidden="false" customHeight="false" outlineLevel="0" collapsed="false">
      <c r="A111" s="3" t="s">
        <v>1613</v>
      </c>
    </row>
    <row r="112" customFormat="false" ht="17.15" hidden="false" customHeight="false" outlineLevel="0" collapsed="false">
      <c r="A112" s="1" t="s">
        <v>1614</v>
      </c>
      <c r="D112" s="41" t="n">
        <f aca="false">384.104559856734-Val!$B$36</f>
        <v>0</v>
      </c>
    </row>
    <row r="200" customFormat="false" ht="17.15" hidden="false" customHeight="false" outlineLevel="0" collapsed="false">
      <c r="A200" s="3" t="s">
        <v>1615</v>
      </c>
    </row>
    <row r="201" customFormat="false" ht="15" hidden="false" customHeight="false" outlineLevel="0" collapsed="false">
      <c r="A201" s="4" t="s">
        <v>43</v>
      </c>
      <c r="B201" s="4" t="s">
        <v>65</v>
      </c>
      <c r="C201" s="23" t="s">
        <v>942</v>
      </c>
      <c r="D201" s="23" t="s">
        <v>943</v>
      </c>
      <c r="E201" s="23" t="s">
        <v>944</v>
      </c>
      <c r="F201" s="23" t="s">
        <v>945</v>
      </c>
      <c r="G201" s="23" t="s">
        <v>946</v>
      </c>
      <c r="H201" s="23" t="s">
        <v>947</v>
      </c>
      <c r="I201" s="23" t="s">
        <v>948</v>
      </c>
      <c r="J201" s="23" t="s">
        <v>949</v>
      </c>
      <c r="K201" s="23" t="s">
        <v>950</v>
      </c>
      <c r="L201" s="4" t="s">
        <v>47</v>
      </c>
    </row>
    <row r="202" customFormat="false" ht="17.15" hidden="false" customHeight="false" outlineLevel="0" collapsed="false">
      <c r="A202" s="1" t="s">
        <v>951</v>
      </c>
      <c r="B202" s="1" t="s">
        <v>279</v>
      </c>
      <c r="C202" s="21" t="n">
        <v>2024</v>
      </c>
      <c r="D202" s="21" t="n">
        <v>2025</v>
      </c>
      <c r="E202" s="21" t="n">
        <v>2026</v>
      </c>
      <c r="F202" s="21" t="n">
        <v>2027</v>
      </c>
      <c r="G202" s="21" t="n">
        <v>2028</v>
      </c>
      <c r="H202" s="21" t="n">
        <v>2029</v>
      </c>
      <c r="I202" s="21" t="n">
        <v>2030</v>
      </c>
      <c r="J202" s="21" t="n">
        <v>2031</v>
      </c>
      <c r="K202" s="21" t="n">
        <v>2032</v>
      </c>
    </row>
    <row r="203" customFormat="false" ht="17.15" hidden="false" customHeight="false" outlineLevel="0" collapsed="false">
      <c r="A203" s="1" t="s">
        <v>952</v>
      </c>
      <c r="B203" s="0" t="s">
        <v>459</v>
      </c>
      <c r="F203" s="30" t="n">
        <f aca="false">pace</f>
        <v>2726.5351</v>
      </c>
      <c r="G203" s="30" t="n">
        <f aca="false">pace</f>
        <v>2726.5351</v>
      </c>
      <c r="H203" s="30" t="n">
        <f aca="false">pace</f>
        <v>2726.5351</v>
      </c>
      <c r="I203" s="30" t="n">
        <f aca="false">pace+(g_tv*Sens!H204-pace)*MIN(1,(Sens!I202-pace_y0)/(pace_y1-pace_y0))</f>
        <v>1931.98611966667</v>
      </c>
      <c r="J203" s="30" t="n">
        <f aca="false">pace+(g_tv*Sens!I204-pace)*MIN(1,(Sens!J202-pace_y0)/(pace_y1-pace_y0))</f>
        <v>1176.07686172667</v>
      </c>
      <c r="K203" s="30" t="n">
        <f aca="false">pace+(g_tv*Sens!J204-pace)*MIN(1,(Sens!K202-pace_y0)/(pace_y1-pace_y0))</f>
        <v>436.1300484418</v>
      </c>
      <c r="L203" s="12" t="s">
        <v>953</v>
      </c>
    </row>
    <row r="204" customFormat="false" ht="17.15" hidden="false" customHeight="false" outlineLevel="0" collapsed="false">
      <c r="A204" s="1" t="s">
        <v>954</v>
      </c>
      <c r="B204" s="0" t="s">
        <v>459</v>
      </c>
      <c r="C204" s="30" t="n">
        <f aca="false">mw_ext_24</f>
        <v>640</v>
      </c>
      <c r="D204" s="30" t="n">
        <f aca="false">mw_ext_25</f>
        <v>1630</v>
      </c>
      <c r="E204" s="30" t="n">
        <f aca="false">mw_ext_26</f>
        <v>3250</v>
      </c>
      <c r="F204" s="30" t="n">
        <f aca="false">Sens!E204+Sens!F203</f>
        <v>5976.5351</v>
      </c>
      <c r="G204" s="30" t="n">
        <f aca="false">Sens!F204+Sens!G203</f>
        <v>8703.0702</v>
      </c>
      <c r="H204" s="30" t="n">
        <f aca="false">Sens!G204+Sens!H203</f>
        <v>11429.6053</v>
      </c>
      <c r="I204" s="30" t="n">
        <f aca="false">Sens!H204+Sens!I203</f>
        <v>13361.5914196667</v>
      </c>
      <c r="J204" s="30" t="n">
        <f aca="false">Sens!I204+Sens!J203</f>
        <v>14537.6682813933</v>
      </c>
      <c r="K204" s="30" t="n">
        <f aca="false">Sens!J204+Sens!K203</f>
        <v>14973.7983298351</v>
      </c>
      <c r="L204" s="1" t="s">
        <v>955</v>
      </c>
    </row>
    <row r="205" customFormat="false" ht="17.15" hidden="false" customHeight="false" outlineLevel="0" collapsed="false">
      <c r="A205" s="1" t="s">
        <v>956</v>
      </c>
      <c r="B205" s="0" t="s">
        <v>459</v>
      </c>
      <c r="C205" s="30" t="n">
        <f aca="false">rent_ext_24</f>
        <v>150</v>
      </c>
      <c r="D205" s="30" t="n">
        <f aca="false">rent_ext_25</f>
        <v>400</v>
      </c>
      <c r="E205" s="30" t="n">
        <f aca="false">rent_ext_26</f>
        <v>550</v>
      </c>
      <c r="F205" s="30" t="n">
        <f aca="false">rent_ext_f</f>
        <v>756</v>
      </c>
      <c r="G205" s="30" t="n">
        <f aca="false">rent_ext_f</f>
        <v>756</v>
      </c>
      <c r="H205" s="30" t="n">
        <f aca="false">rent_ext_f</f>
        <v>756</v>
      </c>
      <c r="I205" s="30" t="n">
        <f aca="false">rent_ext_f</f>
        <v>756</v>
      </c>
      <c r="J205" s="30" t="n">
        <f aca="false">rent_ext_f</f>
        <v>756</v>
      </c>
      <c r="K205" s="30" t="n">
        <f aca="false">rent_ext_f</f>
        <v>756</v>
      </c>
      <c r="L205" s="1" t="s">
        <v>957</v>
      </c>
    </row>
    <row r="206" customFormat="false" ht="17.15" hidden="false" customHeight="false" outlineLevel="0" collapsed="false">
      <c r="A206" s="1" t="s">
        <v>958</v>
      </c>
      <c r="B206" s="0" t="s">
        <v>459</v>
      </c>
      <c r="C206" s="30" t="n">
        <f aca="false">Sens!C204-Sens!C205</f>
        <v>490</v>
      </c>
      <c r="D206" s="30" t="n">
        <f aca="false">Sens!D204-Sens!D205</f>
        <v>1230</v>
      </c>
      <c r="E206" s="30" t="n">
        <f aca="false">Sens!E204-Sens!E205</f>
        <v>2700</v>
      </c>
      <c r="F206" s="30" t="n">
        <f aca="false">Sens!F204-Sens!F205</f>
        <v>5220.5351</v>
      </c>
      <c r="G206" s="30" t="n">
        <f aca="false">Sens!G204-Sens!G205</f>
        <v>7947.0702</v>
      </c>
      <c r="H206" s="30" t="n">
        <f aca="false">Sens!H204-Sens!H205</f>
        <v>10673.6053</v>
      </c>
      <c r="I206" s="30" t="n">
        <f aca="false">Sens!I204-Sens!I205</f>
        <v>12605.5914196667</v>
      </c>
      <c r="J206" s="30" t="n">
        <f aca="false">Sens!J204-Sens!J205</f>
        <v>13781.6682813933</v>
      </c>
      <c r="K206" s="30" t="n">
        <f aca="false">Sens!K204-Sens!K205</f>
        <v>14217.7983298351</v>
      </c>
    </row>
    <row r="207" customFormat="false" ht="17.15" hidden="false" customHeight="false" outlineLevel="0" collapsed="false">
      <c r="A207" s="1" t="s">
        <v>959</v>
      </c>
      <c r="B207" s="0" t="s">
        <v>459</v>
      </c>
      <c r="C207" s="30" t="n">
        <f aca="false">Sens!C206/ext_sh</f>
        <v>816.666666666667</v>
      </c>
      <c r="D207" s="30" t="n">
        <f aca="false">Sens!D206/ext_sh</f>
        <v>2050</v>
      </c>
      <c r="E207" s="30" t="n">
        <f aca="false">Sens!E206/ext_sh</f>
        <v>4500</v>
      </c>
      <c r="F207" s="30" t="n">
        <f aca="false">Sens!F206/ext_sh</f>
        <v>8700.89183333333</v>
      </c>
      <c r="G207" s="30" t="n">
        <f aca="false">Sens!G206/ext_sh</f>
        <v>13245.117</v>
      </c>
      <c r="H207" s="30" t="n">
        <f aca="false">Sens!H206/ext_sh</f>
        <v>17789.3421666667</v>
      </c>
      <c r="I207" s="30" t="n">
        <f aca="false">Sens!I206/ext_sh</f>
        <v>21009.3190327778</v>
      </c>
      <c r="J207" s="30" t="n">
        <f aca="false">Sens!J206/ext_sh</f>
        <v>22969.4471356556</v>
      </c>
      <c r="K207" s="30" t="n">
        <f aca="false">Sens!K206/ext_sh</f>
        <v>23696.3305497252</v>
      </c>
      <c r="L207" s="1" t="s">
        <v>960</v>
      </c>
    </row>
    <row r="208" customFormat="false" ht="17.15" hidden="false" customHeight="false" outlineLevel="0" collapsed="false">
      <c r="A208" s="1" t="s">
        <v>961</v>
      </c>
      <c r="B208" s="0" t="s">
        <v>459</v>
      </c>
      <c r="C208" s="30" t="n">
        <f aca="false">Sens!C207-Sens!C206</f>
        <v>326.666666666667</v>
      </c>
      <c r="D208" s="30" t="n">
        <f aca="false">Sens!D207-Sens!D206</f>
        <v>820</v>
      </c>
      <c r="E208" s="30" t="n">
        <f aca="false">Sens!E207-Sens!E206</f>
        <v>1800</v>
      </c>
      <c r="F208" s="30" t="n">
        <f aca="false">Sens!F207-Sens!F206</f>
        <v>3480.35673333333</v>
      </c>
      <c r="G208" s="30" t="n">
        <f aca="false">Sens!G207-Sens!G206</f>
        <v>5298.0468</v>
      </c>
      <c r="H208" s="30" t="n">
        <f aca="false">Sens!H207-Sens!H206</f>
        <v>7115.73686666667</v>
      </c>
      <c r="I208" s="30" t="n">
        <f aca="false">Sens!I207-Sens!I206</f>
        <v>8403.72761311111</v>
      </c>
      <c r="J208" s="30" t="n">
        <f aca="false">Sens!J207-Sens!J206</f>
        <v>9187.77885426222</v>
      </c>
      <c r="K208" s="30" t="n">
        <f aca="false">Sens!K207-Sens!K206</f>
        <v>9478.53221989009</v>
      </c>
    </row>
    <row r="209" customFormat="false" ht="17.15" hidden="false" customHeight="false" outlineLevel="0" collapsed="false">
      <c r="A209" s="1" t="s">
        <v>962</v>
      </c>
      <c r="B209" s="0" t="s">
        <v>459</v>
      </c>
      <c r="C209" s="30" t="n">
        <f aca="false">Sens!C207</f>
        <v>816.666666666667</v>
      </c>
      <c r="D209" s="30" t="n">
        <f aca="false">Sens!D207-Sens!C207</f>
        <v>1233.33333333333</v>
      </c>
      <c r="E209" s="30" t="n">
        <f aca="false">Sens!E207-Sens!D207</f>
        <v>2450</v>
      </c>
      <c r="F209" s="30" t="n">
        <f aca="false">Sens!F207-Sens!E207</f>
        <v>4200.89183333333</v>
      </c>
      <c r="G209" s="30" t="n">
        <f aca="false">Sens!G207-Sens!F207</f>
        <v>4544.22516666667</v>
      </c>
      <c r="H209" s="30" t="n">
        <f aca="false">Sens!H207-Sens!G207</f>
        <v>4544.22516666667</v>
      </c>
      <c r="I209" s="30" t="n">
        <f aca="false">Sens!I207-Sens!H207</f>
        <v>3219.97686611111</v>
      </c>
      <c r="J209" s="30" t="n">
        <f aca="false">Sens!J207-Sens!I207</f>
        <v>1960.12810287778</v>
      </c>
      <c r="K209" s="30" t="n">
        <f aca="false">Sens!K207-Sens!J207</f>
        <v>726.883414069667</v>
      </c>
    </row>
    <row r="210" customFormat="false" ht="17.15" hidden="false" customHeight="false" outlineLevel="0" collapsed="false">
      <c r="A210" s="1" t="s">
        <v>963</v>
      </c>
      <c r="B210" s="0" t="s">
        <v>459</v>
      </c>
      <c r="D210" s="30" t="n">
        <f aca="false">Sens!D204-Sens!C204</f>
        <v>990</v>
      </c>
      <c r="E210" s="30" t="n">
        <f aca="false">Sens!E204-Sens!D204</f>
        <v>1620</v>
      </c>
      <c r="F210" s="30" t="n">
        <f aca="false">Sens!F204-Sens!E204</f>
        <v>2726.5351</v>
      </c>
      <c r="G210" s="30" t="n">
        <f aca="false">Sens!G204-Sens!F204</f>
        <v>2726.5351</v>
      </c>
      <c r="H210" s="30" t="n">
        <f aca="false">Sens!H204-Sens!G204</f>
        <v>2726.5351</v>
      </c>
      <c r="I210" s="30" t="n">
        <f aca="false">Sens!I204-Sens!H204</f>
        <v>1931.98611966667</v>
      </c>
      <c r="J210" s="30" t="n">
        <f aca="false">Sens!J204-Sens!I204</f>
        <v>1176.07686172667</v>
      </c>
      <c r="K210" s="30" t="n">
        <f aca="false">Sens!K204-Sens!J204</f>
        <v>436.130048441799</v>
      </c>
    </row>
    <row r="211" customFormat="false" ht="17.15" hidden="false" customHeight="false" outlineLevel="0" collapsed="false">
      <c r="A211" s="1" t="s">
        <v>964</v>
      </c>
      <c r="B211" s="0" t="s">
        <v>459</v>
      </c>
      <c r="F211" s="30" t="n">
        <f aca="false">Sens!F230*ext_sh</f>
        <v>0</v>
      </c>
      <c r="G211" s="30" t="n">
        <f aca="false">Sens!G230*ext_sh</f>
        <v>0</v>
      </c>
      <c r="H211" s="30" t="n">
        <f aca="false">Sens!H230*ext_sh</f>
        <v>0</v>
      </c>
      <c r="I211" s="30" t="n">
        <f aca="false">Sens!I230*ext_sh</f>
        <v>490</v>
      </c>
      <c r="J211" s="30" t="n">
        <f aca="false">Sens!J230*ext_sh</f>
        <v>740</v>
      </c>
      <c r="K211" s="30" t="n">
        <f aca="false">Sens!K230*ext_sh</f>
        <v>1470</v>
      </c>
      <c r="L211" s="1" t="s">
        <v>965</v>
      </c>
    </row>
    <row r="212" customFormat="false" ht="17.15" hidden="false" customHeight="false" outlineLevel="0" collapsed="false">
      <c r="A212" s="1" t="s">
        <v>966</v>
      </c>
      <c r="B212" s="0" t="s">
        <v>459</v>
      </c>
      <c r="C212" s="30" t="n">
        <f aca="false">mix_h*Sens!C204</f>
        <v>128</v>
      </c>
      <c r="D212" s="30" t="n">
        <f aca="false">mix_h*Sens!D204</f>
        <v>326</v>
      </c>
      <c r="E212" s="30" t="n">
        <f aca="false">mix_h*Sens!E204</f>
        <v>650</v>
      </c>
      <c r="F212" s="30" t="n">
        <f aca="false">Sens!E212-Sens!F211*mix_h</f>
        <v>650</v>
      </c>
      <c r="G212" s="30" t="n">
        <f aca="false">Sens!F212-Sens!G211*mix_h</f>
        <v>650</v>
      </c>
      <c r="H212" s="30" t="n">
        <f aca="false">Sens!G212-Sens!H211*mix_h</f>
        <v>650</v>
      </c>
      <c r="I212" s="30" t="n">
        <f aca="false">Sens!H212-Sens!I211*mix_h</f>
        <v>552</v>
      </c>
      <c r="J212" s="30" t="n">
        <f aca="false">Sens!I212-Sens!J211*mix_h</f>
        <v>404</v>
      </c>
      <c r="K212" s="30" t="n">
        <f aca="false">Sens!J212-Sens!K211*mix_h</f>
        <v>110</v>
      </c>
    </row>
    <row r="213" customFormat="false" ht="17.15" hidden="false" customHeight="false" outlineLevel="0" collapsed="false">
      <c r="A213" s="1" t="s">
        <v>967</v>
      </c>
      <c r="B213" s="0" t="s">
        <v>459</v>
      </c>
      <c r="C213" s="30" t="n">
        <f aca="false">mix_g2*Sens!C204</f>
        <v>288</v>
      </c>
      <c r="D213" s="30" t="n">
        <f aca="false">mix_g2*Sens!D204</f>
        <v>733.5</v>
      </c>
      <c r="E213" s="30" t="n">
        <f aca="false">mix_g2*Sens!E204</f>
        <v>1462.5</v>
      </c>
      <c r="F213" s="30" t="n">
        <f aca="false">Sens!E213-Sens!F211*mix_g2</f>
        <v>1462.5</v>
      </c>
      <c r="G213" s="30" t="n">
        <f aca="false">Sens!F213-Sens!G211*mix_g2</f>
        <v>1462.5</v>
      </c>
      <c r="H213" s="30" t="n">
        <f aca="false">Sens!G213-Sens!H211*mix_g2</f>
        <v>1462.5</v>
      </c>
      <c r="I213" s="30" t="n">
        <f aca="false">Sens!H213-Sens!I211*mix_g2</f>
        <v>1242</v>
      </c>
      <c r="J213" s="30" t="n">
        <f aca="false">Sens!I213-Sens!J211*mix_g2</f>
        <v>909</v>
      </c>
      <c r="K213" s="30" t="n">
        <f aca="false">Sens!J213-Sens!K211*mix_g2</f>
        <v>247.5</v>
      </c>
    </row>
    <row r="214" customFormat="false" ht="17.15" hidden="false" customHeight="false" outlineLevel="0" collapsed="false">
      <c r="A214" s="1" t="s">
        <v>968</v>
      </c>
      <c r="B214" s="0" t="s">
        <v>459</v>
      </c>
      <c r="C214" s="30" t="n">
        <f aca="false">mix_g3*Sens!C204</f>
        <v>224</v>
      </c>
      <c r="D214" s="30" t="n">
        <f aca="false">mix_g3*Sens!D204</f>
        <v>570.5</v>
      </c>
      <c r="E214" s="30" t="n">
        <f aca="false">mix_g3*Sens!E204</f>
        <v>1137.5</v>
      </c>
      <c r="F214" s="30" t="n">
        <f aca="false">Sens!E214+(Sens!F210+Sens!F211)*(a_g3_27-nonnv*a_mai)-Sens!F211*mix_g3</f>
        <v>2773.42106</v>
      </c>
      <c r="G214" s="30" t="n">
        <f aca="false">Sens!F214+(Sens!G210+Sens!G211)*(a_g3_28-nonnv*a_mai)-Sens!G211*mix_g3</f>
        <v>3318.72808</v>
      </c>
      <c r="H214" s="30" t="n">
        <f aca="false">Sens!G214+(Sens!H210+Sens!H211)*(a_g3_29-nonnv*a_mai)-Sens!H211*mix_g3</f>
        <v>3318.72808</v>
      </c>
      <c r="I214" s="30" t="n">
        <f aca="false">Sens!H214+(Sens!I210+Sens!I211)*(a_g3_29-nonnv*a_mai)-Sens!I211*mix_g3</f>
        <v>3147.22808</v>
      </c>
      <c r="J214" s="30" t="n">
        <f aca="false">Sens!I214+(Sens!J210+Sens!J211)*(a_g3_29-nonnv*a_mai)-Sens!J211*mix_g3</f>
        <v>2888.22808</v>
      </c>
      <c r="K214" s="30" t="n">
        <f aca="false">Sens!J214+(Sens!K210+Sens!K211)*(a_g3_29-nonnv*a_mai)-Sens!K211*mix_g3</f>
        <v>2373.72808</v>
      </c>
    </row>
    <row r="215" customFormat="false" ht="17.15" hidden="false" customHeight="false" outlineLevel="0" collapsed="false">
      <c r="A215" s="1" t="s">
        <v>969</v>
      </c>
      <c r="B215" s="0" t="s">
        <v>459</v>
      </c>
      <c r="C215" s="30" t="n">
        <v>0</v>
      </c>
      <c r="D215" s="30" t="n">
        <v>0</v>
      </c>
      <c r="E215" s="30" t="n">
        <v>0</v>
      </c>
      <c r="F215" s="30" t="n">
        <f aca="false">Sens!E215+(Sens!F210+Sens!F211)*nonnv*a_mai</f>
        <v>272.65351</v>
      </c>
      <c r="G215" s="30" t="n">
        <f aca="false">Sens!F215+(Sens!G210+Sens!G211)*nonnv*a_mai</f>
        <v>545.30702</v>
      </c>
      <c r="H215" s="30" t="n">
        <f aca="false">Sens!G215+(Sens!H210+Sens!H211)*nonnv*a_mai</f>
        <v>817.96053</v>
      </c>
      <c r="I215" s="30" t="n">
        <f aca="false">Sens!H215+(Sens!I210+Sens!I211)*nonnv*a_mai</f>
        <v>1060.15914196667</v>
      </c>
      <c r="J215" s="30" t="n">
        <f aca="false">Sens!I215+(Sens!J210+Sens!J211)*nonnv*a_mai</f>
        <v>1251.76682813933</v>
      </c>
      <c r="K215" s="30" t="n">
        <f aca="false">Sens!J215+(Sens!K210+Sens!K211)*nonnv*a_mai</f>
        <v>1442.37983298351</v>
      </c>
      <c r="L215" s="12" t="s">
        <v>970</v>
      </c>
    </row>
    <row r="216" customFormat="false" ht="17.15" hidden="false" customHeight="false" outlineLevel="0" collapsed="false">
      <c r="A216" s="1" t="s">
        <v>971</v>
      </c>
      <c r="B216" s="0" t="s">
        <v>459</v>
      </c>
      <c r="C216" s="30" t="n">
        <v>0</v>
      </c>
      <c r="D216" s="30" t="n">
        <v>0</v>
      </c>
      <c r="E216" s="30" t="n">
        <v>0</v>
      </c>
      <c r="F216" s="30" t="n">
        <f aca="false">Sens!E216+(Sens!F210+Sens!F211)*(1-a_g3_27)</f>
        <v>817.96053</v>
      </c>
      <c r="G216" s="30" t="n">
        <f aca="false">Sens!F216+(Sens!G210+Sens!G211)*(1-a_g3_28)</f>
        <v>2726.5351</v>
      </c>
      <c r="H216" s="30" t="n">
        <f aca="false">Sens!G216+(Sens!H210+Sens!H211)*(1-a_g3_29)</f>
        <v>5180.41669</v>
      </c>
      <c r="I216" s="30" t="n">
        <f aca="false">Sens!H216+(Sens!I210+Sens!I211)*(1-a_g3_29)</f>
        <v>7360.2041977</v>
      </c>
      <c r="J216" s="30" t="n">
        <f aca="false">Sens!I216+(Sens!J210+Sens!J211)*(1-a_g3_29)</f>
        <v>9084.673373254</v>
      </c>
      <c r="K216" s="30" t="n">
        <f aca="false">Sens!J216+(Sens!K210+Sens!K211)*(1-a_g3_29)</f>
        <v>10800.1904168516</v>
      </c>
    </row>
    <row r="217" customFormat="false" ht="17.15" hidden="false" customHeight="false" outlineLevel="0" collapsed="false">
      <c r="A217" s="1" t="s">
        <v>972</v>
      </c>
      <c r="B217" s="0" t="s">
        <v>403</v>
      </c>
      <c r="C217" s="15" t="n">
        <f aca="false">(Sens!C212*tk_hold_h100+Sens!C213*tk_hold_gb200+Sens!C214*tk_hold_gb300+Sens!C216*tk_hold_vr200+Sens!C215*nv_hold_mai*tk_hold_vr200)/Sens!C204</f>
        <v>9.7235358126469</v>
      </c>
      <c r="D217" s="15" t="n">
        <f aca="false">(Sens!D212*tk_hold_h100+Sens!D213*tk_hold_gb200+Sens!D214*tk_hold_gb300+Sens!D216*tk_hold_vr200+Sens!D215*nv_hold_mai*tk_hold_vr200)/Sens!D204</f>
        <v>9.7235358126469</v>
      </c>
      <c r="E217" s="15" t="n">
        <f aca="false">(Sens!E212*tk_hold_h100+Sens!E213*tk_hold_gb200+Sens!E214*tk_hold_gb300+Sens!E216*tk_hold_vr200+Sens!E215*nv_hold_mai*tk_hold_vr200)/Sens!E204</f>
        <v>9.7235358126469</v>
      </c>
      <c r="F217" s="15" t="n">
        <f aca="false">(Sens!F212*tk_hold_h100+Sens!F213*tk_hold_gb200+Sens!F214*tk_hold_gb300+Sens!F216*tk_hold_vr200+Sens!F215*nv_hold_mai*tk_hold_vr200)/Sens!F204</f>
        <v>10.2195353876665</v>
      </c>
      <c r="G217" s="15" t="n">
        <f aca="false">(Sens!G212*tk_hold_h100+Sens!G213*tk_hold_gb200+Sens!G214*tk_hold_gb300+Sens!G216*tk_hold_vr200+Sens!G215*nv_hold_mai*tk_hold_vr200)/Sens!G204</f>
        <v>10.5725598017306</v>
      </c>
      <c r="H217" s="15" t="n">
        <f aca="false">(Sens!H212*tk_hold_h100+Sens!H213*tk_hold_gb200+Sens!H214*tk_hold_gb300+Sens!H216*tk_hold_vr200+Sens!H215*nv_hold_mai*tk_hold_vr200)/Sens!H204</f>
        <v>10.8210427149036</v>
      </c>
      <c r="I217" s="15" t="n">
        <f aca="false">(Sens!I212*tk_hold_h100+Sens!I213*tk_hold_gb200+Sens!I214*tk_hold_gb300+Sens!I216*tk_hold_vr200+Sens!I215*nv_hold_mai*tk_hold_vr200)/Sens!I204</f>
        <v>11.0050618241982</v>
      </c>
      <c r="J217" s="15" t="n">
        <f aca="false">(Sens!J212*tk_hold_h100+Sens!J213*tk_hold_gb200+Sens!J214*tk_hold_gb300+Sens!J216*tk_hold_vr200+Sens!J215*nv_hold_mai*tk_hold_vr200)/Sens!J204</f>
        <v>11.1505789658881</v>
      </c>
      <c r="K217" s="15" t="n">
        <f aca="false">(Sens!K212*tk_hold_h100+Sens!K213*tk_hold_gb200+Sens!K214*tk_hold_gb300+Sens!K216*tk_hold_vr200+Sens!K215*nv_hold_mai*tk_hold_vr200)/Sens!K204</f>
        <v>11.3496914757183</v>
      </c>
      <c r="L217" s="1" t="s">
        <v>973</v>
      </c>
    </row>
    <row r="218" customFormat="false" ht="17.15" hidden="false" customHeight="false" outlineLevel="0" collapsed="false">
      <c r="A218" s="1" t="s">
        <v>974</v>
      </c>
      <c r="B218" s="0" t="s">
        <v>403</v>
      </c>
      <c r="C218" s="15" t="n">
        <f aca="false">(Sens!C212*tk_hold_h100+Sens!C213*tk_hold_gb200+Sens!C214*tk_hold_gb300+Sens!C216*tk_hold_vr200+Sens!C215*nv_out_mai*tk_hold_vr200)/Sens!C204</f>
        <v>9.7235358126469</v>
      </c>
      <c r="D218" s="15" t="n">
        <f aca="false">(Sens!D212*tk_hold_h100+Sens!D213*tk_hold_gb200+Sens!D214*tk_hold_gb300+Sens!D216*tk_hold_vr200+Sens!D215*nv_out_mai*tk_hold_vr200)/Sens!D204</f>
        <v>9.7235358126469</v>
      </c>
      <c r="E218" s="15" t="n">
        <f aca="false">(Sens!E212*tk_hold_h100+Sens!E213*tk_hold_gb200+Sens!E214*tk_hold_gb300+Sens!E216*tk_hold_vr200+Sens!E215*nv_out_mai*tk_hold_vr200)/Sens!E204</f>
        <v>9.7235358126469</v>
      </c>
      <c r="F218" s="15" t="n">
        <f aca="false">(Sens!F212*tk_hold_h100+Sens!F213*tk_hold_gb200+Sens!F214*tk_hold_gb300+Sens!F216*tk_hold_vr200+Sens!F215*nv_out_mai*tk_hold_vr200)/Sens!F204</f>
        <v>10.247422093969</v>
      </c>
      <c r="G218" s="15" t="n">
        <f aca="false">(Sens!G212*tk_hold_h100+Sens!G213*tk_hold_gb200+Sens!G214*tk_hold_gb300+Sens!G216*tk_hold_vr200+Sens!G215*nv_out_mai*tk_hold_vr200)/Sens!G204</f>
        <v>10.6108602808053</v>
      </c>
      <c r="H218" s="15" t="n">
        <f aca="false">(Sens!H212*tk_hold_h100+Sens!H213*tk_hold_gb200+Sens!H214*tk_hold_gb300+Sens!H216*tk_hold_vr200+Sens!H215*nv_out_mai*tk_hold_vr200)/Sens!H204</f>
        <v>10.8647885507393</v>
      </c>
      <c r="I218" s="15" t="n">
        <f aca="false">(Sens!I212*tk_hold_h100+Sens!I213*tk_hold_gb200+Sens!I214*tk_hold_gb300+Sens!I216*tk_hold_vr200+Sens!I215*nv_out_mai*tk_hold_vr200)/Sens!I204</f>
        <v>11.0535625770025</v>
      </c>
      <c r="J218" s="15" t="n">
        <f aca="false">(Sens!J212*tk_hold_h100+Sens!J213*tk_hold_gb200+Sens!J214*tk_hold_gb300+Sens!J216*tk_hold_vr200+Sens!J215*nv_out_mai*tk_hold_vr200)/Sens!J204</f>
        <v>11.2032127128058</v>
      </c>
      <c r="K218" s="15" t="n">
        <f aca="false">(Sens!K212*tk_hold_h100+Sens!K213*tk_hold_gb200+Sens!K214*tk_hold_gb300+Sens!K216*tk_hold_vr200+Sens!K215*nv_out_mai*tk_hold_vr200)/Sens!K204</f>
        <v>11.4085735724225</v>
      </c>
      <c r="L218" s="12" t="s">
        <v>975</v>
      </c>
    </row>
    <row r="219" customFormat="false" ht="17.15" hidden="false" customHeight="false" outlineLevel="0" collapsed="false">
      <c r="A219" s="0" t="s">
        <v>976</v>
      </c>
      <c r="B219" s="0" t="s">
        <v>229</v>
      </c>
      <c r="C219" s="15" t="n">
        <f aca="false">k_B</f>
        <v>1.17213932619116</v>
      </c>
      <c r="D219" s="15" t="n">
        <f aca="false">k_B</f>
        <v>1.17213932619116</v>
      </c>
      <c r="E219" s="15" t="n">
        <f aca="false">k_B</f>
        <v>1.17213932619116</v>
      </c>
      <c r="F219" s="15" t="n">
        <f aca="false">(k_B+((ls_A*k_long+(1-ls_A)*k_spot)-k_B)*MIN(1,(Sens!F202-base_fy)/k_ramp))</f>
        <v>1.25022828131298</v>
      </c>
      <c r="G219" s="15" t="n">
        <f aca="false">(k_B+((ls_A*k_long+(1-ls_A)*k_spot)-k_B)*MIN(1,(Sens!G202-base_fy)/k_ramp))</f>
        <v>1.3283172364348</v>
      </c>
      <c r="H219" s="15" t="n">
        <f aca="false">(k_B+((ls_A*k_long+(1-ls_A)*k_spot)-k_B)*MIN(1,(Sens!H202-base_fy)/k_ramp))</f>
        <v>1.40640619155662</v>
      </c>
      <c r="I219" s="15" t="n">
        <f aca="false">(k_B+((ls_A*k_long+(1-ls_A)*k_spot)-k_B)*MIN(1,(Sens!I202-base_fy)/k_ramp))</f>
        <v>1.40640619155662</v>
      </c>
      <c r="J219" s="15" t="n">
        <f aca="false">(k_B+((ls_A*k_long+(1-ls_A)*k_spot)-k_B)*MIN(1,(Sens!J202-base_fy)/k_ramp))</f>
        <v>1.40640619155662</v>
      </c>
      <c r="K219" s="15" t="n">
        <f aca="false">(k_B+((ls_A*k_long+(1-ls_A)*k_spot)-k_B)*MIN(1,(Sens!K202-base_fy)/k_ramp))</f>
        <v>1.40640619155662</v>
      </c>
      <c r="L219" s="1" t="s">
        <v>977</v>
      </c>
    </row>
    <row r="220" customFormat="false" ht="17.15" hidden="false" customHeight="false" outlineLevel="0" collapsed="false">
      <c r="A220" s="1" t="s">
        <v>978</v>
      </c>
      <c r="B220" s="0" t="s">
        <v>403</v>
      </c>
      <c r="C220" s="15" t="n">
        <f aca="false">Sens!C218*Sens!C219*chip_f</f>
        <v>11.3973387156315</v>
      </c>
      <c r="D220" s="15" t="n">
        <f aca="false">Sens!D218*Sens!D219*chip_f</f>
        <v>11.3973387156315</v>
      </c>
      <c r="E220" s="15" t="n">
        <f aca="false">Sens!E218*Sens!E219*chip_f</f>
        <v>11.3973387156315</v>
      </c>
      <c r="F220" s="15" t="n">
        <f aca="false">Sens!F218*Sens!F219*chip_f</f>
        <v>12.8116169124314</v>
      </c>
      <c r="G220" s="15" t="n">
        <f aca="false">Sens!G218*Sens!G219*chip_f</f>
        <v>14.094588604395</v>
      </c>
      <c r="H220" s="15" t="n">
        <f aca="false">Sens!H218*Sens!H219*chip_f</f>
        <v>15.2803058877132</v>
      </c>
      <c r="I220" s="15" t="n">
        <f aca="false">Sens!I218*Sens!I219*chip_f</f>
        <v>15.5457988470549</v>
      </c>
      <c r="J220" s="15" t="n">
        <f aca="false">Sens!J218*Sens!J219*chip_f</f>
        <v>15.7562677246158</v>
      </c>
      <c r="K220" s="15" t="n">
        <f aca="false">Sens!K218*Sens!K219*chip_f</f>
        <v>16.0450885090842</v>
      </c>
      <c r="L220" s="1" t="s">
        <v>979</v>
      </c>
    </row>
    <row r="221" customFormat="false" ht="17.15" hidden="false" customHeight="false" outlineLevel="0" collapsed="false">
      <c r="A221" s="0" t="s">
        <v>980</v>
      </c>
      <c r="B221" s="0" t="s">
        <v>98</v>
      </c>
      <c r="D221" s="6" t="n">
        <f aca="false">(Sens!C204+Sens!D204)/2*Sens!D220/1000</f>
        <v>12.9359794422418</v>
      </c>
      <c r="E221" s="6" t="n">
        <f aca="false">(Sens!D204+Sens!E204)/2*Sens!E220/1000</f>
        <v>27.8095064661409</v>
      </c>
      <c r="F221" s="6" t="n">
        <f aca="false">(Sens!E204+Sens!F204)/2*Sens!F220/1000</f>
        <v>59.1034165651511</v>
      </c>
      <c r="G221" s="6" t="n">
        <f aca="false">(Sens!F204+Sens!G204)/2*Sens!G220/1000</f>
        <v>103.451498789198</v>
      </c>
      <c r="H221" s="6" t="n">
        <f aca="false">(Sens!G204+Sens!H204)/2*Sens!H220/1000</f>
        <v>153.816719989035</v>
      </c>
      <c r="I221" s="6" t="n">
        <f aca="false">(Sens!H204+Sens!I204)/2*Sens!I220/1000</f>
        <v>192.699478690852</v>
      </c>
      <c r="J221" s="6" t="n">
        <f aca="false">(Sens!I204+Sens!J204)/2*Sens!J220/1000</f>
        <v>219.794102584244</v>
      </c>
      <c r="K221" s="6" t="n">
        <f aca="false">(Sens!J204+Sens!K204)/2*Sens!K220/1000</f>
        <v>236.757046905022</v>
      </c>
      <c r="L221" s="12" t="s">
        <v>981</v>
      </c>
    </row>
    <row r="222" customFormat="false" ht="17.15" hidden="false" customHeight="false" outlineLevel="0" collapsed="false">
      <c r="A222" s="1" t="s">
        <v>982</v>
      </c>
      <c r="B222" s="0" t="s">
        <v>403</v>
      </c>
      <c r="C222" s="15" t="n">
        <f aca="false">(Sens!C212*tk_opex_h100+Sens!C213*tk_opex_gb200+Sens!C214*tk_opex_gb300+(Sens!C216+Sens!C215)*tk_opex_vr200)/Sens!C204</f>
        <v>1.88636041306092</v>
      </c>
      <c r="D222" s="15" t="n">
        <f aca="false">(Sens!D212*tk_opex_h100+Sens!D213*tk_opex_gb200+Sens!D214*tk_opex_gb300+(Sens!D216+Sens!D215)*tk_opex_vr200)/Sens!D204</f>
        <v>1.88636041306092</v>
      </c>
      <c r="E222" s="15" t="n">
        <f aca="false">(Sens!E212*tk_opex_h100+Sens!E213*tk_opex_gb200+Sens!E214*tk_opex_gb300+(Sens!E216+Sens!E215)*tk_opex_vr200)/Sens!E204</f>
        <v>1.88636041306092</v>
      </c>
      <c r="F222" s="15" t="n">
        <f aca="false">(Sens!F212*tk_opex_h100+Sens!F213*tk_opex_gb200+Sens!F214*tk_opex_gb300+(Sens!F216+Sens!F215)*tk_opex_vr200)/Sens!F204</f>
        <v>1.95051159746876</v>
      </c>
      <c r="G222" s="15" t="n">
        <f aca="false">(Sens!G212*tk_opex_h100+Sens!G213*tk_opex_gb200+Sens!G214*tk_opex_gb300+(Sens!G216+Sens!G215)*tk_opex_vr200)/Sens!G204</f>
        <v>1.98836003669956</v>
      </c>
      <c r="H222" s="15" t="n">
        <f aca="false">(Sens!H212*tk_opex_h100+Sens!H213*tk_opex_gb200+Sens!H214*tk_opex_gb300+(Sens!H216+Sens!H215)*tk_opex_vr200)/Sens!H204</f>
        <v>2.01344013834343</v>
      </c>
      <c r="I222" s="15" t="n">
        <f aca="false">(Sens!I212*tk_opex_h100+Sens!I213*tk_opex_gb200+Sens!I214*tk_opex_gb300+(Sens!I216+Sens!I215)*tk_opex_vr200)/Sens!I204</f>
        <v>2.03261166882178</v>
      </c>
      <c r="J222" s="15" t="n">
        <f aca="false">(Sens!J212*tk_opex_h100+Sens!J213*tk_opex_gb200+Sens!J214*tk_opex_gb300+(Sens!J216+Sens!J215)*tk_opex_vr200)/Sens!J204</f>
        <v>2.04808073288745</v>
      </c>
      <c r="K222" s="15" t="n">
        <f aca="false">(Sens!K212*tk_opex_h100+Sens!K213*tk_opex_gb200+Sens!K214*tk_opex_gb300+(Sens!K216+Sens!K215)*tk_opex_vr200)/Sens!K204</f>
        <v>2.06973825807449</v>
      </c>
      <c r="L222" s="12" t="s">
        <v>983</v>
      </c>
    </row>
    <row r="223" customFormat="false" ht="17.15" hidden="false" customHeight="false" outlineLevel="0" collapsed="false">
      <c r="A223" s="0" t="s">
        <v>984</v>
      </c>
      <c r="B223" s="0" t="s">
        <v>98</v>
      </c>
      <c r="D223" s="6" t="n">
        <f aca="false">(Sens!C207+Sens!D207)/2*Sens!D222/1000</f>
        <v>2.70378325872065</v>
      </c>
      <c r="E223" s="6" t="n">
        <f aca="false">(Sens!D207+Sens!E207)/2*Sens!E222/1000</f>
        <v>6.17783035277451</v>
      </c>
      <c r="F223" s="6" t="n">
        <f aca="false">(Sens!E207+Sens!F207)/2*Sens!F222/1000</f>
        <v>12.8742463089237</v>
      </c>
      <c r="G223" s="6" t="n">
        <f aca="false">(Sens!F207+Sens!G207)/2*Sens!G222/1000</f>
        <v>21.8182834646277</v>
      </c>
      <c r="H223" s="6" t="n">
        <f aca="false">(Sens!G207+Sens!H207)/2*Sens!H222/1000</f>
        <v>31.2430128789734</v>
      </c>
      <c r="I223" s="6" t="n">
        <f aca="false">(Sens!H207+Sens!I207)/2*Sens!I222/1000</f>
        <v>39.4313057443268</v>
      </c>
      <c r="J223" s="6" t="n">
        <f aca="false">(Sens!I207+Sens!J207)/2*Sens!J222/1000</f>
        <v>45.0360318228653</v>
      </c>
      <c r="K223" s="6" t="n">
        <f aca="false">(Sens!J207+Sens!K207)/2*Sens!K222/1000</f>
        <v>48.2929727091156</v>
      </c>
    </row>
    <row r="224" customFormat="false" ht="17.15" hidden="false" customHeight="false" outlineLevel="0" collapsed="false">
      <c r="A224" s="0" t="s">
        <v>985</v>
      </c>
      <c r="B224" s="0" t="s">
        <v>98</v>
      </c>
      <c r="D224" s="6" t="n">
        <f aca="false">(Sens!C205+Sens!D205)/2*rent_mw/1000</f>
        <v>2.44475</v>
      </c>
      <c r="E224" s="6" t="n">
        <f aca="false">(Sens!D205+Sens!E205)/2*rent_mw/1000</f>
        <v>4.22275</v>
      </c>
      <c r="F224" s="6" t="n">
        <f aca="false">(Sens!E205+Sens!F205)/2*rent_mw/1000</f>
        <v>5.80517</v>
      </c>
      <c r="G224" s="6" t="n">
        <f aca="false">(Sens!F205+Sens!G205)/2*rent_mw/1000</f>
        <v>6.72084</v>
      </c>
      <c r="H224" s="6" t="n">
        <f aca="false">(Sens!G205+Sens!H205)/2*rent_mw/1000</f>
        <v>6.72084</v>
      </c>
      <c r="I224" s="6" t="n">
        <f aca="false">(Sens!H205+Sens!I205)/2*rent_mw/1000</f>
        <v>6.72084</v>
      </c>
      <c r="J224" s="6" t="n">
        <f aca="false">(Sens!I205+Sens!J205)/2*rent_mw/1000</f>
        <v>6.72084</v>
      </c>
      <c r="K224" s="6" t="n">
        <f aca="false">(Sens!J205+Sens!K205)/2*rent_mw/1000</f>
        <v>6.72084</v>
      </c>
    </row>
    <row r="225" customFormat="false" ht="17.15" hidden="false" customHeight="false" outlineLevel="0" collapsed="false">
      <c r="A225" s="0" t="s">
        <v>986</v>
      </c>
      <c r="B225" s="0" t="s">
        <v>98</v>
      </c>
      <c r="D225" s="6" t="n">
        <f aca="false">(Sens!C207+Sens!D207)/2*(1-self_build)*fac_rent/1000</f>
        <v>0.853242375631075</v>
      </c>
      <c r="E225" s="6" t="n">
        <f aca="false">(Sens!D207+Sens!E207)/2*(1-self_build)*fac_rent/1000</f>
        <v>1.94955961408728</v>
      </c>
      <c r="F225" s="6" t="n">
        <f aca="false">(Sens!E207+Sens!F207)/2*(1-self_build)*fac_rent/1000</f>
        <v>3.92914894476356</v>
      </c>
      <c r="G225" s="6" t="n">
        <f aca="false">(Sens!F207+Sens!G207)/2*(1-self_build)*fac_rent/1000</f>
        <v>6.53206908578159</v>
      </c>
      <c r="H225" s="6" t="n">
        <f aca="false">(Sens!G207+Sens!H207)/2*(1-self_build)*fac_rent/1000</f>
        <v>9.23717988341591</v>
      </c>
      <c r="I225" s="6" t="n">
        <f aca="false">(Sens!H207+Sens!I207)/2*(1-self_build)*fac_rent/1000</f>
        <v>11.5481378557393</v>
      </c>
      <c r="J225" s="6" t="n">
        <f aca="false">(Sens!I207+Sens!J207)/2*(1-self_build)*fac_rent/1000</f>
        <v>13.0899582289108</v>
      </c>
      <c r="K225" s="6" t="n">
        <f aca="false">(Sens!J207+Sens!K207)/2*(1-self_build)*fac_rent/1000</f>
        <v>13.8897275626556</v>
      </c>
      <c r="L225" s="12" t="s">
        <v>987</v>
      </c>
    </row>
    <row r="226" customFormat="false" ht="17.15" hidden="false" customHeight="false" outlineLevel="0" collapsed="false">
      <c r="A226" s="1" t="s">
        <v>988</v>
      </c>
      <c r="B226" s="0" t="s">
        <v>168</v>
      </c>
      <c r="D226" s="7" t="n">
        <f aca="false">(Sens!C206+Sens!D206)/(Sens!C207+Sens!D207)</f>
        <v>0.6</v>
      </c>
      <c r="E226" s="7" t="n">
        <f aca="false">(Sens!D206+Sens!E206)/(Sens!D207+Sens!E207)</f>
        <v>0.6</v>
      </c>
      <c r="F226" s="7" t="n">
        <f aca="false">(Sens!E206+Sens!F206)/(Sens!E207+Sens!F207)</f>
        <v>0.6</v>
      </c>
      <c r="G226" s="7" t="n">
        <f aca="false">(Sens!F206+Sens!G206)/(Sens!F207+Sens!G207)</f>
        <v>0.6</v>
      </c>
      <c r="H226" s="7" t="n">
        <f aca="false">(Sens!G206+Sens!H206)/(Sens!G207+Sens!H207)</f>
        <v>0.6</v>
      </c>
      <c r="I226" s="7" t="n">
        <f aca="false">(Sens!H206+Sens!I206)/(Sens!H207+Sens!I207)</f>
        <v>0.6</v>
      </c>
      <c r="J226" s="7" t="n">
        <f aca="false">(Sens!I206+Sens!J206)/(Sens!I207+Sens!J207)</f>
        <v>0.6</v>
      </c>
      <c r="K226" s="7" t="n">
        <f aca="false">(Sens!J206+Sens!K206)/(Sens!J207+Sens!K207)</f>
        <v>0.6</v>
      </c>
    </row>
    <row r="227" customFormat="false" ht="17.15" hidden="false" customHeight="false" outlineLevel="0" collapsed="false">
      <c r="A227" s="0" t="s">
        <v>989</v>
      </c>
      <c r="B227" s="0" t="s">
        <v>98</v>
      </c>
      <c r="D227" s="6" t="n">
        <f aca="false">Sens!D221-Sens!D226*(Sens!D223+Sens!D225)-Sens!D224</f>
        <v>8.35701406163072</v>
      </c>
      <c r="E227" s="6" t="n">
        <f aca="false">Sens!E221-Sens!E226*(Sens!E223+Sens!E225)-Sens!E224</f>
        <v>18.7103224860238</v>
      </c>
      <c r="F227" s="6" t="n">
        <f aca="false">Sens!F221-Sens!F226*(Sens!F223+Sens!F225)-Sens!F224</f>
        <v>43.2162094129388</v>
      </c>
      <c r="G227" s="6" t="n">
        <f aca="false">Sens!G221-Sens!G226*(Sens!G223+Sens!G225)-Sens!G224</f>
        <v>79.7204472589529</v>
      </c>
      <c r="H227" s="6" t="n">
        <f aca="false">Sens!H221-Sens!H226*(Sens!H223+Sens!H225)-Sens!H224</f>
        <v>122.807764331602</v>
      </c>
      <c r="I227" s="6" t="n">
        <f aca="false">Sens!I221-Sens!I226*(Sens!I223+Sens!I225)-Sens!I224</f>
        <v>155.390972530813</v>
      </c>
      <c r="J227" s="6" t="n">
        <f aca="false">Sens!J221-Sens!J226*(Sens!J223+Sens!J225)-Sens!J224</f>
        <v>178.197668553178</v>
      </c>
      <c r="K227" s="6" t="n">
        <f aca="false">Sens!K221-Sens!K226*(Sens!K223+Sens!K225)-Sens!K224</f>
        <v>192.726586741959</v>
      </c>
    </row>
    <row r="228" customFormat="false" ht="17.15" hidden="false" customHeight="false" outlineLevel="0" collapsed="false">
      <c r="A228" s="1" t="s">
        <v>990</v>
      </c>
      <c r="B228" s="0" t="s">
        <v>98</v>
      </c>
      <c r="D228" s="6" t="n">
        <f aca="false">(1-Sens!D226)*(Sens!D223+Sens!D225)</f>
        <v>1.42281025374069</v>
      </c>
      <c r="E228" s="6" t="n">
        <f aca="false">(1-Sens!E226)*(Sens!E223+Sens!E225)</f>
        <v>3.25095598674472</v>
      </c>
      <c r="F228" s="6" t="n">
        <f aca="false">(1-Sens!F226)*(Sens!F223+Sens!F225)</f>
        <v>6.72135810147489</v>
      </c>
      <c r="G228" s="6" t="n">
        <f aca="false">(1-Sens!G226)*(Sens!G223+Sens!G225)</f>
        <v>11.3401410201637</v>
      </c>
      <c r="H228" s="6" t="n">
        <f aca="false">(1-Sens!H226)*(Sens!H223+Sens!H225)</f>
        <v>16.1920771049557</v>
      </c>
      <c r="I228" s="6" t="n">
        <f aca="false">(1-Sens!I226)*(Sens!I223+Sens!I225)</f>
        <v>20.3917774400264</v>
      </c>
      <c r="J228" s="6" t="n">
        <f aca="false">(1-Sens!J226)*(Sens!J223+Sens!J225)</f>
        <v>23.2503960207104</v>
      </c>
      <c r="K228" s="6" t="n">
        <f aca="false">(1-Sens!K226)*(Sens!K223+Sens!K225)</f>
        <v>24.8730801087085</v>
      </c>
    </row>
    <row r="229" customFormat="false" ht="17.15" hidden="false" customHeight="false" outlineLevel="0" collapsed="false">
      <c r="A229" s="1" t="s">
        <v>991</v>
      </c>
      <c r="B229" s="0" t="s">
        <v>417</v>
      </c>
      <c r="C229" s="8" t="n">
        <f aca="false">cxit_open</f>
        <v>27.5918995</v>
      </c>
      <c r="D229" s="8" t="n">
        <f aca="false">cxit_open</f>
        <v>27.5918995</v>
      </c>
      <c r="E229" s="8" t="n">
        <f aca="false">cxit_open</f>
        <v>27.5918995</v>
      </c>
      <c r="F229" s="8" t="n">
        <f aca="false">((a_g3_27-nonnv*a_mai)*tk_cxit_gb300+nonnv*a_mai*nv_hold_mai*tk_cxit_vr200+(1-a_g3_27)*tk_cxit_vr200)</f>
        <v>32.4975576</v>
      </c>
      <c r="G229" s="8" t="n">
        <f aca="false">((a_g3_28-nonnv*a_mai)*tk_cxit_gb300+nonnv*a_mai*nv_hold_mai*tk_cxit_vr200+(1-a_g3_28)*tk_cxit_vr200)</f>
        <v>34.6372088</v>
      </c>
      <c r="H229" s="8" t="n">
        <f aca="false">((a_g3_29-nonnv*a_mai)*tk_cxit_gb300+nonnv*a_mai*nv_hold_mai*tk_cxit_vr200+(1-a_g3_29)*tk_cxit_vr200)</f>
        <v>35.7070344</v>
      </c>
      <c r="I229" s="8" t="n">
        <f aca="false">((a_g3_29-nonnv*a_mai)*tk_cxit_gb300+nonnv*a_mai*nv_hold_mai*tk_cxit_vr200+(1-a_g3_29)*tk_cxit_vr200)</f>
        <v>35.7070344</v>
      </c>
      <c r="J229" s="8" t="n">
        <f aca="false">((a_g3_29-nonnv*a_mai)*tk_cxit_gb300+nonnv*a_mai*nv_hold_mai*tk_cxit_vr200+(1-a_g3_29)*tk_cxit_vr200)</f>
        <v>35.7070344</v>
      </c>
      <c r="K229" s="8" t="n">
        <f aca="false">((a_g3_29-nonnv*a_mai)*tk_cxit_gb300+nonnv*a_mai*nv_hold_mai*tk_cxit_vr200+(1-a_g3_29)*tk_cxit_vr200)</f>
        <v>35.7070344</v>
      </c>
      <c r="L229" s="12" t="s">
        <v>992</v>
      </c>
    </row>
    <row r="230" customFormat="false" ht="17.15" hidden="false" customHeight="false" outlineLevel="0" collapsed="false">
      <c r="A230" s="0" t="s">
        <v>993</v>
      </c>
      <c r="B230" s="0" t="s">
        <v>459</v>
      </c>
      <c r="F230" s="30" t="n">
        <f aca="false">Sens!C209*IF(Sens!F202-Sens!C202=life_it,1,0)+Sens!D209*IF(Sens!F202-Sens!D202=life_it,1,0)+Sens!E209*IF(Sens!F202-Sens!E202=life_it,1,0)</f>
        <v>0</v>
      </c>
      <c r="G230" s="30" t="n">
        <f aca="false">Sens!C209*IF(Sens!G202-Sens!C202=life_it,1,0)+Sens!D209*IF(Sens!G202-Sens!D202=life_it,1,0)+Sens!E209*IF(Sens!G202-Sens!E202=life_it,1,0)+Sens!F209*IF(Sens!G202-Sens!F202=life_it,1,0)</f>
        <v>0</v>
      </c>
      <c r="H230" s="30" t="n">
        <f aca="false">Sens!C209*IF(Sens!H202-Sens!C202=life_it,1,0)+Sens!D209*IF(Sens!H202-Sens!D202=life_it,1,0)+Sens!E209*IF(Sens!H202-Sens!E202=life_it,1,0)+Sens!F209*IF(Sens!H202-Sens!F202=life_it,1,0)+Sens!G209*IF(Sens!H202-Sens!G202=life_it,1,0)</f>
        <v>0</v>
      </c>
      <c r="I230" s="30" t="n">
        <f aca="false">Sens!C209*IF(Sens!I202-Sens!C202=life_it,1,0)+Sens!D209*IF(Sens!I202-Sens!D202=life_it,1,0)+Sens!E209*IF(Sens!I202-Sens!E202=life_it,1,0)+Sens!F209*IF(Sens!I202-Sens!F202=life_it,1,0)+Sens!G209*IF(Sens!I202-Sens!G202=life_it,1,0)+Sens!H209*IF(Sens!I202-Sens!H202=life_it,1,0)</f>
        <v>816.666666666667</v>
      </c>
      <c r="J230" s="30" t="n">
        <f aca="false">Sens!C209*IF(Sens!J202-Sens!C202=life_it,1,0)+Sens!D209*IF(Sens!J202-Sens!D202=life_it,1,0)+Sens!E209*IF(Sens!J202-Sens!E202=life_it,1,0)+Sens!F209*IF(Sens!J202-Sens!F202=life_it,1,0)+Sens!G209*IF(Sens!J202-Sens!G202=life_it,1,0)+Sens!H209*IF(Sens!J202-Sens!H202=life_it,1,0)+Sens!I209*IF(Sens!J202-Sens!I202=life_it,1,0)</f>
        <v>1233.33333333333</v>
      </c>
      <c r="K230" s="30" t="n">
        <f aca="false">Sens!C209*IF(Sens!K202-Sens!C202=life_it,1,0)+Sens!D209*IF(Sens!K202-Sens!D202=life_it,1,0)+Sens!E209*IF(Sens!K202-Sens!E202=life_it,1,0)+Sens!F209*IF(Sens!K202-Sens!F202=life_it,1,0)+Sens!G209*IF(Sens!K202-Sens!G202=life_it,1,0)+Sens!H209*IF(Sens!K202-Sens!H202=life_it,1,0)+Sens!I209*IF(Sens!K202-Sens!I202=life_it,1,0)+Sens!J209*IF(Sens!K202-Sens!J202=life_it,1,0)</f>
        <v>2450</v>
      </c>
      <c r="L230" s="1" t="s">
        <v>994</v>
      </c>
    </row>
    <row r="231" customFormat="false" ht="17.15" hidden="false" customHeight="false" outlineLevel="0" collapsed="false">
      <c r="A231" s="0" t="s">
        <v>995</v>
      </c>
      <c r="B231" s="0" t="s">
        <v>98</v>
      </c>
      <c r="C231" s="6" t="n">
        <f aca="false">Sens!C209*Sens!C229/1000</f>
        <v>22.5333845916667</v>
      </c>
      <c r="D231" s="6" t="n">
        <f aca="false">Sens!D209*Sens!D229/1000</f>
        <v>34.0300093833333</v>
      </c>
      <c r="E231" s="6" t="n">
        <f aca="false">Sens!E209*Sens!E229/1000</f>
        <v>67.600153775</v>
      </c>
      <c r="F231" s="6" t="n">
        <f aca="false">(Sens!F209+Sens!F230)*Sens!F229/1000</f>
        <v>136.51872432512</v>
      </c>
      <c r="G231" s="6" t="n">
        <f aca="false">(Sens!G209+Sens!G230)*Sens!G229/1000</f>
        <v>157.399275932048</v>
      </c>
      <c r="H231" s="6" t="n">
        <f aca="false">(Sens!H209+Sens!H230)*Sens!H229/1000</f>
        <v>162.260804347512</v>
      </c>
      <c r="I231" s="6" t="n">
        <f aca="false">(Sens!I209+Sens!I230)*Sens!I229/1000</f>
        <v>144.136569485434</v>
      </c>
      <c r="J231" s="6" t="n">
        <f aca="false">(Sens!J209+Sens!J230)*Sens!J229/1000</f>
        <v>114.029037357864</v>
      </c>
      <c r="K231" s="6" t="n">
        <f aca="false">(Sens!K209+Sens!K230)*Sens!K229/1000</f>
        <v>113.437085350975</v>
      </c>
    </row>
    <row r="232" customFormat="false" ht="17.15" hidden="false" customHeight="false" outlineLevel="0" collapsed="false">
      <c r="A232" s="0" t="s">
        <v>996</v>
      </c>
      <c r="B232" s="0" t="s">
        <v>98</v>
      </c>
      <c r="C232" s="6" t="n">
        <f aca="false">Sens!C209*self_build*tk_cxfac/1000</f>
        <v>6.2083</v>
      </c>
      <c r="D232" s="6" t="n">
        <f aca="false">Sens!D209*self_build*tk_cxfac/1000</f>
        <v>9.3758</v>
      </c>
      <c r="E232" s="6" t="n">
        <f aca="false">Sens!E209*self_build*tk_cxfac/1000</f>
        <v>18.6249</v>
      </c>
      <c r="F232" s="6" t="n">
        <f aca="false">Sens!F209*self_build*tk_cxfac/1000</f>
        <v>31.935179717</v>
      </c>
      <c r="G232" s="6" t="n">
        <f aca="false">Sens!G209*self_build*tk_cxfac/1000</f>
        <v>34.545199717</v>
      </c>
      <c r="H232" s="6" t="n">
        <f aca="false">Sens!H209*self_build*tk_cxfac/1000</f>
        <v>34.545199717</v>
      </c>
      <c r="I232" s="6" t="n">
        <f aca="false">Sens!I209*self_build*tk_cxfac/1000</f>
        <v>24.4782641361767</v>
      </c>
      <c r="J232" s="6" t="n">
        <f aca="false">Sens!J209*self_build*tk_cxfac/1000</f>
        <v>14.9008938380769</v>
      </c>
      <c r="K232" s="6" t="n">
        <f aca="false">Sens!K209*self_build*tk_cxfac/1000</f>
        <v>5.52576771375761</v>
      </c>
    </row>
    <row r="233" customFormat="false" ht="17.15" hidden="false" customHeight="false" outlineLevel="0" collapsed="false">
      <c r="A233" s="0" t="s">
        <v>997</v>
      </c>
      <c r="B233" s="0" t="s">
        <v>98</v>
      </c>
      <c r="F233" s="15" t="n">
        <f aca="false">capex_floor27-Sens!F231-Sens!F232-Sens!F329</f>
        <v>0.0475774452575593</v>
      </c>
      <c r="L233" s="12" t="s">
        <v>998</v>
      </c>
    </row>
    <row r="234" customFormat="false" ht="17.15" hidden="false" customHeight="false" outlineLevel="0" collapsed="false">
      <c r="A234" s="0" t="s">
        <v>999</v>
      </c>
      <c r="B234" s="0" t="s">
        <v>98</v>
      </c>
      <c r="F234" s="6" t="n">
        <f aca="false">MAX(0,Sens!F233)</f>
        <v>0.0475774452575593</v>
      </c>
    </row>
    <row r="235" customFormat="false" ht="17.15" hidden="false" customHeight="false" outlineLevel="0" collapsed="false">
      <c r="A235" s="0" t="s">
        <v>1000</v>
      </c>
      <c r="B235" s="0" t="s">
        <v>98</v>
      </c>
      <c r="C235" s="6" t="n">
        <f aca="false">Sens!C231</f>
        <v>22.5333845916667</v>
      </c>
      <c r="D235" s="6" t="n">
        <f aca="false">Sens!D231</f>
        <v>34.0300093833333</v>
      </c>
      <c r="E235" s="6" t="n">
        <f aca="false">Sens!E231</f>
        <v>67.600153775</v>
      </c>
      <c r="F235" s="6" t="n">
        <f aca="false">Sens!F231</f>
        <v>136.51872432512</v>
      </c>
      <c r="G235" s="6" t="n">
        <f aca="false">Sens!G231</f>
        <v>157.399275932048</v>
      </c>
      <c r="H235" s="6" t="n">
        <f aca="false">Sens!H231</f>
        <v>162.260804347512</v>
      </c>
      <c r="I235" s="6" t="n">
        <f aca="false">Sens!I231</f>
        <v>144.136569485434</v>
      </c>
      <c r="J235" s="6" t="n">
        <f aca="false">Sens!J231</f>
        <v>114.029037357864</v>
      </c>
      <c r="K235" s="6" t="n">
        <f aca="false">Sens!K231</f>
        <v>113.437085350975</v>
      </c>
    </row>
    <row r="236" customFormat="false" ht="17.15" hidden="false" customHeight="false" outlineLevel="0" collapsed="false">
      <c r="A236" s="0" t="s">
        <v>1001</v>
      </c>
      <c r="B236" s="0" t="s">
        <v>98</v>
      </c>
      <c r="C236" s="6" t="n">
        <f aca="false">Sens!C235+Sens!C232</f>
        <v>28.7416845916667</v>
      </c>
      <c r="D236" s="6" t="n">
        <f aca="false">Sens!D235+Sens!D232</f>
        <v>43.4058093833333</v>
      </c>
      <c r="E236" s="6" t="n">
        <f aca="false">Sens!E235+Sens!E232</f>
        <v>86.225053775</v>
      </c>
      <c r="F236" s="6" t="n">
        <f aca="false">Sens!F235+Sens!F232</f>
        <v>168.45390404212</v>
      </c>
      <c r="G236" s="6" t="n">
        <f aca="false">Sens!G235+Sens!G232</f>
        <v>191.944475649048</v>
      </c>
      <c r="H236" s="6" t="n">
        <f aca="false">Sens!H235+Sens!H232</f>
        <v>196.806004064512</v>
      </c>
      <c r="I236" s="6" t="n">
        <f aca="false">Sens!I235+Sens!I232</f>
        <v>168.61483362161</v>
      </c>
      <c r="J236" s="6" t="n">
        <f aca="false">Sens!J235+Sens!J232</f>
        <v>128.92993119594</v>
      </c>
      <c r="K236" s="6" t="n">
        <f aca="false">Sens!K235+Sens!K232</f>
        <v>118.962853064733</v>
      </c>
      <c r="L236" s="12" t="s">
        <v>1002</v>
      </c>
    </row>
    <row r="237" customFormat="false" ht="17.15" hidden="false" customHeight="false" outlineLevel="0" collapsed="false">
      <c r="A237" s="0" t="s">
        <v>1003</v>
      </c>
      <c r="B237" s="0" t="s">
        <v>98</v>
      </c>
      <c r="E237" s="6" t="n">
        <f aca="false">(Sens!C235*IF(2&lt;life_it,1,IF(2=life_it,0.5,0))+Sens!D235*IF(1&lt;life_it,1,IF(1=life_it,0.5,0))+Sens!E235*0.5)/life_it</f>
        <v>15.0605784770833</v>
      </c>
      <c r="F237" s="6" t="n">
        <f aca="false">(Sens!C235*IF(3&lt;life_it,1,IF(3=life_it,0.5,0))+Sens!D235*IF(2&lt;life_it,1,IF(2=life_it,0.5,0))+Sens!E235*IF(1&lt;life_it,1,IF(1=life_it,0.5,0))+Sens!F235*0.5)/life_it</f>
        <v>32.0704849854266</v>
      </c>
      <c r="G237" s="6" t="n">
        <f aca="false">(Sens!C235*IF(4&lt;life_it,1,IF(4=life_it,0.5,0))+Sens!D235*IF(3&lt;life_it,1,IF(3=life_it,0.5,0))+Sens!E235*IF(2&lt;life_it,1,IF(2=life_it,0.5,0))+Sens!F235*IF(1&lt;life_it,1,IF(1=life_it,0.5,0))+Sens!G235*0.5)/life_it</f>
        <v>56.5636516735239</v>
      </c>
      <c r="H237" s="6" t="n">
        <f aca="false">(Sens!C235*IF(5&lt;life_it,1,IF(5=life_it,0.5,0))+Sens!D235*IF(4&lt;life_it,1,IF(4=life_it,0.5,0))+Sens!E235*IF(3&lt;life_it,1,IF(3=life_it,0.5,0))+Sens!F235*IF(2&lt;life_it,1,IF(2=life_it,0.5,0))+Sens!G235*IF(1&lt;life_it,1,IF(1=life_it,0.5,0))+Sens!H235*0.5)/life_it</f>
        <v>83.2019916968207</v>
      </c>
      <c r="I237" s="6" t="n">
        <f aca="false">(Sens!C235*IF(6&lt;life_it,1,IF(6=life_it,0.5,0))+Sens!D235*IF(5&lt;life_it,1,IF(5=life_it,0.5,0))+Sens!E235*IF(4&lt;life_it,1,IF(4=life_it,0.5,0))+Sens!F235*IF(3&lt;life_it,1,IF(3=life_it,0.5,0))+Sens!G235*IF(2&lt;life_it,1,IF(2=life_it,0.5,0))+Sens!H235*IF(1&lt;life_it,1,IF(1=life_it,0.5,0))+Sens!I235*0.5)/life_it</f>
        <v>106.857324133594</v>
      </c>
      <c r="J237" s="6" t="n">
        <f aca="false">(Sens!C235*IF(7&lt;life_it,1,IF(7=life_it,0.5,0))+Sens!D235*IF(6&lt;life_it,1,IF(6=life_it,0.5,0))+Sens!E235*IF(5&lt;life_it,1,IF(5=life_it,0.5,0))+Sens!F235*IF(4&lt;life_it,1,IF(4=life_it,0.5,0))+Sens!G235*IF(3&lt;life_it,1,IF(3=life_it,0.5,0))+Sens!H235*IF(2&lt;life_it,1,IF(2=life_it,0.5,0))+Sens!I235*IF(1&lt;life_it,1,IF(1=life_it,0.5,0))+Sens!J235*0.5)/life_it</f>
        <v>123.657508539285</v>
      </c>
      <c r="K237" s="6" t="n">
        <f aca="false">(Sens!C235*IF(8&lt;life_it,1,IF(8=life_it,0.5,0))+Sens!D235*IF(7&lt;life_it,1,IF(7=life_it,0.5,0))+Sens!E235*IF(6&lt;life_it,1,IF(6=life_it,0.5,0))+Sens!F235*IF(5&lt;life_it,1,IF(5=life_it,0.5,0))+Sens!G235*IF(4&lt;life_it,1,IF(4=life_it,0.5,0))+Sens!H235*IF(3&lt;life_it,1,IF(3=life_it,0.5,0))+Sens!I235*IF(2&lt;life_it,1,IF(2=life_it,0.5,0))+Sens!J235*IF(1&lt;life_it,1,IF(1=life_it,0.5,0))+Sens!K235*0.5)/life_it</f>
        <v>134.143838501827</v>
      </c>
    </row>
    <row r="238" customFormat="false" ht="17.15" hidden="false" customHeight="false" outlineLevel="0" collapsed="false">
      <c r="A238" s="0" t="s">
        <v>1004</v>
      </c>
      <c r="B238" s="0" t="s">
        <v>98</v>
      </c>
      <c r="E238" s="6" t="n">
        <f aca="false">(Sens!C232*IF(2&lt;life_fac,1,IF(2=life_fac,0.5,0))+Sens!D232*IF(1&lt;life_fac,1,IF(1=life_fac,0.5,0))+Sens!E232*0.5)/life_fac</f>
        <v>1.2448275</v>
      </c>
      <c r="F238" s="6" t="n">
        <f aca="false">(Sens!C232*IF(3&lt;life_fac,1,IF(3=life_fac,0.5,0))+Sens!D232*IF(2&lt;life_fac,1,IF(2=life_fac,0.5,0))+Sens!E232*IF(1&lt;life_fac,1,IF(1=life_fac,0.5,0))+Sens!F232*0.5)/life_fac</f>
        <v>2.508829492925</v>
      </c>
      <c r="G238" s="6" t="n">
        <f aca="false">(Sens!C232*IF(4&lt;life_fac,1,IF(4=life_fac,0.5,0))+Sens!D232*IF(3&lt;life_fac,1,IF(3=life_fac,0.5,0))+Sens!E232*IF(2&lt;life_fac,1,IF(2=life_fac,0.5,0))+Sens!F232*IF(1&lt;life_fac,1,IF(1=life_fac,0.5,0))+Sens!G232*0.5)/life_fac</f>
        <v>4.170838978775</v>
      </c>
      <c r="H238" s="6" t="n">
        <f aca="false">(Sens!C232*IF(5&lt;life_fac,1,IF(5=life_fac,0.5,0))+Sens!D232*IF(4&lt;life_fac,1,IF(4=life_fac,0.5,0))+Sens!E232*IF(3&lt;life_fac,1,IF(3=life_fac,0.5,0))+Sens!F232*IF(2&lt;life_fac,1,IF(2=life_fac,0.5,0))+Sens!G232*IF(1&lt;life_fac,1,IF(1=life_fac,0.5,0))+Sens!H232*0.5)/life_fac</f>
        <v>5.898098964625</v>
      </c>
      <c r="I238" s="6" t="n">
        <f aca="false">(Sens!C232*IF(6&lt;life_fac,1,IF(6=life_fac,0.5,0))+Sens!D232*IF(5&lt;life_fac,1,IF(5=life_fac,0.5,0))+Sens!E232*IF(4&lt;life_fac,1,IF(4=life_fac,0.5,0))+Sens!F232*IF(3&lt;life_fac,1,IF(3=life_fac,0.5,0))+Sens!G232*IF(2&lt;life_fac,1,IF(2=life_fac,0.5,0))+Sens!H232*IF(1&lt;life_fac,1,IF(1=life_fac,0.5,0))+Sens!I232*0.5)/life_fac</f>
        <v>7.37368556095442</v>
      </c>
      <c r="J238" s="6" t="n">
        <f aca="false">(Sens!C232*IF(7&lt;life_fac,1,IF(7=life_fac,0.5,0))+Sens!D232*IF(6&lt;life_fac,1,IF(6=life_fac,0.5,0))+Sens!E232*IF(5&lt;life_fac,1,IF(5=life_fac,0.5,0))+Sens!F232*IF(4&lt;life_fac,1,IF(4=life_fac,0.5,0))+Sens!G232*IF(3&lt;life_fac,1,IF(3=life_fac,0.5,0))+Sens!H232*IF(2&lt;life_fac,1,IF(2=life_fac,0.5,0))+Sens!I232*IF(1&lt;life_fac,1,IF(1=life_fac,0.5,0))+Sens!J232*0.5)/life_fac</f>
        <v>8.35816451031075</v>
      </c>
      <c r="K238" s="6" t="n">
        <f aca="false">(Sens!C232*IF(8&lt;life_fac,1,IF(8=life_fac,0.5,0))+Sens!D232*IF(7&lt;life_fac,1,IF(7=life_fac,0.5,0))+Sens!E232*IF(6&lt;life_fac,1,IF(6=life_fac,0.5,0))+Sens!F232*IF(5&lt;life_fac,1,IF(5=life_fac,0.5,0))+Sens!G232*IF(4&lt;life_fac,1,IF(4=life_fac,0.5,0))+Sens!H232*IF(3&lt;life_fac,1,IF(3=life_fac,0.5,0))+Sens!I232*IF(2&lt;life_fac,1,IF(2=life_fac,0.5,0))+Sens!J232*IF(1&lt;life_fac,1,IF(1=life_fac,0.5,0))+Sens!K232*0.5)/life_fac</f>
        <v>8.86883104910662</v>
      </c>
    </row>
    <row r="239" customFormat="false" ht="17.15" hidden="false" customHeight="false" outlineLevel="0" collapsed="false">
      <c r="A239" s="0" t="s">
        <v>1005</v>
      </c>
      <c r="B239" s="0" t="s">
        <v>98</v>
      </c>
      <c r="E239" s="6" t="n">
        <f aca="false">Sens!E237+Sens!E238</f>
        <v>16.3054059770833</v>
      </c>
      <c r="F239" s="6" t="n">
        <f aca="false">Sens!F237+Sens!F238</f>
        <v>34.5793144783516</v>
      </c>
      <c r="G239" s="6" t="n">
        <f aca="false">Sens!G237+Sens!G238</f>
        <v>60.7344906522989</v>
      </c>
      <c r="H239" s="6" t="n">
        <f aca="false">Sens!H237+Sens!H238</f>
        <v>89.1000906614457</v>
      </c>
      <c r="I239" s="6" t="n">
        <f aca="false">Sens!I237+Sens!I238</f>
        <v>114.231009694548</v>
      </c>
      <c r="J239" s="6" t="n">
        <f aca="false">Sens!J237+Sens!J238</f>
        <v>132.015673049596</v>
      </c>
      <c r="K239" s="6" t="n">
        <f aca="false">Sens!K237+Sens!K238</f>
        <v>143.012669550934</v>
      </c>
    </row>
    <row r="240" customFormat="false" ht="17.15" hidden="false" customHeight="false" outlineLevel="0" collapsed="false">
      <c r="A240" s="0" t="s">
        <v>1006</v>
      </c>
      <c r="B240" s="0" t="s">
        <v>98</v>
      </c>
      <c r="E240" s="6" t="n">
        <f aca="false">Sens!E227-Sens!E226*Sens!E239</f>
        <v>8.92707889977379</v>
      </c>
      <c r="F240" s="6" t="n">
        <f aca="false">Sens!F227-Sens!F226*Sens!F239</f>
        <v>22.4686207259278</v>
      </c>
      <c r="G240" s="6" t="n">
        <f aca="false">Sens!G227-Sens!G226*Sens!G239</f>
        <v>43.2797528675735</v>
      </c>
      <c r="H240" s="6" t="n">
        <f aca="false">Sens!H227-Sens!H226*Sens!H239</f>
        <v>69.3477099347341</v>
      </c>
      <c r="I240" s="6" t="n">
        <f aca="false">Sens!I227-Sens!I226*Sens!I239</f>
        <v>86.8523667140836</v>
      </c>
      <c r="J240" s="6" t="n">
        <f aca="false">Sens!J227-Sens!J226*Sens!J239</f>
        <v>98.9882647234202</v>
      </c>
      <c r="K240" s="6" t="n">
        <f aca="false">Sens!K227-Sens!K226*Sens!K239</f>
        <v>106.918985011399</v>
      </c>
    </row>
    <row r="241" customFormat="false" ht="17.15" hidden="false" customHeight="false" outlineLevel="0" collapsed="false">
      <c r="A241" s="3" t="s">
        <v>1616</v>
      </c>
    </row>
    <row r="242" customFormat="false" ht="15" hidden="false" customHeight="false" outlineLevel="0" collapsed="false">
      <c r="A242" s="4" t="s">
        <v>43</v>
      </c>
      <c r="B242" s="4" t="s">
        <v>65</v>
      </c>
      <c r="C242" s="23" t="s">
        <v>942</v>
      </c>
      <c r="D242" s="23" t="s">
        <v>943</v>
      </c>
      <c r="E242" s="23" t="s">
        <v>944</v>
      </c>
      <c r="F242" s="23" t="s">
        <v>945</v>
      </c>
      <c r="G242" s="23" t="s">
        <v>946</v>
      </c>
      <c r="H242" s="23" t="s">
        <v>947</v>
      </c>
      <c r="I242" s="23" t="s">
        <v>948</v>
      </c>
      <c r="J242" s="23" t="s">
        <v>949</v>
      </c>
      <c r="K242" s="23" t="s">
        <v>950</v>
      </c>
      <c r="L242" s="4" t="s">
        <v>47</v>
      </c>
    </row>
    <row r="243" customFormat="false" ht="17.15" hidden="false" customHeight="false" outlineLevel="0" collapsed="false">
      <c r="A243" s="0" t="s">
        <v>1025</v>
      </c>
      <c r="B243" s="0" t="s">
        <v>98</v>
      </c>
      <c r="D243" s="6" t="n">
        <f aca="false">Sens!D221</f>
        <v>12.9359794422418</v>
      </c>
      <c r="E243" s="6" t="n">
        <f aca="false">Sens!E221</f>
        <v>27.8095064661409</v>
      </c>
      <c r="F243" s="6" t="n">
        <f aca="false">Sens!F221</f>
        <v>59.1034165651511</v>
      </c>
      <c r="G243" s="6" t="n">
        <f aca="false">Sens!G221</f>
        <v>103.451498789198</v>
      </c>
      <c r="H243" s="6" t="n">
        <f aca="false">Sens!H221</f>
        <v>153.816719989035</v>
      </c>
      <c r="I243" s="6" t="n">
        <f aca="false">Sens!I221</f>
        <v>192.699478690852</v>
      </c>
      <c r="J243" s="6" t="n">
        <f aca="false">Sens!J221</f>
        <v>219.794102584244</v>
      </c>
      <c r="K243" s="6" t="n">
        <f aca="false">Sens!K221</f>
        <v>236.757046905022</v>
      </c>
    </row>
    <row r="244" customFormat="false" ht="17.15" hidden="false" customHeight="false" outlineLevel="0" collapsed="false">
      <c r="A244" s="0" t="s">
        <v>1026</v>
      </c>
      <c r="B244" s="0" t="s">
        <v>98</v>
      </c>
      <c r="D244" s="6" t="n">
        <f aca="false">Q!L6-Sens!D243</f>
        <v>59.6740205577583</v>
      </c>
      <c r="E244" s="6" t="n">
        <f aca="false">Q!M6-Sens!E243</f>
        <v>74.1284935338591</v>
      </c>
      <c r="F244" s="6" t="n">
        <f aca="false">Q!$I$6+(Sens!F243+Sens!E244*(1+Sens!F245))*(1-Q!$E$6/Q!M6)-Sens!F243</f>
        <v>90.4866018070994</v>
      </c>
      <c r="G244" s="6" t="n">
        <f aca="false">Sens!F244*(1+Sens!G245)</f>
        <v>107.511588557154</v>
      </c>
      <c r="H244" s="6" t="n">
        <f aca="false">Sens!G244*(1+Sens!H245)</f>
        <v>124.832989325489</v>
      </c>
      <c r="I244" s="6" t="n">
        <f aca="false">Sens!H244*(1+Sens!I245)</f>
        <v>141.56992589148</v>
      </c>
      <c r="J244" s="6" t="n">
        <f aca="false">Sens!I244*(1+Sens!J245)</f>
        <v>156.723190479428</v>
      </c>
      <c r="K244" s="6" t="n">
        <f aca="false">Sens!J244*(1+Sens!K245)</f>
        <v>169.261045717783</v>
      </c>
      <c r="L244" s="12" t="s">
        <v>1027</v>
      </c>
    </row>
    <row r="245" customFormat="false" ht="15" hidden="false" customHeight="false" outlineLevel="0" collapsed="false">
      <c r="A245" s="1" t="s">
        <v>1028</v>
      </c>
      <c r="B245" s="0" t="s">
        <v>168</v>
      </c>
      <c r="E245" s="7" t="n">
        <f aca="false">Sens!E244/Sens!D244-1</f>
        <v>0.242223883039864</v>
      </c>
      <c r="F245" s="7" t="n">
        <f aca="false">Sens!$E$245+(glt_azo-Sens!$E$245)*MIN(1,(Sens!F202-base_fy)/n_conv)</f>
        <v>0.215186569199887</v>
      </c>
      <c r="G245" s="7" t="n">
        <f aca="false">Sens!$E$245+(glt_azo-Sens!$E$245)*MIN(1,(Sens!G202-base_fy)/n_conv)</f>
        <v>0.18814925535991</v>
      </c>
      <c r="H245" s="7" t="n">
        <f aca="false">Sens!$E$245+(glt_azo-Sens!$E$245)*MIN(1,(Sens!H202-base_fy)/n_conv)</f>
        <v>0.161111941519932</v>
      </c>
      <c r="I245" s="7" t="n">
        <f aca="false">Sens!$E$245+(glt_azo-Sens!$E$245)*MIN(1,(Sens!I202-base_fy)/n_conv)</f>
        <v>0.134074627679955</v>
      </c>
      <c r="J245" s="7" t="n">
        <f aca="false">Sens!$E$245+(glt_azo-Sens!$E$245)*MIN(1,(Sens!J202-base_fy)/n_conv)</f>
        <v>0.107037313839977</v>
      </c>
      <c r="K245" s="7" t="n">
        <f aca="false">Sens!$E$245+(glt_azo-Sens!$E$245)*MIN(1,(Sens!K202-base_fy)/n_conv)</f>
        <v>0.08</v>
      </c>
    </row>
    <row r="246" customFormat="false" ht="15" hidden="false" customHeight="false" outlineLevel="0" collapsed="false">
      <c r="A246" s="0" t="s">
        <v>1029</v>
      </c>
      <c r="B246" s="0" t="s">
        <v>98</v>
      </c>
      <c r="D246" s="6" t="n">
        <f aca="false">Sens!D243+Sens!D244</f>
        <v>72.61</v>
      </c>
      <c r="E246" s="6" t="n">
        <f aca="false">Sens!E243+Sens!E244</f>
        <v>101.938</v>
      </c>
      <c r="F246" s="6" t="n">
        <f aca="false">Sens!F243+Sens!F244</f>
        <v>149.59001837225</v>
      </c>
      <c r="G246" s="6" t="n">
        <f aca="false">Sens!G243+Sens!G244</f>
        <v>210.963087346352</v>
      </c>
      <c r="H246" s="6" t="n">
        <f aca="false">Sens!H243+Sens!H244</f>
        <v>278.649709314524</v>
      </c>
      <c r="I246" s="6" t="n">
        <f aca="false">Sens!I243+Sens!I244</f>
        <v>334.269404582332</v>
      </c>
      <c r="J246" s="6" t="n">
        <f aca="false">Sens!J243+Sens!J244</f>
        <v>376.517293063672</v>
      </c>
      <c r="K246" s="6" t="n">
        <f aca="false">Sens!K243+Sens!K244</f>
        <v>406.018092622804</v>
      </c>
    </row>
    <row r="247" customFormat="false" ht="17.15" hidden="false" customHeight="false" outlineLevel="0" collapsed="false">
      <c r="A247" s="0" t="s">
        <v>1030</v>
      </c>
      <c r="B247" s="1" t="s">
        <v>613</v>
      </c>
      <c r="C247" s="30" t="n">
        <f aca="false">cop_s24</f>
        <v>1</v>
      </c>
      <c r="D247" s="30" t="n">
        <f aca="false">cop_s25</f>
        <v>5</v>
      </c>
      <c r="E247" s="30" t="n">
        <f aca="false">cop_s26</f>
        <v>30</v>
      </c>
      <c r="F247" s="30" t="n">
        <f aca="false">Sens!E247+cop_add_A</f>
        <v>60</v>
      </c>
      <c r="G247" s="30" t="n">
        <f aca="false">Sens!F247+cop_add_A</f>
        <v>90</v>
      </c>
      <c r="H247" s="30" t="n">
        <f aca="false">Sens!G247+cop_add_A</f>
        <v>120</v>
      </c>
      <c r="I247" s="30" t="n">
        <f aca="false">Sens!H247+cop_add_A*cop_tail</f>
        <v>135</v>
      </c>
      <c r="J247" s="30" t="n">
        <f aca="false">Sens!I247+cop_add_A*cop_tail</f>
        <v>150</v>
      </c>
      <c r="K247" s="30" t="n">
        <f aca="false">Sens!J247+cop_add_A*cop_tail</f>
        <v>165</v>
      </c>
      <c r="L247" s="12" t="s">
        <v>1031</v>
      </c>
    </row>
    <row r="248" customFormat="false" ht="17.15" hidden="false" customHeight="false" outlineLevel="0" collapsed="false">
      <c r="A248" s="0" t="s">
        <v>1032</v>
      </c>
      <c r="B248" s="0" t="s">
        <v>98</v>
      </c>
      <c r="D248" s="6" t="n">
        <f aca="false">(Sens!C247+Sens!D247)/2*cop_px*12/1000</f>
        <v>0.9</v>
      </c>
      <c r="E248" s="6" t="n">
        <f aca="false">(Sens!D247+Sens!E247)/2*cop_px*12/1000</f>
        <v>5.25</v>
      </c>
      <c r="F248" s="6" t="n">
        <f aca="false">(Sens!E247+Sens!F247)/2*cop_px*12/1000</f>
        <v>13.5</v>
      </c>
      <c r="G248" s="6" t="n">
        <f aca="false">(Sens!F247+Sens!G247)/2*cop_px*12/1000</f>
        <v>22.5</v>
      </c>
      <c r="H248" s="6" t="n">
        <f aca="false">(Sens!G247+Sens!H247)/2*cop_px*12/1000</f>
        <v>31.5</v>
      </c>
      <c r="I248" s="6" t="n">
        <f aca="false">(Sens!H247+Sens!I247)/2*cop_px*12/1000</f>
        <v>38.25</v>
      </c>
      <c r="J248" s="6" t="n">
        <f aca="false">(Sens!I247+Sens!J247)/2*cop_px*12/1000</f>
        <v>42.75</v>
      </c>
      <c r="K248" s="6" t="n">
        <f aca="false">(Sens!J247+Sens!K247)/2*cop_px*12/1000</f>
        <v>47.25</v>
      </c>
      <c r="L248" s="1" t="s">
        <v>1033</v>
      </c>
    </row>
    <row r="249" customFormat="false" ht="17.15" hidden="false" customHeight="false" outlineLevel="0" collapsed="false">
      <c r="A249" s="0" t="s">
        <v>1034</v>
      </c>
      <c r="B249" s="0" t="s">
        <v>98</v>
      </c>
      <c r="D249" s="6" t="n">
        <f aca="false">Q!L7-Sens!D248</f>
        <v>83.705</v>
      </c>
      <c r="E249" s="6" t="n">
        <f aca="false">Q!M7-Sens!E248</f>
        <v>95.049</v>
      </c>
      <c r="F249" s="6" t="n">
        <f aca="false">Q!$I$7+(Sens!E249*(1+Sens!F250)+Sens!F248)*(1-Q!$E$7/Q!M7)-Sens!F248</f>
        <v>106.229653205718</v>
      </c>
      <c r="G249" s="6" t="n">
        <f aca="false">Sens!F249*(1+Sens!G250)</f>
        <v>118.306092647576</v>
      </c>
      <c r="H249" s="6" t="n">
        <f aca="false">Sens!G249*(1+Sens!H250)</f>
        <v>130.463437602768</v>
      </c>
      <c r="I249" s="6" t="n">
        <f aca="false">Sens!H249*(1+Sens!I250)</f>
        <v>142.445354741933</v>
      </c>
      <c r="J249" s="6" t="n">
        <f aca="false">Sens!I249*(1+Sens!J250)</f>
        <v>153.972117481571</v>
      </c>
      <c r="K249" s="6" t="n">
        <f aca="false">Sens!J249*(1+Sens!K250)</f>
        <v>164.75016570528</v>
      </c>
      <c r="L249" s="12" t="s">
        <v>1035</v>
      </c>
    </row>
    <row r="250" customFormat="false" ht="15" hidden="false" customHeight="false" outlineLevel="0" collapsed="false">
      <c r="A250" s="1" t="s">
        <v>1028</v>
      </c>
      <c r="B250" s="0" t="s">
        <v>168</v>
      </c>
      <c r="E250" s="7" t="n">
        <f aca="false">Sens!E249/Sens!D249-1</f>
        <v>0.135523564900544</v>
      </c>
      <c r="F250" s="7" t="n">
        <f aca="false">Sens!$E$250+(glt_m365b-Sens!$E$250)*MIN(1,(Sens!F202-base_fy)/n_conv)</f>
        <v>0.124602970750453</v>
      </c>
      <c r="G250" s="7" t="n">
        <f aca="false">Sens!$E$250+(glt_m365b-Sens!$E$250)*MIN(1,(Sens!G202-base_fy)/n_conv)</f>
        <v>0.113682376600363</v>
      </c>
      <c r="H250" s="7" t="n">
        <f aca="false">Sens!$E$250+(glt_m365b-Sens!$E$250)*MIN(1,(Sens!H202-base_fy)/n_conv)</f>
        <v>0.102761782450272</v>
      </c>
      <c r="I250" s="7" t="n">
        <f aca="false">Sens!$E$250+(glt_m365b-Sens!$E$250)*MIN(1,(Sens!I202-base_fy)/n_conv)</f>
        <v>0.0918411883001813</v>
      </c>
      <c r="J250" s="7" t="n">
        <f aca="false">Sens!$E$250+(glt_m365b-Sens!$E$250)*MIN(1,(Sens!J202-base_fy)/n_conv)</f>
        <v>0.0809205941500906</v>
      </c>
      <c r="K250" s="7" t="n">
        <f aca="false">Sens!$E$250+(glt_m365b-Sens!$E$250)*MIN(1,(Sens!K202-base_fy)/n_conv)</f>
        <v>0.07</v>
      </c>
    </row>
    <row r="251" customFormat="false" ht="15" hidden="false" customHeight="false" outlineLevel="0" collapsed="false">
      <c r="A251" s="0" t="s">
        <v>1036</v>
      </c>
      <c r="B251" s="0" t="s">
        <v>98</v>
      </c>
      <c r="D251" s="6" t="n">
        <f aca="false">Sens!D249+Sens!D248</f>
        <v>84.605</v>
      </c>
      <c r="E251" s="6" t="n">
        <f aca="false">Sens!E249+Sens!E248</f>
        <v>100.299</v>
      </c>
      <c r="F251" s="6" t="n">
        <f aca="false">Sens!F249+Sens!F248</f>
        <v>119.729653205718</v>
      </c>
      <c r="G251" s="6" t="n">
        <f aca="false">Sens!G249+Sens!G248</f>
        <v>140.806092647576</v>
      </c>
      <c r="H251" s="6" t="n">
        <f aca="false">Sens!H249+Sens!H248</f>
        <v>161.963437602768</v>
      </c>
      <c r="I251" s="6" t="n">
        <f aca="false">Sens!I249+Sens!I248</f>
        <v>180.695354741933</v>
      </c>
      <c r="J251" s="6" t="n">
        <f aca="false">Sens!J249+Sens!J248</f>
        <v>196.722117481571</v>
      </c>
      <c r="K251" s="6" t="n">
        <f aca="false">Sens!K249+Sens!K248</f>
        <v>212.00016570528</v>
      </c>
    </row>
    <row r="252" customFormat="false" ht="17.15" hidden="false" customHeight="false" outlineLevel="0" collapsed="false">
      <c r="A252" s="0" t="s">
        <v>1037</v>
      </c>
      <c r="B252" s="0" t="s">
        <v>98</v>
      </c>
      <c r="D252" s="6" t="n">
        <f aca="false">Q!L8</f>
        <v>35.391</v>
      </c>
      <c r="E252" s="6" t="n">
        <f aca="false">Q!M8</f>
        <v>37.285</v>
      </c>
      <c r="F252" s="6" t="n">
        <f aca="false">Q!$I$8+(Q!M8-Q!$E$8)*(1+Sens!F253)</f>
        <v>38.3851437782675</v>
      </c>
      <c r="G252" s="6" t="n">
        <f aca="false">Sens!F252*(1+Sens!G253)</f>
        <v>40.0105353288615</v>
      </c>
      <c r="H252" s="6" t="n">
        <f aca="false">Sens!G252*(1+Sens!H253)</f>
        <v>41.4812512033683</v>
      </c>
      <c r="I252" s="6" t="n">
        <f aca="false">Sens!H252*(1+Sens!I253)</f>
        <v>42.7743107216329</v>
      </c>
      <c r="J252" s="6" t="n">
        <f aca="false">Sens!I252*(1+Sens!J253)</f>
        <v>43.8687373064601</v>
      </c>
      <c r="K252" s="6" t="n">
        <f aca="false">Sens!J252*(1+Sens!K253)</f>
        <v>44.7461120525893</v>
      </c>
      <c r="L252" s="12" t="s">
        <v>1038</v>
      </c>
    </row>
    <row r="253" customFormat="false" ht="15" hidden="false" customHeight="false" outlineLevel="0" collapsed="false">
      <c r="A253" s="1" t="s">
        <v>1028</v>
      </c>
      <c r="B253" s="0" t="s">
        <v>168</v>
      </c>
      <c r="E253" s="7" t="n">
        <f aca="false">Sens!E252/Sens!D252-1</f>
        <v>0.0535164307309768</v>
      </c>
      <c r="F253" s="7" t="n">
        <f aca="false">Sens!$E$253+(glt_lic-Sens!$E$253)*MIN(1,(Sens!F202-base_fy)/n_conv)</f>
        <v>0.0479303589424807</v>
      </c>
      <c r="G253" s="7" t="n">
        <f aca="false">Sens!$E$253+(glt_lic-Sens!$E$253)*MIN(1,(Sens!G202-base_fy)/n_conv)</f>
        <v>0.0423442871539845</v>
      </c>
      <c r="H253" s="7" t="n">
        <f aca="false">Sens!$E$253+(glt_lic-Sens!$E$253)*MIN(1,(Sens!H202-base_fy)/n_conv)</f>
        <v>0.0367582153654884</v>
      </c>
      <c r="I253" s="7" t="n">
        <f aca="false">Sens!$E$253+(glt_lic-Sens!$E$253)*MIN(1,(Sens!I202-base_fy)/n_conv)</f>
        <v>0.0311721435769923</v>
      </c>
      <c r="J253" s="7" t="n">
        <f aca="false">Sens!$E$253+(glt_lic-Sens!$E$253)*MIN(1,(Sens!J202-base_fy)/n_conv)</f>
        <v>0.0255860717884961</v>
      </c>
      <c r="K253" s="7" t="n">
        <f aca="false">Sens!$E$253+(glt_lic-Sens!$E$253)*MIN(1,(Sens!K202-base_fy)/n_conv)</f>
        <v>0.02</v>
      </c>
    </row>
    <row r="254" customFormat="false" ht="17.15" hidden="false" customHeight="false" outlineLevel="0" collapsed="false">
      <c r="A254" s="0" t="s">
        <v>1039</v>
      </c>
      <c r="B254" s="0" t="s">
        <v>98</v>
      </c>
      <c r="D254" s="6" t="n">
        <f aca="false">Q!L9</f>
        <v>18.417</v>
      </c>
      <c r="E254" s="6" t="n">
        <f aca="false">Q!M9</f>
        <v>20.345</v>
      </c>
      <c r="F254" s="6" t="n">
        <f aca="false">Q!$I$9+(Q!M9-Q!$E$9)*(1+Sens!F255)</f>
        <v>22.3161797133988</v>
      </c>
      <c r="G254" s="6" t="n">
        <f aca="false">Sens!F254*(1+Sens!G255)</f>
        <v>24.3943499673233</v>
      </c>
      <c r="H254" s="6" t="n">
        <f aca="false">Sens!G254*(1+Sens!H255)</f>
        <v>26.5250243109019</v>
      </c>
      <c r="I254" s="6" t="n">
        <f aca="false">Sens!H254*(1+Sens!I255)</f>
        <v>28.6884573538181</v>
      </c>
      <c r="J254" s="6" t="n">
        <f aca="false">Sens!I254*(1+Sens!J255)</f>
        <v>30.8624968052127</v>
      </c>
      <c r="K254" s="6" t="n">
        <f aca="false">Sens!J254*(1+Sens!K255)</f>
        <v>33.0228715815776</v>
      </c>
      <c r="L254" s="12" t="s">
        <v>1038</v>
      </c>
    </row>
    <row r="255" customFormat="false" ht="15" hidden="false" customHeight="false" outlineLevel="0" collapsed="false">
      <c r="A255" s="1" t="s">
        <v>1028</v>
      </c>
      <c r="B255" s="0" t="s">
        <v>168</v>
      </c>
      <c r="E255" s="7" t="n">
        <f aca="false">Sens!E254/Sens!D254-1</f>
        <v>0.104685888038225</v>
      </c>
      <c r="F255" s="7" t="n">
        <f aca="false">Sens!$E$255+(glt_ind-Sens!$E$255)*MIN(1,(Sens!F202-base_fy)/n_conv)</f>
        <v>0.0989049066985211</v>
      </c>
      <c r="G255" s="7" t="n">
        <f aca="false">Sens!$E$255+(glt_ind-Sens!$E$255)*MIN(1,(Sens!G202-base_fy)/n_conv)</f>
        <v>0.0931239253588169</v>
      </c>
      <c r="H255" s="7" t="n">
        <f aca="false">Sens!$E$255+(glt_ind-Sens!$E$255)*MIN(1,(Sens!H202-base_fy)/n_conv)</f>
        <v>0.0873429440191127</v>
      </c>
      <c r="I255" s="7" t="n">
        <f aca="false">Sens!$E$255+(glt_ind-Sens!$E$255)*MIN(1,(Sens!I202-base_fy)/n_conv)</f>
        <v>0.0815619626794085</v>
      </c>
      <c r="J255" s="7" t="n">
        <f aca="false">Sens!$E$255+(glt_ind-Sens!$E$255)*MIN(1,(Sens!J202-base_fy)/n_conv)</f>
        <v>0.0757809813397042</v>
      </c>
      <c r="K255" s="7" t="n">
        <f aca="false">Sens!$E$255+(glt_ind-Sens!$E$255)*MIN(1,(Sens!K202-base_fy)/n_conv)</f>
        <v>0.07</v>
      </c>
    </row>
    <row r="256" customFormat="false" ht="17.15" hidden="false" customHeight="false" outlineLevel="0" collapsed="false">
      <c r="A256" s="0" t="s">
        <v>1040</v>
      </c>
      <c r="B256" s="0" t="s">
        <v>98</v>
      </c>
      <c r="D256" s="6" t="n">
        <f aca="false">Q!L10</f>
        <v>7.76</v>
      </c>
      <c r="E256" s="6" t="n">
        <f aca="false">Q!M10</f>
        <v>8.26</v>
      </c>
      <c r="F256" s="6" t="n">
        <f aca="false">Q!$I$10+(Q!M10-Q!$E$10)*(1+Sens!F257)</f>
        <v>8.75372082474227</v>
      </c>
      <c r="G256" s="6" t="n">
        <f aca="false">Sens!F256*(1+Sens!G257)</f>
        <v>9.33399324642364</v>
      </c>
      <c r="H256" s="6" t="n">
        <f aca="false">Sens!G256*(1+Sens!H257)</f>
        <v>9.96139155535851</v>
      </c>
      <c r="I256" s="6" t="n">
        <f aca="false">Sens!H256*(1+Sens!I257)</f>
        <v>10.6402039077391</v>
      </c>
      <c r="J256" s="6" t="n">
        <f aca="false">Sens!I256*(1+Sens!J257)</f>
        <v>11.3751458271397</v>
      </c>
      <c r="K256" s="6" t="n">
        <f aca="false">Sens!J256*(1+Sens!K257)</f>
        <v>12.1714060350394</v>
      </c>
      <c r="L256" s="12" t="s">
        <v>1038</v>
      </c>
    </row>
    <row r="257" customFormat="false" ht="15" hidden="false" customHeight="false" outlineLevel="0" collapsed="false">
      <c r="A257" s="1" t="s">
        <v>1028</v>
      </c>
      <c r="B257" s="0" t="s">
        <v>168</v>
      </c>
      <c r="E257" s="7" t="n">
        <f aca="false">Sens!E256/Sens!D256-1</f>
        <v>0.0644329896907216</v>
      </c>
      <c r="F257" s="7" t="n">
        <f aca="false">Sens!$E$257+(glt_fro-Sens!$E$257)*MIN(1,(Sens!F202-base_fy)/n_conv)</f>
        <v>0.065360824742268</v>
      </c>
      <c r="G257" s="7" t="n">
        <f aca="false">Sens!$E$257+(glt_fro-Sens!$E$257)*MIN(1,(Sens!G202-base_fy)/n_conv)</f>
        <v>0.0662886597938144</v>
      </c>
      <c r="H257" s="7" t="n">
        <f aca="false">Sens!$E$257+(glt_fro-Sens!$E$257)*MIN(1,(Sens!H202-base_fy)/n_conv)</f>
        <v>0.0672164948453608</v>
      </c>
      <c r="I257" s="7" t="n">
        <f aca="false">Sens!$E$257+(glt_fro-Sens!$E$257)*MIN(1,(Sens!I202-base_fy)/n_conv)</f>
        <v>0.0681443298969072</v>
      </c>
      <c r="J257" s="7" t="n">
        <f aca="false">Sens!$E$257+(glt_fro-Sens!$E$257)*MIN(1,(Sens!J202-base_fy)/n_conv)</f>
        <v>0.0690721649484536</v>
      </c>
      <c r="K257" s="7" t="n">
        <f aca="false">Sens!$E$257+(glt_fro-Sens!$E$257)*MIN(1,(Sens!K202-base_fy)/n_conv)</f>
        <v>0.07</v>
      </c>
    </row>
    <row r="258" customFormat="false" ht="15" hidden="false" customHeight="false" outlineLevel="0" collapsed="false">
      <c r="A258" s="0" t="s">
        <v>856</v>
      </c>
      <c r="B258" s="0" t="s">
        <v>98</v>
      </c>
      <c r="D258" s="6" t="n">
        <f aca="false">Sens!D246+Sens!D251+Sens!D252+Sens!D254+Sens!D256</f>
        <v>218.783</v>
      </c>
      <c r="E258" s="6" t="n">
        <f aca="false">Sens!E246+Sens!E251+Sens!E252+Sens!E254+Sens!E256</f>
        <v>268.127</v>
      </c>
      <c r="F258" s="6" t="n">
        <f aca="false">Sens!F246+Sens!F251+Sens!F252+Sens!F254+Sens!F256</f>
        <v>338.774715894377</v>
      </c>
      <c r="G258" s="6" t="n">
        <f aca="false">Sens!G246+Sens!G251+Sens!G252+Sens!G254+Sens!G256</f>
        <v>425.508058536537</v>
      </c>
      <c r="H258" s="6" t="n">
        <f aca="false">Sens!H246+Sens!H251+Sens!H252+Sens!H254+Sens!H256</f>
        <v>518.580813986921</v>
      </c>
      <c r="I258" s="6" t="n">
        <f aca="false">Sens!I246+Sens!I251+Sens!I252+Sens!I254+Sens!I256</f>
        <v>597.067731307455</v>
      </c>
      <c r="J258" s="6" t="n">
        <f aca="false">Sens!J246+Sens!J251+Sens!J252+Sens!J254+Sens!J256</f>
        <v>659.345790484055</v>
      </c>
      <c r="K258" s="6" t="n">
        <f aca="false">Sens!K246+Sens!K251+Sens!K252+Sens!K254+Sens!K256</f>
        <v>707.958647997291</v>
      </c>
    </row>
    <row r="259" customFormat="false" ht="17.15" hidden="false" customHeight="false" outlineLevel="0" collapsed="false">
      <c r="A259" s="0" t="s">
        <v>1041</v>
      </c>
      <c r="B259" s="0" t="s">
        <v>98</v>
      </c>
      <c r="D259" s="6" t="n">
        <f aca="false">Q!L13</f>
        <v>22.171</v>
      </c>
      <c r="E259" s="6" t="n">
        <f aca="false">Q!M13</f>
        <v>24.835</v>
      </c>
      <c r="F259" s="6" t="n">
        <f aca="false">Q!$I$13+(Q!M13-Q!$E$13)*(1+Sens!F260)</f>
        <v>27.5591895660247</v>
      </c>
      <c r="G259" s="6" t="n">
        <f aca="false">Sens!F259*(1+Sens!G260)</f>
        <v>30.4098563144583</v>
      </c>
      <c r="H259" s="6" t="n">
        <f aca="false">Sens!G259*(1+Sens!H260)</f>
        <v>33.3011792571777</v>
      </c>
      <c r="I259" s="6" t="n">
        <f aca="false">Sens!H259*(1+Sens!I260)</f>
        <v>36.189023797112</v>
      </c>
      <c r="J259" s="6" t="n">
        <f aca="false">Sens!I259*(1+Sens!J260)</f>
        <v>39.0247773769199</v>
      </c>
      <c r="K259" s="6" t="n">
        <f aca="false">Sens!J259*(1+Sens!K260)</f>
        <v>41.7565117933043</v>
      </c>
      <c r="L259" s="12" t="s">
        <v>1038</v>
      </c>
    </row>
    <row r="260" customFormat="false" ht="15" hidden="false" customHeight="false" outlineLevel="0" collapsed="false">
      <c r="A260" s="1" t="s">
        <v>1028</v>
      </c>
      <c r="B260" s="0" t="s">
        <v>168</v>
      </c>
      <c r="E260" s="7" t="n">
        <f aca="false">Sens!E259/Sens!D259-1</f>
        <v>0.120156961796942</v>
      </c>
      <c r="F260" s="7" t="n">
        <f aca="false">Sens!$E$260+(glt_srch-Sens!$E$260)*MIN(1,(Sens!F202-base_fy)/n_conv)</f>
        <v>0.111797468164118</v>
      </c>
      <c r="G260" s="7" t="n">
        <f aca="false">Sens!$E$260+(glt_srch-Sens!$E$260)*MIN(1,(Sens!G202-base_fy)/n_conv)</f>
        <v>0.103437974531295</v>
      </c>
      <c r="H260" s="7" t="n">
        <f aca="false">Sens!$E$260+(glt_srch-Sens!$E$260)*MIN(1,(Sens!H202-base_fy)/n_conv)</f>
        <v>0.095078480898471</v>
      </c>
      <c r="I260" s="7" t="n">
        <f aca="false">Sens!$E$260+(glt_srch-Sens!$E$260)*MIN(1,(Sens!I202-base_fy)/n_conv)</f>
        <v>0.0867189872656474</v>
      </c>
      <c r="J260" s="7" t="n">
        <f aca="false">Sens!$E$260+(glt_srch-Sens!$E$260)*MIN(1,(Sens!J202-base_fy)/n_conv)</f>
        <v>0.0783594936328237</v>
      </c>
      <c r="K260" s="7" t="n">
        <f aca="false">Sens!$E$260+(glt_srch-Sens!$E$260)*MIN(1,(Sens!K202-base_fy)/n_conv)</f>
        <v>0.07</v>
      </c>
    </row>
    <row r="261" customFormat="false" ht="17.15" hidden="false" customHeight="false" outlineLevel="0" collapsed="false">
      <c r="A261" s="0" t="s">
        <v>1042</v>
      </c>
      <c r="B261" s="0" t="s">
        <v>98</v>
      </c>
      <c r="D261" s="6" t="n">
        <f aca="false">Q!L14</f>
        <v>23.455</v>
      </c>
      <c r="E261" s="6" t="n">
        <f aca="false">Q!M14</f>
        <v>21.79</v>
      </c>
      <c r="F261" s="6" t="n">
        <f aca="false">Q!$I$14+(Q!M14-Q!$E$14)*(1+Sens!F262)</f>
        <v>20.7520981041711</v>
      </c>
      <c r="G261" s="6" t="n">
        <f aca="false">Sens!F261*(1+Sens!G262)</f>
        <v>19.9083593495882</v>
      </c>
      <c r="H261" s="6" t="n">
        <f aca="false">Sens!G261*(1+Sens!H262)</f>
        <v>19.4008256265831</v>
      </c>
      <c r="I261" s="6" t="n">
        <f aca="false">Sens!H261*(1+Sens!I262)</f>
        <v>19.200434522122</v>
      </c>
      <c r="J261" s="6" t="n">
        <f aca="false">Sens!I261*(1+Sens!J262)</f>
        <v>19.2932782348507</v>
      </c>
      <c r="K261" s="6" t="n">
        <f aca="false">Sens!J261*(1+Sens!K262)</f>
        <v>19.6791437995477</v>
      </c>
      <c r="L261" s="12" t="s">
        <v>1038</v>
      </c>
    </row>
    <row r="262" customFormat="false" ht="15" hidden="false" customHeight="false" outlineLevel="0" collapsed="false">
      <c r="A262" s="1" t="s">
        <v>1028</v>
      </c>
      <c r="B262" s="0" t="s">
        <v>168</v>
      </c>
      <c r="E262" s="7" t="n">
        <f aca="false">Sens!E261/Sens!D261-1</f>
        <v>-0.0709869963760392</v>
      </c>
      <c r="F262" s="7" t="n">
        <f aca="false">Sens!$E$262+(glt_xbox-Sens!$E$262)*MIN(1,(Sens!F202-base_fy)/n_conv)</f>
        <v>-0.0558224969800327</v>
      </c>
      <c r="G262" s="7" t="n">
        <f aca="false">Sens!$E$262+(glt_xbox-Sens!$E$262)*MIN(1,(Sens!G202-base_fy)/n_conv)</f>
        <v>-0.0406579975840262</v>
      </c>
      <c r="H262" s="7" t="n">
        <f aca="false">Sens!$E$262+(glt_xbox-Sens!$E$262)*MIN(1,(Sens!H202-base_fy)/n_conv)</f>
        <v>-0.0254934981880196</v>
      </c>
      <c r="I262" s="7" t="n">
        <f aca="false">Sens!$E$262+(glt_xbox-Sens!$E$262)*MIN(1,(Sens!I202-base_fy)/n_conv)</f>
        <v>-0.0103289987920131</v>
      </c>
      <c r="J262" s="7" t="n">
        <f aca="false">Sens!$E$262+(glt_xbox-Sens!$E$262)*MIN(1,(Sens!J202-base_fy)/n_conv)</f>
        <v>0.00483550060399347</v>
      </c>
      <c r="K262" s="7" t="n">
        <f aca="false">Sens!$E$262+(glt_xbox-Sens!$E$262)*MIN(1,(Sens!K202-base_fy)/n_conv)</f>
        <v>0.02</v>
      </c>
    </row>
    <row r="263" customFormat="false" ht="17.15" hidden="false" customHeight="false" outlineLevel="0" collapsed="false">
      <c r="A263" s="0" t="s">
        <v>1043</v>
      </c>
      <c r="B263" s="0" t="s">
        <v>98</v>
      </c>
      <c r="D263" s="6" t="n">
        <f aca="false">Q!L15</f>
        <v>17.315</v>
      </c>
      <c r="E263" s="6" t="n">
        <f aca="false">Q!M15</f>
        <v>17.087</v>
      </c>
      <c r="F263" s="6" t="n">
        <f aca="false">Q!$I$15+(Q!M15-Q!$E$15)*(1+Sens!F264)</f>
        <v>15.9912273250553</v>
      </c>
      <c r="G263" s="6" t="n">
        <f aca="false">Sens!F263*(1+Sens!G264)</f>
        <v>15.9574562664827</v>
      </c>
      <c r="H263" s="6" t="n">
        <f aca="false">Sens!G263*(1+Sens!H264)</f>
        <v>16.0119687434196</v>
      </c>
      <c r="I263" s="6" t="n">
        <f aca="false">Sens!H263*(1+Sens!I264)</f>
        <v>16.1551810001948</v>
      </c>
      <c r="J263" s="6" t="n">
        <f aca="false">Sens!I263*(1+Sens!J264)</f>
        <v>16.3889793892005</v>
      </c>
      <c r="K263" s="6" t="n">
        <f aca="false">Sens!J263*(1+Sens!K264)</f>
        <v>16.7167589769845</v>
      </c>
      <c r="L263" s="12" t="s">
        <v>1038</v>
      </c>
    </row>
    <row r="264" customFormat="false" ht="15" hidden="false" customHeight="false" outlineLevel="0" collapsed="false">
      <c r="A264" s="1" t="s">
        <v>1028</v>
      </c>
      <c r="B264" s="0" t="s">
        <v>168</v>
      </c>
      <c r="E264" s="7" t="n">
        <f aca="false">Sens!E263/Sens!D263-1</f>
        <v>-0.0131677736066995</v>
      </c>
      <c r="F264" s="7" t="n">
        <f aca="false">Sens!$E$264+(glt_win-Sens!$E$264)*MIN(1,(Sens!F202-base_fy)/n_conv)</f>
        <v>-0.00763981133891627</v>
      </c>
      <c r="G264" s="7" t="n">
        <f aca="false">Sens!$E$264+(glt_win-Sens!$E$264)*MIN(1,(Sens!G202-base_fy)/n_conv)</f>
        <v>-0.00211184907113301</v>
      </c>
      <c r="H264" s="7" t="n">
        <f aca="false">Sens!$E$264+(glt_win-Sens!$E$264)*MIN(1,(Sens!H202-base_fy)/n_conv)</f>
        <v>0.00341611319665024</v>
      </c>
      <c r="I264" s="7" t="n">
        <f aca="false">Sens!$E$264+(glt_win-Sens!$E$264)*MIN(1,(Sens!I202-base_fy)/n_conv)</f>
        <v>0.00894407546443349</v>
      </c>
      <c r="J264" s="7" t="n">
        <f aca="false">Sens!$E$264+(glt_win-Sens!$E$264)*MIN(1,(Sens!J202-base_fy)/n_conv)</f>
        <v>0.0144720377322168</v>
      </c>
      <c r="K264" s="7" t="n">
        <f aca="false">Sens!$E$264+(glt_win-Sens!$E$264)*MIN(1,(Sens!K202-base_fy)/n_conv)</f>
        <v>0.02</v>
      </c>
    </row>
    <row r="265" customFormat="false" ht="15" hidden="false" customHeight="false" outlineLevel="0" collapsed="false">
      <c r="A265" s="0" t="s">
        <v>870</v>
      </c>
      <c r="B265" s="0" t="s">
        <v>98</v>
      </c>
      <c r="D265" s="6" t="n">
        <f aca="false">Sens!D259+Sens!D261+Sens!D263</f>
        <v>62.941</v>
      </c>
      <c r="E265" s="6" t="n">
        <f aca="false">Sens!E259+Sens!E261+Sens!E263</f>
        <v>63.712</v>
      </c>
      <c r="F265" s="6" t="n">
        <f aca="false">Sens!F259+Sens!F261+Sens!F263</f>
        <v>64.3025149952511</v>
      </c>
      <c r="G265" s="6" t="n">
        <f aca="false">Sens!G259+Sens!G261+Sens!G263</f>
        <v>66.2756719305292</v>
      </c>
      <c r="H265" s="6" t="n">
        <f aca="false">Sens!H259+Sens!H261+Sens!H263</f>
        <v>68.7139736271804</v>
      </c>
      <c r="I265" s="6" t="n">
        <f aca="false">Sens!I259+Sens!I261+Sens!I263</f>
        <v>71.5446393194289</v>
      </c>
      <c r="J265" s="6" t="n">
        <f aca="false">Sens!J259+Sens!J261+Sens!J263</f>
        <v>74.707035000971</v>
      </c>
      <c r="K265" s="6" t="n">
        <f aca="false">Sens!K259+Sens!K261+Sens!K263</f>
        <v>78.1524145698365</v>
      </c>
    </row>
    <row r="266" customFormat="false" ht="15" hidden="false" customHeight="false" outlineLevel="0" collapsed="false">
      <c r="A266" s="1" t="s">
        <v>1044</v>
      </c>
      <c r="B266" s="0" t="s">
        <v>98</v>
      </c>
      <c r="D266" s="6" t="n">
        <f aca="false">Sens!D258+Sens!D265</f>
        <v>281.724</v>
      </c>
      <c r="E266" s="6" t="n">
        <f aca="false">Sens!E258+Sens!E265</f>
        <v>331.839</v>
      </c>
      <c r="F266" s="6" t="n">
        <f aca="false">Sens!F258+Sens!F265</f>
        <v>403.077230889628</v>
      </c>
      <c r="G266" s="6" t="n">
        <f aca="false">Sens!G258+Sens!G265</f>
        <v>491.783730467066</v>
      </c>
      <c r="H266" s="6" t="n">
        <f aca="false">Sens!H258+Sens!H265</f>
        <v>587.294787614101</v>
      </c>
      <c r="I266" s="6" t="n">
        <f aca="false">Sens!I258+Sens!I265</f>
        <v>668.612370626884</v>
      </c>
      <c r="J266" s="6" t="n">
        <f aca="false">Sens!J258+Sens!J265</f>
        <v>734.052825485026</v>
      </c>
      <c r="K266" s="6" t="n">
        <f aca="false">Sens!K258+Sens!K265</f>
        <v>786.111062567128</v>
      </c>
    </row>
    <row r="267" customFormat="false" ht="15" hidden="false" customHeight="false" outlineLevel="0" collapsed="false">
      <c r="A267" s="26" t="s">
        <v>1045</v>
      </c>
      <c r="B267" s="31" t="s">
        <v>98</v>
      </c>
      <c r="C267" s="31"/>
      <c r="D267" s="27" t="n">
        <f aca="false">(Sens!D246+Sens!D251+Sens!D252+Sens!D254+Sens!D256-Sens!D258)+(Sens!D259+Sens!D261+Sens!D263-Sens!D265)+(Sens!D258-Q!L5)+(Sens!D265-Q!L12)+(Sens!D246-Q!L6)+(Sens!D251-Q!L7)</f>
        <v>0</v>
      </c>
      <c r="E267" s="27" t="n">
        <f aca="false">(Sens!E246+Sens!E251+Sens!E252+Sens!E254+Sens!E256-Sens!E258)+(Sens!E259+Sens!E261+Sens!E263-Sens!E265)+(Sens!E258-Q!M5)+(Sens!E265-Q!M12)+(Sens!E246-Q!M6)+(Sens!E251-Q!M7)</f>
        <v>0</v>
      </c>
      <c r="F267" s="27" t="n">
        <f aca="false">(Sens!F246+Sens!F251+Sens!F252+Sens!F254+Sens!F256-Sens!F258)+(Sens!F259+Sens!F261+Sens!F263-Sens!F265)</f>
        <v>0</v>
      </c>
      <c r="G267" s="27" t="n">
        <f aca="false">(Sens!G246+Sens!G251+Sens!G252+Sens!G254+Sens!G256-Sens!G258)+(Sens!G259+Sens!G261+Sens!G263-Sens!G265)</f>
        <v>0</v>
      </c>
      <c r="H267" s="27" t="n">
        <f aca="false">(Sens!H246+Sens!H251+Sens!H252+Sens!H254+Sens!H256-Sens!H258)+(Sens!H259+Sens!H261+Sens!H263-Sens!H265)</f>
        <v>0</v>
      </c>
      <c r="I267" s="27" t="n">
        <f aca="false">(Sens!I246+Sens!I251+Sens!I252+Sens!I254+Sens!I256-Sens!I258)+(Sens!I259+Sens!I261+Sens!I263-Sens!I265)</f>
        <v>0</v>
      </c>
      <c r="J267" s="27" t="n">
        <f aca="false">(Sens!J246+Sens!J251+Sens!J252+Sens!J254+Sens!J256-Sens!J258)+(Sens!J259+Sens!J261+Sens!J263-Sens!J265)</f>
        <v>0</v>
      </c>
      <c r="K267" s="27" t="n">
        <f aca="false">(Sens!K246+Sens!K251+Sens!K252+Sens!K254+Sens!K256-Sens!K258)+(Sens!K259+Sens!K261+Sens!K263-Sens!K265)</f>
        <v>0</v>
      </c>
    </row>
    <row r="268" customFormat="false" ht="17.15" hidden="false" customHeight="false" outlineLevel="0" collapsed="false">
      <c r="A268" s="3" t="s">
        <v>1617</v>
      </c>
    </row>
    <row r="269" customFormat="false" ht="15" hidden="false" customHeight="false" outlineLevel="0" collapsed="false">
      <c r="A269" s="4" t="s">
        <v>43</v>
      </c>
      <c r="B269" s="4" t="s">
        <v>65</v>
      </c>
      <c r="C269" s="23" t="s">
        <v>942</v>
      </c>
      <c r="D269" s="23" t="s">
        <v>943</v>
      </c>
      <c r="E269" s="23" t="s">
        <v>944</v>
      </c>
      <c r="F269" s="23" t="s">
        <v>945</v>
      </c>
      <c r="G269" s="23" t="s">
        <v>946</v>
      </c>
      <c r="H269" s="23" t="s">
        <v>947</v>
      </c>
      <c r="I269" s="23" t="s">
        <v>948</v>
      </c>
      <c r="J269" s="23" t="s">
        <v>949</v>
      </c>
      <c r="K269" s="23" t="s">
        <v>950</v>
      </c>
      <c r="L269" s="4" t="s">
        <v>47</v>
      </c>
    </row>
    <row r="270" customFormat="false" ht="15" hidden="false" customHeight="false" outlineLevel="0" collapsed="false">
      <c r="A270" s="0" t="s">
        <v>1029</v>
      </c>
      <c r="B270" s="0" t="s">
        <v>98</v>
      </c>
      <c r="D270" s="6" t="n">
        <f aca="false">Sens!D246</f>
        <v>72.61</v>
      </c>
      <c r="E270" s="6" t="n">
        <f aca="false">Sens!E246</f>
        <v>101.938</v>
      </c>
      <c r="F270" s="6" t="n">
        <f aca="false">Sens!F246</f>
        <v>149.59001837225</v>
      </c>
      <c r="G270" s="6" t="n">
        <f aca="false">Sens!G246</f>
        <v>210.963087346352</v>
      </c>
      <c r="H270" s="6" t="n">
        <f aca="false">Sens!H246</f>
        <v>278.649709314524</v>
      </c>
      <c r="I270" s="6" t="n">
        <f aca="false">Sens!I246</f>
        <v>334.269404582332</v>
      </c>
      <c r="J270" s="6" t="n">
        <f aca="false">Sens!J246</f>
        <v>376.517293063672</v>
      </c>
      <c r="K270" s="6" t="n">
        <f aca="false">Sens!K246</f>
        <v>406.018092622804</v>
      </c>
    </row>
    <row r="271" customFormat="false" ht="17.15" hidden="false" customHeight="false" outlineLevel="0" collapsed="false">
      <c r="A271" s="0" t="s">
        <v>1025</v>
      </c>
      <c r="B271" s="0" t="s">
        <v>98</v>
      </c>
      <c r="D271" s="6" t="n">
        <f aca="false">Sens!D243</f>
        <v>12.9359794422418</v>
      </c>
      <c r="E271" s="6" t="n">
        <f aca="false">Sens!E243</f>
        <v>27.8095064661409</v>
      </c>
      <c r="F271" s="6" t="n">
        <f aca="false">Sens!F243</f>
        <v>59.1034165651511</v>
      </c>
      <c r="G271" s="6" t="n">
        <f aca="false">Sens!G243</f>
        <v>103.451498789198</v>
      </c>
      <c r="H271" s="6" t="n">
        <f aca="false">Sens!H243</f>
        <v>153.816719989035</v>
      </c>
      <c r="I271" s="6" t="n">
        <f aca="false">Sens!I243</f>
        <v>192.699478690852</v>
      </c>
      <c r="J271" s="6" t="n">
        <f aca="false">Sens!J243</f>
        <v>219.794102584244</v>
      </c>
      <c r="K271" s="6" t="n">
        <f aca="false">Sens!K243</f>
        <v>236.757046905022</v>
      </c>
    </row>
    <row r="272" customFormat="false" ht="17.15" hidden="false" customHeight="false" outlineLevel="0" collapsed="false">
      <c r="A272" s="0" t="s">
        <v>1056</v>
      </c>
      <c r="B272" s="0" t="s">
        <v>98</v>
      </c>
      <c r="D272" s="6" t="n">
        <f aca="false">Sens!D244</f>
        <v>59.6740205577583</v>
      </c>
      <c r="E272" s="6" t="n">
        <f aca="false">Sens!E244</f>
        <v>74.1284935338591</v>
      </c>
      <c r="F272" s="6" t="n">
        <f aca="false">Sens!F244</f>
        <v>90.4866018070994</v>
      </c>
      <c r="G272" s="6" t="n">
        <f aca="false">Sens!G244</f>
        <v>107.511588557154</v>
      </c>
      <c r="H272" s="6" t="n">
        <f aca="false">Sens!H244</f>
        <v>124.832989325489</v>
      </c>
      <c r="I272" s="6" t="n">
        <f aca="false">Sens!I244</f>
        <v>141.56992589148</v>
      </c>
      <c r="J272" s="6" t="n">
        <f aca="false">Sens!J244</f>
        <v>156.723190479428</v>
      </c>
      <c r="K272" s="6" t="n">
        <f aca="false">Sens!K244</f>
        <v>169.261045717783</v>
      </c>
    </row>
    <row r="273" customFormat="false" ht="15" hidden="false" customHeight="false" outlineLevel="0" collapsed="false">
      <c r="A273" s="0" t="s">
        <v>1036</v>
      </c>
      <c r="B273" s="0" t="s">
        <v>98</v>
      </c>
      <c r="D273" s="6" t="n">
        <f aca="false">Sens!D251</f>
        <v>84.605</v>
      </c>
      <c r="E273" s="6" t="n">
        <f aca="false">Sens!E251</f>
        <v>100.299</v>
      </c>
      <c r="F273" s="6" t="n">
        <f aca="false">Sens!F251</f>
        <v>119.729653205718</v>
      </c>
      <c r="G273" s="6" t="n">
        <f aca="false">Sens!G251</f>
        <v>140.806092647576</v>
      </c>
      <c r="H273" s="6" t="n">
        <f aca="false">Sens!H251</f>
        <v>161.963437602768</v>
      </c>
      <c r="I273" s="6" t="n">
        <f aca="false">Sens!I251</f>
        <v>180.695354741933</v>
      </c>
      <c r="J273" s="6" t="n">
        <f aca="false">Sens!J251</f>
        <v>196.722117481571</v>
      </c>
      <c r="K273" s="6" t="n">
        <f aca="false">Sens!K251</f>
        <v>212.00016570528</v>
      </c>
    </row>
    <row r="274" customFormat="false" ht="17.15" hidden="false" customHeight="false" outlineLevel="0" collapsed="false">
      <c r="A274" s="0" t="s">
        <v>1057</v>
      </c>
      <c r="B274" s="0" t="s">
        <v>98</v>
      </c>
      <c r="D274" s="6" t="n">
        <f aca="false">Sens!D249</f>
        <v>83.705</v>
      </c>
      <c r="E274" s="6" t="n">
        <f aca="false">Sens!E249</f>
        <v>95.049</v>
      </c>
      <c r="F274" s="6" t="n">
        <f aca="false">Sens!F249</f>
        <v>106.229653205718</v>
      </c>
      <c r="G274" s="6" t="n">
        <f aca="false">Sens!G249</f>
        <v>118.306092647576</v>
      </c>
      <c r="H274" s="6" t="n">
        <f aca="false">Sens!H249</f>
        <v>130.463437602768</v>
      </c>
      <c r="I274" s="6" t="n">
        <f aca="false">Sens!I249</f>
        <v>142.445354741933</v>
      </c>
      <c r="J274" s="6" t="n">
        <f aca="false">Sens!J249</f>
        <v>153.972117481571</v>
      </c>
      <c r="K274" s="6" t="n">
        <f aca="false">Sens!K249</f>
        <v>164.75016570528</v>
      </c>
    </row>
    <row r="275" customFormat="false" ht="17.15" hidden="false" customHeight="false" outlineLevel="0" collapsed="false">
      <c r="A275" s="0" t="s">
        <v>1058</v>
      </c>
      <c r="B275" s="0" t="s">
        <v>98</v>
      </c>
      <c r="D275" s="6" t="n">
        <f aca="false">Sens!D248</f>
        <v>0.9</v>
      </c>
      <c r="E275" s="6" t="n">
        <f aca="false">Sens!E248</f>
        <v>5.25</v>
      </c>
      <c r="F275" s="6" t="n">
        <f aca="false">Sens!F248</f>
        <v>13.5</v>
      </c>
      <c r="G275" s="6" t="n">
        <f aca="false">Sens!G248</f>
        <v>22.5</v>
      </c>
      <c r="H275" s="6" t="n">
        <f aca="false">Sens!H248</f>
        <v>31.5</v>
      </c>
      <c r="I275" s="6" t="n">
        <f aca="false">Sens!I248</f>
        <v>38.25</v>
      </c>
      <c r="J275" s="6" t="n">
        <f aca="false">Sens!J248</f>
        <v>42.75</v>
      </c>
      <c r="K275" s="6" t="n">
        <f aca="false">Sens!K248</f>
        <v>47.25</v>
      </c>
    </row>
    <row r="276" customFormat="false" ht="15" hidden="false" customHeight="false" outlineLevel="0" collapsed="false">
      <c r="A276" s="0" t="s">
        <v>1037</v>
      </c>
      <c r="B276" s="0" t="s">
        <v>98</v>
      </c>
      <c r="D276" s="6" t="n">
        <f aca="false">Sens!D252</f>
        <v>35.391</v>
      </c>
      <c r="E276" s="6" t="n">
        <f aca="false">Sens!E252</f>
        <v>37.285</v>
      </c>
      <c r="F276" s="6" t="n">
        <f aca="false">Sens!F252</f>
        <v>38.3851437782675</v>
      </c>
      <c r="G276" s="6" t="n">
        <f aca="false">Sens!G252</f>
        <v>40.0105353288615</v>
      </c>
      <c r="H276" s="6" t="n">
        <f aca="false">Sens!H252</f>
        <v>41.4812512033683</v>
      </c>
      <c r="I276" s="6" t="n">
        <f aca="false">Sens!I252</f>
        <v>42.7743107216329</v>
      </c>
      <c r="J276" s="6" t="n">
        <f aca="false">Sens!J252</f>
        <v>43.8687373064601</v>
      </c>
      <c r="K276" s="6" t="n">
        <f aca="false">Sens!K252</f>
        <v>44.7461120525893</v>
      </c>
    </row>
    <row r="277" customFormat="false" ht="15" hidden="false" customHeight="false" outlineLevel="0" collapsed="false">
      <c r="A277" s="0" t="s">
        <v>1039</v>
      </c>
      <c r="B277" s="0" t="s">
        <v>98</v>
      </c>
      <c r="D277" s="6" t="n">
        <f aca="false">Sens!D254</f>
        <v>18.417</v>
      </c>
      <c r="E277" s="6" t="n">
        <f aca="false">Sens!E254</f>
        <v>20.345</v>
      </c>
      <c r="F277" s="6" t="n">
        <f aca="false">Sens!F254</f>
        <v>22.3161797133988</v>
      </c>
      <c r="G277" s="6" t="n">
        <f aca="false">Sens!G254</f>
        <v>24.3943499673233</v>
      </c>
      <c r="H277" s="6" t="n">
        <f aca="false">Sens!H254</f>
        <v>26.5250243109019</v>
      </c>
      <c r="I277" s="6" t="n">
        <f aca="false">Sens!I254</f>
        <v>28.6884573538181</v>
      </c>
      <c r="J277" s="6" t="n">
        <f aca="false">Sens!J254</f>
        <v>30.8624968052127</v>
      </c>
      <c r="K277" s="6" t="n">
        <f aca="false">Sens!K254</f>
        <v>33.0228715815776</v>
      </c>
    </row>
    <row r="278" customFormat="false" ht="15" hidden="false" customHeight="false" outlineLevel="0" collapsed="false">
      <c r="A278" s="0" t="s">
        <v>1040</v>
      </c>
      <c r="B278" s="0" t="s">
        <v>98</v>
      </c>
      <c r="D278" s="6" t="n">
        <f aca="false">Sens!D256</f>
        <v>7.76</v>
      </c>
      <c r="E278" s="6" t="n">
        <f aca="false">Sens!E256</f>
        <v>8.26</v>
      </c>
      <c r="F278" s="6" t="n">
        <f aca="false">Sens!F256</f>
        <v>8.75372082474227</v>
      </c>
      <c r="G278" s="6" t="n">
        <f aca="false">Sens!G256</f>
        <v>9.33399324642364</v>
      </c>
      <c r="H278" s="6" t="n">
        <f aca="false">Sens!H256</f>
        <v>9.96139155535851</v>
      </c>
      <c r="I278" s="6" t="n">
        <f aca="false">Sens!I256</f>
        <v>10.6402039077391</v>
      </c>
      <c r="J278" s="6" t="n">
        <f aca="false">Sens!J256</f>
        <v>11.3751458271397</v>
      </c>
      <c r="K278" s="6" t="n">
        <f aca="false">Sens!K256</f>
        <v>12.1714060350394</v>
      </c>
    </row>
    <row r="279" customFormat="false" ht="15" hidden="false" customHeight="false" outlineLevel="0" collapsed="false">
      <c r="A279" s="0" t="s">
        <v>856</v>
      </c>
      <c r="B279" s="0" t="s">
        <v>98</v>
      </c>
      <c r="D279" s="6" t="n">
        <f aca="false">Sens!D258</f>
        <v>218.783</v>
      </c>
      <c r="E279" s="6" t="n">
        <f aca="false">Sens!E258</f>
        <v>268.127</v>
      </c>
      <c r="F279" s="6" t="n">
        <f aca="false">Sens!F258</f>
        <v>338.774715894377</v>
      </c>
      <c r="G279" s="6" t="n">
        <f aca="false">Sens!G258</f>
        <v>425.508058536537</v>
      </c>
      <c r="H279" s="6" t="n">
        <f aca="false">Sens!H258</f>
        <v>518.580813986921</v>
      </c>
      <c r="I279" s="6" t="n">
        <f aca="false">Sens!I258</f>
        <v>597.067731307455</v>
      </c>
      <c r="J279" s="6" t="n">
        <f aca="false">Sens!J258</f>
        <v>659.345790484055</v>
      </c>
      <c r="K279" s="6" t="n">
        <f aca="false">Sens!K258</f>
        <v>707.958647997291</v>
      </c>
    </row>
    <row r="280" customFormat="false" ht="15" hidden="false" customHeight="false" outlineLevel="0" collapsed="false">
      <c r="A280" s="0" t="s">
        <v>1041</v>
      </c>
      <c r="B280" s="0" t="s">
        <v>98</v>
      </c>
      <c r="D280" s="6" t="n">
        <f aca="false">Sens!D259</f>
        <v>22.171</v>
      </c>
      <c r="E280" s="6" t="n">
        <f aca="false">Sens!E259</f>
        <v>24.835</v>
      </c>
      <c r="F280" s="6" t="n">
        <f aca="false">Sens!F259</f>
        <v>27.5591895660247</v>
      </c>
      <c r="G280" s="6" t="n">
        <f aca="false">Sens!G259</f>
        <v>30.4098563144583</v>
      </c>
      <c r="H280" s="6" t="n">
        <f aca="false">Sens!H259</f>
        <v>33.3011792571777</v>
      </c>
      <c r="I280" s="6" t="n">
        <f aca="false">Sens!I259</f>
        <v>36.189023797112</v>
      </c>
      <c r="J280" s="6" t="n">
        <f aca="false">Sens!J259</f>
        <v>39.0247773769199</v>
      </c>
      <c r="K280" s="6" t="n">
        <f aca="false">Sens!K259</f>
        <v>41.7565117933043</v>
      </c>
    </row>
    <row r="281" customFormat="false" ht="15" hidden="false" customHeight="false" outlineLevel="0" collapsed="false">
      <c r="A281" s="0" t="s">
        <v>1042</v>
      </c>
      <c r="B281" s="0" t="s">
        <v>98</v>
      </c>
      <c r="D281" s="6" t="n">
        <f aca="false">Sens!D261</f>
        <v>23.455</v>
      </c>
      <c r="E281" s="6" t="n">
        <f aca="false">Sens!E261</f>
        <v>21.79</v>
      </c>
      <c r="F281" s="6" t="n">
        <f aca="false">Sens!F261</f>
        <v>20.7520981041711</v>
      </c>
      <c r="G281" s="6" t="n">
        <f aca="false">Sens!G261</f>
        <v>19.9083593495882</v>
      </c>
      <c r="H281" s="6" t="n">
        <f aca="false">Sens!H261</f>
        <v>19.4008256265831</v>
      </c>
      <c r="I281" s="6" t="n">
        <f aca="false">Sens!I261</f>
        <v>19.200434522122</v>
      </c>
      <c r="J281" s="6" t="n">
        <f aca="false">Sens!J261</f>
        <v>19.2932782348507</v>
      </c>
      <c r="K281" s="6" t="n">
        <f aca="false">Sens!K261</f>
        <v>19.6791437995477</v>
      </c>
    </row>
    <row r="282" customFormat="false" ht="15" hidden="false" customHeight="false" outlineLevel="0" collapsed="false">
      <c r="A282" s="0" t="s">
        <v>1043</v>
      </c>
      <c r="B282" s="0" t="s">
        <v>98</v>
      </c>
      <c r="D282" s="6" t="n">
        <f aca="false">Sens!D263</f>
        <v>17.315</v>
      </c>
      <c r="E282" s="6" t="n">
        <f aca="false">Sens!E263</f>
        <v>17.087</v>
      </c>
      <c r="F282" s="6" t="n">
        <f aca="false">Sens!F263</f>
        <v>15.9912273250553</v>
      </c>
      <c r="G282" s="6" t="n">
        <f aca="false">Sens!G263</f>
        <v>15.9574562664827</v>
      </c>
      <c r="H282" s="6" t="n">
        <f aca="false">Sens!H263</f>
        <v>16.0119687434196</v>
      </c>
      <c r="I282" s="6" t="n">
        <f aca="false">Sens!I263</f>
        <v>16.1551810001948</v>
      </c>
      <c r="J282" s="6" t="n">
        <f aca="false">Sens!J263</f>
        <v>16.3889793892005</v>
      </c>
      <c r="K282" s="6" t="n">
        <f aca="false">Sens!K263</f>
        <v>16.7167589769845</v>
      </c>
    </row>
    <row r="283" customFormat="false" ht="15" hidden="false" customHeight="false" outlineLevel="0" collapsed="false">
      <c r="A283" s="0" t="s">
        <v>870</v>
      </c>
      <c r="B283" s="0" t="s">
        <v>98</v>
      </c>
      <c r="D283" s="6" t="n">
        <f aca="false">Sens!D265</f>
        <v>62.941</v>
      </c>
      <c r="E283" s="6" t="n">
        <f aca="false">Sens!E265</f>
        <v>63.712</v>
      </c>
      <c r="F283" s="6" t="n">
        <f aca="false">Sens!F265</f>
        <v>64.3025149952511</v>
      </c>
      <c r="G283" s="6" t="n">
        <f aca="false">Sens!G265</f>
        <v>66.2756719305292</v>
      </c>
      <c r="H283" s="6" t="n">
        <f aca="false">Sens!H265</f>
        <v>68.7139736271804</v>
      </c>
      <c r="I283" s="6" t="n">
        <f aca="false">Sens!I265</f>
        <v>71.5446393194289</v>
      </c>
      <c r="J283" s="6" t="n">
        <f aca="false">Sens!J265</f>
        <v>74.707035000971</v>
      </c>
      <c r="K283" s="6" t="n">
        <f aca="false">Sens!K265</f>
        <v>78.1524145698365</v>
      </c>
    </row>
    <row r="284" customFormat="false" ht="15" hidden="false" customHeight="false" outlineLevel="0" collapsed="false">
      <c r="A284" s="1" t="s">
        <v>1059</v>
      </c>
      <c r="B284" s="0" t="s">
        <v>98</v>
      </c>
      <c r="D284" s="6" t="n">
        <f aca="false">Sens!D266</f>
        <v>281.724</v>
      </c>
      <c r="E284" s="6" t="n">
        <f aca="false">Sens!E266</f>
        <v>331.839</v>
      </c>
      <c r="F284" s="6" t="n">
        <f aca="false">Sens!F266</f>
        <v>403.077230889628</v>
      </c>
      <c r="G284" s="6" t="n">
        <f aca="false">Sens!G266</f>
        <v>491.783730467066</v>
      </c>
      <c r="H284" s="6" t="n">
        <f aca="false">Sens!H266</f>
        <v>587.294787614101</v>
      </c>
      <c r="I284" s="6" t="n">
        <f aca="false">Sens!I266</f>
        <v>668.612370626884</v>
      </c>
      <c r="J284" s="6" t="n">
        <f aca="false">Sens!J266</f>
        <v>734.052825485026</v>
      </c>
      <c r="K284" s="6" t="n">
        <f aca="false">Sens!K266</f>
        <v>786.111062567128</v>
      </c>
    </row>
    <row r="285" customFormat="false" ht="15" hidden="false" customHeight="false" outlineLevel="0" collapsed="false">
      <c r="A285" s="1" t="s">
        <v>1060</v>
      </c>
      <c r="B285" s="0" t="s">
        <v>168</v>
      </c>
      <c r="E285" s="7" t="n">
        <f aca="false">Sens!E284/Sens!D284-1</f>
        <v>0.177886867998467</v>
      </c>
      <c r="F285" s="7" t="n">
        <f aca="false">Sens!F284/Sens!E284-1</f>
        <v>0.21467709006364</v>
      </c>
      <c r="G285" s="7" t="n">
        <f aca="false">Sens!G284/Sens!F284-1</f>
        <v>0.220073208753704</v>
      </c>
      <c r="H285" s="7" t="n">
        <f aca="false">Sens!H284/Sens!G284-1</f>
        <v>0.194213535808362</v>
      </c>
      <c r="I285" s="7" t="n">
        <f aca="false">Sens!I284/Sens!H284-1</f>
        <v>0.13846127145643</v>
      </c>
      <c r="J285" s="7" t="n">
        <f aca="false">Sens!J284/Sens!I284-1</f>
        <v>0.0978750285412546</v>
      </c>
      <c r="K285" s="7" t="n">
        <f aca="false">Sens!K284/Sens!J284-1</f>
        <v>0.0709189247350204</v>
      </c>
    </row>
    <row r="286" customFormat="false" ht="17.15" hidden="false" customHeight="false" outlineLevel="0" collapsed="false">
      <c r="A286" s="26" t="s">
        <v>1061</v>
      </c>
      <c r="B286" s="31" t="s">
        <v>98</v>
      </c>
      <c r="C286" s="31"/>
      <c r="D286" s="27" t="n">
        <f aca="false">(Sens!D279+Sens!D283-Sens!D284)+(Sens!D271+Sens!D272-Sens!D270)+(Sens!D274+Sens!D275-Sens!D273)+(Sens!D284-Q!L18)</f>
        <v>0</v>
      </c>
      <c r="E286" s="27" t="n">
        <f aca="false">(Sens!E279+Sens!E283-Sens!E284)+(Sens!E271+Sens!E272-Sens!E270)+(Sens!E274+Sens!E275-Sens!E273)+(Sens!E284-Q!M18)</f>
        <v>0</v>
      </c>
      <c r="F286" s="27" t="n">
        <f aca="false">(Sens!F279+Sens!F283-Sens!F284)+(Sens!F271+Sens!F272-Sens!F270)+(Sens!F274+Sens!F275-Sens!F273)</f>
        <v>0</v>
      </c>
      <c r="G286" s="27" t="n">
        <f aca="false">(Sens!G279+Sens!G283-Sens!G284)+(Sens!G271+Sens!G272-Sens!G270)+(Sens!G274+Sens!G275-Sens!G273)</f>
        <v>0</v>
      </c>
      <c r="H286" s="27" t="n">
        <f aca="false">(Sens!H279+Sens!H283-Sens!H284)+(Sens!H271+Sens!H272-Sens!H270)+(Sens!H274+Sens!H275-Sens!H273)</f>
        <v>0</v>
      </c>
      <c r="I286" s="27" t="n">
        <f aca="false">(Sens!I279+Sens!I283-Sens!I284)+(Sens!I271+Sens!I272-Sens!I270)+(Sens!I274+Sens!I275-Sens!I273)</f>
        <v>0</v>
      </c>
      <c r="J286" s="27" t="n">
        <f aca="false">(Sens!J279+Sens!J283-Sens!J284)+(Sens!J271+Sens!J272-Sens!J270)+(Sens!J274+Sens!J275-Sens!J273)</f>
        <v>0</v>
      </c>
      <c r="K286" s="27" t="n">
        <f aca="false">(Sens!K279+Sens!K283-Sens!K284)+(Sens!K271+Sens!K272-Sens!K270)+(Sens!K274+Sens!K275-Sens!K273)</f>
        <v>0</v>
      </c>
    </row>
    <row r="287" customFormat="false" ht="17.15" hidden="false" customHeight="false" outlineLevel="0" collapsed="false">
      <c r="A287" s="0" t="s">
        <v>1062</v>
      </c>
      <c r="B287" s="0" t="s">
        <v>168</v>
      </c>
      <c r="E287" s="7" t="n">
        <f aca="false">(Q!M21+Sens!E223+Sens!E224+Sens!E225+Sens!E239-Sens!E221)/(Q!M5-Sens!E221)</f>
        <v>0.570957350878296</v>
      </c>
      <c r="F287" s="7" t="n">
        <f aca="false">Sens!$E$287+dm_seg</f>
        <v>0.570957350878296</v>
      </c>
      <c r="G287" s="7" t="n">
        <f aca="false">Sens!$E$287+dm_seg</f>
        <v>0.570957350878296</v>
      </c>
      <c r="H287" s="7" t="n">
        <f aca="false">Sens!$E$287+dm_seg</f>
        <v>0.570957350878296</v>
      </c>
      <c r="I287" s="7" t="n">
        <f aca="false">Sens!$E$287+dm_seg</f>
        <v>0.570957350878296</v>
      </c>
      <c r="J287" s="7" t="n">
        <f aca="false">Sens!$E$287+dm_seg</f>
        <v>0.570957350878296</v>
      </c>
      <c r="K287" s="7" t="n">
        <f aca="false">Sens!$E$287+dm_seg</f>
        <v>0.570957350878296</v>
      </c>
      <c r="L287" s="12" t="s">
        <v>1063</v>
      </c>
    </row>
    <row r="288" customFormat="false" ht="17.15" hidden="false" customHeight="false" outlineLevel="0" collapsed="false">
      <c r="A288" s="0" t="s">
        <v>884</v>
      </c>
      <c r="B288" s="0" t="s">
        <v>98</v>
      </c>
      <c r="D288" s="6" t="n">
        <f aca="false">Q!L21</f>
        <v>110.814</v>
      </c>
      <c r="E288" s="6" t="n">
        <f aca="false">Q!M21</f>
        <v>136.365</v>
      </c>
      <c r="F288" s="6" t="n">
        <f aca="false">Q!$I$21+(Sens!F287*(Sens!F258-Sens!F221)+Sens!F221-(Sens!F223+Sens!F224+Sens!F225)-Sens!F239-Sens!F322)*(Sens!F258-Q!$I$5)/Sens!F258</f>
        <v>165.518940289865</v>
      </c>
      <c r="G288" s="6" t="n">
        <f aca="false">(Sens!G287*(Sens!G258-Sens!G221)+Sens!G221-(Sens!G223+Sens!G224+Sens!G225)-Sens!G239-Sens!G322)</f>
        <v>191.522093802735</v>
      </c>
      <c r="H288" s="6" t="n">
        <f aca="false">(Sens!H287*(Sens!H258-Sens!H221)+Sens!H221-(Sens!H223+Sens!H224+Sens!H225)-Sens!H239-Sens!H322)</f>
        <v>225.776483596689</v>
      </c>
      <c r="I288" s="6" t="n">
        <f aca="false">(Sens!I287*(Sens!I258-Sens!I221)+Sens!I221-(Sens!I223+Sens!I224+Sens!I225)-Sens!I239-Sens!I322)</f>
        <v>251.64174329374</v>
      </c>
      <c r="J288" s="6" t="n">
        <f aca="false">(Sens!J287*(Sens!J258-Sens!J221)+Sens!J221-(Sens!J223+Sens!J224+Sens!J225)-Sens!J239-Sens!J322)</f>
        <v>273.893745224048</v>
      </c>
      <c r="K288" s="6" t="n">
        <f aca="false">(Sens!K287*(Sens!K258-Sens!K221)+Sens!K221-(Sens!K223+Sens!K224+Sens!K225)-Sens!K239-Sens!K322)</f>
        <v>293.874045571005</v>
      </c>
      <c r="L288" s="1" t="s">
        <v>1064</v>
      </c>
    </row>
    <row r="289" customFormat="false" ht="17.15" hidden="false" customHeight="false" outlineLevel="0" collapsed="false">
      <c r="A289" s="0" t="s">
        <v>1065</v>
      </c>
      <c r="B289" s="0" t="s">
        <v>168</v>
      </c>
      <c r="E289" s="7" t="n">
        <f aca="false">Q!M22/Q!M12</f>
        <v>0.296207935710698</v>
      </c>
      <c r="F289" s="7" t="n">
        <f aca="false">Sens!$E$289+dm_seg</f>
        <v>0.296207935710698</v>
      </c>
      <c r="G289" s="7" t="n">
        <f aca="false">Sens!$E$289+dm_seg</f>
        <v>0.296207935710698</v>
      </c>
      <c r="H289" s="7" t="n">
        <f aca="false">Sens!$E$289+dm_seg</f>
        <v>0.296207935710698</v>
      </c>
      <c r="I289" s="7" t="n">
        <f aca="false">Sens!$E$289+dm_seg</f>
        <v>0.296207935710698</v>
      </c>
      <c r="J289" s="7" t="n">
        <f aca="false">Sens!$E$289+dm_seg</f>
        <v>0.296207935710698</v>
      </c>
      <c r="K289" s="7" t="n">
        <f aca="false">Sens!$E$289+dm_seg</f>
        <v>0.296207935710698</v>
      </c>
      <c r="L289" s="12" t="s">
        <v>1066</v>
      </c>
    </row>
    <row r="290" customFormat="false" ht="17.15" hidden="false" customHeight="false" outlineLevel="0" collapsed="false">
      <c r="A290" s="0" t="s">
        <v>886</v>
      </c>
      <c r="B290" s="0" t="s">
        <v>98</v>
      </c>
      <c r="D290" s="6" t="n">
        <f aca="false">Q!L22</f>
        <v>17.714</v>
      </c>
      <c r="E290" s="6" t="n">
        <f aca="false">Q!M22</f>
        <v>18.872</v>
      </c>
      <c r="F290" s="6" t="n">
        <f aca="false">Q!$I$22+(Sens!F265-Q!$I$12)*Sens!F289</f>
        <v>19.8174315512051</v>
      </c>
      <c r="G290" s="6" t="n">
        <f aca="false">Sens!G265*Sens!G289</f>
        <v>19.6313799703815</v>
      </c>
      <c r="H290" s="6" t="n">
        <f aca="false">Sens!H265*Sens!H289</f>
        <v>20.3536242825865</v>
      </c>
      <c r="I290" s="6" t="n">
        <f aca="false">Sens!I265*Sens!I289</f>
        <v>21.1920899239745</v>
      </c>
      <c r="J290" s="6" t="n">
        <f aca="false">Sens!J265*Sens!J289</f>
        <v>22.1288166207045</v>
      </c>
      <c r="K290" s="6" t="n">
        <f aca="false">Sens!K265*Sens!K289</f>
        <v>23.1493653905379</v>
      </c>
      <c r="L290" s="12" t="s">
        <v>1067</v>
      </c>
    </row>
    <row r="291" customFormat="false" ht="15" hidden="false" customHeight="false" outlineLevel="0" collapsed="false">
      <c r="A291" s="1" t="s">
        <v>1068</v>
      </c>
      <c r="B291" s="0" t="s">
        <v>98</v>
      </c>
      <c r="D291" s="6" t="n">
        <f aca="false">Sens!D288+Sens!D290</f>
        <v>128.528</v>
      </c>
      <c r="E291" s="6" t="n">
        <f aca="false">Sens!E288+Sens!E290</f>
        <v>155.237</v>
      </c>
      <c r="F291" s="6" t="n">
        <f aca="false">Sens!F288+Sens!F290</f>
        <v>185.33637184107</v>
      </c>
      <c r="G291" s="6" t="n">
        <f aca="false">Sens!G288+Sens!G290</f>
        <v>211.153473773117</v>
      </c>
      <c r="H291" s="6" t="n">
        <f aca="false">Sens!H288+Sens!H290</f>
        <v>246.130107879275</v>
      </c>
      <c r="I291" s="6" t="n">
        <f aca="false">Sens!I288+Sens!I290</f>
        <v>272.833833217714</v>
      </c>
      <c r="J291" s="6" t="n">
        <f aca="false">Sens!J288+Sens!J290</f>
        <v>296.022561844752</v>
      </c>
      <c r="K291" s="6" t="n">
        <f aca="false">Sens!K288+Sens!K290</f>
        <v>317.023410961543</v>
      </c>
    </row>
    <row r="292" customFormat="false" ht="15" hidden="false" customHeight="false" outlineLevel="0" collapsed="false">
      <c r="A292" s="26" t="s">
        <v>1069</v>
      </c>
      <c r="B292" s="31" t="s">
        <v>98</v>
      </c>
      <c r="C292" s="31"/>
      <c r="D292" s="27" t="n">
        <f aca="false">Sens!D291-Q!L23</f>
        <v>0</v>
      </c>
      <c r="E292" s="27" t="n">
        <f aca="false">Sens!E291-Q!M23</f>
        <v>0</v>
      </c>
      <c r="F292" s="31"/>
      <c r="G292" s="31"/>
      <c r="H292" s="31"/>
      <c r="I292" s="31"/>
      <c r="J292" s="31"/>
      <c r="K292" s="31"/>
    </row>
    <row r="293" customFormat="false" ht="15" hidden="false" customHeight="false" outlineLevel="0" collapsed="false">
      <c r="A293" s="1" t="s">
        <v>1070</v>
      </c>
      <c r="B293" s="0" t="s">
        <v>168</v>
      </c>
      <c r="D293" s="7" t="n">
        <f aca="false">Sens!D291/Sens!D284</f>
        <v>0.456219562408598</v>
      </c>
      <c r="E293" s="7" t="n">
        <f aca="false">Sens!E291/Sens!E284</f>
        <v>0.467808184089272</v>
      </c>
      <c r="F293" s="7" t="n">
        <f aca="false">Sens!F291/Sens!F284</f>
        <v>0.45980362480911</v>
      </c>
      <c r="G293" s="7" t="n">
        <f aca="false">Sens!G291/Sens!G284</f>
        <v>0.429362462992779</v>
      </c>
      <c r="H293" s="7" t="n">
        <f aca="false">Sens!H291/Sens!H284</f>
        <v>0.419091252076636</v>
      </c>
      <c r="I293" s="7" t="n">
        <f aca="false">Sens!I291/Sens!I284</f>
        <v>0.408059804460256</v>
      </c>
      <c r="J293" s="7" t="n">
        <f aca="false">Sens!J291/Sens!J284</f>
        <v>0.403271469800767</v>
      </c>
      <c r="K293" s="7" t="n">
        <f aca="false">Sens!K291/Sens!K284</f>
        <v>0.403280689024106</v>
      </c>
    </row>
    <row r="294" customFormat="false" ht="17.15" hidden="false" customHeight="false" outlineLevel="0" collapsed="false">
      <c r="A294" s="1" t="s">
        <v>1071</v>
      </c>
      <c r="B294" s="0" t="s">
        <v>98</v>
      </c>
      <c r="F294" s="6" t="n">
        <f aca="false">Sens!F309</f>
        <v>0</v>
      </c>
      <c r="G294" s="6" t="n">
        <f aca="false">Sens!G309</f>
        <v>0</v>
      </c>
      <c r="H294" s="6" t="n">
        <f aca="false">Sens!H309</f>
        <v>0</v>
      </c>
      <c r="I294" s="6" t="n">
        <f aca="false">Sens!I309</f>
        <v>0</v>
      </c>
      <c r="J294" s="6" t="n">
        <f aca="false">Sens!J309</f>
        <v>0</v>
      </c>
      <c r="K294" s="6" t="n">
        <f aca="false">Sens!K309</f>
        <v>0</v>
      </c>
      <c r="L294" s="1" t="s">
        <v>1072</v>
      </c>
    </row>
    <row r="295" customFormat="false" ht="17.15" hidden="false" customHeight="false" outlineLevel="0" collapsed="false">
      <c r="A295" s="1" t="s">
        <v>1073</v>
      </c>
      <c r="B295" s="0" t="s">
        <v>98</v>
      </c>
      <c r="D295" s="6" t="n">
        <f aca="false">Sens!D291</f>
        <v>128.528</v>
      </c>
      <c r="E295" s="6" t="n">
        <f aca="false">Sens!E291</f>
        <v>155.237</v>
      </c>
      <c r="F295" s="6" t="n">
        <f aca="false">Sens!F291+Sens!F294</f>
        <v>185.33637184107</v>
      </c>
      <c r="G295" s="6" t="n">
        <f aca="false">Sens!G291+Sens!G294</f>
        <v>211.153473773117</v>
      </c>
      <c r="H295" s="6" t="n">
        <f aca="false">Sens!H291+Sens!H294</f>
        <v>246.130107879275</v>
      </c>
      <c r="I295" s="6" t="n">
        <f aca="false">Sens!I291+Sens!I294</f>
        <v>272.833833217714</v>
      </c>
      <c r="J295" s="6" t="n">
        <f aca="false">Sens!J291+Sens!J294</f>
        <v>296.022561844752</v>
      </c>
      <c r="K295" s="6" t="n">
        <f aca="false">Sens!K291+Sens!K294</f>
        <v>317.023410961543</v>
      </c>
    </row>
    <row r="296" customFormat="false" ht="17.15" hidden="false" customHeight="false" outlineLevel="0" collapsed="false">
      <c r="A296" s="1" t="s">
        <v>1074</v>
      </c>
      <c r="B296" s="0" t="s">
        <v>98</v>
      </c>
      <c r="E296" s="6" t="n">
        <f aca="false">Sens!E239</f>
        <v>16.3054059770833</v>
      </c>
      <c r="F296" s="6" t="n">
        <f aca="false">Sens!F239</f>
        <v>34.5793144783516</v>
      </c>
      <c r="G296" s="6" t="n">
        <f aca="false">Sens!G239</f>
        <v>60.7344906522989</v>
      </c>
      <c r="H296" s="6" t="n">
        <f aca="false">Sens!H239</f>
        <v>89.1000906614457</v>
      </c>
      <c r="I296" s="6" t="n">
        <f aca="false">Sens!I239</f>
        <v>114.231009694548</v>
      </c>
      <c r="J296" s="6" t="n">
        <f aca="false">Sens!J239</f>
        <v>132.015673049596</v>
      </c>
      <c r="K296" s="6" t="n">
        <f aca="false">Sens!K239</f>
        <v>143.012669550934</v>
      </c>
    </row>
    <row r="297" customFormat="false" ht="17.15" hidden="false" customHeight="false" outlineLevel="0" collapsed="false">
      <c r="A297" s="1" t="s">
        <v>1075</v>
      </c>
      <c r="B297" s="0" t="s">
        <v>98</v>
      </c>
      <c r="E297" s="6" t="n">
        <f aca="false">Sens!E321</f>
        <v>22.2285940229167</v>
      </c>
      <c r="F297" s="6" t="n">
        <f aca="false">Sens!F321</f>
        <v>23.580344216413</v>
      </c>
      <c r="G297" s="6" t="n">
        <f aca="false">Sens!G321</f>
        <v>25.3801415764809</v>
      </c>
      <c r="H297" s="6" t="n">
        <f aca="false">Sens!H321</f>
        <v>27.5964639802758</v>
      </c>
      <c r="I297" s="6" t="n">
        <f aca="false">Sens!I321</f>
        <v>30.152940612192</v>
      </c>
      <c r="J297" s="6" t="n">
        <f aca="false">Sens!J321</f>
        <v>32.9575022150393</v>
      </c>
      <c r="K297" s="6" t="n">
        <f aca="false">Sens!K321</f>
        <v>35.9256779798081</v>
      </c>
    </row>
    <row r="298" customFormat="false" ht="17.15" hidden="false" customHeight="false" outlineLevel="0" collapsed="false">
      <c r="A298" s="1" t="s">
        <v>1076</v>
      </c>
      <c r="B298" s="0" t="s">
        <v>98</v>
      </c>
      <c r="D298" s="6" t="n">
        <f aca="false">Q!L27</f>
        <v>-4.901</v>
      </c>
      <c r="E298" s="6" t="n">
        <f aca="false">Q!M27</f>
        <v>10.697</v>
      </c>
      <c r="F298" s="6" t="n">
        <f aca="false">Q!$I$27+oie_f*(q_per_yr-1)/q_per_yr</f>
        <v>-0.862</v>
      </c>
      <c r="G298" s="6" t="n">
        <f aca="false">oie_f</f>
        <v>-1.2</v>
      </c>
      <c r="H298" s="6" t="n">
        <f aca="false">oie_f</f>
        <v>-1.2</v>
      </c>
      <c r="I298" s="6" t="n">
        <f aca="false">oie_f</f>
        <v>-1.2</v>
      </c>
      <c r="J298" s="6" t="n">
        <f aca="false">oie_f</f>
        <v>-1.2</v>
      </c>
      <c r="K298" s="6" t="n">
        <f aca="false">oie_f</f>
        <v>-1.2</v>
      </c>
      <c r="L298" s="12" t="s">
        <v>1077</v>
      </c>
    </row>
    <row r="299" customFormat="false" ht="15" hidden="false" customHeight="false" outlineLevel="0" collapsed="false">
      <c r="A299" s="1" t="s">
        <v>1078</v>
      </c>
      <c r="B299" s="0" t="s">
        <v>98</v>
      </c>
      <c r="D299" s="6" t="n">
        <f aca="false">Sens!D291+Sens!D298</f>
        <v>123.627</v>
      </c>
      <c r="E299" s="6" t="n">
        <f aca="false">Sens!E291+Sens!E298</f>
        <v>165.934</v>
      </c>
      <c r="F299" s="6" t="n">
        <f aca="false">Sens!F291+Sens!F298</f>
        <v>184.47437184107</v>
      </c>
      <c r="G299" s="6" t="n">
        <f aca="false">Sens!G291+Sens!G298</f>
        <v>209.953473773117</v>
      </c>
      <c r="H299" s="6" t="n">
        <f aca="false">Sens!H291+Sens!H298</f>
        <v>244.930107879275</v>
      </c>
      <c r="I299" s="6" t="n">
        <f aca="false">Sens!I291+Sens!I298</f>
        <v>271.633833217714</v>
      </c>
      <c r="J299" s="6" t="n">
        <f aca="false">Sens!J291+Sens!J298</f>
        <v>294.822561844752</v>
      </c>
      <c r="K299" s="6" t="n">
        <f aca="false">Sens!K291+Sens!K298</f>
        <v>315.823410961543</v>
      </c>
    </row>
    <row r="300" customFormat="false" ht="15" hidden="false" customHeight="false" outlineLevel="0" collapsed="false">
      <c r="A300" s="1" t="s">
        <v>1079</v>
      </c>
      <c r="B300" s="0" t="s">
        <v>98</v>
      </c>
      <c r="D300" s="6" t="n">
        <f aca="false">Q!L29</f>
        <v>21.795</v>
      </c>
      <c r="E300" s="6" t="n">
        <f aca="false">Q!M29</f>
        <v>32.185</v>
      </c>
      <c r="F300" s="6" t="n">
        <f aca="false">Q!$I$29+(Sens!F299-Q!$I$28)*tax_f</f>
        <v>37.0282743682139</v>
      </c>
      <c r="G300" s="6" t="n">
        <f aca="false">Sens!G299*tax_f</f>
        <v>41.9906947546233</v>
      </c>
      <c r="H300" s="6" t="n">
        <f aca="false">Sens!H299*tax_f</f>
        <v>48.9860215758551</v>
      </c>
      <c r="I300" s="6" t="n">
        <f aca="false">Sens!I299*tax_f</f>
        <v>54.3267666435428</v>
      </c>
      <c r="J300" s="6" t="n">
        <f aca="false">Sens!J299*tax_f</f>
        <v>58.9645123689505</v>
      </c>
      <c r="K300" s="6" t="n">
        <f aca="false">Sens!K299*tax_f</f>
        <v>63.1646821923086</v>
      </c>
    </row>
    <row r="301" customFormat="false" ht="15" hidden="false" customHeight="false" outlineLevel="0" collapsed="false">
      <c r="A301" s="1" t="s">
        <v>1080</v>
      </c>
      <c r="B301" s="0" t="s">
        <v>98</v>
      </c>
      <c r="D301" s="6" t="n">
        <f aca="false">Sens!D299-Sens!D300</f>
        <v>101.832</v>
      </c>
      <c r="E301" s="6" t="n">
        <f aca="false">Sens!E299-Sens!E300</f>
        <v>133.749</v>
      </c>
      <c r="F301" s="6" t="n">
        <f aca="false">Sens!F299-Sens!F300</f>
        <v>147.446097472856</v>
      </c>
      <c r="G301" s="6" t="n">
        <f aca="false">Sens!G299-Sens!G300</f>
        <v>167.962779018493</v>
      </c>
      <c r="H301" s="6" t="n">
        <f aca="false">Sens!H299-Sens!H300</f>
        <v>195.94408630342</v>
      </c>
      <c r="I301" s="6" t="n">
        <f aca="false">Sens!I299-Sens!I300</f>
        <v>217.307066574171</v>
      </c>
      <c r="J301" s="6" t="n">
        <f aca="false">Sens!J299-Sens!J300</f>
        <v>235.858049475802</v>
      </c>
      <c r="K301" s="6" t="n">
        <f aca="false">Sens!K299-Sens!K300</f>
        <v>252.658728769235</v>
      </c>
    </row>
    <row r="302" customFormat="false" ht="17.15" hidden="false" customHeight="false" outlineLevel="0" collapsed="false">
      <c r="A302" s="1" t="s">
        <v>1081</v>
      </c>
      <c r="B302" s="1" t="s">
        <v>81</v>
      </c>
      <c r="D302" s="15" t="n">
        <f aca="false">Q!L31</f>
        <v>7.465</v>
      </c>
      <c r="E302" s="15" t="n">
        <f aca="false">Q!M31</f>
        <v>7.453</v>
      </c>
      <c r="F302" s="15" t="n">
        <f aca="false">Sens!F346</f>
        <v>7.4706326876771</v>
      </c>
      <c r="G302" s="15" t="n">
        <f aca="false">Sens!G346</f>
        <v>7.50990360175967</v>
      </c>
      <c r="H302" s="15" t="n">
        <f aca="false">Sens!H346</f>
        <v>7.53474176719395</v>
      </c>
      <c r="I302" s="15" t="n">
        <f aca="false">Sens!I346</f>
        <v>7.54642313124942</v>
      </c>
      <c r="J302" s="15" t="n">
        <f aca="false">Sens!J346</f>
        <v>7.56057254241189</v>
      </c>
      <c r="K302" s="15" t="n">
        <f aca="false">Sens!K346</f>
        <v>7.57700718237714</v>
      </c>
    </row>
    <row r="303" customFormat="false" ht="17.15" hidden="false" customHeight="false" outlineLevel="0" collapsed="false">
      <c r="A303" s="0" t="s">
        <v>1082</v>
      </c>
      <c r="B303" s="0" t="s">
        <v>75</v>
      </c>
      <c r="D303" s="8" t="n">
        <f aca="false">Sens!D301/Sens!D302</f>
        <v>13.641259209645</v>
      </c>
      <c r="E303" s="8" t="n">
        <f aca="false">Sens!E301/Sens!E302</f>
        <v>17.9456594659869</v>
      </c>
      <c r="F303" s="8" t="n">
        <f aca="false">Sens!F301/Sens!F302</f>
        <v>19.7367617492518</v>
      </c>
      <c r="G303" s="8" t="n">
        <f aca="false">Sens!G301/Sens!G302</f>
        <v>22.365503996501</v>
      </c>
      <c r="H303" s="8" t="n">
        <f aca="false">Sens!H301/Sens!H302</f>
        <v>26.0054149641273</v>
      </c>
      <c r="I303" s="8" t="n">
        <f aca="false">Sens!I301/Sens!I302</f>
        <v>28.7960352599779</v>
      </c>
      <c r="J303" s="8" t="n">
        <f aca="false">Sens!J301/Sens!J302</f>
        <v>31.195792137795</v>
      </c>
      <c r="K303" s="8" t="n">
        <f aca="false">Sens!K301/Sens!K302</f>
        <v>33.3454519294738</v>
      </c>
      <c r="L303" s="1" t="s">
        <v>1083</v>
      </c>
    </row>
    <row r="304" customFormat="false" ht="17.15" hidden="false" customHeight="false" outlineLevel="0" collapsed="false">
      <c r="A304" s="1" t="s">
        <v>1084</v>
      </c>
      <c r="B304" s="0" t="s">
        <v>98</v>
      </c>
      <c r="D304" s="6" t="n">
        <f aca="false">Sens!D301</f>
        <v>101.832</v>
      </c>
      <c r="E304" s="6" t="n">
        <f aca="false">Sens!E301</f>
        <v>133.749</v>
      </c>
      <c r="F304" s="6" t="n">
        <f aca="false">Sens!F301+Sens!F294*(1-tax_f)</f>
        <v>147.446097472856</v>
      </c>
      <c r="G304" s="6" t="n">
        <f aca="false">Sens!G301+Sens!G294*(1-tax_f)</f>
        <v>167.962779018493</v>
      </c>
      <c r="H304" s="6" t="n">
        <f aca="false">Sens!H301+Sens!H294*(1-tax_f)</f>
        <v>195.94408630342</v>
      </c>
      <c r="I304" s="6" t="n">
        <f aca="false">Sens!I301+Sens!I294*(1-tax_f)</f>
        <v>217.307066574171</v>
      </c>
      <c r="J304" s="6" t="n">
        <f aca="false">Sens!J301+Sens!J294*(1-tax_f)</f>
        <v>235.858049475802</v>
      </c>
      <c r="K304" s="6" t="n">
        <f aca="false">Sens!K301+Sens!K294*(1-tax_f)</f>
        <v>252.658728769235</v>
      </c>
    </row>
    <row r="305" customFormat="false" ht="17.15" hidden="false" customHeight="false" outlineLevel="0" collapsed="false">
      <c r="A305" s="0" t="s">
        <v>1085</v>
      </c>
      <c r="B305" s="0" t="s">
        <v>75</v>
      </c>
      <c r="D305" s="8" t="n">
        <f aca="false">Sens!D304/Sens!D302</f>
        <v>13.641259209645</v>
      </c>
      <c r="E305" s="8" t="n">
        <f aca="false">Sens!E304/Sens!E302</f>
        <v>17.9456594659869</v>
      </c>
      <c r="F305" s="8" t="n">
        <f aca="false">Sens!F304/Sens!F302</f>
        <v>19.7367617492518</v>
      </c>
      <c r="G305" s="8" t="n">
        <f aca="false">Sens!G304/Sens!G302</f>
        <v>22.365503996501</v>
      </c>
      <c r="H305" s="8" t="n">
        <f aca="false">Sens!H304/Sens!H302</f>
        <v>26.0054149641273</v>
      </c>
      <c r="I305" s="8" t="n">
        <f aca="false">Sens!I304/Sens!I302</f>
        <v>28.7960352599779</v>
      </c>
      <c r="J305" s="8" t="n">
        <f aca="false">Sens!J304/Sens!J302</f>
        <v>31.195792137795</v>
      </c>
      <c r="K305" s="8" t="n">
        <f aca="false">Sens!K304/Sens!K302</f>
        <v>33.3454519294738</v>
      </c>
      <c r="L305" s="1" t="s">
        <v>1086</v>
      </c>
    </row>
    <row r="306" customFormat="false" ht="17.15" hidden="false" customHeight="false" outlineLevel="0" collapsed="false">
      <c r="A306" s="0" t="s">
        <v>1087</v>
      </c>
      <c r="B306" s="0" t="s">
        <v>168</v>
      </c>
      <c r="E306" s="7" t="n">
        <f aca="false">Sens!E305/Sens!D305-1</f>
        <v>0.315542736208578</v>
      </c>
      <c r="F306" s="7" t="n">
        <f aca="false">Sens!F305/Sens!E305-1</f>
        <v>0.0998069915825455</v>
      </c>
      <c r="G306" s="7" t="n">
        <f aca="false">Sens!G305/Sens!F305-1</f>
        <v>0.133190149460503</v>
      </c>
      <c r="H306" s="7" t="n">
        <f aca="false">Sens!H305/Sens!G305-1</f>
        <v>0.162746655214911</v>
      </c>
      <c r="I306" s="7" t="n">
        <f aca="false">Sens!I305/Sens!H305-1</f>
        <v>0.107309200783765</v>
      </c>
      <c r="J306" s="7" t="n">
        <f aca="false">Sens!J305/Sens!I305-1</f>
        <v>0.0833363640567701</v>
      </c>
      <c r="K306" s="7" t="n">
        <f aca="false">Sens!K305/Sens!J305-1</f>
        <v>0.0689086458258044</v>
      </c>
    </row>
    <row r="307" customFormat="false" ht="17.15" hidden="false" customHeight="false" outlineLevel="0" collapsed="false">
      <c r="A307" s="0" t="s">
        <v>1007</v>
      </c>
      <c r="B307" s="0" t="s">
        <v>98</v>
      </c>
      <c r="E307" s="6" t="n">
        <f aca="false">Sens!E248</f>
        <v>5.25</v>
      </c>
      <c r="F307" s="6" t="n">
        <f aca="false">Sens!F248</f>
        <v>13.5</v>
      </c>
      <c r="G307" s="6" t="n">
        <f aca="false">Sens!G248</f>
        <v>22.5</v>
      </c>
      <c r="H307" s="6" t="n">
        <f aca="false">Sens!H248</f>
        <v>31.5</v>
      </c>
      <c r="I307" s="6" t="n">
        <f aca="false">Sens!I248</f>
        <v>38.25</v>
      </c>
      <c r="J307" s="6" t="n">
        <f aca="false">Sens!J248</f>
        <v>42.75</v>
      </c>
      <c r="K307" s="6" t="n">
        <f aca="false">Sens!K248</f>
        <v>47.25</v>
      </c>
    </row>
    <row r="308" customFormat="false" ht="17.15" hidden="false" customHeight="false" outlineLevel="0" collapsed="false">
      <c r="A308" s="1" t="s">
        <v>1008</v>
      </c>
      <c r="B308" s="0" t="s">
        <v>98</v>
      </c>
      <c r="F308" s="6" t="n">
        <f aca="false">MAX(0,((Sens!E208+Sens!F208)/2-(shadow_base*(Sens!$D$208+Sens!$E$208)/2+(1-shadow_base)*Sens!$E$208))*Sens!F217/1000-(Sens!F307-Sens!$E$307)*Sens!F287)</f>
        <v>8.88340674531245</v>
      </c>
      <c r="G308" s="6" t="n">
        <f aca="false">MAX(0,((Sens!F208+Sens!G208)/2-(shadow_base*(Sens!$D$208+Sens!$E$208)/2+(1-shadow_base)*Sens!$E$208))*Sens!G217/1000-(Sens!G307-Sens!$E$307)*Sens!G287)</f>
        <v>22.7060305170273</v>
      </c>
      <c r="H308" s="6" t="n">
        <f aca="false">MAX(0,((Sens!G208+Sens!H208)/2-(shadow_base*(Sens!$D$208+Sens!$E$208)/2+(1-shadow_base)*Sens!$E$208))*Sens!H217/1000-(Sens!H307-Sens!$E$307)*Sens!H287)</f>
        <v>38.0018452382075</v>
      </c>
      <c r="I308" s="6" t="n">
        <f aca="false">MAX(0,((Sens!H208+Sens!I208)/2-(shadow_base*(Sens!$D$208+Sens!$E$208)/2+(1-shadow_base)*Sens!$E$208))*Sens!I217/1000-(Sens!I307-Sens!$E$307)*Sens!I287)</f>
        <v>52.1381094705177</v>
      </c>
      <c r="J308" s="6" t="n">
        <f aca="false">MAX(0,((Sens!I208+Sens!J208)/2-(shadow_base*(Sens!$D$208+Sens!$E$208)/2+(1-shadow_base)*Sens!$E$208))*Sens!J217/1000-(Sens!J307-Sens!$E$307)*Sens!J287)</f>
        <v>62.0595818934393</v>
      </c>
      <c r="K308" s="6" t="n">
        <f aca="false">MAX(0,((Sens!J208+Sens!K208)/2-(shadow_base*(Sens!$D$208+Sens!$E$208)/2+(1-shadow_base)*Sens!$E$208))*Sens!K217/1000-(Sens!K307-Sens!$E$307)*Sens!K287)</f>
        <v>67.0801312706266</v>
      </c>
      <c r="L308" s="1" t="s">
        <v>1009</v>
      </c>
    </row>
    <row r="309" customFormat="false" ht="17.15" hidden="false" customHeight="false" outlineLevel="0" collapsed="false">
      <c r="A309" s="1" t="s">
        <v>1010</v>
      </c>
      <c r="B309" s="0" t="s">
        <v>98</v>
      </c>
      <c r="F309" s="6" t="n">
        <f aca="false">IF(1=2,1,0)*Sens!F308</f>
        <v>0</v>
      </c>
      <c r="G309" s="6" t="n">
        <f aca="false">IF(1=2,1,0)*Sens!G308</f>
        <v>0</v>
      </c>
      <c r="H309" s="6" t="n">
        <f aca="false">IF(1=2,1,0)*Sens!H308</f>
        <v>0</v>
      </c>
      <c r="I309" s="6" t="n">
        <f aca="false">IF(1=2,1,0)*Sens!I308</f>
        <v>0</v>
      </c>
      <c r="J309" s="6" t="n">
        <f aca="false">IF(1=2,1,0)*Sens!J308</f>
        <v>0</v>
      </c>
      <c r="K309" s="6" t="n">
        <f aca="false">IF(1=2,1,0)*Sens!K308</f>
        <v>0</v>
      </c>
    </row>
    <row r="310" customFormat="false" ht="17.15" hidden="false" customHeight="false" outlineLevel="0" collapsed="false">
      <c r="A310" s="0" t="s">
        <v>1011</v>
      </c>
      <c r="B310" s="0" t="s">
        <v>98</v>
      </c>
      <c r="F310" s="6" t="n">
        <f aca="false">Sens!F227+Sens!F307*Sens!F287+Sens!F309-Sens!F228-Sens!F239</f>
        <v>9.62346106996924</v>
      </c>
      <c r="G310" s="6" t="n">
        <f aca="false">Sens!G227+Sens!G307*Sens!G287+Sens!G309-Sens!G228-Sens!G239</f>
        <v>20.4923559812519</v>
      </c>
      <c r="H310" s="6" t="n">
        <f aca="false">Sens!H227+Sens!H307*Sens!H287+Sens!H309-Sens!H228-Sens!H239</f>
        <v>35.5007531178665</v>
      </c>
      <c r="I310" s="6" t="n">
        <f aca="false">Sens!I227+Sens!I307*Sens!I287+Sens!I309-Sens!I228-Sens!I239</f>
        <v>42.6073040673327</v>
      </c>
      <c r="J310" s="6" t="n">
        <f aca="false">Sens!J227+Sens!J307*Sens!J287+Sens!J309-Sens!J228-Sens!J239</f>
        <v>47.3400262329185</v>
      </c>
      <c r="K310" s="6" t="n">
        <f aca="false">Sens!K227+Sens!K307*Sens!K287+Sens!K309-Sens!K228-Sens!K239</f>
        <v>51.818571911316</v>
      </c>
    </row>
    <row r="311" customFormat="false" ht="17.15" hidden="false" customHeight="false" outlineLevel="0" collapsed="false">
      <c r="A311" s="0" t="s">
        <v>1012</v>
      </c>
      <c r="B311" s="0" t="s">
        <v>98</v>
      </c>
      <c r="E311" s="6" t="n">
        <f aca="false">Sens!E207*(cxit_open+self_build*tk_cxfac)/1000*ai_net_open</f>
        <v>126.6980382</v>
      </c>
      <c r="F311" s="6" t="n">
        <f aca="false">Sens!E311+Sens!F236-Sens!F239</f>
        <v>260.572627763768</v>
      </c>
      <c r="G311" s="6" t="n">
        <f aca="false">Sens!F311+Sens!G236-Sens!G239</f>
        <v>391.782612760517</v>
      </c>
      <c r="H311" s="6" t="n">
        <f aca="false">Sens!G311+Sens!H236-Sens!H239</f>
        <v>499.488526163584</v>
      </c>
      <c r="I311" s="6" t="n">
        <f aca="false">Sens!H311+Sens!I236-Sens!I239</f>
        <v>553.872350090646</v>
      </c>
      <c r="J311" s="6" t="n">
        <f aca="false">Sens!I311+Sens!J236-Sens!J239</f>
        <v>550.78660823699</v>
      </c>
      <c r="K311" s="6" t="n">
        <f aca="false">Sens!J311+Sens!K236-Sens!K239</f>
        <v>526.736791750789</v>
      </c>
      <c r="L311" s="1" t="s">
        <v>1013</v>
      </c>
    </row>
    <row r="312" customFormat="false" ht="17.15" hidden="false" customHeight="false" outlineLevel="0" collapsed="false">
      <c r="A312" s="0" t="s">
        <v>1014</v>
      </c>
      <c r="B312" s="0" t="s">
        <v>168</v>
      </c>
      <c r="F312" s="7" t="n">
        <f aca="false">Sens!F310*(1-tax_f)/((Sens!E311+Sens!F311)/2)</f>
        <v>0.0397591118181704</v>
      </c>
      <c r="G312" s="7" t="n">
        <f aca="false">Sens!G310*(1-tax_f)/((Sens!F311+Sens!G311)/2)</f>
        <v>0.0502606057761598</v>
      </c>
      <c r="H312" s="7" t="n">
        <f aca="false">Sens!H310*(1-tax_f)/((Sens!G311+Sens!H311)/2)</f>
        <v>0.0637305557287023</v>
      </c>
      <c r="I312" s="7" t="n">
        <f aca="false">Sens!I310*(1-tax_f)/((Sens!H311+Sens!I311)/2)</f>
        <v>0.0647182632699936</v>
      </c>
      <c r="J312" s="7" t="n">
        <f aca="false">Sens!J310*(1-tax_f)/((Sens!I311+Sens!J311)/2)</f>
        <v>0.0685678067440289</v>
      </c>
      <c r="K312" s="7" t="n">
        <f aca="false">Sens!K310*(1-tax_f)/((Sens!J311+Sens!K311)/2)</f>
        <v>0.0769447002812616</v>
      </c>
    </row>
    <row r="313" customFormat="false" ht="17.15" hidden="false" customHeight="false" outlineLevel="0" collapsed="false">
      <c r="A313" s="1" t="s">
        <v>1015</v>
      </c>
      <c r="B313" s="0" t="s">
        <v>168</v>
      </c>
      <c r="F313" s="7" t="n">
        <f aca="false">(Sens!F310-Sens!F309)*(1-tax_f)/((Sens!E311+Sens!F311)/2)</f>
        <v>0.0397591118181704</v>
      </c>
      <c r="G313" s="7" t="n">
        <f aca="false">(Sens!G310-Sens!G309)*(1-tax_f)/((Sens!F311+Sens!G311)/2)</f>
        <v>0.0502606057761598</v>
      </c>
      <c r="H313" s="7" t="n">
        <f aca="false">(Sens!H310-Sens!H309)*(1-tax_f)/((Sens!G311+Sens!H311)/2)</f>
        <v>0.0637305557287023</v>
      </c>
      <c r="I313" s="7" t="n">
        <f aca="false">(Sens!I310-Sens!I309)*(1-tax_f)/((Sens!H311+Sens!I311)/2)</f>
        <v>0.0647182632699936</v>
      </c>
      <c r="J313" s="7" t="n">
        <f aca="false">(Sens!J310-Sens!J309)*(1-tax_f)/((Sens!I311+Sens!J311)/2)</f>
        <v>0.0685678067440289</v>
      </c>
      <c r="K313" s="7" t="n">
        <f aca="false">(Sens!K310-Sens!K309)*(1-tax_f)/((Sens!J311+Sens!K311)/2)</f>
        <v>0.0769447002812616</v>
      </c>
    </row>
    <row r="314" customFormat="false" ht="17.15" hidden="false" customHeight="false" outlineLevel="0" collapsed="false">
      <c r="A314" s="1" t="s">
        <v>1016</v>
      </c>
      <c r="B314" s="0" t="s">
        <v>168</v>
      </c>
      <c r="F314" s="7" t="n">
        <f aca="false">(Sens!F310-Sens!F309+Sens!F308)*(1-tax_f)/((Sens!E311+Sens!F311)/2)</f>
        <v>0.0764607059271074</v>
      </c>
      <c r="G314" s="7" t="n">
        <f aca="false">(Sens!G310-Sens!G309+Sens!G308)*(1-tax_f)/((Sens!F311+Sens!G311)/2)</f>
        <v>0.105950583522098</v>
      </c>
      <c r="H314" s="7" t="n">
        <f aca="false">(Sens!H310-Sens!H309+Sens!H308)*(1-tax_f)/((Sens!G311+Sens!H311)/2)</f>
        <v>0.131951044114011</v>
      </c>
      <c r="I314" s="7" t="n">
        <f aca="false">(Sens!I310-Sens!I309+Sens!I308)*(1-tax_f)/((Sens!H311+Sens!I311)/2)</f>
        <v>0.143913320760143</v>
      </c>
      <c r="J314" s="7" t="n">
        <f aca="false">(Sens!J310-Sens!J309+Sens!J308)*(1-tax_f)/((Sens!I311+Sens!J311)/2)</f>
        <v>0.15845557733689</v>
      </c>
      <c r="K314" s="7" t="n">
        <f aca="false">(Sens!K310-Sens!K309+Sens!K308)*(1-tax_f)/((Sens!J311+Sens!K311)/2)</f>
        <v>0.176551084731214</v>
      </c>
    </row>
    <row r="315" customFormat="false" ht="17.15" hidden="false" customHeight="false" outlineLevel="0" collapsed="false">
      <c r="A315" s="1" t="s">
        <v>1017</v>
      </c>
      <c r="B315" s="0" t="s">
        <v>168</v>
      </c>
      <c r="F315" s="7" t="n">
        <f aca="false">Sens!F240*(1-tax_f)/(Sens!F226*(Sens!E311+Sens!F311)/2)</f>
        <v>0.15471433083293</v>
      </c>
      <c r="G315" s="7" t="n">
        <f aca="false">Sens!G240*(1-tax_f)/(Sens!G226*(Sens!F311+Sens!G311)/2)</f>
        <v>0.176916911437355</v>
      </c>
      <c r="H315" s="7" t="n">
        <f aca="false">Sens!H240*(1-tax_f)/(Sens!H226*(Sens!G311+Sens!H311)/2)</f>
        <v>0.207487057996582</v>
      </c>
      <c r="I315" s="7" t="n">
        <f aca="false">Sens!I240*(1-tax_f)/(Sens!I226*(Sens!H311+Sens!I311)/2)</f>
        <v>0.219873660070946</v>
      </c>
      <c r="J315" s="7" t="n">
        <f aca="false">Sens!J240*(1-tax_f)/(Sens!J226*(Sens!I311+Sens!J311)/2)</f>
        <v>0.238959457974928</v>
      </c>
      <c r="K315" s="7" t="n">
        <f aca="false">Sens!K240*(1-tax_f)/(Sens!K226*(Sens!J311+Sens!K311)/2)</f>
        <v>0.264604270651536</v>
      </c>
    </row>
    <row r="316" customFormat="false" ht="17.15" hidden="false" customHeight="false" outlineLevel="0" collapsed="false">
      <c r="A316" s="0" t="s">
        <v>1018</v>
      </c>
      <c r="B316" s="0" t="s">
        <v>253</v>
      </c>
      <c r="F316" s="7" t="n">
        <f aca="false">Sens!F312-wacc</f>
        <v>-0.0631774791274269</v>
      </c>
      <c r="G316" s="7" t="n">
        <f aca="false">Sens!G312-wacc</f>
        <v>-0.0526759851694375</v>
      </c>
      <c r="H316" s="7" t="n">
        <f aca="false">Sens!H312-wacc</f>
        <v>-0.039206035216895</v>
      </c>
      <c r="I316" s="7" t="n">
        <f aca="false">Sens!I312-wacc</f>
        <v>-0.0382183276756037</v>
      </c>
      <c r="J316" s="7" t="n">
        <f aca="false">Sens!J312-wacc</f>
        <v>-0.0343687842015684</v>
      </c>
      <c r="K316" s="7" t="n">
        <f aca="false">Sens!K312-wacc</f>
        <v>-0.0259918906643357</v>
      </c>
    </row>
    <row r="317" customFormat="false" ht="17.15" hidden="false" customHeight="false" outlineLevel="0" collapsed="false">
      <c r="A317" s="0" t="s">
        <v>1019</v>
      </c>
      <c r="B317" s="0" t="s">
        <v>98</v>
      </c>
      <c r="F317" s="6" t="n">
        <f aca="false">Sens!F310*(1-tax_f)-wacc*(Sens!E311+Sens!F311)/2</f>
        <v>-12.2333922077953</v>
      </c>
      <c r="G317" s="6" t="n">
        <f aca="false">Sens!G310*(1-tax_f)-wacc*(Sens!F311+Sens!G311)/2</f>
        <v>-17.181727487531</v>
      </c>
      <c r="H317" s="6" t="n">
        <f aca="false">Sens!H310*(1-tax_f)-wacc*(Sens!G311+Sens!H311)/2</f>
        <v>-17.4716038302302</v>
      </c>
      <c r="I317" s="6" t="n">
        <f aca="false">Sens!I310*(1-tax_f)-wacc*(Sens!H311+Sens!I311)/2</f>
        <v>-20.1288455646726</v>
      </c>
      <c r="J317" s="6" t="n">
        <f aca="false">Sens!J310*(1-tax_f)-wacc*(Sens!I311+Sens!J311)/2</f>
        <v>-18.9828926775459</v>
      </c>
      <c r="K317" s="6" t="n">
        <f aca="false">Sens!K310*(1-tax_f)-wacc*(Sens!J311+Sens!K311)/2</f>
        <v>-14.0034352003728</v>
      </c>
    </row>
    <row r="318" customFormat="false" ht="17.15" hidden="false" customHeight="false" outlineLevel="0" collapsed="false">
      <c r="A318" s="3" t="s">
        <v>1618</v>
      </c>
    </row>
    <row r="319" customFormat="false" ht="15" hidden="false" customHeight="false" outlineLevel="0" collapsed="false">
      <c r="A319" s="4" t="s">
        <v>43</v>
      </c>
      <c r="B319" s="4" t="s">
        <v>65</v>
      </c>
      <c r="C319" s="23" t="s">
        <v>942</v>
      </c>
      <c r="D319" s="23" t="s">
        <v>943</v>
      </c>
      <c r="E319" s="23" t="s">
        <v>944</v>
      </c>
      <c r="F319" s="23" t="s">
        <v>945</v>
      </c>
      <c r="G319" s="23" t="s">
        <v>946</v>
      </c>
      <c r="H319" s="23" t="s">
        <v>947</v>
      </c>
      <c r="I319" s="23" t="s">
        <v>948</v>
      </c>
      <c r="J319" s="23" t="s">
        <v>949</v>
      </c>
      <c r="K319" s="23" t="s">
        <v>950</v>
      </c>
      <c r="L319" s="4" t="s">
        <v>47</v>
      </c>
    </row>
    <row r="320" customFormat="false" ht="15" hidden="false" customHeight="false" outlineLevel="0" collapsed="false">
      <c r="A320" s="1" t="s">
        <v>1080</v>
      </c>
      <c r="B320" s="0" t="s">
        <v>98</v>
      </c>
      <c r="F320" s="6" t="n">
        <f aca="false">Sens!F301</f>
        <v>147.446097472856</v>
      </c>
      <c r="G320" s="6" t="n">
        <f aca="false">Sens!G301</f>
        <v>167.962779018493</v>
      </c>
      <c r="H320" s="6" t="n">
        <f aca="false">Sens!H301</f>
        <v>195.94408630342</v>
      </c>
      <c r="I320" s="6" t="n">
        <f aca="false">Sens!I301</f>
        <v>217.307066574171</v>
      </c>
      <c r="J320" s="6" t="n">
        <f aca="false">Sens!J301</f>
        <v>235.858049475802</v>
      </c>
      <c r="K320" s="6" t="n">
        <f aca="false">Sens!K301</f>
        <v>252.658728769235</v>
      </c>
    </row>
    <row r="321" customFormat="false" ht="17.15" hidden="false" customHeight="false" outlineLevel="0" collapsed="false">
      <c r="A321" s="1" t="s">
        <v>1102</v>
      </c>
      <c r="B321" s="0" t="s">
        <v>98</v>
      </c>
      <c r="E321" s="6" t="n">
        <f aca="false">Q!M38-Sens!E239</f>
        <v>22.2285940229167</v>
      </c>
      <c r="F321" s="6" t="n">
        <f aca="false">Sens!E321*(1-1/life_nonai)+(Sens!F329+Sens!F330)/life_nonai</f>
        <v>23.580344216413</v>
      </c>
      <c r="G321" s="6" t="n">
        <f aca="false">Sens!F321*(1-1/life_nonai)+(Sens!G329)/life_nonai</f>
        <v>25.3801415764809</v>
      </c>
      <c r="H321" s="6" t="n">
        <f aca="false">Sens!G321*(1-1/life_nonai)+(Sens!H329)/life_nonai</f>
        <v>27.5964639802758</v>
      </c>
      <c r="I321" s="6" t="n">
        <f aca="false">Sens!H321*(1-1/life_nonai)+(Sens!I329)/life_nonai</f>
        <v>30.152940612192</v>
      </c>
      <c r="J321" s="6" t="n">
        <f aca="false">Sens!I321*(1-1/life_nonai)+(Sens!J329)/life_nonai</f>
        <v>32.9575022150393</v>
      </c>
      <c r="K321" s="6" t="n">
        <f aca="false">Sens!J321*(1-1/life_nonai)+(Sens!K329)/life_nonai</f>
        <v>35.9256779798081</v>
      </c>
      <c r="L321" s="12" t="s">
        <v>1103</v>
      </c>
    </row>
    <row r="322" customFormat="false" ht="17.15" hidden="false" customHeight="false" outlineLevel="0" collapsed="false">
      <c r="A322" s="1" t="s">
        <v>1104</v>
      </c>
      <c r="B322" s="0" t="s">
        <v>98</v>
      </c>
      <c r="F322" s="6" t="n">
        <f aca="false">Sens!$F$330/life_nonai*(1-1/life_nonai)^(Sens!F202-2027)</f>
        <v>0.00475774452575592</v>
      </c>
      <c r="G322" s="6" t="n">
        <f aca="false">Sens!$F$330/life_nonai*(1-1/life_nonai)^(Sens!G202-2027)</f>
        <v>0.00428197007318033</v>
      </c>
      <c r="H322" s="6" t="n">
        <f aca="false">Sens!$F$330/life_nonai*(1-1/life_nonai)^(Sens!H202-2027)</f>
        <v>0.0038537730658623</v>
      </c>
      <c r="I322" s="6" t="n">
        <f aca="false">Sens!$F$330/life_nonai*(1-1/life_nonai)^(Sens!I202-2027)</f>
        <v>0.00346839575927607</v>
      </c>
      <c r="J322" s="6" t="n">
        <f aca="false">Sens!$F$330/life_nonai*(1-1/life_nonai)^(Sens!J202-2027)</f>
        <v>0.00312155618334846</v>
      </c>
      <c r="K322" s="6" t="n">
        <f aca="false">Sens!$F$330/life_nonai*(1-1/life_nonai)^(Sens!K202-2027)</f>
        <v>0.00280940056501362</v>
      </c>
      <c r="L322" s="1" t="s">
        <v>1105</v>
      </c>
    </row>
    <row r="323" customFormat="false" ht="17.15" hidden="false" customHeight="false" outlineLevel="0" collapsed="false">
      <c r="A323" s="1" t="s">
        <v>1106</v>
      </c>
      <c r="B323" s="0" t="s">
        <v>98</v>
      </c>
      <c r="E323" s="6" t="n">
        <f aca="false">Sens!E239+Sens!E321</f>
        <v>38.534</v>
      </c>
      <c r="F323" s="6" t="n">
        <f aca="false">Sens!F239+Sens!F321</f>
        <v>58.1596586947647</v>
      </c>
      <c r="G323" s="6" t="n">
        <f aca="false">Sens!G239+Sens!G321</f>
        <v>86.1146322287799</v>
      </c>
      <c r="H323" s="6" t="n">
        <f aca="false">Sens!H239+Sens!H321</f>
        <v>116.696554641721</v>
      </c>
      <c r="I323" s="6" t="n">
        <f aca="false">Sens!I239+Sens!I321</f>
        <v>144.38395030674</v>
      </c>
      <c r="J323" s="6" t="n">
        <f aca="false">Sens!J239+Sens!J321</f>
        <v>164.973175264635</v>
      </c>
      <c r="K323" s="6" t="n">
        <f aca="false">Sens!K239+Sens!K321</f>
        <v>178.938347530742</v>
      </c>
    </row>
    <row r="324" customFormat="false" ht="17.15" hidden="false" customHeight="false" outlineLevel="0" collapsed="false">
      <c r="A324" s="1" t="s">
        <v>1107</v>
      </c>
      <c r="B324" s="0" t="s">
        <v>98</v>
      </c>
      <c r="F324" s="6" t="n">
        <f aca="false">Sens!F266*sbc_r</f>
        <v>15.0680693022395</v>
      </c>
      <c r="G324" s="6" t="n">
        <f aca="false">Sens!G266*sbc_r</f>
        <v>18.3841476633065</v>
      </c>
      <c r="H324" s="6" t="n">
        <f aca="false">Sens!H266*sbc_r</f>
        <v>21.9545979838202</v>
      </c>
      <c r="I324" s="6" t="n">
        <f aca="false">Sens!I266*sbc_r</f>
        <v>24.9944595349748</v>
      </c>
      <c r="J324" s="6" t="n">
        <f aca="false">Sens!J266*sbc_r</f>
        <v>27.4407929753337</v>
      </c>
      <c r="K324" s="6" t="n">
        <f aca="false">Sens!K266*sbc_r</f>
        <v>29.3868645070206</v>
      </c>
    </row>
    <row r="325" customFormat="false" ht="17.15" hidden="false" customHeight="false" outlineLevel="0" collapsed="false">
      <c r="A325" s="1" t="s">
        <v>1108</v>
      </c>
      <c r="B325" s="0" t="s">
        <v>98</v>
      </c>
      <c r="F325" s="6" t="n">
        <f aca="false">wc27-wc26q1</f>
        <v>-4.677</v>
      </c>
      <c r="G325" s="6" t="n">
        <f aca="false">wc_f</f>
        <v>0</v>
      </c>
      <c r="H325" s="6" t="n">
        <f aca="false">wc_f</f>
        <v>0</v>
      </c>
      <c r="I325" s="6" t="n">
        <f aca="false">wc_f</f>
        <v>0</v>
      </c>
      <c r="J325" s="6" t="n">
        <f aca="false">wc_f</f>
        <v>0</v>
      </c>
      <c r="K325" s="6" t="n">
        <f aca="false">wc_f</f>
        <v>0</v>
      </c>
      <c r="L325" s="12" t="s">
        <v>1109</v>
      </c>
    </row>
    <row r="326" customFormat="false" ht="17.15" hidden="false" customHeight="false" outlineLevel="0" collapsed="false">
      <c r="A326" s="0" t="s">
        <v>1110</v>
      </c>
      <c r="B326" s="0" t="s">
        <v>98</v>
      </c>
      <c r="F326" s="6" t="n">
        <f aca="false">Q!$I$35-Q!$I$26-Q!$I$38-Q!$I$39</f>
        <v>6.493</v>
      </c>
      <c r="L326" s="1" t="s">
        <v>1111</v>
      </c>
    </row>
    <row r="327" customFormat="false" ht="15" hidden="false" customHeight="false" outlineLevel="0" collapsed="false">
      <c r="A327" s="1" t="s">
        <v>908</v>
      </c>
      <c r="B327" s="0" t="s">
        <v>98</v>
      </c>
      <c r="E327" s="6" t="n">
        <f aca="false">Q!M35</f>
        <v>182.935</v>
      </c>
      <c r="F327" s="6" t="n">
        <f aca="false">Sens!F320+Sens!F323+Sens!F324+Sens!F325+Sens!F326</f>
        <v>222.48982546986</v>
      </c>
      <c r="G327" s="6" t="n">
        <f aca="false">Sens!G320+Sens!G323+Sens!G324+Sens!G325</f>
        <v>272.46155891058</v>
      </c>
      <c r="H327" s="6" t="n">
        <f aca="false">Sens!H320+Sens!H323+Sens!H324+Sens!H325</f>
        <v>334.595238928962</v>
      </c>
      <c r="I327" s="6" t="n">
        <f aca="false">Sens!I320+Sens!I323+Sens!I324+Sens!I325</f>
        <v>386.685476415886</v>
      </c>
      <c r="J327" s="6" t="n">
        <f aca="false">Sens!J320+Sens!J323+Sens!J324+Sens!J325</f>
        <v>428.272017715771</v>
      </c>
      <c r="K327" s="6" t="n">
        <f aca="false">Sens!K320+Sens!K323+Sens!K324+Sens!K325</f>
        <v>460.983940806997</v>
      </c>
    </row>
    <row r="328" customFormat="false" ht="17.15" hidden="false" customHeight="false" outlineLevel="0" collapsed="false">
      <c r="A328" s="0" t="s">
        <v>1112</v>
      </c>
      <c r="B328" s="0" t="s">
        <v>98</v>
      </c>
      <c r="F328" s="6" t="n">
        <f aca="false">Sens!F236</f>
        <v>168.45390404212</v>
      </c>
      <c r="G328" s="6" t="n">
        <f aca="false">Sens!G236</f>
        <v>191.944475649048</v>
      </c>
      <c r="H328" s="6" t="n">
        <f aca="false">Sens!H236</f>
        <v>196.806004064512</v>
      </c>
      <c r="I328" s="6" t="n">
        <f aca="false">Sens!I236</f>
        <v>168.61483362161</v>
      </c>
      <c r="J328" s="6" t="n">
        <f aca="false">Sens!J236</f>
        <v>128.92993119594</v>
      </c>
      <c r="K328" s="6" t="n">
        <f aca="false">Sens!K236</f>
        <v>118.962853064733</v>
      </c>
    </row>
    <row r="329" customFormat="false" ht="17.15" hidden="false" customHeight="false" outlineLevel="0" collapsed="false">
      <c r="A329" s="1" t="s">
        <v>1113</v>
      </c>
      <c r="B329" s="0" t="s">
        <v>98</v>
      </c>
      <c r="E329" s="6" t="n">
        <f aca="false">Sens!E244*cx_azo+Sens!E251*cx_m365+Sens!E252*cx_lic+(Sens!E254+Sens!E256)*cx_ind+Sens!E259*cx_srch+(Sens!E261+Sens!E263)*cx_dev</f>
        <v>30.1846587067718</v>
      </c>
      <c r="F329" s="6" t="n">
        <f aca="false">Sens!F244*cx_azo+Sens!F251*cx_m365+Sens!F252*cx_lic+(Sens!F254+Sens!F256)*cx_ind+Sens!F259*cx_srch+(Sens!F261+Sens!F263)*cx_dev</f>
        <v>35.6985185126228</v>
      </c>
      <c r="G329" s="6" t="n">
        <f aca="false">Sens!G244*cx_azo+Sens!G251*cx_m365+Sens!G252*cx_lic+(Sens!G254+Sens!G256)*cx_ind+Sens!G259*cx_srch+(Sens!G261+Sens!G263)*cx_dev</f>
        <v>41.5783178170917</v>
      </c>
      <c r="H329" s="6" t="n">
        <f aca="false">Sens!H244*cx_azo+Sens!H251*cx_m365+Sens!H252*cx_lic+(Sens!H254+Sens!H256)*cx_ind+Sens!H259*cx_srch+(Sens!H261+Sens!H263)*cx_dev</f>
        <v>47.5433656144293</v>
      </c>
      <c r="I329" s="6" t="n">
        <f aca="false">Sens!I244*cx_azo+Sens!I251*cx_m365+Sens!I252*cx_lic+(Sens!I254+Sens!I256)*cx_ind+Sens!I259*cx_srch+(Sens!I261+Sens!I263)*cx_dev</f>
        <v>53.1612302994382</v>
      </c>
      <c r="J329" s="6" t="n">
        <f aca="false">Sens!J244*cx_azo+Sens!J251*cx_m365+Sens!J252*cx_lic+(Sens!J254+Sens!J256)*cx_ind+Sens!J259*cx_srch+(Sens!J261+Sens!J263)*cx_dev</f>
        <v>58.1985566406647</v>
      </c>
      <c r="K329" s="6" t="n">
        <f aca="false">Sens!K244*cx_azo+Sens!K251*cx_m365+Sens!K252*cx_lic+(Sens!K254+Sens!K256)*cx_ind+Sens!K259*cx_srch+(Sens!K261+Sens!K263)*cx_dev</f>
        <v>62.6392598627275</v>
      </c>
    </row>
    <row r="330" customFormat="false" ht="17.15" hidden="false" customHeight="false" outlineLevel="0" collapsed="false">
      <c r="A330" s="0" t="s">
        <v>1114</v>
      </c>
      <c r="B330" s="0" t="s">
        <v>98</v>
      </c>
      <c r="F330" s="6" t="n">
        <f aca="false">Sens!F234</f>
        <v>0.0475774452575593</v>
      </c>
      <c r="L330" s="1" t="s">
        <v>1115</v>
      </c>
    </row>
    <row r="331" customFormat="false" ht="17.15" hidden="false" customHeight="false" outlineLevel="0" collapsed="false">
      <c r="A331" s="1" t="s">
        <v>1116</v>
      </c>
      <c r="B331" s="0" t="s">
        <v>98</v>
      </c>
      <c r="E331" s="6" t="n">
        <f aca="false">Q!M43</f>
        <v>145.3</v>
      </c>
      <c r="F331" s="6" t="n">
        <f aca="false">Sens!F328+Sens!F329+Sens!F330</f>
        <v>204.2</v>
      </c>
      <c r="G331" s="6" t="n">
        <f aca="false">Sens!G328+Sens!G329</f>
        <v>233.52279346614</v>
      </c>
      <c r="H331" s="6" t="n">
        <f aca="false">Sens!H328+Sens!H329</f>
        <v>244.349369678942</v>
      </c>
      <c r="I331" s="6" t="n">
        <f aca="false">Sens!I328+Sens!I329</f>
        <v>221.776063921049</v>
      </c>
      <c r="J331" s="6" t="n">
        <f aca="false">Sens!J328+Sens!J329</f>
        <v>187.128487836605</v>
      </c>
      <c r="K331" s="6" t="n">
        <f aca="false">Sens!K328+Sens!K329</f>
        <v>181.60211292746</v>
      </c>
      <c r="L331" s="1" t="s">
        <v>1117</v>
      </c>
    </row>
    <row r="332" customFormat="false" ht="15" hidden="false" customHeight="false" outlineLevel="0" collapsed="false">
      <c r="A332" s="1" t="s">
        <v>1118</v>
      </c>
      <c r="B332" s="0" t="s">
        <v>98</v>
      </c>
      <c r="E332" s="6" t="n">
        <f aca="false">fl_liab</f>
        <v>66.594</v>
      </c>
      <c r="F332" s="6" t="n">
        <f aca="false">Sens!E332-Sens!F333</f>
        <v>62.46973</v>
      </c>
      <c r="G332" s="6" t="n">
        <f aca="false">Sens!F332-Sens!G333</f>
        <v>57.98686785</v>
      </c>
      <c r="H332" s="6" t="n">
        <f aca="false">Sens!G332-Sens!H333</f>
        <v>53.92827690325</v>
      </c>
      <c r="I332" s="6" t="n">
        <f aca="false">Sens!H332-Sens!I333</f>
        <v>49.7850493638962</v>
      </c>
      <c r="J332" s="6" t="n">
        <f aca="false">Sens!I332-Sens!J333</f>
        <v>45.4823765852716</v>
      </c>
      <c r="K332" s="6" t="n">
        <f aca="false">Sens!J332-Sens!K333</f>
        <v>40.9860835316088</v>
      </c>
    </row>
    <row r="333" customFormat="false" ht="15" hidden="false" customHeight="false" outlineLevel="0" collapsed="false">
      <c r="A333" s="1" t="s">
        <v>1119</v>
      </c>
      <c r="B333" s="0" t="s">
        <v>98</v>
      </c>
      <c r="F333" s="6" t="n">
        <f aca="false">fl_pay_27-Sens!E332*fl_rate</f>
        <v>4.12427</v>
      </c>
      <c r="G333" s="6" t="n">
        <f aca="false">fl_pay_28-Sens!F332*fl_rate</f>
        <v>4.48286215</v>
      </c>
      <c r="H333" s="6" t="n">
        <f aca="false">fl_pay_29-Sens!G332*fl_rate</f>
        <v>4.05859094675</v>
      </c>
      <c r="I333" s="6" t="n">
        <f aca="false">fl_pay_30-Sens!H332*fl_rate</f>
        <v>4.14322753935375</v>
      </c>
      <c r="J333" s="6" t="n">
        <f aca="false">fl_pay_31-Sens!I332*fl_rate</f>
        <v>4.30267277862467</v>
      </c>
      <c r="K333" s="6" t="n">
        <f aca="false">fl_pay_32-Sens!J332*fl_rate</f>
        <v>4.49629305366278</v>
      </c>
    </row>
    <row r="334" customFormat="false" ht="17.15" hidden="false" customHeight="false" outlineLevel="0" collapsed="false">
      <c r="A334" s="1" t="s">
        <v>1120</v>
      </c>
      <c r="B334" s="0" t="s">
        <v>98</v>
      </c>
      <c r="E334" s="6" t="n">
        <f aca="false">Q!M35-Q!M36-Q!M44</f>
        <v>63.886</v>
      </c>
      <c r="F334" s="6" t="n">
        <f aca="false">Sens!F327-Sens!F331-Sens!F333</f>
        <v>14.1655554698598</v>
      </c>
      <c r="G334" s="6" t="n">
        <f aca="false">Sens!G327-Sens!G331-Sens!G333</f>
        <v>34.4559032944397</v>
      </c>
      <c r="H334" s="6" t="n">
        <f aca="false">Sens!H327-Sens!H331-Sens!H333</f>
        <v>86.1872783032704</v>
      </c>
      <c r="I334" s="6" t="n">
        <f aca="false">Sens!I327-Sens!I331-Sens!I333</f>
        <v>160.766184955484</v>
      </c>
      <c r="J334" s="6" t="n">
        <f aca="false">Sens!J327-Sens!J331-Sens!J333</f>
        <v>236.840857100541</v>
      </c>
      <c r="K334" s="6" t="n">
        <f aca="false">Sens!K327-Sens!K331-Sens!K333</f>
        <v>274.885534825874</v>
      </c>
      <c r="L334" s="12" t="s">
        <v>1121</v>
      </c>
    </row>
    <row r="335" customFormat="false" ht="15" hidden="false" customHeight="false" outlineLevel="0" collapsed="false">
      <c r="A335" s="1" t="s">
        <v>1122</v>
      </c>
      <c r="B335" s="0" t="s">
        <v>75</v>
      </c>
      <c r="F335" s="8" t="n">
        <f aca="false">dps_27</f>
        <v>3.85</v>
      </c>
      <c r="G335" s="8" t="n">
        <f aca="false">Sens!F335*(1+dps_g)</f>
        <v>4.158</v>
      </c>
      <c r="H335" s="8" t="n">
        <f aca="false">Sens!G335*(1+dps_g)</f>
        <v>4.49064</v>
      </c>
      <c r="I335" s="8" t="n">
        <f aca="false">Sens!H335*(1+dps_g)</f>
        <v>4.8498912</v>
      </c>
      <c r="J335" s="8" t="n">
        <f aca="false">Sens!I335*(1+dps_g)</f>
        <v>5.237882496</v>
      </c>
      <c r="K335" s="8" t="n">
        <f aca="false">Sens!J335*(1+dps_g)</f>
        <v>5.65691309568</v>
      </c>
    </row>
    <row r="336" customFormat="false" ht="17.15" hidden="false" customHeight="false" outlineLevel="0" collapsed="false">
      <c r="A336" s="1" t="s">
        <v>1123</v>
      </c>
      <c r="B336" s="0" t="s">
        <v>98</v>
      </c>
      <c r="E336" s="6" t="n">
        <f aca="false">Q!M41</f>
        <v>26.445</v>
      </c>
      <c r="F336" s="6" t="n">
        <f aca="false">Sens!F335*Sens!E345</f>
        <v>28.59395</v>
      </c>
      <c r="G336" s="6" t="n">
        <f aca="false">Sens!G335*Sens!F345</f>
        <v>31.0447314307227</v>
      </c>
      <c r="H336" s="6" t="n">
        <f aca="false">Sens!H335*Sens!G345</f>
        <v>33.7046863552316</v>
      </c>
      <c r="I336" s="6" t="n">
        <f aca="false">Sens!I335*Sens!H345</f>
        <v>36.4514995407227</v>
      </c>
      <c r="J336" s="6" t="n">
        <f aca="false">Sens!J335*Sens!I345</f>
        <v>39.4355173893732</v>
      </c>
      <c r="K336" s="6" t="n">
        <f aca="false">Sens!K335*Sens!J345</f>
        <v>42.6771130429013</v>
      </c>
      <c r="L336" s="1" t="s">
        <v>1124</v>
      </c>
    </row>
    <row r="337" customFormat="false" ht="15" hidden="false" customHeight="false" outlineLevel="0" collapsed="false">
      <c r="A337" s="1" t="s">
        <v>1125</v>
      </c>
      <c r="B337" s="0" t="s">
        <v>98</v>
      </c>
      <c r="E337" s="6" t="n">
        <f aca="false">Sens!E334-Sens!E336</f>
        <v>37.441</v>
      </c>
      <c r="F337" s="6" t="n">
        <f aca="false">Sens!F334-Sens!F336</f>
        <v>-14.4283945301402</v>
      </c>
      <c r="G337" s="6" t="n">
        <f aca="false">Sens!G334-Sens!G336</f>
        <v>3.41117186371696</v>
      </c>
      <c r="H337" s="6" t="n">
        <f aca="false">Sens!H334-Sens!H336</f>
        <v>52.4825919480388</v>
      </c>
      <c r="I337" s="6" t="n">
        <f aca="false">Sens!I334-Sens!I336</f>
        <v>124.314685414761</v>
      </c>
      <c r="J337" s="6" t="n">
        <f aca="false">Sens!J334-Sens!J336</f>
        <v>197.405339711168</v>
      </c>
      <c r="K337" s="6" t="n">
        <f aca="false">Sens!K334-Sens!K336</f>
        <v>232.208421782973</v>
      </c>
    </row>
    <row r="338" customFormat="false" ht="15" hidden="false" customHeight="false" outlineLevel="0" collapsed="false">
      <c r="A338" s="1" t="s">
        <v>1126</v>
      </c>
      <c r="B338" s="0" t="s">
        <v>98</v>
      </c>
      <c r="F338" s="6" t="n">
        <f aca="false">debt_mat_27</f>
        <v>9.25</v>
      </c>
      <c r="G338" s="6" t="n">
        <f aca="false">debt_mat_28</f>
        <v>0</v>
      </c>
      <c r="H338" s="6" t="n">
        <f aca="false">debt_mat_29</f>
        <v>2.001</v>
      </c>
      <c r="I338" s="6" t="n">
        <f aca="false">debt_mat_30</f>
        <v>0</v>
      </c>
      <c r="J338" s="6" t="n">
        <f aca="false">debt_mat_31</f>
        <v>0.5</v>
      </c>
      <c r="K338" s="6" t="n">
        <f aca="false">debt_mat_32</f>
        <v>0</v>
      </c>
    </row>
    <row r="339" customFormat="false" ht="15" hidden="false" customHeight="false" outlineLevel="0" collapsed="false">
      <c r="A339" s="1" t="s">
        <v>1127</v>
      </c>
      <c r="B339" s="0" t="s">
        <v>98</v>
      </c>
      <c r="E339" s="6" t="n">
        <f aca="false">Q!M40</f>
        <v>22.271</v>
      </c>
      <c r="F339" s="6" t="n">
        <f aca="false">MAX(0,MIN(bb_target,Sens!E341+Sens!F337-Sens!F338-min_cash))</f>
        <v>3.16460546985984</v>
      </c>
      <c r="G339" s="6" t="n">
        <f aca="false">MAX(0,MIN(bb_target,Sens!F341+Sens!G337-Sens!G338-min_cash))</f>
        <v>3.41117186371696</v>
      </c>
      <c r="H339" s="6" t="n">
        <f aca="false">MAX(0,MIN(bb_target,Sens!G341+Sens!H337-Sens!H338-min_cash))</f>
        <v>22.271</v>
      </c>
      <c r="I339" s="6" t="n">
        <f aca="false">MAX(0,MIN(bb_target,Sens!H341+Sens!I337-Sens!I338-min_cash))</f>
        <v>22.271</v>
      </c>
      <c r="J339" s="6" t="n">
        <f aca="false">MAX(0,MIN(bb_target,Sens!I341+Sens!J337-Sens!J338-min_cash))</f>
        <v>22.271</v>
      </c>
      <c r="K339" s="6" t="n">
        <f aca="false">MAX(0,MIN(bb_target,Sens!J341+Sens!K337-Sens!K338-min_cash))</f>
        <v>22.271</v>
      </c>
    </row>
    <row r="340" customFormat="false" ht="15" hidden="false" customHeight="false" outlineLevel="0" collapsed="false">
      <c r="A340" s="1" t="s">
        <v>1128</v>
      </c>
      <c r="B340" s="0" t="s">
        <v>98</v>
      </c>
      <c r="F340" s="6" t="n">
        <f aca="false">MAX(0,min_cash-(Sens!E341+Sens!F337-Sens!F338-Sens!F339))</f>
        <v>0</v>
      </c>
      <c r="G340" s="6" t="n">
        <f aca="false">MAX(0,min_cash-(Sens!F341+Sens!G337-Sens!G338-Sens!G339))</f>
        <v>0</v>
      </c>
      <c r="H340" s="6" t="n">
        <f aca="false">MAX(0,min_cash-(Sens!G341+Sens!H337-Sens!H338-Sens!H339))</f>
        <v>0</v>
      </c>
      <c r="I340" s="6" t="n">
        <f aca="false">MAX(0,min_cash-(Sens!H341+Sens!I337-Sens!I338-Sens!I339))</f>
        <v>0</v>
      </c>
      <c r="J340" s="6" t="n">
        <f aca="false">MAX(0,min_cash-(Sens!I341+Sens!J337-Sens!J338-Sens!J339))</f>
        <v>0</v>
      </c>
      <c r="K340" s="6" t="n">
        <f aca="false">MAX(0,min_cash-(Sens!J341+Sens!K337-Sens!K338-Sens!K339))</f>
        <v>0</v>
      </c>
    </row>
    <row r="341" customFormat="false" ht="15" hidden="false" customHeight="false" outlineLevel="0" collapsed="false">
      <c r="A341" s="1" t="s">
        <v>1129</v>
      </c>
      <c r="B341" s="0" t="s">
        <v>98</v>
      </c>
      <c r="E341" s="6" t="n">
        <f aca="false">cash_open</f>
        <v>76.843</v>
      </c>
      <c r="F341" s="6" t="n">
        <f aca="false">Sens!E341+Sens!F337-Sens!F338-Sens!F339+Sens!F340</f>
        <v>50</v>
      </c>
      <c r="G341" s="6" t="n">
        <f aca="false">Sens!F341+Sens!G337-Sens!G338-Sens!G339+Sens!G340</f>
        <v>50</v>
      </c>
      <c r="H341" s="6" t="n">
        <f aca="false">Sens!G341+Sens!H337-Sens!H338-Sens!H339+Sens!H340</f>
        <v>78.2105919480388</v>
      </c>
      <c r="I341" s="6" t="n">
        <f aca="false">Sens!H341+Sens!I337-Sens!I338-Sens!I339+Sens!I340</f>
        <v>180.2542773628</v>
      </c>
      <c r="J341" s="6" t="n">
        <f aca="false">Sens!I341+Sens!J337-Sens!J338-Sens!J339+Sens!J340</f>
        <v>354.888617073968</v>
      </c>
      <c r="K341" s="6" t="n">
        <f aca="false">Sens!J341+Sens!K337-Sens!K338-Sens!K339+Sens!K340</f>
        <v>564.826038856941</v>
      </c>
    </row>
    <row r="342" customFormat="false" ht="15" hidden="false" customHeight="false" outlineLevel="0" collapsed="false">
      <c r="A342" s="1" t="s">
        <v>1130</v>
      </c>
      <c r="B342" s="0" t="s">
        <v>98</v>
      </c>
      <c r="E342" s="6" t="n">
        <f aca="false">debt_face</f>
        <v>46.136</v>
      </c>
      <c r="F342" s="6" t="n">
        <f aca="false">Sens!E342-Sens!F338+Sens!F340</f>
        <v>36.886</v>
      </c>
      <c r="G342" s="6" t="n">
        <f aca="false">Sens!F342-Sens!G338+Sens!G340</f>
        <v>36.886</v>
      </c>
      <c r="H342" s="6" t="n">
        <f aca="false">Sens!G342-Sens!H338+Sens!H340</f>
        <v>34.885</v>
      </c>
      <c r="I342" s="6" t="n">
        <f aca="false">Sens!H342-Sens!I338+Sens!I340</f>
        <v>34.885</v>
      </c>
      <c r="J342" s="6" t="n">
        <f aca="false">Sens!I342-Sens!J338+Sens!J340</f>
        <v>34.385</v>
      </c>
      <c r="K342" s="6" t="n">
        <f aca="false">Sens!J342-Sens!K338+Sens!K340</f>
        <v>34.385</v>
      </c>
    </row>
    <row r="343" customFormat="false" ht="15" hidden="false" customHeight="false" outlineLevel="0" collapsed="false">
      <c r="A343" s="1" t="s">
        <v>1131</v>
      </c>
      <c r="B343" s="0" t="s">
        <v>98</v>
      </c>
      <c r="E343" s="6" t="n">
        <f aca="false">Sens!E341-Sens!E342</f>
        <v>30.707</v>
      </c>
      <c r="F343" s="6" t="n">
        <f aca="false">Sens!F341-Sens!F342</f>
        <v>13.114</v>
      </c>
      <c r="G343" s="6" t="n">
        <f aca="false">Sens!G341-Sens!G342</f>
        <v>13.114</v>
      </c>
      <c r="H343" s="6" t="n">
        <f aca="false">Sens!H341-Sens!H342</f>
        <v>43.3255919480388</v>
      </c>
      <c r="I343" s="6" t="n">
        <f aca="false">Sens!I341-Sens!I342</f>
        <v>145.3692773628</v>
      </c>
      <c r="J343" s="6" t="n">
        <f aca="false">Sens!J341-Sens!J342</f>
        <v>320.503617073968</v>
      </c>
      <c r="K343" s="6" t="n">
        <f aca="false">Sens!K341-Sens!K342</f>
        <v>530.441038856941</v>
      </c>
    </row>
    <row r="344" customFormat="false" ht="15" hidden="false" customHeight="false" outlineLevel="0" collapsed="false">
      <c r="A344" s="1" t="s">
        <v>1132</v>
      </c>
      <c r="B344" s="0" t="s">
        <v>75</v>
      </c>
      <c r="F344" s="30" t="n">
        <f aca="false">px*(1+bb_g)^(Sens!F202-base_fy-mid_yr)</f>
        <v>551.84177959629</v>
      </c>
      <c r="G344" s="30" t="n">
        <f aca="false">px*(1+bb_g)^(Sens!G202-base_fy-mid_yr)</f>
        <v>595.989121963993</v>
      </c>
      <c r="H344" s="30" t="n">
        <f aca="false">px*(1+bb_g)^(Sens!H202-base_fy-mid_yr)</f>
        <v>643.668251721112</v>
      </c>
      <c r="I344" s="30" t="n">
        <f aca="false">px*(1+bb_g)^(Sens!I202-base_fy-mid_yr)</f>
        <v>695.161711858801</v>
      </c>
      <c r="J344" s="30" t="n">
        <f aca="false">px*(1+bb_g)^(Sens!J202-base_fy-mid_yr)</f>
        <v>750.774648807506</v>
      </c>
      <c r="K344" s="30" t="n">
        <f aca="false">px*(1+bb_g)^(Sens!K202-base_fy-mid_yr)</f>
        <v>810.836620712106</v>
      </c>
    </row>
    <row r="345" customFormat="false" ht="15" hidden="false" customHeight="false" outlineLevel="0" collapsed="false">
      <c r="A345" s="1" t="s">
        <v>1133</v>
      </c>
      <c r="B345" s="1" t="s">
        <v>81</v>
      </c>
      <c r="E345" s="15" t="n">
        <f aca="false">sh_out26</f>
        <v>7.427</v>
      </c>
      <c r="F345" s="15" t="n">
        <f aca="false">Sens!E345+sh_iss-Sens!F339/Sens!F344</f>
        <v>7.46626537535419</v>
      </c>
      <c r="G345" s="15" t="n">
        <f aca="false">Sens!F345+sh_iss-Sens!G339/Sens!G344</f>
        <v>7.50554182816515</v>
      </c>
      <c r="H345" s="15" t="n">
        <f aca="false">Sens!G345+sh_iss-Sens!H339/Sens!H344</f>
        <v>7.51594170622275</v>
      </c>
      <c r="I345" s="15" t="n">
        <f aca="false">Sens!H345+sh_iss-Sens!I339/Sens!I344</f>
        <v>7.52890455627609</v>
      </c>
      <c r="J345" s="15" t="n">
        <f aca="false">Sens!I345+sh_iss-Sens!J339/Sens!J344</f>
        <v>7.5442405285477</v>
      </c>
      <c r="K345" s="15" t="n">
        <f aca="false">Sens!J345+sh_iss-Sens!K339/Sens!K344</f>
        <v>7.56177383620659</v>
      </c>
    </row>
    <row r="346" customFormat="false" ht="15" hidden="false" customHeight="false" outlineLevel="0" collapsed="false">
      <c r="A346" s="1" t="s">
        <v>1134</v>
      </c>
      <c r="B346" s="1" t="s">
        <v>81</v>
      </c>
      <c r="E346" s="15" t="n">
        <f aca="false">sh_dil26</f>
        <v>7.453</v>
      </c>
      <c r="F346" s="15" t="n">
        <f aca="false">(Sens!E345+Sens!F345)/2+dil_gap</f>
        <v>7.4706326876771</v>
      </c>
      <c r="G346" s="15" t="n">
        <f aca="false">(Sens!F345+Sens!G345)/2+dil_gap</f>
        <v>7.50990360175967</v>
      </c>
      <c r="H346" s="15" t="n">
        <f aca="false">(Sens!G345+Sens!H345)/2+dil_gap</f>
        <v>7.53474176719395</v>
      </c>
      <c r="I346" s="15" t="n">
        <f aca="false">(Sens!H345+Sens!I345)/2+dil_gap</f>
        <v>7.54642313124942</v>
      </c>
      <c r="J346" s="15" t="n">
        <f aca="false">(Sens!I345+Sens!J345)/2+dil_gap</f>
        <v>7.56057254241189</v>
      </c>
      <c r="K346" s="15" t="n">
        <f aca="false">(Sens!J345+Sens!K345)/2+dil_gap</f>
        <v>7.57700718237714</v>
      </c>
    </row>
    <row r="347" customFormat="false" ht="17.15" hidden="false" customHeight="false" outlineLevel="0" collapsed="false">
      <c r="A347" s="1" t="s">
        <v>1135</v>
      </c>
      <c r="B347" s="0" t="s">
        <v>98</v>
      </c>
      <c r="C347" s="6" t="n">
        <f aca="false">SUM(Sens!F337:J337)</f>
        <v>363.185394407545</v>
      </c>
    </row>
    <row r="348" customFormat="false" ht="15" hidden="false" customHeight="false" outlineLevel="0" collapsed="false">
      <c r="A348" s="26" t="s">
        <v>1100</v>
      </c>
      <c r="B348" s="31" t="s">
        <v>98</v>
      </c>
      <c r="C348" s="27" t="n">
        <f aca="false">Sens!$C$347-(Sens!F337+Sens!G337+Sens!H337+Sens!I337+Sens!J337)</f>
        <v>0</v>
      </c>
      <c r="D348" s="31"/>
      <c r="E348" s="31"/>
      <c r="F348" s="31"/>
      <c r="G348" s="31"/>
      <c r="H348" s="31"/>
      <c r="I348" s="31"/>
      <c r="J348" s="31"/>
      <c r="K348" s="31"/>
    </row>
    <row r="349" customFormat="false" ht="17.15" hidden="false" customHeight="false" outlineLevel="0" collapsed="false">
      <c r="A349" s="1" t="s">
        <v>1094</v>
      </c>
      <c r="B349" s="1" t="s">
        <v>1136</v>
      </c>
      <c r="C349" s="33" t="str">
        <f aca="false">IF(SUM(Sens!F340:J340)&gt;0.05,"需要舉債 "&amp;TEXT(SUM(Sens!F340:J340),"0.0")&amp;" 十億美元","不需舉債")&amp;"；"&amp;IF(SUM(Sens!F339:J339)&lt;COUNT(Sens!F339:J339)*bb_target-0.05,"回購較每年 "&amp;TEXT(bb_target,"0.0")&amp;" 的目標少 "&amp;TEXT(COUNT(Sens!F339:J339)*bb_target-SUM(Sens!F339:J339),"0.0")&amp;" 十億美元（"&amp;TEXT(COUNTIF(Sens!F339:J339,"&lt;"&amp;(bb_target-0.05)),"0")&amp;" 年減少）","回購不減")</f>
        <v>不需舉債；回購較每年 22.3 的目標少 38.0 十億美元（2 年減少）</v>
      </c>
    </row>
    <row r="350" customFormat="false" ht="17.15" hidden="false" customHeight="false" outlineLevel="0" collapsed="false">
      <c r="A350" s="3" t="s">
        <v>1619</v>
      </c>
    </row>
    <row r="351" customFormat="false" ht="15" hidden="false" customHeight="false" outlineLevel="0" collapsed="false">
      <c r="A351" s="4" t="s">
        <v>43</v>
      </c>
      <c r="B351" s="4" t="s">
        <v>65</v>
      </c>
      <c r="C351" s="23" t="s">
        <v>942</v>
      </c>
      <c r="D351" s="23" t="s">
        <v>943</v>
      </c>
      <c r="E351" s="23" t="s">
        <v>944</v>
      </c>
      <c r="F351" s="23" t="s">
        <v>945</v>
      </c>
      <c r="G351" s="23" t="s">
        <v>946</v>
      </c>
      <c r="H351" s="23" t="s">
        <v>947</v>
      </c>
      <c r="I351" s="23" t="s">
        <v>948</v>
      </c>
      <c r="J351" s="23" t="s">
        <v>949</v>
      </c>
      <c r="K351" s="23" t="s">
        <v>950</v>
      </c>
      <c r="L351" s="4" t="s">
        <v>47</v>
      </c>
    </row>
    <row r="352" customFormat="false" ht="17.15" hidden="false" customHeight="false" outlineLevel="0" collapsed="false">
      <c r="A352" s="1" t="s">
        <v>1216</v>
      </c>
      <c r="B352" s="1" t="s">
        <v>279</v>
      </c>
      <c r="F352" s="8" t="n">
        <f aca="false">(1-v_off)*mid_yr</f>
        <v>0.373972602739726</v>
      </c>
      <c r="G352" s="8" t="n">
        <f aca="false">Sens!G202-base_fy-mid_yr-v_off</f>
        <v>1.24794520547945</v>
      </c>
      <c r="H352" s="8" t="n">
        <f aca="false">Sens!H202-base_fy-mid_yr-v_off</f>
        <v>2.24794520547945</v>
      </c>
      <c r="I352" s="8" t="n">
        <f aca="false">Sens!I202-base_fy-mid_yr-v_off</f>
        <v>3.24794520547945</v>
      </c>
      <c r="J352" s="8" t="n">
        <f aca="false">Sens!J202-base_fy-mid_yr-v_off</f>
        <v>4.24794520547945</v>
      </c>
      <c r="K352" s="8" t="n">
        <f aca="false">Sens!K202-base_fy-mid_yr-v_off</f>
        <v>5.24794520547945</v>
      </c>
      <c r="L352" s="12" t="s">
        <v>1217</v>
      </c>
    </row>
    <row r="353" customFormat="false" ht="15" hidden="false" customHeight="false" outlineLevel="0" collapsed="false">
      <c r="A353" s="1" t="s">
        <v>1218</v>
      </c>
      <c r="B353" s="1" t="s">
        <v>279</v>
      </c>
      <c r="F353" s="8" t="n">
        <f aca="false">Sens!F202-base_fy-v_off</f>
        <v>0.747945205479452</v>
      </c>
      <c r="G353" s="8" t="n">
        <f aca="false">Sens!G202-base_fy-v_off</f>
        <v>1.74794520547945</v>
      </c>
      <c r="H353" s="8" t="n">
        <f aca="false">Sens!H202-base_fy-v_off</f>
        <v>2.74794520547945</v>
      </c>
      <c r="I353" s="8" t="n">
        <f aca="false">Sens!I202-base_fy-v_off</f>
        <v>3.74794520547945</v>
      </c>
      <c r="J353" s="8" t="n">
        <f aca="false">Sens!J202-base_fy-v_off</f>
        <v>4.74794520547945</v>
      </c>
      <c r="K353" s="8" t="n">
        <f aca="false">Sens!K202-base_fy-v_off</f>
        <v>5.74794520547945</v>
      </c>
    </row>
    <row r="354" customFormat="false" ht="15" hidden="false" customHeight="false" outlineLevel="0" collapsed="false">
      <c r="A354" s="1" t="s">
        <v>1219</v>
      </c>
      <c r="B354" s="0" t="s">
        <v>229</v>
      </c>
      <c r="F354" s="15" t="n">
        <f aca="false">1/(1+wacc)^Sens!F352</f>
        <v>0.964022703286649</v>
      </c>
      <c r="G354" s="15" t="n">
        <f aca="false">1/(1+wacc)^Sens!G352</f>
        <v>0.884910302296739</v>
      </c>
      <c r="H354" s="15" t="n">
        <f aca="false">1/(1+wacc)^Sens!H352</f>
        <v>0.802322009770358</v>
      </c>
      <c r="I354" s="15" t="n">
        <f aca="false">1/(1+wacc)^Sens!I352</f>
        <v>0.727441646561469</v>
      </c>
      <c r="J354" s="15" t="n">
        <f aca="false">1/(1+wacc)^Sens!J352</f>
        <v>0.659549834988973</v>
      </c>
      <c r="K354" s="15" t="n">
        <f aca="false">1/(1+wacc)^Sens!K352</f>
        <v>0.597994336576966</v>
      </c>
    </row>
    <row r="355" customFormat="false" ht="17.15" hidden="false" customHeight="false" outlineLevel="0" collapsed="false">
      <c r="A355" s="1" t="s">
        <v>1220</v>
      </c>
      <c r="B355" s="0" t="s">
        <v>98</v>
      </c>
      <c r="F355" s="6" t="n">
        <f aca="false">Q!$I$35-Q!$I$39-Q!$I$43</f>
        <v>9.666</v>
      </c>
      <c r="L355" s="12" t="s">
        <v>1221</v>
      </c>
    </row>
    <row r="356" customFormat="false" ht="17.15" hidden="false" customHeight="false" outlineLevel="0" collapsed="false">
      <c r="A356" s="1" t="s">
        <v>1222</v>
      </c>
      <c r="B356" s="0" t="s">
        <v>98</v>
      </c>
      <c r="F356" s="6" t="n">
        <f aca="false">Sens!F327-Sens!F324-Sens!F331+Sens!F309*(1-tax_f)*(1-v_off)-Sens!F355</f>
        <v>-6.44424383237961</v>
      </c>
      <c r="G356" s="6" t="n">
        <f aca="false">Sens!G327-Sens!G324-Sens!G331+Sens!G309*(1-tax_f)</f>
        <v>20.5546177811332</v>
      </c>
      <c r="H356" s="6" t="n">
        <f aca="false">Sens!H327-Sens!H324-Sens!H331+Sens!H309*(1-tax_f)</f>
        <v>68.2912712662001</v>
      </c>
      <c r="I356" s="6" t="n">
        <f aca="false">Sens!I327-Sens!I324-Sens!I331+Sens!I309*(1-tax_f)</f>
        <v>139.914952959863</v>
      </c>
      <c r="J356" s="6" t="n">
        <f aca="false">Sens!J327-Sens!J324-Sens!J331+Sens!J309*(1-tax_f)</f>
        <v>213.702736903832</v>
      </c>
      <c r="K356" s="6" t="n">
        <f aca="false">Sens!K327-Sens!K324-Sens!K331+Sens!K309*(1-tax_f)</f>
        <v>249.994963372517</v>
      </c>
      <c r="L356" s="1" t="s">
        <v>1223</v>
      </c>
    </row>
    <row r="357" customFormat="false" ht="15" hidden="false" customHeight="false" outlineLevel="0" collapsed="false">
      <c r="A357" s="1" t="s">
        <v>1224</v>
      </c>
      <c r="B357" s="0" t="s">
        <v>98</v>
      </c>
      <c r="F357" s="6" t="n">
        <f aca="false">Sens!F356*Sens!F354</f>
        <v>-6.21239735992891</v>
      </c>
      <c r="G357" s="6" t="n">
        <f aca="false">Sens!G356*Sens!G354</f>
        <v>18.1889930342965</v>
      </c>
      <c r="H357" s="6" t="n">
        <f aca="false">Sens!H356*Sens!H354</f>
        <v>54.7915900120704</v>
      </c>
      <c r="I357" s="6" t="n">
        <f aca="false">Sens!I356*Sens!I354</f>
        <v>101.779963759693</v>
      </c>
      <c r="J357" s="6" t="n">
        <f aca="false">Sens!J356*Sens!J354</f>
        <v>140.947604861614</v>
      </c>
      <c r="K357" s="6" t="n">
        <f aca="false">Sens!K356*Sens!K354</f>
        <v>149.495572269531</v>
      </c>
    </row>
    <row r="358" customFormat="false" ht="17.15" hidden="false" customHeight="false" outlineLevel="0" collapsed="false">
      <c r="A358" s="1" t="s">
        <v>1225</v>
      </c>
      <c r="B358" s="0" t="s">
        <v>98</v>
      </c>
      <c r="C358" s="6" t="n">
        <f aca="false">SUM(Sens!F357:K357)</f>
        <v>458.991326577276</v>
      </c>
    </row>
    <row r="359" customFormat="false" ht="17.15" hidden="false" customHeight="false" outlineLevel="0" collapsed="false">
      <c r="A359" s="1" t="s">
        <v>1226</v>
      </c>
      <c r="B359" s="0" t="s">
        <v>98</v>
      </c>
      <c r="C359" s="6" t="n">
        <f aca="false">Sens!K295*(1+g_tv)*(1-tax_f)</f>
        <v>261.227290632312</v>
      </c>
    </row>
    <row r="360" customFormat="false" ht="17.15" hidden="false" customHeight="false" outlineLevel="0" collapsed="false">
      <c r="A360" s="1" t="s">
        <v>1227</v>
      </c>
      <c r="B360" s="0" t="s">
        <v>98</v>
      </c>
      <c r="C360" s="6" t="n">
        <f aca="false">Sens!$C$359*(1-g_tv/(wacc+ronic_prem))</f>
        <v>185.09480317592</v>
      </c>
    </row>
    <row r="361" customFormat="false" ht="17.15" hidden="false" customHeight="false" outlineLevel="0" collapsed="false">
      <c r="A361" s="1" t="s">
        <v>1228</v>
      </c>
      <c r="B361" s="0" t="s">
        <v>98</v>
      </c>
      <c r="C361" s="6" t="n">
        <f aca="false">Sens!$C$360/(wacc-g_tv)</f>
        <v>2537.7495818797</v>
      </c>
    </row>
    <row r="362" customFormat="false" ht="15" hidden="false" customHeight="false" outlineLevel="0" collapsed="false">
      <c r="A362" s="1" t="s">
        <v>1229</v>
      </c>
      <c r="B362" s="0" t="s">
        <v>98</v>
      </c>
      <c r="C362" s="6" t="n">
        <f aca="false">Sens!$C$361/(1+wacc)^Sens!K353</f>
        <v>1445.00903744822</v>
      </c>
    </row>
    <row r="363" customFormat="false" ht="17.15" hidden="false" customHeight="false" outlineLevel="0" collapsed="false">
      <c r="A363" s="0" t="s">
        <v>1230</v>
      </c>
      <c r="B363" s="0" t="s">
        <v>98</v>
      </c>
      <c r="C363" s="6" t="n">
        <f aca="false">Sens!$C$358+Sens!$C$362</f>
        <v>1904.0003640255</v>
      </c>
    </row>
    <row r="364" customFormat="false" ht="15" hidden="false" customHeight="false" outlineLevel="0" collapsed="false">
      <c r="A364" s="1" t="s">
        <v>1145</v>
      </c>
      <c r="B364" s="0" t="s">
        <v>168</v>
      </c>
      <c r="C364" s="7" t="n">
        <f aca="false">Sens!$C$362/Sens!$C$363</f>
        <v>0.758933172887183</v>
      </c>
    </row>
    <row r="365" customFormat="false" ht="17.15" hidden="false" customHeight="false" outlineLevel="0" collapsed="false">
      <c r="A365" s="1" t="s">
        <v>1231</v>
      </c>
      <c r="B365" s="0" t="s">
        <v>98</v>
      </c>
      <c r="C365" s="6" t="n">
        <f aca="false">Sens!$C$363+cash_val-debt_val-fl_val+oai_v</f>
        <v>2019.8513640255</v>
      </c>
    </row>
    <row r="366" customFormat="false" ht="17.15" hidden="false" customHeight="false" outlineLevel="0" collapsed="false">
      <c r="A366" s="0" t="s">
        <v>1153</v>
      </c>
      <c r="B366" s="0" t="s">
        <v>75</v>
      </c>
      <c r="C366" s="5" t="n">
        <f aca="false">Sens!$C$365/shd_val</f>
        <v>271.266634975222</v>
      </c>
    </row>
    <row r="367" customFormat="false" ht="15" hidden="false" customHeight="false" outlineLevel="0" collapsed="false">
      <c r="A367" s="1" t="s">
        <v>1232</v>
      </c>
      <c r="B367" s="0" t="s">
        <v>75</v>
      </c>
      <c r="C367" s="8" t="n">
        <f aca="false">div_rem27+Sens!G335*roll_div_q/q_per_yr</f>
        <v>3.9795</v>
      </c>
    </row>
    <row r="368" customFormat="false" ht="17.15" hidden="false" customHeight="false" outlineLevel="0" collapsed="false">
      <c r="A368" s="0" t="s">
        <v>1233</v>
      </c>
      <c r="B368" s="0" t="s">
        <v>75</v>
      </c>
      <c r="C368" s="5" t="n">
        <f aca="false">Sens!$C$366*(1+wacc)^t_roll-Sens!$C$367</f>
        <v>297.54850436763</v>
      </c>
    </row>
    <row r="369" customFormat="false" ht="17.15" hidden="false" customHeight="false" outlineLevel="0" collapsed="false">
      <c r="A369" s="1" t="s">
        <v>1234</v>
      </c>
      <c r="B369" s="0" t="s">
        <v>168</v>
      </c>
      <c r="F369" s="7" t="n">
        <f aca="false">Sens!F321/(Sens!F266-Sens!F221)</f>
        <v>0.0685527305696859</v>
      </c>
      <c r="G369" s="7" t="n">
        <f aca="false">Sens!G321/(Sens!G266-Sens!G221)</f>
        <v>0.0653567731599844</v>
      </c>
      <c r="H369" s="7" t="n">
        <f aca="false">Sens!H321/(Sens!H266-Sens!H221)</f>
        <v>0.0636628841026972</v>
      </c>
      <c r="I369" s="7" t="n">
        <f aca="false">Sens!I321/(Sens!I266-Sens!I221)</f>
        <v>0.0633581084335176</v>
      </c>
      <c r="J369" s="7" t="n">
        <f aca="false">Sens!J321/(Sens!J266-Sens!J221)</f>
        <v>0.0640873955995062</v>
      </c>
      <c r="K369" s="7" t="n">
        <f aca="false">Sens!K321/(Sens!K266-Sens!K221)</f>
        <v>0.0653962234835198</v>
      </c>
    </row>
    <row r="370" customFormat="false" ht="17.15" hidden="false" customHeight="false" outlineLevel="0" collapsed="false">
      <c r="A370" s="0" t="s">
        <v>1235</v>
      </c>
      <c r="B370" s="0" t="s">
        <v>98</v>
      </c>
      <c r="F370" s="6" t="n">
        <f aca="false">Sens!F251*(al_m365+Sens!F369+sbc_r)</f>
        <v>84.5213906545575</v>
      </c>
      <c r="G370" s="6" t="n">
        <f aca="false">Sens!G251*(al_m365+Sens!G369+sbc_r)</f>
        <v>98.949983331796</v>
      </c>
      <c r="H370" s="6" t="n">
        <f aca="false">Sens!H251*(al_m365+Sens!H369+sbc_r)</f>
        <v>113.543734275326</v>
      </c>
      <c r="I370" s="6" t="n">
        <f aca="false">Sens!I251*(al_m365+Sens!I369+sbc_r)</f>
        <v>126.62058838692</v>
      </c>
      <c r="J370" s="6" t="n">
        <f aca="false">Sens!J251*(al_m365+Sens!J369+sbc_r)</f>
        <v>137.994660156303</v>
      </c>
      <c r="K370" s="6" t="n">
        <f aca="false">Sens!K251*(al_m365+Sens!K369+sbc_r)</f>
        <v>148.989224092997</v>
      </c>
      <c r="L370" s="12" t="s">
        <v>1236</v>
      </c>
    </row>
    <row r="371" customFormat="false" ht="17.15" hidden="false" customHeight="false" outlineLevel="0" collapsed="false">
      <c r="A371" s="0" t="s">
        <v>1237</v>
      </c>
      <c r="B371" s="0" t="s">
        <v>98</v>
      </c>
      <c r="F371" s="6" t="n">
        <f aca="false">Sens!F252*(al_lic+Sens!F369+sbc_r)</f>
        <v>32.855200196554</v>
      </c>
      <c r="G371" s="6" t="n">
        <f aca="false">Sens!G252*(al_lic+Sens!G369+sbc_r)</f>
        <v>34.1185582613282</v>
      </c>
      <c r="H371" s="6" t="n">
        <f aca="false">Sens!H252*(al_lic+Sens!H369+sbc_r)</f>
        <v>35.3024309363621</v>
      </c>
      <c r="I371" s="6" t="n">
        <f aca="false">Sens!I252*(al_lic+Sens!I369+sbc_r)</f>
        <v>36.3898468129533</v>
      </c>
      <c r="J371" s="6" t="n">
        <f aca="false">Sens!J252*(al_lic+Sens!J369+sbc_r)</f>
        <v>37.3529129529876</v>
      </c>
      <c r="K371" s="6" t="n">
        <f aca="false">Sens!K252*(al_lic+Sens!K369+sbc_r)</f>
        <v>38.158536171203</v>
      </c>
    </row>
    <row r="372" customFormat="false" ht="17.15" hidden="false" customHeight="false" outlineLevel="0" collapsed="false">
      <c r="A372" s="0" t="s">
        <v>1238</v>
      </c>
      <c r="B372" s="0" t="s">
        <v>98</v>
      </c>
      <c r="F372" s="6" t="n">
        <f aca="false">Sens!F254*(al_ind+Sens!F369+sbc_r)</f>
        <v>9.05892547956683</v>
      </c>
      <c r="G372" s="6" t="n">
        <f aca="false">Sens!G254*(al_ind+Sens!G369+sbc_r)</f>
        <v>9.82456487622418</v>
      </c>
      <c r="H372" s="6" t="n">
        <f aca="false">Sens!H254*(al_ind+Sens!H369+sbc_r)</f>
        <v>10.6377408477959</v>
      </c>
      <c r="I372" s="6" t="n">
        <f aca="false">Sens!I254*(al_ind+Sens!I369+sbc_r)</f>
        <v>11.4966323260293</v>
      </c>
      <c r="J372" s="6" t="n">
        <f aca="false">Sens!J254*(al_ind+Sens!J369+sbc_r)</f>
        <v>12.3903660286279</v>
      </c>
      <c r="K372" s="6" t="n">
        <f aca="false">Sens!K254*(al_ind+Sens!K369+sbc_r)</f>
        <v>13.3009129057681</v>
      </c>
    </row>
    <row r="373" customFormat="false" ht="17.15" hidden="false" customHeight="false" outlineLevel="0" collapsed="false">
      <c r="A373" s="0" t="s">
        <v>1239</v>
      </c>
      <c r="B373" s="0" t="s">
        <v>98</v>
      </c>
      <c r="F373" s="6" t="n">
        <f aca="false">Sens!F256*(al_fro+Sens!F369+sbc_r)</f>
        <v>3.55344443532423</v>
      </c>
      <c r="G373" s="6" t="n">
        <f aca="false">Sens!G256*(al_fro+Sens!G369+sbc_r)</f>
        <v>3.75916645971565</v>
      </c>
      <c r="H373" s="6" t="n">
        <f aca="false">Sens!H256*(al_fro+Sens!H369+sbc_r)</f>
        <v>3.994970960527</v>
      </c>
      <c r="I373" s="6" t="n">
        <f aca="false">Sens!I256*(al_fro+Sens!I369+sbc_r)</f>
        <v>4.26396270432353</v>
      </c>
      <c r="J373" s="6" t="n">
        <f aca="false">Sens!J256*(al_fro+Sens!J369+sbc_r)</f>
        <v>4.5667795874336</v>
      </c>
      <c r="K373" s="6" t="n">
        <f aca="false">Sens!K256*(al_fro+Sens!K369+sbc_r)</f>
        <v>4.90238443416026</v>
      </c>
    </row>
    <row r="374" customFormat="false" ht="17.15" hidden="false" customHeight="false" outlineLevel="0" collapsed="false">
      <c r="A374" s="0" t="s">
        <v>1240</v>
      </c>
      <c r="B374" s="0" t="s">
        <v>98</v>
      </c>
      <c r="F374" s="6" t="n">
        <f aca="false">Sens!F259*(al_srch+Sens!F369+sbc_r)</f>
        <v>11.1872483445711</v>
      </c>
      <c r="G374" s="6" t="n">
        <f aca="false">Sens!G259*(al_srch+Sens!G369+sbc_r)</f>
        <v>12.247246048296</v>
      </c>
      <c r="H374" s="6" t="n">
        <f aca="false">Sens!H259*(al_srch+Sens!H369+sbc_r)</f>
        <v>13.3552870946193</v>
      </c>
      <c r="I374" s="6" t="n">
        <f aca="false">Sens!I259*(al_srch+Sens!I369+sbc_r)</f>
        <v>14.5024145321619</v>
      </c>
      <c r="J374" s="6" t="n">
        <f aca="false">Sens!J259*(al_srch+Sens!J369+sbc_r)</f>
        <v>15.667276660652</v>
      </c>
      <c r="K374" s="6" t="n">
        <f aca="false">Sens!K259*(al_srch+Sens!K369+sbc_r)</f>
        <v>16.8186381138719</v>
      </c>
    </row>
    <row r="375" customFormat="false" ht="17.15" hidden="false" customHeight="false" outlineLevel="0" collapsed="false">
      <c r="A375" s="0" t="s">
        <v>1241</v>
      </c>
      <c r="B375" s="0" t="s">
        <v>98</v>
      </c>
      <c r="F375" s="6" t="n">
        <f aca="false">Sens!F227-Sens!F228+Sens!F309</f>
        <v>36.4948513114639</v>
      </c>
      <c r="G375" s="6" t="n">
        <f aca="false">Sens!G227-Sens!G228+Sens!G309</f>
        <v>68.3803062387892</v>
      </c>
      <c r="H375" s="6" t="n">
        <f aca="false">Sens!H227-Sens!H228+Sens!H309</f>
        <v>106.615687226646</v>
      </c>
      <c r="I375" s="6" t="n">
        <f aca="false">Sens!I227-Sens!I228+Sens!I309</f>
        <v>134.999195090786</v>
      </c>
      <c r="J375" s="6" t="n">
        <f aca="false">Sens!J227-Sens!J228+Sens!J309</f>
        <v>154.947272532467</v>
      </c>
      <c r="K375" s="6" t="n">
        <f aca="false">Sens!K227-Sens!K228+Sens!K309</f>
        <v>167.853506633251</v>
      </c>
    </row>
    <row r="376" customFormat="false" ht="17.15" hidden="false" customHeight="false" outlineLevel="0" collapsed="false">
      <c r="A376" s="0" t="s">
        <v>1242</v>
      </c>
      <c r="B376" s="0" t="s">
        <v>98</v>
      </c>
      <c r="F376" s="6" t="n">
        <f aca="false">Sens!F288+Sens!F309+Sens!F239+Sens!F369*(Sens!F258-Sens!F221)+sbc_r*Sens!F258</f>
        <v>231.934760996027</v>
      </c>
      <c r="G376" s="6" t="n">
        <f aca="false">Sens!G288+Sens!G309+Sens!G239+Sens!G369*(Sens!G258-Sens!G221)+sbc_r*Sens!G258</f>
        <v>289.211753623925</v>
      </c>
      <c r="H376" s="6" t="n">
        <f aca="false">Sens!H288+Sens!H309+Sens!H239+Sens!H369*(Sens!H258-Sens!H221)+sbc_r*Sens!H258</f>
        <v>357.484400445265</v>
      </c>
      <c r="I376" s="6" t="n">
        <f aca="false">Sens!I288+Sens!I309+Sens!I239+Sens!I369*(Sens!I258-Sens!I221)+sbc_r*Sens!I258</f>
        <v>413.812696477859</v>
      </c>
      <c r="J376" s="6" t="n">
        <f aca="false">Sens!J288+Sens!J309+Sens!J239+Sens!J369*(Sens!J258-Sens!J221)+sbc_r*Sens!J258</f>
        <v>458.727191987131</v>
      </c>
      <c r="K376" s="6" t="n">
        <f aca="false">Sens!K288+Sens!K309+Sens!K239+Sens!K369*(Sens!K258-Sens!K221)+sbc_r*Sens!K258</f>
        <v>494.166845470574</v>
      </c>
    </row>
    <row r="377" customFormat="false" ht="17.15" hidden="false" customHeight="false" outlineLevel="0" collapsed="false">
      <c r="A377" s="0" t="s">
        <v>1243</v>
      </c>
      <c r="B377" s="0" t="s">
        <v>98</v>
      </c>
      <c r="F377" s="6" t="n">
        <f aca="false">Sens!F376-Sens!F370-Sens!F371-Sens!F372-Sens!F373-Sens!F375</f>
        <v>65.4509489185601</v>
      </c>
      <c r="G377" s="6" t="n">
        <f aca="false">Sens!G376-Sens!G370-Sens!G371-Sens!G372-Sens!G373-Sens!G375</f>
        <v>74.1791744560714</v>
      </c>
      <c r="H377" s="6" t="n">
        <f aca="false">Sens!H376-Sens!H370-Sens!H371-Sens!H372-Sens!H373-Sens!H375</f>
        <v>87.3898361986086</v>
      </c>
      <c r="I377" s="6" t="n">
        <f aca="false">Sens!I376-Sens!I370-Sens!I371-Sens!I372-Sens!I373-Sens!I375</f>
        <v>100.042471156846</v>
      </c>
      <c r="J377" s="6" t="n">
        <f aca="false">Sens!J376-Sens!J370-Sens!J371-Sens!J372-Sens!J373-Sens!J375</f>
        <v>111.475200729312</v>
      </c>
      <c r="K377" s="6" t="n">
        <f aca="false">Sens!K376-Sens!K370-Sens!K371-Sens!K372-Sens!K373-Sens!K375</f>
        <v>120.962281233195</v>
      </c>
    </row>
    <row r="378" customFormat="false" ht="17.15" hidden="false" customHeight="false" outlineLevel="0" collapsed="false">
      <c r="A378" s="0" t="s">
        <v>1244</v>
      </c>
      <c r="B378" s="0" t="s">
        <v>98</v>
      </c>
      <c r="F378" s="6" t="n">
        <f aca="false">Sens!F290+Sens!F369*Sens!F265+sbc_r*Sens!F265</f>
        <v>26.6293388420472</v>
      </c>
      <c r="G378" s="6" t="n">
        <f aca="false">Sens!G290+Sens!G369*Sens!G265+sbc_r*Sens!G265</f>
        <v>26.4405000412783</v>
      </c>
      <c r="H378" s="6" t="n">
        <f aca="false">Sens!H290+Sens!H369*Sens!H265+sbc_r*Sens!H265</f>
        <v>27.296860059552</v>
      </c>
      <c r="I378" s="6" t="n">
        <f aca="false">Sens!I290+Sens!I369*Sens!I265+sbc_r*Sens!I265</f>
        <v>28.3995465815703</v>
      </c>
      <c r="J378" s="6" t="n">
        <f aca="false">Sens!J290+Sens!J369*Sens!J265+sbc_r*Sens!J265</f>
        <v>29.7093380975903</v>
      </c>
      <c r="K378" s="6" t="n">
        <f aca="false">Sens!K290+Sens!K369*Sens!K265+sbc_r*Sens!K265</f>
        <v>31.1817775287323</v>
      </c>
    </row>
    <row r="379" customFormat="false" ht="17.15" hidden="false" customHeight="false" outlineLevel="0" collapsed="false">
      <c r="A379" s="0" t="s">
        <v>1245</v>
      </c>
      <c r="B379" s="0" t="s">
        <v>98</v>
      </c>
      <c r="F379" s="6" t="n">
        <f aca="false">(Sens!F378-Sens!F374)*Sens!F261/(Sens!F261+Sens!F263)</f>
        <v>8.72146908842971</v>
      </c>
      <c r="G379" s="6" t="n">
        <f aca="false">(Sens!G378-Sens!G374)*Sens!G261/(Sens!G261+Sens!G263)</f>
        <v>7.87837655379173</v>
      </c>
      <c r="H379" s="6" t="n">
        <f aca="false">(Sens!H378-Sens!H374)*Sens!H261/(Sens!H261+Sens!H263)</f>
        <v>7.63786170689933</v>
      </c>
      <c r="I379" s="6" t="n">
        <f aca="false">(Sens!I378-Sens!I374)*Sens!I261/(Sens!I261+Sens!I263)</f>
        <v>7.5470606300581</v>
      </c>
      <c r="J379" s="6" t="n">
        <f aca="false">(Sens!J378-Sens!J374)*Sens!J261/(Sens!J261+Sens!J263)</f>
        <v>7.59249600034024</v>
      </c>
      <c r="K379" s="6" t="n">
        <f aca="false">(Sens!K378-Sens!K374)*Sens!K261/(Sens!K261+Sens!K263)</f>
        <v>7.76610179704742</v>
      </c>
    </row>
    <row r="380" customFormat="false" ht="17.15" hidden="false" customHeight="false" outlineLevel="0" collapsed="false">
      <c r="A380" s="0" t="s">
        <v>1246</v>
      </c>
      <c r="B380" s="0" t="s">
        <v>98</v>
      </c>
      <c r="F380" s="6" t="n">
        <f aca="false">Sens!F378-Sens!F374-Sens!F379</f>
        <v>6.72062140904636</v>
      </c>
      <c r="G380" s="6" t="n">
        <f aca="false">Sens!G378-Sens!G374-Sens!G379</f>
        <v>6.31487743919059</v>
      </c>
      <c r="H380" s="6" t="n">
        <f aca="false">Sens!H378-Sens!H374-Sens!H379</f>
        <v>6.30371125803333</v>
      </c>
      <c r="I380" s="6" t="n">
        <f aca="false">Sens!I378-Sens!I374-Sens!I379</f>
        <v>6.35007141935025</v>
      </c>
      <c r="J380" s="6" t="n">
        <f aca="false">Sens!J378-Sens!J374-Sens!J379</f>
        <v>6.44956543659808</v>
      </c>
      <c r="K380" s="6" t="n">
        <f aca="false">Sens!K378-Sens!K374-Sens!K379</f>
        <v>6.597037617813</v>
      </c>
    </row>
    <row r="381" customFormat="false" ht="17.15" hidden="false" customHeight="false" outlineLevel="0" collapsed="false">
      <c r="A381" s="0" t="s">
        <v>1247</v>
      </c>
      <c r="B381" s="0" t="s">
        <v>98</v>
      </c>
      <c r="F381" s="6" t="n">
        <f aca="false">Sens!F375-tax_f*(Sens!F375-Sens!F239)-Sens!F236</f>
        <v>-132.342160097278</v>
      </c>
      <c r="G381" s="6" t="n">
        <f aca="false">Sens!G375-tax_f*(Sens!G375-Sens!G239)-Sens!G236</f>
        <v>-125.093332527557</v>
      </c>
      <c r="H381" s="6" t="n">
        <f aca="false">Sens!H375-tax_f*(Sens!H375-Sens!H239)-Sens!H236</f>
        <v>-93.6934361509065</v>
      </c>
      <c r="I381" s="6" t="n">
        <f aca="false">Sens!I375-tax_f*(Sens!I375-Sens!I239)-Sens!I236</f>
        <v>-37.7692756100717</v>
      </c>
      <c r="J381" s="6" t="n">
        <f aca="false">Sens!J375-tax_f*(Sens!J375-Sens!J239)-Sens!J236</f>
        <v>21.4310214399528</v>
      </c>
      <c r="K381" s="6" t="n">
        <f aca="false">Sens!K375-tax_f*(Sens!K375-Sens!K239)-Sens!K236</f>
        <v>43.9224861520546</v>
      </c>
    </row>
    <row r="382" customFormat="false" ht="17.15" hidden="false" customHeight="false" outlineLevel="0" collapsed="false">
      <c r="A382" s="0" t="s">
        <v>1248</v>
      </c>
      <c r="B382" s="0" t="s">
        <v>98</v>
      </c>
      <c r="G382" s="6" t="n">
        <f aca="false">Sens!G381/(1+wacc)^(Sens!G352-Sens!F353)</f>
        <v>-119.112925093252</v>
      </c>
      <c r="H382" s="6" t="n">
        <f aca="false">Sens!H381/(1+wacc)^(Sens!H352-Sens!F353)</f>
        <v>-80.8878606330826</v>
      </c>
      <c r="I382" s="6" t="n">
        <f aca="false">Sens!I381/(1+wacc)^(Sens!I352-Sens!F353)</f>
        <v>-29.5639386730762</v>
      </c>
      <c r="J382" s="6" t="n">
        <f aca="false">Sens!J381/(1+wacc)^(Sens!J352-Sens!F353)</f>
        <v>15.2095359236275</v>
      </c>
      <c r="K382" s="6" t="n">
        <f aca="false">Sens!K381/(1+wacc)^(Sens!K352-Sens!F353)</f>
        <v>28.2624275274549</v>
      </c>
      <c r="L382" s="1" t="s">
        <v>1249</v>
      </c>
    </row>
    <row r="383" customFormat="false" ht="17.15" hidden="false" customHeight="false" outlineLevel="0" collapsed="false">
      <c r="A383" s="0" t="s">
        <v>1250</v>
      </c>
      <c r="B383" s="0" t="s">
        <v>98</v>
      </c>
      <c r="C383" s="6" t="n">
        <f aca="false">(Sens!K375-Sens!K239)*(1-tax_f)*(1+g_tv)*(1-g_tv/(wacc+ronic_prem))/(wacc-g_tv)/(1+wacc)^(Sens!K353-Sens!F353)</f>
        <v>121.834681309358</v>
      </c>
    </row>
    <row r="384" customFormat="false" ht="17.15" hidden="false" customHeight="false" outlineLevel="0" collapsed="false">
      <c r="A384" s="1" t="s">
        <v>1251</v>
      </c>
      <c r="B384" s="0" t="s">
        <v>98</v>
      </c>
      <c r="C384" s="6" t="n">
        <f aca="false">(SUM(Sens!G382:K382)+Sens!$C$383)*(1+wacc)^(t_roll-Sens!F353)</f>
        <v>-66.3794331787103</v>
      </c>
      <c r="L384" s="12" t="s">
        <v>1252</v>
      </c>
    </row>
    <row r="385" customFormat="false" ht="17.15" hidden="false" customHeight="false" outlineLevel="0" collapsed="false">
      <c r="A385" s="1" t="s">
        <v>1253</v>
      </c>
      <c r="B385" s="0" t="s">
        <v>98</v>
      </c>
      <c r="C385" s="6" t="n">
        <f aca="false">(w_ntm28*Sens!G227+(1-w_ntm28)*Sens!H227)*m_ai</f>
        <v>563.316843258668</v>
      </c>
    </row>
    <row r="386" customFormat="false" ht="17.15" hidden="false" customHeight="false" outlineLevel="0" collapsed="false">
      <c r="A386" s="1" t="s">
        <v>1254</v>
      </c>
      <c r="B386" s="0" t="s">
        <v>98</v>
      </c>
      <c r="C386" s="6" t="n">
        <f aca="false">(w_ntm28*Sens!G377+(1-w_ntm28)*Sens!H377)*m_cloud</f>
        <v>1085.17964696599</v>
      </c>
    </row>
    <row r="387" customFormat="false" ht="17.15" hidden="false" customHeight="false" outlineLevel="0" collapsed="false">
      <c r="A387" s="1" t="s">
        <v>1255</v>
      </c>
      <c r="B387" s="0" t="s">
        <v>98</v>
      </c>
      <c r="C387" s="6" t="n">
        <f aca="false">(w_ntm28*Sens!G370+(1-w_ntm28)*Sens!H370)*m_sw</f>
        <v>1120.47763155275</v>
      </c>
    </row>
    <row r="388" customFormat="false" ht="17.15" hidden="false" customHeight="false" outlineLevel="0" collapsed="false">
      <c r="A388" s="1" t="s">
        <v>1256</v>
      </c>
      <c r="B388" s="0" t="s">
        <v>98</v>
      </c>
      <c r="C388" s="6" t="n">
        <f aca="false">(w_ntm28*Sens!G371+(1-w_ntm28)*Sens!H371)*m_sw</f>
        <v>372.68398809041</v>
      </c>
    </row>
    <row r="389" customFormat="false" ht="17.15" hidden="false" customHeight="false" outlineLevel="0" collapsed="false">
      <c r="A389" s="1" t="s">
        <v>1257</v>
      </c>
      <c r="B389" s="0" t="s">
        <v>98</v>
      </c>
      <c r="C389" s="6" t="n">
        <f aca="false">(w_ntm28*Sens!G372+(1-w_ntm28)*Sens!H372)*m_sw</f>
        <v>108.992632332144</v>
      </c>
    </row>
    <row r="390" customFormat="false" ht="17.15" hidden="false" customHeight="false" outlineLevel="0" collapsed="false">
      <c r="A390" s="1" t="s">
        <v>1258</v>
      </c>
      <c r="B390" s="0" t="s">
        <v>98</v>
      </c>
      <c r="C390" s="6" t="n">
        <f aca="false">(w_ntm28*Sens!G373+(1-w_ntm28)*Sens!H373)*m_sw</f>
        <v>41.4362652527414</v>
      </c>
    </row>
    <row r="391" customFormat="false" ht="17.15" hidden="false" customHeight="false" outlineLevel="0" collapsed="false">
      <c r="A391" s="1" t="s">
        <v>1259</v>
      </c>
      <c r="B391" s="0" t="s">
        <v>98</v>
      </c>
      <c r="C391" s="6" t="n">
        <f aca="false">(w_ntm28*Sens!G374+(1-w_ntm28)*Sens!H374)*m_ads</f>
        <v>114.891070326937</v>
      </c>
    </row>
    <row r="392" customFormat="false" ht="17.15" hidden="false" customHeight="false" outlineLevel="0" collapsed="false">
      <c r="A392" s="1" t="s">
        <v>1260</v>
      </c>
      <c r="B392" s="0" t="s">
        <v>98</v>
      </c>
      <c r="C392" s="6" t="n">
        <f aca="false">(w_ntm28*Sens!G379+(1-w_ntm28)*Sens!H379)*m_game</f>
        <v>98.505199156718</v>
      </c>
    </row>
    <row r="393" customFormat="false" ht="17.15" hidden="false" customHeight="false" outlineLevel="0" collapsed="false">
      <c r="A393" s="1" t="s">
        <v>1261</v>
      </c>
      <c r="B393" s="0" t="s">
        <v>98</v>
      </c>
      <c r="C393" s="6" t="n">
        <f aca="false">(w_ntm28*Sens!G380+(1-w_ntm28)*Sens!H380)*m_pc</f>
        <v>91.3231561150564</v>
      </c>
    </row>
    <row r="394" customFormat="false" ht="17.15" hidden="false" customHeight="false" outlineLevel="0" collapsed="false">
      <c r="A394" s="1" t="s">
        <v>1262</v>
      </c>
      <c r="B394" s="0" t="s">
        <v>98</v>
      </c>
      <c r="C394" s="6" t="n">
        <f aca="false">Sens!$C$384+Sens!$C$386+Sens!$C$387+Sens!$C$388+Sens!$C$389+Sens!$C$390+Sens!$C$391+Sens!$C$392+Sens!$C$393</f>
        <v>2967.11015661403</v>
      </c>
    </row>
    <row r="395" customFormat="false" ht="17.15" hidden="false" customHeight="false" outlineLevel="0" collapsed="false">
      <c r="A395" s="1" t="s">
        <v>1263</v>
      </c>
      <c r="B395" s="0" t="s">
        <v>98</v>
      </c>
      <c r="C395" s="6" t="n">
        <f aca="false">(Sens!G356-Sens!G381)*t_stub</f>
        <v>48.2832931160316</v>
      </c>
      <c r="L395" s="1" t="s">
        <v>1264</v>
      </c>
    </row>
    <row r="396" customFormat="false" ht="17.15" hidden="false" customHeight="false" outlineLevel="0" collapsed="false">
      <c r="A396" s="1" t="s">
        <v>1173</v>
      </c>
      <c r="B396" s="0" t="s">
        <v>98</v>
      </c>
      <c r="C396" s="6" t="n">
        <f aca="false">Sens!F343+oai_v-Sens!F332+Sens!$C$395</f>
        <v>162.511563116032</v>
      </c>
      <c r="L396" s="1" t="s">
        <v>1265</v>
      </c>
    </row>
    <row r="397" customFormat="false" ht="17.15" hidden="false" customHeight="false" outlineLevel="0" collapsed="false">
      <c r="A397" s="1" t="s">
        <v>1266</v>
      </c>
      <c r="B397" s="0" t="s">
        <v>75</v>
      </c>
      <c r="C397" s="5" t="n">
        <f aca="false">(Sens!$C$394+Sens!$C$396)/(Sens!F345+dil_gap)-Sens!G335*roll_div_q/q_per_yr</f>
        <v>416.785712178424</v>
      </c>
      <c r="L397" s="1" t="s">
        <v>1267</v>
      </c>
    </row>
    <row r="398" customFormat="false" ht="17.15" hidden="false" customHeight="false" outlineLevel="0" collapsed="false">
      <c r="A398" s="1" t="s">
        <v>1268</v>
      </c>
      <c r="B398" s="0" t="s">
        <v>75</v>
      </c>
      <c r="C398" s="5" t="n">
        <f aca="false">w_dcf*Sens!$C$368+(1-w_dcf)*Sens!$C$397</f>
        <v>357.167108273027</v>
      </c>
    </row>
    <row r="399" customFormat="false" ht="17.15" hidden="false" customHeight="false" outlineLevel="0" collapsed="false">
      <c r="A399" s="3" t="s">
        <v>1620</v>
      </c>
    </row>
    <row r="400" customFormat="false" ht="15" hidden="false" customHeight="false" outlineLevel="0" collapsed="false">
      <c r="A400" s="4" t="s">
        <v>43</v>
      </c>
      <c r="B400" s="4" t="s">
        <v>65</v>
      </c>
      <c r="C400" s="23" t="s">
        <v>942</v>
      </c>
      <c r="D400" s="23" t="s">
        <v>943</v>
      </c>
      <c r="E400" s="23" t="s">
        <v>944</v>
      </c>
      <c r="F400" s="23" t="s">
        <v>945</v>
      </c>
      <c r="G400" s="23" t="s">
        <v>946</v>
      </c>
      <c r="H400" s="23" t="s">
        <v>947</v>
      </c>
      <c r="I400" s="23" t="s">
        <v>948</v>
      </c>
      <c r="J400" s="23" t="s">
        <v>949</v>
      </c>
      <c r="K400" s="23" t="s">
        <v>950</v>
      </c>
      <c r="L400" s="4" t="s">
        <v>47</v>
      </c>
    </row>
    <row r="401" customFormat="false" ht="17.15" hidden="false" customHeight="false" outlineLevel="0" collapsed="false">
      <c r="A401" s="1" t="s">
        <v>951</v>
      </c>
      <c r="B401" s="1" t="s">
        <v>279</v>
      </c>
      <c r="C401" s="21" t="n">
        <v>2024</v>
      </c>
      <c r="D401" s="21" t="n">
        <v>2025</v>
      </c>
      <c r="E401" s="21" t="n">
        <v>2026</v>
      </c>
      <c r="F401" s="21" t="n">
        <v>2027</v>
      </c>
      <c r="G401" s="21" t="n">
        <v>2028</v>
      </c>
      <c r="H401" s="21" t="n">
        <v>2029</v>
      </c>
      <c r="I401" s="21" t="n">
        <v>2030</v>
      </c>
      <c r="J401" s="21" t="n">
        <v>2031</v>
      </c>
      <c r="K401" s="21" t="n">
        <v>2032</v>
      </c>
    </row>
    <row r="402" customFormat="false" ht="17.15" hidden="false" customHeight="false" outlineLevel="0" collapsed="false">
      <c r="A402" s="1" t="s">
        <v>952</v>
      </c>
      <c r="B402" s="0" t="s">
        <v>459</v>
      </c>
      <c r="F402" s="30" t="n">
        <f aca="false">pace</f>
        <v>2726.5351</v>
      </c>
      <c r="G402" s="30" t="n">
        <f aca="false">pace</f>
        <v>2726.5351</v>
      </c>
      <c r="H402" s="30" t="n">
        <f aca="false">pace</f>
        <v>2726.5351</v>
      </c>
      <c r="I402" s="30" t="n">
        <f aca="false">pace+(g_tv*Sens!H403-pace)*MIN(1,(Sens!I401-pace_y0)/(pace_y1-pace_y0))</f>
        <v>1931.98611966667</v>
      </c>
      <c r="J402" s="30" t="n">
        <f aca="false">pace+(g_tv*Sens!I403-pace)*MIN(1,(Sens!J401-pace_y0)/(pace_y1-pace_y0))</f>
        <v>1176.07686172667</v>
      </c>
      <c r="K402" s="30" t="n">
        <f aca="false">pace+(g_tv*Sens!J403-pace)*MIN(1,(Sens!K401-pace_y0)/(pace_y1-pace_y0))</f>
        <v>436.1300484418</v>
      </c>
      <c r="L402" s="12" t="s">
        <v>953</v>
      </c>
    </row>
    <row r="403" customFormat="false" ht="17.15" hidden="false" customHeight="false" outlineLevel="0" collapsed="false">
      <c r="A403" s="1" t="s">
        <v>954</v>
      </c>
      <c r="B403" s="0" t="s">
        <v>459</v>
      </c>
      <c r="C403" s="30" t="n">
        <f aca="false">mw_ext_24</f>
        <v>640</v>
      </c>
      <c r="D403" s="30" t="n">
        <f aca="false">mw_ext_25</f>
        <v>1630</v>
      </c>
      <c r="E403" s="30" t="n">
        <f aca="false">mw_ext_26</f>
        <v>3250</v>
      </c>
      <c r="F403" s="30" t="n">
        <f aca="false">Sens!E403+Sens!F402</f>
        <v>5976.5351</v>
      </c>
      <c r="G403" s="30" t="n">
        <f aca="false">Sens!F403+Sens!G402</f>
        <v>8703.0702</v>
      </c>
      <c r="H403" s="30" t="n">
        <f aca="false">Sens!G403+Sens!H402</f>
        <v>11429.6053</v>
      </c>
      <c r="I403" s="30" t="n">
        <f aca="false">Sens!H403+Sens!I402</f>
        <v>13361.5914196667</v>
      </c>
      <c r="J403" s="30" t="n">
        <f aca="false">Sens!I403+Sens!J402</f>
        <v>14537.6682813933</v>
      </c>
      <c r="K403" s="30" t="n">
        <f aca="false">Sens!J403+Sens!K402</f>
        <v>14973.7983298351</v>
      </c>
      <c r="L403" s="1" t="s">
        <v>955</v>
      </c>
    </row>
    <row r="404" customFormat="false" ht="17.15" hidden="false" customHeight="false" outlineLevel="0" collapsed="false">
      <c r="A404" s="1" t="s">
        <v>956</v>
      </c>
      <c r="B404" s="0" t="s">
        <v>459</v>
      </c>
      <c r="C404" s="30" t="n">
        <f aca="false">rent_ext_24</f>
        <v>150</v>
      </c>
      <c r="D404" s="30" t="n">
        <f aca="false">rent_ext_25</f>
        <v>400</v>
      </c>
      <c r="E404" s="30" t="n">
        <f aca="false">rent_ext_26</f>
        <v>550</v>
      </c>
      <c r="F404" s="30" t="n">
        <f aca="false">rent_ext_f</f>
        <v>756</v>
      </c>
      <c r="G404" s="30" t="n">
        <f aca="false">rent_ext_f</f>
        <v>756</v>
      </c>
      <c r="H404" s="30" t="n">
        <f aca="false">rent_ext_f</f>
        <v>756</v>
      </c>
      <c r="I404" s="30" t="n">
        <f aca="false">rent_ext_f</f>
        <v>756</v>
      </c>
      <c r="J404" s="30" t="n">
        <f aca="false">rent_ext_f</f>
        <v>756</v>
      </c>
      <c r="K404" s="30" t="n">
        <f aca="false">rent_ext_f</f>
        <v>756</v>
      </c>
      <c r="L404" s="1" t="s">
        <v>957</v>
      </c>
    </row>
    <row r="405" customFormat="false" ht="17.15" hidden="false" customHeight="false" outlineLevel="0" collapsed="false">
      <c r="A405" s="1" t="s">
        <v>958</v>
      </c>
      <c r="B405" s="0" t="s">
        <v>459</v>
      </c>
      <c r="C405" s="30" t="n">
        <f aca="false">Sens!C403-Sens!C404</f>
        <v>490</v>
      </c>
      <c r="D405" s="30" t="n">
        <f aca="false">Sens!D403-Sens!D404</f>
        <v>1230</v>
      </c>
      <c r="E405" s="30" t="n">
        <f aca="false">Sens!E403-Sens!E404</f>
        <v>2700</v>
      </c>
      <c r="F405" s="30" t="n">
        <f aca="false">Sens!F403-Sens!F404</f>
        <v>5220.5351</v>
      </c>
      <c r="G405" s="30" t="n">
        <f aca="false">Sens!G403-Sens!G404</f>
        <v>7947.0702</v>
      </c>
      <c r="H405" s="30" t="n">
        <f aca="false">Sens!H403-Sens!H404</f>
        <v>10673.6053</v>
      </c>
      <c r="I405" s="30" t="n">
        <f aca="false">Sens!I403-Sens!I404</f>
        <v>12605.5914196667</v>
      </c>
      <c r="J405" s="30" t="n">
        <f aca="false">Sens!J403-Sens!J404</f>
        <v>13781.6682813933</v>
      </c>
      <c r="K405" s="30" t="n">
        <f aca="false">Sens!K403-Sens!K404</f>
        <v>14217.7983298351</v>
      </c>
    </row>
    <row r="406" customFormat="false" ht="17.15" hidden="false" customHeight="false" outlineLevel="0" collapsed="false">
      <c r="A406" s="1" t="s">
        <v>959</v>
      </c>
      <c r="B406" s="0" t="s">
        <v>459</v>
      </c>
      <c r="C406" s="30" t="n">
        <f aca="false">Sens!C405/ext_sh</f>
        <v>816.666666666667</v>
      </c>
      <c r="D406" s="30" t="n">
        <f aca="false">Sens!D405/ext_sh</f>
        <v>2050</v>
      </c>
      <c r="E406" s="30" t="n">
        <f aca="false">Sens!E405/ext_sh</f>
        <v>4500</v>
      </c>
      <c r="F406" s="30" t="n">
        <f aca="false">Sens!F405/ext_sh</f>
        <v>8700.89183333333</v>
      </c>
      <c r="G406" s="30" t="n">
        <f aca="false">Sens!G405/ext_sh</f>
        <v>13245.117</v>
      </c>
      <c r="H406" s="30" t="n">
        <f aca="false">Sens!H405/ext_sh</f>
        <v>17789.3421666667</v>
      </c>
      <c r="I406" s="30" t="n">
        <f aca="false">Sens!I405/ext_sh</f>
        <v>21009.3190327778</v>
      </c>
      <c r="J406" s="30" t="n">
        <f aca="false">Sens!J405/ext_sh</f>
        <v>22969.4471356556</v>
      </c>
      <c r="K406" s="30" t="n">
        <f aca="false">Sens!K405/ext_sh</f>
        <v>23696.3305497252</v>
      </c>
      <c r="L406" s="1" t="s">
        <v>960</v>
      </c>
    </row>
    <row r="407" customFormat="false" ht="17.15" hidden="false" customHeight="false" outlineLevel="0" collapsed="false">
      <c r="A407" s="1" t="s">
        <v>961</v>
      </c>
      <c r="B407" s="0" t="s">
        <v>459</v>
      </c>
      <c r="C407" s="30" t="n">
        <f aca="false">Sens!C406-Sens!C405</f>
        <v>326.666666666667</v>
      </c>
      <c r="D407" s="30" t="n">
        <f aca="false">Sens!D406-Sens!D405</f>
        <v>820</v>
      </c>
      <c r="E407" s="30" t="n">
        <f aca="false">Sens!E406-Sens!E405</f>
        <v>1800</v>
      </c>
      <c r="F407" s="30" t="n">
        <f aca="false">Sens!F406-Sens!F405</f>
        <v>3480.35673333333</v>
      </c>
      <c r="G407" s="30" t="n">
        <f aca="false">Sens!G406-Sens!G405</f>
        <v>5298.0468</v>
      </c>
      <c r="H407" s="30" t="n">
        <f aca="false">Sens!H406-Sens!H405</f>
        <v>7115.73686666667</v>
      </c>
      <c r="I407" s="30" t="n">
        <f aca="false">Sens!I406-Sens!I405</f>
        <v>8403.72761311111</v>
      </c>
      <c r="J407" s="30" t="n">
        <f aca="false">Sens!J406-Sens!J405</f>
        <v>9187.77885426222</v>
      </c>
      <c r="K407" s="30" t="n">
        <f aca="false">Sens!K406-Sens!K405</f>
        <v>9478.53221989009</v>
      </c>
    </row>
    <row r="408" customFormat="false" ht="17.15" hidden="false" customHeight="false" outlineLevel="0" collapsed="false">
      <c r="A408" s="1" t="s">
        <v>962</v>
      </c>
      <c r="B408" s="0" t="s">
        <v>459</v>
      </c>
      <c r="C408" s="30" t="n">
        <f aca="false">Sens!C406</f>
        <v>816.666666666667</v>
      </c>
      <c r="D408" s="30" t="n">
        <f aca="false">Sens!D406-Sens!C406</f>
        <v>1233.33333333333</v>
      </c>
      <c r="E408" s="30" t="n">
        <f aca="false">Sens!E406-Sens!D406</f>
        <v>2450</v>
      </c>
      <c r="F408" s="30" t="n">
        <f aca="false">Sens!F406-Sens!E406</f>
        <v>4200.89183333333</v>
      </c>
      <c r="G408" s="30" t="n">
        <f aca="false">Sens!G406-Sens!F406</f>
        <v>4544.22516666667</v>
      </c>
      <c r="H408" s="30" t="n">
        <f aca="false">Sens!H406-Sens!G406</f>
        <v>4544.22516666667</v>
      </c>
      <c r="I408" s="30" t="n">
        <f aca="false">Sens!I406-Sens!H406</f>
        <v>3219.97686611111</v>
      </c>
      <c r="J408" s="30" t="n">
        <f aca="false">Sens!J406-Sens!I406</f>
        <v>1960.12810287778</v>
      </c>
      <c r="K408" s="30" t="n">
        <f aca="false">Sens!K406-Sens!J406</f>
        <v>726.883414069667</v>
      </c>
    </row>
    <row r="409" customFormat="false" ht="17.15" hidden="false" customHeight="false" outlineLevel="0" collapsed="false">
      <c r="A409" s="1" t="s">
        <v>963</v>
      </c>
      <c r="B409" s="0" t="s">
        <v>459</v>
      </c>
      <c r="D409" s="30" t="n">
        <f aca="false">Sens!D403-Sens!C403</f>
        <v>990</v>
      </c>
      <c r="E409" s="30" t="n">
        <f aca="false">Sens!E403-Sens!D403</f>
        <v>1620</v>
      </c>
      <c r="F409" s="30" t="n">
        <f aca="false">Sens!F403-Sens!E403</f>
        <v>2726.5351</v>
      </c>
      <c r="G409" s="30" t="n">
        <f aca="false">Sens!G403-Sens!F403</f>
        <v>2726.5351</v>
      </c>
      <c r="H409" s="30" t="n">
        <f aca="false">Sens!H403-Sens!G403</f>
        <v>2726.5351</v>
      </c>
      <c r="I409" s="30" t="n">
        <f aca="false">Sens!I403-Sens!H403</f>
        <v>1931.98611966667</v>
      </c>
      <c r="J409" s="30" t="n">
        <f aca="false">Sens!J403-Sens!I403</f>
        <v>1176.07686172667</v>
      </c>
      <c r="K409" s="30" t="n">
        <f aca="false">Sens!K403-Sens!J403</f>
        <v>436.130048441799</v>
      </c>
    </row>
    <row r="410" customFormat="false" ht="17.15" hidden="false" customHeight="false" outlineLevel="0" collapsed="false">
      <c r="A410" s="1" t="s">
        <v>964</v>
      </c>
      <c r="B410" s="0" t="s">
        <v>459</v>
      </c>
      <c r="F410" s="30" t="n">
        <f aca="false">Sens!F429*ext_sh</f>
        <v>0</v>
      </c>
      <c r="G410" s="30" t="n">
        <f aca="false">Sens!G429*ext_sh</f>
        <v>0</v>
      </c>
      <c r="H410" s="30" t="n">
        <f aca="false">Sens!H429*ext_sh</f>
        <v>0</v>
      </c>
      <c r="I410" s="30" t="n">
        <f aca="false">Sens!I429*ext_sh</f>
        <v>490</v>
      </c>
      <c r="J410" s="30" t="n">
        <f aca="false">Sens!J429*ext_sh</f>
        <v>740</v>
      </c>
      <c r="K410" s="30" t="n">
        <f aca="false">Sens!K429*ext_sh</f>
        <v>1470</v>
      </c>
      <c r="L410" s="1" t="s">
        <v>965</v>
      </c>
    </row>
    <row r="411" customFormat="false" ht="17.15" hidden="false" customHeight="false" outlineLevel="0" collapsed="false">
      <c r="A411" s="1" t="s">
        <v>966</v>
      </c>
      <c r="B411" s="0" t="s">
        <v>459</v>
      </c>
      <c r="C411" s="30" t="n">
        <f aca="false">mix_h*Sens!C403</f>
        <v>128</v>
      </c>
      <c r="D411" s="30" t="n">
        <f aca="false">mix_h*Sens!D403</f>
        <v>326</v>
      </c>
      <c r="E411" s="30" t="n">
        <f aca="false">mix_h*Sens!E403</f>
        <v>650</v>
      </c>
      <c r="F411" s="30" t="n">
        <f aca="false">Sens!E411-Sens!F410*mix_h</f>
        <v>650</v>
      </c>
      <c r="G411" s="30" t="n">
        <f aca="false">Sens!F411-Sens!G410*mix_h</f>
        <v>650</v>
      </c>
      <c r="H411" s="30" t="n">
        <f aca="false">Sens!G411-Sens!H410*mix_h</f>
        <v>650</v>
      </c>
      <c r="I411" s="30" t="n">
        <f aca="false">Sens!H411-Sens!I410*mix_h</f>
        <v>552</v>
      </c>
      <c r="J411" s="30" t="n">
        <f aca="false">Sens!I411-Sens!J410*mix_h</f>
        <v>404</v>
      </c>
      <c r="K411" s="30" t="n">
        <f aca="false">Sens!J411-Sens!K410*mix_h</f>
        <v>110</v>
      </c>
    </row>
    <row r="412" customFormat="false" ht="17.15" hidden="false" customHeight="false" outlineLevel="0" collapsed="false">
      <c r="A412" s="1" t="s">
        <v>967</v>
      </c>
      <c r="B412" s="0" t="s">
        <v>459</v>
      </c>
      <c r="C412" s="30" t="n">
        <f aca="false">mix_g2*Sens!C403</f>
        <v>288</v>
      </c>
      <c r="D412" s="30" t="n">
        <f aca="false">mix_g2*Sens!D403</f>
        <v>733.5</v>
      </c>
      <c r="E412" s="30" t="n">
        <f aca="false">mix_g2*Sens!E403</f>
        <v>1462.5</v>
      </c>
      <c r="F412" s="30" t="n">
        <f aca="false">Sens!E412-Sens!F410*mix_g2</f>
        <v>1462.5</v>
      </c>
      <c r="G412" s="30" t="n">
        <f aca="false">Sens!F412-Sens!G410*mix_g2</f>
        <v>1462.5</v>
      </c>
      <c r="H412" s="30" t="n">
        <f aca="false">Sens!G412-Sens!H410*mix_g2</f>
        <v>1462.5</v>
      </c>
      <c r="I412" s="30" t="n">
        <f aca="false">Sens!H412-Sens!I410*mix_g2</f>
        <v>1242</v>
      </c>
      <c r="J412" s="30" t="n">
        <f aca="false">Sens!I412-Sens!J410*mix_g2</f>
        <v>909</v>
      </c>
      <c r="K412" s="30" t="n">
        <f aca="false">Sens!J412-Sens!K410*mix_g2</f>
        <v>247.5</v>
      </c>
    </row>
    <row r="413" customFormat="false" ht="17.15" hidden="false" customHeight="false" outlineLevel="0" collapsed="false">
      <c r="A413" s="1" t="s">
        <v>968</v>
      </c>
      <c r="B413" s="0" t="s">
        <v>459</v>
      </c>
      <c r="C413" s="30" t="n">
        <f aca="false">mix_g3*Sens!C403</f>
        <v>224</v>
      </c>
      <c r="D413" s="30" t="n">
        <f aca="false">mix_g3*Sens!D403</f>
        <v>570.5</v>
      </c>
      <c r="E413" s="30" t="n">
        <f aca="false">mix_g3*Sens!E403</f>
        <v>1137.5</v>
      </c>
      <c r="F413" s="30" t="n">
        <f aca="false">Sens!E413+(Sens!F409+Sens!F410)*(a_g3_27-nonnv*a_mai)-Sens!F410*mix_g3</f>
        <v>2773.42106</v>
      </c>
      <c r="G413" s="30" t="n">
        <f aca="false">Sens!F413+(Sens!G409+Sens!G410)*(a_g3_28-nonnv*a_mai)-Sens!G410*mix_g3</f>
        <v>3318.72808</v>
      </c>
      <c r="H413" s="30" t="n">
        <f aca="false">Sens!G413+(Sens!H409+Sens!H410)*(a_g3_29-nonnv*a_mai)-Sens!H410*mix_g3</f>
        <v>3318.72808</v>
      </c>
      <c r="I413" s="30" t="n">
        <f aca="false">Sens!H413+(Sens!I409+Sens!I410)*(a_g3_29-nonnv*a_mai)-Sens!I410*mix_g3</f>
        <v>3147.22808</v>
      </c>
      <c r="J413" s="30" t="n">
        <f aca="false">Sens!I413+(Sens!J409+Sens!J410)*(a_g3_29-nonnv*a_mai)-Sens!J410*mix_g3</f>
        <v>2888.22808</v>
      </c>
      <c r="K413" s="30" t="n">
        <f aca="false">Sens!J413+(Sens!K409+Sens!K410)*(a_g3_29-nonnv*a_mai)-Sens!K410*mix_g3</f>
        <v>2373.72808</v>
      </c>
    </row>
    <row r="414" customFormat="false" ht="17.15" hidden="false" customHeight="false" outlineLevel="0" collapsed="false">
      <c r="A414" s="1" t="s">
        <v>969</v>
      </c>
      <c r="B414" s="0" t="s">
        <v>459</v>
      </c>
      <c r="C414" s="30" t="n">
        <v>0</v>
      </c>
      <c r="D414" s="30" t="n">
        <v>0</v>
      </c>
      <c r="E414" s="30" t="n">
        <v>0</v>
      </c>
      <c r="F414" s="30" t="n">
        <f aca="false">Sens!E414+(Sens!F409+Sens!F410)*nonnv*a_mai</f>
        <v>272.65351</v>
      </c>
      <c r="G414" s="30" t="n">
        <f aca="false">Sens!F414+(Sens!G409+Sens!G410)*nonnv*a_mai</f>
        <v>545.30702</v>
      </c>
      <c r="H414" s="30" t="n">
        <f aca="false">Sens!G414+(Sens!H409+Sens!H410)*nonnv*a_mai</f>
        <v>817.96053</v>
      </c>
      <c r="I414" s="30" t="n">
        <f aca="false">Sens!H414+(Sens!I409+Sens!I410)*nonnv*a_mai</f>
        <v>1060.15914196667</v>
      </c>
      <c r="J414" s="30" t="n">
        <f aca="false">Sens!I414+(Sens!J409+Sens!J410)*nonnv*a_mai</f>
        <v>1251.76682813933</v>
      </c>
      <c r="K414" s="30" t="n">
        <f aca="false">Sens!J414+(Sens!K409+Sens!K410)*nonnv*a_mai</f>
        <v>1442.37983298351</v>
      </c>
      <c r="L414" s="12" t="s">
        <v>970</v>
      </c>
    </row>
    <row r="415" customFormat="false" ht="17.15" hidden="false" customHeight="false" outlineLevel="0" collapsed="false">
      <c r="A415" s="1" t="s">
        <v>971</v>
      </c>
      <c r="B415" s="0" t="s">
        <v>459</v>
      </c>
      <c r="C415" s="30" t="n">
        <v>0</v>
      </c>
      <c r="D415" s="30" t="n">
        <v>0</v>
      </c>
      <c r="E415" s="30" t="n">
        <v>0</v>
      </c>
      <c r="F415" s="30" t="n">
        <f aca="false">Sens!E415+(Sens!F409+Sens!F410)*(1-a_g3_27)</f>
        <v>817.96053</v>
      </c>
      <c r="G415" s="30" t="n">
        <f aca="false">Sens!F415+(Sens!G409+Sens!G410)*(1-a_g3_28)</f>
        <v>2726.5351</v>
      </c>
      <c r="H415" s="30" t="n">
        <f aca="false">Sens!G415+(Sens!H409+Sens!H410)*(1-a_g3_29)</f>
        <v>5180.41669</v>
      </c>
      <c r="I415" s="30" t="n">
        <f aca="false">Sens!H415+(Sens!I409+Sens!I410)*(1-a_g3_29)</f>
        <v>7360.2041977</v>
      </c>
      <c r="J415" s="30" t="n">
        <f aca="false">Sens!I415+(Sens!J409+Sens!J410)*(1-a_g3_29)</f>
        <v>9084.673373254</v>
      </c>
      <c r="K415" s="30" t="n">
        <f aca="false">Sens!J415+(Sens!K409+Sens!K410)*(1-a_g3_29)</f>
        <v>10800.1904168516</v>
      </c>
    </row>
    <row r="416" customFormat="false" ht="17.15" hidden="false" customHeight="false" outlineLevel="0" collapsed="false">
      <c r="A416" s="1" t="s">
        <v>972</v>
      </c>
      <c r="B416" s="0" t="s">
        <v>403</v>
      </c>
      <c r="C416" s="15" t="n">
        <f aca="false">(Sens!C411*tk_hold_h100+Sens!C412*tk_hold_gb200+Sens!C413*tk_hold_gb300+Sens!C415*tk_hold_vr200+Sens!C414*nv_hold_mai*tk_hold_vr200)/Sens!C403</f>
        <v>9.7235358126469</v>
      </c>
      <c r="D416" s="15" t="n">
        <f aca="false">(Sens!D411*tk_hold_h100+Sens!D412*tk_hold_gb200+Sens!D413*tk_hold_gb300+Sens!D415*tk_hold_vr200+Sens!D414*nv_hold_mai*tk_hold_vr200)/Sens!D403</f>
        <v>9.7235358126469</v>
      </c>
      <c r="E416" s="15" t="n">
        <f aca="false">(Sens!E411*tk_hold_h100+Sens!E412*tk_hold_gb200+Sens!E413*tk_hold_gb300+Sens!E415*tk_hold_vr200+Sens!E414*nv_hold_mai*tk_hold_vr200)/Sens!E403</f>
        <v>9.7235358126469</v>
      </c>
      <c r="F416" s="15" t="n">
        <f aca="false">(Sens!F411*tk_hold_h100+Sens!F412*tk_hold_gb200+Sens!F413*tk_hold_gb300+Sens!F415*tk_hold_vr200+Sens!F414*nv_hold_mai*tk_hold_vr200)/Sens!F403</f>
        <v>10.2195353876665</v>
      </c>
      <c r="G416" s="15" t="n">
        <f aca="false">(Sens!G411*tk_hold_h100+Sens!G412*tk_hold_gb200+Sens!G413*tk_hold_gb300+Sens!G415*tk_hold_vr200+Sens!G414*nv_hold_mai*tk_hold_vr200)/Sens!G403</f>
        <v>10.5725598017306</v>
      </c>
      <c r="H416" s="15" t="n">
        <f aca="false">(Sens!H411*tk_hold_h100+Sens!H412*tk_hold_gb200+Sens!H413*tk_hold_gb300+Sens!H415*tk_hold_vr200+Sens!H414*nv_hold_mai*tk_hold_vr200)/Sens!H403</f>
        <v>10.8210427149036</v>
      </c>
      <c r="I416" s="15" t="n">
        <f aca="false">(Sens!I411*tk_hold_h100+Sens!I412*tk_hold_gb200+Sens!I413*tk_hold_gb300+Sens!I415*tk_hold_vr200+Sens!I414*nv_hold_mai*tk_hold_vr200)/Sens!I403</f>
        <v>11.0050618241982</v>
      </c>
      <c r="J416" s="15" t="n">
        <f aca="false">(Sens!J411*tk_hold_h100+Sens!J412*tk_hold_gb200+Sens!J413*tk_hold_gb300+Sens!J415*tk_hold_vr200+Sens!J414*nv_hold_mai*tk_hold_vr200)/Sens!J403</f>
        <v>11.1505789658881</v>
      </c>
      <c r="K416" s="15" t="n">
        <f aca="false">(Sens!K411*tk_hold_h100+Sens!K412*tk_hold_gb200+Sens!K413*tk_hold_gb300+Sens!K415*tk_hold_vr200+Sens!K414*nv_hold_mai*tk_hold_vr200)/Sens!K403</f>
        <v>11.3496914757183</v>
      </c>
      <c r="L416" s="1" t="s">
        <v>973</v>
      </c>
    </row>
    <row r="417" customFormat="false" ht="17.15" hidden="false" customHeight="false" outlineLevel="0" collapsed="false">
      <c r="A417" s="1" t="s">
        <v>974</v>
      </c>
      <c r="B417" s="0" t="s">
        <v>403</v>
      </c>
      <c r="C417" s="15" t="n">
        <f aca="false">(Sens!C411*tk_hold_h100+Sens!C412*tk_hold_gb200+Sens!C413*tk_hold_gb300+Sens!C415*tk_hold_vr200+Sens!C414*nv_out_mai*tk_hold_vr200)/Sens!C403</f>
        <v>9.7235358126469</v>
      </c>
      <c r="D417" s="15" t="n">
        <f aca="false">(Sens!D411*tk_hold_h100+Sens!D412*tk_hold_gb200+Sens!D413*tk_hold_gb300+Sens!D415*tk_hold_vr200+Sens!D414*nv_out_mai*tk_hold_vr200)/Sens!D403</f>
        <v>9.7235358126469</v>
      </c>
      <c r="E417" s="15" t="n">
        <f aca="false">(Sens!E411*tk_hold_h100+Sens!E412*tk_hold_gb200+Sens!E413*tk_hold_gb300+Sens!E415*tk_hold_vr200+Sens!E414*nv_out_mai*tk_hold_vr200)/Sens!E403</f>
        <v>9.7235358126469</v>
      </c>
      <c r="F417" s="15" t="n">
        <f aca="false">(Sens!F411*tk_hold_h100+Sens!F412*tk_hold_gb200+Sens!F413*tk_hold_gb300+Sens!F415*tk_hold_vr200+Sens!F414*nv_out_mai*tk_hold_vr200)/Sens!F403</f>
        <v>10.247422093969</v>
      </c>
      <c r="G417" s="15" t="n">
        <f aca="false">(Sens!G411*tk_hold_h100+Sens!G412*tk_hold_gb200+Sens!G413*tk_hold_gb300+Sens!G415*tk_hold_vr200+Sens!G414*nv_out_mai*tk_hold_vr200)/Sens!G403</f>
        <v>10.6108602808053</v>
      </c>
      <c r="H417" s="15" t="n">
        <f aca="false">(Sens!H411*tk_hold_h100+Sens!H412*tk_hold_gb200+Sens!H413*tk_hold_gb300+Sens!H415*tk_hold_vr200+Sens!H414*nv_out_mai*tk_hold_vr200)/Sens!H403</f>
        <v>10.8647885507393</v>
      </c>
      <c r="I417" s="15" t="n">
        <f aca="false">(Sens!I411*tk_hold_h100+Sens!I412*tk_hold_gb200+Sens!I413*tk_hold_gb300+Sens!I415*tk_hold_vr200+Sens!I414*nv_out_mai*tk_hold_vr200)/Sens!I403</f>
        <v>11.0535625770025</v>
      </c>
      <c r="J417" s="15" t="n">
        <f aca="false">(Sens!J411*tk_hold_h100+Sens!J412*tk_hold_gb200+Sens!J413*tk_hold_gb300+Sens!J415*tk_hold_vr200+Sens!J414*nv_out_mai*tk_hold_vr200)/Sens!J403</f>
        <v>11.2032127128058</v>
      </c>
      <c r="K417" s="15" t="n">
        <f aca="false">(Sens!K411*tk_hold_h100+Sens!K412*tk_hold_gb200+Sens!K413*tk_hold_gb300+Sens!K415*tk_hold_vr200+Sens!K414*nv_out_mai*tk_hold_vr200)/Sens!K403</f>
        <v>11.4085735724225</v>
      </c>
      <c r="L417" s="12" t="s">
        <v>975</v>
      </c>
    </row>
    <row r="418" customFormat="false" ht="17.15" hidden="false" customHeight="false" outlineLevel="0" collapsed="false">
      <c r="A418" s="0" t="s">
        <v>976</v>
      </c>
      <c r="B418" s="0" t="s">
        <v>229</v>
      </c>
      <c r="C418" s="15" t="n">
        <f aca="false">k_B</f>
        <v>1.17213932619116</v>
      </c>
      <c r="D418" s="15" t="n">
        <f aca="false">k_B</f>
        <v>1.17213932619116</v>
      </c>
      <c r="E418" s="15" t="n">
        <f aca="false">k_B</f>
        <v>1.17213932619116</v>
      </c>
      <c r="F418" s="15" t="n">
        <f aca="false">(k_B+((ls_B*k_long+(1-ls_B)*k_spot)-k_B)*MIN(1,(Sens!F401-base_fy)/k_ramp))</f>
        <v>1.17213932619116</v>
      </c>
      <c r="G418" s="15" t="n">
        <f aca="false">(k_B+((ls_B*k_long+(1-ls_B)*k_spot)-k_B)*MIN(1,(Sens!G401-base_fy)/k_ramp))</f>
        <v>1.17213932619116</v>
      </c>
      <c r="H418" s="15" t="n">
        <f aca="false">(k_B+((ls_B*k_long+(1-ls_B)*k_spot)-k_B)*MIN(1,(Sens!H401-base_fy)/k_ramp))</f>
        <v>1.17213932619116</v>
      </c>
      <c r="I418" s="15" t="n">
        <f aca="false">(k_B+((ls_B*k_long+(1-ls_B)*k_spot)-k_B)*MIN(1,(Sens!I401-base_fy)/k_ramp))</f>
        <v>1.17213932619116</v>
      </c>
      <c r="J418" s="15" t="n">
        <f aca="false">(k_B+((ls_B*k_long+(1-ls_B)*k_spot)-k_B)*MIN(1,(Sens!J401-base_fy)/k_ramp))</f>
        <v>1.17213932619116</v>
      </c>
      <c r="K418" s="15" t="n">
        <f aca="false">(k_B+((ls_B*k_long+(1-ls_B)*k_spot)-k_B)*MIN(1,(Sens!K401-base_fy)/k_ramp))</f>
        <v>1.17213932619116</v>
      </c>
      <c r="L418" s="1" t="s">
        <v>977</v>
      </c>
    </row>
    <row r="419" customFormat="false" ht="17.15" hidden="false" customHeight="false" outlineLevel="0" collapsed="false">
      <c r="A419" s="1" t="s">
        <v>978</v>
      </c>
      <c r="B419" s="0" t="s">
        <v>403</v>
      </c>
      <c r="C419" s="15" t="n">
        <f aca="false">Sens!C417*Sens!C418*chip_f</f>
        <v>11.3973387156315</v>
      </c>
      <c r="D419" s="15" t="n">
        <f aca="false">Sens!D417*Sens!D418*chip_f</f>
        <v>11.3973387156315</v>
      </c>
      <c r="E419" s="15" t="n">
        <f aca="false">Sens!E417*Sens!E418*chip_f</f>
        <v>11.3973387156315</v>
      </c>
      <c r="F419" s="15" t="n">
        <f aca="false">Sens!F417*Sens!F418*chip_f</f>
        <v>12.0114064284211</v>
      </c>
      <c r="G419" s="15" t="n">
        <f aca="false">Sens!G417*Sens!G418*chip_f</f>
        <v>12.4374066198516</v>
      </c>
      <c r="H419" s="15" t="n">
        <f aca="false">Sens!H417*Sens!H418*chip_f</f>
        <v>12.735045931073</v>
      </c>
      <c r="I419" s="15" t="n">
        <f aca="false">Sens!I417*Sens!I418*chip_f</f>
        <v>12.9563153910195</v>
      </c>
      <c r="J419" s="15" t="n">
        <f aca="false">Sens!J417*Sens!J418*chip_f</f>
        <v>13.1317262003643</v>
      </c>
      <c r="K419" s="15" t="n">
        <f aca="false">Sens!K417*Sens!K418*chip_f</f>
        <v>13.3724377399815</v>
      </c>
      <c r="L419" s="1" t="s">
        <v>979</v>
      </c>
    </row>
    <row r="420" customFormat="false" ht="17.15" hidden="false" customHeight="false" outlineLevel="0" collapsed="false">
      <c r="A420" s="0" t="s">
        <v>980</v>
      </c>
      <c r="B420" s="0" t="s">
        <v>98</v>
      </c>
      <c r="D420" s="6" t="n">
        <f aca="false">(Sens!C403+Sens!D403)/2*Sens!D419/1000</f>
        <v>12.9359794422418</v>
      </c>
      <c r="E420" s="6" t="n">
        <f aca="false">(Sens!D403+Sens!E403)/2*Sens!E419/1000</f>
        <v>27.8095064661409</v>
      </c>
      <c r="F420" s="6" t="n">
        <f aca="false">(Sens!E403+Sens!F403)/2*Sens!F419/1000</f>
        <v>55.4118315060966</v>
      </c>
      <c r="G420" s="6" t="n">
        <f aca="false">(Sens!F403+Sens!G403)/2*Sens!G419/1000</f>
        <v>91.2881100675143</v>
      </c>
      <c r="H420" s="6" t="n">
        <f aca="false">(Sens!G403+Sens!H403)/2*Sens!H419/1000</f>
        <v>128.195273603944</v>
      </c>
      <c r="I420" s="6" t="n">
        <f aca="false">(Sens!H403+Sens!I403)/2*Sens!I419/1000</f>
        <v>160.601281810405</v>
      </c>
      <c r="J420" s="6" t="n">
        <f aca="false">(Sens!I403+Sens!J403)/2*Sens!J419/1000</f>
        <v>183.182719793589</v>
      </c>
      <c r="K420" s="6" t="n">
        <f aca="false">(Sens!J403+Sens!K403)/2*Sens!K419/1000</f>
        <v>197.320124937098</v>
      </c>
      <c r="L420" s="12" t="s">
        <v>981</v>
      </c>
    </row>
    <row r="421" customFormat="false" ht="17.15" hidden="false" customHeight="false" outlineLevel="0" collapsed="false">
      <c r="A421" s="1" t="s">
        <v>982</v>
      </c>
      <c r="B421" s="0" t="s">
        <v>403</v>
      </c>
      <c r="C421" s="15" t="n">
        <f aca="false">(Sens!C411*tk_opex_h100+Sens!C412*tk_opex_gb200+Sens!C413*tk_opex_gb300+(Sens!C415+Sens!C414)*tk_opex_vr200)/Sens!C403</f>
        <v>1.88636041306092</v>
      </c>
      <c r="D421" s="15" t="n">
        <f aca="false">(Sens!D411*tk_opex_h100+Sens!D412*tk_opex_gb200+Sens!D413*tk_opex_gb300+(Sens!D415+Sens!D414)*tk_opex_vr200)/Sens!D403</f>
        <v>1.88636041306092</v>
      </c>
      <c r="E421" s="15" t="n">
        <f aca="false">(Sens!E411*tk_opex_h100+Sens!E412*tk_opex_gb200+Sens!E413*tk_opex_gb300+(Sens!E415+Sens!E414)*tk_opex_vr200)/Sens!E403</f>
        <v>1.88636041306092</v>
      </c>
      <c r="F421" s="15" t="n">
        <f aca="false">(Sens!F411*tk_opex_h100+Sens!F412*tk_opex_gb200+Sens!F413*tk_opex_gb300+(Sens!F415+Sens!F414)*tk_opex_vr200)/Sens!F403</f>
        <v>1.95051159746876</v>
      </c>
      <c r="G421" s="15" t="n">
        <f aca="false">(Sens!G411*tk_opex_h100+Sens!G412*tk_opex_gb200+Sens!G413*tk_opex_gb300+(Sens!G415+Sens!G414)*tk_opex_vr200)/Sens!G403</f>
        <v>1.98836003669956</v>
      </c>
      <c r="H421" s="15" t="n">
        <f aca="false">(Sens!H411*tk_opex_h100+Sens!H412*tk_opex_gb200+Sens!H413*tk_opex_gb300+(Sens!H415+Sens!H414)*tk_opex_vr200)/Sens!H403</f>
        <v>2.01344013834343</v>
      </c>
      <c r="I421" s="15" t="n">
        <f aca="false">(Sens!I411*tk_opex_h100+Sens!I412*tk_opex_gb200+Sens!I413*tk_opex_gb300+(Sens!I415+Sens!I414)*tk_opex_vr200)/Sens!I403</f>
        <v>2.03261166882178</v>
      </c>
      <c r="J421" s="15" t="n">
        <f aca="false">(Sens!J411*tk_opex_h100+Sens!J412*tk_opex_gb200+Sens!J413*tk_opex_gb300+(Sens!J415+Sens!J414)*tk_opex_vr200)/Sens!J403</f>
        <v>2.04808073288745</v>
      </c>
      <c r="K421" s="15" t="n">
        <f aca="false">(Sens!K411*tk_opex_h100+Sens!K412*tk_opex_gb200+Sens!K413*tk_opex_gb300+(Sens!K415+Sens!K414)*tk_opex_vr200)/Sens!K403</f>
        <v>2.06973825807449</v>
      </c>
      <c r="L421" s="12" t="s">
        <v>983</v>
      </c>
    </row>
    <row r="422" customFormat="false" ht="17.15" hidden="false" customHeight="false" outlineLevel="0" collapsed="false">
      <c r="A422" s="0" t="s">
        <v>984</v>
      </c>
      <c r="B422" s="0" t="s">
        <v>98</v>
      </c>
      <c r="D422" s="6" t="n">
        <f aca="false">(Sens!C406+Sens!D406)/2*Sens!D421/1000</f>
        <v>2.70378325872065</v>
      </c>
      <c r="E422" s="6" t="n">
        <f aca="false">(Sens!D406+Sens!E406)/2*Sens!E421/1000</f>
        <v>6.17783035277451</v>
      </c>
      <c r="F422" s="6" t="n">
        <f aca="false">(Sens!E406+Sens!F406)/2*Sens!F421/1000</f>
        <v>12.8742463089237</v>
      </c>
      <c r="G422" s="6" t="n">
        <f aca="false">(Sens!F406+Sens!G406)/2*Sens!G421/1000</f>
        <v>21.8182834646277</v>
      </c>
      <c r="H422" s="6" t="n">
        <f aca="false">(Sens!G406+Sens!H406)/2*Sens!H421/1000</f>
        <v>31.2430128789734</v>
      </c>
      <c r="I422" s="6" t="n">
        <f aca="false">(Sens!H406+Sens!I406)/2*Sens!I421/1000</f>
        <v>39.4313057443268</v>
      </c>
      <c r="J422" s="6" t="n">
        <f aca="false">(Sens!I406+Sens!J406)/2*Sens!J421/1000</f>
        <v>45.0360318228653</v>
      </c>
      <c r="K422" s="6" t="n">
        <f aca="false">(Sens!J406+Sens!K406)/2*Sens!K421/1000</f>
        <v>48.2929727091156</v>
      </c>
    </row>
    <row r="423" customFormat="false" ht="17.15" hidden="false" customHeight="false" outlineLevel="0" collapsed="false">
      <c r="A423" s="0" t="s">
        <v>985</v>
      </c>
      <c r="B423" s="0" t="s">
        <v>98</v>
      </c>
      <c r="D423" s="6" t="n">
        <f aca="false">(Sens!C404+Sens!D404)/2*rent_mw/1000</f>
        <v>2.44475</v>
      </c>
      <c r="E423" s="6" t="n">
        <f aca="false">(Sens!D404+Sens!E404)/2*rent_mw/1000</f>
        <v>4.22275</v>
      </c>
      <c r="F423" s="6" t="n">
        <f aca="false">(Sens!E404+Sens!F404)/2*rent_mw/1000</f>
        <v>5.80517</v>
      </c>
      <c r="G423" s="6" t="n">
        <f aca="false">(Sens!F404+Sens!G404)/2*rent_mw/1000</f>
        <v>6.72084</v>
      </c>
      <c r="H423" s="6" t="n">
        <f aca="false">(Sens!G404+Sens!H404)/2*rent_mw/1000</f>
        <v>6.72084</v>
      </c>
      <c r="I423" s="6" t="n">
        <f aca="false">(Sens!H404+Sens!I404)/2*rent_mw/1000</f>
        <v>6.72084</v>
      </c>
      <c r="J423" s="6" t="n">
        <f aca="false">(Sens!I404+Sens!J404)/2*rent_mw/1000</f>
        <v>6.72084</v>
      </c>
      <c r="K423" s="6" t="n">
        <f aca="false">(Sens!J404+Sens!K404)/2*rent_mw/1000</f>
        <v>6.72084</v>
      </c>
    </row>
    <row r="424" customFormat="false" ht="17.15" hidden="false" customHeight="false" outlineLevel="0" collapsed="false">
      <c r="A424" s="0" t="s">
        <v>986</v>
      </c>
      <c r="B424" s="0" t="s">
        <v>98</v>
      </c>
      <c r="D424" s="6" t="n">
        <f aca="false">(Sens!C406+Sens!D406)/2*(1-self_build)*fac_rent/1000</f>
        <v>0.853242375631075</v>
      </c>
      <c r="E424" s="6" t="n">
        <f aca="false">(Sens!D406+Sens!E406)/2*(1-self_build)*fac_rent/1000</f>
        <v>1.94955961408728</v>
      </c>
      <c r="F424" s="6" t="n">
        <f aca="false">(Sens!E406+Sens!F406)/2*(1-self_build)*fac_rent/1000</f>
        <v>3.92914894476356</v>
      </c>
      <c r="G424" s="6" t="n">
        <f aca="false">(Sens!F406+Sens!G406)/2*(1-self_build)*fac_rent/1000</f>
        <v>6.53206908578159</v>
      </c>
      <c r="H424" s="6" t="n">
        <f aca="false">(Sens!G406+Sens!H406)/2*(1-self_build)*fac_rent/1000</f>
        <v>9.23717988341591</v>
      </c>
      <c r="I424" s="6" t="n">
        <f aca="false">(Sens!H406+Sens!I406)/2*(1-self_build)*fac_rent/1000</f>
        <v>11.5481378557393</v>
      </c>
      <c r="J424" s="6" t="n">
        <f aca="false">(Sens!I406+Sens!J406)/2*(1-self_build)*fac_rent/1000</f>
        <v>13.0899582289108</v>
      </c>
      <c r="K424" s="6" t="n">
        <f aca="false">(Sens!J406+Sens!K406)/2*(1-self_build)*fac_rent/1000</f>
        <v>13.8897275626556</v>
      </c>
      <c r="L424" s="12" t="s">
        <v>987</v>
      </c>
    </row>
    <row r="425" customFormat="false" ht="17.15" hidden="false" customHeight="false" outlineLevel="0" collapsed="false">
      <c r="A425" s="1" t="s">
        <v>988</v>
      </c>
      <c r="B425" s="0" t="s">
        <v>168</v>
      </c>
      <c r="D425" s="7" t="n">
        <f aca="false">(Sens!C405+Sens!D405)/(Sens!C406+Sens!D406)</f>
        <v>0.6</v>
      </c>
      <c r="E425" s="7" t="n">
        <f aca="false">(Sens!D405+Sens!E405)/(Sens!D406+Sens!E406)</f>
        <v>0.6</v>
      </c>
      <c r="F425" s="7" t="n">
        <f aca="false">(Sens!E405+Sens!F405)/(Sens!E406+Sens!F406)</f>
        <v>0.6</v>
      </c>
      <c r="G425" s="7" t="n">
        <f aca="false">(Sens!F405+Sens!G405)/(Sens!F406+Sens!G406)</f>
        <v>0.6</v>
      </c>
      <c r="H425" s="7" t="n">
        <f aca="false">(Sens!G405+Sens!H405)/(Sens!G406+Sens!H406)</f>
        <v>0.6</v>
      </c>
      <c r="I425" s="7" t="n">
        <f aca="false">(Sens!H405+Sens!I405)/(Sens!H406+Sens!I406)</f>
        <v>0.6</v>
      </c>
      <c r="J425" s="7" t="n">
        <f aca="false">(Sens!I405+Sens!J405)/(Sens!I406+Sens!J406)</f>
        <v>0.6</v>
      </c>
      <c r="K425" s="7" t="n">
        <f aca="false">(Sens!J405+Sens!K405)/(Sens!J406+Sens!K406)</f>
        <v>0.6</v>
      </c>
    </row>
    <row r="426" customFormat="false" ht="17.15" hidden="false" customHeight="false" outlineLevel="0" collapsed="false">
      <c r="A426" s="0" t="s">
        <v>989</v>
      </c>
      <c r="B426" s="0" t="s">
        <v>98</v>
      </c>
      <c r="D426" s="6" t="n">
        <f aca="false">Sens!D420-Sens!D425*(Sens!D422+Sens!D424)-Sens!D423</f>
        <v>8.35701406163072</v>
      </c>
      <c r="E426" s="6" t="n">
        <f aca="false">Sens!E420-Sens!E425*(Sens!E422+Sens!E424)-Sens!E423</f>
        <v>18.7103224860238</v>
      </c>
      <c r="F426" s="6" t="n">
        <f aca="false">Sens!F420-Sens!F425*(Sens!F422+Sens!F424)-Sens!F423</f>
        <v>39.5246243538843</v>
      </c>
      <c r="G426" s="6" t="n">
        <f aca="false">Sens!G420-Sens!G425*(Sens!G422+Sens!G424)-Sens!G423</f>
        <v>67.5570585372687</v>
      </c>
      <c r="H426" s="6" t="n">
        <f aca="false">Sens!H420-Sens!H425*(Sens!H422+Sens!H424)-Sens!H423</f>
        <v>97.1863179465102</v>
      </c>
      <c r="I426" s="6" t="n">
        <f aca="false">Sens!I420-Sens!I425*(Sens!I422+Sens!I424)-Sens!I423</f>
        <v>123.292775650365</v>
      </c>
      <c r="J426" s="6" t="n">
        <f aca="false">Sens!J420-Sens!J425*(Sens!J422+Sens!J424)-Sens!J423</f>
        <v>141.586285762524</v>
      </c>
      <c r="K426" s="6" t="n">
        <f aca="false">Sens!K420-Sens!K425*(Sens!K422+Sens!K424)-Sens!K423</f>
        <v>153.289664774035</v>
      </c>
    </row>
    <row r="427" customFormat="false" ht="17.15" hidden="false" customHeight="false" outlineLevel="0" collapsed="false">
      <c r="A427" s="1" t="s">
        <v>990</v>
      </c>
      <c r="B427" s="0" t="s">
        <v>98</v>
      </c>
      <c r="D427" s="6" t="n">
        <f aca="false">(1-Sens!D425)*(Sens!D422+Sens!D424)</f>
        <v>1.42281025374069</v>
      </c>
      <c r="E427" s="6" t="n">
        <f aca="false">(1-Sens!E425)*(Sens!E422+Sens!E424)</f>
        <v>3.25095598674472</v>
      </c>
      <c r="F427" s="6" t="n">
        <f aca="false">(1-Sens!F425)*(Sens!F422+Sens!F424)</f>
        <v>6.72135810147489</v>
      </c>
      <c r="G427" s="6" t="n">
        <f aca="false">(1-Sens!G425)*(Sens!G422+Sens!G424)</f>
        <v>11.3401410201637</v>
      </c>
      <c r="H427" s="6" t="n">
        <f aca="false">(1-Sens!H425)*(Sens!H422+Sens!H424)</f>
        <v>16.1920771049557</v>
      </c>
      <c r="I427" s="6" t="n">
        <f aca="false">(1-Sens!I425)*(Sens!I422+Sens!I424)</f>
        <v>20.3917774400264</v>
      </c>
      <c r="J427" s="6" t="n">
        <f aca="false">(1-Sens!J425)*(Sens!J422+Sens!J424)</f>
        <v>23.2503960207104</v>
      </c>
      <c r="K427" s="6" t="n">
        <f aca="false">(1-Sens!K425)*(Sens!K422+Sens!K424)</f>
        <v>24.8730801087085</v>
      </c>
    </row>
    <row r="428" customFormat="false" ht="17.15" hidden="false" customHeight="false" outlineLevel="0" collapsed="false">
      <c r="A428" s="1" t="s">
        <v>991</v>
      </c>
      <c r="B428" s="0" t="s">
        <v>417</v>
      </c>
      <c r="C428" s="8" t="n">
        <f aca="false">cxit_open</f>
        <v>27.5918995</v>
      </c>
      <c r="D428" s="8" t="n">
        <f aca="false">cxit_open</f>
        <v>27.5918995</v>
      </c>
      <c r="E428" s="8" t="n">
        <f aca="false">cxit_open</f>
        <v>27.5918995</v>
      </c>
      <c r="F428" s="8" t="n">
        <f aca="false">((a_g3_27-nonnv*a_mai)*tk_cxit_gb300+nonnv*a_mai*nv_hold_mai*tk_cxit_vr200+(1-a_g3_27)*tk_cxit_vr200)</f>
        <v>32.4975576</v>
      </c>
      <c r="G428" s="8" t="n">
        <f aca="false">((a_g3_28-nonnv*a_mai)*tk_cxit_gb300+nonnv*a_mai*nv_hold_mai*tk_cxit_vr200+(1-a_g3_28)*tk_cxit_vr200)</f>
        <v>34.6372088</v>
      </c>
      <c r="H428" s="8" t="n">
        <f aca="false">((a_g3_29-nonnv*a_mai)*tk_cxit_gb300+nonnv*a_mai*nv_hold_mai*tk_cxit_vr200+(1-a_g3_29)*tk_cxit_vr200)</f>
        <v>35.7070344</v>
      </c>
      <c r="I428" s="8" t="n">
        <f aca="false">((a_g3_29-nonnv*a_mai)*tk_cxit_gb300+nonnv*a_mai*nv_hold_mai*tk_cxit_vr200+(1-a_g3_29)*tk_cxit_vr200)</f>
        <v>35.7070344</v>
      </c>
      <c r="J428" s="8" t="n">
        <f aca="false">((a_g3_29-nonnv*a_mai)*tk_cxit_gb300+nonnv*a_mai*nv_hold_mai*tk_cxit_vr200+(1-a_g3_29)*tk_cxit_vr200)</f>
        <v>35.7070344</v>
      </c>
      <c r="K428" s="8" t="n">
        <f aca="false">((a_g3_29-nonnv*a_mai)*tk_cxit_gb300+nonnv*a_mai*nv_hold_mai*tk_cxit_vr200+(1-a_g3_29)*tk_cxit_vr200)</f>
        <v>35.7070344</v>
      </c>
      <c r="L428" s="12" t="s">
        <v>992</v>
      </c>
    </row>
    <row r="429" customFormat="false" ht="17.15" hidden="false" customHeight="false" outlineLevel="0" collapsed="false">
      <c r="A429" s="0" t="s">
        <v>993</v>
      </c>
      <c r="B429" s="0" t="s">
        <v>459</v>
      </c>
      <c r="F429" s="30" t="n">
        <f aca="false">Sens!C408*IF(Sens!F401-Sens!C401=life_it,1,0)+Sens!D408*IF(Sens!F401-Sens!D401=life_it,1,0)+Sens!E408*IF(Sens!F401-Sens!E401=life_it,1,0)</f>
        <v>0</v>
      </c>
      <c r="G429" s="30" t="n">
        <f aca="false">Sens!C408*IF(Sens!G401-Sens!C401=life_it,1,0)+Sens!D408*IF(Sens!G401-Sens!D401=life_it,1,0)+Sens!E408*IF(Sens!G401-Sens!E401=life_it,1,0)+Sens!F408*IF(Sens!G401-Sens!F401=life_it,1,0)</f>
        <v>0</v>
      </c>
      <c r="H429" s="30" t="n">
        <f aca="false">Sens!C408*IF(Sens!H401-Sens!C401=life_it,1,0)+Sens!D408*IF(Sens!H401-Sens!D401=life_it,1,0)+Sens!E408*IF(Sens!H401-Sens!E401=life_it,1,0)+Sens!F408*IF(Sens!H401-Sens!F401=life_it,1,0)+Sens!G408*IF(Sens!H401-Sens!G401=life_it,1,0)</f>
        <v>0</v>
      </c>
      <c r="I429" s="30" t="n">
        <f aca="false">Sens!C408*IF(Sens!I401-Sens!C401=life_it,1,0)+Sens!D408*IF(Sens!I401-Sens!D401=life_it,1,0)+Sens!E408*IF(Sens!I401-Sens!E401=life_it,1,0)+Sens!F408*IF(Sens!I401-Sens!F401=life_it,1,0)+Sens!G408*IF(Sens!I401-Sens!G401=life_it,1,0)+Sens!H408*IF(Sens!I401-Sens!H401=life_it,1,0)</f>
        <v>816.666666666667</v>
      </c>
      <c r="J429" s="30" t="n">
        <f aca="false">Sens!C408*IF(Sens!J401-Sens!C401=life_it,1,0)+Sens!D408*IF(Sens!J401-Sens!D401=life_it,1,0)+Sens!E408*IF(Sens!J401-Sens!E401=life_it,1,0)+Sens!F408*IF(Sens!J401-Sens!F401=life_it,1,0)+Sens!G408*IF(Sens!J401-Sens!G401=life_it,1,0)+Sens!H408*IF(Sens!J401-Sens!H401=life_it,1,0)+Sens!I408*IF(Sens!J401-Sens!I401=life_it,1,0)</f>
        <v>1233.33333333333</v>
      </c>
      <c r="K429" s="30" t="n">
        <f aca="false">Sens!C408*IF(Sens!K401-Sens!C401=life_it,1,0)+Sens!D408*IF(Sens!K401-Sens!D401=life_it,1,0)+Sens!E408*IF(Sens!K401-Sens!E401=life_it,1,0)+Sens!F408*IF(Sens!K401-Sens!F401=life_it,1,0)+Sens!G408*IF(Sens!K401-Sens!G401=life_it,1,0)+Sens!H408*IF(Sens!K401-Sens!H401=life_it,1,0)+Sens!I408*IF(Sens!K401-Sens!I401=life_it,1,0)+Sens!J408*IF(Sens!K401-Sens!J401=life_it,1,0)</f>
        <v>2450</v>
      </c>
      <c r="L429" s="1" t="s">
        <v>994</v>
      </c>
    </row>
    <row r="430" customFormat="false" ht="17.15" hidden="false" customHeight="false" outlineLevel="0" collapsed="false">
      <c r="A430" s="0" t="s">
        <v>995</v>
      </c>
      <c r="B430" s="0" t="s">
        <v>98</v>
      </c>
      <c r="C430" s="6" t="n">
        <f aca="false">Sens!C408*Sens!C428/1000</f>
        <v>22.5333845916667</v>
      </c>
      <c r="D430" s="6" t="n">
        <f aca="false">Sens!D408*Sens!D428/1000</f>
        <v>34.0300093833333</v>
      </c>
      <c r="E430" s="6" t="n">
        <f aca="false">Sens!E408*Sens!E428/1000</f>
        <v>67.600153775</v>
      </c>
      <c r="F430" s="6" t="n">
        <f aca="false">(Sens!F408+Sens!F429)*Sens!F428/1000</f>
        <v>136.51872432512</v>
      </c>
      <c r="G430" s="6" t="n">
        <f aca="false">(Sens!G408+Sens!G429)*Sens!G428/1000</f>
        <v>157.399275932048</v>
      </c>
      <c r="H430" s="6" t="n">
        <f aca="false">(Sens!H408+Sens!H429)*Sens!H428/1000</f>
        <v>162.260804347512</v>
      </c>
      <c r="I430" s="6" t="n">
        <f aca="false">(Sens!I408+Sens!I429)*Sens!I428/1000</f>
        <v>144.136569485434</v>
      </c>
      <c r="J430" s="6" t="n">
        <f aca="false">(Sens!J408+Sens!J429)*Sens!J428/1000</f>
        <v>114.029037357864</v>
      </c>
      <c r="K430" s="6" t="n">
        <f aca="false">(Sens!K408+Sens!K429)*Sens!K428/1000</f>
        <v>113.437085350975</v>
      </c>
    </row>
    <row r="431" customFormat="false" ht="17.15" hidden="false" customHeight="false" outlineLevel="0" collapsed="false">
      <c r="A431" s="0" t="s">
        <v>996</v>
      </c>
      <c r="B431" s="0" t="s">
        <v>98</v>
      </c>
      <c r="C431" s="6" t="n">
        <f aca="false">Sens!C408*self_build*tk_cxfac/1000</f>
        <v>6.2083</v>
      </c>
      <c r="D431" s="6" t="n">
        <f aca="false">Sens!D408*self_build*tk_cxfac/1000</f>
        <v>9.3758</v>
      </c>
      <c r="E431" s="6" t="n">
        <f aca="false">Sens!E408*self_build*tk_cxfac/1000</f>
        <v>18.6249</v>
      </c>
      <c r="F431" s="6" t="n">
        <f aca="false">Sens!F408*self_build*tk_cxfac/1000</f>
        <v>31.935179717</v>
      </c>
      <c r="G431" s="6" t="n">
        <f aca="false">Sens!G408*self_build*tk_cxfac/1000</f>
        <v>34.545199717</v>
      </c>
      <c r="H431" s="6" t="n">
        <f aca="false">Sens!H408*self_build*tk_cxfac/1000</f>
        <v>34.545199717</v>
      </c>
      <c r="I431" s="6" t="n">
        <f aca="false">Sens!I408*self_build*tk_cxfac/1000</f>
        <v>24.4782641361767</v>
      </c>
      <c r="J431" s="6" t="n">
        <f aca="false">Sens!J408*self_build*tk_cxfac/1000</f>
        <v>14.9008938380769</v>
      </c>
      <c r="K431" s="6" t="n">
        <f aca="false">Sens!K408*self_build*tk_cxfac/1000</f>
        <v>5.52576771375761</v>
      </c>
    </row>
    <row r="432" customFormat="false" ht="17.15" hidden="false" customHeight="false" outlineLevel="0" collapsed="false">
      <c r="A432" s="0" t="s">
        <v>997</v>
      </c>
      <c r="B432" s="0" t="s">
        <v>98</v>
      </c>
      <c r="F432" s="15" t="n">
        <f aca="false">capex_floor27-Sens!F430-Sens!F431-Sens!F528</f>
        <v>1.94586576753863E-005</v>
      </c>
      <c r="L432" s="12" t="s">
        <v>998</v>
      </c>
    </row>
    <row r="433" customFormat="false" ht="17.15" hidden="false" customHeight="false" outlineLevel="0" collapsed="false">
      <c r="A433" s="0" t="s">
        <v>999</v>
      </c>
      <c r="B433" s="0" t="s">
        <v>98</v>
      </c>
      <c r="F433" s="6" t="n">
        <f aca="false">MAX(0,Sens!F432)</f>
        <v>1.94586576753863E-005</v>
      </c>
    </row>
    <row r="434" customFormat="false" ht="17.15" hidden="false" customHeight="false" outlineLevel="0" collapsed="false">
      <c r="A434" s="0" t="s">
        <v>1000</v>
      </c>
      <c r="B434" s="0" t="s">
        <v>98</v>
      </c>
      <c r="C434" s="6" t="n">
        <f aca="false">Sens!C430</f>
        <v>22.5333845916667</v>
      </c>
      <c r="D434" s="6" t="n">
        <f aca="false">Sens!D430</f>
        <v>34.0300093833333</v>
      </c>
      <c r="E434" s="6" t="n">
        <f aca="false">Sens!E430</f>
        <v>67.600153775</v>
      </c>
      <c r="F434" s="6" t="n">
        <f aca="false">Sens!F430</f>
        <v>136.51872432512</v>
      </c>
      <c r="G434" s="6" t="n">
        <f aca="false">Sens!G430</f>
        <v>157.399275932048</v>
      </c>
      <c r="H434" s="6" t="n">
        <f aca="false">Sens!H430</f>
        <v>162.260804347512</v>
      </c>
      <c r="I434" s="6" t="n">
        <f aca="false">Sens!I430</f>
        <v>144.136569485434</v>
      </c>
      <c r="J434" s="6" t="n">
        <f aca="false">Sens!J430</f>
        <v>114.029037357864</v>
      </c>
      <c r="K434" s="6" t="n">
        <f aca="false">Sens!K430</f>
        <v>113.437085350975</v>
      </c>
    </row>
    <row r="435" customFormat="false" ht="17.15" hidden="false" customHeight="false" outlineLevel="0" collapsed="false">
      <c r="A435" s="0" t="s">
        <v>1001</v>
      </c>
      <c r="B435" s="0" t="s">
        <v>98</v>
      </c>
      <c r="C435" s="6" t="n">
        <f aca="false">Sens!C434+Sens!C431</f>
        <v>28.7416845916667</v>
      </c>
      <c r="D435" s="6" t="n">
        <f aca="false">Sens!D434+Sens!D431</f>
        <v>43.4058093833333</v>
      </c>
      <c r="E435" s="6" t="n">
        <f aca="false">Sens!E434+Sens!E431</f>
        <v>86.225053775</v>
      </c>
      <c r="F435" s="6" t="n">
        <f aca="false">Sens!F434+Sens!F431</f>
        <v>168.45390404212</v>
      </c>
      <c r="G435" s="6" t="n">
        <f aca="false">Sens!G434+Sens!G431</f>
        <v>191.944475649048</v>
      </c>
      <c r="H435" s="6" t="n">
        <f aca="false">Sens!H434+Sens!H431</f>
        <v>196.806004064512</v>
      </c>
      <c r="I435" s="6" t="n">
        <f aca="false">Sens!I434+Sens!I431</f>
        <v>168.61483362161</v>
      </c>
      <c r="J435" s="6" t="n">
        <f aca="false">Sens!J434+Sens!J431</f>
        <v>128.92993119594</v>
      </c>
      <c r="K435" s="6" t="n">
        <f aca="false">Sens!K434+Sens!K431</f>
        <v>118.962853064733</v>
      </c>
      <c r="L435" s="12" t="s">
        <v>1002</v>
      </c>
    </row>
    <row r="436" customFormat="false" ht="17.15" hidden="false" customHeight="false" outlineLevel="0" collapsed="false">
      <c r="A436" s="0" t="s">
        <v>1003</v>
      </c>
      <c r="B436" s="0" t="s">
        <v>98</v>
      </c>
      <c r="E436" s="6" t="n">
        <f aca="false">(Sens!C434*IF(2&lt;life_it,1,IF(2=life_it,0.5,0))+Sens!D434*IF(1&lt;life_it,1,IF(1=life_it,0.5,0))+Sens!E434*0.5)/life_it</f>
        <v>15.0605784770833</v>
      </c>
      <c r="F436" s="6" t="n">
        <f aca="false">(Sens!C434*IF(3&lt;life_it,1,IF(3=life_it,0.5,0))+Sens!D434*IF(2&lt;life_it,1,IF(2=life_it,0.5,0))+Sens!E434*IF(1&lt;life_it,1,IF(1=life_it,0.5,0))+Sens!F434*0.5)/life_it</f>
        <v>32.0704849854266</v>
      </c>
      <c r="G436" s="6" t="n">
        <f aca="false">(Sens!C434*IF(4&lt;life_it,1,IF(4=life_it,0.5,0))+Sens!D434*IF(3&lt;life_it,1,IF(3=life_it,0.5,0))+Sens!E434*IF(2&lt;life_it,1,IF(2=life_it,0.5,0))+Sens!F434*IF(1&lt;life_it,1,IF(1=life_it,0.5,0))+Sens!G434*0.5)/life_it</f>
        <v>56.5636516735239</v>
      </c>
      <c r="H436" s="6" t="n">
        <f aca="false">(Sens!C434*IF(5&lt;life_it,1,IF(5=life_it,0.5,0))+Sens!D434*IF(4&lt;life_it,1,IF(4=life_it,0.5,0))+Sens!E434*IF(3&lt;life_it,1,IF(3=life_it,0.5,0))+Sens!F434*IF(2&lt;life_it,1,IF(2=life_it,0.5,0))+Sens!G434*IF(1&lt;life_it,1,IF(1=life_it,0.5,0))+Sens!H434*0.5)/life_it</f>
        <v>83.2019916968207</v>
      </c>
      <c r="I436" s="6" t="n">
        <f aca="false">(Sens!C434*IF(6&lt;life_it,1,IF(6=life_it,0.5,0))+Sens!D434*IF(5&lt;life_it,1,IF(5=life_it,0.5,0))+Sens!E434*IF(4&lt;life_it,1,IF(4=life_it,0.5,0))+Sens!F434*IF(3&lt;life_it,1,IF(3=life_it,0.5,0))+Sens!G434*IF(2&lt;life_it,1,IF(2=life_it,0.5,0))+Sens!H434*IF(1&lt;life_it,1,IF(1=life_it,0.5,0))+Sens!I434*0.5)/life_it</f>
        <v>106.857324133594</v>
      </c>
      <c r="J436" s="6" t="n">
        <f aca="false">(Sens!C434*IF(7&lt;life_it,1,IF(7=life_it,0.5,0))+Sens!D434*IF(6&lt;life_it,1,IF(6=life_it,0.5,0))+Sens!E434*IF(5&lt;life_it,1,IF(5=life_it,0.5,0))+Sens!F434*IF(4&lt;life_it,1,IF(4=life_it,0.5,0))+Sens!G434*IF(3&lt;life_it,1,IF(3=life_it,0.5,0))+Sens!H434*IF(2&lt;life_it,1,IF(2=life_it,0.5,0))+Sens!I434*IF(1&lt;life_it,1,IF(1=life_it,0.5,0))+Sens!J434*0.5)/life_it</f>
        <v>123.657508539285</v>
      </c>
      <c r="K436" s="6" t="n">
        <f aca="false">(Sens!C434*IF(8&lt;life_it,1,IF(8=life_it,0.5,0))+Sens!D434*IF(7&lt;life_it,1,IF(7=life_it,0.5,0))+Sens!E434*IF(6&lt;life_it,1,IF(6=life_it,0.5,0))+Sens!F434*IF(5&lt;life_it,1,IF(5=life_it,0.5,0))+Sens!G434*IF(4&lt;life_it,1,IF(4=life_it,0.5,0))+Sens!H434*IF(3&lt;life_it,1,IF(3=life_it,0.5,0))+Sens!I434*IF(2&lt;life_it,1,IF(2=life_it,0.5,0))+Sens!J434*IF(1&lt;life_it,1,IF(1=life_it,0.5,0))+Sens!K434*0.5)/life_it</f>
        <v>134.143838501827</v>
      </c>
    </row>
    <row r="437" customFormat="false" ht="17.15" hidden="false" customHeight="false" outlineLevel="0" collapsed="false">
      <c r="A437" s="0" t="s">
        <v>1004</v>
      </c>
      <c r="B437" s="0" t="s">
        <v>98</v>
      </c>
      <c r="E437" s="6" t="n">
        <f aca="false">(Sens!C431*IF(2&lt;life_fac,1,IF(2=life_fac,0.5,0))+Sens!D431*IF(1&lt;life_fac,1,IF(1=life_fac,0.5,0))+Sens!E431*0.5)/life_fac</f>
        <v>1.2448275</v>
      </c>
      <c r="F437" s="6" t="n">
        <f aca="false">(Sens!C431*IF(3&lt;life_fac,1,IF(3=life_fac,0.5,0))+Sens!D431*IF(2&lt;life_fac,1,IF(2=life_fac,0.5,0))+Sens!E431*IF(1&lt;life_fac,1,IF(1=life_fac,0.5,0))+Sens!F431*0.5)/life_fac</f>
        <v>2.508829492925</v>
      </c>
      <c r="G437" s="6" t="n">
        <f aca="false">(Sens!C431*IF(4&lt;life_fac,1,IF(4=life_fac,0.5,0))+Sens!D431*IF(3&lt;life_fac,1,IF(3=life_fac,0.5,0))+Sens!E431*IF(2&lt;life_fac,1,IF(2=life_fac,0.5,0))+Sens!F431*IF(1&lt;life_fac,1,IF(1=life_fac,0.5,0))+Sens!G431*0.5)/life_fac</f>
        <v>4.170838978775</v>
      </c>
      <c r="H437" s="6" t="n">
        <f aca="false">(Sens!C431*IF(5&lt;life_fac,1,IF(5=life_fac,0.5,0))+Sens!D431*IF(4&lt;life_fac,1,IF(4=life_fac,0.5,0))+Sens!E431*IF(3&lt;life_fac,1,IF(3=life_fac,0.5,0))+Sens!F431*IF(2&lt;life_fac,1,IF(2=life_fac,0.5,0))+Sens!G431*IF(1&lt;life_fac,1,IF(1=life_fac,0.5,0))+Sens!H431*0.5)/life_fac</f>
        <v>5.898098964625</v>
      </c>
      <c r="I437" s="6" t="n">
        <f aca="false">(Sens!C431*IF(6&lt;life_fac,1,IF(6=life_fac,0.5,0))+Sens!D431*IF(5&lt;life_fac,1,IF(5=life_fac,0.5,0))+Sens!E431*IF(4&lt;life_fac,1,IF(4=life_fac,0.5,0))+Sens!F431*IF(3&lt;life_fac,1,IF(3=life_fac,0.5,0))+Sens!G431*IF(2&lt;life_fac,1,IF(2=life_fac,0.5,0))+Sens!H431*IF(1&lt;life_fac,1,IF(1=life_fac,0.5,0))+Sens!I431*0.5)/life_fac</f>
        <v>7.37368556095442</v>
      </c>
      <c r="J437" s="6" t="n">
        <f aca="false">(Sens!C431*IF(7&lt;life_fac,1,IF(7=life_fac,0.5,0))+Sens!D431*IF(6&lt;life_fac,1,IF(6=life_fac,0.5,0))+Sens!E431*IF(5&lt;life_fac,1,IF(5=life_fac,0.5,0))+Sens!F431*IF(4&lt;life_fac,1,IF(4=life_fac,0.5,0))+Sens!G431*IF(3&lt;life_fac,1,IF(3=life_fac,0.5,0))+Sens!H431*IF(2&lt;life_fac,1,IF(2=life_fac,0.5,0))+Sens!I431*IF(1&lt;life_fac,1,IF(1=life_fac,0.5,0))+Sens!J431*0.5)/life_fac</f>
        <v>8.35816451031075</v>
      </c>
      <c r="K437" s="6" t="n">
        <f aca="false">(Sens!C431*IF(8&lt;life_fac,1,IF(8=life_fac,0.5,0))+Sens!D431*IF(7&lt;life_fac,1,IF(7=life_fac,0.5,0))+Sens!E431*IF(6&lt;life_fac,1,IF(6=life_fac,0.5,0))+Sens!F431*IF(5&lt;life_fac,1,IF(5=life_fac,0.5,0))+Sens!G431*IF(4&lt;life_fac,1,IF(4=life_fac,0.5,0))+Sens!H431*IF(3&lt;life_fac,1,IF(3=life_fac,0.5,0))+Sens!I431*IF(2&lt;life_fac,1,IF(2=life_fac,0.5,0))+Sens!J431*IF(1&lt;life_fac,1,IF(1=life_fac,0.5,0))+Sens!K431*0.5)/life_fac</f>
        <v>8.86883104910662</v>
      </c>
    </row>
    <row r="438" customFormat="false" ht="17.15" hidden="false" customHeight="false" outlineLevel="0" collapsed="false">
      <c r="A438" s="0" t="s">
        <v>1005</v>
      </c>
      <c r="B438" s="0" t="s">
        <v>98</v>
      </c>
      <c r="E438" s="6" t="n">
        <f aca="false">Sens!E436+Sens!E437</f>
        <v>16.3054059770833</v>
      </c>
      <c r="F438" s="6" t="n">
        <f aca="false">Sens!F436+Sens!F437</f>
        <v>34.5793144783516</v>
      </c>
      <c r="G438" s="6" t="n">
        <f aca="false">Sens!G436+Sens!G437</f>
        <v>60.7344906522989</v>
      </c>
      <c r="H438" s="6" t="n">
        <f aca="false">Sens!H436+Sens!H437</f>
        <v>89.1000906614457</v>
      </c>
      <c r="I438" s="6" t="n">
        <f aca="false">Sens!I436+Sens!I437</f>
        <v>114.231009694548</v>
      </c>
      <c r="J438" s="6" t="n">
        <f aca="false">Sens!J436+Sens!J437</f>
        <v>132.015673049596</v>
      </c>
      <c r="K438" s="6" t="n">
        <f aca="false">Sens!K436+Sens!K437</f>
        <v>143.012669550934</v>
      </c>
    </row>
    <row r="439" customFormat="false" ht="17.15" hidden="false" customHeight="false" outlineLevel="0" collapsed="false">
      <c r="A439" s="0" t="s">
        <v>1006</v>
      </c>
      <c r="B439" s="0" t="s">
        <v>98</v>
      </c>
      <c r="E439" s="6" t="n">
        <f aca="false">Sens!E426-Sens!E425*Sens!E438</f>
        <v>8.92707889977379</v>
      </c>
      <c r="F439" s="6" t="n">
        <f aca="false">Sens!F426-Sens!F425*Sens!F438</f>
        <v>18.7770356668733</v>
      </c>
      <c r="G439" s="6" t="n">
        <f aca="false">Sens!G426-Sens!G425*Sens!G438</f>
        <v>31.1163641458894</v>
      </c>
      <c r="H439" s="6" t="n">
        <f aca="false">Sens!H426-Sens!H425*Sens!H438</f>
        <v>43.7262635496428</v>
      </c>
      <c r="I439" s="6" t="n">
        <f aca="false">Sens!I426-Sens!I425*Sens!I438</f>
        <v>54.7541698336361</v>
      </c>
      <c r="J439" s="6" t="n">
        <f aca="false">Sens!J426-Sens!J425*Sens!J438</f>
        <v>62.3768819327658</v>
      </c>
      <c r="K439" s="6" t="n">
        <f aca="false">Sens!K426-Sens!K425*Sens!K438</f>
        <v>67.4820630434748</v>
      </c>
    </row>
    <row r="440" customFormat="false" ht="17.15" hidden="false" customHeight="false" outlineLevel="0" collapsed="false">
      <c r="A440" s="3" t="s">
        <v>1621</v>
      </c>
    </row>
    <row r="441" customFormat="false" ht="15" hidden="false" customHeight="false" outlineLevel="0" collapsed="false">
      <c r="A441" s="4" t="s">
        <v>43</v>
      </c>
      <c r="B441" s="4" t="s">
        <v>65</v>
      </c>
      <c r="C441" s="23" t="s">
        <v>942</v>
      </c>
      <c r="D441" s="23" t="s">
        <v>943</v>
      </c>
      <c r="E441" s="23" t="s">
        <v>944</v>
      </c>
      <c r="F441" s="23" t="s">
        <v>945</v>
      </c>
      <c r="G441" s="23" t="s">
        <v>946</v>
      </c>
      <c r="H441" s="23" t="s">
        <v>947</v>
      </c>
      <c r="I441" s="23" t="s">
        <v>948</v>
      </c>
      <c r="J441" s="23" t="s">
        <v>949</v>
      </c>
      <c r="K441" s="23" t="s">
        <v>950</v>
      </c>
      <c r="L441" s="4" t="s">
        <v>47</v>
      </c>
    </row>
    <row r="442" customFormat="false" ht="17.15" hidden="false" customHeight="false" outlineLevel="0" collapsed="false">
      <c r="A442" s="0" t="s">
        <v>1025</v>
      </c>
      <c r="B442" s="0" t="s">
        <v>98</v>
      </c>
      <c r="D442" s="6" t="n">
        <f aca="false">Sens!D420</f>
        <v>12.9359794422418</v>
      </c>
      <c r="E442" s="6" t="n">
        <f aca="false">Sens!E420</f>
        <v>27.8095064661409</v>
      </c>
      <c r="F442" s="6" t="n">
        <f aca="false">Sens!F420</f>
        <v>55.4118315060966</v>
      </c>
      <c r="G442" s="6" t="n">
        <f aca="false">Sens!G420</f>
        <v>91.2881100675143</v>
      </c>
      <c r="H442" s="6" t="n">
        <f aca="false">Sens!H420</f>
        <v>128.195273603944</v>
      </c>
      <c r="I442" s="6" t="n">
        <f aca="false">Sens!I420</f>
        <v>160.601281810405</v>
      </c>
      <c r="J442" s="6" t="n">
        <f aca="false">Sens!J420</f>
        <v>183.182719793589</v>
      </c>
      <c r="K442" s="6" t="n">
        <f aca="false">Sens!K420</f>
        <v>197.320124937098</v>
      </c>
    </row>
    <row r="443" customFormat="false" ht="17.15" hidden="false" customHeight="false" outlineLevel="0" collapsed="false">
      <c r="A443" s="0" t="s">
        <v>1026</v>
      </c>
      <c r="B443" s="0" t="s">
        <v>98</v>
      </c>
      <c r="D443" s="6" t="n">
        <f aca="false">Q!L6-Sens!D442</f>
        <v>59.6740205577583</v>
      </c>
      <c r="E443" s="6" t="n">
        <f aca="false">Q!M6-Sens!E442</f>
        <v>74.1284935338591</v>
      </c>
      <c r="F443" s="6" t="n">
        <f aca="false">Q!$I$6+(Sens!F442+Sens!E443*(1+Sens!F444))*(1-Q!$E$6/Q!M6)-Sens!F442</f>
        <v>91.2972164940844</v>
      </c>
      <c r="G443" s="6" t="n">
        <f aca="false">Sens!F443*(1+Sens!G444)</f>
        <v>108.474719793879</v>
      </c>
      <c r="H443" s="6" t="n">
        <f aca="false">Sens!G443*(1+Sens!H444)</f>
        <v>125.951292505701</v>
      </c>
      <c r="I443" s="6" t="n">
        <f aca="false">Sens!H443*(1+Sens!I444)</f>
        <v>142.838165154212</v>
      </c>
      <c r="J443" s="6" t="n">
        <f aca="false">Sens!I443*(1+Sens!J444)</f>
        <v>158.12717866615</v>
      </c>
      <c r="K443" s="6" t="n">
        <f aca="false">Sens!J443*(1+Sens!K444)</f>
        <v>170.777352959442</v>
      </c>
      <c r="L443" s="12" t="s">
        <v>1027</v>
      </c>
    </row>
    <row r="444" customFormat="false" ht="15" hidden="false" customHeight="false" outlineLevel="0" collapsed="false">
      <c r="A444" s="1" t="s">
        <v>1028</v>
      </c>
      <c r="B444" s="0" t="s">
        <v>168</v>
      </c>
      <c r="E444" s="7" t="n">
        <f aca="false">Sens!E443/Sens!D443-1</f>
        <v>0.242223883039864</v>
      </c>
      <c r="F444" s="7" t="n">
        <f aca="false">Sens!$E$444+(glt_azo-Sens!$E$444)*MIN(1,(Sens!F401-base_fy)/n_conv)</f>
        <v>0.215186569199887</v>
      </c>
      <c r="G444" s="7" t="n">
        <f aca="false">Sens!$E$444+(glt_azo-Sens!$E$444)*MIN(1,(Sens!G401-base_fy)/n_conv)</f>
        <v>0.18814925535991</v>
      </c>
      <c r="H444" s="7" t="n">
        <f aca="false">Sens!$E$444+(glt_azo-Sens!$E$444)*MIN(1,(Sens!H401-base_fy)/n_conv)</f>
        <v>0.161111941519932</v>
      </c>
      <c r="I444" s="7" t="n">
        <f aca="false">Sens!$E$444+(glt_azo-Sens!$E$444)*MIN(1,(Sens!I401-base_fy)/n_conv)</f>
        <v>0.134074627679955</v>
      </c>
      <c r="J444" s="7" t="n">
        <f aca="false">Sens!$E$444+(glt_azo-Sens!$E$444)*MIN(1,(Sens!J401-base_fy)/n_conv)</f>
        <v>0.107037313839977</v>
      </c>
      <c r="K444" s="7" t="n">
        <f aca="false">Sens!$E$444+(glt_azo-Sens!$E$444)*MIN(1,(Sens!K401-base_fy)/n_conv)</f>
        <v>0.08</v>
      </c>
    </row>
    <row r="445" customFormat="false" ht="15" hidden="false" customHeight="false" outlineLevel="0" collapsed="false">
      <c r="A445" s="0" t="s">
        <v>1029</v>
      </c>
      <c r="B445" s="0" t="s">
        <v>98</v>
      </c>
      <c r="D445" s="6" t="n">
        <f aca="false">Sens!D442+Sens!D443</f>
        <v>72.61</v>
      </c>
      <c r="E445" s="6" t="n">
        <f aca="false">Sens!E442+Sens!E443</f>
        <v>101.938</v>
      </c>
      <c r="F445" s="6" t="n">
        <f aca="false">Sens!F442+Sens!F443</f>
        <v>146.709048000181</v>
      </c>
      <c r="G445" s="6" t="n">
        <f aca="false">Sens!G442+Sens!G443</f>
        <v>199.762829861393</v>
      </c>
      <c r="H445" s="6" t="n">
        <f aca="false">Sens!H442+Sens!H443</f>
        <v>254.146566109645</v>
      </c>
      <c r="I445" s="6" t="n">
        <f aca="false">Sens!I442+Sens!I443</f>
        <v>303.439446964617</v>
      </c>
      <c r="J445" s="6" t="n">
        <f aca="false">Sens!J442+Sens!J443</f>
        <v>341.309898459739</v>
      </c>
      <c r="K445" s="6" t="n">
        <f aca="false">Sens!K442+Sens!K443</f>
        <v>368.09747789654</v>
      </c>
    </row>
    <row r="446" customFormat="false" ht="17.15" hidden="false" customHeight="false" outlineLevel="0" collapsed="false">
      <c r="A446" s="0" t="s">
        <v>1030</v>
      </c>
      <c r="B446" s="1" t="s">
        <v>613</v>
      </c>
      <c r="C446" s="30" t="n">
        <f aca="false">cop_s24</f>
        <v>1</v>
      </c>
      <c r="D446" s="30" t="n">
        <f aca="false">cop_s25</f>
        <v>5</v>
      </c>
      <c r="E446" s="30" t="n">
        <f aca="false">cop_s26</f>
        <v>30</v>
      </c>
      <c r="F446" s="30" t="n">
        <f aca="false">Sens!E446+cop_add_B</f>
        <v>50</v>
      </c>
      <c r="G446" s="30" t="n">
        <f aca="false">Sens!F446+cop_add_B</f>
        <v>70</v>
      </c>
      <c r="H446" s="30" t="n">
        <f aca="false">Sens!G446+cop_add_B</f>
        <v>90</v>
      </c>
      <c r="I446" s="30" t="n">
        <f aca="false">Sens!H446+cop_add_B*cop_tail</f>
        <v>100</v>
      </c>
      <c r="J446" s="30" t="n">
        <f aca="false">Sens!I446+cop_add_B*cop_tail</f>
        <v>110</v>
      </c>
      <c r="K446" s="30" t="n">
        <f aca="false">Sens!J446+cop_add_B*cop_tail</f>
        <v>120</v>
      </c>
      <c r="L446" s="12" t="s">
        <v>1031</v>
      </c>
    </row>
    <row r="447" customFormat="false" ht="17.15" hidden="false" customHeight="false" outlineLevel="0" collapsed="false">
      <c r="A447" s="0" t="s">
        <v>1032</v>
      </c>
      <c r="B447" s="0" t="s">
        <v>98</v>
      </c>
      <c r="D447" s="6" t="n">
        <f aca="false">(Sens!C446+Sens!D446)/2*cop_px*12/1000</f>
        <v>0.9</v>
      </c>
      <c r="E447" s="6" t="n">
        <f aca="false">(Sens!D446+Sens!E446)/2*cop_px*12/1000</f>
        <v>5.25</v>
      </c>
      <c r="F447" s="6" t="n">
        <f aca="false">(Sens!E446+Sens!F446)/2*cop_px*12/1000</f>
        <v>12</v>
      </c>
      <c r="G447" s="6" t="n">
        <f aca="false">(Sens!F446+Sens!G446)/2*cop_px*12/1000</f>
        <v>18</v>
      </c>
      <c r="H447" s="6" t="n">
        <f aca="false">(Sens!G446+Sens!H446)/2*cop_px*12/1000</f>
        <v>24</v>
      </c>
      <c r="I447" s="6" t="n">
        <f aca="false">(Sens!H446+Sens!I446)/2*cop_px*12/1000</f>
        <v>28.5</v>
      </c>
      <c r="J447" s="6" t="n">
        <f aca="false">(Sens!I446+Sens!J446)/2*cop_px*12/1000</f>
        <v>31.5</v>
      </c>
      <c r="K447" s="6" t="n">
        <f aca="false">(Sens!J446+Sens!K446)/2*cop_px*12/1000</f>
        <v>34.5</v>
      </c>
      <c r="L447" s="1" t="s">
        <v>1033</v>
      </c>
    </row>
    <row r="448" customFormat="false" ht="17.15" hidden="false" customHeight="false" outlineLevel="0" collapsed="false">
      <c r="A448" s="0" t="s">
        <v>1034</v>
      </c>
      <c r="B448" s="0" t="s">
        <v>98</v>
      </c>
      <c r="D448" s="6" t="n">
        <f aca="false">Q!L7-Sens!D447</f>
        <v>83.705</v>
      </c>
      <c r="E448" s="6" t="n">
        <f aca="false">Q!M7-Sens!E447</f>
        <v>95.049</v>
      </c>
      <c r="F448" s="6" t="n">
        <f aca="false">Q!$I$7+(Sens!E448*(1+Sens!F449)+Sens!F447)*(1-Q!$E$7/Q!M7)-Sens!F447</f>
        <v>106.584003697747</v>
      </c>
      <c r="G448" s="6" t="n">
        <f aca="false">Sens!F448*(1+Sens!G449)</f>
        <v>118.700726545688</v>
      </c>
      <c r="H448" s="6" t="n">
        <f aca="false">Sens!G448*(1+Sens!H449)</f>
        <v>130.898624783666</v>
      </c>
      <c r="I448" s="6" t="n">
        <f aca="false">Sens!H448*(1+Sens!I449)</f>
        <v>142.920510030657</v>
      </c>
      <c r="J448" s="6" t="n">
        <f aca="false">Sens!I448*(1+Sens!J449)</f>
        <v>154.485722618572</v>
      </c>
      <c r="K448" s="6" t="n">
        <f aca="false">Sens!J448*(1+Sens!K449)</f>
        <v>165.299723201872</v>
      </c>
      <c r="L448" s="12" t="s">
        <v>1035</v>
      </c>
    </row>
    <row r="449" customFormat="false" ht="15" hidden="false" customHeight="false" outlineLevel="0" collapsed="false">
      <c r="A449" s="1" t="s">
        <v>1028</v>
      </c>
      <c r="B449" s="0" t="s">
        <v>168</v>
      </c>
      <c r="E449" s="7" t="n">
        <f aca="false">Sens!E448/Sens!D448-1</f>
        <v>0.135523564900544</v>
      </c>
      <c r="F449" s="7" t="n">
        <f aca="false">Sens!$E$449+(glt_m365b-Sens!$E$449)*MIN(1,(Sens!F401-base_fy)/n_conv)</f>
        <v>0.124602970750453</v>
      </c>
      <c r="G449" s="7" t="n">
        <f aca="false">Sens!$E$449+(glt_m365b-Sens!$E$449)*MIN(1,(Sens!G401-base_fy)/n_conv)</f>
        <v>0.113682376600363</v>
      </c>
      <c r="H449" s="7" t="n">
        <f aca="false">Sens!$E$449+(glt_m365b-Sens!$E$449)*MIN(1,(Sens!H401-base_fy)/n_conv)</f>
        <v>0.102761782450272</v>
      </c>
      <c r="I449" s="7" t="n">
        <f aca="false">Sens!$E$449+(glt_m365b-Sens!$E$449)*MIN(1,(Sens!I401-base_fy)/n_conv)</f>
        <v>0.0918411883001813</v>
      </c>
      <c r="J449" s="7" t="n">
        <f aca="false">Sens!$E$449+(glt_m365b-Sens!$E$449)*MIN(1,(Sens!J401-base_fy)/n_conv)</f>
        <v>0.0809205941500906</v>
      </c>
      <c r="K449" s="7" t="n">
        <f aca="false">Sens!$E$449+(glt_m365b-Sens!$E$449)*MIN(1,(Sens!K401-base_fy)/n_conv)</f>
        <v>0.07</v>
      </c>
    </row>
    <row r="450" customFormat="false" ht="15" hidden="false" customHeight="false" outlineLevel="0" collapsed="false">
      <c r="A450" s="0" t="s">
        <v>1036</v>
      </c>
      <c r="B450" s="0" t="s">
        <v>98</v>
      </c>
      <c r="D450" s="6" t="n">
        <f aca="false">Sens!D448+Sens!D447</f>
        <v>84.605</v>
      </c>
      <c r="E450" s="6" t="n">
        <f aca="false">Sens!E448+Sens!E447</f>
        <v>100.299</v>
      </c>
      <c r="F450" s="6" t="n">
        <f aca="false">Sens!F448+Sens!F447</f>
        <v>118.584003697747</v>
      </c>
      <c r="G450" s="6" t="n">
        <f aca="false">Sens!G448+Sens!G447</f>
        <v>136.700726545688</v>
      </c>
      <c r="H450" s="6" t="n">
        <f aca="false">Sens!H448+Sens!H447</f>
        <v>154.898624783666</v>
      </c>
      <c r="I450" s="6" t="n">
        <f aca="false">Sens!I448+Sens!I447</f>
        <v>171.420510030657</v>
      </c>
      <c r="J450" s="6" t="n">
        <f aca="false">Sens!J448+Sens!J447</f>
        <v>185.985722618572</v>
      </c>
      <c r="K450" s="6" t="n">
        <f aca="false">Sens!K448+Sens!K447</f>
        <v>199.799723201872</v>
      </c>
    </row>
    <row r="451" customFormat="false" ht="17.15" hidden="false" customHeight="false" outlineLevel="0" collapsed="false">
      <c r="A451" s="0" t="s">
        <v>1037</v>
      </c>
      <c r="B451" s="0" t="s">
        <v>98</v>
      </c>
      <c r="D451" s="6" t="n">
        <f aca="false">Q!L8</f>
        <v>35.391</v>
      </c>
      <c r="E451" s="6" t="n">
        <f aca="false">Q!M8</f>
        <v>37.285</v>
      </c>
      <c r="F451" s="6" t="n">
        <f aca="false">Q!$I$8+(Q!M8-Q!$E$8)*(1+Sens!F452)</f>
        <v>38.3851437782675</v>
      </c>
      <c r="G451" s="6" t="n">
        <f aca="false">Sens!F451*(1+Sens!G452)</f>
        <v>40.0105353288615</v>
      </c>
      <c r="H451" s="6" t="n">
        <f aca="false">Sens!G451*(1+Sens!H452)</f>
        <v>41.4812512033683</v>
      </c>
      <c r="I451" s="6" t="n">
        <f aca="false">Sens!H451*(1+Sens!I452)</f>
        <v>42.7743107216329</v>
      </c>
      <c r="J451" s="6" t="n">
        <f aca="false">Sens!I451*(1+Sens!J452)</f>
        <v>43.8687373064601</v>
      </c>
      <c r="K451" s="6" t="n">
        <f aca="false">Sens!J451*(1+Sens!K452)</f>
        <v>44.7461120525893</v>
      </c>
      <c r="L451" s="12" t="s">
        <v>1038</v>
      </c>
    </row>
    <row r="452" customFormat="false" ht="15" hidden="false" customHeight="false" outlineLevel="0" collapsed="false">
      <c r="A452" s="1" t="s">
        <v>1028</v>
      </c>
      <c r="B452" s="0" t="s">
        <v>168</v>
      </c>
      <c r="E452" s="7" t="n">
        <f aca="false">Sens!E451/Sens!D451-1</f>
        <v>0.0535164307309768</v>
      </c>
      <c r="F452" s="7" t="n">
        <f aca="false">Sens!$E$452+(glt_lic-Sens!$E$452)*MIN(1,(Sens!F401-base_fy)/n_conv)</f>
        <v>0.0479303589424807</v>
      </c>
      <c r="G452" s="7" t="n">
        <f aca="false">Sens!$E$452+(glt_lic-Sens!$E$452)*MIN(1,(Sens!G401-base_fy)/n_conv)</f>
        <v>0.0423442871539845</v>
      </c>
      <c r="H452" s="7" t="n">
        <f aca="false">Sens!$E$452+(glt_lic-Sens!$E$452)*MIN(1,(Sens!H401-base_fy)/n_conv)</f>
        <v>0.0367582153654884</v>
      </c>
      <c r="I452" s="7" t="n">
        <f aca="false">Sens!$E$452+(glt_lic-Sens!$E$452)*MIN(1,(Sens!I401-base_fy)/n_conv)</f>
        <v>0.0311721435769923</v>
      </c>
      <c r="J452" s="7" t="n">
        <f aca="false">Sens!$E$452+(glt_lic-Sens!$E$452)*MIN(1,(Sens!J401-base_fy)/n_conv)</f>
        <v>0.0255860717884961</v>
      </c>
      <c r="K452" s="7" t="n">
        <f aca="false">Sens!$E$452+(glt_lic-Sens!$E$452)*MIN(1,(Sens!K401-base_fy)/n_conv)</f>
        <v>0.02</v>
      </c>
    </row>
    <row r="453" customFormat="false" ht="17.15" hidden="false" customHeight="false" outlineLevel="0" collapsed="false">
      <c r="A453" s="0" t="s">
        <v>1039</v>
      </c>
      <c r="B453" s="0" t="s">
        <v>98</v>
      </c>
      <c r="D453" s="6" t="n">
        <f aca="false">Q!L9</f>
        <v>18.417</v>
      </c>
      <c r="E453" s="6" t="n">
        <f aca="false">Q!M9</f>
        <v>20.345</v>
      </c>
      <c r="F453" s="6" t="n">
        <f aca="false">Q!$I$9+(Q!M9-Q!$E$9)*(1+Sens!F454)</f>
        <v>22.3161797133988</v>
      </c>
      <c r="G453" s="6" t="n">
        <f aca="false">Sens!F453*(1+Sens!G454)</f>
        <v>24.3943499673233</v>
      </c>
      <c r="H453" s="6" t="n">
        <f aca="false">Sens!G453*(1+Sens!H454)</f>
        <v>26.5250243109019</v>
      </c>
      <c r="I453" s="6" t="n">
        <f aca="false">Sens!H453*(1+Sens!I454)</f>
        <v>28.6884573538181</v>
      </c>
      <c r="J453" s="6" t="n">
        <f aca="false">Sens!I453*(1+Sens!J454)</f>
        <v>30.8624968052127</v>
      </c>
      <c r="K453" s="6" t="n">
        <f aca="false">Sens!J453*(1+Sens!K454)</f>
        <v>33.0228715815776</v>
      </c>
      <c r="L453" s="12" t="s">
        <v>1038</v>
      </c>
    </row>
    <row r="454" customFormat="false" ht="15" hidden="false" customHeight="false" outlineLevel="0" collapsed="false">
      <c r="A454" s="1" t="s">
        <v>1028</v>
      </c>
      <c r="B454" s="0" t="s">
        <v>168</v>
      </c>
      <c r="E454" s="7" t="n">
        <f aca="false">Sens!E453/Sens!D453-1</f>
        <v>0.104685888038225</v>
      </c>
      <c r="F454" s="7" t="n">
        <f aca="false">Sens!$E$454+(glt_ind-Sens!$E$454)*MIN(1,(Sens!F401-base_fy)/n_conv)</f>
        <v>0.0989049066985211</v>
      </c>
      <c r="G454" s="7" t="n">
        <f aca="false">Sens!$E$454+(glt_ind-Sens!$E$454)*MIN(1,(Sens!G401-base_fy)/n_conv)</f>
        <v>0.0931239253588169</v>
      </c>
      <c r="H454" s="7" t="n">
        <f aca="false">Sens!$E$454+(glt_ind-Sens!$E$454)*MIN(1,(Sens!H401-base_fy)/n_conv)</f>
        <v>0.0873429440191127</v>
      </c>
      <c r="I454" s="7" t="n">
        <f aca="false">Sens!$E$454+(glt_ind-Sens!$E$454)*MIN(1,(Sens!I401-base_fy)/n_conv)</f>
        <v>0.0815619626794085</v>
      </c>
      <c r="J454" s="7" t="n">
        <f aca="false">Sens!$E$454+(glt_ind-Sens!$E$454)*MIN(1,(Sens!J401-base_fy)/n_conv)</f>
        <v>0.0757809813397042</v>
      </c>
      <c r="K454" s="7" t="n">
        <f aca="false">Sens!$E$454+(glt_ind-Sens!$E$454)*MIN(1,(Sens!K401-base_fy)/n_conv)</f>
        <v>0.07</v>
      </c>
    </row>
    <row r="455" customFormat="false" ht="17.15" hidden="false" customHeight="false" outlineLevel="0" collapsed="false">
      <c r="A455" s="0" t="s">
        <v>1040</v>
      </c>
      <c r="B455" s="0" t="s">
        <v>98</v>
      </c>
      <c r="D455" s="6" t="n">
        <f aca="false">Q!L10</f>
        <v>7.76</v>
      </c>
      <c r="E455" s="6" t="n">
        <f aca="false">Q!M10</f>
        <v>8.26</v>
      </c>
      <c r="F455" s="6" t="n">
        <f aca="false">Q!$I$10+(Q!M10-Q!$E$10)*(1+Sens!F456)</f>
        <v>8.75372082474227</v>
      </c>
      <c r="G455" s="6" t="n">
        <f aca="false">Sens!F455*(1+Sens!G456)</f>
        <v>9.33399324642364</v>
      </c>
      <c r="H455" s="6" t="n">
        <f aca="false">Sens!G455*(1+Sens!H456)</f>
        <v>9.96139155535851</v>
      </c>
      <c r="I455" s="6" t="n">
        <f aca="false">Sens!H455*(1+Sens!I456)</f>
        <v>10.6402039077391</v>
      </c>
      <c r="J455" s="6" t="n">
        <f aca="false">Sens!I455*(1+Sens!J456)</f>
        <v>11.3751458271397</v>
      </c>
      <c r="K455" s="6" t="n">
        <f aca="false">Sens!J455*(1+Sens!K456)</f>
        <v>12.1714060350394</v>
      </c>
      <c r="L455" s="12" t="s">
        <v>1038</v>
      </c>
    </row>
    <row r="456" customFormat="false" ht="15" hidden="false" customHeight="false" outlineLevel="0" collapsed="false">
      <c r="A456" s="1" t="s">
        <v>1028</v>
      </c>
      <c r="B456" s="0" t="s">
        <v>168</v>
      </c>
      <c r="E456" s="7" t="n">
        <f aca="false">Sens!E455/Sens!D455-1</f>
        <v>0.0644329896907216</v>
      </c>
      <c r="F456" s="7" t="n">
        <f aca="false">Sens!$E$456+(glt_fro-Sens!$E$456)*MIN(1,(Sens!F401-base_fy)/n_conv)</f>
        <v>0.065360824742268</v>
      </c>
      <c r="G456" s="7" t="n">
        <f aca="false">Sens!$E$456+(glt_fro-Sens!$E$456)*MIN(1,(Sens!G401-base_fy)/n_conv)</f>
        <v>0.0662886597938144</v>
      </c>
      <c r="H456" s="7" t="n">
        <f aca="false">Sens!$E$456+(glt_fro-Sens!$E$456)*MIN(1,(Sens!H401-base_fy)/n_conv)</f>
        <v>0.0672164948453608</v>
      </c>
      <c r="I456" s="7" t="n">
        <f aca="false">Sens!$E$456+(glt_fro-Sens!$E$456)*MIN(1,(Sens!I401-base_fy)/n_conv)</f>
        <v>0.0681443298969072</v>
      </c>
      <c r="J456" s="7" t="n">
        <f aca="false">Sens!$E$456+(glt_fro-Sens!$E$456)*MIN(1,(Sens!J401-base_fy)/n_conv)</f>
        <v>0.0690721649484536</v>
      </c>
      <c r="K456" s="7" t="n">
        <f aca="false">Sens!$E$456+(glt_fro-Sens!$E$456)*MIN(1,(Sens!K401-base_fy)/n_conv)</f>
        <v>0.07</v>
      </c>
    </row>
    <row r="457" customFormat="false" ht="15" hidden="false" customHeight="false" outlineLevel="0" collapsed="false">
      <c r="A457" s="0" t="s">
        <v>856</v>
      </c>
      <c r="B457" s="0" t="s">
        <v>98</v>
      </c>
      <c r="D457" s="6" t="n">
        <f aca="false">Sens!D445+Sens!D450+Sens!D451+Sens!D453+Sens!D455</f>
        <v>218.783</v>
      </c>
      <c r="E457" s="6" t="n">
        <f aca="false">Sens!E445+Sens!E450+Sens!E451+Sens!E453+Sens!E455</f>
        <v>268.127</v>
      </c>
      <c r="F457" s="6" t="n">
        <f aca="false">Sens!F445+Sens!F450+Sens!F451+Sens!F453+Sens!F455</f>
        <v>334.748096014336</v>
      </c>
      <c r="G457" s="6" t="n">
        <f aca="false">Sens!G445+Sens!G450+Sens!G451+Sens!G453+Sens!G455</f>
        <v>410.20243494969</v>
      </c>
      <c r="H457" s="6" t="n">
        <f aca="false">Sens!H445+Sens!H450+Sens!H451+Sens!H453+Sens!H455</f>
        <v>487.012857962939</v>
      </c>
      <c r="I457" s="6" t="n">
        <f aca="false">Sens!I445+Sens!I450+Sens!I451+Sens!I453+Sens!I455</f>
        <v>556.962928978464</v>
      </c>
      <c r="J457" s="6" t="n">
        <f aca="false">Sens!J445+Sens!J450+Sens!J451+Sens!J453+Sens!J455</f>
        <v>613.402001017124</v>
      </c>
      <c r="K457" s="6" t="n">
        <f aca="false">Sens!K445+Sens!K450+Sens!K451+Sens!K453+Sens!K455</f>
        <v>657.837590767618</v>
      </c>
    </row>
    <row r="458" customFormat="false" ht="17.15" hidden="false" customHeight="false" outlineLevel="0" collapsed="false">
      <c r="A458" s="0" t="s">
        <v>1041</v>
      </c>
      <c r="B458" s="0" t="s">
        <v>98</v>
      </c>
      <c r="D458" s="6" t="n">
        <f aca="false">Q!L13</f>
        <v>22.171</v>
      </c>
      <c r="E458" s="6" t="n">
        <f aca="false">Q!M13</f>
        <v>24.835</v>
      </c>
      <c r="F458" s="6" t="n">
        <f aca="false">Q!$I$13+(Q!M13-Q!$E$13)*(1+Sens!F459)</f>
        <v>27.5591895660247</v>
      </c>
      <c r="G458" s="6" t="n">
        <f aca="false">Sens!F458*(1+Sens!G459)</f>
        <v>30.4098563144583</v>
      </c>
      <c r="H458" s="6" t="n">
        <f aca="false">Sens!G458*(1+Sens!H459)</f>
        <v>33.3011792571777</v>
      </c>
      <c r="I458" s="6" t="n">
        <f aca="false">Sens!H458*(1+Sens!I459)</f>
        <v>36.189023797112</v>
      </c>
      <c r="J458" s="6" t="n">
        <f aca="false">Sens!I458*(1+Sens!J459)</f>
        <v>39.0247773769199</v>
      </c>
      <c r="K458" s="6" t="n">
        <f aca="false">Sens!J458*(1+Sens!K459)</f>
        <v>41.7565117933043</v>
      </c>
      <c r="L458" s="12" t="s">
        <v>1038</v>
      </c>
    </row>
    <row r="459" customFormat="false" ht="15" hidden="false" customHeight="false" outlineLevel="0" collapsed="false">
      <c r="A459" s="1" t="s">
        <v>1028</v>
      </c>
      <c r="B459" s="0" t="s">
        <v>168</v>
      </c>
      <c r="E459" s="7" t="n">
        <f aca="false">Sens!E458/Sens!D458-1</f>
        <v>0.120156961796942</v>
      </c>
      <c r="F459" s="7" t="n">
        <f aca="false">Sens!$E$459+(glt_srch-Sens!$E$459)*MIN(1,(Sens!F401-base_fy)/n_conv)</f>
        <v>0.111797468164118</v>
      </c>
      <c r="G459" s="7" t="n">
        <f aca="false">Sens!$E$459+(glt_srch-Sens!$E$459)*MIN(1,(Sens!G401-base_fy)/n_conv)</f>
        <v>0.103437974531295</v>
      </c>
      <c r="H459" s="7" t="n">
        <f aca="false">Sens!$E$459+(glt_srch-Sens!$E$459)*MIN(1,(Sens!H401-base_fy)/n_conv)</f>
        <v>0.095078480898471</v>
      </c>
      <c r="I459" s="7" t="n">
        <f aca="false">Sens!$E$459+(glt_srch-Sens!$E$459)*MIN(1,(Sens!I401-base_fy)/n_conv)</f>
        <v>0.0867189872656474</v>
      </c>
      <c r="J459" s="7" t="n">
        <f aca="false">Sens!$E$459+(glt_srch-Sens!$E$459)*MIN(1,(Sens!J401-base_fy)/n_conv)</f>
        <v>0.0783594936328237</v>
      </c>
      <c r="K459" s="7" t="n">
        <f aca="false">Sens!$E$459+(glt_srch-Sens!$E$459)*MIN(1,(Sens!K401-base_fy)/n_conv)</f>
        <v>0.07</v>
      </c>
    </row>
    <row r="460" customFormat="false" ht="17.15" hidden="false" customHeight="false" outlineLevel="0" collapsed="false">
      <c r="A460" s="0" t="s">
        <v>1042</v>
      </c>
      <c r="B460" s="0" t="s">
        <v>98</v>
      </c>
      <c r="D460" s="6" t="n">
        <f aca="false">Q!L14</f>
        <v>23.455</v>
      </c>
      <c r="E460" s="6" t="n">
        <f aca="false">Q!M14</f>
        <v>21.79</v>
      </c>
      <c r="F460" s="6" t="n">
        <f aca="false">Q!$I$14+(Q!M14-Q!$E$14)*(1+Sens!F461)</f>
        <v>20.7520981041711</v>
      </c>
      <c r="G460" s="6" t="n">
        <f aca="false">Sens!F460*(1+Sens!G461)</f>
        <v>19.9083593495882</v>
      </c>
      <c r="H460" s="6" t="n">
        <f aca="false">Sens!G460*(1+Sens!H461)</f>
        <v>19.4008256265831</v>
      </c>
      <c r="I460" s="6" t="n">
        <f aca="false">Sens!H460*(1+Sens!I461)</f>
        <v>19.200434522122</v>
      </c>
      <c r="J460" s="6" t="n">
        <f aca="false">Sens!I460*(1+Sens!J461)</f>
        <v>19.2932782348507</v>
      </c>
      <c r="K460" s="6" t="n">
        <f aca="false">Sens!J460*(1+Sens!K461)</f>
        <v>19.6791437995477</v>
      </c>
      <c r="L460" s="12" t="s">
        <v>1038</v>
      </c>
    </row>
    <row r="461" customFormat="false" ht="15" hidden="false" customHeight="false" outlineLevel="0" collapsed="false">
      <c r="A461" s="1" t="s">
        <v>1028</v>
      </c>
      <c r="B461" s="0" t="s">
        <v>168</v>
      </c>
      <c r="E461" s="7" t="n">
        <f aca="false">Sens!E460/Sens!D460-1</f>
        <v>-0.0709869963760392</v>
      </c>
      <c r="F461" s="7" t="n">
        <f aca="false">Sens!$E$461+(glt_xbox-Sens!$E$461)*MIN(1,(Sens!F401-base_fy)/n_conv)</f>
        <v>-0.0558224969800327</v>
      </c>
      <c r="G461" s="7" t="n">
        <f aca="false">Sens!$E$461+(glt_xbox-Sens!$E$461)*MIN(1,(Sens!G401-base_fy)/n_conv)</f>
        <v>-0.0406579975840262</v>
      </c>
      <c r="H461" s="7" t="n">
        <f aca="false">Sens!$E$461+(glt_xbox-Sens!$E$461)*MIN(1,(Sens!H401-base_fy)/n_conv)</f>
        <v>-0.0254934981880196</v>
      </c>
      <c r="I461" s="7" t="n">
        <f aca="false">Sens!$E$461+(glt_xbox-Sens!$E$461)*MIN(1,(Sens!I401-base_fy)/n_conv)</f>
        <v>-0.0103289987920131</v>
      </c>
      <c r="J461" s="7" t="n">
        <f aca="false">Sens!$E$461+(glt_xbox-Sens!$E$461)*MIN(1,(Sens!J401-base_fy)/n_conv)</f>
        <v>0.00483550060399347</v>
      </c>
      <c r="K461" s="7" t="n">
        <f aca="false">Sens!$E$461+(glt_xbox-Sens!$E$461)*MIN(1,(Sens!K401-base_fy)/n_conv)</f>
        <v>0.02</v>
      </c>
    </row>
    <row r="462" customFormat="false" ht="17.15" hidden="false" customHeight="false" outlineLevel="0" collapsed="false">
      <c r="A462" s="0" t="s">
        <v>1043</v>
      </c>
      <c r="B462" s="0" t="s">
        <v>98</v>
      </c>
      <c r="D462" s="6" t="n">
        <f aca="false">Q!L15</f>
        <v>17.315</v>
      </c>
      <c r="E462" s="6" t="n">
        <f aca="false">Q!M15</f>
        <v>17.087</v>
      </c>
      <c r="F462" s="6" t="n">
        <f aca="false">Q!$I$15+(Q!M15-Q!$E$15)*(1+Sens!F463)</f>
        <v>15.9912273250553</v>
      </c>
      <c r="G462" s="6" t="n">
        <f aca="false">Sens!F462*(1+Sens!G463)</f>
        <v>15.9574562664827</v>
      </c>
      <c r="H462" s="6" t="n">
        <f aca="false">Sens!G462*(1+Sens!H463)</f>
        <v>16.0119687434196</v>
      </c>
      <c r="I462" s="6" t="n">
        <f aca="false">Sens!H462*(1+Sens!I463)</f>
        <v>16.1551810001948</v>
      </c>
      <c r="J462" s="6" t="n">
        <f aca="false">Sens!I462*(1+Sens!J463)</f>
        <v>16.3889793892005</v>
      </c>
      <c r="K462" s="6" t="n">
        <f aca="false">Sens!J462*(1+Sens!K463)</f>
        <v>16.7167589769845</v>
      </c>
      <c r="L462" s="12" t="s">
        <v>1038</v>
      </c>
    </row>
    <row r="463" customFormat="false" ht="15" hidden="false" customHeight="false" outlineLevel="0" collapsed="false">
      <c r="A463" s="1" t="s">
        <v>1028</v>
      </c>
      <c r="B463" s="0" t="s">
        <v>168</v>
      </c>
      <c r="E463" s="7" t="n">
        <f aca="false">Sens!E462/Sens!D462-1</f>
        <v>-0.0131677736066995</v>
      </c>
      <c r="F463" s="7" t="n">
        <f aca="false">Sens!$E$463+(glt_win-Sens!$E$463)*MIN(1,(Sens!F401-base_fy)/n_conv)</f>
        <v>-0.00763981133891627</v>
      </c>
      <c r="G463" s="7" t="n">
        <f aca="false">Sens!$E$463+(glt_win-Sens!$E$463)*MIN(1,(Sens!G401-base_fy)/n_conv)</f>
        <v>-0.00211184907113301</v>
      </c>
      <c r="H463" s="7" t="n">
        <f aca="false">Sens!$E$463+(glt_win-Sens!$E$463)*MIN(1,(Sens!H401-base_fy)/n_conv)</f>
        <v>0.00341611319665024</v>
      </c>
      <c r="I463" s="7" t="n">
        <f aca="false">Sens!$E$463+(glt_win-Sens!$E$463)*MIN(1,(Sens!I401-base_fy)/n_conv)</f>
        <v>0.00894407546443349</v>
      </c>
      <c r="J463" s="7" t="n">
        <f aca="false">Sens!$E$463+(glt_win-Sens!$E$463)*MIN(1,(Sens!J401-base_fy)/n_conv)</f>
        <v>0.0144720377322168</v>
      </c>
      <c r="K463" s="7" t="n">
        <f aca="false">Sens!$E$463+(glt_win-Sens!$E$463)*MIN(1,(Sens!K401-base_fy)/n_conv)</f>
        <v>0.02</v>
      </c>
    </row>
    <row r="464" customFormat="false" ht="15" hidden="false" customHeight="false" outlineLevel="0" collapsed="false">
      <c r="A464" s="0" t="s">
        <v>870</v>
      </c>
      <c r="B464" s="0" t="s">
        <v>98</v>
      </c>
      <c r="D464" s="6" t="n">
        <f aca="false">Sens!D458+Sens!D460+Sens!D462</f>
        <v>62.941</v>
      </c>
      <c r="E464" s="6" t="n">
        <f aca="false">Sens!E458+Sens!E460+Sens!E462</f>
        <v>63.712</v>
      </c>
      <c r="F464" s="6" t="n">
        <f aca="false">Sens!F458+Sens!F460+Sens!F462</f>
        <v>64.3025149952511</v>
      </c>
      <c r="G464" s="6" t="n">
        <f aca="false">Sens!G458+Sens!G460+Sens!G462</f>
        <v>66.2756719305292</v>
      </c>
      <c r="H464" s="6" t="n">
        <f aca="false">Sens!H458+Sens!H460+Sens!H462</f>
        <v>68.7139736271804</v>
      </c>
      <c r="I464" s="6" t="n">
        <f aca="false">Sens!I458+Sens!I460+Sens!I462</f>
        <v>71.5446393194289</v>
      </c>
      <c r="J464" s="6" t="n">
        <f aca="false">Sens!J458+Sens!J460+Sens!J462</f>
        <v>74.707035000971</v>
      </c>
      <c r="K464" s="6" t="n">
        <f aca="false">Sens!K458+Sens!K460+Sens!K462</f>
        <v>78.1524145698365</v>
      </c>
    </row>
    <row r="465" customFormat="false" ht="15" hidden="false" customHeight="false" outlineLevel="0" collapsed="false">
      <c r="A465" s="1" t="s">
        <v>1044</v>
      </c>
      <c r="B465" s="0" t="s">
        <v>98</v>
      </c>
      <c r="D465" s="6" t="n">
        <f aca="false">Sens!D457+Sens!D464</f>
        <v>281.724</v>
      </c>
      <c r="E465" s="6" t="n">
        <f aca="false">Sens!E457+Sens!E464</f>
        <v>331.839</v>
      </c>
      <c r="F465" s="6" t="n">
        <f aca="false">Sens!F457+Sens!F464</f>
        <v>399.050611009588</v>
      </c>
      <c r="G465" s="6" t="n">
        <f aca="false">Sens!G457+Sens!G464</f>
        <v>476.478106880219</v>
      </c>
      <c r="H465" s="6" t="n">
        <f aca="false">Sens!H457+Sens!H464</f>
        <v>555.72683159012</v>
      </c>
      <c r="I465" s="6" t="n">
        <f aca="false">Sens!I457+Sens!I464</f>
        <v>628.507568297893</v>
      </c>
      <c r="J465" s="6" t="n">
        <f aca="false">Sens!J457+Sens!J464</f>
        <v>688.109036018095</v>
      </c>
      <c r="K465" s="6" t="n">
        <f aca="false">Sens!K457+Sens!K464</f>
        <v>735.990005337455</v>
      </c>
    </row>
    <row r="466" customFormat="false" ht="15" hidden="false" customHeight="false" outlineLevel="0" collapsed="false">
      <c r="A466" s="26" t="s">
        <v>1045</v>
      </c>
      <c r="B466" s="31" t="s">
        <v>98</v>
      </c>
      <c r="C466" s="31"/>
      <c r="D466" s="27" t="n">
        <f aca="false">(Sens!D445+Sens!D450+Sens!D451+Sens!D453+Sens!D455-Sens!D457)+(Sens!D458+Sens!D460+Sens!D462-Sens!D464)+(Sens!D457-Q!L5)+(Sens!D464-Q!L12)+(Sens!D445-Q!L6)+(Sens!D450-Q!L7)</f>
        <v>0</v>
      </c>
      <c r="E466" s="27" t="n">
        <f aca="false">(Sens!E445+Sens!E450+Sens!E451+Sens!E453+Sens!E455-Sens!E457)+(Sens!E458+Sens!E460+Sens!E462-Sens!E464)+(Sens!E457-Q!M5)+(Sens!E464-Q!M12)+(Sens!E445-Q!M6)+(Sens!E450-Q!M7)</f>
        <v>0</v>
      </c>
      <c r="F466" s="27" t="n">
        <f aca="false">(Sens!F445+Sens!F450+Sens!F451+Sens!F453+Sens!F455-Sens!F457)+(Sens!F458+Sens!F460+Sens!F462-Sens!F464)</f>
        <v>0</v>
      </c>
      <c r="G466" s="27" t="n">
        <f aca="false">(Sens!G445+Sens!G450+Sens!G451+Sens!G453+Sens!G455-Sens!G457)+(Sens!G458+Sens!G460+Sens!G462-Sens!G464)</f>
        <v>0</v>
      </c>
      <c r="H466" s="27" t="n">
        <f aca="false">(Sens!H445+Sens!H450+Sens!H451+Sens!H453+Sens!H455-Sens!H457)+(Sens!H458+Sens!H460+Sens!H462-Sens!H464)</f>
        <v>0</v>
      </c>
      <c r="I466" s="27" t="n">
        <f aca="false">(Sens!I445+Sens!I450+Sens!I451+Sens!I453+Sens!I455-Sens!I457)+(Sens!I458+Sens!I460+Sens!I462-Sens!I464)</f>
        <v>0</v>
      </c>
      <c r="J466" s="27" t="n">
        <f aca="false">(Sens!J445+Sens!J450+Sens!J451+Sens!J453+Sens!J455-Sens!J457)+(Sens!J458+Sens!J460+Sens!J462-Sens!J464)</f>
        <v>0</v>
      </c>
      <c r="K466" s="27" t="n">
        <f aca="false">(Sens!K445+Sens!K450+Sens!K451+Sens!K453+Sens!K455-Sens!K457)+(Sens!K458+Sens!K460+Sens!K462-Sens!K464)</f>
        <v>0</v>
      </c>
    </row>
    <row r="467" customFormat="false" ht="17.15" hidden="false" customHeight="false" outlineLevel="0" collapsed="false">
      <c r="A467" s="3" t="s">
        <v>1622</v>
      </c>
    </row>
    <row r="468" customFormat="false" ht="15" hidden="false" customHeight="false" outlineLevel="0" collapsed="false">
      <c r="A468" s="4" t="s">
        <v>43</v>
      </c>
      <c r="B468" s="4" t="s">
        <v>65</v>
      </c>
      <c r="C468" s="23" t="s">
        <v>942</v>
      </c>
      <c r="D468" s="23" t="s">
        <v>943</v>
      </c>
      <c r="E468" s="23" t="s">
        <v>944</v>
      </c>
      <c r="F468" s="23" t="s">
        <v>945</v>
      </c>
      <c r="G468" s="23" t="s">
        <v>946</v>
      </c>
      <c r="H468" s="23" t="s">
        <v>947</v>
      </c>
      <c r="I468" s="23" t="s">
        <v>948</v>
      </c>
      <c r="J468" s="23" t="s">
        <v>949</v>
      </c>
      <c r="K468" s="23" t="s">
        <v>950</v>
      </c>
      <c r="L468" s="4" t="s">
        <v>47</v>
      </c>
    </row>
    <row r="469" customFormat="false" ht="15" hidden="false" customHeight="false" outlineLevel="0" collapsed="false">
      <c r="A469" s="0" t="s">
        <v>1029</v>
      </c>
      <c r="B469" s="0" t="s">
        <v>98</v>
      </c>
      <c r="D469" s="6" t="n">
        <f aca="false">Sens!D445</f>
        <v>72.61</v>
      </c>
      <c r="E469" s="6" t="n">
        <f aca="false">Sens!E445</f>
        <v>101.938</v>
      </c>
      <c r="F469" s="6" t="n">
        <f aca="false">Sens!F445</f>
        <v>146.709048000181</v>
      </c>
      <c r="G469" s="6" t="n">
        <f aca="false">Sens!G445</f>
        <v>199.762829861393</v>
      </c>
      <c r="H469" s="6" t="n">
        <f aca="false">Sens!H445</f>
        <v>254.146566109645</v>
      </c>
      <c r="I469" s="6" t="n">
        <f aca="false">Sens!I445</f>
        <v>303.439446964617</v>
      </c>
      <c r="J469" s="6" t="n">
        <f aca="false">Sens!J445</f>
        <v>341.309898459739</v>
      </c>
      <c r="K469" s="6" t="n">
        <f aca="false">Sens!K445</f>
        <v>368.09747789654</v>
      </c>
    </row>
    <row r="470" customFormat="false" ht="17.15" hidden="false" customHeight="false" outlineLevel="0" collapsed="false">
      <c r="A470" s="0" t="s">
        <v>1025</v>
      </c>
      <c r="B470" s="0" t="s">
        <v>98</v>
      </c>
      <c r="D470" s="6" t="n">
        <f aca="false">Sens!D442</f>
        <v>12.9359794422418</v>
      </c>
      <c r="E470" s="6" t="n">
        <f aca="false">Sens!E442</f>
        <v>27.8095064661409</v>
      </c>
      <c r="F470" s="6" t="n">
        <f aca="false">Sens!F442</f>
        <v>55.4118315060966</v>
      </c>
      <c r="G470" s="6" t="n">
        <f aca="false">Sens!G442</f>
        <v>91.2881100675143</v>
      </c>
      <c r="H470" s="6" t="n">
        <f aca="false">Sens!H442</f>
        <v>128.195273603944</v>
      </c>
      <c r="I470" s="6" t="n">
        <f aca="false">Sens!I442</f>
        <v>160.601281810405</v>
      </c>
      <c r="J470" s="6" t="n">
        <f aca="false">Sens!J442</f>
        <v>183.182719793589</v>
      </c>
      <c r="K470" s="6" t="n">
        <f aca="false">Sens!K442</f>
        <v>197.320124937098</v>
      </c>
    </row>
    <row r="471" customFormat="false" ht="17.15" hidden="false" customHeight="false" outlineLevel="0" collapsed="false">
      <c r="A471" s="0" t="s">
        <v>1056</v>
      </c>
      <c r="B471" s="0" t="s">
        <v>98</v>
      </c>
      <c r="D471" s="6" t="n">
        <f aca="false">Sens!D443</f>
        <v>59.6740205577583</v>
      </c>
      <c r="E471" s="6" t="n">
        <f aca="false">Sens!E443</f>
        <v>74.1284935338591</v>
      </c>
      <c r="F471" s="6" t="n">
        <f aca="false">Sens!F443</f>
        <v>91.2972164940844</v>
      </c>
      <c r="G471" s="6" t="n">
        <f aca="false">Sens!G443</f>
        <v>108.474719793879</v>
      </c>
      <c r="H471" s="6" t="n">
        <f aca="false">Sens!H443</f>
        <v>125.951292505701</v>
      </c>
      <c r="I471" s="6" t="n">
        <f aca="false">Sens!I443</f>
        <v>142.838165154212</v>
      </c>
      <c r="J471" s="6" t="n">
        <f aca="false">Sens!J443</f>
        <v>158.12717866615</v>
      </c>
      <c r="K471" s="6" t="n">
        <f aca="false">Sens!K443</f>
        <v>170.777352959442</v>
      </c>
    </row>
    <row r="472" customFormat="false" ht="15" hidden="false" customHeight="false" outlineLevel="0" collapsed="false">
      <c r="A472" s="0" t="s">
        <v>1036</v>
      </c>
      <c r="B472" s="0" t="s">
        <v>98</v>
      </c>
      <c r="D472" s="6" t="n">
        <f aca="false">Sens!D450</f>
        <v>84.605</v>
      </c>
      <c r="E472" s="6" t="n">
        <f aca="false">Sens!E450</f>
        <v>100.299</v>
      </c>
      <c r="F472" s="6" t="n">
        <f aca="false">Sens!F450</f>
        <v>118.584003697747</v>
      </c>
      <c r="G472" s="6" t="n">
        <f aca="false">Sens!G450</f>
        <v>136.700726545688</v>
      </c>
      <c r="H472" s="6" t="n">
        <f aca="false">Sens!H450</f>
        <v>154.898624783666</v>
      </c>
      <c r="I472" s="6" t="n">
        <f aca="false">Sens!I450</f>
        <v>171.420510030657</v>
      </c>
      <c r="J472" s="6" t="n">
        <f aca="false">Sens!J450</f>
        <v>185.985722618572</v>
      </c>
      <c r="K472" s="6" t="n">
        <f aca="false">Sens!K450</f>
        <v>199.799723201872</v>
      </c>
    </row>
    <row r="473" customFormat="false" ht="17.15" hidden="false" customHeight="false" outlineLevel="0" collapsed="false">
      <c r="A473" s="0" t="s">
        <v>1057</v>
      </c>
      <c r="B473" s="0" t="s">
        <v>98</v>
      </c>
      <c r="D473" s="6" t="n">
        <f aca="false">Sens!D448</f>
        <v>83.705</v>
      </c>
      <c r="E473" s="6" t="n">
        <f aca="false">Sens!E448</f>
        <v>95.049</v>
      </c>
      <c r="F473" s="6" t="n">
        <f aca="false">Sens!F448</f>
        <v>106.584003697747</v>
      </c>
      <c r="G473" s="6" t="n">
        <f aca="false">Sens!G448</f>
        <v>118.700726545688</v>
      </c>
      <c r="H473" s="6" t="n">
        <f aca="false">Sens!H448</f>
        <v>130.898624783666</v>
      </c>
      <c r="I473" s="6" t="n">
        <f aca="false">Sens!I448</f>
        <v>142.920510030657</v>
      </c>
      <c r="J473" s="6" t="n">
        <f aca="false">Sens!J448</f>
        <v>154.485722618572</v>
      </c>
      <c r="K473" s="6" t="n">
        <f aca="false">Sens!K448</f>
        <v>165.299723201872</v>
      </c>
    </row>
    <row r="474" customFormat="false" ht="17.15" hidden="false" customHeight="false" outlineLevel="0" collapsed="false">
      <c r="A474" s="0" t="s">
        <v>1058</v>
      </c>
      <c r="B474" s="0" t="s">
        <v>98</v>
      </c>
      <c r="D474" s="6" t="n">
        <f aca="false">Sens!D447</f>
        <v>0.9</v>
      </c>
      <c r="E474" s="6" t="n">
        <f aca="false">Sens!E447</f>
        <v>5.25</v>
      </c>
      <c r="F474" s="6" t="n">
        <f aca="false">Sens!F447</f>
        <v>12</v>
      </c>
      <c r="G474" s="6" t="n">
        <f aca="false">Sens!G447</f>
        <v>18</v>
      </c>
      <c r="H474" s="6" t="n">
        <f aca="false">Sens!H447</f>
        <v>24</v>
      </c>
      <c r="I474" s="6" t="n">
        <f aca="false">Sens!I447</f>
        <v>28.5</v>
      </c>
      <c r="J474" s="6" t="n">
        <f aca="false">Sens!J447</f>
        <v>31.5</v>
      </c>
      <c r="K474" s="6" t="n">
        <f aca="false">Sens!K447</f>
        <v>34.5</v>
      </c>
    </row>
    <row r="475" customFormat="false" ht="15" hidden="false" customHeight="false" outlineLevel="0" collapsed="false">
      <c r="A475" s="0" t="s">
        <v>1037</v>
      </c>
      <c r="B475" s="0" t="s">
        <v>98</v>
      </c>
      <c r="D475" s="6" t="n">
        <f aca="false">Sens!D451</f>
        <v>35.391</v>
      </c>
      <c r="E475" s="6" t="n">
        <f aca="false">Sens!E451</f>
        <v>37.285</v>
      </c>
      <c r="F475" s="6" t="n">
        <f aca="false">Sens!F451</f>
        <v>38.3851437782675</v>
      </c>
      <c r="G475" s="6" t="n">
        <f aca="false">Sens!G451</f>
        <v>40.0105353288615</v>
      </c>
      <c r="H475" s="6" t="n">
        <f aca="false">Sens!H451</f>
        <v>41.4812512033683</v>
      </c>
      <c r="I475" s="6" t="n">
        <f aca="false">Sens!I451</f>
        <v>42.7743107216329</v>
      </c>
      <c r="J475" s="6" t="n">
        <f aca="false">Sens!J451</f>
        <v>43.8687373064601</v>
      </c>
      <c r="K475" s="6" t="n">
        <f aca="false">Sens!K451</f>
        <v>44.7461120525893</v>
      </c>
    </row>
    <row r="476" customFormat="false" ht="15" hidden="false" customHeight="false" outlineLevel="0" collapsed="false">
      <c r="A476" s="0" t="s">
        <v>1039</v>
      </c>
      <c r="B476" s="0" t="s">
        <v>98</v>
      </c>
      <c r="D476" s="6" t="n">
        <f aca="false">Sens!D453</f>
        <v>18.417</v>
      </c>
      <c r="E476" s="6" t="n">
        <f aca="false">Sens!E453</f>
        <v>20.345</v>
      </c>
      <c r="F476" s="6" t="n">
        <f aca="false">Sens!F453</f>
        <v>22.3161797133988</v>
      </c>
      <c r="G476" s="6" t="n">
        <f aca="false">Sens!G453</f>
        <v>24.3943499673233</v>
      </c>
      <c r="H476" s="6" t="n">
        <f aca="false">Sens!H453</f>
        <v>26.5250243109019</v>
      </c>
      <c r="I476" s="6" t="n">
        <f aca="false">Sens!I453</f>
        <v>28.6884573538181</v>
      </c>
      <c r="J476" s="6" t="n">
        <f aca="false">Sens!J453</f>
        <v>30.8624968052127</v>
      </c>
      <c r="K476" s="6" t="n">
        <f aca="false">Sens!K453</f>
        <v>33.0228715815776</v>
      </c>
    </row>
    <row r="477" customFormat="false" ht="15" hidden="false" customHeight="false" outlineLevel="0" collapsed="false">
      <c r="A477" s="0" t="s">
        <v>1040</v>
      </c>
      <c r="B477" s="0" t="s">
        <v>98</v>
      </c>
      <c r="D477" s="6" t="n">
        <f aca="false">Sens!D455</f>
        <v>7.76</v>
      </c>
      <c r="E477" s="6" t="n">
        <f aca="false">Sens!E455</f>
        <v>8.26</v>
      </c>
      <c r="F477" s="6" t="n">
        <f aca="false">Sens!F455</f>
        <v>8.75372082474227</v>
      </c>
      <c r="G477" s="6" t="n">
        <f aca="false">Sens!G455</f>
        <v>9.33399324642364</v>
      </c>
      <c r="H477" s="6" t="n">
        <f aca="false">Sens!H455</f>
        <v>9.96139155535851</v>
      </c>
      <c r="I477" s="6" t="n">
        <f aca="false">Sens!I455</f>
        <v>10.6402039077391</v>
      </c>
      <c r="J477" s="6" t="n">
        <f aca="false">Sens!J455</f>
        <v>11.3751458271397</v>
      </c>
      <c r="K477" s="6" t="n">
        <f aca="false">Sens!K455</f>
        <v>12.1714060350394</v>
      </c>
    </row>
    <row r="478" customFormat="false" ht="15" hidden="false" customHeight="false" outlineLevel="0" collapsed="false">
      <c r="A478" s="0" t="s">
        <v>856</v>
      </c>
      <c r="B478" s="0" t="s">
        <v>98</v>
      </c>
      <c r="D478" s="6" t="n">
        <f aca="false">Sens!D457</f>
        <v>218.783</v>
      </c>
      <c r="E478" s="6" t="n">
        <f aca="false">Sens!E457</f>
        <v>268.127</v>
      </c>
      <c r="F478" s="6" t="n">
        <f aca="false">Sens!F457</f>
        <v>334.748096014336</v>
      </c>
      <c r="G478" s="6" t="n">
        <f aca="false">Sens!G457</f>
        <v>410.20243494969</v>
      </c>
      <c r="H478" s="6" t="n">
        <f aca="false">Sens!H457</f>
        <v>487.012857962939</v>
      </c>
      <c r="I478" s="6" t="n">
        <f aca="false">Sens!I457</f>
        <v>556.962928978464</v>
      </c>
      <c r="J478" s="6" t="n">
        <f aca="false">Sens!J457</f>
        <v>613.402001017124</v>
      </c>
      <c r="K478" s="6" t="n">
        <f aca="false">Sens!K457</f>
        <v>657.837590767618</v>
      </c>
    </row>
    <row r="479" customFormat="false" ht="15" hidden="false" customHeight="false" outlineLevel="0" collapsed="false">
      <c r="A479" s="0" t="s">
        <v>1041</v>
      </c>
      <c r="B479" s="0" t="s">
        <v>98</v>
      </c>
      <c r="D479" s="6" t="n">
        <f aca="false">Sens!D458</f>
        <v>22.171</v>
      </c>
      <c r="E479" s="6" t="n">
        <f aca="false">Sens!E458</f>
        <v>24.835</v>
      </c>
      <c r="F479" s="6" t="n">
        <f aca="false">Sens!F458</f>
        <v>27.5591895660247</v>
      </c>
      <c r="G479" s="6" t="n">
        <f aca="false">Sens!G458</f>
        <v>30.4098563144583</v>
      </c>
      <c r="H479" s="6" t="n">
        <f aca="false">Sens!H458</f>
        <v>33.3011792571777</v>
      </c>
      <c r="I479" s="6" t="n">
        <f aca="false">Sens!I458</f>
        <v>36.189023797112</v>
      </c>
      <c r="J479" s="6" t="n">
        <f aca="false">Sens!J458</f>
        <v>39.0247773769199</v>
      </c>
      <c r="K479" s="6" t="n">
        <f aca="false">Sens!K458</f>
        <v>41.7565117933043</v>
      </c>
    </row>
    <row r="480" customFormat="false" ht="15" hidden="false" customHeight="false" outlineLevel="0" collapsed="false">
      <c r="A480" s="0" t="s">
        <v>1042</v>
      </c>
      <c r="B480" s="0" t="s">
        <v>98</v>
      </c>
      <c r="D480" s="6" t="n">
        <f aca="false">Sens!D460</f>
        <v>23.455</v>
      </c>
      <c r="E480" s="6" t="n">
        <f aca="false">Sens!E460</f>
        <v>21.79</v>
      </c>
      <c r="F480" s="6" t="n">
        <f aca="false">Sens!F460</f>
        <v>20.7520981041711</v>
      </c>
      <c r="G480" s="6" t="n">
        <f aca="false">Sens!G460</f>
        <v>19.9083593495882</v>
      </c>
      <c r="H480" s="6" t="n">
        <f aca="false">Sens!H460</f>
        <v>19.4008256265831</v>
      </c>
      <c r="I480" s="6" t="n">
        <f aca="false">Sens!I460</f>
        <v>19.200434522122</v>
      </c>
      <c r="J480" s="6" t="n">
        <f aca="false">Sens!J460</f>
        <v>19.2932782348507</v>
      </c>
      <c r="K480" s="6" t="n">
        <f aca="false">Sens!K460</f>
        <v>19.6791437995477</v>
      </c>
    </row>
    <row r="481" customFormat="false" ht="15" hidden="false" customHeight="false" outlineLevel="0" collapsed="false">
      <c r="A481" s="0" t="s">
        <v>1043</v>
      </c>
      <c r="B481" s="0" t="s">
        <v>98</v>
      </c>
      <c r="D481" s="6" t="n">
        <f aca="false">Sens!D462</f>
        <v>17.315</v>
      </c>
      <c r="E481" s="6" t="n">
        <f aca="false">Sens!E462</f>
        <v>17.087</v>
      </c>
      <c r="F481" s="6" t="n">
        <f aca="false">Sens!F462</f>
        <v>15.9912273250553</v>
      </c>
      <c r="G481" s="6" t="n">
        <f aca="false">Sens!G462</f>
        <v>15.9574562664827</v>
      </c>
      <c r="H481" s="6" t="n">
        <f aca="false">Sens!H462</f>
        <v>16.0119687434196</v>
      </c>
      <c r="I481" s="6" t="n">
        <f aca="false">Sens!I462</f>
        <v>16.1551810001948</v>
      </c>
      <c r="J481" s="6" t="n">
        <f aca="false">Sens!J462</f>
        <v>16.3889793892005</v>
      </c>
      <c r="K481" s="6" t="n">
        <f aca="false">Sens!K462</f>
        <v>16.7167589769845</v>
      </c>
    </row>
    <row r="482" customFormat="false" ht="15" hidden="false" customHeight="false" outlineLevel="0" collapsed="false">
      <c r="A482" s="0" t="s">
        <v>870</v>
      </c>
      <c r="B482" s="0" t="s">
        <v>98</v>
      </c>
      <c r="D482" s="6" t="n">
        <f aca="false">Sens!D464</f>
        <v>62.941</v>
      </c>
      <c r="E482" s="6" t="n">
        <f aca="false">Sens!E464</f>
        <v>63.712</v>
      </c>
      <c r="F482" s="6" t="n">
        <f aca="false">Sens!F464</f>
        <v>64.3025149952511</v>
      </c>
      <c r="G482" s="6" t="n">
        <f aca="false">Sens!G464</f>
        <v>66.2756719305292</v>
      </c>
      <c r="H482" s="6" t="n">
        <f aca="false">Sens!H464</f>
        <v>68.7139736271804</v>
      </c>
      <c r="I482" s="6" t="n">
        <f aca="false">Sens!I464</f>
        <v>71.5446393194289</v>
      </c>
      <c r="J482" s="6" t="n">
        <f aca="false">Sens!J464</f>
        <v>74.707035000971</v>
      </c>
      <c r="K482" s="6" t="n">
        <f aca="false">Sens!K464</f>
        <v>78.1524145698365</v>
      </c>
    </row>
    <row r="483" customFormat="false" ht="15" hidden="false" customHeight="false" outlineLevel="0" collapsed="false">
      <c r="A483" s="1" t="s">
        <v>1059</v>
      </c>
      <c r="B483" s="0" t="s">
        <v>98</v>
      </c>
      <c r="D483" s="6" t="n">
        <f aca="false">Sens!D465</f>
        <v>281.724</v>
      </c>
      <c r="E483" s="6" t="n">
        <f aca="false">Sens!E465</f>
        <v>331.839</v>
      </c>
      <c r="F483" s="6" t="n">
        <f aca="false">Sens!F465</f>
        <v>399.050611009588</v>
      </c>
      <c r="G483" s="6" t="n">
        <f aca="false">Sens!G465</f>
        <v>476.478106880219</v>
      </c>
      <c r="H483" s="6" t="n">
        <f aca="false">Sens!H465</f>
        <v>555.72683159012</v>
      </c>
      <c r="I483" s="6" t="n">
        <f aca="false">Sens!I465</f>
        <v>628.507568297893</v>
      </c>
      <c r="J483" s="6" t="n">
        <f aca="false">Sens!J465</f>
        <v>688.109036018095</v>
      </c>
      <c r="K483" s="6" t="n">
        <f aca="false">Sens!K465</f>
        <v>735.990005337455</v>
      </c>
    </row>
    <row r="484" customFormat="false" ht="15" hidden="false" customHeight="false" outlineLevel="0" collapsed="false">
      <c r="A484" s="1" t="s">
        <v>1060</v>
      </c>
      <c r="B484" s="0" t="s">
        <v>168</v>
      </c>
      <c r="E484" s="7" t="n">
        <f aca="false">Sens!E483/Sens!D483-1</f>
        <v>0.177886867998467</v>
      </c>
      <c r="F484" s="7" t="n">
        <f aca="false">Sens!F483/Sens!E483-1</f>
        <v>0.202542832547071</v>
      </c>
      <c r="G484" s="7" t="n">
        <f aca="false">Sens!G483/Sens!F483-1</f>
        <v>0.194029262791359</v>
      </c>
      <c r="H484" s="7" t="n">
        <f aca="false">Sens!H483/Sens!G483-1</f>
        <v>0.166321859421387</v>
      </c>
      <c r="I484" s="7" t="n">
        <f aca="false">Sens!I483/Sens!H483-1</f>
        <v>0.13096494999085</v>
      </c>
      <c r="J484" s="7" t="n">
        <f aca="false">Sens!J483/Sens!I483-1</f>
        <v>0.0948301511811749</v>
      </c>
      <c r="K484" s="7" t="n">
        <f aca="false">Sens!K483/Sens!J483-1</f>
        <v>0.0695834043924704</v>
      </c>
    </row>
    <row r="485" customFormat="false" ht="17.15" hidden="false" customHeight="false" outlineLevel="0" collapsed="false">
      <c r="A485" s="26" t="s">
        <v>1061</v>
      </c>
      <c r="B485" s="31" t="s">
        <v>98</v>
      </c>
      <c r="C485" s="31"/>
      <c r="D485" s="27" t="n">
        <f aca="false">(Sens!D478+Sens!D482-Sens!D483)+(Sens!D470+Sens!D471-Sens!D469)+(Sens!D473+Sens!D474-Sens!D472)+(Sens!D483-Q!L18)</f>
        <v>0</v>
      </c>
      <c r="E485" s="27" t="n">
        <f aca="false">(Sens!E478+Sens!E482-Sens!E483)+(Sens!E470+Sens!E471-Sens!E469)+(Sens!E473+Sens!E474-Sens!E472)+(Sens!E483-Q!M18)</f>
        <v>0</v>
      </c>
      <c r="F485" s="27" t="n">
        <f aca="false">(Sens!F478+Sens!F482-Sens!F483)+(Sens!F470+Sens!F471-Sens!F469)+(Sens!F473+Sens!F474-Sens!F472)</f>
        <v>0</v>
      </c>
      <c r="G485" s="27" t="n">
        <f aca="false">(Sens!G478+Sens!G482-Sens!G483)+(Sens!G470+Sens!G471-Sens!G469)+(Sens!G473+Sens!G474-Sens!G472)</f>
        <v>0</v>
      </c>
      <c r="H485" s="27" t="n">
        <f aca="false">(Sens!H478+Sens!H482-Sens!H483)+(Sens!H470+Sens!H471-Sens!H469)+(Sens!H473+Sens!H474-Sens!H472)</f>
        <v>0</v>
      </c>
      <c r="I485" s="27" t="n">
        <f aca="false">(Sens!I478+Sens!I482-Sens!I483)+(Sens!I470+Sens!I471-Sens!I469)+(Sens!I473+Sens!I474-Sens!I472)</f>
        <v>0</v>
      </c>
      <c r="J485" s="27" t="n">
        <f aca="false">(Sens!J478+Sens!J482-Sens!J483)+(Sens!J470+Sens!J471-Sens!J469)+(Sens!J473+Sens!J474-Sens!J472)</f>
        <v>0</v>
      </c>
      <c r="K485" s="27" t="n">
        <f aca="false">(Sens!K478+Sens!K482-Sens!K483)+(Sens!K470+Sens!K471-Sens!K469)+(Sens!K473+Sens!K474-Sens!K472)</f>
        <v>0</v>
      </c>
    </row>
    <row r="486" customFormat="false" ht="17.15" hidden="false" customHeight="false" outlineLevel="0" collapsed="false">
      <c r="A486" s="0" t="s">
        <v>1062</v>
      </c>
      <c r="B486" s="0" t="s">
        <v>168</v>
      </c>
      <c r="E486" s="7" t="n">
        <f aca="false">(Q!M21+Sens!E422+Sens!E423+Sens!E424+Sens!E438-Sens!E420)/(Q!M5-Sens!E420)</f>
        <v>0.570957350878296</v>
      </c>
      <c r="F486" s="7" t="n">
        <f aca="false">Sens!$E$486+dm_seg</f>
        <v>0.570957350878296</v>
      </c>
      <c r="G486" s="7" t="n">
        <f aca="false">Sens!$E$486+dm_seg</f>
        <v>0.570957350878296</v>
      </c>
      <c r="H486" s="7" t="n">
        <f aca="false">Sens!$E$486+dm_seg</f>
        <v>0.570957350878296</v>
      </c>
      <c r="I486" s="7" t="n">
        <f aca="false">Sens!$E$486+dm_seg</f>
        <v>0.570957350878296</v>
      </c>
      <c r="J486" s="7" t="n">
        <f aca="false">Sens!$E$486+dm_seg</f>
        <v>0.570957350878296</v>
      </c>
      <c r="K486" s="7" t="n">
        <f aca="false">Sens!$E$486+dm_seg</f>
        <v>0.570957350878296</v>
      </c>
      <c r="L486" s="12" t="s">
        <v>1063</v>
      </c>
    </row>
    <row r="487" customFormat="false" ht="17.15" hidden="false" customHeight="false" outlineLevel="0" collapsed="false">
      <c r="A487" s="0" t="s">
        <v>884</v>
      </c>
      <c r="B487" s="0" t="s">
        <v>98</v>
      </c>
      <c r="D487" s="6" t="n">
        <f aca="false">Q!L21</f>
        <v>110.814</v>
      </c>
      <c r="E487" s="6" t="n">
        <f aca="false">Q!M21</f>
        <v>136.365</v>
      </c>
      <c r="F487" s="6" t="n">
        <f aca="false">Q!$I$21+(Sens!F486*(Sens!F457-Sens!F420)+Sens!F420-(Sens!F422+Sens!F423+Sens!F424)-Sens!F438-Sens!F521)*(Sens!F457-Q!$I$5)/Sens!F457</f>
        <v>162.089887157538</v>
      </c>
      <c r="G487" s="6" t="n">
        <f aca="false">(Sens!G486*(Sens!G457-Sens!G420)+Sens!G420-(Sens!G422+Sens!G423+Sens!G424)-Sens!G438-Sens!G521)</f>
        <v>177.568903205394</v>
      </c>
      <c r="H487" s="6" t="n">
        <f aca="false">(Sens!H486*(Sens!H457-Sens!H420)+Sens!H420-(Sens!H422+Sens!H423+Sens!H424)-Sens!H438-Sens!H521)</f>
        <v>196.763686018119</v>
      </c>
      <c r="I487" s="6" t="n">
        <f aca="false">(Sens!I486*(Sens!I457-Sens!I420)+Sens!I420-(Sens!I422+Sens!I423+Sens!I424)-Sens!I438-Sens!I521)</f>
        <v>214.975583154087</v>
      </c>
      <c r="J487" s="6" t="n">
        <f aca="false">(Sens!J486*(Sens!J457-Sens!J420)+Sens!J420-(Sens!J422+Sens!J423+Sens!J424)-Sens!J438-Sens!J521)</f>
        <v>231.957076519688</v>
      </c>
      <c r="K487" s="6" t="n">
        <f aca="false">(Sens!K486*(Sens!K457-Sens!K420)+Sens!K420-(Sens!K422+Sens!K423+Sens!K424)-Sens!K438-Sens!K521)</f>
        <v>248.339746289158</v>
      </c>
      <c r="L487" s="1" t="s">
        <v>1064</v>
      </c>
    </row>
    <row r="488" customFormat="false" ht="17.15" hidden="false" customHeight="false" outlineLevel="0" collapsed="false">
      <c r="A488" s="0" t="s">
        <v>1065</v>
      </c>
      <c r="B488" s="0" t="s">
        <v>168</v>
      </c>
      <c r="E488" s="7" t="n">
        <f aca="false">Q!M22/Q!M12</f>
        <v>0.296207935710698</v>
      </c>
      <c r="F488" s="7" t="n">
        <f aca="false">Sens!$E$488+dm_seg</f>
        <v>0.296207935710698</v>
      </c>
      <c r="G488" s="7" t="n">
        <f aca="false">Sens!$E$488+dm_seg</f>
        <v>0.296207935710698</v>
      </c>
      <c r="H488" s="7" t="n">
        <f aca="false">Sens!$E$488+dm_seg</f>
        <v>0.296207935710698</v>
      </c>
      <c r="I488" s="7" t="n">
        <f aca="false">Sens!$E$488+dm_seg</f>
        <v>0.296207935710698</v>
      </c>
      <c r="J488" s="7" t="n">
        <f aca="false">Sens!$E$488+dm_seg</f>
        <v>0.296207935710698</v>
      </c>
      <c r="K488" s="7" t="n">
        <f aca="false">Sens!$E$488+dm_seg</f>
        <v>0.296207935710698</v>
      </c>
      <c r="L488" s="12" t="s">
        <v>1066</v>
      </c>
    </row>
    <row r="489" customFormat="false" ht="17.15" hidden="false" customHeight="false" outlineLevel="0" collapsed="false">
      <c r="A489" s="0" t="s">
        <v>886</v>
      </c>
      <c r="B489" s="0" t="s">
        <v>98</v>
      </c>
      <c r="D489" s="6" t="n">
        <f aca="false">Q!L22</f>
        <v>17.714</v>
      </c>
      <c r="E489" s="6" t="n">
        <f aca="false">Q!M22</f>
        <v>18.872</v>
      </c>
      <c r="F489" s="6" t="n">
        <f aca="false">Q!$I$22+(Sens!F464-Q!$I$12)*Sens!F488</f>
        <v>19.8174315512051</v>
      </c>
      <c r="G489" s="6" t="n">
        <f aca="false">Sens!G464*Sens!G488</f>
        <v>19.6313799703815</v>
      </c>
      <c r="H489" s="6" t="n">
        <f aca="false">Sens!H464*Sens!H488</f>
        <v>20.3536242825865</v>
      </c>
      <c r="I489" s="6" t="n">
        <f aca="false">Sens!I464*Sens!I488</f>
        <v>21.1920899239745</v>
      </c>
      <c r="J489" s="6" t="n">
        <f aca="false">Sens!J464*Sens!J488</f>
        <v>22.1288166207045</v>
      </c>
      <c r="K489" s="6" t="n">
        <f aca="false">Sens!K464*Sens!K488</f>
        <v>23.1493653905379</v>
      </c>
      <c r="L489" s="12" t="s">
        <v>1067</v>
      </c>
    </row>
    <row r="490" customFormat="false" ht="15" hidden="false" customHeight="false" outlineLevel="0" collapsed="false">
      <c r="A490" s="1" t="s">
        <v>1068</v>
      </c>
      <c r="B490" s="0" t="s">
        <v>98</v>
      </c>
      <c r="D490" s="6" t="n">
        <f aca="false">Sens!D487+Sens!D489</f>
        <v>128.528</v>
      </c>
      <c r="E490" s="6" t="n">
        <f aca="false">Sens!E487+Sens!E489</f>
        <v>155.237</v>
      </c>
      <c r="F490" s="6" t="n">
        <f aca="false">Sens!F487+Sens!F489</f>
        <v>181.907318708743</v>
      </c>
      <c r="G490" s="6" t="n">
        <f aca="false">Sens!G487+Sens!G489</f>
        <v>197.200283175776</v>
      </c>
      <c r="H490" s="6" t="n">
        <f aca="false">Sens!H487+Sens!H489</f>
        <v>217.117310300706</v>
      </c>
      <c r="I490" s="6" t="n">
        <f aca="false">Sens!I487+Sens!I489</f>
        <v>236.167673078062</v>
      </c>
      <c r="J490" s="6" t="n">
        <f aca="false">Sens!J487+Sens!J489</f>
        <v>254.085893140393</v>
      </c>
      <c r="K490" s="6" t="n">
        <f aca="false">Sens!K487+Sens!K489</f>
        <v>271.489111679696</v>
      </c>
    </row>
    <row r="491" customFormat="false" ht="15" hidden="false" customHeight="false" outlineLevel="0" collapsed="false">
      <c r="A491" s="26" t="s">
        <v>1069</v>
      </c>
      <c r="B491" s="31" t="s">
        <v>98</v>
      </c>
      <c r="C491" s="31"/>
      <c r="D491" s="27" t="n">
        <f aca="false">Sens!D490-Q!L23</f>
        <v>0</v>
      </c>
      <c r="E491" s="27" t="n">
        <f aca="false">Sens!E490-Q!M23</f>
        <v>0</v>
      </c>
      <c r="F491" s="31"/>
      <c r="G491" s="31"/>
      <c r="H491" s="31"/>
      <c r="I491" s="31"/>
      <c r="J491" s="31"/>
      <c r="K491" s="31"/>
    </row>
    <row r="492" customFormat="false" ht="15" hidden="false" customHeight="false" outlineLevel="0" collapsed="false">
      <c r="A492" s="1" t="s">
        <v>1070</v>
      </c>
      <c r="B492" s="0" t="s">
        <v>168</v>
      </c>
      <c r="D492" s="7" t="n">
        <f aca="false">Sens!D490/Sens!D483</f>
        <v>0.456219562408598</v>
      </c>
      <c r="E492" s="7" t="n">
        <f aca="false">Sens!E490/Sens!E483</f>
        <v>0.467808184089272</v>
      </c>
      <c r="F492" s="7" t="n">
        <f aca="false">Sens!F490/Sens!F483</f>
        <v>0.455850244781037</v>
      </c>
      <c r="G492" s="7" t="n">
        <f aca="false">Sens!G490/Sens!G483</f>
        <v>0.41387060670418</v>
      </c>
      <c r="H492" s="7" t="n">
        <f aca="false">Sens!H490/Sens!H483</f>
        <v>0.390690709821335</v>
      </c>
      <c r="I492" s="7" t="n">
        <f aca="false">Sens!I490/Sens!I483</f>
        <v>0.375759473696784</v>
      </c>
      <c r="J492" s="7" t="n">
        <f aca="false">Sens!J490/Sens!J483</f>
        <v>0.369252371122345</v>
      </c>
      <c r="K492" s="7" t="n">
        <f aca="false">Sens!K490/Sens!K483</f>
        <v>0.368876084880008</v>
      </c>
    </row>
    <row r="493" customFormat="false" ht="17.15" hidden="false" customHeight="false" outlineLevel="0" collapsed="false">
      <c r="A493" s="1" t="s">
        <v>1071</v>
      </c>
      <c r="B493" s="0" t="s">
        <v>98</v>
      </c>
      <c r="F493" s="6" t="n">
        <f aca="false">Sens!F508</f>
        <v>0</v>
      </c>
      <c r="G493" s="6" t="n">
        <f aca="false">Sens!G508</f>
        <v>0</v>
      </c>
      <c r="H493" s="6" t="n">
        <f aca="false">Sens!H508</f>
        <v>0</v>
      </c>
      <c r="I493" s="6" t="n">
        <f aca="false">Sens!I508</f>
        <v>0</v>
      </c>
      <c r="J493" s="6" t="n">
        <f aca="false">Sens!J508</f>
        <v>0</v>
      </c>
      <c r="K493" s="6" t="n">
        <f aca="false">Sens!K508</f>
        <v>0</v>
      </c>
      <c r="L493" s="1" t="s">
        <v>1072</v>
      </c>
    </row>
    <row r="494" customFormat="false" ht="17.15" hidden="false" customHeight="false" outlineLevel="0" collapsed="false">
      <c r="A494" s="1" t="s">
        <v>1073</v>
      </c>
      <c r="B494" s="0" t="s">
        <v>98</v>
      </c>
      <c r="D494" s="6" t="n">
        <f aca="false">Sens!D490</f>
        <v>128.528</v>
      </c>
      <c r="E494" s="6" t="n">
        <f aca="false">Sens!E490</f>
        <v>155.237</v>
      </c>
      <c r="F494" s="6" t="n">
        <f aca="false">Sens!F490+Sens!F493</f>
        <v>181.907318708743</v>
      </c>
      <c r="G494" s="6" t="n">
        <f aca="false">Sens!G490+Sens!G493</f>
        <v>197.200283175776</v>
      </c>
      <c r="H494" s="6" t="n">
        <f aca="false">Sens!H490+Sens!H493</f>
        <v>217.117310300706</v>
      </c>
      <c r="I494" s="6" t="n">
        <f aca="false">Sens!I490+Sens!I493</f>
        <v>236.167673078062</v>
      </c>
      <c r="J494" s="6" t="n">
        <f aca="false">Sens!J490+Sens!J493</f>
        <v>254.085893140393</v>
      </c>
      <c r="K494" s="6" t="n">
        <f aca="false">Sens!K490+Sens!K493</f>
        <v>271.489111679696</v>
      </c>
    </row>
    <row r="495" customFormat="false" ht="17.15" hidden="false" customHeight="false" outlineLevel="0" collapsed="false">
      <c r="A495" s="1" t="s">
        <v>1074</v>
      </c>
      <c r="B495" s="0" t="s">
        <v>98</v>
      </c>
      <c r="E495" s="6" t="n">
        <f aca="false">Sens!E438</f>
        <v>16.3054059770833</v>
      </c>
      <c r="F495" s="6" t="n">
        <f aca="false">Sens!F438</f>
        <v>34.5793144783516</v>
      </c>
      <c r="G495" s="6" t="n">
        <f aca="false">Sens!G438</f>
        <v>60.7344906522989</v>
      </c>
      <c r="H495" s="6" t="n">
        <f aca="false">Sens!H438</f>
        <v>89.1000906614457</v>
      </c>
      <c r="I495" s="6" t="n">
        <f aca="false">Sens!I438</f>
        <v>114.231009694548</v>
      </c>
      <c r="J495" s="6" t="n">
        <f aca="false">Sens!J438</f>
        <v>132.015673049596</v>
      </c>
      <c r="K495" s="6" t="n">
        <f aca="false">Sens!K438</f>
        <v>143.012669550934</v>
      </c>
    </row>
    <row r="496" customFormat="false" ht="17.15" hidden="false" customHeight="false" outlineLevel="0" collapsed="false">
      <c r="A496" s="1" t="s">
        <v>1075</v>
      </c>
      <c r="B496" s="0" t="s">
        <v>98</v>
      </c>
      <c r="E496" s="6" t="n">
        <f aca="false">Sens!E520</f>
        <v>22.2285940229167</v>
      </c>
      <c r="F496" s="6" t="n">
        <f aca="false">Sens!F520</f>
        <v>23.580344216413</v>
      </c>
      <c r="G496" s="6" t="n">
        <f aca="false">Sens!G520</f>
        <v>25.3583505401965</v>
      </c>
      <c r="H496" s="6" t="n">
        <f aca="false">Sens!H520</f>
        <v>27.528569983033</v>
      </c>
      <c r="I496" s="6" t="n">
        <f aca="false">Sens!I520</f>
        <v>30.0244523528154</v>
      </c>
      <c r="J496" s="6" t="n">
        <f aca="false">Sens!J520</f>
        <v>32.7625785967048</v>
      </c>
      <c r="K496" s="6" t="n">
        <f aca="false">Sens!K520</f>
        <v>35.6585684431062</v>
      </c>
    </row>
    <row r="497" customFormat="false" ht="17.15" hidden="false" customHeight="false" outlineLevel="0" collapsed="false">
      <c r="A497" s="1" t="s">
        <v>1076</v>
      </c>
      <c r="B497" s="0" t="s">
        <v>98</v>
      </c>
      <c r="D497" s="6" t="n">
        <f aca="false">Q!L27</f>
        <v>-4.901</v>
      </c>
      <c r="E497" s="6" t="n">
        <f aca="false">Q!M27</f>
        <v>10.697</v>
      </c>
      <c r="F497" s="6" t="n">
        <f aca="false">Q!$I$27+oie_f*(q_per_yr-1)/q_per_yr</f>
        <v>-0.862</v>
      </c>
      <c r="G497" s="6" t="n">
        <f aca="false">oie_f</f>
        <v>-1.2</v>
      </c>
      <c r="H497" s="6" t="n">
        <f aca="false">oie_f</f>
        <v>-1.2</v>
      </c>
      <c r="I497" s="6" t="n">
        <f aca="false">oie_f</f>
        <v>-1.2</v>
      </c>
      <c r="J497" s="6" t="n">
        <f aca="false">oie_f</f>
        <v>-1.2</v>
      </c>
      <c r="K497" s="6" t="n">
        <f aca="false">oie_f</f>
        <v>-1.2</v>
      </c>
      <c r="L497" s="12" t="s">
        <v>1077</v>
      </c>
    </row>
    <row r="498" customFormat="false" ht="15" hidden="false" customHeight="false" outlineLevel="0" collapsed="false">
      <c r="A498" s="1" t="s">
        <v>1078</v>
      </c>
      <c r="B498" s="0" t="s">
        <v>98</v>
      </c>
      <c r="D498" s="6" t="n">
        <f aca="false">Sens!D490+Sens!D497</f>
        <v>123.627</v>
      </c>
      <c r="E498" s="6" t="n">
        <f aca="false">Sens!E490+Sens!E497</f>
        <v>165.934</v>
      </c>
      <c r="F498" s="6" t="n">
        <f aca="false">Sens!F490+Sens!F497</f>
        <v>181.045318708743</v>
      </c>
      <c r="G498" s="6" t="n">
        <f aca="false">Sens!G490+Sens!G497</f>
        <v>196.000283175776</v>
      </c>
      <c r="H498" s="6" t="n">
        <f aca="false">Sens!H490+Sens!H497</f>
        <v>215.917310300706</v>
      </c>
      <c r="I498" s="6" t="n">
        <f aca="false">Sens!I490+Sens!I497</f>
        <v>234.967673078062</v>
      </c>
      <c r="J498" s="6" t="n">
        <f aca="false">Sens!J490+Sens!J497</f>
        <v>252.885893140393</v>
      </c>
      <c r="K498" s="6" t="n">
        <f aca="false">Sens!K490+Sens!K497</f>
        <v>270.289111679696</v>
      </c>
    </row>
    <row r="499" customFormat="false" ht="15" hidden="false" customHeight="false" outlineLevel="0" collapsed="false">
      <c r="A499" s="1" t="s">
        <v>1079</v>
      </c>
      <c r="B499" s="0" t="s">
        <v>98</v>
      </c>
      <c r="D499" s="6" t="n">
        <f aca="false">Q!L29</f>
        <v>21.795</v>
      </c>
      <c r="E499" s="6" t="n">
        <f aca="false">Q!M29</f>
        <v>32.185</v>
      </c>
      <c r="F499" s="6" t="n">
        <f aca="false">Q!$I$29+(Sens!F498-Q!$I$28)*tax_f</f>
        <v>36.3424637417486</v>
      </c>
      <c r="G499" s="6" t="n">
        <f aca="false">Sens!G498*tax_f</f>
        <v>39.2000566351551</v>
      </c>
      <c r="H499" s="6" t="n">
        <f aca="false">Sens!H498*tax_f</f>
        <v>43.1834620601411</v>
      </c>
      <c r="I499" s="6" t="n">
        <f aca="false">Sens!I498*tax_f</f>
        <v>46.9935346156123</v>
      </c>
      <c r="J499" s="6" t="n">
        <f aca="false">Sens!J498*tax_f</f>
        <v>50.5771786280786</v>
      </c>
      <c r="K499" s="6" t="n">
        <f aca="false">Sens!K498*tax_f</f>
        <v>54.0578223359393</v>
      </c>
    </row>
    <row r="500" customFormat="false" ht="15" hidden="false" customHeight="false" outlineLevel="0" collapsed="false">
      <c r="A500" s="1" t="s">
        <v>1080</v>
      </c>
      <c r="B500" s="0" t="s">
        <v>98</v>
      </c>
      <c r="D500" s="6" t="n">
        <f aca="false">Sens!D498-Sens!D499</f>
        <v>101.832</v>
      </c>
      <c r="E500" s="6" t="n">
        <f aca="false">Sens!E498-Sens!E499</f>
        <v>133.749</v>
      </c>
      <c r="F500" s="6" t="n">
        <f aca="false">Sens!F498-Sens!F499</f>
        <v>144.702854966994</v>
      </c>
      <c r="G500" s="6" t="n">
        <f aca="false">Sens!G498-Sens!G499</f>
        <v>156.80022654062</v>
      </c>
      <c r="H500" s="6" t="n">
        <f aca="false">Sens!H498-Sens!H499</f>
        <v>172.733848240564</v>
      </c>
      <c r="I500" s="6" t="n">
        <f aca="false">Sens!I498-Sens!I499</f>
        <v>187.974138462449</v>
      </c>
      <c r="J500" s="6" t="n">
        <f aca="false">Sens!J498-Sens!J499</f>
        <v>202.308714512314</v>
      </c>
      <c r="K500" s="6" t="n">
        <f aca="false">Sens!K498-Sens!K499</f>
        <v>216.231289343757</v>
      </c>
    </row>
    <row r="501" customFormat="false" ht="17.15" hidden="false" customHeight="false" outlineLevel="0" collapsed="false">
      <c r="A501" s="1" t="s">
        <v>1081</v>
      </c>
      <c r="B501" s="1" t="s">
        <v>81</v>
      </c>
      <c r="D501" s="15" t="n">
        <f aca="false">Q!L31</f>
        <v>7.465</v>
      </c>
      <c r="E501" s="15" t="n">
        <f aca="false">Q!M31</f>
        <v>7.453</v>
      </c>
      <c r="F501" s="15" t="n">
        <f aca="false">Sens!F545</f>
        <v>7.47325460584037</v>
      </c>
      <c r="G501" s="15" t="n">
        <f aca="false">Sens!G545</f>
        <v>7.51800921168074</v>
      </c>
      <c r="H501" s="15" t="n">
        <f aca="false">Sens!H545</f>
        <v>7.54570915070954</v>
      </c>
      <c r="I501" s="15" t="n">
        <f aca="false">Sens!I545</f>
        <v>7.55739051476501</v>
      </c>
      <c r="J501" s="15" t="n">
        <f aca="false">Sens!J545</f>
        <v>7.57153992592748</v>
      </c>
      <c r="K501" s="15" t="n">
        <f aca="false">Sens!K545</f>
        <v>7.58797456589273</v>
      </c>
    </row>
    <row r="502" customFormat="false" ht="17.15" hidden="false" customHeight="false" outlineLevel="0" collapsed="false">
      <c r="A502" s="0" t="s">
        <v>1082</v>
      </c>
      <c r="B502" s="0" t="s">
        <v>75</v>
      </c>
      <c r="D502" s="8" t="n">
        <f aca="false">Sens!D500/Sens!D501</f>
        <v>13.641259209645</v>
      </c>
      <c r="E502" s="8" t="n">
        <f aca="false">Sens!E500/Sens!E501</f>
        <v>17.9456594659869</v>
      </c>
      <c r="F502" s="8" t="n">
        <f aca="false">Sens!F500/Sens!F501</f>
        <v>19.3627626247216</v>
      </c>
      <c r="G502" s="8" t="n">
        <f aca="false">Sens!G500/Sens!G501</f>
        <v>20.8566153785765</v>
      </c>
      <c r="H502" s="8" t="n">
        <f aca="false">Sens!H500/Sens!H501</f>
        <v>22.8916652882548</v>
      </c>
      <c r="I502" s="8" t="n">
        <f aca="false">Sens!I500/Sens!I501</f>
        <v>24.8728894047755</v>
      </c>
      <c r="J502" s="8" t="n">
        <f aca="false">Sens!J500/Sens!J501</f>
        <v>26.7196259270246</v>
      </c>
      <c r="K502" s="8" t="n">
        <f aca="false">Sens!K500/Sens!K501</f>
        <v>28.496575399145</v>
      </c>
      <c r="L502" s="1" t="s">
        <v>1083</v>
      </c>
    </row>
    <row r="503" customFormat="false" ht="17.15" hidden="false" customHeight="false" outlineLevel="0" collapsed="false">
      <c r="A503" s="1" t="s">
        <v>1084</v>
      </c>
      <c r="B503" s="0" t="s">
        <v>98</v>
      </c>
      <c r="D503" s="6" t="n">
        <f aca="false">Sens!D500</f>
        <v>101.832</v>
      </c>
      <c r="E503" s="6" t="n">
        <f aca="false">Sens!E500</f>
        <v>133.749</v>
      </c>
      <c r="F503" s="6" t="n">
        <f aca="false">Sens!F500+Sens!F493*(1-tax_f)</f>
        <v>144.702854966994</v>
      </c>
      <c r="G503" s="6" t="n">
        <f aca="false">Sens!G500+Sens!G493*(1-tax_f)</f>
        <v>156.80022654062</v>
      </c>
      <c r="H503" s="6" t="n">
        <f aca="false">Sens!H500+Sens!H493*(1-tax_f)</f>
        <v>172.733848240564</v>
      </c>
      <c r="I503" s="6" t="n">
        <f aca="false">Sens!I500+Sens!I493*(1-tax_f)</f>
        <v>187.974138462449</v>
      </c>
      <c r="J503" s="6" t="n">
        <f aca="false">Sens!J500+Sens!J493*(1-tax_f)</f>
        <v>202.308714512314</v>
      </c>
      <c r="K503" s="6" t="n">
        <f aca="false">Sens!K500+Sens!K493*(1-tax_f)</f>
        <v>216.231289343757</v>
      </c>
    </row>
    <row r="504" customFormat="false" ht="17.15" hidden="false" customHeight="false" outlineLevel="0" collapsed="false">
      <c r="A504" s="0" t="s">
        <v>1085</v>
      </c>
      <c r="B504" s="0" t="s">
        <v>75</v>
      </c>
      <c r="D504" s="8" t="n">
        <f aca="false">Sens!D503/Sens!D501</f>
        <v>13.641259209645</v>
      </c>
      <c r="E504" s="8" t="n">
        <f aca="false">Sens!E503/Sens!E501</f>
        <v>17.9456594659869</v>
      </c>
      <c r="F504" s="8" t="n">
        <f aca="false">Sens!F503/Sens!F501</f>
        <v>19.3627626247216</v>
      </c>
      <c r="G504" s="8" t="n">
        <f aca="false">Sens!G503/Sens!G501</f>
        <v>20.8566153785765</v>
      </c>
      <c r="H504" s="8" t="n">
        <f aca="false">Sens!H503/Sens!H501</f>
        <v>22.8916652882548</v>
      </c>
      <c r="I504" s="8" t="n">
        <f aca="false">Sens!I503/Sens!I501</f>
        <v>24.8728894047755</v>
      </c>
      <c r="J504" s="8" t="n">
        <f aca="false">Sens!J503/Sens!J501</f>
        <v>26.7196259270246</v>
      </c>
      <c r="K504" s="8" t="n">
        <f aca="false">Sens!K503/Sens!K501</f>
        <v>28.496575399145</v>
      </c>
      <c r="L504" s="1" t="s">
        <v>1086</v>
      </c>
    </row>
    <row r="505" customFormat="false" ht="17.15" hidden="false" customHeight="false" outlineLevel="0" collapsed="false">
      <c r="A505" s="0" t="s">
        <v>1087</v>
      </c>
      <c r="B505" s="0" t="s">
        <v>168</v>
      </c>
      <c r="E505" s="7" t="n">
        <f aca="false">Sens!E504/Sens!D504-1</f>
        <v>0.315542736208578</v>
      </c>
      <c r="F505" s="7" t="n">
        <f aca="false">Sens!F504/Sens!E504-1</f>
        <v>0.0789663462309997</v>
      </c>
      <c r="G505" s="7" t="n">
        <f aca="false">Sens!G504/Sens!F504-1</f>
        <v>0.0771508065666025</v>
      </c>
      <c r="H505" s="7" t="n">
        <f aca="false">Sens!H504/Sens!G504-1</f>
        <v>0.0975733537172416</v>
      </c>
      <c r="I505" s="7" t="n">
        <f aca="false">Sens!I504/Sens!H504-1</f>
        <v>0.0865478370215886</v>
      </c>
      <c r="J505" s="7" t="n">
        <f aca="false">Sens!J504/Sens!I504-1</f>
        <v>0.0742469639210719</v>
      </c>
      <c r="K505" s="7" t="n">
        <f aca="false">Sens!K504/Sens!J504-1</f>
        <v>0.0665035310364563</v>
      </c>
    </row>
    <row r="506" customFormat="false" ht="17.15" hidden="false" customHeight="false" outlineLevel="0" collapsed="false">
      <c r="A506" s="0" t="s">
        <v>1007</v>
      </c>
      <c r="B506" s="0" t="s">
        <v>98</v>
      </c>
      <c r="E506" s="6" t="n">
        <f aca="false">Sens!E447</f>
        <v>5.25</v>
      </c>
      <c r="F506" s="6" t="n">
        <f aca="false">Sens!F447</f>
        <v>12</v>
      </c>
      <c r="G506" s="6" t="n">
        <f aca="false">Sens!G447</f>
        <v>18</v>
      </c>
      <c r="H506" s="6" t="n">
        <f aca="false">Sens!H447</f>
        <v>24</v>
      </c>
      <c r="I506" s="6" t="n">
        <f aca="false">Sens!I447</f>
        <v>28.5</v>
      </c>
      <c r="J506" s="6" t="n">
        <f aca="false">Sens!J447</f>
        <v>31.5</v>
      </c>
      <c r="K506" s="6" t="n">
        <f aca="false">Sens!K447</f>
        <v>34.5</v>
      </c>
    </row>
    <row r="507" customFormat="false" ht="17.15" hidden="false" customHeight="false" outlineLevel="0" collapsed="false">
      <c r="A507" s="1" t="s">
        <v>1008</v>
      </c>
      <c r="B507" s="0" t="s">
        <v>98</v>
      </c>
      <c r="F507" s="6" t="n">
        <f aca="false">MAX(0,((Sens!E407+Sens!F407)/2-(shadow_base*(Sens!$D$407+Sens!$E$407)/2+(1-shadow_base)*Sens!$E$407))*Sens!F416/1000-(Sens!F506-Sens!$E$506)*Sens!F486)</f>
        <v>9.7398427716299</v>
      </c>
      <c r="G507" s="6" t="n">
        <f aca="false">MAX(0,((Sens!F407+Sens!G407)/2-(shadow_base*(Sens!$D$407+Sens!$E$407)/2+(1-shadow_base)*Sens!$E$407))*Sens!G416/1000-(Sens!G506-Sens!$E$506)*Sens!G486)</f>
        <v>25.2753385959797</v>
      </c>
      <c r="H507" s="6" t="n">
        <f aca="false">MAX(0,((Sens!G407+Sens!H407)/2-(shadow_base*(Sens!$D$407+Sens!$E$407)/2+(1-shadow_base)*Sens!$E$407))*Sens!H416/1000-(Sens!H506-Sens!$E$506)*Sens!H486)</f>
        <v>42.2840253697948</v>
      </c>
      <c r="I507" s="6" t="n">
        <f aca="false">MAX(0,((Sens!H407+Sens!I407)/2-(shadow_base*(Sens!$D$407+Sens!$E$407)/2+(1-shadow_base)*Sens!$E$407))*Sens!I416/1000-(Sens!I506-Sens!$E$506)*Sens!I486)</f>
        <v>57.704943641581</v>
      </c>
      <c r="J507" s="6" t="n">
        <f aca="false">MAX(0,((Sens!I407+Sens!J407)/2-(shadow_base*(Sens!$D$407+Sens!$E$407)/2+(1-shadow_base)*Sens!$E$407))*Sens!J416/1000-(Sens!J506-Sens!$E$506)*Sens!J486)</f>
        <v>68.4828520908201</v>
      </c>
      <c r="K507" s="6" t="n">
        <f aca="false">MAX(0,((Sens!J407+Sens!K407)/2-(shadow_base*(Sens!$D$407+Sens!$E$407)/2+(1-shadow_base)*Sens!$E$407))*Sens!K416/1000-(Sens!K506-Sens!$E$506)*Sens!K486)</f>
        <v>74.3598374943249</v>
      </c>
      <c r="L507" s="1" t="s">
        <v>1009</v>
      </c>
    </row>
    <row r="508" customFormat="false" ht="17.15" hidden="false" customHeight="false" outlineLevel="0" collapsed="false">
      <c r="A508" s="1" t="s">
        <v>1010</v>
      </c>
      <c r="B508" s="0" t="s">
        <v>98</v>
      </c>
      <c r="F508" s="6" t="n">
        <f aca="false">IF(1=2,1,0)*Sens!F507</f>
        <v>0</v>
      </c>
      <c r="G508" s="6" t="n">
        <f aca="false">IF(1=2,1,0)*Sens!G507</f>
        <v>0</v>
      </c>
      <c r="H508" s="6" t="n">
        <f aca="false">IF(1=2,1,0)*Sens!H507</f>
        <v>0</v>
      </c>
      <c r="I508" s="6" t="n">
        <f aca="false">IF(1=2,1,0)*Sens!I507</f>
        <v>0</v>
      </c>
      <c r="J508" s="6" t="n">
        <f aca="false">IF(1=2,1,0)*Sens!J507</f>
        <v>0</v>
      </c>
      <c r="K508" s="6" t="n">
        <f aca="false">IF(1=2,1,0)*Sens!K507</f>
        <v>0</v>
      </c>
    </row>
    <row r="509" customFormat="false" ht="17.15" hidden="false" customHeight="false" outlineLevel="0" collapsed="false">
      <c r="A509" s="0" t="s">
        <v>1011</v>
      </c>
      <c r="B509" s="0" t="s">
        <v>98</v>
      </c>
      <c r="F509" s="6" t="n">
        <f aca="false">Sens!F426+Sens!F506*Sens!F486+Sens!F508-Sens!F427-Sens!F438</f>
        <v>5.07543998459729</v>
      </c>
      <c r="G509" s="6" t="n">
        <f aca="false">Sens!G426+Sens!G506*Sens!G486+Sens!G508-Sens!G427-Sens!G438</f>
        <v>5.75965918061537</v>
      </c>
      <c r="H509" s="6" t="n">
        <f aca="false">Sens!H426+Sens!H506*Sens!H486+Sens!H508-Sens!H427-Sens!H438</f>
        <v>5.59712660118788</v>
      </c>
      <c r="I509" s="6" t="n">
        <f aca="false">Sens!I426+Sens!I506*Sens!I486+Sens!I508-Sens!I427-Sens!I438</f>
        <v>4.94227301582176</v>
      </c>
      <c r="J509" s="6" t="n">
        <f aca="false">Sens!J426+Sens!J506*Sens!J486+Sens!J508-Sens!J427-Sens!J438</f>
        <v>4.3053732448833</v>
      </c>
      <c r="K509" s="6" t="n">
        <f aca="false">Sens!K426+Sens!K506*Sens!K486+Sens!K508-Sens!K427-Sens!K438</f>
        <v>5.10194371969385</v>
      </c>
    </row>
    <row r="510" customFormat="false" ht="17.15" hidden="false" customHeight="false" outlineLevel="0" collapsed="false">
      <c r="A510" s="0" t="s">
        <v>1012</v>
      </c>
      <c r="B510" s="0" t="s">
        <v>98</v>
      </c>
      <c r="E510" s="6" t="n">
        <f aca="false">Sens!E406*(cxit_open+self_build*tk_cxfac)/1000*ai_net_open</f>
        <v>126.6980382</v>
      </c>
      <c r="F510" s="6" t="n">
        <f aca="false">Sens!E510+Sens!F435-Sens!F438</f>
        <v>260.572627763768</v>
      </c>
      <c r="G510" s="6" t="n">
        <f aca="false">Sens!F510+Sens!G435-Sens!G438</f>
        <v>391.782612760517</v>
      </c>
      <c r="H510" s="6" t="n">
        <f aca="false">Sens!G510+Sens!H435-Sens!H438</f>
        <v>499.488526163584</v>
      </c>
      <c r="I510" s="6" t="n">
        <f aca="false">Sens!H510+Sens!I435-Sens!I438</f>
        <v>553.872350090646</v>
      </c>
      <c r="J510" s="6" t="n">
        <f aca="false">Sens!I510+Sens!J435-Sens!J438</f>
        <v>550.78660823699</v>
      </c>
      <c r="K510" s="6" t="n">
        <f aca="false">Sens!J510+Sens!K435-Sens!K438</f>
        <v>526.736791750789</v>
      </c>
      <c r="L510" s="1" t="s">
        <v>1013</v>
      </c>
    </row>
    <row r="511" customFormat="false" ht="17.15" hidden="false" customHeight="false" outlineLevel="0" collapsed="false">
      <c r="A511" s="0" t="s">
        <v>1014</v>
      </c>
      <c r="B511" s="0" t="s">
        <v>168</v>
      </c>
      <c r="F511" s="7" t="n">
        <f aca="false">Sens!F509*(1-tax_f)/((Sens!E510+Sens!F510)/2)</f>
        <v>0.0209690655375262</v>
      </c>
      <c r="G511" s="7" t="n">
        <f aca="false">Sens!G509*(1-tax_f)/((Sens!F510+Sens!G510)/2)</f>
        <v>0.014126436206105</v>
      </c>
      <c r="H511" s="7" t="n">
        <f aca="false">Sens!H509*(1-tax_f)/((Sens!G510+Sens!H510)/2)</f>
        <v>0.010047899197893</v>
      </c>
      <c r="I511" s="7" t="n">
        <f aca="false">Sens!I509*(1-tax_f)/((Sens!H510+Sens!I510)/2)</f>
        <v>0.00750705385359907</v>
      </c>
      <c r="J511" s="7" t="n">
        <f aca="false">Sens!J509*(1-tax_f)/((Sens!I510+Sens!J510)/2)</f>
        <v>0.00623594924015468</v>
      </c>
      <c r="K511" s="7" t="n">
        <f aca="false">Sens!K509*(1-tax_f)/((Sens!J510+Sens!K510)/2)</f>
        <v>0.00757580758951754</v>
      </c>
    </row>
    <row r="512" customFormat="false" ht="17.15" hidden="false" customHeight="false" outlineLevel="0" collapsed="false">
      <c r="A512" s="1" t="s">
        <v>1015</v>
      </c>
      <c r="B512" s="0" t="s">
        <v>168</v>
      </c>
      <c r="F512" s="7" t="n">
        <f aca="false">(Sens!F509-Sens!F508)*(1-tax_f)/((Sens!E510+Sens!F510)/2)</f>
        <v>0.0209690655375262</v>
      </c>
      <c r="G512" s="7" t="n">
        <f aca="false">(Sens!G509-Sens!G508)*(1-tax_f)/((Sens!F510+Sens!G510)/2)</f>
        <v>0.014126436206105</v>
      </c>
      <c r="H512" s="7" t="n">
        <f aca="false">(Sens!H509-Sens!H508)*(1-tax_f)/((Sens!G510+Sens!H510)/2)</f>
        <v>0.010047899197893</v>
      </c>
      <c r="I512" s="7" t="n">
        <f aca="false">(Sens!I509-Sens!I508)*(1-tax_f)/((Sens!H510+Sens!I510)/2)</f>
        <v>0.00750705385359907</v>
      </c>
      <c r="J512" s="7" t="n">
        <f aca="false">(Sens!J509-Sens!J508)*(1-tax_f)/((Sens!I510+Sens!J510)/2)</f>
        <v>0.00623594924015468</v>
      </c>
      <c r="K512" s="7" t="n">
        <f aca="false">(Sens!K509-Sens!K508)*(1-tax_f)/((Sens!J510+Sens!K510)/2)</f>
        <v>0.00757580758951754</v>
      </c>
    </row>
    <row r="513" customFormat="false" ht="17.15" hidden="false" customHeight="false" outlineLevel="0" collapsed="false">
      <c r="A513" s="1" t="s">
        <v>1016</v>
      </c>
      <c r="B513" s="0" t="s">
        <v>168</v>
      </c>
      <c r="F513" s="7" t="n">
        <f aca="false">(Sens!F509-Sens!F508+Sens!F507)*(1-tax_f)/((Sens!E510+Sens!F510)/2)</f>
        <v>0.0612090057246454</v>
      </c>
      <c r="G513" s="7" t="n">
        <f aca="false">(Sens!G509-Sens!G508+Sens!G507)*(1-tax_f)/((Sens!F510+Sens!G510)/2)</f>
        <v>0.0761180310326695</v>
      </c>
      <c r="H513" s="7" t="n">
        <f aca="false">(Sens!H509-Sens!H508+Sens!H507)*(1-tax_f)/((Sens!G510+Sens!H510)/2)</f>
        <v>0.0859557095566361</v>
      </c>
      <c r="I513" s="7" t="n">
        <f aca="false">(Sens!I509-Sens!I508+Sens!I507)*(1-tax_f)/((Sens!H510+Sens!I510)/2)</f>
        <v>0.0951578408800258</v>
      </c>
      <c r="J513" s="7" t="n">
        <f aca="false">(Sens!J509-Sens!J508+Sens!J507)*(1-tax_f)/((Sens!I510+Sens!J510)/2)</f>
        <v>0.105427253958487</v>
      </c>
      <c r="K513" s="7" t="n">
        <f aca="false">(Sens!K509-Sens!K508+Sens!K507)*(1-tax_f)/((Sens!J510+Sens!K510)/2)</f>
        <v>0.117991729872291</v>
      </c>
    </row>
    <row r="514" customFormat="false" ht="17.15" hidden="false" customHeight="false" outlineLevel="0" collapsed="false">
      <c r="A514" s="1" t="s">
        <v>1017</v>
      </c>
      <c r="B514" s="0" t="s">
        <v>168</v>
      </c>
      <c r="F514" s="7" t="n">
        <f aca="false">Sens!F439*(1-tax_f)/(Sens!F425*(Sens!E510+Sens!F510)/2)</f>
        <v>0.129294830495493</v>
      </c>
      <c r="G514" s="7" t="n">
        <f aca="false">Sens!G439*(1-tax_f)/(Sens!G425*(Sens!F510+Sens!G510)/2)</f>
        <v>0.12719599062164</v>
      </c>
      <c r="H514" s="7" t="n">
        <f aca="false">Sens!H439*(1-tax_f)/(Sens!H425*(Sens!G510+Sens!H510)/2)</f>
        <v>0.130828167067624</v>
      </c>
      <c r="I514" s="7" t="n">
        <f aca="false">Sens!I439*(1-tax_f)/(Sens!I425*(Sens!H510+Sens!I510)/2)</f>
        <v>0.138614526937417</v>
      </c>
      <c r="J514" s="7" t="n">
        <f aca="false">Sens!J439*(1-tax_f)/(Sens!J425*(Sens!I510+Sens!J510)/2)</f>
        <v>0.150578919010924</v>
      </c>
      <c r="K514" s="7" t="n">
        <f aca="false">Sens!K439*(1-tax_f)/(Sens!K425*(Sens!J510+Sens!K510)/2)</f>
        <v>0.167005345886664</v>
      </c>
    </row>
    <row r="515" customFormat="false" ht="17.15" hidden="false" customHeight="false" outlineLevel="0" collapsed="false">
      <c r="A515" s="0" t="s">
        <v>1018</v>
      </c>
      <c r="B515" s="0" t="s">
        <v>253</v>
      </c>
      <c r="F515" s="7" t="n">
        <f aca="false">Sens!F511-wacc</f>
        <v>-0.0819675254080711</v>
      </c>
      <c r="G515" s="7" t="n">
        <f aca="false">Sens!G511-wacc</f>
        <v>-0.0888101547394923</v>
      </c>
      <c r="H515" s="7" t="n">
        <f aca="false">Sens!H511-wacc</f>
        <v>-0.0928886917477043</v>
      </c>
      <c r="I515" s="7" t="n">
        <f aca="false">Sens!I511-wacc</f>
        <v>-0.0954295370919982</v>
      </c>
      <c r="J515" s="7" t="n">
        <f aca="false">Sens!J511-wacc</f>
        <v>-0.0967006417054426</v>
      </c>
      <c r="K515" s="7" t="n">
        <f aca="false">Sens!K511-wacc</f>
        <v>-0.0953607833560798</v>
      </c>
    </row>
    <row r="516" customFormat="false" ht="17.15" hidden="false" customHeight="false" outlineLevel="0" collapsed="false">
      <c r="A516" s="0" t="s">
        <v>1019</v>
      </c>
      <c r="B516" s="0" t="s">
        <v>98</v>
      </c>
      <c r="F516" s="6" t="n">
        <f aca="false">Sens!F509*(1-tax_f)-wacc*(Sens!E510+Sens!F510)/2</f>
        <v>-15.8718090760929</v>
      </c>
      <c r="G516" s="6" t="n">
        <f aca="false">Sens!G509*(1-tax_f)-wacc*(Sens!F510+Sens!G510)/2</f>
        <v>-28.9678849280402</v>
      </c>
      <c r="H516" s="6" t="n">
        <f aca="false">Sens!H509*(1-tax_f)-wacc*(Sens!G510+Sens!H510)/2</f>
        <v>-41.3945050435731</v>
      </c>
      <c r="I516" s="6" t="n">
        <f aca="false">Sens!I509*(1-tax_f)-wacc*(Sens!H510+Sens!I510)/2</f>
        <v>-50.2608704058814</v>
      </c>
      <c r="J516" s="6" t="n">
        <f aca="false">Sens!J509*(1-tax_f)-wacc*(Sens!I510+Sens!J510)/2</f>
        <v>-53.4106150679741</v>
      </c>
      <c r="K516" s="6" t="n">
        <f aca="false">Sens!K509*(1-tax_f)-wacc*(Sens!J510+Sens!K510)/2</f>
        <v>-51.3767377536705</v>
      </c>
    </row>
    <row r="517" customFormat="false" ht="17.15" hidden="false" customHeight="false" outlineLevel="0" collapsed="false">
      <c r="A517" s="3" t="s">
        <v>1623</v>
      </c>
    </row>
    <row r="518" customFormat="false" ht="15" hidden="false" customHeight="false" outlineLevel="0" collapsed="false">
      <c r="A518" s="4" t="s">
        <v>43</v>
      </c>
      <c r="B518" s="4" t="s">
        <v>65</v>
      </c>
      <c r="C518" s="23" t="s">
        <v>942</v>
      </c>
      <c r="D518" s="23" t="s">
        <v>943</v>
      </c>
      <c r="E518" s="23" t="s">
        <v>944</v>
      </c>
      <c r="F518" s="23" t="s">
        <v>945</v>
      </c>
      <c r="G518" s="23" t="s">
        <v>946</v>
      </c>
      <c r="H518" s="23" t="s">
        <v>947</v>
      </c>
      <c r="I518" s="23" t="s">
        <v>948</v>
      </c>
      <c r="J518" s="23" t="s">
        <v>949</v>
      </c>
      <c r="K518" s="23" t="s">
        <v>950</v>
      </c>
      <c r="L518" s="4" t="s">
        <v>47</v>
      </c>
    </row>
    <row r="519" customFormat="false" ht="15" hidden="false" customHeight="false" outlineLevel="0" collapsed="false">
      <c r="A519" s="1" t="s">
        <v>1080</v>
      </c>
      <c r="B519" s="0" t="s">
        <v>98</v>
      </c>
      <c r="F519" s="6" t="n">
        <f aca="false">Sens!F500</f>
        <v>144.702854966994</v>
      </c>
      <c r="G519" s="6" t="n">
        <f aca="false">Sens!G500</f>
        <v>156.80022654062</v>
      </c>
      <c r="H519" s="6" t="n">
        <f aca="false">Sens!H500</f>
        <v>172.733848240564</v>
      </c>
      <c r="I519" s="6" t="n">
        <f aca="false">Sens!I500</f>
        <v>187.974138462449</v>
      </c>
      <c r="J519" s="6" t="n">
        <f aca="false">Sens!J500</f>
        <v>202.308714512314</v>
      </c>
      <c r="K519" s="6" t="n">
        <f aca="false">Sens!K500</f>
        <v>216.231289343757</v>
      </c>
    </row>
    <row r="520" customFormat="false" ht="17.15" hidden="false" customHeight="false" outlineLevel="0" collapsed="false">
      <c r="A520" s="1" t="s">
        <v>1102</v>
      </c>
      <c r="B520" s="0" t="s">
        <v>98</v>
      </c>
      <c r="E520" s="6" t="n">
        <f aca="false">Q!M38-Sens!E438</f>
        <v>22.2285940229167</v>
      </c>
      <c r="F520" s="6" t="n">
        <f aca="false">Sens!E520*(1-1/life_nonai)+(Sens!F528+Sens!F529)/life_nonai</f>
        <v>23.580344216413</v>
      </c>
      <c r="G520" s="6" t="n">
        <f aca="false">Sens!F520*(1-1/life_nonai)+(Sens!G528)/life_nonai</f>
        <v>25.3583505401965</v>
      </c>
      <c r="H520" s="6" t="n">
        <f aca="false">Sens!G520*(1-1/life_nonai)+(Sens!H528)/life_nonai</f>
        <v>27.528569983033</v>
      </c>
      <c r="I520" s="6" t="n">
        <f aca="false">Sens!H520*(1-1/life_nonai)+(Sens!I528)/life_nonai</f>
        <v>30.0244523528154</v>
      </c>
      <c r="J520" s="6" t="n">
        <f aca="false">Sens!I520*(1-1/life_nonai)+(Sens!J528)/life_nonai</f>
        <v>32.7625785967048</v>
      </c>
      <c r="K520" s="6" t="n">
        <f aca="false">Sens!J520*(1-1/life_nonai)+(Sens!K528)/life_nonai</f>
        <v>35.6585684431062</v>
      </c>
      <c r="L520" s="12" t="s">
        <v>1103</v>
      </c>
    </row>
    <row r="521" customFormat="false" ht="17.15" hidden="false" customHeight="false" outlineLevel="0" collapsed="false">
      <c r="A521" s="1" t="s">
        <v>1104</v>
      </c>
      <c r="B521" s="0" t="s">
        <v>98</v>
      </c>
      <c r="F521" s="6" t="n">
        <f aca="false">Sens!$F$529/life_nonai*(1-1/life_nonai)^(Sens!F401-2027)</f>
        <v>1.94586576753864E-006</v>
      </c>
      <c r="G521" s="6" t="n">
        <f aca="false">Sens!$F$529/life_nonai*(1-1/life_nonai)^(Sens!G401-2027)</f>
        <v>1.75127919078477E-006</v>
      </c>
      <c r="H521" s="6" t="n">
        <f aca="false">Sens!$F$529/life_nonai*(1-1/life_nonai)^(Sens!H401-2027)</f>
        <v>1.57615127170629E-006</v>
      </c>
      <c r="I521" s="6" t="n">
        <f aca="false">Sens!$F$529/life_nonai*(1-1/life_nonai)^(Sens!I401-2027)</f>
        <v>1.41853614453567E-006</v>
      </c>
      <c r="J521" s="6" t="n">
        <f aca="false">Sens!$F$529/life_nonai*(1-1/life_nonai)^(Sens!J401-2027)</f>
        <v>1.2766825300821E-006</v>
      </c>
      <c r="K521" s="6" t="n">
        <f aca="false">Sens!$F$529/life_nonai*(1-1/life_nonai)^(Sens!K401-2027)</f>
        <v>1.14901427707389E-006</v>
      </c>
      <c r="L521" s="1" t="s">
        <v>1105</v>
      </c>
    </row>
    <row r="522" customFormat="false" ht="17.15" hidden="false" customHeight="false" outlineLevel="0" collapsed="false">
      <c r="A522" s="1" t="s">
        <v>1106</v>
      </c>
      <c r="B522" s="0" t="s">
        <v>98</v>
      </c>
      <c r="E522" s="6" t="n">
        <f aca="false">Sens!E438+Sens!E520</f>
        <v>38.534</v>
      </c>
      <c r="F522" s="6" t="n">
        <f aca="false">Sens!F438+Sens!F520</f>
        <v>58.1596586947647</v>
      </c>
      <c r="G522" s="6" t="n">
        <f aca="false">Sens!G438+Sens!G520</f>
        <v>86.0928411924955</v>
      </c>
      <c r="H522" s="6" t="n">
        <f aca="false">Sens!H438+Sens!H520</f>
        <v>116.628660644479</v>
      </c>
      <c r="I522" s="6" t="n">
        <f aca="false">Sens!I438+Sens!I520</f>
        <v>144.255462047364</v>
      </c>
      <c r="J522" s="6" t="n">
        <f aca="false">Sens!J438+Sens!J520</f>
        <v>164.778251646301</v>
      </c>
      <c r="K522" s="6" t="n">
        <f aca="false">Sens!K438+Sens!K520</f>
        <v>178.67123799404</v>
      </c>
    </row>
    <row r="523" customFormat="false" ht="17.15" hidden="false" customHeight="false" outlineLevel="0" collapsed="false">
      <c r="A523" s="1" t="s">
        <v>1107</v>
      </c>
      <c r="B523" s="0" t="s">
        <v>98</v>
      </c>
      <c r="F523" s="6" t="n">
        <f aca="false">Sens!F465*sbc_r</f>
        <v>14.9175438377464</v>
      </c>
      <c r="G523" s="6" t="n">
        <f aca="false">Sens!G465*sbc_r</f>
        <v>17.8119838712421</v>
      </c>
      <c r="H523" s="6" t="n">
        <f aca="false">Sens!H465*sbc_r</f>
        <v>20.7745061486909</v>
      </c>
      <c r="I523" s="6" t="n">
        <f aca="false">Sens!I465*sbc_r</f>
        <v>23.4952383075388</v>
      </c>
      <c r="J523" s="6" t="n">
        <f aca="false">Sens!J465*sbc_r</f>
        <v>25.7232953082804</v>
      </c>
      <c r="K523" s="6" t="n">
        <f aca="false">Sens!K465*sbc_r</f>
        <v>27.5132097680234</v>
      </c>
    </row>
    <row r="524" customFormat="false" ht="17.15" hidden="false" customHeight="false" outlineLevel="0" collapsed="false">
      <c r="A524" s="1" t="s">
        <v>1108</v>
      </c>
      <c r="B524" s="0" t="s">
        <v>98</v>
      </c>
      <c r="F524" s="6" t="n">
        <f aca="false">wc27-wc26q1</f>
        <v>-4.677</v>
      </c>
      <c r="G524" s="6" t="n">
        <f aca="false">wc_f</f>
        <v>0</v>
      </c>
      <c r="H524" s="6" t="n">
        <f aca="false">wc_f</f>
        <v>0</v>
      </c>
      <c r="I524" s="6" t="n">
        <f aca="false">wc_f</f>
        <v>0</v>
      </c>
      <c r="J524" s="6" t="n">
        <f aca="false">wc_f</f>
        <v>0</v>
      </c>
      <c r="K524" s="6" t="n">
        <f aca="false">wc_f</f>
        <v>0</v>
      </c>
      <c r="L524" s="12" t="s">
        <v>1109</v>
      </c>
    </row>
    <row r="525" customFormat="false" ht="17.15" hidden="false" customHeight="false" outlineLevel="0" collapsed="false">
      <c r="A525" s="0" t="s">
        <v>1110</v>
      </c>
      <c r="B525" s="0" t="s">
        <v>98</v>
      </c>
      <c r="F525" s="6" t="n">
        <f aca="false">Q!$I$35-Q!$I$26-Q!$I$38-Q!$I$39</f>
        <v>6.493</v>
      </c>
      <c r="L525" s="1" t="s">
        <v>1111</v>
      </c>
    </row>
    <row r="526" customFormat="false" ht="15" hidden="false" customHeight="false" outlineLevel="0" collapsed="false">
      <c r="A526" s="1" t="s">
        <v>908</v>
      </c>
      <c r="B526" s="0" t="s">
        <v>98</v>
      </c>
      <c r="E526" s="6" t="n">
        <f aca="false">Q!M35</f>
        <v>182.935</v>
      </c>
      <c r="F526" s="6" t="n">
        <f aca="false">Sens!F519+Sens!F522+Sens!F523+Sens!F524+Sens!F525</f>
        <v>219.596057499506</v>
      </c>
      <c r="G526" s="6" t="n">
        <f aca="false">Sens!G519+Sens!G522+Sens!G523+Sens!G524</f>
        <v>260.705051604358</v>
      </c>
      <c r="H526" s="6" t="n">
        <f aca="false">Sens!H519+Sens!H522+Sens!H523+Sens!H524</f>
        <v>310.137015033734</v>
      </c>
      <c r="I526" s="6" t="n">
        <f aca="false">Sens!I519+Sens!I522+Sens!I523+Sens!I524</f>
        <v>355.724838817352</v>
      </c>
      <c r="J526" s="6" t="n">
        <f aca="false">Sens!J519+Sens!J522+Sens!J523+Sens!J524</f>
        <v>392.810261466896</v>
      </c>
      <c r="K526" s="6" t="n">
        <f aca="false">Sens!K519+Sens!K522+Sens!K523+Sens!K524</f>
        <v>422.415737105821</v>
      </c>
    </row>
    <row r="527" customFormat="false" ht="17.15" hidden="false" customHeight="false" outlineLevel="0" collapsed="false">
      <c r="A527" s="0" t="s">
        <v>1112</v>
      </c>
      <c r="B527" s="0" t="s">
        <v>98</v>
      </c>
      <c r="F527" s="6" t="n">
        <f aca="false">Sens!F435</f>
        <v>168.45390404212</v>
      </c>
      <c r="G527" s="6" t="n">
        <f aca="false">Sens!G435</f>
        <v>191.944475649048</v>
      </c>
      <c r="H527" s="6" t="n">
        <f aca="false">Sens!H435</f>
        <v>196.806004064512</v>
      </c>
      <c r="I527" s="6" t="n">
        <f aca="false">Sens!I435</f>
        <v>168.61483362161</v>
      </c>
      <c r="J527" s="6" t="n">
        <f aca="false">Sens!J435</f>
        <v>128.92993119594</v>
      </c>
      <c r="K527" s="6" t="n">
        <f aca="false">Sens!K435</f>
        <v>118.962853064733</v>
      </c>
    </row>
    <row r="528" customFormat="false" ht="17.15" hidden="false" customHeight="false" outlineLevel="0" collapsed="false">
      <c r="A528" s="1" t="s">
        <v>1113</v>
      </c>
      <c r="B528" s="0" t="s">
        <v>98</v>
      </c>
      <c r="E528" s="6" t="n">
        <f aca="false">Sens!E443*cx_azo+Sens!E450*cx_m365+Sens!E451*cx_lic+(Sens!E453+Sens!E455)*cx_ind+Sens!E458*cx_srch+(Sens!E460+Sens!E462)*cx_dev</f>
        <v>30.1846587067718</v>
      </c>
      <c r="F528" s="6" t="n">
        <f aca="false">Sens!F443*cx_azo+Sens!F450*cx_m365+Sens!F451*cx_lic+(Sens!F453+Sens!F455)*cx_ind+Sens!F458*cx_srch+(Sens!F460+Sens!F462)*cx_dev</f>
        <v>35.7460764992227</v>
      </c>
      <c r="G528" s="6" t="n">
        <f aca="false">Sens!G443*cx_azo+Sens!G450*cx_m365+Sens!G451*cx_lic+(Sens!G453+Sens!G455)*cx_ind+Sens!G458*cx_srch+(Sens!G460+Sens!G462)*cx_dev</f>
        <v>41.360407454248</v>
      </c>
      <c r="H528" s="6" t="n">
        <f aca="false">Sens!H443*cx_azo+Sens!H450*cx_m365+Sens!H451*cx_lic+(Sens!H453+Sens!H455)*cx_ind+Sens!H458*cx_srch+(Sens!H460+Sens!H462)*cx_dev</f>
        <v>47.0605449685615</v>
      </c>
      <c r="I528" s="6" t="n">
        <f aca="false">Sens!I443*cx_azo+Sens!I450*cx_m365+Sens!I451*cx_lic+(Sens!I453+Sens!I455)*cx_ind+Sens!I458*cx_srch+(Sens!I460+Sens!I462)*cx_dev</f>
        <v>52.4873936808571</v>
      </c>
      <c r="J528" s="6" t="n">
        <f aca="false">Sens!J443*cx_azo+Sens!J450*cx_m365+Sens!J451*cx_lic+(Sens!J453+Sens!J455)*cx_ind+Sens!J458*cx_srch+(Sens!J460+Sens!J462)*cx_dev</f>
        <v>57.4057147917091</v>
      </c>
      <c r="K528" s="6" t="n">
        <f aca="false">Sens!K443*cx_azo+Sens!K450*cx_m365+Sens!K451*cx_lic+(Sens!K453+Sens!K455)*cx_ind+Sens!K458*cx_srch+(Sens!K460+Sens!K462)*cx_dev</f>
        <v>61.7224770607185</v>
      </c>
    </row>
    <row r="529" customFormat="false" ht="17.15" hidden="false" customHeight="false" outlineLevel="0" collapsed="false">
      <c r="A529" s="0" t="s">
        <v>1114</v>
      </c>
      <c r="B529" s="0" t="s">
        <v>98</v>
      </c>
      <c r="F529" s="6" t="n">
        <f aca="false">Sens!F433</f>
        <v>1.94586576753863E-005</v>
      </c>
      <c r="L529" s="1" t="s">
        <v>1115</v>
      </c>
    </row>
    <row r="530" customFormat="false" ht="17.15" hidden="false" customHeight="false" outlineLevel="0" collapsed="false">
      <c r="A530" s="1" t="s">
        <v>1116</v>
      </c>
      <c r="B530" s="0" t="s">
        <v>98</v>
      </c>
      <c r="E530" s="6" t="n">
        <f aca="false">Q!M43</f>
        <v>145.3</v>
      </c>
      <c r="F530" s="6" t="n">
        <f aca="false">Sens!F527+Sens!F528+Sens!F529</f>
        <v>204.2</v>
      </c>
      <c r="G530" s="6" t="n">
        <f aca="false">Sens!G527+Sens!G528</f>
        <v>233.304883103296</v>
      </c>
      <c r="H530" s="6" t="n">
        <f aca="false">Sens!H527+Sens!H528</f>
        <v>243.866549033074</v>
      </c>
      <c r="I530" s="6" t="n">
        <f aca="false">Sens!I527+Sens!I528</f>
        <v>221.102227302467</v>
      </c>
      <c r="J530" s="6" t="n">
        <f aca="false">Sens!J527+Sens!J528</f>
        <v>186.33564598765</v>
      </c>
      <c r="K530" s="6" t="n">
        <f aca="false">Sens!K527+Sens!K528</f>
        <v>180.685330125451</v>
      </c>
      <c r="L530" s="1" t="s">
        <v>1117</v>
      </c>
    </row>
    <row r="531" customFormat="false" ht="15" hidden="false" customHeight="false" outlineLevel="0" collapsed="false">
      <c r="A531" s="1" t="s">
        <v>1118</v>
      </c>
      <c r="B531" s="0" t="s">
        <v>98</v>
      </c>
      <c r="E531" s="6" t="n">
        <f aca="false">fl_liab</f>
        <v>66.594</v>
      </c>
      <c r="F531" s="6" t="n">
        <f aca="false">Sens!E531-Sens!F532</f>
        <v>62.46973</v>
      </c>
      <c r="G531" s="6" t="n">
        <f aca="false">Sens!F531-Sens!G532</f>
        <v>57.98686785</v>
      </c>
      <c r="H531" s="6" t="n">
        <f aca="false">Sens!G531-Sens!H532</f>
        <v>53.92827690325</v>
      </c>
      <c r="I531" s="6" t="n">
        <f aca="false">Sens!H531-Sens!I532</f>
        <v>49.7850493638962</v>
      </c>
      <c r="J531" s="6" t="n">
        <f aca="false">Sens!I531-Sens!J532</f>
        <v>45.4823765852716</v>
      </c>
      <c r="K531" s="6" t="n">
        <f aca="false">Sens!J531-Sens!K532</f>
        <v>40.9860835316088</v>
      </c>
    </row>
    <row r="532" customFormat="false" ht="15" hidden="false" customHeight="false" outlineLevel="0" collapsed="false">
      <c r="A532" s="1" t="s">
        <v>1119</v>
      </c>
      <c r="B532" s="0" t="s">
        <v>98</v>
      </c>
      <c r="F532" s="6" t="n">
        <f aca="false">fl_pay_27-Sens!E531*fl_rate</f>
        <v>4.12427</v>
      </c>
      <c r="G532" s="6" t="n">
        <f aca="false">fl_pay_28-Sens!F531*fl_rate</f>
        <v>4.48286215</v>
      </c>
      <c r="H532" s="6" t="n">
        <f aca="false">fl_pay_29-Sens!G531*fl_rate</f>
        <v>4.05859094675</v>
      </c>
      <c r="I532" s="6" t="n">
        <f aca="false">fl_pay_30-Sens!H531*fl_rate</f>
        <v>4.14322753935375</v>
      </c>
      <c r="J532" s="6" t="n">
        <f aca="false">fl_pay_31-Sens!I531*fl_rate</f>
        <v>4.30267277862467</v>
      </c>
      <c r="K532" s="6" t="n">
        <f aca="false">fl_pay_32-Sens!J531*fl_rate</f>
        <v>4.49629305366278</v>
      </c>
    </row>
    <row r="533" customFormat="false" ht="17.15" hidden="false" customHeight="false" outlineLevel="0" collapsed="false">
      <c r="A533" s="1" t="s">
        <v>1120</v>
      </c>
      <c r="B533" s="0" t="s">
        <v>98</v>
      </c>
      <c r="E533" s="6" t="n">
        <f aca="false">Q!M35-Q!M36-Q!M44</f>
        <v>63.886</v>
      </c>
      <c r="F533" s="6" t="n">
        <f aca="false">Sens!F526-Sens!F530-Sens!F532</f>
        <v>11.2717874995055</v>
      </c>
      <c r="G533" s="6" t="n">
        <f aca="false">Sens!G526-Sens!G530-Sens!G532</f>
        <v>22.917306351062</v>
      </c>
      <c r="H533" s="6" t="n">
        <f aca="false">Sens!H526-Sens!H530-Sens!H532</f>
        <v>62.2118750539102</v>
      </c>
      <c r="I533" s="6" t="n">
        <f aca="false">Sens!I526-Sens!I530-Sens!I532</f>
        <v>130.479383975531</v>
      </c>
      <c r="J533" s="6" t="n">
        <f aca="false">Sens!J526-Sens!J530-Sens!J532</f>
        <v>202.171942700621</v>
      </c>
      <c r="K533" s="6" t="n">
        <f aca="false">Sens!K526-Sens!K530-Sens!K532</f>
        <v>237.234113926707</v>
      </c>
      <c r="L533" s="12" t="s">
        <v>1121</v>
      </c>
    </row>
    <row r="534" customFormat="false" ht="15" hidden="false" customHeight="false" outlineLevel="0" collapsed="false">
      <c r="A534" s="1" t="s">
        <v>1122</v>
      </c>
      <c r="B534" s="0" t="s">
        <v>75</v>
      </c>
      <c r="F534" s="8" t="n">
        <f aca="false">dps_27</f>
        <v>3.85</v>
      </c>
      <c r="G534" s="8" t="n">
        <f aca="false">Sens!F534*(1+dps_g)</f>
        <v>4.158</v>
      </c>
      <c r="H534" s="8" t="n">
        <f aca="false">Sens!G534*(1+dps_g)</f>
        <v>4.49064</v>
      </c>
      <c r="I534" s="8" t="n">
        <f aca="false">Sens!H534*(1+dps_g)</f>
        <v>4.8498912</v>
      </c>
      <c r="J534" s="8" t="n">
        <f aca="false">Sens!I534*(1+dps_g)</f>
        <v>5.237882496</v>
      </c>
      <c r="K534" s="8" t="n">
        <f aca="false">Sens!J534*(1+dps_g)</f>
        <v>5.65691309568</v>
      </c>
    </row>
    <row r="535" customFormat="false" ht="17.15" hidden="false" customHeight="false" outlineLevel="0" collapsed="false">
      <c r="A535" s="1" t="s">
        <v>1123</v>
      </c>
      <c r="B535" s="0" t="s">
        <v>98</v>
      </c>
      <c r="E535" s="6" t="n">
        <f aca="false">Q!M41</f>
        <v>26.445</v>
      </c>
      <c r="F535" s="6" t="n">
        <f aca="false">Sens!F534*Sens!E544</f>
        <v>28.59395</v>
      </c>
      <c r="G535" s="6" t="n">
        <f aca="false">Sens!G534*Sens!F544</f>
        <v>31.0665353021685</v>
      </c>
      <c r="H535" s="6" t="n">
        <f aca="false">Sens!H534*Sens!G544</f>
        <v>33.753936926342</v>
      </c>
      <c r="I535" s="6" t="n">
        <f aca="false">Sens!I534*Sens!H544</f>
        <v>36.504690157522</v>
      </c>
      <c r="J535" s="6" t="n">
        <f aca="false">Sens!J534*Sens!I544</f>
        <v>39.4929632555164</v>
      </c>
      <c r="K535" s="6" t="n">
        <f aca="false">Sens!K534*Sens!J544</f>
        <v>42.739154578336</v>
      </c>
      <c r="L535" s="1" t="s">
        <v>1124</v>
      </c>
    </row>
    <row r="536" customFormat="false" ht="15" hidden="false" customHeight="false" outlineLevel="0" collapsed="false">
      <c r="A536" s="1" t="s">
        <v>1125</v>
      </c>
      <c r="B536" s="0" t="s">
        <v>98</v>
      </c>
      <c r="E536" s="6" t="n">
        <f aca="false">Sens!E533-Sens!E535</f>
        <v>37.441</v>
      </c>
      <c r="F536" s="6" t="n">
        <f aca="false">Sens!F533-Sens!F535</f>
        <v>-17.3221625004945</v>
      </c>
      <c r="G536" s="6" t="n">
        <f aca="false">Sens!G533-Sens!G535</f>
        <v>-8.14922895110651</v>
      </c>
      <c r="H536" s="6" t="n">
        <f aca="false">Sens!H533-Sens!H535</f>
        <v>28.4579381275682</v>
      </c>
      <c r="I536" s="6" t="n">
        <f aca="false">Sens!I533-Sens!I535</f>
        <v>93.9746938180087</v>
      </c>
      <c r="J536" s="6" t="n">
        <f aca="false">Sens!J533-Sens!J535</f>
        <v>162.678979445105</v>
      </c>
      <c r="K536" s="6" t="n">
        <f aca="false">Sens!K533-Sens!K535</f>
        <v>194.494959348371</v>
      </c>
    </row>
    <row r="537" customFormat="false" ht="15" hidden="false" customHeight="false" outlineLevel="0" collapsed="false">
      <c r="A537" s="1" t="s">
        <v>1126</v>
      </c>
      <c r="B537" s="0" t="s">
        <v>98</v>
      </c>
      <c r="F537" s="6" t="n">
        <f aca="false">debt_mat_27</f>
        <v>9.25</v>
      </c>
      <c r="G537" s="6" t="n">
        <f aca="false">debt_mat_28</f>
        <v>0</v>
      </c>
      <c r="H537" s="6" t="n">
        <f aca="false">debt_mat_29</f>
        <v>2.001</v>
      </c>
      <c r="I537" s="6" t="n">
        <f aca="false">debt_mat_30</f>
        <v>0</v>
      </c>
      <c r="J537" s="6" t="n">
        <f aca="false">debt_mat_31</f>
        <v>0.5</v>
      </c>
      <c r="K537" s="6" t="n">
        <f aca="false">debt_mat_32</f>
        <v>0</v>
      </c>
    </row>
    <row r="538" customFormat="false" ht="15" hidden="false" customHeight="false" outlineLevel="0" collapsed="false">
      <c r="A538" s="1" t="s">
        <v>1127</v>
      </c>
      <c r="B538" s="0" t="s">
        <v>98</v>
      </c>
      <c r="E538" s="6" t="n">
        <f aca="false">Q!M40</f>
        <v>22.271</v>
      </c>
      <c r="F538" s="6" t="n">
        <f aca="false">MAX(0,MIN(bb_target,Sens!E540+Sens!F536-Sens!F537-min_cash))</f>
        <v>0.270837499505504</v>
      </c>
      <c r="G538" s="6" t="n">
        <f aca="false">MAX(0,MIN(bb_target,Sens!F540+Sens!G536-Sens!G537-min_cash))</f>
        <v>0</v>
      </c>
      <c r="H538" s="6" t="n">
        <f aca="false">MAX(0,MIN(bb_target,Sens!G540+Sens!H536-Sens!H537-min_cash))</f>
        <v>22.271</v>
      </c>
      <c r="I538" s="6" t="n">
        <f aca="false">MAX(0,MIN(bb_target,Sens!H540+Sens!I536-Sens!I537-min_cash))</f>
        <v>22.271</v>
      </c>
      <c r="J538" s="6" t="n">
        <f aca="false">MAX(0,MIN(bb_target,Sens!I540+Sens!J536-Sens!J537-min_cash))</f>
        <v>22.271</v>
      </c>
      <c r="K538" s="6" t="n">
        <f aca="false">MAX(0,MIN(bb_target,Sens!J540+Sens!K536-Sens!K537-min_cash))</f>
        <v>22.271</v>
      </c>
    </row>
    <row r="539" customFormat="false" ht="15" hidden="false" customHeight="false" outlineLevel="0" collapsed="false">
      <c r="A539" s="1" t="s">
        <v>1128</v>
      </c>
      <c r="B539" s="0" t="s">
        <v>98</v>
      </c>
      <c r="F539" s="6" t="n">
        <f aca="false">MAX(0,min_cash-(Sens!E540+Sens!F536-Sens!F537-Sens!F538))</f>
        <v>0</v>
      </c>
      <c r="G539" s="6" t="n">
        <f aca="false">MAX(0,min_cash-(Sens!F540+Sens!G536-Sens!G537-Sens!G538))</f>
        <v>8.14922895110651</v>
      </c>
      <c r="H539" s="6" t="n">
        <f aca="false">MAX(0,min_cash-(Sens!G540+Sens!H536-Sens!H537-Sens!H538))</f>
        <v>0</v>
      </c>
      <c r="I539" s="6" t="n">
        <f aca="false">MAX(0,min_cash-(Sens!H540+Sens!I536-Sens!I537-Sens!I538))</f>
        <v>0</v>
      </c>
      <c r="J539" s="6" t="n">
        <f aca="false">MAX(0,min_cash-(Sens!I540+Sens!J536-Sens!J537-Sens!J538))</f>
        <v>0</v>
      </c>
      <c r="K539" s="6" t="n">
        <f aca="false">MAX(0,min_cash-(Sens!J540+Sens!K536-Sens!K537-Sens!K538))</f>
        <v>0</v>
      </c>
    </row>
    <row r="540" customFormat="false" ht="15" hidden="false" customHeight="false" outlineLevel="0" collapsed="false">
      <c r="A540" s="1" t="s">
        <v>1129</v>
      </c>
      <c r="B540" s="0" t="s">
        <v>98</v>
      </c>
      <c r="E540" s="6" t="n">
        <f aca="false">cash_open</f>
        <v>76.843</v>
      </c>
      <c r="F540" s="6" t="n">
        <f aca="false">Sens!E540+Sens!F536-Sens!F537-Sens!F538+Sens!F539</f>
        <v>50</v>
      </c>
      <c r="G540" s="6" t="n">
        <f aca="false">Sens!F540+Sens!G536-Sens!G537-Sens!G538+Sens!G539</f>
        <v>50</v>
      </c>
      <c r="H540" s="6" t="n">
        <f aca="false">Sens!G540+Sens!H536-Sens!H537-Sens!H538+Sens!H539</f>
        <v>54.1859381275682</v>
      </c>
      <c r="I540" s="6" t="n">
        <f aca="false">Sens!H540+Sens!I536-Sens!I537-Sens!I538+Sens!I539</f>
        <v>125.889631945577</v>
      </c>
      <c r="J540" s="6" t="n">
        <f aca="false">Sens!I540+Sens!J536-Sens!J537-Sens!J538+Sens!J539</f>
        <v>265.797611390682</v>
      </c>
      <c r="K540" s="6" t="n">
        <f aca="false">Sens!J540+Sens!K536-Sens!K537-Sens!K538+Sens!K539</f>
        <v>438.021570739053</v>
      </c>
    </row>
    <row r="541" customFormat="false" ht="15" hidden="false" customHeight="false" outlineLevel="0" collapsed="false">
      <c r="A541" s="1" t="s">
        <v>1130</v>
      </c>
      <c r="B541" s="0" t="s">
        <v>98</v>
      </c>
      <c r="E541" s="6" t="n">
        <f aca="false">debt_face</f>
        <v>46.136</v>
      </c>
      <c r="F541" s="6" t="n">
        <f aca="false">Sens!E541-Sens!F537+Sens!F539</f>
        <v>36.886</v>
      </c>
      <c r="G541" s="6" t="n">
        <f aca="false">Sens!F541-Sens!G537+Sens!G539</f>
        <v>45.0352289511065</v>
      </c>
      <c r="H541" s="6" t="n">
        <f aca="false">Sens!G541-Sens!H537+Sens!H539</f>
        <v>43.0342289511065</v>
      </c>
      <c r="I541" s="6" t="n">
        <f aca="false">Sens!H541-Sens!I537+Sens!I539</f>
        <v>43.0342289511065</v>
      </c>
      <c r="J541" s="6" t="n">
        <f aca="false">Sens!I541-Sens!J537+Sens!J539</f>
        <v>42.5342289511065</v>
      </c>
      <c r="K541" s="6" t="n">
        <f aca="false">Sens!J541-Sens!K537+Sens!K539</f>
        <v>42.5342289511065</v>
      </c>
    </row>
    <row r="542" customFormat="false" ht="15" hidden="false" customHeight="false" outlineLevel="0" collapsed="false">
      <c r="A542" s="1" t="s">
        <v>1131</v>
      </c>
      <c r="B542" s="0" t="s">
        <v>98</v>
      </c>
      <c r="E542" s="6" t="n">
        <f aca="false">Sens!E540-Sens!E541</f>
        <v>30.707</v>
      </c>
      <c r="F542" s="6" t="n">
        <f aca="false">Sens!F540-Sens!F541</f>
        <v>13.114</v>
      </c>
      <c r="G542" s="6" t="n">
        <f aca="false">Sens!G540-Sens!G541</f>
        <v>4.96477104889349</v>
      </c>
      <c r="H542" s="6" t="n">
        <f aca="false">Sens!H540-Sens!H541</f>
        <v>11.1517091764617</v>
      </c>
      <c r="I542" s="6" t="n">
        <f aca="false">Sens!I540-Sens!I541</f>
        <v>82.8554029944703</v>
      </c>
      <c r="J542" s="6" t="n">
        <f aca="false">Sens!J540-Sens!J541</f>
        <v>223.263382439575</v>
      </c>
      <c r="K542" s="6" t="n">
        <f aca="false">Sens!K540-Sens!K541</f>
        <v>395.487341787946</v>
      </c>
    </row>
    <row r="543" customFormat="false" ht="15" hidden="false" customHeight="false" outlineLevel="0" collapsed="false">
      <c r="A543" s="1" t="s">
        <v>1132</v>
      </c>
      <c r="B543" s="0" t="s">
        <v>75</v>
      </c>
      <c r="F543" s="30" t="n">
        <f aca="false">px*(1+bb_g)^(Sens!F401-base_fy-mid_yr)</f>
        <v>551.84177959629</v>
      </c>
      <c r="G543" s="30" t="n">
        <f aca="false">px*(1+bb_g)^(Sens!G401-base_fy-mid_yr)</f>
        <v>595.989121963993</v>
      </c>
      <c r="H543" s="30" t="n">
        <f aca="false">px*(1+bb_g)^(Sens!H401-base_fy-mid_yr)</f>
        <v>643.668251721112</v>
      </c>
      <c r="I543" s="30" t="n">
        <f aca="false">px*(1+bb_g)^(Sens!I401-base_fy-mid_yr)</f>
        <v>695.161711858801</v>
      </c>
      <c r="J543" s="30" t="n">
        <f aca="false">px*(1+bb_g)^(Sens!J401-base_fy-mid_yr)</f>
        <v>750.774648807506</v>
      </c>
      <c r="K543" s="30" t="n">
        <f aca="false">px*(1+bb_g)^(Sens!K401-base_fy-mid_yr)</f>
        <v>810.836620712106</v>
      </c>
    </row>
    <row r="544" customFormat="false" ht="15" hidden="false" customHeight="false" outlineLevel="0" collapsed="false">
      <c r="A544" s="1" t="s">
        <v>1133</v>
      </c>
      <c r="B544" s="1" t="s">
        <v>81</v>
      </c>
      <c r="E544" s="15" t="n">
        <f aca="false">sh_out26</f>
        <v>7.427</v>
      </c>
      <c r="F544" s="15" t="n">
        <f aca="false">Sens!E544+sh_iss-Sens!F538/Sens!F543</f>
        <v>7.47150921168074</v>
      </c>
      <c r="G544" s="15" t="n">
        <f aca="false">Sens!F544+sh_iss-Sens!G538/Sens!G543</f>
        <v>7.51650921168074</v>
      </c>
      <c r="H544" s="15" t="n">
        <f aca="false">Sens!G544+sh_iss-Sens!H538/Sens!H543</f>
        <v>7.52690908973834</v>
      </c>
      <c r="I544" s="15" t="n">
        <f aca="false">Sens!H544+sh_iss-Sens!I538/Sens!I543</f>
        <v>7.53987193979168</v>
      </c>
      <c r="J544" s="15" t="n">
        <f aca="false">Sens!I544+sh_iss-Sens!J538/Sens!J543</f>
        <v>7.55520791206329</v>
      </c>
      <c r="K544" s="15" t="n">
        <f aca="false">Sens!J544+sh_iss-Sens!K538/Sens!K543</f>
        <v>7.57274121972218</v>
      </c>
    </row>
    <row r="545" customFormat="false" ht="15" hidden="false" customHeight="false" outlineLevel="0" collapsed="false">
      <c r="A545" s="1" t="s">
        <v>1134</v>
      </c>
      <c r="B545" s="1" t="s">
        <v>81</v>
      </c>
      <c r="E545" s="15" t="n">
        <f aca="false">sh_dil26</f>
        <v>7.453</v>
      </c>
      <c r="F545" s="15" t="n">
        <f aca="false">(Sens!E544+Sens!F544)/2+dil_gap</f>
        <v>7.47325460584037</v>
      </c>
      <c r="G545" s="15" t="n">
        <f aca="false">(Sens!F544+Sens!G544)/2+dil_gap</f>
        <v>7.51800921168074</v>
      </c>
      <c r="H545" s="15" t="n">
        <f aca="false">(Sens!G544+Sens!H544)/2+dil_gap</f>
        <v>7.54570915070954</v>
      </c>
      <c r="I545" s="15" t="n">
        <f aca="false">(Sens!H544+Sens!I544)/2+dil_gap</f>
        <v>7.55739051476501</v>
      </c>
      <c r="J545" s="15" t="n">
        <f aca="false">(Sens!I544+Sens!J544)/2+dil_gap</f>
        <v>7.57153992592748</v>
      </c>
      <c r="K545" s="15" t="n">
        <f aca="false">(Sens!J544+Sens!K544)/2+dil_gap</f>
        <v>7.58797456589273</v>
      </c>
    </row>
    <row r="546" customFormat="false" ht="17.15" hidden="false" customHeight="false" outlineLevel="0" collapsed="false">
      <c r="A546" s="1" t="s">
        <v>1135</v>
      </c>
      <c r="B546" s="0" t="s">
        <v>98</v>
      </c>
      <c r="C546" s="6" t="n">
        <f aca="false">SUM(Sens!F536:J536)</f>
        <v>259.640219939081</v>
      </c>
    </row>
    <row r="547" customFormat="false" ht="15" hidden="false" customHeight="false" outlineLevel="0" collapsed="false">
      <c r="A547" s="26" t="s">
        <v>1100</v>
      </c>
      <c r="B547" s="31" t="s">
        <v>98</v>
      </c>
      <c r="C547" s="27" t="n">
        <f aca="false">Sens!$C$546-(Sens!F536+Sens!G536+Sens!H536+Sens!I536+Sens!J536)</f>
        <v>0</v>
      </c>
      <c r="D547" s="31"/>
      <c r="E547" s="31"/>
      <c r="F547" s="31"/>
      <c r="G547" s="31"/>
      <c r="H547" s="31"/>
      <c r="I547" s="31"/>
      <c r="J547" s="31"/>
      <c r="K547" s="31"/>
    </row>
    <row r="548" customFormat="false" ht="17.15" hidden="false" customHeight="false" outlineLevel="0" collapsed="false">
      <c r="A548" s="1" t="s">
        <v>1094</v>
      </c>
      <c r="B548" s="1" t="s">
        <v>1136</v>
      </c>
      <c r="C548" s="33" t="str">
        <f aca="false">IF(SUM(Sens!F539:J539)&gt;0.05,"需要舉債 "&amp;TEXT(SUM(Sens!F539:J539),"0.0")&amp;" 十億美元","不需舉債")&amp;"；"&amp;IF(SUM(Sens!F538:J538)&lt;COUNT(Sens!F538:J538)*bb_target-0.05,"回購較每年 "&amp;TEXT(bb_target,"0.0")&amp;" 的目標少 "&amp;TEXT(COUNT(Sens!F538:J538)*bb_target-SUM(Sens!F538:J538),"0.0")&amp;" 十億美元（"&amp;TEXT(COUNTIF(Sens!F538:J538,"&lt;"&amp;(bb_target-0.05)),"0")&amp;" 年減少）","回購不減")</f>
        <v>需要舉債 8.1 十億美元；回購較每年 22.3 的目標少 44.3 十億美元（2 年減少）</v>
      </c>
    </row>
    <row r="549" customFormat="false" ht="17.15" hidden="false" customHeight="false" outlineLevel="0" collapsed="false">
      <c r="A549" s="3" t="s">
        <v>1624</v>
      </c>
    </row>
    <row r="550" customFormat="false" ht="15" hidden="false" customHeight="false" outlineLevel="0" collapsed="false">
      <c r="A550" s="4" t="s">
        <v>43</v>
      </c>
      <c r="B550" s="4" t="s">
        <v>65</v>
      </c>
      <c r="C550" s="23" t="s">
        <v>942</v>
      </c>
      <c r="D550" s="23" t="s">
        <v>943</v>
      </c>
      <c r="E550" s="23" t="s">
        <v>944</v>
      </c>
      <c r="F550" s="23" t="s">
        <v>945</v>
      </c>
      <c r="G550" s="23" t="s">
        <v>946</v>
      </c>
      <c r="H550" s="23" t="s">
        <v>947</v>
      </c>
      <c r="I550" s="23" t="s">
        <v>948</v>
      </c>
      <c r="J550" s="23" t="s">
        <v>949</v>
      </c>
      <c r="K550" s="23" t="s">
        <v>950</v>
      </c>
      <c r="L550" s="4" t="s">
        <v>47</v>
      </c>
    </row>
    <row r="551" customFormat="false" ht="17.15" hidden="false" customHeight="false" outlineLevel="0" collapsed="false">
      <c r="A551" s="1" t="s">
        <v>1216</v>
      </c>
      <c r="B551" s="1" t="s">
        <v>279</v>
      </c>
      <c r="F551" s="8" t="n">
        <f aca="false">(1-v_off)*mid_yr</f>
        <v>0.373972602739726</v>
      </c>
      <c r="G551" s="8" t="n">
        <f aca="false">Sens!G401-base_fy-mid_yr-v_off</f>
        <v>1.24794520547945</v>
      </c>
      <c r="H551" s="8" t="n">
        <f aca="false">Sens!H401-base_fy-mid_yr-v_off</f>
        <v>2.24794520547945</v>
      </c>
      <c r="I551" s="8" t="n">
        <f aca="false">Sens!I401-base_fy-mid_yr-v_off</f>
        <v>3.24794520547945</v>
      </c>
      <c r="J551" s="8" t="n">
        <f aca="false">Sens!J401-base_fy-mid_yr-v_off</f>
        <v>4.24794520547945</v>
      </c>
      <c r="K551" s="8" t="n">
        <f aca="false">Sens!K401-base_fy-mid_yr-v_off</f>
        <v>5.24794520547945</v>
      </c>
      <c r="L551" s="12" t="s">
        <v>1217</v>
      </c>
    </row>
    <row r="552" customFormat="false" ht="15" hidden="false" customHeight="false" outlineLevel="0" collapsed="false">
      <c r="A552" s="1" t="s">
        <v>1218</v>
      </c>
      <c r="B552" s="1" t="s">
        <v>279</v>
      </c>
      <c r="F552" s="8" t="n">
        <f aca="false">Sens!F401-base_fy-v_off</f>
        <v>0.747945205479452</v>
      </c>
      <c r="G552" s="8" t="n">
        <f aca="false">Sens!G401-base_fy-v_off</f>
        <v>1.74794520547945</v>
      </c>
      <c r="H552" s="8" t="n">
        <f aca="false">Sens!H401-base_fy-v_off</f>
        <v>2.74794520547945</v>
      </c>
      <c r="I552" s="8" t="n">
        <f aca="false">Sens!I401-base_fy-v_off</f>
        <v>3.74794520547945</v>
      </c>
      <c r="J552" s="8" t="n">
        <f aca="false">Sens!J401-base_fy-v_off</f>
        <v>4.74794520547945</v>
      </c>
      <c r="K552" s="8" t="n">
        <f aca="false">Sens!K401-base_fy-v_off</f>
        <v>5.74794520547945</v>
      </c>
    </row>
    <row r="553" customFormat="false" ht="15" hidden="false" customHeight="false" outlineLevel="0" collapsed="false">
      <c r="A553" s="1" t="s">
        <v>1219</v>
      </c>
      <c r="B553" s="0" t="s">
        <v>229</v>
      </c>
      <c r="F553" s="15" t="n">
        <f aca="false">1/(1+wacc)^Sens!F551</f>
        <v>0.964022703286649</v>
      </c>
      <c r="G553" s="15" t="n">
        <f aca="false">1/(1+wacc)^Sens!G551</f>
        <v>0.884910302296739</v>
      </c>
      <c r="H553" s="15" t="n">
        <f aca="false">1/(1+wacc)^Sens!H551</f>
        <v>0.802322009770358</v>
      </c>
      <c r="I553" s="15" t="n">
        <f aca="false">1/(1+wacc)^Sens!I551</f>
        <v>0.727441646561469</v>
      </c>
      <c r="J553" s="15" t="n">
        <f aca="false">1/(1+wacc)^Sens!J551</f>
        <v>0.659549834988973</v>
      </c>
      <c r="K553" s="15" t="n">
        <f aca="false">1/(1+wacc)^Sens!K551</f>
        <v>0.597994336576966</v>
      </c>
    </row>
    <row r="554" customFormat="false" ht="17.15" hidden="false" customHeight="false" outlineLevel="0" collapsed="false">
      <c r="A554" s="1" t="s">
        <v>1220</v>
      </c>
      <c r="B554" s="0" t="s">
        <v>98</v>
      </c>
      <c r="F554" s="6" t="n">
        <f aca="false">Q!$I$35-Q!$I$39-Q!$I$43</f>
        <v>9.666</v>
      </c>
      <c r="L554" s="12" t="s">
        <v>1221</v>
      </c>
    </row>
    <row r="555" customFormat="false" ht="17.15" hidden="false" customHeight="false" outlineLevel="0" collapsed="false">
      <c r="A555" s="1" t="s">
        <v>1222</v>
      </c>
      <c r="B555" s="0" t="s">
        <v>98</v>
      </c>
      <c r="F555" s="6" t="n">
        <f aca="false">Sens!F526-Sens!F523-Sens!F530+Sens!F508*(1-tax_f)*(1-v_off)-Sens!F554</f>
        <v>-9.18748633824092</v>
      </c>
      <c r="G555" s="6" t="n">
        <f aca="false">Sens!G526-Sens!G523-Sens!G530+Sens!G508*(1-tax_f)</f>
        <v>9.58818462981989</v>
      </c>
      <c r="H555" s="6" t="n">
        <f aca="false">Sens!H526-Sens!H523-Sens!H530+Sens!H508*(1-tax_f)</f>
        <v>45.4959598519693</v>
      </c>
      <c r="I555" s="6" t="n">
        <f aca="false">Sens!I526-Sens!I523-Sens!I530+Sens!I508*(1-tax_f)</f>
        <v>111.127373207346</v>
      </c>
      <c r="J555" s="6" t="n">
        <f aca="false">Sens!J526-Sens!J523-Sens!J530+Sens!J508*(1-tax_f)</f>
        <v>180.751320170966</v>
      </c>
      <c r="K555" s="6" t="n">
        <f aca="false">Sens!K526-Sens!K523-Sens!K530+Sens!K508*(1-tax_f)</f>
        <v>214.217197212346</v>
      </c>
      <c r="L555" s="1" t="s">
        <v>1223</v>
      </c>
    </row>
    <row r="556" customFormat="false" ht="15" hidden="false" customHeight="false" outlineLevel="0" collapsed="false">
      <c r="A556" s="1" t="s">
        <v>1224</v>
      </c>
      <c r="B556" s="0" t="s">
        <v>98</v>
      </c>
      <c r="F556" s="6" t="n">
        <f aca="false">Sens!F555*Sens!F553</f>
        <v>-8.85694541620016</v>
      </c>
      <c r="G556" s="6" t="n">
        <f aca="false">Sens!G555*Sens!G553</f>
        <v>8.48468335925087</v>
      </c>
      <c r="H556" s="6" t="n">
        <f aca="false">Sens!H555*Sens!H553</f>
        <v>36.5024099448635</v>
      </c>
      <c r="I556" s="6" t="n">
        <f aca="false">Sens!I555*Sens!I553</f>
        <v>80.8386793440023</v>
      </c>
      <c r="J556" s="6" t="n">
        <f aca="false">Sens!J555*Sens!J553</f>
        <v>119.214503392799</v>
      </c>
      <c r="K556" s="6" t="n">
        <f aca="false">Sens!K555*Sens!K553</f>
        <v>128.100670730374</v>
      </c>
    </row>
    <row r="557" customFormat="false" ht="17.15" hidden="false" customHeight="false" outlineLevel="0" collapsed="false">
      <c r="A557" s="1" t="s">
        <v>1225</v>
      </c>
      <c r="B557" s="0" t="s">
        <v>98</v>
      </c>
      <c r="C557" s="6" t="n">
        <f aca="false">SUM(Sens!F556:K556)</f>
        <v>364.28400135509</v>
      </c>
    </row>
    <row r="558" customFormat="false" ht="17.15" hidden="false" customHeight="false" outlineLevel="0" collapsed="false">
      <c r="A558" s="1" t="s">
        <v>1226</v>
      </c>
      <c r="B558" s="0" t="s">
        <v>98</v>
      </c>
      <c r="C558" s="6" t="n">
        <f aca="false">Sens!K494*(1+g_tv)*(1-tax_f)</f>
        <v>223.70702802407</v>
      </c>
    </row>
    <row r="559" customFormat="false" ht="17.15" hidden="false" customHeight="false" outlineLevel="0" collapsed="false">
      <c r="A559" s="1" t="s">
        <v>1227</v>
      </c>
      <c r="B559" s="0" t="s">
        <v>98</v>
      </c>
      <c r="C559" s="6" t="n">
        <f aca="false">Sens!$C$558*(1-g_tv/(wacc+ronic_prem))</f>
        <v>158.509504198271</v>
      </c>
    </row>
    <row r="560" customFormat="false" ht="17.15" hidden="false" customHeight="false" outlineLevel="0" collapsed="false">
      <c r="A560" s="1" t="s">
        <v>1228</v>
      </c>
      <c r="B560" s="0" t="s">
        <v>98</v>
      </c>
      <c r="C560" s="6" t="n">
        <f aca="false">Sens!$C$559/(wacc-g_tv)</f>
        <v>2173.2507941933</v>
      </c>
    </row>
    <row r="561" customFormat="false" ht="15" hidden="false" customHeight="false" outlineLevel="0" collapsed="false">
      <c r="A561" s="1" t="s">
        <v>1229</v>
      </c>
      <c r="B561" s="0" t="s">
        <v>98</v>
      </c>
      <c r="C561" s="6" t="n">
        <f aca="false">Sens!$C$560/(1+wacc)^Sens!K552</f>
        <v>1237.46135579098</v>
      </c>
    </row>
    <row r="562" customFormat="false" ht="17.15" hidden="false" customHeight="false" outlineLevel="0" collapsed="false">
      <c r="A562" s="0" t="s">
        <v>1230</v>
      </c>
      <c r="B562" s="0" t="s">
        <v>98</v>
      </c>
      <c r="C562" s="6" t="n">
        <f aca="false">Sens!$C$557+Sens!$C$561</f>
        <v>1601.74535714607</v>
      </c>
    </row>
    <row r="563" customFormat="false" ht="15" hidden="false" customHeight="false" outlineLevel="0" collapsed="false">
      <c r="A563" s="1" t="s">
        <v>1145</v>
      </c>
      <c r="B563" s="0" t="s">
        <v>168</v>
      </c>
      <c r="C563" s="7" t="n">
        <f aca="false">Sens!$C$561/Sens!$C$562</f>
        <v>0.77257059011917</v>
      </c>
    </row>
    <row r="564" customFormat="false" ht="17.15" hidden="false" customHeight="false" outlineLevel="0" collapsed="false">
      <c r="A564" s="1" t="s">
        <v>1231</v>
      </c>
      <c r="B564" s="0" t="s">
        <v>98</v>
      </c>
      <c r="C564" s="6" t="n">
        <f aca="false">Sens!$C$562+cash_val-debt_val-fl_val+oai_v</f>
        <v>1717.59635714607</v>
      </c>
    </row>
    <row r="565" customFormat="false" ht="17.15" hidden="false" customHeight="false" outlineLevel="0" collapsed="false">
      <c r="A565" s="0" t="s">
        <v>1153</v>
      </c>
      <c r="B565" s="0" t="s">
        <v>75</v>
      </c>
      <c r="C565" s="5" t="n">
        <f aca="false">Sens!$C$564/shd_val</f>
        <v>230.673698246853</v>
      </c>
    </row>
    <row r="566" customFormat="false" ht="15" hidden="false" customHeight="false" outlineLevel="0" collapsed="false">
      <c r="A566" s="1" t="s">
        <v>1232</v>
      </c>
      <c r="B566" s="0" t="s">
        <v>75</v>
      </c>
      <c r="C566" s="8" t="n">
        <f aca="false">div_rem27+Sens!G534*roll_div_q/q_per_yr</f>
        <v>3.9795</v>
      </c>
    </row>
    <row r="567" customFormat="false" ht="17.15" hidden="false" customHeight="false" outlineLevel="0" collapsed="false">
      <c r="A567" s="0" t="s">
        <v>1233</v>
      </c>
      <c r="B567" s="0" t="s">
        <v>75</v>
      </c>
      <c r="C567" s="5" t="n">
        <f aca="false">Sens!$C$565*(1+wacc)^t_roll-Sens!$C$566</f>
        <v>252.427189672056</v>
      </c>
    </row>
    <row r="568" customFormat="false" ht="17.15" hidden="false" customHeight="false" outlineLevel="0" collapsed="false">
      <c r="A568" s="1" t="s">
        <v>1234</v>
      </c>
      <c r="B568" s="0" t="s">
        <v>168</v>
      </c>
      <c r="F568" s="7" t="n">
        <f aca="false">Sens!F520/(Sens!F465-Sens!F420)</f>
        <v>0.0686195668908011</v>
      </c>
      <c r="G568" s="7" t="n">
        <f aca="false">Sens!G520/(Sens!G465-Sens!G420)</f>
        <v>0.0658333569148391</v>
      </c>
      <c r="H568" s="7" t="n">
        <f aca="false">Sens!H520/(Sens!H465-Sens!H420)</f>
        <v>0.0643895625218926</v>
      </c>
      <c r="I568" s="7" t="n">
        <f aca="false">Sens!I520/(Sens!I465-Sens!I420)</f>
        <v>0.0641676618157989</v>
      </c>
      <c r="J568" s="7" t="n">
        <f aca="false">Sens!J520/(Sens!J465-Sens!J420)</f>
        <v>0.0648858606572163</v>
      </c>
      <c r="K568" s="7" t="n">
        <f aca="false">Sens!K520/(Sens!K465-Sens!K420)</f>
        <v>0.0661974425163768</v>
      </c>
    </row>
    <row r="569" customFormat="false" ht="17.15" hidden="false" customHeight="false" outlineLevel="0" collapsed="false">
      <c r="A569" s="0" t="s">
        <v>1235</v>
      </c>
      <c r="B569" s="0" t="s">
        <v>98</v>
      </c>
      <c r="F569" s="6" t="n">
        <f aca="false">Sens!F450*(al_m365+Sens!F568+sbc_r)</f>
        <v>83.7205619248671</v>
      </c>
      <c r="G569" s="6" t="n">
        <f aca="false">Sens!G450*(al_m365+Sens!G568+sbc_r)</f>
        <v>96.1301303332381</v>
      </c>
      <c r="H569" s="6" t="n">
        <f aca="false">Sens!H450*(al_m365+Sens!H568+sbc_r)</f>
        <v>108.70354073822</v>
      </c>
      <c r="I569" s="6" t="n">
        <f aca="false">Sens!I450*(al_m365+Sens!I568+sbc_r)</f>
        <v>120.260101315626</v>
      </c>
      <c r="J569" s="6" t="n">
        <f aca="false">Sens!J450*(al_m365+Sens!J568+sbc_r)</f>
        <v>130.611904548619</v>
      </c>
      <c r="K569" s="6" t="n">
        <f aca="false">Sens!K450*(al_m365+Sens!K568+sbc_r)</f>
        <v>140.575094974638</v>
      </c>
      <c r="L569" s="12" t="s">
        <v>1236</v>
      </c>
    </row>
    <row r="570" customFormat="false" ht="17.15" hidden="false" customHeight="false" outlineLevel="0" collapsed="false">
      <c r="A570" s="0" t="s">
        <v>1237</v>
      </c>
      <c r="B570" s="0" t="s">
        <v>98</v>
      </c>
      <c r="F570" s="6" t="n">
        <f aca="false">Sens!F451*(al_lic+Sens!F568+sbc_r)</f>
        <v>32.8577657183496</v>
      </c>
      <c r="G570" s="6" t="n">
        <f aca="false">Sens!G451*(al_lic+Sens!G568+sbc_r)</f>
        <v>34.1376266324889</v>
      </c>
      <c r="H570" s="6" t="n">
        <f aca="false">Sens!H451*(al_lic+Sens!H568+sbc_r)</f>
        <v>35.3325744664128</v>
      </c>
      <c r="I570" s="6" t="n">
        <f aca="false">Sens!I451*(al_lic+Sens!I568+sbc_r)</f>
        <v>36.4244749008727</v>
      </c>
      <c r="J570" s="6" t="n">
        <f aca="false">Sens!J451*(al_lic+Sens!J568+sbc_r)</f>
        <v>37.3879406068527</v>
      </c>
      <c r="K570" s="6" t="n">
        <f aca="false">Sens!K451*(al_lic+Sens!K568+sbc_r)</f>
        <v>38.1943876078259</v>
      </c>
    </row>
    <row r="571" customFormat="false" ht="17.15" hidden="false" customHeight="false" outlineLevel="0" collapsed="false">
      <c r="A571" s="0" t="s">
        <v>1238</v>
      </c>
      <c r="B571" s="0" t="s">
        <v>98</v>
      </c>
      <c r="F571" s="6" t="n">
        <f aca="false">Sens!F453*(al_ind+Sens!F568+sbc_r)</f>
        <v>9.06041701092022</v>
      </c>
      <c r="G571" s="6" t="n">
        <f aca="false">Sens!G453*(al_ind+Sens!G568+sbc_r)</f>
        <v>9.83619082712885</v>
      </c>
      <c r="H571" s="6" t="n">
        <f aca="false">Sens!H453*(al_ind+Sens!H568+sbc_r)</f>
        <v>10.6570160105312</v>
      </c>
      <c r="I571" s="6" t="n">
        <f aca="false">Sens!I453*(al_ind+Sens!I568+sbc_r)</f>
        <v>11.5198571637125</v>
      </c>
      <c r="J571" s="6" t="n">
        <f aca="false">Sens!J453*(al_ind+Sens!J568+sbc_r)</f>
        <v>12.4150086539206</v>
      </c>
      <c r="K571" s="6" t="n">
        <f aca="false">Sens!K453*(al_ind+Sens!K568+sbc_r)</f>
        <v>13.3273714589988</v>
      </c>
    </row>
    <row r="572" customFormat="false" ht="17.15" hidden="false" customHeight="false" outlineLevel="0" collapsed="false">
      <c r="A572" s="0" t="s">
        <v>1239</v>
      </c>
      <c r="B572" s="0" t="s">
        <v>98</v>
      </c>
      <c r="F572" s="6" t="n">
        <f aca="false">Sens!F455*(al_fro+Sens!F568+sbc_r)</f>
        <v>3.55402950182022</v>
      </c>
      <c r="G572" s="6" t="n">
        <f aca="false">Sens!G455*(al_fro+Sens!G568+sbc_r)</f>
        <v>3.76361488926481</v>
      </c>
      <c r="H572" s="6" t="n">
        <f aca="false">Sens!H455*(al_fro+Sens!H568+sbc_r)</f>
        <v>4.00220968879544</v>
      </c>
      <c r="I572" s="6" t="n">
        <f aca="false">Sens!I455*(al_fro+Sens!I568+sbc_r)</f>
        <v>4.2725765173852</v>
      </c>
      <c r="J572" s="6" t="n">
        <f aca="false">Sens!J455*(al_fro+Sens!J568+sbc_r)</f>
        <v>4.57586224390293</v>
      </c>
      <c r="K572" s="6" t="n">
        <f aca="false">Sens!K455*(al_fro+Sens!K568+sbc_r)</f>
        <v>4.91213639633217</v>
      </c>
    </row>
    <row r="573" customFormat="false" ht="17.15" hidden="false" customHeight="false" outlineLevel="0" collapsed="false">
      <c r="A573" s="0" t="s">
        <v>1240</v>
      </c>
      <c r="B573" s="0" t="s">
        <v>98</v>
      </c>
      <c r="F573" s="6" t="n">
        <f aca="false">Sens!F458*(al_srch+Sens!F568+sbc_r)</f>
        <v>11.1890902994147</v>
      </c>
      <c r="G573" s="6" t="n">
        <f aca="false">Sens!G458*(al_srch+Sens!G568+sbc_r)</f>
        <v>12.261738891803</v>
      </c>
      <c r="H573" s="6" t="n">
        <f aca="false">Sens!H458*(al_srch+Sens!H568+sbc_r)</f>
        <v>13.3794863429193</v>
      </c>
      <c r="I573" s="6" t="n">
        <f aca="false">Sens!I458*(al_srch+Sens!I568+sbc_r)</f>
        <v>14.5317114787784</v>
      </c>
      <c r="J573" s="6" t="n">
        <f aca="false">Sens!J458*(al_srch+Sens!J568+sbc_r)</f>
        <v>15.6984365817724</v>
      </c>
      <c r="K573" s="6" t="n">
        <f aca="false">Sens!K458*(al_srch+Sens!K568+sbc_r)</f>
        <v>16.8520942258664</v>
      </c>
    </row>
    <row r="574" customFormat="false" ht="17.15" hidden="false" customHeight="false" outlineLevel="0" collapsed="false">
      <c r="A574" s="0" t="s">
        <v>1241</v>
      </c>
      <c r="B574" s="0" t="s">
        <v>98</v>
      </c>
      <c r="F574" s="6" t="n">
        <f aca="false">Sens!F426-Sens!F427+Sens!F508</f>
        <v>32.8032662524094</v>
      </c>
      <c r="G574" s="6" t="n">
        <f aca="false">Sens!G426-Sens!G427+Sens!G508</f>
        <v>56.216917517105</v>
      </c>
      <c r="H574" s="6" t="n">
        <f aca="false">Sens!H426-Sens!H427+Sens!H508</f>
        <v>80.9942408415544</v>
      </c>
      <c r="I574" s="6" t="n">
        <f aca="false">Sens!I426-Sens!I427+Sens!I508</f>
        <v>102.900998210339</v>
      </c>
      <c r="J574" s="6" t="n">
        <f aca="false">Sens!J426-Sens!J427+Sens!J508</f>
        <v>118.335889741813</v>
      </c>
      <c r="K574" s="6" t="n">
        <f aca="false">Sens!K426-Sens!K427+Sens!K508</f>
        <v>128.416584665327</v>
      </c>
    </row>
    <row r="575" customFormat="false" ht="17.15" hidden="false" customHeight="false" outlineLevel="0" collapsed="false">
      <c r="A575" s="0" t="s">
        <v>1242</v>
      </c>
      <c r="B575" s="0" t="s">
        <v>98</v>
      </c>
      <c r="F575" s="6" t="n">
        <f aca="false">Sens!F487+Sens!F508+Sens!F438+Sens!F568*(Sens!F457-Sens!F420)+sbc_r*Sens!F457</f>
        <v>228.350884655666</v>
      </c>
      <c r="G575" s="6" t="n">
        <f aca="false">Sens!G487+Sens!G508+Sens!G438+Sens!G568*(Sens!G457-Sens!G420)+sbc_r*Sens!G457</f>
        <v>274.633022289651</v>
      </c>
      <c r="H575" s="6" t="n">
        <f aca="false">Sens!H487+Sens!H508+Sens!H438+Sens!H568*(Sens!H457-Sens!H420)+sbc_r*Sens!H457</f>
        <v>327.173684072591</v>
      </c>
      <c r="I575" s="6" t="n">
        <f aca="false">Sens!I487+Sens!I508+Sens!I438+Sens!I568*(Sens!I457-Sens!I420)+sbc_r*Sens!I457</f>
        <v>375.460907646649</v>
      </c>
      <c r="J575" s="6" t="n">
        <f aca="false">Sens!J487+Sens!J508+Sens!J438+Sens!J568*(Sens!J457-Sens!J420)+sbc_r*Sens!J457</f>
        <v>414.81845104037</v>
      </c>
      <c r="K575" s="6" t="n">
        <f aca="false">Sens!K487+Sens!K508+Sens!K438+Sens!K568*(Sens!K457-Sens!K420)+sbc_r*Sens!K457</f>
        <v>446.429164711011</v>
      </c>
    </row>
    <row r="576" customFormat="false" ht="17.15" hidden="false" customHeight="false" outlineLevel="0" collapsed="false">
      <c r="A576" s="0" t="s">
        <v>1243</v>
      </c>
      <c r="B576" s="0" t="s">
        <v>98</v>
      </c>
      <c r="F576" s="6" t="n">
        <f aca="false">Sens!F575-Sens!F569-Sens!F570-Sens!F571-Sens!F572-Sens!F574</f>
        <v>66.3548442472996</v>
      </c>
      <c r="G576" s="6" t="n">
        <f aca="false">Sens!G575-Sens!G569-Sens!G570-Sens!G571-Sens!G572-Sens!G574</f>
        <v>74.548542090425</v>
      </c>
      <c r="H576" s="6" t="n">
        <f aca="false">Sens!H575-Sens!H569-Sens!H570-Sens!H571-Sens!H572-Sens!H574</f>
        <v>87.4841023270774</v>
      </c>
      <c r="I576" s="6" t="n">
        <f aca="false">Sens!I575-Sens!I569-Sens!I570-Sens!I571-Sens!I572-Sens!I574</f>
        <v>100.082899538713</v>
      </c>
      <c r="J576" s="6" t="n">
        <f aca="false">Sens!J575-Sens!J569-Sens!J570-Sens!J571-Sens!J572-Sens!J574</f>
        <v>111.491845245262</v>
      </c>
      <c r="K576" s="6" t="n">
        <f aca="false">Sens!K575-Sens!K569-Sens!K570-Sens!K571-Sens!K572-Sens!K574</f>
        <v>121.003589607889</v>
      </c>
    </row>
    <row r="577" customFormat="false" ht="17.15" hidden="false" customHeight="false" outlineLevel="0" collapsed="false">
      <c r="A577" s="0" t="s">
        <v>1244</v>
      </c>
      <c r="B577" s="0" t="s">
        <v>98</v>
      </c>
      <c r="F577" s="6" t="n">
        <f aca="false">Sens!F489+Sens!F568*Sens!F464+sbc_r*Sens!F464</f>
        <v>26.6336365855879</v>
      </c>
      <c r="G577" s="6" t="n">
        <f aca="false">Sens!G489+Sens!G568*Sens!G464+sbc_r*Sens!G464</f>
        <v>26.4720859498625</v>
      </c>
      <c r="H577" s="6" t="n">
        <f aca="false">Sens!H489+Sens!H568*Sens!H464+sbc_r*Sens!H464</f>
        <v>27.346793021284</v>
      </c>
      <c r="I577" s="6" t="n">
        <f aca="false">Sens!I489+Sens!I568*Sens!I464+sbc_r*Sens!I464</f>
        <v>28.4574657863154</v>
      </c>
      <c r="J577" s="6" t="n">
        <f aca="false">Sens!J489+Sens!J568*Sens!J464+sbc_r*Sens!J464</f>
        <v>29.7689890546037</v>
      </c>
      <c r="K577" s="6" t="n">
        <f aca="false">Sens!K489+Sens!K568*Sens!K464+sbc_r*Sens!K464</f>
        <v>31.2443947307494</v>
      </c>
    </row>
    <row r="578" customFormat="false" ht="17.15" hidden="false" customHeight="false" outlineLevel="0" collapsed="false">
      <c r="A578" s="0" t="s">
        <v>1245</v>
      </c>
      <c r="B578" s="0" t="s">
        <v>98</v>
      </c>
      <c r="F578" s="6" t="n">
        <f aca="false">(Sens!F577-Sens!F573)*Sens!F460/(Sens!F460+Sens!F462)</f>
        <v>8.72285608232241</v>
      </c>
      <c r="G578" s="6" t="n">
        <f aca="false">(Sens!G577-Sens!G573)*Sens!G460/(Sens!G460+Sens!G462)</f>
        <v>7.88786455444355</v>
      </c>
      <c r="H578" s="6" t="n">
        <f aca="false">(Sens!H577-Sens!H573)*Sens!H460/(Sens!H460+Sens!H462)</f>
        <v>7.65195986819674</v>
      </c>
      <c r="I578" s="6" t="n">
        <f aca="false">(Sens!I577-Sens!I573)*Sens!I460/(Sens!I460+Sens!I462)</f>
        <v>7.56260440676676</v>
      </c>
      <c r="J578" s="6" t="n">
        <f aca="false">(Sens!J577-Sens!J573)*Sens!J460/(Sens!J460+Sens!J462)</f>
        <v>7.60790100885945</v>
      </c>
      <c r="K578" s="6" t="n">
        <f aca="false">(Sens!K577-Sens!K573)*Sens!K460/(Sens!K460+Sens!K462)</f>
        <v>7.78186910160995</v>
      </c>
    </row>
    <row r="579" customFormat="false" ht="17.15" hidden="false" customHeight="false" outlineLevel="0" collapsed="false">
      <c r="A579" s="0" t="s">
        <v>1246</v>
      </c>
      <c r="B579" s="0" t="s">
        <v>98</v>
      </c>
      <c r="F579" s="6" t="n">
        <f aca="false">Sens!F577-Sens!F573-Sens!F578</f>
        <v>6.72169020385088</v>
      </c>
      <c r="G579" s="6" t="n">
        <f aca="false">Sens!G577-Sens!G573-Sens!G578</f>
        <v>6.322482503616</v>
      </c>
      <c r="H579" s="6" t="n">
        <f aca="false">Sens!H577-Sens!H573-Sens!H578</f>
        <v>6.315346810168</v>
      </c>
      <c r="I579" s="6" t="n">
        <f aca="false">Sens!I577-Sens!I573-Sens!I578</f>
        <v>6.36314990077033</v>
      </c>
      <c r="J579" s="6" t="n">
        <f aca="false">Sens!J577-Sens!J573-Sens!J578</f>
        <v>6.46265146397189</v>
      </c>
      <c r="K579" s="6" t="n">
        <f aca="false">Sens!K577-Sens!K573-Sens!K578</f>
        <v>6.61043140327304</v>
      </c>
    </row>
    <row r="580" customFormat="false" ht="17.15" hidden="false" customHeight="false" outlineLevel="0" collapsed="false">
      <c r="A580" s="0" t="s">
        <v>1247</v>
      </c>
      <c r="B580" s="0" t="s">
        <v>98</v>
      </c>
      <c r="F580" s="6" t="n">
        <f aca="false">Sens!F574-tax_f*(Sens!F574-Sens!F438)-Sens!F435</f>
        <v>-135.295428144522</v>
      </c>
      <c r="G580" s="6" t="n">
        <f aca="false">Sens!G574-tax_f*(Sens!G574-Sens!G438)-Sens!G435</f>
        <v>-134.824043504904</v>
      </c>
      <c r="H580" s="6" t="n">
        <f aca="false">Sens!H574-tax_f*(Sens!H574-Sens!H438)-Sens!H435</f>
        <v>-114.19059325898</v>
      </c>
      <c r="I580" s="6" t="n">
        <f aca="false">Sens!I574-tax_f*(Sens!I574-Sens!I438)-Sens!I435</f>
        <v>-63.4478331144297</v>
      </c>
      <c r="J580" s="6" t="n">
        <f aca="false">Sens!J574-tax_f*(Sens!J574-Sens!J438)-Sens!J435</f>
        <v>-7.85808479257071</v>
      </c>
      <c r="K580" s="6" t="n">
        <f aca="false">Sens!K574-tax_f*(Sens!K574-Sens!K438)-Sens!K435</f>
        <v>12.3729485777155</v>
      </c>
    </row>
    <row r="581" customFormat="false" ht="17.15" hidden="false" customHeight="false" outlineLevel="0" collapsed="false">
      <c r="A581" s="0" t="s">
        <v>1248</v>
      </c>
      <c r="B581" s="0" t="s">
        <v>98</v>
      </c>
      <c r="G581" s="6" t="n">
        <f aca="false">Sens!G580/(1+wacc)^(Sens!G551-Sens!F552)</f>
        <v>-128.378434487956</v>
      </c>
      <c r="H581" s="6" t="n">
        <f aca="false">Sens!H580/(1+wacc)^(Sens!H551-Sens!F552)</f>
        <v>-98.5835632953461</v>
      </c>
      <c r="I581" s="6" t="n">
        <f aca="false">Sens!I580/(1+wacc)^(Sens!I551-Sens!F552)</f>
        <v>-49.6638555237309</v>
      </c>
      <c r="J581" s="6" t="n">
        <f aca="false">Sens!J580/(1+wacc)^(Sens!J551-Sens!F552)</f>
        <v>-5.57686077998615</v>
      </c>
      <c r="K581" s="6" t="n">
        <f aca="false">Sens!K580/(1+wacc)^(Sens!K551-Sens!F552)</f>
        <v>7.96151568624841</v>
      </c>
      <c r="L581" s="1" t="s">
        <v>1249</v>
      </c>
    </row>
    <row r="582" customFormat="false" ht="17.15" hidden="false" customHeight="false" outlineLevel="0" collapsed="false">
      <c r="A582" s="0" t="s">
        <v>1250</v>
      </c>
      <c r="B582" s="0" t="s">
        <v>98</v>
      </c>
      <c r="C582" s="6" t="n">
        <f aca="false">(Sens!K574-Sens!K438)*(1-tax_f)*(1+g_tv)*(1-g_tv/(wacc+ronic_prem))/(wacc-g_tv)/(1+wacc)^(Sens!K552-Sens!F552)</f>
        <v>-71.5881411125326</v>
      </c>
    </row>
    <row r="583" customFormat="false" ht="17.15" hidden="false" customHeight="false" outlineLevel="0" collapsed="false">
      <c r="A583" s="1" t="s">
        <v>1251</v>
      </c>
      <c r="B583" s="0" t="s">
        <v>98</v>
      </c>
      <c r="C583" s="6" t="n">
        <f aca="false">(SUM(Sens!G581:K581)+Sens!$C$582)*(1+wacc)^(t_roll-Sens!F552)</f>
        <v>-357.246211876188</v>
      </c>
      <c r="L583" s="12" t="s">
        <v>1252</v>
      </c>
    </row>
    <row r="584" customFormat="false" ht="17.15" hidden="false" customHeight="false" outlineLevel="0" collapsed="false">
      <c r="A584" s="1" t="s">
        <v>1253</v>
      </c>
      <c r="B584" s="0" t="s">
        <v>98</v>
      </c>
      <c r="C584" s="6" t="n">
        <f aca="false">(w_ntm28*Sens!G426+(1-w_ntm28)*Sens!H426)*m_ai</f>
        <v>463.789109510335</v>
      </c>
    </row>
    <row r="585" customFormat="false" ht="17.15" hidden="false" customHeight="false" outlineLevel="0" collapsed="false">
      <c r="A585" s="1" t="s">
        <v>1254</v>
      </c>
      <c r="B585" s="0" t="s">
        <v>98</v>
      </c>
      <c r="C585" s="6" t="n">
        <f aca="false">(w_ntm28*Sens!G576+(1-w_ntm28)*Sens!H576)*m_cloud</f>
        <v>1089.03436702245</v>
      </c>
    </row>
    <row r="586" customFormat="false" ht="17.15" hidden="false" customHeight="false" outlineLevel="0" collapsed="false">
      <c r="A586" s="1" t="s">
        <v>1255</v>
      </c>
      <c r="B586" s="0" t="s">
        <v>98</v>
      </c>
      <c r="C586" s="6" t="n">
        <f aca="false">(w_ntm28*Sens!G569+(1-w_ntm28)*Sens!H569)*m_sw</f>
        <v>1082.84962646159</v>
      </c>
    </row>
    <row r="587" customFormat="false" ht="17.15" hidden="false" customHeight="false" outlineLevel="0" collapsed="false">
      <c r="A587" s="1" t="s">
        <v>1256</v>
      </c>
      <c r="B587" s="0" t="s">
        <v>98</v>
      </c>
      <c r="C587" s="6" t="n">
        <f aca="false">(w_ntm28*Sens!G570+(1-w_ntm28)*Sens!H570)*m_sw</f>
        <v>372.929250898731</v>
      </c>
    </row>
    <row r="588" customFormat="false" ht="17.15" hidden="false" customHeight="false" outlineLevel="0" collapsed="false">
      <c r="A588" s="1" t="s">
        <v>1257</v>
      </c>
      <c r="B588" s="0" t="s">
        <v>98</v>
      </c>
      <c r="C588" s="6" t="n">
        <f aca="false">(w_ntm28*Sens!G571+(1-w_ntm28)*Sens!H571)*m_sw</f>
        <v>109.1453525431</v>
      </c>
    </row>
    <row r="589" customFormat="false" ht="17.15" hidden="false" customHeight="false" outlineLevel="0" collapsed="false">
      <c r="A589" s="1" t="s">
        <v>1258</v>
      </c>
      <c r="B589" s="0" t="s">
        <v>98</v>
      </c>
      <c r="C589" s="6" t="n">
        <f aca="false">(w_ntm28*Sens!G572+(1-w_ntm28)*Sens!H572)*m_sw</f>
        <v>41.4942157634893</v>
      </c>
    </row>
    <row r="590" customFormat="false" ht="17.15" hidden="false" customHeight="false" outlineLevel="0" collapsed="false">
      <c r="A590" s="1" t="s">
        <v>1259</v>
      </c>
      <c r="B590" s="0" t="s">
        <v>98</v>
      </c>
      <c r="C590" s="6" t="n">
        <f aca="false">(w_ntm28*Sens!G573+(1-w_ntm28)*Sens!H573)*m_ads</f>
        <v>115.052171478463</v>
      </c>
    </row>
    <row r="591" customFormat="false" ht="17.15" hidden="false" customHeight="false" outlineLevel="0" collapsed="false">
      <c r="A591" s="1" t="s">
        <v>1260</v>
      </c>
      <c r="B591" s="0" t="s">
        <v>98</v>
      </c>
      <c r="C591" s="6" t="n">
        <f aca="false">(w_ntm28*Sens!G578+(1-w_ntm28)*Sens!H578)*m_game</f>
        <v>98.6441755076202</v>
      </c>
    </row>
    <row r="592" customFormat="false" ht="17.15" hidden="false" customHeight="false" outlineLevel="0" collapsed="false">
      <c r="A592" s="1" t="s">
        <v>1261</v>
      </c>
      <c r="B592" s="0" t="s">
        <v>98</v>
      </c>
      <c r="C592" s="6" t="n">
        <f aca="false">(w_ntm28*Sens!G579+(1-w_ntm28)*Sens!H579)*m_pc</f>
        <v>91.4523754763561</v>
      </c>
    </row>
    <row r="593" customFormat="false" ht="17.15" hidden="false" customHeight="false" outlineLevel="0" collapsed="false">
      <c r="A593" s="1" t="s">
        <v>1262</v>
      </c>
      <c r="B593" s="0" t="s">
        <v>98</v>
      </c>
      <c r="C593" s="6" t="n">
        <f aca="false">Sens!$C$583+Sens!$C$585+Sens!$C$586+Sens!$C$587+Sens!$C$588+Sens!$C$589+Sens!$C$590+Sens!$C$591+Sens!$C$592</f>
        <v>2643.35532327561</v>
      </c>
    </row>
    <row r="594" customFormat="false" ht="17.15" hidden="false" customHeight="false" outlineLevel="0" collapsed="false">
      <c r="A594" s="1" t="s">
        <v>1263</v>
      </c>
      <c r="B594" s="0" t="s">
        <v>98</v>
      </c>
      <c r="C594" s="6" t="n">
        <f aca="false">(Sens!G555-Sens!G580)*t_stub</f>
        <v>47.8736427515113</v>
      </c>
      <c r="L594" s="1" t="s">
        <v>1264</v>
      </c>
    </row>
    <row r="595" customFormat="false" ht="17.15" hidden="false" customHeight="false" outlineLevel="0" collapsed="false">
      <c r="A595" s="1" t="s">
        <v>1173</v>
      </c>
      <c r="B595" s="0" t="s">
        <v>98</v>
      </c>
      <c r="C595" s="6" t="n">
        <f aca="false">Sens!F542+oai_v-Sens!F531+Sens!$C$594</f>
        <v>162.101912751511</v>
      </c>
      <c r="L595" s="1" t="s">
        <v>1265</v>
      </c>
    </row>
    <row r="596" customFormat="false" ht="17.15" hidden="false" customHeight="false" outlineLevel="0" collapsed="false">
      <c r="A596" s="1" t="s">
        <v>1266</v>
      </c>
      <c r="B596" s="0" t="s">
        <v>75</v>
      </c>
      <c r="C596" s="5" t="n">
        <f aca="false">(Sens!$C$593+Sens!$C$595)/(Sens!F544+dil_gap)-Sens!G534*roll_div_q/q_per_yr</f>
        <v>373.245576143352</v>
      </c>
      <c r="L596" s="1" t="s">
        <v>1267</v>
      </c>
    </row>
    <row r="597" customFormat="false" ht="17.15" hidden="false" customHeight="false" outlineLevel="0" collapsed="false">
      <c r="A597" s="1" t="s">
        <v>1268</v>
      </c>
      <c r="B597" s="0" t="s">
        <v>75</v>
      </c>
      <c r="C597" s="5" t="n">
        <f aca="false">w_dcf*Sens!$C$567+(1-w_dcf)*Sens!$C$596</f>
        <v>312.836382907704</v>
      </c>
    </row>
    <row r="598" customFormat="false" ht="17.15" hidden="false" customHeight="false" outlineLevel="0" collapsed="false">
      <c r="A598" s="3" t="s">
        <v>1625</v>
      </c>
    </row>
    <row r="599" customFormat="false" ht="15" hidden="false" customHeight="false" outlineLevel="0" collapsed="false">
      <c r="A599" s="4" t="s">
        <v>43</v>
      </c>
      <c r="B599" s="4" t="s">
        <v>65</v>
      </c>
      <c r="C599" s="23" t="s">
        <v>942</v>
      </c>
      <c r="D599" s="23" t="s">
        <v>943</v>
      </c>
      <c r="E599" s="23" t="s">
        <v>944</v>
      </c>
      <c r="F599" s="23" t="s">
        <v>945</v>
      </c>
      <c r="G599" s="23" t="s">
        <v>946</v>
      </c>
      <c r="H599" s="23" t="s">
        <v>947</v>
      </c>
      <c r="I599" s="23" t="s">
        <v>948</v>
      </c>
      <c r="J599" s="23" t="s">
        <v>949</v>
      </c>
      <c r="K599" s="23" t="s">
        <v>950</v>
      </c>
      <c r="L599" s="4" t="s">
        <v>47</v>
      </c>
    </row>
    <row r="600" customFormat="false" ht="17.15" hidden="false" customHeight="false" outlineLevel="0" collapsed="false">
      <c r="A600" s="1" t="s">
        <v>951</v>
      </c>
      <c r="B600" s="1" t="s">
        <v>279</v>
      </c>
      <c r="C600" s="21" t="n">
        <v>2024</v>
      </c>
      <c r="D600" s="21" t="n">
        <v>2025</v>
      </c>
      <c r="E600" s="21" t="n">
        <v>2026</v>
      </c>
      <c r="F600" s="21" t="n">
        <v>2027</v>
      </c>
      <c r="G600" s="21" t="n">
        <v>2028</v>
      </c>
      <c r="H600" s="21" t="n">
        <v>2029</v>
      </c>
      <c r="I600" s="21" t="n">
        <v>2030</v>
      </c>
      <c r="J600" s="21" t="n">
        <v>2031</v>
      </c>
      <c r="K600" s="21" t="n">
        <v>2032</v>
      </c>
    </row>
    <row r="601" customFormat="false" ht="17.15" hidden="false" customHeight="false" outlineLevel="0" collapsed="false">
      <c r="A601" s="1" t="s">
        <v>952</v>
      </c>
      <c r="B601" s="0" t="s">
        <v>459</v>
      </c>
      <c r="F601" s="30" t="n">
        <f aca="false">pace</f>
        <v>2726.5351</v>
      </c>
      <c r="G601" s="30" t="n">
        <f aca="false">pace</f>
        <v>2726.5351</v>
      </c>
      <c r="H601" s="30" t="n">
        <f aca="false">pace</f>
        <v>2726.5351</v>
      </c>
      <c r="I601" s="30" t="n">
        <f aca="false">pace+(g_tv*Sens!H602-pace)*MIN(1,(Sens!I600-pace_y0)/(pace_y1-pace_y0))</f>
        <v>1931.98611966667</v>
      </c>
      <c r="J601" s="30" t="n">
        <f aca="false">pace+(g_tv*Sens!I602-pace)*MIN(1,(Sens!J600-pace_y0)/(pace_y1-pace_y0))</f>
        <v>1176.07686172667</v>
      </c>
      <c r="K601" s="30" t="n">
        <f aca="false">pace+(g_tv*Sens!J602-pace)*MIN(1,(Sens!K600-pace_y0)/(pace_y1-pace_y0))</f>
        <v>436.1300484418</v>
      </c>
      <c r="L601" s="12" t="s">
        <v>953</v>
      </c>
    </row>
    <row r="602" customFormat="false" ht="17.15" hidden="false" customHeight="false" outlineLevel="0" collapsed="false">
      <c r="A602" s="1" t="s">
        <v>954</v>
      </c>
      <c r="B602" s="0" t="s">
        <v>459</v>
      </c>
      <c r="C602" s="30" t="n">
        <f aca="false">mw_ext_24</f>
        <v>640</v>
      </c>
      <c r="D602" s="30" t="n">
        <f aca="false">mw_ext_25</f>
        <v>1630</v>
      </c>
      <c r="E602" s="30" t="n">
        <f aca="false">mw_ext_26</f>
        <v>3250</v>
      </c>
      <c r="F602" s="30" t="n">
        <f aca="false">Sens!E602+Sens!F601</f>
        <v>5976.5351</v>
      </c>
      <c r="G602" s="30" t="n">
        <f aca="false">Sens!F602+Sens!G601</f>
        <v>8703.0702</v>
      </c>
      <c r="H602" s="30" t="n">
        <f aca="false">Sens!G602+Sens!H601</f>
        <v>11429.6053</v>
      </c>
      <c r="I602" s="30" t="n">
        <f aca="false">Sens!H602+Sens!I601</f>
        <v>13361.5914196667</v>
      </c>
      <c r="J602" s="30" t="n">
        <f aca="false">Sens!I602+Sens!J601</f>
        <v>14537.6682813933</v>
      </c>
      <c r="K602" s="30" t="n">
        <f aca="false">Sens!J602+Sens!K601</f>
        <v>14973.7983298351</v>
      </c>
      <c r="L602" s="1" t="s">
        <v>955</v>
      </c>
    </row>
    <row r="603" customFormat="false" ht="17.15" hidden="false" customHeight="false" outlineLevel="0" collapsed="false">
      <c r="A603" s="1" t="s">
        <v>956</v>
      </c>
      <c r="B603" s="0" t="s">
        <v>459</v>
      </c>
      <c r="C603" s="30" t="n">
        <f aca="false">rent_ext_24</f>
        <v>150</v>
      </c>
      <c r="D603" s="30" t="n">
        <f aca="false">rent_ext_25</f>
        <v>400</v>
      </c>
      <c r="E603" s="30" t="n">
        <f aca="false">rent_ext_26</f>
        <v>550</v>
      </c>
      <c r="F603" s="30" t="n">
        <f aca="false">rent_ext_f</f>
        <v>756</v>
      </c>
      <c r="G603" s="30" t="n">
        <f aca="false">rent_ext_f</f>
        <v>756</v>
      </c>
      <c r="H603" s="30" t="n">
        <f aca="false">rent_ext_f</f>
        <v>756</v>
      </c>
      <c r="I603" s="30" t="n">
        <f aca="false">rent_ext_f</f>
        <v>756</v>
      </c>
      <c r="J603" s="30" t="n">
        <f aca="false">rent_ext_f</f>
        <v>756</v>
      </c>
      <c r="K603" s="30" t="n">
        <f aca="false">rent_ext_f</f>
        <v>756</v>
      </c>
      <c r="L603" s="1" t="s">
        <v>957</v>
      </c>
    </row>
    <row r="604" customFormat="false" ht="17.15" hidden="false" customHeight="false" outlineLevel="0" collapsed="false">
      <c r="A604" s="1" t="s">
        <v>958</v>
      </c>
      <c r="B604" s="0" t="s">
        <v>459</v>
      </c>
      <c r="C604" s="30" t="n">
        <f aca="false">Sens!C602-Sens!C603</f>
        <v>490</v>
      </c>
      <c r="D604" s="30" t="n">
        <f aca="false">Sens!D602-Sens!D603</f>
        <v>1230</v>
      </c>
      <c r="E604" s="30" t="n">
        <f aca="false">Sens!E602-Sens!E603</f>
        <v>2700</v>
      </c>
      <c r="F604" s="30" t="n">
        <f aca="false">Sens!F602-Sens!F603</f>
        <v>5220.5351</v>
      </c>
      <c r="G604" s="30" t="n">
        <f aca="false">Sens!G602-Sens!G603</f>
        <v>7947.0702</v>
      </c>
      <c r="H604" s="30" t="n">
        <f aca="false">Sens!H602-Sens!H603</f>
        <v>10673.6053</v>
      </c>
      <c r="I604" s="30" t="n">
        <f aca="false">Sens!I602-Sens!I603</f>
        <v>12605.5914196667</v>
      </c>
      <c r="J604" s="30" t="n">
        <f aca="false">Sens!J602-Sens!J603</f>
        <v>13781.6682813933</v>
      </c>
      <c r="K604" s="30" t="n">
        <f aca="false">Sens!K602-Sens!K603</f>
        <v>14217.7983298351</v>
      </c>
    </row>
    <row r="605" customFormat="false" ht="17.15" hidden="false" customHeight="false" outlineLevel="0" collapsed="false">
      <c r="A605" s="1" t="s">
        <v>959</v>
      </c>
      <c r="B605" s="0" t="s">
        <v>459</v>
      </c>
      <c r="C605" s="30" t="n">
        <f aca="false">Sens!C604/ext_sh</f>
        <v>816.666666666667</v>
      </c>
      <c r="D605" s="30" t="n">
        <f aca="false">Sens!D604/ext_sh</f>
        <v>2050</v>
      </c>
      <c r="E605" s="30" t="n">
        <f aca="false">Sens!E604/ext_sh</f>
        <v>4500</v>
      </c>
      <c r="F605" s="30" t="n">
        <f aca="false">Sens!F604/ext_sh</f>
        <v>8700.89183333333</v>
      </c>
      <c r="G605" s="30" t="n">
        <f aca="false">Sens!G604/ext_sh</f>
        <v>13245.117</v>
      </c>
      <c r="H605" s="30" t="n">
        <f aca="false">Sens!H604/ext_sh</f>
        <v>17789.3421666667</v>
      </c>
      <c r="I605" s="30" t="n">
        <f aca="false">Sens!I604/ext_sh</f>
        <v>21009.3190327778</v>
      </c>
      <c r="J605" s="30" t="n">
        <f aca="false">Sens!J604/ext_sh</f>
        <v>22969.4471356556</v>
      </c>
      <c r="K605" s="30" t="n">
        <f aca="false">Sens!K604/ext_sh</f>
        <v>23696.3305497252</v>
      </c>
      <c r="L605" s="1" t="s">
        <v>960</v>
      </c>
    </row>
    <row r="606" customFormat="false" ht="17.15" hidden="false" customHeight="false" outlineLevel="0" collapsed="false">
      <c r="A606" s="1" t="s">
        <v>961</v>
      </c>
      <c r="B606" s="0" t="s">
        <v>459</v>
      </c>
      <c r="C606" s="30" t="n">
        <f aca="false">Sens!C605-Sens!C604</f>
        <v>326.666666666667</v>
      </c>
      <c r="D606" s="30" t="n">
        <f aca="false">Sens!D605-Sens!D604</f>
        <v>820</v>
      </c>
      <c r="E606" s="30" t="n">
        <f aca="false">Sens!E605-Sens!E604</f>
        <v>1800</v>
      </c>
      <c r="F606" s="30" t="n">
        <f aca="false">Sens!F605-Sens!F604</f>
        <v>3480.35673333333</v>
      </c>
      <c r="G606" s="30" t="n">
        <f aca="false">Sens!G605-Sens!G604</f>
        <v>5298.0468</v>
      </c>
      <c r="H606" s="30" t="n">
        <f aca="false">Sens!H605-Sens!H604</f>
        <v>7115.73686666667</v>
      </c>
      <c r="I606" s="30" t="n">
        <f aca="false">Sens!I605-Sens!I604</f>
        <v>8403.72761311111</v>
      </c>
      <c r="J606" s="30" t="n">
        <f aca="false">Sens!J605-Sens!J604</f>
        <v>9187.77885426222</v>
      </c>
      <c r="K606" s="30" t="n">
        <f aca="false">Sens!K605-Sens!K604</f>
        <v>9478.53221989009</v>
      </c>
    </row>
    <row r="607" customFormat="false" ht="17.15" hidden="false" customHeight="false" outlineLevel="0" collapsed="false">
      <c r="A607" s="1" t="s">
        <v>962</v>
      </c>
      <c r="B607" s="0" t="s">
        <v>459</v>
      </c>
      <c r="C607" s="30" t="n">
        <f aca="false">Sens!C605</f>
        <v>816.666666666667</v>
      </c>
      <c r="D607" s="30" t="n">
        <f aca="false">Sens!D605-Sens!C605</f>
        <v>1233.33333333333</v>
      </c>
      <c r="E607" s="30" t="n">
        <f aca="false">Sens!E605-Sens!D605</f>
        <v>2450</v>
      </c>
      <c r="F607" s="30" t="n">
        <f aca="false">Sens!F605-Sens!E605</f>
        <v>4200.89183333333</v>
      </c>
      <c r="G607" s="30" t="n">
        <f aca="false">Sens!G605-Sens!F605</f>
        <v>4544.22516666667</v>
      </c>
      <c r="H607" s="30" t="n">
        <f aca="false">Sens!H605-Sens!G605</f>
        <v>4544.22516666667</v>
      </c>
      <c r="I607" s="30" t="n">
        <f aca="false">Sens!I605-Sens!H605</f>
        <v>3219.97686611111</v>
      </c>
      <c r="J607" s="30" t="n">
        <f aca="false">Sens!J605-Sens!I605</f>
        <v>1960.12810287778</v>
      </c>
      <c r="K607" s="30" t="n">
        <f aca="false">Sens!K605-Sens!J605</f>
        <v>726.883414069667</v>
      </c>
    </row>
    <row r="608" customFormat="false" ht="17.15" hidden="false" customHeight="false" outlineLevel="0" collapsed="false">
      <c r="A608" s="1" t="s">
        <v>963</v>
      </c>
      <c r="B608" s="0" t="s">
        <v>459</v>
      </c>
      <c r="D608" s="30" t="n">
        <f aca="false">Sens!D602-Sens!C602</f>
        <v>990</v>
      </c>
      <c r="E608" s="30" t="n">
        <f aca="false">Sens!E602-Sens!D602</f>
        <v>1620</v>
      </c>
      <c r="F608" s="30" t="n">
        <f aca="false">Sens!F602-Sens!E602</f>
        <v>2726.5351</v>
      </c>
      <c r="G608" s="30" t="n">
        <f aca="false">Sens!G602-Sens!F602</f>
        <v>2726.5351</v>
      </c>
      <c r="H608" s="30" t="n">
        <f aca="false">Sens!H602-Sens!G602</f>
        <v>2726.5351</v>
      </c>
      <c r="I608" s="30" t="n">
        <f aca="false">Sens!I602-Sens!H602</f>
        <v>1931.98611966667</v>
      </c>
      <c r="J608" s="30" t="n">
        <f aca="false">Sens!J602-Sens!I602</f>
        <v>1176.07686172667</v>
      </c>
      <c r="K608" s="30" t="n">
        <f aca="false">Sens!K602-Sens!J602</f>
        <v>436.130048441799</v>
      </c>
    </row>
    <row r="609" customFormat="false" ht="17.15" hidden="false" customHeight="false" outlineLevel="0" collapsed="false">
      <c r="A609" s="1" t="s">
        <v>964</v>
      </c>
      <c r="B609" s="0" t="s">
        <v>459</v>
      </c>
      <c r="F609" s="30" t="n">
        <f aca="false">Sens!F628*ext_sh</f>
        <v>0</v>
      </c>
      <c r="G609" s="30" t="n">
        <f aca="false">Sens!G628*ext_sh</f>
        <v>0</v>
      </c>
      <c r="H609" s="30" t="n">
        <f aca="false">Sens!H628*ext_sh</f>
        <v>0</v>
      </c>
      <c r="I609" s="30" t="n">
        <f aca="false">Sens!I628*ext_sh</f>
        <v>490</v>
      </c>
      <c r="J609" s="30" t="n">
        <f aca="false">Sens!J628*ext_sh</f>
        <v>740</v>
      </c>
      <c r="K609" s="30" t="n">
        <f aca="false">Sens!K628*ext_sh</f>
        <v>1470</v>
      </c>
      <c r="L609" s="1" t="s">
        <v>965</v>
      </c>
    </row>
    <row r="610" customFormat="false" ht="17.15" hidden="false" customHeight="false" outlineLevel="0" collapsed="false">
      <c r="A610" s="1" t="s">
        <v>966</v>
      </c>
      <c r="B610" s="0" t="s">
        <v>459</v>
      </c>
      <c r="C610" s="30" t="n">
        <f aca="false">mix_h*Sens!C602</f>
        <v>128</v>
      </c>
      <c r="D610" s="30" t="n">
        <f aca="false">mix_h*Sens!D602</f>
        <v>326</v>
      </c>
      <c r="E610" s="30" t="n">
        <f aca="false">mix_h*Sens!E602</f>
        <v>650</v>
      </c>
      <c r="F610" s="30" t="n">
        <f aca="false">Sens!E610-Sens!F609*mix_h</f>
        <v>650</v>
      </c>
      <c r="G610" s="30" t="n">
        <f aca="false">Sens!F610-Sens!G609*mix_h</f>
        <v>650</v>
      </c>
      <c r="H610" s="30" t="n">
        <f aca="false">Sens!G610-Sens!H609*mix_h</f>
        <v>650</v>
      </c>
      <c r="I610" s="30" t="n">
        <f aca="false">Sens!H610-Sens!I609*mix_h</f>
        <v>552</v>
      </c>
      <c r="J610" s="30" t="n">
        <f aca="false">Sens!I610-Sens!J609*mix_h</f>
        <v>404</v>
      </c>
      <c r="K610" s="30" t="n">
        <f aca="false">Sens!J610-Sens!K609*mix_h</f>
        <v>110</v>
      </c>
    </row>
    <row r="611" customFormat="false" ht="17.15" hidden="false" customHeight="false" outlineLevel="0" collapsed="false">
      <c r="A611" s="1" t="s">
        <v>967</v>
      </c>
      <c r="B611" s="0" t="s">
        <v>459</v>
      </c>
      <c r="C611" s="30" t="n">
        <f aca="false">mix_g2*Sens!C602</f>
        <v>288</v>
      </c>
      <c r="D611" s="30" t="n">
        <f aca="false">mix_g2*Sens!D602</f>
        <v>733.5</v>
      </c>
      <c r="E611" s="30" t="n">
        <f aca="false">mix_g2*Sens!E602</f>
        <v>1462.5</v>
      </c>
      <c r="F611" s="30" t="n">
        <f aca="false">Sens!E611-Sens!F609*mix_g2</f>
        <v>1462.5</v>
      </c>
      <c r="G611" s="30" t="n">
        <f aca="false">Sens!F611-Sens!G609*mix_g2</f>
        <v>1462.5</v>
      </c>
      <c r="H611" s="30" t="n">
        <f aca="false">Sens!G611-Sens!H609*mix_g2</f>
        <v>1462.5</v>
      </c>
      <c r="I611" s="30" t="n">
        <f aca="false">Sens!H611-Sens!I609*mix_g2</f>
        <v>1242</v>
      </c>
      <c r="J611" s="30" t="n">
        <f aca="false">Sens!I611-Sens!J609*mix_g2</f>
        <v>909</v>
      </c>
      <c r="K611" s="30" t="n">
        <f aca="false">Sens!J611-Sens!K609*mix_g2</f>
        <v>247.5</v>
      </c>
    </row>
    <row r="612" customFormat="false" ht="17.15" hidden="false" customHeight="false" outlineLevel="0" collapsed="false">
      <c r="A612" s="1" t="s">
        <v>968</v>
      </c>
      <c r="B612" s="0" t="s">
        <v>459</v>
      </c>
      <c r="C612" s="30" t="n">
        <f aca="false">mix_g3*Sens!C602</f>
        <v>224</v>
      </c>
      <c r="D612" s="30" t="n">
        <f aca="false">mix_g3*Sens!D602</f>
        <v>570.5</v>
      </c>
      <c r="E612" s="30" t="n">
        <f aca="false">mix_g3*Sens!E602</f>
        <v>1137.5</v>
      </c>
      <c r="F612" s="30" t="n">
        <f aca="false">Sens!E612+(Sens!F608+Sens!F609)*(a_g3_27-nonnv*a_mai)-Sens!F609*mix_g3</f>
        <v>2773.42106</v>
      </c>
      <c r="G612" s="30" t="n">
        <f aca="false">Sens!F612+(Sens!G608+Sens!G609)*(a_g3_28-nonnv*a_mai)-Sens!G609*mix_g3</f>
        <v>3318.72808</v>
      </c>
      <c r="H612" s="30" t="n">
        <f aca="false">Sens!G612+(Sens!H608+Sens!H609)*(a_g3_29-nonnv*a_mai)-Sens!H609*mix_g3</f>
        <v>3318.72808</v>
      </c>
      <c r="I612" s="30" t="n">
        <f aca="false">Sens!H612+(Sens!I608+Sens!I609)*(a_g3_29-nonnv*a_mai)-Sens!I609*mix_g3</f>
        <v>3147.22808</v>
      </c>
      <c r="J612" s="30" t="n">
        <f aca="false">Sens!I612+(Sens!J608+Sens!J609)*(a_g3_29-nonnv*a_mai)-Sens!J609*mix_g3</f>
        <v>2888.22808</v>
      </c>
      <c r="K612" s="30" t="n">
        <f aca="false">Sens!J612+(Sens!K608+Sens!K609)*(a_g3_29-nonnv*a_mai)-Sens!K609*mix_g3</f>
        <v>2373.72808</v>
      </c>
    </row>
    <row r="613" customFormat="false" ht="17.15" hidden="false" customHeight="false" outlineLevel="0" collapsed="false">
      <c r="A613" s="1" t="s">
        <v>969</v>
      </c>
      <c r="B613" s="0" t="s">
        <v>459</v>
      </c>
      <c r="C613" s="30" t="n">
        <v>0</v>
      </c>
      <c r="D613" s="30" t="n">
        <v>0</v>
      </c>
      <c r="E613" s="30" t="n">
        <v>0</v>
      </c>
      <c r="F613" s="30" t="n">
        <f aca="false">Sens!E613+(Sens!F608+Sens!F609)*nonnv*a_mai</f>
        <v>272.65351</v>
      </c>
      <c r="G613" s="30" t="n">
        <f aca="false">Sens!F613+(Sens!G608+Sens!G609)*nonnv*a_mai</f>
        <v>545.30702</v>
      </c>
      <c r="H613" s="30" t="n">
        <f aca="false">Sens!G613+(Sens!H608+Sens!H609)*nonnv*a_mai</f>
        <v>817.96053</v>
      </c>
      <c r="I613" s="30" t="n">
        <f aca="false">Sens!H613+(Sens!I608+Sens!I609)*nonnv*a_mai</f>
        <v>1060.15914196667</v>
      </c>
      <c r="J613" s="30" t="n">
        <f aca="false">Sens!I613+(Sens!J608+Sens!J609)*nonnv*a_mai</f>
        <v>1251.76682813933</v>
      </c>
      <c r="K613" s="30" t="n">
        <f aca="false">Sens!J613+(Sens!K608+Sens!K609)*nonnv*a_mai</f>
        <v>1442.37983298351</v>
      </c>
      <c r="L613" s="12" t="s">
        <v>970</v>
      </c>
    </row>
    <row r="614" customFormat="false" ht="17.15" hidden="false" customHeight="false" outlineLevel="0" collapsed="false">
      <c r="A614" s="1" t="s">
        <v>971</v>
      </c>
      <c r="B614" s="0" t="s">
        <v>459</v>
      </c>
      <c r="C614" s="30" t="n">
        <v>0</v>
      </c>
      <c r="D614" s="30" t="n">
        <v>0</v>
      </c>
      <c r="E614" s="30" t="n">
        <v>0</v>
      </c>
      <c r="F614" s="30" t="n">
        <f aca="false">Sens!E614+(Sens!F608+Sens!F609)*(1-a_g3_27)</f>
        <v>817.96053</v>
      </c>
      <c r="G614" s="30" t="n">
        <f aca="false">Sens!F614+(Sens!G608+Sens!G609)*(1-a_g3_28)</f>
        <v>2726.5351</v>
      </c>
      <c r="H614" s="30" t="n">
        <f aca="false">Sens!G614+(Sens!H608+Sens!H609)*(1-a_g3_29)</f>
        <v>5180.41669</v>
      </c>
      <c r="I614" s="30" t="n">
        <f aca="false">Sens!H614+(Sens!I608+Sens!I609)*(1-a_g3_29)</f>
        <v>7360.2041977</v>
      </c>
      <c r="J614" s="30" t="n">
        <f aca="false">Sens!I614+(Sens!J608+Sens!J609)*(1-a_g3_29)</f>
        <v>9084.673373254</v>
      </c>
      <c r="K614" s="30" t="n">
        <f aca="false">Sens!J614+(Sens!K608+Sens!K609)*(1-a_g3_29)</f>
        <v>10800.1904168516</v>
      </c>
    </row>
    <row r="615" customFormat="false" ht="17.15" hidden="false" customHeight="false" outlineLevel="0" collapsed="false">
      <c r="A615" s="1" t="s">
        <v>972</v>
      </c>
      <c r="B615" s="0" t="s">
        <v>403</v>
      </c>
      <c r="C615" s="15" t="n">
        <f aca="false">(Sens!C610*tk_hold_h100+Sens!C611*tk_hold_gb200+Sens!C612*tk_hold_gb300+Sens!C614*tk_hold_vr200+Sens!C613*nv_hold_mai*tk_hold_vr200)/Sens!C602</f>
        <v>9.7235358126469</v>
      </c>
      <c r="D615" s="15" t="n">
        <f aca="false">(Sens!D610*tk_hold_h100+Sens!D611*tk_hold_gb200+Sens!D612*tk_hold_gb300+Sens!D614*tk_hold_vr200+Sens!D613*nv_hold_mai*tk_hold_vr200)/Sens!D602</f>
        <v>9.7235358126469</v>
      </c>
      <c r="E615" s="15" t="n">
        <f aca="false">(Sens!E610*tk_hold_h100+Sens!E611*tk_hold_gb200+Sens!E612*tk_hold_gb300+Sens!E614*tk_hold_vr200+Sens!E613*nv_hold_mai*tk_hold_vr200)/Sens!E602</f>
        <v>9.7235358126469</v>
      </c>
      <c r="F615" s="15" t="n">
        <f aca="false">(Sens!F610*tk_hold_h100+Sens!F611*tk_hold_gb200+Sens!F612*tk_hold_gb300+Sens!F614*tk_hold_vr200+Sens!F613*nv_hold_mai*tk_hold_vr200)/Sens!F602</f>
        <v>10.2195353876665</v>
      </c>
      <c r="G615" s="15" t="n">
        <f aca="false">(Sens!G610*tk_hold_h100+Sens!G611*tk_hold_gb200+Sens!G612*tk_hold_gb300+Sens!G614*tk_hold_vr200+Sens!G613*nv_hold_mai*tk_hold_vr200)/Sens!G602</f>
        <v>10.5725598017306</v>
      </c>
      <c r="H615" s="15" t="n">
        <f aca="false">(Sens!H610*tk_hold_h100+Sens!H611*tk_hold_gb200+Sens!H612*tk_hold_gb300+Sens!H614*tk_hold_vr200+Sens!H613*nv_hold_mai*tk_hold_vr200)/Sens!H602</f>
        <v>10.8210427149036</v>
      </c>
      <c r="I615" s="15" t="n">
        <f aca="false">(Sens!I610*tk_hold_h100+Sens!I611*tk_hold_gb200+Sens!I612*tk_hold_gb300+Sens!I614*tk_hold_vr200+Sens!I613*nv_hold_mai*tk_hold_vr200)/Sens!I602</f>
        <v>11.0050618241982</v>
      </c>
      <c r="J615" s="15" t="n">
        <f aca="false">(Sens!J610*tk_hold_h100+Sens!J611*tk_hold_gb200+Sens!J612*tk_hold_gb300+Sens!J614*tk_hold_vr200+Sens!J613*nv_hold_mai*tk_hold_vr200)/Sens!J602</f>
        <v>11.1505789658881</v>
      </c>
      <c r="K615" s="15" t="n">
        <f aca="false">(Sens!K610*tk_hold_h100+Sens!K611*tk_hold_gb200+Sens!K612*tk_hold_gb300+Sens!K614*tk_hold_vr200+Sens!K613*nv_hold_mai*tk_hold_vr200)/Sens!K602</f>
        <v>11.3496914757183</v>
      </c>
      <c r="L615" s="1" t="s">
        <v>973</v>
      </c>
    </row>
    <row r="616" customFormat="false" ht="17.15" hidden="false" customHeight="false" outlineLevel="0" collapsed="false">
      <c r="A616" s="1" t="s">
        <v>974</v>
      </c>
      <c r="B616" s="0" t="s">
        <v>403</v>
      </c>
      <c r="C616" s="15" t="n">
        <f aca="false">(Sens!C610*tk_hold_h100+Sens!C611*tk_hold_gb200+Sens!C612*tk_hold_gb300+Sens!C614*tk_hold_vr200+Sens!C613*nv_out_mai*tk_hold_vr200)/Sens!C602</f>
        <v>9.7235358126469</v>
      </c>
      <c r="D616" s="15" t="n">
        <f aca="false">(Sens!D610*tk_hold_h100+Sens!D611*tk_hold_gb200+Sens!D612*tk_hold_gb300+Sens!D614*tk_hold_vr200+Sens!D613*nv_out_mai*tk_hold_vr200)/Sens!D602</f>
        <v>9.7235358126469</v>
      </c>
      <c r="E616" s="15" t="n">
        <f aca="false">(Sens!E610*tk_hold_h100+Sens!E611*tk_hold_gb200+Sens!E612*tk_hold_gb300+Sens!E614*tk_hold_vr200+Sens!E613*nv_out_mai*tk_hold_vr200)/Sens!E602</f>
        <v>9.7235358126469</v>
      </c>
      <c r="F616" s="15" t="n">
        <f aca="false">(Sens!F610*tk_hold_h100+Sens!F611*tk_hold_gb200+Sens!F612*tk_hold_gb300+Sens!F614*tk_hold_vr200+Sens!F613*nv_out_mai*tk_hold_vr200)/Sens!F602</f>
        <v>10.247422093969</v>
      </c>
      <c r="G616" s="15" t="n">
        <f aca="false">(Sens!G610*tk_hold_h100+Sens!G611*tk_hold_gb200+Sens!G612*tk_hold_gb300+Sens!G614*tk_hold_vr200+Sens!G613*nv_out_mai*tk_hold_vr200)/Sens!G602</f>
        <v>10.6108602808053</v>
      </c>
      <c r="H616" s="15" t="n">
        <f aca="false">(Sens!H610*tk_hold_h100+Sens!H611*tk_hold_gb200+Sens!H612*tk_hold_gb300+Sens!H614*tk_hold_vr200+Sens!H613*nv_out_mai*tk_hold_vr200)/Sens!H602</f>
        <v>10.8647885507393</v>
      </c>
      <c r="I616" s="15" t="n">
        <f aca="false">(Sens!I610*tk_hold_h100+Sens!I611*tk_hold_gb200+Sens!I612*tk_hold_gb300+Sens!I614*tk_hold_vr200+Sens!I613*nv_out_mai*tk_hold_vr200)/Sens!I602</f>
        <v>11.0535625770025</v>
      </c>
      <c r="J616" s="15" t="n">
        <f aca="false">(Sens!J610*tk_hold_h100+Sens!J611*tk_hold_gb200+Sens!J612*tk_hold_gb300+Sens!J614*tk_hold_vr200+Sens!J613*nv_out_mai*tk_hold_vr200)/Sens!J602</f>
        <v>11.2032127128058</v>
      </c>
      <c r="K616" s="15" t="n">
        <f aca="false">(Sens!K610*tk_hold_h100+Sens!K611*tk_hold_gb200+Sens!K612*tk_hold_gb300+Sens!K614*tk_hold_vr200+Sens!K613*nv_out_mai*tk_hold_vr200)/Sens!K602</f>
        <v>11.4085735724225</v>
      </c>
      <c r="L616" s="12" t="s">
        <v>975</v>
      </c>
    </row>
    <row r="617" customFormat="false" ht="17.15" hidden="false" customHeight="false" outlineLevel="0" collapsed="false">
      <c r="A617" s="0" t="s">
        <v>976</v>
      </c>
      <c r="B617" s="0" t="s">
        <v>229</v>
      </c>
      <c r="C617" s="15" t="n">
        <f aca="false">k_B</f>
        <v>1.17213932619116</v>
      </c>
      <c r="D617" s="15" t="n">
        <f aca="false">k_B</f>
        <v>1.17213932619116</v>
      </c>
      <c r="E617" s="15" t="n">
        <f aca="false">k_B</f>
        <v>1.17213932619116</v>
      </c>
      <c r="F617" s="15" t="n">
        <f aca="false">(k_B+((ls_C*k_long+(1-ls_C)*k_spot)-k_B)*MIN(1,(Sens!F600-base_fy)/k_ramp))</f>
        <v>1.07843258004497</v>
      </c>
      <c r="G617" s="15" t="n">
        <f aca="false">(k_B+((ls_C*k_long+(1-ls_C)*k_spot)-k_B)*MIN(1,(Sens!G600-base_fy)/k_ramp))</f>
        <v>0.984725833898784</v>
      </c>
      <c r="H617" s="15" t="n">
        <f aca="false">(k_B+((ls_C*k_long+(1-ls_C)*k_spot)-k_B)*MIN(1,(Sens!H600-base_fy)/k_ramp))</f>
        <v>0.891019087752599</v>
      </c>
      <c r="I617" s="15" t="n">
        <f aca="false">(k_B+((ls_C*k_long+(1-ls_C)*k_spot)-k_B)*MIN(1,(Sens!I600-base_fy)/k_ramp))</f>
        <v>0.891019087752599</v>
      </c>
      <c r="J617" s="15" t="n">
        <f aca="false">(k_B+((ls_C*k_long+(1-ls_C)*k_spot)-k_B)*MIN(1,(Sens!J600-base_fy)/k_ramp))</f>
        <v>0.891019087752599</v>
      </c>
      <c r="K617" s="15" t="n">
        <f aca="false">(k_B+((ls_C*k_long+(1-ls_C)*k_spot)-k_B)*MIN(1,(Sens!K600-base_fy)/k_ramp))</f>
        <v>0.891019087752599</v>
      </c>
      <c r="L617" s="1" t="s">
        <v>977</v>
      </c>
    </row>
    <row r="618" customFormat="false" ht="17.15" hidden="false" customHeight="false" outlineLevel="0" collapsed="false">
      <c r="A618" s="1" t="s">
        <v>978</v>
      </c>
      <c r="B618" s="0" t="s">
        <v>403</v>
      </c>
      <c r="C618" s="15" t="n">
        <f aca="false">Sens!C616*Sens!C617*chip_f</f>
        <v>11.3973387156315</v>
      </c>
      <c r="D618" s="15" t="n">
        <f aca="false">Sens!D616*Sens!D617*chip_f</f>
        <v>11.3973387156315</v>
      </c>
      <c r="E618" s="15" t="n">
        <f aca="false">Sens!E616*Sens!E617*chip_f</f>
        <v>11.3973387156315</v>
      </c>
      <c r="F618" s="15" t="n">
        <f aca="false">Sens!F616*Sens!F617*chip_f</f>
        <v>11.0511538476088</v>
      </c>
      <c r="G618" s="15" t="n">
        <f aca="false">Sens!G616*Sens!G617*chip_f</f>
        <v>10.4487882383995</v>
      </c>
      <c r="H618" s="15" t="n">
        <f aca="false">Sens!H616*Sens!H617*chip_f</f>
        <v>9.68073398310464</v>
      </c>
      <c r="I618" s="15" t="n">
        <f aca="false">Sens!I616*Sens!I617*chip_f</f>
        <v>9.84893524377706</v>
      </c>
      <c r="J618" s="15" t="n">
        <f aca="false">Sens!J616*Sens!J617*chip_f</f>
        <v>9.98227637126252</v>
      </c>
      <c r="K618" s="15" t="n">
        <f aca="false">Sens!K616*Sens!K617*chip_f</f>
        <v>10.1652568170583</v>
      </c>
      <c r="L618" s="1" t="s">
        <v>979</v>
      </c>
    </row>
    <row r="619" customFormat="false" ht="17.15" hidden="false" customHeight="false" outlineLevel="0" collapsed="false">
      <c r="A619" s="0" t="s">
        <v>980</v>
      </c>
      <c r="B619" s="0" t="s">
        <v>98</v>
      </c>
      <c r="D619" s="6" t="n">
        <f aca="false">(Sens!C602+Sens!D602)/2*Sens!D618/1000</f>
        <v>12.9359794422418</v>
      </c>
      <c r="E619" s="6" t="n">
        <f aca="false">(Sens!D602+Sens!E602)/2*Sens!E618/1000</f>
        <v>27.8095064661409</v>
      </c>
      <c r="F619" s="6" t="n">
        <f aca="false">(Sens!E602+Sens!F602)/2*Sens!F618/1000</f>
        <v>50.9819294352312</v>
      </c>
      <c r="G619" s="6" t="n">
        <f aca="false">(Sens!F602+Sens!G602)/2*Sens!G618/1000</f>
        <v>76.6920436014933</v>
      </c>
      <c r="H619" s="6" t="n">
        <f aca="false">(Sens!G602+Sens!H602)/2*Sens!H618/1000</f>
        <v>97.4495379418341</v>
      </c>
      <c r="I619" s="6" t="n">
        <f aca="false">(Sens!H602+Sens!I602)/2*Sens!I618/1000</f>
        <v>122.083445553868</v>
      </c>
      <c r="J619" s="6" t="n">
        <f aca="false">(Sens!I602+Sens!J602)/2*Sens!J618/1000</f>
        <v>139.249060444804</v>
      </c>
      <c r="K619" s="6" t="n">
        <f aca="false">(Sens!J602+Sens!K602)/2*Sens!K618/1000</f>
        <v>149.995818575589</v>
      </c>
      <c r="L619" s="12" t="s">
        <v>981</v>
      </c>
    </row>
    <row r="620" customFormat="false" ht="17.15" hidden="false" customHeight="false" outlineLevel="0" collapsed="false">
      <c r="A620" s="1" t="s">
        <v>982</v>
      </c>
      <c r="B620" s="0" t="s">
        <v>403</v>
      </c>
      <c r="C620" s="15" t="n">
        <f aca="false">(Sens!C610*tk_opex_h100+Sens!C611*tk_opex_gb200+Sens!C612*tk_opex_gb300+(Sens!C614+Sens!C613)*tk_opex_vr200)/Sens!C602</f>
        <v>1.88636041306092</v>
      </c>
      <c r="D620" s="15" t="n">
        <f aca="false">(Sens!D610*tk_opex_h100+Sens!D611*tk_opex_gb200+Sens!D612*tk_opex_gb300+(Sens!D614+Sens!D613)*tk_opex_vr200)/Sens!D602</f>
        <v>1.88636041306092</v>
      </c>
      <c r="E620" s="15" t="n">
        <f aca="false">(Sens!E610*tk_opex_h100+Sens!E611*tk_opex_gb200+Sens!E612*tk_opex_gb300+(Sens!E614+Sens!E613)*tk_opex_vr200)/Sens!E602</f>
        <v>1.88636041306092</v>
      </c>
      <c r="F620" s="15" t="n">
        <f aca="false">(Sens!F610*tk_opex_h100+Sens!F611*tk_opex_gb200+Sens!F612*tk_opex_gb300+(Sens!F614+Sens!F613)*tk_opex_vr200)/Sens!F602</f>
        <v>1.95051159746876</v>
      </c>
      <c r="G620" s="15" t="n">
        <f aca="false">(Sens!G610*tk_opex_h100+Sens!G611*tk_opex_gb200+Sens!G612*tk_opex_gb300+(Sens!G614+Sens!G613)*tk_opex_vr200)/Sens!G602</f>
        <v>1.98836003669956</v>
      </c>
      <c r="H620" s="15" t="n">
        <f aca="false">(Sens!H610*tk_opex_h100+Sens!H611*tk_opex_gb200+Sens!H612*tk_opex_gb300+(Sens!H614+Sens!H613)*tk_opex_vr200)/Sens!H602</f>
        <v>2.01344013834343</v>
      </c>
      <c r="I620" s="15" t="n">
        <f aca="false">(Sens!I610*tk_opex_h100+Sens!I611*tk_opex_gb200+Sens!I612*tk_opex_gb300+(Sens!I614+Sens!I613)*tk_opex_vr200)/Sens!I602</f>
        <v>2.03261166882178</v>
      </c>
      <c r="J620" s="15" t="n">
        <f aca="false">(Sens!J610*tk_opex_h100+Sens!J611*tk_opex_gb200+Sens!J612*tk_opex_gb300+(Sens!J614+Sens!J613)*tk_opex_vr200)/Sens!J602</f>
        <v>2.04808073288745</v>
      </c>
      <c r="K620" s="15" t="n">
        <f aca="false">(Sens!K610*tk_opex_h100+Sens!K611*tk_opex_gb200+Sens!K612*tk_opex_gb300+(Sens!K614+Sens!K613)*tk_opex_vr200)/Sens!K602</f>
        <v>2.06973825807449</v>
      </c>
      <c r="L620" s="12" t="s">
        <v>983</v>
      </c>
    </row>
    <row r="621" customFormat="false" ht="17.15" hidden="false" customHeight="false" outlineLevel="0" collapsed="false">
      <c r="A621" s="0" t="s">
        <v>984</v>
      </c>
      <c r="B621" s="0" t="s">
        <v>98</v>
      </c>
      <c r="D621" s="6" t="n">
        <f aca="false">(Sens!C605+Sens!D605)/2*Sens!D620/1000</f>
        <v>2.70378325872065</v>
      </c>
      <c r="E621" s="6" t="n">
        <f aca="false">(Sens!D605+Sens!E605)/2*Sens!E620/1000</f>
        <v>6.17783035277451</v>
      </c>
      <c r="F621" s="6" t="n">
        <f aca="false">(Sens!E605+Sens!F605)/2*Sens!F620/1000</f>
        <v>12.8742463089237</v>
      </c>
      <c r="G621" s="6" t="n">
        <f aca="false">(Sens!F605+Sens!G605)/2*Sens!G620/1000</f>
        <v>21.8182834646277</v>
      </c>
      <c r="H621" s="6" t="n">
        <f aca="false">(Sens!G605+Sens!H605)/2*Sens!H620/1000</f>
        <v>31.2430128789734</v>
      </c>
      <c r="I621" s="6" t="n">
        <f aca="false">(Sens!H605+Sens!I605)/2*Sens!I620/1000</f>
        <v>39.4313057443268</v>
      </c>
      <c r="J621" s="6" t="n">
        <f aca="false">(Sens!I605+Sens!J605)/2*Sens!J620/1000</f>
        <v>45.0360318228653</v>
      </c>
      <c r="K621" s="6" t="n">
        <f aca="false">(Sens!J605+Sens!K605)/2*Sens!K620/1000</f>
        <v>48.2929727091156</v>
      </c>
    </row>
    <row r="622" customFormat="false" ht="17.15" hidden="false" customHeight="false" outlineLevel="0" collapsed="false">
      <c r="A622" s="0" t="s">
        <v>985</v>
      </c>
      <c r="B622" s="0" t="s">
        <v>98</v>
      </c>
      <c r="D622" s="6" t="n">
        <f aca="false">(Sens!C603+Sens!D603)/2*rent_mw/1000</f>
        <v>2.44475</v>
      </c>
      <c r="E622" s="6" t="n">
        <f aca="false">(Sens!D603+Sens!E603)/2*rent_mw/1000</f>
        <v>4.22275</v>
      </c>
      <c r="F622" s="6" t="n">
        <f aca="false">(Sens!E603+Sens!F603)/2*rent_mw/1000</f>
        <v>5.80517</v>
      </c>
      <c r="G622" s="6" t="n">
        <f aca="false">(Sens!F603+Sens!G603)/2*rent_mw/1000</f>
        <v>6.72084</v>
      </c>
      <c r="H622" s="6" t="n">
        <f aca="false">(Sens!G603+Sens!H603)/2*rent_mw/1000</f>
        <v>6.72084</v>
      </c>
      <c r="I622" s="6" t="n">
        <f aca="false">(Sens!H603+Sens!I603)/2*rent_mw/1000</f>
        <v>6.72084</v>
      </c>
      <c r="J622" s="6" t="n">
        <f aca="false">(Sens!I603+Sens!J603)/2*rent_mw/1000</f>
        <v>6.72084</v>
      </c>
      <c r="K622" s="6" t="n">
        <f aca="false">(Sens!J603+Sens!K603)/2*rent_mw/1000</f>
        <v>6.72084</v>
      </c>
    </row>
    <row r="623" customFormat="false" ht="17.15" hidden="false" customHeight="false" outlineLevel="0" collapsed="false">
      <c r="A623" s="0" t="s">
        <v>986</v>
      </c>
      <c r="B623" s="0" t="s">
        <v>98</v>
      </c>
      <c r="D623" s="6" t="n">
        <f aca="false">(Sens!C605+Sens!D605)/2*(1-self_build)*fac_rent/1000</f>
        <v>0.853242375631075</v>
      </c>
      <c r="E623" s="6" t="n">
        <f aca="false">(Sens!D605+Sens!E605)/2*(1-self_build)*fac_rent/1000</f>
        <v>1.94955961408728</v>
      </c>
      <c r="F623" s="6" t="n">
        <f aca="false">(Sens!E605+Sens!F605)/2*(1-self_build)*fac_rent/1000</f>
        <v>3.92914894476356</v>
      </c>
      <c r="G623" s="6" t="n">
        <f aca="false">(Sens!F605+Sens!G605)/2*(1-self_build)*fac_rent/1000</f>
        <v>6.53206908578159</v>
      </c>
      <c r="H623" s="6" t="n">
        <f aca="false">(Sens!G605+Sens!H605)/2*(1-self_build)*fac_rent/1000</f>
        <v>9.23717988341591</v>
      </c>
      <c r="I623" s="6" t="n">
        <f aca="false">(Sens!H605+Sens!I605)/2*(1-self_build)*fac_rent/1000</f>
        <v>11.5481378557393</v>
      </c>
      <c r="J623" s="6" t="n">
        <f aca="false">(Sens!I605+Sens!J605)/2*(1-self_build)*fac_rent/1000</f>
        <v>13.0899582289108</v>
      </c>
      <c r="K623" s="6" t="n">
        <f aca="false">(Sens!J605+Sens!K605)/2*(1-self_build)*fac_rent/1000</f>
        <v>13.8897275626556</v>
      </c>
      <c r="L623" s="12" t="s">
        <v>987</v>
      </c>
    </row>
    <row r="624" customFormat="false" ht="17.15" hidden="false" customHeight="false" outlineLevel="0" collapsed="false">
      <c r="A624" s="1" t="s">
        <v>988</v>
      </c>
      <c r="B624" s="0" t="s">
        <v>168</v>
      </c>
      <c r="D624" s="7" t="n">
        <f aca="false">(Sens!C604+Sens!D604)/(Sens!C605+Sens!D605)</f>
        <v>0.6</v>
      </c>
      <c r="E624" s="7" t="n">
        <f aca="false">(Sens!D604+Sens!E604)/(Sens!D605+Sens!E605)</f>
        <v>0.6</v>
      </c>
      <c r="F624" s="7" t="n">
        <f aca="false">(Sens!E604+Sens!F604)/(Sens!E605+Sens!F605)</f>
        <v>0.6</v>
      </c>
      <c r="G624" s="7" t="n">
        <f aca="false">(Sens!F604+Sens!G604)/(Sens!F605+Sens!G605)</f>
        <v>0.6</v>
      </c>
      <c r="H624" s="7" t="n">
        <f aca="false">(Sens!G604+Sens!H604)/(Sens!G605+Sens!H605)</f>
        <v>0.6</v>
      </c>
      <c r="I624" s="7" t="n">
        <f aca="false">(Sens!H604+Sens!I604)/(Sens!H605+Sens!I605)</f>
        <v>0.6</v>
      </c>
      <c r="J624" s="7" t="n">
        <f aca="false">(Sens!I604+Sens!J604)/(Sens!I605+Sens!J605)</f>
        <v>0.6</v>
      </c>
      <c r="K624" s="7" t="n">
        <f aca="false">(Sens!J604+Sens!K604)/(Sens!J605+Sens!K605)</f>
        <v>0.6</v>
      </c>
    </row>
    <row r="625" customFormat="false" ht="17.15" hidden="false" customHeight="false" outlineLevel="0" collapsed="false">
      <c r="A625" s="0" t="s">
        <v>989</v>
      </c>
      <c r="B625" s="0" t="s">
        <v>98</v>
      </c>
      <c r="D625" s="6" t="n">
        <f aca="false">Sens!D619-Sens!D624*(Sens!D621+Sens!D623)-Sens!D622</f>
        <v>8.35701406163072</v>
      </c>
      <c r="E625" s="6" t="n">
        <f aca="false">Sens!E619-Sens!E624*(Sens!E621+Sens!E623)-Sens!E622</f>
        <v>18.7103224860238</v>
      </c>
      <c r="F625" s="6" t="n">
        <f aca="false">Sens!F619-Sens!F624*(Sens!F621+Sens!F623)-Sens!F622</f>
        <v>35.0947222830189</v>
      </c>
      <c r="G625" s="6" t="n">
        <f aca="false">Sens!G619-Sens!G624*(Sens!G621+Sens!G623)-Sens!G622</f>
        <v>52.9609920712477</v>
      </c>
      <c r="H625" s="6" t="n">
        <f aca="false">Sens!H619-Sens!H624*(Sens!H621+Sens!H623)-Sens!H622</f>
        <v>66.4405822844005</v>
      </c>
      <c r="I625" s="6" t="n">
        <f aca="false">Sens!I619-Sens!I624*(Sens!I621+Sens!I623)-Sens!I622</f>
        <v>84.7749393938279</v>
      </c>
      <c r="J625" s="6" t="n">
        <f aca="false">Sens!J619-Sens!J624*(Sens!J621+Sens!J623)-Sens!J622</f>
        <v>97.6526264137382</v>
      </c>
      <c r="K625" s="6" t="n">
        <f aca="false">Sens!K619-Sens!K624*(Sens!K621+Sens!K623)-Sens!K622</f>
        <v>105.965358412527</v>
      </c>
    </row>
    <row r="626" customFormat="false" ht="17.15" hidden="false" customHeight="false" outlineLevel="0" collapsed="false">
      <c r="A626" s="1" t="s">
        <v>990</v>
      </c>
      <c r="B626" s="0" t="s">
        <v>98</v>
      </c>
      <c r="D626" s="6" t="n">
        <f aca="false">(1-Sens!D624)*(Sens!D621+Sens!D623)</f>
        <v>1.42281025374069</v>
      </c>
      <c r="E626" s="6" t="n">
        <f aca="false">(1-Sens!E624)*(Sens!E621+Sens!E623)</f>
        <v>3.25095598674472</v>
      </c>
      <c r="F626" s="6" t="n">
        <f aca="false">(1-Sens!F624)*(Sens!F621+Sens!F623)</f>
        <v>6.72135810147489</v>
      </c>
      <c r="G626" s="6" t="n">
        <f aca="false">(1-Sens!G624)*(Sens!G621+Sens!G623)</f>
        <v>11.3401410201637</v>
      </c>
      <c r="H626" s="6" t="n">
        <f aca="false">(1-Sens!H624)*(Sens!H621+Sens!H623)</f>
        <v>16.1920771049557</v>
      </c>
      <c r="I626" s="6" t="n">
        <f aca="false">(1-Sens!I624)*(Sens!I621+Sens!I623)</f>
        <v>20.3917774400264</v>
      </c>
      <c r="J626" s="6" t="n">
        <f aca="false">(1-Sens!J624)*(Sens!J621+Sens!J623)</f>
        <v>23.2503960207104</v>
      </c>
      <c r="K626" s="6" t="n">
        <f aca="false">(1-Sens!K624)*(Sens!K621+Sens!K623)</f>
        <v>24.8730801087085</v>
      </c>
    </row>
    <row r="627" customFormat="false" ht="17.15" hidden="false" customHeight="false" outlineLevel="0" collapsed="false">
      <c r="A627" s="1" t="s">
        <v>991</v>
      </c>
      <c r="B627" s="0" t="s">
        <v>417</v>
      </c>
      <c r="C627" s="8" t="n">
        <f aca="false">cxit_open</f>
        <v>27.5918995</v>
      </c>
      <c r="D627" s="8" t="n">
        <f aca="false">cxit_open</f>
        <v>27.5918995</v>
      </c>
      <c r="E627" s="8" t="n">
        <f aca="false">cxit_open</f>
        <v>27.5918995</v>
      </c>
      <c r="F627" s="8" t="n">
        <f aca="false">((a_g3_27-nonnv*a_mai)*tk_cxit_gb300+nonnv*a_mai*nv_hold_mai*tk_cxit_vr200+(1-a_g3_27)*tk_cxit_vr200)</f>
        <v>32.4975576</v>
      </c>
      <c r="G627" s="8" t="n">
        <f aca="false">((a_g3_28-nonnv*a_mai)*tk_cxit_gb300+nonnv*a_mai*nv_hold_mai*tk_cxit_vr200+(1-a_g3_28)*tk_cxit_vr200)</f>
        <v>34.6372088</v>
      </c>
      <c r="H627" s="8" t="n">
        <f aca="false">((a_g3_29-nonnv*a_mai)*tk_cxit_gb300+nonnv*a_mai*nv_hold_mai*tk_cxit_vr200+(1-a_g3_29)*tk_cxit_vr200)</f>
        <v>35.7070344</v>
      </c>
      <c r="I627" s="8" t="n">
        <f aca="false">((a_g3_29-nonnv*a_mai)*tk_cxit_gb300+nonnv*a_mai*nv_hold_mai*tk_cxit_vr200+(1-a_g3_29)*tk_cxit_vr200)</f>
        <v>35.7070344</v>
      </c>
      <c r="J627" s="8" t="n">
        <f aca="false">((a_g3_29-nonnv*a_mai)*tk_cxit_gb300+nonnv*a_mai*nv_hold_mai*tk_cxit_vr200+(1-a_g3_29)*tk_cxit_vr200)</f>
        <v>35.7070344</v>
      </c>
      <c r="K627" s="8" t="n">
        <f aca="false">((a_g3_29-nonnv*a_mai)*tk_cxit_gb300+nonnv*a_mai*nv_hold_mai*tk_cxit_vr200+(1-a_g3_29)*tk_cxit_vr200)</f>
        <v>35.7070344</v>
      </c>
      <c r="L627" s="12" t="s">
        <v>992</v>
      </c>
    </row>
    <row r="628" customFormat="false" ht="17.15" hidden="false" customHeight="false" outlineLevel="0" collapsed="false">
      <c r="A628" s="0" t="s">
        <v>993</v>
      </c>
      <c r="B628" s="0" t="s">
        <v>459</v>
      </c>
      <c r="F628" s="30" t="n">
        <f aca="false">Sens!C607*IF(Sens!F600-Sens!C600=life_it,1,0)+Sens!D607*IF(Sens!F600-Sens!D600=life_it,1,0)+Sens!E607*IF(Sens!F600-Sens!E600=life_it,1,0)</f>
        <v>0</v>
      </c>
      <c r="G628" s="30" t="n">
        <f aca="false">Sens!C607*IF(Sens!G600-Sens!C600=life_it,1,0)+Sens!D607*IF(Sens!G600-Sens!D600=life_it,1,0)+Sens!E607*IF(Sens!G600-Sens!E600=life_it,1,0)+Sens!F607*IF(Sens!G600-Sens!F600=life_it,1,0)</f>
        <v>0</v>
      </c>
      <c r="H628" s="30" t="n">
        <f aca="false">Sens!C607*IF(Sens!H600-Sens!C600=life_it,1,0)+Sens!D607*IF(Sens!H600-Sens!D600=life_it,1,0)+Sens!E607*IF(Sens!H600-Sens!E600=life_it,1,0)+Sens!F607*IF(Sens!H600-Sens!F600=life_it,1,0)+Sens!G607*IF(Sens!H600-Sens!G600=life_it,1,0)</f>
        <v>0</v>
      </c>
      <c r="I628" s="30" t="n">
        <f aca="false">Sens!C607*IF(Sens!I600-Sens!C600=life_it,1,0)+Sens!D607*IF(Sens!I600-Sens!D600=life_it,1,0)+Sens!E607*IF(Sens!I600-Sens!E600=life_it,1,0)+Sens!F607*IF(Sens!I600-Sens!F600=life_it,1,0)+Sens!G607*IF(Sens!I600-Sens!G600=life_it,1,0)+Sens!H607*IF(Sens!I600-Sens!H600=life_it,1,0)</f>
        <v>816.666666666667</v>
      </c>
      <c r="J628" s="30" t="n">
        <f aca="false">Sens!C607*IF(Sens!J600-Sens!C600=life_it,1,0)+Sens!D607*IF(Sens!J600-Sens!D600=life_it,1,0)+Sens!E607*IF(Sens!J600-Sens!E600=life_it,1,0)+Sens!F607*IF(Sens!J600-Sens!F600=life_it,1,0)+Sens!G607*IF(Sens!J600-Sens!G600=life_it,1,0)+Sens!H607*IF(Sens!J600-Sens!H600=life_it,1,0)+Sens!I607*IF(Sens!J600-Sens!I600=life_it,1,0)</f>
        <v>1233.33333333333</v>
      </c>
      <c r="K628" s="30" t="n">
        <f aca="false">Sens!C607*IF(Sens!K600-Sens!C600=life_it,1,0)+Sens!D607*IF(Sens!K600-Sens!D600=life_it,1,0)+Sens!E607*IF(Sens!K600-Sens!E600=life_it,1,0)+Sens!F607*IF(Sens!K600-Sens!F600=life_it,1,0)+Sens!G607*IF(Sens!K600-Sens!G600=life_it,1,0)+Sens!H607*IF(Sens!K600-Sens!H600=life_it,1,0)+Sens!I607*IF(Sens!K600-Sens!I600=life_it,1,0)+Sens!J607*IF(Sens!K600-Sens!J600=life_it,1,0)</f>
        <v>2450</v>
      </c>
      <c r="L628" s="1" t="s">
        <v>994</v>
      </c>
    </row>
    <row r="629" customFormat="false" ht="17.15" hidden="false" customHeight="false" outlineLevel="0" collapsed="false">
      <c r="A629" s="0" t="s">
        <v>995</v>
      </c>
      <c r="B629" s="0" t="s">
        <v>98</v>
      </c>
      <c r="C629" s="6" t="n">
        <f aca="false">Sens!C607*Sens!C627/1000</f>
        <v>22.5333845916667</v>
      </c>
      <c r="D629" s="6" t="n">
        <f aca="false">Sens!D607*Sens!D627/1000</f>
        <v>34.0300093833333</v>
      </c>
      <c r="E629" s="6" t="n">
        <f aca="false">Sens!E607*Sens!E627/1000</f>
        <v>67.600153775</v>
      </c>
      <c r="F629" s="6" t="n">
        <f aca="false">(Sens!F607+Sens!F628)*Sens!F627/1000</f>
        <v>136.51872432512</v>
      </c>
      <c r="G629" s="6" t="n">
        <f aca="false">(Sens!G607+Sens!G628)*Sens!G627/1000</f>
        <v>157.399275932048</v>
      </c>
      <c r="H629" s="6" t="n">
        <f aca="false">(Sens!H607+Sens!H628)*Sens!H627/1000</f>
        <v>162.260804347512</v>
      </c>
      <c r="I629" s="6" t="n">
        <f aca="false">(Sens!I607+Sens!I628)*Sens!I627/1000</f>
        <v>144.136569485434</v>
      </c>
      <c r="J629" s="6" t="n">
        <f aca="false">(Sens!J607+Sens!J628)*Sens!J627/1000</f>
        <v>114.029037357864</v>
      </c>
      <c r="K629" s="6" t="n">
        <f aca="false">(Sens!K607+Sens!K628)*Sens!K627/1000</f>
        <v>113.437085350975</v>
      </c>
    </row>
    <row r="630" customFormat="false" ht="17.15" hidden="false" customHeight="false" outlineLevel="0" collapsed="false">
      <c r="A630" s="0" t="s">
        <v>996</v>
      </c>
      <c r="B630" s="0" t="s">
        <v>98</v>
      </c>
      <c r="C630" s="6" t="n">
        <f aca="false">Sens!C607*self_build*tk_cxfac/1000</f>
        <v>6.2083</v>
      </c>
      <c r="D630" s="6" t="n">
        <f aca="false">Sens!D607*self_build*tk_cxfac/1000</f>
        <v>9.3758</v>
      </c>
      <c r="E630" s="6" t="n">
        <f aca="false">Sens!E607*self_build*tk_cxfac/1000</f>
        <v>18.6249</v>
      </c>
      <c r="F630" s="6" t="n">
        <f aca="false">Sens!F607*self_build*tk_cxfac/1000</f>
        <v>31.935179717</v>
      </c>
      <c r="G630" s="6" t="n">
        <f aca="false">Sens!G607*self_build*tk_cxfac/1000</f>
        <v>34.545199717</v>
      </c>
      <c r="H630" s="6" t="n">
        <f aca="false">Sens!H607*self_build*tk_cxfac/1000</f>
        <v>34.545199717</v>
      </c>
      <c r="I630" s="6" t="n">
        <f aca="false">Sens!I607*self_build*tk_cxfac/1000</f>
        <v>24.4782641361767</v>
      </c>
      <c r="J630" s="6" t="n">
        <f aca="false">Sens!J607*self_build*tk_cxfac/1000</f>
        <v>14.9008938380769</v>
      </c>
      <c r="K630" s="6" t="n">
        <f aca="false">Sens!K607*self_build*tk_cxfac/1000</f>
        <v>5.52576771375761</v>
      </c>
    </row>
    <row r="631" customFormat="false" ht="17.15" hidden="false" customHeight="false" outlineLevel="0" collapsed="false">
      <c r="A631" s="0" t="s">
        <v>997</v>
      </c>
      <c r="B631" s="0" t="s">
        <v>98</v>
      </c>
      <c r="F631" s="15" t="n">
        <f aca="false">capex_floor27-Sens!F629-Sens!F630-Sens!F727</f>
        <v>-0.0799631154216058</v>
      </c>
      <c r="L631" s="12" t="s">
        <v>998</v>
      </c>
    </row>
    <row r="632" customFormat="false" ht="17.15" hidden="false" customHeight="false" outlineLevel="0" collapsed="false">
      <c r="A632" s="0" t="s">
        <v>999</v>
      </c>
      <c r="B632" s="0" t="s">
        <v>98</v>
      </c>
      <c r="F632" s="6" t="n">
        <f aca="false">MAX(0,Sens!F631)</f>
        <v>0</v>
      </c>
    </row>
    <row r="633" customFormat="false" ht="17.15" hidden="false" customHeight="false" outlineLevel="0" collapsed="false">
      <c r="A633" s="0" t="s">
        <v>1000</v>
      </c>
      <c r="B633" s="0" t="s">
        <v>98</v>
      </c>
      <c r="C633" s="6" t="n">
        <f aca="false">Sens!C629</f>
        <v>22.5333845916667</v>
      </c>
      <c r="D633" s="6" t="n">
        <f aca="false">Sens!D629</f>
        <v>34.0300093833333</v>
      </c>
      <c r="E633" s="6" t="n">
        <f aca="false">Sens!E629</f>
        <v>67.600153775</v>
      </c>
      <c r="F633" s="6" t="n">
        <f aca="false">Sens!F629</f>
        <v>136.51872432512</v>
      </c>
      <c r="G633" s="6" t="n">
        <f aca="false">Sens!G629</f>
        <v>157.399275932048</v>
      </c>
      <c r="H633" s="6" t="n">
        <f aca="false">Sens!H629</f>
        <v>162.260804347512</v>
      </c>
      <c r="I633" s="6" t="n">
        <f aca="false">Sens!I629</f>
        <v>144.136569485434</v>
      </c>
      <c r="J633" s="6" t="n">
        <f aca="false">Sens!J629</f>
        <v>114.029037357864</v>
      </c>
      <c r="K633" s="6" t="n">
        <f aca="false">Sens!K629</f>
        <v>113.437085350975</v>
      </c>
    </row>
    <row r="634" customFormat="false" ht="17.15" hidden="false" customHeight="false" outlineLevel="0" collapsed="false">
      <c r="A634" s="0" t="s">
        <v>1001</v>
      </c>
      <c r="B634" s="0" t="s">
        <v>98</v>
      </c>
      <c r="C634" s="6" t="n">
        <f aca="false">Sens!C633+Sens!C630</f>
        <v>28.7416845916667</v>
      </c>
      <c r="D634" s="6" t="n">
        <f aca="false">Sens!D633+Sens!D630</f>
        <v>43.4058093833333</v>
      </c>
      <c r="E634" s="6" t="n">
        <f aca="false">Sens!E633+Sens!E630</f>
        <v>86.225053775</v>
      </c>
      <c r="F634" s="6" t="n">
        <f aca="false">Sens!F633+Sens!F630</f>
        <v>168.45390404212</v>
      </c>
      <c r="G634" s="6" t="n">
        <f aca="false">Sens!G633+Sens!G630</f>
        <v>191.944475649048</v>
      </c>
      <c r="H634" s="6" t="n">
        <f aca="false">Sens!H633+Sens!H630</f>
        <v>196.806004064512</v>
      </c>
      <c r="I634" s="6" t="n">
        <f aca="false">Sens!I633+Sens!I630</f>
        <v>168.61483362161</v>
      </c>
      <c r="J634" s="6" t="n">
        <f aca="false">Sens!J633+Sens!J630</f>
        <v>128.92993119594</v>
      </c>
      <c r="K634" s="6" t="n">
        <f aca="false">Sens!K633+Sens!K630</f>
        <v>118.962853064733</v>
      </c>
      <c r="L634" s="12" t="s">
        <v>1002</v>
      </c>
    </row>
    <row r="635" customFormat="false" ht="17.15" hidden="false" customHeight="false" outlineLevel="0" collapsed="false">
      <c r="A635" s="0" t="s">
        <v>1003</v>
      </c>
      <c r="B635" s="0" t="s">
        <v>98</v>
      </c>
      <c r="E635" s="6" t="n">
        <f aca="false">(Sens!C633*IF(2&lt;life_it,1,IF(2=life_it,0.5,0))+Sens!D633*IF(1&lt;life_it,1,IF(1=life_it,0.5,0))+Sens!E633*0.5)/life_it</f>
        <v>15.0605784770833</v>
      </c>
      <c r="F635" s="6" t="n">
        <f aca="false">(Sens!C633*IF(3&lt;life_it,1,IF(3=life_it,0.5,0))+Sens!D633*IF(2&lt;life_it,1,IF(2=life_it,0.5,0))+Sens!E633*IF(1&lt;life_it,1,IF(1=life_it,0.5,0))+Sens!F633*0.5)/life_it</f>
        <v>32.0704849854266</v>
      </c>
      <c r="G635" s="6" t="n">
        <f aca="false">(Sens!C633*IF(4&lt;life_it,1,IF(4=life_it,0.5,0))+Sens!D633*IF(3&lt;life_it,1,IF(3=life_it,0.5,0))+Sens!E633*IF(2&lt;life_it,1,IF(2=life_it,0.5,0))+Sens!F633*IF(1&lt;life_it,1,IF(1=life_it,0.5,0))+Sens!G633*0.5)/life_it</f>
        <v>56.5636516735239</v>
      </c>
      <c r="H635" s="6" t="n">
        <f aca="false">(Sens!C633*IF(5&lt;life_it,1,IF(5=life_it,0.5,0))+Sens!D633*IF(4&lt;life_it,1,IF(4=life_it,0.5,0))+Sens!E633*IF(3&lt;life_it,1,IF(3=life_it,0.5,0))+Sens!F633*IF(2&lt;life_it,1,IF(2=life_it,0.5,0))+Sens!G633*IF(1&lt;life_it,1,IF(1=life_it,0.5,0))+Sens!H633*0.5)/life_it</f>
        <v>83.2019916968207</v>
      </c>
      <c r="I635" s="6" t="n">
        <f aca="false">(Sens!C633*IF(6&lt;life_it,1,IF(6=life_it,0.5,0))+Sens!D633*IF(5&lt;life_it,1,IF(5=life_it,0.5,0))+Sens!E633*IF(4&lt;life_it,1,IF(4=life_it,0.5,0))+Sens!F633*IF(3&lt;life_it,1,IF(3=life_it,0.5,0))+Sens!G633*IF(2&lt;life_it,1,IF(2=life_it,0.5,0))+Sens!H633*IF(1&lt;life_it,1,IF(1=life_it,0.5,0))+Sens!I633*0.5)/life_it</f>
        <v>106.857324133594</v>
      </c>
      <c r="J635" s="6" t="n">
        <f aca="false">(Sens!C633*IF(7&lt;life_it,1,IF(7=life_it,0.5,0))+Sens!D633*IF(6&lt;life_it,1,IF(6=life_it,0.5,0))+Sens!E633*IF(5&lt;life_it,1,IF(5=life_it,0.5,0))+Sens!F633*IF(4&lt;life_it,1,IF(4=life_it,0.5,0))+Sens!G633*IF(3&lt;life_it,1,IF(3=life_it,0.5,0))+Sens!H633*IF(2&lt;life_it,1,IF(2=life_it,0.5,0))+Sens!I633*IF(1&lt;life_it,1,IF(1=life_it,0.5,0))+Sens!J633*0.5)/life_it</f>
        <v>123.657508539285</v>
      </c>
      <c r="K635" s="6" t="n">
        <f aca="false">(Sens!C633*IF(8&lt;life_it,1,IF(8=life_it,0.5,0))+Sens!D633*IF(7&lt;life_it,1,IF(7=life_it,0.5,0))+Sens!E633*IF(6&lt;life_it,1,IF(6=life_it,0.5,0))+Sens!F633*IF(5&lt;life_it,1,IF(5=life_it,0.5,0))+Sens!G633*IF(4&lt;life_it,1,IF(4=life_it,0.5,0))+Sens!H633*IF(3&lt;life_it,1,IF(3=life_it,0.5,0))+Sens!I633*IF(2&lt;life_it,1,IF(2=life_it,0.5,0))+Sens!J633*IF(1&lt;life_it,1,IF(1=life_it,0.5,0))+Sens!K633*0.5)/life_it</f>
        <v>134.143838501827</v>
      </c>
    </row>
    <row r="636" customFormat="false" ht="17.15" hidden="false" customHeight="false" outlineLevel="0" collapsed="false">
      <c r="A636" s="0" t="s">
        <v>1004</v>
      </c>
      <c r="B636" s="0" t="s">
        <v>98</v>
      </c>
      <c r="E636" s="6" t="n">
        <f aca="false">(Sens!C630*IF(2&lt;life_fac,1,IF(2=life_fac,0.5,0))+Sens!D630*IF(1&lt;life_fac,1,IF(1=life_fac,0.5,0))+Sens!E630*0.5)/life_fac</f>
        <v>1.2448275</v>
      </c>
      <c r="F636" s="6" t="n">
        <f aca="false">(Sens!C630*IF(3&lt;life_fac,1,IF(3=life_fac,0.5,0))+Sens!D630*IF(2&lt;life_fac,1,IF(2=life_fac,0.5,0))+Sens!E630*IF(1&lt;life_fac,1,IF(1=life_fac,0.5,0))+Sens!F630*0.5)/life_fac</f>
        <v>2.508829492925</v>
      </c>
      <c r="G636" s="6" t="n">
        <f aca="false">(Sens!C630*IF(4&lt;life_fac,1,IF(4=life_fac,0.5,0))+Sens!D630*IF(3&lt;life_fac,1,IF(3=life_fac,0.5,0))+Sens!E630*IF(2&lt;life_fac,1,IF(2=life_fac,0.5,0))+Sens!F630*IF(1&lt;life_fac,1,IF(1=life_fac,0.5,0))+Sens!G630*0.5)/life_fac</f>
        <v>4.170838978775</v>
      </c>
      <c r="H636" s="6" t="n">
        <f aca="false">(Sens!C630*IF(5&lt;life_fac,1,IF(5=life_fac,0.5,0))+Sens!D630*IF(4&lt;life_fac,1,IF(4=life_fac,0.5,0))+Sens!E630*IF(3&lt;life_fac,1,IF(3=life_fac,0.5,0))+Sens!F630*IF(2&lt;life_fac,1,IF(2=life_fac,0.5,0))+Sens!G630*IF(1&lt;life_fac,1,IF(1=life_fac,0.5,0))+Sens!H630*0.5)/life_fac</f>
        <v>5.898098964625</v>
      </c>
      <c r="I636" s="6" t="n">
        <f aca="false">(Sens!C630*IF(6&lt;life_fac,1,IF(6=life_fac,0.5,0))+Sens!D630*IF(5&lt;life_fac,1,IF(5=life_fac,0.5,0))+Sens!E630*IF(4&lt;life_fac,1,IF(4=life_fac,0.5,0))+Sens!F630*IF(3&lt;life_fac,1,IF(3=life_fac,0.5,0))+Sens!G630*IF(2&lt;life_fac,1,IF(2=life_fac,0.5,0))+Sens!H630*IF(1&lt;life_fac,1,IF(1=life_fac,0.5,0))+Sens!I630*0.5)/life_fac</f>
        <v>7.37368556095442</v>
      </c>
      <c r="J636" s="6" t="n">
        <f aca="false">(Sens!C630*IF(7&lt;life_fac,1,IF(7=life_fac,0.5,0))+Sens!D630*IF(6&lt;life_fac,1,IF(6=life_fac,0.5,0))+Sens!E630*IF(5&lt;life_fac,1,IF(5=life_fac,0.5,0))+Sens!F630*IF(4&lt;life_fac,1,IF(4=life_fac,0.5,0))+Sens!G630*IF(3&lt;life_fac,1,IF(3=life_fac,0.5,0))+Sens!H630*IF(2&lt;life_fac,1,IF(2=life_fac,0.5,0))+Sens!I630*IF(1&lt;life_fac,1,IF(1=life_fac,0.5,0))+Sens!J630*0.5)/life_fac</f>
        <v>8.35816451031075</v>
      </c>
      <c r="K636" s="6" t="n">
        <f aca="false">(Sens!C630*IF(8&lt;life_fac,1,IF(8=life_fac,0.5,0))+Sens!D630*IF(7&lt;life_fac,1,IF(7=life_fac,0.5,0))+Sens!E630*IF(6&lt;life_fac,1,IF(6=life_fac,0.5,0))+Sens!F630*IF(5&lt;life_fac,1,IF(5=life_fac,0.5,0))+Sens!G630*IF(4&lt;life_fac,1,IF(4=life_fac,0.5,0))+Sens!H630*IF(3&lt;life_fac,1,IF(3=life_fac,0.5,0))+Sens!I630*IF(2&lt;life_fac,1,IF(2=life_fac,0.5,0))+Sens!J630*IF(1&lt;life_fac,1,IF(1=life_fac,0.5,0))+Sens!K630*0.5)/life_fac</f>
        <v>8.86883104910662</v>
      </c>
    </row>
    <row r="637" customFormat="false" ht="17.15" hidden="false" customHeight="false" outlineLevel="0" collapsed="false">
      <c r="A637" s="0" t="s">
        <v>1005</v>
      </c>
      <c r="B637" s="0" t="s">
        <v>98</v>
      </c>
      <c r="E637" s="6" t="n">
        <f aca="false">Sens!E635+Sens!E636</f>
        <v>16.3054059770833</v>
      </c>
      <c r="F637" s="6" t="n">
        <f aca="false">Sens!F635+Sens!F636</f>
        <v>34.5793144783516</v>
      </c>
      <c r="G637" s="6" t="n">
        <f aca="false">Sens!G635+Sens!G636</f>
        <v>60.7344906522989</v>
      </c>
      <c r="H637" s="6" t="n">
        <f aca="false">Sens!H635+Sens!H636</f>
        <v>89.1000906614457</v>
      </c>
      <c r="I637" s="6" t="n">
        <f aca="false">Sens!I635+Sens!I636</f>
        <v>114.231009694548</v>
      </c>
      <c r="J637" s="6" t="n">
        <f aca="false">Sens!J635+Sens!J636</f>
        <v>132.015673049596</v>
      </c>
      <c r="K637" s="6" t="n">
        <f aca="false">Sens!K635+Sens!K636</f>
        <v>143.012669550934</v>
      </c>
    </row>
    <row r="638" customFormat="false" ht="17.15" hidden="false" customHeight="false" outlineLevel="0" collapsed="false">
      <c r="A638" s="0" t="s">
        <v>1006</v>
      </c>
      <c r="B638" s="0" t="s">
        <v>98</v>
      </c>
      <c r="E638" s="6" t="n">
        <f aca="false">Sens!E625-Sens!E624*Sens!E637</f>
        <v>8.92707889977379</v>
      </c>
      <c r="F638" s="6" t="n">
        <f aca="false">Sens!F625-Sens!F624*Sens!F637</f>
        <v>14.3471335960079</v>
      </c>
      <c r="G638" s="6" t="n">
        <f aca="false">Sens!G625-Sens!G624*Sens!G637</f>
        <v>16.5202976798683</v>
      </c>
      <c r="H638" s="6" t="n">
        <f aca="false">Sens!H625-Sens!H624*Sens!H637</f>
        <v>12.9805278875331</v>
      </c>
      <c r="I638" s="6" t="n">
        <f aca="false">Sens!I625-Sens!I624*Sens!I637</f>
        <v>16.2363335770989</v>
      </c>
      <c r="J638" s="6" t="n">
        <f aca="false">Sens!J625-Sens!J624*Sens!J637</f>
        <v>18.4432225839805</v>
      </c>
      <c r="K638" s="6" t="n">
        <f aca="false">Sens!K625-Sens!K624*Sens!K637</f>
        <v>20.1577566819661</v>
      </c>
    </row>
    <row r="639" customFormat="false" ht="17.15" hidden="false" customHeight="false" outlineLevel="0" collapsed="false">
      <c r="A639" s="3" t="s">
        <v>1626</v>
      </c>
    </row>
    <row r="640" customFormat="false" ht="15" hidden="false" customHeight="false" outlineLevel="0" collapsed="false">
      <c r="A640" s="4" t="s">
        <v>43</v>
      </c>
      <c r="B640" s="4" t="s">
        <v>65</v>
      </c>
      <c r="C640" s="23" t="s">
        <v>942</v>
      </c>
      <c r="D640" s="23" t="s">
        <v>943</v>
      </c>
      <c r="E640" s="23" t="s">
        <v>944</v>
      </c>
      <c r="F640" s="23" t="s">
        <v>945</v>
      </c>
      <c r="G640" s="23" t="s">
        <v>946</v>
      </c>
      <c r="H640" s="23" t="s">
        <v>947</v>
      </c>
      <c r="I640" s="23" t="s">
        <v>948</v>
      </c>
      <c r="J640" s="23" t="s">
        <v>949</v>
      </c>
      <c r="K640" s="23" t="s">
        <v>950</v>
      </c>
      <c r="L640" s="4" t="s">
        <v>47</v>
      </c>
    </row>
    <row r="641" customFormat="false" ht="17.15" hidden="false" customHeight="false" outlineLevel="0" collapsed="false">
      <c r="A641" s="0" t="s">
        <v>1025</v>
      </c>
      <c r="B641" s="0" t="s">
        <v>98</v>
      </c>
      <c r="D641" s="6" t="n">
        <f aca="false">Sens!D619</f>
        <v>12.9359794422418</v>
      </c>
      <c r="E641" s="6" t="n">
        <f aca="false">Sens!E619</f>
        <v>27.8095064661409</v>
      </c>
      <c r="F641" s="6" t="n">
        <f aca="false">Sens!F619</f>
        <v>50.9819294352312</v>
      </c>
      <c r="G641" s="6" t="n">
        <f aca="false">Sens!G619</f>
        <v>76.6920436014933</v>
      </c>
      <c r="H641" s="6" t="n">
        <f aca="false">Sens!H619</f>
        <v>97.4495379418341</v>
      </c>
      <c r="I641" s="6" t="n">
        <f aca="false">Sens!I619</f>
        <v>122.083445553868</v>
      </c>
      <c r="J641" s="6" t="n">
        <f aca="false">Sens!J619</f>
        <v>139.249060444804</v>
      </c>
      <c r="K641" s="6" t="n">
        <f aca="false">Sens!K619</f>
        <v>149.995818575589</v>
      </c>
    </row>
    <row r="642" customFormat="false" ht="17.15" hidden="false" customHeight="false" outlineLevel="0" collapsed="false">
      <c r="A642" s="0" t="s">
        <v>1026</v>
      </c>
      <c r="B642" s="0" t="s">
        <v>98</v>
      </c>
      <c r="D642" s="6" t="n">
        <f aca="false">Q!L6-Sens!D641</f>
        <v>59.6740205577583</v>
      </c>
      <c r="E642" s="6" t="n">
        <f aca="false">Q!M6-Sens!E641</f>
        <v>74.1284935338591</v>
      </c>
      <c r="F642" s="6" t="n">
        <f aca="false">Q!$I$6+(Sens!F641+Sens!E642*(1+Sens!F643))*(1-Q!$E$6/Q!M6)-Sens!F641</f>
        <v>92.2699541184664</v>
      </c>
      <c r="G642" s="6" t="n">
        <f aca="false">Sens!F642*(1+Sens!G643)</f>
        <v>109.630477277949</v>
      </c>
      <c r="H642" s="6" t="n">
        <f aca="false">Sens!G642*(1+Sens!H643)</f>
        <v>127.293256321956</v>
      </c>
      <c r="I642" s="6" t="n">
        <f aca="false">Sens!H642*(1+Sens!I643)</f>
        <v>144.360052269491</v>
      </c>
      <c r="J642" s="6" t="n">
        <f aca="false">Sens!I642*(1+Sens!J643)</f>
        <v>159.811964490216</v>
      </c>
      <c r="K642" s="6" t="n">
        <f aca="false">Sens!J642*(1+Sens!K643)</f>
        <v>172.596921649434</v>
      </c>
      <c r="L642" s="12" t="s">
        <v>1027</v>
      </c>
    </row>
    <row r="643" customFormat="false" ht="15" hidden="false" customHeight="false" outlineLevel="0" collapsed="false">
      <c r="A643" s="1" t="s">
        <v>1028</v>
      </c>
      <c r="B643" s="0" t="s">
        <v>168</v>
      </c>
      <c r="E643" s="7" t="n">
        <f aca="false">Sens!E642/Sens!D642-1</f>
        <v>0.242223883039864</v>
      </c>
      <c r="F643" s="7" t="n">
        <f aca="false">Sens!$E$643+(glt_azo-Sens!$E$643)*MIN(1,(Sens!F600-base_fy)/n_conv)</f>
        <v>0.215186569199887</v>
      </c>
      <c r="G643" s="7" t="n">
        <f aca="false">Sens!$E$643+(glt_azo-Sens!$E$643)*MIN(1,(Sens!G600-base_fy)/n_conv)</f>
        <v>0.18814925535991</v>
      </c>
      <c r="H643" s="7" t="n">
        <f aca="false">Sens!$E$643+(glt_azo-Sens!$E$643)*MIN(1,(Sens!H600-base_fy)/n_conv)</f>
        <v>0.161111941519932</v>
      </c>
      <c r="I643" s="7" t="n">
        <f aca="false">Sens!$E$643+(glt_azo-Sens!$E$643)*MIN(1,(Sens!I600-base_fy)/n_conv)</f>
        <v>0.134074627679955</v>
      </c>
      <c r="J643" s="7" t="n">
        <f aca="false">Sens!$E$643+(glt_azo-Sens!$E$643)*MIN(1,(Sens!J600-base_fy)/n_conv)</f>
        <v>0.107037313839977</v>
      </c>
      <c r="K643" s="7" t="n">
        <f aca="false">Sens!$E$643+(glt_azo-Sens!$E$643)*MIN(1,(Sens!K600-base_fy)/n_conv)</f>
        <v>0.08</v>
      </c>
    </row>
    <row r="644" customFormat="false" ht="15" hidden="false" customHeight="false" outlineLevel="0" collapsed="false">
      <c r="A644" s="0" t="s">
        <v>1029</v>
      </c>
      <c r="B644" s="0" t="s">
        <v>98</v>
      </c>
      <c r="D644" s="6" t="n">
        <f aca="false">Sens!D641+Sens!D642</f>
        <v>72.61</v>
      </c>
      <c r="E644" s="6" t="n">
        <f aca="false">Sens!E641+Sens!E642</f>
        <v>101.938</v>
      </c>
      <c r="F644" s="6" t="n">
        <f aca="false">Sens!F641+Sens!F642</f>
        <v>143.251883553698</v>
      </c>
      <c r="G644" s="6" t="n">
        <f aca="false">Sens!G641+Sens!G642</f>
        <v>186.322520879442</v>
      </c>
      <c r="H644" s="6" t="n">
        <f aca="false">Sens!H641+Sens!H642</f>
        <v>224.74279426379</v>
      </c>
      <c r="I644" s="6" t="n">
        <f aca="false">Sens!I641+Sens!I642</f>
        <v>266.443497823359</v>
      </c>
      <c r="J644" s="6" t="n">
        <f aca="false">Sens!J641+Sens!J642</f>
        <v>299.06102493502</v>
      </c>
      <c r="K644" s="6" t="n">
        <f aca="false">Sens!K641+Sens!K642</f>
        <v>322.592740225023</v>
      </c>
    </row>
    <row r="645" customFormat="false" ht="17.15" hidden="false" customHeight="false" outlineLevel="0" collapsed="false">
      <c r="A645" s="0" t="s">
        <v>1030</v>
      </c>
      <c r="B645" s="1" t="s">
        <v>613</v>
      </c>
      <c r="C645" s="30" t="n">
        <f aca="false">cop_s24</f>
        <v>1</v>
      </c>
      <c r="D645" s="30" t="n">
        <f aca="false">cop_s25</f>
        <v>5</v>
      </c>
      <c r="E645" s="30" t="n">
        <f aca="false">cop_s26</f>
        <v>30</v>
      </c>
      <c r="F645" s="30" t="n">
        <f aca="false">Sens!E645+cop_add_C</f>
        <v>40</v>
      </c>
      <c r="G645" s="30" t="n">
        <f aca="false">Sens!F645+cop_add_C</f>
        <v>50</v>
      </c>
      <c r="H645" s="30" t="n">
        <f aca="false">Sens!G645+cop_add_C</f>
        <v>60</v>
      </c>
      <c r="I645" s="30" t="n">
        <f aca="false">Sens!H645+cop_add_C*cop_tail</f>
        <v>65</v>
      </c>
      <c r="J645" s="30" t="n">
        <f aca="false">Sens!I645+cop_add_C*cop_tail</f>
        <v>70</v>
      </c>
      <c r="K645" s="30" t="n">
        <f aca="false">Sens!J645+cop_add_C*cop_tail</f>
        <v>75</v>
      </c>
      <c r="L645" s="12" t="s">
        <v>1031</v>
      </c>
    </row>
    <row r="646" customFormat="false" ht="17.15" hidden="false" customHeight="false" outlineLevel="0" collapsed="false">
      <c r="A646" s="0" t="s">
        <v>1032</v>
      </c>
      <c r="B646" s="0" t="s">
        <v>98</v>
      </c>
      <c r="D646" s="6" t="n">
        <f aca="false">(Sens!C645+Sens!D645)/2*cop_px*12/1000</f>
        <v>0.9</v>
      </c>
      <c r="E646" s="6" t="n">
        <f aca="false">(Sens!D645+Sens!E645)/2*cop_px*12/1000</f>
        <v>5.25</v>
      </c>
      <c r="F646" s="6" t="n">
        <f aca="false">(Sens!E645+Sens!F645)/2*cop_px*12/1000</f>
        <v>10.5</v>
      </c>
      <c r="G646" s="6" t="n">
        <f aca="false">(Sens!F645+Sens!G645)/2*cop_px*12/1000</f>
        <v>13.5</v>
      </c>
      <c r="H646" s="6" t="n">
        <f aca="false">(Sens!G645+Sens!H645)/2*cop_px*12/1000</f>
        <v>16.5</v>
      </c>
      <c r="I646" s="6" t="n">
        <f aca="false">(Sens!H645+Sens!I645)/2*cop_px*12/1000</f>
        <v>18.75</v>
      </c>
      <c r="J646" s="6" t="n">
        <f aca="false">(Sens!I645+Sens!J645)/2*cop_px*12/1000</f>
        <v>20.25</v>
      </c>
      <c r="K646" s="6" t="n">
        <f aca="false">(Sens!J645+Sens!K645)/2*cop_px*12/1000</f>
        <v>21.75</v>
      </c>
      <c r="L646" s="1" t="s">
        <v>1033</v>
      </c>
    </row>
    <row r="647" customFormat="false" ht="17.15" hidden="false" customHeight="false" outlineLevel="0" collapsed="false">
      <c r="A647" s="0" t="s">
        <v>1034</v>
      </c>
      <c r="B647" s="0" t="s">
        <v>98</v>
      </c>
      <c r="D647" s="6" t="n">
        <f aca="false">Q!L7-Sens!D646</f>
        <v>83.705</v>
      </c>
      <c r="E647" s="6" t="n">
        <f aca="false">Q!M7-Sens!E646</f>
        <v>95.049</v>
      </c>
      <c r="F647" s="6" t="n">
        <f aca="false">Q!$I$7+(Sens!E647*(1+Sens!F648)+Sens!F646)*(1-Q!$E$7/Q!M7)-Sens!F646</f>
        <v>106.938354189776</v>
      </c>
      <c r="G647" s="6" t="n">
        <f aca="false">Sens!F647*(1+Sens!G648)</f>
        <v>119.095360443801</v>
      </c>
      <c r="H647" s="6" t="n">
        <f aca="false">Sens!G647*(1+Sens!H648)</f>
        <v>131.333811964563</v>
      </c>
      <c r="I647" s="6" t="n">
        <f aca="false">Sens!H647*(1+Sens!I648)</f>
        <v>143.395665319381</v>
      </c>
      <c r="J647" s="6" t="n">
        <f aca="false">Sens!I647*(1+Sens!J648)</f>
        <v>154.999327755573</v>
      </c>
      <c r="K647" s="6" t="n">
        <f aca="false">Sens!J647*(1+Sens!K648)</f>
        <v>165.849280698463</v>
      </c>
      <c r="L647" s="12" t="s">
        <v>1035</v>
      </c>
    </row>
    <row r="648" customFormat="false" ht="15" hidden="false" customHeight="false" outlineLevel="0" collapsed="false">
      <c r="A648" s="1" t="s">
        <v>1028</v>
      </c>
      <c r="B648" s="0" t="s">
        <v>168</v>
      </c>
      <c r="E648" s="7" t="n">
        <f aca="false">Sens!E647/Sens!D647-1</f>
        <v>0.135523564900544</v>
      </c>
      <c r="F648" s="7" t="n">
        <f aca="false">Sens!$E$648+(glt_m365b-Sens!$E$648)*MIN(1,(Sens!F600-base_fy)/n_conv)</f>
        <v>0.124602970750453</v>
      </c>
      <c r="G648" s="7" t="n">
        <f aca="false">Sens!$E$648+(glt_m365b-Sens!$E$648)*MIN(1,(Sens!G600-base_fy)/n_conv)</f>
        <v>0.113682376600363</v>
      </c>
      <c r="H648" s="7" t="n">
        <f aca="false">Sens!$E$648+(glt_m365b-Sens!$E$648)*MIN(1,(Sens!H600-base_fy)/n_conv)</f>
        <v>0.102761782450272</v>
      </c>
      <c r="I648" s="7" t="n">
        <f aca="false">Sens!$E$648+(glt_m365b-Sens!$E$648)*MIN(1,(Sens!I600-base_fy)/n_conv)</f>
        <v>0.0918411883001813</v>
      </c>
      <c r="J648" s="7" t="n">
        <f aca="false">Sens!$E$648+(glt_m365b-Sens!$E$648)*MIN(1,(Sens!J600-base_fy)/n_conv)</f>
        <v>0.0809205941500906</v>
      </c>
      <c r="K648" s="7" t="n">
        <f aca="false">Sens!$E$648+(glt_m365b-Sens!$E$648)*MIN(1,(Sens!K600-base_fy)/n_conv)</f>
        <v>0.07</v>
      </c>
    </row>
    <row r="649" customFormat="false" ht="15" hidden="false" customHeight="false" outlineLevel="0" collapsed="false">
      <c r="A649" s="0" t="s">
        <v>1036</v>
      </c>
      <c r="B649" s="0" t="s">
        <v>98</v>
      </c>
      <c r="D649" s="6" t="n">
        <f aca="false">Sens!D647+Sens!D646</f>
        <v>84.605</v>
      </c>
      <c r="E649" s="6" t="n">
        <f aca="false">Sens!E647+Sens!E646</f>
        <v>100.299</v>
      </c>
      <c r="F649" s="6" t="n">
        <f aca="false">Sens!F647+Sens!F646</f>
        <v>117.438354189776</v>
      </c>
      <c r="G649" s="6" t="n">
        <f aca="false">Sens!G647+Sens!G646</f>
        <v>132.595360443801</v>
      </c>
      <c r="H649" s="6" t="n">
        <f aca="false">Sens!H647+Sens!H646</f>
        <v>147.833811964563</v>
      </c>
      <c r="I649" s="6" t="n">
        <f aca="false">Sens!I647+Sens!I646</f>
        <v>162.145665319381</v>
      </c>
      <c r="J649" s="6" t="n">
        <f aca="false">Sens!J647+Sens!J646</f>
        <v>175.249327755573</v>
      </c>
      <c r="K649" s="6" t="n">
        <f aca="false">Sens!K647+Sens!K646</f>
        <v>187.599280698463</v>
      </c>
    </row>
    <row r="650" customFormat="false" ht="17.15" hidden="false" customHeight="false" outlineLevel="0" collapsed="false">
      <c r="A650" s="0" t="s">
        <v>1037</v>
      </c>
      <c r="B650" s="0" t="s">
        <v>98</v>
      </c>
      <c r="D650" s="6" t="n">
        <f aca="false">Q!L8</f>
        <v>35.391</v>
      </c>
      <c r="E650" s="6" t="n">
        <f aca="false">Q!M8</f>
        <v>37.285</v>
      </c>
      <c r="F650" s="6" t="n">
        <f aca="false">Q!$I$8+(Q!M8-Q!$E$8)*(1+Sens!F651)</f>
        <v>38.3851437782675</v>
      </c>
      <c r="G650" s="6" t="n">
        <f aca="false">Sens!F650*(1+Sens!G651)</f>
        <v>40.0105353288615</v>
      </c>
      <c r="H650" s="6" t="n">
        <f aca="false">Sens!G650*(1+Sens!H651)</f>
        <v>41.4812512033683</v>
      </c>
      <c r="I650" s="6" t="n">
        <f aca="false">Sens!H650*(1+Sens!I651)</f>
        <v>42.7743107216329</v>
      </c>
      <c r="J650" s="6" t="n">
        <f aca="false">Sens!I650*(1+Sens!J651)</f>
        <v>43.8687373064601</v>
      </c>
      <c r="K650" s="6" t="n">
        <f aca="false">Sens!J650*(1+Sens!K651)</f>
        <v>44.7461120525893</v>
      </c>
      <c r="L650" s="12" t="s">
        <v>1038</v>
      </c>
    </row>
    <row r="651" customFormat="false" ht="15" hidden="false" customHeight="false" outlineLevel="0" collapsed="false">
      <c r="A651" s="1" t="s">
        <v>1028</v>
      </c>
      <c r="B651" s="0" t="s">
        <v>168</v>
      </c>
      <c r="E651" s="7" t="n">
        <f aca="false">Sens!E650/Sens!D650-1</f>
        <v>0.0535164307309768</v>
      </c>
      <c r="F651" s="7" t="n">
        <f aca="false">Sens!$E$651+(glt_lic-Sens!$E$651)*MIN(1,(Sens!F600-base_fy)/n_conv)</f>
        <v>0.0479303589424807</v>
      </c>
      <c r="G651" s="7" t="n">
        <f aca="false">Sens!$E$651+(glt_lic-Sens!$E$651)*MIN(1,(Sens!G600-base_fy)/n_conv)</f>
        <v>0.0423442871539845</v>
      </c>
      <c r="H651" s="7" t="n">
        <f aca="false">Sens!$E$651+(glt_lic-Sens!$E$651)*MIN(1,(Sens!H600-base_fy)/n_conv)</f>
        <v>0.0367582153654884</v>
      </c>
      <c r="I651" s="7" t="n">
        <f aca="false">Sens!$E$651+(glt_lic-Sens!$E$651)*MIN(1,(Sens!I600-base_fy)/n_conv)</f>
        <v>0.0311721435769923</v>
      </c>
      <c r="J651" s="7" t="n">
        <f aca="false">Sens!$E$651+(glt_lic-Sens!$E$651)*MIN(1,(Sens!J600-base_fy)/n_conv)</f>
        <v>0.0255860717884961</v>
      </c>
      <c r="K651" s="7" t="n">
        <f aca="false">Sens!$E$651+(glt_lic-Sens!$E$651)*MIN(1,(Sens!K600-base_fy)/n_conv)</f>
        <v>0.02</v>
      </c>
    </row>
    <row r="652" customFormat="false" ht="17.15" hidden="false" customHeight="false" outlineLevel="0" collapsed="false">
      <c r="A652" s="0" t="s">
        <v>1039</v>
      </c>
      <c r="B652" s="0" t="s">
        <v>98</v>
      </c>
      <c r="D652" s="6" t="n">
        <f aca="false">Q!L9</f>
        <v>18.417</v>
      </c>
      <c r="E652" s="6" t="n">
        <f aca="false">Q!M9</f>
        <v>20.345</v>
      </c>
      <c r="F652" s="6" t="n">
        <f aca="false">Q!$I$9+(Q!M9-Q!$E$9)*(1+Sens!F653)</f>
        <v>22.3161797133988</v>
      </c>
      <c r="G652" s="6" t="n">
        <f aca="false">Sens!F652*(1+Sens!G653)</f>
        <v>24.3943499673233</v>
      </c>
      <c r="H652" s="6" t="n">
        <f aca="false">Sens!G652*(1+Sens!H653)</f>
        <v>26.5250243109019</v>
      </c>
      <c r="I652" s="6" t="n">
        <f aca="false">Sens!H652*(1+Sens!I653)</f>
        <v>28.6884573538181</v>
      </c>
      <c r="J652" s="6" t="n">
        <f aca="false">Sens!I652*(1+Sens!J653)</f>
        <v>30.8624968052127</v>
      </c>
      <c r="K652" s="6" t="n">
        <f aca="false">Sens!J652*(1+Sens!K653)</f>
        <v>33.0228715815776</v>
      </c>
      <c r="L652" s="12" t="s">
        <v>1038</v>
      </c>
    </row>
    <row r="653" customFormat="false" ht="15" hidden="false" customHeight="false" outlineLevel="0" collapsed="false">
      <c r="A653" s="1" t="s">
        <v>1028</v>
      </c>
      <c r="B653" s="0" t="s">
        <v>168</v>
      </c>
      <c r="E653" s="7" t="n">
        <f aca="false">Sens!E652/Sens!D652-1</f>
        <v>0.104685888038225</v>
      </c>
      <c r="F653" s="7" t="n">
        <f aca="false">Sens!$E$653+(glt_ind-Sens!$E$653)*MIN(1,(Sens!F600-base_fy)/n_conv)</f>
        <v>0.0989049066985211</v>
      </c>
      <c r="G653" s="7" t="n">
        <f aca="false">Sens!$E$653+(glt_ind-Sens!$E$653)*MIN(1,(Sens!G600-base_fy)/n_conv)</f>
        <v>0.0931239253588169</v>
      </c>
      <c r="H653" s="7" t="n">
        <f aca="false">Sens!$E$653+(glt_ind-Sens!$E$653)*MIN(1,(Sens!H600-base_fy)/n_conv)</f>
        <v>0.0873429440191127</v>
      </c>
      <c r="I653" s="7" t="n">
        <f aca="false">Sens!$E$653+(glt_ind-Sens!$E$653)*MIN(1,(Sens!I600-base_fy)/n_conv)</f>
        <v>0.0815619626794085</v>
      </c>
      <c r="J653" s="7" t="n">
        <f aca="false">Sens!$E$653+(glt_ind-Sens!$E$653)*MIN(1,(Sens!J600-base_fy)/n_conv)</f>
        <v>0.0757809813397042</v>
      </c>
      <c r="K653" s="7" t="n">
        <f aca="false">Sens!$E$653+(glt_ind-Sens!$E$653)*MIN(1,(Sens!K600-base_fy)/n_conv)</f>
        <v>0.07</v>
      </c>
    </row>
    <row r="654" customFormat="false" ht="17.15" hidden="false" customHeight="false" outlineLevel="0" collapsed="false">
      <c r="A654" s="0" t="s">
        <v>1040</v>
      </c>
      <c r="B654" s="0" t="s">
        <v>98</v>
      </c>
      <c r="D654" s="6" t="n">
        <f aca="false">Q!L10</f>
        <v>7.76</v>
      </c>
      <c r="E654" s="6" t="n">
        <f aca="false">Q!M10</f>
        <v>8.26</v>
      </c>
      <c r="F654" s="6" t="n">
        <f aca="false">Q!$I$10+(Q!M10-Q!$E$10)*(1+Sens!F655)</f>
        <v>8.75372082474227</v>
      </c>
      <c r="G654" s="6" t="n">
        <f aca="false">Sens!F654*(1+Sens!G655)</f>
        <v>9.33399324642364</v>
      </c>
      <c r="H654" s="6" t="n">
        <f aca="false">Sens!G654*(1+Sens!H655)</f>
        <v>9.96139155535851</v>
      </c>
      <c r="I654" s="6" t="n">
        <f aca="false">Sens!H654*(1+Sens!I655)</f>
        <v>10.6402039077391</v>
      </c>
      <c r="J654" s="6" t="n">
        <f aca="false">Sens!I654*(1+Sens!J655)</f>
        <v>11.3751458271397</v>
      </c>
      <c r="K654" s="6" t="n">
        <f aca="false">Sens!J654*(1+Sens!K655)</f>
        <v>12.1714060350394</v>
      </c>
      <c r="L654" s="12" t="s">
        <v>1038</v>
      </c>
    </row>
    <row r="655" customFormat="false" ht="15" hidden="false" customHeight="false" outlineLevel="0" collapsed="false">
      <c r="A655" s="1" t="s">
        <v>1028</v>
      </c>
      <c r="B655" s="0" t="s">
        <v>168</v>
      </c>
      <c r="E655" s="7" t="n">
        <f aca="false">Sens!E654/Sens!D654-1</f>
        <v>0.0644329896907216</v>
      </c>
      <c r="F655" s="7" t="n">
        <f aca="false">Sens!$E$655+(glt_fro-Sens!$E$655)*MIN(1,(Sens!F600-base_fy)/n_conv)</f>
        <v>0.065360824742268</v>
      </c>
      <c r="G655" s="7" t="n">
        <f aca="false">Sens!$E$655+(glt_fro-Sens!$E$655)*MIN(1,(Sens!G600-base_fy)/n_conv)</f>
        <v>0.0662886597938144</v>
      </c>
      <c r="H655" s="7" t="n">
        <f aca="false">Sens!$E$655+(glt_fro-Sens!$E$655)*MIN(1,(Sens!H600-base_fy)/n_conv)</f>
        <v>0.0672164948453608</v>
      </c>
      <c r="I655" s="7" t="n">
        <f aca="false">Sens!$E$655+(glt_fro-Sens!$E$655)*MIN(1,(Sens!I600-base_fy)/n_conv)</f>
        <v>0.0681443298969072</v>
      </c>
      <c r="J655" s="7" t="n">
        <f aca="false">Sens!$E$655+(glt_fro-Sens!$E$655)*MIN(1,(Sens!J600-base_fy)/n_conv)</f>
        <v>0.0690721649484536</v>
      </c>
      <c r="K655" s="7" t="n">
        <f aca="false">Sens!$E$655+(glt_fro-Sens!$E$655)*MIN(1,(Sens!K600-base_fy)/n_conv)</f>
        <v>0.07</v>
      </c>
    </row>
    <row r="656" customFormat="false" ht="15" hidden="false" customHeight="false" outlineLevel="0" collapsed="false">
      <c r="A656" s="0" t="s">
        <v>856</v>
      </c>
      <c r="B656" s="0" t="s">
        <v>98</v>
      </c>
      <c r="D656" s="6" t="n">
        <f aca="false">Sens!D644+Sens!D649+Sens!D650+Sens!D652+Sens!D654</f>
        <v>218.783</v>
      </c>
      <c r="E656" s="6" t="n">
        <f aca="false">Sens!E644+Sens!E649+Sens!E650+Sens!E652+Sens!E654</f>
        <v>268.127</v>
      </c>
      <c r="F656" s="6" t="n">
        <f aca="false">Sens!F644+Sens!F649+Sens!F650+Sens!F652+Sens!F654</f>
        <v>330.145282059882</v>
      </c>
      <c r="G656" s="6" t="n">
        <f aca="false">Sens!G644+Sens!G649+Sens!G650+Sens!G652+Sens!G654</f>
        <v>392.656759865851</v>
      </c>
      <c r="H656" s="6" t="n">
        <f aca="false">Sens!H644+Sens!H649+Sens!H650+Sens!H652+Sens!H654</f>
        <v>450.544273297982</v>
      </c>
      <c r="I656" s="6" t="n">
        <f aca="false">Sens!I644+Sens!I649+Sens!I650+Sens!I652+Sens!I654</f>
        <v>510.69213512593</v>
      </c>
      <c r="J656" s="6" t="n">
        <f aca="false">Sens!J644+Sens!J649+Sens!J650+Sens!J652+Sens!J654</f>
        <v>560.416732629406</v>
      </c>
      <c r="K656" s="6" t="n">
        <f aca="false">Sens!K644+Sens!K649+Sens!K650+Sens!K652+Sens!K654</f>
        <v>600.132410592692</v>
      </c>
    </row>
    <row r="657" customFormat="false" ht="17.15" hidden="false" customHeight="false" outlineLevel="0" collapsed="false">
      <c r="A657" s="0" t="s">
        <v>1041</v>
      </c>
      <c r="B657" s="0" t="s">
        <v>98</v>
      </c>
      <c r="D657" s="6" t="n">
        <f aca="false">Q!L13</f>
        <v>22.171</v>
      </c>
      <c r="E657" s="6" t="n">
        <f aca="false">Q!M13</f>
        <v>24.835</v>
      </c>
      <c r="F657" s="6" t="n">
        <f aca="false">Q!$I$13+(Q!M13-Q!$E$13)*(1+Sens!F658)</f>
        <v>27.5591895660247</v>
      </c>
      <c r="G657" s="6" t="n">
        <f aca="false">Sens!F657*(1+Sens!G658)</f>
        <v>30.4098563144583</v>
      </c>
      <c r="H657" s="6" t="n">
        <f aca="false">Sens!G657*(1+Sens!H658)</f>
        <v>33.3011792571777</v>
      </c>
      <c r="I657" s="6" t="n">
        <f aca="false">Sens!H657*(1+Sens!I658)</f>
        <v>36.189023797112</v>
      </c>
      <c r="J657" s="6" t="n">
        <f aca="false">Sens!I657*(1+Sens!J658)</f>
        <v>39.0247773769199</v>
      </c>
      <c r="K657" s="6" t="n">
        <f aca="false">Sens!J657*(1+Sens!K658)</f>
        <v>41.7565117933043</v>
      </c>
      <c r="L657" s="12" t="s">
        <v>1038</v>
      </c>
    </row>
    <row r="658" customFormat="false" ht="15" hidden="false" customHeight="false" outlineLevel="0" collapsed="false">
      <c r="A658" s="1" t="s">
        <v>1028</v>
      </c>
      <c r="B658" s="0" t="s">
        <v>168</v>
      </c>
      <c r="E658" s="7" t="n">
        <f aca="false">Sens!E657/Sens!D657-1</f>
        <v>0.120156961796942</v>
      </c>
      <c r="F658" s="7" t="n">
        <f aca="false">Sens!$E$658+(glt_srch-Sens!$E$658)*MIN(1,(Sens!F600-base_fy)/n_conv)</f>
        <v>0.111797468164118</v>
      </c>
      <c r="G658" s="7" t="n">
        <f aca="false">Sens!$E$658+(glt_srch-Sens!$E$658)*MIN(1,(Sens!G600-base_fy)/n_conv)</f>
        <v>0.103437974531295</v>
      </c>
      <c r="H658" s="7" t="n">
        <f aca="false">Sens!$E$658+(glt_srch-Sens!$E$658)*MIN(1,(Sens!H600-base_fy)/n_conv)</f>
        <v>0.095078480898471</v>
      </c>
      <c r="I658" s="7" t="n">
        <f aca="false">Sens!$E$658+(glt_srch-Sens!$E$658)*MIN(1,(Sens!I600-base_fy)/n_conv)</f>
        <v>0.0867189872656474</v>
      </c>
      <c r="J658" s="7" t="n">
        <f aca="false">Sens!$E$658+(glt_srch-Sens!$E$658)*MIN(1,(Sens!J600-base_fy)/n_conv)</f>
        <v>0.0783594936328237</v>
      </c>
      <c r="K658" s="7" t="n">
        <f aca="false">Sens!$E$658+(glt_srch-Sens!$E$658)*MIN(1,(Sens!K600-base_fy)/n_conv)</f>
        <v>0.07</v>
      </c>
    </row>
    <row r="659" customFormat="false" ht="17.15" hidden="false" customHeight="false" outlineLevel="0" collapsed="false">
      <c r="A659" s="0" t="s">
        <v>1042</v>
      </c>
      <c r="B659" s="0" t="s">
        <v>98</v>
      </c>
      <c r="D659" s="6" t="n">
        <f aca="false">Q!L14</f>
        <v>23.455</v>
      </c>
      <c r="E659" s="6" t="n">
        <f aca="false">Q!M14</f>
        <v>21.79</v>
      </c>
      <c r="F659" s="6" t="n">
        <f aca="false">Q!$I$14+(Q!M14-Q!$E$14)*(1+Sens!F660)</f>
        <v>20.7520981041711</v>
      </c>
      <c r="G659" s="6" t="n">
        <f aca="false">Sens!F659*(1+Sens!G660)</f>
        <v>19.9083593495882</v>
      </c>
      <c r="H659" s="6" t="n">
        <f aca="false">Sens!G659*(1+Sens!H660)</f>
        <v>19.4008256265831</v>
      </c>
      <c r="I659" s="6" t="n">
        <f aca="false">Sens!H659*(1+Sens!I660)</f>
        <v>19.200434522122</v>
      </c>
      <c r="J659" s="6" t="n">
        <f aca="false">Sens!I659*(1+Sens!J660)</f>
        <v>19.2932782348507</v>
      </c>
      <c r="K659" s="6" t="n">
        <f aca="false">Sens!J659*(1+Sens!K660)</f>
        <v>19.6791437995477</v>
      </c>
      <c r="L659" s="12" t="s">
        <v>1038</v>
      </c>
    </row>
    <row r="660" customFormat="false" ht="15" hidden="false" customHeight="false" outlineLevel="0" collapsed="false">
      <c r="A660" s="1" t="s">
        <v>1028</v>
      </c>
      <c r="B660" s="0" t="s">
        <v>168</v>
      </c>
      <c r="E660" s="7" t="n">
        <f aca="false">Sens!E659/Sens!D659-1</f>
        <v>-0.0709869963760392</v>
      </c>
      <c r="F660" s="7" t="n">
        <f aca="false">Sens!$E$660+(glt_xbox-Sens!$E$660)*MIN(1,(Sens!F600-base_fy)/n_conv)</f>
        <v>-0.0558224969800327</v>
      </c>
      <c r="G660" s="7" t="n">
        <f aca="false">Sens!$E$660+(glt_xbox-Sens!$E$660)*MIN(1,(Sens!G600-base_fy)/n_conv)</f>
        <v>-0.0406579975840262</v>
      </c>
      <c r="H660" s="7" t="n">
        <f aca="false">Sens!$E$660+(glt_xbox-Sens!$E$660)*MIN(1,(Sens!H600-base_fy)/n_conv)</f>
        <v>-0.0254934981880196</v>
      </c>
      <c r="I660" s="7" t="n">
        <f aca="false">Sens!$E$660+(glt_xbox-Sens!$E$660)*MIN(1,(Sens!I600-base_fy)/n_conv)</f>
        <v>-0.0103289987920131</v>
      </c>
      <c r="J660" s="7" t="n">
        <f aca="false">Sens!$E$660+(glt_xbox-Sens!$E$660)*MIN(1,(Sens!J600-base_fy)/n_conv)</f>
        <v>0.00483550060399347</v>
      </c>
      <c r="K660" s="7" t="n">
        <f aca="false">Sens!$E$660+(glt_xbox-Sens!$E$660)*MIN(1,(Sens!K600-base_fy)/n_conv)</f>
        <v>0.02</v>
      </c>
    </row>
    <row r="661" customFormat="false" ht="17.15" hidden="false" customHeight="false" outlineLevel="0" collapsed="false">
      <c r="A661" s="0" t="s">
        <v>1043</v>
      </c>
      <c r="B661" s="0" t="s">
        <v>98</v>
      </c>
      <c r="D661" s="6" t="n">
        <f aca="false">Q!L15</f>
        <v>17.315</v>
      </c>
      <c r="E661" s="6" t="n">
        <f aca="false">Q!M15</f>
        <v>17.087</v>
      </c>
      <c r="F661" s="6" t="n">
        <f aca="false">Q!$I$15+(Q!M15-Q!$E$15)*(1+Sens!F662)</f>
        <v>15.9912273250553</v>
      </c>
      <c r="G661" s="6" t="n">
        <f aca="false">Sens!F661*(1+Sens!G662)</f>
        <v>15.9574562664827</v>
      </c>
      <c r="H661" s="6" t="n">
        <f aca="false">Sens!G661*(1+Sens!H662)</f>
        <v>16.0119687434196</v>
      </c>
      <c r="I661" s="6" t="n">
        <f aca="false">Sens!H661*(1+Sens!I662)</f>
        <v>16.1551810001948</v>
      </c>
      <c r="J661" s="6" t="n">
        <f aca="false">Sens!I661*(1+Sens!J662)</f>
        <v>16.3889793892005</v>
      </c>
      <c r="K661" s="6" t="n">
        <f aca="false">Sens!J661*(1+Sens!K662)</f>
        <v>16.7167589769845</v>
      </c>
      <c r="L661" s="12" t="s">
        <v>1038</v>
      </c>
    </row>
    <row r="662" customFormat="false" ht="15" hidden="false" customHeight="false" outlineLevel="0" collapsed="false">
      <c r="A662" s="1" t="s">
        <v>1028</v>
      </c>
      <c r="B662" s="0" t="s">
        <v>168</v>
      </c>
      <c r="E662" s="7" t="n">
        <f aca="false">Sens!E661/Sens!D661-1</f>
        <v>-0.0131677736066995</v>
      </c>
      <c r="F662" s="7" t="n">
        <f aca="false">Sens!$E$662+(glt_win-Sens!$E$662)*MIN(1,(Sens!F600-base_fy)/n_conv)</f>
        <v>-0.00763981133891627</v>
      </c>
      <c r="G662" s="7" t="n">
        <f aca="false">Sens!$E$662+(glt_win-Sens!$E$662)*MIN(1,(Sens!G600-base_fy)/n_conv)</f>
        <v>-0.00211184907113301</v>
      </c>
      <c r="H662" s="7" t="n">
        <f aca="false">Sens!$E$662+(glt_win-Sens!$E$662)*MIN(1,(Sens!H600-base_fy)/n_conv)</f>
        <v>0.00341611319665024</v>
      </c>
      <c r="I662" s="7" t="n">
        <f aca="false">Sens!$E$662+(glt_win-Sens!$E$662)*MIN(1,(Sens!I600-base_fy)/n_conv)</f>
        <v>0.00894407546443349</v>
      </c>
      <c r="J662" s="7" t="n">
        <f aca="false">Sens!$E$662+(glt_win-Sens!$E$662)*MIN(1,(Sens!J600-base_fy)/n_conv)</f>
        <v>0.0144720377322168</v>
      </c>
      <c r="K662" s="7" t="n">
        <f aca="false">Sens!$E$662+(glt_win-Sens!$E$662)*MIN(1,(Sens!K600-base_fy)/n_conv)</f>
        <v>0.02</v>
      </c>
    </row>
    <row r="663" customFormat="false" ht="15" hidden="false" customHeight="false" outlineLevel="0" collapsed="false">
      <c r="A663" s="0" t="s">
        <v>870</v>
      </c>
      <c r="B663" s="0" t="s">
        <v>98</v>
      </c>
      <c r="D663" s="6" t="n">
        <f aca="false">Sens!D657+Sens!D659+Sens!D661</f>
        <v>62.941</v>
      </c>
      <c r="E663" s="6" t="n">
        <f aca="false">Sens!E657+Sens!E659+Sens!E661</f>
        <v>63.712</v>
      </c>
      <c r="F663" s="6" t="n">
        <f aca="false">Sens!F657+Sens!F659+Sens!F661</f>
        <v>64.3025149952511</v>
      </c>
      <c r="G663" s="6" t="n">
        <f aca="false">Sens!G657+Sens!G659+Sens!G661</f>
        <v>66.2756719305292</v>
      </c>
      <c r="H663" s="6" t="n">
        <f aca="false">Sens!H657+Sens!H659+Sens!H661</f>
        <v>68.7139736271804</v>
      </c>
      <c r="I663" s="6" t="n">
        <f aca="false">Sens!I657+Sens!I659+Sens!I661</f>
        <v>71.5446393194289</v>
      </c>
      <c r="J663" s="6" t="n">
        <f aca="false">Sens!J657+Sens!J659+Sens!J661</f>
        <v>74.707035000971</v>
      </c>
      <c r="K663" s="6" t="n">
        <f aca="false">Sens!K657+Sens!K659+Sens!K661</f>
        <v>78.1524145698365</v>
      </c>
    </row>
    <row r="664" customFormat="false" ht="15" hidden="false" customHeight="false" outlineLevel="0" collapsed="false">
      <c r="A664" s="1" t="s">
        <v>1044</v>
      </c>
      <c r="B664" s="0" t="s">
        <v>98</v>
      </c>
      <c r="D664" s="6" t="n">
        <f aca="false">Sens!D656+Sens!D663</f>
        <v>281.724</v>
      </c>
      <c r="E664" s="6" t="n">
        <f aca="false">Sens!E656+Sens!E663</f>
        <v>331.839</v>
      </c>
      <c r="F664" s="6" t="n">
        <f aca="false">Sens!F656+Sens!F663</f>
        <v>394.447797055133</v>
      </c>
      <c r="G664" s="6" t="n">
        <f aca="false">Sens!G656+Sens!G663</f>
        <v>458.93243179638</v>
      </c>
      <c r="H664" s="6" t="n">
        <f aca="false">Sens!H656+Sens!H663</f>
        <v>519.258246925162</v>
      </c>
      <c r="I664" s="6" t="n">
        <f aca="false">Sens!I656+Sens!I663</f>
        <v>582.236774445359</v>
      </c>
      <c r="J664" s="6" t="n">
        <f aca="false">Sens!J656+Sens!J663</f>
        <v>635.123767630377</v>
      </c>
      <c r="K664" s="6" t="n">
        <f aca="false">Sens!K656+Sens!K663</f>
        <v>678.284825162529</v>
      </c>
    </row>
    <row r="665" customFormat="false" ht="15" hidden="false" customHeight="false" outlineLevel="0" collapsed="false">
      <c r="A665" s="26" t="s">
        <v>1045</v>
      </c>
      <c r="B665" s="31" t="s">
        <v>98</v>
      </c>
      <c r="C665" s="31"/>
      <c r="D665" s="27" t="n">
        <f aca="false">(Sens!D644+Sens!D649+Sens!D650+Sens!D652+Sens!D654-Sens!D656)+(Sens!D657+Sens!D659+Sens!D661-Sens!D663)+(Sens!D656-Q!L5)+(Sens!D663-Q!L12)+(Sens!D644-Q!L6)+(Sens!D649-Q!L7)</f>
        <v>0</v>
      </c>
      <c r="E665" s="27" t="n">
        <f aca="false">(Sens!E644+Sens!E649+Sens!E650+Sens!E652+Sens!E654-Sens!E656)+(Sens!E657+Sens!E659+Sens!E661-Sens!E663)+(Sens!E656-Q!M5)+(Sens!E663-Q!M12)+(Sens!E644-Q!M6)+(Sens!E649-Q!M7)</f>
        <v>0</v>
      </c>
      <c r="F665" s="27" t="n">
        <f aca="false">(Sens!F644+Sens!F649+Sens!F650+Sens!F652+Sens!F654-Sens!F656)+(Sens!F657+Sens!F659+Sens!F661-Sens!F663)</f>
        <v>0</v>
      </c>
      <c r="G665" s="27" t="n">
        <f aca="false">(Sens!G644+Sens!G649+Sens!G650+Sens!G652+Sens!G654-Sens!G656)+(Sens!G657+Sens!G659+Sens!G661-Sens!G663)</f>
        <v>0</v>
      </c>
      <c r="H665" s="27" t="n">
        <f aca="false">(Sens!H644+Sens!H649+Sens!H650+Sens!H652+Sens!H654-Sens!H656)+(Sens!H657+Sens!H659+Sens!H661-Sens!H663)</f>
        <v>0</v>
      </c>
      <c r="I665" s="27" t="n">
        <f aca="false">(Sens!I644+Sens!I649+Sens!I650+Sens!I652+Sens!I654-Sens!I656)+(Sens!I657+Sens!I659+Sens!I661-Sens!I663)</f>
        <v>0</v>
      </c>
      <c r="J665" s="27" t="n">
        <f aca="false">(Sens!J644+Sens!J649+Sens!J650+Sens!J652+Sens!J654-Sens!J656)+(Sens!J657+Sens!J659+Sens!J661-Sens!J663)</f>
        <v>0</v>
      </c>
      <c r="K665" s="27" t="n">
        <f aca="false">(Sens!K644+Sens!K649+Sens!K650+Sens!K652+Sens!K654-Sens!K656)+(Sens!K657+Sens!K659+Sens!K661-Sens!K663)</f>
        <v>0</v>
      </c>
    </row>
    <row r="666" customFormat="false" ht="17.15" hidden="false" customHeight="false" outlineLevel="0" collapsed="false">
      <c r="A666" s="3" t="s">
        <v>1627</v>
      </c>
    </row>
    <row r="667" customFormat="false" ht="15" hidden="false" customHeight="false" outlineLevel="0" collapsed="false">
      <c r="A667" s="4" t="s">
        <v>43</v>
      </c>
      <c r="B667" s="4" t="s">
        <v>65</v>
      </c>
      <c r="C667" s="23" t="s">
        <v>942</v>
      </c>
      <c r="D667" s="23" t="s">
        <v>943</v>
      </c>
      <c r="E667" s="23" t="s">
        <v>944</v>
      </c>
      <c r="F667" s="23" t="s">
        <v>945</v>
      </c>
      <c r="G667" s="23" t="s">
        <v>946</v>
      </c>
      <c r="H667" s="23" t="s">
        <v>947</v>
      </c>
      <c r="I667" s="23" t="s">
        <v>948</v>
      </c>
      <c r="J667" s="23" t="s">
        <v>949</v>
      </c>
      <c r="K667" s="23" t="s">
        <v>950</v>
      </c>
      <c r="L667" s="4" t="s">
        <v>47</v>
      </c>
    </row>
    <row r="668" customFormat="false" ht="15" hidden="false" customHeight="false" outlineLevel="0" collapsed="false">
      <c r="A668" s="0" t="s">
        <v>1029</v>
      </c>
      <c r="B668" s="0" t="s">
        <v>98</v>
      </c>
      <c r="D668" s="6" t="n">
        <f aca="false">Sens!D644</f>
        <v>72.61</v>
      </c>
      <c r="E668" s="6" t="n">
        <f aca="false">Sens!E644</f>
        <v>101.938</v>
      </c>
      <c r="F668" s="6" t="n">
        <f aca="false">Sens!F644</f>
        <v>143.251883553698</v>
      </c>
      <c r="G668" s="6" t="n">
        <f aca="false">Sens!G644</f>
        <v>186.322520879442</v>
      </c>
      <c r="H668" s="6" t="n">
        <f aca="false">Sens!H644</f>
        <v>224.74279426379</v>
      </c>
      <c r="I668" s="6" t="n">
        <f aca="false">Sens!I644</f>
        <v>266.443497823359</v>
      </c>
      <c r="J668" s="6" t="n">
        <f aca="false">Sens!J644</f>
        <v>299.06102493502</v>
      </c>
      <c r="K668" s="6" t="n">
        <f aca="false">Sens!K644</f>
        <v>322.592740225023</v>
      </c>
    </row>
    <row r="669" customFormat="false" ht="17.15" hidden="false" customHeight="false" outlineLevel="0" collapsed="false">
      <c r="A669" s="0" t="s">
        <v>1025</v>
      </c>
      <c r="B669" s="0" t="s">
        <v>98</v>
      </c>
      <c r="D669" s="6" t="n">
        <f aca="false">Sens!D641</f>
        <v>12.9359794422418</v>
      </c>
      <c r="E669" s="6" t="n">
        <f aca="false">Sens!E641</f>
        <v>27.8095064661409</v>
      </c>
      <c r="F669" s="6" t="n">
        <f aca="false">Sens!F641</f>
        <v>50.9819294352312</v>
      </c>
      <c r="G669" s="6" t="n">
        <f aca="false">Sens!G641</f>
        <v>76.6920436014933</v>
      </c>
      <c r="H669" s="6" t="n">
        <f aca="false">Sens!H641</f>
        <v>97.4495379418341</v>
      </c>
      <c r="I669" s="6" t="n">
        <f aca="false">Sens!I641</f>
        <v>122.083445553868</v>
      </c>
      <c r="J669" s="6" t="n">
        <f aca="false">Sens!J641</f>
        <v>139.249060444804</v>
      </c>
      <c r="K669" s="6" t="n">
        <f aca="false">Sens!K641</f>
        <v>149.995818575589</v>
      </c>
    </row>
    <row r="670" customFormat="false" ht="17.15" hidden="false" customHeight="false" outlineLevel="0" collapsed="false">
      <c r="A670" s="0" t="s">
        <v>1056</v>
      </c>
      <c r="B670" s="0" t="s">
        <v>98</v>
      </c>
      <c r="D670" s="6" t="n">
        <f aca="false">Sens!D642</f>
        <v>59.6740205577583</v>
      </c>
      <c r="E670" s="6" t="n">
        <f aca="false">Sens!E642</f>
        <v>74.1284935338591</v>
      </c>
      <c r="F670" s="6" t="n">
        <f aca="false">Sens!F642</f>
        <v>92.2699541184664</v>
      </c>
      <c r="G670" s="6" t="n">
        <f aca="false">Sens!G642</f>
        <v>109.630477277949</v>
      </c>
      <c r="H670" s="6" t="n">
        <f aca="false">Sens!H642</f>
        <v>127.293256321956</v>
      </c>
      <c r="I670" s="6" t="n">
        <f aca="false">Sens!I642</f>
        <v>144.360052269491</v>
      </c>
      <c r="J670" s="6" t="n">
        <f aca="false">Sens!J642</f>
        <v>159.811964490216</v>
      </c>
      <c r="K670" s="6" t="n">
        <f aca="false">Sens!K642</f>
        <v>172.596921649434</v>
      </c>
    </row>
    <row r="671" customFormat="false" ht="15" hidden="false" customHeight="false" outlineLevel="0" collapsed="false">
      <c r="A671" s="0" t="s">
        <v>1036</v>
      </c>
      <c r="B671" s="0" t="s">
        <v>98</v>
      </c>
      <c r="D671" s="6" t="n">
        <f aca="false">Sens!D649</f>
        <v>84.605</v>
      </c>
      <c r="E671" s="6" t="n">
        <f aca="false">Sens!E649</f>
        <v>100.299</v>
      </c>
      <c r="F671" s="6" t="n">
        <f aca="false">Sens!F649</f>
        <v>117.438354189776</v>
      </c>
      <c r="G671" s="6" t="n">
        <f aca="false">Sens!G649</f>
        <v>132.595360443801</v>
      </c>
      <c r="H671" s="6" t="n">
        <f aca="false">Sens!H649</f>
        <v>147.833811964563</v>
      </c>
      <c r="I671" s="6" t="n">
        <f aca="false">Sens!I649</f>
        <v>162.145665319381</v>
      </c>
      <c r="J671" s="6" t="n">
        <f aca="false">Sens!J649</f>
        <v>175.249327755573</v>
      </c>
      <c r="K671" s="6" t="n">
        <f aca="false">Sens!K649</f>
        <v>187.599280698463</v>
      </c>
    </row>
    <row r="672" customFormat="false" ht="17.15" hidden="false" customHeight="false" outlineLevel="0" collapsed="false">
      <c r="A672" s="0" t="s">
        <v>1057</v>
      </c>
      <c r="B672" s="0" t="s">
        <v>98</v>
      </c>
      <c r="D672" s="6" t="n">
        <f aca="false">Sens!D647</f>
        <v>83.705</v>
      </c>
      <c r="E672" s="6" t="n">
        <f aca="false">Sens!E647</f>
        <v>95.049</v>
      </c>
      <c r="F672" s="6" t="n">
        <f aca="false">Sens!F647</f>
        <v>106.938354189776</v>
      </c>
      <c r="G672" s="6" t="n">
        <f aca="false">Sens!G647</f>
        <v>119.095360443801</v>
      </c>
      <c r="H672" s="6" t="n">
        <f aca="false">Sens!H647</f>
        <v>131.333811964563</v>
      </c>
      <c r="I672" s="6" t="n">
        <f aca="false">Sens!I647</f>
        <v>143.395665319381</v>
      </c>
      <c r="J672" s="6" t="n">
        <f aca="false">Sens!J647</f>
        <v>154.999327755573</v>
      </c>
      <c r="K672" s="6" t="n">
        <f aca="false">Sens!K647</f>
        <v>165.849280698463</v>
      </c>
    </row>
    <row r="673" customFormat="false" ht="17.15" hidden="false" customHeight="false" outlineLevel="0" collapsed="false">
      <c r="A673" s="0" t="s">
        <v>1058</v>
      </c>
      <c r="B673" s="0" t="s">
        <v>98</v>
      </c>
      <c r="D673" s="6" t="n">
        <f aca="false">Sens!D646</f>
        <v>0.9</v>
      </c>
      <c r="E673" s="6" t="n">
        <f aca="false">Sens!E646</f>
        <v>5.25</v>
      </c>
      <c r="F673" s="6" t="n">
        <f aca="false">Sens!F646</f>
        <v>10.5</v>
      </c>
      <c r="G673" s="6" t="n">
        <f aca="false">Sens!G646</f>
        <v>13.5</v>
      </c>
      <c r="H673" s="6" t="n">
        <f aca="false">Sens!H646</f>
        <v>16.5</v>
      </c>
      <c r="I673" s="6" t="n">
        <f aca="false">Sens!I646</f>
        <v>18.75</v>
      </c>
      <c r="J673" s="6" t="n">
        <f aca="false">Sens!J646</f>
        <v>20.25</v>
      </c>
      <c r="K673" s="6" t="n">
        <f aca="false">Sens!K646</f>
        <v>21.75</v>
      </c>
    </row>
    <row r="674" customFormat="false" ht="15" hidden="false" customHeight="false" outlineLevel="0" collapsed="false">
      <c r="A674" s="0" t="s">
        <v>1037</v>
      </c>
      <c r="B674" s="0" t="s">
        <v>98</v>
      </c>
      <c r="D674" s="6" t="n">
        <f aca="false">Sens!D650</f>
        <v>35.391</v>
      </c>
      <c r="E674" s="6" t="n">
        <f aca="false">Sens!E650</f>
        <v>37.285</v>
      </c>
      <c r="F674" s="6" t="n">
        <f aca="false">Sens!F650</f>
        <v>38.3851437782675</v>
      </c>
      <c r="G674" s="6" t="n">
        <f aca="false">Sens!G650</f>
        <v>40.0105353288615</v>
      </c>
      <c r="H674" s="6" t="n">
        <f aca="false">Sens!H650</f>
        <v>41.4812512033683</v>
      </c>
      <c r="I674" s="6" t="n">
        <f aca="false">Sens!I650</f>
        <v>42.7743107216329</v>
      </c>
      <c r="J674" s="6" t="n">
        <f aca="false">Sens!J650</f>
        <v>43.8687373064601</v>
      </c>
      <c r="K674" s="6" t="n">
        <f aca="false">Sens!K650</f>
        <v>44.7461120525893</v>
      </c>
    </row>
    <row r="675" customFormat="false" ht="15" hidden="false" customHeight="false" outlineLevel="0" collapsed="false">
      <c r="A675" s="0" t="s">
        <v>1039</v>
      </c>
      <c r="B675" s="0" t="s">
        <v>98</v>
      </c>
      <c r="D675" s="6" t="n">
        <f aca="false">Sens!D652</f>
        <v>18.417</v>
      </c>
      <c r="E675" s="6" t="n">
        <f aca="false">Sens!E652</f>
        <v>20.345</v>
      </c>
      <c r="F675" s="6" t="n">
        <f aca="false">Sens!F652</f>
        <v>22.3161797133988</v>
      </c>
      <c r="G675" s="6" t="n">
        <f aca="false">Sens!G652</f>
        <v>24.3943499673233</v>
      </c>
      <c r="H675" s="6" t="n">
        <f aca="false">Sens!H652</f>
        <v>26.5250243109019</v>
      </c>
      <c r="I675" s="6" t="n">
        <f aca="false">Sens!I652</f>
        <v>28.6884573538181</v>
      </c>
      <c r="J675" s="6" t="n">
        <f aca="false">Sens!J652</f>
        <v>30.8624968052127</v>
      </c>
      <c r="K675" s="6" t="n">
        <f aca="false">Sens!K652</f>
        <v>33.0228715815776</v>
      </c>
    </row>
    <row r="676" customFormat="false" ht="15" hidden="false" customHeight="false" outlineLevel="0" collapsed="false">
      <c r="A676" s="0" t="s">
        <v>1040</v>
      </c>
      <c r="B676" s="0" t="s">
        <v>98</v>
      </c>
      <c r="D676" s="6" t="n">
        <f aca="false">Sens!D654</f>
        <v>7.76</v>
      </c>
      <c r="E676" s="6" t="n">
        <f aca="false">Sens!E654</f>
        <v>8.26</v>
      </c>
      <c r="F676" s="6" t="n">
        <f aca="false">Sens!F654</f>
        <v>8.75372082474227</v>
      </c>
      <c r="G676" s="6" t="n">
        <f aca="false">Sens!G654</f>
        <v>9.33399324642364</v>
      </c>
      <c r="H676" s="6" t="n">
        <f aca="false">Sens!H654</f>
        <v>9.96139155535851</v>
      </c>
      <c r="I676" s="6" t="n">
        <f aca="false">Sens!I654</f>
        <v>10.6402039077391</v>
      </c>
      <c r="J676" s="6" t="n">
        <f aca="false">Sens!J654</f>
        <v>11.3751458271397</v>
      </c>
      <c r="K676" s="6" t="n">
        <f aca="false">Sens!K654</f>
        <v>12.1714060350394</v>
      </c>
    </row>
    <row r="677" customFormat="false" ht="15" hidden="false" customHeight="false" outlineLevel="0" collapsed="false">
      <c r="A677" s="0" t="s">
        <v>856</v>
      </c>
      <c r="B677" s="0" t="s">
        <v>98</v>
      </c>
      <c r="D677" s="6" t="n">
        <f aca="false">Sens!D656</f>
        <v>218.783</v>
      </c>
      <c r="E677" s="6" t="n">
        <f aca="false">Sens!E656</f>
        <v>268.127</v>
      </c>
      <c r="F677" s="6" t="n">
        <f aca="false">Sens!F656</f>
        <v>330.145282059882</v>
      </c>
      <c r="G677" s="6" t="n">
        <f aca="false">Sens!G656</f>
        <v>392.656759865851</v>
      </c>
      <c r="H677" s="6" t="n">
        <f aca="false">Sens!H656</f>
        <v>450.544273297982</v>
      </c>
      <c r="I677" s="6" t="n">
        <f aca="false">Sens!I656</f>
        <v>510.69213512593</v>
      </c>
      <c r="J677" s="6" t="n">
        <f aca="false">Sens!J656</f>
        <v>560.416732629406</v>
      </c>
      <c r="K677" s="6" t="n">
        <f aca="false">Sens!K656</f>
        <v>600.132410592692</v>
      </c>
    </row>
    <row r="678" customFormat="false" ht="15" hidden="false" customHeight="false" outlineLevel="0" collapsed="false">
      <c r="A678" s="0" t="s">
        <v>1041</v>
      </c>
      <c r="B678" s="0" t="s">
        <v>98</v>
      </c>
      <c r="D678" s="6" t="n">
        <f aca="false">Sens!D657</f>
        <v>22.171</v>
      </c>
      <c r="E678" s="6" t="n">
        <f aca="false">Sens!E657</f>
        <v>24.835</v>
      </c>
      <c r="F678" s="6" t="n">
        <f aca="false">Sens!F657</f>
        <v>27.5591895660247</v>
      </c>
      <c r="G678" s="6" t="n">
        <f aca="false">Sens!G657</f>
        <v>30.4098563144583</v>
      </c>
      <c r="H678" s="6" t="n">
        <f aca="false">Sens!H657</f>
        <v>33.3011792571777</v>
      </c>
      <c r="I678" s="6" t="n">
        <f aca="false">Sens!I657</f>
        <v>36.189023797112</v>
      </c>
      <c r="J678" s="6" t="n">
        <f aca="false">Sens!J657</f>
        <v>39.0247773769199</v>
      </c>
      <c r="K678" s="6" t="n">
        <f aca="false">Sens!K657</f>
        <v>41.7565117933043</v>
      </c>
    </row>
    <row r="679" customFormat="false" ht="15" hidden="false" customHeight="false" outlineLevel="0" collapsed="false">
      <c r="A679" s="0" t="s">
        <v>1042</v>
      </c>
      <c r="B679" s="0" t="s">
        <v>98</v>
      </c>
      <c r="D679" s="6" t="n">
        <f aca="false">Sens!D659</f>
        <v>23.455</v>
      </c>
      <c r="E679" s="6" t="n">
        <f aca="false">Sens!E659</f>
        <v>21.79</v>
      </c>
      <c r="F679" s="6" t="n">
        <f aca="false">Sens!F659</f>
        <v>20.7520981041711</v>
      </c>
      <c r="G679" s="6" t="n">
        <f aca="false">Sens!G659</f>
        <v>19.9083593495882</v>
      </c>
      <c r="H679" s="6" t="n">
        <f aca="false">Sens!H659</f>
        <v>19.4008256265831</v>
      </c>
      <c r="I679" s="6" t="n">
        <f aca="false">Sens!I659</f>
        <v>19.200434522122</v>
      </c>
      <c r="J679" s="6" t="n">
        <f aca="false">Sens!J659</f>
        <v>19.2932782348507</v>
      </c>
      <c r="K679" s="6" t="n">
        <f aca="false">Sens!K659</f>
        <v>19.6791437995477</v>
      </c>
    </row>
    <row r="680" customFormat="false" ht="15" hidden="false" customHeight="false" outlineLevel="0" collapsed="false">
      <c r="A680" s="0" t="s">
        <v>1043</v>
      </c>
      <c r="B680" s="0" t="s">
        <v>98</v>
      </c>
      <c r="D680" s="6" t="n">
        <f aca="false">Sens!D661</f>
        <v>17.315</v>
      </c>
      <c r="E680" s="6" t="n">
        <f aca="false">Sens!E661</f>
        <v>17.087</v>
      </c>
      <c r="F680" s="6" t="n">
        <f aca="false">Sens!F661</f>
        <v>15.9912273250553</v>
      </c>
      <c r="G680" s="6" t="n">
        <f aca="false">Sens!G661</f>
        <v>15.9574562664827</v>
      </c>
      <c r="H680" s="6" t="n">
        <f aca="false">Sens!H661</f>
        <v>16.0119687434196</v>
      </c>
      <c r="I680" s="6" t="n">
        <f aca="false">Sens!I661</f>
        <v>16.1551810001948</v>
      </c>
      <c r="J680" s="6" t="n">
        <f aca="false">Sens!J661</f>
        <v>16.3889793892005</v>
      </c>
      <c r="K680" s="6" t="n">
        <f aca="false">Sens!K661</f>
        <v>16.7167589769845</v>
      </c>
    </row>
    <row r="681" customFormat="false" ht="15" hidden="false" customHeight="false" outlineLevel="0" collapsed="false">
      <c r="A681" s="0" t="s">
        <v>870</v>
      </c>
      <c r="B681" s="0" t="s">
        <v>98</v>
      </c>
      <c r="D681" s="6" t="n">
        <f aca="false">Sens!D663</f>
        <v>62.941</v>
      </c>
      <c r="E681" s="6" t="n">
        <f aca="false">Sens!E663</f>
        <v>63.712</v>
      </c>
      <c r="F681" s="6" t="n">
        <f aca="false">Sens!F663</f>
        <v>64.3025149952511</v>
      </c>
      <c r="G681" s="6" t="n">
        <f aca="false">Sens!G663</f>
        <v>66.2756719305292</v>
      </c>
      <c r="H681" s="6" t="n">
        <f aca="false">Sens!H663</f>
        <v>68.7139736271804</v>
      </c>
      <c r="I681" s="6" t="n">
        <f aca="false">Sens!I663</f>
        <v>71.5446393194289</v>
      </c>
      <c r="J681" s="6" t="n">
        <f aca="false">Sens!J663</f>
        <v>74.707035000971</v>
      </c>
      <c r="K681" s="6" t="n">
        <f aca="false">Sens!K663</f>
        <v>78.1524145698365</v>
      </c>
    </row>
    <row r="682" customFormat="false" ht="15" hidden="false" customHeight="false" outlineLevel="0" collapsed="false">
      <c r="A682" s="1" t="s">
        <v>1059</v>
      </c>
      <c r="B682" s="0" t="s">
        <v>98</v>
      </c>
      <c r="D682" s="6" t="n">
        <f aca="false">Sens!D664</f>
        <v>281.724</v>
      </c>
      <c r="E682" s="6" t="n">
        <f aca="false">Sens!E664</f>
        <v>331.839</v>
      </c>
      <c r="F682" s="6" t="n">
        <f aca="false">Sens!F664</f>
        <v>394.447797055133</v>
      </c>
      <c r="G682" s="6" t="n">
        <f aca="false">Sens!G664</f>
        <v>458.93243179638</v>
      </c>
      <c r="H682" s="6" t="n">
        <f aca="false">Sens!H664</f>
        <v>519.258246925162</v>
      </c>
      <c r="I682" s="6" t="n">
        <f aca="false">Sens!I664</f>
        <v>582.236774445359</v>
      </c>
      <c r="J682" s="6" t="n">
        <f aca="false">Sens!J664</f>
        <v>635.123767630377</v>
      </c>
      <c r="K682" s="6" t="n">
        <f aca="false">Sens!K664</f>
        <v>678.284825162529</v>
      </c>
    </row>
    <row r="683" customFormat="false" ht="15" hidden="false" customHeight="false" outlineLevel="0" collapsed="false">
      <c r="A683" s="1" t="s">
        <v>1060</v>
      </c>
      <c r="B683" s="0" t="s">
        <v>168</v>
      </c>
      <c r="E683" s="7" t="n">
        <f aca="false">Sens!E682/Sens!D682-1</f>
        <v>0.177886867998467</v>
      </c>
      <c r="F683" s="7" t="n">
        <f aca="false">Sens!F682/Sens!E682-1</f>
        <v>0.188672208676897</v>
      </c>
      <c r="G683" s="7" t="n">
        <f aca="false">Sens!G682/Sens!F682-1</f>
        <v>0.16348078306604</v>
      </c>
      <c r="H683" s="7" t="n">
        <f aca="false">Sens!H682/Sens!G682-1</f>
        <v>0.131448141271366</v>
      </c>
      <c r="I683" s="7" t="n">
        <f aca="false">Sens!I682/Sens!H682-1</f>
        <v>0.121285560495438</v>
      </c>
      <c r="J683" s="7" t="n">
        <f aca="false">Sens!J682/Sens!I682-1</f>
        <v>0.0908341683422489</v>
      </c>
      <c r="K683" s="7" t="n">
        <f aca="false">Sens!K682/Sens!J682-1</f>
        <v>0.0679569238814417</v>
      </c>
    </row>
    <row r="684" customFormat="false" ht="17.15" hidden="false" customHeight="false" outlineLevel="0" collapsed="false">
      <c r="A684" s="26" t="s">
        <v>1061</v>
      </c>
      <c r="B684" s="31" t="s">
        <v>98</v>
      </c>
      <c r="C684" s="31"/>
      <c r="D684" s="27" t="n">
        <f aca="false">(Sens!D677+Sens!D681-Sens!D682)+(Sens!D669+Sens!D670-Sens!D668)+(Sens!D672+Sens!D673-Sens!D671)+(Sens!D682-Q!L18)</f>
        <v>0</v>
      </c>
      <c r="E684" s="27" t="n">
        <f aca="false">(Sens!E677+Sens!E681-Sens!E682)+(Sens!E669+Sens!E670-Sens!E668)+(Sens!E672+Sens!E673-Sens!E671)+(Sens!E682-Q!M18)</f>
        <v>0</v>
      </c>
      <c r="F684" s="27" t="n">
        <f aca="false">(Sens!F677+Sens!F681-Sens!F682)+(Sens!F669+Sens!F670-Sens!F668)+(Sens!F672+Sens!F673-Sens!F671)</f>
        <v>0</v>
      </c>
      <c r="G684" s="27" t="n">
        <f aca="false">(Sens!G677+Sens!G681-Sens!G682)+(Sens!G669+Sens!G670-Sens!G668)+(Sens!G672+Sens!G673-Sens!G671)</f>
        <v>0</v>
      </c>
      <c r="H684" s="27" t="n">
        <f aca="false">(Sens!H677+Sens!H681-Sens!H682)+(Sens!H669+Sens!H670-Sens!H668)+(Sens!H672+Sens!H673-Sens!H671)</f>
        <v>0</v>
      </c>
      <c r="I684" s="27" t="n">
        <f aca="false">(Sens!I677+Sens!I681-Sens!I682)+(Sens!I669+Sens!I670-Sens!I668)+(Sens!I672+Sens!I673-Sens!I671)</f>
        <v>0</v>
      </c>
      <c r="J684" s="27" t="n">
        <f aca="false">(Sens!J677+Sens!J681-Sens!J682)+(Sens!J669+Sens!J670-Sens!J668)+(Sens!J672+Sens!J673-Sens!J671)</f>
        <v>0</v>
      </c>
      <c r="K684" s="27" t="n">
        <f aca="false">(Sens!K677+Sens!K681-Sens!K682)+(Sens!K669+Sens!K670-Sens!K668)+(Sens!K672+Sens!K673-Sens!K671)</f>
        <v>0</v>
      </c>
    </row>
    <row r="685" customFormat="false" ht="17.15" hidden="false" customHeight="false" outlineLevel="0" collapsed="false">
      <c r="A685" s="0" t="s">
        <v>1062</v>
      </c>
      <c r="B685" s="0" t="s">
        <v>168</v>
      </c>
      <c r="E685" s="7" t="n">
        <f aca="false">(Q!M21+Sens!E621+Sens!E622+Sens!E623+Sens!E637-Sens!E619)/(Q!M5-Sens!E619)</f>
        <v>0.570957350878296</v>
      </c>
      <c r="F685" s="7" t="n">
        <f aca="false">Sens!$E$685+dm_seg</f>
        <v>0.570957350878296</v>
      </c>
      <c r="G685" s="7" t="n">
        <f aca="false">Sens!$E$685+dm_seg</f>
        <v>0.570957350878296</v>
      </c>
      <c r="H685" s="7" t="n">
        <f aca="false">Sens!$E$685+dm_seg</f>
        <v>0.570957350878296</v>
      </c>
      <c r="I685" s="7" t="n">
        <f aca="false">Sens!$E$685+dm_seg</f>
        <v>0.570957350878296</v>
      </c>
      <c r="J685" s="7" t="n">
        <f aca="false">Sens!$E$685+dm_seg</f>
        <v>0.570957350878296</v>
      </c>
      <c r="K685" s="7" t="n">
        <f aca="false">Sens!$E$685+dm_seg</f>
        <v>0.570957350878296</v>
      </c>
      <c r="L685" s="12" t="s">
        <v>1063</v>
      </c>
    </row>
    <row r="686" customFormat="false" ht="17.15" hidden="false" customHeight="false" outlineLevel="0" collapsed="false">
      <c r="A686" s="0" t="s">
        <v>884</v>
      </c>
      <c r="B686" s="0" t="s">
        <v>98</v>
      </c>
      <c r="D686" s="6" t="n">
        <f aca="false">Q!L21</f>
        <v>110.814</v>
      </c>
      <c r="E686" s="6" t="n">
        <f aca="false">Q!M21</f>
        <v>136.365</v>
      </c>
      <c r="F686" s="6" t="n">
        <f aca="false">Q!$I$21+(Sens!F685*(Sens!F656-Sens!F619)+Sens!F619-(Sens!F621+Sens!F622+Sens!F623)-Sens!F637-Sens!F720)*(Sens!F656-Q!$I$5)/Sens!F656</f>
        <v>158.110234156687</v>
      </c>
      <c r="G686" s="6" t="n">
        <f aca="false">(Sens!G685*(Sens!G656-Sens!G619)+Sens!G619-(Sens!G621+Sens!G622+Sens!G623)-Sens!G637-Sens!G720)</f>
        <v>161.288737768095</v>
      </c>
      <c r="H686" s="6" t="n">
        <f aca="false">(Sens!H685*(Sens!H656-Sens!H619)+Sens!H619-(Sens!H621+Sens!H622+Sens!H623)-Sens!H637-Sens!H720)</f>
        <v>162.750449226018</v>
      </c>
      <c r="I686" s="6" t="n">
        <f aca="false">(Sens!I685*(Sens!I656-Sens!I619)+Sens!I619-(Sens!I621+Sens!I622+Sens!I623)-Sens!I637-Sens!I720)</f>
        <v>172.031140185604</v>
      </c>
      <c r="J686" s="6" t="n">
        <f aca="false">(Sens!J685*(Sens!J656-Sens!J619)+Sens!J619-(Sens!J621+Sens!J622+Sens!J623)-Sens!J637-Sens!J720)</f>
        <v>182.855335729531</v>
      </c>
      <c r="K686" s="6" t="n">
        <f aca="false">(Sens!K685*(Sens!K656-Sens!K619)+Sens!K619-(Sens!K621+Sens!K622+Sens!K623)-Sens!K637-Sens!K720)</f>
        <v>195.088404864353</v>
      </c>
      <c r="L686" s="1" t="s">
        <v>1064</v>
      </c>
    </row>
    <row r="687" customFormat="false" ht="17.15" hidden="false" customHeight="false" outlineLevel="0" collapsed="false">
      <c r="A687" s="0" t="s">
        <v>1065</v>
      </c>
      <c r="B687" s="0" t="s">
        <v>168</v>
      </c>
      <c r="E687" s="7" t="n">
        <f aca="false">Q!M22/Q!M12</f>
        <v>0.296207935710698</v>
      </c>
      <c r="F687" s="7" t="n">
        <f aca="false">Sens!$E$687+dm_seg</f>
        <v>0.296207935710698</v>
      </c>
      <c r="G687" s="7" t="n">
        <f aca="false">Sens!$E$687+dm_seg</f>
        <v>0.296207935710698</v>
      </c>
      <c r="H687" s="7" t="n">
        <f aca="false">Sens!$E$687+dm_seg</f>
        <v>0.296207935710698</v>
      </c>
      <c r="I687" s="7" t="n">
        <f aca="false">Sens!$E$687+dm_seg</f>
        <v>0.296207935710698</v>
      </c>
      <c r="J687" s="7" t="n">
        <f aca="false">Sens!$E$687+dm_seg</f>
        <v>0.296207935710698</v>
      </c>
      <c r="K687" s="7" t="n">
        <f aca="false">Sens!$E$687+dm_seg</f>
        <v>0.296207935710698</v>
      </c>
      <c r="L687" s="12" t="s">
        <v>1066</v>
      </c>
    </row>
    <row r="688" customFormat="false" ht="17.15" hidden="false" customHeight="false" outlineLevel="0" collapsed="false">
      <c r="A688" s="0" t="s">
        <v>886</v>
      </c>
      <c r="B688" s="0" t="s">
        <v>98</v>
      </c>
      <c r="D688" s="6" t="n">
        <f aca="false">Q!L22</f>
        <v>17.714</v>
      </c>
      <c r="E688" s="6" t="n">
        <f aca="false">Q!M22</f>
        <v>18.872</v>
      </c>
      <c r="F688" s="6" t="n">
        <f aca="false">Q!$I$22+(Sens!F663-Q!$I$12)*Sens!F687</f>
        <v>19.8174315512051</v>
      </c>
      <c r="G688" s="6" t="n">
        <f aca="false">Sens!G663*Sens!G687</f>
        <v>19.6313799703815</v>
      </c>
      <c r="H688" s="6" t="n">
        <f aca="false">Sens!H663*Sens!H687</f>
        <v>20.3536242825865</v>
      </c>
      <c r="I688" s="6" t="n">
        <f aca="false">Sens!I663*Sens!I687</f>
        <v>21.1920899239745</v>
      </c>
      <c r="J688" s="6" t="n">
        <f aca="false">Sens!J663*Sens!J687</f>
        <v>22.1288166207045</v>
      </c>
      <c r="K688" s="6" t="n">
        <f aca="false">Sens!K663*Sens!K687</f>
        <v>23.1493653905379</v>
      </c>
      <c r="L688" s="12" t="s">
        <v>1067</v>
      </c>
    </row>
    <row r="689" customFormat="false" ht="15" hidden="false" customHeight="false" outlineLevel="0" collapsed="false">
      <c r="A689" s="1" t="s">
        <v>1068</v>
      </c>
      <c r="B689" s="0" t="s">
        <v>98</v>
      </c>
      <c r="D689" s="6" t="n">
        <f aca="false">Sens!D686+Sens!D688</f>
        <v>128.528</v>
      </c>
      <c r="E689" s="6" t="n">
        <f aca="false">Sens!E686+Sens!E688</f>
        <v>155.237</v>
      </c>
      <c r="F689" s="6" t="n">
        <f aca="false">Sens!F686+Sens!F688</f>
        <v>177.927665707892</v>
      </c>
      <c r="G689" s="6" t="n">
        <f aca="false">Sens!G686+Sens!G688</f>
        <v>180.920117738477</v>
      </c>
      <c r="H689" s="6" t="n">
        <f aca="false">Sens!H686+Sens!H688</f>
        <v>183.104073508605</v>
      </c>
      <c r="I689" s="6" t="n">
        <f aca="false">Sens!I686+Sens!I688</f>
        <v>193.223230109579</v>
      </c>
      <c r="J689" s="6" t="n">
        <f aca="false">Sens!J686+Sens!J688</f>
        <v>204.984152350235</v>
      </c>
      <c r="K689" s="6" t="n">
        <f aca="false">Sens!K686+Sens!K688</f>
        <v>218.237770254891</v>
      </c>
    </row>
    <row r="690" customFormat="false" ht="15" hidden="false" customHeight="false" outlineLevel="0" collapsed="false">
      <c r="A690" s="26" t="s">
        <v>1069</v>
      </c>
      <c r="B690" s="31" t="s">
        <v>98</v>
      </c>
      <c r="C690" s="31"/>
      <c r="D690" s="27" t="n">
        <f aca="false">Sens!D689-Q!L23</f>
        <v>0</v>
      </c>
      <c r="E690" s="27" t="n">
        <f aca="false">Sens!E689-Q!M23</f>
        <v>0</v>
      </c>
      <c r="F690" s="31"/>
      <c r="G690" s="31"/>
      <c r="H690" s="31"/>
      <c r="I690" s="31"/>
      <c r="J690" s="31"/>
      <c r="K690" s="31"/>
    </row>
    <row r="691" customFormat="false" ht="15" hidden="false" customHeight="false" outlineLevel="0" collapsed="false">
      <c r="A691" s="1" t="s">
        <v>1070</v>
      </c>
      <c r="B691" s="0" t="s">
        <v>168</v>
      </c>
      <c r="D691" s="7" t="n">
        <f aca="false">Sens!D689/Sens!D682</f>
        <v>0.456219562408598</v>
      </c>
      <c r="E691" s="7" t="n">
        <f aca="false">Sens!E689/Sens!E682</f>
        <v>0.467808184089272</v>
      </c>
      <c r="F691" s="7" t="n">
        <f aca="false">Sens!F689/Sens!F682</f>
        <v>0.451080388929191</v>
      </c>
      <c r="G691" s="7" t="n">
        <f aca="false">Sens!G689/Sens!G682</f>
        <v>0.394219508589333</v>
      </c>
      <c r="H691" s="7" t="n">
        <f aca="false">Sens!H689/Sens!H682</f>
        <v>0.352626221331819</v>
      </c>
      <c r="I691" s="7" t="n">
        <f aca="false">Sens!I689/Sens!I682</f>
        <v>0.331863665419698</v>
      </c>
      <c r="J691" s="7" t="n">
        <f aca="false">Sens!J689/Sens!J682</f>
        <v>0.32274678227682</v>
      </c>
      <c r="K691" s="7" t="n">
        <f aca="false">Sens!K689/Sens!K682</f>
        <v>0.3217494512023</v>
      </c>
    </row>
    <row r="692" customFormat="false" ht="17.15" hidden="false" customHeight="false" outlineLevel="0" collapsed="false">
      <c r="A692" s="1" t="s">
        <v>1071</v>
      </c>
      <c r="B692" s="0" t="s">
        <v>98</v>
      </c>
      <c r="F692" s="6" t="n">
        <f aca="false">Sens!F707</f>
        <v>0</v>
      </c>
      <c r="G692" s="6" t="n">
        <f aca="false">Sens!G707</f>
        <v>0</v>
      </c>
      <c r="H692" s="6" t="n">
        <f aca="false">Sens!H707</f>
        <v>0</v>
      </c>
      <c r="I692" s="6" t="n">
        <f aca="false">Sens!I707</f>
        <v>0</v>
      </c>
      <c r="J692" s="6" t="n">
        <f aca="false">Sens!J707</f>
        <v>0</v>
      </c>
      <c r="K692" s="6" t="n">
        <f aca="false">Sens!K707</f>
        <v>0</v>
      </c>
      <c r="L692" s="1" t="s">
        <v>1072</v>
      </c>
    </row>
    <row r="693" customFormat="false" ht="17.15" hidden="false" customHeight="false" outlineLevel="0" collapsed="false">
      <c r="A693" s="1" t="s">
        <v>1073</v>
      </c>
      <c r="B693" s="0" t="s">
        <v>98</v>
      </c>
      <c r="D693" s="6" t="n">
        <f aca="false">Sens!D689</f>
        <v>128.528</v>
      </c>
      <c r="E693" s="6" t="n">
        <f aca="false">Sens!E689</f>
        <v>155.237</v>
      </c>
      <c r="F693" s="6" t="n">
        <f aca="false">Sens!F689+Sens!F692</f>
        <v>177.927665707892</v>
      </c>
      <c r="G693" s="6" t="n">
        <f aca="false">Sens!G689+Sens!G692</f>
        <v>180.920117738477</v>
      </c>
      <c r="H693" s="6" t="n">
        <f aca="false">Sens!H689+Sens!H692</f>
        <v>183.104073508605</v>
      </c>
      <c r="I693" s="6" t="n">
        <f aca="false">Sens!I689+Sens!I692</f>
        <v>193.223230109579</v>
      </c>
      <c r="J693" s="6" t="n">
        <f aca="false">Sens!J689+Sens!J692</f>
        <v>204.984152350235</v>
      </c>
      <c r="K693" s="6" t="n">
        <f aca="false">Sens!K689+Sens!K692</f>
        <v>218.237770254891</v>
      </c>
    </row>
    <row r="694" customFormat="false" ht="17.15" hidden="false" customHeight="false" outlineLevel="0" collapsed="false">
      <c r="A694" s="1" t="s">
        <v>1074</v>
      </c>
      <c r="B694" s="0" t="s">
        <v>98</v>
      </c>
      <c r="E694" s="6" t="n">
        <f aca="false">Sens!E637</f>
        <v>16.3054059770833</v>
      </c>
      <c r="F694" s="6" t="n">
        <f aca="false">Sens!F637</f>
        <v>34.5793144783516</v>
      </c>
      <c r="G694" s="6" t="n">
        <f aca="false">Sens!G637</f>
        <v>60.7344906522989</v>
      </c>
      <c r="H694" s="6" t="n">
        <f aca="false">Sens!H637</f>
        <v>89.1000906614457</v>
      </c>
      <c r="I694" s="6" t="n">
        <f aca="false">Sens!I637</f>
        <v>114.231009694548</v>
      </c>
      <c r="J694" s="6" t="n">
        <f aca="false">Sens!J637</f>
        <v>132.015673049596</v>
      </c>
      <c r="K694" s="6" t="n">
        <f aca="false">Sens!K637</f>
        <v>143.012669550934</v>
      </c>
    </row>
    <row r="695" customFormat="false" ht="17.15" hidden="false" customHeight="false" outlineLevel="0" collapsed="false">
      <c r="A695" s="1" t="s">
        <v>1075</v>
      </c>
      <c r="B695" s="0" t="s">
        <v>98</v>
      </c>
      <c r="E695" s="6" t="n">
        <f aca="false">Sens!E719</f>
        <v>22.2285940229167</v>
      </c>
      <c r="F695" s="6" t="n">
        <f aca="false">Sens!F719</f>
        <v>23.5883405279552</v>
      </c>
      <c r="G695" s="6" t="n">
        <f aca="false">Sens!G719</f>
        <v>25.347608709247</v>
      </c>
      <c r="H695" s="6" t="n">
        <f aca="false">Sens!H719</f>
        <v>27.4750934833125</v>
      </c>
      <c r="I695" s="6" t="n">
        <f aca="false">Sens!I719</f>
        <v>29.9140127982598</v>
      </c>
      <c r="J695" s="6" t="n">
        <f aca="false">Sens!J719</f>
        <v>32.5895147654561</v>
      </c>
      <c r="K695" s="6" t="n">
        <f aca="false">Sens!K719</f>
        <v>35.4171979437481</v>
      </c>
    </row>
    <row r="696" customFormat="false" ht="17.15" hidden="false" customHeight="false" outlineLevel="0" collapsed="false">
      <c r="A696" s="1" t="s">
        <v>1076</v>
      </c>
      <c r="B696" s="0" t="s">
        <v>98</v>
      </c>
      <c r="D696" s="6" t="n">
        <f aca="false">Q!L27</f>
        <v>-4.901</v>
      </c>
      <c r="E696" s="6" t="n">
        <f aca="false">Q!M27</f>
        <v>10.697</v>
      </c>
      <c r="F696" s="6" t="n">
        <f aca="false">Q!$I$27+oie_f*(q_per_yr-1)/q_per_yr</f>
        <v>-0.862</v>
      </c>
      <c r="G696" s="6" t="n">
        <f aca="false">oie_f</f>
        <v>-1.2</v>
      </c>
      <c r="H696" s="6" t="n">
        <f aca="false">oie_f</f>
        <v>-1.2</v>
      </c>
      <c r="I696" s="6" t="n">
        <f aca="false">oie_f</f>
        <v>-1.2</v>
      </c>
      <c r="J696" s="6" t="n">
        <f aca="false">oie_f</f>
        <v>-1.2</v>
      </c>
      <c r="K696" s="6" t="n">
        <f aca="false">oie_f</f>
        <v>-1.2</v>
      </c>
      <c r="L696" s="12" t="s">
        <v>1077</v>
      </c>
    </row>
    <row r="697" customFormat="false" ht="15" hidden="false" customHeight="false" outlineLevel="0" collapsed="false">
      <c r="A697" s="1" t="s">
        <v>1078</v>
      </c>
      <c r="B697" s="0" t="s">
        <v>98</v>
      </c>
      <c r="D697" s="6" t="n">
        <f aca="false">Sens!D689+Sens!D696</f>
        <v>123.627</v>
      </c>
      <c r="E697" s="6" t="n">
        <f aca="false">Sens!E689+Sens!E696</f>
        <v>165.934</v>
      </c>
      <c r="F697" s="6" t="n">
        <f aca="false">Sens!F689+Sens!F696</f>
        <v>177.065665707892</v>
      </c>
      <c r="G697" s="6" t="n">
        <f aca="false">Sens!G689+Sens!G696</f>
        <v>179.720117738477</v>
      </c>
      <c r="H697" s="6" t="n">
        <f aca="false">Sens!H689+Sens!H696</f>
        <v>181.904073508605</v>
      </c>
      <c r="I697" s="6" t="n">
        <f aca="false">Sens!I689+Sens!I696</f>
        <v>192.023230109579</v>
      </c>
      <c r="J697" s="6" t="n">
        <f aca="false">Sens!J689+Sens!J696</f>
        <v>203.784152350235</v>
      </c>
      <c r="K697" s="6" t="n">
        <f aca="false">Sens!K689+Sens!K696</f>
        <v>217.037770254891</v>
      </c>
    </row>
    <row r="698" customFormat="false" ht="15" hidden="false" customHeight="false" outlineLevel="0" collapsed="false">
      <c r="A698" s="1" t="s">
        <v>1079</v>
      </c>
      <c r="B698" s="0" t="s">
        <v>98</v>
      </c>
      <c r="D698" s="6" t="n">
        <f aca="false">Q!L29</f>
        <v>21.795</v>
      </c>
      <c r="E698" s="6" t="n">
        <f aca="false">Q!M29</f>
        <v>32.185</v>
      </c>
      <c r="F698" s="6" t="n">
        <f aca="false">Q!$I$29+(Sens!F697-Q!$I$28)*tax_f</f>
        <v>35.5465331415784</v>
      </c>
      <c r="G698" s="6" t="n">
        <f aca="false">Sens!G697*tax_f</f>
        <v>35.9440235476954</v>
      </c>
      <c r="H698" s="6" t="n">
        <f aca="false">Sens!H697*tax_f</f>
        <v>36.380814701721</v>
      </c>
      <c r="I698" s="6" t="n">
        <f aca="false">Sens!I697*tax_f</f>
        <v>38.4046460219157</v>
      </c>
      <c r="J698" s="6" t="n">
        <f aca="false">Sens!J697*tax_f</f>
        <v>40.756830470047</v>
      </c>
      <c r="K698" s="6" t="n">
        <f aca="false">Sens!K697*tax_f</f>
        <v>43.4075540509783</v>
      </c>
    </row>
    <row r="699" customFormat="false" ht="15" hidden="false" customHeight="false" outlineLevel="0" collapsed="false">
      <c r="A699" s="1" t="s">
        <v>1080</v>
      </c>
      <c r="B699" s="0" t="s">
        <v>98</v>
      </c>
      <c r="D699" s="6" t="n">
        <f aca="false">Sens!D697-Sens!D698</f>
        <v>101.832</v>
      </c>
      <c r="E699" s="6" t="n">
        <f aca="false">Sens!E697-Sens!E698</f>
        <v>133.749</v>
      </c>
      <c r="F699" s="6" t="n">
        <f aca="false">Sens!F697-Sens!F698</f>
        <v>141.519132566314</v>
      </c>
      <c r="G699" s="6" t="n">
        <f aca="false">Sens!G697-Sens!G698</f>
        <v>143.776094190781</v>
      </c>
      <c r="H699" s="6" t="n">
        <f aca="false">Sens!H697-Sens!H698</f>
        <v>145.523258806884</v>
      </c>
      <c r="I699" s="6" t="n">
        <f aca="false">Sens!I697-Sens!I698</f>
        <v>153.618584087663</v>
      </c>
      <c r="J699" s="6" t="n">
        <f aca="false">Sens!J697-Sens!J698</f>
        <v>163.027321880188</v>
      </c>
      <c r="K699" s="6" t="n">
        <f aca="false">Sens!K697-Sens!K698</f>
        <v>173.630216203913</v>
      </c>
    </row>
    <row r="700" customFormat="false" ht="17.15" hidden="false" customHeight="false" outlineLevel="0" collapsed="false">
      <c r="A700" s="1" t="s">
        <v>1081</v>
      </c>
      <c r="B700" s="1" t="s">
        <v>81</v>
      </c>
      <c r="D700" s="15" t="n">
        <f aca="false">Q!L31</f>
        <v>7.465</v>
      </c>
      <c r="E700" s="15" t="n">
        <f aca="false">Q!M31</f>
        <v>7.453</v>
      </c>
      <c r="F700" s="15" t="n">
        <f aca="false">Sens!F744</f>
        <v>7.4735</v>
      </c>
      <c r="G700" s="15" t="n">
        <f aca="false">Sens!G744</f>
        <v>7.5185</v>
      </c>
      <c r="H700" s="15" t="n">
        <f aca="false">Sens!H744</f>
        <v>7.5635</v>
      </c>
      <c r="I700" s="15" t="n">
        <f aca="false">Sens!I744</f>
        <v>7.59248142502667</v>
      </c>
      <c r="J700" s="15" t="n">
        <f aca="false">Sens!J744</f>
        <v>7.60663083618914</v>
      </c>
      <c r="K700" s="15" t="n">
        <f aca="false">Sens!K744</f>
        <v>7.62306547615439</v>
      </c>
    </row>
    <row r="701" customFormat="false" ht="17.15" hidden="false" customHeight="false" outlineLevel="0" collapsed="false">
      <c r="A701" s="0" t="s">
        <v>1082</v>
      </c>
      <c r="B701" s="0" t="s">
        <v>75</v>
      </c>
      <c r="D701" s="8" t="n">
        <f aca="false">Sens!D699/Sens!D700</f>
        <v>13.641259209645</v>
      </c>
      <c r="E701" s="8" t="n">
        <f aca="false">Sens!E699/Sens!E700</f>
        <v>17.9456594659869</v>
      </c>
      <c r="F701" s="8" t="n">
        <f aca="false">Sens!F699/Sens!F700</f>
        <v>18.9361253182998</v>
      </c>
      <c r="G701" s="8" t="n">
        <f aca="false">Sens!G699/Sens!G700</f>
        <v>19.1229758849214</v>
      </c>
      <c r="H701" s="8" t="n">
        <f aca="false">Sens!H699/Sens!H700</f>
        <v>19.2402008074151</v>
      </c>
      <c r="I701" s="8" t="n">
        <f aca="false">Sens!I699/Sens!I700</f>
        <v>20.2329878057125</v>
      </c>
      <c r="J701" s="8" t="n">
        <f aca="false">Sens!J699/Sens!J700</f>
        <v>21.4322642167111</v>
      </c>
      <c r="K701" s="8" t="n">
        <f aca="false">Sens!K699/Sens!K700</f>
        <v>22.7769545922232</v>
      </c>
      <c r="L701" s="1" t="s">
        <v>1083</v>
      </c>
    </row>
    <row r="702" customFormat="false" ht="17.15" hidden="false" customHeight="false" outlineLevel="0" collapsed="false">
      <c r="A702" s="1" t="s">
        <v>1084</v>
      </c>
      <c r="B702" s="0" t="s">
        <v>98</v>
      </c>
      <c r="D702" s="6" t="n">
        <f aca="false">Sens!D699</f>
        <v>101.832</v>
      </c>
      <c r="E702" s="6" t="n">
        <f aca="false">Sens!E699</f>
        <v>133.749</v>
      </c>
      <c r="F702" s="6" t="n">
        <f aca="false">Sens!F699+Sens!F692*(1-tax_f)</f>
        <v>141.519132566314</v>
      </c>
      <c r="G702" s="6" t="n">
        <f aca="false">Sens!G699+Sens!G692*(1-tax_f)</f>
        <v>143.776094190781</v>
      </c>
      <c r="H702" s="6" t="n">
        <f aca="false">Sens!H699+Sens!H692*(1-tax_f)</f>
        <v>145.523258806884</v>
      </c>
      <c r="I702" s="6" t="n">
        <f aca="false">Sens!I699+Sens!I692*(1-tax_f)</f>
        <v>153.618584087663</v>
      </c>
      <c r="J702" s="6" t="n">
        <f aca="false">Sens!J699+Sens!J692*(1-tax_f)</f>
        <v>163.027321880188</v>
      </c>
      <c r="K702" s="6" t="n">
        <f aca="false">Sens!K699+Sens!K692*(1-tax_f)</f>
        <v>173.630216203913</v>
      </c>
    </row>
    <row r="703" customFormat="false" ht="17.15" hidden="false" customHeight="false" outlineLevel="0" collapsed="false">
      <c r="A703" s="0" t="s">
        <v>1085</v>
      </c>
      <c r="B703" s="0" t="s">
        <v>75</v>
      </c>
      <c r="D703" s="8" t="n">
        <f aca="false">Sens!D702/Sens!D700</f>
        <v>13.641259209645</v>
      </c>
      <c r="E703" s="8" t="n">
        <f aca="false">Sens!E702/Sens!E700</f>
        <v>17.9456594659869</v>
      </c>
      <c r="F703" s="8" t="n">
        <f aca="false">Sens!F702/Sens!F700</f>
        <v>18.9361253182998</v>
      </c>
      <c r="G703" s="8" t="n">
        <f aca="false">Sens!G702/Sens!G700</f>
        <v>19.1229758849214</v>
      </c>
      <c r="H703" s="8" t="n">
        <f aca="false">Sens!H702/Sens!H700</f>
        <v>19.2402008074151</v>
      </c>
      <c r="I703" s="8" t="n">
        <f aca="false">Sens!I702/Sens!I700</f>
        <v>20.2329878057125</v>
      </c>
      <c r="J703" s="8" t="n">
        <f aca="false">Sens!J702/Sens!J700</f>
        <v>21.4322642167111</v>
      </c>
      <c r="K703" s="8" t="n">
        <f aca="false">Sens!K702/Sens!K700</f>
        <v>22.7769545922232</v>
      </c>
      <c r="L703" s="1" t="s">
        <v>1086</v>
      </c>
    </row>
    <row r="704" customFormat="false" ht="17.15" hidden="false" customHeight="false" outlineLevel="0" collapsed="false">
      <c r="A704" s="0" t="s">
        <v>1087</v>
      </c>
      <c r="B704" s="0" t="s">
        <v>168</v>
      </c>
      <c r="E704" s="7" t="n">
        <f aca="false">Sens!E703/Sens!D703-1</f>
        <v>0.315542736208578</v>
      </c>
      <c r="F704" s="7" t="n">
        <f aca="false">Sens!F703/Sens!E703-1</f>
        <v>0.0551925023535758</v>
      </c>
      <c r="G704" s="7" t="n">
        <f aca="false">Sens!G703/Sens!F703-1</f>
        <v>0.00986741286724646</v>
      </c>
      <c r="H704" s="7" t="n">
        <f aca="false">Sens!H703/Sens!G703-1</f>
        <v>0.00613005649325271</v>
      </c>
      <c r="I704" s="7" t="n">
        <f aca="false">Sens!I703/Sens!H703-1</f>
        <v>0.051599617292704</v>
      </c>
      <c r="J704" s="7" t="n">
        <f aca="false">Sens!J703/Sens!I703-1</f>
        <v>0.0592733224828068</v>
      </c>
      <c r="K704" s="7" t="n">
        <f aca="false">Sens!K703/Sens!J703-1</f>
        <v>0.0627414052904223</v>
      </c>
    </row>
    <row r="705" customFormat="false" ht="17.15" hidden="false" customHeight="false" outlineLevel="0" collapsed="false">
      <c r="A705" s="0" t="s">
        <v>1007</v>
      </c>
      <c r="B705" s="0" t="s">
        <v>98</v>
      </c>
      <c r="E705" s="6" t="n">
        <f aca="false">Sens!E646</f>
        <v>5.25</v>
      </c>
      <c r="F705" s="6" t="n">
        <f aca="false">Sens!F646</f>
        <v>10.5</v>
      </c>
      <c r="G705" s="6" t="n">
        <f aca="false">Sens!G646</f>
        <v>13.5</v>
      </c>
      <c r="H705" s="6" t="n">
        <f aca="false">Sens!H646</f>
        <v>16.5</v>
      </c>
      <c r="I705" s="6" t="n">
        <f aca="false">Sens!I646</f>
        <v>18.75</v>
      </c>
      <c r="J705" s="6" t="n">
        <f aca="false">Sens!J646</f>
        <v>20.25</v>
      </c>
      <c r="K705" s="6" t="n">
        <f aca="false">Sens!K646</f>
        <v>21.75</v>
      </c>
    </row>
    <row r="706" customFormat="false" ht="17.15" hidden="false" customHeight="false" outlineLevel="0" collapsed="false">
      <c r="A706" s="1" t="s">
        <v>1008</v>
      </c>
      <c r="B706" s="0" t="s">
        <v>98</v>
      </c>
      <c r="F706" s="6" t="n">
        <f aca="false">MAX(0,((Sens!E606+Sens!F606)/2-(shadow_base*(Sens!$D$606+Sens!$E$606)/2+(1-shadow_base)*Sens!$E$606))*Sens!F615/1000-(Sens!F705-Sens!$E$705)*Sens!F685)</f>
        <v>10.5962787979473</v>
      </c>
      <c r="G706" s="6" t="n">
        <f aca="false">MAX(0,((Sens!F606+Sens!G606)/2-(shadow_base*(Sens!$D$606+Sens!$E$606)/2+(1-shadow_base)*Sens!$E$606))*Sens!G615/1000-(Sens!G705-Sens!$E$705)*Sens!G685)</f>
        <v>27.844646674932</v>
      </c>
      <c r="H706" s="6" t="n">
        <f aca="false">MAX(0,((Sens!G606+Sens!H606)/2-(shadow_base*(Sens!$D$606+Sens!$E$606)/2+(1-shadow_base)*Sens!$E$606))*Sens!H615/1000-(Sens!H705-Sens!$E$705)*Sens!H685)</f>
        <v>46.566205501382</v>
      </c>
      <c r="I706" s="6" t="n">
        <f aca="false">MAX(0,((Sens!H606+Sens!I606)/2-(shadow_base*(Sens!$D$606+Sens!$E$606)/2+(1-shadow_base)*Sens!$E$606))*Sens!I615/1000-(Sens!I705-Sens!$E$705)*Sens!I685)</f>
        <v>63.2717778126444</v>
      </c>
      <c r="J706" s="6" t="n">
        <f aca="false">MAX(0,((Sens!I606+Sens!J606)/2-(shadow_base*(Sens!$D$606+Sens!$E$606)/2+(1-shadow_base)*Sens!$E$606))*Sens!J615/1000-(Sens!J705-Sens!$E$705)*Sens!J685)</f>
        <v>74.9061222882009</v>
      </c>
      <c r="K706" s="6" t="n">
        <f aca="false">MAX(0,((Sens!J606+Sens!K606)/2-(shadow_base*(Sens!$D$606+Sens!$E$606)/2+(1-shadow_base)*Sens!$E$606))*Sens!K615/1000-(Sens!K705-Sens!$E$705)*Sens!K685)</f>
        <v>81.6395437180232</v>
      </c>
      <c r="L706" s="1" t="s">
        <v>1009</v>
      </c>
    </row>
    <row r="707" customFormat="false" ht="17.15" hidden="false" customHeight="false" outlineLevel="0" collapsed="false">
      <c r="A707" s="1" t="s">
        <v>1010</v>
      </c>
      <c r="B707" s="0" t="s">
        <v>98</v>
      </c>
      <c r="F707" s="6" t="n">
        <f aca="false">IF(1=2,1,0)*Sens!F706</f>
        <v>0</v>
      </c>
      <c r="G707" s="6" t="n">
        <f aca="false">IF(1=2,1,0)*Sens!G706</f>
        <v>0</v>
      </c>
      <c r="H707" s="6" t="n">
        <f aca="false">IF(1=2,1,0)*Sens!H706</f>
        <v>0</v>
      </c>
      <c r="I707" s="6" t="n">
        <f aca="false">IF(1=2,1,0)*Sens!I706</f>
        <v>0</v>
      </c>
      <c r="J707" s="6" t="n">
        <f aca="false">IF(1=2,1,0)*Sens!J706</f>
        <v>0</v>
      </c>
      <c r="K707" s="6" t="n">
        <f aca="false">IF(1=2,1,0)*Sens!K706</f>
        <v>0</v>
      </c>
    </row>
    <row r="708" customFormat="false" ht="17.15" hidden="false" customHeight="false" outlineLevel="0" collapsed="false">
      <c r="A708" s="0" t="s">
        <v>1011</v>
      </c>
      <c r="B708" s="0" t="s">
        <v>98</v>
      </c>
      <c r="F708" s="6" t="n">
        <f aca="false">Sens!F625+Sens!F705*Sens!F685+Sens!F707-Sens!F626-Sens!F637</f>
        <v>-0.210898112585561</v>
      </c>
      <c r="G708" s="6" t="n">
        <f aca="false">Sens!G625+Sens!G705*Sens!G685+Sens!G707-Sens!G626-Sens!G637</f>
        <v>-11.405715364358</v>
      </c>
      <c r="H708" s="6" t="n">
        <f aca="false">Sens!H625+Sens!H705*Sens!H685+Sens!H707-Sens!H626-Sens!H637</f>
        <v>-29.430789192509</v>
      </c>
      <c r="I708" s="6" t="n">
        <f aca="false">Sens!I625+Sens!I705*Sens!I685+Sens!I707-Sens!I626-Sens!I637</f>
        <v>-39.1423974117788</v>
      </c>
      <c r="J708" s="6" t="n">
        <f aca="false">Sens!J625+Sens!J705*Sens!J685+Sens!J707-Sens!J626-Sens!J637</f>
        <v>-46.0515563012829</v>
      </c>
      <c r="K708" s="6" t="n">
        <f aca="false">Sens!K625+Sens!K705*Sens!K685+Sens!K707-Sens!K626-Sens!K637</f>
        <v>-49.5020688655131</v>
      </c>
    </row>
    <row r="709" customFormat="false" ht="17.15" hidden="false" customHeight="false" outlineLevel="0" collapsed="false">
      <c r="A709" s="0" t="s">
        <v>1012</v>
      </c>
      <c r="B709" s="0" t="s">
        <v>98</v>
      </c>
      <c r="E709" s="6" t="n">
        <f aca="false">Sens!E605*(cxit_open+self_build*tk_cxfac)/1000*ai_net_open</f>
        <v>126.6980382</v>
      </c>
      <c r="F709" s="6" t="n">
        <f aca="false">Sens!E709+Sens!F634-Sens!F637</f>
        <v>260.572627763768</v>
      </c>
      <c r="G709" s="6" t="n">
        <f aca="false">Sens!F709+Sens!G634-Sens!G637</f>
        <v>391.782612760517</v>
      </c>
      <c r="H709" s="6" t="n">
        <f aca="false">Sens!G709+Sens!H634-Sens!H637</f>
        <v>499.488526163584</v>
      </c>
      <c r="I709" s="6" t="n">
        <f aca="false">Sens!H709+Sens!I634-Sens!I637</f>
        <v>553.872350090646</v>
      </c>
      <c r="J709" s="6" t="n">
        <f aca="false">Sens!I709+Sens!J634-Sens!J637</f>
        <v>550.78660823699</v>
      </c>
      <c r="K709" s="6" t="n">
        <f aca="false">Sens!J709+Sens!K634-Sens!K637</f>
        <v>526.736791750789</v>
      </c>
      <c r="L709" s="1" t="s">
        <v>1013</v>
      </c>
    </row>
    <row r="710" customFormat="false" ht="17.15" hidden="false" customHeight="false" outlineLevel="0" collapsed="false">
      <c r="A710" s="0" t="s">
        <v>1014</v>
      </c>
      <c r="B710" s="0" t="s">
        <v>168</v>
      </c>
      <c r="F710" s="7" t="n">
        <f aca="false">Sens!F708*(1-tax_f)/((Sens!E709+Sens!F709)/2)</f>
        <v>-0.000871320783610466</v>
      </c>
      <c r="G710" s="7" t="n">
        <f aca="false">Sens!G708*(1-tax_f)/((Sens!F709+Sens!G709)/2)</f>
        <v>-0.0279742438618356</v>
      </c>
      <c r="H710" s="7" t="n">
        <f aca="false">Sens!H708*(1-tax_f)/((Sens!G709+Sens!H709)/2)</f>
        <v>-0.0528338242443913</v>
      </c>
      <c r="I710" s="7" t="n">
        <f aca="false">Sens!I708*(1-tax_f)/((Sens!H709+Sens!I709)/2)</f>
        <v>-0.0594552515388191</v>
      </c>
      <c r="J710" s="7" t="n">
        <f aca="false">Sens!J708*(1-tax_f)/((Sens!I709+Sens!J709)/2)</f>
        <v>-0.0667015729394002</v>
      </c>
      <c r="K710" s="7" t="n">
        <f aca="false">Sens!K708*(1-tax_f)/((Sens!J709+Sens!K709)/2)</f>
        <v>-0.0735049560740113</v>
      </c>
    </row>
    <row r="711" customFormat="false" ht="17.15" hidden="false" customHeight="false" outlineLevel="0" collapsed="false">
      <c r="A711" s="1" t="s">
        <v>1015</v>
      </c>
      <c r="B711" s="0" t="s">
        <v>168</v>
      </c>
      <c r="F711" s="7" t="n">
        <f aca="false">(Sens!F708-Sens!F707)*(1-tax_f)/((Sens!E709+Sens!F709)/2)</f>
        <v>-0.000871320783610466</v>
      </c>
      <c r="G711" s="7" t="n">
        <f aca="false">(Sens!G708-Sens!G707)*(1-tax_f)/((Sens!F709+Sens!G709)/2)</f>
        <v>-0.0279742438618356</v>
      </c>
      <c r="H711" s="7" t="n">
        <f aca="false">(Sens!H708-Sens!H707)*(1-tax_f)/((Sens!G709+Sens!H709)/2)</f>
        <v>-0.0528338242443913</v>
      </c>
      <c r="I711" s="7" t="n">
        <f aca="false">(Sens!I708-Sens!I707)*(1-tax_f)/((Sens!H709+Sens!I709)/2)</f>
        <v>-0.0594552515388191</v>
      </c>
      <c r="J711" s="7" t="n">
        <f aca="false">(Sens!J708-Sens!J707)*(1-tax_f)/((Sens!I709+Sens!J709)/2)</f>
        <v>-0.0667015729394002</v>
      </c>
      <c r="K711" s="7" t="n">
        <f aca="false">(Sens!K708-Sens!K707)*(1-tax_f)/((Sens!J709+Sens!K709)/2)</f>
        <v>-0.0735049560740113</v>
      </c>
    </row>
    <row r="712" customFormat="false" ht="17.15" hidden="false" customHeight="false" outlineLevel="0" collapsed="false">
      <c r="A712" s="1" t="s">
        <v>1016</v>
      </c>
      <c r="B712" s="0" t="s">
        <v>168</v>
      </c>
      <c r="F712" s="7" t="n">
        <f aca="false">(Sens!F708-Sens!F707+Sens!F706)*(1-tax_f)/((Sens!E709+Sens!F709)/2)</f>
        <v>0.0429069654816909</v>
      </c>
      <c r="G712" s="7" t="n">
        <f aca="false">(Sens!G708-Sens!G707+Sens!G706)*(1-tax_f)/((Sens!F709+Sens!G709)/2)</f>
        <v>0.0403189680453549</v>
      </c>
      <c r="H712" s="7" t="n">
        <f aca="false">(Sens!H708-Sens!H707+Sens!H706)*(1-tax_f)/((Sens!G709+Sens!H709)/2)</f>
        <v>0.0307613080877867</v>
      </c>
      <c r="I712" s="7" t="n">
        <f aca="false">(Sens!I708-Sens!I707+Sens!I706)*(1-tax_f)/((Sens!H709+Sens!I709)/2)</f>
        <v>0.0366512650238846</v>
      </c>
      <c r="J712" s="7" t="n">
        <f aca="false">(Sens!J708-Sens!J707+Sens!J706)*(1-tax_f)/((Sens!I709+Sens!J709)/2)</f>
        <v>0.0417932659044041</v>
      </c>
      <c r="K712" s="7" t="n">
        <f aca="false">(Sens!K708-Sens!K707+Sens!K706)*(1-tax_f)/((Sens!J709+Sens!K709)/2)</f>
        <v>0.0477205040415821</v>
      </c>
    </row>
    <row r="713" customFormat="false" ht="17.15" hidden="false" customHeight="false" outlineLevel="0" collapsed="false">
      <c r="A713" s="1" t="s">
        <v>1017</v>
      </c>
      <c r="B713" s="0" t="s">
        <v>168</v>
      </c>
      <c r="F713" s="7" t="n">
        <f aca="false">Sens!F638*(1-tax_f)/(Sens!F624*(Sens!E709+Sens!F709)/2)</f>
        <v>0.098791430090569</v>
      </c>
      <c r="G713" s="7" t="n">
        <f aca="false">Sens!G638*(1-tax_f)/(Sens!G624*(Sens!F709+Sens!G709)/2)</f>
        <v>0.0675308856427828</v>
      </c>
      <c r="H713" s="7" t="n">
        <f aca="false">Sens!H638*(1-tax_f)/(Sens!H624*(Sens!G709+Sens!H709)/2)</f>
        <v>0.0388374979528754</v>
      </c>
      <c r="I713" s="7" t="n">
        <f aca="false">Sens!I638*(1-tax_f)/(Sens!I624*(Sens!H709+Sens!I709)/2)</f>
        <v>0.0411035671771815</v>
      </c>
      <c r="J713" s="7" t="n">
        <f aca="false">Sens!J638*(1-tax_f)/(Sens!J624*(Sens!I709+Sens!J709)/2)</f>
        <v>0.0445222722541192</v>
      </c>
      <c r="K713" s="7" t="n">
        <f aca="false">Sens!K638*(1-tax_f)/(Sens!K624*(Sens!J709+Sens!K709)/2)</f>
        <v>0.0498866361688162</v>
      </c>
    </row>
    <row r="714" customFormat="false" ht="17.15" hidden="false" customHeight="false" outlineLevel="0" collapsed="false">
      <c r="A714" s="0" t="s">
        <v>1018</v>
      </c>
      <c r="B714" s="0" t="s">
        <v>253</v>
      </c>
      <c r="F714" s="7" t="n">
        <f aca="false">Sens!F710-wacc</f>
        <v>-0.103807911729208</v>
      </c>
      <c r="G714" s="7" t="n">
        <f aca="false">Sens!G710-wacc</f>
        <v>-0.130910834807433</v>
      </c>
      <c r="H714" s="7" t="n">
        <f aca="false">Sens!H710-wacc</f>
        <v>-0.155770415189989</v>
      </c>
      <c r="I714" s="7" t="n">
        <f aca="false">Sens!I710-wacc</f>
        <v>-0.162391842484416</v>
      </c>
      <c r="J714" s="7" t="n">
        <f aca="false">Sens!J710-wacc</f>
        <v>-0.169638163884997</v>
      </c>
      <c r="K714" s="7" t="n">
        <f aca="false">Sens!K710-wacc</f>
        <v>-0.176441547019609</v>
      </c>
    </row>
    <row r="715" customFormat="false" ht="17.15" hidden="false" customHeight="false" outlineLevel="0" collapsed="false">
      <c r="A715" s="0" t="s">
        <v>1019</v>
      </c>
      <c r="B715" s="0" t="s">
        <v>98</v>
      </c>
      <c r="F715" s="6" t="n">
        <f aca="false">Sens!F708*(1-tax_f)-wacc*(Sens!E709+Sens!F709)/2</f>
        <v>-20.1008795538392</v>
      </c>
      <c r="G715" s="6" t="n">
        <f aca="false">Sens!G708*(1-tax_f)-wacc*(Sens!F709+Sens!G709)/2</f>
        <v>-42.7001845640189</v>
      </c>
      <c r="H715" s="6" t="n">
        <f aca="false">Sens!H708*(1-tax_f)-wacc*(Sens!G709+Sens!H709)/2</f>
        <v>-69.4168376785306</v>
      </c>
      <c r="I715" s="6" t="n">
        <f aca="false">Sens!I708*(1-tax_f)-wacc*(Sens!H709+Sens!I709)/2</f>
        <v>-85.5286067479618</v>
      </c>
      <c r="J715" s="6" t="n">
        <f aca="false">Sens!J708*(1-tax_f)-wacc*(Sens!I709+Sens!J709)/2</f>
        <v>-93.696158704907</v>
      </c>
      <c r="K715" s="6" t="n">
        <f aca="false">Sens!K708*(1-tax_f)-wacc*(Sens!J709+Sens!K709)/2</f>
        <v>-95.0599478218361</v>
      </c>
    </row>
    <row r="716" customFormat="false" ht="17.15" hidden="false" customHeight="false" outlineLevel="0" collapsed="false">
      <c r="A716" s="3" t="s">
        <v>1628</v>
      </c>
    </row>
    <row r="717" customFormat="false" ht="15" hidden="false" customHeight="false" outlineLevel="0" collapsed="false">
      <c r="A717" s="4" t="s">
        <v>43</v>
      </c>
      <c r="B717" s="4" t="s">
        <v>65</v>
      </c>
      <c r="C717" s="23" t="s">
        <v>942</v>
      </c>
      <c r="D717" s="23" t="s">
        <v>943</v>
      </c>
      <c r="E717" s="23" t="s">
        <v>944</v>
      </c>
      <c r="F717" s="23" t="s">
        <v>945</v>
      </c>
      <c r="G717" s="23" t="s">
        <v>946</v>
      </c>
      <c r="H717" s="23" t="s">
        <v>947</v>
      </c>
      <c r="I717" s="23" t="s">
        <v>948</v>
      </c>
      <c r="J717" s="23" t="s">
        <v>949</v>
      </c>
      <c r="K717" s="23" t="s">
        <v>950</v>
      </c>
      <c r="L717" s="4" t="s">
        <v>47</v>
      </c>
    </row>
    <row r="718" customFormat="false" ht="15" hidden="false" customHeight="false" outlineLevel="0" collapsed="false">
      <c r="A718" s="1" t="s">
        <v>1080</v>
      </c>
      <c r="B718" s="0" t="s">
        <v>98</v>
      </c>
      <c r="F718" s="6" t="n">
        <f aca="false">Sens!F699</f>
        <v>141.519132566314</v>
      </c>
      <c r="G718" s="6" t="n">
        <f aca="false">Sens!G699</f>
        <v>143.776094190781</v>
      </c>
      <c r="H718" s="6" t="n">
        <f aca="false">Sens!H699</f>
        <v>145.523258806884</v>
      </c>
      <c r="I718" s="6" t="n">
        <f aca="false">Sens!I699</f>
        <v>153.618584087663</v>
      </c>
      <c r="J718" s="6" t="n">
        <f aca="false">Sens!J699</f>
        <v>163.027321880188</v>
      </c>
      <c r="K718" s="6" t="n">
        <f aca="false">Sens!K699</f>
        <v>173.630216203913</v>
      </c>
    </row>
    <row r="719" customFormat="false" ht="17.15" hidden="false" customHeight="false" outlineLevel="0" collapsed="false">
      <c r="A719" s="1" t="s">
        <v>1102</v>
      </c>
      <c r="B719" s="0" t="s">
        <v>98</v>
      </c>
      <c r="E719" s="6" t="n">
        <f aca="false">Q!M38-Sens!E637</f>
        <v>22.2285940229167</v>
      </c>
      <c r="F719" s="6" t="n">
        <f aca="false">Sens!E719*(1-1/life_nonai)+(Sens!F727+Sens!F728)/life_nonai</f>
        <v>23.5883405279552</v>
      </c>
      <c r="G719" s="6" t="n">
        <f aca="false">Sens!F719*(1-1/life_nonai)+(Sens!G727)/life_nonai</f>
        <v>25.347608709247</v>
      </c>
      <c r="H719" s="6" t="n">
        <f aca="false">Sens!G719*(1-1/life_nonai)+(Sens!H727)/life_nonai</f>
        <v>27.4750934833125</v>
      </c>
      <c r="I719" s="6" t="n">
        <f aca="false">Sens!H719*(1-1/life_nonai)+(Sens!I727)/life_nonai</f>
        <v>29.9140127982598</v>
      </c>
      <c r="J719" s="6" t="n">
        <f aca="false">Sens!I719*(1-1/life_nonai)+(Sens!J727)/life_nonai</f>
        <v>32.5895147654561</v>
      </c>
      <c r="K719" s="6" t="n">
        <f aca="false">Sens!J719*(1-1/life_nonai)+(Sens!K727)/life_nonai</f>
        <v>35.4171979437481</v>
      </c>
      <c r="L719" s="12" t="s">
        <v>1103</v>
      </c>
    </row>
    <row r="720" customFormat="false" ht="17.15" hidden="false" customHeight="false" outlineLevel="0" collapsed="false">
      <c r="A720" s="1" t="s">
        <v>1104</v>
      </c>
      <c r="B720" s="0" t="s">
        <v>98</v>
      </c>
      <c r="F720" s="6" t="n">
        <f aca="false">Sens!$F$728/life_nonai*(1-1/life_nonai)^(Sens!F600-2027)</f>
        <v>0</v>
      </c>
      <c r="G720" s="6" t="n">
        <f aca="false">Sens!$F$728/life_nonai*(1-1/life_nonai)^(Sens!G600-2027)</f>
        <v>0</v>
      </c>
      <c r="H720" s="6" t="n">
        <f aca="false">Sens!$F$728/life_nonai*(1-1/life_nonai)^(Sens!H600-2027)</f>
        <v>0</v>
      </c>
      <c r="I720" s="6" t="n">
        <f aca="false">Sens!$F$728/life_nonai*(1-1/life_nonai)^(Sens!I600-2027)</f>
        <v>0</v>
      </c>
      <c r="J720" s="6" t="n">
        <f aca="false">Sens!$F$728/life_nonai*(1-1/life_nonai)^(Sens!J600-2027)</f>
        <v>0</v>
      </c>
      <c r="K720" s="6" t="n">
        <f aca="false">Sens!$F$728/life_nonai*(1-1/life_nonai)^(Sens!K600-2027)</f>
        <v>0</v>
      </c>
      <c r="L720" s="1" t="s">
        <v>1105</v>
      </c>
    </row>
    <row r="721" customFormat="false" ht="17.15" hidden="false" customHeight="false" outlineLevel="0" collapsed="false">
      <c r="A721" s="1" t="s">
        <v>1106</v>
      </c>
      <c r="B721" s="0" t="s">
        <v>98</v>
      </c>
      <c r="E721" s="6" t="n">
        <f aca="false">Sens!E637+Sens!E719</f>
        <v>38.534</v>
      </c>
      <c r="F721" s="6" t="n">
        <f aca="false">Sens!F637+Sens!F719</f>
        <v>58.1676550063068</v>
      </c>
      <c r="G721" s="6" t="n">
        <f aca="false">Sens!G637+Sens!G719</f>
        <v>86.0820993615459</v>
      </c>
      <c r="H721" s="6" t="n">
        <f aca="false">Sens!H637+Sens!H719</f>
        <v>116.575184144758</v>
      </c>
      <c r="I721" s="6" t="n">
        <f aca="false">Sens!I637+Sens!I719</f>
        <v>144.145022492808</v>
      </c>
      <c r="J721" s="6" t="n">
        <f aca="false">Sens!J637+Sens!J719</f>
        <v>164.605187815052</v>
      </c>
      <c r="K721" s="6" t="n">
        <f aca="false">Sens!K637+Sens!K719</f>
        <v>178.429867494682</v>
      </c>
    </row>
    <row r="722" customFormat="false" ht="17.15" hidden="false" customHeight="false" outlineLevel="0" collapsed="false">
      <c r="A722" s="1" t="s">
        <v>1107</v>
      </c>
      <c r="B722" s="0" t="s">
        <v>98</v>
      </c>
      <c r="F722" s="6" t="n">
        <f aca="false">Sens!F664*sbc_r</f>
        <v>14.7454787486369</v>
      </c>
      <c r="G722" s="6" t="n">
        <f aca="false">Sens!G664*sbc_r</f>
        <v>17.1560811611477</v>
      </c>
      <c r="H722" s="6" t="n">
        <f aca="false">Sens!H664*sbc_r</f>
        <v>19.4112161412813</v>
      </c>
      <c r="I722" s="6" t="n">
        <f aca="false">Sens!I664*sbc_r</f>
        <v>21.7655163708747</v>
      </c>
      <c r="J722" s="6" t="n">
        <f aca="false">Sens!J664*sbc_r</f>
        <v>23.7425689489627</v>
      </c>
      <c r="K722" s="6" t="n">
        <f aca="false">Sens!K664*sbc_r</f>
        <v>25.3560408997772</v>
      </c>
    </row>
    <row r="723" customFormat="false" ht="17.15" hidden="false" customHeight="false" outlineLevel="0" collapsed="false">
      <c r="A723" s="1" t="s">
        <v>1108</v>
      </c>
      <c r="B723" s="0" t="s">
        <v>98</v>
      </c>
      <c r="F723" s="6" t="n">
        <f aca="false">wc27-wc26q1</f>
        <v>-4.677</v>
      </c>
      <c r="G723" s="6" t="n">
        <f aca="false">wc_f</f>
        <v>0</v>
      </c>
      <c r="H723" s="6" t="n">
        <f aca="false">wc_f</f>
        <v>0</v>
      </c>
      <c r="I723" s="6" t="n">
        <f aca="false">wc_f</f>
        <v>0</v>
      </c>
      <c r="J723" s="6" t="n">
        <f aca="false">wc_f</f>
        <v>0</v>
      </c>
      <c r="K723" s="6" t="n">
        <f aca="false">wc_f</f>
        <v>0</v>
      </c>
      <c r="L723" s="12" t="s">
        <v>1109</v>
      </c>
    </row>
    <row r="724" customFormat="false" ht="17.15" hidden="false" customHeight="false" outlineLevel="0" collapsed="false">
      <c r="A724" s="0" t="s">
        <v>1110</v>
      </c>
      <c r="B724" s="0" t="s">
        <v>98</v>
      </c>
      <c r="F724" s="6" t="n">
        <f aca="false">Q!$I$35-Q!$I$26-Q!$I$38-Q!$I$39</f>
        <v>6.493</v>
      </c>
      <c r="L724" s="1" t="s">
        <v>1111</v>
      </c>
    </row>
    <row r="725" customFormat="false" ht="15" hidden="false" customHeight="false" outlineLevel="0" collapsed="false">
      <c r="A725" s="1" t="s">
        <v>908</v>
      </c>
      <c r="B725" s="0" t="s">
        <v>98</v>
      </c>
      <c r="E725" s="6" t="n">
        <f aca="false">Q!M35</f>
        <v>182.935</v>
      </c>
      <c r="F725" s="6" t="n">
        <f aca="false">Sens!F718+Sens!F721+Sens!F722+Sens!F723+Sens!F724</f>
        <v>216.248266321257</v>
      </c>
      <c r="G725" s="6" t="n">
        <f aca="false">Sens!G718+Sens!G721+Sens!G722+Sens!G723</f>
        <v>247.014274713475</v>
      </c>
      <c r="H725" s="6" t="n">
        <f aca="false">Sens!H718+Sens!H721+Sens!H722+Sens!H723</f>
        <v>281.509659092923</v>
      </c>
      <c r="I725" s="6" t="n">
        <f aca="false">Sens!I718+Sens!I721+Sens!I722+Sens!I723</f>
        <v>319.529122951346</v>
      </c>
      <c r="J725" s="6" t="n">
        <f aca="false">Sens!J718+Sens!J721+Sens!J722+Sens!J723</f>
        <v>351.375078644203</v>
      </c>
      <c r="K725" s="6" t="n">
        <f aca="false">Sens!K718+Sens!K721+Sens!K722+Sens!K723</f>
        <v>377.416124598373</v>
      </c>
    </row>
    <row r="726" customFormat="false" ht="17.15" hidden="false" customHeight="false" outlineLevel="0" collapsed="false">
      <c r="A726" s="0" t="s">
        <v>1112</v>
      </c>
      <c r="B726" s="0" t="s">
        <v>98</v>
      </c>
      <c r="F726" s="6" t="n">
        <f aca="false">Sens!F634</f>
        <v>168.45390404212</v>
      </c>
      <c r="G726" s="6" t="n">
        <f aca="false">Sens!G634</f>
        <v>191.944475649048</v>
      </c>
      <c r="H726" s="6" t="n">
        <f aca="false">Sens!H634</f>
        <v>196.806004064512</v>
      </c>
      <c r="I726" s="6" t="n">
        <f aca="false">Sens!I634</f>
        <v>168.61483362161</v>
      </c>
      <c r="J726" s="6" t="n">
        <f aca="false">Sens!J634</f>
        <v>128.92993119594</v>
      </c>
      <c r="K726" s="6" t="n">
        <f aca="false">Sens!K634</f>
        <v>118.962853064733</v>
      </c>
    </row>
    <row r="727" customFormat="false" ht="17.15" hidden="false" customHeight="false" outlineLevel="0" collapsed="false">
      <c r="A727" s="1" t="s">
        <v>1113</v>
      </c>
      <c r="B727" s="0" t="s">
        <v>98</v>
      </c>
      <c r="E727" s="6" t="n">
        <f aca="false">Sens!E642*cx_azo+Sens!E649*cx_m365+Sens!E650*cx_lic+(Sens!E652+Sens!E654)*cx_ind+Sens!E657*cx_srch+(Sens!E659+Sens!E661)*cx_dev</f>
        <v>30.1846587067718</v>
      </c>
      <c r="F727" s="6" t="n">
        <f aca="false">Sens!F642*cx_azo+Sens!F649*cx_m365+Sens!F650*cx_lic+(Sens!F652+Sens!F654)*cx_ind+Sens!F657*cx_srch+(Sens!F659+Sens!F661)*cx_dev</f>
        <v>35.826059073302</v>
      </c>
      <c r="G727" s="6" t="n">
        <f aca="false">Sens!G642*cx_azo+Sens!G649*cx_m365+Sens!G650*cx_lic+(Sens!G652+Sens!G654)*cx_ind+Sens!G657*cx_srch+(Sens!G659+Sens!G661)*cx_dev</f>
        <v>41.1810223408732</v>
      </c>
      <c r="H727" s="6" t="n">
        <f aca="false">Sens!H642*cx_azo+Sens!H649*cx_m365+Sens!H650*cx_lic+(Sens!H652+Sens!H654)*cx_ind+Sens!H657*cx_srch+(Sens!H659+Sens!H661)*cx_dev</f>
        <v>46.6224564499022</v>
      </c>
      <c r="I727" s="6" t="n">
        <f aca="false">Sens!I642*cx_azo+Sens!I649*cx_m365+Sens!I650*cx_lic+(Sens!I652+Sens!I654)*cx_ind+Sens!I657*cx_srch+(Sens!I659+Sens!I661)*cx_dev</f>
        <v>51.8642866327854</v>
      </c>
      <c r="J727" s="6" t="n">
        <f aca="false">Sens!J642*cx_azo+Sens!J649*cx_m365+Sens!J650*cx_lic+(Sens!J652+Sens!J654)*cx_ind+Sens!J657*cx_srch+(Sens!J659+Sens!J661)*cx_dev</f>
        <v>56.6690324702225</v>
      </c>
      <c r="K727" s="6" t="n">
        <f aca="false">Sens!K642*cx_azo+Sens!K649*cx_m365+Sens!K650*cx_lic+(Sens!K652+Sens!K654)*cx_ind+Sens!K657*cx_srch+(Sens!K659+Sens!K661)*cx_dev</f>
        <v>60.866346548376</v>
      </c>
    </row>
    <row r="728" customFormat="false" ht="17.15" hidden="false" customHeight="false" outlineLevel="0" collapsed="false">
      <c r="A728" s="0" t="s">
        <v>1114</v>
      </c>
      <c r="B728" s="0" t="s">
        <v>98</v>
      </c>
      <c r="F728" s="6" t="n">
        <f aca="false">Sens!F632</f>
        <v>0</v>
      </c>
      <c r="L728" s="1" t="s">
        <v>1115</v>
      </c>
    </row>
    <row r="729" customFormat="false" ht="17.15" hidden="false" customHeight="false" outlineLevel="0" collapsed="false">
      <c r="A729" s="1" t="s">
        <v>1116</v>
      </c>
      <c r="B729" s="0" t="s">
        <v>98</v>
      </c>
      <c r="E729" s="6" t="n">
        <f aca="false">Q!M43</f>
        <v>145.3</v>
      </c>
      <c r="F729" s="6" t="n">
        <f aca="false">Sens!F726+Sens!F727+Sens!F728</f>
        <v>204.279963115422</v>
      </c>
      <c r="G729" s="6" t="n">
        <f aca="false">Sens!G726+Sens!G727</f>
        <v>233.125497989921</v>
      </c>
      <c r="H729" s="6" t="n">
        <f aca="false">Sens!H726+Sens!H727</f>
        <v>243.428460514415</v>
      </c>
      <c r="I729" s="6" t="n">
        <f aca="false">Sens!I726+Sens!I727</f>
        <v>220.479120254396</v>
      </c>
      <c r="J729" s="6" t="n">
        <f aca="false">Sens!J726+Sens!J727</f>
        <v>185.598963666163</v>
      </c>
      <c r="K729" s="6" t="n">
        <f aca="false">Sens!K726+Sens!K727</f>
        <v>179.829199613109</v>
      </c>
      <c r="L729" s="1" t="s">
        <v>1117</v>
      </c>
    </row>
    <row r="730" customFormat="false" ht="15" hidden="false" customHeight="false" outlineLevel="0" collapsed="false">
      <c r="A730" s="1" t="s">
        <v>1118</v>
      </c>
      <c r="B730" s="0" t="s">
        <v>98</v>
      </c>
      <c r="E730" s="6" t="n">
        <f aca="false">fl_liab</f>
        <v>66.594</v>
      </c>
      <c r="F730" s="6" t="n">
        <f aca="false">Sens!E730-Sens!F731</f>
        <v>62.46973</v>
      </c>
      <c r="G730" s="6" t="n">
        <f aca="false">Sens!F730-Sens!G731</f>
        <v>57.98686785</v>
      </c>
      <c r="H730" s="6" t="n">
        <f aca="false">Sens!G730-Sens!H731</f>
        <v>53.92827690325</v>
      </c>
      <c r="I730" s="6" t="n">
        <f aca="false">Sens!H730-Sens!I731</f>
        <v>49.7850493638962</v>
      </c>
      <c r="J730" s="6" t="n">
        <f aca="false">Sens!I730-Sens!J731</f>
        <v>45.4823765852716</v>
      </c>
      <c r="K730" s="6" t="n">
        <f aca="false">Sens!J730-Sens!K731</f>
        <v>40.9860835316088</v>
      </c>
    </row>
    <row r="731" customFormat="false" ht="15" hidden="false" customHeight="false" outlineLevel="0" collapsed="false">
      <c r="A731" s="1" t="s">
        <v>1119</v>
      </c>
      <c r="B731" s="0" t="s">
        <v>98</v>
      </c>
      <c r="F731" s="6" t="n">
        <f aca="false">fl_pay_27-Sens!E730*fl_rate</f>
        <v>4.12427</v>
      </c>
      <c r="G731" s="6" t="n">
        <f aca="false">fl_pay_28-Sens!F730*fl_rate</f>
        <v>4.48286215</v>
      </c>
      <c r="H731" s="6" t="n">
        <f aca="false">fl_pay_29-Sens!G730*fl_rate</f>
        <v>4.05859094675</v>
      </c>
      <c r="I731" s="6" t="n">
        <f aca="false">fl_pay_30-Sens!H730*fl_rate</f>
        <v>4.14322753935375</v>
      </c>
      <c r="J731" s="6" t="n">
        <f aca="false">fl_pay_31-Sens!I730*fl_rate</f>
        <v>4.30267277862467</v>
      </c>
      <c r="K731" s="6" t="n">
        <f aca="false">fl_pay_32-Sens!J730*fl_rate</f>
        <v>4.49629305366278</v>
      </c>
    </row>
    <row r="732" customFormat="false" ht="17.15" hidden="false" customHeight="false" outlineLevel="0" collapsed="false">
      <c r="A732" s="1" t="s">
        <v>1120</v>
      </c>
      <c r="B732" s="0" t="s">
        <v>98</v>
      </c>
      <c r="E732" s="6" t="n">
        <f aca="false">Q!M35-Q!M36-Q!M44</f>
        <v>63.886</v>
      </c>
      <c r="F732" s="6" t="n">
        <f aca="false">Sens!F725-Sens!F729-Sens!F731</f>
        <v>7.8440332058357</v>
      </c>
      <c r="G732" s="6" t="n">
        <f aca="false">Sens!G725-Sens!G729-Sens!G731</f>
        <v>9.40591457355372</v>
      </c>
      <c r="H732" s="6" t="n">
        <f aca="false">Sens!H725-Sens!H729-Sens!H731</f>
        <v>34.0226076317587</v>
      </c>
      <c r="I732" s="6" t="n">
        <f aca="false">Sens!I725-Sens!I729-Sens!I731</f>
        <v>94.9067751575962</v>
      </c>
      <c r="J732" s="6" t="n">
        <f aca="false">Sens!J725-Sens!J729-Sens!J731</f>
        <v>161.473442199415</v>
      </c>
      <c r="K732" s="6" t="n">
        <f aca="false">Sens!K725-Sens!K729-Sens!K731</f>
        <v>193.090631931601</v>
      </c>
      <c r="L732" s="12" t="s">
        <v>1121</v>
      </c>
    </row>
    <row r="733" customFormat="false" ht="15" hidden="false" customHeight="false" outlineLevel="0" collapsed="false">
      <c r="A733" s="1" t="s">
        <v>1122</v>
      </c>
      <c r="B733" s="0" t="s">
        <v>75</v>
      </c>
      <c r="F733" s="8" t="n">
        <f aca="false">dps_27</f>
        <v>3.85</v>
      </c>
      <c r="G733" s="8" t="n">
        <f aca="false">Sens!F733*(1+dps_g)</f>
        <v>4.158</v>
      </c>
      <c r="H733" s="8" t="n">
        <f aca="false">Sens!G733*(1+dps_g)</f>
        <v>4.49064</v>
      </c>
      <c r="I733" s="8" t="n">
        <f aca="false">Sens!H733*(1+dps_g)</f>
        <v>4.8498912</v>
      </c>
      <c r="J733" s="8" t="n">
        <f aca="false">Sens!I733*(1+dps_g)</f>
        <v>5.237882496</v>
      </c>
      <c r="K733" s="8" t="n">
        <f aca="false">Sens!J733*(1+dps_g)</f>
        <v>5.65691309568</v>
      </c>
    </row>
    <row r="734" customFormat="false" ht="17.15" hidden="false" customHeight="false" outlineLevel="0" collapsed="false">
      <c r="A734" s="1" t="s">
        <v>1123</v>
      </c>
      <c r="B734" s="0" t="s">
        <v>98</v>
      </c>
      <c r="E734" s="6" t="n">
        <f aca="false">Q!M41</f>
        <v>26.445</v>
      </c>
      <c r="F734" s="6" t="n">
        <f aca="false">Sens!F733*Sens!E743</f>
        <v>28.59395</v>
      </c>
      <c r="G734" s="6" t="n">
        <f aca="false">Sens!G733*Sens!F743</f>
        <v>31.068576</v>
      </c>
      <c r="H734" s="6" t="n">
        <f aca="false">Sens!H733*Sens!G743</f>
        <v>33.75614088</v>
      </c>
      <c r="I734" s="6" t="n">
        <f aca="false">Sens!I733*Sens!H743</f>
        <v>36.6748772544</v>
      </c>
      <c r="J734" s="6" t="n">
        <f aca="false">Sens!J733*Sens!I743</f>
        <v>39.6767653201446</v>
      </c>
      <c r="K734" s="6" t="n">
        <f aca="false">Sens!K733*Sens!J743</f>
        <v>42.9376608081345</v>
      </c>
      <c r="L734" s="1" t="s">
        <v>1124</v>
      </c>
    </row>
    <row r="735" customFormat="false" ht="15" hidden="false" customHeight="false" outlineLevel="0" collapsed="false">
      <c r="A735" s="1" t="s">
        <v>1125</v>
      </c>
      <c r="B735" s="0" t="s">
        <v>98</v>
      </c>
      <c r="E735" s="6" t="n">
        <f aca="false">Sens!E732-Sens!E734</f>
        <v>37.441</v>
      </c>
      <c r="F735" s="6" t="n">
        <f aca="false">Sens!F732-Sens!F734</f>
        <v>-20.7499167941643</v>
      </c>
      <c r="G735" s="6" t="n">
        <f aca="false">Sens!G732-Sens!G734</f>
        <v>-21.6626614264463</v>
      </c>
      <c r="H735" s="6" t="n">
        <f aca="false">Sens!H732-Sens!H734</f>
        <v>0.266466751758742</v>
      </c>
      <c r="I735" s="6" t="n">
        <f aca="false">Sens!I732-Sens!I734</f>
        <v>58.2318979031962</v>
      </c>
      <c r="J735" s="6" t="n">
        <f aca="false">Sens!J732-Sens!J734</f>
        <v>121.796676879271</v>
      </c>
      <c r="K735" s="6" t="n">
        <f aca="false">Sens!K732-Sens!K734</f>
        <v>150.152971123467</v>
      </c>
    </row>
    <row r="736" customFormat="false" ht="15" hidden="false" customHeight="false" outlineLevel="0" collapsed="false">
      <c r="A736" s="1" t="s">
        <v>1126</v>
      </c>
      <c r="B736" s="0" t="s">
        <v>98</v>
      </c>
      <c r="F736" s="6" t="n">
        <f aca="false">debt_mat_27</f>
        <v>9.25</v>
      </c>
      <c r="G736" s="6" t="n">
        <f aca="false">debt_mat_28</f>
        <v>0</v>
      </c>
      <c r="H736" s="6" t="n">
        <f aca="false">debt_mat_29</f>
        <v>2.001</v>
      </c>
      <c r="I736" s="6" t="n">
        <f aca="false">debt_mat_30</f>
        <v>0</v>
      </c>
      <c r="J736" s="6" t="n">
        <f aca="false">debt_mat_31</f>
        <v>0.5</v>
      </c>
      <c r="K736" s="6" t="n">
        <f aca="false">debt_mat_32</f>
        <v>0</v>
      </c>
    </row>
    <row r="737" customFormat="false" ht="15" hidden="false" customHeight="false" outlineLevel="0" collapsed="false">
      <c r="A737" s="1" t="s">
        <v>1127</v>
      </c>
      <c r="B737" s="0" t="s">
        <v>98</v>
      </c>
      <c r="E737" s="6" t="n">
        <f aca="false">Q!M40</f>
        <v>22.271</v>
      </c>
      <c r="F737" s="6" t="n">
        <f aca="false">MAX(0,MIN(bb_target,Sens!E739+Sens!F735-Sens!F736-min_cash))</f>
        <v>0</v>
      </c>
      <c r="G737" s="6" t="n">
        <f aca="false">MAX(0,MIN(bb_target,Sens!F739+Sens!G735-Sens!G736-min_cash))</f>
        <v>0</v>
      </c>
      <c r="H737" s="6" t="n">
        <f aca="false">MAX(0,MIN(bb_target,Sens!G739+Sens!H735-Sens!H736-min_cash))</f>
        <v>0</v>
      </c>
      <c r="I737" s="6" t="n">
        <f aca="false">MAX(0,MIN(bb_target,Sens!H739+Sens!I735-Sens!I736-min_cash))</f>
        <v>22.271</v>
      </c>
      <c r="J737" s="6" t="n">
        <f aca="false">MAX(0,MIN(bb_target,Sens!I739+Sens!J735-Sens!J736-min_cash))</f>
        <v>22.271</v>
      </c>
      <c r="K737" s="6" t="n">
        <f aca="false">MAX(0,MIN(bb_target,Sens!J739+Sens!K735-Sens!K736-min_cash))</f>
        <v>22.271</v>
      </c>
    </row>
    <row r="738" customFormat="false" ht="15" hidden="false" customHeight="false" outlineLevel="0" collapsed="false">
      <c r="A738" s="1" t="s">
        <v>1128</v>
      </c>
      <c r="B738" s="0" t="s">
        <v>98</v>
      </c>
      <c r="F738" s="6" t="n">
        <f aca="false">MAX(0,min_cash-(Sens!E739+Sens!F735-Sens!F736-Sens!F737))</f>
        <v>3.1569167941643</v>
      </c>
      <c r="G738" s="6" t="n">
        <f aca="false">MAX(0,min_cash-(Sens!F739+Sens!G735-Sens!G736-Sens!G737))</f>
        <v>21.6626614264463</v>
      </c>
      <c r="H738" s="6" t="n">
        <f aca="false">MAX(0,min_cash-(Sens!G739+Sens!H735-Sens!H736-Sens!H737))</f>
        <v>1.73453324824126</v>
      </c>
      <c r="I738" s="6" t="n">
        <f aca="false">MAX(0,min_cash-(Sens!H739+Sens!I735-Sens!I736-Sens!I737))</f>
        <v>0</v>
      </c>
      <c r="J738" s="6" t="n">
        <f aca="false">MAX(0,min_cash-(Sens!I739+Sens!J735-Sens!J736-Sens!J737))</f>
        <v>0</v>
      </c>
      <c r="K738" s="6" t="n">
        <f aca="false">MAX(0,min_cash-(Sens!J739+Sens!K735-Sens!K736-Sens!K737))</f>
        <v>0</v>
      </c>
    </row>
    <row r="739" customFormat="false" ht="15" hidden="false" customHeight="false" outlineLevel="0" collapsed="false">
      <c r="A739" s="1" t="s">
        <v>1129</v>
      </c>
      <c r="B739" s="0" t="s">
        <v>98</v>
      </c>
      <c r="E739" s="6" t="n">
        <f aca="false">cash_open</f>
        <v>76.843</v>
      </c>
      <c r="F739" s="6" t="n">
        <f aca="false">Sens!E739+Sens!F735-Sens!F736-Sens!F737+Sens!F738</f>
        <v>50</v>
      </c>
      <c r="G739" s="6" t="n">
        <f aca="false">Sens!F739+Sens!G735-Sens!G736-Sens!G737+Sens!G738</f>
        <v>50</v>
      </c>
      <c r="H739" s="6" t="n">
        <f aca="false">Sens!G739+Sens!H735-Sens!H736-Sens!H737+Sens!H738</f>
        <v>50</v>
      </c>
      <c r="I739" s="6" t="n">
        <f aca="false">Sens!H739+Sens!I735-Sens!I736-Sens!I737+Sens!I738</f>
        <v>85.9608979031962</v>
      </c>
      <c r="J739" s="6" t="n">
        <f aca="false">Sens!I739+Sens!J735-Sens!J736-Sens!J737+Sens!J738</f>
        <v>184.986574782467</v>
      </c>
      <c r="K739" s="6" t="n">
        <f aca="false">Sens!J739+Sens!K735-Sens!K736-Sens!K737+Sens!K738</f>
        <v>312.868545905934</v>
      </c>
    </row>
    <row r="740" customFormat="false" ht="15" hidden="false" customHeight="false" outlineLevel="0" collapsed="false">
      <c r="A740" s="1" t="s">
        <v>1130</v>
      </c>
      <c r="B740" s="0" t="s">
        <v>98</v>
      </c>
      <c r="E740" s="6" t="n">
        <f aca="false">debt_face</f>
        <v>46.136</v>
      </c>
      <c r="F740" s="6" t="n">
        <f aca="false">Sens!E740-Sens!F736+Sens!F738</f>
        <v>40.0429167941643</v>
      </c>
      <c r="G740" s="6" t="n">
        <f aca="false">Sens!F740-Sens!G736+Sens!G738</f>
        <v>61.7055782206106</v>
      </c>
      <c r="H740" s="6" t="n">
        <f aca="false">Sens!G740-Sens!H736+Sens!H738</f>
        <v>61.4391114688519</v>
      </c>
      <c r="I740" s="6" t="n">
        <f aca="false">Sens!H740-Sens!I736+Sens!I738</f>
        <v>61.4391114688519</v>
      </c>
      <c r="J740" s="6" t="n">
        <f aca="false">Sens!I740-Sens!J736+Sens!J738</f>
        <v>60.9391114688519</v>
      </c>
      <c r="K740" s="6" t="n">
        <f aca="false">Sens!J740-Sens!K736+Sens!K738</f>
        <v>60.9391114688519</v>
      </c>
    </row>
    <row r="741" customFormat="false" ht="15" hidden="false" customHeight="false" outlineLevel="0" collapsed="false">
      <c r="A741" s="1" t="s">
        <v>1131</v>
      </c>
      <c r="B741" s="0" t="s">
        <v>98</v>
      </c>
      <c r="E741" s="6" t="n">
        <f aca="false">Sens!E739-Sens!E740</f>
        <v>30.707</v>
      </c>
      <c r="F741" s="6" t="n">
        <f aca="false">Sens!F739-Sens!F740</f>
        <v>9.95708320583569</v>
      </c>
      <c r="G741" s="6" t="n">
        <f aca="false">Sens!G739-Sens!G740</f>
        <v>-11.7055782206106</v>
      </c>
      <c r="H741" s="6" t="n">
        <f aca="false">Sens!H739-Sens!H740</f>
        <v>-11.4391114688518</v>
      </c>
      <c r="I741" s="6" t="n">
        <f aca="false">Sens!I739-Sens!I740</f>
        <v>24.5217864343444</v>
      </c>
      <c r="J741" s="6" t="n">
        <f aca="false">Sens!J739-Sens!J740</f>
        <v>124.047463313615</v>
      </c>
      <c r="K741" s="6" t="n">
        <f aca="false">Sens!K739-Sens!K740</f>
        <v>251.929434437082</v>
      </c>
    </row>
    <row r="742" customFormat="false" ht="15" hidden="false" customHeight="false" outlineLevel="0" collapsed="false">
      <c r="A742" s="1" t="s">
        <v>1132</v>
      </c>
      <c r="B742" s="0" t="s">
        <v>75</v>
      </c>
      <c r="F742" s="30" t="n">
        <f aca="false">px*(1+bb_g)^(Sens!F600-base_fy-mid_yr)</f>
        <v>551.84177959629</v>
      </c>
      <c r="G742" s="30" t="n">
        <f aca="false">px*(1+bb_g)^(Sens!G600-base_fy-mid_yr)</f>
        <v>595.989121963993</v>
      </c>
      <c r="H742" s="30" t="n">
        <f aca="false">px*(1+bb_g)^(Sens!H600-base_fy-mid_yr)</f>
        <v>643.668251721112</v>
      </c>
      <c r="I742" s="30" t="n">
        <f aca="false">px*(1+bb_g)^(Sens!I600-base_fy-mid_yr)</f>
        <v>695.161711858801</v>
      </c>
      <c r="J742" s="30" t="n">
        <f aca="false">px*(1+bb_g)^(Sens!J600-base_fy-mid_yr)</f>
        <v>750.774648807506</v>
      </c>
      <c r="K742" s="30" t="n">
        <f aca="false">px*(1+bb_g)^(Sens!K600-base_fy-mid_yr)</f>
        <v>810.836620712106</v>
      </c>
    </row>
    <row r="743" customFormat="false" ht="15" hidden="false" customHeight="false" outlineLevel="0" collapsed="false">
      <c r="A743" s="1" t="s">
        <v>1133</v>
      </c>
      <c r="B743" s="1" t="s">
        <v>81</v>
      </c>
      <c r="E743" s="15" t="n">
        <f aca="false">sh_out26</f>
        <v>7.427</v>
      </c>
      <c r="F743" s="15" t="n">
        <f aca="false">Sens!E743+sh_iss-Sens!F737/Sens!F742</f>
        <v>7.472</v>
      </c>
      <c r="G743" s="15" t="n">
        <f aca="false">Sens!F743+sh_iss-Sens!G737/Sens!G742</f>
        <v>7.517</v>
      </c>
      <c r="H743" s="15" t="n">
        <f aca="false">Sens!G743+sh_iss-Sens!H737/Sens!H742</f>
        <v>7.562</v>
      </c>
      <c r="I743" s="15" t="n">
        <f aca="false">Sens!H743+sh_iss-Sens!I737/Sens!I742</f>
        <v>7.57496285005334</v>
      </c>
      <c r="J743" s="15" t="n">
        <f aca="false">Sens!I743+sh_iss-Sens!J737/Sens!J742</f>
        <v>7.59029882232494</v>
      </c>
      <c r="K743" s="15" t="n">
        <f aca="false">Sens!J743+sh_iss-Sens!K737/Sens!K742</f>
        <v>7.60783212998384</v>
      </c>
    </row>
    <row r="744" customFormat="false" ht="15" hidden="false" customHeight="false" outlineLevel="0" collapsed="false">
      <c r="A744" s="1" t="s">
        <v>1134</v>
      </c>
      <c r="B744" s="1" t="s">
        <v>81</v>
      </c>
      <c r="E744" s="15" t="n">
        <f aca="false">sh_dil26</f>
        <v>7.453</v>
      </c>
      <c r="F744" s="15" t="n">
        <f aca="false">(Sens!E743+Sens!F743)/2+dil_gap</f>
        <v>7.4735</v>
      </c>
      <c r="G744" s="15" t="n">
        <f aca="false">(Sens!F743+Sens!G743)/2+dil_gap</f>
        <v>7.5185</v>
      </c>
      <c r="H744" s="15" t="n">
        <f aca="false">(Sens!G743+Sens!H743)/2+dil_gap</f>
        <v>7.5635</v>
      </c>
      <c r="I744" s="15" t="n">
        <f aca="false">(Sens!H743+Sens!I743)/2+dil_gap</f>
        <v>7.59248142502667</v>
      </c>
      <c r="J744" s="15" t="n">
        <f aca="false">(Sens!I743+Sens!J743)/2+dil_gap</f>
        <v>7.60663083618914</v>
      </c>
      <c r="K744" s="15" t="n">
        <f aca="false">(Sens!J743+Sens!K743)/2+dil_gap</f>
        <v>7.62306547615439</v>
      </c>
    </row>
    <row r="745" customFormat="false" ht="17.15" hidden="false" customHeight="false" outlineLevel="0" collapsed="false">
      <c r="A745" s="1" t="s">
        <v>1135</v>
      </c>
      <c r="B745" s="0" t="s">
        <v>98</v>
      </c>
      <c r="C745" s="6" t="n">
        <f aca="false">SUM(Sens!F735:J735)</f>
        <v>137.882463313615</v>
      </c>
    </row>
    <row r="746" customFormat="false" ht="15" hidden="false" customHeight="false" outlineLevel="0" collapsed="false">
      <c r="A746" s="26" t="s">
        <v>1100</v>
      </c>
      <c r="B746" s="31" t="s">
        <v>98</v>
      </c>
      <c r="C746" s="27" t="n">
        <f aca="false">Sens!$C$745-(Sens!F735+Sens!G735+Sens!H735+Sens!I735+Sens!J735)</f>
        <v>0</v>
      </c>
      <c r="D746" s="31"/>
      <c r="E746" s="31"/>
      <c r="F746" s="31"/>
      <c r="G746" s="31"/>
      <c r="H746" s="31"/>
      <c r="I746" s="31"/>
      <c r="J746" s="31"/>
      <c r="K746" s="31"/>
    </row>
    <row r="747" customFormat="false" ht="17.15" hidden="false" customHeight="false" outlineLevel="0" collapsed="false">
      <c r="A747" s="1" t="s">
        <v>1094</v>
      </c>
      <c r="B747" s="1" t="s">
        <v>1136</v>
      </c>
      <c r="C747" s="33" t="str">
        <f aca="false">IF(SUM(Sens!F738:J738)&gt;0.05,"需要舉債 "&amp;TEXT(SUM(Sens!F738:J738),"0.0")&amp;" 十億美元","不需舉債")&amp;"；"&amp;IF(SUM(Sens!F737:J737)&lt;COUNT(Sens!F737:J737)*bb_target-0.05,"回購較每年 "&amp;TEXT(bb_target,"0.0")&amp;" 的目標少 "&amp;TEXT(COUNT(Sens!F737:J737)*bb_target-SUM(Sens!F737:J737),"0.0")&amp;" 十億美元（"&amp;TEXT(COUNTIF(Sens!F737:J737,"&lt;"&amp;(bb_target-0.05)),"0")&amp;" 年減少）","回購不減")</f>
        <v>需要舉債 26.6 十億美元；回購較每年 22.3 的目標少 66.8 十億美元（3 年減少）</v>
      </c>
    </row>
    <row r="748" customFormat="false" ht="17.15" hidden="false" customHeight="false" outlineLevel="0" collapsed="false">
      <c r="A748" s="3" t="s">
        <v>1629</v>
      </c>
    </row>
    <row r="749" customFormat="false" ht="15" hidden="false" customHeight="false" outlineLevel="0" collapsed="false">
      <c r="A749" s="4" t="s">
        <v>43</v>
      </c>
      <c r="B749" s="4" t="s">
        <v>65</v>
      </c>
      <c r="C749" s="23" t="s">
        <v>942</v>
      </c>
      <c r="D749" s="23" t="s">
        <v>943</v>
      </c>
      <c r="E749" s="23" t="s">
        <v>944</v>
      </c>
      <c r="F749" s="23" t="s">
        <v>945</v>
      </c>
      <c r="G749" s="23" t="s">
        <v>946</v>
      </c>
      <c r="H749" s="23" t="s">
        <v>947</v>
      </c>
      <c r="I749" s="23" t="s">
        <v>948</v>
      </c>
      <c r="J749" s="23" t="s">
        <v>949</v>
      </c>
      <c r="K749" s="23" t="s">
        <v>950</v>
      </c>
      <c r="L749" s="4" t="s">
        <v>47</v>
      </c>
    </row>
    <row r="750" customFormat="false" ht="17.15" hidden="false" customHeight="false" outlineLevel="0" collapsed="false">
      <c r="A750" s="1" t="s">
        <v>1216</v>
      </c>
      <c r="B750" s="1" t="s">
        <v>279</v>
      </c>
      <c r="F750" s="8" t="n">
        <f aca="false">(1-v_off)*mid_yr</f>
        <v>0.373972602739726</v>
      </c>
      <c r="G750" s="8" t="n">
        <f aca="false">Sens!G600-base_fy-mid_yr-v_off</f>
        <v>1.24794520547945</v>
      </c>
      <c r="H750" s="8" t="n">
        <f aca="false">Sens!H600-base_fy-mid_yr-v_off</f>
        <v>2.24794520547945</v>
      </c>
      <c r="I750" s="8" t="n">
        <f aca="false">Sens!I600-base_fy-mid_yr-v_off</f>
        <v>3.24794520547945</v>
      </c>
      <c r="J750" s="8" t="n">
        <f aca="false">Sens!J600-base_fy-mid_yr-v_off</f>
        <v>4.24794520547945</v>
      </c>
      <c r="K750" s="8" t="n">
        <f aca="false">Sens!K600-base_fy-mid_yr-v_off</f>
        <v>5.24794520547945</v>
      </c>
      <c r="L750" s="12" t="s">
        <v>1217</v>
      </c>
    </row>
    <row r="751" customFormat="false" ht="15" hidden="false" customHeight="false" outlineLevel="0" collapsed="false">
      <c r="A751" s="1" t="s">
        <v>1218</v>
      </c>
      <c r="B751" s="1" t="s">
        <v>279</v>
      </c>
      <c r="F751" s="8" t="n">
        <f aca="false">Sens!F600-base_fy-v_off</f>
        <v>0.747945205479452</v>
      </c>
      <c r="G751" s="8" t="n">
        <f aca="false">Sens!G600-base_fy-v_off</f>
        <v>1.74794520547945</v>
      </c>
      <c r="H751" s="8" t="n">
        <f aca="false">Sens!H600-base_fy-v_off</f>
        <v>2.74794520547945</v>
      </c>
      <c r="I751" s="8" t="n">
        <f aca="false">Sens!I600-base_fy-v_off</f>
        <v>3.74794520547945</v>
      </c>
      <c r="J751" s="8" t="n">
        <f aca="false">Sens!J600-base_fy-v_off</f>
        <v>4.74794520547945</v>
      </c>
      <c r="K751" s="8" t="n">
        <f aca="false">Sens!K600-base_fy-v_off</f>
        <v>5.74794520547945</v>
      </c>
    </row>
    <row r="752" customFormat="false" ht="15" hidden="false" customHeight="false" outlineLevel="0" collapsed="false">
      <c r="A752" s="1" t="s">
        <v>1219</v>
      </c>
      <c r="B752" s="0" t="s">
        <v>229</v>
      </c>
      <c r="F752" s="15" t="n">
        <f aca="false">1/(1+wacc)^Sens!F750</f>
        <v>0.964022703286649</v>
      </c>
      <c r="G752" s="15" t="n">
        <f aca="false">1/(1+wacc)^Sens!G750</f>
        <v>0.884910302296739</v>
      </c>
      <c r="H752" s="15" t="n">
        <f aca="false">1/(1+wacc)^Sens!H750</f>
        <v>0.802322009770358</v>
      </c>
      <c r="I752" s="15" t="n">
        <f aca="false">1/(1+wacc)^Sens!I750</f>
        <v>0.727441646561469</v>
      </c>
      <c r="J752" s="15" t="n">
        <f aca="false">1/(1+wacc)^Sens!J750</f>
        <v>0.659549834988973</v>
      </c>
      <c r="K752" s="15" t="n">
        <f aca="false">1/(1+wacc)^Sens!K750</f>
        <v>0.597994336576966</v>
      </c>
    </row>
    <row r="753" customFormat="false" ht="17.15" hidden="false" customHeight="false" outlineLevel="0" collapsed="false">
      <c r="A753" s="1" t="s">
        <v>1220</v>
      </c>
      <c r="B753" s="0" t="s">
        <v>98</v>
      </c>
      <c r="F753" s="6" t="n">
        <f aca="false">Q!$I$35-Q!$I$39-Q!$I$43</f>
        <v>9.666</v>
      </c>
      <c r="L753" s="12" t="s">
        <v>1221</v>
      </c>
    </row>
    <row r="754" customFormat="false" ht="17.15" hidden="false" customHeight="false" outlineLevel="0" collapsed="false">
      <c r="A754" s="1" t="s">
        <v>1222</v>
      </c>
      <c r="B754" s="0" t="s">
        <v>98</v>
      </c>
      <c r="F754" s="6" t="n">
        <f aca="false">Sens!F725-Sens!F722-Sens!F729+Sens!F707*(1-tax_f)*(1-v_off)-Sens!F753</f>
        <v>-12.4431755428012</v>
      </c>
      <c r="G754" s="6" t="n">
        <f aca="false">Sens!G725-Sens!G722-Sens!G729+Sens!G707*(1-tax_f)</f>
        <v>-3.26730443759399</v>
      </c>
      <c r="H754" s="6" t="n">
        <f aca="false">Sens!H725-Sens!H722-Sens!H729+Sens!H707*(1-tax_f)</f>
        <v>18.6699824372275</v>
      </c>
      <c r="I754" s="6" t="n">
        <f aca="false">Sens!I725-Sens!I722-Sens!I729+Sens!I707*(1-tax_f)</f>
        <v>77.2844863260753</v>
      </c>
      <c r="J754" s="6" t="n">
        <f aca="false">Sens!J725-Sens!J722-Sens!J729+Sens!J707*(1-tax_f)</f>
        <v>142.033546029077</v>
      </c>
      <c r="K754" s="6" t="n">
        <f aca="false">Sens!K725-Sens!K722-Sens!K729+Sens!K707*(1-tax_f)</f>
        <v>172.230884085487</v>
      </c>
      <c r="L754" s="1" t="s">
        <v>1223</v>
      </c>
    </row>
    <row r="755" customFormat="false" ht="15" hidden="false" customHeight="false" outlineLevel="0" collapsed="false">
      <c r="A755" s="1" t="s">
        <v>1224</v>
      </c>
      <c r="B755" s="0" t="s">
        <v>98</v>
      </c>
      <c r="F755" s="6" t="n">
        <f aca="false">Sens!F754*Sens!F752</f>
        <v>-11.9955037242415</v>
      </c>
      <c r="G755" s="6" t="n">
        <f aca="false">Sens!G754*Sens!G752</f>
        <v>-2.89127135756678</v>
      </c>
      <c r="H755" s="6" t="n">
        <f aca="false">Sens!H754*Sens!H752</f>
        <v>14.9793378314136</v>
      </c>
      <c r="I755" s="6" t="n">
        <f aca="false">Sens!I754*Sens!I752</f>
        <v>56.2199539866975</v>
      </c>
      <c r="J755" s="6" t="n">
        <f aca="false">Sens!J754*Sens!J752</f>
        <v>93.6782018463766</v>
      </c>
      <c r="K755" s="6" t="n">
        <f aca="false">Sens!K754*Sens!K752</f>
        <v>102.993093266765</v>
      </c>
    </row>
    <row r="756" customFormat="false" ht="17.15" hidden="false" customHeight="false" outlineLevel="0" collapsed="false">
      <c r="A756" s="1" t="s">
        <v>1225</v>
      </c>
      <c r="B756" s="0" t="s">
        <v>98</v>
      </c>
      <c r="C756" s="6" t="n">
        <f aca="false">SUM(Sens!F755:K755)</f>
        <v>252.983811849444</v>
      </c>
    </row>
    <row r="757" customFormat="false" ht="17.15" hidden="false" customHeight="false" outlineLevel="0" collapsed="false">
      <c r="A757" s="1" t="s">
        <v>1226</v>
      </c>
      <c r="B757" s="0" t="s">
        <v>98</v>
      </c>
      <c r="C757" s="6" t="n">
        <f aca="false">Sens!K693*(1+g_tv)*(1-tax_f)</f>
        <v>179.827922690031</v>
      </c>
    </row>
    <row r="758" customFormat="false" ht="17.15" hidden="false" customHeight="false" outlineLevel="0" collapsed="false">
      <c r="A758" s="1" t="s">
        <v>1227</v>
      </c>
      <c r="B758" s="0" t="s">
        <v>98</v>
      </c>
      <c r="C758" s="6" t="n">
        <f aca="false">Sens!$C$757*(1-g_tv/(wacc+ronic_prem))</f>
        <v>127.418593498702</v>
      </c>
    </row>
    <row r="759" customFormat="false" ht="17.15" hidden="false" customHeight="false" outlineLevel="0" collapsed="false">
      <c r="A759" s="1" t="s">
        <v>1228</v>
      </c>
      <c r="B759" s="0" t="s">
        <v>98</v>
      </c>
      <c r="C759" s="6" t="n">
        <f aca="false">Sens!$C$758/(wacc-g_tv)</f>
        <v>1746.97763971094</v>
      </c>
    </row>
    <row r="760" customFormat="false" ht="15" hidden="false" customHeight="false" outlineLevel="0" collapsed="false">
      <c r="A760" s="1" t="s">
        <v>1229</v>
      </c>
      <c r="B760" s="0" t="s">
        <v>98</v>
      </c>
      <c r="C760" s="6" t="n">
        <f aca="false">Sens!$C$759/(1+wacc)^Sens!K751</f>
        <v>994.738998531317</v>
      </c>
    </row>
    <row r="761" customFormat="false" ht="17.15" hidden="false" customHeight="false" outlineLevel="0" collapsed="false">
      <c r="A761" s="0" t="s">
        <v>1230</v>
      </c>
      <c r="B761" s="0" t="s">
        <v>98</v>
      </c>
      <c r="C761" s="6" t="n">
        <f aca="false">Sens!$C$756+Sens!$C$760</f>
        <v>1247.72281038076</v>
      </c>
    </row>
    <row r="762" customFormat="false" ht="15" hidden="false" customHeight="false" outlineLevel="0" collapsed="false">
      <c r="A762" s="1" t="s">
        <v>1145</v>
      </c>
      <c r="B762" s="0" t="s">
        <v>168</v>
      </c>
      <c r="C762" s="7" t="n">
        <f aca="false">Sens!$C$760/Sens!$C$761</f>
        <v>0.797243578666128</v>
      </c>
    </row>
    <row r="763" customFormat="false" ht="17.15" hidden="false" customHeight="false" outlineLevel="0" collapsed="false">
      <c r="A763" s="1" t="s">
        <v>1231</v>
      </c>
      <c r="B763" s="0" t="s">
        <v>98</v>
      </c>
      <c r="C763" s="6" t="n">
        <f aca="false">Sens!$C$761+cash_val-debt_val-fl_val+oai_v</f>
        <v>1363.57381038076</v>
      </c>
    </row>
    <row r="764" customFormat="false" ht="17.15" hidden="false" customHeight="false" outlineLevel="0" collapsed="false">
      <c r="A764" s="0" t="s">
        <v>1153</v>
      </c>
      <c r="B764" s="0" t="s">
        <v>75</v>
      </c>
      <c r="C764" s="5" t="n">
        <f aca="false">Sens!$C$763/shd_val</f>
        <v>183.128365616541</v>
      </c>
    </row>
    <row r="765" customFormat="false" ht="15" hidden="false" customHeight="false" outlineLevel="0" collapsed="false">
      <c r="A765" s="1" t="s">
        <v>1232</v>
      </c>
      <c r="B765" s="0" t="s">
        <v>75</v>
      </c>
      <c r="C765" s="8" t="n">
        <f aca="false">div_rem27+Sens!G733*roll_div_q/q_per_yr</f>
        <v>3.9795</v>
      </c>
    </row>
    <row r="766" customFormat="false" ht="17.15" hidden="false" customHeight="false" outlineLevel="0" collapsed="false">
      <c r="A766" s="0" t="s">
        <v>1233</v>
      </c>
      <c r="B766" s="0" t="s">
        <v>75</v>
      </c>
      <c r="C766" s="5" t="n">
        <f aca="false">Sens!$C$764*(1+wacc)^t_roll-Sens!$C$765</f>
        <v>199.577898913084</v>
      </c>
    </row>
    <row r="767" customFormat="false" ht="17.15" hidden="false" customHeight="false" outlineLevel="0" collapsed="false">
      <c r="A767" s="1" t="s">
        <v>1234</v>
      </c>
      <c r="B767" s="0" t="s">
        <v>168</v>
      </c>
      <c r="F767" s="7" t="n">
        <f aca="false">Sens!F719/(Sens!F664-Sens!F619)</f>
        <v>0.068677393452264</v>
      </c>
      <c r="G767" s="7" t="n">
        <f aca="false">Sens!G719/(Sens!G664-Sens!G619)</f>
        <v>0.0663132664471956</v>
      </c>
      <c r="H767" s="7" t="n">
        <f aca="false">Sens!H719/(Sens!H664-Sens!H619)</f>
        <v>0.0651363826734039</v>
      </c>
      <c r="I767" s="7" t="n">
        <f aca="false">Sens!I719/(Sens!I664-Sens!I619)</f>
        <v>0.0650087936347709</v>
      </c>
      <c r="J767" s="7" t="n">
        <f aca="false">Sens!J719/(Sens!J664-Sens!J619)</f>
        <v>0.0657212684841778</v>
      </c>
      <c r="K767" s="7" t="n">
        <f aca="false">Sens!K719/(Sens!K664-Sens!K619)</f>
        <v>0.0670413306015285</v>
      </c>
    </row>
    <row r="768" customFormat="false" ht="17.15" hidden="false" customHeight="false" outlineLevel="0" collapsed="false">
      <c r="A768" s="0" t="s">
        <v>1235</v>
      </c>
      <c r="B768" s="0" t="s">
        <v>98</v>
      </c>
      <c r="F768" s="6" t="n">
        <f aca="false">Sens!F649*(al_m365+Sens!F767+sbc_r)</f>
        <v>82.9185219618347</v>
      </c>
      <c r="G768" s="6" t="n">
        <f aca="false">Sens!G649*(al_m365+Sens!G767+sbc_r)</f>
        <v>93.3068052157631</v>
      </c>
      <c r="H768" s="6" t="n">
        <f aca="false">Sens!H649*(al_m365+Sens!H767+sbc_r)</f>
        <v>103.856057136159</v>
      </c>
      <c r="I768" s="6" t="n">
        <f aca="false">Sens!I649*(al_m365+Sens!I767+sbc_r)</f>
        <v>113.889717587147</v>
      </c>
      <c r="J768" s="6" t="n">
        <f aca="false">Sens!J649*(al_m365+Sens!J767+sbc_r)</f>
        <v>123.218477864124</v>
      </c>
      <c r="K768" s="6" t="n">
        <f aca="false">Sens!K649*(al_m365+Sens!K767+sbc_r)</f>
        <v>132.149420086311</v>
      </c>
      <c r="L768" s="12" t="s">
        <v>1236</v>
      </c>
    </row>
    <row r="769" customFormat="false" ht="17.15" hidden="false" customHeight="false" outlineLevel="0" collapsed="false">
      <c r="A769" s="0" t="s">
        <v>1237</v>
      </c>
      <c r="B769" s="0" t="s">
        <v>98</v>
      </c>
      <c r="F769" s="6" t="n">
        <f aca="false">Sens!F650*(al_lic+Sens!F767+sbc_r)</f>
        <v>32.8599853992256</v>
      </c>
      <c r="G769" s="6" t="n">
        <f aca="false">Sens!G650*(al_lic+Sens!G767+sbc_r)</f>
        <v>34.1568280697879</v>
      </c>
      <c r="H769" s="6" t="n">
        <f aca="false">Sens!H650*(al_lic+Sens!H767+sbc_r)</f>
        <v>35.3635535007213</v>
      </c>
      <c r="I769" s="6" t="n">
        <f aca="false">Sens!I650*(al_lic+Sens!I767+sbc_r)</f>
        <v>36.4604537346553</v>
      </c>
      <c r="J769" s="6" t="n">
        <f aca="false">Sens!J650*(al_lic+Sens!J767+sbc_r)</f>
        <v>37.4245888933574</v>
      </c>
      <c r="K769" s="6" t="n">
        <f aca="false">Sens!K650*(al_lic+Sens!K767+sbc_r)</f>
        <v>38.2321483186439</v>
      </c>
    </row>
    <row r="770" customFormat="false" ht="17.15" hidden="false" customHeight="false" outlineLevel="0" collapsed="false">
      <c r="A770" s="0" t="s">
        <v>1238</v>
      </c>
      <c r="B770" s="0" t="s">
        <v>98</v>
      </c>
      <c r="F770" s="6" t="n">
        <f aca="false">Sens!F652*(al_ind+Sens!F767+sbc_r)</f>
        <v>9.06170747885803</v>
      </c>
      <c r="G770" s="6" t="n">
        <f aca="false">Sens!G652*(al_ind+Sens!G767+sbc_r)</f>
        <v>9.8478979082138</v>
      </c>
      <c r="H770" s="6" t="n">
        <f aca="false">Sens!H652*(al_ind+Sens!H767+sbc_r)</f>
        <v>10.6768254332059</v>
      </c>
      <c r="I770" s="6" t="n">
        <f aca="false">Sens!I652*(al_ind+Sens!I767+sbc_r)</f>
        <v>11.54398793803</v>
      </c>
      <c r="J770" s="6" t="n">
        <f aca="false">Sens!J652*(al_ind+Sens!J767+sbc_r)</f>
        <v>12.4407914253112</v>
      </c>
      <c r="K770" s="6" t="n">
        <f aca="false">Sens!K652*(al_ind+Sens!K767+sbc_r)</f>
        <v>13.355239066864</v>
      </c>
    </row>
    <row r="771" customFormat="false" ht="17.15" hidden="false" customHeight="false" outlineLevel="0" collapsed="false">
      <c r="A771" s="0" t="s">
        <v>1239</v>
      </c>
      <c r="B771" s="0" t="s">
        <v>98</v>
      </c>
      <c r="F771" s="6" t="n">
        <f aca="false">Sens!F654*(al_fro+Sens!F767+sbc_r)</f>
        <v>3.55453569939552</v>
      </c>
      <c r="G771" s="6" t="n">
        <f aca="false">Sens!G654*(al_fro+Sens!G767+sbc_r)</f>
        <v>3.76809436159872</v>
      </c>
      <c r="H771" s="6" t="n">
        <f aca="false">Sens!H654*(al_fro+Sens!H767+sbc_r)</f>
        <v>4.00964905674607</v>
      </c>
      <c r="I771" s="6" t="n">
        <f aca="false">Sens!I654*(al_fro+Sens!I767+sbc_r)</f>
        <v>4.28152633145235</v>
      </c>
      <c r="J771" s="6" t="n">
        <f aca="false">Sens!J654*(al_fro+Sens!J767+sbc_r)</f>
        <v>4.58536512975975</v>
      </c>
      <c r="K771" s="6" t="n">
        <f aca="false">Sens!K654*(al_fro+Sens!K767+sbc_r)</f>
        <v>4.92240770086468</v>
      </c>
    </row>
    <row r="772" customFormat="false" ht="17.15" hidden="false" customHeight="false" outlineLevel="0" collapsed="false">
      <c r="A772" s="0" t="s">
        <v>1240</v>
      </c>
      <c r="B772" s="0" t="s">
        <v>98</v>
      </c>
      <c r="F772" s="6" t="n">
        <f aca="false">Sens!F657*(al_srch+Sens!F767+sbc_r)</f>
        <v>11.190683952584</v>
      </c>
      <c r="G772" s="6" t="n">
        <f aca="false">Sens!G657*(al_srch+Sens!G767+sbc_r)</f>
        <v>12.2763328717258</v>
      </c>
      <c r="H772" s="6" t="n">
        <f aca="false">Sens!H657*(al_srch+Sens!H767+sbc_r)</f>
        <v>13.4043563346576</v>
      </c>
      <c r="I772" s="6" t="n">
        <f aca="false">Sens!I657*(al_srch+Sens!I767+sbc_r)</f>
        <v>14.5621512181916</v>
      </c>
      <c r="J772" s="6" t="n">
        <f aca="false">Sens!J657*(al_srch+Sens!J767+sbc_r)</f>
        <v>15.7310381862385</v>
      </c>
      <c r="K772" s="6" t="n">
        <f aca="false">Sens!K657*(al_srch+Sens!K767+sbc_r)</f>
        <v>16.8873320486462</v>
      </c>
    </row>
    <row r="773" customFormat="false" ht="17.15" hidden="false" customHeight="false" outlineLevel="0" collapsed="false">
      <c r="A773" s="0" t="s">
        <v>1241</v>
      </c>
      <c r="B773" s="0" t="s">
        <v>98</v>
      </c>
      <c r="F773" s="6" t="n">
        <f aca="false">Sens!F625-Sens!F626+Sens!F707</f>
        <v>28.373364181544</v>
      </c>
      <c r="G773" s="6" t="n">
        <f aca="false">Sens!G625-Sens!G626+Sens!G707</f>
        <v>41.620851051084</v>
      </c>
      <c r="H773" s="6" t="n">
        <f aca="false">Sens!H625-Sens!H626+Sens!H707</f>
        <v>50.2485051794448</v>
      </c>
      <c r="I773" s="6" t="n">
        <f aca="false">Sens!I625-Sens!I626+Sens!I707</f>
        <v>64.3831619538015</v>
      </c>
      <c r="J773" s="6" t="n">
        <f aca="false">Sens!J625-Sens!J626+Sens!J707</f>
        <v>74.4022303930278</v>
      </c>
      <c r="K773" s="6" t="n">
        <f aca="false">Sens!K625-Sens!K626+Sens!K707</f>
        <v>81.092278303818</v>
      </c>
    </row>
    <row r="774" customFormat="false" ht="17.15" hidden="false" customHeight="false" outlineLevel="0" collapsed="false">
      <c r="A774" s="0" t="s">
        <v>1242</v>
      </c>
      <c r="B774" s="0" t="s">
        <v>98</v>
      </c>
      <c r="F774" s="6" t="n">
        <f aca="false">Sens!F686+Sens!F707+Sens!F637+Sens!F767*(Sens!F656-Sens!F619)+sbc_r*Sens!F656</f>
        <v>224.203444483912</v>
      </c>
      <c r="G774" s="6" t="n">
        <f aca="false">Sens!G686+Sens!G707+Sens!G637+Sens!G767*(Sens!G656-Sens!G619)+sbc_r*Sens!G656</f>
        <v>257.654405984585</v>
      </c>
      <c r="H774" s="6" t="n">
        <f aca="false">Sens!H686+Sens!H707+Sens!H637+Sens!H767*(Sens!H656-Sens!H619)+sbc_r*Sens!H656</f>
        <v>291.692363793165</v>
      </c>
      <c r="I774" s="6" t="n">
        <f aca="false">Sens!I686+Sens!I707+Sens!I637+Sens!I767*(Sens!I656-Sens!I619)+sbc_r*Sens!I656</f>
        <v>330.616124714338</v>
      </c>
      <c r="J774" s="6" t="n">
        <f aca="false">Sens!J686+Sens!J707+Sens!J637+Sens!J767*(Sens!J656-Sens!J619)+sbc_r*Sens!J656</f>
        <v>363.500509217877</v>
      </c>
      <c r="K774" s="6" t="n">
        <f aca="false">Sens!K686+Sens!K707+Sens!K637+Sens!K767*(Sens!K656-Sens!K619)+sbc_r*Sens!K656</f>
        <v>390.71333202712</v>
      </c>
    </row>
    <row r="775" customFormat="false" ht="17.15" hidden="false" customHeight="false" outlineLevel="0" collapsed="false">
      <c r="A775" s="0" t="s">
        <v>1243</v>
      </c>
      <c r="B775" s="0" t="s">
        <v>98</v>
      </c>
      <c r="F775" s="6" t="n">
        <f aca="false">Sens!F774-Sens!F768-Sens!F769-Sens!F770-Sens!F771-Sens!F773</f>
        <v>67.4353297630543</v>
      </c>
      <c r="G775" s="6" t="n">
        <f aca="false">Sens!G774-Sens!G768-Sens!G769-Sens!G770-Sens!G771-Sens!G773</f>
        <v>74.9539293781376</v>
      </c>
      <c r="H775" s="6" t="n">
        <f aca="false">Sens!H774-Sens!H768-Sens!H769-Sens!H770-Sens!H771-Sens!H773</f>
        <v>87.537773486888</v>
      </c>
      <c r="I775" s="6" t="n">
        <f aca="false">Sens!I774-Sens!I768-Sens!I769-Sens!I770-Sens!I771-Sens!I773</f>
        <v>100.057277169252</v>
      </c>
      <c r="J775" s="6" t="n">
        <f aca="false">Sens!J774-Sens!J768-Sens!J769-Sens!J770-Sens!J771-Sens!J773</f>
        <v>111.429055512297</v>
      </c>
      <c r="K775" s="6" t="n">
        <f aca="false">Sens!K774-Sens!K768-Sens!K769-Sens!K770-Sens!K771-Sens!K773</f>
        <v>120.961838550618</v>
      </c>
    </row>
    <row r="776" customFormat="false" ht="17.15" hidden="false" customHeight="false" outlineLevel="0" collapsed="false">
      <c r="A776" s="0" t="s">
        <v>1244</v>
      </c>
      <c r="B776" s="0" t="s">
        <v>98</v>
      </c>
      <c r="F776" s="6" t="n">
        <f aca="false">Sens!F688+Sens!F767*Sens!F663+sbc_r*Sens!F663</f>
        <v>26.6373549789235</v>
      </c>
      <c r="G776" s="6" t="n">
        <f aca="false">Sens!G688+Sens!G767*Sens!G663+sbc_r*Sens!G663</f>
        <v>26.5038922765853</v>
      </c>
      <c r="H776" s="6" t="n">
        <f aca="false">Sens!H688+Sens!H767*Sens!H663+sbc_r*Sens!H663</f>
        <v>27.3981100014792</v>
      </c>
      <c r="I776" s="6" t="n">
        <f aca="false">Sens!I688+Sens!I767*Sens!I663+sbc_r*Sens!I663</f>
        <v>28.5176442589239</v>
      </c>
      <c r="J776" s="6" t="n">
        <f aca="false">Sens!J688+Sens!J767*Sens!J663+sbc_r*Sens!J663</f>
        <v>29.8313998963726</v>
      </c>
      <c r="K776" s="6" t="n">
        <f aca="false">Sens!K688+Sens!K767*Sens!K663+sbc_r*Sens!K663</f>
        <v>31.3103466222307</v>
      </c>
    </row>
    <row r="777" customFormat="false" ht="17.15" hidden="false" customHeight="false" outlineLevel="0" collapsed="false">
      <c r="A777" s="0" t="s">
        <v>1245</v>
      </c>
      <c r="B777" s="0" t="s">
        <v>98</v>
      </c>
      <c r="F777" s="6" t="n">
        <f aca="false">(Sens!F776-Sens!F772)*Sens!F659/(Sens!F659+Sens!F661)</f>
        <v>8.72405610479892</v>
      </c>
      <c r="G777" s="6" t="n">
        <f aca="false">(Sens!G776-Sens!G772)*Sens!G659/(Sens!G659+Sens!G661)</f>
        <v>7.897418765869</v>
      </c>
      <c r="H777" s="6" t="n">
        <f aca="false">(Sens!H776-Sens!H772)*Sens!H659/(Sens!H659+Sens!H661)</f>
        <v>7.66644879573063</v>
      </c>
      <c r="I777" s="6" t="n">
        <f aca="false">(Sens!I776-Sens!I772)*Sens!I659/(Sens!I659+Sens!I661)</f>
        <v>7.5787545031814</v>
      </c>
      <c r="J777" s="6" t="n">
        <f aca="false">(Sens!J776-Sens!J772)*Sens!J659/(Sens!J659+Sens!J661)</f>
        <v>7.62401876450459</v>
      </c>
      <c r="K777" s="6" t="n">
        <f aca="false">(Sens!K776-Sens!K772)*Sens!K659/(Sens!K659+Sens!K661)</f>
        <v>7.79847609658838</v>
      </c>
    </row>
    <row r="778" customFormat="false" ht="17.15" hidden="false" customHeight="false" outlineLevel="0" collapsed="false">
      <c r="A778" s="0" t="s">
        <v>1246</v>
      </c>
      <c r="B778" s="0" t="s">
        <v>98</v>
      </c>
      <c r="F778" s="6" t="n">
        <f aca="false">Sens!F776-Sens!F772-Sens!F777</f>
        <v>6.72261492154066</v>
      </c>
      <c r="G778" s="6" t="n">
        <f aca="false">Sens!G776-Sens!G772-Sens!G777</f>
        <v>6.33014063899044</v>
      </c>
      <c r="H778" s="6" t="n">
        <f aca="false">Sens!H776-Sens!H772-Sens!H777</f>
        <v>6.32730487109095</v>
      </c>
      <c r="I778" s="6" t="n">
        <f aca="false">Sens!I776-Sens!I772-Sens!I777</f>
        <v>6.37673853755084</v>
      </c>
      <c r="J778" s="6" t="n">
        <f aca="false">Sens!J776-Sens!J772-Sens!J777</f>
        <v>6.47634294562954</v>
      </c>
      <c r="K778" s="6" t="n">
        <f aca="false">Sens!K776-Sens!K772-Sens!K777</f>
        <v>6.62453847699607</v>
      </c>
    </row>
    <row r="779" customFormat="false" ht="17.15" hidden="false" customHeight="false" outlineLevel="0" collapsed="false">
      <c r="A779" s="0" t="s">
        <v>1247</v>
      </c>
      <c r="B779" s="0" t="s">
        <v>98</v>
      </c>
      <c r="F779" s="6" t="n">
        <f aca="false">Sens!F773-tax_f*(Sens!F773-Sens!F637)-Sens!F634</f>
        <v>-138.839349801214</v>
      </c>
      <c r="G779" s="6" t="n">
        <f aca="false">Sens!G773-tax_f*(Sens!G773-Sens!G637)-Sens!G634</f>
        <v>-146.500896677721</v>
      </c>
      <c r="H779" s="6" t="n">
        <f aca="false">Sens!H773-tax_f*(Sens!H773-Sens!H637)-Sens!H634</f>
        <v>-138.787181788667</v>
      </c>
      <c r="I779" s="6" t="n">
        <f aca="false">Sens!I773-tax_f*(Sens!I773-Sens!I637)-Sens!I634</f>
        <v>-94.2621021196595</v>
      </c>
      <c r="J779" s="6" t="n">
        <f aca="false">Sens!J773-tax_f*(Sens!J773-Sens!J637)-Sens!J634</f>
        <v>-43.005012271599</v>
      </c>
      <c r="K779" s="6" t="n">
        <f aca="false">Sens!K773-tax_f*(Sens!K773-Sens!K637)-Sens!K634</f>
        <v>-25.4864965114914</v>
      </c>
    </row>
    <row r="780" customFormat="false" ht="17.15" hidden="false" customHeight="false" outlineLevel="0" collapsed="false">
      <c r="A780" s="0" t="s">
        <v>1248</v>
      </c>
      <c r="B780" s="0" t="s">
        <v>98</v>
      </c>
      <c r="G780" s="6" t="n">
        <f aca="false">Sens!G779/(1+wacc)^(Sens!G750-Sens!F751)</f>
        <v>-139.4970457616</v>
      </c>
      <c r="H780" s="6" t="n">
        <f aca="false">Sens!H779/(1+wacc)^(Sens!H750-Sens!F751)</f>
        <v>-119.818406490062</v>
      </c>
      <c r="I780" s="6" t="n">
        <f aca="false">Sens!I779/(1+wacc)^(Sens!I750-Sens!F751)</f>
        <v>-73.7837557445167</v>
      </c>
      <c r="J780" s="6" t="n">
        <f aca="false">Sens!J779/(1+wacc)^(Sens!J750-Sens!F751)</f>
        <v>-30.5205368243226</v>
      </c>
      <c r="K780" s="6" t="n">
        <f aca="false">Sens!K779/(1+wacc)^(Sens!K750-Sens!F751)</f>
        <v>-16.3995785231994</v>
      </c>
      <c r="L780" s="1" t="s">
        <v>1249</v>
      </c>
    </row>
    <row r="781" customFormat="false" ht="17.15" hidden="false" customHeight="false" outlineLevel="0" collapsed="false">
      <c r="A781" s="0" t="s">
        <v>1250</v>
      </c>
      <c r="B781" s="0" t="s">
        <v>98</v>
      </c>
      <c r="C781" s="6" t="n">
        <f aca="false">(Sens!K773-Sens!K637)*(1-tax_f)*(1+g_tv)*(1-g_tv/(wacc+ronic_prem))/(wacc-g_tv)/(1+wacc)^(Sens!K751-Sens!F751)</f>
        <v>-303.695528018801</v>
      </c>
    </row>
    <row r="782" customFormat="false" ht="17.15" hidden="false" customHeight="false" outlineLevel="0" collapsed="false">
      <c r="A782" s="1" t="s">
        <v>1251</v>
      </c>
      <c r="B782" s="0" t="s">
        <v>98</v>
      </c>
      <c r="C782" s="6" t="n">
        <f aca="false">(SUM(Sens!G780:K780)+Sens!$C$781)*(1+wacc)^(t_roll-Sens!F751)</f>
        <v>-706.286346313162</v>
      </c>
      <c r="L782" s="12" t="s">
        <v>1252</v>
      </c>
    </row>
    <row r="783" customFormat="false" ht="17.15" hidden="false" customHeight="false" outlineLevel="0" collapsed="false">
      <c r="A783" s="1" t="s">
        <v>1253</v>
      </c>
      <c r="B783" s="0" t="s">
        <v>98</v>
      </c>
      <c r="C783" s="6" t="n">
        <f aca="false">(w_ntm28*Sens!G625+(1-w_ntm28)*Sens!H625)*m_ai</f>
        <v>344.355829012336</v>
      </c>
    </row>
    <row r="784" customFormat="false" ht="17.15" hidden="false" customHeight="false" outlineLevel="0" collapsed="false">
      <c r="A784" s="1" t="s">
        <v>1254</v>
      </c>
      <c r="B784" s="0" t="s">
        <v>98</v>
      </c>
      <c r="C784" s="6" t="n">
        <f aca="false">(w_ntm28*Sens!G775+(1-w_ntm28)*Sens!H775)*m_cloud</f>
        <v>1093.03877543039</v>
      </c>
    </row>
    <row r="785" customFormat="false" ht="17.15" hidden="false" customHeight="false" outlineLevel="0" collapsed="false">
      <c r="A785" s="1" t="s">
        <v>1255</v>
      </c>
      <c r="B785" s="0" t="s">
        <v>98</v>
      </c>
      <c r="C785" s="6" t="n">
        <f aca="false">(w_ntm28*Sens!G768+(1-w_ntm28)*Sens!H768)*m_sw</f>
        <v>1045.17056616266</v>
      </c>
    </row>
    <row r="786" customFormat="false" ht="17.15" hidden="false" customHeight="false" outlineLevel="0" collapsed="false">
      <c r="A786" s="1" t="s">
        <v>1256</v>
      </c>
      <c r="B786" s="0" t="s">
        <v>98</v>
      </c>
      <c r="C786" s="6" t="n">
        <f aca="false">(w_ntm28*Sens!G769+(1-w_ntm28)*Sens!H769)*m_sw</f>
        <v>373.178444957791</v>
      </c>
    </row>
    <row r="787" customFormat="false" ht="17.15" hidden="false" customHeight="false" outlineLevel="0" collapsed="false">
      <c r="A787" s="1" t="s">
        <v>1257</v>
      </c>
      <c r="B787" s="0" t="s">
        <v>98</v>
      </c>
      <c r="C787" s="6" t="n">
        <f aca="false">(w_ntm28*Sens!G770+(1-w_ntm28)*Sens!H770)*m_sw</f>
        <v>109.30055788101</v>
      </c>
    </row>
    <row r="788" customFormat="false" ht="17.15" hidden="false" customHeight="false" outlineLevel="0" collapsed="false">
      <c r="A788" s="1" t="s">
        <v>1258</v>
      </c>
      <c r="B788" s="0" t="s">
        <v>98</v>
      </c>
      <c r="C788" s="6" t="n">
        <f aca="false">(w_ntm28*Sens!G771+(1-w_ntm28)*Sens!H771)*m_sw</f>
        <v>41.5531037214606</v>
      </c>
    </row>
    <row r="789" customFormat="false" ht="17.15" hidden="false" customHeight="false" outlineLevel="0" collapsed="false">
      <c r="A789" s="1" t="s">
        <v>1259</v>
      </c>
      <c r="B789" s="0" t="s">
        <v>98</v>
      </c>
      <c r="C789" s="6" t="n">
        <f aca="false">(w_ntm28*Sens!G772+(1-w_ntm28)*Sens!H772)*m_ads</f>
        <v>115.215899994784</v>
      </c>
    </row>
    <row r="790" customFormat="false" ht="17.15" hidden="false" customHeight="false" outlineLevel="0" collapsed="false">
      <c r="A790" s="1" t="s">
        <v>1260</v>
      </c>
      <c r="B790" s="0" t="s">
        <v>98</v>
      </c>
      <c r="C790" s="6" t="n">
        <f aca="false">(w_ntm28*Sens!G777+(1-w_ntm28)*Sens!H777)*m_game</f>
        <v>98.7853357615783</v>
      </c>
    </row>
    <row r="791" customFormat="false" ht="17.15" hidden="false" customHeight="false" outlineLevel="0" collapsed="false">
      <c r="A791" s="1" t="s">
        <v>1261</v>
      </c>
      <c r="B791" s="0" t="s">
        <v>98</v>
      </c>
      <c r="C791" s="6" t="n">
        <f aca="false">(w_ntm28*Sens!G778+(1-w_ntm28)*Sens!H778)*m_pc</f>
        <v>91.5836445602173</v>
      </c>
    </row>
    <row r="792" customFormat="false" ht="17.15" hidden="false" customHeight="false" outlineLevel="0" collapsed="false">
      <c r="A792" s="1" t="s">
        <v>1262</v>
      </c>
      <c r="B792" s="0" t="s">
        <v>98</v>
      </c>
      <c r="C792" s="6" t="n">
        <f aca="false">Sens!$C$782+Sens!$C$784+Sens!$C$785+Sens!$C$786+Sens!$C$787+Sens!$C$788+Sens!$C$789+Sens!$C$790+Sens!$C$791</f>
        <v>2261.53998215673</v>
      </c>
    </row>
    <row r="793" customFormat="false" ht="17.15" hidden="false" customHeight="false" outlineLevel="0" collapsed="false">
      <c r="A793" s="1" t="s">
        <v>1263</v>
      </c>
      <c r="B793" s="0" t="s">
        <v>98</v>
      </c>
      <c r="C793" s="6" t="n">
        <f aca="false">(Sens!G754-Sens!G779)*t_stub</f>
        <v>47.4829168796038</v>
      </c>
      <c r="L793" s="1" t="s">
        <v>1264</v>
      </c>
    </row>
    <row r="794" customFormat="false" ht="17.15" hidden="false" customHeight="false" outlineLevel="0" collapsed="false">
      <c r="A794" s="1" t="s">
        <v>1173</v>
      </c>
      <c r="B794" s="0" t="s">
        <v>98</v>
      </c>
      <c r="C794" s="6" t="n">
        <f aca="false">Sens!F741+oai_v-Sens!F730+Sens!$C$793</f>
        <v>158.55427008544</v>
      </c>
      <c r="L794" s="1" t="s">
        <v>1265</v>
      </c>
    </row>
    <row r="795" customFormat="false" ht="17.15" hidden="false" customHeight="false" outlineLevel="0" collapsed="false">
      <c r="A795" s="1" t="s">
        <v>1266</v>
      </c>
      <c r="B795" s="0" t="s">
        <v>75</v>
      </c>
      <c r="C795" s="5" t="n">
        <f aca="false">(Sens!$C$792+Sens!$C$794)/(Sens!F743+dil_gap)-Sens!G733*roll_div_q/q_per_yr</f>
        <v>321.811921056852</v>
      </c>
      <c r="L795" s="1" t="s">
        <v>1267</v>
      </c>
    </row>
    <row r="796" customFormat="false" ht="17.15" hidden="false" customHeight="false" outlineLevel="0" collapsed="false">
      <c r="A796" s="1" t="s">
        <v>1268</v>
      </c>
      <c r="B796" s="0" t="s">
        <v>75</v>
      </c>
      <c r="C796" s="5" t="n">
        <f aca="false">w_dcf*Sens!$C$766+(1-w_dcf)*Sens!$C$795</f>
        <v>260.694909984968</v>
      </c>
    </row>
    <row r="797" customFormat="false" ht="17.15" hidden="false" customHeight="false" outlineLevel="0" collapsed="false">
      <c r="A797" s="3" t="s">
        <v>1630</v>
      </c>
    </row>
    <row r="798" customFormat="false" ht="15" hidden="false" customHeight="false" outlineLevel="0" collapsed="false">
      <c r="A798" s="4" t="s">
        <v>43</v>
      </c>
      <c r="B798" s="4" t="s">
        <v>65</v>
      </c>
      <c r="C798" s="23" t="s">
        <v>942</v>
      </c>
      <c r="D798" s="23" t="s">
        <v>943</v>
      </c>
      <c r="E798" s="23" t="s">
        <v>944</v>
      </c>
      <c r="F798" s="23" t="s">
        <v>945</v>
      </c>
      <c r="G798" s="23" t="s">
        <v>946</v>
      </c>
      <c r="H798" s="23" t="s">
        <v>947</v>
      </c>
      <c r="I798" s="23" t="s">
        <v>948</v>
      </c>
      <c r="J798" s="23" t="s">
        <v>949</v>
      </c>
      <c r="K798" s="23" t="s">
        <v>950</v>
      </c>
      <c r="L798" s="4" t="s">
        <v>47</v>
      </c>
    </row>
    <row r="799" customFormat="false" ht="17.15" hidden="false" customHeight="false" outlineLevel="0" collapsed="false">
      <c r="A799" s="1" t="s">
        <v>951</v>
      </c>
      <c r="B799" s="1" t="s">
        <v>279</v>
      </c>
      <c r="C799" s="21" t="n">
        <v>2024</v>
      </c>
      <c r="D799" s="21" t="n">
        <v>2025</v>
      </c>
      <c r="E799" s="21" t="n">
        <v>2026</v>
      </c>
      <c r="F799" s="21" t="n">
        <v>2027</v>
      </c>
      <c r="G799" s="21" t="n">
        <v>2028</v>
      </c>
      <c r="H799" s="21" t="n">
        <v>2029</v>
      </c>
      <c r="I799" s="21" t="n">
        <v>2030</v>
      </c>
      <c r="J799" s="21" t="n">
        <v>2031</v>
      </c>
      <c r="K799" s="21" t="n">
        <v>2032</v>
      </c>
    </row>
    <row r="800" customFormat="false" ht="17.15" hidden="false" customHeight="false" outlineLevel="0" collapsed="false">
      <c r="A800" s="1" t="s">
        <v>952</v>
      </c>
      <c r="B800" s="0" t="s">
        <v>459</v>
      </c>
      <c r="F800" s="30" t="n">
        <f aca="false">pace</f>
        <v>2726.5351</v>
      </c>
      <c r="G800" s="30" t="n">
        <f aca="false">pace</f>
        <v>2726.5351</v>
      </c>
      <c r="H800" s="30" t="n">
        <f aca="false">pace</f>
        <v>2726.5351</v>
      </c>
      <c r="I800" s="30" t="n">
        <f aca="false">pace+(g_tv*Sens!H801-pace)*MIN(1,(Sens!I799-pace_y0)/(pace_y1-pace_y0))</f>
        <v>1931.98611966667</v>
      </c>
      <c r="J800" s="30" t="n">
        <f aca="false">pace+(g_tv*Sens!I801-pace)*MIN(1,(Sens!J799-pace_y0)/(pace_y1-pace_y0))</f>
        <v>1176.07686172667</v>
      </c>
      <c r="K800" s="30" t="n">
        <f aca="false">pace+(g_tv*Sens!J801-pace)*MIN(1,(Sens!K799-pace_y0)/(pace_y1-pace_y0))</f>
        <v>436.1300484418</v>
      </c>
      <c r="L800" s="12" t="s">
        <v>953</v>
      </c>
    </row>
    <row r="801" customFormat="false" ht="17.15" hidden="false" customHeight="false" outlineLevel="0" collapsed="false">
      <c r="A801" s="1" t="s">
        <v>954</v>
      </c>
      <c r="B801" s="0" t="s">
        <v>459</v>
      </c>
      <c r="C801" s="30" t="n">
        <f aca="false">mw_ext_24</f>
        <v>640</v>
      </c>
      <c r="D801" s="30" t="n">
        <f aca="false">mw_ext_25</f>
        <v>1630</v>
      </c>
      <c r="E801" s="30" t="n">
        <f aca="false">mw_ext_26</f>
        <v>3250</v>
      </c>
      <c r="F801" s="30" t="n">
        <f aca="false">Sens!E801+Sens!F800</f>
        <v>5976.5351</v>
      </c>
      <c r="G801" s="30" t="n">
        <f aca="false">Sens!F801+Sens!G800</f>
        <v>8703.0702</v>
      </c>
      <c r="H801" s="30" t="n">
        <f aca="false">Sens!G801+Sens!H800</f>
        <v>11429.6053</v>
      </c>
      <c r="I801" s="30" t="n">
        <f aca="false">Sens!H801+Sens!I800</f>
        <v>13361.5914196667</v>
      </c>
      <c r="J801" s="30" t="n">
        <f aca="false">Sens!I801+Sens!J800</f>
        <v>14537.6682813933</v>
      </c>
      <c r="K801" s="30" t="n">
        <f aca="false">Sens!J801+Sens!K800</f>
        <v>14973.7983298351</v>
      </c>
      <c r="L801" s="1" t="s">
        <v>955</v>
      </c>
    </row>
    <row r="802" customFormat="false" ht="17.15" hidden="false" customHeight="false" outlineLevel="0" collapsed="false">
      <c r="A802" s="1" t="s">
        <v>956</v>
      </c>
      <c r="B802" s="0" t="s">
        <v>459</v>
      </c>
      <c r="C802" s="30" t="n">
        <f aca="false">rent_ext_24</f>
        <v>150</v>
      </c>
      <c r="D802" s="30" t="n">
        <f aca="false">rent_ext_25</f>
        <v>400</v>
      </c>
      <c r="E802" s="30" t="n">
        <f aca="false">rent_ext_26</f>
        <v>550</v>
      </c>
      <c r="F802" s="30" t="n">
        <f aca="false">rent_ext_f</f>
        <v>756</v>
      </c>
      <c r="G802" s="30" t="n">
        <f aca="false">rent_ext_f</f>
        <v>756</v>
      </c>
      <c r="H802" s="30" t="n">
        <f aca="false">rent_ext_f</f>
        <v>756</v>
      </c>
      <c r="I802" s="30" t="n">
        <f aca="false">rent_ext_f</f>
        <v>756</v>
      </c>
      <c r="J802" s="30" t="n">
        <f aca="false">rent_ext_f</f>
        <v>756</v>
      </c>
      <c r="K802" s="30" t="n">
        <f aca="false">rent_ext_f</f>
        <v>756</v>
      </c>
      <c r="L802" s="1" t="s">
        <v>957</v>
      </c>
    </row>
    <row r="803" customFormat="false" ht="17.15" hidden="false" customHeight="false" outlineLevel="0" collapsed="false">
      <c r="A803" s="1" t="s">
        <v>958</v>
      </c>
      <c r="B803" s="0" t="s">
        <v>459</v>
      </c>
      <c r="C803" s="30" t="n">
        <f aca="false">Sens!C801-Sens!C802</f>
        <v>490</v>
      </c>
      <c r="D803" s="30" t="n">
        <f aca="false">Sens!D801-Sens!D802</f>
        <v>1230</v>
      </c>
      <c r="E803" s="30" t="n">
        <f aca="false">Sens!E801-Sens!E802</f>
        <v>2700</v>
      </c>
      <c r="F803" s="30" t="n">
        <f aca="false">Sens!F801-Sens!F802</f>
        <v>5220.5351</v>
      </c>
      <c r="G803" s="30" t="n">
        <f aca="false">Sens!G801-Sens!G802</f>
        <v>7947.0702</v>
      </c>
      <c r="H803" s="30" t="n">
        <f aca="false">Sens!H801-Sens!H802</f>
        <v>10673.6053</v>
      </c>
      <c r="I803" s="30" t="n">
        <f aca="false">Sens!I801-Sens!I802</f>
        <v>12605.5914196667</v>
      </c>
      <c r="J803" s="30" t="n">
        <f aca="false">Sens!J801-Sens!J802</f>
        <v>13781.6682813933</v>
      </c>
      <c r="K803" s="30" t="n">
        <f aca="false">Sens!K801-Sens!K802</f>
        <v>14217.7983298351</v>
      </c>
    </row>
    <row r="804" customFormat="false" ht="17.15" hidden="false" customHeight="false" outlineLevel="0" collapsed="false">
      <c r="A804" s="1" t="s">
        <v>959</v>
      </c>
      <c r="B804" s="0" t="s">
        <v>459</v>
      </c>
      <c r="C804" s="30" t="n">
        <f aca="false">Sens!C803/ext_sh</f>
        <v>816.666666666667</v>
      </c>
      <c r="D804" s="30" t="n">
        <f aca="false">Sens!D803/ext_sh</f>
        <v>2050</v>
      </c>
      <c r="E804" s="30" t="n">
        <f aca="false">Sens!E803/ext_sh</f>
        <v>4500</v>
      </c>
      <c r="F804" s="30" t="n">
        <f aca="false">Sens!F803/ext_sh</f>
        <v>8700.89183333333</v>
      </c>
      <c r="G804" s="30" t="n">
        <f aca="false">Sens!G803/ext_sh</f>
        <v>13245.117</v>
      </c>
      <c r="H804" s="30" t="n">
        <f aca="false">Sens!H803/ext_sh</f>
        <v>17789.3421666667</v>
      </c>
      <c r="I804" s="30" t="n">
        <f aca="false">Sens!I803/ext_sh</f>
        <v>21009.3190327778</v>
      </c>
      <c r="J804" s="30" t="n">
        <f aca="false">Sens!J803/ext_sh</f>
        <v>22969.4471356556</v>
      </c>
      <c r="K804" s="30" t="n">
        <f aca="false">Sens!K803/ext_sh</f>
        <v>23696.3305497252</v>
      </c>
      <c r="L804" s="1" t="s">
        <v>960</v>
      </c>
    </row>
    <row r="805" customFormat="false" ht="17.15" hidden="false" customHeight="false" outlineLevel="0" collapsed="false">
      <c r="A805" s="1" t="s">
        <v>961</v>
      </c>
      <c r="B805" s="0" t="s">
        <v>459</v>
      </c>
      <c r="C805" s="30" t="n">
        <f aca="false">Sens!C804-Sens!C803</f>
        <v>326.666666666667</v>
      </c>
      <c r="D805" s="30" t="n">
        <f aca="false">Sens!D804-Sens!D803</f>
        <v>820</v>
      </c>
      <c r="E805" s="30" t="n">
        <f aca="false">Sens!E804-Sens!E803</f>
        <v>1800</v>
      </c>
      <c r="F805" s="30" t="n">
        <f aca="false">Sens!F804-Sens!F803</f>
        <v>3480.35673333333</v>
      </c>
      <c r="G805" s="30" t="n">
        <f aca="false">Sens!G804-Sens!G803</f>
        <v>5298.0468</v>
      </c>
      <c r="H805" s="30" t="n">
        <f aca="false">Sens!H804-Sens!H803</f>
        <v>7115.73686666667</v>
      </c>
      <c r="I805" s="30" t="n">
        <f aca="false">Sens!I804-Sens!I803</f>
        <v>8403.72761311111</v>
      </c>
      <c r="J805" s="30" t="n">
        <f aca="false">Sens!J804-Sens!J803</f>
        <v>9187.77885426222</v>
      </c>
      <c r="K805" s="30" t="n">
        <f aca="false">Sens!K804-Sens!K803</f>
        <v>9478.53221989009</v>
      </c>
    </row>
    <row r="806" customFormat="false" ht="17.15" hidden="false" customHeight="false" outlineLevel="0" collapsed="false">
      <c r="A806" s="1" t="s">
        <v>962</v>
      </c>
      <c r="B806" s="0" t="s">
        <v>459</v>
      </c>
      <c r="C806" s="30" t="n">
        <f aca="false">Sens!C804</f>
        <v>816.666666666667</v>
      </c>
      <c r="D806" s="30" t="n">
        <f aca="false">Sens!D804-Sens!C804</f>
        <v>1233.33333333333</v>
      </c>
      <c r="E806" s="30" t="n">
        <f aca="false">Sens!E804-Sens!D804</f>
        <v>2450</v>
      </c>
      <c r="F806" s="30" t="n">
        <f aca="false">Sens!F804-Sens!E804</f>
        <v>4200.89183333333</v>
      </c>
      <c r="G806" s="30" t="n">
        <f aca="false">Sens!G804-Sens!F804</f>
        <v>4544.22516666667</v>
      </c>
      <c r="H806" s="30" t="n">
        <f aca="false">Sens!H804-Sens!G804</f>
        <v>4544.22516666667</v>
      </c>
      <c r="I806" s="30" t="n">
        <f aca="false">Sens!I804-Sens!H804</f>
        <v>3219.97686611111</v>
      </c>
      <c r="J806" s="30" t="n">
        <f aca="false">Sens!J804-Sens!I804</f>
        <v>1960.12810287778</v>
      </c>
      <c r="K806" s="30" t="n">
        <f aca="false">Sens!K804-Sens!J804</f>
        <v>726.883414069667</v>
      </c>
    </row>
    <row r="807" customFormat="false" ht="17.15" hidden="false" customHeight="false" outlineLevel="0" collapsed="false">
      <c r="A807" s="1" t="s">
        <v>963</v>
      </c>
      <c r="B807" s="0" t="s">
        <v>459</v>
      </c>
      <c r="D807" s="30" t="n">
        <f aca="false">Sens!D801-Sens!C801</f>
        <v>990</v>
      </c>
      <c r="E807" s="30" t="n">
        <f aca="false">Sens!E801-Sens!D801</f>
        <v>1620</v>
      </c>
      <c r="F807" s="30" t="n">
        <f aca="false">Sens!F801-Sens!E801</f>
        <v>2726.5351</v>
      </c>
      <c r="G807" s="30" t="n">
        <f aca="false">Sens!G801-Sens!F801</f>
        <v>2726.5351</v>
      </c>
      <c r="H807" s="30" t="n">
        <f aca="false">Sens!H801-Sens!G801</f>
        <v>2726.5351</v>
      </c>
      <c r="I807" s="30" t="n">
        <f aca="false">Sens!I801-Sens!H801</f>
        <v>1931.98611966667</v>
      </c>
      <c r="J807" s="30" t="n">
        <f aca="false">Sens!J801-Sens!I801</f>
        <v>1176.07686172667</v>
      </c>
      <c r="K807" s="30" t="n">
        <f aca="false">Sens!K801-Sens!J801</f>
        <v>436.130048441799</v>
      </c>
    </row>
    <row r="808" customFormat="false" ht="17.15" hidden="false" customHeight="false" outlineLevel="0" collapsed="false">
      <c r="A808" s="1" t="s">
        <v>964</v>
      </c>
      <c r="B808" s="0" t="s">
        <v>459</v>
      </c>
      <c r="F808" s="30" t="n">
        <f aca="false">Sens!F827*ext_sh</f>
        <v>0</v>
      </c>
      <c r="G808" s="30" t="n">
        <f aca="false">Sens!G827*ext_sh</f>
        <v>0</v>
      </c>
      <c r="H808" s="30" t="n">
        <f aca="false">Sens!H827*ext_sh</f>
        <v>0</v>
      </c>
      <c r="I808" s="30" t="n">
        <f aca="false">Sens!I827*ext_sh</f>
        <v>490</v>
      </c>
      <c r="J808" s="30" t="n">
        <f aca="false">Sens!J827*ext_sh</f>
        <v>740</v>
      </c>
      <c r="K808" s="30" t="n">
        <f aca="false">Sens!K827*ext_sh</f>
        <v>1470</v>
      </c>
      <c r="L808" s="1" t="s">
        <v>965</v>
      </c>
    </row>
    <row r="809" customFormat="false" ht="17.15" hidden="false" customHeight="false" outlineLevel="0" collapsed="false">
      <c r="A809" s="1" t="s">
        <v>966</v>
      </c>
      <c r="B809" s="0" t="s">
        <v>459</v>
      </c>
      <c r="C809" s="30" t="n">
        <f aca="false">mix_h*Sens!C801</f>
        <v>128</v>
      </c>
      <c r="D809" s="30" t="n">
        <f aca="false">mix_h*Sens!D801</f>
        <v>326</v>
      </c>
      <c r="E809" s="30" t="n">
        <f aca="false">mix_h*Sens!E801</f>
        <v>650</v>
      </c>
      <c r="F809" s="30" t="n">
        <f aca="false">Sens!E809-Sens!F808*mix_h</f>
        <v>650</v>
      </c>
      <c r="G809" s="30" t="n">
        <f aca="false">Sens!F809-Sens!G808*mix_h</f>
        <v>650</v>
      </c>
      <c r="H809" s="30" t="n">
        <f aca="false">Sens!G809-Sens!H808*mix_h</f>
        <v>650</v>
      </c>
      <c r="I809" s="30" t="n">
        <f aca="false">Sens!H809-Sens!I808*mix_h</f>
        <v>552</v>
      </c>
      <c r="J809" s="30" t="n">
        <f aca="false">Sens!I809-Sens!J808*mix_h</f>
        <v>404</v>
      </c>
      <c r="K809" s="30" t="n">
        <f aca="false">Sens!J809-Sens!K808*mix_h</f>
        <v>110</v>
      </c>
    </row>
    <row r="810" customFormat="false" ht="17.15" hidden="false" customHeight="false" outlineLevel="0" collapsed="false">
      <c r="A810" s="1" t="s">
        <v>967</v>
      </c>
      <c r="B810" s="0" t="s">
        <v>459</v>
      </c>
      <c r="C810" s="30" t="n">
        <f aca="false">mix_g2*Sens!C801</f>
        <v>288</v>
      </c>
      <c r="D810" s="30" t="n">
        <f aca="false">mix_g2*Sens!D801</f>
        <v>733.5</v>
      </c>
      <c r="E810" s="30" t="n">
        <f aca="false">mix_g2*Sens!E801</f>
        <v>1462.5</v>
      </c>
      <c r="F810" s="30" t="n">
        <f aca="false">Sens!E810-Sens!F808*mix_g2</f>
        <v>1462.5</v>
      </c>
      <c r="G810" s="30" t="n">
        <f aca="false">Sens!F810-Sens!G808*mix_g2</f>
        <v>1462.5</v>
      </c>
      <c r="H810" s="30" t="n">
        <f aca="false">Sens!G810-Sens!H808*mix_g2</f>
        <v>1462.5</v>
      </c>
      <c r="I810" s="30" t="n">
        <f aca="false">Sens!H810-Sens!I808*mix_g2</f>
        <v>1242</v>
      </c>
      <c r="J810" s="30" t="n">
        <f aca="false">Sens!I810-Sens!J808*mix_g2</f>
        <v>909</v>
      </c>
      <c r="K810" s="30" t="n">
        <f aca="false">Sens!J810-Sens!K808*mix_g2</f>
        <v>247.5</v>
      </c>
    </row>
    <row r="811" customFormat="false" ht="17.15" hidden="false" customHeight="false" outlineLevel="0" collapsed="false">
      <c r="A811" s="1" t="s">
        <v>968</v>
      </c>
      <c r="B811" s="0" t="s">
        <v>459</v>
      </c>
      <c r="C811" s="30" t="n">
        <f aca="false">mix_g3*Sens!C801</f>
        <v>224</v>
      </c>
      <c r="D811" s="30" t="n">
        <f aca="false">mix_g3*Sens!D801</f>
        <v>570.5</v>
      </c>
      <c r="E811" s="30" t="n">
        <f aca="false">mix_g3*Sens!E801</f>
        <v>1137.5</v>
      </c>
      <c r="F811" s="30" t="n">
        <f aca="false">Sens!E811+(Sens!F807+Sens!F808)*(a_g3_27-nonnv*a_mai)-Sens!F808*mix_g3</f>
        <v>2773.42106</v>
      </c>
      <c r="G811" s="30" t="n">
        <f aca="false">Sens!F811+(Sens!G807+Sens!G808)*(a_g3_28-nonnv*a_mai)-Sens!G808*mix_g3</f>
        <v>3318.72808</v>
      </c>
      <c r="H811" s="30" t="n">
        <f aca="false">Sens!G811+(Sens!H807+Sens!H808)*(a_g3_29-nonnv*a_mai)-Sens!H808*mix_g3</f>
        <v>3318.72808</v>
      </c>
      <c r="I811" s="30" t="n">
        <f aca="false">Sens!H811+(Sens!I807+Sens!I808)*(a_g3_29-nonnv*a_mai)-Sens!I808*mix_g3</f>
        <v>3147.22808</v>
      </c>
      <c r="J811" s="30" t="n">
        <f aca="false">Sens!I811+(Sens!J807+Sens!J808)*(a_g3_29-nonnv*a_mai)-Sens!J808*mix_g3</f>
        <v>2888.22808</v>
      </c>
      <c r="K811" s="30" t="n">
        <f aca="false">Sens!J811+(Sens!K807+Sens!K808)*(a_g3_29-nonnv*a_mai)-Sens!K808*mix_g3</f>
        <v>2373.72808</v>
      </c>
    </row>
    <row r="812" customFormat="false" ht="17.15" hidden="false" customHeight="false" outlineLevel="0" collapsed="false">
      <c r="A812" s="1" t="s">
        <v>969</v>
      </c>
      <c r="B812" s="0" t="s">
        <v>459</v>
      </c>
      <c r="C812" s="30" t="n">
        <v>0</v>
      </c>
      <c r="D812" s="30" t="n">
        <v>0</v>
      </c>
      <c r="E812" s="30" t="n">
        <v>0</v>
      </c>
      <c r="F812" s="30" t="n">
        <f aca="false">Sens!E812+(Sens!F807+Sens!F808)*nonnv*a_mai</f>
        <v>272.65351</v>
      </c>
      <c r="G812" s="30" t="n">
        <f aca="false">Sens!F812+(Sens!G807+Sens!G808)*nonnv*a_mai</f>
        <v>545.30702</v>
      </c>
      <c r="H812" s="30" t="n">
        <f aca="false">Sens!G812+(Sens!H807+Sens!H808)*nonnv*a_mai</f>
        <v>817.96053</v>
      </c>
      <c r="I812" s="30" t="n">
        <f aca="false">Sens!H812+(Sens!I807+Sens!I808)*nonnv*a_mai</f>
        <v>1060.15914196667</v>
      </c>
      <c r="J812" s="30" t="n">
        <f aca="false">Sens!I812+(Sens!J807+Sens!J808)*nonnv*a_mai</f>
        <v>1251.76682813933</v>
      </c>
      <c r="K812" s="30" t="n">
        <f aca="false">Sens!J812+(Sens!K807+Sens!K808)*nonnv*a_mai</f>
        <v>1442.37983298351</v>
      </c>
      <c r="L812" s="12" t="s">
        <v>970</v>
      </c>
    </row>
    <row r="813" customFormat="false" ht="17.15" hidden="false" customHeight="false" outlineLevel="0" collapsed="false">
      <c r="A813" s="1" t="s">
        <v>971</v>
      </c>
      <c r="B813" s="0" t="s">
        <v>459</v>
      </c>
      <c r="C813" s="30" t="n">
        <v>0</v>
      </c>
      <c r="D813" s="30" t="n">
        <v>0</v>
      </c>
      <c r="E813" s="30" t="n">
        <v>0</v>
      </c>
      <c r="F813" s="30" t="n">
        <f aca="false">Sens!E813+(Sens!F807+Sens!F808)*(1-a_g3_27)</f>
        <v>817.96053</v>
      </c>
      <c r="G813" s="30" t="n">
        <f aca="false">Sens!F813+(Sens!G807+Sens!G808)*(1-a_g3_28)</f>
        <v>2726.5351</v>
      </c>
      <c r="H813" s="30" t="n">
        <f aca="false">Sens!G813+(Sens!H807+Sens!H808)*(1-a_g3_29)</f>
        <v>5180.41669</v>
      </c>
      <c r="I813" s="30" t="n">
        <f aca="false">Sens!H813+(Sens!I807+Sens!I808)*(1-a_g3_29)</f>
        <v>7360.2041977</v>
      </c>
      <c r="J813" s="30" t="n">
        <f aca="false">Sens!I813+(Sens!J807+Sens!J808)*(1-a_g3_29)</f>
        <v>9084.673373254</v>
      </c>
      <c r="K813" s="30" t="n">
        <f aca="false">Sens!J813+(Sens!K807+Sens!K808)*(1-a_g3_29)</f>
        <v>10800.1904168516</v>
      </c>
    </row>
    <row r="814" customFormat="false" ht="17.15" hidden="false" customHeight="false" outlineLevel="0" collapsed="false">
      <c r="A814" s="1" t="s">
        <v>972</v>
      </c>
      <c r="B814" s="0" t="s">
        <v>403</v>
      </c>
      <c r="C814" s="15" t="n">
        <f aca="false">(Sens!C809*tk_hold_h100+Sens!C810*tk_hold_gb200+Sens!C811*tk_hold_gb300+Sens!C813*tk_hold_vr200+Sens!C812*nv_hold_mai*tk_hold_vr200)/Sens!C801</f>
        <v>9.7235358126469</v>
      </c>
      <c r="D814" s="15" t="n">
        <f aca="false">(Sens!D809*tk_hold_h100+Sens!D810*tk_hold_gb200+Sens!D811*tk_hold_gb300+Sens!D813*tk_hold_vr200+Sens!D812*nv_hold_mai*tk_hold_vr200)/Sens!D801</f>
        <v>9.7235358126469</v>
      </c>
      <c r="E814" s="15" t="n">
        <f aca="false">(Sens!E809*tk_hold_h100+Sens!E810*tk_hold_gb200+Sens!E811*tk_hold_gb300+Sens!E813*tk_hold_vr200+Sens!E812*nv_hold_mai*tk_hold_vr200)/Sens!E801</f>
        <v>9.7235358126469</v>
      </c>
      <c r="F814" s="15" t="n">
        <f aca="false">(Sens!F809*tk_hold_h100+Sens!F810*tk_hold_gb200+Sens!F811*tk_hold_gb300+Sens!F813*tk_hold_vr200+Sens!F812*nv_hold_mai*tk_hold_vr200)/Sens!F801</f>
        <v>10.2195353876665</v>
      </c>
      <c r="G814" s="15" t="n">
        <f aca="false">(Sens!G809*tk_hold_h100+Sens!G810*tk_hold_gb200+Sens!G811*tk_hold_gb300+Sens!G813*tk_hold_vr200+Sens!G812*nv_hold_mai*tk_hold_vr200)/Sens!G801</f>
        <v>10.5725598017306</v>
      </c>
      <c r="H814" s="15" t="n">
        <f aca="false">(Sens!H809*tk_hold_h100+Sens!H810*tk_hold_gb200+Sens!H811*tk_hold_gb300+Sens!H813*tk_hold_vr200+Sens!H812*nv_hold_mai*tk_hold_vr200)/Sens!H801</f>
        <v>10.8210427149036</v>
      </c>
      <c r="I814" s="15" t="n">
        <f aca="false">(Sens!I809*tk_hold_h100+Sens!I810*tk_hold_gb200+Sens!I811*tk_hold_gb300+Sens!I813*tk_hold_vr200+Sens!I812*nv_hold_mai*tk_hold_vr200)/Sens!I801</f>
        <v>11.0050618241982</v>
      </c>
      <c r="J814" s="15" t="n">
        <f aca="false">(Sens!J809*tk_hold_h100+Sens!J810*tk_hold_gb200+Sens!J811*tk_hold_gb300+Sens!J813*tk_hold_vr200+Sens!J812*nv_hold_mai*tk_hold_vr200)/Sens!J801</f>
        <v>11.1505789658881</v>
      </c>
      <c r="K814" s="15" t="n">
        <f aca="false">(Sens!K809*tk_hold_h100+Sens!K810*tk_hold_gb200+Sens!K811*tk_hold_gb300+Sens!K813*tk_hold_vr200+Sens!K812*nv_hold_mai*tk_hold_vr200)/Sens!K801</f>
        <v>11.3496914757183</v>
      </c>
      <c r="L814" s="1" t="s">
        <v>973</v>
      </c>
    </row>
    <row r="815" customFormat="false" ht="17.15" hidden="false" customHeight="false" outlineLevel="0" collapsed="false">
      <c r="A815" s="1" t="s">
        <v>974</v>
      </c>
      <c r="B815" s="0" t="s">
        <v>403</v>
      </c>
      <c r="C815" s="15" t="n">
        <f aca="false">(Sens!C809*tk_hold_h100+Sens!C810*tk_hold_gb200+Sens!C811*tk_hold_gb300+Sens!C813*tk_hold_vr200+Sens!C812*nv_out_mai*tk_hold_vr200)/Sens!C801</f>
        <v>9.7235358126469</v>
      </c>
      <c r="D815" s="15" t="n">
        <f aca="false">(Sens!D809*tk_hold_h100+Sens!D810*tk_hold_gb200+Sens!D811*tk_hold_gb300+Sens!D813*tk_hold_vr200+Sens!D812*nv_out_mai*tk_hold_vr200)/Sens!D801</f>
        <v>9.7235358126469</v>
      </c>
      <c r="E815" s="15" t="n">
        <f aca="false">(Sens!E809*tk_hold_h100+Sens!E810*tk_hold_gb200+Sens!E811*tk_hold_gb300+Sens!E813*tk_hold_vr200+Sens!E812*nv_out_mai*tk_hold_vr200)/Sens!E801</f>
        <v>9.7235358126469</v>
      </c>
      <c r="F815" s="15" t="n">
        <f aca="false">(Sens!F809*tk_hold_h100+Sens!F810*tk_hold_gb200+Sens!F811*tk_hold_gb300+Sens!F813*tk_hold_vr200+Sens!F812*nv_out_mai*tk_hold_vr200)/Sens!F801</f>
        <v>10.247422093969</v>
      </c>
      <c r="G815" s="15" t="n">
        <f aca="false">(Sens!G809*tk_hold_h100+Sens!G810*tk_hold_gb200+Sens!G811*tk_hold_gb300+Sens!G813*tk_hold_vr200+Sens!G812*nv_out_mai*tk_hold_vr200)/Sens!G801</f>
        <v>10.6108602808053</v>
      </c>
      <c r="H815" s="15" t="n">
        <f aca="false">(Sens!H809*tk_hold_h100+Sens!H810*tk_hold_gb200+Sens!H811*tk_hold_gb300+Sens!H813*tk_hold_vr200+Sens!H812*nv_out_mai*tk_hold_vr200)/Sens!H801</f>
        <v>10.8647885507393</v>
      </c>
      <c r="I815" s="15" t="n">
        <f aca="false">(Sens!I809*tk_hold_h100+Sens!I810*tk_hold_gb200+Sens!I811*tk_hold_gb300+Sens!I813*tk_hold_vr200+Sens!I812*nv_out_mai*tk_hold_vr200)/Sens!I801</f>
        <v>11.0535625770025</v>
      </c>
      <c r="J815" s="15" t="n">
        <f aca="false">(Sens!J809*tk_hold_h100+Sens!J810*tk_hold_gb200+Sens!J811*tk_hold_gb300+Sens!J813*tk_hold_vr200+Sens!J812*nv_out_mai*tk_hold_vr200)/Sens!J801</f>
        <v>11.2032127128058</v>
      </c>
      <c r="K815" s="15" t="n">
        <f aca="false">(Sens!K809*tk_hold_h100+Sens!K810*tk_hold_gb200+Sens!K811*tk_hold_gb300+Sens!K813*tk_hold_vr200+Sens!K812*nv_out_mai*tk_hold_vr200)/Sens!K801</f>
        <v>11.4085735724225</v>
      </c>
      <c r="L815" s="12" t="s">
        <v>975</v>
      </c>
    </row>
    <row r="816" customFormat="false" ht="17.15" hidden="false" customHeight="false" outlineLevel="0" collapsed="false">
      <c r="A816" s="0" t="s">
        <v>976</v>
      </c>
      <c r="B816" s="0" t="s">
        <v>229</v>
      </c>
      <c r="C816" s="15" t="n">
        <f aca="false">k_B</f>
        <v>1.17213932619116</v>
      </c>
      <c r="D816" s="15" t="n">
        <f aca="false">k_B</f>
        <v>1.17213932619116</v>
      </c>
      <c r="E816" s="15" t="n">
        <f aca="false">k_B</f>
        <v>1.17213932619116</v>
      </c>
      <c r="F816" s="15" t="n">
        <f aca="false">(k_B+((ls_A*k_long+(1-ls_A)*k_spot)-k_B)*MIN(1,(Sens!F799-base_fy)/k_ramp))*0.85</f>
        <v>1.06269403911603</v>
      </c>
      <c r="G816" s="15" t="n">
        <f aca="false">(k_B+((ls_A*k_long+(1-ls_A)*k_spot)-k_B)*MIN(1,(Sens!G799-base_fy)/k_ramp))*0.85</f>
        <v>1.12906965096958</v>
      </c>
      <c r="H816" s="15" t="n">
        <f aca="false">(k_B+((ls_A*k_long+(1-ls_A)*k_spot)-k_B)*MIN(1,(Sens!H799-base_fy)/k_ramp))*0.85</f>
        <v>1.19544526282313</v>
      </c>
      <c r="I816" s="15" t="n">
        <f aca="false">(k_B+((ls_A*k_long+(1-ls_A)*k_spot)-k_B)*MIN(1,(Sens!I799-base_fy)/k_ramp))*0.85</f>
        <v>1.19544526282313</v>
      </c>
      <c r="J816" s="15" t="n">
        <f aca="false">(k_B+((ls_A*k_long+(1-ls_A)*k_spot)-k_B)*MIN(1,(Sens!J799-base_fy)/k_ramp))*0.85</f>
        <v>1.19544526282313</v>
      </c>
      <c r="K816" s="15" t="n">
        <f aca="false">(k_B+((ls_A*k_long+(1-ls_A)*k_spot)-k_B)*MIN(1,(Sens!K799-base_fy)/k_ramp))*0.85</f>
        <v>1.19544526282313</v>
      </c>
      <c r="L816" s="1" t="s">
        <v>977</v>
      </c>
    </row>
    <row r="817" customFormat="false" ht="17.15" hidden="false" customHeight="false" outlineLevel="0" collapsed="false">
      <c r="A817" s="1" t="s">
        <v>978</v>
      </c>
      <c r="B817" s="0" t="s">
        <v>403</v>
      </c>
      <c r="C817" s="15" t="n">
        <f aca="false">Sens!C815*Sens!C816*chip_f</f>
        <v>11.3973387156315</v>
      </c>
      <c r="D817" s="15" t="n">
        <f aca="false">Sens!D815*Sens!D816*chip_f</f>
        <v>11.3973387156315</v>
      </c>
      <c r="E817" s="15" t="n">
        <f aca="false">Sens!E815*Sens!E816*chip_f</f>
        <v>11.3973387156315</v>
      </c>
      <c r="F817" s="15" t="n">
        <f aca="false">Sens!F815*Sens!F816*chip_f</f>
        <v>10.8898743755667</v>
      </c>
      <c r="G817" s="15" t="n">
        <f aca="false">Sens!G815*Sens!G816*chip_f</f>
        <v>11.9804003137358</v>
      </c>
      <c r="H817" s="15" t="n">
        <f aca="false">Sens!H815*Sens!H816*chip_f</f>
        <v>12.9882600045563</v>
      </c>
      <c r="I817" s="15" t="n">
        <f aca="false">Sens!I815*Sens!I816*chip_f</f>
        <v>13.2139290199966</v>
      </c>
      <c r="J817" s="15" t="n">
        <f aca="false">Sens!J815*Sens!J816*chip_f</f>
        <v>13.3928275659235</v>
      </c>
      <c r="K817" s="15" t="n">
        <f aca="false">Sens!K815*Sens!K816*chip_f</f>
        <v>13.6383252327216</v>
      </c>
      <c r="L817" s="1" t="s">
        <v>979</v>
      </c>
    </row>
    <row r="818" customFormat="false" ht="17.15" hidden="false" customHeight="false" outlineLevel="0" collapsed="false">
      <c r="A818" s="0" t="s">
        <v>980</v>
      </c>
      <c r="B818" s="0" t="s">
        <v>98</v>
      </c>
      <c r="D818" s="6" t="n">
        <f aca="false">(Sens!C801+Sens!D801)/2*Sens!D817/1000</f>
        <v>12.9359794422418</v>
      </c>
      <c r="E818" s="6" t="n">
        <f aca="false">(Sens!D801+Sens!E801)/2*Sens!E817/1000</f>
        <v>27.8095064661409</v>
      </c>
      <c r="F818" s="6" t="n">
        <f aca="false">(Sens!E801+Sens!F801)/2*Sens!F817/1000</f>
        <v>50.2379040803784</v>
      </c>
      <c r="G818" s="6" t="n">
        <f aca="false">(Sens!F801+Sens!G801)/2*Sens!G817/1000</f>
        <v>87.9337739708187</v>
      </c>
      <c r="H818" s="6" t="n">
        <f aca="false">(Sens!G801+Sens!H801)/2*Sens!H817/1000</f>
        <v>130.74421199068</v>
      </c>
      <c r="I818" s="6" t="n">
        <f aca="false">(Sens!H801+Sens!I801)/2*Sens!I817/1000</f>
        <v>163.794556887224</v>
      </c>
      <c r="J818" s="6" t="n">
        <f aca="false">(Sens!I801+Sens!J801)/2*Sens!J817/1000</f>
        <v>186.824987196607</v>
      </c>
      <c r="K818" s="6" t="n">
        <f aca="false">(Sens!J801+Sens!K801)/2*Sens!K817/1000</f>
        <v>201.243489869269</v>
      </c>
      <c r="L818" s="12" t="s">
        <v>981</v>
      </c>
    </row>
    <row r="819" customFormat="false" ht="17.15" hidden="false" customHeight="false" outlineLevel="0" collapsed="false">
      <c r="A819" s="1" t="s">
        <v>982</v>
      </c>
      <c r="B819" s="0" t="s">
        <v>403</v>
      </c>
      <c r="C819" s="15" t="n">
        <f aca="false">(Sens!C809*tk_opex_h100+Sens!C810*tk_opex_gb200+Sens!C811*tk_opex_gb300+(Sens!C813+Sens!C812)*tk_opex_vr200)/Sens!C801</f>
        <v>1.88636041306092</v>
      </c>
      <c r="D819" s="15" t="n">
        <f aca="false">(Sens!D809*tk_opex_h100+Sens!D810*tk_opex_gb200+Sens!D811*tk_opex_gb300+(Sens!D813+Sens!D812)*tk_opex_vr200)/Sens!D801</f>
        <v>1.88636041306092</v>
      </c>
      <c r="E819" s="15" t="n">
        <f aca="false">(Sens!E809*tk_opex_h100+Sens!E810*tk_opex_gb200+Sens!E811*tk_opex_gb300+(Sens!E813+Sens!E812)*tk_opex_vr200)/Sens!E801</f>
        <v>1.88636041306092</v>
      </c>
      <c r="F819" s="15" t="n">
        <f aca="false">(Sens!F809*tk_opex_h100+Sens!F810*tk_opex_gb200+Sens!F811*tk_opex_gb300+(Sens!F813+Sens!F812)*tk_opex_vr200)/Sens!F801</f>
        <v>1.95051159746876</v>
      </c>
      <c r="G819" s="15" t="n">
        <f aca="false">(Sens!G809*tk_opex_h100+Sens!G810*tk_opex_gb200+Sens!G811*tk_opex_gb300+(Sens!G813+Sens!G812)*tk_opex_vr200)/Sens!G801</f>
        <v>1.98836003669956</v>
      </c>
      <c r="H819" s="15" t="n">
        <f aca="false">(Sens!H809*tk_opex_h100+Sens!H810*tk_opex_gb200+Sens!H811*tk_opex_gb300+(Sens!H813+Sens!H812)*tk_opex_vr200)/Sens!H801</f>
        <v>2.01344013834343</v>
      </c>
      <c r="I819" s="15" t="n">
        <f aca="false">(Sens!I809*tk_opex_h100+Sens!I810*tk_opex_gb200+Sens!I811*tk_opex_gb300+(Sens!I813+Sens!I812)*tk_opex_vr200)/Sens!I801</f>
        <v>2.03261166882178</v>
      </c>
      <c r="J819" s="15" t="n">
        <f aca="false">(Sens!J809*tk_opex_h100+Sens!J810*tk_opex_gb200+Sens!J811*tk_opex_gb300+(Sens!J813+Sens!J812)*tk_opex_vr200)/Sens!J801</f>
        <v>2.04808073288745</v>
      </c>
      <c r="K819" s="15" t="n">
        <f aca="false">(Sens!K809*tk_opex_h100+Sens!K810*tk_opex_gb200+Sens!K811*tk_opex_gb300+(Sens!K813+Sens!K812)*tk_opex_vr200)/Sens!K801</f>
        <v>2.06973825807449</v>
      </c>
      <c r="L819" s="12" t="s">
        <v>983</v>
      </c>
    </row>
    <row r="820" customFormat="false" ht="17.15" hidden="false" customHeight="false" outlineLevel="0" collapsed="false">
      <c r="A820" s="0" t="s">
        <v>984</v>
      </c>
      <c r="B820" s="0" t="s">
        <v>98</v>
      </c>
      <c r="D820" s="6" t="n">
        <f aca="false">(Sens!C804+Sens!D804)/2*Sens!D819/1000</f>
        <v>2.70378325872065</v>
      </c>
      <c r="E820" s="6" t="n">
        <f aca="false">(Sens!D804+Sens!E804)/2*Sens!E819/1000</f>
        <v>6.17783035277451</v>
      </c>
      <c r="F820" s="6" t="n">
        <f aca="false">(Sens!E804+Sens!F804)/2*Sens!F819/1000</f>
        <v>12.8742463089237</v>
      </c>
      <c r="G820" s="6" t="n">
        <f aca="false">(Sens!F804+Sens!G804)/2*Sens!G819/1000</f>
        <v>21.8182834646277</v>
      </c>
      <c r="H820" s="6" t="n">
        <f aca="false">(Sens!G804+Sens!H804)/2*Sens!H819/1000</f>
        <v>31.2430128789734</v>
      </c>
      <c r="I820" s="6" t="n">
        <f aca="false">(Sens!H804+Sens!I804)/2*Sens!I819/1000</f>
        <v>39.4313057443268</v>
      </c>
      <c r="J820" s="6" t="n">
        <f aca="false">(Sens!I804+Sens!J804)/2*Sens!J819/1000</f>
        <v>45.0360318228653</v>
      </c>
      <c r="K820" s="6" t="n">
        <f aca="false">(Sens!J804+Sens!K804)/2*Sens!K819/1000</f>
        <v>48.2929727091156</v>
      </c>
    </row>
    <row r="821" customFormat="false" ht="17.15" hidden="false" customHeight="false" outlineLevel="0" collapsed="false">
      <c r="A821" s="0" t="s">
        <v>985</v>
      </c>
      <c r="B821" s="0" t="s">
        <v>98</v>
      </c>
      <c r="D821" s="6" t="n">
        <f aca="false">(Sens!C802+Sens!D802)/2*rent_mw/1000</f>
        <v>2.44475</v>
      </c>
      <c r="E821" s="6" t="n">
        <f aca="false">(Sens!D802+Sens!E802)/2*rent_mw/1000</f>
        <v>4.22275</v>
      </c>
      <c r="F821" s="6" t="n">
        <f aca="false">(Sens!E802+Sens!F802)/2*rent_mw/1000</f>
        <v>5.80517</v>
      </c>
      <c r="G821" s="6" t="n">
        <f aca="false">(Sens!F802+Sens!G802)/2*rent_mw/1000</f>
        <v>6.72084</v>
      </c>
      <c r="H821" s="6" t="n">
        <f aca="false">(Sens!G802+Sens!H802)/2*rent_mw/1000</f>
        <v>6.72084</v>
      </c>
      <c r="I821" s="6" t="n">
        <f aca="false">(Sens!H802+Sens!I802)/2*rent_mw/1000</f>
        <v>6.72084</v>
      </c>
      <c r="J821" s="6" t="n">
        <f aca="false">(Sens!I802+Sens!J802)/2*rent_mw/1000</f>
        <v>6.72084</v>
      </c>
      <c r="K821" s="6" t="n">
        <f aca="false">(Sens!J802+Sens!K802)/2*rent_mw/1000</f>
        <v>6.72084</v>
      </c>
    </row>
    <row r="822" customFormat="false" ht="17.15" hidden="false" customHeight="false" outlineLevel="0" collapsed="false">
      <c r="A822" s="0" t="s">
        <v>986</v>
      </c>
      <c r="B822" s="0" t="s">
        <v>98</v>
      </c>
      <c r="D822" s="6" t="n">
        <f aca="false">(Sens!C804+Sens!D804)/2*(1-self_build)*fac_rent/1000</f>
        <v>0.853242375631075</v>
      </c>
      <c r="E822" s="6" t="n">
        <f aca="false">(Sens!D804+Sens!E804)/2*(1-self_build)*fac_rent/1000</f>
        <v>1.94955961408728</v>
      </c>
      <c r="F822" s="6" t="n">
        <f aca="false">(Sens!E804+Sens!F804)/2*(1-self_build)*fac_rent/1000</f>
        <v>3.92914894476356</v>
      </c>
      <c r="G822" s="6" t="n">
        <f aca="false">(Sens!F804+Sens!G804)/2*(1-self_build)*fac_rent/1000</f>
        <v>6.53206908578159</v>
      </c>
      <c r="H822" s="6" t="n">
        <f aca="false">(Sens!G804+Sens!H804)/2*(1-self_build)*fac_rent/1000</f>
        <v>9.23717988341591</v>
      </c>
      <c r="I822" s="6" t="n">
        <f aca="false">(Sens!H804+Sens!I804)/2*(1-self_build)*fac_rent/1000</f>
        <v>11.5481378557393</v>
      </c>
      <c r="J822" s="6" t="n">
        <f aca="false">(Sens!I804+Sens!J804)/2*(1-self_build)*fac_rent/1000</f>
        <v>13.0899582289108</v>
      </c>
      <c r="K822" s="6" t="n">
        <f aca="false">(Sens!J804+Sens!K804)/2*(1-self_build)*fac_rent/1000</f>
        <v>13.8897275626556</v>
      </c>
      <c r="L822" s="12" t="s">
        <v>987</v>
      </c>
    </row>
    <row r="823" customFormat="false" ht="17.15" hidden="false" customHeight="false" outlineLevel="0" collapsed="false">
      <c r="A823" s="1" t="s">
        <v>988</v>
      </c>
      <c r="B823" s="0" t="s">
        <v>168</v>
      </c>
      <c r="D823" s="7" t="n">
        <f aca="false">(Sens!C803+Sens!D803)/(Sens!C804+Sens!D804)</f>
        <v>0.6</v>
      </c>
      <c r="E823" s="7" t="n">
        <f aca="false">(Sens!D803+Sens!E803)/(Sens!D804+Sens!E804)</f>
        <v>0.6</v>
      </c>
      <c r="F823" s="7" t="n">
        <f aca="false">(Sens!E803+Sens!F803)/(Sens!E804+Sens!F804)</f>
        <v>0.6</v>
      </c>
      <c r="G823" s="7" t="n">
        <f aca="false">(Sens!F803+Sens!G803)/(Sens!F804+Sens!G804)</f>
        <v>0.6</v>
      </c>
      <c r="H823" s="7" t="n">
        <f aca="false">(Sens!G803+Sens!H803)/(Sens!G804+Sens!H804)</f>
        <v>0.6</v>
      </c>
      <c r="I823" s="7" t="n">
        <f aca="false">(Sens!H803+Sens!I803)/(Sens!H804+Sens!I804)</f>
        <v>0.6</v>
      </c>
      <c r="J823" s="7" t="n">
        <f aca="false">(Sens!I803+Sens!J803)/(Sens!I804+Sens!J804)</f>
        <v>0.6</v>
      </c>
      <c r="K823" s="7" t="n">
        <f aca="false">(Sens!J803+Sens!K803)/(Sens!J804+Sens!K804)</f>
        <v>0.6</v>
      </c>
    </row>
    <row r="824" customFormat="false" ht="17.15" hidden="false" customHeight="false" outlineLevel="0" collapsed="false">
      <c r="A824" s="0" t="s">
        <v>989</v>
      </c>
      <c r="B824" s="0" t="s">
        <v>98</v>
      </c>
      <c r="D824" s="6" t="n">
        <f aca="false">Sens!D818-Sens!D823*(Sens!D820+Sens!D822)-Sens!D821</f>
        <v>8.35701406163072</v>
      </c>
      <c r="E824" s="6" t="n">
        <f aca="false">Sens!E818-Sens!E823*(Sens!E820+Sens!E822)-Sens!E821</f>
        <v>18.7103224860238</v>
      </c>
      <c r="F824" s="6" t="n">
        <f aca="false">Sens!F818-Sens!F823*(Sens!F820+Sens!F822)-Sens!F821</f>
        <v>34.3506969281661</v>
      </c>
      <c r="G824" s="6" t="n">
        <f aca="false">Sens!G818-Sens!G823*(Sens!G820+Sens!G822)-Sens!G821</f>
        <v>64.2027224405731</v>
      </c>
      <c r="H824" s="6" t="n">
        <f aca="false">Sens!H818-Sens!H823*(Sens!H820+Sens!H822)-Sens!H821</f>
        <v>99.7352563332463</v>
      </c>
      <c r="I824" s="6" t="n">
        <f aca="false">Sens!I818-Sens!I823*(Sens!I820+Sens!I822)-Sens!I821</f>
        <v>126.486050727185</v>
      </c>
      <c r="J824" s="6" t="n">
        <f aca="false">Sens!J818-Sens!J823*(Sens!J820+Sens!J822)-Sens!J821</f>
        <v>145.228553165541</v>
      </c>
      <c r="K824" s="6" t="n">
        <f aca="false">Sens!K818-Sens!K823*(Sens!K820+Sens!K822)-Sens!K821</f>
        <v>157.213029706206</v>
      </c>
    </row>
    <row r="825" customFormat="false" ht="17.15" hidden="false" customHeight="false" outlineLevel="0" collapsed="false">
      <c r="A825" s="1" t="s">
        <v>990</v>
      </c>
      <c r="B825" s="0" t="s">
        <v>98</v>
      </c>
      <c r="D825" s="6" t="n">
        <f aca="false">(1-Sens!D823)*(Sens!D820+Sens!D822)</f>
        <v>1.42281025374069</v>
      </c>
      <c r="E825" s="6" t="n">
        <f aca="false">(1-Sens!E823)*(Sens!E820+Sens!E822)</f>
        <v>3.25095598674472</v>
      </c>
      <c r="F825" s="6" t="n">
        <f aca="false">(1-Sens!F823)*(Sens!F820+Sens!F822)</f>
        <v>6.72135810147489</v>
      </c>
      <c r="G825" s="6" t="n">
        <f aca="false">(1-Sens!G823)*(Sens!G820+Sens!G822)</f>
        <v>11.3401410201637</v>
      </c>
      <c r="H825" s="6" t="n">
        <f aca="false">(1-Sens!H823)*(Sens!H820+Sens!H822)</f>
        <v>16.1920771049557</v>
      </c>
      <c r="I825" s="6" t="n">
        <f aca="false">(1-Sens!I823)*(Sens!I820+Sens!I822)</f>
        <v>20.3917774400264</v>
      </c>
      <c r="J825" s="6" t="n">
        <f aca="false">(1-Sens!J823)*(Sens!J820+Sens!J822)</f>
        <v>23.2503960207104</v>
      </c>
      <c r="K825" s="6" t="n">
        <f aca="false">(1-Sens!K823)*(Sens!K820+Sens!K822)</f>
        <v>24.8730801087085</v>
      </c>
    </row>
    <row r="826" customFormat="false" ht="17.15" hidden="false" customHeight="false" outlineLevel="0" collapsed="false">
      <c r="A826" s="1" t="s">
        <v>991</v>
      </c>
      <c r="B826" s="0" t="s">
        <v>417</v>
      </c>
      <c r="C826" s="8" t="n">
        <f aca="false">cxit_open</f>
        <v>27.5918995</v>
      </c>
      <c r="D826" s="8" t="n">
        <f aca="false">cxit_open</f>
        <v>27.5918995</v>
      </c>
      <c r="E826" s="8" t="n">
        <f aca="false">cxit_open</f>
        <v>27.5918995</v>
      </c>
      <c r="F826" s="8" t="n">
        <f aca="false">((a_g3_27-nonnv*a_mai)*tk_cxit_gb300+nonnv*a_mai*nv_hold_mai*tk_cxit_vr200+(1-a_g3_27)*tk_cxit_vr200)</f>
        <v>32.4975576</v>
      </c>
      <c r="G826" s="8" t="n">
        <f aca="false">((a_g3_28-nonnv*a_mai)*tk_cxit_gb300+nonnv*a_mai*nv_hold_mai*tk_cxit_vr200+(1-a_g3_28)*tk_cxit_vr200)</f>
        <v>34.6372088</v>
      </c>
      <c r="H826" s="8" t="n">
        <f aca="false">((a_g3_29-nonnv*a_mai)*tk_cxit_gb300+nonnv*a_mai*nv_hold_mai*tk_cxit_vr200+(1-a_g3_29)*tk_cxit_vr200)</f>
        <v>35.7070344</v>
      </c>
      <c r="I826" s="8" t="n">
        <f aca="false">((a_g3_29-nonnv*a_mai)*tk_cxit_gb300+nonnv*a_mai*nv_hold_mai*tk_cxit_vr200+(1-a_g3_29)*tk_cxit_vr200)</f>
        <v>35.7070344</v>
      </c>
      <c r="J826" s="8" t="n">
        <f aca="false">((a_g3_29-nonnv*a_mai)*tk_cxit_gb300+nonnv*a_mai*nv_hold_mai*tk_cxit_vr200+(1-a_g3_29)*tk_cxit_vr200)</f>
        <v>35.7070344</v>
      </c>
      <c r="K826" s="8" t="n">
        <f aca="false">((a_g3_29-nonnv*a_mai)*tk_cxit_gb300+nonnv*a_mai*nv_hold_mai*tk_cxit_vr200+(1-a_g3_29)*tk_cxit_vr200)</f>
        <v>35.7070344</v>
      </c>
      <c r="L826" s="12" t="s">
        <v>992</v>
      </c>
    </row>
    <row r="827" customFormat="false" ht="17.15" hidden="false" customHeight="false" outlineLevel="0" collapsed="false">
      <c r="A827" s="0" t="s">
        <v>993</v>
      </c>
      <c r="B827" s="0" t="s">
        <v>459</v>
      </c>
      <c r="F827" s="30" t="n">
        <f aca="false">Sens!C806*IF(Sens!F799-Sens!C799=life_it,1,0)+Sens!D806*IF(Sens!F799-Sens!D799=life_it,1,0)+Sens!E806*IF(Sens!F799-Sens!E799=life_it,1,0)</f>
        <v>0</v>
      </c>
      <c r="G827" s="30" t="n">
        <f aca="false">Sens!C806*IF(Sens!G799-Sens!C799=life_it,1,0)+Sens!D806*IF(Sens!G799-Sens!D799=life_it,1,0)+Sens!E806*IF(Sens!G799-Sens!E799=life_it,1,0)+Sens!F806*IF(Sens!G799-Sens!F799=life_it,1,0)</f>
        <v>0</v>
      </c>
      <c r="H827" s="30" t="n">
        <f aca="false">Sens!C806*IF(Sens!H799-Sens!C799=life_it,1,0)+Sens!D806*IF(Sens!H799-Sens!D799=life_it,1,0)+Sens!E806*IF(Sens!H799-Sens!E799=life_it,1,0)+Sens!F806*IF(Sens!H799-Sens!F799=life_it,1,0)+Sens!G806*IF(Sens!H799-Sens!G799=life_it,1,0)</f>
        <v>0</v>
      </c>
      <c r="I827" s="30" t="n">
        <f aca="false">Sens!C806*IF(Sens!I799-Sens!C799=life_it,1,0)+Sens!D806*IF(Sens!I799-Sens!D799=life_it,1,0)+Sens!E806*IF(Sens!I799-Sens!E799=life_it,1,0)+Sens!F806*IF(Sens!I799-Sens!F799=life_it,1,0)+Sens!G806*IF(Sens!I799-Sens!G799=life_it,1,0)+Sens!H806*IF(Sens!I799-Sens!H799=life_it,1,0)</f>
        <v>816.666666666667</v>
      </c>
      <c r="J827" s="30" t="n">
        <f aca="false">Sens!C806*IF(Sens!J799-Sens!C799=life_it,1,0)+Sens!D806*IF(Sens!J799-Sens!D799=life_it,1,0)+Sens!E806*IF(Sens!J799-Sens!E799=life_it,1,0)+Sens!F806*IF(Sens!J799-Sens!F799=life_it,1,0)+Sens!G806*IF(Sens!J799-Sens!G799=life_it,1,0)+Sens!H806*IF(Sens!J799-Sens!H799=life_it,1,0)+Sens!I806*IF(Sens!J799-Sens!I799=life_it,1,0)</f>
        <v>1233.33333333333</v>
      </c>
      <c r="K827" s="30" t="n">
        <f aca="false">Sens!C806*IF(Sens!K799-Sens!C799=life_it,1,0)+Sens!D806*IF(Sens!K799-Sens!D799=life_it,1,0)+Sens!E806*IF(Sens!K799-Sens!E799=life_it,1,0)+Sens!F806*IF(Sens!K799-Sens!F799=life_it,1,0)+Sens!G806*IF(Sens!K799-Sens!G799=life_it,1,0)+Sens!H806*IF(Sens!K799-Sens!H799=life_it,1,0)+Sens!I806*IF(Sens!K799-Sens!I799=life_it,1,0)+Sens!J806*IF(Sens!K799-Sens!J799=life_it,1,0)</f>
        <v>2450</v>
      </c>
      <c r="L827" s="1" t="s">
        <v>994</v>
      </c>
    </row>
    <row r="828" customFormat="false" ht="17.15" hidden="false" customHeight="false" outlineLevel="0" collapsed="false">
      <c r="A828" s="0" t="s">
        <v>995</v>
      </c>
      <c r="B828" s="0" t="s">
        <v>98</v>
      </c>
      <c r="C828" s="6" t="n">
        <f aca="false">Sens!C806*Sens!C826/1000</f>
        <v>22.5333845916667</v>
      </c>
      <c r="D828" s="6" t="n">
        <f aca="false">Sens!D806*Sens!D826/1000</f>
        <v>34.0300093833333</v>
      </c>
      <c r="E828" s="6" t="n">
        <f aca="false">Sens!E806*Sens!E826/1000</f>
        <v>67.600153775</v>
      </c>
      <c r="F828" s="6" t="n">
        <f aca="false">(Sens!F806+Sens!F827)*Sens!F826/1000</f>
        <v>136.51872432512</v>
      </c>
      <c r="G828" s="6" t="n">
        <f aca="false">(Sens!G806+Sens!G827)*Sens!G826/1000</f>
        <v>157.399275932048</v>
      </c>
      <c r="H828" s="6" t="n">
        <f aca="false">(Sens!H806+Sens!H827)*Sens!H826/1000</f>
        <v>162.260804347512</v>
      </c>
      <c r="I828" s="6" t="n">
        <f aca="false">(Sens!I806+Sens!I827)*Sens!I826/1000</f>
        <v>144.136569485434</v>
      </c>
      <c r="J828" s="6" t="n">
        <f aca="false">(Sens!J806+Sens!J827)*Sens!J826/1000</f>
        <v>114.029037357864</v>
      </c>
      <c r="K828" s="6" t="n">
        <f aca="false">(Sens!K806+Sens!K827)*Sens!K826/1000</f>
        <v>113.437085350975</v>
      </c>
    </row>
    <row r="829" customFormat="false" ht="17.15" hidden="false" customHeight="false" outlineLevel="0" collapsed="false">
      <c r="A829" s="0" t="s">
        <v>996</v>
      </c>
      <c r="B829" s="0" t="s">
        <v>98</v>
      </c>
      <c r="C829" s="6" t="n">
        <f aca="false">Sens!C806*self_build*tk_cxfac/1000</f>
        <v>6.2083</v>
      </c>
      <c r="D829" s="6" t="n">
        <f aca="false">Sens!D806*self_build*tk_cxfac/1000</f>
        <v>9.3758</v>
      </c>
      <c r="E829" s="6" t="n">
        <f aca="false">Sens!E806*self_build*tk_cxfac/1000</f>
        <v>18.6249</v>
      </c>
      <c r="F829" s="6" t="n">
        <f aca="false">Sens!F806*self_build*tk_cxfac/1000</f>
        <v>31.935179717</v>
      </c>
      <c r="G829" s="6" t="n">
        <f aca="false">Sens!G806*self_build*tk_cxfac/1000</f>
        <v>34.545199717</v>
      </c>
      <c r="H829" s="6" t="n">
        <f aca="false">Sens!H806*self_build*tk_cxfac/1000</f>
        <v>34.545199717</v>
      </c>
      <c r="I829" s="6" t="n">
        <f aca="false">Sens!I806*self_build*tk_cxfac/1000</f>
        <v>24.4782641361767</v>
      </c>
      <c r="J829" s="6" t="n">
        <f aca="false">Sens!J806*self_build*tk_cxfac/1000</f>
        <v>14.9008938380769</v>
      </c>
      <c r="K829" s="6" t="n">
        <f aca="false">Sens!K806*self_build*tk_cxfac/1000</f>
        <v>5.52576771375761</v>
      </c>
    </row>
    <row r="830" customFormat="false" ht="17.15" hidden="false" customHeight="false" outlineLevel="0" collapsed="false">
      <c r="A830" s="0" t="s">
        <v>997</v>
      </c>
      <c r="B830" s="0" t="s">
        <v>98</v>
      </c>
      <c r="F830" s="15" t="n">
        <f aca="false">capex_floor27-Sens!F828-Sens!F829-Sens!F926</f>
        <v>-0.341768297172443</v>
      </c>
      <c r="L830" s="12" t="s">
        <v>998</v>
      </c>
    </row>
    <row r="831" customFormat="false" ht="17.15" hidden="false" customHeight="false" outlineLevel="0" collapsed="false">
      <c r="A831" s="0" t="s">
        <v>999</v>
      </c>
      <c r="B831" s="0" t="s">
        <v>98</v>
      </c>
      <c r="F831" s="6" t="n">
        <f aca="false">MAX(0,Sens!F830)</f>
        <v>0</v>
      </c>
    </row>
    <row r="832" customFormat="false" ht="17.15" hidden="false" customHeight="false" outlineLevel="0" collapsed="false">
      <c r="A832" s="0" t="s">
        <v>1000</v>
      </c>
      <c r="B832" s="0" t="s">
        <v>98</v>
      </c>
      <c r="C832" s="6" t="n">
        <f aca="false">Sens!C828</f>
        <v>22.5333845916667</v>
      </c>
      <c r="D832" s="6" t="n">
        <f aca="false">Sens!D828</f>
        <v>34.0300093833333</v>
      </c>
      <c r="E832" s="6" t="n">
        <f aca="false">Sens!E828</f>
        <v>67.600153775</v>
      </c>
      <c r="F832" s="6" t="n">
        <f aca="false">Sens!F828</f>
        <v>136.51872432512</v>
      </c>
      <c r="G832" s="6" t="n">
        <f aca="false">Sens!G828</f>
        <v>157.399275932048</v>
      </c>
      <c r="H832" s="6" t="n">
        <f aca="false">Sens!H828</f>
        <v>162.260804347512</v>
      </c>
      <c r="I832" s="6" t="n">
        <f aca="false">Sens!I828</f>
        <v>144.136569485434</v>
      </c>
      <c r="J832" s="6" t="n">
        <f aca="false">Sens!J828</f>
        <v>114.029037357864</v>
      </c>
      <c r="K832" s="6" t="n">
        <f aca="false">Sens!K828</f>
        <v>113.437085350975</v>
      </c>
    </row>
    <row r="833" customFormat="false" ht="17.15" hidden="false" customHeight="false" outlineLevel="0" collapsed="false">
      <c r="A833" s="0" t="s">
        <v>1001</v>
      </c>
      <c r="B833" s="0" t="s">
        <v>98</v>
      </c>
      <c r="C833" s="6" t="n">
        <f aca="false">Sens!C832+Sens!C829</f>
        <v>28.7416845916667</v>
      </c>
      <c r="D833" s="6" t="n">
        <f aca="false">Sens!D832+Sens!D829</f>
        <v>43.4058093833333</v>
      </c>
      <c r="E833" s="6" t="n">
        <f aca="false">Sens!E832+Sens!E829</f>
        <v>86.225053775</v>
      </c>
      <c r="F833" s="6" t="n">
        <f aca="false">Sens!F832+Sens!F829</f>
        <v>168.45390404212</v>
      </c>
      <c r="G833" s="6" t="n">
        <f aca="false">Sens!G832+Sens!G829</f>
        <v>191.944475649048</v>
      </c>
      <c r="H833" s="6" t="n">
        <f aca="false">Sens!H832+Sens!H829</f>
        <v>196.806004064512</v>
      </c>
      <c r="I833" s="6" t="n">
        <f aca="false">Sens!I832+Sens!I829</f>
        <v>168.61483362161</v>
      </c>
      <c r="J833" s="6" t="n">
        <f aca="false">Sens!J832+Sens!J829</f>
        <v>128.92993119594</v>
      </c>
      <c r="K833" s="6" t="n">
        <f aca="false">Sens!K832+Sens!K829</f>
        <v>118.962853064733</v>
      </c>
      <c r="L833" s="12" t="s">
        <v>1002</v>
      </c>
    </row>
    <row r="834" customFormat="false" ht="17.15" hidden="false" customHeight="false" outlineLevel="0" collapsed="false">
      <c r="A834" s="0" t="s">
        <v>1003</v>
      </c>
      <c r="B834" s="0" t="s">
        <v>98</v>
      </c>
      <c r="E834" s="6" t="n">
        <f aca="false">(Sens!C832*IF(2&lt;life_it,1,IF(2=life_it,0.5,0))+Sens!D832*IF(1&lt;life_it,1,IF(1=life_it,0.5,0))+Sens!E832*0.5)/life_it</f>
        <v>15.0605784770833</v>
      </c>
      <c r="F834" s="6" t="n">
        <f aca="false">(Sens!C832*IF(3&lt;life_it,1,IF(3=life_it,0.5,0))+Sens!D832*IF(2&lt;life_it,1,IF(2=life_it,0.5,0))+Sens!E832*IF(1&lt;life_it,1,IF(1=life_it,0.5,0))+Sens!F832*0.5)/life_it</f>
        <v>32.0704849854266</v>
      </c>
      <c r="G834" s="6" t="n">
        <f aca="false">(Sens!C832*IF(4&lt;life_it,1,IF(4=life_it,0.5,0))+Sens!D832*IF(3&lt;life_it,1,IF(3=life_it,0.5,0))+Sens!E832*IF(2&lt;life_it,1,IF(2=life_it,0.5,0))+Sens!F832*IF(1&lt;life_it,1,IF(1=life_it,0.5,0))+Sens!G832*0.5)/life_it</f>
        <v>56.5636516735239</v>
      </c>
      <c r="H834" s="6" t="n">
        <f aca="false">(Sens!C832*IF(5&lt;life_it,1,IF(5=life_it,0.5,0))+Sens!D832*IF(4&lt;life_it,1,IF(4=life_it,0.5,0))+Sens!E832*IF(3&lt;life_it,1,IF(3=life_it,0.5,0))+Sens!F832*IF(2&lt;life_it,1,IF(2=life_it,0.5,0))+Sens!G832*IF(1&lt;life_it,1,IF(1=life_it,0.5,0))+Sens!H832*0.5)/life_it</f>
        <v>83.2019916968207</v>
      </c>
      <c r="I834" s="6" t="n">
        <f aca="false">(Sens!C832*IF(6&lt;life_it,1,IF(6=life_it,0.5,0))+Sens!D832*IF(5&lt;life_it,1,IF(5=life_it,0.5,0))+Sens!E832*IF(4&lt;life_it,1,IF(4=life_it,0.5,0))+Sens!F832*IF(3&lt;life_it,1,IF(3=life_it,0.5,0))+Sens!G832*IF(2&lt;life_it,1,IF(2=life_it,0.5,0))+Sens!H832*IF(1&lt;life_it,1,IF(1=life_it,0.5,0))+Sens!I832*0.5)/life_it</f>
        <v>106.857324133594</v>
      </c>
      <c r="J834" s="6" t="n">
        <f aca="false">(Sens!C832*IF(7&lt;life_it,1,IF(7=life_it,0.5,0))+Sens!D832*IF(6&lt;life_it,1,IF(6=life_it,0.5,0))+Sens!E832*IF(5&lt;life_it,1,IF(5=life_it,0.5,0))+Sens!F832*IF(4&lt;life_it,1,IF(4=life_it,0.5,0))+Sens!G832*IF(3&lt;life_it,1,IF(3=life_it,0.5,0))+Sens!H832*IF(2&lt;life_it,1,IF(2=life_it,0.5,0))+Sens!I832*IF(1&lt;life_it,1,IF(1=life_it,0.5,0))+Sens!J832*0.5)/life_it</f>
        <v>123.657508539285</v>
      </c>
      <c r="K834" s="6" t="n">
        <f aca="false">(Sens!C832*IF(8&lt;life_it,1,IF(8=life_it,0.5,0))+Sens!D832*IF(7&lt;life_it,1,IF(7=life_it,0.5,0))+Sens!E832*IF(6&lt;life_it,1,IF(6=life_it,0.5,0))+Sens!F832*IF(5&lt;life_it,1,IF(5=life_it,0.5,0))+Sens!G832*IF(4&lt;life_it,1,IF(4=life_it,0.5,0))+Sens!H832*IF(3&lt;life_it,1,IF(3=life_it,0.5,0))+Sens!I832*IF(2&lt;life_it,1,IF(2=life_it,0.5,0))+Sens!J832*IF(1&lt;life_it,1,IF(1=life_it,0.5,0))+Sens!K832*0.5)/life_it</f>
        <v>134.143838501827</v>
      </c>
    </row>
    <row r="835" customFormat="false" ht="17.15" hidden="false" customHeight="false" outlineLevel="0" collapsed="false">
      <c r="A835" s="0" t="s">
        <v>1004</v>
      </c>
      <c r="B835" s="0" t="s">
        <v>98</v>
      </c>
      <c r="E835" s="6" t="n">
        <f aca="false">(Sens!C829*IF(2&lt;life_fac,1,IF(2=life_fac,0.5,0))+Sens!D829*IF(1&lt;life_fac,1,IF(1=life_fac,0.5,0))+Sens!E829*0.5)/life_fac</f>
        <v>1.2448275</v>
      </c>
      <c r="F835" s="6" t="n">
        <f aca="false">(Sens!C829*IF(3&lt;life_fac,1,IF(3=life_fac,0.5,0))+Sens!D829*IF(2&lt;life_fac,1,IF(2=life_fac,0.5,0))+Sens!E829*IF(1&lt;life_fac,1,IF(1=life_fac,0.5,0))+Sens!F829*0.5)/life_fac</f>
        <v>2.508829492925</v>
      </c>
      <c r="G835" s="6" t="n">
        <f aca="false">(Sens!C829*IF(4&lt;life_fac,1,IF(4=life_fac,0.5,0))+Sens!D829*IF(3&lt;life_fac,1,IF(3=life_fac,0.5,0))+Sens!E829*IF(2&lt;life_fac,1,IF(2=life_fac,0.5,0))+Sens!F829*IF(1&lt;life_fac,1,IF(1=life_fac,0.5,0))+Sens!G829*0.5)/life_fac</f>
        <v>4.170838978775</v>
      </c>
      <c r="H835" s="6" t="n">
        <f aca="false">(Sens!C829*IF(5&lt;life_fac,1,IF(5=life_fac,0.5,0))+Sens!D829*IF(4&lt;life_fac,1,IF(4=life_fac,0.5,0))+Sens!E829*IF(3&lt;life_fac,1,IF(3=life_fac,0.5,0))+Sens!F829*IF(2&lt;life_fac,1,IF(2=life_fac,0.5,0))+Sens!G829*IF(1&lt;life_fac,1,IF(1=life_fac,0.5,0))+Sens!H829*0.5)/life_fac</f>
        <v>5.898098964625</v>
      </c>
      <c r="I835" s="6" t="n">
        <f aca="false">(Sens!C829*IF(6&lt;life_fac,1,IF(6=life_fac,0.5,0))+Sens!D829*IF(5&lt;life_fac,1,IF(5=life_fac,0.5,0))+Sens!E829*IF(4&lt;life_fac,1,IF(4=life_fac,0.5,0))+Sens!F829*IF(3&lt;life_fac,1,IF(3=life_fac,0.5,0))+Sens!G829*IF(2&lt;life_fac,1,IF(2=life_fac,0.5,0))+Sens!H829*IF(1&lt;life_fac,1,IF(1=life_fac,0.5,0))+Sens!I829*0.5)/life_fac</f>
        <v>7.37368556095442</v>
      </c>
      <c r="J835" s="6" t="n">
        <f aca="false">(Sens!C829*IF(7&lt;life_fac,1,IF(7=life_fac,0.5,0))+Sens!D829*IF(6&lt;life_fac,1,IF(6=life_fac,0.5,0))+Sens!E829*IF(5&lt;life_fac,1,IF(5=life_fac,0.5,0))+Sens!F829*IF(4&lt;life_fac,1,IF(4=life_fac,0.5,0))+Sens!G829*IF(3&lt;life_fac,1,IF(3=life_fac,0.5,0))+Sens!H829*IF(2&lt;life_fac,1,IF(2=life_fac,0.5,0))+Sens!I829*IF(1&lt;life_fac,1,IF(1=life_fac,0.5,0))+Sens!J829*0.5)/life_fac</f>
        <v>8.35816451031075</v>
      </c>
      <c r="K835" s="6" t="n">
        <f aca="false">(Sens!C829*IF(8&lt;life_fac,1,IF(8=life_fac,0.5,0))+Sens!D829*IF(7&lt;life_fac,1,IF(7=life_fac,0.5,0))+Sens!E829*IF(6&lt;life_fac,1,IF(6=life_fac,0.5,0))+Sens!F829*IF(5&lt;life_fac,1,IF(5=life_fac,0.5,0))+Sens!G829*IF(4&lt;life_fac,1,IF(4=life_fac,0.5,0))+Sens!H829*IF(3&lt;life_fac,1,IF(3=life_fac,0.5,0))+Sens!I829*IF(2&lt;life_fac,1,IF(2=life_fac,0.5,0))+Sens!J829*IF(1&lt;life_fac,1,IF(1=life_fac,0.5,0))+Sens!K829*0.5)/life_fac</f>
        <v>8.86883104910662</v>
      </c>
    </row>
    <row r="836" customFormat="false" ht="17.15" hidden="false" customHeight="false" outlineLevel="0" collapsed="false">
      <c r="A836" s="0" t="s">
        <v>1005</v>
      </c>
      <c r="B836" s="0" t="s">
        <v>98</v>
      </c>
      <c r="E836" s="6" t="n">
        <f aca="false">Sens!E834+Sens!E835</f>
        <v>16.3054059770833</v>
      </c>
      <c r="F836" s="6" t="n">
        <f aca="false">Sens!F834+Sens!F835</f>
        <v>34.5793144783516</v>
      </c>
      <c r="G836" s="6" t="n">
        <f aca="false">Sens!G834+Sens!G835</f>
        <v>60.7344906522989</v>
      </c>
      <c r="H836" s="6" t="n">
        <f aca="false">Sens!H834+Sens!H835</f>
        <v>89.1000906614457</v>
      </c>
      <c r="I836" s="6" t="n">
        <f aca="false">Sens!I834+Sens!I835</f>
        <v>114.231009694548</v>
      </c>
      <c r="J836" s="6" t="n">
        <f aca="false">Sens!J834+Sens!J835</f>
        <v>132.015673049596</v>
      </c>
      <c r="K836" s="6" t="n">
        <f aca="false">Sens!K834+Sens!K835</f>
        <v>143.012669550934</v>
      </c>
    </row>
    <row r="837" customFormat="false" ht="17.15" hidden="false" customHeight="false" outlineLevel="0" collapsed="false">
      <c r="A837" s="0" t="s">
        <v>1006</v>
      </c>
      <c r="B837" s="0" t="s">
        <v>98</v>
      </c>
      <c r="E837" s="6" t="n">
        <f aca="false">Sens!E824-Sens!E823*Sens!E836</f>
        <v>8.92707889977379</v>
      </c>
      <c r="F837" s="6" t="n">
        <f aca="false">Sens!F824-Sens!F823*Sens!F836</f>
        <v>13.6031082411551</v>
      </c>
      <c r="G837" s="6" t="n">
        <f aca="false">Sens!G824-Sens!G823*Sens!G836</f>
        <v>27.7620280491937</v>
      </c>
      <c r="H837" s="6" t="n">
        <f aca="false">Sens!H824-Sens!H823*Sens!H836</f>
        <v>46.2752019363789</v>
      </c>
      <c r="I837" s="6" t="n">
        <f aca="false">Sens!I824-Sens!I823*Sens!I836</f>
        <v>57.9474449104558</v>
      </c>
      <c r="J837" s="6" t="n">
        <f aca="false">Sens!J824-Sens!J823*Sens!J836</f>
        <v>66.0191493357837</v>
      </c>
      <c r="K837" s="6" t="n">
        <f aca="false">Sens!K824-Sens!K823*Sens!K836</f>
        <v>71.4054279756453</v>
      </c>
    </row>
    <row r="838" customFormat="false" ht="17.15" hidden="false" customHeight="false" outlineLevel="0" collapsed="false">
      <c r="A838" s="3" t="s">
        <v>1631</v>
      </c>
    </row>
    <row r="839" customFormat="false" ht="15" hidden="false" customHeight="false" outlineLevel="0" collapsed="false">
      <c r="A839" s="4" t="s">
        <v>43</v>
      </c>
      <c r="B839" s="4" t="s">
        <v>65</v>
      </c>
      <c r="C839" s="23" t="s">
        <v>942</v>
      </c>
      <c r="D839" s="23" t="s">
        <v>943</v>
      </c>
      <c r="E839" s="23" t="s">
        <v>944</v>
      </c>
      <c r="F839" s="23" t="s">
        <v>945</v>
      </c>
      <c r="G839" s="23" t="s">
        <v>946</v>
      </c>
      <c r="H839" s="23" t="s">
        <v>947</v>
      </c>
      <c r="I839" s="23" t="s">
        <v>948</v>
      </c>
      <c r="J839" s="23" t="s">
        <v>949</v>
      </c>
      <c r="K839" s="23" t="s">
        <v>950</v>
      </c>
      <c r="L839" s="4" t="s">
        <v>47</v>
      </c>
    </row>
    <row r="840" customFormat="false" ht="17.15" hidden="false" customHeight="false" outlineLevel="0" collapsed="false">
      <c r="A840" s="0" t="s">
        <v>1025</v>
      </c>
      <c r="B840" s="0" t="s">
        <v>98</v>
      </c>
      <c r="D840" s="6" t="n">
        <f aca="false">Sens!D818</f>
        <v>12.9359794422418</v>
      </c>
      <c r="E840" s="6" t="n">
        <f aca="false">Sens!E818</f>
        <v>27.8095064661409</v>
      </c>
      <c r="F840" s="6" t="n">
        <f aca="false">Sens!F818</f>
        <v>50.2379040803784</v>
      </c>
      <c r="G840" s="6" t="n">
        <f aca="false">Sens!G818</f>
        <v>87.9337739708187</v>
      </c>
      <c r="H840" s="6" t="n">
        <f aca="false">Sens!H818</f>
        <v>130.74421199068</v>
      </c>
      <c r="I840" s="6" t="n">
        <f aca="false">Sens!I818</f>
        <v>163.794556887224</v>
      </c>
      <c r="J840" s="6" t="n">
        <f aca="false">Sens!J818</f>
        <v>186.824987196607</v>
      </c>
      <c r="K840" s="6" t="n">
        <f aca="false">Sens!K818</f>
        <v>201.243489869269</v>
      </c>
    </row>
    <row r="841" customFormat="false" ht="17.15" hidden="false" customHeight="false" outlineLevel="0" collapsed="false">
      <c r="A841" s="0" t="s">
        <v>1026</v>
      </c>
      <c r="B841" s="0" t="s">
        <v>98</v>
      </c>
      <c r="D841" s="6" t="n">
        <f aca="false">Q!L6-Sens!D840</f>
        <v>59.6740205577583</v>
      </c>
      <c r="E841" s="6" t="n">
        <f aca="false">Q!M6-Sens!E840</f>
        <v>74.1284935338591</v>
      </c>
      <c r="F841" s="6" t="n">
        <f aca="false">Q!$I$6+(Sens!F840+Sens!E841*(1+Sens!F842))*(1-Q!$E$6/Q!M6)-Sens!F840</f>
        <v>92.4333305192494</v>
      </c>
      <c r="G841" s="6" t="n">
        <f aca="false">Sens!F841*(1+Sens!G842)</f>
        <v>109.824592826883</v>
      </c>
      <c r="H841" s="6" t="n">
        <f aca="false">Sens!G841*(1+Sens!H842)</f>
        <v>127.518646203858</v>
      </c>
      <c r="I841" s="6" t="n">
        <f aca="false">Sens!H841*(1+Sens!I842)</f>
        <v>144.615661215892</v>
      </c>
      <c r="J841" s="6" t="n">
        <f aca="false">Sens!I841*(1+Sens!J842)</f>
        <v>160.094933131633</v>
      </c>
      <c r="K841" s="6" t="n">
        <f aca="false">Sens!J841*(1+Sens!K842)</f>
        <v>172.902527782164</v>
      </c>
      <c r="L841" s="12" t="s">
        <v>1027</v>
      </c>
    </row>
    <row r="842" customFormat="false" ht="15" hidden="false" customHeight="false" outlineLevel="0" collapsed="false">
      <c r="A842" s="1" t="s">
        <v>1028</v>
      </c>
      <c r="B842" s="0" t="s">
        <v>168</v>
      </c>
      <c r="E842" s="7" t="n">
        <f aca="false">Sens!E841/Sens!D841-1</f>
        <v>0.242223883039864</v>
      </c>
      <c r="F842" s="7" t="n">
        <f aca="false">Sens!$E$842+(glt_azo-Sens!$E$842)*MIN(1,(Sens!F799-base_fy)/n_conv)</f>
        <v>0.215186569199887</v>
      </c>
      <c r="G842" s="7" t="n">
        <f aca="false">Sens!$E$842+(glt_azo-Sens!$E$842)*MIN(1,(Sens!G799-base_fy)/n_conv)</f>
        <v>0.18814925535991</v>
      </c>
      <c r="H842" s="7" t="n">
        <f aca="false">Sens!$E$842+(glt_azo-Sens!$E$842)*MIN(1,(Sens!H799-base_fy)/n_conv)</f>
        <v>0.161111941519932</v>
      </c>
      <c r="I842" s="7" t="n">
        <f aca="false">Sens!$E$842+(glt_azo-Sens!$E$842)*MIN(1,(Sens!I799-base_fy)/n_conv)</f>
        <v>0.134074627679955</v>
      </c>
      <c r="J842" s="7" t="n">
        <f aca="false">Sens!$E$842+(glt_azo-Sens!$E$842)*MIN(1,(Sens!J799-base_fy)/n_conv)</f>
        <v>0.107037313839977</v>
      </c>
      <c r="K842" s="7" t="n">
        <f aca="false">Sens!$E$842+(glt_azo-Sens!$E$842)*MIN(1,(Sens!K799-base_fy)/n_conv)</f>
        <v>0.08</v>
      </c>
    </row>
    <row r="843" customFormat="false" ht="15" hidden="false" customHeight="false" outlineLevel="0" collapsed="false">
      <c r="A843" s="0" t="s">
        <v>1029</v>
      </c>
      <c r="B843" s="0" t="s">
        <v>98</v>
      </c>
      <c r="D843" s="6" t="n">
        <f aca="false">Sens!D840+Sens!D841</f>
        <v>72.61</v>
      </c>
      <c r="E843" s="6" t="n">
        <f aca="false">Sens!E840+Sens!E841</f>
        <v>101.938</v>
      </c>
      <c r="F843" s="6" t="n">
        <f aca="false">Sens!F840+Sens!F841</f>
        <v>142.671234599628</v>
      </c>
      <c r="G843" s="6" t="n">
        <f aca="false">Sens!G840+Sens!G841</f>
        <v>197.758366797701</v>
      </c>
      <c r="H843" s="6" t="n">
        <f aca="false">Sens!H840+Sens!H841</f>
        <v>258.262858194538</v>
      </c>
      <c r="I843" s="6" t="n">
        <f aca="false">Sens!I840+Sens!I841</f>
        <v>308.410218103116</v>
      </c>
      <c r="J843" s="6" t="n">
        <f aca="false">Sens!J840+Sens!J841</f>
        <v>346.91992032824</v>
      </c>
      <c r="K843" s="6" t="n">
        <f aca="false">Sens!K840+Sens!K841</f>
        <v>374.146017651432</v>
      </c>
    </row>
    <row r="844" customFormat="false" ht="17.15" hidden="false" customHeight="false" outlineLevel="0" collapsed="false">
      <c r="A844" s="0" t="s">
        <v>1030</v>
      </c>
      <c r="B844" s="1" t="s">
        <v>613</v>
      </c>
      <c r="C844" s="30" t="n">
        <f aca="false">cop_s24</f>
        <v>1</v>
      </c>
      <c r="D844" s="30" t="n">
        <f aca="false">cop_s25</f>
        <v>5</v>
      </c>
      <c r="E844" s="30" t="n">
        <f aca="false">cop_s26</f>
        <v>30</v>
      </c>
      <c r="F844" s="30" t="n">
        <f aca="false">Sens!E844+cop_add_A</f>
        <v>60</v>
      </c>
      <c r="G844" s="30" t="n">
        <f aca="false">Sens!F844+cop_add_A</f>
        <v>90</v>
      </c>
      <c r="H844" s="30" t="n">
        <f aca="false">Sens!G844+cop_add_A</f>
        <v>120</v>
      </c>
      <c r="I844" s="30" t="n">
        <f aca="false">Sens!H844+cop_add_A*cop_tail</f>
        <v>135</v>
      </c>
      <c r="J844" s="30" t="n">
        <f aca="false">Sens!I844+cop_add_A*cop_tail</f>
        <v>150</v>
      </c>
      <c r="K844" s="30" t="n">
        <f aca="false">Sens!J844+cop_add_A*cop_tail</f>
        <v>165</v>
      </c>
      <c r="L844" s="12" t="s">
        <v>1031</v>
      </c>
    </row>
    <row r="845" customFormat="false" ht="17.15" hidden="false" customHeight="false" outlineLevel="0" collapsed="false">
      <c r="A845" s="0" t="s">
        <v>1032</v>
      </c>
      <c r="B845" s="0" t="s">
        <v>98</v>
      </c>
      <c r="D845" s="6" t="n">
        <f aca="false">(Sens!C844+Sens!D844)/2*cop_px*12/1000</f>
        <v>0.9</v>
      </c>
      <c r="E845" s="6" t="n">
        <f aca="false">(Sens!D844+Sens!E844)/2*cop_px*12/1000</f>
        <v>5.25</v>
      </c>
      <c r="F845" s="6" t="n">
        <f aca="false">(Sens!E844+Sens!F844)/2*cop_px*12/1000</f>
        <v>13.5</v>
      </c>
      <c r="G845" s="6" t="n">
        <f aca="false">(Sens!F844+Sens!G844)/2*cop_px*12/1000</f>
        <v>22.5</v>
      </c>
      <c r="H845" s="6" t="n">
        <f aca="false">(Sens!G844+Sens!H844)/2*cop_px*12/1000</f>
        <v>31.5</v>
      </c>
      <c r="I845" s="6" t="n">
        <f aca="false">(Sens!H844+Sens!I844)/2*cop_px*12/1000</f>
        <v>38.25</v>
      </c>
      <c r="J845" s="6" t="n">
        <f aca="false">(Sens!I844+Sens!J844)/2*cop_px*12/1000</f>
        <v>42.75</v>
      </c>
      <c r="K845" s="6" t="n">
        <f aca="false">(Sens!J844+Sens!K844)/2*cop_px*12/1000</f>
        <v>47.25</v>
      </c>
      <c r="L845" s="1" t="s">
        <v>1033</v>
      </c>
    </row>
    <row r="846" customFormat="false" ht="17.15" hidden="false" customHeight="false" outlineLevel="0" collapsed="false">
      <c r="A846" s="0" t="s">
        <v>1034</v>
      </c>
      <c r="B846" s="0" t="s">
        <v>98</v>
      </c>
      <c r="D846" s="6" t="n">
        <f aca="false">Q!L7-Sens!D845</f>
        <v>83.705</v>
      </c>
      <c r="E846" s="6" t="n">
        <f aca="false">Q!M7-Sens!E845</f>
        <v>95.049</v>
      </c>
      <c r="F846" s="6" t="n">
        <f aca="false">Q!$I$7+(Sens!E846*(1+Sens!F847)+Sens!F845)*(1-Q!$E$7/Q!M7)-Sens!F845</f>
        <v>106.229653205718</v>
      </c>
      <c r="G846" s="6" t="n">
        <f aca="false">Sens!F846*(1+Sens!G847)</f>
        <v>118.306092647576</v>
      </c>
      <c r="H846" s="6" t="n">
        <f aca="false">Sens!G846*(1+Sens!H847)</f>
        <v>130.463437602768</v>
      </c>
      <c r="I846" s="6" t="n">
        <f aca="false">Sens!H846*(1+Sens!I847)</f>
        <v>142.445354741933</v>
      </c>
      <c r="J846" s="6" t="n">
        <f aca="false">Sens!I846*(1+Sens!J847)</f>
        <v>153.972117481571</v>
      </c>
      <c r="K846" s="6" t="n">
        <f aca="false">Sens!J846*(1+Sens!K847)</f>
        <v>164.75016570528</v>
      </c>
      <c r="L846" s="12" t="s">
        <v>1035</v>
      </c>
    </row>
    <row r="847" customFormat="false" ht="15" hidden="false" customHeight="false" outlineLevel="0" collapsed="false">
      <c r="A847" s="1" t="s">
        <v>1028</v>
      </c>
      <c r="B847" s="0" t="s">
        <v>168</v>
      </c>
      <c r="E847" s="7" t="n">
        <f aca="false">Sens!E846/Sens!D846-1</f>
        <v>0.135523564900544</v>
      </c>
      <c r="F847" s="7" t="n">
        <f aca="false">Sens!$E$847+(glt_m365b-Sens!$E$847)*MIN(1,(Sens!F799-base_fy)/n_conv)</f>
        <v>0.124602970750453</v>
      </c>
      <c r="G847" s="7" t="n">
        <f aca="false">Sens!$E$847+(glt_m365b-Sens!$E$847)*MIN(1,(Sens!G799-base_fy)/n_conv)</f>
        <v>0.113682376600363</v>
      </c>
      <c r="H847" s="7" t="n">
        <f aca="false">Sens!$E$847+(glt_m365b-Sens!$E$847)*MIN(1,(Sens!H799-base_fy)/n_conv)</f>
        <v>0.102761782450272</v>
      </c>
      <c r="I847" s="7" t="n">
        <f aca="false">Sens!$E$847+(glt_m365b-Sens!$E$847)*MIN(1,(Sens!I799-base_fy)/n_conv)</f>
        <v>0.0918411883001813</v>
      </c>
      <c r="J847" s="7" t="n">
        <f aca="false">Sens!$E$847+(glt_m365b-Sens!$E$847)*MIN(1,(Sens!J799-base_fy)/n_conv)</f>
        <v>0.0809205941500906</v>
      </c>
      <c r="K847" s="7" t="n">
        <f aca="false">Sens!$E$847+(glt_m365b-Sens!$E$847)*MIN(1,(Sens!K799-base_fy)/n_conv)</f>
        <v>0.07</v>
      </c>
    </row>
    <row r="848" customFormat="false" ht="15" hidden="false" customHeight="false" outlineLevel="0" collapsed="false">
      <c r="A848" s="0" t="s">
        <v>1036</v>
      </c>
      <c r="B848" s="0" t="s">
        <v>98</v>
      </c>
      <c r="D848" s="6" t="n">
        <f aca="false">Sens!D846+Sens!D845</f>
        <v>84.605</v>
      </c>
      <c r="E848" s="6" t="n">
        <f aca="false">Sens!E846+Sens!E845</f>
        <v>100.299</v>
      </c>
      <c r="F848" s="6" t="n">
        <f aca="false">Sens!F846+Sens!F845</f>
        <v>119.729653205718</v>
      </c>
      <c r="G848" s="6" t="n">
        <f aca="false">Sens!G846+Sens!G845</f>
        <v>140.806092647576</v>
      </c>
      <c r="H848" s="6" t="n">
        <f aca="false">Sens!H846+Sens!H845</f>
        <v>161.963437602768</v>
      </c>
      <c r="I848" s="6" t="n">
        <f aca="false">Sens!I846+Sens!I845</f>
        <v>180.695354741933</v>
      </c>
      <c r="J848" s="6" t="n">
        <f aca="false">Sens!J846+Sens!J845</f>
        <v>196.722117481571</v>
      </c>
      <c r="K848" s="6" t="n">
        <f aca="false">Sens!K846+Sens!K845</f>
        <v>212.00016570528</v>
      </c>
    </row>
    <row r="849" customFormat="false" ht="17.15" hidden="false" customHeight="false" outlineLevel="0" collapsed="false">
      <c r="A849" s="0" t="s">
        <v>1037</v>
      </c>
      <c r="B849" s="0" t="s">
        <v>98</v>
      </c>
      <c r="D849" s="6" t="n">
        <f aca="false">Q!L8</f>
        <v>35.391</v>
      </c>
      <c r="E849" s="6" t="n">
        <f aca="false">Q!M8</f>
        <v>37.285</v>
      </c>
      <c r="F849" s="6" t="n">
        <f aca="false">Q!$I$8+(Q!M8-Q!$E$8)*(1+Sens!F850)</f>
        <v>38.3851437782675</v>
      </c>
      <c r="G849" s="6" t="n">
        <f aca="false">Sens!F849*(1+Sens!G850)</f>
        <v>40.0105353288615</v>
      </c>
      <c r="H849" s="6" t="n">
        <f aca="false">Sens!G849*(1+Sens!H850)</f>
        <v>41.4812512033683</v>
      </c>
      <c r="I849" s="6" t="n">
        <f aca="false">Sens!H849*(1+Sens!I850)</f>
        <v>42.7743107216329</v>
      </c>
      <c r="J849" s="6" t="n">
        <f aca="false">Sens!I849*(1+Sens!J850)</f>
        <v>43.8687373064601</v>
      </c>
      <c r="K849" s="6" t="n">
        <f aca="false">Sens!J849*(1+Sens!K850)</f>
        <v>44.7461120525893</v>
      </c>
      <c r="L849" s="12" t="s">
        <v>1038</v>
      </c>
    </row>
    <row r="850" customFormat="false" ht="15" hidden="false" customHeight="false" outlineLevel="0" collapsed="false">
      <c r="A850" s="1" t="s">
        <v>1028</v>
      </c>
      <c r="B850" s="0" t="s">
        <v>168</v>
      </c>
      <c r="E850" s="7" t="n">
        <f aca="false">Sens!E849/Sens!D849-1</f>
        <v>0.0535164307309768</v>
      </c>
      <c r="F850" s="7" t="n">
        <f aca="false">Sens!$E$850+(glt_lic-Sens!$E$850)*MIN(1,(Sens!F799-base_fy)/n_conv)</f>
        <v>0.0479303589424807</v>
      </c>
      <c r="G850" s="7" t="n">
        <f aca="false">Sens!$E$850+(glt_lic-Sens!$E$850)*MIN(1,(Sens!G799-base_fy)/n_conv)</f>
        <v>0.0423442871539845</v>
      </c>
      <c r="H850" s="7" t="n">
        <f aca="false">Sens!$E$850+(glt_lic-Sens!$E$850)*MIN(1,(Sens!H799-base_fy)/n_conv)</f>
        <v>0.0367582153654884</v>
      </c>
      <c r="I850" s="7" t="n">
        <f aca="false">Sens!$E$850+(glt_lic-Sens!$E$850)*MIN(1,(Sens!I799-base_fy)/n_conv)</f>
        <v>0.0311721435769923</v>
      </c>
      <c r="J850" s="7" t="n">
        <f aca="false">Sens!$E$850+(glt_lic-Sens!$E$850)*MIN(1,(Sens!J799-base_fy)/n_conv)</f>
        <v>0.0255860717884961</v>
      </c>
      <c r="K850" s="7" t="n">
        <f aca="false">Sens!$E$850+(glt_lic-Sens!$E$850)*MIN(1,(Sens!K799-base_fy)/n_conv)</f>
        <v>0.02</v>
      </c>
    </row>
    <row r="851" customFormat="false" ht="17.15" hidden="false" customHeight="false" outlineLevel="0" collapsed="false">
      <c r="A851" s="0" t="s">
        <v>1039</v>
      </c>
      <c r="B851" s="0" t="s">
        <v>98</v>
      </c>
      <c r="D851" s="6" t="n">
        <f aca="false">Q!L9</f>
        <v>18.417</v>
      </c>
      <c r="E851" s="6" t="n">
        <f aca="false">Q!M9</f>
        <v>20.345</v>
      </c>
      <c r="F851" s="6" t="n">
        <f aca="false">Q!$I$9+(Q!M9-Q!$E$9)*(1+Sens!F852)</f>
        <v>22.3161797133988</v>
      </c>
      <c r="G851" s="6" t="n">
        <f aca="false">Sens!F851*(1+Sens!G852)</f>
        <v>24.3943499673233</v>
      </c>
      <c r="H851" s="6" t="n">
        <f aca="false">Sens!G851*(1+Sens!H852)</f>
        <v>26.5250243109019</v>
      </c>
      <c r="I851" s="6" t="n">
        <f aca="false">Sens!H851*(1+Sens!I852)</f>
        <v>28.6884573538181</v>
      </c>
      <c r="J851" s="6" t="n">
        <f aca="false">Sens!I851*(1+Sens!J852)</f>
        <v>30.8624968052127</v>
      </c>
      <c r="K851" s="6" t="n">
        <f aca="false">Sens!J851*(1+Sens!K852)</f>
        <v>33.0228715815776</v>
      </c>
      <c r="L851" s="12" t="s">
        <v>1038</v>
      </c>
    </row>
    <row r="852" customFormat="false" ht="15" hidden="false" customHeight="false" outlineLevel="0" collapsed="false">
      <c r="A852" s="1" t="s">
        <v>1028</v>
      </c>
      <c r="B852" s="0" t="s">
        <v>168</v>
      </c>
      <c r="E852" s="7" t="n">
        <f aca="false">Sens!E851/Sens!D851-1</f>
        <v>0.104685888038225</v>
      </c>
      <c r="F852" s="7" t="n">
        <f aca="false">Sens!$E$852+(glt_ind-Sens!$E$852)*MIN(1,(Sens!F799-base_fy)/n_conv)</f>
        <v>0.0989049066985211</v>
      </c>
      <c r="G852" s="7" t="n">
        <f aca="false">Sens!$E$852+(glt_ind-Sens!$E$852)*MIN(1,(Sens!G799-base_fy)/n_conv)</f>
        <v>0.0931239253588169</v>
      </c>
      <c r="H852" s="7" t="n">
        <f aca="false">Sens!$E$852+(glt_ind-Sens!$E$852)*MIN(1,(Sens!H799-base_fy)/n_conv)</f>
        <v>0.0873429440191127</v>
      </c>
      <c r="I852" s="7" t="n">
        <f aca="false">Sens!$E$852+(glt_ind-Sens!$E$852)*MIN(1,(Sens!I799-base_fy)/n_conv)</f>
        <v>0.0815619626794085</v>
      </c>
      <c r="J852" s="7" t="n">
        <f aca="false">Sens!$E$852+(glt_ind-Sens!$E$852)*MIN(1,(Sens!J799-base_fy)/n_conv)</f>
        <v>0.0757809813397042</v>
      </c>
      <c r="K852" s="7" t="n">
        <f aca="false">Sens!$E$852+(glt_ind-Sens!$E$852)*MIN(1,(Sens!K799-base_fy)/n_conv)</f>
        <v>0.07</v>
      </c>
    </row>
    <row r="853" customFormat="false" ht="17.15" hidden="false" customHeight="false" outlineLevel="0" collapsed="false">
      <c r="A853" s="0" t="s">
        <v>1040</v>
      </c>
      <c r="B853" s="0" t="s">
        <v>98</v>
      </c>
      <c r="D853" s="6" t="n">
        <f aca="false">Q!L10</f>
        <v>7.76</v>
      </c>
      <c r="E853" s="6" t="n">
        <f aca="false">Q!M10</f>
        <v>8.26</v>
      </c>
      <c r="F853" s="6" t="n">
        <f aca="false">Q!$I$10+(Q!M10-Q!$E$10)*(1+Sens!F854)</f>
        <v>8.75372082474227</v>
      </c>
      <c r="G853" s="6" t="n">
        <f aca="false">Sens!F853*(1+Sens!G854)</f>
        <v>9.33399324642364</v>
      </c>
      <c r="H853" s="6" t="n">
        <f aca="false">Sens!G853*(1+Sens!H854)</f>
        <v>9.96139155535851</v>
      </c>
      <c r="I853" s="6" t="n">
        <f aca="false">Sens!H853*(1+Sens!I854)</f>
        <v>10.6402039077391</v>
      </c>
      <c r="J853" s="6" t="n">
        <f aca="false">Sens!I853*(1+Sens!J854)</f>
        <v>11.3751458271397</v>
      </c>
      <c r="K853" s="6" t="n">
        <f aca="false">Sens!J853*(1+Sens!K854)</f>
        <v>12.1714060350394</v>
      </c>
      <c r="L853" s="12" t="s">
        <v>1038</v>
      </c>
    </row>
    <row r="854" customFormat="false" ht="15" hidden="false" customHeight="false" outlineLevel="0" collapsed="false">
      <c r="A854" s="1" t="s">
        <v>1028</v>
      </c>
      <c r="B854" s="0" t="s">
        <v>168</v>
      </c>
      <c r="E854" s="7" t="n">
        <f aca="false">Sens!E853/Sens!D853-1</f>
        <v>0.0644329896907216</v>
      </c>
      <c r="F854" s="7" t="n">
        <f aca="false">Sens!$E$854+(glt_fro-Sens!$E$854)*MIN(1,(Sens!F799-base_fy)/n_conv)</f>
        <v>0.065360824742268</v>
      </c>
      <c r="G854" s="7" t="n">
        <f aca="false">Sens!$E$854+(glt_fro-Sens!$E$854)*MIN(1,(Sens!G799-base_fy)/n_conv)</f>
        <v>0.0662886597938144</v>
      </c>
      <c r="H854" s="7" t="n">
        <f aca="false">Sens!$E$854+(glt_fro-Sens!$E$854)*MIN(1,(Sens!H799-base_fy)/n_conv)</f>
        <v>0.0672164948453608</v>
      </c>
      <c r="I854" s="7" t="n">
        <f aca="false">Sens!$E$854+(glt_fro-Sens!$E$854)*MIN(1,(Sens!I799-base_fy)/n_conv)</f>
        <v>0.0681443298969072</v>
      </c>
      <c r="J854" s="7" t="n">
        <f aca="false">Sens!$E$854+(glt_fro-Sens!$E$854)*MIN(1,(Sens!J799-base_fy)/n_conv)</f>
        <v>0.0690721649484536</v>
      </c>
      <c r="K854" s="7" t="n">
        <f aca="false">Sens!$E$854+(glt_fro-Sens!$E$854)*MIN(1,(Sens!K799-base_fy)/n_conv)</f>
        <v>0.07</v>
      </c>
    </row>
    <row r="855" customFormat="false" ht="15" hidden="false" customHeight="false" outlineLevel="0" collapsed="false">
      <c r="A855" s="0" t="s">
        <v>856</v>
      </c>
      <c r="B855" s="0" t="s">
        <v>98</v>
      </c>
      <c r="D855" s="6" t="n">
        <f aca="false">Sens!D843+Sens!D848+Sens!D849+Sens!D851+Sens!D853</f>
        <v>218.783</v>
      </c>
      <c r="E855" s="6" t="n">
        <f aca="false">Sens!E843+Sens!E848+Sens!E849+Sens!E851+Sens!E853</f>
        <v>268.127</v>
      </c>
      <c r="F855" s="6" t="n">
        <f aca="false">Sens!F843+Sens!F848+Sens!F849+Sens!F851+Sens!F853</f>
        <v>331.855932121754</v>
      </c>
      <c r="G855" s="6" t="n">
        <f aca="false">Sens!G843+Sens!G848+Sens!G849+Sens!G851+Sens!G853</f>
        <v>412.303337987886</v>
      </c>
      <c r="H855" s="6" t="n">
        <f aca="false">Sens!H843+Sens!H848+Sens!H849+Sens!H851+Sens!H853</f>
        <v>498.193962866934</v>
      </c>
      <c r="I855" s="6" t="n">
        <f aca="false">Sens!I843+Sens!I848+Sens!I849+Sens!I851+Sens!I853</f>
        <v>571.208544828239</v>
      </c>
      <c r="J855" s="6" t="n">
        <f aca="false">Sens!J843+Sens!J848+Sens!J849+Sens!J851+Sens!J853</f>
        <v>629.748417748623</v>
      </c>
      <c r="K855" s="6" t="n">
        <f aca="false">Sens!K843+Sens!K848+Sens!K849+Sens!K851+Sens!K853</f>
        <v>676.086573025919</v>
      </c>
    </row>
    <row r="856" customFormat="false" ht="17.15" hidden="false" customHeight="false" outlineLevel="0" collapsed="false">
      <c r="A856" s="0" t="s">
        <v>1041</v>
      </c>
      <c r="B856" s="0" t="s">
        <v>98</v>
      </c>
      <c r="D856" s="6" t="n">
        <f aca="false">Q!L13</f>
        <v>22.171</v>
      </c>
      <c r="E856" s="6" t="n">
        <f aca="false">Q!M13</f>
        <v>24.835</v>
      </c>
      <c r="F856" s="6" t="n">
        <f aca="false">Q!$I$13+(Q!M13-Q!$E$13)*(1+Sens!F857)</f>
        <v>27.5591895660247</v>
      </c>
      <c r="G856" s="6" t="n">
        <f aca="false">Sens!F856*(1+Sens!G857)</f>
        <v>30.4098563144583</v>
      </c>
      <c r="H856" s="6" t="n">
        <f aca="false">Sens!G856*(1+Sens!H857)</f>
        <v>33.3011792571777</v>
      </c>
      <c r="I856" s="6" t="n">
        <f aca="false">Sens!H856*(1+Sens!I857)</f>
        <v>36.189023797112</v>
      </c>
      <c r="J856" s="6" t="n">
        <f aca="false">Sens!I856*(1+Sens!J857)</f>
        <v>39.0247773769199</v>
      </c>
      <c r="K856" s="6" t="n">
        <f aca="false">Sens!J856*(1+Sens!K857)</f>
        <v>41.7565117933043</v>
      </c>
      <c r="L856" s="12" t="s">
        <v>1038</v>
      </c>
    </row>
    <row r="857" customFormat="false" ht="15" hidden="false" customHeight="false" outlineLevel="0" collapsed="false">
      <c r="A857" s="1" t="s">
        <v>1028</v>
      </c>
      <c r="B857" s="0" t="s">
        <v>168</v>
      </c>
      <c r="E857" s="7" t="n">
        <f aca="false">Sens!E856/Sens!D856-1</f>
        <v>0.120156961796942</v>
      </c>
      <c r="F857" s="7" t="n">
        <f aca="false">Sens!$E$857+(glt_srch-Sens!$E$857)*MIN(1,(Sens!F799-base_fy)/n_conv)</f>
        <v>0.111797468164118</v>
      </c>
      <c r="G857" s="7" t="n">
        <f aca="false">Sens!$E$857+(glt_srch-Sens!$E$857)*MIN(1,(Sens!G799-base_fy)/n_conv)</f>
        <v>0.103437974531295</v>
      </c>
      <c r="H857" s="7" t="n">
        <f aca="false">Sens!$E$857+(glt_srch-Sens!$E$857)*MIN(1,(Sens!H799-base_fy)/n_conv)</f>
        <v>0.095078480898471</v>
      </c>
      <c r="I857" s="7" t="n">
        <f aca="false">Sens!$E$857+(glt_srch-Sens!$E$857)*MIN(1,(Sens!I799-base_fy)/n_conv)</f>
        <v>0.0867189872656474</v>
      </c>
      <c r="J857" s="7" t="n">
        <f aca="false">Sens!$E$857+(glt_srch-Sens!$E$857)*MIN(1,(Sens!J799-base_fy)/n_conv)</f>
        <v>0.0783594936328237</v>
      </c>
      <c r="K857" s="7" t="n">
        <f aca="false">Sens!$E$857+(glt_srch-Sens!$E$857)*MIN(1,(Sens!K799-base_fy)/n_conv)</f>
        <v>0.07</v>
      </c>
    </row>
    <row r="858" customFormat="false" ht="17.15" hidden="false" customHeight="false" outlineLevel="0" collapsed="false">
      <c r="A858" s="0" t="s">
        <v>1042</v>
      </c>
      <c r="B858" s="0" t="s">
        <v>98</v>
      </c>
      <c r="D858" s="6" t="n">
        <f aca="false">Q!L14</f>
        <v>23.455</v>
      </c>
      <c r="E858" s="6" t="n">
        <f aca="false">Q!M14</f>
        <v>21.79</v>
      </c>
      <c r="F858" s="6" t="n">
        <f aca="false">Q!$I$14+(Q!M14-Q!$E$14)*(1+Sens!F859)</f>
        <v>20.7520981041711</v>
      </c>
      <c r="G858" s="6" t="n">
        <f aca="false">Sens!F858*(1+Sens!G859)</f>
        <v>19.9083593495882</v>
      </c>
      <c r="H858" s="6" t="n">
        <f aca="false">Sens!G858*(1+Sens!H859)</f>
        <v>19.4008256265831</v>
      </c>
      <c r="I858" s="6" t="n">
        <f aca="false">Sens!H858*(1+Sens!I859)</f>
        <v>19.200434522122</v>
      </c>
      <c r="J858" s="6" t="n">
        <f aca="false">Sens!I858*(1+Sens!J859)</f>
        <v>19.2932782348507</v>
      </c>
      <c r="K858" s="6" t="n">
        <f aca="false">Sens!J858*(1+Sens!K859)</f>
        <v>19.6791437995477</v>
      </c>
      <c r="L858" s="12" t="s">
        <v>1038</v>
      </c>
    </row>
    <row r="859" customFormat="false" ht="15" hidden="false" customHeight="false" outlineLevel="0" collapsed="false">
      <c r="A859" s="1" t="s">
        <v>1028</v>
      </c>
      <c r="B859" s="0" t="s">
        <v>168</v>
      </c>
      <c r="E859" s="7" t="n">
        <f aca="false">Sens!E858/Sens!D858-1</f>
        <v>-0.0709869963760392</v>
      </c>
      <c r="F859" s="7" t="n">
        <f aca="false">Sens!$E$859+(glt_xbox-Sens!$E$859)*MIN(1,(Sens!F799-base_fy)/n_conv)</f>
        <v>-0.0558224969800327</v>
      </c>
      <c r="G859" s="7" t="n">
        <f aca="false">Sens!$E$859+(glt_xbox-Sens!$E$859)*MIN(1,(Sens!G799-base_fy)/n_conv)</f>
        <v>-0.0406579975840262</v>
      </c>
      <c r="H859" s="7" t="n">
        <f aca="false">Sens!$E$859+(glt_xbox-Sens!$E$859)*MIN(1,(Sens!H799-base_fy)/n_conv)</f>
        <v>-0.0254934981880196</v>
      </c>
      <c r="I859" s="7" t="n">
        <f aca="false">Sens!$E$859+(glt_xbox-Sens!$E$859)*MIN(1,(Sens!I799-base_fy)/n_conv)</f>
        <v>-0.0103289987920131</v>
      </c>
      <c r="J859" s="7" t="n">
        <f aca="false">Sens!$E$859+(glt_xbox-Sens!$E$859)*MIN(1,(Sens!J799-base_fy)/n_conv)</f>
        <v>0.00483550060399347</v>
      </c>
      <c r="K859" s="7" t="n">
        <f aca="false">Sens!$E$859+(glt_xbox-Sens!$E$859)*MIN(1,(Sens!K799-base_fy)/n_conv)</f>
        <v>0.02</v>
      </c>
    </row>
    <row r="860" customFormat="false" ht="17.15" hidden="false" customHeight="false" outlineLevel="0" collapsed="false">
      <c r="A860" s="0" t="s">
        <v>1043</v>
      </c>
      <c r="B860" s="0" t="s">
        <v>98</v>
      </c>
      <c r="D860" s="6" t="n">
        <f aca="false">Q!L15</f>
        <v>17.315</v>
      </c>
      <c r="E860" s="6" t="n">
        <f aca="false">Q!M15</f>
        <v>17.087</v>
      </c>
      <c r="F860" s="6" t="n">
        <f aca="false">Q!$I$15+(Q!M15-Q!$E$15)*(1+Sens!F861)</f>
        <v>15.9912273250553</v>
      </c>
      <c r="G860" s="6" t="n">
        <f aca="false">Sens!F860*(1+Sens!G861)</f>
        <v>15.9574562664827</v>
      </c>
      <c r="H860" s="6" t="n">
        <f aca="false">Sens!G860*(1+Sens!H861)</f>
        <v>16.0119687434196</v>
      </c>
      <c r="I860" s="6" t="n">
        <f aca="false">Sens!H860*(1+Sens!I861)</f>
        <v>16.1551810001948</v>
      </c>
      <c r="J860" s="6" t="n">
        <f aca="false">Sens!I860*(1+Sens!J861)</f>
        <v>16.3889793892005</v>
      </c>
      <c r="K860" s="6" t="n">
        <f aca="false">Sens!J860*(1+Sens!K861)</f>
        <v>16.7167589769845</v>
      </c>
      <c r="L860" s="12" t="s">
        <v>1038</v>
      </c>
    </row>
    <row r="861" customFormat="false" ht="15" hidden="false" customHeight="false" outlineLevel="0" collapsed="false">
      <c r="A861" s="1" t="s">
        <v>1028</v>
      </c>
      <c r="B861" s="0" t="s">
        <v>168</v>
      </c>
      <c r="E861" s="7" t="n">
        <f aca="false">Sens!E860/Sens!D860-1</f>
        <v>-0.0131677736066995</v>
      </c>
      <c r="F861" s="7" t="n">
        <f aca="false">Sens!$E$861+(glt_win-Sens!$E$861)*MIN(1,(Sens!F799-base_fy)/n_conv)</f>
        <v>-0.00763981133891627</v>
      </c>
      <c r="G861" s="7" t="n">
        <f aca="false">Sens!$E$861+(glt_win-Sens!$E$861)*MIN(1,(Sens!G799-base_fy)/n_conv)</f>
        <v>-0.00211184907113301</v>
      </c>
      <c r="H861" s="7" t="n">
        <f aca="false">Sens!$E$861+(glt_win-Sens!$E$861)*MIN(1,(Sens!H799-base_fy)/n_conv)</f>
        <v>0.00341611319665024</v>
      </c>
      <c r="I861" s="7" t="n">
        <f aca="false">Sens!$E$861+(glt_win-Sens!$E$861)*MIN(1,(Sens!I799-base_fy)/n_conv)</f>
        <v>0.00894407546443349</v>
      </c>
      <c r="J861" s="7" t="n">
        <f aca="false">Sens!$E$861+(glt_win-Sens!$E$861)*MIN(1,(Sens!J799-base_fy)/n_conv)</f>
        <v>0.0144720377322168</v>
      </c>
      <c r="K861" s="7" t="n">
        <f aca="false">Sens!$E$861+(glt_win-Sens!$E$861)*MIN(1,(Sens!K799-base_fy)/n_conv)</f>
        <v>0.02</v>
      </c>
    </row>
    <row r="862" customFormat="false" ht="15" hidden="false" customHeight="false" outlineLevel="0" collapsed="false">
      <c r="A862" s="0" t="s">
        <v>870</v>
      </c>
      <c r="B862" s="0" t="s">
        <v>98</v>
      </c>
      <c r="D862" s="6" t="n">
        <f aca="false">Sens!D856+Sens!D858+Sens!D860</f>
        <v>62.941</v>
      </c>
      <c r="E862" s="6" t="n">
        <f aca="false">Sens!E856+Sens!E858+Sens!E860</f>
        <v>63.712</v>
      </c>
      <c r="F862" s="6" t="n">
        <f aca="false">Sens!F856+Sens!F858+Sens!F860</f>
        <v>64.3025149952511</v>
      </c>
      <c r="G862" s="6" t="n">
        <f aca="false">Sens!G856+Sens!G858+Sens!G860</f>
        <v>66.2756719305292</v>
      </c>
      <c r="H862" s="6" t="n">
        <f aca="false">Sens!H856+Sens!H858+Sens!H860</f>
        <v>68.7139736271804</v>
      </c>
      <c r="I862" s="6" t="n">
        <f aca="false">Sens!I856+Sens!I858+Sens!I860</f>
        <v>71.5446393194289</v>
      </c>
      <c r="J862" s="6" t="n">
        <f aca="false">Sens!J856+Sens!J858+Sens!J860</f>
        <v>74.707035000971</v>
      </c>
      <c r="K862" s="6" t="n">
        <f aca="false">Sens!K856+Sens!K858+Sens!K860</f>
        <v>78.1524145698365</v>
      </c>
    </row>
    <row r="863" customFormat="false" ht="15" hidden="false" customHeight="false" outlineLevel="0" collapsed="false">
      <c r="A863" s="1" t="s">
        <v>1044</v>
      </c>
      <c r="B863" s="0" t="s">
        <v>98</v>
      </c>
      <c r="D863" s="6" t="n">
        <f aca="false">Sens!D855+Sens!D862</f>
        <v>281.724</v>
      </c>
      <c r="E863" s="6" t="n">
        <f aca="false">Sens!E855+Sens!E862</f>
        <v>331.839</v>
      </c>
      <c r="F863" s="6" t="n">
        <f aca="false">Sens!F855+Sens!F862</f>
        <v>396.158447117006</v>
      </c>
      <c r="G863" s="6" t="n">
        <f aca="false">Sens!G855+Sens!G862</f>
        <v>478.579009918415</v>
      </c>
      <c r="H863" s="6" t="n">
        <f aca="false">Sens!H855+Sens!H862</f>
        <v>566.907936494115</v>
      </c>
      <c r="I863" s="6" t="n">
        <f aca="false">Sens!I855+Sens!I862</f>
        <v>642.753184147668</v>
      </c>
      <c r="J863" s="6" t="n">
        <f aca="false">Sens!J855+Sens!J862</f>
        <v>704.455452749594</v>
      </c>
      <c r="K863" s="6" t="n">
        <f aca="false">Sens!K855+Sens!K862</f>
        <v>754.238987595755</v>
      </c>
    </row>
    <row r="864" customFormat="false" ht="15" hidden="false" customHeight="false" outlineLevel="0" collapsed="false">
      <c r="A864" s="26" t="s">
        <v>1045</v>
      </c>
      <c r="B864" s="31" t="s">
        <v>98</v>
      </c>
      <c r="C864" s="31"/>
      <c r="D864" s="27" t="n">
        <f aca="false">(Sens!D843+Sens!D848+Sens!D849+Sens!D851+Sens!D853-Sens!D855)+(Sens!D856+Sens!D858+Sens!D860-Sens!D862)+(Sens!D855-Q!L5)+(Sens!D862-Q!L12)+(Sens!D843-Q!L6)+(Sens!D848-Q!L7)</f>
        <v>0</v>
      </c>
      <c r="E864" s="27" t="n">
        <f aca="false">(Sens!E843+Sens!E848+Sens!E849+Sens!E851+Sens!E853-Sens!E855)+(Sens!E856+Sens!E858+Sens!E860-Sens!E862)+(Sens!E855-Q!M5)+(Sens!E862-Q!M12)+(Sens!E843-Q!M6)+(Sens!E848-Q!M7)</f>
        <v>0</v>
      </c>
      <c r="F864" s="27" t="n">
        <f aca="false">(Sens!F843+Sens!F848+Sens!F849+Sens!F851+Sens!F853-Sens!F855)+(Sens!F856+Sens!F858+Sens!F860-Sens!F862)</f>
        <v>0</v>
      </c>
      <c r="G864" s="27" t="n">
        <f aca="false">(Sens!G843+Sens!G848+Sens!G849+Sens!G851+Sens!G853-Sens!G855)+(Sens!G856+Sens!G858+Sens!G860-Sens!G862)</f>
        <v>0</v>
      </c>
      <c r="H864" s="27" t="n">
        <f aca="false">(Sens!H843+Sens!H848+Sens!H849+Sens!H851+Sens!H853-Sens!H855)+(Sens!H856+Sens!H858+Sens!H860-Sens!H862)</f>
        <v>0</v>
      </c>
      <c r="I864" s="27" t="n">
        <f aca="false">(Sens!I843+Sens!I848+Sens!I849+Sens!I851+Sens!I853-Sens!I855)+(Sens!I856+Sens!I858+Sens!I860-Sens!I862)</f>
        <v>0</v>
      </c>
      <c r="J864" s="27" t="n">
        <f aca="false">(Sens!J843+Sens!J848+Sens!J849+Sens!J851+Sens!J853-Sens!J855)+(Sens!J856+Sens!J858+Sens!J860-Sens!J862)</f>
        <v>0</v>
      </c>
      <c r="K864" s="27" t="n">
        <f aca="false">(Sens!K843+Sens!K848+Sens!K849+Sens!K851+Sens!K853-Sens!K855)+(Sens!K856+Sens!K858+Sens!K860-Sens!K862)</f>
        <v>0</v>
      </c>
    </row>
    <row r="865" customFormat="false" ht="17.15" hidden="false" customHeight="false" outlineLevel="0" collapsed="false">
      <c r="A865" s="3" t="s">
        <v>1632</v>
      </c>
    </row>
    <row r="866" customFormat="false" ht="15" hidden="false" customHeight="false" outlineLevel="0" collapsed="false">
      <c r="A866" s="4" t="s">
        <v>43</v>
      </c>
      <c r="B866" s="4" t="s">
        <v>65</v>
      </c>
      <c r="C866" s="23" t="s">
        <v>942</v>
      </c>
      <c r="D866" s="23" t="s">
        <v>943</v>
      </c>
      <c r="E866" s="23" t="s">
        <v>944</v>
      </c>
      <c r="F866" s="23" t="s">
        <v>945</v>
      </c>
      <c r="G866" s="23" t="s">
        <v>946</v>
      </c>
      <c r="H866" s="23" t="s">
        <v>947</v>
      </c>
      <c r="I866" s="23" t="s">
        <v>948</v>
      </c>
      <c r="J866" s="23" t="s">
        <v>949</v>
      </c>
      <c r="K866" s="23" t="s">
        <v>950</v>
      </c>
      <c r="L866" s="4" t="s">
        <v>47</v>
      </c>
    </row>
    <row r="867" customFormat="false" ht="15" hidden="false" customHeight="false" outlineLevel="0" collapsed="false">
      <c r="A867" s="0" t="s">
        <v>1029</v>
      </c>
      <c r="B867" s="0" t="s">
        <v>98</v>
      </c>
      <c r="D867" s="6" t="n">
        <f aca="false">Sens!D843</f>
        <v>72.61</v>
      </c>
      <c r="E867" s="6" t="n">
        <f aca="false">Sens!E843</f>
        <v>101.938</v>
      </c>
      <c r="F867" s="6" t="n">
        <f aca="false">Sens!F843</f>
        <v>142.671234599628</v>
      </c>
      <c r="G867" s="6" t="n">
        <f aca="false">Sens!G843</f>
        <v>197.758366797701</v>
      </c>
      <c r="H867" s="6" t="n">
        <f aca="false">Sens!H843</f>
        <v>258.262858194538</v>
      </c>
      <c r="I867" s="6" t="n">
        <f aca="false">Sens!I843</f>
        <v>308.410218103116</v>
      </c>
      <c r="J867" s="6" t="n">
        <f aca="false">Sens!J843</f>
        <v>346.91992032824</v>
      </c>
      <c r="K867" s="6" t="n">
        <f aca="false">Sens!K843</f>
        <v>374.146017651432</v>
      </c>
    </row>
    <row r="868" customFormat="false" ht="17.15" hidden="false" customHeight="false" outlineLevel="0" collapsed="false">
      <c r="A868" s="0" t="s">
        <v>1025</v>
      </c>
      <c r="B868" s="0" t="s">
        <v>98</v>
      </c>
      <c r="D868" s="6" t="n">
        <f aca="false">Sens!D840</f>
        <v>12.9359794422418</v>
      </c>
      <c r="E868" s="6" t="n">
        <f aca="false">Sens!E840</f>
        <v>27.8095064661409</v>
      </c>
      <c r="F868" s="6" t="n">
        <f aca="false">Sens!F840</f>
        <v>50.2379040803784</v>
      </c>
      <c r="G868" s="6" t="n">
        <f aca="false">Sens!G840</f>
        <v>87.9337739708187</v>
      </c>
      <c r="H868" s="6" t="n">
        <f aca="false">Sens!H840</f>
        <v>130.74421199068</v>
      </c>
      <c r="I868" s="6" t="n">
        <f aca="false">Sens!I840</f>
        <v>163.794556887224</v>
      </c>
      <c r="J868" s="6" t="n">
        <f aca="false">Sens!J840</f>
        <v>186.824987196607</v>
      </c>
      <c r="K868" s="6" t="n">
        <f aca="false">Sens!K840</f>
        <v>201.243489869269</v>
      </c>
    </row>
    <row r="869" customFormat="false" ht="17.15" hidden="false" customHeight="false" outlineLevel="0" collapsed="false">
      <c r="A869" s="0" t="s">
        <v>1056</v>
      </c>
      <c r="B869" s="0" t="s">
        <v>98</v>
      </c>
      <c r="D869" s="6" t="n">
        <f aca="false">Sens!D841</f>
        <v>59.6740205577583</v>
      </c>
      <c r="E869" s="6" t="n">
        <f aca="false">Sens!E841</f>
        <v>74.1284935338591</v>
      </c>
      <c r="F869" s="6" t="n">
        <f aca="false">Sens!F841</f>
        <v>92.4333305192494</v>
      </c>
      <c r="G869" s="6" t="n">
        <f aca="false">Sens!G841</f>
        <v>109.824592826883</v>
      </c>
      <c r="H869" s="6" t="n">
        <f aca="false">Sens!H841</f>
        <v>127.518646203858</v>
      </c>
      <c r="I869" s="6" t="n">
        <f aca="false">Sens!I841</f>
        <v>144.615661215892</v>
      </c>
      <c r="J869" s="6" t="n">
        <f aca="false">Sens!J841</f>
        <v>160.094933131633</v>
      </c>
      <c r="K869" s="6" t="n">
        <f aca="false">Sens!K841</f>
        <v>172.902527782164</v>
      </c>
    </row>
    <row r="870" customFormat="false" ht="15" hidden="false" customHeight="false" outlineLevel="0" collapsed="false">
      <c r="A870" s="0" t="s">
        <v>1036</v>
      </c>
      <c r="B870" s="0" t="s">
        <v>98</v>
      </c>
      <c r="D870" s="6" t="n">
        <f aca="false">Sens!D848</f>
        <v>84.605</v>
      </c>
      <c r="E870" s="6" t="n">
        <f aca="false">Sens!E848</f>
        <v>100.299</v>
      </c>
      <c r="F870" s="6" t="n">
        <f aca="false">Sens!F848</f>
        <v>119.729653205718</v>
      </c>
      <c r="G870" s="6" t="n">
        <f aca="false">Sens!G848</f>
        <v>140.806092647576</v>
      </c>
      <c r="H870" s="6" t="n">
        <f aca="false">Sens!H848</f>
        <v>161.963437602768</v>
      </c>
      <c r="I870" s="6" t="n">
        <f aca="false">Sens!I848</f>
        <v>180.695354741933</v>
      </c>
      <c r="J870" s="6" t="n">
        <f aca="false">Sens!J848</f>
        <v>196.722117481571</v>
      </c>
      <c r="K870" s="6" t="n">
        <f aca="false">Sens!K848</f>
        <v>212.00016570528</v>
      </c>
    </row>
    <row r="871" customFormat="false" ht="17.15" hidden="false" customHeight="false" outlineLevel="0" collapsed="false">
      <c r="A871" s="0" t="s">
        <v>1057</v>
      </c>
      <c r="B871" s="0" t="s">
        <v>98</v>
      </c>
      <c r="D871" s="6" t="n">
        <f aca="false">Sens!D846</f>
        <v>83.705</v>
      </c>
      <c r="E871" s="6" t="n">
        <f aca="false">Sens!E846</f>
        <v>95.049</v>
      </c>
      <c r="F871" s="6" t="n">
        <f aca="false">Sens!F846</f>
        <v>106.229653205718</v>
      </c>
      <c r="G871" s="6" t="n">
        <f aca="false">Sens!G846</f>
        <v>118.306092647576</v>
      </c>
      <c r="H871" s="6" t="n">
        <f aca="false">Sens!H846</f>
        <v>130.463437602768</v>
      </c>
      <c r="I871" s="6" t="n">
        <f aca="false">Sens!I846</f>
        <v>142.445354741933</v>
      </c>
      <c r="J871" s="6" t="n">
        <f aca="false">Sens!J846</f>
        <v>153.972117481571</v>
      </c>
      <c r="K871" s="6" t="n">
        <f aca="false">Sens!K846</f>
        <v>164.75016570528</v>
      </c>
    </row>
    <row r="872" customFormat="false" ht="17.15" hidden="false" customHeight="false" outlineLevel="0" collapsed="false">
      <c r="A872" s="0" t="s">
        <v>1058</v>
      </c>
      <c r="B872" s="0" t="s">
        <v>98</v>
      </c>
      <c r="D872" s="6" t="n">
        <f aca="false">Sens!D845</f>
        <v>0.9</v>
      </c>
      <c r="E872" s="6" t="n">
        <f aca="false">Sens!E845</f>
        <v>5.25</v>
      </c>
      <c r="F872" s="6" t="n">
        <f aca="false">Sens!F845</f>
        <v>13.5</v>
      </c>
      <c r="G872" s="6" t="n">
        <f aca="false">Sens!G845</f>
        <v>22.5</v>
      </c>
      <c r="H872" s="6" t="n">
        <f aca="false">Sens!H845</f>
        <v>31.5</v>
      </c>
      <c r="I872" s="6" t="n">
        <f aca="false">Sens!I845</f>
        <v>38.25</v>
      </c>
      <c r="J872" s="6" t="n">
        <f aca="false">Sens!J845</f>
        <v>42.75</v>
      </c>
      <c r="K872" s="6" t="n">
        <f aca="false">Sens!K845</f>
        <v>47.25</v>
      </c>
    </row>
    <row r="873" customFormat="false" ht="15" hidden="false" customHeight="false" outlineLevel="0" collapsed="false">
      <c r="A873" s="0" t="s">
        <v>1037</v>
      </c>
      <c r="B873" s="0" t="s">
        <v>98</v>
      </c>
      <c r="D873" s="6" t="n">
        <f aca="false">Sens!D849</f>
        <v>35.391</v>
      </c>
      <c r="E873" s="6" t="n">
        <f aca="false">Sens!E849</f>
        <v>37.285</v>
      </c>
      <c r="F873" s="6" t="n">
        <f aca="false">Sens!F849</f>
        <v>38.3851437782675</v>
      </c>
      <c r="G873" s="6" t="n">
        <f aca="false">Sens!G849</f>
        <v>40.0105353288615</v>
      </c>
      <c r="H873" s="6" t="n">
        <f aca="false">Sens!H849</f>
        <v>41.4812512033683</v>
      </c>
      <c r="I873" s="6" t="n">
        <f aca="false">Sens!I849</f>
        <v>42.7743107216329</v>
      </c>
      <c r="J873" s="6" t="n">
        <f aca="false">Sens!J849</f>
        <v>43.8687373064601</v>
      </c>
      <c r="K873" s="6" t="n">
        <f aca="false">Sens!K849</f>
        <v>44.7461120525893</v>
      </c>
    </row>
    <row r="874" customFormat="false" ht="15" hidden="false" customHeight="false" outlineLevel="0" collapsed="false">
      <c r="A874" s="0" t="s">
        <v>1039</v>
      </c>
      <c r="B874" s="0" t="s">
        <v>98</v>
      </c>
      <c r="D874" s="6" t="n">
        <f aca="false">Sens!D851</f>
        <v>18.417</v>
      </c>
      <c r="E874" s="6" t="n">
        <f aca="false">Sens!E851</f>
        <v>20.345</v>
      </c>
      <c r="F874" s="6" t="n">
        <f aca="false">Sens!F851</f>
        <v>22.3161797133988</v>
      </c>
      <c r="G874" s="6" t="n">
        <f aca="false">Sens!G851</f>
        <v>24.3943499673233</v>
      </c>
      <c r="H874" s="6" t="n">
        <f aca="false">Sens!H851</f>
        <v>26.5250243109019</v>
      </c>
      <c r="I874" s="6" t="n">
        <f aca="false">Sens!I851</f>
        <v>28.6884573538181</v>
      </c>
      <c r="J874" s="6" t="n">
        <f aca="false">Sens!J851</f>
        <v>30.8624968052127</v>
      </c>
      <c r="K874" s="6" t="n">
        <f aca="false">Sens!K851</f>
        <v>33.0228715815776</v>
      </c>
    </row>
    <row r="875" customFormat="false" ht="15" hidden="false" customHeight="false" outlineLevel="0" collapsed="false">
      <c r="A875" s="0" t="s">
        <v>1040</v>
      </c>
      <c r="B875" s="0" t="s">
        <v>98</v>
      </c>
      <c r="D875" s="6" t="n">
        <f aca="false">Sens!D853</f>
        <v>7.76</v>
      </c>
      <c r="E875" s="6" t="n">
        <f aca="false">Sens!E853</f>
        <v>8.26</v>
      </c>
      <c r="F875" s="6" t="n">
        <f aca="false">Sens!F853</f>
        <v>8.75372082474227</v>
      </c>
      <c r="G875" s="6" t="n">
        <f aca="false">Sens!G853</f>
        <v>9.33399324642364</v>
      </c>
      <c r="H875" s="6" t="n">
        <f aca="false">Sens!H853</f>
        <v>9.96139155535851</v>
      </c>
      <c r="I875" s="6" t="n">
        <f aca="false">Sens!I853</f>
        <v>10.6402039077391</v>
      </c>
      <c r="J875" s="6" t="n">
        <f aca="false">Sens!J853</f>
        <v>11.3751458271397</v>
      </c>
      <c r="K875" s="6" t="n">
        <f aca="false">Sens!K853</f>
        <v>12.1714060350394</v>
      </c>
    </row>
    <row r="876" customFormat="false" ht="15" hidden="false" customHeight="false" outlineLevel="0" collapsed="false">
      <c r="A876" s="0" t="s">
        <v>856</v>
      </c>
      <c r="B876" s="0" t="s">
        <v>98</v>
      </c>
      <c r="D876" s="6" t="n">
        <f aca="false">Sens!D855</f>
        <v>218.783</v>
      </c>
      <c r="E876" s="6" t="n">
        <f aca="false">Sens!E855</f>
        <v>268.127</v>
      </c>
      <c r="F876" s="6" t="n">
        <f aca="false">Sens!F855</f>
        <v>331.855932121754</v>
      </c>
      <c r="G876" s="6" t="n">
        <f aca="false">Sens!G855</f>
        <v>412.303337987886</v>
      </c>
      <c r="H876" s="6" t="n">
        <f aca="false">Sens!H855</f>
        <v>498.193962866934</v>
      </c>
      <c r="I876" s="6" t="n">
        <f aca="false">Sens!I855</f>
        <v>571.208544828239</v>
      </c>
      <c r="J876" s="6" t="n">
        <f aca="false">Sens!J855</f>
        <v>629.748417748623</v>
      </c>
      <c r="K876" s="6" t="n">
        <f aca="false">Sens!K855</f>
        <v>676.086573025919</v>
      </c>
    </row>
    <row r="877" customFormat="false" ht="15" hidden="false" customHeight="false" outlineLevel="0" collapsed="false">
      <c r="A877" s="0" t="s">
        <v>1041</v>
      </c>
      <c r="B877" s="0" t="s">
        <v>98</v>
      </c>
      <c r="D877" s="6" t="n">
        <f aca="false">Sens!D856</f>
        <v>22.171</v>
      </c>
      <c r="E877" s="6" t="n">
        <f aca="false">Sens!E856</f>
        <v>24.835</v>
      </c>
      <c r="F877" s="6" t="n">
        <f aca="false">Sens!F856</f>
        <v>27.5591895660247</v>
      </c>
      <c r="G877" s="6" t="n">
        <f aca="false">Sens!G856</f>
        <v>30.4098563144583</v>
      </c>
      <c r="H877" s="6" t="n">
        <f aca="false">Sens!H856</f>
        <v>33.3011792571777</v>
      </c>
      <c r="I877" s="6" t="n">
        <f aca="false">Sens!I856</f>
        <v>36.189023797112</v>
      </c>
      <c r="J877" s="6" t="n">
        <f aca="false">Sens!J856</f>
        <v>39.0247773769199</v>
      </c>
      <c r="K877" s="6" t="n">
        <f aca="false">Sens!K856</f>
        <v>41.7565117933043</v>
      </c>
    </row>
    <row r="878" customFormat="false" ht="15" hidden="false" customHeight="false" outlineLevel="0" collapsed="false">
      <c r="A878" s="0" t="s">
        <v>1042</v>
      </c>
      <c r="B878" s="0" t="s">
        <v>98</v>
      </c>
      <c r="D878" s="6" t="n">
        <f aca="false">Sens!D858</f>
        <v>23.455</v>
      </c>
      <c r="E878" s="6" t="n">
        <f aca="false">Sens!E858</f>
        <v>21.79</v>
      </c>
      <c r="F878" s="6" t="n">
        <f aca="false">Sens!F858</f>
        <v>20.7520981041711</v>
      </c>
      <c r="G878" s="6" t="n">
        <f aca="false">Sens!G858</f>
        <v>19.9083593495882</v>
      </c>
      <c r="H878" s="6" t="n">
        <f aca="false">Sens!H858</f>
        <v>19.4008256265831</v>
      </c>
      <c r="I878" s="6" t="n">
        <f aca="false">Sens!I858</f>
        <v>19.200434522122</v>
      </c>
      <c r="J878" s="6" t="n">
        <f aca="false">Sens!J858</f>
        <v>19.2932782348507</v>
      </c>
      <c r="K878" s="6" t="n">
        <f aca="false">Sens!K858</f>
        <v>19.6791437995477</v>
      </c>
    </row>
    <row r="879" customFormat="false" ht="15" hidden="false" customHeight="false" outlineLevel="0" collapsed="false">
      <c r="A879" s="0" t="s">
        <v>1043</v>
      </c>
      <c r="B879" s="0" t="s">
        <v>98</v>
      </c>
      <c r="D879" s="6" t="n">
        <f aca="false">Sens!D860</f>
        <v>17.315</v>
      </c>
      <c r="E879" s="6" t="n">
        <f aca="false">Sens!E860</f>
        <v>17.087</v>
      </c>
      <c r="F879" s="6" t="n">
        <f aca="false">Sens!F860</f>
        <v>15.9912273250553</v>
      </c>
      <c r="G879" s="6" t="n">
        <f aca="false">Sens!G860</f>
        <v>15.9574562664827</v>
      </c>
      <c r="H879" s="6" t="n">
        <f aca="false">Sens!H860</f>
        <v>16.0119687434196</v>
      </c>
      <c r="I879" s="6" t="n">
        <f aca="false">Sens!I860</f>
        <v>16.1551810001948</v>
      </c>
      <c r="J879" s="6" t="n">
        <f aca="false">Sens!J860</f>
        <v>16.3889793892005</v>
      </c>
      <c r="K879" s="6" t="n">
        <f aca="false">Sens!K860</f>
        <v>16.7167589769845</v>
      </c>
    </row>
    <row r="880" customFormat="false" ht="15" hidden="false" customHeight="false" outlineLevel="0" collapsed="false">
      <c r="A880" s="0" t="s">
        <v>870</v>
      </c>
      <c r="B880" s="0" t="s">
        <v>98</v>
      </c>
      <c r="D880" s="6" t="n">
        <f aca="false">Sens!D862</f>
        <v>62.941</v>
      </c>
      <c r="E880" s="6" t="n">
        <f aca="false">Sens!E862</f>
        <v>63.712</v>
      </c>
      <c r="F880" s="6" t="n">
        <f aca="false">Sens!F862</f>
        <v>64.3025149952511</v>
      </c>
      <c r="G880" s="6" t="n">
        <f aca="false">Sens!G862</f>
        <v>66.2756719305292</v>
      </c>
      <c r="H880" s="6" t="n">
        <f aca="false">Sens!H862</f>
        <v>68.7139736271804</v>
      </c>
      <c r="I880" s="6" t="n">
        <f aca="false">Sens!I862</f>
        <v>71.5446393194289</v>
      </c>
      <c r="J880" s="6" t="n">
        <f aca="false">Sens!J862</f>
        <v>74.707035000971</v>
      </c>
      <c r="K880" s="6" t="n">
        <f aca="false">Sens!K862</f>
        <v>78.1524145698365</v>
      </c>
    </row>
    <row r="881" customFormat="false" ht="15" hidden="false" customHeight="false" outlineLevel="0" collapsed="false">
      <c r="A881" s="1" t="s">
        <v>1059</v>
      </c>
      <c r="B881" s="0" t="s">
        <v>98</v>
      </c>
      <c r="D881" s="6" t="n">
        <f aca="false">Sens!D863</f>
        <v>281.724</v>
      </c>
      <c r="E881" s="6" t="n">
        <f aca="false">Sens!E863</f>
        <v>331.839</v>
      </c>
      <c r="F881" s="6" t="n">
        <f aca="false">Sens!F863</f>
        <v>396.158447117006</v>
      </c>
      <c r="G881" s="6" t="n">
        <f aca="false">Sens!G863</f>
        <v>478.579009918415</v>
      </c>
      <c r="H881" s="6" t="n">
        <f aca="false">Sens!H863</f>
        <v>566.907936494115</v>
      </c>
      <c r="I881" s="6" t="n">
        <f aca="false">Sens!I863</f>
        <v>642.753184147668</v>
      </c>
      <c r="J881" s="6" t="n">
        <f aca="false">Sens!J863</f>
        <v>704.455452749594</v>
      </c>
      <c r="K881" s="6" t="n">
        <f aca="false">Sens!K863</f>
        <v>754.238987595755</v>
      </c>
    </row>
    <row r="882" customFormat="false" ht="15" hidden="false" customHeight="false" outlineLevel="0" collapsed="false">
      <c r="A882" s="1" t="s">
        <v>1060</v>
      </c>
      <c r="B882" s="0" t="s">
        <v>168</v>
      </c>
      <c r="E882" s="7" t="n">
        <f aca="false">Sens!E881/Sens!D881-1</f>
        <v>0.177886867998467</v>
      </c>
      <c r="F882" s="7" t="n">
        <f aca="false">Sens!F881/Sens!E881-1</f>
        <v>0.193827268997934</v>
      </c>
      <c r="G882" s="7" t="n">
        <f aca="false">Sens!G881/Sens!F881-1</f>
        <v>0.20804948979686</v>
      </c>
      <c r="H882" s="7" t="n">
        <f aca="false">Sens!H881/Sens!G881-1</f>
        <v>0.184564982469159</v>
      </c>
      <c r="I882" s="7" t="n">
        <f aca="false">Sens!I881/Sens!H881-1</f>
        <v>0.133787591901777</v>
      </c>
      <c r="J882" s="7" t="n">
        <f aca="false">Sens!J881/Sens!I881-1</f>
        <v>0.0959968307022039</v>
      </c>
      <c r="K882" s="7" t="n">
        <f aca="false">Sens!K881/Sens!J881-1</f>
        <v>0.0706695287144825</v>
      </c>
    </row>
    <row r="883" customFormat="false" ht="17.15" hidden="false" customHeight="false" outlineLevel="0" collapsed="false">
      <c r="A883" s="26" t="s">
        <v>1061</v>
      </c>
      <c r="B883" s="31" t="s">
        <v>98</v>
      </c>
      <c r="C883" s="31"/>
      <c r="D883" s="27" t="n">
        <f aca="false">(Sens!D876+Sens!D880-Sens!D881)+(Sens!D868+Sens!D869-Sens!D867)+(Sens!D871+Sens!D872-Sens!D870)+(Sens!D881-Q!L18)</f>
        <v>0</v>
      </c>
      <c r="E883" s="27" t="n">
        <f aca="false">(Sens!E876+Sens!E880-Sens!E881)+(Sens!E868+Sens!E869-Sens!E867)+(Sens!E871+Sens!E872-Sens!E870)+(Sens!E881-Q!M18)</f>
        <v>0</v>
      </c>
      <c r="F883" s="27" t="n">
        <f aca="false">(Sens!F876+Sens!F880-Sens!F881)+(Sens!F868+Sens!F869-Sens!F867)+(Sens!F871+Sens!F872-Sens!F870)</f>
        <v>0</v>
      </c>
      <c r="G883" s="27" t="n">
        <f aca="false">(Sens!G876+Sens!G880-Sens!G881)+(Sens!G868+Sens!G869-Sens!G867)+(Sens!G871+Sens!G872-Sens!G870)</f>
        <v>0</v>
      </c>
      <c r="H883" s="27" t="n">
        <f aca="false">(Sens!H876+Sens!H880-Sens!H881)+(Sens!H868+Sens!H869-Sens!H867)+(Sens!H871+Sens!H872-Sens!H870)</f>
        <v>0</v>
      </c>
      <c r="I883" s="27" t="n">
        <f aca="false">(Sens!I876+Sens!I880-Sens!I881)+(Sens!I868+Sens!I869-Sens!I867)+(Sens!I871+Sens!I872-Sens!I870)</f>
        <v>0</v>
      </c>
      <c r="J883" s="27" t="n">
        <f aca="false">(Sens!J876+Sens!J880-Sens!J881)+(Sens!J868+Sens!J869-Sens!J867)+(Sens!J871+Sens!J872-Sens!J870)</f>
        <v>0</v>
      </c>
      <c r="K883" s="27" t="n">
        <f aca="false">(Sens!K876+Sens!K880-Sens!K881)+(Sens!K868+Sens!K869-Sens!K867)+(Sens!K871+Sens!K872-Sens!K870)</f>
        <v>0</v>
      </c>
    </row>
    <row r="884" customFormat="false" ht="17.15" hidden="false" customHeight="false" outlineLevel="0" collapsed="false">
      <c r="A884" s="0" t="s">
        <v>1062</v>
      </c>
      <c r="B884" s="0" t="s">
        <v>168</v>
      </c>
      <c r="E884" s="7" t="n">
        <f aca="false">(Q!M21+Sens!E820+Sens!E821+Sens!E822+Sens!E836-Sens!E818)/(Q!M5-Sens!E818)</f>
        <v>0.570957350878296</v>
      </c>
      <c r="F884" s="7" t="n">
        <f aca="false">Sens!$E$884+dm_seg</f>
        <v>0.570957350878296</v>
      </c>
      <c r="G884" s="7" t="n">
        <f aca="false">Sens!$E$884+dm_seg</f>
        <v>0.570957350878296</v>
      </c>
      <c r="H884" s="7" t="n">
        <f aca="false">Sens!$E$884+dm_seg</f>
        <v>0.570957350878296</v>
      </c>
      <c r="I884" s="7" t="n">
        <f aca="false">Sens!$E$884+dm_seg</f>
        <v>0.570957350878296</v>
      </c>
      <c r="J884" s="7" t="n">
        <f aca="false">Sens!$E$884+dm_seg</f>
        <v>0.570957350878296</v>
      </c>
      <c r="K884" s="7" t="n">
        <f aca="false">Sens!$E$884+dm_seg</f>
        <v>0.570957350878296</v>
      </c>
      <c r="L884" s="12" t="s">
        <v>1063</v>
      </c>
    </row>
    <row r="885" customFormat="false" ht="17.15" hidden="false" customHeight="false" outlineLevel="0" collapsed="false">
      <c r="A885" s="0" t="s">
        <v>884</v>
      </c>
      <c r="B885" s="0" t="s">
        <v>98</v>
      </c>
      <c r="D885" s="6" t="n">
        <f aca="false">Q!L21</f>
        <v>110.814</v>
      </c>
      <c r="E885" s="6" t="n">
        <f aca="false">Q!M21</f>
        <v>136.365</v>
      </c>
      <c r="F885" s="6" t="n">
        <f aca="false">Q!$I$21+(Sens!F884*(Sens!F855-Sens!F818)+Sens!F818-(Sens!F820+Sens!F821+Sens!F822)-Sens!F836-Sens!F919)*(Sens!F855-Q!$I$5)/Sens!F855</f>
        <v>158.799250353915</v>
      </c>
      <c r="G885" s="6" t="n">
        <f aca="false">(Sens!G884*(Sens!G855-Sens!G818)+Sens!G818-(Sens!G820+Sens!G821+Sens!G822)-Sens!G836-Sens!G919)</f>
        <v>177.329277744843</v>
      </c>
      <c r="H885" s="6" t="n">
        <f aca="false">(Sens!H884*(Sens!H855-Sens!H818)+Sens!H818-(Sens!H820+Sens!H821+Sens!H822)-Sens!H836-Sens!H919)</f>
        <v>204.241224908041</v>
      </c>
      <c r="I885" s="6" t="n">
        <f aca="false">(Sens!I884*(Sens!I855-Sens!I818)+Sens!I818-(Sens!I820+Sens!I821+Sens!I822)-Sens!I836-Sens!I919)</f>
        <v>224.479274858174</v>
      </c>
      <c r="J885" s="6" t="n">
        <f aca="false">(Sens!J884*(Sens!J855-Sens!J818)+Sens!J818-(Sens!J820+Sens!J821+Sens!J822)-Sens!J836-Sens!J919)</f>
        <v>242.852872645141</v>
      </c>
      <c r="K885" s="6" t="n">
        <f aca="false">(Sens!K884*(Sens!K855-Sens!K818)+Sens!K818-(Sens!K820+Sens!K821+Sens!K822)-Sens!K836-Sens!K919)</f>
        <v>260.442428888567</v>
      </c>
      <c r="L885" s="1" t="s">
        <v>1064</v>
      </c>
    </row>
    <row r="886" customFormat="false" ht="17.15" hidden="false" customHeight="false" outlineLevel="0" collapsed="false">
      <c r="A886" s="0" t="s">
        <v>1065</v>
      </c>
      <c r="B886" s="0" t="s">
        <v>168</v>
      </c>
      <c r="E886" s="7" t="n">
        <f aca="false">Q!M22/Q!M12</f>
        <v>0.296207935710698</v>
      </c>
      <c r="F886" s="7" t="n">
        <f aca="false">Sens!$E$886+dm_seg</f>
        <v>0.296207935710698</v>
      </c>
      <c r="G886" s="7" t="n">
        <f aca="false">Sens!$E$886+dm_seg</f>
        <v>0.296207935710698</v>
      </c>
      <c r="H886" s="7" t="n">
        <f aca="false">Sens!$E$886+dm_seg</f>
        <v>0.296207935710698</v>
      </c>
      <c r="I886" s="7" t="n">
        <f aca="false">Sens!$E$886+dm_seg</f>
        <v>0.296207935710698</v>
      </c>
      <c r="J886" s="7" t="n">
        <f aca="false">Sens!$E$886+dm_seg</f>
        <v>0.296207935710698</v>
      </c>
      <c r="K886" s="7" t="n">
        <f aca="false">Sens!$E$886+dm_seg</f>
        <v>0.296207935710698</v>
      </c>
      <c r="L886" s="12" t="s">
        <v>1066</v>
      </c>
    </row>
    <row r="887" customFormat="false" ht="17.15" hidden="false" customHeight="false" outlineLevel="0" collapsed="false">
      <c r="A887" s="0" t="s">
        <v>886</v>
      </c>
      <c r="B887" s="0" t="s">
        <v>98</v>
      </c>
      <c r="D887" s="6" t="n">
        <f aca="false">Q!L22</f>
        <v>17.714</v>
      </c>
      <c r="E887" s="6" t="n">
        <f aca="false">Q!M22</f>
        <v>18.872</v>
      </c>
      <c r="F887" s="6" t="n">
        <f aca="false">Q!$I$22+(Sens!F862-Q!$I$12)*Sens!F886</f>
        <v>19.8174315512051</v>
      </c>
      <c r="G887" s="6" t="n">
        <f aca="false">Sens!G862*Sens!G886</f>
        <v>19.6313799703815</v>
      </c>
      <c r="H887" s="6" t="n">
        <f aca="false">Sens!H862*Sens!H886</f>
        <v>20.3536242825865</v>
      </c>
      <c r="I887" s="6" t="n">
        <f aca="false">Sens!I862*Sens!I886</f>
        <v>21.1920899239745</v>
      </c>
      <c r="J887" s="6" t="n">
        <f aca="false">Sens!J862*Sens!J886</f>
        <v>22.1288166207045</v>
      </c>
      <c r="K887" s="6" t="n">
        <f aca="false">Sens!K862*Sens!K886</f>
        <v>23.1493653905379</v>
      </c>
      <c r="L887" s="12" t="s">
        <v>1067</v>
      </c>
    </row>
    <row r="888" customFormat="false" ht="15" hidden="false" customHeight="false" outlineLevel="0" collapsed="false">
      <c r="A888" s="1" t="s">
        <v>1068</v>
      </c>
      <c r="B888" s="0" t="s">
        <v>98</v>
      </c>
      <c r="D888" s="6" t="n">
        <f aca="false">Sens!D885+Sens!D887</f>
        <v>128.528</v>
      </c>
      <c r="E888" s="6" t="n">
        <f aca="false">Sens!E885+Sens!E887</f>
        <v>155.237</v>
      </c>
      <c r="F888" s="6" t="n">
        <f aca="false">Sens!F885+Sens!F887</f>
        <v>178.61668190512</v>
      </c>
      <c r="G888" s="6" t="n">
        <f aca="false">Sens!G885+Sens!G887</f>
        <v>196.960657715225</v>
      </c>
      <c r="H888" s="6" t="n">
        <f aca="false">Sens!H885+Sens!H887</f>
        <v>224.594849190627</v>
      </c>
      <c r="I888" s="6" t="n">
        <f aca="false">Sens!I885+Sens!I887</f>
        <v>245.671364782148</v>
      </c>
      <c r="J888" s="6" t="n">
        <f aca="false">Sens!J885+Sens!J887</f>
        <v>264.981689265845</v>
      </c>
      <c r="K888" s="6" t="n">
        <f aca="false">Sens!K885+Sens!K887</f>
        <v>283.591794279105</v>
      </c>
    </row>
    <row r="889" customFormat="false" ht="15" hidden="false" customHeight="false" outlineLevel="0" collapsed="false">
      <c r="A889" s="26" t="s">
        <v>1069</v>
      </c>
      <c r="B889" s="31" t="s">
        <v>98</v>
      </c>
      <c r="C889" s="31"/>
      <c r="D889" s="27" t="n">
        <f aca="false">Sens!D888-Q!L23</f>
        <v>0</v>
      </c>
      <c r="E889" s="27" t="n">
        <f aca="false">Sens!E888-Q!M23</f>
        <v>0</v>
      </c>
      <c r="F889" s="31"/>
      <c r="G889" s="31"/>
      <c r="H889" s="31"/>
      <c r="I889" s="31"/>
      <c r="J889" s="31"/>
      <c r="K889" s="31"/>
    </row>
    <row r="890" customFormat="false" ht="15" hidden="false" customHeight="false" outlineLevel="0" collapsed="false">
      <c r="A890" s="1" t="s">
        <v>1070</v>
      </c>
      <c r="B890" s="0" t="s">
        <v>168</v>
      </c>
      <c r="D890" s="7" t="n">
        <f aca="false">Sens!D888/Sens!D881</f>
        <v>0.456219562408598</v>
      </c>
      <c r="E890" s="7" t="n">
        <f aca="false">Sens!E888/Sens!E881</f>
        <v>0.467808184089272</v>
      </c>
      <c r="F890" s="7" t="n">
        <f aca="false">Sens!F888/Sens!F881</f>
        <v>0.450871824657484</v>
      </c>
      <c r="G890" s="7" t="n">
        <f aca="false">Sens!G888/Sens!G881</f>
        <v>0.411553063618066</v>
      </c>
      <c r="H890" s="7" t="n">
        <f aca="false">Sens!H888/Sens!H881</f>
        <v>0.396175171897526</v>
      </c>
      <c r="I890" s="7" t="n">
        <f aca="false">Sens!I888/Sens!I881</f>
        <v>0.382217266038012</v>
      </c>
      <c r="J890" s="7" t="n">
        <f aca="false">Sens!J888/Sens!J881</f>
        <v>0.376151094056526</v>
      </c>
      <c r="K890" s="7" t="n">
        <f aca="false">Sens!K888/Sens!K881</f>
        <v>0.375997262065561</v>
      </c>
    </row>
    <row r="891" customFormat="false" ht="17.15" hidden="false" customHeight="false" outlineLevel="0" collapsed="false">
      <c r="A891" s="1" t="s">
        <v>1071</v>
      </c>
      <c r="B891" s="0" t="s">
        <v>98</v>
      </c>
      <c r="F891" s="6" t="n">
        <f aca="false">Sens!F906</f>
        <v>8.88340674531245</v>
      </c>
      <c r="G891" s="6" t="n">
        <f aca="false">Sens!G906</f>
        <v>22.7060305170273</v>
      </c>
      <c r="H891" s="6" t="n">
        <f aca="false">Sens!H906</f>
        <v>38.0018452382075</v>
      </c>
      <c r="I891" s="6" t="n">
        <f aca="false">Sens!I906</f>
        <v>52.1381094705177</v>
      </c>
      <c r="J891" s="6" t="n">
        <f aca="false">Sens!J906</f>
        <v>62.0595818934393</v>
      </c>
      <c r="K891" s="6" t="n">
        <f aca="false">Sens!K906</f>
        <v>67.0801312706266</v>
      </c>
      <c r="L891" s="1" t="s">
        <v>1072</v>
      </c>
    </row>
    <row r="892" customFormat="false" ht="17.15" hidden="false" customHeight="false" outlineLevel="0" collapsed="false">
      <c r="A892" s="1" t="s">
        <v>1073</v>
      </c>
      <c r="B892" s="0" t="s">
        <v>98</v>
      </c>
      <c r="D892" s="6" t="n">
        <f aca="false">Sens!D888</f>
        <v>128.528</v>
      </c>
      <c r="E892" s="6" t="n">
        <f aca="false">Sens!E888</f>
        <v>155.237</v>
      </c>
      <c r="F892" s="6" t="n">
        <f aca="false">Sens!F888+Sens!F891</f>
        <v>187.500088650432</v>
      </c>
      <c r="G892" s="6" t="n">
        <f aca="false">Sens!G888+Sens!G891</f>
        <v>219.666688232252</v>
      </c>
      <c r="H892" s="6" t="n">
        <f aca="false">Sens!H888+Sens!H891</f>
        <v>262.596694428835</v>
      </c>
      <c r="I892" s="6" t="n">
        <f aca="false">Sens!I888+Sens!I891</f>
        <v>297.809474252666</v>
      </c>
      <c r="J892" s="6" t="n">
        <f aca="false">Sens!J888+Sens!J891</f>
        <v>327.041271159285</v>
      </c>
      <c r="K892" s="6" t="n">
        <f aca="false">Sens!K888+Sens!K891</f>
        <v>350.671925549731</v>
      </c>
    </row>
    <row r="893" customFormat="false" ht="17.15" hidden="false" customHeight="false" outlineLevel="0" collapsed="false">
      <c r="A893" s="1" t="s">
        <v>1074</v>
      </c>
      <c r="B893" s="0" t="s">
        <v>98</v>
      </c>
      <c r="E893" s="6" t="n">
        <f aca="false">Sens!E836</f>
        <v>16.3054059770833</v>
      </c>
      <c r="F893" s="6" t="n">
        <f aca="false">Sens!F836</f>
        <v>34.5793144783516</v>
      </c>
      <c r="G893" s="6" t="n">
        <f aca="false">Sens!G836</f>
        <v>60.7344906522989</v>
      </c>
      <c r="H893" s="6" t="n">
        <f aca="false">Sens!H836</f>
        <v>89.1000906614457</v>
      </c>
      <c r="I893" s="6" t="n">
        <f aca="false">Sens!I836</f>
        <v>114.231009694548</v>
      </c>
      <c r="J893" s="6" t="n">
        <f aca="false">Sens!J836</f>
        <v>132.015673049596</v>
      </c>
      <c r="K893" s="6" t="n">
        <f aca="false">Sens!K836</f>
        <v>143.012669550934</v>
      </c>
    </row>
    <row r="894" customFormat="false" ht="17.15" hidden="false" customHeight="false" outlineLevel="0" collapsed="false">
      <c r="A894" s="1" t="s">
        <v>1075</v>
      </c>
      <c r="B894" s="0" t="s">
        <v>98</v>
      </c>
      <c r="E894" s="6" t="n">
        <f aca="false">Sens!E918</f>
        <v>22.2285940229167</v>
      </c>
      <c r="F894" s="6" t="n">
        <f aca="false">Sens!F918</f>
        <v>23.6145210461303</v>
      </c>
      <c r="G894" s="6" t="n">
        <f aca="false">Sens!G918</f>
        <v>25.457160808621</v>
      </c>
      <c r="H894" s="6" t="n">
        <f aca="false">Sens!H918</f>
        <v>27.7194944267692</v>
      </c>
      <c r="I894" s="6" t="n">
        <f aca="false">Sens!I918</f>
        <v>30.3245827205244</v>
      </c>
      <c r="J894" s="6" t="n">
        <f aca="false">Sens!J918</f>
        <v>33.1794149655825</v>
      </c>
      <c r="K894" s="6" t="n">
        <f aca="false">Sens!K918</f>
        <v>36.1982290965846</v>
      </c>
    </row>
    <row r="895" customFormat="false" ht="17.15" hidden="false" customHeight="false" outlineLevel="0" collapsed="false">
      <c r="A895" s="1" t="s">
        <v>1076</v>
      </c>
      <c r="B895" s="0" t="s">
        <v>98</v>
      </c>
      <c r="D895" s="6" t="n">
        <f aca="false">Q!L27</f>
        <v>-4.901</v>
      </c>
      <c r="E895" s="6" t="n">
        <f aca="false">Q!M27</f>
        <v>10.697</v>
      </c>
      <c r="F895" s="6" t="n">
        <f aca="false">Q!$I$27+oie_f*(q_per_yr-1)/q_per_yr</f>
        <v>-0.862</v>
      </c>
      <c r="G895" s="6" t="n">
        <f aca="false">oie_f</f>
        <v>-1.2</v>
      </c>
      <c r="H895" s="6" t="n">
        <f aca="false">oie_f</f>
        <v>-1.2</v>
      </c>
      <c r="I895" s="6" t="n">
        <f aca="false">oie_f</f>
        <v>-1.2</v>
      </c>
      <c r="J895" s="6" t="n">
        <f aca="false">oie_f</f>
        <v>-1.2</v>
      </c>
      <c r="K895" s="6" t="n">
        <f aca="false">oie_f</f>
        <v>-1.2</v>
      </c>
      <c r="L895" s="12" t="s">
        <v>1077</v>
      </c>
    </row>
    <row r="896" customFormat="false" ht="15" hidden="false" customHeight="false" outlineLevel="0" collapsed="false">
      <c r="A896" s="1" t="s">
        <v>1078</v>
      </c>
      <c r="B896" s="0" t="s">
        <v>98</v>
      </c>
      <c r="D896" s="6" t="n">
        <f aca="false">Sens!D888+Sens!D895</f>
        <v>123.627</v>
      </c>
      <c r="E896" s="6" t="n">
        <f aca="false">Sens!E888+Sens!E895</f>
        <v>165.934</v>
      </c>
      <c r="F896" s="6" t="n">
        <f aca="false">Sens!F888+Sens!F895</f>
        <v>177.75468190512</v>
      </c>
      <c r="G896" s="6" t="n">
        <f aca="false">Sens!G888+Sens!G895</f>
        <v>195.760657715225</v>
      </c>
      <c r="H896" s="6" t="n">
        <f aca="false">Sens!H888+Sens!H895</f>
        <v>223.394849190627</v>
      </c>
      <c r="I896" s="6" t="n">
        <f aca="false">Sens!I888+Sens!I895</f>
        <v>244.471364782148</v>
      </c>
      <c r="J896" s="6" t="n">
        <f aca="false">Sens!J888+Sens!J895</f>
        <v>263.781689265845</v>
      </c>
      <c r="K896" s="6" t="n">
        <f aca="false">Sens!K888+Sens!K895</f>
        <v>282.391794279105</v>
      </c>
    </row>
    <row r="897" customFormat="false" ht="15" hidden="false" customHeight="false" outlineLevel="0" collapsed="false">
      <c r="A897" s="1" t="s">
        <v>1079</v>
      </c>
      <c r="B897" s="0" t="s">
        <v>98</v>
      </c>
      <c r="D897" s="6" t="n">
        <f aca="false">Q!L29</f>
        <v>21.795</v>
      </c>
      <c r="E897" s="6" t="n">
        <f aca="false">Q!M29</f>
        <v>32.185</v>
      </c>
      <c r="F897" s="6" t="n">
        <f aca="false">Q!$I$29+(Sens!F896-Q!$I$28)*tax_f</f>
        <v>35.684336381024</v>
      </c>
      <c r="G897" s="6" t="n">
        <f aca="false">Sens!G896*tax_f</f>
        <v>39.1521315430449</v>
      </c>
      <c r="H897" s="6" t="n">
        <f aca="false">Sens!H896*tax_f</f>
        <v>44.6789698381255</v>
      </c>
      <c r="I897" s="6" t="n">
        <f aca="false">Sens!I896*tax_f</f>
        <v>48.8942729564297</v>
      </c>
      <c r="J897" s="6" t="n">
        <f aca="false">Sens!J896*tax_f</f>
        <v>52.7563378531691</v>
      </c>
      <c r="K897" s="6" t="n">
        <f aca="false">Sens!K896*tax_f</f>
        <v>56.478358855821</v>
      </c>
    </row>
    <row r="898" customFormat="false" ht="15" hidden="false" customHeight="false" outlineLevel="0" collapsed="false">
      <c r="A898" s="1" t="s">
        <v>1080</v>
      </c>
      <c r="B898" s="0" t="s">
        <v>98</v>
      </c>
      <c r="D898" s="6" t="n">
        <f aca="false">Sens!D896-Sens!D897</f>
        <v>101.832</v>
      </c>
      <c r="E898" s="6" t="n">
        <f aca="false">Sens!E896-Sens!E897</f>
        <v>133.749</v>
      </c>
      <c r="F898" s="6" t="n">
        <f aca="false">Sens!F896-Sens!F897</f>
        <v>142.070345524096</v>
      </c>
      <c r="G898" s="6" t="n">
        <f aca="false">Sens!G896-Sens!G897</f>
        <v>156.60852617218</v>
      </c>
      <c r="H898" s="6" t="n">
        <f aca="false">Sens!H896-Sens!H897</f>
        <v>178.715879352502</v>
      </c>
      <c r="I898" s="6" t="n">
        <f aca="false">Sens!I896-Sens!I897</f>
        <v>195.577091825719</v>
      </c>
      <c r="J898" s="6" t="n">
        <f aca="false">Sens!J896-Sens!J897</f>
        <v>211.025351412676</v>
      </c>
      <c r="K898" s="6" t="n">
        <f aca="false">Sens!K896-Sens!K897</f>
        <v>225.913435423284</v>
      </c>
    </row>
    <row r="899" customFormat="false" ht="17.15" hidden="false" customHeight="false" outlineLevel="0" collapsed="false">
      <c r="A899" s="1" t="s">
        <v>1081</v>
      </c>
      <c r="B899" s="1" t="s">
        <v>81</v>
      </c>
      <c r="D899" s="15" t="n">
        <f aca="false">Q!L31</f>
        <v>7.465</v>
      </c>
      <c r="E899" s="15" t="n">
        <f aca="false">Q!M31</f>
        <v>7.453</v>
      </c>
      <c r="F899" s="15" t="n">
        <f aca="false">Sens!F943</f>
        <v>7.4735</v>
      </c>
      <c r="G899" s="15" t="n">
        <f aca="false">Sens!G943</f>
        <v>7.5185</v>
      </c>
      <c r="H899" s="15" t="n">
        <f aca="false">Sens!H943</f>
        <v>7.5461999390288</v>
      </c>
      <c r="I899" s="15" t="n">
        <f aca="false">Sens!I943</f>
        <v>7.55788130308427</v>
      </c>
      <c r="J899" s="15" t="n">
        <f aca="false">Sens!J943</f>
        <v>7.57203071424674</v>
      </c>
      <c r="K899" s="15" t="n">
        <f aca="false">Sens!K943</f>
        <v>7.58846535421199</v>
      </c>
    </row>
    <row r="900" customFormat="false" ht="17.15" hidden="false" customHeight="false" outlineLevel="0" collapsed="false">
      <c r="A900" s="0" t="s">
        <v>1082</v>
      </c>
      <c r="B900" s="0" t="s">
        <v>75</v>
      </c>
      <c r="D900" s="8" t="n">
        <f aca="false">Sens!D898/Sens!D899</f>
        <v>13.641259209645</v>
      </c>
      <c r="E900" s="8" t="n">
        <f aca="false">Sens!E898/Sens!E899</f>
        <v>17.9456594659869</v>
      </c>
      <c r="F900" s="8" t="n">
        <f aca="false">Sens!F898/Sens!F899</f>
        <v>19.0098809826849</v>
      </c>
      <c r="G900" s="8" t="n">
        <f aca="false">Sens!G898/Sens!G899</f>
        <v>20.8297567562918</v>
      </c>
      <c r="H900" s="8" t="n">
        <f aca="false">Sens!H898/Sens!H899</f>
        <v>23.6828974578565</v>
      </c>
      <c r="I900" s="8" t="n">
        <f aca="false">Sens!I898/Sens!I899</f>
        <v>25.8772378108011</v>
      </c>
      <c r="J900" s="8" t="n">
        <f aca="false">Sens!J898/Sens!J899</f>
        <v>27.8690564494982</v>
      </c>
      <c r="K900" s="8" t="n">
        <f aca="false">Sens!K898/Sens!K899</f>
        <v>29.7706354154849</v>
      </c>
      <c r="L900" s="1" t="s">
        <v>1083</v>
      </c>
    </row>
    <row r="901" customFormat="false" ht="17.15" hidden="false" customHeight="false" outlineLevel="0" collapsed="false">
      <c r="A901" s="1" t="s">
        <v>1084</v>
      </c>
      <c r="B901" s="0" t="s">
        <v>98</v>
      </c>
      <c r="D901" s="6" t="n">
        <f aca="false">Sens!D898</f>
        <v>101.832</v>
      </c>
      <c r="E901" s="6" t="n">
        <f aca="false">Sens!E898</f>
        <v>133.749</v>
      </c>
      <c r="F901" s="6" t="n">
        <f aca="false">Sens!F898+Sens!F891*(1-tax_f)</f>
        <v>149.177070920346</v>
      </c>
      <c r="G901" s="6" t="n">
        <f aca="false">Sens!G898+Sens!G891*(1-tax_f)</f>
        <v>174.773350585802</v>
      </c>
      <c r="H901" s="6" t="n">
        <f aca="false">Sens!H898+Sens!H891*(1-tax_f)</f>
        <v>209.117355543068</v>
      </c>
      <c r="I901" s="6" t="n">
        <f aca="false">Sens!I898+Sens!I891*(1-tax_f)</f>
        <v>237.287579402133</v>
      </c>
      <c r="J901" s="6" t="n">
        <f aca="false">Sens!J898+Sens!J891*(1-tax_f)</f>
        <v>260.673016927428</v>
      </c>
      <c r="K901" s="6" t="n">
        <f aca="false">Sens!K898+Sens!K891*(1-tax_f)</f>
        <v>279.577540439785</v>
      </c>
    </row>
    <row r="902" customFormat="false" ht="17.15" hidden="false" customHeight="false" outlineLevel="0" collapsed="false">
      <c r="A902" s="0" t="s">
        <v>1085</v>
      </c>
      <c r="B902" s="0" t="s">
        <v>75</v>
      </c>
      <c r="D902" s="8" t="n">
        <f aca="false">Sens!D901/Sens!D899</f>
        <v>13.641259209645</v>
      </c>
      <c r="E902" s="8" t="n">
        <f aca="false">Sens!E901/Sens!E899</f>
        <v>17.9456594659869</v>
      </c>
      <c r="F902" s="8" t="n">
        <f aca="false">Sens!F901/Sens!F899</f>
        <v>19.9608042978987</v>
      </c>
      <c r="G902" s="8" t="n">
        <f aca="false">Sens!G901/Sens!G899</f>
        <v>23.2457738359781</v>
      </c>
      <c r="H902" s="8" t="n">
        <f aca="false">Sens!H901/Sens!H899</f>
        <v>27.7116107753145</v>
      </c>
      <c r="I902" s="8" t="n">
        <f aca="false">Sens!I901/Sens!I899</f>
        <v>31.3960447229171</v>
      </c>
      <c r="J902" s="8" t="n">
        <f aca="false">Sens!J901/Sens!J899</f>
        <v>34.4257738465023</v>
      </c>
      <c r="K902" s="8" t="n">
        <f aca="false">Sens!K901/Sens!K899</f>
        <v>36.8424348520752</v>
      </c>
      <c r="L902" s="1" t="s">
        <v>1086</v>
      </c>
    </row>
    <row r="903" customFormat="false" ht="17.15" hidden="false" customHeight="false" outlineLevel="0" collapsed="false">
      <c r="A903" s="0" t="s">
        <v>1087</v>
      </c>
      <c r="B903" s="0" t="s">
        <v>168</v>
      </c>
      <c r="E903" s="7" t="n">
        <f aca="false">Sens!E902/Sens!D902-1</f>
        <v>0.315542736208578</v>
      </c>
      <c r="F903" s="7" t="n">
        <f aca="false">Sens!F902/Sens!E902-1</f>
        <v>0.112291489523203</v>
      </c>
      <c r="G903" s="7" t="n">
        <f aca="false">Sens!G902/Sens!F902-1</f>
        <v>0.164571000699869</v>
      </c>
      <c r="H903" s="7" t="n">
        <f aca="false">Sens!H902/Sens!G902-1</f>
        <v>0.19211392878754</v>
      </c>
      <c r="I903" s="7" t="n">
        <f aca="false">Sens!I902/Sens!H902-1</f>
        <v>0.132956325688751</v>
      </c>
      <c r="J903" s="7" t="n">
        <f aca="false">Sens!J902/Sens!I902-1</f>
        <v>0.0965003442415691</v>
      </c>
      <c r="K903" s="7" t="n">
        <f aca="false">Sens!K902/Sens!J902-1</f>
        <v>0.0701991774055193</v>
      </c>
    </row>
    <row r="904" customFormat="false" ht="17.15" hidden="false" customHeight="false" outlineLevel="0" collapsed="false">
      <c r="A904" s="0" t="s">
        <v>1007</v>
      </c>
      <c r="B904" s="0" t="s">
        <v>98</v>
      </c>
      <c r="E904" s="6" t="n">
        <f aca="false">Sens!E845</f>
        <v>5.25</v>
      </c>
      <c r="F904" s="6" t="n">
        <f aca="false">Sens!F845</f>
        <v>13.5</v>
      </c>
      <c r="G904" s="6" t="n">
        <f aca="false">Sens!G845</f>
        <v>22.5</v>
      </c>
      <c r="H904" s="6" t="n">
        <f aca="false">Sens!H845</f>
        <v>31.5</v>
      </c>
      <c r="I904" s="6" t="n">
        <f aca="false">Sens!I845</f>
        <v>38.25</v>
      </c>
      <c r="J904" s="6" t="n">
        <f aca="false">Sens!J845</f>
        <v>42.75</v>
      </c>
      <c r="K904" s="6" t="n">
        <f aca="false">Sens!K845</f>
        <v>47.25</v>
      </c>
    </row>
    <row r="905" customFormat="false" ht="17.15" hidden="false" customHeight="false" outlineLevel="0" collapsed="false">
      <c r="A905" s="1" t="s">
        <v>1008</v>
      </c>
      <c r="B905" s="0" t="s">
        <v>98</v>
      </c>
      <c r="F905" s="6" t="n">
        <f aca="false">MAX(0,((Sens!E805+Sens!F805)/2-(shadow_base*(Sens!$D$805+Sens!$E$805)/2+(1-shadow_base)*Sens!$E$805))*Sens!F814/1000-(Sens!F904-Sens!$E$904)*Sens!F884)</f>
        <v>8.88340674531245</v>
      </c>
      <c r="G905" s="6" t="n">
        <f aca="false">MAX(0,((Sens!F805+Sens!G805)/2-(shadow_base*(Sens!$D$805+Sens!$E$805)/2+(1-shadow_base)*Sens!$E$805))*Sens!G814/1000-(Sens!G904-Sens!$E$904)*Sens!G884)</f>
        <v>22.7060305170273</v>
      </c>
      <c r="H905" s="6" t="n">
        <f aca="false">MAX(0,((Sens!G805+Sens!H805)/2-(shadow_base*(Sens!$D$805+Sens!$E$805)/2+(1-shadow_base)*Sens!$E$805))*Sens!H814/1000-(Sens!H904-Sens!$E$904)*Sens!H884)</f>
        <v>38.0018452382075</v>
      </c>
      <c r="I905" s="6" t="n">
        <f aca="false">MAX(0,((Sens!H805+Sens!I805)/2-(shadow_base*(Sens!$D$805+Sens!$E$805)/2+(1-shadow_base)*Sens!$E$805))*Sens!I814/1000-(Sens!I904-Sens!$E$904)*Sens!I884)</f>
        <v>52.1381094705177</v>
      </c>
      <c r="J905" s="6" t="n">
        <f aca="false">MAX(0,((Sens!I805+Sens!J805)/2-(shadow_base*(Sens!$D$805+Sens!$E$805)/2+(1-shadow_base)*Sens!$E$805))*Sens!J814/1000-(Sens!J904-Sens!$E$904)*Sens!J884)</f>
        <v>62.0595818934393</v>
      </c>
      <c r="K905" s="6" t="n">
        <f aca="false">MAX(0,((Sens!J805+Sens!K805)/2-(shadow_base*(Sens!$D$805+Sens!$E$805)/2+(1-shadow_base)*Sens!$E$805))*Sens!K814/1000-(Sens!K904-Sens!$E$904)*Sens!K884)</f>
        <v>67.0801312706266</v>
      </c>
      <c r="L905" s="1" t="s">
        <v>1009</v>
      </c>
    </row>
    <row r="906" customFormat="false" ht="17.15" hidden="false" customHeight="false" outlineLevel="0" collapsed="false">
      <c r="A906" s="1" t="s">
        <v>1010</v>
      </c>
      <c r="B906" s="0" t="s">
        <v>98</v>
      </c>
      <c r="F906" s="6" t="n">
        <f aca="false">IF(internal_ai_reading=2,1,0)*Sens!F905</f>
        <v>8.88340674531245</v>
      </c>
      <c r="G906" s="6" t="n">
        <f aca="false">IF(internal_ai_reading=2,1,0)*Sens!G905</f>
        <v>22.7060305170273</v>
      </c>
      <c r="H906" s="6" t="n">
        <f aca="false">IF(internal_ai_reading=2,1,0)*Sens!H905</f>
        <v>38.0018452382075</v>
      </c>
      <c r="I906" s="6" t="n">
        <f aca="false">IF(internal_ai_reading=2,1,0)*Sens!I905</f>
        <v>52.1381094705177</v>
      </c>
      <c r="J906" s="6" t="n">
        <f aca="false">IF(internal_ai_reading=2,1,0)*Sens!J905</f>
        <v>62.0595818934393</v>
      </c>
      <c r="K906" s="6" t="n">
        <f aca="false">IF(internal_ai_reading=2,1,0)*Sens!K905</f>
        <v>67.0801312706266</v>
      </c>
    </row>
    <row r="907" customFormat="false" ht="17.15" hidden="false" customHeight="false" outlineLevel="0" collapsed="false">
      <c r="A907" s="0" t="s">
        <v>1011</v>
      </c>
      <c r="B907" s="0" t="s">
        <v>98</v>
      </c>
      <c r="F907" s="6" t="n">
        <f aca="false">Sens!F824+Sens!F904*Sens!F884+Sens!F906-Sens!F825-Sens!F836</f>
        <v>9.64135533050902</v>
      </c>
      <c r="G907" s="6" t="n">
        <f aca="false">Sens!G824+Sens!G904*Sens!G884+Sens!G906-Sens!G825-Sens!G836</f>
        <v>27.6806616798994</v>
      </c>
      <c r="H907" s="6" t="n">
        <f aca="false">Sens!H824+Sens!H904*Sens!H884+Sens!H906-Sens!H825-Sens!H836</f>
        <v>50.4300903577187</v>
      </c>
      <c r="I907" s="6" t="n">
        <f aca="false">Sens!I824+Sens!I904*Sens!I884+Sens!I906-Sens!I825-Sens!I836</f>
        <v>65.8404917342225</v>
      </c>
      <c r="J907" s="6" t="n">
        <f aca="false">Sens!J824+Sens!J904*Sens!J884+Sens!J906-Sens!J825-Sens!J836</f>
        <v>76.4304927387213</v>
      </c>
      <c r="K907" s="6" t="n">
        <f aca="false">Sens!K824+Sens!K904*Sens!K884+Sens!K906-Sens!K825-Sens!K836</f>
        <v>83.3851461461894</v>
      </c>
    </row>
    <row r="908" customFormat="false" ht="17.15" hidden="false" customHeight="false" outlineLevel="0" collapsed="false">
      <c r="A908" s="0" t="s">
        <v>1012</v>
      </c>
      <c r="B908" s="0" t="s">
        <v>98</v>
      </c>
      <c r="E908" s="6" t="n">
        <f aca="false">Sens!E804*(cxit_open+self_build*tk_cxfac)/1000*ai_net_open</f>
        <v>126.6980382</v>
      </c>
      <c r="F908" s="6" t="n">
        <f aca="false">Sens!E908+Sens!F833-Sens!F836</f>
        <v>260.572627763768</v>
      </c>
      <c r="G908" s="6" t="n">
        <f aca="false">Sens!F908+Sens!G833-Sens!G836</f>
        <v>391.782612760517</v>
      </c>
      <c r="H908" s="6" t="n">
        <f aca="false">Sens!G908+Sens!H833-Sens!H836</f>
        <v>499.488526163584</v>
      </c>
      <c r="I908" s="6" t="n">
        <f aca="false">Sens!H908+Sens!I833-Sens!I836</f>
        <v>553.872350090646</v>
      </c>
      <c r="J908" s="6" t="n">
        <f aca="false">Sens!I908+Sens!J833-Sens!J836</f>
        <v>550.78660823699</v>
      </c>
      <c r="K908" s="6" t="n">
        <f aca="false">Sens!J908+Sens!K833-Sens!K836</f>
        <v>526.736791750789</v>
      </c>
      <c r="L908" s="1" t="s">
        <v>1013</v>
      </c>
    </row>
    <row r="909" customFormat="false" ht="17.15" hidden="false" customHeight="false" outlineLevel="0" collapsed="false">
      <c r="A909" s="0" t="s">
        <v>1014</v>
      </c>
      <c r="B909" s="0" t="s">
        <v>168</v>
      </c>
      <c r="F909" s="7" t="n">
        <f aca="false">Sens!F907*(1-tax_f)/((Sens!E908+Sens!F908)/2)</f>
        <v>0.0398330415509902</v>
      </c>
      <c r="G909" s="7" t="n">
        <f aca="false">Sens!G907*(1-tax_f)/((Sens!F908+Sens!G908)/2)</f>
        <v>0.0678910138780289</v>
      </c>
      <c r="H909" s="7" t="n">
        <f aca="false">Sens!H907*(1-tax_f)/((Sens!G908+Sens!H908)/2)</f>
        <v>0.0905315352966021</v>
      </c>
      <c r="I909" s="7" t="n">
        <f aca="false">Sens!I907*(1-tax_f)/((Sens!H908+Sens!I908)/2)</f>
        <v>0.10000825847013</v>
      </c>
      <c r="J909" s="7" t="n">
        <f aca="false">Sens!J907*(1-tax_f)/((Sens!I908+Sens!J908)/2)</f>
        <v>0.110702753515066</v>
      </c>
      <c r="K909" s="7" t="n">
        <f aca="false">Sens!K907*(1-tax_f)/((Sens!J908+Sens!K908)/2)</f>
        <v>0.123817481676422</v>
      </c>
    </row>
    <row r="910" customFormat="false" ht="17.15" hidden="false" customHeight="false" outlineLevel="0" collapsed="false">
      <c r="A910" s="1" t="s">
        <v>1015</v>
      </c>
      <c r="B910" s="0" t="s">
        <v>168</v>
      </c>
      <c r="F910" s="7" t="n">
        <f aca="false">(Sens!F907-Sens!F906)*(1-tax_f)/((Sens!E908+Sens!F908)/2)</f>
        <v>0.00313144744205325</v>
      </c>
      <c r="G910" s="7" t="n">
        <f aca="false">(Sens!G907-Sens!G906)*(1-tax_f)/((Sens!F908+Sens!G908)/2)</f>
        <v>0.0122010361320905</v>
      </c>
      <c r="H910" s="7" t="n">
        <f aca="false">(Sens!H907-Sens!H906)*(1-tax_f)/((Sens!G908+Sens!H908)/2)</f>
        <v>0.0223110469112939</v>
      </c>
      <c r="I910" s="7" t="n">
        <f aca="false">(Sens!I907-Sens!I906)*(1-tax_f)/((Sens!H908+Sens!I908)/2)</f>
        <v>0.0208132009799807</v>
      </c>
      <c r="J910" s="7" t="n">
        <f aca="false">(Sens!J907-Sens!J906)*(1-tax_f)/((Sens!I908+Sens!J908)/2)</f>
        <v>0.0208149829222056</v>
      </c>
      <c r="K910" s="7" t="n">
        <f aca="false">(Sens!K907-Sens!K906)*(1-tax_f)/((Sens!J908+Sens!K908)/2)</f>
        <v>0.0242110972264698</v>
      </c>
    </row>
    <row r="911" customFormat="false" ht="17.15" hidden="false" customHeight="false" outlineLevel="0" collapsed="false">
      <c r="A911" s="1" t="s">
        <v>1016</v>
      </c>
      <c r="B911" s="0" t="s">
        <v>168</v>
      </c>
      <c r="F911" s="7" t="n">
        <f aca="false">(Sens!F907-Sens!F906+Sens!F905)*(1-tax_f)/((Sens!E908+Sens!F908)/2)</f>
        <v>0.0398330415509902</v>
      </c>
      <c r="G911" s="7" t="n">
        <f aca="false">(Sens!G907-Sens!G906+Sens!G905)*(1-tax_f)/((Sens!F908+Sens!G908)/2)</f>
        <v>0.0678910138780289</v>
      </c>
      <c r="H911" s="7" t="n">
        <f aca="false">(Sens!H907-Sens!H906+Sens!H905)*(1-tax_f)/((Sens!G908+Sens!H908)/2)</f>
        <v>0.0905315352966021</v>
      </c>
      <c r="I911" s="7" t="n">
        <f aca="false">(Sens!I907-Sens!I906+Sens!I905)*(1-tax_f)/((Sens!H908+Sens!I908)/2)</f>
        <v>0.10000825847013</v>
      </c>
      <c r="J911" s="7" t="n">
        <f aca="false">(Sens!J907-Sens!J906+Sens!J905)*(1-tax_f)/((Sens!I908+Sens!J908)/2)</f>
        <v>0.110702753515066</v>
      </c>
      <c r="K911" s="7" t="n">
        <f aca="false">(Sens!K907-Sens!K906+Sens!K905)*(1-tax_f)/((Sens!J908+Sens!K908)/2)</f>
        <v>0.123817481676422</v>
      </c>
    </row>
    <row r="912" customFormat="false" ht="17.15" hidden="false" customHeight="false" outlineLevel="0" collapsed="false">
      <c r="A912" s="1" t="s">
        <v>1017</v>
      </c>
      <c r="B912" s="0" t="s">
        <v>168</v>
      </c>
      <c r="F912" s="7" t="n">
        <f aca="false">Sens!F837*(1-tax_f)/(Sens!F823*(Sens!E908+Sens!F908)/2)</f>
        <v>0.0936682235394012</v>
      </c>
      <c r="G912" s="7" t="n">
        <f aca="false">Sens!G837*(1-tax_f)/(Sens!G823*(Sens!F908+Sens!G908)/2)</f>
        <v>0.113484295363906</v>
      </c>
      <c r="H912" s="7" t="n">
        <f aca="false">Sens!H837*(1-tax_f)/(Sens!H823*(Sens!G908+Sens!H908)/2)</f>
        <v>0.138454543300901</v>
      </c>
      <c r="I912" s="7" t="n">
        <f aca="false">Sens!I837*(1-tax_f)/(Sens!I823*(Sens!H908+Sens!I908)/2)</f>
        <v>0.146698556254258</v>
      </c>
      <c r="J912" s="7" t="n">
        <f aca="false">Sens!J837*(1-tax_f)/(Sens!J823*(Sens!I908+Sens!J908)/2)</f>
        <v>0.159371418271889</v>
      </c>
      <c r="K912" s="7" t="n">
        <f aca="false">Sens!K837*(1-tax_f)/(Sens!K823*(Sens!J908+Sens!K908)/2)</f>
        <v>0.176714932226883</v>
      </c>
    </row>
    <row r="913" customFormat="false" ht="17.15" hidden="false" customHeight="false" outlineLevel="0" collapsed="false">
      <c r="A913" s="0" t="s">
        <v>1018</v>
      </c>
      <c r="B913" s="0" t="s">
        <v>253</v>
      </c>
      <c r="F913" s="7" t="n">
        <f aca="false">Sens!F909-wacc</f>
        <v>-0.0631035493946071</v>
      </c>
      <c r="G913" s="7" t="n">
        <f aca="false">Sens!G909-wacc</f>
        <v>-0.0350455770675684</v>
      </c>
      <c r="H913" s="7" t="n">
        <f aca="false">Sens!H909-wacc</f>
        <v>-0.0124050556489952</v>
      </c>
      <c r="I913" s="7" t="n">
        <f aca="false">Sens!I909-wacc</f>
        <v>-0.00292833247546684</v>
      </c>
      <c r="J913" s="7" t="n">
        <f aca="false">Sens!J909-wacc</f>
        <v>0.0077661625694689</v>
      </c>
      <c r="K913" s="7" t="n">
        <f aca="false">Sens!K909-wacc</f>
        <v>0.0208808907308249</v>
      </c>
    </row>
    <row r="914" customFormat="false" ht="17.15" hidden="false" customHeight="false" outlineLevel="0" collapsed="false">
      <c r="A914" s="0" t="s">
        <v>1019</v>
      </c>
      <c r="B914" s="0" t="s">
        <v>98</v>
      </c>
      <c r="F914" s="6" t="n">
        <f aca="false">Sens!F907*(1-tax_f)-wacc*(Sens!E908+Sens!F908)/2</f>
        <v>-12.2190767993635</v>
      </c>
      <c r="G914" s="6" t="n">
        <f aca="false">Sens!G907*(1-tax_f)-wacc*(Sens!F908+Sens!G908)/2</f>
        <v>-11.431082928613</v>
      </c>
      <c r="H914" s="6" t="n">
        <f aca="false">Sens!H907*(1-tax_f)-wacc*(Sens!G908+Sens!H908)/2</f>
        <v>-5.5281340383484</v>
      </c>
      <c r="I914" s="6" t="n">
        <f aca="false">Sens!I907*(1-tax_f)-wacc*(Sens!H908+Sens!I908)/2</f>
        <v>-1.54229543116073</v>
      </c>
      <c r="J914" s="6" t="n">
        <f aca="false">Sens!J907*(1-tax_f)-wacc*(Sens!I908+Sens!J908)/2</f>
        <v>4.2894805270963</v>
      </c>
      <c r="K914" s="6" t="n">
        <f aca="false">Sens!K907*(1-tax_f)-wacc*(Sens!J908+Sens!K908)/2</f>
        <v>11.2498241875259</v>
      </c>
    </row>
    <row r="915" customFormat="false" ht="17.15" hidden="false" customHeight="false" outlineLevel="0" collapsed="false">
      <c r="A915" s="3" t="s">
        <v>1633</v>
      </c>
    </row>
    <row r="916" customFormat="false" ht="15" hidden="false" customHeight="false" outlineLevel="0" collapsed="false">
      <c r="A916" s="4" t="s">
        <v>43</v>
      </c>
      <c r="B916" s="4" t="s">
        <v>65</v>
      </c>
      <c r="C916" s="23" t="s">
        <v>942</v>
      </c>
      <c r="D916" s="23" t="s">
        <v>943</v>
      </c>
      <c r="E916" s="23" t="s">
        <v>944</v>
      </c>
      <c r="F916" s="23" t="s">
        <v>945</v>
      </c>
      <c r="G916" s="23" t="s">
        <v>946</v>
      </c>
      <c r="H916" s="23" t="s">
        <v>947</v>
      </c>
      <c r="I916" s="23" t="s">
        <v>948</v>
      </c>
      <c r="J916" s="23" t="s">
        <v>949</v>
      </c>
      <c r="K916" s="23" t="s">
        <v>950</v>
      </c>
      <c r="L916" s="4" t="s">
        <v>47</v>
      </c>
    </row>
    <row r="917" customFormat="false" ht="15" hidden="false" customHeight="false" outlineLevel="0" collapsed="false">
      <c r="A917" s="1" t="s">
        <v>1080</v>
      </c>
      <c r="B917" s="0" t="s">
        <v>98</v>
      </c>
      <c r="F917" s="6" t="n">
        <f aca="false">Sens!F898</f>
        <v>142.070345524096</v>
      </c>
      <c r="G917" s="6" t="n">
        <f aca="false">Sens!G898</f>
        <v>156.60852617218</v>
      </c>
      <c r="H917" s="6" t="n">
        <f aca="false">Sens!H898</f>
        <v>178.715879352502</v>
      </c>
      <c r="I917" s="6" t="n">
        <f aca="false">Sens!I898</f>
        <v>195.577091825719</v>
      </c>
      <c r="J917" s="6" t="n">
        <f aca="false">Sens!J898</f>
        <v>211.025351412676</v>
      </c>
      <c r="K917" s="6" t="n">
        <f aca="false">Sens!K898</f>
        <v>225.913435423284</v>
      </c>
    </row>
    <row r="918" customFormat="false" ht="17.15" hidden="false" customHeight="false" outlineLevel="0" collapsed="false">
      <c r="A918" s="1" t="s">
        <v>1102</v>
      </c>
      <c r="B918" s="0" t="s">
        <v>98</v>
      </c>
      <c r="E918" s="6" t="n">
        <f aca="false">Q!M38-Sens!E836</f>
        <v>22.2285940229167</v>
      </c>
      <c r="F918" s="6" t="n">
        <f aca="false">Sens!E918*(1-1/life_nonai)+(Sens!F926+Sens!F927)/life_nonai</f>
        <v>23.6145210461303</v>
      </c>
      <c r="G918" s="6" t="n">
        <f aca="false">Sens!F918*(1-1/life_nonai)+(Sens!G926)/life_nonai</f>
        <v>25.457160808621</v>
      </c>
      <c r="H918" s="6" t="n">
        <f aca="false">Sens!G918*(1-1/life_nonai)+(Sens!H926)/life_nonai</f>
        <v>27.7194944267692</v>
      </c>
      <c r="I918" s="6" t="n">
        <f aca="false">Sens!H918*(1-1/life_nonai)+(Sens!I926)/life_nonai</f>
        <v>30.3245827205244</v>
      </c>
      <c r="J918" s="6" t="n">
        <f aca="false">Sens!I918*(1-1/life_nonai)+(Sens!J926)/life_nonai</f>
        <v>33.1794149655825</v>
      </c>
      <c r="K918" s="6" t="n">
        <f aca="false">Sens!J918*(1-1/life_nonai)+(Sens!K926)/life_nonai</f>
        <v>36.1982290965846</v>
      </c>
      <c r="L918" s="12" t="s">
        <v>1103</v>
      </c>
    </row>
    <row r="919" customFormat="false" ht="17.15" hidden="false" customHeight="false" outlineLevel="0" collapsed="false">
      <c r="A919" s="1" t="s">
        <v>1104</v>
      </c>
      <c r="B919" s="0" t="s">
        <v>98</v>
      </c>
      <c r="F919" s="6" t="n">
        <f aca="false">Sens!$F$927/life_nonai*(1-1/life_nonai)^(Sens!F799-2027)</f>
        <v>0</v>
      </c>
      <c r="G919" s="6" t="n">
        <f aca="false">Sens!$F$927/life_nonai*(1-1/life_nonai)^(Sens!G799-2027)</f>
        <v>0</v>
      </c>
      <c r="H919" s="6" t="n">
        <f aca="false">Sens!$F$927/life_nonai*(1-1/life_nonai)^(Sens!H799-2027)</f>
        <v>0</v>
      </c>
      <c r="I919" s="6" t="n">
        <f aca="false">Sens!$F$927/life_nonai*(1-1/life_nonai)^(Sens!I799-2027)</f>
        <v>0</v>
      </c>
      <c r="J919" s="6" t="n">
        <f aca="false">Sens!$F$927/life_nonai*(1-1/life_nonai)^(Sens!J799-2027)</f>
        <v>0</v>
      </c>
      <c r="K919" s="6" t="n">
        <f aca="false">Sens!$F$927/life_nonai*(1-1/life_nonai)^(Sens!K799-2027)</f>
        <v>0</v>
      </c>
      <c r="L919" s="1" t="s">
        <v>1105</v>
      </c>
    </row>
    <row r="920" customFormat="false" ht="17.15" hidden="false" customHeight="false" outlineLevel="0" collapsed="false">
      <c r="A920" s="1" t="s">
        <v>1106</v>
      </c>
      <c r="B920" s="0" t="s">
        <v>98</v>
      </c>
      <c r="E920" s="6" t="n">
        <f aca="false">Sens!E836+Sens!E918</f>
        <v>38.534</v>
      </c>
      <c r="F920" s="6" t="n">
        <f aca="false">Sens!F836+Sens!F918</f>
        <v>58.1938355244819</v>
      </c>
      <c r="G920" s="6" t="n">
        <f aca="false">Sens!G836+Sens!G918</f>
        <v>86.19165146092</v>
      </c>
      <c r="H920" s="6" t="n">
        <f aca="false">Sens!H836+Sens!H918</f>
        <v>116.819585088215</v>
      </c>
      <c r="I920" s="6" t="n">
        <f aca="false">Sens!I836+Sens!I918</f>
        <v>144.555592415073</v>
      </c>
      <c r="J920" s="6" t="n">
        <f aca="false">Sens!J836+Sens!J918</f>
        <v>165.195088015179</v>
      </c>
      <c r="K920" s="6" t="n">
        <f aca="false">Sens!K836+Sens!K918</f>
        <v>179.210898647519</v>
      </c>
    </row>
    <row r="921" customFormat="false" ht="17.15" hidden="false" customHeight="false" outlineLevel="0" collapsed="false">
      <c r="A921" s="1" t="s">
        <v>1107</v>
      </c>
      <c r="B921" s="0" t="s">
        <v>98</v>
      </c>
      <c r="F921" s="6" t="n">
        <f aca="false">Sens!F863*sbc_r</f>
        <v>14.8094272719194</v>
      </c>
      <c r="G921" s="6" t="n">
        <f aca="false">Sens!G863*sbc_r</f>
        <v>17.8905210600259</v>
      </c>
      <c r="H921" s="6" t="n">
        <f aca="false">Sens!H863*sbc_r</f>
        <v>21.1924847658337</v>
      </c>
      <c r="I921" s="6" t="n">
        <f aca="false">Sens!I863*sbc_r</f>
        <v>24.0277762690697</v>
      </c>
      <c r="J921" s="6" t="n">
        <f aca="false">Sens!J863*sbc_r</f>
        <v>26.334366639722</v>
      </c>
      <c r="K921" s="6" t="n">
        <f aca="false">Sens!K863*sbc_r</f>
        <v>28.1954039191456</v>
      </c>
    </row>
    <row r="922" customFormat="false" ht="17.15" hidden="false" customHeight="false" outlineLevel="0" collapsed="false">
      <c r="A922" s="1" t="s">
        <v>1108</v>
      </c>
      <c r="B922" s="0" t="s">
        <v>98</v>
      </c>
      <c r="F922" s="6" t="n">
        <f aca="false">wc27-wc26q1</f>
        <v>-4.677</v>
      </c>
      <c r="G922" s="6" t="n">
        <f aca="false">wc_f</f>
        <v>0</v>
      </c>
      <c r="H922" s="6" t="n">
        <f aca="false">wc_f</f>
        <v>0</v>
      </c>
      <c r="I922" s="6" t="n">
        <f aca="false">wc_f</f>
        <v>0</v>
      </c>
      <c r="J922" s="6" t="n">
        <f aca="false">wc_f</f>
        <v>0</v>
      </c>
      <c r="K922" s="6" t="n">
        <f aca="false">wc_f</f>
        <v>0</v>
      </c>
      <c r="L922" s="12" t="s">
        <v>1109</v>
      </c>
    </row>
    <row r="923" customFormat="false" ht="17.15" hidden="false" customHeight="false" outlineLevel="0" collapsed="false">
      <c r="A923" s="0" t="s">
        <v>1110</v>
      </c>
      <c r="B923" s="0" t="s">
        <v>98</v>
      </c>
      <c r="F923" s="6" t="n">
        <f aca="false">Q!$I$35-Q!$I$26-Q!$I$38-Q!$I$39</f>
        <v>6.493</v>
      </c>
      <c r="L923" s="1" t="s">
        <v>1111</v>
      </c>
    </row>
    <row r="924" customFormat="false" ht="15" hidden="false" customHeight="false" outlineLevel="0" collapsed="false">
      <c r="A924" s="1" t="s">
        <v>908</v>
      </c>
      <c r="B924" s="0" t="s">
        <v>98</v>
      </c>
      <c r="E924" s="6" t="n">
        <f aca="false">Q!M35</f>
        <v>182.935</v>
      </c>
      <c r="F924" s="6" t="n">
        <f aca="false">Sens!F917+Sens!F920+Sens!F921+Sens!F922+Sens!F923</f>
        <v>216.889608320497</v>
      </c>
      <c r="G924" s="6" t="n">
        <f aca="false">Sens!G917+Sens!G920+Sens!G921+Sens!G922</f>
        <v>260.690698693125</v>
      </c>
      <c r="H924" s="6" t="n">
        <f aca="false">Sens!H917+Sens!H920+Sens!H921+Sens!H922</f>
        <v>316.727949206551</v>
      </c>
      <c r="I924" s="6" t="n">
        <f aca="false">Sens!I917+Sens!I920+Sens!I921+Sens!I922</f>
        <v>364.160460509861</v>
      </c>
      <c r="J924" s="6" t="n">
        <f aca="false">Sens!J917+Sens!J920+Sens!J921+Sens!J922</f>
        <v>402.554806067577</v>
      </c>
      <c r="K924" s="6" t="n">
        <f aca="false">Sens!K917+Sens!K920+Sens!K921+Sens!K922</f>
        <v>433.319737989948</v>
      </c>
    </row>
    <row r="925" customFormat="false" ht="17.15" hidden="false" customHeight="false" outlineLevel="0" collapsed="false">
      <c r="A925" s="0" t="s">
        <v>1112</v>
      </c>
      <c r="B925" s="0" t="s">
        <v>98</v>
      </c>
      <c r="F925" s="6" t="n">
        <f aca="false">Sens!F833</f>
        <v>168.45390404212</v>
      </c>
      <c r="G925" s="6" t="n">
        <f aca="false">Sens!G833</f>
        <v>191.944475649048</v>
      </c>
      <c r="H925" s="6" t="n">
        <f aca="false">Sens!H833</f>
        <v>196.806004064512</v>
      </c>
      <c r="I925" s="6" t="n">
        <f aca="false">Sens!I833</f>
        <v>168.61483362161</v>
      </c>
      <c r="J925" s="6" t="n">
        <f aca="false">Sens!J833</f>
        <v>128.92993119594</v>
      </c>
      <c r="K925" s="6" t="n">
        <f aca="false">Sens!K833</f>
        <v>118.962853064733</v>
      </c>
    </row>
    <row r="926" customFormat="false" ht="17.15" hidden="false" customHeight="false" outlineLevel="0" collapsed="false">
      <c r="A926" s="1" t="s">
        <v>1113</v>
      </c>
      <c r="B926" s="0" t="s">
        <v>98</v>
      </c>
      <c r="E926" s="6" t="n">
        <f aca="false">Sens!E841*cx_azo+Sens!E848*cx_m365+Sens!E849*cx_lic+(Sens!E851+Sens!E853)*cx_ind+Sens!E856*cx_srch+(Sens!E858+Sens!E860)*cx_dev</f>
        <v>30.1846587067718</v>
      </c>
      <c r="F926" s="6" t="n">
        <f aca="false">Sens!F841*cx_azo+Sens!F848*cx_m365+Sens!F849*cx_lic+(Sens!F851+Sens!F853)*cx_ind+Sens!F856*cx_srch+(Sens!F858+Sens!F860)*cx_dev</f>
        <v>36.0878642550528</v>
      </c>
      <c r="G926" s="6" t="n">
        <f aca="false">Sens!G841*cx_azo+Sens!G848*cx_m365+Sens!G849*cx_lic+(Sens!G851+Sens!G853)*cx_ind+Sens!G856*cx_srch+(Sens!G858+Sens!G860)*cx_dev</f>
        <v>42.0409186710375</v>
      </c>
      <c r="H926" s="6" t="n">
        <f aca="false">Sens!H841*cx_azo+Sens!H848*cx_m365+Sens!H849*cx_lic+(Sens!H851+Sens!H853)*cx_ind+Sens!H856*cx_srch+(Sens!H858+Sens!H860)*cx_dev</f>
        <v>48.080496990103</v>
      </c>
      <c r="I926" s="6" t="n">
        <f aca="false">Sens!I841*cx_azo+Sens!I848*cx_m365+Sens!I849*cx_lic+(Sens!I851+Sens!I853)*cx_ind+Sens!I856*cx_srch+(Sens!I858+Sens!I860)*cx_dev</f>
        <v>53.7703773643206</v>
      </c>
      <c r="J926" s="6" t="n">
        <f aca="false">Sens!J841*cx_azo+Sens!J848*cx_m365+Sens!J849*cx_lic+(Sens!J851+Sens!J853)*cx_ind+Sens!J856*cx_srch+(Sens!J858+Sens!J860)*cx_dev</f>
        <v>58.8729051711056</v>
      </c>
      <c r="K926" s="6" t="n">
        <f aca="false">Sens!K841*cx_azo+Sens!K848*cx_m365+Sens!K849*cx_lic+(Sens!K851+Sens!K853)*cx_ind+Sens!K856*cx_srch+(Sens!K858+Sens!K860)*cx_dev</f>
        <v>63.3675562756037</v>
      </c>
    </row>
    <row r="927" customFormat="false" ht="17.15" hidden="false" customHeight="false" outlineLevel="0" collapsed="false">
      <c r="A927" s="0" t="s">
        <v>1114</v>
      </c>
      <c r="B927" s="0" t="s">
        <v>98</v>
      </c>
      <c r="F927" s="6" t="n">
        <f aca="false">Sens!F831</f>
        <v>0</v>
      </c>
      <c r="L927" s="1" t="s">
        <v>1115</v>
      </c>
    </row>
    <row r="928" customFormat="false" ht="17.15" hidden="false" customHeight="false" outlineLevel="0" collapsed="false">
      <c r="A928" s="1" t="s">
        <v>1116</v>
      </c>
      <c r="B928" s="0" t="s">
        <v>98</v>
      </c>
      <c r="E928" s="6" t="n">
        <f aca="false">Q!M43</f>
        <v>145.3</v>
      </c>
      <c r="F928" s="6" t="n">
        <f aca="false">Sens!F925+Sens!F926+Sens!F927</f>
        <v>204.541768297172</v>
      </c>
      <c r="G928" s="6" t="n">
        <f aca="false">Sens!G925+Sens!G926</f>
        <v>233.985394320086</v>
      </c>
      <c r="H928" s="6" t="n">
        <f aca="false">Sens!H925+Sens!H926</f>
        <v>244.886501054615</v>
      </c>
      <c r="I928" s="6" t="n">
        <f aca="false">Sens!I925+Sens!I926</f>
        <v>222.385210985931</v>
      </c>
      <c r="J928" s="6" t="n">
        <f aca="false">Sens!J925+Sens!J926</f>
        <v>187.802836367046</v>
      </c>
      <c r="K928" s="6" t="n">
        <f aca="false">Sens!K925+Sens!K926</f>
        <v>182.330409340336</v>
      </c>
      <c r="L928" s="1" t="s">
        <v>1117</v>
      </c>
    </row>
    <row r="929" customFormat="false" ht="15" hidden="false" customHeight="false" outlineLevel="0" collapsed="false">
      <c r="A929" s="1" t="s">
        <v>1118</v>
      </c>
      <c r="B929" s="0" t="s">
        <v>98</v>
      </c>
      <c r="E929" s="6" t="n">
        <f aca="false">fl_liab</f>
        <v>66.594</v>
      </c>
      <c r="F929" s="6" t="n">
        <f aca="false">Sens!E929-Sens!F930</f>
        <v>62.46973</v>
      </c>
      <c r="G929" s="6" t="n">
        <f aca="false">Sens!F929-Sens!G930</f>
        <v>57.98686785</v>
      </c>
      <c r="H929" s="6" t="n">
        <f aca="false">Sens!G929-Sens!H930</f>
        <v>53.92827690325</v>
      </c>
      <c r="I929" s="6" t="n">
        <f aca="false">Sens!H929-Sens!I930</f>
        <v>49.7850493638962</v>
      </c>
      <c r="J929" s="6" t="n">
        <f aca="false">Sens!I929-Sens!J930</f>
        <v>45.4823765852716</v>
      </c>
      <c r="K929" s="6" t="n">
        <f aca="false">Sens!J929-Sens!K930</f>
        <v>40.9860835316088</v>
      </c>
    </row>
    <row r="930" customFormat="false" ht="15" hidden="false" customHeight="false" outlineLevel="0" collapsed="false">
      <c r="A930" s="1" t="s">
        <v>1119</v>
      </c>
      <c r="B930" s="0" t="s">
        <v>98</v>
      </c>
      <c r="F930" s="6" t="n">
        <f aca="false">fl_pay_27-Sens!E929*fl_rate</f>
        <v>4.12427</v>
      </c>
      <c r="G930" s="6" t="n">
        <f aca="false">fl_pay_28-Sens!F929*fl_rate</f>
        <v>4.48286215</v>
      </c>
      <c r="H930" s="6" t="n">
        <f aca="false">fl_pay_29-Sens!G929*fl_rate</f>
        <v>4.05859094675</v>
      </c>
      <c r="I930" s="6" t="n">
        <f aca="false">fl_pay_30-Sens!H929*fl_rate</f>
        <v>4.14322753935375</v>
      </c>
      <c r="J930" s="6" t="n">
        <f aca="false">fl_pay_31-Sens!I929*fl_rate</f>
        <v>4.30267277862467</v>
      </c>
      <c r="K930" s="6" t="n">
        <f aca="false">fl_pay_32-Sens!J929*fl_rate</f>
        <v>4.49629305366278</v>
      </c>
    </row>
    <row r="931" customFormat="false" ht="17.15" hidden="false" customHeight="false" outlineLevel="0" collapsed="false">
      <c r="A931" s="1" t="s">
        <v>1120</v>
      </c>
      <c r="B931" s="0" t="s">
        <v>98</v>
      </c>
      <c r="E931" s="6" t="n">
        <f aca="false">Q!M35-Q!M36-Q!M44</f>
        <v>63.886</v>
      </c>
      <c r="F931" s="6" t="n">
        <f aca="false">Sens!F924-Sens!F928-Sens!F930</f>
        <v>8.22357002332475</v>
      </c>
      <c r="G931" s="6" t="n">
        <f aca="false">Sens!G924-Sens!G928-Sens!G930</f>
        <v>22.2224422230398</v>
      </c>
      <c r="H931" s="6" t="n">
        <f aca="false">Sens!H924-Sens!H928-Sens!H930</f>
        <v>67.7828572051852</v>
      </c>
      <c r="I931" s="6" t="n">
        <f aca="false">Sens!I924-Sens!I928-Sens!I930</f>
        <v>137.632021984576</v>
      </c>
      <c r="J931" s="6" t="n">
        <f aca="false">Sens!J924-Sens!J928-Sens!J930</f>
        <v>210.449296921906</v>
      </c>
      <c r="K931" s="6" t="n">
        <f aca="false">Sens!K924-Sens!K928-Sens!K930</f>
        <v>246.493035595949</v>
      </c>
      <c r="L931" s="12" t="s">
        <v>1121</v>
      </c>
    </row>
    <row r="932" customFormat="false" ht="15" hidden="false" customHeight="false" outlineLevel="0" collapsed="false">
      <c r="A932" s="1" t="s">
        <v>1122</v>
      </c>
      <c r="B932" s="0" t="s">
        <v>75</v>
      </c>
      <c r="F932" s="8" t="n">
        <f aca="false">dps_27</f>
        <v>3.85</v>
      </c>
      <c r="G932" s="8" t="n">
        <f aca="false">Sens!F932*(1+dps_g)</f>
        <v>4.158</v>
      </c>
      <c r="H932" s="8" t="n">
        <f aca="false">Sens!G932*(1+dps_g)</f>
        <v>4.49064</v>
      </c>
      <c r="I932" s="8" t="n">
        <f aca="false">Sens!H932*(1+dps_g)</f>
        <v>4.8498912</v>
      </c>
      <c r="J932" s="8" t="n">
        <f aca="false">Sens!I932*(1+dps_g)</f>
        <v>5.237882496</v>
      </c>
      <c r="K932" s="8" t="n">
        <f aca="false">Sens!J932*(1+dps_g)</f>
        <v>5.65691309568</v>
      </c>
    </row>
    <row r="933" customFormat="false" ht="17.15" hidden="false" customHeight="false" outlineLevel="0" collapsed="false">
      <c r="A933" s="1" t="s">
        <v>1123</v>
      </c>
      <c r="B933" s="0" t="s">
        <v>98</v>
      </c>
      <c r="E933" s="6" t="n">
        <f aca="false">Q!M41</f>
        <v>26.445</v>
      </c>
      <c r="F933" s="6" t="n">
        <f aca="false">Sens!F932*Sens!E942</f>
        <v>28.59395</v>
      </c>
      <c r="G933" s="6" t="n">
        <f aca="false">Sens!G932*Sens!F942</f>
        <v>31.068576</v>
      </c>
      <c r="H933" s="6" t="n">
        <f aca="false">Sens!H932*Sens!G942</f>
        <v>33.75614088</v>
      </c>
      <c r="I933" s="6" t="n">
        <f aca="false">Sens!I932*Sens!H942</f>
        <v>36.5070704274727</v>
      </c>
      <c r="J933" s="6" t="n">
        <f aca="false">Sens!J932*Sens!I942</f>
        <v>39.4955339470631</v>
      </c>
      <c r="K933" s="6" t="n">
        <f aca="false">Sens!K932*Sens!J942</f>
        <v>42.7419309252064</v>
      </c>
      <c r="L933" s="1" t="s">
        <v>1124</v>
      </c>
    </row>
    <row r="934" customFormat="false" ht="15" hidden="false" customHeight="false" outlineLevel="0" collapsed="false">
      <c r="A934" s="1" t="s">
        <v>1125</v>
      </c>
      <c r="B934" s="0" t="s">
        <v>98</v>
      </c>
      <c r="E934" s="6" t="n">
        <f aca="false">Sens!E931-Sens!E933</f>
        <v>37.441</v>
      </c>
      <c r="F934" s="6" t="n">
        <f aca="false">Sens!F931-Sens!F933</f>
        <v>-20.3703799766753</v>
      </c>
      <c r="G934" s="6" t="n">
        <f aca="false">Sens!G931-Sens!G933</f>
        <v>-8.84613377696022</v>
      </c>
      <c r="H934" s="6" t="n">
        <f aca="false">Sens!H931-Sens!H933</f>
        <v>34.0267163251852</v>
      </c>
      <c r="I934" s="6" t="n">
        <f aca="false">Sens!I931-Sens!I933</f>
        <v>101.124951557104</v>
      </c>
      <c r="J934" s="6" t="n">
        <f aca="false">Sens!J931-Sens!J933</f>
        <v>170.953762974843</v>
      </c>
      <c r="K934" s="6" t="n">
        <f aca="false">Sens!K931-Sens!K933</f>
        <v>203.751104670743</v>
      </c>
    </row>
    <row r="935" customFormat="false" ht="15" hidden="false" customHeight="false" outlineLevel="0" collapsed="false">
      <c r="A935" s="1" t="s">
        <v>1126</v>
      </c>
      <c r="B935" s="0" t="s">
        <v>98</v>
      </c>
      <c r="F935" s="6" t="n">
        <f aca="false">debt_mat_27</f>
        <v>9.25</v>
      </c>
      <c r="G935" s="6" t="n">
        <f aca="false">debt_mat_28</f>
        <v>0</v>
      </c>
      <c r="H935" s="6" t="n">
        <f aca="false">debt_mat_29</f>
        <v>2.001</v>
      </c>
      <c r="I935" s="6" t="n">
        <f aca="false">debt_mat_30</f>
        <v>0</v>
      </c>
      <c r="J935" s="6" t="n">
        <f aca="false">debt_mat_31</f>
        <v>0.5</v>
      </c>
      <c r="K935" s="6" t="n">
        <f aca="false">debt_mat_32</f>
        <v>0</v>
      </c>
    </row>
    <row r="936" customFormat="false" ht="15" hidden="false" customHeight="false" outlineLevel="0" collapsed="false">
      <c r="A936" s="1" t="s">
        <v>1127</v>
      </c>
      <c r="B936" s="0" t="s">
        <v>98</v>
      </c>
      <c r="E936" s="6" t="n">
        <f aca="false">Q!M40</f>
        <v>22.271</v>
      </c>
      <c r="F936" s="6" t="n">
        <f aca="false">MAX(0,MIN(bb_target,Sens!E938+Sens!F934-Sens!F935-min_cash))</f>
        <v>0</v>
      </c>
      <c r="G936" s="6" t="n">
        <f aca="false">MAX(0,MIN(bb_target,Sens!F938+Sens!G934-Sens!G935-min_cash))</f>
        <v>0</v>
      </c>
      <c r="H936" s="6" t="n">
        <f aca="false">MAX(0,MIN(bb_target,Sens!G938+Sens!H934-Sens!H935-min_cash))</f>
        <v>22.271</v>
      </c>
      <c r="I936" s="6" t="n">
        <f aca="false">MAX(0,MIN(bb_target,Sens!H938+Sens!I934-Sens!I935-min_cash))</f>
        <v>22.271</v>
      </c>
      <c r="J936" s="6" t="n">
        <f aca="false">MAX(0,MIN(bb_target,Sens!I938+Sens!J934-Sens!J935-min_cash))</f>
        <v>22.271</v>
      </c>
      <c r="K936" s="6" t="n">
        <f aca="false">MAX(0,MIN(bb_target,Sens!J938+Sens!K934-Sens!K935-min_cash))</f>
        <v>22.271</v>
      </c>
    </row>
    <row r="937" customFormat="false" ht="15" hidden="false" customHeight="false" outlineLevel="0" collapsed="false">
      <c r="A937" s="1" t="s">
        <v>1128</v>
      </c>
      <c r="B937" s="0" t="s">
        <v>98</v>
      </c>
      <c r="F937" s="6" t="n">
        <f aca="false">MAX(0,min_cash-(Sens!E938+Sens!F934-Sens!F935-Sens!F936))</f>
        <v>2.77737997667525</v>
      </c>
      <c r="G937" s="6" t="n">
        <f aca="false">MAX(0,min_cash-(Sens!F938+Sens!G934-Sens!G935-Sens!G936))</f>
        <v>8.84613377696022</v>
      </c>
      <c r="H937" s="6" t="n">
        <f aca="false">MAX(0,min_cash-(Sens!G938+Sens!H934-Sens!H935-Sens!H936))</f>
        <v>0</v>
      </c>
      <c r="I937" s="6" t="n">
        <f aca="false">MAX(0,min_cash-(Sens!H938+Sens!I934-Sens!I935-Sens!I936))</f>
        <v>0</v>
      </c>
      <c r="J937" s="6" t="n">
        <f aca="false">MAX(0,min_cash-(Sens!I938+Sens!J934-Sens!J935-Sens!J936))</f>
        <v>0</v>
      </c>
      <c r="K937" s="6" t="n">
        <f aca="false">MAX(0,min_cash-(Sens!J938+Sens!K934-Sens!K935-Sens!K936))</f>
        <v>0</v>
      </c>
    </row>
    <row r="938" customFormat="false" ht="15" hidden="false" customHeight="false" outlineLevel="0" collapsed="false">
      <c r="A938" s="1" t="s">
        <v>1129</v>
      </c>
      <c r="B938" s="0" t="s">
        <v>98</v>
      </c>
      <c r="E938" s="6" t="n">
        <f aca="false">cash_open</f>
        <v>76.843</v>
      </c>
      <c r="F938" s="6" t="n">
        <f aca="false">Sens!E938+Sens!F934-Sens!F935-Sens!F936+Sens!F937</f>
        <v>50</v>
      </c>
      <c r="G938" s="6" t="n">
        <f aca="false">Sens!F938+Sens!G934-Sens!G935-Sens!G936+Sens!G937</f>
        <v>50</v>
      </c>
      <c r="H938" s="6" t="n">
        <f aca="false">Sens!G938+Sens!H934-Sens!H935-Sens!H936+Sens!H937</f>
        <v>59.7547163251852</v>
      </c>
      <c r="I938" s="6" t="n">
        <f aca="false">Sens!H938+Sens!I934-Sens!I935-Sens!I936+Sens!I937</f>
        <v>138.608667882289</v>
      </c>
      <c r="J938" s="6" t="n">
        <f aca="false">Sens!I938+Sens!J934-Sens!J935-Sens!J936+Sens!J937</f>
        <v>286.791430857132</v>
      </c>
      <c r="K938" s="6" t="n">
        <f aca="false">Sens!J938+Sens!K934-Sens!K935-Sens!K936+Sens!K937</f>
        <v>468.271535527874</v>
      </c>
    </row>
    <row r="939" customFormat="false" ht="15" hidden="false" customHeight="false" outlineLevel="0" collapsed="false">
      <c r="A939" s="1" t="s">
        <v>1130</v>
      </c>
      <c r="B939" s="0" t="s">
        <v>98</v>
      </c>
      <c r="E939" s="6" t="n">
        <f aca="false">debt_face</f>
        <v>46.136</v>
      </c>
      <c r="F939" s="6" t="n">
        <f aca="false">Sens!E939-Sens!F935+Sens!F937</f>
        <v>39.6633799766753</v>
      </c>
      <c r="G939" s="6" t="n">
        <f aca="false">Sens!F939-Sens!G935+Sens!G937</f>
        <v>48.5095137536355</v>
      </c>
      <c r="H939" s="6" t="n">
        <f aca="false">Sens!G939-Sens!H935+Sens!H937</f>
        <v>46.5085137536355</v>
      </c>
      <c r="I939" s="6" t="n">
        <f aca="false">Sens!H939-Sens!I935+Sens!I937</f>
        <v>46.5085137536355</v>
      </c>
      <c r="J939" s="6" t="n">
        <f aca="false">Sens!I939-Sens!J935+Sens!J937</f>
        <v>46.0085137536355</v>
      </c>
      <c r="K939" s="6" t="n">
        <f aca="false">Sens!J939-Sens!K935+Sens!K937</f>
        <v>46.0085137536355</v>
      </c>
    </row>
    <row r="940" customFormat="false" ht="15" hidden="false" customHeight="false" outlineLevel="0" collapsed="false">
      <c r="A940" s="1" t="s">
        <v>1131</v>
      </c>
      <c r="B940" s="0" t="s">
        <v>98</v>
      </c>
      <c r="E940" s="6" t="n">
        <f aca="false">Sens!E938-Sens!E939</f>
        <v>30.707</v>
      </c>
      <c r="F940" s="6" t="n">
        <f aca="false">Sens!F938-Sens!F939</f>
        <v>10.3366200233247</v>
      </c>
      <c r="G940" s="6" t="n">
        <f aca="false">Sens!G938-Sens!G939</f>
        <v>1.49048624636453</v>
      </c>
      <c r="H940" s="6" t="n">
        <f aca="false">Sens!H938-Sens!H939</f>
        <v>13.2462025715497</v>
      </c>
      <c r="I940" s="6" t="n">
        <f aca="false">Sens!I938-Sens!I939</f>
        <v>92.1001541286534</v>
      </c>
      <c r="J940" s="6" t="n">
        <f aca="false">Sens!J938-Sens!J939</f>
        <v>240.782917103497</v>
      </c>
      <c r="K940" s="6" t="n">
        <f aca="false">Sens!K938-Sens!K939</f>
        <v>422.263021774239</v>
      </c>
    </row>
    <row r="941" customFormat="false" ht="15" hidden="false" customHeight="false" outlineLevel="0" collapsed="false">
      <c r="A941" s="1" t="s">
        <v>1132</v>
      </c>
      <c r="B941" s="0" t="s">
        <v>75</v>
      </c>
      <c r="F941" s="30" t="n">
        <f aca="false">px*(1+bb_g)^(Sens!F799-base_fy-mid_yr)</f>
        <v>551.84177959629</v>
      </c>
      <c r="G941" s="30" t="n">
        <f aca="false">px*(1+bb_g)^(Sens!G799-base_fy-mid_yr)</f>
        <v>595.989121963993</v>
      </c>
      <c r="H941" s="30" t="n">
        <f aca="false">px*(1+bb_g)^(Sens!H799-base_fy-mid_yr)</f>
        <v>643.668251721112</v>
      </c>
      <c r="I941" s="30" t="n">
        <f aca="false">px*(1+bb_g)^(Sens!I799-base_fy-mid_yr)</f>
        <v>695.161711858801</v>
      </c>
      <c r="J941" s="30" t="n">
        <f aca="false">px*(1+bb_g)^(Sens!J799-base_fy-mid_yr)</f>
        <v>750.774648807506</v>
      </c>
      <c r="K941" s="30" t="n">
        <f aca="false">px*(1+bb_g)^(Sens!K799-base_fy-mid_yr)</f>
        <v>810.836620712106</v>
      </c>
    </row>
    <row r="942" customFormat="false" ht="15" hidden="false" customHeight="false" outlineLevel="0" collapsed="false">
      <c r="A942" s="1" t="s">
        <v>1133</v>
      </c>
      <c r="B942" s="1" t="s">
        <v>81</v>
      </c>
      <c r="E942" s="15" t="n">
        <f aca="false">sh_out26</f>
        <v>7.427</v>
      </c>
      <c r="F942" s="15" t="n">
        <f aca="false">Sens!E942+sh_iss-Sens!F936/Sens!F941</f>
        <v>7.472</v>
      </c>
      <c r="G942" s="15" t="n">
        <f aca="false">Sens!F942+sh_iss-Sens!G936/Sens!G941</f>
        <v>7.517</v>
      </c>
      <c r="H942" s="15" t="n">
        <f aca="false">Sens!G942+sh_iss-Sens!H936/Sens!H941</f>
        <v>7.5273998780576</v>
      </c>
      <c r="I942" s="15" t="n">
        <f aca="false">Sens!H942+sh_iss-Sens!I936/Sens!I941</f>
        <v>7.54036272811094</v>
      </c>
      <c r="J942" s="15" t="n">
        <f aca="false">Sens!I942+sh_iss-Sens!J936/Sens!J941</f>
        <v>7.55569870038255</v>
      </c>
      <c r="K942" s="15" t="n">
        <f aca="false">Sens!J942+sh_iss-Sens!K936/Sens!K941</f>
        <v>7.57323200804144</v>
      </c>
    </row>
    <row r="943" customFormat="false" ht="15" hidden="false" customHeight="false" outlineLevel="0" collapsed="false">
      <c r="A943" s="1" t="s">
        <v>1134</v>
      </c>
      <c r="B943" s="1" t="s">
        <v>81</v>
      </c>
      <c r="E943" s="15" t="n">
        <f aca="false">sh_dil26</f>
        <v>7.453</v>
      </c>
      <c r="F943" s="15" t="n">
        <f aca="false">(Sens!E942+Sens!F942)/2+dil_gap</f>
        <v>7.4735</v>
      </c>
      <c r="G943" s="15" t="n">
        <f aca="false">(Sens!F942+Sens!G942)/2+dil_gap</f>
        <v>7.5185</v>
      </c>
      <c r="H943" s="15" t="n">
        <f aca="false">(Sens!G942+Sens!H942)/2+dil_gap</f>
        <v>7.5461999390288</v>
      </c>
      <c r="I943" s="15" t="n">
        <f aca="false">(Sens!H942+Sens!I942)/2+dil_gap</f>
        <v>7.55788130308427</v>
      </c>
      <c r="J943" s="15" t="n">
        <f aca="false">(Sens!I942+Sens!J942)/2+dil_gap</f>
        <v>7.57203071424674</v>
      </c>
      <c r="K943" s="15" t="n">
        <f aca="false">(Sens!J942+Sens!K942)/2+dil_gap</f>
        <v>7.58846535421199</v>
      </c>
    </row>
    <row r="944" customFormat="false" ht="17.15" hidden="false" customHeight="false" outlineLevel="0" collapsed="false">
      <c r="A944" s="1" t="s">
        <v>1135</v>
      </c>
      <c r="B944" s="0" t="s">
        <v>98</v>
      </c>
      <c r="C944" s="6" t="n">
        <f aca="false">SUM(Sens!F934:J934)</f>
        <v>276.888917103497</v>
      </c>
    </row>
    <row r="945" customFormat="false" ht="15" hidden="false" customHeight="false" outlineLevel="0" collapsed="false">
      <c r="A945" s="26" t="s">
        <v>1100</v>
      </c>
      <c r="B945" s="31" t="s">
        <v>98</v>
      </c>
      <c r="C945" s="27" t="n">
        <f aca="false">Sens!$C$944-(Sens!F934+Sens!G934+Sens!H934+Sens!I934+Sens!J934)</f>
        <v>0</v>
      </c>
      <c r="D945" s="31"/>
      <c r="E945" s="31"/>
      <c r="F945" s="31"/>
      <c r="G945" s="31"/>
      <c r="H945" s="31"/>
      <c r="I945" s="31"/>
      <c r="J945" s="31"/>
      <c r="K945" s="31"/>
    </row>
    <row r="946" customFormat="false" ht="17.15" hidden="false" customHeight="false" outlineLevel="0" collapsed="false">
      <c r="A946" s="1" t="s">
        <v>1094</v>
      </c>
      <c r="B946" s="1" t="s">
        <v>1136</v>
      </c>
      <c r="C946" s="33" t="str">
        <f aca="false">IF(SUM(Sens!F937:J937)&gt;0.05,"需要舉債 "&amp;TEXT(SUM(Sens!F937:J937),"0.0")&amp;" 十億美元","不需舉債")&amp;"；"&amp;IF(SUM(Sens!F936:J936)&lt;COUNT(Sens!F936:J936)*bb_target-0.05,"回購較每年 "&amp;TEXT(bb_target,"0.0")&amp;" 的目標少 "&amp;TEXT(COUNT(Sens!F936:J936)*bb_target-SUM(Sens!F936:J936),"0.0")&amp;" 十億美元（"&amp;TEXT(COUNTIF(Sens!F936:J936,"&lt;"&amp;(bb_target-0.05)),"0")&amp;" 年減少）","回購不減")</f>
        <v>需要舉債 11.6 十億美元；回購較每年 22.3 的目標少 44.5 十億美元（2 年減少）</v>
      </c>
    </row>
    <row r="947" customFormat="false" ht="17.15" hidden="false" customHeight="false" outlineLevel="0" collapsed="false">
      <c r="A947" s="3" t="s">
        <v>1634</v>
      </c>
    </row>
    <row r="948" customFormat="false" ht="15" hidden="false" customHeight="false" outlineLevel="0" collapsed="false">
      <c r="A948" s="4" t="s">
        <v>43</v>
      </c>
      <c r="B948" s="4" t="s">
        <v>65</v>
      </c>
      <c r="C948" s="23" t="s">
        <v>942</v>
      </c>
      <c r="D948" s="23" t="s">
        <v>943</v>
      </c>
      <c r="E948" s="23" t="s">
        <v>944</v>
      </c>
      <c r="F948" s="23" t="s">
        <v>945</v>
      </c>
      <c r="G948" s="23" t="s">
        <v>946</v>
      </c>
      <c r="H948" s="23" t="s">
        <v>947</v>
      </c>
      <c r="I948" s="23" t="s">
        <v>948</v>
      </c>
      <c r="J948" s="23" t="s">
        <v>949</v>
      </c>
      <c r="K948" s="23" t="s">
        <v>950</v>
      </c>
      <c r="L948" s="4" t="s">
        <v>47</v>
      </c>
    </row>
    <row r="949" customFormat="false" ht="17.15" hidden="false" customHeight="false" outlineLevel="0" collapsed="false">
      <c r="A949" s="1" t="s">
        <v>1216</v>
      </c>
      <c r="B949" s="1" t="s">
        <v>279</v>
      </c>
      <c r="F949" s="8" t="n">
        <f aca="false">(1-v_off)*mid_yr</f>
        <v>0.373972602739726</v>
      </c>
      <c r="G949" s="8" t="n">
        <f aca="false">Sens!G799-base_fy-mid_yr-v_off</f>
        <v>1.24794520547945</v>
      </c>
      <c r="H949" s="8" t="n">
        <f aca="false">Sens!H799-base_fy-mid_yr-v_off</f>
        <v>2.24794520547945</v>
      </c>
      <c r="I949" s="8" t="n">
        <f aca="false">Sens!I799-base_fy-mid_yr-v_off</f>
        <v>3.24794520547945</v>
      </c>
      <c r="J949" s="8" t="n">
        <f aca="false">Sens!J799-base_fy-mid_yr-v_off</f>
        <v>4.24794520547945</v>
      </c>
      <c r="K949" s="8" t="n">
        <f aca="false">Sens!K799-base_fy-mid_yr-v_off</f>
        <v>5.24794520547945</v>
      </c>
      <c r="L949" s="12" t="s">
        <v>1217</v>
      </c>
    </row>
    <row r="950" customFormat="false" ht="15" hidden="false" customHeight="false" outlineLevel="0" collapsed="false">
      <c r="A950" s="1" t="s">
        <v>1218</v>
      </c>
      <c r="B950" s="1" t="s">
        <v>279</v>
      </c>
      <c r="F950" s="8" t="n">
        <f aca="false">Sens!F799-base_fy-v_off</f>
        <v>0.747945205479452</v>
      </c>
      <c r="G950" s="8" t="n">
        <f aca="false">Sens!G799-base_fy-v_off</f>
        <v>1.74794520547945</v>
      </c>
      <c r="H950" s="8" t="n">
        <f aca="false">Sens!H799-base_fy-v_off</f>
        <v>2.74794520547945</v>
      </c>
      <c r="I950" s="8" t="n">
        <f aca="false">Sens!I799-base_fy-v_off</f>
        <v>3.74794520547945</v>
      </c>
      <c r="J950" s="8" t="n">
        <f aca="false">Sens!J799-base_fy-v_off</f>
        <v>4.74794520547945</v>
      </c>
      <c r="K950" s="8" t="n">
        <f aca="false">Sens!K799-base_fy-v_off</f>
        <v>5.74794520547945</v>
      </c>
    </row>
    <row r="951" customFormat="false" ht="15" hidden="false" customHeight="false" outlineLevel="0" collapsed="false">
      <c r="A951" s="1" t="s">
        <v>1219</v>
      </c>
      <c r="B951" s="0" t="s">
        <v>229</v>
      </c>
      <c r="F951" s="15" t="n">
        <f aca="false">1/(1+wacc)^Sens!F949</f>
        <v>0.964022703286649</v>
      </c>
      <c r="G951" s="15" t="n">
        <f aca="false">1/(1+wacc)^Sens!G949</f>
        <v>0.884910302296739</v>
      </c>
      <c r="H951" s="15" t="n">
        <f aca="false">1/(1+wacc)^Sens!H949</f>
        <v>0.802322009770358</v>
      </c>
      <c r="I951" s="15" t="n">
        <f aca="false">1/(1+wacc)^Sens!I949</f>
        <v>0.727441646561469</v>
      </c>
      <c r="J951" s="15" t="n">
        <f aca="false">1/(1+wacc)^Sens!J949</f>
        <v>0.659549834988973</v>
      </c>
      <c r="K951" s="15" t="n">
        <f aca="false">1/(1+wacc)^Sens!K949</f>
        <v>0.597994336576966</v>
      </c>
    </row>
    <row r="952" customFormat="false" ht="17.15" hidden="false" customHeight="false" outlineLevel="0" collapsed="false">
      <c r="A952" s="1" t="s">
        <v>1220</v>
      </c>
      <c r="B952" s="0" t="s">
        <v>98</v>
      </c>
      <c r="F952" s="6" t="n">
        <f aca="false">Q!$I$35-Q!$I$39-Q!$I$43</f>
        <v>9.666</v>
      </c>
      <c r="L952" s="12" t="s">
        <v>1221</v>
      </c>
    </row>
    <row r="953" customFormat="false" ht="17.15" hidden="false" customHeight="false" outlineLevel="0" collapsed="false">
      <c r="A953" s="1" t="s">
        <v>1222</v>
      </c>
      <c r="B953" s="0" t="s">
        <v>98</v>
      </c>
      <c r="F953" s="6" t="n">
        <f aca="false">Sens!F924-Sens!F921-Sens!F928+Sens!F906*(1-tax_f)*(1-v_off)-Sens!F952</f>
        <v>-6.81214606181039</v>
      </c>
      <c r="G953" s="6" t="n">
        <f aca="false">Sens!G924-Sens!G921-Sens!G928+Sens!G906*(1-tax_f)</f>
        <v>26.9796077266357</v>
      </c>
      <c r="H953" s="6" t="n">
        <f aca="false">Sens!H924-Sens!H921-Sens!H928+Sens!H906*(1-tax_f)</f>
        <v>81.0504395766675</v>
      </c>
      <c r="I953" s="6" t="n">
        <f aca="false">Sens!I924-Sens!I921-Sens!I928+Sens!I906*(1-tax_f)</f>
        <v>159.457960831275</v>
      </c>
      <c r="J953" s="6" t="n">
        <f aca="false">Sens!J924-Sens!J921-Sens!J928+Sens!J906*(1-tax_f)</f>
        <v>238.06526857556</v>
      </c>
      <c r="K953" s="6" t="n">
        <f aca="false">Sens!K924-Sens!K921-Sens!K928+Sens!K906*(1-tax_f)</f>
        <v>276.458029746967</v>
      </c>
      <c r="L953" s="1" t="s">
        <v>1223</v>
      </c>
    </row>
    <row r="954" customFormat="false" ht="15" hidden="false" customHeight="false" outlineLevel="0" collapsed="false">
      <c r="A954" s="1" t="s">
        <v>1224</v>
      </c>
      <c r="B954" s="0" t="s">
        <v>98</v>
      </c>
      <c r="F954" s="6" t="n">
        <f aca="false">Sens!F953*Sens!F951</f>
        <v>-6.56706346168995</v>
      </c>
      <c r="G954" s="6" t="n">
        <f aca="false">Sens!G953*Sens!G951</f>
        <v>23.8745328292247</v>
      </c>
      <c r="H954" s="6" t="n">
        <f aca="false">Sens!H953*Sens!H951</f>
        <v>65.0285515739229</v>
      </c>
      <c r="I954" s="6" t="n">
        <f aca="false">Sens!I953*Sens!I951</f>
        <v>115.996361584437</v>
      </c>
      <c r="J954" s="6" t="n">
        <f aca="false">Sens!J953*Sens!J951</f>
        <v>157.015908605616</v>
      </c>
      <c r="K954" s="6" t="n">
        <f aca="false">Sens!K953*Sens!K951</f>
        <v>165.320336089913</v>
      </c>
    </row>
    <row r="955" customFormat="false" ht="17.15" hidden="false" customHeight="false" outlineLevel="0" collapsed="false">
      <c r="A955" s="1" t="s">
        <v>1225</v>
      </c>
      <c r="B955" s="0" t="s">
        <v>98</v>
      </c>
      <c r="C955" s="6" t="n">
        <f aca="false">SUM(Sens!F954:K954)</f>
        <v>520.668627221423</v>
      </c>
    </row>
    <row r="956" customFormat="false" ht="17.15" hidden="false" customHeight="false" outlineLevel="0" collapsed="false">
      <c r="A956" s="1" t="s">
        <v>1226</v>
      </c>
      <c r="B956" s="0" t="s">
        <v>98</v>
      </c>
      <c r="C956" s="6" t="n">
        <f aca="false">Sens!K892*(1+g_tv)*(1-tax_f)</f>
        <v>288.953666652979</v>
      </c>
    </row>
    <row r="957" customFormat="false" ht="17.15" hidden="false" customHeight="false" outlineLevel="0" collapsed="false">
      <c r="A957" s="1" t="s">
        <v>1227</v>
      </c>
      <c r="B957" s="0" t="s">
        <v>98</v>
      </c>
      <c r="C957" s="6" t="n">
        <f aca="false">Sens!$C$956*(1-g_tv/(wacc+ronic_prem))</f>
        <v>204.740561090052</v>
      </c>
    </row>
    <row r="958" customFormat="false" ht="17.15" hidden="false" customHeight="false" outlineLevel="0" collapsed="false">
      <c r="A958" s="1" t="s">
        <v>1228</v>
      </c>
      <c r="B958" s="0" t="s">
        <v>98</v>
      </c>
      <c r="C958" s="6" t="n">
        <f aca="false">Sens!$C$957/(wacc-g_tv)</f>
        <v>2807.10351876421</v>
      </c>
    </row>
    <row r="959" customFormat="false" ht="15" hidden="false" customHeight="false" outlineLevel="0" collapsed="false">
      <c r="A959" s="1" t="s">
        <v>1229</v>
      </c>
      <c r="B959" s="0" t="s">
        <v>98</v>
      </c>
      <c r="C959" s="6" t="n">
        <f aca="false">Sens!$C$958/(1+wacc)^Sens!K950</f>
        <v>1598.38070021965</v>
      </c>
    </row>
    <row r="960" customFormat="false" ht="17.15" hidden="false" customHeight="false" outlineLevel="0" collapsed="false">
      <c r="A960" s="0" t="s">
        <v>1230</v>
      </c>
      <c r="B960" s="0" t="s">
        <v>98</v>
      </c>
      <c r="C960" s="6" t="n">
        <f aca="false">Sens!$C$955+Sens!$C$959</f>
        <v>2119.04932744107</v>
      </c>
    </row>
    <row r="961" customFormat="false" ht="15" hidden="false" customHeight="false" outlineLevel="0" collapsed="false">
      <c r="A961" s="1" t="s">
        <v>1145</v>
      </c>
      <c r="B961" s="0" t="s">
        <v>168</v>
      </c>
      <c r="C961" s="7" t="n">
        <f aca="false">Sens!$C$959/Sens!$C$960</f>
        <v>0.754291407718114</v>
      </c>
    </row>
    <row r="962" customFormat="false" ht="17.15" hidden="false" customHeight="false" outlineLevel="0" collapsed="false">
      <c r="A962" s="1" t="s">
        <v>1231</v>
      </c>
      <c r="B962" s="0" t="s">
        <v>98</v>
      </c>
      <c r="C962" s="6" t="n">
        <f aca="false">Sens!$C$960+cash_val-debt_val-fl_val+oai_v</f>
        <v>2234.90032744107</v>
      </c>
    </row>
    <row r="963" customFormat="false" ht="17.15" hidden="false" customHeight="false" outlineLevel="0" collapsed="false">
      <c r="A963" s="0" t="s">
        <v>1153</v>
      </c>
      <c r="B963" s="0" t="s">
        <v>75</v>
      </c>
      <c r="C963" s="5" t="n">
        <f aca="false">Sens!$C$962/shd_val</f>
        <v>300.147774300439</v>
      </c>
    </row>
    <row r="964" customFormat="false" ht="15" hidden="false" customHeight="false" outlineLevel="0" collapsed="false">
      <c r="A964" s="1" t="s">
        <v>1232</v>
      </c>
      <c r="B964" s="0" t="s">
        <v>75</v>
      </c>
      <c r="C964" s="8" t="n">
        <f aca="false">div_rem27+Sens!G932*roll_div_q/q_per_yr</f>
        <v>3.9795</v>
      </c>
    </row>
    <row r="965" customFormat="false" ht="17.15" hidden="false" customHeight="false" outlineLevel="0" collapsed="false">
      <c r="A965" s="0" t="s">
        <v>1233</v>
      </c>
      <c r="B965" s="0" t="s">
        <v>75</v>
      </c>
      <c r="C965" s="5" t="n">
        <f aca="false">Sens!$C$963*(1+wacc)^t_roll-Sens!$C$964</f>
        <v>329.651502605478</v>
      </c>
    </row>
    <row r="966" customFormat="false" ht="17.15" hidden="false" customHeight="false" outlineLevel="0" collapsed="false">
      <c r="A966" s="1" t="s">
        <v>1234</v>
      </c>
      <c r="B966" s="0" t="s">
        <v>168</v>
      </c>
      <c r="F966" s="7" t="n">
        <f aca="false">Sens!F918/(Sens!F863-Sens!F818)</f>
        <v>0.0682657376715262</v>
      </c>
      <c r="G966" s="7" t="n">
        <f aca="false">Sens!G918/(Sens!G863-Sens!G818)</f>
        <v>0.0651669557594093</v>
      </c>
      <c r="H966" s="7" t="n">
        <f aca="false">Sens!H918/(Sens!H863-Sens!H818)</f>
        <v>0.0635529569964292</v>
      </c>
      <c r="I966" s="7" t="n">
        <f aca="false">Sens!I918/(Sens!I863-Sens!I818)</f>
        <v>0.0633135744813189</v>
      </c>
      <c r="J966" s="7" t="n">
        <f aca="false">Sens!J918/(Sens!J863-Sens!J818)</f>
        <v>0.0640986517865341</v>
      </c>
      <c r="K966" s="7" t="n">
        <f aca="false">Sens!K918/(Sens!K863-Sens!K818)</f>
        <v>0.065458451733161</v>
      </c>
    </row>
    <row r="967" customFormat="false" ht="17.15" hidden="false" customHeight="false" outlineLevel="0" collapsed="false">
      <c r="A967" s="0" t="s">
        <v>1235</v>
      </c>
      <c r="B967" s="0" t="s">
        <v>98</v>
      </c>
      <c r="F967" s="6" t="n">
        <f aca="false">Sens!F848*(al_m365+Sens!F966+sbc_r)</f>
        <v>84.4870290943883</v>
      </c>
      <c r="G967" s="6" t="n">
        <f aca="false">Sens!G848*(al_m365+Sens!G966+sbc_r)</f>
        <v>98.9232558853045</v>
      </c>
      <c r="H967" s="6" t="n">
        <f aca="false">Sens!H848*(al_m365+Sens!H966+sbc_r)</f>
        <v>113.525930103309</v>
      </c>
      <c r="I967" s="6" t="n">
        <f aca="false">Sens!I848*(al_m365+Sens!I966+sbc_r)</f>
        <v>126.61254130863</v>
      </c>
      <c r="J967" s="6" t="n">
        <f aca="false">Sens!J848*(al_m365+Sens!J966+sbc_r)</f>
        <v>137.996874497249</v>
      </c>
      <c r="K967" s="6" t="n">
        <f aca="false">Sens!K848*(al_m365+Sens!K966+sbc_r)</f>
        <v>149.002416492233</v>
      </c>
      <c r="L967" s="12" t="s">
        <v>1236</v>
      </c>
    </row>
    <row r="968" customFormat="false" ht="17.15" hidden="false" customHeight="false" outlineLevel="0" collapsed="false">
      <c r="A968" s="0" t="s">
        <v>1237</v>
      </c>
      <c r="B968" s="0" t="s">
        <v>98</v>
      </c>
      <c r="F968" s="6" t="n">
        <f aca="false">Sens!F849*(al_lic+Sens!F966+sbc_r)</f>
        <v>32.8441839328948</v>
      </c>
      <c r="G968" s="6" t="n">
        <f aca="false">Sens!G849*(al_lic+Sens!G966+sbc_r)</f>
        <v>34.1109635655164</v>
      </c>
      <c r="H968" s="6" t="n">
        <f aca="false">Sens!H849*(al_lic+Sens!H966+sbc_r)</f>
        <v>35.2978710224529</v>
      </c>
      <c r="I968" s="6" t="n">
        <f aca="false">Sens!I849*(al_lic+Sens!I966+sbc_r)</f>
        <v>36.3879419038443</v>
      </c>
      <c r="J968" s="6" t="n">
        <f aca="false">Sens!J849*(al_lic+Sens!J966+sbc_r)</f>
        <v>37.3534067476994</v>
      </c>
      <c r="K968" s="6" t="n">
        <f aca="false">Sens!K849*(al_lic+Sens!K966+sbc_r)</f>
        <v>38.1613206434343</v>
      </c>
    </row>
    <row r="969" customFormat="false" ht="17.15" hidden="false" customHeight="false" outlineLevel="0" collapsed="false">
      <c r="A969" s="0" t="s">
        <v>1238</v>
      </c>
      <c r="B969" s="0" t="s">
        <v>98</v>
      </c>
      <c r="F969" s="6" t="n">
        <f aca="false">Sens!F851*(al_ind+Sens!F966+sbc_r)</f>
        <v>9.05252089447503</v>
      </c>
      <c r="G969" s="6" t="n">
        <f aca="false">Sens!G851*(al_ind+Sens!G966+sbc_r)</f>
        <v>9.81993440412466</v>
      </c>
      <c r="H969" s="6" t="n">
        <f aca="false">Sens!H851*(al_ind+Sens!H966+sbc_r)</f>
        <v>10.6348250286297</v>
      </c>
      <c r="I969" s="6" t="n">
        <f aca="false">Sens!I851*(al_ind+Sens!I966+sbc_r)</f>
        <v>11.4953547156408</v>
      </c>
      <c r="J969" s="6" t="n">
        <f aca="false">Sens!J851*(al_ind+Sens!J966+sbc_r)</f>
        <v>12.3907134226641</v>
      </c>
      <c r="K969" s="6" t="n">
        <f aca="false">Sens!K851*(al_ind+Sens!K966+sbc_r)</f>
        <v>13.3029678612647</v>
      </c>
    </row>
    <row r="970" customFormat="false" ht="17.15" hidden="false" customHeight="false" outlineLevel="0" collapsed="false">
      <c r="A970" s="0" t="s">
        <v>1239</v>
      </c>
      <c r="B970" s="0" t="s">
        <v>98</v>
      </c>
      <c r="F970" s="6" t="n">
        <f aca="false">Sens!F853*(al_fro+Sens!F966+sbc_r)</f>
        <v>3.55093217961505</v>
      </c>
      <c r="G970" s="6" t="n">
        <f aca="false">Sens!G853*(al_fro+Sens!G966+sbc_r)</f>
        <v>3.75739470538062</v>
      </c>
      <c r="H970" s="6" t="n">
        <f aca="false">Sens!H853*(al_fro+Sens!H966+sbc_r)</f>
        <v>3.99387593357892</v>
      </c>
      <c r="I970" s="6" t="n">
        <f aca="false">Sens!I853*(al_fro+Sens!I966+sbc_r)</f>
        <v>4.26348885399132</v>
      </c>
      <c r="J970" s="6" t="n">
        <f aca="false">Sens!J853*(al_fro+Sens!J966+sbc_r)</f>
        <v>4.5669076282025</v>
      </c>
      <c r="K970" s="6" t="n">
        <f aca="false">Sens!K853*(al_fro+Sens!K966+sbc_r)</f>
        <v>4.9031418394535</v>
      </c>
    </row>
    <row r="971" customFormat="false" ht="17.15" hidden="false" customHeight="false" outlineLevel="0" collapsed="false">
      <c r="A971" s="0" t="s">
        <v>1240</v>
      </c>
      <c r="B971" s="0" t="s">
        <v>98</v>
      </c>
      <c r="F971" s="6" t="n">
        <f aca="false">Sens!F856*(al_srch+Sens!F966+sbc_r)</f>
        <v>11.1793390528867</v>
      </c>
      <c r="G971" s="6" t="n">
        <f aca="false">Sens!G856*(al_srch+Sens!G966+sbc_r)</f>
        <v>12.2414737284185</v>
      </c>
      <c r="H971" s="6" t="n">
        <f aca="false">Sens!H856*(al_srch+Sens!H966+sbc_r)</f>
        <v>13.3516263923483</v>
      </c>
      <c r="I971" s="6" t="n">
        <f aca="false">Sens!I856*(al_srch+Sens!I966+sbc_r)</f>
        <v>14.500802891906</v>
      </c>
      <c r="J971" s="6" t="n">
        <f aca="false">Sens!J856*(al_srch+Sens!J966+sbc_r)</f>
        <v>15.6677159308449</v>
      </c>
      <c r="K971" s="6" t="n">
        <f aca="false">Sens!K856*(al_srch+Sens!K966+sbc_r)</f>
        <v>16.8212365485119</v>
      </c>
    </row>
    <row r="972" customFormat="false" ht="17.15" hidden="false" customHeight="false" outlineLevel="0" collapsed="false">
      <c r="A972" s="0" t="s">
        <v>1241</v>
      </c>
      <c r="B972" s="0" t="s">
        <v>98</v>
      </c>
      <c r="F972" s="6" t="n">
        <f aca="false">Sens!F824-Sens!F825+Sens!F906</f>
        <v>36.5127455720037</v>
      </c>
      <c r="G972" s="6" t="n">
        <f aca="false">Sens!G824-Sens!G825+Sens!G906</f>
        <v>75.5686119374367</v>
      </c>
      <c r="H972" s="6" t="n">
        <f aca="false">Sens!H824-Sens!H825+Sens!H906</f>
        <v>121.545024466498</v>
      </c>
      <c r="I972" s="6" t="n">
        <f aca="false">Sens!I824-Sens!I825+Sens!I906</f>
        <v>158.232382757676</v>
      </c>
      <c r="J972" s="6" t="n">
        <f aca="false">Sens!J824-Sens!J825+Sens!J906</f>
        <v>184.03773903827</v>
      </c>
      <c r="K972" s="6" t="n">
        <f aca="false">Sens!K824-Sens!K825+Sens!K906</f>
        <v>199.420080868124</v>
      </c>
    </row>
    <row r="973" customFormat="false" ht="17.15" hidden="false" customHeight="false" outlineLevel="0" collapsed="false">
      <c r="A973" s="0" t="s">
        <v>1242</v>
      </c>
      <c r="B973" s="0" t="s">
        <v>98</v>
      </c>
      <c r="F973" s="6" t="n">
        <f aca="false">Sens!F885+Sens!F906+Sens!F836+Sens!F966*(Sens!F855-Sens!F818)+sbc_r*Sens!F855</f>
        <v>233.892466969924</v>
      </c>
      <c r="G973" s="6" t="n">
        <f aca="false">Sens!G885+Sens!G906+Sens!G836+Sens!G966*(Sens!G855-Sens!G818)+sbc_r*Sens!G855</f>
        <v>297.320940987687</v>
      </c>
      <c r="H973" s="6" t="n">
        <f aca="false">Sens!H885+Sens!H906+Sens!H836+Sens!H966*(Sens!H855-Sens!H818)+sbc_r*Sens!H855</f>
        <v>373.319457751613</v>
      </c>
      <c r="I973" s="6" t="n">
        <f aca="false">Sens!I885+Sens!I906+Sens!I836+Sens!I966*(Sens!I855-Sens!I818)+sbc_r*Sens!I855</f>
        <v>437.996482520786</v>
      </c>
      <c r="J973" s="6" t="n">
        <f aca="false">Sens!J885+Sens!J906+Sens!J836+Sens!J966*(Sens!J855-Sens!J818)+sbc_r*Sens!J855</f>
        <v>488.860546800237</v>
      </c>
      <c r="K973" s="6" t="n">
        <f aca="false">Sens!K885+Sens!K906+Sens!K836+Sens!K966*(Sens!K855-Sens!K818)+sbc_r*Sens!K855</f>
        <v>526.891587299699</v>
      </c>
    </row>
    <row r="974" customFormat="false" ht="17.15" hidden="false" customHeight="false" outlineLevel="0" collapsed="false">
      <c r="A974" s="0" t="s">
        <v>1243</v>
      </c>
      <c r="B974" s="0" t="s">
        <v>98</v>
      </c>
      <c r="F974" s="6" t="n">
        <f aca="false">Sens!F973-Sens!F967-Sens!F968-Sens!F969-Sens!F970-Sens!F972</f>
        <v>67.445055296547</v>
      </c>
      <c r="G974" s="6" t="n">
        <f aca="false">Sens!G973-Sens!G967-Sens!G968-Sens!G969-Sens!G970-Sens!G972</f>
        <v>75.1407804899237</v>
      </c>
      <c r="H974" s="6" t="n">
        <f aca="false">Sens!H973-Sens!H967-Sens!H968-Sens!H969-Sens!H970-Sens!H972</f>
        <v>88.3219311971442</v>
      </c>
      <c r="I974" s="6" t="n">
        <f aca="false">Sens!I973-Sens!I967-Sens!I968-Sens!I969-Sens!I970-Sens!I972</f>
        <v>101.004772981003</v>
      </c>
      <c r="J974" s="6" t="n">
        <f aca="false">Sens!J973-Sens!J967-Sens!J968-Sens!J969-Sens!J970-Sens!J972</f>
        <v>112.514905466151</v>
      </c>
      <c r="K974" s="6" t="n">
        <f aca="false">Sens!K973-Sens!K967-Sens!K968-Sens!K969-Sens!K970-Sens!K972</f>
        <v>122.10165959519</v>
      </c>
    </row>
    <row r="975" customFormat="false" ht="17.15" hidden="false" customHeight="false" outlineLevel="0" collapsed="false">
      <c r="A975" s="0" t="s">
        <v>1244</v>
      </c>
      <c r="B975" s="0" t="s">
        <v>98</v>
      </c>
      <c r="F975" s="6" t="n">
        <f aca="false">Sens!F887+Sens!F966*Sens!F862+sbc_r*Sens!F862</f>
        <v>26.6108844769098</v>
      </c>
      <c r="G975" s="6" t="n">
        <f aca="false">Sens!G887+Sens!G966*Sens!G862+sbc_r*Sens!G862</f>
        <v>26.4279197655111</v>
      </c>
      <c r="H975" s="6" t="n">
        <f aca="false">Sens!H887+Sens!H966*Sens!H862+sbc_r*Sens!H862</f>
        <v>27.289306531271</v>
      </c>
      <c r="I975" s="6" t="n">
        <f aca="false">Sens!I887+Sens!I966*Sens!I862+sbc_r*Sens!I862</f>
        <v>28.3963604160228</v>
      </c>
      <c r="J975" s="6" t="n">
        <f aca="false">Sens!J887+Sens!J966*Sens!J862+sbc_r*Sens!J862</f>
        <v>29.7101790139486</v>
      </c>
      <c r="K975" s="6" t="n">
        <f aca="false">Sens!K887+Sens!K966*Sens!K862+sbc_r*Sens!K862</f>
        <v>31.1866408166962</v>
      </c>
    </row>
    <row r="976" customFormat="false" ht="17.15" hidden="false" customHeight="false" outlineLevel="0" collapsed="false">
      <c r="A976" s="0" t="s">
        <v>1245</v>
      </c>
      <c r="B976" s="0" t="s">
        <v>98</v>
      </c>
      <c r="F976" s="6" t="n">
        <f aca="false">(Sens!F975-Sens!F971)*Sens!F858/(Sens!F858+Sens!F860)</f>
        <v>8.7155133836519</v>
      </c>
      <c r="G976" s="6" t="n">
        <f aca="false">(Sens!G975-Sens!G971)*Sens!G858/(Sens!G858+Sens!G860)</f>
        <v>7.87459760077027</v>
      </c>
      <c r="H976" s="6" t="n">
        <f aca="false">(Sens!H975-Sens!H971)*Sens!H858/(Sens!H858+Sens!H860)</f>
        <v>7.63572903027899</v>
      </c>
      <c r="I976" s="6" t="n">
        <f aca="false">(Sens!I975-Sens!I971)*Sens!I858/(Sens!I858+Sens!I860)</f>
        <v>7.5462055588249</v>
      </c>
      <c r="J976" s="6" t="n">
        <f aca="false">(Sens!J975-Sens!J971)*Sens!J858/(Sens!J858+Sens!J860)</f>
        <v>7.59271316908844</v>
      </c>
      <c r="K976" s="6" t="n">
        <f aca="false">(Sens!K975-Sens!K971)*Sens!K858/(Sens!K858+Sens!K860)</f>
        <v>7.7673263957205</v>
      </c>
    </row>
    <row r="977" customFormat="false" ht="17.15" hidden="false" customHeight="false" outlineLevel="0" collapsed="false">
      <c r="A977" s="0" t="s">
        <v>1246</v>
      </c>
      <c r="B977" s="0" t="s">
        <v>98</v>
      </c>
      <c r="F977" s="6" t="n">
        <f aca="false">Sens!F975-Sens!F971-Sens!F976</f>
        <v>6.71603204037121</v>
      </c>
      <c r="G977" s="6" t="n">
        <f aca="false">Sens!G975-Sens!G971-Sens!G976</f>
        <v>6.31184843632229</v>
      </c>
      <c r="H977" s="6" t="n">
        <f aca="false">Sens!H975-Sens!H971-Sens!H976</f>
        <v>6.30195110864371</v>
      </c>
      <c r="I977" s="6" t="n">
        <f aca="false">Sens!I975-Sens!I971-Sens!I976</f>
        <v>6.34935196529183</v>
      </c>
      <c r="J977" s="6" t="n">
        <f aca="false">Sens!J975-Sens!J971-Sens!J976</f>
        <v>6.44974991401528</v>
      </c>
      <c r="K977" s="6" t="n">
        <f aca="false">Sens!K975-Sens!K971-Sens!K976</f>
        <v>6.59807787246381</v>
      </c>
    </row>
    <row r="978" customFormat="false" ht="17.15" hidden="false" customHeight="false" outlineLevel="0" collapsed="false">
      <c r="A978" s="0" t="s">
        <v>1247</v>
      </c>
      <c r="B978" s="0" t="s">
        <v>98</v>
      </c>
      <c r="F978" s="6" t="n">
        <f aca="false">Sens!F972-tax_f*(Sens!F972-Sens!F836)-Sens!F833</f>
        <v>-132.327844688846</v>
      </c>
      <c r="G978" s="6" t="n">
        <f aca="false">Sens!G972-tax_f*(Sens!G972-Sens!G836)-Sens!G833</f>
        <v>-119.342687968639</v>
      </c>
      <c r="H978" s="6" t="n">
        <f aca="false">Sens!H972-tax_f*(Sens!H972-Sens!H836)-Sens!H833</f>
        <v>-81.7499663590247</v>
      </c>
      <c r="I978" s="6" t="n">
        <f aca="false">Sens!I972-tax_f*(Sens!I972-Sens!I836)-Sens!I833</f>
        <v>-19.1827254765598</v>
      </c>
      <c r="J978" s="6" t="n">
        <f aca="false">Sens!J972-tax_f*(Sens!J972-Sens!J836)-Sens!J833</f>
        <v>44.703394644595</v>
      </c>
      <c r="K978" s="6" t="n">
        <f aca="false">Sens!K972-tax_f*(Sens!K972-Sens!K836)-Sens!K833</f>
        <v>69.1757455399533</v>
      </c>
    </row>
    <row r="979" customFormat="false" ht="17.15" hidden="false" customHeight="false" outlineLevel="0" collapsed="false">
      <c r="A979" s="0" t="s">
        <v>1248</v>
      </c>
      <c r="B979" s="0" t="s">
        <v>98</v>
      </c>
      <c r="G979" s="6" t="n">
        <f aca="false">Sens!G978/(1+wacc)^(Sens!G949-Sens!F950)</f>
        <v>-113.63720483907</v>
      </c>
      <c r="H979" s="6" t="n">
        <f aca="false">Sens!H978/(1+wacc)^(Sens!H949-Sens!F950)</f>
        <v>-70.5767677786679</v>
      </c>
      <c r="I979" s="6" t="n">
        <f aca="false">Sens!I978/(1+wacc)^(Sens!I949-Sens!F950)</f>
        <v>-15.0152977628261</v>
      </c>
      <c r="J979" s="6" t="n">
        <f aca="false">Sens!J978/(1+wacc)^(Sens!J949-Sens!F950)</f>
        <v>31.7258740401205</v>
      </c>
      <c r="K979" s="6" t="n">
        <f aca="false">Sens!K978/(1+wacc)^(Sens!K949-Sens!F950)</f>
        <v>44.5119269481319</v>
      </c>
      <c r="L979" s="1" t="s">
        <v>1249</v>
      </c>
    </row>
    <row r="980" customFormat="false" ht="17.15" hidden="false" customHeight="false" outlineLevel="0" collapsed="false">
      <c r="A980" s="0" t="s">
        <v>1250</v>
      </c>
      <c r="B980" s="0" t="s">
        <v>98</v>
      </c>
      <c r="C980" s="6" t="n">
        <f aca="false">(Sens!K972-Sens!K836)*(1-tax_f)*(1+g_tv)*(1-g_tv/(wacc+ronic_prem))/(wacc-g_tv)/(1+wacc)^(Sens!K950-Sens!F950)</f>
        <v>276.656497465939</v>
      </c>
    </row>
    <row r="981" customFormat="false" ht="17.15" hidden="false" customHeight="false" outlineLevel="0" collapsed="false">
      <c r="A981" s="1" t="s">
        <v>1251</v>
      </c>
      <c r="B981" s="0" t="s">
        <v>98</v>
      </c>
      <c r="C981" s="6" t="n">
        <f aca="false">(SUM(Sens!G979:K979)+Sens!$C$980)*(1+wacc)^(t_roll-Sens!F950)</f>
        <v>158.737975367876</v>
      </c>
      <c r="L981" s="12" t="s">
        <v>1252</v>
      </c>
    </row>
    <row r="982" customFormat="false" ht="17.15" hidden="false" customHeight="false" outlineLevel="0" collapsed="false">
      <c r="A982" s="1" t="s">
        <v>1253</v>
      </c>
      <c r="B982" s="0" t="s">
        <v>98</v>
      </c>
      <c r="C982" s="6" t="n">
        <f aca="false">(w_ntm28*Sens!G824+(1-w_ntm28)*Sens!H824)*m_ai</f>
        <v>455.307908349534</v>
      </c>
    </row>
    <row r="983" customFormat="false" ht="17.15" hidden="false" customHeight="false" outlineLevel="0" collapsed="false">
      <c r="A983" s="1" t="s">
        <v>1254</v>
      </c>
      <c r="B983" s="0" t="s">
        <v>98</v>
      </c>
      <c r="C983" s="6" t="n">
        <f aca="false">(w_ntm28*Sens!G974+(1-w_ntm28)*Sens!H974)*m_cloud</f>
        <v>1098.33495714569</v>
      </c>
    </row>
    <row r="984" customFormat="false" ht="17.15" hidden="false" customHeight="false" outlineLevel="0" collapsed="false">
      <c r="A984" s="1" t="s">
        <v>1255</v>
      </c>
      <c r="B984" s="0" t="s">
        <v>98</v>
      </c>
      <c r="C984" s="6" t="n">
        <f aca="false">(w_ntm28*Sens!G967+(1-w_ntm28)*Sens!H967)*m_sw</f>
        <v>1120.22065886686</v>
      </c>
    </row>
    <row r="985" customFormat="false" ht="17.15" hidden="false" customHeight="false" outlineLevel="0" collapsed="false">
      <c r="A985" s="1" t="s">
        <v>1256</v>
      </c>
      <c r="B985" s="0" t="s">
        <v>98</v>
      </c>
      <c r="C985" s="6" t="n">
        <f aca="false">(w_ntm28*Sens!G968+(1-w_ntm28)*Sens!H968)*m_sw</f>
        <v>372.612740930015</v>
      </c>
    </row>
    <row r="986" customFormat="false" ht="17.15" hidden="false" customHeight="false" outlineLevel="0" collapsed="false">
      <c r="A986" s="1" t="s">
        <v>1257</v>
      </c>
      <c r="B986" s="0" t="s">
        <v>98</v>
      </c>
      <c r="C986" s="6" t="n">
        <f aca="false">(w_ntm28*Sens!G969+(1-w_ntm28)*Sens!H969)*m_sw</f>
        <v>108.948711425803</v>
      </c>
    </row>
    <row r="987" customFormat="false" ht="17.15" hidden="false" customHeight="false" outlineLevel="0" collapsed="false">
      <c r="A987" s="1" t="s">
        <v>1258</v>
      </c>
      <c r="B987" s="0" t="s">
        <v>98</v>
      </c>
      <c r="C987" s="6" t="n">
        <f aca="false">(w_ntm28*Sens!G970+(1-w_ntm28)*Sens!H970)*m_sw</f>
        <v>41.4195331516587</v>
      </c>
    </row>
    <row r="988" customFormat="false" ht="17.15" hidden="false" customHeight="false" outlineLevel="0" collapsed="false">
      <c r="A988" s="1" t="s">
        <v>1259</v>
      </c>
      <c r="B988" s="0" t="s">
        <v>98</v>
      </c>
      <c r="C988" s="6" t="n">
        <f aca="false">(w_ntm28*Sens!G971+(1-w_ntm28)*Sens!H971)*m_ads</f>
        <v>114.844808932216</v>
      </c>
    </row>
    <row r="989" customFormat="false" ht="17.15" hidden="false" customHeight="false" outlineLevel="0" collapsed="false">
      <c r="A989" s="1" t="s">
        <v>1260</v>
      </c>
      <c r="B989" s="0" t="s">
        <v>98</v>
      </c>
      <c r="C989" s="6" t="n">
        <f aca="false">(w_ntm28*Sens!G976+(1-w_ntm28)*Sens!H976)*m_game</f>
        <v>98.464306860916</v>
      </c>
    </row>
    <row r="990" customFormat="false" ht="17.15" hidden="false" customHeight="false" outlineLevel="0" collapsed="false">
      <c r="A990" s="1" t="s">
        <v>1261</v>
      </c>
      <c r="B990" s="0" t="s">
        <v>98</v>
      </c>
      <c r="C990" s="6" t="n">
        <f aca="false">(w_ntm28*Sens!G977+(1-w_ntm28)*Sens!H977)*m_pc</f>
        <v>91.2853627097997</v>
      </c>
    </row>
    <row r="991" customFormat="false" ht="17.15" hidden="false" customHeight="false" outlineLevel="0" collapsed="false">
      <c r="A991" s="1" t="s">
        <v>1262</v>
      </c>
      <c r="B991" s="0" t="s">
        <v>98</v>
      </c>
      <c r="C991" s="6" t="n">
        <f aca="false">Sens!$C$981+Sens!$C$983+Sens!$C$984+Sens!$C$985+Sens!$C$986+Sens!$C$987+Sens!$C$988+Sens!$C$989+Sens!$C$990</f>
        <v>3204.86905539083</v>
      </c>
    </row>
    <row r="992" customFormat="false" ht="17.15" hidden="false" customHeight="false" outlineLevel="0" collapsed="false">
      <c r="A992" s="1" t="s">
        <v>1263</v>
      </c>
      <c r="B992" s="0" t="s">
        <v>98</v>
      </c>
      <c r="C992" s="6" t="n">
        <f aca="false">(Sens!G953-Sens!G978)*t_stub</f>
        <v>48.5068432304883</v>
      </c>
      <c r="L992" s="1" t="s">
        <v>1264</v>
      </c>
    </row>
    <row r="993" customFormat="false" ht="17.15" hidden="false" customHeight="false" outlineLevel="0" collapsed="false">
      <c r="A993" s="1" t="s">
        <v>1173</v>
      </c>
      <c r="B993" s="0" t="s">
        <v>98</v>
      </c>
      <c r="C993" s="6" t="n">
        <f aca="false">Sens!F940+oai_v-Sens!F929+Sens!$C$992</f>
        <v>159.957733253813</v>
      </c>
      <c r="L993" s="1" t="s">
        <v>1265</v>
      </c>
    </row>
    <row r="994" customFormat="false" ht="17.15" hidden="false" customHeight="false" outlineLevel="0" collapsed="false">
      <c r="A994" s="1" t="s">
        <v>1266</v>
      </c>
      <c r="B994" s="0" t="s">
        <v>75</v>
      </c>
      <c r="C994" s="5" t="n">
        <f aca="false">(Sens!$C$991+Sens!$C$993)/(Sens!F942+dil_gap)-Sens!G932*roll_div_q/q_per_yr</f>
        <v>447.843476073192</v>
      </c>
      <c r="L994" s="1" t="s">
        <v>1267</v>
      </c>
    </row>
    <row r="995" customFormat="false" ht="17.15" hidden="false" customHeight="false" outlineLevel="0" collapsed="false">
      <c r="A995" s="1" t="s">
        <v>1268</v>
      </c>
      <c r="B995" s="0" t="s">
        <v>75</v>
      </c>
      <c r="C995" s="5" t="n">
        <f aca="false">w_dcf*Sens!$C$965+(1-w_dcf)*Sens!$C$994</f>
        <v>388.747489339335</v>
      </c>
    </row>
    <row r="996" customFormat="false" ht="17.15" hidden="false" customHeight="false" outlineLevel="0" collapsed="false">
      <c r="A996" s="3" t="s">
        <v>1635</v>
      </c>
    </row>
    <row r="997" customFormat="false" ht="15" hidden="false" customHeight="false" outlineLevel="0" collapsed="false">
      <c r="A997" s="4" t="s">
        <v>43</v>
      </c>
      <c r="B997" s="4" t="s">
        <v>65</v>
      </c>
      <c r="C997" s="23" t="s">
        <v>942</v>
      </c>
      <c r="D997" s="23" t="s">
        <v>943</v>
      </c>
      <c r="E997" s="23" t="s">
        <v>944</v>
      </c>
      <c r="F997" s="23" t="s">
        <v>945</v>
      </c>
      <c r="G997" s="23" t="s">
        <v>946</v>
      </c>
      <c r="H997" s="23" t="s">
        <v>947</v>
      </c>
      <c r="I997" s="23" t="s">
        <v>948</v>
      </c>
      <c r="J997" s="23" t="s">
        <v>949</v>
      </c>
      <c r="K997" s="23" t="s">
        <v>950</v>
      </c>
      <c r="L997" s="4" t="s">
        <v>47</v>
      </c>
    </row>
    <row r="998" customFormat="false" ht="17.15" hidden="false" customHeight="false" outlineLevel="0" collapsed="false">
      <c r="A998" s="1" t="s">
        <v>951</v>
      </c>
      <c r="B998" s="1" t="s">
        <v>279</v>
      </c>
      <c r="C998" s="21" t="n">
        <v>2024</v>
      </c>
      <c r="D998" s="21" t="n">
        <v>2025</v>
      </c>
      <c r="E998" s="21" t="n">
        <v>2026</v>
      </c>
      <c r="F998" s="21" t="n">
        <v>2027</v>
      </c>
      <c r="G998" s="21" t="n">
        <v>2028</v>
      </c>
      <c r="H998" s="21" t="n">
        <v>2029</v>
      </c>
      <c r="I998" s="21" t="n">
        <v>2030</v>
      </c>
      <c r="J998" s="21" t="n">
        <v>2031</v>
      </c>
      <c r="K998" s="21" t="n">
        <v>2032</v>
      </c>
    </row>
    <row r="999" customFormat="false" ht="17.15" hidden="false" customHeight="false" outlineLevel="0" collapsed="false">
      <c r="A999" s="1" t="s">
        <v>952</v>
      </c>
      <c r="B999" s="0" t="s">
        <v>459</v>
      </c>
      <c r="F999" s="30" t="n">
        <f aca="false">pace</f>
        <v>2726.5351</v>
      </c>
      <c r="G999" s="30" t="n">
        <f aca="false">pace</f>
        <v>2726.5351</v>
      </c>
      <c r="H999" s="30" t="n">
        <f aca="false">pace</f>
        <v>2726.5351</v>
      </c>
      <c r="I999" s="30" t="n">
        <f aca="false">pace+(g_tv*Sens!H1000-pace)*MIN(1,(Sens!I998-pace_y0)/(pace_y1-pace_y0))</f>
        <v>1931.98611966667</v>
      </c>
      <c r="J999" s="30" t="n">
        <f aca="false">pace+(g_tv*Sens!I1000-pace)*MIN(1,(Sens!J998-pace_y0)/(pace_y1-pace_y0))</f>
        <v>1176.07686172667</v>
      </c>
      <c r="K999" s="30" t="n">
        <f aca="false">pace+(g_tv*Sens!J1000-pace)*MIN(1,(Sens!K998-pace_y0)/(pace_y1-pace_y0))</f>
        <v>436.1300484418</v>
      </c>
      <c r="L999" s="12" t="s">
        <v>953</v>
      </c>
    </row>
    <row r="1000" customFormat="false" ht="17.15" hidden="false" customHeight="false" outlineLevel="0" collapsed="false">
      <c r="A1000" s="1" t="s">
        <v>954</v>
      </c>
      <c r="B1000" s="0" t="s">
        <v>459</v>
      </c>
      <c r="C1000" s="30" t="n">
        <f aca="false">mw_ext_24</f>
        <v>640</v>
      </c>
      <c r="D1000" s="30" t="n">
        <f aca="false">mw_ext_25</f>
        <v>1630</v>
      </c>
      <c r="E1000" s="30" t="n">
        <f aca="false">mw_ext_26</f>
        <v>3250</v>
      </c>
      <c r="F1000" s="30" t="n">
        <f aca="false">Sens!E1000+Sens!F999</f>
        <v>5976.5351</v>
      </c>
      <c r="G1000" s="30" t="n">
        <f aca="false">Sens!F1000+Sens!G999</f>
        <v>8703.0702</v>
      </c>
      <c r="H1000" s="30" t="n">
        <f aca="false">Sens!G1000+Sens!H999</f>
        <v>11429.6053</v>
      </c>
      <c r="I1000" s="30" t="n">
        <f aca="false">Sens!H1000+Sens!I999</f>
        <v>13361.5914196667</v>
      </c>
      <c r="J1000" s="30" t="n">
        <f aca="false">Sens!I1000+Sens!J999</f>
        <v>14537.6682813933</v>
      </c>
      <c r="K1000" s="30" t="n">
        <f aca="false">Sens!J1000+Sens!K999</f>
        <v>14973.7983298351</v>
      </c>
      <c r="L1000" s="1" t="s">
        <v>955</v>
      </c>
    </row>
    <row r="1001" customFormat="false" ht="17.15" hidden="false" customHeight="false" outlineLevel="0" collapsed="false">
      <c r="A1001" s="1" t="s">
        <v>956</v>
      </c>
      <c r="B1001" s="0" t="s">
        <v>459</v>
      </c>
      <c r="C1001" s="30" t="n">
        <f aca="false">rent_ext_24</f>
        <v>150</v>
      </c>
      <c r="D1001" s="30" t="n">
        <f aca="false">rent_ext_25</f>
        <v>400</v>
      </c>
      <c r="E1001" s="30" t="n">
        <f aca="false">rent_ext_26</f>
        <v>550</v>
      </c>
      <c r="F1001" s="30" t="n">
        <f aca="false">rent_ext_f</f>
        <v>756</v>
      </c>
      <c r="G1001" s="30" t="n">
        <f aca="false">rent_ext_f</f>
        <v>756</v>
      </c>
      <c r="H1001" s="30" t="n">
        <f aca="false">rent_ext_f</f>
        <v>756</v>
      </c>
      <c r="I1001" s="30" t="n">
        <f aca="false">rent_ext_f</f>
        <v>756</v>
      </c>
      <c r="J1001" s="30" t="n">
        <f aca="false">rent_ext_f</f>
        <v>756</v>
      </c>
      <c r="K1001" s="30" t="n">
        <f aca="false">rent_ext_f</f>
        <v>756</v>
      </c>
      <c r="L1001" s="1" t="s">
        <v>957</v>
      </c>
    </row>
    <row r="1002" customFormat="false" ht="17.15" hidden="false" customHeight="false" outlineLevel="0" collapsed="false">
      <c r="A1002" s="1" t="s">
        <v>958</v>
      </c>
      <c r="B1002" s="0" t="s">
        <v>459</v>
      </c>
      <c r="C1002" s="30" t="n">
        <f aca="false">Sens!C1000-Sens!C1001</f>
        <v>490</v>
      </c>
      <c r="D1002" s="30" t="n">
        <f aca="false">Sens!D1000-Sens!D1001</f>
        <v>1230</v>
      </c>
      <c r="E1002" s="30" t="n">
        <f aca="false">Sens!E1000-Sens!E1001</f>
        <v>2700</v>
      </c>
      <c r="F1002" s="30" t="n">
        <f aca="false">Sens!F1000-Sens!F1001</f>
        <v>5220.5351</v>
      </c>
      <c r="G1002" s="30" t="n">
        <f aca="false">Sens!G1000-Sens!G1001</f>
        <v>7947.0702</v>
      </c>
      <c r="H1002" s="30" t="n">
        <f aca="false">Sens!H1000-Sens!H1001</f>
        <v>10673.6053</v>
      </c>
      <c r="I1002" s="30" t="n">
        <f aca="false">Sens!I1000-Sens!I1001</f>
        <v>12605.5914196667</v>
      </c>
      <c r="J1002" s="30" t="n">
        <f aca="false">Sens!J1000-Sens!J1001</f>
        <v>13781.6682813933</v>
      </c>
      <c r="K1002" s="30" t="n">
        <f aca="false">Sens!K1000-Sens!K1001</f>
        <v>14217.7983298351</v>
      </c>
    </row>
    <row r="1003" customFormat="false" ht="17.15" hidden="false" customHeight="false" outlineLevel="0" collapsed="false">
      <c r="A1003" s="1" t="s">
        <v>959</v>
      </c>
      <c r="B1003" s="0" t="s">
        <v>459</v>
      </c>
      <c r="C1003" s="30" t="n">
        <f aca="false">Sens!C1002/ext_sh</f>
        <v>816.666666666667</v>
      </c>
      <c r="D1003" s="30" t="n">
        <f aca="false">Sens!D1002/ext_sh</f>
        <v>2050</v>
      </c>
      <c r="E1003" s="30" t="n">
        <f aca="false">Sens!E1002/ext_sh</f>
        <v>4500</v>
      </c>
      <c r="F1003" s="30" t="n">
        <f aca="false">Sens!F1002/ext_sh</f>
        <v>8700.89183333333</v>
      </c>
      <c r="G1003" s="30" t="n">
        <f aca="false">Sens!G1002/ext_sh</f>
        <v>13245.117</v>
      </c>
      <c r="H1003" s="30" t="n">
        <f aca="false">Sens!H1002/ext_sh</f>
        <v>17789.3421666667</v>
      </c>
      <c r="I1003" s="30" t="n">
        <f aca="false">Sens!I1002/ext_sh</f>
        <v>21009.3190327778</v>
      </c>
      <c r="J1003" s="30" t="n">
        <f aca="false">Sens!J1002/ext_sh</f>
        <v>22969.4471356556</v>
      </c>
      <c r="K1003" s="30" t="n">
        <f aca="false">Sens!K1002/ext_sh</f>
        <v>23696.3305497252</v>
      </c>
      <c r="L1003" s="1" t="s">
        <v>960</v>
      </c>
    </row>
    <row r="1004" customFormat="false" ht="17.15" hidden="false" customHeight="false" outlineLevel="0" collapsed="false">
      <c r="A1004" s="1" t="s">
        <v>961</v>
      </c>
      <c r="B1004" s="0" t="s">
        <v>459</v>
      </c>
      <c r="C1004" s="30" t="n">
        <f aca="false">Sens!C1003-Sens!C1002</f>
        <v>326.666666666667</v>
      </c>
      <c r="D1004" s="30" t="n">
        <f aca="false">Sens!D1003-Sens!D1002</f>
        <v>820</v>
      </c>
      <c r="E1004" s="30" t="n">
        <f aca="false">Sens!E1003-Sens!E1002</f>
        <v>1800</v>
      </c>
      <c r="F1004" s="30" t="n">
        <f aca="false">Sens!F1003-Sens!F1002</f>
        <v>3480.35673333333</v>
      </c>
      <c r="G1004" s="30" t="n">
        <f aca="false">Sens!G1003-Sens!G1002</f>
        <v>5298.0468</v>
      </c>
      <c r="H1004" s="30" t="n">
        <f aca="false">Sens!H1003-Sens!H1002</f>
        <v>7115.73686666667</v>
      </c>
      <c r="I1004" s="30" t="n">
        <f aca="false">Sens!I1003-Sens!I1002</f>
        <v>8403.72761311111</v>
      </c>
      <c r="J1004" s="30" t="n">
        <f aca="false">Sens!J1003-Sens!J1002</f>
        <v>9187.77885426222</v>
      </c>
      <c r="K1004" s="30" t="n">
        <f aca="false">Sens!K1003-Sens!K1002</f>
        <v>9478.53221989009</v>
      </c>
    </row>
    <row r="1005" customFormat="false" ht="17.15" hidden="false" customHeight="false" outlineLevel="0" collapsed="false">
      <c r="A1005" s="1" t="s">
        <v>962</v>
      </c>
      <c r="B1005" s="0" t="s">
        <v>459</v>
      </c>
      <c r="C1005" s="30" t="n">
        <f aca="false">Sens!C1003</f>
        <v>816.666666666667</v>
      </c>
      <c r="D1005" s="30" t="n">
        <f aca="false">Sens!D1003-Sens!C1003</f>
        <v>1233.33333333333</v>
      </c>
      <c r="E1005" s="30" t="n">
        <f aca="false">Sens!E1003-Sens!D1003</f>
        <v>2450</v>
      </c>
      <c r="F1005" s="30" t="n">
        <f aca="false">Sens!F1003-Sens!E1003</f>
        <v>4200.89183333333</v>
      </c>
      <c r="G1005" s="30" t="n">
        <f aca="false">Sens!G1003-Sens!F1003</f>
        <v>4544.22516666667</v>
      </c>
      <c r="H1005" s="30" t="n">
        <f aca="false">Sens!H1003-Sens!G1003</f>
        <v>4544.22516666667</v>
      </c>
      <c r="I1005" s="30" t="n">
        <f aca="false">Sens!I1003-Sens!H1003</f>
        <v>3219.97686611111</v>
      </c>
      <c r="J1005" s="30" t="n">
        <f aca="false">Sens!J1003-Sens!I1003</f>
        <v>1960.12810287778</v>
      </c>
      <c r="K1005" s="30" t="n">
        <f aca="false">Sens!K1003-Sens!J1003</f>
        <v>726.883414069667</v>
      </c>
    </row>
    <row r="1006" customFormat="false" ht="17.15" hidden="false" customHeight="false" outlineLevel="0" collapsed="false">
      <c r="A1006" s="1" t="s">
        <v>963</v>
      </c>
      <c r="B1006" s="0" t="s">
        <v>459</v>
      </c>
      <c r="D1006" s="30" t="n">
        <f aca="false">Sens!D1000-Sens!C1000</f>
        <v>990</v>
      </c>
      <c r="E1006" s="30" t="n">
        <f aca="false">Sens!E1000-Sens!D1000</f>
        <v>1620</v>
      </c>
      <c r="F1006" s="30" t="n">
        <f aca="false">Sens!F1000-Sens!E1000</f>
        <v>2726.5351</v>
      </c>
      <c r="G1006" s="30" t="n">
        <f aca="false">Sens!G1000-Sens!F1000</f>
        <v>2726.5351</v>
      </c>
      <c r="H1006" s="30" t="n">
        <f aca="false">Sens!H1000-Sens!G1000</f>
        <v>2726.5351</v>
      </c>
      <c r="I1006" s="30" t="n">
        <f aca="false">Sens!I1000-Sens!H1000</f>
        <v>1931.98611966667</v>
      </c>
      <c r="J1006" s="30" t="n">
        <f aca="false">Sens!J1000-Sens!I1000</f>
        <v>1176.07686172667</v>
      </c>
      <c r="K1006" s="30" t="n">
        <f aca="false">Sens!K1000-Sens!J1000</f>
        <v>436.130048441799</v>
      </c>
    </row>
    <row r="1007" customFormat="false" ht="17.15" hidden="false" customHeight="false" outlineLevel="0" collapsed="false">
      <c r="A1007" s="1" t="s">
        <v>964</v>
      </c>
      <c r="B1007" s="0" t="s">
        <v>459</v>
      </c>
      <c r="F1007" s="30" t="n">
        <f aca="false">Sens!F1026*ext_sh</f>
        <v>0</v>
      </c>
      <c r="G1007" s="30" t="n">
        <f aca="false">Sens!G1026*ext_sh</f>
        <v>0</v>
      </c>
      <c r="H1007" s="30" t="n">
        <f aca="false">Sens!H1026*ext_sh</f>
        <v>0</v>
      </c>
      <c r="I1007" s="30" t="n">
        <f aca="false">Sens!I1026*ext_sh</f>
        <v>490</v>
      </c>
      <c r="J1007" s="30" t="n">
        <f aca="false">Sens!J1026*ext_sh</f>
        <v>740</v>
      </c>
      <c r="K1007" s="30" t="n">
        <f aca="false">Sens!K1026*ext_sh</f>
        <v>1470</v>
      </c>
      <c r="L1007" s="1" t="s">
        <v>965</v>
      </c>
    </row>
    <row r="1008" customFormat="false" ht="17.15" hidden="false" customHeight="false" outlineLevel="0" collapsed="false">
      <c r="A1008" s="1" t="s">
        <v>966</v>
      </c>
      <c r="B1008" s="0" t="s">
        <v>459</v>
      </c>
      <c r="C1008" s="30" t="n">
        <f aca="false">mix_h*Sens!C1000</f>
        <v>128</v>
      </c>
      <c r="D1008" s="30" t="n">
        <f aca="false">mix_h*Sens!D1000</f>
        <v>326</v>
      </c>
      <c r="E1008" s="30" t="n">
        <f aca="false">mix_h*Sens!E1000</f>
        <v>650</v>
      </c>
      <c r="F1008" s="30" t="n">
        <f aca="false">Sens!E1008-Sens!F1007*mix_h</f>
        <v>650</v>
      </c>
      <c r="G1008" s="30" t="n">
        <f aca="false">Sens!F1008-Sens!G1007*mix_h</f>
        <v>650</v>
      </c>
      <c r="H1008" s="30" t="n">
        <f aca="false">Sens!G1008-Sens!H1007*mix_h</f>
        <v>650</v>
      </c>
      <c r="I1008" s="30" t="n">
        <f aca="false">Sens!H1008-Sens!I1007*mix_h</f>
        <v>552</v>
      </c>
      <c r="J1008" s="30" t="n">
        <f aca="false">Sens!I1008-Sens!J1007*mix_h</f>
        <v>404</v>
      </c>
      <c r="K1008" s="30" t="n">
        <f aca="false">Sens!J1008-Sens!K1007*mix_h</f>
        <v>110</v>
      </c>
    </row>
    <row r="1009" customFormat="false" ht="17.15" hidden="false" customHeight="false" outlineLevel="0" collapsed="false">
      <c r="A1009" s="1" t="s">
        <v>967</v>
      </c>
      <c r="B1009" s="0" t="s">
        <v>459</v>
      </c>
      <c r="C1009" s="30" t="n">
        <f aca="false">mix_g2*Sens!C1000</f>
        <v>288</v>
      </c>
      <c r="D1009" s="30" t="n">
        <f aca="false">mix_g2*Sens!D1000</f>
        <v>733.5</v>
      </c>
      <c r="E1009" s="30" t="n">
        <f aca="false">mix_g2*Sens!E1000</f>
        <v>1462.5</v>
      </c>
      <c r="F1009" s="30" t="n">
        <f aca="false">Sens!E1009-Sens!F1007*mix_g2</f>
        <v>1462.5</v>
      </c>
      <c r="G1009" s="30" t="n">
        <f aca="false">Sens!F1009-Sens!G1007*mix_g2</f>
        <v>1462.5</v>
      </c>
      <c r="H1009" s="30" t="n">
        <f aca="false">Sens!G1009-Sens!H1007*mix_g2</f>
        <v>1462.5</v>
      </c>
      <c r="I1009" s="30" t="n">
        <f aca="false">Sens!H1009-Sens!I1007*mix_g2</f>
        <v>1242</v>
      </c>
      <c r="J1009" s="30" t="n">
        <f aca="false">Sens!I1009-Sens!J1007*mix_g2</f>
        <v>909</v>
      </c>
      <c r="K1009" s="30" t="n">
        <f aca="false">Sens!J1009-Sens!K1007*mix_g2</f>
        <v>247.5</v>
      </c>
    </row>
    <row r="1010" customFormat="false" ht="17.15" hidden="false" customHeight="false" outlineLevel="0" collapsed="false">
      <c r="A1010" s="1" t="s">
        <v>968</v>
      </c>
      <c r="B1010" s="0" t="s">
        <v>459</v>
      </c>
      <c r="C1010" s="30" t="n">
        <f aca="false">mix_g3*Sens!C1000</f>
        <v>224</v>
      </c>
      <c r="D1010" s="30" t="n">
        <f aca="false">mix_g3*Sens!D1000</f>
        <v>570.5</v>
      </c>
      <c r="E1010" s="30" t="n">
        <f aca="false">mix_g3*Sens!E1000</f>
        <v>1137.5</v>
      </c>
      <c r="F1010" s="30" t="n">
        <f aca="false">Sens!E1010+(Sens!F1006+Sens!F1007)*(a_g3_27-nonnv*a_mai)-Sens!F1007*mix_g3</f>
        <v>2773.42106</v>
      </c>
      <c r="G1010" s="30" t="n">
        <f aca="false">Sens!F1010+(Sens!G1006+Sens!G1007)*(a_g3_28-nonnv*a_mai)-Sens!G1007*mix_g3</f>
        <v>3318.72808</v>
      </c>
      <c r="H1010" s="30" t="n">
        <f aca="false">Sens!G1010+(Sens!H1006+Sens!H1007)*(a_g3_29-nonnv*a_mai)-Sens!H1007*mix_g3</f>
        <v>3318.72808</v>
      </c>
      <c r="I1010" s="30" t="n">
        <f aca="false">Sens!H1010+(Sens!I1006+Sens!I1007)*(a_g3_29-nonnv*a_mai)-Sens!I1007*mix_g3</f>
        <v>3147.22808</v>
      </c>
      <c r="J1010" s="30" t="n">
        <f aca="false">Sens!I1010+(Sens!J1006+Sens!J1007)*(a_g3_29-nonnv*a_mai)-Sens!J1007*mix_g3</f>
        <v>2888.22808</v>
      </c>
      <c r="K1010" s="30" t="n">
        <f aca="false">Sens!J1010+(Sens!K1006+Sens!K1007)*(a_g3_29-nonnv*a_mai)-Sens!K1007*mix_g3</f>
        <v>2373.72808</v>
      </c>
    </row>
    <row r="1011" customFormat="false" ht="17.15" hidden="false" customHeight="false" outlineLevel="0" collapsed="false">
      <c r="A1011" s="1" t="s">
        <v>969</v>
      </c>
      <c r="B1011" s="0" t="s">
        <v>459</v>
      </c>
      <c r="C1011" s="30" t="n">
        <v>0</v>
      </c>
      <c r="D1011" s="30" t="n">
        <v>0</v>
      </c>
      <c r="E1011" s="30" t="n">
        <v>0</v>
      </c>
      <c r="F1011" s="30" t="n">
        <f aca="false">Sens!E1011+(Sens!F1006+Sens!F1007)*nonnv*a_mai</f>
        <v>272.65351</v>
      </c>
      <c r="G1011" s="30" t="n">
        <f aca="false">Sens!F1011+(Sens!G1006+Sens!G1007)*nonnv*a_mai</f>
        <v>545.30702</v>
      </c>
      <c r="H1011" s="30" t="n">
        <f aca="false">Sens!G1011+(Sens!H1006+Sens!H1007)*nonnv*a_mai</f>
        <v>817.96053</v>
      </c>
      <c r="I1011" s="30" t="n">
        <f aca="false">Sens!H1011+(Sens!I1006+Sens!I1007)*nonnv*a_mai</f>
        <v>1060.15914196667</v>
      </c>
      <c r="J1011" s="30" t="n">
        <f aca="false">Sens!I1011+(Sens!J1006+Sens!J1007)*nonnv*a_mai</f>
        <v>1251.76682813933</v>
      </c>
      <c r="K1011" s="30" t="n">
        <f aca="false">Sens!J1011+(Sens!K1006+Sens!K1007)*nonnv*a_mai</f>
        <v>1442.37983298351</v>
      </c>
      <c r="L1011" s="12" t="s">
        <v>970</v>
      </c>
    </row>
    <row r="1012" customFormat="false" ht="17.15" hidden="false" customHeight="false" outlineLevel="0" collapsed="false">
      <c r="A1012" s="1" t="s">
        <v>971</v>
      </c>
      <c r="B1012" s="0" t="s">
        <v>459</v>
      </c>
      <c r="C1012" s="30" t="n">
        <v>0</v>
      </c>
      <c r="D1012" s="30" t="n">
        <v>0</v>
      </c>
      <c r="E1012" s="30" t="n">
        <v>0</v>
      </c>
      <c r="F1012" s="30" t="n">
        <f aca="false">Sens!E1012+(Sens!F1006+Sens!F1007)*(1-a_g3_27)</f>
        <v>817.96053</v>
      </c>
      <c r="G1012" s="30" t="n">
        <f aca="false">Sens!F1012+(Sens!G1006+Sens!G1007)*(1-a_g3_28)</f>
        <v>2726.5351</v>
      </c>
      <c r="H1012" s="30" t="n">
        <f aca="false">Sens!G1012+(Sens!H1006+Sens!H1007)*(1-a_g3_29)</f>
        <v>5180.41669</v>
      </c>
      <c r="I1012" s="30" t="n">
        <f aca="false">Sens!H1012+(Sens!I1006+Sens!I1007)*(1-a_g3_29)</f>
        <v>7360.2041977</v>
      </c>
      <c r="J1012" s="30" t="n">
        <f aca="false">Sens!I1012+(Sens!J1006+Sens!J1007)*(1-a_g3_29)</f>
        <v>9084.673373254</v>
      </c>
      <c r="K1012" s="30" t="n">
        <f aca="false">Sens!J1012+(Sens!K1006+Sens!K1007)*(1-a_g3_29)</f>
        <v>10800.1904168516</v>
      </c>
    </row>
    <row r="1013" customFormat="false" ht="17.15" hidden="false" customHeight="false" outlineLevel="0" collapsed="false">
      <c r="A1013" s="1" t="s">
        <v>972</v>
      </c>
      <c r="B1013" s="0" t="s">
        <v>403</v>
      </c>
      <c r="C1013" s="15" t="n">
        <f aca="false">(Sens!C1008*tk_hold_h100+Sens!C1009*tk_hold_gb200+Sens!C1010*tk_hold_gb300+Sens!C1012*tk_hold_vr200+Sens!C1011*nv_hold_mai*tk_hold_vr200)/Sens!C1000</f>
        <v>9.7235358126469</v>
      </c>
      <c r="D1013" s="15" t="n">
        <f aca="false">(Sens!D1008*tk_hold_h100+Sens!D1009*tk_hold_gb200+Sens!D1010*tk_hold_gb300+Sens!D1012*tk_hold_vr200+Sens!D1011*nv_hold_mai*tk_hold_vr200)/Sens!D1000</f>
        <v>9.7235358126469</v>
      </c>
      <c r="E1013" s="15" t="n">
        <f aca="false">(Sens!E1008*tk_hold_h100+Sens!E1009*tk_hold_gb200+Sens!E1010*tk_hold_gb300+Sens!E1012*tk_hold_vr200+Sens!E1011*nv_hold_mai*tk_hold_vr200)/Sens!E1000</f>
        <v>9.7235358126469</v>
      </c>
      <c r="F1013" s="15" t="n">
        <f aca="false">(Sens!F1008*tk_hold_h100+Sens!F1009*tk_hold_gb200+Sens!F1010*tk_hold_gb300+Sens!F1012*tk_hold_vr200+Sens!F1011*nv_hold_mai*tk_hold_vr200)/Sens!F1000</f>
        <v>10.2195353876665</v>
      </c>
      <c r="G1013" s="15" t="n">
        <f aca="false">(Sens!G1008*tk_hold_h100+Sens!G1009*tk_hold_gb200+Sens!G1010*tk_hold_gb300+Sens!G1012*tk_hold_vr200+Sens!G1011*nv_hold_mai*tk_hold_vr200)/Sens!G1000</f>
        <v>10.5725598017306</v>
      </c>
      <c r="H1013" s="15" t="n">
        <f aca="false">(Sens!H1008*tk_hold_h100+Sens!H1009*tk_hold_gb200+Sens!H1010*tk_hold_gb300+Sens!H1012*tk_hold_vr200+Sens!H1011*nv_hold_mai*tk_hold_vr200)/Sens!H1000</f>
        <v>10.8210427149036</v>
      </c>
      <c r="I1013" s="15" t="n">
        <f aca="false">(Sens!I1008*tk_hold_h100+Sens!I1009*tk_hold_gb200+Sens!I1010*tk_hold_gb300+Sens!I1012*tk_hold_vr200+Sens!I1011*nv_hold_mai*tk_hold_vr200)/Sens!I1000</f>
        <v>11.0050618241982</v>
      </c>
      <c r="J1013" s="15" t="n">
        <f aca="false">(Sens!J1008*tk_hold_h100+Sens!J1009*tk_hold_gb200+Sens!J1010*tk_hold_gb300+Sens!J1012*tk_hold_vr200+Sens!J1011*nv_hold_mai*tk_hold_vr200)/Sens!J1000</f>
        <v>11.1505789658881</v>
      </c>
      <c r="K1013" s="15" t="n">
        <f aca="false">(Sens!K1008*tk_hold_h100+Sens!K1009*tk_hold_gb200+Sens!K1010*tk_hold_gb300+Sens!K1012*tk_hold_vr200+Sens!K1011*nv_hold_mai*tk_hold_vr200)/Sens!K1000</f>
        <v>11.3496914757183</v>
      </c>
      <c r="L1013" s="1" t="s">
        <v>973</v>
      </c>
    </row>
    <row r="1014" customFormat="false" ht="17.15" hidden="false" customHeight="false" outlineLevel="0" collapsed="false">
      <c r="A1014" s="1" t="s">
        <v>974</v>
      </c>
      <c r="B1014" s="0" t="s">
        <v>403</v>
      </c>
      <c r="C1014" s="15" t="n">
        <f aca="false">(Sens!C1008*tk_hold_h100+Sens!C1009*tk_hold_gb200+Sens!C1010*tk_hold_gb300+Sens!C1012*tk_hold_vr200+Sens!C1011*nv_out_mai*tk_hold_vr200)/Sens!C1000</f>
        <v>9.7235358126469</v>
      </c>
      <c r="D1014" s="15" t="n">
        <f aca="false">(Sens!D1008*tk_hold_h100+Sens!D1009*tk_hold_gb200+Sens!D1010*tk_hold_gb300+Sens!D1012*tk_hold_vr200+Sens!D1011*nv_out_mai*tk_hold_vr200)/Sens!D1000</f>
        <v>9.7235358126469</v>
      </c>
      <c r="E1014" s="15" t="n">
        <f aca="false">(Sens!E1008*tk_hold_h100+Sens!E1009*tk_hold_gb200+Sens!E1010*tk_hold_gb300+Sens!E1012*tk_hold_vr200+Sens!E1011*nv_out_mai*tk_hold_vr200)/Sens!E1000</f>
        <v>9.7235358126469</v>
      </c>
      <c r="F1014" s="15" t="n">
        <f aca="false">(Sens!F1008*tk_hold_h100+Sens!F1009*tk_hold_gb200+Sens!F1010*tk_hold_gb300+Sens!F1012*tk_hold_vr200+Sens!F1011*nv_out_mai*tk_hold_vr200)/Sens!F1000</f>
        <v>10.247422093969</v>
      </c>
      <c r="G1014" s="15" t="n">
        <f aca="false">(Sens!G1008*tk_hold_h100+Sens!G1009*tk_hold_gb200+Sens!G1010*tk_hold_gb300+Sens!G1012*tk_hold_vr200+Sens!G1011*nv_out_mai*tk_hold_vr200)/Sens!G1000</f>
        <v>10.6108602808053</v>
      </c>
      <c r="H1014" s="15" t="n">
        <f aca="false">(Sens!H1008*tk_hold_h100+Sens!H1009*tk_hold_gb200+Sens!H1010*tk_hold_gb300+Sens!H1012*tk_hold_vr200+Sens!H1011*nv_out_mai*tk_hold_vr200)/Sens!H1000</f>
        <v>10.8647885507393</v>
      </c>
      <c r="I1014" s="15" t="n">
        <f aca="false">(Sens!I1008*tk_hold_h100+Sens!I1009*tk_hold_gb200+Sens!I1010*tk_hold_gb300+Sens!I1012*tk_hold_vr200+Sens!I1011*nv_out_mai*tk_hold_vr200)/Sens!I1000</f>
        <v>11.0535625770025</v>
      </c>
      <c r="J1014" s="15" t="n">
        <f aca="false">(Sens!J1008*tk_hold_h100+Sens!J1009*tk_hold_gb200+Sens!J1010*tk_hold_gb300+Sens!J1012*tk_hold_vr200+Sens!J1011*nv_out_mai*tk_hold_vr200)/Sens!J1000</f>
        <v>11.2032127128058</v>
      </c>
      <c r="K1014" s="15" t="n">
        <f aca="false">(Sens!K1008*tk_hold_h100+Sens!K1009*tk_hold_gb200+Sens!K1010*tk_hold_gb300+Sens!K1012*tk_hold_vr200+Sens!K1011*nv_out_mai*tk_hold_vr200)/Sens!K1000</f>
        <v>11.4085735724225</v>
      </c>
      <c r="L1014" s="12" t="s">
        <v>975</v>
      </c>
    </row>
    <row r="1015" customFormat="false" ht="17.15" hidden="false" customHeight="false" outlineLevel="0" collapsed="false">
      <c r="A1015" s="0" t="s">
        <v>976</v>
      </c>
      <c r="B1015" s="0" t="s">
        <v>229</v>
      </c>
      <c r="C1015" s="15" t="n">
        <f aca="false">k_B</f>
        <v>1.17213932619116</v>
      </c>
      <c r="D1015" s="15" t="n">
        <f aca="false">k_B</f>
        <v>1.17213932619116</v>
      </c>
      <c r="E1015" s="15" t="n">
        <f aca="false">k_B</f>
        <v>1.17213932619116</v>
      </c>
      <c r="F1015" s="15" t="n">
        <f aca="false">(k_B+((ls_B*k_long+(1-ls_B)*k_spot)-k_B)*MIN(1,(Sens!F998-base_fy)/k_ramp))*0.85</f>
        <v>0.996318427262482</v>
      </c>
      <c r="G1015" s="15" t="n">
        <f aca="false">(k_B+((ls_B*k_long+(1-ls_B)*k_spot)-k_B)*MIN(1,(Sens!G998-base_fy)/k_ramp))*0.85</f>
        <v>0.996318427262482</v>
      </c>
      <c r="H1015" s="15" t="n">
        <f aca="false">(k_B+((ls_B*k_long+(1-ls_B)*k_spot)-k_B)*MIN(1,(Sens!H998-base_fy)/k_ramp))*0.85</f>
        <v>0.996318427262482</v>
      </c>
      <c r="I1015" s="15" t="n">
        <f aca="false">(k_B+((ls_B*k_long+(1-ls_B)*k_spot)-k_B)*MIN(1,(Sens!I998-base_fy)/k_ramp))*0.85</f>
        <v>0.996318427262482</v>
      </c>
      <c r="J1015" s="15" t="n">
        <f aca="false">(k_B+((ls_B*k_long+(1-ls_B)*k_spot)-k_B)*MIN(1,(Sens!J998-base_fy)/k_ramp))*0.85</f>
        <v>0.996318427262482</v>
      </c>
      <c r="K1015" s="15" t="n">
        <f aca="false">(k_B+((ls_B*k_long+(1-ls_B)*k_spot)-k_B)*MIN(1,(Sens!K998-base_fy)/k_ramp))*0.85</f>
        <v>0.996318427262482</v>
      </c>
      <c r="L1015" s="1" t="s">
        <v>977</v>
      </c>
    </row>
    <row r="1016" customFormat="false" ht="17.15" hidden="false" customHeight="false" outlineLevel="0" collapsed="false">
      <c r="A1016" s="1" t="s">
        <v>978</v>
      </c>
      <c r="B1016" s="0" t="s">
        <v>403</v>
      </c>
      <c r="C1016" s="15" t="n">
        <f aca="false">Sens!C1014*Sens!C1015*chip_f</f>
        <v>11.3973387156315</v>
      </c>
      <c r="D1016" s="15" t="n">
        <f aca="false">Sens!D1014*Sens!D1015*chip_f</f>
        <v>11.3973387156315</v>
      </c>
      <c r="E1016" s="15" t="n">
        <f aca="false">Sens!E1014*Sens!E1015*chip_f</f>
        <v>11.3973387156315</v>
      </c>
      <c r="F1016" s="15" t="n">
        <f aca="false">Sens!F1014*Sens!F1015*chip_f</f>
        <v>10.209695464158</v>
      </c>
      <c r="G1016" s="15" t="n">
        <f aca="false">Sens!G1014*Sens!G1015*chip_f</f>
        <v>10.5717956268739</v>
      </c>
      <c r="H1016" s="15" t="n">
        <f aca="false">Sens!H1014*Sens!H1015*chip_f</f>
        <v>10.824789041412</v>
      </c>
      <c r="I1016" s="15" t="n">
        <f aca="false">Sens!I1014*Sens!I1015*chip_f</f>
        <v>11.0128680823666</v>
      </c>
      <c r="J1016" s="15" t="n">
        <f aca="false">Sens!J1014*Sens!J1015*chip_f</f>
        <v>11.1619672703097</v>
      </c>
      <c r="K1016" s="15" t="n">
        <f aca="false">Sens!K1014*Sens!K1015*chip_f</f>
        <v>11.3665720789843</v>
      </c>
      <c r="L1016" s="1" t="s">
        <v>979</v>
      </c>
    </row>
    <row r="1017" customFormat="false" ht="17.15" hidden="false" customHeight="false" outlineLevel="0" collapsed="false">
      <c r="A1017" s="0" t="s">
        <v>980</v>
      </c>
      <c r="B1017" s="0" t="s">
        <v>98</v>
      </c>
      <c r="D1017" s="6" t="n">
        <f aca="false">(Sens!C1000+Sens!D1000)/2*Sens!D1016/1000</f>
        <v>12.9359794422418</v>
      </c>
      <c r="E1017" s="6" t="n">
        <f aca="false">(Sens!D1000+Sens!E1000)/2*Sens!E1016/1000</f>
        <v>27.8095064661409</v>
      </c>
      <c r="F1017" s="6" t="n">
        <f aca="false">(Sens!E1000+Sens!F1000)/2*Sens!F1016/1000</f>
        <v>47.1000567801821</v>
      </c>
      <c r="G1017" s="6" t="n">
        <f aca="false">(Sens!F1000+Sens!G1000)/2*Sens!G1016/1000</f>
        <v>77.5948935573871</v>
      </c>
      <c r="H1017" s="6" t="n">
        <f aca="false">(Sens!G1000+Sens!H1000)/2*Sens!H1016/1000</f>
        <v>108.965982563352</v>
      </c>
      <c r="I1017" s="6" t="n">
        <f aca="false">(Sens!H1000+Sens!I1000)/2*Sens!I1016/1000</f>
        <v>136.511089538844</v>
      </c>
      <c r="J1017" s="6" t="n">
        <f aca="false">(Sens!I1000+Sens!J1000)/2*Sens!J1016/1000</f>
        <v>155.705311824551</v>
      </c>
      <c r="K1017" s="6" t="n">
        <f aca="false">(Sens!J1000+Sens!K1000)/2*Sens!K1016/1000</f>
        <v>167.722106196533</v>
      </c>
      <c r="L1017" s="12" t="s">
        <v>981</v>
      </c>
    </row>
    <row r="1018" customFormat="false" ht="17.15" hidden="false" customHeight="false" outlineLevel="0" collapsed="false">
      <c r="A1018" s="1" t="s">
        <v>982</v>
      </c>
      <c r="B1018" s="0" t="s">
        <v>403</v>
      </c>
      <c r="C1018" s="15" t="n">
        <f aca="false">(Sens!C1008*tk_opex_h100+Sens!C1009*tk_opex_gb200+Sens!C1010*tk_opex_gb300+(Sens!C1012+Sens!C1011)*tk_opex_vr200)/Sens!C1000</f>
        <v>1.88636041306092</v>
      </c>
      <c r="D1018" s="15" t="n">
        <f aca="false">(Sens!D1008*tk_opex_h100+Sens!D1009*tk_opex_gb200+Sens!D1010*tk_opex_gb300+(Sens!D1012+Sens!D1011)*tk_opex_vr200)/Sens!D1000</f>
        <v>1.88636041306092</v>
      </c>
      <c r="E1018" s="15" t="n">
        <f aca="false">(Sens!E1008*tk_opex_h100+Sens!E1009*tk_opex_gb200+Sens!E1010*tk_opex_gb300+(Sens!E1012+Sens!E1011)*tk_opex_vr200)/Sens!E1000</f>
        <v>1.88636041306092</v>
      </c>
      <c r="F1018" s="15" t="n">
        <f aca="false">(Sens!F1008*tk_opex_h100+Sens!F1009*tk_opex_gb200+Sens!F1010*tk_opex_gb300+(Sens!F1012+Sens!F1011)*tk_opex_vr200)/Sens!F1000</f>
        <v>1.95051159746876</v>
      </c>
      <c r="G1018" s="15" t="n">
        <f aca="false">(Sens!G1008*tk_opex_h100+Sens!G1009*tk_opex_gb200+Sens!G1010*tk_opex_gb300+(Sens!G1012+Sens!G1011)*tk_opex_vr200)/Sens!G1000</f>
        <v>1.98836003669956</v>
      </c>
      <c r="H1018" s="15" t="n">
        <f aca="false">(Sens!H1008*tk_opex_h100+Sens!H1009*tk_opex_gb200+Sens!H1010*tk_opex_gb300+(Sens!H1012+Sens!H1011)*tk_opex_vr200)/Sens!H1000</f>
        <v>2.01344013834343</v>
      </c>
      <c r="I1018" s="15" t="n">
        <f aca="false">(Sens!I1008*tk_opex_h100+Sens!I1009*tk_opex_gb200+Sens!I1010*tk_opex_gb300+(Sens!I1012+Sens!I1011)*tk_opex_vr200)/Sens!I1000</f>
        <v>2.03261166882178</v>
      </c>
      <c r="J1018" s="15" t="n">
        <f aca="false">(Sens!J1008*tk_opex_h100+Sens!J1009*tk_opex_gb200+Sens!J1010*tk_opex_gb300+(Sens!J1012+Sens!J1011)*tk_opex_vr200)/Sens!J1000</f>
        <v>2.04808073288745</v>
      </c>
      <c r="K1018" s="15" t="n">
        <f aca="false">(Sens!K1008*tk_opex_h100+Sens!K1009*tk_opex_gb200+Sens!K1010*tk_opex_gb300+(Sens!K1012+Sens!K1011)*tk_opex_vr200)/Sens!K1000</f>
        <v>2.06973825807449</v>
      </c>
      <c r="L1018" s="12" t="s">
        <v>983</v>
      </c>
    </row>
    <row r="1019" customFormat="false" ht="17.15" hidden="false" customHeight="false" outlineLevel="0" collapsed="false">
      <c r="A1019" s="0" t="s">
        <v>984</v>
      </c>
      <c r="B1019" s="0" t="s">
        <v>98</v>
      </c>
      <c r="D1019" s="6" t="n">
        <f aca="false">(Sens!C1003+Sens!D1003)/2*Sens!D1018/1000</f>
        <v>2.70378325872065</v>
      </c>
      <c r="E1019" s="6" t="n">
        <f aca="false">(Sens!D1003+Sens!E1003)/2*Sens!E1018/1000</f>
        <v>6.17783035277451</v>
      </c>
      <c r="F1019" s="6" t="n">
        <f aca="false">(Sens!E1003+Sens!F1003)/2*Sens!F1018/1000</f>
        <v>12.8742463089237</v>
      </c>
      <c r="G1019" s="6" t="n">
        <f aca="false">(Sens!F1003+Sens!G1003)/2*Sens!G1018/1000</f>
        <v>21.8182834646277</v>
      </c>
      <c r="H1019" s="6" t="n">
        <f aca="false">(Sens!G1003+Sens!H1003)/2*Sens!H1018/1000</f>
        <v>31.2430128789734</v>
      </c>
      <c r="I1019" s="6" t="n">
        <f aca="false">(Sens!H1003+Sens!I1003)/2*Sens!I1018/1000</f>
        <v>39.4313057443268</v>
      </c>
      <c r="J1019" s="6" t="n">
        <f aca="false">(Sens!I1003+Sens!J1003)/2*Sens!J1018/1000</f>
        <v>45.0360318228653</v>
      </c>
      <c r="K1019" s="6" t="n">
        <f aca="false">(Sens!J1003+Sens!K1003)/2*Sens!K1018/1000</f>
        <v>48.2929727091156</v>
      </c>
    </row>
    <row r="1020" customFormat="false" ht="17.15" hidden="false" customHeight="false" outlineLevel="0" collapsed="false">
      <c r="A1020" s="0" t="s">
        <v>985</v>
      </c>
      <c r="B1020" s="0" t="s">
        <v>98</v>
      </c>
      <c r="D1020" s="6" t="n">
        <f aca="false">(Sens!C1001+Sens!D1001)/2*rent_mw/1000</f>
        <v>2.44475</v>
      </c>
      <c r="E1020" s="6" t="n">
        <f aca="false">(Sens!D1001+Sens!E1001)/2*rent_mw/1000</f>
        <v>4.22275</v>
      </c>
      <c r="F1020" s="6" t="n">
        <f aca="false">(Sens!E1001+Sens!F1001)/2*rent_mw/1000</f>
        <v>5.80517</v>
      </c>
      <c r="G1020" s="6" t="n">
        <f aca="false">(Sens!F1001+Sens!G1001)/2*rent_mw/1000</f>
        <v>6.72084</v>
      </c>
      <c r="H1020" s="6" t="n">
        <f aca="false">(Sens!G1001+Sens!H1001)/2*rent_mw/1000</f>
        <v>6.72084</v>
      </c>
      <c r="I1020" s="6" t="n">
        <f aca="false">(Sens!H1001+Sens!I1001)/2*rent_mw/1000</f>
        <v>6.72084</v>
      </c>
      <c r="J1020" s="6" t="n">
        <f aca="false">(Sens!I1001+Sens!J1001)/2*rent_mw/1000</f>
        <v>6.72084</v>
      </c>
      <c r="K1020" s="6" t="n">
        <f aca="false">(Sens!J1001+Sens!K1001)/2*rent_mw/1000</f>
        <v>6.72084</v>
      </c>
    </row>
    <row r="1021" customFormat="false" ht="17.15" hidden="false" customHeight="false" outlineLevel="0" collapsed="false">
      <c r="A1021" s="0" t="s">
        <v>986</v>
      </c>
      <c r="B1021" s="0" t="s">
        <v>98</v>
      </c>
      <c r="D1021" s="6" t="n">
        <f aca="false">(Sens!C1003+Sens!D1003)/2*(1-self_build)*fac_rent/1000</f>
        <v>0.853242375631075</v>
      </c>
      <c r="E1021" s="6" t="n">
        <f aca="false">(Sens!D1003+Sens!E1003)/2*(1-self_build)*fac_rent/1000</f>
        <v>1.94955961408728</v>
      </c>
      <c r="F1021" s="6" t="n">
        <f aca="false">(Sens!E1003+Sens!F1003)/2*(1-self_build)*fac_rent/1000</f>
        <v>3.92914894476356</v>
      </c>
      <c r="G1021" s="6" t="n">
        <f aca="false">(Sens!F1003+Sens!G1003)/2*(1-self_build)*fac_rent/1000</f>
        <v>6.53206908578159</v>
      </c>
      <c r="H1021" s="6" t="n">
        <f aca="false">(Sens!G1003+Sens!H1003)/2*(1-self_build)*fac_rent/1000</f>
        <v>9.23717988341591</v>
      </c>
      <c r="I1021" s="6" t="n">
        <f aca="false">(Sens!H1003+Sens!I1003)/2*(1-self_build)*fac_rent/1000</f>
        <v>11.5481378557393</v>
      </c>
      <c r="J1021" s="6" t="n">
        <f aca="false">(Sens!I1003+Sens!J1003)/2*(1-self_build)*fac_rent/1000</f>
        <v>13.0899582289108</v>
      </c>
      <c r="K1021" s="6" t="n">
        <f aca="false">(Sens!J1003+Sens!K1003)/2*(1-self_build)*fac_rent/1000</f>
        <v>13.8897275626556</v>
      </c>
      <c r="L1021" s="12" t="s">
        <v>987</v>
      </c>
    </row>
    <row r="1022" customFormat="false" ht="17.15" hidden="false" customHeight="false" outlineLevel="0" collapsed="false">
      <c r="A1022" s="1" t="s">
        <v>988</v>
      </c>
      <c r="B1022" s="0" t="s">
        <v>168</v>
      </c>
      <c r="D1022" s="7" t="n">
        <f aca="false">(Sens!C1002+Sens!D1002)/(Sens!C1003+Sens!D1003)</f>
        <v>0.6</v>
      </c>
      <c r="E1022" s="7" t="n">
        <f aca="false">(Sens!D1002+Sens!E1002)/(Sens!D1003+Sens!E1003)</f>
        <v>0.6</v>
      </c>
      <c r="F1022" s="7" t="n">
        <f aca="false">(Sens!E1002+Sens!F1002)/(Sens!E1003+Sens!F1003)</f>
        <v>0.6</v>
      </c>
      <c r="G1022" s="7" t="n">
        <f aca="false">(Sens!F1002+Sens!G1002)/(Sens!F1003+Sens!G1003)</f>
        <v>0.6</v>
      </c>
      <c r="H1022" s="7" t="n">
        <f aca="false">(Sens!G1002+Sens!H1002)/(Sens!G1003+Sens!H1003)</f>
        <v>0.6</v>
      </c>
      <c r="I1022" s="7" t="n">
        <f aca="false">(Sens!H1002+Sens!I1002)/(Sens!H1003+Sens!I1003)</f>
        <v>0.6</v>
      </c>
      <c r="J1022" s="7" t="n">
        <f aca="false">(Sens!I1002+Sens!J1002)/(Sens!I1003+Sens!J1003)</f>
        <v>0.6</v>
      </c>
      <c r="K1022" s="7" t="n">
        <f aca="false">(Sens!J1002+Sens!K1002)/(Sens!J1003+Sens!K1003)</f>
        <v>0.6</v>
      </c>
    </row>
    <row r="1023" customFormat="false" ht="17.15" hidden="false" customHeight="false" outlineLevel="0" collapsed="false">
      <c r="A1023" s="0" t="s">
        <v>989</v>
      </c>
      <c r="B1023" s="0" t="s">
        <v>98</v>
      </c>
      <c r="D1023" s="6" t="n">
        <f aca="false">Sens!D1017-Sens!D1022*(Sens!D1019+Sens!D1021)-Sens!D1020</f>
        <v>8.35701406163072</v>
      </c>
      <c r="E1023" s="6" t="n">
        <f aca="false">Sens!E1017-Sens!E1022*(Sens!E1019+Sens!E1021)-Sens!E1020</f>
        <v>18.7103224860238</v>
      </c>
      <c r="F1023" s="6" t="n">
        <f aca="false">Sens!F1017-Sens!F1022*(Sens!F1019+Sens!F1021)-Sens!F1020</f>
        <v>31.2128496279698</v>
      </c>
      <c r="G1023" s="6" t="n">
        <f aca="false">Sens!G1017-Sens!G1022*(Sens!G1019+Sens!G1021)-Sens!G1020</f>
        <v>53.8638420271416</v>
      </c>
      <c r="H1023" s="6" t="n">
        <f aca="false">Sens!H1017-Sens!H1022*(Sens!H1019+Sens!H1021)-Sens!H1020</f>
        <v>77.9570269059186</v>
      </c>
      <c r="I1023" s="6" t="n">
        <f aca="false">Sens!I1017-Sens!I1022*(Sens!I1019+Sens!I1021)-Sens!I1020</f>
        <v>99.2025833788044</v>
      </c>
      <c r="J1023" s="6" t="n">
        <f aca="false">Sens!J1017-Sens!J1022*(Sens!J1019+Sens!J1021)-Sens!J1020</f>
        <v>114.108877793485</v>
      </c>
      <c r="K1023" s="6" t="n">
        <f aca="false">Sens!K1017-Sens!K1022*(Sens!K1019+Sens!K1021)-Sens!K1020</f>
        <v>123.691646033471</v>
      </c>
    </row>
    <row r="1024" customFormat="false" ht="17.15" hidden="false" customHeight="false" outlineLevel="0" collapsed="false">
      <c r="A1024" s="1" t="s">
        <v>990</v>
      </c>
      <c r="B1024" s="0" t="s">
        <v>98</v>
      </c>
      <c r="D1024" s="6" t="n">
        <f aca="false">(1-Sens!D1022)*(Sens!D1019+Sens!D1021)</f>
        <v>1.42281025374069</v>
      </c>
      <c r="E1024" s="6" t="n">
        <f aca="false">(1-Sens!E1022)*(Sens!E1019+Sens!E1021)</f>
        <v>3.25095598674472</v>
      </c>
      <c r="F1024" s="6" t="n">
        <f aca="false">(1-Sens!F1022)*(Sens!F1019+Sens!F1021)</f>
        <v>6.72135810147489</v>
      </c>
      <c r="G1024" s="6" t="n">
        <f aca="false">(1-Sens!G1022)*(Sens!G1019+Sens!G1021)</f>
        <v>11.3401410201637</v>
      </c>
      <c r="H1024" s="6" t="n">
        <f aca="false">(1-Sens!H1022)*(Sens!H1019+Sens!H1021)</f>
        <v>16.1920771049557</v>
      </c>
      <c r="I1024" s="6" t="n">
        <f aca="false">(1-Sens!I1022)*(Sens!I1019+Sens!I1021)</f>
        <v>20.3917774400264</v>
      </c>
      <c r="J1024" s="6" t="n">
        <f aca="false">(1-Sens!J1022)*(Sens!J1019+Sens!J1021)</f>
        <v>23.2503960207104</v>
      </c>
      <c r="K1024" s="6" t="n">
        <f aca="false">(1-Sens!K1022)*(Sens!K1019+Sens!K1021)</f>
        <v>24.8730801087085</v>
      </c>
    </row>
    <row r="1025" customFormat="false" ht="17.15" hidden="false" customHeight="false" outlineLevel="0" collapsed="false">
      <c r="A1025" s="1" t="s">
        <v>991</v>
      </c>
      <c r="B1025" s="0" t="s">
        <v>417</v>
      </c>
      <c r="C1025" s="8" t="n">
        <f aca="false">cxit_open</f>
        <v>27.5918995</v>
      </c>
      <c r="D1025" s="8" t="n">
        <f aca="false">cxit_open</f>
        <v>27.5918995</v>
      </c>
      <c r="E1025" s="8" t="n">
        <f aca="false">cxit_open</f>
        <v>27.5918995</v>
      </c>
      <c r="F1025" s="8" t="n">
        <f aca="false">((a_g3_27-nonnv*a_mai)*tk_cxit_gb300+nonnv*a_mai*nv_hold_mai*tk_cxit_vr200+(1-a_g3_27)*tk_cxit_vr200)</f>
        <v>32.4975576</v>
      </c>
      <c r="G1025" s="8" t="n">
        <f aca="false">((a_g3_28-nonnv*a_mai)*tk_cxit_gb300+nonnv*a_mai*nv_hold_mai*tk_cxit_vr200+(1-a_g3_28)*tk_cxit_vr200)</f>
        <v>34.6372088</v>
      </c>
      <c r="H1025" s="8" t="n">
        <f aca="false">((a_g3_29-nonnv*a_mai)*tk_cxit_gb300+nonnv*a_mai*nv_hold_mai*tk_cxit_vr200+(1-a_g3_29)*tk_cxit_vr200)</f>
        <v>35.7070344</v>
      </c>
      <c r="I1025" s="8" t="n">
        <f aca="false">((a_g3_29-nonnv*a_mai)*tk_cxit_gb300+nonnv*a_mai*nv_hold_mai*tk_cxit_vr200+(1-a_g3_29)*tk_cxit_vr200)</f>
        <v>35.7070344</v>
      </c>
      <c r="J1025" s="8" t="n">
        <f aca="false">((a_g3_29-nonnv*a_mai)*tk_cxit_gb300+nonnv*a_mai*nv_hold_mai*tk_cxit_vr200+(1-a_g3_29)*tk_cxit_vr200)</f>
        <v>35.7070344</v>
      </c>
      <c r="K1025" s="8" t="n">
        <f aca="false">((a_g3_29-nonnv*a_mai)*tk_cxit_gb300+nonnv*a_mai*nv_hold_mai*tk_cxit_vr200+(1-a_g3_29)*tk_cxit_vr200)</f>
        <v>35.7070344</v>
      </c>
      <c r="L1025" s="12" t="s">
        <v>992</v>
      </c>
    </row>
    <row r="1026" customFormat="false" ht="17.15" hidden="false" customHeight="false" outlineLevel="0" collapsed="false">
      <c r="A1026" s="0" t="s">
        <v>993</v>
      </c>
      <c r="B1026" s="0" t="s">
        <v>459</v>
      </c>
      <c r="F1026" s="30" t="n">
        <f aca="false">Sens!C1005*IF(Sens!F998-Sens!C998=life_it,1,0)+Sens!D1005*IF(Sens!F998-Sens!D998=life_it,1,0)+Sens!E1005*IF(Sens!F998-Sens!E998=life_it,1,0)</f>
        <v>0</v>
      </c>
      <c r="G1026" s="30" t="n">
        <f aca="false">Sens!C1005*IF(Sens!G998-Sens!C998=life_it,1,0)+Sens!D1005*IF(Sens!G998-Sens!D998=life_it,1,0)+Sens!E1005*IF(Sens!G998-Sens!E998=life_it,1,0)+Sens!F1005*IF(Sens!G998-Sens!F998=life_it,1,0)</f>
        <v>0</v>
      </c>
      <c r="H1026" s="30" t="n">
        <f aca="false">Sens!C1005*IF(Sens!H998-Sens!C998=life_it,1,0)+Sens!D1005*IF(Sens!H998-Sens!D998=life_it,1,0)+Sens!E1005*IF(Sens!H998-Sens!E998=life_it,1,0)+Sens!F1005*IF(Sens!H998-Sens!F998=life_it,1,0)+Sens!G1005*IF(Sens!H998-Sens!G998=life_it,1,0)</f>
        <v>0</v>
      </c>
      <c r="I1026" s="30" t="n">
        <f aca="false">Sens!C1005*IF(Sens!I998-Sens!C998=life_it,1,0)+Sens!D1005*IF(Sens!I998-Sens!D998=life_it,1,0)+Sens!E1005*IF(Sens!I998-Sens!E998=life_it,1,0)+Sens!F1005*IF(Sens!I998-Sens!F998=life_it,1,0)+Sens!G1005*IF(Sens!I998-Sens!G998=life_it,1,0)+Sens!H1005*IF(Sens!I998-Sens!H998=life_it,1,0)</f>
        <v>816.666666666667</v>
      </c>
      <c r="J1026" s="30" t="n">
        <f aca="false">Sens!C1005*IF(Sens!J998-Sens!C998=life_it,1,0)+Sens!D1005*IF(Sens!J998-Sens!D998=life_it,1,0)+Sens!E1005*IF(Sens!J998-Sens!E998=life_it,1,0)+Sens!F1005*IF(Sens!J998-Sens!F998=life_it,1,0)+Sens!G1005*IF(Sens!J998-Sens!G998=life_it,1,0)+Sens!H1005*IF(Sens!J998-Sens!H998=life_it,1,0)+Sens!I1005*IF(Sens!J998-Sens!I998=life_it,1,0)</f>
        <v>1233.33333333333</v>
      </c>
      <c r="K1026" s="30" t="n">
        <f aca="false">Sens!C1005*IF(Sens!K998-Sens!C998=life_it,1,0)+Sens!D1005*IF(Sens!K998-Sens!D998=life_it,1,0)+Sens!E1005*IF(Sens!K998-Sens!E998=life_it,1,0)+Sens!F1005*IF(Sens!K998-Sens!F998=life_it,1,0)+Sens!G1005*IF(Sens!K998-Sens!G998=life_it,1,0)+Sens!H1005*IF(Sens!K998-Sens!H998=life_it,1,0)+Sens!I1005*IF(Sens!K998-Sens!I998=life_it,1,0)+Sens!J1005*IF(Sens!K998-Sens!J998=life_it,1,0)</f>
        <v>2450</v>
      </c>
      <c r="L1026" s="1" t="s">
        <v>994</v>
      </c>
    </row>
    <row r="1027" customFormat="false" ht="17.15" hidden="false" customHeight="false" outlineLevel="0" collapsed="false">
      <c r="A1027" s="0" t="s">
        <v>995</v>
      </c>
      <c r="B1027" s="0" t="s">
        <v>98</v>
      </c>
      <c r="C1027" s="6" t="n">
        <f aca="false">Sens!C1005*Sens!C1025/1000</f>
        <v>22.5333845916667</v>
      </c>
      <c r="D1027" s="6" t="n">
        <f aca="false">Sens!D1005*Sens!D1025/1000</f>
        <v>34.0300093833333</v>
      </c>
      <c r="E1027" s="6" t="n">
        <f aca="false">Sens!E1005*Sens!E1025/1000</f>
        <v>67.600153775</v>
      </c>
      <c r="F1027" s="6" t="n">
        <f aca="false">(Sens!F1005+Sens!F1026)*Sens!F1025/1000</f>
        <v>136.51872432512</v>
      </c>
      <c r="G1027" s="6" t="n">
        <f aca="false">(Sens!G1005+Sens!G1026)*Sens!G1025/1000</f>
        <v>157.399275932048</v>
      </c>
      <c r="H1027" s="6" t="n">
        <f aca="false">(Sens!H1005+Sens!H1026)*Sens!H1025/1000</f>
        <v>162.260804347512</v>
      </c>
      <c r="I1027" s="6" t="n">
        <f aca="false">(Sens!I1005+Sens!I1026)*Sens!I1025/1000</f>
        <v>144.136569485434</v>
      </c>
      <c r="J1027" s="6" t="n">
        <f aca="false">(Sens!J1005+Sens!J1026)*Sens!J1025/1000</f>
        <v>114.029037357864</v>
      </c>
      <c r="K1027" s="6" t="n">
        <f aca="false">(Sens!K1005+Sens!K1026)*Sens!K1025/1000</f>
        <v>113.437085350975</v>
      </c>
    </row>
    <row r="1028" customFormat="false" ht="17.15" hidden="false" customHeight="false" outlineLevel="0" collapsed="false">
      <c r="A1028" s="0" t="s">
        <v>996</v>
      </c>
      <c r="B1028" s="0" t="s">
        <v>98</v>
      </c>
      <c r="C1028" s="6" t="n">
        <f aca="false">Sens!C1005*self_build*tk_cxfac/1000</f>
        <v>6.2083</v>
      </c>
      <c r="D1028" s="6" t="n">
        <f aca="false">Sens!D1005*self_build*tk_cxfac/1000</f>
        <v>9.3758</v>
      </c>
      <c r="E1028" s="6" t="n">
        <f aca="false">Sens!E1005*self_build*tk_cxfac/1000</f>
        <v>18.6249</v>
      </c>
      <c r="F1028" s="6" t="n">
        <f aca="false">Sens!F1005*self_build*tk_cxfac/1000</f>
        <v>31.935179717</v>
      </c>
      <c r="G1028" s="6" t="n">
        <f aca="false">Sens!G1005*self_build*tk_cxfac/1000</f>
        <v>34.545199717</v>
      </c>
      <c r="H1028" s="6" t="n">
        <f aca="false">Sens!H1005*self_build*tk_cxfac/1000</f>
        <v>34.545199717</v>
      </c>
      <c r="I1028" s="6" t="n">
        <f aca="false">Sens!I1005*self_build*tk_cxfac/1000</f>
        <v>24.4782641361767</v>
      </c>
      <c r="J1028" s="6" t="n">
        <f aca="false">Sens!J1005*self_build*tk_cxfac/1000</f>
        <v>14.9008938380769</v>
      </c>
      <c r="K1028" s="6" t="n">
        <f aca="false">Sens!K1005*self_build*tk_cxfac/1000</f>
        <v>5.52576771375761</v>
      </c>
    </row>
    <row r="1029" customFormat="false" ht="17.15" hidden="false" customHeight="false" outlineLevel="0" collapsed="false">
      <c r="A1029" s="0" t="s">
        <v>997</v>
      </c>
      <c r="B1029" s="0" t="s">
        <v>98</v>
      </c>
      <c r="F1029" s="15" t="n">
        <f aca="false">capex_floor27-Sens!F1027-Sens!F1028-Sens!F1125</f>
        <v>-0.365007843162779</v>
      </c>
      <c r="L1029" s="12" t="s">
        <v>998</v>
      </c>
    </row>
    <row r="1030" customFormat="false" ht="17.15" hidden="false" customHeight="false" outlineLevel="0" collapsed="false">
      <c r="A1030" s="0" t="s">
        <v>999</v>
      </c>
      <c r="B1030" s="0" t="s">
        <v>98</v>
      </c>
      <c r="F1030" s="6" t="n">
        <f aca="false">MAX(0,Sens!F1029)</f>
        <v>0</v>
      </c>
    </row>
    <row r="1031" customFormat="false" ht="17.15" hidden="false" customHeight="false" outlineLevel="0" collapsed="false">
      <c r="A1031" s="0" t="s">
        <v>1000</v>
      </c>
      <c r="B1031" s="0" t="s">
        <v>98</v>
      </c>
      <c r="C1031" s="6" t="n">
        <f aca="false">Sens!C1027</f>
        <v>22.5333845916667</v>
      </c>
      <c r="D1031" s="6" t="n">
        <f aca="false">Sens!D1027</f>
        <v>34.0300093833333</v>
      </c>
      <c r="E1031" s="6" t="n">
        <f aca="false">Sens!E1027</f>
        <v>67.600153775</v>
      </c>
      <c r="F1031" s="6" t="n">
        <f aca="false">Sens!F1027</f>
        <v>136.51872432512</v>
      </c>
      <c r="G1031" s="6" t="n">
        <f aca="false">Sens!G1027</f>
        <v>157.399275932048</v>
      </c>
      <c r="H1031" s="6" t="n">
        <f aca="false">Sens!H1027</f>
        <v>162.260804347512</v>
      </c>
      <c r="I1031" s="6" t="n">
        <f aca="false">Sens!I1027</f>
        <v>144.136569485434</v>
      </c>
      <c r="J1031" s="6" t="n">
        <f aca="false">Sens!J1027</f>
        <v>114.029037357864</v>
      </c>
      <c r="K1031" s="6" t="n">
        <f aca="false">Sens!K1027</f>
        <v>113.437085350975</v>
      </c>
    </row>
    <row r="1032" customFormat="false" ht="17.15" hidden="false" customHeight="false" outlineLevel="0" collapsed="false">
      <c r="A1032" s="0" t="s">
        <v>1001</v>
      </c>
      <c r="B1032" s="0" t="s">
        <v>98</v>
      </c>
      <c r="C1032" s="6" t="n">
        <f aca="false">Sens!C1031+Sens!C1028</f>
        <v>28.7416845916667</v>
      </c>
      <c r="D1032" s="6" t="n">
        <f aca="false">Sens!D1031+Sens!D1028</f>
        <v>43.4058093833333</v>
      </c>
      <c r="E1032" s="6" t="n">
        <f aca="false">Sens!E1031+Sens!E1028</f>
        <v>86.225053775</v>
      </c>
      <c r="F1032" s="6" t="n">
        <f aca="false">Sens!F1031+Sens!F1028</f>
        <v>168.45390404212</v>
      </c>
      <c r="G1032" s="6" t="n">
        <f aca="false">Sens!G1031+Sens!G1028</f>
        <v>191.944475649048</v>
      </c>
      <c r="H1032" s="6" t="n">
        <f aca="false">Sens!H1031+Sens!H1028</f>
        <v>196.806004064512</v>
      </c>
      <c r="I1032" s="6" t="n">
        <f aca="false">Sens!I1031+Sens!I1028</f>
        <v>168.61483362161</v>
      </c>
      <c r="J1032" s="6" t="n">
        <f aca="false">Sens!J1031+Sens!J1028</f>
        <v>128.92993119594</v>
      </c>
      <c r="K1032" s="6" t="n">
        <f aca="false">Sens!K1031+Sens!K1028</f>
        <v>118.962853064733</v>
      </c>
      <c r="L1032" s="12" t="s">
        <v>1002</v>
      </c>
    </row>
    <row r="1033" customFormat="false" ht="17.15" hidden="false" customHeight="false" outlineLevel="0" collapsed="false">
      <c r="A1033" s="0" t="s">
        <v>1003</v>
      </c>
      <c r="B1033" s="0" t="s">
        <v>98</v>
      </c>
      <c r="E1033" s="6" t="n">
        <f aca="false">(Sens!C1031*IF(2&lt;life_it,1,IF(2=life_it,0.5,0))+Sens!D1031*IF(1&lt;life_it,1,IF(1=life_it,0.5,0))+Sens!E1031*0.5)/life_it</f>
        <v>15.0605784770833</v>
      </c>
      <c r="F1033" s="6" t="n">
        <f aca="false">(Sens!C1031*IF(3&lt;life_it,1,IF(3=life_it,0.5,0))+Sens!D1031*IF(2&lt;life_it,1,IF(2=life_it,0.5,0))+Sens!E1031*IF(1&lt;life_it,1,IF(1=life_it,0.5,0))+Sens!F1031*0.5)/life_it</f>
        <v>32.0704849854266</v>
      </c>
      <c r="G1033" s="6" t="n">
        <f aca="false">(Sens!C1031*IF(4&lt;life_it,1,IF(4=life_it,0.5,0))+Sens!D1031*IF(3&lt;life_it,1,IF(3=life_it,0.5,0))+Sens!E1031*IF(2&lt;life_it,1,IF(2=life_it,0.5,0))+Sens!F1031*IF(1&lt;life_it,1,IF(1=life_it,0.5,0))+Sens!G1031*0.5)/life_it</f>
        <v>56.5636516735239</v>
      </c>
      <c r="H1033" s="6" t="n">
        <f aca="false">(Sens!C1031*IF(5&lt;life_it,1,IF(5=life_it,0.5,0))+Sens!D1031*IF(4&lt;life_it,1,IF(4=life_it,0.5,0))+Sens!E1031*IF(3&lt;life_it,1,IF(3=life_it,0.5,0))+Sens!F1031*IF(2&lt;life_it,1,IF(2=life_it,0.5,0))+Sens!G1031*IF(1&lt;life_it,1,IF(1=life_it,0.5,0))+Sens!H1031*0.5)/life_it</f>
        <v>83.2019916968207</v>
      </c>
      <c r="I1033" s="6" t="n">
        <f aca="false">(Sens!C1031*IF(6&lt;life_it,1,IF(6=life_it,0.5,0))+Sens!D1031*IF(5&lt;life_it,1,IF(5=life_it,0.5,0))+Sens!E1031*IF(4&lt;life_it,1,IF(4=life_it,0.5,0))+Sens!F1031*IF(3&lt;life_it,1,IF(3=life_it,0.5,0))+Sens!G1031*IF(2&lt;life_it,1,IF(2=life_it,0.5,0))+Sens!H1031*IF(1&lt;life_it,1,IF(1=life_it,0.5,0))+Sens!I1031*0.5)/life_it</f>
        <v>106.857324133594</v>
      </c>
      <c r="J1033" s="6" t="n">
        <f aca="false">(Sens!C1031*IF(7&lt;life_it,1,IF(7=life_it,0.5,0))+Sens!D1031*IF(6&lt;life_it,1,IF(6=life_it,0.5,0))+Sens!E1031*IF(5&lt;life_it,1,IF(5=life_it,0.5,0))+Sens!F1031*IF(4&lt;life_it,1,IF(4=life_it,0.5,0))+Sens!G1031*IF(3&lt;life_it,1,IF(3=life_it,0.5,0))+Sens!H1031*IF(2&lt;life_it,1,IF(2=life_it,0.5,0))+Sens!I1031*IF(1&lt;life_it,1,IF(1=life_it,0.5,0))+Sens!J1031*0.5)/life_it</f>
        <v>123.657508539285</v>
      </c>
      <c r="K1033" s="6" t="n">
        <f aca="false">(Sens!C1031*IF(8&lt;life_it,1,IF(8=life_it,0.5,0))+Sens!D1031*IF(7&lt;life_it,1,IF(7=life_it,0.5,0))+Sens!E1031*IF(6&lt;life_it,1,IF(6=life_it,0.5,0))+Sens!F1031*IF(5&lt;life_it,1,IF(5=life_it,0.5,0))+Sens!G1031*IF(4&lt;life_it,1,IF(4=life_it,0.5,0))+Sens!H1031*IF(3&lt;life_it,1,IF(3=life_it,0.5,0))+Sens!I1031*IF(2&lt;life_it,1,IF(2=life_it,0.5,0))+Sens!J1031*IF(1&lt;life_it,1,IF(1=life_it,0.5,0))+Sens!K1031*0.5)/life_it</f>
        <v>134.143838501827</v>
      </c>
    </row>
    <row r="1034" customFormat="false" ht="17.15" hidden="false" customHeight="false" outlineLevel="0" collapsed="false">
      <c r="A1034" s="0" t="s">
        <v>1004</v>
      </c>
      <c r="B1034" s="0" t="s">
        <v>98</v>
      </c>
      <c r="E1034" s="6" t="n">
        <f aca="false">(Sens!C1028*IF(2&lt;life_fac,1,IF(2=life_fac,0.5,0))+Sens!D1028*IF(1&lt;life_fac,1,IF(1=life_fac,0.5,0))+Sens!E1028*0.5)/life_fac</f>
        <v>1.2448275</v>
      </c>
      <c r="F1034" s="6" t="n">
        <f aca="false">(Sens!C1028*IF(3&lt;life_fac,1,IF(3=life_fac,0.5,0))+Sens!D1028*IF(2&lt;life_fac,1,IF(2=life_fac,0.5,0))+Sens!E1028*IF(1&lt;life_fac,1,IF(1=life_fac,0.5,0))+Sens!F1028*0.5)/life_fac</f>
        <v>2.508829492925</v>
      </c>
      <c r="G1034" s="6" t="n">
        <f aca="false">(Sens!C1028*IF(4&lt;life_fac,1,IF(4=life_fac,0.5,0))+Sens!D1028*IF(3&lt;life_fac,1,IF(3=life_fac,0.5,0))+Sens!E1028*IF(2&lt;life_fac,1,IF(2=life_fac,0.5,0))+Sens!F1028*IF(1&lt;life_fac,1,IF(1=life_fac,0.5,0))+Sens!G1028*0.5)/life_fac</f>
        <v>4.170838978775</v>
      </c>
      <c r="H1034" s="6" t="n">
        <f aca="false">(Sens!C1028*IF(5&lt;life_fac,1,IF(5=life_fac,0.5,0))+Sens!D1028*IF(4&lt;life_fac,1,IF(4=life_fac,0.5,0))+Sens!E1028*IF(3&lt;life_fac,1,IF(3=life_fac,0.5,0))+Sens!F1028*IF(2&lt;life_fac,1,IF(2=life_fac,0.5,0))+Sens!G1028*IF(1&lt;life_fac,1,IF(1=life_fac,0.5,0))+Sens!H1028*0.5)/life_fac</f>
        <v>5.898098964625</v>
      </c>
      <c r="I1034" s="6" t="n">
        <f aca="false">(Sens!C1028*IF(6&lt;life_fac,1,IF(6=life_fac,0.5,0))+Sens!D1028*IF(5&lt;life_fac,1,IF(5=life_fac,0.5,0))+Sens!E1028*IF(4&lt;life_fac,1,IF(4=life_fac,0.5,0))+Sens!F1028*IF(3&lt;life_fac,1,IF(3=life_fac,0.5,0))+Sens!G1028*IF(2&lt;life_fac,1,IF(2=life_fac,0.5,0))+Sens!H1028*IF(1&lt;life_fac,1,IF(1=life_fac,0.5,0))+Sens!I1028*0.5)/life_fac</f>
        <v>7.37368556095442</v>
      </c>
      <c r="J1034" s="6" t="n">
        <f aca="false">(Sens!C1028*IF(7&lt;life_fac,1,IF(7=life_fac,0.5,0))+Sens!D1028*IF(6&lt;life_fac,1,IF(6=life_fac,0.5,0))+Sens!E1028*IF(5&lt;life_fac,1,IF(5=life_fac,0.5,0))+Sens!F1028*IF(4&lt;life_fac,1,IF(4=life_fac,0.5,0))+Sens!G1028*IF(3&lt;life_fac,1,IF(3=life_fac,0.5,0))+Sens!H1028*IF(2&lt;life_fac,1,IF(2=life_fac,0.5,0))+Sens!I1028*IF(1&lt;life_fac,1,IF(1=life_fac,0.5,0))+Sens!J1028*0.5)/life_fac</f>
        <v>8.35816451031075</v>
      </c>
      <c r="K1034" s="6" t="n">
        <f aca="false">(Sens!C1028*IF(8&lt;life_fac,1,IF(8=life_fac,0.5,0))+Sens!D1028*IF(7&lt;life_fac,1,IF(7=life_fac,0.5,0))+Sens!E1028*IF(6&lt;life_fac,1,IF(6=life_fac,0.5,0))+Sens!F1028*IF(5&lt;life_fac,1,IF(5=life_fac,0.5,0))+Sens!G1028*IF(4&lt;life_fac,1,IF(4=life_fac,0.5,0))+Sens!H1028*IF(3&lt;life_fac,1,IF(3=life_fac,0.5,0))+Sens!I1028*IF(2&lt;life_fac,1,IF(2=life_fac,0.5,0))+Sens!J1028*IF(1&lt;life_fac,1,IF(1=life_fac,0.5,0))+Sens!K1028*0.5)/life_fac</f>
        <v>8.86883104910662</v>
      </c>
    </row>
    <row r="1035" customFormat="false" ht="17.15" hidden="false" customHeight="false" outlineLevel="0" collapsed="false">
      <c r="A1035" s="0" t="s">
        <v>1005</v>
      </c>
      <c r="B1035" s="0" t="s">
        <v>98</v>
      </c>
      <c r="E1035" s="6" t="n">
        <f aca="false">Sens!E1033+Sens!E1034</f>
        <v>16.3054059770833</v>
      </c>
      <c r="F1035" s="6" t="n">
        <f aca="false">Sens!F1033+Sens!F1034</f>
        <v>34.5793144783516</v>
      </c>
      <c r="G1035" s="6" t="n">
        <f aca="false">Sens!G1033+Sens!G1034</f>
        <v>60.7344906522989</v>
      </c>
      <c r="H1035" s="6" t="n">
        <f aca="false">Sens!H1033+Sens!H1034</f>
        <v>89.1000906614457</v>
      </c>
      <c r="I1035" s="6" t="n">
        <f aca="false">Sens!I1033+Sens!I1034</f>
        <v>114.231009694548</v>
      </c>
      <c r="J1035" s="6" t="n">
        <f aca="false">Sens!J1033+Sens!J1034</f>
        <v>132.015673049596</v>
      </c>
      <c r="K1035" s="6" t="n">
        <f aca="false">Sens!K1033+Sens!K1034</f>
        <v>143.012669550934</v>
      </c>
    </row>
    <row r="1036" customFormat="false" ht="17.15" hidden="false" customHeight="false" outlineLevel="0" collapsed="false">
      <c r="A1036" s="0" t="s">
        <v>1006</v>
      </c>
      <c r="B1036" s="0" t="s">
        <v>98</v>
      </c>
      <c r="E1036" s="6" t="n">
        <f aca="false">Sens!E1023-Sens!E1022*Sens!E1035</f>
        <v>8.92707889977379</v>
      </c>
      <c r="F1036" s="6" t="n">
        <f aca="false">Sens!F1023-Sens!F1022*Sens!F1035</f>
        <v>10.4652609409588</v>
      </c>
      <c r="G1036" s="6" t="n">
        <f aca="false">Sens!G1023-Sens!G1022*Sens!G1035</f>
        <v>17.4231476357622</v>
      </c>
      <c r="H1036" s="6" t="n">
        <f aca="false">Sens!H1023-Sens!H1022*Sens!H1035</f>
        <v>24.4969725090512</v>
      </c>
      <c r="I1036" s="6" t="n">
        <f aca="false">Sens!I1023-Sens!I1022*Sens!I1035</f>
        <v>30.6639775620754</v>
      </c>
      <c r="J1036" s="6" t="n">
        <f aca="false">Sens!J1023-Sens!J1022*Sens!J1035</f>
        <v>34.8994739637275</v>
      </c>
      <c r="K1036" s="6" t="n">
        <f aca="false">Sens!K1023-Sens!K1022*Sens!K1035</f>
        <v>37.8840443029101</v>
      </c>
    </row>
    <row r="1037" customFormat="false" ht="17.15" hidden="false" customHeight="false" outlineLevel="0" collapsed="false">
      <c r="A1037" s="3" t="s">
        <v>1636</v>
      </c>
    </row>
    <row r="1038" customFormat="false" ht="15" hidden="false" customHeight="false" outlineLevel="0" collapsed="false">
      <c r="A1038" s="4" t="s">
        <v>43</v>
      </c>
      <c r="B1038" s="4" t="s">
        <v>65</v>
      </c>
      <c r="C1038" s="23" t="s">
        <v>942</v>
      </c>
      <c r="D1038" s="23" t="s">
        <v>943</v>
      </c>
      <c r="E1038" s="23" t="s">
        <v>944</v>
      </c>
      <c r="F1038" s="23" t="s">
        <v>945</v>
      </c>
      <c r="G1038" s="23" t="s">
        <v>946</v>
      </c>
      <c r="H1038" s="23" t="s">
        <v>947</v>
      </c>
      <c r="I1038" s="23" t="s">
        <v>948</v>
      </c>
      <c r="J1038" s="23" t="s">
        <v>949</v>
      </c>
      <c r="K1038" s="23" t="s">
        <v>950</v>
      </c>
      <c r="L1038" s="4" t="s">
        <v>47</v>
      </c>
    </row>
    <row r="1039" customFormat="false" ht="17.15" hidden="false" customHeight="false" outlineLevel="0" collapsed="false">
      <c r="A1039" s="0" t="s">
        <v>1025</v>
      </c>
      <c r="B1039" s="0" t="s">
        <v>98</v>
      </c>
      <c r="D1039" s="6" t="n">
        <f aca="false">Sens!D1017</f>
        <v>12.9359794422418</v>
      </c>
      <c r="E1039" s="6" t="n">
        <f aca="false">Sens!E1017</f>
        <v>27.8095064661409</v>
      </c>
      <c r="F1039" s="6" t="n">
        <f aca="false">Sens!F1017</f>
        <v>47.1000567801821</v>
      </c>
      <c r="G1039" s="6" t="n">
        <f aca="false">Sens!G1017</f>
        <v>77.5948935573871</v>
      </c>
      <c r="H1039" s="6" t="n">
        <f aca="false">Sens!H1017</f>
        <v>108.965982563352</v>
      </c>
      <c r="I1039" s="6" t="n">
        <f aca="false">Sens!I1017</f>
        <v>136.511089538844</v>
      </c>
      <c r="J1039" s="6" t="n">
        <f aca="false">Sens!J1017</f>
        <v>155.705311824551</v>
      </c>
      <c r="K1039" s="6" t="n">
        <f aca="false">Sens!K1017</f>
        <v>167.722106196533</v>
      </c>
    </row>
    <row r="1040" customFormat="false" ht="17.15" hidden="false" customHeight="false" outlineLevel="0" collapsed="false">
      <c r="A1040" s="0" t="s">
        <v>1026</v>
      </c>
      <c r="B1040" s="0" t="s">
        <v>98</v>
      </c>
      <c r="D1040" s="6" t="n">
        <f aca="false">Q!L6-Sens!D1039</f>
        <v>59.6740205577583</v>
      </c>
      <c r="E1040" s="6" t="n">
        <f aca="false">Q!M6-Sens!E1039</f>
        <v>74.1284935338591</v>
      </c>
      <c r="F1040" s="6" t="n">
        <f aca="false">Q!$I$6+(Sens!F1039+Sens!E1040*(1+Sens!F1041))*(1-Q!$E$6/Q!M6)-Sens!F1039</f>
        <v>93.1223530031867</v>
      </c>
      <c r="G1040" s="6" t="n">
        <f aca="false">Sens!F1040*(1+Sens!G1041)</f>
        <v>110.643254378099</v>
      </c>
      <c r="H1040" s="6" t="n">
        <f aca="false">Sens!G1040*(1+Sens!H1041)</f>
        <v>128.469203907038</v>
      </c>
      <c r="I1040" s="6" t="n">
        <f aca="false">Sens!H1040*(1+Sens!I1041)</f>
        <v>145.693664589214</v>
      </c>
      <c r="J1040" s="6" t="n">
        <f aca="false">Sens!I1040*(1+Sens!J1041)</f>
        <v>161.288323090347</v>
      </c>
      <c r="K1040" s="6" t="n">
        <f aca="false">Sens!J1040*(1+Sens!K1041)</f>
        <v>174.191388937574</v>
      </c>
      <c r="L1040" s="12" t="s">
        <v>1027</v>
      </c>
    </row>
    <row r="1041" customFormat="false" ht="15" hidden="false" customHeight="false" outlineLevel="0" collapsed="false">
      <c r="A1041" s="1" t="s">
        <v>1028</v>
      </c>
      <c r="B1041" s="0" t="s">
        <v>168</v>
      </c>
      <c r="E1041" s="7" t="n">
        <f aca="false">Sens!E1040/Sens!D1040-1</f>
        <v>0.242223883039864</v>
      </c>
      <c r="F1041" s="7" t="n">
        <f aca="false">Sens!$E$1041+(glt_azo-Sens!$E$1041)*MIN(1,(Sens!F998-base_fy)/n_conv)</f>
        <v>0.215186569199887</v>
      </c>
      <c r="G1041" s="7" t="n">
        <f aca="false">Sens!$E$1041+(glt_azo-Sens!$E$1041)*MIN(1,(Sens!G998-base_fy)/n_conv)</f>
        <v>0.18814925535991</v>
      </c>
      <c r="H1041" s="7" t="n">
        <f aca="false">Sens!$E$1041+(glt_azo-Sens!$E$1041)*MIN(1,(Sens!H998-base_fy)/n_conv)</f>
        <v>0.161111941519932</v>
      </c>
      <c r="I1041" s="7" t="n">
        <f aca="false">Sens!$E$1041+(glt_azo-Sens!$E$1041)*MIN(1,(Sens!I998-base_fy)/n_conv)</f>
        <v>0.134074627679955</v>
      </c>
      <c r="J1041" s="7" t="n">
        <f aca="false">Sens!$E$1041+(glt_azo-Sens!$E$1041)*MIN(1,(Sens!J998-base_fy)/n_conv)</f>
        <v>0.107037313839977</v>
      </c>
      <c r="K1041" s="7" t="n">
        <f aca="false">Sens!$E$1041+(glt_azo-Sens!$E$1041)*MIN(1,(Sens!K998-base_fy)/n_conv)</f>
        <v>0.08</v>
      </c>
    </row>
    <row r="1042" customFormat="false" ht="15" hidden="false" customHeight="false" outlineLevel="0" collapsed="false">
      <c r="A1042" s="0" t="s">
        <v>1029</v>
      </c>
      <c r="B1042" s="0" t="s">
        <v>98</v>
      </c>
      <c r="D1042" s="6" t="n">
        <f aca="false">Sens!D1039+Sens!D1040</f>
        <v>72.61</v>
      </c>
      <c r="E1042" s="6" t="n">
        <f aca="false">Sens!E1039+Sens!E1040</f>
        <v>101.938</v>
      </c>
      <c r="F1042" s="6" t="n">
        <f aca="false">Sens!F1039+Sens!F1040</f>
        <v>140.222409783369</v>
      </c>
      <c r="G1042" s="6" t="n">
        <f aca="false">Sens!G1039+Sens!G1040</f>
        <v>188.238147935486</v>
      </c>
      <c r="H1042" s="6" t="n">
        <f aca="false">Sens!H1039+Sens!H1040</f>
        <v>237.43518647039</v>
      </c>
      <c r="I1042" s="6" t="n">
        <f aca="false">Sens!I1039+Sens!I1040</f>
        <v>282.204754128058</v>
      </c>
      <c r="J1042" s="6" t="n">
        <f aca="false">Sens!J1039+Sens!J1040</f>
        <v>316.993634914897</v>
      </c>
      <c r="K1042" s="6" t="n">
        <f aca="false">Sens!K1039+Sens!K1040</f>
        <v>341.913495134108</v>
      </c>
    </row>
    <row r="1043" customFormat="false" ht="17.15" hidden="false" customHeight="false" outlineLevel="0" collapsed="false">
      <c r="A1043" s="0" t="s">
        <v>1030</v>
      </c>
      <c r="B1043" s="1" t="s">
        <v>613</v>
      </c>
      <c r="C1043" s="30" t="n">
        <f aca="false">cop_s24</f>
        <v>1</v>
      </c>
      <c r="D1043" s="30" t="n">
        <f aca="false">cop_s25</f>
        <v>5</v>
      </c>
      <c r="E1043" s="30" t="n">
        <f aca="false">cop_s26</f>
        <v>30</v>
      </c>
      <c r="F1043" s="30" t="n">
        <f aca="false">Sens!E1043+cop_add_B</f>
        <v>50</v>
      </c>
      <c r="G1043" s="30" t="n">
        <f aca="false">Sens!F1043+cop_add_B</f>
        <v>70</v>
      </c>
      <c r="H1043" s="30" t="n">
        <f aca="false">Sens!G1043+cop_add_B</f>
        <v>90</v>
      </c>
      <c r="I1043" s="30" t="n">
        <f aca="false">Sens!H1043+cop_add_B*cop_tail</f>
        <v>100</v>
      </c>
      <c r="J1043" s="30" t="n">
        <f aca="false">Sens!I1043+cop_add_B*cop_tail</f>
        <v>110</v>
      </c>
      <c r="K1043" s="30" t="n">
        <f aca="false">Sens!J1043+cop_add_B*cop_tail</f>
        <v>120</v>
      </c>
      <c r="L1043" s="12" t="s">
        <v>1031</v>
      </c>
    </row>
    <row r="1044" customFormat="false" ht="17.15" hidden="false" customHeight="false" outlineLevel="0" collapsed="false">
      <c r="A1044" s="0" t="s">
        <v>1032</v>
      </c>
      <c r="B1044" s="0" t="s">
        <v>98</v>
      </c>
      <c r="D1044" s="6" t="n">
        <f aca="false">(Sens!C1043+Sens!D1043)/2*cop_px*12/1000</f>
        <v>0.9</v>
      </c>
      <c r="E1044" s="6" t="n">
        <f aca="false">(Sens!D1043+Sens!E1043)/2*cop_px*12/1000</f>
        <v>5.25</v>
      </c>
      <c r="F1044" s="6" t="n">
        <f aca="false">(Sens!E1043+Sens!F1043)/2*cop_px*12/1000</f>
        <v>12</v>
      </c>
      <c r="G1044" s="6" t="n">
        <f aca="false">(Sens!F1043+Sens!G1043)/2*cop_px*12/1000</f>
        <v>18</v>
      </c>
      <c r="H1044" s="6" t="n">
        <f aca="false">(Sens!G1043+Sens!H1043)/2*cop_px*12/1000</f>
        <v>24</v>
      </c>
      <c r="I1044" s="6" t="n">
        <f aca="false">(Sens!H1043+Sens!I1043)/2*cop_px*12/1000</f>
        <v>28.5</v>
      </c>
      <c r="J1044" s="6" t="n">
        <f aca="false">(Sens!I1043+Sens!J1043)/2*cop_px*12/1000</f>
        <v>31.5</v>
      </c>
      <c r="K1044" s="6" t="n">
        <f aca="false">(Sens!J1043+Sens!K1043)/2*cop_px*12/1000</f>
        <v>34.5</v>
      </c>
      <c r="L1044" s="1" t="s">
        <v>1033</v>
      </c>
    </row>
    <row r="1045" customFormat="false" ht="17.15" hidden="false" customHeight="false" outlineLevel="0" collapsed="false">
      <c r="A1045" s="0" t="s">
        <v>1034</v>
      </c>
      <c r="B1045" s="0" t="s">
        <v>98</v>
      </c>
      <c r="D1045" s="6" t="n">
        <f aca="false">Q!L7-Sens!D1044</f>
        <v>83.705</v>
      </c>
      <c r="E1045" s="6" t="n">
        <f aca="false">Q!M7-Sens!E1044</f>
        <v>95.049</v>
      </c>
      <c r="F1045" s="6" t="n">
        <f aca="false">Q!$I$7+(Sens!E1045*(1+Sens!F1046)+Sens!F1044)*(1-Q!$E$7/Q!M7)-Sens!F1044</f>
        <v>106.584003697747</v>
      </c>
      <c r="G1045" s="6" t="n">
        <f aca="false">Sens!F1045*(1+Sens!G1046)</f>
        <v>118.700726545688</v>
      </c>
      <c r="H1045" s="6" t="n">
        <f aca="false">Sens!G1045*(1+Sens!H1046)</f>
        <v>130.898624783666</v>
      </c>
      <c r="I1045" s="6" t="n">
        <f aca="false">Sens!H1045*(1+Sens!I1046)</f>
        <v>142.920510030657</v>
      </c>
      <c r="J1045" s="6" t="n">
        <f aca="false">Sens!I1045*(1+Sens!J1046)</f>
        <v>154.485722618572</v>
      </c>
      <c r="K1045" s="6" t="n">
        <f aca="false">Sens!J1045*(1+Sens!K1046)</f>
        <v>165.299723201872</v>
      </c>
      <c r="L1045" s="12" t="s">
        <v>1035</v>
      </c>
    </row>
    <row r="1046" customFormat="false" ht="15" hidden="false" customHeight="false" outlineLevel="0" collapsed="false">
      <c r="A1046" s="1" t="s">
        <v>1028</v>
      </c>
      <c r="B1046" s="0" t="s">
        <v>168</v>
      </c>
      <c r="E1046" s="7" t="n">
        <f aca="false">Sens!E1045/Sens!D1045-1</f>
        <v>0.135523564900544</v>
      </c>
      <c r="F1046" s="7" t="n">
        <f aca="false">Sens!$E$1046+(glt_m365b-Sens!$E$1046)*MIN(1,(Sens!F998-base_fy)/n_conv)</f>
        <v>0.124602970750453</v>
      </c>
      <c r="G1046" s="7" t="n">
        <f aca="false">Sens!$E$1046+(glt_m365b-Sens!$E$1046)*MIN(1,(Sens!G998-base_fy)/n_conv)</f>
        <v>0.113682376600363</v>
      </c>
      <c r="H1046" s="7" t="n">
        <f aca="false">Sens!$E$1046+(glt_m365b-Sens!$E$1046)*MIN(1,(Sens!H998-base_fy)/n_conv)</f>
        <v>0.102761782450272</v>
      </c>
      <c r="I1046" s="7" t="n">
        <f aca="false">Sens!$E$1046+(glt_m365b-Sens!$E$1046)*MIN(1,(Sens!I998-base_fy)/n_conv)</f>
        <v>0.0918411883001813</v>
      </c>
      <c r="J1046" s="7" t="n">
        <f aca="false">Sens!$E$1046+(glt_m365b-Sens!$E$1046)*MIN(1,(Sens!J998-base_fy)/n_conv)</f>
        <v>0.0809205941500906</v>
      </c>
      <c r="K1046" s="7" t="n">
        <f aca="false">Sens!$E$1046+(glt_m365b-Sens!$E$1046)*MIN(1,(Sens!K998-base_fy)/n_conv)</f>
        <v>0.07</v>
      </c>
    </row>
    <row r="1047" customFormat="false" ht="15" hidden="false" customHeight="false" outlineLevel="0" collapsed="false">
      <c r="A1047" s="0" t="s">
        <v>1036</v>
      </c>
      <c r="B1047" s="0" t="s">
        <v>98</v>
      </c>
      <c r="D1047" s="6" t="n">
        <f aca="false">Sens!D1045+Sens!D1044</f>
        <v>84.605</v>
      </c>
      <c r="E1047" s="6" t="n">
        <f aca="false">Sens!E1045+Sens!E1044</f>
        <v>100.299</v>
      </c>
      <c r="F1047" s="6" t="n">
        <f aca="false">Sens!F1045+Sens!F1044</f>
        <v>118.584003697747</v>
      </c>
      <c r="G1047" s="6" t="n">
        <f aca="false">Sens!G1045+Sens!G1044</f>
        <v>136.700726545688</v>
      </c>
      <c r="H1047" s="6" t="n">
        <f aca="false">Sens!H1045+Sens!H1044</f>
        <v>154.898624783666</v>
      </c>
      <c r="I1047" s="6" t="n">
        <f aca="false">Sens!I1045+Sens!I1044</f>
        <v>171.420510030657</v>
      </c>
      <c r="J1047" s="6" t="n">
        <f aca="false">Sens!J1045+Sens!J1044</f>
        <v>185.985722618572</v>
      </c>
      <c r="K1047" s="6" t="n">
        <f aca="false">Sens!K1045+Sens!K1044</f>
        <v>199.799723201872</v>
      </c>
    </row>
    <row r="1048" customFormat="false" ht="17.15" hidden="false" customHeight="false" outlineLevel="0" collapsed="false">
      <c r="A1048" s="0" t="s">
        <v>1037</v>
      </c>
      <c r="B1048" s="0" t="s">
        <v>98</v>
      </c>
      <c r="D1048" s="6" t="n">
        <f aca="false">Q!L8</f>
        <v>35.391</v>
      </c>
      <c r="E1048" s="6" t="n">
        <f aca="false">Q!M8</f>
        <v>37.285</v>
      </c>
      <c r="F1048" s="6" t="n">
        <f aca="false">Q!$I$8+(Q!M8-Q!$E$8)*(1+Sens!F1049)</f>
        <v>38.3851437782675</v>
      </c>
      <c r="G1048" s="6" t="n">
        <f aca="false">Sens!F1048*(1+Sens!G1049)</f>
        <v>40.0105353288615</v>
      </c>
      <c r="H1048" s="6" t="n">
        <f aca="false">Sens!G1048*(1+Sens!H1049)</f>
        <v>41.4812512033683</v>
      </c>
      <c r="I1048" s="6" t="n">
        <f aca="false">Sens!H1048*(1+Sens!I1049)</f>
        <v>42.7743107216329</v>
      </c>
      <c r="J1048" s="6" t="n">
        <f aca="false">Sens!I1048*(1+Sens!J1049)</f>
        <v>43.8687373064601</v>
      </c>
      <c r="K1048" s="6" t="n">
        <f aca="false">Sens!J1048*(1+Sens!K1049)</f>
        <v>44.7461120525893</v>
      </c>
      <c r="L1048" s="12" t="s">
        <v>1038</v>
      </c>
    </row>
    <row r="1049" customFormat="false" ht="15" hidden="false" customHeight="false" outlineLevel="0" collapsed="false">
      <c r="A1049" s="1" t="s">
        <v>1028</v>
      </c>
      <c r="B1049" s="0" t="s">
        <v>168</v>
      </c>
      <c r="E1049" s="7" t="n">
        <f aca="false">Sens!E1048/Sens!D1048-1</f>
        <v>0.0535164307309768</v>
      </c>
      <c r="F1049" s="7" t="n">
        <f aca="false">Sens!$E$1049+(glt_lic-Sens!$E$1049)*MIN(1,(Sens!F998-base_fy)/n_conv)</f>
        <v>0.0479303589424807</v>
      </c>
      <c r="G1049" s="7" t="n">
        <f aca="false">Sens!$E$1049+(glt_lic-Sens!$E$1049)*MIN(1,(Sens!G998-base_fy)/n_conv)</f>
        <v>0.0423442871539845</v>
      </c>
      <c r="H1049" s="7" t="n">
        <f aca="false">Sens!$E$1049+(glt_lic-Sens!$E$1049)*MIN(1,(Sens!H998-base_fy)/n_conv)</f>
        <v>0.0367582153654884</v>
      </c>
      <c r="I1049" s="7" t="n">
        <f aca="false">Sens!$E$1049+(glt_lic-Sens!$E$1049)*MIN(1,(Sens!I998-base_fy)/n_conv)</f>
        <v>0.0311721435769923</v>
      </c>
      <c r="J1049" s="7" t="n">
        <f aca="false">Sens!$E$1049+(glt_lic-Sens!$E$1049)*MIN(1,(Sens!J998-base_fy)/n_conv)</f>
        <v>0.0255860717884961</v>
      </c>
      <c r="K1049" s="7" t="n">
        <f aca="false">Sens!$E$1049+(glt_lic-Sens!$E$1049)*MIN(1,(Sens!K998-base_fy)/n_conv)</f>
        <v>0.02</v>
      </c>
    </row>
    <row r="1050" customFormat="false" ht="17.15" hidden="false" customHeight="false" outlineLevel="0" collapsed="false">
      <c r="A1050" s="0" t="s">
        <v>1039</v>
      </c>
      <c r="B1050" s="0" t="s">
        <v>98</v>
      </c>
      <c r="D1050" s="6" t="n">
        <f aca="false">Q!L9</f>
        <v>18.417</v>
      </c>
      <c r="E1050" s="6" t="n">
        <f aca="false">Q!M9</f>
        <v>20.345</v>
      </c>
      <c r="F1050" s="6" t="n">
        <f aca="false">Q!$I$9+(Q!M9-Q!$E$9)*(1+Sens!F1051)</f>
        <v>22.3161797133988</v>
      </c>
      <c r="G1050" s="6" t="n">
        <f aca="false">Sens!F1050*(1+Sens!G1051)</f>
        <v>24.3943499673233</v>
      </c>
      <c r="H1050" s="6" t="n">
        <f aca="false">Sens!G1050*(1+Sens!H1051)</f>
        <v>26.5250243109019</v>
      </c>
      <c r="I1050" s="6" t="n">
        <f aca="false">Sens!H1050*(1+Sens!I1051)</f>
        <v>28.6884573538181</v>
      </c>
      <c r="J1050" s="6" t="n">
        <f aca="false">Sens!I1050*(1+Sens!J1051)</f>
        <v>30.8624968052127</v>
      </c>
      <c r="K1050" s="6" t="n">
        <f aca="false">Sens!J1050*(1+Sens!K1051)</f>
        <v>33.0228715815776</v>
      </c>
      <c r="L1050" s="12" t="s">
        <v>1038</v>
      </c>
    </row>
    <row r="1051" customFormat="false" ht="15" hidden="false" customHeight="false" outlineLevel="0" collapsed="false">
      <c r="A1051" s="1" t="s">
        <v>1028</v>
      </c>
      <c r="B1051" s="0" t="s">
        <v>168</v>
      </c>
      <c r="E1051" s="7" t="n">
        <f aca="false">Sens!E1050/Sens!D1050-1</f>
        <v>0.104685888038225</v>
      </c>
      <c r="F1051" s="7" t="n">
        <f aca="false">Sens!$E$1051+(glt_ind-Sens!$E$1051)*MIN(1,(Sens!F998-base_fy)/n_conv)</f>
        <v>0.0989049066985211</v>
      </c>
      <c r="G1051" s="7" t="n">
        <f aca="false">Sens!$E$1051+(glt_ind-Sens!$E$1051)*MIN(1,(Sens!G998-base_fy)/n_conv)</f>
        <v>0.0931239253588169</v>
      </c>
      <c r="H1051" s="7" t="n">
        <f aca="false">Sens!$E$1051+(glt_ind-Sens!$E$1051)*MIN(1,(Sens!H998-base_fy)/n_conv)</f>
        <v>0.0873429440191127</v>
      </c>
      <c r="I1051" s="7" t="n">
        <f aca="false">Sens!$E$1051+(glt_ind-Sens!$E$1051)*MIN(1,(Sens!I998-base_fy)/n_conv)</f>
        <v>0.0815619626794085</v>
      </c>
      <c r="J1051" s="7" t="n">
        <f aca="false">Sens!$E$1051+(glt_ind-Sens!$E$1051)*MIN(1,(Sens!J998-base_fy)/n_conv)</f>
        <v>0.0757809813397042</v>
      </c>
      <c r="K1051" s="7" t="n">
        <f aca="false">Sens!$E$1051+(glt_ind-Sens!$E$1051)*MIN(1,(Sens!K998-base_fy)/n_conv)</f>
        <v>0.07</v>
      </c>
    </row>
    <row r="1052" customFormat="false" ht="17.15" hidden="false" customHeight="false" outlineLevel="0" collapsed="false">
      <c r="A1052" s="0" t="s">
        <v>1040</v>
      </c>
      <c r="B1052" s="0" t="s">
        <v>98</v>
      </c>
      <c r="D1052" s="6" t="n">
        <f aca="false">Q!L10</f>
        <v>7.76</v>
      </c>
      <c r="E1052" s="6" t="n">
        <f aca="false">Q!M10</f>
        <v>8.26</v>
      </c>
      <c r="F1052" s="6" t="n">
        <f aca="false">Q!$I$10+(Q!M10-Q!$E$10)*(1+Sens!F1053)</f>
        <v>8.75372082474227</v>
      </c>
      <c r="G1052" s="6" t="n">
        <f aca="false">Sens!F1052*(1+Sens!G1053)</f>
        <v>9.33399324642364</v>
      </c>
      <c r="H1052" s="6" t="n">
        <f aca="false">Sens!G1052*(1+Sens!H1053)</f>
        <v>9.96139155535851</v>
      </c>
      <c r="I1052" s="6" t="n">
        <f aca="false">Sens!H1052*(1+Sens!I1053)</f>
        <v>10.6402039077391</v>
      </c>
      <c r="J1052" s="6" t="n">
        <f aca="false">Sens!I1052*(1+Sens!J1053)</f>
        <v>11.3751458271397</v>
      </c>
      <c r="K1052" s="6" t="n">
        <f aca="false">Sens!J1052*(1+Sens!K1053)</f>
        <v>12.1714060350394</v>
      </c>
      <c r="L1052" s="12" t="s">
        <v>1038</v>
      </c>
    </row>
    <row r="1053" customFormat="false" ht="15" hidden="false" customHeight="false" outlineLevel="0" collapsed="false">
      <c r="A1053" s="1" t="s">
        <v>1028</v>
      </c>
      <c r="B1053" s="0" t="s">
        <v>168</v>
      </c>
      <c r="E1053" s="7" t="n">
        <f aca="false">Sens!E1052/Sens!D1052-1</f>
        <v>0.0644329896907216</v>
      </c>
      <c r="F1053" s="7" t="n">
        <f aca="false">Sens!$E$1053+(glt_fro-Sens!$E$1053)*MIN(1,(Sens!F998-base_fy)/n_conv)</f>
        <v>0.065360824742268</v>
      </c>
      <c r="G1053" s="7" t="n">
        <f aca="false">Sens!$E$1053+(glt_fro-Sens!$E$1053)*MIN(1,(Sens!G998-base_fy)/n_conv)</f>
        <v>0.0662886597938144</v>
      </c>
      <c r="H1053" s="7" t="n">
        <f aca="false">Sens!$E$1053+(glt_fro-Sens!$E$1053)*MIN(1,(Sens!H998-base_fy)/n_conv)</f>
        <v>0.0672164948453608</v>
      </c>
      <c r="I1053" s="7" t="n">
        <f aca="false">Sens!$E$1053+(glt_fro-Sens!$E$1053)*MIN(1,(Sens!I998-base_fy)/n_conv)</f>
        <v>0.0681443298969072</v>
      </c>
      <c r="J1053" s="7" t="n">
        <f aca="false">Sens!$E$1053+(glt_fro-Sens!$E$1053)*MIN(1,(Sens!J998-base_fy)/n_conv)</f>
        <v>0.0690721649484536</v>
      </c>
      <c r="K1053" s="7" t="n">
        <f aca="false">Sens!$E$1053+(glt_fro-Sens!$E$1053)*MIN(1,(Sens!K998-base_fy)/n_conv)</f>
        <v>0.07</v>
      </c>
    </row>
    <row r="1054" customFormat="false" ht="15" hidden="false" customHeight="false" outlineLevel="0" collapsed="false">
      <c r="A1054" s="0" t="s">
        <v>856</v>
      </c>
      <c r="B1054" s="0" t="s">
        <v>98</v>
      </c>
      <c r="D1054" s="6" t="n">
        <f aca="false">Sens!D1042+Sens!D1047+Sens!D1048+Sens!D1050+Sens!D1052</f>
        <v>218.783</v>
      </c>
      <c r="E1054" s="6" t="n">
        <f aca="false">Sens!E1042+Sens!E1047+Sens!E1048+Sens!E1050+Sens!E1052</f>
        <v>268.127</v>
      </c>
      <c r="F1054" s="6" t="n">
        <f aca="false">Sens!F1042+Sens!F1047+Sens!F1048+Sens!F1050+Sens!F1052</f>
        <v>328.261457797524</v>
      </c>
      <c r="G1054" s="6" t="n">
        <f aca="false">Sens!G1042+Sens!G1047+Sens!G1048+Sens!G1050+Sens!G1052</f>
        <v>398.677753023783</v>
      </c>
      <c r="H1054" s="6" t="n">
        <f aca="false">Sens!H1042+Sens!H1047+Sens!H1048+Sens!H1050+Sens!H1052</f>
        <v>470.301478323685</v>
      </c>
      <c r="I1054" s="6" t="n">
        <f aca="false">Sens!I1042+Sens!I1047+Sens!I1048+Sens!I1050+Sens!I1052</f>
        <v>535.728236141906</v>
      </c>
      <c r="J1054" s="6" t="n">
        <f aca="false">Sens!J1042+Sens!J1047+Sens!J1048+Sens!J1050+Sens!J1052</f>
        <v>589.085737472282</v>
      </c>
      <c r="K1054" s="6" t="n">
        <f aca="false">Sens!K1042+Sens!K1047+Sens!K1048+Sens!K1050+Sens!K1052</f>
        <v>631.653608005186</v>
      </c>
    </row>
    <row r="1055" customFormat="false" ht="17.15" hidden="false" customHeight="false" outlineLevel="0" collapsed="false">
      <c r="A1055" s="0" t="s">
        <v>1041</v>
      </c>
      <c r="B1055" s="0" t="s">
        <v>98</v>
      </c>
      <c r="D1055" s="6" t="n">
        <f aca="false">Q!L13</f>
        <v>22.171</v>
      </c>
      <c r="E1055" s="6" t="n">
        <f aca="false">Q!M13</f>
        <v>24.835</v>
      </c>
      <c r="F1055" s="6" t="n">
        <f aca="false">Q!$I$13+(Q!M13-Q!$E$13)*(1+Sens!F1056)</f>
        <v>27.5591895660247</v>
      </c>
      <c r="G1055" s="6" t="n">
        <f aca="false">Sens!F1055*(1+Sens!G1056)</f>
        <v>30.4098563144583</v>
      </c>
      <c r="H1055" s="6" t="n">
        <f aca="false">Sens!G1055*(1+Sens!H1056)</f>
        <v>33.3011792571777</v>
      </c>
      <c r="I1055" s="6" t="n">
        <f aca="false">Sens!H1055*(1+Sens!I1056)</f>
        <v>36.189023797112</v>
      </c>
      <c r="J1055" s="6" t="n">
        <f aca="false">Sens!I1055*(1+Sens!J1056)</f>
        <v>39.0247773769199</v>
      </c>
      <c r="K1055" s="6" t="n">
        <f aca="false">Sens!J1055*(1+Sens!K1056)</f>
        <v>41.7565117933043</v>
      </c>
      <c r="L1055" s="12" t="s">
        <v>1038</v>
      </c>
    </row>
    <row r="1056" customFormat="false" ht="15" hidden="false" customHeight="false" outlineLevel="0" collapsed="false">
      <c r="A1056" s="1" t="s">
        <v>1028</v>
      </c>
      <c r="B1056" s="0" t="s">
        <v>168</v>
      </c>
      <c r="E1056" s="7" t="n">
        <f aca="false">Sens!E1055/Sens!D1055-1</f>
        <v>0.120156961796942</v>
      </c>
      <c r="F1056" s="7" t="n">
        <f aca="false">Sens!$E$1056+(glt_srch-Sens!$E$1056)*MIN(1,(Sens!F998-base_fy)/n_conv)</f>
        <v>0.111797468164118</v>
      </c>
      <c r="G1056" s="7" t="n">
        <f aca="false">Sens!$E$1056+(glt_srch-Sens!$E$1056)*MIN(1,(Sens!G998-base_fy)/n_conv)</f>
        <v>0.103437974531295</v>
      </c>
      <c r="H1056" s="7" t="n">
        <f aca="false">Sens!$E$1056+(glt_srch-Sens!$E$1056)*MIN(1,(Sens!H998-base_fy)/n_conv)</f>
        <v>0.095078480898471</v>
      </c>
      <c r="I1056" s="7" t="n">
        <f aca="false">Sens!$E$1056+(glt_srch-Sens!$E$1056)*MIN(1,(Sens!I998-base_fy)/n_conv)</f>
        <v>0.0867189872656474</v>
      </c>
      <c r="J1056" s="7" t="n">
        <f aca="false">Sens!$E$1056+(glt_srch-Sens!$E$1056)*MIN(1,(Sens!J998-base_fy)/n_conv)</f>
        <v>0.0783594936328237</v>
      </c>
      <c r="K1056" s="7" t="n">
        <f aca="false">Sens!$E$1056+(glt_srch-Sens!$E$1056)*MIN(1,(Sens!K998-base_fy)/n_conv)</f>
        <v>0.07</v>
      </c>
    </row>
    <row r="1057" customFormat="false" ht="17.15" hidden="false" customHeight="false" outlineLevel="0" collapsed="false">
      <c r="A1057" s="0" t="s">
        <v>1042</v>
      </c>
      <c r="B1057" s="0" t="s">
        <v>98</v>
      </c>
      <c r="D1057" s="6" t="n">
        <f aca="false">Q!L14</f>
        <v>23.455</v>
      </c>
      <c r="E1057" s="6" t="n">
        <f aca="false">Q!M14</f>
        <v>21.79</v>
      </c>
      <c r="F1057" s="6" t="n">
        <f aca="false">Q!$I$14+(Q!M14-Q!$E$14)*(1+Sens!F1058)</f>
        <v>20.7520981041711</v>
      </c>
      <c r="G1057" s="6" t="n">
        <f aca="false">Sens!F1057*(1+Sens!G1058)</f>
        <v>19.9083593495882</v>
      </c>
      <c r="H1057" s="6" t="n">
        <f aca="false">Sens!G1057*(1+Sens!H1058)</f>
        <v>19.4008256265831</v>
      </c>
      <c r="I1057" s="6" t="n">
        <f aca="false">Sens!H1057*(1+Sens!I1058)</f>
        <v>19.200434522122</v>
      </c>
      <c r="J1057" s="6" t="n">
        <f aca="false">Sens!I1057*(1+Sens!J1058)</f>
        <v>19.2932782348507</v>
      </c>
      <c r="K1057" s="6" t="n">
        <f aca="false">Sens!J1057*(1+Sens!K1058)</f>
        <v>19.6791437995477</v>
      </c>
      <c r="L1057" s="12" t="s">
        <v>1038</v>
      </c>
    </row>
    <row r="1058" customFormat="false" ht="15" hidden="false" customHeight="false" outlineLevel="0" collapsed="false">
      <c r="A1058" s="1" t="s">
        <v>1028</v>
      </c>
      <c r="B1058" s="0" t="s">
        <v>168</v>
      </c>
      <c r="E1058" s="7" t="n">
        <f aca="false">Sens!E1057/Sens!D1057-1</f>
        <v>-0.0709869963760392</v>
      </c>
      <c r="F1058" s="7" t="n">
        <f aca="false">Sens!$E$1058+(glt_xbox-Sens!$E$1058)*MIN(1,(Sens!F998-base_fy)/n_conv)</f>
        <v>-0.0558224969800327</v>
      </c>
      <c r="G1058" s="7" t="n">
        <f aca="false">Sens!$E$1058+(glt_xbox-Sens!$E$1058)*MIN(1,(Sens!G998-base_fy)/n_conv)</f>
        <v>-0.0406579975840262</v>
      </c>
      <c r="H1058" s="7" t="n">
        <f aca="false">Sens!$E$1058+(glt_xbox-Sens!$E$1058)*MIN(1,(Sens!H998-base_fy)/n_conv)</f>
        <v>-0.0254934981880196</v>
      </c>
      <c r="I1058" s="7" t="n">
        <f aca="false">Sens!$E$1058+(glt_xbox-Sens!$E$1058)*MIN(1,(Sens!I998-base_fy)/n_conv)</f>
        <v>-0.0103289987920131</v>
      </c>
      <c r="J1058" s="7" t="n">
        <f aca="false">Sens!$E$1058+(glt_xbox-Sens!$E$1058)*MIN(1,(Sens!J998-base_fy)/n_conv)</f>
        <v>0.00483550060399347</v>
      </c>
      <c r="K1058" s="7" t="n">
        <f aca="false">Sens!$E$1058+(glt_xbox-Sens!$E$1058)*MIN(1,(Sens!K998-base_fy)/n_conv)</f>
        <v>0.02</v>
      </c>
    </row>
    <row r="1059" customFormat="false" ht="17.15" hidden="false" customHeight="false" outlineLevel="0" collapsed="false">
      <c r="A1059" s="0" t="s">
        <v>1043</v>
      </c>
      <c r="B1059" s="0" t="s">
        <v>98</v>
      </c>
      <c r="D1059" s="6" t="n">
        <f aca="false">Q!L15</f>
        <v>17.315</v>
      </c>
      <c r="E1059" s="6" t="n">
        <f aca="false">Q!M15</f>
        <v>17.087</v>
      </c>
      <c r="F1059" s="6" t="n">
        <f aca="false">Q!$I$15+(Q!M15-Q!$E$15)*(1+Sens!F1060)</f>
        <v>15.9912273250553</v>
      </c>
      <c r="G1059" s="6" t="n">
        <f aca="false">Sens!F1059*(1+Sens!G1060)</f>
        <v>15.9574562664827</v>
      </c>
      <c r="H1059" s="6" t="n">
        <f aca="false">Sens!G1059*(1+Sens!H1060)</f>
        <v>16.0119687434196</v>
      </c>
      <c r="I1059" s="6" t="n">
        <f aca="false">Sens!H1059*(1+Sens!I1060)</f>
        <v>16.1551810001948</v>
      </c>
      <c r="J1059" s="6" t="n">
        <f aca="false">Sens!I1059*(1+Sens!J1060)</f>
        <v>16.3889793892005</v>
      </c>
      <c r="K1059" s="6" t="n">
        <f aca="false">Sens!J1059*(1+Sens!K1060)</f>
        <v>16.7167589769845</v>
      </c>
      <c r="L1059" s="12" t="s">
        <v>1038</v>
      </c>
    </row>
    <row r="1060" customFormat="false" ht="15" hidden="false" customHeight="false" outlineLevel="0" collapsed="false">
      <c r="A1060" s="1" t="s">
        <v>1028</v>
      </c>
      <c r="B1060" s="0" t="s">
        <v>168</v>
      </c>
      <c r="E1060" s="7" t="n">
        <f aca="false">Sens!E1059/Sens!D1059-1</f>
        <v>-0.0131677736066995</v>
      </c>
      <c r="F1060" s="7" t="n">
        <f aca="false">Sens!$E$1060+(glt_win-Sens!$E$1060)*MIN(1,(Sens!F998-base_fy)/n_conv)</f>
        <v>-0.00763981133891627</v>
      </c>
      <c r="G1060" s="7" t="n">
        <f aca="false">Sens!$E$1060+(glt_win-Sens!$E$1060)*MIN(1,(Sens!G998-base_fy)/n_conv)</f>
        <v>-0.00211184907113301</v>
      </c>
      <c r="H1060" s="7" t="n">
        <f aca="false">Sens!$E$1060+(glt_win-Sens!$E$1060)*MIN(1,(Sens!H998-base_fy)/n_conv)</f>
        <v>0.00341611319665024</v>
      </c>
      <c r="I1060" s="7" t="n">
        <f aca="false">Sens!$E$1060+(glt_win-Sens!$E$1060)*MIN(1,(Sens!I998-base_fy)/n_conv)</f>
        <v>0.00894407546443349</v>
      </c>
      <c r="J1060" s="7" t="n">
        <f aca="false">Sens!$E$1060+(glt_win-Sens!$E$1060)*MIN(1,(Sens!J998-base_fy)/n_conv)</f>
        <v>0.0144720377322168</v>
      </c>
      <c r="K1060" s="7" t="n">
        <f aca="false">Sens!$E$1060+(glt_win-Sens!$E$1060)*MIN(1,(Sens!K998-base_fy)/n_conv)</f>
        <v>0.02</v>
      </c>
    </row>
    <row r="1061" customFormat="false" ht="15" hidden="false" customHeight="false" outlineLevel="0" collapsed="false">
      <c r="A1061" s="0" t="s">
        <v>870</v>
      </c>
      <c r="B1061" s="0" t="s">
        <v>98</v>
      </c>
      <c r="D1061" s="6" t="n">
        <f aca="false">Sens!D1055+Sens!D1057+Sens!D1059</f>
        <v>62.941</v>
      </c>
      <c r="E1061" s="6" t="n">
        <f aca="false">Sens!E1055+Sens!E1057+Sens!E1059</f>
        <v>63.712</v>
      </c>
      <c r="F1061" s="6" t="n">
        <f aca="false">Sens!F1055+Sens!F1057+Sens!F1059</f>
        <v>64.3025149952511</v>
      </c>
      <c r="G1061" s="6" t="n">
        <f aca="false">Sens!G1055+Sens!G1057+Sens!G1059</f>
        <v>66.2756719305292</v>
      </c>
      <c r="H1061" s="6" t="n">
        <f aca="false">Sens!H1055+Sens!H1057+Sens!H1059</f>
        <v>68.7139736271804</v>
      </c>
      <c r="I1061" s="6" t="n">
        <f aca="false">Sens!I1055+Sens!I1057+Sens!I1059</f>
        <v>71.5446393194289</v>
      </c>
      <c r="J1061" s="6" t="n">
        <f aca="false">Sens!J1055+Sens!J1057+Sens!J1059</f>
        <v>74.707035000971</v>
      </c>
      <c r="K1061" s="6" t="n">
        <f aca="false">Sens!K1055+Sens!K1057+Sens!K1059</f>
        <v>78.1524145698365</v>
      </c>
    </row>
    <row r="1062" customFormat="false" ht="15" hidden="false" customHeight="false" outlineLevel="0" collapsed="false">
      <c r="A1062" s="1" t="s">
        <v>1044</v>
      </c>
      <c r="B1062" s="0" t="s">
        <v>98</v>
      </c>
      <c r="D1062" s="6" t="n">
        <f aca="false">Sens!D1054+Sens!D1061</f>
        <v>281.724</v>
      </c>
      <c r="E1062" s="6" t="n">
        <f aca="false">Sens!E1054+Sens!E1061</f>
        <v>331.839</v>
      </c>
      <c r="F1062" s="6" t="n">
        <f aca="false">Sens!F1054+Sens!F1061</f>
        <v>392.563972792775</v>
      </c>
      <c r="G1062" s="6" t="n">
        <f aca="false">Sens!G1054+Sens!G1061</f>
        <v>464.953424954312</v>
      </c>
      <c r="H1062" s="6" t="n">
        <f aca="false">Sens!H1054+Sens!H1061</f>
        <v>539.015451950865</v>
      </c>
      <c r="I1062" s="6" t="n">
        <f aca="false">Sens!I1054+Sens!I1061</f>
        <v>607.272875461335</v>
      </c>
      <c r="J1062" s="6" t="n">
        <f aca="false">Sens!J1054+Sens!J1061</f>
        <v>663.792772473253</v>
      </c>
      <c r="K1062" s="6" t="n">
        <f aca="false">Sens!K1054+Sens!K1061</f>
        <v>709.806022575022</v>
      </c>
    </row>
    <row r="1063" customFormat="false" ht="15" hidden="false" customHeight="false" outlineLevel="0" collapsed="false">
      <c r="A1063" s="26" t="s">
        <v>1045</v>
      </c>
      <c r="B1063" s="31" t="s">
        <v>98</v>
      </c>
      <c r="C1063" s="31"/>
      <c r="D1063" s="27" t="n">
        <f aca="false">(Sens!D1042+Sens!D1047+Sens!D1048+Sens!D1050+Sens!D1052-Sens!D1054)+(Sens!D1055+Sens!D1057+Sens!D1059-Sens!D1061)+(Sens!D1054-Q!L5)+(Sens!D1061-Q!L12)+(Sens!D1042-Q!L6)+(Sens!D1047-Q!L7)</f>
        <v>0</v>
      </c>
      <c r="E1063" s="27" t="n">
        <f aca="false">(Sens!E1042+Sens!E1047+Sens!E1048+Sens!E1050+Sens!E1052-Sens!E1054)+(Sens!E1055+Sens!E1057+Sens!E1059-Sens!E1061)+(Sens!E1054-Q!M5)+(Sens!E1061-Q!M12)+(Sens!E1042-Q!M6)+(Sens!E1047-Q!M7)</f>
        <v>0</v>
      </c>
      <c r="F1063" s="27" t="n">
        <f aca="false">(Sens!F1042+Sens!F1047+Sens!F1048+Sens!F1050+Sens!F1052-Sens!F1054)+(Sens!F1055+Sens!F1057+Sens!F1059-Sens!F1061)</f>
        <v>0</v>
      </c>
      <c r="G1063" s="27" t="n">
        <f aca="false">(Sens!G1042+Sens!G1047+Sens!G1048+Sens!G1050+Sens!G1052-Sens!G1054)+(Sens!G1055+Sens!G1057+Sens!G1059-Sens!G1061)</f>
        <v>0</v>
      </c>
      <c r="H1063" s="27" t="n">
        <f aca="false">(Sens!H1042+Sens!H1047+Sens!H1048+Sens!H1050+Sens!H1052-Sens!H1054)+(Sens!H1055+Sens!H1057+Sens!H1059-Sens!H1061)</f>
        <v>0</v>
      </c>
      <c r="I1063" s="27" t="n">
        <f aca="false">(Sens!I1042+Sens!I1047+Sens!I1048+Sens!I1050+Sens!I1052-Sens!I1054)+(Sens!I1055+Sens!I1057+Sens!I1059-Sens!I1061)</f>
        <v>0</v>
      </c>
      <c r="J1063" s="27" t="n">
        <f aca="false">(Sens!J1042+Sens!J1047+Sens!J1048+Sens!J1050+Sens!J1052-Sens!J1054)+(Sens!J1055+Sens!J1057+Sens!J1059-Sens!J1061)</f>
        <v>0</v>
      </c>
      <c r="K1063" s="27" t="n">
        <f aca="false">(Sens!K1042+Sens!K1047+Sens!K1048+Sens!K1050+Sens!K1052-Sens!K1054)+(Sens!K1055+Sens!K1057+Sens!K1059-Sens!K1061)</f>
        <v>0</v>
      </c>
    </row>
    <row r="1064" customFormat="false" ht="17.15" hidden="false" customHeight="false" outlineLevel="0" collapsed="false">
      <c r="A1064" s="3" t="s">
        <v>1637</v>
      </c>
    </row>
    <row r="1065" customFormat="false" ht="15" hidden="false" customHeight="false" outlineLevel="0" collapsed="false">
      <c r="A1065" s="4" t="s">
        <v>43</v>
      </c>
      <c r="B1065" s="4" t="s">
        <v>65</v>
      </c>
      <c r="C1065" s="23" t="s">
        <v>942</v>
      </c>
      <c r="D1065" s="23" t="s">
        <v>943</v>
      </c>
      <c r="E1065" s="23" t="s">
        <v>944</v>
      </c>
      <c r="F1065" s="23" t="s">
        <v>945</v>
      </c>
      <c r="G1065" s="23" t="s">
        <v>946</v>
      </c>
      <c r="H1065" s="23" t="s">
        <v>947</v>
      </c>
      <c r="I1065" s="23" t="s">
        <v>948</v>
      </c>
      <c r="J1065" s="23" t="s">
        <v>949</v>
      </c>
      <c r="K1065" s="23" t="s">
        <v>950</v>
      </c>
      <c r="L1065" s="4" t="s">
        <v>47</v>
      </c>
    </row>
    <row r="1066" customFormat="false" ht="15" hidden="false" customHeight="false" outlineLevel="0" collapsed="false">
      <c r="A1066" s="0" t="s">
        <v>1029</v>
      </c>
      <c r="B1066" s="0" t="s">
        <v>98</v>
      </c>
      <c r="D1066" s="6" t="n">
        <f aca="false">Sens!D1042</f>
        <v>72.61</v>
      </c>
      <c r="E1066" s="6" t="n">
        <f aca="false">Sens!E1042</f>
        <v>101.938</v>
      </c>
      <c r="F1066" s="6" t="n">
        <f aca="false">Sens!F1042</f>
        <v>140.222409783369</v>
      </c>
      <c r="G1066" s="6" t="n">
        <f aca="false">Sens!G1042</f>
        <v>188.238147935486</v>
      </c>
      <c r="H1066" s="6" t="n">
        <f aca="false">Sens!H1042</f>
        <v>237.43518647039</v>
      </c>
      <c r="I1066" s="6" t="n">
        <f aca="false">Sens!I1042</f>
        <v>282.204754128058</v>
      </c>
      <c r="J1066" s="6" t="n">
        <f aca="false">Sens!J1042</f>
        <v>316.993634914897</v>
      </c>
      <c r="K1066" s="6" t="n">
        <f aca="false">Sens!K1042</f>
        <v>341.913495134108</v>
      </c>
    </row>
    <row r="1067" customFormat="false" ht="17.15" hidden="false" customHeight="false" outlineLevel="0" collapsed="false">
      <c r="A1067" s="0" t="s">
        <v>1025</v>
      </c>
      <c r="B1067" s="0" t="s">
        <v>98</v>
      </c>
      <c r="D1067" s="6" t="n">
        <f aca="false">Sens!D1039</f>
        <v>12.9359794422418</v>
      </c>
      <c r="E1067" s="6" t="n">
        <f aca="false">Sens!E1039</f>
        <v>27.8095064661409</v>
      </c>
      <c r="F1067" s="6" t="n">
        <f aca="false">Sens!F1039</f>
        <v>47.1000567801821</v>
      </c>
      <c r="G1067" s="6" t="n">
        <f aca="false">Sens!G1039</f>
        <v>77.5948935573871</v>
      </c>
      <c r="H1067" s="6" t="n">
        <f aca="false">Sens!H1039</f>
        <v>108.965982563352</v>
      </c>
      <c r="I1067" s="6" t="n">
        <f aca="false">Sens!I1039</f>
        <v>136.511089538844</v>
      </c>
      <c r="J1067" s="6" t="n">
        <f aca="false">Sens!J1039</f>
        <v>155.705311824551</v>
      </c>
      <c r="K1067" s="6" t="n">
        <f aca="false">Sens!K1039</f>
        <v>167.722106196533</v>
      </c>
    </row>
    <row r="1068" customFormat="false" ht="17.15" hidden="false" customHeight="false" outlineLevel="0" collapsed="false">
      <c r="A1068" s="0" t="s">
        <v>1056</v>
      </c>
      <c r="B1068" s="0" t="s">
        <v>98</v>
      </c>
      <c r="D1068" s="6" t="n">
        <f aca="false">Sens!D1040</f>
        <v>59.6740205577583</v>
      </c>
      <c r="E1068" s="6" t="n">
        <f aca="false">Sens!E1040</f>
        <v>74.1284935338591</v>
      </c>
      <c r="F1068" s="6" t="n">
        <f aca="false">Sens!F1040</f>
        <v>93.1223530031867</v>
      </c>
      <c r="G1068" s="6" t="n">
        <f aca="false">Sens!G1040</f>
        <v>110.643254378099</v>
      </c>
      <c r="H1068" s="6" t="n">
        <f aca="false">Sens!H1040</f>
        <v>128.469203907038</v>
      </c>
      <c r="I1068" s="6" t="n">
        <f aca="false">Sens!I1040</f>
        <v>145.693664589214</v>
      </c>
      <c r="J1068" s="6" t="n">
        <f aca="false">Sens!J1040</f>
        <v>161.288323090347</v>
      </c>
      <c r="K1068" s="6" t="n">
        <f aca="false">Sens!K1040</f>
        <v>174.191388937574</v>
      </c>
    </row>
    <row r="1069" customFormat="false" ht="15" hidden="false" customHeight="false" outlineLevel="0" collapsed="false">
      <c r="A1069" s="0" t="s">
        <v>1036</v>
      </c>
      <c r="B1069" s="0" t="s">
        <v>98</v>
      </c>
      <c r="D1069" s="6" t="n">
        <f aca="false">Sens!D1047</f>
        <v>84.605</v>
      </c>
      <c r="E1069" s="6" t="n">
        <f aca="false">Sens!E1047</f>
        <v>100.299</v>
      </c>
      <c r="F1069" s="6" t="n">
        <f aca="false">Sens!F1047</f>
        <v>118.584003697747</v>
      </c>
      <c r="G1069" s="6" t="n">
        <f aca="false">Sens!G1047</f>
        <v>136.700726545688</v>
      </c>
      <c r="H1069" s="6" t="n">
        <f aca="false">Sens!H1047</f>
        <v>154.898624783666</v>
      </c>
      <c r="I1069" s="6" t="n">
        <f aca="false">Sens!I1047</f>
        <v>171.420510030657</v>
      </c>
      <c r="J1069" s="6" t="n">
        <f aca="false">Sens!J1047</f>
        <v>185.985722618572</v>
      </c>
      <c r="K1069" s="6" t="n">
        <f aca="false">Sens!K1047</f>
        <v>199.799723201872</v>
      </c>
    </row>
    <row r="1070" customFormat="false" ht="17.15" hidden="false" customHeight="false" outlineLevel="0" collapsed="false">
      <c r="A1070" s="0" t="s">
        <v>1057</v>
      </c>
      <c r="B1070" s="0" t="s">
        <v>98</v>
      </c>
      <c r="D1070" s="6" t="n">
        <f aca="false">Sens!D1045</f>
        <v>83.705</v>
      </c>
      <c r="E1070" s="6" t="n">
        <f aca="false">Sens!E1045</f>
        <v>95.049</v>
      </c>
      <c r="F1070" s="6" t="n">
        <f aca="false">Sens!F1045</f>
        <v>106.584003697747</v>
      </c>
      <c r="G1070" s="6" t="n">
        <f aca="false">Sens!G1045</f>
        <v>118.700726545688</v>
      </c>
      <c r="H1070" s="6" t="n">
        <f aca="false">Sens!H1045</f>
        <v>130.898624783666</v>
      </c>
      <c r="I1070" s="6" t="n">
        <f aca="false">Sens!I1045</f>
        <v>142.920510030657</v>
      </c>
      <c r="J1070" s="6" t="n">
        <f aca="false">Sens!J1045</f>
        <v>154.485722618572</v>
      </c>
      <c r="K1070" s="6" t="n">
        <f aca="false">Sens!K1045</f>
        <v>165.299723201872</v>
      </c>
    </row>
    <row r="1071" customFormat="false" ht="17.15" hidden="false" customHeight="false" outlineLevel="0" collapsed="false">
      <c r="A1071" s="0" t="s">
        <v>1058</v>
      </c>
      <c r="B1071" s="0" t="s">
        <v>98</v>
      </c>
      <c r="D1071" s="6" t="n">
        <f aca="false">Sens!D1044</f>
        <v>0.9</v>
      </c>
      <c r="E1071" s="6" t="n">
        <f aca="false">Sens!E1044</f>
        <v>5.25</v>
      </c>
      <c r="F1071" s="6" t="n">
        <f aca="false">Sens!F1044</f>
        <v>12</v>
      </c>
      <c r="G1071" s="6" t="n">
        <f aca="false">Sens!G1044</f>
        <v>18</v>
      </c>
      <c r="H1071" s="6" t="n">
        <f aca="false">Sens!H1044</f>
        <v>24</v>
      </c>
      <c r="I1071" s="6" t="n">
        <f aca="false">Sens!I1044</f>
        <v>28.5</v>
      </c>
      <c r="J1071" s="6" t="n">
        <f aca="false">Sens!J1044</f>
        <v>31.5</v>
      </c>
      <c r="K1071" s="6" t="n">
        <f aca="false">Sens!K1044</f>
        <v>34.5</v>
      </c>
    </row>
    <row r="1072" customFormat="false" ht="15" hidden="false" customHeight="false" outlineLevel="0" collapsed="false">
      <c r="A1072" s="0" t="s">
        <v>1037</v>
      </c>
      <c r="B1072" s="0" t="s">
        <v>98</v>
      </c>
      <c r="D1072" s="6" t="n">
        <f aca="false">Sens!D1048</f>
        <v>35.391</v>
      </c>
      <c r="E1072" s="6" t="n">
        <f aca="false">Sens!E1048</f>
        <v>37.285</v>
      </c>
      <c r="F1072" s="6" t="n">
        <f aca="false">Sens!F1048</f>
        <v>38.3851437782675</v>
      </c>
      <c r="G1072" s="6" t="n">
        <f aca="false">Sens!G1048</f>
        <v>40.0105353288615</v>
      </c>
      <c r="H1072" s="6" t="n">
        <f aca="false">Sens!H1048</f>
        <v>41.4812512033683</v>
      </c>
      <c r="I1072" s="6" t="n">
        <f aca="false">Sens!I1048</f>
        <v>42.7743107216329</v>
      </c>
      <c r="J1072" s="6" t="n">
        <f aca="false">Sens!J1048</f>
        <v>43.8687373064601</v>
      </c>
      <c r="K1072" s="6" t="n">
        <f aca="false">Sens!K1048</f>
        <v>44.7461120525893</v>
      </c>
    </row>
    <row r="1073" customFormat="false" ht="15" hidden="false" customHeight="false" outlineLevel="0" collapsed="false">
      <c r="A1073" s="0" t="s">
        <v>1039</v>
      </c>
      <c r="B1073" s="0" t="s">
        <v>98</v>
      </c>
      <c r="D1073" s="6" t="n">
        <f aca="false">Sens!D1050</f>
        <v>18.417</v>
      </c>
      <c r="E1073" s="6" t="n">
        <f aca="false">Sens!E1050</f>
        <v>20.345</v>
      </c>
      <c r="F1073" s="6" t="n">
        <f aca="false">Sens!F1050</f>
        <v>22.3161797133988</v>
      </c>
      <c r="G1073" s="6" t="n">
        <f aca="false">Sens!G1050</f>
        <v>24.3943499673233</v>
      </c>
      <c r="H1073" s="6" t="n">
        <f aca="false">Sens!H1050</f>
        <v>26.5250243109019</v>
      </c>
      <c r="I1073" s="6" t="n">
        <f aca="false">Sens!I1050</f>
        <v>28.6884573538181</v>
      </c>
      <c r="J1073" s="6" t="n">
        <f aca="false">Sens!J1050</f>
        <v>30.8624968052127</v>
      </c>
      <c r="K1073" s="6" t="n">
        <f aca="false">Sens!K1050</f>
        <v>33.0228715815776</v>
      </c>
    </row>
    <row r="1074" customFormat="false" ht="15" hidden="false" customHeight="false" outlineLevel="0" collapsed="false">
      <c r="A1074" s="0" t="s">
        <v>1040</v>
      </c>
      <c r="B1074" s="0" t="s">
        <v>98</v>
      </c>
      <c r="D1074" s="6" t="n">
        <f aca="false">Sens!D1052</f>
        <v>7.76</v>
      </c>
      <c r="E1074" s="6" t="n">
        <f aca="false">Sens!E1052</f>
        <v>8.26</v>
      </c>
      <c r="F1074" s="6" t="n">
        <f aca="false">Sens!F1052</f>
        <v>8.75372082474227</v>
      </c>
      <c r="G1074" s="6" t="n">
        <f aca="false">Sens!G1052</f>
        <v>9.33399324642364</v>
      </c>
      <c r="H1074" s="6" t="n">
        <f aca="false">Sens!H1052</f>
        <v>9.96139155535851</v>
      </c>
      <c r="I1074" s="6" t="n">
        <f aca="false">Sens!I1052</f>
        <v>10.6402039077391</v>
      </c>
      <c r="J1074" s="6" t="n">
        <f aca="false">Sens!J1052</f>
        <v>11.3751458271397</v>
      </c>
      <c r="K1074" s="6" t="n">
        <f aca="false">Sens!K1052</f>
        <v>12.1714060350394</v>
      </c>
    </row>
    <row r="1075" customFormat="false" ht="15" hidden="false" customHeight="false" outlineLevel="0" collapsed="false">
      <c r="A1075" s="0" t="s">
        <v>856</v>
      </c>
      <c r="B1075" s="0" t="s">
        <v>98</v>
      </c>
      <c r="D1075" s="6" t="n">
        <f aca="false">Sens!D1054</f>
        <v>218.783</v>
      </c>
      <c r="E1075" s="6" t="n">
        <f aca="false">Sens!E1054</f>
        <v>268.127</v>
      </c>
      <c r="F1075" s="6" t="n">
        <f aca="false">Sens!F1054</f>
        <v>328.261457797524</v>
      </c>
      <c r="G1075" s="6" t="n">
        <f aca="false">Sens!G1054</f>
        <v>398.677753023783</v>
      </c>
      <c r="H1075" s="6" t="n">
        <f aca="false">Sens!H1054</f>
        <v>470.301478323685</v>
      </c>
      <c r="I1075" s="6" t="n">
        <f aca="false">Sens!I1054</f>
        <v>535.728236141906</v>
      </c>
      <c r="J1075" s="6" t="n">
        <f aca="false">Sens!J1054</f>
        <v>589.085737472282</v>
      </c>
      <c r="K1075" s="6" t="n">
        <f aca="false">Sens!K1054</f>
        <v>631.653608005186</v>
      </c>
    </row>
    <row r="1076" customFormat="false" ht="15" hidden="false" customHeight="false" outlineLevel="0" collapsed="false">
      <c r="A1076" s="0" t="s">
        <v>1041</v>
      </c>
      <c r="B1076" s="0" t="s">
        <v>98</v>
      </c>
      <c r="D1076" s="6" t="n">
        <f aca="false">Sens!D1055</f>
        <v>22.171</v>
      </c>
      <c r="E1076" s="6" t="n">
        <f aca="false">Sens!E1055</f>
        <v>24.835</v>
      </c>
      <c r="F1076" s="6" t="n">
        <f aca="false">Sens!F1055</f>
        <v>27.5591895660247</v>
      </c>
      <c r="G1076" s="6" t="n">
        <f aca="false">Sens!G1055</f>
        <v>30.4098563144583</v>
      </c>
      <c r="H1076" s="6" t="n">
        <f aca="false">Sens!H1055</f>
        <v>33.3011792571777</v>
      </c>
      <c r="I1076" s="6" t="n">
        <f aca="false">Sens!I1055</f>
        <v>36.189023797112</v>
      </c>
      <c r="J1076" s="6" t="n">
        <f aca="false">Sens!J1055</f>
        <v>39.0247773769199</v>
      </c>
      <c r="K1076" s="6" t="n">
        <f aca="false">Sens!K1055</f>
        <v>41.7565117933043</v>
      </c>
    </row>
    <row r="1077" customFormat="false" ht="15" hidden="false" customHeight="false" outlineLevel="0" collapsed="false">
      <c r="A1077" s="0" t="s">
        <v>1042</v>
      </c>
      <c r="B1077" s="0" t="s">
        <v>98</v>
      </c>
      <c r="D1077" s="6" t="n">
        <f aca="false">Sens!D1057</f>
        <v>23.455</v>
      </c>
      <c r="E1077" s="6" t="n">
        <f aca="false">Sens!E1057</f>
        <v>21.79</v>
      </c>
      <c r="F1077" s="6" t="n">
        <f aca="false">Sens!F1057</f>
        <v>20.7520981041711</v>
      </c>
      <c r="G1077" s="6" t="n">
        <f aca="false">Sens!G1057</f>
        <v>19.9083593495882</v>
      </c>
      <c r="H1077" s="6" t="n">
        <f aca="false">Sens!H1057</f>
        <v>19.4008256265831</v>
      </c>
      <c r="I1077" s="6" t="n">
        <f aca="false">Sens!I1057</f>
        <v>19.200434522122</v>
      </c>
      <c r="J1077" s="6" t="n">
        <f aca="false">Sens!J1057</f>
        <v>19.2932782348507</v>
      </c>
      <c r="K1077" s="6" t="n">
        <f aca="false">Sens!K1057</f>
        <v>19.6791437995477</v>
      </c>
    </row>
    <row r="1078" customFormat="false" ht="15" hidden="false" customHeight="false" outlineLevel="0" collapsed="false">
      <c r="A1078" s="0" t="s">
        <v>1043</v>
      </c>
      <c r="B1078" s="0" t="s">
        <v>98</v>
      </c>
      <c r="D1078" s="6" t="n">
        <f aca="false">Sens!D1059</f>
        <v>17.315</v>
      </c>
      <c r="E1078" s="6" t="n">
        <f aca="false">Sens!E1059</f>
        <v>17.087</v>
      </c>
      <c r="F1078" s="6" t="n">
        <f aca="false">Sens!F1059</f>
        <v>15.9912273250553</v>
      </c>
      <c r="G1078" s="6" t="n">
        <f aca="false">Sens!G1059</f>
        <v>15.9574562664827</v>
      </c>
      <c r="H1078" s="6" t="n">
        <f aca="false">Sens!H1059</f>
        <v>16.0119687434196</v>
      </c>
      <c r="I1078" s="6" t="n">
        <f aca="false">Sens!I1059</f>
        <v>16.1551810001948</v>
      </c>
      <c r="J1078" s="6" t="n">
        <f aca="false">Sens!J1059</f>
        <v>16.3889793892005</v>
      </c>
      <c r="K1078" s="6" t="n">
        <f aca="false">Sens!K1059</f>
        <v>16.7167589769845</v>
      </c>
    </row>
    <row r="1079" customFormat="false" ht="15" hidden="false" customHeight="false" outlineLevel="0" collapsed="false">
      <c r="A1079" s="0" t="s">
        <v>870</v>
      </c>
      <c r="B1079" s="0" t="s">
        <v>98</v>
      </c>
      <c r="D1079" s="6" t="n">
        <f aca="false">Sens!D1061</f>
        <v>62.941</v>
      </c>
      <c r="E1079" s="6" t="n">
        <f aca="false">Sens!E1061</f>
        <v>63.712</v>
      </c>
      <c r="F1079" s="6" t="n">
        <f aca="false">Sens!F1061</f>
        <v>64.3025149952511</v>
      </c>
      <c r="G1079" s="6" t="n">
        <f aca="false">Sens!G1061</f>
        <v>66.2756719305292</v>
      </c>
      <c r="H1079" s="6" t="n">
        <f aca="false">Sens!H1061</f>
        <v>68.7139736271804</v>
      </c>
      <c r="I1079" s="6" t="n">
        <f aca="false">Sens!I1061</f>
        <v>71.5446393194289</v>
      </c>
      <c r="J1079" s="6" t="n">
        <f aca="false">Sens!J1061</f>
        <v>74.707035000971</v>
      </c>
      <c r="K1079" s="6" t="n">
        <f aca="false">Sens!K1061</f>
        <v>78.1524145698365</v>
      </c>
    </row>
    <row r="1080" customFormat="false" ht="15" hidden="false" customHeight="false" outlineLevel="0" collapsed="false">
      <c r="A1080" s="1" t="s">
        <v>1059</v>
      </c>
      <c r="B1080" s="0" t="s">
        <v>98</v>
      </c>
      <c r="D1080" s="6" t="n">
        <f aca="false">Sens!D1062</f>
        <v>281.724</v>
      </c>
      <c r="E1080" s="6" t="n">
        <f aca="false">Sens!E1062</f>
        <v>331.839</v>
      </c>
      <c r="F1080" s="6" t="n">
        <f aca="false">Sens!F1062</f>
        <v>392.563972792775</v>
      </c>
      <c r="G1080" s="6" t="n">
        <f aca="false">Sens!G1062</f>
        <v>464.953424954312</v>
      </c>
      <c r="H1080" s="6" t="n">
        <f aca="false">Sens!H1062</f>
        <v>539.015451950865</v>
      </c>
      <c r="I1080" s="6" t="n">
        <f aca="false">Sens!I1062</f>
        <v>607.272875461335</v>
      </c>
      <c r="J1080" s="6" t="n">
        <f aca="false">Sens!J1062</f>
        <v>663.792772473253</v>
      </c>
      <c r="K1080" s="6" t="n">
        <f aca="false">Sens!K1062</f>
        <v>709.806022575022</v>
      </c>
    </row>
    <row r="1081" customFormat="false" ht="15" hidden="false" customHeight="false" outlineLevel="0" collapsed="false">
      <c r="A1081" s="1" t="s">
        <v>1060</v>
      </c>
      <c r="B1081" s="0" t="s">
        <v>168</v>
      </c>
      <c r="E1081" s="7" t="n">
        <f aca="false">Sens!E1080/Sens!D1080-1</f>
        <v>0.177886867998467</v>
      </c>
      <c r="F1081" s="7" t="n">
        <f aca="false">Sens!F1080/Sens!E1080-1</f>
        <v>0.182995286246569</v>
      </c>
      <c r="G1081" s="7" t="n">
        <f aca="false">Sens!G1080/Sens!F1080-1</f>
        <v>0.18440166999163</v>
      </c>
      <c r="H1081" s="7" t="n">
        <f aca="false">Sens!H1080/Sens!G1080-1</f>
        <v>0.159289130957215</v>
      </c>
      <c r="I1081" s="7" t="n">
        <f aca="false">Sens!I1080/Sens!H1080-1</f>
        <v>0.12663351906411</v>
      </c>
      <c r="J1081" s="7" t="n">
        <f aca="false">Sens!J1080/Sens!I1080-1</f>
        <v>0.0930716639846312</v>
      </c>
      <c r="K1081" s="7" t="n">
        <f aca="false">Sens!K1080/Sens!J1080-1</f>
        <v>0.0693186970540922</v>
      </c>
    </row>
    <row r="1082" customFormat="false" ht="17.15" hidden="false" customHeight="false" outlineLevel="0" collapsed="false">
      <c r="A1082" s="26" t="s">
        <v>1061</v>
      </c>
      <c r="B1082" s="31" t="s">
        <v>98</v>
      </c>
      <c r="C1082" s="31"/>
      <c r="D1082" s="27" t="n">
        <f aca="false">(Sens!D1075+Sens!D1079-Sens!D1080)+(Sens!D1067+Sens!D1068-Sens!D1066)+(Sens!D1070+Sens!D1071-Sens!D1069)+(Sens!D1080-Q!L18)</f>
        <v>0</v>
      </c>
      <c r="E1082" s="27" t="n">
        <f aca="false">(Sens!E1075+Sens!E1079-Sens!E1080)+(Sens!E1067+Sens!E1068-Sens!E1066)+(Sens!E1070+Sens!E1071-Sens!E1069)+(Sens!E1080-Q!M18)</f>
        <v>0</v>
      </c>
      <c r="F1082" s="27" t="n">
        <f aca="false">(Sens!F1075+Sens!F1079-Sens!F1080)+(Sens!F1067+Sens!F1068-Sens!F1066)+(Sens!F1070+Sens!F1071-Sens!F1069)</f>
        <v>0</v>
      </c>
      <c r="G1082" s="27" t="n">
        <f aca="false">(Sens!G1075+Sens!G1079-Sens!G1080)+(Sens!G1067+Sens!G1068-Sens!G1066)+(Sens!G1070+Sens!G1071-Sens!G1069)</f>
        <v>0</v>
      </c>
      <c r="H1082" s="27" t="n">
        <f aca="false">(Sens!H1075+Sens!H1079-Sens!H1080)+(Sens!H1067+Sens!H1068-Sens!H1066)+(Sens!H1070+Sens!H1071-Sens!H1069)</f>
        <v>0</v>
      </c>
      <c r="I1082" s="27" t="n">
        <f aca="false">(Sens!I1075+Sens!I1079-Sens!I1080)+(Sens!I1067+Sens!I1068-Sens!I1066)+(Sens!I1070+Sens!I1071-Sens!I1069)</f>
        <v>0</v>
      </c>
      <c r="J1082" s="27" t="n">
        <f aca="false">(Sens!J1075+Sens!J1079-Sens!J1080)+(Sens!J1067+Sens!J1068-Sens!J1066)+(Sens!J1070+Sens!J1071-Sens!J1069)</f>
        <v>0</v>
      </c>
      <c r="K1082" s="27" t="n">
        <f aca="false">(Sens!K1075+Sens!K1079-Sens!K1080)+(Sens!K1067+Sens!K1068-Sens!K1066)+(Sens!K1070+Sens!K1071-Sens!K1069)</f>
        <v>0</v>
      </c>
    </row>
    <row r="1083" customFormat="false" ht="17.15" hidden="false" customHeight="false" outlineLevel="0" collapsed="false">
      <c r="A1083" s="0" t="s">
        <v>1062</v>
      </c>
      <c r="B1083" s="0" t="s">
        <v>168</v>
      </c>
      <c r="E1083" s="7" t="n">
        <f aca="false">(Q!M21+Sens!E1019+Sens!E1020+Sens!E1021+Sens!E1035-Sens!E1017)/(Q!M5-Sens!E1017)</f>
        <v>0.570957350878296</v>
      </c>
      <c r="F1083" s="7" t="n">
        <f aca="false">Sens!$E$1083+dm_seg</f>
        <v>0.570957350878296</v>
      </c>
      <c r="G1083" s="7" t="n">
        <f aca="false">Sens!$E$1083+dm_seg</f>
        <v>0.570957350878296</v>
      </c>
      <c r="H1083" s="7" t="n">
        <f aca="false">Sens!$E$1083+dm_seg</f>
        <v>0.570957350878296</v>
      </c>
      <c r="I1083" s="7" t="n">
        <f aca="false">Sens!$E$1083+dm_seg</f>
        <v>0.570957350878296</v>
      </c>
      <c r="J1083" s="7" t="n">
        <f aca="false">Sens!$E$1083+dm_seg</f>
        <v>0.570957350878296</v>
      </c>
      <c r="K1083" s="7" t="n">
        <f aca="false">Sens!$E$1083+dm_seg</f>
        <v>0.570957350878296</v>
      </c>
      <c r="L1083" s="12" t="s">
        <v>1063</v>
      </c>
    </row>
    <row r="1084" customFormat="false" ht="17.15" hidden="false" customHeight="false" outlineLevel="0" collapsed="false">
      <c r="A1084" s="0" t="s">
        <v>884</v>
      </c>
      <c r="B1084" s="0" t="s">
        <v>98</v>
      </c>
      <c r="D1084" s="6" t="n">
        <f aca="false">Q!L21</f>
        <v>110.814</v>
      </c>
      <c r="E1084" s="6" t="n">
        <f aca="false">Q!M21</f>
        <v>136.365</v>
      </c>
      <c r="F1084" s="6" t="n">
        <f aca="false">Q!$I$21+(Sens!F1083*(Sens!F1054-Sens!F1017)+Sens!F1017-(Sens!F1019+Sens!F1020+Sens!F1021)-Sens!F1035-Sens!F1118)*(Sens!F1054-Q!$I$5)/Sens!F1054</f>
        <v>155.805935309978</v>
      </c>
      <c r="G1084" s="6" t="n">
        <f aca="false">(Sens!G1083*(Sens!G1054-Sens!G1017)+Sens!G1017-(Sens!G1019+Sens!G1020+Sens!G1021)-Sens!G1035-Sens!G1118)</f>
        <v>165.11382920804</v>
      </c>
      <c r="H1084" s="6" t="n">
        <f aca="false">(Sens!H1083*(Sens!H1054-Sens!H1017)+Sens!H1017-(Sens!H1019+Sens!H1020+Sens!H1021)-Sens!H1035-Sens!H1118)</f>
        <v>178.972016577132</v>
      </c>
      <c r="I1084" s="6" t="n">
        <f aca="false">(Sens!I1083*(Sens!I1054-Sens!I1017)+Sens!I1017-(Sens!I1019+Sens!I1020+Sens!I1021)-Sens!I1035-Sens!I1118)</f>
        <v>192.515760693906</v>
      </c>
      <c r="J1084" s="6" t="n">
        <f aca="false">(Sens!J1083*(Sens!J1054-Sens!J1017)+Sens!J1017-(Sens!J1019+Sens!J1020+Sens!J1021)-Sens!J1035-Sens!J1118)</f>
        <v>206.284548473515</v>
      </c>
      <c r="K1084" s="6" t="n">
        <f aca="false">(Sens!K1083*(Sens!K1054-Sens!K1017)+Sens!K1017-(Sens!K1019+Sens!K1020+Sens!K1021)-Sens!K1035-Sens!K1118)</f>
        <v>220.690997635486</v>
      </c>
      <c r="L1084" s="1" t="s">
        <v>1064</v>
      </c>
    </row>
    <row r="1085" customFormat="false" ht="17.15" hidden="false" customHeight="false" outlineLevel="0" collapsed="false">
      <c r="A1085" s="0" t="s">
        <v>1065</v>
      </c>
      <c r="B1085" s="0" t="s">
        <v>168</v>
      </c>
      <c r="E1085" s="7" t="n">
        <f aca="false">Q!M22/Q!M12</f>
        <v>0.296207935710698</v>
      </c>
      <c r="F1085" s="7" t="n">
        <f aca="false">Sens!$E$1085+dm_seg</f>
        <v>0.296207935710698</v>
      </c>
      <c r="G1085" s="7" t="n">
        <f aca="false">Sens!$E$1085+dm_seg</f>
        <v>0.296207935710698</v>
      </c>
      <c r="H1085" s="7" t="n">
        <f aca="false">Sens!$E$1085+dm_seg</f>
        <v>0.296207935710698</v>
      </c>
      <c r="I1085" s="7" t="n">
        <f aca="false">Sens!$E$1085+dm_seg</f>
        <v>0.296207935710698</v>
      </c>
      <c r="J1085" s="7" t="n">
        <f aca="false">Sens!$E$1085+dm_seg</f>
        <v>0.296207935710698</v>
      </c>
      <c r="K1085" s="7" t="n">
        <f aca="false">Sens!$E$1085+dm_seg</f>
        <v>0.296207935710698</v>
      </c>
      <c r="L1085" s="12" t="s">
        <v>1066</v>
      </c>
    </row>
    <row r="1086" customFormat="false" ht="17.15" hidden="false" customHeight="false" outlineLevel="0" collapsed="false">
      <c r="A1086" s="0" t="s">
        <v>886</v>
      </c>
      <c r="B1086" s="0" t="s">
        <v>98</v>
      </c>
      <c r="D1086" s="6" t="n">
        <f aca="false">Q!L22</f>
        <v>17.714</v>
      </c>
      <c r="E1086" s="6" t="n">
        <f aca="false">Q!M22</f>
        <v>18.872</v>
      </c>
      <c r="F1086" s="6" t="n">
        <f aca="false">Q!$I$22+(Sens!F1061-Q!$I$12)*Sens!F1085</f>
        <v>19.8174315512051</v>
      </c>
      <c r="G1086" s="6" t="n">
        <f aca="false">Sens!G1061*Sens!G1085</f>
        <v>19.6313799703815</v>
      </c>
      <c r="H1086" s="6" t="n">
        <f aca="false">Sens!H1061*Sens!H1085</f>
        <v>20.3536242825865</v>
      </c>
      <c r="I1086" s="6" t="n">
        <f aca="false">Sens!I1061*Sens!I1085</f>
        <v>21.1920899239745</v>
      </c>
      <c r="J1086" s="6" t="n">
        <f aca="false">Sens!J1061*Sens!J1085</f>
        <v>22.1288166207045</v>
      </c>
      <c r="K1086" s="6" t="n">
        <f aca="false">Sens!K1061*Sens!K1085</f>
        <v>23.1493653905379</v>
      </c>
      <c r="L1086" s="12" t="s">
        <v>1067</v>
      </c>
    </row>
    <row r="1087" customFormat="false" ht="15" hidden="false" customHeight="false" outlineLevel="0" collapsed="false">
      <c r="A1087" s="1" t="s">
        <v>1068</v>
      </c>
      <c r="B1087" s="0" t="s">
        <v>98</v>
      </c>
      <c r="D1087" s="6" t="n">
        <f aca="false">Sens!D1084+Sens!D1086</f>
        <v>128.528</v>
      </c>
      <c r="E1087" s="6" t="n">
        <f aca="false">Sens!E1084+Sens!E1086</f>
        <v>155.237</v>
      </c>
      <c r="F1087" s="6" t="n">
        <f aca="false">Sens!F1084+Sens!F1086</f>
        <v>175.623366861183</v>
      </c>
      <c r="G1087" s="6" t="n">
        <f aca="false">Sens!G1084+Sens!G1086</f>
        <v>184.745209178422</v>
      </c>
      <c r="H1087" s="6" t="n">
        <f aca="false">Sens!H1084+Sens!H1086</f>
        <v>199.325640859719</v>
      </c>
      <c r="I1087" s="6" t="n">
        <f aca="false">Sens!I1084+Sens!I1086</f>
        <v>213.707850617881</v>
      </c>
      <c r="J1087" s="6" t="n">
        <f aca="false">Sens!J1084+Sens!J1086</f>
        <v>228.41336509422</v>
      </c>
      <c r="K1087" s="6" t="n">
        <f aca="false">Sens!K1084+Sens!K1086</f>
        <v>243.840363026023</v>
      </c>
    </row>
    <row r="1088" customFormat="false" ht="15" hidden="false" customHeight="false" outlineLevel="0" collapsed="false">
      <c r="A1088" s="26" t="s">
        <v>1069</v>
      </c>
      <c r="B1088" s="31" t="s">
        <v>98</v>
      </c>
      <c r="C1088" s="31"/>
      <c r="D1088" s="27" t="n">
        <f aca="false">Sens!D1087-Q!L23</f>
        <v>0</v>
      </c>
      <c r="E1088" s="27" t="n">
        <f aca="false">Sens!E1087-Q!M23</f>
        <v>0</v>
      </c>
      <c r="F1088" s="31"/>
      <c r="G1088" s="31"/>
      <c r="H1088" s="31"/>
      <c r="I1088" s="31"/>
      <c r="J1088" s="31"/>
      <c r="K1088" s="31"/>
    </row>
    <row r="1089" customFormat="false" ht="15" hidden="false" customHeight="false" outlineLevel="0" collapsed="false">
      <c r="A1089" s="1" t="s">
        <v>1070</v>
      </c>
      <c r="B1089" s="0" t="s">
        <v>168</v>
      </c>
      <c r="D1089" s="7" t="n">
        <f aca="false">Sens!D1087/Sens!D1080</f>
        <v>0.456219562408598</v>
      </c>
      <c r="E1089" s="7" t="n">
        <f aca="false">Sens!E1087/Sens!E1080</f>
        <v>0.467808184089272</v>
      </c>
      <c r="F1089" s="7" t="n">
        <f aca="false">Sens!F1087/Sens!F1080</f>
        <v>0.447375151651754</v>
      </c>
      <c r="G1089" s="7" t="n">
        <f aca="false">Sens!G1087/Sens!G1080</f>
        <v>0.397341323373574</v>
      </c>
      <c r="H1089" s="7" t="n">
        <f aca="false">Sens!H1087/Sens!H1080</f>
        <v>0.369795782548158</v>
      </c>
      <c r="I1089" s="7" t="n">
        <f aca="false">Sens!I1087/Sens!I1080</f>
        <v>0.351914039393791</v>
      </c>
      <c r="J1089" s="7" t="n">
        <f aca="false">Sens!J1087/Sens!J1080</f>
        <v>0.344103422884773</v>
      </c>
      <c r="K1089" s="7" t="n">
        <f aca="false">Sens!K1087/Sens!K1080</f>
        <v>0.343530986312885</v>
      </c>
    </row>
    <row r="1090" customFormat="false" ht="17.15" hidden="false" customHeight="false" outlineLevel="0" collapsed="false">
      <c r="A1090" s="1" t="s">
        <v>1071</v>
      </c>
      <c r="B1090" s="0" t="s">
        <v>98</v>
      </c>
      <c r="F1090" s="6" t="n">
        <f aca="false">Sens!F1105</f>
        <v>9.7398427716299</v>
      </c>
      <c r="G1090" s="6" t="n">
        <f aca="false">Sens!G1105</f>
        <v>25.2753385959797</v>
      </c>
      <c r="H1090" s="6" t="n">
        <f aca="false">Sens!H1105</f>
        <v>42.2840253697948</v>
      </c>
      <c r="I1090" s="6" t="n">
        <f aca="false">Sens!I1105</f>
        <v>57.704943641581</v>
      </c>
      <c r="J1090" s="6" t="n">
        <f aca="false">Sens!J1105</f>
        <v>68.4828520908201</v>
      </c>
      <c r="K1090" s="6" t="n">
        <f aca="false">Sens!K1105</f>
        <v>74.3598374943249</v>
      </c>
      <c r="L1090" s="1" t="s">
        <v>1072</v>
      </c>
    </row>
    <row r="1091" customFormat="false" ht="17.15" hidden="false" customHeight="false" outlineLevel="0" collapsed="false">
      <c r="A1091" s="1" t="s">
        <v>1073</v>
      </c>
      <c r="B1091" s="0" t="s">
        <v>98</v>
      </c>
      <c r="D1091" s="6" t="n">
        <f aca="false">Sens!D1087</f>
        <v>128.528</v>
      </c>
      <c r="E1091" s="6" t="n">
        <f aca="false">Sens!E1087</f>
        <v>155.237</v>
      </c>
      <c r="F1091" s="6" t="n">
        <f aca="false">Sens!F1087+Sens!F1090</f>
        <v>185.363209632813</v>
      </c>
      <c r="G1091" s="6" t="n">
        <f aca="false">Sens!G1087+Sens!G1090</f>
        <v>210.020547774402</v>
      </c>
      <c r="H1091" s="6" t="n">
        <f aca="false">Sens!H1087+Sens!H1090</f>
        <v>241.609666229514</v>
      </c>
      <c r="I1091" s="6" t="n">
        <f aca="false">Sens!I1087+Sens!I1090</f>
        <v>271.412794259462</v>
      </c>
      <c r="J1091" s="6" t="n">
        <f aca="false">Sens!J1087+Sens!J1090</f>
        <v>296.89621718504</v>
      </c>
      <c r="K1091" s="6" t="n">
        <f aca="false">Sens!K1087+Sens!K1090</f>
        <v>318.200200520348</v>
      </c>
    </row>
    <row r="1092" customFormat="false" ht="17.15" hidden="false" customHeight="false" outlineLevel="0" collapsed="false">
      <c r="A1092" s="1" t="s">
        <v>1074</v>
      </c>
      <c r="B1092" s="0" t="s">
        <v>98</v>
      </c>
      <c r="E1092" s="6" t="n">
        <f aca="false">Sens!E1035</f>
        <v>16.3054059770833</v>
      </c>
      <c r="F1092" s="6" t="n">
        <f aca="false">Sens!F1035</f>
        <v>34.5793144783516</v>
      </c>
      <c r="G1092" s="6" t="n">
        <f aca="false">Sens!G1035</f>
        <v>60.7344906522989</v>
      </c>
      <c r="H1092" s="6" t="n">
        <f aca="false">Sens!H1035</f>
        <v>89.1000906614457</v>
      </c>
      <c r="I1092" s="6" t="n">
        <f aca="false">Sens!I1035</f>
        <v>114.231009694548</v>
      </c>
      <c r="J1092" s="6" t="n">
        <f aca="false">Sens!J1035</f>
        <v>132.015673049596</v>
      </c>
      <c r="K1092" s="6" t="n">
        <f aca="false">Sens!K1035</f>
        <v>143.012669550934</v>
      </c>
    </row>
    <row r="1093" customFormat="false" ht="17.15" hidden="false" customHeight="false" outlineLevel="0" collapsed="false">
      <c r="A1093" s="1" t="s">
        <v>1075</v>
      </c>
      <c r="B1093" s="0" t="s">
        <v>98</v>
      </c>
      <c r="E1093" s="6" t="n">
        <f aca="false">Sens!E1117</f>
        <v>22.2285940229167</v>
      </c>
      <c r="F1093" s="6" t="n">
        <f aca="false">Sens!F1117</f>
        <v>23.6168450007293</v>
      </c>
      <c r="G1093" s="6" t="n">
        <f aca="false">Sens!G1117</f>
        <v>25.4345719377656</v>
      </c>
      <c r="H1093" s="6" t="n">
        <f aca="false">Sens!H1117</f>
        <v>27.6475274688719</v>
      </c>
      <c r="I1093" s="6" t="n">
        <f aca="false">Sens!I1117</f>
        <v>30.1886240787705</v>
      </c>
      <c r="J1093" s="6" t="n">
        <f aca="false">Sens!J1117</f>
        <v>32.9735560385483</v>
      </c>
      <c r="K1093" s="6" t="n">
        <f aca="false">Sens!K1117</f>
        <v>35.916728860328</v>
      </c>
    </row>
    <row r="1094" customFormat="false" ht="17.15" hidden="false" customHeight="false" outlineLevel="0" collapsed="false">
      <c r="A1094" s="1" t="s">
        <v>1076</v>
      </c>
      <c r="B1094" s="0" t="s">
        <v>98</v>
      </c>
      <c r="D1094" s="6" t="n">
        <f aca="false">Q!L27</f>
        <v>-4.901</v>
      </c>
      <c r="E1094" s="6" t="n">
        <f aca="false">Q!M27</f>
        <v>10.697</v>
      </c>
      <c r="F1094" s="6" t="n">
        <f aca="false">Q!$I$27+oie_f*(q_per_yr-1)/q_per_yr</f>
        <v>-0.862</v>
      </c>
      <c r="G1094" s="6" t="n">
        <f aca="false">oie_f</f>
        <v>-1.2</v>
      </c>
      <c r="H1094" s="6" t="n">
        <f aca="false">oie_f</f>
        <v>-1.2</v>
      </c>
      <c r="I1094" s="6" t="n">
        <f aca="false">oie_f</f>
        <v>-1.2</v>
      </c>
      <c r="J1094" s="6" t="n">
        <f aca="false">oie_f</f>
        <v>-1.2</v>
      </c>
      <c r="K1094" s="6" t="n">
        <f aca="false">oie_f</f>
        <v>-1.2</v>
      </c>
      <c r="L1094" s="12" t="s">
        <v>1077</v>
      </c>
    </row>
    <row r="1095" customFormat="false" ht="15" hidden="false" customHeight="false" outlineLevel="0" collapsed="false">
      <c r="A1095" s="1" t="s">
        <v>1078</v>
      </c>
      <c r="B1095" s="0" t="s">
        <v>98</v>
      </c>
      <c r="D1095" s="6" t="n">
        <f aca="false">Sens!D1087+Sens!D1094</f>
        <v>123.627</v>
      </c>
      <c r="E1095" s="6" t="n">
        <f aca="false">Sens!E1087+Sens!E1094</f>
        <v>165.934</v>
      </c>
      <c r="F1095" s="6" t="n">
        <f aca="false">Sens!F1087+Sens!F1094</f>
        <v>174.761366861183</v>
      </c>
      <c r="G1095" s="6" t="n">
        <f aca="false">Sens!G1087+Sens!G1094</f>
        <v>183.545209178422</v>
      </c>
      <c r="H1095" s="6" t="n">
        <f aca="false">Sens!H1087+Sens!H1094</f>
        <v>198.125640859719</v>
      </c>
      <c r="I1095" s="6" t="n">
        <f aca="false">Sens!I1087+Sens!I1094</f>
        <v>212.507850617881</v>
      </c>
      <c r="J1095" s="6" t="n">
        <f aca="false">Sens!J1087+Sens!J1094</f>
        <v>227.21336509422</v>
      </c>
      <c r="K1095" s="6" t="n">
        <f aca="false">Sens!K1087+Sens!K1094</f>
        <v>242.640363026023</v>
      </c>
    </row>
    <row r="1096" customFormat="false" ht="15" hidden="false" customHeight="false" outlineLevel="0" collapsed="false">
      <c r="A1096" s="1" t="s">
        <v>1079</v>
      </c>
      <c r="B1096" s="0" t="s">
        <v>98</v>
      </c>
      <c r="D1096" s="6" t="n">
        <f aca="false">Q!L29</f>
        <v>21.795</v>
      </c>
      <c r="E1096" s="6" t="n">
        <f aca="false">Q!M29</f>
        <v>32.185</v>
      </c>
      <c r="F1096" s="6" t="n">
        <f aca="false">Q!$I$29+(Sens!F1095-Q!$I$28)*tax_f</f>
        <v>35.0856733722366</v>
      </c>
      <c r="G1096" s="6" t="n">
        <f aca="false">Sens!G1095*tax_f</f>
        <v>36.7090418356844</v>
      </c>
      <c r="H1096" s="6" t="n">
        <f aca="false">Sens!H1095*tax_f</f>
        <v>39.6251281719438</v>
      </c>
      <c r="I1096" s="6" t="n">
        <f aca="false">Sens!I1095*tax_f</f>
        <v>42.5015701235761</v>
      </c>
      <c r="J1096" s="6" t="n">
        <f aca="false">Sens!J1095*tax_f</f>
        <v>45.442673018844</v>
      </c>
      <c r="K1096" s="6" t="n">
        <f aca="false">Sens!K1095*tax_f</f>
        <v>48.5280726052047</v>
      </c>
    </row>
    <row r="1097" customFormat="false" ht="15" hidden="false" customHeight="false" outlineLevel="0" collapsed="false">
      <c r="A1097" s="1" t="s">
        <v>1080</v>
      </c>
      <c r="B1097" s="0" t="s">
        <v>98</v>
      </c>
      <c r="D1097" s="6" t="n">
        <f aca="false">Sens!D1095-Sens!D1096</f>
        <v>101.832</v>
      </c>
      <c r="E1097" s="6" t="n">
        <f aca="false">Sens!E1095-Sens!E1096</f>
        <v>133.749</v>
      </c>
      <c r="F1097" s="6" t="n">
        <f aca="false">Sens!F1095-Sens!F1096</f>
        <v>139.675693488946</v>
      </c>
      <c r="G1097" s="6" t="n">
        <f aca="false">Sens!G1095-Sens!G1096</f>
        <v>146.836167342738</v>
      </c>
      <c r="H1097" s="6" t="n">
        <f aca="false">Sens!H1095-Sens!H1096</f>
        <v>158.500512687775</v>
      </c>
      <c r="I1097" s="6" t="n">
        <f aca="false">Sens!I1095-Sens!I1096</f>
        <v>170.006280494304</v>
      </c>
      <c r="J1097" s="6" t="n">
        <f aca="false">Sens!J1095-Sens!J1096</f>
        <v>181.770692075376</v>
      </c>
      <c r="K1097" s="6" t="n">
        <f aca="false">Sens!K1095-Sens!K1096</f>
        <v>194.112290420819</v>
      </c>
    </row>
    <row r="1098" customFormat="false" ht="17.15" hidden="false" customHeight="false" outlineLevel="0" collapsed="false">
      <c r="A1098" s="1" t="s">
        <v>1081</v>
      </c>
      <c r="B1098" s="1" t="s">
        <v>81</v>
      </c>
      <c r="D1098" s="15" t="n">
        <f aca="false">Q!L31</f>
        <v>7.465</v>
      </c>
      <c r="E1098" s="15" t="n">
        <f aca="false">Q!M31</f>
        <v>7.453</v>
      </c>
      <c r="F1098" s="15" t="n">
        <f aca="false">Sens!F1142</f>
        <v>7.4735</v>
      </c>
      <c r="G1098" s="15" t="n">
        <f aca="false">Sens!G1142</f>
        <v>7.5185</v>
      </c>
      <c r="H1098" s="15" t="n">
        <f aca="false">Sens!H1142</f>
        <v>7.55479049847656</v>
      </c>
      <c r="I1098" s="15" t="n">
        <f aca="false">Sens!I1142</f>
        <v>7.57506242197978</v>
      </c>
      <c r="J1098" s="15" t="n">
        <f aca="false">Sens!J1142</f>
        <v>7.58921183314225</v>
      </c>
      <c r="K1098" s="15" t="n">
        <f aca="false">Sens!K1142</f>
        <v>7.6056464731075</v>
      </c>
    </row>
    <row r="1099" customFormat="false" ht="17.15" hidden="false" customHeight="false" outlineLevel="0" collapsed="false">
      <c r="A1099" s="0" t="s">
        <v>1082</v>
      </c>
      <c r="B1099" s="0" t="s">
        <v>75</v>
      </c>
      <c r="D1099" s="8" t="n">
        <f aca="false">Sens!D1097/Sens!D1098</f>
        <v>13.641259209645</v>
      </c>
      <c r="E1099" s="8" t="n">
        <f aca="false">Sens!E1097/Sens!E1098</f>
        <v>17.9456594659869</v>
      </c>
      <c r="F1099" s="8" t="n">
        <f aca="false">Sens!F1097/Sens!F1098</f>
        <v>18.6894618972297</v>
      </c>
      <c r="G1099" s="8" t="n">
        <f aca="false">Sens!G1097/Sens!G1098</f>
        <v>19.5299816908609</v>
      </c>
      <c r="H1099" s="8" t="n">
        <f aca="false">Sens!H1097/Sens!H1098</f>
        <v>20.9801334292112</v>
      </c>
      <c r="I1099" s="8" t="n">
        <f aca="false">Sens!I1097/Sens!I1098</f>
        <v>22.44288839139</v>
      </c>
      <c r="J1099" s="8" t="n">
        <f aca="false">Sens!J1097/Sens!J1098</f>
        <v>23.9511949424813</v>
      </c>
      <c r="K1099" s="8" t="n">
        <f aca="false">Sens!K1097/Sens!K1098</f>
        <v>25.5221290007592</v>
      </c>
      <c r="L1099" s="1" t="s">
        <v>1083</v>
      </c>
    </row>
    <row r="1100" customFormat="false" ht="17.15" hidden="false" customHeight="false" outlineLevel="0" collapsed="false">
      <c r="A1100" s="1" t="s">
        <v>1084</v>
      </c>
      <c r="B1100" s="0" t="s">
        <v>98</v>
      </c>
      <c r="D1100" s="6" t="n">
        <f aca="false">Sens!D1097</f>
        <v>101.832</v>
      </c>
      <c r="E1100" s="6" t="n">
        <f aca="false">Sens!E1097</f>
        <v>133.749</v>
      </c>
      <c r="F1100" s="6" t="n">
        <f aca="false">Sens!F1097+Sens!F1090*(1-tax_f)</f>
        <v>147.46756770625</v>
      </c>
      <c r="G1100" s="6" t="n">
        <f aca="false">Sens!G1097+Sens!G1090*(1-tax_f)</f>
        <v>167.056438219521</v>
      </c>
      <c r="H1100" s="6" t="n">
        <f aca="false">Sens!H1097+Sens!H1090*(1-tax_f)</f>
        <v>192.327732983611</v>
      </c>
      <c r="I1100" s="6" t="n">
        <f aca="false">Sens!I1097+Sens!I1090*(1-tax_f)</f>
        <v>216.170235407569</v>
      </c>
      <c r="J1100" s="6" t="n">
        <f aca="false">Sens!J1097+Sens!J1090*(1-tax_f)</f>
        <v>236.556973748032</v>
      </c>
      <c r="K1100" s="6" t="n">
        <f aca="false">Sens!K1097+Sens!K1090*(1-tax_f)</f>
        <v>253.600160416279</v>
      </c>
    </row>
    <row r="1101" customFormat="false" ht="17.15" hidden="false" customHeight="false" outlineLevel="0" collapsed="false">
      <c r="A1101" s="0" t="s">
        <v>1085</v>
      </c>
      <c r="B1101" s="0" t="s">
        <v>75</v>
      </c>
      <c r="D1101" s="8" t="n">
        <f aca="false">Sens!D1100/Sens!D1098</f>
        <v>13.641259209645</v>
      </c>
      <c r="E1101" s="8" t="n">
        <f aca="false">Sens!E1100/Sens!E1098</f>
        <v>17.9456594659869</v>
      </c>
      <c r="F1101" s="8" t="n">
        <f aca="false">Sens!F1100/Sens!F1098</f>
        <v>19.7320623143441</v>
      </c>
      <c r="G1101" s="8" t="n">
        <f aca="false">Sens!G1100/Sens!G1098</f>
        <v>22.2193839488623</v>
      </c>
      <c r="H1101" s="8" t="n">
        <f aca="false">Sens!H1100/Sens!H1098</f>
        <v>25.4577189165463</v>
      </c>
      <c r="I1101" s="8" t="n">
        <f aca="false">Sens!I1100/Sens!I1098</f>
        <v>28.5370896456682</v>
      </c>
      <c r="J1101" s="8" t="n">
        <f aca="false">Sens!J1100/Sens!J1098</f>
        <v>31.1701635095996</v>
      </c>
      <c r="K1101" s="8" t="n">
        <f aca="false">Sens!K1100/Sens!K1098</f>
        <v>33.343669247969</v>
      </c>
      <c r="L1101" s="1" t="s">
        <v>1086</v>
      </c>
    </row>
    <row r="1102" customFormat="false" ht="17.15" hidden="false" customHeight="false" outlineLevel="0" collapsed="false">
      <c r="A1102" s="0" t="s">
        <v>1087</v>
      </c>
      <c r="B1102" s="0" t="s">
        <v>168</v>
      </c>
      <c r="E1102" s="7" t="n">
        <f aca="false">Sens!E1101/Sens!D1101-1</f>
        <v>0.315542736208578</v>
      </c>
      <c r="F1102" s="7" t="n">
        <f aca="false">Sens!F1101/Sens!E1101-1</f>
        <v>0.0995451213003931</v>
      </c>
      <c r="G1102" s="7" t="n">
        <f aca="false">Sens!G1101/Sens!F1101-1</f>
        <v>0.126054823611119</v>
      </c>
      <c r="H1102" s="7" t="n">
        <f aca="false">Sens!H1101/Sens!G1101-1</f>
        <v>0.14574368826503</v>
      </c>
      <c r="I1102" s="7" t="n">
        <f aca="false">Sens!I1101/Sens!H1101-1</f>
        <v>0.12096019832792</v>
      </c>
      <c r="J1102" s="7" t="n">
        <f aca="false">Sens!J1101/Sens!I1101-1</f>
        <v>0.0922684792536683</v>
      </c>
      <c r="K1102" s="7" t="n">
        <f aca="false">Sens!K1101/Sens!J1101-1</f>
        <v>0.0697303284180737</v>
      </c>
    </row>
    <row r="1103" customFormat="false" ht="17.15" hidden="false" customHeight="false" outlineLevel="0" collapsed="false">
      <c r="A1103" s="0" t="s">
        <v>1007</v>
      </c>
      <c r="B1103" s="0" t="s">
        <v>98</v>
      </c>
      <c r="E1103" s="6" t="n">
        <f aca="false">Sens!E1044</f>
        <v>5.25</v>
      </c>
      <c r="F1103" s="6" t="n">
        <f aca="false">Sens!F1044</f>
        <v>12</v>
      </c>
      <c r="G1103" s="6" t="n">
        <f aca="false">Sens!G1044</f>
        <v>18</v>
      </c>
      <c r="H1103" s="6" t="n">
        <f aca="false">Sens!H1044</f>
        <v>24</v>
      </c>
      <c r="I1103" s="6" t="n">
        <f aca="false">Sens!I1044</f>
        <v>28.5</v>
      </c>
      <c r="J1103" s="6" t="n">
        <f aca="false">Sens!J1044</f>
        <v>31.5</v>
      </c>
      <c r="K1103" s="6" t="n">
        <f aca="false">Sens!K1044</f>
        <v>34.5</v>
      </c>
    </row>
    <row r="1104" customFormat="false" ht="17.15" hidden="false" customHeight="false" outlineLevel="0" collapsed="false">
      <c r="A1104" s="1" t="s">
        <v>1008</v>
      </c>
      <c r="B1104" s="0" t="s">
        <v>98</v>
      </c>
      <c r="F1104" s="6" t="n">
        <f aca="false">MAX(0,((Sens!E1004+Sens!F1004)/2-(shadow_base*(Sens!$D$1004+Sens!$E$1004)/2+(1-shadow_base)*Sens!$E$1004))*Sens!F1013/1000-(Sens!F1103-Sens!$E$1103)*Sens!F1083)</f>
        <v>9.7398427716299</v>
      </c>
      <c r="G1104" s="6" t="n">
        <f aca="false">MAX(0,((Sens!F1004+Sens!G1004)/2-(shadow_base*(Sens!$D$1004+Sens!$E$1004)/2+(1-shadow_base)*Sens!$E$1004))*Sens!G1013/1000-(Sens!G1103-Sens!$E$1103)*Sens!G1083)</f>
        <v>25.2753385959797</v>
      </c>
      <c r="H1104" s="6" t="n">
        <f aca="false">MAX(0,((Sens!G1004+Sens!H1004)/2-(shadow_base*(Sens!$D$1004+Sens!$E$1004)/2+(1-shadow_base)*Sens!$E$1004))*Sens!H1013/1000-(Sens!H1103-Sens!$E$1103)*Sens!H1083)</f>
        <v>42.2840253697948</v>
      </c>
      <c r="I1104" s="6" t="n">
        <f aca="false">MAX(0,((Sens!H1004+Sens!I1004)/2-(shadow_base*(Sens!$D$1004+Sens!$E$1004)/2+(1-shadow_base)*Sens!$E$1004))*Sens!I1013/1000-(Sens!I1103-Sens!$E$1103)*Sens!I1083)</f>
        <v>57.704943641581</v>
      </c>
      <c r="J1104" s="6" t="n">
        <f aca="false">MAX(0,((Sens!I1004+Sens!J1004)/2-(shadow_base*(Sens!$D$1004+Sens!$E$1004)/2+(1-shadow_base)*Sens!$E$1004))*Sens!J1013/1000-(Sens!J1103-Sens!$E$1103)*Sens!J1083)</f>
        <v>68.4828520908201</v>
      </c>
      <c r="K1104" s="6" t="n">
        <f aca="false">MAX(0,((Sens!J1004+Sens!K1004)/2-(shadow_base*(Sens!$D$1004+Sens!$E$1004)/2+(1-shadow_base)*Sens!$E$1004))*Sens!K1013/1000-(Sens!K1103-Sens!$E$1103)*Sens!K1083)</f>
        <v>74.3598374943249</v>
      </c>
      <c r="L1104" s="1" t="s">
        <v>1009</v>
      </c>
    </row>
    <row r="1105" customFormat="false" ht="17.15" hidden="false" customHeight="false" outlineLevel="0" collapsed="false">
      <c r="A1105" s="1" t="s">
        <v>1010</v>
      </c>
      <c r="B1105" s="0" t="s">
        <v>98</v>
      </c>
      <c r="F1105" s="6" t="n">
        <f aca="false">IF(internal_ai_reading=2,1,0)*Sens!F1104</f>
        <v>9.7398427716299</v>
      </c>
      <c r="G1105" s="6" t="n">
        <f aca="false">IF(internal_ai_reading=2,1,0)*Sens!G1104</f>
        <v>25.2753385959797</v>
      </c>
      <c r="H1105" s="6" t="n">
        <f aca="false">IF(internal_ai_reading=2,1,0)*Sens!H1104</f>
        <v>42.2840253697948</v>
      </c>
      <c r="I1105" s="6" t="n">
        <f aca="false">IF(internal_ai_reading=2,1,0)*Sens!I1104</f>
        <v>57.704943641581</v>
      </c>
      <c r="J1105" s="6" t="n">
        <f aca="false">IF(internal_ai_reading=2,1,0)*Sens!J1104</f>
        <v>68.4828520908201</v>
      </c>
      <c r="K1105" s="6" t="n">
        <f aca="false">IF(internal_ai_reading=2,1,0)*Sens!K1104</f>
        <v>74.3598374943249</v>
      </c>
    </row>
    <row r="1106" customFormat="false" ht="17.15" hidden="false" customHeight="false" outlineLevel="0" collapsed="false">
      <c r="A1106" s="0" t="s">
        <v>1011</v>
      </c>
      <c r="B1106" s="0" t="s">
        <v>98</v>
      </c>
      <c r="F1106" s="6" t="n">
        <f aca="false">Sens!F1023+Sens!F1103*Sens!F1083+Sens!F1105-Sens!F1024-Sens!F1035</f>
        <v>6.5035080303127</v>
      </c>
      <c r="G1106" s="6" t="n">
        <f aca="false">Sens!G1023+Sens!G1103*Sens!G1083+Sens!G1105-Sens!G1024-Sens!G1035</f>
        <v>17.3417812664679</v>
      </c>
      <c r="H1106" s="6" t="n">
        <f aca="false">Sens!H1023+Sens!H1103*Sens!H1083+Sens!H1105-Sens!H1024-Sens!H1035</f>
        <v>28.6518609303911</v>
      </c>
      <c r="I1106" s="6" t="n">
        <f aca="false">Sens!I1023+Sens!I1103*Sens!I1083+Sens!I1105-Sens!I1024-Sens!I1035</f>
        <v>38.5570243858421</v>
      </c>
      <c r="J1106" s="6" t="n">
        <f aca="false">Sens!J1023+Sens!J1103*Sens!J1083+Sens!J1105-Sens!J1024-Sens!J1035</f>
        <v>45.3108173666651</v>
      </c>
      <c r="K1106" s="6" t="n">
        <f aca="false">Sens!K1023+Sens!K1103*Sens!K1083+Sens!K1105-Sens!K1024-Sens!K1035</f>
        <v>49.8637624734541</v>
      </c>
    </row>
    <row r="1107" customFormat="false" ht="17.15" hidden="false" customHeight="false" outlineLevel="0" collapsed="false">
      <c r="A1107" s="0" t="s">
        <v>1012</v>
      </c>
      <c r="B1107" s="0" t="s">
        <v>98</v>
      </c>
      <c r="E1107" s="6" t="n">
        <f aca="false">Sens!E1003*(cxit_open+self_build*tk_cxfac)/1000*ai_net_open</f>
        <v>126.6980382</v>
      </c>
      <c r="F1107" s="6" t="n">
        <f aca="false">Sens!E1107+Sens!F1032-Sens!F1035</f>
        <v>260.572627763768</v>
      </c>
      <c r="G1107" s="6" t="n">
        <f aca="false">Sens!F1107+Sens!G1032-Sens!G1035</f>
        <v>391.782612760517</v>
      </c>
      <c r="H1107" s="6" t="n">
        <f aca="false">Sens!G1107+Sens!H1032-Sens!H1035</f>
        <v>499.488526163584</v>
      </c>
      <c r="I1107" s="6" t="n">
        <f aca="false">Sens!H1107+Sens!I1032-Sens!I1035</f>
        <v>553.872350090646</v>
      </c>
      <c r="J1107" s="6" t="n">
        <f aca="false">Sens!I1107+Sens!J1032-Sens!J1035</f>
        <v>550.78660823699</v>
      </c>
      <c r="K1107" s="6" t="n">
        <f aca="false">Sens!J1107+Sens!K1032-Sens!K1035</f>
        <v>526.736791750789</v>
      </c>
      <c r="L1107" s="1" t="s">
        <v>1013</v>
      </c>
    </row>
    <row r="1108" customFormat="false" ht="17.15" hidden="false" customHeight="false" outlineLevel="0" collapsed="false">
      <c r="A1108" s="0" t="s">
        <v>1014</v>
      </c>
      <c r="B1108" s="0" t="s">
        <v>168</v>
      </c>
      <c r="F1108" s="7" t="n">
        <f aca="false">Sens!F1106*(1-tax_f)/((Sens!E1107+Sens!F1107)/2)</f>
        <v>0.0268690963788975</v>
      </c>
      <c r="G1108" s="7" t="n">
        <f aca="false">Sens!G1106*(1-tax_f)/((Sens!F1107+Sens!G1107)/2)</f>
        <v>0.0425333442620144</v>
      </c>
      <c r="H1108" s="7" t="n">
        <f aca="false">Sens!H1106*(1-tax_f)/((Sens!G1107+Sens!H1107)/2)</f>
        <v>0.0514355009228339</v>
      </c>
      <c r="I1108" s="7" t="n">
        <f aca="false">Sens!I1106*(1-tax_f)/((Sens!H1107+Sens!I1107)/2)</f>
        <v>0.0585661005720305</v>
      </c>
      <c r="J1108" s="7" t="n">
        <f aca="false">Sens!J1106*(1-tax_f)/((Sens!I1107+Sens!J1107)/2)</f>
        <v>0.0656286786434242</v>
      </c>
      <c r="K1108" s="7" t="n">
        <f aca="false">Sens!K1106*(1-tax_f)/((Sens!J1107+Sens!K1107)/2)</f>
        <v>0.0740420300463372</v>
      </c>
    </row>
    <row r="1109" customFormat="false" ht="17.15" hidden="false" customHeight="false" outlineLevel="0" collapsed="false">
      <c r="A1109" s="1" t="s">
        <v>1015</v>
      </c>
      <c r="B1109" s="0" t="s">
        <v>168</v>
      </c>
      <c r="F1109" s="7" t="n">
        <f aca="false">(Sens!F1106-Sens!F1105)*(1-tax_f)/((Sens!E1107+Sens!F1107)/2)</f>
        <v>-0.0133708438082217</v>
      </c>
      <c r="G1109" s="7" t="n">
        <f aca="false">(Sens!G1106-Sens!G1105)*(1-tax_f)/((Sens!F1107+Sens!G1107)/2)</f>
        <v>-0.0194582505645501</v>
      </c>
      <c r="H1109" s="7" t="n">
        <f aca="false">(Sens!H1106-Sens!H1105)*(1-tax_f)/((Sens!G1107+Sens!H1107)/2)</f>
        <v>-0.0244723094359092</v>
      </c>
      <c r="I1109" s="7" t="n">
        <f aca="false">(Sens!I1106-Sens!I1105)*(1-tax_f)/((Sens!H1107+Sens!I1107)/2)</f>
        <v>-0.0290846864543962</v>
      </c>
      <c r="J1109" s="7" t="n">
        <f aca="false">(Sens!J1106-Sens!J1105)*(1-tax_f)/((Sens!I1107+Sens!J1107)/2)</f>
        <v>-0.0335626260749082</v>
      </c>
      <c r="K1109" s="7" t="n">
        <f aca="false">(Sens!K1106-Sens!K1105)*(1-tax_f)/((Sens!J1107+Sens!K1107)/2)</f>
        <v>-0.0363738922364357</v>
      </c>
    </row>
    <row r="1110" customFormat="false" ht="17.15" hidden="false" customHeight="false" outlineLevel="0" collapsed="false">
      <c r="A1110" s="1" t="s">
        <v>1016</v>
      </c>
      <c r="B1110" s="0" t="s">
        <v>168</v>
      </c>
      <c r="F1110" s="7" t="n">
        <f aca="false">(Sens!F1106-Sens!F1105+Sens!F1104)*(1-tax_f)/((Sens!E1107+Sens!F1107)/2)</f>
        <v>0.0268690963788975</v>
      </c>
      <c r="G1110" s="7" t="n">
        <f aca="false">(Sens!G1106-Sens!G1105+Sens!G1104)*(1-tax_f)/((Sens!F1107+Sens!G1107)/2)</f>
        <v>0.0425333442620144</v>
      </c>
      <c r="H1110" s="7" t="n">
        <f aca="false">(Sens!H1106-Sens!H1105+Sens!H1104)*(1-tax_f)/((Sens!G1107+Sens!H1107)/2)</f>
        <v>0.0514355009228339</v>
      </c>
      <c r="I1110" s="7" t="n">
        <f aca="false">(Sens!I1106-Sens!I1105+Sens!I1104)*(1-tax_f)/((Sens!H1107+Sens!I1107)/2)</f>
        <v>0.0585661005720305</v>
      </c>
      <c r="J1110" s="7" t="n">
        <f aca="false">(Sens!J1106-Sens!J1105+Sens!J1104)*(1-tax_f)/((Sens!I1107+Sens!J1107)/2)</f>
        <v>0.0656286786434242</v>
      </c>
      <c r="K1110" s="7" t="n">
        <f aca="false">(Sens!K1106-Sens!K1105+Sens!K1104)*(1-tax_f)/((Sens!J1107+Sens!K1107)/2)</f>
        <v>0.0740420300463372</v>
      </c>
    </row>
    <row r="1111" customFormat="false" ht="17.15" hidden="false" customHeight="false" outlineLevel="0" collapsed="false">
      <c r="A1111" s="1" t="s">
        <v>1017</v>
      </c>
      <c r="B1111" s="0" t="s">
        <v>168</v>
      </c>
      <c r="F1111" s="7" t="n">
        <f aca="false">Sens!F1036*(1-tax_f)/(Sens!F1022*(Sens!E1107+Sens!F1107)/2)</f>
        <v>0.07206164825258</v>
      </c>
      <c r="G1111" s="7" t="n">
        <f aca="false">Sens!G1036*(1-tax_f)/(Sens!G1022*(Sens!F1107+Sens!G1107)/2)</f>
        <v>0.0712215126705486</v>
      </c>
      <c r="H1111" s="7" t="n">
        <f aca="false">Sens!H1036*(1-tax_f)/(Sens!H1022*(Sens!G1107+Sens!H1107)/2)</f>
        <v>0.0732944860112873</v>
      </c>
      <c r="I1111" s="7" t="n">
        <f aca="false">Sens!I1036*(1-tax_f)/(Sens!I1022*(Sens!H1107+Sens!I1107)/2)</f>
        <v>0.077628293090758</v>
      </c>
      <c r="J1111" s="7" t="n">
        <f aca="false">Sens!J1036*(1-tax_f)/(Sens!J1022*(Sens!I1107+Sens!J1107)/2)</f>
        <v>0.0842479601524859</v>
      </c>
      <c r="K1111" s="7" t="n">
        <f aca="false">Sens!K1036*(1-tax_f)/(Sens!K1022*(Sens!J1107+Sens!K1107)/2)</f>
        <v>0.0937558461767414</v>
      </c>
    </row>
    <row r="1112" customFormat="false" ht="17.15" hidden="false" customHeight="false" outlineLevel="0" collapsed="false">
      <c r="A1112" s="0" t="s">
        <v>1018</v>
      </c>
      <c r="B1112" s="0" t="s">
        <v>253</v>
      </c>
      <c r="F1112" s="7" t="n">
        <f aca="false">Sens!F1108-wacc</f>
        <v>-0.0760674945666998</v>
      </c>
      <c r="G1112" s="7" t="n">
        <f aca="false">Sens!G1108-wacc</f>
        <v>-0.0604032466835829</v>
      </c>
      <c r="H1112" s="7" t="n">
        <f aca="false">Sens!H1108-wacc</f>
        <v>-0.0515010900227634</v>
      </c>
      <c r="I1112" s="7" t="n">
        <f aca="false">Sens!I1108-wacc</f>
        <v>-0.0443704903735668</v>
      </c>
      <c r="J1112" s="7" t="n">
        <f aca="false">Sens!J1108-wacc</f>
        <v>-0.0373079123021731</v>
      </c>
      <c r="K1112" s="7" t="n">
        <f aca="false">Sens!K1108-wacc</f>
        <v>-0.0288945608992601</v>
      </c>
    </row>
    <row r="1113" customFormat="false" ht="17.15" hidden="false" customHeight="false" outlineLevel="0" collapsed="false">
      <c r="A1113" s="0" t="s">
        <v>1019</v>
      </c>
      <c r="B1113" s="0" t="s">
        <v>98</v>
      </c>
      <c r="F1113" s="6" t="n">
        <f aca="false">Sens!F1106*(1-tax_f)-wacc*(Sens!E1107+Sens!F1107)/2</f>
        <v>-14.7293546395206</v>
      </c>
      <c r="G1113" s="6" t="n">
        <f aca="false">Sens!G1106*(1-tax_f)-wacc*(Sens!F1107+Sens!G1107)/2</f>
        <v>-19.7021872593582</v>
      </c>
      <c r="H1113" s="6" t="n">
        <f aca="false">Sens!H1106*(1-tax_f)-wacc*(Sens!G1107+Sens!H1107)/2</f>
        <v>-22.9507175802105</v>
      </c>
      <c r="I1113" s="6" t="n">
        <f aca="false">Sens!I1106*(1-tax_f)-wacc*(Sens!H1107+Sens!I1107)/2</f>
        <v>-23.3690693098651</v>
      </c>
      <c r="J1113" s="6" t="n">
        <f aca="false">Sens!J1106*(1-tax_f)-wacc*(Sens!I1107+Sens!J1107)/2</f>
        <v>-20.6062597705487</v>
      </c>
      <c r="K1113" s="6" t="n">
        <f aca="false">Sens!K1106*(1-tax_f)-wacc*(Sens!J1107+Sens!K1107)/2</f>
        <v>-15.5672827506623</v>
      </c>
    </row>
    <row r="1114" customFormat="false" ht="17.15" hidden="false" customHeight="false" outlineLevel="0" collapsed="false">
      <c r="A1114" s="3" t="s">
        <v>1638</v>
      </c>
    </row>
    <row r="1115" customFormat="false" ht="15" hidden="false" customHeight="false" outlineLevel="0" collapsed="false">
      <c r="A1115" s="4" t="s">
        <v>43</v>
      </c>
      <c r="B1115" s="4" t="s">
        <v>65</v>
      </c>
      <c r="C1115" s="23" t="s">
        <v>942</v>
      </c>
      <c r="D1115" s="23" t="s">
        <v>943</v>
      </c>
      <c r="E1115" s="23" t="s">
        <v>944</v>
      </c>
      <c r="F1115" s="23" t="s">
        <v>945</v>
      </c>
      <c r="G1115" s="23" t="s">
        <v>946</v>
      </c>
      <c r="H1115" s="23" t="s">
        <v>947</v>
      </c>
      <c r="I1115" s="23" t="s">
        <v>948</v>
      </c>
      <c r="J1115" s="23" t="s">
        <v>949</v>
      </c>
      <c r="K1115" s="23" t="s">
        <v>950</v>
      </c>
      <c r="L1115" s="4" t="s">
        <v>47</v>
      </c>
    </row>
    <row r="1116" customFormat="false" ht="15" hidden="false" customHeight="false" outlineLevel="0" collapsed="false">
      <c r="A1116" s="1" t="s">
        <v>1080</v>
      </c>
      <c r="B1116" s="0" t="s">
        <v>98</v>
      </c>
      <c r="F1116" s="6" t="n">
        <f aca="false">Sens!F1097</f>
        <v>139.675693488946</v>
      </c>
      <c r="G1116" s="6" t="n">
        <f aca="false">Sens!G1097</f>
        <v>146.836167342738</v>
      </c>
      <c r="H1116" s="6" t="n">
        <f aca="false">Sens!H1097</f>
        <v>158.500512687775</v>
      </c>
      <c r="I1116" s="6" t="n">
        <f aca="false">Sens!I1097</f>
        <v>170.006280494304</v>
      </c>
      <c r="J1116" s="6" t="n">
        <f aca="false">Sens!J1097</f>
        <v>181.770692075376</v>
      </c>
      <c r="K1116" s="6" t="n">
        <f aca="false">Sens!K1097</f>
        <v>194.112290420819</v>
      </c>
    </row>
    <row r="1117" customFormat="false" ht="17.15" hidden="false" customHeight="false" outlineLevel="0" collapsed="false">
      <c r="A1117" s="1" t="s">
        <v>1102</v>
      </c>
      <c r="B1117" s="0" t="s">
        <v>98</v>
      </c>
      <c r="E1117" s="6" t="n">
        <f aca="false">Q!M38-Sens!E1035</f>
        <v>22.2285940229167</v>
      </c>
      <c r="F1117" s="6" t="n">
        <f aca="false">Sens!E1117*(1-1/life_nonai)+(Sens!F1125+Sens!F1126)/life_nonai</f>
        <v>23.6168450007293</v>
      </c>
      <c r="G1117" s="6" t="n">
        <f aca="false">Sens!F1117*(1-1/life_nonai)+(Sens!G1125)/life_nonai</f>
        <v>25.4345719377656</v>
      </c>
      <c r="H1117" s="6" t="n">
        <f aca="false">Sens!G1117*(1-1/life_nonai)+(Sens!H1125)/life_nonai</f>
        <v>27.6475274688719</v>
      </c>
      <c r="I1117" s="6" t="n">
        <f aca="false">Sens!H1117*(1-1/life_nonai)+(Sens!I1125)/life_nonai</f>
        <v>30.1886240787705</v>
      </c>
      <c r="J1117" s="6" t="n">
        <f aca="false">Sens!I1117*(1-1/life_nonai)+(Sens!J1125)/life_nonai</f>
        <v>32.9735560385483</v>
      </c>
      <c r="K1117" s="6" t="n">
        <f aca="false">Sens!J1117*(1-1/life_nonai)+(Sens!K1125)/life_nonai</f>
        <v>35.916728860328</v>
      </c>
      <c r="L1117" s="12" t="s">
        <v>1103</v>
      </c>
    </row>
    <row r="1118" customFormat="false" ht="17.15" hidden="false" customHeight="false" outlineLevel="0" collapsed="false">
      <c r="A1118" s="1" t="s">
        <v>1104</v>
      </c>
      <c r="B1118" s="0" t="s">
        <v>98</v>
      </c>
      <c r="F1118" s="6" t="n">
        <f aca="false">Sens!$F$1126/life_nonai*(1-1/life_nonai)^(Sens!F998-2027)</f>
        <v>0</v>
      </c>
      <c r="G1118" s="6" t="n">
        <f aca="false">Sens!$F$1126/life_nonai*(1-1/life_nonai)^(Sens!G998-2027)</f>
        <v>0</v>
      </c>
      <c r="H1118" s="6" t="n">
        <f aca="false">Sens!$F$1126/life_nonai*(1-1/life_nonai)^(Sens!H998-2027)</f>
        <v>0</v>
      </c>
      <c r="I1118" s="6" t="n">
        <f aca="false">Sens!$F$1126/life_nonai*(1-1/life_nonai)^(Sens!I998-2027)</f>
        <v>0</v>
      </c>
      <c r="J1118" s="6" t="n">
        <f aca="false">Sens!$F$1126/life_nonai*(1-1/life_nonai)^(Sens!J998-2027)</f>
        <v>0</v>
      </c>
      <c r="K1118" s="6" t="n">
        <f aca="false">Sens!$F$1126/life_nonai*(1-1/life_nonai)^(Sens!K998-2027)</f>
        <v>0</v>
      </c>
      <c r="L1118" s="1" t="s">
        <v>1105</v>
      </c>
    </row>
    <row r="1119" customFormat="false" ht="17.15" hidden="false" customHeight="false" outlineLevel="0" collapsed="false">
      <c r="A1119" s="1" t="s">
        <v>1106</v>
      </c>
      <c r="B1119" s="0" t="s">
        <v>98</v>
      </c>
      <c r="E1119" s="6" t="n">
        <f aca="false">Sens!E1035+Sens!E1117</f>
        <v>38.534</v>
      </c>
      <c r="F1119" s="6" t="n">
        <f aca="false">Sens!F1035+Sens!F1117</f>
        <v>58.196159479081</v>
      </c>
      <c r="G1119" s="6" t="n">
        <f aca="false">Sens!G1035+Sens!G1117</f>
        <v>86.1690625900645</v>
      </c>
      <c r="H1119" s="6" t="n">
        <f aca="false">Sens!H1035+Sens!H1117</f>
        <v>116.747618130318</v>
      </c>
      <c r="I1119" s="6" t="n">
        <f aca="false">Sens!I1035+Sens!I1117</f>
        <v>144.419633773319</v>
      </c>
      <c r="J1119" s="6" t="n">
        <f aca="false">Sens!J1035+Sens!J1117</f>
        <v>164.989229088144</v>
      </c>
      <c r="K1119" s="6" t="n">
        <f aca="false">Sens!K1035+Sens!K1117</f>
        <v>178.929398411262</v>
      </c>
    </row>
    <row r="1120" customFormat="false" ht="17.15" hidden="false" customHeight="false" outlineLevel="0" collapsed="false">
      <c r="A1120" s="1" t="s">
        <v>1107</v>
      </c>
      <c r="B1120" s="0" t="s">
        <v>98</v>
      </c>
      <c r="F1120" s="6" t="n">
        <f aca="false">Sens!F1062*sbc_r</f>
        <v>14.6750565258887</v>
      </c>
      <c r="G1120" s="6" t="n">
        <f aca="false">Sens!G1062*sbc_r</f>
        <v>17.3811614564841</v>
      </c>
      <c r="H1120" s="6" t="n">
        <f aca="false">Sens!H1062*sbc_r</f>
        <v>20.1497915599145</v>
      </c>
      <c r="I1120" s="6" t="n">
        <f aca="false">Sens!I1062*sbc_r</f>
        <v>22.7014305735548</v>
      </c>
      <c r="J1120" s="6" t="n">
        <f aca="false">Sens!J1062*sbc_r</f>
        <v>24.8142904918671</v>
      </c>
      <c r="K1120" s="6" t="n">
        <f aca="false">Sens!K1062*sbc_r</f>
        <v>26.5343847770851</v>
      </c>
    </row>
    <row r="1121" customFormat="false" ht="17.15" hidden="false" customHeight="false" outlineLevel="0" collapsed="false">
      <c r="A1121" s="1" t="s">
        <v>1108</v>
      </c>
      <c r="B1121" s="0" t="s">
        <v>98</v>
      </c>
      <c r="F1121" s="6" t="n">
        <f aca="false">wc27-wc26q1</f>
        <v>-4.677</v>
      </c>
      <c r="G1121" s="6" t="n">
        <f aca="false">wc_f</f>
        <v>0</v>
      </c>
      <c r="H1121" s="6" t="n">
        <f aca="false">wc_f</f>
        <v>0</v>
      </c>
      <c r="I1121" s="6" t="n">
        <f aca="false">wc_f</f>
        <v>0</v>
      </c>
      <c r="J1121" s="6" t="n">
        <f aca="false">wc_f</f>
        <v>0</v>
      </c>
      <c r="K1121" s="6" t="n">
        <f aca="false">wc_f</f>
        <v>0</v>
      </c>
      <c r="L1121" s="12" t="s">
        <v>1109</v>
      </c>
    </row>
    <row r="1122" customFormat="false" ht="17.15" hidden="false" customHeight="false" outlineLevel="0" collapsed="false">
      <c r="A1122" s="0" t="s">
        <v>1110</v>
      </c>
      <c r="B1122" s="0" t="s">
        <v>98</v>
      </c>
      <c r="F1122" s="6" t="n">
        <f aca="false">Q!$I$35-Q!$I$26-Q!$I$38-Q!$I$39</f>
        <v>6.493</v>
      </c>
      <c r="L1122" s="1" t="s">
        <v>1111</v>
      </c>
    </row>
    <row r="1123" customFormat="false" ht="15" hidden="false" customHeight="false" outlineLevel="0" collapsed="false">
      <c r="A1123" s="1" t="s">
        <v>908</v>
      </c>
      <c r="B1123" s="0" t="s">
        <v>98</v>
      </c>
      <c r="E1123" s="6" t="n">
        <f aca="false">Q!M35</f>
        <v>182.935</v>
      </c>
      <c r="F1123" s="6" t="n">
        <f aca="false">Sens!F1116+Sens!F1119+Sens!F1120+Sens!F1121+Sens!F1122</f>
        <v>214.362909493916</v>
      </c>
      <c r="G1123" s="6" t="n">
        <f aca="false">Sens!G1116+Sens!G1119+Sens!G1120+Sens!G1121</f>
        <v>250.386391389286</v>
      </c>
      <c r="H1123" s="6" t="n">
        <f aca="false">Sens!H1116+Sens!H1119+Sens!H1120+Sens!H1121</f>
        <v>295.397922378007</v>
      </c>
      <c r="I1123" s="6" t="n">
        <f aca="false">Sens!I1116+Sens!I1119+Sens!I1120+Sens!I1121</f>
        <v>337.127344841178</v>
      </c>
      <c r="J1123" s="6" t="n">
        <f aca="false">Sens!J1116+Sens!J1119+Sens!J1120+Sens!J1121</f>
        <v>371.574211655387</v>
      </c>
      <c r="K1123" s="6" t="n">
        <f aca="false">Sens!K1116+Sens!K1119+Sens!K1120+Sens!K1121</f>
        <v>399.576073609166</v>
      </c>
    </row>
    <row r="1124" customFormat="false" ht="17.15" hidden="false" customHeight="false" outlineLevel="0" collapsed="false">
      <c r="A1124" s="0" t="s">
        <v>1112</v>
      </c>
      <c r="B1124" s="0" t="s">
        <v>98</v>
      </c>
      <c r="F1124" s="6" t="n">
        <f aca="false">Sens!F1032</f>
        <v>168.45390404212</v>
      </c>
      <c r="G1124" s="6" t="n">
        <f aca="false">Sens!G1032</f>
        <v>191.944475649048</v>
      </c>
      <c r="H1124" s="6" t="n">
        <f aca="false">Sens!H1032</f>
        <v>196.806004064512</v>
      </c>
      <c r="I1124" s="6" t="n">
        <f aca="false">Sens!I1032</f>
        <v>168.61483362161</v>
      </c>
      <c r="J1124" s="6" t="n">
        <f aca="false">Sens!J1032</f>
        <v>128.92993119594</v>
      </c>
      <c r="K1124" s="6" t="n">
        <f aca="false">Sens!K1032</f>
        <v>118.962853064733</v>
      </c>
    </row>
    <row r="1125" customFormat="false" ht="17.15" hidden="false" customHeight="false" outlineLevel="0" collapsed="false">
      <c r="A1125" s="1" t="s">
        <v>1113</v>
      </c>
      <c r="B1125" s="0" t="s">
        <v>98</v>
      </c>
      <c r="E1125" s="6" t="n">
        <f aca="false">Sens!E1040*cx_azo+Sens!E1047*cx_m365+Sens!E1048*cx_lic+(Sens!E1050+Sens!E1052)*cx_ind+Sens!E1055*cx_srch+(Sens!E1057+Sens!E1059)*cx_dev</f>
        <v>30.1846587067718</v>
      </c>
      <c r="F1125" s="6" t="n">
        <f aca="false">Sens!F1040*cx_azo+Sens!F1047*cx_m365+Sens!F1048*cx_lic+(Sens!F1050+Sens!F1052)*cx_ind+Sens!F1055*cx_srch+(Sens!F1057+Sens!F1059)*cx_dev</f>
        <v>36.1111038010432</v>
      </c>
      <c r="G1125" s="6" t="n">
        <f aca="false">Sens!G1040*cx_azo+Sens!G1047*cx_m365+Sens!G1048*cx_lic+(Sens!G1050+Sens!G1052)*cx_ind+Sens!G1055*cx_srch+(Sens!G1057+Sens!G1059)*cx_dev</f>
        <v>41.794114371092</v>
      </c>
      <c r="H1125" s="6" t="n">
        <f aca="false">Sens!H1040*cx_azo+Sens!H1047*cx_m365+Sens!H1048*cx_lic+(Sens!H1050+Sens!H1052)*cx_ind+Sens!H1055*cx_srch+(Sens!H1057+Sens!H1059)*cx_dev</f>
        <v>47.5641272488289</v>
      </c>
      <c r="I1125" s="6" t="n">
        <f aca="false">Sens!I1040*cx_azo+Sens!I1047*cx_m365+Sens!I1048*cx_lic+(Sens!I1050+Sens!I1052)*cx_ind+Sens!I1055*cx_srch+(Sens!I1057+Sens!I1059)*cx_dev</f>
        <v>53.0584935678576</v>
      </c>
      <c r="J1125" s="6" t="n">
        <f aca="false">Sens!J1040*cx_azo+Sens!J1047*cx_m365+Sens!J1048*cx_lic+(Sens!J1050+Sens!J1052)*cx_ind+Sens!J1055*cx_srch+(Sens!J1057+Sens!J1059)*cx_dev</f>
        <v>58.0379436765484</v>
      </c>
      <c r="K1125" s="6" t="n">
        <f aca="false">Sens!K1040*cx_azo+Sens!K1047*cx_m365+Sens!K1048*cx_lic+(Sens!K1050+Sens!K1052)*cx_ind+Sens!K1055*cx_srch+(Sens!K1057+Sens!K1059)*cx_dev</f>
        <v>62.405284256345</v>
      </c>
    </row>
    <row r="1126" customFormat="false" ht="17.15" hidden="false" customHeight="false" outlineLevel="0" collapsed="false">
      <c r="A1126" s="0" t="s">
        <v>1114</v>
      </c>
      <c r="B1126" s="0" t="s">
        <v>98</v>
      </c>
      <c r="F1126" s="6" t="n">
        <f aca="false">Sens!F1030</f>
        <v>0</v>
      </c>
      <c r="L1126" s="1" t="s">
        <v>1115</v>
      </c>
    </row>
    <row r="1127" customFormat="false" ht="17.15" hidden="false" customHeight="false" outlineLevel="0" collapsed="false">
      <c r="A1127" s="1" t="s">
        <v>1116</v>
      </c>
      <c r="B1127" s="0" t="s">
        <v>98</v>
      </c>
      <c r="E1127" s="6" t="n">
        <f aca="false">Q!M43</f>
        <v>145.3</v>
      </c>
      <c r="F1127" s="6" t="n">
        <f aca="false">Sens!F1124+Sens!F1125+Sens!F1126</f>
        <v>204.565007843163</v>
      </c>
      <c r="G1127" s="6" t="n">
        <f aca="false">Sens!G1124+Sens!G1125</f>
        <v>233.73859002014</v>
      </c>
      <c r="H1127" s="6" t="n">
        <f aca="false">Sens!H1124+Sens!H1125</f>
        <v>244.370131313341</v>
      </c>
      <c r="I1127" s="6" t="n">
        <f aca="false">Sens!I1124+Sens!I1125</f>
        <v>221.673327189468</v>
      </c>
      <c r="J1127" s="6" t="n">
        <f aca="false">Sens!J1124+Sens!J1125</f>
        <v>186.967874872489</v>
      </c>
      <c r="K1127" s="6" t="n">
        <f aca="false">Sens!K1124+Sens!K1125</f>
        <v>181.368137321078</v>
      </c>
      <c r="L1127" s="1" t="s">
        <v>1117</v>
      </c>
    </row>
    <row r="1128" customFormat="false" ht="15" hidden="false" customHeight="false" outlineLevel="0" collapsed="false">
      <c r="A1128" s="1" t="s">
        <v>1118</v>
      </c>
      <c r="B1128" s="0" t="s">
        <v>98</v>
      </c>
      <c r="E1128" s="6" t="n">
        <f aca="false">fl_liab</f>
        <v>66.594</v>
      </c>
      <c r="F1128" s="6" t="n">
        <f aca="false">Sens!E1128-Sens!F1129</f>
        <v>62.46973</v>
      </c>
      <c r="G1128" s="6" t="n">
        <f aca="false">Sens!F1128-Sens!G1129</f>
        <v>57.98686785</v>
      </c>
      <c r="H1128" s="6" t="n">
        <f aca="false">Sens!G1128-Sens!H1129</f>
        <v>53.92827690325</v>
      </c>
      <c r="I1128" s="6" t="n">
        <f aca="false">Sens!H1128-Sens!I1129</f>
        <v>49.7850493638962</v>
      </c>
      <c r="J1128" s="6" t="n">
        <f aca="false">Sens!I1128-Sens!J1129</f>
        <v>45.4823765852716</v>
      </c>
      <c r="K1128" s="6" t="n">
        <f aca="false">Sens!J1128-Sens!K1129</f>
        <v>40.9860835316088</v>
      </c>
    </row>
    <row r="1129" customFormat="false" ht="15" hidden="false" customHeight="false" outlineLevel="0" collapsed="false">
      <c r="A1129" s="1" t="s">
        <v>1119</v>
      </c>
      <c r="B1129" s="0" t="s">
        <v>98</v>
      </c>
      <c r="F1129" s="6" t="n">
        <f aca="false">fl_pay_27-Sens!E1128*fl_rate</f>
        <v>4.12427</v>
      </c>
      <c r="G1129" s="6" t="n">
        <f aca="false">fl_pay_28-Sens!F1128*fl_rate</f>
        <v>4.48286215</v>
      </c>
      <c r="H1129" s="6" t="n">
        <f aca="false">fl_pay_29-Sens!G1128*fl_rate</f>
        <v>4.05859094675</v>
      </c>
      <c r="I1129" s="6" t="n">
        <f aca="false">fl_pay_30-Sens!H1128*fl_rate</f>
        <v>4.14322753935375</v>
      </c>
      <c r="J1129" s="6" t="n">
        <f aca="false">fl_pay_31-Sens!I1128*fl_rate</f>
        <v>4.30267277862467</v>
      </c>
      <c r="K1129" s="6" t="n">
        <f aca="false">fl_pay_32-Sens!J1128*fl_rate</f>
        <v>4.49629305366278</v>
      </c>
    </row>
    <row r="1130" customFormat="false" ht="17.15" hidden="false" customHeight="false" outlineLevel="0" collapsed="false">
      <c r="A1130" s="1" t="s">
        <v>1120</v>
      </c>
      <c r="B1130" s="0" t="s">
        <v>98</v>
      </c>
      <c r="E1130" s="6" t="n">
        <f aca="false">Q!M35-Q!M36-Q!M44</f>
        <v>63.886</v>
      </c>
      <c r="F1130" s="6" t="n">
        <f aca="false">Sens!F1123-Sens!F1127-Sens!F1129</f>
        <v>5.67363165075332</v>
      </c>
      <c r="G1130" s="6" t="n">
        <f aca="false">Sens!G1123-Sens!G1127-Sens!G1129</f>
        <v>12.1649392191461</v>
      </c>
      <c r="H1130" s="6" t="n">
        <f aca="false">Sens!H1123-Sens!H1127-Sens!H1129</f>
        <v>46.969200117916</v>
      </c>
      <c r="I1130" s="6" t="n">
        <f aca="false">Sens!I1123-Sens!I1127-Sens!I1129</f>
        <v>111.310790112356</v>
      </c>
      <c r="J1130" s="6" t="n">
        <f aca="false">Sens!J1123-Sens!J1127-Sens!J1129</f>
        <v>180.303664004274</v>
      </c>
      <c r="K1130" s="6" t="n">
        <f aca="false">Sens!K1123-Sens!K1127-Sens!K1129</f>
        <v>213.711643234425</v>
      </c>
      <c r="L1130" s="12" t="s">
        <v>1121</v>
      </c>
    </row>
    <row r="1131" customFormat="false" ht="15" hidden="false" customHeight="false" outlineLevel="0" collapsed="false">
      <c r="A1131" s="1" t="s">
        <v>1122</v>
      </c>
      <c r="B1131" s="0" t="s">
        <v>75</v>
      </c>
      <c r="F1131" s="8" t="n">
        <f aca="false">dps_27</f>
        <v>3.85</v>
      </c>
      <c r="G1131" s="8" t="n">
        <f aca="false">Sens!F1131*(1+dps_g)</f>
        <v>4.158</v>
      </c>
      <c r="H1131" s="8" t="n">
        <f aca="false">Sens!G1131*(1+dps_g)</f>
        <v>4.49064</v>
      </c>
      <c r="I1131" s="8" t="n">
        <f aca="false">Sens!H1131*(1+dps_g)</f>
        <v>4.8498912</v>
      </c>
      <c r="J1131" s="8" t="n">
        <f aca="false">Sens!I1131*(1+dps_g)</f>
        <v>5.237882496</v>
      </c>
      <c r="K1131" s="8" t="n">
        <f aca="false">Sens!J1131*(1+dps_g)</f>
        <v>5.65691309568</v>
      </c>
    </row>
    <row r="1132" customFormat="false" ht="17.15" hidden="false" customHeight="false" outlineLevel="0" collapsed="false">
      <c r="A1132" s="1" t="s">
        <v>1123</v>
      </c>
      <c r="B1132" s="0" t="s">
        <v>98</v>
      </c>
      <c r="E1132" s="6" t="n">
        <f aca="false">Q!M41</f>
        <v>26.445</v>
      </c>
      <c r="F1132" s="6" t="n">
        <f aca="false">Sens!F1131*Sens!E1141</f>
        <v>28.59395</v>
      </c>
      <c r="G1132" s="6" t="n">
        <f aca="false">Sens!G1131*Sens!F1141</f>
        <v>31.068576</v>
      </c>
      <c r="H1132" s="6" t="n">
        <f aca="false">Sens!H1131*Sens!G1141</f>
        <v>33.75614088</v>
      </c>
      <c r="I1132" s="6" t="n">
        <f aca="false">Sens!I1131*Sens!H1141</f>
        <v>36.5903969848101</v>
      </c>
      <c r="J1132" s="6" t="n">
        <f aca="false">Sens!J1131*Sens!I1141</f>
        <v>39.5855266289876</v>
      </c>
      <c r="K1132" s="6" t="n">
        <f aca="false">Sens!K1131*Sens!J1141</f>
        <v>42.8391230216848</v>
      </c>
      <c r="L1132" s="1" t="s">
        <v>1124</v>
      </c>
    </row>
    <row r="1133" customFormat="false" ht="15" hidden="false" customHeight="false" outlineLevel="0" collapsed="false">
      <c r="A1133" s="1" t="s">
        <v>1125</v>
      </c>
      <c r="B1133" s="0" t="s">
        <v>98</v>
      </c>
      <c r="E1133" s="6" t="n">
        <f aca="false">Sens!E1130-Sens!E1132</f>
        <v>37.441</v>
      </c>
      <c r="F1133" s="6" t="n">
        <f aca="false">Sens!F1130-Sens!F1132</f>
        <v>-22.9203183492467</v>
      </c>
      <c r="G1133" s="6" t="n">
        <f aca="false">Sens!G1130-Sens!G1132</f>
        <v>-18.9036367808539</v>
      </c>
      <c r="H1133" s="6" t="n">
        <f aca="false">Sens!H1130-Sens!H1132</f>
        <v>13.213059237916</v>
      </c>
      <c r="I1133" s="6" t="n">
        <f aca="false">Sens!I1130-Sens!I1132</f>
        <v>74.7203931275463</v>
      </c>
      <c r="J1133" s="6" t="n">
        <f aca="false">Sens!J1130-Sens!J1132</f>
        <v>140.718137375286</v>
      </c>
      <c r="K1133" s="6" t="n">
        <f aca="false">Sens!K1130-Sens!K1132</f>
        <v>170.872520212741</v>
      </c>
    </row>
    <row r="1134" customFormat="false" ht="15" hidden="false" customHeight="false" outlineLevel="0" collapsed="false">
      <c r="A1134" s="1" t="s">
        <v>1126</v>
      </c>
      <c r="B1134" s="0" t="s">
        <v>98</v>
      </c>
      <c r="F1134" s="6" t="n">
        <f aca="false">debt_mat_27</f>
        <v>9.25</v>
      </c>
      <c r="G1134" s="6" t="n">
        <f aca="false">debt_mat_28</f>
        <v>0</v>
      </c>
      <c r="H1134" s="6" t="n">
        <f aca="false">debt_mat_29</f>
        <v>2.001</v>
      </c>
      <c r="I1134" s="6" t="n">
        <f aca="false">debt_mat_30</f>
        <v>0</v>
      </c>
      <c r="J1134" s="6" t="n">
        <f aca="false">debt_mat_31</f>
        <v>0.5</v>
      </c>
      <c r="K1134" s="6" t="n">
        <f aca="false">debt_mat_32</f>
        <v>0</v>
      </c>
    </row>
    <row r="1135" customFormat="false" ht="15" hidden="false" customHeight="false" outlineLevel="0" collapsed="false">
      <c r="A1135" s="1" t="s">
        <v>1127</v>
      </c>
      <c r="B1135" s="0" t="s">
        <v>98</v>
      </c>
      <c r="E1135" s="6" t="n">
        <f aca="false">Q!M40</f>
        <v>22.271</v>
      </c>
      <c r="F1135" s="6" t="n">
        <f aca="false">MAX(0,MIN(bb_target,Sens!E1137+Sens!F1133-Sens!F1134-min_cash))</f>
        <v>0</v>
      </c>
      <c r="G1135" s="6" t="n">
        <f aca="false">MAX(0,MIN(bb_target,Sens!F1137+Sens!G1133-Sens!G1134-min_cash))</f>
        <v>0</v>
      </c>
      <c r="H1135" s="6" t="n">
        <f aca="false">MAX(0,MIN(bb_target,Sens!G1137+Sens!H1133-Sens!H1134-min_cash))</f>
        <v>11.212059237916</v>
      </c>
      <c r="I1135" s="6" t="n">
        <f aca="false">MAX(0,MIN(bb_target,Sens!H1137+Sens!I1133-Sens!I1134-min_cash))</f>
        <v>22.271</v>
      </c>
      <c r="J1135" s="6" t="n">
        <f aca="false">MAX(0,MIN(bb_target,Sens!I1137+Sens!J1133-Sens!J1134-min_cash))</f>
        <v>22.271</v>
      </c>
      <c r="K1135" s="6" t="n">
        <f aca="false">MAX(0,MIN(bb_target,Sens!J1137+Sens!K1133-Sens!K1134-min_cash))</f>
        <v>22.271</v>
      </c>
    </row>
    <row r="1136" customFormat="false" ht="15" hidden="false" customHeight="false" outlineLevel="0" collapsed="false">
      <c r="A1136" s="1" t="s">
        <v>1128</v>
      </c>
      <c r="B1136" s="0" t="s">
        <v>98</v>
      </c>
      <c r="F1136" s="6" t="n">
        <f aca="false">MAX(0,min_cash-(Sens!E1137+Sens!F1133-Sens!F1134-Sens!F1135))</f>
        <v>5.32731834924668</v>
      </c>
      <c r="G1136" s="6" t="n">
        <f aca="false">MAX(0,min_cash-(Sens!F1137+Sens!G1133-Sens!G1134-Sens!G1135))</f>
        <v>18.9036367808539</v>
      </c>
      <c r="H1136" s="6" t="n">
        <f aca="false">MAX(0,min_cash-(Sens!G1137+Sens!H1133-Sens!H1134-Sens!H1135))</f>
        <v>0</v>
      </c>
      <c r="I1136" s="6" t="n">
        <f aca="false">MAX(0,min_cash-(Sens!H1137+Sens!I1133-Sens!I1134-Sens!I1135))</f>
        <v>0</v>
      </c>
      <c r="J1136" s="6" t="n">
        <f aca="false">MAX(0,min_cash-(Sens!I1137+Sens!J1133-Sens!J1134-Sens!J1135))</f>
        <v>0</v>
      </c>
      <c r="K1136" s="6" t="n">
        <f aca="false">MAX(0,min_cash-(Sens!J1137+Sens!K1133-Sens!K1134-Sens!K1135))</f>
        <v>0</v>
      </c>
    </row>
    <row r="1137" customFormat="false" ht="15" hidden="false" customHeight="false" outlineLevel="0" collapsed="false">
      <c r="A1137" s="1" t="s">
        <v>1129</v>
      </c>
      <c r="B1137" s="0" t="s">
        <v>98</v>
      </c>
      <c r="E1137" s="6" t="n">
        <f aca="false">cash_open</f>
        <v>76.843</v>
      </c>
      <c r="F1137" s="6" t="n">
        <f aca="false">Sens!E1137+Sens!F1133-Sens!F1134-Sens!F1135+Sens!F1136</f>
        <v>50</v>
      </c>
      <c r="G1137" s="6" t="n">
        <f aca="false">Sens!F1137+Sens!G1133-Sens!G1134-Sens!G1135+Sens!G1136</f>
        <v>50</v>
      </c>
      <c r="H1137" s="6" t="n">
        <f aca="false">Sens!G1137+Sens!H1133-Sens!H1134-Sens!H1135+Sens!H1136</f>
        <v>50</v>
      </c>
      <c r="I1137" s="6" t="n">
        <f aca="false">Sens!H1137+Sens!I1133-Sens!I1134-Sens!I1135+Sens!I1136</f>
        <v>102.449393127546</v>
      </c>
      <c r="J1137" s="6" t="n">
        <f aca="false">Sens!I1137+Sens!J1133-Sens!J1134-Sens!J1135+Sens!J1136</f>
        <v>220.396530502833</v>
      </c>
      <c r="K1137" s="6" t="n">
        <f aca="false">Sens!J1137+Sens!K1133-Sens!K1134-Sens!K1135+Sens!K1136</f>
        <v>368.998050715573</v>
      </c>
    </row>
    <row r="1138" customFormat="false" ht="15" hidden="false" customHeight="false" outlineLevel="0" collapsed="false">
      <c r="A1138" s="1" t="s">
        <v>1130</v>
      </c>
      <c r="B1138" s="0" t="s">
        <v>98</v>
      </c>
      <c r="E1138" s="6" t="n">
        <f aca="false">debt_face</f>
        <v>46.136</v>
      </c>
      <c r="F1138" s="6" t="n">
        <f aca="false">Sens!E1138-Sens!F1134+Sens!F1136</f>
        <v>42.2133183492467</v>
      </c>
      <c r="G1138" s="6" t="n">
        <f aca="false">Sens!F1138-Sens!G1134+Sens!G1136</f>
        <v>61.1169551301006</v>
      </c>
      <c r="H1138" s="6" t="n">
        <f aca="false">Sens!G1138-Sens!H1134+Sens!H1136</f>
        <v>59.1159551301006</v>
      </c>
      <c r="I1138" s="6" t="n">
        <f aca="false">Sens!H1138-Sens!I1134+Sens!I1136</f>
        <v>59.1159551301006</v>
      </c>
      <c r="J1138" s="6" t="n">
        <f aca="false">Sens!I1138-Sens!J1134+Sens!J1136</f>
        <v>58.6159551301006</v>
      </c>
      <c r="K1138" s="6" t="n">
        <f aca="false">Sens!J1138-Sens!K1134+Sens!K1136</f>
        <v>58.6159551301006</v>
      </c>
    </row>
    <row r="1139" customFormat="false" ht="15" hidden="false" customHeight="false" outlineLevel="0" collapsed="false">
      <c r="A1139" s="1" t="s">
        <v>1131</v>
      </c>
      <c r="B1139" s="0" t="s">
        <v>98</v>
      </c>
      <c r="E1139" s="6" t="n">
        <f aca="false">Sens!E1137-Sens!E1138</f>
        <v>30.707</v>
      </c>
      <c r="F1139" s="6" t="n">
        <f aca="false">Sens!F1137-Sens!F1138</f>
        <v>7.78668165075332</v>
      </c>
      <c r="G1139" s="6" t="n">
        <f aca="false">Sens!G1137-Sens!G1138</f>
        <v>-11.1169551301006</v>
      </c>
      <c r="H1139" s="6" t="n">
        <f aca="false">Sens!H1137-Sens!H1138</f>
        <v>-9.1159551301006</v>
      </c>
      <c r="I1139" s="6" t="n">
        <f aca="false">Sens!I1137-Sens!I1138</f>
        <v>43.3334379974457</v>
      </c>
      <c r="J1139" s="6" t="n">
        <f aca="false">Sens!J1137-Sens!J1138</f>
        <v>161.780575372732</v>
      </c>
      <c r="K1139" s="6" t="n">
        <f aca="false">Sens!K1137-Sens!K1138</f>
        <v>310.382095585473</v>
      </c>
    </row>
    <row r="1140" customFormat="false" ht="15" hidden="false" customHeight="false" outlineLevel="0" collapsed="false">
      <c r="A1140" s="1" t="s">
        <v>1132</v>
      </c>
      <c r="B1140" s="0" t="s">
        <v>75</v>
      </c>
      <c r="F1140" s="30" t="n">
        <f aca="false">px*(1+bb_g)^(Sens!F998-base_fy-mid_yr)</f>
        <v>551.84177959629</v>
      </c>
      <c r="G1140" s="30" t="n">
        <f aca="false">px*(1+bb_g)^(Sens!G998-base_fy-mid_yr)</f>
        <v>595.989121963993</v>
      </c>
      <c r="H1140" s="30" t="n">
        <f aca="false">px*(1+bb_g)^(Sens!H998-base_fy-mid_yr)</f>
        <v>643.668251721112</v>
      </c>
      <c r="I1140" s="30" t="n">
        <f aca="false">px*(1+bb_g)^(Sens!I998-base_fy-mid_yr)</f>
        <v>695.161711858801</v>
      </c>
      <c r="J1140" s="30" t="n">
        <f aca="false">px*(1+bb_g)^(Sens!J998-base_fy-mid_yr)</f>
        <v>750.774648807506</v>
      </c>
      <c r="K1140" s="30" t="n">
        <f aca="false">px*(1+bb_g)^(Sens!K998-base_fy-mid_yr)</f>
        <v>810.836620712106</v>
      </c>
    </row>
    <row r="1141" customFormat="false" ht="15" hidden="false" customHeight="false" outlineLevel="0" collapsed="false">
      <c r="A1141" s="1" t="s">
        <v>1133</v>
      </c>
      <c r="B1141" s="1" t="s">
        <v>81</v>
      </c>
      <c r="E1141" s="15" t="n">
        <f aca="false">sh_out26</f>
        <v>7.427</v>
      </c>
      <c r="F1141" s="15" t="n">
        <f aca="false">Sens!E1141+sh_iss-Sens!F1135/Sens!F1140</f>
        <v>7.472</v>
      </c>
      <c r="G1141" s="15" t="n">
        <f aca="false">Sens!F1141+sh_iss-Sens!G1135/Sens!G1140</f>
        <v>7.517</v>
      </c>
      <c r="H1141" s="15" t="n">
        <f aca="false">Sens!G1141+sh_iss-Sens!H1135/Sens!H1140</f>
        <v>7.54458099695311</v>
      </c>
      <c r="I1141" s="15" t="n">
        <f aca="false">Sens!H1141+sh_iss-Sens!I1135/Sens!I1140</f>
        <v>7.55754384700645</v>
      </c>
      <c r="J1141" s="15" t="n">
        <f aca="false">Sens!I1141+sh_iss-Sens!J1135/Sens!J1140</f>
        <v>7.57287981927805</v>
      </c>
      <c r="K1141" s="15" t="n">
        <f aca="false">Sens!J1141+sh_iss-Sens!K1135/Sens!K1140</f>
        <v>7.59041312693695</v>
      </c>
    </row>
    <row r="1142" customFormat="false" ht="15" hidden="false" customHeight="false" outlineLevel="0" collapsed="false">
      <c r="A1142" s="1" t="s">
        <v>1134</v>
      </c>
      <c r="B1142" s="1" t="s">
        <v>81</v>
      </c>
      <c r="E1142" s="15" t="n">
        <f aca="false">sh_dil26</f>
        <v>7.453</v>
      </c>
      <c r="F1142" s="15" t="n">
        <f aca="false">(Sens!E1141+Sens!F1141)/2+dil_gap</f>
        <v>7.4735</v>
      </c>
      <c r="G1142" s="15" t="n">
        <f aca="false">(Sens!F1141+Sens!G1141)/2+dil_gap</f>
        <v>7.5185</v>
      </c>
      <c r="H1142" s="15" t="n">
        <f aca="false">(Sens!G1141+Sens!H1141)/2+dil_gap</f>
        <v>7.55479049847656</v>
      </c>
      <c r="I1142" s="15" t="n">
        <f aca="false">(Sens!H1141+Sens!I1141)/2+dil_gap</f>
        <v>7.57506242197978</v>
      </c>
      <c r="J1142" s="15" t="n">
        <f aca="false">(Sens!I1141+Sens!J1141)/2+dil_gap</f>
        <v>7.58921183314225</v>
      </c>
      <c r="K1142" s="15" t="n">
        <f aca="false">(Sens!J1141+Sens!K1141)/2+dil_gap</f>
        <v>7.6056464731075</v>
      </c>
    </row>
    <row r="1143" customFormat="false" ht="17.15" hidden="false" customHeight="false" outlineLevel="0" collapsed="false">
      <c r="A1143" s="1" t="s">
        <v>1135</v>
      </c>
      <c r="B1143" s="0" t="s">
        <v>98</v>
      </c>
      <c r="C1143" s="6" t="n">
        <f aca="false">SUM(Sens!F1133:J1133)</f>
        <v>186.827634610648</v>
      </c>
    </row>
    <row r="1144" customFormat="false" ht="15" hidden="false" customHeight="false" outlineLevel="0" collapsed="false">
      <c r="A1144" s="26" t="s">
        <v>1100</v>
      </c>
      <c r="B1144" s="31" t="s">
        <v>98</v>
      </c>
      <c r="C1144" s="27" t="n">
        <f aca="false">Sens!$C$1143-(Sens!F1133+Sens!G1133+Sens!H1133+Sens!I1133+Sens!J1133)</f>
        <v>0</v>
      </c>
      <c r="D1144" s="31"/>
      <c r="E1144" s="31"/>
      <c r="F1144" s="31"/>
      <c r="G1144" s="31"/>
      <c r="H1144" s="31"/>
      <c r="I1144" s="31"/>
      <c r="J1144" s="31"/>
      <c r="K1144" s="31"/>
    </row>
    <row r="1145" customFormat="false" ht="17.15" hidden="false" customHeight="false" outlineLevel="0" collapsed="false">
      <c r="A1145" s="1" t="s">
        <v>1094</v>
      </c>
      <c r="B1145" s="1" t="s">
        <v>1136</v>
      </c>
      <c r="C1145" s="33" t="str">
        <f aca="false">IF(SUM(Sens!F1136:J1136)&gt;0.05,"需要舉債 "&amp;TEXT(SUM(Sens!F1136:J1136),"0.0")&amp;" 十億美元","不需舉債")&amp;"；"&amp;IF(SUM(Sens!F1135:J1135)&lt;COUNT(Sens!F1135:J1135)*bb_target-0.05,"回購較每年 "&amp;TEXT(bb_target,"0.0")&amp;" 的目標少 "&amp;TEXT(COUNT(Sens!F1135:J1135)*bb_target-SUM(Sens!F1135:J1135),"0.0")&amp;" 十億美元（"&amp;TEXT(COUNTIF(Sens!F1135:J1135,"&lt;"&amp;(bb_target-0.05)),"0")&amp;" 年減少）","回購不減")</f>
        <v>需要舉債 24.2 十億美元；回購較每年 22.3 的目標少 55.6 十億美元（3 年減少）</v>
      </c>
    </row>
    <row r="1146" customFormat="false" ht="17.15" hidden="false" customHeight="false" outlineLevel="0" collapsed="false">
      <c r="A1146" s="3" t="s">
        <v>1639</v>
      </c>
    </row>
    <row r="1147" customFormat="false" ht="15" hidden="false" customHeight="false" outlineLevel="0" collapsed="false">
      <c r="A1147" s="4" t="s">
        <v>43</v>
      </c>
      <c r="B1147" s="4" t="s">
        <v>65</v>
      </c>
      <c r="C1147" s="23" t="s">
        <v>942</v>
      </c>
      <c r="D1147" s="23" t="s">
        <v>943</v>
      </c>
      <c r="E1147" s="23" t="s">
        <v>944</v>
      </c>
      <c r="F1147" s="23" t="s">
        <v>945</v>
      </c>
      <c r="G1147" s="23" t="s">
        <v>946</v>
      </c>
      <c r="H1147" s="23" t="s">
        <v>947</v>
      </c>
      <c r="I1147" s="23" t="s">
        <v>948</v>
      </c>
      <c r="J1147" s="23" t="s">
        <v>949</v>
      </c>
      <c r="K1147" s="23" t="s">
        <v>950</v>
      </c>
      <c r="L1147" s="4" t="s">
        <v>47</v>
      </c>
    </row>
    <row r="1148" customFormat="false" ht="17.15" hidden="false" customHeight="false" outlineLevel="0" collapsed="false">
      <c r="A1148" s="1" t="s">
        <v>1216</v>
      </c>
      <c r="B1148" s="1" t="s">
        <v>279</v>
      </c>
      <c r="F1148" s="8" t="n">
        <f aca="false">(1-v_off)*mid_yr</f>
        <v>0.373972602739726</v>
      </c>
      <c r="G1148" s="8" t="n">
        <f aca="false">Sens!G998-base_fy-mid_yr-v_off</f>
        <v>1.24794520547945</v>
      </c>
      <c r="H1148" s="8" t="n">
        <f aca="false">Sens!H998-base_fy-mid_yr-v_off</f>
        <v>2.24794520547945</v>
      </c>
      <c r="I1148" s="8" t="n">
        <f aca="false">Sens!I998-base_fy-mid_yr-v_off</f>
        <v>3.24794520547945</v>
      </c>
      <c r="J1148" s="8" t="n">
        <f aca="false">Sens!J998-base_fy-mid_yr-v_off</f>
        <v>4.24794520547945</v>
      </c>
      <c r="K1148" s="8" t="n">
        <f aca="false">Sens!K998-base_fy-mid_yr-v_off</f>
        <v>5.24794520547945</v>
      </c>
      <c r="L1148" s="12" t="s">
        <v>1217</v>
      </c>
    </row>
    <row r="1149" customFormat="false" ht="15" hidden="false" customHeight="false" outlineLevel="0" collapsed="false">
      <c r="A1149" s="1" t="s">
        <v>1218</v>
      </c>
      <c r="B1149" s="1" t="s">
        <v>279</v>
      </c>
      <c r="F1149" s="8" t="n">
        <f aca="false">Sens!F998-base_fy-v_off</f>
        <v>0.747945205479452</v>
      </c>
      <c r="G1149" s="8" t="n">
        <f aca="false">Sens!G998-base_fy-v_off</f>
        <v>1.74794520547945</v>
      </c>
      <c r="H1149" s="8" t="n">
        <f aca="false">Sens!H998-base_fy-v_off</f>
        <v>2.74794520547945</v>
      </c>
      <c r="I1149" s="8" t="n">
        <f aca="false">Sens!I998-base_fy-v_off</f>
        <v>3.74794520547945</v>
      </c>
      <c r="J1149" s="8" t="n">
        <f aca="false">Sens!J998-base_fy-v_off</f>
        <v>4.74794520547945</v>
      </c>
      <c r="K1149" s="8" t="n">
        <f aca="false">Sens!K998-base_fy-v_off</f>
        <v>5.74794520547945</v>
      </c>
    </row>
    <row r="1150" customFormat="false" ht="15" hidden="false" customHeight="false" outlineLevel="0" collapsed="false">
      <c r="A1150" s="1" t="s">
        <v>1219</v>
      </c>
      <c r="B1150" s="0" t="s">
        <v>229</v>
      </c>
      <c r="F1150" s="15" t="n">
        <f aca="false">1/(1+wacc)^Sens!F1148</f>
        <v>0.964022703286649</v>
      </c>
      <c r="G1150" s="15" t="n">
        <f aca="false">1/(1+wacc)^Sens!G1148</f>
        <v>0.884910302296739</v>
      </c>
      <c r="H1150" s="15" t="n">
        <f aca="false">1/(1+wacc)^Sens!H1148</f>
        <v>0.802322009770358</v>
      </c>
      <c r="I1150" s="15" t="n">
        <f aca="false">1/(1+wacc)^Sens!I1148</f>
        <v>0.727441646561469</v>
      </c>
      <c r="J1150" s="15" t="n">
        <f aca="false">1/(1+wacc)^Sens!J1148</f>
        <v>0.659549834988973</v>
      </c>
      <c r="K1150" s="15" t="n">
        <f aca="false">1/(1+wacc)^Sens!K1148</f>
        <v>0.597994336576966</v>
      </c>
    </row>
    <row r="1151" customFormat="false" ht="17.15" hidden="false" customHeight="false" outlineLevel="0" collapsed="false">
      <c r="A1151" s="1" t="s">
        <v>1220</v>
      </c>
      <c r="B1151" s="0" t="s">
        <v>98</v>
      </c>
      <c r="F1151" s="6" t="n">
        <f aca="false">Q!$I$35-Q!$I$39-Q!$I$43</f>
        <v>9.666</v>
      </c>
      <c r="L1151" s="12" t="s">
        <v>1221</v>
      </c>
    </row>
    <row r="1152" customFormat="false" ht="17.15" hidden="false" customHeight="false" outlineLevel="0" collapsed="false">
      <c r="A1152" s="1" t="s">
        <v>1222</v>
      </c>
      <c r="B1152" s="0" t="s">
        <v>98</v>
      </c>
      <c r="F1152" s="6" t="n">
        <f aca="false">Sens!F1123-Sens!F1120-Sens!F1127+Sens!F1105*(1-tax_f)*(1-v_off)-Sens!F1151</f>
        <v>-8.71525991260395</v>
      </c>
      <c r="G1152" s="6" t="n">
        <f aca="false">Sens!G1123-Sens!G1120-Sens!G1127+Sens!G1105*(1-tax_f)</f>
        <v>19.4869107894457</v>
      </c>
      <c r="H1152" s="6" t="n">
        <f aca="false">Sens!H1123-Sens!H1120-Sens!H1127+Sens!H1105*(1-tax_f)</f>
        <v>64.7052198005873</v>
      </c>
      <c r="I1152" s="6" t="n">
        <f aca="false">Sens!I1123-Sens!I1120-Sens!I1127+Sens!I1105*(1-tax_f)</f>
        <v>138.91654199142</v>
      </c>
      <c r="J1152" s="6" t="n">
        <f aca="false">Sens!J1123-Sens!J1120-Sens!J1127+Sens!J1105*(1-tax_f)</f>
        <v>214.578327963688</v>
      </c>
      <c r="K1152" s="6" t="n">
        <f aca="false">Sens!K1123-Sens!K1120-Sens!K1127+Sens!K1105*(1-tax_f)</f>
        <v>251.161421506463</v>
      </c>
      <c r="L1152" s="1" t="s">
        <v>1223</v>
      </c>
    </row>
    <row r="1153" customFormat="false" ht="15" hidden="false" customHeight="false" outlineLevel="0" collapsed="false">
      <c r="A1153" s="1" t="s">
        <v>1224</v>
      </c>
      <c r="B1153" s="0" t="s">
        <v>98</v>
      </c>
      <c r="F1153" s="6" t="n">
        <f aca="false">Sens!F1152*Sens!F1150</f>
        <v>-8.40170842079422</v>
      </c>
      <c r="G1153" s="6" t="n">
        <f aca="false">Sens!G1152*Sens!G1150</f>
        <v>17.244168117518</v>
      </c>
      <c r="H1153" s="6" t="n">
        <f aca="false">Sens!H1152*Sens!H1150</f>
        <v>51.91442199304</v>
      </c>
      <c r="I1153" s="6" t="n">
        <f aca="false">Sens!I1152*Sens!I1150</f>
        <v>101.053678040864</v>
      </c>
      <c r="J1153" s="6" t="n">
        <f aca="false">Sens!J1152*Sens!J1150</f>
        <v>141.52510080066</v>
      </c>
      <c r="K1153" s="6" t="n">
        <f aca="false">Sens!K1152*Sens!K1150</f>
        <v>150.193107627485</v>
      </c>
    </row>
    <row r="1154" customFormat="false" ht="17.15" hidden="false" customHeight="false" outlineLevel="0" collapsed="false">
      <c r="A1154" s="1" t="s">
        <v>1225</v>
      </c>
      <c r="B1154" s="0" t="s">
        <v>98</v>
      </c>
      <c r="C1154" s="6" t="n">
        <f aca="false">SUM(Sens!F1153:K1153)</f>
        <v>453.528768158772</v>
      </c>
    </row>
    <row r="1155" customFormat="false" ht="17.15" hidden="false" customHeight="false" outlineLevel="0" collapsed="false">
      <c r="A1155" s="1" t="s">
        <v>1226</v>
      </c>
      <c r="B1155" s="0" t="s">
        <v>98</v>
      </c>
      <c r="C1155" s="6" t="n">
        <f aca="false">Sens!K1091*(1+g_tv)*(1-tax_f)</f>
        <v>262.196965228767</v>
      </c>
    </row>
    <row r="1156" customFormat="false" ht="17.15" hidden="false" customHeight="false" outlineLevel="0" collapsed="false">
      <c r="A1156" s="1" t="s">
        <v>1227</v>
      </c>
      <c r="B1156" s="0" t="s">
        <v>98</v>
      </c>
      <c r="C1156" s="6" t="n">
        <f aca="false">Sens!$C$1155*(1-g_tv/(wacc+ronic_prem))</f>
        <v>185.781874301381</v>
      </c>
    </row>
    <row r="1157" customFormat="false" ht="17.15" hidden="false" customHeight="false" outlineLevel="0" collapsed="false">
      <c r="A1157" s="1" t="s">
        <v>1228</v>
      </c>
      <c r="B1157" s="0" t="s">
        <v>98</v>
      </c>
      <c r="C1157" s="6" t="n">
        <f aca="false">Sens!$C$1156/(wacc-g_tv)</f>
        <v>2547.16969757955</v>
      </c>
    </row>
    <row r="1158" customFormat="false" ht="15" hidden="false" customHeight="false" outlineLevel="0" collapsed="false">
      <c r="A1158" s="1" t="s">
        <v>1229</v>
      </c>
      <c r="B1158" s="0" t="s">
        <v>98</v>
      </c>
      <c r="C1158" s="6" t="n">
        <f aca="false">Sens!$C$1157/(1+wacc)^Sens!K1149</f>
        <v>1450.37290487521</v>
      </c>
    </row>
    <row r="1159" customFormat="false" ht="17.15" hidden="false" customHeight="false" outlineLevel="0" collapsed="false">
      <c r="A1159" s="0" t="s">
        <v>1230</v>
      </c>
      <c r="B1159" s="0" t="s">
        <v>98</v>
      </c>
      <c r="C1159" s="6" t="n">
        <f aca="false">Sens!$C$1154+Sens!$C$1158</f>
        <v>1903.90167303398</v>
      </c>
    </row>
    <row r="1160" customFormat="false" ht="15" hidden="false" customHeight="false" outlineLevel="0" collapsed="false">
      <c r="A1160" s="1" t="s">
        <v>1145</v>
      </c>
      <c r="B1160" s="0" t="s">
        <v>168</v>
      </c>
      <c r="C1160" s="7" t="n">
        <f aca="false">Sens!$C$1158/Sens!$C$1159</f>
        <v>0.761789815838521</v>
      </c>
    </row>
    <row r="1161" customFormat="false" ht="17.15" hidden="false" customHeight="false" outlineLevel="0" collapsed="false">
      <c r="A1161" s="1" t="s">
        <v>1231</v>
      </c>
      <c r="B1161" s="0" t="s">
        <v>98</v>
      </c>
      <c r="C1161" s="6" t="n">
        <f aca="false">Sens!$C$1159+cash_val-debt_val-fl_val+oai_v</f>
        <v>2019.75267303398</v>
      </c>
    </row>
    <row r="1162" customFormat="false" ht="17.15" hidden="false" customHeight="false" outlineLevel="0" collapsed="false">
      <c r="A1162" s="0" t="s">
        <v>1153</v>
      </c>
      <c r="B1162" s="0" t="s">
        <v>75</v>
      </c>
      <c r="C1162" s="5" t="n">
        <f aca="false">Sens!$C$1161/shd_val</f>
        <v>271.253380745901</v>
      </c>
    </row>
    <row r="1163" customFormat="false" ht="15" hidden="false" customHeight="false" outlineLevel="0" collapsed="false">
      <c r="A1163" s="1" t="s">
        <v>1232</v>
      </c>
      <c r="B1163" s="0" t="s">
        <v>75</v>
      </c>
      <c r="C1163" s="8" t="n">
        <f aca="false">div_rem27+Sens!G1131*roll_div_q/q_per_yr</f>
        <v>3.9795</v>
      </c>
    </row>
    <row r="1164" customFormat="false" ht="17.15" hidden="false" customHeight="false" outlineLevel="0" collapsed="false">
      <c r="A1164" s="0" t="s">
        <v>1233</v>
      </c>
      <c r="B1164" s="0" t="s">
        <v>75</v>
      </c>
      <c r="C1164" s="5" t="n">
        <f aca="false">Sens!$C$1162*(1+wacc)^t_roll-Sens!$C$1163</f>
        <v>297.533771552012</v>
      </c>
    </row>
    <row r="1165" customFormat="false" ht="17.15" hidden="false" customHeight="false" outlineLevel="0" collapsed="false">
      <c r="A1165" s="1" t="s">
        <v>1234</v>
      </c>
      <c r="B1165" s="0" t="s">
        <v>168</v>
      </c>
      <c r="F1165" s="7" t="n">
        <f aca="false">Sens!F1117/(Sens!F1062-Sens!F1017)</f>
        <v>0.0683626969592634</v>
      </c>
      <c r="G1165" s="7" t="n">
        <f aca="false">Sens!G1117/(Sens!G1062-Sens!G1017)</f>
        <v>0.06566157674659</v>
      </c>
      <c r="H1165" s="7" t="n">
        <f aca="false">Sens!H1117/(Sens!H1062-Sens!H1017)</f>
        <v>0.0642891793547571</v>
      </c>
      <c r="I1165" s="7" t="n">
        <f aca="false">Sens!I1117/(Sens!I1062-Sens!I1017)</f>
        <v>0.0641271763799047</v>
      </c>
      <c r="J1165" s="7" t="n">
        <f aca="false">Sens!J1117/(Sens!J1062-Sens!J1017)</f>
        <v>0.064897401711999</v>
      </c>
      <c r="K1165" s="7" t="n">
        <f aca="false">Sens!K1117/(Sens!K1062-Sens!K1017)</f>
        <v>0.0662567690631325</v>
      </c>
    </row>
    <row r="1166" customFormat="false" ht="17.15" hidden="false" customHeight="false" outlineLevel="0" collapsed="false">
      <c r="A1166" s="0" t="s">
        <v>1235</v>
      </c>
      <c r="B1166" s="0" t="s">
        <v>98</v>
      </c>
      <c r="F1166" s="6" t="n">
        <f aca="false">Sens!F1047*(al_m365+Sens!F1165+sbc_r)</f>
        <v>83.6901012599558</v>
      </c>
      <c r="G1166" s="6" t="n">
        <f aca="false">Sens!G1047*(al_m365+Sens!G1165+sbc_r)</f>
        <v>96.1066478594323</v>
      </c>
      <c r="H1166" s="6" t="n">
        <f aca="false">Sens!H1047*(al_m365+Sens!H1165+sbc_r)</f>
        <v>108.687991523679</v>
      </c>
      <c r="I1166" s="6" t="n">
        <f aca="false">Sens!I1047*(al_m365+Sens!I1165+sbc_r)</f>
        <v>120.253161281556</v>
      </c>
      <c r="J1166" s="6" t="n">
        <f aca="false">Sens!J1047*(al_m365+Sens!J1165+sbc_r)</f>
        <v>130.614051020032</v>
      </c>
      <c r="K1166" s="6" t="n">
        <f aca="false">Sens!K1047*(al_m365+Sens!K1165+sbc_r)</f>
        <v>140.586948402258</v>
      </c>
      <c r="L1166" s="12" t="s">
        <v>1236</v>
      </c>
    </row>
    <row r="1167" customFormat="false" ht="17.15" hidden="false" customHeight="false" outlineLevel="0" collapsed="false">
      <c r="A1167" s="0" t="s">
        <v>1237</v>
      </c>
      <c r="B1167" s="0" t="s">
        <v>98</v>
      </c>
      <c r="F1167" s="6" t="n">
        <f aca="false">Sens!F1048*(al_lic+Sens!F1165+sbc_r)</f>
        <v>32.8479057290952</v>
      </c>
      <c r="G1167" s="6" t="n">
        <f aca="false">Sens!G1048*(al_lic+Sens!G1165+sbc_r)</f>
        <v>34.1307536159984</v>
      </c>
      <c r="H1167" s="6" t="n">
        <f aca="false">Sens!H1048*(al_lic+Sens!H1165+sbc_r)</f>
        <v>35.3284104470402</v>
      </c>
      <c r="I1167" s="6" t="n">
        <f aca="false">Sens!I1048*(al_lic+Sens!I1165+sbc_r)</f>
        <v>36.4227431642581</v>
      </c>
      <c r="J1167" s="6" t="n">
        <f aca="false">Sens!J1048*(al_lic+Sens!J1165+sbc_r)</f>
        <v>37.3884468983532</v>
      </c>
      <c r="K1167" s="6" t="n">
        <f aca="false">Sens!K1048*(al_lic+Sens!K1165+sbc_r)</f>
        <v>38.1970422401347</v>
      </c>
    </row>
    <row r="1168" customFormat="false" ht="17.15" hidden="false" customHeight="false" outlineLevel="0" collapsed="false">
      <c r="A1168" s="0" t="s">
        <v>1238</v>
      </c>
      <c r="B1168" s="0" t="s">
        <v>98</v>
      </c>
      <c r="F1168" s="6" t="n">
        <f aca="false">Sens!F1050*(al_ind+Sens!F1165+sbc_r)</f>
        <v>9.05468465536506</v>
      </c>
      <c r="G1168" s="6" t="n">
        <f aca="false">Sens!G1050*(al_ind+Sens!G1165+sbc_r)</f>
        <v>9.83200036158713</v>
      </c>
      <c r="H1168" s="6" t="n">
        <f aca="false">Sens!H1050*(al_ind+Sens!H1165+sbc_r)</f>
        <v>10.6543533445825</v>
      </c>
      <c r="I1168" s="6" t="n">
        <f aca="false">Sens!I1050*(al_ind+Sens!I1165+sbc_r)</f>
        <v>11.5186956990114</v>
      </c>
      <c r="J1168" s="6" t="n">
        <f aca="false">Sens!J1050*(al_ind+Sens!J1165+sbc_r)</f>
        <v>12.4153648396869</v>
      </c>
      <c r="K1168" s="6" t="n">
        <f aca="false">Sens!K1050*(al_ind+Sens!K1165+sbc_r)</f>
        <v>13.3293305919337</v>
      </c>
    </row>
    <row r="1169" customFormat="false" ht="17.15" hidden="false" customHeight="false" outlineLevel="0" collapsed="false">
      <c r="A1169" s="0" t="s">
        <v>1239</v>
      </c>
      <c r="B1169" s="0" t="s">
        <v>98</v>
      </c>
      <c r="F1169" s="6" t="n">
        <f aca="false">Sens!F1052*(al_fro+Sens!F1165+sbc_r)</f>
        <v>3.55178093415127</v>
      </c>
      <c r="G1169" s="6" t="n">
        <f aca="false">Sens!G1052*(al_fro+Sens!G1165+sbc_r)</f>
        <v>3.76201149433451</v>
      </c>
      <c r="H1169" s="6" t="n">
        <f aca="false">Sens!H1052*(al_fro+Sens!H1165+sbc_r)</f>
        <v>4.00120973276203</v>
      </c>
      <c r="I1169" s="6" t="n">
        <f aca="false">Sens!I1052*(al_fro+Sens!I1165+sbc_r)</f>
        <v>4.27214574409199</v>
      </c>
      <c r="J1169" s="6" t="n">
        <f aca="false">Sens!J1052*(al_fro+Sens!J1165+sbc_r)</f>
        <v>4.57599352508408</v>
      </c>
      <c r="K1169" s="6" t="n">
        <f aca="false">Sens!K1052*(al_fro+Sens!K1165+sbc_r)</f>
        <v>4.91285848382139</v>
      </c>
    </row>
    <row r="1170" customFormat="false" ht="17.15" hidden="false" customHeight="false" outlineLevel="0" collapsed="false">
      <c r="A1170" s="0" t="s">
        <v>1240</v>
      </c>
      <c r="B1170" s="0" t="s">
        <v>98</v>
      </c>
      <c r="F1170" s="6" t="n">
        <f aca="false">Sens!F1055*(al_srch+Sens!F1165+sbc_r)</f>
        <v>11.1820111722776</v>
      </c>
      <c r="G1170" s="6" t="n">
        <f aca="false">Sens!G1055*(al_srch+Sens!G1165+sbc_r)</f>
        <v>12.2565150815688</v>
      </c>
      <c r="H1170" s="6" t="n">
        <f aca="false">Sens!H1055*(al_srch+Sens!H1165+sbc_r)</f>
        <v>13.3761434650761</v>
      </c>
      <c r="I1170" s="6" t="n">
        <f aca="false">Sens!I1055*(al_srch+Sens!I1165+sbc_r)</f>
        <v>14.5302463503753</v>
      </c>
      <c r="J1170" s="6" t="n">
        <f aca="false">Sens!J1055*(al_srch+Sens!J1165+sbc_r)</f>
        <v>15.698886968866</v>
      </c>
      <c r="K1170" s="6" t="n">
        <f aca="false">Sens!K1055*(al_srch+Sens!K1165+sbc_r)</f>
        <v>16.8545714955156</v>
      </c>
    </row>
    <row r="1171" customFormat="false" ht="17.15" hidden="false" customHeight="false" outlineLevel="0" collapsed="false">
      <c r="A1171" s="0" t="s">
        <v>1241</v>
      </c>
      <c r="B1171" s="0" t="s">
        <v>98</v>
      </c>
      <c r="F1171" s="6" t="n">
        <f aca="false">Sens!F1023-Sens!F1024+Sens!F1105</f>
        <v>34.2313342981248</v>
      </c>
      <c r="G1171" s="6" t="n">
        <f aca="false">Sens!G1023-Sens!G1024+Sens!G1105</f>
        <v>67.7990396029575</v>
      </c>
      <c r="H1171" s="6" t="n">
        <f aca="false">Sens!H1023-Sens!H1024+Sens!H1105</f>
        <v>104.048975170758</v>
      </c>
      <c r="I1171" s="6" t="n">
        <f aca="false">Sens!I1023-Sens!I1024+Sens!I1105</f>
        <v>136.515749580359</v>
      </c>
      <c r="J1171" s="6" t="n">
        <f aca="false">Sens!J1023-Sens!J1024+Sens!J1105</f>
        <v>159.341333863595</v>
      </c>
      <c r="K1171" s="6" t="n">
        <f aca="false">Sens!K1023-Sens!K1024+Sens!K1105</f>
        <v>173.178403419087</v>
      </c>
    </row>
    <row r="1172" customFormat="false" ht="17.15" hidden="false" customHeight="false" outlineLevel="0" collapsed="false">
      <c r="A1172" s="0" t="s">
        <v>1242</v>
      </c>
      <c r="B1172" s="0" t="s">
        <v>98</v>
      </c>
      <c r="F1172" s="6" t="n">
        <f aca="false">Sens!F1084+Sens!F1105+Sens!F1035+Sens!F1165*(Sens!F1054-Sens!F1017)+sbc_r*Sens!F1054</f>
        <v>231.617306434819</v>
      </c>
      <c r="G1172" s="6" t="n">
        <f aca="false">Sens!G1084+Sens!G1105+Sens!G1035+Sens!G1165*(Sens!G1054-Sens!G1017)+sbc_r*Sens!G1054</f>
        <v>287.110070717163</v>
      </c>
      <c r="H1172" s="6" t="n">
        <f aca="false">Sens!H1084+Sens!H1105+Sens!H1035+Sens!H1165*(Sens!H1054-Sens!H1017)+sbc_r*Sens!H1054</f>
        <v>351.167180624761</v>
      </c>
      <c r="I1172" s="6" t="n">
        <f aca="false">Sens!I1084+Sens!I1105+Sens!I1035+Sens!I1165*(Sens!I1054-Sens!I1017)+sbc_r*Sens!I1054</f>
        <v>410.079289335929</v>
      </c>
      <c r="J1172" s="6" t="n">
        <f aca="false">Sens!J1084+Sens!J1105+Sens!J1035+Sens!J1165*(Sens!J1054-Sens!J1017)+sbc_r*Sens!J1054</f>
        <v>456.929885512464</v>
      </c>
      <c r="K1172" s="6" t="n">
        <f aca="false">Sens!K1084+Sens!K1105+Sens!K1035+Sens!K1165*(Sens!K1054-Sens!K1017)+sbc_r*Sens!K1054</f>
        <v>492.414952465069</v>
      </c>
    </row>
    <row r="1173" customFormat="false" ht="17.15" hidden="false" customHeight="false" outlineLevel="0" collapsed="false">
      <c r="A1173" s="0" t="s">
        <v>1243</v>
      </c>
      <c r="B1173" s="0" t="s">
        <v>98</v>
      </c>
      <c r="F1173" s="6" t="n">
        <f aca="false">Sens!F1172-Sens!F1166-Sens!F1167-Sens!F1168-Sens!F1169-Sens!F1171</f>
        <v>68.241499558127</v>
      </c>
      <c r="G1173" s="6" t="n">
        <f aca="false">Sens!G1172-Sens!G1166-Sens!G1167-Sens!G1168-Sens!G1169-Sens!G1171</f>
        <v>75.479617782853</v>
      </c>
      <c r="H1173" s="6" t="n">
        <f aca="false">Sens!H1172-Sens!H1166-Sens!H1167-Sens!H1168-Sens!H1169-Sens!H1171</f>
        <v>88.4462404059395</v>
      </c>
      <c r="I1173" s="6" t="n">
        <f aca="false">Sens!I1172-Sens!I1166-Sens!I1167-Sens!I1168-Sens!I1169-Sens!I1171</f>
        <v>101.096793866652</v>
      </c>
      <c r="J1173" s="6" t="n">
        <f aca="false">Sens!J1172-Sens!J1166-Sens!J1167-Sens!J1168-Sens!J1169-Sens!J1171</f>
        <v>112.594695365713</v>
      </c>
      <c r="K1173" s="6" t="n">
        <f aca="false">Sens!K1172-Sens!K1166-Sens!K1167-Sens!K1168-Sens!K1169-Sens!K1171</f>
        <v>122.210369327834</v>
      </c>
    </row>
    <row r="1174" customFormat="false" ht="17.15" hidden="false" customHeight="false" outlineLevel="0" collapsed="false">
      <c r="A1174" s="0" t="s">
        <v>1244</v>
      </c>
      <c r="B1174" s="0" t="s">
        <v>98</v>
      </c>
      <c r="F1174" s="6" t="n">
        <f aca="false">Sens!F1086+Sens!F1165*Sens!F1061+sbc_r*Sens!F1061</f>
        <v>26.6171192029634</v>
      </c>
      <c r="G1174" s="6" t="n">
        <f aca="false">Sens!G1086+Sens!G1165*Sens!G1061+sbc_r*Sens!G1061</f>
        <v>26.4607011037875</v>
      </c>
      <c r="H1174" s="6" t="n">
        <f aca="false">Sens!H1086+Sens!H1165*Sens!H1061+sbc_r*Sens!H1061</f>
        <v>27.3398952949848</v>
      </c>
      <c r="I1174" s="6" t="n">
        <f aca="false">Sens!I1086+Sens!I1165*Sens!I1061+sbc_r*Sens!I1061</f>
        <v>28.4545692704067</v>
      </c>
      <c r="J1174" s="6" t="n">
        <f aca="false">Sens!J1086+Sens!J1165*Sens!J1061+sbc_r*Sens!J1061</f>
        <v>29.7698512525873</v>
      </c>
      <c r="K1174" s="6" t="n">
        <f aca="false">Sens!K1086+Sens!K1165*Sens!K1061+sbc_r*Sens!K1061</f>
        <v>31.2490312436264</v>
      </c>
    </row>
    <row r="1175" customFormat="false" ht="17.15" hidden="false" customHeight="false" outlineLevel="0" collapsed="false">
      <c r="A1175" s="0" t="s">
        <v>1245</v>
      </c>
      <c r="B1175" s="0" t="s">
        <v>98</v>
      </c>
      <c r="F1175" s="6" t="n">
        <f aca="false">(Sens!F1174-Sens!F1170)*Sens!F1057/(Sens!F1057+Sens!F1059)</f>
        <v>8.71752549230313</v>
      </c>
      <c r="G1175" s="6" t="n">
        <f aca="false">(Sens!G1174-Sens!G1170)*Sens!G1057/(Sens!G1057+Sens!G1059)</f>
        <v>7.88444469312492</v>
      </c>
      <c r="H1175" s="6" t="n">
        <f aca="false">(Sens!H1174-Sens!H1170)*Sens!H1057/(Sens!H1057+Sens!H1059)</f>
        <v>7.6500123518753</v>
      </c>
      <c r="I1175" s="6" t="n">
        <f aca="false">(Sens!I1174-Sens!I1170)*Sens!I1057/(Sens!I1057+Sens!I1059)</f>
        <v>7.56182706880577</v>
      </c>
      <c r="J1175" s="6" t="n">
        <f aca="false">(Sens!J1174-Sens!J1170)*Sens!J1057/(Sens!J1057+Sens!J1059)</f>
        <v>7.6081236736405</v>
      </c>
      <c r="K1175" s="6" t="n">
        <f aca="false">(Sens!K1174-Sens!K1170)*Sens!K1057/(Sens!K1057+Sens!K1059)</f>
        <v>7.78303659725468</v>
      </c>
    </row>
    <row r="1176" customFormat="false" ht="17.15" hidden="false" customHeight="false" outlineLevel="0" collapsed="false">
      <c r="A1176" s="0" t="s">
        <v>1246</v>
      </c>
      <c r="B1176" s="0" t="s">
        <v>98</v>
      </c>
      <c r="F1176" s="6" t="n">
        <f aca="false">Sens!F1174-Sens!F1170-Sens!F1175</f>
        <v>6.71758253838269</v>
      </c>
      <c r="G1176" s="6" t="n">
        <f aca="false">Sens!G1174-Sens!G1170-Sens!G1175</f>
        <v>6.31974132909371</v>
      </c>
      <c r="H1176" s="6" t="n">
        <f aca="false">Sens!H1174-Sens!H1170-Sens!H1175</f>
        <v>6.31373947803346</v>
      </c>
      <c r="I1176" s="6" t="n">
        <f aca="false">Sens!I1174-Sens!I1170-Sens!I1175</f>
        <v>6.36249585122559</v>
      </c>
      <c r="J1176" s="6" t="n">
        <f aca="false">Sens!J1174-Sens!J1170-Sens!J1175</f>
        <v>6.46284061008085</v>
      </c>
      <c r="K1176" s="6" t="n">
        <f aca="false">Sens!K1174-Sens!K1170-Sens!K1175</f>
        <v>6.61142315085609</v>
      </c>
    </row>
    <row r="1177" customFormat="false" ht="17.15" hidden="false" customHeight="false" outlineLevel="0" collapsed="false">
      <c r="A1177" s="0" t="s">
        <v>1247</v>
      </c>
      <c r="B1177" s="0" t="s">
        <v>98</v>
      </c>
      <c r="F1177" s="6" t="n">
        <f aca="false">Sens!F1171-tax_f*(Sens!F1171-Sens!F1035)-Sens!F1032</f>
        <v>-134.152973707949</v>
      </c>
      <c r="G1177" s="6" t="n">
        <f aca="false">Sens!G1171-tax_f*(Sens!G1171-Sens!G1035)-Sens!G1032</f>
        <v>-125.558345836222</v>
      </c>
      <c r="H1177" s="6" t="n">
        <f aca="false">Sens!H1171-tax_f*(Sens!H1171-Sens!H1035)-Sens!H1032</f>
        <v>-95.7468057956171</v>
      </c>
      <c r="I1177" s="6" t="n">
        <f aca="false">Sens!I1171-tax_f*(Sens!I1171-Sens!I1035)-Sens!I1032</f>
        <v>-36.5560320184135</v>
      </c>
      <c r="J1177" s="6" t="n">
        <f aca="false">Sens!J1171-tax_f*(Sens!J1171-Sens!J1035)-Sens!J1032</f>
        <v>24.9462705048547</v>
      </c>
      <c r="K1177" s="6" t="n">
        <f aca="false">Sens!K1171-tax_f*(Sens!K1171-Sens!K1035)-Sens!K1032</f>
        <v>48.1824035807237</v>
      </c>
    </row>
    <row r="1178" customFormat="false" ht="17.15" hidden="false" customHeight="false" outlineLevel="0" collapsed="false">
      <c r="A1178" s="0" t="s">
        <v>1248</v>
      </c>
      <c r="B1178" s="0" t="s">
        <v>98</v>
      </c>
      <c r="G1178" s="6" t="n">
        <f aca="false">Sens!G1177/(1+wacc)^(Sens!G1148-Sens!F1149)</f>
        <v>-119.55570724865</v>
      </c>
      <c r="H1178" s="6" t="n">
        <f aca="false">Sens!H1177/(1+wacc)^(Sens!H1148-Sens!F1149)</f>
        <v>-82.6605854308158</v>
      </c>
      <c r="I1178" s="6" t="n">
        <f aca="false">Sens!I1177/(1+wacc)^(Sens!I1148-Sens!F1149)</f>
        <v>-28.6142710249701</v>
      </c>
      <c r="J1178" s="6" t="n">
        <f aca="false">Sens!J1177/(1+wacc)^(Sens!J1148-Sens!F1149)</f>
        <v>17.7042983446781</v>
      </c>
      <c r="K1178" s="6" t="n">
        <f aca="false">Sens!K1177/(1+wacc)^(Sens!K1148-Sens!F1149)</f>
        <v>31.0035202603186</v>
      </c>
      <c r="L1178" s="1" t="s">
        <v>1249</v>
      </c>
    </row>
    <row r="1179" customFormat="false" ht="17.15" hidden="false" customHeight="false" outlineLevel="0" collapsed="false">
      <c r="A1179" s="0" t="s">
        <v>1250</v>
      </c>
      <c r="B1179" s="0" t="s">
        <v>98</v>
      </c>
      <c r="C1179" s="6" t="n">
        <f aca="false">(Sens!K1171-Sens!K1035)*(1-tax_f)*(1+g_tv)*(1-g_tv/(wacc+ronic_prem))/(wacc-g_tv)/(1+wacc)^(Sens!K1149-Sens!F1149)</f>
        <v>147.951236913252</v>
      </c>
    </row>
    <row r="1180" customFormat="false" ht="17.15" hidden="false" customHeight="false" outlineLevel="0" collapsed="false">
      <c r="A1180" s="1" t="s">
        <v>1251</v>
      </c>
      <c r="B1180" s="0" t="s">
        <v>98</v>
      </c>
      <c r="C1180" s="6" t="n">
        <f aca="false">(SUM(Sens!G1178:K1178)+Sens!$C$1179)*(1+wacc)^(t_roll-Sens!F1149)</f>
        <v>-35.2996130137246</v>
      </c>
      <c r="L1180" s="12" t="s">
        <v>1252</v>
      </c>
    </row>
    <row r="1181" customFormat="false" ht="17.15" hidden="false" customHeight="false" outlineLevel="0" collapsed="false">
      <c r="A1181" s="1" t="s">
        <v>1253</v>
      </c>
      <c r="B1181" s="0" t="s">
        <v>98</v>
      </c>
      <c r="C1181" s="6" t="n">
        <f aca="false">(w_ntm28*Sens!G1023+(1-w_ntm28)*Sens!H1023)*m_ai</f>
        <v>370.709334663451</v>
      </c>
    </row>
    <row r="1182" customFormat="false" ht="17.15" hidden="false" customHeight="false" outlineLevel="0" collapsed="false">
      <c r="A1182" s="1" t="s">
        <v>1254</v>
      </c>
      <c r="B1182" s="0" t="s">
        <v>98</v>
      </c>
      <c r="C1182" s="6" t="n">
        <f aca="false">(w_ntm28*Sens!G1173+(1-w_ntm28)*Sens!H1173)*m_cloud</f>
        <v>1102.04296695938</v>
      </c>
    </row>
    <row r="1183" customFormat="false" ht="17.15" hidden="false" customHeight="false" outlineLevel="0" collapsed="false">
      <c r="A1183" s="1" t="s">
        <v>1255</v>
      </c>
      <c r="B1183" s="0" t="s">
        <v>98</v>
      </c>
      <c r="C1183" s="6" t="n">
        <f aca="false">(w_ntm28*Sens!G1166+(1-w_ntm28)*Sens!H1166)*m_sw</f>
        <v>1082.62418424862</v>
      </c>
    </row>
    <row r="1184" customFormat="false" ht="17.15" hidden="false" customHeight="false" outlineLevel="0" collapsed="false">
      <c r="A1184" s="1" t="s">
        <v>1256</v>
      </c>
      <c r="B1184" s="0" t="s">
        <v>98</v>
      </c>
      <c r="C1184" s="6" t="n">
        <f aca="false">(w_ntm28*Sens!G1167+(1-w_ntm28)*Sens!H1167)*m_sw</f>
        <v>372.864641115879</v>
      </c>
    </row>
    <row r="1185" customFormat="false" ht="17.15" hidden="false" customHeight="false" outlineLevel="0" collapsed="false">
      <c r="A1185" s="1" t="s">
        <v>1257</v>
      </c>
      <c r="B1185" s="0" t="s">
        <v>98</v>
      </c>
      <c r="C1185" s="6" t="n">
        <f aca="false">(w_ntm28*Sens!G1168+(1-w_ntm28)*Sens!H1168)*m_sw</f>
        <v>109.105520250243</v>
      </c>
    </row>
    <row r="1186" customFormat="false" ht="17.15" hidden="false" customHeight="false" outlineLevel="0" collapsed="false">
      <c r="A1186" s="1" t="s">
        <v>1258</v>
      </c>
      <c r="B1186" s="0" t="s">
        <v>98</v>
      </c>
      <c r="C1186" s="6" t="n">
        <f aca="false">(w_ntm28*Sens!G1169+(1-w_ntm28)*Sens!H1169)*m_sw</f>
        <v>41.4790417196403</v>
      </c>
    </row>
    <row r="1187" customFormat="false" ht="17.15" hidden="false" customHeight="false" outlineLevel="0" collapsed="false">
      <c r="A1187" s="1" t="s">
        <v>1259</v>
      </c>
      <c r="B1187" s="0" t="s">
        <v>98</v>
      </c>
      <c r="C1187" s="6" t="n">
        <f aca="false">(w_ntm28*Sens!G1170+(1-w_ntm28)*Sens!H1170)*m_ads</f>
        <v>115.010216088572</v>
      </c>
    </row>
    <row r="1188" customFormat="false" ht="17.15" hidden="false" customHeight="false" outlineLevel="0" collapsed="false">
      <c r="A1188" s="1" t="s">
        <v>1260</v>
      </c>
      <c r="B1188" s="0" t="s">
        <v>98</v>
      </c>
      <c r="C1188" s="6" t="n">
        <f aca="false">(w_ntm28*Sens!G1175+(1-w_ntm28)*Sens!H1175)*m_game</f>
        <v>98.6070963196528</v>
      </c>
    </row>
    <row r="1189" customFormat="false" ht="17.15" hidden="false" customHeight="false" outlineLevel="0" collapsed="false">
      <c r="A1189" s="1" t="s">
        <v>1261</v>
      </c>
      <c r="B1189" s="0" t="s">
        <v>98</v>
      </c>
      <c r="C1189" s="6" t="n">
        <f aca="false">(w_ntm28*Sens!G1176+(1-w_ntm28)*Sens!H1176)*m_pc</f>
        <v>91.4181046643668</v>
      </c>
    </row>
    <row r="1190" customFormat="false" ht="17.15" hidden="false" customHeight="false" outlineLevel="0" collapsed="false">
      <c r="A1190" s="1" t="s">
        <v>1262</v>
      </c>
      <c r="B1190" s="0" t="s">
        <v>98</v>
      </c>
      <c r="C1190" s="6" t="n">
        <f aca="false">Sens!$C$1180+Sens!$C$1182+Sens!$C$1183+Sens!$C$1184+Sens!$C$1185+Sens!$C$1186+Sens!$C$1187+Sens!$C$1188+Sens!$C$1189</f>
        <v>2977.85215835262</v>
      </c>
    </row>
    <row r="1191" customFormat="false" ht="17.15" hidden="false" customHeight="false" outlineLevel="0" collapsed="false">
      <c r="A1191" s="1" t="s">
        <v>1263</v>
      </c>
      <c r="B1191" s="0" t="s">
        <v>98</v>
      </c>
      <c r="C1191" s="6" t="n">
        <f aca="false">(Sens!G1152-Sens!G1177)*t_stub</f>
        <v>48.0834960320708</v>
      </c>
      <c r="L1191" s="1" t="s">
        <v>1264</v>
      </c>
    </row>
    <row r="1192" customFormat="false" ht="17.15" hidden="false" customHeight="false" outlineLevel="0" collapsed="false">
      <c r="A1192" s="1" t="s">
        <v>1173</v>
      </c>
      <c r="B1192" s="0" t="s">
        <v>98</v>
      </c>
      <c r="C1192" s="6" t="n">
        <f aca="false">Sens!F1139+oai_v-Sens!F1128+Sens!$C$1191</f>
        <v>156.984447682824</v>
      </c>
      <c r="L1192" s="1" t="s">
        <v>1265</v>
      </c>
    </row>
    <row r="1193" customFormat="false" ht="17.15" hidden="false" customHeight="false" outlineLevel="0" collapsed="false">
      <c r="A1193" s="1" t="s">
        <v>1266</v>
      </c>
      <c r="B1193" s="0" t="s">
        <v>75</v>
      </c>
      <c r="C1193" s="5" t="n">
        <f aca="false">(Sens!$C$1190+Sens!$C$1192)/(Sens!F1141+dil_gap)-Sens!G1131*roll_div_q/q_per_yr</f>
        <v>417.16175480729</v>
      </c>
      <c r="L1193" s="1" t="s">
        <v>1267</v>
      </c>
    </row>
    <row r="1194" customFormat="false" ht="17.15" hidden="false" customHeight="false" outlineLevel="0" collapsed="false">
      <c r="A1194" s="1" t="s">
        <v>1268</v>
      </c>
      <c r="B1194" s="0" t="s">
        <v>75</v>
      </c>
      <c r="C1194" s="5" t="n">
        <f aca="false">w_dcf*Sens!$C$1164+(1-w_dcf)*Sens!$C$1193</f>
        <v>357.347763179651</v>
      </c>
    </row>
    <row r="1195" customFormat="false" ht="17.15" hidden="false" customHeight="false" outlineLevel="0" collapsed="false">
      <c r="A1195" s="3" t="s">
        <v>1640</v>
      </c>
    </row>
    <row r="1196" customFormat="false" ht="15" hidden="false" customHeight="false" outlineLevel="0" collapsed="false">
      <c r="A1196" s="4" t="s">
        <v>43</v>
      </c>
      <c r="B1196" s="4" t="s">
        <v>65</v>
      </c>
      <c r="C1196" s="23" t="s">
        <v>942</v>
      </c>
      <c r="D1196" s="23" t="s">
        <v>943</v>
      </c>
      <c r="E1196" s="23" t="s">
        <v>944</v>
      </c>
      <c r="F1196" s="23" t="s">
        <v>945</v>
      </c>
      <c r="G1196" s="23" t="s">
        <v>946</v>
      </c>
      <c r="H1196" s="23" t="s">
        <v>947</v>
      </c>
      <c r="I1196" s="23" t="s">
        <v>948</v>
      </c>
      <c r="J1196" s="23" t="s">
        <v>949</v>
      </c>
      <c r="K1196" s="23" t="s">
        <v>950</v>
      </c>
      <c r="L1196" s="4" t="s">
        <v>47</v>
      </c>
    </row>
    <row r="1197" customFormat="false" ht="17.15" hidden="false" customHeight="false" outlineLevel="0" collapsed="false">
      <c r="A1197" s="1" t="s">
        <v>951</v>
      </c>
      <c r="B1197" s="1" t="s">
        <v>279</v>
      </c>
      <c r="C1197" s="21" t="n">
        <v>2024</v>
      </c>
      <c r="D1197" s="21" t="n">
        <v>2025</v>
      </c>
      <c r="E1197" s="21" t="n">
        <v>2026</v>
      </c>
      <c r="F1197" s="21" t="n">
        <v>2027</v>
      </c>
      <c r="G1197" s="21" t="n">
        <v>2028</v>
      </c>
      <c r="H1197" s="21" t="n">
        <v>2029</v>
      </c>
      <c r="I1197" s="21" t="n">
        <v>2030</v>
      </c>
      <c r="J1197" s="21" t="n">
        <v>2031</v>
      </c>
      <c r="K1197" s="21" t="n">
        <v>2032</v>
      </c>
    </row>
    <row r="1198" customFormat="false" ht="17.15" hidden="false" customHeight="false" outlineLevel="0" collapsed="false">
      <c r="A1198" s="1" t="s">
        <v>952</v>
      </c>
      <c r="B1198" s="0" t="s">
        <v>459</v>
      </c>
      <c r="F1198" s="30" t="n">
        <f aca="false">pace</f>
        <v>2726.5351</v>
      </c>
      <c r="G1198" s="30" t="n">
        <f aca="false">pace</f>
        <v>2726.5351</v>
      </c>
      <c r="H1198" s="30" t="n">
        <f aca="false">pace</f>
        <v>2726.5351</v>
      </c>
      <c r="I1198" s="30" t="n">
        <f aca="false">pace+(g_tv*Sens!H1199-pace)*MIN(1,(Sens!I1197-pace_y0)/(pace_y1-pace_y0))</f>
        <v>1931.98611966667</v>
      </c>
      <c r="J1198" s="30" t="n">
        <f aca="false">pace+(g_tv*Sens!I1199-pace)*MIN(1,(Sens!J1197-pace_y0)/(pace_y1-pace_y0))</f>
        <v>1176.07686172667</v>
      </c>
      <c r="K1198" s="30" t="n">
        <f aca="false">pace+(g_tv*Sens!J1199-pace)*MIN(1,(Sens!K1197-pace_y0)/(pace_y1-pace_y0))</f>
        <v>436.1300484418</v>
      </c>
      <c r="L1198" s="12" t="s">
        <v>953</v>
      </c>
    </row>
    <row r="1199" customFormat="false" ht="17.15" hidden="false" customHeight="false" outlineLevel="0" collapsed="false">
      <c r="A1199" s="1" t="s">
        <v>954</v>
      </c>
      <c r="B1199" s="0" t="s">
        <v>459</v>
      </c>
      <c r="C1199" s="30" t="n">
        <f aca="false">mw_ext_24</f>
        <v>640</v>
      </c>
      <c r="D1199" s="30" t="n">
        <f aca="false">mw_ext_25</f>
        <v>1630</v>
      </c>
      <c r="E1199" s="30" t="n">
        <f aca="false">mw_ext_26</f>
        <v>3250</v>
      </c>
      <c r="F1199" s="30" t="n">
        <f aca="false">Sens!E1199+Sens!F1198</f>
        <v>5976.5351</v>
      </c>
      <c r="G1199" s="30" t="n">
        <f aca="false">Sens!F1199+Sens!G1198</f>
        <v>8703.0702</v>
      </c>
      <c r="H1199" s="30" t="n">
        <f aca="false">Sens!G1199+Sens!H1198</f>
        <v>11429.6053</v>
      </c>
      <c r="I1199" s="30" t="n">
        <f aca="false">Sens!H1199+Sens!I1198</f>
        <v>13361.5914196667</v>
      </c>
      <c r="J1199" s="30" t="n">
        <f aca="false">Sens!I1199+Sens!J1198</f>
        <v>14537.6682813933</v>
      </c>
      <c r="K1199" s="30" t="n">
        <f aca="false">Sens!J1199+Sens!K1198</f>
        <v>14973.7983298351</v>
      </c>
      <c r="L1199" s="1" t="s">
        <v>955</v>
      </c>
    </row>
    <row r="1200" customFormat="false" ht="17.15" hidden="false" customHeight="false" outlineLevel="0" collapsed="false">
      <c r="A1200" s="1" t="s">
        <v>956</v>
      </c>
      <c r="B1200" s="0" t="s">
        <v>459</v>
      </c>
      <c r="C1200" s="30" t="n">
        <f aca="false">rent_ext_24</f>
        <v>150</v>
      </c>
      <c r="D1200" s="30" t="n">
        <f aca="false">rent_ext_25</f>
        <v>400</v>
      </c>
      <c r="E1200" s="30" t="n">
        <f aca="false">rent_ext_26</f>
        <v>550</v>
      </c>
      <c r="F1200" s="30" t="n">
        <f aca="false">rent_ext_f</f>
        <v>756</v>
      </c>
      <c r="G1200" s="30" t="n">
        <f aca="false">rent_ext_f</f>
        <v>756</v>
      </c>
      <c r="H1200" s="30" t="n">
        <f aca="false">rent_ext_f</f>
        <v>756</v>
      </c>
      <c r="I1200" s="30" t="n">
        <f aca="false">rent_ext_f</f>
        <v>756</v>
      </c>
      <c r="J1200" s="30" t="n">
        <f aca="false">rent_ext_f</f>
        <v>756</v>
      </c>
      <c r="K1200" s="30" t="n">
        <f aca="false">rent_ext_f</f>
        <v>756</v>
      </c>
      <c r="L1200" s="1" t="s">
        <v>957</v>
      </c>
    </row>
    <row r="1201" customFormat="false" ht="17.15" hidden="false" customHeight="false" outlineLevel="0" collapsed="false">
      <c r="A1201" s="1" t="s">
        <v>958</v>
      </c>
      <c r="B1201" s="0" t="s">
        <v>459</v>
      </c>
      <c r="C1201" s="30" t="n">
        <f aca="false">Sens!C1199-Sens!C1200</f>
        <v>490</v>
      </c>
      <c r="D1201" s="30" t="n">
        <f aca="false">Sens!D1199-Sens!D1200</f>
        <v>1230</v>
      </c>
      <c r="E1201" s="30" t="n">
        <f aca="false">Sens!E1199-Sens!E1200</f>
        <v>2700</v>
      </c>
      <c r="F1201" s="30" t="n">
        <f aca="false">Sens!F1199-Sens!F1200</f>
        <v>5220.5351</v>
      </c>
      <c r="G1201" s="30" t="n">
        <f aca="false">Sens!G1199-Sens!G1200</f>
        <v>7947.0702</v>
      </c>
      <c r="H1201" s="30" t="n">
        <f aca="false">Sens!H1199-Sens!H1200</f>
        <v>10673.6053</v>
      </c>
      <c r="I1201" s="30" t="n">
        <f aca="false">Sens!I1199-Sens!I1200</f>
        <v>12605.5914196667</v>
      </c>
      <c r="J1201" s="30" t="n">
        <f aca="false">Sens!J1199-Sens!J1200</f>
        <v>13781.6682813933</v>
      </c>
      <c r="K1201" s="30" t="n">
        <f aca="false">Sens!K1199-Sens!K1200</f>
        <v>14217.7983298351</v>
      </c>
    </row>
    <row r="1202" customFormat="false" ht="17.15" hidden="false" customHeight="false" outlineLevel="0" collapsed="false">
      <c r="A1202" s="1" t="s">
        <v>959</v>
      </c>
      <c r="B1202" s="0" t="s">
        <v>459</v>
      </c>
      <c r="C1202" s="30" t="n">
        <f aca="false">Sens!C1201/ext_sh</f>
        <v>816.666666666667</v>
      </c>
      <c r="D1202" s="30" t="n">
        <f aca="false">Sens!D1201/ext_sh</f>
        <v>2050</v>
      </c>
      <c r="E1202" s="30" t="n">
        <f aca="false">Sens!E1201/ext_sh</f>
        <v>4500</v>
      </c>
      <c r="F1202" s="30" t="n">
        <f aca="false">Sens!F1201/ext_sh</f>
        <v>8700.89183333333</v>
      </c>
      <c r="G1202" s="30" t="n">
        <f aca="false">Sens!G1201/ext_sh</f>
        <v>13245.117</v>
      </c>
      <c r="H1202" s="30" t="n">
        <f aca="false">Sens!H1201/ext_sh</f>
        <v>17789.3421666667</v>
      </c>
      <c r="I1202" s="30" t="n">
        <f aca="false">Sens!I1201/ext_sh</f>
        <v>21009.3190327778</v>
      </c>
      <c r="J1202" s="30" t="n">
        <f aca="false">Sens!J1201/ext_sh</f>
        <v>22969.4471356556</v>
      </c>
      <c r="K1202" s="30" t="n">
        <f aca="false">Sens!K1201/ext_sh</f>
        <v>23696.3305497252</v>
      </c>
      <c r="L1202" s="1" t="s">
        <v>960</v>
      </c>
    </row>
    <row r="1203" customFormat="false" ht="17.15" hidden="false" customHeight="false" outlineLevel="0" collapsed="false">
      <c r="A1203" s="1" t="s">
        <v>961</v>
      </c>
      <c r="B1203" s="0" t="s">
        <v>459</v>
      </c>
      <c r="C1203" s="30" t="n">
        <f aca="false">Sens!C1202-Sens!C1201</f>
        <v>326.666666666667</v>
      </c>
      <c r="D1203" s="30" t="n">
        <f aca="false">Sens!D1202-Sens!D1201</f>
        <v>820</v>
      </c>
      <c r="E1203" s="30" t="n">
        <f aca="false">Sens!E1202-Sens!E1201</f>
        <v>1800</v>
      </c>
      <c r="F1203" s="30" t="n">
        <f aca="false">Sens!F1202-Sens!F1201</f>
        <v>3480.35673333333</v>
      </c>
      <c r="G1203" s="30" t="n">
        <f aca="false">Sens!G1202-Sens!G1201</f>
        <v>5298.0468</v>
      </c>
      <c r="H1203" s="30" t="n">
        <f aca="false">Sens!H1202-Sens!H1201</f>
        <v>7115.73686666667</v>
      </c>
      <c r="I1203" s="30" t="n">
        <f aca="false">Sens!I1202-Sens!I1201</f>
        <v>8403.72761311111</v>
      </c>
      <c r="J1203" s="30" t="n">
        <f aca="false">Sens!J1202-Sens!J1201</f>
        <v>9187.77885426222</v>
      </c>
      <c r="K1203" s="30" t="n">
        <f aca="false">Sens!K1202-Sens!K1201</f>
        <v>9478.53221989009</v>
      </c>
    </row>
    <row r="1204" customFormat="false" ht="17.15" hidden="false" customHeight="false" outlineLevel="0" collapsed="false">
      <c r="A1204" s="1" t="s">
        <v>962</v>
      </c>
      <c r="B1204" s="0" t="s">
        <v>459</v>
      </c>
      <c r="C1204" s="30" t="n">
        <f aca="false">Sens!C1202</f>
        <v>816.666666666667</v>
      </c>
      <c r="D1204" s="30" t="n">
        <f aca="false">Sens!D1202-Sens!C1202</f>
        <v>1233.33333333333</v>
      </c>
      <c r="E1204" s="30" t="n">
        <f aca="false">Sens!E1202-Sens!D1202</f>
        <v>2450</v>
      </c>
      <c r="F1204" s="30" t="n">
        <f aca="false">Sens!F1202-Sens!E1202</f>
        <v>4200.89183333333</v>
      </c>
      <c r="G1204" s="30" t="n">
        <f aca="false">Sens!G1202-Sens!F1202</f>
        <v>4544.22516666667</v>
      </c>
      <c r="H1204" s="30" t="n">
        <f aca="false">Sens!H1202-Sens!G1202</f>
        <v>4544.22516666667</v>
      </c>
      <c r="I1204" s="30" t="n">
        <f aca="false">Sens!I1202-Sens!H1202</f>
        <v>3219.97686611111</v>
      </c>
      <c r="J1204" s="30" t="n">
        <f aca="false">Sens!J1202-Sens!I1202</f>
        <v>1960.12810287778</v>
      </c>
      <c r="K1204" s="30" t="n">
        <f aca="false">Sens!K1202-Sens!J1202</f>
        <v>726.883414069667</v>
      </c>
    </row>
    <row r="1205" customFormat="false" ht="17.15" hidden="false" customHeight="false" outlineLevel="0" collapsed="false">
      <c r="A1205" s="1" t="s">
        <v>963</v>
      </c>
      <c r="B1205" s="0" t="s">
        <v>459</v>
      </c>
      <c r="D1205" s="30" t="n">
        <f aca="false">Sens!D1199-Sens!C1199</f>
        <v>990</v>
      </c>
      <c r="E1205" s="30" t="n">
        <f aca="false">Sens!E1199-Sens!D1199</f>
        <v>1620</v>
      </c>
      <c r="F1205" s="30" t="n">
        <f aca="false">Sens!F1199-Sens!E1199</f>
        <v>2726.5351</v>
      </c>
      <c r="G1205" s="30" t="n">
        <f aca="false">Sens!G1199-Sens!F1199</f>
        <v>2726.5351</v>
      </c>
      <c r="H1205" s="30" t="n">
        <f aca="false">Sens!H1199-Sens!G1199</f>
        <v>2726.5351</v>
      </c>
      <c r="I1205" s="30" t="n">
        <f aca="false">Sens!I1199-Sens!H1199</f>
        <v>1931.98611966667</v>
      </c>
      <c r="J1205" s="30" t="n">
        <f aca="false">Sens!J1199-Sens!I1199</f>
        <v>1176.07686172667</v>
      </c>
      <c r="K1205" s="30" t="n">
        <f aca="false">Sens!K1199-Sens!J1199</f>
        <v>436.130048441799</v>
      </c>
    </row>
    <row r="1206" customFormat="false" ht="17.15" hidden="false" customHeight="false" outlineLevel="0" collapsed="false">
      <c r="A1206" s="1" t="s">
        <v>964</v>
      </c>
      <c r="B1206" s="0" t="s">
        <v>459</v>
      </c>
      <c r="F1206" s="30" t="n">
        <f aca="false">Sens!F1225*ext_sh</f>
        <v>0</v>
      </c>
      <c r="G1206" s="30" t="n">
        <f aca="false">Sens!G1225*ext_sh</f>
        <v>0</v>
      </c>
      <c r="H1206" s="30" t="n">
        <f aca="false">Sens!H1225*ext_sh</f>
        <v>0</v>
      </c>
      <c r="I1206" s="30" t="n">
        <f aca="false">Sens!I1225*ext_sh</f>
        <v>490</v>
      </c>
      <c r="J1206" s="30" t="n">
        <f aca="false">Sens!J1225*ext_sh</f>
        <v>740</v>
      </c>
      <c r="K1206" s="30" t="n">
        <f aca="false">Sens!K1225*ext_sh</f>
        <v>1470</v>
      </c>
      <c r="L1206" s="1" t="s">
        <v>965</v>
      </c>
    </row>
    <row r="1207" customFormat="false" ht="17.15" hidden="false" customHeight="false" outlineLevel="0" collapsed="false">
      <c r="A1207" s="1" t="s">
        <v>966</v>
      </c>
      <c r="B1207" s="0" t="s">
        <v>459</v>
      </c>
      <c r="C1207" s="30" t="n">
        <f aca="false">mix_h*Sens!C1199</f>
        <v>128</v>
      </c>
      <c r="D1207" s="30" t="n">
        <f aca="false">mix_h*Sens!D1199</f>
        <v>326</v>
      </c>
      <c r="E1207" s="30" t="n">
        <f aca="false">mix_h*Sens!E1199</f>
        <v>650</v>
      </c>
      <c r="F1207" s="30" t="n">
        <f aca="false">Sens!E1207-Sens!F1206*mix_h</f>
        <v>650</v>
      </c>
      <c r="G1207" s="30" t="n">
        <f aca="false">Sens!F1207-Sens!G1206*mix_h</f>
        <v>650</v>
      </c>
      <c r="H1207" s="30" t="n">
        <f aca="false">Sens!G1207-Sens!H1206*mix_h</f>
        <v>650</v>
      </c>
      <c r="I1207" s="30" t="n">
        <f aca="false">Sens!H1207-Sens!I1206*mix_h</f>
        <v>552</v>
      </c>
      <c r="J1207" s="30" t="n">
        <f aca="false">Sens!I1207-Sens!J1206*mix_h</f>
        <v>404</v>
      </c>
      <c r="K1207" s="30" t="n">
        <f aca="false">Sens!J1207-Sens!K1206*mix_h</f>
        <v>110</v>
      </c>
    </row>
    <row r="1208" customFormat="false" ht="17.15" hidden="false" customHeight="false" outlineLevel="0" collapsed="false">
      <c r="A1208" s="1" t="s">
        <v>967</v>
      </c>
      <c r="B1208" s="0" t="s">
        <v>459</v>
      </c>
      <c r="C1208" s="30" t="n">
        <f aca="false">mix_g2*Sens!C1199</f>
        <v>288</v>
      </c>
      <c r="D1208" s="30" t="n">
        <f aca="false">mix_g2*Sens!D1199</f>
        <v>733.5</v>
      </c>
      <c r="E1208" s="30" t="n">
        <f aca="false">mix_g2*Sens!E1199</f>
        <v>1462.5</v>
      </c>
      <c r="F1208" s="30" t="n">
        <f aca="false">Sens!E1208-Sens!F1206*mix_g2</f>
        <v>1462.5</v>
      </c>
      <c r="G1208" s="30" t="n">
        <f aca="false">Sens!F1208-Sens!G1206*mix_g2</f>
        <v>1462.5</v>
      </c>
      <c r="H1208" s="30" t="n">
        <f aca="false">Sens!G1208-Sens!H1206*mix_g2</f>
        <v>1462.5</v>
      </c>
      <c r="I1208" s="30" t="n">
        <f aca="false">Sens!H1208-Sens!I1206*mix_g2</f>
        <v>1242</v>
      </c>
      <c r="J1208" s="30" t="n">
        <f aca="false">Sens!I1208-Sens!J1206*mix_g2</f>
        <v>909</v>
      </c>
      <c r="K1208" s="30" t="n">
        <f aca="false">Sens!J1208-Sens!K1206*mix_g2</f>
        <v>247.5</v>
      </c>
    </row>
    <row r="1209" customFormat="false" ht="17.15" hidden="false" customHeight="false" outlineLevel="0" collapsed="false">
      <c r="A1209" s="1" t="s">
        <v>968</v>
      </c>
      <c r="B1209" s="0" t="s">
        <v>459</v>
      </c>
      <c r="C1209" s="30" t="n">
        <f aca="false">mix_g3*Sens!C1199</f>
        <v>224</v>
      </c>
      <c r="D1209" s="30" t="n">
        <f aca="false">mix_g3*Sens!D1199</f>
        <v>570.5</v>
      </c>
      <c r="E1209" s="30" t="n">
        <f aca="false">mix_g3*Sens!E1199</f>
        <v>1137.5</v>
      </c>
      <c r="F1209" s="30" t="n">
        <f aca="false">Sens!E1209+(Sens!F1205+Sens!F1206)*(a_g3_27-nonnv*a_mai)-Sens!F1206*mix_g3</f>
        <v>2773.42106</v>
      </c>
      <c r="G1209" s="30" t="n">
        <f aca="false">Sens!F1209+(Sens!G1205+Sens!G1206)*(a_g3_28-nonnv*a_mai)-Sens!G1206*mix_g3</f>
        <v>3318.72808</v>
      </c>
      <c r="H1209" s="30" t="n">
        <f aca="false">Sens!G1209+(Sens!H1205+Sens!H1206)*(a_g3_29-nonnv*a_mai)-Sens!H1206*mix_g3</f>
        <v>3318.72808</v>
      </c>
      <c r="I1209" s="30" t="n">
        <f aca="false">Sens!H1209+(Sens!I1205+Sens!I1206)*(a_g3_29-nonnv*a_mai)-Sens!I1206*mix_g3</f>
        <v>3147.22808</v>
      </c>
      <c r="J1209" s="30" t="n">
        <f aca="false">Sens!I1209+(Sens!J1205+Sens!J1206)*(a_g3_29-nonnv*a_mai)-Sens!J1206*mix_g3</f>
        <v>2888.22808</v>
      </c>
      <c r="K1209" s="30" t="n">
        <f aca="false">Sens!J1209+(Sens!K1205+Sens!K1206)*(a_g3_29-nonnv*a_mai)-Sens!K1206*mix_g3</f>
        <v>2373.72808</v>
      </c>
    </row>
    <row r="1210" customFormat="false" ht="17.15" hidden="false" customHeight="false" outlineLevel="0" collapsed="false">
      <c r="A1210" s="1" t="s">
        <v>969</v>
      </c>
      <c r="B1210" s="0" t="s">
        <v>459</v>
      </c>
      <c r="C1210" s="30" t="n">
        <v>0</v>
      </c>
      <c r="D1210" s="30" t="n">
        <v>0</v>
      </c>
      <c r="E1210" s="30" t="n">
        <v>0</v>
      </c>
      <c r="F1210" s="30" t="n">
        <f aca="false">Sens!E1210+(Sens!F1205+Sens!F1206)*nonnv*a_mai</f>
        <v>272.65351</v>
      </c>
      <c r="G1210" s="30" t="n">
        <f aca="false">Sens!F1210+(Sens!G1205+Sens!G1206)*nonnv*a_mai</f>
        <v>545.30702</v>
      </c>
      <c r="H1210" s="30" t="n">
        <f aca="false">Sens!G1210+(Sens!H1205+Sens!H1206)*nonnv*a_mai</f>
        <v>817.96053</v>
      </c>
      <c r="I1210" s="30" t="n">
        <f aca="false">Sens!H1210+(Sens!I1205+Sens!I1206)*nonnv*a_mai</f>
        <v>1060.15914196667</v>
      </c>
      <c r="J1210" s="30" t="n">
        <f aca="false">Sens!I1210+(Sens!J1205+Sens!J1206)*nonnv*a_mai</f>
        <v>1251.76682813933</v>
      </c>
      <c r="K1210" s="30" t="n">
        <f aca="false">Sens!J1210+(Sens!K1205+Sens!K1206)*nonnv*a_mai</f>
        <v>1442.37983298351</v>
      </c>
      <c r="L1210" s="12" t="s">
        <v>970</v>
      </c>
    </row>
    <row r="1211" customFormat="false" ht="17.15" hidden="false" customHeight="false" outlineLevel="0" collapsed="false">
      <c r="A1211" s="1" t="s">
        <v>971</v>
      </c>
      <c r="B1211" s="0" t="s">
        <v>459</v>
      </c>
      <c r="C1211" s="30" t="n">
        <v>0</v>
      </c>
      <c r="D1211" s="30" t="n">
        <v>0</v>
      </c>
      <c r="E1211" s="30" t="n">
        <v>0</v>
      </c>
      <c r="F1211" s="30" t="n">
        <f aca="false">Sens!E1211+(Sens!F1205+Sens!F1206)*(1-a_g3_27)</f>
        <v>817.96053</v>
      </c>
      <c r="G1211" s="30" t="n">
        <f aca="false">Sens!F1211+(Sens!G1205+Sens!G1206)*(1-a_g3_28)</f>
        <v>2726.5351</v>
      </c>
      <c r="H1211" s="30" t="n">
        <f aca="false">Sens!G1211+(Sens!H1205+Sens!H1206)*(1-a_g3_29)</f>
        <v>5180.41669</v>
      </c>
      <c r="I1211" s="30" t="n">
        <f aca="false">Sens!H1211+(Sens!I1205+Sens!I1206)*(1-a_g3_29)</f>
        <v>7360.2041977</v>
      </c>
      <c r="J1211" s="30" t="n">
        <f aca="false">Sens!I1211+(Sens!J1205+Sens!J1206)*(1-a_g3_29)</f>
        <v>9084.673373254</v>
      </c>
      <c r="K1211" s="30" t="n">
        <f aca="false">Sens!J1211+(Sens!K1205+Sens!K1206)*(1-a_g3_29)</f>
        <v>10800.1904168516</v>
      </c>
    </row>
    <row r="1212" customFormat="false" ht="17.15" hidden="false" customHeight="false" outlineLevel="0" collapsed="false">
      <c r="A1212" s="1" t="s">
        <v>972</v>
      </c>
      <c r="B1212" s="0" t="s">
        <v>403</v>
      </c>
      <c r="C1212" s="15" t="n">
        <f aca="false">(Sens!C1207*tk_hold_h100+Sens!C1208*tk_hold_gb200+Sens!C1209*tk_hold_gb300+Sens!C1211*tk_hold_vr200+Sens!C1210*nv_hold_mai*tk_hold_vr200)/Sens!C1199</f>
        <v>9.7235358126469</v>
      </c>
      <c r="D1212" s="15" t="n">
        <f aca="false">(Sens!D1207*tk_hold_h100+Sens!D1208*tk_hold_gb200+Sens!D1209*tk_hold_gb300+Sens!D1211*tk_hold_vr200+Sens!D1210*nv_hold_mai*tk_hold_vr200)/Sens!D1199</f>
        <v>9.7235358126469</v>
      </c>
      <c r="E1212" s="15" t="n">
        <f aca="false">(Sens!E1207*tk_hold_h100+Sens!E1208*tk_hold_gb200+Sens!E1209*tk_hold_gb300+Sens!E1211*tk_hold_vr200+Sens!E1210*nv_hold_mai*tk_hold_vr200)/Sens!E1199</f>
        <v>9.7235358126469</v>
      </c>
      <c r="F1212" s="15" t="n">
        <f aca="false">(Sens!F1207*tk_hold_h100+Sens!F1208*tk_hold_gb200+Sens!F1209*tk_hold_gb300+Sens!F1211*tk_hold_vr200+Sens!F1210*nv_hold_mai*tk_hold_vr200)/Sens!F1199</f>
        <v>10.2195353876665</v>
      </c>
      <c r="G1212" s="15" t="n">
        <f aca="false">(Sens!G1207*tk_hold_h100+Sens!G1208*tk_hold_gb200+Sens!G1209*tk_hold_gb300+Sens!G1211*tk_hold_vr200+Sens!G1210*nv_hold_mai*tk_hold_vr200)/Sens!G1199</f>
        <v>10.5725598017306</v>
      </c>
      <c r="H1212" s="15" t="n">
        <f aca="false">(Sens!H1207*tk_hold_h100+Sens!H1208*tk_hold_gb200+Sens!H1209*tk_hold_gb300+Sens!H1211*tk_hold_vr200+Sens!H1210*nv_hold_mai*tk_hold_vr200)/Sens!H1199</f>
        <v>10.8210427149036</v>
      </c>
      <c r="I1212" s="15" t="n">
        <f aca="false">(Sens!I1207*tk_hold_h100+Sens!I1208*tk_hold_gb200+Sens!I1209*tk_hold_gb300+Sens!I1211*tk_hold_vr200+Sens!I1210*nv_hold_mai*tk_hold_vr200)/Sens!I1199</f>
        <v>11.0050618241982</v>
      </c>
      <c r="J1212" s="15" t="n">
        <f aca="false">(Sens!J1207*tk_hold_h100+Sens!J1208*tk_hold_gb200+Sens!J1209*tk_hold_gb300+Sens!J1211*tk_hold_vr200+Sens!J1210*nv_hold_mai*tk_hold_vr200)/Sens!J1199</f>
        <v>11.1505789658881</v>
      </c>
      <c r="K1212" s="15" t="n">
        <f aca="false">(Sens!K1207*tk_hold_h100+Sens!K1208*tk_hold_gb200+Sens!K1209*tk_hold_gb300+Sens!K1211*tk_hold_vr200+Sens!K1210*nv_hold_mai*tk_hold_vr200)/Sens!K1199</f>
        <v>11.3496914757183</v>
      </c>
      <c r="L1212" s="1" t="s">
        <v>973</v>
      </c>
    </row>
    <row r="1213" customFormat="false" ht="17.15" hidden="false" customHeight="false" outlineLevel="0" collapsed="false">
      <c r="A1213" s="1" t="s">
        <v>974</v>
      </c>
      <c r="B1213" s="0" t="s">
        <v>403</v>
      </c>
      <c r="C1213" s="15" t="n">
        <f aca="false">(Sens!C1207*tk_hold_h100+Sens!C1208*tk_hold_gb200+Sens!C1209*tk_hold_gb300+Sens!C1211*tk_hold_vr200+Sens!C1210*nv_out_mai*tk_hold_vr200)/Sens!C1199</f>
        <v>9.7235358126469</v>
      </c>
      <c r="D1213" s="15" t="n">
        <f aca="false">(Sens!D1207*tk_hold_h100+Sens!D1208*tk_hold_gb200+Sens!D1209*tk_hold_gb300+Sens!D1211*tk_hold_vr200+Sens!D1210*nv_out_mai*tk_hold_vr200)/Sens!D1199</f>
        <v>9.7235358126469</v>
      </c>
      <c r="E1213" s="15" t="n">
        <f aca="false">(Sens!E1207*tk_hold_h100+Sens!E1208*tk_hold_gb200+Sens!E1209*tk_hold_gb300+Sens!E1211*tk_hold_vr200+Sens!E1210*nv_out_mai*tk_hold_vr200)/Sens!E1199</f>
        <v>9.7235358126469</v>
      </c>
      <c r="F1213" s="15" t="n">
        <f aca="false">(Sens!F1207*tk_hold_h100+Sens!F1208*tk_hold_gb200+Sens!F1209*tk_hold_gb300+Sens!F1211*tk_hold_vr200+Sens!F1210*nv_out_mai*tk_hold_vr200)/Sens!F1199</f>
        <v>10.247422093969</v>
      </c>
      <c r="G1213" s="15" t="n">
        <f aca="false">(Sens!G1207*tk_hold_h100+Sens!G1208*tk_hold_gb200+Sens!G1209*tk_hold_gb300+Sens!G1211*tk_hold_vr200+Sens!G1210*nv_out_mai*tk_hold_vr200)/Sens!G1199</f>
        <v>10.6108602808053</v>
      </c>
      <c r="H1213" s="15" t="n">
        <f aca="false">(Sens!H1207*tk_hold_h100+Sens!H1208*tk_hold_gb200+Sens!H1209*tk_hold_gb300+Sens!H1211*tk_hold_vr200+Sens!H1210*nv_out_mai*tk_hold_vr200)/Sens!H1199</f>
        <v>10.8647885507393</v>
      </c>
      <c r="I1213" s="15" t="n">
        <f aca="false">(Sens!I1207*tk_hold_h100+Sens!I1208*tk_hold_gb200+Sens!I1209*tk_hold_gb300+Sens!I1211*tk_hold_vr200+Sens!I1210*nv_out_mai*tk_hold_vr200)/Sens!I1199</f>
        <v>11.0535625770025</v>
      </c>
      <c r="J1213" s="15" t="n">
        <f aca="false">(Sens!J1207*tk_hold_h100+Sens!J1208*tk_hold_gb200+Sens!J1209*tk_hold_gb300+Sens!J1211*tk_hold_vr200+Sens!J1210*nv_out_mai*tk_hold_vr200)/Sens!J1199</f>
        <v>11.2032127128058</v>
      </c>
      <c r="K1213" s="15" t="n">
        <f aca="false">(Sens!K1207*tk_hold_h100+Sens!K1208*tk_hold_gb200+Sens!K1209*tk_hold_gb300+Sens!K1211*tk_hold_vr200+Sens!K1210*nv_out_mai*tk_hold_vr200)/Sens!K1199</f>
        <v>11.4085735724225</v>
      </c>
      <c r="L1213" s="12" t="s">
        <v>975</v>
      </c>
    </row>
    <row r="1214" customFormat="false" ht="17.15" hidden="false" customHeight="false" outlineLevel="0" collapsed="false">
      <c r="A1214" s="0" t="s">
        <v>976</v>
      </c>
      <c r="B1214" s="0" t="s">
        <v>229</v>
      </c>
      <c r="C1214" s="15" t="n">
        <f aca="false">k_B</f>
        <v>1.17213932619116</v>
      </c>
      <c r="D1214" s="15" t="n">
        <f aca="false">k_B</f>
        <v>1.17213932619116</v>
      </c>
      <c r="E1214" s="15" t="n">
        <f aca="false">k_B</f>
        <v>1.17213932619116</v>
      </c>
      <c r="F1214" s="15" t="n">
        <f aca="false">(k_B+((ls_C*k_long+(1-ls_C)*k_spot)-k_B)*MIN(1,(Sens!F1197-base_fy)/k_ramp))*0.85</f>
        <v>0.916667693038224</v>
      </c>
      <c r="G1214" s="15" t="n">
        <f aca="false">(k_B+((ls_C*k_long+(1-ls_C)*k_spot)-k_B)*MIN(1,(Sens!G1197-base_fy)/k_ramp))*0.85</f>
        <v>0.837016958813967</v>
      </c>
      <c r="H1214" s="15" t="n">
        <f aca="false">(k_B+((ls_C*k_long+(1-ls_C)*k_spot)-k_B)*MIN(1,(Sens!H1197-base_fy)/k_ramp))*0.85</f>
        <v>0.757366224589709</v>
      </c>
      <c r="I1214" s="15" t="n">
        <f aca="false">(k_B+((ls_C*k_long+(1-ls_C)*k_spot)-k_B)*MIN(1,(Sens!I1197-base_fy)/k_ramp))*0.85</f>
        <v>0.757366224589709</v>
      </c>
      <c r="J1214" s="15" t="n">
        <f aca="false">(k_B+((ls_C*k_long+(1-ls_C)*k_spot)-k_B)*MIN(1,(Sens!J1197-base_fy)/k_ramp))*0.85</f>
        <v>0.757366224589709</v>
      </c>
      <c r="K1214" s="15" t="n">
        <f aca="false">(k_B+((ls_C*k_long+(1-ls_C)*k_spot)-k_B)*MIN(1,(Sens!K1197-base_fy)/k_ramp))*0.85</f>
        <v>0.757366224589709</v>
      </c>
      <c r="L1214" s="1" t="s">
        <v>977</v>
      </c>
    </row>
    <row r="1215" customFormat="false" ht="17.15" hidden="false" customHeight="false" outlineLevel="0" collapsed="false">
      <c r="A1215" s="1" t="s">
        <v>978</v>
      </c>
      <c r="B1215" s="0" t="s">
        <v>403</v>
      </c>
      <c r="C1215" s="15" t="n">
        <f aca="false">Sens!C1213*Sens!C1214*chip_f</f>
        <v>11.3973387156315</v>
      </c>
      <c r="D1215" s="15" t="n">
        <f aca="false">Sens!D1213*Sens!D1214*chip_f</f>
        <v>11.3973387156315</v>
      </c>
      <c r="E1215" s="15" t="n">
        <f aca="false">Sens!E1213*Sens!E1214*chip_f</f>
        <v>11.3973387156315</v>
      </c>
      <c r="F1215" s="15" t="n">
        <f aca="false">Sens!F1213*Sens!F1214*chip_f</f>
        <v>9.39348077046745</v>
      </c>
      <c r="G1215" s="15" t="n">
        <f aca="false">Sens!G1213*Sens!G1214*chip_f</f>
        <v>8.88147000263955</v>
      </c>
      <c r="H1215" s="15" t="n">
        <f aca="false">Sens!H1213*Sens!H1214*chip_f</f>
        <v>8.22862388563894</v>
      </c>
      <c r="I1215" s="15" t="n">
        <f aca="false">Sens!I1213*Sens!I1214*chip_f</f>
        <v>8.3715949572105</v>
      </c>
      <c r="J1215" s="15" t="n">
        <f aca="false">Sens!J1213*Sens!J1214*chip_f</f>
        <v>8.48493491557314</v>
      </c>
      <c r="K1215" s="15" t="n">
        <f aca="false">Sens!K1213*Sens!K1214*chip_f</f>
        <v>8.64046829449955</v>
      </c>
      <c r="L1215" s="1" t="s">
        <v>979</v>
      </c>
    </row>
    <row r="1216" customFormat="false" ht="17.15" hidden="false" customHeight="false" outlineLevel="0" collapsed="false">
      <c r="A1216" s="0" t="s">
        <v>980</v>
      </c>
      <c r="B1216" s="0" t="s">
        <v>98</v>
      </c>
      <c r="D1216" s="6" t="n">
        <f aca="false">(Sens!C1199+Sens!D1199)/2*Sens!D1215/1000</f>
        <v>12.9359794422418</v>
      </c>
      <c r="E1216" s="6" t="n">
        <f aca="false">(Sens!D1199+Sens!E1199)/2*Sens!E1215/1000</f>
        <v>27.8095064661409</v>
      </c>
      <c r="F1216" s="6" t="n">
        <f aca="false">(Sens!E1199+Sens!F1199)/2*Sens!F1215/1000</f>
        <v>43.3346400199465</v>
      </c>
      <c r="G1216" s="6" t="n">
        <f aca="false">(Sens!F1199+Sens!G1199)/2*Sens!G1215/1000</f>
        <v>65.1882370612693</v>
      </c>
      <c r="H1216" s="6" t="n">
        <f aca="false">(Sens!G1199+Sens!H1199)/2*Sens!H1215/1000</f>
        <v>82.832107250559</v>
      </c>
      <c r="I1216" s="6" t="n">
        <f aca="false">(Sens!H1199+Sens!I1199)/2*Sens!I1215/1000</f>
        <v>103.770928720787</v>
      </c>
      <c r="J1216" s="6" t="n">
        <f aca="false">(Sens!I1199+Sens!J1199)/2*Sens!J1215/1000</f>
        <v>118.361701378083</v>
      </c>
      <c r="K1216" s="6" t="n">
        <f aca="false">(Sens!J1199+Sens!K1199)/2*Sens!K1215/1000</f>
        <v>127.496445789251</v>
      </c>
      <c r="L1216" s="12" t="s">
        <v>981</v>
      </c>
    </row>
    <row r="1217" customFormat="false" ht="17.15" hidden="false" customHeight="false" outlineLevel="0" collapsed="false">
      <c r="A1217" s="1" t="s">
        <v>982</v>
      </c>
      <c r="B1217" s="0" t="s">
        <v>403</v>
      </c>
      <c r="C1217" s="15" t="n">
        <f aca="false">(Sens!C1207*tk_opex_h100+Sens!C1208*tk_opex_gb200+Sens!C1209*tk_opex_gb300+(Sens!C1211+Sens!C1210)*tk_opex_vr200)/Sens!C1199</f>
        <v>1.88636041306092</v>
      </c>
      <c r="D1217" s="15" t="n">
        <f aca="false">(Sens!D1207*tk_opex_h100+Sens!D1208*tk_opex_gb200+Sens!D1209*tk_opex_gb300+(Sens!D1211+Sens!D1210)*tk_opex_vr200)/Sens!D1199</f>
        <v>1.88636041306092</v>
      </c>
      <c r="E1217" s="15" t="n">
        <f aca="false">(Sens!E1207*tk_opex_h100+Sens!E1208*tk_opex_gb200+Sens!E1209*tk_opex_gb300+(Sens!E1211+Sens!E1210)*tk_opex_vr200)/Sens!E1199</f>
        <v>1.88636041306092</v>
      </c>
      <c r="F1217" s="15" t="n">
        <f aca="false">(Sens!F1207*tk_opex_h100+Sens!F1208*tk_opex_gb200+Sens!F1209*tk_opex_gb300+(Sens!F1211+Sens!F1210)*tk_opex_vr200)/Sens!F1199</f>
        <v>1.95051159746876</v>
      </c>
      <c r="G1217" s="15" t="n">
        <f aca="false">(Sens!G1207*tk_opex_h100+Sens!G1208*tk_opex_gb200+Sens!G1209*tk_opex_gb300+(Sens!G1211+Sens!G1210)*tk_opex_vr200)/Sens!G1199</f>
        <v>1.98836003669956</v>
      </c>
      <c r="H1217" s="15" t="n">
        <f aca="false">(Sens!H1207*tk_opex_h100+Sens!H1208*tk_opex_gb200+Sens!H1209*tk_opex_gb300+(Sens!H1211+Sens!H1210)*tk_opex_vr200)/Sens!H1199</f>
        <v>2.01344013834343</v>
      </c>
      <c r="I1217" s="15" t="n">
        <f aca="false">(Sens!I1207*tk_opex_h100+Sens!I1208*tk_opex_gb200+Sens!I1209*tk_opex_gb300+(Sens!I1211+Sens!I1210)*tk_opex_vr200)/Sens!I1199</f>
        <v>2.03261166882178</v>
      </c>
      <c r="J1217" s="15" t="n">
        <f aca="false">(Sens!J1207*tk_opex_h100+Sens!J1208*tk_opex_gb200+Sens!J1209*tk_opex_gb300+(Sens!J1211+Sens!J1210)*tk_opex_vr200)/Sens!J1199</f>
        <v>2.04808073288745</v>
      </c>
      <c r="K1217" s="15" t="n">
        <f aca="false">(Sens!K1207*tk_opex_h100+Sens!K1208*tk_opex_gb200+Sens!K1209*tk_opex_gb300+(Sens!K1211+Sens!K1210)*tk_opex_vr200)/Sens!K1199</f>
        <v>2.06973825807449</v>
      </c>
      <c r="L1217" s="12" t="s">
        <v>983</v>
      </c>
    </row>
    <row r="1218" customFormat="false" ht="17.15" hidden="false" customHeight="false" outlineLevel="0" collapsed="false">
      <c r="A1218" s="0" t="s">
        <v>984</v>
      </c>
      <c r="B1218" s="0" t="s">
        <v>98</v>
      </c>
      <c r="D1218" s="6" t="n">
        <f aca="false">(Sens!C1202+Sens!D1202)/2*Sens!D1217/1000</f>
        <v>2.70378325872065</v>
      </c>
      <c r="E1218" s="6" t="n">
        <f aca="false">(Sens!D1202+Sens!E1202)/2*Sens!E1217/1000</f>
        <v>6.17783035277451</v>
      </c>
      <c r="F1218" s="6" t="n">
        <f aca="false">(Sens!E1202+Sens!F1202)/2*Sens!F1217/1000</f>
        <v>12.8742463089237</v>
      </c>
      <c r="G1218" s="6" t="n">
        <f aca="false">(Sens!F1202+Sens!G1202)/2*Sens!G1217/1000</f>
        <v>21.8182834646277</v>
      </c>
      <c r="H1218" s="6" t="n">
        <f aca="false">(Sens!G1202+Sens!H1202)/2*Sens!H1217/1000</f>
        <v>31.2430128789734</v>
      </c>
      <c r="I1218" s="6" t="n">
        <f aca="false">(Sens!H1202+Sens!I1202)/2*Sens!I1217/1000</f>
        <v>39.4313057443268</v>
      </c>
      <c r="J1218" s="6" t="n">
        <f aca="false">(Sens!I1202+Sens!J1202)/2*Sens!J1217/1000</f>
        <v>45.0360318228653</v>
      </c>
      <c r="K1218" s="6" t="n">
        <f aca="false">(Sens!J1202+Sens!K1202)/2*Sens!K1217/1000</f>
        <v>48.2929727091156</v>
      </c>
    </row>
    <row r="1219" customFormat="false" ht="17.15" hidden="false" customHeight="false" outlineLevel="0" collapsed="false">
      <c r="A1219" s="0" t="s">
        <v>985</v>
      </c>
      <c r="B1219" s="0" t="s">
        <v>98</v>
      </c>
      <c r="D1219" s="6" t="n">
        <f aca="false">(Sens!C1200+Sens!D1200)/2*rent_mw/1000</f>
        <v>2.44475</v>
      </c>
      <c r="E1219" s="6" t="n">
        <f aca="false">(Sens!D1200+Sens!E1200)/2*rent_mw/1000</f>
        <v>4.22275</v>
      </c>
      <c r="F1219" s="6" t="n">
        <f aca="false">(Sens!E1200+Sens!F1200)/2*rent_mw/1000</f>
        <v>5.80517</v>
      </c>
      <c r="G1219" s="6" t="n">
        <f aca="false">(Sens!F1200+Sens!G1200)/2*rent_mw/1000</f>
        <v>6.72084</v>
      </c>
      <c r="H1219" s="6" t="n">
        <f aca="false">(Sens!G1200+Sens!H1200)/2*rent_mw/1000</f>
        <v>6.72084</v>
      </c>
      <c r="I1219" s="6" t="n">
        <f aca="false">(Sens!H1200+Sens!I1200)/2*rent_mw/1000</f>
        <v>6.72084</v>
      </c>
      <c r="J1219" s="6" t="n">
        <f aca="false">(Sens!I1200+Sens!J1200)/2*rent_mw/1000</f>
        <v>6.72084</v>
      </c>
      <c r="K1219" s="6" t="n">
        <f aca="false">(Sens!J1200+Sens!K1200)/2*rent_mw/1000</f>
        <v>6.72084</v>
      </c>
    </row>
    <row r="1220" customFormat="false" ht="17.15" hidden="false" customHeight="false" outlineLevel="0" collapsed="false">
      <c r="A1220" s="0" t="s">
        <v>986</v>
      </c>
      <c r="B1220" s="0" t="s">
        <v>98</v>
      </c>
      <c r="D1220" s="6" t="n">
        <f aca="false">(Sens!C1202+Sens!D1202)/2*(1-self_build)*fac_rent/1000</f>
        <v>0.853242375631075</v>
      </c>
      <c r="E1220" s="6" t="n">
        <f aca="false">(Sens!D1202+Sens!E1202)/2*(1-self_build)*fac_rent/1000</f>
        <v>1.94955961408728</v>
      </c>
      <c r="F1220" s="6" t="n">
        <f aca="false">(Sens!E1202+Sens!F1202)/2*(1-self_build)*fac_rent/1000</f>
        <v>3.92914894476356</v>
      </c>
      <c r="G1220" s="6" t="n">
        <f aca="false">(Sens!F1202+Sens!G1202)/2*(1-self_build)*fac_rent/1000</f>
        <v>6.53206908578159</v>
      </c>
      <c r="H1220" s="6" t="n">
        <f aca="false">(Sens!G1202+Sens!H1202)/2*(1-self_build)*fac_rent/1000</f>
        <v>9.23717988341591</v>
      </c>
      <c r="I1220" s="6" t="n">
        <f aca="false">(Sens!H1202+Sens!I1202)/2*(1-self_build)*fac_rent/1000</f>
        <v>11.5481378557393</v>
      </c>
      <c r="J1220" s="6" t="n">
        <f aca="false">(Sens!I1202+Sens!J1202)/2*(1-self_build)*fac_rent/1000</f>
        <v>13.0899582289108</v>
      </c>
      <c r="K1220" s="6" t="n">
        <f aca="false">(Sens!J1202+Sens!K1202)/2*(1-self_build)*fac_rent/1000</f>
        <v>13.8897275626556</v>
      </c>
      <c r="L1220" s="12" t="s">
        <v>987</v>
      </c>
    </row>
    <row r="1221" customFormat="false" ht="17.15" hidden="false" customHeight="false" outlineLevel="0" collapsed="false">
      <c r="A1221" s="1" t="s">
        <v>988</v>
      </c>
      <c r="B1221" s="0" t="s">
        <v>168</v>
      </c>
      <c r="D1221" s="7" t="n">
        <f aca="false">(Sens!C1201+Sens!D1201)/(Sens!C1202+Sens!D1202)</f>
        <v>0.6</v>
      </c>
      <c r="E1221" s="7" t="n">
        <f aca="false">(Sens!D1201+Sens!E1201)/(Sens!D1202+Sens!E1202)</f>
        <v>0.6</v>
      </c>
      <c r="F1221" s="7" t="n">
        <f aca="false">(Sens!E1201+Sens!F1201)/(Sens!E1202+Sens!F1202)</f>
        <v>0.6</v>
      </c>
      <c r="G1221" s="7" t="n">
        <f aca="false">(Sens!F1201+Sens!G1201)/(Sens!F1202+Sens!G1202)</f>
        <v>0.6</v>
      </c>
      <c r="H1221" s="7" t="n">
        <f aca="false">(Sens!G1201+Sens!H1201)/(Sens!G1202+Sens!H1202)</f>
        <v>0.6</v>
      </c>
      <c r="I1221" s="7" t="n">
        <f aca="false">(Sens!H1201+Sens!I1201)/(Sens!H1202+Sens!I1202)</f>
        <v>0.6</v>
      </c>
      <c r="J1221" s="7" t="n">
        <f aca="false">(Sens!I1201+Sens!J1201)/(Sens!I1202+Sens!J1202)</f>
        <v>0.6</v>
      </c>
      <c r="K1221" s="7" t="n">
        <f aca="false">(Sens!J1201+Sens!K1201)/(Sens!J1202+Sens!K1202)</f>
        <v>0.6</v>
      </c>
    </row>
    <row r="1222" customFormat="false" ht="17.15" hidden="false" customHeight="false" outlineLevel="0" collapsed="false">
      <c r="A1222" s="0" t="s">
        <v>989</v>
      </c>
      <c r="B1222" s="0" t="s">
        <v>98</v>
      </c>
      <c r="D1222" s="6" t="n">
        <f aca="false">Sens!D1216-Sens!D1221*(Sens!D1218+Sens!D1220)-Sens!D1219</f>
        <v>8.35701406163072</v>
      </c>
      <c r="E1222" s="6" t="n">
        <f aca="false">Sens!E1216-Sens!E1221*(Sens!E1218+Sens!E1220)-Sens!E1219</f>
        <v>18.7103224860238</v>
      </c>
      <c r="F1222" s="6" t="n">
        <f aca="false">Sens!F1216-Sens!F1221*(Sens!F1218+Sens!F1220)-Sens!F1219</f>
        <v>27.4474328677342</v>
      </c>
      <c r="G1222" s="6" t="n">
        <f aca="false">Sens!G1216-Sens!G1221*(Sens!G1218+Sens!G1220)-Sens!G1219</f>
        <v>41.4571855310237</v>
      </c>
      <c r="H1222" s="6" t="n">
        <f aca="false">Sens!H1216-Sens!H1221*(Sens!H1218+Sens!H1220)-Sens!H1219</f>
        <v>51.8231515931254</v>
      </c>
      <c r="I1222" s="6" t="n">
        <f aca="false">Sens!I1216-Sens!I1221*(Sens!I1218+Sens!I1220)-Sens!I1219</f>
        <v>66.4624225607478</v>
      </c>
      <c r="J1222" s="6" t="n">
        <f aca="false">Sens!J1216-Sens!J1221*(Sens!J1218+Sens!J1220)-Sens!J1219</f>
        <v>76.7652673470176</v>
      </c>
      <c r="K1222" s="6" t="n">
        <f aca="false">Sens!K1216-Sens!K1221*(Sens!K1218+Sens!K1220)-Sens!K1219</f>
        <v>83.4659856261881</v>
      </c>
    </row>
    <row r="1223" customFormat="false" ht="17.15" hidden="false" customHeight="false" outlineLevel="0" collapsed="false">
      <c r="A1223" s="1" t="s">
        <v>990</v>
      </c>
      <c r="B1223" s="0" t="s">
        <v>98</v>
      </c>
      <c r="D1223" s="6" t="n">
        <f aca="false">(1-Sens!D1221)*(Sens!D1218+Sens!D1220)</f>
        <v>1.42281025374069</v>
      </c>
      <c r="E1223" s="6" t="n">
        <f aca="false">(1-Sens!E1221)*(Sens!E1218+Sens!E1220)</f>
        <v>3.25095598674472</v>
      </c>
      <c r="F1223" s="6" t="n">
        <f aca="false">(1-Sens!F1221)*(Sens!F1218+Sens!F1220)</f>
        <v>6.72135810147489</v>
      </c>
      <c r="G1223" s="6" t="n">
        <f aca="false">(1-Sens!G1221)*(Sens!G1218+Sens!G1220)</f>
        <v>11.3401410201637</v>
      </c>
      <c r="H1223" s="6" t="n">
        <f aca="false">(1-Sens!H1221)*(Sens!H1218+Sens!H1220)</f>
        <v>16.1920771049557</v>
      </c>
      <c r="I1223" s="6" t="n">
        <f aca="false">(1-Sens!I1221)*(Sens!I1218+Sens!I1220)</f>
        <v>20.3917774400264</v>
      </c>
      <c r="J1223" s="6" t="n">
        <f aca="false">(1-Sens!J1221)*(Sens!J1218+Sens!J1220)</f>
        <v>23.2503960207104</v>
      </c>
      <c r="K1223" s="6" t="n">
        <f aca="false">(1-Sens!K1221)*(Sens!K1218+Sens!K1220)</f>
        <v>24.8730801087085</v>
      </c>
    </row>
    <row r="1224" customFormat="false" ht="17.15" hidden="false" customHeight="false" outlineLevel="0" collapsed="false">
      <c r="A1224" s="1" t="s">
        <v>991</v>
      </c>
      <c r="B1224" s="0" t="s">
        <v>417</v>
      </c>
      <c r="C1224" s="8" t="n">
        <f aca="false">cxit_open</f>
        <v>27.5918995</v>
      </c>
      <c r="D1224" s="8" t="n">
        <f aca="false">cxit_open</f>
        <v>27.5918995</v>
      </c>
      <c r="E1224" s="8" t="n">
        <f aca="false">cxit_open</f>
        <v>27.5918995</v>
      </c>
      <c r="F1224" s="8" t="n">
        <f aca="false">((a_g3_27-nonnv*a_mai)*tk_cxit_gb300+nonnv*a_mai*nv_hold_mai*tk_cxit_vr200+(1-a_g3_27)*tk_cxit_vr200)</f>
        <v>32.4975576</v>
      </c>
      <c r="G1224" s="8" t="n">
        <f aca="false">((a_g3_28-nonnv*a_mai)*tk_cxit_gb300+nonnv*a_mai*nv_hold_mai*tk_cxit_vr200+(1-a_g3_28)*tk_cxit_vr200)</f>
        <v>34.6372088</v>
      </c>
      <c r="H1224" s="8" t="n">
        <f aca="false">((a_g3_29-nonnv*a_mai)*tk_cxit_gb300+nonnv*a_mai*nv_hold_mai*tk_cxit_vr200+(1-a_g3_29)*tk_cxit_vr200)</f>
        <v>35.7070344</v>
      </c>
      <c r="I1224" s="8" t="n">
        <f aca="false">((a_g3_29-nonnv*a_mai)*tk_cxit_gb300+nonnv*a_mai*nv_hold_mai*tk_cxit_vr200+(1-a_g3_29)*tk_cxit_vr200)</f>
        <v>35.7070344</v>
      </c>
      <c r="J1224" s="8" t="n">
        <f aca="false">((a_g3_29-nonnv*a_mai)*tk_cxit_gb300+nonnv*a_mai*nv_hold_mai*tk_cxit_vr200+(1-a_g3_29)*tk_cxit_vr200)</f>
        <v>35.7070344</v>
      </c>
      <c r="K1224" s="8" t="n">
        <f aca="false">((a_g3_29-nonnv*a_mai)*tk_cxit_gb300+nonnv*a_mai*nv_hold_mai*tk_cxit_vr200+(1-a_g3_29)*tk_cxit_vr200)</f>
        <v>35.7070344</v>
      </c>
      <c r="L1224" s="12" t="s">
        <v>992</v>
      </c>
    </row>
    <row r="1225" customFormat="false" ht="17.15" hidden="false" customHeight="false" outlineLevel="0" collapsed="false">
      <c r="A1225" s="0" t="s">
        <v>993</v>
      </c>
      <c r="B1225" s="0" t="s">
        <v>459</v>
      </c>
      <c r="F1225" s="30" t="n">
        <f aca="false">Sens!C1204*IF(Sens!F1197-Sens!C1197=life_it,1,0)+Sens!D1204*IF(Sens!F1197-Sens!D1197=life_it,1,0)+Sens!E1204*IF(Sens!F1197-Sens!E1197=life_it,1,0)</f>
        <v>0</v>
      </c>
      <c r="G1225" s="30" t="n">
        <f aca="false">Sens!C1204*IF(Sens!G1197-Sens!C1197=life_it,1,0)+Sens!D1204*IF(Sens!G1197-Sens!D1197=life_it,1,0)+Sens!E1204*IF(Sens!G1197-Sens!E1197=life_it,1,0)+Sens!F1204*IF(Sens!G1197-Sens!F1197=life_it,1,0)</f>
        <v>0</v>
      </c>
      <c r="H1225" s="30" t="n">
        <f aca="false">Sens!C1204*IF(Sens!H1197-Sens!C1197=life_it,1,0)+Sens!D1204*IF(Sens!H1197-Sens!D1197=life_it,1,0)+Sens!E1204*IF(Sens!H1197-Sens!E1197=life_it,1,0)+Sens!F1204*IF(Sens!H1197-Sens!F1197=life_it,1,0)+Sens!G1204*IF(Sens!H1197-Sens!G1197=life_it,1,0)</f>
        <v>0</v>
      </c>
      <c r="I1225" s="30" t="n">
        <f aca="false">Sens!C1204*IF(Sens!I1197-Sens!C1197=life_it,1,0)+Sens!D1204*IF(Sens!I1197-Sens!D1197=life_it,1,0)+Sens!E1204*IF(Sens!I1197-Sens!E1197=life_it,1,0)+Sens!F1204*IF(Sens!I1197-Sens!F1197=life_it,1,0)+Sens!G1204*IF(Sens!I1197-Sens!G1197=life_it,1,0)+Sens!H1204*IF(Sens!I1197-Sens!H1197=life_it,1,0)</f>
        <v>816.666666666667</v>
      </c>
      <c r="J1225" s="30" t="n">
        <f aca="false">Sens!C1204*IF(Sens!J1197-Sens!C1197=life_it,1,0)+Sens!D1204*IF(Sens!J1197-Sens!D1197=life_it,1,0)+Sens!E1204*IF(Sens!J1197-Sens!E1197=life_it,1,0)+Sens!F1204*IF(Sens!J1197-Sens!F1197=life_it,1,0)+Sens!G1204*IF(Sens!J1197-Sens!G1197=life_it,1,0)+Sens!H1204*IF(Sens!J1197-Sens!H1197=life_it,1,0)+Sens!I1204*IF(Sens!J1197-Sens!I1197=life_it,1,0)</f>
        <v>1233.33333333333</v>
      </c>
      <c r="K1225" s="30" t="n">
        <f aca="false">Sens!C1204*IF(Sens!K1197-Sens!C1197=life_it,1,0)+Sens!D1204*IF(Sens!K1197-Sens!D1197=life_it,1,0)+Sens!E1204*IF(Sens!K1197-Sens!E1197=life_it,1,0)+Sens!F1204*IF(Sens!K1197-Sens!F1197=life_it,1,0)+Sens!G1204*IF(Sens!K1197-Sens!G1197=life_it,1,0)+Sens!H1204*IF(Sens!K1197-Sens!H1197=life_it,1,0)+Sens!I1204*IF(Sens!K1197-Sens!I1197=life_it,1,0)+Sens!J1204*IF(Sens!K1197-Sens!J1197=life_it,1,0)</f>
        <v>2450</v>
      </c>
      <c r="L1225" s="1" t="s">
        <v>994</v>
      </c>
    </row>
    <row r="1226" customFormat="false" ht="17.15" hidden="false" customHeight="false" outlineLevel="0" collapsed="false">
      <c r="A1226" s="0" t="s">
        <v>995</v>
      </c>
      <c r="B1226" s="0" t="s">
        <v>98</v>
      </c>
      <c r="C1226" s="6" t="n">
        <f aca="false">Sens!C1204*Sens!C1224/1000</f>
        <v>22.5333845916667</v>
      </c>
      <c r="D1226" s="6" t="n">
        <f aca="false">Sens!D1204*Sens!D1224/1000</f>
        <v>34.0300093833333</v>
      </c>
      <c r="E1226" s="6" t="n">
        <f aca="false">Sens!E1204*Sens!E1224/1000</f>
        <v>67.600153775</v>
      </c>
      <c r="F1226" s="6" t="n">
        <f aca="false">(Sens!F1204+Sens!F1225)*Sens!F1224/1000</f>
        <v>136.51872432512</v>
      </c>
      <c r="G1226" s="6" t="n">
        <f aca="false">(Sens!G1204+Sens!G1225)*Sens!G1224/1000</f>
        <v>157.399275932048</v>
      </c>
      <c r="H1226" s="6" t="n">
        <f aca="false">(Sens!H1204+Sens!H1225)*Sens!H1224/1000</f>
        <v>162.260804347512</v>
      </c>
      <c r="I1226" s="6" t="n">
        <f aca="false">(Sens!I1204+Sens!I1225)*Sens!I1224/1000</f>
        <v>144.136569485434</v>
      </c>
      <c r="J1226" s="6" t="n">
        <f aca="false">(Sens!J1204+Sens!J1225)*Sens!J1224/1000</f>
        <v>114.029037357864</v>
      </c>
      <c r="K1226" s="6" t="n">
        <f aca="false">(Sens!K1204+Sens!K1225)*Sens!K1224/1000</f>
        <v>113.437085350975</v>
      </c>
    </row>
    <row r="1227" customFormat="false" ht="17.15" hidden="false" customHeight="false" outlineLevel="0" collapsed="false">
      <c r="A1227" s="0" t="s">
        <v>996</v>
      </c>
      <c r="B1227" s="0" t="s">
        <v>98</v>
      </c>
      <c r="C1227" s="6" t="n">
        <f aca="false">Sens!C1204*self_build*tk_cxfac/1000</f>
        <v>6.2083</v>
      </c>
      <c r="D1227" s="6" t="n">
        <f aca="false">Sens!D1204*self_build*tk_cxfac/1000</f>
        <v>9.3758</v>
      </c>
      <c r="E1227" s="6" t="n">
        <f aca="false">Sens!E1204*self_build*tk_cxfac/1000</f>
        <v>18.6249</v>
      </c>
      <c r="F1227" s="6" t="n">
        <f aca="false">Sens!F1204*self_build*tk_cxfac/1000</f>
        <v>31.935179717</v>
      </c>
      <c r="G1227" s="6" t="n">
        <f aca="false">Sens!G1204*self_build*tk_cxfac/1000</f>
        <v>34.545199717</v>
      </c>
      <c r="H1227" s="6" t="n">
        <f aca="false">Sens!H1204*self_build*tk_cxfac/1000</f>
        <v>34.545199717</v>
      </c>
      <c r="I1227" s="6" t="n">
        <f aca="false">Sens!I1204*self_build*tk_cxfac/1000</f>
        <v>24.4782641361767</v>
      </c>
      <c r="J1227" s="6" t="n">
        <f aca="false">Sens!J1204*self_build*tk_cxfac/1000</f>
        <v>14.9008938380769</v>
      </c>
      <c r="K1227" s="6" t="n">
        <f aca="false">Sens!K1204*self_build*tk_cxfac/1000</f>
        <v>5.52576771375761</v>
      </c>
    </row>
    <row r="1228" customFormat="false" ht="17.15" hidden="false" customHeight="false" outlineLevel="0" collapsed="false">
      <c r="A1228" s="0" t="s">
        <v>997</v>
      </c>
      <c r="B1228" s="0" t="s">
        <v>98</v>
      </c>
      <c r="F1228" s="15" t="n">
        <f aca="false">capex_floor27-Sens!F1226-Sens!F1227-Sens!F1324</f>
        <v>-0.415808288510604</v>
      </c>
      <c r="L1228" s="12" t="s">
        <v>998</v>
      </c>
    </row>
    <row r="1229" customFormat="false" ht="17.15" hidden="false" customHeight="false" outlineLevel="0" collapsed="false">
      <c r="A1229" s="0" t="s">
        <v>999</v>
      </c>
      <c r="B1229" s="0" t="s">
        <v>98</v>
      </c>
      <c r="F1229" s="6" t="n">
        <f aca="false">MAX(0,Sens!F1228)</f>
        <v>0</v>
      </c>
    </row>
    <row r="1230" customFormat="false" ht="17.15" hidden="false" customHeight="false" outlineLevel="0" collapsed="false">
      <c r="A1230" s="0" t="s">
        <v>1000</v>
      </c>
      <c r="B1230" s="0" t="s">
        <v>98</v>
      </c>
      <c r="C1230" s="6" t="n">
        <f aca="false">Sens!C1226</f>
        <v>22.5333845916667</v>
      </c>
      <c r="D1230" s="6" t="n">
        <f aca="false">Sens!D1226</f>
        <v>34.0300093833333</v>
      </c>
      <c r="E1230" s="6" t="n">
        <f aca="false">Sens!E1226</f>
        <v>67.600153775</v>
      </c>
      <c r="F1230" s="6" t="n">
        <f aca="false">Sens!F1226</f>
        <v>136.51872432512</v>
      </c>
      <c r="G1230" s="6" t="n">
        <f aca="false">Sens!G1226</f>
        <v>157.399275932048</v>
      </c>
      <c r="H1230" s="6" t="n">
        <f aca="false">Sens!H1226</f>
        <v>162.260804347512</v>
      </c>
      <c r="I1230" s="6" t="n">
        <f aca="false">Sens!I1226</f>
        <v>144.136569485434</v>
      </c>
      <c r="J1230" s="6" t="n">
        <f aca="false">Sens!J1226</f>
        <v>114.029037357864</v>
      </c>
      <c r="K1230" s="6" t="n">
        <f aca="false">Sens!K1226</f>
        <v>113.437085350975</v>
      </c>
    </row>
    <row r="1231" customFormat="false" ht="17.15" hidden="false" customHeight="false" outlineLevel="0" collapsed="false">
      <c r="A1231" s="0" t="s">
        <v>1001</v>
      </c>
      <c r="B1231" s="0" t="s">
        <v>98</v>
      </c>
      <c r="C1231" s="6" t="n">
        <f aca="false">Sens!C1230+Sens!C1227</f>
        <v>28.7416845916667</v>
      </c>
      <c r="D1231" s="6" t="n">
        <f aca="false">Sens!D1230+Sens!D1227</f>
        <v>43.4058093833333</v>
      </c>
      <c r="E1231" s="6" t="n">
        <f aca="false">Sens!E1230+Sens!E1227</f>
        <v>86.225053775</v>
      </c>
      <c r="F1231" s="6" t="n">
        <f aca="false">Sens!F1230+Sens!F1227</f>
        <v>168.45390404212</v>
      </c>
      <c r="G1231" s="6" t="n">
        <f aca="false">Sens!G1230+Sens!G1227</f>
        <v>191.944475649048</v>
      </c>
      <c r="H1231" s="6" t="n">
        <f aca="false">Sens!H1230+Sens!H1227</f>
        <v>196.806004064512</v>
      </c>
      <c r="I1231" s="6" t="n">
        <f aca="false">Sens!I1230+Sens!I1227</f>
        <v>168.61483362161</v>
      </c>
      <c r="J1231" s="6" t="n">
        <f aca="false">Sens!J1230+Sens!J1227</f>
        <v>128.92993119594</v>
      </c>
      <c r="K1231" s="6" t="n">
        <f aca="false">Sens!K1230+Sens!K1227</f>
        <v>118.962853064733</v>
      </c>
      <c r="L1231" s="12" t="s">
        <v>1002</v>
      </c>
    </row>
    <row r="1232" customFormat="false" ht="17.15" hidden="false" customHeight="false" outlineLevel="0" collapsed="false">
      <c r="A1232" s="0" t="s">
        <v>1003</v>
      </c>
      <c r="B1232" s="0" t="s">
        <v>98</v>
      </c>
      <c r="E1232" s="6" t="n">
        <f aca="false">(Sens!C1230*IF(2&lt;life_it,1,IF(2=life_it,0.5,0))+Sens!D1230*IF(1&lt;life_it,1,IF(1=life_it,0.5,0))+Sens!E1230*0.5)/life_it</f>
        <v>15.0605784770833</v>
      </c>
      <c r="F1232" s="6" t="n">
        <f aca="false">(Sens!C1230*IF(3&lt;life_it,1,IF(3=life_it,0.5,0))+Sens!D1230*IF(2&lt;life_it,1,IF(2=life_it,0.5,0))+Sens!E1230*IF(1&lt;life_it,1,IF(1=life_it,0.5,0))+Sens!F1230*0.5)/life_it</f>
        <v>32.0704849854266</v>
      </c>
      <c r="G1232" s="6" t="n">
        <f aca="false">(Sens!C1230*IF(4&lt;life_it,1,IF(4=life_it,0.5,0))+Sens!D1230*IF(3&lt;life_it,1,IF(3=life_it,0.5,0))+Sens!E1230*IF(2&lt;life_it,1,IF(2=life_it,0.5,0))+Sens!F1230*IF(1&lt;life_it,1,IF(1=life_it,0.5,0))+Sens!G1230*0.5)/life_it</f>
        <v>56.5636516735239</v>
      </c>
      <c r="H1232" s="6" t="n">
        <f aca="false">(Sens!C1230*IF(5&lt;life_it,1,IF(5=life_it,0.5,0))+Sens!D1230*IF(4&lt;life_it,1,IF(4=life_it,0.5,0))+Sens!E1230*IF(3&lt;life_it,1,IF(3=life_it,0.5,0))+Sens!F1230*IF(2&lt;life_it,1,IF(2=life_it,0.5,0))+Sens!G1230*IF(1&lt;life_it,1,IF(1=life_it,0.5,0))+Sens!H1230*0.5)/life_it</f>
        <v>83.2019916968207</v>
      </c>
      <c r="I1232" s="6" t="n">
        <f aca="false">(Sens!C1230*IF(6&lt;life_it,1,IF(6=life_it,0.5,0))+Sens!D1230*IF(5&lt;life_it,1,IF(5=life_it,0.5,0))+Sens!E1230*IF(4&lt;life_it,1,IF(4=life_it,0.5,0))+Sens!F1230*IF(3&lt;life_it,1,IF(3=life_it,0.5,0))+Sens!G1230*IF(2&lt;life_it,1,IF(2=life_it,0.5,0))+Sens!H1230*IF(1&lt;life_it,1,IF(1=life_it,0.5,0))+Sens!I1230*0.5)/life_it</f>
        <v>106.857324133594</v>
      </c>
      <c r="J1232" s="6" t="n">
        <f aca="false">(Sens!C1230*IF(7&lt;life_it,1,IF(7=life_it,0.5,0))+Sens!D1230*IF(6&lt;life_it,1,IF(6=life_it,0.5,0))+Sens!E1230*IF(5&lt;life_it,1,IF(5=life_it,0.5,0))+Sens!F1230*IF(4&lt;life_it,1,IF(4=life_it,0.5,0))+Sens!G1230*IF(3&lt;life_it,1,IF(3=life_it,0.5,0))+Sens!H1230*IF(2&lt;life_it,1,IF(2=life_it,0.5,0))+Sens!I1230*IF(1&lt;life_it,1,IF(1=life_it,0.5,0))+Sens!J1230*0.5)/life_it</f>
        <v>123.657508539285</v>
      </c>
      <c r="K1232" s="6" t="n">
        <f aca="false">(Sens!C1230*IF(8&lt;life_it,1,IF(8=life_it,0.5,0))+Sens!D1230*IF(7&lt;life_it,1,IF(7=life_it,0.5,0))+Sens!E1230*IF(6&lt;life_it,1,IF(6=life_it,0.5,0))+Sens!F1230*IF(5&lt;life_it,1,IF(5=life_it,0.5,0))+Sens!G1230*IF(4&lt;life_it,1,IF(4=life_it,0.5,0))+Sens!H1230*IF(3&lt;life_it,1,IF(3=life_it,0.5,0))+Sens!I1230*IF(2&lt;life_it,1,IF(2=life_it,0.5,0))+Sens!J1230*IF(1&lt;life_it,1,IF(1=life_it,0.5,0))+Sens!K1230*0.5)/life_it</f>
        <v>134.143838501827</v>
      </c>
    </row>
    <row r="1233" customFormat="false" ht="17.15" hidden="false" customHeight="false" outlineLevel="0" collapsed="false">
      <c r="A1233" s="0" t="s">
        <v>1004</v>
      </c>
      <c r="B1233" s="0" t="s">
        <v>98</v>
      </c>
      <c r="E1233" s="6" t="n">
        <f aca="false">(Sens!C1227*IF(2&lt;life_fac,1,IF(2=life_fac,0.5,0))+Sens!D1227*IF(1&lt;life_fac,1,IF(1=life_fac,0.5,0))+Sens!E1227*0.5)/life_fac</f>
        <v>1.2448275</v>
      </c>
      <c r="F1233" s="6" t="n">
        <f aca="false">(Sens!C1227*IF(3&lt;life_fac,1,IF(3=life_fac,0.5,0))+Sens!D1227*IF(2&lt;life_fac,1,IF(2=life_fac,0.5,0))+Sens!E1227*IF(1&lt;life_fac,1,IF(1=life_fac,0.5,0))+Sens!F1227*0.5)/life_fac</f>
        <v>2.508829492925</v>
      </c>
      <c r="G1233" s="6" t="n">
        <f aca="false">(Sens!C1227*IF(4&lt;life_fac,1,IF(4=life_fac,0.5,0))+Sens!D1227*IF(3&lt;life_fac,1,IF(3=life_fac,0.5,0))+Sens!E1227*IF(2&lt;life_fac,1,IF(2=life_fac,0.5,0))+Sens!F1227*IF(1&lt;life_fac,1,IF(1=life_fac,0.5,0))+Sens!G1227*0.5)/life_fac</f>
        <v>4.170838978775</v>
      </c>
      <c r="H1233" s="6" t="n">
        <f aca="false">(Sens!C1227*IF(5&lt;life_fac,1,IF(5=life_fac,0.5,0))+Sens!D1227*IF(4&lt;life_fac,1,IF(4=life_fac,0.5,0))+Sens!E1227*IF(3&lt;life_fac,1,IF(3=life_fac,0.5,0))+Sens!F1227*IF(2&lt;life_fac,1,IF(2=life_fac,0.5,0))+Sens!G1227*IF(1&lt;life_fac,1,IF(1=life_fac,0.5,0))+Sens!H1227*0.5)/life_fac</f>
        <v>5.898098964625</v>
      </c>
      <c r="I1233" s="6" t="n">
        <f aca="false">(Sens!C1227*IF(6&lt;life_fac,1,IF(6=life_fac,0.5,0))+Sens!D1227*IF(5&lt;life_fac,1,IF(5=life_fac,0.5,0))+Sens!E1227*IF(4&lt;life_fac,1,IF(4=life_fac,0.5,0))+Sens!F1227*IF(3&lt;life_fac,1,IF(3=life_fac,0.5,0))+Sens!G1227*IF(2&lt;life_fac,1,IF(2=life_fac,0.5,0))+Sens!H1227*IF(1&lt;life_fac,1,IF(1=life_fac,0.5,0))+Sens!I1227*0.5)/life_fac</f>
        <v>7.37368556095442</v>
      </c>
      <c r="J1233" s="6" t="n">
        <f aca="false">(Sens!C1227*IF(7&lt;life_fac,1,IF(7=life_fac,0.5,0))+Sens!D1227*IF(6&lt;life_fac,1,IF(6=life_fac,0.5,0))+Sens!E1227*IF(5&lt;life_fac,1,IF(5=life_fac,0.5,0))+Sens!F1227*IF(4&lt;life_fac,1,IF(4=life_fac,0.5,0))+Sens!G1227*IF(3&lt;life_fac,1,IF(3=life_fac,0.5,0))+Sens!H1227*IF(2&lt;life_fac,1,IF(2=life_fac,0.5,0))+Sens!I1227*IF(1&lt;life_fac,1,IF(1=life_fac,0.5,0))+Sens!J1227*0.5)/life_fac</f>
        <v>8.35816451031075</v>
      </c>
      <c r="K1233" s="6" t="n">
        <f aca="false">(Sens!C1227*IF(8&lt;life_fac,1,IF(8=life_fac,0.5,0))+Sens!D1227*IF(7&lt;life_fac,1,IF(7=life_fac,0.5,0))+Sens!E1227*IF(6&lt;life_fac,1,IF(6=life_fac,0.5,0))+Sens!F1227*IF(5&lt;life_fac,1,IF(5=life_fac,0.5,0))+Sens!G1227*IF(4&lt;life_fac,1,IF(4=life_fac,0.5,0))+Sens!H1227*IF(3&lt;life_fac,1,IF(3=life_fac,0.5,0))+Sens!I1227*IF(2&lt;life_fac,1,IF(2=life_fac,0.5,0))+Sens!J1227*IF(1&lt;life_fac,1,IF(1=life_fac,0.5,0))+Sens!K1227*0.5)/life_fac</f>
        <v>8.86883104910662</v>
      </c>
    </row>
    <row r="1234" customFormat="false" ht="17.15" hidden="false" customHeight="false" outlineLevel="0" collapsed="false">
      <c r="A1234" s="0" t="s">
        <v>1005</v>
      </c>
      <c r="B1234" s="0" t="s">
        <v>98</v>
      </c>
      <c r="E1234" s="6" t="n">
        <f aca="false">Sens!E1232+Sens!E1233</f>
        <v>16.3054059770833</v>
      </c>
      <c r="F1234" s="6" t="n">
        <f aca="false">Sens!F1232+Sens!F1233</f>
        <v>34.5793144783516</v>
      </c>
      <c r="G1234" s="6" t="n">
        <f aca="false">Sens!G1232+Sens!G1233</f>
        <v>60.7344906522989</v>
      </c>
      <c r="H1234" s="6" t="n">
        <f aca="false">Sens!H1232+Sens!H1233</f>
        <v>89.1000906614457</v>
      </c>
      <c r="I1234" s="6" t="n">
        <f aca="false">Sens!I1232+Sens!I1233</f>
        <v>114.231009694548</v>
      </c>
      <c r="J1234" s="6" t="n">
        <f aca="false">Sens!J1232+Sens!J1233</f>
        <v>132.015673049596</v>
      </c>
      <c r="K1234" s="6" t="n">
        <f aca="false">Sens!K1232+Sens!K1233</f>
        <v>143.012669550934</v>
      </c>
    </row>
    <row r="1235" customFormat="false" ht="17.15" hidden="false" customHeight="false" outlineLevel="0" collapsed="false">
      <c r="A1235" s="0" t="s">
        <v>1006</v>
      </c>
      <c r="B1235" s="0" t="s">
        <v>98</v>
      </c>
      <c r="E1235" s="6" t="n">
        <f aca="false">Sens!E1222-Sens!E1221*Sens!E1234</f>
        <v>8.92707889977379</v>
      </c>
      <c r="F1235" s="6" t="n">
        <f aca="false">Sens!F1222-Sens!F1221*Sens!F1234</f>
        <v>6.69984418072318</v>
      </c>
      <c r="G1235" s="6" t="n">
        <f aca="false">Sens!G1222-Sens!G1221*Sens!G1234</f>
        <v>5.01649113964434</v>
      </c>
      <c r="H1235" s="6" t="n">
        <f aca="false">Sens!H1222-Sens!H1221*Sens!H1234</f>
        <v>-1.636902803742</v>
      </c>
      <c r="I1235" s="6" t="n">
        <f aca="false">Sens!I1222-Sens!I1221*Sens!I1234</f>
        <v>-2.07618325598122</v>
      </c>
      <c r="J1235" s="6" t="n">
        <f aca="false">Sens!J1222-Sens!J1221*Sens!J1234</f>
        <v>-2.44413648274008</v>
      </c>
      <c r="K1235" s="6" t="n">
        <f aca="false">Sens!K1222-Sens!K1221*Sens!K1234</f>
        <v>-2.34161610437232</v>
      </c>
    </row>
    <row r="1236" customFormat="false" ht="17.15" hidden="false" customHeight="false" outlineLevel="0" collapsed="false">
      <c r="A1236" s="3" t="s">
        <v>1641</v>
      </c>
    </row>
    <row r="1237" customFormat="false" ht="15" hidden="false" customHeight="false" outlineLevel="0" collapsed="false">
      <c r="A1237" s="4" t="s">
        <v>43</v>
      </c>
      <c r="B1237" s="4" t="s">
        <v>65</v>
      </c>
      <c r="C1237" s="23" t="s">
        <v>942</v>
      </c>
      <c r="D1237" s="23" t="s">
        <v>943</v>
      </c>
      <c r="E1237" s="23" t="s">
        <v>944</v>
      </c>
      <c r="F1237" s="23" t="s">
        <v>945</v>
      </c>
      <c r="G1237" s="23" t="s">
        <v>946</v>
      </c>
      <c r="H1237" s="23" t="s">
        <v>947</v>
      </c>
      <c r="I1237" s="23" t="s">
        <v>948</v>
      </c>
      <c r="J1237" s="23" t="s">
        <v>949</v>
      </c>
      <c r="K1237" s="23" t="s">
        <v>950</v>
      </c>
      <c r="L1237" s="4" t="s">
        <v>47</v>
      </c>
    </row>
    <row r="1238" customFormat="false" ht="17.15" hidden="false" customHeight="false" outlineLevel="0" collapsed="false">
      <c r="A1238" s="0" t="s">
        <v>1025</v>
      </c>
      <c r="B1238" s="0" t="s">
        <v>98</v>
      </c>
      <c r="D1238" s="6" t="n">
        <f aca="false">Sens!D1216</f>
        <v>12.9359794422418</v>
      </c>
      <c r="E1238" s="6" t="n">
        <f aca="false">Sens!E1216</f>
        <v>27.8095064661409</v>
      </c>
      <c r="F1238" s="6" t="n">
        <f aca="false">Sens!F1216</f>
        <v>43.3346400199465</v>
      </c>
      <c r="G1238" s="6" t="n">
        <f aca="false">Sens!G1216</f>
        <v>65.1882370612693</v>
      </c>
      <c r="H1238" s="6" t="n">
        <f aca="false">Sens!H1216</f>
        <v>82.832107250559</v>
      </c>
      <c r="I1238" s="6" t="n">
        <f aca="false">Sens!I1216</f>
        <v>103.770928720787</v>
      </c>
      <c r="J1238" s="6" t="n">
        <f aca="false">Sens!J1216</f>
        <v>118.361701378083</v>
      </c>
      <c r="K1238" s="6" t="n">
        <f aca="false">Sens!K1216</f>
        <v>127.496445789251</v>
      </c>
    </row>
    <row r="1239" customFormat="false" ht="17.15" hidden="false" customHeight="false" outlineLevel="0" collapsed="false">
      <c r="A1239" s="0" t="s">
        <v>1026</v>
      </c>
      <c r="B1239" s="0" t="s">
        <v>98</v>
      </c>
      <c r="D1239" s="6" t="n">
        <f aca="false">Q!L6-Sens!D1238</f>
        <v>59.6740205577583</v>
      </c>
      <c r="E1239" s="6" t="n">
        <f aca="false">Q!M6-Sens!E1238</f>
        <v>74.1284935338591</v>
      </c>
      <c r="F1239" s="6" t="n">
        <f aca="false">Q!$I$6+(Sens!F1238+Sens!E1239*(1+Sens!F1240))*(1-Q!$E$6/Q!M6)-Sens!F1238</f>
        <v>93.9491799839113</v>
      </c>
      <c r="G1239" s="6" t="n">
        <f aca="false">Sens!F1239*(1+Sens!G1240)</f>
        <v>111.625648239558</v>
      </c>
      <c r="H1239" s="6" t="n">
        <f aca="false">Sens!G1239*(1+Sens!H1240)</f>
        <v>129.609873150855</v>
      </c>
      <c r="I1239" s="6" t="n">
        <f aca="false">Sens!H1239*(1+Sens!I1240)</f>
        <v>146.987268637202</v>
      </c>
      <c r="J1239" s="6" t="n">
        <f aca="false">Sens!I1239*(1+Sens!J1240)</f>
        <v>162.720391040803</v>
      </c>
      <c r="K1239" s="6" t="n">
        <f aca="false">Sens!J1239*(1+Sens!K1240)</f>
        <v>175.738022324067</v>
      </c>
      <c r="L1239" s="12" t="s">
        <v>1027</v>
      </c>
    </row>
    <row r="1240" customFormat="false" ht="15" hidden="false" customHeight="false" outlineLevel="0" collapsed="false">
      <c r="A1240" s="1" t="s">
        <v>1028</v>
      </c>
      <c r="B1240" s="0" t="s">
        <v>168</v>
      </c>
      <c r="E1240" s="7" t="n">
        <f aca="false">Sens!E1239/Sens!D1239-1</f>
        <v>0.242223883039864</v>
      </c>
      <c r="F1240" s="7" t="n">
        <f aca="false">Sens!$E$1240+(glt_azo-Sens!$E$1240)*MIN(1,(Sens!F1197-base_fy)/n_conv)</f>
        <v>0.215186569199887</v>
      </c>
      <c r="G1240" s="7" t="n">
        <f aca="false">Sens!$E$1240+(glt_azo-Sens!$E$1240)*MIN(1,(Sens!G1197-base_fy)/n_conv)</f>
        <v>0.18814925535991</v>
      </c>
      <c r="H1240" s="7" t="n">
        <f aca="false">Sens!$E$1240+(glt_azo-Sens!$E$1240)*MIN(1,(Sens!H1197-base_fy)/n_conv)</f>
        <v>0.161111941519932</v>
      </c>
      <c r="I1240" s="7" t="n">
        <f aca="false">Sens!$E$1240+(glt_azo-Sens!$E$1240)*MIN(1,(Sens!I1197-base_fy)/n_conv)</f>
        <v>0.134074627679955</v>
      </c>
      <c r="J1240" s="7" t="n">
        <f aca="false">Sens!$E$1240+(glt_azo-Sens!$E$1240)*MIN(1,(Sens!J1197-base_fy)/n_conv)</f>
        <v>0.107037313839977</v>
      </c>
      <c r="K1240" s="7" t="n">
        <f aca="false">Sens!$E$1240+(glt_azo-Sens!$E$1240)*MIN(1,(Sens!K1197-base_fy)/n_conv)</f>
        <v>0.08</v>
      </c>
    </row>
    <row r="1241" customFormat="false" ht="15" hidden="false" customHeight="false" outlineLevel="0" collapsed="false">
      <c r="A1241" s="0" t="s">
        <v>1029</v>
      </c>
      <c r="B1241" s="0" t="s">
        <v>98</v>
      </c>
      <c r="D1241" s="6" t="n">
        <f aca="false">Sens!D1238+Sens!D1239</f>
        <v>72.61</v>
      </c>
      <c r="E1241" s="6" t="n">
        <f aca="false">Sens!E1238+Sens!E1239</f>
        <v>101.938</v>
      </c>
      <c r="F1241" s="6" t="n">
        <f aca="false">Sens!F1238+Sens!F1239</f>
        <v>137.283820003858</v>
      </c>
      <c r="G1241" s="6" t="n">
        <f aca="false">Sens!G1238+Sens!G1239</f>
        <v>176.813885300828</v>
      </c>
      <c r="H1241" s="6" t="n">
        <f aca="false">Sens!H1238+Sens!H1239</f>
        <v>212.441980401414</v>
      </c>
      <c r="I1241" s="6" t="n">
        <f aca="false">Sens!I1238+Sens!I1239</f>
        <v>250.758197357989</v>
      </c>
      <c r="J1241" s="6" t="n">
        <f aca="false">Sens!J1238+Sens!J1239</f>
        <v>281.082092418886</v>
      </c>
      <c r="K1241" s="6" t="n">
        <f aca="false">Sens!K1238+Sens!K1239</f>
        <v>303.234468113318</v>
      </c>
    </row>
    <row r="1242" customFormat="false" ht="17.15" hidden="false" customHeight="false" outlineLevel="0" collapsed="false">
      <c r="A1242" s="0" t="s">
        <v>1030</v>
      </c>
      <c r="B1242" s="1" t="s">
        <v>613</v>
      </c>
      <c r="C1242" s="30" t="n">
        <f aca="false">cop_s24</f>
        <v>1</v>
      </c>
      <c r="D1242" s="30" t="n">
        <f aca="false">cop_s25</f>
        <v>5</v>
      </c>
      <c r="E1242" s="30" t="n">
        <f aca="false">cop_s26</f>
        <v>30</v>
      </c>
      <c r="F1242" s="30" t="n">
        <f aca="false">Sens!E1242+cop_add_C</f>
        <v>40</v>
      </c>
      <c r="G1242" s="30" t="n">
        <f aca="false">Sens!F1242+cop_add_C</f>
        <v>50</v>
      </c>
      <c r="H1242" s="30" t="n">
        <f aca="false">Sens!G1242+cop_add_C</f>
        <v>60</v>
      </c>
      <c r="I1242" s="30" t="n">
        <f aca="false">Sens!H1242+cop_add_C*cop_tail</f>
        <v>65</v>
      </c>
      <c r="J1242" s="30" t="n">
        <f aca="false">Sens!I1242+cop_add_C*cop_tail</f>
        <v>70</v>
      </c>
      <c r="K1242" s="30" t="n">
        <f aca="false">Sens!J1242+cop_add_C*cop_tail</f>
        <v>75</v>
      </c>
      <c r="L1242" s="12" t="s">
        <v>1031</v>
      </c>
    </row>
    <row r="1243" customFormat="false" ht="17.15" hidden="false" customHeight="false" outlineLevel="0" collapsed="false">
      <c r="A1243" s="0" t="s">
        <v>1032</v>
      </c>
      <c r="B1243" s="0" t="s">
        <v>98</v>
      </c>
      <c r="D1243" s="6" t="n">
        <f aca="false">(Sens!C1242+Sens!D1242)/2*cop_px*12/1000</f>
        <v>0.9</v>
      </c>
      <c r="E1243" s="6" t="n">
        <f aca="false">(Sens!D1242+Sens!E1242)/2*cop_px*12/1000</f>
        <v>5.25</v>
      </c>
      <c r="F1243" s="6" t="n">
        <f aca="false">(Sens!E1242+Sens!F1242)/2*cop_px*12/1000</f>
        <v>10.5</v>
      </c>
      <c r="G1243" s="6" t="n">
        <f aca="false">(Sens!F1242+Sens!G1242)/2*cop_px*12/1000</f>
        <v>13.5</v>
      </c>
      <c r="H1243" s="6" t="n">
        <f aca="false">(Sens!G1242+Sens!H1242)/2*cop_px*12/1000</f>
        <v>16.5</v>
      </c>
      <c r="I1243" s="6" t="n">
        <f aca="false">(Sens!H1242+Sens!I1242)/2*cop_px*12/1000</f>
        <v>18.75</v>
      </c>
      <c r="J1243" s="6" t="n">
        <f aca="false">(Sens!I1242+Sens!J1242)/2*cop_px*12/1000</f>
        <v>20.25</v>
      </c>
      <c r="K1243" s="6" t="n">
        <f aca="false">(Sens!J1242+Sens!K1242)/2*cop_px*12/1000</f>
        <v>21.75</v>
      </c>
      <c r="L1243" s="1" t="s">
        <v>1033</v>
      </c>
    </row>
    <row r="1244" customFormat="false" ht="17.15" hidden="false" customHeight="false" outlineLevel="0" collapsed="false">
      <c r="A1244" s="0" t="s">
        <v>1034</v>
      </c>
      <c r="B1244" s="0" t="s">
        <v>98</v>
      </c>
      <c r="D1244" s="6" t="n">
        <f aca="false">Q!L7-Sens!D1243</f>
        <v>83.705</v>
      </c>
      <c r="E1244" s="6" t="n">
        <f aca="false">Q!M7-Sens!E1243</f>
        <v>95.049</v>
      </c>
      <c r="F1244" s="6" t="n">
        <f aca="false">Q!$I$7+(Sens!E1244*(1+Sens!F1245)+Sens!F1243)*(1-Q!$E$7/Q!M7)-Sens!F1243</f>
        <v>106.938354189776</v>
      </c>
      <c r="G1244" s="6" t="n">
        <f aca="false">Sens!F1244*(1+Sens!G1245)</f>
        <v>119.095360443801</v>
      </c>
      <c r="H1244" s="6" t="n">
        <f aca="false">Sens!G1244*(1+Sens!H1245)</f>
        <v>131.333811964563</v>
      </c>
      <c r="I1244" s="6" t="n">
        <f aca="false">Sens!H1244*(1+Sens!I1245)</f>
        <v>143.395665319381</v>
      </c>
      <c r="J1244" s="6" t="n">
        <f aca="false">Sens!I1244*(1+Sens!J1245)</f>
        <v>154.999327755573</v>
      </c>
      <c r="K1244" s="6" t="n">
        <f aca="false">Sens!J1244*(1+Sens!K1245)</f>
        <v>165.849280698463</v>
      </c>
      <c r="L1244" s="12" t="s">
        <v>1035</v>
      </c>
    </row>
    <row r="1245" customFormat="false" ht="15" hidden="false" customHeight="false" outlineLevel="0" collapsed="false">
      <c r="A1245" s="1" t="s">
        <v>1028</v>
      </c>
      <c r="B1245" s="0" t="s">
        <v>168</v>
      </c>
      <c r="E1245" s="7" t="n">
        <f aca="false">Sens!E1244/Sens!D1244-1</f>
        <v>0.135523564900544</v>
      </c>
      <c r="F1245" s="7" t="n">
        <f aca="false">Sens!$E$1245+(glt_m365b-Sens!$E$1245)*MIN(1,(Sens!F1197-base_fy)/n_conv)</f>
        <v>0.124602970750453</v>
      </c>
      <c r="G1245" s="7" t="n">
        <f aca="false">Sens!$E$1245+(glt_m365b-Sens!$E$1245)*MIN(1,(Sens!G1197-base_fy)/n_conv)</f>
        <v>0.113682376600363</v>
      </c>
      <c r="H1245" s="7" t="n">
        <f aca="false">Sens!$E$1245+(glt_m365b-Sens!$E$1245)*MIN(1,(Sens!H1197-base_fy)/n_conv)</f>
        <v>0.102761782450272</v>
      </c>
      <c r="I1245" s="7" t="n">
        <f aca="false">Sens!$E$1245+(glt_m365b-Sens!$E$1245)*MIN(1,(Sens!I1197-base_fy)/n_conv)</f>
        <v>0.0918411883001813</v>
      </c>
      <c r="J1245" s="7" t="n">
        <f aca="false">Sens!$E$1245+(glt_m365b-Sens!$E$1245)*MIN(1,(Sens!J1197-base_fy)/n_conv)</f>
        <v>0.0809205941500906</v>
      </c>
      <c r="K1245" s="7" t="n">
        <f aca="false">Sens!$E$1245+(glt_m365b-Sens!$E$1245)*MIN(1,(Sens!K1197-base_fy)/n_conv)</f>
        <v>0.07</v>
      </c>
    </row>
    <row r="1246" customFormat="false" ht="15" hidden="false" customHeight="false" outlineLevel="0" collapsed="false">
      <c r="A1246" s="0" t="s">
        <v>1036</v>
      </c>
      <c r="B1246" s="0" t="s">
        <v>98</v>
      </c>
      <c r="D1246" s="6" t="n">
        <f aca="false">Sens!D1244+Sens!D1243</f>
        <v>84.605</v>
      </c>
      <c r="E1246" s="6" t="n">
        <f aca="false">Sens!E1244+Sens!E1243</f>
        <v>100.299</v>
      </c>
      <c r="F1246" s="6" t="n">
        <f aca="false">Sens!F1244+Sens!F1243</f>
        <v>117.438354189776</v>
      </c>
      <c r="G1246" s="6" t="n">
        <f aca="false">Sens!G1244+Sens!G1243</f>
        <v>132.595360443801</v>
      </c>
      <c r="H1246" s="6" t="n">
        <f aca="false">Sens!H1244+Sens!H1243</f>
        <v>147.833811964563</v>
      </c>
      <c r="I1246" s="6" t="n">
        <f aca="false">Sens!I1244+Sens!I1243</f>
        <v>162.145665319381</v>
      </c>
      <c r="J1246" s="6" t="n">
        <f aca="false">Sens!J1244+Sens!J1243</f>
        <v>175.249327755573</v>
      </c>
      <c r="K1246" s="6" t="n">
        <f aca="false">Sens!K1244+Sens!K1243</f>
        <v>187.599280698463</v>
      </c>
    </row>
    <row r="1247" customFormat="false" ht="17.15" hidden="false" customHeight="false" outlineLevel="0" collapsed="false">
      <c r="A1247" s="0" t="s">
        <v>1037</v>
      </c>
      <c r="B1247" s="0" t="s">
        <v>98</v>
      </c>
      <c r="D1247" s="6" t="n">
        <f aca="false">Q!L8</f>
        <v>35.391</v>
      </c>
      <c r="E1247" s="6" t="n">
        <f aca="false">Q!M8</f>
        <v>37.285</v>
      </c>
      <c r="F1247" s="6" t="n">
        <f aca="false">Q!$I$8+(Q!M8-Q!$E$8)*(1+Sens!F1248)</f>
        <v>38.3851437782675</v>
      </c>
      <c r="G1247" s="6" t="n">
        <f aca="false">Sens!F1247*(1+Sens!G1248)</f>
        <v>40.0105353288615</v>
      </c>
      <c r="H1247" s="6" t="n">
        <f aca="false">Sens!G1247*(1+Sens!H1248)</f>
        <v>41.4812512033683</v>
      </c>
      <c r="I1247" s="6" t="n">
        <f aca="false">Sens!H1247*(1+Sens!I1248)</f>
        <v>42.7743107216329</v>
      </c>
      <c r="J1247" s="6" t="n">
        <f aca="false">Sens!I1247*(1+Sens!J1248)</f>
        <v>43.8687373064601</v>
      </c>
      <c r="K1247" s="6" t="n">
        <f aca="false">Sens!J1247*(1+Sens!K1248)</f>
        <v>44.7461120525893</v>
      </c>
      <c r="L1247" s="12" t="s">
        <v>1038</v>
      </c>
    </row>
    <row r="1248" customFormat="false" ht="15" hidden="false" customHeight="false" outlineLevel="0" collapsed="false">
      <c r="A1248" s="1" t="s">
        <v>1028</v>
      </c>
      <c r="B1248" s="0" t="s">
        <v>168</v>
      </c>
      <c r="E1248" s="7" t="n">
        <f aca="false">Sens!E1247/Sens!D1247-1</f>
        <v>0.0535164307309768</v>
      </c>
      <c r="F1248" s="7" t="n">
        <f aca="false">Sens!$E$1248+(glt_lic-Sens!$E$1248)*MIN(1,(Sens!F1197-base_fy)/n_conv)</f>
        <v>0.0479303589424807</v>
      </c>
      <c r="G1248" s="7" t="n">
        <f aca="false">Sens!$E$1248+(glt_lic-Sens!$E$1248)*MIN(1,(Sens!G1197-base_fy)/n_conv)</f>
        <v>0.0423442871539845</v>
      </c>
      <c r="H1248" s="7" t="n">
        <f aca="false">Sens!$E$1248+(glt_lic-Sens!$E$1248)*MIN(1,(Sens!H1197-base_fy)/n_conv)</f>
        <v>0.0367582153654884</v>
      </c>
      <c r="I1248" s="7" t="n">
        <f aca="false">Sens!$E$1248+(glt_lic-Sens!$E$1248)*MIN(1,(Sens!I1197-base_fy)/n_conv)</f>
        <v>0.0311721435769923</v>
      </c>
      <c r="J1248" s="7" t="n">
        <f aca="false">Sens!$E$1248+(glt_lic-Sens!$E$1248)*MIN(1,(Sens!J1197-base_fy)/n_conv)</f>
        <v>0.0255860717884961</v>
      </c>
      <c r="K1248" s="7" t="n">
        <f aca="false">Sens!$E$1248+(glt_lic-Sens!$E$1248)*MIN(1,(Sens!K1197-base_fy)/n_conv)</f>
        <v>0.02</v>
      </c>
    </row>
    <row r="1249" customFormat="false" ht="17.15" hidden="false" customHeight="false" outlineLevel="0" collapsed="false">
      <c r="A1249" s="0" t="s">
        <v>1039</v>
      </c>
      <c r="B1249" s="0" t="s">
        <v>98</v>
      </c>
      <c r="D1249" s="6" t="n">
        <f aca="false">Q!L9</f>
        <v>18.417</v>
      </c>
      <c r="E1249" s="6" t="n">
        <f aca="false">Q!M9</f>
        <v>20.345</v>
      </c>
      <c r="F1249" s="6" t="n">
        <f aca="false">Q!$I$9+(Q!M9-Q!$E$9)*(1+Sens!F1250)</f>
        <v>22.3161797133988</v>
      </c>
      <c r="G1249" s="6" t="n">
        <f aca="false">Sens!F1249*(1+Sens!G1250)</f>
        <v>24.3943499673233</v>
      </c>
      <c r="H1249" s="6" t="n">
        <f aca="false">Sens!G1249*(1+Sens!H1250)</f>
        <v>26.5250243109019</v>
      </c>
      <c r="I1249" s="6" t="n">
        <f aca="false">Sens!H1249*(1+Sens!I1250)</f>
        <v>28.6884573538181</v>
      </c>
      <c r="J1249" s="6" t="n">
        <f aca="false">Sens!I1249*(1+Sens!J1250)</f>
        <v>30.8624968052127</v>
      </c>
      <c r="K1249" s="6" t="n">
        <f aca="false">Sens!J1249*(1+Sens!K1250)</f>
        <v>33.0228715815776</v>
      </c>
      <c r="L1249" s="12" t="s">
        <v>1038</v>
      </c>
    </row>
    <row r="1250" customFormat="false" ht="15" hidden="false" customHeight="false" outlineLevel="0" collapsed="false">
      <c r="A1250" s="1" t="s">
        <v>1028</v>
      </c>
      <c r="B1250" s="0" t="s">
        <v>168</v>
      </c>
      <c r="E1250" s="7" t="n">
        <f aca="false">Sens!E1249/Sens!D1249-1</f>
        <v>0.104685888038225</v>
      </c>
      <c r="F1250" s="7" t="n">
        <f aca="false">Sens!$E$1250+(glt_ind-Sens!$E$1250)*MIN(1,(Sens!F1197-base_fy)/n_conv)</f>
        <v>0.0989049066985211</v>
      </c>
      <c r="G1250" s="7" t="n">
        <f aca="false">Sens!$E$1250+(glt_ind-Sens!$E$1250)*MIN(1,(Sens!G1197-base_fy)/n_conv)</f>
        <v>0.0931239253588169</v>
      </c>
      <c r="H1250" s="7" t="n">
        <f aca="false">Sens!$E$1250+(glt_ind-Sens!$E$1250)*MIN(1,(Sens!H1197-base_fy)/n_conv)</f>
        <v>0.0873429440191127</v>
      </c>
      <c r="I1250" s="7" t="n">
        <f aca="false">Sens!$E$1250+(glt_ind-Sens!$E$1250)*MIN(1,(Sens!I1197-base_fy)/n_conv)</f>
        <v>0.0815619626794085</v>
      </c>
      <c r="J1250" s="7" t="n">
        <f aca="false">Sens!$E$1250+(glt_ind-Sens!$E$1250)*MIN(1,(Sens!J1197-base_fy)/n_conv)</f>
        <v>0.0757809813397042</v>
      </c>
      <c r="K1250" s="7" t="n">
        <f aca="false">Sens!$E$1250+(glt_ind-Sens!$E$1250)*MIN(1,(Sens!K1197-base_fy)/n_conv)</f>
        <v>0.07</v>
      </c>
    </row>
    <row r="1251" customFormat="false" ht="17.15" hidden="false" customHeight="false" outlineLevel="0" collapsed="false">
      <c r="A1251" s="0" t="s">
        <v>1040</v>
      </c>
      <c r="B1251" s="0" t="s">
        <v>98</v>
      </c>
      <c r="D1251" s="6" t="n">
        <f aca="false">Q!L10</f>
        <v>7.76</v>
      </c>
      <c r="E1251" s="6" t="n">
        <f aca="false">Q!M10</f>
        <v>8.26</v>
      </c>
      <c r="F1251" s="6" t="n">
        <f aca="false">Q!$I$10+(Q!M10-Q!$E$10)*(1+Sens!F1252)</f>
        <v>8.75372082474227</v>
      </c>
      <c r="G1251" s="6" t="n">
        <f aca="false">Sens!F1251*(1+Sens!G1252)</f>
        <v>9.33399324642364</v>
      </c>
      <c r="H1251" s="6" t="n">
        <f aca="false">Sens!G1251*(1+Sens!H1252)</f>
        <v>9.96139155535851</v>
      </c>
      <c r="I1251" s="6" t="n">
        <f aca="false">Sens!H1251*(1+Sens!I1252)</f>
        <v>10.6402039077391</v>
      </c>
      <c r="J1251" s="6" t="n">
        <f aca="false">Sens!I1251*(1+Sens!J1252)</f>
        <v>11.3751458271397</v>
      </c>
      <c r="K1251" s="6" t="n">
        <f aca="false">Sens!J1251*(1+Sens!K1252)</f>
        <v>12.1714060350394</v>
      </c>
      <c r="L1251" s="12" t="s">
        <v>1038</v>
      </c>
    </row>
    <row r="1252" customFormat="false" ht="15" hidden="false" customHeight="false" outlineLevel="0" collapsed="false">
      <c r="A1252" s="1" t="s">
        <v>1028</v>
      </c>
      <c r="B1252" s="0" t="s">
        <v>168</v>
      </c>
      <c r="E1252" s="7" t="n">
        <f aca="false">Sens!E1251/Sens!D1251-1</f>
        <v>0.0644329896907216</v>
      </c>
      <c r="F1252" s="7" t="n">
        <f aca="false">Sens!$E$1252+(glt_fro-Sens!$E$1252)*MIN(1,(Sens!F1197-base_fy)/n_conv)</f>
        <v>0.065360824742268</v>
      </c>
      <c r="G1252" s="7" t="n">
        <f aca="false">Sens!$E$1252+(glt_fro-Sens!$E$1252)*MIN(1,(Sens!G1197-base_fy)/n_conv)</f>
        <v>0.0662886597938144</v>
      </c>
      <c r="H1252" s="7" t="n">
        <f aca="false">Sens!$E$1252+(glt_fro-Sens!$E$1252)*MIN(1,(Sens!H1197-base_fy)/n_conv)</f>
        <v>0.0672164948453608</v>
      </c>
      <c r="I1252" s="7" t="n">
        <f aca="false">Sens!$E$1252+(glt_fro-Sens!$E$1252)*MIN(1,(Sens!I1197-base_fy)/n_conv)</f>
        <v>0.0681443298969072</v>
      </c>
      <c r="J1252" s="7" t="n">
        <f aca="false">Sens!$E$1252+(glt_fro-Sens!$E$1252)*MIN(1,(Sens!J1197-base_fy)/n_conv)</f>
        <v>0.0690721649484536</v>
      </c>
      <c r="K1252" s="7" t="n">
        <f aca="false">Sens!$E$1252+(glt_fro-Sens!$E$1252)*MIN(1,(Sens!K1197-base_fy)/n_conv)</f>
        <v>0.07</v>
      </c>
    </row>
    <row r="1253" customFormat="false" ht="15" hidden="false" customHeight="false" outlineLevel="0" collapsed="false">
      <c r="A1253" s="0" t="s">
        <v>856</v>
      </c>
      <c r="B1253" s="0" t="s">
        <v>98</v>
      </c>
      <c r="D1253" s="6" t="n">
        <f aca="false">Sens!D1241+Sens!D1246+Sens!D1247+Sens!D1249+Sens!D1251</f>
        <v>218.783</v>
      </c>
      <c r="E1253" s="6" t="n">
        <f aca="false">Sens!E1241+Sens!E1246+Sens!E1247+Sens!E1249+Sens!E1251</f>
        <v>268.127</v>
      </c>
      <c r="F1253" s="6" t="n">
        <f aca="false">Sens!F1241+Sens!F1246+Sens!F1247+Sens!F1249+Sens!F1251</f>
        <v>324.177218510042</v>
      </c>
      <c r="G1253" s="6" t="n">
        <f aca="false">Sens!G1241+Sens!G1246+Sens!G1247+Sens!G1249+Sens!G1251</f>
        <v>383.148124287237</v>
      </c>
      <c r="H1253" s="6" t="n">
        <f aca="false">Sens!H1241+Sens!H1246+Sens!H1247+Sens!H1249+Sens!H1251</f>
        <v>438.243459435605</v>
      </c>
      <c r="I1253" s="6" t="n">
        <f aca="false">Sens!I1241+Sens!I1246+Sens!I1247+Sens!I1249+Sens!I1251</f>
        <v>495.00683466056</v>
      </c>
      <c r="J1253" s="6" t="n">
        <f aca="false">Sens!J1241+Sens!J1246+Sens!J1247+Sens!J1249+Sens!J1251</f>
        <v>542.437800113272</v>
      </c>
      <c r="K1253" s="6" t="n">
        <f aca="false">Sens!K1241+Sens!K1246+Sens!K1247+Sens!K1249+Sens!K1251</f>
        <v>580.774138480987</v>
      </c>
    </row>
    <row r="1254" customFormat="false" ht="17.15" hidden="false" customHeight="false" outlineLevel="0" collapsed="false">
      <c r="A1254" s="0" t="s">
        <v>1041</v>
      </c>
      <c r="B1254" s="0" t="s">
        <v>98</v>
      </c>
      <c r="D1254" s="6" t="n">
        <f aca="false">Q!L13</f>
        <v>22.171</v>
      </c>
      <c r="E1254" s="6" t="n">
        <f aca="false">Q!M13</f>
        <v>24.835</v>
      </c>
      <c r="F1254" s="6" t="n">
        <f aca="false">Q!$I$13+(Q!M13-Q!$E$13)*(1+Sens!F1255)</f>
        <v>27.5591895660247</v>
      </c>
      <c r="G1254" s="6" t="n">
        <f aca="false">Sens!F1254*(1+Sens!G1255)</f>
        <v>30.4098563144583</v>
      </c>
      <c r="H1254" s="6" t="n">
        <f aca="false">Sens!G1254*(1+Sens!H1255)</f>
        <v>33.3011792571777</v>
      </c>
      <c r="I1254" s="6" t="n">
        <f aca="false">Sens!H1254*(1+Sens!I1255)</f>
        <v>36.189023797112</v>
      </c>
      <c r="J1254" s="6" t="n">
        <f aca="false">Sens!I1254*(1+Sens!J1255)</f>
        <v>39.0247773769199</v>
      </c>
      <c r="K1254" s="6" t="n">
        <f aca="false">Sens!J1254*(1+Sens!K1255)</f>
        <v>41.7565117933043</v>
      </c>
      <c r="L1254" s="12" t="s">
        <v>1038</v>
      </c>
    </row>
    <row r="1255" customFormat="false" ht="15" hidden="false" customHeight="false" outlineLevel="0" collapsed="false">
      <c r="A1255" s="1" t="s">
        <v>1028</v>
      </c>
      <c r="B1255" s="0" t="s">
        <v>168</v>
      </c>
      <c r="E1255" s="7" t="n">
        <f aca="false">Sens!E1254/Sens!D1254-1</f>
        <v>0.120156961796942</v>
      </c>
      <c r="F1255" s="7" t="n">
        <f aca="false">Sens!$E$1255+(glt_srch-Sens!$E$1255)*MIN(1,(Sens!F1197-base_fy)/n_conv)</f>
        <v>0.111797468164118</v>
      </c>
      <c r="G1255" s="7" t="n">
        <f aca="false">Sens!$E$1255+(glt_srch-Sens!$E$1255)*MIN(1,(Sens!G1197-base_fy)/n_conv)</f>
        <v>0.103437974531295</v>
      </c>
      <c r="H1255" s="7" t="n">
        <f aca="false">Sens!$E$1255+(glt_srch-Sens!$E$1255)*MIN(1,(Sens!H1197-base_fy)/n_conv)</f>
        <v>0.095078480898471</v>
      </c>
      <c r="I1255" s="7" t="n">
        <f aca="false">Sens!$E$1255+(glt_srch-Sens!$E$1255)*MIN(1,(Sens!I1197-base_fy)/n_conv)</f>
        <v>0.0867189872656474</v>
      </c>
      <c r="J1255" s="7" t="n">
        <f aca="false">Sens!$E$1255+(glt_srch-Sens!$E$1255)*MIN(1,(Sens!J1197-base_fy)/n_conv)</f>
        <v>0.0783594936328237</v>
      </c>
      <c r="K1255" s="7" t="n">
        <f aca="false">Sens!$E$1255+(glt_srch-Sens!$E$1255)*MIN(1,(Sens!K1197-base_fy)/n_conv)</f>
        <v>0.07</v>
      </c>
    </row>
    <row r="1256" customFormat="false" ht="17.15" hidden="false" customHeight="false" outlineLevel="0" collapsed="false">
      <c r="A1256" s="0" t="s">
        <v>1042</v>
      </c>
      <c r="B1256" s="0" t="s">
        <v>98</v>
      </c>
      <c r="D1256" s="6" t="n">
        <f aca="false">Q!L14</f>
        <v>23.455</v>
      </c>
      <c r="E1256" s="6" t="n">
        <f aca="false">Q!M14</f>
        <v>21.79</v>
      </c>
      <c r="F1256" s="6" t="n">
        <f aca="false">Q!$I$14+(Q!M14-Q!$E$14)*(1+Sens!F1257)</f>
        <v>20.7520981041711</v>
      </c>
      <c r="G1256" s="6" t="n">
        <f aca="false">Sens!F1256*(1+Sens!G1257)</f>
        <v>19.9083593495882</v>
      </c>
      <c r="H1256" s="6" t="n">
        <f aca="false">Sens!G1256*(1+Sens!H1257)</f>
        <v>19.4008256265831</v>
      </c>
      <c r="I1256" s="6" t="n">
        <f aca="false">Sens!H1256*(1+Sens!I1257)</f>
        <v>19.200434522122</v>
      </c>
      <c r="J1256" s="6" t="n">
        <f aca="false">Sens!I1256*(1+Sens!J1257)</f>
        <v>19.2932782348507</v>
      </c>
      <c r="K1256" s="6" t="n">
        <f aca="false">Sens!J1256*(1+Sens!K1257)</f>
        <v>19.6791437995477</v>
      </c>
      <c r="L1256" s="12" t="s">
        <v>1038</v>
      </c>
    </row>
    <row r="1257" customFormat="false" ht="15" hidden="false" customHeight="false" outlineLevel="0" collapsed="false">
      <c r="A1257" s="1" t="s">
        <v>1028</v>
      </c>
      <c r="B1257" s="0" t="s">
        <v>168</v>
      </c>
      <c r="E1257" s="7" t="n">
        <f aca="false">Sens!E1256/Sens!D1256-1</f>
        <v>-0.0709869963760392</v>
      </c>
      <c r="F1257" s="7" t="n">
        <f aca="false">Sens!$E$1257+(glt_xbox-Sens!$E$1257)*MIN(1,(Sens!F1197-base_fy)/n_conv)</f>
        <v>-0.0558224969800327</v>
      </c>
      <c r="G1257" s="7" t="n">
        <f aca="false">Sens!$E$1257+(glt_xbox-Sens!$E$1257)*MIN(1,(Sens!G1197-base_fy)/n_conv)</f>
        <v>-0.0406579975840262</v>
      </c>
      <c r="H1257" s="7" t="n">
        <f aca="false">Sens!$E$1257+(glt_xbox-Sens!$E$1257)*MIN(1,(Sens!H1197-base_fy)/n_conv)</f>
        <v>-0.0254934981880196</v>
      </c>
      <c r="I1257" s="7" t="n">
        <f aca="false">Sens!$E$1257+(glt_xbox-Sens!$E$1257)*MIN(1,(Sens!I1197-base_fy)/n_conv)</f>
        <v>-0.0103289987920131</v>
      </c>
      <c r="J1257" s="7" t="n">
        <f aca="false">Sens!$E$1257+(glt_xbox-Sens!$E$1257)*MIN(1,(Sens!J1197-base_fy)/n_conv)</f>
        <v>0.00483550060399347</v>
      </c>
      <c r="K1257" s="7" t="n">
        <f aca="false">Sens!$E$1257+(glt_xbox-Sens!$E$1257)*MIN(1,(Sens!K1197-base_fy)/n_conv)</f>
        <v>0.02</v>
      </c>
    </row>
    <row r="1258" customFormat="false" ht="17.15" hidden="false" customHeight="false" outlineLevel="0" collapsed="false">
      <c r="A1258" s="0" t="s">
        <v>1043</v>
      </c>
      <c r="B1258" s="0" t="s">
        <v>98</v>
      </c>
      <c r="D1258" s="6" t="n">
        <f aca="false">Q!L15</f>
        <v>17.315</v>
      </c>
      <c r="E1258" s="6" t="n">
        <f aca="false">Q!M15</f>
        <v>17.087</v>
      </c>
      <c r="F1258" s="6" t="n">
        <f aca="false">Q!$I$15+(Q!M15-Q!$E$15)*(1+Sens!F1259)</f>
        <v>15.9912273250553</v>
      </c>
      <c r="G1258" s="6" t="n">
        <f aca="false">Sens!F1258*(1+Sens!G1259)</f>
        <v>15.9574562664827</v>
      </c>
      <c r="H1258" s="6" t="n">
        <f aca="false">Sens!G1258*(1+Sens!H1259)</f>
        <v>16.0119687434196</v>
      </c>
      <c r="I1258" s="6" t="n">
        <f aca="false">Sens!H1258*(1+Sens!I1259)</f>
        <v>16.1551810001948</v>
      </c>
      <c r="J1258" s="6" t="n">
        <f aca="false">Sens!I1258*(1+Sens!J1259)</f>
        <v>16.3889793892005</v>
      </c>
      <c r="K1258" s="6" t="n">
        <f aca="false">Sens!J1258*(1+Sens!K1259)</f>
        <v>16.7167589769845</v>
      </c>
      <c r="L1258" s="12" t="s">
        <v>1038</v>
      </c>
    </row>
    <row r="1259" customFormat="false" ht="15" hidden="false" customHeight="false" outlineLevel="0" collapsed="false">
      <c r="A1259" s="1" t="s">
        <v>1028</v>
      </c>
      <c r="B1259" s="0" t="s">
        <v>168</v>
      </c>
      <c r="E1259" s="7" t="n">
        <f aca="false">Sens!E1258/Sens!D1258-1</f>
        <v>-0.0131677736066995</v>
      </c>
      <c r="F1259" s="7" t="n">
        <f aca="false">Sens!$E$1259+(glt_win-Sens!$E$1259)*MIN(1,(Sens!F1197-base_fy)/n_conv)</f>
        <v>-0.00763981133891627</v>
      </c>
      <c r="G1259" s="7" t="n">
        <f aca="false">Sens!$E$1259+(glt_win-Sens!$E$1259)*MIN(1,(Sens!G1197-base_fy)/n_conv)</f>
        <v>-0.00211184907113301</v>
      </c>
      <c r="H1259" s="7" t="n">
        <f aca="false">Sens!$E$1259+(glt_win-Sens!$E$1259)*MIN(1,(Sens!H1197-base_fy)/n_conv)</f>
        <v>0.00341611319665024</v>
      </c>
      <c r="I1259" s="7" t="n">
        <f aca="false">Sens!$E$1259+(glt_win-Sens!$E$1259)*MIN(1,(Sens!I1197-base_fy)/n_conv)</f>
        <v>0.00894407546443349</v>
      </c>
      <c r="J1259" s="7" t="n">
        <f aca="false">Sens!$E$1259+(glt_win-Sens!$E$1259)*MIN(1,(Sens!J1197-base_fy)/n_conv)</f>
        <v>0.0144720377322168</v>
      </c>
      <c r="K1259" s="7" t="n">
        <f aca="false">Sens!$E$1259+(glt_win-Sens!$E$1259)*MIN(1,(Sens!K1197-base_fy)/n_conv)</f>
        <v>0.02</v>
      </c>
    </row>
    <row r="1260" customFormat="false" ht="15" hidden="false" customHeight="false" outlineLevel="0" collapsed="false">
      <c r="A1260" s="0" t="s">
        <v>870</v>
      </c>
      <c r="B1260" s="0" t="s">
        <v>98</v>
      </c>
      <c r="D1260" s="6" t="n">
        <f aca="false">Sens!D1254+Sens!D1256+Sens!D1258</f>
        <v>62.941</v>
      </c>
      <c r="E1260" s="6" t="n">
        <f aca="false">Sens!E1254+Sens!E1256+Sens!E1258</f>
        <v>63.712</v>
      </c>
      <c r="F1260" s="6" t="n">
        <f aca="false">Sens!F1254+Sens!F1256+Sens!F1258</f>
        <v>64.3025149952511</v>
      </c>
      <c r="G1260" s="6" t="n">
        <f aca="false">Sens!G1254+Sens!G1256+Sens!G1258</f>
        <v>66.2756719305292</v>
      </c>
      <c r="H1260" s="6" t="n">
        <f aca="false">Sens!H1254+Sens!H1256+Sens!H1258</f>
        <v>68.7139736271804</v>
      </c>
      <c r="I1260" s="6" t="n">
        <f aca="false">Sens!I1254+Sens!I1256+Sens!I1258</f>
        <v>71.5446393194289</v>
      </c>
      <c r="J1260" s="6" t="n">
        <f aca="false">Sens!J1254+Sens!J1256+Sens!J1258</f>
        <v>74.707035000971</v>
      </c>
      <c r="K1260" s="6" t="n">
        <f aca="false">Sens!K1254+Sens!K1256+Sens!K1258</f>
        <v>78.1524145698365</v>
      </c>
    </row>
    <row r="1261" customFormat="false" ht="15" hidden="false" customHeight="false" outlineLevel="0" collapsed="false">
      <c r="A1261" s="1" t="s">
        <v>1044</v>
      </c>
      <c r="B1261" s="0" t="s">
        <v>98</v>
      </c>
      <c r="D1261" s="6" t="n">
        <f aca="false">Sens!D1253+Sens!D1260</f>
        <v>281.724</v>
      </c>
      <c r="E1261" s="6" t="n">
        <f aca="false">Sens!E1253+Sens!E1260</f>
        <v>331.839</v>
      </c>
      <c r="F1261" s="6" t="n">
        <f aca="false">Sens!F1253+Sens!F1260</f>
        <v>388.479733505293</v>
      </c>
      <c r="G1261" s="6" t="n">
        <f aca="false">Sens!G1253+Sens!G1260</f>
        <v>449.423796217766</v>
      </c>
      <c r="H1261" s="6" t="n">
        <f aca="false">Sens!H1253+Sens!H1260</f>
        <v>506.957433062786</v>
      </c>
      <c r="I1261" s="6" t="n">
        <f aca="false">Sens!I1253+Sens!I1260</f>
        <v>566.551473979989</v>
      </c>
      <c r="J1261" s="6" t="n">
        <f aca="false">Sens!J1253+Sens!J1260</f>
        <v>617.144835114243</v>
      </c>
      <c r="K1261" s="6" t="n">
        <f aca="false">Sens!K1253+Sens!K1260</f>
        <v>658.926553050824</v>
      </c>
    </row>
    <row r="1262" customFormat="false" ht="15" hidden="false" customHeight="false" outlineLevel="0" collapsed="false">
      <c r="A1262" s="26" t="s">
        <v>1045</v>
      </c>
      <c r="B1262" s="31" t="s">
        <v>98</v>
      </c>
      <c r="C1262" s="31"/>
      <c r="D1262" s="27" t="n">
        <f aca="false">(Sens!D1241+Sens!D1246+Sens!D1247+Sens!D1249+Sens!D1251-Sens!D1253)+(Sens!D1254+Sens!D1256+Sens!D1258-Sens!D1260)+(Sens!D1253-Q!L5)+(Sens!D1260-Q!L12)+(Sens!D1241-Q!L6)+(Sens!D1246-Q!L7)</f>
        <v>0</v>
      </c>
      <c r="E1262" s="27" t="n">
        <f aca="false">(Sens!E1241+Sens!E1246+Sens!E1247+Sens!E1249+Sens!E1251-Sens!E1253)+(Sens!E1254+Sens!E1256+Sens!E1258-Sens!E1260)+(Sens!E1253-Q!M5)+(Sens!E1260-Q!M12)+(Sens!E1241-Q!M6)+(Sens!E1246-Q!M7)</f>
        <v>0</v>
      </c>
      <c r="F1262" s="27" t="n">
        <f aca="false">(Sens!F1241+Sens!F1246+Sens!F1247+Sens!F1249+Sens!F1251-Sens!F1253)+(Sens!F1254+Sens!F1256+Sens!F1258-Sens!F1260)</f>
        <v>0</v>
      </c>
      <c r="G1262" s="27" t="n">
        <f aca="false">(Sens!G1241+Sens!G1246+Sens!G1247+Sens!G1249+Sens!G1251-Sens!G1253)+(Sens!G1254+Sens!G1256+Sens!G1258-Sens!G1260)</f>
        <v>0</v>
      </c>
      <c r="H1262" s="27" t="n">
        <f aca="false">(Sens!H1241+Sens!H1246+Sens!H1247+Sens!H1249+Sens!H1251-Sens!H1253)+(Sens!H1254+Sens!H1256+Sens!H1258-Sens!H1260)</f>
        <v>0</v>
      </c>
      <c r="I1262" s="27" t="n">
        <f aca="false">(Sens!I1241+Sens!I1246+Sens!I1247+Sens!I1249+Sens!I1251-Sens!I1253)+(Sens!I1254+Sens!I1256+Sens!I1258-Sens!I1260)</f>
        <v>0</v>
      </c>
      <c r="J1262" s="27" t="n">
        <f aca="false">(Sens!J1241+Sens!J1246+Sens!J1247+Sens!J1249+Sens!J1251-Sens!J1253)+(Sens!J1254+Sens!J1256+Sens!J1258-Sens!J1260)</f>
        <v>0</v>
      </c>
      <c r="K1262" s="27" t="n">
        <f aca="false">(Sens!K1241+Sens!K1246+Sens!K1247+Sens!K1249+Sens!K1251-Sens!K1253)+(Sens!K1254+Sens!K1256+Sens!K1258-Sens!K1260)</f>
        <v>0</v>
      </c>
    </row>
    <row r="1263" customFormat="false" ht="17.15" hidden="false" customHeight="false" outlineLevel="0" collapsed="false">
      <c r="A1263" s="3" t="s">
        <v>1642</v>
      </c>
    </row>
    <row r="1264" customFormat="false" ht="15" hidden="false" customHeight="false" outlineLevel="0" collapsed="false">
      <c r="A1264" s="4" t="s">
        <v>43</v>
      </c>
      <c r="B1264" s="4" t="s">
        <v>65</v>
      </c>
      <c r="C1264" s="23" t="s">
        <v>942</v>
      </c>
      <c r="D1264" s="23" t="s">
        <v>943</v>
      </c>
      <c r="E1264" s="23" t="s">
        <v>944</v>
      </c>
      <c r="F1264" s="23" t="s">
        <v>945</v>
      </c>
      <c r="G1264" s="23" t="s">
        <v>946</v>
      </c>
      <c r="H1264" s="23" t="s">
        <v>947</v>
      </c>
      <c r="I1264" s="23" t="s">
        <v>948</v>
      </c>
      <c r="J1264" s="23" t="s">
        <v>949</v>
      </c>
      <c r="K1264" s="23" t="s">
        <v>950</v>
      </c>
      <c r="L1264" s="4" t="s">
        <v>47</v>
      </c>
    </row>
    <row r="1265" customFormat="false" ht="15" hidden="false" customHeight="false" outlineLevel="0" collapsed="false">
      <c r="A1265" s="0" t="s">
        <v>1029</v>
      </c>
      <c r="B1265" s="0" t="s">
        <v>98</v>
      </c>
      <c r="D1265" s="6" t="n">
        <f aca="false">Sens!D1241</f>
        <v>72.61</v>
      </c>
      <c r="E1265" s="6" t="n">
        <f aca="false">Sens!E1241</f>
        <v>101.938</v>
      </c>
      <c r="F1265" s="6" t="n">
        <f aca="false">Sens!F1241</f>
        <v>137.283820003858</v>
      </c>
      <c r="G1265" s="6" t="n">
        <f aca="false">Sens!G1241</f>
        <v>176.813885300828</v>
      </c>
      <c r="H1265" s="6" t="n">
        <f aca="false">Sens!H1241</f>
        <v>212.441980401414</v>
      </c>
      <c r="I1265" s="6" t="n">
        <f aca="false">Sens!I1241</f>
        <v>250.758197357989</v>
      </c>
      <c r="J1265" s="6" t="n">
        <f aca="false">Sens!J1241</f>
        <v>281.082092418886</v>
      </c>
      <c r="K1265" s="6" t="n">
        <f aca="false">Sens!K1241</f>
        <v>303.234468113318</v>
      </c>
    </row>
    <row r="1266" customFormat="false" ht="17.15" hidden="false" customHeight="false" outlineLevel="0" collapsed="false">
      <c r="A1266" s="0" t="s">
        <v>1025</v>
      </c>
      <c r="B1266" s="0" t="s">
        <v>98</v>
      </c>
      <c r="D1266" s="6" t="n">
        <f aca="false">Sens!D1238</f>
        <v>12.9359794422418</v>
      </c>
      <c r="E1266" s="6" t="n">
        <f aca="false">Sens!E1238</f>
        <v>27.8095064661409</v>
      </c>
      <c r="F1266" s="6" t="n">
        <f aca="false">Sens!F1238</f>
        <v>43.3346400199465</v>
      </c>
      <c r="G1266" s="6" t="n">
        <f aca="false">Sens!G1238</f>
        <v>65.1882370612693</v>
      </c>
      <c r="H1266" s="6" t="n">
        <f aca="false">Sens!H1238</f>
        <v>82.832107250559</v>
      </c>
      <c r="I1266" s="6" t="n">
        <f aca="false">Sens!I1238</f>
        <v>103.770928720787</v>
      </c>
      <c r="J1266" s="6" t="n">
        <f aca="false">Sens!J1238</f>
        <v>118.361701378083</v>
      </c>
      <c r="K1266" s="6" t="n">
        <f aca="false">Sens!K1238</f>
        <v>127.496445789251</v>
      </c>
    </row>
    <row r="1267" customFormat="false" ht="17.15" hidden="false" customHeight="false" outlineLevel="0" collapsed="false">
      <c r="A1267" s="0" t="s">
        <v>1056</v>
      </c>
      <c r="B1267" s="0" t="s">
        <v>98</v>
      </c>
      <c r="D1267" s="6" t="n">
        <f aca="false">Sens!D1239</f>
        <v>59.6740205577583</v>
      </c>
      <c r="E1267" s="6" t="n">
        <f aca="false">Sens!E1239</f>
        <v>74.1284935338591</v>
      </c>
      <c r="F1267" s="6" t="n">
        <f aca="false">Sens!F1239</f>
        <v>93.9491799839113</v>
      </c>
      <c r="G1267" s="6" t="n">
        <f aca="false">Sens!G1239</f>
        <v>111.625648239558</v>
      </c>
      <c r="H1267" s="6" t="n">
        <f aca="false">Sens!H1239</f>
        <v>129.609873150855</v>
      </c>
      <c r="I1267" s="6" t="n">
        <f aca="false">Sens!I1239</f>
        <v>146.987268637202</v>
      </c>
      <c r="J1267" s="6" t="n">
        <f aca="false">Sens!J1239</f>
        <v>162.720391040803</v>
      </c>
      <c r="K1267" s="6" t="n">
        <f aca="false">Sens!K1239</f>
        <v>175.738022324067</v>
      </c>
    </row>
    <row r="1268" customFormat="false" ht="15" hidden="false" customHeight="false" outlineLevel="0" collapsed="false">
      <c r="A1268" s="0" t="s">
        <v>1036</v>
      </c>
      <c r="B1268" s="0" t="s">
        <v>98</v>
      </c>
      <c r="D1268" s="6" t="n">
        <f aca="false">Sens!D1246</f>
        <v>84.605</v>
      </c>
      <c r="E1268" s="6" t="n">
        <f aca="false">Sens!E1246</f>
        <v>100.299</v>
      </c>
      <c r="F1268" s="6" t="n">
        <f aca="false">Sens!F1246</f>
        <v>117.438354189776</v>
      </c>
      <c r="G1268" s="6" t="n">
        <f aca="false">Sens!G1246</f>
        <v>132.595360443801</v>
      </c>
      <c r="H1268" s="6" t="n">
        <f aca="false">Sens!H1246</f>
        <v>147.833811964563</v>
      </c>
      <c r="I1268" s="6" t="n">
        <f aca="false">Sens!I1246</f>
        <v>162.145665319381</v>
      </c>
      <c r="J1268" s="6" t="n">
        <f aca="false">Sens!J1246</f>
        <v>175.249327755573</v>
      </c>
      <c r="K1268" s="6" t="n">
        <f aca="false">Sens!K1246</f>
        <v>187.599280698463</v>
      </c>
    </row>
    <row r="1269" customFormat="false" ht="17.15" hidden="false" customHeight="false" outlineLevel="0" collapsed="false">
      <c r="A1269" s="0" t="s">
        <v>1057</v>
      </c>
      <c r="B1269" s="0" t="s">
        <v>98</v>
      </c>
      <c r="D1269" s="6" t="n">
        <f aca="false">Sens!D1244</f>
        <v>83.705</v>
      </c>
      <c r="E1269" s="6" t="n">
        <f aca="false">Sens!E1244</f>
        <v>95.049</v>
      </c>
      <c r="F1269" s="6" t="n">
        <f aca="false">Sens!F1244</f>
        <v>106.938354189776</v>
      </c>
      <c r="G1269" s="6" t="n">
        <f aca="false">Sens!G1244</f>
        <v>119.095360443801</v>
      </c>
      <c r="H1269" s="6" t="n">
        <f aca="false">Sens!H1244</f>
        <v>131.333811964563</v>
      </c>
      <c r="I1269" s="6" t="n">
        <f aca="false">Sens!I1244</f>
        <v>143.395665319381</v>
      </c>
      <c r="J1269" s="6" t="n">
        <f aca="false">Sens!J1244</f>
        <v>154.999327755573</v>
      </c>
      <c r="K1269" s="6" t="n">
        <f aca="false">Sens!K1244</f>
        <v>165.849280698463</v>
      </c>
    </row>
    <row r="1270" customFormat="false" ht="17.15" hidden="false" customHeight="false" outlineLevel="0" collapsed="false">
      <c r="A1270" s="0" t="s">
        <v>1058</v>
      </c>
      <c r="B1270" s="0" t="s">
        <v>98</v>
      </c>
      <c r="D1270" s="6" t="n">
        <f aca="false">Sens!D1243</f>
        <v>0.9</v>
      </c>
      <c r="E1270" s="6" t="n">
        <f aca="false">Sens!E1243</f>
        <v>5.25</v>
      </c>
      <c r="F1270" s="6" t="n">
        <f aca="false">Sens!F1243</f>
        <v>10.5</v>
      </c>
      <c r="G1270" s="6" t="n">
        <f aca="false">Sens!G1243</f>
        <v>13.5</v>
      </c>
      <c r="H1270" s="6" t="n">
        <f aca="false">Sens!H1243</f>
        <v>16.5</v>
      </c>
      <c r="I1270" s="6" t="n">
        <f aca="false">Sens!I1243</f>
        <v>18.75</v>
      </c>
      <c r="J1270" s="6" t="n">
        <f aca="false">Sens!J1243</f>
        <v>20.25</v>
      </c>
      <c r="K1270" s="6" t="n">
        <f aca="false">Sens!K1243</f>
        <v>21.75</v>
      </c>
    </row>
    <row r="1271" customFormat="false" ht="15" hidden="false" customHeight="false" outlineLevel="0" collapsed="false">
      <c r="A1271" s="0" t="s">
        <v>1037</v>
      </c>
      <c r="B1271" s="0" t="s">
        <v>98</v>
      </c>
      <c r="D1271" s="6" t="n">
        <f aca="false">Sens!D1247</f>
        <v>35.391</v>
      </c>
      <c r="E1271" s="6" t="n">
        <f aca="false">Sens!E1247</f>
        <v>37.285</v>
      </c>
      <c r="F1271" s="6" t="n">
        <f aca="false">Sens!F1247</f>
        <v>38.3851437782675</v>
      </c>
      <c r="G1271" s="6" t="n">
        <f aca="false">Sens!G1247</f>
        <v>40.0105353288615</v>
      </c>
      <c r="H1271" s="6" t="n">
        <f aca="false">Sens!H1247</f>
        <v>41.4812512033683</v>
      </c>
      <c r="I1271" s="6" t="n">
        <f aca="false">Sens!I1247</f>
        <v>42.7743107216329</v>
      </c>
      <c r="J1271" s="6" t="n">
        <f aca="false">Sens!J1247</f>
        <v>43.8687373064601</v>
      </c>
      <c r="K1271" s="6" t="n">
        <f aca="false">Sens!K1247</f>
        <v>44.7461120525893</v>
      </c>
    </row>
    <row r="1272" customFormat="false" ht="15" hidden="false" customHeight="false" outlineLevel="0" collapsed="false">
      <c r="A1272" s="0" t="s">
        <v>1039</v>
      </c>
      <c r="B1272" s="0" t="s">
        <v>98</v>
      </c>
      <c r="D1272" s="6" t="n">
        <f aca="false">Sens!D1249</f>
        <v>18.417</v>
      </c>
      <c r="E1272" s="6" t="n">
        <f aca="false">Sens!E1249</f>
        <v>20.345</v>
      </c>
      <c r="F1272" s="6" t="n">
        <f aca="false">Sens!F1249</f>
        <v>22.3161797133988</v>
      </c>
      <c r="G1272" s="6" t="n">
        <f aca="false">Sens!G1249</f>
        <v>24.3943499673233</v>
      </c>
      <c r="H1272" s="6" t="n">
        <f aca="false">Sens!H1249</f>
        <v>26.5250243109019</v>
      </c>
      <c r="I1272" s="6" t="n">
        <f aca="false">Sens!I1249</f>
        <v>28.6884573538181</v>
      </c>
      <c r="J1272" s="6" t="n">
        <f aca="false">Sens!J1249</f>
        <v>30.8624968052127</v>
      </c>
      <c r="K1272" s="6" t="n">
        <f aca="false">Sens!K1249</f>
        <v>33.0228715815776</v>
      </c>
    </row>
    <row r="1273" customFormat="false" ht="15" hidden="false" customHeight="false" outlineLevel="0" collapsed="false">
      <c r="A1273" s="0" t="s">
        <v>1040</v>
      </c>
      <c r="B1273" s="0" t="s">
        <v>98</v>
      </c>
      <c r="D1273" s="6" t="n">
        <f aca="false">Sens!D1251</f>
        <v>7.76</v>
      </c>
      <c r="E1273" s="6" t="n">
        <f aca="false">Sens!E1251</f>
        <v>8.26</v>
      </c>
      <c r="F1273" s="6" t="n">
        <f aca="false">Sens!F1251</f>
        <v>8.75372082474227</v>
      </c>
      <c r="G1273" s="6" t="n">
        <f aca="false">Sens!G1251</f>
        <v>9.33399324642364</v>
      </c>
      <c r="H1273" s="6" t="n">
        <f aca="false">Sens!H1251</f>
        <v>9.96139155535851</v>
      </c>
      <c r="I1273" s="6" t="n">
        <f aca="false">Sens!I1251</f>
        <v>10.6402039077391</v>
      </c>
      <c r="J1273" s="6" t="n">
        <f aca="false">Sens!J1251</f>
        <v>11.3751458271397</v>
      </c>
      <c r="K1273" s="6" t="n">
        <f aca="false">Sens!K1251</f>
        <v>12.1714060350394</v>
      </c>
    </row>
    <row r="1274" customFormat="false" ht="15" hidden="false" customHeight="false" outlineLevel="0" collapsed="false">
      <c r="A1274" s="0" t="s">
        <v>856</v>
      </c>
      <c r="B1274" s="0" t="s">
        <v>98</v>
      </c>
      <c r="D1274" s="6" t="n">
        <f aca="false">Sens!D1253</f>
        <v>218.783</v>
      </c>
      <c r="E1274" s="6" t="n">
        <f aca="false">Sens!E1253</f>
        <v>268.127</v>
      </c>
      <c r="F1274" s="6" t="n">
        <f aca="false">Sens!F1253</f>
        <v>324.177218510042</v>
      </c>
      <c r="G1274" s="6" t="n">
        <f aca="false">Sens!G1253</f>
        <v>383.148124287237</v>
      </c>
      <c r="H1274" s="6" t="n">
        <f aca="false">Sens!H1253</f>
        <v>438.243459435605</v>
      </c>
      <c r="I1274" s="6" t="n">
        <f aca="false">Sens!I1253</f>
        <v>495.00683466056</v>
      </c>
      <c r="J1274" s="6" t="n">
        <f aca="false">Sens!J1253</f>
        <v>542.437800113272</v>
      </c>
      <c r="K1274" s="6" t="n">
        <f aca="false">Sens!K1253</f>
        <v>580.774138480987</v>
      </c>
    </row>
    <row r="1275" customFormat="false" ht="15" hidden="false" customHeight="false" outlineLevel="0" collapsed="false">
      <c r="A1275" s="0" t="s">
        <v>1041</v>
      </c>
      <c r="B1275" s="0" t="s">
        <v>98</v>
      </c>
      <c r="D1275" s="6" t="n">
        <f aca="false">Sens!D1254</f>
        <v>22.171</v>
      </c>
      <c r="E1275" s="6" t="n">
        <f aca="false">Sens!E1254</f>
        <v>24.835</v>
      </c>
      <c r="F1275" s="6" t="n">
        <f aca="false">Sens!F1254</f>
        <v>27.5591895660247</v>
      </c>
      <c r="G1275" s="6" t="n">
        <f aca="false">Sens!G1254</f>
        <v>30.4098563144583</v>
      </c>
      <c r="H1275" s="6" t="n">
        <f aca="false">Sens!H1254</f>
        <v>33.3011792571777</v>
      </c>
      <c r="I1275" s="6" t="n">
        <f aca="false">Sens!I1254</f>
        <v>36.189023797112</v>
      </c>
      <c r="J1275" s="6" t="n">
        <f aca="false">Sens!J1254</f>
        <v>39.0247773769199</v>
      </c>
      <c r="K1275" s="6" t="n">
        <f aca="false">Sens!K1254</f>
        <v>41.7565117933043</v>
      </c>
    </row>
    <row r="1276" customFormat="false" ht="15" hidden="false" customHeight="false" outlineLevel="0" collapsed="false">
      <c r="A1276" s="0" t="s">
        <v>1042</v>
      </c>
      <c r="B1276" s="0" t="s">
        <v>98</v>
      </c>
      <c r="D1276" s="6" t="n">
        <f aca="false">Sens!D1256</f>
        <v>23.455</v>
      </c>
      <c r="E1276" s="6" t="n">
        <f aca="false">Sens!E1256</f>
        <v>21.79</v>
      </c>
      <c r="F1276" s="6" t="n">
        <f aca="false">Sens!F1256</f>
        <v>20.7520981041711</v>
      </c>
      <c r="G1276" s="6" t="n">
        <f aca="false">Sens!G1256</f>
        <v>19.9083593495882</v>
      </c>
      <c r="H1276" s="6" t="n">
        <f aca="false">Sens!H1256</f>
        <v>19.4008256265831</v>
      </c>
      <c r="I1276" s="6" t="n">
        <f aca="false">Sens!I1256</f>
        <v>19.200434522122</v>
      </c>
      <c r="J1276" s="6" t="n">
        <f aca="false">Sens!J1256</f>
        <v>19.2932782348507</v>
      </c>
      <c r="K1276" s="6" t="n">
        <f aca="false">Sens!K1256</f>
        <v>19.6791437995477</v>
      </c>
    </row>
    <row r="1277" customFormat="false" ht="15" hidden="false" customHeight="false" outlineLevel="0" collapsed="false">
      <c r="A1277" s="0" t="s">
        <v>1043</v>
      </c>
      <c r="B1277" s="0" t="s">
        <v>98</v>
      </c>
      <c r="D1277" s="6" t="n">
        <f aca="false">Sens!D1258</f>
        <v>17.315</v>
      </c>
      <c r="E1277" s="6" t="n">
        <f aca="false">Sens!E1258</f>
        <v>17.087</v>
      </c>
      <c r="F1277" s="6" t="n">
        <f aca="false">Sens!F1258</f>
        <v>15.9912273250553</v>
      </c>
      <c r="G1277" s="6" t="n">
        <f aca="false">Sens!G1258</f>
        <v>15.9574562664827</v>
      </c>
      <c r="H1277" s="6" t="n">
        <f aca="false">Sens!H1258</f>
        <v>16.0119687434196</v>
      </c>
      <c r="I1277" s="6" t="n">
        <f aca="false">Sens!I1258</f>
        <v>16.1551810001948</v>
      </c>
      <c r="J1277" s="6" t="n">
        <f aca="false">Sens!J1258</f>
        <v>16.3889793892005</v>
      </c>
      <c r="K1277" s="6" t="n">
        <f aca="false">Sens!K1258</f>
        <v>16.7167589769845</v>
      </c>
    </row>
    <row r="1278" customFormat="false" ht="15" hidden="false" customHeight="false" outlineLevel="0" collapsed="false">
      <c r="A1278" s="0" t="s">
        <v>870</v>
      </c>
      <c r="B1278" s="0" t="s">
        <v>98</v>
      </c>
      <c r="D1278" s="6" t="n">
        <f aca="false">Sens!D1260</f>
        <v>62.941</v>
      </c>
      <c r="E1278" s="6" t="n">
        <f aca="false">Sens!E1260</f>
        <v>63.712</v>
      </c>
      <c r="F1278" s="6" t="n">
        <f aca="false">Sens!F1260</f>
        <v>64.3025149952511</v>
      </c>
      <c r="G1278" s="6" t="n">
        <f aca="false">Sens!G1260</f>
        <v>66.2756719305292</v>
      </c>
      <c r="H1278" s="6" t="n">
        <f aca="false">Sens!H1260</f>
        <v>68.7139736271804</v>
      </c>
      <c r="I1278" s="6" t="n">
        <f aca="false">Sens!I1260</f>
        <v>71.5446393194289</v>
      </c>
      <c r="J1278" s="6" t="n">
        <f aca="false">Sens!J1260</f>
        <v>74.707035000971</v>
      </c>
      <c r="K1278" s="6" t="n">
        <f aca="false">Sens!K1260</f>
        <v>78.1524145698365</v>
      </c>
    </row>
    <row r="1279" customFormat="false" ht="15" hidden="false" customHeight="false" outlineLevel="0" collapsed="false">
      <c r="A1279" s="1" t="s">
        <v>1059</v>
      </c>
      <c r="B1279" s="0" t="s">
        <v>98</v>
      </c>
      <c r="D1279" s="6" t="n">
        <f aca="false">Sens!D1261</f>
        <v>281.724</v>
      </c>
      <c r="E1279" s="6" t="n">
        <f aca="false">Sens!E1261</f>
        <v>331.839</v>
      </c>
      <c r="F1279" s="6" t="n">
        <f aca="false">Sens!F1261</f>
        <v>388.479733505293</v>
      </c>
      <c r="G1279" s="6" t="n">
        <f aca="false">Sens!G1261</f>
        <v>449.423796217766</v>
      </c>
      <c r="H1279" s="6" t="n">
        <f aca="false">Sens!H1261</f>
        <v>506.957433062786</v>
      </c>
      <c r="I1279" s="6" t="n">
        <f aca="false">Sens!I1261</f>
        <v>566.551473979989</v>
      </c>
      <c r="J1279" s="6" t="n">
        <f aca="false">Sens!J1261</f>
        <v>617.144835114243</v>
      </c>
      <c r="K1279" s="6" t="n">
        <f aca="false">Sens!K1261</f>
        <v>658.926553050824</v>
      </c>
    </row>
    <row r="1280" customFormat="false" ht="15" hidden="false" customHeight="false" outlineLevel="0" collapsed="false">
      <c r="A1280" s="1" t="s">
        <v>1060</v>
      </c>
      <c r="B1280" s="0" t="s">
        <v>168</v>
      </c>
      <c r="E1280" s="7" t="n">
        <f aca="false">Sens!E1279/Sens!D1279-1</f>
        <v>0.177886867998467</v>
      </c>
      <c r="F1280" s="7" t="n">
        <f aca="false">Sens!F1279/Sens!E1279-1</f>
        <v>0.17068739209464</v>
      </c>
      <c r="G1280" s="7" t="n">
        <f aca="false">Sens!G1279/Sens!F1279-1</f>
        <v>0.15687835801</v>
      </c>
      <c r="H1280" s="7" t="n">
        <f aca="false">Sens!H1279/Sens!G1279-1</f>
        <v>0.128016445344479</v>
      </c>
      <c r="I1280" s="7" t="n">
        <f aca="false">Sens!I1279/Sens!H1279-1</f>
        <v>0.117552356530539</v>
      </c>
      <c r="J1280" s="7" t="n">
        <f aca="false">Sens!J1279/Sens!I1279-1</f>
        <v>0.0893005551266828</v>
      </c>
      <c r="K1280" s="7" t="n">
        <f aca="false">Sens!K1279/Sens!J1279-1</f>
        <v>0.0677016407807201</v>
      </c>
    </row>
    <row r="1281" customFormat="false" ht="17.15" hidden="false" customHeight="false" outlineLevel="0" collapsed="false">
      <c r="A1281" s="26" t="s">
        <v>1061</v>
      </c>
      <c r="B1281" s="31" t="s">
        <v>98</v>
      </c>
      <c r="C1281" s="31"/>
      <c r="D1281" s="27" t="n">
        <f aca="false">(Sens!D1274+Sens!D1278-Sens!D1279)+(Sens!D1266+Sens!D1267-Sens!D1265)+(Sens!D1269+Sens!D1270-Sens!D1268)+(Sens!D1279-Q!L18)</f>
        <v>0</v>
      </c>
      <c r="E1281" s="27" t="n">
        <f aca="false">(Sens!E1274+Sens!E1278-Sens!E1279)+(Sens!E1266+Sens!E1267-Sens!E1265)+(Sens!E1269+Sens!E1270-Sens!E1268)+(Sens!E1279-Q!M18)</f>
        <v>0</v>
      </c>
      <c r="F1281" s="27" t="n">
        <f aca="false">(Sens!F1274+Sens!F1278-Sens!F1279)+(Sens!F1266+Sens!F1267-Sens!F1265)+(Sens!F1269+Sens!F1270-Sens!F1268)</f>
        <v>0</v>
      </c>
      <c r="G1281" s="27" t="n">
        <f aca="false">(Sens!G1274+Sens!G1278-Sens!G1279)+(Sens!G1266+Sens!G1267-Sens!G1265)+(Sens!G1269+Sens!G1270-Sens!G1268)</f>
        <v>0</v>
      </c>
      <c r="H1281" s="27" t="n">
        <f aca="false">(Sens!H1274+Sens!H1278-Sens!H1279)+(Sens!H1266+Sens!H1267-Sens!H1265)+(Sens!H1269+Sens!H1270-Sens!H1268)</f>
        <v>0</v>
      </c>
      <c r="I1281" s="27" t="n">
        <f aca="false">(Sens!I1274+Sens!I1278-Sens!I1279)+(Sens!I1266+Sens!I1267-Sens!I1265)+(Sens!I1269+Sens!I1270-Sens!I1268)</f>
        <v>0</v>
      </c>
      <c r="J1281" s="27" t="n">
        <f aca="false">(Sens!J1274+Sens!J1278-Sens!J1279)+(Sens!J1266+Sens!J1267-Sens!J1265)+(Sens!J1269+Sens!J1270-Sens!J1268)</f>
        <v>0</v>
      </c>
      <c r="K1281" s="27" t="n">
        <f aca="false">(Sens!K1274+Sens!K1278-Sens!K1279)+(Sens!K1266+Sens!K1267-Sens!K1265)+(Sens!K1269+Sens!K1270-Sens!K1268)</f>
        <v>0</v>
      </c>
    </row>
    <row r="1282" customFormat="false" ht="17.15" hidden="false" customHeight="false" outlineLevel="0" collapsed="false">
      <c r="A1282" s="0" t="s">
        <v>1062</v>
      </c>
      <c r="B1282" s="0" t="s">
        <v>168</v>
      </c>
      <c r="E1282" s="7" t="n">
        <f aca="false">(Q!M21+Sens!E1218+Sens!E1219+Sens!E1220+Sens!E1234-Sens!E1216)/(Q!M5-Sens!E1216)</f>
        <v>0.570957350878296</v>
      </c>
      <c r="F1282" s="7" t="n">
        <f aca="false">Sens!$E$1282+dm_seg</f>
        <v>0.570957350878296</v>
      </c>
      <c r="G1282" s="7" t="n">
        <f aca="false">Sens!$E$1282+dm_seg</f>
        <v>0.570957350878296</v>
      </c>
      <c r="H1282" s="7" t="n">
        <f aca="false">Sens!$E$1282+dm_seg</f>
        <v>0.570957350878296</v>
      </c>
      <c r="I1282" s="7" t="n">
        <f aca="false">Sens!$E$1282+dm_seg</f>
        <v>0.570957350878296</v>
      </c>
      <c r="J1282" s="7" t="n">
        <f aca="false">Sens!$E$1282+dm_seg</f>
        <v>0.570957350878296</v>
      </c>
      <c r="K1282" s="7" t="n">
        <f aca="false">Sens!$E$1282+dm_seg</f>
        <v>0.570957350878296</v>
      </c>
      <c r="L1282" s="12" t="s">
        <v>1063</v>
      </c>
    </row>
    <row r="1283" customFormat="false" ht="17.15" hidden="false" customHeight="false" outlineLevel="0" collapsed="false">
      <c r="A1283" s="0" t="s">
        <v>884</v>
      </c>
      <c r="B1283" s="0" t="s">
        <v>98</v>
      </c>
      <c r="D1283" s="6" t="n">
        <f aca="false">Q!L21</f>
        <v>110.814</v>
      </c>
      <c r="E1283" s="6" t="n">
        <f aca="false">Q!M21</f>
        <v>136.365</v>
      </c>
      <c r="F1283" s="6" t="n">
        <f aca="false">Q!$I$21+(Sens!F1282*(Sens!F1253-Sens!F1216)+Sens!F1216-(Sens!F1218+Sens!F1219+Sens!F1220)-Sens!F1234-Sens!F1317)*(Sens!F1253-Q!$I$5)/Sens!F1253</f>
        <v>152.350184699496</v>
      </c>
      <c r="G1283" s="6" t="n">
        <f aca="false">(Sens!G1282*(Sens!G1253-Sens!G1216)+Sens!G1216-(Sens!G1218+Sens!G1219+Sens!G1220)-Sens!G1234-Sens!G1317)</f>
        <v>150.924088754661</v>
      </c>
      <c r="H1283" s="6" t="n">
        <f aca="false">(Sens!H1282*(Sens!H1253-Sens!H1216)+Sens!H1216-(Sens!H1218+Sens!H1219+Sens!H1220)-Sens!H1234-Sens!H1317)</f>
        <v>149.455707942371</v>
      </c>
      <c r="I1283" s="6" t="n">
        <f aca="false">(Sens!I1282*(Sens!I1253-Sens!I1216)+Sens!I1216-(Sens!I1218+Sens!I1219+Sens!I1220)-Sens!I1234-Sens!I1317)</f>
        <v>155.218651850016</v>
      </c>
      <c r="J1283" s="6" t="n">
        <f aca="false">(Sens!J1282*(Sens!J1253-Sens!J1216)+Sens!J1216-(Sens!J1218+Sens!J1219+Sens!J1220)-Sens!J1234-Sens!J1317)</f>
        <v>163.628564181357</v>
      </c>
      <c r="K1283" s="6" t="n">
        <f aca="false">(Sens!K1282*(Sens!K1253-Sens!K1216)+Sens!K1216-(Sens!K1218+Sens!K1219+Sens!K1220)-Sens!K1234-Sens!K1317)</f>
        <v>174.382466598046</v>
      </c>
      <c r="L1283" s="1" t="s">
        <v>1064</v>
      </c>
    </row>
    <row r="1284" customFormat="false" ht="17.15" hidden="false" customHeight="false" outlineLevel="0" collapsed="false">
      <c r="A1284" s="0" t="s">
        <v>1065</v>
      </c>
      <c r="B1284" s="0" t="s">
        <v>168</v>
      </c>
      <c r="E1284" s="7" t="n">
        <f aca="false">Q!M22/Q!M12</f>
        <v>0.296207935710698</v>
      </c>
      <c r="F1284" s="7" t="n">
        <f aca="false">Sens!$E$1284+dm_seg</f>
        <v>0.296207935710698</v>
      </c>
      <c r="G1284" s="7" t="n">
        <f aca="false">Sens!$E$1284+dm_seg</f>
        <v>0.296207935710698</v>
      </c>
      <c r="H1284" s="7" t="n">
        <f aca="false">Sens!$E$1284+dm_seg</f>
        <v>0.296207935710698</v>
      </c>
      <c r="I1284" s="7" t="n">
        <f aca="false">Sens!$E$1284+dm_seg</f>
        <v>0.296207935710698</v>
      </c>
      <c r="J1284" s="7" t="n">
        <f aca="false">Sens!$E$1284+dm_seg</f>
        <v>0.296207935710698</v>
      </c>
      <c r="K1284" s="7" t="n">
        <f aca="false">Sens!$E$1284+dm_seg</f>
        <v>0.296207935710698</v>
      </c>
      <c r="L1284" s="12" t="s">
        <v>1066</v>
      </c>
    </row>
    <row r="1285" customFormat="false" ht="17.15" hidden="false" customHeight="false" outlineLevel="0" collapsed="false">
      <c r="A1285" s="0" t="s">
        <v>886</v>
      </c>
      <c r="B1285" s="0" t="s">
        <v>98</v>
      </c>
      <c r="D1285" s="6" t="n">
        <f aca="false">Q!L22</f>
        <v>17.714</v>
      </c>
      <c r="E1285" s="6" t="n">
        <f aca="false">Q!M22</f>
        <v>18.872</v>
      </c>
      <c r="F1285" s="6" t="n">
        <f aca="false">Q!$I$22+(Sens!F1260-Q!$I$12)*Sens!F1284</f>
        <v>19.8174315512051</v>
      </c>
      <c r="G1285" s="6" t="n">
        <f aca="false">Sens!G1260*Sens!G1284</f>
        <v>19.6313799703815</v>
      </c>
      <c r="H1285" s="6" t="n">
        <f aca="false">Sens!H1260*Sens!H1284</f>
        <v>20.3536242825865</v>
      </c>
      <c r="I1285" s="6" t="n">
        <f aca="false">Sens!I1260*Sens!I1284</f>
        <v>21.1920899239745</v>
      </c>
      <c r="J1285" s="6" t="n">
        <f aca="false">Sens!J1260*Sens!J1284</f>
        <v>22.1288166207045</v>
      </c>
      <c r="K1285" s="6" t="n">
        <f aca="false">Sens!K1260*Sens!K1284</f>
        <v>23.1493653905379</v>
      </c>
      <c r="L1285" s="12" t="s">
        <v>1067</v>
      </c>
    </row>
    <row r="1286" customFormat="false" ht="15" hidden="false" customHeight="false" outlineLevel="0" collapsed="false">
      <c r="A1286" s="1" t="s">
        <v>1068</v>
      </c>
      <c r="B1286" s="0" t="s">
        <v>98</v>
      </c>
      <c r="D1286" s="6" t="n">
        <f aca="false">Sens!D1283+Sens!D1285</f>
        <v>128.528</v>
      </c>
      <c r="E1286" s="6" t="n">
        <f aca="false">Sens!E1283+Sens!E1285</f>
        <v>155.237</v>
      </c>
      <c r="F1286" s="6" t="n">
        <f aca="false">Sens!F1283+Sens!F1285</f>
        <v>172.167616250701</v>
      </c>
      <c r="G1286" s="6" t="n">
        <f aca="false">Sens!G1283+Sens!G1285</f>
        <v>170.555468725043</v>
      </c>
      <c r="H1286" s="6" t="n">
        <f aca="false">Sens!H1283+Sens!H1285</f>
        <v>169.809332224958</v>
      </c>
      <c r="I1286" s="6" t="n">
        <f aca="false">Sens!I1283+Sens!I1285</f>
        <v>176.41074177399</v>
      </c>
      <c r="J1286" s="6" t="n">
        <f aca="false">Sens!J1283+Sens!J1285</f>
        <v>185.757380802061</v>
      </c>
      <c r="K1286" s="6" t="n">
        <f aca="false">Sens!K1283+Sens!K1285</f>
        <v>197.531831988584</v>
      </c>
    </row>
    <row r="1287" customFormat="false" ht="15" hidden="false" customHeight="false" outlineLevel="0" collapsed="false">
      <c r="A1287" s="26" t="s">
        <v>1069</v>
      </c>
      <c r="B1287" s="31" t="s">
        <v>98</v>
      </c>
      <c r="C1287" s="31"/>
      <c r="D1287" s="27" t="n">
        <f aca="false">Sens!D1286-Q!L23</f>
        <v>0</v>
      </c>
      <c r="E1287" s="27" t="n">
        <f aca="false">Sens!E1286-Q!M23</f>
        <v>0</v>
      </c>
      <c r="F1287" s="31"/>
      <c r="G1287" s="31"/>
      <c r="H1287" s="31"/>
      <c r="I1287" s="31"/>
      <c r="J1287" s="31"/>
      <c r="K1287" s="31"/>
    </row>
    <row r="1288" customFormat="false" ht="15" hidden="false" customHeight="false" outlineLevel="0" collapsed="false">
      <c r="A1288" s="1" t="s">
        <v>1070</v>
      </c>
      <c r="B1288" s="0" t="s">
        <v>168</v>
      </c>
      <c r="D1288" s="7" t="n">
        <f aca="false">Sens!D1286/Sens!D1279</f>
        <v>0.456219562408598</v>
      </c>
      <c r="E1288" s="7" t="n">
        <f aca="false">Sens!E1286/Sens!E1279</f>
        <v>0.467808184089272</v>
      </c>
      <c r="F1288" s="7" t="n">
        <f aca="false">Sens!F1286/Sens!F1279</f>
        <v>0.443183006478137</v>
      </c>
      <c r="G1288" s="7" t="n">
        <f aca="false">Sens!G1286/Sens!G1279</f>
        <v>0.379498082122917</v>
      </c>
      <c r="H1288" s="7" t="n">
        <f aca="false">Sens!H1286/Sens!H1279</f>
        <v>0.334957771896259</v>
      </c>
      <c r="I1288" s="7" t="n">
        <f aca="false">Sens!I1286/Sens!I1279</f>
        <v>0.31137637068476</v>
      </c>
      <c r="J1288" s="7" t="n">
        <f aca="false">Sens!J1286/Sens!J1279</f>
        <v>0.300994791227046</v>
      </c>
      <c r="K1288" s="7" t="n">
        <f aca="false">Sens!K1286/Sens!K1279</f>
        <v>0.299778224255819</v>
      </c>
    </row>
    <row r="1289" customFormat="false" ht="17.15" hidden="false" customHeight="false" outlineLevel="0" collapsed="false">
      <c r="A1289" s="1" t="s">
        <v>1071</v>
      </c>
      <c r="B1289" s="0" t="s">
        <v>98</v>
      </c>
      <c r="F1289" s="6" t="n">
        <f aca="false">Sens!F1304</f>
        <v>10.5962787979473</v>
      </c>
      <c r="G1289" s="6" t="n">
        <f aca="false">Sens!G1304</f>
        <v>27.844646674932</v>
      </c>
      <c r="H1289" s="6" t="n">
        <f aca="false">Sens!H1304</f>
        <v>46.566205501382</v>
      </c>
      <c r="I1289" s="6" t="n">
        <f aca="false">Sens!I1304</f>
        <v>63.2717778126444</v>
      </c>
      <c r="J1289" s="6" t="n">
        <f aca="false">Sens!J1304</f>
        <v>74.9061222882009</v>
      </c>
      <c r="K1289" s="6" t="n">
        <f aca="false">Sens!K1304</f>
        <v>81.6395437180232</v>
      </c>
      <c r="L1289" s="1" t="s">
        <v>1072</v>
      </c>
    </row>
    <row r="1290" customFormat="false" ht="17.15" hidden="false" customHeight="false" outlineLevel="0" collapsed="false">
      <c r="A1290" s="1" t="s">
        <v>1073</v>
      </c>
      <c r="B1290" s="0" t="s">
        <v>98</v>
      </c>
      <c r="D1290" s="6" t="n">
        <f aca="false">Sens!D1286</f>
        <v>128.528</v>
      </c>
      <c r="E1290" s="6" t="n">
        <f aca="false">Sens!E1286</f>
        <v>155.237</v>
      </c>
      <c r="F1290" s="6" t="n">
        <f aca="false">Sens!F1286+Sens!F1289</f>
        <v>182.763895048649</v>
      </c>
      <c r="G1290" s="6" t="n">
        <f aca="false">Sens!G1286+Sens!G1289</f>
        <v>198.400115399975</v>
      </c>
      <c r="H1290" s="6" t="n">
        <f aca="false">Sens!H1286+Sens!H1289</f>
        <v>216.37553772634</v>
      </c>
      <c r="I1290" s="6" t="n">
        <f aca="false">Sens!I1286+Sens!I1289</f>
        <v>239.682519586635</v>
      </c>
      <c r="J1290" s="6" t="n">
        <f aca="false">Sens!J1286+Sens!J1289</f>
        <v>260.663503090262</v>
      </c>
      <c r="K1290" s="6" t="n">
        <f aca="false">Sens!K1286+Sens!K1289</f>
        <v>279.171375706607</v>
      </c>
    </row>
    <row r="1291" customFormat="false" ht="17.15" hidden="false" customHeight="false" outlineLevel="0" collapsed="false">
      <c r="A1291" s="1" t="s">
        <v>1074</v>
      </c>
      <c r="B1291" s="0" t="s">
        <v>98</v>
      </c>
      <c r="E1291" s="6" t="n">
        <f aca="false">Sens!E1234</f>
        <v>16.3054059770833</v>
      </c>
      <c r="F1291" s="6" t="n">
        <f aca="false">Sens!F1234</f>
        <v>34.5793144783516</v>
      </c>
      <c r="G1291" s="6" t="n">
        <f aca="false">Sens!G1234</f>
        <v>60.7344906522989</v>
      </c>
      <c r="H1291" s="6" t="n">
        <f aca="false">Sens!H1234</f>
        <v>89.1000906614457</v>
      </c>
      <c r="I1291" s="6" t="n">
        <f aca="false">Sens!I1234</f>
        <v>114.231009694548</v>
      </c>
      <c r="J1291" s="6" t="n">
        <f aca="false">Sens!J1234</f>
        <v>132.015673049596</v>
      </c>
      <c r="K1291" s="6" t="n">
        <f aca="false">Sens!K1234</f>
        <v>143.012669550934</v>
      </c>
    </row>
    <row r="1292" customFormat="false" ht="17.15" hidden="false" customHeight="false" outlineLevel="0" collapsed="false">
      <c r="A1292" s="1" t="s">
        <v>1075</v>
      </c>
      <c r="B1292" s="0" t="s">
        <v>98</v>
      </c>
      <c r="E1292" s="6" t="n">
        <f aca="false">Sens!E1316</f>
        <v>22.2285940229167</v>
      </c>
      <c r="F1292" s="6" t="n">
        <f aca="false">Sens!F1316</f>
        <v>23.6219250452641</v>
      </c>
      <c r="G1292" s="6" t="n">
        <f aca="false">Sens!G1316</f>
        <v>25.4177381940572</v>
      </c>
      <c r="H1292" s="6" t="n">
        <f aca="false">Sens!H1316</f>
        <v>27.5845423562197</v>
      </c>
      <c r="I1292" s="6" t="n">
        <f aca="false">Sens!I1316</f>
        <v>30.0650611112305</v>
      </c>
      <c r="J1292" s="6" t="n">
        <f aca="false">Sens!J1316</f>
        <v>32.7836267781414</v>
      </c>
      <c r="K1292" s="6" t="n">
        <f aca="false">Sens!K1316</f>
        <v>35.6547207686575</v>
      </c>
    </row>
    <row r="1293" customFormat="false" ht="17.15" hidden="false" customHeight="false" outlineLevel="0" collapsed="false">
      <c r="A1293" s="1" t="s">
        <v>1076</v>
      </c>
      <c r="B1293" s="0" t="s">
        <v>98</v>
      </c>
      <c r="D1293" s="6" t="n">
        <f aca="false">Q!L27</f>
        <v>-4.901</v>
      </c>
      <c r="E1293" s="6" t="n">
        <f aca="false">Q!M27</f>
        <v>10.697</v>
      </c>
      <c r="F1293" s="6" t="n">
        <f aca="false">Q!$I$27+oie_f*(q_per_yr-1)/q_per_yr</f>
        <v>-0.862</v>
      </c>
      <c r="G1293" s="6" t="n">
        <f aca="false">oie_f</f>
        <v>-1.2</v>
      </c>
      <c r="H1293" s="6" t="n">
        <f aca="false">oie_f</f>
        <v>-1.2</v>
      </c>
      <c r="I1293" s="6" t="n">
        <f aca="false">oie_f</f>
        <v>-1.2</v>
      </c>
      <c r="J1293" s="6" t="n">
        <f aca="false">oie_f</f>
        <v>-1.2</v>
      </c>
      <c r="K1293" s="6" t="n">
        <f aca="false">oie_f</f>
        <v>-1.2</v>
      </c>
      <c r="L1293" s="12" t="s">
        <v>1077</v>
      </c>
    </row>
    <row r="1294" customFormat="false" ht="15" hidden="false" customHeight="false" outlineLevel="0" collapsed="false">
      <c r="A1294" s="1" t="s">
        <v>1078</v>
      </c>
      <c r="B1294" s="0" t="s">
        <v>98</v>
      </c>
      <c r="D1294" s="6" t="n">
        <f aca="false">Sens!D1286+Sens!D1293</f>
        <v>123.627</v>
      </c>
      <c r="E1294" s="6" t="n">
        <f aca="false">Sens!E1286+Sens!E1293</f>
        <v>165.934</v>
      </c>
      <c r="F1294" s="6" t="n">
        <f aca="false">Sens!F1286+Sens!F1293</f>
        <v>171.305616250701</v>
      </c>
      <c r="G1294" s="6" t="n">
        <f aca="false">Sens!G1286+Sens!G1293</f>
        <v>169.355468725043</v>
      </c>
      <c r="H1294" s="6" t="n">
        <f aca="false">Sens!H1286+Sens!H1293</f>
        <v>168.609332224958</v>
      </c>
      <c r="I1294" s="6" t="n">
        <f aca="false">Sens!I1286+Sens!I1293</f>
        <v>175.21074177399</v>
      </c>
      <c r="J1294" s="6" t="n">
        <f aca="false">Sens!J1286+Sens!J1293</f>
        <v>184.557380802061</v>
      </c>
      <c r="K1294" s="6" t="n">
        <f aca="false">Sens!K1286+Sens!K1293</f>
        <v>196.331831988584</v>
      </c>
    </row>
    <row r="1295" customFormat="false" ht="15" hidden="false" customHeight="false" outlineLevel="0" collapsed="false">
      <c r="A1295" s="1" t="s">
        <v>1079</v>
      </c>
      <c r="B1295" s="0" t="s">
        <v>98</v>
      </c>
      <c r="D1295" s="6" t="n">
        <f aca="false">Q!L29</f>
        <v>21.795</v>
      </c>
      <c r="E1295" s="6" t="n">
        <f aca="false">Q!M29</f>
        <v>32.185</v>
      </c>
      <c r="F1295" s="6" t="n">
        <f aca="false">Q!$I$29+(Sens!F1294-Q!$I$28)*tax_f</f>
        <v>34.3945232501403</v>
      </c>
      <c r="G1295" s="6" t="n">
        <f aca="false">Sens!G1294*tax_f</f>
        <v>33.8710937450085</v>
      </c>
      <c r="H1295" s="6" t="n">
        <f aca="false">Sens!H1294*tax_f</f>
        <v>33.7218664449915</v>
      </c>
      <c r="I1295" s="6" t="n">
        <f aca="false">Sens!I1294*tax_f</f>
        <v>35.0421483547981</v>
      </c>
      <c r="J1295" s="6" t="n">
        <f aca="false">Sens!J1294*tax_f</f>
        <v>36.9114761604123</v>
      </c>
      <c r="K1295" s="6" t="n">
        <f aca="false">Sens!K1294*tax_f</f>
        <v>39.2663663977167</v>
      </c>
    </row>
    <row r="1296" customFormat="false" ht="15" hidden="false" customHeight="false" outlineLevel="0" collapsed="false">
      <c r="A1296" s="1" t="s">
        <v>1080</v>
      </c>
      <c r="B1296" s="0" t="s">
        <v>98</v>
      </c>
      <c r="D1296" s="6" t="n">
        <f aca="false">Sens!D1294-Sens!D1295</f>
        <v>101.832</v>
      </c>
      <c r="E1296" s="6" t="n">
        <f aca="false">Sens!E1294-Sens!E1295</f>
        <v>133.749</v>
      </c>
      <c r="F1296" s="6" t="n">
        <f aca="false">Sens!F1294-Sens!F1295</f>
        <v>136.911093000561</v>
      </c>
      <c r="G1296" s="6" t="n">
        <f aca="false">Sens!G1294-Sens!G1295</f>
        <v>135.484374980034</v>
      </c>
      <c r="H1296" s="6" t="n">
        <f aca="false">Sens!H1294-Sens!H1295</f>
        <v>134.887465779966</v>
      </c>
      <c r="I1296" s="6" t="n">
        <f aca="false">Sens!I1294-Sens!I1295</f>
        <v>140.168593419192</v>
      </c>
      <c r="J1296" s="6" t="n">
        <f aca="false">Sens!J1294-Sens!J1295</f>
        <v>147.645904641649</v>
      </c>
      <c r="K1296" s="6" t="n">
        <f aca="false">Sens!K1294-Sens!K1295</f>
        <v>157.065465590867</v>
      </c>
    </row>
    <row r="1297" customFormat="false" ht="17.15" hidden="false" customHeight="false" outlineLevel="0" collapsed="false">
      <c r="A1297" s="1" t="s">
        <v>1081</v>
      </c>
      <c r="B1297" s="1" t="s">
        <v>81</v>
      </c>
      <c r="D1297" s="15" t="n">
        <f aca="false">Q!L31</f>
        <v>7.465</v>
      </c>
      <c r="E1297" s="15" t="n">
        <f aca="false">Q!M31</f>
        <v>7.453</v>
      </c>
      <c r="F1297" s="15" t="n">
        <f aca="false">Sens!F1341</f>
        <v>7.4735</v>
      </c>
      <c r="G1297" s="15" t="n">
        <f aca="false">Sens!G1341</f>
        <v>7.5185</v>
      </c>
      <c r="H1297" s="15" t="n">
        <f aca="false">Sens!H1341</f>
        <v>7.5635</v>
      </c>
      <c r="I1297" s="15" t="n">
        <f aca="false">Sens!I1341</f>
        <v>7.59248142502667</v>
      </c>
      <c r="J1297" s="15" t="n">
        <f aca="false">Sens!J1341</f>
        <v>7.60663083618914</v>
      </c>
      <c r="K1297" s="15" t="n">
        <f aca="false">Sens!K1341</f>
        <v>7.62306547615439</v>
      </c>
    </row>
    <row r="1298" customFormat="false" ht="17.15" hidden="false" customHeight="false" outlineLevel="0" collapsed="false">
      <c r="A1298" s="0" t="s">
        <v>1082</v>
      </c>
      <c r="B1298" s="0" t="s">
        <v>75</v>
      </c>
      <c r="D1298" s="8" t="n">
        <f aca="false">Sens!D1296/Sens!D1297</f>
        <v>13.641259209645</v>
      </c>
      <c r="E1298" s="8" t="n">
        <f aca="false">Sens!E1296/Sens!E1297</f>
        <v>17.9456594659869</v>
      </c>
      <c r="F1298" s="8" t="n">
        <f aca="false">Sens!F1296/Sens!F1297</f>
        <v>18.3195414465192</v>
      </c>
      <c r="G1298" s="8" t="n">
        <f aca="false">Sens!G1296/Sens!G1297</f>
        <v>18.0201336676244</v>
      </c>
      <c r="H1298" s="8" t="n">
        <f aca="false">Sens!H1296/Sens!H1297</f>
        <v>17.8340008964059</v>
      </c>
      <c r="I1298" s="8" t="n">
        <f aca="false">Sens!I1296/Sens!I1297</f>
        <v>18.4614996827207</v>
      </c>
      <c r="J1298" s="8" t="n">
        <f aca="false">Sens!J1296/Sens!J1297</f>
        <v>19.4101577717184</v>
      </c>
      <c r="K1298" s="8" t="n">
        <f aca="false">Sens!K1296/Sens!K1297</f>
        <v>20.6039769804131</v>
      </c>
      <c r="L1298" s="1" t="s">
        <v>1083</v>
      </c>
    </row>
    <row r="1299" customFormat="false" ht="17.15" hidden="false" customHeight="false" outlineLevel="0" collapsed="false">
      <c r="A1299" s="1" t="s">
        <v>1084</v>
      </c>
      <c r="B1299" s="0" t="s">
        <v>98</v>
      </c>
      <c r="D1299" s="6" t="n">
        <f aca="false">Sens!D1296</f>
        <v>101.832</v>
      </c>
      <c r="E1299" s="6" t="n">
        <f aca="false">Sens!E1296</f>
        <v>133.749</v>
      </c>
      <c r="F1299" s="6" t="n">
        <f aca="false">Sens!F1296+Sens!F1289*(1-tax_f)</f>
        <v>145.388116038919</v>
      </c>
      <c r="G1299" s="6" t="n">
        <f aca="false">Sens!G1296+Sens!G1289*(1-tax_f)</f>
        <v>157.76009231998</v>
      </c>
      <c r="H1299" s="6" t="n">
        <f aca="false">Sens!H1296+Sens!H1289*(1-tax_f)</f>
        <v>172.140430181072</v>
      </c>
      <c r="I1299" s="6" t="n">
        <f aca="false">Sens!I1296+Sens!I1289*(1-tax_f)</f>
        <v>190.786015669308</v>
      </c>
      <c r="J1299" s="6" t="n">
        <f aca="false">Sens!J1296+Sens!J1289*(1-tax_f)</f>
        <v>207.57080247221</v>
      </c>
      <c r="K1299" s="6" t="n">
        <f aca="false">Sens!K1296+Sens!K1289*(1-tax_f)</f>
        <v>222.377100565286</v>
      </c>
    </row>
    <row r="1300" customFormat="false" ht="17.15" hidden="false" customHeight="false" outlineLevel="0" collapsed="false">
      <c r="A1300" s="0" t="s">
        <v>1085</v>
      </c>
      <c r="B1300" s="0" t="s">
        <v>75</v>
      </c>
      <c r="D1300" s="8" t="n">
        <f aca="false">Sens!D1299/Sens!D1297</f>
        <v>13.641259209645</v>
      </c>
      <c r="E1300" s="8" t="n">
        <f aca="false">Sens!E1299/Sens!E1297</f>
        <v>17.9456594659869</v>
      </c>
      <c r="F1300" s="8" t="n">
        <f aca="false">Sens!F1299/Sens!F1297</f>
        <v>19.4538189655341</v>
      </c>
      <c r="G1300" s="8" t="n">
        <f aca="false">Sens!G1299/Sens!G1297</f>
        <v>20.9829211039409</v>
      </c>
      <c r="H1300" s="8" t="n">
        <f aca="false">Sens!H1299/Sens!H1297</f>
        <v>22.7593614306963</v>
      </c>
      <c r="I1300" s="8" t="n">
        <f aca="false">Sens!I1299/Sens!I1297</f>
        <v>25.1282821766848</v>
      </c>
      <c r="J1300" s="8" t="n">
        <f aca="false">Sens!J1299/Sens!J1297</f>
        <v>27.2881393802727</v>
      </c>
      <c r="K1300" s="8" t="n">
        <f aca="false">Sens!K1299/Sens!K1297</f>
        <v>29.1716109826028</v>
      </c>
      <c r="L1300" s="1" t="s">
        <v>1086</v>
      </c>
    </row>
    <row r="1301" customFormat="false" ht="17.15" hidden="false" customHeight="false" outlineLevel="0" collapsed="false">
      <c r="A1301" s="0" t="s">
        <v>1087</v>
      </c>
      <c r="B1301" s="0" t="s">
        <v>168</v>
      </c>
      <c r="E1301" s="7" t="n">
        <f aca="false">Sens!E1300/Sens!D1300-1</f>
        <v>0.315542736208578</v>
      </c>
      <c r="F1301" s="7" t="n">
        <f aca="false">Sens!F1300/Sens!E1300-1</f>
        <v>0.0840403498353293</v>
      </c>
      <c r="G1301" s="7" t="n">
        <f aca="false">Sens!G1300/Sens!F1300-1</f>
        <v>0.078601643261712</v>
      </c>
      <c r="H1301" s="7" t="n">
        <f aca="false">Sens!H1300/Sens!G1300-1</f>
        <v>0.084661249878206</v>
      </c>
      <c r="I1301" s="7" t="n">
        <f aca="false">Sens!I1300/Sens!H1300-1</f>
        <v>0.104085554122507</v>
      </c>
      <c r="J1301" s="7" t="n">
        <f aca="false">Sens!J1300/Sens!I1300-1</f>
        <v>0.0859532374080063</v>
      </c>
      <c r="K1301" s="7" t="n">
        <f aca="false">Sens!K1300/Sens!J1300-1</f>
        <v>0.0690216205686651</v>
      </c>
    </row>
    <row r="1302" customFormat="false" ht="17.15" hidden="false" customHeight="false" outlineLevel="0" collapsed="false">
      <c r="A1302" s="0" t="s">
        <v>1007</v>
      </c>
      <c r="B1302" s="0" t="s">
        <v>98</v>
      </c>
      <c r="E1302" s="6" t="n">
        <f aca="false">Sens!E1243</f>
        <v>5.25</v>
      </c>
      <c r="F1302" s="6" t="n">
        <f aca="false">Sens!F1243</f>
        <v>10.5</v>
      </c>
      <c r="G1302" s="6" t="n">
        <f aca="false">Sens!G1243</f>
        <v>13.5</v>
      </c>
      <c r="H1302" s="6" t="n">
        <f aca="false">Sens!H1243</f>
        <v>16.5</v>
      </c>
      <c r="I1302" s="6" t="n">
        <f aca="false">Sens!I1243</f>
        <v>18.75</v>
      </c>
      <c r="J1302" s="6" t="n">
        <f aca="false">Sens!J1243</f>
        <v>20.25</v>
      </c>
      <c r="K1302" s="6" t="n">
        <f aca="false">Sens!K1243</f>
        <v>21.75</v>
      </c>
    </row>
    <row r="1303" customFormat="false" ht="17.15" hidden="false" customHeight="false" outlineLevel="0" collapsed="false">
      <c r="A1303" s="1" t="s">
        <v>1008</v>
      </c>
      <c r="B1303" s="0" t="s">
        <v>98</v>
      </c>
      <c r="F1303" s="6" t="n">
        <f aca="false">MAX(0,((Sens!E1203+Sens!F1203)/2-(shadow_base*(Sens!$D$1203+Sens!$E$1203)/2+(1-shadow_base)*Sens!$E$1203))*Sens!F1212/1000-(Sens!F1302-Sens!$E$1302)*Sens!F1282)</f>
        <v>10.5962787979473</v>
      </c>
      <c r="G1303" s="6" t="n">
        <f aca="false">MAX(0,((Sens!F1203+Sens!G1203)/2-(shadow_base*(Sens!$D$1203+Sens!$E$1203)/2+(1-shadow_base)*Sens!$E$1203))*Sens!G1212/1000-(Sens!G1302-Sens!$E$1302)*Sens!G1282)</f>
        <v>27.844646674932</v>
      </c>
      <c r="H1303" s="6" t="n">
        <f aca="false">MAX(0,((Sens!G1203+Sens!H1203)/2-(shadow_base*(Sens!$D$1203+Sens!$E$1203)/2+(1-shadow_base)*Sens!$E$1203))*Sens!H1212/1000-(Sens!H1302-Sens!$E$1302)*Sens!H1282)</f>
        <v>46.566205501382</v>
      </c>
      <c r="I1303" s="6" t="n">
        <f aca="false">MAX(0,((Sens!H1203+Sens!I1203)/2-(shadow_base*(Sens!$D$1203+Sens!$E$1203)/2+(1-shadow_base)*Sens!$E$1203))*Sens!I1212/1000-(Sens!I1302-Sens!$E$1302)*Sens!I1282)</f>
        <v>63.2717778126444</v>
      </c>
      <c r="J1303" s="6" t="n">
        <f aca="false">MAX(0,((Sens!I1203+Sens!J1203)/2-(shadow_base*(Sens!$D$1203+Sens!$E$1203)/2+(1-shadow_base)*Sens!$E$1203))*Sens!J1212/1000-(Sens!J1302-Sens!$E$1302)*Sens!J1282)</f>
        <v>74.9061222882009</v>
      </c>
      <c r="K1303" s="6" t="n">
        <f aca="false">MAX(0,((Sens!J1203+Sens!K1203)/2-(shadow_base*(Sens!$D$1203+Sens!$E$1203)/2+(1-shadow_base)*Sens!$E$1203))*Sens!K1212/1000-(Sens!K1302-Sens!$E$1302)*Sens!K1282)</f>
        <v>81.6395437180232</v>
      </c>
      <c r="L1303" s="1" t="s">
        <v>1009</v>
      </c>
    </row>
    <row r="1304" customFormat="false" ht="17.15" hidden="false" customHeight="false" outlineLevel="0" collapsed="false">
      <c r="A1304" s="1" t="s">
        <v>1010</v>
      </c>
      <c r="B1304" s="0" t="s">
        <v>98</v>
      </c>
      <c r="F1304" s="6" t="n">
        <f aca="false">IF(internal_ai_reading=2,1,0)*Sens!F1303</f>
        <v>10.5962787979473</v>
      </c>
      <c r="G1304" s="6" t="n">
        <f aca="false">IF(internal_ai_reading=2,1,0)*Sens!G1303</f>
        <v>27.844646674932</v>
      </c>
      <c r="H1304" s="6" t="n">
        <f aca="false">IF(internal_ai_reading=2,1,0)*Sens!H1303</f>
        <v>46.566205501382</v>
      </c>
      <c r="I1304" s="6" t="n">
        <f aca="false">IF(internal_ai_reading=2,1,0)*Sens!I1303</f>
        <v>63.2717778126444</v>
      </c>
      <c r="J1304" s="6" t="n">
        <f aca="false">IF(internal_ai_reading=2,1,0)*Sens!J1303</f>
        <v>74.9061222882009</v>
      </c>
      <c r="K1304" s="6" t="n">
        <f aca="false">IF(internal_ai_reading=2,1,0)*Sens!K1303</f>
        <v>81.6395437180232</v>
      </c>
    </row>
    <row r="1305" customFormat="false" ht="17.15" hidden="false" customHeight="false" outlineLevel="0" collapsed="false">
      <c r="A1305" s="0" t="s">
        <v>1011</v>
      </c>
      <c r="B1305" s="0" t="s">
        <v>98</v>
      </c>
      <c r="F1305" s="6" t="n">
        <f aca="false">Sens!F1222+Sens!F1302*Sens!F1282+Sens!F1304-Sens!F1223-Sens!F1234</f>
        <v>2.73809127007709</v>
      </c>
      <c r="G1305" s="6" t="n">
        <f aca="false">Sens!G1222+Sens!G1302*Sens!G1282+Sens!G1304-Sens!G1223-Sens!G1234</f>
        <v>4.93512477035004</v>
      </c>
      <c r="H1305" s="6" t="n">
        <f aca="false">Sens!H1222+Sens!H1302*Sens!H1282+Sens!H1304-Sens!H1223-Sens!H1234</f>
        <v>2.51798561759787</v>
      </c>
      <c r="I1305" s="6" t="n">
        <f aca="false">Sens!I1222+Sens!I1302*Sens!I1282+Sens!I1304-Sens!I1223-Sens!I1234</f>
        <v>5.81686356778549</v>
      </c>
      <c r="J1305" s="6" t="n">
        <f aca="false">Sens!J1222+Sens!J1302*Sens!J1282+Sens!J1304-Sens!J1223-Sens!J1234</f>
        <v>7.96720692019747</v>
      </c>
      <c r="K1305" s="6" t="n">
        <f aca="false">Sens!K1222+Sens!K1302*Sens!K1282+Sens!K1304-Sens!K1223-Sens!K1234</f>
        <v>9.63810206617166</v>
      </c>
    </row>
    <row r="1306" customFormat="false" ht="17.15" hidden="false" customHeight="false" outlineLevel="0" collapsed="false">
      <c r="A1306" s="0" t="s">
        <v>1012</v>
      </c>
      <c r="B1306" s="0" t="s">
        <v>98</v>
      </c>
      <c r="E1306" s="6" t="n">
        <f aca="false">Sens!E1202*(cxit_open+self_build*tk_cxfac)/1000*ai_net_open</f>
        <v>126.6980382</v>
      </c>
      <c r="F1306" s="6" t="n">
        <f aca="false">Sens!E1306+Sens!F1231-Sens!F1234</f>
        <v>260.572627763768</v>
      </c>
      <c r="G1306" s="6" t="n">
        <f aca="false">Sens!F1306+Sens!G1231-Sens!G1234</f>
        <v>391.782612760517</v>
      </c>
      <c r="H1306" s="6" t="n">
        <f aca="false">Sens!G1306+Sens!H1231-Sens!H1234</f>
        <v>499.488526163584</v>
      </c>
      <c r="I1306" s="6" t="n">
        <f aca="false">Sens!H1306+Sens!I1231-Sens!I1234</f>
        <v>553.872350090646</v>
      </c>
      <c r="J1306" s="6" t="n">
        <f aca="false">Sens!I1306+Sens!J1231-Sens!J1234</f>
        <v>550.78660823699</v>
      </c>
      <c r="K1306" s="6" t="n">
        <f aca="false">Sens!J1306+Sens!K1231-Sens!K1234</f>
        <v>526.736791750789</v>
      </c>
      <c r="L1306" s="1" t="s">
        <v>1013</v>
      </c>
    </row>
    <row r="1307" customFormat="false" ht="17.15" hidden="false" customHeight="false" outlineLevel="0" collapsed="false">
      <c r="A1307" s="0" t="s">
        <v>1014</v>
      </c>
      <c r="B1307" s="0" t="s">
        <v>168</v>
      </c>
      <c r="F1307" s="7" t="n">
        <f aca="false">Sens!F1305*(1-tax_f)/((Sens!E1306+Sens!F1306)/2)</f>
        <v>0.0113123621723862</v>
      </c>
      <c r="G1307" s="7" t="n">
        <f aca="false">Sens!G1305*(1-tax_f)/((Sens!F1306+Sens!G1306)/2)</f>
        <v>0.0121041407227971</v>
      </c>
      <c r="H1307" s="7" t="n">
        <f aca="false">Sens!H1305*(1-tax_f)/((Sens!G1306+Sens!H1306)/2)</f>
        <v>0.00452025967431184</v>
      </c>
      <c r="I1307" s="7" t="n">
        <f aca="false">Sens!I1305*(1-tax_f)/((Sens!H1306+Sens!I1306)/2)</f>
        <v>0.00883551109431041</v>
      </c>
      <c r="J1307" s="7" t="n">
        <f aca="false">Sens!J1305*(1-tax_f)/((Sens!I1306+Sens!J1306)/2)</f>
        <v>0.0115397887974535</v>
      </c>
      <c r="K1307" s="7" t="n">
        <f aca="false">Sens!K1305*(1-tax_f)/((Sens!J1306+Sens!K1306)/2)</f>
        <v>0.014311488090235</v>
      </c>
    </row>
    <row r="1308" customFormat="false" ht="17.15" hidden="false" customHeight="false" outlineLevel="0" collapsed="false">
      <c r="A1308" s="1" t="s">
        <v>1015</v>
      </c>
      <c r="B1308" s="0" t="s">
        <v>168</v>
      </c>
      <c r="F1308" s="7" t="n">
        <f aca="false">(Sens!F1305-Sens!F1304)*(1-tax_f)/((Sens!E1306+Sens!F1306)/2)</f>
        <v>-0.0324659240929152</v>
      </c>
      <c r="G1308" s="7" t="n">
        <f aca="false">(Sens!G1305-Sens!G1304)*(1-tax_f)/((Sens!F1306+Sens!G1306)/2)</f>
        <v>-0.0561890711843934</v>
      </c>
      <c r="H1308" s="7" t="n">
        <f aca="false">(Sens!H1305-Sens!H1304)*(1-tax_f)/((Sens!G1306+Sens!H1306)/2)</f>
        <v>-0.0790748726578661</v>
      </c>
      <c r="I1308" s="7" t="n">
        <f aca="false">(Sens!I1305-Sens!I1304)*(1-tax_f)/((Sens!H1306+Sens!I1306)/2)</f>
        <v>-0.0872710054683932</v>
      </c>
      <c r="J1308" s="7" t="n">
        <f aca="false">(Sens!J1305-Sens!J1304)*(1-tax_f)/((Sens!I1306+Sens!J1306)/2)</f>
        <v>-0.0969550500463507</v>
      </c>
      <c r="K1308" s="7" t="n">
        <f aca="false">(Sens!K1305-Sens!K1304)*(1-tax_f)/((Sens!J1306+Sens!K1306)/2)</f>
        <v>-0.106913972025358</v>
      </c>
    </row>
    <row r="1309" customFormat="false" ht="17.15" hidden="false" customHeight="false" outlineLevel="0" collapsed="false">
      <c r="A1309" s="1" t="s">
        <v>1016</v>
      </c>
      <c r="B1309" s="0" t="s">
        <v>168</v>
      </c>
      <c r="F1309" s="7" t="n">
        <f aca="false">(Sens!F1305-Sens!F1304+Sens!F1303)*(1-tax_f)/((Sens!E1306+Sens!F1306)/2)</f>
        <v>0.0113123621723862</v>
      </c>
      <c r="G1309" s="7" t="n">
        <f aca="false">(Sens!G1305-Sens!G1304+Sens!G1303)*(1-tax_f)/((Sens!F1306+Sens!G1306)/2)</f>
        <v>0.0121041407227971</v>
      </c>
      <c r="H1309" s="7" t="n">
        <f aca="false">(Sens!H1305-Sens!H1304+Sens!H1303)*(1-tax_f)/((Sens!G1306+Sens!H1306)/2)</f>
        <v>0.00452025967431184</v>
      </c>
      <c r="I1309" s="7" t="n">
        <f aca="false">(Sens!I1305-Sens!I1304+Sens!I1303)*(1-tax_f)/((Sens!H1306+Sens!I1306)/2)</f>
        <v>0.00883551109431041</v>
      </c>
      <c r="J1309" s="7" t="n">
        <f aca="false">(Sens!J1305-Sens!J1304+Sens!J1303)*(1-tax_f)/((Sens!I1306+Sens!J1306)/2)</f>
        <v>0.0115397887974535</v>
      </c>
      <c r="K1309" s="7" t="n">
        <f aca="false">(Sens!K1305-Sens!K1304+Sens!K1303)*(1-tax_f)/((Sens!J1306+Sens!K1306)/2)</f>
        <v>0.014311488090235</v>
      </c>
    </row>
    <row r="1310" customFormat="false" ht="17.15" hidden="false" customHeight="false" outlineLevel="0" collapsed="false">
      <c r="A1310" s="1" t="s">
        <v>1017</v>
      </c>
      <c r="B1310" s="0" t="s">
        <v>168</v>
      </c>
      <c r="F1310" s="7" t="n">
        <f aca="false">Sens!F1235*(1-tax_f)/(Sens!F1221*(Sens!E1306+Sens!F1306)/2)</f>
        <v>0.0461337579083944</v>
      </c>
      <c r="G1310" s="7" t="n">
        <f aca="false">Sens!G1235*(1-tax_f)/(Sens!G1221*(Sens!F1306+Sens!G1306)/2)</f>
        <v>0.0205061734385197</v>
      </c>
      <c r="H1310" s="7" t="n">
        <f aca="false">Sens!H1235*(1-tax_f)/(Sens!H1221*(Sens!G1306+Sens!H1306)/2)</f>
        <v>-0.00489758273624937</v>
      </c>
      <c r="I1310" s="7" t="n">
        <f aca="false">Sens!I1235*(1-tax_f)/(Sens!I1221*(Sens!H1306+Sens!I1306)/2)</f>
        <v>-0.00525602270544207</v>
      </c>
      <c r="J1310" s="7" t="n">
        <f aca="false">Sens!J1235*(1-tax_f)/(Sens!J1221*(Sens!I1306+Sens!J1306)/2)</f>
        <v>-0.00590018959079836</v>
      </c>
      <c r="K1310" s="7" t="n">
        <f aca="false">Sens!K1235*(1-tax_f)/(Sens!K1221*(Sens!J1306+Sens!K1306)/2)</f>
        <v>-0.00579505708342886</v>
      </c>
    </row>
    <row r="1311" customFormat="false" ht="17.15" hidden="false" customHeight="false" outlineLevel="0" collapsed="false">
      <c r="A1311" s="0" t="s">
        <v>1018</v>
      </c>
      <c r="B1311" s="0" t="s">
        <v>253</v>
      </c>
      <c r="F1311" s="7" t="n">
        <f aca="false">Sens!F1307-wacc</f>
        <v>-0.0916242287732111</v>
      </c>
      <c r="G1311" s="7" t="n">
        <f aca="false">Sens!G1307-wacc</f>
        <v>-0.0908324502228002</v>
      </c>
      <c r="H1311" s="7" t="n">
        <f aca="false">Sens!H1307-wacc</f>
        <v>-0.0984163312712855</v>
      </c>
      <c r="I1311" s="7" t="n">
        <f aca="false">Sens!I1307-wacc</f>
        <v>-0.0941010798512869</v>
      </c>
      <c r="J1311" s="7" t="n">
        <f aca="false">Sens!J1307-wacc</f>
        <v>-0.0913968021481438</v>
      </c>
      <c r="K1311" s="7" t="n">
        <f aca="false">Sens!K1307-wacc</f>
        <v>-0.0886251028553623</v>
      </c>
    </row>
    <row r="1312" customFormat="false" ht="17.15" hidden="false" customHeight="false" outlineLevel="0" collapsed="false">
      <c r="A1312" s="0" t="s">
        <v>1019</v>
      </c>
      <c r="B1312" s="0" t="s">
        <v>98</v>
      </c>
      <c r="F1312" s="6" t="n">
        <f aca="false">Sens!F1305*(1-tax_f)-wacc*(Sens!E1306+Sens!F1306)/2</f>
        <v>-17.741688047709</v>
      </c>
      <c r="G1312" s="6" t="n">
        <f aca="false">Sens!G1305*(1-tax_f)-wacc*(Sens!F1306+Sens!G1306)/2</f>
        <v>-29.6275124562525</v>
      </c>
      <c r="H1312" s="6" t="n">
        <f aca="false">Sens!H1305*(1-tax_f)-wacc*(Sens!G1306+Sens!H1306)/2</f>
        <v>-43.8578178304451</v>
      </c>
      <c r="I1312" s="6" t="n">
        <f aca="false">Sens!I1305*(1-tax_f)-wacc*(Sens!H1306+Sens!I1306)/2</f>
        <v>-49.5611979643104</v>
      </c>
      <c r="J1312" s="6" t="n">
        <f aca="false">Sens!J1305*(1-tax_f)-wacc*(Sens!I1306+Sens!J1306)/2</f>
        <v>-50.4811481277227</v>
      </c>
      <c r="K1312" s="6" t="n">
        <f aca="false">Sens!K1305*(1-tax_f)-wacc*(Sens!J1306+Sens!K1306)/2</f>
        <v>-47.7478110764883</v>
      </c>
    </row>
    <row r="1313" customFormat="false" ht="17.15" hidden="false" customHeight="false" outlineLevel="0" collapsed="false">
      <c r="A1313" s="3" t="s">
        <v>1643</v>
      </c>
    </row>
    <row r="1314" customFormat="false" ht="15" hidden="false" customHeight="false" outlineLevel="0" collapsed="false">
      <c r="A1314" s="4" t="s">
        <v>43</v>
      </c>
      <c r="B1314" s="4" t="s">
        <v>65</v>
      </c>
      <c r="C1314" s="23" t="s">
        <v>942</v>
      </c>
      <c r="D1314" s="23" t="s">
        <v>943</v>
      </c>
      <c r="E1314" s="23" t="s">
        <v>944</v>
      </c>
      <c r="F1314" s="23" t="s">
        <v>945</v>
      </c>
      <c r="G1314" s="23" t="s">
        <v>946</v>
      </c>
      <c r="H1314" s="23" t="s">
        <v>947</v>
      </c>
      <c r="I1314" s="23" t="s">
        <v>948</v>
      </c>
      <c r="J1314" s="23" t="s">
        <v>949</v>
      </c>
      <c r="K1314" s="23" t="s">
        <v>950</v>
      </c>
      <c r="L1314" s="4" t="s">
        <v>47</v>
      </c>
    </row>
    <row r="1315" customFormat="false" ht="15" hidden="false" customHeight="false" outlineLevel="0" collapsed="false">
      <c r="A1315" s="1" t="s">
        <v>1080</v>
      </c>
      <c r="B1315" s="0" t="s">
        <v>98</v>
      </c>
      <c r="F1315" s="6" t="n">
        <f aca="false">Sens!F1296</f>
        <v>136.911093000561</v>
      </c>
      <c r="G1315" s="6" t="n">
        <f aca="false">Sens!G1296</f>
        <v>135.484374980034</v>
      </c>
      <c r="H1315" s="6" t="n">
        <f aca="false">Sens!H1296</f>
        <v>134.887465779966</v>
      </c>
      <c r="I1315" s="6" t="n">
        <f aca="false">Sens!I1296</f>
        <v>140.168593419192</v>
      </c>
      <c r="J1315" s="6" t="n">
        <f aca="false">Sens!J1296</f>
        <v>147.645904641649</v>
      </c>
      <c r="K1315" s="6" t="n">
        <f aca="false">Sens!K1296</f>
        <v>157.065465590867</v>
      </c>
    </row>
    <row r="1316" customFormat="false" ht="17.15" hidden="false" customHeight="false" outlineLevel="0" collapsed="false">
      <c r="A1316" s="1" t="s">
        <v>1102</v>
      </c>
      <c r="B1316" s="0" t="s">
        <v>98</v>
      </c>
      <c r="E1316" s="6" t="n">
        <f aca="false">Q!M38-Sens!E1234</f>
        <v>22.2285940229167</v>
      </c>
      <c r="F1316" s="6" t="n">
        <f aca="false">Sens!E1316*(1-1/life_nonai)+(Sens!F1324+Sens!F1325)/life_nonai</f>
        <v>23.6219250452641</v>
      </c>
      <c r="G1316" s="6" t="n">
        <f aca="false">Sens!F1316*(1-1/life_nonai)+(Sens!G1324)/life_nonai</f>
        <v>25.4177381940572</v>
      </c>
      <c r="H1316" s="6" t="n">
        <f aca="false">Sens!G1316*(1-1/life_nonai)+(Sens!H1324)/life_nonai</f>
        <v>27.5845423562197</v>
      </c>
      <c r="I1316" s="6" t="n">
        <f aca="false">Sens!H1316*(1-1/life_nonai)+(Sens!I1324)/life_nonai</f>
        <v>30.0650611112305</v>
      </c>
      <c r="J1316" s="6" t="n">
        <f aca="false">Sens!I1316*(1-1/life_nonai)+(Sens!J1324)/life_nonai</f>
        <v>32.7836267781414</v>
      </c>
      <c r="K1316" s="6" t="n">
        <f aca="false">Sens!J1316*(1-1/life_nonai)+(Sens!K1324)/life_nonai</f>
        <v>35.6547207686575</v>
      </c>
      <c r="L1316" s="12" t="s">
        <v>1103</v>
      </c>
    </row>
    <row r="1317" customFormat="false" ht="17.15" hidden="false" customHeight="false" outlineLevel="0" collapsed="false">
      <c r="A1317" s="1" t="s">
        <v>1104</v>
      </c>
      <c r="B1317" s="0" t="s">
        <v>98</v>
      </c>
      <c r="F1317" s="6" t="n">
        <f aca="false">Sens!$F$1325/life_nonai*(1-1/life_nonai)^(Sens!F1197-2027)</f>
        <v>0</v>
      </c>
      <c r="G1317" s="6" t="n">
        <f aca="false">Sens!$F$1325/life_nonai*(1-1/life_nonai)^(Sens!G1197-2027)</f>
        <v>0</v>
      </c>
      <c r="H1317" s="6" t="n">
        <f aca="false">Sens!$F$1325/life_nonai*(1-1/life_nonai)^(Sens!H1197-2027)</f>
        <v>0</v>
      </c>
      <c r="I1317" s="6" t="n">
        <f aca="false">Sens!$F$1325/life_nonai*(1-1/life_nonai)^(Sens!I1197-2027)</f>
        <v>0</v>
      </c>
      <c r="J1317" s="6" t="n">
        <f aca="false">Sens!$F$1325/life_nonai*(1-1/life_nonai)^(Sens!J1197-2027)</f>
        <v>0</v>
      </c>
      <c r="K1317" s="6" t="n">
        <f aca="false">Sens!$F$1325/life_nonai*(1-1/life_nonai)^(Sens!K1197-2027)</f>
        <v>0</v>
      </c>
      <c r="L1317" s="1" t="s">
        <v>1105</v>
      </c>
    </row>
    <row r="1318" customFormat="false" ht="17.15" hidden="false" customHeight="false" outlineLevel="0" collapsed="false">
      <c r="A1318" s="1" t="s">
        <v>1106</v>
      </c>
      <c r="B1318" s="0" t="s">
        <v>98</v>
      </c>
      <c r="E1318" s="6" t="n">
        <f aca="false">Sens!E1234+Sens!E1316</f>
        <v>38.534</v>
      </c>
      <c r="F1318" s="6" t="n">
        <f aca="false">Sens!F1234+Sens!F1316</f>
        <v>58.2012395236157</v>
      </c>
      <c r="G1318" s="6" t="n">
        <f aca="false">Sens!G1234+Sens!G1316</f>
        <v>86.1522288463562</v>
      </c>
      <c r="H1318" s="6" t="n">
        <f aca="false">Sens!H1234+Sens!H1316</f>
        <v>116.684633017665</v>
      </c>
      <c r="I1318" s="6" t="n">
        <f aca="false">Sens!I1234+Sens!I1316</f>
        <v>144.296070805779</v>
      </c>
      <c r="J1318" s="6" t="n">
        <f aca="false">Sens!J1234+Sens!J1316</f>
        <v>164.799299827737</v>
      </c>
      <c r="K1318" s="6" t="n">
        <f aca="false">Sens!K1234+Sens!K1316</f>
        <v>178.667390319592</v>
      </c>
    </row>
    <row r="1319" customFormat="false" ht="17.15" hidden="false" customHeight="false" outlineLevel="0" collapsed="false">
      <c r="A1319" s="1" t="s">
        <v>1107</v>
      </c>
      <c r="B1319" s="0" t="s">
        <v>98</v>
      </c>
      <c r="F1319" s="6" t="n">
        <f aca="false">Sens!F1261*sbc_r</f>
        <v>14.522377098934</v>
      </c>
      <c r="G1319" s="6" t="n">
        <f aca="false">Sens!G1261*sbc_r</f>
        <v>16.8006237726168</v>
      </c>
      <c r="H1319" s="6" t="n">
        <f aca="false">Sens!H1261*sbc_r</f>
        <v>18.9513799075571</v>
      </c>
      <c r="I1319" s="6" t="n">
        <f aca="false">Sens!I1261*sbc_r</f>
        <v>21.179159275196</v>
      </c>
      <c r="J1319" s="6" t="n">
        <f aca="false">Sens!J1261*sbc_r</f>
        <v>23.0704699555874</v>
      </c>
      <c r="K1319" s="6" t="n">
        <f aca="false">Sens!K1261*sbc_r</f>
        <v>24.632378625163</v>
      </c>
    </row>
    <row r="1320" customFormat="false" ht="17.15" hidden="false" customHeight="false" outlineLevel="0" collapsed="false">
      <c r="A1320" s="1" t="s">
        <v>1108</v>
      </c>
      <c r="B1320" s="0" t="s">
        <v>98</v>
      </c>
      <c r="F1320" s="6" t="n">
        <f aca="false">wc27-wc26q1</f>
        <v>-4.677</v>
      </c>
      <c r="G1320" s="6" t="n">
        <f aca="false">wc_f</f>
        <v>0</v>
      </c>
      <c r="H1320" s="6" t="n">
        <f aca="false">wc_f</f>
        <v>0</v>
      </c>
      <c r="I1320" s="6" t="n">
        <f aca="false">wc_f</f>
        <v>0</v>
      </c>
      <c r="J1320" s="6" t="n">
        <f aca="false">wc_f</f>
        <v>0</v>
      </c>
      <c r="K1320" s="6" t="n">
        <f aca="false">wc_f</f>
        <v>0</v>
      </c>
      <c r="L1320" s="12" t="s">
        <v>1109</v>
      </c>
    </row>
    <row r="1321" customFormat="false" ht="17.15" hidden="false" customHeight="false" outlineLevel="0" collapsed="false">
      <c r="A1321" s="0" t="s">
        <v>1110</v>
      </c>
      <c r="B1321" s="0" t="s">
        <v>98</v>
      </c>
      <c r="F1321" s="6" t="n">
        <f aca="false">Q!$I$35-Q!$I$26-Q!$I$38-Q!$I$39</f>
        <v>6.493</v>
      </c>
      <c r="L1321" s="1" t="s">
        <v>1111</v>
      </c>
    </row>
    <row r="1322" customFormat="false" ht="15" hidden="false" customHeight="false" outlineLevel="0" collapsed="false">
      <c r="A1322" s="1" t="s">
        <v>908</v>
      </c>
      <c r="B1322" s="0" t="s">
        <v>98</v>
      </c>
      <c r="E1322" s="6" t="n">
        <f aca="false">Q!M35</f>
        <v>182.935</v>
      </c>
      <c r="F1322" s="6" t="n">
        <f aca="false">Sens!F1315+Sens!F1318+Sens!F1319+Sens!F1320+Sens!F1321</f>
        <v>211.450709623111</v>
      </c>
      <c r="G1322" s="6" t="n">
        <f aca="false">Sens!G1315+Sens!G1318+Sens!G1319+Sens!G1320</f>
        <v>238.437227599007</v>
      </c>
      <c r="H1322" s="6" t="n">
        <f aca="false">Sens!H1315+Sens!H1318+Sens!H1319+Sens!H1320</f>
        <v>270.523478705189</v>
      </c>
      <c r="I1322" s="6" t="n">
        <f aca="false">Sens!I1315+Sens!I1318+Sens!I1319+Sens!I1320</f>
        <v>305.643823500167</v>
      </c>
      <c r="J1322" s="6" t="n">
        <f aca="false">Sens!J1315+Sens!J1318+Sens!J1319+Sens!J1320</f>
        <v>335.515674424974</v>
      </c>
      <c r="K1322" s="6" t="n">
        <f aca="false">Sens!K1315+Sens!K1318+Sens!K1319+Sens!K1320</f>
        <v>360.365234535622</v>
      </c>
    </row>
    <row r="1323" customFormat="false" ht="17.15" hidden="false" customHeight="false" outlineLevel="0" collapsed="false">
      <c r="A1323" s="0" t="s">
        <v>1112</v>
      </c>
      <c r="B1323" s="0" t="s">
        <v>98</v>
      </c>
      <c r="F1323" s="6" t="n">
        <f aca="false">Sens!F1231</f>
        <v>168.45390404212</v>
      </c>
      <c r="G1323" s="6" t="n">
        <f aca="false">Sens!G1231</f>
        <v>191.944475649048</v>
      </c>
      <c r="H1323" s="6" t="n">
        <f aca="false">Sens!H1231</f>
        <v>196.806004064512</v>
      </c>
      <c r="I1323" s="6" t="n">
        <f aca="false">Sens!I1231</f>
        <v>168.61483362161</v>
      </c>
      <c r="J1323" s="6" t="n">
        <f aca="false">Sens!J1231</f>
        <v>128.92993119594</v>
      </c>
      <c r="K1323" s="6" t="n">
        <f aca="false">Sens!K1231</f>
        <v>118.962853064733</v>
      </c>
    </row>
    <row r="1324" customFormat="false" ht="17.15" hidden="false" customHeight="false" outlineLevel="0" collapsed="false">
      <c r="A1324" s="1" t="s">
        <v>1113</v>
      </c>
      <c r="B1324" s="0" t="s">
        <v>98</v>
      </c>
      <c r="E1324" s="6" t="n">
        <f aca="false">Sens!E1239*cx_azo+Sens!E1246*cx_m365+Sens!E1247*cx_lic+(Sens!E1249+Sens!E1251)*cx_ind+Sens!E1254*cx_srch+(Sens!E1256+Sens!E1258)*cx_dev</f>
        <v>30.1846587067718</v>
      </c>
      <c r="F1324" s="6" t="n">
        <f aca="false">Sens!F1239*cx_azo+Sens!F1246*cx_m365+Sens!F1247*cx_lic+(Sens!F1249+Sens!F1251)*cx_ind+Sens!F1254*cx_srch+(Sens!F1256+Sens!F1258)*cx_dev</f>
        <v>36.161904246391</v>
      </c>
      <c r="G1324" s="6" t="n">
        <f aca="false">Sens!G1239*cx_azo+Sens!G1246*cx_m365+Sens!G1247*cx_lic+(Sens!G1249+Sens!G1251)*cx_ind+Sens!G1254*cx_srch+(Sens!G1256+Sens!G1258)*cx_dev</f>
        <v>41.5800565331951</v>
      </c>
      <c r="H1324" s="6" t="n">
        <f aca="false">Sens!H1239*cx_azo+Sens!H1246*cx_m365+Sens!H1247*cx_lic+(Sens!H1249+Sens!H1251)*cx_ind+Sens!H1254*cx_srch+(Sens!H1256+Sens!H1258)*cx_dev</f>
        <v>47.0857798156819</v>
      </c>
      <c r="I1324" s="6" t="n">
        <f aca="false">Sens!I1239*cx_azo+Sens!I1246*cx_m365+Sens!I1247*cx_lic+(Sens!I1249+Sens!I1251)*cx_ind+Sens!I1254*cx_srch+(Sens!I1256+Sens!I1258)*cx_dev</f>
        <v>52.3897299063274</v>
      </c>
      <c r="J1324" s="6" t="n">
        <f aca="false">Sens!J1239*cx_azo+Sens!J1246*cx_m365+Sens!J1247*cx_lic+(Sens!J1249+Sens!J1251)*cx_ind+Sens!J1254*cx_srch+(Sens!J1256+Sens!J1258)*cx_dev</f>
        <v>57.2507177803398</v>
      </c>
      <c r="K1324" s="6" t="n">
        <f aca="false">Sens!K1239*cx_azo+Sens!K1246*cx_m365+Sens!K1247*cx_lic+(Sens!K1249+Sens!K1251)*cx_ind+Sens!K1254*cx_srch+(Sens!K1256+Sens!K1258)*cx_dev</f>
        <v>61.4945666833027</v>
      </c>
    </row>
    <row r="1325" customFormat="false" ht="17.15" hidden="false" customHeight="false" outlineLevel="0" collapsed="false">
      <c r="A1325" s="0" t="s">
        <v>1114</v>
      </c>
      <c r="B1325" s="0" t="s">
        <v>98</v>
      </c>
      <c r="F1325" s="6" t="n">
        <f aca="false">Sens!F1229</f>
        <v>0</v>
      </c>
      <c r="L1325" s="1" t="s">
        <v>1115</v>
      </c>
    </row>
    <row r="1326" customFormat="false" ht="17.15" hidden="false" customHeight="false" outlineLevel="0" collapsed="false">
      <c r="A1326" s="1" t="s">
        <v>1116</v>
      </c>
      <c r="B1326" s="0" t="s">
        <v>98</v>
      </c>
      <c r="E1326" s="6" t="n">
        <f aca="false">Q!M43</f>
        <v>145.3</v>
      </c>
      <c r="F1326" s="6" t="n">
        <f aca="false">Sens!F1323+Sens!F1324+Sens!F1325</f>
        <v>204.615808288511</v>
      </c>
      <c r="G1326" s="6" t="n">
        <f aca="false">Sens!G1323+Sens!G1324</f>
        <v>233.524532182243</v>
      </c>
      <c r="H1326" s="6" t="n">
        <f aca="false">Sens!H1323+Sens!H1324</f>
        <v>243.891783880194</v>
      </c>
      <c r="I1326" s="6" t="n">
        <f aca="false">Sens!I1323+Sens!I1324</f>
        <v>221.004563527938</v>
      </c>
      <c r="J1326" s="6" t="n">
        <f aca="false">Sens!J1323+Sens!J1324</f>
        <v>186.18064897628</v>
      </c>
      <c r="K1326" s="6" t="n">
        <f aca="false">Sens!K1323+Sens!K1324</f>
        <v>180.457419748035</v>
      </c>
      <c r="L1326" s="1" t="s">
        <v>1117</v>
      </c>
    </row>
    <row r="1327" customFormat="false" ht="15" hidden="false" customHeight="false" outlineLevel="0" collapsed="false">
      <c r="A1327" s="1" t="s">
        <v>1118</v>
      </c>
      <c r="B1327" s="0" t="s">
        <v>98</v>
      </c>
      <c r="E1327" s="6" t="n">
        <f aca="false">fl_liab</f>
        <v>66.594</v>
      </c>
      <c r="F1327" s="6" t="n">
        <f aca="false">Sens!E1327-Sens!F1328</f>
        <v>62.46973</v>
      </c>
      <c r="G1327" s="6" t="n">
        <f aca="false">Sens!F1327-Sens!G1328</f>
        <v>57.98686785</v>
      </c>
      <c r="H1327" s="6" t="n">
        <f aca="false">Sens!G1327-Sens!H1328</f>
        <v>53.92827690325</v>
      </c>
      <c r="I1327" s="6" t="n">
        <f aca="false">Sens!H1327-Sens!I1328</f>
        <v>49.7850493638962</v>
      </c>
      <c r="J1327" s="6" t="n">
        <f aca="false">Sens!I1327-Sens!J1328</f>
        <v>45.4823765852716</v>
      </c>
      <c r="K1327" s="6" t="n">
        <f aca="false">Sens!J1327-Sens!K1328</f>
        <v>40.9860835316088</v>
      </c>
    </row>
    <row r="1328" customFormat="false" ht="15" hidden="false" customHeight="false" outlineLevel="0" collapsed="false">
      <c r="A1328" s="1" t="s">
        <v>1119</v>
      </c>
      <c r="B1328" s="0" t="s">
        <v>98</v>
      </c>
      <c r="F1328" s="6" t="n">
        <f aca="false">fl_pay_27-Sens!E1327*fl_rate</f>
        <v>4.12427</v>
      </c>
      <c r="G1328" s="6" t="n">
        <f aca="false">fl_pay_28-Sens!F1327*fl_rate</f>
        <v>4.48286215</v>
      </c>
      <c r="H1328" s="6" t="n">
        <f aca="false">fl_pay_29-Sens!G1327*fl_rate</f>
        <v>4.05859094675</v>
      </c>
      <c r="I1328" s="6" t="n">
        <f aca="false">fl_pay_30-Sens!H1327*fl_rate</f>
        <v>4.14322753935375</v>
      </c>
      <c r="J1328" s="6" t="n">
        <f aca="false">fl_pay_31-Sens!I1327*fl_rate</f>
        <v>4.30267277862467</v>
      </c>
      <c r="K1328" s="6" t="n">
        <f aca="false">fl_pay_32-Sens!J1327*fl_rate</f>
        <v>4.49629305366278</v>
      </c>
    </row>
    <row r="1329" customFormat="false" ht="17.15" hidden="false" customHeight="false" outlineLevel="0" collapsed="false">
      <c r="A1329" s="1" t="s">
        <v>1120</v>
      </c>
      <c r="B1329" s="0" t="s">
        <v>98</v>
      </c>
      <c r="E1329" s="6" t="n">
        <f aca="false">Q!M35-Q!M36-Q!M44</f>
        <v>63.886</v>
      </c>
      <c r="F1329" s="6" t="n">
        <f aca="false">Sens!F1322-Sens!F1326-Sens!F1328</f>
        <v>2.71063133460017</v>
      </c>
      <c r="G1329" s="6" t="n">
        <f aca="false">Sens!G1322-Sens!G1326-Sens!G1328</f>
        <v>0.429833266763825</v>
      </c>
      <c r="H1329" s="6" t="n">
        <f aca="false">Sens!H1322-Sens!H1326-Sens!H1328</f>
        <v>22.5731038782444</v>
      </c>
      <c r="I1329" s="6" t="n">
        <f aca="false">Sens!I1322-Sens!I1326-Sens!I1328</f>
        <v>80.4960324328757</v>
      </c>
      <c r="J1329" s="6" t="n">
        <f aca="false">Sens!J1322-Sens!J1326-Sens!J1328</f>
        <v>145.032352670069</v>
      </c>
      <c r="K1329" s="6" t="n">
        <f aca="false">Sens!K1322-Sens!K1326-Sens!K1328</f>
        <v>175.411521733923</v>
      </c>
      <c r="L1329" s="12" t="s">
        <v>1121</v>
      </c>
    </row>
    <row r="1330" customFormat="false" ht="15" hidden="false" customHeight="false" outlineLevel="0" collapsed="false">
      <c r="A1330" s="1" t="s">
        <v>1122</v>
      </c>
      <c r="B1330" s="0" t="s">
        <v>75</v>
      </c>
      <c r="F1330" s="8" t="n">
        <f aca="false">dps_27</f>
        <v>3.85</v>
      </c>
      <c r="G1330" s="8" t="n">
        <f aca="false">Sens!F1330*(1+dps_g)</f>
        <v>4.158</v>
      </c>
      <c r="H1330" s="8" t="n">
        <f aca="false">Sens!G1330*(1+dps_g)</f>
        <v>4.49064</v>
      </c>
      <c r="I1330" s="8" t="n">
        <f aca="false">Sens!H1330*(1+dps_g)</f>
        <v>4.8498912</v>
      </c>
      <c r="J1330" s="8" t="n">
        <f aca="false">Sens!I1330*(1+dps_g)</f>
        <v>5.237882496</v>
      </c>
      <c r="K1330" s="8" t="n">
        <f aca="false">Sens!J1330*(1+dps_g)</f>
        <v>5.65691309568</v>
      </c>
    </row>
    <row r="1331" customFormat="false" ht="17.15" hidden="false" customHeight="false" outlineLevel="0" collapsed="false">
      <c r="A1331" s="1" t="s">
        <v>1123</v>
      </c>
      <c r="B1331" s="0" t="s">
        <v>98</v>
      </c>
      <c r="E1331" s="6" t="n">
        <f aca="false">Q!M41</f>
        <v>26.445</v>
      </c>
      <c r="F1331" s="6" t="n">
        <f aca="false">Sens!F1330*Sens!E1340</f>
        <v>28.59395</v>
      </c>
      <c r="G1331" s="6" t="n">
        <f aca="false">Sens!G1330*Sens!F1340</f>
        <v>31.068576</v>
      </c>
      <c r="H1331" s="6" t="n">
        <f aca="false">Sens!H1330*Sens!G1340</f>
        <v>33.75614088</v>
      </c>
      <c r="I1331" s="6" t="n">
        <f aca="false">Sens!I1330*Sens!H1340</f>
        <v>36.6748772544</v>
      </c>
      <c r="J1331" s="6" t="n">
        <f aca="false">Sens!J1330*Sens!I1340</f>
        <v>39.6767653201446</v>
      </c>
      <c r="K1331" s="6" t="n">
        <f aca="false">Sens!K1330*Sens!J1340</f>
        <v>42.9376608081345</v>
      </c>
      <c r="L1331" s="1" t="s">
        <v>1124</v>
      </c>
    </row>
    <row r="1332" customFormat="false" ht="15" hidden="false" customHeight="false" outlineLevel="0" collapsed="false">
      <c r="A1332" s="1" t="s">
        <v>1125</v>
      </c>
      <c r="B1332" s="0" t="s">
        <v>98</v>
      </c>
      <c r="E1332" s="6" t="n">
        <f aca="false">Sens!E1329-Sens!E1331</f>
        <v>37.441</v>
      </c>
      <c r="F1332" s="6" t="n">
        <f aca="false">Sens!F1329-Sens!F1331</f>
        <v>-25.8833186653998</v>
      </c>
      <c r="G1332" s="6" t="n">
        <f aca="false">Sens!G1329-Sens!G1331</f>
        <v>-30.6387427332362</v>
      </c>
      <c r="H1332" s="6" t="n">
        <f aca="false">Sens!H1329-Sens!H1331</f>
        <v>-11.1830370017556</v>
      </c>
      <c r="I1332" s="6" t="n">
        <f aca="false">Sens!I1329-Sens!I1331</f>
        <v>43.8211551784757</v>
      </c>
      <c r="J1332" s="6" t="n">
        <f aca="false">Sens!J1329-Sens!J1331</f>
        <v>105.355587349924</v>
      </c>
      <c r="K1332" s="6" t="n">
        <f aca="false">Sens!K1329-Sens!K1331</f>
        <v>132.473860925789</v>
      </c>
    </row>
    <row r="1333" customFormat="false" ht="15" hidden="false" customHeight="false" outlineLevel="0" collapsed="false">
      <c r="A1333" s="1" t="s">
        <v>1126</v>
      </c>
      <c r="B1333" s="0" t="s">
        <v>98</v>
      </c>
      <c r="F1333" s="6" t="n">
        <f aca="false">debt_mat_27</f>
        <v>9.25</v>
      </c>
      <c r="G1333" s="6" t="n">
        <f aca="false">debt_mat_28</f>
        <v>0</v>
      </c>
      <c r="H1333" s="6" t="n">
        <f aca="false">debt_mat_29</f>
        <v>2.001</v>
      </c>
      <c r="I1333" s="6" t="n">
        <f aca="false">debt_mat_30</f>
        <v>0</v>
      </c>
      <c r="J1333" s="6" t="n">
        <f aca="false">debt_mat_31</f>
        <v>0.5</v>
      </c>
      <c r="K1333" s="6" t="n">
        <f aca="false">debt_mat_32</f>
        <v>0</v>
      </c>
    </row>
    <row r="1334" customFormat="false" ht="15" hidden="false" customHeight="false" outlineLevel="0" collapsed="false">
      <c r="A1334" s="1" t="s">
        <v>1127</v>
      </c>
      <c r="B1334" s="0" t="s">
        <v>98</v>
      </c>
      <c r="E1334" s="6" t="n">
        <f aca="false">Q!M40</f>
        <v>22.271</v>
      </c>
      <c r="F1334" s="6" t="n">
        <f aca="false">MAX(0,MIN(bb_target,Sens!E1336+Sens!F1332-Sens!F1333-min_cash))</f>
        <v>0</v>
      </c>
      <c r="G1334" s="6" t="n">
        <f aca="false">MAX(0,MIN(bb_target,Sens!F1336+Sens!G1332-Sens!G1333-min_cash))</f>
        <v>0</v>
      </c>
      <c r="H1334" s="6" t="n">
        <f aca="false">MAX(0,MIN(bb_target,Sens!G1336+Sens!H1332-Sens!H1333-min_cash))</f>
        <v>0</v>
      </c>
      <c r="I1334" s="6" t="n">
        <f aca="false">MAX(0,MIN(bb_target,Sens!H1336+Sens!I1332-Sens!I1333-min_cash))</f>
        <v>22.271</v>
      </c>
      <c r="J1334" s="6" t="n">
        <f aca="false">MAX(0,MIN(bb_target,Sens!I1336+Sens!J1332-Sens!J1333-min_cash))</f>
        <v>22.271</v>
      </c>
      <c r="K1334" s="6" t="n">
        <f aca="false">MAX(0,MIN(bb_target,Sens!J1336+Sens!K1332-Sens!K1333-min_cash))</f>
        <v>22.271</v>
      </c>
    </row>
    <row r="1335" customFormat="false" ht="15" hidden="false" customHeight="false" outlineLevel="0" collapsed="false">
      <c r="A1335" s="1" t="s">
        <v>1128</v>
      </c>
      <c r="B1335" s="0" t="s">
        <v>98</v>
      </c>
      <c r="F1335" s="6" t="n">
        <f aca="false">MAX(0,min_cash-(Sens!E1336+Sens!F1332-Sens!F1333-Sens!F1334))</f>
        <v>8.29031866539982</v>
      </c>
      <c r="G1335" s="6" t="n">
        <f aca="false">MAX(0,min_cash-(Sens!F1336+Sens!G1332-Sens!G1333-Sens!G1334))</f>
        <v>30.6387427332362</v>
      </c>
      <c r="H1335" s="6" t="n">
        <f aca="false">MAX(0,min_cash-(Sens!G1336+Sens!H1332-Sens!H1333-Sens!H1334))</f>
        <v>13.1840370017556</v>
      </c>
      <c r="I1335" s="6" t="n">
        <f aca="false">MAX(0,min_cash-(Sens!H1336+Sens!I1332-Sens!I1333-Sens!I1334))</f>
        <v>0</v>
      </c>
      <c r="J1335" s="6" t="n">
        <f aca="false">MAX(0,min_cash-(Sens!I1336+Sens!J1332-Sens!J1333-Sens!J1334))</f>
        <v>0</v>
      </c>
      <c r="K1335" s="6" t="n">
        <f aca="false">MAX(0,min_cash-(Sens!J1336+Sens!K1332-Sens!K1333-Sens!K1334))</f>
        <v>0</v>
      </c>
    </row>
    <row r="1336" customFormat="false" ht="15" hidden="false" customHeight="false" outlineLevel="0" collapsed="false">
      <c r="A1336" s="1" t="s">
        <v>1129</v>
      </c>
      <c r="B1336" s="0" t="s">
        <v>98</v>
      </c>
      <c r="E1336" s="6" t="n">
        <f aca="false">cash_open</f>
        <v>76.843</v>
      </c>
      <c r="F1336" s="6" t="n">
        <f aca="false">Sens!E1336+Sens!F1332-Sens!F1333-Sens!F1334+Sens!F1335</f>
        <v>50</v>
      </c>
      <c r="G1336" s="6" t="n">
        <f aca="false">Sens!F1336+Sens!G1332-Sens!G1333-Sens!G1334+Sens!G1335</f>
        <v>50</v>
      </c>
      <c r="H1336" s="6" t="n">
        <f aca="false">Sens!G1336+Sens!H1332-Sens!H1333-Sens!H1334+Sens!H1335</f>
        <v>50</v>
      </c>
      <c r="I1336" s="6" t="n">
        <f aca="false">Sens!H1336+Sens!I1332-Sens!I1333-Sens!I1334+Sens!I1335</f>
        <v>71.5501551784757</v>
      </c>
      <c r="J1336" s="6" t="n">
        <f aca="false">Sens!I1336+Sens!J1332-Sens!J1333-Sens!J1334+Sens!J1335</f>
        <v>154.1347425284</v>
      </c>
      <c r="K1336" s="6" t="n">
        <f aca="false">Sens!J1336+Sens!K1332-Sens!K1333-Sens!K1334+Sens!K1335</f>
        <v>264.337603454189</v>
      </c>
    </row>
    <row r="1337" customFormat="false" ht="15" hidden="false" customHeight="false" outlineLevel="0" collapsed="false">
      <c r="A1337" s="1" t="s">
        <v>1130</v>
      </c>
      <c r="B1337" s="0" t="s">
        <v>98</v>
      </c>
      <c r="E1337" s="6" t="n">
        <f aca="false">debt_face</f>
        <v>46.136</v>
      </c>
      <c r="F1337" s="6" t="n">
        <f aca="false">Sens!E1337-Sens!F1333+Sens!F1335</f>
        <v>45.1763186653998</v>
      </c>
      <c r="G1337" s="6" t="n">
        <f aca="false">Sens!F1337-Sens!G1333+Sens!G1335</f>
        <v>75.815061398636</v>
      </c>
      <c r="H1337" s="6" t="n">
        <f aca="false">Sens!G1337-Sens!H1333+Sens!H1335</f>
        <v>86.9980984003916</v>
      </c>
      <c r="I1337" s="6" t="n">
        <f aca="false">Sens!H1337-Sens!I1333+Sens!I1335</f>
        <v>86.9980984003916</v>
      </c>
      <c r="J1337" s="6" t="n">
        <f aca="false">Sens!I1337-Sens!J1333+Sens!J1335</f>
        <v>86.4980984003916</v>
      </c>
      <c r="K1337" s="6" t="n">
        <f aca="false">Sens!J1337-Sens!K1333+Sens!K1335</f>
        <v>86.4980984003916</v>
      </c>
    </row>
    <row r="1338" customFormat="false" ht="15" hidden="false" customHeight="false" outlineLevel="0" collapsed="false">
      <c r="A1338" s="1" t="s">
        <v>1131</v>
      </c>
      <c r="B1338" s="0" t="s">
        <v>98</v>
      </c>
      <c r="E1338" s="6" t="n">
        <f aca="false">Sens!E1336-Sens!E1337</f>
        <v>30.707</v>
      </c>
      <c r="F1338" s="6" t="n">
        <f aca="false">Sens!F1336-Sens!F1337</f>
        <v>4.82368133460017</v>
      </c>
      <c r="G1338" s="6" t="n">
        <f aca="false">Sens!G1336-Sens!G1337</f>
        <v>-25.815061398636</v>
      </c>
      <c r="H1338" s="6" t="n">
        <f aca="false">Sens!H1336-Sens!H1337</f>
        <v>-36.9980984003916</v>
      </c>
      <c r="I1338" s="6" t="n">
        <f aca="false">Sens!I1336-Sens!I1337</f>
        <v>-15.4479432219159</v>
      </c>
      <c r="J1338" s="6" t="n">
        <f aca="false">Sens!J1336-Sens!J1337</f>
        <v>67.6366441280086</v>
      </c>
      <c r="K1338" s="6" t="n">
        <f aca="false">Sens!K1336-Sens!K1337</f>
        <v>177.839505053798</v>
      </c>
    </row>
    <row r="1339" customFormat="false" ht="15" hidden="false" customHeight="false" outlineLevel="0" collapsed="false">
      <c r="A1339" s="1" t="s">
        <v>1132</v>
      </c>
      <c r="B1339" s="0" t="s">
        <v>75</v>
      </c>
      <c r="F1339" s="30" t="n">
        <f aca="false">px*(1+bb_g)^(Sens!F1197-base_fy-mid_yr)</f>
        <v>551.84177959629</v>
      </c>
      <c r="G1339" s="30" t="n">
        <f aca="false">px*(1+bb_g)^(Sens!G1197-base_fy-mid_yr)</f>
        <v>595.989121963993</v>
      </c>
      <c r="H1339" s="30" t="n">
        <f aca="false">px*(1+bb_g)^(Sens!H1197-base_fy-mid_yr)</f>
        <v>643.668251721112</v>
      </c>
      <c r="I1339" s="30" t="n">
        <f aca="false">px*(1+bb_g)^(Sens!I1197-base_fy-mid_yr)</f>
        <v>695.161711858801</v>
      </c>
      <c r="J1339" s="30" t="n">
        <f aca="false">px*(1+bb_g)^(Sens!J1197-base_fy-mid_yr)</f>
        <v>750.774648807506</v>
      </c>
      <c r="K1339" s="30" t="n">
        <f aca="false">px*(1+bb_g)^(Sens!K1197-base_fy-mid_yr)</f>
        <v>810.836620712106</v>
      </c>
    </row>
    <row r="1340" customFormat="false" ht="15" hidden="false" customHeight="false" outlineLevel="0" collapsed="false">
      <c r="A1340" s="1" t="s">
        <v>1133</v>
      </c>
      <c r="B1340" s="1" t="s">
        <v>81</v>
      </c>
      <c r="E1340" s="15" t="n">
        <f aca="false">sh_out26</f>
        <v>7.427</v>
      </c>
      <c r="F1340" s="15" t="n">
        <f aca="false">Sens!E1340+sh_iss-Sens!F1334/Sens!F1339</f>
        <v>7.472</v>
      </c>
      <c r="G1340" s="15" t="n">
        <f aca="false">Sens!F1340+sh_iss-Sens!G1334/Sens!G1339</f>
        <v>7.517</v>
      </c>
      <c r="H1340" s="15" t="n">
        <f aca="false">Sens!G1340+sh_iss-Sens!H1334/Sens!H1339</f>
        <v>7.562</v>
      </c>
      <c r="I1340" s="15" t="n">
        <f aca="false">Sens!H1340+sh_iss-Sens!I1334/Sens!I1339</f>
        <v>7.57496285005334</v>
      </c>
      <c r="J1340" s="15" t="n">
        <f aca="false">Sens!I1340+sh_iss-Sens!J1334/Sens!J1339</f>
        <v>7.59029882232494</v>
      </c>
      <c r="K1340" s="15" t="n">
        <f aca="false">Sens!J1340+sh_iss-Sens!K1334/Sens!K1339</f>
        <v>7.60783212998384</v>
      </c>
    </row>
    <row r="1341" customFormat="false" ht="15" hidden="false" customHeight="false" outlineLevel="0" collapsed="false">
      <c r="A1341" s="1" t="s">
        <v>1134</v>
      </c>
      <c r="B1341" s="1" t="s">
        <v>81</v>
      </c>
      <c r="E1341" s="15" t="n">
        <f aca="false">sh_dil26</f>
        <v>7.453</v>
      </c>
      <c r="F1341" s="15" t="n">
        <f aca="false">(Sens!E1340+Sens!F1340)/2+dil_gap</f>
        <v>7.4735</v>
      </c>
      <c r="G1341" s="15" t="n">
        <f aca="false">(Sens!F1340+Sens!G1340)/2+dil_gap</f>
        <v>7.5185</v>
      </c>
      <c r="H1341" s="15" t="n">
        <f aca="false">(Sens!G1340+Sens!H1340)/2+dil_gap</f>
        <v>7.5635</v>
      </c>
      <c r="I1341" s="15" t="n">
        <f aca="false">(Sens!H1340+Sens!I1340)/2+dil_gap</f>
        <v>7.59248142502667</v>
      </c>
      <c r="J1341" s="15" t="n">
        <f aca="false">(Sens!I1340+Sens!J1340)/2+dil_gap</f>
        <v>7.60663083618914</v>
      </c>
      <c r="K1341" s="15" t="n">
        <f aca="false">(Sens!J1340+Sens!K1340)/2+dil_gap</f>
        <v>7.62306547615439</v>
      </c>
    </row>
    <row r="1342" customFormat="false" ht="17.15" hidden="false" customHeight="false" outlineLevel="0" collapsed="false">
      <c r="A1342" s="1" t="s">
        <v>1135</v>
      </c>
      <c r="B1342" s="0" t="s">
        <v>98</v>
      </c>
      <c r="C1342" s="6" t="n">
        <f aca="false">SUM(Sens!F1332:J1332)</f>
        <v>81.4716441280086</v>
      </c>
    </row>
    <row r="1343" customFormat="false" ht="15" hidden="false" customHeight="false" outlineLevel="0" collapsed="false">
      <c r="A1343" s="26" t="s">
        <v>1100</v>
      </c>
      <c r="B1343" s="31" t="s">
        <v>98</v>
      </c>
      <c r="C1343" s="27" t="n">
        <f aca="false">Sens!$C$1342-(Sens!F1332+Sens!G1332+Sens!H1332+Sens!I1332+Sens!J1332)</f>
        <v>0</v>
      </c>
      <c r="D1343" s="31"/>
      <c r="E1343" s="31"/>
      <c r="F1343" s="31"/>
      <c r="G1343" s="31"/>
      <c r="H1343" s="31"/>
      <c r="I1343" s="31"/>
      <c r="J1343" s="31"/>
      <c r="K1343" s="31"/>
    </row>
    <row r="1344" customFormat="false" ht="17.15" hidden="false" customHeight="false" outlineLevel="0" collapsed="false">
      <c r="A1344" s="1" t="s">
        <v>1094</v>
      </c>
      <c r="B1344" s="1" t="s">
        <v>1136</v>
      </c>
      <c r="C1344" s="33" t="str">
        <f aca="false">IF(SUM(Sens!F1335:J1335)&gt;0.05,"需要舉債 "&amp;TEXT(SUM(Sens!F1335:J1335),"0.0")&amp;" 十億美元","不需舉債")&amp;"；"&amp;IF(SUM(Sens!F1334:J1334)&lt;COUNT(Sens!F1334:J1334)*bb_target-0.05,"回購較每年 "&amp;TEXT(bb_target,"0.0")&amp;" 的目標少 "&amp;TEXT(COUNT(Sens!F1334:J1334)*bb_target-SUM(Sens!F1334:J1334),"0.0")&amp;" 十億美元（"&amp;TEXT(COUNTIF(Sens!F1334:J1334,"&lt;"&amp;(bb_target-0.05)),"0")&amp;" 年減少）","回購不減")</f>
        <v>需要舉債 52.1 十億美元；回購較每年 22.3 的目標少 66.8 十億美元（3 年減少）</v>
      </c>
    </row>
    <row r="1345" customFormat="false" ht="17.15" hidden="false" customHeight="false" outlineLevel="0" collapsed="false">
      <c r="A1345" s="3" t="s">
        <v>1644</v>
      </c>
    </row>
    <row r="1346" customFormat="false" ht="15" hidden="false" customHeight="false" outlineLevel="0" collapsed="false">
      <c r="A1346" s="4" t="s">
        <v>43</v>
      </c>
      <c r="B1346" s="4" t="s">
        <v>65</v>
      </c>
      <c r="C1346" s="23" t="s">
        <v>942</v>
      </c>
      <c r="D1346" s="23" t="s">
        <v>943</v>
      </c>
      <c r="E1346" s="23" t="s">
        <v>944</v>
      </c>
      <c r="F1346" s="23" t="s">
        <v>945</v>
      </c>
      <c r="G1346" s="23" t="s">
        <v>946</v>
      </c>
      <c r="H1346" s="23" t="s">
        <v>947</v>
      </c>
      <c r="I1346" s="23" t="s">
        <v>948</v>
      </c>
      <c r="J1346" s="23" t="s">
        <v>949</v>
      </c>
      <c r="K1346" s="23" t="s">
        <v>950</v>
      </c>
      <c r="L1346" s="4" t="s">
        <v>47</v>
      </c>
    </row>
    <row r="1347" customFormat="false" ht="17.15" hidden="false" customHeight="false" outlineLevel="0" collapsed="false">
      <c r="A1347" s="1" t="s">
        <v>1216</v>
      </c>
      <c r="B1347" s="1" t="s">
        <v>279</v>
      </c>
      <c r="F1347" s="8" t="n">
        <f aca="false">(1-v_off)*mid_yr</f>
        <v>0.373972602739726</v>
      </c>
      <c r="G1347" s="8" t="n">
        <f aca="false">Sens!G1197-base_fy-mid_yr-v_off</f>
        <v>1.24794520547945</v>
      </c>
      <c r="H1347" s="8" t="n">
        <f aca="false">Sens!H1197-base_fy-mid_yr-v_off</f>
        <v>2.24794520547945</v>
      </c>
      <c r="I1347" s="8" t="n">
        <f aca="false">Sens!I1197-base_fy-mid_yr-v_off</f>
        <v>3.24794520547945</v>
      </c>
      <c r="J1347" s="8" t="n">
        <f aca="false">Sens!J1197-base_fy-mid_yr-v_off</f>
        <v>4.24794520547945</v>
      </c>
      <c r="K1347" s="8" t="n">
        <f aca="false">Sens!K1197-base_fy-mid_yr-v_off</f>
        <v>5.24794520547945</v>
      </c>
      <c r="L1347" s="12" t="s">
        <v>1217</v>
      </c>
    </row>
    <row r="1348" customFormat="false" ht="15" hidden="false" customHeight="false" outlineLevel="0" collapsed="false">
      <c r="A1348" s="1" t="s">
        <v>1218</v>
      </c>
      <c r="B1348" s="1" t="s">
        <v>279</v>
      </c>
      <c r="F1348" s="8" t="n">
        <f aca="false">Sens!F1197-base_fy-v_off</f>
        <v>0.747945205479452</v>
      </c>
      <c r="G1348" s="8" t="n">
        <f aca="false">Sens!G1197-base_fy-v_off</f>
        <v>1.74794520547945</v>
      </c>
      <c r="H1348" s="8" t="n">
        <f aca="false">Sens!H1197-base_fy-v_off</f>
        <v>2.74794520547945</v>
      </c>
      <c r="I1348" s="8" t="n">
        <f aca="false">Sens!I1197-base_fy-v_off</f>
        <v>3.74794520547945</v>
      </c>
      <c r="J1348" s="8" t="n">
        <f aca="false">Sens!J1197-base_fy-v_off</f>
        <v>4.74794520547945</v>
      </c>
      <c r="K1348" s="8" t="n">
        <f aca="false">Sens!K1197-base_fy-v_off</f>
        <v>5.74794520547945</v>
      </c>
    </row>
    <row r="1349" customFormat="false" ht="15" hidden="false" customHeight="false" outlineLevel="0" collapsed="false">
      <c r="A1349" s="1" t="s">
        <v>1219</v>
      </c>
      <c r="B1349" s="0" t="s">
        <v>229</v>
      </c>
      <c r="F1349" s="15" t="n">
        <f aca="false">1/(1+wacc)^Sens!F1347</f>
        <v>0.964022703286649</v>
      </c>
      <c r="G1349" s="15" t="n">
        <f aca="false">1/(1+wacc)^Sens!G1347</f>
        <v>0.884910302296739</v>
      </c>
      <c r="H1349" s="15" t="n">
        <f aca="false">1/(1+wacc)^Sens!H1347</f>
        <v>0.802322009770358</v>
      </c>
      <c r="I1349" s="15" t="n">
        <f aca="false">1/(1+wacc)^Sens!I1347</f>
        <v>0.727441646561469</v>
      </c>
      <c r="J1349" s="15" t="n">
        <f aca="false">1/(1+wacc)^Sens!J1347</f>
        <v>0.659549834988973</v>
      </c>
      <c r="K1349" s="15" t="n">
        <f aca="false">1/(1+wacc)^Sens!K1347</f>
        <v>0.597994336576966</v>
      </c>
    </row>
    <row r="1350" customFormat="false" ht="17.15" hidden="false" customHeight="false" outlineLevel="0" collapsed="false">
      <c r="A1350" s="1" t="s">
        <v>1220</v>
      </c>
      <c r="B1350" s="0" t="s">
        <v>98</v>
      </c>
      <c r="F1350" s="6" t="n">
        <f aca="false">Q!$I$35-Q!$I$39-Q!$I$43</f>
        <v>9.666</v>
      </c>
      <c r="L1350" s="12" t="s">
        <v>1221</v>
      </c>
    </row>
    <row r="1351" customFormat="false" ht="17.15" hidden="false" customHeight="false" outlineLevel="0" collapsed="false">
      <c r="A1351" s="1" t="s">
        <v>1222</v>
      </c>
      <c r="B1351" s="0" t="s">
        <v>98</v>
      </c>
      <c r="F1351" s="6" t="n">
        <f aca="false">Sens!F1322-Sens!F1319-Sens!F1326+Sens!F1304*(1-tax_f)*(1-v_off)-Sens!F1350</f>
        <v>-11.0131270260552</v>
      </c>
      <c r="G1351" s="6" t="n">
        <f aca="false">Sens!G1322-Sens!G1319-Sens!G1326+Sens!G1304*(1-tax_f)</f>
        <v>10.3877889840926</v>
      </c>
      <c r="H1351" s="6" t="n">
        <f aca="false">Sens!H1322-Sens!H1319-Sens!H1326+Sens!H1304*(1-tax_f)</f>
        <v>44.9332793185428</v>
      </c>
      <c r="I1351" s="6" t="n">
        <f aca="false">Sens!I1322-Sens!I1319-Sens!I1326+Sens!I1304*(1-tax_f)</f>
        <v>114.077522947149</v>
      </c>
      <c r="J1351" s="6" t="n">
        <f aca="false">Sens!J1322-Sens!J1319-Sens!J1326+Sens!J1304*(1-tax_f)</f>
        <v>186.189453323667</v>
      </c>
      <c r="K1351" s="6" t="n">
        <f aca="false">Sens!K1322-Sens!K1319-Sens!K1326+Sens!K1304*(1-tax_f)</f>
        <v>220.587071136842</v>
      </c>
      <c r="L1351" s="1" t="s">
        <v>1223</v>
      </c>
    </row>
    <row r="1352" customFormat="false" ht="15" hidden="false" customHeight="false" outlineLevel="0" collapsed="false">
      <c r="A1352" s="1" t="s">
        <v>1224</v>
      </c>
      <c r="B1352" s="0" t="s">
        <v>98</v>
      </c>
      <c r="F1352" s="6" t="n">
        <f aca="false">Sens!F1351*Sens!F1349</f>
        <v>-10.616904487297</v>
      </c>
      <c r="G1352" s="6" t="n">
        <f aca="false">Sens!G1351*Sens!G1349</f>
        <v>9.19226149010815</v>
      </c>
      <c r="H1352" s="6" t="n">
        <f aca="false">Sens!H1351*Sens!H1349</f>
        <v>36.0509589684261</v>
      </c>
      <c r="I1352" s="6" t="n">
        <f aca="false">Sens!I1351*Sens!I1349</f>
        <v>82.9847411283278</v>
      </c>
      <c r="J1352" s="6" t="n">
        <f aca="false">Sens!J1351*Sens!J1349</f>
        <v>122.801223216312</v>
      </c>
      <c r="K1352" s="6" t="n">
        <f aca="false">Sens!K1351*Sens!K1349</f>
        <v>131.909819261932</v>
      </c>
    </row>
    <row r="1353" customFormat="false" ht="17.15" hidden="false" customHeight="false" outlineLevel="0" collapsed="false">
      <c r="A1353" s="1" t="s">
        <v>1225</v>
      </c>
      <c r="B1353" s="0" t="s">
        <v>98</v>
      </c>
      <c r="C1353" s="6" t="n">
        <f aca="false">SUM(Sens!F1352:K1352)</f>
        <v>372.322099577808</v>
      </c>
    </row>
    <row r="1354" customFormat="false" ht="17.15" hidden="false" customHeight="false" outlineLevel="0" collapsed="false">
      <c r="A1354" s="1" t="s">
        <v>1226</v>
      </c>
      <c r="B1354" s="0" t="s">
        <v>98</v>
      </c>
      <c r="C1354" s="6" t="n">
        <f aca="false">Sens!K1290*(1+g_tv)*(1-tax_f)</f>
        <v>230.037213582244</v>
      </c>
    </row>
    <row r="1355" customFormat="false" ht="17.15" hidden="false" customHeight="false" outlineLevel="0" collapsed="false">
      <c r="A1355" s="1" t="s">
        <v>1227</v>
      </c>
      <c r="B1355" s="0" t="s">
        <v>98</v>
      </c>
      <c r="C1355" s="6" t="n">
        <f aca="false">Sens!$C$1354*(1-g_tv/(wacc+ronic_prem))</f>
        <v>162.994810642024</v>
      </c>
    </row>
    <row r="1356" customFormat="false" ht="17.15" hidden="false" customHeight="false" outlineLevel="0" collapsed="false">
      <c r="A1356" s="1" t="s">
        <v>1228</v>
      </c>
      <c r="B1356" s="0" t="s">
        <v>98</v>
      </c>
      <c r="C1356" s="6" t="n">
        <f aca="false">Sens!$C$1355/(wacc-g_tv)</f>
        <v>2234.746764674</v>
      </c>
    </row>
    <row r="1357" customFormat="false" ht="15" hidden="false" customHeight="false" outlineLevel="0" collapsed="false">
      <c r="A1357" s="1" t="s">
        <v>1229</v>
      </c>
      <c r="B1357" s="0" t="s">
        <v>98</v>
      </c>
      <c r="C1357" s="6" t="n">
        <f aca="false">Sens!$C$1356/(1+wacc)^Sens!K1348</f>
        <v>1272.47751094898</v>
      </c>
    </row>
    <row r="1358" customFormat="false" ht="17.15" hidden="false" customHeight="false" outlineLevel="0" collapsed="false">
      <c r="A1358" s="0" t="s">
        <v>1230</v>
      </c>
      <c r="B1358" s="0" t="s">
        <v>98</v>
      </c>
      <c r="C1358" s="6" t="n">
        <f aca="false">Sens!$C$1353+Sens!$C$1357</f>
        <v>1644.79961052679</v>
      </c>
    </row>
    <row r="1359" customFormat="false" ht="15" hidden="false" customHeight="false" outlineLevel="0" collapsed="false">
      <c r="A1359" s="1" t="s">
        <v>1145</v>
      </c>
      <c r="B1359" s="0" t="s">
        <v>168</v>
      </c>
      <c r="C1359" s="7" t="n">
        <f aca="false">Sens!$C$1357/Sens!$C$1358</f>
        <v>0.773636802200748</v>
      </c>
    </row>
    <row r="1360" customFormat="false" ht="17.15" hidden="false" customHeight="false" outlineLevel="0" collapsed="false">
      <c r="A1360" s="1" t="s">
        <v>1231</v>
      </c>
      <c r="B1360" s="0" t="s">
        <v>98</v>
      </c>
      <c r="C1360" s="6" t="n">
        <f aca="false">Sens!$C$1358+cash_val-debt_val-fl_val+oai_v</f>
        <v>1760.65061052679</v>
      </c>
    </row>
    <row r="1361" customFormat="false" ht="17.15" hidden="false" customHeight="false" outlineLevel="0" collapsed="false">
      <c r="A1361" s="0" t="s">
        <v>1153</v>
      </c>
      <c r="B1361" s="0" t="s">
        <v>75</v>
      </c>
      <c r="C1361" s="5" t="n">
        <f aca="false">Sens!$C$1360/shd_val</f>
        <v>236.455897196722</v>
      </c>
    </row>
    <row r="1362" customFormat="false" ht="15" hidden="false" customHeight="false" outlineLevel="0" collapsed="false">
      <c r="A1362" s="1" t="s">
        <v>1232</v>
      </c>
      <c r="B1362" s="0" t="s">
        <v>75</v>
      </c>
      <c r="C1362" s="8" t="n">
        <f aca="false">div_rem27+Sens!G1330*roll_div_q/q_per_yr</f>
        <v>3.9795</v>
      </c>
    </row>
    <row r="1363" customFormat="false" ht="17.15" hidden="false" customHeight="false" outlineLevel="0" collapsed="false">
      <c r="A1363" s="0" t="s">
        <v>1233</v>
      </c>
      <c r="B1363" s="0" t="s">
        <v>75</v>
      </c>
      <c r="C1363" s="5" t="n">
        <f aca="false">Sens!$C$1361*(1+wacc)^t_roll-Sens!$C$1362</f>
        <v>258.854426513659</v>
      </c>
    </row>
    <row r="1364" customFormat="false" ht="17.15" hidden="false" customHeight="false" outlineLevel="0" collapsed="false">
      <c r="A1364" s="1" t="s">
        <v>1234</v>
      </c>
      <c r="B1364" s="0" t="s">
        <v>168</v>
      </c>
      <c r="F1364" s="7" t="n">
        <f aca="false">Sens!F1316/(Sens!F1261-Sens!F1216)</f>
        <v>0.068440564536859</v>
      </c>
      <c r="G1364" s="7" t="n">
        <f aca="false">Sens!G1316/(Sens!G1261-Sens!G1216)</f>
        <v>0.0661514469141174</v>
      </c>
      <c r="H1364" s="7" t="n">
        <f aca="false">Sens!H1316/(Sens!H1261-Sens!H1216)</f>
        <v>0.0650386588053744</v>
      </c>
      <c r="I1364" s="7" t="n">
        <f aca="false">Sens!I1316/(Sens!I1261-Sens!I1216)</f>
        <v>0.0649661301003721</v>
      </c>
      <c r="J1364" s="7" t="n">
        <f aca="false">Sens!J1316/(Sens!J1261-Sens!J1216)</f>
        <v>0.0657272160198643</v>
      </c>
      <c r="K1364" s="7" t="n">
        <f aca="false">Sens!K1316/(Sens!K1261-Sens!K1216)</f>
        <v>0.0670920226036574</v>
      </c>
    </row>
    <row r="1365" customFormat="false" ht="17.15" hidden="false" customHeight="false" outlineLevel="0" collapsed="false">
      <c r="A1365" s="0" t="s">
        <v>1235</v>
      </c>
      <c r="B1365" s="0" t="s">
        <v>98</v>
      </c>
      <c r="F1365" s="6" t="n">
        <f aca="false">Sens!F1246*(al_m365+Sens!F1364+sbc_r)</f>
        <v>82.890709163785</v>
      </c>
      <c r="G1365" s="6" t="n">
        <f aca="false">Sens!G1246*(al_m365+Sens!G1364+sbc_r)</f>
        <v>93.2853486964477</v>
      </c>
      <c r="H1365" s="6" t="n">
        <f aca="false">Sens!H1246*(al_m365+Sens!H1364+sbc_r)</f>
        <v>103.841610244228</v>
      </c>
      <c r="I1365" s="6" t="n">
        <f aca="false">Sens!I1246*(al_m365+Sens!I1364+sbc_r)</f>
        <v>113.882799879977</v>
      </c>
      <c r="J1365" s="6" t="n">
        <f aca="false">Sens!J1246*(al_m365+Sens!J1364+sbc_r)</f>
        <v>123.219520165755</v>
      </c>
      <c r="K1365" s="6" t="n">
        <f aca="false">Sens!K1246*(al_m365+Sens!K1364+sbc_r)</f>
        <v>132.158929869448</v>
      </c>
      <c r="L1365" s="12" t="s">
        <v>1236</v>
      </c>
    </row>
    <row r="1366" customFormat="false" ht="17.15" hidden="false" customHeight="false" outlineLevel="0" collapsed="false">
      <c r="A1366" s="0" t="s">
        <v>1237</v>
      </c>
      <c r="B1366" s="0" t="s">
        <v>98</v>
      </c>
      <c r="F1366" s="6" t="n">
        <f aca="false">Sens!F1247*(al_lic+Sens!F1364+sbc_r)</f>
        <v>32.8508946872569</v>
      </c>
      <c r="G1366" s="6" t="n">
        <f aca="false">Sens!G1247*(al_lic+Sens!G1364+sbc_r)</f>
        <v>34.1503535836428</v>
      </c>
      <c r="H1366" s="6" t="n">
        <f aca="false">Sens!H1247*(al_lic+Sens!H1364+sbc_r)</f>
        <v>35.359499792403</v>
      </c>
      <c r="I1366" s="6" t="n">
        <f aca="false">Sens!I1247*(al_lic+Sens!I1364+sbc_r)</f>
        <v>36.4586288313785</v>
      </c>
      <c r="J1366" s="6" t="n">
        <f aca="false">Sens!J1247*(al_lic+Sens!J1364+sbc_r)</f>
        <v>37.4248498042381</v>
      </c>
      <c r="K1366" s="6" t="n">
        <f aca="false">Sens!K1247*(al_lic+Sens!K1364+sbc_r)</f>
        <v>38.2344165886514</v>
      </c>
    </row>
    <row r="1367" customFormat="false" ht="17.15" hidden="false" customHeight="false" outlineLevel="0" collapsed="false">
      <c r="A1367" s="0" t="s">
        <v>1238</v>
      </c>
      <c r="B1367" s="0" t="s">
        <v>98</v>
      </c>
      <c r="F1367" s="6" t="n">
        <f aca="false">Sens!F1249*(al_ind+Sens!F1364+sbc_r)</f>
        <v>9.05642236222053</v>
      </c>
      <c r="G1367" s="6" t="n">
        <f aca="false">Sens!G1249*(al_ind+Sens!G1364+sbc_r)</f>
        <v>9.84395042589235</v>
      </c>
      <c r="H1367" s="6" t="n">
        <f aca="false">Sens!H1249*(al_ind+Sens!H1364+sbc_r)</f>
        <v>10.6742333052307</v>
      </c>
      <c r="I1367" s="6" t="n">
        <f aca="false">Sens!I1249*(al_ind+Sens!I1364+sbc_r)</f>
        <v>11.5427639870428</v>
      </c>
      <c r="J1367" s="6" t="n">
        <f aca="false">Sens!J1249*(al_ind+Sens!J1364+sbc_r)</f>
        <v>12.4409749811124</v>
      </c>
      <c r="K1367" s="6" t="n">
        <f aca="false">Sens!K1249*(al_ind+Sens!K1364+sbc_r)</f>
        <v>13.3569130623405</v>
      </c>
    </row>
    <row r="1368" customFormat="false" ht="17.15" hidden="false" customHeight="false" outlineLevel="0" collapsed="false">
      <c r="A1368" s="0" t="s">
        <v>1239</v>
      </c>
      <c r="B1368" s="0" t="s">
        <v>98</v>
      </c>
      <c r="F1368" s="6" t="n">
        <f aca="false">Sens!F1251*(al_fro+Sens!F1364+sbc_r)</f>
        <v>3.55246256518684</v>
      </c>
      <c r="G1368" s="6" t="n">
        <f aca="false">Sens!G1251*(al_fro+Sens!G1364+sbc_r)</f>
        <v>3.76658393916983</v>
      </c>
      <c r="H1368" s="6" t="n">
        <f aca="false">Sens!H1251*(al_fro+Sens!H1364+sbc_r)</f>
        <v>4.00867559103233</v>
      </c>
      <c r="I1368" s="6" t="n">
        <f aca="false">Sens!I1251*(al_fro+Sens!I1364+sbc_r)</f>
        <v>4.28107238274692</v>
      </c>
      <c r="J1368" s="6" t="n">
        <f aca="false">Sens!J1251*(al_fro+Sens!J1364+sbc_r)</f>
        <v>4.58543278384549</v>
      </c>
      <c r="K1368" s="6" t="n">
        <f aca="false">Sens!K1251*(al_fro+Sens!K1364+sbc_r)</f>
        <v>4.92302469380532</v>
      </c>
    </row>
    <row r="1369" customFormat="false" ht="17.15" hidden="false" customHeight="false" outlineLevel="0" collapsed="false">
      <c r="A1369" s="0" t="s">
        <v>1240</v>
      </c>
      <c r="B1369" s="0" t="s">
        <v>98</v>
      </c>
      <c r="F1369" s="6" t="n">
        <f aca="false">Sens!F1254*(al_srch+Sens!F1364+sbc_r)</f>
        <v>11.1841571396096</v>
      </c>
      <c r="G1369" s="6" t="n">
        <f aca="false">Sens!G1254*(al_srch+Sens!G1364+sbc_r)</f>
        <v>12.2714119629761</v>
      </c>
      <c r="H1369" s="6" t="n">
        <f aca="false">Sens!H1254*(al_srch+Sens!H1364+sbc_r)</f>
        <v>13.4011020146107</v>
      </c>
      <c r="I1369" s="6" t="n">
        <f aca="false">Sens!I1254*(al_srch+Sens!I1364+sbc_r)</f>
        <v>14.56060726653</v>
      </c>
      <c r="J1369" s="6" t="n">
        <f aca="false">Sens!J1254*(al_srch+Sens!J1364+sbc_r)</f>
        <v>15.7312702874946</v>
      </c>
      <c r="K1369" s="6" t="n">
        <f aca="false">Sens!K1254*(al_srch+Sens!K1364+sbc_r)</f>
        <v>16.889448769831</v>
      </c>
    </row>
    <row r="1370" customFormat="false" ht="17.15" hidden="false" customHeight="false" outlineLevel="0" collapsed="false">
      <c r="A1370" s="0" t="s">
        <v>1241</v>
      </c>
      <c r="B1370" s="0" t="s">
        <v>98</v>
      </c>
      <c r="F1370" s="6" t="n">
        <f aca="false">Sens!F1222-Sens!F1223+Sens!F1304</f>
        <v>31.3223535642066</v>
      </c>
      <c r="G1370" s="6" t="n">
        <f aca="false">Sens!G1222-Sens!G1223+Sens!G1304</f>
        <v>57.961691185792</v>
      </c>
      <c r="H1370" s="6" t="n">
        <f aca="false">Sens!H1222-Sens!H1223+Sens!H1304</f>
        <v>82.1972799895517</v>
      </c>
      <c r="I1370" s="6" t="n">
        <f aca="false">Sens!I1222-Sens!I1223+Sens!I1304</f>
        <v>109.342422933366</v>
      </c>
      <c r="J1370" s="6" t="n">
        <f aca="false">Sens!J1222-Sens!J1223+Sens!J1304</f>
        <v>128.420993614508</v>
      </c>
      <c r="K1370" s="6" t="n">
        <f aca="false">Sens!K1222-Sens!K1223+Sens!K1304</f>
        <v>140.232449235503</v>
      </c>
    </row>
    <row r="1371" customFormat="false" ht="17.15" hidden="false" customHeight="false" outlineLevel="0" collapsed="false">
      <c r="A1371" s="0" t="s">
        <v>1242</v>
      </c>
      <c r="B1371" s="0" t="s">
        <v>98</v>
      </c>
      <c r="F1371" s="6" t="n">
        <f aca="false">Sens!F1283+Sens!F1304+Sens!F1234+Sens!F1364*(Sens!F1253-Sens!F1216)+sbc_r*Sens!F1253</f>
        <v>228.865385387159</v>
      </c>
      <c r="G1371" s="6" t="n">
        <f aca="false">Sens!G1283+Sens!G1304+Sens!G1234+Sens!G1364*(Sens!G1253-Sens!G1216)+sbc_r*Sens!G1253</f>
        <v>274.859800440649</v>
      </c>
      <c r="H1371" s="6" t="n">
        <f aca="false">Sens!H1283+Sens!H1304+Sens!H1234+Sens!H1364*(Sens!H1253-Sens!H1216)+sbc_r*Sens!H1253</f>
        <v>324.620155645373</v>
      </c>
      <c r="I1371" s="6" t="n">
        <f aca="false">Sens!I1283+Sens!I1304+Sens!I1234+Sens!I1364*(Sens!I1253-Sens!I1216)+sbc_r*Sens!I1253</f>
        <v>376.643157755866</v>
      </c>
      <c r="J1371" s="6" t="n">
        <f aca="false">Sens!J1283+Sens!J1304+Sens!J1234+Sens!J1364*(Sens!J1253-Sens!J1216)+sbc_r*Sens!J1253</f>
        <v>418.701428654458</v>
      </c>
      <c r="K1371" s="6" t="n">
        <f aca="false">Sens!K1283+Sens!K1304+Sens!K1234+Sens!K1364*(Sens!K1253-Sens!K1216)+sbc_r*Sens!K1253</f>
        <v>451.156836326765</v>
      </c>
    </row>
    <row r="1372" customFormat="false" ht="17.15" hidden="false" customHeight="false" outlineLevel="0" collapsed="false">
      <c r="A1372" s="0" t="s">
        <v>1243</v>
      </c>
      <c r="B1372" s="0" t="s">
        <v>98</v>
      </c>
      <c r="F1372" s="6" t="n">
        <f aca="false">Sens!F1371-Sens!F1365-Sens!F1366-Sens!F1367-Sens!F1368-Sens!F1370</f>
        <v>69.192543044503</v>
      </c>
      <c r="G1372" s="6" t="n">
        <f aca="false">Sens!G1371-Sens!G1365-Sens!G1366-Sens!G1367-Sens!G1368-Sens!G1370</f>
        <v>75.8518726097039</v>
      </c>
      <c r="H1372" s="6" t="n">
        <f aca="false">Sens!H1371-Sens!H1365-Sens!H1366-Sens!H1367-Sens!H1368-Sens!H1370</f>
        <v>88.5388567229276</v>
      </c>
      <c r="I1372" s="6" t="n">
        <f aca="false">Sens!I1371-Sens!I1365-Sens!I1366-Sens!I1367-Sens!I1368-Sens!I1370</f>
        <v>101.135469741356</v>
      </c>
      <c r="J1372" s="6" t="n">
        <f aca="false">Sens!J1371-Sens!J1365-Sens!J1366-Sens!J1367-Sens!J1368-Sens!J1370</f>
        <v>112.609657304999</v>
      </c>
      <c r="K1372" s="6" t="n">
        <f aca="false">Sens!K1371-Sens!K1365-Sens!K1366-Sens!K1367-Sens!K1368-Sens!K1370</f>
        <v>122.251102877017</v>
      </c>
    </row>
    <row r="1373" customFormat="false" ht="17.15" hidden="false" customHeight="false" outlineLevel="0" collapsed="false">
      <c r="A1373" s="0" t="s">
        <v>1244</v>
      </c>
      <c r="B1373" s="0" t="s">
        <v>98</v>
      </c>
      <c r="F1373" s="6" t="n">
        <f aca="false">Sens!F1285+Sens!F1364*Sens!F1260+sbc_r*Sens!F1260</f>
        <v>26.6221262840394</v>
      </c>
      <c r="G1373" s="6" t="n">
        <f aca="false">Sens!G1285+Sens!G1364*Sens!G1260+sbc_r*Sens!G1260</f>
        <v>26.493167578299</v>
      </c>
      <c r="H1373" s="6" t="n">
        <f aca="false">Sens!H1285+Sens!H1364*Sens!H1260+sbc_r*Sens!H1260</f>
        <v>27.3913950061887</v>
      </c>
      <c r="I1373" s="6" t="n">
        <f aca="false">Sens!I1285+Sens!I1364*Sens!I1260+sbc_r*Sens!I1260</f>
        <v>28.5145919117432</v>
      </c>
      <c r="J1373" s="6" t="n">
        <f aca="false">Sens!J1285+Sens!J1364*Sens!J1260+sbc_r*Sens!J1260</f>
        <v>29.8318442191293</v>
      </c>
      <c r="K1373" s="6" t="n">
        <f aca="false">Sens!K1285+Sens!K1364*Sens!K1260+sbc_r*Sens!K1260</f>
        <v>31.3143083245964</v>
      </c>
    </row>
    <row r="1374" customFormat="false" ht="17.15" hidden="false" customHeight="false" outlineLevel="0" collapsed="false">
      <c r="A1374" s="0" t="s">
        <v>1245</v>
      </c>
      <c r="B1374" s="0" t="s">
        <v>98</v>
      </c>
      <c r="F1374" s="6" t="n">
        <f aca="false">(Sens!F1373-Sens!F1369)*Sens!F1256/(Sens!F1256+Sens!F1258)</f>
        <v>8.71914140791253</v>
      </c>
      <c r="G1374" s="6" t="n">
        <f aca="false">(Sens!G1373-Sens!G1369)*Sens!G1256/(Sens!G1256+Sens!G1258)</f>
        <v>7.89419720445469</v>
      </c>
      <c r="H1374" s="6" t="n">
        <f aca="false">(Sens!H1373-Sens!H1369)*Sens!H1256/(Sens!H1256+Sens!H1258)</f>
        <v>7.66455287200743</v>
      </c>
      <c r="I1374" s="6" t="n">
        <f aca="false">(Sens!I1373-Sens!I1369)*Sens!I1256/(Sens!I1256+Sens!I1258)</f>
        <v>7.57793534478269</v>
      </c>
      <c r="J1374" s="6" t="n">
        <f aca="false">(Sens!J1373-Sens!J1369)*Sens!J1256/(Sens!J1256+Sens!J1258)</f>
        <v>7.6241335119654</v>
      </c>
      <c r="K1374" s="6" t="n">
        <f aca="false">(Sens!K1373-Sens!K1369)*Sens!K1256/(Sens!K1256+Sens!K1258)</f>
        <v>7.79947367178776</v>
      </c>
    </row>
    <row r="1375" customFormat="false" ht="17.15" hidden="false" customHeight="false" outlineLevel="0" collapsed="false">
      <c r="A1375" s="0" t="s">
        <v>1246</v>
      </c>
      <c r="B1375" s="0" t="s">
        <v>98</v>
      </c>
      <c r="F1375" s="6" t="n">
        <f aca="false">Sens!F1373-Sens!F1369-Sens!F1374</f>
        <v>6.71882773651727</v>
      </c>
      <c r="G1375" s="6" t="n">
        <f aca="false">Sens!G1373-Sens!G1369-Sens!G1374</f>
        <v>6.32755841086829</v>
      </c>
      <c r="H1375" s="6" t="n">
        <f aca="false">Sens!H1373-Sens!H1369-Sens!H1374</f>
        <v>6.32574011957058</v>
      </c>
      <c r="I1375" s="6" t="n">
        <f aca="false">Sens!I1373-Sens!I1369-Sens!I1374</f>
        <v>6.37604930043052</v>
      </c>
      <c r="J1375" s="6" t="n">
        <f aca="false">Sens!J1373-Sens!J1369-Sens!J1374</f>
        <v>6.47644041966932</v>
      </c>
      <c r="K1375" s="6" t="n">
        <f aca="false">Sens!K1373-Sens!K1369-Sens!K1374</f>
        <v>6.62538588297772</v>
      </c>
    </row>
    <row r="1376" customFormat="false" ht="17.15" hidden="false" customHeight="false" outlineLevel="0" collapsed="false">
      <c r="A1376" s="0" t="s">
        <v>1247</v>
      </c>
      <c r="B1376" s="0" t="s">
        <v>98</v>
      </c>
      <c r="F1376" s="6" t="n">
        <f aca="false">Sens!F1370-tax_f*(Sens!F1370-Sens!F1234)-Sens!F1231</f>
        <v>-136.480158295084</v>
      </c>
      <c r="G1376" s="6" t="n">
        <f aca="false">Sens!G1370-tax_f*(Sens!G1370-Sens!G1234)-Sens!G1231</f>
        <v>-133.428224569955</v>
      </c>
      <c r="H1376" s="6" t="n">
        <f aca="false">Sens!H1370-tax_f*(Sens!H1370-Sens!H1234)-Sens!H1231</f>
        <v>-113.228161940582</v>
      </c>
      <c r="I1376" s="6" t="n">
        <f aca="false">Sens!I1370-tax_f*(Sens!I1370-Sens!I1234)-Sens!I1231</f>
        <v>-58.294693336008</v>
      </c>
      <c r="J1376" s="6" t="n">
        <f aca="false">Sens!J1370-tax_f*(Sens!J1370-Sens!J1234)-Sens!J1231</f>
        <v>0.209998305585316</v>
      </c>
      <c r="K1376" s="6" t="n">
        <f aca="false">Sens!K1370-tax_f*(Sens!K1370-Sens!K1234)-Sens!K1231</f>
        <v>21.8256402338564</v>
      </c>
    </row>
    <row r="1377" customFormat="false" ht="17.15" hidden="false" customHeight="false" outlineLevel="0" collapsed="false">
      <c r="A1377" s="0" t="s">
        <v>1248</v>
      </c>
      <c r="B1377" s="0" t="s">
        <v>98</v>
      </c>
      <c r="G1377" s="6" t="n">
        <f aca="false">Sens!G1376/(1+wacc)^(Sens!G1347-Sens!F1348)</f>
        <v>-127.04934625533</v>
      </c>
      <c r="H1377" s="6" t="n">
        <f aca="false">Sens!H1376/(1+wacc)^(Sens!H1347-Sens!F1348)</f>
        <v>-97.7526725355485</v>
      </c>
      <c r="I1377" s="6" t="n">
        <f aca="false">Sens!I1376/(1+wacc)^(Sens!I1347-Sens!F1348)</f>
        <v>-45.6302301517256</v>
      </c>
      <c r="J1377" s="6" t="n">
        <f aca="false">Sens!J1376/(1+wacc)^(Sens!J1347-Sens!F1348)</f>
        <v>0.149035209621245</v>
      </c>
      <c r="K1377" s="6" t="n">
        <f aca="false">Sens!K1376/(1+wacc)^(Sens!K1347-Sens!F1348)</f>
        <v>14.0439585595001</v>
      </c>
      <c r="L1377" s="1" t="s">
        <v>1249</v>
      </c>
    </row>
    <row r="1378" customFormat="false" ht="17.15" hidden="false" customHeight="false" outlineLevel="0" collapsed="false">
      <c r="A1378" s="0" t="s">
        <v>1250</v>
      </c>
      <c r="B1378" s="0" t="s">
        <v>98</v>
      </c>
      <c r="C1378" s="6" t="n">
        <f aca="false">(Sens!K1370-Sens!K1234)*(1-tax_f)*(1+g_tv)*(1-g_tv/(wacc+ronic_prem))/(wacc-g_tv)/(1+wacc)^(Sens!K1348-Sens!F1348)</f>
        <v>-13.6359034511562</v>
      </c>
    </row>
    <row r="1379" customFormat="false" ht="17.15" hidden="false" customHeight="false" outlineLevel="0" collapsed="false">
      <c r="A1379" s="1" t="s">
        <v>1251</v>
      </c>
      <c r="B1379" s="0" t="s">
        <v>98</v>
      </c>
      <c r="C1379" s="6" t="n">
        <f aca="false">(SUM(Sens!G1377:K1377)+Sens!$C$1378)*(1+wacc)^(t_roll-Sens!F1348)</f>
        <v>-278.784553773896</v>
      </c>
      <c r="L1379" s="12" t="s">
        <v>1252</v>
      </c>
    </row>
    <row r="1380" customFormat="false" ht="17.15" hidden="false" customHeight="false" outlineLevel="0" collapsed="false">
      <c r="A1380" s="1" t="s">
        <v>1253</v>
      </c>
      <c r="B1380" s="0" t="s">
        <v>98</v>
      </c>
      <c r="C1380" s="6" t="n">
        <f aca="false">(w_ntm28*Sens!G1222+(1-w_ntm28)*Sens!H1222)*m_ai</f>
        <v>269.191046240151</v>
      </c>
    </row>
    <row r="1381" customFormat="false" ht="17.15" hidden="false" customHeight="false" outlineLevel="0" collapsed="false">
      <c r="A1381" s="1" t="s">
        <v>1254</v>
      </c>
      <c r="B1381" s="0" t="s">
        <v>98</v>
      </c>
      <c r="C1381" s="6" t="n">
        <f aca="false">(w_ntm28*Sens!G1372+(1-w_ntm28)*Sens!H1372)*m_cloud</f>
        <v>1105.9169738589</v>
      </c>
    </row>
    <row r="1382" customFormat="false" ht="17.15" hidden="false" customHeight="false" outlineLevel="0" collapsed="false">
      <c r="A1382" s="1" t="s">
        <v>1255</v>
      </c>
      <c r="B1382" s="0" t="s">
        <v>98</v>
      </c>
      <c r="C1382" s="6" t="n">
        <f aca="false">(w_ntm28*Sens!G1365+(1-w_ntm28)*Sens!H1365)*m_sw</f>
        <v>1044.96372473238</v>
      </c>
    </row>
    <row r="1383" customFormat="false" ht="17.15" hidden="false" customHeight="false" outlineLevel="0" collapsed="false">
      <c r="A1383" s="1" t="s">
        <v>1256</v>
      </c>
      <c r="B1383" s="0" t="s">
        <v>98</v>
      </c>
      <c r="C1383" s="6" t="n">
        <f aca="false">(w_ntm28*Sens!G1366+(1-w_ntm28)*Sens!H1366)*m_sw</f>
        <v>373.117115926776</v>
      </c>
    </row>
    <row r="1384" customFormat="false" ht="17.15" hidden="false" customHeight="false" outlineLevel="0" collapsed="false">
      <c r="A1384" s="1" t="s">
        <v>1257</v>
      </c>
      <c r="B1384" s="0" t="s">
        <v>98</v>
      </c>
      <c r="C1384" s="6" t="n">
        <f aca="false">(w_ntm28*Sens!G1367+(1-w_ntm28)*Sens!H1367)*m_sw</f>
        <v>109.262737508192</v>
      </c>
    </row>
    <row r="1385" customFormat="false" ht="17.15" hidden="false" customHeight="false" outlineLevel="0" collapsed="false">
      <c r="A1385" s="1" t="s">
        <v>1258</v>
      </c>
      <c r="B1385" s="0" t="s">
        <v>98</v>
      </c>
      <c r="C1385" s="6" t="n">
        <f aca="false">(w_ntm28*Sens!G1368+(1-w_ntm28)*Sens!H1368)*m_sw</f>
        <v>41.538697723346</v>
      </c>
    </row>
    <row r="1386" customFormat="false" ht="17.15" hidden="false" customHeight="false" outlineLevel="0" collapsed="false">
      <c r="A1386" s="1" t="s">
        <v>1259</v>
      </c>
      <c r="B1386" s="0" t="s">
        <v>98</v>
      </c>
      <c r="C1386" s="6" t="n">
        <f aca="false">(w_ntm28*Sens!G1369+(1-w_ntm28)*Sens!H1369)*m_ads</f>
        <v>115.176062063389</v>
      </c>
    </row>
    <row r="1387" customFormat="false" ht="17.15" hidden="false" customHeight="false" outlineLevel="0" collapsed="false">
      <c r="A1387" s="1" t="s">
        <v>1260</v>
      </c>
      <c r="B1387" s="0" t="s">
        <v>98</v>
      </c>
      <c r="C1387" s="6" t="n">
        <f aca="false">(w_ntm28*Sens!G1374+(1-w_ntm28)*Sens!H1374)*m_game</f>
        <v>98.7501519244352</v>
      </c>
    </row>
    <row r="1388" customFormat="false" ht="17.15" hidden="false" customHeight="false" outlineLevel="0" collapsed="false">
      <c r="A1388" s="1" t="s">
        <v>1261</v>
      </c>
      <c r="B1388" s="0" t="s">
        <v>98</v>
      </c>
      <c r="C1388" s="6" t="n">
        <f aca="false">(w_ntm28*Sens!G1375+(1-w_ntm28)*Sens!H1375)*m_pc</f>
        <v>91.551120120307</v>
      </c>
    </row>
    <row r="1389" customFormat="false" ht="17.15" hidden="false" customHeight="false" outlineLevel="0" collapsed="false">
      <c r="A1389" s="1" t="s">
        <v>1262</v>
      </c>
      <c r="B1389" s="0" t="s">
        <v>98</v>
      </c>
      <c r="C1389" s="6" t="n">
        <f aca="false">Sens!$C$1379+Sens!$C$1381+Sens!$C$1382+Sens!$C$1383+Sens!$C$1384+Sens!$C$1385+Sens!$C$1386+Sens!$C$1387+Sens!$C$1388</f>
        <v>2701.49203008384</v>
      </c>
    </row>
    <row r="1390" customFormat="false" ht="17.15" hidden="false" customHeight="false" outlineLevel="0" collapsed="false">
      <c r="A1390" s="1" t="s">
        <v>1263</v>
      </c>
      <c r="B1390" s="0" t="s">
        <v>98</v>
      </c>
      <c r="C1390" s="6" t="n">
        <f aca="false">(Sens!G1351-Sens!G1376)*t_stub</f>
        <v>47.6759935343554</v>
      </c>
      <c r="L1390" s="1" t="s">
        <v>1264</v>
      </c>
    </row>
    <row r="1391" customFormat="false" ht="17.15" hidden="false" customHeight="false" outlineLevel="0" collapsed="false">
      <c r="A1391" s="1" t="s">
        <v>1173</v>
      </c>
      <c r="B1391" s="0" t="s">
        <v>98</v>
      </c>
      <c r="C1391" s="6" t="n">
        <f aca="false">Sens!F1338+oai_v-Sens!F1327+Sens!$C$1390</f>
        <v>153.613944868956</v>
      </c>
      <c r="L1391" s="1" t="s">
        <v>1265</v>
      </c>
    </row>
    <row r="1392" customFormat="false" ht="17.15" hidden="false" customHeight="false" outlineLevel="0" collapsed="false">
      <c r="A1392" s="1" t="s">
        <v>1266</v>
      </c>
      <c r="B1392" s="0" t="s">
        <v>75</v>
      </c>
      <c r="C1392" s="5" t="n">
        <f aca="false">(Sens!$C$1389+Sens!$C$1391)/(Sens!F1340+dil_gap)-Sens!G1330*roll_div_q/q_per_yr</f>
        <v>379.84443475891</v>
      </c>
      <c r="L1392" s="1" t="s">
        <v>1267</v>
      </c>
    </row>
    <row r="1393" customFormat="false" ht="17.15" hidden="false" customHeight="false" outlineLevel="0" collapsed="false">
      <c r="A1393" s="1" t="s">
        <v>1268</v>
      </c>
      <c r="B1393" s="0" t="s">
        <v>75</v>
      </c>
      <c r="C1393" s="5" t="n">
        <f aca="false">w_dcf*Sens!$C$1363+(1-w_dcf)*Sens!$C$1392</f>
        <v>319.349430636285</v>
      </c>
    </row>
    <row r="1394" customFormat="false" ht="17.15" hidden="false" customHeight="false" outlineLevel="0" collapsed="false">
      <c r="A1394" s="3" t="s">
        <v>1645</v>
      </c>
    </row>
    <row r="1395" customFormat="false" ht="15" hidden="false" customHeight="false" outlineLevel="0" collapsed="false">
      <c r="A1395" s="4" t="s">
        <v>43</v>
      </c>
      <c r="B1395" s="4" t="s">
        <v>65</v>
      </c>
      <c r="C1395" s="23" t="s">
        <v>942</v>
      </c>
      <c r="D1395" s="23" t="s">
        <v>943</v>
      </c>
      <c r="E1395" s="23" t="s">
        <v>944</v>
      </c>
      <c r="F1395" s="23" t="s">
        <v>945</v>
      </c>
      <c r="G1395" s="23" t="s">
        <v>946</v>
      </c>
      <c r="H1395" s="23" t="s">
        <v>947</v>
      </c>
      <c r="I1395" s="23" t="s">
        <v>948</v>
      </c>
      <c r="J1395" s="23" t="s">
        <v>949</v>
      </c>
      <c r="K1395" s="23" t="s">
        <v>950</v>
      </c>
      <c r="L1395" s="4" t="s">
        <v>47</v>
      </c>
    </row>
    <row r="1396" customFormat="false" ht="17.15" hidden="false" customHeight="false" outlineLevel="0" collapsed="false">
      <c r="A1396" s="1" t="s">
        <v>951</v>
      </c>
      <c r="B1396" s="1" t="s">
        <v>279</v>
      </c>
      <c r="C1396" s="21" t="n">
        <v>2024</v>
      </c>
      <c r="D1396" s="21" t="n">
        <v>2025</v>
      </c>
      <c r="E1396" s="21" t="n">
        <v>2026</v>
      </c>
      <c r="F1396" s="21" t="n">
        <v>2027</v>
      </c>
      <c r="G1396" s="21" t="n">
        <v>2028</v>
      </c>
      <c r="H1396" s="21" t="n">
        <v>2029</v>
      </c>
      <c r="I1396" s="21" t="n">
        <v>2030</v>
      </c>
      <c r="J1396" s="21" t="n">
        <v>2031</v>
      </c>
      <c r="K1396" s="21" t="n">
        <v>2032</v>
      </c>
    </row>
    <row r="1397" customFormat="false" ht="17.15" hidden="false" customHeight="false" outlineLevel="0" collapsed="false">
      <c r="A1397" s="1" t="s">
        <v>952</v>
      </c>
      <c r="B1397" s="0" t="s">
        <v>459</v>
      </c>
      <c r="F1397" s="30" t="n">
        <f aca="false">pace</f>
        <v>2726.5351</v>
      </c>
      <c r="G1397" s="30" t="n">
        <f aca="false">pace</f>
        <v>2726.5351</v>
      </c>
      <c r="H1397" s="30" t="n">
        <f aca="false">pace</f>
        <v>2726.5351</v>
      </c>
      <c r="I1397" s="30" t="n">
        <f aca="false">pace+(g_tv*Sens!H1398-pace)*MIN(1,(Sens!I1396-pace_y0)/(pace_y1-pace_y0))</f>
        <v>1931.98611966667</v>
      </c>
      <c r="J1397" s="30" t="n">
        <f aca="false">pace+(g_tv*Sens!I1398-pace)*MIN(1,(Sens!J1396-pace_y0)/(pace_y1-pace_y0))</f>
        <v>1176.07686172667</v>
      </c>
      <c r="K1397" s="30" t="n">
        <f aca="false">pace+(g_tv*Sens!J1398-pace)*MIN(1,(Sens!K1396-pace_y0)/(pace_y1-pace_y0))</f>
        <v>436.1300484418</v>
      </c>
      <c r="L1397" s="12" t="s">
        <v>953</v>
      </c>
    </row>
    <row r="1398" customFormat="false" ht="17.15" hidden="false" customHeight="false" outlineLevel="0" collapsed="false">
      <c r="A1398" s="1" t="s">
        <v>954</v>
      </c>
      <c r="B1398" s="0" t="s">
        <v>459</v>
      </c>
      <c r="C1398" s="30" t="n">
        <f aca="false">mw_ext_24</f>
        <v>640</v>
      </c>
      <c r="D1398" s="30" t="n">
        <f aca="false">mw_ext_25</f>
        <v>1630</v>
      </c>
      <c r="E1398" s="30" t="n">
        <f aca="false">mw_ext_26</f>
        <v>3250</v>
      </c>
      <c r="F1398" s="30" t="n">
        <f aca="false">Sens!E1398+Sens!F1397</f>
        <v>5976.5351</v>
      </c>
      <c r="G1398" s="30" t="n">
        <f aca="false">Sens!F1398+Sens!G1397</f>
        <v>8703.0702</v>
      </c>
      <c r="H1398" s="30" t="n">
        <f aca="false">Sens!G1398+Sens!H1397</f>
        <v>11429.6053</v>
      </c>
      <c r="I1398" s="30" t="n">
        <f aca="false">Sens!H1398+Sens!I1397</f>
        <v>13361.5914196667</v>
      </c>
      <c r="J1398" s="30" t="n">
        <f aca="false">Sens!I1398+Sens!J1397</f>
        <v>14537.6682813933</v>
      </c>
      <c r="K1398" s="30" t="n">
        <f aca="false">Sens!J1398+Sens!K1397</f>
        <v>14973.7983298351</v>
      </c>
      <c r="L1398" s="1" t="s">
        <v>955</v>
      </c>
    </row>
    <row r="1399" customFormat="false" ht="17.15" hidden="false" customHeight="false" outlineLevel="0" collapsed="false">
      <c r="A1399" s="1" t="s">
        <v>956</v>
      </c>
      <c r="B1399" s="0" t="s">
        <v>459</v>
      </c>
      <c r="C1399" s="30" t="n">
        <f aca="false">rent_ext_24</f>
        <v>150</v>
      </c>
      <c r="D1399" s="30" t="n">
        <f aca="false">rent_ext_25</f>
        <v>400</v>
      </c>
      <c r="E1399" s="30" t="n">
        <f aca="false">rent_ext_26</f>
        <v>550</v>
      </c>
      <c r="F1399" s="30" t="n">
        <f aca="false">rent_ext_f</f>
        <v>756</v>
      </c>
      <c r="G1399" s="30" t="n">
        <f aca="false">rent_ext_f</f>
        <v>756</v>
      </c>
      <c r="H1399" s="30" t="n">
        <f aca="false">rent_ext_f</f>
        <v>756</v>
      </c>
      <c r="I1399" s="30" t="n">
        <f aca="false">rent_ext_f</f>
        <v>756</v>
      </c>
      <c r="J1399" s="30" t="n">
        <f aca="false">rent_ext_f</f>
        <v>756</v>
      </c>
      <c r="K1399" s="30" t="n">
        <f aca="false">rent_ext_f</f>
        <v>756</v>
      </c>
      <c r="L1399" s="1" t="s">
        <v>957</v>
      </c>
    </row>
    <row r="1400" customFormat="false" ht="17.15" hidden="false" customHeight="false" outlineLevel="0" collapsed="false">
      <c r="A1400" s="1" t="s">
        <v>958</v>
      </c>
      <c r="B1400" s="0" t="s">
        <v>459</v>
      </c>
      <c r="C1400" s="30" t="n">
        <f aca="false">Sens!C1398-Sens!C1399</f>
        <v>490</v>
      </c>
      <c r="D1400" s="30" t="n">
        <f aca="false">Sens!D1398-Sens!D1399</f>
        <v>1230</v>
      </c>
      <c r="E1400" s="30" t="n">
        <f aca="false">Sens!E1398-Sens!E1399</f>
        <v>2700</v>
      </c>
      <c r="F1400" s="30" t="n">
        <f aca="false">Sens!F1398-Sens!F1399</f>
        <v>5220.5351</v>
      </c>
      <c r="G1400" s="30" t="n">
        <f aca="false">Sens!G1398-Sens!G1399</f>
        <v>7947.0702</v>
      </c>
      <c r="H1400" s="30" t="n">
        <f aca="false">Sens!H1398-Sens!H1399</f>
        <v>10673.6053</v>
      </c>
      <c r="I1400" s="30" t="n">
        <f aca="false">Sens!I1398-Sens!I1399</f>
        <v>12605.5914196667</v>
      </c>
      <c r="J1400" s="30" t="n">
        <f aca="false">Sens!J1398-Sens!J1399</f>
        <v>13781.6682813933</v>
      </c>
      <c r="K1400" s="30" t="n">
        <f aca="false">Sens!K1398-Sens!K1399</f>
        <v>14217.7983298351</v>
      </c>
    </row>
    <row r="1401" customFormat="false" ht="17.15" hidden="false" customHeight="false" outlineLevel="0" collapsed="false">
      <c r="A1401" s="1" t="s">
        <v>959</v>
      </c>
      <c r="B1401" s="0" t="s">
        <v>459</v>
      </c>
      <c r="C1401" s="30" t="n">
        <f aca="false">Sens!C1400/ext_sh</f>
        <v>816.666666666667</v>
      </c>
      <c r="D1401" s="30" t="n">
        <f aca="false">Sens!D1400/ext_sh</f>
        <v>2050</v>
      </c>
      <c r="E1401" s="30" t="n">
        <f aca="false">Sens!E1400/ext_sh</f>
        <v>4500</v>
      </c>
      <c r="F1401" s="30" t="n">
        <f aca="false">Sens!F1400/ext_sh</f>
        <v>8700.89183333333</v>
      </c>
      <c r="G1401" s="30" t="n">
        <f aca="false">Sens!G1400/ext_sh</f>
        <v>13245.117</v>
      </c>
      <c r="H1401" s="30" t="n">
        <f aca="false">Sens!H1400/ext_sh</f>
        <v>17789.3421666667</v>
      </c>
      <c r="I1401" s="30" t="n">
        <f aca="false">Sens!I1400/ext_sh</f>
        <v>21009.3190327778</v>
      </c>
      <c r="J1401" s="30" t="n">
        <f aca="false">Sens!J1400/ext_sh</f>
        <v>22969.4471356556</v>
      </c>
      <c r="K1401" s="30" t="n">
        <f aca="false">Sens!K1400/ext_sh</f>
        <v>23696.3305497252</v>
      </c>
      <c r="L1401" s="1" t="s">
        <v>960</v>
      </c>
    </row>
    <row r="1402" customFormat="false" ht="17.15" hidden="false" customHeight="false" outlineLevel="0" collapsed="false">
      <c r="A1402" s="1" t="s">
        <v>961</v>
      </c>
      <c r="B1402" s="0" t="s">
        <v>459</v>
      </c>
      <c r="C1402" s="30" t="n">
        <f aca="false">Sens!C1401-Sens!C1400</f>
        <v>326.666666666667</v>
      </c>
      <c r="D1402" s="30" t="n">
        <f aca="false">Sens!D1401-Sens!D1400</f>
        <v>820</v>
      </c>
      <c r="E1402" s="30" t="n">
        <f aca="false">Sens!E1401-Sens!E1400</f>
        <v>1800</v>
      </c>
      <c r="F1402" s="30" t="n">
        <f aca="false">Sens!F1401-Sens!F1400</f>
        <v>3480.35673333333</v>
      </c>
      <c r="G1402" s="30" t="n">
        <f aca="false">Sens!G1401-Sens!G1400</f>
        <v>5298.0468</v>
      </c>
      <c r="H1402" s="30" t="n">
        <f aca="false">Sens!H1401-Sens!H1400</f>
        <v>7115.73686666667</v>
      </c>
      <c r="I1402" s="30" t="n">
        <f aca="false">Sens!I1401-Sens!I1400</f>
        <v>8403.72761311111</v>
      </c>
      <c r="J1402" s="30" t="n">
        <f aca="false">Sens!J1401-Sens!J1400</f>
        <v>9187.77885426222</v>
      </c>
      <c r="K1402" s="30" t="n">
        <f aca="false">Sens!K1401-Sens!K1400</f>
        <v>9478.53221989009</v>
      </c>
    </row>
    <row r="1403" customFormat="false" ht="17.15" hidden="false" customHeight="false" outlineLevel="0" collapsed="false">
      <c r="A1403" s="1" t="s">
        <v>962</v>
      </c>
      <c r="B1403" s="0" t="s">
        <v>459</v>
      </c>
      <c r="C1403" s="30" t="n">
        <f aca="false">Sens!C1401</f>
        <v>816.666666666667</v>
      </c>
      <c r="D1403" s="30" t="n">
        <f aca="false">Sens!D1401-Sens!C1401</f>
        <v>1233.33333333333</v>
      </c>
      <c r="E1403" s="30" t="n">
        <f aca="false">Sens!E1401-Sens!D1401</f>
        <v>2450</v>
      </c>
      <c r="F1403" s="30" t="n">
        <f aca="false">Sens!F1401-Sens!E1401</f>
        <v>4200.89183333333</v>
      </c>
      <c r="G1403" s="30" t="n">
        <f aca="false">Sens!G1401-Sens!F1401</f>
        <v>4544.22516666667</v>
      </c>
      <c r="H1403" s="30" t="n">
        <f aca="false">Sens!H1401-Sens!G1401</f>
        <v>4544.22516666667</v>
      </c>
      <c r="I1403" s="30" t="n">
        <f aca="false">Sens!I1401-Sens!H1401</f>
        <v>3219.97686611111</v>
      </c>
      <c r="J1403" s="30" t="n">
        <f aca="false">Sens!J1401-Sens!I1401</f>
        <v>1960.12810287778</v>
      </c>
      <c r="K1403" s="30" t="n">
        <f aca="false">Sens!K1401-Sens!J1401</f>
        <v>726.883414069667</v>
      </c>
    </row>
    <row r="1404" customFormat="false" ht="17.15" hidden="false" customHeight="false" outlineLevel="0" collapsed="false">
      <c r="A1404" s="1" t="s">
        <v>963</v>
      </c>
      <c r="B1404" s="0" t="s">
        <v>459</v>
      </c>
      <c r="D1404" s="30" t="n">
        <f aca="false">Sens!D1398-Sens!C1398</f>
        <v>990</v>
      </c>
      <c r="E1404" s="30" t="n">
        <f aca="false">Sens!E1398-Sens!D1398</f>
        <v>1620</v>
      </c>
      <c r="F1404" s="30" t="n">
        <f aca="false">Sens!F1398-Sens!E1398</f>
        <v>2726.5351</v>
      </c>
      <c r="G1404" s="30" t="n">
        <f aca="false">Sens!G1398-Sens!F1398</f>
        <v>2726.5351</v>
      </c>
      <c r="H1404" s="30" t="n">
        <f aca="false">Sens!H1398-Sens!G1398</f>
        <v>2726.5351</v>
      </c>
      <c r="I1404" s="30" t="n">
        <f aca="false">Sens!I1398-Sens!H1398</f>
        <v>1931.98611966667</v>
      </c>
      <c r="J1404" s="30" t="n">
        <f aca="false">Sens!J1398-Sens!I1398</f>
        <v>1176.07686172667</v>
      </c>
      <c r="K1404" s="30" t="n">
        <f aca="false">Sens!K1398-Sens!J1398</f>
        <v>436.130048441799</v>
      </c>
    </row>
    <row r="1405" customFormat="false" ht="17.15" hidden="false" customHeight="false" outlineLevel="0" collapsed="false">
      <c r="A1405" s="1" t="s">
        <v>964</v>
      </c>
      <c r="B1405" s="0" t="s">
        <v>459</v>
      </c>
      <c r="F1405" s="30" t="n">
        <f aca="false">Sens!F1424*ext_sh</f>
        <v>0</v>
      </c>
      <c r="G1405" s="30" t="n">
        <f aca="false">Sens!G1424*ext_sh</f>
        <v>0</v>
      </c>
      <c r="H1405" s="30" t="n">
        <f aca="false">Sens!H1424*ext_sh</f>
        <v>0</v>
      </c>
      <c r="I1405" s="30" t="n">
        <f aca="false">Sens!I1424*ext_sh</f>
        <v>490</v>
      </c>
      <c r="J1405" s="30" t="n">
        <f aca="false">Sens!J1424*ext_sh</f>
        <v>740</v>
      </c>
      <c r="K1405" s="30" t="n">
        <f aca="false">Sens!K1424*ext_sh</f>
        <v>1470</v>
      </c>
      <c r="L1405" s="1" t="s">
        <v>965</v>
      </c>
    </row>
    <row r="1406" customFormat="false" ht="17.15" hidden="false" customHeight="false" outlineLevel="0" collapsed="false">
      <c r="A1406" s="1" t="s">
        <v>966</v>
      </c>
      <c r="B1406" s="0" t="s">
        <v>459</v>
      </c>
      <c r="C1406" s="30" t="n">
        <f aca="false">mix_h*Sens!C1398</f>
        <v>128</v>
      </c>
      <c r="D1406" s="30" t="n">
        <f aca="false">mix_h*Sens!D1398</f>
        <v>326</v>
      </c>
      <c r="E1406" s="30" t="n">
        <f aca="false">mix_h*Sens!E1398</f>
        <v>650</v>
      </c>
      <c r="F1406" s="30" t="n">
        <f aca="false">Sens!E1406-Sens!F1405*mix_h</f>
        <v>650</v>
      </c>
      <c r="G1406" s="30" t="n">
        <f aca="false">Sens!F1406-Sens!G1405*mix_h</f>
        <v>650</v>
      </c>
      <c r="H1406" s="30" t="n">
        <f aca="false">Sens!G1406-Sens!H1405*mix_h</f>
        <v>650</v>
      </c>
      <c r="I1406" s="30" t="n">
        <f aca="false">Sens!H1406-Sens!I1405*mix_h</f>
        <v>552</v>
      </c>
      <c r="J1406" s="30" t="n">
        <f aca="false">Sens!I1406-Sens!J1405*mix_h</f>
        <v>404</v>
      </c>
      <c r="K1406" s="30" t="n">
        <f aca="false">Sens!J1406-Sens!K1405*mix_h</f>
        <v>110</v>
      </c>
    </row>
    <row r="1407" customFormat="false" ht="17.15" hidden="false" customHeight="false" outlineLevel="0" collapsed="false">
      <c r="A1407" s="1" t="s">
        <v>967</v>
      </c>
      <c r="B1407" s="0" t="s">
        <v>459</v>
      </c>
      <c r="C1407" s="30" t="n">
        <f aca="false">mix_g2*Sens!C1398</f>
        <v>288</v>
      </c>
      <c r="D1407" s="30" t="n">
        <f aca="false">mix_g2*Sens!D1398</f>
        <v>733.5</v>
      </c>
      <c r="E1407" s="30" t="n">
        <f aca="false">mix_g2*Sens!E1398</f>
        <v>1462.5</v>
      </c>
      <c r="F1407" s="30" t="n">
        <f aca="false">Sens!E1407-Sens!F1405*mix_g2</f>
        <v>1462.5</v>
      </c>
      <c r="G1407" s="30" t="n">
        <f aca="false">Sens!F1407-Sens!G1405*mix_g2</f>
        <v>1462.5</v>
      </c>
      <c r="H1407" s="30" t="n">
        <f aca="false">Sens!G1407-Sens!H1405*mix_g2</f>
        <v>1462.5</v>
      </c>
      <c r="I1407" s="30" t="n">
        <f aca="false">Sens!H1407-Sens!I1405*mix_g2</f>
        <v>1242</v>
      </c>
      <c r="J1407" s="30" t="n">
        <f aca="false">Sens!I1407-Sens!J1405*mix_g2</f>
        <v>909</v>
      </c>
      <c r="K1407" s="30" t="n">
        <f aca="false">Sens!J1407-Sens!K1405*mix_g2</f>
        <v>247.5</v>
      </c>
    </row>
    <row r="1408" customFormat="false" ht="17.15" hidden="false" customHeight="false" outlineLevel="0" collapsed="false">
      <c r="A1408" s="1" t="s">
        <v>968</v>
      </c>
      <c r="B1408" s="0" t="s">
        <v>459</v>
      </c>
      <c r="C1408" s="30" t="n">
        <f aca="false">mix_g3*Sens!C1398</f>
        <v>224</v>
      </c>
      <c r="D1408" s="30" t="n">
        <f aca="false">mix_g3*Sens!D1398</f>
        <v>570.5</v>
      </c>
      <c r="E1408" s="30" t="n">
        <f aca="false">mix_g3*Sens!E1398</f>
        <v>1137.5</v>
      </c>
      <c r="F1408" s="30" t="n">
        <f aca="false">Sens!E1408+(Sens!F1404+Sens!F1405)*(a_g3_27-nonnv*a_mai)-Sens!F1405*mix_g3</f>
        <v>2773.42106</v>
      </c>
      <c r="G1408" s="30" t="n">
        <f aca="false">Sens!F1408+(Sens!G1404+Sens!G1405)*(a_g3_28-nonnv*a_mai)-Sens!G1405*mix_g3</f>
        <v>3318.72808</v>
      </c>
      <c r="H1408" s="30" t="n">
        <f aca="false">Sens!G1408+(Sens!H1404+Sens!H1405)*(a_g3_29-nonnv*a_mai)-Sens!H1405*mix_g3</f>
        <v>3318.72808</v>
      </c>
      <c r="I1408" s="30" t="n">
        <f aca="false">Sens!H1408+(Sens!I1404+Sens!I1405)*(a_g3_29-nonnv*a_mai)-Sens!I1405*mix_g3</f>
        <v>3147.22808</v>
      </c>
      <c r="J1408" s="30" t="n">
        <f aca="false">Sens!I1408+(Sens!J1404+Sens!J1405)*(a_g3_29-nonnv*a_mai)-Sens!J1405*mix_g3</f>
        <v>2888.22808</v>
      </c>
      <c r="K1408" s="30" t="n">
        <f aca="false">Sens!J1408+(Sens!K1404+Sens!K1405)*(a_g3_29-nonnv*a_mai)-Sens!K1405*mix_g3</f>
        <v>2373.72808</v>
      </c>
    </row>
    <row r="1409" customFormat="false" ht="17.15" hidden="false" customHeight="false" outlineLevel="0" collapsed="false">
      <c r="A1409" s="1" t="s">
        <v>969</v>
      </c>
      <c r="B1409" s="0" t="s">
        <v>459</v>
      </c>
      <c r="C1409" s="30" t="n">
        <v>0</v>
      </c>
      <c r="D1409" s="30" t="n">
        <v>0</v>
      </c>
      <c r="E1409" s="30" t="n">
        <v>0</v>
      </c>
      <c r="F1409" s="30" t="n">
        <f aca="false">Sens!E1409+(Sens!F1404+Sens!F1405)*nonnv*a_mai</f>
        <v>272.65351</v>
      </c>
      <c r="G1409" s="30" t="n">
        <f aca="false">Sens!F1409+(Sens!G1404+Sens!G1405)*nonnv*a_mai</f>
        <v>545.30702</v>
      </c>
      <c r="H1409" s="30" t="n">
        <f aca="false">Sens!G1409+(Sens!H1404+Sens!H1405)*nonnv*a_mai</f>
        <v>817.96053</v>
      </c>
      <c r="I1409" s="30" t="n">
        <f aca="false">Sens!H1409+(Sens!I1404+Sens!I1405)*nonnv*a_mai</f>
        <v>1060.15914196667</v>
      </c>
      <c r="J1409" s="30" t="n">
        <f aca="false">Sens!I1409+(Sens!J1404+Sens!J1405)*nonnv*a_mai</f>
        <v>1251.76682813933</v>
      </c>
      <c r="K1409" s="30" t="n">
        <f aca="false">Sens!J1409+(Sens!K1404+Sens!K1405)*nonnv*a_mai</f>
        <v>1442.37983298351</v>
      </c>
      <c r="L1409" s="12" t="s">
        <v>970</v>
      </c>
    </row>
    <row r="1410" customFormat="false" ht="17.15" hidden="false" customHeight="false" outlineLevel="0" collapsed="false">
      <c r="A1410" s="1" t="s">
        <v>971</v>
      </c>
      <c r="B1410" s="0" t="s">
        <v>459</v>
      </c>
      <c r="C1410" s="30" t="n">
        <v>0</v>
      </c>
      <c r="D1410" s="30" t="n">
        <v>0</v>
      </c>
      <c r="E1410" s="30" t="n">
        <v>0</v>
      </c>
      <c r="F1410" s="30" t="n">
        <f aca="false">Sens!E1410+(Sens!F1404+Sens!F1405)*(1-a_g3_27)</f>
        <v>817.96053</v>
      </c>
      <c r="G1410" s="30" t="n">
        <f aca="false">Sens!F1410+(Sens!G1404+Sens!G1405)*(1-a_g3_28)</f>
        <v>2726.5351</v>
      </c>
      <c r="H1410" s="30" t="n">
        <f aca="false">Sens!G1410+(Sens!H1404+Sens!H1405)*(1-a_g3_29)</f>
        <v>5180.41669</v>
      </c>
      <c r="I1410" s="30" t="n">
        <f aca="false">Sens!H1410+(Sens!I1404+Sens!I1405)*(1-a_g3_29)</f>
        <v>7360.2041977</v>
      </c>
      <c r="J1410" s="30" t="n">
        <f aca="false">Sens!I1410+(Sens!J1404+Sens!J1405)*(1-a_g3_29)</f>
        <v>9084.673373254</v>
      </c>
      <c r="K1410" s="30" t="n">
        <f aca="false">Sens!J1410+(Sens!K1404+Sens!K1405)*(1-a_g3_29)</f>
        <v>10800.1904168516</v>
      </c>
    </row>
    <row r="1411" customFormat="false" ht="17.15" hidden="false" customHeight="false" outlineLevel="0" collapsed="false">
      <c r="A1411" s="1" t="s">
        <v>972</v>
      </c>
      <c r="B1411" s="0" t="s">
        <v>403</v>
      </c>
      <c r="C1411" s="15" t="n">
        <f aca="false">(Sens!C1406*tk_hold_h100+Sens!C1407*tk_hold_gb200+Sens!C1408*tk_hold_gb300+Sens!C1410*tk_hold_vr200+Sens!C1409*nv_hold_mai*tk_hold_vr200)/Sens!C1398</f>
        <v>9.7235358126469</v>
      </c>
      <c r="D1411" s="15" t="n">
        <f aca="false">(Sens!D1406*tk_hold_h100+Sens!D1407*tk_hold_gb200+Sens!D1408*tk_hold_gb300+Sens!D1410*tk_hold_vr200+Sens!D1409*nv_hold_mai*tk_hold_vr200)/Sens!D1398</f>
        <v>9.7235358126469</v>
      </c>
      <c r="E1411" s="15" t="n">
        <f aca="false">(Sens!E1406*tk_hold_h100+Sens!E1407*tk_hold_gb200+Sens!E1408*tk_hold_gb300+Sens!E1410*tk_hold_vr200+Sens!E1409*nv_hold_mai*tk_hold_vr200)/Sens!E1398</f>
        <v>9.7235358126469</v>
      </c>
      <c r="F1411" s="15" t="n">
        <f aca="false">(Sens!F1406*tk_hold_h100+Sens!F1407*tk_hold_gb200+Sens!F1408*tk_hold_gb300+Sens!F1410*tk_hold_vr200+Sens!F1409*nv_hold_mai*tk_hold_vr200)/Sens!F1398</f>
        <v>10.2195353876665</v>
      </c>
      <c r="G1411" s="15" t="n">
        <f aca="false">(Sens!G1406*tk_hold_h100+Sens!G1407*tk_hold_gb200+Sens!G1408*tk_hold_gb300+Sens!G1410*tk_hold_vr200+Sens!G1409*nv_hold_mai*tk_hold_vr200)/Sens!G1398</f>
        <v>10.5725598017306</v>
      </c>
      <c r="H1411" s="15" t="n">
        <f aca="false">(Sens!H1406*tk_hold_h100+Sens!H1407*tk_hold_gb200+Sens!H1408*tk_hold_gb300+Sens!H1410*tk_hold_vr200+Sens!H1409*nv_hold_mai*tk_hold_vr200)/Sens!H1398</f>
        <v>10.8210427149036</v>
      </c>
      <c r="I1411" s="15" t="n">
        <f aca="false">(Sens!I1406*tk_hold_h100+Sens!I1407*tk_hold_gb200+Sens!I1408*tk_hold_gb300+Sens!I1410*tk_hold_vr200+Sens!I1409*nv_hold_mai*tk_hold_vr200)/Sens!I1398</f>
        <v>11.0050618241982</v>
      </c>
      <c r="J1411" s="15" t="n">
        <f aca="false">(Sens!J1406*tk_hold_h100+Sens!J1407*tk_hold_gb200+Sens!J1408*tk_hold_gb300+Sens!J1410*tk_hold_vr200+Sens!J1409*nv_hold_mai*tk_hold_vr200)/Sens!J1398</f>
        <v>11.1505789658881</v>
      </c>
      <c r="K1411" s="15" t="n">
        <f aca="false">(Sens!K1406*tk_hold_h100+Sens!K1407*tk_hold_gb200+Sens!K1408*tk_hold_gb300+Sens!K1410*tk_hold_vr200+Sens!K1409*nv_hold_mai*tk_hold_vr200)/Sens!K1398</f>
        <v>11.3496914757183</v>
      </c>
      <c r="L1411" s="1" t="s">
        <v>973</v>
      </c>
    </row>
    <row r="1412" customFormat="false" ht="17.15" hidden="false" customHeight="false" outlineLevel="0" collapsed="false">
      <c r="A1412" s="1" t="s">
        <v>974</v>
      </c>
      <c r="B1412" s="0" t="s">
        <v>403</v>
      </c>
      <c r="C1412" s="15" t="n">
        <f aca="false">(Sens!C1406*tk_hold_h100+Sens!C1407*tk_hold_gb200+Sens!C1408*tk_hold_gb300+Sens!C1410*tk_hold_vr200+Sens!C1409*nv_out_mai*tk_hold_vr200)/Sens!C1398</f>
        <v>9.7235358126469</v>
      </c>
      <c r="D1412" s="15" t="n">
        <f aca="false">(Sens!D1406*tk_hold_h100+Sens!D1407*tk_hold_gb200+Sens!D1408*tk_hold_gb300+Sens!D1410*tk_hold_vr200+Sens!D1409*nv_out_mai*tk_hold_vr200)/Sens!D1398</f>
        <v>9.7235358126469</v>
      </c>
      <c r="E1412" s="15" t="n">
        <f aca="false">(Sens!E1406*tk_hold_h100+Sens!E1407*tk_hold_gb200+Sens!E1408*tk_hold_gb300+Sens!E1410*tk_hold_vr200+Sens!E1409*nv_out_mai*tk_hold_vr200)/Sens!E1398</f>
        <v>9.7235358126469</v>
      </c>
      <c r="F1412" s="15" t="n">
        <f aca="false">(Sens!F1406*tk_hold_h100+Sens!F1407*tk_hold_gb200+Sens!F1408*tk_hold_gb300+Sens!F1410*tk_hold_vr200+Sens!F1409*nv_out_mai*tk_hold_vr200)/Sens!F1398</f>
        <v>10.247422093969</v>
      </c>
      <c r="G1412" s="15" t="n">
        <f aca="false">(Sens!G1406*tk_hold_h100+Sens!G1407*tk_hold_gb200+Sens!G1408*tk_hold_gb300+Sens!G1410*tk_hold_vr200+Sens!G1409*nv_out_mai*tk_hold_vr200)/Sens!G1398</f>
        <v>10.6108602808053</v>
      </c>
      <c r="H1412" s="15" t="n">
        <f aca="false">(Sens!H1406*tk_hold_h100+Sens!H1407*tk_hold_gb200+Sens!H1408*tk_hold_gb300+Sens!H1410*tk_hold_vr200+Sens!H1409*nv_out_mai*tk_hold_vr200)/Sens!H1398</f>
        <v>10.8647885507393</v>
      </c>
      <c r="I1412" s="15" t="n">
        <f aca="false">(Sens!I1406*tk_hold_h100+Sens!I1407*tk_hold_gb200+Sens!I1408*tk_hold_gb300+Sens!I1410*tk_hold_vr200+Sens!I1409*nv_out_mai*tk_hold_vr200)/Sens!I1398</f>
        <v>11.0535625770025</v>
      </c>
      <c r="J1412" s="15" t="n">
        <f aca="false">(Sens!J1406*tk_hold_h100+Sens!J1407*tk_hold_gb200+Sens!J1408*tk_hold_gb300+Sens!J1410*tk_hold_vr200+Sens!J1409*nv_out_mai*tk_hold_vr200)/Sens!J1398</f>
        <v>11.2032127128058</v>
      </c>
      <c r="K1412" s="15" t="n">
        <f aca="false">(Sens!K1406*tk_hold_h100+Sens!K1407*tk_hold_gb200+Sens!K1408*tk_hold_gb300+Sens!K1410*tk_hold_vr200+Sens!K1409*nv_out_mai*tk_hold_vr200)/Sens!K1398</f>
        <v>11.4085735724225</v>
      </c>
      <c r="L1412" s="12" t="s">
        <v>975</v>
      </c>
    </row>
    <row r="1413" customFormat="false" ht="17.15" hidden="false" customHeight="false" outlineLevel="0" collapsed="false">
      <c r="A1413" s="0" t="s">
        <v>976</v>
      </c>
      <c r="B1413" s="0" t="s">
        <v>229</v>
      </c>
      <c r="C1413" s="15" t="n">
        <f aca="false">k_B</f>
        <v>1.17213932619116</v>
      </c>
      <c r="D1413" s="15" t="n">
        <f aca="false">k_B</f>
        <v>1.17213932619116</v>
      </c>
      <c r="E1413" s="15" t="n">
        <f aca="false">k_B</f>
        <v>1.17213932619116</v>
      </c>
      <c r="F1413" s="15" t="n">
        <f aca="false">(k_B+((ls_A*k_long+(1-ls_A)*k_spot)-k_B)*MIN(1,(Sens!F1396-base_fy)/k_ramp))*1.15</f>
        <v>1.43776252350992</v>
      </c>
      <c r="G1413" s="15" t="n">
        <f aca="false">(k_B+((ls_A*k_long+(1-ls_A)*k_spot)-k_B)*MIN(1,(Sens!G1396-base_fy)/k_ramp))*1.15</f>
        <v>1.52756482190002</v>
      </c>
      <c r="H1413" s="15" t="n">
        <f aca="false">(k_B+((ls_A*k_long+(1-ls_A)*k_spot)-k_B)*MIN(1,(Sens!H1396-base_fy)/k_ramp))*1.15</f>
        <v>1.61736712029011</v>
      </c>
      <c r="I1413" s="15" t="n">
        <f aca="false">(k_B+((ls_A*k_long+(1-ls_A)*k_spot)-k_B)*MIN(1,(Sens!I1396-base_fy)/k_ramp))*1.15</f>
        <v>1.61736712029011</v>
      </c>
      <c r="J1413" s="15" t="n">
        <f aca="false">(k_B+((ls_A*k_long+(1-ls_A)*k_spot)-k_B)*MIN(1,(Sens!J1396-base_fy)/k_ramp))*1.15</f>
        <v>1.61736712029011</v>
      </c>
      <c r="K1413" s="15" t="n">
        <f aca="false">(k_B+((ls_A*k_long+(1-ls_A)*k_spot)-k_B)*MIN(1,(Sens!K1396-base_fy)/k_ramp))*1.15</f>
        <v>1.61736712029011</v>
      </c>
      <c r="L1413" s="1" t="s">
        <v>977</v>
      </c>
    </row>
    <row r="1414" customFormat="false" ht="17.15" hidden="false" customHeight="false" outlineLevel="0" collapsed="false">
      <c r="A1414" s="1" t="s">
        <v>978</v>
      </c>
      <c r="B1414" s="0" t="s">
        <v>403</v>
      </c>
      <c r="C1414" s="15" t="n">
        <f aca="false">Sens!C1412*Sens!C1413*chip_f</f>
        <v>11.3973387156315</v>
      </c>
      <c r="D1414" s="15" t="n">
        <f aca="false">Sens!D1412*Sens!D1413*chip_f</f>
        <v>11.3973387156315</v>
      </c>
      <c r="E1414" s="15" t="n">
        <f aca="false">Sens!E1412*Sens!E1413*chip_f</f>
        <v>11.3973387156315</v>
      </c>
      <c r="F1414" s="15" t="n">
        <f aca="false">Sens!F1412*Sens!F1413*chip_f</f>
        <v>14.7333594492961</v>
      </c>
      <c r="G1414" s="15" t="n">
        <f aca="false">Sens!G1412*Sens!G1413*chip_f</f>
        <v>16.2087768950543</v>
      </c>
      <c r="H1414" s="15" t="n">
        <f aca="false">Sens!H1412*Sens!H1413*chip_f</f>
        <v>17.5723517708702</v>
      </c>
      <c r="I1414" s="15" t="n">
        <f aca="false">Sens!I1412*Sens!I1413*chip_f</f>
        <v>17.8776686741131</v>
      </c>
      <c r="J1414" s="15" t="n">
        <f aca="false">Sens!J1412*Sens!J1413*chip_f</f>
        <v>18.1197078833082</v>
      </c>
      <c r="K1414" s="15" t="n">
        <f aca="false">Sens!K1412*Sens!K1413*chip_f</f>
        <v>18.4518517854468</v>
      </c>
      <c r="L1414" s="1" t="s">
        <v>979</v>
      </c>
    </row>
    <row r="1415" customFormat="false" ht="17.15" hidden="false" customHeight="false" outlineLevel="0" collapsed="false">
      <c r="A1415" s="0" t="s">
        <v>980</v>
      </c>
      <c r="B1415" s="0" t="s">
        <v>98</v>
      </c>
      <c r="D1415" s="6" t="n">
        <f aca="false">(Sens!C1398+Sens!D1398)/2*Sens!D1414/1000</f>
        <v>12.9359794422418</v>
      </c>
      <c r="E1415" s="6" t="n">
        <f aca="false">(Sens!D1398+Sens!E1398)/2*Sens!E1414/1000</f>
        <v>27.8095064661409</v>
      </c>
      <c r="F1415" s="6" t="n">
        <f aca="false">(Sens!E1398+Sens!F1398)/2*Sens!F1414/1000</f>
        <v>67.9689290499238</v>
      </c>
      <c r="G1415" s="6" t="n">
        <f aca="false">(Sens!F1398+Sens!G1398)/2*Sens!G1414/1000</f>
        <v>118.969223607578</v>
      </c>
      <c r="H1415" s="6" t="n">
        <f aca="false">(Sens!G1398+Sens!H1398)/2*Sens!H1414/1000</f>
        <v>176.88922798739</v>
      </c>
      <c r="I1415" s="6" t="n">
        <f aca="false">(Sens!H1398+Sens!I1398)/2*Sens!I1414/1000</f>
        <v>221.60440049448</v>
      </c>
      <c r="J1415" s="6" t="n">
        <f aca="false">(Sens!I1398+Sens!J1398)/2*Sens!J1414/1000</f>
        <v>252.76321797188</v>
      </c>
      <c r="K1415" s="6" t="n">
        <f aca="false">(Sens!J1398+Sens!K1398)/2*Sens!K1414/1000</f>
        <v>272.270603940775</v>
      </c>
      <c r="L1415" s="12" t="s">
        <v>981</v>
      </c>
    </row>
    <row r="1416" customFormat="false" ht="17.15" hidden="false" customHeight="false" outlineLevel="0" collapsed="false">
      <c r="A1416" s="1" t="s">
        <v>982</v>
      </c>
      <c r="B1416" s="0" t="s">
        <v>403</v>
      </c>
      <c r="C1416" s="15" t="n">
        <f aca="false">(Sens!C1406*tk_opex_h100+Sens!C1407*tk_opex_gb200+Sens!C1408*tk_opex_gb300+(Sens!C1410+Sens!C1409)*tk_opex_vr200)/Sens!C1398</f>
        <v>1.88636041306092</v>
      </c>
      <c r="D1416" s="15" t="n">
        <f aca="false">(Sens!D1406*tk_opex_h100+Sens!D1407*tk_opex_gb200+Sens!D1408*tk_opex_gb300+(Sens!D1410+Sens!D1409)*tk_opex_vr200)/Sens!D1398</f>
        <v>1.88636041306092</v>
      </c>
      <c r="E1416" s="15" t="n">
        <f aca="false">(Sens!E1406*tk_opex_h100+Sens!E1407*tk_opex_gb200+Sens!E1408*tk_opex_gb300+(Sens!E1410+Sens!E1409)*tk_opex_vr200)/Sens!E1398</f>
        <v>1.88636041306092</v>
      </c>
      <c r="F1416" s="15" t="n">
        <f aca="false">(Sens!F1406*tk_opex_h100+Sens!F1407*tk_opex_gb200+Sens!F1408*tk_opex_gb300+(Sens!F1410+Sens!F1409)*tk_opex_vr200)/Sens!F1398</f>
        <v>1.95051159746876</v>
      </c>
      <c r="G1416" s="15" t="n">
        <f aca="false">(Sens!G1406*tk_opex_h100+Sens!G1407*tk_opex_gb200+Sens!G1408*tk_opex_gb300+(Sens!G1410+Sens!G1409)*tk_opex_vr200)/Sens!G1398</f>
        <v>1.98836003669956</v>
      </c>
      <c r="H1416" s="15" t="n">
        <f aca="false">(Sens!H1406*tk_opex_h100+Sens!H1407*tk_opex_gb200+Sens!H1408*tk_opex_gb300+(Sens!H1410+Sens!H1409)*tk_opex_vr200)/Sens!H1398</f>
        <v>2.01344013834343</v>
      </c>
      <c r="I1416" s="15" t="n">
        <f aca="false">(Sens!I1406*tk_opex_h100+Sens!I1407*tk_opex_gb200+Sens!I1408*tk_opex_gb300+(Sens!I1410+Sens!I1409)*tk_opex_vr200)/Sens!I1398</f>
        <v>2.03261166882178</v>
      </c>
      <c r="J1416" s="15" t="n">
        <f aca="false">(Sens!J1406*tk_opex_h100+Sens!J1407*tk_opex_gb200+Sens!J1408*tk_opex_gb300+(Sens!J1410+Sens!J1409)*tk_opex_vr200)/Sens!J1398</f>
        <v>2.04808073288745</v>
      </c>
      <c r="K1416" s="15" t="n">
        <f aca="false">(Sens!K1406*tk_opex_h100+Sens!K1407*tk_opex_gb200+Sens!K1408*tk_opex_gb300+(Sens!K1410+Sens!K1409)*tk_opex_vr200)/Sens!K1398</f>
        <v>2.06973825807449</v>
      </c>
      <c r="L1416" s="12" t="s">
        <v>983</v>
      </c>
    </row>
    <row r="1417" customFormat="false" ht="17.15" hidden="false" customHeight="false" outlineLevel="0" collapsed="false">
      <c r="A1417" s="0" t="s">
        <v>984</v>
      </c>
      <c r="B1417" s="0" t="s">
        <v>98</v>
      </c>
      <c r="D1417" s="6" t="n">
        <f aca="false">(Sens!C1401+Sens!D1401)/2*Sens!D1416/1000</f>
        <v>2.70378325872065</v>
      </c>
      <c r="E1417" s="6" t="n">
        <f aca="false">(Sens!D1401+Sens!E1401)/2*Sens!E1416/1000</f>
        <v>6.17783035277451</v>
      </c>
      <c r="F1417" s="6" t="n">
        <f aca="false">(Sens!E1401+Sens!F1401)/2*Sens!F1416/1000</f>
        <v>12.8742463089237</v>
      </c>
      <c r="G1417" s="6" t="n">
        <f aca="false">(Sens!F1401+Sens!G1401)/2*Sens!G1416/1000</f>
        <v>21.8182834646277</v>
      </c>
      <c r="H1417" s="6" t="n">
        <f aca="false">(Sens!G1401+Sens!H1401)/2*Sens!H1416/1000</f>
        <v>31.2430128789734</v>
      </c>
      <c r="I1417" s="6" t="n">
        <f aca="false">(Sens!H1401+Sens!I1401)/2*Sens!I1416/1000</f>
        <v>39.4313057443268</v>
      </c>
      <c r="J1417" s="6" t="n">
        <f aca="false">(Sens!I1401+Sens!J1401)/2*Sens!J1416/1000</f>
        <v>45.0360318228653</v>
      </c>
      <c r="K1417" s="6" t="n">
        <f aca="false">(Sens!J1401+Sens!K1401)/2*Sens!K1416/1000</f>
        <v>48.2929727091156</v>
      </c>
    </row>
    <row r="1418" customFormat="false" ht="17.15" hidden="false" customHeight="false" outlineLevel="0" collapsed="false">
      <c r="A1418" s="0" t="s">
        <v>985</v>
      </c>
      <c r="B1418" s="0" t="s">
        <v>98</v>
      </c>
      <c r="D1418" s="6" t="n">
        <f aca="false">(Sens!C1399+Sens!D1399)/2*rent_mw/1000</f>
        <v>2.44475</v>
      </c>
      <c r="E1418" s="6" t="n">
        <f aca="false">(Sens!D1399+Sens!E1399)/2*rent_mw/1000</f>
        <v>4.22275</v>
      </c>
      <c r="F1418" s="6" t="n">
        <f aca="false">(Sens!E1399+Sens!F1399)/2*rent_mw/1000</f>
        <v>5.80517</v>
      </c>
      <c r="G1418" s="6" t="n">
        <f aca="false">(Sens!F1399+Sens!G1399)/2*rent_mw/1000</f>
        <v>6.72084</v>
      </c>
      <c r="H1418" s="6" t="n">
        <f aca="false">(Sens!G1399+Sens!H1399)/2*rent_mw/1000</f>
        <v>6.72084</v>
      </c>
      <c r="I1418" s="6" t="n">
        <f aca="false">(Sens!H1399+Sens!I1399)/2*rent_mw/1000</f>
        <v>6.72084</v>
      </c>
      <c r="J1418" s="6" t="n">
        <f aca="false">(Sens!I1399+Sens!J1399)/2*rent_mw/1000</f>
        <v>6.72084</v>
      </c>
      <c r="K1418" s="6" t="n">
        <f aca="false">(Sens!J1399+Sens!K1399)/2*rent_mw/1000</f>
        <v>6.72084</v>
      </c>
    </row>
    <row r="1419" customFormat="false" ht="17.15" hidden="false" customHeight="false" outlineLevel="0" collapsed="false">
      <c r="A1419" s="0" t="s">
        <v>986</v>
      </c>
      <c r="B1419" s="0" t="s">
        <v>98</v>
      </c>
      <c r="D1419" s="6" t="n">
        <f aca="false">(Sens!C1401+Sens!D1401)/2*(1-self_build)*fac_rent/1000</f>
        <v>0.853242375631075</v>
      </c>
      <c r="E1419" s="6" t="n">
        <f aca="false">(Sens!D1401+Sens!E1401)/2*(1-self_build)*fac_rent/1000</f>
        <v>1.94955961408728</v>
      </c>
      <c r="F1419" s="6" t="n">
        <f aca="false">(Sens!E1401+Sens!F1401)/2*(1-self_build)*fac_rent/1000</f>
        <v>3.92914894476356</v>
      </c>
      <c r="G1419" s="6" t="n">
        <f aca="false">(Sens!F1401+Sens!G1401)/2*(1-self_build)*fac_rent/1000</f>
        <v>6.53206908578159</v>
      </c>
      <c r="H1419" s="6" t="n">
        <f aca="false">(Sens!G1401+Sens!H1401)/2*(1-self_build)*fac_rent/1000</f>
        <v>9.23717988341591</v>
      </c>
      <c r="I1419" s="6" t="n">
        <f aca="false">(Sens!H1401+Sens!I1401)/2*(1-self_build)*fac_rent/1000</f>
        <v>11.5481378557393</v>
      </c>
      <c r="J1419" s="6" t="n">
        <f aca="false">(Sens!I1401+Sens!J1401)/2*(1-self_build)*fac_rent/1000</f>
        <v>13.0899582289108</v>
      </c>
      <c r="K1419" s="6" t="n">
        <f aca="false">(Sens!J1401+Sens!K1401)/2*(1-self_build)*fac_rent/1000</f>
        <v>13.8897275626556</v>
      </c>
      <c r="L1419" s="12" t="s">
        <v>987</v>
      </c>
    </row>
    <row r="1420" customFormat="false" ht="17.15" hidden="false" customHeight="false" outlineLevel="0" collapsed="false">
      <c r="A1420" s="1" t="s">
        <v>988</v>
      </c>
      <c r="B1420" s="0" t="s">
        <v>168</v>
      </c>
      <c r="D1420" s="7" t="n">
        <f aca="false">(Sens!C1400+Sens!D1400)/(Sens!C1401+Sens!D1401)</f>
        <v>0.6</v>
      </c>
      <c r="E1420" s="7" t="n">
        <f aca="false">(Sens!D1400+Sens!E1400)/(Sens!D1401+Sens!E1401)</f>
        <v>0.6</v>
      </c>
      <c r="F1420" s="7" t="n">
        <f aca="false">(Sens!E1400+Sens!F1400)/(Sens!E1401+Sens!F1401)</f>
        <v>0.6</v>
      </c>
      <c r="G1420" s="7" t="n">
        <f aca="false">(Sens!F1400+Sens!G1400)/(Sens!F1401+Sens!G1401)</f>
        <v>0.6</v>
      </c>
      <c r="H1420" s="7" t="n">
        <f aca="false">(Sens!G1400+Sens!H1400)/(Sens!G1401+Sens!H1401)</f>
        <v>0.6</v>
      </c>
      <c r="I1420" s="7" t="n">
        <f aca="false">(Sens!H1400+Sens!I1400)/(Sens!H1401+Sens!I1401)</f>
        <v>0.6</v>
      </c>
      <c r="J1420" s="7" t="n">
        <f aca="false">(Sens!I1400+Sens!J1400)/(Sens!I1401+Sens!J1401)</f>
        <v>0.6</v>
      </c>
      <c r="K1420" s="7" t="n">
        <f aca="false">(Sens!J1400+Sens!K1400)/(Sens!J1401+Sens!K1401)</f>
        <v>0.6</v>
      </c>
    </row>
    <row r="1421" customFormat="false" ht="17.15" hidden="false" customHeight="false" outlineLevel="0" collapsed="false">
      <c r="A1421" s="0" t="s">
        <v>989</v>
      </c>
      <c r="B1421" s="0" t="s">
        <v>98</v>
      </c>
      <c r="D1421" s="6" t="n">
        <f aca="false">Sens!D1415-Sens!D1420*(Sens!D1417+Sens!D1419)-Sens!D1418</f>
        <v>8.35701406163072</v>
      </c>
      <c r="E1421" s="6" t="n">
        <f aca="false">Sens!E1415-Sens!E1420*(Sens!E1417+Sens!E1419)-Sens!E1418</f>
        <v>18.7103224860238</v>
      </c>
      <c r="F1421" s="6" t="n">
        <f aca="false">Sens!F1415-Sens!F1420*(Sens!F1417+Sens!F1419)-Sens!F1418</f>
        <v>52.0817218977114</v>
      </c>
      <c r="G1421" s="6" t="n">
        <f aca="false">Sens!G1415-Sens!G1420*(Sens!G1417+Sens!G1419)-Sens!G1418</f>
        <v>95.2381720773326</v>
      </c>
      <c r="H1421" s="6" t="n">
        <f aca="false">Sens!H1415-Sens!H1420*(Sens!H1417+Sens!H1419)-Sens!H1418</f>
        <v>145.880272329957</v>
      </c>
      <c r="I1421" s="6" t="n">
        <f aca="false">Sens!I1415-Sens!I1420*(Sens!I1417+Sens!I1419)-Sens!I1418</f>
        <v>184.29589433444</v>
      </c>
      <c r="J1421" s="6" t="n">
        <f aca="false">Sens!J1415-Sens!J1420*(Sens!J1417+Sens!J1419)-Sens!J1418</f>
        <v>211.166783940814</v>
      </c>
      <c r="K1421" s="6" t="n">
        <f aca="false">Sens!K1415-Sens!K1420*(Sens!K1417+Sens!K1419)-Sens!K1418</f>
        <v>228.240143777712</v>
      </c>
    </row>
    <row r="1422" customFormat="false" ht="17.15" hidden="false" customHeight="false" outlineLevel="0" collapsed="false">
      <c r="A1422" s="1" t="s">
        <v>990</v>
      </c>
      <c r="B1422" s="0" t="s">
        <v>98</v>
      </c>
      <c r="D1422" s="6" t="n">
        <f aca="false">(1-Sens!D1420)*(Sens!D1417+Sens!D1419)</f>
        <v>1.42281025374069</v>
      </c>
      <c r="E1422" s="6" t="n">
        <f aca="false">(1-Sens!E1420)*(Sens!E1417+Sens!E1419)</f>
        <v>3.25095598674472</v>
      </c>
      <c r="F1422" s="6" t="n">
        <f aca="false">(1-Sens!F1420)*(Sens!F1417+Sens!F1419)</f>
        <v>6.72135810147489</v>
      </c>
      <c r="G1422" s="6" t="n">
        <f aca="false">(1-Sens!G1420)*(Sens!G1417+Sens!G1419)</f>
        <v>11.3401410201637</v>
      </c>
      <c r="H1422" s="6" t="n">
        <f aca="false">(1-Sens!H1420)*(Sens!H1417+Sens!H1419)</f>
        <v>16.1920771049557</v>
      </c>
      <c r="I1422" s="6" t="n">
        <f aca="false">(1-Sens!I1420)*(Sens!I1417+Sens!I1419)</f>
        <v>20.3917774400264</v>
      </c>
      <c r="J1422" s="6" t="n">
        <f aca="false">(1-Sens!J1420)*(Sens!J1417+Sens!J1419)</f>
        <v>23.2503960207104</v>
      </c>
      <c r="K1422" s="6" t="n">
        <f aca="false">(1-Sens!K1420)*(Sens!K1417+Sens!K1419)</f>
        <v>24.8730801087085</v>
      </c>
    </row>
    <row r="1423" customFormat="false" ht="17.15" hidden="false" customHeight="false" outlineLevel="0" collapsed="false">
      <c r="A1423" s="1" t="s">
        <v>991</v>
      </c>
      <c r="B1423" s="0" t="s">
        <v>417</v>
      </c>
      <c r="C1423" s="8" t="n">
        <f aca="false">cxit_open</f>
        <v>27.5918995</v>
      </c>
      <c r="D1423" s="8" t="n">
        <f aca="false">cxit_open</f>
        <v>27.5918995</v>
      </c>
      <c r="E1423" s="8" t="n">
        <f aca="false">cxit_open</f>
        <v>27.5918995</v>
      </c>
      <c r="F1423" s="8" t="n">
        <f aca="false">((a_g3_27-nonnv*a_mai)*tk_cxit_gb300+nonnv*a_mai*nv_hold_mai*tk_cxit_vr200+(1-a_g3_27)*tk_cxit_vr200)</f>
        <v>32.4975576</v>
      </c>
      <c r="G1423" s="8" t="n">
        <f aca="false">((a_g3_28-nonnv*a_mai)*tk_cxit_gb300+nonnv*a_mai*nv_hold_mai*tk_cxit_vr200+(1-a_g3_28)*tk_cxit_vr200)</f>
        <v>34.6372088</v>
      </c>
      <c r="H1423" s="8" t="n">
        <f aca="false">((a_g3_29-nonnv*a_mai)*tk_cxit_gb300+nonnv*a_mai*nv_hold_mai*tk_cxit_vr200+(1-a_g3_29)*tk_cxit_vr200)</f>
        <v>35.7070344</v>
      </c>
      <c r="I1423" s="8" t="n">
        <f aca="false">((a_g3_29-nonnv*a_mai)*tk_cxit_gb300+nonnv*a_mai*nv_hold_mai*tk_cxit_vr200+(1-a_g3_29)*tk_cxit_vr200)</f>
        <v>35.7070344</v>
      </c>
      <c r="J1423" s="8" t="n">
        <f aca="false">((a_g3_29-nonnv*a_mai)*tk_cxit_gb300+nonnv*a_mai*nv_hold_mai*tk_cxit_vr200+(1-a_g3_29)*tk_cxit_vr200)</f>
        <v>35.7070344</v>
      </c>
      <c r="K1423" s="8" t="n">
        <f aca="false">((a_g3_29-nonnv*a_mai)*tk_cxit_gb300+nonnv*a_mai*nv_hold_mai*tk_cxit_vr200+(1-a_g3_29)*tk_cxit_vr200)</f>
        <v>35.7070344</v>
      </c>
      <c r="L1423" s="12" t="s">
        <v>992</v>
      </c>
    </row>
    <row r="1424" customFormat="false" ht="17.15" hidden="false" customHeight="false" outlineLevel="0" collapsed="false">
      <c r="A1424" s="0" t="s">
        <v>993</v>
      </c>
      <c r="B1424" s="0" t="s">
        <v>459</v>
      </c>
      <c r="F1424" s="30" t="n">
        <f aca="false">Sens!C1403*IF(Sens!F1396-Sens!C1396=life_it,1,0)+Sens!D1403*IF(Sens!F1396-Sens!D1396=life_it,1,0)+Sens!E1403*IF(Sens!F1396-Sens!E1396=life_it,1,0)</f>
        <v>0</v>
      </c>
      <c r="G1424" s="30" t="n">
        <f aca="false">Sens!C1403*IF(Sens!G1396-Sens!C1396=life_it,1,0)+Sens!D1403*IF(Sens!G1396-Sens!D1396=life_it,1,0)+Sens!E1403*IF(Sens!G1396-Sens!E1396=life_it,1,0)+Sens!F1403*IF(Sens!G1396-Sens!F1396=life_it,1,0)</f>
        <v>0</v>
      </c>
      <c r="H1424" s="30" t="n">
        <f aca="false">Sens!C1403*IF(Sens!H1396-Sens!C1396=life_it,1,0)+Sens!D1403*IF(Sens!H1396-Sens!D1396=life_it,1,0)+Sens!E1403*IF(Sens!H1396-Sens!E1396=life_it,1,0)+Sens!F1403*IF(Sens!H1396-Sens!F1396=life_it,1,0)+Sens!G1403*IF(Sens!H1396-Sens!G1396=life_it,1,0)</f>
        <v>0</v>
      </c>
      <c r="I1424" s="30" t="n">
        <f aca="false">Sens!C1403*IF(Sens!I1396-Sens!C1396=life_it,1,0)+Sens!D1403*IF(Sens!I1396-Sens!D1396=life_it,1,0)+Sens!E1403*IF(Sens!I1396-Sens!E1396=life_it,1,0)+Sens!F1403*IF(Sens!I1396-Sens!F1396=life_it,1,0)+Sens!G1403*IF(Sens!I1396-Sens!G1396=life_it,1,0)+Sens!H1403*IF(Sens!I1396-Sens!H1396=life_it,1,0)</f>
        <v>816.666666666667</v>
      </c>
      <c r="J1424" s="30" t="n">
        <f aca="false">Sens!C1403*IF(Sens!J1396-Sens!C1396=life_it,1,0)+Sens!D1403*IF(Sens!J1396-Sens!D1396=life_it,1,0)+Sens!E1403*IF(Sens!J1396-Sens!E1396=life_it,1,0)+Sens!F1403*IF(Sens!J1396-Sens!F1396=life_it,1,0)+Sens!G1403*IF(Sens!J1396-Sens!G1396=life_it,1,0)+Sens!H1403*IF(Sens!J1396-Sens!H1396=life_it,1,0)+Sens!I1403*IF(Sens!J1396-Sens!I1396=life_it,1,0)</f>
        <v>1233.33333333333</v>
      </c>
      <c r="K1424" s="30" t="n">
        <f aca="false">Sens!C1403*IF(Sens!K1396-Sens!C1396=life_it,1,0)+Sens!D1403*IF(Sens!K1396-Sens!D1396=life_it,1,0)+Sens!E1403*IF(Sens!K1396-Sens!E1396=life_it,1,0)+Sens!F1403*IF(Sens!K1396-Sens!F1396=life_it,1,0)+Sens!G1403*IF(Sens!K1396-Sens!G1396=life_it,1,0)+Sens!H1403*IF(Sens!K1396-Sens!H1396=life_it,1,0)+Sens!I1403*IF(Sens!K1396-Sens!I1396=life_it,1,0)+Sens!J1403*IF(Sens!K1396-Sens!J1396=life_it,1,0)</f>
        <v>2450</v>
      </c>
      <c r="L1424" s="1" t="s">
        <v>994</v>
      </c>
    </row>
    <row r="1425" customFormat="false" ht="17.15" hidden="false" customHeight="false" outlineLevel="0" collapsed="false">
      <c r="A1425" s="0" t="s">
        <v>995</v>
      </c>
      <c r="B1425" s="0" t="s">
        <v>98</v>
      </c>
      <c r="C1425" s="6" t="n">
        <f aca="false">Sens!C1403*Sens!C1423/1000</f>
        <v>22.5333845916667</v>
      </c>
      <c r="D1425" s="6" t="n">
        <f aca="false">Sens!D1403*Sens!D1423/1000</f>
        <v>34.0300093833333</v>
      </c>
      <c r="E1425" s="6" t="n">
        <f aca="false">Sens!E1403*Sens!E1423/1000</f>
        <v>67.600153775</v>
      </c>
      <c r="F1425" s="6" t="n">
        <f aca="false">(Sens!F1403+Sens!F1424)*Sens!F1423/1000</f>
        <v>136.51872432512</v>
      </c>
      <c r="G1425" s="6" t="n">
        <f aca="false">(Sens!G1403+Sens!G1424)*Sens!G1423/1000</f>
        <v>157.399275932048</v>
      </c>
      <c r="H1425" s="6" t="n">
        <f aca="false">(Sens!H1403+Sens!H1424)*Sens!H1423/1000</f>
        <v>162.260804347512</v>
      </c>
      <c r="I1425" s="6" t="n">
        <f aca="false">(Sens!I1403+Sens!I1424)*Sens!I1423/1000</f>
        <v>144.136569485434</v>
      </c>
      <c r="J1425" s="6" t="n">
        <f aca="false">(Sens!J1403+Sens!J1424)*Sens!J1423/1000</f>
        <v>114.029037357864</v>
      </c>
      <c r="K1425" s="6" t="n">
        <f aca="false">(Sens!K1403+Sens!K1424)*Sens!K1423/1000</f>
        <v>113.437085350975</v>
      </c>
    </row>
    <row r="1426" customFormat="false" ht="17.15" hidden="false" customHeight="false" outlineLevel="0" collapsed="false">
      <c r="A1426" s="0" t="s">
        <v>996</v>
      </c>
      <c r="B1426" s="0" t="s">
        <v>98</v>
      </c>
      <c r="C1426" s="6" t="n">
        <f aca="false">Sens!C1403*self_build*tk_cxfac/1000</f>
        <v>6.2083</v>
      </c>
      <c r="D1426" s="6" t="n">
        <f aca="false">Sens!D1403*self_build*tk_cxfac/1000</f>
        <v>9.3758</v>
      </c>
      <c r="E1426" s="6" t="n">
        <f aca="false">Sens!E1403*self_build*tk_cxfac/1000</f>
        <v>18.6249</v>
      </c>
      <c r="F1426" s="6" t="n">
        <f aca="false">Sens!F1403*self_build*tk_cxfac/1000</f>
        <v>31.935179717</v>
      </c>
      <c r="G1426" s="6" t="n">
        <f aca="false">Sens!G1403*self_build*tk_cxfac/1000</f>
        <v>34.545199717</v>
      </c>
      <c r="H1426" s="6" t="n">
        <f aca="false">Sens!H1403*self_build*tk_cxfac/1000</f>
        <v>34.545199717</v>
      </c>
      <c r="I1426" s="6" t="n">
        <f aca="false">Sens!I1403*self_build*tk_cxfac/1000</f>
        <v>24.4782641361767</v>
      </c>
      <c r="J1426" s="6" t="n">
        <f aca="false">Sens!J1403*self_build*tk_cxfac/1000</f>
        <v>14.9008938380769</v>
      </c>
      <c r="K1426" s="6" t="n">
        <f aca="false">Sens!K1403*self_build*tk_cxfac/1000</f>
        <v>5.52576771375761</v>
      </c>
    </row>
    <row r="1427" customFormat="false" ht="17.15" hidden="false" customHeight="false" outlineLevel="0" collapsed="false">
      <c r="A1427" s="0" t="s">
        <v>997</v>
      </c>
      <c r="B1427" s="0" t="s">
        <v>98</v>
      </c>
      <c r="F1427" s="15" t="n">
        <f aca="false">capex_floor27-Sens!F1425-Sens!F1426-Sens!F1523</f>
        <v>0.436923187687576</v>
      </c>
      <c r="L1427" s="12" t="s">
        <v>998</v>
      </c>
    </row>
    <row r="1428" customFormat="false" ht="17.15" hidden="false" customHeight="false" outlineLevel="0" collapsed="false">
      <c r="A1428" s="0" t="s">
        <v>999</v>
      </c>
      <c r="B1428" s="0" t="s">
        <v>98</v>
      </c>
      <c r="F1428" s="6" t="n">
        <f aca="false">MAX(0,Sens!F1427)</f>
        <v>0.436923187687576</v>
      </c>
    </row>
    <row r="1429" customFormat="false" ht="17.15" hidden="false" customHeight="false" outlineLevel="0" collapsed="false">
      <c r="A1429" s="0" t="s">
        <v>1000</v>
      </c>
      <c r="B1429" s="0" t="s">
        <v>98</v>
      </c>
      <c r="C1429" s="6" t="n">
        <f aca="false">Sens!C1425</f>
        <v>22.5333845916667</v>
      </c>
      <c r="D1429" s="6" t="n">
        <f aca="false">Sens!D1425</f>
        <v>34.0300093833333</v>
      </c>
      <c r="E1429" s="6" t="n">
        <f aca="false">Sens!E1425</f>
        <v>67.600153775</v>
      </c>
      <c r="F1429" s="6" t="n">
        <f aca="false">Sens!F1425</f>
        <v>136.51872432512</v>
      </c>
      <c r="G1429" s="6" t="n">
        <f aca="false">Sens!G1425</f>
        <v>157.399275932048</v>
      </c>
      <c r="H1429" s="6" t="n">
        <f aca="false">Sens!H1425</f>
        <v>162.260804347512</v>
      </c>
      <c r="I1429" s="6" t="n">
        <f aca="false">Sens!I1425</f>
        <v>144.136569485434</v>
      </c>
      <c r="J1429" s="6" t="n">
        <f aca="false">Sens!J1425</f>
        <v>114.029037357864</v>
      </c>
      <c r="K1429" s="6" t="n">
        <f aca="false">Sens!K1425</f>
        <v>113.437085350975</v>
      </c>
    </row>
    <row r="1430" customFormat="false" ht="17.15" hidden="false" customHeight="false" outlineLevel="0" collapsed="false">
      <c r="A1430" s="0" t="s">
        <v>1001</v>
      </c>
      <c r="B1430" s="0" t="s">
        <v>98</v>
      </c>
      <c r="C1430" s="6" t="n">
        <f aca="false">Sens!C1429+Sens!C1426</f>
        <v>28.7416845916667</v>
      </c>
      <c r="D1430" s="6" t="n">
        <f aca="false">Sens!D1429+Sens!D1426</f>
        <v>43.4058093833333</v>
      </c>
      <c r="E1430" s="6" t="n">
        <f aca="false">Sens!E1429+Sens!E1426</f>
        <v>86.225053775</v>
      </c>
      <c r="F1430" s="6" t="n">
        <f aca="false">Sens!F1429+Sens!F1426</f>
        <v>168.45390404212</v>
      </c>
      <c r="G1430" s="6" t="n">
        <f aca="false">Sens!G1429+Sens!G1426</f>
        <v>191.944475649048</v>
      </c>
      <c r="H1430" s="6" t="n">
        <f aca="false">Sens!H1429+Sens!H1426</f>
        <v>196.806004064512</v>
      </c>
      <c r="I1430" s="6" t="n">
        <f aca="false">Sens!I1429+Sens!I1426</f>
        <v>168.61483362161</v>
      </c>
      <c r="J1430" s="6" t="n">
        <f aca="false">Sens!J1429+Sens!J1426</f>
        <v>128.92993119594</v>
      </c>
      <c r="K1430" s="6" t="n">
        <f aca="false">Sens!K1429+Sens!K1426</f>
        <v>118.962853064733</v>
      </c>
      <c r="L1430" s="12" t="s">
        <v>1002</v>
      </c>
    </row>
    <row r="1431" customFormat="false" ht="17.15" hidden="false" customHeight="false" outlineLevel="0" collapsed="false">
      <c r="A1431" s="0" t="s">
        <v>1003</v>
      </c>
      <c r="B1431" s="0" t="s">
        <v>98</v>
      </c>
      <c r="E1431" s="6" t="n">
        <f aca="false">(Sens!C1429*IF(2&lt;life_it,1,IF(2=life_it,0.5,0))+Sens!D1429*IF(1&lt;life_it,1,IF(1=life_it,0.5,0))+Sens!E1429*0.5)/life_it</f>
        <v>15.0605784770833</v>
      </c>
      <c r="F1431" s="6" t="n">
        <f aca="false">(Sens!C1429*IF(3&lt;life_it,1,IF(3=life_it,0.5,0))+Sens!D1429*IF(2&lt;life_it,1,IF(2=life_it,0.5,0))+Sens!E1429*IF(1&lt;life_it,1,IF(1=life_it,0.5,0))+Sens!F1429*0.5)/life_it</f>
        <v>32.0704849854266</v>
      </c>
      <c r="G1431" s="6" t="n">
        <f aca="false">(Sens!C1429*IF(4&lt;life_it,1,IF(4=life_it,0.5,0))+Sens!D1429*IF(3&lt;life_it,1,IF(3=life_it,0.5,0))+Sens!E1429*IF(2&lt;life_it,1,IF(2=life_it,0.5,0))+Sens!F1429*IF(1&lt;life_it,1,IF(1=life_it,0.5,0))+Sens!G1429*0.5)/life_it</f>
        <v>56.5636516735239</v>
      </c>
      <c r="H1431" s="6" t="n">
        <f aca="false">(Sens!C1429*IF(5&lt;life_it,1,IF(5=life_it,0.5,0))+Sens!D1429*IF(4&lt;life_it,1,IF(4=life_it,0.5,0))+Sens!E1429*IF(3&lt;life_it,1,IF(3=life_it,0.5,0))+Sens!F1429*IF(2&lt;life_it,1,IF(2=life_it,0.5,0))+Sens!G1429*IF(1&lt;life_it,1,IF(1=life_it,0.5,0))+Sens!H1429*0.5)/life_it</f>
        <v>83.2019916968207</v>
      </c>
      <c r="I1431" s="6" t="n">
        <f aca="false">(Sens!C1429*IF(6&lt;life_it,1,IF(6=life_it,0.5,0))+Sens!D1429*IF(5&lt;life_it,1,IF(5=life_it,0.5,0))+Sens!E1429*IF(4&lt;life_it,1,IF(4=life_it,0.5,0))+Sens!F1429*IF(3&lt;life_it,1,IF(3=life_it,0.5,0))+Sens!G1429*IF(2&lt;life_it,1,IF(2=life_it,0.5,0))+Sens!H1429*IF(1&lt;life_it,1,IF(1=life_it,0.5,0))+Sens!I1429*0.5)/life_it</f>
        <v>106.857324133594</v>
      </c>
      <c r="J1431" s="6" t="n">
        <f aca="false">(Sens!C1429*IF(7&lt;life_it,1,IF(7=life_it,0.5,0))+Sens!D1429*IF(6&lt;life_it,1,IF(6=life_it,0.5,0))+Sens!E1429*IF(5&lt;life_it,1,IF(5=life_it,0.5,0))+Sens!F1429*IF(4&lt;life_it,1,IF(4=life_it,0.5,0))+Sens!G1429*IF(3&lt;life_it,1,IF(3=life_it,0.5,0))+Sens!H1429*IF(2&lt;life_it,1,IF(2=life_it,0.5,0))+Sens!I1429*IF(1&lt;life_it,1,IF(1=life_it,0.5,0))+Sens!J1429*0.5)/life_it</f>
        <v>123.657508539285</v>
      </c>
      <c r="K1431" s="6" t="n">
        <f aca="false">(Sens!C1429*IF(8&lt;life_it,1,IF(8=life_it,0.5,0))+Sens!D1429*IF(7&lt;life_it,1,IF(7=life_it,0.5,0))+Sens!E1429*IF(6&lt;life_it,1,IF(6=life_it,0.5,0))+Sens!F1429*IF(5&lt;life_it,1,IF(5=life_it,0.5,0))+Sens!G1429*IF(4&lt;life_it,1,IF(4=life_it,0.5,0))+Sens!H1429*IF(3&lt;life_it,1,IF(3=life_it,0.5,0))+Sens!I1429*IF(2&lt;life_it,1,IF(2=life_it,0.5,0))+Sens!J1429*IF(1&lt;life_it,1,IF(1=life_it,0.5,0))+Sens!K1429*0.5)/life_it</f>
        <v>134.143838501827</v>
      </c>
    </row>
    <row r="1432" customFormat="false" ht="17.15" hidden="false" customHeight="false" outlineLevel="0" collapsed="false">
      <c r="A1432" s="0" t="s">
        <v>1004</v>
      </c>
      <c r="B1432" s="0" t="s">
        <v>98</v>
      </c>
      <c r="E1432" s="6" t="n">
        <f aca="false">(Sens!C1426*IF(2&lt;life_fac,1,IF(2=life_fac,0.5,0))+Sens!D1426*IF(1&lt;life_fac,1,IF(1=life_fac,0.5,0))+Sens!E1426*0.5)/life_fac</f>
        <v>1.2448275</v>
      </c>
      <c r="F1432" s="6" t="n">
        <f aca="false">(Sens!C1426*IF(3&lt;life_fac,1,IF(3=life_fac,0.5,0))+Sens!D1426*IF(2&lt;life_fac,1,IF(2=life_fac,0.5,0))+Sens!E1426*IF(1&lt;life_fac,1,IF(1=life_fac,0.5,0))+Sens!F1426*0.5)/life_fac</f>
        <v>2.508829492925</v>
      </c>
      <c r="G1432" s="6" t="n">
        <f aca="false">(Sens!C1426*IF(4&lt;life_fac,1,IF(4=life_fac,0.5,0))+Sens!D1426*IF(3&lt;life_fac,1,IF(3=life_fac,0.5,0))+Sens!E1426*IF(2&lt;life_fac,1,IF(2=life_fac,0.5,0))+Sens!F1426*IF(1&lt;life_fac,1,IF(1=life_fac,0.5,0))+Sens!G1426*0.5)/life_fac</f>
        <v>4.170838978775</v>
      </c>
      <c r="H1432" s="6" t="n">
        <f aca="false">(Sens!C1426*IF(5&lt;life_fac,1,IF(5=life_fac,0.5,0))+Sens!D1426*IF(4&lt;life_fac,1,IF(4=life_fac,0.5,0))+Sens!E1426*IF(3&lt;life_fac,1,IF(3=life_fac,0.5,0))+Sens!F1426*IF(2&lt;life_fac,1,IF(2=life_fac,0.5,0))+Sens!G1426*IF(1&lt;life_fac,1,IF(1=life_fac,0.5,0))+Sens!H1426*0.5)/life_fac</f>
        <v>5.898098964625</v>
      </c>
      <c r="I1432" s="6" t="n">
        <f aca="false">(Sens!C1426*IF(6&lt;life_fac,1,IF(6=life_fac,0.5,0))+Sens!D1426*IF(5&lt;life_fac,1,IF(5=life_fac,0.5,0))+Sens!E1426*IF(4&lt;life_fac,1,IF(4=life_fac,0.5,0))+Sens!F1426*IF(3&lt;life_fac,1,IF(3=life_fac,0.5,0))+Sens!G1426*IF(2&lt;life_fac,1,IF(2=life_fac,0.5,0))+Sens!H1426*IF(1&lt;life_fac,1,IF(1=life_fac,0.5,0))+Sens!I1426*0.5)/life_fac</f>
        <v>7.37368556095442</v>
      </c>
      <c r="J1432" s="6" t="n">
        <f aca="false">(Sens!C1426*IF(7&lt;life_fac,1,IF(7=life_fac,0.5,0))+Sens!D1426*IF(6&lt;life_fac,1,IF(6=life_fac,0.5,0))+Sens!E1426*IF(5&lt;life_fac,1,IF(5=life_fac,0.5,0))+Sens!F1426*IF(4&lt;life_fac,1,IF(4=life_fac,0.5,0))+Sens!G1426*IF(3&lt;life_fac,1,IF(3=life_fac,0.5,0))+Sens!H1426*IF(2&lt;life_fac,1,IF(2=life_fac,0.5,0))+Sens!I1426*IF(1&lt;life_fac,1,IF(1=life_fac,0.5,0))+Sens!J1426*0.5)/life_fac</f>
        <v>8.35816451031075</v>
      </c>
      <c r="K1432" s="6" t="n">
        <f aca="false">(Sens!C1426*IF(8&lt;life_fac,1,IF(8=life_fac,0.5,0))+Sens!D1426*IF(7&lt;life_fac,1,IF(7=life_fac,0.5,0))+Sens!E1426*IF(6&lt;life_fac,1,IF(6=life_fac,0.5,0))+Sens!F1426*IF(5&lt;life_fac,1,IF(5=life_fac,0.5,0))+Sens!G1426*IF(4&lt;life_fac,1,IF(4=life_fac,0.5,0))+Sens!H1426*IF(3&lt;life_fac,1,IF(3=life_fac,0.5,0))+Sens!I1426*IF(2&lt;life_fac,1,IF(2=life_fac,0.5,0))+Sens!J1426*IF(1&lt;life_fac,1,IF(1=life_fac,0.5,0))+Sens!K1426*0.5)/life_fac</f>
        <v>8.86883104910662</v>
      </c>
    </row>
    <row r="1433" customFormat="false" ht="17.15" hidden="false" customHeight="false" outlineLevel="0" collapsed="false">
      <c r="A1433" s="0" t="s">
        <v>1005</v>
      </c>
      <c r="B1433" s="0" t="s">
        <v>98</v>
      </c>
      <c r="E1433" s="6" t="n">
        <f aca="false">Sens!E1431+Sens!E1432</f>
        <v>16.3054059770833</v>
      </c>
      <c r="F1433" s="6" t="n">
        <f aca="false">Sens!F1431+Sens!F1432</f>
        <v>34.5793144783516</v>
      </c>
      <c r="G1433" s="6" t="n">
        <f aca="false">Sens!G1431+Sens!G1432</f>
        <v>60.7344906522989</v>
      </c>
      <c r="H1433" s="6" t="n">
        <f aca="false">Sens!H1431+Sens!H1432</f>
        <v>89.1000906614457</v>
      </c>
      <c r="I1433" s="6" t="n">
        <f aca="false">Sens!I1431+Sens!I1432</f>
        <v>114.231009694548</v>
      </c>
      <c r="J1433" s="6" t="n">
        <f aca="false">Sens!J1431+Sens!J1432</f>
        <v>132.015673049596</v>
      </c>
      <c r="K1433" s="6" t="n">
        <f aca="false">Sens!K1431+Sens!K1432</f>
        <v>143.012669550934</v>
      </c>
    </row>
    <row r="1434" customFormat="false" ht="17.15" hidden="false" customHeight="false" outlineLevel="0" collapsed="false">
      <c r="A1434" s="0" t="s">
        <v>1006</v>
      </c>
      <c r="B1434" s="0" t="s">
        <v>98</v>
      </c>
      <c r="E1434" s="6" t="n">
        <f aca="false">Sens!E1421-Sens!E1420*Sens!E1433</f>
        <v>8.92707889977379</v>
      </c>
      <c r="F1434" s="6" t="n">
        <f aca="false">Sens!F1421-Sens!F1420*Sens!F1433</f>
        <v>31.3341332107004</v>
      </c>
      <c r="G1434" s="6" t="n">
        <f aca="false">Sens!G1421-Sens!G1420*Sens!G1433</f>
        <v>58.7974776859533</v>
      </c>
      <c r="H1434" s="6" t="n">
        <f aca="false">Sens!H1421-Sens!H1420*Sens!H1433</f>
        <v>92.4202179330894</v>
      </c>
      <c r="I1434" s="6" t="n">
        <f aca="false">Sens!I1421-Sens!I1420*Sens!I1433</f>
        <v>115.757288517711</v>
      </c>
      <c r="J1434" s="6" t="n">
        <f aca="false">Sens!J1421-Sens!J1420*Sens!J1433</f>
        <v>131.957380111057</v>
      </c>
      <c r="K1434" s="6" t="n">
        <f aca="false">Sens!K1421-Sens!K1420*Sens!K1433</f>
        <v>142.432542047152</v>
      </c>
    </row>
    <row r="1435" customFormat="false" ht="17.15" hidden="false" customHeight="false" outlineLevel="0" collapsed="false">
      <c r="A1435" s="3" t="s">
        <v>1646</v>
      </c>
    </row>
    <row r="1436" customFormat="false" ht="15" hidden="false" customHeight="false" outlineLevel="0" collapsed="false">
      <c r="A1436" s="4" t="s">
        <v>43</v>
      </c>
      <c r="B1436" s="4" t="s">
        <v>65</v>
      </c>
      <c r="C1436" s="23" t="s">
        <v>942</v>
      </c>
      <c r="D1436" s="23" t="s">
        <v>943</v>
      </c>
      <c r="E1436" s="23" t="s">
        <v>944</v>
      </c>
      <c r="F1436" s="23" t="s">
        <v>945</v>
      </c>
      <c r="G1436" s="23" t="s">
        <v>946</v>
      </c>
      <c r="H1436" s="23" t="s">
        <v>947</v>
      </c>
      <c r="I1436" s="23" t="s">
        <v>948</v>
      </c>
      <c r="J1436" s="23" t="s">
        <v>949</v>
      </c>
      <c r="K1436" s="23" t="s">
        <v>950</v>
      </c>
      <c r="L1436" s="4" t="s">
        <v>47</v>
      </c>
    </row>
    <row r="1437" customFormat="false" ht="17.15" hidden="false" customHeight="false" outlineLevel="0" collapsed="false">
      <c r="A1437" s="0" t="s">
        <v>1025</v>
      </c>
      <c r="B1437" s="0" t="s">
        <v>98</v>
      </c>
      <c r="D1437" s="6" t="n">
        <f aca="false">Sens!D1415</f>
        <v>12.9359794422418</v>
      </c>
      <c r="E1437" s="6" t="n">
        <f aca="false">Sens!E1415</f>
        <v>27.8095064661409</v>
      </c>
      <c r="F1437" s="6" t="n">
        <f aca="false">Sens!F1415</f>
        <v>67.9689290499238</v>
      </c>
      <c r="G1437" s="6" t="n">
        <f aca="false">Sens!G1415</f>
        <v>118.969223607578</v>
      </c>
      <c r="H1437" s="6" t="n">
        <f aca="false">Sens!H1415</f>
        <v>176.88922798739</v>
      </c>
      <c r="I1437" s="6" t="n">
        <f aca="false">Sens!I1415</f>
        <v>221.60440049448</v>
      </c>
      <c r="J1437" s="6" t="n">
        <f aca="false">Sens!J1415</f>
        <v>252.76321797188</v>
      </c>
      <c r="K1437" s="6" t="n">
        <f aca="false">Sens!K1415</f>
        <v>272.270603940775</v>
      </c>
    </row>
    <row r="1438" customFormat="false" ht="17.15" hidden="false" customHeight="false" outlineLevel="0" collapsed="false">
      <c r="A1438" s="0" t="s">
        <v>1026</v>
      </c>
      <c r="B1438" s="0" t="s">
        <v>98</v>
      </c>
      <c r="D1438" s="6" t="n">
        <f aca="false">Q!L6-Sens!D1437</f>
        <v>59.6740205577583</v>
      </c>
      <c r="E1438" s="6" t="n">
        <f aca="false">Q!M6-Sens!E1437</f>
        <v>74.1284935338591</v>
      </c>
      <c r="F1438" s="6" t="n">
        <f aca="false">Q!$I$6+(Sens!F1437+Sens!E1438*(1+Sens!F1439))*(1-Q!$E$6/Q!M6)-Sens!F1437</f>
        <v>88.5398730949493</v>
      </c>
      <c r="G1438" s="6" t="n">
        <f aca="false">Sens!F1438*(1+Sens!G1439)</f>
        <v>105.198584287425</v>
      </c>
      <c r="H1438" s="6" t="n">
        <f aca="false">Sens!G1438*(1+Sens!H1439)</f>
        <v>122.14733244712</v>
      </c>
      <c r="I1438" s="6" t="n">
        <f aca="false">Sens!H1438*(1+Sens!I1439)</f>
        <v>138.524190567067</v>
      </c>
      <c r="J1438" s="6" t="n">
        <f aca="false">Sens!I1438*(1+Sens!J1439)</f>
        <v>153.351447827224</v>
      </c>
      <c r="K1438" s="6" t="n">
        <f aca="false">Sens!J1438*(1+Sens!K1439)</f>
        <v>165.619563653401</v>
      </c>
      <c r="L1438" s="12" t="s">
        <v>1027</v>
      </c>
    </row>
    <row r="1439" customFormat="false" ht="15" hidden="false" customHeight="false" outlineLevel="0" collapsed="false">
      <c r="A1439" s="1" t="s">
        <v>1028</v>
      </c>
      <c r="B1439" s="0" t="s">
        <v>168</v>
      </c>
      <c r="E1439" s="7" t="n">
        <f aca="false">Sens!E1438/Sens!D1438-1</f>
        <v>0.242223883039864</v>
      </c>
      <c r="F1439" s="7" t="n">
        <f aca="false">Sens!$E$1439+(glt_azo-Sens!$E$1439)*MIN(1,(Sens!F1396-base_fy)/n_conv)</f>
        <v>0.215186569199887</v>
      </c>
      <c r="G1439" s="7" t="n">
        <f aca="false">Sens!$E$1439+(glt_azo-Sens!$E$1439)*MIN(1,(Sens!G1396-base_fy)/n_conv)</f>
        <v>0.18814925535991</v>
      </c>
      <c r="H1439" s="7" t="n">
        <f aca="false">Sens!$E$1439+(glt_azo-Sens!$E$1439)*MIN(1,(Sens!H1396-base_fy)/n_conv)</f>
        <v>0.161111941519932</v>
      </c>
      <c r="I1439" s="7" t="n">
        <f aca="false">Sens!$E$1439+(glt_azo-Sens!$E$1439)*MIN(1,(Sens!I1396-base_fy)/n_conv)</f>
        <v>0.134074627679955</v>
      </c>
      <c r="J1439" s="7" t="n">
        <f aca="false">Sens!$E$1439+(glt_azo-Sens!$E$1439)*MIN(1,(Sens!J1396-base_fy)/n_conv)</f>
        <v>0.107037313839977</v>
      </c>
      <c r="K1439" s="7" t="n">
        <f aca="false">Sens!$E$1439+(glt_azo-Sens!$E$1439)*MIN(1,(Sens!K1396-base_fy)/n_conv)</f>
        <v>0.08</v>
      </c>
    </row>
    <row r="1440" customFormat="false" ht="15" hidden="false" customHeight="false" outlineLevel="0" collapsed="false">
      <c r="A1440" s="0" t="s">
        <v>1029</v>
      </c>
      <c r="B1440" s="0" t="s">
        <v>98</v>
      </c>
      <c r="D1440" s="6" t="n">
        <f aca="false">Sens!D1437+Sens!D1438</f>
        <v>72.61</v>
      </c>
      <c r="E1440" s="6" t="n">
        <f aca="false">Sens!E1437+Sens!E1438</f>
        <v>101.938</v>
      </c>
      <c r="F1440" s="6" t="n">
        <f aca="false">Sens!F1437+Sens!F1438</f>
        <v>156.508802144873</v>
      </c>
      <c r="G1440" s="6" t="n">
        <f aca="false">Sens!G1437+Sens!G1438</f>
        <v>224.167807895003</v>
      </c>
      <c r="H1440" s="6" t="n">
        <f aca="false">Sens!H1437+Sens!H1438</f>
        <v>299.036560434511</v>
      </c>
      <c r="I1440" s="6" t="n">
        <f aca="false">Sens!I1437+Sens!I1438</f>
        <v>360.128591061548</v>
      </c>
      <c r="J1440" s="6" t="n">
        <f aca="false">Sens!J1437+Sens!J1438</f>
        <v>406.114665799104</v>
      </c>
      <c r="K1440" s="6" t="n">
        <f aca="false">Sens!K1437+Sens!K1438</f>
        <v>437.890167594177</v>
      </c>
    </row>
    <row r="1441" customFormat="false" ht="17.15" hidden="false" customHeight="false" outlineLevel="0" collapsed="false">
      <c r="A1441" s="0" t="s">
        <v>1030</v>
      </c>
      <c r="B1441" s="1" t="s">
        <v>613</v>
      </c>
      <c r="C1441" s="30" t="n">
        <f aca="false">cop_s24</f>
        <v>1</v>
      </c>
      <c r="D1441" s="30" t="n">
        <f aca="false">cop_s25</f>
        <v>5</v>
      </c>
      <c r="E1441" s="30" t="n">
        <f aca="false">cop_s26</f>
        <v>30</v>
      </c>
      <c r="F1441" s="30" t="n">
        <f aca="false">Sens!E1441+cop_add_A</f>
        <v>60</v>
      </c>
      <c r="G1441" s="30" t="n">
        <f aca="false">Sens!F1441+cop_add_A</f>
        <v>90</v>
      </c>
      <c r="H1441" s="30" t="n">
        <f aca="false">Sens!G1441+cop_add_A</f>
        <v>120</v>
      </c>
      <c r="I1441" s="30" t="n">
        <f aca="false">Sens!H1441+cop_add_A*cop_tail</f>
        <v>135</v>
      </c>
      <c r="J1441" s="30" t="n">
        <f aca="false">Sens!I1441+cop_add_A*cop_tail</f>
        <v>150</v>
      </c>
      <c r="K1441" s="30" t="n">
        <f aca="false">Sens!J1441+cop_add_A*cop_tail</f>
        <v>165</v>
      </c>
      <c r="L1441" s="12" t="s">
        <v>1031</v>
      </c>
    </row>
    <row r="1442" customFormat="false" ht="17.15" hidden="false" customHeight="false" outlineLevel="0" collapsed="false">
      <c r="A1442" s="0" t="s">
        <v>1032</v>
      </c>
      <c r="B1442" s="0" t="s">
        <v>98</v>
      </c>
      <c r="D1442" s="6" t="n">
        <f aca="false">(Sens!C1441+Sens!D1441)/2*cop_px*12/1000</f>
        <v>0.9</v>
      </c>
      <c r="E1442" s="6" t="n">
        <f aca="false">(Sens!D1441+Sens!E1441)/2*cop_px*12/1000</f>
        <v>5.25</v>
      </c>
      <c r="F1442" s="6" t="n">
        <f aca="false">(Sens!E1441+Sens!F1441)/2*cop_px*12/1000</f>
        <v>13.5</v>
      </c>
      <c r="G1442" s="6" t="n">
        <f aca="false">(Sens!F1441+Sens!G1441)/2*cop_px*12/1000</f>
        <v>22.5</v>
      </c>
      <c r="H1442" s="6" t="n">
        <f aca="false">(Sens!G1441+Sens!H1441)/2*cop_px*12/1000</f>
        <v>31.5</v>
      </c>
      <c r="I1442" s="6" t="n">
        <f aca="false">(Sens!H1441+Sens!I1441)/2*cop_px*12/1000</f>
        <v>38.25</v>
      </c>
      <c r="J1442" s="6" t="n">
        <f aca="false">(Sens!I1441+Sens!J1441)/2*cop_px*12/1000</f>
        <v>42.75</v>
      </c>
      <c r="K1442" s="6" t="n">
        <f aca="false">(Sens!J1441+Sens!K1441)/2*cop_px*12/1000</f>
        <v>47.25</v>
      </c>
      <c r="L1442" s="1" t="s">
        <v>1033</v>
      </c>
    </row>
    <row r="1443" customFormat="false" ht="17.15" hidden="false" customHeight="false" outlineLevel="0" collapsed="false">
      <c r="A1443" s="0" t="s">
        <v>1034</v>
      </c>
      <c r="B1443" s="0" t="s">
        <v>98</v>
      </c>
      <c r="D1443" s="6" t="n">
        <f aca="false">Q!L7-Sens!D1442</f>
        <v>83.705</v>
      </c>
      <c r="E1443" s="6" t="n">
        <f aca="false">Q!M7-Sens!E1442</f>
        <v>95.049</v>
      </c>
      <c r="F1443" s="6" t="n">
        <f aca="false">Q!$I$7+(Sens!E1443*(1+Sens!F1444)+Sens!F1442)*(1-Q!$E$7/Q!M7)-Sens!F1442</f>
        <v>106.229653205718</v>
      </c>
      <c r="G1443" s="6" t="n">
        <f aca="false">Sens!F1443*(1+Sens!G1444)</f>
        <v>118.306092647576</v>
      </c>
      <c r="H1443" s="6" t="n">
        <f aca="false">Sens!G1443*(1+Sens!H1444)</f>
        <v>130.463437602768</v>
      </c>
      <c r="I1443" s="6" t="n">
        <f aca="false">Sens!H1443*(1+Sens!I1444)</f>
        <v>142.445354741933</v>
      </c>
      <c r="J1443" s="6" t="n">
        <f aca="false">Sens!I1443*(1+Sens!J1444)</f>
        <v>153.972117481571</v>
      </c>
      <c r="K1443" s="6" t="n">
        <f aca="false">Sens!J1443*(1+Sens!K1444)</f>
        <v>164.75016570528</v>
      </c>
      <c r="L1443" s="12" t="s">
        <v>1035</v>
      </c>
    </row>
    <row r="1444" customFormat="false" ht="15" hidden="false" customHeight="false" outlineLevel="0" collapsed="false">
      <c r="A1444" s="1" t="s">
        <v>1028</v>
      </c>
      <c r="B1444" s="0" t="s">
        <v>168</v>
      </c>
      <c r="E1444" s="7" t="n">
        <f aca="false">Sens!E1443/Sens!D1443-1</f>
        <v>0.135523564900544</v>
      </c>
      <c r="F1444" s="7" t="n">
        <f aca="false">Sens!$E$1444+(glt_m365b-Sens!$E$1444)*MIN(1,(Sens!F1396-base_fy)/n_conv)</f>
        <v>0.124602970750453</v>
      </c>
      <c r="G1444" s="7" t="n">
        <f aca="false">Sens!$E$1444+(glt_m365b-Sens!$E$1444)*MIN(1,(Sens!G1396-base_fy)/n_conv)</f>
        <v>0.113682376600363</v>
      </c>
      <c r="H1444" s="7" t="n">
        <f aca="false">Sens!$E$1444+(glt_m365b-Sens!$E$1444)*MIN(1,(Sens!H1396-base_fy)/n_conv)</f>
        <v>0.102761782450272</v>
      </c>
      <c r="I1444" s="7" t="n">
        <f aca="false">Sens!$E$1444+(glt_m365b-Sens!$E$1444)*MIN(1,(Sens!I1396-base_fy)/n_conv)</f>
        <v>0.0918411883001813</v>
      </c>
      <c r="J1444" s="7" t="n">
        <f aca="false">Sens!$E$1444+(glt_m365b-Sens!$E$1444)*MIN(1,(Sens!J1396-base_fy)/n_conv)</f>
        <v>0.0809205941500906</v>
      </c>
      <c r="K1444" s="7" t="n">
        <f aca="false">Sens!$E$1444+(glt_m365b-Sens!$E$1444)*MIN(1,(Sens!K1396-base_fy)/n_conv)</f>
        <v>0.07</v>
      </c>
    </row>
    <row r="1445" customFormat="false" ht="15" hidden="false" customHeight="false" outlineLevel="0" collapsed="false">
      <c r="A1445" s="0" t="s">
        <v>1036</v>
      </c>
      <c r="B1445" s="0" t="s">
        <v>98</v>
      </c>
      <c r="D1445" s="6" t="n">
        <f aca="false">Sens!D1443+Sens!D1442</f>
        <v>84.605</v>
      </c>
      <c r="E1445" s="6" t="n">
        <f aca="false">Sens!E1443+Sens!E1442</f>
        <v>100.299</v>
      </c>
      <c r="F1445" s="6" t="n">
        <f aca="false">Sens!F1443+Sens!F1442</f>
        <v>119.729653205718</v>
      </c>
      <c r="G1445" s="6" t="n">
        <f aca="false">Sens!G1443+Sens!G1442</f>
        <v>140.806092647576</v>
      </c>
      <c r="H1445" s="6" t="n">
        <f aca="false">Sens!H1443+Sens!H1442</f>
        <v>161.963437602768</v>
      </c>
      <c r="I1445" s="6" t="n">
        <f aca="false">Sens!I1443+Sens!I1442</f>
        <v>180.695354741933</v>
      </c>
      <c r="J1445" s="6" t="n">
        <f aca="false">Sens!J1443+Sens!J1442</f>
        <v>196.722117481571</v>
      </c>
      <c r="K1445" s="6" t="n">
        <f aca="false">Sens!K1443+Sens!K1442</f>
        <v>212.00016570528</v>
      </c>
    </row>
    <row r="1446" customFormat="false" ht="17.15" hidden="false" customHeight="false" outlineLevel="0" collapsed="false">
      <c r="A1446" s="0" t="s">
        <v>1037</v>
      </c>
      <c r="B1446" s="0" t="s">
        <v>98</v>
      </c>
      <c r="D1446" s="6" t="n">
        <f aca="false">Q!L8</f>
        <v>35.391</v>
      </c>
      <c r="E1446" s="6" t="n">
        <f aca="false">Q!M8</f>
        <v>37.285</v>
      </c>
      <c r="F1446" s="6" t="n">
        <f aca="false">Q!$I$8+(Q!M8-Q!$E$8)*(1+Sens!F1447)</f>
        <v>38.3851437782675</v>
      </c>
      <c r="G1446" s="6" t="n">
        <f aca="false">Sens!F1446*(1+Sens!G1447)</f>
        <v>40.0105353288615</v>
      </c>
      <c r="H1446" s="6" t="n">
        <f aca="false">Sens!G1446*(1+Sens!H1447)</f>
        <v>41.4812512033683</v>
      </c>
      <c r="I1446" s="6" t="n">
        <f aca="false">Sens!H1446*(1+Sens!I1447)</f>
        <v>42.7743107216329</v>
      </c>
      <c r="J1446" s="6" t="n">
        <f aca="false">Sens!I1446*(1+Sens!J1447)</f>
        <v>43.8687373064601</v>
      </c>
      <c r="K1446" s="6" t="n">
        <f aca="false">Sens!J1446*(1+Sens!K1447)</f>
        <v>44.7461120525893</v>
      </c>
      <c r="L1446" s="12" t="s">
        <v>1038</v>
      </c>
    </row>
    <row r="1447" customFormat="false" ht="15" hidden="false" customHeight="false" outlineLevel="0" collapsed="false">
      <c r="A1447" s="1" t="s">
        <v>1028</v>
      </c>
      <c r="B1447" s="0" t="s">
        <v>168</v>
      </c>
      <c r="E1447" s="7" t="n">
        <f aca="false">Sens!E1446/Sens!D1446-1</f>
        <v>0.0535164307309768</v>
      </c>
      <c r="F1447" s="7" t="n">
        <f aca="false">Sens!$E$1447+(glt_lic-Sens!$E$1447)*MIN(1,(Sens!F1396-base_fy)/n_conv)</f>
        <v>0.0479303589424807</v>
      </c>
      <c r="G1447" s="7" t="n">
        <f aca="false">Sens!$E$1447+(glt_lic-Sens!$E$1447)*MIN(1,(Sens!G1396-base_fy)/n_conv)</f>
        <v>0.0423442871539845</v>
      </c>
      <c r="H1447" s="7" t="n">
        <f aca="false">Sens!$E$1447+(glt_lic-Sens!$E$1447)*MIN(1,(Sens!H1396-base_fy)/n_conv)</f>
        <v>0.0367582153654884</v>
      </c>
      <c r="I1447" s="7" t="n">
        <f aca="false">Sens!$E$1447+(glt_lic-Sens!$E$1447)*MIN(1,(Sens!I1396-base_fy)/n_conv)</f>
        <v>0.0311721435769923</v>
      </c>
      <c r="J1447" s="7" t="n">
        <f aca="false">Sens!$E$1447+(glt_lic-Sens!$E$1447)*MIN(1,(Sens!J1396-base_fy)/n_conv)</f>
        <v>0.0255860717884961</v>
      </c>
      <c r="K1447" s="7" t="n">
        <f aca="false">Sens!$E$1447+(glt_lic-Sens!$E$1447)*MIN(1,(Sens!K1396-base_fy)/n_conv)</f>
        <v>0.02</v>
      </c>
    </row>
    <row r="1448" customFormat="false" ht="17.15" hidden="false" customHeight="false" outlineLevel="0" collapsed="false">
      <c r="A1448" s="0" t="s">
        <v>1039</v>
      </c>
      <c r="B1448" s="0" t="s">
        <v>98</v>
      </c>
      <c r="D1448" s="6" t="n">
        <f aca="false">Q!L9</f>
        <v>18.417</v>
      </c>
      <c r="E1448" s="6" t="n">
        <f aca="false">Q!M9</f>
        <v>20.345</v>
      </c>
      <c r="F1448" s="6" t="n">
        <f aca="false">Q!$I$9+(Q!M9-Q!$E$9)*(1+Sens!F1449)</f>
        <v>22.3161797133988</v>
      </c>
      <c r="G1448" s="6" t="n">
        <f aca="false">Sens!F1448*(1+Sens!G1449)</f>
        <v>24.3943499673233</v>
      </c>
      <c r="H1448" s="6" t="n">
        <f aca="false">Sens!G1448*(1+Sens!H1449)</f>
        <v>26.5250243109019</v>
      </c>
      <c r="I1448" s="6" t="n">
        <f aca="false">Sens!H1448*(1+Sens!I1449)</f>
        <v>28.6884573538181</v>
      </c>
      <c r="J1448" s="6" t="n">
        <f aca="false">Sens!I1448*(1+Sens!J1449)</f>
        <v>30.8624968052127</v>
      </c>
      <c r="K1448" s="6" t="n">
        <f aca="false">Sens!J1448*(1+Sens!K1449)</f>
        <v>33.0228715815776</v>
      </c>
      <c r="L1448" s="12" t="s">
        <v>1038</v>
      </c>
    </row>
    <row r="1449" customFormat="false" ht="15" hidden="false" customHeight="false" outlineLevel="0" collapsed="false">
      <c r="A1449" s="1" t="s">
        <v>1028</v>
      </c>
      <c r="B1449" s="0" t="s">
        <v>168</v>
      </c>
      <c r="E1449" s="7" t="n">
        <f aca="false">Sens!E1448/Sens!D1448-1</f>
        <v>0.104685888038225</v>
      </c>
      <c r="F1449" s="7" t="n">
        <f aca="false">Sens!$E$1449+(glt_ind-Sens!$E$1449)*MIN(1,(Sens!F1396-base_fy)/n_conv)</f>
        <v>0.0989049066985211</v>
      </c>
      <c r="G1449" s="7" t="n">
        <f aca="false">Sens!$E$1449+(glt_ind-Sens!$E$1449)*MIN(1,(Sens!G1396-base_fy)/n_conv)</f>
        <v>0.0931239253588169</v>
      </c>
      <c r="H1449" s="7" t="n">
        <f aca="false">Sens!$E$1449+(glt_ind-Sens!$E$1449)*MIN(1,(Sens!H1396-base_fy)/n_conv)</f>
        <v>0.0873429440191127</v>
      </c>
      <c r="I1449" s="7" t="n">
        <f aca="false">Sens!$E$1449+(glt_ind-Sens!$E$1449)*MIN(1,(Sens!I1396-base_fy)/n_conv)</f>
        <v>0.0815619626794085</v>
      </c>
      <c r="J1449" s="7" t="n">
        <f aca="false">Sens!$E$1449+(glt_ind-Sens!$E$1449)*MIN(1,(Sens!J1396-base_fy)/n_conv)</f>
        <v>0.0757809813397042</v>
      </c>
      <c r="K1449" s="7" t="n">
        <f aca="false">Sens!$E$1449+(glt_ind-Sens!$E$1449)*MIN(1,(Sens!K1396-base_fy)/n_conv)</f>
        <v>0.07</v>
      </c>
    </row>
    <row r="1450" customFormat="false" ht="17.15" hidden="false" customHeight="false" outlineLevel="0" collapsed="false">
      <c r="A1450" s="0" t="s">
        <v>1040</v>
      </c>
      <c r="B1450" s="0" t="s">
        <v>98</v>
      </c>
      <c r="D1450" s="6" t="n">
        <f aca="false">Q!L10</f>
        <v>7.76</v>
      </c>
      <c r="E1450" s="6" t="n">
        <f aca="false">Q!M10</f>
        <v>8.26</v>
      </c>
      <c r="F1450" s="6" t="n">
        <f aca="false">Q!$I$10+(Q!M10-Q!$E$10)*(1+Sens!F1451)</f>
        <v>8.75372082474227</v>
      </c>
      <c r="G1450" s="6" t="n">
        <f aca="false">Sens!F1450*(1+Sens!G1451)</f>
        <v>9.33399324642364</v>
      </c>
      <c r="H1450" s="6" t="n">
        <f aca="false">Sens!G1450*(1+Sens!H1451)</f>
        <v>9.96139155535851</v>
      </c>
      <c r="I1450" s="6" t="n">
        <f aca="false">Sens!H1450*(1+Sens!I1451)</f>
        <v>10.6402039077391</v>
      </c>
      <c r="J1450" s="6" t="n">
        <f aca="false">Sens!I1450*(1+Sens!J1451)</f>
        <v>11.3751458271397</v>
      </c>
      <c r="K1450" s="6" t="n">
        <f aca="false">Sens!J1450*(1+Sens!K1451)</f>
        <v>12.1714060350394</v>
      </c>
      <c r="L1450" s="12" t="s">
        <v>1038</v>
      </c>
    </row>
    <row r="1451" customFormat="false" ht="15" hidden="false" customHeight="false" outlineLevel="0" collapsed="false">
      <c r="A1451" s="1" t="s">
        <v>1028</v>
      </c>
      <c r="B1451" s="0" t="s">
        <v>168</v>
      </c>
      <c r="E1451" s="7" t="n">
        <f aca="false">Sens!E1450/Sens!D1450-1</f>
        <v>0.0644329896907216</v>
      </c>
      <c r="F1451" s="7" t="n">
        <f aca="false">Sens!$E$1451+(glt_fro-Sens!$E$1451)*MIN(1,(Sens!F1396-base_fy)/n_conv)</f>
        <v>0.065360824742268</v>
      </c>
      <c r="G1451" s="7" t="n">
        <f aca="false">Sens!$E$1451+(glt_fro-Sens!$E$1451)*MIN(1,(Sens!G1396-base_fy)/n_conv)</f>
        <v>0.0662886597938144</v>
      </c>
      <c r="H1451" s="7" t="n">
        <f aca="false">Sens!$E$1451+(glt_fro-Sens!$E$1451)*MIN(1,(Sens!H1396-base_fy)/n_conv)</f>
        <v>0.0672164948453608</v>
      </c>
      <c r="I1451" s="7" t="n">
        <f aca="false">Sens!$E$1451+(glt_fro-Sens!$E$1451)*MIN(1,(Sens!I1396-base_fy)/n_conv)</f>
        <v>0.0681443298969072</v>
      </c>
      <c r="J1451" s="7" t="n">
        <f aca="false">Sens!$E$1451+(glt_fro-Sens!$E$1451)*MIN(1,(Sens!J1396-base_fy)/n_conv)</f>
        <v>0.0690721649484536</v>
      </c>
      <c r="K1451" s="7" t="n">
        <f aca="false">Sens!$E$1451+(glt_fro-Sens!$E$1451)*MIN(1,(Sens!K1396-base_fy)/n_conv)</f>
        <v>0.07</v>
      </c>
    </row>
    <row r="1452" customFormat="false" ht="15" hidden="false" customHeight="false" outlineLevel="0" collapsed="false">
      <c r="A1452" s="0" t="s">
        <v>856</v>
      </c>
      <c r="B1452" s="0" t="s">
        <v>98</v>
      </c>
      <c r="D1452" s="6" t="n">
        <f aca="false">Sens!D1440+Sens!D1445+Sens!D1446+Sens!D1448+Sens!D1450</f>
        <v>218.783</v>
      </c>
      <c r="E1452" s="6" t="n">
        <f aca="false">Sens!E1440+Sens!E1445+Sens!E1446+Sens!E1448+Sens!E1450</f>
        <v>268.127</v>
      </c>
      <c r="F1452" s="6" t="n">
        <f aca="false">Sens!F1440+Sens!F1445+Sens!F1446+Sens!F1448+Sens!F1450</f>
        <v>345.693499667</v>
      </c>
      <c r="G1452" s="6" t="n">
        <f aca="false">Sens!G1440+Sens!G1445+Sens!G1446+Sens!G1448+Sens!G1450</f>
        <v>438.712779085188</v>
      </c>
      <c r="H1452" s="6" t="n">
        <f aca="false">Sens!H1440+Sens!H1445+Sens!H1446+Sens!H1448+Sens!H1450</f>
        <v>538.967665106907</v>
      </c>
      <c r="I1452" s="6" t="n">
        <f aca="false">Sens!I1440+Sens!I1445+Sens!I1446+Sens!I1448+Sens!I1450</f>
        <v>622.926917786671</v>
      </c>
      <c r="J1452" s="6" t="n">
        <f aca="false">Sens!J1440+Sens!J1445+Sens!J1446+Sens!J1448+Sens!J1450</f>
        <v>688.943163219487</v>
      </c>
      <c r="K1452" s="6" t="n">
        <f aca="false">Sens!K1440+Sens!K1445+Sens!K1446+Sens!K1448+Sens!K1450</f>
        <v>739.830722968663</v>
      </c>
    </row>
    <row r="1453" customFormat="false" ht="17.15" hidden="false" customHeight="false" outlineLevel="0" collapsed="false">
      <c r="A1453" s="0" t="s">
        <v>1041</v>
      </c>
      <c r="B1453" s="0" t="s">
        <v>98</v>
      </c>
      <c r="D1453" s="6" t="n">
        <f aca="false">Q!L13</f>
        <v>22.171</v>
      </c>
      <c r="E1453" s="6" t="n">
        <f aca="false">Q!M13</f>
        <v>24.835</v>
      </c>
      <c r="F1453" s="6" t="n">
        <f aca="false">Q!$I$13+(Q!M13-Q!$E$13)*(1+Sens!F1454)</f>
        <v>27.5591895660247</v>
      </c>
      <c r="G1453" s="6" t="n">
        <f aca="false">Sens!F1453*(1+Sens!G1454)</f>
        <v>30.4098563144583</v>
      </c>
      <c r="H1453" s="6" t="n">
        <f aca="false">Sens!G1453*(1+Sens!H1454)</f>
        <v>33.3011792571777</v>
      </c>
      <c r="I1453" s="6" t="n">
        <f aca="false">Sens!H1453*(1+Sens!I1454)</f>
        <v>36.189023797112</v>
      </c>
      <c r="J1453" s="6" t="n">
        <f aca="false">Sens!I1453*(1+Sens!J1454)</f>
        <v>39.0247773769199</v>
      </c>
      <c r="K1453" s="6" t="n">
        <f aca="false">Sens!J1453*(1+Sens!K1454)</f>
        <v>41.7565117933043</v>
      </c>
      <c r="L1453" s="12" t="s">
        <v>1038</v>
      </c>
    </row>
    <row r="1454" customFormat="false" ht="15" hidden="false" customHeight="false" outlineLevel="0" collapsed="false">
      <c r="A1454" s="1" t="s">
        <v>1028</v>
      </c>
      <c r="B1454" s="0" t="s">
        <v>168</v>
      </c>
      <c r="E1454" s="7" t="n">
        <f aca="false">Sens!E1453/Sens!D1453-1</f>
        <v>0.120156961796942</v>
      </c>
      <c r="F1454" s="7" t="n">
        <f aca="false">Sens!$E$1454+(glt_srch-Sens!$E$1454)*MIN(1,(Sens!F1396-base_fy)/n_conv)</f>
        <v>0.111797468164118</v>
      </c>
      <c r="G1454" s="7" t="n">
        <f aca="false">Sens!$E$1454+(glt_srch-Sens!$E$1454)*MIN(1,(Sens!G1396-base_fy)/n_conv)</f>
        <v>0.103437974531295</v>
      </c>
      <c r="H1454" s="7" t="n">
        <f aca="false">Sens!$E$1454+(glt_srch-Sens!$E$1454)*MIN(1,(Sens!H1396-base_fy)/n_conv)</f>
        <v>0.095078480898471</v>
      </c>
      <c r="I1454" s="7" t="n">
        <f aca="false">Sens!$E$1454+(glt_srch-Sens!$E$1454)*MIN(1,(Sens!I1396-base_fy)/n_conv)</f>
        <v>0.0867189872656474</v>
      </c>
      <c r="J1454" s="7" t="n">
        <f aca="false">Sens!$E$1454+(glt_srch-Sens!$E$1454)*MIN(1,(Sens!J1396-base_fy)/n_conv)</f>
        <v>0.0783594936328237</v>
      </c>
      <c r="K1454" s="7" t="n">
        <f aca="false">Sens!$E$1454+(glt_srch-Sens!$E$1454)*MIN(1,(Sens!K1396-base_fy)/n_conv)</f>
        <v>0.07</v>
      </c>
    </row>
    <row r="1455" customFormat="false" ht="17.15" hidden="false" customHeight="false" outlineLevel="0" collapsed="false">
      <c r="A1455" s="0" t="s">
        <v>1042</v>
      </c>
      <c r="B1455" s="0" t="s">
        <v>98</v>
      </c>
      <c r="D1455" s="6" t="n">
        <f aca="false">Q!L14</f>
        <v>23.455</v>
      </c>
      <c r="E1455" s="6" t="n">
        <f aca="false">Q!M14</f>
        <v>21.79</v>
      </c>
      <c r="F1455" s="6" t="n">
        <f aca="false">Q!$I$14+(Q!M14-Q!$E$14)*(1+Sens!F1456)</f>
        <v>20.7520981041711</v>
      </c>
      <c r="G1455" s="6" t="n">
        <f aca="false">Sens!F1455*(1+Sens!G1456)</f>
        <v>19.9083593495882</v>
      </c>
      <c r="H1455" s="6" t="n">
        <f aca="false">Sens!G1455*(1+Sens!H1456)</f>
        <v>19.4008256265831</v>
      </c>
      <c r="I1455" s="6" t="n">
        <f aca="false">Sens!H1455*(1+Sens!I1456)</f>
        <v>19.200434522122</v>
      </c>
      <c r="J1455" s="6" t="n">
        <f aca="false">Sens!I1455*(1+Sens!J1456)</f>
        <v>19.2932782348507</v>
      </c>
      <c r="K1455" s="6" t="n">
        <f aca="false">Sens!J1455*(1+Sens!K1456)</f>
        <v>19.6791437995477</v>
      </c>
      <c r="L1455" s="12" t="s">
        <v>1038</v>
      </c>
    </row>
    <row r="1456" customFormat="false" ht="15" hidden="false" customHeight="false" outlineLevel="0" collapsed="false">
      <c r="A1456" s="1" t="s">
        <v>1028</v>
      </c>
      <c r="B1456" s="0" t="s">
        <v>168</v>
      </c>
      <c r="E1456" s="7" t="n">
        <f aca="false">Sens!E1455/Sens!D1455-1</f>
        <v>-0.0709869963760392</v>
      </c>
      <c r="F1456" s="7" t="n">
        <f aca="false">Sens!$E$1456+(glt_xbox-Sens!$E$1456)*MIN(1,(Sens!F1396-base_fy)/n_conv)</f>
        <v>-0.0558224969800327</v>
      </c>
      <c r="G1456" s="7" t="n">
        <f aca="false">Sens!$E$1456+(glt_xbox-Sens!$E$1456)*MIN(1,(Sens!G1396-base_fy)/n_conv)</f>
        <v>-0.0406579975840262</v>
      </c>
      <c r="H1456" s="7" t="n">
        <f aca="false">Sens!$E$1456+(glt_xbox-Sens!$E$1456)*MIN(1,(Sens!H1396-base_fy)/n_conv)</f>
        <v>-0.0254934981880196</v>
      </c>
      <c r="I1456" s="7" t="n">
        <f aca="false">Sens!$E$1456+(glt_xbox-Sens!$E$1456)*MIN(1,(Sens!I1396-base_fy)/n_conv)</f>
        <v>-0.0103289987920131</v>
      </c>
      <c r="J1456" s="7" t="n">
        <f aca="false">Sens!$E$1456+(glt_xbox-Sens!$E$1456)*MIN(1,(Sens!J1396-base_fy)/n_conv)</f>
        <v>0.00483550060399347</v>
      </c>
      <c r="K1456" s="7" t="n">
        <f aca="false">Sens!$E$1456+(glt_xbox-Sens!$E$1456)*MIN(1,(Sens!K1396-base_fy)/n_conv)</f>
        <v>0.02</v>
      </c>
    </row>
    <row r="1457" customFormat="false" ht="17.15" hidden="false" customHeight="false" outlineLevel="0" collapsed="false">
      <c r="A1457" s="0" t="s">
        <v>1043</v>
      </c>
      <c r="B1457" s="0" t="s">
        <v>98</v>
      </c>
      <c r="D1457" s="6" t="n">
        <f aca="false">Q!L15</f>
        <v>17.315</v>
      </c>
      <c r="E1457" s="6" t="n">
        <f aca="false">Q!M15</f>
        <v>17.087</v>
      </c>
      <c r="F1457" s="6" t="n">
        <f aca="false">Q!$I$15+(Q!M15-Q!$E$15)*(1+Sens!F1458)</f>
        <v>15.9912273250553</v>
      </c>
      <c r="G1457" s="6" t="n">
        <f aca="false">Sens!F1457*(1+Sens!G1458)</f>
        <v>15.9574562664827</v>
      </c>
      <c r="H1457" s="6" t="n">
        <f aca="false">Sens!G1457*(1+Sens!H1458)</f>
        <v>16.0119687434196</v>
      </c>
      <c r="I1457" s="6" t="n">
        <f aca="false">Sens!H1457*(1+Sens!I1458)</f>
        <v>16.1551810001948</v>
      </c>
      <c r="J1457" s="6" t="n">
        <f aca="false">Sens!I1457*(1+Sens!J1458)</f>
        <v>16.3889793892005</v>
      </c>
      <c r="K1457" s="6" t="n">
        <f aca="false">Sens!J1457*(1+Sens!K1458)</f>
        <v>16.7167589769845</v>
      </c>
      <c r="L1457" s="12" t="s">
        <v>1038</v>
      </c>
    </row>
    <row r="1458" customFormat="false" ht="15" hidden="false" customHeight="false" outlineLevel="0" collapsed="false">
      <c r="A1458" s="1" t="s">
        <v>1028</v>
      </c>
      <c r="B1458" s="0" t="s">
        <v>168</v>
      </c>
      <c r="E1458" s="7" t="n">
        <f aca="false">Sens!E1457/Sens!D1457-1</f>
        <v>-0.0131677736066995</v>
      </c>
      <c r="F1458" s="7" t="n">
        <f aca="false">Sens!$E$1458+(glt_win-Sens!$E$1458)*MIN(1,(Sens!F1396-base_fy)/n_conv)</f>
        <v>-0.00763981133891627</v>
      </c>
      <c r="G1458" s="7" t="n">
        <f aca="false">Sens!$E$1458+(glt_win-Sens!$E$1458)*MIN(1,(Sens!G1396-base_fy)/n_conv)</f>
        <v>-0.00211184907113301</v>
      </c>
      <c r="H1458" s="7" t="n">
        <f aca="false">Sens!$E$1458+(glt_win-Sens!$E$1458)*MIN(1,(Sens!H1396-base_fy)/n_conv)</f>
        <v>0.00341611319665024</v>
      </c>
      <c r="I1458" s="7" t="n">
        <f aca="false">Sens!$E$1458+(glt_win-Sens!$E$1458)*MIN(1,(Sens!I1396-base_fy)/n_conv)</f>
        <v>0.00894407546443349</v>
      </c>
      <c r="J1458" s="7" t="n">
        <f aca="false">Sens!$E$1458+(glt_win-Sens!$E$1458)*MIN(1,(Sens!J1396-base_fy)/n_conv)</f>
        <v>0.0144720377322168</v>
      </c>
      <c r="K1458" s="7" t="n">
        <f aca="false">Sens!$E$1458+(glt_win-Sens!$E$1458)*MIN(1,(Sens!K1396-base_fy)/n_conv)</f>
        <v>0.02</v>
      </c>
    </row>
    <row r="1459" customFormat="false" ht="15" hidden="false" customHeight="false" outlineLevel="0" collapsed="false">
      <c r="A1459" s="0" t="s">
        <v>870</v>
      </c>
      <c r="B1459" s="0" t="s">
        <v>98</v>
      </c>
      <c r="D1459" s="6" t="n">
        <f aca="false">Sens!D1453+Sens!D1455+Sens!D1457</f>
        <v>62.941</v>
      </c>
      <c r="E1459" s="6" t="n">
        <f aca="false">Sens!E1453+Sens!E1455+Sens!E1457</f>
        <v>63.712</v>
      </c>
      <c r="F1459" s="6" t="n">
        <f aca="false">Sens!F1453+Sens!F1455+Sens!F1457</f>
        <v>64.3025149952511</v>
      </c>
      <c r="G1459" s="6" t="n">
        <f aca="false">Sens!G1453+Sens!G1455+Sens!G1457</f>
        <v>66.2756719305292</v>
      </c>
      <c r="H1459" s="6" t="n">
        <f aca="false">Sens!H1453+Sens!H1455+Sens!H1457</f>
        <v>68.7139736271804</v>
      </c>
      <c r="I1459" s="6" t="n">
        <f aca="false">Sens!I1453+Sens!I1455+Sens!I1457</f>
        <v>71.5446393194289</v>
      </c>
      <c r="J1459" s="6" t="n">
        <f aca="false">Sens!J1453+Sens!J1455+Sens!J1457</f>
        <v>74.707035000971</v>
      </c>
      <c r="K1459" s="6" t="n">
        <f aca="false">Sens!K1453+Sens!K1455+Sens!K1457</f>
        <v>78.1524145698365</v>
      </c>
    </row>
    <row r="1460" customFormat="false" ht="15" hidden="false" customHeight="false" outlineLevel="0" collapsed="false">
      <c r="A1460" s="1" t="s">
        <v>1044</v>
      </c>
      <c r="B1460" s="0" t="s">
        <v>98</v>
      </c>
      <c r="D1460" s="6" t="n">
        <f aca="false">Sens!D1452+Sens!D1459</f>
        <v>281.724</v>
      </c>
      <c r="E1460" s="6" t="n">
        <f aca="false">Sens!E1452+Sens!E1459</f>
        <v>331.839</v>
      </c>
      <c r="F1460" s="6" t="n">
        <f aca="false">Sens!F1452+Sens!F1459</f>
        <v>409.996014662251</v>
      </c>
      <c r="G1460" s="6" t="n">
        <f aca="false">Sens!G1452+Sens!G1459</f>
        <v>504.988451015717</v>
      </c>
      <c r="H1460" s="6" t="n">
        <f aca="false">Sens!H1452+Sens!H1459</f>
        <v>607.681638734088</v>
      </c>
      <c r="I1460" s="6" t="n">
        <f aca="false">Sens!I1452+Sens!I1459</f>
        <v>694.471557106099</v>
      </c>
      <c r="J1460" s="6" t="n">
        <f aca="false">Sens!J1452+Sens!J1459</f>
        <v>763.650198220458</v>
      </c>
      <c r="K1460" s="6" t="n">
        <f aca="false">Sens!K1452+Sens!K1459</f>
        <v>817.9831375385</v>
      </c>
    </row>
    <row r="1461" customFormat="false" ht="15" hidden="false" customHeight="false" outlineLevel="0" collapsed="false">
      <c r="A1461" s="26" t="s">
        <v>1045</v>
      </c>
      <c r="B1461" s="31" t="s">
        <v>98</v>
      </c>
      <c r="C1461" s="31"/>
      <c r="D1461" s="27" t="n">
        <f aca="false">(Sens!D1440+Sens!D1445+Sens!D1446+Sens!D1448+Sens!D1450-Sens!D1452)+(Sens!D1453+Sens!D1455+Sens!D1457-Sens!D1459)+(Sens!D1452-Q!L5)+(Sens!D1459-Q!L12)+(Sens!D1440-Q!L6)+(Sens!D1445-Q!L7)</f>
        <v>0</v>
      </c>
      <c r="E1461" s="27" t="n">
        <f aca="false">(Sens!E1440+Sens!E1445+Sens!E1446+Sens!E1448+Sens!E1450-Sens!E1452)+(Sens!E1453+Sens!E1455+Sens!E1457-Sens!E1459)+(Sens!E1452-Q!M5)+(Sens!E1459-Q!M12)+(Sens!E1440-Q!M6)+(Sens!E1445-Q!M7)</f>
        <v>0</v>
      </c>
      <c r="F1461" s="27" t="n">
        <f aca="false">(Sens!F1440+Sens!F1445+Sens!F1446+Sens!F1448+Sens!F1450-Sens!F1452)+(Sens!F1453+Sens!F1455+Sens!F1457-Sens!F1459)</f>
        <v>0</v>
      </c>
      <c r="G1461" s="27" t="n">
        <f aca="false">(Sens!G1440+Sens!G1445+Sens!G1446+Sens!G1448+Sens!G1450-Sens!G1452)+(Sens!G1453+Sens!G1455+Sens!G1457-Sens!G1459)</f>
        <v>0</v>
      </c>
      <c r="H1461" s="27" t="n">
        <f aca="false">(Sens!H1440+Sens!H1445+Sens!H1446+Sens!H1448+Sens!H1450-Sens!H1452)+(Sens!H1453+Sens!H1455+Sens!H1457-Sens!H1459)</f>
        <v>0</v>
      </c>
      <c r="I1461" s="27" t="n">
        <f aca="false">(Sens!I1440+Sens!I1445+Sens!I1446+Sens!I1448+Sens!I1450-Sens!I1452)+(Sens!I1453+Sens!I1455+Sens!I1457-Sens!I1459)</f>
        <v>0</v>
      </c>
      <c r="J1461" s="27" t="n">
        <f aca="false">(Sens!J1440+Sens!J1445+Sens!J1446+Sens!J1448+Sens!J1450-Sens!J1452)+(Sens!J1453+Sens!J1455+Sens!J1457-Sens!J1459)</f>
        <v>0</v>
      </c>
      <c r="K1461" s="27" t="n">
        <f aca="false">(Sens!K1440+Sens!K1445+Sens!K1446+Sens!K1448+Sens!K1450-Sens!K1452)+(Sens!K1453+Sens!K1455+Sens!K1457-Sens!K1459)</f>
        <v>0</v>
      </c>
    </row>
    <row r="1462" customFormat="false" ht="17.15" hidden="false" customHeight="false" outlineLevel="0" collapsed="false">
      <c r="A1462" s="3" t="s">
        <v>1647</v>
      </c>
    </row>
    <row r="1463" customFormat="false" ht="15" hidden="false" customHeight="false" outlineLevel="0" collapsed="false">
      <c r="A1463" s="4" t="s">
        <v>43</v>
      </c>
      <c r="B1463" s="4" t="s">
        <v>65</v>
      </c>
      <c r="C1463" s="23" t="s">
        <v>942</v>
      </c>
      <c r="D1463" s="23" t="s">
        <v>943</v>
      </c>
      <c r="E1463" s="23" t="s">
        <v>944</v>
      </c>
      <c r="F1463" s="23" t="s">
        <v>945</v>
      </c>
      <c r="G1463" s="23" t="s">
        <v>946</v>
      </c>
      <c r="H1463" s="23" t="s">
        <v>947</v>
      </c>
      <c r="I1463" s="23" t="s">
        <v>948</v>
      </c>
      <c r="J1463" s="23" t="s">
        <v>949</v>
      </c>
      <c r="K1463" s="23" t="s">
        <v>950</v>
      </c>
      <c r="L1463" s="4" t="s">
        <v>47</v>
      </c>
    </row>
    <row r="1464" customFormat="false" ht="15" hidden="false" customHeight="false" outlineLevel="0" collapsed="false">
      <c r="A1464" s="0" t="s">
        <v>1029</v>
      </c>
      <c r="B1464" s="0" t="s">
        <v>98</v>
      </c>
      <c r="D1464" s="6" t="n">
        <f aca="false">Sens!D1440</f>
        <v>72.61</v>
      </c>
      <c r="E1464" s="6" t="n">
        <f aca="false">Sens!E1440</f>
        <v>101.938</v>
      </c>
      <c r="F1464" s="6" t="n">
        <f aca="false">Sens!F1440</f>
        <v>156.508802144873</v>
      </c>
      <c r="G1464" s="6" t="n">
        <f aca="false">Sens!G1440</f>
        <v>224.167807895003</v>
      </c>
      <c r="H1464" s="6" t="n">
        <f aca="false">Sens!H1440</f>
        <v>299.036560434511</v>
      </c>
      <c r="I1464" s="6" t="n">
        <f aca="false">Sens!I1440</f>
        <v>360.128591061548</v>
      </c>
      <c r="J1464" s="6" t="n">
        <f aca="false">Sens!J1440</f>
        <v>406.114665799104</v>
      </c>
      <c r="K1464" s="6" t="n">
        <f aca="false">Sens!K1440</f>
        <v>437.890167594177</v>
      </c>
    </row>
    <row r="1465" customFormat="false" ht="17.15" hidden="false" customHeight="false" outlineLevel="0" collapsed="false">
      <c r="A1465" s="0" t="s">
        <v>1025</v>
      </c>
      <c r="B1465" s="0" t="s">
        <v>98</v>
      </c>
      <c r="D1465" s="6" t="n">
        <f aca="false">Sens!D1437</f>
        <v>12.9359794422418</v>
      </c>
      <c r="E1465" s="6" t="n">
        <f aca="false">Sens!E1437</f>
        <v>27.8095064661409</v>
      </c>
      <c r="F1465" s="6" t="n">
        <f aca="false">Sens!F1437</f>
        <v>67.9689290499238</v>
      </c>
      <c r="G1465" s="6" t="n">
        <f aca="false">Sens!G1437</f>
        <v>118.969223607578</v>
      </c>
      <c r="H1465" s="6" t="n">
        <f aca="false">Sens!H1437</f>
        <v>176.88922798739</v>
      </c>
      <c r="I1465" s="6" t="n">
        <f aca="false">Sens!I1437</f>
        <v>221.60440049448</v>
      </c>
      <c r="J1465" s="6" t="n">
        <f aca="false">Sens!J1437</f>
        <v>252.76321797188</v>
      </c>
      <c r="K1465" s="6" t="n">
        <f aca="false">Sens!K1437</f>
        <v>272.270603940775</v>
      </c>
    </row>
    <row r="1466" customFormat="false" ht="17.15" hidden="false" customHeight="false" outlineLevel="0" collapsed="false">
      <c r="A1466" s="0" t="s">
        <v>1056</v>
      </c>
      <c r="B1466" s="0" t="s">
        <v>98</v>
      </c>
      <c r="D1466" s="6" t="n">
        <f aca="false">Sens!D1438</f>
        <v>59.6740205577583</v>
      </c>
      <c r="E1466" s="6" t="n">
        <f aca="false">Sens!E1438</f>
        <v>74.1284935338591</v>
      </c>
      <c r="F1466" s="6" t="n">
        <f aca="false">Sens!F1438</f>
        <v>88.5398730949493</v>
      </c>
      <c r="G1466" s="6" t="n">
        <f aca="false">Sens!G1438</f>
        <v>105.198584287425</v>
      </c>
      <c r="H1466" s="6" t="n">
        <f aca="false">Sens!H1438</f>
        <v>122.14733244712</v>
      </c>
      <c r="I1466" s="6" t="n">
        <f aca="false">Sens!I1438</f>
        <v>138.524190567067</v>
      </c>
      <c r="J1466" s="6" t="n">
        <f aca="false">Sens!J1438</f>
        <v>153.351447827224</v>
      </c>
      <c r="K1466" s="6" t="n">
        <f aca="false">Sens!K1438</f>
        <v>165.619563653401</v>
      </c>
    </row>
    <row r="1467" customFormat="false" ht="15" hidden="false" customHeight="false" outlineLevel="0" collapsed="false">
      <c r="A1467" s="0" t="s">
        <v>1036</v>
      </c>
      <c r="B1467" s="0" t="s">
        <v>98</v>
      </c>
      <c r="D1467" s="6" t="n">
        <f aca="false">Sens!D1445</f>
        <v>84.605</v>
      </c>
      <c r="E1467" s="6" t="n">
        <f aca="false">Sens!E1445</f>
        <v>100.299</v>
      </c>
      <c r="F1467" s="6" t="n">
        <f aca="false">Sens!F1445</f>
        <v>119.729653205718</v>
      </c>
      <c r="G1467" s="6" t="n">
        <f aca="false">Sens!G1445</f>
        <v>140.806092647576</v>
      </c>
      <c r="H1467" s="6" t="n">
        <f aca="false">Sens!H1445</f>
        <v>161.963437602768</v>
      </c>
      <c r="I1467" s="6" t="n">
        <f aca="false">Sens!I1445</f>
        <v>180.695354741933</v>
      </c>
      <c r="J1467" s="6" t="n">
        <f aca="false">Sens!J1445</f>
        <v>196.722117481571</v>
      </c>
      <c r="K1467" s="6" t="n">
        <f aca="false">Sens!K1445</f>
        <v>212.00016570528</v>
      </c>
    </row>
    <row r="1468" customFormat="false" ht="17.15" hidden="false" customHeight="false" outlineLevel="0" collapsed="false">
      <c r="A1468" s="0" t="s">
        <v>1057</v>
      </c>
      <c r="B1468" s="0" t="s">
        <v>98</v>
      </c>
      <c r="D1468" s="6" t="n">
        <f aca="false">Sens!D1443</f>
        <v>83.705</v>
      </c>
      <c r="E1468" s="6" t="n">
        <f aca="false">Sens!E1443</f>
        <v>95.049</v>
      </c>
      <c r="F1468" s="6" t="n">
        <f aca="false">Sens!F1443</f>
        <v>106.229653205718</v>
      </c>
      <c r="G1468" s="6" t="n">
        <f aca="false">Sens!G1443</f>
        <v>118.306092647576</v>
      </c>
      <c r="H1468" s="6" t="n">
        <f aca="false">Sens!H1443</f>
        <v>130.463437602768</v>
      </c>
      <c r="I1468" s="6" t="n">
        <f aca="false">Sens!I1443</f>
        <v>142.445354741933</v>
      </c>
      <c r="J1468" s="6" t="n">
        <f aca="false">Sens!J1443</f>
        <v>153.972117481571</v>
      </c>
      <c r="K1468" s="6" t="n">
        <f aca="false">Sens!K1443</f>
        <v>164.75016570528</v>
      </c>
    </row>
    <row r="1469" customFormat="false" ht="17.15" hidden="false" customHeight="false" outlineLevel="0" collapsed="false">
      <c r="A1469" s="0" t="s">
        <v>1058</v>
      </c>
      <c r="B1469" s="0" t="s">
        <v>98</v>
      </c>
      <c r="D1469" s="6" t="n">
        <f aca="false">Sens!D1442</f>
        <v>0.9</v>
      </c>
      <c r="E1469" s="6" t="n">
        <f aca="false">Sens!E1442</f>
        <v>5.25</v>
      </c>
      <c r="F1469" s="6" t="n">
        <f aca="false">Sens!F1442</f>
        <v>13.5</v>
      </c>
      <c r="G1469" s="6" t="n">
        <f aca="false">Sens!G1442</f>
        <v>22.5</v>
      </c>
      <c r="H1469" s="6" t="n">
        <f aca="false">Sens!H1442</f>
        <v>31.5</v>
      </c>
      <c r="I1469" s="6" t="n">
        <f aca="false">Sens!I1442</f>
        <v>38.25</v>
      </c>
      <c r="J1469" s="6" t="n">
        <f aca="false">Sens!J1442</f>
        <v>42.75</v>
      </c>
      <c r="K1469" s="6" t="n">
        <f aca="false">Sens!K1442</f>
        <v>47.25</v>
      </c>
    </row>
    <row r="1470" customFormat="false" ht="15" hidden="false" customHeight="false" outlineLevel="0" collapsed="false">
      <c r="A1470" s="0" t="s">
        <v>1037</v>
      </c>
      <c r="B1470" s="0" t="s">
        <v>98</v>
      </c>
      <c r="D1470" s="6" t="n">
        <f aca="false">Sens!D1446</f>
        <v>35.391</v>
      </c>
      <c r="E1470" s="6" t="n">
        <f aca="false">Sens!E1446</f>
        <v>37.285</v>
      </c>
      <c r="F1470" s="6" t="n">
        <f aca="false">Sens!F1446</f>
        <v>38.3851437782675</v>
      </c>
      <c r="G1470" s="6" t="n">
        <f aca="false">Sens!G1446</f>
        <v>40.0105353288615</v>
      </c>
      <c r="H1470" s="6" t="n">
        <f aca="false">Sens!H1446</f>
        <v>41.4812512033683</v>
      </c>
      <c r="I1470" s="6" t="n">
        <f aca="false">Sens!I1446</f>
        <v>42.7743107216329</v>
      </c>
      <c r="J1470" s="6" t="n">
        <f aca="false">Sens!J1446</f>
        <v>43.8687373064601</v>
      </c>
      <c r="K1470" s="6" t="n">
        <f aca="false">Sens!K1446</f>
        <v>44.7461120525893</v>
      </c>
    </row>
    <row r="1471" customFormat="false" ht="15" hidden="false" customHeight="false" outlineLevel="0" collapsed="false">
      <c r="A1471" s="0" t="s">
        <v>1039</v>
      </c>
      <c r="B1471" s="0" t="s">
        <v>98</v>
      </c>
      <c r="D1471" s="6" t="n">
        <f aca="false">Sens!D1448</f>
        <v>18.417</v>
      </c>
      <c r="E1471" s="6" t="n">
        <f aca="false">Sens!E1448</f>
        <v>20.345</v>
      </c>
      <c r="F1471" s="6" t="n">
        <f aca="false">Sens!F1448</f>
        <v>22.3161797133988</v>
      </c>
      <c r="G1471" s="6" t="n">
        <f aca="false">Sens!G1448</f>
        <v>24.3943499673233</v>
      </c>
      <c r="H1471" s="6" t="n">
        <f aca="false">Sens!H1448</f>
        <v>26.5250243109019</v>
      </c>
      <c r="I1471" s="6" t="n">
        <f aca="false">Sens!I1448</f>
        <v>28.6884573538181</v>
      </c>
      <c r="J1471" s="6" t="n">
        <f aca="false">Sens!J1448</f>
        <v>30.8624968052127</v>
      </c>
      <c r="K1471" s="6" t="n">
        <f aca="false">Sens!K1448</f>
        <v>33.0228715815776</v>
      </c>
    </row>
    <row r="1472" customFormat="false" ht="15" hidden="false" customHeight="false" outlineLevel="0" collapsed="false">
      <c r="A1472" s="0" t="s">
        <v>1040</v>
      </c>
      <c r="B1472" s="0" t="s">
        <v>98</v>
      </c>
      <c r="D1472" s="6" t="n">
        <f aca="false">Sens!D1450</f>
        <v>7.76</v>
      </c>
      <c r="E1472" s="6" t="n">
        <f aca="false">Sens!E1450</f>
        <v>8.26</v>
      </c>
      <c r="F1472" s="6" t="n">
        <f aca="false">Sens!F1450</f>
        <v>8.75372082474227</v>
      </c>
      <c r="G1472" s="6" t="n">
        <f aca="false">Sens!G1450</f>
        <v>9.33399324642364</v>
      </c>
      <c r="H1472" s="6" t="n">
        <f aca="false">Sens!H1450</f>
        <v>9.96139155535851</v>
      </c>
      <c r="I1472" s="6" t="n">
        <f aca="false">Sens!I1450</f>
        <v>10.6402039077391</v>
      </c>
      <c r="J1472" s="6" t="n">
        <f aca="false">Sens!J1450</f>
        <v>11.3751458271397</v>
      </c>
      <c r="K1472" s="6" t="n">
        <f aca="false">Sens!K1450</f>
        <v>12.1714060350394</v>
      </c>
    </row>
    <row r="1473" customFormat="false" ht="15" hidden="false" customHeight="false" outlineLevel="0" collapsed="false">
      <c r="A1473" s="0" t="s">
        <v>856</v>
      </c>
      <c r="B1473" s="0" t="s">
        <v>98</v>
      </c>
      <c r="D1473" s="6" t="n">
        <f aca="false">Sens!D1452</f>
        <v>218.783</v>
      </c>
      <c r="E1473" s="6" t="n">
        <f aca="false">Sens!E1452</f>
        <v>268.127</v>
      </c>
      <c r="F1473" s="6" t="n">
        <f aca="false">Sens!F1452</f>
        <v>345.693499667</v>
      </c>
      <c r="G1473" s="6" t="n">
        <f aca="false">Sens!G1452</f>
        <v>438.712779085188</v>
      </c>
      <c r="H1473" s="6" t="n">
        <f aca="false">Sens!H1452</f>
        <v>538.967665106907</v>
      </c>
      <c r="I1473" s="6" t="n">
        <f aca="false">Sens!I1452</f>
        <v>622.926917786671</v>
      </c>
      <c r="J1473" s="6" t="n">
        <f aca="false">Sens!J1452</f>
        <v>688.943163219487</v>
      </c>
      <c r="K1473" s="6" t="n">
        <f aca="false">Sens!K1452</f>
        <v>739.830722968663</v>
      </c>
    </row>
    <row r="1474" customFormat="false" ht="15" hidden="false" customHeight="false" outlineLevel="0" collapsed="false">
      <c r="A1474" s="0" t="s">
        <v>1041</v>
      </c>
      <c r="B1474" s="0" t="s">
        <v>98</v>
      </c>
      <c r="D1474" s="6" t="n">
        <f aca="false">Sens!D1453</f>
        <v>22.171</v>
      </c>
      <c r="E1474" s="6" t="n">
        <f aca="false">Sens!E1453</f>
        <v>24.835</v>
      </c>
      <c r="F1474" s="6" t="n">
        <f aca="false">Sens!F1453</f>
        <v>27.5591895660247</v>
      </c>
      <c r="G1474" s="6" t="n">
        <f aca="false">Sens!G1453</f>
        <v>30.4098563144583</v>
      </c>
      <c r="H1474" s="6" t="n">
        <f aca="false">Sens!H1453</f>
        <v>33.3011792571777</v>
      </c>
      <c r="I1474" s="6" t="n">
        <f aca="false">Sens!I1453</f>
        <v>36.189023797112</v>
      </c>
      <c r="J1474" s="6" t="n">
        <f aca="false">Sens!J1453</f>
        <v>39.0247773769199</v>
      </c>
      <c r="K1474" s="6" t="n">
        <f aca="false">Sens!K1453</f>
        <v>41.7565117933043</v>
      </c>
    </row>
    <row r="1475" customFormat="false" ht="15" hidden="false" customHeight="false" outlineLevel="0" collapsed="false">
      <c r="A1475" s="0" t="s">
        <v>1042</v>
      </c>
      <c r="B1475" s="0" t="s">
        <v>98</v>
      </c>
      <c r="D1475" s="6" t="n">
        <f aca="false">Sens!D1455</f>
        <v>23.455</v>
      </c>
      <c r="E1475" s="6" t="n">
        <f aca="false">Sens!E1455</f>
        <v>21.79</v>
      </c>
      <c r="F1475" s="6" t="n">
        <f aca="false">Sens!F1455</f>
        <v>20.7520981041711</v>
      </c>
      <c r="G1475" s="6" t="n">
        <f aca="false">Sens!G1455</f>
        <v>19.9083593495882</v>
      </c>
      <c r="H1475" s="6" t="n">
        <f aca="false">Sens!H1455</f>
        <v>19.4008256265831</v>
      </c>
      <c r="I1475" s="6" t="n">
        <f aca="false">Sens!I1455</f>
        <v>19.200434522122</v>
      </c>
      <c r="J1475" s="6" t="n">
        <f aca="false">Sens!J1455</f>
        <v>19.2932782348507</v>
      </c>
      <c r="K1475" s="6" t="n">
        <f aca="false">Sens!K1455</f>
        <v>19.6791437995477</v>
      </c>
    </row>
    <row r="1476" customFormat="false" ht="15" hidden="false" customHeight="false" outlineLevel="0" collapsed="false">
      <c r="A1476" s="0" t="s">
        <v>1043</v>
      </c>
      <c r="B1476" s="0" t="s">
        <v>98</v>
      </c>
      <c r="D1476" s="6" t="n">
        <f aca="false">Sens!D1457</f>
        <v>17.315</v>
      </c>
      <c r="E1476" s="6" t="n">
        <f aca="false">Sens!E1457</f>
        <v>17.087</v>
      </c>
      <c r="F1476" s="6" t="n">
        <f aca="false">Sens!F1457</f>
        <v>15.9912273250553</v>
      </c>
      <c r="G1476" s="6" t="n">
        <f aca="false">Sens!G1457</f>
        <v>15.9574562664827</v>
      </c>
      <c r="H1476" s="6" t="n">
        <f aca="false">Sens!H1457</f>
        <v>16.0119687434196</v>
      </c>
      <c r="I1476" s="6" t="n">
        <f aca="false">Sens!I1457</f>
        <v>16.1551810001948</v>
      </c>
      <c r="J1476" s="6" t="n">
        <f aca="false">Sens!J1457</f>
        <v>16.3889793892005</v>
      </c>
      <c r="K1476" s="6" t="n">
        <f aca="false">Sens!K1457</f>
        <v>16.7167589769845</v>
      </c>
    </row>
    <row r="1477" customFormat="false" ht="15" hidden="false" customHeight="false" outlineLevel="0" collapsed="false">
      <c r="A1477" s="0" t="s">
        <v>870</v>
      </c>
      <c r="B1477" s="0" t="s">
        <v>98</v>
      </c>
      <c r="D1477" s="6" t="n">
        <f aca="false">Sens!D1459</f>
        <v>62.941</v>
      </c>
      <c r="E1477" s="6" t="n">
        <f aca="false">Sens!E1459</f>
        <v>63.712</v>
      </c>
      <c r="F1477" s="6" t="n">
        <f aca="false">Sens!F1459</f>
        <v>64.3025149952511</v>
      </c>
      <c r="G1477" s="6" t="n">
        <f aca="false">Sens!G1459</f>
        <v>66.2756719305292</v>
      </c>
      <c r="H1477" s="6" t="n">
        <f aca="false">Sens!H1459</f>
        <v>68.7139736271804</v>
      </c>
      <c r="I1477" s="6" t="n">
        <f aca="false">Sens!I1459</f>
        <v>71.5446393194289</v>
      </c>
      <c r="J1477" s="6" t="n">
        <f aca="false">Sens!J1459</f>
        <v>74.707035000971</v>
      </c>
      <c r="K1477" s="6" t="n">
        <f aca="false">Sens!K1459</f>
        <v>78.1524145698365</v>
      </c>
    </row>
    <row r="1478" customFormat="false" ht="15" hidden="false" customHeight="false" outlineLevel="0" collapsed="false">
      <c r="A1478" s="1" t="s">
        <v>1059</v>
      </c>
      <c r="B1478" s="0" t="s">
        <v>98</v>
      </c>
      <c r="D1478" s="6" t="n">
        <f aca="false">Sens!D1460</f>
        <v>281.724</v>
      </c>
      <c r="E1478" s="6" t="n">
        <f aca="false">Sens!E1460</f>
        <v>331.839</v>
      </c>
      <c r="F1478" s="6" t="n">
        <f aca="false">Sens!F1460</f>
        <v>409.996014662251</v>
      </c>
      <c r="G1478" s="6" t="n">
        <f aca="false">Sens!G1460</f>
        <v>504.988451015717</v>
      </c>
      <c r="H1478" s="6" t="n">
        <f aca="false">Sens!H1460</f>
        <v>607.681638734088</v>
      </c>
      <c r="I1478" s="6" t="n">
        <f aca="false">Sens!I1460</f>
        <v>694.471557106099</v>
      </c>
      <c r="J1478" s="6" t="n">
        <f aca="false">Sens!J1460</f>
        <v>763.650198220458</v>
      </c>
      <c r="K1478" s="6" t="n">
        <f aca="false">Sens!K1460</f>
        <v>817.9831375385</v>
      </c>
    </row>
    <row r="1479" customFormat="false" ht="15" hidden="false" customHeight="false" outlineLevel="0" collapsed="false">
      <c r="A1479" s="1" t="s">
        <v>1060</v>
      </c>
      <c r="B1479" s="0" t="s">
        <v>168</v>
      </c>
      <c r="E1479" s="7" t="n">
        <f aca="false">Sens!E1478/Sens!D1478-1</f>
        <v>0.177886867998467</v>
      </c>
      <c r="F1479" s="7" t="n">
        <f aca="false">Sens!F1478/Sens!E1478-1</f>
        <v>0.235526911129345</v>
      </c>
      <c r="G1479" s="7" t="n">
        <f aca="false">Sens!G1478/Sens!F1478-1</f>
        <v>0.231691121270336</v>
      </c>
      <c r="H1479" s="7" t="n">
        <f aca="false">Sens!H1478/Sens!G1478-1</f>
        <v>0.203357497605771</v>
      </c>
      <c r="I1479" s="7" t="n">
        <f aca="false">Sens!I1478/Sens!H1478-1</f>
        <v>0.142821360462381</v>
      </c>
      <c r="J1479" s="7" t="n">
        <f aca="false">Sens!J1478/Sens!I1478-1</f>
        <v>0.0996133540769177</v>
      </c>
      <c r="K1479" s="7" t="n">
        <f aca="false">Sens!K1478/Sens!J1478-1</f>
        <v>0.0711489886922767</v>
      </c>
    </row>
    <row r="1480" customFormat="false" ht="17.15" hidden="false" customHeight="false" outlineLevel="0" collapsed="false">
      <c r="A1480" s="26" t="s">
        <v>1061</v>
      </c>
      <c r="B1480" s="31" t="s">
        <v>98</v>
      </c>
      <c r="C1480" s="31"/>
      <c r="D1480" s="27" t="n">
        <f aca="false">(Sens!D1473+Sens!D1477-Sens!D1478)+(Sens!D1465+Sens!D1466-Sens!D1464)+(Sens!D1468+Sens!D1469-Sens!D1467)+(Sens!D1478-Q!L18)</f>
        <v>0</v>
      </c>
      <c r="E1480" s="27" t="n">
        <f aca="false">(Sens!E1473+Sens!E1477-Sens!E1478)+(Sens!E1465+Sens!E1466-Sens!E1464)+(Sens!E1468+Sens!E1469-Sens!E1467)+(Sens!E1478-Q!M18)</f>
        <v>0</v>
      </c>
      <c r="F1480" s="27" t="n">
        <f aca="false">(Sens!F1473+Sens!F1477-Sens!F1478)+(Sens!F1465+Sens!F1466-Sens!F1464)+(Sens!F1468+Sens!F1469-Sens!F1467)</f>
        <v>0</v>
      </c>
      <c r="G1480" s="27" t="n">
        <f aca="false">(Sens!G1473+Sens!G1477-Sens!G1478)+(Sens!G1465+Sens!G1466-Sens!G1464)+(Sens!G1468+Sens!G1469-Sens!G1467)</f>
        <v>0</v>
      </c>
      <c r="H1480" s="27" t="n">
        <f aca="false">(Sens!H1473+Sens!H1477-Sens!H1478)+(Sens!H1465+Sens!H1466-Sens!H1464)+(Sens!H1468+Sens!H1469-Sens!H1467)</f>
        <v>0</v>
      </c>
      <c r="I1480" s="27" t="n">
        <f aca="false">(Sens!I1473+Sens!I1477-Sens!I1478)+(Sens!I1465+Sens!I1466-Sens!I1464)+(Sens!I1468+Sens!I1469-Sens!I1467)</f>
        <v>0</v>
      </c>
      <c r="J1480" s="27" t="n">
        <f aca="false">(Sens!J1473+Sens!J1477-Sens!J1478)+(Sens!J1465+Sens!J1466-Sens!J1464)+(Sens!J1468+Sens!J1469-Sens!J1467)</f>
        <v>0</v>
      </c>
      <c r="K1480" s="27" t="n">
        <f aca="false">(Sens!K1473+Sens!K1477-Sens!K1478)+(Sens!K1465+Sens!K1466-Sens!K1464)+(Sens!K1468+Sens!K1469-Sens!K1467)</f>
        <v>0</v>
      </c>
    </row>
    <row r="1481" customFormat="false" ht="17.15" hidden="false" customHeight="false" outlineLevel="0" collapsed="false">
      <c r="A1481" s="0" t="s">
        <v>1062</v>
      </c>
      <c r="B1481" s="0" t="s">
        <v>168</v>
      </c>
      <c r="E1481" s="7" t="n">
        <f aca="false">(Q!M21+Sens!E1417+Sens!E1418+Sens!E1419+Sens!E1433-Sens!E1415)/(Q!M5-Sens!E1415)</f>
        <v>0.570957350878296</v>
      </c>
      <c r="F1481" s="7" t="n">
        <f aca="false">Sens!$E$1481+dm_seg</f>
        <v>0.570957350878296</v>
      </c>
      <c r="G1481" s="7" t="n">
        <f aca="false">Sens!$E$1481+dm_seg</f>
        <v>0.570957350878296</v>
      </c>
      <c r="H1481" s="7" t="n">
        <f aca="false">Sens!$E$1481+dm_seg</f>
        <v>0.570957350878296</v>
      </c>
      <c r="I1481" s="7" t="n">
        <f aca="false">Sens!$E$1481+dm_seg</f>
        <v>0.570957350878296</v>
      </c>
      <c r="J1481" s="7" t="n">
        <f aca="false">Sens!$E$1481+dm_seg</f>
        <v>0.570957350878296</v>
      </c>
      <c r="K1481" s="7" t="n">
        <f aca="false">Sens!$E$1481+dm_seg</f>
        <v>0.570957350878296</v>
      </c>
      <c r="L1481" s="12" t="s">
        <v>1063</v>
      </c>
    </row>
    <row r="1482" customFormat="false" ht="17.15" hidden="false" customHeight="false" outlineLevel="0" collapsed="false">
      <c r="A1482" s="0" t="s">
        <v>884</v>
      </c>
      <c r="B1482" s="0" t="s">
        <v>98</v>
      </c>
      <c r="D1482" s="6" t="n">
        <f aca="false">Q!L21</f>
        <v>110.814</v>
      </c>
      <c r="E1482" s="6" t="n">
        <f aca="false">Q!M21</f>
        <v>136.365</v>
      </c>
      <c r="F1482" s="6" t="n">
        <f aca="false">Q!$I$21+(Sens!F1481*(Sens!F1452-Sens!F1415)+Sens!F1415-(Sens!F1417+Sens!F1418+Sens!F1419)-Sens!F1433-Sens!F1516)*(Sens!F1452-Q!$I$5)/Sens!F1452</f>
        <v>172.253257597124</v>
      </c>
      <c r="G1482" s="6" t="n">
        <f aca="false">(Sens!G1481*(Sens!G1452-Sens!G1415)+Sens!G1415-(Sens!G1417+Sens!G1418+Sens!G1419)-Sens!G1433-Sens!G1516)</f>
        <v>205.684150713882</v>
      </c>
      <c r="H1482" s="6" t="n">
        <f aca="false">(Sens!H1481*(Sens!H1452-Sens!H1415)+Sens!H1415-(Sens!H1417+Sens!H1418+Sens!H1419)-Sens!H1433-Sens!H1516)</f>
        <v>247.284059053266</v>
      </c>
      <c r="I1482" s="6" t="n">
        <f aca="false">(Sens!I1481*(Sens!I1452-Sens!I1415)+Sens!I1415-(Sens!I1417+Sens!I1418+Sens!I1419)-Sens!I1433-Sens!I1516)</f>
        <v>278.779296820441</v>
      </c>
      <c r="J1482" s="6" t="n">
        <f aca="false">(Sens!J1481*(Sens!J1452-Sens!J1415)+Sens!J1415-(Sens!J1417+Sens!J1418+Sens!J1419)-Sens!J1433-Sens!J1516)</f>
        <v>304.912194384977</v>
      </c>
      <c r="K1482" s="6" t="n">
        <f aca="false">(Sens!K1481*(Sens!K1452-Sens!K1415)+Sens!K1415-(Sens!K1417+Sens!K1418+Sens!K1419)-Sens!K1433-Sens!K1516)</f>
        <v>327.285481177264</v>
      </c>
      <c r="L1482" s="1" t="s">
        <v>1064</v>
      </c>
    </row>
    <row r="1483" customFormat="false" ht="17.15" hidden="false" customHeight="false" outlineLevel="0" collapsed="false">
      <c r="A1483" s="0" t="s">
        <v>1065</v>
      </c>
      <c r="B1483" s="0" t="s">
        <v>168</v>
      </c>
      <c r="E1483" s="7" t="n">
        <f aca="false">Q!M22/Q!M12</f>
        <v>0.296207935710698</v>
      </c>
      <c r="F1483" s="7" t="n">
        <f aca="false">Sens!$E$1483+dm_seg</f>
        <v>0.296207935710698</v>
      </c>
      <c r="G1483" s="7" t="n">
        <f aca="false">Sens!$E$1483+dm_seg</f>
        <v>0.296207935710698</v>
      </c>
      <c r="H1483" s="7" t="n">
        <f aca="false">Sens!$E$1483+dm_seg</f>
        <v>0.296207935710698</v>
      </c>
      <c r="I1483" s="7" t="n">
        <f aca="false">Sens!$E$1483+dm_seg</f>
        <v>0.296207935710698</v>
      </c>
      <c r="J1483" s="7" t="n">
        <f aca="false">Sens!$E$1483+dm_seg</f>
        <v>0.296207935710698</v>
      </c>
      <c r="K1483" s="7" t="n">
        <f aca="false">Sens!$E$1483+dm_seg</f>
        <v>0.296207935710698</v>
      </c>
      <c r="L1483" s="12" t="s">
        <v>1066</v>
      </c>
    </row>
    <row r="1484" customFormat="false" ht="17.15" hidden="false" customHeight="false" outlineLevel="0" collapsed="false">
      <c r="A1484" s="0" t="s">
        <v>886</v>
      </c>
      <c r="B1484" s="0" t="s">
        <v>98</v>
      </c>
      <c r="D1484" s="6" t="n">
        <f aca="false">Q!L22</f>
        <v>17.714</v>
      </c>
      <c r="E1484" s="6" t="n">
        <f aca="false">Q!M22</f>
        <v>18.872</v>
      </c>
      <c r="F1484" s="6" t="n">
        <f aca="false">Q!$I$22+(Sens!F1459-Q!$I$12)*Sens!F1483</f>
        <v>19.8174315512051</v>
      </c>
      <c r="G1484" s="6" t="n">
        <f aca="false">Sens!G1459*Sens!G1483</f>
        <v>19.6313799703815</v>
      </c>
      <c r="H1484" s="6" t="n">
        <f aca="false">Sens!H1459*Sens!H1483</f>
        <v>20.3536242825865</v>
      </c>
      <c r="I1484" s="6" t="n">
        <f aca="false">Sens!I1459*Sens!I1483</f>
        <v>21.1920899239745</v>
      </c>
      <c r="J1484" s="6" t="n">
        <f aca="false">Sens!J1459*Sens!J1483</f>
        <v>22.1288166207045</v>
      </c>
      <c r="K1484" s="6" t="n">
        <f aca="false">Sens!K1459*Sens!K1483</f>
        <v>23.1493653905379</v>
      </c>
      <c r="L1484" s="12" t="s">
        <v>1067</v>
      </c>
    </row>
    <row r="1485" customFormat="false" ht="15" hidden="false" customHeight="false" outlineLevel="0" collapsed="false">
      <c r="A1485" s="1" t="s">
        <v>1068</v>
      </c>
      <c r="B1485" s="0" t="s">
        <v>98</v>
      </c>
      <c r="D1485" s="6" t="n">
        <f aca="false">Sens!D1482+Sens!D1484</f>
        <v>128.528</v>
      </c>
      <c r="E1485" s="6" t="n">
        <f aca="false">Sens!E1482+Sens!E1484</f>
        <v>155.237</v>
      </c>
      <c r="F1485" s="6" t="n">
        <f aca="false">Sens!F1482+Sens!F1484</f>
        <v>192.070689148329</v>
      </c>
      <c r="G1485" s="6" t="n">
        <f aca="false">Sens!G1482+Sens!G1484</f>
        <v>225.315530684263</v>
      </c>
      <c r="H1485" s="6" t="n">
        <f aca="false">Sens!H1482+Sens!H1484</f>
        <v>267.637683335852</v>
      </c>
      <c r="I1485" s="6" t="n">
        <f aca="false">Sens!I1482+Sens!I1484</f>
        <v>299.971386744416</v>
      </c>
      <c r="J1485" s="6" t="n">
        <f aca="false">Sens!J1482+Sens!J1484</f>
        <v>327.041011005682</v>
      </c>
      <c r="K1485" s="6" t="n">
        <f aca="false">Sens!K1482+Sens!K1484</f>
        <v>350.434846567802</v>
      </c>
    </row>
    <row r="1486" customFormat="false" ht="15" hidden="false" customHeight="false" outlineLevel="0" collapsed="false">
      <c r="A1486" s="26" t="s">
        <v>1069</v>
      </c>
      <c r="B1486" s="31" t="s">
        <v>98</v>
      </c>
      <c r="C1486" s="31"/>
      <c r="D1486" s="27" t="n">
        <f aca="false">Sens!D1485-Q!L23</f>
        <v>0</v>
      </c>
      <c r="E1486" s="27" t="n">
        <f aca="false">Sens!E1485-Q!M23</f>
        <v>0</v>
      </c>
      <c r="F1486" s="31"/>
      <c r="G1486" s="31"/>
      <c r="H1486" s="31"/>
      <c r="I1486" s="31"/>
      <c r="J1486" s="31"/>
      <c r="K1486" s="31"/>
    </row>
    <row r="1487" customFormat="false" ht="15" hidden="false" customHeight="false" outlineLevel="0" collapsed="false">
      <c r="A1487" s="1" t="s">
        <v>1070</v>
      </c>
      <c r="B1487" s="0" t="s">
        <v>168</v>
      </c>
      <c r="D1487" s="7" t="n">
        <f aca="false">Sens!D1485/Sens!D1478</f>
        <v>0.456219562408598</v>
      </c>
      <c r="E1487" s="7" t="n">
        <f aca="false">Sens!E1485/Sens!E1478</f>
        <v>0.467808184089272</v>
      </c>
      <c r="F1487" s="7" t="n">
        <f aca="false">Sens!F1485/Sens!F1478</f>
        <v>0.468469649166112</v>
      </c>
      <c r="G1487" s="7" t="n">
        <f aca="false">Sens!G1485/Sens!G1478</f>
        <v>0.446179571495291</v>
      </c>
      <c r="H1487" s="7" t="n">
        <f aca="false">Sens!H1485/Sens!H1478</f>
        <v>0.44042417324537</v>
      </c>
      <c r="I1487" s="7" t="n">
        <f aca="false">Sens!I1485/Sens!I1478</f>
        <v>0.431941932934465</v>
      </c>
      <c r="J1487" s="7" t="n">
        <f aca="false">Sens!J1485/Sens!J1478</f>
        <v>0.42826023193314</v>
      </c>
      <c r="K1487" s="7" t="n">
        <f aca="false">Sens!K1485/Sens!K1478</f>
        <v>0.428413289328117</v>
      </c>
    </row>
    <row r="1488" customFormat="false" ht="17.15" hidden="false" customHeight="false" outlineLevel="0" collapsed="false">
      <c r="A1488" s="1" t="s">
        <v>1071</v>
      </c>
      <c r="B1488" s="0" t="s">
        <v>98</v>
      </c>
      <c r="F1488" s="6" t="n">
        <f aca="false">Sens!F1503</f>
        <v>8.88340674531245</v>
      </c>
      <c r="G1488" s="6" t="n">
        <f aca="false">Sens!G1503</f>
        <v>22.7060305170273</v>
      </c>
      <c r="H1488" s="6" t="n">
        <f aca="false">Sens!H1503</f>
        <v>38.0018452382075</v>
      </c>
      <c r="I1488" s="6" t="n">
        <f aca="false">Sens!I1503</f>
        <v>52.1381094705177</v>
      </c>
      <c r="J1488" s="6" t="n">
        <f aca="false">Sens!J1503</f>
        <v>62.0595818934393</v>
      </c>
      <c r="K1488" s="6" t="n">
        <f aca="false">Sens!K1503</f>
        <v>67.0801312706266</v>
      </c>
      <c r="L1488" s="1" t="s">
        <v>1072</v>
      </c>
    </row>
    <row r="1489" customFormat="false" ht="17.15" hidden="false" customHeight="false" outlineLevel="0" collapsed="false">
      <c r="A1489" s="1" t="s">
        <v>1073</v>
      </c>
      <c r="B1489" s="0" t="s">
        <v>98</v>
      </c>
      <c r="D1489" s="6" t="n">
        <f aca="false">Sens!D1485</f>
        <v>128.528</v>
      </c>
      <c r="E1489" s="6" t="n">
        <f aca="false">Sens!E1485</f>
        <v>155.237</v>
      </c>
      <c r="F1489" s="6" t="n">
        <f aca="false">Sens!F1485+Sens!F1488</f>
        <v>200.954095893641</v>
      </c>
      <c r="G1489" s="6" t="n">
        <f aca="false">Sens!G1485+Sens!G1488</f>
        <v>248.02156120129</v>
      </c>
      <c r="H1489" s="6" t="n">
        <f aca="false">Sens!H1485+Sens!H1488</f>
        <v>305.63952857406</v>
      </c>
      <c r="I1489" s="6" t="n">
        <f aca="false">Sens!I1485+Sens!I1488</f>
        <v>352.109496214934</v>
      </c>
      <c r="J1489" s="6" t="n">
        <f aca="false">Sens!J1485+Sens!J1488</f>
        <v>389.100592899121</v>
      </c>
      <c r="K1489" s="6" t="n">
        <f aca="false">Sens!K1485+Sens!K1488</f>
        <v>417.514977838429</v>
      </c>
    </row>
    <row r="1490" customFormat="false" ht="17.15" hidden="false" customHeight="false" outlineLevel="0" collapsed="false">
      <c r="A1490" s="1" t="s">
        <v>1074</v>
      </c>
      <c r="B1490" s="0" t="s">
        <v>98</v>
      </c>
      <c r="E1490" s="6" t="n">
        <f aca="false">Sens!E1433</f>
        <v>16.3054059770833</v>
      </c>
      <c r="F1490" s="6" t="n">
        <f aca="false">Sens!F1433</f>
        <v>34.5793144783516</v>
      </c>
      <c r="G1490" s="6" t="n">
        <f aca="false">Sens!G1433</f>
        <v>60.7344906522989</v>
      </c>
      <c r="H1490" s="6" t="n">
        <f aca="false">Sens!H1433</f>
        <v>89.1000906614457</v>
      </c>
      <c r="I1490" s="6" t="n">
        <f aca="false">Sens!I1433</f>
        <v>114.231009694548</v>
      </c>
      <c r="J1490" s="6" t="n">
        <f aca="false">Sens!J1433</f>
        <v>132.015673049596</v>
      </c>
      <c r="K1490" s="6" t="n">
        <f aca="false">Sens!K1433</f>
        <v>143.012669550934</v>
      </c>
    </row>
    <row r="1491" customFormat="false" ht="17.15" hidden="false" customHeight="false" outlineLevel="0" collapsed="false">
      <c r="A1491" s="1" t="s">
        <v>1075</v>
      </c>
      <c r="B1491" s="0" t="s">
        <v>98</v>
      </c>
      <c r="E1491" s="6" t="n">
        <f aca="false">Sens!E1515</f>
        <v>22.2285940229167</v>
      </c>
      <c r="F1491" s="6" t="n">
        <f aca="false">Sens!F1515</f>
        <v>23.580344216413</v>
      </c>
      <c r="G1491" s="6" t="n">
        <f aca="false">Sens!G1515</f>
        <v>25.3338814910863</v>
      </c>
      <c r="H1491" s="6" t="n">
        <f aca="false">Sens!H1515</f>
        <v>27.5011167658533</v>
      </c>
      <c r="I1491" s="6" t="n">
        <f aca="false">Sens!I1515</f>
        <v>30.0062134127235</v>
      </c>
      <c r="J1491" s="6" t="n">
        <f aca="false">Sens!J1515</f>
        <v>32.7580128824735</v>
      </c>
      <c r="K1491" s="6" t="n">
        <f aca="false">Sens!K1515</f>
        <v>35.6733079392113</v>
      </c>
    </row>
    <row r="1492" customFormat="false" ht="17.15" hidden="false" customHeight="false" outlineLevel="0" collapsed="false">
      <c r="A1492" s="1" t="s">
        <v>1076</v>
      </c>
      <c r="B1492" s="0" t="s">
        <v>98</v>
      </c>
      <c r="D1492" s="6" t="n">
        <f aca="false">Q!L27</f>
        <v>-4.901</v>
      </c>
      <c r="E1492" s="6" t="n">
        <f aca="false">Q!M27</f>
        <v>10.697</v>
      </c>
      <c r="F1492" s="6" t="n">
        <f aca="false">Q!$I$27+oie_f*(q_per_yr-1)/q_per_yr</f>
        <v>-0.862</v>
      </c>
      <c r="G1492" s="6" t="n">
        <f aca="false">oie_f</f>
        <v>-1.2</v>
      </c>
      <c r="H1492" s="6" t="n">
        <f aca="false">oie_f</f>
        <v>-1.2</v>
      </c>
      <c r="I1492" s="6" t="n">
        <f aca="false">oie_f</f>
        <v>-1.2</v>
      </c>
      <c r="J1492" s="6" t="n">
        <f aca="false">oie_f</f>
        <v>-1.2</v>
      </c>
      <c r="K1492" s="6" t="n">
        <f aca="false">oie_f</f>
        <v>-1.2</v>
      </c>
      <c r="L1492" s="12" t="s">
        <v>1077</v>
      </c>
    </row>
    <row r="1493" customFormat="false" ht="15" hidden="false" customHeight="false" outlineLevel="0" collapsed="false">
      <c r="A1493" s="1" t="s">
        <v>1078</v>
      </c>
      <c r="B1493" s="0" t="s">
        <v>98</v>
      </c>
      <c r="D1493" s="6" t="n">
        <f aca="false">Sens!D1485+Sens!D1492</f>
        <v>123.627</v>
      </c>
      <c r="E1493" s="6" t="n">
        <f aca="false">Sens!E1485+Sens!E1492</f>
        <v>165.934</v>
      </c>
      <c r="F1493" s="6" t="n">
        <f aca="false">Sens!F1485+Sens!F1492</f>
        <v>191.208689148329</v>
      </c>
      <c r="G1493" s="6" t="n">
        <f aca="false">Sens!G1485+Sens!G1492</f>
        <v>224.115530684263</v>
      </c>
      <c r="H1493" s="6" t="n">
        <f aca="false">Sens!H1485+Sens!H1492</f>
        <v>266.437683335852</v>
      </c>
      <c r="I1493" s="6" t="n">
        <f aca="false">Sens!I1485+Sens!I1492</f>
        <v>298.771386744416</v>
      </c>
      <c r="J1493" s="6" t="n">
        <f aca="false">Sens!J1485+Sens!J1492</f>
        <v>325.841011005682</v>
      </c>
      <c r="K1493" s="6" t="n">
        <f aca="false">Sens!K1485+Sens!K1492</f>
        <v>349.234846567802</v>
      </c>
    </row>
    <row r="1494" customFormat="false" ht="15" hidden="false" customHeight="false" outlineLevel="0" collapsed="false">
      <c r="A1494" s="1" t="s">
        <v>1079</v>
      </c>
      <c r="B1494" s="0" t="s">
        <v>98</v>
      </c>
      <c r="D1494" s="6" t="n">
        <f aca="false">Q!L29</f>
        <v>21.795</v>
      </c>
      <c r="E1494" s="6" t="n">
        <f aca="false">Q!M29</f>
        <v>32.185</v>
      </c>
      <c r="F1494" s="6" t="n">
        <f aca="false">Q!$I$29+(Sens!F1493-Q!$I$28)*tax_f</f>
        <v>38.3751378296657</v>
      </c>
      <c r="G1494" s="6" t="n">
        <f aca="false">Sens!G1493*tax_f</f>
        <v>44.8231061368526</v>
      </c>
      <c r="H1494" s="6" t="n">
        <f aca="false">Sens!H1493*tax_f</f>
        <v>53.2875366671705</v>
      </c>
      <c r="I1494" s="6" t="n">
        <f aca="false">Sens!I1493*tax_f</f>
        <v>59.7542773488832</v>
      </c>
      <c r="J1494" s="6" t="n">
        <f aca="false">Sens!J1493*tax_f</f>
        <v>65.1682022011364</v>
      </c>
      <c r="K1494" s="6" t="n">
        <f aca="false">Sens!K1493*tax_f</f>
        <v>69.8469693135604</v>
      </c>
    </row>
    <row r="1495" customFormat="false" ht="15" hidden="false" customHeight="false" outlineLevel="0" collapsed="false">
      <c r="A1495" s="1" t="s">
        <v>1080</v>
      </c>
      <c r="B1495" s="0" t="s">
        <v>98</v>
      </c>
      <c r="D1495" s="6" t="n">
        <f aca="false">Sens!D1493-Sens!D1494</f>
        <v>101.832</v>
      </c>
      <c r="E1495" s="6" t="n">
        <f aca="false">Sens!E1493-Sens!E1494</f>
        <v>133.749</v>
      </c>
      <c r="F1495" s="6" t="n">
        <f aca="false">Sens!F1493-Sens!F1494</f>
        <v>152.833551318663</v>
      </c>
      <c r="G1495" s="6" t="n">
        <f aca="false">Sens!G1493-Sens!G1494</f>
        <v>179.29242454741</v>
      </c>
      <c r="H1495" s="6" t="n">
        <f aca="false">Sens!H1493-Sens!H1494</f>
        <v>213.150146668682</v>
      </c>
      <c r="I1495" s="6" t="n">
        <f aca="false">Sens!I1493-Sens!I1494</f>
        <v>239.017109395533</v>
      </c>
      <c r="J1495" s="6" t="n">
        <f aca="false">Sens!J1493-Sens!J1494</f>
        <v>260.672808804545</v>
      </c>
      <c r="K1495" s="6" t="n">
        <f aca="false">Sens!K1493-Sens!K1494</f>
        <v>279.387877254242</v>
      </c>
    </row>
    <row r="1496" customFormat="false" ht="17.15" hidden="false" customHeight="false" outlineLevel="0" collapsed="false">
      <c r="A1496" s="1" t="s">
        <v>1081</v>
      </c>
      <c r="B1496" s="1" t="s">
        <v>81</v>
      </c>
      <c r="D1496" s="15" t="n">
        <f aca="false">Q!L31</f>
        <v>7.465</v>
      </c>
      <c r="E1496" s="15" t="n">
        <f aca="false">Q!M31</f>
        <v>7.453</v>
      </c>
      <c r="F1496" s="15" t="n">
        <f aca="false">Sens!F1540</f>
        <v>7.46551700408364</v>
      </c>
      <c r="G1496" s="15" t="n">
        <f aca="false">Sens!G1540</f>
        <v>7.48936822526044</v>
      </c>
      <c r="H1496" s="15" t="n">
        <f aca="false">Sens!H1540</f>
        <v>7.50390238138241</v>
      </c>
      <c r="I1496" s="15" t="n">
        <f aca="false">Sens!I1540</f>
        <v>7.51558374543788</v>
      </c>
      <c r="J1496" s="15" t="n">
        <f aca="false">Sens!J1540</f>
        <v>7.52973315660035</v>
      </c>
      <c r="K1496" s="15" t="n">
        <f aca="false">Sens!K1540</f>
        <v>7.5461677965656</v>
      </c>
    </row>
    <row r="1497" customFormat="false" ht="17.15" hidden="false" customHeight="false" outlineLevel="0" collapsed="false">
      <c r="A1497" s="0" t="s">
        <v>1082</v>
      </c>
      <c r="B1497" s="0" t="s">
        <v>75</v>
      </c>
      <c r="D1497" s="8" t="n">
        <f aca="false">Sens!D1495/Sens!D1496</f>
        <v>13.641259209645</v>
      </c>
      <c r="E1497" s="8" t="n">
        <f aca="false">Sens!E1495/Sens!E1496</f>
        <v>17.9456594659869</v>
      </c>
      <c r="F1497" s="8" t="n">
        <f aca="false">Sens!F1495/Sens!F1496</f>
        <v>20.4719313123342</v>
      </c>
      <c r="G1497" s="8" t="n">
        <f aca="false">Sens!G1495/Sens!G1496</f>
        <v>23.9395926538484</v>
      </c>
      <c r="H1497" s="8" t="n">
        <f aca="false">Sens!H1495/Sens!H1496</f>
        <v>28.4052398119569</v>
      </c>
      <c r="I1497" s="8" t="n">
        <f aca="false">Sens!I1495/Sens!I1496</f>
        <v>31.8028668818468</v>
      </c>
      <c r="J1497" s="8" t="n">
        <f aca="false">Sens!J1495/Sens!J1496</f>
        <v>34.6191297066148</v>
      </c>
      <c r="K1497" s="8" t="n">
        <f aca="false">Sens!K1495/Sens!K1496</f>
        <v>37.023809274609</v>
      </c>
      <c r="L1497" s="1" t="s">
        <v>1083</v>
      </c>
    </row>
    <row r="1498" customFormat="false" ht="17.15" hidden="false" customHeight="false" outlineLevel="0" collapsed="false">
      <c r="A1498" s="1" t="s">
        <v>1084</v>
      </c>
      <c r="B1498" s="0" t="s">
        <v>98</v>
      </c>
      <c r="D1498" s="6" t="n">
        <f aca="false">Sens!D1495</f>
        <v>101.832</v>
      </c>
      <c r="E1498" s="6" t="n">
        <f aca="false">Sens!E1495</f>
        <v>133.749</v>
      </c>
      <c r="F1498" s="6" t="n">
        <f aca="false">Sens!F1495+Sens!F1488*(1-tax_f)</f>
        <v>159.940276714913</v>
      </c>
      <c r="G1498" s="6" t="n">
        <f aca="false">Sens!G1495+Sens!G1488*(1-tax_f)</f>
        <v>197.457248961032</v>
      </c>
      <c r="H1498" s="6" t="n">
        <f aca="false">Sens!H1495+Sens!H1488*(1-tax_f)</f>
        <v>243.551622859248</v>
      </c>
      <c r="I1498" s="6" t="n">
        <f aca="false">Sens!I1495+Sens!I1488*(1-tax_f)</f>
        <v>280.727596971947</v>
      </c>
      <c r="J1498" s="6" t="n">
        <f aca="false">Sens!J1495+Sens!J1488*(1-tax_f)</f>
        <v>310.320474319297</v>
      </c>
      <c r="K1498" s="6" t="n">
        <f aca="false">Sens!K1495+Sens!K1488*(1-tax_f)</f>
        <v>333.051982270743</v>
      </c>
    </row>
    <row r="1499" customFormat="false" ht="17.15" hidden="false" customHeight="false" outlineLevel="0" collapsed="false">
      <c r="A1499" s="0" t="s">
        <v>1085</v>
      </c>
      <c r="B1499" s="0" t="s">
        <v>75</v>
      </c>
      <c r="D1499" s="8" t="n">
        <f aca="false">Sens!D1498/Sens!D1496</f>
        <v>13.641259209645</v>
      </c>
      <c r="E1499" s="8" t="n">
        <f aca="false">Sens!E1498/Sens!E1496</f>
        <v>17.9456594659869</v>
      </c>
      <c r="F1499" s="8" t="n">
        <f aca="false">Sens!F1498/Sens!F1496</f>
        <v>21.4238714649535</v>
      </c>
      <c r="G1499" s="8" t="n">
        <f aca="false">Sens!G1498/Sens!G1496</f>
        <v>26.3650074374819</v>
      </c>
      <c r="H1499" s="8" t="n">
        <f aca="false">Sens!H1498/Sens!H1496</f>
        <v>32.4566619447919</v>
      </c>
      <c r="I1499" s="8" t="n">
        <f aca="false">Sens!I1498/Sens!I1496</f>
        <v>37.3527335308258</v>
      </c>
      <c r="J1499" s="8" t="n">
        <f aca="false">Sens!J1498/Sens!J1496</f>
        <v>41.2126788380646</v>
      </c>
      <c r="K1499" s="8" t="n">
        <f aca="false">Sens!K1498/Sens!K1496</f>
        <v>44.1352473532753</v>
      </c>
      <c r="L1499" s="1" t="s">
        <v>1086</v>
      </c>
    </row>
    <row r="1500" customFormat="false" ht="17.15" hidden="false" customHeight="false" outlineLevel="0" collapsed="false">
      <c r="A1500" s="0" t="s">
        <v>1087</v>
      </c>
      <c r="B1500" s="0" t="s">
        <v>168</v>
      </c>
      <c r="E1500" s="7" t="n">
        <f aca="false">Sens!E1499/Sens!D1499-1</f>
        <v>0.315542736208578</v>
      </c>
      <c r="F1500" s="7" t="n">
        <f aca="false">Sens!F1499/Sens!E1499-1</f>
        <v>0.193819124092881</v>
      </c>
      <c r="G1500" s="7" t="n">
        <f aca="false">Sens!G1499/Sens!F1499-1</f>
        <v>0.23063693136002</v>
      </c>
      <c r="H1500" s="7" t="n">
        <f aca="false">Sens!H1499/Sens!G1499-1</f>
        <v>0.231050741091382</v>
      </c>
      <c r="I1500" s="7" t="n">
        <f aca="false">Sens!I1499/Sens!H1499-1</f>
        <v>0.150849511091498</v>
      </c>
      <c r="J1500" s="7" t="n">
        <f aca="false">Sens!J1499/Sens!I1499-1</f>
        <v>0.10333769291753</v>
      </c>
      <c r="K1500" s="7" t="n">
        <f aca="false">Sens!K1499/Sens!J1499-1</f>
        <v>0.0709143059274098</v>
      </c>
    </row>
    <row r="1501" customFormat="false" ht="17.15" hidden="false" customHeight="false" outlineLevel="0" collapsed="false">
      <c r="A1501" s="0" t="s">
        <v>1007</v>
      </c>
      <c r="B1501" s="0" t="s">
        <v>98</v>
      </c>
      <c r="E1501" s="6" t="n">
        <f aca="false">Sens!E1442</f>
        <v>5.25</v>
      </c>
      <c r="F1501" s="6" t="n">
        <f aca="false">Sens!F1442</f>
        <v>13.5</v>
      </c>
      <c r="G1501" s="6" t="n">
        <f aca="false">Sens!G1442</f>
        <v>22.5</v>
      </c>
      <c r="H1501" s="6" t="n">
        <f aca="false">Sens!H1442</f>
        <v>31.5</v>
      </c>
      <c r="I1501" s="6" t="n">
        <f aca="false">Sens!I1442</f>
        <v>38.25</v>
      </c>
      <c r="J1501" s="6" t="n">
        <f aca="false">Sens!J1442</f>
        <v>42.75</v>
      </c>
      <c r="K1501" s="6" t="n">
        <f aca="false">Sens!K1442</f>
        <v>47.25</v>
      </c>
    </row>
    <row r="1502" customFormat="false" ht="17.15" hidden="false" customHeight="false" outlineLevel="0" collapsed="false">
      <c r="A1502" s="1" t="s">
        <v>1008</v>
      </c>
      <c r="B1502" s="0" t="s">
        <v>98</v>
      </c>
      <c r="F1502" s="6" t="n">
        <f aca="false">MAX(0,((Sens!E1402+Sens!F1402)/2-(shadow_base*(Sens!$D$1402+Sens!$E$1402)/2+(1-shadow_base)*Sens!$E$1402))*Sens!F1411/1000-(Sens!F1501-Sens!$E$1501)*Sens!F1481)</f>
        <v>8.88340674531245</v>
      </c>
      <c r="G1502" s="6" t="n">
        <f aca="false">MAX(0,((Sens!F1402+Sens!G1402)/2-(shadow_base*(Sens!$D$1402+Sens!$E$1402)/2+(1-shadow_base)*Sens!$E$1402))*Sens!G1411/1000-(Sens!G1501-Sens!$E$1501)*Sens!G1481)</f>
        <v>22.7060305170273</v>
      </c>
      <c r="H1502" s="6" t="n">
        <f aca="false">MAX(0,((Sens!G1402+Sens!H1402)/2-(shadow_base*(Sens!$D$1402+Sens!$E$1402)/2+(1-shadow_base)*Sens!$E$1402))*Sens!H1411/1000-(Sens!H1501-Sens!$E$1501)*Sens!H1481)</f>
        <v>38.0018452382075</v>
      </c>
      <c r="I1502" s="6" t="n">
        <f aca="false">MAX(0,((Sens!H1402+Sens!I1402)/2-(shadow_base*(Sens!$D$1402+Sens!$E$1402)/2+(1-shadow_base)*Sens!$E$1402))*Sens!I1411/1000-(Sens!I1501-Sens!$E$1501)*Sens!I1481)</f>
        <v>52.1381094705177</v>
      </c>
      <c r="J1502" s="6" t="n">
        <f aca="false">MAX(0,((Sens!I1402+Sens!J1402)/2-(shadow_base*(Sens!$D$1402+Sens!$E$1402)/2+(1-shadow_base)*Sens!$E$1402))*Sens!J1411/1000-(Sens!J1501-Sens!$E$1501)*Sens!J1481)</f>
        <v>62.0595818934393</v>
      </c>
      <c r="K1502" s="6" t="n">
        <f aca="false">MAX(0,((Sens!J1402+Sens!K1402)/2-(shadow_base*(Sens!$D$1402+Sens!$E$1402)/2+(1-shadow_base)*Sens!$E$1402))*Sens!K1411/1000-(Sens!K1501-Sens!$E$1501)*Sens!K1481)</f>
        <v>67.0801312706266</v>
      </c>
      <c r="L1502" s="1" t="s">
        <v>1009</v>
      </c>
    </row>
    <row r="1503" customFormat="false" ht="17.15" hidden="false" customHeight="false" outlineLevel="0" collapsed="false">
      <c r="A1503" s="1" t="s">
        <v>1010</v>
      </c>
      <c r="B1503" s="0" t="s">
        <v>98</v>
      </c>
      <c r="F1503" s="6" t="n">
        <f aca="false">IF(internal_ai_reading=2,1,0)*Sens!F1502</f>
        <v>8.88340674531245</v>
      </c>
      <c r="G1503" s="6" t="n">
        <f aca="false">IF(internal_ai_reading=2,1,0)*Sens!G1502</f>
        <v>22.7060305170273</v>
      </c>
      <c r="H1503" s="6" t="n">
        <f aca="false">IF(internal_ai_reading=2,1,0)*Sens!H1502</f>
        <v>38.0018452382075</v>
      </c>
      <c r="I1503" s="6" t="n">
        <f aca="false">IF(internal_ai_reading=2,1,0)*Sens!I1502</f>
        <v>52.1381094705177</v>
      </c>
      <c r="J1503" s="6" t="n">
        <f aca="false">IF(internal_ai_reading=2,1,0)*Sens!J1502</f>
        <v>62.0595818934393</v>
      </c>
      <c r="K1503" s="6" t="n">
        <f aca="false">IF(internal_ai_reading=2,1,0)*Sens!K1502</f>
        <v>67.0801312706266</v>
      </c>
    </row>
    <row r="1504" customFormat="false" ht="17.15" hidden="false" customHeight="false" outlineLevel="0" collapsed="false">
      <c r="A1504" s="0" t="s">
        <v>1011</v>
      </c>
      <c r="B1504" s="0" t="s">
        <v>98</v>
      </c>
      <c r="F1504" s="6" t="n">
        <f aca="false">Sens!F1421+Sens!F1501*Sens!F1481+Sens!F1503-Sens!F1422-Sens!F1433</f>
        <v>27.3723803000543</v>
      </c>
      <c r="G1504" s="6" t="n">
        <f aca="false">Sens!G1421+Sens!G1501*Sens!G1481+Sens!G1503-Sens!G1422-Sens!G1433</f>
        <v>58.716111316659</v>
      </c>
      <c r="H1504" s="6" t="n">
        <f aca="false">Sens!H1421+Sens!H1501*Sens!H1481+Sens!H1503-Sens!H1422-Sens!H1433</f>
        <v>96.5751063544292</v>
      </c>
      <c r="I1504" s="6" t="n">
        <f aca="false">Sens!I1421+Sens!I1501*Sens!I1481+Sens!I1503-Sens!I1422-Sens!I1433</f>
        <v>123.650335341478</v>
      </c>
      <c r="J1504" s="6" t="n">
        <f aca="false">Sens!J1421+Sens!J1501*Sens!J1481+Sens!J1503-Sens!J1422-Sens!J1433</f>
        <v>142.368723513994</v>
      </c>
      <c r="K1504" s="6" t="n">
        <f aca="false">Sens!K1421+Sens!K1501*Sens!K1481+Sens!K1503-Sens!K1422-Sens!K1433</f>
        <v>154.412260217696</v>
      </c>
    </row>
    <row r="1505" customFormat="false" ht="17.15" hidden="false" customHeight="false" outlineLevel="0" collapsed="false">
      <c r="A1505" s="0" t="s">
        <v>1012</v>
      </c>
      <c r="B1505" s="0" t="s">
        <v>98</v>
      </c>
      <c r="E1505" s="6" t="n">
        <f aca="false">Sens!E1401*(cxit_open+self_build*tk_cxfac)/1000*ai_net_open</f>
        <v>126.6980382</v>
      </c>
      <c r="F1505" s="6" t="n">
        <f aca="false">Sens!E1505+Sens!F1430-Sens!F1433</f>
        <v>260.572627763768</v>
      </c>
      <c r="G1505" s="6" t="n">
        <f aca="false">Sens!F1505+Sens!G1430-Sens!G1433</f>
        <v>391.782612760517</v>
      </c>
      <c r="H1505" s="6" t="n">
        <f aca="false">Sens!G1505+Sens!H1430-Sens!H1433</f>
        <v>499.488526163584</v>
      </c>
      <c r="I1505" s="6" t="n">
        <f aca="false">Sens!H1505+Sens!I1430-Sens!I1433</f>
        <v>553.872350090646</v>
      </c>
      <c r="J1505" s="6" t="n">
        <f aca="false">Sens!I1505+Sens!J1430-Sens!J1433</f>
        <v>550.78660823699</v>
      </c>
      <c r="K1505" s="6" t="n">
        <f aca="false">Sens!J1505+Sens!K1430-Sens!K1433</f>
        <v>526.736791750789</v>
      </c>
      <c r="L1505" s="1" t="s">
        <v>1013</v>
      </c>
    </row>
    <row r="1506" customFormat="false" ht="17.15" hidden="false" customHeight="false" outlineLevel="0" collapsed="false">
      <c r="A1506" s="0" t="s">
        <v>1014</v>
      </c>
      <c r="B1506" s="0" t="s">
        <v>168</v>
      </c>
      <c r="F1506" s="7" t="n">
        <f aca="false">Sens!F1504*(1-tax_f)/((Sens!E1505+Sens!F1505)/2)</f>
        <v>0.113088370303225</v>
      </c>
      <c r="G1506" s="7" t="n">
        <f aca="false">Sens!G1504*(1-tax_f)/((Sens!F1505+Sens!G1505)/2)</f>
        <v>0.144010153166168</v>
      </c>
      <c r="H1506" s="7" t="n">
        <f aca="false">Sens!H1504*(1-tax_f)/((Sens!G1505+Sens!H1505)/2)</f>
        <v>0.173370552931419</v>
      </c>
      <c r="I1506" s="7" t="n">
        <f aca="false">Sens!I1504*(1-tax_f)/((Sens!H1505+Sens!I1505)/2)</f>
        <v>0.187818383050156</v>
      </c>
      <c r="J1506" s="7" t="n">
        <f aca="false">Sens!J1504*(1-tax_f)/((Sens!I1505+Sens!J1505)/2)</f>
        <v>0.206208401158713</v>
      </c>
      <c r="K1506" s="7" t="n">
        <f aca="false">Sens!K1504*(1-tax_f)/((Sens!J1505+Sens!K1505)/2)</f>
        <v>0.229284687786006</v>
      </c>
    </row>
    <row r="1507" customFormat="false" ht="17.15" hidden="false" customHeight="false" outlineLevel="0" collapsed="false">
      <c r="A1507" s="1" t="s">
        <v>1015</v>
      </c>
      <c r="B1507" s="0" t="s">
        <v>168</v>
      </c>
      <c r="F1507" s="7" t="n">
        <f aca="false">(Sens!F1504-Sens!F1503)*(1-tax_f)/((Sens!E1505+Sens!F1505)/2)</f>
        <v>0.0763867761942876</v>
      </c>
      <c r="G1507" s="7" t="n">
        <f aca="false">(Sens!G1504-Sens!G1503)*(1-tax_f)/((Sens!F1505+Sens!G1505)/2)</f>
        <v>0.0883201754202291</v>
      </c>
      <c r="H1507" s="7" t="n">
        <f aca="false">(Sens!H1504-Sens!H1503)*(1-tax_f)/((Sens!G1505+Sens!H1505)/2)</f>
        <v>0.105150064546111</v>
      </c>
      <c r="I1507" s="7" t="n">
        <f aca="false">(Sens!I1504-Sens!I1503)*(1-tax_f)/((Sens!H1505+Sens!I1505)/2)</f>
        <v>0.108623325560007</v>
      </c>
      <c r="J1507" s="7" t="n">
        <f aca="false">(Sens!J1504-Sens!J1503)*(1-tax_f)/((Sens!I1505+Sens!J1505)/2)</f>
        <v>0.116320630565852</v>
      </c>
      <c r="K1507" s="7" t="n">
        <f aca="false">(Sens!K1504-Sens!K1503)*(1-tax_f)/((Sens!J1505+Sens!K1505)/2)</f>
        <v>0.129678303336054</v>
      </c>
    </row>
    <row r="1508" customFormat="false" ht="17.15" hidden="false" customHeight="false" outlineLevel="0" collapsed="false">
      <c r="A1508" s="1" t="s">
        <v>1016</v>
      </c>
      <c r="B1508" s="0" t="s">
        <v>168</v>
      </c>
      <c r="F1508" s="7" t="n">
        <f aca="false">(Sens!F1504-Sens!F1503+Sens!F1502)*(1-tax_f)/((Sens!E1505+Sens!F1505)/2)</f>
        <v>0.113088370303225</v>
      </c>
      <c r="G1508" s="7" t="n">
        <f aca="false">(Sens!G1504-Sens!G1503+Sens!G1502)*(1-tax_f)/((Sens!F1505+Sens!G1505)/2)</f>
        <v>0.144010153166168</v>
      </c>
      <c r="H1508" s="7" t="n">
        <f aca="false">(Sens!H1504-Sens!H1503+Sens!H1502)*(1-tax_f)/((Sens!G1505+Sens!H1505)/2)</f>
        <v>0.173370552931419</v>
      </c>
      <c r="I1508" s="7" t="n">
        <f aca="false">(Sens!I1504-Sens!I1503+Sens!I1502)*(1-tax_f)/((Sens!H1505+Sens!I1505)/2)</f>
        <v>0.187818383050156</v>
      </c>
      <c r="J1508" s="7" t="n">
        <f aca="false">(Sens!J1504-Sens!J1503+Sens!J1502)*(1-tax_f)/((Sens!I1505+Sens!J1505)/2)</f>
        <v>0.206208401158713</v>
      </c>
      <c r="K1508" s="7" t="n">
        <f aca="false">(Sens!K1504-Sens!K1503+Sens!K1502)*(1-tax_f)/((Sens!J1505+Sens!K1505)/2)</f>
        <v>0.229284687786006</v>
      </c>
    </row>
    <row r="1509" customFormat="false" ht="17.15" hidden="false" customHeight="false" outlineLevel="0" collapsed="false">
      <c r="A1509" s="1" t="s">
        <v>1017</v>
      </c>
      <c r="B1509" s="0" t="s">
        <v>168</v>
      </c>
      <c r="F1509" s="7" t="n">
        <f aca="false">Sens!F1434*(1-tax_f)/(Sens!F1420*(Sens!E1505+Sens!F1505)/2)</f>
        <v>0.215760438126458</v>
      </c>
      <c r="G1509" s="7" t="n">
        <f aca="false">Sens!G1434*(1-tax_f)/(Sens!G1420*(Sens!F1505+Sens!G1505)/2)</f>
        <v>0.240349527510804</v>
      </c>
      <c r="H1509" s="7" t="n">
        <f aca="false">Sens!H1434*(1-tax_f)/(Sens!H1420*(Sens!G1505+Sens!H1505)/2)</f>
        <v>0.276519572692262</v>
      </c>
      <c r="I1509" s="7" t="n">
        <f aca="false">Sens!I1434*(1-tax_f)/(Sens!I1420*(Sens!H1505+Sens!I1505)/2)</f>
        <v>0.293048763887634</v>
      </c>
      <c r="J1509" s="7" t="n">
        <f aca="false">Sens!J1434*(1-tax_f)/(Sens!J1420*(Sens!I1505+Sens!J1505)/2)</f>
        <v>0.318547497677967</v>
      </c>
      <c r="K1509" s="7" t="n">
        <f aca="false">Sens!K1434*(1-tax_f)/(Sens!K1420*(Sens!J1505+Sens!K1505)/2)</f>
        <v>0.352493609076189</v>
      </c>
    </row>
    <row r="1510" customFormat="false" ht="17.15" hidden="false" customHeight="false" outlineLevel="0" collapsed="false">
      <c r="A1510" s="0" t="s">
        <v>1018</v>
      </c>
      <c r="B1510" s="0" t="s">
        <v>253</v>
      </c>
      <c r="F1510" s="7" t="n">
        <f aca="false">Sens!F1506-wacc</f>
        <v>0.0101517793576272</v>
      </c>
      <c r="G1510" s="7" t="n">
        <f aca="false">Sens!G1506-wacc</f>
        <v>0.0410735622205703</v>
      </c>
      <c r="H1510" s="7" t="n">
        <f aca="false">Sens!H1506-wacc</f>
        <v>0.0704339619858215</v>
      </c>
      <c r="I1510" s="7" t="n">
        <f aca="false">Sens!I1506-wacc</f>
        <v>0.084881792104559</v>
      </c>
      <c r="J1510" s="7" t="n">
        <f aca="false">Sens!J1506-wacc</f>
        <v>0.103271810213116</v>
      </c>
      <c r="K1510" s="7" t="n">
        <f aca="false">Sens!K1506-wacc</f>
        <v>0.126348096840409</v>
      </c>
    </row>
    <row r="1511" customFormat="false" ht="17.15" hidden="false" customHeight="false" outlineLevel="0" collapsed="false">
      <c r="A1511" s="0" t="s">
        <v>1019</v>
      </c>
      <c r="B1511" s="0" t="s">
        <v>98</v>
      </c>
      <c r="F1511" s="6" t="n">
        <f aca="false">Sens!F1504*(1-tax_f)-wacc*(Sens!E1505+Sens!F1505)/2</f>
        <v>1.96574317627277</v>
      </c>
      <c r="G1511" s="6" t="n">
        <f aca="false">Sens!G1504*(1-tax_f)-wacc*(Sens!F1505+Sens!G1505)/2</f>
        <v>13.3972767807947</v>
      </c>
      <c r="H1511" s="6" t="n">
        <f aca="false">Sens!H1504*(1-tax_f)-wacc*(Sens!G1505+Sens!H1505)/2</f>
        <v>31.38787875902</v>
      </c>
      <c r="I1511" s="6" t="n">
        <f aca="false">Sens!I1504*(1-tax_f)-wacc*(Sens!H1505+Sens!I1505)/2</f>
        <v>44.7055794546438</v>
      </c>
      <c r="J1511" s="6" t="n">
        <f aca="false">Sens!J1504*(1-tax_f)-wacc*(Sens!I1505+Sens!J1505)/2</f>
        <v>57.0400651473148</v>
      </c>
      <c r="K1511" s="6" t="n">
        <f aca="false">Sens!K1504*(1-tax_f)-wacc*(Sens!J1505+Sens!K1505)/2</f>
        <v>68.0715154447312</v>
      </c>
    </row>
    <row r="1512" customFormat="false" ht="17.15" hidden="false" customHeight="false" outlineLevel="0" collapsed="false">
      <c r="A1512" s="3" t="s">
        <v>1648</v>
      </c>
    </row>
    <row r="1513" customFormat="false" ht="15" hidden="false" customHeight="false" outlineLevel="0" collapsed="false">
      <c r="A1513" s="4" t="s">
        <v>43</v>
      </c>
      <c r="B1513" s="4" t="s">
        <v>65</v>
      </c>
      <c r="C1513" s="23" t="s">
        <v>942</v>
      </c>
      <c r="D1513" s="23" t="s">
        <v>943</v>
      </c>
      <c r="E1513" s="23" t="s">
        <v>944</v>
      </c>
      <c r="F1513" s="23" t="s">
        <v>945</v>
      </c>
      <c r="G1513" s="23" t="s">
        <v>946</v>
      </c>
      <c r="H1513" s="23" t="s">
        <v>947</v>
      </c>
      <c r="I1513" s="23" t="s">
        <v>948</v>
      </c>
      <c r="J1513" s="23" t="s">
        <v>949</v>
      </c>
      <c r="K1513" s="23" t="s">
        <v>950</v>
      </c>
      <c r="L1513" s="4" t="s">
        <v>47</v>
      </c>
    </row>
    <row r="1514" customFormat="false" ht="15" hidden="false" customHeight="false" outlineLevel="0" collapsed="false">
      <c r="A1514" s="1" t="s">
        <v>1080</v>
      </c>
      <c r="B1514" s="0" t="s">
        <v>98</v>
      </c>
      <c r="F1514" s="6" t="n">
        <f aca="false">Sens!F1495</f>
        <v>152.833551318663</v>
      </c>
      <c r="G1514" s="6" t="n">
        <f aca="false">Sens!G1495</f>
        <v>179.29242454741</v>
      </c>
      <c r="H1514" s="6" t="n">
        <f aca="false">Sens!H1495</f>
        <v>213.150146668682</v>
      </c>
      <c r="I1514" s="6" t="n">
        <f aca="false">Sens!I1495</f>
        <v>239.017109395533</v>
      </c>
      <c r="J1514" s="6" t="n">
        <f aca="false">Sens!J1495</f>
        <v>260.672808804545</v>
      </c>
      <c r="K1514" s="6" t="n">
        <f aca="false">Sens!K1495</f>
        <v>279.387877254242</v>
      </c>
    </row>
    <row r="1515" customFormat="false" ht="17.15" hidden="false" customHeight="false" outlineLevel="0" collapsed="false">
      <c r="A1515" s="1" t="s">
        <v>1102</v>
      </c>
      <c r="B1515" s="0" t="s">
        <v>98</v>
      </c>
      <c r="E1515" s="6" t="n">
        <f aca="false">Q!M38-Sens!E1433</f>
        <v>22.2285940229167</v>
      </c>
      <c r="F1515" s="6" t="n">
        <f aca="false">Sens!E1515*(1-1/life_nonai)+(Sens!F1523+Sens!F1524)/life_nonai</f>
        <v>23.580344216413</v>
      </c>
      <c r="G1515" s="6" t="n">
        <f aca="false">Sens!F1515*(1-1/life_nonai)+(Sens!G1523)/life_nonai</f>
        <v>25.3338814910863</v>
      </c>
      <c r="H1515" s="6" t="n">
        <f aca="false">Sens!G1515*(1-1/life_nonai)+(Sens!H1523)/life_nonai</f>
        <v>27.5011167658533</v>
      </c>
      <c r="I1515" s="6" t="n">
        <f aca="false">Sens!H1515*(1-1/life_nonai)+(Sens!I1523)/life_nonai</f>
        <v>30.0062134127235</v>
      </c>
      <c r="J1515" s="6" t="n">
        <f aca="false">Sens!I1515*(1-1/life_nonai)+(Sens!J1523)/life_nonai</f>
        <v>32.7580128824735</v>
      </c>
      <c r="K1515" s="6" t="n">
        <f aca="false">Sens!J1515*(1-1/life_nonai)+(Sens!K1523)/life_nonai</f>
        <v>35.6733079392113</v>
      </c>
      <c r="L1515" s="12" t="s">
        <v>1103</v>
      </c>
    </row>
    <row r="1516" customFormat="false" ht="17.15" hidden="false" customHeight="false" outlineLevel="0" collapsed="false">
      <c r="A1516" s="1" t="s">
        <v>1104</v>
      </c>
      <c r="B1516" s="0" t="s">
        <v>98</v>
      </c>
      <c r="F1516" s="6" t="n">
        <f aca="false">Sens!$F$1524/life_nonai*(1-1/life_nonai)^(Sens!F1396-2027)</f>
        <v>0.0436923187687576</v>
      </c>
      <c r="G1516" s="6" t="n">
        <f aca="false">Sens!$F$1524/life_nonai*(1-1/life_nonai)^(Sens!G1396-2027)</f>
        <v>0.0393230868918818</v>
      </c>
      <c r="H1516" s="6" t="n">
        <f aca="false">Sens!$F$1524/life_nonai*(1-1/life_nonai)^(Sens!H1396-2027)</f>
        <v>0.0353907782026936</v>
      </c>
      <c r="I1516" s="6" t="n">
        <f aca="false">Sens!$F$1524/life_nonai*(1-1/life_nonai)^(Sens!I1396-2027)</f>
        <v>0.0318517003824243</v>
      </c>
      <c r="J1516" s="6" t="n">
        <f aca="false">Sens!$F$1524/life_nonai*(1-1/life_nonai)^(Sens!J1396-2027)</f>
        <v>0.0286665303441819</v>
      </c>
      <c r="K1516" s="6" t="n">
        <f aca="false">Sens!$F$1524/life_nonai*(1-1/life_nonai)^(Sens!K1396-2027)</f>
        <v>0.0257998773097637</v>
      </c>
      <c r="L1516" s="1" t="s">
        <v>1105</v>
      </c>
    </row>
    <row r="1517" customFormat="false" ht="17.15" hidden="false" customHeight="false" outlineLevel="0" collapsed="false">
      <c r="A1517" s="1" t="s">
        <v>1106</v>
      </c>
      <c r="B1517" s="0" t="s">
        <v>98</v>
      </c>
      <c r="E1517" s="6" t="n">
        <f aca="false">Sens!E1433+Sens!E1515</f>
        <v>38.534</v>
      </c>
      <c r="F1517" s="6" t="n">
        <f aca="false">Sens!F1433+Sens!F1515</f>
        <v>58.1596586947647</v>
      </c>
      <c r="G1517" s="6" t="n">
        <f aca="false">Sens!G1433+Sens!G1515</f>
        <v>86.0683721433853</v>
      </c>
      <c r="H1517" s="6" t="n">
        <f aca="false">Sens!H1433+Sens!H1515</f>
        <v>116.601207427299</v>
      </c>
      <c r="I1517" s="6" t="n">
        <f aca="false">Sens!I1433+Sens!I1515</f>
        <v>144.237223107272</v>
      </c>
      <c r="J1517" s="6" t="n">
        <f aca="false">Sens!J1433+Sens!J1515</f>
        <v>164.77368593207</v>
      </c>
      <c r="K1517" s="6" t="n">
        <f aca="false">Sens!K1433+Sens!K1515</f>
        <v>178.685977490145</v>
      </c>
    </row>
    <row r="1518" customFormat="false" ht="17.15" hidden="false" customHeight="false" outlineLevel="0" collapsed="false">
      <c r="A1518" s="1" t="s">
        <v>1107</v>
      </c>
      <c r="B1518" s="0" t="s">
        <v>98</v>
      </c>
      <c r="F1518" s="6" t="n">
        <f aca="false">Sens!F1460*sbc_r</f>
        <v>15.3267113325595</v>
      </c>
      <c r="G1518" s="6" t="n">
        <f aca="false">Sens!G1460*sbc_r</f>
        <v>18.877774266587</v>
      </c>
      <c r="H1518" s="6" t="n">
        <f aca="false">Sens!H1460*sbc_r</f>
        <v>22.7167112018068</v>
      </c>
      <c r="I1518" s="6" t="n">
        <f aca="false">Sens!I1460*sbc_r</f>
        <v>25.9611428008798</v>
      </c>
      <c r="J1518" s="6" t="n">
        <f aca="false">Sens!J1460*sbc_r</f>
        <v>28.5472193109453</v>
      </c>
      <c r="K1518" s="6" t="n">
        <f aca="false">Sens!K1460*sbc_r</f>
        <v>30.5783250948957</v>
      </c>
    </row>
    <row r="1519" customFormat="false" ht="17.15" hidden="false" customHeight="false" outlineLevel="0" collapsed="false">
      <c r="A1519" s="1" t="s">
        <v>1108</v>
      </c>
      <c r="B1519" s="0" t="s">
        <v>98</v>
      </c>
      <c r="F1519" s="6" t="n">
        <f aca="false">wc27-wc26q1</f>
        <v>-4.677</v>
      </c>
      <c r="G1519" s="6" t="n">
        <f aca="false">wc_f</f>
        <v>0</v>
      </c>
      <c r="H1519" s="6" t="n">
        <f aca="false">wc_f</f>
        <v>0</v>
      </c>
      <c r="I1519" s="6" t="n">
        <f aca="false">wc_f</f>
        <v>0</v>
      </c>
      <c r="J1519" s="6" t="n">
        <f aca="false">wc_f</f>
        <v>0</v>
      </c>
      <c r="K1519" s="6" t="n">
        <f aca="false">wc_f</f>
        <v>0</v>
      </c>
      <c r="L1519" s="12" t="s">
        <v>1109</v>
      </c>
    </row>
    <row r="1520" customFormat="false" ht="17.15" hidden="false" customHeight="false" outlineLevel="0" collapsed="false">
      <c r="A1520" s="0" t="s">
        <v>1110</v>
      </c>
      <c r="B1520" s="0" t="s">
        <v>98</v>
      </c>
      <c r="F1520" s="6" t="n">
        <f aca="false">Q!$I$35-Q!$I$26-Q!$I$38-Q!$I$39</f>
        <v>6.493</v>
      </c>
      <c r="L1520" s="1" t="s">
        <v>1111</v>
      </c>
    </row>
    <row r="1521" customFormat="false" ht="15" hidden="false" customHeight="false" outlineLevel="0" collapsed="false">
      <c r="A1521" s="1" t="s">
        <v>908</v>
      </c>
      <c r="B1521" s="0" t="s">
        <v>98</v>
      </c>
      <c r="E1521" s="6" t="n">
        <f aca="false">Q!M35</f>
        <v>182.935</v>
      </c>
      <c r="F1521" s="6" t="n">
        <f aca="false">Sens!F1514+Sens!F1517+Sens!F1518+Sens!F1519+Sens!F1520</f>
        <v>228.135921345987</v>
      </c>
      <c r="G1521" s="6" t="n">
        <f aca="false">Sens!G1514+Sens!G1517+Sens!G1518+Sens!G1519</f>
        <v>284.238570957383</v>
      </c>
      <c r="H1521" s="6" t="n">
        <f aca="false">Sens!H1514+Sens!H1517+Sens!H1518+Sens!H1519</f>
        <v>352.468065297788</v>
      </c>
      <c r="I1521" s="6" t="n">
        <f aca="false">Sens!I1514+Sens!I1517+Sens!I1518+Sens!I1519</f>
        <v>409.215475303684</v>
      </c>
      <c r="J1521" s="6" t="n">
        <f aca="false">Sens!J1514+Sens!J1517+Sens!J1518+Sens!J1519</f>
        <v>453.99371404756</v>
      </c>
      <c r="K1521" s="6" t="n">
        <f aca="false">Sens!K1514+Sens!K1517+Sens!K1518+Sens!K1519</f>
        <v>488.652179839283</v>
      </c>
    </row>
    <row r="1522" customFormat="false" ht="17.15" hidden="false" customHeight="false" outlineLevel="0" collapsed="false">
      <c r="A1522" s="0" t="s">
        <v>1112</v>
      </c>
      <c r="B1522" s="0" t="s">
        <v>98</v>
      </c>
      <c r="F1522" s="6" t="n">
        <f aca="false">Sens!F1430</f>
        <v>168.45390404212</v>
      </c>
      <c r="G1522" s="6" t="n">
        <f aca="false">Sens!G1430</f>
        <v>191.944475649048</v>
      </c>
      <c r="H1522" s="6" t="n">
        <f aca="false">Sens!H1430</f>
        <v>196.806004064512</v>
      </c>
      <c r="I1522" s="6" t="n">
        <f aca="false">Sens!I1430</f>
        <v>168.61483362161</v>
      </c>
      <c r="J1522" s="6" t="n">
        <f aca="false">Sens!J1430</f>
        <v>128.92993119594</v>
      </c>
      <c r="K1522" s="6" t="n">
        <f aca="false">Sens!K1430</f>
        <v>118.962853064733</v>
      </c>
    </row>
    <row r="1523" customFormat="false" ht="17.15" hidden="false" customHeight="false" outlineLevel="0" collapsed="false">
      <c r="A1523" s="1" t="s">
        <v>1113</v>
      </c>
      <c r="B1523" s="0" t="s">
        <v>98</v>
      </c>
      <c r="E1523" s="6" t="n">
        <f aca="false">Sens!E1438*cx_azo+Sens!E1445*cx_m365+Sens!E1446*cx_lic+(Sens!E1448+Sens!E1450)*cx_ind+Sens!E1453*cx_srch+(Sens!E1455+Sens!E1457)*cx_dev</f>
        <v>30.1846587067718</v>
      </c>
      <c r="F1523" s="6" t="n">
        <f aca="false">Sens!F1438*cx_azo+Sens!F1445*cx_m365+Sens!F1446*cx_lic+(Sens!F1448+Sens!F1450)*cx_ind+Sens!F1453*cx_srch+(Sens!F1455+Sens!F1457)*cx_dev</f>
        <v>35.3091727701928</v>
      </c>
      <c r="G1523" s="6" t="n">
        <f aca="false">Sens!G1438*cx_azo+Sens!G1445*cx_m365+Sens!G1446*cx_lic+(Sens!G1448+Sens!G1450)*cx_ind+Sens!G1453*cx_srch+(Sens!G1455+Sens!G1457)*cx_dev</f>
        <v>41.115716963146</v>
      </c>
      <c r="H1523" s="6" t="n">
        <f aca="false">Sens!H1438*cx_azo+Sens!H1445*cx_m365+Sens!H1446*cx_lic+(Sens!H1448+Sens!H1450)*cx_ind+Sens!H1453*cx_srch+(Sens!H1455+Sens!H1457)*cx_dev</f>
        <v>47.0062342387555</v>
      </c>
      <c r="I1523" s="6" t="n">
        <f aca="false">Sens!I1438*cx_azo+Sens!I1445*cx_m365+Sens!I1446*cx_lic+(Sens!I1448+Sens!I1450)*cx_ind+Sens!I1453*cx_srch+(Sens!I1455+Sens!I1457)*cx_dev</f>
        <v>52.5520832345558</v>
      </c>
      <c r="J1523" s="6" t="n">
        <f aca="false">Sens!J1438*cx_azo+Sens!J1445*cx_m365+Sens!J1446*cx_lic+(Sens!J1448+Sens!J1450)*cx_ind+Sens!J1453*cx_srch+(Sens!J1455+Sens!J1457)*cx_dev</f>
        <v>57.5242081102237</v>
      </c>
      <c r="K1523" s="6" t="n">
        <f aca="false">Sens!K1438*cx_azo+Sens!K1445*cx_m365+Sens!K1446*cx_lic+(Sens!K1448+Sens!K1450)*cx_ind+Sens!K1453*cx_srch+(Sens!K1455+Sens!K1457)*cx_dev</f>
        <v>61.9109634498513</v>
      </c>
    </row>
    <row r="1524" customFormat="false" ht="17.15" hidden="false" customHeight="false" outlineLevel="0" collapsed="false">
      <c r="A1524" s="0" t="s">
        <v>1114</v>
      </c>
      <c r="B1524" s="0" t="s">
        <v>98</v>
      </c>
      <c r="F1524" s="6" t="n">
        <f aca="false">Sens!F1428</f>
        <v>0.436923187687576</v>
      </c>
      <c r="L1524" s="1" t="s">
        <v>1115</v>
      </c>
    </row>
    <row r="1525" customFormat="false" ht="17.15" hidden="false" customHeight="false" outlineLevel="0" collapsed="false">
      <c r="A1525" s="1" t="s">
        <v>1116</v>
      </c>
      <c r="B1525" s="0" t="s">
        <v>98</v>
      </c>
      <c r="E1525" s="6" t="n">
        <f aca="false">Q!M43</f>
        <v>145.3</v>
      </c>
      <c r="F1525" s="6" t="n">
        <f aca="false">Sens!F1522+Sens!F1523+Sens!F1524</f>
        <v>204.2</v>
      </c>
      <c r="G1525" s="6" t="n">
        <f aca="false">Sens!G1522+Sens!G1523</f>
        <v>233.060192612194</v>
      </c>
      <c r="H1525" s="6" t="n">
        <f aca="false">Sens!H1522+Sens!H1523</f>
        <v>243.812238303268</v>
      </c>
      <c r="I1525" s="6" t="n">
        <f aca="false">Sens!I1522+Sens!I1523</f>
        <v>221.166916856166</v>
      </c>
      <c r="J1525" s="6" t="n">
        <f aca="false">Sens!J1522+Sens!J1523</f>
        <v>186.454139306164</v>
      </c>
      <c r="K1525" s="6" t="n">
        <f aca="false">Sens!K1522+Sens!K1523</f>
        <v>180.873816514584</v>
      </c>
      <c r="L1525" s="1" t="s">
        <v>1117</v>
      </c>
    </row>
    <row r="1526" customFormat="false" ht="15" hidden="false" customHeight="false" outlineLevel="0" collapsed="false">
      <c r="A1526" s="1" t="s">
        <v>1118</v>
      </c>
      <c r="B1526" s="0" t="s">
        <v>98</v>
      </c>
      <c r="E1526" s="6" t="n">
        <f aca="false">fl_liab</f>
        <v>66.594</v>
      </c>
      <c r="F1526" s="6" t="n">
        <f aca="false">Sens!E1526-Sens!F1527</f>
        <v>62.46973</v>
      </c>
      <c r="G1526" s="6" t="n">
        <f aca="false">Sens!F1526-Sens!G1527</f>
        <v>57.98686785</v>
      </c>
      <c r="H1526" s="6" t="n">
        <f aca="false">Sens!G1526-Sens!H1527</f>
        <v>53.92827690325</v>
      </c>
      <c r="I1526" s="6" t="n">
        <f aca="false">Sens!H1526-Sens!I1527</f>
        <v>49.7850493638962</v>
      </c>
      <c r="J1526" s="6" t="n">
        <f aca="false">Sens!I1526-Sens!J1527</f>
        <v>45.4823765852716</v>
      </c>
      <c r="K1526" s="6" t="n">
        <f aca="false">Sens!J1526-Sens!K1527</f>
        <v>40.9860835316088</v>
      </c>
    </row>
    <row r="1527" customFormat="false" ht="15" hidden="false" customHeight="false" outlineLevel="0" collapsed="false">
      <c r="A1527" s="1" t="s">
        <v>1119</v>
      </c>
      <c r="B1527" s="0" t="s">
        <v>98</v>
      </c>
      <c r="F1527" s="6" t="n">
        <f aca="false">fl_pay_27-Sens!E1526*fl_rate</f>
        <v>4.12427</v>
      </c>
      <c r="G1527" s="6" t="n">
        <f aca="false">fl_pay_28-Sens!F1526*fl_rate</f>
        <v>4.48286215</v>
      </c>
      <c r="H1527" s="6" t="n">
        <f aca="false">fl_pay_29-Sens!G1526*fl_rate</f>
        <v>4.05859094675</v>
      </c>
      <c r="I1527" s="6" t="n">
        <f aca="false">fl_pay_30-Sens!H1526*fl_rate</f>
        <v>4.14322753935375</v>
      </c>
      <c r="J1527" s="6" t="n">
        <f aca="false">fl_pay_31-Sens!I1526*fl_rate</f>
        <v>4.30267277862467</v>
      </c>
      <c r="K1527" s="6" t="n">
        <f aca="false">fl_pay_32-Sens!J1526*fl_rate</f>
        <v>4.49629305366278</v>
      </c>
    </row>
    <row r="1528" customFormat="false" ht="17.15" hidden="false" customHeight="false" outlineLevel="0" collapsed="false">
      <c r="A1528" s="1" t="s">
        <v>1120</v>
      </c>
      <c r="B1528" s="0" t="s">
        <v>98</v>
      </c>
      <c r="E1528" s="6" t="n">
        <f aca="false">Q!M35-Q!M36-Q!M44</f>
        <v>63.886</v>
      </c>
      <c r="F1528" s="6" t="n">
        <f aca="false">Sens!F1521-Sens!F1525-Sens!F1527</f>
        <v>19.8116513459871</v>
      </c>
      <c r="G1528" s="6" t="n">
        <f aca="false">Sens!G1521-Sens!G1525-Sens!G1527</f>
        <v>46.6955161951887</v>
      </c>
      <c r="H1528" s="6" t="n">
        <f aca="false">Sens!H1521-Sens!H1525-Sens!H1527</f>
        <v>104.59723604777</v>
      </c>
      <c r="I1528" s="6" t="n">
        <f aca="false">Sens!I1521-Sens!I1525-Sens!I1527</f>
        <v>183.905330908165</v>
      </c>
      <c r="J1528" s="6" t="n">
        <f aca="false">Sens!J1521-Sens!J1525-Sens!J1527</f>
        <v>263.236901962772</v>
      </c>
      <c r="K1528" s="6" t="n">
        <f aca="false">Sens!K1521-Sens!K1525-Sens!K1527</f>
        <v>303.282070271036</v>
      </c>
      <c r="L1528" s="12" t="s">
        <v>1121</v>
      </c>
    </row>
    <row r="1529" customFormat="false" ht="15" hidden="false" customHeight="false" outlineLevel="0" collapsed="false">
      <c r="A1529" s="1" t="s">
        <v>1122</v>
      </c>
      <c r="B1529" s="0" t="s">
        <v>75</v>
      </c>
      <c r="F1529" s="8" t="n">
        <f aca="false">dps_27</f>
        <v>3.85</v>
      </c>
      <c r="G1529" s="8" t="n">
        <f aca="false">Sens!F1529*(1+dps_g)</f>
        <v>4.158</v>
      </c>
      <c r="H1529" s="8" t="n">
        <f aca="false">Sens!G1529*(1+dps_g)</f>
        <v>4.49064</v>
      </c>
      <c r="I1529" s="8" t="n">
        <f aca="false">Sens!H1529*(1+dps_g)</f>
        <v>4.8498912</v>
      </c>
      <c r="J1529" s="8" t="n">
        <f aca="false">Sens!I1529*(1+dps_g)</f>
        <v>5.237882496</v>
      </c>
      <c r="K1529" s="8" t="n">
        <f aca="false">Sens!J1529*(1+dps_g)</f>
        <v>5.65691309568</v>
      </c>
    </row>
    <row r="1530" customFormat="false" ht="17.15" hidden="false" customHeight="false" outlineLevel="0" collapsed="false">
      <c r="A1530" s="1" t="s">
        <v>1123</v>
      </c>
      <c r="B1530" s="0" t="s">
        <v>98</v>
      </c>
      <c r="E1530" s="6" t="n">
        <f aca="false">Q!M41</f>
        <v>26.445</v>
      </c>
      <c r="F1530" s="6" t="n">
        <f aca="false">Sens!F1529*Sens!E1539</f>
        <v>28.59395</v>
      </c>
      <c r="G1530" s="6" t="n">
        <f aca="false">Sens!G1529*Sens!F1539</f>
        <v>31.0021894059596</v>
      </c>
      <c r="H1530" s="6" t="n">
        <f aca="false">Sens!H1529*Sens!G1539</f>
        <v>33.5661977757308</v>
      </c>
      <c r="I1530" s="6" t="n">
        <f aca="false">Sens!I1529*Sens!H1539</f>
        <v>36.3019318748619</v>
      </c>
      <c r="J1530" s="6" t="n">
        <f aca="false">Sens!J1529*Sens!I1539</f>
        <v>39.2739843102435</v>
      </c>
      <c r="K1530" s="6" t="n">
        <f aca="false">Sens!K1529*Sens!J1539</f>
        <v>42.5026573174412</v>
      </c>
      <c r="L1530" s="1" t="s">
        <v>1124</v>
      </c>
    </row>
    <row r="1531" customFormat="false" ht="15" hidden="false" customHeight="false" outlineLevel="0" collapsed="false">
      <c r="A1531" s="1" t="s">
        <v>1125</v>
      </c>
      <c r="B1531" s="0" t="s">
        <v>98</v>
      </c>
      <c r="E1531" s="6" t="n">
        <f aca="false">Sens!E1528-Sens!E1530</f>
        <v>37.441</v>
      </c>
      <c r="F1531" s="6" t="n">
        <f aca="false">Sens!F1528-Sens!F1530</f>
        <v>-8.78229865401286</v>
      </c>
      <c r="G1531" s="6" t="n">
        <f aca="false">Sens!G1528-Sens!G1530</f>
        <v>15.6933267892291</v>
      </c>
      <c r="H1531" s="6" t="n">
        <f aca="false">Sens!H1528-Sens!H1530</f>
        <v>71.0310382720389</v>
      </c>
      <c r="I1531" s="6" t="n">
        <f aca="false">Sens!I1528-Sens!I1530</f>
        <v>147.603399033303</v>
      </c>
      <c r="J1531" s="6" t="n">
        <f aca="false">Sens!J1528-Sens!J1530</f>
        <v>223.962917652528</v>
      </c>
      <c r="K1531" s="6" t="n">
        <f aca="false">Sens!K1528-Sens!K1530</f>
        <v>260.779412953595</v>
      </c>
    </row>
    <row r="1532" customFormat="false" ht="15" hidden="false" customHeight="false" outlineLevel="0" collapsed="false">
      <c r="A1532" s="1" t="s">
        <v>1126</v>
      </c>
      <c r="B1532" s="0" t="s">
        <v>98</v>
      </c>
      <c r="F1532" s="6" t="n">
        <f aca="false">debt_mat_27</f>
        <v>9.25</v>
      </c>
      <c r="G1532" s="6" t="n">
        <f aca="false">debt_mat_28</f>
        <v>0</v>
      </c>
      <c r="H1532" s="6" t="n">
        <f aca="false">debt_mat_29</f>
        <v>2.001</v>
      </c>
      <c r="I1532" s="6" t="n">
        <f aca="false">debt_mat_30</f>
        <v>0</v>
      </c>
      <c r="J1532" s="6" t="n">
        <f aca="false">debt_mat_31</f>
        <v>0.5</v>
      </c>
      <c r="K1532" s="6" t="n">
        <f aca="false">debt_mat_32</f>
        <v>0</v>
      </c>
    </row>
    <row r="1533" customFormat="false" ht="15" hidden="false" customHeight="false" outlineLevel="0" collapsed="false">
      <c r="A1533" s="1" t="s">
        <v>1127</v>
      </c>
      <c r="B1533" s="0" t="s">
        <v>98</v>
      </c>
      <c r="E1533" s="6" t="n">
        <f aca="false">Q!M40</f>
        <v>22.271</v>
      </c>
      <c r="F1533" s="6" t="n">
        <f aca="false">MAX(0,MIN(bb_target,Sens!E1535+Sens!F1531-Sens!F1532-min_cash))</f>
        <v>8.81070134598714</v>
      </c>
      <c r="G1533" s="6" t="n">
        <f aca="false">MAX(0,MIN(bb_target,Sens!F1535+Sens!G1531-Sens!G1532-min_cash))</f>
        <v>15.6933267892291</v>
      </c>
      <c r="H1533" s="6" t="n">
        <f aca="false">MAX(0,MIN(bb_target,Sens!G1535+Sens!H1531-Sens!H1532-min_cash))</f>
        <v>22.271</v>
      </c>
      <c r="I1533" s="6" t="n">
        <f aca="false">MAX(0,MIN(bb_target,Sens!H1535+Sens!I1531-Sens!I1532-min_cash))</f>
        <v>22.271</v>
      </c>
      <c r="J1533" s="6" t="n">
        <f aca="false">MAX(0,MIN(bb_target,Sens!I1535+Sens!J1531-Sens!J1532-min_cash))</f>
        <v>22.271</v>
      </c>
      <c r="K1533" s="6" t="n">
        <f aca="false">MAX(0,MIN(bb_target,Sens!J1535+Sens!K1531-Sens!K1532-min_cash))</f>
        <v>22.271</v>
      </c>
    </row>
    <row r="1534" customFormat="false" ht="15" hidden="false" customHeight="false" outlineLevel="0" collapsed="false">
      <c r="A1534" s="1" t="s">
        <v>1128</v>
      </c>
      <c r="B1534" s="0" t="s">
        <v>98</v>
      </c>
      <c r="F1534" s="6" t="n">
        <f aca="false">MAX(0,min_cash-(Sens!E1535+Sens!F1531-Sens!F1532-Sens!F1533))</f>
        <v>0</v>
      </c>
      <c r="G1534" s="6" t="n">
        <f aca="false">MAX(0,min_cash-(Sens!F1535+Sens!G1531-Sens!G1532-Sens!G1533))</f>
        <v>0</v>
      </c>
      <c r="H1534" s="6" t="n">
        <f aca="false">MAX(0,min_cash-(Sens!G1535+Sens!H1531-Sens!H1532-Sens!H1533))</f>
        <v>0</v>
      </c>
      <c r="I1534" s="6" t="n">
        <f aca="false">MAX(0,min_cash-(Sens!H1535+Sens!I1531-Sens!I1532-Sens!I1533))</f>
        <v>0</v>
      </c>
      <c r="J1534" s="6" t="n">
        <f aca="false">MAX(0,min_cash-(Sens!I1535+Sens!J1531-Sens!J1532-Sens!J1533))</f>
        <v>0</v>
      </c>
      <c r="K1534" s="6" t="n">
        <f aca="false">MAX(0,min_cash-(Sens!J1535+Sens!K1531-Sens!K1532-Sens!K1533))</f>
        <v>0</v>
      </c>
    </row>
    <row r="1535" customFormat="false" ht="15" hidden="false" customHeight="false" outlineLevel="0" collapsed="false">
      <c r="A1535" s="1" t="s">
        <v>1129</v>
      </c>
      <c r="B1535" s="0" t="s">
        <v>98</v>
      </c>
      <c r="E1535" s="6" t="n">
        <f aca="false">cash_open</f>
        <v>76.843</v>
      </c>
      <c r="F1535" s="6" t="n">
        <f aca="false">Sens!E1535+Sens!F1531-Sens!F1532-Sens!F1533+Sens!F1534</f>
        <v>50</v>
      </c>
      <c r="G1535" s="6" t="n">
        <f aca="false">Sens!F1535+Sens!G1531-Sens!G1532-Sens!G1533+Sens!G1534</f>
        <v>50</v>
      </c>
      <c r="H1535" s="6" t="n">
        <f aca="false">Sens!G1535+Sens!H1531-Sens!H1532-Sens!H1533+Sens!H1534</f>
        <v>96.7590382720389</v>
      </c>
      <c r="I1535" s="6" t="n">
        <f aca="false">Sens!H1535+Sens!I1531-Sens!I1532-Sens!I1533+Sens!I1534</f>
        <v>222.091437305342</v>
      </c>
      <c r="J1535" s="6" t="n">
        <f aca="false">Sens!I1535+Sens!J1531-Sens!J1532-Sens!J1533+Sens!J1534</f>
        <v>423.28335495787</v>
      </c>
      <c r="K1535" s="6" t="n">
        <f aca="false">Sens!J1535+Sens!K1531-Sens!K1532-Sens!K1533+Sens!K1534</f>
        <v>661.791767911464</v>
      </c>
    </row>
    <row r="1536" customFormat="false" ht="15" hidden="false" customHeight="false" outlineLevel="0" collapsed="false">
      <c r="A1536" s="1" t="s">
        <v>1130</v>
      </c>
      <c r="B1536" s="0" t="s">
        <v>98</v>
      </c>
      <c r="E1536" s="6" t="n">
        <f aca="false">debt_face</f>
        <v>46.136</v>
      </c>
      <c r="F1536" s="6" t="n">
        <f aca="false">Sens!E1536-Sens!F1532+Sens!F1534</f>
        <v>36.886</v>
      </c>
      <c r="G1536" s="6" t="n">
        <f aca="false">Sens!F1536-Sens!G1532+Sens!G1534</f>
        <v>36.886</v>
      </c>
      <c r="H1536" s="6" t="n">
        <f aca="false">Sens!G1536-Sens!H1532+Sens!H1534</f>
        <v>34.885</v>
      </c>
      <c r="I1536" s="6" t="n">
        <f aca="false">Sens!H1536-Sens!I1532+Sens!I1534</f>
        <v>34.885</v>
      </c>
      <c r="J1536" s="6" t="n">
        <f aca="false">Sens!I1536-Sens!J1532+Sens!J1534</f>
        <v>34.385</v>
      </c>
      <c r="K1536" s="6" t="n">
        <f aca="false">Sens!J1536-Sens!K1532+Sens!K1534</f>
        <v>34.385</v>
      </c>
    </row>
    <row r="1537" customFormat="false" ht="15" hidden="false" customHeight="false" outlineLevel="0" collapsed="false">
      <c r="A1537" s="1" t="s">
        <v>1131</v>
      </c>
      <c r="B1537" s="0" t="s">
        <v>98</v>
      </c>
      <c r="E1537" s="6" t="n">
        <f aca="false">Sens!E1535-Sens!E1536</f>
        <v>30.707</v>
      </c>
      <c r="F1537" s="6" t="n">
        <f aca="false">Sens!F1535-Sens!F1536</f>
        <v>13.114</v>
      </c>
      <c r="G1537" s="6" t="n">
        <f aca="false">Sens!G1535-Sens!G1536</f>
        <v>13.114</v>
      </c>
      <c r="H1537" s="6" t="n">
        <f aca="false">Sens!H1535-Sens!H1536</f>
        <v>61.8740382720389</v>
      </c>
      <c r="I1537" s="6" t="n">
        <f aca="false">Sens!I1535-Sens!I1536</f>
        <v>187.206437305342</v>
      </c>
      <c r="J1537" s="6" t="n">
        <f aca="false">Sens!J1535-Sens!J1536</f>
        <v>388.89835495787</v>
      </c>
      <c r="K1537" s="6" t="n">
        <f aca="false">Sens!K1535-Sens!K1536</f>
        <v>627.406767911464</v>
      </c>
    </row>
    <row r="1538" customFormat="false" ht="15" hidden="false" customHeight="false" outlineLevel="0" collapsed="false">
      <c r="A1538" s="1" t="s">
        <v>1132</v>
      </c>
      <c r="B1538" s="0" t="s">
        <v>75</v>
      </c>
      <c r="F1538" s="30" t="n">
        <f aca="false">px*(1+bb_g)^(Sens!F1396-base_fy-mid_yr)</f>
        <v>551.84177959629</v>
      </c>
      <c r="G1538" s="30" t="n">
        <f aca="false">px*(1+bb_g)^(Sens!G1396-base_fy-mid_yr)</f>
        <v>595.989121963993</v>
      </c>
      <c r="H1538" s="30" t="n">
        <f aca="false">px*(1+bb_g)^(Sens!H1396-base_fy-mid_yr)</f>
        <v>643.668251721112</v>
      </c>
      <c r="I1538" s="30" t="n">
        <f aca="false">px*(1+bb_g)^(Sens!I1396-base_fy-mid_yr)</f>
        <v>695.161711858801</v>
      </c>
      <c r="J1538" s="30" t="n">
        <f aca="false">px*(1+bb_g)^(Sens!J1396-base_fy-mid_yr)</f>
        <v>750.774648807506</v>
      </c>
      <c r="K1538" s="30" t="n">
        <f aca="false">px*(1+bb_g)^(Sens!K1396-base_fy-mid_yr)</f>
        <v>810.836620712106</v>
      </c>
    </row>
    <row r="1539" customFormat="false" ht="15" hidden="false" customHeight="false" outlineLevel="0" collapsed="false">
      <c r="A1539" s="1" t="s">
        <v>1133</v>
      </c>
      <c r="B1539" s="1" t="s">
        <v>81</v>
      </c>
      <c r="E1539" s="15" t="n">
        <f aca="false">sh_out26</f>
        <v>7.427</v>
      </c>
      <c r="F1539" s="15" t="n">
        <f aca="false">Sens!E1539+sh_iss-Sens!F1533/Sens!F1538</f>
        <v>7.45603400816728</v>
      </c>
      <c r="G1539" s="15" t="n">
        <f aca="false">Sens!F1539+sh_iss-Sens!G1533/Sens!G1538</f>
        <v>7.47470244235361</v>
      </c>
      <c r="H1539" s="15" t="n">
        <f aca="false">Sens!G1539+sh_iss-Sens!H1533/Sens!H1538</f>
        <v>7.48510232041121</v>
      </c>
      <c r="I1539" s="15" t="n">
        <f aca="false">Sens!H1539+sh_iss-Sens!I1533/Sens!I1538</f>
        <v>7.49806517046455</v>
      </c>
      <c r="J1539" s="15" t="n">
        <f aca="false">Sens!I1539+sh_iss-Sens!J1533/Sens!J1538</f>
        <v>7.51340114273615</v>
      </c>
      <c r="K1539" s="15" t="n">
        <f aca="false">Sens!J1539+sh_iss-Sens!K1533/Sens!K1538</f>
        <v>7.53093445039505</v>
      </c>
    </row>
    <row r="1540" customFormat="false" ht="15" hidden="false" customHeight="false" outlineLevel="0" collapsed="false">
      <c r="A1540" s="1" t="s">
        <v>1134</v>
      </c>
      <c r="B1540" s="1" t="s">
        <v>81</v>
      </c>
      <c r="E1540" s="15" t="n">
        <f aca="false">sh_dil26</f>
        <v>7.453</v>
      </c>
      <c r="F1540" s="15" t="n">
        <f aca="false">(Sens!E1539+Sens!F1539)/2+dil_gap</f>
        <v>7.46551700408364</v>
      </c>
      <c r="G1540" s="15" t="n">
        <f aca="false">(Sens!F1539+Sens!G1539)/2+dil_gap</f>
        <v>7.48936822526044</v>
      </c>
      <c r="H1540" s="15" t="n">
        <f aca="false">(Sens!G1539+Sens!H1539)/2+dil_gap</f>
        <v>7.50390238138241</v>
      </c>
      <c r="I1540" s="15" t="n">
        <f aca="false">(Sens!H1539+Sens!I1539)/2+dil_gap</f>
        <v>7.51558374543788</v>
      </c>
      <c r="J1540" s="15" t="n">
        <f aca="false">(Sens!I1539+Sens!J1539)/2+dil_gap</f>
        <v>7.52973315660035</v>
      </c>
      <c r="K1540" s="15" t="n">
        <f aca="false">(Sens!J1539+Sens!K1539)/2+dil_gap</f>
        <v>7.5461677965656</v>
      </c>
    </row>
    <row r="1541" customFormat="false" ht="17.15" hidden="false" customHeight="false" outlineLevel="0" collapsed="false">
      <c r="A1541" s="1" t="s">
        <v>1135</v>
      </c>
      <c r="B1541" s="0" t="s">
        <v>98</v>
      </c>
      <c r="C1541" s="6" t="n">
        <f aca="false">SUM(Sens!F1531:J1531)</f>
        <v>449.508383093086</v>
      </c>
    </row>
    <row r="1542" customFormat="false" ht="15" hidden="false" customHeight="false" outlineLevel="0" collapsed="false">
      <c r="A1542" s="26" t="s">
        <v>1100</v>
      </c>
      <c r="B1542" s="31" t="s">
        <v>98</v>
      </c>
      <c r="C1542" s="27" t="n">
        <f aca="false">Sens!$C$1541-(Sens!F1531+Sens!G1531+Sens!H1531+Sens!I1531+Sens!J1531)</f>
        <v>0</v>
      </c>
      <c r="D1542" s="31"/>
      <c r="E1542" s="31"/>
      <c r="F1542" s="31"/>
      <c r="G1542" s="31"/>
      <c r="H1542" s="31"/>
      <c r="I1542" s="31"/>
      <c r="J1542" s="31"/>
      <c r="K1542" s="31"/>
    </row>
    <row r="1543" customFormat="false" ht="17.15" hidden="false" customHeight="false" outlineLevel="0" collapsed="false">
      <c r="A1543" s="1" t="s">
        <v>1094</v>
      </c>
      <c r="B1543" s="1" t="s">
        <v>1136</v>
      </c>
      <c r="C1543" s="33" t="str">
        <f aca="false">IF(SUM(Sens!F1534:J1534)&gt;0.05,"需要舉債 "&amp;TEXT(SUM(Sens!F1534:J1534),"0.0")&amp;" 十億美元","不需舉債")&amp;"；"&amp;IF(SUM(Sens!F1533:J1533)&lt;COUNT(Sens!F1533:J1533)*bb_target-0.05,"回購較每年 "&amp;TEXT(bb_target,"0.0")&amp;" 的目標少 "&amp;TEXT(COUNT(Sens!F1533:J1533)*bb_target-SUM(Sens!F1533:J1533),"0.0")&amp;" 十億美元（"&amp;TEXT(COUNTIF(Sens!F1533:J1533,"&lt;"&amp;(bb_target-0.05)),"0")&amp;" 年減少）","回購不減")</f>
        <v>不需舉債；回購較每年 22.3 的目標少 20.0 十億美元（2 年減少）</v>
      </c>
    </row>
    <row r="1544" customFormat="false" ht="17.15" hidden="false" customHeight="false" outlineLevel="0" collapsed="false">
      <c r="A1544" s="3" t="s">
        <v>1649</v>
      </c>
    </row>
    <row r="1545" customFormat="false" ht="15" hidden="false" customHeight="false" outlineLevel="0" collapsed="false">
      <c r="A1545" s="4" t="s">
        <v>43</v>
      </c>
      <c r="B1545" s="4" t="s">
        <v>65</v>
      </c>
      <c r="C1545" s="23" t="s">
        <v>942</v>
      </c>
      <c r="D1545" s="23" t="s">
        <v>943</v>
      </c>
      <c r="E1545" s="23" t="s">
        <v>944</v>
      </c>
      <c r="F1545" s="23" t="s">
        <v>945</v>
      </c>
      <c r="G1545" s="23" t="s">
        <v>946</v>
      </c>
      <c r="H1545" s="23" t="s">
        <v>947</v>
      </c>
      <c r="I1545" s="23" t="s">
        <v>948</v>
      </c>
      <c r="J1545" s="23" t="s">
        <v>949</v>
      </c>
      <c r="K1545" s="23" t="s">
        <v>950</v>
      </c>
      <c r="L1545" s="4" t="s">
        <v>47</v>
      </c>
    </row>
    <row r="1546" customFormat="false" ht="17.15" hidden="false" customHeight="false" outlineLevel="0" collapsed="false">
      <c r="A1546" s="1" t="s">
        <v>1216</v>
      </c>
      <c r="B1546" s="1" t="s">
        <v>279</v>
      </c>
      <c r="F1546" s="8" t="n">
        <f aca="false">(1-v_off)*mid_yr</f>
        <v>0.373972602739726</v>
      </c>
      <c r="G1546" s="8" t="n">
        <f aca="false">Sens!G1396-base_fy-mid_yr-v_off</f>
        <v>1.24794520547945</v>
      </c>
      <c r="H1546" s="8" t="n">
        <f aca="false">Sens!H1396-base_fy-mid_yr-v_off</f>
        <v>2.24794520547945</v>
      </c>
      <c r="I1546" s="8" t="n">
        <f aca="false">Sens!I1396-base_fy-mid_yr-v_off</f>
        <v>3.24794520547945</v>
      </c>
      <c r="J1546" s="8" t="n">
        <f aca="false">Sens!J1396-base_fy-mid_yr-v_off</f>
        <v>4.24794520547945</v>
      </c>
      <c r="K1546" s="8" t="n">
        <f aca="false">Sens!K1396-base_fy-mid_yr-v_off</f>
        <v>5.24794520547945</v>
      </c>
      <c r="L1546" s="12" t="s">
        <v>1217</v>
      </c>
    </row>
    <row r="1547" customFormat="false" ht="15" hidden="false" customHeight="false" outlineLevel="0" collapsed="false">
      <c r="A1547" s="1" t="s">
        <v>1218</v>
      </c>
      <c r="B1547" s="1" t="s">
        <v>279</v>
      </c>
      <c r="F1547" s="8" t="n">
        <f aca="false">Sens!F1396-base_fy-v_off</f>
        <v>0.747945205479452</v>
      </c>
      <c r="G1547" s="8" t="n">
        <f aca="false">Sens!G1396-base_fy-v_off</f>
        <v>1.74794520547945</v>
      </c>
      <c r="H1547" s="8" t="n">
        <f aca="false">Sens!H1396-base_fy-v_off</f>
        <v>2.74794520547945</v>
      </c>
      <c r="I1547" s="8" t="n">
        <f aca="false">Sens!I1396-base_fy-v_off</f>
        <v>3.74794520547945</v>
      </c>
      <c r="J1547" s="8" t="n">
        <f aca="false">Sens!J1396-base_fy-v_off</f>
        <v>4.74794520547945</v>
      </c>
      <c r="K1547" s="8" t="n">
        <f aca="false">Sens!K1396-base_fy-v_off</f>
        <v>5.74794520547945</v>
      </c>
    </row>
    <row r="1548" customFormat="false" ht="15" hidden="false" customHeight="false" outlineLevel="0" collapsed="false">
      <c r="A1548" s="1" t="s">
        <v>1219</v>
      </c>
      <c r="B1548" s="0" t="s">
        <v>229</v>
      </c>
      <c r="F1548" s="15" t="n">
        <f aca="false">1/(1+wacc)^Sens!F1546</f>
        <v>0.964022703286649</v>
      </c>
      <c r="G1548" s="15" t="n">
        <f aca="false">1/(1+wacc)^Sens!G1546</f>
        <v>0.884910302296739</v>
      </c>
      <c r="H1548" s="15" t="n">
        <f aca="false">1/(1+wacc)^Sens!H1546</f>
        <v>0.802322009770358</v>
      </c>
      <c r="I1548" s="15" t="n">
        <f aca="false">1/(1+wacc)^Sens!I1546</f>
        <v>0.727441646561469</v>
      </c>
      <c r="J1548" s="15" t="n">
        <f aca="false">1/(1+wacc)^Sens!J1546</f>
        <v>0.659549834988973</v>
      </c>
      <c r="K1548" s="15" t="n">
        <f aca="false">1/(1+wacc)^Sens!K1546</f>
        <v>0.597994336576966</v>
      </c>
    </row>
    <row r="1549" customFormat="false" ht="17.15" hidden="false" customHeight="false" outlineLevel="0" collapsed="false">
      <c r="A1549" s="1" t="s">
        <v>1220</v>
      </c>
      <c r="B1549" s="0" t="s">
        <v>98</v>
      </c>
      <c r="F1549" s="6" t="n">
        <f aca="false">Q!$I$35-Q!$I$39-Q!$I$43</f>
        <v>9.666</v>
      </c>
      <c r="L1549" s="12" t="s">
        <v>1221</v>
      </c>
    </row>
    <row r="1550" customFormat="false" ht="17.15" hidden="false" customHeight="false" outlineLevel="0" collapsed="false">
      <c r="A1550" s="1" t="s">
        <v>1222</v>
      </c>
      <c r="B1550" s="0" t="s">
        <v>98</v>
      </c>
      <c r="F1550" s="6" t="n">
        <f aca="false">Sens!F1521-Sens!F1518-Sens!F1525+Sens!F1503*(1-tax_f)*(1-v_off)-Sens!F1549</f>
        <v>4.25865120021182</v>
      </c>
      <c r="G1550" s="6" t="n">
        <f aca="false">Sens!G1521-Sens!G1518-Sens!G1525+Sens!G1503*(1-tax_f)</f>
        <v>50.4654284922235</v>
      </c>
      <c r="H1550" s="6" t="n">
        <f aca="false">Sens!H1521-Sens!H1518-Sens!H1525+Sens!H1503*(1-tax_f)</f>
        <v>116.340591983279</v>
      </c>
      <c r="I1550" s="6" t="n">
        <f aca="false">Sens!I1521-Sens!I1518-Sens!I1525+Sens!I1503*(1-tax_f)</f>
        <v>203.797903223053</v>
      </c>
      <c r="J1550" s="6" t="n">
        <f aca="false">Sens!J1521-Sens!J1518-Sens!J1525+Sens!J1503*(1-tax_f)</f>
        <v>288.640020945203</v>
      </c>
      <c r="K1550" s="6" t="n">
        <f aca="false">Sens!K1521-Sens!K1518-Sens!K1525+Sens!K1503*(1-tax_f)</f>
        <v>330.864143246304</v>
      </c>
      <c r="L1550" s="1" t="s">
        <v>1223</v>
      </c>
    </row>
    <row r="1551" customFormat="false" ht="15" hidden="false" customHeight="false" outlineLevel="0" collapsed="false">
      <c r="A1551" s="1" t="s">
        <v>1224</v>
      </c>
      <c r="B1551" s="0" t="s">
        <v>98</v>
      </c>
      <c r="F1551" s="6" t="n">
        <f aca="false">Sens!F1550*Sens!F1548</f>
        <v>4.10543644238313</v>
      </c>
      <c r="G1551" s="6" t="n">
        <f aca="false">Sens!G1550*Sens!G1548</f>
        <v>44.657377582588</v>
      </c>
      <c r="H1551" s="6" t="n">
        <f aca="false">Sens!H1550*Sens!H1548</f>
        <v>93.3426175778975</v>
      </c>
      <c r="I1551" s="6" t="n">
        <f aca="false">Sens!I1550*Sens!I1548</f>
        <v>148.251082286352</v>
      </c>
      <c r="J1551" s="6" t="n">
        <f aca="false">Sens!J1550*Sens!J1548</f>
        <v>190.372478185622</v>
      </c>
      <c r="K1551" s="6" t="n">
        <f aca="false">Sens!K1550*Sens!K1548</f>
        <v>197.85488383768</v>
      </c>
    </row>
    <row r="1552" customFormat="false" ht="17.15" hidden="false" customHeight="false" outlineLevel="0" collapsed="false">
      <c r="A1552" s="1" t="s">
        <v>1225</v>
      </c>
      <c r="B1552" s="0" t="s">
        <v>98</v>
      </c>
      <c r="C1552" s="6" t="n">
        <f aca="false">SUM(Sens!F1551:K1551)</f>
        <v>678.583875912522</v>
      </c>
    </row>
    <row r="1553" customFormat="false" ht="17.15" hidden="false" customHeight="false" outlineLevel="0" collapsed="false">
      <c r="A1553" s="1" t="s">
        <v>1226</v>
      </c>
      <c r="B1553" s="0" t="s">
        <v>98</v>
      </c>
      <c r="C1553" s="6" t="n">
        <f aca="false">Sens!K1489*(1+g_tv)*(1-tax_f)</f>
        <v>344.032341738865</v>
      </c>
    </row>
    <row r="1554" customFormat="false" ht="17.15" hidden="false" customHeight="false" outlineLevel="0" collapsed="false">
      <c r="A1554" s="1" t="s">
        <v>1227</v>
      </c>
      <c r="B1554" s="0" t="s">
        <v>98</v>
      </c>
      <c r="C1554" s="6" t="n">
        <f aca="false">Sens!$C$1553*(1-g_tv/(wacc+ronic_prem))</f>
        <v>243.767021531975</v>
      </c>
    </row>
    <row r="1555" customFormat="false" ht="17.15" hidden="false" customHeight="false" outlineLevel="0" collapsed="false">
      <c r="A1555" s="1" t="s">
        <v>1228</v>
      </c>
      <c r="B1555" s="0" t="s">
        <v>98</v>
      </c>
      <c r="C1555" s="6" t="n">
        <f aca="false">Sens!$C$1554/(wacc-g_tv)</f>
        <v>3342.17734022966</v>
      </c>
    </row>
    <row r="1556" customFormat="false" ht="15" hidden="false" customHeight="false" outlineLevel="0" collapsed="false">
      <c r="A1556" s="1" t="s">
        <v>1229</v>
      </c>
      <c r="B1556" s="0" t="s">
        <v>98</v>
      </c>
      <c r="C1556" s="6" t="n">
        <f aca="false">Sens!$C$1555/(1+wacc)^Sens!K1547</f>
        <v>1903.05477572352</v>
      </c>
    </row>
    <row r="1557" customFormat="false" ht="17.15" hidden="false" customHeight="false" outlineLevel="0" collapsed="false">
      <c r="A1557" s="0" t="s">
        <v>1230</v>
      </c>
      <c r="B1557" s="0" t="s">
        <v>98</v>
      </c>
      <c r="C1557" s="6" t="n">
        <f aca="false">Sens!$C$1552+Sens!$C$1556</f>
        <v>2581.63865163604</v>
      </c>
    </row>
    <row r="1558" customFormat="false" ht="15" hidden="false" customHeight="false" outlineLevel="0" collapsed="false">
      <c r="A1558" s="1" t="s">
        <v>1145</v>
      </c>
      <c r="B1558" s="0" t="s">
        <v>168</v>
      </c>
      <c r="C1558" s="7" t="n">
        <f aca="false">Sens!$C$1556/Sens!$C$1557</f>
        <v>0.737149939445441</v>
      </c>
    </row>
    <row r="1559" customFormat="false" ht="17.15" hidden="false" customHeight="false" outlineLevel="0" collapsed="false">
      <c r="A1559" s="1" t="s">
        <v>1231</v>
      </c>
      <c r="B1559" s="0" t="s">
        <v>98</v>
      </c>
      <c r="C1559" s="6" t="n">
        <f aca="false">Sens!$C$1557+cash_val-debt_val-fl_val+oai_v</f>
        <v>2697.48965163604</v>
      </c>
    </row>
    <row r="1560" customFormat="false" ht="17.15" hidden="false" customHeight="false" outlineLevel="0" collapsed="false">
      <c r="A1560" s="0" t="s">
        <v>1153</v>
      </c>
      <c r="B1560" s="0" t="s">
        <v>75</v>
      </c>
      <c r="C1560" s="5" t="n">
        <f aca="false">Sens!$C$1559/shd_val</f>
        <v>362.273657216766</v>
      </c>
    </row>
    <row r="1561" customFormat="false" ht="15" hidden="false" customHeight="false" outlineLevel="0" collapsed="false">
      <c r="A1561" s="1" t="s">
        <v>1232</v>
      </c>
      <c r="B1561" s="0" t="s">
        <v>75</v>
      </c>
      <c r="C1561" s="8" t="n">
        <f aca="false">div_rem27+Sens!G1529*roll_div_q/q_per_yr</f>
        <v>3.9795</v>
      </c>
    </row>
    <row r="1562" customFormat="false" ht="17.15" hidden="false" customHeight="false" outlineLevel="0" collapsed="false">
      <c r="A1562" s="0" t="s">
        <v>1233</v>
      </c>
      <c r="B1562" s="0" t="s">
        <v>75</v>
      </c>
      <c r="C1562" s="5" t="n">
        <f aca="false">Sens!$C$1560*(1+wacc)^t_roll-Sens!$C$1561</f>
        <v>398.707888758711</v>
      </c>
    </row>
    <row r="1563" customFormat="false" ht="17.15" hidden="false" customHeight="false" outlineLevel="0" collapsed="false">
      <c r="A1563" s="1" t="s">
        <v>1234</v>
      </c>
      <c r="B1563" s="0" t="s">
        <v>168</v>
      </c>
      <c r="F1563" s="7" t="n">
        <f aca="false">Sens!F1515/(Sens!F1460-Sens!F1415)</f>
        <v>0.0689429147817268</v>
      </c>
      <c r="G1563" s="7" t="n">
        <f aca="false">Sens!G1515/(Sens!G1460-Sens!G1415)</f>
        <v>0.0656285482492321</v>
      </c>
      <c r="H1563" s="7" t="n">
        <f aca="false">Sens!H1515/(Sens!H1460-Sens!H1415)</f>
        <v>0.0638384430175668</v>
      </c>
      <c r="I1563" s="7" t="n">
        <f aca="false">Sens!I1515/(Sens!I1460-Sens!I1415)</f>
        <v>0.0634559050954951</v>
      </c>
      <c r="J1563" s="7" t="n">
        <f aca="false">Sens!J1515/(Sens!J1460-Sens!J1415)</f>
        <v>0.0641198819874697</v>
      </c>
      <c r="K1563" s="7" t="n">
        <f aca="false">Sens!K1515/(Sens!K1460-Sens!K1415)</f>
        <v>0.0653701458971952</v>
      </c>
    </row>
    <row r="1564" customFormat="false" ht="17.15" hidden="false" customHeight="false" outlineLevel="0" collapsed="false">
      <c r="A1564" s="0" t="s">
        <v>1235</v>
      </c>
      <c r="B1564" s="0" t="s">
        <v>98</v>
      </c>
      <c r="F1564" s="6" t="n">
        <f aca="false">Sens!F1445*(al_m365+Sens!F1563+sbc_r)</f>
        <v>84.5681072749515</v>
      </c>
      <c r="G1564" s="6" t="n">
        <f aca="false">Sens!G1445*(al_m365+Sens!G1563+sbc_r)</f>
        <v>98.9882509201919</v>
      </c>
      <c r="H1564" s="6" t="n">
        <f aca="false">Sens!H1445*(al_m365+Sens!H1563+sbc_r)</f>
        <v>113.57216840068</v>
      </c>
      <c r="I1564" s="6" t="n">
        <f aca="false">Sens!I1445*(al_m365+Sens!I1563+sbc_r)</f>
        <v>126.638259789449</v>
      </c>
      <c r="J1564" s="6" t="n">
        <f aca="false">Sens!J1445*(al_m365+Sens!J1563+sbc_r)</f>
        <v>138.001050947332</v>
      </c>
      <c r="K1564" s="6" t="n">
        <f aca="false">Sens!K1445*(al_m365+Sens!K1563+sbc_r)</f>
        <v>148.983695640375</v>
      </c>
      <c r="L1564" s="12" t="s">
        <v>1236</v>
      </c>
    </row>
    <row r="1565" customFormat="false" ht="17.15" hidden="false" customHeight="false" outlineLevel="0" collapsed="false">
      <c r="A1565" s="0" t="s">
        <v>1237</v>
      </c>
      <c r="B1565" s="0" t="s">
        <v>98</v>
      </c>
      <c r="F1565" s="6" t="n">
        <f aca="false">Sens!F1446*(al_lic+Sens!F1563+sbc_r)</f>
        <v>32.8701774736332</v>
      </c>
      <c r="G1565" s="6" t="n">
        <f aca="false">Sens!G1446*(al_lic+Sens!G1563+sbc_r)</f>
        <v>34.129432128138</v>
      </c>
      <c r="H1565" s="6" t="n">
        <f aca="false">Sens!H1446*(al_lic+Sens!H1563+sbc_r)</f>
        <v>35.3097133398107</v>
      </c>
      <c r="I1565" s="6" t="n">
        <f aca="false">Sens!I1446*(al_lic+Sens!I1563+sbc_r)</f>
        <v>36.3940299977603</v>
      </c>
      <c r="J1565" s="6" t="n">
        <f aca="false">Sens!J1446*(al_lic+Sens!J1563+sbc_r)</f>
        <v>37.3543380898072</v>
      </c>
      <c r="K1565" s="6" t="n">
        <f aca="false">Sens!K1446*(al_lic+Sens!K1563+sbc_r)</f>
        <v>38.1573693006033</v>
      </c>
    </row>
    <row r="1566" customFormat="false" ht="17.15" hidden="false" customHeight="false" outlineLevel="0" collapsed="false">
      <c r="A1566" s="0" t="s">
        <v>1238</v>
      </c>
      <c r="B1566" s="0" t="s">
        <v>98</v>
      </c>
      <c r="F1566" s="6" t="n">
        <f aca="false">Sens!F1448*(al_ind+Sens!F1563+sbc_r)</f>
        <v>9.06763290056407</v>
      </c>
      <c r="G1566" s="6" t="n">
        <f aca="false">Sens!G1448*(al_ind+Sens!G1563+sbc_r)</f>
        <v>9.83119465286369</v>
      </c>
      <c r="H1566" s="6" t="n">
        <f aca="false">Sens!H1448*(al_ind+Sens!H1563+sbc_r)</f>
        <v>10.6423975522808</v>
      </c>
      <c r="I1566" s="6" t="n">
        <f aca="false">Sens!I1448*(al_ind+Sens!I1563+sbc_r)</f>
        <v>11.4994379613957</v>
      </c>
      <c r="J1566" s="6" t="n">
        <f aca="false">Sens!J1448*(al_ind+Sens!J1563+sbc_r)</f>
        <v>12.3913686396727</v>
      </c>
      <c r="K1566" s="6" t="n">
        <f aca="false">Sens!K1448*(al_ind+Sens!K1563+sbc_r)</f>
        <v>13.3000517489837</v>
      </c>
    </row>
    <row r="1567" customFormat="false" ht="17.15" hidden="false" customHeight="false" outlineLevel="0" collapsed="false">
      <c r="A1567" s="0" t="s">
        <v>1239</v>
      </c>
      <c r="B1567" s="0" t="s">
        <v>98</v>
      </c>
      <c r="F1567" s="6" t="n">
        <f aca="false">Sens!F1450*(al_fro+Sens!F1563+sbc_r)</f>
        <v>3.55685999898666</v>
      </c>
      <c r="G1567" s="6" t="n">
        <f aca="false">Sens!G1450*(al_fro+Sens!G1563+sbc_r)</f>
        <v>3.76170320656323</v>
      </c>
      <c r="H1567" s="6" t="n">
        <f aca="false">Sens!H1450*(al_fro+Sens!H1563+sbc_r)</f>
        <v>3.99671977161905</v>
      </c>
      <c r="I1567" s="6" t="n">
        <f aca="false">Sens!I1450*(al_fro+Sens!I1563+sbc_r)</f>
        <v>4.26500328074847</v>
      </c>
      <c r="J1567" s="6" t="n">
        <f aca="false">Sens!J1450*(al_fro+Sens!J1563+sbc_r)</f>
        <v>4.56714912483408</v>
      </c>
      <c r="K1567" s="6" t="n">
        <f aca="false">Sens!K1450*(al_fro+Sens!K1563+sbc_r)</f>
        <v>4.90206703326869</v>
      </c>
    </row>
    <row r="1568" customFormat="false" ht="17.15" hidden="false" customHeight="false" outlineLevel="0" collapsed="false">
      <c r="A1568" s="0" t="s">
        <v>1240</v>
      </c>
      <c r="B1568" s="0" t="s">
        <v>98</v>
      </c>
      <c r="F1568" s="6" t="n">
        <f aca="false">Sens!F1453*(al_srch+Sens!F1563+sbc_r)</f>
        <v>11.1980015052365</v>
      </c>
      <c r="G1568" s="6" t="n">
        <f aca="false">Sens!G1453*(al_srch+Sens!G1563+sbc_r)</f>
        <v>12.2555106897099</v>
      </c>
      <c r="H1568" s="6" t="n">
        <f aca="false">Sens!H1453*(al_srch+Sens!H1563+sbc_r)</f>
        <v>13.3611334135136</v>
      </c>
      <c r="I1568" s="6" t="n">
        <f aca="false">Sens!I1453*(al_srch+Sens!I1563+sbc_r)</f>
        <v>14.5059536978895</v>
      </c>
      <c r="J1568" s="6" t="n">
        <f aca="false">Sens!J1453*(al_srch+Sens!J1563+sbc_r)</f>
        <v>15.6685444347101</v>
      </c>
      <c r="K1568" s="6" t="n">
        <f aca="false">Sens!K1453*(al_srch+Sens!K1563+sbc_r)</f>
        <v>16.817549204831</v>
      </c>
    </row>
    <row r="1569" customFormat="false" ht="17.15" hidden="false" customHeight="false" outlineLevel="0" collapsed="false">
      <c r="A1569" s="0" t="s">
        <v>1241</v>
      </c>
      <c r="B1569" s="0" t="s">
        <v>98</v>
      </c>
      <c r="F1569" s="6" t="n">
        <f aca="false">Sens!F1421-Sens!F1422+Sens!F1503</f>
        <v>54.243770541549</v>
      </c>
      <c r="G1569" s="6" t="n">
        <f aca="false">Sens!G1421-Sens!G1422+Sens!G1503</f>
        <v>106.604061574196</v>
      </c>
      <c r="H1569" s="6" t="n">
        <f aca="false">Sens!H1421-Sens!H1422+Sens!H1503</f>
        <v>167.690040463209</v>
      </c>
      <c r="I1569" s="6" t="n">
        <f aca="false">Sens!I1421-Sens!I1422+Sens!I1503</f>
        <v>216.042226364932</v>
      </c>
      <c r="J1569" s="6" t="n">
        <f aca="false">Sens!J1421-Sens!J1422+Sens!J1503</f>
        <v>249.975969813543</v>
      </c>
      <c r="K1569" s="6" t="n">
        <f aca="false">Sens!K1421-Sens!K1422+Sens!K1503</f>
        <v>270.447194939631</v>
      </c>
    </row>
    <row r="1570" customFormat="false" ht="17.15" hidden="false" customHeight="false" outlineLevel="0" collapsed="false">
      <c r="A1570" s="0" t="s">
        <v>1242</v>
      </c>
      <c r="B1570" s="0" t="s">
        <v>98</v>
      </c>
      <c r="F1570" s="6" t="n">
        <f aca="false">Sens!F1482+Sens!F1503+Sens!F1433+Sens!F1563*(Sens!F1452-Sens!F1415)+sbc_r*Sens!F1452</f>
        <v>247.786037252772</v>
      </c>
      <c r="G1570" s="6" t="n">
        <f aca="false">Sens!G1482+Sens!G1503+Sens!G1433+Sens!G1563*(Sens!G1452-Sens!G1415)+sbc_r*Sens!G1452</f>
        <v>326.509195493331</v>
      </c>
      <c r="H1570" s="6" t="n">
        <f aca="false">Sens!H1482+Sens!H1503+Sens!H1433+Sens!H1563*(Sens!H1452-Sens!H1415)+sbc_r*Sens!H1452</f>
        <v>417.648523792967</v>
      </c>
      <c r="I1570" s="6" t="n">
        <f aca="false">Sens!I1482+Sens!I1503+Sens!I1433+Sens!I1563*(Sens!I1452-Sens!I1415)+sbc_r*Sens!I1452</f>
        <v>493.901318714607</v>
      </c>
      <c r="J1570" s="6" t="n">
        <f aca="false">Sens!J1482+Sens!J1503+Sens!J1433+Sens!J1563*(Sens!J1452-Sens!J1415)+sbc_r*Sens!J1452</f>
        <v>552.709733082823</v>
      </c>
      <c r="K1570" s="6" t="n">
        <f aca="false">Sens!K1482+Sens!K1503+Sens!K1433+Sens!K1563*(Sens!K1452-Sens!K1415)+sbc_r*Sens!K1452</f>
        <v>595.599540921075</v>
      </c>
    </row>
    <row r="1571" customFormat="false" ht="17.15" hidden="false" customHeight="false" outlineLevel="0" collapsed="false">
      <c r="A1571" s="0" t="s">
        <v>1243</v>
      </c>
      <c r="B1571" s="0" t="s">
        <v>98</v>
      </c>
      <c r="F1571" s="6" t="n">
        <f aca="false">Sens!F1570-Sens!F1564-Sens!F1565-Sens!F1566-Sens!F1567-Sens!F1569</f>
        <v>63.4794890630881</v>
      </c>
      <c r="G1571" s="6" t="n">
        <f aca="false">Sens!G1570-Sens!G1564-Sens!G1565-Sens!G1566-Sens!G1567-Sens!G1569</f>
        <v>73.1945530113774</v>
      </c>
      <c r="H1571" s="6" t="n">
        <f aca="false">Sens!H1570-Sens!H1564-Sens!H1565-Sens!H1566-Sens!H1567-Sens!H1569</f>
        <v>86.4374842653681</v>
      </c>
      <c r="I1571" s="6" t="n">
        <f aca="false">Sens!I1570-Sens!I1564-Sens!I1565-Sens!I1566-Sens!I1567-Sens!I1569</f>
        <v>99.0623613203219</v>
      </c>
      <c r="J1571" s="6" t="n">
        <f aca="false">Sens!J1570-Sens!J1564-Sens!J1565-Sens!J1566-Sens!J1567-Sens!J1569</f>
        <v>110.419856467634</v>
      </c>
      <c r="K1571" s="6" t="n">
        <f aca="false">Sens!K1570-Sens!K1564-Sens!K1565-Sens!K1566-Sens!K1567-Sens!K1569</f>
        <v>119.809162258214</v>
      </c>
    </row>
    <row r="1572" customFormat="false" ht="17.15" hidden="false" customHeight="false" outlineLevel="0" collapsed="false">
      <c r="A1572" s="0" t="s">
        <v>1244</v>
      </c>
      <c r="B1572" s="0" t="s">
        <v>98</v>
      </c>
      <c r="F1572" s="6" t="n">
        <f aca="false">Sens!F1484+Sens!F1563*Sens!F1459+sbc_r*Sens!F1459</f>
        <v>26.6544286681929</v>
      </c>
      <c r="G1572" s="6" t="n">
        <f aca="false">Sens!G1484+Sens!G1563*Sens!G1459+sbc_r*Sens!G1459</f>
        <v>26.4585121179322</v>
      </c>
      <c r="H1572" s="6" t="n">
        <f aca="false">Sens!H1484+Sens!H1563*Sens!H1459+sbc_r*Sens!H1459</f>
        <v>27.3089234101983</v>
      </c>
      <c r="I1572" s="6" t="n">
        <f aca="false">Sens!I1484+Sens!I1563*Sens!I1459+sbc_r*Sens!I1459</f>
        <v>28.4065434084781</v>
      </c>
      <c r="J1572" s="6" t="n">
        <f aca="false">Sens!J1484+Sens!J1563*Sens!J1459+sbc_r*Sens!J1459</f>
        <v>29.711765059313</v>
      </c>
      <c r="K1572" s="6" t="n">
        <f aca="false">Sens!K1484+Sens!K1563*Sens!K1459+sbc_r*Sens!K1459</f>
        <v>31.1797395023949</v>
      </c>
    </row>
    <row r="1573" customFormat="false" ht="17.15" hidden="false" customHeight="false" outlineLevel="0" collapsed="false">
      <c r="A1573" s="0" t="s">
        <v>1245</v>
      </c>
      <c r="B1573" s="0" t="s">
        <v>98</v>
      </c>
      <c r="F1573" s="6" t="n">
        <f aca="false">(Sens!F1572-Sens!F1568)*Sens!F1455/(Sens!F1455+Sens!F1457)</f>
        <v>8.72956622947668</v>
      </c>
      <c r="G1573" s="6" t="n">
        <f aca="false">(Sens!G1572-Sens!G1568)*Sens!G1455/(Sens!G1455+Sens!G1457)</f>
        <v>7.88378714993074</v>
      </c>
      <c r="H1573" s="6" t="n">
        <f aca="false">(Sens!H1572-Sens!H1568)*Sens!H1455/(Sens!H1455+Sens!H1457)</f>
        <v>7.64126769479391</v>
      </c>
      <c r="I1573" s="6" t="n">
        <f aca="false">(Sens!I1572-Sens!I1568)*Sens!I1455/(Sens!I1455+Sens!I1457)</f>
        <v>7.54893836846288</v>
      </c>
      <c r="J1573" s="6" t="n">
        <f aca="false">(Sens!J1572-Sens!J1568)*Sens!J1455/(Sens!J1455+Sens!J1457)</f>
        <v>7.59312276926207</v>
      </c>
      <c r="K1573" s="6" t="n">
        <f aca="false">(Sens!K1572-Sens!K1568)*Sens!K1455/(Sens!K1455+Sens!K1457)</f>
        <v>7.7655886124762</v>
      </c>
    </row>
    <row r="1574" customFormat="false" ht="17.15" hidden="false" customHeight="false" outlineLevel="0" collapsed="false">
      <c r="A1574" s="0" t="s">
        <v>1246</v>
      </c>
      <c r="B1574" s="0" t="s">
        <v>98</v>
      </c>
      <c r="F1574" s="6" t="n">
        <f aca="false">Sens!F1572-Sens!F1568-Sens!F1573</f>
        <v>6.72686093347975</v>
      </c>
      <c r="G1574" s="6" t="n">
        <f aca="false">Sens!G1572-Sens!G1568-Sens!G1573</f>
        <v>6.31921427829158</v>
      </c>
      <c r="H1574" s="6" t="n">
        <f aca="false">Sens!H1572-Sens!H1568-Sens!H1573</f>
        <v>6.30652230189084</v>
      </c>
      <c r="I1574" s="6" t="n">
        <f aca="false">Sens!I1572-Sens!I1568-Sens!I1573</f>
        <v>6.35165134212572</v>
      </c>
      <c r="J1574" s="6" t="n">
        <f aca="false">Sens!J1572-Sens!J1568-Sens!J1573</f>
        <v>6.45009785534085</v>
      </c>
      <c r="K1574" s="6" t="n">
        <f aca="false">Sens!K1572-Sens!K1568-Sens!K1573</f>
        <v>6.59660168508771</v>
      </c>
    </row>
    <row r="1575" customFormat="false" ht="17.15" hidden="false" customHeight="false" outlineLevel="0" collapsed="false">
      <c r="A1575" s="0" t="s">
        <v>1247</v>
      </c>
      <c r="B1575" s="0" t="s">
        <v>98</v>
      </c>
      <c r="F1575" s="6" t="n">
        <f aca="false">Sens!F1569-tax_f*(Sens!F1569-Sens!F1433)-Sens!F1430</f>
        <v>-118.14302471321</v>
      </c>
      <c r="G1575" s="6" t="n">
        <f aca="false">Sens!G1569-tax_f*(Sens!G1569-Sens!G1433)-Sens!G1430</f>
        <v>-94.5143282592314</v>
      </c>
      <c r="H1575" s="6" t="n">
        <f aca="false">Sens!H1569-tax_f*(Sens!H1569-Sens!H1433)-Sens!H1430</f>
        <v>-44.8339535616563</v>
      </c>
      <c r="I1575" s="6" t="n">
        <f aca="false">Sens!I1569-tax_f*(Sens!I1569-Sens!I1433)-Sens!I1430</f>
        <v>27.0651494092447</v>
      </c>
      <c r="J1575" s="6" t="n">
        <f aca="false">Sens!J1569-tax_f*(Sens!J1569-Sens!J1433)-Sens!J1430</f>
        <v>97.4539792648135</v>
      </c>
      <c r="K1575" s="6" t="n">
        <f aca="false">Sens!K1569-tax_f*(Sens!K1569-Sens!K1433)-Sens!K1430</f>
        <v>125.997436797159</v>
      </c>
    </row>
    <row r="1576" customFormat="false" ht="17.15" hidden="false" customHeight="false" outlineLevel="0" collapsed="false">
      <c r="A1576" s="0" t="s">
        <v>1248</v>
      </c>
      <c r="B1576" s="0" t="s">
        <v>98</v>
      </c>
      <c r="G1576" s="6" t="n">
        <f aca="false">Sens!G1575/(1+wacc)^(Sens!G1546-Sens!F1547)</f>
        <v>-89.9958285122899</v>
      </c>
      <c r="H1576" s="6" t="n">
        <f aca="false">Sens!H1575/(1+wacc)^(Sens!H1546-Sens!F1547)</f>
        <v>-38.7062609325623</v>
      </c>
      <c r="I1576" s="6" t="n">
        <f aca="false">Sens!I1575/(1+wacc)^(Sens!I1546-Sens!F1547)</f>
        <v>21.1852730662164</v>
      </c>
      <c r="J1576" s="6" t="n">
        <f aca="false">Sens!J1575/(1+wacc)^(Sens!J1546-Sens!F1547)</f>
        <v>69.1628162792736</v>
      </c>
      <c r="K1576" s="6" t="n">
        <f aca="false">Sens!K1575/(1+wacc)^(Sens!K1546-Sens!F1547)</f>
        <v>81.0744959608393</v>
      </c>
      <c r="L1576" s="1" t="s">
        <v>1249</v>
      </c>
    </row>
    <row r="1577" customFormat="false" ht="17.15" hidden="false" customHeight="false" outlineLevel="0" collapsed="false">
      <c r="A1577" s="0" t="s">
        <v>1250</v>
      </c>
      <c r="B1577" s="0" t="s">
        <v>98</v>
      </c>
      <c r="C1577" s="6" t="n">
        <f aca="false">(Sens!K1569-Sens!K1433)*(1-tax_f)*(1+g_tv)*(1-g_tv/(wacc+ronic_prem))/(wacc-g_tv)/(1+wacc)^(Sens!K1547-Sens!F1547)</f>
        <v>625.016972539689</v>
      </c>
    </row>
    <row r="1578" customFormat="false" ht="17.15" hidden="false" customHeight="false" outlineLevel="0" collapsed="false">
      <c r="A1578" s="1" t="s">
        <v>1251</v>
      </c>
      <c r="B1578" s="0" t="s">
        <v>98</v>
      </c>
      <c r="C1578" s="6" t="n">
        <f aca="false">(SUM(Sens!G1576:K1576)+Sens!$C$1577)*(1+wacc)^(t_roll-Sens!F1547)</f>
        <v>689.781501621079</v>
      </c>
      <c r="L1578" s="12" t="s">
        <v>1252</v>
      </c>
    </row>
    <row r="1579" customFormat="false" ht="17.15" hidden="false" customHeight="false" outlineLevel="0" collapsed="false">
      <c r="A1579" s="1" t="s">
        <v>1253</v>
      </c>
      <c r="B1579" s="0" t="s">
        <v>98</v>
      </c>
      <c r="C1579" s="6" t="n">
        <f aca="false">(w_ntm28*Sens!G1421+(1-w_ntm28)*Sens!H1421)*m_ai</f>
        <v>671.325778167802</v>
      </c>
    </row>
    <row r="1580" customFormat="false" ht="17.15" hidden="false" customHeight="false" outlineLevel="0" collapsed="false">
      <c r="A1580" s="1" t="s">
        <v>1254</v>
      </c>
      <c r="B1580" s="0" t="s">
        <v>98</v>
      </c>
      <c r="C1580" s="6" t="n">
        <f aca="false">(w_ntm28*Sens!G1571+(1-w_ntm28)*Sens!H1571)*m_cloud</f>
        <v>1071.71879711482</v>
      </c>
    </row>
    <row r="1581" customFormat="false" ht="17.15" hidden="false" customHeight="false" outlineLevel="0" collapsed="false">
      <c r="A1581" s="1" t="s">
        <v>1255</v>
      </c>
      <c r="B1581" s="0" t="s">
        <v>98</v>
      </c>
      <c r="C1581" s="6" t="n">
        <f aca="false">(w_ntm28*Sens!G1564+(1-w_ntm28)*Sens!H1564)*m_sw</f>
        <v>1120.85600597838</v>
      </c>
    </row>
    <row r="1582" customFormat="false" ht="17.15" hidden="false" customHeight="false" outlineLevel="0" collapsed="false">
      <c r="A1582" s="1" t="s">
        <v>1256</v>
      </c>
      <c r="B1582" s="0" t="s">
        <v>98</v>
      </c>
      <c r="C1582" s="6" t="n">
        <f aca="false">(w_ntm28*Sens!G1565+(1-w_ntm28)*Sens!H1565)*m_sw</f>
        <v>372.788673697118</v>
      </c>
    </row>
    <row r="1583" customFormat="false" ht="17.15" hidden="false" customHeight="false" outlineLevel="0" collapsed="false">
      <c r="A1583" s="1" t="s">
        <v>1257</v>
      </c>
      <c r="B1583" s="0" t="s">
        <v>98</v>
      </c>
      <c r="C1583" s="6" t="n">
        <f aca="false">(w_ntm28*Sens!G1566+(1-w_ntm28)*Sens!H1566)*m_sw</f>
        <v>109.057228162283</v>
      </c>
    </row>
    <row r="1584" customFormat="false" ht="17.15" hidden="false" customHeight="false" outlineLevel="0" collapsed="false">
      <c r="A1584" s="1" t="s">
        <v>1258</v>
      </c>
      <c r="B1584" s="0" t="s">
        <v>98</v>
      </c>
      <c r="C1584" s="6" t="n">
        <f aca="false">(w_ntm28*Sens!G1567+(1-w_ntm28)*Sens!H1567)*m_sw</f>
        <v>41.4608644070811</v>
      </c>
    </row>
    <row r="1585" customFormat="false" ht="17.15" hidden="false" customHeight="false" outlineLevel="0" collapsed="false">
      <c r="A1585" s="1" t="s">
        <v>1259</v>
      </c>
      <c r="B1585" s="0" t="s">
        <v>98</v>
      </c>
      <c r="C1585" s="6" t="n">
        <f aca="false">(w_ntm28*Sens!G1568+(1-w_ntm28)*Sens!H1568)*m_ads</f>
        <v>114.959118168633</v>
      </c>
    </row>
    <row r="1586" customFormat="false" ht="17.15" hidden="false" customHeight="false" outlineLevel="0" collapsed="false">
      <c r="A1586" s="1" t="s">
        <v>1260</v>
      </c>
      <c r="B1586" s="0" t="s">
        <v>98</v>
      </c>
      <c r="C1586" s="6" t="n">
        <f aca="false">(w_ntm28*Sens!G1573+(1-w_ntm28)*Sens!H1573)*m_game</f>
        <v>98.5652111934735</v>
      </c>
    </row>
    <row r="1587" customFormat="false" ht="17.15" hidden="false" customHeight="false" outlineLevel="0" collapsed="false">
      <c r="A1587" s="1" t="s">
        <v>1261</v>
      </c>
      <c r="B1587" s="0" t="s">
        <v>98</v>
      </c>
      <c r="C1587" s="6" t="n">
        <f aca="false">(w_ntm28*Sens!G1574+(1-w_ntm28)*Sens!H1574)*m_pc</f>
        <v>91.3786515717497</v>
      </c>
    </row>
    <row r="1588" customFormat="false" ht="17.15" hidden="false" customHeight="false" outlineLevel="0" collapsed="false">
      <c r="A1588" s="1" t="s">
        <v>1262</v>
      </c>
      <c r="B1588" s="0" t="s">
        <v>98</v>
      </c>
      <c r="C1588" s="6" t="n">
        <f aca="false">Sens!$C$1578+Sens!$C$1580+Sens!$C$1581+Sens!$C$1582+Sens!$C$1583+Sens!$C$1584+Sens!$C$1585+Sens!$C$1586+Sens!$C$1587</f>
        <v>3710.56605191462</v>
      </c>
    </row>
    <row r="1589" customFormat="false" ht="17.15" hidden="false" customHeight="false" outlineLevel="0" collapsed="false">
      <c r="A1589" s="1" t="s">
        <v>1263</v>
      </c>
      <c r="B1589" s="0" t="s">
        <v>98</v>
      </c>
      <c r="C1589" s="6" t="n">
        <f aca="false">(Sens!G1550-Sens!G1575)*t_stub</f>
        <v>48.0617823751398</v>
      </c>
      <c r="L1589" s="1" t="s">
        <v>1264</v>
      </c>
    </row>
    <row r="1590" customFormat="false" ht="17.15" hidden="false" customHeight="false" outlineLevel="0" collapsed="false">
      <c r="A1590" s="1" t="s">
        <v>1173</v>
      </c>
      <c r="B1590" s="0" t="s">
        <v>98</v>
      </c>
      <c r="C1590" s="6" t="n">
        <f aca="false">Sens!F1537+oai_v-Sens!F1526+Sens!$C$1589</f>
        <v>162.29005237514</v>
      </c>
      <c r="L1590" s="1" t="s">
        <v>1265</v>
      </c>
    </row>
    <row r="1591" customFormat="false" ht="17.15" hidden="false" customHeight="false" outlineLevel="0" collapsed="false">
      <c r="A1591" s="1" t="s">
        <v>1266</v>
      </c>
      <c r="B1591" s="0" t="s">
        <v>75</v>
      </c>
      <c r="C1591" s="5" t="n">
        <f aca="false">(Sens!$C$1588+Sens!$C$1590)/(Sens!F1539+dil_gap)-Sens!G1529*roll_div_q/q_per_yr</f>
        <v>516.719657252637</v>
      </c>
      <c r="L1591" s="1" t="s">
        <v>1267</v>
      </c>
    </row>
    <row r="1592" customFormat="false" ht="17.15" hidden="false" customHeight="false" outlineLevel="0" collapsed="false">
      <c r="A1592" s="1" t="s">
        <v>1268</v>
      </c>
      <c r="B1592" s="0" t="s">
        <v>75</v>
      </c>
      <c r="C1592" s="5" t="n">
        <f aca="false">w_dcf*Sens!$C$1562+(1-w_dcf)*Sens!$C$1591</f>
        <v>457.713773005674</v>
      </c>
    </row>
    <row r="1593" customFormat="false" ht="17.15" hidden="false" customHeight="false" outlineLevel="0" collapsed="false">
      <c r="A1593" s="3" t="s">
        <v>1650</v>
      </c>
    </row>
    <row r="1594" customFormat="false" ht="15" hidden="false" customHeight="false" outlineLevel="0" collapsed="false">
      <c r="A1594" s="4" t="s">
        <v>43</v>
      </c>
      <c r="B1594" s="4" t="s">
        <v>65</v>
      </c>
      <c r="C1594" s="23" t="s">
        <v>942</v>
      </c>
      <c r="D1594" s="23" t="s">
        <v>943</v>
      </c>
      <c r="E1594" s="23" t="s">
        <v>944</v>
      </c>
      <c r="F1594" s="23" t="s">
        <v>945</v>
      </c>
      <c r="G1594" s="23" t="s">
        <v>946</v>
      </c>
      <c r="H1594" s="23" t="s">
        <v>947</v>
      </c>
      <c r="I1594" s="23" t="s">
        <v>948</v>
      </c>
      <c r="J1594" s="23" t="s">
        <v>949</v>
      </c>
      <c r="K1594" s="23" t="s">
        <v>950</v>
      </c>
      <c r="L1594" s="4" t="s">
        <v>47</v>
      </c>
    </row>
    <row r="1595" customFormat="false" ht="17.15" hidden="false" customHeight="false" outlineLevel="0" collapsed="false">
      <c r="A1595" s="1" t="s">
        <v>951</v>
      </c>
      <c r="B1595" s="1" t="s">
        <v>279</v>
      </c>
      <c r="C1595" s="21" t="n">
        <v>2024</v>
      </c>
      <c r="D1595" s="21" t="n">
        <v>2025</v>
      </c>
      <c r="E1595" s="21" t="n">
        <v>2026</v>
      </c>
      <c r="F1595" s="21" t="n">
        <v>2027</v>
      </c>
      <c r="G1595" s="21" t="n">
        <v>2028</v>
      </c>
      <c r="H1595" s="21" t="n">
        <v>2029</v>
      </c>
      <c r="I1595" s="21" t="n">
        <v>2030</v>
      </c>
      <c r="J1595" s="21" t="n">
        <v>2031</v>
      </c>
      <c r="K1595" s="21" t="n">
        <v>2032</v>
      </c>
    </row>
    <row r="1596" customFormat="false" ht="17.15" hidden="false" customHeight="false" outlineLevel="0" collapsed="false">
      <c r="A1596" s="1" t="s">
        <v>952</v>
      </c>
      <c r="B1596" s="0" t="s">
        <v>459</v>
      </c>
      <c r="F1596" s="30" t="n">
        <f aca="false">pace</f>
        <v>2726.5351</v>
      </c>
      <c r="G1596" s="30" t="n">
        <f aca="false">pace</f>
        <v>2726.5351</v>
      </c>
      <c r="H1596" s="30" t="n">
        <f aca="false">pace</f>
        <v>2726.5351</v>
      </c>
      <c r="I1596" s="30" t="n">
        <f aca="false">pace+(g_tv*Sens!H1597-pace)*MIN(1,(Sens!I1595-pace_y0)/(pace_y1-pace_y0))</f>
        <v>1931.98611966667</v>
      </c>
      <c r="J1596" s="30" t="n">
        <f aca="false">pace+(g_tv*Sens!I1597-pace)*MIN(1,(Sens!J1595-pace_y0)/(pace_y1-pace_y0))</f>
        <v>1176.07686172667</v>
      </c>
      <c r="K1596" s="30" t="n">
        <f aca="false">pace+(g_tv*Sens!J1597-pace)*MIN(1,(Sens!K1595-pace_y0)/(pace_y1-pace_y0))</f>
        <v>436.1300484418</v>
      </c>
      <c r="L1596" s="12" t="s">
        <v>953</v>
      </c>
    </row>
    <row r="1597" customFormat="false" ht="17.15" hidden="false" customHeight="false" outlineLevel="0" collapsed="false">
      <c r="A1597" s="1" t="s">
        <v>954</v>
      </c>
      <c r="B1597" s="0" t="s">
        <v>459</v>
      </c>
      <c r="C1597" s="30" t="n">
        <f aca="false">mw_ext_24</f>
        <v>640</v>
      </c>
      <c r="D1597" s="30" t="n">
        <f aca="false">mw_ext_25</f>
        <v>1630</v>
      </c>
      <c r="E1597" s="30" t="n">
        <f aca="false">mw_ext_26</f>
        <v>3250</v>
      </c>
      <c r="F1597" s="30" t="n">
        <f aca="false">Sens!E1597+Sens!F1596</f>
        <v>5976.5351</v>
      </c>
      <c r="G1597" s="30" t="n">
        <f aca="false">Sens!F1597+Sens!G1596</f>
        <v>8703.0702</v>
      </c>
      <c r="H1597" s="30" t="n">
        <f aca="false">Sens!G1597+Sens!H1596</f>
        <v>11429.6053</v>
      </c>
      <c r="I1597" s="30" t="n">
        <f aca="false">Sens!H1597+Sens!I1596</f>
        <v>13361.5914196667</v>
      </c>
      <c r="J1597" s="30" t="n">
        <f aca="false">Sens!I1597+Sens!J1596</f>
        <v>14537.6682813933</v>
      </c>
      <c r="K1597" s="30" t="n">
        <f aca="false">Sens!J1597+Sens!K1596</f>
        <v>14973.7983298351</v>
      </c>
      <c r="L1597" s="1" t="s">
        <v>955</v>
      </c>
    </row>
    <row r="1598" customFormat="false" ht="17.15" hidden="false" customHeight="false" outlineLevel="0" collapsed="false">
      <c r="A1598" s="1" t="s">
        <v>956</v>
      </c>
      <c r="B1598" s="0" t="s">
        <v>459</v>
      </c>
      <c r="C1598" s="30" t="n">
        <f aca="false">rent_ext_24</f>
        <v>150</v>
      </c>
      <c r="D1598" s="30" t="n">
        <f aca="false">rent_ext_25</f>
        <v>400</v>
      </c>
      <c r="E1598" s="30" t="n">
        <f aca="false">rent_ext_26</f>
        <v>550</v>
      </c>
      <c r="F1598" s="30" t="n">
        <f aca="false">rent_ext_f</f>
        <v>756</v>
      </c>
      <c r="G1598" s="30" t="n">
        <f aca="false">rent_ext_f</f>
        <v>756</v>
      </c>
      <c r="H1598" s="30" t="n">
        <f aca="false">rent_ext_f</f>
        <v>756</v>
      </c>
      <c r="I1598" s="30" t="n">
        <f aca="false">rent_ext_f</f>
        <v>756</v>
      </c>
      <c r="J1598" s="30" t="n">
        <f aca="false">rent_ext_f</f>
        <v>756</v>
      </c>
      <c r="K1598" s="30" t="n">
        <f aca="false">rent_ext_f</f>
        <v>756</v>
      </c>
      <c r="L1598" s="1" t="s">
        <v>957</v>
      </c>
    </row>
    <row r="1599" customFormat="false" ht="17.15" hidden="false" customHeight="false" outlineLevel="0" collapsed="false">
      <c r="A1599" s="1" t="s">
        <v>958</v>
      </c>
      <c r="B1599" s="0" t="s">
        <v>459</v>
      </c>
      <c r="C1599" s="30" t="n">
        <f aca="false">Sens!C1597-Sens!C1598</f>
        <v>490</v>
      </c>
      <c r="D1599" s="30" t="n">
        <f aca="false">Sens!D1597-Sens!D1598</f>
        <v>1230</v>
      </c>
      <c r="E1599" s="30" t="n">
        <f aca="false">Sens!E1597-Sens!E1598</f>
        <v>2700</v>
      </c>
      <c r="F1599" s="30" t="n">
        <f aca="false">Sens!F1597-Sens!F1598</f>
        <v>5220.5351</v>
      </c>
      <c r="G1599" s="30" t="n">
        <f aca="false">Sens!G1597-Sens!G1598</f>
        <v>7947.0702</v>
      </c>
      <c r="H1599" s="30" t="n">
        <f aca="false">Sens!H1597-Sens!H1598</f>
        <v>10673.6053</v>
      </c>
      <c r="I1599" s="30" t="n">
        <f aca="false">Sens!I1597-Sens!I1598</f>
        <v>12605.5914196667</v>
      </c>
      <c r="J1599" s="30" t="n">
        <f aca="false">Sens!J1597-Sens!J1598</f>
        <v>13781.6682813933</v>
      </c>
      <c r="K1599" s="30" t="n">
        <f aca="false">Sens!K1597-Sens!K1598</f>
        <v>14217.7983298351</v>
      </c>
    </row>
    <row r="1600" customFormat="false" ht="17.15" hidden="false" customHeight="false" outlineLevel="0" collapsed="false">
      <c r="A1600" s="1" t="s">
        <v>959</v>
      </c>
      <c r="B1600" s="0" t="s">
        <v>459</v>
      </c>
      <c r="C1600" s="30" t="n">
        <f aca="false">Sens!C1599/ext_sh</f>
        <v>816.666666666667</v>
      </c>
      <c r="D1600" s="30" t="n">
        <f aca="false">Sens!D1599/ext_sh</f>
        <v>2050</v>
      </c>
      <c r="E1600" s="30" t="n">
        <f aca="false">Sens!E1599/ext_sh</f>
        <v>4500</v>
      </c>
      <c r="F1600" s="30" t="n">
        <f aca="false">Sens!F1599/ext_sh</f>
        <v>8700.89183333333</v>
      </c>
      <c r="G1600" s="30" t="n">
        <f aca="false">Sens!G1599/ext_sh</f>
        <v>13245.117</v>
      </c>
      <c r="H1600" s="30" t="n">
        <f aca="false">Sens!H1599/ext_sh</f>
        <v>17789.3421666667</v>
      </c>
      <c r="I1600" s="30" t="n">
        <f aca="false">Sens!I1599/ext_sh</f>
        <v>21009.3190327778</v>
      </c>
      <c r="J1600" s="30" t="n">
        <f aca="false">Sens!J1599/ext_sh</f>
        <v>22969.4471356556</v>
      </c>
      <c r="K1600" s="30" t="n">
        <f aca="false">Sens!K1599/ext_sh</f>
        <v>23696.3305497252</v>
      </c>
      <c r="L1600" s="1" t="s">
        <v>960</v>
      </c>
    </row>
    <row r="1601" customFormat="false" ht="17.15" hidden="false" customHeight="false" outlineLevel="0" collapsed="false">
      <c r="A1601" s="1" t="s">
        <v>961</v>
      </c>
      <c r="B1601" s="0" t="s">
        <v>459</v>
      </c>
      <c r="C1601" s="30" t="n">
        <f aca="false">Sens!C1600-Sens!C1599</f>
        <v>326.666666666667</v>
      </c>
      <c r="D1601" s="30" t="n">
        <f aca="false">Sens!D1600-Sens!D1599</f>
        <v>820</v>
      </c>
      <c r="E1601" s="30" t="n">
        <f aca="false">Sens!E1600-Sens!E1599</f>
        <v>1800</v>
      </c>
      <c r="F1601" s="30" t="n">
        <f aca="false">Sens!F1600-Sens!F1599</f>
        <v>3480.35673333333</v>
      </c>
      <c r="G1601" s="30" t="n">
        <f aca="false">Sens!G1600-Sens!G1599</f>
        <v>5298.0468</v>
      </c>
      <c r="H1601" s="30" t="n">
        <f aca="false">Sens!H1600-Sens!H1599</f>
        <v>7115.73686666667</v>
      </c>
      <c r="I1601" s="30" t="n">
        <f aca="false">Sens!I1600-Sens!I1599</f>
        <v>8403.72761311111</v>
      </c>
      <c r="J1601" s="30" t="n">
        <f aca="false">Sens!J1600-Sens!J1599</f>
        <v>9187.77885426222</v>
      </c>
      <c r="K1601" s="30" t="n">
        <f aca="false">Sens!K1600-Sens!K1599</f>
        <v>9478.53221989009</v>
      </c>
    </row>
    <row r="1602" customFormat="false" ht="17.15" hidden="false" customHeight="false" outlineLevel="0" collapsed="false">
      <c r="A1602" s="1" t="s">
        <v>962</v>
      </c>
      <c r="B1602" s="0" t="s">
        <v>459</v>
      </c>
      <c r="C1602" s="30" t="n">
        <f aca="false">Sens!C1600</f>
        <v>816.666666666667</v>
      </c>
      <c r="D1602" s="30" t="n">
        <f aca="false">Sens!D1600-Sens!C1600</f>
        <v>1233.33333333333</v>
      </c>
      <c r="E1602" s="30" t="n">
        <f aca="false">Sens!E1600-Sens!D1600</f>
        <v>2450</v>
      </c>
      <c r="F1602" s="30" t="n">
        <f aca="false">Sens!F1600-Sens!E1600</f>
        <v>4200.89183333333</v>
      </c>
      <c r="G1602" s="30" t="n">
        <f aca="false">Sens!G1600-Sens!F1600</f>
        <v>4544.22516666667</v>
      </c>
      <c r="H1602" s="30" t="n">
        <f aca="false">Sens!H1600-Sens!G1600</f>
        <v>4544.22516666667</v>
      </c>
      <c r="I1602" s="30" t="n">
        <f aca="false">Sens!I1600-Sens!H1600</f>
        <v>3219.97686611111</v>
      </c>
      <c r="J1602" s="30" t="n">
        <f aca="false">Sens!J1600-Sens!I1600</f>
        <v>1960.12810287778</v>
      </c>
      <c r="K1602" s="30" t="n">
        <f aca="false">Sens!K1600-Sens!J1600</f>
        <v>726.883414069667</v>
      </c>
    </row>
    <row r="1603" customFormat="false" ht="17.15" hidden="false" customHeight="false" outlineLevel="0" collapsed="false">
      <c r="A1603" s="1" t="s">
        <v>963</v>
      </c>
      <c r="B1603" s="0" t="s">
        <v>459</v>
      </c>
      <c r="D1603" s="30" t="n">
        <f aca="false">Sens!D1597-Sens!C1597</f>
        <v>990</v>
      </c>
      <c r="E1603" s="30" t="n">
        <f aca="false">Sens!E1597-Sens!D1597</f>
        <v>1620</v>
      </c>
      <c r="F1603" s="30" t="n">
        <f aca="false">Sens!F1597-Sens!E1597</f>
        <v>2726.5351</v>
      </c>
      <c r="G1603" s="30" t="n">
        <f aca="false">Sens!G1597-Sens!F1597</f>
        <v>2726.5351</v>
      </c>
      <c r="H1603" s="30" t="n">
        <f aca="false">Sens!H1597-Sens!G1597</f>
        <v>2726.5351</v>
      </c>
      <c r="I1603" s="30" t="n">
        <f aca="false">Sens!I1597-Sens!H1597</f>
        <v>1931.98611966667</v>
      </c>
      <c r="J1603" s="30" t="n">
        <f aca="false">Sens!J1597-Sens!I1597</f>
        <v>1176.07686172667</v>
      </c>
      <c r="K1603" s="30" t="n">
        <f aca="false">Sens!K1597-Sens!J1597</f>
        <v>436.130048441799</v>
      </c>
    </row>
    <row r="1604" customFormat="false" ht="17.15" hidden="false" customHeight="false" outlineLevel="0" collapsed="false">
      <c r="A1604" s="1" t="s">
        <v>964</v>
      </c>
      <c r="B1604" s="0" t="s">
        <v>459</v>
      </c>
      <c r="F1604" s="30" t="n">
        <f aca="false">Sens!F1623*ext_sh</f>
        <v>0</v>
      </c>
      <c r="G1604" s="30" t="n">
        <f aca="false">Sens!G1623*ext_sh</f>
        <v>0</v>
      </c>
      <c r="H1604" s="30" t="n">
        <f aca="false">Sens!H1623*ext_sh</f>
        <v>0</v>
      </c>
      <c r="I1604" s="30" t="n">
        <f aca="false">Sens!I1623*ext_sh</f>
        <v>490</v>
      </c>
      <c r="J1604" s="30" t="n">
        <f aca="false">Sens!J1623*ext_sh</f>
        <v>740</v>
      </c>
      <c r="K1604" s="30" t="n">
        <f aca="false">Sens!K1623*ext_sh</f>
        <v>1470</v>
      </c>
      <c r="L1604" s="1" t="s">
        <v>965</v>
      </c>
    </row>
    <row r="1605" customFormat="false" ht="17.15" hidden="false" customHeight="false" outlineLevel="0" collapsed="false">
      <c r="A1605" s="1" t="s">
        <v>966</v>
      </c>
      <c r="B1605" s="0" t="s">
        <v>459</v>
      </c>
      <c r="C1605" s="30" t="n">
        <f aca="false">mix_h*Sens!C1597</f>
        <v>128</v>
      </c>
      <c r="D1605" s="30" t="n">
        <f aca="false">mix_h*Sens!D1597</f>
        <v>326</v>
      </c>
      <c r="E1605" s="30" t="n">
        <f aca="false">mix_h*Sens!E1597</f>
        <v>650</v>
      </c>
      <c r="F1605" s="30" t="n">
        <f aca="false">Sens!E1605-Sens!F1604*mix_h</f>
        <v>650</v>
      </c>
      <c r="G1605" s="30" t="n">
        <f aca="false">Sens!F1605-Sens!G1604*mix_h</f>
        <v>650</v>
      </c>
      <c r="H1605" s="30" t="n">
        <f aca="false">Sens!G1605-Sens!H1604*mix_h</f>
        <v>650</v>
      </c>
      <c r="I1605" s="30" t="n">
        <f aca="false">Sens!H1605-Sens!I1604*mix_h</f>
        <v>552</v>
      </c>
      <c r="J1605" s="30" t="n">
        <f aca="false">Sens!I1605-Sens!J1604*mix_h</f>
        <v>404</v>
      </c>
      <c r="K1605" s="30" t="n">
        <f aca="false">Sens!J1605-Sens!K1604*mix_h</f>
        <v>110</v>
      </c>
    </row>
    <row r="1606" customFormat="false" ht="17.15" hidden="false" customHeight="false" outlineLevel="0" collapsed="false">
      <c r="A1606" s="1" t="s">
        <v>967</v>
      </c>
      <c r="B1606" s="0" t="s">
        <v>459</v>
      </c>
      <c r="C1606" s="30" t="n">
        <f aca="false">mix_g2*Sens!C1597</f>
        <v>288</v>
      </c>
      <c r="D1606" s="30" t="n">
        <f aca="false">mix_g2*Sens!D1597</f>
        <v>733.5</v>
      </c>
      <c r="E1606" s="30" t="n">
        <f aca="false">mix_g2*Sens!E1597</f>
        <v>1462.5</v>
      </c>
      <c r="F1606" s="30" t="n">
        <f aca="false">Sens!E1606-Sens!F1604*mix_g2</f>
        <v>1462.5</v>
      </c>
      <c r="G1606" s="30" t="n">
        <f aca="false">Sens!F1606-Sens!G1604*mix_g2</f>
        <v>1462.5</v>
      </c>
      <c r="H1606" s="30" t="n">
        <f aca="false">Sens!G1606-Sens!H1604*mix_g2</f>
        <v>1462.5</v>
      </c>
      <c r="I1606" s="30" t="n">
        <f aca="false">Sens!H1606-Sens!I1604*mix_g2</f>
        <v>1242</v>
      </c>
      <c r="J1606" s="30" t="n">
        <f aca="false">Sens!I1606-Sens!J1604*mix_g2</f>
        <v>909</v>
      </c>
      <c r="K1606" s="30" t="n">
        <f aca="false">Sens!J1606-Sens!K1604*mix_g2</f>
        <v>247.5</v>
      </c>
    </row>
    <row r="1607" customFormat="false" ht="17.15" hidden="false" customHeight="false" outlineLevel="0" collapsed="false">
      <c r="A1607" s="1" t="s">
        <v>968</v>
      </c>
      <c r="B1607" s="0" t="s">
        <v>459</v>
      </c>
      <c r="C1607" s="30" t="n">
        <f aca="false">mix_g3*Sens!C1597</f>
        <v>224</v>
      </c>
      <c r="D1607" s="30" t="n">
        <f aca="false">mix_g3*Sens!D1597</f>
        <v>570.5</v>
      </c>
      <c r="E1607" s="30" t="n">
        <f aca="false">mix_g3*Sens!E1597</f>
        <v>1137.5</v>
      </c>
      <c r="F1607" s="30" t="n">
        <f aca="false">Sens!E1607+(Sens!F1603+Sens!F1604)*(a_g3_27-nonnv*a_mai)-Sens!F1604*mix_g3</f>
        <v>2773.42106</v>
      </c>
      <c r="G1607" s="30" t="n">
        <f aca="false">Sens!F1607+(Sens!G1603+Sens!G1604)*(a_g3_28-nonnv*a_mai)-Sens!G1604*mix_g3</f>
        <v>3318.72808</v>
      </c>
      <c r="H1607" s="30" t="n">
        <f aca="false">Sens!G1607+(Sens!H1603+Sens!H1604)*(a_g3_29-nonnv*a_mai)-Sens!H1604*mix_g3</f>
        <v>3318.72808</v>
      </c>
      <c r="I1607" s="30" t="n">
        <f aca="false">Sens!H1607+(Sens!I1603+Sens!I1604)*(a_g3_29-nonnv*a_mai)-Sens!I1604*mix_g3</f>
        <v>3147.22808</v>
      </c>
      <c r="J1607" s="30" t="n">
        <f aca="false">Sens!I1607+(Sens!J1603+Sens!J1604)*(a_g3_29-nonnv*a_mai)-Sens!J1604*mix_g3</f>
        <v>2888.22808</v>
      </c>
      <c r="K1607" s="30" t="n">
        <f aca="false">Sens!J1607+(Sens!K1603+Sens!K1604)*(a_g3_29-nonnv*a_mai)-Sens!K1604*mix_g3</f>
        <v>2373.72808</v>
      </c>
    </row>
    <row r="1608" customFormat="false" ht="17.15" hidden="false" customHeight="false" outlineLevel="0" collapsed="false">
      <c r="A1608" s="1" t="s">
        <v>969</v>
      </c>
      <c r="B1608" s="0" t="s">
        <v>459</v>
      </c>
      <c r="C1608" s="30" t="n">
        <v>0</v>
      </c>
      <c r="D1608" s="30" t="n">
        <v>0</v>
      </c>
      <c r="E1608" s="30" t="n">
        <v>0</v>
      </c>
      <c r="F1608" s="30" t="n">
        <f aca="false">Sens!E1608+(Sens!F1603+Sens!F1604)*nonnv*a_mai</f>
        <v>272.65351</v>
      </c>
      <c r="G1608" s="30" t="n">
        <f aca="false">Sens!F1608+(Sens!G1603+Sens!G1604)*nonnv*a_mai</f>
        <v>545.30702</v>
      </c>
      <c r="H1608" s="30" t="n">
        <f aca="false">Sens!G1608+(Sens!H1603+Sens!H1604)*nonnv*a_mai</f>
        <v>817.96053</v>
      </c>
      <c r="I1608" s="30" t="n">
        <f aca="false">Sens!H1608+(Sens!I1603+Sens!I1604)*nonnv*a_mai</f>
        <v>1060.15914196667</v>
      </c>
      <c r="J1608" s="30" t="n">
        <f aca="false">Sens!I1608+(Sens!J1603+Sens!J1604)*nonnv*a_mai</f>
        <v>1251.76682813933</v>
      </c>
      <c r="K1608" s="30" t="n">
        <f aca="false">Sens!J1608+(Sens!K1603+Sens!K1604)*nonnv*a_mai</f>
        <v>1442.37983298351</v>
      </c>
      <c r="L1608" s="12" t="s">
        <v>970</v>
      </c>
    </row>
    <row r="1609" customFormat="false" ht="17.15" hidden="false" customHeight="false" outlineLevel="0" collapsed="false">
      <c r="A1609" s="1" t="s">
        <v>971</v>
      </c>
      <c r="B1609" s="0" t="s">
        <v>459</v>
      </c>
      <c r="C1609" s="30" t="n">
        <v>0</v>
      </c>
      <c r="D1609" s="30" t="n">
        <v>0</v>
      </c>
      <c r="E1609" s="30" t="n">
        <v>0</v>
      </c>
      <c r="F1609" s="30" t="n">
        <f aca="false">Sens!E1609+(Sens!F1603+Sens!F1604)*(1-a_g3_27)</f>
        <v>817.96053</v>
      </c>
      <c r="G1609" s="30" t="n">
        <f aca="false">Sens!F1609+(Sens!G1603+Sens!G1604)*(1-a_g3_28)</f>
        <v>2726.5351</v>
      </c>
      <c r="H1609" s="30" t="n">
        <f aca="false">Sens!G1609+(Sens!H1603+Sens!H1604)*(1-a_g3_29)</f>
        <v>5180.41669</v>
      </c>
      <c r="I1609" s="30" t="n">
        <f aca="false">Sens!H1609+(Sens!I1603+Sens!I1604)*(1-a_g3_29)</f>
        <v>7360.2041977</v>
      </c>
      <c r="J1609" s="30" t="n">
        <f aca="false">Sens!I1609+(Sens!J1603+Sens!J1604)*(1-a_g3_29)</f>
        <v>9084.673373254</v>
      </c>
      <c r="K1609" s="30" t="n">
        <f aca="false">Sens!J1609+(Sens!K1603+Sens!K1604)*(1-a_g3_29)</f>
        <v>10800.1904168516</v>
      </c>
    </row>
    <row r="1610" customFormat="false" ht="17.15" hidden="false" customHeight="false" outlineLevel="0" collapsed="false">
      <c r="A1610" s="1" t="s">
        <v>972</v>
      </c>
      <c r="B1610" s="0" t="s">
        <v>403</v>
      </c>
      <c r="C1610" s="15" t="n">
        <f aca="false">(Sens!C1605*tk_hold_h100+Sens!C1606*tk_hold_gb200+Sens!C1607*tk_hold_gb300+Sens!C1609*tk_hold_vr200+Sens!C1608*nv_hold_mai*tk_hold_vr200)/Sens!C1597</f>
        <v>9.7235358126469</v>
      </c>
      <c r="D1610" s="15" t="n">
        <f aca="false">(Sens!D1605*tk_hold_h100+Sens!D1606*tk_hold_gb200+Sens!D1607*tk_hold_gb300+Sens!D1609*tk_hold_vr200+Sens!D1608*nv_hold_mai*tk_hold_vr200)/Sens!D1597</f>
        <v>9.7235358126469</v>
      </c>
      <c r="E1610" s="15" t="n">
        <f aca="false">(Sens!E1605*tk_hold_h100+Sens!E1606*tk_hold_gb200+Sens!E1607*tk_hold_gb300+Sens!E1609*tk_hold_vr200+Sens!E1608*nv_hold_mai*tk_hold_vr200)/Sens!E1597</f>
        <v>9.7235358126469</v>
      </c>
      <c r="F1610" s="15" t="n">
        <f aca="false">(Sens!F1605*tk_hold_h100+Sens!F1606*tk_hold_gb200+Sens!F1607*tk_hold_gb300+Sens!F1609*tk_hold_vr200+Sens!F1608*nv_hold_mai*tk_hold_vr200)/Sens!F1597</f>
        <v>10.2195353876665</v>
      </c>
      <c r="G1610" s="15" t="n">
        <f aca="false">(Sens!G1605*tk_hold_h100+Sens!G1606*tk_hold_gb200+Sens!G1607*tk_hold_gb300+Sens!G1609*tk_hold_vr200+Sens!G1608*nv_hold_mai*tk_hold_vr200)/Sens!G1597</f>
        <v>10.5725598017306</v>
      </c>
      <c r="H1610" s="15" t="n">
        <f aca="false">(Sens!H1605*tk_hold_h100+Sens!H1606*tk_hold_gb200+Sens!H1607*tk_hold_gb300+Sens!H1609*tk_hold_vr200+Sens!H1608*nv_hold_mai*tk_hold_vr200)/Sens!H1597</f>
        <v>10.8210427149036</v>
      </c>
      <c r="I1610" s="15" t="n">
        <f aca="false">(Sens!I1605*tk_hold_h100+Sens!I1606*tk_hold_gb200+Sens!I1607*tk_hold_gb300+Sens!I1609*tk_hold_vr200+Sens!I1608*nv_hold_mai*tk_hold_vr200)/Sens!I1597</f>
        <v>11.0050618241982</v>
      </c>
      <c r="J1610" s="15" t="n">
        <f aca="false">(Sens!J1605*tk_hold_h100+Sens!J1606*tk_hold_gb200+Sens!J1607*tk_hold_gb300+Sens!J1609*tk_hold_vr200+Sens!J1608*nv_hold_mai*tk_hold_vr200)/Sens!J1597</f>
        <v>11.1505789658881</v>
      </c>
      <c r="K1610" s="15" t="n">
        <f aca="false">(Sens!K1605*tk_hold_h100+Sens!K1606*tk_hold_gb200+Sens!K1607*tk_hold_gb300+Sens!K1609*tk_hold_vr200+Sens!K1608*nv_hold_mai*tk_hold_vr200)/Sens!K1597</f>
        <v>11.3496914757183</v>
      </c>
      <c r="L1610" s="1" t="s">
        <v>973</v>
      </c>
    </row>
    <row r="1611" customFormat="false" ht="17.15" hidden="false" customHeight="false" outlineLevel="0" collapsed="false">
      <c r="A1611" s="1" t="s">
        <v>974</v>
      </c>
      <c r="B1611" s="0" t="s">
        <v>403</v>
      </c>
      <c r="C1611" s="15" t="n">
        <f aca="false">(Sens!C1605*tk_hold_h100+Sens!C1606*tk_hold_gb200+Sens!C1607*tk_hold_gb300+Sens!C1609*tk_hold_vr200+Sens!C1608*nv_out_mai*tk_hold_vr200)/Sens!C1597</f>
        <v>9.7235358126469</v>
      </c>
      <c r="D1611" s="15" t="n">
        <f aca="false">(Sens!D1605*tk_hold_h100+Sens!D1606*tk_hold_gb200+Sens!D1607*tk_hold_gb300+Sens!D1609*tk_hold_vr200+Sens!D1608*nv_out_mai*tk_hold_vr200)/Sens!D1597</f>
        <v>9.7235358126469</v>
      </c>
      <c r="E1611" s="15" t="n">
        <f aca="false">(Sens!E1605*tk_hold_h100+Sens!E1606*tk_hold_gb200+Sens!E1607*tk_hold_gb300+Sens!E1609*tk_hold_vr200+Sens!E1608*nv_out_mai*tk_hold_vr200)/Sens!E1597</f>
        <v>9.7235358126469</v>
      </c>
      <c r="F1611" s="15" t="n">
        <f aca="false">(Sens!F1605*tk_hold_h100+Sens!F1606*tk_hold_gb200+Sens!F1607*tk_hold_gb300+Sens!F1609*tk_hold_vr200+Sens!F1608*nv_out_mai*tk_hold_vr200)/Sens!F1597</f>
        <v>10.247422093969</v>
      </c>
      <c r="G1611" s="15" t="n">
        <f aca="false">(Sens!G1605*tk_hold_h100+Sens!G1606*tk_hold_gb200+Sens!G1607*tk_hold_gb300+Sens!G1609*tk_hold_vr200+Sens!G1608*nv_out_mai*tk_hold_vr200)/Sens!G1597</f>
        <v>10.6108602808053</v>
      </c>
      <c r="H1611" s="15" t="n">
        <f aca="false">(Sens!H1605*tk_hold_h100+Sens!H1606*tk_hold_gb200+Sens!H1607*tk_hold_gb300+Sens!H1609*tk_hold_vr200+Sens!H1608*nv_out_mai*tk_hold_vr200)/Sens!H1597</f>
        <v>10.8647885507393</v>
      </c>
      <c r="I1611" s="15" t="n">
        <f aca="false">(Sens!I1605*tk_hold_h100+Sens!I1606*tk_hold_gb200+Sens!I1607*tk_hold_gb300+Sens!I1609*tk_hold_vr200+Sens!I1608*nv_out_mai*tk_hold_vr200)/Sens!I1597</f>
        <v>11.0535625770025</v>
      </c>
      <c r="J1611" s="15" t="n">
        <f aca="false">(Sens!J1605*tk_hold_h100+Sens!J1606*tk_hold_gb200+Sens!J1607*tk_hold_gb300+Sens!J1609*tk_hold_vr200+Sens!J1608*nv_out_mai*tk_hold_vr200)/Sens!J1597</f>
        <v>11.2032127128058</v>
      </c>
      <c r="K1611" s="15" t="n">
        <f aca="false">(Sens!K1605*tk_hold_h100+Sens!K1606*tk_hold_gb200+Sens!K1607*tk_hold_gb300+Sens!K1609*tk_hold_vr200+Sens!K1608*nv_out_mai*tk_hold_vr200)/Sens!K1597</f>
        <v>11.4085735724225</v>
      </c>
      <c r="L1611" s="12" t="s">
        <v>975</v>
      </c>
    </row>
    <row r="1612" customFormat="false" ht="17.15" hidden="false" customHeight="false" outlineLevel="0" collapsed="false">
      <c r="A1612" s="0" t="s">
        <v>976</v>
      </c>
      <c r="B1612" s="0" t="s">
        <v>229</v>
      </c>
      <c r="C1612" s="15" t="n">
        <f aca="false">k_B</f>
        <v>1.17213932619116</v>
      </c>
      <c r="D1612" s="15" t="n">
        <f aca="false">k_B</f>
        <v>1.17213932619116</v>
      </c>
      <c r="E1612" s="15" t="n">
        <f aca="false">k_B</f>
        <v>1.17213932619116</v>
      </c>
      <c r="F1612" s="15" t="n">
        <f aca="false">(k_B+((ls_B*k_long+(1-ls_B)*k_spot)-k_B)*MIN(1,(Sens!F1595-base_fy)/k_ramp))*1.15</f>
        <v>1.34796022511983</v>
      </c>
      <c r="G1612" s="15" t="n">
        <f aca="false">(k_B+((ls_B*k_long+(1-ls_B)*k_spot)-k_B)*MIN(1,(Sens!G1595-base_fy)/k_ramp))*1.15</f>
        <v>1.34796022511983</v>
      </c>
      <c r="H1612" s="15" t="n">
        <f aca="false">(k_B+((ls_B*k_long+(1-ls_B)*k_spot)-k_B)*MIN(1,(Sens!H1595-base_fy)/k_ramp))*1.15</f>
        <v>1.34796022511983</v>
      </c>
      <c r="I1612" s="15" t="n">
        <f aca="false">(k_B+((ls_B*k_long+(1-ls_B)*k_spot)-k_B)*MIN(1,(Sens!I1595-base_fy)/k_ramp))*1.15</f>
        <v>1.34796022511983</v>
      </c>
      <c r="J1612" s="15" t="n">
        <f aca="false">(k_B+((ls_B*k_long+(1-ls_B)*k_spot)-k_B)*MIN(1,(Sens!J1595-base_fy)/k_ramp))*1.15</f>
        <v>1.34796022511983</v>
      </c>
      <c r="K1612" s="15" t="n">
        <f aca="false">(k_B+((ls_B*k_long+(1-ls_B)*k_spot)-k_B)*MIN(1,(Sens!K1595-base_fy)/k_ramp))*1.15</f>
        <v>1.34796022511983</v>
      </c>
      <c r="L1612" s="1" t="s">
        <v>977</v>
      </c>
    </row>
    <row r="1613" customFormat="false" ht="17.15" hidden="false" customHeight="false" outlineLevel="0" collapsed="false">
      <c r="A1613" s="1" t="s">
        <v>978</v>
      </c>
      <c r="B1613" s="0" t="s">
        <v>403</v>
      </c>
      <c r="C1613" s="15" t="n">
        <f aca="false">Sens!C1611*Sens!C1612*chip_f</f>
        <v>11.3973387156315</v>
      </c>
      <c r="D1613" s="15" t="n">
        <f aca="false">Sens!D1611*Sens!D1612*chip_f</f>
        <v>11.3973387156315</v>
      </c>
      <c r="E1613" s="15" t="n">
        <f aca="false">Sens!E1611*Sens!E1612*chip_f</f>
        <v>11.3973387156315</v>
      </c>
      <c r="F1613" s="15" t="n">
        <f aca="false">Sens!F1611*Sens!F1612*chip_f</f>
        <v>13.8131173926843</v>
      </c>
      <c r="G1613" s="15" t="n">
        <f aca="false">Sens!G1611*Sens!G1612*chip_f</f>
        <v>14.3030176128293</v>
      </c>
      <c r="H1613" s="15" t="n">
        <f aca="false">Sens!H1611*Sens!H1612*chip_f</f>
        <v>14.6453028207339</v>
      </c>
      <c r="I1613" s="15" t="n">
        <f aca="false">Sens!I1611*Sens!I1612*chip_f</f>
        <v>14.8997626996724</v>
      </c>
      <c r="J1613" s="15" t="n">
        <f aca="false">Sens!J1611*Sens!J1612*chip_f</f>
        <v>15.101485130419</v>
      </c>
      <c r="K1613" s="15" t="n">
        <f aca="false">Sens!K1611*Sens!K1612*chip_f</f>
        <v>15.3783034009787</v>
      </c>
      <c r="L1613" s="1" t="s">
        <v>979</v>
      </c>
    </row>
    <row r="1614" customFormat="false" ht="17.15" hidden="false" customHeight="false" outlineLevel="0" collapsed="false">
      <c r="A1614" s="0" t="s">
        <v>980</v>
      </c>
      <c r="B1614" s="0" t="s">
        <v>98</v>
      </c>
      <c r="D1614" s="6" t="n">
        <f aca="false">(Sens!C1597+Sens!D1597)/2*Sens!D1613/1000</f>
        <v>12.9359794422418</v>
      </c>
      <c r="E1614" s="6" t="n">
        <f aca="false">(Sens!D1597+Sens!E1597)/2*Sens!E1613/1000</f>
        <v>27.8095064661409</v>
      </c>
      <c r="F1614" s="6" t="n">
        <f aca="false">(Sens!E1597+Sens!F1597)/2*Sens!F1613/1000</f>
        <v>63.7236062320111</v>
      </c>
      <c r="G1614" s="6" t="n">
        <f aca="false">(Sens!F1597+Sens!G1597)/2*Sens!G1613/1000</f>
        <v>104.981326577641</v>
      </c>
      <c r="H1614" s="6" t="n">
        <f aca="false">(Sens!G1597+Sens!H1597)/2*Sens!H1613/1000</f>
        <v>147.424564644535</v>
      </c>
      <c r="I1614" s="6" t="n">
        <f aca="false">(Sens!H1597+Sens!I1597)/2*Sens!I1613/1000</f>
        <v>184.691474081965</v>
      </c>
      <c r="J1614" s="6" t="n">
        <f aca="false">(Sens!I1597+Sens!J1597)/2*Sens!J1613/1000</f>
        <v>210.660127762628</v>
      </c>
      <c r="K1614" s="6" t="n">
        <f aca="false">(Sens!J1597+Sens!K1597)/2*Sens!K1613/1000</f>
        <v>226.918143677663</v>
      </c>
      <c r="L1614" s="12" t="s">
        <v>981</v>
      </c>
    </row>
    <row r="1615" customFormat="false" ht="17.15" hidden="false" customHeight="false" outlineLevel="0" collapsed="false">
      <c r="A1615" s="1" t="s">
        <v>982</v>
      </c>
      <c r="B1615" s="0" t="s">
        <v>403</v>
      </c>
      <c r="C1615" s="15" t="n">
        <f aca="false">(Sens!C1605*tk_opex_h100+Sens!C1606*tk_opex_gb200+Sens!C1607*tk_opex_gb300+(Sens!C1609+Sens!C1608)*tk_opex_vr200)/Sens!C1597</f>
        <v>1.88636041306092</v>
      </c>
      <c r="D1615" s="15" t="n">
        <f aca="false">(Sens!D1605*tk_opex_h100+Sens!D1606*tk_opex_gb200+Sens!D1607*tk_opex_gb300+(Sens!D1609+Sens!D1608)*tk_opex_vr200)/Sens!D1597</f>
        <v>1.88636041306092</v>
      </c>
      <c r="E1615" s="15" t="n">
        <f aca="false">(Sens!E1605*tk_opex_h100+Sens!E1606*tk_opex_gb200+Sens!E1607*tk_opex_gb300+(Sens!E1609+Sens!E1608)*tk_opex_vr200)/Sens!E1597</f>
        <v>1.88636041306092</v>
      </c>
      <c r="F1615" s="15" t="n">
        <f aca="false">(Sens!F1605*tk_opex_h100+Sens!F1606*tk_opex_gb200+Sens!F1607*tk_opex_gb300+(Sens!F1609+Sens!F1608)*tk_opex_vr200)/Sens!F1597</f>
        <v>1.95051159746876</v>
      </c>
      <c r="G1615" s="15" t="n">
        <f aca="false">(Sens!G1605*tk_opex_h100+Sens!G1606*tk_opex_gb200+Sens!G1607*tk_opex_gb300+(Sens!G1609+Sens!G1608)*tk_opex_vr200)/Sens!G1597</f>
        <v>1.98836003669956</v>
      </c>
      <c r="H1615" s="15" t="n">
        <f aca="false">(Sens!H1605*tk_opex_h100+Sens!H1606*tk_opex_gb200+Sens!H1607*tk_opex_gb300+(Sens!H1609+Sens!H1608)*tk_opex_vr200)/Sens!H1597</f>
        <v>2.01344013834343</v>
      </c>
      <c r="I1615" s="15" t="n">
        <f aca="false">(Sens!I1605*tk_opex_h100+Sens!I1606*tk_opex_gb200+Sens!I1607*tk_opex_gb300+(Sens!I1609+Sens!I1608)*tk_opex_vr200)/Sens!I1597</f>
        <v>2.03261166882178</v>
      </c>
      <c r="J1615" s="15" t="n">
        <f aca="false">(Sens!J1605*tk_opex_h100+Sens!J1606*tk_opex_gb200+Sens!J1607*tk_opex_gb300+(Sens!J1609+Sens!J1608)*tk_opex_vr200)/Sens!J1597</f>
        <v>2.04808073288745</v>
      </c>
      <c r="K1615" s="15" t="n">
        <f aca="false">(Sens!K1605*tk_opex_h100+Sens!K1606*tk_opex_gb200+Sens!K1607*tk_opex_gb300+(Sens!K1609+Sens!K1608)*tk_opex_vr200)/Sens!K1597</f>
        <v>2.06973825807449</v>
      </c>
      <c r="L1615" s="12" t="s">
        <v>983</v>
      </c>
    </row>
    <row r="1616" customFormat="false" ht="17.15" hidden="false" customHeight="false" outlineLevel="0" collapsed="false">
      <c r="A1616" s="0" t="s">
        <v>984</v>
      </c>
      <c r="B1616" s="0" t="s">
        <v>98</v>
      </c>
      <c r="D1616" s="6" t="n">
        <f aca="false">(Sens!C1600+Sens!D1600)/2*Sens!D1615/1000</f>
        <v>2.70378325872065</v>
      </c>
      <c r="E1616" s="6" t="n">
        <f aca="false">(Sens!D1600+Sens!E1600)/2*Sens!E1615/1000</f>
        <v>6.17783035277451</v>
      </c>
      <c r="F1616" s="6" t="n">
        <f aca="false">(Sens!E1600+Sens!F1600)/2*Sens!F1615/1000</f>
        <v>12.8742463089237</v>
      </c>
      <c r="G1616" s="6" t="n">
        <f aca="false">(Sens!F1600+Sens!G1600)/2*Sens!G1615/1000</f>
        <v>21.8182834646277</v>
      </c>
      <c r="H1616" s="6" t="n">
        <f aca="false">(Sens!G1600+Sens!H1600)/2*Sens!H1615/1000</f>
        <v>31.2430128789734</v>
      </c>
      <c r="I1616" s="6" t="n">
        <f aca="false">(Sens!H1600+Sens!I1600)/2*Sens!I1615/1000</f>
        <v>39.4313057443268</v>
      </c>
      <c r="J1616" s="6" t="n">
        <f aca="false">(Sens!I1600+Sens!J1600)/2*Sens!J1615/1000</f>
        <v>45.0360318228653</v>
      </c>
      <c r="K1616" s="6" t="n">
        <f aca="false">(Sens!J1600+Sens!K1600)/2*Sens!K1615/1000</f>
        <v>48.2929727091156</v>
      </c>
    </row>
    <row r="1617" customFormat="false" ht="17.15" hidden="false" customHeight="false" outlineLevel="0" collapsed="false">
      <c r="A1617" s="0" t="s">
        <v>985</v>
      </c>
      <c r="B1617" s="0" t="s">
        <v>98</v>
      </c>
      <c r="D1617" s="6" t="n">
        <f aca="false">(Sens!C1598+Sens!D1598)/2*rent_mw/1000</f>
        <v>2.44475</v>
      </c>
      <c r="E1617" s="6" t="n">
        <f aca="false">(Sens!D1598+Sens!E1598)/2*rent_mw/1000</f>
        <v>4.22275</v>
      </c>
      <c r="F1617" s="6" t="n">
        <f aca="false">(Sens!E1598+Sens!F1598)/2*rent_mw/1000</f>
        <v>5.80517</v>
      </c>
      <c r="G1617" s="6" t="n">
        <f aca="false">(Sens!F1598+Sens!G1598)/2*rent_mw/1000</f>
        <v>6.72084</v>
      </c>
      <c r="H1617" s="6" t="n">
        <f aca="false">(Sens!G1598+Sens!H1598)/2*rent_mw/1000</f>
        <v>6.72084</v>
      </c>
      <c r="I1617" s="6" t="n">
        <f aca="false">(Sens!H1598+Sens!I1598)/2*rent_mw/1000</f>
        <v>6.72084</v>
      </c>
      <c r="J1617" s="6" t="n">
        <f aca="false">(Sens!I1598+Sens!J1598)/2*rent_mw/1000</f>
        <v>6.72084</v>
      </c>
      <c r="K1617" s="6" t="n">
        <f aca="false">(Sens!J1598+Sens!K1598)/2*rent_mw/1000</f>
        <v>6.72084</v>
      </c>
    </row>
    <row r="1618" customFormat="false" ht="17.15" hidden="false" customHeight="false" outlineLevel="0" collapsed="false">
      <c r="A1618" s="0" t="s">
        <v>986</v>
      </c>
      <c r="B1618" s="0" t="s">
        <v>98</v>
      </c>
      <c r="D1618" s="6" t="n">
        <f aca="false">(Sens!C1600+Sens!D1600)/2*(1-self_build)*fac_rent/1000</f>
        <v>0.853242375631075</v>
      </c>
      <c r="E1618" s="6" t="n">
        <f aca="false">(Sens!D1600+Sens!E1600)/2*(1-self_build)*fac_rent/1000</f>
        <v>1.94955961408728</v>
      </c>
      <c r="F1618" s="6" t="n">
        <f aca="false">(Sens!E1600+Sens!F1600)/2*(1-self_build)*fac_rent/1000</f>
        <v>3.92914894476356</v>
      </c>
      <c r="G1618" s="6" t="n">
        <f aca="false">(Sens!F1600+Sens!G1600)/2*(1-self_build)*fac_rent/1000</f>
        <v>6.53206908578159</v>
      </c>
      <c r="H1618" s="6" t="n">
        <f aca="false">(Sens!G1600+Sens!H1600)/2*(1-self_build)*fac_rent/1000</f>
        <v>9.23717988341591</v>
      </c>
      <c r="I1618" s="6" t="n">
        <f aca="false">(Sens!H1600+Sens!I1600)/2*(1-self_build)*fac_rent/1000</f>
        <v>11.5481378557393</v>
      </c>
      <c r="J1618" s="6" t="n">
        <f aca="false">(Sens!I1600+Sens!J1600)/2*(1-self_build)*fac_rent/1000</f>
        <v>13.0899582289108</v>
      </c>
      <c r="K1618" s="6" t="n">
        <f aca="false">(Sens!J1600+Sens!K1600)/2*(1-self_build)*fac_rent/1000</f>
        <v>13.8897275626556</v>
      </c>
      <c r="L1618" s="12" t="s">
        <v>987</v>
      </c>
    </row>
    <row r="1619" customFormat="false" ht="17.15" hidden="false" customHeight="false" outlineLevel="0" collapsed="false">
      <c r="A1619" s="1" t="s">
        <v>988</v>
      </c>
      <c r="B1619" s="0" t="s">
        <v>168</v>
      </c>
      <c r="D1619" s="7" t="n">
        <f aca="false">(Sens!C1599+Sens!D1599)/(Sens!C1600+Sens!D1600)</f>
        <v>0.6</v>
      </c>
      <c r="E1619" s="7" t="n">
        <f aca="false">(Sens!D1599+Sens!E1599)/(Sens!D1600+Sens!E1600)</f>
        <v>0.6</v>
      </c>
      <c r="F1619" s="7" t="n">
        <f aca="false">(Sens!E1599+Sens!F1599)/(Sens!E1600+Sens!F1600)</f>
        <v>0.6</v>
      </c>
      <c r="G1619" s="7" t="n">
        <f aca="false">(Sens!F1599+Sens!G1599)/(Sens!F1600+Sens!G1600)</f>
        <v>0.6</v>
      </c>
      <c r="H1619" s="7" t="n">
        <f aca="false">(Sens!G1599+Sens!H1599)/(Sens!G1600+Sens!H1600)</f>
        <v>0.6</v>
      </c>
      <c r="I1619" s="7" t="n">
        <f aca="false">(Sens!H1599+Sens!I1599)/(Sens!H1600+Sens!I1600)</f>
        <v>0.6</v>
      </c>
      <c r="J1619" s="7" t="n">
        <f aca="false">(Sens!I1599+Sens!J1599)/(Sens!I1600+Sens!J1600)</f>
        <v>0.6</v>
      </c>
      <c r="K1619" s="7" t="n">
        <f aca="false">(Sens!J1599+Sens!K1599)/(Sens!J1600+Sens!K1600)</f>
        <v>0.6</v>
      </c>
    </row>
    <row r="1620" customFormat="false" ht="17.15" hidden="false" customHeight="false" outlineLevel="0" collapsed="false">
      <c r="A1620" s="0" t="s">
        <v>989</v>
      </c>
      <c r="B1620" s="0" t="s">
        <v>98</v>
      </c>
      <c r="D1620" s="6" t="n">
        <f aca="false">Sens!D1614-Sens!D1619*(Sens!D1616+Sens!D1618)-Sens!D1617</f>
        <v>8.35701406163072</v>
      </c>
      <c r="E1620" s="6" t="n">
        <f aca="false">Sens!E1614-Sens!E1619*(Sens!E1616+Sens!E1618)-Sens!E1617</f>
        <v>18.7103224860238</v>
      </c>
      <c r="F1620" s="6" t="n">
        <f aca="false">Sens!F1614-Sens!F1619*(Sens!F1616+Sens!F1618)-Sens!F1617</f>
        <v>47.8363990797987</v>
      </c>
      <c r="G1620" s="6" t="n">
        <f aca="false">Sens!G1614-Sens!G1619*(Sens!G1616+Sens!G1618)-Sens!G1617</f>
        <v>81.2502750473959</v>
      </c>
      <c r="H1620" s="6" t="n">
        <f aca="false">Sens!H1614-Sens!H1619*(Sens!H1616+Sens!H1618)-Sens!H1617</f>
        <v>116.415608987102</v>
      </c>
      <c r="I1620" s="6" t="n">
        <f aca="false">Sens!I1614-Sens!I1619*(Sens!I1616+Sens!I1618)-Sens!I1617</f>
        <v>147.382967921926</v>
      </c>
      <c r="J1620" s="6" t="n">
        <f aca="false">Sens!J1614-Sens!J1619*(Sens!J1616+Sens!J1618)-Sens!J1617</f>
        <v>169.063693731562</v>
      </c>
      <c r="K1620" s="6" t="n">
        <f aca="false">Sens!K1614-Sens!K1619*(Sens!K1616+Sens!K1618)-Sens!K1617</f>
        <v>182.8876835146</v>
      </c>
    </row>
    <row r="1621" customFormat="false" ht="17.15" hidden="false" customHeight="false" outlineLevel="0" collapsed="false">
      <c r="A1621" s="1" t="s">
        <v>990</v>
      </c>
      <c r="B1621" s="0" t="s">
        <v>98</v>
      </c>
      <c r="D1621" s="6" t="n">
        <f aca="false">(1-Sens!D1619)*(Sens!D1616+Sens!D1618)</f>
        <v>1.42281025374069</v>
      </c>
      <c r="E1621" s="6" t="n">
        <f aca="false">(1-Sens!E1619)*(Sens!E1616+Sens!E1618)</f>
        <v>3.25095598674472</v>
      </c>
      <c r="F1621" s="6" t="n">
        <f aca="false">(1-Sens!F1619)*(Sens!F1616+Sens!F1618)</f>
        <v>6.72135810147489</v>
      </c>
      <c r="G1621" s="6" t="n">
        <f aca="false">(1-Sens!G1619)*(Sens!G1616+Sens!G1618)</f>
        <v>11.3401410201637</v>
      </c>
      <c r="H1621" s="6" t="n">
        <f aca="false">(1-Sens!H1619)*(Sens!H1616+Sens!H1618)</f>
        <v>16.1920771049557</v>
      </c>
      <c r="I1621" s="6" t="n">
        <f aca="false">(1-Sens!I1619)*(Sens!I1616+Sens!I1618)</f>
        <v>20.3917774400264</v>
      </c>
      <c r="J1621" s="6" t="n">
        <f aca="false">(1-Sens!J1619)*(Sens!J1616+Sens!J1618)</f>
        <v>23.2503960207104</v>
      </c>
      <c r="K1621" s="6" t="n">
        <f aca="false">(1-Sens!K1619)*(Sens!K1616+Sens!K1618)</f>
        <v>24.8730801087085</v>
      </c>
    </row>
    <row r="1622" customFormat="false" ht="17.15" hidden="false" customHeight="false" outlineLevel="0" collapsed="false">
      <c r="A1622" s="1" t="s">
        <v>991</v>
      </c>
      <c r="B1622" s="0" t="s">
        <v>417</v>
      </c>
      <c r="C1622" s="8" t="n">
        <f aca="false">cxit_open</f>
        <v>27.5918995</v>
      </c>
      <c r="D1622" s="8" t="n">
        <f aca="false">cxit_open</f>
        <v>27.5918995</v>
      </c>
      <c r="E1622" s="8" t="n">
        <f aca="false">cxit_open</f>
        <v>27.5918995</v>
      </c>
      <c r="F1622" s="8" t="n">
        <f aca="false">((a_g3_27-nonnv*a_mai)*tk_cxit_gb300+nonnv*a_mai*nv_hold_mai*tk_cxit_vr200+(1-a_g3_27)*tk_cxit_vr200)</f>
        <v>32.4975576</v>
      </c>
      <c r="G1622" s="8" t="n">
        <f aca="false">((a_g3_28-nonnv*a_mai)*tk_cxit_gb300+nonnv*a_mai*nv_hold_mai*tk_cxit_vr200+(1-a_g3_28)*tk_cxit_vr200)</f>
        <v>34.6372088</v>
      </c>
      <c r="H1622" s="8" t="n">
        <f aca="false">((a_g3_29-nonnv*a_mai)*tk_cxit_gb300+nonnv*a_mai*nv_hold_mai*tk_cxit_vr200+(1-a_g3_29)*tk_cxit_vr200)</f>
        <v>35.7070344</v>
      </c>
      <c r="I1622" s="8" t="n">
        <f aca="false">((a_g3_29-nonnv*a_mai)*tk_cxit_gb300+nonnv*a_mai*nv_hold_mai*tk_cxit_vr200+(1-a_g3_29)*tk_cxit_vr200)</f>
        <v>35.7070344</v>
      </c>
      <c r="J1622" s="8" t="n">
        <f aca="false">((a_g3_29-nonnv*a_mai)*tk_cxit_gb300+nonnv*a_mai*nv_hold_mai*tk_cxit_vr200+(1-a_g3_29)*tk_cxit_vr200)</f>
        <v>35.7070344</v>
      </c>
      <c r="K1622" s="8" t="n">
        <f aca="false">((a_g3_29-nonnv*a_mai)*tk_cxit_gb300+nonnv*a_mai*nv_hold_mai*tk_cxit_vr200+(1-a_g3_29)*tk_cxit_vr200)</f>
        <v>35.7070344</v>
      </c>
      <c r="L1622" s="12" t="s">
        <v>992</v>
      </c>
    </row>
    <row r="1623" customFormat="false" ht="17.15" hidden="false" customHeight="false" outlineLevel="0" collapsed="false">
      <c r="A1623" s="0" t="s">
        <v>993</v>
      </c>
      <c r="B1623" s="0" t="s">
        <v>459</v>
      </c>
      <c r="F1623" s="30" t="n">
        <f aca="false">Sens!C1602*IF(Sens!F1595-Sens!C1595=life_it,1,0)+Sens!D1602*IF(Sens!F1595-Sens!D1595=life_it,1,0)+Sens!E1602*IF(Sens!F1595-Sens!E1595=life_it,1,0)</f>
        <v>0</v>
      </c>
      <c r="G1623" s="30" t="n">
        <f aca="false">Sens!C1602*IF(Sens!G1595-Sens!C1595=life_it,1,0)+Sens!D1602*IF(Sens!G1595-Sens!D1595=life_it,1,0)+Sens!E1602*IF(Sens!G1595-Sens!E1595=life_it,1,0)+Sens!F1602*IF(Sens!G1595-Sens!F1595=life_it,1,0)</f>
        <v>0</v>
      </c>
      <c r="H1623" s="30" t="n">
        <f aca="false">Sens!C1602*IF(Sens!H1595-Sens!C1595=life_it,1,0)+Sens!D1602*IF(Sens!H1595-Sens!D1595=life_it,1,0)+Sens!E1602*IF(Sens!H1595-Sens!E1595=life_it,1,0)+Sens!F1602*IF(Sens!H1595-Sens!F1595=life_it,1,0)+Sens!G1602*IF(Sens!H1595-Sens!G1595=life_it,1,0)</f>
        <v>0</v>
      </c>
      <c r="I1623" s="30" t="n">
        <f aca="false">Sens!C1602*IF(Sens!I1595-Sens!C1595=life_it,1,0)+Sens!D1602*IF(Sens!I1595-Sens!D1595=life_it,1,0)+Sens!E1602*IF(Sens!I1595-Sens!E1595=life_it,1,0)+Sens!F1602*IF(Sens!I1595-Sens!F1595=life_it,1,0)+Sens!G1602*IF(Sens!I1595-Sens!G1595=life_it,1,0)+Sens!H1602*IF(Sens!I1595-Sens!H1595=life_it,1,0)</f>
        <v>816.666666666667</v>
      </c>
      <c r="J1623" s="30" t="n">
        <f aca="false">Sens!C1602*IF(Sens!J1595-Sens!C1595=life_it,1,0)+Sens!D1602*IF(Sens!J1595-Sens!D1595=life_it,1,0)+Sens!E1602*IF(Sens!J1595-Sens!E1595=life_it,1,0)+Sens!F1602*IF(Sens!J1595-Sens!F1595=life_it,1,0)+Sens!G1602*IF(Sens!J1595-Sens!G1595=life_it,1,0)+Sens!H1602*IF(Sens!J1595-Sens!H1595=life_it,1,0)+Sens!I1602*IF(Sens!J1595-Sens!I1595=life_it,1,0)</f>
        <v>1233.33333333333</v>
      </c>
      <c r="K1623" s="30" t="n">
        <f aca="false">Sens!C1602*IF(Sens!K1595-Sens!C1595=life_it,1,0)+Sens!D1602*IF(Sens!K1595-Sens!D1595=life_it,1,0)+Sens!E1602*IF(Sens!K1595-Sens!E1595=life_it,1,0)+Sens!F1602*IF(Sens!K1595-Sens!F1595=life_it,1,0)+Sens!G1602*IF(Sens!K1595-Sens!G1595=life_it,1,0)+Sens!H1602*IF(Sens!K1595-Sens!H1595=life_it,1,0)+Sens!I1602*IF(Sens!K1595-Sens!I1595=life_it,1,0)+Sens!J1602*IF(Sens!K1595-Sens!J1595=life_it,1,0)</f>
        <v>2450</v>
      </c>
      <c r="L1623" s="1" t="s">
        <v>994</v>
      </c>
    </row>
    <row r="1624" customFormat="false" ht="17.15" hidden="false" customHeight="false" outlineLevel="0" collapsed="false">
      <c r="A1624" s="0" t="s">
        <v>995</v>
      </c>
      <c r="B1624" s="0" t="s">
        <v>98</v>
      </c>
      <c r="C1624" s="6" t="n">
        <f aca="false">Sens!C1602*Sens!C1622/1000</f>
        <v>22.5333845916667</v>
      </c>
      <c r="D1624" s="6" t="n">
        <f aca="false">Sens!D1602*Sens!D1622/1000</f>
        <v>34.0300093833333</v>
      </c>
      <c r="E1624" s="6" t="n">
        <f aca="false">Sens!E1602*Sens!E1622/1000</f>
        <v>67.600153775</v>
      </c>
      <c r="F1624" s="6" t="n">
        <f aca="false">(Sens!F1602+Sens!F1623)*Sens!F1622/1000</f>
        <v>136.51872432512</v>
      </c>
      <c r="G1624" s="6" t="n">
        <f aca="false">(Sens!G1602+Sens!G1623)*Sens!G1622/1000</f>
        <v>157.399275932048</v>
      </c>
      <c r="H1624" s="6" t="n">
        <f aca="false">(Sens!H1602+Sens!H1623)*Sens!H1622/1000</f>
        <v>162.260804347512</v>
      </c>
      <c r="I1624" s="6" t="n">
        <f aca="false">(Sens!I1602+Sens!I1623)*Sens!I1622/1000</f>
        <v>144.136569485434</v>
      </c>
      <c r="J1624" s="6" t="n">
        <f aca="false">(Sens!J1602+Sens!J1623)*Sens!J1622/1000</f>
        <v>114.029037357864</v>
      </c>
      <c r="K1624" s="6" t="n">
        <f aca="false">(Sens!K1602+Sens!K1623)*Sens!K1622/1000</f>
        <v>113.437085350975</v>
      </c>
    </row>
    <row r="1625" customFormat="false" ht="17.15" hidden="false" customHeight="false" outlineLevel="0" collapsed="false">
      <c r="A1625" s="0" t="s">
        <v>996</v>
      </c>
      <c r="B1625" s="0" t="s">
        <v>98</v>
      </c>
      <c r="C1625" s="6" t="n">
        <f aca="false">Sens!C1602*self_build*tk_cxfac/1000</f>
        <v>6.2083</v>
      </c>
      <c r="D1625" s="6" t="n">
        <f aca="false">Sens!D1602*self_build*tk_cxfac/1000</f>
        <v>9.3758</v>
      </c>
      <c r="E1625" s="6" t="n">
        <f aca="false">Sens!E1602*self_build*tk_cxfac/1000</f>
        <v>18.6249</v>
      </c>
      <c r="F1625" s="6" t="n">
        <f aca="false">Sens!F1602*self_build*tk_cxfac/1000</f>
        <v>31.935179717</v>
      </c>
      <c r="G1625" s="6" t="n">
        <f aca="false">Sens!G1602*self_build*tk_cxfac/1000</f>
        <v>34.545199717</v>
      </c>
      <c r="H1625" s="6" t="n">
        <f aca="false">Sens!H1602*self_build*tk_cxfac/1000</f>
        <v>34.545199717</v>
      </c>
      <c r="I1625" s="6" t="n">
        <f aca="false">Sens!I1602*self_build*tk_cxfac/1000</f>
        <v>24.4782641361767</v>
      </c>
      <c r="J1625" s="6" t="n">
        <f aca="false">Sens!J1602*self_build*tk_cxfac/1000</f>
        <v>14.9008938380769</v>
      </c>
      <c r="K1625" s="6" t="n">
        <f aca="false">Sens!K1602*self_build*tk_cxfac/1000</f>
        <v>5.52576771375761</v>
      </c>
    </row>
    <row r="1626" customFormat="false" ht="17.15" hidden="false" customHeight="false" outlineLevel="0" collapsed="false">
      <c r="A1626" s="0" t="s">
        <v>997</v>
      </c>
      <c r="B1626" s="0" t="s">
        <v>98</v>
      </c>
      <c r="F1626" s="15" t="n">
        <f aca="false">capex_floor27-Sens!F1624-Sens!F1625-Sens!F1722</f>
        <v>0.365046760478137</v>
      </c>
      <c r="L1626" s="12" t="s">
        <v>998</v>
      </c>
    </row>
    <row r="1627" customFormat="false" ht="17.15" hidden="false" customHeight="false" outlineLevel="0" collapsed="false">
      <c r="A1627" s="0" t="s">
        <v>999</v>
      </c>
      <c r="B1627" s="0" t="s">
        <v>98</v>
      </c>
      <c r="F1627" s="6" t="n">
        <f aca="false">MAX(0,Sens!F1626)</f>
        <v>0.365046760478137</v>
      </c>
    </row>
    <row r="1628" customFormat="false" ht="17.15" hidden="false" customHeight="false" outlineLevel="0" collapsed="false">
      <c r="A1628" s="0" t="s">
        <v>1000</v>
      </c>
      <c r="B1628" s="0" t="s">
        <v>98</v>
      </c>
      <c r="C1628" s="6" t="n">
        <f aca="false">Sens!C1624</f>
        <v>22.5333845916667</v>
      </c>
      <c r="D1628" s="6" t="n">
        <f aca="false">Sens!D1624</f>
        <v>34.0300093833333</v>
      </c>
      <c r="E1628" s="6" t="n">
        <f aca="false">Sens!E1624</f>
        <v>67.600153775</v>
      </c>
      <c r="F1628" s="6" t="n">
        <f aca="false">Sens!F1624</f>
        <v>136.51872432512</v>
      </c>
      <c r="G1628" s="6" t="n">
        <f aca="false">Sens!G1624</f>
        <v>157.399275932048</v>
      </c>
      <c r="H1628" s="6" t="n">
        <f aca="false">Sens!H1624</f>
        <v>162.260804347512</v>
      </c>
      <c r="I1628" s="6" t="n">
        <f aca="false">Sens!I1624</f>
        <v>144.136569485434</v>
      </c>
      <c r="J1628" s="6" t="n">
        <f aca="false">Sens!J1624</f>
        <v>114.029037357864</v>
      </c>
      <c r="K1628" s="6" t="n">
        <f aca="false">Sens!K1624</f>
        <v>113.437085350975</v>
      </c>
    </row>
    <row r="1629" customFormat="false" ht="17.15" hidden="false" customHeight="false" outlineLevel="0" collapsed="false">
      <c r="A1629" s="0" t="s">
        <v>1001</v>
      </c>
      <c r="B1629" s="0" t="s">
        <v>98</v>
      </c>
      <c r="C1629" s="6" t="n">
        <f aca="false">Sens!C1628+Sens!C1625</f>
        <v>28.7416845916667</v>
      </c>
      <c r="D1629" s="6" t="n">
        <f aca="false">Sens!D1628+Sens!D1625</f>
        <v>43.4058093833333</v>
      </c>
      <c r="E1629" s="6" t="n">
        <f aca="false">Sens!E1628+Sens!E1625</f>
        <v>86.225053775</v>
      </c>
      <c r="F1629" s="6" t="n">
        <f aca="false">Sens!F1628+Sens!F1625</f>
        <v>168.45390404212</v>
      </c>
      <c r="G1629" s="6" t="n">
        <f aca="false">Sens!G1628+Sens!G1625</f>
        <v>191.944475649048</v>
      </c>
      <c r="H1629" s="6" t="n">
        <f aca="false">Sens!H1628+Sens!H1625</f>
        <v>196.806004064512</v>
      </c>
      <c r="I1629" s="6" t="n">
        <f aca="false">Sens!I1628+Sens!I1625</f>
        <v>168.61483362161</v>
      </c>
      <c r="J1629" s="6" t="n">
        <f aca="false">Sens!J1628+Sens!J1625</f>
        <v>128.92993119594</v>
      </c>
      <c r="K1629" s="6" t="n">
        <f aca="false">Sens!K1628+Sens!K1625</f>
        <v>118.962853064733</v>
      </c>
      <c r="L1629" s="12" t="s">
        <v>1002</v>
      </c>
    </row>
    <row r="1630" customFormat="false" ht="17.15" hidden="false" customHeight="false" outlineLevel="0" collapsed="false">
      <c r="A1630" s="0" t="s">
        <v>1003</v>
      </c>
      <c r="B1630" s="0" t="s">
        <v>98</v>
      </c>
      <c r="E1630" s="6" t="n">
        <f aca="false">(Sens!C1628*IF(2&lt;life_it,1,IF(2=life_it,0.5,0))+Sens!D1628*IF(1&lt;life_it,1,IF(1=life_it,0.5,0))+Sens!E1628*0.5)/life_it</f>
        <v>15.0605784770833</v>
      </c>
      <c r="F1630" s="6" t="n">
        <f aca="false">(Sens!C1628*IF(3&lt;life_it,1,IF(3=life_it,0.5,0))+Sens!D1628*IF(2&lt;life_it,1,IF(2=life_it,0.5,0))+Sens!E1628*IF(1&lt;life_it,1,IF(1=life_it,0.5,0))+Sens!F1628*0.5)/life_it</f>
        <v>32.0704849854266</v>
      </c>
      <c r="G1630" s="6" t="n">
        <f aca="false">(Sens!C1628*IF(4&lt;life_it,1,IF(4=life_it,0.5,0))+Sens!D1628*IF(3&lt;life_it,1,IF(3=life_it,0.5,0))+Sens!E1628*IF(2&lt;life_it,1,IF(2=life_it,0.5,0))+Sens!F1628*IF(1&lt;life_it,1,IF(1=life_it,0.5,0))+Sens!G1628*0.5)/life_it</f>
        <v>56.5636516735239</v>
      </c>
      <c r="H1630" s="6" t="n">
        <f aca="false">(Sens!C1628*IF(5&lt;life_it,1,IF(5=life_it,0.5,0))+Sens!D1628*IF(4&lt;life_it,1,IF(4=life_it,0.5,0))+Sens!E1628*IF(3&lt;life_it,1,IF(3=life_it,0.5,0))+Sens!F1628*IF(2&lt;life_it,1,IF(2=life_it,0.5,0))+Sens!G1628*IF(1&lt;life_it,1,IF(1=life_it,0.5,0))+Sens!H1628*0.5)/life_it</f>
        <v>83.2019916968207</v>
      </c>
      <c r="I1630" s="6" t="n">
        <f aca="false">(Sens!C1628*IF(6&lt;life_it,1,IF(6=life_it,0.5,0))+Sens!D1628*IF(5&lt;life_it,1,IF(5=life_it,0.5,0))+Sens!E1628*IF(4&lt;life_it,1,IF(4=life_it,0.5,0))+Sens!F1628*IF(3&lt;life_it,1,IF(3=life_it,0.5,0))+Sens!G1628*IF(2&lt;life_it,1,IF(2=life_it,0.5,0))+Sens!H1628*IF(1&lt;life_it,1,IF(1=life_it,0.5,0))+Sens!I1628*0.5)/life_it</f>
        <v>106.857324133594</v>
      </c>
      <c r="J1630" s="6" t="n">
        <f aca="false">(Sens!C1628*IF(7&lt;life_it,1,IF(7=life_it,0.5,0))+Sens!D1628*IF(6&lt;life_it,1,IF(6=life_it,0.5,0))+Sens!E1628*IF(5&lt;life_it,1,IF(5=life_it,0.5,0))+Sens!F1628*IF(4&lt;life_it,1,IF(4=life_it,0.5,0))+Sens!G1628*IF(3&lt;life_it,1,IF(3=life_it,0.5,0))+Sens!H1628*IF(2&lt;life_it,1,IF(2=life_it,0.5,0))+Sens!I1628*IF(1&lt;life_it,1,IF(1=life_it,0.5,0))+Sens!J1628*0.5)/life_it</f>
        <v>123.657508539285</v>
      </c>
      <c r="K1630" s="6" t="n">
        <f aca="false">(Sens!C1628*IF(8&lt;life_it,1,IF(8=life_it,0.5,0))+Sens!D1628*IF(7&lt;life_it,1,IF(7=life_it,0.5,0))+Sens!E1628*IF(6&lt;life_it,1,IF(6=life_it,0.5,0))+Sens!F1628*IF(5&lt;life_it,1,IF(5=life_it,0.5,0))+Sens!G1628*IF(4&lt;life_it,1,IF(4=life_it,0.5,0))+Sens!H1628*IF(3&lt;life_it,1,IF(3=life_it,0.5,0))+Sens!I1628*IF(2&lt;life_it,1,IF(2=life_it,0.5,0))+Sens!J1628*IF(1&lt;life_it,1,IF(1=life_it,0.5,0))+Sens!K1628*0.5)/life_it</f>
        <v>134.143838501827</v>
      </c>
    </row>
    <row r="1631" customFormat="false" ht="17.15" hidden="false" customHeight="false" outlineLevel="0" collapsed="false">
      <c r="A1631" s="0" t="s">
        <v>1004</v>
      </c>
      <c r="B1631" s="0" t="s">
        <v>98</v>
      </c>
      <c r="E1631" s="6" t="n">
        <f aca="false">(Sens!C1625*IF(2&lt;life_fac,1,IF(2=life_fac,0.5,0))+Sens!D1625*IF(1&lt;life_fac,1,IF(1=life_fac,0.5,0))+Sens!E1625*0.5)/life_fac</f>
        <v>1.2448275</v>
      </c>
      <c r="F1631" s="6" t="n">
        <f aca="false">(Sens!C1625*IF(3&lt;life_fac,1,IF(3=life_fac,0.5,0))+Sens!D1625*IF(2&lt;life_fac,1,IF(2=life_fac,0.5,0))+Sens!E1625*IF(1&lt;life_fac,1,IF(1=life_fac,0.5,0))+Sens!F1625*0.5)/life_fac</f>
        <v>2.508829492925</v>
      </c>
      <c r="G1631" s="6" t="n">
        <f aca="false">(Sens!C1625*IF(4&lt;life_fac,1,IF(4=life_fac,0.5,0))+Sens!D1625*IF(3&lt;life_fac,1,IF(3=life_fac,0.5,0))+Sens!E1625*IF(2&lt;life_fac,1,IF(2=life_fac,0.5,0))+Sens!F1625*IF(1&lt;life_fac,1,IF(1=life_fac,0.5,0))+Sens!G1625*0.5)/life_fac</f>
        <v>4.170838978775</v>
      </c>
      <c r="H1631" s="6" t="n">
        <f aca="false">(Sens!C1625*IF(5&lt;life_fac,1,IF(5=life_fac,0.5,0))+Sens!D1625*IF(4&lt;life_fac,1,IF(4=life_fac,0.5,0))+Sens!E1625*IF(3&lt;life_fac,1,IF(3=life_fac,0.5,0))+Sens!F1625*IF(2&lt;life_fac,1,IF(2=life_fac,0.5,0))+Sens!G1625*IF(1&lt;life_fac,1,IF(1=life_fac,0.5,0))+Sens!H1625*0.5)/life_fac</f>
        <v>5.898098964625</v>
      </c>
      <c r="I1631" s="6" t="n">
        <f aca="false">(Sens!C1625*IF(6&lt;life_fac,1,IF(6=life_fac,0.5,0))+Sens!D1625*IF(5&lt;life_fac,1,IF(5=life_fac,0.5,0))+Sens!E1625*IF(4&lt;life_fac,1,IF(4=life_fac,0.5,0))+Sens!F1625*IF(3&lt;life_fac,1,IF(3=life_fac,0.5,0))+Sens!G1625*IF(2&lt;life_fac,1,IF(2=life_fac,0.5,0))+Sens!H1625*IF(1&lt;life_fac,1,IF(1=life_fac,0.5,0))+Sens!I1625*0.5)/life_fac</f>
        <v>7.37368556095442</v>
      </c>
      <c r="J1631" s="6" t="n">
        <f aca="false">(Sens!C1625*IF(7&lt;life_fac,1,IF(7=life_fac,0.5,0))+Sens!D1625*IF(6&lt;life_fac,1,IF(6=life_fac,0.5,0))+Sens!E1625*IF(5&lt;life_fac,1,IF(5=life_fac,0.5,0))+Sens!F1625*IF(4&lt;life_fac,1,IF(4=life_fac,0.5,0))+Sens!G1625*IF(3&lt;life_fac,1,IF(3=life_fac,0.5,0))+Sens!H1625*IF(2&lt;life_fac,1,IF(2=life_fac,0.5,0))+Sens!I1625*IF(1&lt;life_fac,1,IF(1=life_fac,0.5,0))+Sens!J1625*0.5)/life_fac</f>
        <v>8.35816451031075</v>
      </c>
      <c r="K1631" s="6" t="n">
        <f aca="false">(Sens!C1625*IF(8&lt;life_fac,1,IF(8=life_fac,0.5,0))+Sens!D1625*IF(7&lt;life_fac,1,IF(7=life_fac,0.5,0))+Sens!E1625*IF(6&lt;life_fac,1,IF(6=life_fac,0.5,0))+Sens!F1625*IF(5&lt;life_fac,1,IF(5=life_fac,0.5,0))+Sens!G1625*IF(4&lt;life_fac,1,IF(4=life_fac,0.5,0))+Sens!H1625*IF(3&lt;life_fac,1,IF(3=life_fac,0.5,0))+Sens!I1625*IF(2&lt;life_fac,1,IF(2=life_fac,0.5,0))+Sens!J1625*IF(1&lt;life_fac,1,IF(1=life_fac,0.5,0))+Sens!K1625*0.5)/life_fac</f>
        <v>8.86883104910662</v>
      </c>
    </row>
    <row r="1632" customFormat="false" ht="17.15" hidden="false" customHeight="false" outlineLevel="0" collapsed="false">
      <c r="A1632" s="0" t="s">
        <v>1005</v>
      </c>
      <c r="B1632" s="0" t="s">
        <v>98</v>
      </c>
      <c r="E1632" s="6" t="n">
        <f aca="false">Sens!E1630+Sens!E1631</f>
        <v>16.3054059770833</v>
      </c>
      <c r="F1632" s="6" t="n">
        <f aca="false">Sens!F1630+Sens!F1631</f>
        <v>34.5793144783516</v>
      </c>
      <c r="G1632" s="6" t="n">
        <f aca="false">Sens!G1630+Sens!G1631</f>
        <v>60.7344906522989</v>
      </c>
      <c r="H1632" s="6" t="n">
        <f aca="false">Sens!H1630+Sens!H1631</f>
        <v>89.1000906614457</v>
      </c>
      <c r="I1632" s="6" t="n">
        <f aca="false">Sens!I1630+Sens!I1631</f>
        <v>114.231009694548</v>
      </c>
      <c r="J1632" s="6" t="n">
        <f aca="false">Sens!J1630+Sens!J1631</f>
        <v>132.015673049596</v>
      </c>
      <c r="K1632" s="6" t="n">
        <f aca="false">Sens!K1630+Sens!K1631</f>
        <v>143.012669550934</v>
      </c>
    </row>
    <row r="1633" customFormat="false" ht="17.15" hidden="false" customHeight="false" outlineLevel="0" collapsed="false">
      <c r="A1633" s="0" t="s">
        <v>1006</v>
      </c>
      <c r="B1633" s="0" t="s">
        <v>98</v>
      </c>
      <c r="E1633" s="6" t="n">
        <f aca="false">Sens!E1620-Sens!E1619*Sens!E1632</f>
        <v>8.92707889977379</v>
      </c>
      <c r="F1633" s="6" t="n">
        <f aca="false">Sens!F1620-Sens!F1619*Sens!F1632</f>
        <v>27.0888103927878</v>
      </c>
      <c r="G1633" s="6" t="n">
        <f aca="false">Sens!G1620-Sens!G1619*Sens!G1632</f>
        <v>44.8095806560165</v>
      </c>
      <c r="H1633" s="6" t="n">
        <f aca="false">Sens!H1620-Sens!H1619*Sens!H1632</f>
        <v>62.9555545902343</v>
      </c>
      <c r="I1633" s="6" t="n">
        <f aca="false">Sens!I1620-Sens!I1619*Sens!I1632</f>
        <v>78.8443621051968</v>
      </c>
      <c r="J1633" s="6" t="n">
        <f aca="false">Sens!J1620-Sens!J1619*Sens!J1632</f>
        <v>89.8542899018042</v>
      </c>
      <c r="K1633" s="6" t="n">
        <f aca="false">Sens!K1620-Sens!K1619*Sens!K1632</f>
        <v>97.0800817840394</v>
      </c>
    </row>
    <row r="1634" customFormat="false" ht="17.15" hidden="false" customHeight="false" outlineLevel="0" collapsed="false">
      <c r="A1634" s="3" t="s">
        <v>1651</v>
      </c>
    </row>
    <row r="1635" customFormat="false" ht="15" hidden="false" customHeight="false" outlineLevel="0" collapsed="false">
      <c r="A1635" s="4" t="s">
        <v>43</v>
      </c>
      <c r="B1635" s="4" t="s">
        <v>65</v>
      </c>
      <c r="C1635" s="23" t="s">
        <v>942</v>
      </c>
      <c r="D1635" s="23" t="s">
        <v>943</v>
      </c>
      <c r="E1635" s="23" t="s">
        <v>944</v>
      </c>
      <c r="F1635" s="23" t="s">
        <v>945</v>
      </c>
      <c r="G1635" s="23" t="s">
        <v>946</v>
      </c>
      <c r="H1635" s="23" t="s">
        <v>947</v>
      </c>
      <c r="I1635" s="23" t="s">
        <v>948</v>
      </c>
      <c r="J1635" s="23" t="s">
        <v>949</v>
      </c>
      <c r="K1635" s="23" t="s">
        <v>950</v>
      </c>
      <c r="L1635" s="4" t="s">
        <v>47</v>
      </c>
    </row>
    <row r="1636" customFormat="false" ht="17.15" hidden="false" customHeight="false" outlineLevel="0" collapsed="false">
      <c r="A1636" s="0" t="s">
        <v>1025</v>
      </c>
      <c r="B1636" s="0" t="s">
        <v>98</v>
      </c>
      <c r="D1636" s="6" t="n">
        <f aca="false">Sens!D1614</f>
        <v>12.9359794422418</v>
      </c>
      <c r="E1636" s="6" t="n">
        <f aca="false">Sens!E1614</f>
        <v>27.8095064661409</v>
      </c>
      <c r="F1636" s="6" t="n">
        <f aca="false">Sens!F1614</f>
        <v>63.7236062320111</v>
      </c>
      <c r="G1636" s="6" t="n">
        <f aca="false">Sens!G1614</f>
        <v>104.981326577641</v>
      </c>
      <c r="H1636" s="6" t="n">
        <f aca="false">Sens!H1614</f>
        <v>147.424564644535</v>
      </c>
      <c r="I1636" s="6" t="n">
        <f aca="false">Sens!I1614</f>
        <v>184.691474081965</v>
      </c>
      <c r="J1636" s="6" t="n">
        <f aca="false">Sens!J1614</f>
        <v>210.660127762628</v>
      </c>
      <c r="K1636" s="6" t="n">
        <f aca="false">Sens!K1614</f>
        <v>226.918143677663</v>
      </c>
    </row>
    <row r="1637" customFormat="false" ht="17.15" hidden="false" customHeight="false" outlineLevel="0" collapsed="false">
      <c r="A1637" s="0" t="s">
        <v>1026</v>
      </c>
      <c r="B1637" s="0" t="s">
        <v>98</v>
      </c>
      <c r="D1637" s="6" t="n">
        <f aca="false">Q!L6-Sens!D1636</f>
        <v>59.6740205577583</v>
      </c>
      <c r="E1637" s="6" t="n">
        <f aca="false">Q!M6-Sens!E1636</f>
        <v>74.1284935338591</v>
      </c>
      <c r="F1637" s="6" t="n">
        <f aca="false">Q!$I$6+(Sens!F1636+Sens!E1637*(1+Sens!F1638))*(1-Q!$E$6/Q!M6)-Sens!F1636</f>
        <v>89.4720799849821</v>
      </c>
      <c r="G1637" s="6" t="n">
        <f aca="false">Sens!F1637*(1+Sens!G1638)</f>
        <v>106.306185209659</v>
      </c>
      <c r="H1637" s="6" t="n">
        <f aca="false">Sens!G1637*(1+Sens!H1638)</f>
        <v>123.433381104364</v>
      </c>
      <c r="I1637" s="6" t="n">
        <f aca="false">Sens!H1637*(1+Sens!I1638)</f>
        <v>139.98266571921</v>
      </c>
      <c r="J1637" s="6" t="n">
        <f aca="false">Sens!I1637*(1+Sens!J1638)</f>
        <v>154.966034241954</v>
      </c>
      <c r="K1637" s="6" t="n">
        <f aca="false">Sens!J1637*(1+Sens!K1638)</f>
        <v>167.36331698131</v>
      </c>
      <c r="L1637" s="12" t="s">
        <v>1027</v>
      </c>
    </row>
    <row r="1638" customFormat="false" ht="15" hidden="false" customHeight="false" outlineLevel="0" collapsed="false">
      <c r="A1638" s="1" t="s">
        <v>1028</v>
      </c>
      <c r="B1638" s="0" t="s">
        <v>168</v>
      </c>
      <c r="E1638" s="7" t="n">
        <f aca="false">Sens!E1637/Sens!D1637-1</f>
        <v>0.242223883039864</v>
      </c>
      <c r="F1638" s="7" t="n">
        <f aca="false">Sens!$E$1638+(glt_azo-Sens!$E$1638)*MIN(1,(Sens!F1595-base_fy)/n_conv)</f>
        <v>0.215186569199887</v>
      </c>
      <c r="G1638" s="7" t="n">
        <f aca="false">Sens!$E$1638+(glt_azo-Sens!$E$1638)*MIN(1,(Sens!G1595-base_fy)/n_conv)</f>
        <v>0.18814925535991</v>
      </c>
      <c r="H1638" s="7" t="n">
        <f aca="false">Sens!$E$1638+(glt_azo-Sens!$E$1638)*MIN(1,(Sens!H1595-base_fy)/n_conv)</f>
        <v>0.161111941519932</v>
      </c>
      <c r="I1638" s="7" t="n">
        <f aca="false">Sens!$E$1638+(glt_azo-Sens!$E$1638)*MIN(1,(Sens!I1595-base_fy)/n_conv)</f>
        <v>0.134074627679955</v>
      </c>
      <c r="J1638" s="7" t="n">
        <f aca="false">Sens!$E$1638+(glt_azo-Sens!$E$1638)*MIN(1,(Sens!J1595-base_fy)/n_conv)</f>
        <v>0.107037313839977</v>
      </c>
      <c r="K1638" s="7" t="n">
        <f aca="false">Sens!$E$1638+(glt_azo-Sens!$E$1638)*MIN(1,(Sens!K1595-base_fy)/n_conv)</f>
        <v>0.08</v>
      </c>
    </row>
    <row r="1639" customFormat="false" ht="15" hidden="false" customHeight="false" outlineLevel="0" collapsed="false">
      <c r="A1639" s="0" t="s">
        <v>1029</v>
      </c>
      <c r="B1639" s="0" t="s">
        <v>98</v>
      </c>
      <c r="D1639" s="6" t="n">
        <f aca="false">Sens!D1636+Sens!D1637</f>
        <v>72.61</v>
      </c>
      <c r="E1639" s="6" t="n">
        <f aca="false">Sens!E1636+Sens!E1637</f>
        <v>101.938</v>
      </c>
      <c r="F1639" s="6" t="n">
        <f aca="false">Sens!F1636+Sens!F1637</f>
        <v>153.195686216993</v>
      </c>
      <c r="G1639" s="6" t="n">
        <f aca="false">Sens!G1636+Sens!G1637</f>
        <v>211.2875117873</v>
      </c>
      <c r="H1639" s="6" t="n">
        <f aca="false">Sens!H1636+Sens!H1637</f>
        <v>270.8579457489</v>
      </c>
      <c r="I1639" s="6" t="n">
        <f aca="false">Sens!I1636+Sens!I1637</f>
        <v>324.674139801175</v>
      </c>
      <c r="J1639" s="6" t="n">
        <f aca="false">Sens!J1636+Sens!J1637</f>
        <v>365.626162004581</v>
      </c>
      <c r="K1639" s="6" t="n">
        <f aca="false">Sens!K1636+Sens!K1637</f>
        <v>394.281460658973</v>
      </c>
    </row>
    <row r="1640" customFormat="false" ht="17.15" hidden="false" customHeight="false" outlineLevel="0" collapsed="false">
      <c r="A1640" s="0" t="s">
        <v>1030</v>
      </c>
      <c r="B1640" s="1" t="s">
        <v>613</v>
      </c>
      <c r="C1640" s="30" t="n">
        <f aca="false">cop_s24</f>
        <v>1</v>
      </c>
      <c r="D1640" s="30" t="n">
        <f aca="false">cop_s25</f>
        <v>5</v>
      </c>
      <c r="E1640" s="30" t="n">
        <f aca="false">cop_s26</f>
        <v>30</v>
      </c>
      <c r="F1640" s="30" t="n">
        <f aca="false">Sens!E1640+cop_add_B</f>
        <v>50</v>
      </c>
      <c r="G1640" s="30" t="n">
        <f aca="false">Sens!F1640+cop_add_B</f>
        <v>70</v>
      </c>
      <c r="H1640" s="30" t="n">
        <f aca="false">Sens!G1640+cop_add_B</f>
        <v>90</v>
      </c>
      <c r="I1640" s="30" t="n">
        <f aca="false">Sens!H1640+cop_add_B*cop_tail</f>
        <v>100</v>
      </c>
      <c r="J1640" s="30" t="n">
        <f aca="false">Sens!I1640+cop_add_B*cop_tail</f>
        <v>110</v>
      </c>
      <c r="K1640" s="30" t="n">
        <f aca="false">Sens!J1640+cop_add_B*cop_tail</f>
        <v>120</v>
      </c>
      <c r="L1640" s="12" t="s">
        <v>1031</v>
      </c>
    </row>
    <row r="1641" customFormat="false" ht="17.15" hidden="false" customHeight="false" outlineLevel="0" collapsed="false">
      <c r="A1641" s="0" t="s">
        <v>1032</v>
      </c>
      <c r="B1641" s="0" t="s">
        <v>98</v>
      </c>
      <c r="D1641" s="6" t="n">
        <f aca="false">(Sens!C1640+Sens!D1640)/2*cop_px*12/1000</f>
        <v>0.9</v>
      </c>
      <c r="E1641" s="6" t="n">
        <f aca="false">(Sens!D1640+Sens!E1640)/2*cop_px*12/1000</f>
        <v>5.25</v>
      </c>
      <c r="F1641" s="6" t="n">
        <f aca="false">(Sens!E1640+Sens!F1640)/2*cop_px*12/1000</f>
        <v>12</v>
      </c>
      <c r="G1641" s="6" t="n">
        <f aca="false">(Sens!F1640+Sens!G1640)/2*cop_px*12/1000</f>
        <v>18</v>
      </c>
      <c r="H1641" s="6" t="n">
        <f aca="false">(Sens!G1640+Sens!H1640)/2*cop_px*12/1000</f>
        <v>24</v>
      </c>
      <c r="I1641" s="6" t="n">
        <f aca="false">(Sens!H1640+Sens!I1640)/2*cop_px*12/1000</f>
        <v>28.5</v>
      </c>
      <c r="J1641" s="6" t="n">
        <f aca="false">(Sens!I1640+Sens!J1640)/2*cop_px*12/1000</f>
        <v>31.5</v>
      </c>
      <c r="K1641" s="6" t="n">
        <f aca="false">(Sens!J1640+Sens!K1640)/2*cop_px*12/1000</f>
        <v>34.5</v>
      </c>
      <c r="L1641" s="1" t="s">
        <v>1033</v>
      </c>
    </row>
    <row r="1642" customFormat="false" ht="17.15" hidden="false" customHeight="false" outlineLevel="0" collapsed="false">
      <c r="A1642" s="0" t="s">
        <v>1034</v>
      </c>
      <c r="B1642" s="0" t="s">
        <v>98</v>
      </c>
      <c r="D1642" s="6" t="n">
        <f aca="false">Q!L7-Sens!D1641</f>
        <v>83.705</v>
      </c>
      <c r="E1642" s="6" t="n">
        <f aca="false">Q!M7-Sens!E1641</f>
        <v>95.049</v>
      </c>
      <c r="F1642" s="6" t="n">
        <f aca="false">Q!$I$7+(Sens!E1642*(1+Sens!F1643)+Sens!F1641)*(1-Q!$E$7/Q!M7)-Sens!F1641</f>
        <v>106.584003697747</v>
      </c>
      <c r="G1642" s="6" t="n">
        <f aca="false">Sens!F1642*(1+Sens!G1643)</f>
        <v>118.700726545688</v>
      </c>
      <c r="H1642" s="6" t="n">
        <f aca="false">Sens!G1642*(1+Sens!H1643)</f>
        <v>130.898624783666</v>
      </c>
      <c r="I1642" s="6" t="n">
        <f aca="false">Sens!H1642*(1+Sens!I1643)</f>
        <v>142.920510030657</v>
      </c>
      <c r="J1642" s="6" t="n">
        <f aca="false">Sens!I1642*(1+Sens!J1643)</f>
        <v>154.485722618572</v>
      </c>
      <c r="K1642" s="6" t="n">
        <f aca="false">Sens!J1642*(1+Sens!K1643)</f>
        <v>165.299723201872</v>
      </c>
      <c r="L1642" s="12" t="s">
        <v>1035</v>
      </c>
    </row>
    <row r="1643" customFormat="false" ht="15" hidden="false" customHeight="false" outlineLevel="0" collapsed="false">
      <c r="A1643" s="1" t="s">
        <v>1028</v>
      </c>
      <c r="B1643" s="0" t="s">
        <v>168</v>
      </c>
      <c r="E1643" s="7" t="n">
        <f aca="false">Sens!E1642/Sens!D1642-1</f>
        <v>0.135523564900544</v>
      </c>
      <c r="F1643" s="7" t="n">
        <f aca="false">Sens!$E$1643+(glt_m365b-Sens!$E$1643)*MIN(1,(Sens!F1595-base_fy)/n_conv)</f>
        <v>0.124602970750453</v>
      </c>
      <c r="G1643" s="7" t="n">
        <f aca="false">Sens!$E$1643+(glt_m365b-Sens!$E$1643)*MIN(1,(Sens!G1595-base_fy)/n_conv)</f>
        <v>0.113682376600363</v>
      </c>
      <c r="H1643" s="7" t="n">
        <f aca="false">Sens!$E$1643+(glt_m365b-Sens!$E$1643)*MIN(1,(Sens!H1595-base_fy)/n_conv)</f>
        <v>0.102761782450272</v>
      </c>
      <c r="I1643" s="7" t="n">
        <f aca="false">Sens!$E$1643+(glt_m365b-Sens!$E$1643)*MIN(1,(Sens!I1595-base_fy)/n_conv)</f>
        <v>0.0918411883001813</v>
      </c>
      <c r="J1643" s="7" t="n">
        <f aca="false">Sens!$E$1643+(glt_m365b-Sens!$E$1643)*MIN(1,(Sens!J1595-base_fy)/n_conv)</f>
        <v>0.0809205941500906</v>
      </c>
      <c r="K1643" s="7" t="n">
        <f aca="false">Sens!$E$1643+(glt_m365b-Sens!$E$1643)*MIN(1,(Sens!K1595-base_fy)/n_conv)</f>
        <v>0.07</v>
      </c>
    </row>
    <row r="1644" customFormat="false" ht="15" hidden="false" customHeight="false" outlineLevel="0" collapsed="false">
      <c r="A1644" s="0" t="s">
        <v>1036</v>
      </c>
      <c r="B1644" s="0" t="s">
        <v>98</v>
      </c>
      <c r="D1644" s="6" t="n">
        <f aca="false">Sens!D1642+Sens!D1641</f>
        <v>84.605</v>
      </c>
      <c r="E1644" s="6" t="n">
        <f aca="false">Sens!E1642+Sens!E1641</f>
        <v>100.299</v>
      </c>
      <c r="F1644" s="6" t="n">
        <f aca="false">Sens!F1642+Sens!F1641</f>
        <v>118.584003697747</v>
      </c>
      <c r="G1644" s="6" t="n">
        <f aca="false">Sens!G1642+Sens!G1641</f>
        <v>136.700726545688</v>
      </c>
      <c r="H1644" s="6" t="n">
        <f aca="false">Sens!H1642+Sens!H1641</f>
        <v>154.898624783666</v>
      </c>
      <c r="I1644" s="6" t="n">
        <f aca="false">Sens!I1642+Sens!I1641</f>
        <v>171.420510030657</v>
      </c>
      <c r="J1644" s="6" t="n">
        <f aca="false">Sens!J1642+Sens!J1641</f>
        <v>185.985722618572</v>
      </c>
      <c r="K1644" s="6" t="n">
        <f aca="false">Sens!K1642+Sens!K1641</f>
        <v>199.799723201872</v>
      </c>
    </row>
    <row r="1645" customFormat="false" ht="17.15" hidden="false" customHeight="false" outlineLevel="0" collapsed="false">
      <c r="A1645" s="0" t="s">
        <v>1037</v>
      </c>
      <c r="B1645" s="0" t="s">
        <v>98</v>
      </c>
      <c r="D1645" s="6" t="n">
        <f aca="false">Q!L8</f>
        <v>35.391</v>
      </c>
      <c r="E1645" s="6" t="n">
        <f aca="false">Q!M8</f>
        <v>37.285</v>
      </c>
      <c r="F1645" s="6" t="n">
        <f aca="false">Q!$I$8+(Q!M8-Q!$E$8)*(1+Sens!F1646)</f>
        <v>38.3851437782675</v>
      </c>
      <c r="G1645" s="6" t="n">
        <f aca="false">Sens!F1645*(1+Sens!G1646)</f>
        <v>40.0105353288615</v>
      </c>
      <c r="H1645" s="6" t="n">
        <f aca="false">Sens!G1645*(1+Sens!H1646)</f>
        <v>41.4812512033683</v>
      </c>
      <c r="I1645" s="6" t="n">
        <f aca="false">Sens!H1645*(1+Sens!I1646)</f>
        <v>42.7743107216329</v>
      </c>
      <c r="J1645" s="6" t="n">
        <f aca="false">Sens!I1645*(1+Sens!J1646)</f>
        <v>43.8687373064601</v>
      </c>
      <c r="K1645" s="6" t="n">
        <f aca="false">Sens!J1645*(1+Sens!K1646)</f>
        <v>44.7461120525893</v>
      </c>
      <c r="L1645" s="12" t="s">
        <v>1038</v>
      </c>
    </row>
    <row r="1646" customFormat="false" ht="15" hidden="false" customHeight="false" outlineLevel="0" collapsed="false">
      <c r="A1646" s="1" t="s">
        <v>1028</v>
      </c>
      <c r="B1646" s="0" t="s">
        <v>168</v>
      </c>
      <c r="E1646" s="7" t="n">
        <f aca="false">Sens!E1645/Sens!D1645-1</f>
        <v>0.0535164307309768</v>
      </c>
      <c r="F1646" s="7" t="n">
        <f aca="false">Sens!$E$1646+(glt_lic-Sens!$E$1646)*MIN(1,(Sens!F1595-base_fy)/n_conv)</f>
        <v>0.0479303589424807</v>
      </c>
      <c r="G1646" s="7" t="n">
        <f aca="false">Sens!$E$1646+(glt_lic-Sens!$E$1646)*MIN(1,(Sens!G1595-base_fy)/n_conv)</f>
        <v>0.0423442871539845</v>
      </c>
      <c r="H1646" s="7" t="n">
        <f aca="false">Sens!$E$1646+(glt_lic-Sens!$E$1646)*MIN(1,(Sens!H1595-base_fy)/n_conv)</f>
        <v>0.0367582153654884</v>
      </c>
      <c r="I1646" s="7" t="n">
        <f aca="false">Sens!$E$1646+(glt_lic-Sens!$E$1646)*MIN(1,(Sens!I1595-base_fy)/n_conv)</f>
        <v>0.0311721435769923</v>
      </c>
      <c r="J1646" s="7" t="n">
        <f aca="false">Sens!$E$1646+(glt_lic-Sens!$E$1646)*MIN(1,(Sens!J1595-base_fy)/n_conv)</f>
        <v>0.0255860717884961</v>
      </c>
      <c r="K1646" s="7" t="n">
        <f aca="false">Sens!$E$1646+(glt_lic-Sens!$E$1646)*MIN(1,(Sens!K1595-base_fy)/n_conv)</f>
        <v>0.02</v>
      </c>
    </row>
    <row r="1647" customFormat="false" ht="17.15" hidden="false" customHeight="false" outlineLevel="0" collapsed="false">
      <c r="A1647" s="0" t="s">
        <v>1039</v>
      </c>
      <c r="B1647" s="0" t="s">
        <v>98</v>
      </c>
      <c r="D1647" s="6" t="n">
        <f aca="false">Q!L9</f>
        <v>18.417</v>
      </c>
      <c r="E1647" s="6" t="n">
        <f aca="false">Q!M9</f>
        <v>20.345</v>
      </c>
      <c r="F1647" s="6" t="n">
        <f aca="false">Q!$I$9+(Q!M9-Q!$E$9)*(1+Sens!F1648)</f>
        <v>22.3161797133988</v>
      </c>
      <c r="G1647" s="6" t="n">
        <f aca="false">Sens!F1647*(1+Sens!G1648)</f>
        <v>24.3943499673233</v>
      </c>
      <c r="H1647" s="6" t="n">
        <f aca="false">Sens!G1647*(1+Sens!H1648)</f>
        <v>26.5250243109019</v>
      </c>
      <c r="I1647" s="6" t="n">
        <f aca="false">Sens!H1647*(1+Sens!I1648)</f>
        <v>28.6884573538181</v>
      </c>
      <c r="J1647" s="6" t="n">
        <f aca="false">Sens!I1647*(1+Sens!J1648)</f>
        <v>30.8624968052127</v>
      </c>
      <c r="K1647" s="6" t="n">
        <f aca="false">Sens!J1647*(1+Sens!K1648)</f>
        <v>33.0228715815776</v>
      </c>
      <c r="L1647" s="12" t="s">
        <v>1038</v>
      </c>
    </row>
    <row r="1648" customFormat="false" ht="15" hidden="false" customHeight="false" outlineLevel="0" collapsed="false">
      <c r="A1648" s="1" t="s">
        <v>1028</v>
      </c>
      <c r="B1648" s="0" t="s">
        <v>168</v>
      </c>
      <c r="E1648" s="7" t="n">
        <f aca="false">Sens!E1647/Sens!D1647-1</f>
        <v>0.104685888038225</v>
      </c>
      <c r="F1648" s="7" t="n">
        <f aca="false">Sens!$E$1648+(glt_ind-Sens!$E$1648)*MIN(1,(Sens!F1595-base_fy)/n_conv)</f>
        <v>0.0989049066985211</v>
      </c>
      <c r="G1648" s="7" t="n">
        <f aca="false">Sens!$E$1648+(glt_ind-Sens!$E$1648)*MIN(1,(Sens!G1595-base_fy)/n_conv)</f>
        <v>0.0931239253588169</v>
      </c>
      <c r="H1648" s="7" t="n">
        <f aca="false">Sens!$E$1648+(glt_ind-Sens!$E$1648)*MIN(1,(Sens!H1595-base_fy)/n_conv)</f>
        <v>0.0873429440191127</v>
      </c>
      <c r="I1648" s="7" t="n">
        <f aca="false">Sens!$E$1648+(glt_ind-Sens!$E$1648)*MIN(1,(Sens!I1595-base_fy)/n_conv)</f>
        <v>0.0815619626794085</v>
      </c>
      <c r="J1648" s="7" t="n">
        <f aca="false">Sens!$E$1648+(glt_ind-Sens!$E$1648)*MIN(1,(Sens!J1595-base_fy)/n_conv)</f>
        <v>0.0757809813397042</v>
      </c>
      <c r="K1648" s="7" t="n">
        <f aca="false">Sens!$E$1648+(glt_ind-Sens!$E$1648)*MIN(1,(Sens!K1595-base_fy)/n_conv)</f>
        <v>0.07</v>
      </c>
    </row>
    <row r="1649" customFormat="false" ht="17.15" hidden="false" customHeight="false" outlineLevel="0" collapsed="false">
      <c r="A1649" s="0" t="s">
        <v>1040</v>
      </c>
      <c r="B1649" s="0" t="s">
        <v>98</v>
      </c>
      <c r="D1649" s="6" t="n">
        <f aca="false">Q!L10</f>
        <v>7.76</v>
      </c>
      <c r="E1649" s="6" t="n">
        <f aca="false">Q!M10</f>
        <v>8.26</v>
      </c>
      <c r="F1649" s="6" t="n">
        <f aca="false">Q!$I$10+(Q!M10-Q!$E$10)*(1+Sens!F1650)</f>
        <v>8.75372082474227</v>
      </c>
      <c r="G1649" s="6" t="n">
        <f aca="false">Sens!F1649*(1+Sens!G1650)</f>
        <v>9.33399324642364</v>
      </c>
      <c r="H1649" s="6" t="n">
        <f aca="false">Sens!G1649*(1+Sens!H1650)</f>
        <v>9.96139155535851</v>
      </c>
      <c r="I1649" s="6" t="n">
        <f aca="false">Sens!H1649*(1+Sens!I1650)</f>
        <v>10.6402039077391</v>
      </c>
      <c r="J1649" s="6" t="n">
        <f aca="false">Sens!I1649*(1+Sens!J1650)</f>
        <v>11.3751458271397</v>
      </c>
      <c r="K1649" s="6" t="n">
        <f aca="false">Sens!J1649*(1+Sens!K1650)</f>
        <v>12.1714060350394</v>
      </c>
      <c r="L1649" s="12" t="s">
        <v>1038</v>
      </c>
    </row>
    <row r="1650" customFormat="false" ht="15" hidden="false" customHeight="false" outlineLevel="0" collapsed="false">
      <c r="A1650" s="1" t="s">
        <v>1028</v>
      </c>
      <c r="B1650" s="0" t="s">
        <v>168</v>
      </c>
      <c r="E1650" s="7" t="n">
        <f aca="false">Sens!E1649/Sens!D1649-1</f>
        <v>0.0644329896907216</v>
      </c>
      <c r="F1650" s="7" t="n">
        <f aca="false">Sens!$E$1650+(glt_fro-Sens!$E$1650)*MIN(1,(Sens!F1595-base_fy)/n_conv)</f>
        <v>0.065360824742268</v>
      </c>
      <c r="G1650" s="7" t="n">
        <f aca="false">Sens!$E$1650+(glt_fro-Sens!$E$1650)*MIN(1,(Sens!G1595-base_fy)/n_conv)</f>
        <v>0.0662886597938144</v>
      </c>
      <c r="H1650" s="7" t="n">
        <f aca="false">Sens!$E$1650+(glt_fro-Sens!$E$1650)*MIN(1,(Sens!H1595-base_fy)/n_conv)</f>
        <v>0.0672164948453608</v>
      </c>
      <c r="I1650" s="7" t="n">
        <f aca="false">Sens!$E$1650+(glt_fro-Sens!$E$1650)*MIN(1,(Sens!I1595-base_fy)/n_conv)</f>
        <v>0.0681443298969072</v>
      </c>
      <c r="J1650" s="7" t="n">
        <f aca="false">Sens!$E$1650+(glt_fro-Sens!$E$1650)*MIN(1,(Sens!J1595-base_fy)/n_conv)</f>
        <v>0.0690721649484536</v>
      </c>
      <c r="K1650" s="7" t="n">
        <f aca="false">Sens!$E$1650+(glt_fro-Sens!$E$1650)*MIN(1,(Sens!K1595-base_fy)/n_conv)</f>
        <v>0.07</v>
      </c>
    </row>
    <row r="1651" customFormat="false" ht="15" hidden="false" customHeight="false" outlineLevel="0" collapsed="false">
      <c r="A1651" s="0" t="s">
        <v>856</v>
      </c>
      <c r="B1651" s="0" t="s">
        <v>98</v>
      </c>
      <c r="D1651" s="6" t="n">
        <f aca="false">Sens!D1639+Sens!D1644+Sens!D1645+Sens!D1647+Sens!D1649</f>
        <v>218.783</v>
      </c>
      <c r="E1651" s="6" t="n">
        <f aca="false">Sens!E1639+Sens!E1644+Sens!E1645+Sens!E1647+Sens!E1649</f>
        <v>268.127</v>
      </c>
      <c r="F1651" s="6" t="n">
        <f aca="false">Sens!F1639+Sens!F1644+Sens!F1645+Sens!F1647+Sens!F1649</f>
        <v>341.234734231149</v>
      </c>
      <c r="G1651" s="6" t="n">
        <f aca="false">Sens!G1639+Sens!G1644+Sens!G1645+Sens!G1647+Sens!G1649</f>
        <v>421.727116875597</v>
      </c>
      <c r="H1651" s="6" t="n">
        <f aca="false">Sens!H1639+Sens!H1644+Sens!H1645+Sens!H1647+Sens!H1649</f>
        <v>503.724237602194</v>
      </c>
      <c r="I1651" s="6" t="n">
        <f aca="false">Sens!I1639+Sens!I1644+Sens!I1645+Sens!I1647+Sens!I1649</f>
        <v>578.197621815023</v>
      </c>
      <c r="J1651" s="6" t="n">
        <f aca="false">Sens!J1639+Sens!J1644+Sens!J1645+Sens!J1647+Sens!J1649</f>
        <v>637.718264561966</v>
      </c>
      <c r="K1651" s="6" t="n">
        <f aca="false">Sens!K1639+Sens!K1644+Sens!K1645+Sens!K1647+Sens!K1649</f>
        <v>684.021573530051</v>
      </c>
    </row>
    <row r="1652" customFormat="false" ht="17.15" hidden="false" customHeight="false" outlineLevel="0" collapsed="false">
      <c r="A1652" s="0" t="s">
        <v>1041</v>
      </c>
      <c r="B1652" s="0" t="s">
        <v>98</v>
      </c>
      <c r="D1652" s="6" t="n">
        <f aca="false">Q!L13</f>
        <v>22.171</v>
      </c>
      <c r="E1652" s="6" t="n">
        <f aca="false">Q!M13</f>
        <v>24.835</v>
      </c>
      <c r="F1652" s="6" t="n">
        <f aca="false">Q!$I$13+(Q!M13-Q!$E$13)*(1+Sens!F1653)</f>
        <v>27.5591895660247</v>
      </c>
      <c r="G1652" s="6" t="n">
        <f aca="false">Sens!F1652*(1+Sens!G1653)</f>
        <v>30.4098563144583</v>
      </c>
      <c r="H1652" s="6" t="n">
        <f aca="false">Sens!G1652*(1+Sens!H1653)</f>
        <v>33.3011792571777</v>
      </c>
      <c r="I1652" s="6" t="n">
        <f aca="false">Sens!H1652*(1+Sens!I1653)</f>
        <v>36.189023797112</v>
      </c>
      <c r="J1652" s="6" t="n">
        <f aca="false">Sens!I1652*(1+Sens!J1653)</f>
        <v>39.0247773769199</v>
      </c>
      <c r="K1652" s="6" t="n">
        <f aca="false">Sens!J1652*(1+Sens!K1653)</f>
        <v>41.7565117933043</v>
      </c>
      <c r="L1652" s="12" t="s">
        <v>1038</v>
      </c>
    </row>
    <row r="1653" customFormat="false" ht="15" hidden="false" customHeight="false" outlineLevel="0" collapsed="false">
      <c r="A1653" s="1" t="s">
        <v>1028</v>
      </c>
      <c r="B1653" s="0" t="s">
        <v>168</v>
      </c>
      <c r="E1653" s="7" t="n">
        <f aca="false">Sens!E1652/Sens!D1652-1</f>
        <v>0.120156961796942</v>
      </c>
      <c r="F1653" s="7" t="n">
        <f aca="false">Sens!$E$1653+(glt_srch-Sens!$E$1653)*MIN(1,(Sens!F1595-base_fy)/n_conv)</f>
        <v>0.111797468164118</v>
      </c>
      <c r="G1653" s="7" t="n">
        <f aca="false">Sens!$E$1653+(glt_srch-Sens!$E$1653)*MIN(1,(Sens!G1595-base_fy)/n_conv)</f>
        <v>0.103437974531295</v>
      </c>
      <c r="H1653" s="7" t="n">
        <f aca="false">Sens!$E$1653+(glt_srch-Sens!$E$1653)*MIN(1,(Sens!H1595-base_fy)/n_conv)</f>
        <v>0.095078480898471</v>
      </c>
      <c r="I1653" s="7" t="n">
        <f aca="false">Sens!$E$1653+(glt_srch-Sens!$E$1653)*MIN(1,(Sens!I1595-base_fy)/n_conv)</f>
        <v>0.0867189872656474</v>
      </c>
      <c r="J1653" s="7" t="n">
        <f aca="false">Sens!$E$1653+(glt_srch-Sens!$E$1653)*MIN(1,(Sens!J1595-base_fy)/n_conv)</f>
        <v>0.0783594936328237</v>
      </c>
      <c r="K1653" s="7" t="n">
        <f aca="false">Sens!$E$1653+(glt_srch-Sens!$E$1653)*MIN(1,(Sens!K1595-base_fy)/n_conv)</f>
        <v>0.07</v>
      </c>
    </row>
    <row r="1654" customFormat="false" ht="17.15" hidden="false" customHeight="false" outlineLevel="0" collapsed="false">
      <c r="A1654" s="0" t="s">
        <v>1042</v>
      </c>
      <c r="B1654" s="0" t="s">
        <v>98</v>
      </c>
      <c r="D1654" s="6" t="n">
        <f aca="false">Q!L14</f>
        <v>23.455</v>
      </c>
      <c r="E1654" s="6" t="n">
        <f aca="false">Q!M14</f>
        <v>21.79</v>
      </c>
      <c r="F1654" s="6" t="n">
        <f aca="false">Q!$I$14+(Q!M14-Q!$E$14)*(1+Sens!F1655)</f>
        <v>20.7520981041711</v>
      </c>
      <c r="G1654" s="6" t="n">
        <f aca="false">Sens!F1654*(1+Sens!G1655)</f>
        <v>19.9083593495882</v>
      </c>
      <c r="H1654" s="6" t="n">
        <f aca="false">Sens!G1654*(1+Sens!H1655)</f>
        <v>19.4008256265831</v>
      </c>
      <c r="I1654" s="6" t="n">
        <f aca="false">Sens!H1654*(1+Sens!I1655)</f>
        <v>19.200434522122</v>
      </c>
      <c r="J1654" s="6" t="n">
        <f aca="false">Sens!I1654*(1+Sens!J1655)</f>
        <v>19.2932782348507</v>
      </c>
      <c r="K1654" s="6" t="n">
        <f aca="false">Sens!J1654*(1+Sens!K1655)</f>
        <v>19.6791437995477</v>
      </c>
      <c r="L1654" s="12" t="s">
        <v>1038</v>
      </c>
    </row>
    <row r="1655" customFormat="false" ht="15" hidden="false" customHeight="false" outlineLevel="0" collapsed="false">
      <c r="A1655" s="1" t="s">
        <v>1028</v>
      </c>
      <c r="B1655" s="0" t="s">
        <v>168</v>
      </c>
      <c r="E1655" s="7" t="n">
        <f aca="false">Sens!E1654/Sens!D1654-1</f>
        <v>-0.0709869963760392</v>
      </c>
      <c r="F1655" s="7" t="n">
        <f aca="false">Sens!$E$1655+(glt_xbox-Sens!$E$1655)*MIN(1,(Sens!F1595-base_fy)/n_conv)</f>
        <v>-0.0558224969800327</v>
      </c>
      <c r="G1655" s="7" t="n">
        <f aca="false">Sens!$E$1655+(glt_xbox-Sens!$E$1655)*MIN(1,(Sens!G1595-base_fy)/n_conv)</f>
        <v>-0.0406579975840262</v>
      </c>
      <c r="H1655" s="7" t="n">
        <f aca="false">Sens!$E$1655+(glt_xbox-Sens!$E$1655)*MIN(1,(Sens!H1595-base_fy)/n_conv)</f>
        <v>-0.0254934981880196</v>
      </c>
      <c r="I1655" s="7" t="n">
        <f aca="false">Sens!$E$1655+(glt_xbox-Sens!$E$1655)*MIN(1,(Sens!I1595-base_fy)/n_conv)</f>
        <v>-0.0103289987920131</v>
      </c>
      <c r="J1655" s="7" t="n">
        <f aca="false">Sens!$E$1655+(glt_xbox-Sens!$E$1655)*MIN(1,(Sens!J1595-base_fy)/n_conv)</f>
        <v>0.00483550060399347</v>
      </c>
      <c r="K1655" s="7" t="n">
        <f aca="false">Sens!$E$1655+(glt_xbox-Sens!$E$1655)*MIN(1,(Sens!K1595-base_fy)/n_conv)</f>
        <v>0.02</v>
      </c>
    </row>
    <row r="1656" customFormat="false" ht="17.15" hidden="false" customHeight="false" outlineLevel="0" collapsed="false">
      <c r="A1656" s="0" t="s">
        <v>1043</v>
      </c>
      <c r="B1656" s="0" t="s">
        <v>98</v>
      </c>
      <c r="D1656" s="6" t="n">
        <f aca="false">Q!L15</f>
        <v>17.315</v>
      </c>
      <c r="E1656" s="6" t="n">
        <f aca="false">Q!M15</f>
        <v>17.087</v>
      </c>
      <c r="F1656" s="6" t="n">
        <f aca="false">Q!$I$15+(Q!M15-Q!$E$15)*(1+Sens!F1657)</f>
        <v>15.9912273250553</v>
      </c>
      <c r="G1656" s="6" t="n">
        <f aca="false">Sens!F1656*(1+Sens!G1657)</f>
        <v>15.9574562664827</v>
      </c>
      <c r="H1656" s="6" t="n">
        <f aca="false">Sens!G1656*(1+Sens!H1657)</f>
        <v>16.0119687434196</v>
      </c>
      <c r="I1656" s="6" t="n">
        <f aca="false">Sens!H1656*(1+Sens!I1657)</f>
        <v>16.1551810001948</v>
      </c>
      <c r="J1656" s="6" t="n">
        <f aca="false">Sens!I1656*(1+Sens!J1657)</f>
        <v>16.3889793892005</v>
      </c>
      <c r="K1656" s="6" t="n">
        <f aca="false">Sens!J1656*(1+Sens!K1657)</f>
        <v>16.7167589769845</v>
      </c>
      <c r="L1656" s="12" t="s">
        <v>1038</v>
      </c>
    </row>
    <row r="1657" customFormat="false" ht="15" hidden="false" customHeight="false" outlineLevel="0" collapsed="false">
      <c r="A1657" s="1" t="s">
        <v>1028</v>
      </c>
      <c r="B1657" s="0" t="s">
        <v>168</v>
      </c>
      <c r="E1657" s="7" t="n">
        <f aca="false">Sens!E1656/Sens!D1656-1</f>
        <v>-0.0131677736066995</v>
      </c>
      <c r="F1657" s="7" t="n">
        <f aca="false">Sens!$E$1657+(glt_win-Sens!$E$1657)*MIN(1,(Sens!F1595-base_fy)/n_conv)</f>
        <v>-0.00763981133891627</v>
      </c>
      <c r="G1657" s="7" t="n">
        <f aca="false">Sens!$E$1657+(glt_win-Sens!$E$1657)*MIN(1,(Sens!G1595-base_fy)/n_conv)</f>
        <v>-0.00211184907113301</v>
      </c>
      <c r="H1657" s="7" t="n">
        <f aca="false">Sens!$E$1657+(glt_win-Sens!$E$1657)*MIN(1,(Sens!H1595-base_fy)/n_conv)</f>
        <v>0.00341611319665024</v>
      </c>
      <c r="I1657" s="7" t="n">
        <f aca="false">Sens!$E$1657+(glt_win-Sens!$E$1657)*MIN(1,(Sens!I1595-base_fy)/n_conv)</f>
        <v>0.00894407546443349</v>
      </c>
      <c r="J1657" s="7" t="n">
        <f aca="false">Sens!$E$1657+(glt_win-Sens!$E$1657)*MIN(1,(Sens!J1595-base_fy)/n_conv)</f>
        <v>0.0144720377322168</v>
      </c>
      <c r="K1657" s="7" t="n">
        <f aca="false">Sens!$E$1657+(glt_win-Sens!$E$1657)*MIN(1,(Sens!K1595-base_fy)/n_conv)</f>
        <v>0.02</v>
      </c>
    </row>
    <row r="1658" customFormat="false" ht="15" hidden="false" customHeight="false" outlineLevel="0" collapsed="false">
      <c r="A1658" s="0" t="s">
        <v>870</v>
      </c>
      <c r="B1658" s="0" t="s">
        <v>98</v>
      </c>
      <c r="D1658" s="6" t="n">
        <f aca="false">Sens!D1652+Sens!D1654+Sens!D1656</f>
        <v>62.941</v>
      </c>
      <c r="E1658" s="6" t="n">
        <f aca="false">Sens!E1652+Sens!E1654+Sens!E1656</f>
        <v>63.712</v>
      </c>
      <c r="F1658" s="6" t="n">
        <f aca="false">Sens!F1652+Sens!F1654+Sens!F1656</f>
        <v>64.3025149952511</v>
      </c>
      <c r="G1658" s="6" t="n">
        <f aca="false">Sens!G1652+Sens!G1654+Sens!G1656</f>
        <v>66.2756719305292</v>
      </c>
      <c r="H1658" s="6" t="n">
        <f aca="false">Sens!H1652+Sens!H1654+Sens!H1656</f>
        <v>68.7139736271804</v>
      </c>
      <c r="I1658" s="6" t="n">
        <f aca="false">Sens!I1652+Sens!I1654+Sens!I1656</f>
        <v>71.5446393194289</v>
      </c>
      <c r="J1658" s="6" t="n">
        <f aca="false">Sens!J1652+Sens!J1654+Sens!J1656</f>
        <v>74.707035000971</v>
      </c>
      <c r="K1658" s="6" t="n">
        <f aca="false">Sens!K1652+Sens!K1654+Sens!K1656</f>
        <v>78.1524145698365</v>
      </c>
    </row>
    <row r="1659" customFormat="false" ht="15" hidden="false" customHeight="false" outlineLevel="0" collapsed="false">
      <c r="A1659" s="1" t="s">
        <v>1044</v>
      </c>
      <c r="B1659" s="0" t="s">
        <v>98</v>
      </c>
      <c r="D1659" s="6" t="n">
        <f aca="false">Sens!D1651+Sens!D1658</f>
        <v>281.724</v>
      </c>
      <c r="E1659" s="6" t="n">
        <f aca="false">Sens!E1651+Sens!E1658</f>
        <v>331.839</v>
      </c>
      <c r="F1659" s="6" t="n">
        <f aca="false">Sens!F1651+Sens!F1658</f>
        <v>405.5372492264</v>
      </c>
      <c r="G1659" s="6" t="n">
        <f aca="false">Sens!G1651+Sens!G1658</f>
        <v>488.002788806126</v>
      </c>
      <c r="H1659" s="6" t="n">
        <f aca="false">Sens!H1651+Sens!H1658</f>
        <v>572.438211229374</v>
      </c>
      <c r="I1659" s="6" t="n">
        <f aca="false">Sens!I1651+Sens!I1658</f>
        <v>649.742261134451</v>
      </c>
      <c r="J1659" s="6" t="n">
        <f aca="false">Sens!J1651+Sens!J1658</f>
        <v>712.425299562937</v>
      </c>
      <c r="K1659" s="6" t="n">
        <f aca="false">Sens!K1651+Sens!K1658</f>
        <v>762.173988099887</v>
      </c>
    </row>
    <row r="1660" customFormat="false" ht="15" hidden="false" customHeight="false" outlineLevel="0" collapsed="false">
      <c r="A1660" s="26" t="s">
        <v>1045</v>
      </c>
      <c r="B1660" s="31" t="s">
        <v>98</v>
      </c>
      <c r="C1660" s="31"/>
      <c r="D1660" s="27" t="n">
        <f aca="false">(Sens!D1639+Sens!D1644+Sens!D1645+Sens!D1647+Sens!D1649-Sens!D1651)+(Sens!D1652+Sens!D1654+Sens!D1656-Sens!D1658)+(Sens!D1651-Q!L5)+(Sens!D1658-Q!L12)+(Sens!D1639-Q!L6)+(Sens!D1644-Q!L7)</f>
        <v>0</v>
      </c>
      <c r="E1660" s="27" t="n">
        <f aca="false">(Sens!E1639+Sens!E1644+Sens!E1645+Sens!E1647+Sens!E1649-Sens!E1651)+(Sens!E1652+Sens!E1654+Sens!E1656-Sens!E1658)+(Sens!E1651-Q!M5)+(Sens!E1658-Q!M12)+(Sens!E1639-Q!M6)+(Sens!E1644-Q!M7)</f>
        <v>0</v>
      </c>
      <c r="F1660" s="27" t="n">
        <f aca="false">(Sens!F1639+Sens!F1644+Sens!F1645+Sens!F1647+Sens!F1649-Sens!F1651)+(Sens!F1652+Sens!F1654+Sens!F1656-Sens!F1658)</f>
        <v>0</v>
      </c>
      <c r="G1660" s="27" t="n">
        <f aca="false">(Sens!G1639+Sens!G1644+Sens!G1645+Sens!G1647+Sens!G1649-Sens!G1651)+(Sens!G1652+Sens!G1654+Sens!G1656-Sens!G1658)</f>
        <v>0</v>
      </c>
      <c r="H1660" s="27" t="n">
        <f aca="false">(Sens!H1639+Sens!H1644+Sens!H1645+Sens!H1647+Sens!H1649-Sens!H1651)+(Sens!H1652+Sens!H1654+Sens!H1656-Sens!H1658)</f>
        <v>0</v>
      </c>
      <c r="I1660" s="27" t="n">
        <f aca="false">(Sens!I1639+Sens!I1644+Sens!I1645+Sens!I1647+Sens!I1649-Sens!I1651)+(Sens!I1652+Sens!I1654+Sens!I1656-Sens!I1658)</f>
        <v>0</v>
      </c>
      <c r="J1660" s="27" t="n">
        <f aca="false">(Sens!J1639+Sens!J1644+Sens!J1645+Sens!J1647+Sens!J1649-Sens!J1651)+(Sens!J1652+Sens!J1654+Sens!J1656-Sens!J1658)</f>
        <v>0</v>
      </c>
      <c r="K1660" s="27" t="n">
        <f aca="false">(Sens!K1639+Sens!K1644+Sens!K1645+Sens!K1647+Sens!K1649-Sens!K1651)+(Sens!K1652+Sens!K1654+Sens!K1656-Sens!K1658)</f>
        <v>0</v>
      </c>
    </row>
    <row r="1661" customFormat="false" ht="17.15" hidden="false" customHeight="false" outlineLevel="0" collapsed="false">
      <c r="A1661" s="3" t="s">
        <v>1652</v>
      </c>
    </row>
    <row r="1662" customFormat="false" ht="15" hidden="false" customHeight="false" outlineLevel="0" collapsed="false">
      <c r="A1662" s="4" t="s">
        <v>43</v>
      </c>
      <c r="B1662" s="4" t="s">
        <v>65</v>
      </c>
      <c r="C1662" s="23" t="s">
        <v>942</v>
      </c>
      <c r="D1662" s="23" t="s">
        <v>943</v>
      </c>
      <c r="E1662" s="23" t="s">
        <v>944</v>
      </c>
      <c r="F1662" s="23" t="s">
        <v>945</v>
      </c>
      <c r="G1662" s="23" t="s">
        <v>946</v>
      </c>
      <c r="H1662" s="23" t="s">
        <v>947</v>
      </c>
      <c r="I1662" s="23" t="s">
        <v>948</v>
      </c>
      <c r="J1662" s="23" t="s">
        <v>949</v>
      </c>
      <c r="K1662" s="23" t="s">
        <v>950</v>
      </c>
      <c r="L1662" s="4" t="s">
        <v>47</v>
      </c>
    </row>
    <row r="1663" customFormat="false" ht="15" hidden="false" customHeight="false" outlineLevel="0" collapsed="false">
      <c r="A1663" s="0" t="s">
        <v>1029</v>
      </c>
      <c r="B1663" s="0" t="s">
        <v>98</v>
      </c>
      <c r="D1663" s="6" t="n">
        <f aca="false">Sens!D1639</f>
        <v>72.61</v>
      </c>
      <c r="E1663" s="6" t="n">
        <f aca="false">Sens!E1639</f>
        <v>101.938</v>
      </c>
      <c r="F1663" s="6" t="n">
        <f aca="false">Sens!F1639</f>
        <v>153.195686216993</v>
      </c>
      <c r="G1663" s="6" t="n">
        <f aca="false">Sens!G1639</f>
        <v>211.2875117873</v>
      </c>
      <c r="H1663" s="6" t="n">
        <f aca="false">Sens!H1639</f>
        <v>270.8579457489</v>
      </c>
      <c r="I1663" s="6" t="n">
        <f aca="false">Sens!I1639</f>
        <v>324.674139801175</v>
      </c>
      <c r="J1663" s="6" t="n">
        <f aca="false">Sens!J1639</f>
        <v>365.626162004581</v>
      </c>
      <c r="K1663" s="6" t="n">
        <f aca="false">Sens!K1639</f>
        <v>394.281460658973</v>
      </c>
    </row>
    <row r="1664" customFormat="false" ht="17.15" hidden="false" customHeight="false" outlineLevel="0" collapsed="false">
      <c r="A1664" s="0" t="s">
        <v>1025</v>
      </c>
      <c r="B1664" s="0" t="s">
        <v>98</v>
      </c>
      <c r="D1664" s="6" t="n">
        <f aca="false">Sens!D1636</f>
        <v>12.9359794422418</v>
      </c>
      <c r="E1664" s="6" t="n">
        <f aca="false">Sens!E1636</f>
        <v>27.8095064661409</v>
      </c>
      <c r="F1664" s="6" t="n">
        <f aca="false">Sens!F1636</f>
        <v>63.7236062320111</v>
      </c>
      <c r="G1664" s="6" t="n">
        <f aca="false">Sens!G1636</f>
        <v>104.981326577641</v>
      </c>
      <c r="H1664" s="6" t="n">
        <f aca="false">Sens!H1636</f>
        <v>147.424564644535</v>
      </c>
      <c r="I1664" s="6" t="n">
        <f aca="false">Sens!I1636</f>
        <v>184.691474081965</v>
      </c>
      <c r="J1664" s="6" t="n">
        <f aca="false">Sens!J1636</f>
        <v>210.660127762628</v>
      </c>
      <c r="K1664" s="6" t="n">
        <f aca="false">Sens!K1636</f>
        <v>226.918143677663</v>
      </c>
    </row>
    <row r="1665" customFormat="false" ht="17.15" hidden="false" customHeight="false" outlineLevel="0" collapsed="false">
      <c r="A1665" s="0" t="s">
        <v>1056</v>
      </c>
      <c r="B1665" s="0" t="s">
        <v>98</v>
      </c>
      <c r="D1665" s="6" t="n">
        <f aca="false">Sens!D1637</f>
        <v>59.6740205577583</v>
      </c>
      <c r="E1665" s="6" t="n">
        <f aca="false">Sens!E1637</f>
        <v>74.1284935338591</v>
      </c>
      <c r="F1665" s="6" t="n">
        <f aca="false">Sens!F1637</f>
        <v>89.4720799849821</v>
      </c>
      <c r="G1665" s="6" t="n">
        <f aca="false">Sens!G1637</f>
        <v>106.306185209659</v>
      </c>
      <c r="H1665" s="6" t="n">
        <f aca="false">Sens!H1637</f>
        <v>123.433381104364</v>
      </c>
      <c r="I1665" s="6" t="n">
        <f aca="false">Sens!I1637</f>
        <v>139.98266571921</v>
      </c>
      <c r="J1665" s="6" t="n">
        <f aca="false">Sens!J1637</f>
        <v>154.966034241954</v>
      </c>
      <c r="K1665" s="6" t="n">
        <f aca="false">Sens!K1637</f>
        <v>167.36331698131</v>
      </c>
    </row>
    <row r="1666" customFormat="false" ht="15" hidden="false" customHeight="false" outlineLevel="0" collapsed="false">
      <c r="A1666" s="0" t="s">
        <v>1036</v>
      </c>
      <c r="B1666" s="0" t="s">
        <v>98</v>
      </c>
      <c r="D1666" s="6" t="n">
        <f aca="false">Sens!D1644</f>
        <v>84.605</v>
      </c>
      <c r="E1666" s="6" t="n">
        <f aca="false">Sens!E1644</f>
        <v>100.299</v>
      </c>
      <c r="F1666" s="6" t="n">
        <f aca="false">Sens!F1644</f>
        <v>118.584003697747</v>
      </c>
      <c r="G1666" s="6" t="n">
        <f aca="false">Sens!G1644</f>
        <v>136.700726545688</v>
      </c>
      <c r="H1666" s="6" t="n">
        <f aca="false">Sens!H1644</f>
        <v>154.898624783666</v>
      </c>
      <c r="I1666" s="6" t="n">
        <f aca="false">Sens!I1644</f>
        <v>171.420510030657</v>
      </c>
      <c r="J1666" s="6" t="n">
        <f aca="false">Sens!J1644</f>
        <v>185.985722618572</v>
      </c>
      <c r="K1666" s="6" t="n">
        <f aca="false">Sens!K1644</f>
        <v>199.799723201872</v>
      </c>
    </row>
    <row r="1667" customFormat="false" ht="17.15" hidden="false" customHeight="false" outlineLevel="0" collapsed="false">
      <c r="A1667" s="0" t="s">
        <v>1057</v>
      </c>
      <c r="B1667" s="0" t="s">
        <v>98</v>
      </c>
      <c r="D1667" s="6" t="n">
        <f aca="false">Sens!D1642</f>
        <v>83.705</v>
      </c>
      <c r="E1667" s="6" t="n">
        <f aca="false">Sens!E1642</f>
        <v>95.049</v>
      </c>
      <c r="F1667" s="6" t="n">
        <f aca="false">Sens!F1642</f>
        <v>106.584003697747</v>
      </c>
      <c r="G1667" s="6" t="n">
        <f aca="false">Sens!G1642</f>
        <v>118.700726545688</v>
      </c>
      <c r="H1667" s="6" t="n">
        <f aca="false">Sens!H1642</f>
        <v>130.898624783666</v>
      </c>
      <c r="I1667" s="6" t="n">
        <f aca="false">Sens!I1642</f>
        <v>142.920510030657</v>
      </c>
      <c r="J1667" s="6" t="n">
        <f aca="false">Sens!J1642</f>
        <v>154.485722618572</v>
      </c>
      <c r="K1667" s="6" t="n">
        <f aca="false">Sens!K1642</f>
        <v>165.299723201872</v>
      </c>
    </row>
    <row r="1668" customFormat="false" ht="17.15" hidden="false" customHeight="false" outlineLevel="0" collapsed="false">
      <c r="A1668" s="0" t="s">
        <v>1058</v>
      </c>
      <c r="B1668" s="0" t="s">
        <v>98</v>
      </c>
      <c r="D1668" s="6" t="n">
        <f aca="false">Sens!D1641</f>
        <v>0.9</v>
      </c>
      <c r="E1668" s="6" t="n">
        <f aca="false">Sens!E1641</f>
        <v>5.25</v>
      </c>
      <c r="F1668" s="6" t="n">
        <f aca="false">Sens!F1641</f>
        <v>12</v>
      </c>
      <c r="G1668" s="6" t="n">
        <f aca="false">Sens!G1641</f>
        <v>18</v>
      </c>
      <c r="H1668" s="6" t="n">
        <f aca="false">Sens!H1641</f>
        <v>24</v>
      </c>
      <c r="I1668" s="6" t="n">
        <f aca="false">Sens!I1641</f>
        <v>28.5</v>
      </c>
      <c r="J1668" s="6" t="n">
        <f aca="false">Sens!J1641</f>
        <v>31.5</v>
      </c>
      <c r="K1668" s="6" t="n">
        <f aca="false">Sens!K1641</f>
        <v>34.5</v>
      </c>
    </row>
    <row r="1669" customFormat="false" ht="15" hidden="false" customHeight="false" outlineLevel="0" collapsed="false">
      <c r="A1669" s="0" t="s">
        <v>1037</v>
      </c>
      <c r="B1669" s="0" t="s">
        <v>98</v>
      </c>
      <c r="D1669" s="6" t="n">
        <f aca="false">Sens!D1645</f>
        <v>35.391</v>
      </c>
      <c r="E1669" s="6" t="n">
        <f aca="false">Sens!E1645</f>
        <v>37.285</v>
      </c>
      <c r="F1669" s="6" t="n">
        <f aca="false">Sens!F1645</f>
        <v>38.3851437782675</v>
      </c>
      <c r="G1669" s="6" t="n">
        <f aca="false">Sens!G1645</f>
        <v>40.0105353288615</v>
      </c>
      <c r="H1669" s="6" t="n">
        <f aca="false">Sens!H1645</f>
        <v>41.4812512033683</v>
      </c>
      <c r="I1669" s="6" t="n">
        <f aca="false">Sens!I1645</f>
        <v>42.7743107216329</v>
      </c>
      <c r="J1669" s="6" t="n">
        <f aca="false">Sens!J1645</f>
        <v>43.8687373064601</v>
      </c>
      <c r="K1669" s="6" t="n">
        <f aca="false">Sens!K1645</f>
        <v>44.7461120525893</v>
      </c>
    </row>
    <row r="1670" customFormat="false" ht="15" hidden="false" customHeight="false" outlineLevel="0" collapsed="false">
      <c r="A1670" s="0" t="s">
        <v>1039</v>
      </c>
      <c r="B1670" s="0" t="s">
        <v>98</v>
      </c>
      <c r="D1670" s="6" t="n">
        <f aca="false">Sens!D1647</f>
        <v>18.417</v>
      </c>
      <c r="E1670" s="6" t="n">
        <f aca="false">Sens!E1647</f>
        <v>20.345</v>
      </c>
      <c r="F1670" s="6" t="n">
        <f aca="false">Sens!F1647</f>
        <v>22.3161797133988</v>
      </c>
      <c r="G1670" s="6" t="n">
        <f aca="false">Sens!G1647</f>
        <v>24.3943499673233</v>
      </c>
      <c r="H1670" s="6" t="n">
        <f aca="false">Sens!H1647</f>
        <v>26.5250243109019</v>
      </c>
      <c r="I1670" s="6" t="n">
        <f aca="false">Sens!I1647</f>
        <v>28.6884573538181</v>
      </c>
      <c r="J1670" s="6" t="n">
        <f aca="false">Sens!J1647</f>
        <v>30.8624968052127</v>
      </c>
      <c r="K1670" s="6" t="n">
        <f aca="false">Sens!K1647</f>
        <v>33.0228715815776</v>
      </c>
    </row>
    <row r="1671" customFormat="false" ht="15" hidden="false" customHeight="false" outlineLevel="0" collapsed="false">
      <c r="A1671" s="0" t="s">
        <v>1040</v>
      </c>
      <c r="B1671" s="0" t="s">
        <v>98</v>
      </c>
      <c r="D1671" s="6" t="n">
        <f aca="false">Sens!D1649</f>
        <v>7.76</v>
      </c>
      <c r="E1671" s="6" t="n">
        <f aca="false">Sens!E1649</f>
        <v>8.26</v>
      </c>
      <c r="F1671" s="6" t="n">
        <f aca="false">Sens!F1649</f>
        <v>8.75372082474227</v>
      </c>
      <c r="G1671" s="6" t="n">
        <f aca="false">Sens!G1649</f>
        <v>9.33399324642364</v>
      </c>
      <c r="H1671" s="6" t="n">
        <f aca="false">Sens!H1649</f>
        <v>9.96139155535851</v>
      </c>
      <c r="I1671" s="6" t="n">
        <f aca="false">Sens!I1649</f>
        <v>10.6402039077391</v>
      </c>
      <c r="J1671" s="6" t="n">
        <f aca="false">Sens!J1649</f>
        <v>11.3751458271397</v>
      </c>
      <c r="K1671" s="6" t="n">
        <f aca="false">Sens!K1649</f>
        <v>12.1714060350394</v>
      </c>
    </row>
    <row r="1672" customFormat="false" ht="15" hidden="false" customHeight="false" outlineLevel="0" collapsed="false">
      <c r="A1672" s="0" t="s">
        <v>856</v>
      </c>
      <c r="B1672" s="0" t="s">
        <v>98</v>
      </c>
      <c r="D1672" s="6" t="n">
        <f aca="false">Sens!D1651</f>
        <v>218.783</v>
      </c>
      <c r="E1672" s="6" t="n">
        <f aca="false">Sens!E1651</f>
        <v>268.127</v>
      </c>
      <c r="F1672" s="6" t="n">
        <f aca="false">Sens!F1651</f>
        <v>341.234734231149</v>
      </c>
      <c r="G1672" s="6" t="n">
        <f aca="false">Sens!G1651</f>
        <v>421.727116875597</v>
      </c>
      <c r="H1672" s="6" t="n">
        <f aca="false">Sens!H1651</f>
        <v>503.724237602194</v>
      </c>
      <c r="I1672" s="6" t="n">
        <f aca="false">Sens!I1651</f>
        <v>578.197621815023</v>
      </c>
      <c r="J1672" s="6" t="n">
        <f aca="false">Sens!J1651</f>
        <v>637.718264561966</v>
      </c>
      <c r="K1672" s="6" t="n">
        <f aca="false">Sens!K1651</f>
        <v>684.021573530051</v>
      </c>
    </row>
    <row r="1673" customFormat="false" ht="15" hidden="false" customHeight="false" outlineLevel="0" collapsed="false">
      <c r="A1673" s="0" t="s">
        <v>1041</v>
      </c>
      <c r="B1673" s="0" t="s">
        <v>98</v>
      </c>
      <c r="D1673" s="6" t="n">
        <f aca="false">Sens!D1652</f>
        <v>22.171</v>
      </c>
      <c r="E1673" s="6" t="n">
        <f aca="false">Sens!E1652</f>
        <v>24.835</v>
      </c>
      <c r="F1673" s="6" t="n">
        <f aca="false">Sens!F1652</f>
        <v>27.5591895660247</v>
      </c>
      <c r="G1673" s="6" t="n">
        <f aca="false">Sens!G1652</f>
        <v>30.4098563144583</v>
      </c>
      <c r="H1673" s="6" t="n">
        <f aca="false">Sens!H1652</f>
        <v>33.3011792571777</v>
      </c>
      <c r="I1673" s="6" t="n">
        <f aca="false">Sens!I1652</f>
        <v>36.189023797112</v>
      </c>
      <c r="J1673" s="6" t="n">
        <f aca="false">Sens!J1652</f>
        <v>39.0247773769199</v>
      </c>
      <c r="K1673" s="6" t="n">
        <f aca="false">Sens!K1652</f>
        <v>41.7565117933043</v>
      </c>
    </row>
    <row r="1674" customFormat="false" ht="15" hidden="false" customHeight="false" outlineLevel="0" collapsed="false">
      <c r="A1674" s="0" t="s">
        <v>1042</v>
      </c>
      <c r="B1674" s="0" t="s">
        <v>98</v>
      </c>
      <c r="D1674" s="6" t="n">
        <f aca="false">Sens!D1654</f>
        <v>23.455</v>
      </c>
      <c r="E1674" s="6" t="n">
        <f aca="false">Sens!E1654</f>
        <v>21.79</v>
      </c>
      <c r="F1674" s="6" t="n">
        <f aca="false">Sens!F1654</f>
        <v>20.7520981041711</v>
      </c>
      <c r="G1674" s="6" t="n">
        <f aca="false">Sens!G1654</f>
        <v>19.9083593495882</v>
      </c>
      <c r="H1674" s="6" t="n">
        <f aca="false">Sens!H1654</f>
        <v>19.4008256265831</v>
      </c>
      <c r="I1674" s="6" t="n">
        <f aca="false">Sens!I1654</f>
        <v>19.200434522122</v>
      </c>
      <c r="J1674" s="6" t="n">
        <f aca="false">Sens!J1654</f>
        <v>19.2932782348507</v>
      </c>
      <c r="K1674" s="6" t="n">
        <f aca="false">Sens!K1654</f>
        <v>19.6791437995477</v>
      </c>
    </row>
    <row r="1675" customFormat="false" ht="15" hidden="false" customHeight="false" outlineLevel="0" collapsed="false">
      <c r="A1675" s="0" t="s">
        <v>1043</v>
      </c>
      <c r="B1675" s="0" t="s">
        <v>98</v>
      </c>
      <c r="D1675" s="6" t="n">
        <f aca="false">Sens!D1656</f>
        <v>17.315</v>
      </c>
      <c r="E1675" s="6" t="n">
        <f aca="false">Sens!E1656</f>
        <v>17.087</v>
      </c>
      <c r="F1675" s="6" t="n">
        <f aca="false">Sens!F1656</f>
        <v>15.9912273250553</v>
      </c>
      <c r="G1675" s="6" t="n">
        <f aca="false">Sens!G1656</f>
        <v>15.9574562664827</v>
      </c>
      <c r="H1675" s="6" t="n">
        <f aca="false">Sens!H1656</f>
        <v>16.0119687434196</v>
      </c>
      <c r="I1675" s="6" t="n">
        <f aca="false">Sens!I1656</f>
        <v>16.1551810001948</v>
      </c>
      <c r="J1675" s="6" t="n">
        <f aca="false">Sens!J1656</f>
        <v>16.3889793892005</v>
      </c>
      <c r="K1675" s="6" t="n">
        <f aca="false">Sens!K1656</f>
        <v>16.7167589769845</v>
      </c>
    </row>
    <row r="1676" customFormat="false" ht="15" hidden="false" customHeight="false" outlineLevel="0" collapsed="false">
      <c r="A1676" s="0" t="s">
        <v>870</v>
      </c>
      <c r="B1676" s="0" t="s">
        <v>98</v>
      </c>
      <c r="D1676" s="6" t="n">
        <f aca="false">Sens!D1658</f>
        <v>62.941</v>
      </c>
      <c r="E1676" s="6" t="n">
        <f aca="false">Sens!E1658</f>
        <v>63.712</v>
      </c>
      <c r="F1676" s="6" t="n">
        <f aca="false">Sens!F1658</f>
        <v>64.3025149952511</v>
      </c>
      <c r="G1676" s="6" t="n">
        <f aca="false">Sens!G1658</f>
        <v>66.2756719305292</v>
      </c>
      <c r="H1676" s="6" t="n">
        <f aca="false">Sens!H1658</f>
        <v>68.7139736271804</v>
      </c>
      <c r="I1676" s="6" t="n">
        <f aca="false">Sens!I1658</f>
        <v>71.5446393194289</v>
      </c>
      <c r="J1676" s="6" t="n">
        <f aca="false">Sens!J1658</f>
        <v>74.707035000971</v>
      </c>
      <c r="K1676" s="6" t="n">
        <f aca="false">Sens!K1658</f>
        <v>78.1524145698365</v>
      </c>
    </row>
    <row r="1677" customFormat="false" ht="15" hidden="false" customHeight="false" outlineLevel="0" collapsed="false">
      <c r="A1677" s="1" t="s">
        <v>1059</v>
      </c>
      <c r="B1677" s="0" t="s">
        <v>98</v>
      </c>
      <c r="D1677" s="6" t="n">
        <f aca="false">Sens!D1659</f>
        <v>281.724</v>
      </c>
      <c r="E1677" s="6" t="n">
        <f aca="false">Sens!E1659</f>
        <v>331.839</v>
      </c>
      <c r="F1677" s="6" t="n">
        <f aca="false">Sens!F1659</f>
        <v>405.5372492264</v>
      </c>
      <c r="G1677" s="6" t="n">
        <f aca="false">Sens!G1659</f>
        <v>488.002788806126</v>
      </c>
      <c r="H1677" s="6" t="n">
        <f aca="false">Sens!H1659</f>
        <v>572.438211229374</v>
      </c>
      <c r="I1677" s="6" t="n">
        <f aca="false">Sens!I1659</f>
        <v>649.742261134451</v>
      </c>
      <c r="J1677" s="6" t="n">
        <f aca="false">Sens!J1659</f>
        <v>712.425299562937</v>
      </c>
      <c r="K1677" s="6" t="n">
        <f aca="false">Sens!K1659</f>
        <v>762.173988099887</v>
      </c>
    </row>
    <row r="1678" customFormat="false" ht="15" hidden="false" customHeight="false" outlineLevel="0" collapsed="false">
      <c r="A1678" s="1" t="s">
        <v>1060</v>
      </c>
      <c r="B1678" s="0" t="s">
        <v>168</v>
      </c>
      <c r="E1678" s="7" t="n">
        <f aca="false">Sens!E1677/Sens!D1677-1</f>
        <v>0.177886867998467</v>
      </c>
      <c r="F1678" s="7" t="n">
        <f aca="false">Sens!F1677/Sens!E1677-1</f>
        <v>0.222090378847573</v>
      </c>
      <c r="G1678" s="7" t="n">
        <f aca="false">Sens!G1677/Sens!F1677-1</f>
        <v>0.203348865577792</v>
      </c>
      <c r="H1678" s="7" t="n">
        <f aca="false">Sens!H1677/Sens!G1677-1</f>
        <v>0.173022417822273</v>
      </c>
      <c r="I1678" s="7" t="n">
        <f aca="false">Sens!I1677/Sens!H1677-1</f>
        <v>0.135043483101972</v>
      </c>
      <c r="J1678" s="7" t="n">
        <f aca="false">Sens!J1677/Sens!I1677-1</f>
        <v>0.096473697615175</v>
      </c>
      <c r="K1678" s="7" t="n">
        <f aca="false">Sens!K1677/Sens!J1677-1</f>
        <v>0.0698300419250562</v>
      </c>
    </row>
    <row r="1679" customFormat="false" ht="17.15" hidden="false" customHeight="false" outlineLevel="0" collapsed="false">
      <c r="A1679" s="26" t="s">
        <v>1061</v>
      </c>
      <c r="B1679" s="31" t="s">
        <v>98</v>
      </c>
      <c r="C1679" s="31"/>
      <c r="D1679" s="27" t="n">
        <f aca="false">(Sens!D1672+Sens!D1676-Sens!D1677)+(Sens!D1664+Sens!D1665-Sens!D1663)+(Sens!D1667+Sens!D1668-Sens!D1666)+(Sens!D1677-Q!L18)</f>
        <v>0</v>
      </c>
      <c r="E1679" s="27" t="n">
        <f aca="false">(Sens!E1672+Sens!E1676-Sens!E1677)+(Sens!E1664+Sens!E1665-Sens!E1663)+(Sens!E1667+Sens!E1668-Sens!E1666)+(Sens!E1677-Q!M18)</f>
        <v>0</v>
      </c>
      <c r="F1679" s="27" t="n">
        <f aca="false">(Sens!F1672+Sens!F1676-Sens!F1677)+(Sens!F1664+Sens!F1665-Sens!F1663)+(Sens!F1667+Sens!F1668-Sens!F1666)</f>
        <v>0</v>
      </c>
      <c r="G1679" s="27" t="n">
        <f aca="false">(Sens!G1672+Sens!G1676-Sens!G1677)+(Sens!G1664+Sens!G1665-Sens!G1663)+(Sens!G1667+Sens!G1668-Sens!G1666)</f>
        <v>0</v>
      </c>
      <c r="H1679" s="27" t="n">
        <f aca="false">(Sens!H1672+Sens!H1676-Sens!H1677)+(Sens!H1664+Sens!H1665-Sens!H1663)+(Sens!H1667+Sens!H1668-Sens!H1666)</f>
        <v>0</v>
      </c>
      <c r="I1679" s="27" t="n">
        <f aca="false">(Sens!I1672+Sens!I1676-Sens!I1677)+(Sens!I1664+Sens!I1665-Sens!I1663)+(Sens!I1667+Sens!I1668-Sens!I1666)</f>
        <v>0</v>
      </c>
      <c r="J1679" s="27" t="n">
        <f aca="false">(Sens!J1672+Sens!J1676-Sens!J1677)+(Sens!J1664+Sens!J1665-Sens!J1663)+(Sens!J1667+Sens!J1668-Sens!J1666)</f>
        <v>0</v>
      </c>
      <c r="K1679" s="27" t="n">
        <f aca="false">(Sens!K1672+Sens!K1676-Sens!K1677)+(Sens!K1664+Sens!K1665-Sens!K1663)+(Sens!K1667+Sens!K1668-Sens!K1666)</f>
        <v>0</v>
      </c>
    </row>
    <row r="1680" customFormat="false" ht="17.15" hidden="false" customHeight="false" outlineLevel="0" collapsed="false">
      <c r="A1680" s="0" t="s">
        <v>1062</v>
      </c>
      <c r="B1680" s="0" t="s">
        <v>168</v>
      </c>
      <c r="E1680" s="7" t="n">
        <f aca="false">(Q!M21+Sens!E1616+Sens!E1617+Sens!E1618+Sens!E1632-Sens!E1614)/(Q!M5-Sens!E1614)</f>
        <v>0.570957350878296</v>
      </c>
      <c r="F1680" s="7" t="n">
        <f aca="false">Sens!$E$1680+dm_seg</f>
        <v>0.570957350878296</v>
      </c>
      <c r="G1680" s="7" t="n">
        <f aca="false">Sens!$E$1680+dm_seg</f>
        <v>0.570957350878296</v>
      </c>
      <c r="H1680" s="7" t="n">
        <f aca="false">Sens!$E$1680+dm_seg</f>
        <v>0.570957350878296</v>
      </c>
      <c r="I1680" s="7" t="n">
        <f aca="false">Sens!$E$1680+dm_seg</f>
        <v>0.570957350878296</v>
      </c>
      <c r="J1680" s="7" t="n">
        <f aca="false">Sens!$E$1680+dm_seg</f>
        <v>0.570957350878296</v>
      </c>
      <c r="K1680" s="7" t="n">
        <f aca="false">Sens!$E$1680+dm_seg</f>
        <v>0.570957350878296</v>
      </c>
      <c r="L1680" s="12" t="s">
        <v>1063</v>
      </c>
    </row>
    <row r="1681" customFormat="false" ht="17.15" hidden="false" customHeight="false" outlineLevel="0" collapsed="false">
      <c r="A1681" s="0" t="s">
        <v>884</v>
      </c>
      <c r="B1681" s="0" t="s">
        <v>98</v>
      </c>
      <c r="D1681" s="6" t="n">
        <f aca="false">Q!L21</f>
        <v>110.814</v>
      </c>
      <c r="E1681" s="6" t="n">
        <f aca="false">Q!M21</f>
        <v>136.365</v>
      </c>
      <c r="F1681" s="6" t="n">
        <f aca="false">Q!$I$21+(Sens!F1680*(Sens!F1651-Sens!F1614)+Sens!F1614-(Sens!F1616+Sens!F1617+Sens!F1618)-Sens!F1632-Sens!F1715)*(Sens!F1651-Q!$I$5)/Sens!F1651</f>
        <v>168.383029439362</v>
      </c>
      <c r="G1681" s="6" t="n">
        <f aca="false">(Sens!G1680*(Sens!G1651-Sens!G1614)+Sens!G1614-(Sens!G1616+Sens!G1617+Sens!G1618)-Sens!G1632-Sens!G1715)</f>
        <v>189.991126496863</v>
      </c>
      <c r="H1681" s="6" t="n">
        <f aca="false">(Sens!H1680*(Sens!H1651-Sens!H1614)+Sens!H1614-(Sens!H1616+Sens!H1617+Sens!H1618)-Sens!H1632-Sens!H1715)</f>
        <v>214.52578982381</v>
      </c>
      <c r="I1681" s="6" t="n">
        <f aca="false">(Sens!I1680*(Sens!I1651-Sens!I1614)+Sens!I1614-(Sens!I1616+Sens!I1617+Sens!I1618)-Sens!I1632-Sens!I1715)</f>
        <v>237.408796542502</v>
      </c>
      <c r="J1681" s="6" t="n">
        <f aca="false">(Sens!J1680*(Sens!J1651-Sens!J1614)+Sens!J1614-(Sens!J1616+Sens!J1617+Sens!J1618)-Sens!J1632-Sens!J1715)</f>
        <v>257.605656401271</v>
      </c>
      <c r="K1681" s="6" t="n">
        <f aca="false">(Sens!K1680*(Sens!K1651-Sens!K1614)+Sens!K1614-(Sens!K1616+Sens!K1617+Sens!K1618)-Sens!K1632-Sens!K1715)</f>
        <v>275.9669415947</v>
      </c>
      <c r="L1681" s="1" t="s">
        <v>1064</v>
      </c>
    </row>
    <row r="1682" customFormat="false" ht="17.15" hidden="false" customHeight="false" outlineLevel="0" collapsed="false">
      <c r="A1682" s="0" t="s">
        <v>1065</v>
      </c>
      <c r="B1682" s="0" t="s">
        <v>168</v>
      </c>
      <c r="E1682" s="7" t="n">
        <f aca="false">Q!M22/Q!M12</f>
        <v>0.296207935710698</v>
      </c>
      <c r="F1682" s="7" t="n">
        <f aca="false">Sens!$E$1682+dm_seg</f>
        <v>0.296207935710698</v>
      </c>
      <c r="G1682" s="7" t="n">
        <f aca="false">Sens!$E$1682+dm_seg</f>
        <v>0.296207935710698</v>
      </c>
      <c r="H1682" s="7" t="n">
        <f aca="false">Sens!$E$1682+dm_seg</f>
        <v>0.296207935710698</v>
      </c>
      <c r="I1682" s="7" t="n">
        <f aca="false">Sens!$E$1682+dm_seg</f>
        <v>0.296207935710698</v>
      </c>
      <c r="J1682" s="7" t="n">
        <f aca="false">Sens!$E$1682+dm_seg</f>
        <v>0.296207935710698</v>
      </c>
      <c r="K1682" s="7" t="n">
        <f aca="false">Sens!$E$1682+dm_seg</f>
        <v>0.296207935710698</v>
      </c>
      <c r="L1682" s="12" t="s">
        <v>1066</v>
      </c>
    </row>
    <row r="1683" customFormat="false" ht="17.15" hidden="false" customHeight="false" outlineLevel="0" collapsed="false">
      <c r="A1683" s="0" t="s">
        <v>886</v>
      </c>
      <c r="B1683" s="0" t="s">
        <v>98</v>
      </c>
      <c r="D1683" s="6" t="n">
        <f aca="false">Q!L22</f>
        <v>17.714</v>
      </c>
      <c r="E1683" s="6" t="n">
        <f aca="false">Q!M22</f>
        <v>18.872</v>
      </c>
      <c r="F1683" s="6" t="n">
        <f aca="false">Q!$I$22+(Sens!F1658-Q!$I$12)*Sens!F1682</f>
        <v>19.8174315512051</v>
      </c>
      <c r="G1683" s="6" t="n">
        <f aca="false">Sens!G1658*Sens!G1682</f>
        <v>19.6313799703815</v>
      </c>
      <c r="H1683" s="6" t="n">
        <f aca="false">Sens!H1658*Sens!H1682</f>
        <v>20.3536242825865</v>
      </c>
      <c r="I1683" s="6" t="n">
        <f aca="false">Sens!I1658*Sens!I1682</f>
        <v>21.1920899239745</v>
      </c>
      <c r="J1683" s="6" t="n">
        <f aca="false">Sens!J1658*Sens!J1682</f>
        <v>22.1288166207045</v>
      </c>
      <c r="K1683" s="6" t="n">
        <f aca="false">Sens!K1658*Sens!K1682</f>
        <v>23.1493653905379</v>
      </c>
      <c r="L1683" s="12" t="s">
        <v>1067</v>
      </c>
    </row>
    <row r="1684" customFormat="false" ht="15" hidden="false" customHeight="false" outlineLevel="0" collapsed="false">
      <c r="A1684" s="1" t="s">
        <v>1068</v>
      </c>
      <c r="B1684" s="0" t="s">
        <v>98</v>
      </c>
      <c r="D1684" s="6" t="n">
        <f aca="false">Sens!D1681+Sens!D1683</f>
        <v>128.528</v>
      </c>
      <c r="E1684" s="6" t="n">
        <f aca="false">Sens!E1681+Sens!E1683</f>
        <v>155.237</v>
      </c>
      <c r="F1684" s="6" t="n">
        <f aca="false">Sens!F1681+Sens!F1683</f>
        <v>188.200460990567</v>
      </c>
      <c r="G1684" s="6" t="n">
        <f aca="false">Sens!G1681+Sens!G1683</f>
        <v>209.622506467245</v>
      </c>
      <c r="H1684" s="6" t="n">
        <f aca="false">Sens!H1681+Sens!H1683</f>
        <v>234.879414106396</v>
      </c>
      <c r="I1684" s="6" t="n">
        <f aca="false">Sens!I1681+Sens!I1683</f>
        <v>258.600886466476</v>
      </c>
      <c r="J1684" s="6" t="n">
        <f aca="false">Sens!J1681+Sens!J1683</f>
        <v>279.734473021976</v>
      </c>
      <c r="K1684" s="6" t="n">
        <f aca="false">Sens!K1681+Sens!K1683</f>
        <v>299.116306985238</v>
      </c>
    </row>
    <row r="1685" customFormat="false" ht="15" hidden="false" customHeight="false" outlineLevel="0" collapsed="false">
      <c r="A1685" s="26" t="s">
        <v>1069</v>
      </c>
      <c r="B1685" s="31" t="s">
        <v>98</v>
      </c>
      <c r="C1685" s="31"/>
      <c r="D1685" s="27" t="n">
        <f aca="false">Sens!D1684-Q!L23</f>
        <v>0</v>
      </c>
      <c r="E1685" s="27" t="n">
        <f aca="false">Sens!E1684-Q!M23</f>
        <v>0</v>
      </c>
      <c r="F1685" s="31"/>
      <c r="G1685" s="31"/>
      <c r="H1685" s="31"/>
      <c r="I1685" s="31"/>
      <c r="J1685" s="31"/>
      <c r="K1685" s="31"/>
    </row>
    <row r="1686" customFormat="false" ht="15" hidden="false" customHeight="false" outlineLevel="0" collapsed="false">
      <c r="A1686" s="1" t="s">
        <v>1070</v>
      </c>
      <c r="B1686" s="0" t="s">
        <v>168</v>
      </c>
      <c r="D1686" s="7" t="n">
        <f aca="false">Sens!D1684/Sens!D1677</f>
        <v>0.456219562408598</v>
      </c>
      <c r="E1686" s="7" t="n">
        <f aca="false">Sens!E1684/Sens!E1677</f>
        <v>0.467808184089272</v>
      </c>
      <c r="F1686" s="7" t="n">
        <f aca="false">Sens!F1684/Sens!F1677</f>
        <v>0.464076879126583</v>
      </c>
      <c r="G1686" s="7" t="n">
        <f aca="false">Sens!G1684/Sens!G1677</f>
        <v>0.429551861742584</v>
      </c>
      <c r="H1686" s="7" t="n">
        <f aca="false">Sens!H1684/Sens!H1677</f>
        <v>0.41031400332617</v>
      </c>
      <c r="I1686" s="7" t="n">
        <f aca="false">Sens!I1684/Sens!I1677</f>
        <v>0.398005335246254</v>
      </c>
      <c r="J1686" s="7" t="n">
        <f aca="false">Sens!J1684/Sens!J1677</f>
        <v>0.392650953290948</v>
      </c>
      <c r="K1686" s="7" t="n">
        <f aca="false">Sens!K1684/Sens!K1677</f>
        <v>0.392451476507274</v>
      </c>
    </row>
    <row r="1687" customFormat="false" ht="17.15" hidden="false" customHeight="false" outlineLevel="0" collapsed="false">
      <c r="A1687" s="1" t="s">
        <v>1071</v>
      </c>
      <c r="B1687" s="0" t="s">
        <v>98</v>
      </c>
      <c r="F1687" s="6" t="n">
        <f aca="false">Sens!F1702</f>
        <v>9.7398427716299</v>
      </c>
      <c r="G1687" s="6" t="n">
        <f aca="false">Sens!G1702</f>
        <v>25.2753385959797</v>
      </c>
      <c r="H1687" s="6" t="n">
        <f aca="false">Sens!H1702</f>
        <v>42.2840253697948</v>
      </c>
      <c r="I1687" s="6" t="n">
        <f aca="false">Sens!I1702</f>
        <v>57.704943641581</v>
      </c>
      <c r="J1687" s="6" t="n">
        <f aca="false">Sens!J1702</f>
        <v>68.4828520908201</v>
      </c>
      <c r="K1687" s="6" t="n">
        <f aca="false">Sens!K1702</f>
        <v>74.3598374943249</v>
      </c>
      <c r="L1687" s="1" t="s">
        <v>1072</v>
      </c>
    </row>
    <row r="1688" customFormat="false" ht="17.15" hidden="false" customHeight="false" outlineLevel="0" collapsed="false">
      <c r="A1688" s="1" t="s">
        <v>1073</v>
      </c>
      <c r="B1688" s="0" t="s">
        <v>98</v>
      </c>
      <c r="D1688" s="6" t="n">
        <f aca="false">Sens!D1684</f>
        <v>128.528</v>
      </c>
      <c r="E1688" s="6" t="n">
        <f aca="false">Sens!E1684</f>
        <v>155.237</v>
      </c>
      <c r="F1688" s="6" t="n">
        <f aca="false">Sens!F1684+Sens!F1687</f>
        <v>197.940303762197</v>
      </c>
      <c r="G1688" s="6" t="n">
        <f aca="false">Sens!G1684+Sens!G1687</f>
        <v>234.897845063224</v>
      </c>
      <c r="H1688" s="6" t="n">
        <f aca="false">Sens!H1684+Sens!H1687</f>
        <v>277.163439476191</v>
      </c>
      <c r="I1688" s="6" t="n">
        <f aca="false">Sens!I1684+Sens!I1687</f>
        <v>316.305830108057</v>
      </c>
      <c r="J1688" s="6" t="n">
        <f aca="false">Sens!J1684+Sens!J1687</f>
        <v>348.217325112796</v>
      </c>
      <c r="K1688" s="6" t="n">
        <f aca="false">Sens!K1684+Sens!K1687</f>
        <v>373.476144479563</v>
      </c>
    </row>
    <row r="1689" customFormat="false" ht="17.15" hidden="false" customHeight="false" outlineLevel="0" collapsed="false">
      <c r="A1689" s="1" t="s">
        <v>1074</v>
      </c>
      <c r="B1689" s="0" t="s">
        <v>98</v>
      </c>
      <c r="E1689" s="6" t="n">
        <f aca="false">Sens!E1632</f>
        <v>16.3054059770833</v>
      </c>
      <c r="F1689" s="6" t="n">
        <f aca="false">Sens!F1632</f>
        <v>34.5793144783516</v>
      </c>
      <c r="G1689" s="6" t="n">
        <f aca="false">Sens!G1632</f>
        <v>60.7344906522989</v>
      </c>
      <c r="H1689" s="6" t="n">
        <f aca="false">Sens!H1632</f>
        <v>89.1000906614457</v>
      </c>
      <c r="I1689" s="6" t="n">
        <f aca="false">Sens!I1632</f>
        <v>114.231009694548</v>
      </c>
      <c r="J1689" s="6" t="n">
        <f aca="false">Sens!J1632</f>
        <v>132.015673049596</v>
      </c>
      <c r="K1689" s="6" t="n">
        <f aca="false">Sens!K1632</f>
        <v>143.012669550934</v>
      </c>
    </row>
    <row r="1690" customFormat="false" ht="17.15" hidden="false" customHeight="false" outlineLevel="0" collapsed="false">
      <c r="A1690" s="1" t="s">
        <v>1075</v>
      </c>
      <c r="B1690" s="0" t="s">
        <v>98</v>
      </c>
      <c r="E1690" s="6" t="n">
        <f aca="false">Sens!E1714</f>
        <v>22.2285940229167</v>
      </c>
      <c r="F1690" s="6" t="n">
        <f aca="false">Sens!F1714</f>
        <v>23.580344216413</v>
      </c>
      <c r="G1690" s="6" t="n">
        <f aca="false">Sens!G1714</f>
        <v>25.3149798485121</v>
      </c>
      <c r="H1690" s="6" t="n">
        <f aca="false">Sens!H1714</f>
        <v>27.4391781324903</v>
      </c>
      <c r="I1690" s="6" t="n">
        <f aca="false">Sens!I1714</f>
        <v>29.886889698627</v>
      </c>
      <c r="J1690" s="6" t="n">
        <f aca="false">Sens!J1714</f>
        <v>32.5755493194513</v>
      </c>
      <c r="K1690" s="6" t="n">
        <f aca="false">Sens!K1714</f>
        <v>35.4219613740153</v>
      </c>
    </row>
    <row r="1691" customFormat="false" ht="17.15" hidden="false" customHeight="false" outlineLevel="0" collapsed="false">
      <c r="A1691" s="1" t="s">
        <v>1076</v>
      </c>
      <c r="B1691" s="0" t="s">
        <v>98</v>
      </c>
      <c r="D1691" s="6" t="n">
        <f aca="false">Q!L27</f>
        <v>-4.901</v>
      </c>
      <c r="E1691" s="6" t="n">
        <f aca="false">Q!M27</f>
        <v>10.697</v>
      </c>
      <c r="F1691" s="6" t="n">
        <f aca="false">Q!$I$27+oie_f*(q_per_yr-1)/q_per_yr</f>
        <v>-0.862</v>
      </c>
      <c r="G1691" s="6" t="n">
        <f aca="false">oie_f</f>
        <v>-1.2</v>
      </c>
      <c r="H1691" s="6" t="n">
        <f aca="false">oie_f</f>
        <v>-1.2</v>
      </c>
      <c r="I1691" s="6" t="n">
        <f aca="false">oie_f</f>
        <v>-1.2</v>
      </c>
      <c r="J1691" s="6" t="n">
        <f aca="false">oie_f</f>
        <v>-1.2</v>
      </c>
      <c r="K1691" s="6" t="n">
        <f aca="false">oie_f</f>
        <v>-1.2</v>
      </c>
      <c r="L1691" s="12" t="s">
        <v>1077</v>
      </c>
    </row>
    <row r="1692" customFormat="false" ht="15" hidden="false" customHeight="false" outlineLevel="0" collapsed="false">
      <c r="A1692" s="1" t="s">
        <v>1078</v>
      </c>
      <c r="B1692" s="0" t="s">
        <v>98</v>
      </c>
      <c r="D1692" s="6" t="n">
        <f aca="false">Sens!D1684+Sens!D1691</f>
        <v>123.627</v>
      </c>
      <c r="E1692" s="6" t="n">
        <f aca="false">Sens!E1684+Sens!E1691</f>
        <v>165.934</v>
      </c>
      <c r="F1692" s="6" t="n">
        <f aca="false">Sens!F1684+Sens!F1691</f>
        <v>187.338460990567</v>
      </c>
      <c r="G1692" s="6" t="n">
        <f aca="false">Sens!G1684+Sens!G1691</f>
        <v>208.422506467245</v>
      </c>
      <c r="H1692" s="6" t="n">
        <f aca="false">Sens!H1684+Sens!H1691</f>
        <v>233.679414106396</v>
      </c>
      <c r="I1692" s="6" t="n">
        <f aca="false">Sens!I1684+Sens!I1691</f>
        <v>257.400886466476</v>
      </c>
      <c r="J1692" s="6" t="n">
        <f aca="false">Sens!J1684+Sens!J1691</f>
        <v>278.534473021976</v>
      </c>
      <c r="K1692" s="6" t="n">
        <f aca="false">Sens!K1684+Sens!K1691</f>
        <v>297.916306985238</v>
      </c>
    </row>
    <row r="1693" customFormat="false" ht="15" hidden="false" customHeight="false" outlineLevel="0" collapsed="false">
      <c r="A1693" s="1" t="s">
        <v>1079</v>
      </c>
      <c r="B1693" s="0" t="s">
        <v>98</v>
      </c>
      <c r="D1693" s="6" t="n">
        <f aca="false">Q!L29</f>
        <v>21.795</v>
      </c>
      <c r="E1693" s="6" t="n">
        <f aca="false">Q!M29</f>
        <v>32.185</v>
      </c>
      <c r="F1693" s="6" t="n">
        <f aca="false">Q!$I$29+(Sens!F1692-Q!$I$28)*tax_f</f>
        <v>37.6010921981134</v>
      </c>
      <c r="G1693" s="6" t="n">
        <f aca="false">Sens!G1692*tax_f</f>
        <v>41.6845012934489</v>
      </c>
      <c r="H1693" s="6" t="n">
        <f aca="false">Sens!H1692*tax_f</f>
        <v>46.7358828212792</v>
      </c>
      <c r="I1693" s="6" t="n">
        <f aca="false">Sens!I1692*tax_f</f>
        <v>51.4801772932953</v>
      </c>
      <c r="J1693" s="6" t="n">
        <f aca="false">Sens!J1692*tax_f</f>
        <v>55.7068946043952</v>
      </c>
      <c r="K1693" s="6" t="n">
        <f aca="false">Sens!K1692*tax_f</f>
        <v>59.5832613970477</v>
      </c>
    </row>
    <row r="1694" customFormat="false" ht="15" hidden="false" customHeight="false" outlineLevel="0" collapsed="false">
      <c r="A1694" s="1" t="s">
        <v>1080</v>
      </c>
      <c r="B1694" s="0" t="s">
        <v>98</v>
      </c>
      <c r="D1694" s="6" t="n">
        <f aca="false">Sens!D1692-Sens!D1693</f>
        <v>101.832</v>
      </c>
      <c r="E1694" s="6" t="n">
        <f aca="false">Sens!E1692-Sens!E1693</f>
        <v>133.749</v>
      </c>
      <c r="F1694" s="6" t="n">
        <f aca="false">Sens!F1692-Sens!F1693</f>
        <v>149.737368792453</v>
      </c>
      <c r="G1694" s="6" t="n">
        <f aca="false">Sens!G1692-Sens!G1693</f>
        <v>166.738005173796</v>
      </c>
      <c r="H1694" s="6" t="n">
        <f aca="false">Sens!H1692-Sens!H1693</f>
        <v>186.943531285117</v>
      </c>
      <c r="I1694" s="6" t="n">
        <f aca="false">Sens!I1692-Sens!I1693</f>
        <v>205.920709173181</v>
      </c>
      <c r="J1694" s="6" t="n">
        <f aca="false">Sens!J1692-Sens!J1693</f>
        <v>222.827578417581</v>
      </c>
      <c r="K1694" s="6" t="n">
        <f aca="false">Sens!K1692-Sens!K1693</f>
        <v>238.333045588191</v>
      </c>
    </row>
    <row r="1695" customFormat="false" ht="17.15" hidden="false" customHeight="false" outlineLevel="0" collapsed="false">
      <c r="A1695" s="1" t="s">
        <v>1081</v>
      </c>
      <c r="B1695" s="1" t="s">
        <v>81</v>
      </c>
      <c r="D1695" s="15" t="n">
        <f aca="false">Q!L31</f>
        <v>7.465</v>
      </c>
      <c r="E1695" s="15" t="n">
        <f aca="false">Q!M31</f>
        <v>7.453</v>
      </c>
      <c r="F1695" s="15" t="n">
        <f aca="false">Sens!F1739</f>
        <v>7.46847334304691</v>
      </c>
      <c r="G1695" s="15" t="n">
        <f aca="false">Sens!G1739</f>
        <v>7.50622393637765</v>
      </c>
      <c r="H1695" s="15" t="n">
        <f aca="false">Sens!H1739</f>
        <v>7.53170112569028</v>
      </c>
      <c r="I1695" s="15" t="n">
        <f aca="false">Sens!I1739</f>
        <v>7.54338248974575</v>
      </c>
      <c r="J1695" s="15" t="n">
        <f aca="false">Sens!J1739</f>
        <v>7.55753190090822</v>
      </c>
      <c r="K1695" s="15" t="n">
        <f aca="false">Sens!K1739</f>
        <v>7.57396654087347</v>
      </c>
    </row>
    <row r="1696" customFormat="false" ht="17.15" hidden="false" customHeight="false" outlineLevel="0" collapsed="false">
      <c r="A1696" s="0" t="s">
        <v>1082</v>
      </c>
      <c r="B1696" s="0" t="s">
        <v>75</v>
      </c>
      <c r="D1696" s="8" t="n">
        <f aca="false">Sens!D1694/Sens!D1695</f>
        <v>13.641259209645</v>
      </c>
      <c r="E1696" s="8" t="n">
        <f aca="false">Sens!E1694/Sens!E1695</f>
        <v>17.9456594659869</v>
      </c>
      <c r="F1696" s="8" t="n">
        <f aca="false">Sens!F1694/Sens!F1695</f>
        <v>20.049260660729</v>
      </c>
      <c r="G1696" s="8" t="n">
        <f aca="false">Sens!G1694/Sens!G1695</f>
        <v>22.2133001342696</v>
      </c>
      <c r="H1696" s="8" t="n">
        <f aca="false">Sens!H1694/Sens!H1695</f>
        <v>24.82089081409</v>
      </c>
      <c r="I1696" s="8" t="n">
        <f aca="false">Sens!I1694/Sens!I1695</f>
        <v>27.298192747498</v>
      </c>
      <c r="J1696" s="8" t="n">
        <f aca="false">Sens!J1694/Sens!J1695</f>
        <v>29.484173052687</v>
      </c>
      <c r="K1696" s="8" t="n">
        <f aca="false">Sens!K1694/Sens!K1695</f>
        <v>31.4674014338469</v>
      </c>
      <c r="L1696" s="1" t="s">
        <v>1083</v>
      </c>
    </row>
    <row r="1697" customFormat="false" ht="17.15" hidden="false" customHeight="false" outlineLevel="0" collapsed="false">
      <c r="A1697" s="1" t="s">
        <v>1084</v>
      </c>
      <c r="B1697" s="0" t="s">
        <v>98</v>
      </c>
      <c r="D1697" s="6" t="n">
        <f aca="false">Sens!D1694</f>
        <v>101.832</v>
      </c>
      <c r="E1697" s="6" t="n">
        <f aca="false">Sens!E1694</f>
        <v>133.749</v>
      </c>
      <c r="F1697" s="6" t="n">
        <f aca="false">Sens!F1694+Sens!F1687*(1-tax_f)</f>
        <v>157.529243009757</v>
      </c>
      <c r="G1697" s="6" t="n">
        <f aca="false">Sens!G1694+Sens!G1687*(1-tax_f)</f>
        <v>186.958276050579</v>
      </c>
      <c r="H1697" s="6" t="n">
        <f aca="false">Sens!H1694+Sens!H1687*(1-tax_f)</f>
        <v>220.770751580953</v>
      </c>
      <c r="I1697" s="6" t="n">
        <f aca="false">Sens!I1694+Sens!I1687*(1-tax_f)</f>
        <v>252.084664086446</v>
      </c>
      <c r="J1697" s="6" t="n">
        <f aca="false">Sens!J1694+Sens!J1687*(1-tax_f)</f>
        <v>277.613860090237</v>
      </c>
      <c r="K1697" s="6" t="n">
        <f aca="false">Sens!K1694+Sens!K1687*(1-tax_f)</f>
        <v>297.820915583651</v>
      </c>
    </row>
    <row r="1698" customFormat="false" ht="17.15" hidden="false" customHeight="false" outlineLevel="0" collapsed="false">
      <c r="A1698" s="0" t="s">
        <v>1085</v>
      </c>
      <c r="B1698" s="0" t="s">
        <v>75</v>
      </c>
      <c r="D1698" s="8" t="n">
        <f aca="false">Sens!D1697/Sens!D1695</f>
        <v>13.641259209645</v>
      </c>
      <c r="E1698" s="8" t="n">
        <f aca="false">Sens!E1697/Sens!E1695</f>
        <v>17.9456594659869</v>
      </c>
      <c r="F1698" s="8" t="n">
        <f aca="false">Sens!F1697/Sens!F1695</f>
        <v>21.0925628001894</v>
      </c>
      <c r="G1698" s="8" t="n">
        <f aca="false">Sens!G1697/Sens!G1695</f>
        <v>24.9071007786642</v>
      </c>
      <c r="H1698" s="8" t="n">
        <f aca="false">Sens!H1697/Sens!H1695</f>
        <v>29.31220290034</v>
      </c>
      <c r="I1698" s="8" t="n">
        <f aca="false">Sens!I1697/Sens!I1695</f>
        <v>33.4179878097289</v>
      </c>
      <c r="J1698" s="8" t="n">
        <f aca="false">Sens!J1697/Sens!J1695</f>
        <v>36.7334023501607</v>
      </c>
      <c r="K1698" s="8" t="n">
        <f aca="false">Sens!K1697/Sens!K1695</f>
        <v>39.3216571497164</v>
      </c>
      <c r="L1698" s="1" t="s">
        <v>1086</v>
      </c>
    </row>
    <row r="1699" customFormat="false" ht="17.15" hidden="false" customHeight="false" outlineLevel="0" collapsed="false">
      <c r="A1699" s="0" t="s">
        <v>1087</v>
      </c>
      <c r="B1699" s="0" t="s">
        <v>168</v>
      </c>
      <c r="E1699" s="7" t="n">
        <f aca="false">Sens!E1698/Sens!D1698-1</f>
        <v>0.315542736208578</v>
      </c>
      <c r="F1699" s="7" t="n">
        <f aca="false">Sens!F1698/Sens!E1698-1</f>
        <v>0.175357352576928</v>
      </c>
      <c r="G1699" s="7" t="n">
        <f aca="false">Sens!G1698/Sens!F1698-1</f>
        <v>0.180847534489291</v>
      </c>
      <c r="H1699" s="7" t="n">
        <f aca="false">Sens!H1698/Sens!G1698-1</f>
        <v>0.176861295934102</v>
      </c>
      <c r="I1699" s="7" t="n">
        <f aca="false">Sens!I1698/Sens!H1698-1</f>
        <v>0.140070840917292</v>
      </c>
      <c r="J1699" s="7" t="n">
        <f aca="false">Sens!J1698/Sens!I1698-1</f>
        <v>0.0992104778812153</v>
      </c>
      <c r="K1699" s="7" t="n">
        <f aca="false">Sens!K1698/Sens!J1698-1</f>
        <v>0.070460524589669</v>
      </c>
    </row>
    <row r="1700" customFormat="false" ht="17.15" hidden="false" customHeight="false" outlineLevel="0" collapsed="false">
      <c r="A1700" s="0" t="s">
        <v>1007</v>
      </c>
      <c r="B1700" s="0" t="s">
        <v>98</v>
      </c>
      <c r="E1700" s="6" t="n">
        <f aca="false">Sens!E1641</f>
        <v>5.25</v>
      </c>
      <c r="F1700" s="6" t="n">
        <f aca="false">Sens!F1641</f>
        <v>12</v>
      </c>
      <c r="G1700" s="6" t="n">
        <f aca="false">Sens!G1641</f>
        <v>18</v>
      </c>
      <c r="H1700" s="6" t="n">
        <f aca="false">Sens!H1641</f>
        <v>24</v>
      </c>
      <c r="I1700" s="6" t="n">
        <f aca="false">Sens!I1641</f>
        <v>28.5</v>
      </c>
      <c r="J1700" s="6" t="n">
        <f aca="false">Sens!J1641</f>
        <v>31.5</v>
      </c>
      <c r="K1700" s="6" t="n">
        <f aca="false">Sens!K1641</f>
        <v>34.5</v>
      </c>
    </row>
    <row r="1701" customFormat="false" ht="17.15" hidden="false" customHeight="false" outlineLevel="0" collapsed="false">
      <c r="A1701" s="1" t="s">
        <v>1008</v>
      </c>
      <c r="B1701" s="0" t="s">
        <v>98</v>
      </c>
      <c r="F1701" s="6" t="n">
        <f aca="false">MAX(0,((Sens!E1601+Sens!F1601)/2-(shadow_base*(Sens!$D$1601+Sens!$E$1601)/2+(1-shadow_base)*Sens!$E$1601))*Sens!F1610/1000-(Sens!F1700-Sens!$E$1700)*Sens!F1680)</f>
        <v>9.7398427716299</v>
      </c>
      <c r="G1701" s="6" t="n">
        <f aca="false">MAX(0,((Sens!F1601+Sens!G1601)/2-(shadow_base*(Sens!$D$1601+Sens!$E$1601)/2+(1-shadow_base)*Sens!$E$1601))*Sens!G1610/1000-(Sens!G1700-Sens!$E$1700)*Sens!G1680)</f>
        <v>25.2753385959797</v>
      </c>
      <c r="H1701" s="6" t="n">
        <f aca="false">MAX(0,((Sens!G1601+Sens!H1601)/2-(shadow_base*(Sens!$D$1601+Sens!$E$1601)/2+(1-shadow_base)*Sens!$E$1601))*Sens!H1610/1000-(Sens!H1700-Sens!$E$1700)*Sens!H1680)</f>
        <v>42.2840253697948</v>
      </c>
      <c r="I1701" s="6" t="n">
        <f aca="false">MAX(0,((Sens!H1601+Sens!I1601)/2-(shadow_base*(Sens!$D$1601+Sens!$E$1601)/2+(1-shadow_base)*Sens!$E$1601))*Sens!I1610/1000-(Sens!I1700-Sens!$E$1700)*Sens!I1680)</f>
        <v>57.704943641581</v>
      </c>
      <c r="J1701" s="6" t="n">
        <f aca="false">MAX(0,((Sens!I1601+Sens!J1601)/2-(shadow_base*(Sens!$D$1601+Sens!$E$1601)/2+(1-shadow_base)*Sens!$E$1601))*Sens!J1610/1000-(Sens!J1700-Sens!$E$1700)*Sens!J1680)</f>
        <v>68.4828520908201</v>
      </c>
      <c r="K1701" s="6" t="n">
        <f aca="false">MAX(0,((Sens!J1601+Sens!K1601)/2-(shadow_base*(Sens!$D$1601+Sens!$E$1601)/2+(1-shadow_base)*Sens!$E$1601))*Sens!K1610/1000-(Sens!K1700-Sens!$E$1700)*Sens!K1680)</f>
        <v>74.3598374943249</v>
      </c>
      <c r="L1701" s="1" t="s">
        <v>1009</v>
      </c>
    </row>
    <row r="1702" customFormat="false" ht="17.15" hidden="false" customHeight="false" outlineLevel="0" collapsed="false">
      <c r="A1702" s="1" t="s">
        <v>1010</v>
      </c>
      <c r="B1702" s="0" t="s">
        <v>98</v>
      </c>
      <c r="F1702" s="6" t="n">
        <f aca="false">IF(internal_ai_reading=2,1,0)*Sens!F1701</f>
        <v>9.7398427716299</v>
      </c>
      <c r="G1702" s="6" t="n">
        <f aca="false">IF(internal_ai_reading=2,1,0)*Sens!G1701</f>
        <v>25.2753385959797</v>
      </c>
      <c r="H1702" s="6" t="n">
        <f aca="false">IF(internal_ai_reading=2,1,0)*Sens!H1701</f>
        <v>42.2840253697948</v>
      </c>
      <c r="I1702" s="6" t="n">
        <f aca="false">IF(internal_ai_reading=2,1,0)*Sens!I1701</f>
        <v>57.704943641581</v>
      </c>
      <c r="J1702" s="6" t="n">
        <f aca="false">IF(internal_ai_reading=2,1,0)*Sens!J1701</f>
        <v>68.4828520908201</v>
      </c>
      <c r="K1702" s="6" t="n">
        <f aca="false">IF(internal_ai_reading=2,1,0)*Sens!K1701</f>
        <v>74.3598374943249</v>
      </c>
    </row>
    <row r="1703" customFormat="false" ht="17.15" hidden="false" customHeight="false" outlineLevel="0" collapsed="false">
      <c r="A1703" s="0" t="s">
        <v>1011</v>
      </c>
      <c r="B1703" s="0" t="s">
        <v>98</v>
      </c>
      <c r="F1703" s="6" t="n">
        <f aca="false">Sens!F1620+Sens!F1700*Sens!F1680+Sens!F1702-Sens!F1621-Sens!F1632</f>
        <v>23.1270574821417</v>
      </c>
      <c r="G1703" s="6" t="n">
        <f aca="false">Sens!G1620+Sens!G1700*Sens!G1680+Sens!G1702-Sens!G1621-Sens!G1632</f>
        <v>44.7282142867222</v>
      </c>
      <c r="H1703" s="6" t="n">
        <f aca="false">Sens!H1620+Sens!H1700*Sens!H1680+Sens!H1702-Sens!H1621-Sens!H1632</f>
        <v>67.1104430115742</v>
      </c>
      <c r="I1703" s="6" t="n">
        <f aca="false">Sens!I1620+Sens!I1700*Sens!I1680+Sens!I1702-Sens!I1621-Sens!I1632</f>
        <v>86.7374089289635</v>
      </c>
      <c r="J1703" s="6" t="n">
        <f aca="false">Sens!J1620+Sens!J1700*Sens!J1680+Sens!J1702-Sens!J1621-Sens!J1632</f>
        <v>100.265633304742</v>
      </c>
      <c r="K1703" s="6" t="n">
        <f aca="false">Sens!K1620+Sens!K1700*Sens!K1680+Sens!K1702-Sens!K1621-Sens!K1632</f>
        <v>109.059799954583</v>
      </c>
    </row>
    <row r="1704" customFormat="false" ht="17.15" hidden="false" customHeight="false" outlineLevel="0" collapsed="false">
      <c r="A1704" s="0" t="s">
        <v>1012</v>
      </c>
      <c r="B1704" s="0" t="s">
        <v>98</v>
      </c>
      <c r="E1704" s="6" t="n">
        <f aca="false">Sens!E1600*(cxit_open+self_build*tk_cxfac)/1000*ai_net_open</f>
        <v>126.6980382</v>
      </c>
      <c r="F1704" s="6" t="n">
        <f aca="false">Sens!E1704+Sens!F1629-Sens!F1632</f>
        <v>260.572627763768</v>
      </c>
      <c r="G1704" s="6" t="n">
        <f aca="false">Sens!F1704+Sens!G1629-Sens!G1632</f>
        <v>391.782612760517</v>
      </c>
      <c r="H1704" s="6" t="n">
        <f aca="false">Sens!G1704+Sens!H1629-Sens!H1632</f>
        <v>499.488526163584</v>
      </c>
      <c r="I1704" s="6" t="n">
        <f aca="false">Sens!H1704+Sens!I1629-Sens!I1632</f>
        <v>553.872350090646</v>
      </c>
      <c r="J1704" s="6" t="n">
        <f aca="false">Sens!I1704+Sens!J1629-Sens!J1632</f>
        <v>550.78660823699</v>
      </c>
      <c r="K1704" s="6" t="n">
        <f aca="false">Sens!J1704+Sens!K1629-Sens!K1632</f>
        <v>526.736791750789</v>
      </c>
      <c r="L1704" s="1" t="s">
        <v>1013</v>
      </c>
    </row>
    <row r="1705" customFormat="false" ht="17.15" hidden="false" customHeight="false" outlineLevel="0" collapsed="false">
      <c r="A1705" s="0" t="s">
        <v>1014</v>
      </c>
      <c r="B1705" s="0" t="s">
        <v>168</v>
      </c>
      <c r="F1705" s="7" t="n">
        <f aca="false">Sens!F1703*(1-tax_f)/((Sens!E1704+Sens!F1704)/2)</f>
        <v>0.0955489150703932</v>
      </c>
      <c r="G1705" s="7" t="n">
        <f aca="false">Sens!G1703*(1-tax_f)/((Sens!F1704+Sens!G1704)/2)</f>
        <v>0.109702717803325</v>
      </c>
      <c r="H1705" s="7" t="n">
        <f aca="false">Sens!H1703*(1-tax_f)/((Sens!G1704+Sens!H1704)/2)</f>
        <v>0.120475918190438</v>
      </c>
      <c r="I1705" s="7" t="n">
        <f aca="false">Sens!I1703*(1-tax_f)/((Sens!H1704+Sens!I1704)/2)</f>
        <v>0.131749581188021</v>
      </c>
      <c r="J1705" s="7" t="n">
        <f aca="false">Sens!J1703*(1-tax_f)/((Sens!I1704+Sens!J1704)/2)</f>
        <v>0.14522582927355</v>
      </c>
      <c r="K1705" s="7" t="n">
        <f aca="false">Sens!K1703*(1-tax_f)/((Sens!J1704+Sens!K1704)/2)</f>
        <v>0.161941429698244</v>
      </c>
    </row>
    <row r="1706" customFormat="false" ht="17.15" hidden="false" customHeight="false" outlineLevel="0" collapsed="false">
      <c r="A1706" s="1" t="s">
        <v>1015</v>
      </c>
      <c r="B1706" s="0" t="s">
        <v>168</v>
      </c>
      <c r="F1706" s="7" t="n">
        <f aca="false">(Sens!F1703-Sens!F1702)*(1-tax_f)/((Sens!E1704+Sens!F1704)/2)</f>
        <v>0.055308974883274</v>
      </c>
      <c r="G1706" s="7" t="n">
        <f aca="false">(Sens!G1703-Sens!G1702)*(1-tax_f)/((Sens!F1704+Sens!G1704)/2)</f>
        <v>0.04771112297676</v>
      </c>
      <c r="H1706" s="7" t="n">
        <f aca="false">(Sens!H1703-Sens!H1702)*(1-tax_f)/((Sens!G1704+Sens!H1704)/2)</f>
        <v>0.0445681078316951</v>
      </c>
      <c r="I1706" s="7" t="n">
        <f aca="false">(Sens!I1703-Sens!I1702)*(1-tax_f)/((Sens!H1704+Sens!I1704)/2)</f>
        <v>0.0440987941615944</v>
      </c>
      <c r="J1706" s="7" t="n">
        <f aca="false">(Sens!J1703-Sens!J1702)*(1-tax_f)/((Sens!I1704+Sens!J1704)/2)</f>
        <v>0.0460345245552176</v>
      </c>
      <c r="K1706" s="7" t="n">
        <f aca="false">(Sens!K1703-Sens!K1702)*(1-tax_f)/((Sens!J1704+Sens!K1704)/2)</f>
        <v>0.0515255074154707</v>
      </c>
    </row>
    <row r="1707" customFormat="false" ht="17.15" hidden="false" customHeight="false" outlineLevel="0" collapsed="false">
      <c r="A1707" s="1" t="s">
        <v>1016</v>
      </c>
      <c r="B1707" s="0" t="s">
        <v>168</v>
      </c>
      <c r="F1707" s="7" t="n">
        <f aca="false">(Sens!F1703-Sens!F1702+Sens!F1701)*(1-tax_f)/((Sens!E1704+Sens!F1704)/2)</f>
        <v>0.0955489150703932</v>
      </c>
      <c r="G1707" s="7" t="n">
        <f aca="false">(Sens!G1703-Sens!G1702+Sens!G1701)*(1-tax_f)/((Sens!F1704+Sens!G1704)/2)</f>
        <v>0.109702717803325</v>
      </c>
      <c r="H1707" s="7" t="n">
        <f aca="false">(Sens!H1703-Sens!H1702+Sens!H1701)*(1-tax_f)/((Sens!G1704+Sens!H1704)/2)</f>
        <v>0.120475918190438</v>
      </c>
      <c r="I1707" s="7" t="n">
        <f aca="false">(Sens!I1703-Sens!I1702+Sens!I1701)*(1-tax_f)/((Sens!H1704+Sens!I1704)/2)</f>
        <v>0.131749581188021</v>
      </c>
      <c r="J1707" s="7" t="n">
        <f aca="false">(Sens!J1703-Sens!J1702+Sens!J1701)*(1-tax_f)/((Sens!I1704+Sens!J1704)/2)</f>
        <v>0.14522582927355</v>
      </c>
      <c r="K1707" s="7" t="n">
        <f aca="false">(Sens!K1703-Sens!K1702+Sens!K1701)*(1-tax_f)/((Sens!J1704+Sens!K1704)/2)</f>
        <v>0.161941429698244</v>
      </c>
    </row>
    <row r="1708" customFormat="false" ht="17.15" hidden="false" customHeight="false" outlineLevel="0" collapsed="false">
      <c r="A1708" s="1" t="s">
        <v>1017</v>
      </c>
      <c r="B1708" s="0" t="s">
        <v>168</v>
      </c>
      <c r="F1708" s="7" t="n">
        <f aca="false">Sens!F1633*(1-tax_f)/(Sens!F1619*(Sens!E1704+Sens!F1704)/2)</f>
        <v>0.186528012738406</v>
      </c>
      <c r="G1708" s="7" t="n">
        <f aca="false">Sens!G1633*(1-tax_f)/(Sens!G1619*(Sens!F1704+Sens!G1704)/2)</f>
        <v>0.183170468572732</v>
      </c>
      <c r="H1708" s="7" t="n">
        <f aca="false">Sens!H1633*(1-tax_f)/(Sens!H1619*(Sens!G1704+Sens!H1704)/2)</f>
        <v>0.188361848123961</v>
      </c>
      <c r="I1708" s="7" t="n">
        <f aca="false">Sens!I1633*(1-tax_f)/(Sens!I1619*(Sens!H1704+Sens!I1704)/2)</f>
        <v>0.199600760784076</v>
      </c>
      <c r="J1708" s="7" t="n">
        <f aca="false">Sens!J1633*(1-tax_f)/(Sens!J1619*(Sens!I1704+Sens!J1704)/2)</f>
        <v>0.216909877869362</v>
      </c>
      <c r="K1708" s="7" t="n">
        <f aca="false">Sens!K1633*(1-tax_f)/(Sens!K1619*(Sens!J1704+Sens!K1704)/2)</f>
        <v>0.240254845596586</v>
      </c>
    </row>
    <row r="1709" customFormat="false" ht="17.15" hidden="false" customHeight="false" outlineLevel="0" collapsed="false">
      <c r="A1709" s="0" t="s">
        <v>1018</v>
      </c>
      <c r="B1709" s="0" t="s">
        <v>253</v>
      </c>
      <c r="F1709" s="7" t="n">
        <f aca="false">Sens!F1705-wacc</f>
        <v>-0.0073876758752041</v>
      </c>
      <c r="G1709" s="7" t="n">
        <f aca="false">Sens!G1705-wacc</f>
        <v>0.00676612685772721</v>
      </c>
      <c r="H1709" s="7" t="n">
        <f aca="false">Sens!H1705-wacc</f>
        <v>0.017539327244841</v>
      </c>
      <c r="I1709" s="7" t="n">
        <f aca="false">Sens!I1705-wacc</f>
        <v>0.0288129902424238</v>
      </c>
      <c r="J1709" s="7" t="n">
        <f aca="false">Sens!J1705-wacc</f>
        <v>0.0422892383279528</v>
      </c>
      <c r="K1709" s="7" t="n">
        <f aca="false">Sens!K1705-wacc</f>
        <v>0.0590048387526464</v>
      </c>
    </row>
    <row r="1710" customFormat="false" ht="17.15" hidden="false" customHeight="false" outlineLevel="0" collapsed="false">
      <c r="A1710" s="0" t="s">
        <v>1019</v>
      </c>
      <c r="B1710" s="0" t="s">
        <v>98</v>
      </c>
      <c r="F1710" s="6" t="n">
        <f aca="false">Sens!F1703*(1-tax_f)-wacc*(Sens!E1704+Sens!F1704)/2</f>
        <v>-1.43051507805738</v>
      </c>
      <c r="G1710" s="6" t="n">
        <f aca="false">Sens!G1703*(1-tax_f)-wacc*(Sens!F1704+Sens!G1704)/2</f>
        <v>2.20695915684523</v>
      </c>
      <c r="H1710" s="6" t="n">
        <f aca="false">Sens!H1703*(1-tax_f)-wacc*(Sens!G1704+Sens!H1704)/2</f>
        <v>7.81614808473596</v>
      </c>
      <c r="I1710" s="6" t="n">
        <f aca="false">Sens!I1703*(1-tax_f)-wacc*(Sens!H1704+Sens!I1704)/2</f>
        <v>15.1752383246321</v>
      </c>
      <c r="J1710" s="6" t="n">
        <f aca="false">Sens!J1703*(1-tax_f)-wacc*(Sens!I1704+Sens!J1704)/2</f>
        <v>23.3575929799127</v>
      </c>
      <c r="K1710" s="6" t="n">
        <f aca="false">Sens!K1703*(1-tax_f)-wacc*(Sens!J1704+Sens!K1704)/2</f>
        <v>31.7895472342411</v>
      </c>
    </row>
    <row r="1711" customFormat="false" ht="17.15" hidden="false" customHeight="false" outlineLevel="0" collapsed="false">
      <c r="A1711" s="3" t="s">
        <v>1653</v>
      </c>
    </row>
    <row r="1712" customFormat="false" ht="15" hidden="false" customHeight="false" outlineLevel="0" collapsed="false">
      <c r="A1712" s="4" t="s">
        <v>43</v>
      </c>
      <c r="B1712" s="4" t="s">
        <v>65</v>
      </c>
      <c r="C1712" s="23" t="s">
        <v>942</v>
      </c>
      <c r="D1712" s="23" t="s">
        <v>943</v>
      </c>
      <c r="E1712" s="23" t="s">
        <v>944</v>
      </c>
      <c r="F1712" s="23" t="s">
        <v>945</v>
      </c>
      <c r="G1712" s="23" t="s">
        <v>946</v>
      </c>
      <c r="H1712" s="23" t="s">
        <v>947</v>
      </c>
      <c r="I1712" s="23" t="s">
        <v>948</v>
      </c>
      <c r="J1712" s="23" t="s">
        <v>949</v>
      </c>
      <c r="K1712" s="23" t="s">
        <v>950</v>
      </c>
      <c r="L1712" s="4" t="s">
        <v>47</v>
      </c>
    </row>
    <row r="1713" customFormat="false" ht="15" hidden="false" customHeight="false" outlineLevel="0" collapsed="false">
      <c r="A1713" s="1" t="s">
        <v>1080</v>
      </c>
      <c r="B1713" s="0" t="s">
        <v>98</v>
      </c>
      <c r="F1713" s="6" t="n">
        <f aca="false">Sens!F1694</f>
        <v>149.737368792453</v>
      </c>
      <c r="G1713" s="6" t="n">
        <f aca="false">Sens!G1694</f>
        <v>166.738005173796</v>
      </c>
      <c r="H1713" s="6" t="n">
        <f aca="false">Sens!H1694</f>
        <v>186.943531285117</v>
      </c>
      <c r="I1713" s="6" t="n">
        <f aca="false">Sens!I1694</f>
        <v>205.920709173181</v>
      </c>
      <c r="J1713" s="6" t="n">
        <f aca="false">Sens!J1694</f>
        <v>222.827578417581</v>
      </c>
      <c r="K1713" s="6" t="n">
        <f aca="false">Sens!K1694</f>
        <v>238.333045588191</v>
      </c>
    </row>
    <row r="1714" customFormat="false" ht="17.15" hidden="false" customHeight="false" outlineLevel="0" collapsed="false">
      <c r="A1714" s="1" t="s">
        <v>1102</v>
      </c>
      <c r="B1714" s="0" t="s">
        <v>98</v>
      </c>
      <c r="E1714" s="6" t="n">
        <f aca="false">Q!M38-Sens!E1632</f>
        <v>22.2285940229167</v>
      </c>
      <c r="F1714" s="6" t="n">
        <f aca="false">Sens!E1714*(1-1/life_nonai)+(Sens!F1722+Sens!F1723)/life_nonai</f>
        <v>23.580344216413</v>
      </c>
      <c r="G1714" s="6" t="n">
        <f aca="false">Sens!F1714*(1-1/life_nonai)+(Sens!G1722)/life_nonai</f>
        <v>25.3149798485121</v>
      </c>
      <c r="H1714" s="6" t="n">
        <f aca="false">Sens!G1714*(1-1/life_nonai)+(Sens!H1722)/life_nonai</f>
        <v>27.4391781324903</v>
      </c>
      <c r="I1714" s="6" t="n">
        <f aca="false">Sens!H1714*(1-1/life_nonai)+(Sens!I1722)/life_nonai</f>
        <v>29.886889698627</v>
      </c>
      <c r="J1714" s="6" t="n">
        <f aca="false">Sens!I1714*(1-1/life_nonai)+(Sens!J1722)/life_nonai</f>
        <v>32.5755493194513</v>
      </c>
      <c r="K1714" s="6" t="n">
        <f aca="false">Sens!J1714*(1-1/life_nonai)+(Sens!K1722)/life_nonai</f>
        <v>35.4219613740153</v>
      </c>
      <c r="L1714" s="12" t="s">
        <v>1103</v>
      </c>
    </row>
    <row r="1715" customFormat="false" ht="17.15" hidden="false" customHeight="false" outlineLevel="0" collapsed="false">
      <c r="A1715" s="1" t="s">
        <v>1104</v>
      </c>
      <c r="B1715" s="0" t="s">
        <v>98</v>
      </c>
      <c r="F1715" s="6" t="n">
        <f aca="false">Sens!$F$1723/life_nonai*(1-1/life_nonai)^(Sens!F1595-2027)</f>
        <v>0.0365046760478137</v>
      </c>
      <c r="G1715" s="6" t="n">
        <f aca="false">Sens!$F$1723/life_nonai*(1-1/life_nonai)^(Sens!G1595-2027)</f>
        <v>0.0328542084430323</v>
      </c>
      <c r="H1715" s="6" t="n">
        <f aca="false">Sens!$F$1723/life_nonai*(1-1/life_nonai)^(Sens!H1595-2027)</f>
        <v>0.0295687875987291</v>
      </c>
      <c r="I1715" s="6" t="n">
        <f aca="false">Sens!$F$1723/life_nonai*(1-1/life_nonai)^(Sens!I1595-2027)</f>
        <v>0.0266119088388562</v>
      </c>
      <c r="J1715" s="6" t="n">
        <f aca="false">Sens!$F$1723/life_nonai*(1-1/life_nonai)^(Sens!J1595-2027)</f>
        <v>0.0239507179549706</v>
      </c>
      <c r="K1715" s="6" t="n">
        <f aca="false">Sens!$F$1723/life_nonai*(1-1/life_nonai)^(Sens!K1595-2027)</f>
        <v>0.0215556461594735</v>
      </c>
      <c r="L1715" s="1" t="s">
        <v>1105</v>
      </c>
    </row>
    <row r="1716" customFormat="false" ht="17.15" hidden="false" customHeight="false" outlineLevel="0" collapsed="false">
      <c r="A1716" s="1" t="s">
        <v>1106</v>
      </c>
      <c r="B1716" s="0" t="s">
        <v>98</v>
      </c>
      <c r="E1716" s="6" t="n">
        <f aca="false">Sens!E1632+Sens!E1714</f>
        <v>38.534</v>
      </c>
      <c r="F1716" s="6" t="n">
        <f aca="false">Sens!F1632+Sens!F1714</f>
        <v>58.1596586947647</v>
      </c>
      <c r="G1716" s="6" t="n">
        <f aca="false">Sens!G1632+Sens!G1714</f>
        <v>86.0494705008111</v>
      </c>
      <c r="H1716" s="6" t="n">
        <f aca="false">Sens!H1632+Sens!H1714</f>
        <v>116.539268793936</v>
      </c>
      <c r="I1716" s="6" t="n">
        <f aca="false">Sens!I1632+Sens!I1714</f>
        <v>144.117899393175</v>
      </c>
      <c r="J1716" s="6" t="n">
        <f aca="false">Sens!J1632+Sens!J1714</f>
        <v>164.591222369047</v>
      </c>
      <c r="K1716" s="6" t="n">
        <f aca="false">Sens!K1632+Sens!K1714</f>
        <v>178.434630924949</v>
      </c>
    </row>
    <row r="1717" customFormat="false" ht="17.15" hidden="false" customHeight="false" outlineLevel="0" collapsed="false">
      <c r="A1717" s="1" t="s">
        <v>1107</v>
      </c>
      <c r="B1717" s="0" t="s">
        <v>98</v>
      </c>
      <c r="F1717" s="6" t="n">
        <f aca="false">Sens!F1659*sbc_r</f>
        <v>15.1600311496041</v>
      </c>
      <c r="G1717" s="6" t="n">
        <f aca="false">Sens!G1659*sbc_r</f>
        <v>18.2428062860001</v>
      </c>
      <c r="H1717" s="6" t="n">
        <f aca="false">Sens!H1659*sbc_r</f>
        <v>21.3992207374672</v>
      </c>
      <c r="I1717" s="6" t="n">
        <f aca="false">Sens!I1659*sbc_r</f>
        <v>24.2890460415228</v>
      </c>
      <c r="J1717" s="6" t="n">
        <f aca="false">Sens!J1659*sbc_r</f>
        <v>26.6323001246937</v>
      </c>
      <c r="K1717" s="6" t="n">
        <f aca="false">Sens!K1659*sbc_r</f>
        <v>28.4920347589617</v>
      </c>
    </row>
    <row r="1718" customFormat="false" ht="17.15" hidden="false" customHeight="false" outlineLevel="0" collapsed="false">
      <c r="A1718" s="1" t="s">
        <v>1108</v>
      </c>
      <c r="B1718" s="0" t="s">
        <v>98</v>
      </c>
      <c r="F1718" s="6" t="n">
        <f aca="false">wc27-wc26q1</f>
        <v>-4.677</v>
      </c>
      <c r="G1718" s="6" t="n">
        <f aca="false">wc_f</f>
        <v>0</v>
      </c>
      <c r="H1718" s="6" t="n">
        <f aca="false">wc_f</f>
        <v>0</v>
      </c>
      <c r="I1718" s="6" t="n">
        <f aca="false">wc_f</f>
        <v>0</v>
      </c>
      <c r="J1718" s="6" t="n">
        <f aca="false">wc_f</f>
        <v>0</v>
      </c>
      <c r="K1718" s="6" t="n">
        <f aca="false">wc_f</f>
        <v>0</v>
      </c>
      <c r="L1718" s="12" t="s">
        <v>1109</v>
      </c>
    </row>
    <row r="1719" customFormat="false" ht="17.15" hidden="false" customHeight="false" outlineLevel="0" collapsed="false">
      <c r="A1719" s="0" t="s">
        <v>1110</v>
      </c>
      <c r="B1719" s="0" t="s">
        <v>98</v>
      </c>
      <c r="F1719" s="6" t="n">
        <f aca="false">Q!$I$35-Q!$I$26-Q!$I$38-Q!$I$39</f>
        <v>6.493</v>
      </c>
      <c r="L1719" s="1" t="s">
        <v>1111</v>
      </c>
    </row>
    <row r="1720" customFormat="false" ht="15" hidden="false" customHeight="false" outlineLevel="0" collapsed="false">
      <c r="A1720" s="1" t="s">
        <v>908</v>
      </c>
      <c r="B1720" s="0" t="s">
        <v>98</v>
      </c>
      <c r="E1720" s="6" t="n">
        <f aca="false">Q!M35</f>
        <v>182.935</v>
      </c>
      <c r="F1720" s="6" t="n">
        <f aca="false">Sens!F1713+Sens!F1716+Sens!F1717+Sens!F1718+Sens!F1719</f>
        <v>224.873058636822</v>
      </c>
      <c r="G1720" s="6" t="n">
        <f aca="false">Sens!G1713+Sens!G1716+Sens!G1717+Sens!G1718</f>
        <v>271.030281960607</v>
      </c>
      <c r="H1720" s="6" t="n">
        <f aca="false">Sens!H1713+Sens!H1716+Sens!H1717+Sens!H1718</f>
        <v>324.88202081652</v>
      </c>
      <c r="I1720" s="6" t="n">
        <f aca="false">Sens!I1713+Sens!I1716+Sens!I1717+Sens!I1718</f>
        <v>374.327654607879</v>
      </c>
      <c r="J1720" s="6" t="n">
        <f aca="false">Sens!J1713+Sens!J1716+Sens!J1717+Sens!J1718</f>
        <v>414.051100911322</v>
      </c>
      <c r="K1720" s="6" t="n">
        <f aca="false">Sens!K1713+Sens!K1716+Sens!K1717+Sens!K1718</f>
        <v>445.259711272102</v>
      </c>
    </row>
    <row r="1721" customFormat="false" ht="17.15" hidden="false" customHeight="false" outlineLevel="0" collapsed="false">
      <c r="A1721" s="0" t="s">
        <v>1112</v>
      </c>
      <c r="B1721" s="0" t="s">
        <v>98</v>
      </c>
      <c r="F1721" s="6" t="n">
        <f aca="false">Sens!F1629</f>
        <v>168.45390404212</v>
      </c>
      <c r="G1721" s="6" t="n">
        <f aca="false">Sens!G1629</f>
        <v>191.944475649048</v>
      </c>
      <c r="H1721" s="6" t="n">
        <f aca="false">Sens!H1629</f>
        <v>196.806004064512</v>
      </c>
      <c r="I1721" s="6" t="n">
        <f aca="false">Sens!I1629</f>
        <v>168.61483362161</v>
      </c>
      <c r="J1721" s="6" t="n">
        <f aca="false">Sens!J1629</f>
        <v>128.92993119594</v>
      </c>
      <c r="K1721" s="6" t="n">
        <f aca="false">Sens!K1629</f>
        <v>118.962853064733</v>
      </c>
    </row>
    <row r="1722" customFormat="false" ht="17.15" hidden="false" customHeight="false" outlineLevel="0" collapsed="false">
      <c r="A1722" s="1" t="s">
        <v>1113</v>
      </c>
      <c r="B1722" s="0" t="s">
        <v>98</v>
      </c>
      <c r="E1722" s="6" t="n">
        <f aca="false">Sens!E1637*cx_azo+Sens!E1644*cx_m365+Sens!E1645*cx_lic+(Sens!E1647+Sens!E1649)*cx_ind+Sens!E1652*cx_srch+(Sens!E1654+Sens!E1656)*cx_dev</f>
        <v>30.1846587067718</v>
      </c>
      <c r="F1722" s="6" t="n">
        <f aca="false">Sens!F1637*cx_azo+Sens!F1644*cx_m365+Sens!F1645*cx_lic+(Sens!F1647+Sens!F1649)*cx_ind+Sens!F1652*cx_srch+(Sens!F1654+Sens!F1656)*cx_dev</f>
        <v>35.3810491974023</v>
      </c>
      <c r="G1722" s="6" t="n">
        <f aca="false">Sens!G1637*cx_azo+Sens!G1644*cx_m365+Sens!G1645*cx_lic+(Sens!G1647+Sens!G1649)*cx_ind+Sens!G1652*cx_srch+(Sens!G1654+Sens!G1656)*cx_dev</f>
        <v>40.926700537404</v>
      </c>
      <c r="H1722" s="6" t="n">
        <f aca="false">Sens!H1637*cx_azo+Sens!H1644*cx_m365+Sens!H1645*cx_lic+(Sens!H1647+Sens!H1649)*cx_ind+Sens!H1652*cx_srch+(Sens!H1654+Sens!H1656)*cx_dev</f>
        <v>46.5569626882941</v>
      </c>
      <c r="I1722" s="6" t="n">
        <f aca="false">Sens!I1637*cx_azo+Sens!I1644*cx_m365+Sens!I1645*cx_lic+(Sens!I1647+Sens!I1649)*cx_ind+Sens!I1652*cx_srch+(Sens!I1654+Sens!I1656)*cx_dev</f>
        <v>51.9162937938567</v>
      </c>
      <c r="J1722" s="6" t="n">
        <f aca="false">Sens!J1637*cx_azo+Sens!J1644*cx_m365+Sens!J1645*cx_lic+(Sens!J1647+Sens!J1649)*cx_ind+Sens!J1652*cx_srch+(Sens!J1654+Sens!J1656)*cx_dev</f>
        <v>56.7734859068699</v>
      </c>
      <c r="K1722" s="6" t="n">
        <f aca="false">Sens!K1637*cx_azo+Sens!K1644*cx_m365+Sens!K1645*cx_lic+(Sens!K1647+Sens!K1649)*cx_ind+Sens!K1652*cx_srch+(Sens!K1654+Sens!K1656)*cx_dev</f>
        <v>61.0396698650921</v>
      </c>
    </row>
    <row r="1723" customFormat="false" ht="17.15" hidden="false" customHeight="false" outlineLevel="0" collapsed="false">
      <c r="A1723" s="0" t="s">
        <v>1114</v>
      </c>
      <c r="B1723" s="0" t="s">
        <v>98</v>
      </c>
      <c r="F1723" s="6" t="n">
        <f aca="false">Sens!F1627</f>
        <v>0.365046760478137</v>
      </c>
      <c r="L1723" s="1" t="s">
        <v>1115</v>
      </c>
    </row>
    <row r="1724" customFormat="false" ht="17.15" hidden="false" customHeight="false" outlineLevel="0" collapsed="false">
      <c r="A1724" s="1" t="s">
        <v>1116</v>
      </c>
      <c r="B1724" s="0" t="s">
        <v>98</v>
      </c>
      <c r="E1724" s="6" t="n">
        <f aca="false">Q!M43</f>
        <v>145.3</v>
      </c>
      <c r="F1724" s="6" t="n">
        <f aca="false">Sens!F1721+Sens!F1722+Sens!F1723</f>
        <v>204.2</v>
      </c>
      <c r="G1724" s="6" t="n">
        <f aca="false">Sens!G1721+Sens!G1722</f>
        <v>232.871176186452</v>
      </c>
      <c r="H1724" s="6" t="n">
        <f aca="false">Sens!H1721+Sens!H1722</f>
        <v>243.362966752806</v>
      </c>
      <c r="I1724" s="6" t="n">
        <f aca="false">Sens!I1721+Sens!I1722</f>
        <v>220.531127415467</v>
      </c>
      <c r="J1724" s="6" t="n">
        <f aca="false">Sens!J1721+Sens!J1722</f>
        <v>185.70341710281</v>
      </c>
      <c r="K1724" s="6" t="n">
        <f aca="false">Sens!K1721+Sens!K1722</f>
        <v>180.002522929825</v>
      </c>
      <c r="L1724" s="1" t="s">
        <v>1117</v>
      </c>
    </row>
    <row r="1725" customFormat="false" ht="15" hidden="false" customHeight="false" outlineLevel="0" collapsed="false">
      <c r="A1725" s="1" t="s">
        <v>1118</v>
      </c>
      <c r="B1725" s="0" t="s">
        <v>98</v>
      </c>
      <c r="E1725" s="6" t="n">
        <f aca="false">fl_liab</f>
        <v>66.594</v>
      </c>
      <c r="F1725" s="6" t="n">
        <f aca="false">Sens!E1725-Sens!F1726</f>
        <v>62.46973</v>
      </c>
      <c r="G1725" s="6" t="n">
        <f aca="false">Sens!F1725-Sens!G1726</f>
        <v>57.98686785</v>
      </c>
      <c r="H1725" s="6" t="n">
        <f aca="false">Sens!G1725-Sens!H1726</f>
        <v>53.92827690325</v>
      </c>
      <c r="I1725" s="6" t="n">
        <f aca="false">Sens!H1725-Sens!I1726</f>
        <v>49.7850493638962</v>
      </c>
      <c r="J1725" s="6" t="n">
        <f aca="false">Sens!I1725-Sens!J1726</f>
        <v>45.4823765852716</v>
      </c>
      <c r="K1725" s="6" t="n">
        <f aca="false">Sens!J1725-Sens!K1726</f>
        <v>40.9860835316088</v>
      </c>
    </row>
    <row r="1726" customFormat="false" ht="15" hidden="false" customHeight="false" outlineLevel="0" collapsed="false">
      <c r="A1726" s="1" t="s">
        <v>1119</v>
      </c>
      <c r="B1726" s="0" t="s">
        <v>98</v>
      </c>
      <c r="F1726" s="6" t="n">
        <f aca="false">fl_pay_27-Sens!E1725*fl_rate</f>
        <v>4.12427</v>
      </c>
      <c r="G1726" s="6" t="n">
        <f aca="false">fl_pay_28-Sens!F1725*fl_rate</f>
        <v>4.48286215</v>
      </c>
      <c r="H1726" s="6" t="n">
        <f aca="false">fl_pay_29-Sens!G1725*fl_rate</f>
        <v>4.05859094675</v>
      </c>
      <c r="I1726" s="6" t="n">
        <f aca="false">fl_pay_30-Sens!H1725*fl_rate</f>
        <v>4.14322753935375</v>
      </c>
      <c r="J1726" s="6" t="n">
        <f aca="false">fl_pay_31-Sens!I1725*fl_rate</f>
        <v>4.30267277862467</v>
      </c>
      <c r="K1726" s="6" t="n">
        <f aca="false">fl_pay_32-Sens!J1725*fl_rate</f>
        <v>4.49629305366278</v>
      </c>
    </row>
    <row r="1727" customFormat="false" ht="17.15" hidden="false" customHeight="false" outlineLevel="0" collapsed="false">
      <c r="A1727" s="1" t="s">
        <v>1120</v>
      </c>
      <c r="B1727" s="0" t="s">
        <v>98</v>
      </c>
      <c r="E1727" s="6" t="n">
        <f aca="false">Q!M35-Q!M36-Q!M44</f>
        <v>63.886</v>
      </c>
      <c r="F1727" s="6" t="n">
        <f aca="false">Sens!F1720-Sens!F1724-Sens!F1726</f>
        <v>16.5487886368223</v>
      </c>
      <c r="G1727" s="6" t="n">
        <f aca="false">Sens!G1720-Sens!G1724-Sens!G1726</f>
        <v>33.6762436241549</v>
      </c>
      <c r="H1727" s="6" t="n">
        <f aca="false">Sens!H1720-Sens!H1724-Sens!H1726</f>
        <v>77.4604631169636</v>
      </c>
      <c r="I1727" s="6" t="n">
        <f aca="false">Sens!I1720-Sens!I1724-Sens!I1726</f>
        <v>149.653299653058</v>
      </c>
      <c r="J1727" s="6" t="n">
        <f aca="false">Sens!J1720-Sens!J1724-Sens!J1726</f>
        <v>224.045011029887</v>
      </c>
      <c r="K1727" s="6" t="n">
        <f aca="false">Sens!K1720-Sens!K1724-Sens!K1726</f>
        <v>260.760895288614</v>
      </c>
      <c r="L1727" s="12" t="s">
        <v>1121</v>
      </c>
    </row>
    <row r="1728" customFormat="false" ht="15" hidden="false" customHeight="false" outlineLevel="0" collapsed="false">
      <c r="A1728" s="1" t="s">
        <v>1122</v>
      </c>
      <c r="B1728" s="0" t="s">
        <v>75</v>
      </c>
      <c r="F1728" s="8" t="n">
        <f aca="false">dps_27</f>
        <v>3.85</v>
      </c>
      <c r="G1728" s="8" t="n">
        <f aca="false">Sens!F1728*(1+dps_g)</f>
        <v>4.158</v>
      </c>
      <c r="H1728" s="8" t="n">
        <f aca="false">Sens!G1728*(1+dps_g)</f>
        <v>4.49064</v>
      </c>
      <c r="I1728" s="8" t="n">
        <f aca="false">Sens!H1728*(1+dps_g)</f>
        <v>4.8498912</v>
      </c>
      <c r="J1728" s="8" t="n">
        <f aca="false">Sens!I1728*(1+dps_g)</f>
        <v>5.237882496</v>
      </c>
      <c r="K1728" s="8" t="n">
        <f aca="false">Sens!J1728*(1+dps_g)</f>
        <v>5.65691309568</v>
      </c>
    </row>
    <row r="1729" customFormat="false" ht="17.15" hidden="false" customHeight="false" outlineLevel="0" collapsed="false">
      <c r="A1729" s="1" t="s">
        <v>1123</v>
      </c>
      <c r="B1729" s="0" t="s">
        <v>98</v>
      </c>
      <c r="E1729" s="6" t="n">
        <f aca="false">Q!M41</f>
        <v>26.445</v>
      </c>
      <c r="F1729" s="6" t="n">
        <f aca="false">Sens!F1728*Sens!E1738</f>
        <v>28.59395</v>
      </c>
      <c r="G1729" s="6" t="n">
        <f aca="false">Sens!G1728*Sens!F1738</f>
        <v>31.0267743207781</v>
      </c>
      <c r="H1729" s="6" t="n">
        <f aca="false">Sens!H1728*Sens!G1738</f>
        <v>33.6910319288695</v>
      </c>
      <c r="I1729" s="6" t="n">
        <f aca="false">Sens!I1728*Sens!H1738</f>
        <v>36.4367527602517</v>
      </c>
      <c r="J1729" s="6" t="n">
        <f aca="false">Sens!J1728*Sens!I1738</f>
        <v>39.4195908664645</v>
      </c>
      <c r="K1729" s="6" t="n">
        <f aca="false">Sens!K1728*Sens!J1738</f>
        <v>42.6599123981599</v>
      </c>
      <c r="L1729" s="1" t="s">
        <v>1124</v>
      </c>
    </row>
    <row r="1730" customFormat="false" ht="15" hidden="false" customHeight="false" outlineLevel="0" collapsed="false">
      <c r="A1730" s="1" t="s">
        <v>1125</v>
      </c>
      <c r="B1730" s="0" t="s">
        <v>98</v>
      </c>
      <c r="E1730" s="6" t="n">
        <f aca="false">Sens!E1727-Sens!E1729</f>
        <v>37.441</v>
      </c>
      <c r="F1730" s="6" t="n">
        <f aca="false">Sens!F1727-Sens!F1729</f>
        <v>-12.0451613631777</v>
      </c>
      <c r="G1730" s="6" t="n">
        <f aca="false">Sens!G1727-Sens!G1729</f>
        <v>2.64946930337671</v>
      </c>
      <c r="H1730" s="6" t="n">
        <f aca="false">Sens!H1727-Sens!H1729</f>
        <v>43.7694311880941</v>
      </c>
      <c r="I1730" s="6" t="n">
        <f aca="false">Sens!I1727-Sens!I1729</f>
        <v>113.216546892807</v>
      </c>
      <c r="J1730" s="6" t="n">
        <f aca="false">Sens!J1727-Sens!J1729</f>
        <v>184.625420163422</v>
      </c>
      <c r="K1730" s="6" t="n">
        <f aca="false">Sens!K1727-Sens!K1729</f>
        <v>218.100982890454</v>
      </c>
    </row>
    <row r="1731" customFormat="false" ht="15" hidden="false" customHeight="false" outlineLevel="0" collapsed="false">
      <c r="A1731" s="1" t="s">
        <v>1126</v>
      </c>
      <c r="B1731" s="0" t="s">
        <v>98</v>
      </c>
      <c r="F1731" s="6" t="n">
        <f aca="false">debt_mat_27</f>
        <v>9.25</v>
      </c>
      <c r="G1731" s="6" t="n">
        <f aca="false">debt_mat_28</f>
        <v>0</v>
      </c>
      <c r="H1731" s="6" t="n">
        <f aca="false">debt_mat_29</f>
        <v>2.001</v>
      </c>
      <c r="I1731" s="6" t="n">
        <f aca="false">debt_mat_30</f>
        <v>0</v>
      </c>
      <c r="J1731" s="6" t="n">
        <f aca="false">debt_mat_31</f>
        <v>0.5</v>
      </c>
      <c r="K1731" s="6" t="n">
        <f aca="false">debt_mat_32</f>
        <v>0</v>
      </c>
    </row>
    <row r="1732" customFormat="false" ht="15" hidden="false" customHeight="false" outlineLevel="0" collapsed="false">
      <c r="A1732" s="1" t="s">
        <v>1127</v>
      </c>
      <c r="B1732" s="0" t="s">
        <v>98</v>
      </c>
      <c r="E1732" s="6" t="n">
        <f aca="false">Q!M40</f>
        <v>22.271</v>
      </c>
      <c r="F1732" s="6" t="n">
        <f aca="false">MAX(0,MIN(bb_target,Sens!E1734+Sens!F1730-Sens!F1731-min_cash))</f>
        <v>5.54783863682233</v>
      </c>
      <c r="G1732" s="6" t="n">
        <f aca="false">MAX(0,MIN(bb_target,Sens!F1734+Sens!G1730-Sens!G1731-min_cash))</f>
        <v>2.64946930337671</v>
      </c>
      <c r="H1732" s="6" t="n">
        <f aca="false">MAX(0,MIN(bb_target,Sens!G1734+Sens!H1730-Sens!H1731-min_cash))</f>
        <v>22.271</v>
      </c>
      <c r="I1732" s="6" t="n">
        <f aca="false">MAX(0,MIN(bb_target,Sens!H1734+Sens!I1730-Sens!I1731-min_cash))</f>
        <v>22.271</v>
      </c>
      <c r="J1732" s="6" t="n">
        <f aca="false">MAX(0,MIN(bb_target,Sens!I1734+Sens!J1730-Sens!J1731-min_cash))</f>
        <v>22.271</v>
      </c>
      <c r="K1732" s="6" t="n">
        <f aca="false">MAX(0,MIN(bb_target,Sens!J1734+Sens!K1730-Sens!K1731-min_cash))</f>
        <v>22.271</v>
      </c>
    </row>
    <row r="1733" customFormat="false" ht="15" hidden="false" customHeight="false" outlineLevel="0" collapsed="false">
      <c r="A1733" s="1" t="s">
        <v>1128</v>
      </c>
      <c r="B1733" s="0" t="s">
        <v>98</v>
      </c>
      <c r="F1733" s="6" t="n">
        <f aca="false">MAX(0,min_cash-(Sens!E1734+Sens!F1730-Sens!F1731-Sens!F1732))</f>
        <v>0</v>
      </c>
      <c r="G1733" s="6" t="n">
        <f aca="false">MAX(0,min_cash-(Sens!F1734+Sens!G1730-Sens!G1731-Sens!G1732))</f>
        <v>0</v>
      </c>
      <c r="H1733" s="6" t="n">
        <f aca="false">MAX(0,min_cash-(Sens!G1734+Sens!H1730-Sens!H1731-Sens!H1732))</f>
        <v>0</v>
      </c>
      <c r="I1733" s="6" t="n">
        <f aca="false">MAX(0,min_cash-(Sens!H1734+Sens!I1730-Sens!I1731-Sens!I1732))</f>
        <v>0</v>
      </c>
      <c r="J1733" s="6" t="n">
        <f aca="false">MAX(0,min_cash-(Sens!I1734+Sens!J1730-Sens!J1731-Sens!J1732))</f>
        <v>0</v>
      </c>
      <c r="K1733" s="6" t="n">
        <f aca="false">MAX(0,min_cash-(Sens!J1734+Sens!K1730-Sens!K1731-Sens!K1732))</f>
        <v>0</v>
      </c>
    </row>
    <row r="1734" customFormat="false" ht="15" hidden="false" customHeight="false" outlineLevel="0" collapsed="false">
      <c r="A1734" s="1" t="s">
        <v>1129</v>
      </c>
      <c r="B1734" s="0" t="s">
        <v>98</v>
      </c>
      <c r="E1734" s="6" t="n">
        <f aca="false">cash_open</f>
        <v>76.843</v>
      </c>
      <c r="F1734" s="6" t="n">
        <f aca="false">Sens!E1734+Sens!F1730-Sens!F1731-Sens!F1732+Sens!F1733</f>
        <v>50</v>
      </c>
      <c r="G1734" s="6" t="n">
        <f aca="false">Sens!F1734+Sens!G1730-Sens!G1731-Sens!G1732+Sens!G1733</f>
        <v>50</v>
      </c>
      <c r="H1734" s="6" t="n">
        <f aca="false">Sens!G1734+Sens!H1730-Sens!H1731-Sens!H1732+Sens!H1733</f>
        <v>69.4974311880941</v>
      </c>
      <c r="I1734" s="6" t="n">
        <f aca="false">Sens!H1734+Sens!I1730-Sens!I1731-Sens!I1732+Sens!I1733</f>
        <v>160.442978080901</v>
      </c>
      <c r="J1734" s="6" t="n">
        <f aca="false">Sens!I1734+Sens!J1730-Sens!J1731-Sens!J1732+Sens!J1733</f>
        <v>322.297398244323</v>
      </c>
      <c r="K1734" s="6" t="n">
        <f aca="false">Sens!J1734+Sens!K1730-Sens!K1731-Sens!K1732+Sens!K1733</f>
        <v>518.127381134777</v>
      </c>
    </row>
    <row r="1735" customFormat="false" ht="15" hidden="false" customHeight="false" outlineLevel="0" collapsed="false">
      <c r="A1735" s="1" t="s">
        <v>1130</v>
      </c>
      <c r="B1735" s="0" t="s">
        <v>98</v>
      </c>
      <c r="E1735" s="6" t="n">
        <f aca="false">debt_face</f>
        <v>46.136</v>
      </c>
      <c r="F1735" s="6" t="n">
        <f aca="false">Sens!E1735-Sens!F1731+Sens!F1733</f>
        <v>36.886</v>
      </c>
      <c r="G1735" s="6" t="n">
        <f aca="false">Sens!F1735-Sens!G1731+Sens!G1733</f>
        <v>36.886</v>
      </c>
      <c r="H1735" s="6" t="n">
        <f aca="false">Sens!G1735-Sens!H1731+Sens!H1733</f>
        <v>34.885</v>
      </c>
      <c r="I1735" s="6" t="n">
        <f aca="false">Sens!H1735-Sens!I1731+Sens!I1733</f>
        <v>34.885</v>
      </c>
      <c r="J1735" s="6" t="n">
        <f aca="false">Sens!I1735-Sens!J1731+Sens!J1733</f>
        <v>34.385</v>
      </c>
      <c r="K1735" s="6" t="n">
        <f aca="false">Sens!J1735-Sens!K1731+Sens!K1733</f>
        <v>34.385</v>
      </c>
    </row>
    <row r="1736" customFormat="false" ht="15" hidden="false" customHeight="false" outlineLevel="0" collapsed="false">
      <c r="A1736" s="1" t="s">
        <v>1131</v>
      </c>
      <c r="B1736" s="0" t="s">
        <v>98</v>
      </c>
      <c r="E1736" s="6" t="n">
        <f aca="false">Sens!E1734-Sens!E1735</f>
        <v>30.707</v>
      </c>
      <c r="F1736" s="6" t="n">
        <f aca="false">Sens!F1734-Sens!F1735</f>
        <v>13.114</v>
      </c>
      <c r="G1736" s="6" t="n">
        <f aca="false">Sens!G1734-Sens!G1735</f>
        <v>13.114</v>
      </c>
      <c r="H1736" s="6" t="n">
        <f aca="false">Sens!H1734-Sens!H1735</f>
        <v>34.6124311880941</v>
      </c>
      <c r="I1736" s="6" t="n">
        <f aca="false">Sens!I1734-Sens!I1735</f>
        <v>125.557978080901</v>
      </c>
      <c r="J1736" s="6" t="n">
        <f aca="false">Sens!J1734-Sens!J1735</f>
        <v>287.912398244323</v>
      </c>
      <c r="K1736" s="6" t="n">
        <f aca="false">Sens!K1734-Sens!K1735</f>
        <v>483.742381134777</v>
      </c>
    </row>
    <row r="1737" customFormat="false" ht="15" hidden="false" customHeight="false" outlineLevel="0" collapsed="false">
      <c r="A1737" s="1" t="s">
        <v>1132</v>
      </c>
      <c r="B1737" s="0" t="s">
        <v>75</v>
      </c>
      <c r="F1737" s="30" t="n">
        <f aca="false">px*(1+bb_g)^(Sens!F1595-base_fy-mid_yr)</f>
        <v>551.84177959629</v>
      </c>
      <c r="G1737" s="30" t="n">
        <f aca="false">px*(1+bb_g)^(Sens!G1595-base_fy-mid_yr)</f>
        <v>595.989121963993</v>
      </c>
      <c r="H1737" s="30" t="n">
        <f aca="false">px*(1+bb_g)^(Sens!H1595-base_fy-mid_yr)</f>
        <v>643.668251721112</v>
      </c>
      <c r="I1737" s="30" t="n">
        <f aca="false">px*(1+bb_g)^(Sens!I1595-base_fy-mid_yr)</f>
        <v>695.161711858801</v>
      </c>
      <c r="J1737" s="30" t="n">
        <f aca="false">px*(1+bb_g)^(Sens!J1595-base_fy-mid_yr)</f>
        <v>750.774648807506</v>
      </c>
      <c r="K1737" s="30" t="n">
        <f aca="false">px*(1+bb_g)^(Sens!K1595-base_fy-mid_yr)</f>
        <v>810.836620712106</v>
      </c>
    </row>
    <row r="1738" customFormat="false" ht="15" hidden="false" customHeight="false" outlineLevel="0" collapsed="false">
      <c r="A1738" s="1" t="s">
        <v>1133</v>
      </c>
      <c r="B1738" s="1" t="s">
        <v>81</v>
      </c>
      <c r="E1738" s="15" t="n">
        <f aca="false">sh_out26</f>
        <v>7.427</v>
      </c>
      <c r="F1738" s="15" t="n">
        <f aca="false">Sens!E1738+sh_iss-Sens!F1732/Sens!F1737</f>
        <v>7.46194668609383</v>
      </c>
      <c r="G1738" s="15" t="n">
        <f aca="false">Sens!F1738+sh_iss-Sens!G1732/Sens!G1737</f>
        <v>7.50250118666148</v>
      </c>
      <c r="H1738" s="15" t="n">
        <f aca="false">Sens!G1738+sh_iss-Sens!H1732/Sens!H1737</f>
        <v>7.51290106471908</v>
      </c>
      <c r="I1738" s="15" t="n">
        <f aca="false">Sens!H1738+sh_iss-Sens!I1732/Sens!I1737</f>
        <v>7.52586391477242</v>
      </c>
      <c r="J1738" s="15" t="n">
        <f aca="false">Sens!I1738+sh_iss-Sens!J1732/Sens!J1737</f>
        <v>7.54119988704403</v>
      </c>
      <c r="K1738" s="15" t="n">
        <f aca="false">Sens!J1738+sh_iss-Sens!K1732/Sens!K1737</f>
        <v>7.55873319470292</v>
      </c>
    </row>
    <row r="1739" customFormat="false" ht="15" hidden="false" customHeight="false" outlineLevel="0" collapsed="false">
      <c r="A1739" s="1" t="s">
        <v>1134</v>
      </c>
      <c r="B1739" s="1" t="s">
        <v>81</v>
      </c>
      <c r="E1739" s="15" t="n">
        <f aca="false">sh_dil26</f>
        <v>7.453</v>
      </c>
      <c r="F1739" s="15" t="n">
        <f aca="false">(Sens!E1738+Sens!F1738)/2+dil_gap</f>
        <v>7.46847334304691</v>
      </c>
      <c r="G1739" s="15" t="n">
        <f aca="false">(Sens!F1738+Sens!G1738)/2+dil_gap</f>
        <v>7.50622393637765</v>
      </c>
      <c r="H1739" s="15" t="n">
        <f aca="false">(Sens!G1738+Sens!H1738)/2+dil_gap</f>
        <v>7.53170112569028</v>
      </c>
      <c r="I1739" s="15" t="n">
        <f aca="false">(Sens!H1738+Sens!I1738)/2+dil_gap</f>
        <v>7.54338248974575</v>
      </c>
      <c r="J1739" s="15" t="n">
        <f aca="false">(Sens!I1738+Sens!J1738)/2+dil_gap</f>
        <v>7.55753190090822</v>
      </c>
      <c r="K1739" s="15" t="n">
        <f aca="false">(Sens!J1738+Sens!K1738)/2+dil_gap</f>
        <v>7.57396654087347</v>
      </c>
    </row>
    <row r="1740" customFormat="false" ht="17.15" hidden="false" customHeight="false" outlineLevel="0" collapsed="false">
      <c r="A1740" s="1" t="s">
        <v>1135</v>
      </c>
      <c r="B1740" s="0" t="s">
        <v>98</v>
      </c>
      <c r="C1740" s="6" t="n">
        <f aca="false">SUM(Sens!F1730:J1730)</f>
        <v>332.215706184522</v>
      </c>
    </row>
    <row r="1741" customFormat="false" ht="15" hidden="false" customHeight="false" outlineLevel="0" collapsed="false">
      <c r="A1741" s="26" t="s">
        <v>1100</v>
      </c>
      <c r="B1741" s="31" t="s">
        <v>98</v>
      </c>
      <c r="C1741" s="27" t="n">
        <f aca="false">Sens!$C$1740-(Sens!F1730+Sens!G1730+Sens!H1730+Sens!I1730+Sens!J1730)</f>
        <v>0</v>
      </c>
      <c r="D1741" s="31"/>
      <c r="E1741" s="31"/>
      <c r="F1741" s="31"/>
      <c r="G1741" s="31"/>
      <c r="H1741" s="31"/>
      <c r="I1741" s="31"/>
      <c r="J1741" s="31"/>
      <c r="K1741" s="31"/>
    </row>
    <row r="1742" customFormat="false" ht="17.15" hidden="false" customHeight="false" outlineLevel="0" collapsed="false">
      <c r="A1742" s="1" t="s">
        <v>1094</v>
      </c>
      <c r="B1742" s="1" t="s">
        <v>1136</v>
      </c>
      <c r="C1742" s="33" t="str">
        <f aca="false">IF(SUM(Sens!F1733:J1733)&gt;0.05,"需要舉債 "&amp;TEXT(SUM(Sens!F1733:J1733),"0.0")&amp;" 十億美元","不需舉債")&amp;"；"&amp;IF(SUM(Sens!F1732:J1732)&lt;COUNT(Sens!F1732:J1732)*bb_target-0.05,"回購較每年 "&amp;TEXT(bb_target,"0.0")&amp;" 的目標少 "&amp;TEXT(COUNT(Sens!F1732:J1732)*bb_target-SUM(Sens!F1732:J1732),"0.0")&amp;" 十億美元（"&amp;TEXT(COUNTIF(Sens!F1732:J1732,"&lt;"&amp;(bb_target-0.05)),"0")&amp;" 年減少）","回購不減")</f>
        <v>不需舉債；回購較每年 22.3 的目標少 36.3 十億美元（2 年減少）</v>
      </c>
    </row>
    <row r="1743" customFormat="false" ht="17.15" hidden="false" customHeight="false" outlineLevel="0" collapsed="false">
      <c r="A1743" s="3" t="s">
        <v>1654</v>
      </c>
    </row>
    <row r="1744" customFormat="false" ht="15" hidden="false" customHeight="false" outlineLevel="0" collapsed="false">
      <c r="A1744" s="4" t="s">
        <v>43</v>
      </c>
      <c r="B1744" s="4" t="s">
        <v>65</v>
      </c>
      <c r="C1744" s="23" t="s">
        <v>942</v>
      </c>
      <c r="D1744" s="23" t="s">
        <v>943</v>
      </c>
      <c r="E1744" s="23" t="s">
        <v>944</v>
      </c>
      <c r="F1744" s="23" t="s">
        <v>945</v>
      </c>
      <c r="G1744" s="23" t="s">
        <v>946</v>
      </c>
      <c r="H1744" s="23" t="s">
        <v>947</v>
      </c>
      <c r="I1744" s="23" t="s">
        <v>948</v>
      </c>
      <c r="J1744" s="23" t="s">
        <v>949</v>
      </c>
      <c r="K1744" s="23" t="s">
        <v>950</v>
      </c>
      <c r="L1744" s="4" t="s">
        <v>47</v>
      </c>
    </row>
    <row r="1745" customFormat="false" ht="17.15" hidden="false" customHeight="false" outlineLevel="0" collapsed="false">
      <c r="A1745" s="1" t="s">
        <v>1216</v>
      </c>
      <c r="B1745" s="1" t="s">
        <v>279</v>
      </c>
      <c r="F1745" s="8" t="n">
        <f aca="false">(1-v_off)*mid_yr</f>
        <v>0.373972602739726</v>
      </c>
      <c r="G1745" s="8" t="n">
        <f aca="false">Sens!G1595-base_fy-mid_yr-v_off</f>
        <v>1.24794520547945</v>
      </c>
      <c r="H1745" s="8" t="n">
        <f aca="false">Sens!H1595-base_fy-mid_yr-v_off</f>
        <v>2.24794520547945</v>
      </c>
      <c r="I1745" s="8" t="n">
        <f aca="false">Sens!I1595-base_fy-mid_yr-v_off</f>
        <v>3.24794520547945</v>
      </c>
      <c r="J1745" s="8" t="n">
        <f aca="false">Sens!J1595-base_fy-mid_yr-v_off</f>
        <v>4.24794520547945</v>
      </c>
      <c r="K1745" s="8" t="n">
        <f aca="false">Sens!K1595-base_fy-mid_yr-v_off</f>
        <v>5.24794520547945</v>
      </c>
      <c r="L1745" s="12" t="s">
        <v>1217</v>
      </c>
    </row>
    <row r="1746" customFormat="false" ht="15" hidden="false" customHeight="false" outlineLevel="0" collapsed="false">
      <c r="A1746" s="1" t="s">
        <v>1218</v>
      </c>
      <c r="B1746" s="1" t="s">
        <v>279</v>
      </c>
      <c r="F1746" s="8" t="n">
        <f aca="false">Sens!F1595-base_fy-v_off</f>
        <v>0.747945205479452</v>
      </c>
      <c r="G1746" s="8" t="n">
        <f aca="false">Sens!G1595-base_fy-v_off</f>
        <v>1.74794520547945</v>
      </c>
      <c r="H1746" s="8" t="n">
        <f aca="false">Sens!H1595-base_fy-v_off</f>
        <v>2.74794520547945</v>
      </c>
      <c r="I1746" s="8" t="n">
        <f aca="false">Sens!I1595-base_fy-v_off</f>
        <v>3.74794520547945</v>
      </c>
      <c r="J1746" s="8" t="n">
        <f aca="false">Sens!J1595-base_fy-v_off</f>
        <v>4.74794520547945</v>
      </c>
      <c r="K1746" s="8" t="n">
        <f aca="false">Sens!K1595-base_fy-v_off</f>
        <v>5.74794520547945</v>
      </c>
    </row>
    <row r="1747" customFormat="false" ht="15" hidden="false" customHeight="false" outlineLevel="0" collapsed="false">
      <c r="A1747" s="1" t="s">
        <v>1219</v>
      </c>
      <c r="B1747" s="0" t="s">
        <v>229</v>
      </c>
      <c r="F1747" s="15" t="n">
        <f aca="false">1/(1+wacc)^Sens!F1745</f>
        <v>0.964022703286649</v>
      </c>
      <c r="G1747" s="15" t="n">
        <f aca="false">1/(1+wacc)^Sens!G1745</f>
        <v>0.884910302296739</v>
      </c>
      <c r="H1747" s="15" t="n">
        <f aca="false">1/(1+wacc)^Sens!H1745</f>
        <v>0.802322009770358</v>
      </c>
      <c r="I1747" s="15" t="n">
        <f aca="false">1/(1+wacc)^Sens!I1745</f>
        <v>0.727441646561469</v>
      </c>
      <c r="J1747" s="15" t="n">
        <f aca="false">1/(1+wacc)^Sens!J1745</f>
        <v>0.659549834988973</v>
      </c>
      <c r="K1747" s="15" t="n">
        <f aca="false">1/(1+wacc)^Sens!K1745</f>
        <v>0.597994336576966</v>
      </c>
    </row>
    <row r="1748" customFormat="false" ht="17.15" hidden="false" customHeight="false" outlineLevel="0" collapsed="false">
      <c r="A1748" s="1" t="s">
        <v>1220</v>
      </c>
      <c r="B1748" s="0" t="s">
        <v>98</v>
      </c>
      <c r="F1748" s="6" t="n">
        <f aca="false">Q!$I$35-Q!$I$39-Q!$I$43</f>
        <v>9.666</v>
      </c>
      <c r="L1748" s="12" t="s">
        <v>1221</v>
      </c>
    </row>
    <row r="1749" customFormat="false" ht="17.15" hidden="false" customHeight="false" outlineLevel="0" collapsed="false">
      <c r="A1749" s="1" t="s">
        <v>1222</v>
      </c>
      <c r="B1749" s="0" t="s">
        <v>98</v>
      </c>
      <c r="F1749" s="6" t="n">
        <f aca="false">Sens!F1720-Sens!F1717-Sens!F1724+Sens!F1702*(1-tax_f)*(1-v_off)-Sens!F1748</f>
        <v>1.67492244974964</v>
      </c>
      <c r="G1749" s="6" t="n">
        <f aca="false">Sens!G1720-Sens!G1717-Sens!G1724+Sens!G1702*(1-tax_f)</f>
        <v>40.1365703649385</v>
      </c>
      <c r="H1749" s="6" t="n">
        <f aca="false">Sens!H1720-Sens!H1717-Sens!H1724+Sens!H1702*(1-tax_f)</f>
        <v>93.9470536220822</v>
      </c>
      <c r="I1749" s="6" t="n">
        <f aca="false">Sens!I1720-Sens!I1717-Sens!I1724+Sens!I1702*(1-tax_f)</f>
        <v>175.671436064154</v>
      </c>
      <c r="J1749" s="6" t="n">
        <f aca="false">Sens!J1720-Sens!J1717-Sens!J1724+Sens!J1702*(1-tax_f)</f>
        <v>256.501665356474</v>
      </c>
      <c r="K1749" s="6" t="n">
        <f aca="false">Sens!K1720-Sens!K1717-Sens!K1724+Sens!K1702*(1-tax_f)</f>
        <v>296.253023578775</v>
      </c>
      <c r="L1749" s="1" t="s">
        <v>1223</v>
      </c>
    </row>
    <row r="1750" customFormat="false" ht="15" hidden="false" customHeight="false" outlineLevel="0" collapsed="false">
      <c r="A1750" s="1" t="s">
        <v>1224</v>
      </c>
      <c r="B1750" s="0" t="s">
        <v>98</v>
      </c>
      <c r="F1750" s="6" t="n">
        <f aca="false">Sens!F1749*Sens!F1747</f>
        <v>1.61466326780314</v>
      </c>
      <c r="G1750" s="6" t="n">
        <f aca="false">Sens!G1749*Sens!G1747</f>
        <v>35.517264614792</v>
      </c>
      <c r="H1750" s="6" t="n">
        <f aca="false">Sens!H1749*Sens!H1747</f>
        <v>75.3757888740726</v>
      </c>
      <c r="I1750" s="6" t="n">
        <f aca="false">Sens!I1749*Sens!I1747</f>
        <v>127.790718704326</v>
      </c>
      <c r="J1750" s="6" t="n">
        <f aca="false">Sens!J1749*Sens!J1747</f>
        <v>169.175631060259</v>
      </c>
      <c r="K1750" s="6" t="n">
        <f aca="false">Sens!K1749*Sens!K1747</f>
        <v>177.15763029391</v>
      </c>
    </row>
    <row r="1751" customFormat="false" ht="17.15" hidden="false" customHeight="false" outlineLevel="0" collapsed="false">
      <c r="A1751" s="1" t="s">
        <v>1225</v>
      </c>
      <c r="B1751" s="0" t="s">
        <v>98</v>
      </c>
      <c r="C1751" s="6" t="n">
        <f aca="false">SUM(Sens!F1750:K1750)</f>
        <v>586.631696815163</v>
      </c>
    </row>
    <row r="1752" customFormat="false" ht="17.15" hidden="false" customHeight="false" outlineLevel="0" collapsed="false">
      <c r="A1752" s="1" t="s">
        <v>1226</v>
      </c>
      <c r="B1752" s="0" t="s">
        <v>98</v>
      </c>
      <c r="C1752" s="6" t="n">
        <f aca="false">Sens!K1688*(1+g_tv)*(1-tax_f)</f>
        <v>307.74434305116</v>
      </c>
    </row>
    <row r="1753" customFormat="false" ht="17.15" hidden="false" customHeight="false" outlineLevel="0" collapsed="false">
      <c r="A1753" s="1" t="s">
        <v>1227</v>
      </c>
      <c r="B1753" s="0" t="s">
        <v>98</v>
      </c>
      <c r="C1753" s="6" t="n">
        <f aca="false">Sens!$C$1752*(1-g_tv/(wacc+ronic_prem))</f>
        <v>218.054853563266</v>
      </c>
    </row>
    <row r="1754" customFormat="false" ht="17.15" hidden="false" customHeight="false" outlineLevel="0" collapsed="false">
      <c r="A1754" s="1" t="s">
        <v>1228</v>
      </c>
      <c r="B1754" s="0" t="s">
        <v>98</v>
      </c>
      <c r="C1754" s="6" t="n">
        <f aca="false">Sens!$C$1753/(wacc-g_tv)</f>
        <v>2989.64964959647</v>
      </c>
    </row>
    <row r="1755" customFormat="false" ht="15" hidden="false" customHeight="false" outlineLevel="0" collapsed="false">
      <c r="A1755" s="1" t="s">
        <v>1229</v>
      </c>
      <c r="B1755" s="0" t="s">
        <v>98</v>
      </c>
      <c r="C1755" s="6" t="n">
        <f aca="false">Sens!$C$1754/(1+wacc)^Sens!K1746</f>
        <v>1702.3235047766</v>
      </c>
    </row>
    <row r="1756" customFormat="false" ht="17.15" hidden="false" customHeight="false" outlineLevel="0" collapsed="false">
      <c r="A1756" s="0" t="s">
        <v>1230</v>
      </c>
      <c r="B1756" s="0" t="s">
        <v>98</v>
      </c>
      <c r="C1756" s="6" t="n">
        <f aca="false">Sens!$C$1751+Sens!$C$1755</f>
        <v>2288.95520159177</v>
      </c>
    </row>
    <row r="1757" customFormat="false" ht="15" hidden="false" customHeight="false" outlineLevel="0" collapsed="false">
      <c r="A1757" s="1" t="s">
        <v>1145</v>
      </c>
      <c r="B1757" s="0" t="s">
        <v>168</v>
      </c>
      <c r="C1757" s="7" t="n">
        <f aca="false">Sens!$C$1755/Sens!$C$1756</f>
        <v>0.743712023543662</v>
      </c>
    </row>
    <row r="1758" customFormat="false" ht="17.15" hidden="false" customHeight="false" outlineLevel="0" collapsed="false">
      <c r="A1758" s="1" t="s">
        <v>1231</v>
      </c>
      <c r="B1758" s="0" t="s">
        <v>98</v>
      </c>
      <c r="C1758" s="6" t="n">
        <f aca="false">Sens!$C$1756+cash_val-debt_val-fl_val+oai_v</f>
        <v>2404.80620159177</v>
      </c>
    </row>
    <row r="1759" customFormat="false" ht="17.15" hidden="false" customHeight="false" outlineLevel="0" collapsed="false">
      <c r="A1759" s="0" t="s">
        <v>1153</v>
      </c>
      <c r="B1759" s="0" t="s">
        <v>75</v>
      </c>
      <c r="C1759" s="5" t="n">
        <f aca="false">Sens!$C$1758/shd_val</f>
        <v>322.966183399378</v>
      </c>
    </row>
    <row r="1760" customFormat="false" ht="15" hidden="false" customHeight="false" outlineLevel="0" collapsed="false">
      <c r="A1760" s="1" t="s">
        <v>1232</v>
      </c>
      <c r="B1760" s="0" t="s">
        <v>75</v>
      </c>
      <c r="C1760" s="8" t="n">
        <f aca="false">div_rem27+Sens!G1728*roll_div_q/q_per_yr</f>
        <v>3.9795</v>
      </c>
    </row>
    <row r="1761" customFormat="false" ht="17.15" hidden="false" customHeight="false" outlineLevel="0" collapsed="false">
      <c r="A1761" s="0" t="s">
        <v>1233</v>
      </c>
      <c r="B1761" s="0" t="s">
        <v>75</v>
      </c>
      <c r="C1761" s="5" t="n">
        <f aca="false">Sens!$C$1759*(1+wacc)^t_roll-Sens!$C$1760</f>
        <v>355.015437831332</v>
      </c>
    </row>
    <row r="1762" customFormat="false" ht="17.15" hidden="false" customHeight="false" outlineLevel="0" collapsed="false">
      <c r="A1762" s="1" t="s">
        <v>1234</v>
      </c>
      <c r="B1762" s="0" t="s">
        <v>168</v>
      </c>
      <c r="F1762" s="7" t="n">
        <f aca="false">Sens!F1714/(Sens!F1659-Sens!F1614)</f>
        <v>0.0689859655976346</v>
      </c>
      <c r="G1762" s="7" t="n">
        <f aca="false">Sens!G1714/(Sens!G1659-Sens!G1614)</f>
        <v>0.0660928494743486</v>
      </c>
      <c r="H1762" s="7" t="n">
        <f aca="false">Sens!H1714/(Sens!H1659-Sens!H1614)</f>
        <v>0.0645606990574903</v>
      </c>
      <c r="I1762" s="7" t="n">
        <f aca="false">Sens!I1714/(Sens!I1659-Sens!I1614)</f>
        <v>0.0642658619890776</v>
      </c>
      <c r="J1762" s="7" t="n">
        <f aca="false">Sens!J1714/(Sens!J1659-Sens!J1614)</f>
        <v>0.0649219020175748</v>
      </c>
      <c r="K1762" s="7" t="n">
        <f aca="false">Sens!K1714/(Sens!K1659-Sens!K1614)</f>
        <v>0.0661776265371771</v>
      </c>
    </row>
    <row r="1763" customFormat="false" ht="17.15" hidden="false" customHeight="false" outlineLevel="0" collapsed="false">
      <c r="A1763" s="0" t="s">
        <v>1235</v>
      </c>
      <c r="B1763" s="0" t="s">
        <v>98</v>
      </c>
      <c r="F1763" s="6" t="n">
        <f aca="false">Sens!F1644*(al_m365+Sens!F1762+sbc_r)</f>
        <v>83.7640109504731</v>
      </c>
      <c r="G1763" s="6" t="n">
        <f aca="false">Sens!G1644*(al_m365+Sens!G1762+sbc_r)</f>
        <v>96.1656031546563</v>
      </c>
      <c r="H1763" s="6" t="n">
        <f aca="false">Sens!H1644*(al_m365+Sens!H1762+sbc_r)</f>
        <v>108.730049552234</v>
      </c>
      <c r="I1763" s="6" t="n">
        <f aca="false">Sens!I1644*(al_m365+Sens!I1762+sbc_r)</f>
        <v>120.276934839415</v>
      </c>
      <c r="J1763" s="6" t="n">
        <f aca="false">Sens!J1644*(al_m365+Sens!J1762+sbc_r)</f>
        <v>130.618607727069</v>
      </c>
      <c r="K1763" s="6" t="n">
        <f aca="false">Sens!K1644*(al_m365+Sens!K1762+sbc_r)</f>
        <v>140.571135747479</v>
      </c>
      <c r="L1763" s="12" t="s">
        <v>1236</v>
      </c>
    </row>
    <row r="1764" customFormat="false" ht="17.15" hidden="false" customHeight="false" outlineLevel="0" collapsed="false">
      <c r="A1764" s="0" t="s">
        <v>1237</v>
      </c>
      <c r="B1764" s="0" t="s">
        <v>98</v>
      </c>
      <c r="F1764" s="6" t="n">
        <f aca="false">Sens!F1645*(al_lic+Sens!F1762+sbc_r)</f>
        <v>32.8718299853916</v>
      </c>
      <c r="G1764" s="6" t="n">
        <f aca="false">Sens!G1645*(al_lic+Sens!G1762+sbc_r)</f>
        <v>34.1480090687088</v>
      </c>
      <c r="H1764" s="6" t="n">
        <f aca="false">Sens!H1645*(al_lic+Sens!H1762+sbc_r)</f>
        <v>35.339673424036</v>
      </c>
      <c r="I1764" s="6" t="n">
        <f aca="false">Sens!I1645*(al_lic+Sens!I1762+sbc_r)</f>
        <v>36.4286753455975</v>
      </c>
      <c r="J1764" s="6" t="n">
        <f aca="false">Sens!J1645*(al_lic+Sens!J1762+sbc_r)</f>
        <v>37.3895216958224</v>
      </c>
      <c r="K1764" s="6" t="n">
        <f aca="false">Sens!K1645*(al_lic+Sens!K1762+sbc_r)</f>
        <v>38.1935009198002</v>
      </c>
    </row>
    <row r="1765" customFormat="false" ht="17.15" hidden="false" customHeight="false" outlineLevel="0" collapsed="false">
      <c r="A1765" s="0" t="s">
        <v>1238</v>
      </c>
      <c r="B1765" s="0" t="s">
        <v>98</v>
      </c>
      <c r="F1765" s="6" t="n">
        <f aca="false">Sens!F1647*(al_ind+Sens!F1762+sbc_r)</f>
        <v>9.06859363030867</v>
      </c>
      <c r="G1765" s="6" t="n">
        <f aca="false">Sens!G1647*(al_ind+Sens!G1762+sbc_r)</f>
        <v>9.84252097943944</v>
      </c>
      <c r="H1765" s="6" t="n">
        <f aca="false">Sens!H1647*(al_ind+Sens!H1762+sbc_r)</f>
        <v>10.6615554112984</v>
      </c>
      <c r="I1765" s="6" t="n">
        <f aca="false">Sens!I1647*(al_ind+Sens!I1762+sbc_r)</f>
        <v>11.5226743751957</v>
      </c>
      <c r="J1765" s="6" t="n">
        <f aca="false">Sens!J1647*(al_ind+Sens!J1762+sbc_r)</f>
        <v>12.4161209802895</v>
      </c>
      <c r="K1765" s="6" t="n">
        <f aca="false">Sens!K1647*(al_ind+Sens!K1762+sbc_r)</f>
        <v>13.3267170784624</v>
      </c>
    </row>
    <row r="1766" customFormat="false" ht="17.15" hidden="false" customHeight="false" outlineLevel="0" collapsed="false">
      <c r="A1766" s="0" t="s">
        <v>1239</v>
      </c>
      <c r="B1766" s="0" t="s">
        <v>98</v>
      </c>
      <c r="F1766" s="6" t="n">
        <f aca="false">Sens!F1649*(al_fro+Sens!F1762+sbc_r)</f>
        <v>3.55723685381039</v>
      </c>
      <c r="G1766" s="6" t="n">
        <f aca="false">Sens!G1649*(al_fro+Sens!G1762+sbc_r)</f>
        <v>3.76603699106277</v>
      </c>
      <c r="H1766" s="6" t="n">
        <f aca="false">Sens!H1649*(al_fro+Sens!H1762+sbc_r)</f>
        <v>4.00391444683595</v>
      </c>
      <c r="I1766" s="6" t="n">
        <f aca="false">Sens!I1649*(al_fro+Sens!I1762+sbc_r)</f>
        <v>4.27362138725266</v>
      </c>
      <c r="J1766" s="6" t="n">
        <f aca="false">Sens!J1649*(al_fro+Sens!J1762+sbc_r)</f>
        <v>4.57627221963281</v>
      </c>
      <c r="K1766" s="6" t="n">
        <f aca="false">Sens!K1649*(al_fro+Sens!K1762+sbc_r)</f>
        <v>4.91189520800335</v>
      </c>
    </row>
    <row r="1767" customFormat="false" ht="17.15" hidden="false" customHeight="false" outlineLevel="0" collapsed="false">
      <c r="A1767" s="0" t="s">
        <v>1240</v>
      </c>
      <c r="B1767" s="0" t="s">
        <v>98</v>
      </c>
      <c r="F1767" s="6" t="n">
        <f aca="false">Sens!F1652*(al_srch+Sens!F1762+sbc_r)</f>
        <v>11.199187950833</v>
      </c>
      <c r="G1767" s="6" t="n">
        <f aca="false">Sens!G1652*(al_srch+Sens!G1762+sbc_r)</f>
        <v>12.2696300232523</v>
      </c>
      <c r="H1767" s="6" t="n">
        <f aca="false">Sens!H1652*(al_srch+Sens!H1762+sbc_r)</f>
        <v>13.3851853913687</v>
      </c>
      <c r="I1767" s="6" t="n">
        <f aca="false">Sens!I1652*(al_srch+Sens!I1762+sbc_r)</f>
        <v>14.535265247186</v>
      </c>
      <c r="J1767" s="6" t="n">
        <f aca="false">Sens!J1652*(al_srch+Sens!J1762+sbc_r)</f>
        <v>15.6998430878367</v>
      </c>
      <c r="K1767" s="6" t="n">
        <f aca="false">Sens!K1652*(al_srch+Sens!K1762+sbc_r)</f>
        <v>16.8512667796972</v>
      </c>
    </row>
    <row r="1768" customFormat="false" ht="17.15" hidden="false" customHeight="false" outlineLevel="0" collapsed="false">
      <c r="A1768" s="0" t="s">
        <v>1241</v>
      </c>
      <c r="B1768" s="0" t="s">
        <v>98</v>
      </c>
      <c r="F1768" s="6" t="n">
        <f aca="false">Sens!F1620-Sens!F1621+Sens!F1702</f>
        <v>50.8548837499537</v>
      </c>
      <c r="G1768" s="6" t="n">
        <f aca="false">Sens!G1620-Sens!G1621+Sens!G1702</f>
        <v>95.1854726232118</v>
      </c>
      <c r="H1768" s="6" t="n">
        <f aca="false">Sens!H1620-Sens!H1621+Sens!H1702</f>
        <v>142.507557251941</v>
      </c>
      <c r="I1768" s="6" t="n">
        <f aca="false">Sens!I1620-Sens!I1621+Sens!I1702</f>
        <v>184.69613412348</v>
      </c>
      <c r="J1768" s="6" t="n">
        <f aca="false">Sens!J1620-Sens!J1621+Sens!J1702</f>
        <v>214.296149801672</v>
      </c>
      <c r="K1768" s="6" t="n">
        <f aca="false">Sens!K1620-Sens!K1621+Sens!K1702</f>
        <v>232.374440900216</v>
      </c>
    </row>
    <row r="1769" customFormat="false" ht="17.15" hidden="false" customHeight="false" outlineLevel="0" collapsed="false">
      <c r="A1769" s="0" t="s">
        <v>1242</v>
      </c>
      <c r="B1769" s="0" t="s">
        <v>98</v>
      </c>
      <c r="F1769" s="6" t="n">
        <f aca="false">Sens!F1681+Sens!F1702+Sens!F1632+Sens!F1762*(Sens!F1651-Sens!F1614)+sbc_r*Sens!F1651</f>
        <v>244.602796662637</v>
      </c>
      <c r="G1769" s="6" t="n">
        <f aca="false">Sens!G1681+Sens!G1702+Sens!G1632+Sens!G1762*(Sens!G1651-Sens!G1614)+sbc_r*Sens!G1651</f>
        <v>312.700837856431</v>
      </c>
      <c r="H1769" s="6" t="n">
        <f aca="false">Sens!H1681+Sens!H1702+Sens!H1632+Sens!H1762*(Sens!H1651-Sens!H1614)+sbc_r*Sens!H1651</f>
        <v>387.743376514916</v>
      </c>
      <c r="I1769" s="6" t="n">
        <f aca="false">Sens!I1681+Sens!I1702+Sens!I1632+Sens!I1762*(Sens!I1651-Sens!I1614)+sbc_r*Sens!I1651</f>
        <v>456.248284060462</v>
      </c>
      <c r="J1769" s="6" t="n">
        <f aca="false">Sens!J1681+Sens!J1702+Sens!J1632+Sens!J1762*(Sens!J1651-Sens!J1614)+sbc_r*Sens!J1651</f>
        <v>509.669166008764</v>
      </c>
      <c r="K1769" s="6" t="n">
        <f aca="false">Sens!K1681+Sens!K1702+Sens!K1632+Sens!K1762*(Sens!K1651-Sens!K1614)+sbc_r*Sens!K1651</f>
        <v>549.159964099346</v>
      </c>
    </row>
    <row r="1770" customFormat="false" ht="17.15" hidden="false" customHeight="false" outlineLevel="0" collapsed="false">
      <c r="A1770" s="0" t="s">
        <v>1243</v>
      </c>
      <c r="B1770" s="0" t="s">
        <v>98</v>
      </c>
      <c r="F1770" s="6" t="n">
        <f aca="false">Sens!F1769-Sens!F1763-Sens!F1764-Sens!F1765-Sens!F1766-Sens!F1768</f>
        <v>64.4862414926997</v>
      </c>
      <c r="G1770" s="6" t="n">
        <f aca="false">Sens!G1769-Sens!G1763-Sens!G1764-Sens!G1765-Sens!G1766-Sens!G1768</f>
        <v>73.5931950393515</v>
      </c>
      <c r="H1770" s="6" t="n">
        <f aca="false">Sens!H1769-Sens!H1763-Sens!H1764-Sens!H1765-Sens!H1766-Sens!H1768</f>
        <v>86.5006264285713</v>
      </c>
      <c r="I1770" s="6" t="n">
        <f aca="false">Sens!I1769-Sens!I1763-Sens!I1764-Sens!I1765-Sens!I1766-Sens!I1768</f>
        <v>99.0502439895207</v>
      </c>
      <c r="J1770" s="6" t="n">
        <f aca="false">Sens!J1769-Sens!J1763-Sens!J1764-Sens!J1765-Sens!J1766-Sens!J1768</f>
        <v>110.372493584278</v>
      </c>
      <c r="K1770" s="6" t="n">
        <f aca="false">Sens!K1769-Sens!K1763-Sens!K1764-Sens!K1765-Sens!K1766-Sens!K1768</f>
        <v>119.782274245386</v>
      </c>
    </row>
    <row r="1771" customFormat="false" ht="17.15" hidden="false" customHeight="false" outlineLevel="0" collapsed="false">
      <c r="A1771" s="0" t="s">
        <v>1244</v>
      </c>
      <c r="B1771" s="0" t="s">
        <v>98</v>
      </c>
      <c r="F1771" s="6" t="n">
        <f aca="false">Sens!F1683+Sens!F1762*Sens!F1658+sbc_r*Sens!F1658</f>
        <v>26.6571969439283</v>
      </c>
      <c r="G1771" s="6" t="n">
        <f aca="false">Sens!G1683+Sens!G1762*Sens!G1658+sbc_r*Sens!G1658</f>
        <v>26.489283993605</v>
      </c>
      <c r="H1771" s="6" t="n">
        <f aca="false">Sens!H1683+Sens!H1762*Sens!H1658+sbc_r*Sens!H1658</f>
        <v>27.3585524926777</v>
      </c>
      <c r="I1771" s="6" t="n">
        <f aca="false">Sens!I1683+Sens!I1762*Sens!I1658+sbc_r*Sens!I1658</f>
        <v>28.4644914822938</v>
      </c>
      <c r="J1771" s="6" t="n">
        <f aca="false">Sens!J1683+Sens!J1762*Sens!J1658+sbc_r*Sens!J1658</f>
        <v>29.7716815977735</v>
      </c>
      <c r="K1771" s="6" t="n">
        <f aca="false">Sens!K1683+Sens!K1762*Sens!K1658+sbc_r*Sens!K1658</f>
        <v>31.2428460641278</v>
      </c>
    </row>
    <row r="1772" customFormat="false" ht="17.15" hidden="false" customHeight="false" outlineLevel="0" collapsed="false">
      <c r="A1772" s="0" t="s">
        <v>1245</v>
      </c>
      <c r="B1772" s="0" t="s">
        <v>98</v>
      </c>
      <c r="F1772" s="6" t="n">
        <f aca="false">(Sens!F1771-Sens!F1767)*Sens!F1654/(Sens!F1654+Sens!F1656)</f>
        <v>8.73045962423186</v>
      </c>
      <c r="G1772" s="6" t="n">
        <f aca="false">(Sens!G1771-Sens!G1767)*Sens!G1654/(Sens!G1654+Sens!G1656)</f>
        <v>7.89303062556681</v>
      </c>
      <c r="H1772" s="6" t="n">
        <f aca="false">(Sens!H1771-Sens!H1767)*Sens!H1654/(Sens!H1654+Sens!H1656)</f>
        <v>7.65528005828221</v>
      </c>
      <c r="I1772" s="6" t="n">
        <f aca="false">(Sens!I1771-Sens!I1767)*Sens!I1654/(Sens!I1654+Sens!I1656)</f>
        <v>7.56448989276385</v>
      </c>
      <c r="J1772" s="6" t="n">
        <f aca="false">(Sens!J1771-Sens!J1767)*Sens!J1654/(Sens!J1654+Sens!J1656)</f>
        <v>7.60859636485281</v>
      </c>
      <c r="K1772" s="6" t="n">
        <f aca="false">(Sens!K1771-Sens!K1767)*Sens!K1654/(Sens!K1654+Sens!K1656)</f>
        <v>7.78147914010575</v>
      </c>
    </row>
    <row r="1773" customFormat="false" ht="17.15" hidden="false" customHeight="false" outlineLevel="0" collapsed="false">
      <c r="A1773" s="0" t="s">
        <v>1246</v>
      </c>
      <c r="B1773" s="0" t="s">
        <v>98</v>
      </c>
      <c r="F1773" s="6" t="n">
        <f aca="false">Sens!F1771-Sens!F1767-Sens!F1772</f>
        <v>6.72754936886346</v>
      </c>
      <c r="G1773" s="6" t="n">
        <f aca="false">Sens!G1771-Sens!G1767-Sens!G1772</f>
        <v>6.32662334478585</v>
      </c>
      <c r="H1773" s="6" t="n">
        <f aca="false">Sens!H1771-Sens!H1767-Sens!H1772</f>
        <v>6.31808704302685</v>
      </c>
      <c r="I1773" s="6" t="n">
        <f aca="false">Sens!I1771-Sens!I1767-Sens!I1772</f>
        <v>6.3647363423439</v>
      </c>
      <c r="J1773" s="6" t="n">
        <f aca="false">Sens!J1771-Sens!J1767-Sens!J1772</f>
        <v>6.46324214508396</v>
      </c>
      <c r="K1773" s="6" t="n">
        <f aca="false">Sens!K1771-Sens!K1767-Sens!K1772</f>
        <v>6.61010014432486</v>
      </c>
    </row>
    <row r="1774" customFormat="false" ht="17.15" hidden="false" customHeight="false" outlineLevel="0" collapsed="false">
      <c r="A1774" s="0" t="s">
        <v>1247</v>
      </c>
      <c r="B1774" s="0" t="s">
        <v>98</v>
      </c>
      <c r="F1774" s="6" t="n">
        <f aca="false">Sens!F1768-tax_f*(Sens!F1768-Sens!F1632)-Sens!F1629</f>
        <v>-120.854134146486</v>
      </c>
      <c r="G1774" s="6" t="n">
        <f aca="false">Sens!G1768-tax_f*(Sens!G1768-Sens!G1632)-Sens!G1629</f>
        <v>-103.649199420019</v>
      </c>
      <c r="H1774" s="6" t="n">
        <f aca="false">Sens!H1768-tax_f*(Sens!H1768-Sens!H1632)-Sens!H1629</f>
        <v>-64.9799401306706</v>
      </c>
      <c r="I1774" s="6" t="n">
        <f aca="false">Sens!I1768-tax_f*(Sens!I1768-Sens!I1632)-Sens!I1629</f>
        <v>1.98827561608368</v>
      </c>
      <c r="J1774" s="6" t="n">
        <f aca="false">Sens!J1768-tax_f*(Sens!J1768-Sens!J1632)-Sens!J1629</f>
        <v>68.9101232553161</v>
      </c>
      <c r="K1774" s="6" t="n">
        <f aca="false">Sens!K1768-tax_f*(Sens!K1768-Sens!K1632)-Sens!K1629</f>
        <v>95.5392335656272</v>
      </c>
    </row>
    <row r="1775" customFormat="false" ht="17.15" hidden="false" customHeight="false" outlineLevel="0" collapsed="false">
      <c r="A1775" s="0" t="s">
        <v>1248</v>
      </c>
      <c r="B1775" s="0" t="s">
        <v>98</v>
      </c>
      <c r="G1775" s="6" t="n">
        <f aca="false">Sens!G1774/(1+wacc)^(Sens!G1745-Sens!F1746)</f>
        <v>-98.693983740281</v>
      </c>
      <c r="H1775" s="6" t="n">
        <f aca="false">Sens!H1774/(1+wacc)^(Sens!H1745-Sens!F1746)</f>
        <v>-56.0987893833892</v>
      </c>
      <c r="I1775" s="6" t="n">
        <f aca="false">Sens!I1774/(1+wacc)^(Sens!I1745-Sens!F1746)</f>
        <v>1.55632474887594</v>
      </c>
      <c r="J1775" s="6" t="n">
        <f aca="false">Sens!J1774/(1+wacc)^(Sens!J1745-Sens!F1746)</f>
        <v>48.9053215727471</v>
      </c>
      <c r="K1775" s="6" t="n">
        <f aca="false">Sens!K1774/(1+wacc)^(Sens!K1745-Sens!F1746)</f>
        <v>61.4758157206639</v>
      </c>
      <c r="L1775" s="1" t="s">
        <v>1249</v>
      </c>
    </row>
    <row r="1776" customFormat="false" ht="17.15" hidden="false" customHeight="false" outlineLevel="0" collapsed="false">
      <c r="A1776" s="0" t="s">
        <v>1250</v>
      </c>
      <c r="B1776" s="0" t="s">
        <v>98</v>
      </c>
      <c r="C1776" s="6" t="n">
        <f aca="false">(Sens!K1768-Sens!K1632)*(1-tax_f)*(1+g_tv)*(1-g_tv/(wacc+ronic_prem))/(wacc-g_tv)/(1+wacc)^(Sens!K1746-Sens!F1746)</f>
        <v>438.284865260434</v>
      </c>
    </row>
    <row r="1777" customFormat="false" ht="17.15" hidden="false" customHeight="false" outlineLevel="0" collapsed="false">
      <c r="A1777" s="1" t="s">
        <v>1251</v>
      </c>
      <c r="B1777" s="0" t="s">
        <v>98</v>
      </c>
      <c r="C1777" s="6" t="n">
        <f aca="false">(SUM(Sens!G1775:K1775)+Sens!$C$1776)*(1+wacc)^(t_roll-Sens!F1746)</f>
        <v>408.483879630235</v>
      </c>
      <c r="L1777" s="12" t="s">
        <v>1252</v>
      </c>
    </row>
    <row r="1778" customFormat="false" ht="17.15" hidden="false" customHeight="false" outlineLevel="0" collapsed="false">
      <c r="A1778" s="1" t="s">
        <v>1253</v>
      </c>
      <c r="B1778" s="0" t="s">
        <v>98</v>
      </c>
      <c r="C1778" s="6" t="n">
        <f aca="false">(w_ntm28*Sens!G1620+(1-w_ntm28)*Sens!H1620)*m_ai</f>
        <v>556.86888435722</v>
      </c>
    </row>
    <row r="1779" customFormat="false" ht="17.15" hidden="false" customHeight="false" outlineLevel="0" collapsed="false">
      <c r="A1779" s="1" t="s">
        <v>1254</v>
      </c>
      <c r="B1779" s="0" t="s">
        <v>98</v>
      </c>
      <c r="C1779" s="6" t="n">
        <f aca="false">(w_ntm28*Sens!G1770+(1-w_ntm28)*Sens!H1770)*m_cloud</f>
        <v>1075.70366562434</v>
      </c>
    </row>
    <row r="1780" customFormat="false" ht="17.15" hidden="false" customHeight="false" outlineLevel="0" collapsed="false">
      <c r="A1780" s="1" t="s">
        <v>1255</v>
      </c>
      <c r="B1780" s="0" t="s">
        <v>98</v>
      </c>
      <c r="C1780" s="6" t="n">
        <f aca="false">(w_ntm28*Sens!G1763+(1-w_ntm28)*Sens!H1763)*m_sw</f>
        <v>1083.20090456689</v>
      </c>
    </row>
    <row r="1781" customFormat="false" ht="17.15" hidden="false" customHeight="false" outlineLevel="0" collapsed="false">
      <c r="A1781" s="1" t="s">
        <v>1256</v>
      </c>
      <c r="B1781" s="0" t="s">
        <v>98</v>
      </c>
      <c r="C1781" s="6" t="n">
        <f aca="false">(w_ntm28*Sens!G1764+(1-w_ntm28)*Sens!H1764)*m_sw</f>
        <v>373.029722611929</v>
      </c>
    </row>
    <row r="1782" customFormat="false" ht="17.15" hidden="false" customHeight="false" outlineLevel="0" collapsed="false">
      <c r="A1782" s="1" t="s">
        <v>1257</v>
      </c>
      <c r="B1782" s="0" t="s">
        <v>98</v>
      </c>
      <c r="C1782" s="6" t="n">
        <f aca="false">(w_ntm28*Sens!G1765+(1-w_ntm28)*Sens!H1765)*m_sw</f>
        <v>109.207359793533</v>
      </c>
    </row>
    <row r="1783" customFormat="false" ht="17.15" hidden="false" customHeight="false" outlineLevel="0" collapsed="false">
      <c r="A1783" s="1" t="s">
        <v>1258</v>
      </c>
      <c r="B1783" s="0" t="s">
        <v>98</v>
      </c>
      <c r="C1783" s="6" t="n">
        <f aca="false">(w_ntm28*Sens!G1766+(1-w_ntm28)*Sens!H1766)*m_sw</f>
        <v>41.517827401237</v>
      </c>
    </row>
    <row r="1784" customFormat="false" ht="17.15" hidden="false" customHeight="false" outlineLevel="0" collapsed="false">
      <c r="A1784" s="1" t="s">
        <v>1259</v>
      </c>
      <c r="B1784" s="0" t="s">
        <v>98</v>
      </c>
      <c r="C1784" s="6" t="n">
        <f aca="false">(w_ntm28*Sens!G1767+(1-w_ntm28)*Sens!H1767)*m_ads</f>
        <v>115.117494247239</v>
      </c>
    </row>
    <row r="1785" customFormat="false" ht="17.15" hidden="false" customHeight="false" outlineLevel="0" collapsed="false">
      <c r="A1785" s="1" t="s">
        <v>1260</v>
      </c>
      <c r="B1785" s="0" t="s">
        <v>98</v>
      </c>
      <c r="C1785" s="6" t="n">
        <f aca="false">(w_ntm28*Sens!G1772+(1-w_ntm28)*Sens!H1772)*m_game</f>
        <v>98.7017582809731</v>
      </c>
    </row>
    <row r="1786" customFormat="false" ht="17.15" hidden="false" customHeight="false" outlineLevel="0" collapsed="false">
      <c r="A1786" s="1" t="s">
        <v>1261</v>
      </c>
      <c r="B1786" s="0" t="s">
        <v>98</v>
      </c>
      <c r="C1786" s="6" t="n">
        <f aca="false">(w_ntm28*Sens!G1773+(1-w_ntm28)*Sens!H1773)*m_pc</f>
        <v>91.5056303898065</v>
      </c>
    </row>
    <row r="1787" customFormat="false" ht="17.15" hidden="false" customHeight="false" outlineLevel="0" collapsed="false">
      <c r="A1787" s="1" t="s">
        <v>1262</v>
      </c>
      <c r="B1787" s="0" t="s">
        <v>98</v>
      </c>
      <c r="C1787" s="6" t="n">
        <f aca="false">Sens!$C$1777+Sens!$C$1779+Sens!$C$1780+Sens!$C$1781+Sens!$C$1782+Sens!$C$1783+Sens!$C$1784+Sens!$C$1785+Sens!$C$1786</f>
        <v>3396.46824254618</v>
      </c>
    </row>
    <row r="1788" customFormat="false" ht="17.15" hidden="false" customHeight="false" outlineLevel="0" collapsed="false">
      <c r="A1788" s="1" t="s">
        <v>1263</v>
      </c>
      <c r="B1788" s="0" t="s">
        <v>98</v>
      </c>
      <c r="C1788" s="6" t="n">
        <f aca="false">(Sens!G1749-Sens!G1774)*t_stub</f>
        <v>47.665967517753</v>
      </c>
      <c r="L1788" s="1" t="s">
        <v>1264</v>
      </c>
    </row>
    <row r="1789" customFormat="false" ht="17.15" hidden="false" customHeight="false" outlineLevel="0" collapsed="false">
      <c r="A1789" s="1" t="s">
        <v>1173</v>
      </c>
      <c r="B1789" s="0" t="s">
        <v>98</v>
      </c>
      <c r="C1789" s="6" t="n">
        <f aca="false">Sens!F1736+oai_v-Sens!F1725+Sens!$C$1788</f>
        <v>161.894237517753</v>
      </c>
      <c r="L1789" s="1" t="s">
        <v>1265</v>
      </c>
    </row>
    <row r="1790" customFormat="false" ht="17.15" hidden="false" customHeight="false" outlineLevel="0" collapsed="false">
      <c r="A1790" s="1" t="s">
        <v>1266</v>
      </c>
      <c r="B1790" s="0" t="s">
        <v>75</v>
      </c>
      <c r="C1790" s="5" t="n">
        <f aca="false">(Sens!$C$1787+Sens!$C$1789)/(Sens!F1738+dil_gap)-Sens!G1728*roll_div_q/q_per_yr</f>
        <v>474.299509116119</v>
      </c>
      <c r="L1790" s="1" t="s">
        <v>1267</v>
      </c>
    </row>
    <row r="1791" customFormat="false" ht="17.15" hidden="false" customHeight="false" outlineLevel="0" collapsed="false">
      <c r="A1791" s="1" t="s">
        <v>1268</v>
      </c>
      <c r="B1791" s="0" t="s">
        <v>75</v>
      </c>
      <c r="C1791" s="5" t="n">
        <f aca="false">w_dcf*Sens!$C$1761+(1-w_dcf)*Sens!$C$1790</f>
        <v>414.657473473726</v>
      </c>
    </row>
    <row r="1792" customFormat="false" ht="17.15" hidden="false" customHeight="false" outlineLevel="0" collapsed="false">
      <c r="A1792" s="3" t="s">
        <v>1655</v>
      </c>
    </row>
    <row r="1793" customFormat="false" ht="15" hidden="false" customHeight="false" outlineLevel="0" collapsed="false">
      <c r="A1793" s="4" t="s">
        <v>43</v>
      </c>
      <c r="B1793" s="4" t="s">
        <v>65</v>
      </c>
      <c r="C1793" s="23" t="s">
        <v>942</v>
      </c>
      <c r="D1793" s="23" t="s">
        <v>943</v>
      </c>
      <c r="E1793" s="23" t="s">
        <v>944</v>
      </c>
      <c r="F1793" s="23" t="s">
        <v>945</v>
      </c>
      <c r="G1793" s="23" t="s">
        <v>946</v>
      </c>
      <c r="H1793" s="23" t="s">
        <v>947</v>
      </c>
      <c r="I1793" s="23" t="s">
        <v>948</v>
      </c>
      <c r="J1793" s="23" t="s">
        <v>949</v>
      </c>
      <c r="K1793" s="23" t="s">
        <v>950</v>
      </c>
      <c r="L1793" s="4" t="s">
        <v>47</v>
      </c>
    </row>
    <row r="1794" customFormat="false" ht="17.15" hidden="false" customHeight="false" outlineLevel="0" collapsed="false">
      <c r="A1794" s="1" t="s">
        <v>951</v>
      </c>
      <c r="B1794" s="1" t="s">
        <v>279</v>
      </c>
      <c r="C1794" s="21" t="n">
        <v>2024</v>
      </c>
      <c r="D1794" s="21" t="n">
        <v>2025</v>
      </c>
      <c r="E1794" s="21" t="n">
        <v>2026</v>
      </c>
      <c r="F1794" s="21" t="n">
        <v>2027</v>
      </c>
      <c r="G1794" s="21" t="n">
        <v>2028</v>
      </c>
      <c r="H1794" s="21" t="n">
        <v>2029</v>
      </c>
      <c r="I1794" s="21" t="n">
        <v>2030</v>
      </c>
      <c r="J1794" s="21" t="n">
        <v>2031</v>
      </c>
      <c r="K1794" s="21" t="n">
        <v>2032</v>
      </c>
    </row>
    <row r="1795" customFormat="false" ht="17.15" hidden="false" customHeight="false" outlineLevel="0" collapsed="false">
      <c r="A1795" s="1" t="s">
        <v>952</v>
      </c>
      <c r="B1795" s="0" t="s">
        <v>459</v>
      </c>
      <c r="F1795" s="30" t="n">
        <f aca="false">pace</f>
        <v>2726.5351</v>
      </c>
      <c r="G1795" s="30" t="n">
        <f aca="false">pace</f>
        <v>2726.5351</v>
      </c>
      <c r="H1795" s="30" t="n">
        <f aca="false">pace</f>
        <v>2726.5351</v>
      </c>
      <c r="I1795" s="30" t="n">
        <f aca="false">pace+(g_tv*Sens!H1796-pace)*MIN(1,(Sens!I1794-pace_y0)/(pace_y1-pace_y0))</f>
        <v>1931.98611966667</v>
      </c>
      <c r="J1795" s="30" t="n">
        <f aca="false">pace+(g_tv*Sens!I1796-pace)*MIN(1,(Sens!J1794-pace_y0)/(pace_y1-pace_y0))</f>
        <v>1176.07686172667</v>
      </c>
      <c r="K1795" s="30" t="n">
        <f aca="false">pace+(g_tv*Sens!J1796-pace)*MIN(1,(Sens!K1794-pace_y0)/(pace_y1-pace_y0))</f>
        <v>436.1300484418</v>
      </c>
      <c r="L1795" s="12" t="s">
        <v>953</v>
      </c>
    </row>
    <row r="1796" customFormat="false" ht="17.15" hidden="false" customHeight="false" outlineLevel="0" collapsed="false">
      <c r="A1796" s="1" t="s">
        <v>954</v>
      </c>
      <c r="B1796" s="0" t="s">
        <v>459</v>
      </c>
      <c r="C1796" s="30" t="n">
        <f aca="false">mw_ext_24</f>
        <v>640</v>
      </c>
      <c r="D1796" s="30" t="n">
        <f aca="false">mw_ext_25</f>
        <v>1630</v>
      </c>
      <c r="E1796" s="30" t="n">
        <f aca="false">mw_ext_26</f>
        <v>3250</v>
      </c>
      <c r="F1796" s="30" t="n">
        <f aca="false">Sens!E1796+Sens!F1795</f>
        <v>5976.5351</v>
      </c>
      <c r="G1796" s="30" t="n">
        <f aca="false">Sens!F1796+Sens!G1795</f>
        <v>8703.0702</v>
      </c>
      <c r="H1796" s="30" t="n">
        <f aca="false">Sens!G1796+Sens!H1795</f>
        <v>11429.6053</v>
      </c>
      <c r="I1796" s="30" t="n">
        <f aca="false">Sens!H1796+Sens!I1795</f>
        <v>13361.5914196667</v>
      </c>
      <c r="J1796" s="30" t="n">
        <f aca="false">Sens!I1796+Sens!J1795</f>
        <v>14537.6682813933</v>
      </c>
      <c r="K1796" s="30" t="n">
        <f aca="false">Sens!J1796+Sens!K1795</f>
        <v>14973.7983298351</v>
      </c>
      <c r="L1796" s="1" t="s">
        <v>955</v>
      </c>
    </row>
    <row r="1797" customFormat="false" ht="17.15" hidden="false" customHeight="false" outlineLevel="0" collapsed="false">
      <c r="A1797" s="1" t="s">
        <v>956</v>
      </c>
      <c r="B1797" s="0" t="s">
        <v>459</v>
      </c>
      <c r="C1797" s="30" t="n">
        <f aca="false">rent_ext_24</f>
        <v>150</v>
      </c>
      <c r="D1797" s="30" t="n">
        <f aca="false">rent_ext_25</f>
        <v>400</v>
      </c>
      <c r="E1797" s="30" t="n">
        <f aca="false">rent_ext_26</f>
        <v>550</v>
      </c>
      <c r="F1797" s="30" t="n">
        <f aca="false">rent_ext_f</f>
        <v>756</v>
      </c>
      <c r="G1797" s="30" t="n">
        <f aca="false">rent_ext_f</f>
        <v>756</v>
      </c>
      <c r="H1797" s="30" t="n">
        <f aca="false">rent_ext_f</f>
        <v>756</v>
      </c>
      <c r="I1797" s="30" t="n">
        <f aca="false">rent_ext_f</f>
        <v>756</v>
      </c>
      <c r="J1797" s="30" t="n">
        <f aca="false">rent_ext_f</f>
        <v>756</v>
      </c>
      <c r="K1797" s="30" t="n">
        <f aca="false">rent_ext_f</f>
        <v>756</v>
      </c>
      <c r="L1797" s="1" t="s">
        <v>957</v>
      </c>
    </row>
    <row r="1798" customFormat="false" ht="17.15" hidden="false" customHeight="false" outlineLevel="0" collapsed="false">
      <c r="A1798" s="1" t="s">
        <v>958</v>
      </c>
      <c r="B1798" s="0" t="s">
        <v>459</v>
      </c>
      <c r="C1798" s="30" t="n">
        <f aca="false">Sens!C1796-Sens!C1797</f>
        <v>490</v>
      </c>
      <c r="D1798" s="30" t="n">
        <f aca="false">Sens!D1796-Sens!D1797</f>
        <v>1230</v>
      </c>
      <c r="E1798" s="30" t="n">
        <f aca="false">Sens!E1796-Sens!E1797</f>
        <v>2700</v>
      </c>
      <c r="F1798" s="30" t="n">
        <f aca="false">Sens!F1796-Sens!F1797</f>
        <v>5220.5351</v>
      </c>
      <c r="G1798" s="30" t="n">
        <f aca="false">Sens!G1796-Sens!G1797</f>
        <v>7947.0702</v>
      </c>
      <c r="H1798" s="30" t="n">
        <f aca="false">Sens!H1796-Sens!H1797</f>
        <v>10673.6053</v>
      </c>
      <c r="I1798" s="30" t="n">
        <f aca="false">Sens!I1796-Sens!I1797</f>
        <v>12605.5914196667</v>
      </c>
      <c r="J1798" s="30" t="n">
        <f aca="false">Sens!J1796-Sens!J1797</f>
        <v>13781.6682813933</v>
      </c>
      <c r="K1798" s="30" t="n">
        <f aca="false">Sens!K1796-Sens!K1797</f>
        <v>14217.7983298351</v>
      </c>
    </row>
    <row r="1799" customFormat="false" ht="17.15" hidden="false" customHeight="false" outlineLevel="0" collapsed="false">
      <c r="A1799" s="1" t="s">
        <v>959</v>
      </c>
      <c r="B1799" s="0" t="s">
        <v>459</v>
      </c>
      <c r="C1799" s="30" t="n">
        <f aca="false">Sens!C1798/ext_sh</f>
        <v>816.666666666667</v>
      </c>
      <c r="D1799" s="30" t="n">
        <f aca="false">Sens!D1798/ext_sh</f>
        <v>2050</v>
      </c>
      <c r="E1799" s="30" t="n">
        <f aca="false">Sens!E1798/ext_sh</f>
        <v>4500</v>
      </c>
      <c r="F1799" s="30" t="n">
        <f aca="false">Sens!F1798/ext_sh</f>
        <v>8700.89183333333</v>
      </c>
      <c r="G1799" s="30" t="n">
        <f aca="false">Sens!G1798/ext_sh</f>
        <v>13245.117</v>
      </c>
      <c r="H1799" s="30" t="n">
        <f aca="false">Sens!H1798/ext_sh</f>
        <v>17789.3421666667</v>
      </c>
      <c r="I1799" s="30" t="n">
        <f aca="false">Sens!I1798/ext_sh</f>
        <v>21009.3190327778</v>
      </c>
      <c r="J1799" s="30" t="n">
        <f aca="false">Sens!J1798/ext_sh</f>
        <v>22969.4471356556</v>
      </c>
      <c r="K1799" s="30" t="n">
        <f aca="false">Sens!K1798/ext_sh</f>
        <v>23696.3305497252</v>
      </c>
      <c r="L1799" s="1" t="s">
        <v>960</v>
      </c>
    </row>
    <row r="1800" customFormat="false" ht="17.15" hidden="false" customHeight="false" outlineLevel="0" collapsed="false">
      <c r="A1800" s="1" t="s">
        <v>961</v>
      </c>
      <c r="B1800" s="0" t="s">
        <v>459</v>
      </c>
      <c r="C1800" s="30" t="n">
        <f aca="false">Sens!C1799-Sens!C1798</f>
        <v>326.666666666667</v>
      </c>
      <c r="D1800" s="30" t="n">
        <f aca="false">Sens!D1799-Sens!D1798</f>
        <v>820</v>
      </c>
      <c r="E1800" s="30" t="n">
        <f aca="false">Sens!E1799-Sens!E1798</f>
        <v>1800</v>
      </c>
      <c r="F1800" s="30" t="n">
        <f aca="false">Sens!F1799-Sens!F1798</f>
        <v>3480.35673333333</v>
      </c>
      <c r="G1800" s="30" t="n">
        <f aca="false">Sens!G1799-Sens!G1798</f>
        <v>5298.0468</v>
      </c>
      <c r="H1800" s="30" t="n">
        <f aca="false">Sens!H1799-Sens!H1798</f>
        <v>7115.73686666667</v>
      </c>
      <c r="I1800" s="30" t="n">
        <f aca="false">Sens!I1799-Sens!I1798</f>
        <v>8403.72761311111</v>
      </c>
      <c r="J1800" s="30" t="n">
        <f aca="false">Sens!J1799-Sens!J1798</f>
        <v>9187.77885426222</v>
      </c>
      <c r="K1800" s="30" t="n">
        <f aca="false">Sens!K1799-Sens!K1798</f>
        <v>9478.53221989009</v>
      </c>
    </row>
    <row r="1801" customFormat="false" ht="17.15" hidden="false" customHeight="false" outlineLevel="0" collapsed="false">
      <c r="A1801" s="1" t="s">
        <v>962</v>
      </c>
      <c r="B1801" s="0" t="s">
        <v>459</v>
      </c>
      <c r="C1801" s="30" t="n">
        <f aca="false">Sens!C1799</f>
        <v>816.666666666667</v>
      </c>
      <c r="D1801" s="30" t="n">
        <f aca="false">Sens!D1799-Sens!C1799</f>
        <v>1233.33333333333</v>
      </c>
      <c r="E1801" s="30" t="n">
        <f aca="false">Sens!E1799-Sens!D1799</f>
        <v>2450</v>
      </c>
      <c r="F1801" s="30" t="n">
        <f aca="false">Sens!F1799-Sens!E1799</f>
        <v>4200.89183333333</v>
      </c>
      <c r="G1801" s="30" t="n">
        <f aca="false">Sens!G1799-Sens!F1799</f>
        <v>4544.22516666667</v>
      </c>
      <c r="H1801" s="30" t="n">
        <f aca="false">Sens!H1799-Sens!G1799</f>
        <v>4544.22516666667</v>
      </c>
      <c r="I1801" s="30" t="n">
        <f aca="false">Sens!I1799-Sens!H1799</f>
        <v>3219.97686611111</v>
      </c>
      <c r="J1801" s="30" t="n">
        <f aca="false">Sens!J1799-Sens!I1799</f>
        <v>1960.12810287778</v>
      </c>
      <c r="K1801" s="30" t="n">
        <f aca="false">Sens!K1799-Sens!J1799</f>
        <v>726.883414069667</v>
      </c>
    </row>
    <row r="1802" customFormat="false" ht="17.15" hidden="false" customHeight="false" outlineLevel="0" collapsed="false">
      <c r="A1802" s="1" t="s">
        <v>963</v>
      </c>
      <c r="B1802" s="0" t="s">
        <v>459</v>
      </c>
      <c r="D1802" s="30" t="n">
        <f aca="false">Sens!D1796-Sens!C1796</f>
        <v>990</v>
      </c>
      <c r="E1802" s="30" t="n">
        <f aca="false">Sens!E1796-Sens!D1796</f>
        <v>1620</v>
      </c>
      <c r="F1802" s="30" t="n">
        <f aca="false">Sens!F1796-Sens!E1796</f>
        <v>2726.5351</v>
      </c>
      <c r="G1802" s="30" t="n">
        <f aca="false">Sens!G1796-Sens!F1796</f>
        <v>2726.5351</v>
      </c>
      <c r="H1802" s="30" t="n">
        <f aca="false">Sens!H1796-Sens!G1796</f>
        <v>2726.5351</v>
      </c>
      <c r="I1802" s="30" t="n">
        <f aca="false">Sens!I1796-Sens!H1796</f>
        <v>1931.98611966667</v>
      </c>
      <c r="J1802" s="30" t="n">
        <f aca="false">Sens!J1796-Sens!I1796</f>
        <v>1176.07686172667</v>
      </c>
      <c r="K1802" s="30" t="n">
        <f aca="false">Sens!K1796-Sens!J1796</f>
        <v>436.130048441799</v>
      </c>
    </row>
    <row r="1803" customFormat="false" ht="17.15" hidden="false" customHeight="false" outlineLevel="0" collapsed="false">
      <c r="A1803" s="1" t="s">
        <v>964</v>
      </c>
      <c r="B1803" s="0" t="s">
        <v>459</v>
      </c>
      <c r="F1803" s="30" t="n">
        <f aca="false">Sens!F1822*ext_sh</f>
        <v>0</v>
      </c>
      <c r="G1803" s="30" t="n">
        <f aca="false">Sens!G1822*ext_sh</f>
        <v>0</v>
      </c>
      <c r="H1803" s="30" t="n">
        <f aca="false">Sens!H1822*ext_sh</f>
        <v>0</v>
      </c>
      <c r="I1803" s="30" t="n">
        <f aca="false">Sens!I1822*ext_sh</f>
        <v>490</v>
      </c>
      <c r="J1803" s="30" t="n">
        <f aca="false">Sens!J1822*ext_sh</f>
        <v>740</v>
      </c>
      <c r="K1803" s="30" t="n">
        <f aca="false">Sens!K1822*ext_sh</f>
        <v>1470</v>
      </c>
      <c r="L1803" s="1" t="s">
        <v>965</v>
      </c>
    </row>
    <row r="1804" customFormat="false" ht="17.15" hidden="false" customHeight="false" outlineLevel="0" collapsed="false">
      <c r="A1804" s="1" t="s">
        <v>966</v>
      </c>
      <c r="B1804" s="0" t="s">
        <v>459</v>
      </c>
      <c r="C1804" s="30" t="n">
        <f aca="false">mix_h*Sens!C1796</f>
        <v>128</v>
      </c>
      <c r="D1804" s="30" t="n">
        <f aca="false">mix_h*Sens!D1796</f>
        <v>326</v>
      </c>
      <c r="E1804" s="30" t="n">
        <f aca="false">mix_h*Sens!E1796</f>
        <v>650</v>
      </c>
      <c r="F1804" s="30" t="n">
        <f aca="false">Sens!E1804-Sens!F1803*mix_h</f>
        <v>650</v>
      </c>
      <c r="G1804" s="30" t="n">
        <f aca="false">Sens!F1804-Sens!G1803*mix_h</f>
        <v>650</v>
      </c>
      <c r="H1804" s="30" t="n">
        <f aca="false">Sens!G1804-Sens!H1803*mix_h</f>
        <v>650</v>
      </c>
      <c r="I1804" s="30" t="n">
        <f aca="false">Sens!H1804-Sens!I1803*mix_h</f>
        <v>552</v>
      </c>
      <c r="J1804" s="30" t="n">
        <f aca="false">Sens!I1804-Sens!J1803*mix_h</f>
        <v>404</v>
      </c>
      <c r="K1804" s="30" t="n">
        <f aca="false">Sens!J1804-Sens!K1803*mix_h</f>
        <v>110</v>
      </c>
    </row>
    <row r="1805" customFormat="false" ht="17.15" hidden="false" customHeight="false" outlineLevel="0" collapsed="false">
      <c r="A1805" s="1" t="s">
        <v>967</v>
      </c>
      <c r="B1805" s="0" t="s">
        <v>459</v>
      </c>
      <c r="C1805" s="30" t="n">
        <f aca="false">mix_g2*Sens!C1796</f>
        <v>288</v>
      </c>
      <c r="D1805" s="30" t="n">
        <f aca="false">mix_g2*Sens!D1796</f>
        <v>733.5</v>
      </c>
      <c r="E1805" s="30" t="n">
        <f aca="false">mix_g2*Sens!E1796</f>
        <v>1462.5</v>
      </c>
      <c r="F1805" s="30" t="n">
        <f aca="false">Sens!E1805-Sens!F1803*mix_g2</f>
        <v>1462.5</v>
      </c>
      <c r="G1805" s="30" t="n">
        <f aca="false">Sens!F1805-Sens!G1803*mix_g2</f>
        <v>1462.5</v>
      </c>
      <c r="H1805" s="30" t="n">
        <f aca="false">Sens!G1805-Sens!H1803*mix_g2</f>
        <v>1462.5</v>
      </c>
      <c r="I1805" s="30" t="n">
        <f aca="false">Sens!H1805-Sens!I1803*mix_g2</f>
        <v>1242</v>
      </c>
      <c r="J1805" s="30" t="n">
        <f aca="false">Sens!I1805-Sens!J1803*mix_g2</f>
        <v>909</v>
      </c>
      <c r="K1805" s="30" t="n">
        <f aca="false">Sens!J1805-Sens!K1803*mix_g2</f>
        <v>247.5</v>
      </c>
    </row>
    <row r="1806" customFormat="false" ht="17.15" hidden="false" customHeight="false" outlineLevel="0" collapsed="false">
      <c r="A1806" s="1" t="s">
        <v>968</v>
      </c>
      <c r="B1806" s="0" t="s">
        <v>459</v>
      </c>
      <c r="C1806" s="30" t="n">
        <f aca="false">mix_g3*Sens!C1796</f>
        <v>224</v>
      </c>
      <c r="D1806" s="30" t="n">
        <f aca="false">mix_g3*Sens!D1796</f>
        <v>570.5</v>
      </c>
      <c r="E1806" s="30" t="n">
        <f aca="false">mix_g3*Sens!E1796</f>
        <v>1137.5</v>
      </c>
      <c r="F1806" s="30" t="n">
        <f aca="false">Sens!E1806+(Sens!F1802+Sens!F1803)*(a_g3_27-nonnv*a_mai)-Sens!F1803*mix_g3</f>
        <v>2773.42106</v>
      </c>
      <c r="G1806" s="30" t="n">
        <f aca="false">Sens!F1806+(Sens!G1802+Sens!G1803)*(a_g3_28-nonnv*a_mai)-Sens!G1803*mix_g3</f>
        <v>3318.72808</v>
      </c>
      <c r="H1806" s="30" t="n">
        <f aca="false">Sens!G1806+(Sens!H1802+Sens!H1803)*(a_g3_29-nonnv*a_mai)-Sens!H1803*mix_g3</f>
        <v>3318.72808</v>
      </c>
      <c r="I1806" s="30" t="n">
        <f aca="false">Sens!H1806+(Sens!I1802+Sens!I1803)*(a_g3_29-nonnv*a_mai)-Sens!I1803*mix_g3</f>
        <v>3147.22808</v>
      </c>
      <c r="J1806" s="30" t="n">
        <f aca="false">Sens!I1806+(Sens!J1802+Sens!J1803)*(a_g3_29-nonnv*a_mai)-Sens!J1803*mix_g3</f>
        <v>2888.22808</v>
      </c>
      <c r="K1806" s="30" t="n">
        <f aca="false">Sens!J1806+(Sens!K1802+Sens!K1803)*(a_g3_29-nonnv*a_mai)-Sens!K1803*mix_g3</f>
        <v>2373.72808</v>
      </c>
    </row>
    <row r="1807" customFormat="false" ht="17.15" hidden="false" customHeight="false" outlineLevel="0" collapsed="false">
      <c r="A1807" s="1" t="s">
        <v>969</v>
      </c>
      <c r="B1807" s="0" t="s">
        <v>459</v>
      </c>
      <c r="C1807" s="30" t="n">
        <v>0</v>
      </c>
      <c r="D1807" s="30" t="n">
        <v>0</v>
      </c>
      <c r="E1807" s="30" t="n">
        <v>0</v>
      </c>
      <c r="F1807" s="30" t="n">
        <f aca="false">Sens!E1807+(Sens!F1802+Sens!F1803)*nonnv*a_mai</f>
        <v>272.65351</v>
      </c>
      <c r="G1807" s="30" t="n">
        <f aca="false">Sens!F1807+(Sens!G1802+Sens!G1803)*nonnv*a_mai</f>
        <v>545.30702</v>
      </c>
      <c r="H1807" s="30" t="n">
        <f aca="false">Sens!G1807+(Sens!H1802+Sens!H1803)*nonnv*a_mai</f>
        <v>817.96053</v>
      </c>
      <c r="I1807" s="30" t="n">
        <f aca="false">Sens!H1807+(Sens!I1802+Sens!I1803)*nonnv*a_mai</f>
        <v>1060.15914196667</v>
      </c>
      <c r="J1807" s="30" t="n">
        <f aca="false">Sens!I1807+(Sens!J1802+Sens!J1803)*nonnv*a_mai</f>
        <v>1251.76682813933</v>
      </c>
      <c r="K1807" s="30" t="n">
        <f aca="false">Sens!J1807+(Sens!K1802+Sens!K1803)*nonnv*a_mai</f>
        <v>1442.37983298351</v>
      </c>
      <c r="L1807" s="12" t="s">
        <v>970</v>
      </c>
    </row>
    <row r="1808" customFormat="false" ht="17.15" hidden="false" customHeight="false" outlineLevel="0" collapsed="false">
      <c r="A1808" s="1" t="s">
        <v>971</v>
      </c>
      <c r="B1808" s="0" t="s">
        <v>459</v>
      </c>
      <c r="C1808" s="30" t="n">
        <v>0</v>
      </c>
      <c r="D1808" s="30" t="n">
        <v>0</v>
      </c>
      <c r="E1808" s="30" t="n">
        <v>0</v>
      </c>
      <c r="F1808" s="30" t="n">
        <f aca="false">Sens!E1808+(Sens!F1802+Sens!F1803)*(1-a_g3_27)</f>
        <v>817.96053</v>
      </c>
      <c r="G1808" s="30" t="n">
        <f aca="false">Sens!F1808+(Sens!G1802+Sens!G1803)*(1-a_g3_28)</f>
        <v>2726.5351</v>
      </c>
      <c r="H1808" s="30" t="n">
        <f aca="false">Sens!G1808+(Sens!H1802+Sens!H1803)*(1-a_g3_29)</f>
        <v>5180.41669</v>
      </c>
      <c r="I1808" s="30" t="n">
        <f aca="false">Sens!H1808+(Sens!I1802+Sens!I1803)*(1-a_g3_29)</f>
        <v>7360.2041977</v>
      </c>
      <c r="J1808" s="30" t="n">
        <f aca="false">Sens!I1808+(Sens!J1802+Sens!J1803)*(1-a_g3_29)</f>
        <v>9084.673373254</v>
      </c>
      <c r="K1808" s="30" t="n">
        <f aca="false">Sens!J1808+(Sens!K1802+Sens!K1803)*(1-a_g3_29)</f>
        <v>10800.1904168516</v>
      </c>
    </row>
    <row r="1809" customFormat="false" ht="17.15" hidden="false" customHeight="false" outlineLevel="0" collapsed="false">
      <c r="A1809" s="1" t="s">
        <v>972</v>
      </c>
      <c r="B1809" s="0" t="s">
        <v>403</v>
      </c>
      <c r="C1809" s="15" t="n">
        <f aca="false">(Sens!C1804*tk_hold_h100+Sens!C1805*tk_hold_gb200+Sens!C1806*tk_hold_gb300+Sens!C1808*tk_hold_vr200+Sens!C1807*nv_hold_mai*tk_hold_vr200)/Sens!C1796</f>
        <v>9.7235358126469</v>
      </c>
      <c r="D1809" s="15" t="n">
        <f aca="false">(Sens!D1804*tk_hold_h100+Sens!D1805*tk_hold_gb200+Sens!D1806*tk_hold_gb300+Sens!D1808*tk_hold_vr200+Sens!D1807*nv_hold_mai*tk_hold_vr200)/Sens!D1796</f>
        <v>9.7235358126469</v>
      </c>
      <c r="E1809" s="15" t="n">
        <f aca="false">(Sens!E1804*tk_hold_h100+Sens!E1805*tk_hold_gb200+Sens!E1806*tk_hold_gb300+Sens!E1808*tk_hold_vr200+Sens!E1807*nv_hold_mai*tk_hold_vr200)/Sens!E1796</f>
        <v>9.7235358126469</v>
      </c>
      <c r="F1809" s="15" t="n">
        <f aca="false">(Sens!F1804*tk_hold_h100+Sens!F1805*tk_hold_gb200+Sens!F1806*tk_hold_gb300+Sens!F1808*tk_hold_vr200+Sens!F1807*nv_hold_mai*tk_hold_vr200)/Sens!F1796</f>
        <v>10.2195353876665</v>
      </c>
      <c r="G1809" s="15" t="n">
        <f aca="false">(Sens!G1804*tk_hold_h100+Sens!G1805*tk_hold_gb200+Sens!G1806*tk_hold_gb300+Sens!G1808*tk_hold_vr200+Sens!G1807*nv_hold_mai*tk_hold_vr200)/Sens!G1796</f>
        <v>10.5725598017306</v>
      </c>
      <c r="H1809" s="15" t="n">
        <f aca="false">(Sens!H1804*tk_hold_h100+Sens!H1805*tk_hold_gb200+Sens!H1806*tk_hold_gb300+Sens!H1808*tk_hold_vr200+Sens!H1807*nv_hold_mai*tk_hold_vr200)/Sens!H1796</f>
        <v>10.8210427149036</v>
      </c>
      <c r="I1809" s="15" t="n">
        <f aca="false">(Sens!I1804*tk_hold_h100+Sens!I1805*tk_hold_gb200+Sens!I1806*tk_hold_gb300+Sens!I1808*tk_hold_vr200+Sens!I1807*nv_hold_mai*tk_hold_vr200)/Sens!I1796</f>
        <v>11.0050618241982</v>
      </c>
      <c r="J1809" s="15" t="n">
        <f aca="false">(Sens!J1804*tk_hold_h100+Sens!J1805*tk_hold_gb200+Sens!J1806*tk_hold_gb300+Sens!J1808*tk_hold_vr200+Sens!J1807*nv_hold_mai*tk_hold_vr200)/Sens!J1796</f>
        <v>11.1505789658881</v>
      </c>
      <c r="K1809" s="15" t="n">
        <f aca="false">(Sens!K1804*tk_hold_h100+Sens!K1805*tk_hold_gb200+Sens!K1806*tk_hold_gb300+Sens!K1808*tk_hold_vr200+Sens!K1807*nv_hold_mai*tk_hold_vr200)/Sens!K1796</f>
        <v>11.3496914757183</v>
      </c>
      <c r="L1809" s="1" t="s">
        <v>973</v>
      </c>
    </row>
    <row r="1810" customFormat="false" ht="17.15" hidden="false" customHeight="false" outlineLevel="0" collapsed="false">
      <c r="A1810" s="1" t="s">
        <v>974</v>
      </c>
      <c r="B1810" s="0" t="s">
        <v>403</v>
      </c>
      <c r="C1810" s="15" t="n">
        <f aca="false">(Sens!C1804*tk_hold_h100+Sens!C1805*tk_hold_gb200+Sens!C1806*tk_hold_gb300+Sens!C1808*tk_hold_vr200+Sens!C1807*nv_out_mai*tk_hold_vr200)/Sens!C1796</f>
        <v>9.7235358126469</v>
      </c>
      <c r="D1810" s="15" t="n">
        <f aca="false">(Sens!D1804*tk_hold_h100+Sens!D1805*tk_hold_gb200+Sens!D1806*tk_hold_gb300+Sens!D1808*tk_hold_vr200+Sens!D1807*nv_out_mai*tk_hold_vr200)/Sens!D1796</f>
        <v>9.7235358126469</v>
      </c>
      <c r="E1810" s="15" t="n">
        <f aca="false">(Sens!E1804*tk_hold_h100+Sens!E1805*tk_hold_gb200+Sens!E1806*tk_hold_gb300+Sens!E1808*tk_hold_vr200+Sens!E1807*nv_out_mai*tk_hold_vr200)/Sens!E1796</f>
        <v>9.7235358126469</v>
      </c>
      <c r="F1810" s="15" t="n">
        <f aca="false">(Sens!F1804*tk_hold_h100+Sens!F1805*tk_hold_gb200+Sens!F1806*tk_hold_gb300+Sens!F1808*tk_hold_vr200+Sens!F1807*nv_out_mai*tk_hold_vr200)/Sens!F1796</f>
        <v>10.247422093969</v>
      </c>
      <c r="G1810" s="15" t="n">
        <f aca="false">(Sens!G1804*tk_hold_h100+Sens!G1805*tk_hold_gb200+Sens!G1806*tk_hold_gb300+Sens!G1808*tk_hold_vr200+Sens!G1807*nv_out_mai*tk_hold_vr200)/Sens!G1796</f>
        <v>10.6108602808053</v>
      </c>
      <c r="H1810" s="15" t="n">
        <f aca="false">(Sens!H1804*tk_hold_h100+Sens!H1805*tk_hold_gb200+Sens!H1806*tk_hold_gb300+Sens!H1808*tk_hold_vr200+Sens!H1807*nv_out_mai*tk_hold_vr200)/Sens!H1796</f>
        <v>10.8647885507393</v>
      </c>
      <c r="I1810" s="15" t="n">
        <f aca="false">(Sens!I1804*tk_hold_h100+Sens!I1805*tk_hold_gb200+Sens!I1806*tk_hold_gb300+Sens!I1808*tk_hold_vr200+Sens!I1807*nv_out_mai*tk_hold_vr200)/Sens!I1796</f>
        <v>11.0535625770025</v>
      </c>
      <c r="J1810" s="15" t="n">
        <f aca="false">(Sens!J1804*tk_hold_h100+Sens!J1805*tk_hold_gb200+Sens!J1806*tk_hold_gb300+Sens!J1808*tk_hold_vr200+Sens!J1807*nv_out_mai*tk_hold_vr200)/Sens!J1796</f>
        <v>11.2032127128058</v>
      </c>
      <c r="K1810" s="15" t="n">
        <f aca="false">(Sens!K1804*tk_hold_h100+Sens!K1805*tk_hold_gb200+Sens!K1806*tk_hold_gb300+Sens!K1808*tk_hold_vr200+Sens!K1807*nv_out_mai*tk_hold_vr200)/Sens!K1796</f>
        <v>11.4085735724225</v>
      </c>
      <c r="L1810" s="12" t="s">
        <v>975</v>
      </c>
    </row>
    <row r="1811" customFormat="false" ht="17.15" hidden="false" customHeight="false" outlineLevel="0" collapsed="false">
      <c r="A1811" s="0" t="s">
        <v>976</v>
      </c>
      <c r="B1811" s="0" t="s">
        <v>229</v>
      </c>
      <c r="C1811" s="15" t="n">
        <f aca="false">k_B</f>
        <v>1.17213932619116</v>
      </c>
      <c r="D1811" s="15" t="n">
        <f aca="false">k_B</f>
        <v>1.17213932619116</v>
      </c>
      <c r="E1811" s="15" t="n">
        <f aca="false">k_B</f>
        <v>1.17213932619116</v>
      </c>
      <c r="F1811" s="15" t="n">
        <f aca="false">(k_B+((ls_C*k_long+(1-ls_C)*k_spot)-k_B)*MIN(1,(Sens!F1794-base_fy)/k_ramp))*1.15</f>
        <v>1.24019746705172</v>
      </c>
      <c r="G1811" s="15" t="n">
        <f aca="false">(k_B+((ls_C*k_long+(1-ls_C)*k_spot)-k_B)*MIN(1,(Sens!G1794-base_fy)/k_ramp))*1.15</f>
        <v>1.1324347089836</v>
      </c>
      <c r="H1811" s="15" t="n">
        <f aca="false">(k_B+((ls_C*k_long+(1-ls_C)*k_spot)-k_B)*MIN(1,(Sens!H1794-base_fy)/k_ramp))*1.15</f>
        <v>1.02467195091549</v>
      </c>
      <c r="I1811" s="15" t="n">
        <f aca="false">(k_B+((ls_C*k_long+(1-ls_C)*k_spot)-k_B)*MIN(1,(Sens!I1794-base_fy)/k_ramp))*1.15</f>
        <v>1.02467195091549</v>
      </c>
      <c r="J1811" s="15" t="n">
        <f aca="false">(k_B+((ls_C*k_long+(1-ls_C)*k_spot)-k_B)*MIN(1,(Sens!J1794-base_fy)/k_ramp))*1.15</f>
        <v>1.02467195091549</v>
      </c>
      <c r="K1811" s="15" t="n">
        <f aca="false">(k_B+((ls_C*k_long+(1-ls_C)*k_spot)-k_B)*MIN(1,(Sens!K1794-base_fy)/k_ramp))*1.15</f>
        <v>1.02467195091549</v>
      </c>
      <c r="L1811" s="1" t="s">
        <v>977</v>
      </c>
    </row>
    <row r="1812" customFormat="false" ht="17.15" hidden="false" customHeight="false" outlineLevel="0" collapsed="false">
      <c r="A1812" s="1" t="s">
        <v>978</v>
      </c>
      <c r="B1812" s="0" t="s">
        <v>403</v>
      </c>
      <c r="C1812" s="15" t="n">
        <f aca="false">Sens!C1810*Sens!C1811*chip_f</f>
        <v>11.3973387156315</v>
      </c>
      <c r="D1812" s="15" t="n">
        <f aca="false">Sens!D1810*Sens!D1811*chip_f</f>
        <v>11.3973387156315</v>
      </c>
      <c r="E1812" s="15" t="n">
        <f aca="false">Sens!E1810*Sens!E1811*chip_f</f>
        <v>11.3973387156315</v>
      </c>
      <c r="F1812" s="15" t="n">
        <f aca="false">Sens!F1810*Sens!F1811*chip_f</f>
        <v>12.7088269247501</v>
      </c>
      <c r="G1812" s="15" t="n">
        <f aca="false">Sens!G1810*Sens!G1811*chip_f</f>
        <v>12.0161064741594</v>
      </c>
      <c r="H1812" s="15" t="n">
        <f aca="false">Sens!H1810*Sens!H1811*chip_f</f>
        <v>11.1328440805703</v>
      </c>
      <c r="I1812" s="15" t="n">
        <f aca="false">Sens!I1810*Sens!I1811*chip_f</f>
        <v>11.3262755303436</v>
      </c>
      <c r="J1812" s="15" t="n">
        <f aca="false">Sens!J1810*Sens!J1811*chip_f</f>
        <v>11.4796178269519</v>
      </c>
      <c r="K1812" s="15" t="n">
        <f aca="false">Sens!K1810*Sens!K1811*chip_f</f>
        <v>11.690045339617</v>
      </c>
      <c r="L1812" s="1" t="s">
        <v>979</v>
      </c>
    </row>
    <row r="1813" customFormat="false" ht="17.15" hidden="false" customHeight="false" outlineLevel="0" collapsed="false">
      <c r="A1813" s="0" t="s">
        <v>980</v>
      </c>
      <c r="B1813" s="0" t="s">
        <v>98</v>
      </c>
      <c r="D1813" s="6" t="n">
        <f aca="false">(Sens!C1796+Sens!D1796)/2*Sens!D1812/1000</f>
        <v>12.9359794422418</v>
      </c>
      <c r="E1813" s="6" t="n">
        <f aca="false">(Sens!D1796+Sens!E1796)/2*Sens!E1812/1000</f>
        <v>27.8095064661409</v>
      </c>
      <c r="F1813" s="6" t="n">
        <f aca="false">(Sens!E1796+Sens!F1796)/2*Sens!F1812/1000</f>
        <v>58.6292188505159</v>
      </c>
      <c r="G1813" s="6" t="n">
        <f aca="false">(Sens!F1796+Sens!G1796)/2*Sens!G1812/1000</f>
        <v>88.1958501417173</v>
      </c>
      <c r="H1813" s="6" t="n">
        <f aca="false">(Sens!G1796+Sens!H1796)/2*Sens!H1812/1000</f>
        <v>112.066968633109</v>
      </c>
      <c r="I1813" s="6" t="n">
        <f aca="false">(Sens!H1796+Sens!I1796)/2*Sens!I1812/1000</f>
        <v>140.395962386948</v>
      </c>
      <c r="J1813" s="6" t="n">
        <f aca="false">(Sens!I1796+Sens!J1796)/2*Sens!J1812/1000</f>
        <v>160.136419511524</v>
      </c>
      <c r="K1813" s="6" t="n">
        <f aca="false">(Sens!J1796+Sens!K1796)/2*Sens!K1812/1000</f>
        <v>172.495191361928</v>
      </c>
      <c r="L1813" s="12" t="s">
        <v>981</v>
      </c>
    </row>
    <row r="1814" customFormat="false" ht="17.15" hidden="false" customHeight="false" outlineLevel="0" collapsed="false">
      <c r="A1814" s="1" t="s">
        <v>982</v>
      </c>
      <c r="B1814" s="0" t="s">
        <v>403</v>
      </c>
      <c r="C1814" s="15" t="n">
        <f aca="false">(Sens!C1804*tk_opex_h100+Sens!C1805*tk_opex_gb200+Sens!C1806*tk_opex_gb300+(Sens!C1808+Sens!C1807)*tk_opex_vr200)/Sens!C1796</f>
        <v>1.88636041306092</v>
      </c>
      <c r="D1814" s="15" t="n">
        <f aca="false">(Sens!D1804*tk_opex_h100+Sens!D1805*tk_opex_gb200+Sens!D1806*tk_opex_gb300+(Sens!D1808+Sens!D1807)*tk_opex_vr200)/Sens!D1796</f>
        <v>1.88636041306092</v>
      </c>
      <c r="E1814" s="15" t="n">
        <f aca="false">(Sens!E1804*tk_opex_h100+Sens!E1805*tk_opex_gb200+Sens!E1806*tk_opex_gb300+(Sens!E1808+Sens!E1807)*tk_opex_vr200)/Sens!E1796</f>
        <v>1.88636041306092</v>
      </c>
      <c r="F1814" s="15" t="n">
        <f aca="false">(Sens!F1804*tk_opex_h100+Sens!F1805*tk_opex_gb200+Sens!F1806*tk_opex_gb300+(Sens!F1808+Sens!F1807)*tk_opex_vr200)/Sens!F1796</f>
        <v>1.95051159746876</v>
      </c>
      <c r="G1814" s="15" t="n">
        <f aca="false">(Sens!G1804*tk_opex_h100+Sens!G1805*tk_opex_gb200+Sens!G1806*tk_opex_gb300+(Sens!G1808+Sens!G1807)*tk_opex_vr200)/Sens!G1796</f>
        <v>1.98836003669956</v>
      </c>
      <c r="H1814" s="15" t="n">
        <f aca="false">(Sens!H1804*tk_opex_h100+Sens!H1805*tk_opex_gb200+Sens!H1806*tk_opex_gb300+(Sens!H1808+Sens!H1807)*tk_opex_vr200)/Sens!H1796</f>
        <v>2.01344013834343</v>
      </c>
      <c r="I1814" s="15" t="n">
        <f aca="false">(Sens!I1804*tk_opex_h100+Sens!I1805*tk_opex_gb200+Sens!I1806*tk_opex_gb300+(Sens!I1808+Sens!I1807)*tk_opex_vr200)/Sens!I1796</f>
        <v>2.03261166882178</v>
      </c>
      <c r="J1814" s="15" t="n">
        <f aca="false">(Sens!J1804*tk_opex_h100+Sens!J1805*tk_opex_gb200+Sens!J1806*tk_opex_gb300+(Sens!J1808+Sens!J1807)*tk_opex_vr200)/Sens!J1796</f>
        <v>2.04808073288745</v>
      </c>
      <c r="K1814" s="15" t="n">
        <f aca="false">(Sens!K1804*tk_opex_h100+Sens!K1805*tk_opex_gb200+Sens!K1806*tk_opex_gb300+(Sens!K1808+Sens!K1807)*tk_opex_vr200)/Sens!K1796</f>
        <v>2.06973825807449</v>
      </c>
      <c r="L1814" s="12" t="s">
        <v>983</v>
      </c>
    </row>
    <row r="1815" customFormat="false" ht="17.15" hidden="false" customHeight="false" outlineLevel="0" collapsed="false">
      <c r="A1815" s="0" t="s">
        <v>984</v>
      </c>
      <c r="B1815" s="0" t="s">
        <v>98</v>
      </c>
      <c r="D1815" s="6" t="n">
        <f aca="false">(Sens!C1799+Sens!D1799)/2*Sens!D1814/1000</f>
        <v>2.70378325872065</v>
      </c>
      <c r="E1815" s="6" t="n">
        <f aca="false">(Sens!D1799+Sens!E1799)/2*Sens!E1814/1000</f>
        <v>6.17783035277451</v>
      </c>
      <c r="F1815" s="6" t="n">
        <f aca="false">(Sens!E1799+Sens!F1799)/2*Sens!F1814/1000</f>
        <v>12.8742463089237</v>
      </c>
      <c r="G1815" s="6" t="n">
        <f aca="false">(Sens!F1799+Sens!G1799)/2*Sens!G1814/1000</f>
        <v>21.8182834646277</v>
      </c>
      <c r="H1815" s="6" t="n">
        <f aca="false">(Sens!G1799+Sens!H1799)/2*Sens!H1814/1000</f>
        <v>31.2430128789734</v>
      </c>
      <c r="I1815" s="6" t="n">
        <f aca="false">(Sens!H1799+Sens!I1799)/2*Sens!I1814/1000</f>
        <v>39.4313057443268</v>
      </c>
      <c r="J1815" s="6" t="n">
        <f aca="false">(Sens!I1799+Sens!J1799)/2*Sens!J1814/1000</f>
        <v>45.0360318228653</v>
      </c>
      <c r="K1815" s="6" t="n">
        <f aca="false">(Sens!J1799+Sens!K1799)/2*Sens!K1814/1000</f>
        <v>48.2929727091156</v>
      </c>
    </row>
    <row r="1816" customFormat="false" ht="17.15" hidden="false" customHeight="false" outlineLevel="0" collapsed="false">
      <c r="A1816" s="0" t="s">
        <v>985</v>
      </c>
      <c r="B1816" s="0" t="s">
        <v>98</v>
      </c>
      <c r="D1816" s="6" t="n">
        <f aca="false">(Sens!C1797+Sens!D1797)/2*rent_mw/1000</f>
        <v>2.44475</v>
      </c>
      <c r="E1816" s="6" t="n">
        <f aca="false">(Sens!D1797+Sens!E1797)/2*rent_mw/1000</f>
        <v>4.22275</v>
      </c>
      <c r="F1816" s="6" t="n">
        <f aca="false">(Sens!E1797+Sens!F1797)/2*rent_mw/1000</f>
        <v>5.80517</v>
      </c>
      <c r="G1816" s="6" t="n">
        <f aca="false">(Sens!F1797+Sens!G1797)/2*rent_mw/1000</f>
        <v>6.72084</v>
      </c>
      <c r="H1816" s="6" t="n">
        <f aca="false">(Sens!G1797+Sens!H1797)/2*rent_mw/1000</f>
        <v>6.72084</v>
      </c>
      <c r="I1816" s="6" t="n">
        <f aca="false">(Sens!H1797+Sens!I1797)/2*rent_mw/1000</f>
        <v>6.72084</v>
      </c>
      <c r="J1816" s="6" t="n">
        <f aca="false">(Sens!I1797+Sens!J1797)/2*rent_mw/1000</f>
        <v>6.72084</v>
      </c>
      <c r="K1816" s="6" t="n">
        <f aca="false">(Sens!J1797+Sens!K1797)/2*rent_mw/1000</f>
        <v>6.72084</v>
      </c>
    </row>
    <row r="1817" customFormat="false" ht="17.15" hidden="false" customHeight="false" outlineLevel="0" collapsed="false">
      <c r="A1817" s="0" t="s">
        <v>986</v>
      </c>
      <c r="B1817" s="0" t="s">
        <v>98</v>
      </c>
      <c r="D1817" s="6" t="n">
        <f aca="false">(Sens!C1799+Sens!D1799)/2*(1-self_build)*fac_rent/1000</f>
        <v>0.853242375631075</v>
      </c>
      <c r="E1817" s="6" t="n">
        <f aca="false">(Sens!D1799+Sens!E1799)/2*(1-self_build)*fac_rent/1000</f>
        <v>1.94955961408728</v>
      </c>
      <c r="F1817" s="6" t="n">
        <f aca="false">(Sens!E1799+Sens!F1799)/2*(1-self_build)*fac_rent/1000</f>
        <v>3.92914894476356</v>
      </c>
      <c r="G1817" s="6" t="n">
        <f aca="false">(Sens!F1799+Sens!G1799)/2*(1-self_build)*fac_rent/1000</f>
        <v>6.53206908578159</v>
      </c>
      <c r="H1817" s="6" t="n">
        <f aca="false">(Sens!G1799+Sens!H1799)/2*(1-self_build)*fac_rent/1000</f>
        <v>9.23717988341591</v>
      </c>
      <c r="I1817" s="6" t="n">
        <f aca="false">(Sens!H1799+Sens!I1799)/2*(1-self_build)*fac_rent/1000</f>
        <v>11.5481378557393</v>
      </c>
      <c r="J1817" s="6" t="n">
        <f aca="false">(Sens!I1799+Sens!J1799)/2*(1-self_build)*fac_rent/1000</f>
        <v>13.0899582289108</v>
      </c>
      <c r="K1817" s="6" t="n">
        <f aca="false">(Sens!J1799+Sens!K1799)/2*(1-self_build)*fac_rent/1000</f>
        <v>13.8897275626556</v>
      </c>
      <c r="L1817" s="12" t="s">
        <v>987</v>
      </c>
    </row>
    <row r="1818" customFormat="false" ht="17.15" hidden="false" customHeight="false" outlineLevel="0" collapsed="false">
      <c r="A1818" s="1" t="s">
        <v>988</v>
      </c>
      <c r="B1818" s="0" t="s">
        <v>168</v>
      </c>
      <c r="D1818" s="7" t="n">
        <f aca="false">(Sens!C1798+Sens!D1798)/(Sens!C1799+Sens!D1799)</f>
        <v>0.6</v>
      </c>
      <c r="E1818" s="7" t="n">
        <f aca="false">(Sens!D1798+Sens!E1798)/(Sens!D1799+Sens!E1799)</f>
        <v>0.6</v>
      </c>
      <c r="F1818" s="7" t="n">
        <f aca="false">(Sens!E1798+Sens!F1798)/(Sens!E1799+Sens!F1799)</f>
        <v>0.6</v>
      </c>
      <c r="G1818" s="7" t="n">
        <f aca="false">(Sens!F1798+Sens!G1798)/(Sens!F1799+Sens!G1799)</f>
        <v>0.6</v>
      </c>
      <c r="H1818" s="7" t="n">
        <f aca="false">(Sens!G1798+Sens!H1798)/(Sens!G1799+Sens!H1799)</f>
        <v>0.6</v>
      </c>
      <c r="I1818" s="7" t="n">
        <f aca="false">(Sens!H1798+Sens!I1798)/(Sens!H1799+Sens!I1799)</f>
        <v>0.6</v>
      </c>
      <c r="J1818" s="7" t="n">
        <f aca="false">(Sens!I1798+Sens!J1798)/(Sens!I1799+Sens!J1799)</f>
        <v>0.6</v>
      </c>
      <c r="K1818" s="7" t="n">
        <f aca="false">(Sens!J1798+Sens!K1798)/(Sens!J1799+Sens!K1799)</f>
        <v>0.6</v>
      </c>
    </row>
    <row r="1819" customFormat="false" ht="17.15" hidden="false" customHeight="false" outlineLevel="0" collapsed="false">
      <c r="A1819" s="0" t="s">
        <v>989</v>
      </c>
      <c r="B1819" s="0" t="s">
        <v>98</v>
      </c>
      <c r="D1819" s="6" t="n">
        <f aca="false">Sens!D1813-Sens!D1818*(Sens!D1815+Sens!D1817)-Sens!D1816</f>
        <v>8.35701406163072</v>
      </c>
      <c r="E1819" s="6" t="n">
        <f aca="false">Sens!E1813-Sens!E1818*(Sens!E1815+Sens!E1817)-Sens!E1816</f>
        <v>18.7103224860238</v>
      </c>
      <c r="F1819" s="6" t="n">
        <f aca="false">Sens!F1813-Sens!F1818*(Sens!F1815+Sens!F1817)-Sens!F1816</f>
        <v>42.7420116983035</v>
      </c>
      <c r="G1819" s="6" t="n">
        <f aca="false">Sens!G1813-Sens!G1818*(Sens!G1815+Sens!G1817)-Sens!G1816</f>
        <v>64.4647986114717</v>
      </c>
      <c r="H1819" s="6" t="n">
        <f aca="false">Sens!H1813-Sens!H1818*(Sens!H1815+Sens!H1817)-Sens!H1816</f>
        <v>81.0580129756756</v>
      </c>
      <c r="I1819" s="6" t="n">
        <f aca="false">Sens!I1813-Sens!I1818*(Sens!I1815+Sens!I1817)-Sens!I1816</f>
        <v>103.087456226908</v>
      </c>
      <c r="J1819" s="6" t="n">
        <f aca="false">Sens!J1813-Sens!J1818*(Sens!J1815+Sens!J1817)-Sens!J1816</f>
        <v>118.539985480459</v>
      </c>
      <c r="K1819" s="6" t="n">
        <f aca="false">Sens!K1813-Sens!K1818*(Sens!K1815+Sens!K1817)-Sens!K1816</f>
        <v>128.464731198865</v>
      </c>
    </row>
    <row r="1820" customFormat="false" ht="17.15" hidden="false" customHeight="false" outlineLevel="0" collapsed="false">
      <c r="A1820" s="1" t="s">
        <v>990</v>
      </c>
      <c r="B1820" s="0" t="s">
        <v>98</v>
      </c>
      <c r="D1820" s="6" t="n">
        <f aca="false">(1-Sens!D1818)*(Sens!D1815+Sens!D1817)</f>
        <v>1.42281025374069</v>
      </c>
      <c r="E1820" s="6" t="n">
        <f aca="false">(1-Sens!E1818)*(Sens!E1815+Sens!E1817)</f>
        <v>3.25095598674472</v>
      </c>
      <c r="F1820" s="6" t="n">
        <f aca="false">(1-Sens!F1818)*(Sens!F1815+Sens!F1817)</f>
        <v>6.72135810147489</v>
      </c>
      <c r="G1820" s="6" t="n">
        <f aca="false">(1-Sens!G1818)*(Sens!G1815+Sens!G1817)</f>
        <v>11.3401410201637</v>
      </c>
      <c r="H1820" s="6" t="n">
        <f aca="false">(1-Sens!H1818)*(Sens!H1815+Sens!H1817)</f>
        <v>16.1920771049557</v>
      </c>
      <c r="I1820" s="6" t="n">
        <f aca="false">(1-Sens!I1818)*(Sens!I1815+Sens!I1817)</f>
        <v>20.3917774400264</v>
      </c>
      <c r="J1820" s="6" t="n">
        <f aca="false">(1-Sens!J1818)*(Sens!J1815+Sens!J1817)</f>
        <v>23.2503960207104</v>
      </c>
      <c r="K1820" s="6" t="n">
        <f aca="false">(1-Sens!K1818)*(Sens!K1815+Sens!K1817)</f>
        <v>24.8730801087085</v>
      </c>
    </row>
    <row r="1821" customFormat="false" ht="17.15" hidden="false" customHeight="false" outlineLevel="0" collapsed="false">
      <c r="A1821" s="1" t="s">
        <v>991</v>
      </c>
      <c r="B1821" s="0" t="s">
        <v>417</v>
      </c>
      <c r="C1821" s="8" t="n">
        <f aca="false">cxit_open</f>
        <v>27.5918995</v>
      </c>
      <c r="D1821" s="8" t="n">
        <f aca="false">cxit_open</f>
        <v>27.5918995</v>
      </c>
      <c r="E1821" s="8" t="n">
        <f aca="false">cxit_open</f>
        <v>27.5918995</v>
      </c>
      <c r="F1821" s="8" t="n">
        <f aca="false">((a_g3_27-nonnv*a_mai)*tk_cxit_gb300+nonnv*a_mai*nv_hold_mai*tk_cxit_vr200+(1-a_g3_27)*tk_cxit_vr200)</f>
        <v>32.4975576</v>
      </c>
      <c r="G1821" s="8" t="n">
        <f aca="false">((a_g3_28-nonnv*a_mai)*tk_cxit_gb300+nonnv*a_mai*nv_hold_mai*tk_cxit_vr200+(1-a_g3_28)*tk_cxit_vr200)</f>
        <v>34.6372088</v>
      </c>
      <c r="H1821" s="8" t="n">
        <f aca="false">((a_g3_29-nonnv*a_mai)*tk_cxit_gb300+nonnv*a_mai*nv_hold_mai*tk_cxit_vr200+(1-a_g3_29)*tk_cxit_vr200)</f>
        <v>35.7070344</v>
      </c>
      <c r="I1821" s="8" t="n">
        <f aca="false">((a_g3_29-nonnv*a_mai)*tk_cxit_gb300+nonnv*a_mai*nv_hold_mai*tk_cxit_vr200+(1-a_g3_29)*tk_cxit_vr200)</f>
        <v>35.7070344</v>
      </c>
      <c r="J1821" s="8" t="n">
        <f aca="false">((a_g3_29-nonnv*a_mai)*tk_cxit_gb300+nonnv*a_mai*nv_hold_mai*tk_cxit_vr200+(1-a_g3_29)*tk_cxit_vr200)</f>
        <v>35.7070344</v>
      </c>
      <c r="K1821" s="8" t="n">
        <f aca="false">((a_g3_29-nonnv*a_mai)*tk_cxit_gb300+nonnv*a_mai*nv_hold_mai*tk_cxit_vr200+(1-a_g3_29)*tk_cxit_vr200)</f>
        <v>35.7070344</v>
      </c>
      <c r="L1821" s="12" t="s">
        <v>992</v>
      </c>
    </row>
    <row r="1822" customFormat="false" ht="17.15" hidden="false" customHeight="false" outlineLevel="0" collapsed="false">
      <c r="A1822" s="0" t="s">
        <v>993</v>
      </c>
      <c r="B1822" s="0" t="s">
        <v>459</v>
      </c>
      <c r="F1822" s="30" t="n">
        <f aca="false">Sens!C1801*IF(Sens!F1794-Sens!C1794=life_it,1,0)+Sens!D1801*IF(Sens!F1794-Sens!D1794=life_it,1,0)+Sens!E1801*IF(Sens!F1794-Sens!E1794=life_it,1,0)</f>
        <v>0</v>
      </c>
      <c r="G1822" s="30" t="n">
        <f aca="false">Sens!C1801*IF(Sens!G1794-Sens!C1794=life_it,1,0)+Sens!D1801*IF(Sens!G1794-Sens!D1794=life_it,1,0)+Sens!E1801*IF(Sens!G1794-Sens!E1794=life_it,1,0)+Sens!F1801*IF(Sens!G1794-Sens!F1794=life_it,1,0)</f>
        <v>0</v>
      </c>
      <c r="H1822" s="30" t="n">
        <f aca="false">Sens!C1801*IF(Sens!H1794-Sens!C1794=life_it,1,0)+Sens!D1801*IF(Sens!H1794-Sens!D1794=life_it,1,0)+Sens!E1801*IF(Sens!H1794-Sens!E1794=life_it,1,0)+Sens!F1801*IF(Sens!H1794-Sens!F1794=life_it,1,0)+Sens!G1801*IF(Sens!H1794-Sens!G1794=life_it,1,0)</f>
        <v>0</v>
      </c>
      <c r="I1822" s="30" t="n">
        <f aca="false">Sens!C1801*IF(Sens!I1794-Sens!C1794=life_it,1,0)+Sens!D1801*IF(Sens!I1794-Sens!D1794=life_it,1,0)+Sens!E1801*IF(Sens!I1794-Sens!E1794=life_it,1,0)+Sens!F1801*IF(Sens!I1794-Sens!F1794=life_it,1,0)+Sens!G1801*IF(Sens!I1794-Sens!G1794=life_it,1,0)+Sens!H1801*IF(Sens!I1794-Sens!H1794=life_it,1,0)</f>
        <v>816.666666666667</v>
      </c>
      <c r="J1822" s="30" t="n">
        <f aca="false">Sens!C1801*IF(Sens!J1794-Sens!C1794=life_it,1,0)+Sens!D1801*IF(Sens!J1794-Sens!D1794=life_it,1,0)+Sens!E1801*IF(Sens!J1794-Sens!E1794=life_it,1,0)+Sens!F1801*IF(Sens!J1794-Sens!F1794=life_it,1,0)+Sens!G1801*IF(Sens!J1794-Sens!G1794=life_it,1,0)+Sens!H1801*IF(Sens!J1794-Sens!H1794=life_it,1,0)+Sens!I1801*IF(Sens!J1794-Sens!I1794=life_it,1,0)</f>
        <v>1233.33333333333</v>
      </c>
      <c r="K1822" s="30" t="n">
        <f aca="false">Sens!C1801*IF(Sens!K1794-Sens!C1794=life_it,1,0)+Sens!D1801*IF(Sens!K1794-Sens!D1794=life_it,1,0)+Sens!E1801*IF(Sens!K1794-Sens!E1794=life_it,1,0)+Sens!F1801*IF(Sens!K1794-Sens!F1794=life_it,1,0)+Sens!G1801*IF(Sens!K1794-Sens!G1794=life_it,1,0)+Sens!H1801*IF(Sens!K1794-Sens!H1794=life_it,1,0)+Sens!I1801*IF(Sens!K1794-Sens!I1794=life_it,1,0)+Sens!J1801*IF(Sens!K1794-Sens!J1794=life_it,1,0)</f>
        <v>2450</v>
      </c>
      <c r="L1822" s="1" t="s">
        <v>994</v>
      </c>
    </row>
    <row r="1823" customFormat="false" ht="17.15" hidden="false" customHeight="false" outlineLevel="0" collapsed="false">
      <c r="A1823" s="0" t="s">
        <v>995</v>
      </c>
      <c r="B1823" s="0" t="s">
        <v>98</v>
      </c>
      <c r="C1823" s="6" t="n">
        <f aca="false">Sens!C1801*Sens!C1821/1000</f>
        <v>22.5333845916667</v>
      </c>
      <c r="D1823" s="6" t="n">
        <f aca="false">Sens!D1801*Sens!D1821/1000</f>
        <v>34.0300093833333</v>
      </c>
      <c r="E1823" s="6" t="n">
        <f aca="false">Sens!E1801*Sens!E1821/1000</f>
        <v>67.600153775</v>
      </c>
      <c r="F1823" s="6" t="n">
        <f aca="false">(Sens!F1801+Sens!F1822)*Sens!F1821/1000</f>
        <v>136.51872432512</v>
      </c>
      <c r="G1823" s="6" t="n">
        <f aca="false">(Sens!G1801+Sens!G1822)*Sens!G1821/1000</f>
        <v>157.399275932048</v>
      </c>
      <c r="H1823" s="6" t="n">
        <f aca="false">(Sens!H1801+Sens!H1822)*Sens!H1821/1000</f>
        <v>162.260804347512</v>
      </c>
      <c r="I1823" s="6" t="n">
        <f aca="false">(Sens!I1801+Sens!I1822)*Sens!I1821/1000</f>
        <v>144.136569485434</v>
      </c>
      <c r="J1823" s="6" t="n">
        <f aca="false">(Sens!J1801+Sens!J1822)*Sens!J1821/1000</f>
        <v>114.029037357864</v>
      </c>
      <c r="K1823" s="6" t="n">
        <f aca="false">(Sens!K1801+Sens!K1822)*Sens!K1821/1000</f>
        <v>113.437085350975</v>
      </c>
    </row>
    <row r="1824" customFormat="false" ht="17.15" hidden="false" customHeight="false" outlineLevel="0" collapsed="false">
      <c r="A1824" s="0" t="s">
        <v>996</v>
      </c>
      <c r="B1824" s="0" t="s">
        <v>98</v>
      </c>
      <c r="C1824" s="6" t="n">
        <f aca="false">Sens!C1801*self_build*tk_cxfac/1000</f>
        <v>6.2083</v>
      </c>
      <c r="D1824" s="6" t="n">
        <f aca="false">Sens!D1801*self_build*tk_cxfac/1000</f>
        <v>9.3758</v>
      </c>
      <c r="E1824" s="6" t="n">
        <f aca="false">Sens!E1801*self_build*tk_cxfac/1000</f>
        <v>18.6249</v>
      </c>
      <c r="F1824" s="6" t="n">
        <f aca="false">Sens!F1801*self_build*tk_cxfac/1000</f>
        <v>31.935179717</v>
      </c>
      <c r="G1824" s="6" t="n">
        <f aca="false">Sens!G1801*self_build*tk_cxfac/1000</f>
        <v>34.545199717</v>
      </c>
      <c r="H1824" s="6" t="n">
        <f aca="false">Sens!H1801*self_build*tk_cxfac/1000</f>
        <v>34.545199717</v>
      </c>
      <c r="I1824" s="6" t="n">
        <f aca="false">Sens!I1801*self_build*tk_cxfac/1000</f>
        <v>24.4782641361767</v>
      </c>
      <c r="J1824" s="6" t="n">
        <f aca="false">Sens!J1801*self_build*tk_cxfac/1000</f>
        <v>14.9008938380769</v>
      </c>
      <c r="K1824" s="6" t="n">
        <f aca="false">Sens!K1801*self_build*tk_cxfac/1000</f>
        <v>5.52576771375761</v>
      </c>
    </row>
    <row r="1825" customFormat="false" ht="17.15" hidden="false" customHeight="false" outlineLevel="0" collapsed="false">
      <c r="A1825" s="0" t="s">
        <v>997</v>
      </c>
      <c r="B1825" s="0" t="s">
        <v>98</v>
      </c>
      <c r="F1825" s="15" t="n">
        <f aca="false">capex_floor27-Sens!F1823-Sens!F1824-Sens!F1921</f>
        <v>0.255882057667392</v>
      </c>
      <c r="L1825" s="12" t="s">
        <v>998</v>
      </c>
    </row>
    <row r="1826" customFormat="false" ht="17.15" hidden="false" customHeight="false" outlineLevel="0" collapsed="false">
      <c r="A1826" s="0" t="s">
        <v>999</v>
      </c>
      <c r="B1826" s="0" t="s">
        <v>98</v>
      </c>
      <c r="F1826" s="6" t="n">
        <f aca="false">MAX(0,Sens!F1825)</f>
        <v>0.255882057667392</v>
      </c>
    </row>
    <row r="1827" customFormat="false" ht="17.15" hidden="false" customHeight="false" outlineLevel="0" collapsed="false">
      <c r="A1827" s="0" t="s">
        <v>1000</v>
      </c>
      <c r="B1827" s="0" t="s">
        <v>98</v>
      </c>
      <c r="C1827" s="6" t="n">
        <f aca="false">Sens!C1823</f>
        <v>22.5333845916667</v>
      </c>
      <c r="D1827" s="6" t="n">
        <f aca="false">Sens!D1823</f>
        <v>34.0300093833333</v>
      </c>
      <c r="E1827" s="6" t="n">
        <f aca="false">Sens!E1823</f>
        <v>67.600153775</v>
      </c>
      <c r="F1827" s="6" t="n">
        <f aca="false">Sens!F1823</f>
        <v>136.51872432512</v>
      </c>
      <c r="G1827" s="6" t="n">
        <f aca="false">Sens!G1823</f>
        <v>157.399275932048</v>
      </c>
      <c r="H1827" s="6" t="n">
        <f aca="false">Sens!H1823</f>
        <v>162.260804347512</v>
      </c>
      <c r="I1827" s="6" t="n">
        <f aca="false">Sens!I1823</f>
        <v>144.136569485434</v>
      </c>
      <c r="J1827" s="6" t="n">
        <f aca="false">Sens!J1823</f>
        <v>114.029037357864</v>
      </c>
      <c r="K1827" s="6" t="n">
        <f aca="false">Sens!K1823</f>
        <v>113.437085350975</v>
      </c>
    </row>
    <row r="1828" customFormat="false" ht="17.15" hidden="false" customHeight="false" outlineLevel="0" collapsed="false">
      <c r="A1828" s="0" t="s">
        <v>1001</v>
      </c>
      <c r="B1828" s="0" t="s">
        <v>98</v>
      </c>
      <c r="C1828" s="6" t="n">
        <f aca="false">Sens!C1827+Sens!C1824</f>
        <v>28.7416845916667</v>
      </c>
      <c r="D1828" s="6" t="n">
        <f aca="false">Sens!D1827+Sens!D1824</f>
        <v>43.4058093833333</v>
      </c>
      <c r="E1828" s="6" t="n">
        <f aca="false">Sens!E1827+Sens!E1824</f>
        <v>86.225053775</v>
      </c>
      <c r="F1828" s="6" t="n">
        <f aca="false">Sens!F1827+Sens!F1824</f>
        <v>168.45390404212</v>
      </c>
      <c r="G1828" s="6" t="n">
        <f aca="false">Sens!G1827+Sens!G1824</f>
        <v>191.944475649048</v>
      </c>
      <c r="H1828" s="6" t="n">
        <f aca="false">Sens!H1827+Sens!H1824</f>
        <v>196.806004064512</v>
      </c>
      <c r="I1828" s="6" t="n">
        <f aca="false">Sens!I1827+Sens!I1824</f>
        <v>168.61483362161</v>
      </c>
      <c r="J1828" s="6" t="n">
        <f aca="false">Sens!J1827+Sens!J1824</f>
        <v>128.92993119594</v>
      </c>
      <c r="K1828" s="6" t="n">
        <f aca="false">Sens!K1827+Sens!K1824</f>
        <v>118.962853064733</v>
      </c>
      <c r="L1828" s="12" t="s">
        <v>1002</v>
      </c>
    </row>
    <row r="1829" customFormat="false" ht="17.15" hidden="false" customHeight="false" outlineLevel="0" collapsed="false">
      <c r="A1829" s="0" t="s">
        <v>1003</v>
      </c>
      <c r="B1829" s="0" t="s">
        <v>98</v>
      </c>
      <c r="E1829" s="6" t="n">
        <f aca="false">(Sens!C1827*IF(2&lt;life_it,1,IF(2=life_it,0.5,0))+Sens!D1827*IF(1&lt;life_it,1,IF(1=life_it,0.5,0))+Sens!E1827*0.5)/life_it</f>
        <v>15.0605784770833</v>
      </c>
      <c r="F1829" s="6" t="n">
        <f aca="false">(Sens!C1827*IF(3&lt;life_it,1,IF(3=life_it,0.5,0))+Sens!D1827*IF(2&lt;life_it,1,IF(2=life_it,0.5,0))+Sens!E1827*IF(1&lt;life_it,1,IF(1=life_it,0.5,0))+Sens!F1827*0.5)/life_it</f>
        <v>32.0704849854266</v>
      </c>
      <c r="G1829" s="6" t="n">
        <f aca="false">(Sens!C1827*IF(4&lt;life_it,1,IF(4=life_it,0.5,0))+Sens!D1827*IF(3&lt;life_it,1,IF(3=life_it,0.5,0))+Sens!E1827*IF(2&lt;life_it,1,IF(2=life_it,0.5,0))+Sens!F1827*IF(1&lt;life_it,1,IF(1=life_it,0.5,0))+Sens!G1827*0.5)/life_it</f>
        <v>56.5636516735239</v>
      </c>
      <c r="H1829" s="6" t="n">
        <f aca="false">(Sens!C1827*IF(5&lt;life_it,1,IF(5=life_it,0.5,0))+Sens!D1827*IF(4&lt;life_it,1,IF(4=life_it,0.5,0))+Sens!E1827*IF(3&lt;life_it,1,IF(3=life_it,0.5,0))+Sens!F1827*IF(2&lt;life_it,1,IF(2=life_it,0.5,0))+Sens!G1827*IF(1&lt;life_it,1,IF(1=life_it,0.5,0))+Sens!H1827*0.5)/life_it</f>
        <v>83.2019916968207</v>
      </c>
      <c r="I1829" s="6" t="n">
        <f aca="false">(Sens!C1827*IF(6&lt;life_it,1,IF(6=life_it,0.5,0))+Sens!D1827*IF(5&lt;life_it,1,IF(5=life_it,0.5,0))+Sens!E1827*IF(4&lt;life_it,1,IF(4=life_it,0.5,0))+Sens!F1827*IF(3&lt;life_it,1,IF(3=life_it,0.5,0))+Sens!G1827*IF(2&lt;life_it,1,IF(2=life_it,0.5,0))+Sens!H1827*IF(1&lt;life_it,1,IF(1=life_it,0.5,0))+Sens!I1827*0.5)/life_it</f>
        <v>106.857324133594</v>
      </c>
      <c r="J1829" s="6" t="n">
        <f aca="false">(Sens!C1827*IF(7&lt;life_it,1,IF(7=life_it,0.5,0))+Sens!D1827*IF(6&lt;life_it,1,IF(6=life_it,0.5,0))+Sens!E1827*IF(5&lt;life_it,1,IF(5=life_it,0.5,0))+Sens!F1827*IF(4&lt;life_it,1,IF(4=life_it,0.5,0))+Sens!G1827*IF(3&lt;life_it,1,IF(3=life_it,0.5,0))+Sens!H1827*IF(2&lt;life_it,1,IF(2=life_it,0.5,0))+Sens!I1827*IF(1&lt;life_it,1,IF(1=life_it,0.5,0))+Sens!J1827*0.5)/life_it</f>
        <v>123.657508539285</v>
      </c>
      <c r="K1829" s="6" t="n">
        <f aca="false">(Sens!C1827*IF(8&lt;life_it,1,IF(8=life_it,0.5,0))+Sens!D1827*IF(7&lt;life_it,1,IF(7=life_it,0.5,0))+Sens!E1827*IF(6&lt;life_it,1,IF(6=life_it,0.5,0))+Sens!F1827*IF(5&lt;life_it,1,IF(5=life_it,0.5,0))+Sens!G1827*IF(4&lt;life_it,1,IF(4=life_it,0.5,0))+Sens!H1827*IF(3&lt;life_it,1,IF(3=life_it,0.5,0))+Sens!I1827*IF(2&lt;life_it,1,IF(2=life_it,0.5,0))+Sens!J1827*IF(1&lt;life_it,1,IF(1=life_it,0.5,0))+Sens!K1827*0.5)/life_it</f>
        <v>134.143838501827</v>
      </c>
    </row>
    <row r="1830" customFormat="false" ht="17.15" hidden="false" customHeight="false" outlineLevel="0" collapsed="false">
      <c r="A1830" s="0" t="s">
        <v>1004</v>
      </c>
      <c r="B1830" s="0" t="s">
        <v>98</v>
      </c>
      <c r="E1830" s="6" t="n">
        <f aca="false">(Sens!C1824*IF(2&lt;life_fac,1,IF(2=life_fac,0.5,0))+Sens!D1824*IF(1&lt;life_fac,1,IF(1=life_fac,0.5,0))+Sens!E1824*0.5)/life_fac</f>
        <v>1.2448275</v>
      </c>
      <c r="F1830" s="6" t="n">
        <f aca="false">(Sens!C1824*IF(3&lt;life_fac,1,IF(3=life_fac,0.5,0))+Sens!D1824*IF(2&lt;life_fac,1,IF(2=life_fac,0.5,0))+Sens!E1824*IF(1&lt;life_fac,1,IF(1=life_fac,0.5,0))+Sens!F1824*0.5)/life_fac</f>
        <v>2.508829492925</v>
      </c>
      <c r="G1830" s="6" t="n">
        <f aca="false">(Sens!C1824*IF(4&lt;life_fac,1,IF(4=life_fac,0.5,0))+Sens!D1824*IF(3&lt;life_fac,1,IF(3=life_fac,0.5,0))+Sens!E1824*IF(2&lt;life_fac,1,IF(2=life_fac,0.5,0))+Sens!F1824*IF(1&lt;life_fac,1,IF(1=life_fac,0.5,0))+Sens!G1824*0.5)/life_fac</f>
        <v>4.170838978775</v>
      </c>
      <c r="H1830" s="6" t="n">
        <f aca="false">(Sens!C1824*IF(5&lt;life_fac,1,IF(5=life_fac,0.5,0))+Sens!D1824*IF(4&lt;life_fac,1,IF(4=life_fac,0.5,0))+Sens!E1824*IF(3&lt;life_fac,1,IF(3=life_fac,0.5,0))+Sens!F1824*IF(2&lt;life_fac,1,IF(2=life_fac,0.5,0))+Sens!G1824*IF(1&lt;life_fac,1,IF(1=life_fac,0.5,0))+Sens!H1824*0.5)/life_fac</f>
        <v>5.898098964625</v>
      </c>
      <c r="I1830" s="6" t="n">
        <f aca="false">(Sens!C1824*IF(6&lt;life_fac,1,IF(6=life_fac,0.5,0))+Sens!D1824*IF(5&lt;life_fac,1,IF(5=life_fac,0.5,0))+Sens!E1824*IF(4&lt;life_fac,1,IF(4=life_fac,0.5,0))+Sens!F1824*IF(3&lt;life_fac,1,IF(3=life_fac,0.5,0))+Sens!G1824*IF(2&lt;life_fac,1,IF(2=life_fac,0.5,0))+Sens!H1824*IF(1&lt;life_fac,1,IF(1=life_fac,0.5,0))+Sens!I1824*0.5)/life_fac</f>
        <v>7.37368556095442</v>
      </c>
      <c r="J1830" s="6" t="n">
        <f aca="false">(Sens!C1824*IF(7&lt;life_fac,1,IF(7=life_fac,0.5,0))+Sens!D1824*IF(6&lt;life_fac,1,IF(6=life_fac,0.5,0))+Sens!E1824*IF(5&lt;life_fac,1,IF(5=life_fac,0.5,0))+Sens!F1824*IF(4&lt;life_fac,1,IF(4=life_fac,0.5,0))+Sens!G1824*IF(3&lt;life_fac,1,IF(3=life_fac,0.5,0))+Sens!H1824*IF(2&lt;life_fac,1,IF(2=life_fac,0.5,0))+Sens!I1824*IF(1&lt;life_fac,1,IF(1=life_fac,0.5,0))+Sens!J1824*0.5)/life_fac</f>
        <v>8.35816451031075</v>
      </c>
      <c r="K1830" s="6" t="n">
        <f aca="false">(Sens!C1824*IF(8&lt;life_fac,1,IF(8=life_fac,0.5,0))+Sens!D1824*IF(7&lt;life_fac,1,IF(7=life_fac,0.5,0))+Sens!E1824*IF(6&lt;life_fac,1,IF(6=life_fac,0.5,0))+Sens!F1824*IF(5&lt;life_fac,1,IF(5=life_fac,0.5,0))+Sens!G1824*IF(4&lt;life_fac,1,IF(4=life_fac,0.5,0))+Sens!H1824*IF(3&lt;life_fac,1,IF(3=life_fac,0.5,0))+Sens!I1824*IF(2&lt;life_fac,1,IF(2=life_fac,0.5,0))+Sens!J1824*IF(1&lt;life_fac,1,IF(1=life_fac,0.5,0))+Sens!K1824*0.5)/life_fac</f>
        <v>8.86883104910662</v>
      </c>
    </row>
    <row r="1831" customFormat="false" ht="17.15" hidden="false" customHeight="false" outlineLevel="0" collapsed="false">
      <c r="A1831" s="0" t="s">
        <v>1005</v>
      </c>
      <c r="B1831" s="0" t="s">
        <v>98</v>
      </c>
      <c r="E1831" s="6" t="n">
        <f aca="false">Sens!E1829+Sens!E1830</f>
        <v>16.3054059770833</v>
      </c>
      <c r="F1831" s="6" t="n">
        <f aca="false">Sens!F1829+Sens!F1830</f>
        <v>34.5793144783516</v>
      </c>
      <c r="G1831" s="6" t="n">
        <f aca="false">Sens!G1829+Sens!G1830</f>
        <v>60.7344906522989</v>
      </c>
      <c r="H1831" s="6" t="n">
        <f aca="false">Sens!H1829+Sens!H1830</f>
        <v>89.1000906614457</v>
      </c>
      <c r="I1831" s="6" t="n">
        <f aca="false">Sens!I1829+Sens!I1830</f>
        <v>114.231009694548</v>
      </c>
      <c r="J1831" s="6" t="n">
        <f aca="false">Sens!J1829+Sens!J1830</f>
        <v>132.015673049596</v>
      </c>
      <c r="K1831" s="6" t="n">
        <f aca="false">Sens!K1829+Sens!K1830</f>
        <v>143.012669550934</v>
      </c>
    </row>
    <row r="1832" customFormat="false" ht="17.15" hidden="false" customHeight="false" outlineLevel="0" collapsed="false">
      <c r="A1832" s="0" t="s">
        <v>1006</v>
      </c>
      <c r="B1832" s="0" t="s">
        <v>98</v>
      </c>
      <c r="E1832" s="6" t="n">
        <f aca="false">Sens!E1819-Sens!E1818*Sens!E1831</f>
        <v>8.92707889977379</v>
      </c>
      <c r="F1832" s="6" t="n">
        <f aca="false">Sens!F1819-Sens!F1818*Sens!F1831</f>
        <v>21.9944230112925</v>
      </c>
      <c r="G1832" s="6" t="n">
        <f aca="false">Sens!G1819-Sens!G1818*Sens!G1831</f>
        <v>28.0241042200923</v>
      </c>
      <c r="H1832" s="6" t="n">
        <f aca="false">Sens!H1819-Sens!H1818*Sens!H1831</f>
        <v>27.5979585788082</v>
      </c>
      <c r="I1832" s="6" t="n">
        <f aca="false">Sens!I1819-Sens!I1818*Sens!I1831</f>
        <v>34.5488504101791</v>
      </c>
      <c r="J1832" s="6" t="n">
        <f aca="false">Sens!J1819-Sens!J1818*Sens!J1831</f>
        <v>39.3305816507011</v>
      </c>
      <c r="K1832" s="6" t="n">
        <f aca="false">Sens!K1819-Sens!K1818*Sens!K1831</f>
        <v>42.6571294683044</v>
      </c>
    </row>
    <row r="1833" customFormat="false" ht="17.15" hidden="false" customHeight="false" outlineLevel="0" collapsed="false">
      <c r="A1833" s="3" t="s">
        <v>1656</v>
      </c>
    </row>
    <row r="1834" customFormat="false" ht="15" hidden="false" customHeight="false" outlineLevel="0" collapsed="false">
      <c r="A1834" s="4" t="s">
        <v>43</v>
      </c>
      <c r="B1834" s="4" t="s">
        <v>65</v>
      </c>
      <c r="C1834" s="23" t="s">
        <v>942</v>
      </c>
      <c r="D1834" s="23" t="s">
        <v>943</v>
      </c>
      <c r="E1834" s="23" t="s">
        <v>944</v>
      </c>
      <c r="F1834" s="23" t="s">
        <v>945</v>
      </c>
      <c r="G1834" s="23" t="s">
        <v>946</v>
      </c>
      <c r="H1834" s="23" t="s">
        <v>947</v>
      </c>
      <c r="I1834" s="23" t="s">
        <v>948</v>
      </c>
      <c r="J1834" s="23" t="s">
        <v>949</v>
      </c>
      <c r="K1834" s="23" t="s">
        <v>950</v>
      </c>
      <c r="L1834" s="4" t="s">
        <v>47</v>
      </c>
    </row>
    <row r="1835" customFormat="false" ht="17.15" hidden="false" customHeight="false" outlineLevel="0" collapsed="false">
      <c r="A1835" s="0" t="s">
        <v>1025</v>
      </c>
      <c r="B1835" s="0" t="s">
        <v>98</v>
      </c>
      <c r="D1835" s="6" t="n">
        <f aca="false">Sens!D1813</f>
        <v>12.9359794422418</v>
      </c>
      <c r="E1835" s="6" t="n">
        <f aca="false">Sens!E1813</f>
        <v>27.8095064661409</v>
      </c>
      <c r="F1835" s="6" t="n">
        <f aca="false">Sens!F1813</f>
        <v>58.6292188505159</v>
      </c>
      <c r="G1835" s="6" t="n">
        <f aca="false">Sens!G1813</f>
        <v>88.1958501417173</v>
      </c>
      <c r="H1835" s="6" t="n">
        <f aca="false">Sens!H1813</f>
        <v>112.066968633109</v>
      </c>
      <c r="I1835" s="6" t="n">
        <f aca="false">Sens!I1813</f>
        <v>140.395962386948</v>
      </c>
      <c r="J1835" s="6" t="n">
        <f aca="false">Sens!J1813</f>
        <v>160.136419511524</v>
      </c>
      <c r="K1835" s="6" t="n">
        <f aca="false">Sens!K1813</f>
        <v>172.495191361928</v>
      </c>
    </row>
    <row r="1836" customFormat="false" ht="17.15" hidden="false" customHeight="false" outlineLevel="0" collapsed="false">
      <c r="A1836" s="0" t="s">
        <v>1026</v>
      </c>
      <c r="B1836" s="0" t="s">
        <v>98</v>
      </c>
      <c r="D1836" s="6" t="n">
        <f aca="false">Q!L6-Sens!D1835</f>
        <v>59.6740205577583</v>
      </c>
      <c r="E1836" s="6" t="n">
        <f aca="false">Q!M6-Sens!E1835</f>
        <v>74.1284935338591</v>
      </c>
      <c r="F1836" s="6" t="n">
        <f aca="false">Q!$I$6+(Sens!F1835+Sens!E1836*(1+Sens!F1837))*(1-Q!$E$6/Q!M6)-Sens!F1835</f>
        <v>90.5907282530214</v>
      </c>
      <c r="G1836" s="6" t="n">
        <f aca="false">Sens!F1836*(1+Sens!G1837)</f>
        <v>107.635306316339</v>
      </c>
      <c r="H1836" s="6" t="n">
        <f aca="false">Sens!G1836*(1+Sens!H1837)</f>
        <v>124.976639493057</v>
      </c>
      <c r="I1836" s="6" t="n">
        <f aca="false">Sens!H1836*(1+Sens!I1837)</f>
        <v>141.732835901781</v>
      </c>
      <c r="J1836" s="6" t="n">
        <f aca="false">Sens!I1836*(1+Sens!J1837)</f>
        <v>156.90353793963</v>
      </c>
      <c r="K1836" s="6" t="n">
        <f aca="false">Sens!J1836*(1+Sens!K1837)</f>
        <v>169.4558209748</v>
      </c>
      <c r="L1836" s="12" t="s">
        <v>1027</v>
      </c>
    </row>
    <row r="1837" customFormat="false" ht="15" hidden="false" customHeight="false" outlineLevel="0" collapsed="false">
      <c r="A1837" s="1" t="s">
        <v>1028</v>
      </c>
      <c r="B1837" s="0" t="s">
        <v>168</v>
      </c>
      <c r="E1837" s="7" t="n">
        <f aca="false">Sens!E1836/Sens!D1836-1</f>
        <v>0.242223883039864</v>
      </c>
      <c r="F1837" s="7" t="n">
        <f aca="false">Sens!$E$1837+(glt_azo-Sens!$E$1837)*MIN(1,(Sens!F1794-base_fy)/n_conv)</f>
        <v>0.215186569199887</v>
      </c>
      <c r="G1837" s="7" t="n">
        <f aca="false">Sens!$E$1837+(glt_azo-Sens!$E$1837)*MIN(1,(Sens!G1794-base_fy)/n_conv)</f>
        <v>0.18814925535991</v>
      </c>
      <c r="H1837" s="7" t="n">
        <f aca="false">Sens!$E$1837+(glt_azo-Sens!$E$1837)*MIN(1,(Sens!H1794-base_fy)/n_conv)</f>
        <v>0.161111941519932</v>
      </c>
      <c r="I1837" s="7" t="n">
        <f aca="false">Sens!$E$1837+(glt_azo-Sens!$E$1837)*MIN(1,(Sens!I1794-base_fy)/n_conv)</f>
        <v>0.134074627679955</v>
      </c>
      <c r="J1837" s="7" t="n">
        <f aca="false">Sens!$E$1837+(glt_azo-Sens!$E$1837)*MIN(1,(Sens!J1794-base_fy)/n_conv)</f>
        <v>0.107037313839977</v>
      </c>
      <c r="K1837" s="7" t="n">
        <f aca="false">Sens!$E$1837+(glt_azo-Sens!$E$1837)*MIN(1,(Sens!K1794-base_fy)/n_conv)</f>
        <v>0.08</v>
      </c>
    </row>
    <row r="1838" customFormat="false" ht="15" hidden="false" customHeight="false" outlineLevel="0" collapsed="false">
      <c r="A1838" s="0" t="s">
        <v>1029</v>
      </c>
      <c r="B1838" s="0" t="s">
        <v>98</v>
      </c>
      <c r="D1838" s="6" t="n">
        <f aca="false">Sens!D1835+Sens!D1836</f>
        <v>72.61</v>
      </c>
      <c r="E1838" s="6" t="n">
        <f aca="false">Sens!E1835+Sens!E1836</f>
        <v>101.938</v>
      </c>
      <c r="F1838" s="6" t="n">
        <f aca="false">Sens!F1835+Sens!F1836</f>
        <v>149.219947103537</v>
      </c>
      <c r="G1838" s="6" t="n">
        <f aca="false">Sens!G1835+Sens!G1836</f>
        <v>195.831156458057</v>
      </c>
      <c r="H1838" s="6" t="n">
        <f aca="false">Sens!H1835+Sens!H1836</f>
        <v>237.043608126167</v>
      </c>
      <c r="I1838" s="6" t="n">
        <f aca="false">Sens!I1835+Sens!I1836</f>
        <v>282.128798288729</v>
      </c>
      <c r="J1838" s="6" t="n">
        <f aca="false">Sens!J1835+Sens!J1836</f>
        <v>317.039957451154</v>
      </c>
      <c r="K1838" s="6" t="n">
        <f aca="false">Sens!K1835+Sens!K1836</f>
        <v>341.951012336728</v>
      </c>
    </row>
    <row r="1839" customFormat="false" ht="17.15" hidden="false" customHeight="false" outlineLevel="0" collapsed="false">
      <c r="A1839" s="0" t="s">
        <v>1030</v>
      </c>
      <c r="B1839" s="1" t="s">
        <v>613</v>
      </c>
      <c r="C1839" s="30" t="n">
        <f aca="false">cop_s24</f>
        <v>1</v>
      </c>
      <c r="D1839" s="30" t="n">
        <f aca="false">cop_s25</f>
        <v>5</v>
      </c>
      <c r="E1839" s="30" t="n">
        <f aca="false">cop_s26</f>
        <v>30</v>
      </c>
      <c r="F1839" s="30" t="n">
        <f aca="false">Sens!E1839+cop_add_C</f>
        <v>40</v>
      </c>
      <c r="G1839" s="30" t="n">
        <f aca="false">Sens!F1839+cop_add_C</f>
        <v>50</v>
      </c>
      <c r="H1839" s="30" t="n">
        <f aca="false">Sens!G1839+cop_add_C</f>
        <v>60</v>
      </c>
      <c r="I1839" s="30" t="n">
        <f aca="false">Sens!H1839+cop_add_C*cop_tail</f>
        <v>65</v>
      </c>
      <c r="J1839" s="30" t="n">
        <f aca="false">Sens!I1839+cop_add_C*cop_tail</f>
        <v>70</v>
      </c>
      <c r="K1839" s="30" t="n">
        <f aca="false">Sens!J1839+cop_add_C*cop_tail</f>
        <v>75</v>
      </c>
      <c r="L1839" s="12" t="s">
        <v>1031</v>
      </c>
    </row>
    <row r="1840" customFormat="false" ht="17.15" hidden="false" customHeight="false" outlineLevel="0" collapsed="false">
      <c r="A1840" s="0" t="s">
        <v>1032</v>
      </c>
      <c r="B1840" s="0" t="s">
        <v>98</v>
      </c>
      <c r="D1840" s="6" t="n">
        <f aca="false">(Sens!C1839+Sens!D1839)/2*cop_px*12/1000</f>
        <v>0.9</v>
      </c>
      <c r="E1840" s="6" t="n">
        <f aca="false">(Sens!D1839+Sens!E1839)/2*cop_px*12/1000</f>
        <v>5.25</v>
      </c>
      <c r="F1840" s="6" t="n">
        <f aca="false">(Sens!E1839+Sens!F1839)/2*cop_px*12/1000</f>
        <v>10.5</v>
      </c>
      <c r="G1840" s="6" t="n">
        <f aca="false">(Sens!F1839+Sens!G1839)/2*cop_px*12/1000</f>
        <v>13.5</v>
      </c>
      <c r="H1840" s="6" t="n">
        <f aca="false">(Sens!G1839+Sens!H1839)/2*cop_px*12/1000</f>
        <v>16.5</v>
      </c>
      <c r="I1840" s="6" t="n">
        <f aca="false">(Sens!H1839+Sens!I1839)/2*cop_px*12/1000</f>
        <v>18.75</v>
      </c>
      <c r="J1840" s="6" t="n">
        <f aca="false">(Sens!I1839+Sens!J1839)/2*cop_px*12/1000</f>
        <v>20.25</v>
      </c>
      <c r="K1840" s="6" t="n">
        <f aca="false">(Sens!J1839+Sens!K1839)/2*cop_px*12/1000</f>
        <v>21.75</v>
      </c>
      <c r="L1840" s="1" t="s">
        <v>1033</v>
      </c>
    </row>
    <row r="1841" customFormat="false" ht="17.15" hidden="false" customHeight="false" outlineLevel="0" collapsed="false">
      <c r="A1841" s="0" t="s">
        <v>1034</v>
      </c>
      <c r="B1841" s="0" t="s">
        <v>98</v>
      </c>
      <c r="D1841" s="6" t="n">
        <f aca="false">Q!L7-Sens!D1840</f>
        <v>83.705</v>
      </c>
      <c r="E1841" s="6" t="n">
        <f aca="false">Q!M7-Sens!E1840</f>
        <v>95.049</v>
      </c>
      <c r="F1841" s="6" t="n">
        <f aca="false">Q!$I$7+(Sens!E1841*(1+Sens!F1842)+Sens!F1840)*(1-Q!$E$7/Q!M7)-Sens!F1840</f>
        <v>106.938354189776</v>
      </c>
      <c r="G1841" s="6" t="n">
        <f aca="false">Sens!F1841*(1+Sens!G1842)</f>
        <v>119.095360443801</v>
      </c>
      <c r="H1841" s="6" t="n">
        <f aca="false">Sens!G1841*(1+Sens!H1842)</f>
        <v>131.333811964563</v>
      </c>
      <c r="I1841" s="6" t="n">
        <f aca="false">Sens!H1841*(1+Sens!I1842)</f>
        <v>143.395665319381</v>
      </c>
      <c r="J1841" s="6" t="n">
        <f aca="false">Sens!I1841*(1+Sens!J1842)</f>
        <v>154.999327755573</v>
      </c>
      <c r="K1841" s="6" t="n">
        <f aca="false">Sens!J1841*(1+Sens!K1842)</f>
        <v>165.849280698463</v>
      </c>
      <c r="L1841" s="12" t="s">
        <v>1035</v>
      </c>
    </row>
    <row r="1842" customFormat="false" ht="15" hidden="false" customHeight="false" outlineLevel="0" collapsed="false">
      <c r="A1842" s="1" t="s">
        <v>1028</v>
      </c>
      <c r="B1842" s="0" t="s">
        <v>168</v>
      </c>
      <c r="E1842" s="7" t="n">
        <f aca="false">Sens!E1841/Sens!D1841-1</f>
        <v>0.135523564900544</v>
      </c>
      <c r="F1842" s="7" t="n">
        <f aca="false">Sens!$E$1842+(glt_m365b-Sens!$E$1842)*MIN(1,(Sens!F1794-base_fy)/n_conv)</f>
        <v>0.124602970750453</v>
      </c>
      <c r="G1842" s="7" t="n">
        <f aca="false">Sens!$E$1842+(glt_m365b-Sens!$E$1842)*MIN(1,(Sens!G1794-base_fy)/n_conv)</f>
        <v>0.113682376600363</v>
      </c>
      <c r="H1842" s="7" t="n">
        <f aca="false">Sens!$E$1842+(glt_m365b-Sens!$E$1842)*MIN(1,(Sens!H1794-base_fy)/n_conv)</f>
        <v>0.102761782450272</v>
      </c>
      <c r="I1842" s="7" t="n">
        <f aca="false">Sens!$E$1842+(glt_m365b-Sens!$E$1842)*MIN(1,(Sens!I1794-base_fy)/n_conv)</f>
        <v>0.0918411883001813</v>
      </c>
      <c r="J1842" s="7" t="n">
        <f aca="false">Sens!$E$1842+(glt_m365b-Sens!$E$1842)*MIN(1,(Sens!J1794-base_fy)/n_conv)</f>
        <v>0.0809205941500906</v>
      </c>
      <c r="K1842" s="7" t="n">
        <f aca="false">Sens!$E$1842+(glt_m365b-Sens!$E$1842)*MIN(1,(Sens!K1794-base_fy)/n_conv)</f>
        <v>0.07</v>
      </c>
    </row>
    <row r="1843" customFormat="false" ht="15" hidden="false" customHeight="false" outlineLevel="0" collapsed="false">
      <c r="A1843" s="0" t="s">
        <v>1036</v>
      </c>
      <c r="B1843" s="0" t="s">
        <v>98</v>
      </c>
      <c r="D1843" s="6" t="n">
        <f aca="false">Sens!D1841+Sens!D1840</f>
        <v>84.605</v>
      </c>
      <c r="E1843" s="6" t="n">
        <f aca="false">Sens!E1841+Sens!E1840</f>
        <v>100.299</v>
      </c>
      <c r="F1843" s="6" t="n">
        <f aca="false">Sens!F1841+Sens!F1840</f>
        <v>117.438354189776</v>
      </c>
      <c r="G1843" s="6" t="n">
        <f aca="false">Sens!G1841+Sens!G1840</f>
        <v>132.595360443801</v>
      </c>
      <c r="H1843" s="6" t="n">
        <f aca="false">Sens!H1841+Sens!H1840</f>
        <v>147.833811964563</v>
      </c>
      <c r="I1843" s="6" t="n">
        <f aca="false">Sens!I1841+Sens!I1840</f>
        <v>162.145665319381</v>
      </c>
      <c r="J1843" s="6" t="n">
        <f aca="false">Sens!J1841+Sens!J1840</f>
        <v>175.249327755573</v>
      </c>
      <c r="K1843" s="6" t="n">
        <f aca="false">Sens!K1841+Sens!K1840</f>
        <v>187.599280698463</v>
      </c>
    </row>
    <row r="1844" customFormat="false" ht="17.15" hidden="false" customHeight="false" outlineLevel="0" collapsed="false">
      <c r="A1844" s="0" t="s">
        <v>1037</v>
      </c>
      <c r="B1844" s="0" t="s">
        <v>98</v>
      </c>
      <c r="D1844" s="6" t="n">
        <f aca="false">Q!L8</f>
        <v>35.391</v>
      </c>
      <c r="E1844" s="6" t="n">
        <f aca="false">Q!M8</f>
        <v>37.285</v>
      </c>
      <c r="F1844" s="6" t="n">
        <f aca="false">Q!$I$8+(Q!M8-Q!$E$8)*(1+Sens!F1845)</f>
        <v>38.3851437782675</v>
      </c>
      <c r="G1844" s="6" t="n">
        <f aca="false">Sens!F1844*(1+Sens!G1845)</f>
        <v>40.0105353288615</v>
      </c>
      <c r="H1844" s="6" t="n">
        <f aca="false">Sens!G1844*(1+Sens!H1845)</f>
        <v>41.4812512033683</v>
      </c>
      <c r="I1844" s="6" t="n">
        <f aca="false">Sens!H1844*(1+Sens!I1845)</f>
        <v>42.7743107216329</v>
      </c>
      <c r="J1844" s="6" t="n">
        <f aca="false">Sens!I1844*(1+Sens!J1845)</f>
        <v>43.8687373064601</v>
      </c>
      <c r="K1844" s="6" t="n">
        <f aca="false">Sens!J1844*(1+Sens!K1845)</f>
        <v>44.7461120525893</v>
      </c>
      <c r="L1844" s="12" t="s">
        <v>1038</v>
      </c>
    </row>
    <row r="1845" customFormat="false" ht="15" hidden="false" customHeight="false" outlineLevel="0" collapsed="false">
      <c r="A1845" s="1" t="s">
        <v>1028</v>
      </c>
      <c r="B1845" s="0" t="s">
        <v>168</v>
      </c>
      <c r="E1845" s="7" t="n">
        <f aca="false">Sens!E1844/Sens!D1844-1</f>
        <v>0.0535164307309768</v>
      </c>
      <c r="F1845" s="7" t="n">
        <f aca="false">Sens!$E$1845+(glt_lic-Sens!$E$1845)*MIN(1,(Sens!F1794-base_fy)/n_conv)</f>
        <v>0.0479303589424807</v>
      </c>
      <c r="G1845" s="7" t="n">
        <f aca="false">Sens!$E$1845+(glt_lic-Sens!$E$1845)*MIN(1,(Sens!G1794-base_fy)/n_conv)</f>
        <v>0.0423442871539845</v>
      </c>
      <c r="H1845" s="7" t="n">
        <f aca="false">Sens!$E$1845+(glt_lic-Sens!$E$1845)*MIN(1,(Sens!H1794-base_fy)/n_conv)</f>
        <v>0.0367582153654884</v>
      </c>
      <c r="I1845" s="7" t="n">
        <f aca="false">Sens!$E$1845+(glt_lic-Sens!$E$1845)*MIN(1,(Sens!I1794-base_fy)/n_conv)</f>
        <v>0.0311721435769923</v>
      </c>
      <c r="J1845" s="7" t="n">
        <f aca="false">Sens!$E$1845+(glt_lic-Sens!$E$1845)*MIN(1,(Sens!J1794-base_fy)/n_conv)</f>
        <v>0.0255860717884961</v>
      </c>
      <c r="K1845" s="7" t="n">
        <f aca="false">Sens!$E$1845+(glt_lic-Sens!$E$1845)*MIN(1,(Sens!K1794-base_fy)/n_conv)</f>
        <v>0.02</v>
      </c>
    </row>
    <row r="1846" customFormat="false" ht="17.15" hidden="false" customHeight="false" outlineLevel="0" collapsed="false">
      <c r="A1846" s="0" t="s">
        <v>1039</v>
      </c>
      <c r="B1846" s="0" t="s">
        <v>98</v>
      </c>
      <c r="D1846" s="6" t="n">
        <f aca="false">Q!L9</f>
        <v>18.417</v>
      </c>
      <c r="E1846" s="6" t="n">
        <f aca="false">Q!M9</f>
        <v>20.345</v>
      </c>
      <c r="F1846" s="6" t="n">
        <f aca="false">Q!$I$9+(Q!M9-Q!$E$9)*(1+Sens!F1847)</f>
        <v>22.3161797133988</v>
      </c>
      <c r="G1846" s="6" t="n">
        <f aca="false">Sens!F1846*(1+Sens!G1847)</f>
        <v>24.3943499673233</v>
      </c>
      <c r="H1846" s="6" t="n">
        <f aca="false">Sens!G1846*(1+Sens!H1847)</f>
        <v>26.5250243109019</v>
      </c>
      <c r="I1846" s="6" t="n">
        <f aca="false">Sens!H1846*(1+Sens!I1847)</f>
        <v>28.6884573538181</v>
      </c>
      <c r="J1846" s="6" t="n">
        <f aca="false">Sens!I1846*(1+Sens!J1847)</f>
        <v>30.8624968052127</v>
      </c>
      <c r="K1846" s="6" t="n">
        <f aca="false">Sens!J1846*(1+Sens!K1847)</f>
        <v>33.0228715815776</v>
      </c>
      <c r="L1846" s="12" t="s">
        <v>1038</v>
      </c>
    </row>
    <row r="1847" customFormat="false" ht="15" hidden="false" customHeight="false" outlineLevel="0" collapsed="false">
      <c r="A1847" s="1" t="s">
        <v>1028</v>
      </c>
      <c r="B1847" s="0" t="s">
        <v>168</v>
      </c>
      <c r="E1847" s="7" t="n">
        <f aca="false">Sens!E1846/Sens!D1846-1</f>
        <v>0.104685888038225</v>
      </c>
      <c r="F1847" s="7" t="n">
        <f aca="false">Sens!$E$1847+(glt_ind-Sens!$E$1847)*MIN(1,(Sens!F1794-base_fy)/n_conv)</f>
        <v>0.0989049066985211</v>
      </c>
      <c r="G1847" s="7" t="n">
        <f aca="false">Sens!$E$1847+(glt_ind-Sens!$E$1847)*MIN(1,(Sens!G1794-base_fy)/n_conv)</f>
        <v>0.0931239253588169</v>
      </c>
      <c r="H1847" s="7" t="n">
        <f aca="false">Sens!$E$1847+(glt_ind-Sens!$E$1847)*MIN(1,(Sens!H1794-base_fy)/n_conv)</f>
        <v>0.0873429440191127</v>
      </c>
      <c r="I1847" s="7" t="n">
        <f aca="false">Sens!$E$1847+(glt_ind-Sens!$E$1847)*MIN(1,(Sens!I1794-base_fy)/n_conv)</f>
        <v>0.0815619626794085</v>
      </c>
      <c r="J1847" s="7" t="n">
        <f aca="false">Sens!$E$1847+(glt_ind-Sens!$E$1847)*MIN(1,(Sens!J1794-base_fy)/n_conv)</f>
        <v>0.0757809813397042</v>
      </c>
      <c r="K1847" s="7" t="n">
        <f aca="false">Sens!$E$1847+(glt_ind-Sens!$E$1847)*MIN(1,(Sens!K1794-base_fy)/n_conv)</f>
        <v>0.07</v>
      </c>
    </row>
    <row r="1848" customFormat="false" ht="17.15" hidden="false" customHeight="false" outlineLevel="0" collapsed="false">
      <c r="A1848" s="0" t="s">
        <v>1040</v>
      </c>
      <c r="B1848" s="0" t="s">
        <v>98</v>
      </c>
      <c r="D1848" s="6" t="n">
        <f aca="false">Q!L10</f>
        <v>7.76</v>
      </c>
      <c r="E1848" s="6" t="n">
        <f aca="false">Q!M10</f>
        <v>8.26</v>
      </c>
      <c r="F1848" s="6" t="n">
        <f aca="false">Q!$I$10+(Q!M10-Q!$E$10)*(1+Sens!F1849)</f>
        <v>8.75372082474227</v>
      </c>
      <c r="G1848" s="6" t="n">
        <f aca="false">Sens!F1848*(1+Sens!G1849)</f>
        <v>9.33399324642364</v>
      </c>
      <c r="H1848" s="6" t="n">
        <f aca="false">Sens!G1848*(1+Sens!H1849)</f>
        <v>9.96139155535851</v>
      </c>
      <c r="I1848" s="6" t="n">
        <f aca="false">Sens!H1848*(1+Sens!I1849)</f>
        <v>10.6402039077391</v>
      </c>
      <c r="J1848" s="6" t="n">
        <f aca="false">Sens!I1848*(1+Sens!J1849)</f>
        <v>11.3751458271397</v>
      </c>
      <c r="K1848" s="6" t="n">
        <f aca="false">Sens!J1848*(1+Sens!K1849)</f>
        <v>12.1714060350394</v>
      </c>
      <c r="L1848" s="12" t="s">
        <v>1038</v>
      </c>
    </row>
    <row r="1849" customFormat="false" ht="15" hidden="false" customHeight="false" outlineLevel="0" collapsed="false">
      <c r="A1849" s="1" t="s">
        <v>1028</v>
      </c>
      <c r="B1849" s="0" t="s">
        <v>168</v>
      </c>
      <c r="E1849" s="7" t="n">
        <f aca="false">Sens!E1848/Sens!D1848-1</f>
        <v>0.0644329896907216</v>
      </c>
      <c r="F1849" s="7" t="n">
        <f aca="false">Sens!$E$1849+(glt_fro-Sens!$E$1849)*MIN(1,(Sens!F1794-base_fy)/n_conv)</f>
        <v>0.065360824742268</v>
      </c>
      <c r="G1849" s="7" t="n">
        <f aca="false">Sens!$E$1849+(glt_fro-Sens!$E$1849)*MIN(1,(Sens!G1794-base_fy)/n_conv)</f>
        <v>0.0662886597938144</v>
      </c>
      <c r="H1849" s="7" t="n">
        <f aca="false">Sens!$E$1849+(glt_fro-Sens!$E$1849)*MIN(1,(Sens!H1794-base_fy)/n_conv)</f>
        <v>0.0672164948453608</v>
      </c>
      <c r="I1849" s="7" t="n">
        <f aca="false">Sens!$E$1849+(glt_fro-Sens!$E$1849)*MIN(1,(Sens!I1794-base_fy)/n_conv)</f>
        <v>0.0681443298969072</v>
      </c>
      <c r="J1849" s="7" t="n">
        <f aca="false">Sens!$E$1849+(glt_fro-Sens!$E$1849)*MIN(1,(Sens!J1794-base_fy)/n_conv)</f>
        <v>0.0690721649484536</v>
      </c>
      <c r="K1849" s="7" t="n">
        <f aca="false">Sens!$E$1849+(glt_fro-Sens!$E$1849)*MIN(1,(Sens!K1794-base_fy)/n_conv)</f>
        <v>0.07</v>
      </c>
    </row>
    <row r="1850" customFormat="false" ht="15" hidden="false" customHeight="false" outlineLevel="0" collapsed="false">
      <c r="A1850" s="0" t="s">
        <v>856</v>
      </c>
      <c r="B1850" s="0" t="s">
        <v>98</v>
      </c>
      <c r="D1850" s="6" t="n">
        <f aca="false">Sens!D1838+Sens!D1843+Sens!D1844+Sens!D1846+Sens!D1848</f>
        <v>218.783</v>
      </c>
      <c r="E1850" s="6" t="n">
        <f aca="false">Sens!E1838+Sens!E1843+Sens!E1844+Sens!E1846+Sens!E1848</f>
        <v>268.127</v>
      </c>
      <c r="F1850" s="6" t="n">
        <f aca="false">Sens!F1838+Sens!F1843+Sens!F1844+Sens!F1846+Sens!F1848</f>
        <v>336.113345609722</v>
      </c>
      <c r="G1850" s="6" t="n">
        <f aca="false">Sens!G1838+Sens!G1843+Sens!G1844+Sens!G1846+Sens!G1848</f>
        <v>402.165395444466</v>
      </c>
      <c r="H1850" s="6" t="n">
        <f aca="false">Sens!H1838+Sens!H1843+Sens!H1844+Sens!H1846+Sens!H1848</f>
        <v>462.845087160358</v>
      </c>
      <c r="I1850" s="6" t="n">
        <f aca="false">Sens!I1838+Sens!I1843+Sens!I1844+Sens!I1846+Sens!I1848</f>
        <v>526.3774355913</v>
      </c>
      <c r="J1850" s="6" t="n">
        <f aca="false">Sens!J1838+Sens!J1843+Sens!J1844+Sens!J1846+Sens!J1848</f>
        <v>578.39566514554</v>
      </c>
      <c r="K1850" s="6" t="n">
        <f aca="false">Sens!K1838+Sens!K1843+Sens!K1844+Sens!K1846+Sens!K1848</f>
        <v>619.490682704397</v>
      </c>
    </row>
    <row r="1851" customFormat="false" ht="17.15" hidden="false" customHeight="false" outlineLevel="0" collapsed="false">
      <c r="A1851" s="0" t="s">
        <v>1041</v>
      </c>
      <c r="B1851" s="0" t="s">
        <v>98</v>
      </c>
      <c r="D1851" s="6" t="n">
        <f aca="false">Q!L13</f>
        <v>22.171</v>
      </c>
      <c r="E1851" s="6" t="n">
        <f aca="false">Q!M13</f>
        <v>24.835</v>
      </c>
      <c r="F1851" s="6" t="n">
        <f aca="false">Q!$I$13+(Q!M13-Q!$E$13)*(1+Sens!F1852)</f>
        <v>27.5591895660247</v>
      </c>
      <c r="G1851" s="6" t="n">
        <f aca="false">Sens!F1851*(1+Sens!G1852)</f>
        <v>30.4098563144583</v>
      </c>
      <c r="H1851" s="6" t="n">
        <f aca="false">Sens!G1851*(1+Sens!H1852)</f>
        <v>33.3011792571777</v>
      </c>
      <c r="I1851" s="6" t="n">
        <f aca="false">Sens!H1851*(1+Sens!I1852)</f>
        <v>36.189023797112</v>
      </c>
      <c r="J1851" s="6" t="n">
        <f aca="false">Sens!I1851*(1+Sens!J1852)</f>
        <v>39.0247773769199</v>
      </c>
      <c r="K1851" s="6" t="n">
        <f aca="false">Sens!J1851*(1+Sens!K1852)</f>
        <v>41.7565117933043</v>
      </c>
      <c r="L1851" s="12" t="s">
        <v>1038</v>
      </c>
    </row>
    <row r="1852" customFormat="false" ht="15" hidden="false" customHeight="false" outlineLevel="0" collapsed="false">
      <c r="A1852" s="1" t="s">
        <v>1028</v>
      </c>
      <c r="B1852" s="0" t="s">
        <v>168</v>
      </c>
      <c r="E1852" s="7" t="n">
        <f aca="false">Sens!E1851/Sens!D1851-1</f>
        <v>0.120156961796942</v>
      </c>
      <c r="F1852" s="7" t="n">
        <f aca="false">Sens!$E$1852+(glt_srch-Sens!$E$1852)*MIN(1,(Sens!F1794-base_fy)/n_conv)</f>
        <v>0.111797468164118</v>
      </c>
      <c r="G1852" s="7" t="n">
        <f aca="false">Sens!$E$1852+(glt_srch-Sens!$E$1852)*MIN(1,(Sens!G1794-base_fy)/n_conv)</f>
        <v>0.103437974531295</v>
      </c>
      <c r="H1852" s="7" t="n">
        <f aca="false">Sens!$E$1852+(glt_srch-Sens!$E$1852)*MIN(1,(Sens!H1794-base_fy)/n_conv)</f>
        <v>0.095078480898471</v>
      </c>
      <c r="I1852" s="7" t="n">
        <f aca="false">Sens!$E$1852+(glt_srch-Sens!$E$1852)*MIN(1,(Sens!I1794-base_fy)/n_conv)</f>
        <v>0.0867189872656474</v>
      </c>
      <c r="J1852" s="7" t="n">
        <f aca="false">Sens!$E$1852+(glt_srch-Sens!$E$1852)*MIN(1,(Sens!J1794-base_fy)/n_conv)</f>
        <v>0.0783594936328237</v>
      </c>
      <c r="K1852" s="7" t="n">
        <f aca="false">Sens!$E$1852+(glt_srch-Sens!$E$1852)*MIN(1,(Sens!K1794-base_fy)/n_conv)</f>
        <v>0.07</v>
      </c>
    </row>
    <row r="1853" customFormat="false" ht="17.15" hidden="false" customHeight="false" outlineLevel="0" collapsed="false">
      <c r="A1853" s="0" t="s">
        <v>1042</v>
      </c>
      <c r="B1853" s="0" t="s">
        <v>98</v>
      </c>
      <c r="D1853" s="6" t="n">
        <f aca="false">Q!L14</f>
        <v>23.455</v>
      </c>
      <c r="E1853" s="6" t="n">
        <f aca="false">Q!M14</f>
        <v>21.79</v>
      </c>
      <c r="F1853" s="6" t="n">
        <f aca="false">Q!$I$14+(Q!M14-Q!$E$14)*(1+Sens!F1854)</f>
        <v>20.7520981041711</v>
      </c>
      <c r="G1853" s="6" t="n">
        <f aca="false">Sens!F1853*(1+Sens!G1854)</f>
        <v>19.9083593495882</v>
      </c>
      <c r="H1853" s="6" t="n">
        <f aca="false">Sens!G1853*(1+Sens!H1854)</f>
        <v>19.4008256265831</v>
      </c>
      <c r="I1853" s="6" t="n">
        <f aca="false">Sens!H1853*(1+Sens!I1854)</f>
        <v>19.200434522122</v>
      </c>
      <c r="J1853" s="6" t="n">
        <f aca="false">Sens!I1853*(1+Sens!J1854)</f>
        <v>19.2932782348507</v>
      </c>
      <c r="K1853" s="6" t="n">
        <f aca="false">Sens!J1853*(1+Sens!K1854)</f>
        <v>19.6791437995477</v>
      </c>
      <c r="L1853" s="12" t="s">
        <v>1038</v>
      </c>
    </row>
    <row r="1854" customFormat="false" ht="15" hidden="false" customHeight="false" outlineLevel="0" collapsed="false">
      <c r="A1854" s="1" t="s">
        <v>1028</v>
      </c>
      <c r="B1854" s="0" t="s">
        <v>168</v>
      </c>
      <c r="E1854" s="7" t="n">
        <f aca="false">Sens!E1853/Sens!D1853-1</f>
        <v>-0.0709869963760392</v>
      </c>
      <c r="F1854" s="7" t="n">
        <f aca="false">Sens!$E$1854+(glt_xbox-Sens!$E$1854)*MIN(1,(Sens!F1794-base_fy)/n_conv)</f>
        <v>-0.0558224969800327</v>
      </c>
      <c r="G1854" s="7" t="n">
        <f aca="false">Sens!$E$1854+(glt_xbox-Sens!$E$1854)*MIN(1,(Sens!G1794-base_fy)/n_conv)</f>
        <v>-0.0406579975840262</v>
      </c>
      <c r="H1854" s="7" t="n">
        <f aca="false">Sens!$E$1854+(glt_xbox-Sens!$E$1854)*MIN(1,(Sens!H1794-base_fy)/n_conv)</f>
        <v>-0.0254934981880196</v>
      </c>
      <c r="I1854" s="7" t="n">
        <f aca="false">Sens!$E$1854+(glt_xbox-Sens!$E$1854)*MIN(1,(Sens!I1794-base_fy)/n_conv)</f>
        <v>-0.0103289987920131</v>
      </c>
      <c r="J1854" s="7" t="n">
        <f aca="false">Sens!$E$1854+(glt_xbox-Sens!$E$1854)*MIN(1,(Sens!J1794-base_fy)/n_conv)</f>
        <v>0.00483550060399347</v>
      </c>
      <c r="K1854" s="7" t="n">
        <f aca="false">Sens!$E$1854+(glt_xbox-Sens!$E$1854)*MIN(1,(Sens!K1794-base_fy)/n_conv)</f>
        <v>0.02</v>
      </c>
    </row>
    <row r="1855" customFormat="false" ht="17.15" hidden="false" customHeight="false" outlineLevel="0" collapsed="false">
      <c r="A1855" s="0" t="s">
        <v>1043</v>
      </c>
      <c r="B1855" s="0" t="s">
        <v>98</v>
      </c>
      <c r="D1855" s="6" t="n">
        <f aca="false">Q!L15</f>
        <v>17.315</v>
      </c>
      <c r="E1855" s="6" t="n">
        <f aca="false">Q!M15</f>
        <v>17.087</v>
      </c>
      <c r="F1855" s="6" t="n">
        <f aca="false">Q!$I$15+(Q!M15-Q!$E$15)*(1+Sens!F1856)</f>
        <v>15.9912273250553</v>
      </c>
      <c r="G1855" s="6" t="n">
        <f aca="false">Sens!F1855*(1+Sens!G1856)</f>
        <v>15.9574562664827</v>
      </c>
      <c r="H1855" s="6" t="n">
        <f aca="false">Sens!G1855*(1+Sens!H1856)</f>
        <v>16.0119687434196</v>
      </c>
      <c r="I1855" s="6" t="n">
        <f aca="false">Sens!H1855*(1+Sens!I1856)</f>
        <v>16.1551810001948</v>
      </c>
      <c r="J1855" s="6" t="n">
        <f aca="false">Sens!I1855*(1+Sens!J1856)</f>
        <v>16.3889793892005</v>
      </c>
      <c r="K1855" s="6" t="n">
        <f aca="false">Sens!J1855*(1+Sens!K1856)</f>
        <v>16.7167589769845</v>
      </c>
      <c r="L1855" s="12" t="s">
        <v>1038</v>
      </c>
    </row>
    <row r="1856" customFormat="false" ht="15" hidden="false" customHeight="false" outlineLevel="0" collapsed="false">
      <c r="A1856" s="1" t="s">
        <v>1028</v>
      </c>
      <c r="B1856" s="0" t="s">
        <v>168</v>
      </c>
      <c r="E1856" s="7" t="n">
        <f aca="false">Sens!E1855/Sens!D1855-1</f>
        <v>-0.0131677736066995</v>
      </c>
      <c r="F1856" s="7" t="n">
        <f aca="false">Sens!$E$1856+(glt_win-Sens!$E$1856)*MIN(1,(Sens!F1794-base_fy)/n_conv)</f>
        <v>-0.00763981133891627</v>
      </c>
      <c r="G1856" s="7" t="n">
        <f aca="false">Sens!$E$1856+(glt_win-Sens!$E$1856)*MIN(1,(Sens!G1794-base_fy)/n_conv)</f>
        <v>-0.00211184907113301</v>
      </c>
      <c r="H1856" s="7" t="n">
        <f aca="false">Sens!$E$1856+(glt_win-Sens!$E$1856)*MIN(1,(Sens!H1794-base_fy)/n_conv)</f>
        <v>0.00341611319665024</v>
      </c>
      <c r="I1856" s="7" t="n">
        <f aca="false">Sens!$E$1856+(glt_win-Sens!$E$1856)*MIN(1,(Sens!I1794-base_fy)/n_conv)</f>
        <v>0.00894407546443349</v>
      </c>
      <c r="J1856" s="7" t="n">
        <f aca="false">Sens!$E$1856+(glt_win-Sens!$E$1856)*MIN(1,(Sens!J1794-base_fy)/n_conv)</f>
        <v>0.0144720377322168</v>
      </c>
      <c r="K1856" s="7" t="n">
        <f aca="false">Sens!$E$1856+(glt_win-Sens!$E$1856)*MIN(1,(Sens!K1794-base_fy)/n_conv)</f>
        <v>0.02</v>
      </c>
    </row>
    <row r="1857" customFormat="false" ht="15" hidden="false" customHeight="false" outlineLevel="0" collapsed="false">
      <c r="A1857" s="0" t="s">
        <v>870</v>
      </c>
      <c r="B1857" s="0" t="s">
        <v>98</v>
      </c>
      <c r="D1857" s="6" t="n">
        <f aca="false">Sens!D1851+Sens!D1853+Sens!D1855</f>
        <v>62.941</v>
      </c>
      <c r="E1857" s="6" t="n">
        <f aca="false">Sens!E1851+Sens!E1853+Sens!E1855</f>
        <v>63.712</v>
      </c>
      <c r="F1857" s="6" t="n">
        <f aca="false">Sens!F1851+Sens!F1853+Sens!F1855</f>
        <v>64.3025149952511</v>
      </c>
      <c r="G1857" s="6" t="n">
        <f aca="false">Sens!G1851+Sens!G1853+Sens!G1855</f>
        <v>66.2756719305292</v>
      </c>
      <c r="H1857" s="6" t="n">
        <f aca="false">Sens!H1851+Sens!H1853+Sens!H1855</f>
        <v>68.7139736271804</v>
      </c>
      <c r="I1857" s="6" t="n">
        <f aca="false">Sens!I1851+Sens!I1853+Sens!I1855</f>
        <v>71.5446393194289</v>
      </c>
      <c r="J1857" s="6" t="n">
        <f aca="false">Sens!J1851+Sens!J1853+Sens!J1855</f>
        <v>74.707035000971</v>
      </c>
      <c r="K1857" s="6" t="n">
        <f aca="false">Sens!K1851+Sens!K1853+Sens!K1855</f>
        <v>78.1524145698365</v>
      </c>
    </row>
    <row r="1858" customFormat="false" ht="15" hidden="false" customHeight="false" outlineLevel="0" collapsed="false">
      <c r="A1858" s="1" t="s">
        <v>1044</v>
      </c>
      <c r="B1858" s="0" t="s">
        <v>98</v>
      </c>
      <c r="D1858" s="6" t="n">
        <f aca="false">Sens!D1850+Sens!D1857</f>
        <v>281.724</v>
      </c>
      <c r="E1858" s="6" t="n">
        <f aca="false">Sens!E1850+Sens!E1857</f>
        <v>331.839</v>
      </c>
      <c r="F1858" s="6" t="n">
        <f aca="false">Sens!F1850+Sens!F1857</f>
        <v>400.415860604973</v>
      </c>
      <c r="G1858" s="6" t="n">
        <f aca="false">Sens!G1850+Sens!G1857</f>
        <v>468.441067374995</v>
      </c>
      <c r="H1858" s="6" t="n">
        <f aca="false">Sens!H1850+Sens!H1857</f>
        <v>531.559060787539</v>
      </c>
      <c r="I1858" s="6" t="n">
        <f aca="false">Sens!I1850+Sens!I1857</f>
        <v>597.922074910729</v>
      </c>
      <c r="J1858" s="6" t="n">
        <f aca="false">Sens!J1850+Sens!J1857</f>
        <v>653.102700146511</v>
      </c>
      <c r="K1858" s="6" t="n">
        <f aca="false">Sens!K1850+Sens!K1857</f>
        <v>697.643097274234</v>
      </c>
    </row>
    <row r="1859" customFormat="false" ht="15" hidden="false" customHeight="false" outlineLevel="0" collapsed="false">
      <c r="A1859" s="26" t="s">
        <v>1045</v>
      </c>
      <c r="B1859" s="31" t="s">
        <v>98</v>
      </c>
      <c r="C1859" s="31"/>
      <c r="D1859" s="27" t="n">
        <f aca="false">(Sens!D1838+Sens!D1843+Sens!D1844+Sens!D1846+Sens!D1848-Sens!D1850)+(Sens!D1851+Sens!D1853+Sens!D1855-Sens!D1857)+(Sens!D1850-Q!L5)+(Sens!D1857-Q!L12)+(Sens!D1838-Q!L6)+(Sens!D1843-Q!L7)</f>
        <v>0</v>
      </c>
      <c r="E1859" s="27" t="n">
        <f aca="false">(Sens!E1838+Sens!E1843+Sens!E1844+Sens!E1846+Sens!E1848-Sens!E1850)+(Sens!E1851+Sens!E1853+Sens!E1855-Sens!E1857)+(Sens!E1850-Q!M5)+(Sens!E1857-Q!M12)+(Sens!E1838-Q!M6)+(Sens!E1843-Q!M7)</f>
        <v>0</v>
      </c>
      <c r="F1859" s="27" t="n">
        <f aca="false">(Sens!F1838+Sens!F1843+Sens!F1844+Sens!F1846+Sens!F1848-Sens!F1850)+(Sens!F1851+Sens!F1853+Sens!F1855-Sens!F1857)</f>
        <v>0</v>
      </c>
      <c r="G1859" s="27" t="n">
        <f aca="false">(Sens!G1838+Sens!G1843+Sens!G1844+Sens!G1846+Sens!G1848-Sens!G1850)+(Sens!G1851+Sens!G1853+Sens!G1855-Sens!G1857)</f>
        <v>0</v>
      </c>
      <c r="H1859" s="27" t="n">
        <f aca="false">(Sens!H1838+Sens!H1843+Sens!H1844+Sens!H1846+Sens!H1848-Sens!H1850)+(Sens!H1851+Sens!H1853+Sens!H1855-Sens!H1857)</f>
        <v>0</v>
      </c>
      <c r="I1859" s="27" t="n">
        <f aca="false">(Sens!I1838+Sens!I1843+Sens!I1844+Sens!I1846+Sens!I1848-Sens!I1850)+(Sens!I1851+Sens!I1853+Sens!I1855-Sens!I1857)</f>
        <v>0</v>
      </c>
      <c r="J1859" s="27" t="n">
        <f aca="false">(Sens!J1838+Sens!J1843+Sens!J1844+Sens!J1846+Sens!J1848-Sens!J1850)+(Sens!J1851+Sens!J1853+Sens!J1855-Sens!J1857)</f>
        <v>0</v>
      </c>
      <c r="K1859" s="27" t="n">
        <f aca="false">(Sens!K1838+Sens!K1843+Sens!K1844+Sens!K1846+Sens!K1848-Sens!K1850)+(Sens!K1851+Sens!K1853+Sens!K1855-Sens!K1857)</f>
        <v>0</v>
      </c>
    </row>
    <row r="1860" customFormat="false" ht="17.15" hidden="false" customHeight="false" outlineLevel="0" collapsed="false">
      <c r="A1860" s="3" t="s">
        <v>1657</v>
      </c>
    </row>
    <row r="1861" customFormat="false" ht="15" hidden="false" customHeight="false" outlineLevel="0" collapsed="false">
      <c r="A1861" s="4" t="s">
        <v>43</v>
      </c>
      <c r="B1861" s="4" t="s">
        <v>65</v>
      </c>
      <c r="C1861" s="23" t="s">
        <v>942</v>
      </c>
      <c r="D1861" s="23" t="s">
        <v>943</v>
      </c>
      <c r="E1861" s="23" t="s">
        <v>944</v>
      </c>
      <c r="F1861" s="23" t="s">
        <v>945</v>
      </c>
      <c r="G1861" s="23" t="s">
        <v>946</v>
      </c>
      <c r="H1861" s="23" t="s">
        <v>947</v>
      </c>
      <c r="I1861" s="23" t="s">
        <v>948</v>
      </c>
      <c r="J1861" s="23" t="s">
        <v>949</v>
      </c>
      <c r="K1861" s="23" t="s">
        <v>950</v>
      </c>
      <c r="L1861" s="4" t="s">
        <v>47</v>
      </c>
    </row>
    <row r="1862" customFormat="false" ht="15" hidden="false" customHeight="false" outlineLevel="0" collapsed="false">
      <c r="A1862" s="0" t="s">
        <v>1029</v>
      </c>
      <c r="B1862" s="0" t="s">
        <v>98</v>
      </c>
      <c r="D1862" s="6" t="n">
        <f aca="false">Sens!D1838</f>
        <v>72.61</v>
      </c>
      <c r="E1862" s="6" t="n">
        <f aca="false">Sens!E1838</f>
        <v>101.938</v>
      </c>
      <c r="F1862" s="6" t="n">
        <f aca="false">Sens!F1838</f>
        <v>149.219947103537</v>
      </c>
      <c r="G1862" s="6" t="n">
        <f aca="false">Sens!G1838</f>
        <v>195.831156458057</v>
      </c>
      <c r="H1862" s="6" t="n">
        <f aca="false">Sens!H1838</f>
        <v>237.043608126167</v>
      </c>
      <c r="I1862" s="6" t="n">
        <f aca="false">Sens!I1838</f>
        <v>282.128798288729</v>
      </c>
      <c r="J1862" s="6" t="n">
        <f aca="false">Sens!J1838</f>
        <v>317.039957451154</v>
      </c>
      <c r="K1862" s="6" t="n">
        <f aca="false">Sens!K1838</f>
        <v>341.951012336728</v>
      </c>
    </row>
    <row r="1863" customFormat="false" ht="17.15" hidden="false" customHeight="false" outlineLevel="0" collapsed="false">
      <c r="A1863" s="0" t="s">
        <v>1025</v>
      </c>
      <c r="B1863" s="0" t="s">
        <v>98</v>
      </c>
      <c r="D1863" s="6" t="n">
        <f aca="false">Sens!D1835</f>
        <v>12.9359794422418</v>
      </c>
      <c r="E1863" s="6" t="n">
        <f aca="false">Sens!E1835</f>
        <v>27.8095064661409</v>
      </c>
      <c r="F1863" s="6" t="n">
        <f aca="false">Sens!F1835</f>
        <v>58.6292188505159</v>
      </c>
      <c r="G1863" s="6" t="n">
        <f aca="false">Sens!G1835</f>
        <v>88.1958501417173</v>
      </c>
      <c r="H1863" s="6" t="n">
        <f aca="false">Sens!H1835</f>
        <v>112.066968633109</v>
      </c>
      <c r="I1863" s="6" t="n">
        <f aca="false">Sens!I1835</f>
        <v>140.395962386948</v>
      </c>
      <c r="J1863" s="6" t="n">
        <f aca="false">Sens!J1835</f>
        <v>160.136419511524</v>
      </c>
      <c r="K1863" s="6" t="n">
        <f aca="false">Sens!K1835</f>
        <v>172.495191361928</v>
      </c>
    </row>
    <row r="1864" customFormat="false" ht="17.15" hidden="false" customHeight="false" outlineLevel="0" collapsed="false">
      <c r="A1864" s="0" t="s">
        <v>1056</v>
      </c>
      <c r="B1864" s="0" t="s">
        <v>98</v>
      </c>
      <c r="D1864" s="6" t="n">
        <f aca="false">Sens!D1836</f>
        <v>59.6740205577583</v>
      </c>
      <c r="E1864" s="6" t="n">
        <f aca="false">Sens!E1836</f>
        <v>74.1284935338591</v>
      </c>
      <c r="F1864" s="6" t="n">
        <f aca="false">Sens!F1836</f>
        <v>90.5907282530214</v>
      </c>
      <c r="G1864" s="6" t="n">
        <f aca="false">Sens!G1836</f>
        <v>107.635306316339</v>
      </c>
      <c r="H1864" s="6" t="n">
        <f aca="false">Sens!H1836</f>
        <v>124.976639493057</v>
      </c>
      <c r="I1864" s="6" t="n">
        <f aca="false">Sens!I1836</f>
        <v>141.732835901781</v>
      </c>
      <c r="J1864" s="6" t="n">
        <f aca="false">Sens!J1836</f>
        <v>156.90353793963</v>
      </c>
      <c r="K1864" s="6" t="n">
        <f aca="false">Sens!K1836</f>
        <v>169.4558209748</v>
      </c>
    </row>
    <row r="1865" customFormat="false" ht="15" hidden="false" customHeight="false" outlineLevel="0" collapsed="false">
      <c r="A1865" s="0" t="s">
        <v>1036</v>
      </c>
      <c r="B1865" s="0" t="s">
        <v>98</v>
      </c>
      <c r="D1865" s="6" t="n">
        <f aca="false">Sens!D1843</f>
        <v>84.605</v>
      </c>
      <c r="E1865" s="6" t="n">
        <f aca="false">Sens!E1843</f>
        <v>100.299</v>
      </c>
      <c r="F1865" s="6" t="n">
        <f aca="false">Sens!F1843</f>
        <v>117.438354189776</v>
      </c>
      <c r="G1865" s="6" t="n">
        <f aca="false">Sens!G1843</f>
        <v>132.595360443801</v>
      </c>
      <c r="H1865" s="6" t="n">
        <f aca="false">Sens!H1843</f>
        <v>147.833811964563</v>
      </c>
      <c r="I1865" s="6" t="n">
        <f aca="false">Sens!I1843</f>
        <v>162.145665319381</v>
      </c>
      <c r="J1865" s="6" t="n">
        <f aca="false">Sens!J1843</f>
        <v>175.249327755573</v>
      </c>
      <c r="K1865" s="6" t="n">
        <f aca="false">Sens!K1843</f>
        <v>187.599280698463</v>
      </c>
    </row>
    <row r="1866" customFormat="false" ht="17.15" hidden="false" customHeight="false" outlineLevel="0" collapsed="false">
      <c r="A1866" s="0" t="s">
        <v>1057</v>
      </c>
      <c r="B1866" s="0" t="s">
        <v>98</v>
      </c>
      <c r="D1866" s="6" t="n">
        <f aca="false">Sens!D1841</f>
        <v>83.705</v>
      </c>
      <c r="E1866" s="6" t="n">
        <f aca="false">Sens!E1841</f>
        <v>95.049</v>
      </c>
      <c r="F1866" s="6" t="n">
        <f aca="false">Sens!F1841</f>
        <v>106.938354189776</v>
      </c>
      <c r="G1866" s="6" t="n">
        <f aca="false">Sens!G1841</f>
        <v>119.095360443801</v>
      </c>
      <c r="H1866" s="6" t="n">
        <f aca="false">Sens!H1841</f>
        <v>131.333811964563</v>
      </c>
      <c r="I1866" s="6" t="n">
        <f aca="false">Sens!I1841</f>
        <v>143.395665319381</v>
      </c>
      <c r="J1866" s="6" t="n">
        <f aca="false">Sens!J1841</f>
        <v>154.999327755573</v>
      </c>
      <c r="K1866" s="6" t="n">
        <f aca="false">Sens!K1841</f>
        <v>165.849280698463</v>
      </c>
    </row>
    <row r="1867" customFormat="false" ht="17.15" hidden="false" customHeight="false" outlineLevel="0" collapsed="false">
      <c r="A1867" s="0" t="s">
        <v>1058</v>
      </c>
      <c r="B1867" s="0" t="s">
        <v>98</v>
      </c>
      <c r="D1867" s="6" t="n">
        <f aca="false">Sens!D1840</f>
        <v>0.9</v>
      </c>
      <c r="E1867" s="6" t="n">
        <f aca="false">Sens!E1840</f>
        <v>5.25</v>
      </c>
      <c r="F1867" s="6" t="n">
        <f aca="false">Sens!F1840</f>
        <v>10.5</v>
      </c>
      <c r="G1867" s="6" t="n">
        <f aca="false">Sens!G1840</f>
        <v>13.5</v>
      </c>
      <c r="H1867" s="6" t="n">
        <f aca="false">Sens!H1840</f>
        <v>16.5</v>
      </c>
      <c r="I1867" s="6" t="n">
        <f aca="false">Sens!I1840</f>
        <v>18.75</v>
      </c>
      <c r="J1867" s="6" t="n">
        <f aca="false">Sens!J1840</f>
        <v>20.25</v>
      </c>
      <c r="K1867" s="6" t="n">
        <f aca="false">Sens!K1840</f>
        <v>21.75</v>
      </c>
    </row>
    <row r="1868" customFormat="false" ht="15" hidden="false" customHeight="false" outlineLevel="0" collapsed="false">
      <c r="A1868" s="0" t="s">
        <v>1037</v>
      </c>
      <c r="B1868" s="0" t="s">
        <v>98</v>
      </c>
      <c r="D1868" s="6" t="n">
        <f aca="false">Sens!D1844</f>
        <v>35.391</v>
      </c>
      <c r="E1868" s="6" t="n">
        <f aca="false">Sens!E1844</f>
        <v>37.285</v>
      </c>
      <c r="F1868" s="6" t="n">
        <f aca="false">Sens!F1844</f>
        <v>38.3851437782675</v>
      </c>
      <c r="G1868" s="6" t="n">
        <f aca="false">Sens!G1844</f>
        <v>40.0105353288615</v>
      </c>
      <c r="H1868" s="6" t="n">
        <f aca="false">Sens!H1844</f>
        <v>41.4812512033683</v>
      </c>
      <c r="I1868" s="6" t="n">
        <f aca="false">Sens!I1844</f>
        <v>42.7743107216329</v>
      </c>
      <c r="J1868" s="6" t="n">
        <f aca="false">Sens!J1844</f>
        <v>43.8687373064601</v>
      </c>
      <c r="K1868" s="6" t="n">
        <f aca="false">Sens!K1844</f>
        <v>44.7461120525893</v>
      </c>
    </row>
    <row r="1869" customFormat="false" ht="15" hidden="false" customHeight="false" outlineLevel="0" collapsed="false">
      <c r="A1869" s="0" t="s">
        <v>1039</v>
      </c>
      <c r="B1869" s="0" t="s">
        <v>98</v>
      </c>
      <c r="D1869" s="6" t="n">
        <f aca="false">Sens!D1846</f>
        <v>18.417</v>
      </c>
      <c r="E1869" s="6" t="n">
        <f aca="false">Sens!E1846</f>
        <v>20.345</v>
      </c>
      <c r="F1869" s="6" t="n">
        <f aca="false">Sens!F1846</f>
        <v>22.3161797133988</v>
      </c>
      <c r="G1869" s="6" t="n">
        <f aca="false">Sens!G1846</f>
        <v>24.3943499673233</v>
      </c>
      <c r="H1869" s="6" t="n">
        <f aca="false">Sens!H1846</f>
        <v>26.5250243109019</v>
      </c>
      <c r="I1869" s="6" t="n">
        <f aca="false">Sens!I1846</f>
        <v>28.6884573538181</v>
      </c>
      <c r="J1869" s="6" t="n">
        <f aca="false">Sens!J1846</f>
        <v>30.8624968052127</v>
      </c>
      <c r="K1869" s="6" t="n">
        <f aca="false">Sens!K1846</f>
        <v>33.0228715815776</v>
      </c>
    </row>
    <row r="1870" customFormat="false" ht="15" hidden="false" customHeight="false" outlineLevel="0" collapsed="false">
      <c r="A1870" s="0" t="s">
        <v>1040</v>
      </c>
      <c r="B1870" s="0" t="s">
        <v>98</v>
      </c>
      <c r="D1870" s="6" t="n">
        <f aca="false">Sens!D1848</f>
        <v>7.76</v>
      </c>
      <c r="E1870" s="6" t="n">
        <f aca="false">Sens!E1848</f>
        <v>8.26</v>
      </c>
      <c r="F1870" s="6" t="n">
        <f aca="false">Sens!F1848</f>
        <v>8.75372082474227</v>
      </c>
      <c r="G1870" s="6" t="n">
        <f aca="false">Sens!G1848</f>
        <v>9.33399324642364</v>
      </c>
      <c r="H1870" s="6" t="n">
        <f aca="false">Sens!H1848</f>
        <v>9.96139155535851</v>
      </c>
      <c r="I1870" s="6" t="n">
        <f aca="false">Sens!I1848</f>
        <v>10.6402039077391</v>
      </c>
      <c r="J1870" s="6" t="n">
        <f aca="false">Sens!J1848</f>
        <v>11.3751458271397</v>
      </c>
      <c r="K1870" s="6" t="n">
        <f aca="false">Sens!K1848</f>
        <v>12.1714060350394</v>
      </c>
    </row>
    <row r="1871" customFormat="false" ht="15" hidden="false" customHeight="false" outlineLevel="0" collapsed="false">
      <c r="A1871" s="0" t="s">
        <v>856</v>
      </c>
      <c r="B1871" s="0" t="s">
        <v>98</v>
      </c>
      <c r="D1871" s="6" t="n">
        <f aca="false">Sens!D1850</f>
        <v>218.783</v>
      </c>
      <c r="E1871" s="6" t="n">
        <f aca="false">Sens!E1850</f>
        <v>268.127</v>
      </c>
      <c r="F1871" s="6" t="n">
        <f aca="false">Sens!F1850</f>
        <v>336.113345609722</v>
      </c>
      <c r="G1871" s="6" t="n">
        <f aca="false">Sens!G1850</f>
        <v>402.165395444466</v>
      </c>
      <c r="H1871" s="6" t="n">
        <f aca="false">Sens!H1850</f>
        <v>462.845087160358</v>
      </c>
      <c r="I1871" s="6" t="n">
        <f aca="false">Sens!I1850</f>
        <v>526.3774355913</v>
      </c>
      <c r="J1871" s="6" t="n">
        <f aca="false">Sens!J1850</f>
        <v>578.39566514554</v>
      </c>
      <c r="K1871" s="6" t="n">
        <f aca="false">Sens!K1850</f>
        <v>619.490682704397</v>
      </c>
    </row>
    <row r="1872" customFormat="false" ht="15" hidden="false" customHeight="false" outlineLevel="0" collapsed="false">
      <c r="A1872" s="0" t="s">
        <v>1041</v>
      </c>
      <c r="B1872" s="0" t="s">
        <v>98</v>
      </c>
      <c r="D1872" s="6" t="n">
        <f aca="false">Sens!D1851</f>
        <v>22.171</v>
      </c>
      <c r="E1872" s="6" t="n">
        <f aca="false">Sens!E1851</f>
        <v>24.835</v>
      </c>
      <c r="F1872" s="6" t="n">
        <f aca="false">Sens!F1851</f>
        <v>27.5591895660247</v>
      </c>
      <c r="G1872" s="6" t="n">
        <f aca="false">Sens!G1851</f>
        <v>30.4098563144583</v>
      </c>
      <c r="H1872" s="6" t="n">
        <f aca="false">Sens!H1851</f>
        <v>33.3011792571777</v>
      </c>
      <c r="I1872" s="6" t="n">
        <f aca="false">Sens!I1851</f>
        <v>36.189023797112</v>
      </c>
      <c r="J1872" s="6" t="n">
        <f aca="false">Sens!J1851</f>
        <v>39.0247773769199</v>
      </c>
      <c r="K1872" s="6" t="n">
        <f aca="false">Sens!K1851</f>
        <v>41.7565117933043</v>
      </c>
    </row>
    <row r="1873" customFormat="false" ht="15" hidden="false" customHeight="false" outlineLevel="0" collapsed="false">
      <c r="A1873" s="0" t="s">
        <v>1042</v>
      </c>
      <c r="B1873" s="0" t="s">
        <v>98</v>
      </c>
      <c r="D1873" s="6" t="n">
        <f aca="false">Sens!D1853</f>
        <v>23.455</v>
      </c>
      <c r="E1873" s="6" t="n">
        <f aca="false">Sens!E1853</f>
        <v>21.79</v>
      </c>
      <c r="F1873" s="6" t="n">
        <f aca="false">Sens!F1853</f>
        <v>20.7520981041711</v>
      </c>
      <c r="G1873" s="6" t="n">
        <f aca="false">Sens!G1853</f>
        <v>19.9083593495882</v>
      </c>
      <c r="H1873" s="6" t="n">
        <f aca="false">Sens!H1853</f>
        <v>19.4008256265831</v>
      </c>
      <c r="I1873" s="6" t="n">
        <f aca="false">Sens!I1853</f>
        <v>19.200434522122</v>
      </c>
      <c r="J1873" s="6" t="n">
        <f aca="false">Sens!J1853</f>
        <v>19.2932782348507</v>
      </c>
      <c r="K1873" s="6" t="n">
        <f aca="false">Sens!K1853</f>
        <v>19.6791437995477</v>
      </c>
    </row>
    <row r="1874" customFormat="false" ht="15" hidden="false" customHeight="false" outlineLevel="0" collapsed="false">
      <c r="A1874" s="0" t="s">
        <v>1043</v>
      </c>
      <c r="B1874" s="0" t="s">
        <v>98</v>
      </c>
      <c r="D1874" s="6" t="n">
        <f aca="false">Sens!D1855</f>
        <v>17.315</v>
      </c>
      <c r="E1874" s="6" t="n">
        <f aca="false">Sens!E1855</f>
        <v>17.087</v>
      </c>
      <c r="F1874" s="6" t="n">
        <f aca="false">Sens!F1855</f>
        <v>15.9912273250553</v>
      </c>
      <c r="G1874" s="6" t="n">
        <f aca="false">Sens!G1855</f>
        <v>15.9574562664827</v>
      </c>
      <c r="H1874" s="6" t="n">
        <f aca="false">Sens!H1855</f>
        <v>16.0119687434196</v>
      </c>
      <c r="I1874" s="6" t="n">
        <f aca="false">Sens!I1855</f>
        <v>16.1551810001948</v>
      </c>
      <c r="J1874" s="6" t="n">
        <f aca="false">Sens!J1855</f>
        <v>16.3889793892005</v>
      </c>
      <c r="K1874" s="6" t="n">
        <f aca="false">Sens!K1855</f>
        <v>16.7167589769845</v>
      </c>
    </row>
    <row r="1875" customFormat="false" ht="15" hidden="false" customHeight="false" outlineLevel="0" collapsed="false">
      <c r="A1875" s="0" t="s">
        <v>870</v>
      </c>
      <c r="B1875" s="0" t="s">
        <v>98</v>
      </c>
      <c r="D1875" s="6" t="n">
        <f aca="false">Sens!D1857</f>
        <v>62.941</v>
      </c>
      <c r="E1875" s="6" t="n">
        <f aca="false">Sens!E1857</f>
        <v>63.712</v>
      </c>
      <c r="F1875" s="6" t="n">
        <f aca="false">Sens!F1857</f>
        <v>64.3025149952511</v>
      </c>
      <c r="G1875" s="6" t="n">
        <f aca="false">Sens!G1857</f>
        <v>66.2756719305292</v>
      </c>
      <c r="H1875" s="6" t="n">
        <f aca="false">Sens!H1857</f>
        <v>68.7139736271804</v>
      </c>
      <c r="I1875" s="6" t="n">
        <f aca="false">Sens!I1857</f>
        <v>71.5446393194289</v>
      </c>
      <c r="J1875" s="6" t="n">
        <f aca="false">Sens!J1857</f>
        <v>74.707035000971</v>
      </c>
      <c r="K1875" s="6" t="n">
        <f aca="false">Sens!K1857</f>
        <v>78.1524145698365</v>
      </c>
    </row>
    <row r="1876" customFormat="false" ht="15" hidden="false" customHeight="false" outlineLevel="0" collapsed="false">
      <c r="A1876" s="1" t="s">
        <v>1059</v>
      </c>
      <c r="B1876" s="0" t="s">
        <v>98</v>
      </c>
      <c r="D1876" s="6" t="n">
        <f aca="false">Sens!D1858</f>
        <v>281.724</v>
      </c>
      <c r="E1876" s="6" t="n">
        <f aca="false">Sens!E1858</f>
        <v>331.839</v>
      </c>
      <c r="F1876" s="6" t="n">
        <f aca="false">Sens!F1858</f>
        <v>400.415860604973</v>
      </c>
      <c r="G1876" s="6" t="n">
        <f aca="false">Sens!G1858</f>
        <v>468.441067374995</v>
      </c>
      <c r="H1876" s="6" t="n">
        <f aca="false">Sens!H1858</f>
        <v>531.559060787539</v>
      </c>
      <c r="I1876" s="6" t="n">
        <f aca="false">Sens!I1858</f>
        <v>597.922074910729</v>
      </c>
      <c r="J1876" s="6" t="n">
        <f aca="false">Sens!J1858</f>
        <v>653.102700146511</v>
      </c>
      <c r="K1876" s="6" t="n">
        <f aca="false">Sens!K1858</f>
        <v>697.643097274234</v>
      </c>
    </row>
    <row r="1877" customFormat="false" ht="15" hidden="false" customHeight="false" outlineLevel="0" collapsed="false">
      <c r="A1877" s="1" t="s">
        <v>1060</v>
      </c>
      <c r="B1877" s="0" t="s">
        <v>168</v>
      </c>
      <c r="E1877" s="7" t="n">
        <f aca="false">Sens!E1876/Sens!D1876-1</f>
        <v>0.177886867998467</v>
      </c>
      <c r="F1877" s="7" t="n">
        <f aca="false">Sens!F1876/Sens!E1876-1</f>
        <v>0.206657025259155</v>
      </c>
      <c r="G1877" s="7" t="n">
        <f aca="false">Sens!G1876/Sens!F1876-1</f>
        <v>0.169886394278302</v>
      </c>
      <c r="H1877" s="7" t="n">
        <f aca="false">Sens!H1876/Sens!G1876-1</f>
        <v>0.134740520864745</v>
      </c>
      <c r="I1877" s="7" t="n">
        <f aca="false">Sens!I1876/Sens!H1876-1</f>
        <v>0.124845984235259</v>
      </c>
      <c r="J1877" s="7" t="n">
        <f aca="false">Sens!J1876/Sens!I1876-1</f>
        <v>0.0922873189520903</v>
      </c>
      <c r="K1877" s="7" t="n">
        <f aca="false">Sens!K1876/Sens!J1876-1</f>
        <v>0.0681981518645247</v>
      </c>
    </row>
    <row r="1878" customFormat="false" ht="17.15" hidden="false" customHeight="false" outlineLevel="0" collapsed="false">
      <c r="A1878" s="26" t="s">
        <v>1061</v>
      </c>
      <c r="B1878" s="31" t="s">
        <v>98</v>
      </c>
      <c r="C1878" s="31"/>
      <c r="D1878" s="27" t="n">
        <f aca="false">(Sens!D1871+Sens!D1875-Sens!D1876)+(Sens!D1863+Sens!D1864-Sens!D1862)+(Sens!D1866+Sens!D1867-Sens!D1865)+(Sens!D1876-Q!L18)</f>
        <v>0</v>
      </c>
      <c r="E1878" s="27" t="n">
        <f aca="false">(Sens!E1871+Sens!E1875-Sens!E1876)+(Sens!E1863+Sens!E1864-Sens!E1862)+(Sens!E1866+Sens!E1867-Sens!E1865)+(Sens!E1876-Q!M18)</f>
        <v>0</v>
      </c>
      <c r="F1878" s="27" t="n">
        <f aca="false">(Sens!F1871+Sens!F1875-Sens!F1876)+(Sens!F1863+Sens!F1864-Sens!F1862)+(Sens!F1866+Sens!F1867-Sens!F1865)</f>
        <v>0</v>
      </c>
      <c r="G1878" s="27" t="n">
        <f aca="false">(Sens!G1871+Sens!G1875-Sens!G1876)+(Sens!G1863+Sens!G1864-Sens!G1862)+(Sens!G1866+Sens!G1867-Sens!G1865)</f>
        <v>0</v>
      </c>
      <c r="H1878" s="27" t="n">
        <f aca="false">(Sens!H1871+Sens!H1875-Sens!H1876)+(Sens!H1863+Sens!H1864-Sens!H1862)+(Sens!H1866+Sens!H1867-Sens!H1865)</f>
        <v>0</v>
      </c>
      <c r="I1878" s="27" t="n">
        <f aca="false">(Sens!I1871+Sens!I1875-Sens!I1876)+(Sens!I1863+Sens!I1864-Sens!I1862)+(Sens!I1866+Sens!I1867-Sens!I1865)</f>
        <v>0</v>
      </c>
      <c r="J1878" s="27" t="n">
        <f aca="false">(Sens!J1871+Sens!J1875-Sens!J1876)+(Sens!J1863+Sens!J1864-Sens!J1862)+(Sens!J1866+Sens!J1867-Sens!J1865)</f>
        <v>0</v>
      </c>
      <c r="K1878" s="27" t="n">
        <f aca="false">(Sens!K1871+Sens!K1875-Sens!K1876)+(Sens!K1863+Sens!K1864-Sens!K1862)+(Sens!K1866+Sens!K1867-Sens!K1865)</f>
        <v>0</v>
      </c>
    </row>
    <row r="1879" customFormat="false" ht="17.15" hidden="false" customHeight="false" outlineLevel="0" collapsed="false">
      <c r="A1879" s="0" t="s">
        <v>1062</v>
      </c>
      <c r="B1879" s="0" t="s">
        <v>168</v>
      </c>
      <c r="E1879" s="7" t="n">
        <f aca="false">(Q!M21+Sens!E1815+Sens!E1816+Sens!E1817+Sens!E1831-Sens!E1813)/(Q!M5-Sens!E1813)</f>
        <v>0.570957350878296</v>
      </c>
      <c r="F1879" s="7" t="n">
        <f aca="false">Sens!$E$1879+dm_seg</f>
        <v>0.570957350878296</v>
      </c>
      <c r="G1879" s="7" t="n">
        <f aca="false">Sens!$E$1879+dm_seg</f>
        <v>0.570957350878296</v>
      </c>
      <c r="H1879" s="7" t="n">
        <f aca="false">Sens!$E$1879+dm_seg</f>
        <v>0.570957350878296</v>
      </c>
      <c r="I1879" s="7" t="n">
        <f aca="false">Sens!$E$1879+dm_seg</f>
        <v>0.570957350878296</v>
      </c>
      <c r="J1879" s="7" t="n">
        <f aca="false">Sens!$E$1879+dm_seg</f>
        <v>0.570957350878296</v>
      </c>
      <c r="K1879" s="7" t="n">
        <f aca="false">Sens!$E$1879+dm_seg</f>
        <v>0.570957350878296</v>
      </c>
      <c r="L1879" s="12" t="s">
        <v>1063</v>
      </c>
    </row>
    <row r="1880" customFormat="false" ht="17.15" hidden="false" customHeight="false" outlineLevel="0" collapsed="false">
      <c r="A1880" s="0" t="s">
        <v>884</v>
      </c>
      <c r="B1880" s="0" t="s">
        <v>98</v>
      </c>
      <c r="D1880" s="6" t="n">
        <f aca="false">Q!L21</f>
        <v>110.814</v>
      </c>
      <c r="E1880" s="6" t="n">
        <f aca="false">Q!M21</f>
        <v>136.365</v>
      </c>
      <c r="F1880" s="6" t="n">
        <f aca="false">Q!$I$21+(Sens!F1879*(Sens!F1850-Sens!F1813)+Sens!F1813-(Sens!F1815+Sens!F1816+Sens!F1817)-Sens!F1831-Sens!F1914)*(Sens!F1850-Q!$I$5)/Sens!F1850</f>
        <v>163.883513935871</v>
      </c>
      <c r="G1880" s="6" t="n">
        <f aca="false">(Sens!G1879*(Sens!G1850-Sens!G1813)+Sens!G1813-(Sens!G1815+Sens!G1816+Sens!G1817)-Sens!G1831-Sens!G1914)</f>
        <v>171.630357396339</v>
      </c>
      <c r="H1880" s="6" t="n">
        <f aca="false">(Sens!H1879*(Sens!H1850-Sens!H1813)+Sens!H1813-(Sens!H1815+Sens!H1816+Sens!H1817)-Sens!H1831-Sens!H1914)</f>
        <v>176.024464062994</v>
      </c>
      <c r="I1880" s="6" t="n">
        <f aca="false">(Sens!I1879*(Sens!I1850-Sens!I1813)+Sens!I1813-(Sens!I1815+Sens!I1816+Sens!I1817)-Sens!I1831-Sens!I1914)</f>
        <v>188.824974719188</v>
      </c>
      <c r="J1880" s="6" t="n">
        <f aca="false">(Sens!J1879*(Sens!J1850-Sens!J1813)+Sens!J1813-(Sens!J1815+Sens!J1816+Sens!J1817)-Sens!J1831-Sens!J1914)</f>
        <v>202.065318855901</v>
      </c>
      <c r="K1880" s="6" t="n">
        <f aca="false">(Sens!K1879*(Sens!K1850-Sens!K1813)+Sens!K1813-(Sens!K1815+Sens!K1816+Sens!K1817)-Sens!K1831-Sens!K1914)</f>
        <v>215.779233551038</v>
      </c>
      <c r="L1880" s="1" t="s">
        <v>1064</v>
      </c>
    </row>
    <row r="1881" customFormat="false" ht="17.15" hidden="false" customHeight="false" outlineLevel="0" collapsed="false">
      <c r="A1881" s="0" t="s">
        <v>1065</v>
      </c>
      <c r="B1881" s="0" t="s">
        <v>168</v>
      </c>
      <c r="E1881" s="7" t="n">
        <f aca="false">Q!M22/Q!M12</f>
        <v>0.296207935710698</v>
      </c>
      <c r="F1881" s="7" t="n">
        <f aca="false">Sens!$E$1881+dm_seg</f>
        <v>0.296207935710698</v>
      </c>
      <c r="G1881" s="7" t="n">
        <f aca="false">Sens!$E$1881+dm_seg</f>
        <v>0.296207935710698</v>
      </c>
      <c r="H1881" s="7" t="n">
        <f aca="false">Sens!$E$1881+dm_seg</f>
        <v>0.296207935710698</v>
      </c>
      <c r="I1881" s="7" t="n">
        <f aca="false">Sens!$E$1881+dm_seg</f>
        <v>0.296207935710698</v>
      </c>
      <c r="J1881" s="7" t="n">
        <f aca="false">Sens!$E$1881+dm_seg</f>
        <v>0.296207935710698</v>
      </c>
      <c r="K1881" s="7" t="n">
        <f aca="false">Sens!$E$1881+dm_seg</f>
        <v>0.296207935710698</v>
      </c>
      <c r="L1881" s="12" t="s">
        <v>1066</v>
      </c>
    </row>
    <row r="1882" customFormat="false" ht="17.15" hidden="false" customHeight="false" outlineLevel="0" collapsed="false">
      <c r="A1882" s="0" t="s">
        <v>886</v>
      </c>
      <c r="B1882" s="0" t="s">
        <v>98</v>
      </c>
      <c r="D1882" s="6" t="n">
        <f aca="false">Q!L22</f>
        <v>17.714</v>
      </c>
      <c r="E1882" s="6" t="n">
        <f aca="false">Q!M22</f>
        <v>18.872</v>
      </c>
      <c r="F1882" s="6" t="n">
        <f aca="false">Q!$I$22+(Sens!F1857-Q!$I$12)*Sens!F1881</f>
        <v>19.8174315512051</v>
      </c>
      <c r="G1882" s="6" t="n">
        <f aca="false">Sens!G1857*Sens!G1881</f>
        <v>19.6313799703815</v>
      </c>
      <c r="H1882" s="6" t="n">
        <f aca="false">Sens!H1857*Sens!H1881</f>
        <v>20.3536242825865</v>
      </c>
      <c r="I1882" s="6" t="n">
        <f aca="false">Sens!I1857*Sens!I1881</f>
        <v>21.1920899239745</v>
      </c>
      <c r="J1882" s="6" t="n">
        <f aca="false">Sens!J1857*Sens!J1881</f>
        <v>22.1288166207045</v>
      </c>
      <c r="K1882" s="6" t="n">
        <f aca="false">Sens!K1857*Sens!K1881</f>
        <v>23.1493653905379</v>
      </c>
      <c r="L1882" s="12" t="s">
        <v>1067</v>
      </c>
    </row>
    <row r="1883" customFormat="false" ht="15" hidden="false" customHeight="false" outlineLevel="0" collapsed="false">
      <c r="A1883" s="1" t="s">
        <v>1068</v>
      </c>
      <c r="B1883" s="0" t="s">
        <v>98</v>
      </c>
      <c r="D1883" s="6" t="n">
        <f aca="false">Sens!D1880+Sens!D1882</f>
        <v>128.528</v>
      </c>
      <c r="E1883" s="6" t="n">
        <f aca="false">Sens!E1880+Sens!E1882</f>
        <v>155.237</v>
      </c>
      <c r="F1883" s="6" t="n">
        <f aca="false">Sens!F1880+Sens!F1882</f>
        <v>183.700945487076</v>
      </c>
      <c r="G1883" s="6" t="n">
        <f aca="false">Sens!G1880+Sens!G1882</f>
        <v>191.261737366721</v>
      </c>
      <c r="H1883" s="6" t="n">
        <f aca="false">Sens!H1880+Sens!H1882</f>
        <v>196.378088345581</v>
      </c>
      <c r="I1883" s="6" t="n">
        <f aca="false">Sens!I1880+Sens!I1882</f>
        <v>210.017064643163</v>
      </c>
      <c r="J1883" s="6" t="n">
        <f aca="false">Sens!J1880+Sens!J1882</f>
        <v>224.194135476605</v>
      </c>
      <c r="K1883" s="6" t="n">
        <f aca="false">Sens!K1880+Sens!K1882</f>
        <v>238.928598941576</v>
      </c>
    </row>
    <row r="1884" customFormat="false" ht="15" hidden="false" customHeight="false" outlineLevel="0" collapsed="false">
      <c r="A1884" s="26" t="s">
        <v>1069</v>
      </c>
      <c r="B1884" s="31" t="s">
        <v>98</v>
      </c>
      <c r="C1884" s="31"/>
      <c r="D1884" s="27" t="n">
        <f aca="false">Sens!D1883-Q!L23</f>
        <v>0</v>
      </c>
      <c r="E1884" s="27" t="n">
        <f aca="false">Sens!E1883-Q!M23</f>
        <v>0</v>
      </c>
      <c r="F1884" s="31"/>
      <c r="G1884" s="31"/>
      <c r="H1884" s="31"/>
      <c r="I1884" s="31"/>
      <c r="J1884" s="31"/>
      <c r="K1884" s="31"/>
    </row>
    <row r="1885" customFormat="false" ht="15" hidden="false" customHeight="false" outlineLevel="0" collapsed="false">
      <c r="A1885" s="1" t="s">
        <v>1070</v>
      </c>
      <c r="B1885" s="0" t="s">
        <v>168</v>
      </c>
      <c r="D1885" s="7" t="n">
        <f aca="false">Sens!D1883/Sens!D1876</f>
        <v>0.456219562408598</v>
      </c>
      <c r="E1885" s="7" t="n">
        <f aca="false">Sens!E1883/Sens!E1876</f>
        <v>0.467808184089272</v>
      </c>
      <c r="F1885" s="7" t="n">
        <f aca="false">Sens!F1883/Sens!F1876</f>
        <v>0.458775397182142</v>
      </c>
      <c r="G1885" s="7" t="n">
        <f aca="false">Sens!G1883/Sens!G1876</f>
        <v>0.40829412851972</v>
      </c>
      <c r="H1885" s="7" t="n">
        <f aca="false">Sens!H1883/Sens!H1876</f>
        <v>0.369437947411966</v>
      </c>
      <c r="I1885" s="7" t="n">
        <f aca="false">Sens!I1883/Sens!I1876</f>
        <v>0.351244875303389</v>
      </c>
      <c r="J1885" s="7" t="n">
        <f aca="false">Sens!J1883/Sens!J1876</f>
        <v>0.343275468661072</v>
      </c>
      <c r="K1885" s="7" t="n">
        <f aca="false">Sens!K1883/Sens!K1876</f>
        <v>0.342479700401388</v>
      </c>
    </row>
    <row r="1886" customFormat="false" ht="17.15" hidden="false" customHeight="false" outlineLevel="0" collapsed="false">
      <c r="A1886" s="1" t="s">
        <v>1071</v>
      </c>
      <c r="B1886" s="0" t="s">
        <v>98</v>
      </c>
      <c r="F1886" s="6" t="n">
        <f aca="false">Sens!F1901</f>
        <v>10.5962787979473</v>
      </c>
      <c r="G1886" s="6" t="n">
        <f aca="false">Sens!G1901</f>
        <v>27.844646674932</v>
      </c>
      <c r="H1886" s="6" t="n">
        <f aca="false">Sens!H1901</f>
        <v>46.566205501382</v>
      </c>
      <c r="I1886" s="6" t="n">
        <f aca="false">Sens!I1901</f>
        <v>63.2717778126444</v>
      </c>
      <c r="J1886" s="6" t="n">
        <f aca="false">Sens!J1901</f>
        <v>74.9061222882009</v>
      </c>
      <c r="K1886" s="6" t="n">
        <f aca="false">Sens!K1901</f>
        <v>81.6395437180232</v>
      </c>
      <c r="L1886" s="1" t="s">
        <v>1072</v>
      </c>
    </row>
    <row r="1887" customFormat="false" ht="17.15" hidden="false" customHeight="false" outlineLevel="0" collapsed="false">
      <c r="A1887" s="1" t="s">
        <v>1073</v>
      </c>
      <c r="B1887" s="0" t="s">
        <v>98</v>
      </c>
      <c r="D1887" s="6" t="n">
        <f aca="false">Sens!D1883</f>
        <v>128.528</v>
      </c>
      <c r="E1887" s="6" t="n">
        <f aca="false">Sens!E1883</f>
        <v>155.237</v>
      </c>
      <c r="F1887" s="6" t="n">
        <f aca="false">Sens!F1883+Sens!F1886</f>
        <v>194.297224285023</v>
      </c>
      <c r="G1887" s="6" t="n">
        <f aca="false">Sens!G1883+Sens!G1886</f>
        <v>219.106384041653</v>
      </c>
      <c r="H1887" s="6" t="n">
        <f aca="false">Sens!H1883+Sens!H1886</f>
        <v>242.944293846963</v>
      </c>
      <c r="I1887" s="6" t="n">
        <f aca="false">Sens!I1883+Sens!I1886</f>
        <v>273.288842455807</v>
      </c>
      <c r="J1887" s="6" t="n">
        <f aca="false">Sens!J1883+Sens!J1886</f>
        <v>299.100257764806</v>
      </c>
      <c r="K1887" s="6" t="n">
        <f aca="false">Sens!K1883+Sens!K1886</f>
        <v>320.568142659599</v>
      </c>
    </row>
    <row r="1888" customFormat="false" ht="17.15" hidden="false" customHeight="false" outlineLevel="0" collapsed="false">
      <c r="A1888" s="1" t="s">
        <v>1074</v>
      </c>
      <c r="B1888" s="0" t="s">
        <v>98</v>
      </c>
      <c r="E1888" s="6" t="n">
        <f aca="false">Sens!E1831</f>
        <v>16.3054059770833</v>
      </c>
      <c r="F1888" s="6" t="n">
        <f aca="false">Sens!F1831</f>
        <v>34.5793144783516</v>
      </c>
      <c r="G1888" s="6" t="n">
        <f aca="false">Sens!G1831</f>
        <v>60.7344906522989</v>
      </c>
      <c r="H1888" s="6" t="n">
        <f aca="false">Sens!H1831</f>
        <v>89.1000906614457</v>
      </c>
      <c r="I1888" s="6" t="n">
        <f aca="false">Sens!I1831</f>
        <v>114.231009694548</v>
      </c>
      <c r="J1888" s="6" t="n">
        <f aca="false">Sens!J1831</f>
        <v>132.015673049596</v>
      </c>
      <c r="K1888" s="6" t="n">
        <f aca="false">Sens!K1831</f>
        <v>143.012669550934</v>
      </c>
    </row>
    <row r="1889" customFormat="false" ht="17.15" hidden="false" customHeight="false" outlineLevel="0" collapsed="false">
      <c r="A1889" s="1" t="s">
        <v>1075</v>
      </c>
      <c r="B1889" s="0" t="s">
        <v>98</v>
      </c>
      <c r="E1889" s="6" t="n">
        <f aca="false">Sens!E1913</f>
        <v>22.2285940229167</v>
      </c>
      <c r="F1889" s="6" t="n">
        <f aca="false">Sens!F1913</f>
        <v>23.580344216413</v>
      </c>
      <c r="G1889" s="6" t="n">
        <f aca="false">Sens!G1913</f>
        <v>25.3005086096269</v>
      </c>
      <c r="H1889" s="6" t="n">
        <f aca="false">Sens!H1913</f>
        <v>27.3863710570764</v>
      </c>
      <c r="I1889" s="6" t="n">
        <f aca="false">Sens!I1913</f>
        <v>29.7816182872931</v>
      </c>
      <c r="J1889" s="6" t="n">
        <f aca="false">Sens!J1913</f>
        <v>32.4121911745743</v>
      </c>
      <c r="K1889" s="6" t="n">
        <f aca="false">Sens!K1913</f>
        <v>35.1947846984618</v>
      </c>
    </row>
    <row r="1890" customFormat="false" ht="17.15" hidden="false" customHeight="false" outlineLevel="0" collapsed="false">
      <c r="A1890" s="1" t="s">
        <v>1076</v>
      </c>
      <c r="B1890" s="0" t="s">
        <v>98</v>
      </c>
      <c r="D1890" s="6" t="n">
        <f aca="false">Q!L27</f>
        <v>-4.901</v>
      </c>
      <c r="E1890" s="6" t="n">
        <f aca="false">Q!M27</f>
        <v>10.697</v>
      </c>
      <c r="F1890" s="6" t="n">
        <f aca="false">Q!$I$27+oie_f*(q_per_yr-1)/q_per_yr</f>
        <v>-0.862</v>
      </c>
      <c r="G1890" s="6" t="n">
        <f aca="false">oie_f</f>
        <v>-1.2</v>
      </c>
      <c r="H1890" s="6" t="n">
        <f aca="false">oie_f</f>
        <v>-1.2</v>
      </c>
      <c r="I1890" s="6" t="n">
        <f aca="false">oie_f</f>
        <v>-1.2</v>
      </c>
      <c r="J1890" s="6" t="n">
        <f aca="false">oie_f</f>
        <v>-1.2</v>
      </c>
      <c r="K1890" s="6" t="n">
        <f aca="false">oie_f</f>
        <v>-1.2</v>
      </c>
      <c r="L1890" s="12" t="s">
        <v>1077</v>
      </c>
    </row>
    <row r="1891" customFormat="false" ht="15" hidden="false" customHeight="false" outlineLevel="0" collapsed="false">
      <c r="A1891" s="1" t="s">
        <v>1078</v>
      </c>
      <c r="B1891" s="0" t="s">
        <v>98</v>
      </c>
      <c r="D1891" s="6" t="n">
        <f aca="false">Sens!D1883+Sens!D1890</f>
        <v>123.627</v>
      </c>
      <c r="E1891" s="6" t="n">
        <f aca="false">Sens!E1883+Sens!E1890</f>
        <v>165.934</v>
      </c>
      <c r="F1891" s="6" t="n">
        <f aca="false">Sens!F1883+Sens!F1890</f>
        <v>182.838945487076</v>
      </c>
      <c r="G1891" s="6" t="n">
        <f aca="false">Sens!G1883+Sens!G1890</f>
        <v>190.061737366721</v>
      </c>
      <c r="H1891" s="6" t="n">
        <f aca="false">Sens!H1883+Sens!H1890</f>
        <v>195.178088345581</v>
      </c>
      <c r="I1891" s="6" t="n">
        <f aca="false">Sens!I1883+Sens!I1890</f>
        <v>208.817064643163</v>
      </c>
      <c r="J1891" s="6" t="n">
        <f aca="false">Sens!J1883+Sens!J1890</f>
        <v>222.994135476605</v>
      </c>
      <c r="K1891" s="6" t="n">
        <f aca="false">Sens!K1883+Sens!K1890</f>
        <v>237.728598941576</v>
      </c>
    </row>
    <row r="1892" customFormat="false" ht="15" hidden="false" customHeight="false" outlineLevel="0" collapsed="false">
      <c r="A1892" s="1" t="s">
        <v>1079</v>
      </c>
      <c r="B1892" s="0" t="s">
        <v>98</v>
      </c>
      <c r="D1892" s="6" t="n">
        <f aca="false">Q!L29</f>
        <v>21.795</v>
      </c>
      <c r="E1892" s="6" t="n">
        <f aca="false">Q!M29</f>
        <v>32.185</v>
      </c>
      <c r="F1892" s="6" t="n">
        <f aca="false">Q!$I$29+(Sens!F1891-Q!$I$28)*tax_f</f>
        <v>36.7011890974151</v>
      </c>
      <c r="G1892" s="6" t="n">
        <f aca="false">Sens!G1891*tax_f</f>
        <v>38.0123474733442</v>
      </c>
      <c r="H1892" s="6" t="n">
        <f aca="false">Sens!H1891*tax_f</f>
        <v>39.0356176691162</v>
      </c>
      <c r="I1892" s="6" t="n">
        <f aca="false">Sens!I1891*tax_f</f>
        <v>41.7634129286326</v>
      </c>
      <c r="J1892" s="6" t="n">
        <f aca="false">Sens!J1891*tax_f</f>
        <v>44.598827095321</v>
      </c>
      <c r="K1892" s="6" t="n">
        <f aca="false">Sens!K1891*tax_f</f>
        <v>47.5457197883152</v>
      </c>
    </row>
    <row r="1893" customFormat="false" ht="15" hidden="false" customHeight="false" outlineLevel="0" collapsed="false">
      <c r="A1893" s="1" t="s">
        <v>1080</v>
      </c>
      <c r="B1893" s="0" t="s">
        <v>98</v>
      </c>
      <c r="D1893" s="6" t="n">
        <f aca="false">Sens!D1891-Sens!D1892</f>
        <v>101.832</v>
      </c>
      <c r="E1893" s="6" t="n">
        <f aca="false">Sens!E1891-Sens!E1892</f>
        <v>133.749</v>
      </c>
      <c r="F1893" s="6" t="n">
        <f aca="false">Sens!F1891-Sens!F1892</f>
        <v>146.137756389661</v>
      </c>
      <c r="G1893" s="6" t="n">
        <f aca="false">Sens!G1891-Sens!G1892</f>
        <v>152.049389893377</v>
      </c>
      <c r="H1893" s="6" t="n">
        <f aca="false">Sens!H1891-Sens!H1892</f>
        <v>156.142470676465</v>
      </c>
      <c r="I1893" s="6" t="n">
        <f aca="false">Sens!I1891-Sens!I1892</f>
        <v>167.05365171453</v>
      </c>
      <c r="J1893" s="6" t="n">
        <f aca="false">Sens!J1891-Sens!J1892</f>
        <v>178.395308381284</v>
      </c>
      <c r="K1893" s="6" t="n">
        <f aca="false">Sens!K1891-Sens!K1892</f>
        <v>190.182879153261</v>
      </c>
    </row>
    <row r="1894" customFormat="false" ht="17.15" hidden="false" customHeight="false" outlineLevel="0" collapsed="false">
      <c r="A1894" s="1" t="s">
        <v>1081</v>
      </c>
      <c r="B1894" s="1" t="s">
        <v>81</v>
      </c>
      <c r="D1894" s="15" t="n">
        <f aca="false">Q!L31</f>
        <v>7.465</v>
      </c>
      <c r="E1894" s="15" t="n">
        <f aca="false">Q!M31</f>
        <v>7.453</v>
      </c>
      <c r="F1894" s="15" t="n">
        <f aca="false">Sens!F1938</f>
        <v>7.47190826161799</v>
      </c>
      <c r="G1894" s="15" t="n">
        <f aca="false">Sens!G1938</f>
        <v>7.51531652323597</v>
      </c>
      <c r="H1894" s="15" t="n">
        <f aca="false">Sens!H1938</f>
        <v>7.5527556317234</v>
      </c>
      <c r="I1894" s="15" t="n">
        <f aca="false">Sens!I1938</f>
        <v>7.57417616523749</v>
      </c>
      <c r="J1894" s="15" t="n">
        <f aca="false">Sens!J1938</f>
        <v>7.58832557639996</v>
      </c>
      <c r="K1894" s="15" t="n">
        <f aca="false">Sens!K1938</f>
        <v>7.60476021636522</v>
      </c>
    </row>
    <row r="1895" customFormat="false" ht="17.15" hidden="false" customHeight="false" outlineLevel="0" collapsed="false">
      <c r="A1895" s="0" t="s">
        <v>1082</v>
      </c>
      <c r="B1895" s="0" t="s">
        <v>75</v>
      </c>
      <c r="D1895" s="8" t="n">
        <f aca="false">Sens!D1893/Sens!D1894</f>
        <v>13.641259209645</v>
      </c>
      <c r="E1895" s="8" t="n">
        <f aca="false">Sens!E1893/Sens!E1894</f>
        <v>17.9456594659869</v>
      </c>
      <c r="F1895" s="8" t="n">
        <f aca="false">Sens!F1893/Sens!F1894</f>
        <v>19.5582910379598</v>
      </c>
      <c r="G1895" s="8" t="n">
        <f aca="false">Sens!G1893/Sens!G1894</f>
        <v>20.2319342669425</v>
      </c>
      <c r="H1895" s="8" t="n">
        <f aca="false">Sens!H1893/Sens!H1894</f>
        <v>20.6735764123797</v>
      </c>
      <c r="I1895" s="8" t="n">
        <f aca="false">Sens!I1893/Sens!I1894</f>
        <v>22.0556860667225</v>
      </c>
      <c r="J1895" s="8" t="n">
        <f aca="false">Sens!J1893/Sens!J1894</f>
        <v>23.5091795397</v>
      </c>
      <c r="K1895" s="8" t="n">
        <f aca="false">Sens!K1893/Sens!K1894</f>
        <v>25.0083991792395</v>
      </c>
      <c r="L1895" s="1" t="s">
        <v>1083</v>
      </c>
    </row>
    <row r="1896" customFormat="false" ht="17.15" hidden="false" customHeight="false" outlineLevel="0" collapsed="false">
      <c r="A1896" s="1" t="s">
        <v>1084</v>
      </c>
      <c r="B1896" s="0" t="s">
        <v>98</v>
      </c>
      <c r="D1896" s="6" t="n">
        <f aca="false">Sens!D1893</f>
        <v>101.832</v>
      </c>
      <c r="E1896" s="6" t="n">
        <f aca="false">Sens!E1893</f>
        <v>133.749</v>
      </c>
      <c r="F1896" s="6" t="n">
        <f aca="false">Sens!F1893+Sens!F1886*(1-tax_f)</f>
        <v>154.614779428018</v>
      </c>
      <c r="G1896" s="6" t="n">
        <f aca="false">Sens!G1893+Sens!G1886*(1-tax_f)</f>
        <v>174.325107233322</v>
      </c>
      <c r="H1896" s="6" t="n">
        <f aca="false">Sens!H1893+Sens!H1886*(1-tax_f)</f>
        <v>193.39543507757</v>
      </c>
      <c r="I1896" s="6" t="n">
        <f aca="false">Sens!I1893+Sens!I1886*(1-tax_f)</f>
        <v>217.671073964646</v>
      </c>
      <c r="J1896" s="6" t="n">
        <f aca="false">Sens!J1893+Sens!J1886*(1-tax_f)</f>
        <v>238.320206211845</v>
      </c>
      <c r="K1896" s="6" t="n">
        <f aca="false">Sens!K1893+Sens!K1886*(1-tax_f)</f>
        <v>255.494514127679</v>
      </c>
    </row>
    <row r="1897" customFormat="false" ht="17.15" hidden="false" customHeight="false" outlineLevel="0" collapsed="false">
      <c r="A1897" s="0" t="s">
        <v>1085</v>
      </c>
      <c r="B1897" s="0" t="s">
        <v>75</v>
      </c>
      <c r="D1897" s="8" t="n">
        <f aca="false">Sens!D1896/Sens!D1894</f>
        <v>13.641259209645</v>
      </c>
      <c r="E1897" s="8" t="n">
        <f aca="false">Sens!E1896/Sens!E1894</f>
        <v>17.9456594659869</v>
      </c>
      <c r="F1897" s="8" t="n">
        <f aca="false">Sens!F1896/Sens!F1894</f>
        <v>20.6928101917753</v>
      </c>
      <c r="G1897" s="8" t="n">
        <f aca="false">Sens!G1896/Sens!G1894</f>
        <v>23.1959767355561</v>
      </c>
      <c r="H1897" s="8" t="n">
        <f aca="false">Sens!H1896/Sens!H1894</f>
        <v>25.6059436459539</v>
      </c>
      <c r="I1897" s="8" t="n">
        <f aca="false">Sens!I1896/Sens!I1894</f>
        <v>28.7385808325493</v>
      </c>
      <c r="J1897" s="8" t="n">
        <f aca="false">Sens!J1896/Sens!J1894</f>
        <v>31.406165143076</v>
      </c>
      <c r="K1897" s="8" t="n">
        <f aca="false">Sens!K1896/Sens!K1894</f>
        <v>33.5966561546362</v>
      </c>
      <c r="L1897" s="1" t="s">
        <v>1086</v>
      </c>
    </row>
    <row r="1898" customFormat="false" ht="17.15" hidden="false" customHeight="false" outlineLevel="0" collapsed="false">
      <c r="A1898" s="0" t="s">
        <v>1087</v>
      </c>
      <c r="B1898" s="0" t="s">
        <v>168</v>
      </c>
      <c r="E1898" s="7" t="n">
        <f aca="false">Sens!E1897/Sens!D1897-1</f>
        <v>0.315542736208578</v>
      </c>
      <c r="F1898" s="7" t="n">
        <f aca="false">Sens!F1897/Sens!E1897-1</f>
        <v>0.153081625726555</v>
      </c>
      <c r="G1898" s="7" t="n">
        <f aca="false">Sens!G1897/Sens!F1897-1</f>
        <v>0.120967936233998</v>
      </c>
      <c r="H1898" s="7" t="n">
        <f aca="false">Sens!H1897/Sens!G1897-1</f>
        <v>0.103895901339805</v>
      </c>
      <c r="I1898" s="7" t="n">
        <f aca="false">Sens!I1897/Sens!H1897-1</f>
        <v>0.122340235919811</v>
      </c>
      <c r="J1898" s="7" t="n">
        <f aca="false">Sens!J1897/Sens!I1897-1</f>
        <v>0.0928224092229859</v>
      </c>
      <c r="K1898" s="7" t="n">
        <f aca="false">Sens!K1897/Sens!J1897-1</f>
        <v>0.0697471659332192</v>
      </c>
    </row>
    <row r="1899" customFormat="false" ht="17.15" hidden="false" customHeight="false" outlineLevel="0" collapsed="false">
      <c r="A1899" s="0" t="s">
        <v>1007</v>
      </c>
      <c r="B1899" s="0" t="s">
        <v>98</v>
      </c>
      <c r="E1899" s="6" t="n">
        <f aca="false">Sens!E1840</f>
        <v>5.25</v>
      </c>
      <c r="F1899" s="6" t="n">
        <f aca="false">Sens!F1840</f>
        <v>10.5</v>
      </c>
      <c r="G1899" s="6" t="n">
        <f aca="false">Sens!G1840</f>
        <v>13.5</v>
      </c>
      <c r="H1899" s="6" t="n">
        <f aca="false">Sens!H1840</f>
        <v>16.5</v>
      </c>
      <c r="I1899" s="6" t="n">
        <f aca="false">Sens!I1840</f>
        <v>18.75</v>
      </c>
      <c r="J1899" s="6" t="n">
        <f aca="false">Sens!J1840</f>
        <v>20.25</v>
      </c>
      <c r="K1899" s="6" t="n">
        <f aca="false">Sens!K1840</f>
        <v>21.75</v>
      </c>
    </row>
    <row r="1900" customFormat="false" ht="17.15" hidden="false" customHeight="false" outlineLevel="0" collapsed="false">
      <c r="A1900" s="1" t="s">
        <v>1008</v>
      </c>
      <c r="B1900" s="0" t="s">
        <v>98</v>
      </c>
      <c r="F1900" s="6" t="n">
        <f aca="false">MAX(0,((Sens!E1800+Sens!F1800)/2-(shadow_base*(Sens!$D$1800+Sens!$E$1800)/2+(1-shadow_base)*Sens!$E$1800))*Sens!F1809/1000-(Sens!F1899-Sens!$E$1899)*Sens!F1879)</f>
        <v>10.5962787979473</v>
      </c>
      <c r="G1900" s="6" t="n">
        <f aca="false">MAX(0,((Sens!F1800+Sens!G1800)/2-(shadow_base*(Sens!$D$1800+Sens!$E$1800)/2+(1-shadow_base)*Sens!$E$1800))*Sens!G1809/1000-(Sens!G1899-Sens!$E$1899)*Sens!G1879)</f>
        <v>27.844646674932</v>
      </c>
      <c r="H1900" s="6" t="n">
        <f aca="false">MAX(0,((Sens!G1800+Sens!H1800)/2-(shadow_base*(Sens!$D$1800+Sens!$E$1800)/2+(1-shadow_base)*Sens!$E$1800))*Sens!H1809/1000-(Sens!H1899-Sens!$E$1899)*Sens!H1879)</f>
        <v>46.566205501382</v>
      </c>
      <c r="I1900" s="6" t="n">
        <f aca="false">MAX(0,((Sens!H1800+Sens!I1800)/2-(shadow_base*(Sens!$D$1800+Sens!$E$1800)/2+(1-shadow_base)*Sens!$E$1800))*Sens!I1809/1000-(Sens!I1899-Sens!$E$1899)*Sens!I1879)</f>
        <v>63.2717778126444</v>
      </c>
      <c r="J1900" s="6" t="n">
        <f aca="false">MAX(0,((Sens!I1800+Sens!J1800)/2-(shadow_base*(Sens!$D$1800+Sens!$E$1800)/2+(1-shadow_base)*Sens!$E$1800))*Sens!J1809/1000-(Sens!J1899-Sens!$E$1899)*Sens!J1879)</f>
        <v>74.9061222882009</v>
      </c>
      <c r="K1900" s="6" t="n">
        <f aca="false">MAX(0,((Sens!J1800+Sens!K1800)/2-(shadow_base*(Sens!$D$1800+Sens!$E$1800)/2+(1-shadow_base)*Sens!$E$1800))*Sens!K1809/1000-(Sens!K1899-Sens!$E$1899)*Sens!K1879)</f>
        <v>81.6395437180232</v>
      </c>
      <c r="L1900" s="1" t="s">
        <v>1009</v>
      </c>
    </row>
    <row r="1901" customFormat="false" ht="17.15" hidden="false" customHeight="false" outlineLevel="0" collapsed="false">
      <c r="A1901" s="1" t="s">
        <v>1010</v>
      </c>
      <c r="B1901" s="0" t="s">
        <v>98</v>
      </c>
      <c r="F1901" s="6" t="n">
        <f aca="false">IF(internal_ai_reading=2,1,0)*Sens!F1900</f>
        <v>10.5962787979473</v>
      </c>
      <c r="G1901" s="6" t="n">
        <f aca="false">IF(internal_ai_reading=2,1,0)*Sens!G1900</f>
        <v>27.844646674932</v>
      </c>
      <c r="H1901" s="6" t="n">
        <f aca="false">IF(internal_ai_reading=2,1,0)*Sens!H1900</f>
        <v>46.566205501382</v>
      </c>
      <c r="I1901" s="6" t="n">
        <f aca="false">IF(internal_ai_reading=2,1,0)*Sens!I1900</f>
        <v>63.2717778126444</v>
      </c>
      <c r="J1901" s="6" t="n">
        <f aca="false">IF(internal_ai_reading=2,1,0)*Sens!J1900</f>
        <v>74.9061222882009</v>
      </c>
      <c r="K1901" s="6" t="n">
        <f aca="false">IF(internal_ai_reading=2,1,0)*Sens!K1900</f>
        <v>81.6395437180232</v>
      </c>
    </row>
    <row r="1902" customFormat="false" ht="17.15" hidden="false" customHeight="false" outlineLevel="0" collapsed="false">
      <c r="A1902" s="0" t="s">
        <v>1011</v>
      </c>
      <c r="B1902" s="0" t="s">
        <v>98</v>
      </c>
      <c r="F1902" s="6" t="n">
        <f aca="false">Sens!F1819+Sens!F1899*Sens!F1879+Sens!F1901-Sens!F1820-Sens!F1831</f>
        <v>18.0326701006464</v>
      </c>
      <c r="G1902" s="6" t="n">
        <f aca="false">Sens!G1819+Sens!G1899*Sens!G1879+Sens!G1901-Sens!G1820-Sens!G1831</f>
        <v>27.942737850798</v>
      </c>
      <c r="H1902" s="6" t="n">
        <f aca="false">Sens!H1819+Sens!H1899*Sens!H1879+Sens!H1901-Sens!H1820-Sens!H1831</f>
        <v>31.7528470001481</v>
      </c>
      <c r="I1902" s="6" t="n">
        <f aca="false">Sens!I1819+Sens!I1899*Sens!I1879+Sens!I1901-Sens!I1820-Sens!I1831</f>
        <v>42.4418972339458</v>
      </c>
      <c r="J1902" s="6" t="n">
        <f aca="false">Sens!J1819+Sens!J1899*Sens!J1879+Sens!J1901-Sens!J1820-Sens!J1831</f>
        <v>49.7419250536387</v>
      </c>
      <c r="K1902" s="6" t="n">
        <f aca="false">Sens!K1819+Sens!K1899*Sens!K1879+Sens!K1901-Sens!K1820-Sens!K1831</f>
        <v>54.6368476388484</v>
      </c>
    </row>
    <row r="1903" customFormat="false" ht="17.15" hidden="false" customHeight="false" outlineLevel="0" collapsed="false">
      <c r="A1903" s="0" t="s">
        <v>1012</v>
      </c>
      <c r="B1903" s="0" t="s">
        <v>98</v>
      </c>
      <c r="E1903" s="6" t="n">
        <f aca="false">Sens!E1799*(cxit_open+self_build*tk_cxfac)/1000*ai_net_open</f>
        <v>126.6980382</v>
      </c>
      <c r="F1903" s="6" t="n">
        <f aca="false">Sens!E1903+Sens!F1828-Sens!F1831</f>
        <v>260.572627763768</v>
      </c>
      <c r="G1903" s="6" t="n">
        <f aca="false">Sens!F1903+Sens!G1828-Sens!G1831</f>
        <v>391.782612760517</v>
      </c>
      <c r="H1903" s="6" t="n">
        <f aca="false">Sens!G1903+Sens!H1828-Sens!H1831</f>
        <v>499.488526163584</v>
      </c>
      <c r="I1903" s="6" t="n">
        <f aca="false">Sens!H1903+Sens!I1828-Sens!I1831</f>
        <v>553.872350090646</v>
      </c>
      <c r="J1903" s="6" t="n">
        <f aca="false">Sens!I1903+Sens!J1828-Sens!J1831</f>
        <v>550.78660823699</v>
      </c>
      <c r="K1903" s="6" t="n">
        <f aca="false">Sens!J1903+Sens!K1828-Sens!K1831</f>
        <v>526.736791750789</v>
      </c>
      <c r="L1903" s="1" t="s">
        <v>1013</v>
      </c>
    </row>
    <row r="1904" customFormat="false" ht="17.15" hidden="false" customHeight="false" outlineLevel="0" collapsed="false">
      <c r="A1904" s="0" t="s">
        <v>1014</v>
      </c>
      <c r="B1904" s="0" t="s">
        <v>168</v>
      </c>
      <c r="F1904" s="7" t="n">
        <f aca="false">Sens!F1902*(1-tax_f)/((Sens!E1903+Sens!F1903)/2)</f>
        <v>0.0745015687909955</v>
      </c>
      <c r="G1904" s="7" t="n">
        <f aca="false">Sens!G1902*(1-tax_f)/((Sens!F1903+Sens!G1903)/2)</f>
        <v>0.0685337953679128</v>
      </c>
      <c r="H1904" s="7" t="n">
        <f aca="false">Sens!H1902*(1-tax_f)/((Sens!G1903+Sens!H1903)/2)</f>
        <v>0.0570023565012615</v>
      </c>
      <c r="I1904" s="7" t="n">
        <f aca="false">Sens!I1902*(1-tax_f)/((Sens!H1903+Sens!I1903)/2)</f>
        <v>0.0644670189534587</v>
      </c>
      <c r="J1904" s="7" t="n">
        <f aca="false">Sens!J1902*(1-tax_f)/((Sens!I1903+Sens!J1903)/2)</f>
        <v>0.0720467430113547</v>
      </c>
      <c r="K1904" s="7" t="n">
        <f aca="false">Sens!K1902*(1-tax_f)/((Sens!J1903+Sens!K1903)/2)</f>
        <v>0.0811295199929291</v>
      </c>
    </row>
    <row r="1905" customFormat="false" ht="17.15" hidden="false" customHeight="false" outlineLevel="0" collapsed="false">
      <c r="A1905" s="1" t="s">
        <v>1015</v>
      </c>
      <c r="B1905" s="0" t="s">
        <v>168</v>
      </c>
      <c r="F1905" s="7" t="n">
        <f aca="false">(Sens!F1902-Sens!F1901)*(1-tax_f)/((Sens!E1903+Sens!F1903)/2)</f>
        <v>0.0307232825256941</v>
      </c>
      <c r="G1905" s="7" t="n">
        <f aca="false">(Sens!G1902-Sens!G1901)*(1-tax_f)/((Sens!F1903+Sens!G1903)/2)</f>
        <v>0.000240583460722275</v>
      </c>
      <c r="H1905" s="7" t="n">
        <f aca="false">(Sens!H1902-Sens!H1901)*(1-tax_f)/((Sens!G1903+Sens!H1903)/2)</f>
        <v>-0.0265927758309164</v>
      </c>
      <c r="I1905" s="7" t="n">
        <f aca="false">(Sens!I1902-Sens!I1901)*(1-tax_f)/((Sens!H1903+Sens!I1903)/2)</f>
        <v>-0.0316394976092449</v>
      </c>
      <c r="J1905" s="7" t="n">
        <f aca="false">(Sens!J1902-Sens!J1901)*(1-tax_f)/((Sens!I1903+Sens!J1903)/2)</f>
        <v>-0.0364480958324496</v>
      </c>
      <c r="K1905" s="7" t="n">
        <f aca="false">(Sens!K1902-Sens!K1901)*(1-tax_f)/((Sens!J1903+Sens!K1903)/2)</f>
        <v>-0.0400959401226643</v>
      </c>
    </row>
    <row r="1906" customFormat="false" ht="17.15" hidden="false" customHeight="false" outlineLevel="0" collapsed="false">
      <c r="A1906" s="1" t="s">
        <v>1016</v>
      </c>
      <c r="B1906" s="0" t="s">
        <v>168</v>
      </c>
      <c r="F1906" s="7" t="n">
        <f aca="false">(Sens!F1902-Sens!F1901+Sens!F1900)*(1-tax_f)/((Sens!E1903+Sens!F1903)/2)</f>
        <v>0.0745015687909955</v>
      </c>
      <c r="G1906" s="7" t="n">
        <f aca="false">(Sens!G1902-Sens!G1901+Sens!G1900)*(1-tax_f)/((Sens!F1903+Sens!G1903)/2)</f>
        <v>0.0685337953679128</v>
      </c>
      <c r="H1906" s="7" t="n">
        <f aca="false">(Sens!H1902-Sens!H1901+Sens!H1900)*(1-tax_f)/((Sens!G1903+Sens!H1903)/2)</f>
        <v>0.0570023565012615</v>
      </c>
      <c r="I1906" s="7" t="n">
        <f aca="false">(Sens!I1902-Sens!I1901+Sens!I1900)*(1-tax_f)/((Sens!H1903+Sens!I1903)/2)</f>
        <v>0.0644670189534587</v>
      </c>
      <c r="J1906" s="7" t="n">
        <f aca="false">(Sens!J1902-Sens!J1901+Sens!J1900)*(1-tax_f)/((Sens!I1903+Sens!J1903)/2)</f>
        <v>0.0720467430113547</v>
      </c>
      <c r="K1906" s="7" t="n">
        <f aca="false">(Sens!K1902-Sens!K1901+Sens!K1900)*(1-tax_f)/((Sens!J1903+Sens!K1903)/2)</f>
        <v>0.0811295199929291</v>
      </c>
    </row>
    <row r="1907" customFormat="false" ht="17.15" hidden="false" customHeight="false" outlineLevel="0" collapsed="false">
      <c r="A1907" s="1" t="s">
        <v>1017</v>
      </c>
      <c r="B1907" s="0" t="s">
        <v>168</v>
      </c>
      <c r="F1907" s="7" t="n">
        <f aca="false">Sens!F1832*(1-tax_f)/(Sens!F1818*(Sens!E1903+Sens!F1903)/2)</f>
        <v>0.151449102272743</v>
      </c>
      <c r="G1907" s="7" t="n">
        <f aca="false">Sens!G1832*(1-tax_f)/(Sens!G1818*(Sens!F1903+Sens!G1903)/2)</f>
        <v>0.114555597847046</v>
      </c>
      <c r="H1907" s="7" t="n">
        <f aca="false">Sens!H1832*(1-tax_f)/(Sens!H1818*(Sens!G1903+Sens!H1903)/2)</f>
        <v>0.0825725786420001</v>
      </c>
      <c r="I1907" s="7" t="n">
        <f aca="false">Sens!I1832*(1-tax_f)/(Sens!I1818*(Sens!H1903+Sens!I1903)/2)</f>
        <v>0.087463157059805</v>
      </c>
      <c r="J1907" s="7" t="n">
        <f aca="false">Sens!J1832*(1-tax_f)/(Sens!J1818*(Sens!I1903+Sens!J1903)/2)</f>
        <v>0.0949447340990368</v>
      </c>
      <c r="K1907" s="7" t="n">
        <f aca="false">Sens!K1832*(1-tax_f)/(Sens!K1818*(Sens!J1903+Sens!K1903)/2)</f>
        <v>0.105568329421061</v>
      </c>
    </row>
    <row r="1908" customFormat="false" ht="17.15" hidden="false" customHeight="false" outlineLevel="0" collapsed="false">
      <c r="A1908" s="0" t="s">
        <v>1018</v>
      </c>
      <c r="B1908" s="0" t="s">
        <v>253</v>
      </c>
      <c r="F1908" s="7" t="n">
        <f aca="false">Sens!F1904-wacc</f>
        <v>-0.0284350221546018</v>
      </c>
      <c r="G1908" s="7" t="n">
        <f aca="false">Sens!G1904-wacc</f>
        <v>-0.0344027955776845</v>
      </c>
      <c r="H1908" s="7" t="n">
        <f aca="false">Sens!H1904-wacc</f>
        <v>-0.0459342344443358</v>
      </c>
      <c r="I1908" s="7" t="n">
        <f aca="false">Sens!I1904-wacc</f>
        <v>-0.0384695719921386</v>
      </c>
      <c r="J1908" s="7" t="n">
        <f aca="false">Sens!J1904-wacc</f>
        <v>-0.0308898479342426</v>
      </c>
      <c r="K1908" s="7" t="n">
        <f aca="false">Sens!K1904-wacc</f>
        <v>-0.0218070709526682</v>
      </c>
    </row>
    <row r="1909" customFormat="false" ht="17.15" hidden="false" customHeight="false" outlineLevel="0" collapsed="false">
      <c r="A1909" s="0" t="s">
        <v>1019</v>
      </c>
      <c r="B1909" s="0" t="s">
        <v>98</v>
      </c>
      <c r="F1909" s="6" t="n">
        <f aca="false">Sens!F1902*(1-tax_f)-wacc*(Sens!E1903+Sens!F1903)/2</f>
        <v>-5.50602498325356</v>
      </c>
      <c r="G1909" s="6" t="n">
        <f aca="false">Sens!G1902*(1-tax_f)-wacc*(Sens!F1903+Sens!G1903)/2</f>
        <v>-11.2214219918941</v>
      </c>
      <c r="H1909" s="6" t="n">
        <f aca="false">Sens!H1902*(1-tax_f)-wacc*(Sens!G1903+Sens!H1903)/2</f>
        <v>-20.4699287244049</v>
      </c>
      <c r="I1909" s="6" t="n">
        <f aca="false">Sens!I1902*(1-tax_f)-wacc*(Sens!H1903+Sens!I1903)/2</f>
        <v>-20.2611710313821</v>
      </c>
      <c r="J1909" s="6" t="n">
        <f aca="false">Sens!J1902*(1-tax_f)-wacc*(Sens!I1903+Sens!J1903)/2</f>
        <v>-17.0613736209697</v>
      </c>
      <c r="K1909" s="6" t="n">
        <f aca="false">Sens!K1902*(1-tax_f)-wacc*(Sens!J1903+Sens!K1903)/2</f>
        <v>-11.7488146183469</v>
      </c>
    </row>
    <row r="1910" customFormat="false" ht="17.15" hidden="false" customHeight="false" outlineLevel="0" collapsed="false">
      <c r="A1910" s="3" t="s">
        <v>1658</v>
      </c>
    </row>
    <row r="1911" customFormat="false" ht="15" hidden="false" customHeight="false" outlineLevel="0" collapsed="false">
      <c r="A1911" s="4" t="s">
        <v>43</v>
      </c>
      <c r="B1911" s="4" t="s">
        <v>65</v>
      </c>
      <c r="C1911" s="23" t="s">
        <v>942</v>
      </c>
      <c r="D1911" s="23" t="s">
        <v>943</v>
      </c>
      <c r="E1911" s="23" t="s">
        <v>944</v>
      </c>
      <c r="F1911" s="23" t="s">
        <v>945</v>
      </c>
      <c r="G1911" s="23" t="s">
        <v>946</v>
      </c>
      <c r="H1911" s="23" t="s">
        <v>947</v>
      </c>
      <c r="I1911" s="23" t="s">
        <v>948</v>
      </c>
      <c r="J1911" s="23" t="s">
        <v>949</v>
      </c>
      <c r="K1911" s="23" t="s">
        <v>950</v>
      </c>
      <c r="L1911" s="4" t="s">
        <v>47</v>
      </c>
    </row>
    <row r="1912" customFormat="false" ht="15" hidden="false" customHeight="false" outlineLevel="0" collapsed="false">
      <c r="A1912" s="1" t="s">
        <v>1080</v>
      </c>
      <c r="B1912" s="0" t="s">
        <v>98</v>
      </c>
      <c r="F1912" s="6" t="n">
        <f aca="false">Sens!F1893</f>
        <v>146.137756389661</v>
      </c>
      <c r="G1912" s="6" t="n">
        <f aca="false">Sens!G1893</f>
        <v>152.049389893377</v>
      </c>
      <c r="H1912" s="6" t="n">
        <f aca="false">Sens!H1893</f>
        <v>156.142470676465</v>
      </c>
      <c r="I1912" s="6" t="n">
        <f aca="false">Sens!I1893</f>
        <v>167.05365171453</v>
      </c>
      <c r="J1912" s="6" t="n">
        <f aca="false">Sens!J1893</f>
        <v>178.395308381284</v>
      </c>
      <c r="K1912" s="6" t="n">
        <f aca="false">Sens!K1893</f>
        <v>190.182879153261</v>
      </c>
    </row>
    <row r="1913" customFormat="false" ht="17.15" hidden="false" customHeight="false" outlineLevel="0" collapsed="false">
      <c r="A1913" s="1" t="s">
        <v>1102</v>
      </c>
      <c r="B1913" s="0" t="s">
        <v>98</v>
      </c>
      <c r="E1913" s="6" t="n">
        <f aca="false">Q!M38-Sens!E1831</f>
        <v>22.2285940229167</v>
      </c>
      <c r="F1913" s="6" t="n">
        <f aca="false">Sens!E1913*(1-1/life_nonai)+(Sens!F1921+Sens!F1922)/life_nonai</f>
        <v>23.580344216413</v>
      </c>
      <c r="G1913" s="6" t="n">
        <f aca="false">Sens!F1913*(1-1/life_nonai)+(Sens!G1921)/life_nonai</f>
        <v>25.3005086096269</v>
      </c>
      <c r="H1913" s="6" t="n">
        <f aca="false">Sens!G1913*(1-1/life_nonai)+(Sens!H1921)/life_nonai</f>
        <v>27.3863710570764</v>
      </c>
      <c r="I1913" s="6" t="n">
        <f aca="false">Sens!H1913*(1-1/life_nonai)+(Sens!I1921)/life_nonai</f>
        <v>29.7816182872931</v>
      </c>
      <c r="J1913" s="6" t="n">
        <f aca="false">Sens!I1913*(1-1/life_nonai)+(Sens!J1921)/life_nonai</f>
        <v>32.4121911745743</v>
      </c>
      <c r="K1913" s="6" t="n">
        <f aca="false">Sens!J1913*(1-1/life_nonai)+(Sens!K1921)/life_nonai</f>
        <v>35.1947846984618</v>
      </c>
      <c r="L1913" s="12" t="s">
        <v>1103</v>
      </c>
    </row>
    <row r="1914" customFormat="false" ht="17.15" hidden="false" customHeight="false" outlineLevel="0" collapsed="false">
      <c r="A1914" s="1" t="s">
        <v>1104</v>
      </c>
      <c r="B1914" s="0" t="s">
        <v>98</v>
      </c>
      <c r="F1914" s="6" t="n">
        <f aca="false">Sens!$F$1922/life_nonai*(1-1/life_nonai)^(Sens!F1794-2027)</f>
        <v>0.0255882057667392</v>
      </c>
      <c r="G1914" s="6" t="n">
        <f aca="false">Sens!$F$1922/life_nonai*(1-1/life_nonai)^(Sens!G1794-2027)</f>
        <v>0.0230293851900653</v>
      </c>
      <c r="H1914" s="6" t="n">
        <f aca="false">Sens!$F$1922/life_nonai*(1-1/life_nonai)^(Sens!H1794-2027)</f>
        <v>0.0207264466710588</v>
      </c>
      <c r="I1914" s="6" t="n">
        <f aca="false">Sens!$F$1922/life_nonai*(1-1/life_nonai)^(Sens!I1794-2027)</f>
        <v>0.0186538020039529</v>
      </c>
      <c r="J1914" s="6" t="n">
        <f aca="false">Sens!$F$1922/life_nonai*(1-1/life_nonai)^(Sens!J1794-2027)</f>
        <v>0.0167884218035576</v>
      </c>
      <c r="K1914" s="6" t="n">
        <f aca="false">Sens!$F$1922/life_nonai*(1-1/life_nonai)^(Sens!K1794-2027)</f>
        <v>0.0151095796232019</v>
      </c>
      <c r="L1914" s="1" t="s">
        <v>1105</v>
      </c>
    </row>
    <row r="1915" customFormat="false" ht="17.15" hidden="false" customHeight="false" outlineLevel="0" collapsed="false">
      <c r="A1915" s="1" t="s">
        <v>1106</v>
      </c>
      <c r="B1915" s="0" t="s">
        <v>98</v>
      </c>
      <c r="E1915" s="6" t="n">
        <f aca="false">Sens!E1831+Sens!E1913</f>
        <v>38.534</v>
      </c>
      <c r="F1915" s="6" t="n">
        <f aca="false">Sens!F1831+Sens!F1913</f>
        <v>58.1596586947647</v>
      </c>
      <c r="G1915" s="6" t="n">
        <f aca="false">Sens!G1831+Sens!G1913</f>
        <v>86.0349992619258</v>
      </c>
      <c r="H1915" s="6" t="n">
        <f aca="false">Sens!H1831+Sens!H1913</f>
        <v>116.486461718522</v>
      </c>
      <c r="I1915" s="6" t="n">
        <f aca="false">Sens!I1831+Sens!I1913</f>
        <v>144.012627981841</v>
      </c>
      <c r="J1915" s="6" t="n">
        <f aca="false">Sens!J1831+Sens!J1913</f>
        <v>164.42786422417</v>
      </c>
      <c r="K1915" s="6" t="n">
        <f aca="false">Sens!K1831+Sens!K1913</f>
        <v>178.207454249396</v>
      </c>
    </row>
    <row r="1916" customFormat="false" ht="17.15" hidden="false" customHeight="false" outlineLevel="0" collapsed="false">
      <c r="A1916" s="1" t="s">
        <v>1107</v>
      </c>
      <c r="B1916" s="0" t="s">
        <v>98</v>
      </c>
      <c r="F1916" s="6" t="n">
        <f aca="false">Sens!F1858*sbc_r</f>
        <v>14.9685803983398</v>
      </c>
      <c r="G1916" s="6" t="n">
        <f aca="false">Sens!G1858*sbc_r</f>
        <v>17.5115385496786</v>
      </c>
      <c r="H1916" s="6" t="n">
        <f aca="false">Sens!H1858*sbc_r</f>
        <v>19.8710523750054</v>
      </c>
      <c r="I1916" s="6" t="n">
        <f aca="false">Sens!I1858*sbc_r</f>
        <v>22.3518734665533</v>
      </c>
      <c r="J1916" s="6" t="n">
        <f aca="false">Sens!J1858*sbc_r</f>
        <v>24.4146679423379</v>
      </c>
      <c r="K1916" s="6" t="n">
        <f aca="false">Sens!K1858*sbc_r</f>
        <v>26.0797031743914</v>
      </c>
    </row>
    <row r="1917" customFormat="false" ht="17.15" hidden="false" customHeight="false" outlineLevel="0" collapsed="false">
      <c r="A1917" s="1" t="s">
        <v>1108</v>
      </c>
      <c r="B1917" s="0" t="s">
        <v>98</v>
      </c>
      <c r="F1917" s="6" t="n">
        <f aca="false">wc27-wc26q1</f>
        <v>-4.677</v>
      </c>
      <c r="G1917" s="6" t="n">
        <f aca="false">wc_f</f>
        <v>0</v>
      </c>
      <c r="H1917" s="6" t="n">
        <f aca="false">wc_f</f>
        <v>0</v>
      </c>
      <c r="I1917" s="6" t="n">
        <f aca="false">wc_f</f>
        <v>0</v>
      </c>
      <c r="J1917" s="6" t="n">
        <f aca="false">wc_f</f>
        <v>0</v>
      </c>
      <c r="K1917" s="6" t="n">
        <f aca="false">wc_f</f>
        <v>0</v>
      </c>
      <c r="L1917" s="12" t="s">
        <v>1109</v>
      </c>
    </row>
    <row r="1918" customFormat="false" ht="17.15" hidden="false" customHeight="false" outlineLevel="0" collapsed="false">
      <c r="A1918" s="0" t="s">
        <v>1110</v>
      </c>
      <c r="B1918" s="0" t="s">
        <v>98</v>
      </c>
      <c r="F1918" s="6" t="n">
        <f aca="false">Q!$I$35-Q!$I$26-Q!$I$38-Q!$I$39</f>
        <v>6.493</v>
      </c>
      <c r="L1918" s="1" t="s">
        <v>1111</v>
      </c>
    </row>
    <row r="1919" customFormat="false" ht="15" hidden="false" customHeight="false" outlineLevel="0" collapsed="false">
      <c r="A1919" s="1" t="s">
        <v>908</v>
      </c>
      <c r="B1919" s="0" t="s">
        <v>98</v>
      </c>
      <c r="E1919" s="6" t="n">
        <f aca="false">Q!M35</f>
        <v>182.935</v>
      </c>
      <c r="F1919" s="6" t="n">
        <f aca="false">Sens!F1912+Sens!F1915+Sens!F1916+Sens!F1917+Sens!F1918</f>
        <v>221.081995482765</v>
      </c>
      <c r="G1919" s="6" t="n">
        <f aca="false">Sens!G1912+Sens!G1915+Sens!G1916+Sens!G1917</f>
        <v>255.595927704981</v>
      </c>
      <c r="H1919" s="6" t="n">
        <f aca="false">Sens!H1912+Sens!H1915+Sens!H1916+Sens!H1917</f>
        <v>292.499984769992</v>
      </c>
      <c r="I1919" s="6" t="n">
        <f aca="false">Sens!I1912+Sens!I1915+Sens!I1916+Sens!I1917</f>
        <v>333.418153162925</v>
      </c>
      <c r="J1919" s="6" t="n">
        <f aca="false">Sens!J1912+Sens!J1915+Sens!J1916+Sens!J1917</f>
        <v>367.237840547792</v>
      </c>
      <c r="K1919" s="6" t="n">
        <f aca="false">Sens!K1912+Sens!K1915+Sens!K1916+Sens!K1917</f>
        <v>394.470036577048</v>
      </c>
    </row>
    <row r="1920" customFormat="false" ht="17.15" hidden="false" customHeight="false" outlineLevel="0" collapsed="false">
      <c r="A1920" s="0" t="s">
        <v>1112</v>
      </c>
      <c r="B1920" s="0" t="s">
        <v>98</v>
      </c>
      <c r="F1920" s="6" t="n">
        <f aca="false">Sens!F1828</f>
        <v>168.45390404212</v>
      </c>
      <c r="G1920" s="6" t="n">
        <f aca="false">Sens!G1828</f>
        <v>191.944475649048</v>
      </c>
      <c r="H1920" s="6" t="n">
        <f aca="false">Sens!H1828</f>
        <v>196.806004064512</v>
      </c>
      <c r="I1920" s="6" t="n">
        <f aca="false">Sens!I1828</f>
        <v>168.61483362161</v>
      </c>
      <c r="J1920" s="6" t="n">
        <f aca="false">Sens!J1828</f>
        <v>128.92993119594</v>
      </c>
      <c r="K1920" s="6" t="n">
        <f aca="false">Sens!K1828</f>
        <v>118.962853064733</v>
      </c>
    </row>
    <row r="1921" customFormat="false" ht="17.15" hidden="false" customHeight="false" outlineLevel="0" collapsed="false">
      <c r="A1921" s="1" t="s">
        <v>1113</v>
      </c>
      <c r="B1921" s="0" t="s">
        <v>98</v>
      </c>
      <c r="E1921" s="6" t="n">
        <f aca="false">Sens!E1836*cx_azo+Sens!E1843*cx_m365+Sens!E1844*cx_lic+(Sens!E1846+Sens!E1848)*cx_ind+Sens!E1851*cx_srch+(Sens!E1853+Sens!E1855)*cx_dev</f>
        <v>30.1846587067718</v>
      </c>
      <c r="F1921" s="6" t="n">
        <f aca="false">Sens!F1836*cx_azo+Sens!F1843*cx_m365+Sens!F1844*cx_lic+(Sens!F1846+Sens!F1848)*cx_ind+Sens!F1851*cx_srch+(Sens!F1853+Sens!F1855)*cx_dev</f>
        <v>35.490213900213</v>
      </c>
      <c r="G1921" s="6" t="n">
        <f aca="false">Sens!G1836*cx_azo+Sens!G1843*cx_m365+Sens!G1844*cx_lic+(Sens!G1846+Sens!G1848)*cx_ind+Sens!G1851*cx_srch+(Sens!G1853+Sens!G1855)*cx_dev</f>
        <v>40.7819881485513</v>
      </c>
      <c r="H1921" s="6" t="n">
        <f aca="false">Sens!H1836*cx_azo+Sens!H1843*cx_m365+Sens!H1844*cx_lic+(Sens!H1846+Sens!H1848)*cx_ind+Sens!H1851*cx_srch+(Sens!H1853+Sens!H1855)*cx_dev</f>
        <v>46.1591330841225</v>
      </c>
      <c r="I1921" s="6" t="n">
        <f aca="false">Sens!I1836*cx_azo+Sens!I1843*cx_m365+Sens!I1844*cx_lic+(Sens!I1846+Sens!I1848)*cx_ind+Sens!I1851*cx_srch+(Sens!I1853+Sens!I1855)*cx_dev</f>
        <v>51.3388433592433</v>
      </c>
      <c r="J1921" s="6" t="n">
        <f aca="false">Sens!J1836*cx_azo+Sens!J1843*cx_m365+Sens!J1844*cx_lic+(Sens!J1846+Sens!J1848)*cx_ind+Sens!J1851*cx_srch+(Sens!J1853+Sens!J1855)*cx_dev</f>
        <v>56.0873471601052</v>
      </c>
      <c r="K1921" s="6" t="n">
        <f aca="false">Sens!K1836*cx_azo+Sens!K1843*cx_m365+Sens!K1844*cx_lic+(Sens!K1846+Sens!K1848)*cx_ind+Sens!K1851*cx_srch+(Sens!K1853+Sens!K1855)*cx_dev</f>
        <v>60.2381264134493</v>
      </c>
    </row>
    <row r="1922" customFormat="false" ht="17.15" hidden="false" customHeight="false" outlineLevel="0" collapsed="false">
      <c r="A1922" s="0" t="s">
        <v>1114</v>
      </c>
      <c r="B1922" s="0" t="s">
        <v>98</v>
      </c>
      <c r="F1922" s="6" t="n">
        <f aca="false">Sens!F1826</f>
        <v>0.255882057667392</v>
      </c>
      <c r="L1922" s="1" t="s">
        <v>1115</v>
      </c>
    </row>
    <row r="1923" customFormat="false" ht="17.15" hidden="false" customHeight="false" outlineLevel="0" collapsed="false">
      <c r="A1923" s="1" t="s">
        <v>1116</v>
      </c>
      <c r="B1923" s="0" t="s">
        <v>98</v>
      </c>
      <c r="E1923" s="6" t="n">
        <f aca="false">Q!M43</f>
        <v>145.3</v>
      </c>
      <c r="F1923" s="6" t="n">
        <f aca="false">Sens!F1920+Sens!F1921+Sens!F1922</f>
        <v>204.2</v>
      </c>
      <c r="G1923" s="6" t="n">
        <f aca="false">Sens!G1920+Sens!G1921</f>
        <v>232.726463797599</v>
      </c>
      <c r="H1923" s="6" t="n">
        <f aca="false">Sens!H1920+Sens!H1921</f>
        <v>242.965137148635</v>
      </c>
      <c r="I1923" s="6" t="n">
        <f aca="false">Sens!I1920+Sens!I1921</f>
        <v>219.953676980854</v>
      </c>
      <c r="J1923" s="6" t="n">
        <f aca="false">Sens!J1920+Sens!J1921</f>
        <v>185.017278356046</v>
      </c>
      <c r="K1923" s="6" t="n">
        <f aca="false">Sens!K1920+Sens!K1921</f>
        <v>179.200979478182</v>
      </c>
      <c r="L1923" s="1" t="s">
        <v>1117</v>
      </c>
    </row>
    <row r="1924" customFormat="false" ht="15" hidden="false" customHeight="false" outlineLevel="0" collapsed="false">
      <c r="A1924" s="1" t="s">
        <v>1118</v>
      </c>
      <c r="B1924" s="0" t="s">
        <v>98</v>
      </c>
      <c r="E1924" s="6" t="n">
        <f aca="false">fl_liab</f>
        <v>66.594</v>
      </c>
      <c r="F1924" s="6" t="n">
        <f aca="false">Sens!E1924-Sens!F1925</f>
        <v>62.46973</v>
      </c>
      <c r="G1924" s="6" t="n">
        <f aca="false">Sens!F1924-Sens!G1925</f>
        <v>57.98686785</v>
      </c>
      <c r="H1924" s="6" t="n">
        <f aca="false">Sens!G1924-Sens!H1925</f>
        <v>53.92827690325</v>
      </c>
      <c r="I1924" s="6" t="n">
        <f aca="false">Sens!H1924-Sens!I1925</f>
        <v>49.7850493638962</v>
      </c>
      <c r="J1924" s="6" t="n">
        <f aca="false">Sens!I1924-Sens!J1925</f>
        <v>45.4823765852716</v>
      </c>
      <c r="K1924" s="6" t="n">
        <f aca="false">Sens!J1924-Sens!K1925</f>
        <v>40.9860835316088</v>
      </c>
    </row>
    <row r="1925" customFormat="false" ht="15" hidden="false" customHeight="false" outlineLevel="0" collapsed="false">
      <c r="A1925" s="1" t="s">
        <v>1119</v>
      </c>
      <c r="B1925" s="0" t="s">
        <v>98</v>
      </c>
      <c r="F1925" s="6" t="n">
        <f aca="false">fl_pay_27-Sens!E1924*fl_rate</f>
        <v>4.12427</v>
      </c>
      <c r="G1925" s="6" t="n">
        <f aca="false">fl_pay_28-Sens!F1924*fl_rate</f>
        <v>4.48286215</v>
      </c>
      <c r="H1925" s="6" t="n">
        <f aca="false">fl_pay_29-Sens!G1924*fl_rate</f>
        <v>4.05859094675</v>
      </c>
      <c r="I1925" s="6" t="n">
        <f aca="false">fl_pay_30-Sens!H1924*fl_rate</f>
        <v>4.14322753935375</v>
      </c>
      <c r="J1925" s="6" t="n">
        <f aca="false">fl_pay_31-Sens!I1924*fl_rate</f>
        <v>4.30267277862467</v>
      </c>
      <c r="K1925" s="6" t="n">
        <f aca="false">fl_pay_32-Sens!J1924*fl_rate</f>
        <v>4.49629305366278</v>
      </c>
    </row>
    <row r="1926" customFormat="false" ht="17.15" hidden="false" customHeight="false" outlineLevel="0" collapsed="false">
      <c r="A1926" s="1" t="s">
        <v>1120</v>
      </c>
      <c r="B1926" s="0" t="s">
        <v>98</v>
      </c>
      <c r="E1926" s="6" t="n">
        <f aca="false">Q!M35-Q!M36-Q!M44</f>
        <v>63.886</v>
      </c>
      <c r="F1926" s="6" t="n">
        <f aca="false">Sens!F1919-Sens!F1923-Sens!F1925</f>
        <v>12.757725482765</v>
      </c>
      <c r="G1926" s="6" t="n">
        <f aca="false">Sens!G1919-Sens!G1923-Sens!G1925</f>
        <v>18.3866017573817</v>
      </c>
      <c r="H1926" s="6" t="n">
        <f aca="false">Sens!H1919-Sens!H1923-Sens!H1925</f>
        <v>45.4762566746073</v>
      </c>
      <c r="I1926" s="6" t="n">
        <f aca="false">Sens!I1919-Sens!I1923-Sens!I1925</f>
        <v>109.321248642718</v>
      </c>
      <c r="J1926" s="6" t="n">
        <f aca="false">Sens!J1919-Sens!J1923-Sens!J1925</f>
        <v>177.917889413122</v>
      </c>
      <c r="K1926" s="6" t="n">
        <f aca="false">Sens!K1919-Sens!K1923-Sens!K1925</f>
        <v>210.772764045203</v>
      </c>
      <c r="L1926" s="12" t="s">
        <v>1121</v>
      </c>
    </row>
    <row r="1927" customFormat="false" ht="15" hidden="false" customHeight="false" outlineLevel="0" collapsed="false">
      <c r="A1927" s="1" t="s">
        <v>1122</v>
      </c>
      <c r="B1927" s="0" t="s">
        <v>75</v>
      </c>
      <c r="F1927" s="8" t="n">
        <f aca="false">dps_27</f>
        <v>3.85</v>
      </c>
      <c r="G1927" s="8" t="n">
        <f aca="false">Sens!F1927*(1+dps_g)</f>
        <v>4.158</v>
      </c>
      <c r="H1927" s="8" t="n">
        <f aca="false">Sens!G1927*(1+dps_g)</f>
        <v>4.49064</v>
      </c>
      <c r="I1927" s="8" t="n">
        <f aca="false">Sens!H1927*(1+dps_g)</f>
        <v>4.8498912</v>
      </c>
      <c r="J1927" s="8" t="n">
        <f aca="false">Sens!I1927*(1+dps_g)</f>
        <v>5.237882496</v>
      </c>
      <c r="K1927" s="8" t="n">
        <f aca="false">Sens!J1927*(1+dps_g)</f>
        <v>5.65691309568</v>
      </c>
    </row>
    <row r="1928" customFormat="false" ht="17.15" hidden="false" customHeight="false" outlineLevel="0" collapsed="false">
      <c r="A1928" s="1" t="s">
        <v>1123</v>
      </c>
      <c r="B1928" s="0" t="s">
        <v>98</v>
      </c>
      <c r="E1928" s="6" t="n">
        <f aca="false">Q!M41</f>
        <v>26.445</v>
      </c>
      <c r="F1928" s="6" t="n">
        <f aca="false">Sens!F1927*Sens!E1937</f>
        <v>28.59395</v>
      </c>
      <c r="G1928" s="6" t="n">
        <f aca="false">Sens!G1927*Sens!F1937</f>
        <v>31.0553391036152</v>
      </c>
      <c r="H1928" s="6" t="n">
        <f aca="false">Sens!H1927*Sens!G1937</f>
        <v>33.7418450319044</v>
      </c>
      <c r="I1928" s="6" t="n">
        <f aca="false">Sens!I1927*Sens!H1937</f>
        <v>36.5860987360348</v>
      </c>
      <c r="J1928" s="6" t="n">
        <f aca="false">Sens!J1927*Sens!I1937</f>
        <v>39.5808845203102</v>
      </c>
      <c r="K1928" s="6" t="n">
        <f aca="false">Sens!K1927*Sens!J1937</f>
        <v>42.8341095443133</v>
      </c>
      <c r="L1928" s="1" t="s">
        <v>1124</v>
      </c>
    </row>
    <row r="1929" customFormat="false" ht="15" hidden="false" customHeight="false" outlineLevel="0" collapsed="false">
      <c r="A1929" s="1" t="s">
        <v>1125</v>
      </c>
      <c r="B1929" s="0" t="s">
        <v>98</v>
      </c>
      <c r="E1929" s="6" t="n">
        <f aca="false">Sens!E1926-Sens!E1928</f>
        <v>37.441</v>
      </c>
      <c r="F1929" s="6" t="n">
        <f aca="false">Sens!F1926-Sens!F1928</f>
        <v>-15.836224517235</v>
      </c>
      <c r="G1929" s="6" t="n">
        <f aca="false">Sens!G1926-Sens!G1928</f>
        <v>-12.6687373462335</v>
      </c>
      <c r="H1929" s="6" t="n">
        <f aca="false">Sens!H1926-Sens!H1928</f>
        <v>11.7344116427029</v>
      </c>
      <c r="I1929" s="6" t="n">
        <f aca="false">Sens!I1926-Sens!I1928</f>
        <v>72.7351499066829</v>
      </c>
      <c r="J1929" s="6" t="n">
        <f aca="false">Sens!J1926-Sens!J1928</f>
        <v>138.337004892812</v>
      </c>
      <c r="K1929" s="6" t="n">
        <f aca="false">Sens!K1926-Sens!K1928</f>
        <v>167.93865450089</v>
      </c>
    </row>
    <row r="1930" customFormat="false" ht="15" hidden="false" customHeight="false" outlineLevel="0" collapsed="false">
      <c r="A1930" s="1" t="s">
        <v>1126</v>
      </c>
      <c r="B1930" s="0" t="s">
        <v>98</v>
      </c>
      <c r="F1930" s="6" t="n">
        <f aca="false">debt_mat_27</f>
        <v>9.25</v>
      </c>
      <c r="G1930" s="6" t="n">
        <f aca="false">debt_mat_28</f>
        <v>0</v>
      </c>
      <c r="H1930" s="6" t="n">
        <f aca="false">debt_mat_29</f>
        <v>2.001</v>
      </c>
      <c r="I1930" s="6" t="n">
        <f aca="false">debt_mat_30</f>
        <v>0</v>
      </c>
      <c r="J1930" s="6" t="n">
        <f aca="false">debt_mat_31</f>
        <v>0.5</v>
      </c>
      <c r="K1930" s="6" t="n">
        <f aca="false">debt_mat_32</f>
        <v>0</v>
      </c>
    </row>
    <row r="1931" customFormat="false" ht="15" hidden="false" customHeight="false" outlineLevel="0" collapsed="false">
      <c r="A1931" s="1" t="s">
        <v>1127</v>
      </c>
      <c r="B1931" s="0" t="s">
        <v>98</v>
      </c>
      <c r="E1931" s="6" t="n">
        <f aca="false">Q!M40</f>
        <v>22.271</v>
      </c>
      <c r="F1931" s="6" t="n">
        <f aca="false">MAX(0,MIN(bb_target,Sens!E1933+Sens!F1929-Sens!F1930-min_cash))</f>
        <v>1.75677548276498</v>
      </c>
      <c r="G1931" s="6" t="n">
        <f aca="false">MAX(0,MIN(bb_target,Sens!F1933+Sens!G1929-Sens!G1930-min_cash))</f>
        <v>0</v>
      </c>
      <c r="H1931" s="6" t="n">
        <f aca="false">MAX(0,MIN(bb_target,Sens!G1933+Sens!H1929-Sens!H1930-min_cash))</f>
        <v>9.73341164270291</v>
      </c>
      <c r="I1931" s="6" t="n">
        <f aca="false">MAX(0,MIN(bb_target,Sens!H1933+Sens!I1929-Sens!I1930-min_cash))</f>
        <v>22.271</v>
      </c>
      <c r="J1931" s="6" t="n">
        <f aca="false">MAX(0,MIN(bb_target,Sens!I1933+Sens!J1929-Sens!J1930-min_cash))</f>
        <v>22.271</v>
      </c>
      <c r="K1931" s="6" t="n">
        <f aca="false">MAX(0,MIN(bb_target,Sens!J1933+Sens!K1929-Sens!K1930-min_cash))</f>
        <v>22.271</v>
      </c>
    </row>
    <row r="1932" customFormat="false" ht="15" hidden="false" customHeight="false" outlineLevel="0" collapsed="false">
      <c r="A1932" s="1" t="s">
        <v>1128</v>
      </c>
      <c r="B1932" s="0" t="s">
        <v>98</v>
      </c>
      <c r="F1932" s="6" t="n">
        <f aca="false">MAX(0,min_cash-(Sens!E1933+Sens!F1929-Sens!F1930-Sens!F1931))</f>
        <v>0</v>
      </c>
      <c r="G1932" s="6" t="n">
        <f aca="false">MAX(0,min_cash-(Sens!F1933+Sens!G1929-Sens!G1930-Sens!G1931))</f>
        <v>12.6687373462335</v>
      </c>
      <c r="H1932" s="6" t="n">
        <f aca="false">MAX(0,min_cash-(Sens!G1933+Sens!H1929-Sens!H1930-Sens!H1931))</f>
        <v>0</v>
      </c>
      <c r="I1932" s="6" t="n">
        <f aca="false">MAX(0,min_cash-(Sens!H1933+Sens!I1929-Sens!I1930-Sens!I1931))</f>
        <v>0</v>
      </c>
      <c r="J1932" s="6" t="n">
        <f aca="false">MAX(0,min_cash-(Sens!I1933+Sens!J1929-Sens!J1930-Sens!J1931))</f>
        <v>0</v>
      </c>
      <c r="K1932" s="6" t="n">
        <f aca="false">MAX(0,min_cash-(Sens!J1933+Sens!K1929-Sens!K1930-Sens!K1931))</f>
        <v>0</v>
      </c>
    </row>
    <row r="1933" customFormat="false" ht="15" hidden="false" customHeight="false" outlineLevel="0" collapsed="false">
      <c r="A1933" s="1" t="s">
        <v>1129</v>
      </c>
      <c r="B1933" s="0" t="s">
        <v>98</v>
      </c>
      <c r="E1933" s="6" t="n">
        <f aca="false">cash_open</f>
        <v>76.843</v>
      </c>
      <c r="F1933" s="6" t="n">
        <f aca="false">Sens!E1933+Sens!F1929-Sens!F1930-Sens!F1931+Sens!F1932</f>
        <v>50</v>
      </c>
      <c r="G1933" s="6" t="n">
        <f aca="false">Sens!F1933+Sens!G1929-Sens!G1930-Sens!G1931+Sens!G1932</f>
        <v>50</v>
      </c>
      <c r="H1933" s="6" t="n">
        <f aca="false">Sens!G1933+Sens!H1929-Sens!H1930-Sens!H1931+Sens!H1932</f>
        <v>50</v>
      </c>
      <c r="I1933" s="6" t="n">
        <f aca="false">Sens!H1933+Sens!I1929-Sens!I1930-Sens!I1931+Sens!I1932</f>
        <v>100.464149906683</v>
      </c>
      <c r="J1933" s="6" t="n">
        <f aca="false">Sens!I1933+Sens!J1929-Sens!J1930-Sens!J1931+Sens!J1932</f>
        <v>216.030154799495</v>
      </c>
      <c r="K1933" s="6" t="n">
        <f aca="false">Sens!J1933+Sens!K1929-Sens!K1930-Sens!K1931+Sens!K1932</f>
        <v>361.697809300385</v>
      </c>
    </row>
    <row r="1934" customFormat="false" ht="15" hidden="false" customHeight="false" outlineLevel="0" collapsed="false">
      <c r="A1934" s="1" t="s">
        <v>1130</v>
      </c>
      <c r="B1934" s="0" t="s">
        <v>98</v>
      </c>
      <c r="E1934" s="6" t="n">
        <f aca="false">debt_face</f>
        <v>46.136</v>
      </c>
      <c r="F1934" s="6" t="n">
        <f aca="false">Sens!E1934-Sens!F1930+Sens!F1932</f>
        <v>36.886</v>
      </c>
      <c r="G1934" s="6" t="n">
        <f aca="false">Sens!F1934-Sens!G1930+Sens!G1932</f>
        <v>49.5547373462335</v>
      </c>
      <c r="H1934" s="6" t="n">
        <f aca="false">Sens!G1934-Sens!H1930+Sens!H1932</f>
        <v>47.5537373462335</v>
      </c>
      <c r="I1934" s="6" t="n">
        <f aca="false">Sens!H1934-Sens!I1930+Sens!I1932</f>
        <v>47.5537373462335</v>
      </c>
      <c r="J1934" s="6" t="n">
        <f aca="false">Sens!I1934-Sens!J1930+Sens!J1932</f>
        <v>47.0537373462335</v>
      </c>
      <c r="K1934" s="6" t="n">
        <f aca="false">Sens!J1934-Sens!K1930+Sens!K1932</f>
        <v>47.0537373462335</v>
      </c>
    </row>
    <row r="1935" customFormat="false" ht="15" hidden="false" customHeight="false" outlineLevel="0" collapsed="false">
      <c r="A1935" s="1" t="s">
        <v>1131</v>
      </c>
      <c r="B1935" s="0" t="s">
        <v>98</v>
      </c>
      <c r="E1935" s="6" t="n">
        <f aca="false">Sens!E1933-Sens!E1934</f>
        <v>30.707</v>
      </c>
      <c r="F1935" s="6" t="n">
        <f aca="false">Sens!F1933-Sens!F1934</f>
        <v>13.114</v>
      </c>
      <c r="G1935" s="6" t="n">
        <f aca="false">Sens!G1933-Sens!G1934</f>
        <v>0.445262653766513</v>
      </c>
      <c r="H1935" s="6" t="n">
        <f aca="false">Sens!H1933-Sens!H1934</f>
        <v>2.44626265376651</v>
      </c>
      <c r="I1935" s="6" t="n">
        <f aca="false">Sens!I1933-Sens!I1934</f>
        <v>52.9104125604494</v>
      </c>
      <c r="J1935" s="6" t="n">
        <f aca="false">Sens!J1933-Sens!J1934</f>
        <v>168.976417453261</v>
      </c>
      <c r="K1935" s="6" t="n">
        <f aca="false">Sens!K1933-Sens!K1934</f>
        <v>314.644071954151</v>
      </c>
    </row>
    <row r="1936" customFormat="false" ht="15" hidden="false" customHeight="false" outlineLevel="0" collapsed="false">
      <c r="A1936" s="1" t="s">
        <v>1132</v>
      </c>
      <c r="B1936" s="0" t="s">
        <v>75</v>
      </c>
      <c r="F1936" s="30" t="n">
        <f aca="false">px*(1+bb_g)^(Sens!F1794-base_fy-mid_yr)</f>
        <v>551.84177959629</v>
      </c>
      <c r="G1936" s="30" t="n">
        <f aca="false">px*(1+bb_g)^(Sens!G1794-base_fy-mid_yr)</f>
        <v>595.989121963993</v>
      </c>
      <c r="H1936" s="30" t="n">
        <f aca="false">px*(1+bb_g)^(Sens!H1794-base_fy-mid_yr)</f>
        <v>643.668251721112</v>
      </c>
      <c r="I1936" s="30" t="n">
        <f aca="false">px*(1+bb_g)^(Sens!I1794-base_fy-mid_yr)</f>
        <v>695.161711858801</v>
      </c>
      <c r="J1936" s="30" t="n">
        <f aca="false">px*(1+bb_g)^(Sens!J1794-base_fy-mid_yr)</f>
        <v>750.774648807506</v>
      </c>
      <c r="K1936" s="30" t="n">
        <f aca="false">px*(1+bb_g)^(Sens!K1794-base_fy-mid_yr)</f>
        <v>810.836620712106</v>
      </c>
    </row>
    <row r="1937" customFormat="false" ht="15" hidden="false" customHeight="false" outlineLevel="0" collapsed="false">
      <c r="A1937" s="1" t="s">
        <v>1133</v>
      </c>
      <c r="B1937" s="1" t="s">
        <v>81</v>
      </c>
      <c r="E1937" s="15" t="n">
        <f aca="false">sh_out26</f>
        <v>7.427</v>
      </c>
      <c r="F1937" s="15" t="n">
        <f aca="false">Sens!E1937+sh_iss-Sens!F1931/Sens!F1936</f>
        <v>7.46881652323597</v>
      </c>
      <c r="G1937" s="15" t="n">
        <f aca="false">Sens!F1937+sh_iss-Sens!G1931/Sens!G1936</f>
        <v>7.51381652323597</v>
      </c>
      <c r="H1937" s="15" t="n">
        <f aca="false">Sens!G1937+sh_iss-Sens!H1931/Sens!H1936</f>
        <v>7.54369474021082</v>
      </c>
      <c r="I1937" s="15" t="n">
        <f aca="false">Sens!H1937+sh_iss-Sens!I1931/Sens!I1936</f>
        <v>7.55665759026416</v>
      </c>
      <c r="J1937" s="15" t="n">
        <f aca="false">Sens!I1937+sh_iss-Sens!J1931/Sens!J1936</f>
        <v>7.57199356253577</v>
      </c>
      <c r="K1937" s="15" t="n">
        <f aca="false">Sens!J1937+sh_iss-Sens!K1931/Sens!K1936</f>
        <v>7.58952687019466</v>
      </c>
    </row>
    <row r="1938" customFormat="false" ht="15" hidden="false" customHeight="false" outlineLevel="0" collapsed="false">
      <c r="A1938" s="1" t="s">
        <v>1134</v>
      </c>
      <c r="B1938" s="1" t="s">
        <v>81</v>
      </c>
      <c r="E1938" s="15" t="n">
        <f aca="false">sh_dil26</f>
        <v>7.453</v>
      </c>
      <c r="F1938" s="15" t="n">
        <f aca="false">(Sens!E1937+Sens!F1937)/2+dil_gap</f>
        <v>7.47190826161799</v>
      </c>
      <c r="G1938" s="15" t="n">
        <f aca="false">(Sens!F1937+Sens!G1937)/2+dil_gap</f>
        <v>7.51531652323597</v>
      </c>
      <c r="H1938" s="15" t="n">
        <f aca="false">(Sens!G1937+Sens!H1937)/2+dil_gap</f>
        <v>7.5527556317234</v>
      </c>
      <c r="I1938" s="15" t="n">
        <f aca="false">(Sens!H1937+Sens!I1937)/2+dil_gap</f>
        <v>7.57417616523749</v>
      </c>
      <c r="J1938" s="15" t="n">
        <f aca="false">(Sens!I1937+Sens!J1937)/2+dil_gap</f>
        <v>7.58832557639996</v>
      </c>
      <c r="K1938" s="15" t="n">
        <f aca="false">(Sens!J1937+Sens!K1937)/2+dil_gap</f>
        <v>7.60476021636522</v>
      </c>
    </row>
    <row r="1939" customFormat="false" ht="17.15" hidden="false" customHeight="false" outlineLevel="0" collapsed="false">
      <c r="A1939" s="1" t="s">
        <v>1135</v>
      </c>
      <c r="B1939" s="0" t="s">
        <v>98</v>
      </c>
      <c r="C1939" s="6" t="n">
        <f aca="false">SUM(Sens!F1929:J1929)</f>
        <v>194.301604578729</v>
      </c>
    </row>
    <row r="1940" customFormat="false" ht="15" hidden="false" customHeight="false" outlineLevel="0" collapsed="false">
      <c r="A1940" s="26" t="s">
        <v>1100</v>
      </c>
      <c r="B1940" s="31" t="s">
        <v>98</v>
      </c>
      <c r="C1940" s="27" t="n">
        <f aca="false">Sens!$C$1939-(Sens!F1929+Sens!G1929+Sens!H1929+Sens!I1929+Sens!J1929)</f>
        <v>0</v>
      </c>
      <c r="D1940" s="31"/>
      <c r="E1940" s="31"/>
      <c r="F1940" s="31"/>
      <c r="G1940" s="31"/>
      <c r="H1940" s="31"/>
      <c r="I1940" s="31"/>
      <c r="J1940" s="31"/>
      <c r="K1940" s="31"/>
    </row>
    <row r="1941" customFormat="false" ht="17.15" hidden="false" customHeight="false" outlineLevel="0" collapsed="false">
      <c r="A1941" s="1" t="s">
        <v>1094</v>
      </c>
      <c r="B1941" s="1" t="s">
        <v>1136</v>
      </c>
      <c r="C1941" s="33" t="str">
        <f aca="false">IF(SUM(Sens!F1932:J1932)&gt;0.05,"需要舉債 "&amp;TEXT(SUM(Sens!F1932:J1932),"0.0")&amp;" 十億美元","不需舉債")&amp;"；"&amp;IF(SUM(Sens!F1931:J1931)&lt;COUNT(Sens!F1931:J1931)*bb_target-0.05,"回購較每年 "&amp;TEXT(bb_target,"0.0")&amp;" 的目標少 "&amp;TEXT(COUNT(Sens!F1931:J1931)*bb_target-SUM(Sens!F1931:J1931),"0.0")&amp;" 十億美元（"&amp;TEXT(COUNTIF(Sens!F1931:J1931,"&lt;"&amp;(bb_target-0.05)),"0")&amp;" 年減少）","回購不減")</f>
        <v>需要舉債 12.7 十億美元；回購較每年 22.3 的目標少 55.3 十億美元（3 年減少）</v>
      </c>
    </row>
    <row r="1942" customFormat="false" ht="17.15" hidden="false" customHeight="false" outlineLevel="0" collapsed="false">
      <c r="A1942" s="3" t="s">
        <v>1659</v>
      </c>
    </row>
    <row r="1943" customFormat="false" ht="15" hidden="false" customHeight="false" outlineLevel="0" collapsed="false">
      <c r="A1943" s="4" t="s">
        <v>43</v>
      </c>
      <c r="B1943" s="4" t="s">
        <v>65</v>
      </c>
      <c r="C1943" s="23" t="s">
        <v>942</v>
      </c>
      <c r="D1943" s="23" t="s">
        <v>943</v>
      </c>
      <c r="E1943" s="23" t="s">
        <v>944</v>
      </c>
      <c r="F1943" s="23" t="s">
        <v>945</v>
      </c>
      <c r="G1943" s="23" t="s">
        <v>946</v>
      </c>
      <c r="H1943" s="23" t="s">
        <v>947</v>
      </c>
      <c r="I1943" s="23" t="s">
        <v>948</v>
      </c>
      <c r="J1943" s="23" t="s">
        <v>949</v>
      </c>
      <c r="K1943" s="23" t="s">
        <v>950</v>
      </c>
      <c r="L1943" s="4" t="s">
        <v>47</v>
      </c>
    </row>
    <row r="1944" customFormat="false" ht="17.15" hidden="false" customHeight="false" outlineLevel="0" collapsed="false">
      <c r="A1944" s="1" t="s">
        <v>1216</v>
      </c>
      <c r="B1944" s="1" t="s">
        <v>279</v>
      </c>
      <c r="F1944" s="8" t="n">
        <f aca="false">(1-v_off)*mid_yr</f>
        <v>0.373972602739726</v>
      </c>
      <c r="G1944" s="8" t="n">
        <f aca="false">Sens!G1794-base_fy-mid_yr-v_off</f>
        <v>1.24794520547945</v>
      </c>
      <c r="H1944" s="8" t="n">
        <f aca="false">Sens!H1794-base_fy-mid_yr-v_off</f>
        <v>2.24794520547945</v>
      </c>
      <c r="I1944" s="8" t="n">
        <f aca="false">Sens!I1794-base_fy-mid_yr-v_off</f>
        <v>3.24794520547945</v>
      </c>
      <c r="J1944" s="8" t="n">
        <f aca="false">Sens!J1794-base_fy-mid_yr-v_off</f>
        <v>4.24794520547945</v>
      </c>
      <c r="K1944" s="8" t="n">
        <f aca="false">Sens!K1794-base_fy-mid_yr-v_off</f>
        <v>5.24794520547945</v>
      </c>
      <c r="L1944" s="12" t="s">
        <v>1217</v>
      </c>
    </row>
    <row r="1945" customFormat="false" ht="15" hidden="false" customHeight="false" outlineLevel="0" collapsed="false">
      <c r="A1945" s="1" t="s">
        <v>1218</v>
      </c>
      <c r="B1945" s="1" t="s">
        <v>279</v>
      </c>
      <c r="F1945" s="8" t="n">
        <f aca="false">Sens!F1794-base_fy-v_off</f>
        <v>0.747945205479452</v>
      </c>
      <c r="G1945" s="8" t="n">
        <f aca="false">Sens!G1794-base_fy-v_off</f>
        <v>1.74794520547945</v>
      </c>
      <c r="H1945" s="8" t="n">
        <f aca="false">Sens!H1794-base_fy-v_off</f>
        <v>2.74794520547945</v>
      </c>
      <c r="I1945" s="8" t="n">
        <f aca="false">Sens!I1794-base_fy-v_off</f>
        <v>3.74794520547945</v>
      </c>
      <c r="J1945" s="8" t="n">
        <f aca="false">Sens!J1794-base_fy-v_off</f>
        <v>4.74794520547945</v>
      </c>
      <c r="K1945" s="8" t="n">
        <f aca="false">Sens!K1794-base_fy-v_off</f>
        <v>5.74794520547945</v>
      </c>
    </row>
    <row r="1946" customFormat="false" ht="15" hidden="false" customHeight="false" outlineLevel="0" collapsed="false">
      <c r="A1946" s="1" t="s">
        <v>1219</v>
      </c>
      <c r="B1946" s="0" t="s">
        <v>229</v>
      </c>
      <c r="F1946" s="15" t="n">
        <f aca="false">1/(1+wacc)^Sens!F1944</f>
        <v>0.964022703286649</v>
      </c>
      <c r="G1946" s="15" t="n">
        <f aca="false">1/(1+wacc)^Sens!G1944</f>
        <v>0.884910302296739</v>
      </c>
      <c r="H1946" s="15" t="n">
        <f aca="false">1/(1+wacc)^Sens!H1944</f>
        <v>0.802322009770358</v>
      </c>
      <c r="I1946" s="15" t="n">
        <f aca="false">1/(1+wacc)^Sens!I1944</f>
        <v>0.727441646561469</v>
      </c>
      <c r="J1946" s="15" t="n">
        <f aca="false">1/(1+wacc)^Sens!J1944</f>
        <v>0.659549834988973</v>
      </c>
      <c r="K1946" s="15" t="n">
        <f aca="false">1/(1+wacc)^Sens!K1944</f>
        <v>0.597994336576966</v>
      </c>
    </row>
    <row r="1947" customFormat="false" ht="17.15" hidden="false" customHeight="false" outlineLevel="0" collapsed="false">
      <c r="A1947" s="1" t="s">
        <v>1220</v>
      </c>
      <c r="B1947" s="0" t="s">
        <v>98</v>
      </c>
      <c r="F1947" s="6" t="n">
        <f aca="false">Q!$I$35-Q!$I$39-Q!$I$43</f>
        <v>9.666</v>
      </c>
      <c r="L1947" s="12" t="s">
        <v>1221</v>
      </c>
    </row>
    <row r="1948" customFormat="false" ht="17.15" hidden="false" customHeight="false" outlineLevel="0" collapsed="false">
      <c r="A1948" s="1" t="s">
        <v>1222</v>
      </c>
      <c r="B1948" s="0" t="s">
        <v>98</v>
      </c>
      <c r="F1948" s="6" t="n">
        <f aca="false">Sens!F1919-Sens!F1916-Sens!F1923+Sens!F1901*(1-tax_f)*(1-v_off)-Sens!F1947</f>
        <v>-1.4122361772962</v>
      </c>
      <c r="G1948" s="6" t="n">
        <f aca="false">Sens!G1919-Sens!G1916-Sens!G1923+Sens!G1901*(1-tax_f)</f>
        <v>27.6336426976487</v>
      </c>
      <c r="H1948" s="6" t="n">
        <f aca="false">Sens!H1919-Sens!H1916-Sens!H1923+Sens!H1901*(1-tax_f)</f>
        <v>66.9167596474575</v>
      </c>
      <c r="I1948" s="6" t="n">
        <f aca="false">Sens!I1919-Sens!I1916-Sens!I1923+Sens!I1901*(1-tax_f)</f>
        <v>141.730024965634</v>
      </c>
      <c r="J1948" s="6" t="n">
        <f aca="false">Sens!J1919-Sens!J1916-Sens!J1923+Sens!J1901*(1-tax_f)</f>
        <v>217.73079207997</v>
      </c>
      <c r="K1948" s="6" t="n">
        <f aca="false">Sens!K1919-Sens!K1916-Sens!K1923+Sens!K1901*(1-tax_f)</f>
        <v>254.500988898893</v>
      </c>
      <c r="L1948" s="1" t="s">
        <v>1223</v>
      </c>
    </row>
    <row r="1949" customFormat="false" ht="15" hidden="false" customHeight="false" outlineLevel="0" collapsed="false">
      <c r="A1949" s="1" t="s">
        <v>1224</v>
      </c>
      <c r="B1949" s="0" t="s">
        <v>98</v>
      </c>
      <c r="F1949" s="6" t="n">
        <f aca="false">Sens!F1948*Sens!F1946</f>
        <v>-1.36142773731629</v>
      </c>
      <c r="G1949" s="6" t="n">
        <f aca="false">Sens!G1948*Sens!G1946</f>
        <v>24.4532951131363</v>
      </c>
      <c r="H1949" s="6" t="n">
        <f aca="false">Sens!H1948*Sens!H1946</f>
        <v>53.6887890876681</v>
      </c>
      <c r="I1949" s="6" t="n">
        <f aca="false">Sens!I1948*Sens!I1946</f>
        <v>103.100322728199</v>
      </c>
      <c r="J1949" s="6" t="n">
        <f aca="false">Sens!J1948*Sens!J1946</f>
        <v>143.604307988362</v>
      </c>
      <c r="K1949" s="6" t="n">
        <f aca="false">Sens!K1948*Sens!K1946</f>
        <v>152.190150014775</v>
      </c>
    </row>
    <row r="1950" customFormat="false" ht="17.15" hidden="false" customHeight="false" outlineLevel="0" collapsed="false">
      <c r="A1950" s="1" t="s">
        <v>1225</v>
      </c>
      <c r="B1950" s="0" t="s">
        <v>98</v>
      </c>
      <c r="C1950" s="6" t="n">
        <f aca="false">SUM(Sens!F1949:K1949)</f>
        <v>475.675437194824</v>
      </c>
    </row>
    <row r="1951" customFormat="false" ht="17.15" hidden="false" customHeight="false" outlineLevel="0" collapsed="false">
      <c r="A1951" s="1" t="s">
        <v>1226</v>
      </c>
      <c r="B1951" s="0" t="s">
        <v>98</v>
      </c>
      <c r="C1951" s="6" t="n">
        <f aca="false">Sens!K1887*(1+g_tv)*(1-tax_f)</f>
        <v>264.14814955151</v>
      </c>
    </row>
    <row r="1952" customFormat="false" ht="17.15" hidden="false" customHeight="false" outlineLevel="0" collapsed="false">
      <c r="A1952" s="1" t="s">
        <v>1227</v>
      </c>
      <c r="B1952" s="0" t="s">
        <v>98</v>
      </c>
      <c r="C1952" s="6" t="n">
        <f aca="false">Sens!$C$1951*(1-g_tv/(wacc+ronic_prem))</f>
        <v>187.164402433506</v>
      </c>
    </row>
    <row r="1953" customFormat="false" ht="17.15" hidden="false" customHeight="false" outlineLevel="0" collapsed="false">
      <c r="A1953" s="1" t="s">
        <v>1228</v>
      </c>
      <c r="B1953" s="0" t="s">
        <v>98</v>
      </c>
      <c r="C1953" s="6" t="n">
        <f aca="false">Sens!$C$1952/(wacc-g_tv)</f>
        <v>2566.12490393347</v>
      </c>
    </row>
    <row r="1954" customFormat="false" ht="15" hidden="false" customHeight="false" outlineLevel="0" collapsed="false">
      <c r="A1954" s="1" t="s">
        <v>1229</v>
      </c>
      <c r="B1954" s="0" t="s">
        <v>98</v>
      </c>
      <c r="C1954" s="6" t="n">
        <f aca="false">Sens!$C$1953/(1+wacc)^Sens!K1945</f>
        <v>1461.16610712167</v>
      </c>
    </row>
    <row r="1955" customFormat="false" ht="17.15" hidden="false" customHeight="false" outlineLevel="0" collapsed="false">
      <c r="A1955" s="0" t="s">
        <v>1230</v>
      </c>
      <c r="B1955" s="0" t="s">
        <v>98</v>
      </c>
      <c r="C1955" s="6" t="n">
        <f aca="false">Sens!$C$1950+Sens!$C$1954</f>
        <v>1936.8415443165</v>
      </c>
    </row>
    <row r="1956" customFormat="false" ht="15" hidden="false" customHeight="false" outlineLevel="0" collapsed="false">
      <c r="A1956" s="1" t="s">
        <v>1145</v>
      </c>
      <c r="B1956" s="0" t="s">
        <v>168</v>
      </c>
      <c r="C1956" s="7" t="n">
        <f aca="false">Sens!$C$1954/Sens!$C$1955</f>
        <v>0.754406632493683</v>
      </c>
    </row>
    <row r="1957" customFormat="false" ht="17.15" hidden="false" customHeight="false" outlineLevel="0" collapsed="false">
      <c r="A1957" s="1" t="s">
        <v>1231</v>
      </c>
      <c r="B1957" s="0" t="s">
        <v>98</v>
      </c>
      <c r="C1957" s="6" t="n">
        <f aca="false">Sens!$C$1955+cash_val-debt_val-fl_val+oai_v</f>
        <v>2052.6925443165</v>
      </c>
    </row>
    <row r="1958" customFormat="false" ht="17.15" hidden="false" customHeight="false" outlineLevel="0" collapsed="false">
      <c r="A1958" s="0" t="s">
        <v>1153</v>
      </c>
      <c r="B1958" s="0" t="s">
        <v>75</v>
      </c>
      <c r="C1958" s="5" t="n">
        <f aca="false">Sens!$C$1957/shd_val</f>
        <v>275.677215191579</v>
      </c>
    </row>
    <row r="1959" customFormat="false" ht="15" hidden="false" customHeight="false" outlineLevel="0" collapsed="false">
      <c r="A1959" s="1" t="s">
        <v>1232</v>
      </c>
      <c r="B1959" s="0" t="s">
        <v>75</v>
      </c>
      <c r="C1959" s="8" t="n">
        <f aca="false">div_rem27+Sens!G1927*roll_div_q/q_per_yr</f>
        <v>3.9795</v>
      </c>
    </row>
    <row r="1960" customFormat="false" ht="17.15" hidden="false" customHeight="false" outlineLevel="0" collapsed="false">
      <c r="A1960" s="0" t="s">
        <v>1233</v>
      </c>
      <c r="B1960" s="0" t="s">
        <v>75</v>
      </c>
      <c r="C1960" s="5" t="n">
        <f aca="false">Sens!$C$1958*(1+wacc)^t_roll-Sens!$C$1959</f>
        <v>302.451110435874</v>
      </c>
    </row>
    <row r="1961" customFormat="false" ht="17.15" hidden="false" customHeight="false" outlineLevel="0" collapsed="false">
      <c r="A1961" s="1" t="s">
        <v>1234</v>
      </c>
      <c r="B1961" s="0" t="s">
        <v>168</v>
      </c>
      <c r="F1961" s="7" t="n">
        <f aca="false">Sens!F1913/(Sens!F1858-Sens!F1813)</f>
        <v>0.0689914155081386</v>
      </c>
      <c r="G1961" s="7" t="n">
        <f aca="false">Sens!G1913/(Sens!G1858-Sens!G1813)</f>
        <v>0.0665373486975517</v>
      </c>
      <c r="H1961" s="7" t="n">
        <f aca="false">Sens!H1913/(Sens!H1858-Sens!H1813)</f>
        <v>0.0652845943207782</v>
      </c>
      <c r="I1961" s="7" t="n">
        <f aca="false">Sens!I1913/(Sens!I1858-Sens!I1813)</f>
        <v>0.0650927181467596</v>
      </c>
      <c r="J1961" s="7" t="n">
        <f aca="false">Sens!J1913/(Sens!J1858-Sens!J1813)</f>
        <v>0.0657493066925884</v>
      </c>
      <c r="K1961" s="7" t="n">
        <f aca="false">Sens!K1913/(Sens!K1858-Sens!K1813)</f>
        <v>0.0670188042306294</v>
      </c>
    </row>
    <row r="1962" customFormat="false" ht="17.15" hidden="false" customHeight="false" outlineLevel="0" collapsed="false">
      <c r="A1962" s="0" t="s">
        <v>1235</v>
      </c>
      <c r="B1962" s="0" t="s">
        <v>98</v>
      </c>
      <c r="F1962" s="6" t="n">
        <f aca="false">Sens!F1843*(al_m365+Sens!F1961+sbc_r)</f>
        <v>82.9554001952559</v>
      </c>
      <c r="G1962" s="6" t="n">
        <f aca="false">Sens!G1843*(al_m365+Sens!G1961+sbc_r)</f>
        <v>93.3365174825181</v>
      </c>
      <c r="H1962" s="6" t="n">
        <f aca="false">Sens!H1843*(al_m365+Sens!H1961+sbc_r)</f>
        <v>103.877967828968</v>
      </c>
      <c r="I1962" s="6" t="n">
        <f aca="false">Sens!I1843*(al_m365+Sens!I1961+sbc_r)</f>
        <v>113.90332558298</v>
      </c>
      <c r="J1962" s="6" t="n">
        <f aca="false">Sens!J1843*(al_m365+Sens!J1961+sbc_r)</f>
        <v>123.2233915413</v>
      </c>
      <c r="K1962" s="6" t="n">
        <f aca="false">Sens!K1843*(al_m365+Sens!K1961+sbc_r)</f>
        <v>132.145194155334</v>
      </c>
      <c r="L1962" s="12" t="s">
        <v>1236</v>
      </c>
    </row>
    <row r="1963" customFormat="false" ht="17.15" hidden="false" customHeight="false" outlineLevel="0" collapsed="false">
      <c r="A1963" s="0" t="s">
        <v>1237</v>
      </c>
      <c r="B1963" s="0" t="s">
        <v>98</v>
      </c>
      <c r="F1963" s="6" t="n">
        <f aca="false">Sens!F1844*(al_lic+Sens!F1961+sbc_r)</f>
        <v>32.8720391809899</v>
      </c>
      <c r="G1963" s="6" t="n">
        <f aca="false">Sens!G1844*(al_lic+Sens!G1961+sbc_r)</f>
        <v>34.1657937205824</v>
      </c>
      <c r="H1963" s="6" t="n">
        <f aca="false">Sens!H1844*(al_lic+Sens!H1961+sbc_r)</f>
        <v>35.3697015052973</v>
      </c>
      <c r="I1963" s="6" t="n">
        <f aca="false">Sens!I1844*(al_lic+Sens!I1961+sbc_r)</f>
        <v>36.4640435478083</v>
      </c>
      <c r="J1963" s="6" t="n">
        <f aca="false">Sens!J1844*(al_lic+Sens!J1961+sbc_r)</f>
        <v>37.4258188941567</v>
      </c>
      <c r="K1963" s="6" t="n">
        <f aca="false">Sens!K1844*(al_lic+Sens!K1961+sbc_r)</f>
        <v>38.2311403511275</v>
      </c>
    </row>
    <row r="1964" customFormat="false" ht="17.15" hidden="false" customHeight="false" outlineLevel="0" collapsed="false">
      <c r="A1964" s="0" t="s">
        <v>1238</v>
      </c>
      <c r="B1964" s="0" t="s">
        <v>98</v>
      </c>
      <c r="F1964" s="6" t="n">
        <f aca="false">Sens!F1846*(al_ind+Sens!F1961+sbc_r)</f>
        <v>9.0687152514909</v>
      </c>
      <c r="G1964" s="6" t="n">
        <f aca="false">Sens!G1846*(al_ind+Sens!G1961+sbc_r)</f>
        <v>9.85336424905046</v>
      </c>
      <c r="H1964" s="6" t="n">
        <f aca="false">Sens!H1846*(al_ind+Sens!H1961+sbc_r)</f>
        <v>10.6807567507557</v>
      </c>
      <c r="I1964" s="6" t="n">
        <f aca="false">Sens!I1846*(al_ind+Sens!I1961+sbc_r)</f>
        <v>11.5463956028131</v>
      </c>
      <c r="J1964" s="6" t="n">
        <f aca="false">Sens!J1846*(al_ind+Sens!J1961+sbc_r)</f>
        <v>12.4416567544287</v>
      </c>
      <c r="K1964" s="6" t="n">
        <f aca="false">Sens!K1846*(al_ind+Sens!K1961+sbc_r)</f>
        <v>13.3544951814106</v>
      </c>
    </row>
    <row r="1965" customFormat="false" ht="17.15" hidden="false" customHeight="false" outlineLevel="0" collapsed="false">
      <c r="A1965" s="0" t="s">
        <v>1239</v>
      </c>
      <c r="B1965" s="0" t="s">
        <v>98</v>
      </c>
      <c r="F1965" s="6" t="n">
        <f aca="false">Sens!F1848*(al_fro+Sens!F1961+sbc_r)</f>
        <v>3.55728456080546</v>
      </c>
      <c r="G1965" s="6" t="n">
        <f aca="false">Sens!G1848*(al_fro+Sens!G1961+sbc_r)</f>
        <v>3.77018594381019</v>
      </c>
      <c r="H1965" s="6" t="n">
        <f aca="false">Sens!H1848*(al_fro+Sens!H1961+sbc_r)</f>
        <v>4.01112545099863</v>
      </c>
      <c r="I1965" s="6" t="n">
        <f aca="false">Sens!I1848*(al_fro+Sens!I1961+sbc_r)</f>
        <v>4.28241930537277</v>
      </c>
      <c r="J1965" s="6" t="n">
        <f aca="false">Sens!J1848*(al_fro+Sens!J1961+sbc_r)</f>
        <v>4.58568406846915</v>
      </c>
      <c r="K1965" s="6" t="n">
        <f aca="false">Sens!K1848*(al_fro+Sens!K1961+sbc_r)</f>
        <v>4.92213352325797</v>
      </c>
    </row>
    <row r="1966" customFormat="false" ht="17.15" hidden="false" customHeight="false" outlineLevel="0" collapsed="false">
      <c r="A1966" s="0" t="s">
        <v>1240</v>
      </c>
      <c r="B1966" s="0" t="s">
        <v>98</v>
      </c>
      <c r="F1966" s="6" t="n">
        <f aca="false">Sens!F1851*(al_srch+Sens!F1961+sbc_r)</f>
        <v>11.1993381459497</v>
      </c>
      <c r="G1966" s="6" t="n">
        <f aca="false">Sens!G1851*(al_srch+Sens!G1961+sbc_r)</f>
        <v>12.2831471807618</v>
      </c>
      <c r="H1966" s="6" t="n">
        <f aca="false">Sens!H1851*(al_srch+Sens!H1961+sbc_r)</f>
        <v>13.4092919572948</v>
      </c>
      <c r="I1966" s="6" t="n">
        <f aca="false">Sens!I1851*(al_srch+Sens!I1961+sbc_r)</f>
        <v>14.5651883643532</v>
      </c>
      <c r="J1966" s="6" t="n">
        <f aca="false">Sens!J1851*(al_srch+Sens!J1961+sbc_r)</f>
        <v>15.7321323710798</v>
      </c>
      <c r="K1966" s="6" t="n">
        <f aca="false">Sens!K1851*(al_srch+Sens!K1961+sbc_r)</f>
        <v>16.8863914259741</v>
      </c>
    </row>
    <row r="1967" customFormat="false" ht="17.15" hidden="false" customHeight="false" outlineLevel="0" collapsed="false">
      <c r="A1967" s="0" t="s">
        <v>1241</v>
      </c>
      <c r="B1967" s="0" t="s">
        <v>98</v>
      </c>
      <c r="F1967" s="6" t="n">
        <f aca="false">Sens!F1819-Sens!F1820+Sens!F1901</f>
        <v>46.616932394776</v>
      </c>
      <c r="G1967" s="6" t="n">
        <f aca="false">Sens!G1819-Sens!G1820+Sens!G1901</f>
        <v>80.96930426624</v>
      </c>
      <c r="H1967" s="6" t="n">
        <f aca="false">Sens!H1819-Sens!H1820+Sens!H1901</f>
        <v>111.432141372102</v>
      </c>
      <c r="I1967" s="6" t="n">
        <f aca="false">Sens!I1819-Sens!I1820+Sens!I1901</f>
        <v>145.967456599526</v>
      </c>
      <c r="J1967" s="6" t="n">
        <f aca="false">Sens!J1819-Sens!J1820+Sens!J1901</f>
        <v>170.195711747949</v>
      </c>
      <c r="K1967" s="6" t="n">
        <f aca="false">Sens!K1819-Sens!K1820+Sens!K1901</f>
        <v>185.23119480818</v>
      </c>
    </row>
    <row r="1968" customFormat="false" ht="17.15" hidden="false" customHeight="false" outlineLevel="0" collapsed="false">
      <c r="A1968" s="0" t="s">
        <v>1242</v>
      </c>
      <c r="B1968" s="0" t="s">
        <v>98</v>
      </c>
      <c r="F1968" s="6" t="n">
        <f aca="false">Sens!F1880+Sens!F1901+Sens!F1831+Sens!F1961*(Sens!F1850-Sens!F1813)+sbc_r*Sens!F1850</f>
        <v>240.767915991247</v>
      </c>
      <c r="G1968" s="6" t="n">
        <f aca="false">Sens!G1880+Sens!G1901+Sens!G1831+Sens!G1961*(Sens!G1850-Sens!G1813)+sbc_r*Sens!G1850</f>
        <v>296.134178374962</v>
      </c>
      <c r="H1968" s="6" t="n">
        <f aca="false">Sens!H1880+Sens!H1901+Sens!H1831+Sens!H1961*(Sens!H1850-Sens!H1813)+sbc_r*Sens!H1850</f>
        <v>351.893513727782</v>
      </c>
      <c r="I1968" s="6" t="n">
        <f aca="false">Sens!I1880+Sens!I1901+Sens!I1831+Sens!I1961*(Sens!I1850-Sens!I1813)+sbc_r*Sens!I1850</f>
        <v>411.129695296338</v>
      </c>
      <c r="J1968" s="6" t="n">
        <f aca="false">Sens!J1880+Sens!J1901+Sens!J1831+Sens!J1961*(Sens!J1850-Sens!J1813)+sbc_r*Sens!J1850</f>
        <v>458.109295383525</v>
      </c>
      <c r="K1968" s="6" t="n">
        <f aca="false">Sens!K1880+Sens!K1901+Sens!K1831+Sens!K1961*(Sens!K1850-Sens!K1813)+sbc_r*Sens!K1850</f>
        <v>493.546713951433</v>
      </c>
    </row>
    <row r="1969" customFormat="false" ht="17.15" hidden="false" customHeight="false" outlineLevel="0" collapsed="false">
      <c r="A1969" s="0" t="s">
        <v>1243</v>
      </c>
      <c r="B1969" s="0" t="s">
        <v>98</v>
      </c>
      <c r="F1969" s="6" t="n">
        <f aca="false">Sens!F1968-Sens!F1962-Sens!F1963-Sens!F1964-Sens!F1965-Sens!F1967</f>
        <v>65.6975444079291</v>
      </c>
      <c r="G1969" s="6" t="n">
        <f aca="false">Sens!G1968-Sens!G1962-Sens!G1963-Sens!G1964-Sens!G1965-Sens!G1967</f>
        <v>74.0390127127609</v>
      </c>
      <c r="H1969" s="6" t="n">
        <f aca="false">Sens!H1968-Sens!H1962-Sens!H1963-Sens!H1964-Sens!H1965-Sens!H1967</f>
        <v>86.5218208196608</v>
      </c>
      <c r="I1969" s="6" t="n">
        <f aca="false">Sens!I1968-Sens!I1962-Sens!I1963-Sens!I1964-Sens!I1965-Sens!I1967</f>
        <v>98.9660546578379</v>
      </c>
      <c r="J1969" s="6" t="n">
        <f aca="false">Sens!J1968-Sens!J1962-Sens!J1963-Sens!J1964-Sens!J1965-Sens!J1967</f>
        <v>110.237032377221</v>
      </c>
      <c r="K1969" s="6" t="n">
        <f aca="false">Sens!K1968-Sens!K1962-Sens!K1963-Sens!K1964-Sens!K1965-Sens!K1967</f>
        <v>119.662555932124</v>
      </c>
    </row>
    <row r="1970" customFormat="false" ht="17.15" hidden="false" customHeight="false" outlineLevel="0" collapsed="false">
      <c r="A1970" s="0" t="s">
        <v>1244</v>
      </c>
      <c r="B1970" s="0" t="s">
        <v>98</v>
      </c>
      <c r="F1970" s="6" t="n">
        <f aca="false">Sens!F1882+Sens!F1961*Sens!F1857+sbc_r*Sens!F1857</f>
        <v>26.6575473868803</v>
      </c>
      <c r="G1970" s="6" t="n">
        <f aca="false">Sens!G1882+Sens!G1961*Sens!G1857+sbc_r*Sens!G1857</f>
        <v>26.5187434782953</v>
      </c>
      <c r="H1970" s="6" t="n">
        <f aca="false">Sens!H1882+Sens!H1961*Sens!H1857+sbc_r*Sens!H1857</f>
        <v>27.4082942127081</v>
      </c>
      <c r="I1970" s="6" t="n">
        <f aca="false">Sens!I1882+Sens!I1961*Sens!I1857+sbc_r*Sens!I1857</f>
        <v>28.5236486078642</v>
      </c>
      <c r="J1970" s="6" t="n">
        <f aca="false">Sens!J1882+Sens!J1961*Sens!J1857+sbc_r*Sens!J1857</f>
        <v>29.8334945477897</v>
      </c>
      <c r="K1970" s="6" t="n">
        <f aca="false">Sens!K1882+Sens!K1961*Sens!K1857+sbc_r*Sens!K1857</f>
        <v>31.3085861319534</v>
      </c>
    </row>
    <row r="1971" customFormat="false" ht="17.15" hidden="false" customHeight="false" outlineLevel="0" collapsed="false">
      <c r="A1971" s="0" t="s">
        <v>1245</v>
      </c>
      <c r="B1971" s="0" t="s">
        <v>98</v>
      </c>
      <c r="F1971" s="6" t="n">
        <f aca="false">(Sens!F1970-Sens!F1966)*Sens!F1853/(Sens!F1853+Sens!F1855)</f>
        <v>8.7305727213093</v>
      </c>
      <c r="G1971" s="6" t="n">
        <f aca="false">(Sens!G1970-Sens!G1966)*Sens!G1853/(Sens!G1853+Sens!G1855)</f>
        <v>7.90187987583295</v>
      </c>
      <c r="H1971" s="6" t="n">
        <f aca="false">(Sens!H1970-Sens!H1966)*Sens!H1853/(Sens!H1853+Sens!H1855)</f>
        <v>7.66932422405716</v>
      </c>
      <c r="I1971" s="6" t="n">
        <f aca="false">(Sens!I1970-Sens!I1966)*Sens!I1853/(Sens!I1853+Sens!I1855)</f>
        <v>7.58036589027864</v>
      </c>
      <c r="J1971" s="6" t="n">
        <f aca="false">(Sens!J1970-Sens!J1966)*Sens!J1853/(Sens!J1853+Sens!J1855)</f>
        <v>7.62455971346066</v>
      </c>
      <c r="K1971" s="6" t="n">
        <f aca="false">(Sens!K1970-Sens!K1966)*Sens!K1853/(Sens!K1853+Sens!K1855)</f>
        <v>7.79803279689617</v>
      </c>
    </row>
    <row r="1972" customFormat="false" ht="17.15" hidden="false" customHeight="false" outlineLevel="0" collapsed="false">
      <c r="A1972" s="0" t="s">
        <v>1246</v>
      </c>
      <c r="B1972" s="0" t="s">
        <v>98</v>
      </c>
      <c r="F1972" s="6" t="n">
        <f aca="false">Sens!F1970-Sens!F1966-Sens!F1971</f>
        <v>6.72763651962123</v>
      </c>
      <c r="G1972" s="6" t="n">
        <f aca="false">Sens!G1970-Sens!G1966-Sens!G1971</f>
        <v>6.3337164217006</v>
      </c>
      <c r="H1972" s="6" t="n">
        <f aca="false">Sens!H1970-Sens!H1966-Sens!H1971</f>
        <v>6.32967803135612</v>
      </c>
      <c r="I1972" s="6" t="n">
        <f aca="false">Sens!I1970-Sens!I1966-Sens!I1971</f>
        <v>6.37809435323238</v>
      </c>
      <c r="J1972" s="6" t="n">
        <f aca="false">Sens!J1970-Sens!J1966-Sens!J1971</f>
        <v>6.47680246324929</v>
      </c>
      <c r="K1972" s="6" t="n">
        <f aca="false">Sens!K1970-Sens!K1966-Sens!K1971</f>
        <v>6.62416190908312</v>
      </c>
    </row>
    <row r="1973" customFormat="false" ht="17.15" hidden="false" customHeight="false" outlineLevel="0" collapsed="false">
      <c r="A1973" s="0" t="s">
        <v>1247</v>
      </c>
      <c r="B1973" s="0" t="s">
        <v>98</v>
      </c>
      <c r="F1973" s="6" t="n">
        <f aca="false">Sens!F1967-tax_f*(Sens!F1967-Sens!F1831)-Sens!F1828</f>
        <v>-124.244495230628</v>
      </c>
      <c r="G1973" s="6" t="n">
        <f aca="false">Sens!G1967-tax_f*(Sens!G1967-Sens!G1831)-Sens!G1828</f>
        <v>-115.022134105596</v>
      </c>
      <c r="H1973" s="6" t="n">
        <f aca="false">Sens!H1967-tax_f*(Sens!H1967-Sens!H1831)-Sens!H1828</f>
        <v>-89.8402728345417</v>
      </c>
      <c r="I1973" s="6" t="n">
        <f aca="false">Sens!I1967-tax_f*(Sens!I1967-Sens!I1831)-Sens!I1828</f>
        <v>-28.9946664030798</v>
      </c>
      <c r="J1973" s="6" t="n">
        <f aca="false">Sens!J1967-tax_f*(Sens!J1967-Sens!J1831)-Sens!J1828</f>
        <v>33.6297728123383</v>
      </c>
      <c r="K1973" s="6" t="n">
        <f aca="false">Sens!K1967-tax_f*(Sens!K1967-Sens!K1831)-Sens!K1828</f>
        <v>57.8246366919978</v>
      </c>
    </row>
    <row r="1974" customFormat="false" ht="17.15" hidden="false" customHeight="false" outlineLevel="0" collapsed="false">
      <c r="A1974" s="0" t="s">
        <v>1248</v>
      </c>
      <c r="B1974" s="0" t="s">
        <v>98</v>
      </c>
      <c r="G1974" s="6" t="n">
        <f aca="false">Sens!G1973/(1+wacc)^(Sens!G1944-Sens!F1945)</f>
        <v>-109.523206129054</v>
      </c>
      <c r="H1974" s="6" t="n">
        <f aca="false">Sens!H1973/(1+wacc)^(Sens!H1944-Sens!F1945)</f>
        <v>-77.5613294465368</v>
      </c>
      <c r="I1974" s="6" t="n">
        <f aca="false">Sens!I1973/(1+wacc)^(Sens!I1944-Sens!F1945)</f>
        <v>-22.6956044441152</v>
      </c>
      <c r="J1974" s="6" t="n">
        <f aca="false">Sens!J1973/(1+wacc)^(Sens!J1944-Sens!F1945)</f>
        <v>23.8669556243894</v>
      </c>
      <c r="K1974" s="6" t="n">
        <f aca="false">Sens!K1973/(1+wacc)^(Sens!K1944-Sens!F1945)</f>
        <v>37.2079257570111</v>
      </c>
      <c r="L1974" s="1" t="s">
        <v>1249</v>
      </c>
    </row>
    <row r="1975" customFormat="false" ht="17.15" hidden="false" customHeight="false" outlineLevel="0" collapsed="false">
      <c r="A1975" s="0" t="s">
        <v>1250</v>
      </c>
      <c r="B1975" s="0" t="s">
        <v>98</v>
      </c>
      <c r="C1975" s="6" t="n">
        <f aca="false">(Sens!K1967-Sens!K1831)*(1-tax_f)*(1+g_tv)*(1-g_tv/(wacc+ronic_prem))/(wacc-g_tv)/(1+wacc)^(Sens!K1945-Sens!F1945)</f>
        <v>207.065508824146</v>
      </c>
    </row>
    <row r="1976" customFormat="false" ht="17.15" hidden="false" customHeight="false" outlineLevel="0" collapsed="false">
      <c r="A1976" s="1" t="s">
        <v>1251</v>
      </c>
      <c r="B1976" s="0" t="s">
        <v>98</v>
      </c>
      <c r="C1976" s="6" t="n">
        <f aca="false">(SUM(Sens!G1974:K1974)+Sens!$C$1975)*(1+wacc)^(t_roll-Sens!F1945)</f>
        <v>60.2868985389713</v>
      </c>
      <c r="L1976" s="12" t="s">
        <v>1252</v>
      </c>
    </row>
    <row r="1977" customFormat="false" ht="17.15" hidden="false" customHeight="false" outlineLevel="0" collapsed="false">
      <c r="A1977" s="1" t="s">
        <v>1253</v>
      </c>
      <c r="B1977" s="0" t="s">
        <v>98</v>
      </c>
      <c r="C1977" s="6" t="n">
        <f aca="false">(w_ntm28*Sens!G1819+(1-w_ntm28)*Sens!H1819)*m_ai</f>
        <v>419.52061178452</v>
      </c>
    </row>
    <row r="1978" customFormat="false" ht="17.15" hidden="false" customHeight="false" outlineLevel="0" collapsed="false">
      <c r="A1978" s="1" t="s">
        <v>1254</v>
      </c>
      <c r="B1978" s="0" t="s">
        <v>98</v>
      </c>
      <c r="C1978" s="6" t="n">
        <f aca="false">(w_ntm28*Sens!G1969+(1-w_ntm28)*Sens!H1969)*m_cloud</f>
        <v>1079.93556381223</v>
      </c>
    </row>
    <row r="1979" customFormat="false" ht="17.15" hidden="false" customHeight="false" outlineLevel="0" collapsed="false">
      <c r="A1979" s="1" t="s">
        <v>1255</v>
      </c>
      <c r="B1979" s="0" t="s">
        <v>98</v>
      </c>
      <c r="C1979" s="6" t="n">
        <f aca="false">(w_ntm28*Sens!G1962+(1-w_ntm28)*Sens!H1962)*m_sw</f>
        <v>1045.46375771256</v>
      </c>
    </row>
    <row r="1980" customFormat="false" ht="17.15" hidden="false" customHeight="false" outlineLevel="0" collapsed="false">
      <c r="A1980" s="1" t="s">
        <v>1256</v>
      </c>
      <c r="B1980" s="0" t="s">
        <v>98</v>
      </c>
      <c r="C1980" s="6" t="n">
        <f aca="false">(w_ntm28*Sens!G1963+(1-w_ntm28)*Sens!H1963)*m_sw</f>
        <v>373.265269412401</v>
      </c>
    </row>
    <row r="1981" customFormat="false" ht="17.15" hidden="false" customHeight="false" outlineLevel="0" collapsed="false">
      <c r="A1981" s="1" t="s">
        <v>1257</v>
      </c>
      <c r="B1981" s="0" t="s">
        <v>98</v>
      </c>
      <c r="C1981" s="6" t="n">
        <f aca="false">(w_ntm28*Sens!G1964+(1-w_ntm28)*Sens!H1964)*m_sw</f>
        <v>109.354143977991</v>
      </c>
    </row>
    <row r="1982" customFormat="false" ht="17.15" hidden="false" customHeight="false" outlineLevel="0" collapsed="false">
      <c r="A1982" s="1" t="s">
        <v>1258</v>
      </c>
      <c r="B1982" s="0" t="s">
        <v>98</v>
      </c>
      <c r="C1982" s="6" t="n">
        <f aca="false">(w_ntm28*Sens!G1965+(1-w_ntm28)*Sens!H1965)*m_sw</f>
        <v>41.5735084707288</v>
      </c>
    </row>
    <row r="1983" customFormat="false" ht="17.15" hidden="false" customHeight="false" outlineLevel="0" collapsed="false">
      <c r="A1983" s="1" t="s">
        <v>1259</v>
      </c>
      <c r="B1983" s="0" t="s">
        <v>98</v>
      </c>
      <c r="C1983" s="6" t="n">
        <f aca="false">(w_ntm28*Sens!G1966+(1-w_ntm28)*Sens!H1966)*m_ads</f>
        <v>115.27235155566</v>
      </c>
    </row>
    <row r="1984" customFormat="false" ht="17.15" hidden="false" customHeight="false" outlineLevel="0" collapsed="false">
      <c r="A1984" s="1" t="s">
        <v>1260</v>
      </c>
      <c r="B1984" s="0" t="s">
        <v>98</v>
      </c>
      <c r="C1984" s="6" t="n">
        <f aca="false">(w_ntm28*Sens!G1971+(1-w_ntm28)*Sens!H1971)*m_game</f>
        <v>98.8350953089445</v>
      </c>
    </row>
    <row r="1985" customFormat="false" ht="17.15" hidden="false" customHeight="false" outlineLevel="0" collapsed="false">
      <c r="A1985" s="1" t="s">
        <v>1261</v>
      </c>
      <c r="B1985" s="0" t="s">
        <v>98</v>
      </c>
      <c r="C1985" s="6" t="n">
        <f aca="false">(w_ntm28*Sens!G1972+(1-w_ntm28)*Sens!H1972)*m_pc</f>
        <v>91.6296649480511</v>
      </c>
    </row>
    <row r="1986" customFormat="false" ht="17.15" hidden="false" customHeight="false" outlineLevel="0" collapsed="false">
      <c r="A1986" s="1" t="s">
        <v>1262</v>
      </c>
      <c r="B1986" s="0" t="s">
        <v>98</v>
      </c>
      <c r="C1986" s="6" t="n">
        <f aca="false">Sens!$C$1976+Sens!$C$1978+Sens!$C$1979+Sens!$C$1980+Sens!$C$1981+Sens!$C$1982+Sens!$C$1983+Sens!$C$1984+Sens!$C$1985</f>
        <v>3015.61625373754</v>
      </c>
    </row>
    <row r="1987" customFormat="false" ht="17.15" hidden="false" customHeight="false" outlineLevel="0" collapsed="false">
      <c r="A1987" s="1" t="s">
        <v>1263</v>
      </c>
      <c r="B1987" s="0" t="s">
        <v>98</v>
      </c>
      <c r="C1987" s="6" t="n">
        <f aca="false">(Sens!G1948-Sens!G1973)*t_stub</f>
        <v>47.2913671046374</v>
      </c>
      <c r="L1987" s="1" t="s">
        <v>1264</v>
      </c>
    </row>
    <row r="1988" customFormat="false" ht="17.15" hidden="false" customHeight="false" outlineLevel="0" collapsed="false">
      <c r="A1988" s="1" t="s">
        <v>1173</v>
      </c>
      <c r="B1988" s="0" t="s">
        <v>98</v>
      </c>
      <c r="C1988" s="6" t="n">
        <f aca="false">Sens!F1935+oai_v-Sens!F1924+Sens!$C$1987</f>
        <v>161.519637104637</v>
      </c>
      <c r="L1988" s="1" t="s">
        <v>1265</v>
      </c>
    </row>
    <row r="1989" customFormat="false" ht="17.15" hidden="false" customHeight="false" outlineLevel="0" collapsed="false">
      <c r="A1989" s="1" t="s">
        <v>1266</v>
      </c>
      <c r="B1989" s="0" t="s">
        <v>75</v>
      </c>
      <c r="C1989" s="5" t="n">
        <f aca="false">(Sens!$C$1986+Sens!$C$1988)/(Sens!F1937+dil_gap)-Sens!G1927*roll_div_q/q_per_yr</f>
        <v>422.984747889903</v>
      </c>
      <c r="L1989" s="1" t="s">
        <v>1267</v>
      </c>
    </row>
    <row r="1990" customFormat="false" ht="17.15" hidden="false" customHeight="false" outlineLevel="0" collapsed="false">
      <c r="A1990" s="1" t="s">
        <v>1268</v>
      </c>
      <c r="B1990" s="0" t="s">
        <v>75</v>
      </c>
      <c r="C1990" s="5" t="n">
        <f aca="false">w_dcf*Sens!$C$1960+(1-w_dcf)*Sens!$C$1989</f>
        <v>362.717929162889</v>
      </c>
    </row>
    <row r="1991" customFormat="false" ht="17.15" hidden="false" customHeight="false" outlineLevel="0" collapsed="false">
      <c r="A1991" s="3" t="s">
        <v>1660</v>
      </c>
    </row>
    <row r="1992" customFormat="false" ht="15" hidden="false" customHeight="false" outlineLevel="0" collapsed="false">
      <c r="A1992" s="4" t="s">
        <v>43</v>
      </c>
      <c r="B1992" s="4" t="s">
        <v>65</v>
      </c>
      <c r="C1992" s="23" t="s">
        <v>942</v>
      </c>
      <c r="D1992" s="23" t="s">
        <v>943</v>
      </c>
      <c r="E1992" s="23" t="s">
        <v>944</v>
      </c>
      <c r="F1992" s="23" t="s">
        <v>945</v>
      </c>
      <c r="G1992" s="23" t="s">
        <v>946</v>
      </c>
      <c r="H1992" s="23" t="s">
        <v>947</v>
      </c>
      <c r="I1992" s="23" t="s">
        <v>948</v>
      </c>
      <c r="J1992" s="23" t="s">
        <v>949</v>
      </c>
      <c r="K1992" s="23" t="s">
        <v>950</v>
      </c>
      <c r="L1992" s="4" t="s">
        <v>47</v>
      </c>
    </row>
    <row r="1993" customFormat="false" ht="17.15" hidden="false" customHeight="false" outlineLevel="0" collapsed="false">
      <c r="A1993" s="1" t="s">
        <v>951</v>
      </c>
      <c r="B1993" s="1" t="s">
        <v>279</v>
      </c>
      <c r="C1993" s="21" t="n">
        <v>2024</v>
      </c>
      <c r="D1993" s="21" t="n">
        <v>2025</v>
      </c>
      <c r="E1993" s="21" t="n">
        <v>2026</v>
      </c>
      <c r="F1993" s="21" t="n">
        <v>2027</v>
      </c>
      <c r="G1993" s="21" t="n">
        <v>2028</v>
      </c>
      <c r="H1993" s="21" t="n">
        <v>2029</v>
      </c>
      <c r="I1993" s="21" t="n">
        <v>2030</v>
      </c>
      <c r="J1993" s="21" t="n">
        <v>2031</v>
      </c>
      <c r="K1993" s="21" t="n">
        <v>2032</v>
      </c>
    </row>
    <row r="1994" customFormat="false" ht="17.15" hidden="false" customHeight="false" outlineLevel="0" collapsed="false">
      <c r="A1994" s="1" t="s">
        <v>952</v>
      </c>
      <c r="B1994" s="0" t="s">
        <v>459</v>
      </c>
      <c r="F1994" s="30" t="n">
        <f aca="false">pace</f>
        <v>2726.5351</v>
      </c>
      <c r="G1994" s="30" t="n">
        <f aca="false">pace</f>
        <v>2726.5351</v>
      </c>
      <c r="H1994" s="30" t="n">
        <f aca="false">pace</f>
        <v>2726.5351</v>
      </c>
      <c r="I1994" s="30" t="n">
        <f aca="false">pace+(g_tv*Sens!H1995-pace)*MIN(1,(Sens!I1993-pace_y0)/(pace_y1-pace_y0))</f>
        <v>1931.98611966667</v>
      </c>
      <c r="J1994" s="30" t="n">
        <f aca="false">pace+(g_tv*Sens!I1995-pace)*MIN(1,(Sens!J1993-pace_y0)/(pace_y1-pace_y0))</f>
        <v>1176.07686172667</v>
      </c>
      <c r="K1994" s="30" t="n">
        <f aca="false">pace+(g_tv*Sens!J1995-pace)*MIN(1,(Sens!K1993-pace_y0)/(pace_y1-pace_y0))</f>
        <v>436.1300484418</v>
      </c>
      <c r="L1994" s="12" t="s">
        <v>953</v>
      </c>
    </row>
    <row r="1995" customFormat="false" ht="17.15" hidden="false" customHeight="false" outlineLevel="0" collapsed="false">
      <c r="A1995" s="1" t="s">
        <v>954</v>
      </c>
      <c r="B1995" s="0" t="s">
        <v>459</v>
      </c>
      <c r="C1995" s="30" t="n">
        <f aca="false">mw_ext_24</f>
        <v>640</v>
      </c>
      <c r="D1995" s="30" t="n">
        <f aca="false">mw_ext_25</f>
        <v>1630</v>
      </c>
      <c r="E1995" s="30" t="n">
        <f aca="false">mw_ext_26</f>
        <v>3250</v>
      </c>
      <c r="F1995" s="30" t="n">
        <f aca="false">Sens!E1995+Sens!F1994</f>
        <v>5976.5351</v>
      </c>
      <c r="G1995" s="30" t="n">
        <f aca="false">Sens!F1995+Sens!G1994</f>
        <v>8703.0702</v>
      </c>
      <c r="H1995" s="30" t="n">
        <f aca="false">Sens!G1995+Sens!H1994</f>
        <v>11429.6053</v>
      </c>
      <c r="I1995" s="30" t="n">
        <f aca="false">Sens!H1995+Sens!I1994</f>
        <v>13361.5914196667</v>
      </c>
      <c r="J1995" s="30" t="n">
        <f aca="false">Sens!I1995+Sens!J1994</f>
        <v>14537.6682813933</v>
      </c>
      <c r="K1995" s="30" t="n">
        <f aca="false">Sens!J1995+Sens!K1994</f>
        <v>14973.7983298351</v>
      </c>
      <c r="L1995" s="1" t="s">
        <v>955</v>
      </c>
    </row>
    <row r="1996" customFormat="false" ht="17.15" hidden="false" customHeight="false" outlineLevel="0" collapsed="false">
      <c r="A1996" s="1" t="s">
        <v>956</v>
      </c>
      <c r="B1996" s="0" t="s">
        <v>459</v>
      </c>
      <c r="C1996" s="30" t="n">
        <f aca="false">rent_ext_24</f>
        <v>150</v>
      </c>
      <c r="D1996" s="30" t="n">
        <f aca="false">rent_ext_25</f>
        <v>400</v>
      </c>
      <c r="E1996" s="30" t="n">
        <f aca="false">rent_ext_26</f>
        <v>550</v>
      </c>
      <c r="F1996" s="30" t="n">
        <f aca="false">rent_ext_f</f>
        <v>756</v>
      </c>
      <c r="G1996" s="30" t="n">
        <f aca="false">rent_ext_f</f>
        <v>756</v>
      </c>
      <c r="H1996" s="30" t="n">
        <f aca="false">rent_ext_f</f>
        <v>756</v>
      </c>
      <c r="I1996" s="30" t="n">
        <f aca="false">rent_ext_f</f>
        <v>756</v>
      </c>
      <c r="J1996" s="30" t="n">
        <f aca="false">rent_ext_f</f>
        <v>756</v>
      </c>
      <c r="K1996" s="30" t="n">
        <f aca="false">rent_ext_f</f>
        <v>756</v>
      </c>
      <c r="L1996" s="1" t="s">
        <v>957</v>
      </c>
    </row>
    <row r="1997" customFormat="false" ht="17.15" hidden="false" customHeight="false" outlineLevel="0" collapsed="false">
      <c r="A1997" s="1" t="s">
        <v>958</v>
      </c>
      <c r="B1997" s="0" t="s">
        <v>459</v>
      </c>
      <c r="C1997" s="30" t="n">
        <f aca="false">Sens!C1995-Sens!C1996</f>
        <v>490</v>
      </c>
      <c r="D1997" s="30" t="n">
        <f aca="false">Sens!D1995-Sens!D1996</f>
        <v>1230</v>
      </c>
      <c r="E1997" s="30" t="n">
        <f aca="false">Sens!E1995-Sens!E1996</f>
        <v>2700</v>
      </c>
      <c r="F1997" s="30" t="n">
        <f aca="false">Sens!F1995-Sens!F1996</f>
        <v>5220.5351</v>
      </c>
      <c r="G1997" s="30" t="n">
        <f aca="false">Sens!G1995-Sens!G1996</f>
        <v>7947.0702</v>
      </c>
      <c r="H1997" s="30" t="n">
        <f aca="false">Sens!H1995-Sens!H1996</f>
        <v>10673.6053</v>
      </c>
      <c r="I1997" s="30" t="n">
        <f aca="false">Sens!I1995-Sens!I1996</f>
        <v>12605.5914196667</v>
      </c>
      <c r="J1997" s="30" t="n">
        <f aca="false">Sens!J1995-Sens!J1996</f>
        <v>13781.6682813933</v>
      </c>
      <c r="K1997" s="30" t="n">
        <f aca="false">Sens!K1995-Sens!K1996</f>
        <v>14217.7983298351</v>
      </c>
    </row>
    <row r="1998" customFormat="false" ht="17.15" hidden="false" customHeight="false" outlineLevel="0" collapsed="false">
      <c r="A1998" s="1" t="s">
        <v>959</v>
      </c>
      <c r="B1998" s="0" t="s">
        <v>459</v>
      </c>
      <c r="C1998" s="30" t="n">
        <f aca="false">Sens!C1997/ext_sh_lo</f>
        <v>980</v>
      </c>
      <c r="D1998" s="30" t="n">
        <f aca="false">Sens!D1997/ext_sh_lo</f>
        <v>2460</v>
      </c>
      <c r="E1998" s="30" t="n">
        <f aca="false">Sens!E1997/ext_sh_lo</f>
        <v>5400</v>
      </c>
      <c r="F1998" s="30" t="n">
        <f aca="false">Sens!F1997/ext_sh_lo</f>
        <v>10441.0702</v>
      </c>
      <c r="G1998" s="30" t="n">
        <f aca="false">Sens!G1997/ext_sh_lo</f>
        <v>15894.1404</v>
      </c>
      <c r="H1998" s="30" t="n">
        <f aca="false">Sens!H1997/ext_sh_lo</f>
        <v>21347.2106</v>
      </c>
      <c r="I1998" s="30" t="n">
        <f aca="false">Sens!I1997/ext_sh_lo</f>
        <v>25211.1828393333</v>
      </c>
      <c r="J1998" s="30" t="n">
        <f aca="false">Sens!J1997/ext_sh_lo</f>
        <v>27563.3365627867</v>
      </c>
      <c r="K1998" s="30" t="n">
        <f aca="false">Sens!K1997/ext_sh_lo</f>
        <v>28435.5966596703</v>
      </c>
      <c r="L1998" s="1" t="s">
        <v>960</v>
      </c>
    </row>
    <row r="1999" customFormat="false" ht="17.15" hidden="false" customHeight="false" outlineLevel="0" collapsed="false">
      <c r="A1999" s="1" t="s">
        <v>961</v>
      </c>
      <c r="B1999" s="0" t="s">
        <v>459</v>
      </c>
      <c r="C1999" s="30" t="n">
        <f aca="false">Sens!C1998-Sens!C1997</f>
        <v>490</v>
      </c>
      <c r="D1999" s="30" t="n">
        <f aca="false">Sens!D1998-Sens!D1997</f>
        <v>1230</v>
      </c>
      <c r="E1999" s="30" t="n">
        <f aca="false">Sens!E1998-Sens!E1997</f>
        <v>2700</v>
      </c>
      <c r="F1999" s="30" t="n">
        <f aca="false">Sens!F1998-Sens!F1997</f>
        <v>5220.5351</v>
      </c>
      <c r="G1999" s="30" t="n">
        <f aca="false">Sens!G1998-Sens!G1997</f>
        <v>7947.0702</v>
      </c>
      <c r="H1999" s="30" t="n">
        <f aca="false">Sens!H1998-Sens!H1997</f>
        <v>10673.6053</v>
      </c>
      <c r="I1999" s="30" t="n">
        <f aca="false">Sens!I1998-Sens!I1997</f>
        <v>12605.5914196667</v>
      </c>
      <c r="J1999" s="30" t="n">
        <f aca="false">Sens!J1998-Sens!J1997</f>
        <v>13781.6682813933</v>
      </c>
      <c r="K1999" s="30" t="n">
        <f aca="false">Sens!K1998-Sens!K1997</f>
        <v>14217.7983298351</v>
      </c>
    </row>
    <row r="2000" customFormat="false" ht="17.15" hidden="false" customHeight="false" outlineLevel="0" collapsed="false">
      <c r="A2000" s="1" t="s">
        <v>962</v>
      </c>
      <c r="B2000" s="0" t="s">
        <v>459</v>
      </c>
      <c r="C2000" s="30" t="n">
        <f aca="false">Sens!C1998</f>
        <v>980</v>
      </c>
      <c r="D2000" s="30" t="n">
        <f aca="false">Sens!D1998-Sens!C1998</f>
        <v>1480</v>
      </c>
      <c r="E2000" s="30" t="n">
        <f aca="false">Sens!E1998-Sens!D1998</f>
        <v>2940</v>
      </c>
      <c r="F2000" s="30" t="n">
        <f aca="false">Sens!F1998-Sens!E1998</f>
        <v>5041.0702</v>
      </c>
      <c r="G2000" s="30" t="n">
        <f aca="false">Sens!G1998-Sens!F1998</f>
        <v>5453.0702</v>
      </c>
      <c r="H2000" s="30" t="n">
        <f aca="false">Sens!H1998-Sens!G1998</f>
        <v>5453.0702</v>
      </c>
      <c r="I2000" s="30" t="n">
        <f aca="false">Sens!I1998-Sens!H1998</f>
        <v>3863.97223933333</v>
      </c>
      <c r="J2000" s="30" t="n">
        <f aca="false">Sens!J1998-Sens!I1998</f>
        <v>2352.15372345334</v>
      </c>
      <c r="K2000" s="30" t="n">
        <f aca="false">Sens!K1998-Sens!J1998</f>
        <v>872.260096883598</v>
      </c>
    </row>
    <row r="2001" customFormat="false" ht="17.15" hidden="false" customHeight="false" outlineLevel="0" collapsed="false">
      <c r="A2001" s="1" t="s">
        <v>963</v>
      </c>
      <c r="B2001" s="0" t="s">
        <v>459</v>
      </c>
      <c r="D2001" s="30" t="n">
        <f aca="false">Sens!D1995-Sens!C1995</f>
        <v>990</v>
      </c>
      <c r="E2001" s="30" t="n">
        <f aca="false">Sens!E1995-Sens!D1995</f>
        <v>1620</v>
      </c>
      <c r="F2001" s="30" t="n">
        <f aca="false">Sens!F1995-Sens!E1995</f>
        <v>2726.5351</v>
      </c>
      <c r="G2001" s="30" t="n">
        <f aca="false">Sens!G1995-Sens!F1995</f>
        <v>2726.5351</v>
      </c>
      <c r="H2001" s="30" t="n">
        <f aca="false">Sens!H1995-Sens!G1995</f>
        <v>2726.5351</v>
      </c>
      <c r="I2001" s="30" t="n">
        <f aca="false">Sens!I1995-Sens!H1995</f>
        <v>1931.98611966667</v>
      </c>
      <c r="J2001" s="30" t="n">
        <f aca="false">Sens!J1995-Sens!I1995</f>
        <v>1176.07686172667</v>
      </c>
      <c r="K2001" s="30" t="n">
        <f aca="false">Sens!K1995-Sens!J1995</f>
        <v>436.130048441799</v>
      </c>
    </row>
    <row r="2002" customFormat="false" ht="17.15" hidden="false" customHeight="false" outlineLevel="0" collapsed="false">
      <c r="A2002" s="1" t="s">
        <v>964</v>
      </c>
      <c r="B2002" s="0" t="s">
        <v>459</v>
      </c>
      <c r="F2002" s="30" t="n">
        <f aca="false">Sens!F2021*ext_sh_lo</f>
        <v>0</v>
      </c>
      <c r="G2002" s="30" t="n">
        <f aca="false">Sens!G2021*ext_sh_lo</f>
        <v>0</v>
      </c>
      <c r="H2002" s="30" t="n">
        <f aca="false">Sens!H2021*ext_sh_lo</f>
        <v>0</v>
      </c>
      <c r="I2002" s="30" t="n">
        <f aca="false">Sens!I2021*ext_sh_lo</f>
        <v>490</v>
      </c>
      <c r="J2002" s="30" t="n">
        <f aca="false">Sens!J2021*ext_sh_lo</f>
        <v>740</v>
      </c>
      <c r="K2002" s="30" t="n">
        <f aca="false">Sens!K2021*ext_sh_lo</f>
        <v>1470</v>
      </c>
      <c r="L2002" s="1" t="s">
        <v>965</v>
      </c>
    </row>
    <row r="2003" customFormat="false" ht="17.15" hidden="false" customHeight="false" outlineLevel="0" collapsed="false">
      <c r="A2003" s="1" t="s">
        <v>966</v>
      </c>
      <c r="B2003" s="0" t="s">
        <v>459</v>
      </c>
      <c r="C2003" s="30" t="n">
        <f aca="false">mix_h*Sens!C1995</f>
        <v>128</v>
      </c>
      <c r="D2003" s="30" t="n">
        <f aca="false">mix_h*Sens!D1995</f>
        <v>326</v>
      </c>
      <c r="E2003" s="30" t="n">
        <f aca="false">mix_h*Sens!E1995</f>
        <v>650</v>
      </c>
      <c r="F2003" s="30" t="n">
        <f aca="false">Sens!E2003-Sens!F2002*mix_h</f>
        <v>650</v>
      </c>
      <c r="G2003" s="30" t="n">
        <f aca="false">Sens!F2003-Sens!G2002*mix_h</f>
        <v>650</v>
      </c>
      <c r="H2003" s="30" t="n">
        <f aca="false">Sens!G2003-Sens!H2002*mix_h</f>
        <v>650</v>
      </c>
      <c r="I2003" s="30" t="n">
        <f aca="false">Sens!H2003-Sens!I2002*mix_h</f>
        <v>552</v>
      </c>
      <c r="J2003" s="30" t="n">
        <f aca="false">Sens!I2003-Sens!J2002*mix_h</f>
        <v>404</v>
      </c>
      <c r="K2003" s="30" t="n">
        <f aca="false">Sens!J2003-Sens!K2002*mix_h</f>
        <v>110</v>
      </c>
    </row>
    <row r="2004" customFormat="false" ht="17.15" hidden="false" customHeight="false" outlineLevel="0" collapsed="false">
      <c r="A2004" s="1" t="s">
        <v>967</v>
      </c>
      <c r="B2004" s="0" t="s">
        <v>459</v>
      </c>
      <c r="C2004" s="30" t="n">
        <f aca="false">mix_g2*Sens!C1995</f>
        <v>288</v>
      </c>
      <c r="D2004" s="30" t="n">
        <f aca="false">mix_g2*Sens!D1995</f>
        <v>733.5</v>
      </c>
      <c r="E2004" s="30" t="n">
        <f aca="false">mix_g2*Sens!E1995</f>
        <v>1462.5</v>
      </c>
      <c r="F2004" s="30" t="n">
        <f aca="false">Sens!E2004-Sens!F2002*mix_g2</f>
        <v>1462.5</v>
      </c>
      <c r="G2004" s="30" t="n">
        <f aca="false">Sens!F2004-Sens!G2002*mix_g2</f>
        <v>1462.5</v>
      </c>
      <c r="H2004" s="30" t="n">
        <f aca="false">Sens!G2004-Sens!H2002*mix_g2</f>
        <v>1462.5</v>
      </c>
      <c r="I2004" s="30" t="n">
        <f aca="false">Sens!H2004-Sens!I2002*mix_g2</f>
        <v>1242</v>
      </c>
      <c r="J2004" s="30" t="n">
        <f aca="false">Sens!I2004-Sens!J2002*mix_g2</f>
        <v>909</v>
      </c>
      <c r="K2004" s="30" t="n">
        <f aca="false">Sens!J2004-Sens!K2002*mix_g2</f>
        <v>247.5</v>
      </c>
    </row>
    <row r="2005" customFormat="false" ht="17.15" hidden="false" customHeight="false" outlineLevel="0" collapsed="false">
      <c r="A2005" s="1" t="s">
        <v>968</v>
      </c>
      <c r="B2005" s="0" t="s">
        <v>459</v>
      </c>
      <c r="C2005" s="30" t="n">
        <f aca="false">mix_g3*Sens!C1995</f>
        <v>224</v>
      </c>
      <c r="D2005" s="30" t="n">
        <f aca="false">mix_g3*Sens!D1995</f>
        <v>570.5</v>
      </c>
      <c r="E2005" s="30" t="n">
        <f aca="false">mix_g3*Sens!E1995</f>
        <v>1137.5</v>
      </c>
      <c r="F2005" s="30" t="n">
        <f aca="false">Sens!E2005+(Sens!F2001+Sens!F2002)*(a_g3_27-nonnv*a_mai)-Sens!F2002*mix_g3</f>
        <v>2773.42106</v>
      </c>
      <c r="G2005" s="30" t="n">
        <f aca="false">Sens!F2005+(Sens!G2001+Sens!G2002)*(a_g3_28-nonnv*a_mai)-Sens!G2002*mix_g3</f>
        <v>3318.72808</v>
      </c>
      <c r="H2005" s="30" t="n">
        <f aca="false">Sens!G2005+(Sens!H2001+Sens!H2002)*(a_g3_29-nonnv*a_mai)-Sens!H2002*mix_g3</f>
        <v>3318.72808</v>
      </c>
      <c r="I2005" s="30" t="n">
        <f aca="false">Sens!H2005+(Sens!I2001+Sens!I2002)*(a_g3_29-nonnv*a_mai)-Sens!I2002*mix_g3</f>
        <v>3147.22808</v>
      </c>
      <c r="J2005" s="30" t="n">
        <f aca="false">Sens!I2005+(Sens!J2001+Sens!J2002)*(a_g3_29-nonnv*a_mai)-Sens!J2002*mix_g3</f>
        <v>2888.22808</v>
      </c>
      <c r="K2005" s="30" t="n">
        <f aca="false">Sens!J2005+(Sens!K2001+Sens!K2002)*(a_g3_29-nonnv*a_mai)-Sens!K2002*mix_g3</f>
        <v>2373.72808</v>
      </c>
    </row>
    <row r="2006" customFormat="false" ht="17.15" hidden="false" customHeight="false" outlineLevel="0" collapsed="false">
      <c r="A2006" s="1" t="s">
        <v>969</v>
      </c>
      <c r="B2006" s="0" t="s">
        <v>459</v>
      </c>
      <c r="C2006" s="30" t="n">
        <v>0</v>
      </c>
      <c r="D2006" s="30" t="n">
        <v>0</v>
      </c>
      <c r="E2006" s="30" t="n">
        <v>0</v>
      </c>
      <c r="F2006" s="30" t="n">
        <f aca="false">Sens!E2006+(Sens!F2001+Sens!F2002)*nonnv*a_mai</f>
        <v>272.65351</v>
      </c>
      <c r="G2006" s="30" t="n">
        <f aca="false">Sens!F2006+(Sens!G2001+Sens!G2002)*nonnv*a_mai</f>
        <v>545.30702</v>
      </c>
      <c r="H2006" s="30" t="n">
        <f aca="false">Sens!G2006+(Sens!H2001+Sens!H2002)*nonnv*a_mai</f>
        <v>817.96053</v>
      </c>
      <c r="I2006" s="30" t="n">
        <f aca="false">Sens!H2006+(Sens!I2001+Sens!I2002)*nonnv*a_mai</f>
        <v>1060.15914196667</v>
      </c>
      <c r="J2006" s="30" t="n">
        <f aca="false">Sens!I2006+(Sens!J2001+Sens!J2002)*nonnv*a_mai</f>
        <v>1251.76682813933</v>
      </c>
      <c r="K2006" s="30" t="n">
        <f aca="false">Sens!J2006+(Sens!K2001+Sens!K2002)*nonnv*a_mai</f>
        <v>1442.37983298351</v>
      </c>
      <c r="L2006" s="12" t="s">
        <v>970</v>
      </c>
    </row>
    <row r="2007" customFormat="false" ht="17.15" hidden="false" customHeight="false" outlineLevel="0" collapsed="false">
      <c r="A2007" s="1" t="s">
        <v>971</v>
      </c>
      <c r="B2007" s="0" t="s">
        <v>459</v>
      </c>
      <c r="C2007" s="30" t="n">
        <v>0</v>
      </c>
      <c r="D2007" s="30" t="n">
        <v>0</v>
      </c>
      <c r="E2007" s="30" t="n">
        <v>0</v>
      </c>
      <c r="F2007" s="30" t="n">
        <f aca="false">Sens!E2007+(Sens!F2001+Sens!F2002)*(1-a_g3_27)</f>
        <v>817.96053</v>
      </c>
      <c r="G2007" s="30" t="n">
        <f aca="false">Sens!F2007+(Sens!G2001+Sens!G2002)*(1-a_g3_28)</f>
        <v>2726.5351</v>
      </c>
      <c r="H2007" s="30" t="n">
        <f aca="false">Sens!G2007+(Sens!H2001+Sens!H2002)*(1-a_g3_29)</f>
        <v>5180.41669</v>
      </c>
      <c r="I2007" s="30" t="n">
        <f aca="false">Sens!H2007+(Sens!I2001+Sens!I2002)*(1-a_g3_29)</f>
        <v>7360.2041977</v>
      </c>
      <c r="J2007" s="30" t="n">
        <f aca="false">Sens!I2007+(Sens!J2001+Sens!J2002)*(1-a_g3_29)</f>
        <v>9084.673373254</v>
      </c>
      <c r="K2007" s="30" t="n">
        <f aca="false">Sens!J2007+(Sens!K2001+Sens!K2002)*(1-a_g3_29)</f>
        <v>10800.1904168516</v>
      </c>
    </row>
    <row r="2008" customFormat="false" ht="17.15" hidden="false" customHeight="false" outlineLevel="0" collapsed="false">
      <c r="A2008" s="1" t="s">
        <v>972</v>
      </c>
      <c r="B2008" s="0" t="s">
        <v>403</v>
      </c>
      <c r="C2008" s="15" t="n">
        <f aca="false">(Sens!C2003*tk_hold_h100+Sens!C2004*tk_hold_gb200+Sens!C2005*tk_hold_gb300+Sens!C2007*tk_hold_vr200+Sens!C2006*nv_hold_mai*tk_hold_vr200)/Sens!C1995</f>
        <v>9.7235358126469</v>
      </c>
      <c r="D2008" s="15" t="n">
        <f aca="false">(Sens!D2003*tk_hold_h100+Sens!D2004*tk_hold_gb200+Sens!D2005*tk_hold_gb300+Sens!D2007*tk_hold_vr200+Sens!D2006*nv_hold_mai*tk_hold_vr200)/Sens!D1995</f>
        <v>9.7235358126469</v>
      </c>
      <c r="E2008" s="15" t="n">
        <f aca="false">(Sens!E2003*tk_hold_h100+Sens!E2004*tk_hold_gb200+Sens!E2005*tk_hold_gb300+Sens!E2007*tk_hold_vr200+Sens!E2006*nv_hold_mai*tk_hold_vr200)/Sens!E1995</f>
        <v>9.7235358126469</v>
      </c>
      <c r="F2008" s="15" t="n">
        <f aca="false">(Sens!F2003*tk_hold_h100+Sens!F2004*tk_hold_gb200+Sens!F2005*tk_hold_gb300+Sens!F2007*tk_hold_vr200+Sens!F2006*nv_hold_mai*tk_hold_vr200)/Sens!F1995</f>
        <v>10.2195353876665</v>
      </c>
      <c r="G2008" s="15" t="n">
        <f aca="false">(Sens!G2003*tk_hold_h100+Sens!G2004*tk_hold_gb200+Sens!G2005*tk_hold_gb300+Sens!G2007*tk_hold_vr200+Sens!G2006*nv_hold_mai*tk_hold_vr200)/Sens!G1995</f>
        <v>10.5725598017306</v>
      </c>
      <c r="H2008" s="15" t="n">
        <f aca="false">(Sens!H2003*tk_hold_h100+Sens!H2004*tk_hold_gb200+Sens!H2005*tk_hold_gb300+Sens!H2007*tk_hold_vr200+Sens!H2006*nv_hold_mai*tk_hold_vr200)/Sens!H1995</f>
        <v>10.8210427149036</v>
      </c>
      <c r="I2008" s="15" t="n">
        <f aca="false">(Sens!I2003*tk_hold_h100+Sens!I2004*tk_hold_gb200+Sens!I2005*tk_hold_gb300+Sens!I2007*tk_hold_vr200+Sens!I2006*nv_hold_mai*tk_hold_vr200)/Sens!I1995</f>
        <v>11.0050618241982</v>
      </c>
      <c r="J2008" s="15" t="n">
        <f aca="false">(Sens!J2003*tk_hold_h100+Sens!J2004*tk_hold_gb200+Sens!J2005*tk_hold_gb300+Sens!J2007*tk_hold_vr200+Sens!J2006*nv_hold_mai*tk_hold_vr200)/Sens!J1995</f>
        <v>11.1505789658881</v>
      </c>
      <c r="K2008" s="15" t="n">
        <f aca="false">(Sens!K2003*tk_hold_h100+Sens!K2004*tk_hold_gb200+Sens!K2005*tk_hold_gb300+Sens!K2007*tk_hold_vr200+Sens!K2006*nv_hold_mai*tk_hold_vr200)/Sens!K1995</f>
        <v>11.3496914757183</v>
      </c>
      <c r="L2008" s="1" t="s">
        <v>973</v>
      </c>
    </row>
    <row r="2009" customFormat="false" ht="17.15" hidden="false" customHeight="false" outlineLevel="0" collapsed="false">
      <c r="A2009" s="1" t="s">
        <v>974</v>
      </c>
      <c r="B2009" s="0" t="s">
        <v>403</v>
      </c>
      <c r="C2009" s="15" t="n">
        <f aca="false">(Sens!C2003*tk_hold_h100+Sens!C2004*tk_hold_gb200+Sens!C2005*tk_hold_gb300+Sens!C2007*tk_hold_vr200+Sens!C2006*nv_out_mai*tk_hold_vr200)/Sens!C1995</f>
        <v>9.7235358126469</v>
      </c>
      <c r="D2009" s="15" t="n">
        <f aca="false">(Sens!D2003*tk_hold_h100+Sens!D2004*tk_hold_gb200+Sens!D2005*tk_hold_gb300+Sens!D2007*tk_hold_vr200+Sens!D2006*nv_out_mai*tk_hold_vr200)/Sens!D1995</f>
        <v>9.7235358126469</v>
      </c>
      <c r="E2009" s="15" t="n">
        <f aca="false">(Sens!E2003*tk_hold_h100+Sens!E2004*tk_hold_gb200+Sens!E2005*tk_hold_gb300+Sens!E2007*tk_hold_vr200+Sens!E2006*nv_out_mai*tk_hold_vr200)/Sens!E1995</f>
        <v>9.7235358126469</v>
      </c>
      <c r="F2009" s="15" t="n">
        <f aca="false">(Sens!F2003*tk_hold_h100+Sens!F2004*tk_hold_gb200+Sens!F2005*tk_hold_gb300+Sens!F2007*tk_hold_vr200+Sens!F2006*nv_out_mai*tk_hold_vr200)/Sens!F1995</f>
        <v>10.247422093969</v>
      </c>
      <c r="G2009" s="15" t="n">
        <f aca="false">(Sens!G2003*tk_hold_h100+Sens!G2004*tk_hold_gb200+Sens!G2005*tk_hold_gb300+Sens!G2007*tk_hold_vr200+Sens!G2006*nv_out_mai*tk_hold_vr200)/Sens!G1995</f>
        <v>10.6108602808053</v>
      </c>
      <c r="H2009" s="15" t="n">
        <f aca="false">(Sens!H2003*tk_hold_h100+Sens!H2004*tk_hold_gb200+Sens!H2005*tk_hold_gb300+Sens!H2007*tk_hold_vr200+Sens!H2006*nv_out_mai*tk_hold_vr200)/Sens!H1995</f>
        <v>10.8647885507393</v>
      </c>
      <c r="I2009" s="15" t="n">
        <f aca="false">(Sens!I2003*tk_hold_h100+Sens!I2004*tk_hold_gb200+Sens!I2005*tk_hold_gb300+Sens!I2007*tk_hold_vr200+Sens!I2006*nv_out_mai*tk_hold_vr200)/Sens!I1995</f>
        <v>11.0535625770025</v>
      </c>
      <c r="J2009" s="15" t="n">
        <f aca="false">(Sens!J2003*tk_hold_h100+Sens!J2004*tk_hold_gb200+Sens!J2005*tk_hold_gb300+Sens!J2007*tk_hold_vr200+Sens!J2006*nv_out_mai*tk_hold_vr200)/Sens!J1995</f>
        <v>11.2032127128058</v>
      </c>
      <c r="K2009" s="15" t="n">
        <f aca="false">(Sens!K2003*tk_hold_h100+Sens!K2004*tk_hold_gb200+Sens!K2005*tk_hold_gb300+Sens!K2007*tk_hold_vr200+Sens!K2006*nv_out_mai*tk_hold_vr200)/Sens!K1995</f>
        <v>11.4085735724225</v>
      </c>
      <c r="L2009" s="12" t="s">
        <v>975</v>
      </c>
    </row>
    <row r="2010" customFormat="false" ht="17.15" hidden="false" customHeight="false" outlineLevel="0" collapsed="false">
      <c r="A2010" s="0" t="s">
        <v>976</v>
      </c>
      <c r="B2010" s="0" t="s">
        <v>229</v>
      </c>
      <c r="C2010" s="15" t="n">
        <f aca="false">k_B</f>
        <v>1.17213932619116</v>
      </c>
      <c r="D2010" s="15" t="n">
        <f aca="false">k_B</f>
        <v>1.17213932619116</v>
      </c>
      <c r="E2010" s="15" t="n">
        <f aca="false">k_B</f>
        <v>1.17213932619116</v>
      </c>
      <c r="F2010" s="15" t="n">
        <f aca="false">(k_B+((ls_A*k_long+(1-ls_A)*k_spot)-k_B)*MIN(1,(Sens!F1993-base_fy)/k_ramp))</f>
        <v>1.25022828131298</v>
      </c>
      <c r="G2010" s="15" t="n">
        <f aca="false">(k_B+((ls_A*k_long+(1-ls_A)*k_spot)-k_B)*MIN(1,(Sens!G1993-base_fy)/k_ramp))</f>
        <v>1.3283172364348</v>
      </c>
      <c r="H2010" s="15" t="n">
        <f aca="false">(k_B+((ls_A*k_long+(1-ls_A)*k_spot)-k_B)*MIN(1,(Sens!H1993-base_fy)/k_ramp))</f>
        <v>1.40640619155662</v>
      </c>
      <c r="I2010" s="15" t="n">
        <f aca="false">(k_B+((ls_A*k_long+(1-ls_A)*k_spot)-k_B)*MIN(1,(Sens!I1993-base_fy)/k_ramp))</f>
        <v>1.40640619155662</v>
      </c>
      <c r="J2010" s="15" t="n">
        <f aca="false">(k_B+((ls_A*k_long+(1-ls_A)*k_spot)-k_B)*MIN(1,(Sens!J1993-base_fy)/k_ramp))</f>
        <v>1.40640619155662</v>
      </c>
      <c r="K2010" s="15" t="n">
        <f aca="false">(k_B+((ls_A*k_long+(1-ls_A)*k_spot)-k_B)*MIN(1,(Sens!K1993-base_fy)/k_ramp))</f>
        <v>1.40640619155662</v>
      </c>
      <c r="L2010" s="1" t="s">
        <v>977</v>
      </c>
    </row>
    <row r="2011" customFormat="false" ht="17.15" hidden="false" customHeight="false" outlineLevel="0" collapsed="false">
      <c r="A2011" s="1" t="s">
        <v>978</v>
      </c>
      <c r="B2011" s="0" t="s">
        <v>403</v>
      </c>
      <c r="C2011" s="15" t="n">
        <f aca="false">Sens!C2009*Sens!C2010*chip_f</f>
        <v>11.3973387156315</v>
      </c>
      <c r="D2011" s="15" t="n">
        <f aca="false">Sens!D2009*Sens!D2010*chip_f</f>
        <v>11.3973387156315</v>
      </c>
      <c r="E2011" s="15" t="n">
        <f aca="false">Sens!E2009*Sens!E2010*chip_f</f>
        <v>11.3973387156315</v>
      </c>
      <c r="F2011" s="15" t="n">
        <f aca="false">Sens!F2009*Sens!F2010*chip_f</f>
        <v>12.8116169124314</v>
      </c>
      <c r="G2011" s="15" t="n">
        <f aca="false">Sens!G2009*Sens!G2010*chip_f</f>
        <v>14.094588604395</v>
      </c>
      <c r="H2011" s="15" t="n">
        <f aca="false">Sens!H2009*Sens!H2010*chip_f</f>
        <v>15.2803058877132</v>
      </c>
      <c r="I2011" s="15" t="n">
        <f aca="false">Sens!I2009*Sens!I2010*chip_f</f>
        <v>15.5457988470549</v>
      </c>
      <c r="J2011" s="15" t="n">
        <f aca="false">Sens!J2009*Sens!J2010*chip_f</f>
        <v>15.7562677246158</v>
      </c>
      <c r="K2011" s="15" t="n">
        <f aca="false">Sens!K2009*Sens!K2010*chip_f</f>
        <v>16.0450885090842</v>
      </c>
      <c r="L2011" s="1" t="s">
        <v>979</v>
      </c>
    </row>
    <row r="2012" customFormat="false" ht="17.15" hidden="false" customHeight="false" outlineLevel="0" collapsed="false">
      <c r="A2012" s="0" t="s">
        <v>980</v>
      </c>
      <c r="B2012" s="0" t="s">
        <v>98</v>
      </c>
      <c r="D2012" s="6" t="n">
        <f aca="false">(Sens!C1995+Sens!D1995)/2*Sens!D2011/1000</f>
        <v>12.9359794422418</v>
      </c>
      <c r="E2012" s="6" t="n">
        <f aca="false">(Sens!D1995+Sens!E1995)/2*Sens!E2011/1000</f>
        <v>27.8095064661409</v>
      </c>
      <c r="F2012" s="6" t="n">
        <f aca="false">(Sens!E1995+Sens!F1995)/2*Sens!F2011/1000</f>
        <v>59.1034165651511</v>
      </c>
      <c r="G2012" s="6" t="n">
        <f aca="false">(Sens!F1995+Sens!G1995)/2*Sens!G2011/1000</f>
        <v>103.451498789198</v>
      </c>
      <c r="H2012" s="6" t="n">
        <f aca="false">(Sens!G1995+Sens!H1995)/2*Sens!H2011/1000</f>
        <v>153.816719989035</v>
      </c>
      <c r="I2012" s="6" t="n">
        <f aca="false">(Sens!H1995+Sens!I1995)/2*Sens!I2011/1000</f>
        <v>192.699478690852</v>
      </c>
      <c r="J2012" s="6" t="n">
        <f aca="false">(Sens!I1995+Sens!J1995)/2*Sens!J2011/1000</f>
        <v>219.794102584244</v>
      </c>
      <c r="K2012" s="6" t="n">
        <f aca="false">(Sens!J1995+Sens!K1995)/2*Sens!K2011/1000</f>
        <v>236.757046905022</v>
      </c>
      <c r="L2012" s="12" t="s">
        <v>981</v>
      </c>
    </row>
    <row r="2013" customFormat="false" ht="17.15" hidden="false" customHeight="false" outlineLevel="0" collapsed="false">
      <c r="A2013" s="1" t="s">
        <v>982</v>
      </c>
      <c r="B2013" s="0" t="s">
        <v>403</v>
      </c>
      <c r="C2013" s="15" t="n">
        <f aca="false">(Sens!C2003*tk_opex_h100+Sens!C2004*tk_opex_gb200+Sens!C2005*tk_opex_gb300+(Sens!C2007+Sens!C2006)*tk_opex_vr200)/Sens!C1995</f>
        <v>1.88636041306092</v>
      </c>
      <c r="D2013" s="15" t="n">
        <f aca="false">(Sens!D2003*tk_opex_h100+Sens!D2004*tk_opex_gb200+Sens!D2005*tk_opex_gb300+(Sens!D2007+Sens!D2006)*tk_opex_vr200)/Sens!D1995</f>
        <v>1.88636041306092</v>
      </c>
      <c r="E2013" s="15" t="n">
        <f aca="false">(Sens!E2003*tk_opex_h100+Sens!E2004*tk_opex_gb200+Sens!E2005*tk_opex_gb300+(Sens!E2007+Sens!E2006)*tk_opex_vr200)/Sens!E1995</f>
        <v>1.88636041306092</v>
      </c>
      <c r="F2013" s="15" t="n">
        <f aca="false">(Sens!F2003*tk_opex_h100+Sens!F2004*tk_opex_gb200+Sens!F2005*tk_opex_gb300+(Sens!F2007+Sens!F2006)*tk_opex_vr200)/Sens!F1995</f>
        <v>1.95051159746876</v>
      </c>
      <c r="G2013" s="15" t="n">
        <f aca="false">(Sens!G2003*tk_opex_h100+Sens!G2004*tk_opex_gb200+Sens!G2005*tk_opex_gb300+(Sens!G2007+Sens!G2006)*tk_opex_vr200)/Sens!G1995</f>
        <v>1.98836003669956</v>
      </c>
      <c r="H2013" s="15" t="n">
        <f aca="false">(Sens!H2003*tk_opex_h100+Sens!H2004*tk_opex_gb200+Sens!H2005*tk_opex_gb300+(Sens!H2007+Sens!H2006)*tk_opex_vr200)/Sens!H1995</f>
        <v>2.01344013834343</v>
      </c>
      <c r="I2013" s="15" t="n">
        <f aca="false">(Sens!I2003*tk_opex_h100+Sens!I2004*tk_opex_gb200+Sens!I2005*tk_opex_gb300+(Sens!I2007+Sens!I2006)*tk_opex_vr200)/Sens!I1995</f>
        <v>2.03261166882178</v>
      </c>
      <c r="J2013" s="15" t="n">
        <f aca="false">(Sens!J2003*tk_opex_h100+Sens!J2004*tk_opex_gb200+Sens!J2005*tk_opex_gb300+(Sens!J2007+Sens!J2006)*tk_opex_vr200)/Sens!J1995</f>
        <v>2.04808073288745</v>
      </c>
      <c r="K2013" s="15" t="n">
        <f aca="false">(Sens!K2003*tk_opex_h100+Sens!K2004*tk_opex_gb200+Sens!K2005*tk_opex_gb300+(Sens!K2007+Sens!K2006)*tk_opex_vr200)/Sens!K1995</f>
        <v>2.06973825807449</v>
      </c>
      <c r="L2013" s="12" t="s">
        <v>983</v>
      </c>
    </row>
    <row r="2014" customFormat="false" ht="17.15" hidden="false" customHeight="false" outlineLevel="0" collapsed="false">
      <c r="A2014" s="0" t="s">
        <v>984</v>
      </c>
      <c r="B2014" s="0" t="s">
        <v>98</v>
      </c>
      <c r="D2014" s="6" t="n">
        <f aca="false">(Sens!C1998+Sens!D1998)/2*Sens!D2013/1000</f>
        <v>3.24453991046478</v>
      </c>
      <c r="E2014" s="6" t="n">
        <f aca="false">(Sens!D1998+Sens!E1998)/2*Sens!E2013/1000</f>
        <v>7.41339642332941</v>
      </c>
      <c r="F2014" s="6" t="n">
        <f aca="false">(Sens!E1998+Sens!F1998)/2*Sens!F2013/1000</f>
        <v>15.4490955707084</v>
      </c>
      <c r="G2014" s="6" t="n">
        <f aca="false">(Sens!F1998+Sens!G1998)/2*Sens!G2013/1000</f>
        <v>26.1819401575533</v>
      </c>
      <c r="H2014" s="6" t="n">
        <f aca="false">(Sens!G1998+Sens!H1998)/2*Sens!H2013/1000</f>
        <v>37.4916154547681</v>
      </c>
      <c r="I2014" s="6" t="n">
        <f aca="false">(Sens!H1998+Sens!I1998)/2*Sens!I2013/1000</f>
        <v>47.3175668931922</v>
      </c>
      <c r="J2014" s="6" t="n">
        <f aca="false">(Sens!I1998+Sens!J1998)/2*Sens!J2013/1000</f>
        <v>54.0432381874384</v>
      </c>
      <c r="K2014" s="6" t="n">
        <f aca="false">(Sens!J1998+Sens!K1998)/2*Sens!K2013/1000</f>
        <v>57.9515672509388</v>
      </c>
    </row>
    <row r="2015" customFormat="false" ht="17.15" hidden="false" customHeight="false" outlineLevel="0" collapsed="false">
      <c r="A2015" s="0" t="s">
        <v>985</v>
      </c>
      <c r="B2015" s="0" t="s">
        <v>98</v>
      </c>
      <c r="D2015" s="6" t="n">
        <f aca="false">(Sens!C1996+Sens!D1996)/2*rent_mw/1000</f>
        <v>2.44475</v>
      </c>
      <c r="E2015" s="6" t="n">
        <f aca="false">(Sens!D1996+Sens!E1996)/2*rent_mw/1000</f>
        <v>4.22275</v>
      </c>
      <c r="F2015" s="6" t="n">
        <f aca="false">(Sens!E1996+Sens!F1996)/2*rent_mw/1000</f>
        <v>5.80517</v>
      </c>
      <c r="G2015" s="6" t="n">
        <f aca="false">(Sens!F1996+Sens!G1996)/2*rent_mw/1000</f>
        <v>6.72084</v>
      </c>
      <c r="H2015" s="6" t="n">
        <f aca="false">(Sens!G1996+Sens!H1996)/2*rent_mw/1000</f>
        <v>6.72084</v>
      </c>
      <c r="I2015" s="6" t="n">
        <f aca="false">(Sens!H1996+Sens!I1996)/2*rent_mw/1000</f>
        <v>6.72084</v>
      </c>
      <c r="J2015" s="6" t="n">
        <f aca="false">(Sens!I1996+Sens!J1996)/2*rent_mw/1000</f>
        <v>6.72084</v>
      </c>
      <c r="K2015" s="6" t="n">
        <f aca="false">(Sens!J1996+Sens!K1996)/2*rent_mw/1000</f>
        <v>6.72084</v>
      </c>
    </row>
    <row r="2016" customFormat="false" ht="17.15" hidden="false" customHeight="false" outlineLevel="0" collapsed="false">
      <c r="A2016" s="0" t="s">
        <v>986</v>
      </c>
      <c r="B2016" s="0" t="s">
        <v>98</v>
      </c>
      <c r="D2016" s="6" t="n">
        <f aca="false">(Sens!C1998+Sens!D1998)/2*(1-self_build)*fac_rent/1000</f>
        <v>1.02389085075729</v>
      </c>
      <c r="E2016" s="6" t="n">
        <f aca="false">(Sens!D1998+Sens!E1998)/2*(1-self_build)*fac_rent/1000</f>
        <v>2.33947153690474</v>
      </c>
      <c r="F2016" s="6" t="n">
        <f aca="false">(Sens!E1998+Sens!F1998)/2*(1-self_build)*fac_rent/1000</f>
        <v>4.71497873371627</v>
      </c>
      <c r="G2016" s="6" t="n">
        <f aca="false">(Sens!F1998+Sens!G1998)/2*(1-self_build)*fac_rent/1000</f>
        <v>7.83848290293791</v>
      </c>
      <c r="H2016" s="6" t="n">
        <f aca="false">(Sens!G1998+Sens!H1998)/2*(1-self_build)*fac_rent/1000</f>
        <v>11.0846158600991</v>
      </c>
      <c r="I2016" s="6" t="n">
        <f aca="false">(Sens!H1998+Sens!I1998)/2*(1-self_build)*fac_rent/1000</f>
        <v>13.8577654268871</v>
      </c>
      <c r="J2016" s="6" t="n">
        <f aca="false">(Sens!I1998+Sens!J1998)/2*(1-self_build)*fac_rent/1000</f>
        <v>15.707949874693</v>
      </c>
      <c r="K2016" s="6" t="n">
        <f aca="false">(Sens!J1998+Sens!K1998)/2*(1-self_build)*fac_rent/1000</f>
        <v>16.6676730751867</v>
      </c>
      <c r="L2016" s="12" t="s">
        <v>987</v>
      </c>
    </row>
    <row r="2017" customFormat="false" ht="17.15" hidden="false" customHeight="false" outlineLevel="0" collapsed="false">
      <c r="A2017" s="1" t="s">
        <v>988</v>
      </c>
      <c r="B2017" s="0" t="s">
        <v>168</v>
      </c>
      <c r="D2017" s="7" t="n">
        <f aca="false">(Sens!C1997+Sens!D1997)/(Sens!C1998+Sens!D1998)</f>
        <v>0.5</v>
      </c>
      <c r="E2017" s="7" t="n">
        <f aca="false">(Sens!D1997+Sens!E1997)/(Sens!D1998+Sens!E1998)</f>
        <v>0.5</v>
      </c>
      <c r="F2017" s="7" t="n">
        <f aca="false">(Sens!E1997+Sens!F1997)/(Sens!E1998+Sens!F1998)</f>
        <v>0.5</v>
      </c>
      <c r="G2017" s="7" t="n">
        <f aca="false">(Sens!F1997+Sens!G1997)/(Sens!F1998+Sens!G1998)</f>
        <v>0.5</v>
      </c>
      <c r="H2017" s="7" t="n">
        <f aca="false">(Sens!G1997+Sens!H1997)/(Sens!G1998+Sens!H1998)</f>
        <v>0.5</v>
      </c>
      <c r="I2017" s="7" t="n">
        <f aca="false">(Sens!H1997+Sens!I1997)/(Sens!H1998+Sens!I1998)</f>
        <v>0.5</v>
      </c>
      <c r="J2017" s="7" t="n">
        <f aca="false">(Sens!I1997+Sens!J1997)/(Sens!I1998+Sens!J1998)</f>
        <v>0.5</v>
      </c>
      <c r="K2017" s="7" t="n">
        <f aca="false">(Sens!J1997+Sens!K1997)/(Sens!J1998+Sens!K1998)</f>
        <v>0.5</v>
      </c>
    </row>
    <row r="2018" customFormat="false" ht="17.15" hidden="false" customHeight="false" outlineLevel="0" collapsed="false">
      <c r="A2018" s="0" t="s">
        <v>989</v>
      </c>
      <c r="B2018" s="0" t="s">
        <v>98</v>
      </c>
      <c r="D2018" s="6" t="n">
        <f aca="false">Sens!D2012-Sens!D2017*(Sens!D2014+Sens!D2016)-Sens!D2015</f>
        <v>8.35701406163072</v>
      </c>
      <c r="E2018" s="6" t="n">
        <f aca="false">Sens!E2012-Sens!E2017*(Sens!E2014+Sens!E2016)-Sens!E2015</f>
        <v>18.7103224860238</v>
      </c>
      <c r="F2018" s="6" t="n">
        <f aca="false">Sens!F2012-Sens!F2017*(Sens!F2014+Sens!F2016)-Sens!F2015</f>
        <v>43.2162094129388</v>
      </c>
      <c r="G2018" s="6" t="n">
        <f aca="false">Sens!G2012-Sens!G2017*(Sens!G2014+Sens!G2016)-Sens!G2015</f>
        <v>79.7204472589529</v>
      </c>
      <c r="H2018" s="6" t="n">
        <f aca="false">Sens!H2012-Sens!H2017*(Sens!H2014+Sens!H2016)-Sens!H2015</f>
        <v>122.807764331602</v>
      </c>
      <c r="I2018" s="6" t="n">
        <f aca="false">Sens!I2012-Sens!I2017*(Sens!I2014+Sens!I2016)-Sens!I2015</f>
        <v>155.390972530813</v>
      </c>
      <c r="J2018" s="6" t="n">
        <f aca="false">Sens!J2012-Sens!J2017*(Sens!J2014+Sens!J2016)-Sens!J2015</f>
        <v>178.197668553178</v>
      </c>
      <c r="K2018" s="6" t="n">
        <f aca="false">Sens!K2012-Sens!K2017*(Sens!K2014+Sens!K2016)-Sens!K2015</f>
        <v>192.726586741959</v>
      </c>
    </row>
    <row r="2019" customFormat="false" ht="17.15" hidden="false" customHeight="false" outlineLevel="0" collapsed="false">
      <c r="A2019" s="1" t="s">
        <v>990</v>
      </c>
      <c r="B2019" s="0" t="s">
        <v>98</v>
      </c>
      <c r="D2019" s="6" t="n">
        <f aca="false">(1-Sens!D2017)*(Sens!D2014+Sens!D2016)</f>
        <v>2.13421538061103</v>
      </c>
      <c r="E2019" s="6" t="n">
        <f aca="false">(1-Sens!E2017)*(Sens!E2014+Sens!E2016)</f>
        <v>4.87643398011707</v>
      </c>
      <c r="F2019" s="6" t="n">
        <f aca="false">(1-Sens!F2017)*(Sens!F2014+Sens!F2016)</f>
        <v>10.0820371522123</v>
      </c>
      <c r="G2019" s="6" t="n">
        <f aca="false">(1-Sens!G2017)*(Sens!G2014+Sens!G2016)</f>
        <v>17.0102115302456</v>
      </c>
      <c r="H2019" s="6" t="n">
        <f aca="false">(1-Sens!H2017)*(Sens!H2014+Sens!H2016)</f>
        <v>24.2881156574336</v>
      </c>
      <c r="I2019" s="6" t="n">
        <f aca="false">(1-Sens!I2017)*(Sens!I2014+Sens!I2016)</f>
        <v>30.5876661600396</v>
      </c>
      <c r="J2019" s="6" t="n">
        <f aca="false">(1-Sens!J2017)*(Sens!J2014+Sens!J2016)</f>
        <v>34.8755940310657</v>
      </c>
      <c r="K2019" s="6" t="n">
        <f aca="false">(1-Sens!K2017)*(Sens!K2014+Sens!K2016)</f>
        <v>37.3096201630627</v>
      </c>
    </row>
    <row r="2020" customFormat="false" ht="17.15" hidden="false" customHeight="false" outlineLevel="0" collapsed="false">
      <c r="A2020" s="1" t="s">
        <v>991</v>
      </c>
      <c r="B2020" s="0" t="s">
        <v>417</v>
      </c>
      <c r="C2020" s="8" t="n">
        <f aca="false">cxit_open</f>
        <v>27.5918995</v>
      </c>
      <c r="D2020" s="8" t="n">
        <f aca="false">cxit_open</f>
        <v>27.5918995</v>
      </c>
      <c r="E2020" s="8" t="n">
        <f aca="false">cxit_open</f>
        <v>27.5918995</v>
      </c>
      <c r="F2020" s="8" t="n">
        <f aca="false">((a_g3_27-nonnv*a_mai)*tk_cxit_gb300+nonnv*a_mai*nv_hold_mai*tk_cxit_vr200+(1-a_g3_27)*tk_cxit_vr200)</f>
        <v>32.4975576</v>
      </c>
      <c r="G2020" s="8" t="n">
        <f aca="false">((a_g3_28-nonnv*a_mai)*tk_cxit_gb300+nonnv*a_mai*nv_hold_mai*tk_cxit_vr200+(1-a_g3_28)*tk_cxit_vr200)</f>
        <v>34.6372088</v>
      </c>
      <c r="H2020" s="8" t="n">
        <f aca="false">((a_g3_29-nonnv*a_mai)*tk_cxit_gb300+nonnv*a_mai*nv_hold_mai*tk_cxit_vr200+(1-a_g3_29)*tk_cxit_vr200)</f>
        <v>35.7070344</v>
      </c>
      <c r="I2020" s="8" t="n">
        <f aca="false">((a_g3_29-nonnv*a_mai)*tk_cxit_gb300+nonnv*a_mai*nv_hold_mai*tk_cxit_vr200+(1-a_g3_29)*tk_cxit_vr200)</f>
        <v>35.7070344</v>
      </c>
      <c r="J2020" s="8" t="n">
        <f aca="false">((a_g3_29-nonnv*a_mai)*tk_cxit_gb300+nonnv*a_mai*nv_hold_mai*tk_cxit_vr200+(1-a_g3_29)*tk_cxit_vr200)</f>
        <v>35.7070344</v>
      </c>
      <c r="K2020" s="8" t="n">
        <f aca="false">((a_g3_29-nonnv*a_mai)*tk_cxit_gb300+nonnv*a_mai*nv_hold_mai*tk_cxit_vr200+(1-a_g3_29)*tk_cxit_vr200)</f>
        <v>35.7070344</v>
      </c>
      <c r="L2020" s="12" t="s">
        <v>992</v>
      </c>
    </row>
    <row r="2021" customFormat="false" ht="17.15" hidden="false" customHeight="false" outlineLevel="0" collapsed="false">
      <c r="A2021" s="0" t="s">
        <v>993</v>
      </c>
      <c r="B2021" s="0" t="s">
        <v>459</v>
      </c>
      <c r="F2021" s="30" t="n">
        <f aca="false">Sens!C2000*IF(Sens!F1993-Sens!C1993=life_it,1,0)+Sens!D2000*IF(Sens!F1993-Sens!D1993=life_it,1,0)+Sens!E2000*IF(Sens!F1993-Sens!E1993=life_it,1,0)</f>
        <v>0</v>
      </c>
      <c r="G2021" s="30" t="n">
        <f aca="false">Sens!C2000*IF(Sens!G1993-Sens!C1993=life_it,1,0)+Sens!D2000*IF(Sens!G1993-Sens!D1993=life_it,1,0)+Sens!E2000*IF(Sens!G1993-Sens!E1993=life_it,1,0)+Sens!F2000*IF(Sens!G1993-Sens!F1993=life_it,1,0)</f>
        <v>0</v>
      </c>
      <c r="H2021" s="30" t="n">
        <f aca="false">Sens!C2000*IF(Sens!H1993-Sens!C1993=life_it,1,0)+Sens!D2000*IF(Sens!H1993-Sens!D1993=life_it,1,0)+Sens!E2000*IF(Sens!H1993-Sens!E1993=life_it,1,0)+Sens!F2000*IF(Sens!H1993-Sens!F1993=life_it,1,0)+Sens!G2000*IF(Sens!H1993-Sens!G1993=life_it,1,0)</f>
        <v>0</v>
      </c>
      <c r="I2021" s="30" t="n">
        <f aca="false">Sens!C2000*IF(Sens!I1993-Sens!C1993=life_it,1,0)+Sens!D2000*IF(Sens!I1993-Sens!D1993=life_it,1,0)+Sens!E2000*IF(Sens!I1993-Sens!E1993=life_it,1,0)+Sens!F2000*IF(Sens!I1993-Sens!F1993=life_it,1,0)+Sens!G2000*IF(Sens!I1993-Sens!G1993=life_it,1,0)+Sens!H2000*IF(Sens!I1993-Sens!H1993=life_it,1,0)</f>
        <v>980</v>
      </c>
      <c r="J2021" s="30" t="n">
        <f aca="false">Sens!C2000*IF(Sens!J1993-Sens!C1993=life_it,1,0)+Sens!D2000*IF(Sens!J1993-Sens!D1993=life_it,1,0)+Sens!E2000*IF(Sens!J1993-Sens!E1993=life_it,1,0)+Sens!F2000*IF(Sens!J1993-Sens!F1993=life_it,1,0)+Sens!G2000*IF(Sens!J1993-Sens!G1993=life_it,1,0)+Sens!H2000*IF(Sens!J1993-Sens!H1993=life_it,1,0)+Sens!I2000*IF(Sens!J1993-Sens!I1993=life_it,1,0)</f>
        <v>1480</v>
      </c>
      <c r="K2021" s="30" t="n">
        <f aca="false">Sens!C2000*IF(Sens!K1993-Sens!C1993=life_it,1,0)+Sens!D2000*IF(Sens!K1993-Sens!D1993=life_it,1,0)+Sens!E2000*IF(Sens!K1993-Sens!E1993=life_it,1,0)+Sens!F2000*IF(Sens!K1993-Sens!F1993=life_it,1,0)+Sens!G2000*IF(Sens!K1993-Sens!G1993=life_it,1,0)+Sens!H2000*IF(Sens!K1993-Sens!H1993=life_it,1,0)+Sens!I2000*IF(Sens!K1993-Sens!I1993=life_it,1,0)+Sens!J2000*IF(Sens!K1993-Sens!J1993=life_it,1,0)</f>
        <v>2940</v>
      </c>
      <c r="L2021" s="1" t="s">
        <v>994</v>
      </c>
    </row>
    <row r="2022" customFormat="false" ht="17.15" hidden="false" customHeight="false" outlineLevel="0" collapsed="false">
      <c r="A2022" s="0" t="s">
        <v>995</v>
      </c>
      <c r="B2022" s="0" t="s">
        <v>98</v>
      </c>
      <c r="C2022" s="6" t="n">
        <f aca="false">Sens!C2000*Sens!C2020/1000</f>
        <v>27.04006151</v>
      </c>
      <c r="D2022" s="6" t="n">
        <f aca="false">Sens!D2000*Sens!D2020/1000</f>
        <v>40.83601126</v>
      </c>
      <c r="E2022" s="6" t="n">
        <f aca="false">Sens!E2000*Sens!E2020/1000</f>
        <v>81.12018453</v>
      </c>
      <c r="F2022" s="6" t="n">
        <f aca="false">(Sens!F2000+Sens!F2021)*Sens!F2020/1000</f>
        <v>163.822469190144</v>
      </c>
      <c r="G2022" s="6" t="n">
        <f aca="false">(Sens!G2000+Sens!G2021)*Sens!G2020/1000</f>
        <v>188.879131118458</v>
      </c>
      <c r="H2022" s="6" t="n">
        <f aca="false">(Sens!H2000+Sens!H2021)*Sens!H2020/1000</f>
        <v>194.712965217015</v>
      </c>
      <c r="I2022" s="6" t="n">
        <f aca="false">(Sens!I2000+Sens!I2021)*Sens!I2020/1000</f>
        <v>172.96388338252</v>
      </c>
      <c r="J2022" s="6" t="n">
        <f aca="false">(Sens!J2000+Sens!J2021)*Sens!J2020/1000</f>
        <v>136.834844829436</v>
      </c>
      <c r="K2022" s="6" t="n">
        <f aca="false">(Sens!K2000+Sens!K2021)*Sens!K2020/1000</f>
        <v>136.12450242117</v>
      </c>
    </row>
    <row r="2023" customFormat="false" ht="17.15" hidden="false" customHeight="false" outlineLevel="0" collapsed="false">
      <c r="A2023" s="0" t="s">
        <v>996</v>
      </c>
      <c r="B2023" s="0" t="s">
        <v>98</v>
      </c>
      <c r="C2023" s="6" t="n">
        <f aca="false">Sens!C2000*self_build*tk_cxfac/1000</f>
        <v>7.44996</v>
      </c>
      <c r="D2023" s="6" t="n">
        <f aca="false">Sens!D2000*self_build*tk_cxfac/1000</f>
        <v>11.25096</v>
      </c>
      <c r="E2023" s="6" t="n">
        <f aca="false">Sens!E2000*self_build*tk_cxfac/1000</f>
        <v>22.34988</v>
      </c>
      <c r="F2023" s="6" t="n">
        <f aca="false">Sens!F2000*self_build*tk_cxfac/1000</f>
        <v>38.3222156604</v>
      </c>
      <c r="G2023" s="6" t="n">
        <f aca="false">Sens!G2000*self_build*tk_cxfac/1000</f>
        <v>41.4542396604</v>
      </c>
      <c r="H2023" s="6" t="n">
        <f aca="false">Sens!H2000*self_build*tk_cxfac/1000</f>
        <v>41.4542396604</v>
      </c>
      <c r="I2023" s="6" t="n">
        <f aca="false">Sens!I2000*self_build*tk_cxfac/1000</f>
        <v>29.373916963412</v>
      </c>
      <c r="J2023" s="6" t="n">
        <f aca="false">Sens!J2000*self_build*tk_cxfac/1000</f>
        <v>17.8810726056923</v>
      </c>
      <c r="K2023" s="6" t="n">
        <f aca="false">Sens!K2000*self_build*tk_cxfac/1000</f>
        <v>6.63092125650911</v>
      </c>
    </row>
    <row r="2024" customFormat="false" ht="17.15" hidden="false" customHeight="false" outlineLevel="0" collapsed="false">
      <c r="A2024" s="0" t="s">
        <v>997</v>
      </c>
      <c r="B2024" s="0" t="s">
        <v>98</v>
      </c>
      <c r="F2024" s="15" t="n">
        <f aca="false">capex_floor27-Sens!F2022-Sens!F2023-Sens!F2120</f>
        <v>-33.6432033631664</v>
      </c>
      <c r="L2024" s="12" t="s">
        <v>998</v>
      </c>
    </row>
    <row r="2025" customFormat="false" ht="17.15" hidden="false" customHeight="false" outlineLevel="0" collapsed="false">
      <c r="A2025" s="0" t="s">
        <v>999</v>
      </c>
      <c r="B2025" s="0" t="s">
        <v>98</v>
      </c>
      <c r="F2025" s="6" t="n">
        <f aca="false">MAX(0,Sens!F2024)</f>
        <v>0</v>
      </c>
    </row>
    <row r="2026" customFormat="false" ht="17.15" hidden="false" customHeight="false" outlineLevel="0" collapsed="false">
      <c r="A2026" s="0" t="s">
        <v>1000</v>
      </c>
      <c r="B2026" s="0" t="s">
        <v>98</v>
      </c>
      <c r="C2026" s="6" t="n">
        <f aca="false">Sens!C2022</f>
        <v>27.04006151</v>
      </c>
      <c r="D2026" s="6" t="n">
        <f aca="false">Sens!D2022</f>
        <v>40.83601126</v>
      </c>
      <c r="E2026" s="6" t="n">
        <f aca="false">Sens!E2022</f>
        <v>81.12018453</v>
      </c>
      <c r="F2026" s="6" t="n">
        <f aca="false">Sens!F2022</f>
        <v>163.822469190144</v>
      </c>
      <c r="G2026" s="6" t="n">
        <f aca="false">Sens!G2022</f>
        <v>188.879131118458</v>
      </c>
      <c r="H2026" s="6" t="n">
        <f aca="false">Sens!H2022</f>
        <v>194.712965217015</v>
      </c>
      <c r="I2026" s="6" t="n">
        <f aca="false">Sens!I2022</f>
        <v>172.96388338252</v>
      </c>
      <c r="J2026" s="6" t="n">
        <f aca="false">Sens!J2022</f>
        <v>136.834844829436</v>
      </c>
      <c r="K2026" s="6" t="n">
        <f aca="false">Sens!K2022</f>
        <v>136.12450242117</v>
      </c>
    </row>
    <row r="2027" customFormat="false" ht="17.15" hidden="false" customHeight="false" outlineLevel="0" collapsed="false">
      <c r="A2027" s="0" t="s">
        <v>1001</v>
      </c>
      <c r="B2027" s="0" t="s">
        <v>98</v>
      </c>
      <c r="C2027" s="6" t="n">
        <f aca="false">Sens!C2026+Sens!C2023</f>
        <v>34.49002151</v>
      </c>
      <c r="D2027" s="6" t="n">
        <f aca="false">Sens!D2026+Sens!D2023</f>
        <v>52.08697126</v>
      </c>
      <c r="E2027" s="6" t="n">
        <f aca="false">Sens!E2026+Sens!E2023</f>
        <v>103.47006453</v>
      </c>
      <c r="F2027" s="6" t="n">
        <f aca="false">Sens!F2026+Sens!F2023</f>
        <v>202.144684850544</v>
      </c>
      <c r="G2027" s="6" t="n">
        <f aca="false">Sens!G2026+Sens!G2023</f>
        <v>230.333370778858</v>
      </c>
      <c r="H2027" s="6" t="n">
        <f aca="false">Sens!H2026+Sens!H2023</f>
        <v>236.167204877415</v>
      </c>
      <c r="I2027" s="6" t="n">
        <f aca="false">Sens!I2026+Sens!I2023</f>
        <v>202.337800345932</v>
      </c>
      <c r="J2027" s="6" t="n">
        <f aca="false">Sens!J2026+Sens!J2023</f>
        <v>154.715917435129</v>
      </c>
      <c r="K2027" s="6" t="n">
        <f aca="false">Sens!K2026+Sens!K2023</f>
        <v>142.755423677679</v>
      </c>
      <c r="L2027" s="12" t="s">
        <v>1002</v>
      </c>
    </row>
    <row r="2028" customFormat="false" ht="17.15" hidden="false" customHeight="false" outlineLevel="0" collapsed="false">
      <c r="A2028" s="0" t="s">
        <v>1003</v>
      </c>
      <c r="B2028" s="0" t="s">
        <v>98</v>
      </c>
      <c r="E2028" s="6" t="n">
        <f aca="false">(Sens!C2026*IF(2&lt;life_it,1,IF(2=life_it,0.5,0))+Sens!D2026*IF(1&lt;life_it,1,IF(1=life_it,0.5,0))+Sens!E2026*0.5)/life_it</f>
        <v>18.0726941725</v>
      </c>
      <c r="F2028" s="6" t="n">
        <f aca="false">(Sens!C2026*IF(3&lt;life_it,1,IF(3=life_it,0.5,0))+Sens!D2026*IF(2&lt;life_it,1,IF(2=life_it,0.5,0))+Sens!E2026*IF(1&lt;life_it,1,IF(1=life_it,0.5,0))+Sens!F2026*0.5)/life_it</f>
        <v>38.484581982512</v>
      </c>
      <c r="G2028" s="6" t="n">
        <f aca="false">(Sens!C2026*IF(4&lt;life_it,1,IF(4=life_it,0.5,0))+Sens!D2026*IF(3&lt;life_it,1,IF(3=life_it,0.5,0))+Sens!E2026*IF(2&lt;life_it,1,IF(2=life_it,0.5,0))+Sens!F2026*IF(1&lt;life_it,1,IF(1=life_it,0.5,0))+Sens!G2026*0.5)/life_it</f>
        <v>67.8763820082287</v>
      </c>
      <c r="H2028" s="6" t="n">
        <f aca="false">(Sens!C2026*IF(5&lt;life_it,1,IF(5=life_it,0.5,0))+Sens!D2026*IF(4&lt;life_it,1,IF(4=life_it,0.5,0))+Sens!E2026*IF(3&lt;life_it,1,IF(3=life_it,0.5,0))+Sens!F2026*IF(2&lt;life_it,1,IF(2=life_it,0.5,0))+Sens!G2026*IF(1&lt;life_it,1,IF(1=life_it,0.5,0))+Sens!H2026*0.5)/life_it</f>
        <v>99.8423900361848</v>
      </c>
      <c r="I2028" s="6" t="n">
        <f aca="false">(Sens!C2026*IF(6&lt;life_it,1,IF(6=life_it,0.5,0))+Sens!D2026*IF(5&lt;life_it,1,IF(5=life_it,0.5,0))+Sens!E2026*IF(4&lt;life_it,1,IF(4=life_it,0.5,0))+Sens!F2026*IF(3&lt;life_it,1,IF(3=life_it,0.5,0))+Sens!G2026*IF(2&lt;life_it,1,IF(2=life_it,0.5,0))+Sens!H2026*IF(1&lt;life_it,1,IF(1=life_it,0.5,0))+Sens!I2026*0.5)/life_it</f>
        <v>128.228788960313</v>
      </c>
      <c r="J2028" s="6" t="n">
        <f aca="false">(Sens!C2026*IF(7&lt;life_it,1,IF(7=life_it,0.5,0))+Sens!D2026*IF(6&lt;life_it,1,IF(6=life_it,0.5,0))+Sens!E2026*IF(5&lt;life_it,1,IF(5=life_it,0.5,0))+Sens!F2026*IF(4&lt;life_it,1,IF(4=life_it,0.5,0))+Sens!G2026*IF(3&lt;life_it,1,IF(3=life_it,0.5,0))+Sens!H2026*IF(2&lt;life_it,1,IF(2=life_it,0.5,0))+Sens!I2026*IF(1&lt;life_it,1,IF(1=life_it,0.5,0))+Sens!J2026*0.5)/life_it</f>
        <v>148.389010247142</v>
      </c>
      <c r="K2028" s="6" t="n">
        <f aca="false">(Sens!C2026*IF(8&lt;life_it,1,IF(8=life_it,0.5,0))+Sens!D2026*IF(7&lt;life_it,1,IF(7=life_it,0.5,0))+Sens!E2026*IF(6&lt;life_it,1,IF(6=life_it,0.5,0))+Sens!F2026*IF(5&lt;life_it,1,IF(5=life_it,0.5,0))+Sens!G2026*IF(4&lt;life_it,1,IF(4=life_it,0.5,0))+Sens!H2026*IF(3&lt;life_it,1,IF(3=life_it,0.5,0))+Sens!I2026*IF(2&lt;life_it,1,IF(2=life_it,0.5,0))+Sens!J2026*IF(1&lt;life_it,1,IF(1=life_it,0.5,0))+Sens!K2026*0.5)/life_it</f>
        <v>160.972606202193</v>
      </c>
    </row>
    <row r="2029" customFormat="false" ht="17.15" hidden="false" customHeight="false" outlineLevel="0" collapsed="false">
      <c r="A2029" s="0" t="s">
        <v>1004</v>
      </c>
      <c r="B2029" s="0" t="s">
        <v>98</v>
      </c>
      <c r="E2029" s="6" t="n">
        <f aca="false">(Sens!C2023*IF(2&lt;life_fac,1,IF(2=life_fac,0.5,0))+Sens!D2023*IF(1&lt;life_fac,1,IF(1=life_fac,0.5,0))+Sens!E2023*0.5)/life_fac</f>
        <v>1.493793</v>
      </c>
      <c r="F2029" s="6" t="n">
        <f aca="false">(Sens!C2023*IF(3&lt;life_fac,1,IF(3=life_fac,0.5,0))+Sens!D2023*IF(2&lt;life_fac,1,IF(2=life_fac,0.5,0))+Sens!E2023*IF(1&lt;life_fac,1,IF(1=life_fac,0.5,0))+Sens!F2023*0.5)/life_fac</f>
        <v>3.01059539151</v>
      </c>
      <c r="G2029" s="6" t="n">
        <f aca="false">(Sens!C2023*IF(4&lt;life_fac,1,IF(4=life_fac,0.5,0))+Sens!D2023*IF(3&lt;life_fac,1,IF(3=life_fac,0.5,0))+Sens!E2023*IF(2&lt;life_fac,1,IF(2=life_fac,0.5,0))+Sens!F2023*IF(1&lt;life_fac,1,IF(1=life_fac,0.5,0))+Sens!G2023*0.5)/life_fac</f>
        <v>5.00500677453</v>
      </c>
      <c r="H2029" s="6" t="n">
        <f aca="false">(Sens!C2023*IF(5&lt;life_fac,1,IF(5=life_fac,0.5,0))+Sens!D2023*IF(4&lt;life_fac,1,IF(4=life_fac,0.5,0))+Sens!E2023*IF(3&lt;life_fac,1,IF(3=life_fac,0.5,0))+Sens!F2023*IF(2&lt;life_fac,1,IF(2=life_fac,0.5,0))+Sens!G2023*IF(1&lt;life_fac,1,IF(1=life_fac,0.5,0))+Sens!H2023*0.5)/life_fac</f>
        <v>7.07771875755</v>
      </c>
      <c r="I2029" s="6" t="n">
        <f aca="false">(Sens!C2023*IF(6&lt;life_fac,1,IF(6=life_fac,0.5,0))+Sens!D2023*IF(5&lt;life_fac,1,IF(5=life_fac,0.5,0))+Sens!E2023*IF(4&lt;life_fac,1,IF(4=life_fac,0.5,0))+Sens!F2023*IF(3&lt;life_fac,1,IF(3=life_fac,0.5,0))+Sens!G2023*IF(2&lt;life_fac,1,IF(2=life_fac,0.5,0))+Sens!H2023*IF(1&lt;life_fac,1,IF(1=life_fac,0.5,0))+Sens!I2023*0.5)/life_fac</f>
        <v>8.8484226731453</v>
      </c>
      <c r="J2029" s="6" t="n">
        <f aca="false">(Sens!C2023*IF(7&lt;life_fac,1,IF(7=life_fac,0.5,0))+Sens!D2023*IF(6&lt;life_fac,1,IF(6=life_fac,0.5,0))+Sens!E2023*IF(5&lt;life_fac,1,IF(5=life_fac,0.5,0))+Sens!F2023*IF(4&lt;life_fac,1,IF(4=life_fac,0.5,0))+Sens!G2023*IF(3&lt;life_fac,1,IF(3=life_fac,0.5,0))+Sens!H2023*IF(2&lt;life_fac,1,IF(2=life_fac,0.5,0))+Sens!I2023*IF(1&lt;life_fac,1,IF(1=life_fac,0.5,0))+Sens!J2023*0.5)/life_fac</f>
        <v>10.0297974123729</v>
      </c>
      <c r="K2029" s="6" t="n">
        <f aca="false">(Sens!C2023*IF(8&lt;life_fac,1,IF(8=life_fac,0.5,0))+Sens!D2023*IF(7&lt;life_fac,1,IF(7=life_fac,0.5,0))+Sens!E2023*IF(6&lt;life_fac,1,IF(6=life_fac,0.5,0))+Sens!F2023*IF(5&lt;life_fac,1,IF(5=life_fac,0.5,0))+Sens!G2023*IF(4&lt;life_fac,1,IF(4=life_fac,0.5,0))+Sens!H2023*IF(3&lt;life_fac,1,IF(3=life_fac,0.5,0))+Sens!I2023*IF(2&lt;life_fac,1,IF(2=life_fac,0.5,0))+Sens!J2023*IF(1&lt;life_fac,1,IF(1=life_fac,0.5,0))+Sens!K2023*0.5)/life_fac</f>
        <v>10.6425972589279</v>
      </c>
    </row>
    <row r="2030" customFormat="false" ht="17.15" hidden="false" customHeight="false" outlineLevel="0" collapsed="false">
      <c r="A2030" s="0" t="s">
        <v>1005</v>
      </c>
      <c r="B2030" s="0" t="s">
        <v>98</v>
      </c>
      <c r="E2030" s="6" t="n">
        <f aca="false">Sens!E2028+Sens!E2029</f>
        <v>19.5664871725</v>
      </c>
      <c r="F2030" s="6" t="n">
        <f aca="false">Sens!F2028+Sens!F2029</f>
        <v>41.495177374022</v>
      </c>
      <c r="G2030" s="6" t="n">
        <f aca="false">Sens!G2028+Sens!G2029</f>
        <v>72.8813887827587</v>
      </c>
      <c r="H2030" s="6" t="n">
        <f aca="false">Sens!H2028+Sens!H2029</f>
        <v>106.920108793735</v>
      </c>
      <c r="I2030" s="6" t="n">
        <f aca="false">Sens!I2028+Sens!I2029</f>
        <v>137.077211633458</v>
      </c>
      <c r="J2030" s="6" t="n">
        <f aca="false">Sens!J2028+Sens!J2029</f>
        <v>158.418807659515</v>
      </c>
      <c r="K2030" s="6" t="n">
        <f aca="false">Sens!K2028+Sens!K2029</f>
        <v>171.615203461121</v>
      </c>
    </row>
    <row r="2031" customFormat="false" ht="17.15" hidden="false" customHeight="false" outlineLevel="0" collapsed="false">
      <c r="A2031" s="0" t="s">
        <v>1006</v>
      </c>
      <c r="B2031" s="0" t="s">
        <v>98</v>
      </c>
      <c r="E2031" s="6" t="n">
        <f aca="false">Sens!E2018-Sens!E2017*Sens!E2030</f>
        <v>8.92707889977379</v>
      </c>
      <c r="F2031" s="6" t="n">
        <f aca="false">Sens!F2018-Sens!F2017*Sens!F2030</f>
        <v>22.4686207259278</v>
      </c>
      <c r="G2031" s="6" t="n">
        <f aca="false">Sens!G2018-Sens!G2017*Sens!G2030</f>
        <v>43.2797528675735</v>
      </c>
      <c r="H2031" s="6" t="n">
        <f aca="false">Sens!H2018-Sens!H2017*Sens!H2030</f>
        <v>69.3477099347341</v>
      </c>
      <c r="I2031" s="6" t="n">
        <f aca="false">Sens!I2018-Sens!I2017*Sens!I2030</f>
        <v>86.8523667140837</v>
      </c>
      <c r="J2031" s="6" t="n">
        <f aca="false">Sens!J2018-Sens!J2017*Sens!J2030</f>
        <v>98.9882647234203</v>
      </c>
      <c r="K2031" s="6" t="n">
        <f aca="false">Sens!K2018-Sens!K2017*Sens!K2030</f>
        <v>106.918985011399</v>
      </c>
    </row>
    <row r="2032" customFormat="false" ht="17.15" hidden="false" customHeight="false" outlineLevel="0" collapsed="false">
      <c r="A2032" s="3" t="s">
        <v>1661</v>
      </c>
    </row>
    <row r="2033" customFormat="false" ht="15" hidden="false" customHeight="false" outlineLevel="0" collapsed="false">
      <c r="A2033" s="4" t="s">
        <v>43</v>
      </c>
      <c r="B2033" s="4" t="s">
        <v>65</v>
      </c>
      <c r="C2033" s="23" t="s">
        <v>942</v>
      </c>
      <c r="D2033" s="23" t="s">
        <v>943</v>
      </c>
      <c r="E2033" s="23" t="s">
        <v>944</v>
      </c>
      <c r="F2033" s="23" t="s">
        <v>945</v>
      </c>
      <c r="G2033" s="23" t="s">
        <v>946</v>
      </c>
      <c r="H2033" s="23" t="s">
        <v>947</v>
      </c>
      <c r="I2033" s="23" t="s">
        <v>948</v>
      </c>
      <c r="J2033" s="23" t="s">
        <v>949</v>
      </c>
      <c r="K2033" s="23" t="s">
        <v>950</v>
      </c>
      <c r="L2033" s="4" t="s">
        <v>47</v>
      </c>
    </row>
    <row r="2034" customFormat="false" ht="17.15" hidden="false" customHeight="false" outlineLevel="0" collapsed="false">
      <c r="A2034" s="0" t="s">
        <v>1025</v>
      </c>
      <c r="B2034" s="0" t="s">
        <v>98</v>
      </c>
      <c r="D2034" s="6" t="n">
        <f aca="false">Sens!D2012</f>
        <v>12.9359794422418</v>
      </c>
      <c r="E2034" s="6" t="n">
        <f aca="false">Sens!E2012</f>
        <v>27.8095064661409</v>
      </c>
      <c r="F2034" s="6" t="n">
        <f aca="false">Sens!F2012</f>
        <v>59.1034165651511</v>
      </c>
      <c r="G2034" s="6" t="n">
        <f aca="false">Sens!G2012</f>
        <v>103.451498789198</v>
      </c>
      <c r="H2034" s="6" t="n">
        <f aca="false">Sens!H2012</f>
        <v>153.816719989035</v>
      </c>
      <c r="I2034" s="6" t="n">
        <f aca="false">Sens!I2012</f>
        <v>192.699478690852</v>
      </c>
      <c r="J2034" s="6" t="n">
        <f aca="false">Sens!J2012</f>
        <v>219.794102584244</v>
      </c>
      <c r="K2034" s="6" t="n">
        <f aca="false">Sens!K2012</f>
        <v>236.757046905022</v>
      </c>
    </row>
    <row r="2035" customFormat="false" ht="17.15" hidden="false" customHeight="false" outlineLevel="0" collapsed="false">
      <c r="A2035" s="0" t="s">
        <v>1026</v>
      </c>
      <c r="B2035" s="0" t="s">
        <v>98</v>
      </c>
      <c r="D2035" s="6" t="n">
        <f aca="false">Q!L6-Sens!D2034</f>
        <v>59.6740205577583</v>
      </c>
      <c r="E2035" s="6" t="n">
        <f aca="false">Q!M6-Sens!E2034</f>
        <v>74.1284935338591</v>
      </c>
      <c r="F2035" s="6" t="n">
        <f aca="false">Q!$I$6+(Sens!F2034+Sens!E2035*(1+Sens!F2036))*(1-Q!$E$6/Q!M6)-Sens!F2034</f>
        <v>90.4866018070994</v>
      </c>
      <c r="G2035" s="6" t="n">
        <f aca="false">Sens!F2035*(1+Sens!G2036)</f>
        <v>107.511588557154</v>
      </c>
      <c r="H2035" s="6" t="n">
        <f aca="false">Sens!G2035*(1+Sens!H2036)</f>
        <v>124.832989325489</v>
      </c>
      <c r="I2035" s="6" t="n">
        <f aca="false">Sens!H2035*(1+Sens!I2036)</f>
        <v>141.56992589148</v>
      </c>
      <c r="J2035" s="6" t="n">
        <f aca="false">Sens!I2035*(1+Sens!J2036)</f>
        <v>156.723190479428</v>
      </c>
      <c r="K2035" s="6" t="n">
        <f aca="false">Sens!J2035*(1+Sens!K2036)</f>
        <v>169.261045717783</v>
      </c>
      <c r="L2035" s="12" t="s">
        <v>1027</v>
      </c>
    </row>
    <row r="2036" customFormat="false" ht="15" hidden="false" customHeight="false" outlineLevel="0" collapsed="false">
      <c r="A2036" s="1" t="s">
        <v>1028</v>
      </c>
      <c r="B2036" s="0" t="s">
        <v>168</v>
      </c>
      <c r="E2036" s="7" t="n">
        <f aca="false">Sens!E2035/Sens!D2035-1</f>
        <v>0.242223883039864</v>
      </c>
      <c r="F2036" s="7" t="n">
        <f aca="false">Sens!$E$2036+(glt_azo-Sens!$E$2036)*MIN(1,(Sens!F1993-base_fy)/n_conv)</f>
        <v>0.215186569199887</v>
      </c>
      <c r="G2036" s="7" t="n">
        <f aca="false">Sens!$E$2036+(glt_azo-Sens!$E$2036)*MIN(1,(Sens!G1993-base_fy)/n_conv)</f>
        <v>0.18814925535991</v>
      </c>
      <c r="H2036" s="7" t="n">
        <f aca="false">Sens!$E$2036+(glt_azo-Sens!$E$2036)*MIN(1,(Sens!H1993-base_fy)/n_conv)</f>
        <v>0.161111941519932</v>
      </c>
      <c r="I2036" s="7" t="n">
        <f aca="false">Sens!$E$2036+(glt_azo-Sens!$E$2036)*MIN(1,(Sens!I1993-base_fy)/n_conv)</f>
        <v>0.134074627679955</v>
      </c>
      <c r="J2036" s="7" t="n">
        <f aca="false">Sens!$E$2036+(glt_azo-Sens!$E$2036)*MIN(1,(Sens!J1993-base_fy)/n_conv)</f>
        <v>0.107037313839977</v>
      </c>
      <c r="K2036" s="7" t="n">
        <f aca="false">Sens!$E$2036+(glt_azo-Sens!$E$2036)*MIN(1,(Sens!K1993-base_fy)/n_conv)</f>
        <v>0.08</v>
      </c>
    </row>
    <row r="2037" customFormat="false" ht="15" hidden="false" customHeight="false" outlineLevel="0" collapsed="false">
      <c r="A2037" s="0" t="s">
        <v>1029</v>
      </c>
      <c r="B2037" s="0" t="s">
        <v>98</v>
      </c>
      <c r="D2037" s="6" t="n">
        <f aca="false">Sens!D2034+Sens!D2035</f>
        <v>72.61</v>
      </c>
      <c r="E2037" s="6" t="n">
        <f aca="false">Sens!E2034+Sens!E2035</f>
        <v>101.938</v>
      </c>
      <c r="F2037" s="6" t="n">
        <f aca="false">Sens!F2034+Sens!F2035</f>
        <v>149.59001837225</v>
      </c>
      <c r="G2037" s="6" t="n">
        <f aca="false">Sens!G2034+Sens!G2035</f>
        <v>210.963087346352</v>
      </c>
      <c r="H2037" s="6" t="n">
        <f aca="false">Sens!H2034+Sens!H2035</f>
        <v>278.649709314524</v>
      </c>
      <c r="I2037" s="6" t="n">
        <f aca="false">Sens!I2034+Sens!I2035</f>
        <v>334.269404582332</v>
      </c>
      <c r="J2037" s="6" t="n">
        <f aca="false">Sens!J2034+Sens!J2035</f>
        <v>376.517293063672</v>
      </c>
      <c r="K2037" s="6" t="n">
        <f aca="false">Sens!K2034+Sens!K2035</f>
        <v>406.018092622804</v>
      </c>
    </row>
    <row r="2038" customFormat="false" ht="17.15" hidden="false" customHeight="false" outlineLevel="0" collapsed="false">
      <c r="A2038" s="0" t="s">
        <v>1030</v>
      </c>
      <c r="B2038" s="1" t="s">
        <v>613</v>
      </c>
      <c r="C2038" s="30" t="n">
        <f aca="false">cop_s24</f>
        <v>1</v>
      </c>
      <c r="D2038" s="30" t="n">
        <f aca="false">cop_s25</f>
        <v>5</v>
      </c>
      <c r="E2038" s="30" t="n">
        <f aca="false">cop_s26</f>
        <v>30</v>
      </c>
      <c r="F2038" s="30" t="n">
        <f aca="false">Sens!E2038+cop_add_A</f>
        <v>60</v>
      </c>
      <c r="G2038" s="30" t="n">
        <f aca="false">Sens!F2038+cop_add_A</f>
        <v>90</v>
      </c>
      <c r="H2038" s="30" t="n">
        <f aca="false">Sens!G2038+cop_add_A</f>
        <v>120</v>
      </c>
      <c r="I2038" s="30" t="n">
        <f aca="false">Sens!H2038+cop_add_A*cop_tail</f>
        <v>135</v>
      </c>
      <c r="J2038" s="30" t="n">
        <f aca="false">Sens!I2038+cop_add_A*cop_tail</f>
        <v>150</v>
      </c>
      <c r="K2038" s="30" t="n">
        <f aca="false">Sens!J2038+cop_add_A*cop_tail</f>
        <v>165</v>
      </c>
      <c r="L2038" s="12" t="s">
        <v>1031</v>
      </c>
    </row>
    <row r="2039" customFormat="false" ht="17.15" hidden="false" customHeight="false" outlineLevel="0" collapsed="false">
      <c r="A2039" s="0" t="s">
        <v>1032</v>
      </c>
      <c r="B2039" s="0" t="s">
        <v>98</v>
      </c>
      <c r="D2039" s="6" t="n">
        <f aca="false">(Sens!C2038+Sens!D2038)/2*cop_px*12/1000</f>
        <v>0.9</v>
      </c>
      <c r="E2039" s="6" t="n">
        <f aca="false">(Sens!D2038+Sens!E2038)/2*cop_px*12/1000</f>
        <v>5.25</v>
      </c>
      <c r="F2039" s="6" t="n">
        <f aca="false">(Sens!E2038+Sens!F2038)/2*cop_px*12/1000</f>
        <v>13.5</v>
      </c>
      <c r="G2039" s="6" t="n">
        <f aca="false">(Sens!F2038+Sens!G2038)/2*cop_px*12/1000</f>
        <v>22.5</v>
      </c>
      <c r="H2039" s="6" t="n">
        <f aca="false">(Sens!G2038+Sens!H2038)/2*cop_px*12/1000</f>
        <v>31.5</v>
      </c>
      <c r="I2039" s="6" t="n">
        <f aca="false">(Sens!H2038+Sens!I2038)/2*cop_px*12/1000</f>
        <v>38.25</v>
      </c>
      <c r="J2039" s="6" t="n">
        <f aca="false">(Sens!I2038+Sens!J2038)/2*cop_px*12/1000</f>
        <v>42.75</v>
      </c>
      <c r="K2039" s="6" t="n">
        <f aca="false">(Sens!J2038+Sens!K2038)/2*cop_px*12/1000</f>
        <v>47.25</v>
      </c>
      <c r="L2039" s="1" t="s">
        <v>1033</v>
      </c>
    </row>
    <row r="2040" customFormat="false" ht="17.15" hidden="false" customHeight="false" outlineLevel="0" collapsed="false">
      <c r="A2040" s="0" t="s">
        <v>1034</v>
      </c>
      <c r="B2040" s="0" t="s">
        <v>98</v>
      </c>
      <c r="D2040" s="6" t="n">
        <f aca="false">Q!L7-Sens!D2039</f>
        <v>83.705</v>
      </c>
      <c r="E2040" s="6" t="n">
        <f aca="false">Q!M7-Sens!E2039</f>
        <v>95.049</v>
      </c>
      <c r="F2040" s="6" t="n">
        <f aca="false">Q!$I$7+(Sens!E2040*(1+Sens!F2041)+Sens!F2039)*(1-Q!$E$7/Q!M7)-Sens!F2039</f>
        <v>106.229653205718</v>
      </c>
      <c r="G2040" s="6" t="n">
        <f aca="false">Sens!F2040*(1+Sens!G2041)</f>
        <v>118.306092647576</v>
      </c>
      <c r="H2040" s="6" t="n">
        <f aca="false">Sens!G2040*(1+Sens!H2041)</f>
        <v>130.463437602768</v>
      </c>
      <c r="I2040" s="6" t="n">
        <f aca="false">Sens!H2040*(1+Sens!I2041)</f>
        <v>142.445354741933</v>
      </c>
      <c r="J2040" s="6" t="n">
        <f aca="false">Sens!I2040*(1+Sens!J2041)</f>
        <v>153.972117481571</v>
      </c>
      <c r="K2040" s="6" t="n">
        <f aca="false">Sens!J2040*(1+Sens!K2041)</f>
        <v>164.75016570528</v>
      </c>
      <c r="L2040" s="12" t="s">
        <v>1035</v>
      </c>
    </row>
    <row r="2041" customFormat="false" ht="15" hidden="false" customHeight="false" outlineLevel="0" collapsed="false">
      <c r="A2041" s="1" t="s">
        <v>1028</v>
      </c>
      <c r="B2041" s="0" t="s">
        <v>168</v>
      </c>
      <c r="E2041" s="7" t="n">
        <f aca="false">Sens!E2040/Sens!D2040-1</f>
        <v>0.135523564900544</v>
      </c>
      <c r="F2041" s="7" t="n">
        <f aca="false">Sens!$E$2041+(glt_m365b-Sens!$E$2041)*MIN(1,(Sens!F1993-base_fy)/n_conv)</f>
        <v>0.124602970750453</v>
      </c>
      <c r="G2041" s="7" t="n">
        <f aca="false">Sens!$E$2041+(glt_m365b-Sens!$E$2041)*MIN(1,(Sens!G1993-base_fy)/n_conv)</f>
        <v>0.113682376600363</v>
      </c>
      <c r="H2041" s="7" t="n">
        <f aca="false">Sens!$E$2041+(glt_m365b-Sens!$E$2041)*MIN(1,(Sens!H1993-base_fy)/n_conv)</f>
        <v>0.102761782450272</v>
      </c>
      <c r="I2041" s="7" t="n">
        <f aca="false">Sens!$E$2041+(glt_m365b-Sens!$E$2041)*MIN(1,(Sens!I1993-base_fy)/n_conv)</f>
        <v>0.0918411883001813</v>
      </c>
      <c r="J2041" s="7" t="n">
        <f aca="false">Sens!$E$2041+(glt_m365b-Sens!$E$2041)*MIN(1,(Sens!J1993-base_fy)/n_conv)</f>
        <v>0.0809205941500906</v>
      </c>
      <c r="K2041" s="7" t="n">
        <f aca="false">Sens!$E$2041+(glt_m365b-Sens!$E$2041)*MIN(1,(Sens!K1993-base_fy)/n_conv)</f>
        <v>0.07</v>
      </c>
    </row>
    <row r="2042" customFormat="false" ht="15" hidden="false" customHeight="false" outlineLevel="0" collapsed="false">
      <c r="A2042" s="0" t="s">
        <v>1036</v>
      </c>
      <c r="B2042" s="0" t="s">
        <v>98</v>
      </c>
      <c r="D2042" s="6" t="n">
        <f aca="false">Sens!D2040+Sens!D2039</f>
        <v>84.605</v>
      </c>
      <c r="E2042" s="6" t="n">
        <f aca="false">Sens!E2040+Sens!E2039</f>
        <v>100.299</v>
      </c>
      <c r="F2042" s="6" t="n">
        <f aca="false">Sens!F2040+Sens!F2039</f>
        <v>119.729653205718</v>
      </c>
      <c r="G2042" s="6" t="n">
        <f aca="false">Sens!G2040+Sens!G2039</f>
        <v>140.806092647576</v>
      </c>
      <c r="H2042" s="6" t="n">
        <f aca="false">Sens!H2040+Sens!H2039</f>
        <v>161.963437602768</v>
      </c>
      <c r="I2042" s="6" t="n">
        <f aca="false">Sens!I2040+Sens!I2039</f>
        <v>180.695354741933</v>
      </c>
      <c r="J2042" s="6" t="n">
        <f aca="false">Sens!J2040+Sens!J2039</f>
        <v>196.722117481571</v>
      </c>
      <c r="K2042" s="6" t="n">
        <f aca="false">Sens!K2040+Sens!K2039</f>
        <v>212.00016570528</v>
      </c>
    </row>
    <row r="2043" customFormat="false" ht="17.15" hidden="false" customHeight="false" outlineLevel="0" collapsed="false">
      <c r="A2043" s="0" t="s">
        <v>1037</v>
      </c>
      <c r="B2043" s="0" t="s">
        <v>98</v>
      </c>
      <c r="D2043" s="6" t="n">
        <f aca="false">Q!L8</f>
        <v>35.391</v>
      </c>
      <c r="E2043" s="6" t="n">
        <f aca="false">Q!M8</f>
        <v>37.285</v>
      </c>
      <c r="F2043" s="6" t="n">
        <f aca="false">Q!$I$8+(Q!M8-Q!$E$8)*(1+Sens!F2044)</f>
        <v>38.3851437782675</v>
      </c>
      <c r="G2043" s="6" t="n">
        <f aca="false">Sens!F2043*(1+Sens!G2044)</f>
        <v>40.0105353288615</v>
      </c>
      <c r="H2043" s="6" t="n">
        <f aca="false">Sens!G2043*(1+Sens!H2044)</f>
        <v>41.4812512033683</v>
      </c>
      <c r="I2043" s="6" t="n">
        <f aca="false">Sens!H2043*(1+Sens!I2044)</f>
        <v>42.7743107216329</v>
      </c>
      <c r="J2043" s="6" t="n">
        <f aca="false">Sens!I2043*(1+Sens!J2044)</f>
        <v>43.8687373064601</v>
      </c>
      <c r="K2043" s="6" t="n">
        <f aca="false">Sens!J2043*(1+Sens!K2044)</f>
        <v>44.7461120525893</v>
      </c>
      <c r="L2043" s="12" t="s">
        <v>1038</v>
      </c>
    </row>
    <row r="2044" customFormat="false" ht="15" hidden="false" customHeight="false" outlineLevel="0" collapsed="false">
      <c r="A2044" s="1" t="s">
        <v>1028</v>
      </c>
      <c r="B2044" s="0" t="s">
        <v>168</v>
      </c>
      <c r="E2044" s="7" t="n">
        <f aca="false">Sens!E2043/Sens!D2043-1</f>
        <v>0.0535164307309768</v>
      </c>
      <c r="F2044" s="7" t="n">
        <f aca="false">Sens!$E$2044+(glt_lic-Sens!$E$2044)*MIN(1,(Sens!F1993-base_fy)/n_conv)</f>
        <v>0.0479303589424807</v>
      </c>
      <c r="G2044" s="7" t="n">
        <f aca="false">Sens!$E$2044+(glt_lic-Sens!$E$2044)*MIN(1,(Sens!G1993-base_fy)/n_conv)</f>
        <v>0.0423442871539845</v>
      </c>
      <c r="H2044" s="7" t="n">
        <f aca="false">Sens!$E$2044+(glt_lic-Sens!$E$2044)*MIN(1,(Sens!H1993-base_fy)/n_conv)</f>
        <v>0.0367582153654884</v>
      </c>
      <c r="I2044" s="7" t="n">
        <f aca="false">Sens!$E$2044+(glt_lic-Sens!$E$2044)*MIN(1,(Sens!I1993-base_fy)/n_conv)</f>
        <v>0.0311721435769923</v>
      </c>
      <c r="J2044" s="7" t="n">
        <f aca="false">Sens!$E$2044+(glt_lic-Sens!$E$2044)*MIN(1,(Sens!J1993-base_fy)/n_conv)</f>
        <v>0.0255860717884961</v>
      </c>
      <c r="K2044" s="7" t="n">
        <f aca="false">Sens!$E$2044+(glt_lic-Sens!$E$2044)*MIN(1,(Sens!K1993-base_fy)/n_conv)</f>
        <v>0.02</v>
      </c>
    </row>
    <row r="2045" customFormat="false" ht="17.15" hidden="false" customHeight="false" outlineLevel="0" collapsed="false">
      <c r="A2045" s="0" t="s">
        <v>1039</v>
      </c>
      <c r="B2045" s="0" t="s">
        <v>98</v>
      </c>
      <c r="D2045" s="6" t="n">
        <f aca="false">Q!L9</f>
        <v>18.417</v>
      </c>
      <c r="E2045" s="6" t="n">
        <f aca="false">Q!M9</f>
        <v>20.345</v>
      </c>
      <c r="F2045" s="6" t="n">
        <f aca="false">Q!$I$9+(Q!M9-Q!$E$9)*(1+Sens!F2046)</f>
        <v>22.3161797133988</v>
      </c>
      <c r="G2045" s="6" t="n">
        <f aca="false">Sens!F2045*(1+Sens!G2046)</f>
        <v>24.3943499673233</v>
      </c>
      <c r="H2045" s="6" t="n">
        <f aca="false">Sens!G2045*(1+Sens!H2046)</f>
        <v>26.5250243109019</v>
      </c>
      <c r="I2045" s="6" t="n">
        <f aca="false">Sens!H2045*(1+Sens!I2046)</f>
        <v>28.6884573538181</v>
      </c>
      <c r="J2045" s="6" t="n">
        <f aca="false">Sens!I2045*(1+Sens!J2046)</f>
        <v>30.8624968052127</v>
      </c>
      <c r="K2045" s="6" t="n">
        <f aca="false">Sens!J2045*(1+Sens!K2046)</f>
        <v>33.0228715815776</v>
      </c>
      <c r="L2045" s="12" t="s">
        <v>1038</v>
      </c>
    </row>
    <row r="2046" customFormat="false" ht="15" hidden="false" customHeight="false" outlineLevel="0" collapsed="false">
      <c r="A2046" s="1" t="s">
        <v>1028</v>
      </c>
      <c r="B2046" s="0" t="s">
        <v>168</v>
      </c>
      <c r="E2046" s="7" t="n">
        <f aca="false">Sens!E2045/Sens!D2045-1</f>
        <v>0.104685888038225</v>
      </c>
      <c r="F2046" s="7" t="n">
        <f aca="false">Sens!$E$2046+(glt_ind-Sens!$E$2046)*MIN(1,(Sens!F1993-base_fy)/n_conv)</f>
        <v>0.0989049066985211</v>
      </c>
      <c r="G2046" s="7" t="n">
        <f aca="false">Sens!$E$2046+(glt_ind-Sens!$E$2046)*MIN(1,(Sens!G1993-base_fy)/n_conv)</f>
        <v>0.0931239253588169</v>
      </c>
      <c r="H2046" s="7" t="n">
        <f aca="false">Sens!$E$2046+(glt_ind-Sens!$E$2046)*MIN(1,(Sens!H1993-base_fy)/n_conv)</f>
        <v>0.0873429440191127</v>
      </c>
      <c r="I2046" s="7" t="n">
        <f aca="false">Sens!$E$2046+(glt_ind-Sens!$E$2046)*MIN(1,(Sens!I1993-base_fy)/n_conv)</f>
        <v>0.0815619626794085</v>
      </c>
      <c r="J2046" s="7" t="n">
        <f aca="false">Sens!$E$2046+(glt_ind-Sens!$E$2046)*MIN(1,(Sens!J1993-base_fy)/n_conv)</f>
        <v>0.0757809813397042</v>
      </c>
      <c r="K2046" s="7" t="n">
        <f aca="false">Sens!$E$2046+(glt_ind-Sens!$E$2046)*MIN(1,(Sens!K1993-base_fy)/n_conv)</f>
        <v>0.07</v>
      </c>
    </row>
    <row r="2047" customFormat="false" ht="17.15" hidden="false" customHeight="false" outlineLevel="0" collapsed="false">
      <c r="A2047" s="0" t="s">
        <v>1040</v>
      </c>
      <c r="B2047" s="0" t="s">
        <v>98</v>
      </c>
      <c r="D2047" s="6" t="n">
        <f aca="false">Q!L10</f>
        <v>7.76</v>
      </c>
      <c r="E2047" s="6" t="n">
        <f aca="false">Q!M10</f>
        <v>8.26</v>
      </c>
      <c r="F2047" s="6" t="n">
        <f aca="false">Q!$I$10+(Q!M10-Q!$E$10)*(1+Sens!F2048)</f>
        <v>8.75372082474227</v>
      </c>
      <c r="G2047" s="6" t="n">
        <f aca="false">Sens!F2047*(1+Sens!G2048)</f>
        <v>9.33399324642364</v>
      </c>
      <c r="H2047" s="6" t="n">
        <f aca="false">Sens!G2047*(1+Sens!H2048)</f>
        <v>9.96139155535851</v>
      </c>
      <c r="I2047" s="6" t="n">
        <f aca="false">Sens!H2047*(1+Sens!I2048)</f>
        <v>10.6402039077391</v>
      </c>
      <c r="J2047" s="6" t="n">
        <f aca="false">Sens!I2047*(1+Sens!J2048)</f>
        <v>11.3751458271397</v>
      </c>
      <c r="K2047" s="6" t="n">
        <f aca="false">Sens!J2047*(1+Sens!K2048)</f>
        <v>12.1714060350394</v>
      </c>
      <c r="L2047" s="12" t="s">
        <v>1038</v>
      </c>
    </row>
    <row r="2048" customFormat="false" ht="15" hidden="false" customHeight="false" outlineLevel="0" collapsed="false">
      <c r="A2048" s="1" t="s">
        <v>1028</v>
      </c>
      <c r="B2048" s="0" t="s">
        <v>168</v>
      </c>
      <c r="E2048" s="7" t="n">
        <f aca="false">Sens!E2047/Sens!D2047-1</f>
        <v>0.0644329896907216</v>
      </c>
      <c r="F2048" s="7" t="n">
        <f aca="false">Sens!$E$2048+(glt_fro-Sens!$E$2048)*MIN(1,(Sens!F1993-base_fy)/n_conv)</f>
        <v>0.065360824742268</v>
      </c>
      <c r="G2048" s="7" t="n">
        <f aca="false">Sens!$E$2048+(glt_fro-Sens!$E$2048)*MIN(1,(Sens!G1993-base_fy)/n_conv)</f>
        <v>0.0662886597938144</v>
      </c>
      <c r="H2048" s="7" t="n">
        <f aca="false">Sens!$E$2048+(glt_fro-Sens!$E$2048)*MIN(1,(Sens!H1993-base_fy)/n_conv)</f>
        <v>0.0672164948453608</v>
      </c>
      <c r="I2048" s="7" t="n">
        <f aca="false">Sens!$E$2048+(glt_fro-Sens!$E$2048)*MIN(1,(Sens!I1993-base_fy)/n_conv)</f>
        <v>0.0681443298969072</v>
      </c>
      <c r="J2048" s="7" t="n">
        <f aca="false">Sens!$E$2048+(glt_fro-Sens!$E$2048)*MIN(1,(Sens!J1993-base_fy)/n_conv)</f>
        <v>0.0690721649484536</v>
      </c>
      <c r="K2048" s="7" t="n">
        <f aca="false">Sens!$E$2048+(glt_fro-Sens!$E$2048)*MIN(1,(Sens!K1993-base_fy)/n_conv)</f>
        <v>0.07</v>
      </c>
    </row>
    <row r="2049" customFormat="false" ht="15" hidden="false" customHeight="false" outlineLevel="0" collapsed="false">
      <c r="A2049" s="0" t="s">
        <v>856</v>
      </c>
      <c r="B2049" s="0" t="s">
        <v>98</v>
      </c>
      <c r="D2049" s="6" t="n">
        <f aca="false">Sens!D2037+Sens!D2042+Sens!D2043+Sens!D2045+Sens!D2047</f>
        <v>218.783</v>
      </c>
      <c r="E2049" s="6" t="n">
        <f aca="false">Sens!E2037+Sens!E2042+Sens!E2043+Sens!E2045+Sens!E2047</f>
        <v>268.127</v>
      </c>
      <c r="F2049" s="6" t="n">
        <f aca="false">Sens!F2037+Sens!F2042+Sens!F2043+Sens!F2045+Sens!F2047</f>
        <v>338.774715894377</v>
      </c>
      <c r="G2049" s="6" t="n">
        <f aca="false">Sens!G2037+Sens!G2042+Sens!G2043+Sens!G2045+Sens!G2047</f>
        <v>425.508058536537</v>
      </c>
      <c r="H2049" s="6" t="n">
        <f aca="false">Sens!H2037+Sens!H2042+Sens!H2043+Sens!H2045+Sens!H2047</f>
        <v>518.580813986921</v>
      </c>
      <c r="I2049" s="6" t="n">
        <f aca="false">Sens!I2037+Sens!I2042+Sens!I2043+Sens!I2045+Sens!I2047</f>
        <v>597.067731307455</v>
      </c>
      <c r="J2049" s="6" t="n">
        <f aca="false">Sens!J2037+Sens!J2042+Sens!J2043+Sens!J2045+Sens!J2047</f>
        <v>659.345790484055</v>
      </c>
      <c r="K2049" s="6" t="n">
        <f aca="false">Sens!K2037+Sens!K2042+Sens!K2043+Sens!K2045+Sens!K2047</f>
        <v>707.958647997291</v>
      </c>
    </row>
    <row r="2050" customFormat="false" ht="17.15" hidden="false" customHeight="false" outlineLevel="0" collapsed="false">
      <c r="A2050" s="0" t="s">
        <v>1041</v>
      </c>
      <c r="B2050" s="0" t="s">
        <v>98</v>
      </c>
      <c r="D2050" s="6" t="n">
        <f aca="false">Q!L13</f>
        <v>22.171</v>
      </c>
      <c r="E2050" s="6" t="n">
        <f aca="false">Q!M13</f>
        <v>24.835</v>
      </c>
      <c r="F2050" s="6" t="n">
        <f aca="false">Q!$I$13+(Q!M13-Q!$E$13)*(1+Sens!F2051)</f>
        <v>27.5591895660247</v>
      </c>
      <c r="G2050" s="6" t="n">
        <f aca="false">Sens!F2050*(1+Sens!G2051)</f>
        <v>30.4098563144583</v>
      </c>
      <c r="H2050" s="6" t="n">
        <f aca="false">Sens!G2050*(1+Sens!H2051)</f>
        <v>33.3011792571777</v>
      </c>
      <c r="I2050" s="6" t="n">
        <f aca="false">Sens!H2050*(1+Sens!I2051)</f>
        <v>36.189023797112</v>
      </c>
      <c r="J2050" s="6" t="n">
        <f aca="false">Sens!I2050*(1+Sens!J2051)</f>
        <v>39.0247773769199</v>
      </c>
      <c r="K2050" s="6" t="n">
        <f aca="false">Sens!J2050*(1+Sens!K2051)</f>
        <v>41.7565117933043</v>
      </c>
      <c r="L2050" s="12" t="s">
        <v>1038</v>
      </c>
    </row>
    <row r="2051" customFormat="false" ht="15" hidden="false" customHeight="false" outlineLevel="0" collapsed="false">
      <c r="A2051" s="1" t="s">
        <v>1028</v>
      </c>
      <c r="B2051" s="0" t="s">
        <v>168</v>
      </c>
      <c r="E2051" s="7" t="n">
        <f aca="false">Sens!E2050/Sens!D2050-1</f>
        <v>0.120156961796942</v>
      </c>
      <c r="F2051" s="7" t="n">
        <f aca="false">Sens!$E$2051+(glt_srch-Sens!$E$2051)*MIN(1,(Sens!F1993-base_fy)/n_conv)</f>
        <v>0.111797468164118</v>
      </c>
      <c r="G2051" s="7" t="n">
        <f aca="false">Sens!$E$2051+(glt_srch-Sens!$E$2051)*MIN(1,(Sens!G1993-base_fy)/n_conv)</f>
        <v>0.103437974531295</v>
      </c>
      <c r="H2051" s="7" t="n">
        <f aca="false">Sens!$E$2051+(glt_srch-Sens!$E$2051)*MIN(1,(Sens!H1993-base_fy)/n_conv)</f>
        <v>0.095078480898471</v>
      </c>
      <c r="I2051" s="7" t="n">
        <f aca="false">Sens!$E$2051+(glt_srch-Sens!$E$2051)*MIN(1,(Sens!I1993-base_fy)/n_conv)</f>
        <v>0.0867189872656474</v>
      </c>
      <c r="J2051" s="7" t="n">
        <f aca="false">Sens!$E$2051+(glt_srch-Sens!$E$2051)*MIN(1,(Sens!J1993-base_fy)/n_conv)</f>
        <v>0.0783594936328237</v>
      </c>
      <c r="K2051" s="7" t="n">
        <f aca="false">Sens!$E$2051+(glt_srch-Sens!$E$2051)*MIN(1,(Sens!K1993-base_fy)/n_conv)</f>
        <v>0.07</v>
      </c>
    </row>
    <row r="2052" customFormat="false" ht="17.15" hidden="false" customHeight="false" outlineLevel="0" collapsed="false">
      <c r="A2052" s="0" t="s">
        <v>1042</v>
      </c>
      <c r="B2052" s="0" t="s">
        <v>98</v>
      </c>
      <c r="D2052" s="6" t="n">
        <f aca="false">Q!L14</f>
        <v>23.455</v>
      </c>
      <c r="E2052" s="6" t="n">
        <f aca="false">Q!M14</f>
        <v>21.79</v>
      </c>
      <c r="F2052" s="6" t="n">
        <f aca="false">Q!$I$14+(Q!M14-Q!$E$14)*(1+Sens!F2053)</f>
        <v>20.7520981041711</v>
      </c>
      <c r="G2052" s="6" t="n">
        <f aca="false">Sens!F2052*(1+Sens!G2053)</f>
        <v>19.9083593495882</v>
      </c>
      <c r="H2052" s="6" t="n">
        <f aca="false">Sens!G2052*(1+Sens!H2053)</f>
        <v>19.4008256265831</v>
      </c>
      <c r="I2052" s="6" t="n">
        <f aca="false">Sens!H2052*(1+Sens!I2053)</f>
        <v>19.200434522122</v>
      </c>
      <c r="J2052" s="6" t="n">
        <f aca="false">Sens!I2052*(1+Sens!J2053)</f>
        <v>19.2932782348507</v>
      </c>
      <c r="K2052" s="6" t="n">
        <f aca="false">Sens!J2052*(1+Sens!K2053)</f>
        <v>19.6791437995477</v>
      </c>
      <c r="L2052" s="12" t="s">
        <v>1038</v>
      </c>
    </row>
    <row r="2053" customFormat="false" ht="15" hidden="false" customHeight="false" outlineLevel="0" collapsed="false">
      <c r="A2053" s="1" t="s">
        <v>1028</v>
      </c>
      <c r="B2053" s="0" t="s">
        <v>168</v>
      </c>
      <c r="E2053" s="7" t="n">
        <f aca="false">Sens!E2052/Sens!D2052-1</f>
        <v>-0.0709869963760392</v>
      </c>
      <c r="F2053" s="7" t="n">
        <f aca="false">Sens!$E$2053+(glt_xbox-Sens!$E$2053)*MIN(1,(Sens!F1993-base_fy)/n_conv)</f>
        <v>-0.0558224969800327</v>
      </c>
      <c r="G2053" s="7" t="n">
        <f aca="false">Sens!$E$2053+(glt_xbox-Sens!$E$2053)*MIN(1,(Sens!G1993-base_fy)/n_conv)</f>
        <v>-0.0406579975840262</v>
      </c>
      <c r="H2053" s="7" t="n">
        <f aca="false">Sens!$E$2053+(glt_xbox-Sens!$E$2053)*MIN(1,(Sens!H1993-base_fy)/n_conv)</f>
        <v>-0.0254934981880196</v>
      </c>
      <c r="I2053" s="7" t="n">
        <f aca="false">Sens!$E$2053+(glt_xbox-Sens!$E$2053)*MIN(1,(Sens!I1993-base_fy)/n_conv)</f>
        <v>-0.0103289987920131</v>
      </c>
      <c r="J2053" s="7" t="n">
        <f aca="false">Sens!$E$2053+(glt_xbox-Sens!$E$2053)*MIN(1,(Sens!J1993-base_fy)/n_conv)</f>
        <v>0.00483550060399347</v>
      </c>
      <c r="K2053" s="7" t="n">
        <f aca="false">Sens!$E$2053+(glt_xbox-Sens!$E$2053)*MIN(1,(Sens!K1993-base_fy)/n_conv)</f>
        <v>0.02</v>
      </c>
    </row>
    <row r="2054" customFormat="false" ht="17.15" hidden="false" customHeight="false" outlineLevel="0" collapsed="false">
      <c r="A2054" s="0" t="s">
        <v>1043</v>
      </c>
      <c r="B2054" s="0" t="s">
        <v>98</v>
      </c>
      <c r="D2054" s="6" t="n">
        <f aca="false">Q!L15</f>
        <v>17.315</v>
      </c>
      <c r="E2054" s="6" t="n">
        <f aca="false">Q!M15</f>
        <v>17.087</v>
      </c>
      <c r="F2054" s="6" t="n">
        <f aca="false">Q!$I$15+(Q!M15-Q!$E$15)*(1+Sens!F2055)</f>
        <v>15.9912273250553</v>
      </c>
      <c r="G2054" s="6" t="n">
        <f aca="false">Sens!F2054*(1+Sens!G2055)</f>
        <v>15.9574562664827</v>
      </c>
      <c r="H2054" s="6" t="n">
        <f aca="false">Sens!G2054*(1+Sens!H2055)</f>
        <v>16.0119687434196</v>
      </c>
      <c r="I2054" s="6" t="n">
        <f aca="false">Sens!H2054*(1+Sens!I2055)</f>
        <v>16.1551810001948</v>
      </c>
      <c r="J2054" s="6" t="n">
        <f aca="false">Sens!I2054*(1+Sens!J2055)</f>
        <v>16.3889793892005</v>
      </c>
      <c r="K2054" s="6" t="n">
        <f aca="false">Sens!J2054*(1+Sens!K2055)</f>
        <v>16.7167589769845</v>
      </c>
      <c r="L2054" s="12" t="s">
        <v>1038</v>
      </c>
    </row>
    <row r="2055" customFormat="false" ht="15" hidden="false" customHeight="false" outlineLevel="0" collapsed="false">
      <c r="A2055" s="1" t="s">
        <v>1028</v>
      </c>
      <c r="B2055" s="0" t="s">
        <v>168</v>
      </c>
      <c r="E2055" s="7" t="n">
        <f aca="false">Sens!E2054/Sens!D2054-1</f>
        <v>-0.0131677736066995</v>
      </c>
      <c r="F2055" s="7" t="n">
        <f aca="false">Sens!$E$2055+(glt_win-Sens!$E$2055)*MIN(1,(Sens!F1993-base_fy)/n_conv)</f>
        <v>-0.00763981133891627</v>
      </c>
      <c r="G2055" s="7" t="n">
        <f aca="false">Sens!$E$2055+(glt_win-Sens!$E$2055)*MIN(1,(Sens!G1993-base_fy)/n_conv)</f>
        <v>-0.00211184907113301</v>
      </c>
      <c r="H2055" s="7" t="n">
        <f aca="false">Sens!$E$2055+(glt_win-Sens!$E$2055)*MIN(1,(Sens!H1993-base_fy)/n_conv)</f>
        <v>0.00341611319665024</v>
      </c>
      <c r="I2055" s="7" t="n">
        <f aca="false">Sens!$E$2055+(glt_win-Sens!$E$2055)*MIN(1,(Sens!I1993-base_fy)/n_conv)</f>
        <v>0.00894407546443349</v>
      </c>
      <c r="J2055" s="7" t="n">
        <f aca="false">Sens!$E$2055+(glt_win-Sens!$E$2055)*MIN(1,(Sens!J1993-base_fy)/n_conv)</f>
        <v>0.0144720377322168</v>
      </c>
      <c r="K2055" s="7" t="n">
        <f aca="false">Sens!$E$2055+(glt_win-Sens!$E$2055)*MIN(1,(Sens!K1993-base_fy)/n_conv)</f>
        <v>0.02</v>
      </c>
    </row>
    <row r="2056" customFormat="false" ht="15" hidden="false" customHeight="false" outlineLevel="0" collapsed="false">
      <c r="A2056" s="0" t="s">
        <v>870</v>
      </c>
      <c r="B2056" s="0" t="s">
        <v>98</v>
      </c>
      <c r="D2056" s="6" t="n">
        <f aca="false">Sens!D2050+Sens!D2052+Sens!D2054</f>
        <v>62.941</v>
      </c>
      <c r="E2056" s="6" t="n">
        <f aca="false">Sens!E2050+Sens!E2052+Sens!E2054</f>
        <v>63.712</v>
      </c>
      <c r="F2056" s="6" t="n">
        <f aca="false">Sens!F2050+Sens!F2052+Sens!F2054</f>
        <v>64.3025149952511</v>
      </c>
      <c r="G2056" s="6" t="n">
        <f aca="false">Sens!G2050+Sens!G2052+Sens!G2054</f>
        <v>66.2756719305292</v>
      </c>
      <c r="H2056" s="6" t="n">
        <f aca="false">Sens!H2050+Sens!H2052+Sens!H2054</f>
        <v>68.7139736271804</v>
      </c>
      <c r="I2056" s="6" t="n">
        <f aca="false">Sens!I2050+Sens!I2052+Sens!I2054</f>
        <v>71.5446393194289</v>
      </c>
      <c r="J2056" s="6" t="n">
        <f aca="false">Sens!J2050+Sens!J2052+Sens!J2054</f>
        <v>74.707035000971</v>
      </c>
      <c r="K2056" s="6" t="n">
        <f aca="false">Sens!K2050+Sens!K2052+Sens!K2054</f>
        <v>78.1524145698365</v>
      </c>
    </row>
    <row r="2057" customFormat="false" ht="15" hidden="false" customHeight="false" outlineLevel="0" collapsed="false">
      <c r="A2057" s="1" t="s">
        <v>1044</v>
      </c>
      <c r="B2057" s="0" t="s">
        <v>98</v>
      </c>
      <c r="D2057" s="6" t="n">
        <f aca="false">Sens!D2049+Sens!D2056</f>
        <v>281.724</v>
      </c>
      <c r="E2057" s="6" t="n">
        <f aca="false">Sens!E2049+Sens!E2056</f>
        <v>331.839</v>
      </c>
      <c r="F2057" s="6" t="n">
        <f aca="false">Sens!F2049+Sens!F2056</f>
        <v>403.077230889628</v>
      </c>
      <c r="G2057" s="6" t="n">
        <f aca="false">Sens!G2049+Sens!G2056</f>
        <v>491.783730467066</v>
      </c>
      <c r="H2057" s="6" t="n">
        <f aca="false">Sens!H2049+Sens!H2056</f>
        <v>587.294787614101</v>
      </c>
      <c r="I2057" s="6" t="n">
        <f aca="false">Sens!I2049+Sens!I2056</f>
        <v>668.612370626884</v>
      </c>
      <c r="J2057" s="6" t="n">
        <f aca="false">Sens!J2049+Sens!J2056</f>
        <v>734.052825485026</v>
      </c>
      <c r="K2057" s="6" t="n">
        <f aca="false">Sens!K2049+Sens!K2056</f>
        <v>786.111062567128</v>
      </c>
    </row>
    <row r="2058" customFormat="false" ht="15" hidden="false" customHeight="false" outlineLevel="0" collapsed="false">
      <c r="A2058" s="26" t="s">
        <v>1045</v>
      </c>
      <c r="B2058" s="31" t="s">
        <v>98</v>
      </c>
      <c r="C2058" s="31"/>
      <c r="D2058" s="27" t="n">
        <f aca="false">(Sens!D2037+Sens!D2042+Sens!D2043+Sens!D2045+Sens!D2047-Sens!D2049)+(Sens!D2050+Sens!D2052+Sens!D2054-Sens!D2056)+(Sens!D2049-Q!L5)+(Sens!D2056-Q!L12)+(Sens!D2037-Q!L6)+(Sens!D2042-Q!L7)</f>
        <v>0</v>
      </c>
      <c r="E2058" s="27" t="n">
        <f aca="false">(Sens!E2037+Sens!E2042+Sens!E2043+Sens!E2045+Sens!E2047-Sens!E2049)+(Sens!E2050+Sens!E2052+Sens!E2054-Sens!E2056)+(Sens!E2049-Q!M5)+(Sens!E2056-Q!M12)+(Sens!E2037-Q!M6)+(Sens!E2042-Q!M7)</f>
        <v>0</v>
      </c>
      <c r="F2058" s="27" t="n">
        <f aca="false">(Sens!F2037+Sens!F2042+Sens!F2043+Sens!F2045+Sens!F2047-Sens!F2049)+(Sens!F2050+Sens!F2052+Sens!F2054-Sens!F2056)</f>
        <v>0</v>
      </c>
      <c r="G2058" s="27" t="n">
        <f aca="false">(Sens!G2037+Sens!G2042+Sens!G2043+Sens!G2045+Sens!G2047-Sens!G2049)+(Sens!G2050+Sens!G2052+Sens!G2054-Sens!G2056)</f>
        <v>0</v>
      </c>
      <c r="H2058" s="27" t="n">
        <f aca="false">(Sens!H2037+Sens!H2042+Sens!H2043+Sens!H2045+Sens!H2047-Sens!H2049)+(Sens!H2050+Sens!H2052+Sens!H2054-Sens!H2056)</f>
        <v>0</v>
      </c>
      <c r="I2058" s="27" t="n">
        <f aca="false">(Sens!I2037+Sens!I2042+Sens!I2043+Sens!I2045+Sens!I2047-Sens!I2049)+(Sens!I2050+Sens!I2052+Sens!I2054-Sens!I2056)</f>
        <v>0</v>
      </c>
      <c r="J2058" s="27" t="n">
        <f aca="false">(Sens!J2037+Sens!J2042+Sens!J2043+Sens!J2045+Sens!J2047-Sens!J2049)+(Sens!J2050+Sens!J2052+Sens!J2054-Sens!J2056)</f>
        <v>0</v>
      </c>
      <c r="K2058" s="27" t="n">
        <f aca="false">(Sens!K2037+Sens!K2042+Sens!K2043+Sens!K2045+Sens!K2047-Sens!K2049)+(Sens!K2050+Sens!K2052+Sens!K2054-Sens!K2056)</f>
        <v>0</v>
      </c>
    </row>
    <row r="2059" customFormat="false" ht="17.15" hidden="false" customHeight="false" outlineLevel="0" collapsed="false">
      <c r="A2059" s="3" t="s">
        <v>1662</v>
      </c>
    </row>
    <row r="2060" customFormat="false" ht="15" hidden="false" customHeight="false" outlineLevel="0" collapsed="false">
      <c r="A2060" s="4" t="s">
        <v>43</v>
      </c>
      <c r="B2060" s="4" t="s">
        <v>65</v>
      </c>
      <c r="C2060" s="23" t="s">
        <v>942</v>
      </c>
      <c r="D2060" s="23" t="s">
        <v>943</v>
      </c>
      <c r="E2060" s="23" t="s">
        <v>944</v>
      </c>
      <c r="F2060" s="23" t="s">
        <v>945</v>
      </c>
      <c r="G2060" s="23" t="s">
        <v>946</v>
      </c>
      <c r="H2060" s="23" t="s">
        <v>947</v>
      </c>
      <c r="I2060" s="23" t="s">
        <v>948</v>
      </c>
      <c r="J2060" s="23" t="s">
        <v>949</v>
      </c>
      <c r="K2060" s="23" t="s">
        <v>950</v>
      </c>
      <c r="L2060" s="4" t="s">
        <v>47</v>
      </c>
    </row>
    <row r="2061" customFormat="false" ht="15" hidden="false" customHeight="false" outlineLevel="0" collapsed="false">
      <c r="A2061" s="0" t="s">
        <v>1029</v>
      </c>
      <c r="B2061" s="0" t="s">
        <v>98</v>
      </c>
      <c r="D2061" s="6" t="n">
        <f aca="false">Sens!D2037</f>
        <v>72.61</v>
      </c>
      <c r="E2061" s="6" t="n">
        <f aca="false">Sens!E2037</f>
        <v>101.938</v>
      </c>
      <c r="F2061" s="6" t="n">
        <f aca="false">Sens!F2037</f>
        <v>149.59001837225</v>
      </c>
      <c r="G2061" s="6" t="n">
        <f aca="false">Sens!G2037</f>
        <v>210.963087346352</v>
      </c>
      <c r="H2061" s="6" t="n">
        <f aca="false">Sens!H2037</f>
        <v>278.649709314524</v>
      </c>
      <c r="I2061" s="6" t="n">
        <f aca="false">Sens!I2037</f>
        <v>334.269404582332</v>
      </c>
      <c r="J2061" s="6" t="n">
        <f aca="false">Sens!J2037</f>
        <v>376.517293063672</v>
      </c>
      <c r="K2061" s="6" t="n">
        <f aca="false">Sens!K2037</f>
        <v>406.018092622804</v>
      </c>
    </row>
    <row r="2062" customFormat="false" ht="17.15" hidden="false" customHeight="false" outlineLevel="0" collapsed="false">
      <c r="A2062" s="0" t="s">
        <v>1025</v>
      </c>
      <c r="B2062" s="0" t="s">
        <v>98</v>
      </c>
      <c r="D2062" s="6" t="n">
        <f aca="false">Sens!D2034</f>
        <v>12.9359794422418</v>
      </c>
      <c r="E2062" s="6" t="n">
        <f aca="false">Sens!E2034</f>
        <v>27.8095064661409</v>
      </c>
      <c r="F2062" s="6" t="n">
        <f aca="false">Sens!F2034</f>
        <v>59.1034165651511</v>
      </c>
      <c r="G2062" s="6" t="n">
        <f aca="false">Sens!G2034</f>
        <v>103.451498789198</v>
      </c>
      <c r="H2062" s="6" t="n">
        <f aca="false">Sens!H2034</f>
        <v>153.816719989035</v>
      </c>
      <c r="I2062" s="6" t="n">
        <f aca="false">Sens!I2034</f>
        <v>192.699478690852</v>
      </c>
      <c r="J2062" s="6" t="n">
        <f aca="false">Sens!J2034</f>
        <v>219.794102584244</v>
      </c>
      <c r="K2062" s="6" t="n">
        <f aca="false">Sens!K2034</f>
        <v>236.757046905022</v>
      </c>
    </row>
    <row r="2063" customFormat="false" ht="17.15" hidden="false" customHeight="false" outlineLevel="0" collapsed="false">
      <c r="A2063" s="0" t="s">
        <v>1056</v>
      </c>
      <c r="B2063" s="0" t="s">
        <v>98</v>
      </c>
      <c r="D2063" s="6" t="n">
        <f aca="false">Sens!D2035</f>
        <v>59.6740205577583</v>
      </c>
      <c r="E2063" s="6" t="n">
        <f aca="false">Sens!E2035</f>
        <v>74.1284935338591</v>
      </c>
      <c r="F2063" s="6" t="n">
        <f aca="false">Sens!F2035</f>
        <v>90.4866018070994</v>
      </c>
      <c r="G2063" s="6" t="n">
        <f aca="false">Sens!G2035</f>
        <v>107.511588557154</v>
      </c>
      <c r="H2063" s="6" t="n">
        <f aca="false">Sens!H2035</f>
        <v>124.832989325489</v>
      </c>
      <c r="I2063" s="6" t="n">
        <f aca="false">Sens!I2035</f>
        <v>141.56992589148</v>
      </c>
      <c r="J2063" s="6" t="n">
        <f aca="false">Sens!J2035</f>
        <v>156.723190479428</v>
      </c>
      <c r="K2063" s="6" t="n">
        <f aca="false">Sens!K2035</f>
        <v>169.261045717783</v>
      </c>
    </row>
    <row r="2064" customFormat="false" ht="15" hidden="false" customHeight="false" outlineLevel="0" collapsed="false">
      <c r="A2064" s="0" t="s">
        <v>1036</v>
      </c>
      <c r="B2064" s="0" t="s">
        <v>98</v>
      </c>
      <c r="D2064" s="6" t="n">
        <f aca="false">Sens!D2042</f>
        <v>84.605</v>
      </c>
      <c r="E2064" s="6" t="n">
        <f aca="false">Sens!E2042</f>
        <v>100.299</v>
      </c>
      <c r="F2064" s="6" t="n">
        <f aca="false">Sens!F2042</f>
        <v>119.729653205718</v>
      </c>
      <c r="G2064" s="6" t="n">
        <f aca="false">Sens!G2042</f>
        <v>140.806092647576</v>
      </c>
      <c r="H2064" s="6" t="n">
        <f aca="false">Sens!H2042</f>
        <v>161.963437602768</v>
      </c>
      <c r="I2064" s="6" t="n">
        <f aca="false">Sens!I2042</f>
        <v>180.695354741933</v>
      </c>
      <c r="J2064" s="6" t="n">
        <f aca="false">Sens!J2042</f>
        <v>196.722117481571</v>
      </c>
      <c r="K2064" s="6" t="n">
        <f aca="false">Sens!K2042</f>
        <v>212.00016570528</v>
      </c>
    </row>
    <row r="2065" customFormat="false" ht="17.15" hidden="false" customHeight="false" outlineLevel="0" collapsed="false">
      <c r="A2065" s="0" t="s">
        <v>1057</v>
      </c>
      <c r="B2065" s="0" t="s">
        <v>98</v>
      </c>
      <c r="D2065" s="6" t="n">
        <f aca="false">Sens!D2040</f>
        <v>83.705</v>
      </c>
      <c r="E2065" s="6" t="n">
        <f aca="false">Sens!E2040</f>
        <v>95.049</v>
      </c>
      <c r="F2065" s="6" t="n">
        <f aca="false">Sens!F2040</f>
        <v>106.229653205718</v>
      </c>
      <c r="G2065" s="6" t="n">
        <f aca="false">Sens!G2040</f>
        <v>118.306092647576</v>
      </c>
      <c r="H2065" s="6" t="n">
        <f aca="false">Sens!H2040</f>
        <v>130.463437602768</v>
      </c>
      <c r="I2065" s="6" t="n">
        <f aca="false">Sens!I2040</f>
        <v>142.445354741933</v>
      </c>
      <c r="J2065" s="6" t="n">
        <f aca="false">Sens!J2040</f>
        <v>153.972117481571</v>
      </c>
      <c r="K2065" s="6" t="n">
        <f aca="false">Sens!K2040</f>
        <v>164.75016570528</v>
      </c>
    </row>
    <row r="2066" customFormat="false" ht="17.15" hidden="false" customHeight="false" outlineLevel="0" collapsed="false">
      <c r="A2066" s="0" t="s">
        <v>1058</v>
      </c>
      <c r="B2066" s="0" t="s">
        <v>98</v>
      </c>
      <c r="D2066" s="6" t="n">
        <f aca="false">Sens!D2039</f>
        <v>0.9</v>
      </c>
      <c r="E2066" s="6" t="n">
        <f aca="false">Sens!E2039</f>
        <v>5.25</v>
      </c>
      <c r="F2066" s="6" t="n">
        <f aca="false">Sens!F2039</f>
        <v>13.5</v>
      </c>
      <c r="G2066" s="6" t="n">
        <f aca="false">Sens!G2039</f>
        <v>22.5</v>
      </c>
      <c r="H2066" s="6" t="n">
        <f aca="false">Sens!H2039</f>
        <v>31.5</v>
      </c>
      <c r="I2066" s="6" t="n">
        <f aca="false">Sens!I2039</f>
        <v>38.25</v>
      </c>
      <c r="J2066" s="6" t="n">
        <f aca="false">Sens!J2039</f>
        <v>42.75</v>
      </c>
      <c r="K2066" s="6" t="n">
        <f aca="false">Sens!K2039</f>
        <v>47.25</v>
      </c>
    </row>
    <row r="2067" customFormat="false" ht="15" hidden="false" customHeight="false" outlineLevel="0" collapsed="false">
      <c r="A2067" s="0" t="s">
        <v>1037</v>
      </c>
      <c r="B2067" s="0" t="s">
        <v>98</v>
      </c>
      <c r="D2067" s="6" t="n">
        <f aca="false">Sens!D2043</f>
        <v>35.391</v>
      </c>
      <c r="E2067" s="6" t="n">
        <f aca="false">Sens!E2043</f>
        <v>37.285</v>
      </c>
      <c r="F2067" s="6" t="n">
        <f aca="false">Sens!F2043</f>
        <v>38.3851437782675</v>
      </c>
      <c r="G2067" s="6" t="n">
        <f aca="false">Sens!G2043</f>
        <v>40.0105353288615</v>
      </c>
      <c r="H2067" s="6" t="n">
        <f aca="false">Sens!H2043</f>
        <v>41.4812512033683</v>
      </c>
      <c r="I2067" s="6" t="n">
        <f aca="false">Sens!I2043</f>
        <v>42.7743107216329</v>
      </c>
      <c r="J2067" s="6" t="n">
        <f aca="false">Sens!J2043</f>
        <v>43.8687373064601</v>
      </c>
      <c r="K2067" s="6" t="n">
        <f aca="false">Sens!K2043</f>
        <v>44.7461120525893</v>
      </c>
    </row>
    <row r="2068" customFormat="false" ht="15" hidden="false" customHeight="false" outlineLevel="0" collapsed="false">
      <c r="A2068" s="0" t="s">
        <v>1039</v>
      </c>
      <c r="B2068" s="0" t="s">
        <v>98</v>
      </c>
      <c r="D2068" s="6" t="n">
        <f aca="false">Sens!D2045</f>
        <v>18.417</v>
      </c>
      <c r="E2068" s="6" t="n">
        <f aca="false">Sens!E2045</f>
        <v>20.345</v>
      </c>
      <c r="F2068" s="6" t="n">
        <f aca="false">Sens!F2045</f>
        <v>22.3161797133988</v>
      </c>
      <c r="G2068" s="6" t="n">
        <f aca="false">Sens!G2045</f>
        <v>24.3943499673233</v>
      </c>
      <c r="H2068" s="6" t="n">
        <f aca="false">Sens!H2045</f>
        <v>26.5250243109019</v>
      </c>
      <c r="I2068" s="6" t="n">
        <f aca="false">Sens!I2045</f>
        <v>28.6884573538181</v>
      </c>
      <c r="J2068" s="6" t="n">
        <f aca="false">Sens!J2045</f>
        <v>30.8624968052127</v>
      </c>
      <c r="K2068" s="6" t="n">
        <f aca="false">Sens!K2045</f>
        <v>33.0228715815776</v>
      </c>
    </row>
    <row r="2069" customFormat="false" ht="15" hidden="false" customHeight="false" outlineLevel="0" collapsed="false">
      <c r="A2069" s="0" t="s">
        <v>1040</v>
      </c>
      <c r="B2069" s="0" t="s">
        <v>98</v>
      </c>
      <c r="D2069" s="6" t="n">
        <f aca="false">Sens!D2047</f>
        <v>7.76</v>
      </c>
      <c r="E2069" s="6" t="n">
        <f aca="false">Sens!E2047</f>
        <v>8.26</v>
      </c>
      <c r="F2069" s="6" t="n">
        <f aca="false">Sens!F2047</f>
        <v>8.75372082474227</v>
      </c>
      <c r="G2069" s="6" t="n">
        <f aca="false">Sens!G2047</f>
        <v>9.33399324642364</v>
      </c>
      <c r="H2069" s="6" t="n">
        <f aca="false">Sens!H2047</f>
        <v>9.96139155535851</v>
      </c>
      <c r="I2069" s="6" t="n">
        <f aca="false">Sens!I2047</f>
        <v>10.6402039077391</v>
      </c>
      <c r="J2069" s="6" t="n">
        <f aca="false">Sens!J2047</f>
        <v>11.3751458271397</v>
      </c>
      <c r="K2069" s="6" t="n">
        <f aca="false">Sens!K2047</f>
        <v>12.1714060350394</v>
      </c>
    </row>
    <row r="2070" customFormat="false" ht="15" hidden="false" customHeight="false" outlineLevel="0" collapsed="false">
      <c r="A2070" s="0" t="s">
        <v>856</v>
      </c>
      <c r="B2070" s="0" t="s">
        <v>98</v>
      </c>
      <c r="D2070" s="6" t="n">
        <f aca="false">Sens!D2049</f>
        <v>218.783</v>
      </c>
      <c r="E2070" s="6" t="n">
        <f aca="false">Sens!E2049</f>
        <v>268.127</v>
      </c>
      <c r="F2070" s="6" t="n">
        <f aca="false">Sens!F2049</f>
        <v>338.774715894377</v>
      </c>
      <c r="G2070" s="6" t="n">
        <f aca="false">Sens!G2049</f>
        <v>425.508058536537</v>
      </c>
      <c r="H2070" s="6" t="n">
        <f aca="false">Sens!H2049</f>
        <v>518.580813986921</v>
      </c>
      <c r="I2070" s="6" t="n">
        <f aca="false">Sens!I2049</f>
        <v>597.067731307455</v>
      </c>
      <c r="J2070" s="6" t="n">
        <f aca="false">Sens!J2049</f>
        <v>659.345790484055</v>
      </c>
      <c r="K2070" s="6" t="n">
        <f aca="false">Sens!K2049</f>
        <v>707.958647997291</v>
      </c>
    </row>
    <row r="2071" customFormat="false" ht="15" hidden="false" customHeight="false" outlineLevel="0" collapsed="false">
      <c r="A2071" s="0" t="s">
        <v>1041</v>
      </c>
      <c r="B2071" s="0" t="s">
        <v>98</v>
      </c>
      <c r="D2071" s="6" t="n">
        <f aca="false">Sens!D2050</f>
        <v>22.171</v>
      </c>
      <c r="E2071" s="6" t="n">
        <f aca="false">Sens!E2050</f>
        <v>24.835</v>
      </c>
      <c r="F2071" s="6" t="n">
        <f aca="false">Sens!F2050</f>
        <v>27.5591895660247</v>
      </c>
      <c r="G2071" s="6" t="n">
        <f aca="false">Sens!G2050</f>
        <v>30.4098563144583</v>
      </c>
      <c r="H2071" s="6" t="n">
        <f aca="false">Sens!H2050</f>
        <v>33.3011792571777</v>
      </c>
      <c r="I2071" s="6" t="n">
        <f aca="false">Sens!I2050</f>
        <v>36.189023797112</v>
      </c>
      <c r="J2071" s="6" t="n">
        <f aca="false">Sens!J2050</f>
        <v>39.0247773769199</v>
      </c>
      <c r="K2071" s="6" t="n">
        <f aca="false">Sens!K2050</f>
        <v>41.7565117933043</v>
      </c>
    </row>
    <row r="2072" customFormat="false" ht="15" hidden="false" customHeight="false" outlineLevel="0" collapsed="false">
      <c r="A2072" s="0" t="s">
        <v>1042</v>
      </c>
      <c r="B2072" s="0" t="s">
        <v>98</v>
      </c>
      <c r="D2072" s="6" t="n">
        <f aca="false">Sens!D2052</f>
        <v>23.455</v>
      </c>
      <c r="E2072" s="6" t="n">
        <f aca="false">Sens!E2052</f>
        <v>21.79</v>
      </c>
      <c r="F2072" s="6" t="n">
        <f aca="false">Sens!F2052</f>
        <v>20.7520981041711</v>
      </c>
      <c r="G2072" s="6" t="n">
        <f aca="false">Sens!G2052</f>
        <v>19.9083593495882</v>
      </c>
      <c r="H2072" s="6" t="n">
        <f aca="false">Sens!H2052</f>
        <v>19.4008256265831</v>
      </c>
      <c r="I2072" s="6" t="n">
        <f aca="false">Sens!I2052</f>
        <v>19.200434522122</v>
      </c>
      <c r="J2072" s="6" t="n">
        <f aca="false">Sens!J2052</f>
        <v>19.2932782348507</v>
      </c>
      <c r="K2072" s="6" t="n">
        <f aca="false">Sens!K2052</f>
        <v>19.6791437995477</v>
      </c>
    </row>
    <row r="2073" customFormat="false" ht="15" hidden="false" customHeight="false" outlineLevel="0" collapsed="false">
      <c r="A2073" s="0" t="s">
        <v>1043</v>
      </c>
      <c r="B2073" s="0" t="s">
        <v>98</v>
      </c>
      <c r="D2073" s="6" t="n">
        <f aca="false">Sens!D2054</f>
        <v>17.315</v>
      </c>
      <c r="E2073" s="6" t="n">
        <f aca="false">Sens!E2054</f>
        <v>17.087</v>
      </c>
      <c r="F2073" s="6" t="n">
        <f aca="false">Sens!F2054</f>
        <v>15.9912273250553</v>
      </c>
      <c r="G2073" s="6" t="n">
        <f aca="false">Sens!G2054</f>
        <v>15.9574562664827</v>
      </c>
      <c r="H2073" s="6" t="n">
        <f aca="false">Sens!H2054</f>
        <v>16.0119687434196</v>
      </c>
      <c r="I2073" s="6" t="n">
        <f aca="false">Sens!I2054</f>
        <v>16.1551810001948</v>
      </c>
      <c r="J2073" s="6" t="n">
        <f aca="false">Sens!J2054</f>
        <v>16.3889793892005</v>
      </c>
      <c r="K2073" s="6" t="n">
        <f aca="false">Sens!K2054</f>
        <v>16.7167589769845</v>
      </c>
    </row>
    <row r="2074" customFormat="false" ht="15" hidden="false" customHeight="false" outlineLevel="0" collapsed="false">
      <c r="A2074" s="0" t="s">
        <v>870</v>
      </c>
      <c r="B2074" s="0" t="s">
        <v>98</v>
      </c>
      <c r="D2074" s="6" t="n">
        <f aca="false">Sens!D2056</f>
        <v>62.941</v>
      </c>
      <c r="E2074" s="6" t="n">
        <f aca="false">Sens!E2056</f>
        <v>63.712</v>
      </c>
      <c r="F2074" s="6" t="n">
        <f aca="false">Sens!F2056</f>
        <v>64.3025149952511</v>
      </c>
      <c r="G2074" s="6" t="n">
        <f aca="false">Sens!G2056</f>
        <v>66.2756719305292</v>
      </c>
      <c r="H2074" s="6" t="n">
        <f aca="false">Sens!H2056</f>
        <v>68.7139736271804</v>
      </c>
      <c r="I2074" s="6" t="n">
        <f aca="false">Sens!I2056</f>
        <v>71.5446393194289</v>
      </c>
      <c r="J2074" s="6" t="n">
        <f aca="false">Sens!J2056</f>
        <v>74.707035000971</v>
      </c>
      <c r="K2074" s="6" t="n">
        <f aca="false">Sens!K2056</f>
        <v>78.1524145698365</v>
      </c>
    </row>
    <row r="2075" customFormat="false" ht="15" hidden="false" customHeight="false" outlineLevel="0" collapsed="false">
      <c r="A2075" s="1" t="s">
        <v>1059</v>
      </c>
      <c r="B2075" s="0" t="s">
        <v>98</v>
      </c>
      <c r="D2075" s="6" t="n">
        <f aca="false">Sens!D2057</f>
        <v>281.724</v>
      </c>
      <c r="E2075" s="6" t="n">
        <f aca="false">Sens!E2057</f>
        <v>331.839</v>
      </c>
      <c r="F2075" s="6" t="n">
        <f aca="false">Sens!F2057</f>
        <v>403.077230889628</v>
      </c>
      <c r="G2075" s="6" t="n">
        <f aca="false">Sens!G2057</f>
        <v>491.783730467066</v>
      </c>
      <c r="H2075" s="6" t="n">
        <f aca="false">Sens!H2057</f>
        <v>587.294787614101</v>
      </c>
      <c r="I2075" s="6" t="n">
        <f aca="false">Sens!I2057</f>
        <v>668.612370626884</v>
      </c>
      <c r="J2075" s="6" t="n">
        <f aca="false">Sens!J2057</f>
        <v>734.052825485026</v>
      </c>
      <c r="K2075" s="6" t="n">
        <f aca="false">Sens!K2057</f>
        <v>786.111062567128</v>
      </c>
    </row>
    <row r="2076" customFormat="false" ht="15" hidden="false" customHeight="false" outlineLevel="0" collapsed="false">
      <c r="A2076" s="1" t="s">
        <v>1060</v>
      </c>
      <c r="B2076" s="0" t="s">
        <v>168</v>
      </c>
      <c r="E2076" s="7" t="n">
        <f aca="false">Sens!E2075/Sens!D2075-1</f>
        <v>0.177886867998467</v>
      </c>
      <c r="F2076" s="7" t="n">
        <f aca="false">Sens!F2075/Sens!E2075-1</f>
        <v>0.21467709006364</v>
      </c>
      <c r="G2076" s="7" t="n">
        <f aca="false">Sens!G2075/Sens!F2075-1</f>
        <v>0.220073208753704</v>
      </c>
      <c r="H2076" s="7" t="n">
        <f aca="false">Sens!H2075/Sens!G2075-1</f>
        <v>0.194213535808362</v>
      </c>
      <c r="I2076" s="7" t="n">
        <f aca="false">Sens!I2075/Sens!H2075-1</f>
        <v>0.13846127145643</v>
      </c>
      <c r="J2076" s="7" t="n">
        <f aca="false">Sens!J2075/Sens!I2075-1</f>
        <v>0.0978750285412546</v>
      </c>
      <c r="K2076" s="7" t="n">
        <f aca="false">Sens!K2075/Sens!J2075-1</f>
        <v>0.0709189247350204</v>
      </c>
    </row>
    <row r="2077" customFormat="false" ht="17.15" hidden="false" customHeight="false" outlineLevel="0" collapsed="false">
      <c r="A2077" s="26" t="s">
        <v>1061</v>
      </c>
      <c r="B2077" s="31" t="s">
        <v>98</v>
      </c>
      <c r="C2077" s="31"/>
      <c r="D2077" s="27" t="n">
        <f aca="false">(Sens!D2070+Sens!D2074-Sens!D2075)+(Sens!D2062+Sens!D2063-Sens!D2061)+(Sens!D2065+Sens!D2066-Sens!D2064)+(Sens!D2075-Q!L18)</f>
        <v>0</v>
      </c>
      <c r="E2077" s="27" t="n">
        <f aca="false">(Sens!E2070+Sens!E2074-Sens!E2075)+(Sens!E2062+Sens!E2063-Sens!E2061)+(Sens!E2065+Sens!E2066-Sens!E2064)+(Sens!E2075-Q!M18)</f>
        <v>0</v>
      </c>
      <c r="F2077" s="27" t="n">
        <f aca="false">(Sens!F2070+Sens!F2074-Sens!F2075)+(Sens!F2062+Sens!F2063-Sens!F2061)+(Sens!F2065+Sens!F2066-Sens!F2064)</f>
        <v>0</v>
      </c>
      <c r="G2077" s="27" t="n">
        <f aca="false">(Sens!G2070+Sens!G2074-Sens!G2075)+(Sens!G2062+Sens!G2063-Sens!G2061)+(Sens!G2065+Sens!G2066-Sens!G2064)</f>
        <v>0</v>
      </c>
      <c r="H2077" s="27" t="n">
        <f aca="false">(Sens!H2070+Sens!H2074-Sens!H2075)+(Sens!H2062+Sens!H2063-Sens!H2061)+(Sens!H2065+Sens!H2066-Sens!H2064)</f>
        <v>0</v>
      </c>
      <c r="I2077" s="27" t="n">
        <f aca="false">(Sens!I2070+Sens!I2074-Sens!I2075)+(Sens!I2062+Sens!I2063-Sens!I2061)+(Sens!I2065+Sens!I2066-Sens!I2064)</f>
        <v>0</v>
      </c>
      <c r="J2077" s="27" t="n">
        <f aca="false">(Sens!J2070+Sens!J2074-Sens!J2075)+(Sens!J2062+Sens!J2063-Sens!J2061)+(Sens!J2065+Sens!J2066-Sens!J2064)</f>
        <v>0</v>
      </c>
      <c r="K2077" s="27" t="n">
        <f aca="false">(Sens!K2070+Sens!K2074-Sens!K2075)+(Sens!K2062+Sens!K2063-Sens!K2061)+(Sens!K2065+Sens!K2066-Sens!K2064)</f>
        <v>0</v>
      </c>
    </row>
    <row r="2078" customFormat="false" ht="17.15" hidden="false" customHeight="false" outlineLevel="0" collapsed="false">
      <c r="A2078" s="0" t="s">
        <v>1062</v>
      </c>
      <c r="B2078" s="0" t="s">
        <v>168</v>
      </c>
      <c r="E2078" s="7" t="n">
        <f aca="false">(Q!M21+Sens!E2014+Sens!E2015+Sens!E2016+Sens!E2030-Sens!E2012)/(Q!M5-Sens!E2012)</f>
        <v>0.591291114837517</v>
      </c>
      <c r="F2078" s="7" t="n">
        <f aca="false">Sens!$E$2078+dm_seg</f>
        <v>0.591291114837517</v>
      </c>
      <c r="G2078" s="7" t="n">
        <f aca="false">Sens!$E$2078+dm_seg</f>
        <v>0.591291114837517</v>
      </c>
      <c r="H2078" s="7" t="n">
        <f aca="false">Sens!$E$2078+dm_seg</f>
        <v>0.591291114837517</v>
      </c>
      <c r="I2078" s="7" t="n">
        <f aca="false">Sens!$E$2078+dm_seg</f>
        <v>0.591291114837517</v>
      </c>
      <c r="J2078" s="7" t="n">
        <f aca="false">Sens!$E$2078+dm_seg</f>
        <v>0.591291114837517</v>
      </c>
      <c r="K2078" s="7" t="n">
        <f aca="false">Sens!$E$2078+dm_seg</f>
        <v>0.591291114837517</v>
      </c>
      <c r="L2078" s="12" t="s">
        <v>1063</v>
      </c>
    </row>
    <row r="2079" customFormat="false" ht="17.15" hidden="false" customHeight="false" outlineLevel="0" collapsed="false">
      <c r="A2079" s="0" t="s">
        <v>884</v>
      </c>
      <c r="B2079" s="0" t="s">
        <v>98</v>
      </c>
      <c r="D2079" s="6" t="n">
        <f aca="false">Q!L21</f>
        <v>110.814</v>
      </c>
      <c r="E2079" s="6" t="n">
        <f aca="false">Q!M21</f>
        <v>136.365</v>
      </c>
      <c r="F2079" s="6" t="n">
        <f aca="false">Q!$I$21+(Sens!F2078*(Sens!F2049-Sens!F2012)+Sens!F2012-(Sens!F2014+Sens!F2015+Sens!F2016)-Sens!F2030-Sens!F2113)*(Sens!F2049-Q!$I$5)/Sens!F2049</f>
        <v>161.973278194361</v>
      </c>
      <c r="G2079" s="6" t="n">
        <f aca="false">(Sens!G2078*(Sens!G2049-Sens!G2012)+Sens!G2012-(Sens!G2014+Sens!G2015+Sens!G2016)-Sens!G2030-Sens!G2113)</f>
        <v>180.258029199688</v>
      </c>
      <c r="H2079" s="6" t="n">
        <f aca="false">(Sens!H2078*(Sens!H2049-Sens!H2012)+Sens!H2012-(Sens!H2014+Sens!H2015+Sens!H2016)-Sens!H2030-Sens!H2113)</f>
        <v>207.28130767314</v>
      </c>
      <c r="I2079" s="6" t="n">
        <f aca="false">(Sens!I2078*(Sens!I2049-Sens!I2012)+Sens!I2012-(Sens!I2014+Sens!I2015+Sens!I2016)-Sens!I2030-Sens!I2113)</f>
        <v>226.825449631885</v>
      </c>
      <c r="J2079" s="6" t="n">
        <f aca="false">(Sens!J2078*(Sens!J2049-Sens!J2012)+Sens!J2012-(Sens!J2014+Sens!J2015+Sens!J2016)-Sens!J2030-Sens!J2113)</f>
        <v>244.806274429589</v>
      </c>
      <c r="K2079" s="6" t="n">
        <f aca="false">(Sens!K2078*(Sens!K2049-Sens!K2012)+Sens!K2012-(Sens!K2014+Sens!K2015+Sens!K2016)-Sens!K2030-Sens!K2113)</f>
        <v>262.419083140846</v>
      </c>
      <c r="L2079" s="1" t="s">
        <v>1064</v>
      </c>
    </row>
    <row r="2080" customFormat="false" ht="17.15" hidden="false" customHeight="false" outlineLevel="0" collapsed="false">
      <c r="A2080" s="0" t="s">
        <v>1065</v>
      </c>
      <c r="B2080" s="0" t="s">
        <v>168</v>
      </c>
      <c r="E2080" s="7" t="n">
        <f aca="false">Q!M22/Q!M12</f>
        <v>0.296207935710698</v>
      </c>
      <c r="F2080" s="7" t="n">
        <f aca="false">Sens!$E$2080+dm_seg</f>
        <v>0.296207935710698</v>
      </c>
      <c r="G2080" s="7" t="n">
        <f aca="false">Sens!$E$2080+dm_seg</f>
        <v>0.296207935710698</v>
      </c>
      <c r="H2080" s="7" t="n">
        <f aca="false">Sens!$E$2080+dm_seg</f>
        <v>0.296207935710698</v>
      </c>
      <c r="I2080" s="7" t="n">
        <f aca="false">Sens!$E$2080+dm_seg</f>
        <v>0.296207935710698</v>
      </c>
      <c r="J2080" s="7" t="n">
        <f aca="false">Sens!$E$2080+dm_seg</f>
        <v>0.296207935710698</v>
      </c>
      <c r="K2080" s="7" t="n">
        <f aca="false">Sens!$E$2080+dm_seg</f>
        <v>0.296207935710698</v>
      </c>
      <c r="L2080" s="12" t="s">
        <v>1066</v>
      </c>
    </row>
    <row r="2081" customFormat="false" ht="17.15" hidden="false" customHeight="false" outlineLevel="0" collapsed="false">
      <c r="A2081" s="0" t="s">
        <v>886</v>
      </c>
      <c r="B2081" s="0" t="s">
        <v>98</v>
      </c>
      <c r="D2081" s="6" t="n">
        <f aca="false">Q!L22</f>
        <v>17.714</v>
      </c>
      <c r="E2081" s="6" t="n">
        <f aca="false">Q!M22</f>
        <v>18.872</v>
      </c>
      <c r="F2081" s="6" t="n">
        <f aca="false">Q!$I$22+(Sens!F2056-Q!$I$12)*Sens!F2080</f>
        <v>19.8174315512051</v>
      </c>
      <c r="G2081" s="6" t="n">
        <f aca="false">Sens!G2056*Sens!G2080</f>
        <v>19.6313799703815</v>
      </c>
      <c r="H2081" s="6" t="n">
        <f aca="false">Sens!H2056*Sens!H2080</f>
        <v>20.3536242825865</v>
      </c>
      <c r="I2081" s="6" t="n">
        <f aca="false">Sens!I2056*Sens!I2080</f>
        <v>21.1920899239745</v>
      </c>
      <c r="J2081" s="6" t="n">
        <f aca="false">Sens!J2056*Sens!J2080</f>
        <v>22.1288166207045</v>
      </c>
      <c r="K2081" s="6" t="n">
        <f aca="false">Sens!K2056*Sens!K2080</f>
        <v>23.1493653905379</v>
      </c>
      <c r="L2081" s="12" t="s">
        <v>1067</v>
      </c>
    </row>
    <row r="2082" customFormat="false" ht="15" hidden="false" customHeight="false" outlineLevel="0" collapsed="false">
      <c r="A2082" s="1" t="s">
        <v>1068</v>
      </c>
      <c r="B2082" s="0" t="s">
        <v>98</v>
      </c>
      <c r="D2082" s="6" t="n">
        <f aca="false">Sens!D2079+Sens!D2081</f>
        <v>128.528</v>
      </c>
      <c r="E2082" s="6" t="n">
        <f aca="false">Sens!E2079+Sens!E2081</f>
        <v>155.237</v>
      </c>
      <c r="F2082" s="6" t="n">
        <f aca="false">Sens!F2079+Sens!F2081</f>
        <v>181.790709745567</v>
      </c>
      <c r="G2082" s="6" t="n">
        <f aca="false">Sens!G2079+Sens!G2081</f>
        <v>199.889409170069</v>
      </c>
      <c r="H2082" s="6" t="n">
        <f aca="false">Sens!H2079+Sens!H2081</f>
        <v>227.634931955726</v>
      </c>
      <c r="I2082" s="6" t="n">
        <f aca="false">Sens!I2079+Sens!I2081</f>
        <v>248.017539555859</v>
      </c>
      <c r="J2082" s="6" t="n">
        <f aca="false">Sens!J2079+Sens!J2081</f>
        <v>266.935091050293</v>
      </c>
      <c r="K2082" s="6" t="n">
        <f aca="false">Sens!K2079+Sens!K2081</f>
        <v>285.568448531384</v>
      </c>
    </row>
    <row r="2083" customFormat="false" ht="15" hidden="false" customHeight="false" outlineLevel="0" collapsed="false">
      <c r="A2083" s="26" t="s">
        <v>1069</v>
      </c>
      <c r="B2083" s="31" t="s">
        <v>98</v>
      </c>
      <c r="C2083" s="31"/>
      <c r="D2083" s="27" t="n">
        <f aca="false">Sens!D2082-Q!L23</f>
        <v>0</v>
      </c>
      <c r="E2083" s="27" t="n">
        <f aca="false">Sens!E2082-Q!M23</f>
        <v>0</v>
      </c>
      <c r="F2083" s="31"/>
      <c r="G2083" s="31"/>
      <c r="H2083" s="31"/>
      <c r="I2083" s="31"/>
      <c r="J2083" s="31"/>
      <c r="K2083" s="31"/>
    </row>
    <row r="2084" customFormat="false" ht="15" hidden="false" customHeight="false" outlineLevel="0" collapsed="false">
      <c r="A2084" s="1" t="s">
        <v>1070</v>
      </c>
      <c r="B2084" s="0" t="s">
        <v>168</v>
      </c>
      <c r="D2084" s="7" t="n">
        <f aca="false">Sens!D2082/Sens!D2075</f>
        <v>0.456219562408598</v>
      </c>
      <c r="E2084" s="7" t="n">
        <f aca="false">Sens!E2082/Sens!E2075</f>
        <v>0.467808184089272</v>
      </c>
      <c r="F2084" s="7" t="n">
        <f aca="false">Sens!F2082/Sens!F2075</f>
        <v>0.451007141595019</v>
      </c>
      <c r="G2084" s="7" t="n">
        <f aca="false">Sens!G2082/Sens!G2075</f>
        <v>0.406457954557029</v>
      </c>
      <c r="H2084" s="7" t="n">
        <f aca="false">Sens!H2082/Sens!H2075</f>
        <v>0.387599101433368</v>
      </c>
      <c r="I2084" s="7" t="n">
        <f aca="false">Sens!I2082/Sens!I2075</f>
        <v>0.37094368942549</v>
      </c>
      <c r="J2084" s="7" t="n">
        <f aca="false">Sens!J2082/Sens!J2075</f>
        <v>0.363645614842386</v>
      </c>
      <c r="K2084" s="7" t="n">
        <f aca="false">Sens!K2082/Sens!K2075</f>
        <v>0.363267306783383</v>
      </c>
    </row>
    <row r="2085" customFormat="false" ht="17.15" hidden="false" customHeight="false" outlineLevel="0" collapsed="false">
      <c r="A2085" s="1" t="s">
        <v>1071</v>
      </c>
      <c r="B2085" s="0" t="s">
        <v>98</v>
      </c>
      <c r="F2085" s="6" t="n">
        <f aca="false">Sens!F2100</f>
        <v>15.5125556376781</v>
      </c>
      <c r="G2085" s="6" t="n">
        <f aca="false">Sens!G2100</f>
        <v>38.6327954985698</v>
      </c>
      <c r="H2085" s="6" t="n">
        <f aca="false">Sens!H2100</f>
        <v>63.9628217836594</v>
      </c>
      <c r="I2085" s="6" t="n">
        <f aca="false">Sens!I2100</f>
        <v>86.9569462846141</v>
      </c>
      <c r="J2085" s="6" t="n">
        <f aca="false">Sens!J2100</f>
        <v>103.032307020656</v>
      </c>
      <c r="K2085" s="6" t="n">
        <f aca="false">Sens!K2100</f>
        <v>111.756283188097</v>
      </c>
      <c r="L2085" s="1" t="s">
        <v>1072</v>
      </c>
    </row>
    <row r="2086" customFormat="false" ht="17.15" hidden="false" customHeight="false" outlineLevel="0" collapsed="false">
      <c r="A2086" s="1" t="s">
        <v>1073</v>
      </c>
      <c r="B2086" s="0" t="s">
        <v>98</v>
      </c>
      <c r="D2086" s="6" t="n">
        <f aca="false">Sens!D2082</f>
        <v>128.528</v>
      </c>
      <c r="E2086" s="6" t="n">
        <f aca="false">Sens!E2082</f>
        <v>155.237</v>
      </c>
      <c r="F2086" s="6" t="n">
        <f aca="false">Sens!F2082+Sens!F2085</f>
        <v>197.303265383245</v>
      </c>
      <c r="G2086" s="6" t="n">
        <f aca="false">Sens!G2082+Sens!G2085</f>
        <v>238.522204668639</v>
      </c>
      <c r="H2086" s="6" t="n">
        <f aca="false">Sens!H2082+Sens!H2085</f>
        <v>291.597753739386</v>
      </c>
      <c r="I2086" s="6" t="n">
        <f aca="false">Sens!I2082+Sens!I2085</f>
        <v>334.974485840473</v>
      </c>
      <c r="J2086" s="6" t="n">
        <f aca="false">Sens!J2082+Sens!J2085</f>
        <v>369.967398070949</v>
      </c>
      <c r="K2086" s="6" t="n">
        <f aca="false">Sens!K2082+Sens!K2085</f>
        <v>397.324731719481</v>
      </c>
    </row>
    <row r="2087" customFormat="false" ht="17.15" hidden="false" customHeight="false" outlineLevel="0" collapsed="false">
      <c r="A2087" s="1" t="s">
        <v>1074</v>
      </c>
      <c r="B2087" s="0" t="s">
        <v>98</v>
      </c>
      <c r="E2087" s="6" t="n">
        <f aca="false">Sens!E2030</f>
        <v>19.5664871725</v>
      </c>
      <c r="F2087" s="6" t="n">
        <f aca="false">Sens!F2030</f>
        <v>41.495177374022</v>
      </c>
      <c r="G2087" s="6" t="n">
        <f aca="false">Sens!G2030</f>
        <v>72.8813887827587</v>
      </c>
      <c r="H2087" s="6" t="n">
        <f aca="false">Sens!H2030</f>
        <v>106.920108793735</v>
      </c>
      <c r="I2087" s="6" t="n">
        <f aca="false">Sens!I2030</f>
        <v>137.077211633458</v>
      </c>
      <c r="J2087" s="6" t="n">
        <f aca="false">Sens!J2030</f>
        <v>158.418807659515</v>
      </c>
      <c r="K2087" s="6" t="n">
        <f aca="false">Sens!K2030</f>
        <v>171.615203461121</v>
      </c>
    </row>
    <row r="2088" customFormat="false" ht="17.15" hidden="false" customHeight="false" outlineLevel="0" collapsed="false">
      <c r="A2088" s="1" t="s">
        <v>1075</v>
      </c>
      <c r="B2088" s="0" t="s">
        <v>98</v>
      </c>
      <c r="E2088" s="6" t="n">
        <f aca="false">Sens!E2112</f>
        <v>18.9675128275</v>
      </c>
      <c r="F2088" s="6" t="n">
        <f aca="false">Sens!F2112</f>
        <v>20.6406133960123</v>
      </c>
      <c r="G2088" s="6" t="n">
        <f aca="false">Sens!G2112</f>
        <v>22.7343838381202</v>
      </c>
      <c r="H2088" s="6" t="n">
        <f aca="false">Sens!H2112</f>
        <v>25.2152820157511</v>
      </c>
      <c r="I2088" s="6" t="n">
        <f aca="false">Sens!I2112</f>
        <v>28.0098768441198</v>
      </c>
      <c r="J2088" s="6" t="n">
        <f aca="false">Sens!J2112</f>
        <v>31.0287448237743</v>
      </c>
      <c r="K2088" s="6" t="n">
        <f aca="false">Sens!K2112</f>
        <v>34.1897963276697</v>
      </c>
    </row>
    <row r="2089" customFormat="false" ht="17.15" hidden="false" customHeight="false" outlineLevel="0" collapsed="false">
      <c r="A2089" s="1" t="s">
        <v>1076</v>
      </c>
      <c r="B2089" s="0" t="s">
        <v>98</v>
      </c>
      <c r="D2089" s="6" t="n">
        <f aca="false">Q!L27</f>
        <v>-4.901</v>
      </c>
      <c r="E2089" s="6" t="n">
        <f aca="false">Q!M27</f>
        <v>10.697</v>
      </c>
      <c r="F2089" s="6" t="n">
        <f aca="false">Q!$I$27+oie_f*(q_per_yr-1)/q_per_yr</f>
        <v>-0.862</v>
      </c>
      <c r="G2089" s="6" t="n">
        <f aca="false">oie_f</f>
        <v>-1.2</v>
      </c>
      <c r="H2089" s="6" t="n">
        <f aca="false">oie_f</f>
        <v>-1.2</v>
      </c>
      <c r="I2089" s="6" t="n">
        <f aca="false">oie_f</f>
        <v>-1.2</v>
      </c>
      <c r="J2089" s="6" t="n">
        <f aca="false">oie_f</f>
        <v>-1.2</v>
      </c>
      <c r="K2089" s="6" t="n">
        <f aca="false">oie_f</f>
        <v>-1.2</v>
      </c>
      <c r="L2089" s="12" t="s">
        <v>1077</v>
      </c>
    </row>
    <row r="2090" customFormat="false" ht="15" hidden="false" customHeight="false" outlineLevel="0" collapsed="false">
      <c r="A2090" s="1" t="s">
        <v>1078</v>
      </c>
      <c r="B2090" s="0" t="s">
        <v>98</v>
      </c>
      <c r="D2090" s="6" t="n">
        <f aca="false">Sens!D2082+Sens!D2089</f>
        <v>123.627</v>
      </c>
      <c r="E2090" s="6" t="n">
        <f aca="false">Sens!E2082+Sens!E2089</f>
        <v>165.934</v>
      </c>
      <c r="F2090" s="6" t="n">
        <f aca="false">Sens!F2082+Sens!F2089</f>
        <v>180.928709745567</v>
      </c>
      <c r="G2090" s="6" t="n">
        <f aca="false">Sens!G2082+Sens!G2089</f>
        <v>198.689409170069</v>
      </c>
      <c r="H2090" s="6" t="n">
        <f aca="false">Sens!H2082+Sens!H2089</f>
        <v>226.434931955726</v>
      </c>
      <c r="I2090" s="6" t="n">
        <f aca="false">Sens!I2082+Sens!I2089</f>
        <v>246.817539555859</v>
      </c>
      <c r="J2090" s="6" t="n">
        <f aca="false">Sens!J2082+Sens!J2089</f>
        <v>265.735091050293</v>
      </c>
      <c r="K2090" s="6" t="n">
        <f aca="false">Sens!K2082+Sens!K2089</f>
        <v>284.368448531384</v>
      </c>
    </row>
    <row r="2091" customFormat="false" ht="15" hidden="false" customHeight="false" outlineLevel="0" collapsed="false">
      <c r="A2091" s="1" t="s">
        <v>1079</v>
      </c>
      <c r="B2091" s="0" t="s">
        <v>98</v>
      </c>
      <c r="D2091" s="6" t="n">
        <f aca="false">Q!L29</f>
        <v>21.795</v>
      </c>
      <c r="E2091" s="6" t="n">
        <f aca="false">Q!M29</f>
        <v>32.185</v>
      </c>
      <c r="F2091" s="6" t="n">
        <f aca="false">Q!$I$29+(Sens!F2090-Q!$I$28)*tax_f</f>
        <v>36.3191419491133</v>
      </c>
      <c r="G2091" s="6" t="n">
        <f aca="false">Sens!G2090*tax_f</f>
        <v>39.7378818340138</v>
      </c>
      <c r="H2091" s="6" t="n">
        <f aca="false">Sens!H2090*tax_f</f>
        <v>45.2869863911453</v>
      </c>
      <c r="I2091" s="6" t="n">
        <f aca="false">Sens!I2090*tax_f</f>
        <v>49.3635079111718</v>
      </c>
      <c r="J2091" s="6" t="n">
        <f aca="false">Sens!J2090*tax_f</f>
        <v>53.1470182100586</v>
      </c>
      <c r="K2091" s="6" t="n">
        <f aca="false">Sens!K2090*tax_f</f>
        <v>56.8736897062768</v>
      </c>
    </row>
    <row r="2092" customFormat="false" ht="15" hidden="false" customHeight="false" outlineLevel="0" collapsed="false">
      <c r="A2092" s="1" t="s">
        <v>1080</v>
      </c>
      <c r="B2092" s="0" t="s">
        <v>98</v>
      </c>
      <c r="D2092" s="6" t="n">
        <f aca="false">Sens!D2090-Sens!D2091</f>
        <v>101.832</v>
      </c>
      <c r="E2092" s="6" t="n">
        <f aca="false">Sens!E2090-Sens!E2091</f>
        <v>133.749</v>
      </c>
      <c r="F2092" s="6" t="n">
        <f aca="false">Sens!F2090-Sens!F2091</f>
        <v>144.609567796453</v>
      </c>
      <c r="G2092" s="6" t="n">
        <f aca="false">Sens!G2090-Sens!G2091</f>
        <v>158.951527336055</v>
      </c>
      <c r="H2092" s="6" t="n">
        <f aca="false">Sens!H2090-Sens!H2091</f>
        <v>181.147945564581</v>
      </c>
      <c r="I2092" s="6" t="n">
        <f aca="false">Sens!I2090-Sens!I2091</f>
        <v>197.454031644687</v>
      </c>
      <c r="J2092" s="6" t="n">
        <f aca="false">Sens!J2090-Sens!J2091</f>
        <v>212.588072840235</v>
      </c>
      <c r="K2092" s="6" t="n">
        <f aca="false">Sens!K2090-Sens!K2091</f>
        <v>227.494758825107</v>
      </c>
    </row>
    <row r="2093" customFormat="false" ht="17.15" hidden="false" customHeight="false" outlineLevel="0" collapsed="false">
      <c r="A2093" s="1" t="s">
        <v>1081</v>
      </c>
      <c r="B2093" s="1" t="s">
        <v>81</v>
      </c>
      <c r="D2093" s="15" t="n">
        <f aca="false">Q!L31</f>
        <v>7.465</v>
      </c>
      <c r="E2093" s="15" t="n">
        <f aca="false">Q!M31</f>
        <v>7.453</v>
      </c>
      <c r="F2093" s="15" t="n">
        <f aca="false">Sens!F2137</f>
        <v>7.4735</v>
      </c>
      <c r="G2093" s="15" t="n">
        <f aca="false">Sens!G2137</f>
        <v>7.5185</v>
      </c>
      <c r="H2093" s="15" t="n">
        <f aca="false">Sens!H2137</f>
        <v>7.55440243148705</v>
      </c>
      <c r="I2093" s="15" t="n">
        <f aca="false">Sens!I2137</f>
        <v>7.57428628800076</v>
      </c>
      <c r="J2093" s="15" t="n">
        <f aca="false">Sens!J2137</f>
        <v>7.58843569916323</v>
      </c>
      <c r="K2093" s="15" t="n">
        <f aca="false">Sens!K2137</f>
        <v>7.60487033912848</v>
      </c>
    </row>
    <row r="2094" customFormat="false" ht="17.15" hidden="false" customHeight="false" outlineLevel="0" collapsed="false">
      <c r="A2094" s="0" t="s">
        <v>1082</v>
      </c>
      <c r="B2094" s="0" t="s">
        <v>75</v>
      </c>
      <c r="D2094" s="8" t="n">
        <f aca="false">Sens!D2092/Sens!D2093</f>
        <v>13.641259209645</v>
      </c>
      <c r="E2094" s="8" t="n">
        <f aca="false">Sens!E2092/Sens!E2093</f>
        <v>17.9456594659869</v>
      </c>
      <c r="F2094" s="8" t="n">
        <f aca="false">Sens!F2092/Sens!F2093</f>
        <v>19.3496444499168</v>
      </c>
      <c r="G2094" s="8" t="n">
        <f aca="false">Sens!G2092/Sens!G2093</f>
        <v>21.1413882205301</v>
      </c>
      <c r="H2094" s="8" t="n">
        <f aca="false">Sens!H2092/Sens!H2093</f>
        <v>23.9791230620108</v>
      </c>
      <c r="I2094" s="8" t="n">
        <f aca="false">Sens!I2092/Sens!I2093</f>
        <v>26.068995036205</v>
      </c>
      <c r="J2094" s="8" t="n">
        <f aca="false">Sens!J2092/Sens!J2093</f>
        <v>28.0147425988832</v>
      </c>
      <c r="K2094" s="8" t="n">
        <f aca="false">Sens!K2092/Sens!K2093</f>
        <v>29.9143507621168</v>
      </c>
      <c r="L2094" s="1" t="s">
        <v>1083</v>
      </c>
    </row>
    <row r="2095" customFormat="false" ht="17.15" hidden="false" customHeight="false" outlineLevel="0" collapsed="false">
      <c r="A2095" s="1" t="s">
        <v>1084</v>
      </c>
      <c r="B2095" s="0" t="s">
        <v>98</v>
      </c>
      <c r="D2095" s="6" t="n">
        <f aca="false">Sens!D2092</f>
        <v>101.832</v>
      </c>
      <c r="E2095" s="6" t="n">
        <f aca="false">Sens!E2092</f>
        <v>133.749</v>
      </c>
      <c r="F2095" s="6" t="n">
        <f aca="false">Sens!F2092+Sens!F2085*(1-tax_f)</f>
        <v>157.019612306596</v>
      </c>
      <c r="G2095" s="6" t="n">
        <f aca="false">Sens!G2092+Sens!G2085*(1-tax_f)</f>
        <v>189.857763734911</v>
      </c>
      <c r="H2095" s="6" t="n">
        <f aca="false">Sens!H2092+Sens!H2085*(1-tax_f)</f>
        <v>232.318202991509</v>
      </c>
      <c r="I2095" s="6" t="n">
        <f aca="false">Sens!I2092+Sens!I2085*(1-tax_f)</f>
        <v>267.019588672379</v>
      </c>
      <c r="J2095" s="6" t="n">
        <f aca="false">Sens!J2092+Sens!J2085*(1-tax_f)</f>
        <v>295.013918456759</v>
      </c>
      <c r="K2095" s="6" t="n">
        <f aca="false">Sens!K2092+Sens!K2085*(1-tax_f)</f>
        <v>316.899785375585</v>
      </c>
    </row>
    <row r="2096" customFormat="false" ht="17.15" hidden="false" customHeight="false" outlineLevel="0" collapsed="false">
      <c r="A2096" s="0" t="s">
        <v>1085</v>
      </c>
      <c r="B2096" s="0" t="s">
        <v>75</v>
      </c>
      <c r="D2096" s="8" t="n">
        <f aca="false">Sens!D2095/Sens!D2093</f>
        <v>13.641259209645</v>
      </c>
      <c r="E2096" s="8" t="n">
        <f aca="false">Sens!E2095/Sens!E2093</f>
        <v>17.9456594659869</v>
      </c>
      <c r="F2096" s="8" t="n">
        <f aca="false">Sens!F2095/Sens!F2093</f>
        <v>21.0101842920447</v>
      </c>
      <c r="G2096" s="8" t="n">
        <f aca="false">Sens!G2095/Sens!G2093</f>
        <v>25.2520800339045</v>
      </c>
      <c r="H2096" s="8" t="n">
        <f aca="false">Sens!H2095/Sens!H2093</f>
        <v>30.7526909108254</v>
      </c>
      <c r="I2096" s="8" t="n">
        <f aca="false">Sens!I2095/Sens!I2093</f>
        <v>35.2534322732682</v>
      </c>
      <c r="J2096" s="8" t="n">
        <f aca="false">Sens!J2095/Sens!J2093</f>
        <v>38.8767764730866</v>
      </c>
      <c r="K2096" s="8" t="n">
        <f aca="false">Sens!K2095/Sens!K2093</f>
        <v>41.6706362165146</v>
      </c>
      <c r="L2096" s="1" t="s">
        <v>1086</v>
      </c>
    </row>
    <row r="2097" customFormat="false" ht="17.15" hidden="false" customHeight="false" outlineLevel="0" collapsed="false">
      <c r="A2097" s="0" t="s">
        <v>1087</v>
      </c>
      <c r="B2097" s="0" t="s">
        <v>168</v>
      </c>
      <c r="E2097" s="7" t="n">
        <f aca="false">Sens!E2096/Sens!D2096-1</f>
        <v>0.315542736208578</v>
      </c>
      <c r="F2097" s="7" t="n">
        <f aca="false">Sens!F2096/Sens!E2096-1</f>
        <v>0.170766910620706</v>
      </c>
      <c r="G2097" s="7" t="n">
        <f aca="false">Sens!G2096/Sens!F2096-1</f>
        <v>0.201897122028864</v>
      </c>
      <c r="H2097" s="7" t="n">
        <f aca="false">Sens!H2096/Sens!G2096-1</f>
        <v>0.217828031177451</v>
      </c>
      <c r="I2097" s="7" t="n">
        <f aca="false">Sens!I2096/Sens!H2096-1</f>
        <v>0.146352765535015</v>
      </c>
      <c r="J2097" s="7" t="n">
        <f aca="false">Sens!J2096/Sens!I2096-1</f>
        <v>0.10277989875516</v>
      </c>
      <c r="K2097" s="7" t="n">
        <f aca="false">Sens!K2096/Sens!J2096-1</f>
        <v>0.0718644907548367</v>
      </c>
    </row>
    <row r="2098" customFormat="false" ht="17.15" hidden="false" customHeight="false" outlineLevel="0" collapsed="false">
      <c r="A2098" s="0" t="s">
        <v>1007</v>
      </c>
      <c r="B2098" s="0" t="s">
        <v>98</v>
      </c>
      <c r="E2098" s="6" t="n">
        <f aca="false">Sens!E2039</f>
        <v>5.25</v>
      </c>
      <c r="F2098" s="6" t="n">
        <f aca="false">Sens!F2039</f>
        <v>13.5</v>
      </c>
      <c r="G2098" s="6" t="n">
        <f aca="false">Sens!G2039</f>
        <v>22.5</v>
      </c>
      <c r="H2098" s="6" t="n">
        <f aca="false">Sens!H2039</f>
        <v>31.5</v>
      </c>
      <c r="I2098" s="6" t="n">
        <f aca="false">Sens!I2039</f>
        <v>38.25</v>
      </c>
      <c r="J2098" s="6" t="n">
        <f aca="false">Sens!J2039</f>
        <v>42.75</v>
      </c>
      <c r="K2098" s="6" t="n">
        <f aca="false">Sens!K2039</f>
        <v>47.25</v>
      </c>
    </row>
    <row r="2099" customFormat="false" ht="17.15" hidden="false" customHeight="false" outlineLevel="0" collapsed="false">
      <c r="A2099" s="1" t="s">
        <v>1008</v>
      </c>
      <c r="B2099" s="0" t="s">
        <v>98</v>
      </c>
      <c r="F2099" s="6" t="n">
        <f aca="false">MAX(0,((Sens!E1999+Sens!F1999)/2-(shadow_base*(Sens!$D$1999+Sens!$E$1999)/2+(1-shadow_base)*Sens!$E$1999))*Sens!F2008/1000-(Sens!F2098-Sens!$E$2098)*Sens!F2078)</f>
        <v>15.5125556376781</v>
      </c>
      <c r="G2099" s="6" t="n">
        <f aca="false">MAX(0,((Sens!F1999+Sens!G1999)/2-(shadow_base*(Sens!$D$1999+Sens!$E$1999)/2+(1-shadow_base)*Sens!$E$1999))*Sens!G2008/1000-(Sens!G2098-Sens!$E$2098)*Sens!G2078)</f>
        <v>38.6327954985698</v>
      </c>
      <c r="H2099" s="6" t="n">
        <f aca="false">MAX(0,((Sens!G1999+Sens!H1999)/2-(shadow_base*(Sens!$D$1999+Sens!$E$1999)/2+(1-shadow_base)*Sens!$E$1999))*Sens!H2008/1000-(Sens!H2098-Sens!$E$2098)*Sens!H2078)</f>
        <v>63.9628217836594</v>
      </c>
      <c r="I2099" s="6" t="n">
        <f aca="false">MAX(0,((Sens!H1999+Sens!I1999)/2-(shadow_base*(Sens!$D$1999+Sens!$E$1999)/2+(1-shadow_base)*Sens!$E$1999))*Sens!I2008/1000-(Sens!I2098-Sens!$E$2098)*Sens!I2078)</f>
        <v>86.9569462846141</v>
      </c>
      <c r="J2099" s="6" t="n">
        <f aca="false">MAX(0,((Sens!I1999+Sens!J1999)/2-(shadow_base*(Sens!$D$1999+Sens!$E$1999)/2+(1-shadow_base)*Sens!$E$1999))*Sens!J2008/1000-(Sens!J2098-Sens!$E$2098)*Sens!J2078)</f>
        <v>103.032307020656</v>
      </c>
      <c r="K2099" s="6" t="n">
        <f aca="false">MAX(0,((Sens!J1999+Sens!K1999)/2-(shadow_base*(Sens!$D$1999+Sens!$E$1999)/2+(1-shadow_base)*Sens!$E$1999))*Sens!K2008/1000-(Sens!K2098-Sens!$E$2098)*Sens!K2078)</f>
        <v>111.756283188097</v>
      </c>
      <c r="L2099" s="1" t="s">
        <v>1009</v>
      </c>
    </row>
    <row r="2100" customFormat="false" ht="17.15" hidden="false" customHeight="false" outlineLevel="0" collapsed="false">
      <c r="A2100" s="1" t="s">
        <v>1010</v>
      </c>
      <c r="B2100" s="0" t="s">
        <v>98</v>
      </c>
      <c r="F2100" s="6" t="n">
        <f aca="false">IF(internal_ai_reading=2,1,0)*Sens!F2099</f>
        <v>15.5125556376781</v>
      </c>
      <c r="G2100" s="6" t="n">
        <f aca="false">IF(internal_ai_reading=2,1,0)*Sens!G2099</f>
        <v>38.6327954985698</v>
      </c>
      <c r="H2100" s="6" t="n">
        <f aca="false">IF(internal_ai_reading=2,1,0)*Sens!H2099</f>
        <v>63.9628217836594</v>
      </c>
      <c r="I2100" s="6" t="n">
        <f aca="false">IF(internal_ai_reading=2,1,0)*Sens!I2099</f>
        <v>86.9569462846141</v>
      </c>
      <c r="J2100" s="6" t="n">
        <f aca="false">IF(internal_ai_reading=2,1,0)*Sens!J2099</f>
        <v>103.032307020656</v>
      </c>
      <c r="K2100" s="6" t="n">
        <f aca="false">IF(internal_ai_reading=2,1,0)*Sens!K2099</f>
        <v>111.756283188097</v>
      </c>
    </row>
    <row r="2101" customFormat="false" ht="17.15" hidden="false" customHeight="false" outlineLevel="0" collapsed="false">
      <c r="A2101" s="0" t="s">
        <v>1011</v>
      </c>
      <c r="B2101" s="0" t="s">
        <v>98</v>
      </c>
      <c r="F2101" s="6" t="n">
        <f aca="false">Sens!F2018+Sens!F2098*Sens!F2078+Sens!F2100-Sens!F2019-Sens!F2030</f>
        <v>15.133980574689</v>
      </c>
      <c r="G2101" s="6" t="n">
        <f aca="false">Sens!G2018+Sens!G2098*Sens!G2078+Sens!G2100-Sens!G2019-Sens!G2030</f>
        <v>41.7656925283625</v>
      </c>
      <c r="H2101" s="6" t="n">
        <f aca="false">Sens!H2018+Sens!H2098*Sens!H2078+Sens!H2100-Sens!H2019-Sens!H2030</f>
        <v>74.1880317814743</v>
      </c>
      <c r="I2101" s="6" t="n">
        <f aca="false">Sens!I2018+Sens!I2098*Sens!I2078+Sens!I2100-Sens!I2019-Sens!I2030</f>
        <v>97.2999261644641</v>
      </c>
      <c r="J2101" s="6" t="n">
        <f aca="false">Sens!J2018+Sens!J2098*Sens!J2078+Sens!J2100-Sens!J2019-Sens!J2030</f>
        <v>113.213269042557</v>
      </c>
      <c r="K2101" s="6" t="n">
        <f aca="false">Sens!K2018+Sens!K2098*Sens!K2078+Sens!K2100-Sens!K2019-Sens!K2030</f>
        <v>123.496551481945</v>
      </c>
    </row>
    <row r="2102" customFormat="false" ht="17.15" hidden="false" customHeight="false" outlineLevel="0" collapsed="false">
      <c r="A2102" s="0" t="s">
        <v>1012</v>
      </c>
      <c r="B2102" s="0" t="s">
        <v>98</v>
      </c>
      <c r="E2102" s="6" t="n">
        <f aca="false">Sens!E1998*(cxit_open+self_build*tk_cxfac)/1000*ai_net_open</f>
        <v>152.03764584</v>
      </c>
      <c r="F2102" s="6" t="n">
        <f aca="false">Sens!E2102+Sens!F2027-Sens!F2030</f>
        <v>312.687153316522</v>
      </c>
      <c r="G2102" s="6" t="n">
        <f aca="false">Sens!F2102+Sens!G2027-Sens!G2030</f>
        <v>470.13913531262</v>
      </c>
      <c r="H2102" s="6" t="n">
        <f aca="false">Sens!G2102+Sens!H2027-Sens!H2030</f>
        <v>599.3862313963</v>
      </c>
      <c r="I2102" s="6" t="n">
        <f aca="false">Sens!H2102+Sens!I2027-Sens!I2030</f>
        <v>664.646820108775</v>
      </c>
      <c r="J2102" s="6" t="n">
        <f aca="false">Sens!I2102+Sens!J2027-Sens!J2030</f>
        <v>660.943929884388</v>
      </c>
      <c r="K2102" s="6" t="n">
        <f aca="false">Sens!J2102+Sens!K2027-Sens!K2030</f>
        <v>632.084150100946</v>
      </c>
      <c r="L2102" s="1" t="s">
        <v>1013</v>
      </c>
    </row>
    <row r="2103" customFormat="false" ht="17.15" hidden="false" customHeight="false" outlineLevel="0" collapsed="false">
      <c r="A2103" s="0" t="s">
        <v>1014</v>
      </c>
      <c r="B2103" s="0" t="s">
        <v>168</v>
      </c>
      <c r="F2103" s="7" t="n">
        <f aca="false">Sens!F2101*(1-tax_f)/((Sens!E2102+Sens!F2102)/2)</f>
        <v>0.052104748796388</v>
      </c>
      <c r="G2103" s="7" t="n">
        <f aca="false">Sens!G2101*(1-tax_f)/((Sens!F2102+Sens!G2102)/2)</f>
        <v>0.0853639038648047</v>
      </c>
      <c r="H2103" s="7" t="n">
        <f aca="false">Sens!H2101*(1-tax_f)/((Sens!G2102+Sens!H2102)/2)</f>
        <v>0.110984605456922</v>
      </c>
      <c r="I2103" s="7" t="n">
        <f aca="false">Sens!I2101*(1-tax_f)/((Sens!H2102+Sens!I2102)/2)</f>
        <v>0.123161243036941</v>
      </c>
      <c r="J2103" s="7" t="n">
        <f aca="false">Sens!J2101*(1-tax_f)/((Sens!I2102+Sens!J2102)/2)</f>
        <v>0.136649437595295</v>
      </c>
      <c r="K2103" s="7" t="n">
        <f aca="false">Sens!K2101*(1-tax_f)/((Sens!J2102+Sens!K2102)/2)</f>
        <v>0.152815306511637</v>
      </c>
    </row>
    <row r="2104" customFormat="false" ht="17.15" hidden="false" customHeight="false" outlineLevel="0" collapsed="false">
      <c r="A2104" s="1" t="s">
        <v>1015</v>
      </c>
      <c r="B2104" s="0" t="s">
        <v>168</v>
      </c>
      <c r="F2104" s="7" t="n">
        <f aca="false">(Sens!F2101-Sens!F2100)*(1-tax_f)/((Sens!E2102+Sens!F2102)/2)</f>
        <v>-0.00130339526076913</v>
      </c>
      <c r="G2104" s="7" t="n">
        <f aca="false">(Sens!G2101-Sens!G2100)*(1-tax_f)/((Sens!F2102+Sens!G2102)/2)</f>
        <v>0.00640325359594944</v>
      </c>
      <c r="H2104" s="7" t="n">
        <f aca="false">(Sens!H2101-Sens!H2100)*(1-tax_f)/((Sens!G2102+Sens!H2102)/2)</f>
        <v>0.0152968190430555</v>
      </c>
      <c r="I2104" s="7" t="n">
        <f aca="false">(Sens!I2101-Sens!I2100)*(1-tax_f)/((Sens!H2102+Sens!I2102)/2)</f>
        <v>0.013092037259671</v>
      </c>
      <c r="J2104" s="7" t="n">
        <f aca="false">(Sens!J2101-Sens!J2100)*(1-tax_f)/((Sens!I2102+Sens!J2102)/2)</f>
        <v>0.0122885130536143</v>
      </c>
      <c r="K2104" s="7" t="n">
        <f aca="false">(Sens!K2101-Sens!K2100)*(1-tax_f)/((Sens!J2102+Sens!K2102)/2)</f>
        <v>0.0145274720332214</v>
      </c>
    </row>
    <row r="2105" customFormat="false" ht="17.15" hidden="false" customHeight="false" outlineLevel="0" collapsed="false">
      <c r="A2105" s="1" t="s">
        <v>1016</v>
      </c>
      <c r="B2105" s="0" t="s">
        <v>168</v>
      </c>
      <c r="F2105" s="7" t="n">
        <f aca="false">(Sens!F2101-Sens!F2100+Sens!F2099)*(1-tax_f)/((Sens!E2102+Sens!F2102)/2)</f>
        <v>0.052104748796388</v>
      </c>
      <c r="G2105" s="7" t="n">
        <f aca="false">(Sens!G2101-Sens!G2100+Sens!G2099)*(1-tax_f)/((Sens!F2102+Sens!G2102)/2)</f>
        <v>0.0853639038648047</v>
      </c>
      <c r="H2105" s="7" t="n">
        <f aca="false">(Sens!H2101-Sens!H2100+Sens!H2099)*(1-tax_f)/((Sens!G2102+Sens!H2102)/2)</f>
        <v>0.110984605456922</v>
      </c>
      <c r="I2105" s="7" t="n">
        <f aca="false">(Sens!I2101-Sens!I2100+Sens!I2099)*(1-tax_f)/((Sens!H2102+Sens!I2102)/2)</f>
        <v>0.123161243036941</v>
      </c>
      <c r="J2105" s="7" t="n">
        <f aca="false">(Sens!J2101-Sens!J2100+Sens!J2099)*(1-tax_f)/((Sens!I2102+Sens!J2102)/2)</f>
        <v>0.136649437595295</v>
      </c>
      <c r="K2105" s="7" t="n">
        <f aca="false">(Sens!K2101-Sens!K2100+Sens!K2099)*(1-tax_f)/((Sens!J2102+Sens!K2102)/2)</f>
        <v>0.152815306511637</v>
      </c>
    </row>
    <row r="2106" customFormat="false" ht="17.15" hidden="false" customHeight="false" outlineLevel="0" collapsed="false">
      <c r="A2106" s="1" t="s">
        <v>1017</v>
      </c>
      <c r="B2106" s="0" t="s">
        <v>168</v>
      </c>
      <c r="F2106" s="7" t="n">
        <f aca="false">Sens!F2031*(1-tax_f)/(Sens!F2017*(Sens!E2102+Sens!F2102)/2)</f>
        <v>0.15471433083293</v>
      </c>
      <c r="G2106" s="7" t="n">
        <f aca="false">Sens!G2031*(1-tax_f)/(Sens!G2017*(Sens!F2102+Sens!G2102)/2)</f>
        <v>0.176916911437355</v>
      </c>
      <c r="H2106" s="7" t="n">
        <f aca="false">Sens!H2031*(1-tax_f)/(Sens!H2017*(Sens!G2102+Sens!H2102)/2)</f>
        <v>0.207487057996582</v>
      </c>
      <c r="I2106" s="7" t="n">
        <f aca="false">Sens!I2031*(1-tax_f)/(Sens!I2017*(Sens!H2102+Sens!I2102)/2)</f>
        <v>0.219873660070946</v>
      </c>
      <c r="J2106" s="7" t="n">
        <f aca="false">Sens!J2031*(1-tax_f)/(Sens!J2017*(Sens!I2102+Sens!J2102)/2)</f>
        <v>0.238959457974928</v>
      </c>
      <c r="K2106" s="7" t="n">
        <f aca="false">Sens!K2031*(1-tax_f)/(Sens!K2017*(Sens!J2102+Sens!K2102)/2)</f>
        <v>0.264604270651536</v>
      </c>
    </row>
    <row r="2107" customFormat="false" ht="17.15" hidden="false" customHeight="false" outlineLevel="0" collapsed="false">
      <c r="A2107" s="0" t="s">
        <v>1018</v>
      </c>
      <c r="B2107" s="0" t="s">
        <v>253</v>
      </c>
      <c r="F2107" s="7" t="n">
        <f aca="false">Sens!F2103-wacc</f>
        <v>-0.0508318421492093</v>
      </c>
      <c r="G2107" s="7" t="n">
        <f aca="false">Sens!G2103-wacc</f>
        <v>-0.0175726870807926</v>
      </c>
      <c r="H2107" s="7" t="n">
        <f aca="false">Sens!H2103-wacc</f>
        <v>0.00804801451132428</v>
      </c>
      <c r="I2107" s="7" t="n">
        <f aca="false">Sens!I2103-wacc</f>
        <v>0.0202246520913436</v>
      </c>
      <c r="J2107" s="7" t="n">
        <f aca="false">Sens!J2103-wacc</f>
        <v>0.0337128466496978</v>
      </c>
      <c r="K2107" s="7" t="n">
        <f aca="false">Sens!K2103-wacc</f>
        <v>0.0498787155660393</v>
      </c>
    </row>
    <row r="2108" customFormat="false" ht="17.15" hidden="false" customHeight="false" outlineLevel="0" collapsed="false">
      <c r="A2108" s="0" t="s">
        <v>1019</v>
      </c>
      <c r="B2108" s="0" t="s">
        <v>98</v>
      </c>
      <c r="F2108" s="6" t="n">
        <f aca="false">Sens!F2101*(1-tax_f)-wacc*(Sens!E2102+Sens!F2102)/2</f>
        <v>-11.8114088167736</v>
      </c>
      <c r="G2108" s="6" t="n">
        <f aca="false">Sens!G2101*(1-tax_f)-wacc*(Sens!F2102+Sens!G2102)/2</f>
        <v>-6.87818070434908</v>
      </c>
      <c r="H2108" s="6" t="n">
        <f aca="false">Sens!H2101*(1-tax_f)-wacc*(Sens!G2102+Sens!H2102)/2</f>
        <v>4.3037778357514</v>
      </c>
      <c r="I2108" s="6" t="n">
        <f aca="false">Sens!I2101*(1-tax_f)-wacc*(Sens!H2102+Sens!I2102)/2</f>
        <v>12.7823143493248</v>
      </c>
      <c r="J2108" s="6" t="n">
        <f aca="false">Sens!J2101*(1-tax_f)-wacc*(Sens!I2102+Sens!J2102)/2</f>
        <v>22.3447188373887</v>
      </c>
      <c r="K2108" s="6" t="n">
        <f aca="false">Sens!K2101*(1-tax_f)-wacc*(Sens!J2102+Sens!K2102)/2</f>
        <v>32.2472899102452</v>
      </c>
    </row>
    <row r="2109" customFormat="false" ht="17.15" hidden="false" customHeight="false" outlineLevel="0" collapsed="false">
      <c r="A2109" s="3" t="s">
        <v>1663</v>
      </c>
    </row>
    <row r="2110" customFormat="false" ht="15" hidden="false" customHeight="false" outlineLevel="0" collapsed="false">
      <c r="A2110" s="4" t="s">
        <v>43</v>
      </c>
      <c r="B2110" s="4" t="s">
        <v>65</v>
      </c>
      <c r="C2110" s="23" t="s">
        <v>942</v>
      </c>
      <c r="D2110" s="23" t="s">
        <v>943</v>
      </c>
      <c r="E2110" s="23" t="s">
        <v>944</v>
      </c>
      <c r="F2110" s="23" t="s">
        <v>945</v>
      </c>
      <c r="G2110" s="23" t="s">
        <v>946</v>
      </c>
      <c r="H2110" s="23" t="s">
        <v>947</v>
      </c>
      <c r="I2110" s="23" t="s">
        <v>948</v>
      </c>
      <c r="J2110" s="23" t="s">
        <v>949</v>
      </c>
      <c r="K2110" s="23" t="s">
        <v>950</v>
      </c>
      <c r="L2110" s="4" t="s">
        <v>47</v>
      </c>
    </row>
    <row r="2111" customFormat="false" ht="15" hidden="false" customHeight="false" outlineLevel="0" collapsed="false">
      <c r="A2111" s="1" t="s">
        <v>1080</v>
      </c>
      <c r="B2111" s="0" t="s">
        <v>98</v>
      </c>
      <c r="F2111" s="6" t="n">
        <f aca="false">Sens!F2092</f>
        <v>144.609567796453</v>
      </c>
      <c r="G2111" s="6" t="n">
        <f aca="false">Sens!G2092</f>
        <v>158.951527336055</v>
      </c>
      <c r="H2111" s="6" t="n">
        <f aca="false">Sens!H2092</f>
        <v>181.147945564581</v>
      </c>
      <c r="I2111" s="6" t="n">
        <f aca="false">Sens!I2092</f>
        <v>197.454031644687</v>
      </c>
      <c r="J2111" s="6" t="n">
        <f aca="false">Sens!J2092</f>
        <v>212.588072840235</v>
      </c>
      <c r="K2111" s="6" t="n">
        <f aca="false">Sens!K2092</f>
        <v>227.494758825107</v>
      </c>
    </row>
    <row r="2112" customFormat="false" ht="17.15" hidden="false" customHeight="false" outlineLevel="0" collapsed="false">
      <c r="A2112" s="1" t="s">
        <v>1102</v>
      </c>
      <c r="B2112" s="0" t="s">
        <v>98</v>
      </c>
      <c r="E2112" s="6" t="n">
        <f aca="false">Q!M38-Sens!E2030</f>
        <v>18.9675128275</v>
      </c>
      <c r="F2112" s="6" t="n">
        <f aca="false">Sens!E2112*(1-1/life_nonai)+(Sens!F2120+Sens!F2121)/life_nonai</f>
        <v>20.6406133960123</v>
      </c>
      <c r="G2112" s="6" t="n">
        <f aca="false">Sens!F2112*(1-1/life_nonai)+(Sens!G2120)/life_nonai</f>
        <v>22.7343838381202</v>
      </c>
      <c r="H2112" s="6" t="n">
        <f aca="false">Sens!G2112*(1-1/life_nonai)+(Sens!H2120)/life_nonai</f>
        <v>25.2152820157511</v>
      </c>
      <c r="I2112" s="6" t="n">
        <f aca="false">Sens!H2112*(1-1/life_nonai)+(Sens!I2120)/life_nonai</f>
        <v>28.0098768441198</v>
      </c>
      <c r="J2112" s="6" t="n">
        <f aca="false">Sens!I2112*(1-1/life_nonai)+(Sens!J2120)/life_nonai</f>
        <v>31.0287448237743</v>
      </c>
      <c r="K2112" s="6" t="n">
        <f aca="false">Sens!J2112*(1-1/life_nonai)+(Sens!K2120)/life_nonai</f>
        <v>34.1897963276697</v>
      </c>
      <c r="L2112" s="12" t="s">
        <v>1103</v>
      </c>
    </row>
    <row r="2113" customFormat="false" ht="17.15" hidden="false" customHeight="false" outlineLevel="0" collapsed="false">
      <c r="A2113" s="1" t="s">
        <v>1104</v>
      </c>
      <c r="B2113" s="0" t="s">
        <v>98</v>
      </c>
      <c r="F2113" s="6" t="n">
        <f aca="false">Sens!$F$2121/life_nonai*(1-1/life_nonai)^(Sens!F1993-2027)</f>
        <v>0</v>
      </c>
      <c r="G2113" s="6" t="n">
        <f aca="false">Sens!$F$2121/life_nonai*(1-1/life_nonai)^(Sens!G1993-2027)</f>
        <v>0</v>
      </c>
      <c r="H2113" s="6" t="n">
        <f aca="false">Sens!$F$2121/life_nonai*(1-1/life_nonai)^(Sens!H1993-2027)</f>
        <v>0</v>
      </c>
      <c r="I2113" s="6" t="n">
        <f aca="false">Sens!$F$2121/life_nonai*(1-1/life_nonai)^(Sens!I1993-2027)</f>
        <v>0</v>
      </c>
      <c r="J2113" s="6" t="n">
        <f aca="false">Sens!$F$2121/life_nonai*(1-1/life_nonai)^(Sens!J1993-2027)</f>
        <v>0</v>
      </c>
      <c r="K2113" s="6" t="n">
        <f aca="false">Sens!$F$2121/life_nonai*(1-1/life_nonai)^(Sens!K1993-2027)</f>
        <v>0</v>
      </c>
      <c r="L2113" s="1" t="s">
        <v>1105</v>
      </c>
    </row>
    <row r="2114" customFormat="false" ht="17.15" hidden="false" customHeight="false" outlineLevel="0" collapsed="false">
      <c r="A2114" s="1" t="s">
        <v>1106</v>
      </c>
      <c r="B2114" s="0" t="s">
        <v>98</v>
      </c>
      <c r="E2114" s="6" t="n">
        <f aca="false">Sens!E2030+Sens!E2112</f>
        <v>38.534</v>
      </c>
      <c r="F2114" s="6" t="n">
        <f aca="false">Sens!F2030+Sens!F2112</f>
        <v>62.1357907700343</v>
      </c>
      <c r="G2114" s="6" t="n">
        <f aca="false">Sens!G2030+Sens!G2112</f>
        <v>95.615772620879</v>
      </c>
      <c r="H2114" s="6" t="n">
        <f aca="false">Sens!H2030+Sens!H2112</f>
        <v>132.135390809486</v>
      </c>
      <c r="I2114" s="6" t="n">
        <f aca="false">Sens!I2030+Sens!I2112</f>
        <v>165.087088477578</v>
      </c>
      <c r="J2114" s="6" t="n">
        <f aca="false">Sens!J2030+Sens!J2112</f>
        <v>189.44755248329</v>
      </c>
      <c r="K2114" s="6" t="n">
        <f aca="false">Sens!K2030+Sens!K2112</f>
        <v>205.804999788791</v>
      </c>
    </row>
    <row r="2115" customFormat="false" ht="17.15" hidden="false" customHeight="false" outlineLevel="0" collapsed="false">
      <c r="A2115" s="1" t="s">
        <v>1107</v>
      </c>
      <c r="B2115" s="0" t="s">
        <v>98</v>
      </c>
      <c r="F2115" s="6" t="n">
        <f aca="false">Sens!F2057*sbc_r</f>
        <v>15.0680693022395</v>
      </c>
      <c r="G2115" s="6" t="n">
        <f aca="false">Sens!G2057*sbc_r</f>
        <v>18.3841476633065</v>
      </c>
      <c r="H2115" s="6" t="n">
        <f aca="false">Sens!H2057*sbc_r</f>
        <v>21.9545979838202</v>
      </c>
      <c r="I2115" s="6" t="n">
        <f aca="false">Sens!I2057*sbc_r</f>
        <v>24.9944595349748</v>
      </c>
      <c r="J2115" s="6" t="n">
        <f aca="false">Sens!J2057*sbc_r</f>
        <v>27.4407929753337</v>
      </c>
      <c r="K2115" s="6" t="n">
        <f aca="false">Sens!K2057*sbc_r</f>
        <v>29.3868645070206</v>
      </c>
    </row>
    <row r="2116" customFormat="false" ht="17.15" hidden="false" customHeight="false" outlineLevel="0" collapsed="false">
      <c r="A2116" s="1" t="s">
        <v>1108</v>
      </c>
      <c r="B2116" s="0" t="s">
        <v>98</v>
      </c>
      <c r="F2116" s="6" t="n">
        <f aca="false">wc27-wc26q1</f>
        <v>-4.677</v>
      </c>
      <c r="G2116" s="6" t="n">
        <f aca="false">wc_f</f>
        <v>0</v>
      </c>
      <c r="H2116" s="6" t="n">
        <f aca="false">wc_f</f>
        <v>0</v>
      </c>
      <c r="I2116" s="6" t="n">
        <f aca="false">wc_f</f>
        <v>0</v>
      </c>
      <c r="J2116" s="6" t="n">
        <f aca="false">wc_f</f>
        <v>0</v>
      </c>
      <c r="K2116" s="6" t="n">
        <f aca="false">wc_f</f>
        <v>0</v>
      </c>
      <c r="L2116" s="12" t="s">
        <v>1109</v>
      </c>
    </row>
    <row r="2117" customFormat="false" ht="17.15" hidden="false" customHeight="false" outlineLevel="0" collapsed="false">
      <c r="A2117" s="0" t="s">
        <v>1110</v>
      </c>
      <c r="B2117" s="0" t="s">
        <v>98</v>
      </c>
      <c r="F2117" s="6" t="n">
        <f aca="false">Q!$I$35-Q!$I$26-Q!$I$38-Q!$I$39</f>
        <v>6.493</v>
      </c>
      <c r="L2117" s="1" t="s">
        <v>1111</v>
      </c>
    </row>
    <row r="2118" customFormat="false" ht="15" hidden="false" customHeight="false" outlineLevel="0" collapsed="false">
      <c r="A2118" s="1" t="s">
        <v>908</v>
      </c>
      <c r="B2118" s="0" t="s">
        <v>98</v>
      </c>
      <c r="E2118" s="6" t="n">
        <f aca="false">Q!M35</f>
        <v>182.935</v>
      </c>
      <c r="F2118" s="6" t="n">
        <f aca="false">Sens!F2111+Sens!F2114+Sens!F2115+Sens!F2116+Sens!F2117</f>
        <v>223.629427868727</v>
      </c>
      <c r="G2118" s="6" t="n">
        <f aca="false">Sens!G2111+Sens!G2114+Sens!G2115+Sens!G2116</f>
        <v>272.951447620241</v>
      </c>
      <c r="H2118" s="6" t="n">
        <f aca="false">Sens!H2111+Sens!H2114+Sens!H2115+Sens!H2116</f>
        <v>335.237934357887</v>
      </c>
      <c r="I2118" s="6" t="n">
        <f aca="false">Sens!I2111+Sens!I2114+Sens!I2115+Sens!I2116</f>
        <v>387.53557965724</v>
      </c>
      <c r="J2118" s="6" t="n">
        <f aca="false">Sens!J2111+Sens!J2114+Sens!J2115+Sens!J2116</f>
        <v>429.476418298858</v>
      </c>
      <c r="K2118" s="6" t="n">
        <f aca="false">Sens!K2111+Sens!K2114+Sens!K2115+Sens!K2116</f>
        <v>462.686623120918</v>
      </c>
    </row>
    <row r="2119" customFormat="false" ht="17.15" hidden="false" customHeight="false" outlineLevel="0" collapsed="false">
      <c r="A2119" s="0" t="s">
        <v>1112</v>
      </c>
      <c r="B2119" s="0" t="s">
        <v>98</v>
      </c>
      <c r="F2119" s="6" t="n">
        <f aca="false">Sens!F2027</f>
        <v>202.144684850544</v>
      </c>
      <c r="G2119" s="6" t="n">
        <f aca="false">Sens!G2027</f>
        <v>230.333370778858</v>
      </c>
      <c r="H2119" s="6" t="n">
        <f aca="false">Sens!H2027</f>
        <v>236.167204877415</v>
      </c>
      <c r="I2119" s="6" t="n">
        <f aca="false">Sens!I2027</f>
        <v>202.337800345932</v>
      </c>
      <c r="J2119" s="6" t="n">
        <f aca="false">Sens!J2027</f>
        <v>154.715917435129</v>
      </c>
      <c r="K2119" s="6" t="n">
        <f aca="false">Sens!K2027</f>
        <v>142.755423677679</v>
      </c>
    </row>
    <row r="2120" customFormat="false" ht="17.15" hidden="false" customHeight="false" outlineLevel="0" collapsed="false">
      <c r="A2120" s="1" t="s">
        <v>1113</v>
      </c>
      <c r="B2120" s="0" t="s">
        <v>98</v>
      </c>
      <c r="E2120" s="6" t="n">
        <f aca="false">Sens!E2035*cx_azo+Sens!E2042*cx_m365+Sens!E2043*cx_lic+(Sens!E2045+Sens!E2047)*cx_ind+Sens!E2050*cx_srch+(Sens!E2052+Sens!E2054)*cx_dev</f>
        <v>30.1846587067718</v>
      </c>
      <c r="F2120" s="6" t="n">
        <f aca="false">Sens!F2035*cx_azo+Sens!F2042*cx_m365+Sens!F2043*cx_lic+(Sens!F2045+Sens!F2047)*cx_ind+Sens!F2050*cx_srch+(Sens!F2052+Sens!F2054)*cx_dev</f>
        <v>35.6985185126228</v>
      </c>
      <c r="G2120" s="6" t="n">
        <f aca="false">Sens!G2035*cx_azo+Sens!G2042*cx_m365+Sens!G2043*cx_lic+(Sens!G2045+Sens!G2047)*cx_ind+Sens!G2050*cx_srch+(Sens!G2052+Sens!G2054)*cx_dev</f>
        <v>41.5783178170917</v>
      </c>
      <c r="H2120" s="6" t="n">
        <f aca="false">Sens!H2035*cx_azo+Sens!H2042*cx_m365+Sens!H2043*cx_lic+(Sens!H2045+Sens!H2047)*cx_ind+Sens!H2050*cx_srch+(Sens!H2052+Sens!H2054)*cx_dev</f>
        <v>47.5433656144293</v>
      </c>
      <c r="I2120" s="6" t="n">
        <f aca="false">Sens!I2035*cx_azo+Sens!I2042*cx_m365+Sens!I2043*cx_lic+(Sens!I2045+Sens!I2047)*cx_ind+Sens!I2050*cx_srch+(Sens!I2052+Sens!I2054)*cx_dev</f>
        <v>53.1612302994382</v>
      </c>
      <c r="J2120" s="6" t="n">
        <f aca="false">Sens!J2035*cx_azo+Sens!J2042*cx_m365+Sens!J2043*cx_lic+(Sens!J2045+Sens!J2047)*cx_ind+Sens!J2050*cx_srch+(Sens!J2052+Sens!J2054)*cx_dev</f>
        <v>58.1985566406647</v>
      </c>
      <c r="K2120" s="6" t="n">
        <f aca="false">Sens!K2035*cx_azo+Sens!K2042*cx_m365+Sens!K2043*cx_lic+(Sens!K2045+Sens!K2047)*cx_ind+Sens!K2050*cx_srch+(Sens!K2052+Sens!K2054)*cx_dev</f>
        <v>62.6392598627275</v>
      </c>
    </row>
    <row r="2121" customFormat="false" ht="17.15" hidden="false" customHeight="false" outlineLevel="0" collapsed="false">
      <c r="A2121" s="0" t="s">
        <v>1114</v>
      </c>
      <c r="B2121" s="0" t="s">
        <v>98</v>
      </c>
      <c r="F2121" s="6" t="n">
        <f aca="false">Sens!F2025</f>
        <v>0</v>
      </c>
      <c r="L2121" s="1" t="s">
        <v>1115</v>
      </c>
    </row>
    <row r="2122" customFormat="false" ht="17.15" hidden="false" customHeight="false" outlineLevel="0" collapsed="false">
      <c r="A2122" s="1" t="s">
        <v>1116</v>
      </c>
      <c r="B2122" s="0" t="s">
        <v>98</v>
      </c>
      <c r="E2122" s="6" t="n">
        <f aca="false">Q!M43</f>
        <v>145.3</v>
      </c>
      <c r="F2122" s="6" t="n">
        <f aca="false">Sens!F2119+Sens!F2120+Sens!F2121</f>
        <v>237.843203363166</v>
      </c>
      <c r="G2122" s="6" t="n">
        <f aca="false">Sens!G2119+Sens!G2120</f>
        <v>271.91168859595</v>
      </c>
      <c r="H2122" s="6" t="n">
        <f aca="false">Sens!H2119+Sens!H2120</f>
        <v>283.710570491844</v>
      </c>
      <c r="I2122" s="6" t="n">
        <f aca="false">Sens!I2119+Sens!I2120</f>
        <v>255.499030645371</v>
      </c>
      <c r="J2122" s="6" t="n">
        <f aca="false">Sens!J2119+Sens!J2120</f>
        <v>212.914474075793</v>
      </c>
      <c r="K2122" s="6" t="n">
        <f aca="false">Sens!K2119+Sens!K2120</f>
        <v>205.394683540407</v>
      </c>
      <c r="L2122" s="1" t="s">
        <v>1117</v>
      </c>
    </row>
    <row r="2123" customFormat="false" ht="15" hidden="false" customHeight="false" outlineLevel="0" collapsed="false">
      <c r="A2123" s="1" t="s">
        <v>1118</v>
      </c>
      <c r="B2123" s="0" t="s">
        <v>98</v>
      </c>
      <c r="E2123" s="6" t="n">
        <f aca="false">fl_liab</f>
        <v>66.594</v>
      </c>
      <c r="F2123" s="6" t="n">
        <f aca="false">Sens!E2123-Sens!F2124</f>
        <v>62.46973</v>
      </c>
      <c r="G2123" s="6" t="n">
        <f aca="false">Sens!F2123-Sens!G2124</f>
        <v>57.98686785</v>
      </c>
      <c r="H2123" s="6" t="n">
        <f aca="false">Sens!G2123-Sens!H2124</f>
        <v>53.92827690325</v>
      </c>
      <c r="I2123" s="6" t="n">
        <f aca="false">Sens!H2123-Sens!I2124</f>
        <v>49.7850493638962</v>
      </c>
      <c r="J2123" s="6" t="n">
        <f aca="false">Sens!I2123-Sens!J2124</f>
        <v>45.4823765852716</v>
      </c>
      <c r="K2123" s="6" t="n">
        <f aca="false">Sens!J2123-Sens!K2124</f>
        <v>40.9860835316088</v>
      </c>
    </row>
    <row r="2124" customFormat="false" ht="15" hidden="false" customHeight="false" outlineLevel="0" collapsed="false">
      <c r="A2124" s="1" t="s">
        <v>1119</v>
      </c>
      <c r="B2124" s="0" t="s">
        <v>98</v>
      </c>
      <c r="F2124" s="6" t="n">
        <f aca="false">fl_pay_27-Sens!E2123*fl_rate</f>
        <v>4.12427</v>
      </c>
      <c r="G2124" s="6" t="n">
        <f aca="false">fl_pay_28-Sens!F2123*fl_rate</f>
        <v>4.48286215</v>
      </c>
      <c r="H2124" s="6" t="n">
        <f aca="false">fl_pay_29-Sens!G2123*fl_rate</f>
        <v>4.05859094675</v>
      </c>
      <c r="I2124" s="6" t="n">
        <f aca="false">fl_pay_30-Sens!H2123*fl_rate</f>
        <v>4.14322753935375</v>
      </c>
      <c r="J2124" s="6" t="n">
        <f aca="false">fl_pay_31-Sens!I2123*fl_rate</f>
        <v>4.30267277862467</v>
      </c>
      <c r="K2124" s="6" t="n">
        <f aca="false">fl_pay_32-Sens!J2123*fl_rate</f>
        <v>4.49629305366278</v>
      </c>
    </row>
    <row r="2125" customFormat="false" ht="17.15" hidden="false" customHeight="false" outlineLevel="0" collapsed="false">
      <c r="A2125" s="1" t="s">
        <v>1120</v>
      </c>
      <c r="B2125" s="0" t="s">
        <v>98</v>
      </c>
      <c r="E2125" s="6" t="n">
        <f aca="false">Q!M35-Q!M36-Q!M44</f>
        <v>63.886</v>
      </c>
      <c r="F2125" s="6" t="n">
        <f aca="false">Sens!F2118-Sens!F2122-Sens!F2124</f>
        <v>-18.3380454944394</v>
      </c>
      <c r="G2125" s="6" t="n">
        <f aca="false">Sens!G2118-Sens!G2122-Sens!G2124</f>
        <v>-3.44310312570876</v>
      </c>
      <c r="H2125" s="6" t="n">
        <f aca="false">Sens!H2118-Sens!H2122-Sens!H2124</f>
        <v>47.4687729192931</v>
      </c>
      <c r="I2125" s="6" t="n">
        <f aca="false">Sens!I2118-Sens!I2122-Sens!I2124</f>
        <v>127.893321472516</v>
      </c>
      <c r="J2125" s="6" t="n">
        <f aca="false">Sens!J2118-Sens!J2122-Sens!J2124</f>
        <v>212.25927144444</v>
      </c>
      <c r="K2125" s="6" t="n">
        <f aca="false">Sens!K2118-Sens!K2122-Sens!K2124</f>
        <v>252.795646526849</v>
      </c>
      <c r="L2125" s="12" t="s">
        <v>1121</v>
      </c>
    </row>
    <row r="2126" customFormat="false" ht="15" hidden="false" customHeight="false" outlineLevel="0" collapsed="false">
      <c r="A2126" s="1" t="s">
        <v>1122</v>
      </c>
      <c r="B2126" s="0" t="s">
        <v>75</v>
      </c>
      <c r="F2126" s="8" t="n">
        <f aca="false">dps_27</f>
        <v>3.85</v>
      </c>
      <c r="G2126" s="8" t="n">
        <f aca="false">Sens!F2126*(1+dps_g)</f>
        <v>4.158</v>
      </c>
      <c r="H2126" s="8" t="n">
        <f aca="false">Sens!G2126*(1+dps_g)</f>
        <v>4.49064</v>
      </c>
      <c r="I2126" s="8" t="n">
        <f aca="false">Sens!H2126*(1+dps_g)</f>
        <v>4.8498912</v>
      </c>
      <c r="J2126" s="8" t="n">
        <f aca="false">Sens!I2126*(1+dps_g)</f>
        <v>5.237882496</v>
      </c>
      <c r="K2126" s="8" t="n">
        <f aca="false">Sens!J2126*(1+dps_g)</f>
        <v>5.65691309568</v>
      </c>
    </row>
    <row r="2127" customFormat="false" ht="17.15" hidden="false" customHeight="false" outlineLevel="0" collapsed="false">
      <c r="A2127" s="1" t="s">
        <v>1123</v>
      </c>
      <c r="B2127" s="0" t="s">
        <v>98</v>
      </c>
      <c r="E2127" s="6" t="n">
        <f aca="false">Q!M41</f>
        <v>26.445</v>
      </c>
      <c r="F2127" s="6" t="n">
        <f aca="false">Sens!F2126*Sens!E2136</f>
        <v>28.59395</v>
      </c>
      <c r="G2127" s="6" t="n">
        <f aca="false">Sens!G2126*Sens!F2136</f>
        <v>31.068576</v>
      </c>
      <c r="H2127" s="6" t="n">
        <f aca="false">Sens!H2126*Sens!G2136</f>
        <v>33.75614088</v>
      </c>
      <c r="I2127" s="6" t="n">
        <f aca="false">Sens!I2126*Sens!H2136</f>
        <v>36.5866328194553</v>
      </c>
      <c r="J2127" s="6" t="n">
        <f aca="false">Sens!J2126*Sens!I2136</f>
        <v>39.5814613304043</v>
      </c>
      <c r="K2127" s="6" t="n">
        <f aca="false">Sens!K2126*Sens!J2136</f>
        <v>42.8347324992149</v>
      </c>
      <c r="L2127" s="1" t="s">
        <v>1124</v>
      </c>
    </row>
    <row r="2128" customFormat="false" ht="15" hidden="false" customHeight="false" outlineLevel="0" collapsed="false">
      <c r="A2128" s="1" t="s">
        <v>1125</v>
      </c>
      <c r="B2128" s="0" t="s">
        <v>98</v>
      </c>
      <c r="E2128" s="6" t="n">
        <f aca="false">Sens!E2125-Sens!E2127</f>
        <v>37.441</v>
      </c>
      <c r="F2128" s="6" t="n">
        <f aca="false">Sens!F2125-Sens!F2127</f>
        <v>-46.9319954944394</v>
      </c>
      <c r="G2128" s="6" t="n">
        <f aca="false">Sens!G2125-Sens!G2127</f>
        <v>-34.5116791257088</v>
      </c>
      <c r="H2128" s="6" t="n">
        <f aca="false">Sens!H2125-Sens!H2127</f>
        <v>13.7126320392931</v>
      </c>
      <c r="I2128" s="6" t="n">
        <f aca="false">Sens!I2125-Sens!I2127</f>
        <v>91.3066886530603</v>
      </c>
      <c r="J2128" s="6" t="n">
        <f aca="false">Sens!J2125-Sens!J2127</f>
        <v>172.677810114036</v>
      </c>
      <c r="K2128" s="6" t="n">
        <f aca="false">Sens!K2125-Sens!K2127</f>
        <v>209.960914027634</v>
      </c>
    </row>
    <row r="2129" customFormat="false" ht="15" hidden="false" customHeight="false" outlineLevel="0" collapsed="false">
      <c r="A2129" s="1" t="s">
        <v>1126</v>
      </c>
      <c r="B2129" s="0" t="s">
        <v>98</v>
      </c>
      <c r="F2129" s="6" t="n">
        <f aca="false">debt_mat_27</f>
        <v>9.25</v>
      </c>
      <c r="G2129" s="6" t="n">
        <f aca="false">debt_mat_28</f>
        <v>0</v>
      </c>
      <c r="H2129" s="6" t="n">
        <f aca="false">debt_mat_29</f>
        <v>2.001</v>
      </c>
      <c r="I2129" s="6" t="n">
        <f aca="false">debt_mat_30</f>
        <v>0</v>
      </c>
      <c r="J2129" s="6" t="n">
        <f aca="false">debt_mat_31</f>
        <v>0.5</v>
      </c>
      <c r="K2129" s="6" t="n">
        <f aca="false">debt_mat_32</f>
        <v>0</v>
      </c>
    </row>
    <row r="2130" customFormat="false" ht="15" hidden="false" customHeight="false" outlineLevel="0" collapsed="false">
      <c r="A2130" s="1" t="s">
        <v>1127</v>
      </c>
      <c r="B2130" s="0" t="s">
        <v>98</v>
      </c>
      <c r="E2130" s="6" t="n">
        <f aca="false">Q!M40</f>
        <v>22.271</v>
      </c>
      <c r="F2130" s="6" t="n">
        <f aca="false">MAX(0,MIN(bb_target,Sens!E2132+Sens!F2128-Sens!F2129-min_cash))</f>
        <v>0</v>
      </c>
      <c r="G2130" s="6" t="n">
        <f aca="false">MAX(0,MIN(bb_target,Sens!F2132+Sens!G2128-Sens!G2129-min_cash))</f>
        <v>0</v>
      </c>
      <c r="H2130" s="6" t="n">
        <f aca="false">MAX(0,MIN(bb_target,Sens!G2132+Sens!H2128-Sens!H2129-min_cash))</f>
        <v>11.7116320392931</v>
      </c>
      <c r="I2130" s="6" t="n">
        <f aca="false">MAX(0,MIN(bb_target,Sens!H2132+Sens!I2128-Sens!I2129-min_cash))</f>
        <v>22.271</v>
      </c>
      <c r="J2130" s="6" t="n">
        <f aca="false">MAX(0,MIN(bb_target,Sens!I2132+Sens!J2128-Sens!J2129-min_cash))</f>
        <v>22.271</v>
      </c>
      <c r="K2130" s="6" t="n">
        <f aca="false">MAX(0,MIN(bb_target,Sens!J2132+Sens!K2128-Sens!K2129-min_cash))</f>
        <v>22.271</v>
      </c>
    </row>
    <row r="2131" customFormat="false" ht="15" hidden="false" customHeight="false" outlineLevel="0" collapsed="false">
      <c r="A2131" s="1" t="s">
        <v>1128</v>
      </c>
      <c r="B2131" s="0" t="s">
        <v>98</v>
      </c>
      <c r="F2131" s="6" t="n">
        <f aca="false">MAX(0,min_cash-(Sens!E2132+Sens!F2128-Sens!F2129-Sens!F2130))</f>
        <v>29.3389954944394</v>
      </c>
      <c r="G2131" s="6" t="n">
        <f aca="false">MAX(0,min_cash-(Sens!F2132+Sens!G2128-Sens!G2129-Sens!G2130))</f>
        <v>34.5116791257088</v>
      </c>
      <c r="H2131" s="6" t="n">
        <f aca="false">MAX(0,min_cash-(Sens!G2132+Sens!H2128-Sens!H2129-Sens!H2130))</f>
        <v>0</v>
      </c>
      <c r="I2131" s="6" t="n">
        <f aca="false">MAX(0,min_cash-(Sens!H2132+Sens!I2128-Sens!I2129-Sens!I2130))</f>
        <v>0</v>
      </c>
      <c r="J2131" s="6" t="n">
        <f aca="false">MAX(0,min_cash-(Sens!I2132+Sens!J2128-Sens!J2129-Sens!J2130))</f>
        <v>0</v>
      </c>
      <c r="K2131" s="6" t="n">
        <f aca="false">MAX(0,min_cash-(Sens!J2132+Sens!K2128-Sens!K2129-Sens!K2130))</f>
        <v>0</v>
      </c>
    </row>
    <row r="2132" customFormat="false" ht="15" hidden="false" customHeight="false" outlineLevel="0" collapsed="false">
      <c r="A2132" s="1" t="s">
        <v>1129</v>
      </c>
      <c r="B2132" s="0" t="s">
        <v>98</v>
      </c>
      <c r="E2132" s="6" t="n">
        <f aca="false">cash_open</f>
        <v>76.843</v>
      </c>
      <c r="F2132" s="6" t="n">
        <f aca="false">Sens!E2132+Sens!F2128-Sens!F2129-Sens!F2130+Sens!F2131</f>
        <v>50</v>
      </c>
      <c r="G2132" s="6" t="n">
        <f aca="false">Sens!F2132+Sens!G2128-Sens!G2129-Sens!G2130+Sens!G2131</f>
        <v>50</v>
      </c>
      <c r="H2132" s="6" t="n">
        <f aca="false">Sens!G2132+Sens!H2128-Sens!H2129-Sens!H2130+Sens!H2131</f>
        <v>50</v>
      </c>
      <c r="I2132" s="6" t="n">
        <f aca="false">Sens!H2132+Sens!I2128-Sens!I2129-Sens!I2130+Sens!I2131</f>
        <v>119.03568865306</v>
      </c>
      <c r="J2132" s="6" t="n">
        <f aca="false">Sens!I2132+Sens!J2128-Sens!J2129-Sens!J2130+Sens!J2131</f>
        <v>268.942498767096</v>
      </c>
      <c r="K2132" s="6" t="n">
        <f aca="false">Sens!J2132+Sens!K2128-Sens!K2129-Sens!K2130+Sens!K2131</f>
        <v>456.63241279473</v>
      </c>
    </row>
    <row r="2133" customFormat="false" ht="15" hidden="false" customHeight="false" outlineLevel="0" collapsed="false">
      <c r="A2133" s="1" t="s">
        <v>1130</v>
      </c>
      <c r="B2133" s="0" t="s">
        <v>98</v>
      </c>
      <c r="E2133" s="6" t="n">
        <f aca="false">debt_face</f>
        <v>46.136</v>
      </c>
      <c r="F2133" s="6" t="n">
        <f aca="false">Sens!E2133-Sens!F2129+Sens!F2131</f>
        <v>66.2249954944394</v>
      </c>
      <c r="G2133" s="6" t="n">
        <f aca="false">Sens!F2133-Sens!G2129+Sens!G2131</f>
        <v>100.736674620148</v>
      </c>
      <c r="H2133" s="6" t="n">
        <f aca="false">Sens!G2133-Sens!H2129+Sens!H2131</f>
        <v>98.7356746201482</v>
      </c>
      <c r="I2133" s="6" t="n">
        <f aca="false">Sens!H2133-Sens!I2129+Sens!I2131</f>
        <v>98.7356746201482</v>
      </c>
      <c r="J2133" s="6" t="n">
        <f aca="false">Sens!I2133-Sens!J2129+Sens!J2131</f>
        <v>98.2356746201482</v>
      </c>
      <c r="K2133" s="6" t="n">
        <f aca="false">Sens!J2133-Sens!K2129+Sens!K2131</f>
        <v>98.2356746201482</v>
      </c>
    </row>
    <row r="2134" customFormat="false" ht="15" hidden="false" customHeight="false" outlineLevel="0" collapsed="false">
      <c r="A2134" s="1" t="s">
        <v>1131</v>
      </c>
      <c r="B2134" s="0" t="s">
        <v>98</v>
      </c>
      <c r="E2134" s="6" t="n">
        <f aca="false">Sens!E2132-Sens!E2133</f>
        <v>30.707</v>
      </c>
      <c r="F2134" s="6" t="n">
        <f aca="false">Sens!F2132-Sens!F2133</f>
        <v>-16.2249954944394</v>
      </c>
      <c r="G2134" s="6" t="n">
        <f aca="false">Sens!G2132-Sens!G2133</f>
        <v>-50.7366746201482</v>
      </c>
      <c r="H2134" s="6" t="n">
        <f aca="false">Sens!H2132-Sens!H2133</f>
        <v>-48.7356746201482</v>
      </c>
      <c r="I2134" s="6" t="n">
        <f aca="false">Sens!I2132-Sens!I2133</f>
        <v>20.3000140329121</v>
      </c>
      <c r="J2134" s="6" t="n">
        <f aca="false">Sens!J2132-Sens!J2133</f>
        <v>170.706824146948</v>
      </c>
      <c r="K2134" s="6" t="n">
        <f aca="false">Sens!K2132-Sens!K2133</f>
        <v>358.396738174582</v>
      </c>
    </row>
    <row r="2135" customFormat="false" ht="15" hidden="false" customHeight="false" outlineLevel="0" collapsed="false">
      <c r="A2135" s="1" t="s">
        <v>1132</v>
      </c>
      <c r="B2135" s="0" t="s">
        <v>75</v>
      </c>
      <c r="F2135" s="30" t="n">
        <f aca="false">px*(1+bb_g)^(Sens!F1993-base_fy-mid_yr)</f>
        <v>551.84177959629</v>
      </c>
      <c r="G2135" s="30" t="n">
        <f aca="false">px*(1+bb_g)^(Sens!G1993-base_fy-mid_yr)</f>
        <v>595.989121963993</v>
      </c>
      <c r="H2135" s="30" t="n">
        <f aca="false">px*(1+bb_g)^(Sens!H1993-base_fy-mid_yr)</f>
        <v>643.668251721112</v>
      </c>
      <c r="I2135" s="30" t="n">
        <f aca="false">px*(1+bb_g)^(Sens!I1993-base_fy-mid_yr)</f>
        <v>695.161711858801</v>
      </c>
      <c r="J2135" s="30" t="n">
        <f aca="false">px*(1+bb_g)^(Sens!J1993-base_fy-mid_yr)</f>
        <v>750.774648807506</v>
      </c>
      <c r="K2135" s="30" t="n">
        <f aca="false">px*(1+bb_g)^(Sens!K1993-base_fy-mid_yr)</f>
        <v>810.836620712106</v>
      </c>
    </row>
    <row r="2136" customFormat="false" ht="15" hidden="false" customHeight="false" outlineLevel="0" collapsed="false">
      <c r="A2136" s="1" t="s">
        <v>1133</v>
      </c>
      <c r="B2136" s="1" t="s">
        <v>81</v>
      </c>
      <c r="E2136" s="15" t="n">
        <f aca="false">sh_out26</f>
        <v>7.427</v>
      </c>
      <c r="F2136" s="15" t="n">
        <f aca="false">Sens!E2136+sh_iss-Sens!F2130/Sens!F2135</f>
        <v>7.472</v>
      </c>
      <c r="G2136" s="15" t="n">
        <f aca="false">Sens!F2136+sh_iss-Sens!G2130/Sens!G2135</f>
        <v>7.517</v>
      </c>
      <c r="H2136" s="15" t="n">
        <f aca="false">Sens!G2136+sh_iss-Sens!H2130/Sens!H2135</f>
        <v>7.54380486297409</v>
      </c>
      <c r="I2136" s="15" t="n">
        <f aca="false">Sens!H2136+sh_iss-Sens!I2130/Sens!I2135</f>
        <v>7.55676771302743</v>
      </c>
      <c r="J2136" s="15" t="n">
        <f aca="false">Sens!I2136+sh_iss-Sens!J2130/Sens!J2135</f>
        <v>7.57210368529903</v>
      </c>
      <c r="K2136" s="15" t="n">
        <f aca="false">Sens!J2136+sh_iss-Sens!K2130/Sens!K2135</f>
        <v>7.58963699295793</v>
      </c>
    </row>
    <row r="2137" customFormat="false" ht="15" hidden="false" customHeight="false" outlineLevel="0" collapsed="false">
      <c r="A2137" s="1" t="s">
        <v>1134</v>
      </c>
      <c r="B2137" s="1" t="s">
        <v>81</v>
      </c>
      <c r="E2137" s="15" t="n">
        <f aca="false">sh_dil26</f>
        <v>7.453</v>
      </c>
      <c r="F2137" s="15" t="n">
        <f aca="false">(Sens!E2136+Sens!F2136)/2+dil_gap</f>
        <v>7.4735</v>
      </c>
      <c r="G2137" s="15" t="n">
        <f aca="false">(Sens!F2136+Sens!G2136)/2+dil_gap</f>
        <v>7.5185</v>
      </c>
      <c r="H2137" s="15" t="n">
        <f aca="false">(Sens!G2136+Sens!H2136)/2+dil_gap</f>
        <v>7.55440243148705</v>
      </c>
      <c r="I2137" s="15" t="n">
        <f aca="false">(Sens!H2136+Sens!I2136)/2+dil_gap</f>
        <v>7.57428628800076</v>
      </c>
      <c r="J2137" s="15" t="n">
        <f aca="false">(Sens!I2136+Sens!J2136)/2+dil_gap</f>
        <v>7.58843569916323</v>
      </c>
      <c r="K2137" s="15" t="n">
        <f aca="false">(Sens!J2136+Sens!K2136)/2+dil_gap</f>
        <v>7.60487033912848</v>
      </c>
    </row>
    <row r="2138" customFormat="false" ht="17.15" hidden="false" customHeight="false" outlineLevel="0" collapsed="false">
      <c r="A2138" s="1" t="s">
        <v>1135</v>
      </c>
      <c r="B2138" s="0" t="s">
        <v>98</v>
      </c>
      <c r="C2138" s="6" t="n">
        <f aca="false">SUM(Sens!F2128:J2128)</f>
        <v>196.253456186241</v>
      </c>
    </row>
    <row r="2139" customFormat="false" ht="15" hidden="false" customHeight="false" outlineLevel="0" collapsed="false">
      <c r="A2139" s="26" t="s">
        <v>1100</v>
      </c>
      <c r="B2139" s="31" t="s">
        <v>98</v>
      </c>
      <c r="C2139" s="27" t="n">
        <f aca="false">Sens!$C$2138-(Sens!F2128+Sens!G2128+Sens!H2128+Sens!I2128+Sens!J2128)</f>
        <v>0</v>
      </c>
      <c r="D2139" s="31"/>
      <c r="E2139" s="31"/>
      <c r="F2139" s="31"/>
      <c r="G2139" s="31"/>
      <c r="H2139" s="31"/>
      <c r="I2139" s="31"/>
      <c r="J2139" s="31"/>
      <c r="K2139" s="31"/>
    </row>
    <row r="2140" customFormat="false" ht="17.15" hidden="false" customHeight="false" outlineLevel="0" collapsed="false">
      <c r="A2140" s="1" t="s">
        <v>1094</v>
      </c>
      <c r="B2140" s="1" t="s">
        <v>1136</v>
      </c>
      <c r="C2140" s="33" t="str">
        <f aca="false">IF(SUM(Sens!F2131:J2131)&gt;0.05,"需要舉債 "&amp;TEXT(SUM(Sens!F2131:J2131),"0.0")&amp;" 十億美元","不需舉債")&amp;"；"&amp;IF(SUM(Sens!F2130:J2130)&lt;COUNT(Sens!F2130:J2130)*bb_target-0.05,"回購較每年 "&amp;TEXT(bb_target,"0.0")&amp;" 的目標少 "&amp;TEXT(COUNT(Sens!F2130:J2130)*bb_target-SUM(Sens!F2130:J2130),"0.0")&amp;" 十億美元（"&amp;TEXT(COUNTIF(Sens!F2130:J2130,"&lt;"&amp;(bb_target-0.05)),"0")&amp;" 年減少）","回購不減")</f>
        <v>需要舉債 63.9 十億美元；回購較每年 22.3 的目標少 55.1 十億美元（3 年減少）</v>
      </c>
    </row>
    <row r="2141" customFormat="false" ht="17.15" hidden="false" customHeight="false" outlineLevel="0" collapsed="false">
      <c r="A2141" s="3" t="s">
        <v>1664</v>
      </c>
    </row>
    <row r="2142" customFormat="false" ht="15" hidden="false" customHeight="false" outlineLevel="0" collapsed="false">
      <c r="A2142" s="4" t="s">
        <v>43</v>
      </c>
      <c r="B2142" s="4" t="s">
        <v>65</v>
      </c>
      <c r="C2142" s="23" t="s">
        <v>942</v>
      </c>
      <c r="D2142" s="23" t="s">
        <v>943</v>
      </c>
      <c r="E2142" s="23" t="s">
        <v>944</v>
      </c>
      <c r="F2142" s="23" t="s">
        <v>945</v>
      </c>
      <c r="G2142" s="23" t="s">
        <v>946</v>
      </c>
      <c r="H2142" s="23" t="s">
        <v>947</v>
      </c>
      <c r="I2142" s="23" t="s">
        <v>948</v>
      </c>
      <c r="J2142" s="23" t="s">
        <v>949</v>
      </c>
      <c r="K2142" s="23" t="s">
        <v>950</v>
      </c>
      <c r="L2142" s="4" t="s">
        <v>47</v>
      </c>
    </row>
    <row r="2143" customFormat="false" ht="17.15" hidden="false" customHeight="false" outlineLevel="0" collapsed="false">
      <c r="A2143" s="1" t="s">
        <v>1216</v>
      </c>
      <c r="B2143" s="1" t="s">
        <v>279</v>
      </c>
      <c r="F2143" s="8" t="n">
        <f aca="false">(1-v_off)*mid_yr</f>
        <v>0.373972602739726</v>
      </c>
      <c r="G2143" s="8" t="n">
        <f aca="false">Sens!G1993-base_fy-mid_yr-v_off</f>
        <v>1.24794520547945</v>
      </c>
      <c r="H2143" s="8" t="n">
        <f aca="false">Sens!H1993-base_fy-mid_yr-v_off</f>
        <v>2.24794520547945</v>
      </c>
      <c r="I2143" s="8" t="n">
        <f aca="false">Sens!I1993-base_fy-mid_yr-v_off</f>
        <v>3.24794520547945</v>
      </c>
      <c r="J2143" s="8" t="n">
        <f aca="false">Sens!J1993-base_fy-mid_yr-v_off</f>
        <v>4.24794520547945</v>
      </c>
      <c r="K2143" s="8" t="n">
        <f aca="false">Sens!K1993-base_fy-mid_yr-v_off</f>
        <v>5.24794520547945</v>
      </c>
      <c r="L2143" s="12" t="s">
        <v>1217</v>
      </c>
    </row>
    <row r="2144" customFormat="false" ht="15" hidden="false" customHeight="false" outlineLevel="0" collapsed="false">
      <c r="A2144" s="1" t="s">
        <v>1218</v>
      </c>
      <c r="B2144" s="1" t="s">
        <v>279</v>
      </c>
      <c r="F2144" s="8" t="n">
        <f aca="false">Sens!F1993-base_fy-v_off</f>
        <v>0.747945205479452</v>
      </c>
      <c r="G2144" s="8" t="n">
        <f aca="false">Sens!G1993-base_fy-v_off</f>
        <v>1.74794520547945</v>
      </c>
      <c r="H2144" s="8" t="n">
        <f aca="false">Sens!H1993-base_fy-v_off</f>
        <v>2.74794520547945</v>
      </c>
      <c r="I2144" s="8" t="n">
        <f aca="false">Sens!I1993-base_fy-v_off</f>
        <v>3.74794520547945</v>
      </c>
      <c r="J2144" s="8" t="n">
        <f aca="false">Sens!J1993-base_fy-v_off</f>
        <v>4.74794520547945</v>
      </c>
      <c r="K2144" s="8" t="n">
        <f aca="false">Sens!K1993-base_fy-v_off</f>
        <v>5.74794520547945</v>
      </c>
    </row>
    <row r="2145" customFormat="false" ht="15" hidden="false" customHeight="false" outlineLevel="0" collapsed="false">
      <c r="A2145" s="1" t="s">
        <v>1219</v>
      </c>
      <c r="B2145" s="0" t="s">
        <v>229</v>
      </c>
      <c r="F2145" s="15" t="n">
        <f aca="false">1/(1+wacc)^Sens!F2143</f>
        <v>0.964022703286649</v>
      </c>
      <c r="G2145" s="15" t="n">
        <f aca="false">1/(1+wacc)^Sens!G2143</f>
        <v>0.884910302296739</v>
      </c>
      <c r="H2145" s="15" t="n">
        <f aca="false">1/(1+wacc)^Sens!H2143</f>
        <v>0.802322009770358</v>
      </c>
      <c r="I2145" s="15" t="n">
        <f aca="false">1/(1+wacc)^Sens!I2143</f>
        <v>0.727441646561469</v>
      </c>
      <c r="J2145" s="15" t="n">
        <f aca="false">1/(1+wacc)^Sens!J2143</f>
        <v>0.659549834988973</v>
      </c>
      <c r="K2145" s="15" t="n">
        <f aca="false">1/(1+wacc)^Sens!K2143</f>
        <v>0.597994336576966</v>
      </c>
    </row>
    <row r="2146" customFormat="false" ht="17.15" hidden="false" customHeight="false" outlineLevel="0" collapsed="false">
      <c r="A2146" s="1" t="s">
        <v>1220</v>
      </c>
      <c r="B2146" s="0" t="s">
        <v>98</v>
      </c>
      <c r="F2146" s="6" t="n">
        <f aca="false">Q!$I$35-Q!$I$39-Q!$I$43</f>
        <v>9.666</v>
      </c>
      <c r="L2146" s="12" t="s">
        <v>1221</v>
      </c>
    </row>
    <row r="2147" customFormat="false" ht="17.15" hidden="false" customHeight="false" outlineLevel="0" collapsed="false">
      <c r="A2147" s="1" t="s">
        <v>1222</v>
      </c>
      <c r="B2147" s="0" t="s">
        <v>98</v>
      </c>
      <c r="F2147" s="6" t="n">
        <f aca="false">Sens!F2118-Sens!F2115-Sens!F2122+Sens!F2100*(1-tax_f)*(1-v_off)-Sens!F2146</f>
        <v>-29.6658115055312</v>
      </c>
      <c r="G2147" s="6" t="n">
        <f aca="false">Sens!G2118-Sens!G2115-Sens!G2122+Sens!G2100*(1-tax_f)</f>
        <v>13.5618477598406</v>
      </c>
      <c r="H2147" s="6" t="n">
        <f aca="false">Sens!H2118-Sens!H2115-Sens!H2122+Sens!H2100*(1-tax_f)</f>
        <v>80.7430233091504</v>
      </c>
      <c r="I2147" s="6" t="n">
        <f aca="false">Sens!I2118-Sens!I2115-Sens!I2122+Sens!I2100*(1-tax_f)</f>
        <v>176.607646504586</v>
      </c>
      <c r="J2147" s="6" t="n">
        <f aca="false">Sens!J2118-Sens!J2115-Sens!J2122+Sens!J2100*(1-tax_f)</f>
        <v>271.546996864256</v>
      </c>
      <c r="K2147" s="6" t="n">
        <f aca="false">Sens!K2118-Sens!K2115-Sens!K2122+Sens!K2100*(1-tax_f)</f>
        <v>317.310101623969</v>
      </c>
      <c r="L2147" s="1" t="s">
        <v>1223</v>
      </c>
    </row>
    <row r="2148" customFormat="false" ht="15" hidden="false" customHeight="false" outlineLevel="0" collapsed="false">
      <c r="A2148" s="1" t="s">
        <v>1224</v>
      </c>
      <c r="B2148" s="0" t="s">
        <v>98</v>
      </c>
      <c r="F2148" s="6" t="n">
        <f aca="false">Sens!F2147*Sens!F2145</f>
        <v>-28.5985158027544</v>
      </c>
      <c r="G2148" s="6" t="n">
        <f aca="false">Sens!G2147*Sens!G2145</f>
        <v>12.0010188008629</v>
      </c>
      <c r="H2148" s="6" t="n">
        <f aca="false">Sens!H2147*Sens!H2145</f>
        <v>64.7819047363324</v>
      </c>
      <c r="I2148" s="6" t="n">
        <f aca="false">Sens!I2147*Sens!I2145</f>
        <v>128.471757168642</v>
      </c>
      <c r="J2148" s="6" t="n">
        <f aca="false">Sens!J2147*Sens!J2145</f>
        <v>179.098776973571</v>
      </c>
      <c r="K2148" s="6" t="n">
        <f aca="false">Sens!K2147*Sens!K2145</f>
        <v>189.749643709795</v>
      </c>
    </row>
    <row r="2149" customFormat="false" ht="17.15" hidden="false" customHeight="false" outlineLevel="0" collapsed="false">
      <c r="A2149" s="1" t="s">
        <v>1225</v>
      </c>
      <c r="B2149" s="0" t="s">
        <v>98</v>
      </c>
      <c r="C2149" s="6" t="n">
        <f aca="false">SUM(Sens!F2148:K2148)</f>
        <v>545.504585586448</v>
      </c>
    </row>
    <row r="2150" customFormat="false" ht="17.15" hidden="false" customHeight="false" outlineLevel="0" collapsed="false">
      <c r="A2150" s="1" t="s">
        <v>1226</v>
      </c>
      <c r="B2150" s="0" t="s">
        <v>98</v>
      </c>
      <c r="C2150" s="6" t="n">
        <f aca="false">Sens!K2086*(1+g_tv)*(1-tax_f)</f>
        <v>327.395578936852</v>
      </c>
    </row>
    <row r="2151" customFormat="false" ht="17.15" hidden="false" customHeight="false" outlineLevel="0" collapsed="false">
      <c r="A2151" s="1" t="s">
        <v>1227</v>
      </c>
      <c r="B2151" s="0" t="s">
        <v>98</v>
      </c>
      <c r="C2151" s="6" t="n">
        <f aca="false">Sens!$C$2150*(1-g_tv/(wacc+ronic_prem))</f>
        <v>231.97890272988</v>
      </c>
    </row>
    <row r="2152" customFormat="false" ht="17.15" hidden="false" customHeight="false" outlineLevel="0" collapsed="false">
      <c r="A2152" s="1" t="s">
        <v>1228</v>
      </c>
      <c r="B2152" s="0" t="s">
        <v>98</v>
      </c>
      <c r="C2152" s="6" t="n">
        <f aca="false">Sens!$C$2151/(wacc-g_tv)</f>
        <v>3180.55587356573</v>
      </c>
    </row>
    <row r="2153" customFormat="false" ht="15" hidden="false" customHeight="false" outlineLevel="0" collapsed="false">
      <c r="A2153" s="1" t="s">
        <v>1229</v>
      </c>
      <c r="B2153" s="0" t="s">
        <v>98</v>
      </c>
      <c r="C2153" s="6" t="n">
        <f aca="false">Sens!$C$2152/(1+wacc)^Sens!K2144</f>
        <v>1811.02659388769</v>
      </c>
    </row>
    <row r="2154" customFormat="false" ht="17.15" hidden="false" customHeight="false" outlineLevel="0" collapsed="false">
      <c r="A2154" s="0" t="s">
        <v>1230</v>
      </c>
      <c r="B2154" s="0" t="s">
        <v>98</v>
      </c>
      <c r="C2154" s="6" t="n">
        <f aca="false">Sens!$C$2149+Sens!$C$2153</f>
        <v>2356.53117947414</v>
      </c>
    </row>
    <row r="2155" customFormat="false" ht="15" hidden="false" customHeight="false" outlineLevel="0" collapsed="false">
      <c r="A2155" s="1" t="s">
        <v>1145</v>
      </c>
      <c r="B2155" s="0" t="s">
        <v>168</v>
      </c>
      <c r="C2155" s="7" t="n">
        <f aca="false">Sens!$C$2153/Sens!$C$2154</f>
        <v>0.768513741580038</v>
      </c>
    </row>
    <row r="2156" customFormat="false" ht="17.15" hidden="false" customHeight="false" outlineLevel="0" collapsed="false">
      <c r="A2156" s="1" t="s">
        <v>1231</v>
      </c>
      <c r="B2156" s="0" t="s">
        <v>98</v>
      </c>
      <c r="C2156" s="6" t="n">
        <f aca="false">Sens!$C$2154+cash_val-debt_val-fl_val+oai_v</f>
        <v>2472.38217947414</v>
      </c>
    </row>
    <row r="2157" customFormat="false" ht="17.15" hidden="false" customHeight="false" outlineLevel="0" collapsed="false">
      <c r="A2157" s="0" t="s">
        <v>1153</v>
      </c>
      <c r="B2157" s="0" t="s">
        <v>75</v>
      </c>
      <c r="C2157" s="5" t="n">
        <f aca="false">Sens!$C$2156/shd_val</f>
        <v>332.041657195023</v>
      </c>
    </row>
    <row r="2158" customFormat="false" ht="15" hidden="false" customHeight="false" outlineLevel="0" collapsed="false">
      <c r="A2158" s="1" t="s">
        <v>1232</v>
      </c>
      <c r="B2158" s="0" t="s">
        <v>75</v>
      </c>
      <c r="C2158" s="8" t="n">
        <f aca="false">div_rem27+Sens!G2126*roll_div_q/q_per_yr</f>
        <v>3.9795</v>
      </c>
    </row>
    <row r="2159" customFormat="false" ht="17.15" hidden="false" customHeight="false" outlineLevel="0" collapsed="false">
      <c r="A2159" s="0" t="s">
        <v>1233</v>
      </c>
      <c r="B2159" s="0" t="s">
        <v>75</v>
      </c>
      <c r="C2159" s="5" t="n">
        <f aca="false">Sens!$C$2157*(1+wacc)^t_roll-Sens!$C$2158</f>
        <v>365.103333464135</v>
      </c>
    </row>
    <row r="2160" customFormat="false" ht="17.15" hidden="false" customHeight="false" outlineLevel="0" collapsed="false">
      <c r="A2160" s="1" t="s">
        <v>1234</v>
      </c>
      <c r="B2160" s="0" t="s">
        <v>168</v>
      </c>
      <c r="F2160" s="7" t="n">
        <f aca="false">Sens!F2112/(Sens!F2057-Sens!F2012)</f>
        <v>0.0600063508803656</v>
      </c>
      <c r="G2160" s="7" t="n">
        <f aca="false">Sens!G2112/(Sens!G2057-Sens!G2012)</f>
        <v>0.0585436437760825</v>
      </c>
      <c r="H2160" s="7" t="n">
        <f aca="false">Sens!H2112/(Sens!H2057-Sens!H2012)</f>
        <v>0.058169683541085</v>
      </c>
      <c r="I2160" s="7" t="n">
        <f aca="false">Sens!I2112/(Sens!I2057-Sens!I2012)</f>
        <v>0.0588550495662654</v>
      </c>
      <c r="J2160" s="7" t="n">
        <f aca="false">Sens!J2112/(Sens!J2057-Sens!J2012)</f>
        <v>0.0603368371638896</v>
      </c>
      <c r="K2160" s="7" t="n">
        <f aca="false">Sens!K2112/(Sens!K2057-Sens!K2012)</f>
        <v>0.0622363637161414</v>
      </c>
    </row>
    <row r="2161" customFormat="false" ht="17.15" hidden="false" customHeight="false" outlineLevel="0" collapsed="false">
      <c r="A2161" s="0" t="s">
        <v>1235</v>
      </c>
      <c r="B2161" s="0" t="s">
        <v>98</v>
      </c>
      <c r="F2161" s="6" t="n">
        <f aca="false">Sens!F2042*(al_m365+Sens!F2160+sbc_r)</f>
        <v>83.4981355781907</v>
      </c>
      <c r="G2161" s="6" t="n">
        <f aca="false">Sens!G2042*(al_m365+Sens!G2160+sbc_r)</f>
        <v>97.9906532045464</v>
      </c>
      <c r="H2161" s="6" t="n">
        <f aca="false">Sens!H2042*(al_m365+Sens!H2160+sbc_r)</f>
        <v>112.654036628926</v>
      </c>
      <c r="I2161" s="6" t="n">
        <f aca="false">Sens!I2042*(al_m365+Sens!I2160+sbc_r)</f>
        <v>125.806906567479</v>
      </c>
      <c r="J2161" s="6" t="n">
        <f aca="false">Sens!J2042*(al_m365+Sens!J2160+sbc_r)</f>
        <v>137.25684235911</v>
      </c>
      <c r="K2161" s="6" t="n">
        <f aca="false">Sens!K2042*(al_m365+Sens!K2160+sbc_r)</f>
        <v>148.319333298707</v>
      </c>
      <c r="L2161" s="12" t="s">
        <v>1236</v>
      </c>
    </row>
    <row r="2162" customFormat="false" ht="17.15" hidden="false" customHeight="false" outlineLevel="0" collapsed="false">
      <c r="A2162" s="0" t="s">
        <v>1237</v>
      </c>
      <c r="B2162" s="0" t="s">
        <v>98</v>
      </c>
      <c r="F2162" s="6" t="n">
        <f aca="false">Sens!F2043*(al_lic+Sens!F2160+sbc_r)</f>
        <v>32.5271461833958</v>
      </c>
      <c r="G2162" s="6" t="n">
        <f aca="false">Sens!G2043*(al_lic+Sens!G2160+sbc_r)</f>
        <v>33.8459613074134</v>
      </c>
      <c r="H2162" s="6" t="n">
        <f aca="false">Sens!H2043*(al_lic+Sens!H2160+sbc_r)</f>
        <v>35.0745661039553</v>
      </c>
      <c r="I2162" s="6" t="n">
        <f aca="false">Sens!I2043*(al_lic+Sens!I2160+sbc_r)</f>
        <v>36.1972315737676</v>
      </c>
      <c r="J2162" s="6" t="n">
        <f aca="false">Sens!J2043*(al_lic+Sens!J2160+sbc_r)</f>
        <v>37.188380690223</v>
      </c>
      <c r="K2162" s="6" t="n">
        <f aca="false">Sens!K2043*(al_lic+Sens!K2160+sbc_r)</f>
        <v>38.0171447319814</v>
      </c>
    </row>
    <row r="2163" customFormat="false" ht="17.15" hidden="false" customHeight="false" outlineLevel="0" collapsed="false">
      <c r="A2163" s="0" t="s">
        <v>1238</v>
      </c>
      <c r="B2163" s="0" t="s">
        <v>98</v>
      </c>
      <c r="F2163" s="6" t="n">
        <f aca="false">Sens!F2045*(al_ind+Sens!F2160+sbc_r)</f>
        <v>8.86820293452102</v>
      </c>
      <c r="G2163" s="6" t="n">
        <f aca="false">Sens!G2045*(al_ind+Sens!G2160+sbc_r)</f>
        <v>9.65836301366062</v>
      </c>
      <c r="H2163" s="6" t="n">
        <f aca="false">Sens!H2045*(al_ind+Sens!H2160+sbc_r)</f>
        <v>10.4920335693544</v>
      </c>
      <c r="I2163" s="6" t="n">
        <f aca="false">Sens!I2045*(al_ind+Sens!I2160+sbc_r)</f>
        <v>11.3674465137544</v>
      </c>
      <c r="J2163" s="6" t="n">
        <f aca="false">Sens!J2045*(al_ind+Sens!J2160+sbc_r)</f>
        <v>12.2746144308909</v>
      </c>
      <c r="K2163" s="6" t="n">
        <f aca="false">Sens!K2045*(al_ind+Sens!K2160+sbc_r)</f>
        <v>13.1965652624541</v>
      </c>
    </row>
    <row r="2164" customFormat="false" ht="17.15" hidden="false" customHeight="false" outlineLevel="0" collapsed="false">
      <c r="A2164" s="0" t="s">
        <v>1239</v>
      </c>
      <c r="B2164" s="0" t="s">
        <v>98</v>
      </c>
      <c r="F2164" s="6" t="n">
        <f aca="false">Sens!F2047*(al_fro+Sens!F2160+sbc_r)</f>
        <v>3.47863181346167</v>
      </c>
      <c r="G2164" s="6" t="n">
        <f aca="false">Sens!G2047*(al_fro+Sens!G2160+sbc_r)</f>
        <v>3.69557275605929</v>
      </c>
      <c r="H2164" s="6" t="n">
        <f aca="false">Sens!H2047*(al_fro+Sens!H2160+sbc_r)</f>
        <v>3.94025103884067</v>
      </c>
      <c r="I2164" s="6" t="n">
        <f aca="false">Sens!I2047*(al_fro+Sens!I2160+sbc_r)</f>
        <v>4.21604923976741</v>
      </c>
      <c r="J2164" s="6" t="n">
        <f aca="false">Sens!J2047*(al_fro+Sens!J2160+sbc_r)</f>
        <v>4.52411643829525</v>
      </c>
      <c r="K2164" s="6" t="n">
        <f aca="false">Sens!K2047*(al_fro+Sens!K2160+sbc_r)</f>
        <v>4.86392449791772</v>
      </c>
    </row>
    <row r="2165" customFormat="false" ht="17.15" hidden="false" customHeight="false" outlineLevel="0" collapsed="false">
      <c r="A2165" s="0" t="s">
        <v>1240</v>
      </c>
      <c r="B2165" s="0" t="s">
        <v>98</v>
      </c>
      <c r="F2165" s="6" t="n">
        <f aca="false">Sens!F2050*(al_srch+Sens!F2160+sbc_r)</f>
        <v>10.9517170466099</v>
      </c>
      <c r="G2165" s="6" t="n">
        <f aca="false">Sens!G2050*(al_srch+Sens!G2160+sbc_r)</f>
        <v>12.0400597626797</v>
      </c>
      <c r="H2165" s="6" t="n">
        <f aca="false">Sens!H2050*(al_srch+Sens!H2160+sbc_r)</f>
        <v>13.1723570380214</v>
      </c>
      <c r="I2165" s="6" t="n">
        <f aca="false">Sens!I2050*(al_srch+Sens!I2160+sbc_r)</f>
        <v>14.3394532276552</v>
      </c>
      <c r="J2165" s="6" t="n">
        <f aca="false">Sens!J2050*(al_srch+Sens!J2160+sbc_r)</f>
        <v>15.5209119526629</v>
      </c>
      <c r="K2165" s="6" t="n">
        <f aca="false">Sens!K2050*(al_srch+Sens!K2160+sbc_r)</f>
        <v>16.6866933922301</v>
      </c>
    </row>
    <row r="2166" customFormat="false" ht="17.15" hidden="false" customHeight="false" outlineLevel="0" collapsed="false">
      <c r="A2166" s="0" t="s">
        <v>1241</v>
      </c>
      <c r="B2166" s="0" t="s">
        <v>98</v>
      </c>
      <c r="F2166" s="6" t="n">
        <f aca="false">Sens!F2018-Sens!F2019+Sens!F2100</f>
        <v>48.6467278984045</v>
      </c>
      <c r="G2166" s="6" t="n">
        <f aca="false">Sens!G2018-Sens!G2019+Sens!G2100</f>
        <v>101.343031227277</v>
      </c>
      <c r="H2166" s="6" t="n">
        <f aca="false">Sens!H2018-Sens!H2019+Sens!H2100</f>
        <v>162.482470457827</v>
      </c>
      <c r="I2166" s="6" t="n">
        <f aca="false">Sens!I2018-Sens!I2019+Sens!I2100</f>
        <v>211.760252655387</v>
      </c>
      <c r="J2166" s="6" t="n">
        <f aca="false">Sens!J2018-Sens!J2019+Sens!J2100</f>
        <v>246.354381542768</v>
      </c>
      <c r="K2166" s="6" t="n">
        <f aca="false">Sens!K2018-Sens!K2019+Sens!K2100</f>
        <v>267.173249766993</v>
      </c>
    </row>
    <row r="2167" customFormat="false" ht="17.15" hidden="false" customHeight="false" outlineLevel="0" collapsed="false">
      <c r="A2167" s="0" t="s">
        <v>1242</v>
      </c>
      <c r="B2167" s="0" t="s">
        <v>98</v>
      </c>
      <c r="F2167" s="6" t="n">
        <f aca="false">Sens!F2079+Sens!F2100+Sens!F2030+Sens!F2160*(Sens!F2049-Sens!F2012)+sbc_r*Sens!F2049</f>
        <v>248.427340321599</v>
      </c>
      <c r="G2167" s="6" t="n">
        <f aca="false">Sens!G2079+Sens!G2100+Sens!G2030+Sens!G2160*(Sens!G2049-Sens!G2012)+sbc_r*Sens!G2049</f>
        <v>326.533169639414</v>
      </c>
      <c r="H2167" s="6" t="n">
        <f aca="false">Sens!H2079+Sens!H2100+Sens!H2030+Sens!H2160*(Sens!H2049-Sens!H2012)+sbc_r*Sens!H2049</f>
        <v>418.768342111659</v>
      </c>
      <c r="I2167" s="6" t="n">
        <f aca="false">Sens!I2079+Sens!I2100+Sens!I2030+Sens!I2160*(Sens!I2049-Sens!I2012)+sbc_r*Sens!I2049</f>
        <v>496.978656993947</v>
      </c>
      <c r="J2167" s="6" t="n">
        <f aca="false">Sens!J2079+Sens!J2100+Sens!J2030+Sens!J2160*(Sens!J2049-Sens!J2012)+sbc_r*Sens!J2049</f>
        <v>557.426598532305</v>
      </c>
      <c r="K2167" s="6" t="n">
        <f aca="false">Sens!K2079+Sens!K2100+Sens!K2030+Sens!K2160*(Sens!K2049-Sens!K2012)+sbc_r*Sens!K2049</f>
        <v>601.581769157083</v>
      </c>
    </row>
    <row r="2168" customFormat="false" ht="17.15" hidden="false" customHeight="false" outlineLevel="0" collapsed="false">
      <c r="A2168" s="0" t="s">
        <v>1243</v>
      </c>
      <c r="B2168" s="0" t="s">
        <v>98</v>
      </c>
      <c r="F2168" s="6" t="n">
        <f aca="false">Sens!F2167-Sens!F2161-Sens!F2162-Sens!F2163-Sens!F2164-Sens!F2166</f>
        <v>71.408495913625</v>
      </c>
      <c r="G2168" s="6" t="n">
        <f aca="false">Sens!G2167-Sens!G2161-Sens!G2162-Sens!G2163-Sens!G2164-Sens!G2166</f>
        <v>79.9995881304569</v>
      </c>
      <c r="H2168" s="6" t="n">
        <f aca="false">Sens!H2167-Sens!H2161-Sens!H2162-Sens!H2163-Sens!H2164-Sens!H2166</f>
        <v>94.1249843127561</v>
      </c>
      <c r="I2168" s="6" t="n">
        <f aca="false">Sens!I2167-Sens!I2161-Sens!I2162-Sens!I2163-Sens!I2164-Sens!I2166</f>
        <v>107.630770443792</v>
      </c>
      <c r="J2168" s="6" t="n">
        <f aca="false">Sens!J2167-Sens!J2161-Sens!J2162-Sens!J2163-Sens!J2164-Sens!J2166</f>
        <v>119.828263071018</v>
      </c>
      <c r="K2168" s="6" t="n">
        <f aca="false">Sens!K2167-Sens!K2161-Sens!K2162-Sens!K2163-Sens!K2164-Sens!K2166</f>
        <v>130.011551599029</v>
      </c>
    </row>
    <row r="2169" customFormat="false" ht="17.15" hidden="false" customHeight="false" outlineLevel="0" collapsed="false">
      <c r="A2169" s="0" t="s">
        <v>1244</v>
      </c>
      <c r="B2169" s="0" t="s">
        <v>98</v>
      </c>
      <c r="F2169" s="6" t="n">
        <f aca="false">Sens!F2081+Sens!F2160*Sens!F2056+sbc_r*Sens!F2056</f>
        <v>26.0797851339196</v>
      </c>
      <c r="G2169" s="6" t="n">
        <f aca="false">Sens!G2081+Sens!G2160*Sens!G2056+sbc_r*Sens!G2056</f>
        <v>25.9889553134106</v>
      </c>
      <c r="H2169" s="6" t="n">
        <f aca="false">Sens!H2081+Sens!H2160*Sens!H2056+sbc_r*Sens!H2056</f>
        <v>26.9194004210325</v>
      </c>
      <c r="I2169" s="6" t="n">
        <f aca="false">Sens!I2081+Sens!I2160*Sens!I2056+sbc_r*Sens!I2056</f>
        <v>28.0773768590786</v>
      </c>
      <c r="J2169" s="6" t="n">
        <f aca="false">Sens!J2081+Sens!J2160*Sens!J2056+sbc_r*Sens!J2056</f>
        <v>29.4291449972675</v>
      </c>
      <c r="K2169" s="6" t="n">
        <f aca="false">Sens!K2081+Sens!K2160*Sens!K2056+sbc_r*Sens!K2056</f>
        <v>30.9348268582096</v>
      </c>
    </row>
    <row r="2170" customFormat="false" ht="17.15" hidden="false" customHeight="false" outlineLevel="0" collapsed="false">
      <c r="A2170" s="0" t="s">
        <v>1245</v>
      </c>
      <c r="B2170" s="0" t="s">
        <v>98</v>
      </c>
      <c r="F2170" s="6" t="n">
        <f aca="false">(Sens!F2169-Sens!F2165)*Sens!F2052/(Sens!F2052+Sens!F2054)</f>
        <v>8.54411377868144</v>
      </c>
      <c r="G2170" s="6" t="n">
        <f aca="false">(Sens!G2169-Sens!G2165)*Sens!G2052/(Sens!G2052+Sens!G2054)</f>
        <v>7.74273832572177</v>
      </c>
      <c r="H2170" s="6" t="n">
        <f aca="false">(Sens!H2169-Sens!H2165)*Sens!H2052/(Sens!H2052+Sens!H2054)</f>
        <v>7.53128908067164</v>
      </c>
      <c r="I2170" s="6" t="n">
        <f aca="false">(Sens!I2169-Sens!I2165)*Sens!I2052/(Sens!I2052+Sens!I2054)</f>
        <v>7.46059994312817</v>
      </c>
      <c r="J2170" s="6" t="n">
        <f aca="false">(Sens!J2169-Sens!J2165)*Sens!J2052/(Sens!J2052+Sens!J2054)</f>
        <v>7.52013543290583</v>
      </c>
      <c r="K2170" s="6" t="n">
        <f aca="false">(Sens!K2169-Sens!K2165)*Sens!K2052/(Sens!K2052+Sens!K2054)</f>
        <v>7.70391846229877</v>
      </c>
    </row>
    <row r="2171" customFormat="false" ht="17.15" hidden="false" customHeight="false" outlineLevel="0" collapsed="false">
      <c r="A2171" s="0" t="s">
        <v>1246</v>
      </c>
      <c r="B2171" s="0" t="s">
        <v>98</v>
      </c>
      <c r="F2171" s="6" t="n">
        <f aca="false">Sens!F2169-Sens!F2165-Sens!F2170</f>
        <v>6.5839543086282</v>
      </c>
      <c r="G2171" s="6" t="n">
        <f aca="false">Sens!G2169-Sens!G2165-Sens!G2170</f>
        <v>6.20615722500908</v>
      </c>
      <c r="H2171" s="6" t="n">
        <f aca="false">Sens!H2169-Sens!H2165-Sens!H2170</f>
        <v>6.21575430233945</v>
      </c>
      <c r="I2171" s="6" t="n">
        <f aca="false">Sens!I2169-Sens!I2165-Sens!I2170</f>
        <v>6.27732368829526</v>
      </c>
      <c r="J2171" s="6" t="n">
        <f aca="false">Sens!J2169-Sens!J2165-Sens!J2170</f>
        <v>6.38809761169877</v>
      </c>
      <c r="K2171" s="6" t="n">
        <f aca="false">Sens!K2169-Sens!K2165-Sens!K2170</f>
        <v>6.54421500368066</v>
      </c>
    </row>
    <row r="2172" customFormat="false" ht="17.15" hidden="false" customHeight="false" outlineLevel="0" collapsed="false">
      <c r="A2172" s="0" t="s">
        <v>1247</v>
      </c>
      <c r="B2172" s="0" t="s">
        <v>98</v>
      </c>
      <c r="F2172" s="6" t="n">
        <f aca="false">Sens!F2166-tax_f*(Sens!F2166-Sens!F2030)-Sens!F2027</f>
        <v>-154.928267057016</v>
      </c>
      <c r="G2172" s="6" t="n">
        <f aca="false">Sens!G2166-tax_f*(Sens!G2166-Sens!G2030)-Sens!G2027</f>
        <v>-134.682668040484</v>
      </c>
      <c r="H2172" s="6" t="n">
        <f aca="false">Sens!H2166-tax_f*(Sens!H2166-Sens!H2030)-Sens!H2027</f>
        <v>-84.797206752406</v>
      </c>
      <c r="I2172" s="6" t="n">
        <f aca="false">Sens!I2166-tax_f*(Sens!I2166-Sens!I2030)-Sens!I2027</f>
        <v>-5.51415589493104</v>
      </c>
      <c r="J2172" s="6" t="n">
        <f aca="false">Sens!J2166-tax_f*(Sens!J2166-Sens!J2030)-Sens!J2027</f>
        <v>74.0513493309892</v>
      </c>
      <c r="K2172" s="6" t="n">
        <f aca="false">Sens!K2166-tax_f*(Sens!K2166-Sens!K2030)-Sens!K2027</f>
        <v>105.30621682814</v>
      </c>
    </row>
    <row r="2173" customFormat="false" ht="17.15" hidden="false" customHeight="false" outlineLevel="0" collapsed="false">
      <c r="A2173" s="0" t="s">
        <v>1248</v>
      </c>
      <c r="B2173" s="0" t="s">
        <v>98</v>
      </c>
      <c r="G2173" s="6" t="n">
        <f aca="false">Sens!G2172/(1+wacc)^(Sens!G2143-Sens!F2144)</f>
        <v>-128.243817840024</v>
      </c>
      <c r="H2173" s="6" t="n">
        <f aca="false">Sens!H2172/(1+wacc)^(Sens!H2143-Sens!F2144)</f>
        <v>-73.207525773906</v>
      </c>
      <c r="I2173" s="6" t="n">
        <f aca="false">Sens!I2172/(1+wacc)^(Sens!I2143-Sens!F2144)</f>
        <v>-4.31621110223388</v>
      </c>
      <c r="J2173" s="6" t="n">
        <f aca="false">Sens!J2172/(1+wacc)^(Sens!J2143-Sens!F2144)</f>
        <v>52.5540353267105</v>
      </c>
      <c r="K2173" s="6" t="n">
        <f aca="false">Sens!K2172/(1+wacc)^(Sens!K2143-Sens!F2144)</f>
        <v>67.7604931331176</v>
      </c>
      <c r="L2173" s="1" t="s">
        <v>1249</v>
      </c>
    </row>
    <row r="2174" customFormat="false" ht="17.15" hidden="false" customHeight="false" outlineLevel="0" collapsed="false">
      <c r="A2174" s="0" t="s">
        <v>1250</v>
      </c>
      <c r="B2174" s="0" t="s">
        <v>98</v>
      </c>
      <c r="C2174" s="6" t="n">
        <f aca="false">(Sens!K2166-Sens!K2030)*(1-tax_f)*(1+g_tv)*(1-g_tv/(wacc+ronic_prem))/(wacc-g_tv)/(1+wacc)^(Sens!K2144-Sens!F2144)</f>
        <v>468.675193176506</v>
      </c>
    </row>
    <row r="2175" customFormat="false" ht="17.15" hidden="false" customHeight="false" outlineLevel="0" collapsed="false">
      <c r="A2175" s="1" t="s">
        <v>1251</v>
      </c>
      <c r="B2175" s="0" t="s">
        <v>98</v>
      </c>
      <c r="C2175" s="6" t="n">
        <f aca="false">(SUM(Sens!G2173:K2173)+Sens!$C$2174)*(1+wacc)^(t_roll-Sens!F2144)</f>
        <v>395.873489600059</v>
      </c>
      <c r="L2175" s="12" t="s">
        <v>1252</v>
      </c>
    </row>
    <row r="2176" customFormat="false" ht="17.15" hidden="false" customHeight="false" outlineLevel="0" collapsed="false">
      <c r="A2176" s="1" t="s">
        <v>1253</v>
      </c>
      <c r="B2176" s="0" t="s">
        <v>98</v>
      </c>
      <c r="C2176" s="6" t="n">
        <f aca="false">(w_ntm28*Sens!G2018+(1-w_ntm28)*Sens!H2018)*m_ai</f>
        <v>563.316843258668</v>
      </c>
    </row>
    <row r="2177" customFormat="false" ht="17.15" hidden="false" customHeight="false" outlineLevel="0" collapsed="false">
      <c r="A2177" s="1" t="s">
        <v>1254</v>
      </c>
      <c r="B2177" s="0" t="s">
        <v>98</v>
      </c>
      <c r="C2177" s="6" t="n">
        <f aca="false">(w_ntm28*Sens!G2168+(1-w_ntm28)*Sens!H2168)*m_cloud</f>
        <v>1169.77391626079</v>
      </c>
    </row>
    <row r="2178" customFormat="false" ht="17.15" hidden="false" customHeight="false" outlineLevel="0" collapsed="false">
      <c r="A2178" s="1" t="s">
        <v>1255</v>
      </c>
      <c r="B2178" s="0" t="s">
        <v>98</v>
      </c>
      <c r="C2178" s="6" t="n">
        <f aca="false">(w_ntm28*Sens!G2161+(1-w_ntm28)*Sens!H2161)*m_sw</f>
        <v>1110.36410917895</v>
      </c>
    </row>
    <row r="2179" customFormat="false" ht="17.15" hidden="false" customHeight="false" outlineLevel="0" collapsed="false">
      <c r="A2179" s="1" t="s">
        <v>1256</v>
      </c>
      <c r="B2179" s="0" t="s">
        <v>98</v>
      </c>
      <c r="C2179" s="6" t="n">
        <f aca="false">(w_ntm28*Sens!G2162+(1-w_ntm28)*Sens!H2162)*m_sw</f>
        <v>369.898770657924</v>
      </c>
    </row>
    <row r="2180" customFormat="false" ht="17.15" hidden="false" customHeight="false" outlineLevel="0" collapsed="false">
      <c r="A2180" s="1" t="s">
        <v>1257</v>
      </c>
      <c r="B2180" s="0" t="s">
        <v>98</v>
      </c>
      <c r="C2180" s="6" t="n">
        <f aca="false">(w_ntm28*Sens!G2163+(1-w_ntm28)*Sens!H2163)*m_sw</f>
        <v>107.270422027478</v>
      </c>
    </row>
    <row r="2181" customFormat="false" ht="17.15" hidden="false" customHeight="false" outlineLevel="0" collapsed="false">
      <c r="A2181" s="1" t="s">
        <v>1258</v>
      </c>
      <c r="B2181" s="0" t="s">
        <v>98</v>
      </c>
      <c r="C2181" s="6" t="n">
        <f aca="false">(w_ntm28*Sens!G2164+(1-w_ntm28)*Sens!H2164)*m_sw</f>
        <v>40.7809612571792</v>
      </c>
    </row>
    <row r="2182" customFormat="false" ht="17.15" hidden="false" customHeight="false" outlineLevel="0" collapsed="false">
      <c r="A2182" s="1" t="s">
        <v>1259</v>
      </c>
      <c r="B2182" s="0" t="s">
        <v>98</v>
      </c>
      <c r="C2182" s="6" t="n">
        <f aca="false">(w_ntm28*Sens!G2165+(1-w_ntm28)*Sens!H2165)*m_ads</f>
        <v>113.076252332269</v>
      </c>
    </row>
    <row r="2183" customFormat="false" ht="17.15" hidden="false" customHeight="false" outlineLevel="0" collapsed="false">
      <c r="A2183" s="1" t="s">
        <v>1260</v>
      </c>
      <c r="B2183" s="0" t="s">
        <v>98</v>
      </c>
      <c r="C2183" s="6" t="n">
        <f aca="false">(w_ntm28*Sens!G2170+(1-w_ntm28)*Sens!H2170)*m_game</f>
        <v>96.9127782708578</v>
      </c>
    </row>
    <row r="2184" customFormat="false" ht="17.15" hidden="false" customHeight="false" outlineLevel="0" collapsed="false">
      <c r="A2184" s="1" t="s">
        <v>1261</v>
      </c>
      <c r="B2184" s="0" t="s">
        <v>98</v>
      </c>
      <c r="C2184" s="6" t="n">
        <f aca="false">(w_ntm28*Sens!G2171+(1-w_ntm28)*Sens!H2171)*m_pc</f>
        <v>89.8487508406115</v>
      </c>
    </row>
    <row r="2185" customFormat="false" ht="17.15" hidden="false" customHeight="false" outlineLevel="0" collapsed="false">
      <c r="A2185" s="1" t="s">
        <v>1262</v>
      </c>
      <c r="B2185" s="0" t="s">
        <v>98</v>
      </c>
      <c r="C2185" s="6" t="n">
        <f aca="false">Sens!$C$2175+Sens!$C$2177+Sens!$C$2178+Sens!$C$2179+Sens!$C$2180+Sens!$C$2181+Sens!$C$2182+Sens!$C$2183+Sens!$C$2184</f>
        <v>3493.79945042612</v>
      </c>
    </row>
    <row r="2186" customFormat="false" ht="17.15" hidden="false" customHeight="false" outlineLevel="0" collapsed="false">
      <c r="A2186" s="1" t="s">
        <v>1263</v>
      </c>
      <c r="B2186" s="0" t="s">
        <v>98</v>
      </c>
      <c r="C2186" s="6" t="n">
        <f aca="false">(Sens!G2147-Sens!G2172)*t_stub</f>
        <v>49.1440723612036</v>
      </c>
      <c r="L2186" s="1" t="s">
        <v>1264</v>
      </c>
    </row>
    <row r="2187" customFormat="false" ht="17.15" hidden="false" customHeight="false" outlineLevel="0" collapsed="false">
      <c r="A2187" s="1" t="s">
        <v>1173</v>
      </c>
      <c r="B2187" s="0" t="s">
        <v>98</v>
      </c>
      <c r="C2187" s="6" t="n">
        <f aca="false">Sens!F2134+oai_v-Sens!F2123+Sens!$C$2186</f>
        <v>134.033346866764</v>
      </c>
      <c r="L2187" s="1" t="s">
        <v>1265</v>
      </c>
    </row>
    <row r="2188" customFormat="false" ht="17.15" hidden="false" customHeight="false" outlineLevel="0" collapsed="false">
      <c r="A2188" s="1" t="s">
        <v>1266</v>
      </c>
      <c r="B2188" s="0" t="s">
        <v>75</v>
      </c>
      <c r="C2188" s="5" t="n">
        <f aca="false">(Sens!$C$2185+Sens!$C$2187)/(Sens!F2136+dil_gap)-Sens!G2126*roll_div_q/q_per_yr</f>
        <v>482.92965652253</v>
      </c>
      <c r="L2188" s="1" t="s">
        <v>1267</v>
      </c>
    </row>
    <row r="2189" customFormat="false" ht="17.15" hidden="false" customHeight="false" outlineLevel="0" collapsed="false">
      <c r="A2189" s="1" t="s">
        <v>1268</v>
      </c>
      <c r="B2189" s="0" t="s">
        <v>75</v>
      </c>
      <c r="C2189" s="5" t="n">
        <f aca="false">w_dcf*Sens!$C$2159+(1-w_dcf)*Sens!$C$2188</f>
        <v>424.016494993333</v>
      </c>
    </row>
    <row r="2190" customFormat="false" ht="17.15" hidden="false" customHeight="false" outlineLevel="0" collapsed="false">
      <c r="A2190" s="3" t="s">
        <v>1665</v>
      </c>
    </row>
    <row r="2191" customFormat="false" ht="15" hidden="false" customHeight="false" outlineLevel="0" collapsed="false">
      <c r="A2191" s="4" t="s">
        <v>43</v>
      </c>
      <c r="B2191" s="4" t="s">
        <v>65</v>
      </c>
      <c r="C2191" s="23" t="s">
        <v>942</v>
      </c>
      <c r="D2191" s="23" t="s">
        <v>943</v>
      </c>
      <c r="E2191" s="23" t="s">
        <v>944</v>
      </c>
      <c r="F2191" s="23" t="s">
        <v>945</v>
      </c>
      <c r="G2191" s="23" t="s">
        <v>946</v>
      </c>
      <c r="H2191" s="23" t="s">
        <v>947</v>
      </c>
      <c r="I2191" s="23" t="s">
        <v>948</v>
      </c>
      <c r="J2191" s="23" t="s">
        <v>949</v>
      </c>
      <c r="K2191" s="23" t="s">
        <v>950</v>
      </c>
      <c r="L2191" s="4" t="s">
        <v>47</v>
      </c>
    </row>
    <row r="2192" customFormat="false" ht="17.15" hidden="false" customHeight="false" outlineLevel="0" collapsed="false">
      <c r="A2192" s="1" t="s">
        <v>951</v>
      </c>
      <c r="B2192" s="1" t="s">
        <v>279</v>
      </c>
      <c r="C2192" s="21" t="n">
        <v>2024</v>
      </c>
      <c r="D2192" s="21" t="n">
        <v>2025</v>
      </c>
      <c r="E2192" s="21" t="n">
        <v>2026</v>
      </c>
      <c r="F2192" s="21" t="n">
        <v>2027</v>
      </c>
      <c r="G2192" s="21" t="n">
        <v>2028</v>
      </c>
      <c r="H2192" s="21" t="n">
        <v>2029</v>
      </c>
      <c r="I2192" s="21" t="n">
        <v>2030</v>
      </c>
      <c r="J2192" s="21" t="n">
        <v>2031</v>
      </c>
      <c r="K2192" s="21" t="n">
        <v>2032</v>
      </c>
    </row>
    <row r="2193" customFormat="false" ht="17.15" hidden="false" customHeight="false" outlineLevel="0" collapsed="false">
      <c r="A2193" s="1" t="s">
        <v>952</v>
      </c>
      <c r="B2193" s="0" t="s">
        <v>459</v>
      </c>
      <c r="F2193" s="30" t="n">
        <f aca="false">pace</f>
        <v>2726.5351</v>
      </c>
      <c r="G2193" s="30" t="n">
        <f aca="false">pace</f>
        <v>2726.5351</v>
      </c>
      <c r="H2193" s="30" t="n">
        <f aca="false">pace</f>
        <v>2726.5351</v>
      </c>
      <c r="I2193" s="30" t="n">
        <f aca="false">pace+(g_tv*Sens!H2194-pace)*MIN(1,(Sens!I2192-pace_y0)/(pace_y1-pace_y0))</f>
        <v>1931.98611966667</v>
      </c>
      <c r="J2193" s="30" t="n">
        <f aca="false">pace+(g_tv*Sens!I2194-pace)*MIN(1,(Sens!J2192-pace_y0)/(pace_y1-pace_y0))</f>
        <v>1176.07686172667</v>
      </c>
      <c r="K2193" s="30" t="n">
        <f aca="false">pace+(g_tv*Sens!J2194-pace)*MIN(1,(Sens!K2192-pace_y0)/(pace_y1-pace_y0))</f>
        <v>436.1300484418</v>
      </c>
      <c r="L2193" s="12" t="s">
        <v>953</v>
      </c>
    </row>
    <row r="2194" customFormat="false" ht="17.15" hidden="false" customHeight="false" outlineLevel="0" collapsed="false">
      <c r="A2194" s="1" t="s">
        <v>954</v>
      </c>
      <c r="B2194" s="0" t="s">
        <v>459</v>
      </c>
      <c r="C2194" s="30" t="n">
        <f aca="false">mw_ext_24</f>
        <v>640</v>
      </c>
      <c r="D2194" s="30" t="n">
        <f aca="false">mw_ext_25</f>
        <v>1630</v>
      </c>
      <c r="E2194" s="30" t="n">
        <f aca="false">mw_ext_26</f>
        <v>3250</v>
      </c>
      <c r="F2194" s="30" t="n">
        <f aca="false">Sens!E2194+Sens!F2193</f>
        <v>5976.5351</v>
      </c>
      <c r="G2194" s="30" t="n">
        <f aca="false">Sens!F2194+Sens!G2193</f>
        <v>8703.0702</v>
      </c>
      <c r="H2194" s="30" t="n">
        <f aca="false">Sens!G2194+Sens!H2193</f>
        <v>11429.6053</v>
      </c>
      <c r="I2194" s="30" t="n">
        <f aca="false">Sens!H2194+Sens!I2193</f>
        <v>13361.5914196667</v>
      </c>
      <c r="J2194" s="30" t="n">
        <f aca="false">Sens!I2194+Sens!J2193</f>
        <v>14537.6682813933</v>
      </c>
      <c r="K2194" s="30" t="n">
        <f aca="false">Sens!J2194+Sens!K2193</f>
        <v>14973.7983298351</v>
      </c>
      <c r="L2194" s="1" t="s">
        <v>955</v>
      </c>
    </row>
    <row r="2195" customFormat="false" ht="17.15" hidden="false" customHeight="false" outlineLevel="0" collapsed="false">
      <c r="A2195" s="1" t="s">
        <v>956</v>
      </c>
      <c r="B2195" s="0" t="s">
        <v>459</v>
      </c>
      <c r="C2195" s="30" t="n">
        <f aca="false">rent_ext_24</f>
        <v>150</v>
      </c>
      <c r="D2195" s="30" t="n">
        <f aca="false">rent_ext_25</f>
        <v>400</v>
      </c>
      <c r="E2195" s="30" t="n">
        <f aca="false">rent_ext_26</f>
        <v>550</v>
      </c>
      <c r="F2195" s="30" t="n">
        <f aca="false">rent_ext_f</f>
        <v>756</v>
      </c>
      <c r="G2195" s="30" t="n">
        <f aca="false">rent_ext_f</f>
        <v>756</v>
      </c>
      <c r="H2195" s="30" t="n">
        <f aca="false">rent_ext_f</f>
        <v>756</v>
      </c>
      <c r="I2195" s="30" t="n">
        <f aca="false">rent_ext_f</f>
        <v>756</v>
      </c>
      <c r="J2195" s="30" t="n">
        <f aca="false">rent_ext_f</f>
        <v>756</v>
      </c>
      <c r="K2195" s="30" t="n">
        <f aca="false">rent_ext_f</f>
        <v>756</v>
      </c>
      <c r="L2195" s="1" t="s">
        <v>957</v>
      </c>
    </row>
    <row r="2196" customFormat="false" ht="17.15" hidden="false" customHeight="false" outlineLevel="0" collapsed="false">
      <c r="A2196" s="1" t="s">
        <v>958</v>
      </c>
      <c r="B2196" s="0" t="s">
        <v>459</v>
      </c>
      <c r="C2196" s="30" t="n">
        <f aca="false">Sens!C2194-Sens!C2195</f>
        <v>490</v>
      </c>
      <c r="D2196" s="30" t="n">
        <f aca="false">Sens!D2194-Sens!D2195</f>
        <v>1230</v>
      </c>
      <c r="E2196" s="30" t="n">
        <f aca="false">Sens!E2194-Sens!E2195</f>
        <v>2700</v>
      </c>
      <c r="F2196" s="30" t="n">
        <f aca="false">Sens!F2194-Sens!F2195</f>
        <v>5220.5351</v>
      </c>
      <c r="G2196" s="30" t="n">
        <f aca="false">Sens!G2194-Sens!G2195</f>
        <v>7947.0702</v>
      </c>
      <c r="H2196" s="30" t="n">
        <f aca="false">Sens!H2194-Sens!H2195</f>
        <v>10673.6053</v>
      </c>
      <c r="I2196" s="30" t="n">
        <f aca="false">Sens!I2194-Sens!I2195</f>
        <v>12605.5914196667</v>
      </c>
      <c r="J2196" s="30" t="n">
        <f aca="false">Sens!J2194-Sens!J2195</f>
        <v>13781.6682813933</v>
      </c>
      <c r="K2196" s="30" t="n">
        <f aca="false">Sens!K2194-Sens!K2195</f>
        <v>14217.7983298351</v>
      </c>
    </row>
    <row r="2197" customFormat="false" ht="17.15" hidden="false" customHeight="false" outlineLevel="0" collapsed="false">
      <c r="A2197" s="1" t="s">
        <v>959</v>
      </c>
      <c r="B2197" s="0" t="s">
        <v>459</v>
      </c>
      <c r="C2197" s="30" t="n">
        <f aca="false">Sens!C2196/ext_sh_lo</f>
        <v>980</v>
      </c>
      <c r="D2197" s="30" t="n">
        <f aca="false">Sens!D2196/ext_sh_lo</f>
        <v>2460</v>
      </c>
      <c r="E2197" s="30" t="n">
        <f aca="false">Sens!E2196/ext_sh_lo</f>
        <v>5400</v>
      </c>
      <c r="F2197" s="30" t="n">
        <f aca="false">Sens!F2196/ext_sh_lo</f>
        <v>10441.0702</v>
      </c>
      <c r="G2197" s="30" t="n">
        <f aca="false">Sens!G2196/ext_sh_lo</f>
        <v>15894.1404</v>
      </c>
      <c r="H2197" s="30" t="n">
        <f aca="false">Sens!H2196/ext_sh_lo</f>
        <v>21347.2106</v>
      </c>
      <c r="I2197" s="30" t="n">
        <f aca="false">Sens!I2196/ext_sh_lo</f>
        <v>25211.1828393333</v>
      </c>
      <c r="J2197" s="30" t="n">
        <f aca="false">Sens!J2196/ext_sh_lo</f>
        <v>27563.3365627867</v>
      </c>
      <c r="K2197" s="30" t="n">
        <f aca="false">Sens!K2196/ext_sh_lo</f>
        <v>28435.5966596703</v>
      </c>
      <c r="L2197" s="1" t="s">
        <v>960</v>
      </c>
    </row>
    <row r="2198" customFormat="false" ht="17.15" hidden="false" customHeight="false" outlineLevel="0" collapsed="false">
      <c r="A2198" s="1" t="s">
        <v>961</v>
      </c>
      <c r="B2198" s="0" t="s">
        <v>459</v>
      </c>
      <c r="C2198" s="30" t="n">
        <f aca="false">Sens!C2197-Sens!C2196</f>
        <v>490</v>
      </c>
      <c r="D2198" s="30" t="n">
        <f aca="false">Sens!D2197-Sens!D2196</f>
        <v>1230</v>
      </c>
      <c r="E2198" s="30" t="n">
        <f aca="false">Sens!E2197-Sens!E2196</f>
        <v>2700</v>
      </c>
      <c r="F2198" s="30" t="n">
        <f aca="false">Sens!F2197-Sens!F2196</f>
        <v>5220.5351</v>
      </c>
      <c r="G2198" s="30" t="n">
        <f aca="false">Sens!G2197-Sens!G2196</f>
        <v>7947.0702</v>
      </c>
      <c r="H2198" s="30" t="n">
        <f aca="false">Sens!H2197-Sens!H2196</f>
        <v>10673.6053</v>
      </c>
      <c r="I2198" s="30" t="n">
        <f aca="false">Sens!I2197-Sens!I2196</f>
        <v>12605.5914196667</v>
      </c>
      <c r="J2198" s="30" t="n">
        <f aca="false">Sens!J2197-Sens!J2196</f>
        <v>13781.6682813933</v>
      </c>
      <c r="K2198" s="30" t="n">
        <f aca="false">Sens!K2197-Sens!K2196</f>
        <v>14217.7983298351</v>
      </c>
    </row>
    <row r="2199" customFormat="false" ht="17.15" hidden="false" customHeight="false" outlineLevel="0" collapsed="false">
      <c r="A2199" s="1" t="s">
        <v>962</v>
      </c>
      <c r="B2199" s="0" t="s">
        <v>459</v>
      </c>
      <c r="C2199" s="30" t="n">
        <f aca="false">Sens!C2197</f>
        <v>980</v>
      </c>
      <c r="D2199" s="30" t="n">
        <f aca="false">Sens!D2197-Sens!C2197</f>
        <v>1480</v>
      </c>
      <c r="E2199" s="30" t="n">
        <f aca="false">Sens!E2197-Sens!D2197</f>
        <v>2940</v>
      </c>
      <c r="F2199" s="30" t="n">
        <f aca="false">Sens!F2197-Sens!E2197</f>
        <v>5041.0702</v>
      </c>
      <c r="G2199" s="30" t="n">
        <f aca="false">Sens!G2197-Sens!F2197</f>
        <v>5453.0702</v>
      </c>
      <c r="H2199" s="30" t="n">
        <f aca="false">Sens!H2197-Sens!G2197</f>
        <v>5453.0702</v>
      </c>
      <c r="I2199" s="30" t="n">
        <f aca="false">Sens!I2197-Sens!H2197</f>
        <v>3863.97223933333</v>
      </c>
      <c r="J2199" s="30" t="n">
        <f aca="false">Sens!J2197-Sens!I2197</f>
        <v>2352.15372345334</v>
      </c>
      <c r="K2199" s="30" t="n">
        <f aca="false">Sens!K2197-Sens!J2197</f>
        <v>872.260096883598</v>
      </c>
    </row>
    <row r="2200" customFormat="false" ht="17.15" hidden="false" customHeight="false" outlineLevel="0" collapsed="false">
      <c r="A2200" s="1" t="s">
        <v>963</v>
      </c>
      <c r="B2200" s="0" t="s">
        <v>459</v>
      </c>
      <c r="D2200" s="30" t="n">
        <f aca="false">Sens!D2194-Sens!C2194</f>
        <v>990</v>
      </c>
      <c r="E2200" s="30" t="n">
        <f aca="false">Sens!E2194-Sens!D2194</f>
        <v>1620</v>
      </c>
      <c r="F2200" s="30" t="n">
        <f aca="false">Sens!F2194-Sens!E2194</f>
        <v>2726.5351</v>
      </c>
      <c r="G2200" s="30" t="n">
        <f aca="false">Sens!G2194-Sens!F2194</f>
        <v>2726.5351</v>
      </c>
      <c r="H2200" s="30" t="n">
        <f aca="false">Sens!H2194-Sens!G2194</f>
        <v>2726.5351</v>
      </c>
      <c r="I2200" s="30" t="n">
        <f aca="false">Sens!I2194-Sens!H2194</f>
        <v>1931.98611966667</v>
      </c>
      <c r="J2200" s="30" t="n">
        <f aca="false">Sens!J2194-Sens!I2194</f>
        <v>1176.07686172667</v>
      </c>
      <c r="K2200" s="30" t="n">
        <f aca="false">Sens!K2194-Sens!J2194</f>
        <v>436.130048441799</v>
      </c>
    </row>
    <row r="2201" customFormat="false" ht="17.15" hidden="false" customHeight="false" outlineLevel="0" collapsed="false">
      <c r="A2201" s="1" t="s">
        <v>964</v>
      </c>
      <c r="B2201" s="0" t="s">
        <v>459</v>
      </c>
      <c r="F2201" s="30" t="n">
        <f aca="false">Sens!F2220*ext_sh_lo</f>
        <v>0</v>
      </c>
      <c r="G2201" s="30" t="n">
        <f aca="false">Sens!G2220*ext_sh_lo</f>
        <v>0</v>
      </c>
      <c r="H2201" s="30" t="n">
        <f aca="false">Sens!H2220*ext_sh_lo</f>
        <v>0</v>
      </c>
      <c r="I2201" s="30" t="n">
        <f aca="false">Sens!I2220*ext_sh_lo</f>
        <v>490</v>
      </c>
      <c r="J2201" s="30" t="n">
        <f aca="false">Sens!J2220*ext_sh_lo</f>
        <v>740</v>
      </c>
      <c r="K2201" s="30" t="n">
        <f aca="false">Sens!K2220*ext_sh_lo</f>
        <v>1470</v>
      </c>
      <c r="L2201" s="1" t="s">
        <v>965</v>
      </c>
    </row>
    <row r="2202" customFormat="false" ht="17.15" hidden="false" customHeight="false" outlineLevel="0" collapsed="false">
      <c r="A2202" s="1" t="s">
        <v>966</v>
      </c>
      <c r="B2202" s="0" t="s">
        <v>459</v>
      </c>
      <c r="C2202" s="30" t="n">
        <f aca="false">mix_h*Sens!C2194</f>
        <v>128</v>
      </c>
      <c r="D2202" s="30" t="n">
        <f aca="false">mix_h*Sens!D2194</f>
        <v>326</v>
      </c>
      <c r="E2202" s="30" t="n">
        <f aca="false">mix_h*Sens!E2194</f>
        <v>650</v>
      </c>
      <c r="F2202" s="30" t="n">
        <f aca="false">Sens!E2202-Sens!F2201*mix_h</f>
        <v>650</v>
      </c>
      <c r="G2202" s="30" t="n">
        <f aca="false">Sens!F2202-Sens!G2201*mix_h</f>
        <v>650</v>
      </c>
      <c r="H2202" s="30" t="n">
        <f aca="false">Sens!G2202-Sens!H2201*mix_h</f>
        <v>650</v>
      </c>
      <c r="I2202" s="30" t="n">
        <f aca="false">Sens!H2202-Sens!I2201*mix_h</f>
        <v>552</v>
      </c>
      <c r="J2202" s="30" t="n">
        <f aca="false">Sens!I2202-Sens!J2201*mix_h</f>
        <v>404</v>
      </c>
      <c r="K2202" s="30" t="n">
        <f aca="false">Sens!J2202-Sens!K2201*mix_h</f>
        <v>110</v>
      </c>
    </row>
    <row r="2203" customFormat="false" ht="17.15" hidden="false" customHeight="false" outlineLevel="0" collapsed="false">
      <c r="A2203" s="1" t="s">
        <v>967</v>
      </c>
      <c r="B2203" s="0" t="s">
        <v>459</v>
      </c>
      <c r="C2203" s="30" t="n">
        <f aca="false">mix_g2*Sens!C2194</f>
        <v>288</v>
      </c>
      <c r="D2203" s="30" t="n">
        <f aca="false">mix_g2*Sens!D2194</f>
        <v>733.5</v>
      </c>
      <c r="E2203" s="30" t="n">
        <f aca="false">mix_g2*Sens!E2194</f>
        <v>1462.5</v>
      </c>
      <c r="F2203" s="30" t="n">
        <f aca="false">Sens!E2203-Sens!F2201*mix_g2</f>
        <v>1462.5</v>
      </c>
      <c r="G2203" s="30" t="n">
        <f aca="false">Sens!F2203-Sens!G2201*mix_g2</f>
        <v>1462.5</v>
      </c>
      <c r="H2203" s="30" t="n">
        <f aca="false">Sens!G2203-Sens!H2201*mix_g2</f>
        <v>1462.5</v>
      </c>
      <c r="I2203" s="30" t="n">
        <f aca="false">Sens!H2203-Sens!I2201*mix_g2</f>
        <v>1242</v>
      </c>
      <c r="J2203" s="30" t="n">
        <f aca="false">Sens!I2203-Sens!J2201*mix_g2</f>
        <v>909</v>
      </c>
      <c r="K2203" s="30" t="n">
        <f aca="false">Sens!J2203-Sens!K2201*mix_g2</f>
        <v>247.5</v>
      </c>
    </row>
    <row r="2204" customFormat="false" ht="17.15" hidden="false" customHeight="false" outlineLevel="0" collapsed="false">
      <c r="A2204" s="1" t="s">
        <v>968</v>
      </c>
      <c r="B2204" s="0" t="s">
        <v>459</v>
      </c>
      <c r="C2204" s="30" t="n">
        <f aca="false">mix_g3*Sens!C2194</f>
        <v>224</v>
      </c>
      <c r="D2204" s="30" t="n">
        <f aca="false">mix_g3*Sens!D2194</f>
        <v>570.5</v>
      </c>
      <c r="E2204" s="30" t="n">
        <f aca="false">mix_g3*Sens!E2194</f>
        <v>1137.5</v>
      </c>
      <c r="F2204" s="30" t="n">
        <f aca="false">Sens!E2204+(Sens!F2200+Sens!F2201)*(a_g3_27-nonnv*a_mai)-Sens!F2201*mix_g3</f>
        <v>2773.42106</v>
      </c>
      <c r="G2204" s="30" t="n">
        <f aca="false">Sens!F2204+(Sens!G2200+Sens!G2201)*(a_g3_28-nonnv*a_mai)-Sens!G2201*mix_g3</f>
        <v>3318.72808</v>
      </c>
      <c r="H2204" s="30" t="n">
        <f aca="false">Sens!G2204+(Sens!H2200+Sens!H2201)*(a_g3_29-nonnv*a_mai)-Sens!H2201*mix_g3</f>
        <v>3318.72808</v>
      </c>
      <c r="I2204" s="30" t="n">
        <f aca="false">Sens!H2204+(Sens!I2200+Sens!I2201)*(a_g3_29-nonnv*a_mai)-Sens!I2201*mix_g3</f>
        <v>3147.22808</v>
      </c>
      <c r="J2204" s="30" t="n">
        <f aca="false">Sens!I2204+(Sens!J2200+Sens!J2201)*(a_g3_29-nonnv*a_mai)-Sens!J2201*mix_g3</f>
        <v>2888.22808</v>
      </c>
      <c r="K2204" s="30" t="n">
        <f aca="false">Sens!J2204+(Sens!K2200+Sens!K2201)*(a_g3_29-nonnv*a_mai)-Sens!K2201*mix_g3</f>
        <v>2373.72808</v>
      </c>
    </row>
    <row r="2205" customFormat="false" ht="17.15" hidden="false" customHeight="false" outlineLevel="0" collapsed="false">
      <c r="A2205" s="1" t="s">
        <v>969</v>
      </c>
      <c r="B2205" s="0" t="s">
        <v>459</v>
      </c>
      <c r="C2205" s="30" t="n">
        <v>0</v>
      </c>
      <c r="D2205" s="30" t="n">
        <v>0</v>
      </c>
      <c r="E2205" s="30" t="n">
        <v>0</v>
      </c>
      <c r="F2205" s="30" t="n">
        <f aca="false">Sens!E2205+(Sens!F2200+Sens!F2201)*nonnv*a_mai</f>
        <v>272.65351</v>
      </c>
      <c r="G2205" s="30" t="n">
        <f aca="false">Sens!F2205+(Sens!G2200+Sens!G2201)*nonnv*a_mai</f>
        <v>545.30702</v>
      </c>
      <c r="H2205" s="30" t="n">
        <f aca="false">Sens!G2205+(Sens!H2200+Sens!H2201)*nonnv*a_mai</f>
        <v>817.96053</v>
      </c>
      <c r="I2205" s="30" t="n">
        <f aca="false">Sens!H2205+(Sens!I2200+Sens!I2201)*nonnv*a_mai</f>
        <v>1060.15914196667</v>
      </c>
      <c r="J2205" s="30" t="n">
        <f aca="false">Sens!I2205+(Sens!J2200+Sens!J2201)*nonnv*a_mai</f>
        <v>1251.76682813933</v>
      </c>
      <c r="K2205" s="30" t="n">
        <f aca="false">Sens!J2205+(Sens!K2200+Sens!K2201)*nonnv*a_mai</f>
        <v>1442.37983298351</v>
      </c>
      <c r="L2205" s="12" t="s">
        <v>970</v>
      </c>
    </row>
    <row r="2206" customFormat="false" ht="17.15" hidden="false" customHeight="false" outlineLevel="0" collapsed="false">
      <c r="A2206" s="1" t="s">
        <v>971</v>
      </c>
      <c r="B2206" s="0" t="s">
        <v>459</v>
      </c>
      <c r="C2206" s="30" t="n">
        <v>0</v>
      </c>
      <c r="D2206" s="30" t="n">
        <v>0</v>
      </c>
      <c r="E2206" s="30" t="n">
        <v>0</v>
      </c>
      <c r="F2206" s="30" t="n">
        <f aca="false">Sens!E2206+(Sens!F2200+Sens!F2201)*(1-a_g3_27)</f>
        <v>817.96053</v>
      </c>
      <c r="G2206" s="30" t="n">
        <f aca="false">Sens!F2206+(Sens!G2200+Sens!G2201)*(1-a_g3_28)</f>
        <v>2726.5351</v>
      </c>
      <c r="H2206" s="30" t="n">
        <f aca="false">Sens!G2206+(Sens!H2200+Sens!H2201)*(1-a_g3_29)</f>
        <v>5180.41669</v>
      </c>
      <c r="I2206" s="30" t="n">
        <f aca="false">Sens!H2206+(Sens!I2200+Sens!I2201)*(1-a_g3_29)</f>
        <v>7360.2041977</v>
      </c>
      <c r="J2206" s="30" t="n">
        <f aca="false">Sens!I2206+(Sens!J2200+Sens!J2201)*(1-a_g3_29)</f>
        <v>9084.673373254</v>
      </c>
      <c r="K2206" s="30" t="n">
        <f aca="false">Sens!J2206+(Sens!K2200+Sens!K2201)*(1-a_g3_29)</f>
        <v>10800.1904168516</v>
      </c>
    </row>
    <row r="2207" customFormat="false" ht="17.15" hidden="false" customHeight="false" outlineLevel="0" collapsed="false">
      <c r="A2207" s="1" t="s">
        <v>972</v>
      </c>
      <c r="B2207" s="0" t="s">
        <v>403</v>
      </c>
      <c r="C2207" s="15" t="n">
        <f aca="false">(Sens!C2202*tk_hold_h100+Sens!C2203*tk_hold_gb200+Sens!C2204*tk_hold_gb300+Sens!C2206*tk_hold_vr200+Sens!C2205*nv_hold_mai*tk_hold_vr200)/Sens!C2194</f>
        <v>9.7235358126469</v>
      </c>
      <c r="D2207" s="15" t="n">
        <f aca="false">(Sens!D2202*tk_hold_h100+Sens!D2203*tk_hold_gb200+Sens!D2204*tk_hold_gb300+Sens!D2206*tk_hold_vr200+Sens!D2205*nv_hold_mai*tk_hold_vr200)/Sens!D2194</f>
        <v>9.7235358126469</v>
      </c>
      <c r="E2207" s="15" t="n">
        <f aca="false">(Sens!E2202*tk_hold_h100+Sens!E2203*tk_hold_gb200+Sens!E2204*tk_hold_gb300+Sens!E2206*tk_hold_vr200+Sens!E2205*nv_hold_mai*tk_hold_vr200)/Sens!E2194</f>
        <v>9.7235358126469</v>
      </c>
      <c r="F2207" s="15" t="n">
        <f aca="false">(Sens!F2202*tk_hold_h100+Sens!F2203*tk_hold_gb200+Sens!F2204*tk_hold_gb300+Sens!F2206*tk_hold_vr200+Sens!F2205*nv_hold_mai*tk_hold_vr200)/Sens!F2194</f>
        <v>10.2195353876665</v>
      </c>
      <c r="G2207" s="15" t="n">
        <f aca="false">(Sens!G2202*tk_hold_h100+Sens!G2203*tk_hold_gb200+Sens!G2204*tk_hold_gb300+Sens!G2206*tk_hold_vr200+Sens!G2205*nv_hold_mai*tk_hold_vr200)/Sens!G2194</f>
        <v>10.5725598017306</v>
      </c>
      <c r="H2207" s="15" t="n">
        <f aca="false">(Sens!H2202*tk_hold_h100+Sens!H2203*tk_hold_gb200+Sens!H2204*tk_hold_gb300+Sens!H2206*tk_hold_vr200+Sens!H2205*nv_hold_mai*tk_hold_vr200)/Sens!H2194</f>
        <v>10.8210427149036</v>
      </c>
      <c r="I2207" s="15" t="n">
        <f aca="false">(Sens!I2202*tk_hold_h100+Sens!I2203*tk_hold_gb200+Sens!I2204*tk_hold_gb300+Sens!I2206*tk_hold_vr200+Sens!I2205*nv_hold_mai*tk_hold_vr200)/Sens!I2194</f>
        <v>11.0050618241982</v>
      </c>
      <c r="J2207" s="15" t="n">
        <f aca="false">(Sens!J2202*tk_hold_h100+Sens!J2203*tk_hold_gb200+Sens!J2204*tk_hold_gb300+Sens!J2206*tk_hold_vr200+Sens!J2205*nv_hold_mai*tk_hold_vr200)/Sens!J2194</f>
        <v>11.1505789658881</v>
      </c>
      <c r="K2207" s="15" t="n">
        <f aca="false">(Sens!K2202*tk_hold_h100+Sens!K2203*tk_hold_gb200+Sens!K2204*tk_hold_gb300+Sens!K2206*tk_hold_vr200+Sens!K2205*nv_hold_mai*tk_hold_vr200)/Sens!K2194</f>
        <v>11.3496914757183</v>
      </c>
      <c r="L2207" s="1" t="s">
        <v>973</v>
      </c>
    </row>
    <row r="2208" customFormat="false" ht="17.15" hidden="false" customHeight="false" outlineLevel="0" collapsed="false">
      <c r="A2208" s="1" t="s">
        <v>974</v>
      </c>
      <c r="B2208" s="0" t="s">
        <v>403</v>
      </c>
      <c r="C2208" s="15" t="n">
        <f aca="false">(Sens!C2202*tk_hold_h100+Sens!C2203*tk_hold_gb200+Sens!C2204*tk_hold_gb300+Sens!C2206*tk_hold_vr200+Sens!C2205*nv_out_mai*tk_hold_vr200)/Sens!C2194</f>
        <v>9.7235358126469</v>
      </c>
      <c r="D2208" s="15" t="n">
        <f aca="false">(Sens!D2202*tk_hold_h100+Sens!D2203*tk_hold_gb200+Sens!D2204*tk_hold_gb300+Sens!D2206*tk_hold_vr200+Sens!D2205*nv_out_mai*tk_hold_vr200)/Sens!D2194</f>
        <v>9.7235358126469</v>
      </c>
      <c r="E2208" s="15" t="n">
        <f aca="false">(Sens!E2202*tk_hold_h100+Sens!E2203*tk_hold_gb200+Sens!E2204*tk_hold_gb300+Sens!E2206*tk_hold_vr200+Sens!E2205*nv_out_mai*tk_hold_vr200)/Sens!E2194</f>
        <v>9.7235358126469</v>
      </c>
      <c r="F2208" s="15" t="n">
        <f aca="false">(Sens!F2202*tk_hold_h100+Sens!F2203*tk_hold_gb200+Sens!F2204*tk_hold_gb300+Sens!F2206*tk_hold_vr200+Sens!F2205*nv_out_mai*tk_hold_vr200)/Sens!F2194</f>
        <v>10.247422093969</v>
      </c>
      <c r="G2208" s="15" t="n">
        <f aca="false">(Sens!G2202*tk_hold_h100+Sens!G2203*tk_hold_gb200+Sens!G2204*tk_hold_gb300+Sens!G2206*tk_hold_vr200+Sens!G2205*nv_out_mai*tk_hold_vr200)/Sens!G2194</f>
        <v>10.6108602808053</v>
      </c>
      <c r="H2208" s="15" t="n">
        <f aca="false">(Sens!H2202*tk_hold_h100+Sens!H2203*tk_hold_gb200+Sens!H2204*tk_hold_gb300+Sens!H2206*tk_hold_vr200+Sens!H2205*nv_out_mai*tk_hold_vr200)/Sens!H2194</f>
        <v>10.8647885507393</v>
      </c>
      <c r="I2208" s="15" t="n">
        <f aca="false">(Sens!I2202*tk_hold_h100+Sens!I2203*tk_hold_gb200+Sens!I2204*tk_hold_gb300+Sens!I2206*tk_hold_vr200+Sens!I2205*nv_out_mai*tk_hold_vr200)/Sens!I2194</f>
        <v>11.0535625770025</v>
      </c>
      <c r="J2208" s="15" t="n">
        <f aca="false">(Sens!J2202*tk_hold_h100+Sens!J2203*tk_hold_gb200+Sens!J2204*tk_hold_gb300+Sens!J2206*tk_hold_vr200+Sens!J2205*nv_out_mai*tk_hold_vr200)/Sens!J2194</f>
        <v>11.2032127128058</v>
      </c>
      <c r="K2208" s="15" t="n">
        <f aca="false">(Sens!K2202*tk_hold_h100+Sens!K2203*tk_hold_gb200+Sens!K2204*tk_hold_gb300+Sens!K2206*tk_hold_vr200+Sens!K2205*nv_out_mai*tk_hold_vr200)/Sens!K2194</f>
        <v>11.4085735724225</v>
      </c>
      <c r="L2208" s="12" t="s">
        <v>975</v>
      </c>
    </row>
    <row r="2209" customFormat="false" ht="17.15" hidden="false" customHeight="false" outlineLevel="0" collapsed="false">
      <c r="A2209" s="0" t="s">
        <v>976</v>
      </c>
      <c r="B2209" s="0" t="s">
        <v>229</v>
      </c>
      <c r="C2209" s="15" t="n">
        <f aca="false">k_B</f>
        <v>1.17213932619116</v>
      </c>
      <c r="D2209" s="15" t="n">
        <f aca="false">k_B</f>
        <v>1.17213932619116</v>
      </c>
      <c r="E2209" s="15" t="n">
        <f aca="false">k_B</f>
        <v>1.17213932619116</v>
      </c>
      <c r="F2209" s="15" t="n">
        <f aca="false">(k_B+((ls_B*k_long+(1-ls_B)*k_spot)-k_B)*MIN(1,(Sens!F2192-base_fy)/k_ramp))</f>
        <v>1.17213932619116</v>
      </c>
      <c r="G2209" s="15" t="n">
        <f aca="false">(k_B+((ls_B*k_long+(1-ls_B)*k_spot)-k_B)*MIN(1,(Sens!G2192-base_fy)/k_ramp))</f>
        <v>1.17213932619116</v>
      </c>
      <c r="H2209" s="15" t="n">
        <f aca="false">(k_B+((ls_B*k_long+(1-ls_B)*k_spot)-k_B)*MIN(1,(Sens!H2192-base_fy)/k_ramp))</f>
        <v>1.17213932619116</v>
      </c>
      <c r="I2209" s="15" t="n">
        <f aca="false">(k_B+((ls_B*k_long+(1-ls_B)*k_spot)-k_B)*MIN(1,(Sens!I2192-base_fy)/k_ramp))</f>
        <v>1.17213932619116</v>
      </c>
      <c r="J2209" s="15" t="n">
        <f aca="false">(k_B+((ls_B*k_long+(1-ls_B)*k_spot)-k_B)*MIN(1,(Sens!J2192-base_fy)/k_ramp))</f>
        <v>1.17213932619116</v>
      </c>
      <c r="K2209" s="15" t="n">
        <f aca="false">(k_B+((ls_B*k_long+(1-ls_B)*k_spot)-k_B)*MIN(1,(Sens!K2192-base_fy)/k_ramp))</f>
        <v>1.17213932619116</v>
      </c>
      <c r="L2209" s="1" t="s">
        <v>977</v>
      </c>
    </row>
    <row r="2210" customFormat="false" ht="17.15" hidden="false" customHeight="false" outlineLevel="0" collapsed="false">
      <c r="A2210" s="1" t="s">
        <v>978</v>
      </c>
      <c r="B2210" s="0" t="s">
        <v>403</v>
      </c>
      <c r="C2210" s="15" t="n">
        <f aca="false">Sens!C2208*Sens!C2209*chip_f</f>
        <v>11.3973387156315</v>
      </c>
      <c r="D2210" s="15" t="n">
        <f aca="false">Sens!D2208*Sens!D2209*chip_f</f>
        <v>11.3973387156315</v>
      </c>
      <c r="E2210" s="15" t="n">
        <f aca="false">Sens!E2208*Sens!E2209*chip_f</f>
        <v>11.3973387156315</v>
      </c>
      <c r="F2210" s="15" t="n">
        <f aca="false">Sens!F2208*Sens!F2209*chip_f</f>
        <v>12.0114064284211</v>
      </c>
      <c r="G2210" s="15" t="n">
        <f aca="false">Sens!G2208*Sens!G2209*chip_f</f>
        <v>12.4374066198516</v>
      </c>
      <c r="H2210" s="15" t="n">
        <f aca="false">Sens!H2208*Sens!H2209*chip_f</f>
        <v>12.735045931073</v>
      </c>
      <c r="I2210" s="15" t="n">
        <f aca="false">Sens!I2208*Sens!I2209*chip_f</f>
        <v>12.9563153910195</v>
      </c>
      <c r="J2210" s="15" t="n">
        <f aca="false">Sens!J2208*Sens!J2209*chip_f</f>
        <v>13.1317262003643</v>
      </c>
      <c r="K2210" s="15" t="n">
        <f aca="false">Sens!K2208*Sens!K2209*chip_f</f>
        <v>13.3724377399815</v>
      </c>
      <c r="L2210" s="1" t="s">
        <v>979</v>
      </c>
    </row>
    <row r="2211" customFormat="false" ht="17.15" hidden="false" customHeight="false" outlineLevel="0" collapsed="false">
      <c r="A2211" s="0" t="s">
        <v>980</v>
      </c>
      <c r="B2211" s="0" t="s">
        <v>98</v>
      </c>
      <c r="D2211" s="6" t="n">
        <f aca="false">(Sens!C2194+Sens!D2194)/2*Sens!D2210/1000</f>
        <v>12.9359794422418</v>
      </c>
      <c r="E2211" s="6" t="n">
        <f aca="false">(Sens!D2194+Sens!E2194)/2*Sens!E2210/1000</f>
        <v>27.8095064661409</v>
      </c>
      <c r="F2211" s="6" t="n">
        <f aca="false">(Sens!E2194+Sens!F2194)/2*Sens!F2210/1000</f>
        <v>55.4118315060966</v>
      </c>
      <c r="G2211" s="6" t="n">
        <f aca="false">(Sens!F2194+Sens!G2194)/2*Sens!G2210/1000</f>
        <v>91.2881100675143</v>
      </c>
      <c r="H2211" s="6" t="n">
        <f aca="false">(Sens!G2194+Sens!H2194)/2*Sens!H2210/1000</f>
        <v>128.195273603944</v>
      </c>
      <c r="I2211" s="6" t="n">
        <f aca="false">(Sens!H2194+Sens!I2194)/2*Sens!I2210/1000</f>
        <v>160.601281810405</v>
      </c>
      <c r="J2211" s="6" t="n">
        <f aca="false">(Sens!I2194+Sens!J2194)/2*Sens!J2210/1000</f>
        <v>183.182719793589</v>
      </c>
      <c r="K2211" s="6" t="n">
        <f aca="false">(Sens!J2194+Sens!K2194)/2*Sens!K2210/1000</f>
        <v>197.320124937098</v>
      </c>
      <c r="L2211" s="12" t="s">
        <v>981</v>
      </c>
    </row>
    <row r="2212" customFormat="false" ht="17.15" hidden="false" customHeight="false" outlineLevel="0" collapsed="false">
      <c r="A2212" s="1" t="s">
        <v>982</v>
      </c>
      <c r="B2212" s="0" t="s">
        <v>403</v>
      </c>
      <c r="C2212" s="15" t="n">
        <f aca="false">(Sens!C2202*tk_opex_h100+Sens!C2203*tk_opex_gb200+Sens!C2204*tk_opex_gb300+(Sens!C2206+Sens!C2205)*tk_opex_vr200)/Sens!C2194</f>
        <v>1.88636041306092</v>
      </c>
      <c r="D2212" s="15" t="n">
        <f aca="false">(Sens!D2202*tk_opex_h100+Sens!D2203*tk_opex_gb200+Sens!D2204*tk_opex_gb300+(Sens!D2206+Sens!D2205)*tk_opex_vr200)/Sens!D2194</f>
        <v>1.88636041306092</v>
      </c>
      <c r="E2212" s="15" t="n">
        <f aca="false">(Sens!E2202*tk_opex_h100+Sens!E2203*tk_opex_gb200+Sens!E2204*tk_opex_gb300+(Sens!E2206+Sens!E2205)*tk_opex_vr200)/Sens!E2194</f>
        <v>1.88636041306092</v>
      </c>
      <c r="F2212" s="15" t="n">
        <f aca="false">(Sens!F2202*tk_opex_h100+Sens!F2203*tk_opex_gb200+Sens!F2204*tk_opex_gb300+(Sens!F2206+Sens!F2205)*tk_opex_vr200)/Sens!F2194</f>
        <v>1.95051159746876</v>
      </c>
      <c r="G2212" s="15" t="n">
        <f aca="false">(Sens!G2202*tk_opex_h100+Sens!G2203*tk_opex_gb200+Sens!G2204*tk_opex_gb300+(Sens!G2206+Sens!G2205)*tk_opex_vr200)/Sens!G2194</f>
        <v>1.98836003669956</v>
      </c>
      <c r="H2212" s="15" t="n">
        <f aca="false">(Sens!H2202*tk_opex_h100+Sens!H2203*tk_opex_gb200+Sens!H2204*tk_opex_gb300+(Sens!H2206+Sens!H2205)*tk_opex_vr200)/Sens!H2194</f>
        <v>2.01344013834343</v>
      </c>
      <c r="I2212" s="15" t="n">
        <f aca="false">(Sens!I2202*tk_opex_h100+Sens!I2203*tk_opex_gb200+Sens!I2204*tk_opex_gb300+(Sens!I2206+Sens!I2205)*tk_opex_vr200)/Sens!I2194</f>
        <v>2.03261166882178</v>
      </c>
      <c r="J2212" s="15" t="n">
        <f aca="false">(Sens!J2202*tk_opex_h100+Sens!J2203*tk_opex_gb200+Sens!J2204*tk_opex_gb300+(Sens!J2206+Sens!J2205)*tk_opex_vr200)/Sens!J2194</f>
        <v>2.04808073288745</v>
      </c>
      <c r="K2212" s="15" t="n">
        <f aca="false">(Sens!K2202*tk_opex_h100+Sens!K2203*tk_opex_gb200+Sens!K2204*tk_opex_gb300+(Sens!K2206+Sens!K2205)*tk_opex_vr200)/Sens!K2194</f>
        <v>2.06973825807449</v>
      </c>
      <c r="L2212" s="12" t="s">
        <v>983</v>
      </c>
    </row>
    <row r="2213" customFormat="false" ht="17.15" hidden="false" customHeight="false" outlineLevel="0" collapsed="false">
      <c r="A2213" s="0" t="s">
        <v>984</v>
      </c>
      <c r="B2213" s="0" t="s">
        <v>98</v>
      </c>
      <c r="D2213" s="6" t="n">
        <f aca="false">(Sens!C2197+Sens!D2197)/2*Sens!D2212/1000</f>
        <v>3.24453991046478</v>
      </c>
      <c r="E2213" s="6" t="n">
        <f aca="false">(Sens!D2197+Sens!E2197)/2*Sens!E2212/1000</f>
        <v>7.41339642332941</v>
      </c>
      <c r="F2213" s="6" t="n">
        <f aca="false">(Sens!E2197+Sens!F2197)/2*Sens!F2212/1000</f>
        <v>15.4490955707084</v>
      </c>
      <c r="G2213" s="6" t="n">
        <f aca="false">(Sens!F2197+Sens!G2197)/2*Sens!G2212/1000</f>
        <v>26.1819401575533</v>
      </c>
      <c r="H2213" s="6" t="n">
        <f aca="false">(Sens!G2197+Sens!H2197)/2*Sens!H2212/1000</f>
        <v>37.4916154547681</v>
      </c>
      <c r="I2213" s="6" t="n">
        <f aca="false">(Sens!H2197+Sens!I2197)/2*Sens!I2212/1000</f>
        <v>47.3175668931922</v>
      </c>
      <c r="J2213" s="6" t="n">
        <f aca="false">(Sens!I2197+Sens!J2197)/2*Sens!J2212/1000</f>
        <v>54.0432381874384</v>
      </c>
      <c r="K2213" s="6" t="n">
        <f aca="false">(Sens!J2197+Sens!K2197)/2*Sens!K2212/1000</f>
        <v>57.9515672509388</v>
      </c>
    </row>
    <row r="2214" customFormat="false" ht="17.15" hidden="false" customHeight="false" outlineLevel="0" collapsed="false">
      <c r="A2214" s="0" t="s">
        <v>985</v>
      </c>
      <c r="B2214" s="0" t="s">
        <v>98</v>
      </c>
      <c r="D2214" s="6" t="n">
        <f aca="false">(Sens!C2195+Sens!D2195)/2*rent_mw/1000</f>
        <v>2.44475</v>
      </c>
      <c r="E2214" s="6" t="n">
        <f aca="false">(Sens!D2195+Sens!E2195)/2*rent_mw/1000</f>
        <v>4.22275</v>
      </c>
      <c r="F2214" s="6" t="n">
        <f aca="false">(Sens!E2195+Sens!F2195)/2*rent_mw/1000</f>
        <v>5.80517</v>
      </c>
      <c r="G2214" s="6" t="n">
        <f aca="false">(Sens!F2195+Sens!G2195)/2*rent_mw/1000</f>
        <v>6.72084</v>
      </c>
      <c r="H2214" s="6" t="n">
        <f aca="false">(Sens!G2195+Sens!H2195)/2*rent_mw/1000</f>
        <v>6.72084</v>
      </c>
      <c r="I2214" s="6" t="n">
        <f aca="false">(Sens!H2195+Sens!I2195)/2*rent_mw/1000</f>
        <v>6.72084</v>
      </c>
      <c r="J2214" s="6" t="n">
        <f aca="false">(Sens!I2195+Sens!J2195)/2*rent_mw/1000</f>
        <v>6.72084</v>
      </c>
      <c r="K2214" s="6" t="n">
        <f aca="false">(Sens!J2195+Sens!K2195)/2*rent_mw/1000</f>
        <v>6.72084</v>
      </c>
    </row>
    <row r="2215" customFormat="false" ht="17.15" hidden="false" customHeight="false" outlineLevel="0" collapsed="false">
      <c r="A2215" s="0" t="s">
        <v>986</v>
      </c>
      <c r="B2215" s="0" t="s">
        <v>98</v>
      </c>
      <c r="D2215" s="6" t="n">
        <f aca="false">(Sens!C2197+Sens!D2197)/2*(1-self_build)*fac_rent/1000</f>
        <v>1.02389085075729</v>
      </c>
      <c r="E2215" s="6" t="n">
        <f aca="false">(Sens!D2197+Sens!E2197)/2*(1-self_build)*fac_rent/1000</f>
        <v>2.33947153690474</v>
      </c>
      <c r="F2215" s="6" t="n">
        <f aca="false">(Sens!E2197+Sens!F2197)/2*(1-self_build)*fac_rent/1000</f>
        <v>4.71497873371627</v>
      </c>
      <c r="G2215" s="6" t="n">
        <f aca="false">(Sens!F2197+Sens!G2197)/2*(1-self_build)*fac_rent/1000</f>
        <v>7.83848290293791</v>
      </c>
      <c r="H2215" s="6" t="n">
        <f aca="false">(Sens!G2197+Sens!H2197)/2*(1-self_build)*fac_rent/1000</f>
        <v>11.0846158600991</v>
      </c>
      <c r="I2215" s="6" t="n">
        <f aca="false">(Sens!H2197+Sens!I2197)/2*(1-self_build)*fac_rent/1000</f>
        <v>13.8577654268871</v>
      </c>
      <c r="J2215" s="6" t="n">
        <f aca="false">(Sens!I2197+Sens!J2197)/2*(1-self_build)*fac_rent/1000</f>
        <v>15.707949874693</v>
      </c>
      <c r="K2215" s="6" t="n">
        <f aca="false">(Sens!J2197+Sens!K2197)/2*(1-self_build)*fac_rent/1000</f>
        <v>16.6676730751867</v>
      </c>
      <c r="L2215" s="12" t="s">
        <v>987</v>
      </c>
    </row>
    <row r="2216" customFormat="false" ht="17.15" hidden="false" customHeight="false" outlineLevel="0" collapsed="false">
      <c r="A2216" s="1" t="s">
        <v>988</v>
      </c>
      <c r="B2216" s="0" t="s">
        <v>168</v>
      </c>
      <c r="D2216" s="7" t="n">
        <f aca="false">(Sens!C2196+Sens!D2196)/(Sens!C2197+Sens!D2197)</f>
        <v>0.5</v>
      </c>
      <c r="E2216" s="7" t="n">
        <f aca="false">(Sens!D2196+Sens!E2196)/(Sens!D2197+Sens!E2197)</f>
        <v>0.5</v>
      </c>
      <c r="F2216" s="7" t="n">
        <f aca="false">(Sens!E2196+Sens!F2196)/(Sens!E2197+Sens!F2197)</f>
        <v>0.5</v>
      </c>
      <c r="G2216" s="7" t="n">
        <f aca="false">(Sens!F2196+Sens!G2196)/(Sens!F2197+Sens!G2197)</f>
        <v>0.5</v>
      </c>
      <c r="H2216" s="7" t="n">
        <f aca="false">(Sens!G2196+Sens!H2196)/(Sens!G2197+Sens!H2197)</f>
        <v>0.5</v>
      </c>
      <c r="I2216" s="7" t="n">
        <f aca="false">(Sens!H2196+Sens!I2196)/(Sens!H2197+Sens!I2197)</f>
        <v>0.5</v>
      </c>
      <c r="J2216" s="7" t="n">
        <f aca="false">(Sens!I2196+Sens!J2196)/(Sens!I2197+Sens!J2197)</f>
        <v>0.5</v>
      </c>
      <c r="K2216" s="7" t="n">
        <f aca="false">(Sens!J2196+Sens!K2196)/(Sens!J2197+Sens!K2197)</f>
        <v>0.5</v>
      </c>
    </row>
    <row r="2217" customFormat="false" ht="17.15" hidden="false" customHeight="false" outlineLevel="0" collapsed="false">
      <c r="A2217" s="0" t="s">
        <v>989</v>
      </c>
      <c r="B2217" s="0" t="s">
        <v>98</v>
      </c>
      <c r="D2217" s="6" t="n">
        <f aca="false">Sens!D2211-Sens!D2216*(Sens!D2213+Sens!D2215)-Sens!D2214</f>
        <v>8.35701406163072</v>
      </c>
      <c r="E2217" s="6" t="n">
        <f aca="false">Sens!E2211-Sens!E2216*(Sens!E2213+Sens!E2215)-Sens!E2214</f>
        <v>18.7103224860238</v>
      </c>
      <c r="F2217" s="6" t="n">
        <f aca="false">Sens!F2211-Sens!F2216*(Sens!F2213+Sens!F2215)-Sens!F2214</f>
        <v>39.5246243538843</v>
      </c>
      <c r="G2217" s="6" t="n">
        <f aca="false">Sens!G2211-Sens!G2216*(Sens!G2213+Sens!G2215)-Sens!G2214</f>
        <v>67.5570585372687</v>
      </c>
      <c r="H2217" s="6" t="n">
        <f aca="false">Sens!H2211-Sens!H2216*(Sens!H2213+Sens!H2215)-Sens!H2214</f>
        <v>97.1863179465102</v>
      </c>
      <c r="I2217" s="6" t="n">
        <f aca="false">Sens!I2211-Sens!I2216*(Sens!I2213+Sens!I2215)-Sens!I2214</f>
        <v>123.292775650365</v>
      </c>
      <c r="J2217" s="6" t="n">
        <f aca="false">Sens!J2211-Sens!J2216*(Sens!J2213+Sens!J2215)-Sens!J2214</f>
        <v>141.586285762524</v>
      </c>
      <c r="K2217" s="6" t="n">
        <f aca="false">Sens!K2211-Sens!K2216*(Sens!K2213+Sens!K2215)-Sens!K2214</f>
        <v>153.289664774035</v>
      </c>
    </row>
    <row r="2218" customFormat="false" ht="17.15" hidden="false" customHeight="false" outlineLevel="0" collapsed="false">
      <c r="A2218" s="1" t="s">
        <v>990</v>
      </c>
      <c r="B2218" s="0" t="s">
        <v>98</v>
      </c>
      <c r="D2218" s="6" t="n">
        <f aca="false">(1-Sens!D2216)*(Sens!D2213+Sens!D2215)</f>
        <v>2.13421538061103</v>
      </c>
      <c r="E2218" s="6" t="n">
        <f aca="false">(1-Sens!E2216)*(Sens!E2213+Sens!E2215)</f>
        <v>4.87643398011707</v>
      </c>
      <c r="F2218" s="6" t="n">
        <f aca="false">(1-Sens!F2216)*(Sens!F2213+Sens!F2215)</f>
        <v>10.0820371522123</v>
      </c>
      <c r="G2218" s="6" t="n">
        <f aca="false">(1-Sens!G2216)*(Sens!G2213+Sens!G2215)</f>
        <v>17.0102115302456</v>
      </c>
      <c r="H2218" s="6" t="n">
        <f aca="false">(1-Sens!H2216)*(Sens!H2213+Sens!H2215)</f>
        <v>24.2881156574336</v>
      </c>
      <c r="I2218" s="6" t="n">
        <f aca="false">(1-Sens!I2216)*(Sens!I2213+Sens!I2215)</f>
        <v>30.5876661600396</v>
      </c>
      <c r="J2218" s="6" t="n">
        <f aca="false">(1-Sens!J2216)*(Sens!J2213+Sens!J2215)</f>
        <v>34.8755940310657</v>
      </c>
      <c r="K2218" s="6" t="n">
        <f aca="false">(1-Sens!K2216)*(Sens!K2213+Sens!K2215)</f>
        <v>37.3096201630627</v>
      </c>
    </row>
    <row r="2219" customFormat="false" ht="17.15" hidden="false" customHeight="false" outlineLevel="0" collapsed="false">
      <c r="A2219" s="1" t="s">
        <v>991</v>
      </c>
      <c r="B2219" s="0" t="s">
        <v>417</v>
      </c>
      <c r="C2219" s="8" t="n">
        <f aca="false">cxit_open</f>
        <v>27.5918995</v>
      </c>
      <c r="D2219" s="8" t="n">
        <f aca="false">cxit_open</f>
        <v>27.5918995</v>
      </c>
      <c r="E2219" s="8" t="n">
        <f aca="false">cxit_open</f>
        <v>27.5918995</v>
      </c>
      <c r="F2219" s="8" t="n">
        <f aca="false">((a_g3_27-nonnv*a_mai)*tk_cxit_gb300+nonnv*a_mai*nv_hold_mai*tk_cxit_vr200+(1-a_g3_27)*tk_cxit_vr200)</f>
        <v>32.4975576</v>
      </c>
      <c r="G2219" s="8" t="n">
        <f aca="false">((a_g3_28-nonnv*a_mai)*tk_cxit_gb300+nonnv*a_mai*nv_hold_mai*tk_cxit_vr200+(1-a_g3_28)*tk_cxit_vr200)</f>
        <v>34.6372088</v>
      </c>
      <c r="H2219" s="8" t="n">
        <f aca="false">((a_g3_29-nonnv*a_mai)*tk_cxit_gb300+nonnv*a_mai*nv_hold_mai*tk_cxit_vr200+(1-a_g3_29)*tk_cxit_vr200)</f>
        <v>35.7070344</v>
      </c>
      <c r="I2219" s="8" t="n">
        <f aca="false">((a_g3_29-nonnv*a_mai)*tk_cxit_gb300+nonnv*a_mai*nv_hold_mai*tk_cxit_vr200+(1-a_g3_29)*tk_cxit_vr200)</f>
        <v>35.7070344</v>
      </c>
      <c r="J2219" s="8" t="n">
        <f aca="false">((a_g3_29-nonnv*a_mai)*tk_cxit_gb300+nonnv*a_mai*nv_hold_mai*tk_cxit_vr200+(1-a_g3_29)*tk_cxit_vr200)</f>
        <v>35.7070344</v>
      </c>
      <c r="K2219" s="8" t="n">
        <f aca="false">((a_g3_29-nonnv*a_mai)*tk_cxit_gb300+nonnv*a_mai*nv_hold_mai*tk_cxit_vr200+(1-a_g3_29)*tk_cxit_vr200)</f>
        <v>35.7070344</v>
      </c>
      <c r="L2219" s="12" t="s">
        <v>992</v>
      </c>
    </row>
    <row r="2220" customFormat="false" ht="17.15" hidden="false" customHeight="false" outlineLevel="0" collapsed="false">
      <c r="A2220" s="0" t="s">
        <v>993</v>
      </c>
      <c r="B2220" s="0" t="s">
        <v>459</v>
      </c>
      <c r="F2220" s="30" t="n">
        <f aca="false">Sens!C2199*IF(Sens!F2192-Sens!C2192=life_it,1,0)+Sens!D2199*IF(Sens!F2192-Sens!D2192=life_it,1,0)+Sens!E2199*IF(Sens!F2192-Sens!E2192=life_it,1,0)</f>
        <v>0</v>
      </c>
      <c r="G2220" s="30" t="n">
        <f aca="false">Sens!C2199*IF(Sens!G2192-Sens!C2192=life_it,1,0)+Sens!D2199*IF(Sens!G2192-Sens!D2192=life_it,1,0)+Sens!E2199*IF(Sens!G2192-Sens!E2192=life_it,1,0)+Sens!F2199*IF(Sens!G2192-Sens!F2192=life_it,1,0)</f>
        <v>0</v>
      </c>
      <c r="H2220" s="30" t="n">
        <f aca="false">Sens!C2199*IF(Sens!H2192-Sens!C2192=life_it,1,0)+Sens!D2199*IF(Sens!H2192-Sens!D2192=life_it,1,0)+Sens!E2199*IF(Sens!H2192-Sens!E2192=life_it,1,0)+Sens!F2199*IF(Sens!H2192-Sens!F2192=life_it,1,0)+Sens!G2199*IF(Sens!H2192-Sens!G2192=life_it,1,0)</f>
        <v>0</v>
      </c>
      <c r="I2220" s="30" t="n">
        <f aca="false">Sens!C2199*IF(Sens!I2192-Sens!C2192=life_it,1,0)+Sens!D2199*IF(Sens!I2192-Sens!D2192=life_it,1,0)+Sens!E2199*IF(Sens!I2192-Sens!E2192=life_it,1,0)+Sens!F2199*IF(Sens!I2192-Sens!F2192=life_it,1,0)+Sens!G2199*IF(Sens!I2192-Sens!G2192=life_it,1,0)+Sens!H2199*IF(Sens!I2192-Sens!H2192=life_it,1,0)</f>
        <v>980</v>
      </c>
      <c r="J2220" s="30" t="n">
        <f aca="false">Sens!C2199*IF(Sens!J2192-Sens!C2192=life_it,1,0)+Sens!D2199*IF(Sens!J2192-Sens!D2192=life_it,1,0)+Sens!E2199*IF(Sens!J2192-Sens!E2192=life_it,1,0)+Sens!F2199*IF(Sens!J2192-Sens!F2192=life_it,1,0)+Sens!G2199*IF(Sens!J2192-Sens!G2192=life_it,1,0)+Sens!H2199*IF(Sens!J2192-Sens!H2192=life_it,1,0)+Sens!I2199*IF(Sens!J2192-Sens!I2192=life_it,1,0)</f>
        <v>1480</v>
      </c>
      <c r="K2220" s="30" t="n">
        <f aca="false">Sens!C2199*IF(Sens!K2192-Sens!C2192=life_it,1,0)+Sens!D2199*IF(Sens!K2192-Sens!D2192=life_it,1,0)+Sens!E2199*IF(Sens!K2192-Sens!E2192=life_it,1,0)+Sens!F2199*IF(Sens!K2192-Sens!F2192=life_it,1,0)+Sens!G2199*IF(Sens!K2192-Sens!G2192=life_it,1,0)+Sens!H2199*IF(Sens!K2192-Sens!H2192=life_it,1,0)+Sens!I2199*IF(Sens!K2192-Sens!I2192=life_it,1,0)+Sens!J2199*IF(Sens!K2192-Sens!J2192=life_it,1,0)</f>
        <v>2940</v>
      </c>
      <c r="L2220" s="1" t="s">
        <v>994</v>
      </c>
    </row>
    <row r="2221" customFormat="false" ht="17.15" hidden="false" customHeight="false" outlineLevel="0" collapsed="false">
      <c r="A2221" s="0" t="s">
        <v>995</v>
      </c>
      <c r="B2221" s="0" t="s">
        <v>98</v>
      </c>
      <c r="C2221" s="6" t="n">
        <f aca="false">Sens!C2199*Sens!C2219/1000</f>
        <v>27.04006151</v>
      </c>
      <c r="D2221" s="6" t="n">
        <f aca="false">Sens!D2199*Sens!D2219/1000</f>
        <v>40.83601126</v>
      </c>
      <c r="E2221" s="6" t="n">
        <f aca="false">Sens!E2199*Sens!E2219/1000</f>
        <v>81.12018453</v>
      </c>
      <c r="F2221" s="6" t="n">
        <f aca="false">(Sens!F2199+Sens!F2220)*Sens!F2219/1000</f>
        <v>163.822469190144</v>
      </c>
      <c r="G2221" s="6" t="n">
        <f aca="false">(Sens!G2199+Sens!G2220)*Sens!G2219/1000</f>
        <v>188.879131118458</v>
      </c>
      <c r="H2221" s="6" t="n">
        <f aca="false">(Sens!H2199+Sens!H2220)*Sens!H2219/1000</f>
        <v>194.712965217015</v>
      </c>
      <c r="I2221" s="6" t="n">
        <f aca="false">(Sens!I2199+Sens!I2220)*Sens!I2219/1000</f>
        <v>172.96388338252</v>
      </c>
      <c r="J2221" s="6" t="n">
        <f aca="false">(Sens!J2199+Sens!J2220)*Sens!J2219/1000</f>
        <v>136.834844829436</v>
      </c>
      <c r="K2221" s="6" t="n">
        <f aca="false">(Sens!K2199+Sens!K2220)*Sens!K2219/1000</f>
        <v>136.12450242117</v>
      </c>
    </row>
    <row r="2222" customFormat="false" ht="17.15" hidden="false" customHeight="false" outlineLevel="0" collapsed="false">
      <c r="A2222" s="0" t="s">
        <v>996</v>
      </c>
      <c r="B2222" s="0" t="s">
        <v>98</v>
      </c>
      <c r="C2222" s="6" t="n">
        <f aca="false">Sens!C2199*self_build*tk_cxfac/1000</f>
        <v>7.44996</v>
      </c>
      <c r="D2222" s="6" t="n">
        <f aca="false">Sens!D2199*self_build*tk_cxfac/1000</f>
        <v>11.25096</v>
      </c>
      <c r="E2222" s="6" t="n">
        <f aca="false">Sens!E2199*self_build*tk_cxfac/1000</f>
        <v>22.34988</v>
      </c>
      <c r="F2222" s="6" t="n">
        <f aca="false">Sens!F2199*self_build*tk_cxfac/1000</f>
        <v>38.3222156604</v>
      </c>
      <c r="G2222" s="6" t="n">
        <f aca="false">Sens!G2199*self_build*tk_cxfac/1000</f>
        <v>41.4542396604</v>
      </c>
      <c r="H2222" s="6" t="n">
        <f aca="false">Sens!H2199*self_build*tk_cxfac/1000</f>
        <v>41.4542396604</v>
      </c>
      <c r="I2222" s="6" t="n">
        <f aca="false">Sens!I2199*self_build*tk_cxfac/1000</f>
        <v>29.373916963412</v>
      </c>
      <c r="J2222" s="6" t="n">
        <f aca="false">Sens!J2199*self_build*tk_cxfac/1000</f>
        <v>17.8810726056923</v>
      </c>
      <c r="K2222" s="6" t="n">
        <f aca="false">Sens!K2199*self_build*tk_cxfac/1000</f>
        <v>6.63092125650911</v>
      </c>
    </row>
    <row r="2223" customFormat="false" ht="17.15" hidden="false" customHeight="false" outlineLevel="0" collapsed="false">
      <c r="A2223" s="0" t="s">
        <v>997</v>
      </c>
      <c r="B2223" s="0" t="s">
        <v>98</v>
      </c>
      <c r="F2223" s="15" t="n">
        <f aca="false">capex_floor27-Sens!F2221-Sens!F2222-Sens!F2319</f>
        <v>-33.6907613497663</v>
      </c>
      <c r="L2223" s="12" t="s">
        <v>998</v>
      </c>
    </row>
    <row r="2224" customFormat="false" ht="17.15" hidden="false" customHeight="false" outlineLevel="0" collapsed="false">
      <c r="A2224" s="0" t="s">
        <v>999</v>
      </c>
      <c r="B2224" s="0" t="s">
        <v>98</v>
      </c>
      <c r="F2224" s="6" t="n">
        <f aca="false">MAX(0,Sens!F2223)</f>
        <v>0</v>
      </c>
    </row>
    <row r="2225" customFormat="false" ht="17.15" hidden="false" customHeight="false" outlineLevel="0" collapsed="false">
      <c r="A2225" s="0" t="s">
        <v>1000</v>
      </c>
      <c r="B2225" s="0" t="s">
        <v>98</v>
      </c>
      <c r="C2225" s="6" t="n">
        <f aca="false">Sens!C2221</f>
        <v>27.04006151</v>
      </c>
      <c r="D2225" s="6" t="n">
        <f aca="false">Sens!D2221</f>
        <v>40.83601126</v>
      </c>
      <c r="E2225" s="6" t="n">
        <f aca="false">Sens!E2221</f>
        <v>81.12018453</v>
      </c>
      <c r="F2225" s="6" t="n">
        <f aca="false">Sens!F2221</f>
        <v>163.822469190144</v>
      </c>
      <c r="G2225" s="6" t="n">
        <f aca="false">Sens!G2221</f>
        <v>188.879131118458</v>
      </c>
      <c r="H2225" s="6" t="n">
        <f aca="false">Sens!H2221</f>
        <v>194.712965217015</v>
      </c>
      <c r="I2225" s="6" t="n">
        <f aca="false">Sens!I2221</f>
        <v>172.96388338252</v>
      </c>
      <c r="J2225" s="6" t="n">
        <f aca="false">Sens!J2221</f>
        <v>136.834844829436</v>
      </c>
      <c r="K2225" s="6" t="n">
        <f aca="false">Sens!K2221</f>
        <v>136.12450242117</v>
      </c>
    </row>
    <row r="2226" customFormat="false" ht="17.15" hidden="false" customHeight="false" outlineLevel="0" collapsed="false">
      <c r="A2226" s="0" t="s">
        <v>1001</v>
      </c>
      <c r="B2226" s="0" t="s">
        <v>98</v>
      </c>
      <c r="C2226" s="6" t="n">
        <f aca="false">Sens!C2225+Sens!C2222</f>
        <v>34.49002151</v>
      </c>
      <c r="D2226" s="6" t="n">
        <f aca="false">Sens!D2225+Sens!D2222</f>
        <v>52.08697126</v>
      </c>
      <c r="E2226" s="6" t="n">
        <f aca="false">Sens!E2225+Sens!E2222</f>
        <v>103.47006453</v>
      </c>
      <c r="F2226" s="6" t="n">
        <f aca="false">Sens!F2225+Sens!F2222</f>
        <v>202.144684850544</v>
      </c>
      <c r="G2226" s="6" t="n">
        <f aca="false">Sens!G2225+Sens!G2222</f>
        <v>230.333370778858</v>
      </c>
      <c r="H2226" s="6" t="n">
        <f aca="false">Sens!H2225+Sens!H2222</f>
        <v>236.167204877415</v>
      </c>
      <c r="I2226" s="6" t="n">
        <f aca="false">Sens!I2225+Sens!I2222</f>
        <v>202.337800345932</v>
      </c>
      <c r="J2226" s="6" t="n">
        <f aca="false">Sens!J2225+Sens!J2222</f>
        <v>154.715917435129</v>
      </c>
      <c r="K2226" s="6" t="n">
        <f aca="false">Sens!K2225+Sens!K2222</f>
        <v>142.755423677679</v>
      </c>
      <c r="L2226" s="12" t="s">
        <v>1002</v>
      </c>
    </row>
    <row r="2227" customFormat="false" ht="17.15" hidden="false" customHeight="false" outlineLevel="0" collapsed="false">
      <c r="A2227" s="0" t="s">
        <v>1003</v>
      </c>
      <c r="B2227" s="0" t="s">
        <v>98</v>
      </c>
      <c r="E2227" s="6" t="n">
        <f aca="false">(Sens!C2225*IF(2&lt;life_it,1,IF(2=life_it,0.5,0))+Sens!D2225*IF(1&lt;life_it,1,IF(1=life_it,0.5,0))+Sens!E2225*0.5)/life_it</f>
        <v>18.0726941725</v>
      </c>
      <c r="F2227" s="6" t="n">
        <f aca="false">(Sens!C2225*IF(3&lt;life_it,1,IF(3=life_it,0.5,0))+Sens!D2225*IF(2&lt;life_it,1,IF(2=life_it,0.5,0))+Sens!E2225*IF(1&lt;life_it,1,IF(1=life_it,0.5,0))+Sens!F2225*0.5)/life_it</f>
        <v>38.484581982512</v>
      </c>
      <c r="G2227" s="6" t="n">
        <f aca="false">(Sens!C2225*IF(4&lt;life_it,1,IF(4=life_it,0.5,0))+Sens!D2225*IF(3&lt;life_it,1,IF(3=life_it,0.5,0))+Sens!E2225*IF(2&lt;life_it,1,IF(2=life_it,0.5,0))+Sens!F2225*IF(1&lt;life_it,1,IF(1=life_it,0.5,0))+Sens!G2225*0.5)/life_it</f>
        <v>67.8763820082287</v>
      </c>
      <c r="H2227" s="6" t="n">
        <f aca="false">(Sens!C2225*IF(5&lt;life_it,1,IF(5=life_it,0.5,0))+Sens!D2225*IF(4&lt;life_it,1,IF(4=life_it,0.5,0))+Sens!E2225*IF(3&lt;life_it,1,IF(3=life_it,0.5,0))+Sens!F2225*IF(2&lt;life_it,1,IF(2=life_it,0.5,0))+Sens!G2225*IF(1&lt;life_it,1,IF(1=life_it,0.5,0))+Sens!H2225*0.5)/life_it</f>
        <v>99.8423900361848</v>
      </c>
      <c r="I2227" s="6" t="n">
        <f aca="false">(Sens!C2225*IF(6&lt;life_it,1,IF(6=life_it,0.5,0))+Sens!D2225*IF(5&lt;life_it,1,IF(5=life_it,0.5,0))+Sens!E2225*IF(4&lt;life_it,1,IF(4=life_it,0.5,0))+Sens!F2225*IF(3&lt;life_it,1,IF(3=life_it,0.5,0))+Sens!G2225*IF(2&lt;life_it,1,IF(2=life_it,0.5,0))+Sens!H2225*IF(1&lt;life_it,1,IF(1=life_it,0.5,0))+Sens!I2225*0.5)/life_it</f>
        <v>128.228788960313</v>
      </c>
      <c r="J2227" s="6" t="n">
        <f aca="false">(Sens!C2225*IF(7&lt;life_it,1,IF(7=life_it,0.5,0))+Sens!D2225*IF(6&lt;life_it,1,IF(6=life_it,0.5,0))+Sens!E2225*IF(5&lt;life_it,1,IF(5=life_it,0.5,0))+Sens!F2225*IF(4&lt;life_it,1,IF(4=life_it,0.5,0))+Sens!G2225*IF(3&lt;life_it,1,IF(3=life_it,0.5,0))+Sens!H2225*IF(2&lt;life_it,1,IF(2=life_it,0.5,0))+Sens!I2225*IF(1&lt;life_it,1,IF(1=life_it,0.5,0))+Sens!J2225*0.5)/life_it</f>
        <v>148.389010247142</v>
      </c>
      <c r="K2227" s="6" t="n">
        <f aca="false">(Sens!C2225*IF(8&lt;life_it,1,IF(8=life_it,0.5,0))+Sens!D2225*IF(7&lt;life_it,1,IF(7=life_it,0.5,0))+Sens!E2225*IF(6&lt;life_it,1,IF(6=life_it,0.5,0))+Sens!F2225*IF(5&lt;life_it,1,IF(5=life_it,0.5,0))+Sens!G2225*IF(4&lt;life_it,1,IF(4=life_it,0.5,0))+Sens!H2225*IF(3&lt;life_it,1,IF(3=life_it,0.5,0))+Sens!I2225*IF(2&lt;life_it,1,IF(2=life_it,0.5,0))+Sens!J2225*IF(1&lt;life_it,1,IF(1=life_it,0.5,0))+Sens!K2225*0.5)/life_it</f>
        <v>160.972606202193</v>
      </c>
    </row>
    <row r="2228" customFormat="false" ht="17.15" hidden="false" customHeight="false" outlineLevel="0" collapsed="false">
      <c r="A2228" s="0" t="s">
        <v>1004</v>
      </c>
      <c r="B2228" s="0" t="s">
        <v>98</v>
      </c>
      <c r="E2228" s="6" t="n">
        <f aca="false">(Sens!C2222*IF(2&lt;life_fac,1,IF(2=life_fac,0.5,0))+Sens!D2222*IF(1&lt;life_fac,1,IF(1=life_fac,0.5,0))+Sens!E2222*0.5)/life_fac</f>
        <v>1.493793</v>
      </c>
      <c r="F2228" s="6" t="n">
        <f aca="false">(Sens!C2222*IF(3&lt;life_fac,1,IF(3=life_fac,0.5,0))+Sens!D2222*IF(2&lt;life_fac,1,IF(2=life_fac,0.5,0))+Sens!E2222*IF(1&lt;life_fac,1,IF(1=life_fac,0.5,0))+Sens!F2222*0.5)/life_fac</f>
        <v>3.01059539151</v>
      </c>
      <c r="G2228" s="6" t="n">
        <f aca="false">(Sens!C2222*IF(4&lt;life_fac,1,IF(4=life_fac,0.5,0))+Sens!D2222*IF(3&lt;life_fac,1,IF(3=life_fac,0.5,0))+Sens!E2222*IF(2&lt;life_fac,1,IF(2=life_fac,0.5,0))+Sens!F2222*IF(1&lt;life_fac,1,IF(1=life_fac,0.5,0))+Sens!G2222*0.5)/life_fac</f>
        <v>5.00500677453</v>
      </c>
      <c r="H2228" s="6" t="n">
        <f aca="false">(Sens!C2222*IF(5&lt;life_fac,1,IF(5=life_fac,0.5,0))+Sens!D2222*IF(4&lt;life_fac,1,IF(4=life_fac,0.5,0))+Sens!E2222*IF(3&lt;life_fac,1,IF(3=life_fac,0.5,0))+Sens!F2222*IF(2&lt;life_fac,1,IF(2=life_fac,0.5,0))+Sens!G2222*IF(1&lt;life_fac,1,IF(1=life_fac,0.5,0))+Sens!H2222*0.5)/life_fac</f>
        <v>7.07771875755</v>
      </c>
      <c r="I2228" s="6" t="n">
        <f aca="false">(Sens!C2222*IF(6&lt;life_fac,1,IF(6=life_fac,0.5,0))+Sens!D2222*IF(5&lt;life_fac,1,IF(5=life_fac,0.5,0))+Sens!E2222*IF(4&lt;life_fac,1,IF(4=life_fac,0.5,0))+Sens!F2222*IF(3&lt;life_fac,1,IF(3=life_fac,0.5,0))+Sens!G2222*IF(2&lt;life_fac,1,IF(2=life_fac,0.5,0))+Sens!H2222*IF(1&lt;life_fac,1,IF(1=life_fac,0.5,0))+Sens!I2222*0.5)/life_fac</f>
        <v>8.8484226731453</v>
      </c>
      <c r="J2228" s="6" t="n">
        <f aca="false">(Sens!C2222*IF(7&lt;life_fac,1,IF(7=life_fac,0.5,0))+Sens!D2222*IF(6&lt;life_fac,1,IF(6=life_fac,0.5,0))+Sens!E2222*IF(5&lt;life_fac,1,IF(5=life_fac,0.5,0))+Sens!F2222*IF(4&lt;life_fac,1,IF(4=life_fac,0.5,0))+Sens!G2222*IF(3&lt;life_fac,1,IF(3=life_fac,0.5,0))+Sens!H2222*IF(2&lt;life_fac,1,IF(2=life_fac,0.5,0))+Sens!I2222*IF(1&lt;life_fac,1,IF(1=life_fac,0.5,0))+Sens!J2222*0.5)/life_fac</f>
        <v>10.0297974123729</v>
      </c>
      <c r="K2228" s="6" t="n">
        <f aca="false">(Sens!C2222*IF(8&lt;life_fac,1,IF(8=life_fac,0.5,0))+Sens!D2222*IF(7&lt;life_fac,1,IF(7=life_fac,0.5,0))+Sens!E2222*IF(6&lt;life_fac,1,IF(6=life_fac,0.5,0))+Sens!F2222*IF(5&lt;life_fac,1,IF(5=life_fac,0.5,0))+Sens!G2222*IF(4&lt;life_fac,1,IF(4=life_fac,0.5,0))+Sens!H2222*IF(3&lt;life_fac,1,IF(3=life_fac,0.5,0))+Sens!I2222*IF(2&lt;life_fac,1,IF(2=life_fac,0.5,0))+Sens!J2222*IF(1&lt;life_fac,1,IF(1=life_fac,0.5,0))+Sens!K2222*0.5)/life_fac</f>
        <v>10.6425972589279</v>
      </c>
    </row>
    <row r="2229" customFormat="false" ht="17.15" hidden="false" customHeight="false" outlineLevel="0" collapsed="false">
      <c r="A2229" s="0" t="s">
        <v>1005</v>
      </c>
      <c r="B2229" s="0" t="s">
        <v>98</v>
      </c>
      <c r="E2229" s="6" t="n">
        <f aca="false">Sens!E2227+Sens!E2228</f>
        <v>19.5664871725</v>
      </c>
      <c r="F2229" s="6" t="n">
        <f aca="false">Sens!F2227+Sens!F2228</f>
        <v>41.495177374022</v>
      </c>
      <c r="G2229" s="6" t="n">
        <f aca="false">Sens!G2227+Sens!G2228</f>
        <v>72.8813887827587</v>
      </c>
      <c r="H2229" s="6" t="n">
        <f aca="false">Sens!H2227+Sens!H2228</f>
        <v>106.920108793735</v>
      </c>
      <c r="I2229" s="6" t="n">
        <f aca="false">Sens!I2227+Sens!I2228</f>
        <v>137.077211633458</v>
      </c>
      <c r="J2229" s="6" t="n">
        <f aca="false">Sens!J2227+Sens!J2228</f>
        <v>158.418807659515</v>
      </c>
      <c r="K2229" s="6" t="n">
        <f aca="false">Sens!K2227+Sens!K2228</f>
        <v>171.615203461121</v>
      </c>
    </row>
    <row r="2230" customFormat="false" ht="17.15" hidden="false" customHeight="false" outlineLevel="0" collapsed="false">
      <c r="A2230" s="0" t="s">
        <v>1006</v>
      </c>
      <c r="B2230" s="0" t="s">
        <v>98</v>
      </c>
      <c r="E2230" s="6" t="n">
        <f aca="false">Sens!E2217-Sens!E2216*Sens!E2229</f>
        <v>8.92707889977379</v>
      </c>
      <c r="F2230" s="6" t="n">
        <f aca="false">Sens!F2217-Sens!F2216*Sens!F2229</f>
        <v>18.7770356668733</v>
      </c>
      <c r="G2230" s="6" t="n">
        <f aca="false">Sens!G2217-Sens!G2216*Sens!G2229</f>
        <v>31.1163641458894</v>
      </c>
      <c r="H2230" s="6" t="n">
        <f aca="false">Sens!H2217-Sens!H2216*Sens!H2229</f>
        <v>43.7262635496428</v>
      </c>
      <c r="I2230" s="6" t="n">
        <f aca="false">Sens!I2217-Sens!I2216*Sens!I2229</f>
        <v>54.7541698336361</v>
      </c>
      <c r="J2230" s="6" t="n">
        <f aca="false">Sens!J2217-Sens!J2216*Sens!J2229</f>
        <v>62.3768819327659</v>
      </c>
      <c r="K2230" s="6" t="n">
        <f aca="false">Sens!K2217-Sens!K2216*Sens!K2229</f>
        <v>67.4820630434748</v>
      </c>
    </row>
    <row r="2231" customFormat="false" ht="17.15" hidden="false" customHeight="false" outlineLevel="0" collapsed="false">
      <c r="A2231" s="3" t="s">
        <v>1666</v>
      </c>
    </row>
    <row r="2232" customFormat="false" ht="15" hidden="false" customHeight="false" outlineLevel="0" collapsed="false">
      <c r="A2232" s="4" t="s">
        <v>43</v>
      </c>
      <c r="B2232" s="4" t="s">
        <v>65</v>
      </c>
      <c r="C2232" s="23" t="s">
        <v>942</v>
      </c>
      <c r="D2232" s="23" t="s">
        <v>943</v>
      </c>
      <c r="E2232" s="23" t="s">
        <v>944</v>
      </c>
      <c r="F2232" s="23" t="s">
        <v>945</v>
      </c>
      <c r="G2232" s="23" t="s">
        <v>946</v>
      </c>
      <c r="H2232" s="23" t="s">
        <v>947</v>
      </c>
      <c r="I2232" s="23" t="s">
        <v>948</v>
      </c>
      <c r="J2232" s="23" t="s">
        <v>949</v>
      </c>
      <c r="K2232" s="23" t="s">
        <v>950</v>
      </c>
      <c r="L2232" s="4" t="s">
        <v>47</v>
      </c>
    </row>
    <row r="2233" customFormat="false" ht="17.15" hidden="false" customHeight="false" outlineLevel="0" collapsed="false">
      <c r="A2233" s="0" t="s">
        <v>1025</v>
      </c>
      <c r="B2233" s="0" t="s">
        <v>98</v>
      </c>
      <c r="D2233" s="6" t="n">
        <f aca="false">Sens!D2211</f>
        <v>12.9359794422418</v>
      </c>
      <c r="E2233" s="6" t="n">
        <f aca="false">Sens!E2211</f>
        <v>27.8095064661409</v>
      </c>
      <c r="F2233" s="6" t="n">
        <f aca="false">Sens!F2211</f>
        <v>55.4118315060966</v>
      </c>
      <c r="G2233" s="6" t="n">
        <f aca="false">Sens!G2211</f>
        <v>91.2881100675143</v>
      </c>
      <c r="H2233" s="6" t="n">
        <f aca="false">Sens!H2211</f>
        <v>128.195273603944</v>
      </c>
      <c r="I2233" s="6" t="n">
        <f aca="false">Sens!I2211</f>
        <v>160.601281810405</v>
      </c>
      <c r="J2233" s="6" t="n">
        <f aca="false">Sens!J2211</f>
        <v>183.182719793589</v>
      </c>
      <c r="K2233" s="6" t="n">
        <f aca="false">Sens!K2211</f>
        <v>197.320124937098</v>
      </c>
    </row>
    <row r="2234" customFormat="false" ht="17.15" hidden="false" customHeight="false" outlineLevel="0" collapsed="false">
      <c r="A2234" s="0" t="s">
        <v>1026</v>
      </c>
      <c r="B2234" s="0" t="s">
        <v>98</v>
      </c>
      <c r="D2234" s="6" t="n">
        <f aca="false">Q!L6-Sens!D2233</f>
        <v>59.6740205577583</v>
      </c>
      <c r="E2234" s="6" t="n">
        <f aca="false">Q!M6-Sens!E2233</f>
        <v>74.1284935338591</v>
      </c>
      <c r="F2234" s="6" t="n">
        <f aca="false">Q!$I$6+(Sens!F2233+Sens!E2234*(1+Sens!F2235))*(1-Q!$E$6/Q!M6)-Sens!F2233</f>
        <v>91.2972164940844</v>
      </c>
      <c r="G2234" s="6" t="n">
        <f aca="false">Sens!F2234*(1+Sens!G2235)</f>
        <v>108.474719793879</v>
      </c>
      <c r="H2234" s="6" t="n">
        <f aca="false">Sens!G2234*(1+Sens!H2235)</f>
        <v>125.951292505701</v>
      </c>
      <c r="I2234" s="6" t="n">
        <f aca="false">Sens!H2234*(1+Sens!I2235)</f>
        <v>142.838165154212</v>
      </c>
      <c r="J2234" s="6" t="n">
        <f aca="false">Sens!I2234*(1+Sens!J2235)</f>
        <v>158.12717866615</v>
      </c>
      <c r="K2234" s="6" t="n">
        <f aca="false">Sens!J2234*(1+Sens!K2235)</f>
        <v>170.777352959442</v>
      </c>
      <c r="L2234" s="12" t="s">
        <v>1027</v>
      </c>
    </row>
    <row r="2235" customFormat="false" ht="15" hidden="false" customHeight="false" outlineLevel="0" collapsed="false">
      <c r="A2235" s="1" t="s">
        <v>1028</v>
      </c>
      <c r="B2235" s="0" t="s">
        <v>168</v>
      </c>
      <c r="E2235" s="7" t="n">
        <f aca="false">Sens!E2234/Sens!D2234-1</f>
        <v>0.242223883039864</v>
      </c>
      <c r="F2235" s="7" t="n">
        <f aca="false">Sens!$E$2235+(glt_azo-Sens!$E$2235)*MIN(1,(Sens!F2192-base_fy)/n_conv)</f>
        <v>0.215186569199887</v>
      </c>
      <c r="G2235" s="7" t="n">
        <f aca="false">Sens!$E$2235+(glt_azo-Sens!$E$2235)*MIN(1,(Sens!G2192-base_fy)/n_conv)</f>
        <v>0.18814925535991</v>
      </c>
      <c r="H2235" s="7" t="n">
        <f aca="false">Sens!$E$2235+(glt_azo-Sens!$E$2235)*MIN(1,(Sens!H2192-base_fy)/n_conv)</f>
        <v>0.161111941519932</v>
      </c>
      <c r="I2235" s="7" t="n">
        <f aca="false">Sens!$E$2235+(glt_azo-Sens!$E$2235)*MIN(1,(Sens!I2192-base_fy)/n_conv)</f>
        <v>0.134074627679955</v>
      </c>
      <c r="J2235" s="7" t="n">
        <f aca="false">Sens!$E$2235+(glt_azo-Sens!$E$2235)*MIN(1,(Sens!J2192-base_fy)/n_conv)</f>
        <v>0.107037313839977</v>
      </c>
      <c r="K2235" s="7" t="n">
        <f aca="false">Sens!$E$2235+(glt_azo-Sens!$E$2235)*MIN(1,(Sens!K2192-base_fy)/n_conv)</f>
        <v>0.08</v>
      </c>
    </row>
    <row r="2236" customFormat="false" ht="15" hidden="false" customHeight="false" outlineLevel="0" collapsed="false">
      <c r="A2236" s="0" t="s">
        <v>1029</v>
      </c>
      <c r="B2236" s="0" t="s">
        <v>98</v>
      </c>
      <c r="D2236" s="6" t="n">
        <f aca="false">Sens!D2233+Sens!D2234</f>
        <v>72.61</v>
      </c>
      <c r="E2236" s="6" t="n">
        <f aca="false">Sens!E2233+Sens!E2234</f>
        <v>101.938</v>
      </c>
      <c r="F2236" s="6" t="n">
        <f aca="false">Sens!F2233+Sens!F2234</f>
        <v>146.709048000181</v>
      </c>
      <c r="G2236" s="6" t="n">
        <f aca="false">Sens!G2233+Sens!G2234</f>
        <v>199.762829861393</v>
      </c>
      <c r="H2236" s="6" t="n">
        <f aca="false">Sens!H2233+Sens!H2234</f>
        <v>254.146566109645</v>
      </c>
      <c r="I2236" s="6" t="n">
        <f aca="false">Sens!I2233+Sens!I2234</f>
        <v>303.439446964617</v>
      </c>
      <c r="J2236" s="6" t="n">
        <f aca="false">Sens!J2233+Sens!J2234</f>
        <v>341.309898459739</v>
      </c>
      <c r="K2236" s="6" t="n">
        <f aca="false">Sens!K2233+Sens!K2234</f>
        <v>368.09747789654</v>
      </c>
    </row>
    <row r="2237" customFormat="false" ht="17.15" hidden="false" customHeight="false" outlineLevel="0" collapsed="false">
      <c r="A2237" s="0" t="s">
        <v>1030</v>
      </c>
      <c r="B2237" s="1" t="s">
        <v>613</v>
      </c>
      <c r="C2237" s="30" t="n">
        <f aca="false">cop_s24</f>
        <v>1</v>
      </c>
      <c r="D2237" s="30" t="n">
        <f aca="false">cop_s25</f>
        <v>5</v>
      </c>
      <c r="E2237" s="30" t="n">
        <f aca="false">cop_s26</f>
        <v>30</v>
      </c>
      <c r="F2237" s="30" t="n">
        <f aca="false">Sens!E2237+cop_add_B</f>
        <v>50</v>
      </c>
      <c r="G2237" s="30" t="n">
        <f aca="false">Sens!F2237+cop_add_B</f>
        <v>70</v>
      </c>
      <c r="H2237" s="30" t="n">
        <f aca="false">Sens!G2237+cop_add_B</f>
        <v>90</v>
      </c>
      <c r="I2237" s="30" t="n">
        <f aca="false">Sens!H2237+cop_add_B*cop_tail</f>
        <v>100</v>
      </c>
      <c r="J2237" s="30" t="n">
        <f aca="false">Sens!I2237+cop_add_B*cop_tail</f>
        <v>110</v>
      </c>
      <c r="K2237" s="30" t="n">
        <f aca="false">Sens!J2237+cop_add_B*cop_tail</f>
        <v>120</v>
      </c>
      <c r="L2237" s="12" t="s">
        <v>1031</v>
      </c>
    </row>
    <row r="2238" customFormat="false" ht="17.15" hidden="false" customHeight="false" outlineLevel="0" collapsed="false">
      <c r="A2238" s="0" t="s">
        <v>1032</v>
      </c>
      <c r="B2238" s="0" t="s">
        <v>98</v>
      </c>
      <c r="D2238" s="6" t="n">
        <f aca="false">(Sens!C2237+Sens!D2237)/2*cop_px*12/1000</f>
        <v>0.9</v>
      </c>
      <c r="E2238" s="6" t="n">
        <f aca="false">(Sens!D2237+Sens!E2237)/2*cop_px*12/1000</f>
        <v>5.25</v>
      </c>
      <c r="F2238" s="6" t="n">
        <f aca="false">(Sens!E2237+Sens!F2237)/2*cop_px*12/1000</f>
        <v>12</v>
      </c>
      <c r="G2238" s="6" t="n">
        <f aca="false">(Sens!F2237+Sens!G2237)/2*cop_px*12/1000</f>
        <v>18</v>
      </c>
      <c r="H2238" s="6" t="n">
        <f aca="false">(Sens!G2237+Sens!H2237)/2*cop_px*12/1000</f>
        <v>24</v>
      </c>
      <c r="I2238" s="6" t="n">
        <f aca="false">(Sens!H2237+Sens!I2237)/2*cop_px*12/1000</f>
        <v>28.5</v>
      </c>
      <c r="J2238" s="6" t="n">
        <f aca="false">(Sens!I2237+Sens!J2237)/2*cop_px*12/1000</f>
        <v>31.5</v>
      </c>
      <c r="K2238" s="6" t="n">
        <f aca="false">(Sens!J2237+Sens!K2237)/2*cop_px*12/1000</f>
        <v>34.5</v>
      </c>
      <c r="L2238" s="1" t="s">
        <v>1033</v>
      </c>
    </row>
    <row r="2239" customFormat="false" ht="17.15" hidden="false" customHeight="false" outlineLevel="0" collapsed="false">
      <c r="A2239" s="0" t="s">
        <v>1034</v>
      </c>
      <c r="B2239" s="0" t="s">
        <v>98</v>
      </c>
      <c r="D2239" s="6" t="n">
        <f aca="false">Q!L7-Sens!D2238</f>
        <v>83.705</v>
      </c>
      <c r="E2239" s="6" t="n">
        <f aca="false">Q!M7-Sens!E2238</f>
        <v>95.049</v>
      </c>
      <c r="F2239" s="6" t="n">
        <f aca="false">Q!$I$7+(Sens!E2239*(1+Sens!F2240)+Sens!F2238)*(1-Q!$E$7/Q!M7)-Sens!F2238</f>
        <v>106.584003697747</v>
      </c>
      <c r="G2239" s="6" t="n">
        <f aca="false">Sens!F2239*(1+Sens!G2240)</f>
        <v>118.700726545688</v>
      </c>
      <c r="H2239" s="6" t="n">
        <f aca="false">Sens!G2239*(1+Sens!H2240)</f>
        <v>130.898624783666</v>
      </c>
      <c r="I2239" s="6" t="n">
        <f aca="false">Sens!H2239*(1+Sens!I2240)</f>
        <v>142.920510030657</v>
      </c>
      <c r="J2239" s="6" t="n">
        <f aca="false">Sens!I2239*(1+Sens!J2240)</f>
        <v>154.485722618572</v>
      </c>
      <c r="K2239" s="6" t="n">
        <f aca="false">Sens!J2239*(1+Sens!K2240)</f>
        <v>165.299723201872</v>
      </c>
      <c r="L2239" s="12" t="s">
        <v>1035</v>
      </c>
    </row>
    <row r="2240" customFormat="false" ht="15" hidden="false" customHeight="false" outlineLevel="0" collapsed="false">
      <c r="A2240" s="1" t="s">
        <v>1028</v>
      </c>
      <c r="B2240" s="0" t="s">
        <v>168</v>
      </c>
      <c r="E2240" s="7" t="n">
        <f aca="false">Sens!E2239/Sens!D2239-1</f>
        <v>0.135523564900544</v>
      </c>
      <c r="F2240" s="7" t="n">
        <f aca="false">Sens!$E$2240+(glt_m365b-Sens!$E$2240)*MIN(1,(Sens!F2192-base_fy)/n_conv)</f>
        <v>0.124602970750453</v>
      </c>
      <c r="G2240" s="7" t="n">
        <f aca="false">Sens!$E$2240+(glt_m365b-Sens!$E$2240)*MIN(1,(Sens!G2192-base_fy)/n_conv)</f>
        <v>0.113682376600363</v>
      </c>
      <c r="H2240" s="7" t="n">
        <f aca="false">Sens!$E$2240+(glt_m365b-Sens!$E$2240)*MIN(1,(Sens!H2192-base_fy)/n_conv)</f>
        <v>0.102761782450272</v>
      </c>
      <c r="I2240" s="7" t="n">
        <f aca="false">Sens!$E$2240+(glt_m365b-Sens!$E$2240)*MIN(1,(Sens!I2192-base_fy)/n_conv)</f>
        <v>0.0918411883001813</v>
      </c>
      <c r="J2240" s="7" t="n">
        <f aca="false">Sens!$E$2240+(glt_m365b-Sens!$E$2240)*MIN(1,(Sens!J2192-base_fy)/n_conv)</f>
        <v>0.0809205941500906</v>
      </c>
      <c r="K2240" s="7" t="n">
        <f aca="false">Sens!$E$2240+(glt_m365b-Sens!$E$2240)*MIN(1,(Sens!K2192-base_fy)/n_conv)</f>
        <v>0.07</v>
      </c>
    </row>
    <row r="2241" customFormat="false" ht="15" hidden="false" customHeight="false" outlineLevel="0" collapsed="false">
      <c r="A2241" s="0" t="s">
        <v>1036</v>
      </c>
      <c r="B2241" s="0" t="s">
        <v>98</v>
      </c>
      <c r="D2241" s="6" t="n">
        <f aca="false">Sens!D2239+Sens!D2238</f>
        <v>84.605</v>
      </c>
      <c r="E2241" s="6" t="n">
        <f aca="false">Sens!E2239+Sens!E2238</f>
        <v>100.299</v>
      </c>
      <c r="F2241" s="6" t="n">
        <f aca="false">Sens!F2239+Sens!F2238</f>
        <v>118.584003697747</v>
      </c>
      <c r="G2241" s="6" t="n">
        <f aca="false">Sens!G2239+Sens!G2238</f>
        <v>136.700726545688</v>
      </c>
      <c r="H2241" s="6" t="n">
        <f aca="false">Sens!H2239+Sens!H2238</f>
        <v>154.898624783666</v>
      </c>
      <c r="I2241" s="6" t="n">
        <f aca="false">Sens!I2239+Sens!I2238</f>
        <v>171.420510030657</v>
      </c>
      <c r="J2241" s="6" t="n">
        <f aca="false">Sens!J2239+Sens!J2238</f>
        <v>185.985722618572</v>
      </c>
      <c r="K2241" s="6" t="n">
        <f aca="false">Sens!K2239+Sens!K2238</f>
        <v>199.799723201872</v>
      </c>
    </row>
    <row r="2242" customFormat="false" ht="17.15" hidden="false" customHeight="false" outlineLevel="0" collapsed="false">
      <c r="A2242" s="0" t="s">
        <v>1037</v>
      </c>
      <c r="B2242" s="0" t="s">
        <v>98</v>
      </c>
      <c r="D2242" s="6" t="n">
        <f aca="false">Q!L8</f>
        <v>35.391</v>
      </c>
      <c r="E2242" s="6" t="n">
        <f aca="false">Q!M8</f>
        <v>37.285</v>
      </c>
      <c r="F2242" s="6" t="n">
        <f aca="false">Q!$I$8+(Q!M8-Q!$E$8)*(1+Sens!F2243)</f>
        <v>38.3851437782675</v>
      </c>
      <c r="G2242" s="6" t="n">
        <f aca="false">Sens!F2242*(1+Sens!G2243)</f>
        <v>40.0105353288615</v>
      </c>
      <c r="H2242" s="6" t="n">
        <f aca="false">Sens!G2242*(1+Sens!H2243)</f>
        <v>41.4812512033683</v>
      </c>
      <c r="I2242" s="6" t="n">
        <f aca="false">Sens!H2242*(1+Sens!I2243)</f>
        <v>42.7743107216329</v>
      </c>
      <c r="J2242" s="6" t="n">
        <f aca="false">Sens!I2242*(1+Sens!J2243)</f>
        <v>43.8687373064601</v>
      </c>
      <c r="K2242" s="6" t="n">
        <f aca="false">Sens!J2242*(1+Sens!K2243)</f>
        <v>44.7461120525893</v>
      </c>
      <c r="L2242" s="12" t="s">
        <v>1038</v>
      </c>
    </row>
    <row r="2243" customFormat="false" ht="15" hidden="false" customHeight="false" outlineLevel="0" collapsed="false">
      <c r="A2243" s="1" t="s">
        <v>1028</v>
      </c>
      <c r="B2243" s="0" t="s">
        <v>168</v>
      </c>
      <c r="E2243" s="7" t="n">
        <f aca="false">Sens!E2242/Sens!D2242-1</f>
        <v>0.0535164307309768</v>
      </c>
      <c r="F2243" s="7" t="n">
        <f aca="false">Sens!$E$2243+(glt_lic-Sens!$E$2243)*MIN(1,(Sens!F2192-base_fy)/n_conv)</f>
        <v>0.0479303589424807</v>
      </c>
      <c r="G2243" s="7" t="n">
        <f aca="false">Sens!$E$2243+(glt_lic-Sens!$E$2243)*MIN(1,(Sens!G2192-base_fy)/n_conv)</f>
        <v>0.0423442871539845</v>
      </c>
      <c r="H2243" s="7" t="n">
        <f aca="false">Sens!$E$2243+(glt_lic-Sens!$E$2243)*MIN(1,(Sens!H2192-base_fy)/n_conv)</f>
        <v>0.0367582153654884</v>
      </c>
      <c r="I2243" s="7" t="n">
        <f aca="false">Sens!$E$2243+(glt_lic-Sens!$E$2243)*MIN(1,(Sens!I2192-base_fy)/n_conv)</f>
        <v>0.0311721435769923</v>
      </c>
      <c r="J2243" s="7" t="n">
        <f aca="false">Sens!$E$2243+(glt_lic-Sens!$E$2243)*MIN(1,(Sens!J2192-base_fy)/n_conv)</f>
        <v>0.0255860717884961</v>
      </c>
      <c r="K2243" s="7" t="n">
        <f aca="false">Sens!$E$2243+(glt_lic-Sens!$E$2243)*MIN(1,(Sens!K2192-base_fy)/n_conv)</f>
        <v>0.02</v>
      </c>
    </row>
    <row r="2244" customFormat="false" ht="17.15" hidden="false" customHeight="false" outlineLevel="0" collapsed="false">
      <c r="A2244" s="0" t="s">
        <v>1039</v>
      </c>
      <c r="B2244" s="0" t="s">
        <v>98</v>
      </c>
      <c r="D2244" s="6" t="n">
        <f aca="false">Q!L9</f>
        <v>18.417</v>
      </c>
      <c r="E2244" s="6" t="n">
        <f aca="false">Q!M9</f>
        <v>20.345</v>
      </c>
      <c r="F2244" s="6" t="n">
        <f aca="false">Q!$I$9+(Q!M9-Q!$E$9)*(1+Sens!F2245)</f>
        <v>22.3161797133988</v>
      </c>
      <c r="G2244" s="6" t="n">
        <f aca="false">Sens!F2244*(1+Sens!G2245)</f>
        <v>24.3943499673233</v>
      </c>
      <c r="H2244" s="6" t="n">
        <f aca="false">Sens!G2244*(1+Sens!H2245)</f>
        <v>26.5250243109019</v>
      </c>
      <c r="I2244" s="6" t="n">
        <f aca="false">Sens!H2244*(1+Sens!I2245)</f>
        <v>28.6884573538181</v>
      </c>
      <c r="J2244" s="6" t="n">
        <f aca="false">Sens!I2244*(1+Sens!J2245)</f>
        <v>30.8624968052127</v>
      </c>
      <c r="K2244" s="6" t="n">
        <f aca="false">Sens!J2244*(1+Sens!K2245)</f>
        <v>33.0228715815776</v>
      </c>
      <c r="L2244" s="12" t="s">
        <v>1038</v>
      </c>
    </row>
    <row r="2245" customFormat="false" ht="15" hidden="false" customHeight="false" outlineLevel="0" collapsed="false">
      <c r="A2245" s="1" t="s">
        <v>1028</v>
      </c>
      <c r="B2245" s="0" t="s">
        <v>168</v>
      </c>
      <c r="E2245" s="7" t="n">
        <f aca="false">Sens!E2244/Sens!D2244-1</f>
        <v>0.104685888038225</v>
      </c>
      <c r="F2245" s="7" t="n">
        <f aca="false">Sens!$E$2245+(glt_ind-Sens!$E$2245)*MIN(1,(Sens!F2192-base_fy)/n_conv)</f>
        <v>0.0989049066985211</v>
      </c>
      <c r="G2245" s="7" t="n">
        <f aca="false">Sens!$E$2245+(glt_ind-Sens!$E$2245)*MIN(1,(Sens!G2192-base_fy)/n_conv)</f>
        <v>0.0931239253588169</v>
      </c>
      <c r="H2245" s="7" t="n">
        <f aca="false">Sens!$E$2245+(glt_ind-Sens!$E$2245)*MIN(1,(Sens!H2192-base_fy)/n_conv)</f>
        <v>0.0873429440191127</v>
      </c>
      <c r="I2245" s="7" t="n">
        <f aca="false">Sens!$E$2245+(glt_ind-Sens!$E$2245)*MIN(1,(Sens!I2192-base_fy)/n_conv)</f>
        <v>0.0815619626794085</v>
      </c>
      <c r="J2245" s="7" t="n">
        <f aca="false">Sens!$E$2245+(glt_ind-Sens!$E$2245)*MIN(1,(Sens!J2192-base_fy)/n_conv)</f>
        <v>0.0757809813397042</v>
      </c>
      <c r="K2245" s="7" t="n">
        <f aca="false">Sens!$E$2245+(glt_ind-Sens!$E$2245)*MIN(1,(Sens!K2192-base_fy)/n_conv)</f>
        <v>0.07</v>
      </c>
    </row>
    <row r="2246" customFormat="false" ht="17.15" hidden="false" customHeight="false" outlineLevel="0" collapsed="false">
      <c r="A2246" s="0" t="s">
        <v>1040</v>
      </c>
      <c r="B2246" s="0" t="s">
        <v>98</v>
      </c>
      <c r="D2246" s="6" t="n">
        <f aca="false">Q!L10</f>
        <v>7.76</v>
      </c>
      <c r="E2246" s="6" t="n">
        <f aca="false">Q!M10</f>
        <v>8.26</v>
      </c>
      <c r="F2246" s="6" t="n">
        <f aca="false">Q!$I$10+(Q!M10-Q!$E$10)*(1+Sens!F2247)</f>
        <v>8.75372082474227</v>
      </c>
      <c r="G2246" s="6" t="n">
        <f aca="false">Sens!F2246*(1+Sens!G2247)</f>
        <v>9.33399324642364</v>
      </c>
      <c r="H2246" s="6" t="n">
        <f aca="false">Sens!G2246*(1+Sens!H2247)</f>
        <v>9.96139155535851</v>
      </c>
      <c r="I2246" s="6" t="n">
        <f aca="false">Sens!H2246*(1+Sens!I2247)</f>
        <v>10.6402039077391</v>
      </c>
      <c r="J2246" s="6" t="n">
        <f aca="false">Sens!I2246*(1+Sens!J2247)</f>
        <v>11.3751458271397</v>
      </c>
      <c r="K2246" s="6" t="n">
        <f aca="false">Sens!J2246*(1+Sens!K2247)</f>
        <v>12.1714060350394</v>
      </c>
      <c r="L2246" s="12" t="s">
        <v>1038</v>
      </c>
    </row>
    <row r="2247" customFormat="false" ht="15" hidden="false" customHeight="false" outlineLevel="0" collapsed="false">
      <c r="A2247" s="1" t="s">
        <v>1028</v>
      </c>
      <c r="B2247" s="0" t="s">
        <v>168</v>
      </c>
      <c r="E2247" s="7" t="n">
        <f aca="false">Sens!E2246/Sens!D2246-1</f>
        <v>0.0644329896907216</v>
      </c>
      <c r="F2247" s="7" t="n">
        <f aca="false">Sens!$E$2247+(glt_fro-Sens!$E$2247)*MIN(1,(Sens!F2192-base_fy)/n_conv)</f>
        <v>0.065360824742268</v>
      </c>
      <c r="G2247" s="7" t="n">
        <f aca="false">Sens!$E$2247+(glt_fro-Sens!$E$2247)*MIN(1,(Sens!G2192-base_fy)/n_conv)</f>
        <v>0.0662886597938144</v>
      </c>
      <c r="H2247" s="7" t="n">
        <f aca="false">Sens!$E$2247+(glt_fro-Sens!$E$2247)*MIN(1,(Sens!H2192-base_fy)/n_conv)</f>
        <v>0.0672164948453608</v>
      </c>
      <c r="I2247" s="7" t="n">
        <f aca="false">Sens!$E$2247+(glt_fro-Sens!$E$2247)*MIN(1,(Sens!I2192-base_fy)/n_conv)</f>
        <v>0.0681443298969072</v>
      </c>
      <c r="J2247" s="7" t="n">
        <f aca="false">Sens!$E$2247+(glt_fro-Sens!$E$2247)*MIN(1,(Sens!J2192-base_fy)/n_conv)</f>
        <v>0.0690721649484536</v>
      </c>
      <c r="K2247" s="7" t="n">
        <f aca="false">Sens!$E$2247+(glt_fro-Sens!$E$2247)*MIN(1,(Sens!K2192-base_fy)/n_conv)</f>
        <v>0.07</v>
      </c>
    </row>
    <row r="2248" customFormat="false" ht="15" hidden="false" customHeight="false" outlineLevel="0" collapsed="false">
      <c r="A2248" s="0" t="s">
        <v>856</v>
      </c>
      <c r="B2248" s="0" t="s">
        <v>98</v>
      </c>
      <c r="D2248" s="6" t="n">
        <f aca="false">Sens!D2236+Sens!D2241+Sens!D2242+Sens!D2244+Sens!D2246</f>
        <v>218.783</v>
      </c>
      <c r="E2248" s="6" t="n">
        <f aca="false">Sens!E2236+Sens!E2241+Sens!E2242+Sens!E2244+Sens!E2246</f>
        <v>268.127</v>
      </c>
      <c r="F2248" s="6" t="n">
        <f aca="false">Sens!F2236+Sens!F2241+Sens!F2242+Sens!F2244+Sens!F2246</f>
        <v>334.748096014336</v>
      </c>
      <c r="G2248" s="6" t="n">
        <f aca="false">Sens!G2236+Sens!G2241+Sens!G2242+Sens!G2244+Sens!G2246</f>
        <v>410.20243494969</v>
      </c>
      <c r="H2248" s="6" t="n">
        <f aca="false">Sens!H2236+Sens!H2241+Sens!H2242+Sens!H2244+Sens!H2246</f>
        <v>487.012857962939</v>
      </c>
      <c r="I2248" s="6" t="n">
        <f aca="false">Sens!I2236+Sens!I2241+Sens!I2242+Sens!I2244+Sens!I2246</f>
        <v>556.962928978464</v>
      </c>
      <c r="J2248" s="6" t="n">
        <f aca="false">Sens!J2236+Sens!J2241+Sens!J2242+Sens!J2244+Sens!J2246</f>
        <v>613.402001017124</v>
      </c>
      <c r="K2248" s="6" t="n">
        <f aca="false">Sens!K2236+Sens!K2241+Sens!K2242+Sens!K2244+Sens!K2246</f>
        <v>657.837590767618</v>
      </c>
    </row>
    <row r="2249" customFormat="false" ht="17.15" hidden="false" customHeight="false" outlineLevel="0" collapsed="false">
      <c r="A2249" s="0" t="s">
        <v>1041</v>
      </c>
      <c r="B2249" s="0" t="s">
        <v>98</v>
      </c>
      <c r="D2249" s="6" t="n">
        <f aca="false">Q!L13</f>
        <v>22.171</v>
      </c>
      <c r="E2249" s="6" t="n">
        <f aca="false">Q!M13</f>
        <v>24.835</v>
      </c>
      <c r="F2249" s="6" t="n">
        <f aca="false">Q!$I$13+(Q!M13-Q!$E$13)*(1+Sens!F2250)</f>
        <v>27.5591895660247</v>
      </c>
      <c r="G2249" s="6" t="n">
        <f aca="false">Sens!F2249*(1+Sens!G2250)</f>
        <v>30.4098563144583</v>
      </c>
      <c r="H2249" s="6" t="n">
        <f aca="false">Sens!G2249*(1+Sens!H2250)</f>
        <v>33.3011792571777</v>
      </c>
      <c r="I2249" s="6" t="n">
        <f aca="false">Sens!H2249*(1+Sens!I2250)</f>
        <v>36.189023797112</v>
      </c>
      <c r="J2249" s="6" t="n">
        <f aca="false">Sens!I2249*(1+Sens!J2250)</f>
        <v>39.0247773769199</v>
      </c>
      <c r="K2249" s="6" t="n">
        <f aca="false">Sens!J2249*(1+Sens!K2250)</f>
        <v>41.7565117933043</v>
      </c>
      <c r="L2249" s="12" t="s">
        <v>1038</v>
      </c>
    </row>
    <row r="2250" customFormat="false" ht="15" hidden="false" customHeight="false" outlineLevel="0" collapsed="false">
      <c r="A2250" s="1" t="s">
        <v>1028</v>
      </c>
      <c r="B2250" s="0" t="s">
        <v>168</v>
      </c>
      <c r="E2250" s="7" t="n">
        <f aca="false">Sens!E2249/Sens!D2249-1</f>
        <v>0.120156961796942</v>
      </c>
      <c r="F2250" s="7" t="n">
        <f aca="false">Sens!$E$2250+(glt_srch-Sens!$E$2250)*MIN(1,(Sens!F2192-base_fy)/n_conv)</f>
        <v>0.111797468164118</v>
      </c>
      <c r="G2250" s="7" t="n">
        <f aca="false">Sens!$E$2250+(glt_srch-Sens!$E$2250)*MIN(1,(Sens!G2192-base_fy)/n_conv)</f>
        <v>0.103437974531295</v>
      </c>
      <c r="H2250" s="7" t="n">
        <f aca="false">Sens!$E$2250+(glt_srch-Sens!$E$2250)*MIN(1,(Sens!H2192-base_fy)/n_conv)</f>
        <v>0.095078480898471</v>
      </c>
      <c r="I2250" s="7" t="n">
        <f aca="false">Sens!$E$2250+(glt_srch-Sens!$E$2250)*MIN(1,(Sens!I2192-base_fy)/n_conv)</f>
        <v>0.0867189872656474</v>
      </c>
      <c r="J2250" s="7" t="n">
        <f aca="false">Sens!$E$2250+(glt_srch-Sens!$E$2250)*MIN(1,(Sens!J2192-base_fy)/n_conv)</f>
        <v>0.0783594936328237</v>
      </c>
      <c r="K2250" s="7" t="n">
        <f aca="false">Sens!$E$2250+(glt_srch-Sens!$E$2250)*MIN(1,(Sens!K2192-base_fy)/n_conv)</f>
        <v>0.07</v>
      </c>
    </row>
    <row r="2251" customFormat="false" ht="17.15" hidden="false" customHeight="false" outlineLevel="0" collapsed="false">
      <c r="A2251" s="0" t="s">
        <v>1042</v>
      </c>
      <c r="B2251" s="0" t="s">
        <v>98</v>
      </c>
      <c r="D2251" s="6" t="n">
        <f aca="false">Q!L14</f>
        <v>23.455</v>
      </c>
      <c r="E2251" s="6" t="n">
        <f aca="false">Q!M14</f>
        <v>21.79</v>
      </c>
      <c r="F2251" s="6" t="n">
        <f aca="false">Q!$I$14+(Q!M14-Q!$E$14)*(1+Sens!F2252)</f>
        <v>20.7520981041711</v>
      </c>
      <c r="G2251" s="6" t="n">
        <f aca="false">Sens!F2251*(1+Sens!G2252)</f>
        <v>19.9083593495882</v>
      </c>
      <c r="H2251" s="6" t="n">
        <f aca="false">Sens!G2251*(1+Sens!H2252)</f>
        <v>19.4008256265831</v>
      </c>
      <c r="I2251" s="6" t="n">
        <f aca="false">Sens!H2251*(1+Sens!I2252)</f>
        <v>19.200434522122</v>
      </c>
      <c r="J2251" s="6" t="n">
        <f aca="false">Sens!I2251*(1+Sens!J2252)</f>
        <v>19.2932782348507</v>
      </c>
      <c r="K2251" s="6" t="n">
        <f aca="false">Sens!J2251*(1+Sens!K2252)</f>
        <v>19.6791437995477</v>
      </c>
      <c r="L2251" s="12" t="s">
        <v>1038</v>
      </c>
    </row>
    <row r="2252" customFormat="false" ht="15" hidden="false" customHeight="false" outlineLevel="0" collapsed="false">
      <c r="A2252" s="1" t="s">
        <v>1028</v>
      </c>
      <c r="B2252" s="0" t="s">
        <v>168</v>
      </c>
      <c r="E2252" s="7" t="n">
        <f aca="false">Sens!E2251/Sens!D2251-1</f>
        <v>-0.0709869963760392</v>
      </c>
      <c r="F2252" s="7" t="n">
        <f aca="false">Sens!$E$2252+(glt_xbox-Sens!$E$2252)*MIN(1,(Sens!F2192-base_fy)/n_conv)</f>
        <v>-0.0558224969800327</v>
      </c>
      <c r="G2252" s="7" t="n">
        <f aca="false">Sens!$E$2252+(glt_xbox-Sens!$E$2252)*MIN(1,(Sens!G2192-base_fy)/n_conv)</f>
        <v>-0.0406579975840262</v>
      </c>
      <c r="H2252" s="7" t="n">
        <f aca="false">Sens!$E$2252+(glt_xbox-Sens!$E$2252)*MIN(1,(Sens!H2192-base_fy)/n_conv)</f>
        <v>-0.0254934981880196</v>
      </c>
      <c r="I2252" s="7" t="n">
        <f aca="false">Sens!$E$2252+(glt_xbox-Sens!$E$2252)*MIN(1,(Sens!I2192-base_fy)/n_conv)</f>
        <v>-0.0103289987920131</v>
      </c>
      <c r="J2252" s="7" t="n">
        <f aca="false">Sens!$E$2252+(glt_xbox-Sens!$E$2252)*MIN(1,(Sens!J2192-base_fy)/n_conv)</f>
        <v>0.00483550060399347</v>
      </c>
      <c r="K2252" s="7" t="n">
        <f aca="false">Sens!$E$2252+(glt_xbox-Sens!$E$2252)*MIN(1,(Sens!K2192-base_fy)/n_conv)</f>
        <v>0.02</v>
      </c>
    </row>
    <row r="2253" customFormat="false" ht="17.15" hidden="false" customHeight="false" outlineLevel="0" collapsed="false">
      <c r="A2253" s="0" t="s">
        <v>1043</v>
      </c>
      <c r="B2253" s="0" t="s">
        <v>98</v>
      </c>
      <c r="D2253" s="6" t="n">
        <f aca="false">Q!L15</f>
        <v>17.315</v>
      </c>
      <c r="E2253" s="6" t="n">
        <f aca="false">Q!M15</f>
        <v>17.087</v>
      </c>
      <c r="F2253" s="6" t="n">
        <f aca="false">Q!$I$15+(Q!M15-Q!$E$15)*(1+Sens!F2254)</f>
        <v>15.9912273250553</v>
      </c>
      <c r="G2253" s="6" t="n">
        <f aca="false">Sens!F2253*(1+Sens!G2254)</f>
        <v>15.9574562664827</v>
      </c>
      <c r="H2253" s="6" t="n">
        <f aca="false">Sens!G2253*(1+Sens!H2254)</f>
        <v>16.0119687434196</v>
      </c>
      <c r="I2253" s="6" t="n">
        <f aca="false">Sens!H2253*(1+Sens!I2254)</f>
        <v>16.1551810001948</v>
      </c>
      <c r="J2253" s="6" t="n">
        <f aca="false">Sens!I2253*(1+Sens!J2254)</f>
        <v>16.3889793892005</v>
      </c>
      <c r="K2253" s="6" t="n">
        <f aca="false">Sens!J2253*(1+Sens!K2254)</f>
        <v>16.7167589769845</v>
      </c>
      <c r="L2253" s="12" t="s">
        <v>1038</v>
      </c>
    </row>
    <row r="2254" customFormat="false" ht="15" hidden="false" customHeight="false" outlineLevel="0" collapsed="false">
      <c r="A2254" s="1" t="s">
        <v>1028</v>
      </c>
      <c r="B2254" s="0" t="s">
        <v>168</v>
      </c>
      <c r="E2254" s="7" t="n">
        <f aca="false">Sens!E2253/Sens!D2253-1</f>
        <v>-0.0131677736066995</v>
      </c>
      <c r="F2254" s="7" t="n">
        <f aca="false">Sens!$E$2254+(glt_win-Sens!$E$2254)*MIN(1,(Sens!F2192-base_fy)/n_conv)</f>
        <v>-0.00763981133891627</v>
      </c>
      <c r="G2254" s="7" t="n">
        <f aca="false">Sens!$E$2254+(glt_win-Sens!$E$2254)*MIN(1,(Sens!G2192-base_fy)/n_conv)</f>
        <v>-0.00211184907113301</v>
      </c>
      <c r="H2254" s="7" t="n">
        <f aca="false">Sens!$E$2254+(glt_win-Sens!$E$2254)*MIN(1,(Sens!H2192-base_fy)/n_conv)</f>
        <v>0.00341611319665024</v>
      </c>
      <c r="I2254" s="7" t="n">
        <f aca="false">Sens!$E$2254+(glt_win-Sens!$E$2254)*MIN(1,(Sens!I2192-base_fy)/n_conv)</f>
        <v>0.00894407546443349</v>
      </c>
      <c r="J2254" s="7" t="n">
        <f aca="false">Sens!$E$2254+(glt_win-Sens!$E$2254)*MIN(1,(Sens!J2192-base_fy)/n_conv)</f>
        <v>0.0144720377322168</v>
      </c>
      <c r="K2254" s="7" t="n">
        <f aca="false">Sens!$E$2254+(glt_win-Sens!$E$2254)*MIN(1,(Sens!K2192-base_fy)/n_conv)</f>
        <v>0.02</v>
      </c>
    </row>
    <row r="2255" customFormat="false" ht="15" hidden="false" customHeight="false" outlineLevel="0" collapsed="false">
      <c r="A2255" s="0" t="s">
        <v>870</v>
      </c>
      <c r="B2255" s="0" t="s">
        <v>98</v>
      </c>
      <c r="D2255" s="6" t="n">
        <f aca="false">Sens!D2249+Sens!D2251+Sens!D2253</f>
        <v>62.941</v>
      </c>
      <c r="E2255" s="6" t="n">
        <f aca="false">Sens!E2249+Sens!E2251+Sens!E2253</f>
        <v>63.712</v>
      </c>
      <c r="F2255" s="6" t="n">
        <f aca="false">Sens!F2249+Sens!F2251+Sens!F2253</f>
        <v>64.3025149952511</v>
      </c>
      <c r="G2255" s="6" t="n">
        <f aca="false">Sens!G2249+Sens!G2251+Sens!G2253</f>
        <v>66.2756719305292</v>
      </c>
      <c r="H2255" s="6" t="n">
        <f aca="false">Sens!H2249+Sens!H2251+Sens!H2253</f>
        <v>68.7139736271804</v>
      </c>
      <c r="I2255" s="6" t="n">
        <f aca="false">Sens!I2249+Sens!I2251+Sens!I2253</f>
        <v>71.5446393194289</v>
      </c>
      <c r="J2255" s="6" t="n">
        <f aca="false">Sens!J2249+Sens!J2251+Sens!J2253</f>
        <v>74.707035000971</v>
      </c>
      <c r="K2255" s="6" t="n">
        <f aca="false">Sens!K2249+Sens!K2251+Sens!K2253</f>
        <v>78.1524145698365</v>
      </c>
    </row>
    <row r="2256" customFormat="false" ht="15" hidden="false" customHeight="false" outlineLevel="0" collapsed="false">
      <c r="A2256" s="1" t="s">
        <v>1044</v>
      </c>
      <c r="B2256" s="0" t="s">
        <v>98</v>
      </c>
      <c r="D2256" s="6" t="n">
        <f aca="false">Sens!D2248+Sens!D2255</f>
        <v>281.724</v>
      </c>
      <c r="E2256" s="6" t="n">
        <f aca="false">Sens!E2248+Sens!E2255</f>
        <v>331.839</v>
      </c>
      <c r="F2256" s="6" t="n">
        <f aca="false">Sens!F2248+Sens!F2255</f>
        <v>399.050611009588</v>
      </c>
      <c r="G2256" s="6" t="n">
        <f aca="false">Sens!G2248+Sens!G2255</f>
        <v>476.478106880219</v>
      </c>
      <c r="H2256" s="6" t="n">
        <f aca="false">Sens!H2248+Sens!H2255</f>
        <v>555.72683159012</v>
      </c>
      <c r="I2256" s="6" t="n">
        <f aca="false">Sens!I2248+Sens!I2255</f>
        <v>628.507568297893</v>
      </c>
      <c r="J2256" s="6" t="n">
        <f aca="false">Sens!J2248+Sens!J2255</f>
        <v>688.109036018095</v>
      </c>
      <c r="K2256" s="6" t="n">
        <f aca="false">Sens!K2248+Sens!K2255</f>
        <v>735.990005337455</v>
      </c>
    </row>
    <row r="2257" customFormat="false" ht="15" hidden="false" customHeight="false" outlineLevel="0" collapsed="false">
      <c r="A2257" s="26" t="s">
        <v>1045</v>
      </c>
      <c r="B2257" s="31" t="s">
        <v>98</v>
      </c>
      <c r="C2257" s="31"/>
      <c r="D2257" s="27" t="n">
        <f aca="false">(Sens!D2236+Sens!D2241+Sens!D2242+Sens!D2244+Sens!D2246-Sens!D2248)+(Sens!D2249+Sens!D2251+Sens!D2253-Sens!D2255)+(Sens!D2248-Q!L5)+(Sens!D2255-Q!L12)+(Sens!D2236-Q!L6)+(Sens!D2241-Q!L7)</f>
        <v>0</v>
      </c>
      <c r="E2257" s="27" t="n">
        <f aca="false">(Sens!E2236+Sens!E2241+Sens!E2242+Sens!E2244+Sens!E2246-Sens!E2248)+(Sens!E2249+Sens!E2251+Sens!E2253-Sens!E2255)+(Sens!E2248-Q!M5)+(Sens!E2255-Q!M12)+(Sens!E2236-Q!M6)+(Sens!E2241-Q!M7)</f>
        <v>0</v>
      </c>
      <c r="F2257" s="27" t="n">
        <f aca="false">(Sens!F2236+Sens!F2241+Sens!F2242+Sens!F2244+Sens!F2246-Sens!F2248)+(Sens!F2249+Sens!F2251+Sens!F2253-Sens!F2255)</f>
        <v>0</v>
      </c>
      <c r="G2257" s="27" t="n">
        <f aca="false">(Sens!G2236+Sens!G2241+Sens!G2242+Sens!G2244+Sens!G2246-Sens!G2248)+(Sens!G2249+Sens!G2251+Sens!G2253-Sens!G2255)</f>
        <v>0</v>
      </c>
      <c r="H2257" s="27" t="n">
        <f aca="false">(Sens!H2236+Sens!H2241+Sens!H2242+Sens!H2244+Sens!H2246-Sens!H2248)+(Sens!H2249+Sens!H2251+Sens!H2253-Sens!H2255)</f>
        <v>0</v>
      </c>
      <c r="I2257" s="27" t="n">
        <f aca="false">(Sens!I2236+Sens!I2241+Sens!I2242+Sens!I2244+Sens!I2246-Sens!I2248)+(Sens!I2249+Sens!I2251+Sens!I2253-Sens!I2255)</f>
        <v>0</v>
      </c>
      <c r="J2257" s="27" t="n">
        <f aca="false">(Sens!J2236+Sens!J2241+Sens!J2242+Sens!J2244+Sens!J2246-Sens!J2248)+(Sens!J2249+Sens!J2251+Sens!J2253-Sens!J2255)</f>
        <v>0</v>
      </c>
      <c r="K2257" s="27" t="n">
        <f aca="false">(Sens!K2236+Sens!K2241+Sens!K2242+Sens!K2244+Sens!K2246-Sens!K2248)+(Sens!K2249+Sens!K2251+Sens!K2253-Sens!K2255)</f>
        <v>0</v>
      </c>
    </row>
    <row r="2258" customFormat="false" ht="17.15" hidden="false" customHeight="false" outlineLevel="0" collapsed="false">
      <c r="A2258" s="3" t="s">
        <v>1667</v>
      </c>
    </row>
    <row r="2259" customFormat="false" ht="15" hidden="false" customHeight="false" outlineLevel="0" collapsed="false">
      <c r="A2259" s="4" t="s">
        <v>43</v>
      </c>
      <c r="B2259" s="4" t="s">
        <v>65</v>
      </c>
      <c r="C2259" s="23" t="s">
        <v>942</v>
      </c>
      <c r="D2259" s="23" t="s">
        <v>943</v>
      </c>
      <c r="E2259" s="23" t="s">
        <v>944</v>
      </c>
      <c r="F2259" s="23" t="s">
        <v>945</v>
      </c>
      <c r="G2259" s="23" t="s">
        <v>946</v>
      </c>
      <c r="H2259" s="23" t="s">
        <v>947</v>
      </c>
      <c r="I2259" s="23" t="s">
        <v>948</v>
      </c>
      <c r="J2259" s="23" t="s">
        <v>949</v>
      </c>
      <c r="K2259" s="23" t="s">
        <v>950</v>
      </c>
      <c r="L2259" s="4" t="s">
        <v>47</v>
      </c>
    </row>
    <row r="2260" customFormat="false" ht="15" hidden="false" customHeight="false" outlineLevel="0" collapsed="false">
      <c r="A2260" s="0" t="s">
        <v>1029</v>
      </c>
      <c r="B2260" s="0" t="s">
        <v>98</v>
      </c>
      <c r="D2260" s="6" t="n">
        <f aca="false">Sens!D2236</f>
        <v>72.61</v>
      </c>
      <c r="E2260" s="6" t="n">
        <f aca="false">Sens!E2236</f>
        <v>101.938</v>
      </c>
      <c r="F2260" s="6" t="n">
        <f aca="false">Sens!F2236</f>
        <v>146.709048000181</v>
      </c>
      <c r="G2260" s="6" t="n">
        <f aca="false">Sens!G2236</f>
        <v>199.762829861393</v>
      </c>
      <c r="H2260" s="6" t="n">
        <f aca="false">Sens!H2236</f>
        <v>254.146566109645</v>
      </c>
      <c r="I2260" s="6" t="n">
        <f aca="false">Sens!I2236</f>
        <v>303.439446964617</v>
      </c>
      <c r="J2260" s="6" t="n">
        <f aca="false">Sens!J2236</f>
        <v>341.309898459739</v>
      </c>
      <c r="K2260" s="6" t="n">
        <f aca="false">Sens!K2236</f>
        <v>368.09747789654</v>
      </c>
    </row>
    <row r="2261" customFormat="false" ht="17.15" hidden="false" customHeight="false" outlineLevel="0" collapsed="false">
      <c r="A2261" s="0" t="s">
        <v>1025</v>
      </c>
      <c r="B2261" s="0" t="s">
        <v>98</v>
      </c>
      <c r="D2261" s="6" t="n">
        <f aca="false">Sens!D2233</f>
        <v>12.9359794422418</v>
      </c>
      <c r="E2261" s="6" t="n">
        <f aca="false">Sens!E2233</f>
        <v>27.8095064661409</v>
      </c>
      <c r="F2261" s="6" t="n">
        <f aca="false">Sens!F2233</f>
        <v>55.4118315060966</v>
      </c>
      <c r="G2261" s="6" t="n">
        <f aca="false">Sens!G2233</f>
        <v>91.2881100675143</v>
      </c>
      <c r="H2261" s="6" t="n">
        <f aca="false">Sens!H2233</f>
        <v>128.195273603944</v>
      </c>
      <c r="I2261" s="6" t="n">
        <f aca="false">Sens!I2233</f>
        <v>160.601281810405</v>
      </c>
      <c r="J2261" s="6" t="n">
        <f aca="false">Sens!J2233</f>
        <v>183.182719793589</v>
      </c>
      <c r="K2261" s="6" t="n">
        <f aca="false">Sens!K2233</f>
        <v>197.320124937098</v>
      </c>
    </row>
    <row r="2262" customFormat="false" ht="17.15" hidden="false" customHeight="false" outlineLevel="0" collapsed="false">
      <c r="A2262" s="0" t="s">
        <v>1056</v>
      </c>
      <c r="B2262" s="0" t="s">
        <v>98</v>
      </c>
      <c r="D2262" s="6" t="n">
        <f aca="false">Sens!D2234</f>
        <v>59.6740205577583</v>
      </c>
      <c r="E2262" s="6" t="n">
        <f aca="false">Sens!E2234</f>
        <v>74.1284935338591</v>
      </c>
      <c r="F2262" s="6" t="n">
        <f aca="false">Sens!F2234</f>
        <v>91.2972164940844</v>
      </c>
      <c r="G2262" s="6" t="n">
        <f aca="false">Sens!G2234</f>
        <v>108.474719793879</v>
      </c>
      <c r="H2262" s="6" t="n">
        <f aca="false">Sens!H2234</f>
        <v>125.951292505701</v>
      </c>
      <c r="I2262" s="6" t="n">
        <f aca="false">Sens!I2234</f>
        <v>142.838165154212</v>
      </c>
      <c r="J2262" s="6" t="n">
        <f aca="false">Sens!J2234</f>
        <v>158.12717866615</v>
      </c>
      <c r="K2262" s="6" t="n">
        <f aca="false">Sens!K2234</f>
        <v>170.777352959442</v>
      </c>
    </row>
    <row r="2263" customFormat="false" ht="15" hidden="false" customHeight="false" outlineLevel="0" collapsed="false">
      <c r="A2263" s="0" t="s">
        <v>1036</v>
      </c>
      <c r="B2263" s="0" t="s">
        <v>98</v>
      </c>
      <c r="D2263" s="6" t="n">
        <f aca="false">Sens!D2241</f>
        <v>84.605</v>
      </c>
      <c r="E2263" s="6" t="n">
        <f aca="false">Sens!E2241</f>
        <v>100.299</v>
      </c>
      <c r="F2263" s="6" t="n">
        <f aca="false">Sens!F2241</f>
        <v>118.584003697747</v>
      </c>
      <c r="G2263" s="6" t="n">
        <f aca="false">Sens!G2241</f>
        <v>136.700726545688</v>
      </c>
      <c r="H2263" s="6" t="n">
        <f aca="false">Sens!H2241</f>
        <v>154.898624783666</v>
      </c>
      <c r="I2263" s="6" t="n">
        <f aca="false">Sens!I2241</f>
        <v>171.420510030657</v>
      </c>
      <c r="J2263" s="6" t="n">
        <f aca="false">Sens!J2241</f>
        <v>185.985722618572</v>
      </c>
      <c r="K2263" s="6" t="n">
        <f aca="false">Sens!K2241</f>
        <v>199.799723201872</v>
      </c>
    </row>
    <row r="2264" customFormat="false" ht="17.15" hidden="false" customHeight="false" outlineLevel="0" collapsed="false">
      <c r="A2264" s="0" t="s">
        <v>1057</v>
      </c>
      <c r="B2264" s="0" t="s">
        <v>98</v>
      </c>
      <c r="D2264" s="6" t="n">
        <f aca="false">Sens!D2239</f>
        <v>83.705</v>
      </c>
      <c r="E2264" s="6" t="n">
        <f aca="false">Sens!E2239</f>
        <v>95.049</v>
      </c>
      <c r="F2264" s="6" t="n">
        <f aca="false">Sens!F2239</f>
        <v>106.584003697747</v>
      </c>
      <c r="G2264" s="6" t="n">
        <f aca="false">Sens!G2239</f>
        <v>118.700726545688</v>
      </c>
      <c r="H2264" s="6" t="n">
        <f aca="false">Sens!H2239</f>
        <v>130.898624783666</v>
      </c>
      <c r="I2264" s="6" t="n">
        <f aca="false">Sens!I2239</f>
        <v>142.920510030657</v>
      </c>
      <c r="J2264" s="6" t="n">
        <f aca="false">Sens!J2239</f>
        <v>154.485722618572</v>
      </c>
      <c r="K2264" s="6" t="n">
        <f aca="false">Sens!K2239</f>
        <v>165.299723201872</v>
      </c>
    </row>
    <row r="2265" customFormat="false" ht="17.15" hidden="false" customHeight="false" outlineLevel="0" collapsed="false">
      <c r="A2265" s="0" t="s">
        <v>1058</v>
      </c>
      <c r="B2265" s="0" t="s">
        <v>98</v>
      </c>
      <c r="D2265" s="6" t="n">
        <f aca="false">Sens!D2238</f>
        <v>0.9</v>
      </c>
      <c r="E2265" s="6" t="n">
        <f aca="false">Sens!E2238</f>
        <v>5.25</v>
      </c>
      <c r="F2265" s="6" t="n">
        <f aca="false">Sens!F2238</f>
        <v>12</v>
      </c>
      <c r="G2265" s="6" t="n">
        <f aca="false">Sens!G2238</f>
        <v>18</v>
      </c>
      <c r="H2265" s="6" t="n">
        <f aca="false">Sens!H2238</f>
        <v>24</v>
      </c>
      <c r="I2265" s="6" t="n">
        <f aca="false">Sens!I2238</f>
        <v>28.5</v>
      </c>
      <c r="J2265" s="6" t="n">
        <f aca="false">Sens!J2238</f>
        <v>31.5</v>
      </c>
      <c r="K2265" s="6" t="n">
        <f aca="false">Sens!K2238</f>
        <v>34.5</v>
      </c>
    </row>
    <row r="2266" customFormat="false" ht="15" hidden="false" customHeight="false" outlineLevel="0" collapsed="false">
      <c r="A2266" s="0" t="s">
        <v>1037</v>
      </c>
      <c r="B2266" s="0" t="s">
        <v>98</v>
      </c>
      <c r="D2266" s="6" t="n">
        <f aca="false">Sens!D2242</f>
        <v>35.391</v>
      </c>
      <c r="E2266" s="6" t="n">
        <f aca="false">Sens!E2242</f>
        <v>37.285</v>
      </c>
      <c r="F2266" s="6" t="n">
        <f aca="false">Sens!F2242</f>
        <v>38.3851437782675</v>
      </c>
      <c r="G2266" s="6" t="n">
        <f aca="false">Sens!G2242</f>
        <v>40.0105353288615</v>
      </c>
      <c r="H2266" s="6" t="n">
        <f aca="false">Sens!H2242</f>
        <v>41.4812512033683</v>
      </c>
      <c r="I2266" s="6" t="n">
        <f aca="false">Sens!I2242</f>
        <v>42.7743107216329</v>
      </c>
      <c r="J2266" s="6" t="n">
        <f aca="false">Sens!J2242</f>
        <v>43.8687373064601</v>
      </c>
      <c r="K2266" s="6" t="n">
        <f aca="false">Sens!K2242</f>
        <v>44.7461120525893</v>
      </c>
    </row>
    <row r="2267" customFormat="false" ht="15" hidden="false" customHeight="false" outlineLevel="0" collapsed="false">
      <c r="A2267" s="0" t="s">
        <v>1039</v>
      </c>
      <c r="B2267" s="0" t="s">
        <v>98</v>
      </c>
      <c r="D2267" s="6" t="n">
        <f aca="false">Sens!D2244</f>
        <v>18.417</v>
      </c>
      <c r="E2267" s="6" t="n">
        <f aca="false">Sens!E2244</f>
        <v>20.345</v>
      </c>
      <c r="F2267" s="6" t="n">
        <f aca="false">Sens!F2244</f>
        <v>22.3161797133988</v>
      </c>
      <c r="G2267" s="6" t="n">
        <f aca="false">Sens!G2244</f>
        <v>24.3943499673233</v>
      </c>
      <c r="H2267" s="6" t="n">
        <f aca="false">Sens!H2244</f>
        <v>26.5250243109019</v>
      </c>
      <c r="I2267" s="6" t="n">
        <f aca="false">Sens!I2244</f>
        <v>28.6884573538181</v>
      </c>
      <c r="J2267" s="6" t="n">
        <f aca="false">Sens!J2244</f>
        <v>30.8624968052127</v>
      </c>
      <c r="K2267" s="6" t="n">
        <f aca="false">Sens!K2244</f>
        <v>33.0228715815776</v>
      </c>
    </row>
    <row r="2268" customFormat="false" ht="15" hidden="false" customHeight="false" outlineLevel="0" collapsed="false">
      <c r="A2268" s="0" t="s">
        <v>1040</v>
      </c>
      <c r="B2268" s="0" t="s">
        <v>98</v>
      </c>
      <c r="D2268" s="6" t="n">
        <f aca="false">Sens!D2246</f>
        <v>7.76</v>
      </c>
      <c r="E2268" s="6" t="n">
        <f aca="false">Sens!E2246</f>
        <v>8.26</v>
      </c>
      <c r="F2268" s="6" t="n">
        <f aca="false">Sens!F2246</f>
        <v>8.75372082474227</v>
      </c>
      <c r="G2268" s="6" t="n">
        <f aca="false">Sens!G2246</f>
        <v>9.33399324642364</v>
      </c>
      <c r="H2268" s="6" t="n">
        <f aca="false">Sens!H2246</f>
        <v>9.96139155535851</v>
      </c>
      <c r="I2268" s="6" t="n">
        <f aca="false">Sens!I2246</f>
        <v>10.6402039077391</v>
      </c>
      <c r="J2268" s="6" t="n">
        <f aca="false">Sens!J2246</f>
        <v>11.3751458271397</v>
      </c>
      <c r="K2268" s="6" t="n">
        <f aca="false">Sens!K2246</f>
        <v>12.1714060350394</v>
      </c>
    </row>
    <row r="2269" customFormat="false" ht="15" hidden="false" customHeight="false" outlineLevel="0" collapsed="false">
      <c r="A2269" s="0" t="s">
        <v>856</v>
      </c>
      <c r="B2269" s="0" t="s">
        <v>98</v>
      </c>
      <c r="D2269" s="6" t="n">
        <f aca="false">Sens!D2248</f>
        <v>218.783</v>
      </c>
      <c r="E2269" s="6" t="n">
        <f aca="false">Sens!E2248</f>
        <v>268.127</v>
      </c>
      <c r="F2269" s="6" t="n">
        <f aca="false">Sens!F2248</f>
        <v>334.748096014336</v>
      </c>
      <c r="G2269" s="6" t="n">
        <f aca="false">Sens!G2248</f>
        <v>410.20243494969</v>
      </c>
      <c r="H2269" s="6" t="n">
        <f aca="false">Sens!H2248</f>
        <v>487.012857962939</v>
      </c>
      <c r="I2269" s="6" t="n">
        <f aca="false">Sens!I2248</f>
        <v>556.962928978464</v>
      </c>
      <c r="J2269" s="6" t="n">
        <f aca="false">Sens!J2248</f>
        <v>613.402001017124</v>
      </c>
      <c r="K2269" s="6" t="n">
        <f aca="false">Sens!K2248</f>
        <v>657.837590767618</v>
      </c>
    </row>
    <row r="2270" customFormat="false" ht="15" hidden="false" customHeight="false" outlineLevel="0" collapsed="false">
      <c r="A2270" s="0" t="s">
        <v>1041</v>
      </c>
      <c r="B2270" s="0" t="s">
        <v>98</v>
      </c>
      <c r="D2270" s="6" t="n">
        <f aca="false">Sens!D2249</f>
        <v>22.171</v>
      </c>
      <c r="E2270" s="6" t="n">
        <f aca="false">Sens!E2249</f>
        <v>24.835</v>
      </c>
      <c r="F2270" s="6" t="n">
        <f aca="false">Sens!F2249</f>
        <v>27.5591895660247</v>
      </c>
      <c r="G2270" s="6" t="n">
        <f aca="false">Sens!G2249</f>
        <v>30.4098563144583</v>
      </c>
      <c r="H2270" s="6" t="n">
        <f aca="false">Sens!H2249</f>
        <v>33.3011792571777</v>
      </c>
      <c r="I2270" s="6" t="n">
        <f aca="false">Sens!I2249</f>
        <v>36.189023797112</v>
      </c>
      <c r="J2270" s="6" t="n">
        <f aca="false">Sens!J2249</f>
        <v>39.0247773769199</v>
      </c>
      <c r="K2270" s="6" t="n">
        <f aca="false">Sens!K2249</f>
        <v>41.7565117933043</v>
      </c>
    </row>
    <row r="2271" customFormat="false" ht="15" hidden="false" customHeight="false" outlineLevel="0" collapsed="false">
      <c r="A2271" s="0" t="s">
        <v>1042</v>
      </c>
      <c r="B2271" s="0" t="s">
        <v>98</v>
      </c>
      <c r="D2271" s="6" t="n">
        <f aca="false">Sens!D2251</f>
        <v>23.455</v>
      </c>
      <c r="E2271" s="6" t="n">
        <f aca="false">Sens!E2251</f>
        <v>21.79</v>
      </c>
      <c r="F2271" s="6" t="n">
        <f aca="false">Sens!F2251</f>
        <v>20.7520981041711</v>
      </c>
      <c r="G2271" s="6" t="n">
        <f aca="false">Sens!G2251</f>
        <v>19.9083593495882</v>
      </c>
      <c r="H2271" s="6" t="n">
        <f aca="false">Sens!H2251</f>
        <v>19.4008256265831</v>
      </c>
      <c r="I2271" s="6" t="n">
        <f aca="false">Sens!I2251</f>
        <v>19.200434522122</v>
      </c>
      <c r="J2271" s="6" t="n">
        <f aca="false">Sens!J2251</f>
        <v>19.2932782348507</v>
      </c>
      <c r="K2271" s="6" t="n">
        <f aca="false">Sens!K2251</f>
        <v>19.6791437995477</v>
      </c>
    </row>
    <row r="2272" customFormat="false" ht="15" hidden="false" customHeight="false" outlineLevel="0" collapsed="false">
      <c r="A2272" s="0" t="s">
        <v>1043</v>
      </c>
      <c r="B2272" s="0" t="s">
        <v>98</v>
      </c>
      <c r="D2272" s="6" t="n">
        <f aca="false">Sens!D2253</f>
        <v>17.315</v>
      </c>
      <c r="E2272" s="6" t="n">
        <f aca="false">Sens!E2253</f>
        <v>17.087</v>
      </c>
      <c r="F2272" s="6" t="n">
        <f aca="false">Sens!F2253</f>
        <v>15.9912273250553</v>
      </c>
      <c r="G2272" s="6" t="n">
        <f aca="false">Sens!G2253</f>
        <v>15.9574562664827</v>
      </c>
      <c r="H2272" s="6" t="n">
        <f aca="false">Sens!H2253</f>
        <v>16.0119687434196</v>
      </c>
      <c r="I2272" s="6" t="n">
        <f aca="false">Sens!I2253</f>
        <v>16.1551810001948</v>
      </c>
      <c r="J2272" s="6" t="n">
        <f aca="false">Sens!J2253</f>
        <v>16.3889793892005</v>
      </c>
      <c r="K2272" s="6" t="n">
        <f aca="false">Sens!K2253</f>
        <v>16.7167589769845</v>
      </c>
    </row>
    <row r="2273" customFormat="false" ht="15" hidden="false" customHeight="false" outlineLevel="0" collapsed="false">
      <c r="A2273" s="0" t="s">
        <v>870</v>
      </c>
      <c r="B2273" s="0" t="s">
        <v>98</v>
      </c>
      <c r="D2273" s="6" t="n">
        <f aca="false">Sens!D2255</f>
        <v>62.941</v>
      </c>
      <c r="E2273" s="6" t="n">
        <f aca="false">Sens!E2255</f>
        <v>63.712</v>
      </c>
      <c r="F2273" s="6" t="n">
        <f aca="false">Sens!F2255</f>
        <v>64.3025149952511</v>
      </c>
      <c r="G2273" s="6" t="n">
        <f aca="false">Sens!G2255</f>
        <v>66.2756719305292</v>
      </c>
      <c r="H2273" s="6" t="n">
        <f aca="false">Sens!H2255</f>
        <v>68.7139736271804</v>
      </c>
      <c r="I2273" s="6" t="n">
        <f aca="false">Sens!I2255</f>
        <v>71.5446393194289</v>
      </c>
      <c r="J2273" s="6" t="n">
        <f aca="false">Sens!J2255</f>
        <v>74.707035000971</v>
      </c>
      <c r="K2273" s="6" t="n">
        <f aca="false">Sens!K2255</f>
        <v>78.1524145698365</v>
      </c>
    </row>
    <row r="2274" customFormat="false" ht="15" hidden="false" customHeight="false" outlineLevel="0" collapsed="false">
      <c r="A2274" s="1" t="s">
        <v>1059</v>
      </c>
      <c r="B2274" s="0" t="s">
        <v>98</v>
      </c>
      <c r="D2274" s="6" t="n">
        <f aca="false">Sens!D2256</f>
        <v>281.724</v>
      </c>
      <c r="E2274" s="6" t="n">
        <f aca="false">Sens!E2256</f>
        <v>331.839</v>
      </c>
      <c r="F2274" s="6" t="n">
        <f aca="false">Sens!F2256</f>
        <v>399.050611009588</v>
      </c>
      <c r="G2274" s="6" t="n">
        <f aca="false">Sens!G2256</f>
        <v>476.478106880219</v>
      </c>
      <c r="H2274" s="6" t="n">
        <f aca="false">Sens!H2256</f>
        <v>555.72683159012</v>
      </c>
      <c r="I2274" s="6" t="n">
        <f aca="false">Sens!I2256</f>
        <v>628.507568297893</v>
      </c>
      <c r="J2274" s="6" t="n">
        <f aca="false">Sens!J2256</f>
        <v>688.109036018095</v>
      </c>
      <c r="K2274" s="6" t="n">
        <f aca="false">Sens!K2256</f>
        <v>735.990005337455</v>
      </c>
    </row>
    <row r="2275" customFormat="false" ht="15" hidden="false" customHeight="false" outlineLevel="0" collapsed="false">
      <c r="A2275" s="1" t="s">
        <v>1060</v>
      </c>
      <c r="B2275" s="0" t="s">
        <v>168</v>
      </c>
      <c r="E2275" s="7" t="n">
        <f aca="false">Sens!E2274/Sens!D2274-1</f>
        <v>0.177886867998467</v>
      </c>
      <c r="F2275" s="7" t="n">
        <f aca="false">Sens!F2274/Sens!E2274-1</f>
        <v>0.202542832547071</v>
      </c>
      <c r="G2275" s="7" t="n">
        <f aca="false">Sens!G2274/Sens!F2274-1</f>
        <v>0.194029262791359</v>
      </c>
      <c r="H2275" s="7" t="n">
        <f aca="false">Sens!H2274/Sens!G2274-1</f>
        <v>0.166321859421387</v>
      </c>
      <c r="I2275" s="7" t="n">
        <f aca="false">Sens!I2274/Sens!H2274-1</f>
        <v>0.13096494999085</v>
      </c>
      <c r="J2275" s="7" t="n">
        <f aca="false">Sens!J2274/Sens!I2274-1</f>
        <v>0.0948301511811749</v>
      </c>
      <c r="K2275" s="7" t="n">
        <f aca="false">Sens!K2274/Sens!J2274-1</f>
        <v>0.0695834043924704</v>
      </c>
    </row>
    <row r="2276" customFormat="false" ht="17.15" hidden="false" customHeight="false" outlineLevel="0" collapsed="false">
      <c r="A2276" s="26" t="s">
        <v>1061</v>
      </c>
      <c r="B2276" s="31" t="s">
        <v>98</v>
      </c>
      <c r="C2276" s="31"/>
      <c r="D2276" s="27" t="n">
        <f aca="false">(Sens!D2269+Sens!D2273-Sens!D2274)+(Sens!D2261+Sens!D2262-Sens!D2260)+(Sens!D2264+Sens!D2265-Sens!D2263)+(Sens!D2274-Q!L18)</f>
        <v>0</v>
      </c>
      <c r="E2276" s="27" t="n">
        <f aca="false">(Sens!E2269+Sens!E2273-Sens!E2274)+(Sens!E2261+Sens!E2262-Sens!E2260)+(Sens!E2264+Sens!E2265-Sens!E2263)+(Sens!E2274-Q!M18)</f>
        <v>0</v>
      </c>
      <c r="F2276" s="27" t="n">
        <f aca="false">(Sens!F2269+Sens!F2273-Sens!F2274)+(Sens!F2261+Sens!F2262-Sens!F2260)+(Sens!F2264+Sens!F2265-Sens!F2263)</f>
        <v>0</v>
      </c>
      <c r="G2276" s="27" t="n">
        <f aca="false">(Sens!G2269+Sens!G2273-Sens!G2274)+(Sens!G2261+Sens!G2262-Sens!G2260)+(Sens!G2264+Sens!G2265-Sens!G2263)</f>
        <v>0</v>
      </c>
      <c r="H2276" s="27" t="n">
        <f aca="false">(Sens!H2269+Sens!H2273-Sens!H2274)+(Sens!H2261+Sens!H2262-Sens!H2260)+(Sens!H2264+Sens!H2265-Sens!H2263)</f>
        <v>0</v>
      </c>
      <c r="I2276" s="27" t="n">
        <f aca="false">(Sens!I2269+Sens!I2273-Sens!I2274)+(Sens!I2261+Sens!I2262-Sens!I2260)+(Sens!I2264+Sens!I2265-Sens!I2263)</f>
        <v>0</v>
      </c>
      <c r="J2276" s="27" t="n">
        <f aca="false">(Sens!J2269+Sens!J2273-Sens!J2274)+(Sens!J2261+Sens!J2262-Sens!J2260)+(Sens!J2264+Sens!J2265-Sens!J2263)</f>
        <v>0</v>
      </c>
      <c r="K2276" s="27" t="n">
        <f aca="false">(Sens!K2269+Sens!K2273-Sens!K2274)+(Sens!K2261+Sens!K2262-Sens!K2260)+(Sens!K2264+Sens!K2265-Sens!K2263)</f>
        <v>0</v>
      </c>
    </row>
    <row r="2277" customFormat="false" ht="17.15" hidden="false" customHeight="false" outlineLevel="0" collapsed="false">
      <c r="A2277" s="0" t="s">
        <v>1062</v>
      </c>
      <c r="B2277" s="0" t="s">
        <v>168</v>
      </c>
      <c r="E2277" s="7" t="n">
        <f aca="false">(Q!M21+Sens!E2213+Sens!E2214+Sens!E2215+Sens!E2229-Sens!E2211)/(Q!M5-Sens!E2211)</f>
        <v>0.591291114837517</v>
      </c>
      <c r="F2277" s="7" t="n">
        <f aca="false">Sens!$E$2277+dm_seg</f>
        <v>0.591291114837517</v>
      </c>
      <c r="G2277" s="7" t="n">
        <f aca="false">Sens!$E$2277+dm_seg</f>
        <v>0.591291114837517</v>
      </c>
      <c r="H2277" s="7" t="n">
        <f aca="false">Sens!$E$2277+dm_seg</f>
        <v>0.591291114837517</v>
      </c>
      <c r="I2277" s="7" t="n">
        <f aca="false">Sens!$E$2277+dm_seg</f>
        <v>0.591291114837517</v>
      </c>
      <c r="J2277" s="7" t="n">
        <f aca="false">Sens!$E$2277+dm_seg</f>
        <v>0.591291114837517</v>
      </c>
      <c r="K2277" s="7" t="n">
        <f aca="false">Sens!$E$2277+dm_seg</f>
        <v>0.591291114837517</v>
      </c>
      <c r="L2277" s="12" t="s">
        <v>1063</v>
      </c>
    </row>
    <row r="2278" customFormat="false" ht="17.15" hidden="false" customHeight="false" outlineLevel="0" collapsed="false">
      <c r="A2278" s="0" t="s">
        <v>884</v>
      </c>
      <c r="B2278" s="0" t="s">
        <v>98</v>
      </c>
      <c r="D2278" s="6" t="n">
        <f aca="false">Q!L21</f>
        <v>110.814</v>
      </c>
      <c r="E2278" s="6" t="n">
        <f aca="false">Q!M21</f>
        <v>136.365</v>
      </c>
      <c r="F2278" s="6" t="n">
        <f aca="false">Q!$I$21+(Sens!F2277*(Sens!F2248-Sens!F2211)+Sens!F2211-(Sens!F2213+Sens!F2214+Sens!F2215)-Sens!F2229-Sens!F2312)*(Sens!F2248-Q!$I$5)/Sens!F2248</f>
        <v>158.547812809862</v>
      </c>
      <c r="G2278" s="6" t="n">
        <f aca="false">(Sens!G2277*(Sens!G2248-Sens!G2211)+Sens!G2211-(Sens!G2213+Sens!G2214+Sens!G2215)-Sens!G2229-Sens!G2312)</f>
        <v>166.2366649215</v>
      </c>
      <c r="H2278" s="6" t="n">
        <f aca="false">(Sens!H2277*(Sens!H2248-Sens!H2211)+Sens!H2211-(Sens!H2213+Sens!H2214+Sens!H2215)-Sens!H2229-Sens!H2312)</f>
        <v>178.143742974277</v>
      </c>
      <c r="I2278" s="6" t="n">
        <f aca="false">(Sens!I2277*(Sens!I2248-Sens!I2211)+Sens!I2211-(Sens!I2213+Sens!I2214+Sens!I2215)-Sens!I2229-Sens!I2312)</f>
        <v>189.993018089704</v>
      </c>
      <c r="J2278" s="6" t="n">
        <f aca="false">(Sens!J2277*(Sens!J2248-Sens!J2211)+Sens!J2211-(Sens!J2213+Sens!J2214+Sens!J2215)-Sens!J2229-Sens!J2312)</f>
        <v>202.676722491201</v>
      </c>
      <c r="K2278" s="6" t="n">
        <f aca="false">(Sens!K2277*(Sens!K2248-Sens!K2211)+Sens!K2211-(Sens!K2213+Sens!K2214+Sens!K2215)-Sens!K2229-Sens!K2312)</f>
        <v>216.664726922928</v>
      </c>
      <c r="L2278" s="1" t="s">
        <v>1064</v>
      </c>
    </row>
    <row r="2279" customFormat="false" ht="17.15" hidden="false" customHeight="false" outlineLevel="0" collapsed="false">
      <c r="A2279" s="0" t="s">
        <v>1065</v>
      </c>
      <c r="B2279" s="0" t="s">
        <v>168</v>
      </c>
      <c r="E2279" s="7" t="n">
        <f aca="false">Q!M22/Q!M12</f>
        <v>0.296207935710698</v>
      </c>
      <c r="F2279" s="7" t="n">
        <f aca="false">Sens!$E$2279+dm_seg</f>
        <v>0.296207935710698</v>
      </c>
      <c r="G2279" s="7" t="n">
        <f aca="false">Sens!$E$2279+dm_seg</f>
        <v>0.296207935710698</v>
      </c>
      <c r="H2279" s="7" t="n">
        <f aca="false">Sens!$E$2279+dm_seg</f>
        <v>0.296207935710698</v>
      </c>
      <c r="I2279" s="7" t="n">
        <f aca="false">Sens!$E$2279+dm_seg</f>
        <v>0.296207935710698</v>
      </c>
      <c r="J2279" s="7" t="n">
        <f aca="false">Sens!$E$2279+dm_seg</f>
        <v>0.296207935710698</v>
      </c>
      <c r="K2279" s="7" t="n">
        <f aca="false">Sens!$E$2279+dm_seg</f>
        <v>0.296207935710698</v>
      </c>
      <c r="L2279" s="12" t="s">
        <v>1066</v>
      </c>
    </row>
    <row r="2280" customFormat="false" ht="17.15" hidden="false" customHeight="false" outlineLevel="0" collapsed="false">
      <c r="A2280" s="0" t="s">
        <v>886</v>
      </c>
      <c r="B2280" s="0" t="s">
        <v>98</v>
      </c>
      <c r="D2280" s="6" t="n">
        <f aca="false">Q!L22</f>
        <v>17.714</v>
      </c>
      <c r="E2280" s="6" t="n">
        <f aca="false">Q!M22</f>
        <v>18.872</v>
      </c>
      <c r="F2280" s="6" t="n">
        <f aca="false">Q!$I$22+(Sens!F2255-Q!$I$12)*Sens!F2279</f>
        <v>19.8174315512051</v>
      </c>
      <c r="G2280" s="6" t="n">
        <f aca="false">Sens!G2255*Sens!G2279</f>
        <v>19.6313799703815</v>
      </c>
      <c r="H2280" s="6" t="n">
        <f aca="false">Sens!H2255*Sens!H2279</f>
        <v>20.3536242825865</v>
      </c>
      <c r="I2280" s="6" t="n">
        <f aca="false">Sens!I2255*Sens!I2279</f>
        <v>21.1920899239745</v>
      </c>
      <c r="J2280" s="6" t="n">
        <f aca="false">Sens!J2255*Sens!J2279</f>
        <v>22.1288166207045</v>
      </c>
      <c r="K2280" s="6" t="n">
        <f aca="false">Sens!K2255*Sens!K2279</f>
        <v>23.1493653905379</v>
      </c>
      <c r="L2280" s="12" t="s">
        <v>1067</v>
      </c>
    </row>
    <row r="2281" customFormat="false" ht="15" hidden="false" customHeight="false" outlineLevel="0" collapsed="false">
      <c r="A2281" s="1" t="s">
        <v>1068</v>
      </c>
      <c r="B2281" s="0" t="s">
        <v>98</v>
      </c>
      <c r="D2281" s="6" t="n">
        <f aca="false">Sens!D2278+Sens!D2280</f>
        <v>128.528</v>
      </c>
      <c r="E2281" s="6" t="n">
        <f aca="false">Sens!E2278+Sens!E2280</f>
        <v>155.237</v>
      </c>
      <c r="F2281" s="6" t="n">
        <f aca="false">Sens!F2278+Sens!F2280</f>
        <v>178.365244361067</v>
      </c>
      <c r="G2281" s="6" t="n">
        <f aca="false">Sens!G2278+Sens!G2280</f>
        <v>185.868044891882</v>
      </c>
      <c r="H2281" s="6" t="n">
        <f aca="false">Sens!H2278+Sens!H2280</f>
        <v>198.497367256863</v>
      </c>
      <c r="I2281" s="6" t="n">
        <f aca="false">Sens!I2278+Sens!I2280</f>
        <v>211.185108013678</v>
      </c>
      <c r="J2281" s="6" t="n">
        <f aca="false">Sens!J2278+Sens!J2280</f>
        <v>224.805539111906</v>
      </c>
      <c r="K2281" s="6" t="n">
        <f aca="false">Sens!K2278+Sens!K2280</f>
        <v>239.814092313466</v>
      </c>
    </row>
    <row r="2282" customFormat="false" ht="15" hidden="false" customHeight="false" outlineLevel="0" collapsed="false">
      <c r="A2282" s="26" t="s">
        <v>1069</v>
      </c>
      <c r="B2282" s="31" t="s">
        <v>98</v>
      </c>
      <c r="C2282" s="31"/>
      <c r="D2282" s="27" t="n">
        <f aca="false">Sens!D2281-Q!L23</f>
        <v>0</v>
      </c>
      <c r="E2282" s="27" t="n">
        <f aca="false">Sens!E2281-Q!M23</f>
        <v>0</v>
      </c>
      <c r="F2282" s="31"/>
      <c r="G2282" s="31"/>
      <c r="H2282" s="31"/>
      <c r="I2282" s="31"/>
      <c r="J2282" s="31"/>
      <c r="K2282" s="31"/>
    </row>
    <row r="2283" customFormat="false" ht="15" hidden="false" customHeight="false" outlineLevel="0" collapsed="false">
      <c r="A2283" s="1" t="s">
        <v>1070</v>
      </c>
      <c r="B2283" s="0" t="s">
        <v>168</v>
      </c>
      <c r="D2283" s="7" t="n">
        <f aca="false">Sens!D2281/Sens!D2274</f>
        <v>0.456219562408598</v>
      </c>
      <c r="E2283" s="7" t="n">
        <f aca="false">Sens!E2281/Sens!E2274</f>
        <v>0.467808184089272</v>
      </c>
      <c r="F2283" s="7" t="n">
        <f aca="false">Sens!F2281/Sens!F2274</f>
        <v>0.446973991368684</v>
      </c>
      <c r="G2283" s="7" t="n">
        <f aca="false">Sens!G2281/Sens!G2274</f>
        <v>0.390087272023616</v>
      </c>
      <c r="H2283" s="7" t="n">
        <f aca="false">Sens!H2281/Sens!H2274</f>
        <v>0.357185142003845</v>
      </c>
      <c r="I2283" s="7" t="n">
        <f aca="false">Sens!I2281/Sens!I2274</f>
        <v>0.336010445483742</v>
      </c>
      <c r="J2283" s="7" t="n">
        <f aca="false">Sens!J2281/Sens!J2274</f>
        <v>0.326700460747901</v>
      </c>
      <c r="K2283" s="7" t="n">
        <f aca="false">Sens!K2281/Sens!K2274</f>
        <v>0.325838789350828</v>
      </c>
    </row>
    <row r="2284" customFormat="false" ht="17.15" hidden="false" customHeight="false" outlineLevel="0" collapsed="false">
      <c r="A2284" s="1" t="s">
        <v>1071</v>
      </c>
      <c r="B2284" s="0" t="s">
        <v>98</v>
      </c>
      <c r="F2284" s="6" t="n">
        <f aca="false">Sens!F2299</f>
        <v>16.3994923099344</v>
      </c>
      <c r="G2284" s="6" t="n">
        <f aca="false">Sens!G2299</f>
        <v>41.2936055153386</v>
      </c>
      <c r="H2284" s="6" t="n">
        <f aca="false">Sens!H2299</f>
        <v>68.3975051449408</v>
      </c>
      <c r="I2284" s="6" t="n">
        <f aca="false">Sens!I2299</f>
        <v>92.7220346542799</v>
      </c>
      <c r="J2284" s="6" t="n">
        <f aca="false">Sens!J2299</f>
        <v>109.684332062578</v>
      </c>
      <c r="K2284" s="6" t="n">
        <f aca="false">Sens!K2299</f>
        <v>119.295244902275</v>
      </c>
      <c r="L2284" s="1" t="s">
        <v>1072</v>
      </c>
    </row>
    <row r="2285" customFormat="false" ht="17.15" hidden="false" customHeight="false" outlineLevel="0" collapsed="false">
      <c r="A2285" s="1" t="s">
        <v>1073</v>
      </c>
      <c r="B2285" s="0" t="s">
        <v>98</v>
      </c>
      <c r="D2285" s="6" t="n">
        <f aca="false">Sens!D2281</f>
        <v>128.528</v>
      </c>
      <c r="E2285" s="6" t="n">
        <f aca="false">Sens!E2281</f>
        <v>155.237</v>
      </c>
      <c r="F2285" s="6" t="n">
        <f aca="false">Sens!F2281+Sens!F2284</f>
        <v>194.764736671002</v>
      </c>
      <c r="G2285" s="6" t="n">
        <f aca="false">Sens!G2281+Sens!G2284</f>
        <v>227.16165040722</v>
      </c>
      <c r="H2285" s="6" t="n">
        <f aca="false">Sens!H2281+Sens!H2284</f>
        <v>266.894872401804</v>
      </c>
      <c r="I2285" s="6" t="n">
        <f aca="false">Sens!I2281+Sens!I2284</f>
        <v>303.907142667958</v>
      </c>
      <c r="J2285" s="6" t="n">
        <f aca="false">Sens!J2281+Sens!J2284</f>
        <v>334.489871174484</v>
      </c>
      <c r="K2285" s="6" t="n">
        <f aca="false">Sens!K2281+Sens!K2284</f>
        <v>359.109337215741</v>
      </c>
    </row>
    <row r="2286" customFormat="false" ht="17.15" hidden="false" customHeight="false" outlineLevel="0" collapsed="false">
      <c r="A2286" s="1" t="s">
        <v>1074</v>
      </c>
      <c r="B2286" s="0" t="s">
        <v>98</v>
      </c>
      <c r="E2286" s="6" t="n">
        <f aca="false">Sens!E2229</f>
        <v>19.5664871725</v>
      </c>
      <c r="F2286" s="6" t="n">
        <f aca="false">Sens!F2229</f>
        <v>41.495177374022</v>
      </c>
      <c r="G2286" s="6" t="n">
        <f aca="false">Sens!G2229</f>
        <v>72.8813887827587</v>
      </c>
      <c r="H2286" s="6" t="n">
        <f aca="false">Sens!H2229</f>
        <v>106.920108793735</v>
      </c>
      <c r="I2286" s="6" t="n">
        <f aca="false">Sens!I2229</f>
        <v>137.077211633458</v>
      </c>
      <c r="J2286" s="6" t="n">
        <f aca="false">Sens!J2229</f>
        <v>158.418807659515</v>
      </c>
      <c r="K2286" s="6" t="n">
        <f aca="false">Sens!K2229</f>
        <v>171.615203461121</v>
      </c>
    </row>
    <row r="2287" customFormat="false" ht="17.15" hidden="false" customHeight="false" outlineLevel="0" collapsed="false">
      <c r="A2287" s="1" t="s">
        <v>1075</v>
      </c>
      <c r="B2287" s="0" t="s">
        <v>98</v>
      </c>
      <c r="E2287" s="6" t="n">
        <f aca="false">Sens!E2311</f>
        <v>18.9675128275</v>
      </c>
      <c r="F2287" s="6" t="n">
        <f aca="false">Sens!F2311</f>
        <v>20.6453691946723</v>
      </c>
      <c r="G2287" s="6" t="n">
        <f aca="false">Sens!G2311</f>
        <v>22.7168730206298</v>
      </c>
      <c r="H2287" s="6" t="n">
        <f aca="false">Sens!H2311</f>
        <v>25.151240215423</v>
      </c>
      <c r="I2287" s="6" t="n">
        <f aca="false">Sens!I2311</f>
        <v>27.8848555619664</v>
      </c>
      <c r="J2287" s="6" t="n">
        <f aca="false">Sens!J2311</f>
        <v>30.8369414849407</v>
      </c>
      <c r="K2287" s="6" t="n">
        <f aca="false">Sens!K2311</f>
        <v>33.9254950425185</v>
      </c>
    </row>
    <row r="2288" customFormat="false" ht="17.15" hidden="false" customHeight="false" outlineLevel="0" collapsed="false">
      <c r="A2288" s="1" t="s">
        <v>1076</v>
      </c>
      <c r="B2288" s="0" t="s">
        <v>98</v>
      </c>
      <c r="D2288" s="6" t="n">
        <f aca="false">Q!L27</f>
        <v>-4.901</v>
      </c>
      <c r="E2288" s="6" t="n">
        <f aca="false">Q!M27</f>
        <v>10.697</v>
      </c>
      <c r="F2288" s="6" t="n">
        <f aca="false">Q!$I$27+oie_f*(q_per_yr-1)/q_per_yr</f>
        <v>-0.862</v>
      </c>
      <c r="G2288" s="6" t="n">
        <f aca="false">oie_f</f>
        <v>-1.2</v>
      </c>
      <c r="H2288" s="6" t="n">
        <f aca="false">oie_f</f>
        <v>-1.2</v>
      </c>
      <c r="I2288" s="6" t="n">
        <f aca="false">oie_f</f>
        <v>-1.2</v>
      </c>
      <c r="J2288" s="6" t="n">
        <f aca="false">oie_f</f>
        <v>-1.2</v>
      </c>
      <c r="K2288" s="6" t="n">
        <f aca="false">oie_f</f>
        <v>-1.2</v>
      </c>
      <c r="L2288" s="12" t="s">
        <v>1077</v>
      </c>
    </row>
    <row r="2289" customFormat="false" ht="15" hidden="false" customHeight="false" outlineLevel="0" collapsed="false">
      <c r="A2289" s="1" t="s">
        <v>1078</v>
      </c>
      <c r="B2289" s="0" t="s">
        <v>98</v>
      </c>
      <c r="D2289" s="6" t="n">
        <f aca="false">Sens!D2281+Sens!D2288</f>
        <v>123.627</v>
      </c>
      <c r="E2289" s="6" t="n">
        <f aca="false">Sens!E2281+Sens!E2288</f>
        <v>165.934</v>
      </c>
      <c r="F2289" s="6" t="n">
        <f aca="false">Sens!F2281+Sens!F2288</f>
        <v>177.503244361067</v>
      </c>
      <c r="G2289" s="6" t="n">
        <f aca="false">Sens!G2281+Sens!G2288</f>
        <v>184.668044891882</v>
      </c>
      <c r="H2289" s="6" t="n">
        <f aca="false">Sens!H2281+Sens!H2288</f>
        <v>197.297367256863</v>
      </c>
      <c r="I2289" s="6" t="n">
        <f aca="false">Sens!I2281+Sens!I2288</f>
        <v>209.985108013678</v>
      </c>
      <c r="J2289" s="6" t="n">
        <f aca="false">Sens!J2281+Sens!J2288</f>
        <v>223.605539111906</v>
      </c>
      <c r="K2289" s="6" t="n">
        <f aca="false">Sens!K2281+Sens!K2288</f>
        <v>238.614092313466</v>
      </c>
    </row>
    <row r="2290" customFormat="false" ht="15" hidden="false" customHeight="false" outlineLevel="0" collapsed="false">
      <c r="A2290" s="1" t="s">
        <v>1079</v>
      </c>
      <c r="B2290" s="0" t="s">
        <v>98</v>
      </c>
      <c r="D2290" s="6" t="n">
        <f aca="false">Q!L29</f>
        <v>21.795</v>
      </c>
      <c r="E2290" s="6" t="n">
        <f aca="false">Q!M29</f>
        <v>32.185</v>
      </c>
      <c r="F2290" s="6" t="n">
        <f aca="false">Q!$I$29+(Sens!F2289-Q!$I$28)*tax_f</f>
        <v>35.6340488722135</v>
      </c>
      <c r="G2290" s="6" t="n">
        <f aca="false">Sens!G2289*tax_f</f>
        <v>36.9336089783763</v>
      </c>
      <c r="H2290" s="6" t="n">
        <f aca="false">Sens!H2289*tax_f</f>
        <v>39.4594734513727</v>
      </c>
      <c r="I2290" s="6" t="n">
        <f aca="false">Sens!I2289*tax_f</f>
        <v>41.9970216027356</v>
      </c>
      <c r="J2290" s="6" t="n">
        <f aca="false">Sens!J2289*tax_f</f>
        <v>44.7211078223812</v>
      </c>
      <c r="K2290" s="6" t="n">
        <f aca="false">Sens!K2289*tax_f</f>
        <v>47.7228184626932</v>
      </c>
    </row>
    <row r="2291" customFormat="false" ht="15" hidden="false" customHeight="false" outlineLevel="0" collapsed="false">
      <c r="A2291" s="1" t="s">
        <v>1080</v>
      </c>
      <c r="B2291" s="0" t="s">
        <v>98</v>
      </c>
      <c r="D2291" s="6" t="n">
        <f aca="false">Sens!D2289-Sens!D2290</f>
        <v>101.832</v>
      </c>
      <c r="E2291" s="6" t="n">
        <f aca="false">Sens!E2289-Sens!E2290</f>
        <v>133.749</v>
      </c>
      <c r="F2291" s="6" t="n">
        <f aca="false">Sens!F2289-Sens!F2290</f>
        <v>141.869195488854</v>
      </c>
      <c r="G2291" s="6" t="n">
        <f aca="false">Sens!G2289-Sens!G2290</f>
        <v>147.734435913505</v>
      </c>
      <c r="H2291" s="6" t="n">
        <f aca="false">Sens!H2289-Sens!H2290</f>
        <v>157.837893805491</v>
      </c>
      <c r="I2291" s="6" t="n">
        <f aca="false">Sens!I2289-Sens!I2290</f>
        <v>167.988086410942</v>
      </c>
      <c r="J2291" s="6" t="n">
        <f aca="false">Sens!J2289-Sens!J2290</f>
        <v>178.884431289525</v>
      </c>
      <c r="K2291" s="6" t="n">
        <f aca="false">Sens!K2289-Sens!K2290</f>
        <v>190.891273850773</v>
      </c>
    </row>
    <row r="2292" customFormat="false" ht="17.15" hidden="false" customHeight="false" outlineLevel="0" collapsed="false">
      <c r="A2292" s="1" t="s">
        <v>1081</v>
      </c>
      <c r="B2292" s="1" t="s">
        <v>81</v>
      </c>
      <c r="D2292" s="15" t="n">
        <f aca="false">Q!L31</f>
        <v>7.465</v>
      </c>
      <c r="E2292" s="15" t="n">
        <f aca="false">Q!M31</f>
        <v>7.453</v>
      </c>
      <c r="F2292" s="15" t="n">
        <f aca="false">Sens!F2336</f>
        <v>7.4735</v>
      </c>
      <c r="G2292" s="15" t="n">
        <f aca="false">Sens!G2336</f>
        <v>7.5185</v>
      </c>
      <c r="H2292" s="15" t="n">
        <f aca="false">Sens!H2336</f>
        <v>7.5635</v>
      </c>
      <c r="I2292" s="15" t="n">
        <f aca="false">Sens!I2336</f>
        <v>7.59248142502667</v>
      </c>
      <c r="J2292" s="15" t="n">
        <f aca="false">Sens!J2336</f>
        <v>7.60663083618914</v>
      </c>
      <c r="K2292" s="15" t="n">
        <f aca="false">Sens!K2336</f>
        <v>7.62306547615439</v>
      </c>
    </row>
    <row r="2293" customFormat="false" ht="17.15" hidden="false" customHeight="false" outlineLevel="0" collapsed="false">
      <c r="A2293" s="0" t="s">
        <v>1082</v>
      </c>
      <c r="B2293" s="0" t="s">
        <v>75</v>
      </c>
      <c r="D2293" s="8" t="n">
        <f aca="false">Sens!D2291/Sens!D2292</f>
        <v>13.641259209645</v>
      </c>
      <c r="E2293" s="8" t="n">
        <f aca="false">Sens!E2291/Sens!E2292</f>
        <v>17.9456594659869</v>
      </c>
      <c r="F2293" s="8" t="n">
        <f aca="false">Sens!F2291/Sens!F2292</f>
        <v>18.9829658779493</v>
      </c>
      <c r="G2293" s="8" t="n">
        <f aca="false">Sens!G2291/Sens!G2292</f>
        <v>19.6494561300133</v>
      </c>
      <c r="H2293" s="8" t="n">
        <f aca="false">Sens!H2291/Sens!H2292</f>
        <v>20.868367000131</v>
      </c>
      <c r="I2293" s="8" t="n">
        <f aca="false">Sens!I2291/Sens!I2292</f>
        <v>22.1255841149921</v>
      </c>
      <c r="J2293" s="8" t="n">
        <f aca="false">Sens!J2291/Sens!J2292</f>
        <v>23.5169071750489</v>
      </c>
      <c r="K2293" s="8" t="n">
        <f aca="false">Sens!K2291/Sens!K2292</f>
        <v>25.0412743335207</v>
      </c>
      <c r="L2293" s="1" t="s">
        <v>1083</v>
      </c>
    </row>
    <row r="2294" customFormat="false" ht="17.15" hidden="false" customHeight="false" outlineLevel="0" collapsed="false">
      <c r="A2294" s="1" t="s">
        <v>1084</v>
      </c>
      <c r="B2294" s="0" t="s">
        <v>98</v>
      </c>
      <c r="D2294" s="6" t="n">
        <f aca="false">Sens!D2291</f>
        <v>101.832</v>
      </c>
      <c r="E2294" s="6" t="n">
        <f aca="false">Sens!E2291</f>
        <v>133.749</v>
      </c>
      <c r="F2294" s="6" t="n">
        <f aca="false">Sens!F2291+Sens!F2284*(1-tax_f)</f>
        <v>154.988789336801</v>
      </c>
      <c r="G2294" s="6" t="n">
        <f aca="false">Sens!G2291+Sens!G2284*(1-tax_f)</f>
        <v>180.769320325776</v>
      </c>
      <c r="H2294" s="6" t="n">
        <f aca="false">Sens!H2291+Sens!H2284*(1-tax_f)</f>
        <v>212.555897921443</v>
      </c>
      <c r="I2294" s="6" t="n">
        <f aca="false">Sens!I2291+Sens!I2284*(1-tax_f)</f>
        <v>242.165714134366</v>
      </c>
      <c r="J2294" s="6" t="n">
        <f aca="false">Sens!J2291+Sens!J2284*(1-tax_f)</f>
        <v>266.631896939587</v>
      </c>
      <c r="K2294" s="6" t="n">
        <f aca="false">Sens!K2291+Sens!K2284*(1-tax_f)</f>
        <v>286.327469772593</v>
      </c>
    </row>
    <row r="2295" customFormat="false" ht="17.15" hidden="false" customHeight="false" outlineLevel="0" collapsed="false">
      <c r="A2295" s="0" t="s">
        <v>1085</v>
      </c>
      <c r="B2295" s="0" t="s">
        <v>75</v>
      </c>
      <c r="D2295" s="8" t="n">
        <f aca="false">Sens!D2294/Sens!D2292</f>
        <v>13.641259209645</v>
      </c>
      <c r="E2295" s="8" t="n">
        <f aca="false">Sens!E2294/Sens!E2292</f>
        <v>17.9456594659869</v>
      </c>
      <c r="F2295" s="8" t="n">
        <f aca="false">Sens!F2294/Sens!F2292</f>
        <v>20.7384477603267</v>
      </c>
      <c r="G2295" s="8" t="n">
        <f aca="false">Sens!G2294/Sens!G2292</f>
        <v>24.0432693124661</v>
      </c>
      <c r="H2295" s="8" t="n">
        <f aca="false">Sens!H2294/Sens!H2292</f>
        <v>28.1028489352077</v>
      </c>
      <c r="I2295" s="8" t="n">
        <f aca="false">Sens!I2294/Sens!I2292</f>
        <v>31.8954634957853</v>
      </c>
      <c r="J2295" s="8" t="n">
        <f aca="false">Sens!J2294/Sens!J2292</f>
        <v>35.0525617295722</v>
      </c>
      <c r="K2295" s="8" t="n">
        <f aca="false">Sens!K2294/Sens!K2292</f>
        <v>37.5606730216669</v>
      </c>
      <c r="L2295" s="1" t="s">
        <v>1086</v>
      </c>
    </row>
    <row r="2296" customFormat="false" ht="17.15" hidden="false" customHeight="false" outlineLevel="0" collapsed="false">
      <c r="A2296" s="0" t="s">
        <v>1087</v>
      </c>
      <c r="B2296" s="0" t="s">
        <v>168</v>
      </c>
      <c r="E2296" s="7" t="n">
        <f aca="false">Sens!E2295/Sens!D2295-1</f>
        <v>0.315542736208578</v>
      </c>
      <c r="F2296" s="7" t="n">
        <f aca="false">Sens!F2295/Sens!E2295-1</f>
        <v>0.155624723607015</v>
      </c>
      <c r="G2296" s="7" t="n">
        <f aca="false">Sens!G2295/Sens!F2295-1</f>
        <v>0.15935722819437</v>
      </c>
      <c r="H2296" s="7" t="n">
        <f aca="false">Sens!H2295/Sens!G2295-1</f>
        <v>0.168844742783661</v>
      </c>
      <c r="I2296" s="7" t="n">
        <f aca="false">Sens!I2295/Sens!H2295-1</f>
        <v>0.1349548072269</v>
      </c>
      <c r="J2296" s="7" t="n">
        <f aca="false">Sens!J2295/Sens!I2295-1</f>
        <v>0.0989826730125443</v>
      </c>
      <c r="K2296" s="7" t="n">
        <f aca="false">Sens!K2295/Sens!J2295-1</f>
        <v>0.07155286713264</v>
      </c>
    </row>
    <row r="2297" customFormat="false" ht="17.15" hidden="false" customHeight="false" outlineLevel="0" collapsed="false">
      <c r="A2297" s="0" t="s">
        <v>1007</v>
      </c>
      <c r="B2297" s="0" t="s">
        <v>98</v>
      </c>
      <c r="E2297" s="6" t="n">
        <f aca="false">Sens!E2238</f>
        <v>5.25</v>
      </c>
      <c r="F2297" s="6" t="n">
        <f aca="false">Sens!F2238</f>
        <v>12</v>
      </c>
      <c r="G2297" s="6" t="n">
        <f aca="false">Sens!G2238</f>
        <v>18</v>
      </c>
      <c r="H2297" s="6" t="n">
        <f aca="false">Sens!H2238</f>
        <v>24</v>
      </c>
      <c r="I2297" s="6" t="n">
        <f aca="false">Sens!I2238</f>
        <v>28.5</v>
      </c>
      <c r="J2297" s="6" t="n">
        <f aca="false">Sens!J2238</f>
        <v>31.5</v>
      </c>
      <c r="K2297" s="6" t="n">
        <f aca="false">Sens!K2238</f>
        <v>34.5</v>
      </c>
    </row>
    <row r="2298" customFormat="false" ht="17.15" hidden="false" customHeight="false" outlineLevel="0" collapsed="false">
      <c r="A2298" s="1" t="s">
        <v>1008</v>
      </c>
      <c r="B2298" s="0" t="s">
        <v>98</v>
      </c>
      <c r="F2298" s="6" t="n">
        <f aca="false">MAX(0,((Sens!E2198+Sens!F2198)/2-(shadow_base*(Sens!$D$2198+Sens!$E$2198)/2+(1-shadow_base)*Sens!$E$2198))*Sens!F2207/1000-(Sens!F2297-Sens!$E$2297)*Sens!F2277)</f>
        <v>16.3994923099344</v>
      </c>
      <c r="G2298" s="6" t="n">
        <f aca="false">MAX(0,((Sens!F2198+Sens!G2198)/2-(shadow_base*(Sens!$D$2198+Sens!$E$2198)/2+(1-shadow_base)*Sens!$E$2198))*Sens!G2207/1000-(Sens!G2297-Sens!$E$2297)*Sens!G2277)</f>
        <v>41.2936055153386</v>
      </c>
      <c r="H2298" s="6" t="n">
        <f aca="false">MAX(0,((Sens!G2198+Sens!H2198)/2-(shadow_base*(Sens!$D$2198+Sens!$E$2198)/2+(1-shadow_base)*Sens!$E$2198))*Sens!H2207/1000-(Sens!H2297-Sens!$E$2297)*Sens!H2277)</f>
        <v>68.3975051449408</v>
      </c>
      <c r="I2298" s="6" t="n">
        <f aca="false">MAX(0,((Sens!H2198+Sens!I2198)/2-(shadow_base*(Sens!$D$2198+Sens!$E$2198)/2+(1-shadow_base)*Sens!$E$2198))*Sens!I2207/1000-(Sens!I2297-Sens!$E$2297)*Sens!I2277)</f>
        <v>92.7220346542799</v>
      </c>
      <c r="J2298" s="6" t="n">
        <f aca="false">MAX(0,((Sens!I2198+Sens!J2198)/2-(shadow_base*(Sens!$D$2198+Sens!$E$2198)/2+(1-shadow_base)*Sens!$E$2198))*Sens!J2207/1000-(Sens!J2297-Sens!$E$2297)*Sens!J2277)</f>
        <v>109.684332062578</v>
      </c>
      <c r="K2298" s="6" t="n">
        <f aca="false">MAX(0,((Sens!J2198+Sens!K2198)/2-(shadow_base*(Sens!$D$2198+Sens!$E$2198)/2+(1-shadow_base)*Sens!$E$2198))*Sens!K2207/1000-(Sens!K2297-Sens!$E$2297)*Sens!K2277)</f>
        <v>119.295244902275</v>
      </c>
      <c r="L2298" s="1" t="s">
        <v>1009</v>
      </c>
    </row>
    <row r="2299" customFormat="false" ht="17.15" hidden="false" customHeight="false" outlineLevel="0" collapsed="false">
      <c r="A2299" s="1" t="s">
        <v>1010</v>
      </c>
      <c r="B2299" s="0" t="s">
        <v>98</v>
      </c>
      <c r="F2299" s="6" t="n">
        <f aca="false">IF(internal_ai_reading=2,1,0)*Sens!F2298</f>
        <v>16.3994923099344</v>
      </c>
      <c r="G2299" s="6" t="n">
        <f aca="false">IF(internal_ai_reading=2,1,0)*Sens!G2298</f>
        <v>41.2936055153386</v>
      </c>
      <c r="H2299" s="6" t="n">
        <f aca="false">IF(internal_ai_reading=2,1,0)*Sens!H2298</f>
        <v>68.3975051449408</v>
      </c>
      <c r="I2299" s="6" t="n">
        <f aca="false">IF(internal_ai_reading=2,1,0)*Sens!I2298</f>
        <v>92.7220346542799</v>
      </c>
      <c r="J2299" s="6" t="n">
        <f aca="false">IF(internal_ai_reading=2,1,0)*Sens!J2298</f>
        <v>109.684332062578</v>
      </c>
      <c r="K2299" s="6" t="n">
        <f aca="false">IF(internal_ai_reading=2,1,0)*Sens!K2298</f>
        <v>119.295244902275</v>
      </c>
    </row>
    <row r="2300" customFormat="false" ht="17.15" hidden="false" customHeight="false" outlineLevel="0" collapsed="false">
      <c r="A2300" s="0" t="s">
        <v>1011</v>
      </c>
      <c r="B2300" s="0" t="s">
        <v>98</v>
      </c>
      <c r="F2300" s="6" t="n">
        <f aca="false">Sens!F2217+Sens!F2297*Sens!F2277+Sens!F2299-Sens!F2218-Sens!F2229</f>
        <v>11.4423955156345</v>
      </c>
      <c r="G2300" s="6" t="n">
        <f aca="false">Sens!G2217+Sens!G2297*Sens!G2277+Sens!G2299-Sens!G2218-Sens!G2229</f>
        <v>29.6023038066783</v>
      </c>
      <c r="H2300" s="6" t="n">
        <f aca="false">Sens!H2217+Sens!H2297*Sens!H2277+Sens!H2299-Sens!H2218-Sens!H2229</f>
        <v>48.566585396383</v>
      </c>
      <c r="I2300" s="6" t="n">
        <f aca="false">Sens!I2217+Sens!I2297*Sens!I2277+Sens!I2299-Sens!I2218-Sens!I2229</f>
        <v>65.2017292840166</v>
      </c>
      <c r="J2300" s="6" t="n">
        <f aca="false">Sens!J2217+Sens!J2297*Sens!J2277+Sens!J2299-Sens!J2218-Sens!J2229</f>
        <v>76.6018862519025</v>
      </c>
      <c r="K2300" s="6" t="n">
        <f aca="false">Sens!K2217+Sens!K2297*Sens!K2277+Sens!K2299-Sens!K2218-Sens!K2229</f>
        <v>84.0596295140211</v>
      </c>
    </row>
    <row r="2301" customFormat="false" ht="17.15" hidden="false" customHeight="false" outlineLevel="0" collapsed="false">
      <c r="A2301" s="0" t="s">
        <v>1012</v>
      </c>
      <c r="B2301" s="0" t="s">
        <v>98</v>
      </c>
      <c r="E2301" s="6" t="n">
        <f aca="false">Sens!E2197*(cxit_open+self_build*tk_cxfac)/1000*ai_net_open</f>
        <v>152.03764584</v>
      </c>
      <c r="F2301" s="6" t="n">
        <f aca="false">Sens!E2301+Sens!F2226-Sens!F2229</f>
        <v>312.687153316522</v>
      </c>
      <c r="G2301" s="6" t="n">
        <f aca="false">Sens!F2301+Sens!G2226-Sens!G2229</f>
        <v>470.13913531262</v>
      </c>
      <c r="H2301" s="6" t="n">
        <f aca="false">Sens!G2301+Sens!H2226-Sens!H2229</f>
        <v>599.3862313963</v>
      </c>
      <c r="I2301" s="6" t="n">
        <f aca="false">Sens!H2301+Sens!I2226-Sens!I2229</f>
        <v>664.646820108775</v>
      </c>
      <c r="J2301" s="6" t="n">
        <f aca="false">Sens!I2301+Sens!J2226-Sens!J2229</f>
        <v>660.943929884388</v>
      </c>
      <c r="K2301" s="6" t="n">
        <f aca="false">Sens!J2301+Sens!K2226-Sens!K2229</f>
        <v>632.084150100946</v>
      </c>
      <c r="L2301" s="1" t="s">
        <v>1013</v>
      </c>
    </row>
    <row r="2302" customFormat="false" ht="17.15" hidden="false" customHeight="false" outlineLevel="0" collapsed="false">
      <c r="A2302" s="0" t="s">
        <v>1014</v>
      </c>
      <c r="B2302" s="0" t="s">
        <v>168</v>
      </c>
      <c r="F2302" s="7" t="n">
        <f aca="false">Sens!F2300*(1-tax_f)/((Sens!E2301+Sens!F2301)/2)</f>
        <v>0.0393949986276697</v>
      </c>
      <c r="G2302" s="7" t="n">
        <f aca="false">Sens!G2300*(1-tax_f)/((Sens!F2301+Sens!G2301)/2)</f>
        <v>0.0605034434569474</v>
      </c>
      <c r="H2302" s="7" t="n">
        <f aca="false">Sens!H2300*(1-tax_f)/((Sens!G2301+Sens!H2301)/2)</f>
        <v>0.0726551599924429</v>
      </c>
      <c r="I2302" s="7" t="n">
        <f aca="false">Sens!I2300*(1-tax_f)/((Sens!H2301+Sens!I2301)/2)</f>
        <v>0.0825316764701762</v>
      </c>
      <c r="J2302" s="7" t="n">
        <f aca="false">Sens!J2300*(1-tax_f)/((Sens!I2301+Sens!J2301)/2)</f>
        <v>0.092459168113293</v>
      </c>
      <c r="K2302" s="7" t="n">
        <f aca="false">Sens!K2300*(1-tax_f)/((Sens!J2301+Sens!K2301)/2)</f>
        <v>0.1040158441292</v>
      </c>
    </row>
    <row r="2303" customFormat="false" ht="17.15" hidden="false" customHeight="false" outlineLevel="0" collapsed="false">
      <c r="A2303" s="1" t="s">
        <v>1015</v>
      </c>
      <c r="B2303" s="0" t="s">
        <v>168</v>
      </c>
      <c r="F2303" s="7" t="n">
        <f aca="false">(Sens!F2300-Sens!F2299)*(1-tax_f)/((Sens!E2301+Sens!F2301)/2)</f>
        <v>-0.0170667777688542</v>
      </c>
      <c r="G2303" s="7" t="n">
        <f aca="false">(Sens!G2300-Sens!G2299)*(1-tax_f)/((Sens!F2301+Sens!G2301)/2)</f>
        <v>-0.0238955730097081</v>
      </c>
      <c r="H2303" s="7" t="n">
        <f aca="false">(Sens!H2300-Sens!H2299)*(1-tax_f)/((Sens!G2301+Sens!H2301)/2)</f>
        <v>-0.029666871479008</v>
      </c>
      <c r="I2303" s="7" t="n">
        <f aca="false">(Sens!I2300-Sens!I2299)*(1-tax_f)/((Sens!H2301+Sens!I2301)/2)</f>
        <v>-0.0348349187072222</v>
      </c>
      <c r="J2303" s="7" t="n">
        <f aca="false">(Sens!J2300-Sens!J2299)*(1-tax_f)/((Sens!I2301+Sens!J2301)/2)</f>
        <v>-0.0399308106950461</v>
      </c>
      <c r="K2303" s="7" t="n">
        <f aca="false">(Sens!K2300-Sens!K2299)*(1-tax_f)/((Sens!J2301+Sens!K2301)/2)</f>
        <v>-0.0436007427014624</v>
      </c>
    </row>
    <row r="2304" customFormat="false" ht="17.15" hidden="false" customHeight="false" outlineLevel="0" collapsed="false">
      <c r="A2304" s="1" t="s">
        <v>1016</v>
      </c>
      <c r="B2304" s="0" t="s">
        <v>168</v>
      </c>
      <c r="F2304" s="7" t="n">
        <f aca="false">(Sens!F2300-Sens!F2299+Sens!F2298)*(1-tax_f)/((Sens!E2301+Sens!F2301)/2)</f>
        <v>0.0393949986276697</v>
      </c>
      <c r="G2304" s="7" t="n">
        <f aca="false">(Sens!G2300-Sens!G2299+Sens!G2298)*(1-tax_f)/((Sens!F2301+Sens!G2301)/2)</f>
        <v>0.0605034434569474</v>
      </c>
      <c r="H2304" s="7" t="n">
        <f aca="false">(Sens!H2300-Sens!H2299+Sens!H2298)*(1-tax_f)/((Sens!G2301+Sens!H2301)/2)</f>
        <v>0.0726551599924429</v>
      </c>
      <c r="I2304" s="7" t="n">
        <f aca="false">(Sens!I2300-Sens!I2299+Sens!I2298)*(1-tax_f)/((Sens!H2301+Sens!I2301)/2)</f>
        <v>0.0825316764701762</v>
      </c>
      <c r="J2304" s="7" t="n">
        <f aca="false">(Sens!J2300-Sens!J2299+Sens!J2298)*(1-tax_f)/((Sens!I2301+Sens!J2301)/2)</f>
        <v>0.092459168113293</v>
      </c>
      <c r="K2304" s="7" t="n">
        <f aca="false">(Sens!K2300-Sens!K2299+Sens!K2298)*(1-tax_f)/((Sens!J2301+Sens!K2301)/2)</f>
        <v>0.1040158441292</v>
      </c>
    </row>
    <row r="2305" customFormat="false" ht="17.15" hidden="false" customHeight="false" outlineLevel="0" collapsed="false">
      <c r="A2305" s="1" t="s">
        <v>1017</v>
      </c>
      <c r="B2305" s="0" t="s">
        <v>168</v>
      </c>
      <c r="F2305" s="7" t="n">
        <f aca="false">Sens!F2230*(1-tax_f)/(Sens!F2216*(Sens!E2301+Sens!F2301)/2)</f>
        <v>0.129294830495493</v>
      </c>
      <c r="G2305" s="7" t="n">
        <f aca="false">Sens!G2230*(1-tax_f)/(Sens!G2216*(Sens!F2301+Sens!G2301)/2)</f>
        <v>0.12719599062164</v>
      </c>
      <c r="H2305" s="7" t="n">
        <f aca="false">Sens!H2230*(1-tax_f)/(Sens!H2216*(Sens!G2301+Sens!H2301)/2)</f>
        <v>0.130828167067624</v>
      </c>
      <c r="I2305" s="7" t="n">
        <f aca="false">Sens!I2230*(1-tax_f)/(Sens!I2216*(Sens!H2301+Sens!I2301)/2)</f>
        <v>0.138614526937417</v>
      </c>
      <c r="J2305" s="7" t="n">
        <f aca="false">Sens!J2230*(1-tax_f)/(Sens!J2216*(Sens!I2301+Sens!J2301)/2)</f>
        <v>0.150578919010924</v>
      </c>
      <c r="K2305" s="7" t="n">
        <f aca="false">Sens!K2230*(1-tax_f)/(Sens!K2216*(Sens!J2301+Sens!K2301)/2)</f>
        <v>0.167005345886664</v>
      </c>
    </row>
    <row r="2306" customFormat="false" ht="17.15" hidden="false" customHeight="false" outlineLevel="0" collapsed="false">
      <c r="A2306" s="0" t="s">
        <v>1018</v>
      </c>
      <c r="B2306" s="0" t="s">
        <v>253</v>
      </c>
      <c r="F2306" s="7" t="n">
        <f aca="false">Sens!F2302-wacc</f>
        <v>-0.0635415923179276</v>
      </c>
      <c r="G2306" s="7" t="n">
        <f aca="false">Sens!G2302-wacc</f>
        <v>-0.0424331474886499</v>
      </c>
      <c r="H2306" s="7" t="n">
        <f aca="false">Sens!H2302-wacc</f>
        <v>-0.0302814309531544</v>
      </c>
      <c r="I2306" s="7" t="n">
        <f aca="false">Sens!I2302-wacc</f>
        <v>-0.020404914475421</v>
      </c>
      <c r="J2306" s="7" t="n">
        <f aca="false">Sens!J2302-wacc</f>
        <v>-0.0104774228323043</v>
      </c>
      <c r="K2306" s="7" t="n">
        <f aca="false">Sens!K2302-wacc</f>
        <v>0.00107925318360304</v>
      </c>
    </row>
    <row r="2307" customFormat="false" ht="17.15" hidden="false" customHeight="false" outlineLevel="0" collapsed="false">
      <c r="A2307" s="0" t="s">
        <v>1019</v>
      </c>
      <c r="B2307" s="0" t="s">
        <v>98</v>
      </c>
      <c r="F2307" s="6" t="n">
        <f aca="false">Sens!F2300*(1-tax_f)-wacc*(Sens!E2301+Sens!F2301)/2</f>
        <v>-14.7646768640172</v>
      </c>
      <c r="G2307" s="6" t="n">
        <f aca="false">Sens!G2300*(1-tax_f)-wacc*(Sens!F2301+Sens!G2301)/2</f>
        <v>-16.6088916816964</v>
      </c>
      <c r="H2307" s="6" t="n">
        <f aca="false">Sens!H2300*(1-tax_f)-wacc*(Sens!G2301+Sens!H2301)/2</f>
        <v>-16.1933792723217</v>
      </c>
      <c r="I2307" s="6" t="n">
        <f aca="false">Sens!I2300*(1-tax_f)-wacc*(Sens!H2301+Sens!I2301)/2</f>
        <v>-12.8962431550333</v>
      </c>
      <c r="J2307" s="6" t="n">
        <f aca="false">Sens!J2300*(1-tax_f)-wacc*(Sens!I2301+Sens!J2301)/2</f>
        <v>-6.94438739513484</v>
      </c>
      <c r="K2307" s="6" t="n">
        <f aca="false">Sens!K2300*(1-tax_f)-wacc*(Sens!J2301+Sens!K2301)/2</f>
        <v>0.697752335906145</v>
      </c>
    </row>
    <row r="2308" customFormat="false" ht="17.15" hidden="false" customHeight="false" outlineLevel="0" collapsed="false">
      <c r="A2308" s="3" t="s">
        <v>1668</v>
      </c>
    </row>
    <row r="2309" customFormat="false" ht="15" hidden="false" customHeight="false" outlineLevel="0" collapsed="false">
      <c r="A2309" s="4" t="s">
        <v>43</v>
      </c>
      <c r="B2309" s="4" t="s">
        <v>65</v>
      </c>
      <c r="C2309" s="23" t="s">
        <v>942</v>
      </c>
      <c r="D2309" s="23" t="s">
        <v>943</v>
      </c>
      <c r="E2309" s="23" t="s">
        <v>944</v>
      </c>
      <c r="F2309" s="23" t="s">
        <v>945</v>
      </c>
      <c r="G2309" s="23" t="s">
        <v>946</v>
      </c>
      <c r="H2309" s="23" t="s">
        <v>947</v>
      </c>
      <c r="I2309" s="23" t="s">
        <v>948</v>
      </c>
      <c r="J2309" s="23" t="s">
        <v>949</v>
      </c>
      <c r="K2309" s="23" t="s">
        <v>950</v>
      </c>
      <c r="L2309" s="4" t="s">
        <v>47</v>
      </c>
    </row>
    <row r="2310" customFormat="false" ht="15" hidden="false" customHeight="false" outlineLevel="0" collapsed="false">
      <c r="A2310" s="1" t="s">
        <v>1080</v>
      </c>
      <c r="B2310" s="0" t="s">
        <v>98</v>
      </c>
      <c r="F2310" s="6" t="n">
        <f aca="false">Sens!F2291</f>
        <v>141.869195488854</v>
      </c>
      <c r="G2310" s="6" t="n">
        <f aca="false">Sens!G2291</f>
        <v>147.734435913505</v>
      </c>
      <c r="H2310" s="6" t="n">
        <f aca="false">Sens!H2291</f>
        <v>157.837893805491</v>
      </c>
      <c r="I2310" s="6" t="n">
        <f aca="false">Sens!I2291</f>
        <v>167.988086410942</v>
      </c>
      <c r="J2310" s="6" t="n">
        <f aca="false">Sens!J2291</f>
        <v>178.884431289525</v>
      </c>
      <c r="K2310" s="6" t="n">
        <f aca="false">Sens!K2291</f>
        <v>190.891273850773</v>
      </c>
    </row>
    <row r="2311" customFormat="false" ht="17.15" hidden="false" customHeight="false" outlineLevel="0" collapsed="false">
      <c r="A2311" s="1" t="s">
        <v>1102</v>
      </c>
      <c r="B2311" s="0" t="s">
        <v>98</v>
      </c>
      <c r="E2311" s="6" t="n">
        <f aca="false">Q!M38-Sens!E2229</f>
        <v>18.9675128275</v>
      </c>
      <c r="F2311" s="6" t="n">
        <f aca="false">Sens!E2311*(1-1/life_nonai)+(Sens!F2319+Sens!F2320)/life_nonai</f>
        <v>20.6453691946723</v>
      </c>
      <c r="G2311" s="6" t="n">
        <f aca="false">Sens!F2311*(1-1/life_nonai)+(Sens!G2319)/life_nonai</f>
        <v>22.7168730206298</v>
      </c>
      <c r="H2311" s="6" t="n">
        <f aca="false">Sens!G2311*(1-1/life_nonai)+(Sens!H2319)/life_nonai</f>
        <v>25.151240215423</v>
      </c>
      <c r="I2311" s="6" t="n">
        <f aca="false">Sens!H2311*(1-1/life_nonai)+(Sens!I2319)/life_nonai</f>
        <v>27.8848555619664</v>
      </c>
      <c r="J2311" s="6" t="n">
        <f aca="false">Sens!I2311*(1-1/life_nonai)+(Sens!J2319)/life_nonai</f>
        <v>30.8369414849407</v>
      </c>
      <c r="K2311" s="6" t="n">
        <f aca="false">Sens!J2311*(1-1/life_nonai)+(Sens!K2319)/life_nonai</f>
        <v>33.9254950425185</v>
      </c>
      <c r="L2311" s="12" t="s">
        <v>1103</v>
      </c>
    </row>
    <row r="2312" customFormat="false" ht="17.15" hidden="false" customHeight="false" outlineLevel="0" collapsed="false">
      <c r="A2312" s="1" t="s">
        <v>1104</v>
      </c>
      <c r="B2312" s="0" t="s">
        <v>98</v>
      </c>
      <c r="F2312" s="6" t="n">
        <f aca="false">Sens!$F$2320/life_nonai*(1-1/life_nonai)^(Sens!F2192-2027)</f>
        <v>0</v>
      </c>
      <c r="G2312" s="6" t="n">
        <f aca="false">Sens!$F$2320/life_nonai*(1-1/life_nonai)^(Sens!G2192-2027)</f>
        <v>0</v>
      </c>
      <c r="H2312" s="6" t="n">
        <f aca="false">Sens!$F$2320/life_nonai*(1-1/life_nonai)^(Sens!H2192-2027)</f>
        <v>0</v>
      </c>
      <c r="I2312" s="6" t="n">
        <f aca="false">Sens!$F$2320/life_nonai*(1-1/life_nonai)^(Sens!I2192-2027)</f>
        <v>0</v>
      </c>
      <c r="J2312" s="6" t="n">
        <f aca="false">Sens!$F$2320/life_nonai*(1-1/life_nonai)^(Sens!J2192-2027)</f>
        <v>0</v>
      </c>
      <c r="K2312" s="6" t="n">
        <f aca="false">Sens!$F$2320/life_nonai*(1-1/life_nonai)^(Sens!K2192-2027)</f>
        <v>0</v>
      </c>
      <c r="L2312" s="1" t="s">
        <v>1105</v>
      </c>
    </row>
    <row r="2313" customFormat="false" ht="17.15" hidden="false" customHeight="false" outlineLevel="0" collapsed="false">
      <c r="A2313" s="1" t="s">
        <v>1106</v>
      </c>
      <c r="B2313" s="0" t="s">
        <v>98</v>
      </c>
      <c r="E2313" s="6" t="n">
        <f aca="false">Sens!E2229+Sens!E2311</f>
        <v>38.534</v>
      </c>
      <c r="F2313" s="6" t="n">
        <f aca="false">Sens!F2229+Sens!F2311</f>
        <v>62.1405465686942</v>
      </c>
      <c r="G2313" s="6" t="n">
        <f aca="false">Sens!G2229+Sens!G2311</f>
        <v>95.5982618033886</v>
      </c>
      <c r="H2313" s="6" t="n">
        <f aca="false">Sens!H2229+Sens!H2311</f>
        <v>132.071349009158</v>
      </c>
      <c r="I2313" s="6" t="n">
        <f aca="false">Sens!I2229+Sens!I2311</f>
        <v>164.962067195424</v>
      </c>
      <c r="J2313" s="6" t="n">
        <f aca="false">Sens!J2229+Sens!J2311</f>
        <v>189.255749144456</v>
      </c>
      <c r="K2313" s="6" t="n">
        <f aca="false">Sens!K2229+Sens!K2311</f>
        <v>205.540698503639</v>
      </c>
    </row>
    <row r="2314" customFormat="false" ht="17.15" hidden="false" customHeight="false" outlineLevel="0" collapsed="false">
      <c r="A2314" s="1" t="s">
        <v>1107</v>
      </c>
      <c r="B2314" s="0" t="s">
        <v>98</v>
      </c>
      <c r="F2314" s="6" t="n">
        <f aca="false">Sens!F2256*sbc_r</f>
        <v>14.9175438377464</v>
      </c>
      <c r="G2314" s="6" t="n">
        <f aca="false">Sens!G2256*sbc_r</f>
        <v>17.8119838712421</v>
      </c>
      <c r="H2314" s="6" t="n">
        <f aca="false">Sens!H2256*sbc_r</f>
        <v>20.7745061486909</v>
      </c>
      <c r="I2314" s="6" t="n">
        <f aca="false">Sens!I2256*sbc_r</f>
        <v>23.4952383075388</v>
      </c>
      <c r="J2314" s="6" t="n">
        <f aca="false">Sens!J2256*sbc_r</f>
        <v>25.7232953082804</v>
      </c>
      <c r="K2314" s="6" t="n">
        <f aca="false">Sens!K2256*sbc_r</f>
        <v>27.5132097680234</v>
      </c>
    </row>
    <row r="2315" customFormat="false" ht="17.15" hidden="false" customHeight="false" outlineLevel="0" collapsed="false">
      <c r="A2315" s="1" t="s">
        <v>1108</v>
      </c>
      <c r="B2315" s="0" t="s">
        <v>98</v>
      </c>
      <c r="F2315" s="6" t="n">
        <f aca="false">wc27-wc26q1</f>
        <v>-4.677</v>
      </c>
      <c r="G2315" s="6" t="n">
        <f aca="false">wc_f</f>
        <v>0</v>
      </c>
      <c r="H2315" s="6" t="n">
        <f aca="false">wc_f</f>
        <v>0</v>
      </c>
      <c r="I2315" s="6" t="n">
        <f aca="false">wc_f</f>
        <v>0</v>
      </c>
      <c r="J2315" s="6" t="n">
        <f aca="false">wc_f</f>
        <v>0</v>
      </c>
      <c r="K2315" s="6" t="n">
        <f aca="false">wc_f</f>
        <v>0</v>
      </c>
      <c r="L2315" s="12" t="s">
        <v>1109</v>
      </c>
    </row>
    <row r="2316" customFormat="false" ht="17.15" hidden="false" customHeight="false" outlineLevel="0" collapsed="false">
      <c r="A2316" s="0" t="s">
        <v>1110</v>
      </c>
      <c r="B2316" s="0" t="s">
        <v>98</v>
      </c>
      <c r="F2316" s="6" t="n">
        <f aca="false">Q!$I$35-Q!$I$26-Q!$I$38-Q!$I$39</f>
        <v>6.493</v>
      </c>
      <c r="L2316" s="1" t="s">
        <v>1111</v>
      </c>
    </row>
    <row r="2317" customFormat="false" ht="15" hidden="false" customHeight="false" outlineLevel="0" collapsed="false">
      <c r="A2317" s="1" t="s">
        <v>908</v>
      </c>
      <c r="B2317" s="0" t="s">
        <v>98</v>
      </c>
      <c r="E2317" s="6" t="n">
        <f aca="false">Q!M35</f>
        <v>182.935</v>
      </c>
      <c r="F2317" s="6" t="n">
        <f aca="false">Sens!F2310+Sens!F2313+Sens!F2314+Sens!F2315+Sens!F2316</f>
        <v>220.743285895294</v>
      </c>
      <c r="G2317" s="6" t="n">
        <f aca="false">Sens!G2310+Sens!G2313+Sens!G2314+Sens!G2315</f>
        <v>261.144681588136</v>
      </c>
      <c r="H2317" s="6" t="n">
        <f aca="false">Sens!H2310+Sens!H2313+Sens!H2314+Sens!H2315</f>
        <v>310.683748963339</v>
      </c>
      <c r="I2317" s="6" t="n">
        <f aca="false">Sens!I2310+Sens!I2313+Sens!I2314+Sens!I2315</f>
        <v>356.445391913906</v>
      </c>
      <c r="J2317" s="6" t="n">
        <f aca="false">Sens!J2310+Sens!J2313+Sens!J2314+Sens!J2315</f>
        <v>393.863475742261</v>
      </c>
      <c r="K2317" s="6" t="n">
        <f aca="false">Sens!K2310+Sens!K2313+Sens!K2314+Sens!K2315</f>
        <v>423.945182122436</v>
      </c>
    </row>
    <row r="2318" customFormat="false" ht="17.15" hidden="false" customHeight="false" outlineLevel="0" collapsed="false">
      <c r="A2318" s="0" t="s">
        <v>1112</v>
      </c>
      <c r="B2318" s="0" t="s">
        <v>98</v>
      </c>
      <c r="F2318" s="6" t="n">
        <f aca="false">Sens!F2226</f>
        <v>202.144684850544</v>
      </c>
      <c r="G2318" s="6" t="n">
        <f aca="false">Sens!G2226</f>
        <v>230.333370778858</v>
      </c>
      <c r="H2318" s="6" t="n">
        <f aca="false">Sens!H2226</f>
        <v>236.167204877415</v>
      </c>
      <c r="I2318" s="6" t="n">
        <f aca="false">Sens!I2226</f>
        <v>202.337800345932</v>
      </c>
      <c r="J2318" s="6" t="n">
        <f aca="false">Sens!J2226</f>
        <v>154.715917435129</v>
      </c>
      <c r="K2318" s="6" t="n">
        <f aca="false">Sens!K2226</f>
        <v>142.755423677679</v>
      </c>
    </row>
    <row r="2319" customFormat="false" ht="17.15" hidden="false" customHeight="false" outlineLevel="0" collapsed="false">
      <c r="A2319" s="1" t="s">
        <v>1113</v>
      </c>
      <c r="B2319" s="0" t="s">
        <v>98</v>
      </c>
      <c r="E2319" s="6" t="n">
        <f aca="false">Sens!E2234*cx_azo+Sens!E2241*cx_m365+Sens!E2242*cx_lic+(Sens!E2244+Sens!E2246)*cx_ind+Sens!E2249*cx_srch+(Sens!E2251+Sens!E2253)*cx_dev</f>
        <v>30.1846587067718</v>
      </c>
      <c r="F2319" s="6" t="n">
        <f aca="false">Sens!F2234*cx_azo+Sens!F2241*cx_m365+Sens!F2242*cx_lic+(Sens!F2244+Sens!F2246)*cx_ind+Sens!F2249*cx_srch+(Sens!F2251+Sens!F2253)*cx_dev</f>
        <v>35.7460764992227</v>
      </c>
      <c r="G2319" s="6" t="n">
        <f aca="false">Sens!G2234*cx_azo+Sens!G2241*cx_m365+Sens!G2242*cx_lic+(Sens!G2244+Sens!G2246)*cx_ind+Sens!G2249*cx_srch+(Sens!G2251+Sens!G2253)*cx_dev</f>
        <v>41.360407454248</v>
      </c>
      <c r="H2319" s="6" t="n">
        <f aca="false">Sens!H2234*cx_azo+Sens!H2241*cx_m365+Sens!H2242*cx_lic+(Sens!H2244+Sens!H2246)*cx_ind+Sens!H2249*cx_srch+(Sens!H2251+Sens!H2253)*cx_dev</f>
        <v>47.0605449685615</v>
      </c>
      <c r="I2319" s="6" t="n">
        <f aca="false">Sens!I2234*cx_azo+Sens!I2241*cx_m365+Sens!I2242*cx_lic+(Sens!I2244+Sens!I2246)*cx_ind+Sens!I2249*cx_srch+(Sens!I2251+Sens!I2253)*cx_dev</f>
        <v>52.4873936808571</v>
      </c>
      <c r="J2319" s="6" t="n">
        <f aca="false">Sens!J2234*cx_azo+Sens!J2241*cx_m365+Sens!J2242*cx_lic+(Sens!J2244+Sens!J2246)*cx_ind+Sens!J2249*cx_srch+(Sens!J2251+Sens!J2253)*cx_dev</f>
        <v>57.4057147917091</v>
      </c>
      <c r="K2319" s="6" t="n">
        <f aca="false">Sens!K2234*cx_azo+Sens!K2241*cx_m365+Sens!K2242*cx_lic+(Sens!K2244+Sens!K2246)*cx_ind+Sens!K2249*cx_srch+(Sens!K2251+Sens!K2253)*cx_dev</f>
        <v>61.7224770607185</v>
      </c>
    </row>
    <row r="2320" customFormat="false" ht="17.15" hidden="false" customHeight="false" outlineLevel="0" collapsed="false">
      <c r="A2320" s="0" t="s">
        <v>1114</v>
      </c>
      <c r="B2320" s="0" t="s">
        <v>98</v>
      </c>
      <c r="F2320" s="6" t="n">
        <f aca="false">Sens!F2224</f>
        <v>0</v>
      </c>
      <c r="L2320" s="1" t="s">
        <v>1115</v>
      </c>
    </row>
    <row r="2321" customFormat="false" ht="17.15" hidden="false" customHeight="false" outlineLevel="0" collapsed="false">
      <c r="A2321" s="1" t="s">
        <v>1116</v>
      </c>
      <c r="B2321" s="0" t="s">
        <v>98</v>
      </c>
      <c r="E2321" s="6" t="n">
        <f aca="false">Q!M43</f>
        <v>145.3</v>
      </c>
      <c r="F2321" s="6" t="n">
        <f aca="false">Sens!F2318+Sens!F2319+Sens!F2320</f>
        <v>237.890761349766</v>
      </c>
      <c r="G2321" s="6" t="n">
        <f aca="false">Sens!G2318+Sens!G2319</f>
        <v>271.693778233106</v>
      </c>
      <c r="H2321" s="6" t="n">
        <f aca="false">Sens!H2318+Sens!H2319</f>
        <v>283.227749845976</v>
      </c>
      <c r="I2321" s="6" t="n">
        <f aca="false">Sens!I2318+Sens!I2319</f>
        <v>254.825194026789</v>
      </c>
      <c r="J2321" s="6" t="n">
        <f aca="false">Sens!J2318+Sens!J2319</f>
        <v>212.121632226838</v>
      </c>
      <c r="K2321" s="6" t="n">
        <f aca="false">Sens!K2318+Sens!K2319</f>
        <v>204.477900738398</v>
      </c>
      <c r="L2321" s="1" t="s">
        <v>1117</v>
      </c>
    </row>
    <row r="2322" customFormat="false" ht="15" hidden="false" customHeight="false" outlineLevel="0" collapsed="false">
      <c r="A2322" s="1" t="s">
        <v>1118</v>
      </c>
      <c r="B2322" s="0" t="s">
        <v>98</v>
      </c>
      <c r="E2322" s="6" t="n">
        <f aca="false">fl_liab</f>
        <v>66.594</v>
      </c>
      <c r="F2322" s="6" t="n">
        <f aca="false">Sens!E2322-Sens!F2323</f>
        <v>62.46973</v>
      </c>
      <c r="G2322" s="6" t="n">
        <f aca="false">Sens!F2322-Sens!G2323</f>
        <v>57.98686785</v>
      </c>
      <c r="H2322" s="6" t="n">
        <f aca="false">Sens!G2322-Sens!H2323</f>
        <v>53.92827690325</v>
      </c>
      <c r="I2322" s="6" t="n">
        <f aca="false">Sens!H2322-Sens!I2323</f>
        <v>49.7850493638962</v>
      </c>
      <c r="J2322" s="6" t="n">
        <f aca="false">Sens!I2322-Sens!J2323</f>
        <v>45.4823765852716</v>
      </c>
      <c r="K2322" s="6" t="n">
        <f aca="false">Sens!J2322-Sens!K2323</f>
        <v>40.9860835316088</v>
      </c>
    </row>
    <row r="2323" customFormat="false" ht="15" hidden="false" customHeight="false" outlineLevel="0" collapsed="false">
      <c r="A2323" s="1" t="s">
        <v>1119</v>
      </c>
      <c r="B2323" s="0" t="s">
        <v>98</v>
      </c>
      <c r="F2323" s="6" t="n">
        <f aca="false">fl_pay_27-Sens!E2322*fl_rate</f>
        <v>4.12427</v>
      </c>
      <c r="G2323" s="6" t="n">
        <f aca="false">fl_pay_28-Sens!F2322*fl_rate</f>
        <v>4.48286215</v>
      </c>
      <c r="H2323" s="6" t="n">
        <f aca="false">fl_pay_29-Sens!G2322*fl_rate</f>
        <v>4.05859094675</v>
      </c>
      <c r="I2323" s="6" t="n">
        <f aca="false">fl_pay_30-Sens!H2322*fl_rate</f>
        <v>4.14322753935375</v>
      </c>
      <c r="J2323" s="6" t="n">
        <f aca="false">fl_pay_31-Sens!I2322*fl_rate</f>
        <v>4.30267277862467</v>
      </c>
      <c r="K2323" s="6" t="n">
        <f aca="false">fl_pay_32-Sens!J2322*fl_rate</f>
        <v>4.49629305366278</v>
      </c>
    </row>
    <row r="2324" customFormat="false" ht="17.15" hidden="false" customHeight="false" outlineLevel="0" collapsed="false">
      <c r="A2324" s="1" t="s">
        <v>1120</v>
      </c>
      <c r="B2324" s="0" t="s">
        <v>98</v>
      </c>
      <c r="E2324" s="6" t="n">
        <f aca="false">Q!M35-Q!M36-Q!M44</f>
        <v>63.886</v>
      </c>
      <c r="F2324" s="6" t="n">
        <f aca="false">Sens!F2317-Sens!F2321-Sens!F2323</f>
        <v>-21.2717454544718</v>
      </c>
      <c r="G2324" s="6" t="n">
        <f aca="false">Sens!G2317-Sens!G2321-Sens!G2323</f>
        <v>-15.0319587949698</v>
      </c>
      <c r="H2324" s="6" t="n">
        <f aca="false">Sens!H2317-Sens!H2321-Sens!H2323</f>
        <v>23.3974081706131</v>
      </c>
      <c r="I2324" s="6" t="n">
        <f aca="false">Sens!I2317-Sens!I2321-Sens!I2323</f>
        <v>97.4769703477625</v>
      </c>
      <c r="J2324" s="6" t="n">
        <f aca="false">Sens!J2317-Sens!J2321-Sens!J2323</f>
        <v>177.439170736799</v>
      </c>
      <c r="K2324" s="6" t="n">
        <f aca="false">Sens!K2317-Sens!K2321-Sens!K2323</f>
        <v>214.970988330375</v>
      </c>
      <c r="L2324" s="12" t="s">
        <v>1121</v>
      </c>
    </row>
    <row r="2325" customFormat="false" ht="15" hidden="false" customHeight="false" outlineLevel="0" collapsed="false">
      <c r="A2325" s="1" t="s">
        <v>1122</v>
      </c>
      <c r="B2325" s="0" t="s">
        <v>75</v>
      </c>
      <c r="F2325" s="8" t="n">
        <f aca="false">dps_27</f>
        <v>3.85</v>
      </c>
      <c r="G2325" s="8" t="n">
        <f aca="false">Sens!F2325*(1+dps_g)</f>
        <v>4.158</v>
      </c>
      <c r="H2325" s="8" t="n">
        <f aca="false">Sens!G2325*(1+dps_g)</f>
        <v>4.49064</v>
      </c>
      <c r="I2325" s="8" t="n">
        <f aca="false">Sens!H2325*(1+dps_g)</f>
        <v>4.8498912</v>
      </c>
      <c r="J2325" s="8" t="n">
        <f aca="false">Sens!I2325*(1+dps_g)</f>
        <v>5.237882496</v>
      </c>
      <c r="K2325" s="8" t="n">
        <f aca="false">Sens!J2325*(1+dps_g)</f>
        <v>5.65691309568</v>
      </c>
    </row>
    <row r="2326" customFormat="false" ht="17.15" hidden="false" customHeight="false" outlineLevel="0" collapsed="false">
      <c r="A2326" s="1" t="s">
        <v>1123</v>
      </c>
      <c r="B2326" s="0" t="s">
        <v>98</v>
      </c>
      <c r="E2326" s="6" t="n">
        <f aca="false">Q!M41</f>
        <v>26.445</v>
      </c>
      <c r="F2326" s="6" t="n">
        <f aca="false">Sens!F2325*Sens!E2335</f>
        <v>28.59395</v>
      </c>
      <c r="G2326" s="6" t="n">
        <f aca="false">Sens!G2325*Sens!F2335</f>
        <v>31.068576</v>
      </c>
      <c r="H2326" s="6" t="n">
        <f aca="false">Sens!H2325*Sens!G2335</f>
        <v>33.75614088</v>
      </c>
      <c r="I2326" s="6" t="n">
        <f aca="false">Sens!I2325*Sens!H2335</f>
        <v>36.6748772544</v>
      </c>
      <c r="J2326" s="6" t="n">
        <f aca="false">Sens!J2325*Sens!I2335</f>
        <v>39.6767653201446</v>
      </c>
      <c r="K2326" s="6" t="n">
        <f aca="false">Sens!K2325*Sens!J2335</f>
        <v>42.9376608081345</v>
      </c>
      <c r="L2326" s="1" t="s">
        <v>1124</v>
      </c>
    </row>
    <row r="2327" customFormat="false" ht="15" hidden="false" customHeight="false" outlineLevel="0" collapsed="false">
      <c r="A2327" s="1" t="s">
        <v>1125</v>
      </c>
      <c r="B2327" s="0" t="s">
        <v>98</v>
      </c>
      <c r="E2327" s="6" t="n">
        <f aca="false">Sens!E2324-Sens!E2326</f>
        <v>37.441</v>
      </c>
      <c r="F2327" s="6" t="n">
        <f aca="false">Sens!F2324-Sens!F2326</f>
        <v>-49.8656954544718</v>
      </c>
      <c r="G2327" s="6" t="n">
        <f aca="false">Sens!G2324-Sens!G2326</f>
        <v>-46.1005347949698</v>
      </c>
      <c r="H2327" s="6" t="n">
        <f aca="false">Sens!H2324-Sens!H2326</f>
        <v>-10.3587327093869</v>
      </c>
      <c r="I2327" s="6" t="n">
        <f aca="false">Sens!I2324-Sens!I2326</f>
        <v>60.8020930933625</v>
      </c>
      <c r="J2327" s="6" t="n">
        <f aca="false">Sens!J2324-Sens!J2326</f>
        <v>137.762405416654</v>
      </c>
      <c r="K2327" s="6" t="n">
        <f aca="false">Sens!K2324-Sens!K2326</f>
        <v>172.033327522241</v>
      </c>
    </row>
    <row r="2328" customFormat="false" ht="15" hidden="false" customHeight="false" outlineLevel="0" collapsed="false">
      <c r="A2328" s="1" t="s">
        <v>1126</v>
      </c>
      <c r="B2328" s="0" t="s">
        <v>98</v>
      </c>
      <c r="F2328" s="6" t="n">
        <f aca="false">debt_mat_27</f>
        <v>9.25</v>
      </c>
      <c r="G2328" s="6" t="n">
        <f aca="false">debt_mat_28</f>
        <v>0</v>
      </c>
      <c r="H2328" s="6" t="n">
        <f aca="false">debt_mat_29</f>
        <v>2.001</v>
      </c>
      <c r="I2328" s="6" t="n">
        <f aca="false">debt_mat_30</f>
        <v>0</v>
      </c>
      <c r="J2328" s="6" t="n">
        <f aca="false">debt_mat_31</f>
        <v>0.5</v>
      </c>
      <c r="K2328" s="6" t="n">
        <f aca="false">debt_mat_32</f>
        <v>0</v>
      </c>
    </row>
    <row r="2329" customFormat="false" ht="15" hidden="false" customHeight="false" outlineLevel="0" collapsed="false">
      <c r="A2329" s="1" t="s">
        <v>1127</v>
      </c>
      <c r="B2329" s="0" t="s">
        <v>98</v>
      </c>
      <c r="E2329" s="6" t="n">
        <f aca="false">Q!M40</f>
        <v>22.271</v>
      </c>
      <c r="F2329" s="6" t="n">
        <f aca="false">MAX(0,MIN(bb_target,Sens!E2331+Sens!F2327-Sens!F2328-min_cash))</f>
        <v>0</v>
      </c>
      <c r="G2329" s="6" t="n">
        <f aca="false">MAX(0,MIN(bb_target,Sens!F2331+Sens!G2327-Sens!G2328-min_cash))</f>
        <v>0</v>
      </c>
      <c r="H2329" s="6" t="n">
        <f aca="false">MAX(0,MIN(bb_target,Sens!G2331+Sens!H2327-Sens!H2328-min_cash))</f>
        <v>0</v>
      </c>
      <c r="I2329" s="6" t="n">
        <f aca="false">MAX(0,MIN(bb_target,Sens!H2331+Sens!I2327-Sens!I2328-min_cash))</f>
        <v>22.271</v>
      </c>
      <c r="J2329" s="6" t="n">
        <f aca="false">MAX(0,MIN(bb_target,Sens!I2331+Sens!J2327-Sens!J2328-min_cash))</f>
        <v>22.271</v>
      </c>
      <c r="K2329" s="6" t="n">
        <f aca="false">MAX(0,MIN(bb_target,Sens!J2331+Sens!K2327-Sens!K2328-min_cash))</f>
        <v>22.271</v>
      </c>
    </row>
    <row r="2330" customFormat="false" ht="15" hidden="false" customHeight="false" outlineLevel="0" collapsed="false">
      <c r="A2330" s="1" t="s">
        <v>1128</v>
      </c>
      <c r="B2330" s="0" t="s">
        <v>98</v>
      </c>
      <c r="F2330" s="6" t="n">
        <f aca="false">MAX(0,min_cash-(Sens!E2331+Sens!F2327-Sens!F2328-Sens!F2329))</f>
        <v>32.2726954544718</v>
      </c>
      <c r="G2330" s="6" t="n">
        <f aca="false">MAX(0,min_cash-(Sens!F2331+Sens!G2327-Sens!G2328-Sens!G2329))</f>
        <v>46.1005347949698</v>
      </c>
      <c r="H2330" s="6" t="n">
        <f aca="false">MAX(0,min_cash-(Sens!G2331+Sens!H2327-Sens!H2328-Sens!H2329))</f>
        <v>12.3597327093869</v>
      </c>
      <c r="I2330" s="6" t="n">
        <f aca="false">MAX(0,min_cash-(Sens!H2331+Sens!I2327-Sens!I2328-Sens!I2329))</f>
        <v>0</v>
      </c>
      <c r="J2330" s="6" t="n">
        <f aca="false">MAX(0,min_cash-(Sens!I2331+Sens!J2327-Sens!J2328-Sens!J2329))</f>
        <v>0</v>
      </c>
      <c r="K2330" s="6" t="n">
        <f aca="false">MAX(0,min_cash-(Sens!J2331+Sens!K2327-Sens!K2328-Sens!K2329))</f>
        <v>0</v>
      </c>
    </row>
    <row r="2331" customFormat="false" ht="15" hidden="false" customHeight="false" outlineLevel="0" collapsed="false">
      <c r="A2331" s="1" t="s">
        <v>1129</v>
      </c>
      <c r="B2331" s="0" t="s">
        <v>98</v>
      </c>
      <c r="E2331" s="6" t="n">
        <f aca="false">cash_open</f>
        <v>76.843</v>
      </c>
      <c r="F2331" s="6" t="n">
        <f aca="false">Sens!E2331+Sens!F2327-Sens!F2328-Sens!F2329+Sens!F2330</f>
        <v>50</v>
      </c>
      <c r="G2331" s="6" t="n">
        <f aca="false">Sens!F2331+Sens!G2327-Sens!G2328-Sens!G2329+Sens!G2330</f>
        <v>50</v>
      </c>
      <c r="H2331" s="6" t="n">
        <f aca="false">Sens!G2331+Sens!H2327-Sens!H2328-Sens!H2329+Sens!H2330</f>
        <v>50</v>
      </c>
      <c r="I2331" s="6" t="n">
        <f aca="false">Sens!H2331+Sens!I2327-Sens!I2328-Sens!I2329+Sens!I2330</f>
        <v>88.5310930933625</v>
      </c>
      <c r="J2331" s="6" t="n">
        <f aca="false">Sens!I2331+Sens!J2327-Sens!J2328-Sens!J2329+Sens!J2330</f>
        <v>203.522498510017</v>
      </c>
      <c r="K2331" s="6" t="n">
        <f aca="false">Sens!J2331+Sens!K2327-Sens!K2328-Sens!K2329+Sens!K2330</f>
        <v>353.284826032257</v>
      </c>
    </row>
    <row r="2332" customFormat="false" ht="15" hidden="false" customHeight="false" outlineLevel="0" collapsed="false">
      <c r="A2332" s="1" t="s">
        <v>1130</v>
      </c>
      <c r="B2332" s="0" t="s">
        <v>98</v>
      </c>
      <c r="E2332" s="6" t="n">
        <f aca="false">debt_face</f>
        <v>46.136</v>
      </c>
      <c r="F2332" s="6" t="n">
        <f aca="false">Sens!E2332-Sens!F2328+Sens!F2330</f>
        <v>69.1586954544718</v>
      </c>
      <c r="G2332" s="6" t="n">
        <f aca="false">Sens!F2332-Sens!G2328+Sens!G2330</f>
        <v>115.259230249442</v>
      </c>
      <c r="H2332" s="6" t="n">
        <f aca="false">Sens!G2332-Sens!H2328+Sens!H2330</f>
        <v>125.617962958828</v>
      </c>
      <c r="I2332" s="6" t="n">
        <f aca="false">Sens!H2332-Sens!I2328+Sens!I2330</f>
        <v>125.617962958828</v>
      </c>
      <c r="J2332" s="6" t="n">
        <f aca="false">Sens!I2332-Sens!J2328+Sens!J2330</f>
        <v>125.117962958828</v>
      </c>
      <c r="K2332" s="6" t="n">
        <f aca="false">Sens!J2332-Sens!K2328+Sens!K2330</f>
        <v>125.117962958828</v>
      </c>
    </row>
    <row r="2333" customFormat="false" ht="15" hidden="false" customHeight="false" outlineLevel="0" collapsed="false">
      <c r="A2333" s="1" t="s">
        <v>1131</v>
      </c>
      <c r="B2333" s="0" t="s">
        <v>98</v>
      </c>
      <c r="E2333" s="6" t="n">
        <f aca="false">Sens!E2331-Sens!E2332</f>
        <v>30.707</v>
      </c>
      <c r="F2333" s="6" t="n">
        <f aca="false">Sens!F2331-Sens!F2332</f>
        <v>-19.1586954544718</v>
      </c>
      <c r="G2333" s="6" t="n">
        <f aca="false">Sens!G2331-Sens!G2332</f>
        <v>-65.2592302494416</v>
      </c>
      <c r="H2333" s="6" t="n">
        <f aca="false">Sens!H2331-Sens!H2332</f>
        <v>-75.6179629588285</v>
      </c>
      <c r="I2333" s="6" t="n">
        <f aca="false">Sens!I2331-Sens!I2332</f>
        <v>-37.086869865466</v>
      </c>
      <c r="J2333" s="6" t="n">
        <f aca="false">Sens!J2331-Sens!J2332</f>
        <v>78.4045355511881</v>
      </c>
      <c r="K2333" s="6" t="n">
        <f aca="false">Sens!K2331-Sens!K2332</f>
        <v>228.166863073429</v>
      </c>
    </row>
    <row r="2334" customFormat="false" ht="15" hidden="false" customHeight="false" outlineLevel="0" collapsed="false">
      <c r="A2334" s="1" t="s">
        <v>1132</v>
      </c>
      <c r="B2334" s="0" t="s">
        <v>75</v>
      </c>
      <c r="F2334" s="30" t="n">
        <f aca="false">px*(1+bb_g)^(Sens!F2192-base_fy-mid_yr)</f>
        <v>551.84177959629</v>
      </c>
      <c r="G2334" s="30" t="n">
        <f aca="false">px*(1+bb_g)^(Sens!G2192-base_fy-mid_yr)</f>
        <v>595.989121963993</v>
      </c>
      <c r="H2334" s="30" t="n">
        <f aca="false">px*(1+bb_g)^(Sens!H2192-base_fy-mid_yr)</f>
        <v>643.668251721112</v>
      </c>
      <c r="I2334" s="30" t="n">
        <f aca="false">px*(1+bb_g)^(Sens!I2192-base_fy-mid_yr)</f>
        <v>695.161711858801</v>
      </c>
      <c r="J2334" s="30" t="n">
        <f aca="false">px*(1+bb_g)^(Sens!J2192-base_fy-mid_yr)</f>
        <v>750.774648807506</v>
      </c>
      <c r="K2334" s="30" t="n">
        <f aca="false">px*(1+bb_g)^(Sens!K2192-base_fy-mid_yr)</f>
        <v>810.836620712106</v>
      </c>
    </row>
    <row r="2335" customFormat="false" ht="15" hidden="false" customHeight="false" outlineLevel="0" collapsed="false">
      <c r="A2335" s="1" t="s">
        <v>1133</v>
      </c>
      <c r="B2335" s="1" t="s">
        <v>81</v>
      </c>
      <c r="E2335" s="15" t="n">
        <f aca="false">sh_out26</f>
        <v>7.427</v>
      </c>
      <c r="F2335" s="15" t="n">
        <f aca="false">Sens!E2335+sh_iss-Sens!F2329/Sens!F2334</f>
        <v>7.472</v>
      </c>
      <c r="G2335" s="15" t="n">
        <f aca="false">Sens!F2335+sh_iss-Sens!G2329/Sens!G2334</f>
        <v>7.517</v>
      </c>
      <c r="H2335" s="15" t="n">
        <f aca="false">Sens!G2335+sh_iss-Sens!H2329/Sens!H2334</f>
        <v>7.562</v>
      </c>
      <c r="I2335" s="15" t="n">
        <f aca="false">Sens!H2335+sh_iss-Sens!I2329/Sens!I2334</f>
        <v>7.57496285005334</v>
      </c>
      <c r="J2335" s="15" t="n">
        <f aca="false">Sens!I2335+sh_iss-Sens!J2329/Sens!J2334</f>
        <v>7.59029882232494</v>
      </c>
      <c r="K2335" s="15" t="n">
        <f aca="false">Sens!J2335+sh_iss-Sens!K2329/Sens!K2334</f>
        <v>7.60783212998384</v>
      </c>
    </row>
    <row r="2336" customFormat="false" ht="15" hidden="false" customHeight="false" outlineLevel="0" collapsed="false">
      <c r="A2336" s="1" t="s">
        <v>1134</v>
      </c>
      <c r="B2336" s="1" t="s">
        <v>81</v>
      </c>
      <c r="E2336" s="15" t="n">
        <f aca="false">sh_dil26</f>
        <v>7.453</v>
      </c>
      <c r="F2336" s="15" t="n">
        <f aca="false">(Sens!E2335+Sens!F2335)/2+dil_gap</f>
        <v>7.4735</v>
      </c>
      <c r="G2336" s="15" t="n">
        <f aca="false">(Sens!F2335+Sens!G2335)/2+dil_gap</f>
        <v>7.5185</v>
      </c>
      <c r="H2336" s="15" t="n">
        <f aca="false">(Sens!G2335+Sens!H2335)/2+dil_gap</f>
        <v>7.5635</v>
      </c>
      <c r="I2336" s="15" t="n">
        <f aca="false">(Sens!H2335+Sens!I2335)/2+dil_gap</f>
        <v>7.59248142502667</v>
      </c>
      <c r="J2336" s="15" t="n">
        <f aca="false">(Sens!I2335+Sens!J2335)/2+dil_gap</f>
        <v>7.60663083618914</v>
      </c>
      <c r="K2336" s="15" t="n">
        <f aca="false">(Sens!J2335+Sens!K2335)/2+dil_gap</f>
        <v>7.62306547615439</v>
      </c>
    </row>
    <row r="2337" customFormat="false" ht="17.15" hidden="false" customHeight="false" outlineLevel="0" collapsed="false">
      <c r="A2337" s="1" t="s">
        <v>1135</v>
      </c>
      <c r="B2337" s="0" t="s">
        <v>98</v>
      </c>
      <c r="C2337" s="6" t="n">
        <f aca="false">SUM(Sens!F2327:J2327)</f>
        <v>92.2395355511881</v>
      </c>
    </row>
    <row r="2338" customFormat="false" ht="15" hidden="false" customHeight="false" outlineLevel="0" collapsed="false">
      <c r="A2338" s="26" t="s">
        <v>1100</v>
      </c>
      <c r="B2338" s="31" t="s">
        <v>98</v>
      </c>
      <c r="C2338" s="27" t="n">
        <f aca="false">Sens!$C$2337-(Sens!F2327+Sens!G2327+Sens!H2327+Sens!I2327+Sens!J2327)</f>
        <v>0</v>
      </c>
      <c r="D2338" s="31"/>
      <c r="E2338" s="31"/>
      <c r="F2338" s="31"/>
      <c r="G2338" s="31"/>
      <c r="H2338" s="31"/>
      <c r="I2338" s="31"/>
      <c r="J2338" s="31"/>
      <c r="K2338" s="31"/>
    </row>
    <row r="2339" customFormat="false" ht="17.15" hidden="false" customHeight="false" outlineLevel="0" collapsed="false">
      <c r="A2339" s="1" t="s">
        <v>1094</v>
      </c>
      <c r="B2339" s="1" t="s">
        <v>1136</v>
      </c>
      <c r="C2339" s="33" t="str">
        <f aca="false">IF(SUM(Sens!F2330:J2330)&gt;0.05,"需要舉債 "&amp;TEXT(SUM(Sens!F2330:J2330),"0.0")&amp;" 十億美元","不需舉債")&amp;"；"&amp;IF(SUM(Sens!F2329:J2329)&lt;COUNT(Sens!F2329:J2329)*bb_target-0.05,"回購較每年 "&amp;TEXT(bb_target,"0.0")&amp;" 的目標少 "&amp;TEXT(COUNT(Sens!F2329:J2329)*bb_target-SUM(Sens!F2329:J2329),"0.0")&amp;" 十億美元（"&amp;TEXT(COUNTIF(Sens!F2329:J2329,"&lt;"&amp;(bb_target-0.05)),"0")&amp;" 年減少）","回購不減")</f>
        <v>需要舉債 90.7 十億美元；回購較每年 22.3 的目標少 66.8 十億美元（3 年減少）</v>
      </c>
    </row>
    <row r="2340" customFormat="false" ht="17.15" hidden="false" customHeight="false" outlineLevel="0" collapsed="false">
      <c r="A2340" s="3" t="s">
        <v>1669</v>
      </c>
    </row>
    <row r="2341" customFormat="false" ht="15" hidden="false" customHeight="false" outlineLevel="0" collapsed="false">
      <c r="A2341" s="4" t="s">
        <v>43</v>
      </c>
      <c r="B2341" s="4" t="s">
        <v>65</v>
      </c>
      <c r="C2341" s="23" t="s">
        <v>942</v>
      </c>
      <c r="D2341" s="23" t="s">
        <v>943</v>
      </c>
      <c r="E2341" s="23" t="s">
        <v>944</v>
      </c>
      <c r="F2341" s="23" t="s">
        <v>945</v>
      </c>
      <c r="G2341" s="23" t="s">
        <v>946</v>
      </c>
      <c r="H2341" s="23" t="s">
        <v>947</v>
      </c>
      <c r="I2341" s="23" t="s">
        <v>948</v>
      </c>
      <c r="J2341" s="23" t="s">
        <v>949</v>
      </c>
      <c r="K2341" s="23" t="s">
        <v>950</v>
      </c>
      <c r="L2341" s="4" t="s">
        <v>47</v>
      </c>
    </row>
    <row r="2342" customFormat="false" ht="17.15" hidden="false" customHeight="false" outlineLevel="0" collapsed="false">
      <c r="A2342" s="1" t="s">
        <v>1216</v>
      </c>
      <c r="B2342" s="1" t="s">
        <v>279</v>
      </c>
      <c r="F2342" s="8" t="n">
        <f aca="false">(1-v_off)*mid_yr</f>
        <v>0.373972602739726</v>
      </c>
      <c r="G2342" s="8" t="n">
        <f aca="false">Sens!G2192-base_fy-mid_yr-v_off</f>
        <v>1.24794520547945</v>
      </c>
      <c r="H2342" s="8" t="n">
        <f aca="false">Sens!H2192-base_fy-mid_yr-v_off</f>
        <v>2.24794520547945</v>
      </c>
      <c r="I2342" s="8" t="n">
        <f aca="false">Sens!I2192-base_fy-mid_yr-v_off</f>
        <v>3.24794520547945</v>
      </c>
      <c r="J2342" s="8" t="n">
        <f aca="false">Sens!J2192-base_fy-mid_yr-v_off</f>
        <v>4.24794520547945</v>
      </c>
      <c r="K2342" s="8" t="n">
        <f aca="false">Sens!K2192-base_fy-mid_yr-v_off</f>
        <v>5.24794520547945</v>
      </c>
      <c r="L2342" s="12" t="s">
        <v>1217</v>
      </c>
    </row>
    <row r="2343" customFormat="false" ht="15" hidden="false" customHeight="false" outlineLevel="0" collapsed="false">
      <c r="A2343" s="1" t="s">
        <v>1218</v>
      </c>
      <c r="B2343" s="1" t="s">
        <v>279</v>
      </c>
      <c r="F2343" s="8" t="n">
        <f aca="false">Sens!F2192-base_fy-v_off</f>
        <v>0.747945205479452</v>
      </c>
      <c r="G2343" s="8" t="n">
        <f aca="false">Sens!G2192-base_fy-v_off</f>
        <v>1.74794520547945</v>
      </c>
      <c r="H2343" s="8" t="n">
        <f aca="false">Sens!H2192-base_fy-v_off</f>
        <v>2.74794520547945</v>
      </c>
      <c r="I2343" s="8" t="n">
        <f aca="false">Sens!I2192-base_fy-v_off</f>
        <v>3.74794520547945</v>
      </c>
      <c r="J2343" s="8" t="n">
        <f aca="false">Sens!J2192-base_fy-v_off</f>
        <v>4.74794520547945</v>
      </c>
      <c r="K2343" s="8" t="n">
        <f aca="false">Sens!K2192-base_fy-v_off</f>
        <v>5.74794520547945</v>
      </c>
    </row>
    <row r="2344" customFormat="false" ht="15" hidden="false" customHeight="false" outlineLevel="0" collapsed="false">
      <c r="A2344" s="1" t="s">
        <v>1219</v>
      </c>
      <c r="B2344" s="0" t="s">
        <v>229</v>
      </c>
      <c r="F2344" s="15" t="n">
        <f aca="false">1/(1+wacc)^Sens!F2342</f>
        <v>0.964022703286649</v>
      </c>
      <c r="G2344" s="15" t="n">
        <f aca="false">1/(1+wacc)^Sens!G2342</f>
        <v>0.884910302296739</v>
      </c>
      <c r="H2344" s="15" t="n">
        <f aca="false">1/(1+wacc)^Sens!H2342</f>
        <v>0.802322009770358</v>
      </c>
      <c r="I2344" s="15" t="n">
        <f aca="false">1/(1+wacc)^Sens!I2342</f>
        <v>0.727441646561469</v>
      </c>
      <c r="J2344" s="15" t="n">
        <f aca="false">1/(1+wacc)^Sens!J2342</f>
        <v>0.659549834988973</v>
      </c>
      <c r="K2344" s="15" t="n">
        <f aca="false">1/(1+wacc)^Sens!K2342</f>
        <v>0.597994336576966</v>
      </c>
    </row>
    <row r="2345" customFormat="false" ht="17.15" hidden="false" customHeight="false" outlineLevel="0" collapsed="false">
      <c r="A2345" s="1" t="s">
        <v>1220</v>
      </c>
      <c r="B2345" s="0" t="s">
        <v>98</v>
      </c>
      <c r="F2345" s="6" t="n">
        <f aca="false">Q!$I$35-Q!$I$39-Q!$I$43</f>
        <v>9.666</v>
      </c>
      <c r="L2345" s="12" t="s">
        <v>1221</v>
      </c>
    </row>
    <row r="2346" customFormat="false" ht="17.15" hidden="false" customHeight="false" outlineLevel="0" collapsed="false">
      <c r="A2346" s="1" t="s">
        <v>1222</v>
      </c>
      <c r="B2346" s="0" t="s">
        <v>98</v>
      </c>
      <c r="F2346" s="6" t="n">
        <f aca="false">Sens!F2317-Sens!F2314-Sens!F2321+Sens!F2299*(1-tax_f)*(1-v_off)-Sens!F2345</f>
        <v>-31.9182819758082</v>
      </c>
      <c r="G2346" s="6" t="n">
        <f aca="false">Sens!G2317-Sens!G2314-Sens!G2321+Sens!G2299*(1-tax_f)</f>
        <v>4.67380389605897</v>
      </c>
      <c r="H2346" s="6" t="n">
        <f aca="false">Sens!H2317-Sens!H2314-Sens!H2321+Sens!H2299*(1-tax_f)</f>
        <v>61.3994970846249</v>
      </c>
      <c r="I2346" s="6" t="n">
        <f aca="false">Sens!I2317-Sens!I2314-Sens!I2321+Sens!I2299*(1-tax_f)</f>
        <v>152.302587303001</v>
      </c>
      <c r="J2346" s="6" t="n">
        <f aca="false">Sens!J2317-Sens!J2314-Sens!J2321+Sens!J2299*(1-tax_f)</f>
        <v>243.766013857206</v>
      </c>
      <c r="K2346" s="6" t="n">
        <f aca="false">Sens!K2317-Sens!K2314-Sens!K2321+Sens!K2299*(1-tax_f)</f>
        <v>287.390267537835</v>
      </c>
      <c r="L2346" s="1" t="s">
        <v>1223</v>
      </c>
    </row>
    <row r="2347" customFormat="false" ht="15" hidden="false" customHeight="false" outlineLevel="0" collapsed="false">
      <c r="A2347" s="1" t="s">
        <v>1224</v>
      </c>
      <c r="B2347" s="0" t="s">
        <v>98</v>
      </c>
      <c r="F2347" s="6" t="n">
        <f aca="false">Sens!F2346*Sens!F2344</f>
        <v>-30.7699484745841</v>
      </c>
      <c r="G2347" s="6" t="n">
        <f aca="false">Sens!G2346*Sens!G2344</f>
        <v>4.13589721853722</v>
      </c>
      <c r="H2347" s="6" t="n">
        <f aca="false">Sens!H2346*Sens!H2344</f>
        <v>49.2621678998255</v>
      </c>
      <c r="I2347" s="6" t="n">
        <f aca="false">Sens!I2346*Sens!I2344</f>
        <v>110.791244883267</v>
      </c>
      <c r="J2347" s="6" t="n">
        <f aca="false">Sens!J2346*Sens!J2344</f>
        <v>160.77583421544</v>
      </c>
      <c r="K2347" s="6" t="n">
        <f aca="false">Sens!K2346*Sens!K2344</f>
        <v>171.857752374964</v>
      </c>
    </row>
    <row r="2348" customFormat="false" ht="17.15" hidden="false" customHeight="false" outlineLevel="0" collapsed="false">
      <c r="A2348" s="1" t="s">
        <v>1225</v>
      </c>
      <c r="B2348" s="0" t="s">
        <v>98</v>
      </c>
      <c r="C2348" s="6" t="n">
        <f aca="false">SUM(Sens!F2347:K2347)</f>
        <v>466.052948117449</v>
      </c>
    </row>
    <row r="2349" customFormat="false" ht="17.15" hidden="false" customHeight="false" outlineLevel="0" collapsed="false">
      <c r="A2349" s="1" t="s">
        <v>1226</v>
      </c>
      <c r="B2349" s="0" t="s">
        <v>98</v>
      </c>
      <c r="C2349" s="6" t="n">
        <f aca="false">Sens!K2285*(1+g_tv)*(1-tax_f)</f>
        <v>295.906093865771</v>
      </c>
    </row>
    <row r="2350" customFormat="false" ht="17.15" hidden="false" customHeight="false" outlineLevel="0" collapsed="false">
      <c r="A2350" s="1" t="s">
        <v>1227</v>
      </c>
      <c r="B2350" s="0" t="s">
        <v>98</v>
      </c>
      <c r="C2350" s="6" t="n">
        <f aca="false">Sens!$C$2349*(1-g_tv/(wacc+ronic_prem))</f>
        <v>209.666762113811</v>
      </c>
    </row>
    <row r="2351" customFormat="false" ht="17.15" hidden="false" customHeight="false" outlineLevel="0" collapsed="false">
      <c r="A2351" s="1" t="s">
        <v>1228</v>
      </c>
      <c r="B2351" s="0" t="s">
        <v>98</v>
      </c>
      <c r="C2351" s="6" t="n">
        <f aca="false">Sens!$C$2350/(wacc-g_tv)</f>
        <v>2874.64439173199</v>
      </c>
    </row>
    <row r="2352" customFormat="false" ht="15" hidden="false" customHeight="false" outlineLevel="0" collapsed="false">
      <c r="A2352" s="1" t="s">
        <v>1229</v>
      </c>
      <c r="B2352" s="0" t="s">
        <v>98</v>
      </c>
      <c r="C2352" s="6" t="n">
        <f aca="false">Sens!$C$2351/(1+wacc)^Sens!K2343</f>
        <v>1636.8388572153</v>
      </c>
    </row>
    <row r="2353" customFormat="false" ht="17.15" hidden="false" customHeight="false" outlineLevel="0" collapsed="false">
      <c r="A2353" s="0" t="s">
        <v>1230</v>
      </c>
      <c r="B2353" s="0" t="s">
        <v>98</v>
      </c>
      <c r="C2353" s="6" t="n">
        <f aca="false">Sens!$C$2348+Sens!$C$2352</f>
        <v>2102.89180533275</v>
      </c>
    </row>
    <row r="2354" customFormat="false" ht="15" hidden="false" customHeight="false" outlineLevel="0" collapsed="false">
      <c r="A2354" s="1" t="s">
        <v>1145</v>
      </c>
      <c r="B2354" s="0" t="s">
        <v>168</v>
      </c>
      <c r="C2354" s="7" t="n">
        <f aca="false">Sens!$C$2352/Sens!$C$2353</f>
        <v>0.77837521315382</v>
      </c>
    </row>
    <row r="2355" customFormat="false" ht="17.15" hidden="false" customHeight="false" outlineLevel="0" collapsed="false">
      <c r="A2355" s="1" t="s">
        <v>1231</v>
      </c>
      <c r="B2355" s="0" t="s">
        <v>98</v>
      </c>
      <c r="C2355" s="6" t="n">
        <f aca="false">Sens!$C$2353+cash_val-debt_val-fl_val+oai_v</f>
        <v>2218.74280533275</v>
      </c>
    </row>
    <row r="2356" customFormat="false" ht="17.15" hidden="false" customHeight="false" outlineLevel="0" collapsed="false">
      <c r="A2356" s="0" t="s">
        <v>1153</v>
      </c>
      <c r="B2356" s="0" t="s">
        <v>75</v>
      </c>
      <c r="C2356" s="5" t="n">
        <f aca="false">Sens!$C$2355/shd_val</f>
        <v>297.977814307379</v>
      </c>
    </row>
    <row r="2357" customFormat="false" ht="15" hidden="false" customHeight="false" outlineLevel="0" collapsed="false">
      <c r="A2357" s="1" t="s">
        <v>1232</v>
      </c>
      <c r="B2357" s="0" t="s">
        <v>75</v>
      </c>
      <c r="C2357" s="8" t="n">
        <f aca="false">div_rem27+Sens!G2325*roll_div_q/q_per_yr</f>
        <v>3.9795</v>
      </c>
    </row>
    <row r="2358" customFormat="false" ht="17.15" hidden="false" customHeight="false" outlineLevel="0" collapsed="false">
      <c r="A2358" s="0" t="s">
        <v>1233</v>
      </c>
      <c r="B2358" s="0" t="s">
        <v>75</v>
      </c>
      <c r="C2358" s="5" t="n">
        <f aca="false">Sens!$C$2356*(1+wacc)^t_roll-Sens!$C$2357</f>
        <v>327.239470966111</v>
      </c>
    </row>
    <row r="2359" customFormat="false" ht="17.15" hidden="false" customHeight="false" outlineLevel="0" collapsed="false">
      <c r="A2359" s="1" t="s">
        <v>1234</v>
      </c>
      <c r="B2359" s="0" t="s">
        <v>168</v>
      </c>
      <c r="F2359" s="7" t="n">
        <f aca="false">Sens!F2311/(Sens!F2256-Sens!F2211)</f>
        <v>0.060078694332758</v>
      </c>
      <c r="G2359" s="7" t="n">
        <f aca="false">Sens!G2311/(Sens!G2256-Sens!G2211)</f>
        <v>0.058975760556097</v>
      </c>
      <c r="H2359" s="7" t="n">
        <f aca="false">Sens!H2311/(Sens!H2256-Sens!H2211)</f>
        <v>0.0588289676998213</v>
      </c>
      <c r="I2359" s="7" t="n">
        <f aca="false">Sens!I2311/(Sens!I2256-Sens!I2211)</f>
        <v>0.0595949581513307</v>
      </c>
      <c r="J2359" s="7" t="n">
        <f aca="false">Sens!J2311/(Sens!J2256-Sens!J2211)</f>
        <v>0.0610721614106357</v>
      </c>
      <c r="K2359" s="7" t="n">
        <f aca="false">Sens!K2311/(Sens!K2256-Sens!K2211)</f>
        <v>0.0629801224774327</v>
      </c>
    </row>
    <row r="2360" customFormat="false" ht="17.15" hidden="false" customHeight="false" outlineLevel="0" collapsed="false">
      <c r="A2360" s="0" t="s">
        <v>1235</v>
      </c>
      <c r="B2360" s="0" t="s">
        <v>98</v>
      </c>
      <c r="F2360" s="6" t="n">
        <f aca="false">Sens!F2241*(al_m365+Sens!F2359+sbc_r)</f>
        <v>82.7077510618622</v>
      </c>
      <c r="G2360" s="6" t="n">
        <f aca="false">Sens!G2241*(al_m365+Sens!G2359+sbc_r)</f>
        <v>95.192691928641</v>
      </c>
      <c r="H2360" s="6" t="n">
        <f aca="false">Sens!H2241*(al_m365+Sens!H2359+sbc_r)</f>
        <v>107.842212247302</v>
      </c>
      <c r="I2360" s="6" t="n">
        <f aca="false">Sens!I2241*(al_m365+Sens!I2359+sbc_r)</f>
        <v>119.476246121244</v>
      </c>
      <c r="J2360" s="6" t="n">
        <f aca="false">Sens!J2241*(al_m365+Sens!J2359+sbc_r)</f>
        <v>129.902610938394</v>
      </c>
      <c r="K2360" s="6" t="n">
        <f aca="false">Sens!K2241*(al_m365+Sens!K2359+sbc_r)</f>
        <v>139.932275321405</v>
      </c>
      <c r="L2360" s="12" t="s">
        <v>1236</v>
      </c>
    </row>
    <row r="2361" customFormat="false" ht="17.15" hidden="false" customHeight="false" outlineLevel="0" collapsed="false">
      <c r="A2361" s="0" t="s">
        <v>1237</v>
      </c>
      <c r="B2361" s="0" t="s">
        <v>98</v>
      </c>
      <c r="F2361" s="6" t="n">
        <f aca="false">Sens!F2242*(al_lic+Sens!F2359+sbc_r)</f>
        <v>32.5299230972173</v>
      </c>
      <c r="G2361" s="6" t="n">
        <f aca="false">Sens!G2242*(al_lic+Sens!G2359+sbc_r)</f>
        <v>33.8632505311064</v>
      </c>
      <c r="H2361" s="6" t="n">
        <f aca="false">Sens!H2242*(al_lic+Sens!H2359+sbc_r)</f>
        <v>35.1019140357583</v>
      </c>
      <c r="I2361" s="6" t="n">
        <f aca="false">Sens!I2242*(al_lic+Sens!I2359+sbc_r)</f>
        <v>36.2288806534908</v>
      </c>
      <c r="J2361" s="6" t="n">
        <f aca="false">Sens!J2242*(al_lic+Sens!J2359+sbc_r)</f>
        <v>37.2206384364386</v>
      </c>
      <c r="K2361" s="6" t="n">
        <f aca="false">Sens!K2242*(al_lic+Sens!K2359+sbc_r)</f>
        <v>38.0504250448543</v>
      </c>
    </row>
    <row r="2362" customFormat="false" ht="17.15" hidden="false" customHeight="false" outlineLevel="0" collapsed="false">
      <c r="A2362" s="0" t="s">
        <v>1238</v>
      </c>
      <c r="B2362" s="0" t="s">
        <v>98</v>
      </c>
      <c r="F2362" s="6" t="n">
        <f aca="false">Sens!F2244*(al_ind+Sens!F2359+sbc_r)</f>
        <v>8.8698173640057</v>
      </c>
      <c r="G2362" s="6" t="n">
        <f aca="false">Sens!G2244*(al_ind+Sens!G2359+sbc_r)</f>
        <v>9.66890422161905</v>
      </c>
      <c r="H2362" s="6" t="n">
        <f aca="false">Sens!H2244*(al_ind+Sens!H2359+sbc_r)</f>
        <v>10.5095210976927</v>
      </c>
      <c r="I2362" s="6" t="n">
        <f aca="false">Sens!I2244*(al_ind+Sens!I2359+sbc_r)</f>
        <v>11.3886733496427</v>
      </c>
      <c r="J2362" s="6" t="n">
        <f aca="false">Sens!J2244*(al_ind+Sens!J2359+sbc_r)</f>
        <v>12.2973083731069</v>
      </c>
      <c r="K2362" s="6" t="n">
        <f aca="false">Sens!K2244*(al_ind+Sens!K2359+sbc_r)</f>
        <v>13.2211263125159</v>
      </c>
    </row>
    <row r="2363" customFormat="false" ht="17.15" hidden="false" customHeight="false" outlineLevel="0" collapsed="false">
      <c r="A2363" s="0" t="s">
        <v>1239</v>
      </c>
      <c r="B2363" s="0" t="s">
        <v>98</v>
      </c>
      <c r="F2363" s="6" t="n">
        <f aca="false">Sens!F2246*(al_fro+Sens!F2359+sbc_r)</f>
        <v>3.47926508784741</v>
      </c>
      <c r="G2363" s="6" t="n">
        <f aca="false">Sens!G2246*(al_fro+Sens!G2359+sbc_r)</f>
        <v>3.69960613116562</v>
      </c>
      <c r="H2363" s="6" t="n">
        <f aca="false">Sens!H2246*(al_fro+Sens!H2359+sbc_r)</f>
        <v>3.94681842649208</v>
      </c>
      <c r="I2363" s="6" t="n">
        <f aca="false">Sens!I2246*(al_fro+Sens!I2359+sbc_r)</f>
        <v>4.22392201798559</v>
      </c>
      <c r="J2363" s="6" t="n">
        <f aca="false">Sens!J2246*(al_fro+Sens!J2359+sbc_r)</f>
        <v>4.53248085883222</v>
      </c>
      <c r="K2363" s="6" t="n">
        <f aca="false">Sens!K2246*(al_fro+Sens!K2359+sbc_r)</f>
        <v>4.87297708779351</v>
      </c>
    </row>
    <row r="2364" customFormat="false" ht="17.15" hidden="false" customHeight="false" outlineLevel="0" collapsed="false">
      <c r="A2364" s="0" t="s">
        <v>1240</v>
      </c>
      <c r="B2364" s="0" t="s">
        <v>98</v>
      </c>
      <c r="F2364" s="6" t="n">
        <f aca="false">Sens!F2249*(al_srch+Sens!F2359+sbc_r)</f>
        <v>10.9537107735283</v>
      </c>
      <c r="G2364" s="6" t="n">
        <f aca="false">Sens!G2249*(al_srch+Sens!G2359+sbc_r)</f>
        <v>12.0532003718711</v>
      </c>
      <c r="H2364" s="6" t="n">
        <f aca="false">Sens!H2249*(al_srch+Sens!H2359+sbc_r)</f>
        <v>13.1943119779729</v>
      </c>
      <c r="I2364" s="6" t="n">
        <f aca="false">Sens!I2249*(al_srch+Sens!I2359+sbc_r)</f>
        <v>14.3662297970478</v>
      </c>
      <c r="J2364" s="6" t="n">
        <f aca="false">Sens!J2249*(al_srch+Sens!J2359+sbc_r)</f>
        <v>15.5496078176921</v>
      </c>
      <c r="K2364" s="6" t="n">
        <f aca="false">Sens!K2249*(al_srch+Sens!K2359+sbc_r)</f>
        <v>16.7177501637174</v>
      </c>
    </row>
    <row r="2365" customFormat="false" ht="17.15" hidden="false" customHeight="false" outlineLevel="0" collapsed="false">
      <c r="A2365" s="0" t="s">
        <v>1241</v>
      </c>
      <c r="B2365" s="0" t="s">
        <v>98</v>
      </c>
      <c r="F2365" s="6" t="n">
        <f aca="false">Sens!F2217-Sens!F2218+Sens!F2299</f>
        <v>45.8420795116063</v>
      </c>
      <c r="G2365" s="6" t="n">
        <f aca="false">Sens!G2217-Sens!G2218+Sens!G2299</f>
        <v>91.8404525223617</v>
      </c>
      <c r="H2365" s="6" t="n">
        <f aca="false">Sens!H2217-Sens!H2218+Sens!H2299</f>
        <v>141.295707434017</v>
      </c>
      <c r="I2365" s="6" t="n">
        <f aca="false">Sens!I2217-Sens!I2218+Sens!I2299</f>
        <v>185.427144144605</v>
      </c>
      <c r="J2365" s="6" t="n">
        <f aca="false">Sens!J2217-Sens!J2218+Sens!J2299</f>
        <v>216.395023794036</v>
      </c>
      <c r="K2365" s="6" t="n">
        <f aca="false">Sens!K2217-Sens!K2218+Sens!K2299</f>
        <v>235.275289513248</v>
      </c>
    </row>
    <row r="2366" customFormat="false" ht="17.15" hidden="false" customHeight="false" outlineLevel="0" collapsed="false">
      <c r="A2366" s="0" t="s">
        <v>1242</v>
      </c>
      <c r="B2366" s="0" t="s">
        <v>98</v>
      </c>
      <c r="F2366" s="6" t="n">
        <f aca="false">Sens!F2278+Sens!F2299+Sens!F2229+Sens!F2359*(Sens!F2248-Sens!F2211)+sbc_r*Sens!F2248</f>
        <v>245.73839007759</v>
      </c>
      <c r="G2366" s="6" t="n">
        <f aca="false">Sens!G2278+Sens!G2299+Sens!G2229+Sens!G2359*(Sens!G2248-Sens!G2211)+sbc_r*Sens!G2248</f>
        <v>314.554301938492</v>
      </c>
      <c r="H2366" s="6" t="n">
        <f aca="false">Sens!H2278+Sens!H2299+Sens!H2229+Sens!H2359*(Sens!H2248-Sens!H2211)+sbc_r*Sens!H2248</f>
        <v>392.776025104324</v>
      </c>
      <c r="I2366" s="6" t="n">
        <f aca="false">Sens!I2278+Sens!I2299+Sens!I2229+Sens!I2359*(Sens!I2248-Sens!I2211)+sbc_r*Sens!I2248</f>
        <v>464.234134818995</v>
      </c>
      <c r="J2366" s="6" t="n">
        <f aca="false">Sens!J2278+Sens!J2299+Sens!J2229+Sens!J2359*(Sens!J2248-Sens!J2211)+sbc_r*Sens!J2248</f>
        <v>519.984836735714</v>
      </c>
      <c r="K2366" s="6" t="n">
        <f aca="false">Sens!K2278+Sens!K2299+Sens!K2229+Sens!K2359*(Sens!K2248-Sens!K2211)+sbc_r*Sens!K2248</f>
        <v>561.170292086142</v>
      </c>
    </row>
    <row r="2367" customFormat="false" ht="17.15" hidden="false" customHeight="false" outlineLevel="0" collapsed="false">
      <c r="A2367" s="0" t="s">
        <v>1243</v>
      </c>
      <c r="B2367" s="0" t="s">
        <v>98</v>
      </c>
      <c r="F2367" s="6" t="n">
        <f aca="false">Sens!F2366-Sens!F2360-Sens!F2361-Sens!F2362-Sens!F2363-Sens!F2365</f>
        <v>72.3095539550516</v>
      </c>
      <c r="G2367" s="6" t="n">
        <f aca="false">Sens!G2366-Sens!G2360-Sens!G2361-Sens!G2362-Sens!G2363-Sens!G2365</f>
        <v>80.2893966035985</v>
      </c>
      <c r="H2367" s="6" t="n">
        <f aca="false">Sens!H2366-Sens!H2360-Sens!H2361-Sens!H2362-Sens!H2363-Sens!H2365</f>
        <v>94.079851863062</v>
      </c>
      <c r="I2367" s="6" t="n">
        <f aca="false">Sens!I2366-Sens!I2360-Sens!I2361-Sens!I2362-Sens!I2363-Sens!I2365</f>
        <v>107.489268532026</v>
      </c>
      <c r="J2367" s="6" t="n">
        <f aca="false">Sens!J2366-Sens!J2360-Sens!J2361-Sens!J2362-Sens!J2363-Sens!J2365</f>
        <v>119.636774334907</v>
      </c>
      <c r="K2367" s="6" t="n">
        <f aca="false">Sens!K2366-Sens!K2360-Sens!K2361-Sens!K2362-Sens!K2363-Sens!K2365</f>
        <v>129.818198806326</v>
      </c>
    </row>
    <row r="2368" customFormat="false" ht="17.15" hidden="false" customHeight="false" outlineLevel="0" collapsed="false">
      <c r="A2368" s="0" t="s">
        <v>1244</v>
      </c>
      <c r="B2368" s="0" t="s">
        <v>98</v>
      </c>
      <c r="F2368" s="6" t="n">
        <f aca="false">Sens!F2280+Sens!F2359*Sens!F2255+sbc_r*Sens!F2255</f>
        <v>26.0844369998519</v>
      </c>
      <c r="G2368" s="6" t="n">
        <f aca="false">Sens!G2280+Sens!G2359*Sens!G2255+sbc_r*Sens!G2255</f>
        <v>26.0175941433585</v>
      </c>
      <c r="H2368" s="6" t="n">
        <f aca="false">Sens!H2280+Sens!H2359*Sens!H2255+sbc_r*Sens!H2255</f>
        <v>26.9647024553288</v>
      </c>
      <c r="I2368" s="6" t="n">
        <f aca="false">Sens!I2280+Sens!I2359*Sens!I2255+sbc_r*Sens!I2255</f>
        <v>28.1303133519264</v>
      </c>
      <c r="J2368" s="6" t="n">
        <f aca="false">Sens!J2280+Sens!J2359*Sens!J2255+sbc_r*Sens!J2255</f>
        <v>29.4840788915063</v>
      </c>
      <c r="K2368" s="6" t="n">
        <f aca="false">Sens!K2280+Sens!K2359*Sens!K2255+sbc_r*Sens!K2255</f>
        <v>30.992953401262</v>
      </c>
    </row>
    <row r="2369" customFormat="false" ht="17.15" hidden="false" customHeight="false" outlineLevel="0" collapsed="false">
      <c r="A2369" s="0" t="s">
        <v>1245</v>
      </c>
      <c r="B2369" s="0" t="s">
        <v>98</v>
      </c>
      <c r="F2369" s="6" t="n">
        <f aca="false">(Sens!F2368-Sens!F2364)*Sens!F2251/(Sens!F2251+Sens!F2253)</f>
        <v>8.54561505710268</v>
      </c>
      <c r="G2369" s="6" t="n">
        <f aca="false">(Sens!G2368-Sens!G2364)*Sens!G2251/(Sens!G2251+Sens!G2253)</f>
        <v>7.75134106185928</v>
      </c>
      <c r="H2369" s="6" t="n">
        <f aca="false">(Sens!H2368-Sens!H2364)*Sens!H2251/(Sens!H2251+Sens!H2253)</f>
        <v>7.54407973767365</v>
      </c>
      <c r="I2369" s="6" t="n">
        <f aca="false">(Sens!I2368-Sens!I2364)*Sens!I2251/(Sens!I2251+Sens!I2253)</f>
        <v>7.47480650946807</v>
      </c>
      <c r="J2369" s="6" t="n">
        <f aca="false">(Sens!J2368-Sens!J2364)*Sens!J2251/(Sens!J2251+Sens!J2253)</f>
        <v>7.53432224819113</v>
      </c>
      <c r="K2369" s="6" t="n">
        <f aca="false">(Sens!K2368-Sens!K2364)*Sens!K2251/(Sens!K2251+Sens!K2253)</f>
        <v>7.7185549979144</v>
      </c>
    </row>
    <row r="2370" customFormat="false" ht="17.15" hidden="false" customHeight="false" outlineLevel="0" collapsed="false">
      <c r="A2370" s="0" t="s">
        <v>1246</v>
      </c>
      <c r="B2370" s="0" t="s">
        <v>98</v>
      </c>
      <c r="F2370" s="6" t="n">
        <f aca="false">Sens!F2368-Sens!F2364-Sens!F2369</f>
        <v>6.58511116922089</v>
      </c>
      <c r="G2370" s="6" t="n">
        <f aca="false">Sens!G2368-Sens!G2364-Sens!G2369</f>
        <v>6.21305270962818</v>
      </c>
      <c r="H2370" s="6" t="n">
        <f aca="false">Sens!H2368-Sens!H2364-Sens!H2369</f>
        <v>6.22631073968217</v>
      </c>
      <c r="I2370" s="6" t="n">
        <f aca="false">Sens!I2368-Sens!I2364-Sens!I2369</f>
        <v>6.28927704541059</v>
      </c>
      <c r="J2370" s="6" t="n">
        <f aca="false">Sens!J2368-Sens!J2364-Sens!J2369</f>
        <v>6.40014882562307</v>
      </c>
      <c r="K2370" s="6" t="n">
        <f aca="false">Sens!K2368-Sens!K2364-Sens!K2369</f>
        <v>6.55664823963019</v>
      </c>
    </row>
    <row r="2371" customFormat="false" ht="17.15" hidden="false" customHeight="false" outlineLevel="0" collapsed="false">
      <c r="A2371" s="0" t="s">
        <v>1247</v>
      </c>
      <c r="B2371" s="0" t="s">
        <v>98</v>
      </c>
      <c r="F2371" s="6" t="n">
        <f aca="false">Sens!F2365-tax_f*(Sens!F2365-Sens!F2229)-Sens!F2226</f>
        <v>-157.171985766454</v>
      </c>
      <c r="G2371" s="6" t="n">
        <f aca="false">Sens!G2365-tax_f*(Sens!G2365-Sens!G2229)-Sens!G2226</f>
        <v>-142.284731004417</v>
      </c>
      <c r="H2371" s="6" t="n">
        <f aca="false">Sens!H2365-tax_f*(Sens!H2365-Sens!H2229)-Sens!H2226</f>
        <v>-101.746617171454</v>
      </c>
      <c r="I2371" s="6" t="n">
        <f aca="false">Sens!I2365-tax_f*(Sens!I2365-Sens!I2229)-Sens!I2226</f>
        <v>-26.5806427035565</v>
      </c>
      <c r="J2371" s="6" t="n">
        <f aca="false">Sens!J2365-tax_f*(Sens!J2365-Sens!J2229)-Sens!J2226</f>
        <v>50.0838631320033</v>
      </c>
      <c r="K2371" s="6" t="n">
        <f aca="false">Sens!K2365-tax_f*(Sens!K2365-Sens!K2229)-Sens!K2226</f>
        <v>79.7878486251433</v>
      </c>
    </row>
    <row r="2372" customFormat="false" ht="17.15" hidden="false" customHeight="false" outlineLevel="0" collapsed="false">
      <c r="A2372" s="0" t="s">
        <v>1248</v>
      </c>
      <c r="B2372" s="0" t="s">
        <v>98</v>
      </c>
      <c r="G2372" s="6" t="n">
        <f aca="false">Sens!G2371/(1+wacc)^(Sens!G2342-Sens!F2343)</f>
        <v>-135.482444696316</v>
      </c>
      <c r="H2372" s="6" t="n">
        <f aca="false">Sens!H2371/(1+wacc)^(Sens!H2342-Sens!F2343)</f>
        <v>-87.8403709774983</v>
      </c>
      <c r="I2372" s="6" t="n">
        <f aca="false">Sens!I2371/(1+wacc)^(Sens!I2342-Sens!F2343)</f>
        <v>-20.8060249524442</v>
      </c>
      <c r="J2372" s="6" t="n">
        <f aca="false">Sens!J2371/(1+wacc)^(Sens!J2342-Sens!F2343)</f>
        <v>35.5443774639761</v>
      </c>
      <c r="K2372" s="6" t="n">
        <f aca="false">Sens!K2371/(1+wacc)^(Sens!K2342-Sens!F2343)</f>
        <v>51.340406404435</v>
      </c>
      <c r="L2372" s="1" t="s">
        <v>1249</v>
      </c>
    </row>
    <row r="2373" customFormat="false" ht="17.15" hidden="false" customHeight="false" outlineLevel="0" collapsed="false">
      <c r="A2373" s="0" t="s">
        <v>1250</v>
      </c>
      <c r="B2373" s="0" t="s">
        <v>98</v>
      </c>
      <c r="C2373" s="6" t="n">
        <f aca="false">(Sens!K2365-Sens!K2229)*(1-tax_f)*(1+g_tv)*(1-g_tv/(wacc+ronic_prem))/(wacc-g_tv)/(1+wacc)^(Sens!K2343-Sens!F2343)</f>
        <v>312.228056992831</v>
      </c>
    </row>
    <row r="2374" customFormat="false" ht="17.15" hidden="false" customHeight="false" outlineLevel="0" collapsed="false">
      <c r="A2374" s="1" t="s">
        <v>1251</v>
      </c>
      <c r="B2374" s="0" t="s">
        <v>98</v>
      </c>
      <c r="C2374" s="6" t="n">
        <f aca="false">(SUM(Sens!G2372:K2372)+Sens!$C$2373)*(1+wacc)^(t_roll-Sens!F2343)</f>
        <v>160.100490789147</v>
      </c>
      <c r="L2374" s="12" t="s">
        <v>1252</v>
      </c>
    </row>
    <row r="2375" customFormat="false" ht="17.15" hidden="false" customHeight="false" outlineLevel="0" collapsed="false">
      <c r="A2375" s="1" t="s">
        <v>1253</v>
      </c>
      <c r="B2375" s="0" t="s">
        <v>98</v>
      </c>
      <c r="C2375" s="6" t="n">
        <f aca="false">(w_ntm28*Sens!G2217+(1-w_ntm28)*Sens!H2217)*m_ai</f>
        <v>463.789109510335</v>
      </c>
    </row>
    <row r="2376" customFormat="false" ht="17.15" hidden="false" customHeight="false" outlineLevel="0" collapsed="false">
      <c r="A2376" s="1" t="s">
        <v>1254</v>
      </c>
      <c r="B2376" s="0" t="s">
        <v>98</v>
      </c>
      <c r="C2376" s="6" t="n">
        <f aca="false">(w_ntm28*Sens!G2367+(1-w_ntm28)*Sens!H2367)*m_cloud</f>
        <v>1172.25724462966</v>
      </c>
    </row>
    <row r="2377" customFormat="false" ht="17.15" hidden="false" customHeight="false" outlineLevel="0" collapsed="false">
      <c r="A2377" s="1" t="s">
        <v>1255</v>
      </c>
      <c r="B2377" s="0" t="s">
        <v>98</v>
      </c>
      <c r="C2377" s="6" t="n">
        <f aca="false">(w_ntm28*Sens!G2360+(1-w_ntm28)*Sens!H2360)*m_sw</f>
        <v>1072.99553401558</v>
      </c>
    </row>
    <row r="2378" customFormat="false" ht="17.15" hidden="false" customHeight="false" outlineLevel="0" collapsed="false">
      <c r="A2378" s="1" t="s">
        <v>1256</v>
      </c>
      <c r="B2378" s="0" t="s">
        <v>98</v>
      </c>
      <c r="C2378" s="6" t="n">
        <f aca="false">(w_ntm28*Sens!G2361+(1-w_ntm28)*Sens!H2361)*m_sw</f>
        <v>370.121209577124</v>
      </c>
    </row>
    <row r="2379" customFormat="false" ht="17.15" hidden="false" customHeight="false" outlineLevel="0" collapsed="false">
      <c r="A2379" s="1" t="s">
        <v>1257</v>
      </c>
      <c r="B2379" s="0" t="s">
        <v>98</v>
      </c>
      <c r="C2379" s="6" t="n">
        <f aca="false">(w_ntm28*Sens!G2362+(1-w_ntm28)*Sens!H2362)*m_sw</f>
        <v>107.408931268531</v>
      </c>
    </row>
    <row r="2380" customFormat="false" ht="17.15" hidden="false" customHeight="false" outlineLevel="0" collapsed="false">
      <c r="A2380" s="1" t="s">
        <v>1258</v>
      </c>
      <c r="B2380" s="0" t="s">
        <v>98</v>
      </c>
      <c r="C2380" s="6" t="n">
        <f aca="false">(w_ntm28*Sens!G2363+(1-w_ntm28)*Sens!H2363)*m_sw</f>
        <v>40.8335191884876</v>
      </c>
    </row>
    <row r="2381" customFormat="false" ht="17.15" hidden="false" customHeight="false" outlineLevel="0" collapsed="false">
      <c r="A2381" s="1" t="s">
        <v>1259</v>
      </c>
      <c r="B2381" s="0" t="s">
        <v>98</v>
      </c>
      <c r="C2381" s="6" t="n">
        <f aca="false">(w_ntm28*Sens!G2364+(1-w_ntm28)*Sens!H2364)*m_ads</f>
        <v>113.22236280635</v>
      </c>
    </row>
    <row r="2382" customFormat="false" ht="17.15" hidden="false" customHeight="false" outlineLevel="0" collapsed="false">
      <c r="A2382" s="1" t="s">
        <v>1260</v>
      </c>
      <c r="B2382" s="0" t="s">
        <v>98</v>
      </c>
      <c r="C2382" s="6" t="n">
        <f aca="false">(w_ntm28*Sens!G2369+(1-w_ntm28)*Sens!H2369)*m_game</f>
        <v>97.0388204525547</v>
      </c>
    </row>
    <row r="2383" customFormat="false" ht="17.15" hidden="false" customHeight="false" outlineLevel="0" collapsed="false">
      <c r="A2383" s="1" t="s">
        <v>1261</v>
      </c>
      <c r="B2383" s="0" t="s">
        <v>98</v>
      </c>
      <c r="C2383" s="6" t="n">
        <f aca="false">(w_ntm28*Sens!G2370+(1-w_ntm28)*Sens!H2370)*m_pc</f>
        <v>89.9659446080067</v>
      </c>
    </row>
    <row r="2384" customFormat="false" ht="17.15" hidden="false" customHeight="false" outlineLevel="0" collapsed="false">
      <c r="A2384" s="1" t="s">
        <v>1262</v>
      </c>
      <c r="B2384" s="0" t="s">
        <v>98</v>
      </c>
      <c r="C2384" s="6" t="n">
        <f aca="false">Sens!$C$2374+Sens!$C$2376+Sens!$C$2377+Sens!$C$2378+Sens!$C$2379+Sens!$C$2380+Sens!$C$2381+Sens!$C$2382+Sens!$C$2383</f>
        <v>3223.94405733544</v>
      </c>
    </row>
    <row r="2385" customFormat="false" ht="17.15" hidden="false" customHeight="false" outlineLevel="0" collapsed="false">
      <c r="A2385" s="1" t="s">
        <v>1263</v>
      </c>
      <c r="B2385" s="0" t="s">
        <v>98</v>
      </c>
      <c r="C2385" s="6" t="n">
        <f aca="false">(Sens!G2346-Sens!G2371)*t_stub</f>
        <v>48.7177608848152</v>
      </c>
      <c r="L2385" s="1" t="s">
        <v>1264</v>
      </c>
    </row>
    <row r="2386" customFormat="false" ht="17.15" hidden="false" customHeight="false" outlineLevel="0" collapsed="false">
      <c r="A2386" s="1" t="s">
        <v>1173</v>
      </c>
      <c r="B2386" s="0" t="s">
        <v>98</v>
      </c>
      <c r="C2386" s="6" t="n">
        <f aca="false">Sens!F2333+oai_v-Sens!F2322+Sens!$C$2385</f>
        <v>130.673335430343</v>
      </c>
      <c r="L2386" s="1" t="s">
        <v>1265</v>
      </c>
    </row>
    <row r="2387" customFormat="false" ht="17.15" hidden="false" customHeight="false" outlineLevel="0" collapsed="false">
      <c r="A2387" s="1" t="s">
        <v>1266</v>
      </c>
      <c r="B2387" s="0" t="s">
        <v>75</v>
      </c>
      <c r="C2387" s="5" t="n">
        <f aca="false">(Sens!$C$2384+Sens!$C$2386)/(Sens!F2335+dil_gap)-Sens!G2325*roll_div_q/q_per_yr</f>
        <v>446.481496900452</v>
      </c>
      <c r="L2387" s="1" t="s">
        <v>1267</v>
      </c>
    </row>
    <row r="2388" customFormat="false" ht="17.15" hidden="false" customHeight="false" outlineLevel="0" collapsed="false">
      <c r="A2388" s="1" t="s">
        <v>1268</v>
      </c>
      <c r="B2388" s="0" t="s">
        <v>75</v>
      </c>
      <c r="C2388" s="5" t="n">
        <f aca="false">w_dcf*Sens!$C$2358+(1-w_dcf)*Sens!$C$2387</f>
        <v>386.860483933281</v>
      </c>
    </row>
    <row r="2389" customFormat="false" ht="17.15" hidden="false" customHeight="false" outlineLevel="0" collapsed="false">
      <c r="A2389" s="3" t="s">
        <v>1670</v>
      </c>
    </row>
    <row r="2390" customFormat="false" ht="15" hidden="false" customHeight="false" outlineLevel="0" collapsed="false">
      <c r="A2390" s="4" t="s">
        <v>43</v>
      </c>
      <c r="B2390" s="4" t="s">
        <v>65</v>
      </c>
      <c r="C2390" s="23" t="s">
        <v>942</v>
      </c>
      <c r="D2390" s="23" t="s">
        <v>943</v>
      </c>
      <c r="E2390" s="23" t="s">
        <v>944</v>
      </c>
      <c r="F2390" s="23" t="s">
        <v>945</v>
      </c>
      <c r="G2390" s="23" t="s">
        <v>946</v>
      </c>
      <c r="H2390" s="23" t="s">
        <v>947</v>
      </c>
      <c r="I2390" s="23" t="s">
        <v>948</v>
      </c>
      <c r="J2390" s="23" t="s">
        <v>949</v>
      </c>
      <c r="K2390" s="23" t="s">
        <v>950</v>
      </c>
      <c r="L2390" s="4" t="s">
        <v>47</v>
      </c>
    </row>
    <row r="2391" customFormat="false" ht="17.15" hidden="false" customHeight="false" outlineLevel="0" collapsed="false">
      <c r="A2391" s="1" t="s">
        <v>951</v>
      </c>
      <c r="B2391" s="1" t="s">
        <v>279</v>
      </c>
      <c r="C2391" s="21" t="n">
        <v>2024</v>
      </c>
      <c r="D2391" s="21" t="n">
        <v>2025</v>
      </c>
      <c r="E2391" s="21" t="n">
        <v>2026</v>
      </c>
      <c r="F2391" s="21" t="n">
        <v>2027</v>
      </c>
      <c r="G2391" s="21" t="n">
        <v>2028</v>
      </c>
      <c r="H2391" s="21" t="n">
        <v>2029</v>
      </c>
      <c r="I2391" s="21" t="n">
        <v>2030</v>
      </c>
      <c r="J2391" s="21" t="n">
        <v>2031</v>
      </c>
      <c r="K2391" s="21" t="n">
        <v>2032</v>
      </c>
    </row>
    <row r="2392" customFormat="false" ht="17.15" hidden="false" customHeight="false" outlineLevel="0" collapsed="false">
      <c r="A2392" s="1" t="s">
        <v>952</v>
      </c>
      <c r="B2392" s="0" t="s">
        <v>459</v>
      </c>
      <c r="F2392" s="30" t="n">
        <f aca="false">pace</f>
        <v>2726.5351</v>
      </c>
      <c r="G2392" s="30" t="n">
        <f aca="false">pace</f>
        <v>2726.5351</v>
      </c>
      <c r="H2392" s="30" t="n">
        <f aca="false">pace</f>
        <v>2726.5351</v>
      </c>
      <c r="I2392" s="30" t="n">
        <f aca="false">pace+(g_tv*Sens!H2393-pace)*MIN(1,(Sens!I2391-pace_y0)/(pace_y1-pace_y0))</f>
        <v>1931.98611966667</v>
      </c>
      <c r="J2392" s="30" t="n">
        <f aca="false">pace+(g_tv*Sens!I2393-pace)*MIN(1,(Sens!J2391-pace_y0)/(pace_y1-pace_y0))</f>
        <v>1176.07686172667</v>
      </c>
      <c r="K2392" s="30" t="n">
        <f aca="false">pace+(g_tv*Sens!J2393-pace)*MIN(1,(Sens!K2391-pace_y0)/(pace_y1-pace_y0))</f>
        <v>436.1300484418</v>
      </c>
      <c r="L2392" s="12" t="s">
        <v>953</v>
      </c>
    </row>
    <row r="2393" customFormat="false" ht="17.15" hidden="false" customHeight="false" outlineLevel="0" collapsed="false">
      <c r="A2393" s="1" t="s">
        <v>954</v>
      </c>
      <c r="B2393" s="0" t="s">
        <v>459</v>
      </c>
      <c r="C2393" s="30" t="n">
        <f aca="false">mw_ext_24</f>
        <v>640</v>
      </c>
      <c r="D2393" s="30" t="n">
        <f aca="false">mw_ext_25</f>
        <v>1630</v>
      </c>
      <c r="E2393" s="30" t="n">
        <f aca="false">mw_ext_26</f>
        <v>3250</v>
      </c>
      <c r="F2393" s="30" t="n">
        <f aca="false">Sens!E2393+Sens!F2392</f>
        <v>5976.5351</v>
      </c>
      <c r="G2393" s="30" t="n">
        <f aca="false">Sens!F2393+Sens!G2392</f>
        <v>8703.0702</v>
      </c>
      <c r="H2393" s="30" t="n">
        <f aca="false">Sens!G2393+Sens!H2392</f>
        <v>11429.6053</v>
      </c>
      <c r="I2393" s="30" t="n">
        <f aca="false">Sens!H2393+Sens!I2392</f>
        <v>13361.5914196667</v>
      </c>
      <c r="J2393" s="30" t="n">
        <f aca="false">Sens!I2393+Sens!J2392</f>
        <v>14537.6682813933</v>
      </c>
      <c r="K2393" s="30" t="n">
        <f aca="false">Sens!J2393+Sens!K2392</f>
        <v>14973.7983298351</v>
      </c>
      <c r="L2393" s="1" t="s">
        <v>955</v>
      </c>
    </row>
    <row r="2394" customFormat="false" ht="17.15" hidden="false" customHeight="false" outlineLevel="0" collapsed="false">
      <c r="A2394" s="1" t="s">
        <v>956</v>
      </c>
      <c r="B2394" s="0" t="s">
        <v>459</v>
      </c>
      <c r="C2394" s="30" t="n">
        <f aca="false">rent_ext_24</f>
        <v>150</v>
      </c>
      <c r="D2394" s="30" t="n">
        <f aca="false">rent_ext_25</f>
        <v>400</v>
      </c>
      <c r="E2394" s="30" t="n">
        <f aca="false">rent_ext_26</f>
        <v>550</v>
      </c>
      <c r="F2394" s="30" t="n">
        <f aca="false">rent_ext_f</f>
        <v>756</v>
      </c>
      <c r="G2394" s="30" t="n">
        <f aca="false">rent_ext_f</f>
        <v>756</v>
      </c>
      <c r="H2394" s="30" t="n">
        <f aca="false">rent_ext_f</f>
        <v>756</v>
      </c>
      <c r="I2394" s="30" t="n">
        <f aca="false">rent_ext_f</f>
        <v>756</v>
      </c>
      <c r="J2394" s="30" t="n">
        <f aca="false">rent_ext_f</f>
        <v>756</v>
      </c>
      <c r="K2394" s="30" t="n">
        <f aca="false">rent_ext_f</f>
        <v>756</v>
      </c>
      <c r="L2394" s="1" t="s">
        <v>957</v>
      </c>
    </row>
    <row r="2395" customFormat="false" ht="17.15" hidden="false" customHeight="false" outlineLevel="0" collapsed="false">
      <c r="A2395" s="1" t="s">
        <v>958</v>
      </c>
      <c r="B2395" s="0" t="s">
        <v>459</v>
      </c>
      <c r="C2395" s="30" t="n">
        <f aca="false">Sens!C2393-Sens!C2394</f>
        <v>490</v>
      </c>
      <c r="D2395" s="30" t="n">
        <f aca="false">Sens!D2393-Sens!D2394</f>
        <v>1230</v>
      </c>
      <c r="E2395" s="30" t="n">
        <f aca="false">Sens!E2393-Sens!E2394</f>
        <v>2700</v>
      </c>
      <c r="F2395" s="30" t="n">
        <f aca="false">Sens!F2393-Sens!F2394</f>
        <v>5220.5351</v>
      </c>
      <c r="G2395" s="30" t="n">
        <f aca="false">Sens!G2393-Sens!G2394</f>
        <v>7947.0702</v>
      </c>
      <c r="H2395" s="30" t="n">
        <f aca="false">Sens!H2393-Sens!H2394</f>
        <v>10673.6053</v>
      </c>
      <c r="I2395" s="30" t="n">
        <f aca="false">Sens!I2393-Sens!I2394</f>
        <v>12605.5914196667</v>
      </c>
      <c r="J2395" s="30" t="n">
        <f aca="false">Sens!J2393-Sens!J2394</f>
        <v>13781.6682813933</v>
      </c>
      <c r="K2395" s="30" t="n">
        <f aca="false">Sens!K2393-Sens!K2394</f>
        <v>14217.7983298351</v>
      </c>
    </row>
    <row r="2396" customFormat="false" ht="17.15" hidden="false" customHeight="false" outlineLevel="0" collapsed="false">
      <c r="A2396" s="1" t="s">
        <v>959</v>
      </c>
      <c r="B2396" s="0" t="s">
        <v>459</v>
      </c>
      <c r="C2396" s="30" t="n">
        <f aca="false">Sens!C2395/ext_sh_lo</f>
        <v>980</v>
      </c>
      <c r="D2396" s="30" t="n">
        <f aca="false">Sens!D2395/ext_sh_lo</f>
        <v>2460</v>
      </c>
      <c r="E2396" s="30" t="n">
        <f aca="false">Sens!E2395/ext_sh_lo</f>
        <v>5400</v>
      </c>
      <c r="F2396" s="30" t="n">
        <f aca="false">Sens!F2395/ext_sh_lo</f>
        <v>10441.0702</v>
      </c>
      <c r="G2396" s="30" t="n">
        <f aca="false">Sens!G2395/ext_sh_lo</f>
        <v>15894.1404</v>
      </c>
      <c r="H2396" s="30" t="n">
        <f aca="false">Sens!H2395/ext_sh_lo</f>
        <v>21347.2106</v>
      </c>
      <c r="I2396" s="30" t="n">
        <f aca="false">Sens!I2395/ext_sh_lo</f>
        <v>25211.1828393333</v>
      </c>
      <c r="J2396" s="30" t="n">
        <f aca="false">Sens!J2395/ext_sh_lo</f>
        <v>27563.3365627867</v>
      </c>
      <c r="K2396" s="30" t="n">
        <f aca="false">Sens!K2395/ext_sh_lo</f>
        <v>28435.5966596703</v>
      </c>
      <c r="L2396" s="1" t="s">
        <v>960</v>
      </c>
    </row>
    <row r="2397" customFormat="false" ht="17.15" hidden="false" customHeight="false" outlineLevel="0" collapsed="false">
      <c r="A2397" s="1" t="s">
        <v>961</v>
      </c>
      <c r="B2397" s="0" t="s">
        <v>459</v>
      </c>
      <c r="C2397" s="30" t="n">
        <f aca="false">Sens!C2396-Sens!C2395</f>
        <v>490</v>
      </c>
      <c r="D2397" s="30" t="n">
        <f aca="false">Sens!D2396-Sens!D2395</f>
        <v>1230</v>
      </c>
      <c r="E2397" s="30" t="n">
        <f aca="false">Sens!E2396-Sens!E2395</f>
        <v>2700</v>
      </c>
      <c r="F2397" s="30" t="n">
        <f aca="false">Sens!F2396-Sens!F2395</f>
        <v>5220.5351</v>
      </c>
      <c r="G2397" s="30" t="n">
        <f aca="false">Sens!G2396-Sens!G2395</f>
        <v>7947.0702</v>
      </c>
      <c r="H2397" s="30" t="n">
        <f aca="false">Sens!H2396-Sens!H2395</f>
        <v>10673.6053</v>
      </c>
      <c r="I2397" s="30" t="n">
        <f aca="false">Sens!I2396-Sens!I2395</f>
        <v>12605.5914196667</v>
      </c>
      <c r="J2397" s="30" t="n">
        <f aca="false">Sens!J2396-Sens!J2395</f>
        <v>13781.6682813933</v>
      </c>
      <c r="K2397" s="30" t="n">
        <f aca="false">Sens!K2396-Sens!K2395</f>
        <v>14217.7983298351</v>
      </c>
    </row>
    <row r="2398" customFormat="false" ht="17.15" hidden="false" customHeight="false" outlineLevel="0" collapsed="false">
      <c r="A2398" s="1" t="s">
        <v>962</v>
      </c>
      <c r="B2398" s="0" t="s">
        <v>459</v>
      </c>
      <c r="C2398" s="30" t="n">
        <f aca="false">Sens!C2396</f>
        <v>980</v>
      </c>
      <c r="D2398" s="30" t="n">
        <f aca="false">Sens!D2396-Sens!C2396</f>
        <v>1480</v>
      </c>
      <c r="E2398" s="30" t="n">
        <f aca="false">Sens!E2396-Sens!D2396</f>
        <v>2940</v>
      </c>
      <c r="F2398" s="30" t="n">
        <f aca="false">Sens!F2396-Sens!E2396</f>
        <v>5041.0702</v>
      </c>
      <c r="G2398" s="30" t="n">
        <f aca="false">Sens!G2396-Sens!F2396</f>
        <v>5453.0702</v>
      </c>
      <c r="H2398" s="30" t="n">
        <f aca="false">Sens!H2396-Sens!G2396</f>
        <v>5453.0702</v>
      </c>
      <c r="I2398" s="30" t="n">
        <f aca="false">Sens!I2396-Sens!H2396</f>
        <v>3863.97223933333</v>
      </c>
      <c r="J2398" s="30" t="n">
        <f aca="false">Sens!J2396-Sens!I2396</f>
        <v>2352.15372345334</v>
      </c>
      <c r="K2398" s="30" t="n">
        <f aca="false">Sens!K2396-Sens!J2396</f>
        <v>872.260096883598</v>
      </c>
    </row>
    <row r="2399" customFormat="false" ht="17.15" hidden="false" customHeight="false" outlineLevel="0" collapsed="false">
      <c r="A2399" s="1" t="s">
        <v>963</v>
      </c>
      <c r="B2399" s="0" t="s">
        <v>459</v>
      </c>
      <c r="D2399" s="30" t="n">
        <f aca="false">Sens!D2393-Sens!C2393</f>
        <v>990</v>
      </c>
      <c r="E2399" s="30" t="n">
        <f aca="false">Sens!E2393-Sens!D2393</f>
        <v>1620</v>
      </c>
      <c r="F2399" s="30" t="n">
        <f aca="false">Sens!F2393-Sens!E2393</f>
        <v>2726.5351</v>
      </c>
      <c r="G2399" s="30" t="n">
        <f aca="false">Sens!G2393-Sens!F2393</f>
        <v>2726.5351</v>
      </c>
      <c r="H2399" s="30" t="n">
        <f aca="false">Sens!H2393-Sens!G2393</f>
        <v>2726.5351</v>
      </c>
      <c r="I2399" s="30" t="n">
        <f aca="false">Sens!I2393-Sens!H2393</f>
        <v>1931.98611966667</v>
      </c>
      <c r="J2399" s="30" t="n">
        <f aca="false">Sens!J2393-Sens!I2393</f>
        <v>1176.07686172667</v>
      </c>
      <c r="K2399" s="30" t="n">
        <f aca="false">Sens!K2393-Sens!J2393</f>
        <v>436.130048441799</v>
      </c>
    </row>
    <row r="2400" customFormat="false" ht="17.15" hidden="false" customHeight="false" outlineLevel="0" collapsed="false">
      <c r="A2400" s="1" t="s">
        <v>964</v>
      </c>
      <c r="B2400" s="0" t="s">
        <v>459</v>
      </c>
      <c r="F2400" s="30" t="n">
        <f aca="false">Sens!F2419*ext_sh_lo</f>
        <v>0</v>
      </c>
      <c r="G2400" s="30" t="n">
        <f aca="false">Sens!G2419*ext_sh_lo</f>
        <v>0</v>
      </c>
      <c r="H2400" s="30" t="n">
        <f aca="false">Sens!H2419*ext_sh_lo</f>
        <v>0</v>
      </c>
      <c r="I2400" s="30" t="n">
        <f aca="false">Sens!I2419*ext_sh_lo</f>
        <v>490</v>
      </c>
      <c r="J2400" s="30" t="n">
        <f aca="false">Sens!J2419*ext_sh_lo</f>
        <v>740</v>
      </c>
      <c r="K2400" s="30" t="n">
        <f aca="false">Sens!K2419*ext_sh_lo</f>
        <v>1470</v>
      </c>
      <c r="L2400" s="1" t="s">
        <v>965</v>
      </c>
    </row>
    <row r="2401" customFormat="false" ht="17.15" hidden="false" customHeight="false" outlineLevel="0" collapsed="false">
      <c r="A2401" s="1" t="s">
        <v>966</v>
      </c>
      <c r="B2401" s="0" t="s">
        <v>459</v>
      </c>
      <c r="C2401" s="30" t="n">
        <f aca="false">mix_h*Sens!C2393</f>
        <v>128</v>
      </c>
      <c r="D2401" s="30" t="n">
        <f aca="false">mix_h*Sens!D2393</f>
        <v>326</v>
      </c>
      <c r="E2401" s="30" t="n">
        <f aca="false">mix_h*Sens!E2393</f>
        <v>650</v>
      </c>
      <c r="F2401" s="30" t="n">
        <f aca="false">Sens!E2401-Sens!F2400*mix_h</f>
        <v>650</v>
      </c>
      <c r="G2401" s="30" t="n">
        <f aca="false">Sens!F2401-Sens!G2400*mix_h</f>
        <v>650</v>
      </c>
      <c r="H2401" s="30" t="n">
        <f aca="false">Sens!G2401-Sens!H2400*mix_h</f>
        <v>650</v>
      </c>
      <c r="I2401" s="30" t="n">
        <f aca="false">Sens!H2401-Sens!I2400*mix_h</f>
        <v>552</v>
      </c>
      <c r="J2401" s="30" t="n">
        <f aca="false">Sens!I2401-Sens!J2400*mix_h</f>
        <v>404</v>
      </c>
      <c r="K2401" s="30" t="n">
        <f aca="false">Sens!J2401-Sens!K2400*mix_h</f>
        <v>110</v>
      </c>
    </row>
    <row r="2402" customFormat="false" ht="17.15" hidden="false" customHeight="false" outlineLevel="0" collapsed="false">
      <c r="A2402" s="1" t="s">
        <v>967</v>
      </c>
      <c r="B2402" s="0" t="s">
        <v>459</v>
      </c>
      <c r="C2402" s="30" t="n">
        <f aca="false">mix_g2*Sens!C2393</f>
        <v>288</v>
      </c>
      <c r="D2402" s="30" t="n">
        <f aca="false">mix_g2*Sens!D2393</f>
        <v>733.5</v>
      </c>
      <c r="E2402" s="30" t="n">
        <f aca="false">mix_g2*Sens!E2393</f>
        <v>1462.5</v>
      </c>
      <c r="F2402" s="30" t="n">
        <f aca="false">Sens!E2402-Sens!F2400*mix_g2</f>
        <v>1462.5</v>
      </c>
      <c r="G2402" s="30" t="n">
        <f aca="false">Sens!F2402-Sens!G2400*mix_g2</f>
        <v>1462.5</v>
      </c>
      <c r="H2402" s="30" t="n">
        <f aca="false">Sens!G2402-Sens!H2400*mix_g2</f>
        <v>1462.5</v>
      </c>
      <c r="I2402" s="30" t="n">
        <f aca="false">Sens!H2402-Sens!I2400*mix_g2</f>
        <v>1242</v>
      </c>
      <c r="J2402" s="30" t="n">
        <f aca="false">Sens!I2402-Sens!J2400*mix_g2</f>
        <v>909</v>
      </c>
      <c r="K2402" s="30" t="n">
        <f aca="false">Sens!J2402-Sens!K2400*mix_g2</f>
        <v>247.5</v>
      </c>
    </row>
    <row r="2403" customFormat="false" ht="17.15" hidden="false" customHeight="false" outlineLevel="0" collapsed="false">
      <c r="A2403" s="1" t="s">
        <v>968</v>
      </c>
      <c r="B2403" s="0" t="s">
        <v>459</v>
      </c>
      <c r="C2403" s="30" t="n">
        <f aca="false">mix_g3*Sens!C2393</f>
        <v>224</v>
      </c>
      <c r="D2403" s="30" t="n">
        <f aca="false">mix_g3*Sens!D2393</f>
        <v>570.5</v>
      </c>
      <c r="E2403" s="30" t="n">
        <f aca="false">mix_g3*Sens!E2393</f>
        <v>1137.5</v>
      </c>
      <c r="F2403" s="30" t="n">
        <f aca="false">Sens!E2403+(Sens!F2399+Sens!F2400)*(a_g3_27-nonnv*a_mai)-Sens!F2400*mix_g3</f>
        <v>2773.42106</v>
      </c>
      <c r="G2403" s="30" t="n">
        <f aca="false">Sens!F2403+(Sens!G2399+Sens!G2400)*(a_g3_28-nonnv*a_mai)-Sens!G2400*mix_g3</f>
        <v>3318.72808</v>
      </c>
      <c r="H2403" s="30" t="n">
        <f aca="false">Sens!G2403+(Sens!H2399+Sens!H2400)*(a_g3_29-nonnv*a_mai)-Sens!H2400*mix_g3</f>
        <v>3318.72808</v>
      </c>
      <c r="I2403" s="30" t="n">
        <f aca="false">Sens!H2403+(Sens!I2399+Sens!I2400)*(a_g3_29-nonnv*a_mai)-Sens!I2400*mix_g3</f>
        <v>3147.22808</v>
      </c>
      <c r="J2403" s="30" t="n">
        <f aca="false">Sens!I2403+(Sens!J2399+Sens!J2400)*(a_g3_29-nonnv*a_mai)-Sens!J2400*mix_g3</f>
        <v>2888.22808</v>
      </c>
      <c r="K2403" s="30" t="n">
        <f aca="false">Sens!J2403+(Sens!K2399+Sens!K2400)*(a_g3_29-nonnv*a_mai)-Sens!K2400*mix_g3</f>
        <v>2373.72808</v>
      </c>
    </row>
    <row r="2404" customFormat="false" ht="17.15" hidden="false" customHeight="false" outlineLevel="0" collapsed="false">
      <c r="A2404" s="1" t="s">
        <v>969</v>
      </c>
      <c r="B2404" s="0" t="s">
        <v>459</v>
      </c>
      <c r="C2404" s="30" t="n">
        <v>0</v>
      </c>
      <c r="D2404" s="30" t="n">
        <v>0</v>
      </c>
      <c r="E2404" s="30" t="n">
        <v>0</v>
      </c>
      <c r="F2404" s="30" t="n">
        <f aca="false">Sens!E2404+(Sens!F2399+Sens!F2400)*nonnv*a_mai</f>
        <v>272.65351</v>
      </c>
      <c r="G2404" s="30" t="n">
        <f aca="false">Sens!F2404+(Sens!G2399+Sens!G2400)*nonnv*a_mai</f>
        <v>545.30702</v>
      </c>
      <c r="H2404" s="30" t="n">
        <f aca="false">Sens!G2404+(Sens!H2399+Sens!H2400)*nonnv*a_mai</f>
        <v>817.96053</v>
      </c>
      <c r="I2404" s="30" t="n">
        <f aca="false">Sens!H2404+(Sens!I2399+Sens!I2400)*nonnv*a_mai</f>
        <v>1060.15914196667</v>
      </c>
      <c r="J2404" s="30" t="n">
        <f aca="false">Sens!I2404+(Sens!J2399+Sens!J2400)*nonnv*a_mai</f>
        <v>1251.76682813933</v>
      </c>
      <c r="K2404" s="30" t="n">
        <f aca="false">Sens!J2404+(Sens!K2399+Sens!K2400)*nonnv*a_mai</f>
        <v>1442.37983298351</v>
      </c>
      <c r="L2404" s="12" t="s">
        <v>970</v>
      </c>
    </row>
    <row r="2405" customFormat="false" ht="17.15" hidden="false" customHeight="false" outlineLevel="0" collapsed="false">
      <c r="A2405" s="1" t="s">
        <v>971</v>
      </c>
      <c r="B2405" s="0" t="s">
        <v>459</v>
      </c>
      <c r="C2405" s="30" t="n">
        <v>0</v>
      </c>
      <c r="D2405" s="30" t="n">
        <v>0</v>
      </c>
      <c r="E2405" s="30" t="n">
        <v>0</v>
      </c>
      <c r="F2405" s="30" t="n">
        <f aca="false">Sens!E2405+(Sens!F2399+Sens!F2400)*(1-a_g3_27)</f>
        <v>817.96053</v>
      </c>
      <c r="G2405" s="30" t="n">
        <f aca="false">Sens!F2405+(Sens!G2399+Sens!G2400)*(1-a_g3_28)</f>
        <v>2726.5351</v>
      </c>
      <c r="H2405" s="30" t="n">
        <f aca="false">Sens!G2405+(Sens!H2399+Sens!H2400)*(1-a_g3_29)</f>
        <v>5180.41669</v>
      </c>
      <c r="I2405" s="30" t="n">
        <f aca="false">Sens!H2405+(Sens!I2399+Sens!I2400)*(1-a_g3_29)</f>
        <v>7360.2041977</v>
      </c>
      <c r="J2405" s="30" t="n">
        <f aca="false">Sens!I2405+(Sens!J2399+Sens!J2400)*(1-a_g3_29)</f>
        <v>9084.673373254</v>
      </c>
      <c r="K2405" s="30" t="n">
        <f aca="false">Sens!J2405+(Sens!K2399+Sens!K2400)*(1-a_g3_29)</f>
        <v>10800.1904168516</v>
      </c>
    </row>
    <row r="2406" customFormat="false" ht="17.15" hidden="false" customHeight="false" outlineLevel="0" collapsed="false">
      <c r="A2406" s="1" t="s">
        <v>972</v>
      </c>
      <c r="B2406" s="0" t="s">
        <v>403</v>
      </c>
      <c r="C2406" s="15" t="n">
        <f aca="false">(Sens!C2401*tk_hold_h100+Sens!C2402*tk_hold_gb200+Sens!C2403*tk_hold_gb300+Sens!C2405*tk_hold_vr200+Sens!C2404*nv_hold_mai*tk_hold_vr200)/Sens!C2393</f>
        <v>9.7235358126469</v>
      </c>
      <c r="D2406" s="15" t="n">
        <f aca="false">(Sens!D2401*tk_hold_h100+Sens!D2402*tk_hold_gb200+Sens!D2403*tk_hold_gb300+Sens!D2405*tk_hold_vr200+Sens!D2404*nv_hold_mai*tk_hold_vr200)/Sens!D2393</f>
        <v>9.7235358126469</v>
      </c>
      <c r="E2406" s="15" t="n">
        <f aca="false">(Sens!E2401*tk_hold_h100+Sens!E2402*tk_hold_gb200+Sens!E2403*tk_hold_gb300+Sens!E2405*tk_hold_vr200+Sens!E2404*nv_hold_mai*tk_hold_vr200)/Sens!E2393</f>
        <v>9.7235358126469</v>
      </c>
      <c r="F2406" s="15" t="n">
        <f aca="false">(Sens!F2401*tk_hold_h100+Sens!F2402*tk_hold_gb200+Sens!F2403*tk_hold_gb300+Sens!F2405*tk_hold_vr200+Sens!F2404*nv_hold_mai*tk_hold_vr200)/Sens!F2393</f>
        <v>10.2195353876665</v>
      </c>
      <c r="G2406" s="15" t="n">
        <f aca="false">(Sens!G2401*tk_hold_h100+Sens!G2402*tk_hold_gb200+Sens!G2403*tk_hold_gb300+Sens!G2405*tk_hold_vr200+Sens!G2404*nv_hold_mai*tk_hold_vr200)/Sens!G2393</f>
        <v>10.5725598017306</v>
      </c>
      <c r="H2406" s="15" t="n">
        <f aca="false">(Sens!H2401*tk_hold_h100+Sens!H2402*tk_hold_gb200+Sens!H2403*tk_hold_gb300+Sens!H2405*tk_hold_vr200+Sens!H2404*nv_hold_mai*tk_hold_vr200)/Sens!H2393</f>
        <v>10.8210427149036</v>
      </c>
      <c r="I2406" s="15" t="n">
        <f aca="false">(Sens!I2401*tk_hold_h100+Sens!I2402*tk_hold_gb200+Sens!I2403*tk_hold_gb300+Sens!I2405*tk_hold_vr200+Sens!I2404*nv_hold_mai*tk_hold_vr200)/Sens!I2393</f>
        <v>11.0050618241982</v>
      </c>
      <c r="J2406" s="15" t="n">
        <f aca="false">(Sens!J2401*tk_hold_h100+Sens!J2402*tk_hold_gb200+Sens!J2403*tk_hold_gb300+Sens!J2405*tk_hold_vr200+Sens!J2404*nv_hold_mai*tk_hold_vr200)/Sens!J2393</f>
        <v>11.1505789658881</v>
      </c>
      <c r="K2406" s="15" t="n">
        <f aca="false">(Sens!K2401*tk_hold_h100+Sens!K2402*tk_hold_gb200+Sens!K2403*tk_hold_gb300+Sens!K2405*tk_hold_vr200+Sens!K2404*nv_hold_mai*tk_hold_vr200)/Sens!K2393</f>
        <v>11.3496914757183</v>
      </c>
      <c r="L2406" s="1" t="s">
        <v>973</v>
      </c>
    </row>
    <row r="2407" customFormat="false" ht="17.15" hidden="false" customHeight="false" outlineLevel="0" collapsed="false">
      <c r="A2407" s="1" t="s">
        <v>974</v>
      </c>
      <c r="B2407" s="0" t="s">
        <v>403</v>
      </c>
      <c r="C2407" s="15" t="n">
        <f aca="false">(Sens!C2401*tk_hold_h100+Sens!C2402*tk_hold_gb200+Sens!C2403*tk_hold_gb300+Sens!C2405*tk_hold_vr200+Sens!C2404*nv_out_mai*tk_hold_vr200)/Sens!C2393</f>
        <v>9.7235358126469</v>
      </c>
      <c r="D2407" s="15" t="n">
        <f aca="false">(Sens!D2401*tk_hold_h100+Sens!D2402*tk_hold_gb200+Sens!D2403*tk_hold_gb300+Sens!D2405*tk_hold_vr200+Sens!D2404*nv_out_mai*tk_hold_vr200)/Sens!D2393</f>
        <v>9.7235358126469</v>
      </c>
      <c r="E2407" s="15" t="n">
        <f aca="false">(Sens!E2401*tk_hold_h100+Sens!E2402*tk_hold_gb200+Sens!E2403*tk_hold_gb300+Sens!E2405*tk_hold_vr200+Sens!E2404*nv_out_mai*tk_hold_vr200)/Sens!E2393</f>
        <v>9.7235358126469</v>
      </c>
      <c r="F2407" s="15" t="n">
        <f aca="false">(Sens!F2401*tk_hold_h100+Sens!F2402*tk_hold_gb200+Sens!F2403*tk_hold_gb300+Sens!F2405*tk_hold_vr200+Sens!F2404*nv_out_mai*tk_hold_vr200)/Sens!F2393</f>
        <v>10.247422093969</v>
      </c>
      <c r="G2407" s="15" t="n">
        <f aca="false">(Sens!G2401*tk_hold_h100+Sens!G2402*tk_hold_gb200+Sens!G2403*tk_hold_gb300+Sens!G2405*tk_hold_vr200+Sens!G2404*nv_out_mai*tk_hold_vr200)/Sens!G2393</f>
        <v>10.6108602808053</v>
      </c>
      <c r="H2407" s="15" t="n">
        <f aca="false">(Sens!H2401*tk_hold_h100+Sens!H2402*tk_hold_gb200+Sens!H2403*tk_hold_gb300+Sens!H2405*tk_hold_vr200+Sens!H2404*nv_out_mai*tk_hold_vr200)/Sens!H2393</f>
        <v>10.8647885507393</v>
      </c>
      <c r="I2407" s="15" t="n">
        <f aca="false">(Sens!I2401*tk_hold_h100+Sens!I2402*tk_hold_gb200+Sens!I2403*tk_hold_gb300+Sens!I2405*tk_hold_vr200+Sens!I2404*nv_out_mai*tk_hold_vr200)/Sens!I2393</f>
        <v>11.0535625770025</v>
      </c>
      <c r="J2407" s="15" t="n">
        <f aca="false">(Sens!J2401*tk_hold_h100+Sens!J2402*tk_hold_gb200+Sens!J2403*tk_hold_gb300+Sens!J2405*tk_hold_vr200+Sens!J2404*nv_out_mai*tk_hold_vr200)/Sens!J2393</f>
        <v>11.2032127128058</v>
      </c>
      <c r="K2407" s="15" t="n">
        <f aca="false">(Sens!K2401*tk_hold_h100+Sens!K2402*tk_hold_gb200+Sens!K2403*tk_hold_gb300+Sens!K2405*tk_hold_vr200+Sens!K2404*nv_out_mai*tk_hold_vr200)/Sens!K2393</f>
        <v>11.4085735724225</v>
      </c>
      <c r="L2407" s="12" t="s">
        <v>975</v>
      </c>
    </row>
    <row r="2408" customFormat="false" ht="17.15" hidden="false" customHeight="false" outlineLevel="0" collapsed="false">
      <c r="A2408" s="0" t="s">
        <v>976</v>
      </c>
      <c r="B2408" s="0" t="s">
        <v>229</v>
      </c>
      <c r="C2408" s="15" t="n">
        <f aca="false">k_B</f>
        <v>1.17213932619116</v>
      </c>
      <c r="D2408" s="15" t="n">
        <f aca="false">k_B</f>
        <v>1.17213932619116</v>
      </c>
      <c r="E2408" s="15" t="n">
        <f aca="false">k_B</f>
        <v>1.17213932619116</v>
      </c>
      <c r="F2408" s="15" t="n">
        <f aca="false">(k_B+((ls_C*k_long+(1-ls_C)*k_spot)-k_B)*MIN(1,(Sens!F2391-base_fy)/k_ramp))</f>
        <v>1.07843258004497</v>
      </c>
      <c r="G2408" s="15" t="n">
        <f aca="false">(k_B+((ls_C*k_long+(1-ls_C)*k_spot)-k_B)*MIN(1,(Sens!G2391-base_fy)/k_ramp))</f>
        <v>0.984725833898784</v>
      </c>
      <c r="H2408" s="15" t="n">
        <f aca="false">(k_B+((ls_C*k_long+(1-ls_C)*k_spot)-k_B)*MIN(1,(Sens!H2391-base_fy)/k_ramp))</f>
        <v>0.891019087752599</v>
      </c>
      <c r="I2408" s="15" t="n">
        <f aca="false">(k_B+((ls_C*k_long+(1-ls_C)*k_spot)-k_B)*MIN(1,(Sens!I2391-base_fy)/k_ramp))</f>
        <v>0.891019087752599</v>
      </c>
      <c r="J2408" s="15" t="n">
        <f aca="false">(k_B+((ls_C*k_long+(1-ls_C)*k_spot)-k_B)*MIN(1,(Sens!J2391-base_fy)/k_ramp))</f>
        <v>0.891019087752599</v>
      </c>
      <c r="K2408" s="15" t="n">
        <f aca="false">(k_B+((ls_C*k_long+(1-ls_C)*k_spot)-k_B)*MIN(1,(Sens!K2391-base_fy)/k_ramp))</f>
        <v>0.891019087752599</v>
      </c>
      <c r="L2408" s="1" t="s">
        <v>977</v>
      </c>
    </row>
    <row r="2409" customFormat="false" ht="17.15" hidden="false" customHeight="false" outlineLevel="0" collapsed="false">
      <c r="A2409" s="1" t="s">
        <v>978</v>
      </c>
      <c r="B2409" s="0" t="s">
        <v>403</v>
      </c>
      <c r="C2409" s="15" t="n">
        <f aca="false">Sens!C2407*Sens!C2408*chip_f</f>
        <v>11.3973387156315</v>
      </c>
      <c r="D2409" s="15" t="n">
        <f aca="false">Sens!D2407*Sens!D2408*chip_f</f>
        <v>11.3973387156315</v>
      </c>
      <c r="E2409" s="15" t="n">
        <f aca="false">Sens!E2407*Sens!E2408*chip_f</f>
        <v>11.3973387156315</v>
      </c>
      <c r="F2409" s="15" t="n">
        <f aca="false">Sens!F2407*Sens!F2408*chip_f</f>
        <v>11.0511538476088</v>
      </c>
      <c r="G2409" s="15" t="n">
        <f aca="false">Sens!G2407*Sens!G2408*chip_f</f>
        <v>10.4487882383995</v>
      </c>
      <c r="H2409" s="15" t="n">
        <f aca="false">Sens!H2407*Sens!H2408*chip_f</f>
        <v>9.68073398310464</v>
      </c>
      <c r="I2409" s="15" t="n">
        <f aca="false">Sens!I2407*Sens!I2408*chip_f</f>
        <v>9.84893524377706</v>
      </c>
      <c r="J2409" s="15" t="n">
        <f aca="false">Sens!J2407*Sens!J2408*chip_f</f>
        <v>9.98227637126252</v>
      </c>
      <c r="K2409" s="15" t="n">
        <f aca="false">Sens!K2407*Sens!K2408*chip_f</f>
        <v>10.1652568170583</v>
      </c>
      <c r="L2409" s="1" t="s">
        <v>979</v>
      </c>
    </row>
    <row r="2410" customFormat="false" ht="17.15" hidden="false" customHeight="false" outlineLevel="0" collapsed="false">
      <c r="A2410" s="0" t="s">
        <v>980</v>
      </c>
      <c r="B2410" s="0" t="s">
        <v>98</v>
      </c>
      <c r="D2410" s="6" t="n">
        <f aca="false">(Sens!C2393+Sens!D2393)/2*Sens!D2409/1000</f>
        <v>12.9359794422418</v>
      </c>
      <c r="E2410" s="6" t="n">
        <f aca="false">(Sens!D2393+Sens!E2393)/2*Sens!E2409/1000</f>
        <v>27.8095064661409</v>
      </c>
      <c r="F2410" s="6" t="n">
        <f aca="false">(Sens!E2393+Sens!F2393)/2*Sens!F2409/1000</f>
        <v>50.9819294352312</v>
      </c>
      <c r="G2410" s="6" t="n">
        <f aca="false">(Sens!F2393+Sens!G2393)/2*Sens!G2409/1000</f>
        <v>76.6920436014933</v>
      </c>
      <c r="H2410" s="6" t="n">
        <f aca="false">(Sens!G2393+Sens!H2393)/2*Sens!H2409/1000</f>
        <v>97.4495379418341</v>
      </c>
      <c r="I2410" s="6" t="n">
        <f aca="false">(Sens!H2393+Sens!I2393)/2*Sens!I2409/1000</f>
        <v>122.083445553868</v>
      </c>
      <c r="J2410" s="6" t="n">
        <f aca="false">(Sens!I2393+Sens!J2393)/2*Sens!J2409/1000</f>
        <v>139.249060444804</v>
      </c>
      <c r="K2410" s="6" t="n">
        <f aca="false">(Sens!J2393+Sens!K2393)/2*Sens!K2409/1000</f>
        <v>149.995818575589</v>
      </c>
      <c r="L2410" s="12" t="s">
        <v>981</v>
      </c>
    </row>
    <row r="2411" customFormat="false" ht="17.15" hidden="false" customHeight="false" outlineLevel="0" collapsed="false">
      <c r="A2411" s="1" t="s">
        <v>982</v>
      </c>
      <c r="B2411" s="0" t="s">
        <v>403</v>
      </c>
      <c r="C2411" s="15" t="n">
        <f aca="false">(Sens!C2401*tk_opex_h100+Sens!C2402*tk_opex_gb200+Sens!C2403*tk_opex_gb300+(Sens!C2405+Sens!C2404)*tk_opex_vr200)/Sens!C2393</f>
        <v>1.88636041306092</v>
      </c>
      <c r="D2411" s="15" t="n">
        <f aca="false">(Sens!D2401*tk_opex_h100+Sens!D2402*tk_opex_gb200+Sens!D2403*tk_opex_gb300+(Sens!D2405+Sens!D2404)*tk_opex_vr200)/Sens!D2393</f>
        <v>1.88636041306092</v>
      </c>
      <c r="E2411" s="15" t="n">
        <f aca="false">(Sens!E2401*tk_opex_h100+Sens!E2402*tk_opex_gb200+Sens!E2403*tk_opex_gb300+(Sens!E2405+Sens!E2404)*tk_opex_vr200)/Sens!E2393</f>
        <v>1.88636041306092</v>
      </c>
      <c r="F2411" s="15" t="n">
        <f aca="false">(Sens!F2401*tk_opex_h100+Sens!F2402*tk_opex_gb200+Sens!F2403*tk_opex_gb300+(Sens!F2405+Sens!F2404)*tk_opex_vr200)/Sens!F2393</f>
        <v>1.95051159746876</v>
      </c>
      <c r="G2411" s="15" t="n">
        <f aca="false">(Sens!G2401*tk_opex_h100+Sens!G2402*tk_opex_gb200+Sens!G2403*tk_opex_gb300+(Sens!G2405+Sens!G2404)*tk_opex_vr200)/Sens!G2393</f>
        <v>1.98836003669956</v>
      </c>
      <c r="H2411" s="15" t="n">
        <f aca="false">(Sens!H2401*tk_opex_h100+Sens!H2402*tk_opex_gb200+Sens!H2403*tk_opex_gb300+(Sens!H2405+Sens!H2404)*tk_opex_vr200)/Sens!H2393</f>
        <v>2.01344013834343</v>
      </c>
      <c r="I2411" s="15" t="n">
        <f aca="false">(Sens!I2401*tk_opex_h100+Sens!I2402*tk_opex_gb200+Sens!I2403*tk_opex_gb300+(Sens!I2405+Sens!I2404)*tk_opex_vr200)/Sens!I2393</f>
        <v>2.03261166882178</v>
      </c>
      <c r="J2411" s="15" t="n">
        <f aca="false">(Sens!J2401*tk_opex_h100+Sens!J2402*tk_opex_gb200+Sens!J2403*tk_opex_gb300+(Sens!J2405+Sens!J2404)*tk_opex_vr200)/Sens!J2393</f>
        <v>2.04808073288745</v>
      </c>
      <c r="K2411" s="15" t="n">
        <f aca="false">(Sens!K2401*tk_opex_h100+Sens!K2402*tk_opex_gb200+Sens!K2403*tk_opex_gb300+(Sens!K2405+Sens!K2404)*tk_opex_vr200)/Sens!K2393</f>
        <v>2.06973825807449</v>
      </c>
      <c r="L2411" s="12" t="s">
        <v>983</v>
      </c>
    </row>
    <row r="2412" customFormat="false" ht="17.15" hidden="false" customHeight="false" outlineLevel="0" collapsed="false">
      <c r="A2412" s="0" t="s">
        <v>984</v>
      </c>
      <c r="B2412" s="0" t="s">
        <v>98</v>
      </c>
      <c r="D2412" s="6" t="n">
        <f aca="false">(Sens!C2396+Sens!D2396)/2*Sens!D2411/1000</f>
        <v>3.24453991046478</v>
      </c>
      <c r="E2412" s="6" t="n">
        <f aca="false">(Sens!D2396+Sens!E2396)/2*Sens!E2411/1000</f>
        <v>7.41339642332941</v>
      </c>
      <c r="F2412" s="6" t="n">
        <f aca="false">(Sens!E2396+Sens!F2396)/2*Sens!F2411/1000</f>
        <v>15.4490955707084</v>
      </c>
      <c r="G2412" s="6" t="n">
        <f aca="false">(Sens!F2396+Sens!G2396)/2*Sens!G2411/1000</f>
        <v>26.1819401575533</v>
      </c>
      <c r="H2412" s="6" t="n">
        <f aca="false">(Sens!G2396+Sens!H2396)/2*Sens!H2411/1000</f>
        <v>37.4916154547681</v>
      </c>
      <c r="I2412" s="6" t="n">
        <f aca="false">(Sens!H2396+Sens!I2396)/2*Sens!I2411/1000</f>
        <v>47.3175668931922</v>
      </c>
      <c r="J2412" s="6" t="n">
        <f aca="false">(Sens!I2396+Sens!J2396)/2*Sens!J2411/1000</f>
        <v>54.0432381874384</v>
      </c>
      <c r="K2412" s="6" t="n">
        <f aca="false">(Sens!J2396+Sens!K2396)/2*Sens!K2411/1000</f>
        <v>57.9515672509388</v>
      </c>
    </row>
    <row r="2413" customFormat="false" ht="17.15" hidden="false" customHeight="false" outlineLevel="0" collapsed="false">
      <c r="A2413" s="0" t="s">
        <v>985</v>
      </c>
      <c r="B2413" s="0" t="s">
        <v>98</v>
      </c>
      <c r="D2413" s="6" t="n">
        <f aca="false">(Sens!C2394+Sens!D2394)/2*rent_mw/1000</f>
        <v>2.44475</v>
      </c>
      <c r="E2413" s="6" t="n">
        <f aca="false">(Sens!D2394+Sens!E2394)/2*rent_mw/1000</f>
        <v>4.22275</v>
      </c>
      <c r="F2413" s="6" t="n">
        <f aca="false">(Sens!E2394+Sens!F2394)/2*rent_mw/1000</f>
        <v>5.80517</v>
      </c>
      <c r="G2413" s="6" t="n">
        <f aca="false">(Sens!F2394+Sens!G2394)/2*rent_mw/1000</f>
        <v>6.72084</v>
      </c>
      <c r="H2413" s="6" t="n">
        <f aca="false">(Sens!G2394+Sens!H2394)/2*rent_mw/1000</f>
        <v>6.72084</v>
      </c>
      <c r="I2413" s="6" t="n">
        <f aca="false">(Sens!H2394+Sens!I2394)/2*rent_mw/1000</f>
        <v>6.72084</v>
      </c>
      <c r="J2413" s="6" t="n">
        <f aca="false">(Sens!I2394+Sens!J2394)/2*rent_mw/1000</f>
        <v>6.72084</v>
      </c>
      <c r="K2413" s="6" t="n">
        <f aca="false">(Sens!J2394+Sens!K2394)/2*rent_mw/1000</f>
        <v>6.72084</v>
      </c>
    </row>
    <row r="2414" customFormat="false" ht="17.15" hidden="false" customHeight="false" outlineLevel="0" collapsed="false">
      <c r="A2414" s="0" t="s">
        <v>986</v>
      </c>
      <c r="B2414" s="0" t="s">
        <v>98</v>
      </c>
      <c r="D2414" s="6" t="n">
        <f aca="false">(Sens!C2396+Sens!D2396)/2*(1-self_build)*fac_rent/1000</f>
        <v>1.02389085075729</v>
      </c>
      <c r="E2414" s="6" t="n">
        <f aca="false">(Sens!D2396+Sens!E2396)/2*(1-self_build)*fac_rent/1000</f>
        <v>2.33947153690474</v>
      </c>
      <c r="F2414" s="6" t="n">
        <f aca="false">(Sens!E2396+Sens!F2396)/2*(1-self_build)*fac_rent/1000</f>
        <v>4.71497873371627</v>
      </c>
      <c r="G2414" s="6" t="n">
        <f aca="false">(Sens!F2396+Sens!G2396)/2*(1-self_build)*fac_rent/1000</f>
        <v>7.83848290293791</v>
      </c>
      <c r="H2414" s="6" t="n">
        <f aca="false">(Sens!G2396+Sens!H2396)/2*(1-self_build)*fac_rent/1000</f>
        <v>11.0846158600991</v>
      </c>
      <c r="I2414" s="6" t="n">
        <f aca="false">(Sens!H2396+Sens!I2396)/2*(1-self_build)*fac_rent/1000</f>
        <v>13.8577654268871</v>
      </c>
      <c r="J2414" s="6" t="n">
        <f aca="false">(Sens!I2396+Sens!J2396)/2*(1-self_build)*fac_rent/1000</f>
        <v>15.707949874693</v>
      </c>
      <c r="K2414" s="6" t="n">
        <f aca="false">(Sens!J2396+Sens!K2396)/2*(1-self_build)*fac_rent/1000</f>
        <v>16.6676730751867</v>
      </c>
      <c r="L2414" s="12" t="s">
        <v>987</v>
      </c>
    </row>
    <row r="2415" customFormat="false" ht="17.15" hidden="false" customHeight="false" outlineLevel="0" collapsed="false">
      <c r="A2415" s="1" t="s">
        <v>988</v>
      </c>
      <c r="B2415" s="0" t="s">
        <v>168</v>
      </c>
      <c r="D2415" s="7" t="n">
        <f aca="false">(Sens!C2395+Sens!D2395)/(Sens!C2396+Sens!D2396)</f>
        <v>0.5</v>
      </c>
      <c r="E2415" s="7" t="n">
        <f aca="false">(Sens!D2395+Sens!E2395)/(Sens!D2396+Sens!E2396)</f>
        <v>0.5</v>
      </c>
      <c r="F2415" s="7" t="n">
        <f aca="false">(Sens!E2395+Sens!F2395)/(Sens!E2396+Sens!F2396)</f>
        <v>0.5</v>
      </c>
      <c r="G2415" s="7" t="n">
        <f aca="false">(Sens!F2395+Sens!G2395)/(Sens!F2396+Sens!G2396)</f>
        <v>0.5</v>
      </c>
      <c r="H2415" s="7" t="n">
        <f aca="false">(Sens!G2395+Sens!H2395)/(Sens!G2396+Sens!H2396)</f>
        <v>0.5</v>
      </c>
      <c r="I2415" s="7" t="n">
        <f aca="false">(Sens!H2395+Sens!I2395)/(Sens!H2396+Sens!I2396)</f>
        <v>0.5</v>
      </c>
      <c r="J2415" s="7" t="n">
        <f aca="false">(Sens!I2395+Sens!J2395)/(Sens!I2396+Sens!J2396)</f>
        <v>0.5</v>
      </c>
      <c r="K2415" s="7" t="n">
        <f aca="false">(Sens!J2395+Sens!K2395)/(Sens!J2396+Sens!K2396)</f>
        <v>0.5</v>
      </c>
    </row>
    <row r="2416" customFormat="false" ht="17.15" hidden="false" customHeight="false" outlineLevel="0" collapsed="false">
      <c r="A2416" s="0" t="s">
        <v>989</v>
      </c>
      <c r="B2416" s="0" t="s">
        <v>98</v>
      </c>
      <c r="D2416" s="6" t="n">
        <f aca="false">Sens!D2410-Sens!D2415*(Sens!D2412+Sens!D2414)-Sens!D2413</f>
        <v>8.35701406163072</v>
      </c>
      <c r="E2416" s="6" t="n">
        <f aca="false">Sens!E2410-Sens!E2415*(Sens!E2412+Sens!E2414)-Sens!E2413</f>
        <v>18.7103224860238</v>
      </c>
      <c r="F2416" s="6" t="n">
        <f aca="false">Sens!F2410-Sens!F2415*(Sens!F2412+Sens!F2414)-Sens!F2413</f>
        <v>35.0947222830189</v>
      </c>
      <c r="G2416" s="6" t="n">
        <f aca="false">Sens!G2410-Sens!G2415*(Sens!G2412+Sens!G2414)-Sens!G2413</f>
        <v>52.9609920712477</v>
      </c>
      <c r="H2416" s="6" t="n">
        <f aca="false">Sens!H2410-Sens!H2415*(Sens!H2412+Sens!H2414)-Sens!H2413</f>
        <v>66.4405822844005</v>
      </c>
      <c r="I2416" s="6" t="n">
        <f aca="false">Sens!I2410-Sens!I2415*(Sens!I2412+Sens!I2414)-Sens!I2413</f>
        <v>84.774939393828</v>
      </c>
      <c r="J2416" s="6" t="n">
        <f aca="false">Sens!J2410-Sens!J2415*(Sens!J2412+Sens!J2414)-Sens!J2413</f>
        <v>97.6526264137382</v>
      </c>
      <c r="K2416" s="6" t="n">
        <f aca="false">Sens!K2410-Sens!K2415*(Sens!K2412+Sens!K2414)-Sens!K2413</f>
        <v>105.965358412527</v>
      </c>
    </row>
    <row r="2417" customFormat="false" ht="17.15" hidden="false" customHeight="false" outlineLevel="0" collapsed="false">
      <c r="A2417" s="1" t="s">
        <v>990</v>
      </c>
      <c r="B2417" s="0" t="s">
        <v>98</v>
      </c>
      <c r="D2417" s="6" t="n">
        <f aca="false">(1-Sens!D2415)*(Sens!D2412+Sens!D2414)</f>
        <v>2.13421538061103</v>
      </c>
      <c r="E2417" s="6" t="n">
        <f aca="false">(1-Sens!E2415)*(Sens!E2412+Sens!E2414)</f>
        <v>4.87643398011707</v>
      </c>
      <c r="F2417" s="6" t="n">
        <f aca="false">(1-Sens!F2415)*(Sens!F2412+Sens!F2414)</f>
        <v>10.0820371522123</v>
      </c>
      <c r="G2417" s="6" t="n">
        <f aca="false">(1-Sens!G2415)*(Sens!G2412+Sens!G2414)</f>
        <v>17.0102115302456</v>
      </c>
      <c r="H2417" s="6" t="n">
        <f aca="false">(1-Sens!H2415)*(Sens!H2412+Sens!H2414)</f>
        <v>24.2881156574336</v>
      </c>
      <c r="I2417" s="6" t="n">
        <f aca="false">(1-Sens!I2415)*(Sens!I2412+Sens!I2414)</f>
        <v>30.5876661600396</v>
      </c>
      <c r="J2417" s="6" t="n">
        <f aca="false">(1-Sens!J2415)*(Sens!J2412+Sens!J2414)</f>
        <v>34.8755940310657</v>
      </c>
      <c r="K2417" s="6" t="n">
        <f aca="false">(1-Sens!K2415)*(Sens!K2412+Sens!K2414)</f>
        <v>37.3096201630627</v>
      </c>
    </row>
    <row r="2418" customFormat="false" ht="17.15" hidden="false" customHeight="false" outlineLevel="0" collapsed="false">
      <c r="A2418" s="1" t="s">
        <v>991</v>
      </c>
      <c r="B2418" s="0" t="s">
        <v>417</v>
      </c>
      <c r="C2418" s="8" t="n">
        <f aca="false">cxit_open</f>
        <v>27.5918995</v>
      </c>
      <c r="D2418" s="8" t="n">
        <f aca="false">cxit_open</f>
        <v>27.5918995</v>
      </c>
      <c r="E2418" s="8" t="n">
        <f aca="false">cxit_open</f>
        <v>27.5918995</v>
      </c>
      <c r="F2418" s="8" t="n">
        <f aca="false">((a_g3_27-nonnv*a_mai)*tk_cxit_gb300+nonnv*a_mai*nv_hold_mai*tk_cxit_vr200+(1-a_g3_27)*tk_cxit_vr200)</f>
        <v>32.4975576</v>
      </c>
      <c r="G2418" s="8" t="n">
        <f aca="false">((a_g3_28-nonnv*a_mai)*tk_cxit_gb300+nonnv*a_mai*nv_hold_mai*tk_cxit_vr200+(1-a_g3_28)*tk_cxit_vr200)</f>
        <v>34.6372088</v>
      </c>
      <c r="H2418" s="8" t="n">
        <f aca="false">((a_g3_29-nonnv*a_mai)*tk_cxit_gb300+nonnv*a_mai*nv_hold_mai*tk_cxit_vr200+(1-a_g3_29)*tk_cxit_vr200)</f>
        <v>35.7070344</v>
      </c>
      <c r="I2418" s="8" t="n">
        <f aca="false">((a_g3_29-nonnv*a_mai)*tk_cxit_gb300+nonnv*a_mai*nv_hold_mai*tk_cxit_vr200+(1-a_g3_29)*tk_cxit_vr200)</f>
        <v>35.7070344</v>
      </c>
      <c r="J2418" s="8" t="n">
        <f aca="false">((a_g3_29-nonnv*a_mai)*tk_cxit_gb300+nonnv*a_mai*nv_hold_mai*tk_cxit_vr200+(1-a_g3_29)*tk_cxit_vr200)</f>
        <v>35.7070344</v>
      </c>
      <c r="K2418" s="8" t="n">
        <f aca="false">((a_g3_29-nonnv*a_mai)*tk_cxit_gb300+nonnv*a_mai*nv_hold_mai*tk_cxit_vr200+(1-a_g3_29)*tk_cxit_vr200)</f>
        <v>35.7070344</v>
      </c>
      <c r="L2418" s="12" t="s">
        <v>992</v>
      </c>
    </row>
    <row r="2419" customFormat="false" ht="17.15" hidden="false" customHeight="false" outlineLevel="0" collapsed="false">
      <c r="A2419" s="0" t="s">
        <v>993</v>
      </c>
      <c r="B2419" s="0" t="s">
        <v>459</v>
      </c>
      <c r="F2419" s="30" t="n">
        <f aca="false">Sens!C2398*IF(Sens!F2391-Sens!C2391=life_it,1,0)+Sens!D2398*IF(Sens!F2391-Sens!D2391=life_it,1,0)+Sens!E2398*IF(Sens!F2391-Sens!E2391=life_it,1,0)</f>
        <v>0</v>
      </c>
      <c r="G2419" s="30" t="n">
        <f aca="false">Sens!C2398*IF(Sens!G2391-Sens!C2391=life_it,1,0)+Sens!D2398*IF(Sens!G2391-Sens!D2391=life_it,1,0)+Sens!E2398*IF(Sens!G2391-Sens!E2391=life_it,1,0)+Sens!F2398*IF(Sens!G2391-Sens!F2391=life_it,1,0)</f>
        <v>0</v>
      </c>
      <c r="H2419" s="30" t="n">
        <f aca="false">Sens!C2398*IF(Sens!H2391-Sens!C2391=life_it,1,0)+Sens!D2398*IF(Sens!H2391-Sens!D2391=life_it,1,0)+Sens!E2398*IF(Sens!H2391-Sens!E2391=life_it,1,0)+Sens!F2398*IF(Sens!H2391-Sens!F2391=life_it,1,0)+Sens!G2398*IF(Sens!H2391-Sens!G2391=life_it,1,0)</f>
        <v>0</v>
      </c>
      <c r="I2419" s="30" t="n">
        <f aca="false">Sens!C2398*IF(Sens!I2391-Sens!C2391=life_it,1,0)+Sens!D2398*IF(Sens!I2391-Sens!D2391=life_it,1,0)+Sens!E2398*IF(Sens!I2391-Sens!E2391=life_it,1,0)+Sens!F2398*IF(Sens!I2391-Sens!F2391=life_it,1,0)+Sens!G2398*IF(Sens!I2391-Sens!G2391=life_it,1,0)+Sens!H2398*IF(Sens!I2391-Sens!H2391=life_it,1,0)</f>
        <v>980</v>
      </c>
      <c r="J2419" s="30" t="n">
        <f aca="false">Sens!C2398*IF(Sens!J2391-Sens!C2391=life_it,1,0)+Sens!D2398*IF(Sens!J2391-Sens!D2391=life_it,1,0)+Sens!E2398*IF(Sens!J2391-Sens!E2391=life_it,1,0)+Sens!F2398*IF(Sens!J2391-Sens!F2391=life_it,1,0)+Sens!G2398*IF(Sens!J2391-Sens!G2391=life_it,1,0)+Sens!H2398*IF(Sens!J2391-Sens!H2391=life_it,1,0)+Sens!I2398*IF(Sens!J2391-Sens!I2391=life_it,1,0)</f>
        <v>1480</v>
      </c>
      <c r="K2419" s="30" t="n">
        <f aca="false">Sens!C2398*IF(Sens!K2391-Sens!C2391=life_it,1,0)+Sens!D2398*IF(Sens!K2391-Sens!D2391=life_it,1,0)+Sens!E2398*IF(Sens!K2391-Sens!E2391=life_it,1,0)+Sens!F2398*IF(Sens!K2391-Sens!F2391=life_it,1,0)+Sens!G2398*IF(Sens!K2391-Sens!G2391=life_it,1,0)+Sens!H2398*IF(Sens!K2391-Sens!H2391=life_it,1,0)+Sens!I2398*IF(Sens!K2391-Sens!I2391=life_it,1,0)+Sens!J2398*IF(Sens!K2391-Sens!J2391=life_it,1,0)</f>
        <v>2940</v>
      </c>
      <c r="L2419" s="1" t="s">
        <v>994</v>
      </c>
    </row>
    <row r="2420" customFormat="false" ht="17.15" hidden="false" customHeight="false" outlineLevel="0" collapsed="false">
      <c r="A2420" s="0" t="s">
        <v>995</v>
      </c>
      <c r="B2420" s="0" t="s">
        <v>98</v>
      </c>
      <c r="C2420" s="6" t="n">
        <f aca="false">Sens!C2398*Sens!C2418/1000</f>
        <v>27.04006151</v>
      </c>
      <c r="D2420" s="6" t="n">
        <f aca="false">Sens!D2398*Sens!D2418/1000</f>
        <v>40.83601126</v>
      </c>
      <c r="E2420" s="6" t="n">
        <f aca="false">Sens!E2398*Sens!E2418/1000</f>
        <v>81.12018453</v>
      </c>
      <c r="F2420" s="6" t="n">
        <f aca="false">(Sens!F2398+Sens!F2419)*Sens!F2418/1000</f>
        <v>163.822469190144</v>
      </c>
      <c r="G2420" s="6" t="n">
        <f aca="false">(Sens!G2398+Sens!G2419)*Sens!G2418/1000</f>
        <v>188.879131118458</v>
      </c>
      <c r="H2420" s="6" t="n">
        <f aca="false">(Sens!H2398+Sens!H2419)*Sens!H2418/1000</f>
        <v>194.712965217015</v>
      </c>
      <c r="I2420" s="6" t="n">
        <f aca="false">(Sens!I2398+Sens!I2419)*Sens!I2418/1000</f>
        <v>172.96388338252</v>
      </c>
      <c r="J2420" s="6" t="n">
        <f aca="false">(Sens!J2398+Sens!J2419)*Sens!J2418/1000</f>
        <v>136.834844829436</v>
      </c>
      <c r="K2420" s="6" t="n">
        <f aca="false">(Sens!K2398+Sens!K2419)*Sens!K2418/1000</f>
        <v>136.12450242117</v>
      </c>
    </row>
    <row r="2421" customFormat="false" ht="17.15" hidden="false" customHeight="false" outlineLevel="0" collapsed="false">
      <c r="A2421" s="0" t="s">
        <v>996</v>
      </c>
      <c r="B2421" s="0" t="s">
        <v>98</v>
      </c>
      <c r="C2421" s="6" t="n">
        <f aca="false">Sens!C2398*self_build*tk_cxfac/1000</f>
        <v>7.44996</v>
      </c>
      <c r="D2421" s="6" t="n">
        <f aca="false">Sens!D2398*self_build*tk_cxfac/1000</f>
        <v>11.25096</v>
      </c>
      <c r="E2421" s="6" t="n">
        <f aca="false">Sens!E2398*self_build*tk_cxfac/1000</f>
        <v>22.34988</v>
      </c>
      <c r="F2421" s="6" t="n">
        <f aca="false">Sens!F2398*self_build*tk_cxfac/1000</f>
        <v>38.3222156604</v>
      </c>
      <c r="G2421" s="6" t="n">
        <f aca="false">Sens!G2398*self_build*tk_cxfac/1000</f>
        <v>41.4542396604</v>
      </c>
      <c r="H2421" s="6" t="n">
        <f aca="false">Sens!H2398*self_build*tk_cxfac/1000</f>
        <v>41.4542396604</v>
      </c>
      <c r="I2421" s="6" t="n">
        <f aca="false">Sens!I2398*self_build*tk_cxfac/1000</f>
        <v>29.373916963412</v>
      </c>
      <c r="J2421" s="6" t="n">
        <f aca="false">Sens!J2398*self_build*tk_cxfac/1000</f>
        <v>17.8810726056923</v>
      </c>
      <c r="K2421" s="6" t="n">
        <f aca="false">Sens!K2398*self_build*tk_cxfac/1000</f>
        <v>6.63092125650911</v>
      </c>
    </row>
    <row r="2422" customFormat="false" ht="17.15" hidden="false" customHeight="false" outlineLevel="0" collapsed="false">
      <c r="A2422" s="0" t="s">
        <v>997</v>
      </c>
      <c r="B2422" s="0" t="s">
        <v>98</v>
      </c>
      <c r="F2422" s="15" t="n">
        <f aca="false">capex_floor27-Sens!F2420-Sens!F2421-Sens!F2518</f>
        <v>-33.7707439238455</v>
      </c>
      <c r="L2422" s="12" t="s">
        <v>998</v>
      </c>
    </row>
    <row r="2423" customFormat="false" ht="17.15" hidden="false" customHeight="false" outlineLevel="0" collapsed="false">
      <c r="A2423" s="0" t="s">
        <v>999</v>
      </c>
      <c r="B2423" s="0" t="s">
        <v>98</v>
      </c>
      <c r="F2423" s="6" t="n">
        <f aca="false">MAX(0,Sens!F2422)</f>
        <v>0</v>
      </c>
    </row>
    <row r="2424" customFormat="false" ht="17.15" hidden="false" customHeight="false" outlineLevel="0" collapsed="false">
      <c r="A2424" s="0" t="s">
        <v>1000</v>
      </c>
      <c r="B2424" s="0" t="s">
        <v>98</v>
      </c>
      <c r="C2424" s="6" t="n">
        <f aca="false">Sens!C2420</f>
        <v>27.04006151</v>
      </c>
      <c r="D2424" s="6" t="n">
        <f aca="false">Sens!D2420</f>
        <v>40.83601126</v>
      </c>
      <c r="E2424" s="6" t="n">
        <f aca="false">Sens!E2420</f>
        <v>81.12018453</v>
      </c>
      <c r="F2424" s="6" t="n">
        <f aca="false">Sens!F2420</f>
        <v>163.822469190144</v>
      </c>
      <c r="G2424" s="6" t="n">
        <f aca="false">Sens!G2420</f>
        <v>188.879131118458</v>
      </c>
      <c r="H2424" s="6" t="n">
        <f aca="false">Sens!H2420</f>
        <v>194.712965217015</v>
      </c>
      <c r="I2424" s="6" t="n">
        <f aca="false">Sens!I2420</f>
        <v>172.96388338252</v>
      </c>
      <c r="J2424" s="6" t="n">
        <f aca="false">Sens!J2420</f>
        <v>136.834844829436</v>
      </c>
      <c r="K2424" s="6" t="n">
        <f aca="false">Sens!K2420</f>
        <v>136.12450242117</v>
      </c>
    </row>
    <row r="2425" customFormat="false" ht="17.15" hidden="false" customHeight="false" outlineLevel="0" collapsed="false">
      <c r="A2425" s="0" t="s">
        <v>1001</v>
      </c>
      <c r="B2425" s="0" t="s">
        <v>98</v>
      </c>
      <c r="C2425" s="6" t="n">
        <f aca="false">Sens!C2424+Sens!C2421</f>
        <v>34.49002151</v>
      </c>
      <c r="D2425" s="6" t="n">
        <f aca="false">Sens!D2424+Sens!D2421</f>
        <v>52.08697126</v>
      </c>
      <c r="E2425" s="6" t="n">
        <f aca="false">Sens!E2424+Sens!E2421</f>
        <v>103.47006453</v>
      </c>
      <c r="F2425" s="6" t="n">
        <f aca="false">Sens!F2424+Sens!F2421</f>
        <v>202.144684850544</v>
      </c>
      <c r="G2425" s="6" t="n">
        <f aca="false">Sens!G2424+Sens!G2421</f>
        <v>230.333370778858</v>
      </c>
      <c r="H2425" s="6" t="n">
        <f aca="false">Sens!H2424+Sens!H2421</f>
        <v>236.167204877415</v>
      </c>
      <c r="I2425" s="6" t="n">
        <f aca="false">Sens!I2424+Sens!I2421</f>
        <v>202.337800345932</v>
      </c>
      <c r="J2425" s="6" t="n">
        <f aca="false">Sens!J2424+Sens!J2421</f>
        <v>154.715917435129</v>
      </c>
      <c r="K2425" s="6" t="n">
        <f aca="false">Sens!K2424+Sens!K2421</f>
        <v>142.755423677679</v>
      </c>
      <c r="L2425" s="12" t="s">
        <v>1002</v>
      </c>
    </row>
    <row r="2426" customFormat="false" ht="17.15" hidden="false" customHeight="false" outlineLevel="0" collapsed="false">
      <c r="A2426" s="0" t="s">
        <v>1003</v>
      </c>
      <c r="B2426" s="0" t="s">
        <v>98</v>
      </c>
      <c r="E2426" s="6" t="n">
        <f aca="false">(Sens!C2424*IF(2&lt;life_it,1,IF(2=life_it,0.5,0))+Sens!D2424*IF(1&lt;life_it,1,IF(1=life_it,0.5,0))+Sens!E2424*0.5)/life_it</f>
        <v>18.0726941725</v>
      </c>
      <c r="F2426" s="6" t="n">
        <f aca="false">(Sens!C2424*IF(3&lt;life_it,1,IF(3=life_it,0.5,0))+Sens!D2424*IF(2&lt;life_it,1,IF(2=life_it,0.5,0))+Sens!E2424*IF(1&lt;life_it,1,IF(1=life_it,0.5,0))+Sens!F2424*0.5)/life_it</f>
        <v>38.484581982512</v>
      </c>
      <c r="G2426" s="6" t="n">
        <f aca="false">(Sens!C2424*IF(4&lt;life_it,1,IF(4=life_it,0.5,0))+Sens!D2424*IF(3&lt;life_it,1,IF(3=life_it,0.5,0))+Sens!E2424*IF(2&lt;life_it,1,IF(2=life_it,0.5,0))+Sens!F2424*IF(1&lt;life_it,1,IF(1=life_it,0.5,0))+Sens!G2424*0.5)/life_it</f>
        <v>67.8763820082287</v>
      </c>
      <c r="H2426" s="6" t="n">
        <f aca="false">(Sens!C2424*IF(5&lt;life_it,1,IF(5=life_it,0.5,0))+Sens!D2424*IF(4&lt;life_it,1,IF(4=life_it,0.5,0))+Sens!E2424*IF(3&lt;life_it,1,IF(3=life_it,0.5,0))+Sens!F2424*IF(2&lt;life_it,1,IF(2=life_it,0.5,0))+Sens!G2424*IF(1&lt;life_it,1,IF(1=life_it,0.5,0))+Sens!H2424*0.5)/life_it</f>
        <v>99.8423900361848</v>
      </c>
      <c r="I2426" s="6" t="n">
        <f aca="false">(Sens!C2424*IF(6&lt;life_it,1,IF(6=life_it,0.5,0))+Sens!D2424*IF(5&lt;life_it,1,IF(5=life_it,0.5,0))+Sens!E2424*IF(4&lt;life_it,1,IF(4=life_it,0.5,0))+Sens!F2424*IF(3&lt;life_it,1,IF(3=life_it,0.5,0))+Sens!G2424*IF(2&lt;life_it,1,IF(2=life_it,0.5,0))+Sens!H2424*IF(1&lt;life_it,1,IF(1=life_it,0.5,0))+Sens!I2424*0.5)/life_it</f>
        <v>128.228788960313</v>
      </c>
      <c r="J2426" s="6" t="n">
        <f aca="false">(Sens!C2424*IF(7&lt;life_it,1,IF(7=life_it,0.5,0))+Sens!D2424*IF(6&lt;life_it,1,IF(6=life_it,0.5,0))+Sens!E2424*IF(5&lt;life_it,1,IF(5=life_it,0.5,0))+Sens!F2424*IF(4&lt;life_it,1,IF(4=life_it,0.5,0))+Sens!G2424*IF(3&lt;life_it,1,IF(3=life_it,0.5,0))+Sens!H2424*IF(2&lt;life_it,1,IF(2=life_it,0.5,0))+Sens!I2424*IF(1&lt;life_it,1,IF(1=life_it,0.5,0))+Sens!J2424*0.5)/life_it</f>
        <v>148.389010247142</v>
      </c>
      <c r="K2426" s="6" t="n">
        <f aca="false">(Sens!C2424*IF(8&lt;life_it,1,IF(8=life_it,0.5,0))+Sens!D2424*IF(7&lt;life_it,1,IF(7=life_it,0.5,0))+Sens!E2424*IF(6&lt;life_it,1,IF(6=life_it,0.5,0))+Sens!F2424*IF(5&lt;life_it,1,IF(5=life_it,0.5,0))+Sens!G2424*IF(4&lt;life_it,1,IF(4=life_it,0.5,0))+Sens!H2424*IF(3&lt;life_it,1,IF(3=life_it,0.5,0))+Sens!I2424*IF(2&lt;life_it,1,IF(2=life_it,0.5,0))+Sens!J2424*IF(1&lt;life_it,1,IF(1=life_it,0.5,0))+Sens!K2424*0.5)/life_it</f>
        <v>160.972606202193</v>
      </c>
    </row>
    <row r="2427" customFormat="false" ht="17.15" hidden="false" customHeight="false" outlineLevel="0" collapsed="false">
      <c r="A2427" s="0" t="s">
        <v>1004</v>
      </c>
      <c r="B2427" s="0" t="s">
        <v>98</v>
      </c>
      <c r="E2427" s="6" t="n">
        <f aca="false">(Sens!C2421*IF(2&lt;life_fac,1,IF(2=life_fac,0.5,0))+Sens!D2421*IF(1&lt;life_fac,1,IF(1=life_fac,0.5,0))+Sens!E2421*0.5)/life_fac</f>
        <v>1.493793</v>
      </c>
      <c r="F2427" s="6" t="n">
        <f aca="false">(Sens!C2421*IF(3&lt;life_fac,1,IF(3=life_fac,0.5,0))+Sens!D2421*IF(2&lt;life_fac,1,IF(2=life_fac,0.5,0))+Sens!E2421*IF(1&lt;life_fac,1,IF(1=life_fac,0.5,0))+Sens!F2421*0.5)/life_fac</f>
        <v>3.01059539151</v>
      </c>
      <c r="G2427" s="6" t="n">
        <f aca="false">(Sens!C2421*IF(4&lt;life_fac,1,IF(4=life_fac,0.5,0))+Sens!D2421*IF(3&lt;life_fac,1,IF(3=life_fac,0.5,0))+Sens!E2421*IF(2&lt;life_fac,1,IF(2=life_fac,0.5,0))+Sens!F2421*IF(1&lt;life_fac,1,IF(1=life_fac,0.5,0))+Sens!G2421*0.5)/life_fac</f>
        <v>5.00500677453</v>
      </c>
      <c r="H2427" s="6" t="n">
        <f aca="false">(Sens!C2421*IF(5&lt;life_fac,1,IF(5=life_fac,0.5,0))+Sens!D2421*IF(4&lt;life_fac,1,IF(4=life_fac,0.5,0))+Sens!E2421*IF(3&lt;life_fac,1,IF(3=life_fac,0.5,0))+Sens!F2421*IF(2&lt;life_fac,1,IF(2=life_fac,0.5,0))+Sens!G2421*IF(1&lt;life_fac,1,IF(1=life_fac,0.5,0))+Sens!H2421*0.5)/life_fac</f>
        <v>7.07771875755</v>
      </c>
      <c r="I2427" s="6" t="n">
        <f aca="false">(Sens!C2421*IF(6&lt;life_fac,1,IF(6=life_fac,0.5,0))+Sens!D2421*IF(5&lt;life_fac,1,IF(5=life_fac,0.5,0))+Sens!E2421*IF(4&lt;life_fac,1,IF(4=life_fac,0.5,0))+Sens!F2421*IF(3&lt;life_fac,1,IF(3=life_fac,0.5,0))+Sens!G2421*IF(2&lt;life_fac,1,IF(2=life_fac,0.5,0))+Sens!H2421*IF(1&lt;life_fac,1,IF(1=life_fac,0.5,0))+Sens!I2421*0.5)/life_fac</f>
        <v>8.8484226731453</v>
      </c>
      <c r="J2427" s="6" t="n">
        <f aca="false">(Sens!C2421*IF(7&lt;life_fac,1,IF(7=life_fac,0.5,0))+Sens!D2421*IF(6&lt;life_fac,1,IF(6=life_fac,0.5,0))+Sens!E2421*IF(5&lt;life_fac,1,IF(5=life_fac,0.5,0))+Sens!F2421*IF(4&lt;life_fac,1,IF(4=life_fac,0.5,0))+Sens!G2421*IF(3&lt;life_fac,1,IF(3=life_fac,0.5,0))+Sens!H2421*IF(2&lt;life_fac,1,IF(2=life_fac,0.5,0))+Sens!I2421*IF(1&lt;life_fac,1,IF(1=life_fac,0.5,0))+Sens!J2421*0.5)/life_fac</f>
        <v>10.0297974123729</v>
      </c>
      <c r="K2427" s="6" t="n">
        <f aca="false">(Sens!C2421*IF(8&lt;life_fac,1,IF(8=life_fac,0.5,0))+Sens!D2421*IF(7&lt;life_fac,1,IF(7=life_fac,0.5,0))+Sens!E2421*IF(6&lt;life_fac,1,IF(6=life_fac,0.5,0))+Sens!F2421*IF(5&lt;life_fac,1,IF(5=life_fac,0.5,0))+Sens!G2421*IF(4&lt;life_fac,1,IF(4=life_fac,0.5,0))+Sens!H2421*IF(3&lt;life_fac,1,IF(3=life_fac,0.5,0))+Sens!I2421*IF(2&lt;life_fac,1,IF(2=life_fac,0.5,0))+Sens!J2421*IF(1&lt;life_fac,1,IF(1=life_fac,0.5,0))+Sens!K2421*0.5)/life_fac</f>
        <v>10.6425972589279</v>
      </c>
    </row>
    <row r="2428" customFormat="false" ht="17.15" hidden="false" customHeight="false" outlineLevel="0" collapsed="false">
      <c r="A2428" s="0" t="s">
        <v>1005</v>
      </c>
      <c r="B2428" s="0" t="s">
        <v>98</v>
      </c>
      <c r="E2428" s="6" t="n">
        <f aca="false">Sens!E2426+Sens!E2427</f>
        <v>19.5664871725</v>
      </c>
      <c r="F2428" s="6" t="n">
        <f aca="false">Sens!F2426+Sens!F2427</f>
        <v>41.495177374022</v>
      </c>
      <c r="G2428" s="6" t="n">
        <f aca="false">Sens!G2426+Sens!G2427</f>
        <v>72.8813887827587</v>
      </c>
      <c r="H2428" s="6" t="n">
        <f aca="false">Sens!H2426+Sens!H2427</f>
        <v>106.920108793735</v>
      </c>
      <c r="I2428" s="6" t="n">
        <f aca="false">Sens!I2426+Sens!I2427</f>
        <v>137.077211633458</v>
      </c>
      <c r="J2428" s="6" t="n">
        <f aca="false">Sens!J2426+Sens!J2427</f>
        <v>158.418807659515</v>
      </c>
      <c r="K2428" s="6" t="n">
        <f aca="false">Sens!K2426+Sens!K2427</f>
        <v>171.615203461121</v>
      </c>
    </row>
    <row r="2429" customFormat="false" ht="17.15" hidden="false" customHeight="false" outlineLevel="0" collapsed="false">
      <c r="A2429" s="0" t="s">
        <v>1006</v>
      </c>
      <c r="B2429" s="0" t="s">
        <v>98</v>
      </c>
      <c r="E2429" s="6" t="n">
        <f aca="false">Sens!E2416-Sens!E2415*Sens!E2428</f>
        <v>8.92707889977379</v>
      </c>
      <c r="F2429" s="6" t="n">
        <f aca="false">Sens!F2416-Sens!F2415*Sens!F2428</f>
        <v>14.3471335960079</v>
      </c>
      <c r="G2429" s="6" t="n">
        <f aca="false">Sens!G2416-Sens!G2415*Sens!G2428</f>
        <v>16.5202976798683</v>
      </c>
      <c r="H2429" s="6" t="n">
        <f aca="false">Sens!H2416-Sens!H2415*Sens!H2428</f>
        <v>12.9805278875331</v>
      </c>
      <c r="I2429" s="6" t="n">
        <f aca="false">Sens!I2416-Sens!I2415*Sens!I2428</f>
        <v>16.2363335770989</v>
      </c>
      <c r="J2429" s="6" t="n">
        <f aca="false">Sens!J2416-Sens!J2415*Sens!J2428</f>
        <v>18.4432225839805</v>
      </c>
      <c r="K2429" s="6" t="n">
        <f aca="false">Sens!K2416-Sens!K2415*Sens!K2428</f>
        <v>20.1577566819661</v>
      </c>
    </row>
    <row r="2430" customFormat="false" ht="17.15" hidden="false" customHeight="false" outlineLevel="0" collapsed="false">
      <c r="A2430" s="3" t="s">
        <v>1671</v>
      </c>
    </row>
    <row r="2431" customFormat="false" ht="15" hidden="false" customHeight="false" outlineLevel="0" collapsed="false">
      <c r="A2431" s="4" t="s">
        <v>43</v>
      </c>
      <c r="B2431" s="4" t="s">
        <v>65</v>
      </c>
      <c r="C2431" s="23" t="s">
        <v>942</v>
      </c>
      <c r="D2431" s="23" t="s">
        <v>943</v>
      </c>
      <c r="E2431" s="23" t="s">
        <v>944</v>
      </c>
      <c r="F2431" s="23" t="s">
        <v>945</v>
      </c>
      <c r="G2431" s="23" t="s">
        <v>946</v>
      </c>
      <c r="H2431" s="23" t="s">
        <v>947</v>
      </c>
      <c r="I2431" s="23" t="s">
        <v>948</v>
      </c>
      <c r="J2431" s="23" t="s">
        <v>949</v>
      </c>
      <c r="K2431" s="23" t="s">
        <v>950</v>
      </c>
      <c r="L2431" s="4" t="s">
        <v>47</v>
      </c>
    </row>
    <row r="2432" customFormat="false" ht="17.15" hidden="false" customHeight="false" outlineLevel="0" collapsed="false">
      <c r="A2432" s="0" t="s">
        <v>1025</v>
      </c>
      <c r="B2432" s="0" t="s">
        <v>98</v>
      </c>
      <c r="D2432" s="6" t="n">
        <f aca="false">Sens!D2410</f>
        <v>12.9359794422418</v>
      </c>
      <c r="E2432" s="6" t="n">
        <f aca="false">Sens!E2410</f>
        <v>27.8095064661409</v>
      </c>
      <c r="F2432" s="6" t="n">
        <f aca="false">Sens!F2410</f>
        <v>50.9819294352312</v>
      </c>
      <c r="G2432" s="6" t="n">
        <f aca="false">Sens!G2410</f>
        <v>76.6920436014933</v>
      </c>
      <c r="H2432" s="6" t="n">
        <f aca="false">Sens!H2410</f>
        <v>97.4495379418341</v>
      </c>
      <c r="I2432" s="6" t="n">
        <f aca="false">Sens!I2410</f>
        <v>122.083445553868</v>
      </c>
      <c r="J2432" s="6" t="n">
        <f aca="false">Sens!J2410</f>
        <v>139.249060444804</v>
      </c>
      <c r="K2432" s="6" t="n">
        <f aca="false">Sens!K2410</f>
        <v>149.995818575589</v>
      </c>
    </row>
    <row r="2433" customFormat="false" ht="17.15" hidden="false" customHeight="false" outlineLevel="0" collapsed="false">
      <c r="A2433" s="0" t="s">
        <v>1026</v>
      </c>
      <c r="B2433" s="0" t="s">
        <v>98</v>
      </c>
      <c r="D2433" s="6" t="n">
        <f aca="false">Q!L6-Sens!D2432</f>
        <v>59.6740205577583</v>
      </c>
      <c r="E2433" s="6" t="n">
        <f aca="false">Q!M6-Sens!E2432</f>
        <v>74.1284935338591</v>
      </c>
      <c r="F2433" s="6" t="n">
        <f aca="false">Q!$I$6+(Sens!F2432+Sens!E2433*(1+Sens!F2434))*(1-Q!$E$6/Q!M6)-Sens!F2432</f>
        <v>92.2699541184664</v>
      </c>
      <c r="G2433" s="6" t="n">
        <f aca="false">Sens!F2433*(1+Sens!G2434)</f>
        <v>109.630477277949</v>
      </c>
      <c r="H2433" s="6" t="n">
        <f aca="false">Sens!G2433*(1+Sens!H2434)</f>
        <v>127.293256321956</v>
      </c>
      <c r="I2433" s="6" t="n">
        <f aca="false">Sens!H2433*(1+Sens!I2434)</f>
        <v>144.360052269491</v>
      </c>
      <c r="J2433" s="6" t="n">
        <f aca="false">Sens!I2433*(1+Sens!J2434)</f>
        <v>159.811964490216</v>
      </c>
      <c r="K2433" s="6" t="n">
        <f aca="false">Sens!J2433*(1+Sens!K2434)</f>
        <v>172.596921649434</v>
      </c>
      <c r="L2433" s="12" t="s">
        <v>1027</v>
      </c>
    </row>
    <row r="2434" customFormat="false" ht="15" hidden="false" customHeight="false" outlineLevel="0" collapsed="false">
      <c r="A2434" s="1" t="s">
        <v>1028</v>
      </c>
      <c r="B2434" s="0" t="s">
        <v>168</v>
      </c>
      <c r="E2434" s="7" t="n">
        <f aca="false">Sens!E2433/Sens!D2433-1</f>
        <v>0.242223883039864</v>
      </c>
      <c r="F2434" s="7" t="n">
        <f aca="false">Sens!$E$2434+(glt_azo-Sens!$E$2434)*MIN(1,(Sens!F2391-base_fy)/n_conv)</f>
        <v>0.215186569199887</v>
      </c>
      <c r="G2434" s="7" t="n">
        <f aca="false">Sens!$E$2434+(glt_azo-Sens!$E$2434)*MIN(1,(Sens!G2391-base_fy)/n_conv)</f>
        <v>0.18814925535991</v>
      </c>
      <c r="H2434" s="7" t="n">
        <f aca="false">Sens!$E$2434+(glt_azo-Sens!$E$2434)*MIN(1,(Sens!H2391-base_fy)/n_conv)</f>
        <v>0.161111941519932</v>
      </c>
      <c r="I2434" s="7" t="n">
        <f aca="false">Sens!$E$2434+(glt_azo-Sens!$E$2434)*MIN(1,(Sens!I2391-base_fy)/n_conv)</f>
        <v>0.134074627679955</v>
      </c>
      <c r="J2434" s="7" t="n">
        <f aca="false">Sens!$E$2434+(glt_azo-Sens!$E$2434)*MIN(1,(Sens!J2391-base_fy)/n_conv)</f>
        <v>0.107037313839977</v>
      </c>
      <c r="K2434" s="7" t="n">
        <f aca="false">Sens!$E$2434+(glt_azo-Sens!$E$2434)*MIN(1,(Sens!K2391-base_fy)/n_conv)</f>
        <v>0.08</v>
      </c>
    </row>
    <row r="2435" customFormat="false" ht="15" hidden="false" customHeight="false" outlineLevel="0" collapsed="false">
      <c r="A2435" s="0" t="s">
        <v>1029</v>
      </c>
      <c r="B2435" s="0" t="s">
        <v>98</v>
      </c>
      <c r="D2435" s="6" t="n">
        <f aca="false">Sens!D2432+Sens!D2433</f>
        <v>72.61</v>
      </c>
      <c r="E2435" s="6" t="n">
        <f aca="false">Sens!E2432+Sens!E2433</f>
        <v>101.938</v>
      </c>
      <c r="F2435" s="6" t="n">
        <f aca="false">Sens!F2432+Sens!F2433</f>
        <v>143.251883553698</v>
      </c>
      <c r="G2435" s="6" t="n">
        <f aca="false">Sens!G2432+Sens!G2433</f>
        <v>186.322520879442</v>
      </c>
      <c r="H2435" s="6" t="n">
        <f aca="false">Sens!H2432+Sens!H2433</f>
        <v>224.74279426379</v>
      </c>
      <c r="I2435" s="6" t="n">
        <f aca="false">Sens!I2432+Sens!I2433</f>
        <v>266.443497823359</v>
      </c>
      <c r="J2435" s="6" t="n">
        <f aca="false">Sens!J2432+Sens!J2433</f>
        <v>299.06102493502</v>
      </c>
      <c r="K2435" s="6" t="n">
        <f aca="false">Sens!K2432+Sens!K2433</f>
        <v>322.592740225023</v>
      </c>
    </row>
    <row r="2436" customFormat="false" ht="17.15" hidden="false" customHeight="false" outlineLevel="0" collapsed="false">
      <c r="A2436" s="0" t="s">
        <v>1030</v>
      </c>
      <c r="B2436" s="1" t="s">
        <v>613</v>
      </c>
      <c r="C2436" s="30" t="n">
        <f aca="false">cop_s24</f>
        <v>1</v>
      </c>
      <c r="D2436" s="30" t="n">
        <f aca="false">cop_s25</f>
        <v>5</v>
      </c>
      <c r="E2436" s="30" t="n">
        <f aca="false">cop_s26</f>
        <v>30</v>
      </c>
      <c r="F2436" s="30" t="n">
        <f aca="false">Sens!E2436+cop_add_C</f>
        <v>40</v>
      </c>
      <c r="G2436" s="30" t="n">
        <f aca="false">Sens!F2436+cop_add_C</f>
        <v>50</v>
      </c>
      <c r="H2436" s="30" t="n">
        <f aca="false">Sens!G2436+cop_add_C</f>
        <v>60</v>
      </c>
      <c r="I2436" s="30" t="n">
        <f aca="false">Sens!H2436+cop_add_C*cop_tail</f>
        <v>65</v>
      </c>
      <c r="J2436" s="30" t="n">
        <f aca="false">Sens!I2436+cop_add_C*cop_tail</f>
        <v>70</v>
      </c>
      <c r="K2436" s="30" t="n">
        <f aca="false">Sens!J2436+cop_add_C*cop_tail</f>
        <v>75</v>
      </c>
      <c r="L2436" s="12" t="s">
        <v>1031</v>
      </c>
    </row>
    <row r="2437" customFormat="false" ht="17.15" hidden="false" customHeight="false" outlineLevel="0" collapsed="false">
      <c r="A2437" s="0" t="s">
        <v>1032</v>
      </c>
      <c r="B2437" s="0" t="s">
        <v>98</v>
      </c>
      <c r="D2437" s="6" t="n">
        <f aca="false">(Sens!C2436+Sens!D2436)/2*cop_px*12/1000</f>
        <v>0.9</v>
      </c>
      <c r="E2437" s="6" t="n">
        <f aca="false">(Sens!D2436+Sens!E2436)/2*cop_px*12/1000</f>
        <v>5.25</v>
      </c>
      <c r="F2437" s="6" t="n">
        <f aca="false">(Sens!E2436+Sens!F2436)/2*cop_px*12/1000</f>
        <v>10.5</v>
      </c>
      <c r="G2437" s="6" t="n">
        <f aca="false">(Sens!F2436+Sens!G2436)/2*cop_px*12/1000</f>
        <v>13.5</v>
      </c>
      <c r="H2437" s="6" t="n">
        <f aca="false">(Sens!G2436+Sens!H2436)/2*cop_px*12/1000</f>
        <v>16.5</v>
      </c>
      <c r="I2437" s="6" t="n">
        <f aca="false">(Sens!H2436+Sens!I2436)/2*cop_px*12/1000</f>
        <v>18.75</v>
      </c>
      <c r="J2437" s="6" t="n">
        <f aca="false">(Sens!I2436+Sens!J2436)/2*cop_px*12/1000</f>
        <v>20.25</v>
      </c>
      <c r="K2437" s="6" t="n">
        <f aca="false">(Sens!J2436+Sens!K2436)/2*cop_px*12/1000</f>
        <v>21.75</v>
      </c>
      <c r="L2437" s="1" t="s">
        <v>1033</v>
      </c>
    </row>
    <row r="2438" customFormat="false" ht="17.15" hidden="false" customHeight="false" outlineLevel="0" collapsed="false">
      <c r="A2438" s="0" t="s">
        <v>1034</v>
      </c>
      <c r="B2438" s="0" t="s">
        <v>98</v>
      </c>
      <c r="D2438" s="6" t="n">
        <f aca="false">Q!L7-Sens!D2437</f>
        <v>83.705</v>
      </c>
      <c r="E2438" s="6" t="n">
        <f aca="false">Q!M7-Sens!E2437</f>
        <v>95.049</v>
      </c>
      <c r="F2438" s="6" t="n">
        <f aca="false">Q!$I$7+(Sens!E2438*(1+Sens!F2439)+Sens!F2437)*(1-Q!$E$7/Q!M7)-Sens!F2437</f>
        <v>106.938354189776</v>
      </c>
      <c r="G2438" s="6" t="n">
        <f aca="false">Sens!F2438*(1+Sens!G2439)</f>
        <v>119.095360443801</v>
      </c>
      <c r="H2438" s="6" t="n">
        <f aca="false">Sens!G2438*(1+Sens!H2439)</f>
        <v>131.333811964563</v>
      </c>
      <c r="I2438" s="6" t="n">
        <f aca="false">Sens!H2438*(1+Sens!I2439)</f>
        <v>143.395665319381</v>
      </c>
      <c r="J2438" s="6" t="n">
        <f aca="false">Sens!I2438*(1+Sens!J2439)</f>
        <v>154.999327755573</v>
      </c>
      <c r="K2438" s="6" t="n">
        <f aca="false">Sens!J2438*(1+Sens!K2439)</f>
        <v>165.849280698463</v>
      </c>
      <c r="L2438" s="12" t="s">
        <v>1035</v>
      </c>
    </row>
    <row r="2439" customFormat="false" ht="15" hidden="false" customHeight="false" outlineLevel="0" collapsed="false">
      <c r="A2439" s="1" t="s">
        <v>1028</v>
      </c>
      <c r="B2439" s="0" t="s">
        <v>168</v>
      </c>
      <c r="E2439" s="7" t="n">
        <f aca="false">Sens!E2438/Sens!D2438-1</f>
        <v>0.135523564900544</v>
      </c>
      <c r="F2439" s="7" t="n">
        <f aca="false">Sens!$E$2439+(glt_m365b-Sens!$E$2439)*MIN(1,(Sens!F2391-base_fy)/n_conv)</f>
        <v>0.124602970750453</v>
      </c>
      <c r="G2439" s="7" t="n">
        <f aca="false">Sens!$E$2439+(glt_m365b-Sens!$E$2439)*MIN(1,(Sens!G2391-base_fy)/n_conv)</f>
        <v>0.113682376600363</v>
      </c>
      <c r="H2439" s="7" t="n">
        <f aca="false">Sens!$E$2439+(glt_m365b-Sens!$E$2439)*MIN(1,(Sens!H2391-base_fy)/n_conv)</f>
        <v>0.102761782450272</v>
      </c>
      <c r="I2439" s="7" t="n">
        <f aca="false">Sens!$E$2439+(glt_m365b-Sens!$E$2439)*MIN(1,(Sens!I2391-base_fy)/n_conv)</f>
        <v>0.0918411883001813</v>
      </c>
      <c r="J2439" s="7" t="n">
        <f aca="false">Sens!$E$2439+(glt_m365b-Sens!$E$2439)*MIN(1,(Sens!J2391-base_fy)/n_conv)</f>
        <v>0.0809205941500906</v>
      </c>
      <c r="K2439" s="7" t="n">
        <f aca="false">Sens!$E$2439+(glt_m365b-Sens!$E$2439)*MIN(1,(Sens!K2391-base_fy)/n_conv)</f>
        <v>0.07</v>
      </c>
    </row>
    <row r="2440" customFormat="false" ht="15" hidden="false" customHeight="false" outlineLevel="0" collapsed="false">
      <c r="A2440" s="0" t="s">
        <v>1036</v>
      </c>
      <c r="B2440" s="0" t="s">
        <v>98</v>
      </c>
      <c r="D2440" s="6" t="n">
        <f aca="false">Sens!D2438+Sens!D2437</f>
        <v>84.605</v>
      </c>
      <c r="E2440" s="6" t="n">
        <f aca="false">Sens!E2438+Sens!E2437</f>
        <v>100.299</v>
      </c>
      <c r="F2440" s="6" t="n">
        <f aca="false">Sens!F2438+Sens!F2437</f>
        <v>117.438354189776</v>
      </c>
      <c r="G2440" s="6" t="n">
        <f aca="false">Sens!G2438+Sens!G2437</f>
        <v>132.595360443801</v>
      </c>
      <c r="H2440" s="6" t="n">
        <f aca="false">Sens!H2438+Sens!H2437</f>
        <v>147.833811964563</v>
      </c>
      <c r="I2440" s="6" t="n">
        <f aca="false">Sens!I2438+Sens!I2437</f>
        <v>162.145665319381</v>
      </c>
      <c r="J2440" s="6" t="n">
        <f aca="false">Sens!J2438+Sens!J2437</f>
        <v>175.249327755573</v>
      </c>
      <c r="K2440" s="6" t="n">
        <f aca="false">Sens!K2438+Sens!K2437</f>
        <v>187.599280698463</v>
      </c>
    </row>
    <row r="2441" customFormat="false" ht="17.15" hidden="false" customHeight="false" outlineLevel="0" collapsed="false">
      <c r="A2441" s="0" t="s">
        <v>1037</v>
      </c>
      <c r="B2441" s="0" t="s">
        <v>98</v>
      </c>
      <c r="D2441" s="6" t="n">
        <f aca="false">Q!L8</f>
        <v>35.391</v>
      </c>
      <c r="E2441" s="6" t="n">
        <f aca="false">Q!M8</f>
        <v>37.285</v>
      </c>
      <c r="F2441" s="6" t="n">
        <f aca="false">Q!$I$8+(Q!M8-Q!$E$8)*(1+Sens!F2442)</f>
        <v>38.3851437782675</v>
      </c>
      <c r="G2441" s="6" t="n">
        <f aca="false">Sens!F2441*(1+Sens!G2442)</f>
        <v>40.0105353288615</v>
      </c>
      <c r="H2441" s="6" t="n">
        <f aca="false">Sens!G2441*(1+Sens!H2442)</f>
        <v>41.4812512033683</v>
      </c>
      <c r="I2441" s="6" t="n">
        <f aca="false">Sens!H2441*(1+Sens!I2442)</f>
        <v>42.7743107216329</v>
      </c>
      <c r="J2441" s="6" t="n">
        <f aca="false">Sens!I2441*(1+Sens!J2442)</f>
        <v>43.8687373064601</v>
      </c>
      <c r="K2441" s="6" t="n">
        <f aca="false">Sens!J2441*(1+Sens!K2442)</f>
        <v>44.7461120525893</v>
      </c>
      <c r="L2441" s="12" t="s">
        <v>1038</v>
      </c>
    </row>
    <row r="2442" customFormat="false" ht="15" hidden="false" customHeight="false" outlineLevel="0" collapsed="false">
      <c r="A2442" s="1" t="s">
        <v>1028</v>
      </c>
      <c r="B2442" s="0" t="s">
        <v>168</v>
      </c>
      <c r="E2442" s="7" t="n">
        <f aca="false">Sens!E2441/Sens!D2441-1</f>
        <v>0.0535164307309768</v>
      </c>
      <c r="F2442" s="7" t="n">
        <f aca="false">Sens!$E$2442+(glt_lic-Sens!$E$2442)*MIN(1,(Sens!F2391-base_fy)/n_conv)</f>
        <v>0.0479303589424807</v>
      </c>
      <c r="G2442" s="7" t="n">
        <f aca="false">Sens!$E$2442+(glt_lic-Sens!$E$2442)*MIN(1,(Sens!G2391-base_fy)/n_conv)</f>
        <v>0.0423442871539845</v>
      </c>
      <c r="H2442" s="7" t="n">
        <f aca="false">Sens!$E$2442+(glt_lic-Sens!$E$2442)*MIN(1,(Sens!H2391-base_fy)/n_conv)</f>
        <v>0.0367582153654884</v>
      </c>
      <c r="I2442" s="7" t="n">
        <f aca="false">Sens!$E$2442+(glt_lic-Sens!$E$2442)*MIN(1,(Sens!I2391-base_fy)/n_conv)</f>
        <v>0.0311721435769923</v>
      </c>
      <c r="J2442" s="7" t="n">
        <f aca="false">Sens!$E$2442+(glt_lic-Sens!$E$2442)*MIN(1,(Sens!J2391-base_fy)/n_conv)</f>
        <v>0.0255860717884961</v>
      </c>
      <c r="K2442" s="7" t="n">
        <f aca="false">Sens!$E$2442+(glt_lic-Sens!$E$2442)*MIN(1,(Sens!K2391-base_fy)/n_conv)</f>
        <v>0.02</v>
      </c>
    </row>
    <row r="2443" customFormat="false" ht="17.15" hidden="false" customHeight="false" outlineLevel="0" collapsed="false">
      <c r="A2443" s="0" t="s">
        <v>1039</v>
      </c>
      <c r="B2443" s="0" t="s">
        <v>98</v>
      </c>
      <c r="D2443" s="6" t="n">
        <f aca="false">Q!L9</f>
        <v>18.417</v>
      </c>
      <c r="E2443" s="6" t="n">
        <f aca="false">Q!M9</f>
        <v>20.345</v>
      </c>
      <c r="F2443" s="6" t="n">
        <f aca="false">Q!$I$9+(Q!M9-Q!$E$9)*(1+Sens!F2444)</f>
        <v>22.3161797133988</v>
      </c>
      <c r="G2443" s="6" t="n">
        <f aca="false">Sens!F2443*(1+Sens!G2444)</f>
        <v>24.3943499673233</v>
      </c>
      <c r="H2443" s="6" t="n">
        <f aca="false">Sens!G2443*(1+Sens!H2444)</f>
        <v>26.5250243109019</v>
      </c>
      <c r="I2443" s="6" t="n">
        <f aca="false">Sens!H2443*(1+Sens!I2444)</f>
        <v>28.6884573538181</v>
      </c>
      <c r="J2443" s="6" t="n">
        <f aca="false">Sens!I2443*(1+Sens!J2444)</f>
        <v>30.8624968052127</v>
      </c>
      <c r="K2443" s="6" t="n">
        <f aca="false">Sens!J2443*(1+Sens!K2444)</f>
        <v>33.0228715815776</v>
      </c>
      <c r="L2443" s="12" t="s">
        <v>1038</v>
      </c>
    </row>
    <row r="2444" customFormat="false" ht="15" hidden="false" customHeight="false" outlineLevel="0" collapsed="false">
      <c r="A2444" s="1" t="s">
        <v>1028</v>
      </c>
      <c r="B2444" s="0" t="s">
        <v>168</v>
      </c>
      <c r="E2444" s="7" t="n">
        <f aca="false">Sens!E2443/Sens!D2443-1</f>
        <v>0.104685888038225</v>
      </c>
      <c r="F2444" s="7" t="n">
        <f aca="false">Sens!$E$2444+(glt_ind-Sens!$E$2444)*MIN(1,(Sens!F2391-base_fy)/n_conv)</f>
        <v>0.0989049066985211</v>
      </c>
      <c r="G2444" s="7" t="n">
        <f aca="false">Sens!$E$2444+(glt_ind-Sens!$E$2444)*MIN(1,(Sens!G2391-base_fy)/n_conv)</f>
        <v>0.0931239253588169</v>
      </c>
      <c r="H2444" s="7" t="n">
        <f aca="false">Sens!$E$2444+(glt_ind-Sens!$E$2444)*MIN(1,(Sens!H2391-base_fy)/n_conv)</f>
        <v>0.0873429440191127</v>
      </c>
      <c r="I2444" s="7" t="n">
        <f aca="false">Sens!$E$2444+(glt_ind-Sens!$E$2444)*MIN(1,(Sens!I2391-base_fy)/n_conv)</f>
        <v>0.0815619626794085</v>
      </c>
      <c r="J2444" s="7" t="n">
        <f aca="false">Sens!$E$2444+(glt_ind-Sens!$E$2444)*MIN(1,(Sens!J2391-base_fy)/n_conv)</f>
        <v>0.0757809813397042</v>
      </c>
      <c r="K2444" s="7" t="n">
        <f aca="false">Sens!$E$2444+(glt_ind-Sens!$E$2444)*MIN(1,(Sens!K2391-base_fy)/n_conv)</f>
        <v>0.07</v>
      </c>
    </row>
    <row r="2445" customFormat="false" ht="17.15" hidden="false" customHeight="false" outlineLevel="0" collapsed="false">
      <c r="A2445" s="0" t="s">
        <v>1040</v>
      </c>
      <c r="B2445" s="0" t="s">
        <v>98</v>
      </c>
      <c r="D2445" s="6" t="n">
        <f aca="false">Q!L10</f>
        <v>7.76</v>
      </c>
      <c r="E2445" s="6" t="n">
        <f aca="false">Q!M10</f>
        <v>8.26</v>
      </c>
      <c r="F2445" s="6" t="n">
        <f aca="false">Q!$I$10+(Q!M10-Q!$E$10)*(1+Sens!F2446)</f>
        <v>8.75372082474227</v>
      </c>
      <c r="G2445" s="6" t="n">
        <f aca="false">Sens!F2445*(1+Sens!G2446)</f>
        <v>9.33399324642364</v>
      </c>
      <c r="H2445" s="6" t="n">
        <f aca="false">Sens!G2445*(1+Sens!H2446)</f>
        <v>9.96139155535851</v>
      </c>
      <c r="I2445" s="6" t="n">
        <f aca="false">Sens!H2445*(1+Sens!I2446)</f>
        <v>10.6402039077391</v>
      </c>
      <c r="J2445" s="6" t="n">
        <f aca="false">Sens!I2445*(1+Sens!J2446)</f>
        <v>11.3751458271397</v>
      </c>
      <c r="K2445" s="6" t="n">
        <f aca="false">Sens!J2445*(1+Sens!K2446)</f>
        <v>12.1714060350394</v>
      </c>
      <c r="L2445" s="12" t="s">
        <v>1038</v>
      </c>
    </row>
    <row r="2446" customFormat="false" ht="15" hidden="false" customHeight="false" outlineLevel="0" collapsed="false">
      <c r="A2446" s="1" t="s">
        <v>1028</v>
      </c>
      <c r="B2446" s="0" t="s">
        <v>168</v>
      </c>
      <c r="E2446" s="7" t="n">
        <f aca="false">Sens!E2445/Sens!D2445-1</f>
        <v>0.0644329896907216</v>
      </c>
      <c r="F2446" s="7" t="n">
        <f aca="false">Sens!$E$2446+(glt_fro-Sens!$E$2446)*MIN(1,(Sens!F2391-base_fy)/n_conv)</f>
        <v>0.065360824742268</v>
      </c>
      <c r="G2446" s="7" t="n">
        <f aca="false">Sens!$E$2446+(glt_fro-Sens!$E$2446)*MIN(1,(Sens!G2391-base_fy)/n_conv)</f>
        <v>0.0662886597938144</v>
      </c>
      <c r="H2446" s="7" t="n">
        <f aca="false">Sens!$E$2446+(glt_fro-Sens!$E$2446)*MIN(1,(Sens!H2391-base_fy)/n_conv)</f>
        <v>0.0672164948453608</v>
      </c>
      <c r="I2446" s="7" t="n">
        <f aca="false">Sens!$E$2446+(glt_fro-Sens!$E$2446)*MIN(1,(Sens!I2391-base_fy)/n_conv)</f>
        <v>0.0681443298969072</v>
      </c>
      <c r="J2446" s="7" t="n">
        <f aca="false">Sens!$E$2446+(glt_fro-Sens!$E$2446)*MIN(1,(Sens!J2391-base_fy)/n_conv)</f>
        <v>0.0690721649484536</v>
      </c>
      <c r="K2446" s="7" t="n">
        <f aca="false">Sens!$E$2446+(glt_fro-Sens!$E$2446)*MIN(1,(Sens!K2391-base_fy)/n_conv)</f>
        <v>0.07</v>
      </c>
    </row>
    <row r="2447" customFormat="false" ht="15" hidden="false" customHeight="false" outlineLevel="0" collapsed="false">
      <c r="A2447" s="0" t="s">
        <v>856</v>
      </c>
      <c r="B2447" s="0" t="s">
        <v>98</v>
      </c>
      <c r="D2447" s="6" t="n">
        <f aca="false">Sens!D2435+Sens!D2440+Sens!D2441+Sens!D2443+Sens!D2445</f>
        <v>218.783</v>
      </c>
      <c r="E2447" s="6" t="n">
        <f aca="false">Sens!E2435+Sens!E2440+Sens!E2441+Sens!E2443+Sens!E2445</f>
        <v>268.127</v>
      </c>
      <c r="F2447" s="6" t="n">
        <f aca="false">Sens!F2435+Sens!F2440+Sens!F2441+Sens!F2443+Sens!F2445</f>
        <v>330.145282059882</v>
      </c>
      <c r="G2447" s="6" t="n">
        <f aca="false">Sens!G2435+Sens!G2440+Sens!G2441+Sens!G2443+Sens!G2445</f>
        <v>392.656759865851</v>
      </c>
      <c r="H2447" s="6" t="n">
        <f aca="false">Sens!H2435+Sens!H2440+Sens!H2441+Sens!H2443+Sens!H2445</f>
        <v>450.544273297982</v>
      </c>
      <c r="I2447" s="6" t="n">
        <f aca="false">Sens!I2435+Sens!I2440+Sens!I2441+Sens!I2443+Sens!I2445</f>
        <v>510.69213512593</v>
      </c>
      <c r="J2447" s="6" t="n">
        <f aca="false">Sens!J2435+Sens!J2440+Sens!J2441+Sens!J2443+Sens!J2445</f>
        <v>560.416732629406</v>
      </c>
      <c r="K2447" s="6" t="n">
        <f aca="false">Sens!K2435+Sens!K2440+Sens!K2441+Sens!K2443+Sens!K2445</f>
        <v>600.132410592692</v>
      </c>
    </row>
    <row r="2448" customFormat="false" ht="17.15" hidden="false" customHeight="false" outlineLevel="0" collapsed="false">
      <c r="A2448" s="0" t="s">
        <v>1041</v>
      </c>
      <c r="B2448" s="0" t="s">
        <v>98</v>
      </c>
      <c r="D2448" s="6" t="n">
        <f aca="false">Q!L13</f>
        <v>22.171</v>
      </c>
      <c r="E2448" s="6" t="n">
        <f aca="false">Q!M13</f>
        <v>24.835</v>
      </c>
      <c r="F2448" s="6" t="n">
        <f aca="false">Q!$I$13+(Q!M13-Q!$E$13)*(1+Sens!F2449)</f>
        <v>27.5591895660247</v>
      </c>
      <c r="G2448" s="6" t="n">
        <f aca="false">Sens!F2448*(1+Sens!G2449)</f>
        <v>30.4098563144583</v>
      </c>
      <c r="H2448" s="6" t="n">
        <f aca="false">Sens!G2448*(1+Sens!H2449)</f>
        <v>33.3011792571777</v>
      </c>
      <c r="I2448" s="6" t="n">
        <f aca="false">Sens!H2448*(1+Sens!I2449)</f>
        <v>36.189023797112</v>
      </c>
      <c r="J2448" s="6" t="n">
        <f aca="false">Sens!I2448*(1+Sens!J2449)</f>
        <v>39.0247773769199</v>
      </c>
      <c r="K2448" s="6" t="n">
        <f aca="false">Sens!J2448*(1+Sens!K2449)</f>
        <v>41.7565117933043</v>
      </c>
      <c r="L2448" s="12" t="s">
        <v>1038</v>
      </c>
    </row>
    <row r="2449" customFormat="false" ht="15" hidden="false" customHeight="false" outlineLevel="0" collapsed="false">
      <c r="A2449" s="1" t="s">
        <v>1028</v>
      </c>
      <c r="B2449" s="0" t="s">
        <v>168</v>
      </c>
      <c r="E2449" s="7" t="n">
        <f aca="false">Sens!E2448/Sens!D2448-1</f>
        <v>0.120156961796942</v>
      </c>
      <c r="F2449" s="7" t="n">
        <f aca="false">Sens!$E$2449+(glt_srch-Sens!$E$2449)*MIN(1,(Sens!F2391-base_fy)/n_conv)</f>
        <v>0.111797468164118</v>
      </c>
      <c r="G2449" s="7" t="n">
        <f aca="false">Sens!$E$2449+(glt_srch-Sens!$E$2449)*MIN(1,(Sens!G2391-base_fy)/n_conv)</f>
        <v>0.103437974531295</v>
      </c>
      <c r="H2449" s="7" t="n">
        <f aca="false">Sens!$E$2449+(glt_srch-Sens!$E$2449)*MIN(1,(Sens!H2391-base_fy)/n_conv)</f>
        <v>0.095078480898471</v>
      </c>
      <c r="I2449" s="7" t="n">
        <f aca="false">Sens!$E$2449+(glt_srch-Sens!$E$2449)*MIN(1,(Sens!I2391-base_fy)/n_conv)</f>
        <v>0.0867189872656474</v>
      </c>
      <c r="J2449" s="7" t="n">
        <f aca="false">Sens!$E$2449+(glt_srch-Sens!$E$2449)*MIN(1,(Sens!J2391-base_fy)/n_conv)</f>
        <v>0.0783594936328237</v>
      </c>
      <c r="K2449" s="7" t="n">
        <f aca="false">Sens!$E$2449+(glt_srch-Sens!$E$2449)*MIN(1,(Sens!K2391-base_fy)/n_conv)</f>
        <v>0.07</v>
      </c>
    </row>
    <row r="2450" customFormat="false" ht="17.15" hidden="false" customHeight="false" outlineLevel="0" collapsed="false">
      <c r="A2450" s="0" t="s">
        <v>1042</v>
      </c>
      <c r="B2450" s="0" t="s">
        <v>98</v>
      </c>
      <c r="D2450" s="6" t="n">
        <f aca="false">Q!L14</f>
        <v>23.455</v>
      </c>
      <c r="E2450" s="6" t="n">
        <f aca="false">Q!M14</f>
        <v>21.79</v>
      </c>
      <c r="F2450" s="6" t="n">
        <f aca="false">Q!$I$14+(Q!M14-Q!$E$14)*(1+Sens!F2451)</f>
        <v>20.7520981041711</v>
      </c>
      <c r="G2450" s="6" t="n">
        <f aca="false">Sens!F2450*(1+Sens!G2451)</f>
        <v>19.9083593495882</v>
      </c>
      <c r="H2450" s="6" t="n">
        <f aca="false">Sens!G2450*(1+Sens!H2451)</f>
        <v>19.4008256265831</v>
      </c>
      <c r="I2450" s="6" t="n">
        <f aca="false">Sens!H2450*(1+Sens!I2451)</f>
        <v>19.200434522122</v>
      </c>
      <c r="J2450" s="6" t="n">
        <f aca="false">Sens!I2450*(1+Sens!J2451)</f>
        <v>19.2932782348507</v>
      </c>
      <c r="K2450" s="6" t="n">
        <f aca="false">Sens!J2450*(1+Sens!K2451)</f>
        <v>19.6791437995477</v>
      </c>
      <c r="L2450" s="12" t="s">
        <v>1038</v>
      </c>
    </row>
    <row r="2451" customFormat="false" ht="15" hidden="false" customHeight="false" outlineLevel="0" collapsed="false">
      <c r="A2451" s="1" t="s">
        <v>1028</v>
      </c>
      <c r="B2451" s="0" t="s">
        <v>168</v>
      </c>
      <c r="E2451" s="7" t="n">
        <f aca="false">Sens!E2450/Sens!D2450-1</f>
        <v>-0.0709869963760392</v>
      </c>
      <c r="F2451" s="7" t="n">
        <f aca="false">Sens!$E$2451+(glt_xbox-Sens!$E$2451)*MIN(1,(Sens!F2391-base_fy)/n_conv)</f>
        <v>-0.0558224969800327</v>
      </c>
      <c r="G2451" s="7" t="n">
        <f aca="false">Sens!$E$2451+(glt_xbox-Sens!$E$2451)*MIN(1,(Sens!G2391-base_fy)/n_conv)</f>
        <v>-0.0406579975840262</v>
      </c>
      <c r="H2451" s="7" t="n">
        <f aca="false">Sens!$E$2451+(glt_xbox-Sens!$E$2451)*MIN(1,(Sens!H2391-base_fy)/n_conv)</f>
        <v>-0.0254934981880196</v>
      </c>
      <c r="I2451" s="7" t="n">
        <f aca="false">Sens!$E$2451+(glt_xbox-Sens!$E$2451)*MIN(1,(Sens!I2391-base_fy)/n_conv)</f>
        <v>-0.0103289987920131</v>
      </c>
      <c r="J2451" s="7" t="n">
        <f aca="false">Sens!$E$2451+(glt_xbox-Sens!$E$2451)*MIN(1,(Sens!J2391-base_fy)/n_conv)</f>
        <v>0.00483550060399347</v>
      </c>
      <c r="K2451" s="7" t="n">
        <f aca="false">Sens!$E$2451+(glt_xbox-Sens!$E$2451)*MIN(1,(Sens!K2391-base_fy)/n_conv)</f>
        <v>0.02</v>
      </c>
    </row>
    <row r="2452" customFormat="false" ht="17.15" hidden="false" customHeight="false" outlineLevel="0" collapsed="false">
      <c r="A2452" s="0" t="s">
        <v>1043</v>
      </c>
      <c r="B2452" s="0" t="s">
        <v>98</v>
      </c>
      <c r="D2452" s="6" t="n">
        <f aca="false">Q!L15</f>
        <v>17.315</v>
      </c>
      <c r="E2452" s="6" t="n">
        <f aca="false">Q!M15</f>
        <v>17.087</v>
      </c>
      <c r="F2452" s="6" t="n">
        <f aca="false">Q!$I$15+(Q!M15-Q!$E$15)*(1+Sens!F2453)</f>
        <v>15.9912273250553</v>
      </c>
      <c r="G2452" s="6" t="n">
        <f aca="false">Sens!F2452*(1+Sens!G2453)</f>
        <v>15.9574562664827</v>
      </c>
      <c r="H2452" s="6" t="n">
        <f aca="false">Sens!G2452*(1+Sens!H2453)</f>
        <v>16.0119687434196</v>
      </c>
      <c r="I2452" s="6" t="n">
        <f aca="false">Sens!H2452*(1+Sens!I2453)</f>
        <v>16.1551810001948</v>
      </c>
      <c r="J2452" s="6" t="n">
        <f aca="false">Sens!I2452*(1+Sens!J2453)</f>
        <v>16.3889793892005</v>
      </c>
      <c r="K2452" s="6" t="n">
        <f aca="false">Sens!J2452*(1+Sens!K2453)</f>
        <v>16.7167589769845</v>
      </c>
      <c r="L2452" s="12" t="s">
        <v>1038</v>
      </c>
    </row>
    <row r="2453" customFormat="false" ht="15" hidden="false" customHeight="false" outlineLevel="0" collapsed="false">
      <c r="A2453" s="1" t="s">
        <v>1028</v>
      </c>
      <c r="B2453" s="0" t="s">
        <v>168</v>
      </c>
      <c r="E2453" s="7" t="n">
        <f aca="false">Sens!E2452/Sens!D2452-1</f>
        <v>-0.0131677736066995</v>
      </c>
      <c r="F2453" s="7" t="n">
        <f aca="false">Sens!$E$2453+(glt_win-Sens!$E$2453)*MIN(1,(Sens!F2391-base_fy)/n_conv)</f>
        <v>-0.00763981133891627</v>
      </c>
      <c r="G2453" s="7" t="n">
        <f aca="false">Sens!$E$2453+(glt_win-Sens!$E$2453)*MIN(1,(Sens!G2391-base_fy)/n_conv)</f>
        <v>-0.00211184907113301</v>
      </c>
      <c r="H2453" s="7" t="n">
        <f aca="false">Sens!$E$2453+(glt_win-Sens!$E$2453)*MIN(1,(Sens!H2391-base_fy)/n_conv)</f>
        <v>0.00341611319665024</v>
      </c>
      <c r="I2453" s="7" t="n">
        <f aca="false">Sens!$E$2453+(glt_win-Sens!$E$2453)*MIN(1,(Sens!I2391-base_fy)/n_conv)</f>
        <v>0.00894407546443349</v>
      </c>
      <c r="J2453" s="7" t="n">
        <f aca="false">Sens!$E$2453+(glt_win-Sens!$E$2453)*MIN(1,(Sens!J2391-base_fy)/n_conv)</f>
        <v>0.0144720377322168</v>
      </c>
      <c r="K2453" s="7" t="n">
        <f aca="false">Sens!$E$2453+(glt_win-Sens!$E$2453)*MIN(1,(Sens!K2391-base_fy)/n_conv)</f>
        <v>0.02</v>
      </c>
    </row>
    <row r="2454" customFormat="false" ht="15" hidden="false" customHeight="false" outlineLevel="0" collapsed="false">
      <c r="A2454" s="0" t="s">
        <v>870</v>
      </c>
      <c r="B2454" s="0" t="s">
        <v>98</v>
      </c>
      <c r="D2454" s="6" t="n">
        <f aca="false">Sens!D2448+Sens!D2450+Sens!D2452</f>
        <v>62.941</v>
      </c>
      <c r="E2454" s="6" t="n">
        <f aca="false">Sens!E2448+Sens!E2450+Sens!E2452</f>
        <v>63.712</v>
      </c>
      <c r="F2454" s="6" t="n">
        <f aca="false">Sens!F2448+Sens!F2450+Sens!F2452</f>
        <v>64.3025149952511</v>
      </c>
      <c r="G2454" s="6" t="n">
        <f aca="false">Sens!G2448+Sens!G2450+Sens!G2452</f>
        <v>66.2756719305292</v>
      </c>
      <c r="H2454" s="6" t="n">
        <f aca="false">Sens!H2448+Sens!H2450+Sens!H2452</f>
        <v>68.7139736271804</v>
      </c>
      <c r="I2454" s="6" t="n">
        <f aca="false">Sens!I2448+Sens!I2450+Sens!I2452</f>
        <v>71.5446393194289</v>
      </c>
      <c r="J2454" s="6" t="n">
        <f aca="false">Sens!J2448+Sens!J2450+Sens!J2452</f>
        <v>74.707035000971</v>
      </c>
      <c r="K2454" s="6" t="n">
        <f aca="false">Sens!K2448+Sens!K2450+Sens!K2452</f>
        <v>78.1524145698365</v>
      </c>
    </row>
    <row r="2455" customFormat="false" ht="15" hidden="false" customHeight="false" outlineLevel="0" collapsed="false">
      <c r="A2455" s="1" t="s">
        <v>1044</v>
      </c>
      <c r="B2455" s="0" t="s">
        <v>98</v>
      </c>
      <c r="D2455" s="6" t="n">
        <f aca="false">Sens!D2447+Sens!D2454</f>
        <v>281.724</v>
      </c>
      <c r="E2455" s="6" t="n">
        <f aca="false">Sens!E2447+Sens!E2454</f>
        <v>331.839</v>
      </c>
      <c r="F2455" s="6" t="n">
        <f aca="false">Sens!F2447+Sens!F2454</f>
        <v>394.447797055133</v>
      </c>
      <c r="G2455" s="6" t="n">
        <f aca="false">Sens!G2447+Sens!G2454</f>
        <v>458.93243179638</v>
      </c>
      <c r="H2455" s="6" t="n">
        <f aca="false">Sens!H2447+Sens!H2454</f>
        <v>519.258246925162</v>
      </c>
      <c r="I2455" s="6" t="n">
        <f aca="false">Sens!I2447+Sens!I2454</f>
        <v>582.236774445359</v>
      </c>
      <c r="J2455" s="6" t="n">
        <f aca="false">Sens!J2447+Sens!J2454</f>
        <v>635.123767630377</v>
      </c>
      <c r="K2455" s="6" t="n">
        <f aca="false">Sens!K2447+Sens!K2454</f>
        <v>678.284825162529</v>
      </c>
    </row>
    <row r="2456" customFormat="false" ht="15" hidden="false" customHeight="false" outlineLevel="0" collapsed="false">
      <c r="A2456" s="26" t="s">
        <v>1045</v>
      </c>
      <c r="B2456" s="31" t="s">
        <v>98</v>
      </c>
      <c r="C2456" s="31"/>
      <c r="D2456" s="27" t="n">
        <f aca="false">(Sens!D2435+Sens!D2440+Sens!D2441+Sens!D2443+Sens!D2445-Sens!D2447)+(Sens!D2448+Sens!D2450+Sens!D2452-Sens!D2454)+(Sens!D2447-Q!L5)+(Sens!D2454-Q!L12)+(Sens!D2435-Q!L6)+(Sens!D2440-Q!L7)</f>
        <v>0</v>
      </c>
      <c r="E2456" s="27" t="n">
        <f aca="false">(Sens!E2435+Sens!E2440+Sens!E2441+Sens!E2443+Sens!E2445-Sens!E2447)+(Sens!E2448+Sens!E2450+Sens!E2452-Sens!E2454)+(Sens!E2447-Q!M5)+(Sens!E2454-Q!M12)+(Sens!E2435-Q!M6)+(Sens!E2440-Q!M7)</f>
        <v>0</v>
      </c>
      <c r="F2456" s="27" t="n">
        <f aca="false">(Sens!F2435+Sens!F2440+Sens!F2441+Sens!F2443+Sens!F2445-Sens!F2447)+(Sens!F2448+Sens!F2450+Sens!F2452-Sens!F2454)</f>
        <v>0</v>
      </c>
      <c r="G2456" s="27" t="n">
        <f aca="false">(Sens!G2435+Sens!G2440+Sens!G2441+Sens!G2443+Sens!G2445-Sens!G2447)+(Sens!G2448+Sens!G2450+Sens!G2452-Sens!G2454)</f>
        <v>0</v>
      </c>
      <c r="H2456" s="27" t="n">
        <f aca="false">(Sens!H2435+Sens!H2440+Sens!H2441+Sens!H2443+Sens!H2445-Sens!H2447)+(Sens!H2448+Sens!H2450+Sens!H2452-Sens!H2454)</f>
        <v>0</v>
      </c>
      <c r="I2456" s="27" t="n">
        <f aca="false">(Sens!I2435+Sens!I2440+Sens!I2441+Sens!I2443+Sens!I2445-Sens!I2447)+(Sens!I2448+Sens!I2450+Sens!I2452-Sens!I2454)</f>
        <v>0</v>
      </c>
      <c r="J2456" s="27" t="n">
        <f aca="false">(Sens!J2435+Sens!J2440+Sens!J2441+Sens!J2443+Sens!J2445-Sens!J2447)+(Sens!J2448+Sens!J2450+Sens!J2452-Sens!J2454)</f>
        <v>0</v>
      </c>
      <c r="K2456" s="27" t="n">
        <f aca="false">(Sens!K2435+Sens!K2440+Sens!K2441+Sens!K2443+Sens!K2445-Sens!K2447)+(Sens!K2448+Sens!K2450+Sens!K2452-Sens!K2454)</f>
        <v>0</v>
      </c>
    </row>
    <row r="2457" customFormat="false" ht="17.15" hidden="false" customHeight="false" outlineLevel="0" collapsed="false">
      <c r="A2457" s="3" t="s">
        <v>1672</v>
      </c>
    </row>
    <row r="2458" customFormat="false" ht="15" hidden="false" customHeight="false" outlineLevel="0" collapsed="false">
      <c r="A2458" s="4" t="s">
        <v>43</v>
      </c>
      <c r="B2458" s="4" t="s">
        <v>65</v>
      </c>
      <c r="C2458" s="23" t="s">
        <v>942</v>
      </c>
      <c r="D2458" s="23" t="s">
        <v>943</v>
      </c>
      <c r="E2458" s="23" t="s">
        <v>944</v>
      </c>
      <c r="F2458" s="23" t="s">
        <v>945</v>
      </c>
      <c r="G2458" s="23" t="s">
        <v>946</v>
      </c>
      <c r="H2458" s="23" t="s">
        <v>947</v>
      </c>
      <c r="I2458" s="23" t="s">
        <v>948</v>
      </c>
      <c r="J2458" s="23" t="s">
        <v>949</v>
      </c>
      <c r="K2458" s="23" t="s">
        <v>950</v>
      </c>
      <c r="L2458" s="4" t="s">
        <v>47</v>
      </c>
    </row>
    <row r="2459" customFormat="false" ht="15" hidden="false" customHeight="false" outlineLevel="0" collapsed="false">
      <c r="A2459" s="0" t="s">
        <v>1029</v>
      </c>
      <c r="B2459" s="0" t="s">
        <v>98</v>
      </c>
      <c r="D2459" s="6" t="n">
        <f aca="false">Sens!D2435</f>
        <v>72.61</v>
      </c>
      <c r="E2459" s="6" t="n">
        <f aca="false">Sens!E2435</f>
        <v>101.938</v>
      </c>
      <c r="F2459" s="6" t="n">
        <f aca="false">Sens!F2435</f>
        <v>143.251883553698</v>
      </c>
      <c r="G2459" s="6" t="n">
        <f aca="false">Sens!G2435</f>
        <v>186.322520879442</v>
      </c>
      <c r="H2459" s="6" t="n">
        <f aca="false">Sens!H2435</f>
        <v>224.74279426379</v>
      </c>
      <c r="I2459" s="6" t="n">
        <f aca="false">Sens!I2435</f>
        <v>266.443497823359</v>
      </c>
      <c r="J2459" s="6" t="n">
        <f aca="false">Sens!J2435</f>
        <v>299.06102493502</v>
      </c>
      <c r="K2459" s="6" t="n">
        <f aca="false">Sens!K2435</f>
        <v>322.592740225023</v>
      </c>
    </row>
    <row r="2460" customFormat="false" ht="17.15" hidden="false" customHeight="false" outlineLevel="0" collapsed="false">
      <c r="A2460" s="0" t="s">
        <v>1025</v>
      </c>
      <c r="B2460" s="0" t="s">
        <v>98</v>
      </c>
      <c r="D2460" s="6" t="n">
        <f aca="false">Sens!D2432</f>
        <v>12.9359794422418</v>
      </c>
      <c r="E2460" s="6" t="n">
        <f aca="false">Sens!E2432</f>
        <v>27.8095064661409</v>
      </c>
      <c r="F2460" s="6" t="n">
        <f aca="false">Sens!F2432</f>
        <v>50.9819294352312</v>
      </c>
      <c r="G2460" s="6" t="n">
        <f aca="false">Sens!G2432</f>
        <v>76.6920436014933</v>
      </c>
      <c r="H2460" s="6" t="n">
        <f aca="false">Sens!H2432</f>
        <v>97.4495379418341</v>
      </c>
      <c r="I2460" s="6" t="n">
        <f aca="false">Sens!I2432</f>
        <v>122.083445553868</v>
      </c>
      <c r="J2460" s="6" t="n">
        <f aca="false">Sens!J2432</f>
        <v>139.249060444804</v>
      </c>
      <c r="K2460" s="6" t="n">
        <f aca="false">Sens!K2432</f>
        <v>149.995818575589</v>
      </c>
    </row>
    <row r="2461" customFormat="false" ht="17.15" hidden="false" customHeight="false" outlineLevel="0" collapsed="false">
      <c r="A2461" s="0" t="s">
        <v>1056</v>
      </c>
      <c r="B2461" s="0" t="s">
        <v>98</v>
      </c>
      <c r="D2461" s="6" t="n">
        <f aca="false">Sens!D2433</f>
        <v>59.6740205577583</v>
      </c>
      <c r="E2461" s="6" t="n">
        <f aca="false">Sens!E2433</f>
        <v>74.1284935338591</v>
      </c>
      <c r="F2461" s="6" t="n">
        <f aca="false">Sens!F2433</f>
        <v>92.2699541184664</v>
      </c>
      <c r="G2461" s="6" t="n">
        <f aca="false">Sens!G2433</f>
        <v>109.630477277949</v>
      </c>
      <c r="H2461" s="6" t="n">
        <f aca="false">Sens!H2433</f>
        <v>127.293256321956</v>
      </c>
      <c r="I2461" s="6" t="n">
        <f aca="false">Sens!I2433</f>
        <v>144.360052269491</v>
      </c>
      <c r="J2461" s="6" t="n">
        <f aca="false">Sens!J2433</f>
        <v>159.811964490216</v>
      </c>
      <c r="K2461" s="6" t="n">
        <f aca="false">Sens!K2433</f>
        <v>172.596921649434</v>
      </c>
    </row>
    <row r="2462" customFormat="false" ht="15" hidden="false" customHeight="false" outlineLevel="0" collapsed="false">
      <c r="A2462" s="0" t="s">
        <v>1036</v>
      </c>
      <c r="B2462" s="0" t="s">
        <v>98</v>
      </c>
      <c r="D2462" s="6" t="n">
        <f aca="false">Sens!D2440</f>
        <v>84.605</v>
      </c>
      <c r="E2462" s="6" t="n">
        <f aca="false">Sens!E2440</f>
        <v>100.299</v>
      </c>
      <c r="F2462" s="6" t="n">
        <f aca="false">Sens!F2440</f>
        <v>117.438354189776</v>
      </c>
      <c r="G2462" s="6" t="n">
        <f aca="false">Sens!G2440</f>
        <v>132.595360443801</v>
      </c>
      <c r="H2462" s="6" t="n">
        <f aca="false">Sens!H2440</f>
        <v>147.833811964563</v>
      </c>
      <c r="I2462" s="6" t="n">
        <f aca="false">Sens!I2440</f>
        <v>162.145665319381</v>
      </c>
      <c r="J2462" s="6" t="n">
        <f aca="false">Sens!J2440</f>
        <v>175.249327755573</v>
      </c>
      <c r="K2462" s="6" t="n">
        <f aca="false">Sens!K2440</f>
        <v>187.599280698463</v>
      </c>
    </row>
    <row r="2463" customFormat="false" ht="17.15" hidden="false" customHeight="false" outlineLevel="0" collapsed="false">
      <c r="A2463" s="0" t="s">
        <v>1057</v>
      </c>
      <c r="B2463" s="0" t="s">
        <v>98</v>
      </c>
      <c r="D2463" s="6" t="n">
        <f aca="false">Sens!D2438</f>
        <v>83.705</v>
      </c>
      <c r="E2463" s="6" t="n">
        <f aca="false">Sens!E2438</f>
        <v>95.049</v>
      </c>
      <c r="F2463" s="6" t="n">
        <f aca="false">Sens!F2438</f>
        <v>106.938354189776</v>
      </c>
      <c r="G2463" s="6" t="n">
        <f aca="false">Sens!G2438</f>
        <v>119.095360443801</v>
      </c>
      <c r="H2463" s="6" t="n">
        <f aca="false">Sens!H2438</f>
        <v>131.333811964563</v>
      </c>
      <c r="I2463" s="6" t="n">
        <f aca="false">Sens!I2438</f>
        <v>143.395665319381</v>
      </c>
      <c r="J2463" s="6" t="n">
        <f aca="false">Sens!J2438</f>
        <v>154.999327755573</v>
      </c>
      <c r="K2463" s="6" t="n">
        <f aca="false">Sens!K2438</f>
        <v>165.849280698463</v>
      </c>
    </row>
    <row r="2464" customFormat="false" ht="17.15" hidden="false" customHeight="false" outlineLevel="0" collapsed="false">
      <c r="A2464" s="0" t="s">
        <v>1058</v>
      </c>
      <c r="B2464" s="0" t="s">
        <v>98</v>
      </c>
      <c r="D2464" s="6" t="n">
        <f aca="false">Sens!D2437</f>
        <v>0.9</v>
      </c>
      <c r="E2464" s="6" t="n">
        <f aca="false">Sens!E2437</f>
        <v>5.25</v>
      </c>
      <c r="F2464" s="6" t="n">
        <f aca="false">Sens!F2437</f>
        <v>10.5</v>
      </c>
      <c r="G2464" s="6" t="n">
        <f aca="false">Sens!G2437</f>
        <v>13.5</v>
      </c>
      <c r="H2464" s="6" t="n">
        <f aca="false">Sens!H2437</f>
        <v>16.5</v>
      </c>
      <c r="I2464" s="6" t="n">
        <f aca="false">Sens!I2437</f>
        <v>18.75</v>
      </c>
      <c r="J2464" s="6" t="n">
        <f aca="false">Sens!J2437</f>
        <v>20.25</v>
      </c>
      <c r="K2464" s="6" t="n">
        <f aca="false">Sens!K2437</f>
        <v>21.75</v>
      </c>
    </row>
    <row r="2465" customFormat="false" ht="15" hidden="false" customHeight="false" outlineLevel="0" collapsed="false">
      <c r="A2465" s="0" t="s">
        <v>1037</v>
      </c>
      <c r="B2465" s="0" t="s">
        <v>98</v>
      </c>
      <c r="D2465" s="6" t="n">
        <f aca="false">Sens!D2441</f>
        <v>35.391</v>
      </c>
      <c r="E2465" s="6" t="n">
        <f aca="false">Sens!E2441</f>
        <v>37.285</v>
      </c>
      <c r="F2465" s="6" t="n">
        <f aca="false">Sens!F2441</f>
        <v>38.3851437782675</v>
      </c>
      <c r="G2465" s="6" t="n">
        <f aca="false">Sens!G2441</f>
        <v>40.0105353288615</v>
      </c>
      <c r="H2465" s="6" t="n">
        <f aca="false">Sens!H2441</f>
        <v>41.4812512033683</v>
      </c>
      <c r="I2465" s="6" t="n">
        <f aca="false">Sens!I2441</f>
        <v>42.7743107216329</v>
      </c>
      <c r="J2465" s="6" t="n">
        <f aca="false">Sens!J2441</f>
        <v>43.8687373064601</v>
      </c>
      <c r="K2465" s="6" t="n">
        <f aca="false">Sens!K2441</f>
        <v>44.7461120525893</v>
      </c>
    </row>
    <row r="2466" customFormat="false" ht="15" hidden="false" customHeight="false" outlineLevel="0" collapsed="false">
      <c r="A2466" s="0" t="s">
        <v>1039</v>
      </c>
      <c r="B2466" s="0" t="s">
        <v>98</v>
      </c>
      <c r="D2466" s="6" t="n">
        <f aca="false">Sens!D2443</f>
        <v>18.417</v>
      </c>
      <c r="E2466" s="6" t="n">
        <f aca="false">Sens!E2443</f>
        <v>20.345</v>
      </c>
      <c r="F2466" s="6" t="n">
        <f aca="false">Sens!F2443</f>
        <v>22.3161797133988</v>
      </c>
      <c r="G2466" s="6" t="n">
        <f aca="false">Sens!G2443</f>
        <v>24.3943499673233</v>
      </c>
      <c r="H2466" s="6" t="n">
        <f aca="false">Sens!H2443</f>
        <v>26.5250243109019</v>
      </c>
      <c r="I2466" s="6" t="n">
        <f aca="false">Sens!I2443</f>
        <v>28.6884573538181</v>
      </c>
      <c r="J2466" s="6" t="n">
        <f aca="false">Sens!J2443</f>
        <v>30.8624968052127</v>
      </c>
      <c r="K2466" s="6" t="n">
        <f aca="false">Sens!K2443</f>
        <v>33.0228715815776</v>
      </c>
    </row>
    <row r="2467" customFormat="false" ht="15" hidden="false" customHeight="false" outlineLevel="0" collapsed="false">
      <c r="A2467" s="0" t="s">
        <v>1040</v>
      </c>
      <c r="B2467" s="0" t="s">
        <v>98</v>
      </c>
      <c r="D2467" s="6" t="n">
        <f aca="false">Sens!D2445</f>
        <v>7.76</v>
      </c>
      <c r="E2467" s="6" t="n">
        <f aca="false">Sens!E2445</f>
        <v>8.26</v>
      </c>
      <c r="F2467" s="6" t="n">
        <f aca="false">Sens!F2445</f>
        <v>8.75372082474227</v>
      </c>
      <c r="G2467" s="6" t="n">
        <f aca="false">Sens!G2445</f>
        <v>9.33399324642364</v>
      </c>
      <c r="H2467" s="6" t="n">
        <f aca="false">Sens!H2445</f>
        <v>9.96139155535851</v>
      </c>
      <c r="I2467" s="6" t="n">
        <f aca="false">Sens!I2445</f>
        <v>10.6402039077391</v>
      </c>
      <c r="J2467" s="6" t="n">
        <f aca="false">Sens!J2445</f>
        <v>11.3751458271397</v>
      </c>
      <c r="K2467" s="6" t="n">
        <f aca="false">Sens!K2445</f>
        <v>12.1714060350394</v>
      </c>
    </row>
    <row r="2468" customFormat="false" ht="15" hidden="false" customHeight="false" outlineLevel="0" collapsed="false">
      <c r="A2468" s="0" t="s">
        <v>856</v>
      </c>
      <c r="B2468" s="0" t="s">
        <v>98</v>
      </c>
      <c r="D2468" s="6" t="n">
        <f aca="false">Sens!D2447</f>
        <v>218.783</v>
      </c>
      <c r="E2468" s="6" t="n">
        <f aca="false">Sens!E2447</f>
        <v>268.127</v>
      </c>
      <c r="F2468" s="6" t="n">
        <f aca="false">Sens!F2447</f>
        <v>330.145282059882</v>
      </c>
      <c r="G2468" s="6" t="n">
        <f aca="false">Sens!G2447</f>
        <v>392.656759865851</v>
      </c>
      <c r="H2468" s="6" t="n">
        <f aca="false">Sens!H2447</f>
        <v>450.544273297982</v>
      </c>
      <c r="I2468" s="6" t="n">
        <f aca="false">Sens!I2447</f>
        <v>510.69213512593</v>
      </c>
      <c r="J2468" s="6" t="n">
        <f aca="false">Sens!J2447</f>
        <v>560.416732629406</v>
      </c>
      <c r="K2468" s="6" t="n">
        <f aca="false">Sens!K2447</f>
        <v>600.132410592692</v>
      </c>
    </row>
    <row r="2469" customFormat="false" ht="15" hidden="false" customHeight="false" outlineLevel="0" collapsed="false">
      <c r="A2469" s="0" t="s">
        <v>1041</v>
      </c>
      <c r="B2469" s="0" t="s">
        <v>98</v>
      </c>
      <c r="D2469" s="6" t="n">
        <f aca="false">Sens!D2448</f>
        <v>22.171</v>
      </c>
      <c r="E2469" s="6" t="n">
        <f aca="false">Sens!E2448</f>
        <v>24.835</v>
      </c>
      <c r="F2469" s="6" t="n">
        <f aca="false">Sens!F2448</f>
        <v>27.5591895660247</v>
      </c>
      <c r="G2469" s="6" t="n">
        <f aca="false">Sens!G2448</f>
        <v>30.4098563144583</v>
      </c>
      <c r="H2469" s="6" t="n">
        <f aca="false">Sens!H2448</f>
        <v>33.3011792571777</v>
      </c>
      <c r="I2469" s="6" t="n">
        <f aca="false">Sens!I2448</f>
        <v>36.189023797112</v>
      </c>
      <c r="J2469" s="6" t="n">
        <f aca="false">Sens!J2448</f>
        <v>39.0247773769199</v>
      </c>
      <c r="K2469" s="6" t="n">
        <f aca="false">Sens!K2448</f>
        <v>41.7565117933043</v>
      </c>
    </row>
    <row r="2470" customFormat="false" ht="15" hidden="false" customHeight="false" outlineLevel="0" collapsed="false">
      <c r="A2470" s="0" t="s">
        <v>1042</v>
      </c>
      <c r="B2470" s="0" t="s">
        <v>98</v>
      </c>
      <c r="D2470" s="6" t="n">
        <f aca="false">Sens!D2450</f>
        <v>23.455</v>
      </c>
      <c r="E2470" s="6" t="n">
        <f aca="false">Sens!E2450</f>
        <v>21.79</v>
      </c>
      <c r="F2470" s="6" t="n">
        <f aca="false">Sens!F2450</f>
        <v>20.7520981041711</v>
      </c>
      <c r="G2470" s="6" t="n">
        <f aca="false">Sens!G2450</f>
        <v>19.9083593495882</v>
      </c>
      <c r="H2470" s="6" t="n">
        <f aca="false">Sens!H2450</f>
        <v>19.4008256265831</v>
      </c>
      <c r="I2470" s="6" t="n">
        <f aca="false">Sens!I2450</f>
        <v>19.200434522122</v>
      </c>
      <c r="J2470" s="6" t="n">
        <f aca="false">Sens!J2450</f>
        <v>19.2932782348507</v>
      </c>
      <c r="K2470" s="6" t="n">
        <f aca="false">Sens!K2450</f>
        <v>19.6791437995477</v>
      </c>
    </row>
    <row r="2471" customFormat="false" ht="15" hidden="false" customHeight="false" outlineLevel="0" collapsed="false">
      <c r="A2471" s="0" t="s">
        <v>1043</v>
      </c>
      <c r="B2471" s="0" t="s">
        <v>98</v>
      </c>
      <c r="D2471" s="6" t="n">
        <f aca="false">Sens!D2452</f>
        <v>17.315</v>
      </c>
      <c r="E2471" s="6" t="n">
        <f aca="false">Sens!E2452</f>
        <v>17.087</v>
      </c>
      <c r="F2471" s="6" t="n">
        <f aca="false">Sens!F2452</f>
        <v>15.9912273250553</v>
      </c>
      <c r="G2471" s="6" t="n">
        <f aca="false">Sens!G2452</f>
        <v>15.9574562664827</v>
      </c>
      <c r="H2471" s="6" t="n">
        <f aca="false">Sens!H2452</f>
        <v>16.0119687434196</v>
      </c>
      <c r="I2471" s="6" t="n">
        <f aca="false">Sens!I2452</f>
        <v>16.1551810001948</v>
      </c>
      <c r="J2471" s="6" t="n">
        <f aca="false">Sens!J2452</f>
        <v>16.3889793892005</v>
      </c>
      <c r="K2471" s="6" t="n">
        <f aca="false">Sens!K2452</f>
        <v>16.7167589769845</v>
      </c>
    </row>
    <row r="2472" customFormat="false" ht="15" hidden="false" customHeight="false" outlineLevel="0" collapsed="false">
      <c r="A2472" s="0" t="s">
        <v>870</v>
      </c>
      <c r="B2472" s="0" t="s">
        <v>98</v>
      </c>
      <c r="D2472" s="6" t="n">
        <f aca="false">Sens!D2454</f>
        <v>62.941</v>
      </c>
      <c r="E2472" s="6" t="n">
        <f aca="false">Sens!E2454</f>
        <v>63.712</v>
      </c>
      <c r="F2472" s="6" t="n">
        <f aca="false">Sens!F2454</f>
        <v>64.3025149952511</v>
      </c>
      <c r="G2472" s="6" t="n">
        <f aca="false">Sens!G2454</f>
        <v>66.2756719305292</v>
      </c>
      <c r="H2472" s="6" t="n">
        <f aca="false">Sens!H2454</f>
        <v>68.7139736271804</v>
      </c>
      <c r="I2472" s="6" t="n">
        <f aca="false">Sens!I2454</f>
        <v>71.5446393194289</v>
      </c>
      <c r="J2472" s="6" t="n">
        <f aca="false">Sens!J2454</f>
        <v>74.707035000971</v>
      </c>
      <c r="K2472" s="6" t="n">
        <f aca="false">Sens!K2454</f>
        <v>78.1524145698365</v>
      </c>
    </row>
    <row r="2473" customFormat="false" ht="15" hidden="false" customHeight="false" outlineLevel="0" collapsed="false">
      <c r="A2473" s="1" t="s">
        <v>1059</v>
      </c>
      <c r="B2473" s="0" t="s">
        <v>98</v>
      </c>
      <c r="D2473" s="6" t="n">
        <f aca="false">Sens!D2455</f>
        <v>281.724</v>
      </c>
      <c r="E2473" s="6" t="n">
        <f aca="false">Sens!E2455</f>
        <v>331.839</v>
      </c>
      <c r="F2473" s="6" t="n">
        <f aca="false">Sens!F2455</f>
        <v>394.447797055133</v>
      </c>
      <c r="G2473" s="6" t="n">
        <f aca="false">Sens!G2455</f>
        <v>458.93243179638</v>
      </c>
      <c r="H2473" s="6" t="n">
        <f aca="false">Sens!H2455</f>
        <v>519.258246925162</v>
      </c>
      <c r="I2473" s="6" t="n">
        <f aca="false">Sens!I2455</f>
        <v>582.236774445359</v>
      </c>
      <c r="J2473" s="6" t="n">
        <f aca="false">Sens!J2455</f>
        <v>635.123767630377</v>
      </c>
      <c r="K2473" s="6" t="n">
        <f aca="false">Sens!K2455</f>
        <v>678.284825162529</v>
      </c>
    </row>
    <row r="2474" customFormat="false" ht="15" hidden="false" customHeight="false" outlineLevel="0" collapsed="false">
      <c r="A2474" s="1" t="s">
        <v>1060</v>
      </c>
      <c r="B2474" s="0" t="s">
        <v>168</v>
      </c>
      <c r="E2474" s="7" t="n">
        <f aca="false">Sens!E2473/Sens!D2473-1</f>
        <v>0.177886867998467</v>
      </c>
      <c r="F2474" s="7" t="n">
        <f aca="false">Sens!F2473/Sens!E2473-1</f>
        <v>0.188672208676897</v>
      </c>
      <c r="G2474" s="7" t="n">
        <f aca="false">Sens!G2473/Sens!F2473-1</f>
        <v>0.16348078306604</v>
      </c>
      <c r="H2474" s="7" t="n">
        <f aca="false">Sens!H2473/Sens!G2473-1</f>
        <v>0.131448141271366</v>
      </c>
      <c r="I2474" s="7" t="n">
        <f aca="false">Sens!I2473/Sens!H2473-1</f>
        <v>0.121285560495438</v>
      </c>
      <c r="J2474" s="7" t="n">
        <f aca="false">Sens!J2473/Sens!I2473-1</f>
        <v>0.0908341683422489</v>
      </c>
      <c r="K2474" s="7" t="n">
        <f aca="false">Sens!K2473/Sens!J2473-1</f>
        <v>0.0679569238814417</v>
      </c>
    </row>
    <row r="2475" customFormat="false" ht="17.15" hidden="false" customHeight="false" outlineLevel="0" collapsed="false">
      <c r="A2475" s="26" t="s">
        <v>1061</v>
      </c>
      <c r="B2475" s="31" t="s">
        <v>98</v>
      </c>
      <c r="C2475" s="31"/>
      <c r="D2475" s="27" t="n">
        <f aca="false">(Sens!D2468+Sens!D2472-Sens!D2473)+(Sens!D2460+Sens!D2461-Sens!D2459)+(Sens!D2463+Sens!D2464-Sens!D2462)+(Sens!D2473-Q!L18)</f>
        <v>0</v>
      </c>
      <c r="E2475" s="27" t="n">
        <f aca="false">(Sens!E2468+Sens!E2472-Sens!E2473)+(Sens!E2460+Sens!E2461-Sens!E2459)+(Sens!E2463+Sens!E2464-Sens!E2462)+(Sens!E2473-Q!M18)</f>
        <v>0</v>
      </c>
      <c r="F2475" s="27" t="n">
        <f aca="false">(Sens!F2468+Sens!F2472-Sens!F2473)+(Sens!F2460+Sens!F2461-Sens!F2459)+(Sens!F2463+Sens!F2464-Sens!F2462)</f>
        <v>0</v>
      </c>
      <c r="G2475" s="27" t="n">
        <f aca="false">(Sens!G2468+Sens!G2472-Sens!G2473)+(Sens!G2460+Sens!G2461-Sens!G2459)+(Sens!G2463+Sens!G2464-Sens!G2462)</f>
        <v>0</v>
      </c>
      <c r="H2475" s="27" t="n">
        <f aca="false">(Sens!H2468+Sens!H2472-Sens!H2473)+(Sens!H2460+Sens!H2461-Sens!H2459)+(Sens!H2463+Sens!H2464-Sens!H2462)</f>
        <v>0</v>
      </c>
      <c r="I2475" s="27" t="n">
        <f aca="false">(Sens!I2468+Sens!I2472-Sens!I2473)+(Sens!I2460+Sens!I2461-Sens!I2459)+(Sens!I2463+Sens!I2464-Sens!I2462)</f>
        <v>0</v>
      </c>
      <c r="J2475" s="27" t="n">
        <f aca="false">(Sens!J2468+Sens!J2472-Sens!J2473)+(Sens!J2460+Sens!J2461-Sens!J2459)+(Sens!J2463+Sens!J2464-Sens!J2462)</f>
        <v>0</v>
      </c>
      <c r="K2475" s="27" t="n">
        <f aca="false">(Sens!K2468+Sens!K2472-Sens!K2473)+(Sens!K2460+Sens!K2461-Sens!K2459)+(Sens!K2463+Sens!K2464-Sens!K2462)</f>
        <v>0</v>
      </c>
    </row>
    <row r="2476" customFormat="false" ht="17.15" hidden="false" customHeight="false" outlineLevel="0" collapsed="false">
      <c r="A2476" s="0" t="s">
        <v>1062</v>
      </c>
      <c r="B2476" s="0" t="s">
        <v>168</v>
      </c>
      <c r="E2476" s="7" t="n">
        <f aca="false">(Q!M21+Sens!E2412+Sens!E2413+Sens!E2414+Sens!E2428-Sens!E2410)/(Q!M5-Sens!E2410)</f>
        <v>0.591291114837517</v>
      </c>
      <c r="F2476" s="7" t="n">
        <f aca="false">Sens!$E$2476+dm_seg</f>
        <v>0.591291114837517</v>
      </c>
      <c r="G2476" s="7" t="n">
        <f aca="false">Sens!$E$2476+dm_seg</f>
        <v>0.591291114837517</v>
      </c>
      <c r="H2476" s="7" t="n">
        <f aca="false">Sens!$E$2476+dm_seg</f>
        <v>0.591291114837517</v>
      </c>
      <c r="I2476" s="7" t="n">
        <f aca="false">Sens!$E$2476+dm_seg</f>
        <v>0.591291114837517</v>
      </c>
      <c r="J2476" s="7" t="n">
        <f aca="false">Sens!$E$2476+dm_seg</f>
        <v>0.591291114837517</v>
      </c>
      <c r="K2476" s="7" t="n">
        <f aca="false">Sens!$E$2476+dm_seg</f>
        <v>0.591291114837517</v>
      </c>
      <c r="L2476" s="12" t="s">
        <v>1063</v>
      </c>
    </row>
    <row r="2477" customFormat="false" ht="17.15" hidden="false" customHeight="false" outlineLevel="0" collapsed="false">
      <c r="A2477" s="0" t="s">
        <v>884</v>
      </c>
      <c r="B2477" s="0" t="s">
        <v>98</v>
      </c>
      <c r="D2477" s="6" t="n">
        <f aca="false">Q!L21</f>
        <v>110.814</v>
      </c>
      <c r="E2477" s="6" t="n">
        <f aca="false">Q!M21</f>
        <v>136.365</v>
      </c>
      <c r="F2477" s="6" t="n">
        <f aca="false">Q!$I$21+(Sens!F2476*(Sens!F2447-Sens!F2410)+Sens!F2410-(Sens!F2412+Sens!F2413+Sens!F2414)-Sens!F2428-Sens!F2511)*(Sens!F2447-Q!$I$5)/Sens!F2447</f>
        <v>154.580161932075</v>
      </c>
      <c r="G2477" s="6" t="n">
        <f aca="false">(Sens!G2476*(Sens!G2447-Sens!G2410)+Sens!G2410-(Sens!G2412+Sens!G2413+Sens!G2414)-Sens!G2428-Sens!G2511)</f>
        <v>149.896521087515</v>
      </c>
      <c r="H2477" s="6" t="n">
        <f aca="false">(Sens!H2476*(Sens!H2447-Sens!H2410)+Sens!H2410-(Sens!H2412+Sens!H2413+Sens!H2414)-Sens!H2428-Sens!H2511)</f>
        <v>144.014137545227</v>
      </c>
      <c r="I2477" s="6" t="n">
        <f aca="false">(Sens!I2476*(Sens!I2447-Sens!I2410)+Sens!I2410-(Sens!I2412+Sens!I2413+Sens!I2414)-Sens!I2428-Sens!I2511)</f>
        <v>146.890926892942</v>
      </c>
      <c r="J2477" s="6" t="n">
        <f aca="false">(Sens!J2476*(Sens!J2447-Sens!J2410)+Sens!J2410-(Sens!J2412+Sens!J2413+Sens!J2414)-Sens!J2428-Sens!J2511)</f>
        <v>153.390927142712</v>
      </c>
      <c r="K2477" s="6" t="n">
        <f aca="false">(Sens!K2476*(Sens!K2447-Sens!K2410)+Sens!K2410-(Sens!K2412+Sens!K2413+Sens!K2414)-Sens!K2428-Sens!K2511)</f>
        <v>163.202302111296</v>
      </c>
      <c r="L2477" s="1" t="s">
        <v>1064</v>
      </c>
    </row>
    <row r="2478" customFormat="false" ht="17.15" hidden="false" customHeight="false" outlineLevel="0" collapsed="false">
      <c r="A2478" s="0" t="s">
        <v>1065</v>
      </c>
      <c r="B2478" s="0" t="s">
        <v>168</v>
      </c>
      <c r="E2478" s="7" t="n">
        <f aca="false">Q!M22/Q!M12</f>
        <v>0.296207935710698</v>
      </c>
      <c r="F2478" s="7" t="n">
        <f aca="false">Sens!$E$2478+dm_seg</f>
        <v>0.296207935710698</v>
      </c>
      <c r="G2478" s="7" t="n">
        <f aca="false">Sens!$E$2478+dm_seg</f>
        <v>0.296207935710698</v>
      </c>
      <c r="H2478" s="7" t="n">
        <f aca="false">Sens!$E$2478+dm_seg</f>
        <v>0.296207935710698</v>
      </c>
      <c r="I2478" s="7" t="n">
        <f aca="false">Sens!$E$2478+dm_seg</f>
        <v>0.296207935710698</v>
      </c>
      <c r="J2478" s="7" t="n">
        <f aca="false">Sens!$E$2478+dm_seg</f>
        <v>0.296207935710698</v>
      </c>
      <c r="K2478" s="7" t="n">
        <f aca="false">Sens!$E$2478+dm_seg</f>
        <v>0.296207935710698</v>
      </c>
      <c r="L2478" s="12" t="s">
        <v>1066</v>
      </c>
    </row>
    <row r="2479" customFormat="false" ht="17.15" hidden="false" customHeight="false" outlineLevel="0" collapsed="false">
      <c r="A2479" s="0" t="s">
        <v>886</v>
      </c>
      <c r="B2479" s="0" t="s">
        <v>98</v>
      </c>
      <c r="D2479" s="6" t="n">
        <f aca="false">Q!L22</f>
        <v>17.714</v>
      </c>
      <c r="E2479" s="6" t="n">
        <f aca="false">Q!M22</f>
        <v>18.872</v>
      </c>
      <c r="F2479" s="6" t="n">
        <f aca="false">Q!$I$22+(Sens!F2454-Q!$I$12)*Sens!F2478</f>
        <v>19.8174315512051</v>
      </c>
      <c r="G2479" s="6" t="n">
        <f aca="false">Sens!G2454*Sens!G2478</f>
        <v>19.6313799703815</v>
      </c>
      <c r="H2479" s="6" t="n">
        <f aca="false">Sens!H2454*Sens!H2478</f>
        <v>20.3536242825865</v>
      </c>
      <c r="I2479" s="6" t="n">
        <f aca="false">Sens!I2454*Sens!I2478</f>
        <v>21.1920899239745</v>
      </c>
      <c r="J2479" s="6" t="n">
        <f aca="false">Sens!J2454*Sens!J2478</f>
        <v>22.1288166207045</v>
      </c>
      <c r="K2479" s="6" t="n">
        <f aca="false">Sens!K2454*Sens!K2478</f>
        <v>23.1493653905379</v>
      </c>
      <c r="L2479" s="12" t="s">
        <v>1067</v>
      </c>
    </row>
    <row r="2480" customFormat="false" ht="15" hidden="false" customHeight="false" outlineLevel="0" collapsed="false">
      <c r="A2480" s="1" t="s">
        <v>1068</v>
      </c>
      <c r="B2480" s="0" t="s">
        <v>98</v>
      </c>
      <c r="D2480" s="6" t="n">
        <f aca="false">Sens!D2477+Sens!D2479</f>
        <v>128.528</v>
      </c>
      <c r="E2480" s="6" t="n">
        <f aca="false">Sens!E2477+Sens!E2479</f>
        <v>155.237</v>
      </c>
      <c r="F2480" s="6" t="n">
        <f aca="false">Sens!F2477+Sens!F2479</f>
        <v>174.39759348328</v>
      </c>
      <c r="G2480" s="6" t="n">
        <f aca="false">Sens!G2477+Sens!G2479</f>
        <v>169.527901057897</v>
      </c>
      <c r="H2480" s="6" t="n">
        <f aca="false">Sens!H2477+Sens!H2479</f>
        <v>164.367761827813</v>
      </c>
      <c r="I2480" s="6" t="n">
        <f aca="false">Sens!I2477+Sens!I2479</f>
        <v>168.083016816916</v>
      </c>
      <c r="J2480" s="6" t="n">
        <f aca="false">Sens!J2477+Sens!J2479</f>
        <v>175.519743763417</v>
      </c>
      <c r="K2480" s="6" t="n">
        <f aca="false">Sens!K2477+Sens!K2479</f>
        <v>186.351667501834</v>
      </c>
    </row>
    <row r="2481" customFormat="false" ht="15" hidden="false" customHeight="false" outlineLevel="0" collapsed="false">
      <c r="A2481" s="26" t="s">
        <v>1069</v>
      </c>
      <c r="B2481" s="31" t="s">
        <v>98</v>
      </c>
      <c r="C2481" s="31"/>
      <c r="D2481" s="27" t="n">
        <f aca="false">Sens!D2480-Q!L23</f>
        <v>0</v>
      </c>
      <c r="E2481" s="27" t="n">
        <f aca="false">Sens!E2480-Q!M23</f>
        <v>0</v>
      </c>
      <c r="F2481" s="31"/>
      <c r="G2481" s="31"/>
      <c r="H2481" s="31"/>
      <c r="I2481" s="31"/>
      <c r="J2481" s="31"/>
      <c r="K2481" s="31"/>
    </row>
    <row r="2482" customFormat="false" ht="15" hidden="false" customHeight="false" outlineLevel="0" collapsed="false">
      <c r="A2482" s="1" t="s">
        <v>1070</v>
      </c>
      <c r="B2482" s="0" t="s">
        <v>168</v>
      </c>
      <c r="D2482" s="7" t="n">
        <f aca="false">Sens!D2480/Sens!D2473</f>
        <v>0.456219562408598</v>
      </c>
      <c r="E2482" s="7" t="n">
        <f aca="false">Sens!E2480/Sens!E2473</f>
        <v>0.467808184089272</v>
      </c>
      <c r="F2482" s="7" t="n">
        <f aca="false">Sens!F2480/Sens!F2473</f>
        <v>0.442130986116027</v>
      </c>
      <c r="G2482" s="7" t="n">
        <f aca="false">Sens!G2480/Sens!G2473</f>
        <v>0.369396210231473</v>
      </c>
      <c r="H2482" s="7" t="n">
        <f aca="false">Sens!H2480/Sens!H2473</f>
        <v>0.316543382413535</v>
      </c>
      <c r="I2482" s="7" t="n">
        <f aca="false">Sens!I2480/Sens!I2473</f>
        <v>0.288684988984134</v>
      </c>
      <c r="J2482" s="7" t="n">
        <f aca="false">Sens!J2480/Sens!J2473</f>
        <v>0.276355181003971</v>
      </c>
      <c r="K2482" s="7" t="n">
        <f aca="false">Sens!K2480/Sens!K2473</f>
        <v>0.274739549800751</v>
      </c>
    </row>
    <row r="2483" customFormat="false" ht="17.15" hidden="false" customHeight="false" outlineLevel="0" collapsed="false">
      <c r="A2483" s="1" t="s">
        <v>1071</v>
      </c>
      <c r="B2483" s="0" t="s">
        <v>98</v>
      </c>
      <c r="F2483" s="6" t="n">
        <f aca="false">Sens!F2498</f>
        <v>17.2864289821906</v>
      </c>
      <c r="G2483" s="6" t="n">
        <f aca="false">Sens!G2498</f>
        <v>43.9544155321074</v>
      </c>
      <c r="H2483" s="6" t="n">
        <f aca="false">Sens!H2498</f>
        <v>72.8321885062222</v>
      </c>
      <c r="I2483" s="6" t="n">
        <f aca="false">Sens!I2498</f>
        <v>98.4871230239457</v>
      </c>
      <c r="J2483" s="6" t="n">
        <f aca="false">Sens!J2498</f>
        <v>116.3363571045</v>
      </c>
      <c r="K2483" s="6" t="n">
        <f aca="false">Sens!K2498</f>
        <v>126.834206616454</v>
      </c>
      <c r="L2483" s="1" t="s">
        <v>1072</v>
      </c>
    </row>
    <row r="2484" customFormat="false" ht="17.15" hidden="false" customHeight="false" outlineLevel="0" collapsed="false">
      <c r="A2484" s="1" t="s">
        <v>1073</v>
      </c>
      <c r="B2484" s="0" t="s">
        <v>98</v>
      </c>
      <c r="D2484" s="6" t="n">
        <f aca="false">Sens!D2480</f>
        <v>128.528</v>
      </c>
      <c r="E2484" s="6" t="n">
        <f aca="false">Sens!E2480</f>
        <v>155.237</v>
      </c>
      <c r="F2484" s="6" t="n">
        <f aca="false">Sens!F2480+Sens!F2483</f>
        <v>191.684022465471</v>
      </c>
      <c r="G2484" s="6" t="n">
        <f aca="false">Sens!G2480+Sens!G2483</f>
        <v>213.482316590004</v>
      </c>
      <c r="H2484" s="6" t="n">
        <f aca="false">Sens!H2480+Sens!H2483</f>
        <v>237.199950334035</v>
      </c>
      <c r="I2484" s="6" t="n">
        <f aca="false">Sens!I2480+Sens!I2483</f>
        <v>266.570139840862</v>
      </c>
      <c r="J2484" s="6" t="n">
        <f aca="false">Sens!J2480+Sens!J2483</f>
        <v>291.856100867917</v>
      </c>
      <c r="K2484" s="6" t="n">
        <f aca="false">Sens!K2480+Sens!K2483</f>
        <v>313.185874118288</v>
      </c>
    </row>
    <row r="2485" customFormat="false" ht="17.15" hidden="false" customHeight="false" outlineLevel="0" collapsed="false">
      <c r="A2485" s="1" t="s">
        <v>1074</v>
      </c>
      <c r="B2485" s="0" t="s">
        <v>98</v>
      </c>
      <c r="E2485" s="6" t="n">
        <f aca="false">Sens!E2428</f>
        <v>19.5664871725</v>
      </c>
      <c r="F2485" s="6" t="n">
        <f aca="false">Sens!F2428</f>
        <v>41.495177374022</v>
      </c>
      <c r="G2485" s="6" t="n">
        <f aca="false">Sens!G2428</f>
        <v>72.8813887827587</v>
      </c>
      <c r="H2485" s="6" t="n">
        <f aca="false">Sens!H2428</f>
        <v>106.920108793735</v>
      </c>
      <c r="I2485" s="6" t="n">
        <f aca="false">Sens!I2428</f>
        <v>137.077211633458</v>
      </c>
      <c r="J2485" s="6" t="n">
        <f aca="false">Sens!J2428</f>
        <v>158.418807659515</v>
      </c>
      <c r="K2485" s="6" t="n">
        <f aca="false">Sens!K2428</f>
        <v>171.615203461121</v>
      </c>
    </row>
    <row r="2486" customFormat="false" ht="17.15" hidden="false" customHeight="false" outlineLevel="0" collapsed="false">
      <c r="A2486" s="1" t="s">
        <v>1075</v>
      </c>
      <c r="B2486" s="0" t="s">
        <v>98</v>
      </c>
      <c r="E2486" s="6" t="n">
        <f aca="false">Sens!E2510</f>
        <v>18.9675128275</v>
      </c>
      <c r="F2486" s="6" t="n">
        <f aca="false">Sens!F2510</f>
        <v>20.6533674520802</v>
      </c>
      <c r="G2486" s="6" t="n">
        <f aca="false">Sens!G2510</f>
        <v>22.7061329409595</v>
      </c>
      <c r="H2486" s="6" t="n">
        <f aca="false">Sens!H2510</f>
        <v>25.0977652918538</v>
      </c>
      <c r="I2486" s="6" t="n">
        <f aca="false">Sens!I2510</f>
        <v>27.7744174259469</v>
      </c>
      <c r="J2486" s="6" t="n">
        <f aca="false">Sens!J2510</f>
        <v>30.6638789303745</v>
      </c>
      <c r="K2486" s="6" t="n">
        <f aca="false">Sens!K2510</f>
        <v>33.6841256921746</v>
      </c>
    </row>
    <row r="2487" customFormat="false" ht="17.15" hidden="false" customHeight="false" outlineLevel="0" collapsed="false">
      <c r="A2487" s="1" t="s">
        <v>1076</v>
      </c>
      <c r="B2487" s="0" t="s">
        <v>98</v>
      </c>
      <c r="D2487" s="6" t="n">
        <f aca="false">Q!L27</f>
        <v>-4.901</v>
      </c>
      <c r="E2487" s="6" t="n">
        <f aca="false">Q!M27</f>
        <v>10.697</v>
      </c>
      <c r="F2487" s="6" t="n">
        <f aca="false">Q!$I$27+oie_f*(q_per_yr-1)/q_per_yr</f>
        <v>-0.862</v>
      </c>
      <c r="G2487" s="6" t="n">
        <f aca="false">oie_f</f>
        <v>-1.2</v>
      </c>
      <c r="H2487" s="6" t="n">
        <f aca="false">oie_f</f>
        <v>-1.2</v>
      </c>
      <c r="I2487" s="6" t="n">
        <f aca="false">oie_f</f>
        <v>-1.2</v>
      </c>
      <c r="J2487" s="6" t="n">
        <f aca="false">oie_f</f>
        <v>-1.2</v>
      </c>
      <c r="K2487" s="6" t="n">
        <f aca="false">oie_f</f>
        <v>-1.2</v>
      </c>
      <c r="L2487" s="12" t="s">
        <v>1077</v>
      </c>
    </row>
    <row r="2488" customFormat="false" ht="15" hidden="false" customHeight="false" outlineLevel="0" collapsed="false">
      <c r="A2488" s="1" t="s">
        <v>1078</v>
      </c>
      <c r="B2488" s="0" t="s">
        <v>98</v>
      </c>
      <c r="D2488" s="6" t="n">
        <f aca="false">Sens!D2480+Sens!D2487</f>
        <v>123.627</v>
      </c>
      <c r="E2488" s="6" t="n">
        <f aca="false">Sens!E2480+Sens!E2487</f>
        <v>165.934</v>
      </c>
      <c r="F2488" s="6" t="n">
        <f aca="false">Sens!F2480+Sens!F2487</f>
        <v>173.53559348328</v>
      </c>
      <c r="G2488" s="6" t="n">
        <f aca="false">Sens!G2480+Sens!G2487</f>
        <v>168.327901057897</v>
      </c>
      <c r="H2488" s="6" t="n">
        <f aca="false">Sens!H2480+Sens!H2487</f>
        <v>163.167761827813</v>
      </c>
      <c r="I2488" s="6" t="n">
        <f aca="false">Sens!I2480+Sens!I2487</f>
        <v>166.883016816916</v>
      </c>
      <c r="J2488" s="6" t="n">
        <f aca="false">Sens!J2480+Sens!J2487</f>
        <v>174.319743763417</v>
      </c>
      <c r="K2488" s="6" t="n">
        <f aca="false">Sens!K2480+Sens!K2487</f>
        <v>185.151667501834</v>
      </c>
    </row>
    <row r="2489" customFormat="false" ht="15" hidden="false" customHeight="false" outlineLevel="0" collapsed="false">
      <c r="A2489" s="1" t="s">
        <v>1079</v>
      </c>
      <c r="B2489" s="0" t="s">
        <v>98</v>
      </c>
      <c r="D2489" s="6" t="n">
        <f aca="false">Q!L29</f>
        <v>21.795</v>
      </c>
      <c r="E2489" s="6" t="n">
        <f aca="false">Q!M29</f>
        <v>32.185</v>
      </c>
      <c r="F2489" s="6" t="n">
        <f aca="false">Q!$I$29+(Sens!F2488-Q!$I$28)*tax_f</f>
        <v>34.8405186966561</v>
      </c>
      <c r="G2489" s="6" t="n">
        <f aca="false">Sens!G2488*tax_f</f>
        <v>33.6655802115793</v>
      </c>
      <c r="H2489" s="6" t="n">
        <f aca="false">Sens!H2488*tax_f</f>
        <v>32.6335523655626</v>
      </c>
      <c r="I2489" s="6" t="n">
        <f aca="false">Sens!I2488*tax_f</f>
        <v>33.3766033633832</v>
      </c>
      <c r="J2489" s="6" t="n">
        <f aca="false">Sens!J2488*tax_f</f>
        <v>34.8639487526834</v>
      </c>
      <c r="K2489" s="6" t="n">
        <f aca="false">Sens!K2488*tax_f</f>
        <v>37.0303335003668</v>
      </c>
    </row>
    <row r="2490" customFormat="false" ht="15" hidden="false" customHeight="false" outlineLevel="0" collapsed="false">
      <c r="A2490" s="1" t="s">
        <v>1080</v>
      </c>
      <c r="B2490" s="0" t="s">
        <v>98</v>
      </c>
      <c r="D2490" s="6" t="n">
        <f aca="false">Sens!D2488-Sens!D2489</f>
        <v>101.832</v>
      </c>
      <c r="E2490" s="6" t="n">
        <f aca="false">Sens!E2488-Sens!E2489</f>
        <v>133.749</v>
      </c>
      <c r="F2490" s="6" t="n">
        <f aca="false">Sens!F2488-Sens!F2489</f>
        <v>138.695074786624</v>
      </c>
      <c r="G2490" s="6" t="n">
        <f aca="false">Sens!G2488-Sens!G2489</f>
        <v>134.662320846317</v>
      </c>
      <c r="H2490" s="6" t="n">
        <f aca="false">Sens!H2488-Sens!H2489</f>
        <v>130.534209462251</v>
      </c>
      <c r="I2490" s="6" t="n">
        <f aca="false">Sens!I2488-Sens!I2489</f>
        <v>133.506413453533</v>
      </c>
      <c r="J2490" s="6" t="n">
        <f aca="false">Sens!J2488-Sens!J2489</f>
        <v>139.455795010733</v>
      </c>
      <c r="K2490" s="6" t="n">
        <f aca="false">Sens!K2488-Sens!K2489</f>
        <v>148.121334001467</v>
      </c>
    </row>
    <row r="2491" customFormat="false" ht="17.15" hidden="false" customHeight="false" outlineLevel="0" collapsed="false">
      <c r="A2491" s="1" t="s">
        <v>1081</v>
      </c>
      <c r="B2491" s="1" t="s">
        <v>81</v>
      </c>
      <c r="D2491" s="15" t="n">
        <f aca="false">Q!L31</f>
        <v>7.465</v>
      </c>
      <c r="E2491" s="15" t="n">
        <f aca="false">Q!M31</f>
        <v>7.453</v>
      </c>
      <c r="F2491" s="15" t="n">
        <f aca="false">Sens!F2535</f>
        <v>7.4735</v>
      </c>
      <c r="G2491" s="15" t="n">
        <f aca="false">Sens!G2535</f>
        <v>7.5185</v>
      </c>
      <c r="H2491" s="15" t="n">
        <f aca="false">Sens!H2535</f>
        <v>7.5635</v>
      </c>
      <c r="I2491" s="15" t="n">
        <f aca="false">Sens!I2535</f>
        <v>7.59248142502667</v>
      </c>
      <c r="J2491" s="15" t="n">
        <f aca="false">Sens!J2535</f>
        <v>7.60663083618914</v>
      </c>
      <c r="K2491" s="15" t="n">
        <f aca="false">Sens!K2535</f>
        <v>7.62306547615439</v>
      </c>
    </row>
    <row r="2492" customFormat="false" ht="17.15" hidden="false" customHeight="false" outlineLevel="0" collapsed="false">
      <c r="A2492" s="0" t="s">
        <v>1082</v>
      </c>
      <c r="B2492" s="0" t="s">
        <v>75</v>
      </c>
      <c r="D2492" s="8" t="n">
        <f aca="false">Sens!D2490/Sens!D2491</f>
        <v>13.641259209645</v>
      </c>
      <c r="E2492" s="8" t="n">
        <f aca="false">Sens!E2490/Sens!E2491</f>
        <v>17.9456594659869</v>
      </c>
      <c r="F2492" s="8" t="n">
        <f aca="false">Sens!F2490/Sens!F2491</f>
        <v>18.5582491184351</v>
      </c>
      <c r="G2492" s="8" t="n">
        <f aca="false">Sens!G2490/Sens!G2491</f>
        <v>17.9107961490081</v>
      </c>
      <c r="H2492" s="8" t="n">
        <f aca="false">Sens!H2490/Sens!H2491</f>
        <v>17.258439804621</v>
      </c>
      <c r="I2492" s="8" t="n">
        <f aca="false">Sens!I2490/Sens!I2491</f>
        <v>17.584028986026</v>
      </c>
      <c r="J2492" s="8" t="n">
        <f aca="false">Sens!J2490/Sens!J2491</f>
        <v>18.3334511709523</v>
      </c>
      <c r="K2492" s="8" t="n">
        <f aca="false">Sens!K2490/Sens!K2491</f>
        <v>19.4306784409505</v>
      </c>
      <c r="L2492" s="1" t="s">
        <v>1083</v>
      </c>
    </row>
    <row r="2493" customFormat="false" ht="17.15" hidden="false" customHeight="false" outlineLevel="0" collapsed="false">
      <c r="A2493" s="1" t="s">
        <v>1084</v>
      </c>
      <c r="B2493" s="0" t="s">
        <v>98</v>
      </c>
      <c r="D2493" s="6" t="n">
        <f aca="false">Sens!D2490</f>
        <v>101.832</v>
      </c>
      <c r="E2493" s="6" t="n">
        <f aca="false">Sens!E2490</f>
        <v>133.749</v>
      </c>
      <c r="F2493" s="6" t="n">
        <f aca="false">Sens!F2490+Sens!F2483*(1-tax_f)</f>
        <v>152.524217972377</v>
      </c>
      <c r="G2493" s="6" t="n">
        <f aca="false">Sens!G2490+Sens!G2483*(1-tax_f)</f>
        <v>169.825853272003</v>
      </c>
      <c r="H2493" s="6" t="n">
        <f aca="false">Sens!H2490+Sens!H2483*(1-tax_f)</f>
        <v>188.799960267228</v>
      </c>
      <c r="I2493" s="6" t="n">
        <f aca="false">Sens!I2490+Sens!I2483*(1-tax_f)</f>
        <v>212.296111872689</v>
      </c>
      <c r="J2493" s="6" t="n">
        <f aca="false">Sens!J2490+Sens!J2483*(1-tax_f)</f>
        <v>232.524880694334</v>
      </c>
      <c r="K2493" s="6" t="n">
        <f aca="false">Sens!K2490+Sens!K2483*(1-tax_f)</f>
        <v>249.58869929463</v>
      </c>
    </row>
    <row r="2494" customFormat="false" ht="17.15" hidden="false" customHeight="false" outlineLevel="0" collapsed="false">
      <c r="A2494" s="0" t="s">
        <v>1085</v>
      </c>
      <c r="B2494" s="0" t="s">
        <v>75</v>
      </c>
      <c r="D2494" s="8" t="n">
        <f aca="false">Sens!D2493/Sens!D2491</f>
        <v>13.641259209645</v>
      </c>
      <c r="E2494" s="8" t="n">
        <f aca="false">Sens!E2493/Sens!E2491</f>
        <v>17.9456594659869</v>
      </c>
      <c r="F2494" s="8" t="n">
        <f aca="false">Sens!F2493/Sens!F2491</f>
        <v>20.408673041062</v>
      </c>
      <c r="G2494" s="8" t="n">
        <f aca="false">Sens!G2493/Sens!G2491</f>
        <v>22.5877307005391</v>
      </c>
      <c r="H2494" s="8" t="n">
        <f aca="false">Sens!H2493/Sens!H2491</f>
        <v>24.9619832441632</v>
      </c>
      <c r="I2494" s="8" t="n">
        <f aca="false">Sens!I2493/Sens!I2491</f>
        <v>27.9613607183693</v>
      </c>
      <c r="J2494" s="8" t="n">
        <f aca="false">Sens!J2493/Sens!J2491</f>
        <v>30.5687084994421</v>
      </c>
      <c r="K2494" s="8" t="n">
        <f aca="false">Sens!K2493/Sens!K2491</f>
        <v>32.741250888552</v>
      </c>
      <c r="L2494" s="1" t="s">
        <v>1086</v>
      </c>
    </row>
    <row r="2495" customFormat="false" ht="17.15" hidden="false" customHeight="false" outlineLevel="0" collapsed="false">
      <c r="A2495" s="0" t="s">
        <v>1087</v>
      </c>
      <c r="B2495" s="0" t="s">
        <v>168</v>
      </c>
      <c r="E2495" s="7" t="n">
        <f aca="false">Sens!E2494/Sens!D2494-1</f>
        <v>0.315542736208578</v>
      </c>
      <c r="F2495" s="7" t="n">
        <f aca="false">Sens!F2494/Sens!E2494-1</f>
        <v>0.137248429334313</v>
      </c>
      <c r="G2495" s="7" t="n">
        <f aca="false">Sens!G2494/Sens!F2494-1</f>
        <v>0.10677115827633</v>
      </c>
      <c r="H2495" s="7" t="n">
        <f aca="false">Sens!H2494/Sens!G2494-1</f>
        <v>0.105112486734553</v>
      </c>
      <c r="I2495" s="7" t="n">
        <f aca="false">Sens!I2494/Sens!H2494-1</f>
        <v>0.120157819387507</v>
      </c>
      <c r="J2495" s="7" t="n">
        <f aca="false">Sens!J2494/Sens!I2494-1</f>
        <v>0.0932482437937978</v>
      </c>
      <c r="K2495" s="7" t="n">
        <f aca="false">Sens!K2494/Sens!J2494-1</f>
        <v>0.0710707941472084</v>
      </c>
    </row>
    <row r="2496" customFormat="false" ht="17.15" hidden="false" customHeight="false" outlineLevel="0" collapsed="false">
      <c r="A2496" s="0" t="s">
        <v>1007</v>
      </c>
      <c r="B2496" s="0" t="s">
        <v>98</v>
      </c>
      <c r="E2496" s="6" t="n">
        <f aca="false">Sens!E2437</f>
        <v>5.25</v>
      </c>
      <c r="F2496" s="6" t="n">
        <f aca="false">Sens!F2437</f>
        <v>10.5</v>
      </c>
      <c r="G2496" s="6" t="n">
        <f aca="false">Sens!G2437</f>
        <v>13.5</v>
      </c>
      <c r="H2496" s="6" t="n">
        <f aca="false">Sens!H2437</f>
        <v>16.5</v>
      </c>
      <c r="I2496" s="6" t="n">
        <f aca="false">Sens!I2437</f>
        <v>18.75</v>
      </c>
      <c r="J2496" s="6" t="n">
        <f aca="false">Sens!J2437</f>
        <v>20.25</v>
      </c>
      <c r="K2496" s="6" t="n">
        <f aca="false">Sens!K2437</f>
        <v>21.75</v>
      </c>
    </row>
    <row r="2497" customFormat="false" ht="17.15" hidden="false" customHeight="false" outlineLevel="0" collapsed="false">
      <c r="A2497" s="1" t="s">
        <v>1008</v>
      </c>
      <c r="B2497" s="0" t="s">
        <v>98</v>
      </c>
      <c r="F2497" s="6" t="n">
        <f aca="false">MAX(0,((Sens!E2397+Sens!F2397)/2-(shadow_base*(Sens!$D$2397+Sens!$E$2397)/2+(1-shadow_base)*Sens!$E$2397))*Sens!F2406/1000-(Sens!F2496-Sens!$E$2496)*Sens!F2476)</f>
        <v>17.2864289821906</v>
      </c>
      <c r="G2497" s="6" t="n">
        <f aca="false">MAX(0,((Sens!F2397+Sens!G2397)/2-(shadow_base*(Sens!$D$2397+Sens!$E$2397)/2+(1-shadow_base)*Sens!$E$2397))*Sens!G2406/1000-(Sens!G2496-Sens!$E$2496)*Sens!G2476)</f>
        <v>43.9544155321074</v>
      </c>
      <c r="H2497" s="6" t="n">
        <f aca="false">MAX(0,((Sens!G2397+Sens!H2397)/2-(shadow_base*(Sens!$D$2397+Sens!$E$2397)/2+(1-shadow_base)*Sens!$E$2397))*Sens!H2406/1000-(Sens!H2496-Sens!$E$2496)*Sens!H2476)</f>
        <v>72.8321885062222</v>
      </c>
      <c r="I2497" s="6" t="n">
        <f aca="false">MAX(0,((Sens!H2397+Sens!I2397)/2-(shadow_base*(Sens!$D$2397+Sens!$E$2397)/2+(1-shadow_base)*Sens!$E$2397))*Sens!I2406/1000-(Sens!I2496-Sens!$E$2496)*Sens!I2476)</f>
        <v>98.4871230239457</v>
      </c>
      <c r="J2497" s="6" t="n">
        <f aca="false">MAX(0,((Sens!I2397+Sens!J2397)/2-(shadow_base*(Sens!$D$2397+Sens!$E$2397)/2+(1-shadow_base)*Sens!$E$2397))*Sens!J2406/1000-(Sens!J2496-Sens!$E$2496)*Sens!J2476)</f>
        <v>116.3363571045</v>
      </c>
      <c r="K2497" s="6" t="n">
        <f aca="false">MAX(0,((Sens!J2397+Sens!K2397)/2-(shadow_base*(Sens!$D$2397+Sens!$E$2397)/2+(1-shadow_base)*Sens!$E$2397))*Sens!K2406/1000-(Sens!K2496-Sens!$E$2496)*Sens!K2476)</f>
        <v>126.834206616454</v>
      </c>
      <c r="L2497" s="1" t="s">
        <v>1009</v>
      </c>
    </row>
    <row r="2498" customFormat="false" ht="17.15" hidden="false" customHeight="false" outlineLevel="0" collapsed="false">
      <c r="A2498" s="1" t="s">
        <v>1010</v>
      </c>
      <c r="B2498" s="0" t="s">
        <v>98</v>
      </c>
      <c r="F2498" s="6" t="n">
        <f aca="false">IF(internal_ai_reading=2,1,0)*Sens!F2497</f>
        <v>17.2864289821906</v>
      </c>
      <c r="G2498" s="6" t="n">
        <f aca="false">IF(internal_ai_reading=2,1,0)*Sens!G2497</f>
        <v>43.9544155321074</v>
      </c>
      <c r="H2498" s="6" t="n">
        <f aca="false">IF(internal_ai_reading=2,1,0)*Sens!H2497</f>
        <v>72.8321885062222</v>
      </c>
      <c r="I2498" s="6" t="n">
        <f aca="false">IF(internal_ai_reading=2,1,0)*Sens!I2497</f>
        <v>98.4871230239457</v>
      </c>
      <c r="J2498" s="6" t="n">
        <f aca="false">IF(internal_ai_reading=2,1,0)*Sens!J2497</f>
        <v>116.3363571045</v>
      </c>
      <c r="K2498" s="6" t="n">
        <f aca="false">IF(internal_ai_reading=2,1,0)*Sens!K2497</f>
        <v>126.834206616454</v>
      </c>
    </row>
    <row r="2499" customFormat="false" ht="17.15" hidden="false" customHeight="false" outlineLevel="0" collapsed="false">
      <c r="A2499" s="0" t="s">
        <v>1011</v>
      </c>
      <c r="B2499" s="0" t="s">
        <v>98</v>
      </c>
      <c r="F2499" s="6" t="n">
        <f aca="false">Sens!F2416+Sens!F2496*Sens!F2476+Sens!F2498-Sens!F2417-Sens!F2428</f>
        <v>7.01249344476911</v>
      </c>
      <c r="G2499" s="6" t="n">
        <f aca="false">Sens!G2416+Sens!G2496*Sens!G2476+Sens!G2498-Sens!G2417-Sens!G2428</f>
        <v>15.0062373406573</v>
      </c>
      <c r="H2499" s="6" t="n">
        <f aca="false">Sens!H2416+Sens!H2496*Sens!H2476+Sens!H2498-Sens!H2417-Sens!H2428</f>
        <v>17.8208497342733</v>
      </c>
      <c r="I2499" s="6" t="n">
        <f aca="false">Sens!I2416+Sens!I2496*Sens!I2476+Sens!I2498-Sens!I2417-Sens!I2428</f>
        <v>26.6838930274794</v>
      </c>
      <c r="J2499" s="6" t="n">
        <f aca="false">Sens!J2416+Sens!J2496*Sens!J2476+Sens!J2498-Sens!J2417-Sens!J2428</f>
        <v>32.6682269031172</v>
      </c>
      <c r="K2499" s="6" t="n">
        <f aca="false">Sens!K2416+Sens!K2496*Sens!K2476+Sens!K2498-Sens!K2417-Sens!K2428</f>
        <v>36.7353231525124</v>
      </c>
    </row>
    <row r="2500" customFormat="false" ht="17.15" hidden="false" customHeight="false" outlineLevel="0" collapsed="false">
      <c r="A2500" s="0" t="s">
        <v>1012</v>
      </c>
      <c r="B2500" s="0" t="s">
        <v>98</v>
      </c>
      <c r="E2500" s="6" t="n">
        <f aca="false">Sens!E2396*(cxit_open+self_build*tk_cxfac)/1000*ai_net_open</f>
        <v>152.03764584</v>
      </c>
      <c r="F2500" s="6" t="n">
        <f aca="false">Sens!E2500+Sens!F2425-Sens!F2428</f>
        <v>312.687153316522</v>
      </c>
      <c r="G2500" s="6" t="n">
        <f aca="false">Sens!F2500+Sens!G2425-Sens!G2428</f>
        <v>470.13913531262</v>
      </c>
      <c r="H2500" s="6" t="n">
        <f aca="false">Sens!G2500+Sens!H2425-Sens!H2428</f>
        <v>599.3862313963</v>
      </c>
      <c r="I2500" s="6" t="n">
        <f aca="false">Sens!H2500+Sens!I2425-Sens!I2428</f>
        <v>664.646820108775</v>
      </c>
      <c r="J2500" s="6" t="n">
        <f aca="false">Sens!I2500+Sens!J2425-Sens!J2428</f>
        <v>660.943929884388</v>
      </c>
      <c r="K2500" s="6" t="n">
        <f aca="false">Sens!J2500+Sens!K2425-Sens!K2428</f>
        <v>632.084150100946</v>
      </c>
      <c r="L2500" s="1" t="s">
        <v>1013</v>
      </c>
    </row>
    <row r="2501" customFormat="false" ht="17.15" hidden="false" customHeight="false" outlineLevel="0" collapsed="false">
      <c r="A2501" s="0" t="s">
        <v>1014</v>
      </c>
      <c r="B2501" s="0" t="s">
        <v>168</v>
      </c>
      <c r="F2501" s="7" t="n">
        <f aca="false">Sens!F2499*(1-tax_f)/((Sens!E2500+Sens!F2500)/2)</f>
        <v>0.0241432984252076</v>
      </c>
      <c r="G2501" s="7" t="n">
        <f aca="false">Sens!G2499*(1-tax_f)/((Sens!F2500+Sens!G2500)/2)</f>
        <v>0.0306708909675186</v>
      </c>
      <c r="H2501" s="7" t="n">
        <f aca="false">Sens!H2499*(1-tax_f)/((Sens!G2500+Sens!H2500)/2)</f>
        <v>0.0266598254350684</v>
      </c>
      <c r="I2501" s="7" t="n">
        <f aca="false">Sens!I2499*(1-tax_f)/((Sens!H2500+Sens!I2500)/2)</f>
        <v>0.0337761965900586</v>
      </c>
      <c r="J2501" s="7" t="n">
        <f aca="false">Sens!J2499*(1-tax_f)/((Sens!I2500+Sens!J2500)/2)</f>
        <v>0.0394308447348905</v>
      </c>
      <c r="K2501" s="7" t="n">
        <f aca="false">Sens!K2499*(1-tax_f)/((Sens!J2500+Sens!K2500)/2)</f>
        <v>0.0454564892702767</v>
      </c>
    </row>
    <row r="2502" customFormat="false" ht="17.15" hidden="false" customHeight="false" outlineLevel="0" collapsed="false">
      <c r="A2502" s="1" t="s">
        <v>1015</v>
      </c>
      <c r="B2502" s="0" t="s">
        <v>168</v>
      </c>
      <c r="F2502" s="7" t="n">
        <f aca="false">(Sens!F2499-Sens!F2498)*(1-tax_f)/((Sens!E2500+Sens!F2500)/2)</f>
        <v>-0.0353721103106829</v>
      </c>
      <c r="G2502" s="7" t="n">
        <f aca="false">(Sens!G2499-Sens!G2498)*(1-tax_f)/((Sens!F2500+Sens!G2500)/2)</f>
        <v>-0.0591664916969371</v>
      </c>
      <c r="H2502" s="7" t="n">
        <f aca="false">(Sens!H2499-Sens!H2498)*(1-tax_f)/((Sens!G2500+Sens!H2500)/2)</f>
        <v>-0.0822964510939673</v>
      </c>
      <c r="I2502" s="7" t="n">
        <f aca="false">(Sens!I2499-Sens!I2498)*(1-tax_f)/((Sens!H2500+Sens!I2500)/2)</f>
        <v>-0.0908877879874684</v>
      </c>
      <c r="J2502" s="7" t="n">
        <f aca="false">(Sens!J2499-Sens!J2498)*(1-tax_f)/((Sens!I2500+Sens!J2500)/2)</f>
        <v>-0.100988188340107</v>
      </c>
      <c r="K2502" s="7" t="n">
        <f aca="false">(Sens!K2499-Sens!K2498)*(1-tax_f)/((Sens!J2500+Sens!K2500)/2)</f>
        <v>-0.111488849912634</v>
      </c>
    </row>
    <row r="2503" customFormat="false" ht="17.15" hidden="false" customHeight="false" outlineLevel="0" collapsed="false">
      <c r="A2503" s="1" t="s">
        <v>1016</v>
      </c>
      <c r="B2503" s="0" t="s">
        <v>168</v>
      </c>
      <c r="F2503" s="7" t="n">
        <f aca="false">(Sens!F2499-Sens!F2498+Sens!F2497)*(1-tax_f)/((Sens!E2500+Sens!F2500)/2)</f>
        <v>0.0241432984252076</v>
      </c>
      <c r="G2503" s="7" t="n">
        <f aca="false">(Sens!G2499-Sens!G2498+Sens!G2497)*(1-tax_f)/((Sens!F2500+Sens!G2500)/2)</f>
        <v>0.0306708909675186</v>
      </c>
      <c r="H2503" s="7" t="n">
        <f aca="false">(Sens!H2499-Sens!H2498+Sens!H2497)*(1-tax_f)/((Sens!G2500+Sens!H2500)/2)</f>
        <v>0.0266598254350684</v>
      </c>
      <c r="I2503" s="7" t="n">
        <f aca="false">(Sens!I2499-Sens!I2498+Sens!I2497)*(1-tax_f)/((Sens!H2500+Sens!I2500)/2)</f>
        <v>0.0337761965900586</v>
      </c>
      <c r="J2503" s="7" t="n">
        <f aca="false">(Sens!J2499-Sens!J2498+Sens!J2497)*(1-tax_f)/((Sens!I2500+Sens!J2500)/2)</f>
        <v>0.0394308447348905</v>
      </c>
      <c r="K2503" s="7" t="n">
        <f aca="false">(Sens!K2499-Sens!K2498+Sens!K2497)*(1-tax_f)/((Sens!J2500+Sens!K2500)/2)</f>
        <v>0.0454564892702767</v>
      </c>
    </row>
    <row r="2504" customFormat="false" ht="17.15" hidden="false" customHeight="false" outlineLevel="0" collapsed="false">
      <c r="A2504" s="1" t="s">
        <v>1017</v>
      </c>
      <c r="B2504" s="0" t="s">
        <v>168</v>
      </c>
      <c r="F2504" s="7" t="n">
        <f aca="false">Sens!F2429*(1-tax_f)/(Sens!F2415*(Sens!E2500+Sens!F2500)/2)</f>
        <v>0.098791430090569</v>
      </c>
      <c r="G2504" s="7" t="n">
        <f aca="false">Sens!G2429*(1-tax_f)/(Sens!G2415*(Sens!F2500+Sens!G2500)/2)</f>
        <v>0.0675308856427828</v>
      </c>
      <c r="H2504" s="7" t="n">
        <f aca="false">Sens!H2429*(1-tax_f)/(Sens!H2415*(Sens!G2500+Sens!H2500)/2)</f>
        <v>0.0388374979528753</v>
      </c>
      <c r="I2504" s="7" t="n">
        <f aca="false">Sens!I2429*(1-tax_f)/(Sens!I2415*(Sens!H2500+Sens!I2500)/2)</f>
        <v>0.0411035671771815</v>
      </c>
      <c r="J2504" s="7" t="n">
        <f aca="false">Sens!J2429*(1-tax_f)/(Sens!J2415*(Sens!I2500+Sens!J2500)/2)</f>
        <v>0.0445222722541192</v>
      </c>
      <c r="K2504" s="7" t="n">
        <f aca="false">Sens!K2429*(1-tax_f)/(Sens!K2415*(Sens!J2500+Sens!K2500)/2)</f>
        <v>0.0498866361688162</v>
      </c>
    </row>
    <row r="2505" customFormat="false" ht="17.15" hidden="false" customHeight="false" outlineLevel="0" collapsed="false">
      <c r="A2505" s="0" t="s">
        <v>1018</v>
      </c>
      <c r="B2505" s="0" t="s">
        <v>253</v>
      </c>
      <c r="F2505" s="7" t="n">
        <f aca="false">Sens!F2501-wacc</f>
        <v>-0.0787932925203897</v>
      </c>
      <c r="G2505" s="7" t="n">
        <f aca="false">Sens!G2501-wacc</f>
        <v>-0.0722656999780787</v>
      </c>
      <c r="H2505" s="7" t="n">
        <f aca="false">Sens!H2501-wacc</f>
        <v>-0.0762767655105289</v>
      </c>
      <c r="I2505" s="7" t="n">
        <f aca="false">Sens!I2501-wacc</f>
        <v>-0.0691603943555387</v>
      </c>
      <c r="J2505" s="7" t="n">
        <f aca="false">Sens!J2501-wacc</f>
        <v>-0.0635057462107068</v>
      </c>
      <c r="K2505" s="7" t="n">
        <f aca="false">Sens!K2501-wacc</f>
        <v>-0.0574801016753206</v>
      </c>
    </row>
    <row r="2506" customFormat="false" ht="17.15" hidden="false" customHeight="false" outlineLevel="0" collapsed="false">
      <c r="A2506" s="0" t="s">
        <v>1019</v>
      </c>
      <c r="B2506" s="0" t="s">
        <v>98</v>
      </c>
      <c r="F2506" s="6" t="n">
        <f aca="false">Sens!F2499*(1-tax_f)-wacc*(Sens!E2500+Sens!F2500)/2</f>
        <v>-18.3085985207096</v>
      </c>
      <c r="G2506" s="6" t="n">
        <f aca="false">Sens!G2499*(1-tax_f)-wacc*(Sens!F2500+Sens!G2500)/2</f>
        <v>-28.2857448545132</v>
      </c>
      <c r="H2506" s="6" t="n">
        <f aca="false">Sens!H2499*(1-tax_f)-wacc*(Sens!G2500+Sens!H2500)/2</f>
        <v>-40.7899678020094</v>
      </c>
      <c r="I2506" s="6" t="n">
        <f aca="false">Sens!I2499*(1-tax_f)-wacc*(Sens!H2500+Sens!I2500)/2</f>
        <v>-43.710512160263</v>
      </c>
      <c r="J2506" s="6" t="n">
        <f aca="false">Sens!J2499*(1-tax_f)-wacc*(Sens!I2500+Sens!J2500)/2</f>
        <v>-42.0913148741631</v>
      </c>
      <c r="K2506" s="6" t="n">
        <f aca="false">Sens!K2499*(1-tax_f)-wacc*(Sens!J2500+Sens!K2500)/2</f>
        <v>-37.1616927533008</v>
      </c>
    </row>
    <row r="2507" customFormat="false" ht="17.15" hidden="false" customHeight="false" outlineLevel="0" collapsed="false">
      <c r="A2507" s="3" t="s">
        <v>1673</v>
      </c>
    </row>
    <row r="2508" customFormat="false" ht="15" hidden="false" customHeight="false" outlineLevel="0" collapsed="false">
      <c r="A2508" s="4" t="s">
        <v>43</v>
      </c>
      <c r="B2508" s="4" t="s">
        <v>65</v>
      </c>
      <c r="C2508" s="23" t="s">
        <v>942</v>
      </c>
      <c r="D2508" s="23" t="s">
        <v>943</v>
      </c>
      <c r="E2508" s="23" t="s">
        <v>944</v>
      </c>
      <c r="F2508" s="23" t="s">
        <v>945</v>
      </c>
      <c r="G2508" s="23" t="s">
        <v>946</v>
      </c>
      <c r="H2508" s="23" t="s">
        <v>947</v>
      </c>
      <c r="I2508" s="23" t="s">
        <v>948</v>
      </c>
      <c r="J2508" s="23" t="s">
        <v>949</v>
      </c>
      <c r="K2508" s="23" t="s">
        <v>950</v>
      </c>
      <c r="L2508" s="4" t="s">
        <v>47</v>
      </c>
    </row>
    <row r="2509" customFormat="false" ht="15" hidden="false" customHeight="false" outlineLevel="0" collapsed="false">
      <c r="A2509" s="1" t="s">
        <v>1080</v>
      </c>
      <c r="B2509" s="0" t="s">
        <v>98</v>
      </c>
      <c r="F2509" s="6" t="n">
        <f aca="false">Sens!F2490</f>
        <v>138.695074786624</v>
      </c>
      <c r="G2509" s="6" t="n">
        <f aca="false">Sens!G2490</f>
        <v>134.662320846317</v>
      </c>
      <c r="H2509" s="6" t="n">
        <f aca="false">Sens!H2490</f>
        <v>130.534209462251</v>
      </c>
      <c r="I2509" s="6" t="n">
        <f aca="false">Sens!I2490</f>
        <v>133.506413453533</v>
      </c>
      <c r="J2509" s="6" t="n">
        <f aca="false">Sens!J2490</f>
        <v>139.455795010733</v>
      </c>
      <c r="K2509" s="6" t="n">
        <f aca="false">Sens!K2490</f>
        <v>148.121334001467</v>
      </c>
    </row>
    <row r="2510" customFormat="false" ht="17.15" hidden="false" customHeight="false" outlineLevel="0" collapsed="false">
      <c r="A2510" s="1" t="s">
        <v>1102</v>
      </c>
      <c r="B2510" s="0" t="s">
        <v>98</v>
      </c>
      <c r="E2510" s="6" t="n">
        <f aca="false">Q!M38-Sens!E2428</f>
        <v>18.9675128275</v>
      </c>
      <c r="F2510" s="6" t="n">
        <f aca="false">Sens!E2510*(1-1/life_nonai)+(Sens!F2518+Sens!F2519)/life_nonai</f>
        <v>20.6533674520802</v>
      </c>
      <c r="G2510" s="6" t="n">
        <f aca="false">Sens!F2510*(1-1/life_nonai)+(Sens!G2518)/life_nonai</f>
        <v>22.7061329409595</v>
      </c>
      <c r="H2510" s="6" t="n">
        <f aca="false">Sens!G2510*(1-1/life_nonai)+(Sens!H2518)/life_nonai</f>
        <v>25.0977652918538</v>
      </c>
      <c r="I2510" s="6" t="n">
        <f aca="false">Sens!H2510*(1-1/life_nonai)+(Sens!I2518)/life_nonai</f>
        <v>27.7744174259469</v>
      </c>
      <c r="J2510" s="6" t="n">
        <f aca="false">Sens!I2510*(1-1/life_nonai)+(Sens!J2518)/life_nonai</f>
        <v>30.6638789303745</v>
      </c>
      <c r="K2510" s="6" t="n">
        <f aca="false">Sens!J2510*(1-1/life_nonai)+(Sens!K2518)/life_nonai</f>
        <v>33.6841256921746</v>
      </c>
      <c r="L2510" s="12" t="s">
        <v>1103</v>
      </c>
    </row>
    <row r="2511" customFormat="false" ht="17.15" hidden="false" customHeight="false" outlineLevel="0" collapsed="false">
      <c r="A2511" s="1" t="s">
        <v>1104</v>
      </c>
      <c r="B2511" s="0" t="s">
        <v>98</v>
      </c>
      <c r="F2511" s="6" t="n">
        <f aca="false">Sens!$F$2519/life_nonai*(1-1/life_nonai)^(Sens!F2391-2027)</f>
        <v>0</v>
      </c>
      <c r="G2511" s="6" t="n">
        <f aca="false">Sens!$F$2519/life_nonai*(1-1/life_nonai)^(Sens!G2391-2027)</f>
        <v>0</v>
      </c>
      <c r="H2511" s="6" t="n">
        <f aca="false">Sens!$F$2519/life_nonai*(1-1/life_nonai)^(Sens!H2391-2027)</f>
        <v>0</v>
      </c>
      <c r="I2511" s="6" t="n">
        <f aca="false">Sens!$F$2519/life_nonai*(1-1/life_nonai)^(Sens!I2391-2027)</f>
        <v>0</v>
      </c>
      <c r="J2511" s="6" t="n">
        <f aca="false">Sens!$F$2519/life_nonai*(1-1/life_nonai)^(Sens!J2391-2027)</f>
        <v>0</v>
      </c>
      <c r="K2511" s="6" t="n">
        <f aca="false">Sens!$F$2519/life_nonai*(1-1/life_nonai)^(Sens!K2391-2027)</f>
        <v>0</v>
      </c>
      <c r="L2511" s="1" t="s">
        <v>1105</v>
      </c>
    </row>
    <row r="2512" customFormat="false" ht="17.15" hidden="false" customHeight="false" outlineLevel="0" collapsed="false">
      <c r="A2512" s="1" t="s">
        <v>1106</v>
      </c>
      <c r="B2512" s="0" t="s">
        <v>98</v>
      </c>
      <c r="E2512" s="6" t="n">
        <f aca="false">Sens!E2428+Sens!E2510</f>
        <v>38.534</v>
      </c>
      <c r="F2512" s="6" t="n">
        <f aca="false">Sens!F2428+Sens!F2510</f>
        <v>62.1485448261022</v>
      </c>
      <c r="G2512" s="6" t="n">
        <f aca="false">Sens!G2428+Sens!G2510</f>
        <v>95.5875217237182</v>
      </c>
      <c r="H2512" s="6" t="n">
        <f aca="false">Sens!H2428+Sens!H2510</f>
        <v>132.017874085589</v>
      </c>
      <c r="I2512" s="6" t="n">
        <f aca="false">Sens!I2428+Sens!I2510</f>
        <v>164.851629059405</v>
      </c>
      <c r="J2512" s="6" t="n">
        <f aca="false">Sens!J2428+Sens!J2510</f>
        <v>189.08268658989</v>
      </c>
      <c r="K2512" s="6" t="n">
        <f aca="false">Sens!K2428+Sens!K2510</f>
        <v>205.299329153296</v>
      </c>
    </row>
    <row r="2513" customFormat="false" ht="17.15" hidden="false" customHeight="false" outlineLevel="0" collapsed="false">
      <c r="A2513" s="1" t="s">
        <v>1107</v>
      </c>
      <c r="B2513" s="0" t="s">
        <v>98</v>
      </c>
      <c r="F2513" s="6" t="n">
        <f aca="false">Sens!F2455*sbc_r</f>
        <v>14.7454787486369</v>
      </c>
      <c r="G2513" s="6" t="n">
        <f aca="false">Sens!G2455*sbc_r</f>
        <v>17.1560811611477</v>
      </c>
      <c r="H2513" s="6" t="n">
        <f aca="false">Sens!H2455*sbc_r</f>
        <v>19.4112161412813</v>
      </c>
      <c r="I2513" s="6" t="n">
        <f aca="false">Sens!I2455*sbc_r</f>
        <v>21.7655163708747</v>
      </c>
      <c r="J2513" s="6" t="n">
        <f aca="false">Sens!J2455*sbc_r</f>
        <v>23.7425689489627</v>
      </c>
      <c r="K2513" s="6" t="n">
        <f aca="false">Sens!K2455*sbc_r</f>
        <v>25.3560408997772</v>
      </c>
    </row>
    <row r="2514" customFormat="false" ht="17.15" hidden="false" customHeight="false" outlineLevel="0" collapsed="false">
      <c r="A2514" s="1" t="s">
        <v>1108</v>
      </c>
      <c r="B2514" s="0" t="s">
        <v>98</v>
      </c>
      <c r="F2514" s="6" t="n">
        <f aca="false">wc27-wc26q1</f>
        <v>-4.677</v>
      </c>
      <c r="G2514" s="6" t="n">
        <f aca="false">wc_f</f>
        <v>0</v>
      </c>
      <c r="H2514" s="6" t="n">
        <f aca="false">wc_f</f>
        <v>0</v>
      </c>
      <c r="I2514" s="6" t="n">
        <f aca="false">wc_f</f>
        <v>0</v>
      </c>
      <c r="J2514" s="6" t="n">
        <f aca="false">wc_f</f>
        <v>0</v>
      </c>
      <c r="K2514" s="6" t="n">
        <f aca="false">wc_f</f>
        <v>0</v>
      </c>
      <c r="L2514" s="12" t="s">
        <v>1109</v>
      </c>
    </row>
    <row r="2515" customFormat="false" ht="17.15" hidden="false" customHeight="false" outlineLevel="0" collapsed="false">
      <c r="A2515" s="0" t="s">
        <v>1110</v>
      </c>
      <c r="B2515" s="0" t="s">
        <v>98</v>
      </c>
      <c r="F2515" s="6" t="n">
        <f aca="false">Q!$I$35-Q!$I$26-Q!$I$38-Q!$I$39</f>
        <v>6.493</v>
      </c>
      <c r="L2515" s="1" t="s">
        <v>1111</v>
      </c>
    </row>
    <row r="2516" customFormat="false" ht="15" hidden="false" customHeight="false" outlineLevel="0" collapsed="false">
      <c r="A2516" s="1" t="s">
        <v>908</v>
      </c>
      <c r="B2516" s="0" t="s">
        <v>98</v>
      </c>
      <c r="E2516" s="6" t="n">
        <f aca="false">Q!M35</f>
        <v>182.935</v>
      </c>
      <c r="F2516" s="6" t="n">
        <f aca="false">Sens!F2509+Sens!F2512+Sens!F2513+Sens!F2514+Sens!F2515</f>
        <v>217.405098361363</v>
      </c>
      <c r="G2516" s="6" t="n">
        <f aca="false">Sens!G2509+Sens!G2512+Sens!G2513+Sens!G2514</f>
        <v>247.405923731183</v>
      </c>
      <c r="H2516" s="6" t="n">
        <f aca="false">Sens!H2509+Sens!H2512+Sens!H2513+Sens!H2514</f>
        <v>281.96329968912</v>
      </c>
      <c r="I2516" s="6" t="n">
        <f aca="false">Sens!I2509+Sens!I2512+Sens!I2513+Sens!I2514</f>
        <v>320.123558883812</v>
      </c>
      <c r="J2516" s="6" t="n">
        <f aca="false">Sens!J2509+Sens!J2512+Sens!J2513+Sens!J2514</f>
        <v>352.281050549586</v>
      </c>
      <c r="K2516" s="6" t="n">
        <f aca="false">Sens!K2509+Sens!K2512+Sens!K2513+Sens!K2514</f>
        <v>378.77670405454</v>
      </c>
    </row>
    <row r="2517" customFormat="false" ht="17.15" hidden="false" customHeight="false" outlineLevel="0" collapsed="false">
      <c r="A2517" s="0" t="s">
        <v>1112</v>
      </c>
      <c r="B2517" s="0" t="s">
        <v>98</v>
      </c>
      <c r="F2517" s="6" t="n">
        <f aca="false">Sens!F2425</f>
        <v>202.144684850544</v>
      </c>
      <c r="G2517" s="6" t="n">
        <f aca="false">Sens!G2425</f>
        <v>230.333370778858</v>
      </c>
      <c r="H2517" s="6" t="n">
        <f aca="false">Sens!H2425</f>
        <v>236.167204877415</v>
      </c>
      <c r="I2517" s="6" t="n">
        <f aca="false">Sens!I2425</f>
        <v>202.337800345932</v>
      </c>
      <c r="J2517" s="6" t="n">
        <f aca="false">Sens!J2425</f>
        <v>154.715917435129</v>
      </c>
      <c r="K2517" s="6" t="n">
        <f aca="false">Sens!K2425</f>
        <v>142.755423677679</v>
      </c>
    </row>
    <row r="2518" customFormat="false" ht="17.15" hidden="false" customHeight="false" outlineLevel="0" collapsed="false">
      <c r="A2518" s="1" t="s">
        <v>1113</v>
      </c>
      <c r="B2518" s="0" t="s">
        <v>98</v>
      </c>
      <c r="E2518" s="6" t="n">
        <f aca="false">Sens!E2433*cx_azo+Sens!E2440*cx_m365+Sens!E2441*cx_lic+(Sens!E2443+Sens!E2445)*cx_ind+Sens!E2448*cx_srch+(Sens!E2450+Sens!E2452)*cx_dev</f>
        <v>30.1846587067718</v>
      </c>
      <c r="F2518" s="6" t="n">
        <f aca="false">Sens!F2433*cx_azo+Sens!F2440*cx_m365+Sens!F2441*cx_lic+(Sens!F2443+Sens!F2445)*cx_ind+Sens!F2448*cx_srch+(Sens!F2450+Sens!F2452)*cx_dev</f>
        <v>35.826059073302</v>
      </c>
      <c r="G2518" s="6" t="n">
        <f aca="false">Sens!G2433*cx_azo+Sens!G2440*cx_m365+Sens!G2441*cx_lic+(Sens!G2443+Sens!G2445)*cx_ind+Sens!G2448*cx_srch+(Sens!G2450+Sens!G2452)*cx_dev</f>
        <v>41.1810223408732</v>
      </c>
      <c r="H2518" s="6" t="n">
        <f aca="false">Sens!H2433*cx_azo+Sens!H2440*cx_m365+Sens!H2441*cx_lic+(Sens!H2443+Sens!H2445)*cx_ind+Sens!H2448*cx_srch+(Sens!H2450+Sens!H2452)*cx_dev</f>
        <v>46.6224564499022</v>
      </c>
      <c r="I2518" s="6" t="n">
        <f aca="false">Sens!I2433*cx_azo+Sens!I2440*cx_m365+Sens!I2441*cx_lic+(Sens!I2443+Sens!I2445)*cx_ind+Sens!I2448*cx_srch+(Sens!I2450+Sens!I2452)*cx_dev</f>
        <v>51.8642866327854</v>
      </c>
      <c r="J2518" s="6" t="n">
        <f aca="false">Sens!J2433*cx_azo+Sens!J2440*cx_m365+Sens!J2441*cx_lic+(Sens!J2443+Sens!J2445)*cx_ind+Sens!J2448*cx_srch+(Sens!J2450+Sens!J2452)*cx_dev</f>
        <v>56.6690324702225</v>
      </c>
      <c r="K2518" s="6" t="n">
        <f aca="false">Sens!K2433*cx_azo+Sens!K2440*cx_m365+Sens!K2441*cx_lic+(Sens!K2443+Sens!K2445)*cx_ind+Sens!K2448*cx_srch+(Sens!K2450+Sens!K2452)*cx_dev</f>
        <v>60.866346548376</v>
      </c>
    </row>
    <row r="2519" customFormat="false" ht="17.15" hidden="false" customHeight="false" outlineLevel="0" collapsed="false">
      <c r="A2519" s="0" t="s">
        <v>1114</v>
      </c>
      <c r="B2519" s="0" t="s">
        <v>98</v>
      </c>
      <c r="F2519" s="6" t="n">
        <f aca="false">Sens!F2423</f>
        <v>0</v>
      </c>
      <c r="L2519" s="1" t="s">
        <v>1115</v>
      </c>
    </row>
    <row r="2520" customFormat="false" ht="17.15" hidden="false" customHeight="false" outlineLevel="0" collapsed="false">
      <c r="A2520" s="1" t="s">
        <v>1116</v>
      </c>
      <c r="B2520" s="0" t="s">
        <v>98</v>
      </c>
      <c r="E2520" s="6" t="n">
        <f aca="false">Q!M43</f>
        <v>145.3</v>
      </c>
      <c r="F2520" s="6" t="n">
        <f aca="false">Sens!F2517+Sens!F2518+Sens!F2519</f>
        <v>237.970743923846</v>
      </c>
      <c r="G2520" s="6" t="n">
        <f aca="false">Sens!G2517+Sens!G2518</f>
        <v>271.514393119731</v>
      </c>
      <c r="H2520" s="6" t="n">
        <f aca="false">Sens!H2517+Sens!H2518</f>
        <v>282.789661327317</v>
      </c>
      <c r="I2520" s="6" t="n">
        <f aca="false">Sens!I2517+Sens!I2518</f>
        <v>254.202086978718</v>
      </c>
      <c r="J2520" s="6" t="n">
        <f aca="false">Sens!J2517+Sens!J2518</f>
        <v>211.384949905351</v>
      </c>
      <c r="K2520" s="6" t="n">
        <f aca="false">Sens!K2517+Sens!K2518</f>
        <v>203.621770226055</v>
      </c>
      <c r="L2520" s="1" t="s">
        <v>1117</v>
      </c>
    </row>
    <row r="2521" customFormat="false" ht="15" hidden="false" customHeight="false" outlineLevel="0" collapsed="false">
      <c r="A2521" s="1" t="s">
        <v>1118</v>
      </c>
      <c r="B2521" s="0" t="s">
        <v>98</v>
      </c>
      <c r="E2521" s="6" t="n">
        <f aca="false">fl_liab</f>
        <v>66.594</v>
      </c>
      <c r="F2521" s="6" t="n">
        <f aca="false">Sens!E2521-Sens!F2522</f>
        <v>62.46973</v>
      </c>
      <c r="G2521" s="6" t="n">
        <f aca="false">Sens!F2521-Sens!G2522</f>
        <v>57.98686785</v>
      </c>
      <c r="H2521" s="6" t="n">
        <f aca="false">Sens!G2521-Sens!H2522</f>
        <v>53.92827690325</v>
      </c>
      <c r="I2521" s="6" t="n">
        <f aca="false">Sens!H2521-Sens!I2522</f>
        <v>49.7850493638962</v>
      </c>
      <c r="J2521" s="6" t="n">
        <f aca="false">Sens!I2521-Sens!J2522</f>
        <v>45.4823765852716</v>
      </c>
      <c r="K2521" s="6" t="n">
        <f aca="false">Sens!J2521-Sens!K2522</f>
        <v>40.9860835316088</v>
      </c>
    </row>
    <row r="2522" customFormat="false" ht="15" hidden="false" customHeight="false" outlineLevel="0" collapsed="false">
      <c r="A2522" s="1" t="s">
        <v>1119</v>
      </c>
      <c r="B2522" s="0" t="s">
        <v>98</v>
      </c>
      <c r="F2522" s="6" t="n">
        <f aca="false">fl_pay_27-Sens!E2521*fl_rate</f>
        <v>4.12427</v>
      </c>
      <c r="G2522" s="6" t="n">
        <f aca="false">fl_pay_28-Sens!F2521*fl_rate</f>
        <v>4.48286215</v>
      </c>
      <c r="H2522" s="6" t="n">
        <f aca="false">fl_pay_29-Sens!G2521*fl_rate</f>
        <v>4.05859094675</v>
      </c>
      <c r="I2522" s="6" t="n">
        <f aca="false">fl_pay_30-Sens!H2521*fl_rate</f>
        <v>4.14322753935375</v>
      </c>
      <c r="J2522" s="6" t="n">
        <f aca="false">fl_pay_31-Sens!I2521*fl_rate</f>
        <v>4.30267277862467</v>
      </c>
      <c r="K2522" s="6" t="n">
        <f aca="false">fl_pay_32-Sens!J2521*fl_rate</f>
        <v>4.49629305366278</v>
      </c>
    </row>
    <row r="2523" customFormat="false" ht="17.15" hidden="false" customHeight="false" outlineLevel="0" collapsed="false">
      <c r="A2523" s="1" t="s">
        <v>1120</v>
      </c>
      <c r="B2523" s="0" t="s">
        <v>98</v>
      </c>
      <c r="E2523" s="6" t="n">
        <f aca="false">Q!M35-Q!M36-Q!M44</f>
        <v>63.886</v>
      </c>
      <c r="F2523" s="6" t="n">
        <f aca="false">Sens!F2516-Sens!F2520-Sens!F2522</f>
        <v>-24.6899155624821</v>
      </c>
      <c r="G2523" s="6" t="n">
        <f aca="false">Sens!G2516-Sens!G2520-Sens!G2522</f>
        <v>-28.5913315385476</v>
      </c>
      <c r="H2523" s="6" t="n">
        <f aca="false">Sens!H2516-Sens!H2520-Sens!H2522</f>
        <v>-4.88495258494666</v>
      </c>
      <c r="I2523" s="6" t="n">
        <f aca="false">Sens!I2516-Sens!I2520-Sens!I2522</f>
        <v>61.778244365741</v>
      </c>
      <c r="J2523" s="6" t="n">
        <f aca="false">Sens!J2516-Sens!J2520-Sens!J2522</f>
        <v>136.59342786561</v>
      </c>
      <c r="K2523" s="6" t="n">
        <f aca="false">Sens!K2516-Sens!K2520-Sens!K2522</f>
        <v>170.658640774822</v>
      </c>
      <c r="L2523" s="12" t="s">
        <v>1121</v>
      </c>
    </row>
    <row r="2524" customFormat="false" ht="15" hidden="false" customHeight="false" outlineLevel="0" collapsed="false">
      <c r="A2524" s="1" t="s">
        <v>1122</v>
      </c>
      <c r="B2524" s="0" t="s">
        <v>75</v>
      </c>
      <c r="F2524" s="8" t="n">
        <f aca="false">dps_27</f>
        <v>3.85</v>
      </c>
      <c r="G2524" s="8" t="n">
        <f aca="false">Sens!F2524*(1+dps_g)</f>
        <v>4.158</v>
      </c>
      <c r="H2524" s="8" t="n">
        <f aca="false">Sens!G2524*(1+dps_g)</f>
        <v>4.49064</v>
      </c>
      <c r="I2524" s="8" t="n">
        <f aca="false">Sens!H2524*(1+dps_g)</f>
        <v>4.8498912</v>
      </c>
      <c r="J2524" s="8" t="n">
        <f aca="false">Sens!I2524*(1+dps_g)</f>
        <v>5.237882496</v>
      </c>
      <c r="K2524" s="8" t="n">
        <f aca="false">Sens!J2524*(1+dps_g)</f>
        <v>5.65691309568</v>
      </c>
    </row>
    <row r="2525" customFormat="false" ht="17.15" hidden="false" customHeight="false" outlineLevel="0" collapsed="false">
      <c r="A2525" s="1" t="s">
        <v>1123</v>
      </c>
      <c r="B2525" s="0" t="s">
        <v>98</v>
      </c>
      <c r="E2525" s="6" t="n">
        <f aca="false">Q!M41</f>
        <v>26.445</v>
      </c>
      <c r="F2525" s="6" t="n">
        <f aca="false">Sens!F2524*Sens!E2534</f>
        <v>28.59395</v>
      </c>
      <c r="G2525" s="6" t="n">
        <f aca="false">Sens!G2524*Sens!F2534</f>
        <v>31.068576</v>
      </c>
      <c r="H2525" s="6" t="n">
        <f aca="false">Sens!H2524*Sens!G2534</f>
        <v>33.75614088</v>
      </c>
      <c r="I2525" s="6" t="n">
        <f aca="false">Sens!I2524*Sens!H2534</f>
        <v>36.6748772544</v>
      </c>
      <c r="J2525" s="6" t="n">
        <f aca="false">Sens!J2524*Sens!I2534</f>
        <v>39.6767653201446</v>
      </c>
      <c r="K2525" s="6" t="n">
        <f aca="false">Sens!K2524*Sens!J2534</f>
        <v>42.9376608081345</v>
      </c>
      <c r="L2525" s="1" t="s">
        <v>1124</v>
      </c>
    </row>
    <row r="2526" customFormat="false" ht="15" hidden="false" customHeight="false" outlineLevel="0" collapsed="false">
      <c r="A2526" s="1" t="s">
        <v>1125</v>
      </c>
      <c r="B2526" s="0" t="s">
        <v>98</v>
      </c>
      <c r="E2526" s="6" t="n">
        <f aca="false">Sens!E2523-Sens!E2525</f>
        <v>37.441</v>
      </c>
      <c r="F2526" s="6" t="n">
        <f aca="false">Sens!F2523-Sens!F2525</f>
        <v>-53.2838655624821</v>
      </c>
      <c r="G2526" s="6" t="n">
        <f aca="false">Sens!G2523-Sens!G2525</f>
        <v>-59.6599075385476</v>
      </c>
      <c r="H2526" s="6" t="n">
        <f aca="false">Sens!H2523-Sens!H2525</f>
        <v>-38.6410934649467</v>
      </c>
      <c r="I2526" s="6" t="n">
        <f aca="false">Sens!I2523-Sens!I2525</f>
        <v>25.103367111341</v>
      </c>
      <c r="J2526" s="6" t="n">
        <f aca="false">Sens!J2523-Sens!J2525</f>
        <v>96.9166625454655</v>
      </c>
      <c r="K2526" s="6" t="n">
        <f aca="false">Sens!K2523-Sens!K2525</f>
        <v>127.720979966688</v>
      </c>
    </row>
    <row r="2527" customFormat="false" ht="15" hidden="false" customHeight="false" outlineLevel="0" collapsed="false">
      <c r="A2527" s="1" t="s">
        <v>1126</v>
      </c>
      <c r="B2527" s="0" t="s">
        <v>98</v>
      </c>
      <c r="F2527" s="6" t="n">
        <f aca="false">debt_mat_27</f>
        <v>9.25</v>
      </c>
      <c r="G2527" s="6" t="n">
        <f aca="false">debt_mat_28</f>
        <v>0</v>
      </c>
      <c r="H2527" s="6" t="n">
        <f aca="false">debt_mat_29</f>
        <v>2.001</v>
      </c>
      <c r="I2527" s="6" t="n">
        <f aca="false">debt_mat_30</f>
        <v>0</v>
      </c>
      <c r="J2527" s="6" t="n">
        <f aca="false">debt_mat_31</f>
        <v>0.5</v>
      </c>
      <c r="K2527" s="6" t="n">
        <f aca="false">debt_mat_32</f>
        <v>0</v>
      </c>
    </row>
    <row r="2528" customFormat="false" ht="15" hidden="false" customHeight="false" outlineLevel="0" collapsed="false">
      <c r="A2528" s="1" t="s">
        <v>1127</v>
      </c>
      <c r="B2528" s="0" t="s">
        <v>98</v>
      </c>
      <c r="E2528" s="6" t="n">
        <f aca="false">Q!M40</f>
        <v>22.271</v>
      </c>
      <c r="F2528" s="6" t="n">
        <f aca="false">MAX(0,MIN(bb_target,Sens!E2530+Sens!F2526-Sens!F2527-min_cash))</f>
        <v>0</v>
      </c>
      <c r="G2528" s="6" t="n">
        <f aca="false">MAX(0,MIN(bb_target,Sens!F2530+Sens!G2526-Sens!G2527-min_cash))</f>
        <v>0</v>
      </c>
      <c r="H2528" s="6" t="n">
        <f aca="false">MAX(0,MIN(bb_target,Sens!G2530+Sens!H2526-Sens!H2527-min_cash))</f>
        <v>0</v>
      </c>
      <c r="I2528" s="6" t="n">
        <f aca="false">MAX(0,MIN(bb_target,Sens!H2530+Sens!I2526-Sens!I2527-min_cash))</f>
        <v>22.271</v>
      </c>
      <c r="J2528" s="6" t="n">
        <f aca="false">MAX(0,MIN(bb_target,Sens!I2530+Sens!J2526-Sens!J2527-min_cash))</f>
        <v>22.271</v>
      </c>
      <c r="K2528" s="6" t="n">
        <f aca="false">MAX(0,MIN(bb_target,Sens!J2530+Sens!K2526-Sens!K2527-min_cash))</f>
        <v>22.271</v>
      </c>
    </row>
    <row r="2529" customFormat="false" ht="15" hidden="false" customHeight="false" outlineLevel="0" collapsed="false">
      <c r="A2529" s="1" t="s">
        <v>1128</v>
      </c>
      <c r="B2529" s="0" t="s">
        <v>98</v>
      </c>
      <c r="F2529" s="6" t="n">
        <f aca="false">MAX(0,min_cash-(Sens!E2530+Sens!F2526-Sens!F2527-Sens!F2528))</f>
        <v>35.6908655624821</v>
      </c>
      <c r="G2529" s="6" t="n">
        <f aca="false">MAX(0,min_cash-(Sens!F2530+Sens!G2526-Sens!G2527-Sens!G2528))</f>
        <v>59.6599075385476</v>
      </c>
      <c r="H2529" s="6" t="n">
        <f aca="false">MAX(0,min_cash-(Sens!G2530+Sens!H2526-Sens!H2527-Sens!H2528))</f>
        <v>40.6420934649467</v>
      </c>
      <c r="I2529" s="6" t="n">
        <f aca="false">MAX(0,min_cash-(Sens!H2530+Sens!I2526-Sens!I2527-Sens!I2528))</f>
        <v>0</v>
      </c>
      <c r="J2529" s="6" t="n">
        <f aca="false">MAX(0,min_cash-(Sens!I2530+Sens!J2526-Sens!J2527-Sens!J2528))</f>
        <v>0</v>
      </c>
      <c r="K2529" s="6" t="n">
        <f aca="false">MAX(0,min_cash-(Sens!J2530+Sens!K2526-Sens!K2527-Sens!K2528))</f>
        <v>0</v>
      </c>
    </row>
    <row r="2530" customFormat="false" ht="15" hidden="false" customHeight="false" outlineLevel="0" collapsed="false">
      <c r="A2530" s="1" t="s">
        <v>1129</v>
      </c>
      <c r="B2530" s="0" t="s">
        <v>98</v>
      </c>
      <c r="E2530" s="6" t="n">
        <f aca="false">cash_open</f>
        <v>76.843</v>
      </c>
      <c r="F2530" s="6" t="n">
        <f aca="false">Sens!E2530+Sens!F2526-Sens!F2527-Sens!F2528+Sens!F2529</f>
        <v>50</v>
      </c>
      <c r="G2530" s="6" t="n">
        <f aca="false">Sens!F2530+Sens!G2526-Sens!G2527-Sens!G2528+Sens!G2529</f>
        <v>50</v>
      </c>
      <c r="H2530" s="6" t="n">
        <f aca="false">Sens!G2530+Sens!H2526-Sens!H2527-Sens!H2528+Sens!H2529</f>
        <v>50</v>
      </c>
      <c r="I2530" s="6" t="n">
        <f aca="false">Sens!H2530+Sens!I2526-Sens!I2527-Sens!I2528+Sens!I2529</f>
        <v>52.832367111341</v>
      </c>
      <c r="J2530" s="6" t="n">
        <f aca="false">Sens!I2530+Sens!J2526-Sens!J2527-Sens!J2528+Sens!J2529</f>
        <v>126.978029656807</v>
      </c>
      <c r="K2530" s="6" t="n">
        <f aca="false">Sens!J2530+Sens!K2526-Sens!K2527-Sens!K2528+Sens!K2529</f>
        <v>232.428009623494</v>
      </c>
    </row>
    <row r="2531" customFormat="false" ht="15" hidden="false" customHeight="false" outlineLevel="0" collapsed="false">
      <c r="A2531" s="1" t="s">
        <v>1130</v>
      </c>
      <c r="B2531" s="0" t="s">
        <v>98</v>
      </c>
      <c r="E2531" s="6" t="n">
        <f aca="false">debt_face</f>
        <v>46.136</v>
      </c>
      <c r="F2531" s="6" t="n">
        <f aca="false">Sens!E2531-Sens!F2527+Sens!F2529</f>
        <v>72.5768655624821</v>
      </c>
      <c r="G2531" s="6" t="n">
        <f aca="false">Sens!F2531-Sens!G2527+Sens!G2529</f>
        <v>132.23677310103</v>
      </c>
      <c r="H2531" s="6" t="n">
        <f aca="false">Sens!G2531-Sens!H2527+Sens!H2529</f>
        <v>170.877866565976</v>
      </c>
      <c r="I2531" s="6" t="n">
        <f aca="false">Sens!H2531-Sens!I2527+Sens!I2529</f>
        <v>170.877866565976</v>
      </c>
      <c r="J2531" s="6" t="n">
        <f aca="false">Sens!I2531-Sens!J2527+Sens!J2529</f>
        <v>170.377866565976</v>
      </c>
      <c r="K2531" s="6" t="n">
        <f aca="false">Sens!J2531-Sens!K2527+Sens!K2529</f>
        <v>170.377866565976</v>
      </c>
    </row>
    <row r="2532" customFormat="false" ht="15" hidden="false" customHeight="false" outlineLevel="0" collapsed="false">
      <c r="A2532" s="1" t="s">
        <v>1131</v>
      </c>
      <c r="B2532" s="0" t="s">
        <v>98</v>
      </c>
      <c r="E2532" s="6" t="n">
        <f aca="false">Sens!E2530-Sens!E2531</f>
        <v>30.707</v>
      </c>
      <c r="F2532" s="6" t="n">
        <f aca="false">Sens!F2530-Sens!F2531</f>
        <v>-22.5768655624821</v>
      </c>
      <c r="G2532" s="6" t="n">
        <f aca="false">Sens!G2530-Sens!G2531</f>
        <v>-82.2367731010297</v>
      </c>
      <c r="H2532" s="6" t="n">
        <f aca="false">Sens!H2530-Sens!H2531</f>
        <v>-120.877866565976</v>
      </c>
      <c r="I2532" s="6" t="n">
        <f aca="false">Sens!I2530-Sens!I2531</f>
        <v>-118.045499454635</v>
      </c>
      <c r="J2532" s="6" t="n">
        <f aca="false">Sens!J2530-Sens!J2531</f>
        <v>-43.3998369091699</v>
      </c>
      <c r="K2532" s="6" t="n">
        <f aca="false">Sens!K2530-Sens!K2531</f>
        <v>62.0501430575179</v>
      </c>
    </row>
    <row r="2533" customFormat="false" ht="15" hidden="false" customHeight="false" outlineLevel="0" collapsed="false">
      <c r="A2533" s="1" t="s">
        <v>1132</v>
      </c>
      <c r="B2533" s="0" t="s">
        <v>75</v>
      </c>
      <c r="F2533" s="30" t="n">
        <f aca="false">px*(1+bb_g)^(Sens!F2391-base_fy-mid_yr)</f>
        <v>551.84177959629</v>
      </c>
      <c r="G2533" s="30" t="n">
        <f aca="false">px*(1+bb_g)^(Sens!G2391-base_fy-mid_yr)</f>
        <v>595.989121963993</v>
      </c>
      <c r="H2533" s="30" t="n">
        <f aca="false">px*(1+bb_g)^(Sens!H2391-base_fy-mid_yr)</f>
        <v>643.668251721112</v>
      </c>
      <c r="I2533" s="30" t="n">
        <f aca="false">px*(1+bb_g)^(Sens!I2391-base_fy-mid_yr)</f>
        <v>695.161711858801</v>
      </c>
      <c r="J2533" s="30" t="n">
        <f aca="false">px*(1+bb_g)^(Sens!J2391-base_fy-mid_yr)</f>
        <v>750.774648807506</v>
      </c>
      <c r="K2533" s="30" t="n">
        <f aca="false">px*(1+bb_g)^(Sens!K2391-base_fy-mid_yr)</f>
        <v>810.836620712106</v>
      </c>
    </row>
    <row r="2534" customFormat="false" ht="15" hidden="false" customHeight="false" outlineLevel="0" collapsed="false">
      <c r="A2534" s="1" t="s">
        <v>1133</v>
      </c>
      <c r="B2534" s="1" t="s">
        <v>81</v>
      </c>
      <c r="E2534" s="15" t="n">
        <f aca="false">sh_out26</f>
        <v>7.427</v>
      </c>
      <c r="F2534" s="15" t="n">
        <f aca="false">Sens!E2534+sh_iss-Sens!F2528/Sens!F2533</f>
        <v>7.472</v>
      </c>
      <c r="G2534" s="15" t="n">
        <f aca="false">Sens!F2534+sh_iss-Sens!G2528/Sens!G2533</f>
        <v>7.517</v>
      </c>
      <c r="H2534" s="15" t="n">
        <f aca="false">Sens!G2534+sh_iss-Sens!H2528/Sens!H2533</f>
        <v>7.562</v>
      </c>
      <c r="I2534" s="15" t="n">
        <f aca="false">Sens!H2534+sh_iss-Sens!I2528/Sens!I2533</f>
        <v>7.57496285005334</v>
      </c>
      <c r="J2534" s="15" t="n">
        <f aca="false">Sens!I2534+sh_iss-Sens!J2528/Sens!J2533</f>
        <v>7.59029882232494</v>
      </c>
      <c r="K2534" s="15" t="n">
        <f aca="false">Sens!J2534+sh_iss-Sens!K2528/Sens!K2533</f>
        <v>7.60783212998384</v>
      </c>
    </row>
    <row r="2535" customFormat="false" ht="15" hidden="false" customHeight="false" outlineLevel="0" collapsed="false">
      <c r="A2535" s="1" t="s">
        <v>1134</v>
      </c>
      <c r="B2535" s="1" t="s">
        <v>81</v>
      </c>
      <c r="E2535" s="15" t="n">
        <f aca="false">sh_dil26</f>
        <v>7.453</v>
      </c>
      <c r="F2535" s="15" t="n">
        <f aca="false">(Sens!E2534+Sens!F2534)/2+dil_gap</f>
        <v>7.4735</v>
      </c>
      <c r="G2535" s="15" t="n">
        <f aca="false">(Sens!F2534+Sens!G2534)/2+dil_gap</f>
        <v>7.5185</v>
      </c>
      <c r="H2535" s="15" t="n">
        <f aca="false">(Sens!G2534+Sens!H2534)/2+dil_gap</f>
        <v>7.5635</v>
      </c>
      <c r="I2535" s="15" t="n">
        <f aca="false">(Sens!H2534+Sens!I2534)/2+dil_gap</f>
        <v>7.59248142502667</v>
      </c>
      <c r="J2535" s="15" t="n">
        <f aca="false">(Sens!I2534+Sens!J2534)/2+dil_gap</f>
        <v>7.60663083618914</v>
      </c>
      <c r="K2535" s="15" t="n">
        <f aca="false">(Sens!J2534+Sens!K2534)/2+dil_gap</f>
        <v>7.62306547615439</v>
      </c>
    </row>
    <row r="2536" customFormat="false" ht="17.15" hidden="false" customHeight="false" outlineLevel="0" collapsed="false">
      <c r="A2536" s="1" t="s">
        <v>1135</v>
      </c>
      <c r="B2536" s="0" t="s">
        <v>98</v>
      </c>
      <c r="C2536" s="6" t="n">
        <f aca="false">SUM(Sens!F2526:J2526)</f>
        <v>-29.5648369091699</v>
      </c>
    </row>
    <row r="2537" customFormat="false" ht="15" hidden="false" customHeight="false" outlineLevel="0" collapsed="false">
      <c r="A2537" s="26" t="s">
        <v>1100</v>
      </c>
      <c r="B2537" s="31" t="s">
        <v>98</v>
      </c>
      <c r="C2537" s="27" t="n">
        <f aca="false">Sens!$C$2536-(Sens!F2526+Sens!G2526+Sens!H2526+Sens!I2526+Sens!J2526)</f>
        <v>0</v>
      </c>
      <c r="D2537" s="31"/>
      <c r="E2537" s="31"/>
      <c r="F2537" s="31"/>
      <c r="G2537" s="31"/>
      <c r="H2537" s="31"/>
      <c r="I2537" s="31"/>
      <c r="J2537" s="31"/>
      <c r="K2537" s="31"/>
    </row>
    <row r="2538" customFormat="false" ht="17.15" hidden="false" customHeight="false" outlineLevel="0" collapsed="false">
      <c r="A2538" s="1" t="s">
        <v>1094</v>
      </c>
      <c r="B2538" s="1" t="s">
        <v>1136</v>
      </c>
      <c r="C2538" s="33" t="str">
        <f aca="false">IF(SUM(Sens!F2529:J2529)&gt;0.05,"需要舉債 "&amp;TEXT(SUM(Sens!F2529:J2529),"0.0")&amp;" 十億美元","不需舉債")&amp;"；"&amp;IF(SUM(Sens!F2528:J2528)&lt;COUNT(Sens!F2528:J2528)*bb_target-0.05,"回購較每年 "&amp;TEXT(bb_target,"0.0")&amp;" 的目標少 "&amp;TEXT(COUNT(Sens!F2528:J2528)*bb_target-SUM(Sens!F2528:J2528),"0.0")&amp;" 十億美元（"&amp;TEXT(COUNTIF(Sens!F2528:J2528,"&lt;"&amp;(bb_target-0.05)),"0")&amp;" 年減少）","回購不減")</f>
        <v>需要舉債 136.0 十億美元；回購較每年 22.3 的目標少 66.8 十億美元（3 年減少）</v>
      </c>
    </row>
    <row r="2539" customFormat="false" ht="17.15" hidden="false" customHeight="false" outlineLevel="0" collapsed="false">
      <c r="A2539" s="3" t="s">
        <v>1674</v>
      </c>
    </row>
    <row r="2540" customFormat="false" ht="15" hidden="false" customHeight="false" outlineLevel="0" collapsed="false">
      <c r="A2540" s="4" t="s">
        <v>43</v>
      </c>
      <c r="B2540" s="4" t="s">
        <v>65</v>
      </c>
      <c r="C2540" s="23" t="s">
        <v>942</v>
      </c>
      <c r="D2540" s="23" t="s">
        <v>943</v>
      </c>
      <c r="E2540" s="23" t="s">
        <v>944</v>
      </c>
      <c r="F2540" s="23" t="s">
        <v>945</v>
      </c>
      <c r="G2540" s="23" t="s">
        <v>946</v>
      </c>
      <c r="H2540" s="23" t="s">
        <v>947</v>
      </c>
      <c r="I2540" s="23" t="s">
        <v>948</v>
      </c>
      <c r="J2540" s="23" t="s">
        <v>949</v>
      </c>
      <c r="K2540" s="23" t="s">
        <v>950</v>
      </c>
      <c r="L2540" s="4" t="s">
        <v>47</v>
      </c>
    </row>
    <row r="2541" customFormat="false" ht="17.15" hidden="false" customHeight="false" outlineLevel="0" collapsed="false">
      <c r="A2541" s="1" t="s">
        <v>1216</v>
      </c>
      <c r="B2541" s="1" t="s">
        <v>279</v>
      </c>
      <c r="F2541" s="8" t="n">
        <f aca="false">(1-v_off)*mid_yr</f>
        <v>0.373972602739726</v>
      </c>
      <c r="G2541" s="8" t="n">
        <f aca="false">Sens!G2391-base_fy-mid_yr-v_off</f>
        <v>1.24794520547945</v>
      </c>
      <c r="H2541" s="8" t="n">
        <f aca="false">Sens!H2391-base_fy-mid_yr-v_off</f>
        <v>2.24794520547945</v>
      </c>
      <c r="I2541" s="8" t="n">
        <f aca="false">Sens!I2391-base_fy-mid_yr-v_off</f>
        <v>3.24794520547945</v>
      </c>
      <c r="J2541" s="8" t="n">
        <f aca="false">Sens!J2391-base_fy-mid_yr-v_off</f>
        <v>4.24794520547945</v>
      </c>
      <c r="K2541" s="8" t="n">
        <f aca="false">Sens!K2391-base_fy-mid_yr-v_off</f>
        <v>5.24794520547945</v>
      </c>
      <c r="L2541" s="12" t="s">
        <v>1217</v>
      </c>
    </row>
    <row r="2542" customFormat="false" ht="15" hidden="false" customHeight="false" outlineLevel="0" collapsed="false">
      <c r="A2542" s="1" t="s">
        <v>1218</v>
      </c>
      <c r="B2542" s="1" t="s">
        <v>279</v>
      </c>
      <c r="F2542" s="8" t="n">
        <f aca="false">Sens!F2391-base_fy-v_off</f>
        <v>0.747945205479452</v>
      </c>
      <c r="G2542" s="8" t="n">
        <f aca="false">Sens!G2391-base_fy-v_off</f>
        <v>1.74794520547945</v>
      </c>
      <c r="H2542" s="8" t="n">
        <f aca="false">Sens!H2391-base_fy-v_off</f>
        <v>2.74794520547945</v>
      </c>
      <c r="I2542" s="8" t="n">
        <f aca="false">Sens!I2391-base_fy-v_off</f>
        <v>3.74794520547945</v>
      </c>
      <c r="J2542" s="8" t="n">
        <f aca="false">Sens!J2391-base_fy-v_off</f>
        <v>4.74794520547945</v>
      </c>
      <c r="K2542" s="8" t="n">
        <f aca="false">Sens!K2391-base_fy-v_off</f>
        <v>5.74794520547945</v>
      </c>
    </row>
    <row r="2543" customFormat="false" ht="15" hidden="false" customHeight="false" outlineLevel="0" collapsed="false">
      <c r="A2543" s="1" t="s">
        <v>1219</v>
      </c>
      <c r="B2543" s="0" t="s">
        <v>229</v>
      </c>
      <c r="F2543" s="15" t="n">
        <f aca="false">1/(1+wacc)^Sens!F2541</f>
        <v>0.964022703286649</v>
      </c>
      <c r="G2543" s="15" t="n">
        <f aca="false">1/(1+wacc)^Sens!G2541</f>
        <v>0.884910302296739</v>
      </c>
      <c r="H2543" s="15" t="n">
        <f aca="false">1/(1+wacc)^Sens!H2541</f>
        <v>0.802322009770358</v>
      </c>
      <c r="I2543" s="15" t="n">
        <f aca="false">1/(1+wacc)^Sens!I2541</f>
        <v>0.727441646561469</v>
      </c>
      <c r="J2543" s="15" t="n">
        <f aca="false">1/(1+wacc)^Sens!J2541</f>
        <v>0.659549834988973</v>
      </c>
      <c r="K2543" s="15" t="n">
        <f aca="false">1/(1+wacc)^Sens!K2541</f>
        <v>0.597994336576966</v>
      </c>
    </row>
    <row r="2544" customFormat="false" ht="17.15" hidden="false" customHeight="false" outlineLevel="0" collapsed="false">
      <c r="A2544" s="1" t="s">
        <v>1220</v>
      </c>
      <c r="B2544" s="0" t="s">
        <v>98</v>
      </c>
      <c r="F2544" s="6" t="n">
        <f aca="false">Q!$I$35-Q!$I$39-Q!$I$43</f>
        <v>9.666</v>
      </c>
      <c r="L2544" s="12" t="s">
        <v>1221</v>
      </c>
    </row>
    <row r="2545" customFormat="false" ht="17.15" hidden="false" customHeight="false" outlineLevel="0" collapsed="false">
      <c r="A2545" s="1" t="s">
        <v>1222</v>
      </c>
      <c r="B2545" s="0" t="s">
        <v>98</v>
      </c>
      <c r="F2545" s="6" t="n">
        <f aca="false">Sens!F2516-Sens!F2513-Sens!F2520+Sens!F2498*(1-tax_f)*(1-v_off)-Sens!F2544</f>
        <v>-34.6336829694466</v>
      </c>
      <c r="G2545" s="6" t="n">
        <f aca="false">Sens!G2516-Sens!G2513-Sens!G2520+Sens!G2498*(1-tax_f)</f>
        <v>-6.10101812400942</v>
      </c>
      <c r="H2545" s="6" t="n">
        <f aca="false">Sens!H2516-Sens!H2513-Sens!H2520+Sens!H2498*(1-tax_f)</f>
        <v>38.0281730254998</v>
      </c>
      <c r="I2545" s="6" t="n">
        <f aca="false">Sens!I2516-Sens!I2513-Sens!I2520+Sens!I2498*(1-tax_f)</f>
        <v>122.945653953377</v>
      </c>
      <c r="J2545" s="6" t="n">
        <f aca="false">Sens!J2516-Sens!J2513-Sens!J2520+Sens!J2498*(1-tax_f)</f>
        <v>210.222617378872</v>
      </c>
      <c r="K2545" s="6" t="n">
        <f aca="false">Sens!K2516-Sens!K2513-Sens!K2520+Sens!K2498*(1-tax_f)</f>
        <v>251.266258221871</v>
      </c>
      <c r="L2545" s="1" t="s">
        <v>1223</v>
      </c>
    </row>
    <row r="2546" customFormat="false" ht="15" hidden="false" customHeight="false" outlineLevel="0" collapsed="false">
      <c r="A2546" s="1" t="s">
        <v>1224</v>
      </c>
      <c r="B2546" s="0" t="s">
        <v>98</v>
      </c>
      <c r="F2546" s="6" t="n">
        <f aca="false">Sens!F2545*Sens!F2543</f>
        <v>-33.3876566809787</v>
      </c>
      <c r="G2546" s="6" t="n">
        <f aca="false">Sens!G2545*Sens!G2543</f>
        <v>-5.39885379243506</v>
      </c>
      <c r="H2546" s="6" t="n">
        <f aca="false">Sens!H2545*Sens!H2543</f>
        <v>30.5108402097139</v>
      </c>
      <c r="I2546" s="6" t="n">
        <f aca="false">Sens!I2545*Sens!I2543</f>
        <v>89.4357889494208</v>
      </c>
      <c r="J2546" s="6" t="n">
        <f aca="false">Sens!J2545*Sens!J2543</f>
        <v>138.652292603185</v>
      </c>
      <c r="K2546" s="6" t="n">
        <f aca="false">Sens!K2545*Sens!K2543</f>
        <v>150.255799389564</v>
      </c>
    </row>
    <row r="2547" customFormat="false" ht="17.15" hidden="false" customHeight="false" outlineLevel="0" collapsed="false">
      <c r="A2547" s="1" t="s">
        <v>1225</v>
      </c>
      <c r="B2547" s="0" t="s">
        <v>98</v>
      </c>
      <c r="C2547" s="6" t="n">
        <f aca="false">SUM(Sens!F2546:K2546)</f>
        <v>370.06821067847</v>
      </c>
    </row>
    <row r="2548" customFormat="false" ht="17.15" hidden="false" customHeight="false" outlineLevel="0" collapsed="false">
      <c r="A2548" s="1" t="s">
        <v>1226</v>
      </c>
      <c r="B2548" s="0" t="s">
        <v>98</v>
      </c>
      <c r="C2548" s="6" t="n">
        <f aca="false">Sens!K2484*(1+g_tv)*(1-tax_f)</f>
        <v>258.065160273469</v>
      </c>
    </row>
    <row r="2549" customFormat="false" ht="17.15" hidden="false" customHeight="false" outlineLevel="0" collapsed="false">
      <c r="A2549" s="1" t="s">
        <v>1227</v>
      </c>
      <c r="B2549" s="0" t="s">
        <v>98</v>
      </c>
      <c r="C2549" s="6" t="n">
        <f aca="false">Sens!$C$2548*(1-g_tv/(wacc+ronic_prem))</f>
        <v>182.85424900193</v>
      </c>
    </row>
    <row r="2550" customFormat="false" ht="17.15" hidden="false" customHeight="false" outlineLevel="0" collapsed="false">
      <c r="A2550" s="1" t="s">
        <v>1228</v>
      </c>
      <c r="B2550" s="0" t="s">
        <v>98</v>
      </c>
      <c r="C2550" s="6" t="n">
        <f aca="false">Sens!$C$2549/(wacc-g_tv)</f>
        <v>2507.03037571798</v>
      </c>
    </row>
    <row r="2551" customFormat="false" ht="15" hidden="false" customHeight="false" outlineLevel="0" collapsed="false">
      <c r="A2551" s="1" t="s">
        <v>1229</v>
      </c>
      <c r="B2551" s="0" t="s">
        <v>98</v>
      </c>
      <c r="C2551" s="6" t="n">
        <f aca="false">Sens!$C$2550/(1+wacc)^Sens!K2542</f>
        <v>1427.51734684019</v>
      </c>
    </row>
    <row r="2552" customFormat="false" ht="17.15" hidden="false" customHeight="false" outlineLevel="0" collapsed="false">
      <c r="A2552" s="0" t="s">
        <v>1230</v>
      </c>
      <c r="B2552" s="0" t="s">
        <v>98</v>
      </c>
      <c r="C2552" s="6" t="n">
        <f aca="false">Sens!$C$2547+Sens!$C$2551</f>
        <v>1797.58555751866</v>
      </c>
    </row>
    <row r="2553" customFormat="false" ht="15" hidden="false" customHeight="false" outlineLevel="0" collapsed="false">
      <c r="A2553" s="1" t="s">
        <v>1145</v>
      </c>
      <c r="B2553" s="0" t="s">
        <v>168</v>
      </c>
      <c r="C2553" s="7" t="n">
        <f aca="false">Sens!$C$2551/Sens!$C$2552</f>
        <v>0.794130405014322</v>
      </c>
    </row>
    <row r="2554" customFormat="false" ht="17.15" hidden="false" customHeight="false" outlineLevel="0" collapsed="false">
      <c r="A2554" s="1" t="s">
        <v>1231</v>
      </c>
      <c r="B2554" s="0" t="s">
        <v>98</v>
      </c>
      <c r="C2554" s="6" t="n">
        <f aca="false">Sens!$C$2552+cash_val-debt_val-fl_val+oai_v</f>
        <v>1913.43655751866</v>
      </c>
    </row>
    <row r="2555" customFormat="false" ht="17.15" hidden="false" customHeight="false" outlineLevel="0" collapsed="false">
      <c r="A2555" s="0" t="s">
        <v>1153</v>
      </c>
      <c r="B2555" s="0" t="s">
        <v>75</v>
      </c>
      <c r="C2555" s="5" t="n">
        <f aca="false">Sens!$C$2554/shd_val</f>
        <v>256.975095019964</v>
      </c>
    </row>
    <row r="2556" customFormat="false" ht="15" hidden="false" customHeight="false" outlineLevel="0" collapsed="false">
      <c r="A2556" s="1" t="s">
        <v>1232</v>
      </c>
      <c r="B2556" s="0" t="s">
        <v>75</v>
      </c>
      <c r="C2556" s="8" t="n">
        <f aca="false">div_rem27+Sens!G2524*roll_div_q/q_per_yr</f>
        <v>3.9795</v>
      </c>
    </row>
    <row r="2557" customFormat="false" ht="17.15" hidden="false" customHeight="false" outlineLevel="0" collapsed="false">
      <c r="A2557" s="0" t="s">
        <v>1233</v>
      </c>
      <c r="B2557" s="0" t="s">
        <v>75</v>
      </c>
      <c r="C2557" s="5" t="n">
        <f aca="false">Sens!$C$2555*(1+wacc)^t_roll-Sens!$C$2556</f>
        <v>281.662660085887</v>
      </c>
    </row>
    <row r="2558" customFormat="false" ht="17.15" hidden="false" customHeight="false" outlineLevel="0" collapsed="false">
      <c r="A2558" s="1" t="s">
        <v>1234</v>
      </c>
      <c r="B2558" s="0" t="s">
        <v>168</v>
      </c>
      <c r="F2558" s="7" t="n">
        <f aca="false">Sens!F2510/(Sens!F2455-Sens!F2410)</f>
        <v>0.0601322268067008</v>
      </c>
      <c r="G2558" s="7" t="n">
        <f aca="false">Sens!G2510/(Sens!G2455-Sens!G2410)</f>
        <v>0.0594027571188596</v>
      </c>
      <c r="H2558" s="7" t="n">
        <f aca="false">Sens!H2510/(Sens!H2455-Sens!H2410)</f>
        <v>0.0595003487536948</v>
      </c>
      <c r="I2558" s="7" t="n">
        <f aca="false">Sens!I2510/(Sens!I2455-Sens!I2410)</f>
        <v>0.0603590492170413</v>
      </c>
      <c r="J2558" s="7" t="n">
        <f aca="false">Sens!J2510/(Sens!J2455-Sens!J2410)</f>
        <v>0.0618379572219219</v>
      </c>
      <c r="K2558" s="7" t="n">
        <f aca="false">Sens!K2510/(Sens!K2455-Sens!K2410)</f>
        <v>0.0637607924302534</v>
      </c>
    </row>
    <row r="2559" customFormat="false" ht="17.15" hidden="false" customHeight="false" outlineLevel="0" collapsed="false">
      <c r="A2559" s="0" t="s">
        <v>1235</v>
      </c>
      <c r="B2559" s="0" t="s">
        <v>98</v>
      </c>
      <c r="F2559" s="6" t="n">
        <f aca="false">Sens!F2440*(al_m365+Sens!F2558+sbc_r)</f>
        <v>81.9149916547024</v>
      </c>
      <c r="G2559" s="6" t="n">
        <f aca="false">Sens!G2440*(al_m365+Sens!G2558+sbc_r)</f>
        <v>92.3905037405221</v>
      </c>
      <c r="H2559" s="6" t="n">
        <f aca="false">Sens!H2440*(al_m365+Sens!H2558+sbc_r)</f>
        <v>103.022860757447</v>
      </c>
      <c r="I2559" s="6" t="n">
        <f aca="false">Sens!I2440*(al_m365+Sens!I2558+sbc_r)</f>
        <v>113.135781684969</v>
      </c>
      <c r="J2559" s="6" t="n">
        <f aca="false">Sens!J2440*(al_m365+Sens!J2558+sbc_r)</f>
        <v>122.537930175948</v>
      </c>
      <c r="K2559" s="6" t="n">
        <f aca="false">Sens!K2440*(al_m365+Sens!K2558+sbc_r)</f>
        <v>131.533993485076</v>
      </c>
      <c r="L2559" s="12" t="s">
        <v>1236</v>
      </c>
    </row>
    <row r="2560" customFormat="false" ht="17.15" hidden="false" customHeight="false" outlineLevel="0" collapsed="false">
      <c r="A2560" s="0" t="s">
        <v>1237</v>
      </c>
      <c r="B2560" s="0" t="s">
        <v>98</v>
      </c>
      <c r="F2560" s="6" t="n">
        <f aca="false">Sens!F2441*(al_lic+Sens!F2558+sbc_r)</f>
        <v>32.5319779489264</v>
      </c>
      <c r="G2560" s="6" t="n">
        <f aca="false">Sens!G2441*(al_lic+Sens!G2558+sbc_r)</f>
        <v>33.8803348921661</v>
      </c>
      <c r="H2560" s="6" t="n">
        <f aca="false">Sens!H2441*(al_lic+Sens!H2558+sbc_r)</f>
        <v>35.1297637619072</v>
      </c>
      <c r="I2560" s="6" t="n">
        <f aca="false">Sens!I2441*(al_lic+Sens!I2558+sbc_r)</f>
        <v>36.2615641221552</v>
      </c>
      <c r="J2560" s="6" t="n">
        <f aca="false">Sens!J2441*(al_lic+Sens!J2558+sbc_r)</f>
        <v>37.2542329317143</v>
      </c>
      <c r="K2560" s="6" t="n">
        <f aca="false">Sens!K2441*(al_lic+Sens!K2558+sbc_r)</f>
        <v>38.0853569900393</v>
      </c>
    </row>
    <row r="2561" customFormat="false" ht="17.15" hidden="false" customHeight="false" outlineLevel="0" collapsed="false">
      <c r="A2561" s="0" t="s">
        <v>1238</v>
      </c>
      <c r="B2561" s="0" t="s">
        <v>98</v>
      </c>
      <c r="F2561" s="6" t="n">
        <f aca="false">Sens!F2443*(al_ind+Sens!F2558+sbc_r)</f>
        <v>8.87101200431471</v>
      </c>
      <c r="G2561" s="6" t="n">
        <f aca="false">Sens!G2443*(al_ind+Sens!G2558+sbc_r)</f>
        <v>9.67932052520593</v>
      </c>
      <c r="H2561" s="6" t="n">
        <f aca="false">Sens!H2443*(al_ind+Sens!H2558+sbc_r)</f>
        <v>10.5273294964686</v>
      </c>
      <c r="I2561" s="6" t="n">
        <f aca="false">Sens!I2443*(al_ind+Sens!I2558+sbc_r)</f>
        <v>11.4105939435958</v>
      </c>
      <c r="J2561" s="6" t="n">
        <f aca="false">Sens!J2443*(al_ind+Sens!J2558+sbc_r)</f>
        <v>12.3209427438862</v>
      </c>
      <c r="K2561" s="6" t="n">
        <f aca="false">Sens!K2443*(al_ind+Sens!K2558+sbc_r)</f>
        <v>13.2469062761155</v>
      </c>
    </row>
    <row r="2562" customFormat="false" ht="17.15" hidden="false" customHeight="false" outlineLevel="0" collapsed="false">
      <c r="A2562" s="0" t="s">
        <v>1239</v>
      </c>
      <c r="B2562" s="0" t="s">
        <v>98</v>
      </c>
      <c r="F2562" s="6" t="n">
        <f aca="false">Sens!F2445*(al_fro+Sens!F2558+sbc_r)</f>
        <v>3.47973369617936</v>
      </c>
      <c r="G2562" s="6" t="n">
        <f aca="false">Sens!G2445*(al_fro+Sens!G2558+sbc_r)</f>
        <v>3.70359171419869</v>
      </c>
      <c r="H2562" s="6" t="n">
        <f aca="false">Sens!H2445*(al_fro+Sens!H2558+sbc_r)</f>
        <v>3.95350631605257</v>
      </c>
      <c r="I2562" s="6" t="n">
        <f aca="false">Sens!I2445*(al_fro+Sens!I2558+sbc_r)</f>
        <v>4.23205210272884</v>
      </c>
      <c r="J2562" s="6" t="n">
        <f aca="false">Sens!J2445*(al_fro+Sens!J2558+sbc_r)</f>
        <v>4.54119189785941</v>
      </c>
      <c r="K2562" s="6" t="n">
        <f aca="false">Sens!K2445*(al_fro+Sens!K2558+sbc_r)</f>
        <v>4.88247893876865</v>
      </c>
    </row>
    <row r="2563" customFormat="false" ht="17.15" hidden="false" customHeight="false" outlineLevel="0" collapsed="false">
      <c r="A2563" s="0" t="s">
        <v>1240</v>
      </c>
      <c r="B2563" s="0" t="s">
        <v>98</v>
      </c>
      <c r="F2563" s="6" t="n">
        <f aca="false">Sens!F2448*(al_srch+Sens!F2558+sbc_r)</f>
        <v>10.9551860851256</v>
      </c>
      <c r="G2563" s="6" t="n">
        <f aca="false">Sens!G2448*(al_srch+Sens!G2558+sbc_r)</f>
        <v>12.0661852759914</v>
      </c>
      <c r="H2563" s="6" t="n">
        <f aca="false">Sens!H2448*(al_srch+Sens!H2558+sbc_r)</f>
        <v>13.2166697587978</v>
      </c>
      <c r="I2563" s="6" t="n">
        <f aca="false">Sens!I2448*(al_srch+Sens!I2558+sbc_r)</f>
        <v>14.3938815068079</v>
      </c>
      <c r="J2563" s="6" t="n">
        <f aca="false">Sens!J2448*(al_srch+Sens!J2558+sbc_r)</f>
        <v>15.5794928287437</v>
      </c>
      <c r="K2563" s="6" t="n">
        <f aca="false">Sens!K2448*(al_srch+Sens!K2558+sbc_r)</f>
        <v>16.750348217809</v>
      </c>
    </row>
    <row r="2564" customFormat="false" ht="17.15" hidden="false" customHeight="false" outlineLevel="0" collapsed="false">
      <c r="A2564" s="0" t="s">
        <v>1241</v>
      </c>
      <c r="B2564" s="0" t="s">
        <v>98</v>
      </c>
      <c r="F2564" s="6" t="n">
        <f aca="false">Sens!F2416-Sens!F2417+Sens!F2498</f>
        <v>42.2991141129971</v>
      </c>
      <c r="G2564" s="6" t="n">
        <f aca="false">Sens!G2416-Sens!G2417+Sens!G2498</f>
        <v>79.9051960731095</v>
      </c>
      <c r="H2564" s="6" t="n">
        <f aca="false">Sens!H2416-Sens!H2417+Sens!H2498</f>
        <v>114.984655133189</v>
      </c>
      <c r="I2564" s="6" t="n">
        <f aca="false">Sens!I2416-Sens!I2417+Sens!I2498</f>
        <v>152.674396257734</v>
      </c>
      <c r="J2564" s="6" t="n">
        <f aca="false">Sens!J2416-Sens!J2417+Sens!J2498</f>
        <v>179.113389487173</v>
      </c>
      <c r="K2564" s="6" t="n">
        <f aca="false">Sens!K2416-Sens!K2417+Sens!K2498</f>
        <v>195.489944865917</v>
      </c>
    </row>
    <row r="2565" customFormat="false" ht="17.15" hidden="false" customHeight="false" outlineLevel="0" collapsed="false">
      <c r="A2565" s="0" t="s">
        <v>1242</v>
      </c>
      <c r="B2565" s="0" t="s">
        <v>98</v>
      </c>
      <c r="F2565" s="6" t="n">
        <f aca="false">Sens!F2477+Sens!F2498+Sens!F2428+Sens!F2558*(Sens!F2447-Sens!F2410)+sbc_r*Sens!F2447</f>
        <v>242.49016676765</v>
      </c>
      <c r="G2565" s="6" t="n">
        <f aca="false">Sens!G2477+Sens!G2498+Sens!G2428+Sens!G2558*(Sens!G2447-Sens!G2410)+sbc_r*Sens!G2447</f>
        <v>300.180025847402</v>
      </c>
      <c r="H2565" s="6" t="n">
        <f aca="false">Sens!H2477+Sens!H2498+Sens!H2428+Sens!H2558*(Sens!H2447-Sens!H2410)+sbc_r*Sens!H2447</f>
        <v>361.618204845547</v>
      </c>
      <c r="I2565" s="6" t="n">
        <f aca="false">Sens!I2477+Sens!I2498+Sens!I2428+Sens!I2558*(Sens!I2447-Sens!I2410)+sbc_r*Sens!I2447</f>
        <v>425.002305299511</v>
      </c>
      <c r="J2565" s="6" t="n">
        <f aca="false">Sens!J2477+Sens!J2498+Sens!J2428+Sens!J2558*(Sens!J2447-Sens!J2410)+sbc_r*Sens!J2447</f>
        <v>475.140067180786</v>
      </c>
      <c r="K2565" s="6" t="n">
        <f aca="false">Sens!K2477+Sens!K2498+Sens!K2428+Sens!K2558*(Sens!K2447-Sens!K2410)+sbc_r*Sens!K2447</f>
        <v>512.787279528303</v>
      </c>
    </row>
    <row r="2566" customFormat="false" ht="17.15" hidden="false" customHeight="false" outlineLevel="0" collapsed="false">
      <c r="A2566" s="0" t="s">
        <v>1243</v>
      </c>
      <c r="B2566" s="0" t="s">
        <v>98</v>
      </c>
      <c r="F2566" s="6" t="n">
        <f aca="false">Sens!F2565-Sens!F2559-Sens!F2560-Sens!F2561-Sens!F2562-Sens!F2564</f>
        <v>73.3933373505298</v>
      </c>
      <c r="G2566" s="6" t="n">
        <f aca="false">Sens!G2565-Sens!G2559-Sens!G2560-Sens!G2561-Sens!G2562-Sens!G2564</f>
        <v>80.6210789022001</v>
      </c>
      <c r="H2566" s="6" t="n">
        <f aca="false">Sens!H2565-Sens!H2559-Sens!H2560-Sens!H2561-Sens!H2562-Sens!H2564</f>
        <v>94.0000893804826</v>
      </c>
      <c r="I2566" s="6" t="n">
        <f aca="false">Sens!I2565-Sens!I2559-Sens!I2560-Sens!I2561-Sens!I2562-Sens!I2564</f>
        <v>107.287917188329</v>
      </c>
      <c r="J2566" s="6" t="n">
        <f aca="false">Sens!J2565-Sens!J2559-Sens!J2560-Sens!J2561-Sens!J2562-Sens!J2564</f>
        <v>119.372379944205</v>
      </c>
      <c r="K2566" s="6" t="n">
        <f aca="false">Sens!K2565-Sens!K2559-Sens!K2560-Sens!K2561-Sens!K2562-Sens!K2564</f>
        <v>129.548598972387</v>
      </c>
    </row>
    <row r="2567" customFormat="false" ht="17.15" hidden="false" customHeight="false" outlineLevel="0" collapsed="false">
      <c r="A2567" s="0" t="s">
        <v>1244</v>
      </c>
      <c r="B2567" s="0" t="s">
        <v>98</v>
      </c>
      <c r="F2567" s="6" t="n">
        <f aca="false">Sens!F2479+Sens!F2558*Sens!F2454+sbc_r*Sens!F2454</f>
        <v>26.0878792725603</v>
      </c>
      <c r="G2567" s="6" t="n">
        <f aca="false">Sens!G2479+Sens!G2558*Sens!G2454+sbc_r*Sens!G2454</f>
        <v>26.0458936274676</v>
      </c>
      <c r="H2567" s="6" t="n">
        <f aca="false">Sens!H2479+Sens!H2558*Sens!H2454+sbc_r*Sens!H2454</f>
        <v>27.0108357153584</v>
      </c>
      <c r="I2567" s="6" t="n">
        <f aca="false">Sens!I2479+Sens!I2558*Sens!I2454+sbc_r*Sens!I2454</f>
        <v>28.1849799716299</v>
      </c>
      <c r="J2567" s="6" t="n">
        <f aca="false">Sens!J2479+Sens!J2558*Sens!J2454+sbc_r*Sens!J2454</f>
        <v>29.5412892259836</v>
      </c>
      <c r="K2567" s="6" t="n">
        <f aca="false">Sens!K2479+Sens!K2558*Sens!K2454+sbc_r*Sens!K2454</f>
        <v>31.053964643057</v>
      </c>
    </row>
    <row r="2568" customFormat="false" ht="17.15" hidden="false" customHeight="false" outlineLevel="0" collapsed="false">
      <c r="A2568" s="0" t="s">
        <v>1245</v>
      </c>
      <c r="B2568" s="0" t="s">
        <v>98</v>
      </c>
      <c r="F2568" s="6" t="n">
        <f aca="false">(Sens!F2567-Sens!F2563)*Sens!F2450/(Sens!F2450+Sens!F2452)</f>
        <v>8.5467259682537</v>
      </c>
      <c r="G2568" s="6" t="n">
        <f aca="false">(Sens!G2567-Sens!G2563)*Sens!G2450/(Sens!G2450+Sens!G2452)</f>
        <v>7.7598418628718</v>
      </c>
      <c r="H2568" s="6" t="n">
        <f aca="false">(Sens!H2567-Sens!H2563)*Sens!H2450/(Sens!H2450+Sens!H2452)</f>
        <v>7.55710508442884</v>
      </c>
      <c r="I2568" s="6" t="n">
        <f aca="false">(Sens!I2567-Sens!I2563)*Sens!I2450/(Sens!I2450+Sens!I2452)</f>
        <v>7.48947738994418</v>
      </c>
      <c r="J2568" s="6" t="n">
        <f aca="false">(Sens!J2567-Sens!J2563)*Sens!J2450/(Sens!J2450+Sens!J2452)</f>
        <v>7.54909695984936</v>
      </c>
      <c r="K2568" s="6" t="n">
        <f aca="false">(Sens!K2567-Sens!K2563)*Sens!K2450/(Sens!K2450+Sens!K2452)</f>
        <v>7.73391791417595</v>
      </c>
    </row>
    <row r="2569" customFormat="false" ht="17.15" hidden="false" customHeight="false" outlineLevel="0" collapsed="false">
      <c r="A2569" s="0" t="s">
        <v>1246</v>
      </c>
      <c r="B2569" s="0" t="s">
        <v>98</v>
      </c>
      <c r="F2569" s="6" t="n">
        <f aca="false">Sens!F2567-Sens!F2563-Sens!F2568</f>
        <v>6.58596721918098</v>
      </c>
      <c r="G2569" s="6" t="n">
        <f aca="false">Sens!G2567-Sens!G2563-Sens!G2568</f>
        <v>6.2198664886044</v>
      </c>
      <c r="H2569" s="6" t="n">
        <f aca="false">Sens!H2567-Sens!H2563-Sens!H2568</f>
        <v>6.23706087213172</v>
      </c>
      <c r="I2569" s="6" t="n">
        <f aca="false">Sens!I2567-Sens!I2563-Sens!I2568</f>
        <v>6.30162107487778</v>
      </c>
      <c r="J2569" s="6" t="n">
        <f aca="false">Sens!J2567-Sens!J2563-Sens!J2568</f>
        <v>6.41269943739058</v>
      </c>
      <c r="K2569" s="6" t="n">
        <f aca="false">Sens!K2567-Sens!K2563-Sens!K2568</f>
        <v>6.56969851107207</v>
      </c>
    </row>
    <row r="2570" customFormat="false" ht="17.15" hidden="false" customHeight="false" outlineLevel="0" collapsed="false">
      <c r="A2570" s="0" t="s">
        <v>1247</v>
      </c>
      <c r="B2570" s="0" t="s">
        <v>98</v>
      </c>
      <c r="F2570" s="6" t="n">
        <f aca="false">Sens!F2564-tax_f*(Sens!F2564-Sens!F2428)-Sens!F2425</f>
        <v>-160.006358085341</v>
      </c>
      <c r="G2570" s="6" t="n">
        <f aca="false">Sens!G2564-tax_f*(Sens!G2564-Sens!G2428)-Sens!G2425</f>
        <v>-151.832936163818</v>
      </c>
      <c r="H2570" s="6" t="n">
        <f aca="false">Sens!H2564-tax_f*(Sens!H2564-Sens!H2428)-Sens!H2425</f>
        <v>-122.795459012117</v>
      </c>
      <c r="I2570" s="6" t="n">
        <f aca="false">Sens!I2564-tax_f*(Sens!I2564-Sens!I2428)-Sens!I2425</f>
        <v>-52.7828410130535</v>
      </c>
      <c r="J2570" s="6" t="n">
        <f aca="false">Sens!J2564-tax_f*(Sens!J2564-Sens!J2428)-Sens!J2425</f>
        <v>20.2585556865128</v>
      </c>
      <c r="K2570" s="6" t="n">
        <f aca="false">Sens!K2564-tax_f*(Sens!K2564-Sens!K2428)-Sens!K2425</f>
        <v>47.959572907279</v>
      </c>
    </row>
    <row r="2571" customFormat="false" ht="17.15" hidden="false" customHeight="false" outlineLevel="0" collapsed="false">
      <c r="A2571" s="0" t="s">
        <v>1248</v>
      </c>
      <c r="B2571" s="0" t="s">
        <v>98</v>
      </c>
      <c r="G2571" s="6" t="n">
        <f aca="false">Sens!G2570/(1+wacc)^(Sens!G2541-Sens!F2542)</f>
        <v>-144.574173431549</v>
      </c>
      <c r="H2571" s="6" t="n">
        <f aca="false">Sens!H2570/(1+wacc)^(Sens!H2541-Sens!F2542)</f>
        <v>-106.012356713543</v>
      </c>
      <c r="I2571" s="6" t="n">
        <f aca="false">Sens!I2570/(1+wacc)^(Sens!I2541-Sens!F2542)</f>
        <v>-41.3158221727855</v>
      </c>
      <c r="J2571" s="6" t="n">
        <f aca="false">Sens!J2570/(1+wacc)^(Sens!J2541-Sens!F2542)</f>
        <v>14.377440260519</v>
      </c>
      <c r="K2571" s="6" t="n">
        <f aca="false">Sens!K2570/(1+wacc)^(Sens!K2541-Sens!F2542)</f>
        <v>30.8601373075111</v>
      </c>
      <c r="L2571" s="1" t="s">
        <v>1249</v>
      </c>
    </row>
    <row r="2572" customFormat="false" ht="17.15" hidden="false" customHeight="false" outlineLevel="0" collapsed="false">
      <c r="A2572" s="0" t="s">
        <v>1250</v>
      </c>
      <c r="B2572" s="0" t="s">
        <v>98</v>
      </c>
      <c r="C2572" s="6" t="n">
        <f aca="false">(Sens!K2564-Sens!K2428)*(1-tax_f)*(1+g_tv)*(1-g_tv/(wacc+ronic_prem))/(wacc-g_tv)/(1+wacc)^(Sens!K2542-Sens!F2542)</f>
        <v>117.096356324778</v>
      </c>
    </row>
    <row r="2573" customFormat="false" ht="17.15" hidden="false" customHeight="false" outlineLevel="0" collapsed="false">
      <c r="A2573" s="1" t="s">
        <v>1251</v>
      </c>
      <c r="B2573" s="0" t="s">
        <v>98</v>
      </c>
      <c r="C2573" s="6" t="n">
        <f aca="false">(SUM(Sens!G2571:K2571)+Sens!$C$2572)*(1+wacc)^(t_roll-Sens!F2542)</f>
        <v>-133.845863761262</v>
      </c>
      <c r="L2573" s="12" t="s">
        <v>1252</v>
      </c>
    </row>
    <row r="2574" customFormat="false" ht="17.15" hidden="false" customHeight="false" outlineLevel="0" collapsed="false">
      <c r="A2574" s="1" t="s">
        <v>1253</v>
      </c>
      <c r="B2574" s="0" t="s">
        <v>98</v>
      </c>
      <c r="C2574" s="6" t="n">
        <f aca="false">(w_ntm28*Sens!G2416+(1-w_ntm28)*Sens!H2416)*m_ai</f>
        <v>344.355829012336</v>
      </c>
    </row>
    <row r="2575" customFormat="false" ht="17.15" hidden="false" customHeight="false" outlineLevel="0" collapsed="false">
      <c r="A2575" s="1" t="s">
        <v>1254</v>
      </c>
      <c r="B2575" s="0" t="s">
        <v>98</v>
      </c>
      <c r="C2575" s="6" t="n">
        <f aca="false">(w_ntm28*Sens!G2566+(1-w_ntm28)*Sens!H2566)*m_cloud</f>
        <v>1174.97166927</v>
      </c>
    </row>
    <row r="2576" customFormat="false" ht="17.15" hidden="false" customHeight="false" outlineLevel="0" collapsed="false">
      <c r="A2576" s="1" t="s">
        <v>1255</v>
      </c>
      <c r="B2576" s="0" t="s">
        <v>98</v>
      </c>
      <c r="C2576" s="6" t="n">
        <f aca="false">(w_ntm28*Sens!G2559+(1-w_ntm28)*Sens!H2559)*m_sw</f>
        <v>1035.56959024403</v>
      </c>
    </row>
    <row r="2577" customFormat="false" ht="17.15" hidden="false" customHeight="false" outlineLevel="0" collapsed="false">
      <c r="A2577" s="1" t="s">
        <v>1256</v>
      </c>
      <c r="B2577" s="0" t="s">
        <v>98</v>
      </c>
      <c r="C2577" s="6" t="n">
        <f aca="false">(w_ntm28*Sens!G2560+(1-w_ntm28)*Sens!H2560)*m_sw</f>
        <v>370.343945096173</v>
      </c>
    </row>
    <row r="2578" customFormat="false" ht="17.15" hidden="false" customHeight="false" outlineLevel="0" collapsed="false">
      <c r="A2578" s="1" t="s">
        <v>1257</v>
      </c>
      <c r="B2578" s="0" t="s">
        <v>98</v>
      </c>
      <c r="C2578" s="6" t="n">
        <f aca="false">(w_ntm28*Sens!G2561+(1-w_ntm28)*Sens!H2561)*m_sw</f>
        <v>107.547674348269</v>
      </c>
    </row>
    <row r="2579" customFormat="false" ht="17.15" hidden="false" customHeight="false" outlineLevel="0" collapsed="false">
      <c r="A2579" s="1" t="s">
        <v>1258</v>
      </c>
      <c r="B2579" s="0" t="s">
        <v>98</v>
      </c>
      <c r="C2579" s="6" t="n">
        <f aca="false">(w_ntm28*Sens!G2562+(1-w_ntm28)*Sens!H2562)*m_sw</f>
        <v>40.8861585243119</v>
      </c>
    </row>
    <row r="2580" customFormat="false" ht="17.15" hidden="false" customHeight="false" outlineLevel="0" collapsed="false">
      <c r="A2580" s="1" t="s">
        <v>1259</v>
      </c>
      <c r="B2580" s="0" t="s">
        <v>98</v>
      </c>
      <c r="C2580" s="6" t="n">
        <f aca="false">(w_ntm28*Sens!G2563+(1-w_ntm28)*Sens!H2563)*m_ads</f>
        <v>113.368727690594</v>
      </c>
    </row>
    <row r="2581" customFormat="false" ht="17.15" hidden="false" customHeight="false" outlineLevel="0" collapsed="false">
      <c r="A2581" s="1" t="s">
        <v>1260</v>
      </c>
      <c r="B2581" s="0" t="s">
        <v>98</v>
      </c>
      <c r="C2581" s="6" t="n">
        <f aca="false">(w_ntm28*Sens!G2568+(1-w_ntm28)*Sens!H2568)*m_game</f>
        <v>97.1649729707883</v>
      </c>
    </row>
    <row r="2582" customFormat="false" ht="17.15" hidden="false" customHeight="false" outlineLevel="0" collapsed="false">
      <c r="A2582" s="1" t="s">
        <v>1261</v>
      </c>
      <c r="B2582" s="0" t="s">
        <v>98</v>
      </c>
      <c r="C2582" s="6" t="n">
        <f aca="false">(w_ntm28*Sens!G2569+(1-w_ntm28)*Sens!H2569)*m_pc</f>
        <v>90.0832662477957</v>
      </c>
    </row>
    <row r="2583" customFormat="false" ht="17.15" hidden="false" customHeight="false" outlineLevel="0" collapsed="false">
      <c r="A2583" s="1" t="s">
        <v>1262</v>
      </c>
      <c r="B2583" s="0" t="s">
        <v>98</v>
      </c>
      <c r="C2583" s="6" t="n">
        <f aca="false">Sens!$C$2573+Sens!$C$2575+Sens!$C$2576+Sens!$C$2577+Sens!$C$2578+Sens!$C$2579+Sens!$C$2580+Sens!$C$2581+Sens!$C$2582</f>
        <v>2896.09014063071</v>
      </c>
    </row>
    <row r="2584" customFormat="false" ht="17.15" hidden="false" customHeight="false" outlineLevel="0" collapsed="false">
      <c r="A2584" s="1" t="s">
        <v>1263</v>
      </c>
      <c r="B2584" s="0" t="s">
        <v>98</v>
      </c>
      <c r="C2584" s="6" t="n">
        <f aca="false">(Sens!G2545-Sens!G2570)*t_stub</f>
        <v>48.3111289940189</v>
      </c>
      <c r="L2584" s="1" t="s">
        <v>1264</v>
      </c>
    </row>
    <row r="2585" customFormat="false" ht="17.15" hidden="false" customHeight="false" outlineLevel="0" collapsed="false">
      <c r="A2585" s="1" t="s">
        <v>1173</v>
      </c>
      <c r="B2585" s="0" t="s">
        <v>98</v>
      </c>
      <c r="C2585" s="6" t="n">
        <f aca="false">Sens!F2532+oai_v-Sens!F2521+Sens!$C$2584</f>
        <v>126.848533431537</v>
      </c>
      <c r="L2585" s="1" t="s">
        <v>1265</v>
      </c>
    </row>
    <row r="2586" customFormat="false" ht="17.15" hidden="false" customHeight="false" outlineLevel="0" collapsed="false">
      <c r="A2586" s="1" t="s">
        <v>1266</v>
      </c>
      <c r="B2586" s="0" t="s">
        <v>75</v>
      </c>
      <c r="C2586" s="5" t="n">
        <f aca="false">(Sens!$C$2583+Sens!$C$2585)/(Sens!F2534+dil_gap)-Sens!G2524*roll_div_q/q_per_yr</f>
        <v>402.234069111826</v>
      </c>
      <c r="L2586" s="1" t="s">
        <v>1267</v>
      </c>
    </row>
    <row r="2587" customFormat="false" ht="17.15" hidden="false" customHeight="false" outlineLevel="0" collapsed="false">
      <c r="A2587" s="1" t="s">
        <v>1268</v>
      </c>
      <c r="B2587" s="0" t="s">
        <v>75</v>
      </c>
      <c r="C2587" s="5" t="n">
        <f aca="false">w_dcf*Sens!$C$2557+(1-w_dcf)*Sens!$C$2586</f>
        <v>341.948364598856</v>
      </c>
    </row>
    <row r="2588" customFormat="false" ht="17.15" hidden="false" customHeight="false" outlineLevel="0" collapsed="false">
      <c r="A2588" s="3" t="s">
        <v>1675</v>
      </c>
    </row>
    <row r="2589" customFormat="false" ht="15" hidden="false" customHeight="false" outlineLevel="0" collapsed="false">
      <c r="A2589" s="4" t="s">
        <v>43</v>
      </c>
      <c r="B2589" s="4" t="s">
        <v>65</v>
      </c>
      <c r="C2589" s="23" t="s">
        <v>942</v>
      </c>
      <c r="D2589" s="23" t="s">
        <v>943</v>
      </c>
      <c r="E2589" s="23" t="s">
        <v>944</v>
      </c>
      <c r="F2589" s="23" t="s">
        <v>945</v>
      </c>
      <c r="G2589" s="23" t="s">
        <v>946</v>
      </c>
      <c r="H2589" s="23" t="s">
        <v>947</v>
      </c>
      <c r="I2589" s="23" t="s">
        <v>948</v>
      </c>
      <c r="J2589" s="23" t="s">
        <v>949</v>
      </c>
      <c r="K2589" s="23" t="s">
        <v>950</v>
      </c>
      <c r="L2589" s="4" t="s">
        <v>47</v>
      </c>
    </row>
    <row r="2590" customFormat="false" ht="17.15" hidden="false" customHeight="false" outlineLevel="0" collapsed="false">
      <c r="A2590" s="1" t="s">
        <v>951</v>
      </c>
      <c r="B2590" s="1" t="s">
        <v>279</v>
      </c>
      <c r="C2590" s="21" t="n">
        <v>2024</v>
      </c>
      <c r="D2590" s="21" t="n">
        <v>2025</v>
      </c>
      <c r="E2590" s="21" t="n">
        <v>2026</v>
      </c>
      <c r="F2590" s="21" t="n">
        <v>2027</v>
      </c>
      <c r="G2590" s="21" t="n">
        <v>2028</v>
      </c>
      <c r="H2590" s="21" t="n">
        <v>2029</v>
      </c>
      <c r="I2590" s="21" t="n">
        <v>2030</v>
      </c>
      <c r="J2590" s="21" t="n">
        <v>2031</v>
      </c>
      <c r="K2590" s="21" t="n">
        <v>2032</v>
      </c>
    </row>
    <row r="2591" customFormat="false" ht="17.15" hidden="false" customHeight="false" outlineLevel="0" collapsed="false">
      <c r="A2591" s="1" t="s">
        <v>952</v>
      </c>
      <c r="B2591" s="0" t="s">
        <v>459</v>
      </c>
      <c r="F2591" s="30" t="n">
        <f aca="false">pace</f>
        <v>2726.5351</v>
      </c>
      <c r="G2591" s="30" t="n">
        <f aca="false">pace</f>
        <v>2726.5351</v>
      </c>
      <c r="H2591" s="30" t="n">
        <f aca="false">pace</f>
        <v>2726.5351</v>
      </c>
      <c r="I2591" s="30" t="n">
        <f aca="false">pace+(g_tv*Sens!H2592-pace)*MIN(1,(Sens!I2590-pace_y0)/(pace_y1-pace_y0))</f>
        <v>1931.98611966667</v>
      </c>
      <c r="J2591" s="30" t="n">
        <f aca="false">pace+(g_tv*Sens!I2592-pace)*MIN(1,(Sens!J2590-pace_y0)/(pace_y1-pace_y0))</f>
        <v>1176.07686172667</v>
      </c>
      <c r="K2591" s="30" t="n">
        <f aca="false">pace+(g_tv*Sens!J2592-pace)*MIN(1,(Sens!K2590-pace_y0)/(pace_y1-pace_y0))</f>
        <v>436.1300484418</v>
      </c>
      <c r="L2591" s="12" t="s">
        <v>953</v>
      </c>
    </row>
    <row r="2592" customFormat="false" ht="17.15" hidden="false" customHeight="false" outlineLevel="0" collapsed="false">
      <c r="A2592" s="1" t="s">
        <v>954</v>
      </c>
      <c r="B2592" s="0" t="s">
        <v>459</v>
      </c>
      <c r="C2592" s="30" t="n">
        <f aca="false">mw_ext_24</f>
        <v>640</v>
      </c>
      <c r="D2592" s="30" t="n">
        <f aca="false">mw_ext_25</f>
        <v>1630</v>
      </c>
      <c r="E2592" s="30" t="n">
        <f aca="false">mw_ext_26</f>
        <v>3250</v>
      </c>
      <c r="F2592" s="30" t="n">
        <f aca="false">Sens!E2592+Sens!F2591</f>
        <v>5976.5351</v>
      </c>
      <c r="G2592" s="30" t="n">
        <f aca="false">Sens!F2592+Sens!G2591</f>
        <v>8703.0702</v>
      </c>
      <c r="H2592" s="30" t="n">
        <f aca="false">Sens!G2592+Sens!H2591</f>
        <v>11429.6053</v>
      </c>
      <c r="I2592" s="30" t="n">
        <f aca="false">Sens!H2592+Sens!I2591</f>
        <v>13361.5914196667</v>
      </c>
      <c r="J2592" s="30" t="n">
        <f aca="false">Sens!I2592+Sens!J2591</f>
        <v>14537.6682813933</v>
      </c>
      <c r="K2592" s="30" t="n">
        <f aca="false">Sens!J2592+Sens!K2591</f>
        <v>14973.7983298351</v>
      </c>
      <c r="L2592" s="1" t="s">
        <v>955</v>
      </c>
    </row>
    <row r="2593" customFormat="false" ht="17.15" hidden="false" customHeight="false" outlineLevel="0" collapsed="false">
      <c r="A2593" s="1" t="s">
        <v>956</v>
      </c>
      <c r="B2593" s="0" t="s">
        <v>459</v>
      </c>
      <c r="C2593" s="30" t="n">
        <f aca="false">rent_ext_24</f>
        <v>150</v>
      </c>
      <c r="D2593" s="30" t="n">
        <f aca="false">rent_ext_25</f>
        <v>400</v>
      </c>
      <c r="E2593" s="30" t="n">
        <f aca="false">rent_ext_26</f>
        <v>550</v>
      </c>
      <c r="F2593" s="30" t="n">
        <f aca="false">rent_ext_f</f>
        <v>756</v>
      </c>
      <c r="G2593" s="30" t="n">
        <f aca="false">rent_ext_f</f>
        <v>756</v>
      </c>
      <c r="H2593" s="30" t="n">
        <f aca="false">rent_ext_f</f>
        <v>756</v>
      </c>
      <c r="I2593" s="30" t="n">
        <f aca="false">rent_ext_f</f>
        <v>756</v>
      </c>
      <c r="J2593" s="30" t="n">
        <f aca="false">rent_ext_f</f>
        <v>756</v>
      </c>
      <c r="K2593" s="30" t="n">
        <f aca="false">rent_ext_f</f>
        <v>756</v>
      </c>
      <c r="L2593" s="1" t="s">
        <v>957</v>
      </c>
    </row>
    <row r="2594" customFormat="false" ht="17.15" hidden="false" customHeight="false" outlineLevel="0" collapsed="false">
      <c r="A2594" s="1" t="s">
        <v>958</v>
      </c>
      <c r="B2594" s="0" t="s">
        <v>459</v>
      </c>
      <c r="C2594" s="30" t="n">
        <f aca="false">Sens!C2592-Sens!C2593</f>
        <v>490</v>
      </c>
      <c r="D2594" s="30" t="n">
        <f aca="false">Sens!D2592-Sens!D2593</f>
        <v>1230</v>
      </c>
      <c r="E2594" s="30" t="n">
        <f aca="false">Sens!E2592-Sens!E2593</f>
        <v>2700</v>
      </c>
      <c r="F2594" s="30" t="n">
        <f aca="false">Sens!F2592-Sens!F2593</f>
        <v>5220.5351</v>
      </c>
      <c r="G2594" s="30" t="n">
        <f aca="false">Sens!G2592-Sens!G2593</f>
        <v>7947.0702</v>
      </c>
      <c r="H2594" s="30" t="n">
        <f aca="false">Sens!H2592-Sens!H2593</f>
        <v>10673.6053</v>
      </c>
      <c r="I2594" s="30" t="n">
        <f aca="false">Sens!I2592-Sens!I2593</f>
        <v>12605.5914196667</v>
      </c>
      <c r="J2594" s="30" t="n">
        <f aca="false">Sens!J2592-Sens!J2593</f>
        <v>13781.6682813933</v>
      </c>
      <c r="K2594" s="30" t="n">
        <f aca="false">Sens!K2592-Sens!K2593</f>
        <v>14217.7983298351</v>
      </c>
    </row>
    <row r="2595" customFormat="false" ht="17.15" hidden="false" customHeight="false" outlineLevel="0" collapsed="false">
      <c r="A2595" s="1" t="s">
        <v>959</v>
      </c>
      <c r="B2595" s="0" t="s">
        <v>459</v>
      </c>
      <c r="C2595" s="30" t="n">
        <f aca="false">Sens!C2594/ext_sh_hi</f>
        <v>653.333333333333</v>
      </c>
      <c r="D2595" s="30" t="n">
        <f aca="false">Sens!D2594/ext_sh_hi</f>
        <v>1640</v>
      </c>
      <c r="E2595" s="30" t="n">
        <f aca="false">Sens!E2594/ext_sh_hi</f>
        <v>3600</v>
      </c>
      <c r="F2595" s="30" t="n">
        <f aca="false">Sens!F2594/ext_sh_hi</f>
        <v>6960.71346666667</v>
      </c>
      <c r="G2595" s="30" t="n">
        <f aca="false">Sens!G2594/ext_sh_hi</f>
        <v>10596.0936</v>
      </c>
      <c r="H2595" s="30" t="n">
        <f aca="false">Sens!H2594/ext_sh_hi</f>
        <v>14231.4737333333</v>
      </c>
      <c r="I2595" s="30" t="n">
        <f aca="false">Sens!I2594/ext_sh_hi</f>
        <v>16807.4552262222</v>
      </c>
      <c r="J2595" s="30" t="n">
        <f aca="false">Sens!J2594/ext_sh_hi</f>
        <v>18375.5577085244</v>
      </c>
      <c r="K2595" s="30" t="n">
        <f aca="false">Sens!K2594/ext_sh_hi</f>
        <v>18957.0644397802</v>
      </c>
      <c r="L2595" s="1" t="s">
        <v>960</v>
      </c>
    </row>
    <row r="2596" customFormat="false" ht="17.15" hidden="false" customHeight="false" outlineLevel="0" collapsed="false">
      <c r="A2596" s="1" t="s">
        <v>961</v>
      </c>
      <c r="B2596" s="0" t="s">
        <v>459</v>
      </c>
      <c r="C2596" s="30" t="n">
        <f aca="false">Sens!C2595-Sens!C2594</f>
        <v>163.333333333333</v>
      </c>
      <c r="D2596" s="30" t="n">
        <f aca="false">Sens!D2595-Sens!D2594</f>
        <v>410</v>
      </c>
      <c r="E2596" s="30" t="n">
        <f aca="false">Sens!E2595-Sens!E2594</f>
        <v>900</v>
      </c>
      <c r="F2596" s="30" t="n">
        <f aca="false">Sens!F2595-Sens!F2594</f>
        <v>1740.17836666667</v>
      </c>
      <c r="G2596" s="30" t="n">
        <f aca="false">Sens!G2595-Sens!G2594</f>
        <v>2649.0234</v>
      </c>
      <c r="H2596" s="30" t="n">
        <f aca="false">Sens!H2595-Sens!H2594</f>
        <v>3557.86843333333</v>
      </c>
      <c r="I2596" s="30" t="n">
        <f aca="false">Sens!I2595-Sens!I2594</f>
        <v>4201.86380655556</v>
      </c>
      <c r="J2596" s="30" t="n">
        <f aca="false">Sens!J2595-Sens!J2594</f>
        <v>4593.88942713111</v>
      </c>
      <c r="K2596" s="30" t="n">
        <f aca="false">Sens!K2595-Sens!K2594</f>
        <v>4739.26610994505</v>
      </c>
    </row>
    <row r="2597" customFormat="false" ht="17.15" hidden="false" customHeight="false" outlineLevel="0" collapsed="false">
      <c r="A2597" s="1" t="s">
        <v>962</v>
      </c>
      <c r="B2597" s="0" t="s">
        <v>459</v>
      </c>
      <c r="C2597" s="30" t="n">
        <f aca="false">Sens!C2595</f>
        <v>653.333333333333</v>
      </c>
      <c r="D2597" s="30" t="n">
        <f aca="false">Sens!D2595-Sens!C2595</f>
        <v>986.666666666667</v>
      </c>
      <c r="E2597" s="30" t="n">
        <f aca="false">Sens!E2595-Sens!D2595</f>
        <v>1960</v>
      </c>
      <c r="F2597" s="30" t="n">
        <f aca="false">Sens!F2595-Sens!E2595</f>
        <v>3360.71346666667</v>
      </c>
      <c r="G2597" s="30" t="n">
        <f aca="false">Sens!G2595-Sens!F2595</f>
        <v>3635.38013333333</v>
      </c>
      <c r="H2597" s="30" t="n">
        <f aca="false">Sens!H2595-Sens!G2595</f>
        <v>3635.38013333333</v>
      </c>
      <c r="I2597" s="30" t="n">
        <f aca="false">Sens!I2595-Sens!H2595</f>
        <v>2575.98149288889</v>
      </c>
      <c r="J2597" s="30" t="n">
        <f aca="false">Sens!J2595-Sens!I2595</f>
        <v>1568.10248230222</v>
      </c>
      <c r="K2597" s="30" t="n">
        <f aca="false">Sens!K2595-Sens!J2595</f>
        <v>581.506731255733</v>
      </c>
    </row>
    <row r="2598" customFormat="false" ht="17.15" hidden="false" customHeight="false" outlineLevel="0" collapsed="false">
      <c r="A2598" s="1" t="s">
        <v>963</v>
      </c>
      <c r="B2598" s="0" t="s">
        <v>459</v>
      </c>
      <c r="D2598" s="30" t="n">
        <f aca="false">Sens!D2592-Sens!C2592</f>
        <v>990</v>
      </c>
      <c r="E2598" s="30" t="n">
        <f aca="false">Sens!E2592-Sens!D2592</f>
        <v>1620</v>
      </c>
      <c r="F2598" s="30" t="n">
        <f aca="false">Sens!F2592-Sens!E2592</f>
        <v>2726.5351</v>
      </c>
      <c r="G2598" s="30" t="n">
        <f aca="false">Sens!G2592-Sens!F2592</f>
        <v>2726.5351</v>
      </c>
      <c r="H2598" s="30" t="n">
        <f aca="false">Sens!H2592-Sens!G2592</f>
        <v>2726.5351</v>
      </c>
      <c r="I2598" s="30" t="n">
        <f aca="false">Sens!I2592-Sens!H2592</f>
        <v>1931.98611966667</v>
      </c>
      <c r="J2598" s="30" t="n">
        <f aca="false">Sens!J2592-Sens!I2592</f>
        <v>1176.07686172667</v>
      </c>
      <c r="K2598" s="30" t="n">
        <f aca="false">Sens!K2592-Sens!J2592</f>
        <v>436.130048441799</v>
      </c>
    </row>
    <row r="2599" customFormat="false" ht="17.15" hidden="false" customHeight="false" outlineLevel="0" collapsed="false">
      <c r="A2599" s="1" t="s">
        <v>964</v>
      </c>
      <c r="B2599" s="0" t="s">
        <v>459</v>
      </c>
      <c r="F2599" s="30" t="n">
        <f aca="false">Sens!F2618*ext_sh_hi</f>
        <v>0</v>
      </c>
      <c r="G2599" s="30" t="n">
        <f aca="false">Sens!G2618*ext_sh_hi</f>
        <v>0</v>
      </c>
      <c r="H2599" s="30" t="n">
        <f aca="false">Sens!H2618*ext_sh_hi</f>
        <v>0</v>
      </c>
      <c r="I2599" s="30" t="n">
        <f aca="false">Sens!I2618*ext_sh_hi</f>
        <v>490</v>
      </c>
      <c r="J2599" s="30" t="n">
        <f aca="false">Sens!J2618*ext_sh_hi</f>
        <v>740</v>
      </c>
      <c r="K2599" s="30" t="n">
        <f aca="false">Sens!K2618*ext_sh_hi</f>
        <v>1470</v>
      </c>
      <c r="L2599" s="1" t="s">
        <v>965</v>
      </c>
    </row>
    <row r="2600" customFormat="false" ht="17.15" hidden="false" customHeight="false" outlineLevel="0" collapsed="false">
      <c r="A2600" s="1" t="s">
        <v>966</v>
      </c>
      <c r="B2600" s="0" t="s">
        <v>459</v>
      </c>
      <c r="C2600" s="30" t="n">
        <f aca="false">mix_h*Sens!C2592</f>
        <v>128</v>
      </c>
      <c r="D2600" s="30" t="n">
        <f aca="false">mix_h*Sens!D2592</f>
        <v>326</v>
      </c>
      <c r="E2600" s="30" t="n">
        <f aca="false">mix_h*Sens!E2592</f>
        <v>650</v>
      </c>
      <c r="F2600" s="30" t="n">
        <f aca="false">Sens!E2600-Sens!F2599*mix_h</f>
        <v>650</v>
      </c>
      <c r="G2600" s="30" t="n">
        <f aca="false">Sens!F2600-Sens!G2599*mix_h</f>
        <v>650</v>
      </c>
      <c r="H2600" s="30" t="n">
        <f aca="false">Sens!G2600-Sens!H2599*mix_h</f>
        <v>650</v>
      </c>
      <c r="I2600" s="30" t="n">
        <f aca="false">Sens!H2600-Sens!I2599*mix_h</f>
        <v>552</v>
      </c>
      <c r="J2600" s="30" t="n">
        <f aca="false">Sens!I2600-Sens!J2599*mix_h</f>
        <v>404</v>
      </c>
      <c r="K2600" s="30" t="n">
        <f aca="false">Sens!J2600-Sens!K2599*mix_h</f>
        <v>110</v>
      </c>
    </row>
    <row r="2601" customFormat="false" ht="17.15" hidden="false" customHeight="false" outlineLevel="0" collapsed="false">
      <c r="A2601" s="1" t="s">
        <v>967</v>
      </c>
      <c r="B2601" s="0" t="s">
        <v>459</v>
      </c>
      <c r="C2601" s="30" t="n">
        <f aca="false">mix_g2*Sens!C2592</f>
        <v>288</v>
      </c>
      <c r="D2601" s="30" t="n">
        <f aca="false">mix_g2*Sens!D2592</f>
        <v>733.5</v>
      </c>
      <c r="E2601" s="30" t="n">
        <f aca="false">mix_g2*Sens!E2592</f>
        <v>1462.5</v>
      </c>
      <c r="F2601" s="30" t="n">
        <f aca="false">Sens!E2601-Sens!F2599*mix_g2</f>
        <v>1462.5</v>
      </c>
      <c r="G2601" s="30" t="n">
        <f aca="false">Sens!F2601-Sens!G2599*mix_g2</f>
        <v>1462.5</v>
      </c>
      <c r="H2601" s="30" t="n">
        <f aca="false">Sens!G2601-Sens!H2599*mix_g2</f>
        <v>1462.5</v>
      </c>
      <c r="I2601" s="30" t="n">
        <f aca="false">Sens!H2601-Sens!I2599*mix_g2</f>
        <v>1242</v>
      </c>
      <c r="J2601" s="30" t="n">
        <f aca="false">Sens!I2601-Sens!J2599*mix_g2</f>
        <v>909</v>
      </c>
      <c r="K2601" s="30" t="n">
        <f aca="false">Sens!J2601-Sens!K2599*mix_g2</f>
        <v>247.5</v>
      </c>
    </row>
    <row r="2602" customFormat="false" ht="17.15" hidden="false" customHeight="false" outlineLevel="0" collapsed="false">
      <c r="A2602" s="1" t="s">
        <v>968</v>
      </c>
      <c r="B2602" s="0" t="s">
        <v>459</v>
      </c>
      <c r="C2602" s="30" t="n">
        <f aca="false">mix_g3*Sens!C2592</f>
        <v>224</v>
      </c>
      <c r="D2602" s="30" t="n">
        <f aca="false">mix_g3*Sens!D2592</f>
        <v>570.5</v>
      </c>
      <c r="E2602" s="30" t="n">
        <f aca="false">mix_g3*Sens!E2592</f>
        <v>1137.5</v>
      </c>
      <c r="F2602" s="30" t="n">
        <f aca="false">Sens!E2602+(Sens!F2598+Sens!F2599)*(a_g3_27-nonnv*a_mai)-Sens!F2599*mix_g3</f>
        <v>2773.42106</v>
      </c>
      <c r="G2602" s="30" t="n">
        <f aca="false">Sens!F2602+(Sens!G2598+Sens!G2599)*(a_g3_28-nonnv*a_mai)-Sens!G2599*mix_g3</f>
        <v>3318.72808</v>
      </c>
      <c r="H2602" s="30" t="n">
        <f aca="false">Sens!G2602+(Sens!H2598+Sens!H2599)*(a_g3_29-nonnv*a_mai)-Sens!H2599*mix_g3</f>
        <v>3318.72808</v>
      </c>
      <c r="I2602" s="30" t="n">
        <f aca="false">Sens!H2602+(Sens!I2598+Sens!I2599)*(a_g3_29-nonnv*a_mai)-Sens!I2599*mix_g3</f>
        <v>3147.22808</v>
      </c>
      <c r="J2602" s="30" t="n">
        <f aca="false">Sens!I2602+(Sens!J2598+Sens!J2599)*(a_g3_29-nonnv*a_mai)-Sens!J2599*mix_g3</f>
        <v>2888.22808</v>
      </c>
      <c r="K2602" s="30" t="n">
        <f aca="false">Sens!J2602+(Sens!K2598+Sens!K2599)*(a_g3_29-nonnv*a_mai)-Sens!K2599*mix_g3</f>
        <v>2373.72808</v>
      </c>
    </row>
    <row r="2603" customFormat="false" ht="17.15" hidden="false" customHeight="false" outlineLevel="0" collapsed="false">
      <c r="A2603" s="1" t="s">
        <v>969</v>
      </c>
      <c r="B2603" s="0" t="s">
        <v>459</v>
      </c>
      <c r="C2603" s="30" t="n">
        <v>0</v>
      </c>
      <c r="D2603" s="30" t="n">
        <v>0</v>
      </c>
      <c r="E2603" s="30" t="n">
        <v>0</v>
      </c>
      <c r="F2603" s="30" t="n">
        <f aca="false">Sens!E2603+(Sens!F2598+Sens!F2599)*nonnv*a_mai</f>
        <v>272.65351</v>
      </c>
      <c r="G2603" s="30" t="n">
        <f aca="false">Sens!F2603+(Sens!G2598+Sens!G2599)*nonnv*a_mai</f>
        <v>545.30702</v>
      </c>
      <c r="H2603" s="30" t="n">
        <f aca="false">Sens!G2603+(Sens!H2598+Sens!H2599)*nonnv*a_mai</f>
        <v>817.96053</v>
      </c>
      <c r="I2603" s="30" t="n">
        <f aca="false">Sens!H2603+(Sens!I2598+Sens!I2599)*nonnv*a_mai</f>
        <v>1060.15914196667</v>
      </c>
      <c r="J2603" s="30" t="n">
        <f aca="false">Sens!I2603+(Sens!J2598+Sens!J2599)*nonnv*a_mai</f>
        <v>1251.76682813933</v>
      </c>
      <c r="K2603" s="30" t="n">
        <f aca="false">Sens!J2603+(Sens!K2598+Sens!K2599)*nonnv*a_mai</f>
        <v>1442.37983298351</v>
      </c>
      <c r="L2603" s="12" t="s">
        <v>970</v>
      </c>
    </row>
    <row r="2604" customFormat="false" ht="17.15" hidden="false" customHeight="false" outlineLevel="0" collapsed="false">
      <c r="A2604" s="1" t="s">
        <v>971</v>
      </c>
      <c r="B2604" s="0" t="s">
        <v>459</v>
      </c>
      <c r="C2604" s="30" t="n">
        <v>0</v>
      </c>
      <c r="D2604" s="30" t="n">
        <v>0</v>
      </c>
      <c r="E2604" s="30" t="n">
        <v>0</v>
      </c>
      <c r="F2604" s="30" t="n">
        <f aca="false">Sens!E2604+(Sens!F2598+Sens!F2599)*(1-a_g3_27)</f>
        <v>817.96053</v>
      </c>
      <c r="G2604" s="30" t="n">
        <f aca="false">Sens!F2604+(Sens!G2598+Sens!G2599)*(1-a_g3_28)</f>
        <v>2726.5351</v>
      </c>
      <c r="H2604" s="30" t="n">
        <f aca="false">Sens!G2604+(Sens!H2598+Sens!H2599)*(1-a_g3_29)</f>
        <v>5180.41669</v>
      </c>
      <c r="I2604" s="30" t="n">
        <f aca="false">Sens!H2604+(Sens!I2598+Sens!I2599)*(1-a_g3_29)</f>
        <v>7360.2041977</v>
      </c>
      <c r="J2604" s="30" t="n">
        <f aca="false">Sens!I2604+(Sens!J2598+Sens!J2599)*(1-a_g3_29)</f>
        <v>9084.673373254</v>
      </c>
      <c r="K2604" s="30" t="n">
        <f aca="false">Sens!J2604+(Sens!K2598+Sens!K2599)*(1-a_g3_29)</f>
        <v>10800.1904168516</v>
      </c>
    </row>
    <row r="2605" customFormat="false" ht="17.15" hidden="false" customHeight="false" outlineLevel="0" collapsed="false">
      <c r="A2605" s="1" t="s">
        <v>972</v>
      </c>
      <c r="B2605" s="0" t="s">
        <v>403</v>
      </c>
      <c r="C2605" s="15" t="n">
        <f aca="false">(Sens!C2600*tk_hold_h100+Sens!C2601*tk_hold_gb200+Sens!C2602*tk_hold_gb300+Sens!C2604*tk_hold_vr200+Sens!C2603*nv_hold_mai*tk_hold_vr200)/Sens!C2592</f>
        <v>9.7235358126469</v>
      </c>
      <c r="D2605" s="15" t="n">
        <f aca="false">(Sens!D2600*tk_hold_h100+Sens!D2601*tk_hold_gb200+Sens!D2602*tk_hold_gb300+Sens!D2604*tk_hold_vr200+Sens!D2603*nv_hold_mai*tk_hold_vr200)/Sens!D2592</f>
        <v>9.7235358126469</v>
      </c>
      <c r="E2605" s="15" t="n">
        <f aca="false">(Sens!E2600*tk_hold_h100+Sens!E2601*tk_hold_gb200+Sens!E2602*tk_hold_gb300+Sens!E2604*tk_hold_vr200+Sens!E2603*nv_hold_mai*tk_hold_vr200)/Sens!E2592</f>
        <v>9.7235358126469</v>
      </c>
      <c r="F2605" s="15" t="n">
        <f aca="false">(Sens!F2600*tk_hold_h100+Sens!F2601*tk_hold_gb200+Sens!F2602*tk_hold_gb300+Sens!F2604*tk_hold_vr200+Sens!F2603*nv_hold_mai*tk_hold_vr200)/Sens!F2592</f>
        <v>10.2195353876665</v>
      </c>
      <c r="G2605" s="15" t="n">
        <f aca="false">(Sens!G2600*tk_hold_h100+Sens!G2601*tk_hold_gb200+Sens!G2602*tk_hold_gb300+Sens!G2604*tk_hold_vr200+Sens!G2603*nv_hold_mai*tk_hold_vr200)/Sens!G2592</f>
        <v>10.5725598017306</v>
      </c>
      <c r="H2605" s="15" t="n">
        <f aca="false">(Sens!H2600*tk_hold_h100+Sens!H2601*tk_hold_gb200+Sens!H2602*tk_hold_gb300+Sens!H2604*tk_hold_vr200+Sens!H2603*nv_hold_mai*tk_hold_vr200)/Sens!H2592</f>
        <v>10.8210427149036</v>
      </c>
      <c r="I2605" s="15" t="n">
        <f aca="false">(Sens!I2600*tk_hold_h100+Sens!I2601*tk_hold_gb200+Sens!I2602*tk_hold_gb300+Sens!I2604*tk_hold_vr200+Sens!I2603*nv_hold_mai*tk_hold_vr200)/Sens!I2592</f>
        <v>11.0050618241982</v>
      </c>
      <c r="J2605" s="15" t="n">
        <f aca="false">(Sens!J2600*tk_hold_h100+Sens!J2601*tk_hold_gb200+Sens!J2602*tk_hold_gb300+Sens!J2604*tk_hold_vr200+Sens!J2603*nv_hold_mai*tk_hold_vr200)/Sens!J2592</f>
        <v>11.1505789658881</v>
      </c>
      <c r="K2605" s="15" t="n">
        <f aca="false">(Sens!K2600*tk_hold_h100+Sens!K2601*tk_hold_gb200+Sens!K2602*tk_hold_gb300+Sens!K2604*tk_hold_vr200+Sens!K2603*nv_hold_mai*tk_hold_vr200)/Sens!K2592</f>
        <v>11.3496914757183</v>
      </c>
      <c r="L2605" s="1" t="s">
        <v>973</v>
      </c>
    </row>
    <row r="2606" customFormat="false" ht="17.15" hidden="false" customHeight="false" outlineLevel="0" collapsed="false">
      <c r="A2606" s="1" t="s">
        <v>974</v>
      </c>
      <c r="B2606" s="0" t="s">
        <v>403</v>
      </c>
      <c r="C2606" s="15" t="n">
        <f aca="false">(Sens!C2600*tk_hold_h100+Sens!C2601*tk_hold_gb200+Sens!C2602*tk_hold_gb300+Sens!C2604*tk_hold_vr200+Sens!C2603*nv_out_mai*tk_hold_vr200)/Sens!C2592</f>
        <v>9.7235358126469</v>
      </c>
      <c r="D2606" s="15" t="n">
        <f aca="false">(Sens!D2600*tk_hold_h100+Sens!D2601*tk_hold_gb200+Sens!D2602*tk_hold_gb300+Sens!D2604*tk_hold_vr200+Sens!D2603*nv_out_mai*tk_hold_vr200)/Sens!D2592</f>
        <v>9.7235358126469</v>
      </c>
      <c r="E2606" s="15" t="n">
        <f aca="false">(Sens!E2600*tk_hold_h100+Sens!E2601*tk_hold_gb200+Sens!E2602*tk_hold_gb300+Sens!E2604*tk_hold_vr200+Sens!E2603*nv_out_mai*tk_hold_vr200)/Sens!E2592</f>
        <v>9.7235358126469</v>
      </c>
      <c r="F2606" s="15" t="n">
        <f aca="false">(Sens!F2600*tk_hold_h100+Sens!F2601*tk_hold_gb200+Sens!F2602*tk_hold_gb300+Sens!F2604*tk_hold_vr200+Sens!F2603*nv_out_mai*tk_hold_vr200)/Sens!F2592</f>
        <v>10.247422093969</v>
      </c>
      <c r="G2606" s="15" t="n">
        <f aca="false">(Sens!G2600*tk_hold_h100+Sens!G2601*tk_hold_gb200+Sens!G2602*tk_hold_gb300+Sens!G2604*tk_hold_vr200+Sens!G2603*nv_out_mai*tk_hold_vr200)/Sens!G2592</f>
        <v>10.6108602808053</v>
      </c>
      <c r="H2606" s="15" t="n">
        <f aca="false">(Sens!H2600*tk_hold_h100+Sens!H2601*tk_hold_gb200+Sens!H2602*tk_hold_gb300+Sens!H2604*tk_hold_vr200+Sens!H2603*nv_out_mai*tk_hold_vr200)/Sens!H2592</f>
        <v>10.8647885507393</v>
      </c>
      <c r="I2606" s="15" t="n">
        <f aca="false">(Sens!I2600*tk_hold_h100+Sens!I2601*tk_hold_gb200+Sens!I2602*tk_hold_gb300+Sens!I2604*tk_hold_vr200+Sens!I2603*nv_out_mai*tk_hold_vr200)/Sens!I2592</f>
        <v>11.0535625770025</v>
      </c>
      <c r="J2606" s="15" t="n">
        <f aca="false">(Sens!J2600*tk_hold_h100+Sens!J2601*tk_hold_gb200+Sens!J2602*tk_hold_gb300+Sens!J2604*tk_hold_vr200+Sens!J2603*nv_out_mai*tk_hold_vr200)/Sens!J2592</f>
        <v>11.2032127128058</v>
      </c>
      <c r="K2606" s="15" t="n">
        <f aca="false">(Sens!K2600*tk_hold_h100+Sens!K2601*tk_hold_gb200+Sens!K2602*tk_hold_gb300+Sens!K2604*tk_hold_vr200+Sens!K2603*nv_out_mai*tk_hold_vr200)/Sens!K2592</f>
        <v>11.4085735724225</v>
      </c>
      <c r="L2606" s="12" t="s">
        <v>975</v>
      </c>
    </row>
    <row r="2607" customFormat="false" ht="17.15" hidden="false" customHeight="false" outlineLevel="0" collapsed="false">
      <c r="A2607" s="0" t="s">
        <v>976</v>
      </c>
      <c r="B2607" s="0" t="s">
        <v>229</v>
      </c>
      <c r="C2607" s="15" t="n">
        <f aca="false">k_B</f>
        <v>1.17213932619116</v>
      </c>
      <c r="D2607" s="15" t="n">
        <f aca="false">k_B</f>
        <v>1.17213932619116</v>
      </c>
      <c r="E2607" s="15" t="n">
        <f aca="false">k_B</f>
        <v>1.17213932619116</v>
      </c>
      <c r="F2607" s="15" t="n">
        <f aca="false">(k_B+((ls_A*k_long+(1-ls_A)*k_spot)-k_B)*MIN(1,(Sens!F2590-base_fy)/k_ramp))</f>
        <v>1.25022828131298</v>
      </c>
      <c r="G2607" s="15" t="n">
        <f aca="false">(k_B+((ls_A*k_long+(1-ls_A)*k_spot)-k_B)*MIN(1,(Sens!G2590-base_fy)/k_ramp))</f>
        <v>1.3283172364348</v>
      </c>
      <c r="H2607" s="15" t="n">
        <f aca="false">(k_B+((ls_A*k_long+(1-ls_A)*k_spot)-k_B)*MIN(1,(Sens!H2590-base_fy)/k_ramp))</f>
        <v>1.40640619155662</v>
      </c>
      <c r="I2607" s="15" t="n">
        <f aca="false">(k_B+((ls_A*k_long+(1-ls_A)*k_spot)-k_B)*MIN(1,(Sens!I2590-base_fy)/k_ramp))</f>
        <v>1.40640619155662</v>
      </c>
      <c r="J2607" s="15" t="n">
        <f aca="false">(k_B+((ls_A*k_long+(1-ls_A)*k_spot)-k_B)*MIN(1,(Sens!J2590-base_fy)/k_ramp))</f>
        <v>1.40640619155662</v>
      </c>
      <c r="K2607" s="15" t="n">
        <f aca="false">(k_B+((ls_A*k_long+(1-ls_A)*k_spot)-k_B)*MIN(1,(Sens!K2590-base_fy)/k_ramp))</f>
        <v>1.40640619155662</v>
      </c>
      <c r="L2607" s="1" t="s">
        <v>977</v>
      </c>
    </row>
    <row r="2608" customFormat="false" ht="17.15" hidden="false" customHeight="false" outlineLevel="0" collapsed="false">
      <c r="A2608" s="1" t="s">
        <v>978</v>
      </c>
      <c r="B2608" s="0" t="s">
        <v>403</v>
      </c>
      <c r="C2608" s="15" t="n">
        <f aca="false">Sens!C2606*Sens!C2607*chip_f</f>
        <v>11.3973387156315</v>
      </c>
      <c r="D2608" s="15" t="n">
        <f aca="false">Sens!D2606*Sens!D2607*chip_f</f>
        <v>11.3973387156315</v>
      </c>
      <c r="E2608" s="15" t="n">
        <f aca="false">Sens!E2606*Sens!E2607*chip_f</f>
        <v>11.3973387156315</v>
      </c>
      <c r="F2608" s="15" t="n">
        <f aca="false">Sens!F2606*Sens!F2607*chip_f</f>
        <v>12.8116169124314</v>
      </c>
      <c r="G2608" s="15" t="n">
        <f aca="false">Sens!G2606*Sens!G2607*chip_f</f>
        <v>14.094588604395</v>
      </c>
      <c r="H2608" s="15" t="n">
        <f aca="false">Sens!H2606*Sens!H2607*chip_f</f>
        <v>15.2803058877132</v>
      </c>
      <c r="I2608" s="15" t="n">
        <f aca="false">Sens!I2606*Sens!I2607*chip_f</f>
        <v>15.5457988470549</v>
      </c>
      <c r="J2608" s="15" t="n">
        <f aca="false">Sens!J2606*Sens!J2607*chip_f</f>
        <v>15.7562677246158</v>
      </c>
      <c r="K2608" s="15" t="n">
        <f aca="false">Sens!K2606*Sens!K2607*chip_f</f>
        <v>16.0450885090842</v>
      </c>
      <c r="L2608" s="1" t="s">
        <v>979</v>
      </c>
    </row>
    <row r="2609" customFormat="false" ht="17.15" hidden="false" customHeight="false" outlineLevel="0" collapsed="false">
      <c r="A2609" s="0" t="s">
        <v>980</v>
      </c>
      <c r="B2609" s="0" t="s">
        <v>98</v>
      </c>
      <c r="D2609" s="6" t="n">
        <f aca="false">(Sens!C2592+Sens!D2592)/2*Sens!D2608/1000</f>
        <v>12.9359794422418</v>
      </c>
      <c r="E2609" s="6" t="n">
        <f aca="false">(Sens!D2592+Sens!E2592)/2*Sens!E2608/1000</f>
        <v>27.8095064661409</v>
      </c>
      <c r="F2609" s="6" t="n">
        <f aca="false">(Sens!E2592+Sens!F2592)/2*Sens!F2608/1000</f>
        <v>59.1034165651511</v>
      </c>
      <c r="G2609" s="6" t="n">
        <f aca="false">(Sens!F2592+Sens!G2592)/2*Sens!G2608/1000</f>
        <v>103.451498789198</v>
      </c>
      <c r="H2609" s="6" t="n">
        <f aca="false">(Sens!G2592+Sens!H2592)/2*Sens!H2608/1000</f>
        <v>153.816719989035</v>
      </c>
      <c r="I2609" s="6" t="n">
        <f aca="false">(Sens!H2592+Sens!I2592)/2*Sens!I2608/1000</f>
        <v>192.699478690852</v>
      </c>
      <c r="J2609" s="6" t="n">
        <f aca="false">(Sens!I2592+Sens!J2592)/2*Sens!J2608/1000</f>
        <v>219.794102584244</v>
      </c>
      <c r="K2609" s="6" t="n">
        <f aca="false">(Sens!J2592+Sens!K2592)/2*Sens!K2608/1000</f>
        <v>236.757046905022</v>
      </c>
      <c r="L2609" s="12" t="s">
        <v>981</v>
      </c>
    </row>
    <row r="2610" customFormat="false" ht="17.15" hidden="false" customHeight="false" outlineLevel="0" collapsed="false">
      <c r="A2610" s="1" t="s">
        <v>982</v>
      </c>
      <c r="B2610" s="0" t="s">
        <v>403</v>
      </c>
      <c r="C2610" s="15" t="n">
        <f aca="false">(Sens!C2600*tk_opex_h100+Sens!C2601*tk_opex_gb200+Sens!C2602*tk_opex_gb300+(Sens!C2604+Sens!C2603)*tk_opex_vr200)/Sens!C2592</f>
        <v>1.88636041306092</v>
      </c>
      <c r="D2610" s="15" t="n">
        <f aca="false">(Sens!D2600*tk_opex_h100+Sens!D2601*tk_opex_gb200+Sens!D2602*tk_opex_gb300+(Sens!D2604+Sens!D2603)*tk_opex_vr200)/Sens!D2592</f>
        <v>1.88636041306092</v>
      </c>
      <c r="E2610" s="15" t="n">
        <f aca="false">(Sens!E2600*tk_opex_h100+Sens!E2601*tk_opex_gb200+Sens!E2602*tk_opex_gb300+(Sens!E2604+Sens!E2603)*tk_opex_vr200)/Sens!E2592</f>
        <v>1.88636041306092</v>
      </c>
      <c r="F2610" s="15" t="n">
        <f aca="false">(Sens!F2600*tk_opex_h100+Sens!F2601*tk_opex_gb200+Sens!F2602*tk_opex_gb300+(Sens!F2604+Sens!F2603)*tk_opex_vr200)/Sens!F2592</f>
        <v>1.95051159746876</v>
      </c>
      <c r="G2610" s="15" t="n">
        <f aca="false">(Sens!G2600*tk_opex_h100+Sens!G2601*tk_opex_gb200+Sens!G2602*tk_opex_gb300+(Sens!G2604+Sens!G2603)*tk_opex_vr200)/Sens!G2592</f>
        <v>1.98836003669956</v>
      </c>
      <c r="H2610" s="15" t="n">
        <f aca="false">(Sens!H2600*tk_opex_h100+Sens!H2601*tk_opex_gb200+Sens!H2602*tk_opex_gb300+(Sens!H2604+Sens!H2603)*tk_opex_vr200)/Sens!H2592</f>
        <v>2.01344013834343</v>
      </c>
      <c r="I2610" s="15" t="n">
        <f aca="false">(Sens!I2600*tk_opex_h100+Sens!I2601*tk_opex_gb200+Sens!I2602*tk_opex_gb300+(Sens!I2604+Sens!I2603)*tk_opex_vr200)/Sens!I2592</f>
        <v>2.03261166882178</v>
      </c>
      <c r="J2610" s="15" t="n">
        <f aca="false">(Sens!J2600*tk_opex_h100+Sens!J2601*tk_opex_gb200+Sens!J2602*tk_opex_gb300+(Sens!J2604+Sens!J2603)*tk_opex_vr200)/Sens!J2592</f>
        <v>2.04808073288745</v>
      </c>
      <c r="K2610" s="15" t="n">
        <f aca="false">(Sens!K2600*tk_opex_h100+Sens!K2601*tk_opex_gb200+Sens!K2602*tk_opex_gb300+(Sens!K2604+Sens!K2603)*tk_opex_vr200)/Sens!K2592</f>
        <v>2.06973825807449</v>
      </c>
      <c r="L2610" s="12" t="s">
        <v>983</v>
      </c>
    </row>
    <row r="2611" customFormat="false" ht="17.15" hidden="false" customHeight="false" outlineLevel="0" collapsed="false">
      <c r="A2611" s="0" t="s">
        <v>984</v>
      </c>
      <c r="B2611" s="0" t="s">
        <v>98</v>
      </c>
      <c r="D2611" s="6" t="n">
        <f aca="false">(Sens!C2595+Sens!D2595)/2*Sens!D2610/1000</f>
        <v>2.16302660697652</v>
      </c>
      <c r="E2611" s="6" t="n">
        <f aca="false">(Sens!D2595+Sens!E2595)/2*Sens!E2610/1000</f>
        <v>4.9422642822196</v>
      </c>
      <c r="F2611" s="6" t="n">
        <f aca="false">(Sens!E2595+Sens!F2595)/2*Sens!F2610/1000</f>
        <v>10.2993970471389</v>
      </c>
      <c r="G2611" s="6" t="n">
        <f aca="false">(Sens!F2595+Sens!G2595)/2*Sens!G2610/1000</f>
        <v>17.4546267717022</v>
      </c>
      <c r="H2611" s="6" t="n">
        <f aca="false">(Sens!G2595+Sens!H2595)/2*Sens!H2610/1000</f>
        <v>24.9944103031787</v>
      </c>
      <c r="I2611" s="6" t="n">
        <f aca="false">(Sens!H2595+Sens!I2595)/2*Sens!I2610/1000</f>
        <v>31.5450445954614</v>
      </c>
      <c r="J2611" s="6" t="n">
        <f aca="false">(Sens!I2595+Sens!J2595)/2*Sens!J2610/1000</f>
        <v>36.0288254582922</v>
      </c>
      <c r="K2611" s="6" t="n">
        <f aca="false">(Sens!J2595+Sens!K2595)/2*Sens!K2610/1000</f>
        <v>38.6343781672925</v>
      </c>
    </row>
    <row r="2612" customFormat="false" ht="17.15" hidden="false" customHeight="false" outlineLevel="0" collapsed="false">
      <c r="A2612" s="0" t="s">
        <v>985</v>
      </c>
      <c r="B2612" s="0" t="s">
        <v>98</v>
      </c>
      <c r="D2612" s="6" t="n">
        <f aca="false">(Sens!C2593+Sens!D2593)/2*rent_mw/1000</f>
        <v>2.44475</v>
      </c>
      <c r="E2612" s="6" t="n">
        <f aca="false">(Sens!D2593+Sens!E2593)/2*rent_mw/1000</f>
        <v>4.22275</v>
      </c>
      <c r="F2612" s="6" t="n">
        <f aca="false">(Sens!E2593+Sens!F2593)/2*rent_mw/1000</f>
        <v>5.80517</v>
      </c>
      <c r="G2612" s="6" t="n">
        <f aca="false">(Sens!F2593+Sens!G2593)/2*rent_mw/1000</f>
        <v>6.72084</v>
      </c>
      <c r="H2612" s="6" t="n">
        <f aca="false">(Sens!G2593+Sens!H2593)/2*rent_mw/1000</f>
        <v>6.72084</v>
      </c>
      <c r="I2612" s="6" t="n">
        <f aca="false">(Sens!H2593+Sens!I2593)/2*rent_mw/1000</f>
        <v>6.72084</v>
      </c>
      <c r="J2612" s="6" t="n">
        <f aca="false">(Sens!I2593+Sens!J2593)/2*rent_mw/1000</f>
        <v>6.72084</v>
      </c>
      <c r="K2612" s="6" t="n">
        <f aca="false">(Sens!J2593+Sens!K2593)/2*rent_mw/1000</f>
        <v>6.72084</v>
      </c>
    </row>
    <row r="2613" customFormat="false" ht="17.15" hidden="false" customHeight="false" outlineLevel="0" collapsed="false">
      <c r="A2613" s="0" t="s">
        <v>986</v>
      </c>
      <c r="B2613" s="0" t="s">
        <v>98</v>
      </c>
      <c r="D2613" s="6" t="n">
        <f aca="false">(Sens!C2595+Sens!D2595)/2*(1-self_build)*fac_rent/1000</f>
        <v>0.682593900504861</v>
      </c>
      <c r="E2613" s="6" t="n">
        <f aca="false">(Sens!D2595+Sens!E2595)/2*(1-self_build)*fac_rent/1000</f>
        <v>1.55964769126983</v>
      </c>
      <c r="F2613" s="6" t="n">
        <f aca="false">(Sens!E2595+Sens!F2595)/2*(1-self_build)*fac_rent/1000</f>
        <v>3.14331915581085</v>
      </c>
      <c r="G2613" s="6" t="n">
        <f aca="false">(Sens!F2595+Sens!G2595)/2*(1-self_build)*fac_rent/1000</f>
        <v>5.22565526862528</v>
      </c>
      <c r="H2613" s="6" t="n">
        <f aca="false">(Sens!G2595+Sens!H2595)/2*(1-self_build)*fac_rent/1000</f>
        <v>7.38974390673273</v>
      </c>
      <c r="I2613" s="6" t="n">
        <f aca="false">(Sens!H2595+Sens!I2595)/2*(1-self_build)*fac_rent/1000</f>
        <v>9.23851028459141</v>
      </c>
      <c r="J2613" s="6" t="n">
        <f aca="false">(Sens!I2595+Sens!J2595)/2*(1-self_build)*fac_rent/1000</f>
        <v>10.4719665831286</v>
      </c>
      <c r="K2613" s="6" t="n">
        <f aca="false">(Sens!J2595+Sens!K2595)/2*(1-self_build)*fac_rent/1000</f>
        <v>11.1117820501244</v>
      </c>
      <c r="L2613" s="12" t="s">
        <v>987</v>
      </c>
    </row>
    <row r="2614" customFormat="false" ht="17.15" hidden="false" customHeight="false" outlineLevel="0" collapsed="false">
      <c r="A2614" s="1" t="s">
        <v>988</v>
      </c>
      <c r="B2614" s="0" t="s">
        <v>168</v>
      </c>
      <c r="D2614" s="7" t="n">
        <f aca="false">(Sens!C2594+Sens!D2594)/(Sens!C2595+Sens!D2595)</f>
        <v>0.75</v>
      </c>
      <c r="E2614" s="7" t="n">
        <f aca="false">(Sens!D2594+Sens!E2594)/(Sens!D2595+Sens!E2595)</f>
        <v>0.75</v>
      </c>
      <c r="F2614" s="7" t="n">
        <f aca="false">(Sens!E2594+Sens!F2594)/(Sens!E2595+Sens!F2595)</f>
        <v>0.75</v>
      </c>
      <c r="G2614" s="7" t="n">
        <f aca="false">(Sens!F2594+Sens!G2594)/(Sens!F2595+Sens!G2595)</f>
        <v>0.75</v>
      </c>
      <c r="H2614" s="7" t="n">
        <f aca="false">(Sens!G2594+Sens!H2594)/(Sens!G2595+Sens!H2595)</f>
        <v>0.75</v>
      </c>
      <c r="I2614" s="7" t="n">
        <f aca="false">(Sens!H2594+Sens!I2594)/(Sens!H2595+Sens!I2595)</f>
        <v>0.75</v>
      </c>
      <c r="J2614" s="7" t="n">
        <f aca="false">(Sens!I2594+Sens!J2594)/(Sens!I2595+Sens!J2595)</f>
        <v>0.75</v>
      </c>
      <c r="K2614" s="7" t="n">
        <f aca="false">(Sens!J2594+Sens!K2594)/(Sens!J2595+Sens!K2595)</f>
        <v>0.75</v>
      </c>
    </row>
    <row r="2615" customFormat="false" ht="17.15" hidden="false" customHeight="false" outlineLevel="0" collapsed="false">
      <c r="A2615" s="0" t="s">
        <v>989</v>
      </c>
      <c r="B2615" s="0" t="s">
        <v>98</v>
      </c>
      <c r="D2615" s="6" t="n">
        <f aca="false">Sens!D2609-Sens!D2614*(Sens!D2611+Sens!D2613)-Sens!D2612</f>
        <v>8.35701406163072</v>
      </c>
      <c r="E2615" s="6" t="n">
        <f aca="false">Sens!E2609-Sens!E2614*(Sens!E2611+Sens!E2613)-Sens!E2612</f>
        <v>18.7103224860238</v>
      </c>
      <c r="F2615" s="6" t="n">
        <f aca="false">Sens!F2609-Sens!F2614*(Sens!F2611+Sens!F2613)-Sens!F2612</f>
        <v>43.2162094129388</v>
      </c>
      <c r="G2615" s="6" t="n">
        <f aca="false">Sens!G2609-Sens!G2614*(Sens!G2611+Sens!G2613)-Sens!G2612</f>
        <v>79.7204472589529</v>
      </c>
      <c r="H2615" s="6" t="n">
        <f aca="false">Sens!H2609-Sens!H2614*(Sens!H2611+Sens!H2613)-Sens!H2612</f>
        <v>122.807764331602</v>
      </c>
      <c r="I2615" s="6" t="n">
        <f aca="false">Sens!I2609-Sens!I2614*(Sens!I2611+Sens!I2613)-Sens!I2612</f>
        <v>155.390972530813</v>
      </c>
      <c r="J2615" s="6" t="n">
        <f aca="false">Sens!J2609-Sens!J2614*(Sens!J2611+Sens!J2613)-Sens!J2612</f>
        <v>178.197668553178</v>
      </c>
      <c r="K2615" s="6" t="n">
        <f aca="false">Sens!K2609-Sens!K2614*(Sens!K2611+Sens!K2613)-Sens!K2612</f>
        <v>192.726586741959</v>
      </c>
    </row>
    <row r="2616" customFormat="false" ht="17.15" hidden="false" customHeight="false" outlineLevel="0" collapsed="false">
      <c r="A2616" s="1" t="s">
        <v>990</v>
      </c>
      <c r="B2616" s="0" t="s">
        <v>98</v>
      </c>
      <c r="D2616" s="6" t="n">
        <f aca="false">(1-Sens!D2614)*(Sens!D2611+Sens!D2613)</f>
        <v>0.711405126870345</v>
      </c>
      <c r="E2616" s="6" t="n">
        <f aca="false">(1-Sens!E2614)*(Sens!E2611+Sens!E2613)</f>
        <v>1.62547799337236</v>
      </c>
      <c r="F2616" s="6" t="n">
        <f aca="false">(1-Sens!F2614)*(Sens!F2611+Sens!F2613)</f>
        <v>3.36067905073745</v>
      </c>
      <c r="G2616" s="6" t="n">
        <f aca="false">(1-Sens!G2614)*(Sens!G2611+Sens!G2613)</f>
        <v>5.67007051008187</v>
      </c>
      <c r="H2616" s="6" t="n">
        <f aca="false">(1-Sens!H2614)*(Sens!H2611+Sens!H2613)</f>
        <v>8.09603855247786</v>
      </c>
      <c r="I2616" s="6" t="n">
        <f aca="false">(1-Sens!I2614)*(Sens!I2611+Sens!I2613)</f>
        <v>10.1958887200132</v>
      </c>
      <c r="J2616" s="6" t="n">
        <f aca="false">(1-Sens!J2614)*(Sens!J2611+Sens!J2613)</f>
        <v>11.6251980103552</v>
      </c>
      <c r="K2616" s="6" t="n">
        <f aca="false">(1-Sens!K2614)*(Sens!K2611+Sens!K2613)</f>
        <v>12.4365400543542</v>
      </c>
    </row>
    <row r="2617" customFormat="false" ht="17.15" hidden="false" customHeight="false" outlineLevel="0" collapsed="false">
      <c r="A2617" s="1" t="s">
        <v>991</v>
      </c>
      <c r="B2617" s="0" t="s">
        <v>417</v>
      </c>
      <c r="C2617" s="8" t="n">
        <f aca="false">cxit_open</f>
        <v>27.5918995</v>
      </c>
      <c r="D2617" s="8" t="n">
        <f aca="false">cxit_open</f>
        <v>27.5918995</v>
      </c>
      <c r="E2617" s="8" t="n">
        <f aca="false">cxit_open</f>
        <v>27.5918995</v>
      </c>
      <c r="F2617" s="8" t="n">
        <f aca="false">((a_g3_27-nonnv*a_mai)*tk_cxit_gb300+nonnv*a_mai*nv_hold_mai*tk_cxit_vr200+(1-a_g3_27)*tk_cxit_vr200)</f>
        <v>32.4975576</v>
      </c>
      <c r="G2617" s="8" t="n">
        <f aca="false">((a_g3_28-nonnv*a_mai)*tk_cxit_gb300+nonnv*a_mai*nv_hold_mai*tk_cxit_vr200+(1-a_g3_28)*tk_cxit_vr200)</f>
        <v>34.6372088</v>
      </c>
      <c r="H2617" s="8" t="n">
        <f aca="false">((a_g3_29-nonnv*a_mai)*tk_cxit_gb300+nonnv*a_mai*nv_hold_mai*tk_cxit_vr200+(1-a_g3_29)*tk_cxit_vr200)</f>
        <v>35.7070344</v>
      </c>
      <c r="I2617" s="8" t="n">
        <f aca="false">((a_g3_29-nonnv*a_mai)*tk_cxit_gb300+nonnv*a_mai*nv_hold_mai*tk_cxit_vr200+(1-a_g3_29)*tk_cxit_vr200)</f>
        <v>35.7070344</v>
      </c>
      <c r="J2617" s="8" t="n">
        <f aca="false">((a_g3_29-nonnv*a_mai)*tk_cxit_gb300+nonnv*a_mai*nv_hold_mai*tk_cxit_vr200+(1-a_g3_29)*tk_cxit_vr200)</f>
        <v>35.7070344</v>
      </c>
      <c r="K2617" s="8" t="n">
        <f aca="false">((a_g3_29-nonnv*a_mai)*tk_cxit_gb300+nonnv*a_mai*nv_hold_mai*tk_cxit_vr200+(1-a_g3_29)*tk_cxit_vr200)</f>
        <v>35.7070344</v>
      </c>
      <c r="L2617" s="12" t="s">
        <v>992</v>
      </c>
    </row>
    <row r="2618" customFormat="false" ht="17.15" hidden="false" customHeight="false" outlineLevel="0" collapsed="false">
      <c r="A2618" s="0" t="s">
        <v>993</v>
      </c>
      <c r="B2618" s="0" t="s">
        <v>459</v>
      </c>
      <c r="F2618" s="30" t="n">
        <f aca="false">Sens!C2597*IF(Sens!F2590-Sens!C2590=life_it,1,0)+Sens!D2597*IF(Sens!F2590-Sens!D2590=life_it,1,0)+Sens!E2597*IF(Sens!F2590-Sens!E2590=life_it,1,0)</f>
        <v>0</v>
      </c>
      <c r="G2618" s="30" t="n">
        <f aca="false">Sens!C2597*IF(Sens!G2590-Sens!C2590=life_it,1,0)+Sens!D2597*IF(Sens!G2590-Sens!D2590=life_it,1,0)+Sens!E2597*IF(Sens!G2590-Sens!E2590=life_it,1,0)+Sens!F2597*IF(Sens!G2590-Sens!F2590=life_it,1,0)</f>
        <v>0</v>
      </c>
      <c r="H2618" s="30" t="n">
        <f aca="false">Sens!C2597*IF(Sens!H2590-Sens!C2590=life_it,1,0)+Sens!D2597*IF(Sens!H2590-Sens!D2590=life_it,1,0)+Sens!E2597*IF(Sens!H2590-Sens!E2590=life_it,1,0)+Sens!F2597*IF(Sens!H2590-Sens!F2590=life_it,1,0)+Sens!G2597*IF(Sens!H2590-Sens!G2590=life_it,1,0)</f>
        <v>0</v>
      </c>
      <c r="I2618" s="30" t="n">
        <f aca="false">Sens!C2597*IF(Sens!I2590-Sens!C2590=life_it,1,0)+Sens!D2597*IF(Sens!I2590-Sens!D2590=life_it,1,0)+Sens!E2597*IF(Sens!I2590-Sens!E2590=life_it,1,0)+Sens!F2597*IF(Sens!I2590-Sens!F2590=life_it,1,0)+Sens!G2597*IF(Sens!I2590-Sens!G2590=life_it,1,0)+Sens!H2597*IF(Sens!I2590-Sens!H2590=life_it,1,0)</f>
        <v>653.333333333333</v>
      </c>
      <c r="J2618" s="30" t="n">
        <f aca="false">Sens!C2597*IF(Sens!J2590-Sens!C2590=life_it,1,0)+Sens!D2597*IF(Sens!J2590-Sens!D2590=life_it,1,0)+Sens!E2597*IF(Sens!J2590-Sens!E2590=life_it,1,0)+Sens!F2597*IF(Sens!J2590-Sens!F2590=life_it,1,0)+Sens!G2597*IF(Sens!J2590-Sens!G2590=life_it,1,0)+Sens!H2597*IF(Sens!J2590-Sens!H2590=life_it,1,0)+Sens!I2597*IF(Sens!J2590-Sens!I2590=life_it,1,0)</f>
        <v>986.666666666667</v>
      </c>
      <c r="K2618" s="30" t="n">
        <f aca="false">Sens!C2597*IF(Sens!K2590-Sens!C2590=life_it,1,0)+Sens!D2597*IF(Sens!K2590-Sens!D2590=life_it,1,0)+Sens!E2597*IF(Sens!K2590-Sens!E2590=life_it,1,0)+Sens!F2597*IF(Sens!K2590-Sens!F2590=life_it,1,0)+Sens!G2597*IF(Sens!K2590-Sens!G2590=life_it,1,0)+Sens!H2597*IF(Sens!K2590-Sens!H2590=life_it,1,0)+Sens!I2597*IF(Sens!K2590-Sens!I2590=life_it,1,0)+Sens!J2597*IF(Sens!K2590-Sens!J2590=life_it,1,0)</f>
        <v>1960</v>
      </c>
      <c r="L2618" s="1" t="s">
        <v>994</v>
      </c>
    </row>
    <row r="2619" customFormat="false" ht="17.15" hidden="false" customHeight="false" outlineLevel="0" collapsed="false">
      <c r="A2619" s="0" t="s">
        <v>995</v>
      </c>
      <c r="B2619" s="0" t="s">
        <v>98</v>
      </c>
      <c r="C2619" s="6" t="n">
        <f aca="false">Sens!C2597*Sens!C2617/1000</f>
        <v>18.0267076733333</v>
      </c>
      <c r="D2619" s="6" t="n">
        <f aca="false">Sens!D2597*Sens!D2617/1000</f>
        <v>27.2240075066667</v>
      </c>
      <c r="E2619" s="6" t="n">
        <f aca="false">Sens!E2597*Sens!E2617/1000</f>
        <v>54.08012302</v>
      </c>
      <c r="F2619" s="6" t="n">
        <f aca="false">(Sens!F2597+Sens!F2618)*Sens!F2617/1000</f>
        <v>109.214979460096</v>
      </c>
      <c r="G2619" s="6" t="n">
        <f aca="false">(Sens!G2597+Sens!G2618)*Sens!G2617/1000</f>
        <v>125.919420745638</v>
      </c>
      <c r="H2619" s="6" t="n">
        <f aca="false">(Sens!H2597+Sens!H2618)*Sens!H2617/1000</f>
        <v>129.80864347801</v>
      </c>
      <c r="I2619" s="6" t="n">
        <f aca="false">(Sens!I2597+Sens!I2618)*Sens!I2617/1000</f>
        <v>115.309255588347</v>
      </c>
      <c r="J2619" s="6" t="n">
        <f aca="false">(Sens!J2597+Sens!J2618)*Sens!J2617/1000</f>
        <v>91.2232298862909</v>
      </c>
      <c r="K2619" s="6" t="n">
        <f aca="false">(Sens!K2597+Sens!K2618)*Sens!K2617/1000</f>
        <v>90.74966828078</v>
      </c>
    </row>
    <row r="2620" customFormat="false" ht="17.15" hidden="false" customHeight="false" outlineLevel="0" collapsed="false">
      <c r="A2620" s="0" t="s">
        <v>996</v>
      </c>
      <c r="B2620" s="0" t="s">
        <v>98</v>
      </c>
      <c r="C2620" s="6" t="n">
        <f aca="false">Sens!C2597*self_build*tk_cxfac/1000</f>
        <v>4.96664</v>
      </c>
      <c r="D2620" s="6" t="n">
        <f aca="false">Sens!D2597*self_build*tk_cxfac/1000</f>
        <v>7.50064</v>
      </c>
      <c r="E2620" s="6" t="n">
        <f aca="false">Sens!E2597*self_build*tk_cxfac/1000</f>
        <v>14.89992</v>
      </c>
      <c r="F2620" s="6" t="n">
        <f aca="false">Sens!F2597*self_build*tk_cxfac/1000</f>
        <v>25.5481437736</v>
      </c>
      <c r="G2620" s="6" t="n">
        <f aca="false">Sens!G2597*self_build*tk_cxfac/1000</f>
        <v>27.6361597736</v>
      </c>
      <c r="H2620" s="6" t="n">
        <f aca="false">Sens!H2597*self_build*tk_cxfac/1000</f>
        <v>27.6361597736</v>
      </c>
      <c r="I2620" s="6" t="n">
        <f aca="false">Sens!I2597*self_build*tk_cxfac/1000</f>
        <v>19.5826113089413</v>
      </c>
      <c r="J2620" s="6" t="n">
        <f aca="false">Sens!J2597*self_build*tk_cxfac/1000</f>
        <v>11.9207150704615</v>
      </c>
      <c r="K2620" s="6" t="n">
        <f aca="false">Sens!K2597*self_build*tk_cxfac/1000</f>
        <v>4.42061417100608</v>
      </c>
    </row>
    <row r="2621" customFormat="false" ht="17.15" hidden="false" customHeight="false" outlineLevel="0" collapsed="false">
      <c r="A2621" s="0" t="s">
        <v>997</v>
      </c>
      <c r="B2621" s="0" t="s">
        <v>98</v>
      </c>
      <c r="F2621" s="15" t="n">
        <f aca="false">capex_floor27-Sens!F2619-Sens!F2620-Sens!F2717</f>
        <v>33.7383582536815</v>
      </c>
      <c r="L2621" s="12" t="s">
        <v>998</v>
      </c>
    </row>
    <row r="2622" customFormat="false" ht="17.15" hidden="false" customHeight="false" outlineLevel="0" collapsed="false">
      <c r="A2622" s="0" t="s">
        <v>999</v>
      </c>
      <c r="B2622" s="0" t="s">
        <v>98</v>
      </c>
      <c r="F2622" s="6" t="n">
        <f aca="false">MAX(0,Sens!F2621)</f>
        <v>33.7383582536815</v>
      </c>
    </row>
    <row r="2623" customFormat="false" ht="17.15" hidden="false" customHeight="false" outlineLevel="0" collapsed="false">
      <c r="A2623" s="0" t="s">
        <v>1000</v>
      </c>
      <c r="B2623" s="0" t="s">
        <v>98</v>
      </c>
      <c r="C2623" s="6" t="n">
        <f aca="false">Sens!C2619</f>
        <v>18.0267076733333</v>
      </c>
      <c r="D2623" s="6" t="n">
        <f aca="false">Sens!D2619</f>
        <v>27.2240075066667</v>
      </c>
      <c r="E2623" s="6" t="n">
        <f aca="false">Sens!E2619</f>
        <v>54.08012302</v>
      </c>
      <c r="F2623" s="6" t="n">
        <f aca="false">Sens!F2619</f>
        <v>109.214979460096</v>
      </c>
      <c r="G2623" s="6" t="n">
        <f aca="false">Sens!G2619</f>
        <v>125.919420745638</v>
      </c>
      <c r="H2623" s="6" t="n">
        <f aca="false">Sens!H2619</f>
        <v>129.80864347801</v>
      </c>
      <c r="I2623" s="6" t="n">
        <f aca="false">Sens!I2619</f>
        <v>115.309255588347</v>
      </c>
      <c r="J2623" s="6" t="n">
        <f aca="false">Sens!J2619</f>
        <v>91.2232298862909</v>
      </c>
      <c r="K2623" s="6" t="n">
        <f aca="false">Sens!K2619</f>
        <v>90.74966828078</v>
      </c>
    </row>
    <row r="2624" customFormat="false" ht="17.15" hidden="false" customHeight="false" outlineLevel="0" collapsed="false">
      <c r="A2624" s="0" t="s">
        <v>1001</v>
      </c>
      <c r="B2624" s="0" t="s">
        <v>98</v>
      </c>
      <c r="C2624" s="6" t="n">
        <f aca="false">Sens!C2623+Sens!C2620</f>
        <v>22.9933476733333</v>
      </c>
      <c r="D2624" s="6" t="n">
        <f aca="false">Sens!D2623+Sens!D2620</f>
        <v>34.7246475066667</v>
      </c>
      <c r="E2624" s="6" t="n">
        <f aca="false">Sens!E2623+Sens!E2620</f>
        <v>68.98004302</v>
      </c>
      <c r="F2624" s="6" t="n">
        <f aca="false">Sens!F2623+Sens!F2620</f>
        <v>134.763123233696</v>
      </c>
      <c r="G2624" s="6" t="n">
        <f aca="false">Sens!G2623+Sens!G2620</f>
        <v>153.555580519238</v>
      </c>
      <c r="H2624" s="6" t="n">
        <f aca="false">Sens!H2623+Sens!H2620</f>
        <v>157.44480325161</v>
      </c>
      <c r="I2624" s="6" t="n">
        <f aca="false">Sens!I2623+Sens!I2620</f>
        <v>134.891866897288</v>
      </c>
      <c r="J2624" s="6" t="n">
        <f aca="false">Sens!J2623+Sens!J2620</f>
        <v>103.143944956752</v>
      </c>
      <c r="K2624" s="6" t="n">
        <f aca="false">Sens!K2623+Sens!K2620</f>
        <v>95.1702824517861</v>
      </c>
      <c r="L2624" s="12" t="s">
        <v>1002</v>
      </c>
    </row>
    <row r="2625" customFormat="false" ht="17.15" hidden="false" customHeight="false" outlineLevel="0" collapsed="false">
      <c r="A2625" s="0" t="s">
        <v>1003</v>
      </c>
      <c r="B2625" s="0" t="s">
        <v>98</v>
      </c>
      <c r="E2625" s="6" t="n">
        <f aca="false">(Sens!C2623*IF(2&lt;life_it,1,IF(2=life_it,0.5,0))+Sens!D2623*IF(1&lt;life_it,1,IF(1=life_it,0.5,0))+Sens!E2623*0.5)/life_it</f>
        <v>12.0484627816667</v>
      </c>
      <c r="F2625" s="6" t="n">
        <f aca="false">(Sens!C2623*IF(3&lt;life_it,1,IF(3=life_it,0.5,0))+Sens!D2623*IF(2&lt;life_it,1,IF(2=life_it,0.5,0))+Sens!E2623*IF(1&lt;life_it,1,IF(1=life_it,0.5,0))+Sens!F2623*0.5)/life_it</f>
        <v>25.6563879883413</v>
      </c>
      <c r="G2625" s="6" t="n">
        <f aca="false">(Sens!C2623*IF(4&lt;life_it,1,IF(4=life_it,0.5,0))+Sens!D2623*IF(3&lt;life_it,1,IF(3=life_it,0.5,0))+Sens!E2623*IF(2&lt;life_it,1,IF(2=life_it,0.5,0))+Sens!F2623*IF(1&lt;life_it,1,IF(1=life_it,0.5,0))+Sens!G2623*0.5)/life_it</f>
        <v>45.2509213388192</v>
      </c>
      <c r="H2625" s="6" t="n">
        <f aca="false">(Sens!C2623*IF(5&lt;life_it,1,IF(5=life_it,0.5,0))+Sens!D2623*IF(4&lt;life_it,1,IF(4=life_it,0.5,0))+Sens!E2623*IF(3&lt;life_it,1,IF(3=life_it,0.5,0))+Sens!F2623*IF(2&lt;life_it,1,IF(2=life_it,0.5,0))+Sens!G2623*IF(1&lt;life_it,1,IF(1=life_it,0.5,0))+Sens!H2623*0.5)/life_it</f>
        <v>66.5615933574565</v>
      </c>
      <c r="I2625" s="6" t="n">
        <f aca="false">(Sens!C2623*IF(6&lt;life_it,1,IF(6=life_it,0.5,0))+Sens!D2623*IF(5&lt;life_it,1,IF(5=life_it,0.5,0))+Sens!E2623*IF(4&lt;life_it,1,IF(4=life_it,0.5,0))+Sens!F2623*IF(3&lt;life_it,1,IF(3=life_it,0.5,0))+Sens!G2623*IF(2&lt;life_it,1,IF(2=life_it,0.5,0))+Sens!H2623*IF(1&lt;life_it,1,IF(1=life_it,0.5,0))+Sens!I2623*0.5)/life_it</f>
        <v>85.4858593068751</v>
      </c>
      <c r="J2625" s="6" t="n">
        <f aca="false">(Sens!C2623*IF(7&lt;life_it,1,IF(7=life_it,0.5,0))+Sens!D2623*IF(6&lt;life_it,1,IF(6=life_it,0.5,0))+Sens!E2623*IF(5&lt;life_it,1,IF(5=life_it,0.5,0))+Sens!F2623*IF(4&lt;life_it,1,IF(4=life_it,0.5,0))+Sens!G2623*IF(3&lt;life_it,1,IF(3=life_it,0.5,0))+Sens!H2623*IF(2&lt;life_it,1,IF(2=life_it,0.5,0))+Sens!I2623*IF(1&lt;life_it,1,IF(1=life_it,0.5,0))+Sens!J2623*0.5)/life_it</f>
        <v>98.9260068314283</v>
      </c>
      <c r="K2625" s="6" t="n">
        <f aca="false">(Sens!C2623*IF(8&lt;life_it,1,IF(8=life_it,0.5,0))+Sens!D2623*IF(7&lt;life_it,1,IF(7=life_it,0.5,0))+Sens!E2623*IF(6&lt;life_it,1,IF(6=life_it,0.5,0))+Sens!F2623*IF(5&lt;life_it,1,IF(5=life_it,0.5,0))+Sens!G2623*IF(4&lt;life_it,1,IF(4=life_it,0.5,0))+Sens!H2623*IF(3&lt;life_it,1,IF(3=life_it,0.5,0))+Sens!I2623*IF(2&lt;life_it,1,IF(2=life_it,0.5,0))+Sens!J2623*IF(1&lt;life_it,1,IF(1=life_it,0.5,0))+Sens!K2623*0.5)/life_it</f>
        <v>107.315070801462</v>
      </c>
    </row>
    <row r="2626" customFormat="false" ht="17.15" hidden="false" customHeight="false" outlineLevel="0" collapsed="false">
      <c r="A2626" s="0" t="s">
        <v>1004</v>
      </c>
      <c r="B2626" s="0" t="s">
        <v>98</v>
      </c>
      <c r="E2626" s="6" t="n">
        <f aca="false">(Sens!C2620*IF(2&lt;life_fac,1,IF(2=life_fac,0.5,0))+Sens!D2620*IF(1&lt;life_fac,1,IF(1=life_fac,0.5,0))+Sens!E2620*0.5)/life_fac</f>
        <v>0.995862</v>
      </c>
      <c r="F2626" s="6" t="n">
        <f aca="false">(Sens!C2620*IF(3&lt;life_fac,1,IF(3=life_fac,0.5,0))+Sens!D2620*IF(2&lt;life_fac,1,IF(2=life_fac,0.5,0))+Sens!E2620*IF(1&lt;life_fac,1,IF(1=life_fac,0.5,0))+Sens!F2620*0.5)/life_fac</f>
        <v>2.00706359434</v>
      </c>
      <c r="G2626" s="6" t="n">
        <f aca="false">(Sens!C2620*IF(4&lt;life_fac,1,IF(4=life_fac,0.5,0))+Sens!D2620*IF(3&lt;life_fac,1,IF(3=life_fac,0.5,0))+Sens!E2620*IF(2&lt;life_fac,1,IF(2=life_fac,0.5,0))+Sens!F2620*IF(1&lt;life_fac,1,IF(1=life_fac,0.5,0))+Sens!G2620*0.5)/life_fac</f>
        <v>3.33667118302</v>
      </c>
      <c r="H2626" s="6" t="n">
        <f aca="false">(Sens!C2620*IF(5&lt;life_fac,1,IF(5=life_fac,0.5,0))+Sens!D2620*IF(4&lt;life_fac,1,IF(4=life_fac,0.5,0))+Sens!E2620*IF(3&lt;life_fac,1,IF(3=life_fac,0.5,0))+Sens!F2620*IF(2&lt;life_fac,1,IF(2=life_fac,0.5,0))+Sens!G2620*IF(1&lt;life_fac,1,IF(1=life_fac,0.5,0))+Sens!H2620*0.5)/life_fac</f>
        <v>4.7184791717</v>
      </c>
      <c r="I2626" s="6" t="n">
        <f aca="false">(Sens!C2620*IF(6&lt;life_fac,1,IF(6=life_fac,0.5,0))+Sens!D2620*IF(5&lt;life_fac,1,IF(5=life_fac,0.5,0))+Sens!E2620*IF(4&lt;life_fac,1,IF(4=life_fac,0.5,0))+Sens!F2620*IF(3&lt;life_fac,1,IF(3=life_fac,0.5,0))+Sens!G2620*IF(2&lt;life_fac,1,IF(2=life_fac,0.5,0))+Sens!H2620*IF(1&lt;life_fac,1,IF(1=life_fac,0.5,0))+Sens!I2620*0.5)/life_fac</f>
        <v>5.89894844876353</v>
      </c>
      <c r="J2626" s="6" t="n">
        <f aca="false">(Sens!C2620*IF(7&lt;life_fac,1,IF(7=life_fac,0.5,0))+Sens!D2620*IF(6&lt;life_fac,1,IF(6=life_fac,0.5,0))+Sens!E2620*IF(5&lt;life_fac,1,IF(5=life_fac,0.5,0))+Sens!F2620*IF(4&lt;life_fac,1,IF(4=life_fac,0.5,0))+Sens!G2620*IF(3&lt;life_fac,1,IF(3=life_fac,0.5,0))+Sens!H2620*IF(2&lt;life_fac,1,IF(2=life_fac,0.5,0))+Sens!I2620*IF(1&lt;life_fac,1,IF(1=life_fac,0.5,0))+Sens!J2620*0.5)/life_fac</f>
        <v>6.6865316082486</v>
      </c>
      <c r="K2626" s="6" t="n">
        <f aca="false">(Sens!C2620*IF(8&lt;life_fac,1,IF(8=life_fac,0.5,0))+Sens!D2620*IF(7&lt;life_fac,1,IF(7=life_fac,0.5,0))+Sens!E2620*IF(6&lt;life_fac,1,IF(6=life_fac,0.5,0))+Sens!F2620*IF(5&lt;life_fac,1,IF(5=life_fac,0.5,0))+Sens!G2620*IF(4&lt;life_fac,1,IF(4=life_fac,0.5,0))+Sens!H2620*IF(3&lt;life_fac,1,IF(3=life_fac,0.5,0))+Sens!I2620*IF(2&lt;life_fac,1,IF(2=life_fac,0.5,0))+Sens!J2620*IF(1&lt;life_fac,1,IF(1=life_fac,0.5,0))+Sens!K2620*0.5)/life_fac</f>
        <v>7.09506483928529</v>
      </c>
    </row>
    <row r="2627" customFormat="false" ht="17.15" hidden="false" customHeight="false" outlineLevel="0" collapsed="false">
      <c r="A2627" s="0" t="s">
        <v>1005</v>
      </c>
      <c r="B2627" s="0" t="s">
        <v>98</v>
      </c>
      <c r="E2627" s="6" t="n">
        <f aca="false">Sens!E2625+Sens!E2626</f>
        <v>13.0443247816667</v>
      </c>
      <c r="F2627" s="6" t="n">
        <f aca="false">Sens!F2625+Sens!F2626</f>
        <v>27.6634515826813</v>
      </c>
      <c r="G2627" s="6" t="n">
        <f aca="false">Sens!G2625+Sens!G2626</f>
        <v>48.5875925218392</v>
      </c>
      <c r="H2627" s="6" t="n">
        <f aca="false">Sens!H2625+Sens!H2626</f>
        <v>71.2800725291565</v>
      </c>
      <c r="I2627" s="6" t="n">
        <f aca="false">Sens!I2625+Sens!I2626</f>
        <v>91.3848077556387</v>
      </c>
      <c r="J2627" s="6" t="n">
        <f aca="false">Sens!J2625+Sens!J2626</f>
        <v>105.612538439677</v>
      </c>
      <c r="K2627" s="6" t="n">
        <f aca="false">Sens!K2625+Sens!K2626</f>
        <v>114.410135640747</v>
      </c>
    </row>
    <row r="2628" customFormat="false" ht="17.15" hidden="false" customHeight="false" outlineLevel="0" collapsed="false">
      <c r="A2628" s="0" t="s">
        <v>1006</v>
      </c>
      <c r="B2628" s="0" t="s">
        <v>98</v>
      </c>
      <c r="E2628" s="6" t="n">
        <f aca="false">Sens!E2615-Sens!E2614*Sens!E2627</f>
        <v>8.92707889977379</v>
      </c>
      <c r="F2628" s="6" t="n">
        <f aca="false">Sens!F2615-Sens!F2614*Sens!F2627</f>
        <v>22.4686207259278</v>
      </c>
      <c r="G2628" s="6" t="n">
        <f aca="false">Sens!G2615-Sens!G2614*Sens!G2627</f>
        <v>43.2797528675735</v>
      </c>
      <c r="H2628" s="6" t="n">
        <f aca="false">Sens!H2615-Sens!H2614*Sens!H2627</f>
        <v>69.3477099347341</v>
      </c>
      <c r="I2628" s="6" t="n">
        <f aca="false">Sens!I2615-Sens!I2614*Sens!I2627</f>
        <v>86.8523667140837</v>
      </c>
      <c r="J2628" s="6" t="n">
        <f aca="false">Sens!J2615-Sens!J2614*Sens!J2627</f>
        <v>98.9882647234202</v>
      </c>
      <c r="K2628" s="6" t="n">
        <f aca="false">Sens!K2615-Sens!K2614*Sens!K2627</f>
        <v>106.918985011399</v>
      </c>
    </row>
    <row r="2629" customFormat="false" ht="17.15" hidden="false" customHeight="false" outlineLevel="0" collapsed="false">
      <c r="A2629" s="3" t="s">
        <v>1676</v>
      </c>
    </row>
    <row r="2630" customFormat="false" ht="15" hidden="false" customHeight="false" outlineLevel="0" collapsed="false">
      <c r="A2630" s="4" t="s">
        <v>43</v>
      </c>
      <c r="B2630" s="4" t="s">
        <v>65</v>
      </c>
      <c r="C2630" s="23" t="s">
        <v>942</v>
      </c>
      <c r="D2630" s="23" t="s">
        <v>943</v>
      </c>
      <c r="E2630" s="23" t="s">
        <v>944</v>
      </c>
      <c r="F2630" s="23" t="s">
        <v>945</v>
      </c>
      <c r="G2630" s="23" t="s">
        <v>946</v>
      </c>
      <c r="H2630" s="23" t="s">
        <v>947</v>
      </c>
      <c r="I2630" s="23" t="s">
        <v>948</v>
      </c>
      <c r="J2630" s="23" t="s">
        <v>949</v>
      </c>
      <c r="K2630" s="23" t="s">
        <v>950</v>
      </c>
      <c r="L2630" s="4" t="s">
        <v>47</v>
      </c>
    </row>
    <row r="2631" customFormat="false" ht="17.15" hidden="false" customHeight="false" outlineLevel="0" collapsed="false">
      <c r="A2631" s="0" t="s">
        <v>1025</v>
      </c>
      <c r="B2631" s="0" t="s">
        <v>98</v>
      </c>
      <c r="D2631" s="6" t="n">
        <f aca="false">Sens!D2609</f>
        <v>12.9359794422418</v>
      </c>
      <c r="E2631" s="6" t="n">
        <f aca="false">Sens!E2609</f>
        <v>27.8095064661409</v>
      </c>
      <c r="F2631" s="6" t="n">
        <f aca="false">Sens!F2609</f>
        <v>59.1034165651511</v>
      </c>
      <c r="G2631" s="6" t="n">
        <f aca="false">Sens!G2609</f>
        <v>103.451498789198</v>
      </c>
      <c r="H2631" s="6" t="n">
        <f aca="false">Sens!H2609</f>
        <v>153.816719989035</v>
      </c>
      <c r="I2631" s="6" t="n">
        <f aca="false">Sens!I2609</f>
        <v>192.699478690852</v>
      </c>
      <c r="J2631" s="6" t="n">
        <f aca="false">Sens!J2609</f>
        <v>219.794102584244</v>
      </c>
      <c r="K2631" s="6" t="n">
        <f aca="false">Sens!K2609</f>
        <v>236.757046905022</v>
      </c>
    </row>
    <row r="2632" customFormat="false" ht="17.15" hidden="false" customHeight="false" outlineLevel="0" collapsed="false">
      <c r="A2632" s="0" t="s">
        <v>1026</v>
      </c>
      <c r="B2632" s="0" t="s">
        <v>98</v>
      </c>
      <c r="D2632" s="6" t="n">
        <f aca="false">Q!L6-Sens!D2631</f>
        <v>59.6740205577583</v>
      </c>
      <c r="E2632" s="6" t="n">
        <f aca="false">Q!M6-Sens!E2631</f>
        <v>74.1284935338591</v>
      </c>
      <c r="F2632" s="6" t="n">
        <f aca="false">Q!$I$6+(Sens!F2631+Sens!E2632*(1+Sens!F2633))*(1-Q!$E$6/Q!M6)-Sens!F2631</f>
        <v>90.4866018070994</v>
      </c>
      <c r="G2632" s="6" t="n">
        <f aca="false">Sens!F2632*(1+Sens!G2633)</f>
        <v>107.511588557154</v>
      </c>
      <c r="H2632" s="6" t="n">
        <f aca="false">Sens!G2632*(1+Sens!H2633)</f>
        <v>124.832989325489</v>
      </c>
      <c r="I2632" s="6" t="n">
        <f aca="false">Sens!H2632*(1+Sens!I2633)</f>
        <v>141.56992589148</v>
      </c>
      <c r="J2632" s="6" t="n">
        <f aca="false">Sens!I2632*(1+Sens!J2633)</f>
        <v>156.723190479428</v>
      </c>
      <c r="K2632" s="6" t="n">
        <f aca="false">Sens!J2632*(1+Sens!K2633)</f>
        <v>169.261045717783</v>
      </c>
      <c r="L2632" s="12" t="s">
        <v>1027</v>
      </c>
    </row>
    <row r="2633" customFormat="false" ht="15" hidden="false" customHeight="false" outlineLevel="0" collapsed="false">
      <c r="A2633" s="1" t="s">
        <v>1028</v>
      </c>
      <c r="B2633" s="0" t="s">
        <v>168</v>
      </c>
      <c r="E2633" s="7" t="n">
        <f aca="false">Sens!E2632/Sens!D2632-1</f>
        <v>0.242223883039864</v>
      </c>
      <c r="F2633" s="7" t="n">
        <f aca="false">Sens!$E$2633+(glt_azo-Sens!$E$2633)*MIN(1,(Sens!F2590-base_fy)/n_conv)</f>
        <v>0.215186569199887</v>
      </c>
      <c r="G2633" s="7" t="n">
        <f aca="false">Sens!$E$2633+(glt_azo-Sens!$E$2633)*MIN(1,(Sens!G2590-base_fy)/n_conv)</f>
        <v>0.18814925535991</v>
      </c>
      <c r="H2633" s="7" t="n">
        <f aca="false">Sens!$E$2633+(glt_azo-Sens!$E$2633)*MIN(1,(Sens!H2590-base_fy)/n_conv)</f>
        <v>0.161111941519932</v>
      </c>
      <c r="I2633" s="7" t="n">
        <f aca="false">Sens!$E$2633+(glt_azo-Sens!$E$2633)*MIN(1,(Sens!I2590-base_fy)/n_conv)</f>
        <v>0.134074627679955</v>
      </c>
      <c r="J2633" s="7" t="n">
        <f aca="false">Sens!$E$2633+(glt_azo-Sens!$E$2633)*MIN(1,(Sens!J2590-base_fy)/n_conv)</f>
        <v>0.107037313839977</v>
      </c>
      <c r="K2633" s="7" t="n">
        <f aca="false">Sens!$E$2633+(glt_azo-Sens!$E$2633)*MIN(1,(Sens!K2590-base_fy)/n_conv)</f>
        <v>0.08</v>
      </c>
    </row>
    <row r="2634" customFormat="false" ht="15" hidden="false" customHeight="false" outlineLevel="0" collapsed="false">
      <c r="A2634" s="0" t="s">
        <v>1029</v>
      </c>
      <c r="B2634" s="0" t="s">
        <v>98</v>
      </c>
      <c r="D2634" s="6" t="n">
        <f aca="false">Sens!D2631+Sens!D2632</f>
        <v>72.61</v>
      </c>
      <c r="E2634" s="6" t="n">
        <f aca="false">Sens!E2631+Sens!E2632</f>
        <v>101.938</v>
      </c>
      <c r="F2634" s="6" t="n">
        <f aca="false">Sens!F2631+Sens!F2632</f>
        <v>149.59001837225</v>
      </c>
      <c r="G2634" s="6" t="n">
        <f aca="false">Sens!G2631+Sens!G2632</f>
        <v>210.963087346352</v>
      </c>
      <c r="H2634" s="6" t="n">
        <f aca="false">Sens!H2631+Sens!H2632</f>
        <v>278.649709314524</v>
      </c>
      <c r="I2634" s="6" t="n">
        <f aca="false">Sens!I2631+Sens!I2632</f>
        <v>334.269404582332</v>
      </c>
      <c r="J2634" s="6" t="n">
        <f aca="false">Sens!J2631+Sens!J2632</f>
        <v>376.517293063672</v>
      </c>
      <c r="K2634" s="6" t="n">
        <f aca="false">Sens!K2631+Sens!K2632</f>
        <v>406.018092622804</v>
      </c>
    </row>
    <row r="2635" customFormat="false" ht="17.15" hidden="false" customHeight="false" outlineLevel="0" collapsed="false">
      <c r="A2635" s="0" t="s">
        <v>1030</v>
      </c>
      <c r="B2635" s="1" t="s">
        <v>613</v>
      </c>
      <c r="C2635" s="30" t="n">
        <f aca="false">cop_s24</f>
        <v>1</v>
      </c>
      <c r="D2635" s="30" t="n">
        <f aca="false">cop_s25</f>
        <v>5</v>
      </c>
      <c r="E2635" s="30" t="n">
        <f aca="false">cop_s26</f>
        <v>30</v>
      </c>
      <c r="F2635" s="30" t="n">
        <f aca="false">Sens!E2635+cop_add_A</f>
        <v>60</v>
      </c>
      <c r="G2635" s="30" t="n">
        <f aca="false">Sens!F2635+cop_add_A</f>
        <v>90</v>
      </c>
      <c r="H2635" s="30" t="n">
        <f aca="false">Sens!G2635+cop_add_A</f>
        <v>120</v>
      </c>
      <c r="I2635" s="30" t="n">
        <f aca="false">Sens!H2635+cop_add_A*cop_tail</f>
        <v>135</v>
      </c>
      <c r="J2635" s="30" t="n">
        <f aca="false">Sens!I2635+cop_add_A*cop_tail</f>
        <v>150</v>
      </c>
      <c r="K2635" s="30" t="n">
        <f aca="false">Sens!J2635+cop_add_A*cop_tail</f>
        <v>165</v>
      </c>
      <c r="L2635" s="12" t="s">
        <v>1031</v>
      </c>
    </row>
    <row r="2636" customFormat="false" ht="17.15" hidden="false" customHeight="false" outlineLevel="0" collapsed="false">
      <c r="A2636" s="0" t="s">
        <v>1032</v>
      </c>
      <c r="B2636" s="0" t="s">
        <v>98</v>
      </c>
      <c r="D2636" s="6" t="n">
        <f aca="false">(Sens!C2635+Sens!D2635)/2*cop_px*12/1000</f>
        <v>0.9</v>
      </c>
      <c r="E2636" s="6" t="n">
        <f aca="false">(Sens!D2635+Sens!E2635)/2*cop_px*12/1000</f>
        <v>5.25</v>
      </c>
      <c r="F2636" s="6" t="n">
        <f aca="false">(Sens!E2635+Sens!F2635)/2*cop_px*12/1000</f>
        <v>13.5</v>
      </c>
      <c r="G2636" s="6" t="n">
        <f aca="false">(Sens!F2635+Sens!G2635)/2*cop_px*12/1000</f>
        <v>22.5</v>
      </c>
      <c r="H2636" s="6" t="n">
        <f aca="false">(Sens!G2635+Sens!H2635)/2*cop_px*12/1000</f>
        <v>31.5</v>
      </c>
      <c r="I2636" s="6" t="n">
        <f aca="false">(Sens!H2635+Sens!I2635)/2*cop_px*12/1000</f>
        <v>38.25</v>
      </c>
      <c r="J2636" s="6" t="n">
        <f aca="false">(Sens!I2635+Sens!J2635)/2*cop_px*12/1000</f>
        <v>42.75</v>
      </c>
      <c r="K2636" s="6" t="n">
        <f aca="false">(Sens!J2635+Sens!K2635)/2*cop_px*12/1000</f>
        <v>47.25</v>
      </c>
      <c r="L2636" s="1" t="s">
        <v>1033</v>
      </c>
    </row>
    <row r="2637" customFormat="false" ht="17.15" hidden="false" customHeight="false" outlineLevel="0" collapsed="false">
      <c r="A2637" s="0" t="s">
        <v>1034</v>
      </c>
      <c r="B2637" s="0" t="s">
        <v>98</v>
      </c>
      <c r="D2637" s="6" t="n">
        <f aca="false">Q!L7-Sens!D2636</f>
        <v>83.705</v>
      </c>
      <c r="E2637" s="6" t="n">
        <f aca="false">Q!M7-Sens!E2636</f>
        <v>95.049</v>
      </c>
      <c r="F2637" s="6" t="n">
        <f aca="false">Q!$I$7+(Sens!E2637*(1+Sens!F2638)+Sens!F2636)*(1-Q!$E$7/Q!M7)-Sens!F2636</f>
        <v>106.229653205718</v>
      </c>
      <c r="G2637" s="6" t="n">
        <f aca="false">Sens!F2637*(1+Sens!G2638)</f>
        <v>118.306092647576</v>
      </c>
      <c r="H2637" s="6" t="n">
        <f aca="false">Sens!G2637*(1+Sens!H2638)</f>
        <v>130.463437602768</v>
      </c>
      <c r="I2637" s="6" t="n">
        <f aca="false">Sens!H2637*(1+Sens!I2638)</f>
        <v>142.445354741933</v>
      </c>
      <c r="J2637" s="6" t="n">
        <f aca="false">Sens!I2637*(1+Sens!J2638)</f>
        <v>153.972117481571</v>
      </c>
      <c r="K2637" s="6" t="n">
        <f aca="false">Sens!J2637*(1+Sens!K2638)</f>
        <v>164.75016570528</v>
      </c>
      <c r="L2637" s="12" t="s">
        <v>1035</v>
      </c>
    </row>
    <row r="2638" customFormat="false" ht="15" hidden="false" customHeight="false" outlineLevel="0" collapsed="false">
      <c r="A2638" s="1" t="s">
        <v>1028</v>
      </c>
      <c r="B2638" s="0" t="s">
        <v>168</v>
      </c>
      <c r="E2638" s="7" t="n">
        <f aca="false">Sens!E2637/Sens!D2637-1</f>
        <v>0.135523564900544</v>
      </c>
      <c r="F2638" s="7" t="n">
        <f aca="false">Sens!$E$2638+(glt_m365b-Sens!$E$2638)*MIN(1,(Sens!F2590-base_fy)/n_conv)</f>
        <v>0.124602970750453</v>
      </c>
      <c r="G2638" s="7" t="n">
        <f aca="false">Sens!$E$2638+(glt_m365b-Sens!$E$2638)*MIN(1,(Sens!G2590-base_fy)/n_conv)</f>
        <v>0.113682376600363</v>
      </c>
      <c r="H2638" s="7" t="n">
        <f aca="false">Sens!$E$2638+(glt_m365b-Sens!$E$2638)*MIN(1,(Sens!H2590-base_fy)/n_conv)</f>
        <v>0.102761782450272</v>
      </c>
      <c r="I2638" s="7" t="n">
        <f aca="false">Sens!$E$2638+(glt_m365b-Sens!$E$2638)*MIN(1,(Sens!I2590-base_fy)/n_conv)</f>
        <v>0.0918411883001813</v>
      </c>
      <c r="J2638" s="7" t="n">
        <f aca="false">Sens!$E$2638+(glt_m365b-Sens!$E$2638)*MIN(1,(Sens!J2590-base_fy)/n_conv)</f>
        <v>0.0809205941500906</v>
      </c>
      <c r="K2638" s="7" t="n">
        <f aca="false">Sens!$E$2638+(glt_m365b-Sens!$E$2638)*MIN(1,(Sens!K2590-base_fy)/n_conv)</f>
        <v>0.07</v>
      </c>
    </row>
    <row r="2639" customFormat="false" ht="15" hidden="false" customHeight="false" outlineLevel="0" collapsed="false">
      <c r="A2639" s="0" t="s">
        <v>1036</v>
      </c>
      <c r="B2639" s="0" t="s">
        <v>98</v>
      </c>
      <c r="D2639" s="6" t="n">
        <f aca="false">Sens!D2637+Sens!D2636</f>
        <v>84.605</v>
      </c>
      <c r="E2639" s="6" t="n">
        <f aca="false">Sens!E2637+Sens!E2636</f>
        <v>100.299</v>
      </c>
      <c r="F2639" s="6" t="n">
        <f aca="false">Sens!F2637+Sens!F2636</f>
        <v>119.729653205718</v>
      </c>
      <c r="G2639" s="6" t="n">
        <f aca="false">Sens!G2637+Sens!G2636</f>
        <v>140.806092647576</v>
      </c>
      <c r="H2639" s="6" t="n">
        <f aca="false">Sens!H2637+Sens!H2636</f>
        <v>161.963437602768</v>
      </c>
      <c r="I2639" s="6" t="n">
        <f aca="false">Sens!I2637+Sens!I2636</f>
        <v>180.695354741933</v>
      </c>
      <c r="J2639" s="6" t="n">
        <f aca="false">Sens!J2637+Sens!J2636</f>
        <v>196.722117481571</v>
      </c>
      <c r="K2639" s="6" t="n">
        <f aca="false">Sens!K2637+Sens!K2636</f>
        <v>212.00016570528</v>
      </c>
    </row>
    <row r="2640" customFormat="false" ht="17.15" hidden="false" customHeight="false" outlineLevel="0" collapsed="false">
      <c r="A2640" s="0" t="s">
        <v>1037</v>
      </c>
      <c r="B2640" s="0" t="s">
        <v>98</v>
      </c>
      <c r="D2640" s="6" t="n">
        <f aca="false">Q!L8</f>
        <v>35.391</v>
      </c>
      <c r="E2640" s="6" t="n">
        <f aca="false">Q!M8</f>
        <v>37.285</v>
      </c>
      <c r="F2640" s="6" t="n">
        <f aca="false">Q!$I$8+(Q!M8-Q!$E$8)*(1+Sens!F2641)</f>
        <v>38.3851437782675</v>
      </c>
      <c r="G2640" s="6" t="n">
        <f aca="false">Sens!F2640*(1+Sens!G2641)</f>
        <v>40.0105353288615</v>
      </c>
      <c r="H2640" s="6" t="n">
        <f aca="false">Sens!G2640*(1+Sens!H2641)</f>
        <v>41.4812512033683</v>
      </c>
      <c r="I2640" s="6" t="n">
        <f aca="false">Sens!H2640*(1+Sens!I2641)</f>
        <v>42.7743107216329</v>
      </c>
      <c r="J2640" s="6" t="n">
        <f aca="false">Sens!I2640*(1+Sens!J2641)</f>
        <v>43.8687373064601</v>
      </c>
      <c r="K2640" s="6" t="n">
        <f aca="false">Sens!J2640*(1+Sens!K2641)</f>
        <v>44.7461120525893</v>
      </c>
      <c r="L2640" s="12" t="s">
        <v>1038</v>
      </c>
    </row>
    <row r="2641" customFormat="false" ht="15" hidden="false" customHeight="false" outlineLevel="0" collapsed="false">
      <c r="A2641" s="1" t="s">
        <v>1028</v>
      </c>
      <c r="B2641" s="0" t="s">
        <v>168</v>
      </c>
      <c r="E2641" s="7" t="n">
        <f aca="false">Sens!E2640/Sens!D2640-1</f>
        <v>0.0535164307309768</v>
      </c>
      <c r="F2641" s="7" t="n">
        <f aca="false">Sens!$E$2641+(glt_lic-Sens!$E$2641)*MIN(1,(Sens!F2590-base_fy)/n_conv)</f>
        <v>0.0479303589424807</v>
      </c>
      <c r="G2641" s="7" t="n">
        <f aca="false">Sens!$E$2641+(glt_lic-Sens!$E$2641)*MIN(1,(Sens!G2590-base_fy)/n_conv)</f>
        <v>0.0423442871539845</v>
      </c>
      <c r="H2641" s="7" t="n">
        <f aca="false">Sens!$E$2641+(glt_lic-Sens!$E$2641)*MIN(1,(Sens!H2590-base_fy)/n_conv)</f>
        <v>0.0367582153654884</v>
      </c>
      <c r="I2641" s="7" t="n">
        <f aca="false">Sens!$E$2641+(glt_lic-Sens!$E$2641)*MIN(1,(Sens!I2590-base_fy)/n_conv)</f>
        <v>0.0311721435769923</v>
      </c>
      <c r="J2641" s="7" t="n">
        <f aca="false">Sens!$E$2641+(glt_lic-Sens!$E$2641)*MIN(1,(Sens!J2590-base_fy)/n_conv)</f>
        <v>0.0255860717884961</v>
      </c>
      <c r="K2641" s="7" t="n">
        <f aca="false">Sens!$E$2641+(glt_lic-Sens!$E$2641)*MIN(1,(Sens!K2590-base_fy)/n_conv)</f>
        <v>0.02</v>
      </c>
    </row>
    <row r="2642" customFormat="false" ht="17.15" hidden="false" customHeight="false" outlineLevel="0" collapsed="false">
      <c r="A2642" s="0" t="s">
        <v>1039</v>
      </c>
      <c r="B2642" s="0" t="s">
        <v>98</v>
      </c>
      <c r="D2642" s="6" t="n">
        <f aca="false">Q!L9</f>
        <v>18.417</v>
      </c>
      <c r="E2642" s="6" t="n">
        <f aca="false">Q!M9</f>
        <v>20.345</v>
      </c>
      <c r="F2642" s="6" t="n">
        <f aca="false">Q!$I$9+(Q!M9-Q!$E$9)*(1+Sens!F2643)</f>
        <v>22.3161797133988</v>
      </c>
      <c r="G2642" s="6" t="n">
        <f aca="false">Sens!F2642*(1+Sens!G2643)</f>
        <v>24.3943499673233</v>
      </c>
      <c r="H2642" s="6" t="n">
        <f aca="false">Sens!G2642*(1+Sens!H2643)</f>
        <v>26.5250243109019</v>
      </c>
      <c r="I2642" s="6" t="n">
        <f aca="false">Sens!H2642*(1+Sens!I2643)</f>
        <v>28.6884573538181</v>
      </c>
      <c r="J2642" s="6" t="n">
        <f aca="false">Sens!I2642*(1+Sens!J2643)</f>
        <v>30.8624968052127</v>
      </c>
      <c r="K2642" s="6" t="n">
        <f aca="false">Sens!J2642*(1+Sens!K2643)</f>
        <v>33.0228715815776</v>
      </c>
      <c r="L2642" s="12" t="s">
        <v>1038</v>
      </c>
    </row>
    <row r="2643" customFormat="false" ht="15" hidden="false" customHeight="false" outlineLevel="0" collapsed="false">
      <c r="A2643" s="1" t="s">
        <v>1028</v>
      </c>
      <c r="B2643" s="0" t="s">
        <v>168</v>
      </c>
      <c r="E2643" s="7" t="n">
        <f aca="false">Sens!E2642/Sens!D2642-1</f>
        <v>0.104685888038225</v>
      </c>
      <c r="F2643" s="7" t="n">
        <f aca="false">Sens!$E$2643+(glt_ind-Sens!$E$2643)*MIN(1,(Sens!F2590-base_fy)/n_conv)</f>
        <v>0.0989049066985211</v>
      </c>
      <c r="G2643" s="7" t="n">
        <f aca="false">Sens!$E$2643+(glt_ind-Sens!$E$2643)*MIN(1,(Sens!G2590-base_fy)/n_conv)</f>
        <v>0.0931239253588169</v>
      </c>
      <c r="H2643" s="7" t="n">
        <f aca="false">Sens!$E$2643+(glt_ind-Sens!$E$2643)*MIN(1,(Sens!H2590-base_fy)/n_conv)</f>
        <v>0.0873429440191127</v>
      </c>
      <c r="I2643" s="7" t="n">
        <f aca="false">Sens!$E$2643+(glt_ind-Sens!$E$2643)*MIN(1,(Sens!I2590-base_fy)/n_conv)</f>
        <v>0.0815619626794085</v>
      </c>
      <c r="J2643" s="7" t="n">
        <f aca="false">Sens!$E$2643+(glt_ind-Sens!$E$2643)*MIN(1,(Sens!J2590-base_fy)/n_conv)</f>
        <v>0.0757809813397042</v>
      </c>
      <c r="K2643" s="7" t="n">
        <f aca="false">Sens!$E$2643+(glt_ind-Sens!$E$2643)*MIN(1,(Sens!K2590-base_fy)/n_conv)</f>
        <v>0.07</v>
      </c>
    </row>
    <row r="2644" customFormat="false" ht="17.15" hidden="false" customHeight="false" outlineLevel="0" collapsed="false">
      <c r="A2644" s="0" t="s">
        <v>1040</v>
      </c>
      <c r="B2644" s="0" t="s">
        <v>98</v>
      </c>
      <c r="D2644" s="6" t="n">
        <f aca="false">Q!L10</f>
        <v>7.76</v>
      </c>
      <c r="E2644" s="6" t="n">
        <f aca="false">Q!M10</f>
        <v>8.26</v>
      </c>
      <c r="F2644" s="6" t="n">
        <f aca="false">Q!$I$10+(Q!M10-Q!$E$10)*(1+Sens!F2645)</f>
        <v>8.75372082474227</v>
      </c>
      <c r="G2644" s="6" t="n">
        <f aca="false">Sens!F2644*(1+Sens!G2645)</f>
        <v>9.33399324642364</v>
      </c>
      <c r="H2644" s="6" t="n">
        <f aca="false">Sens!G2644*(1+Sens!H2645)</f>
        <v>9.96139155535851</v>
      </c>
      <c r="I2644" s="6" t="n">
        <f aca="false">Sens!H2644*(1+Sens!I2645)</f>
        <v>10.6402039077391</v>
      </c>
      <c r="J2644" s="6" t="n">
        <f aca="false">Sens!I2644*(1+Sens!J2645)</f>
        <v>11.3751458271397</v>
      </c>
      <c r="K2644" s="6" t="n">
        <f aca="false">Sens!J2644*(1+Sens!K2645)</f>
        <v>12.1714060350394</v>
      </c>
      <c r="L2644" s="12" t="s">
        <v>1038</v>
      </c>
    </row>
    <row r="2645" customFormat="false" ht="15" hidden="false" customHeight="false" outlineLevel="0" collapsed="false">
      <c r="A2645" s="1" t="s">
        <v>1028</v>
      </c>
      <c r="B2645" s="0" t="s">
        <v>168</v>
      </c>
      <c r="E2645" s="7" t="n">
        <f aca="false">Sens!E2644/Sens!D2644-1</f>
        <v>0.0644329896907216</v>
      </c>
      <c r="F2645" s="7" t="n">
        <f aca="false">Sens!$E$2645+(glt_fro-Sens!$E$2645)*MIN(1,(Sens!F2590-base_fy)/n_conv)</f>
        <v>0.065360824742268</v>
      </c>
      <c r="G2645" s="7" t="n">
        <f aca="false">Sens!$E$2645+(glt_fro-Sens!$E$2645)*MIN(1,(Sens!G2590-base_fy)/n_conv)</f>
        <v>0.0662886597938144</v>
      </c>
      <c r="H2645" s="7" t="n">
        <f aca="false">Sens!$E$2645+(glt_fro-Sens!$E$2645)*MIN(1,(Sens!H2590-base_fy)/n_conv)</f>
        <v>0.0672164948453608</v>
      </c>
      <c r="I2645" s="7" t="n">
        <f aca="false">Sens!$E$2645+(glt_fro-Sens!$E$2645)*MIN(1,(Sens!I2590-base_fy)/n_conv)</f>
        <v>0.0681443298969072</v>
      </c>
      <c r="J2645" s="7" t="n">
        <f aca="false">Sens!$E$2645+(glt_fro-Sens!$E$2645)*MIN(1,(Sens!J2590-base_fy)/n_conv)</f>
        <v>0.0690721649484536</v>
      </c>
      <c r="K2645" s="7" t="n">
        <f aca="false">Sens!$E$2645+(glt_fro-Sens!$E$2645)*MIN(1,(Sens!K2590-base_fy)/n_conv)</f>
        <v>0.07</v>
      </c>
    </row>
    <row r="2646" customFormat="false" ht="15" hidden="false" customHeight="false" outlineLevel="0" collapsed="false">
      <c r="A2646" s="0" t="s">
        <v>856</v>
      </c>
      <c r="B2646" s="0" t="s">
        <v>98</v>
      </c>
      <c r="D2646" s="6" t="n">
        <f aca="false">Sens!D2634+Sens!D2639+Sens!D2640+Sens!D2642+Sens!D2644</f>
        <v>218.783</v>
      </c>
      <c r="E2646" s="6" t="n">
        <f aca="false">Sens!E2634+Sens!E2639+Sens!E2640+Sens!E2642+Sens!E2644</f>
        <v>268.127</v>
      </c>
      <c r="F2646" s="6" t="n">
        <f aca="false">Sens!F2634+Sens!F2639+Sens!F2640+Sens!F2642+Sens!F2644</f>
        <v>338.774715894377</v>
      </c>
      <c r="G2646" s="6" t="n">
        <f aca="false">Sens!G2634+Sens!G2639+Sens!G2640+Sens!G2642+Sens!G2644</f>
        <v>425.508058536537</v>
      </c>
      <c r="H2646" s="6" t="n">
        <f aca="false">Sens!H2634+Sens!H2639+Sens!H2640+Sens!H2642+Sens!H2644</f>
        <v>518.580813986921</v>
      </c>
      <c r="I2646" s="6" t="n">
        <f aca="false">Sens!I2634+Sens!I2639+Sens!I2640+Sens!I2642+Sens!I2644</f>
        <v>597.067731307455</v>
      </c>
      <c r="J2646" s="6" t="n">
        <f aca="false">Sens!J2634+Sens!J2639+Sens!J2640+Sens!J2642+Sens!J2644</f>
        <v>659.345790484055</v>
      </c>
      <c r="K2646" s="6" t="n">
        <f aca="false">Sens!K2634+Sens!K2639+Sens!K2640+Sens!K2642+Sens!K2644</f>
        <v>707.958647997291</v>
      </c>
    </row>
    <row r="2647" customFormat="false" ht="17.15" hidden="false" customHeight="false" outlineLevel="0" collapsed="false">
      <c r="A2647" s="0" t="s">
        <v>1041</v>
      </c>
      <c r="B2647" s="0" t="s">
        <v>98</v>
      </c>
      <c r="D2647" s="6" t="n">
        <f aca="false">Q!L13</f>
        <v>22.171</v>
      </c>
      <c r="E2647" s="6" t="n">
        <f aca="false">Q!M13</f>
        <v>24.835</v>
      </c>
      <c r="F2647" s="6" t="n">
        <f aca="false">Q!$I$13+(Q!M13-Q!$E$13)*(1+Sens!F2648)</f>
        <v>27.5591895660247</v>
      </c>
      <c r="G2647" s="6" t="n">
        <f aca="false">Sens!F2647*(1+Sens!G2648)</f>
        <v>30.4098563144583</v>
      </c>
      <c r="H2647" s="6" t="n">
        <f aca="false">Sens!G2647*(1+Sens!H2648)</f>
        <v>33.3011792571777</v>
      </c>
      <c r="I2647" s="6" t="n">
        <f aca="false">Sens!H2647*(1+Sens!I2648)</f>
        <v>36.189023797112</v>
      </c>
      <c r="J2647" s="6" t="n">
        <f aca="false">Sens!I2647*(1+Sens!J2648)</f>
        <v>39.0247773769199</v>
      </c>
      <c r="K2647" s="6" t="n">
        <f aca="false">Sens!J2647*(1+Sens!K2648)</f>
        <v>41.7565117933043</v>
      </c>
      <c r="L2647" s="12" t="s">
        <v>1038</v>
      </c>
    </row>
    <row r="2648" customFormat="false" ht="15" hidden="false" customHeight="false" outlineLevel="0" collapsed="false">
      <c r="A2648" s="1" t="s">
        <v>1028</v>
      </c>
      <c r="B2648" s="0" t="s">
        <v>168</v>
      </c>
      <c r="E2648" s="7" t="n">
        <f aca="false">Sens!E2647/Sens!D2647-1</f>
        <v>0.120156961796942</v>
      </c>
      <c r="F2648" s="7" t="n">
        <f aca="false">Sens!$E$2648+(glt_srch-Sens!$E$2648)*MIN(1,(Sens!F2590-base_fy)/n_conv)</f>
        <v>0.111797468164118</v>
      </c>
      <c r="G2648" s="7" t="n">
        <f aca="false">Sens!$E$2648+(glt_srch-Sens!$E$2648)*MIN(1,(Sens!G2590-base_fy)/n_conv)</f>
        <v>0.103437974531295</v>
      </c>
      <c r="H2648" s="7" t="n">
        <f aca="false">Sens!$E$2648+(glt_srch-Sens!$E$2648)*MIN(1,(Sens!H2590-base_fy)/n_conv)</f>
        <v>0.095078480898471</v>
      </c>
      <c r="I2648" s="7" t="n">
        <f aca="false">Sens!$E$2648+(glt_srch-Sens!$E$2648)*MIN(1,(Sens!I2590-base_fy)/n_conv)</f>
        <v>0.0867189872656474</v>
      </c>
      <c r="J2648" s="7" t="n">
        <f aca="false">Sens!$E$2648+(glt_srch-Sens!$E$2648)*MIN(1,(Sens!J2590-base_fy)/n_conv)</f>
        <v>0.0783594936328237</v>
      </c>
      <c r="K2648" s="7" t="n">
        <f aca="false">Sens!$E$2648+(glt_srch-Sens!$E$2648)*MIN(1,(Sens!K2590-base_fy)/n_conv)</f>
        <v>0.07</v>
      </c>
    </row>
    <row r="2649" customFormat="false" ht="17.15" hidden="false" customHeight="false" outlineLevel="0" collapsed="false">
      <c r="A2649" s="0" t="s">
        <v>1042</v>
      </c>
      <c r="B2649" s="0" t="s">
        <v>98</v>
      </c>
      <c r="D2649" s="6" t="n">
        <f aca="false">Q!L14</f>
        <v>23.455</v>
      </c>
      <c r="E2649" s="6" t="n">
        <f aca="false">Q!M14</f>
        <v>21.79</v>
      </c>
      <c r="F2649" s="6" t="n">
        <f aca="false">Q!$I$14+(Q!M14-Q!$E$14)*(1+Sens!F2650)</f>
        <v>20.7520981041711</v>
      </c>
      <c r="G2649" s="6" t="n">
        <f aca="false">Sens!F2649*(1+Sens!G2650)</f>
        <v>19.9083593495882</v>
      </c>
      <c r="H2649" s="6" t="n">
        <f aca="false">Sens!G2649*(1+Sens!H2650)</f>
        <v>19.4008256265831</v>
      </c>
      <c r="I2649" s="6" t="n">
        <f aca="false">Sens!H2649*(1+Sens!I2650)</f>
        <v>19.200434522122</v>
      </c>
      <c r="J2649" s="6" t="n">
        <f aca="false">Sens!I2649*(1+Sens!J2650)</f>
        <v>19.2932782348507</v>
      </c>
      <c r="K2649" s="6" t="n">
        <f aca="false">Sens!J2649*(1+Sens!K2650)</f>
        <v>19.6791437995477</v>
      </c>
      <c r="L2649" s="12" t="s">
        <v>1038</v>
      </c>
    </row>
    <row r="2650" customFormat="false" ht="15" hidden="false" customHeight="false" outlineLevel="0" collapsed="false">
      <c r="A2650" s="1" t="s">
        <v>1028</v>
      </c>
      <c r="B2650" s="0" t="s">
        <v>168</v>
      </c>
      <c r="E2650" s="7" t="n">
        <f aca="false">Sens!E2649/Sens!D2649-1</f>
        <v>-0.0709869963760392</v>
      </c>
      <c r="F2650" s="7" t="n">
        <f aca="false">Sens!$E$2650+(glt_xbox-Sens!$E$2650)*MIN(1,(Sens!F2590-base_fy)/n_conv)</f>
        <v>-0.0558224969800327</v>
      </c>
      <c r="G2650" s="7" t="n">
        <f aca="false">Sens!$E$2650+(glt_xbox-Sens!$E$2650)*MIN(1,(Sens!G2590-base_fy)/n_conv)</f>
        <v>-0.0406579975840262</v>
      </c>
      <c r="H2650" s="7" t="n">
        <f aca="false">Sens!$E$2650+(glt_xbox-Sens!$E$2650)*MIN(1,(Sens!H2590-base_fy)/n_conv)</f>
        <v>-0.0254934981880196</v>
      </c>
      <c r="I2650" s="7" t="n">
        <f aca="false">Sens!$E$2650+(glt_xbox-Sens!$E$2650)*MIN(1,(Sens!I2590-base_fy)/n_conv)</f>
        <v>-0.0103289987920131</v>
      </c>
      <c r="J2650" s="7" t="n">
        <f aca="false">Sens!$E$2650+(glt_xbox-Sens!$E$2650)*MIN(1,(Sens!J2590-base_fy)/n_conv)</f>
        <v>0.00483550060399347</v>
      </c>
      <c r="K2650" s="7" t="n">
        <f aca="false">Sens!$E$2650+(glt_xbox-Sens!$E$2650)*MIN(1,(Sens!K2590-base_fy)/n_conv)</f>
        <v>0.02</v>
      </c>
    </row>
    <row r="2651" customFormat="false" ht="17.15" hidden="false" customHeight="false" outlineLevel="0" collapsed="false">
      <c r="A2651" s="0" t="s">
        <v>1043</v>
      </c>
      <c r="B2651" s="0" t="s">
        <v>98</v>
      </c>
      <c r="D2651" s="6" t="n">
        <f aca="false">Q!L15</f>
        <v>17.315</v>
      </c>
      <c r="E2651" s="6" t="n">
        <f aca="false">Q!M15</f>
        <v>17.087</v>
      </c>
      <c r="F2651" s="6" t="n">
        <f aca="false">Q!$I$15+(Q!M15-Q!$E$15)*(1+Sens!F2652)</f>
        <v>15.9912273250553</v>
      </c>
      <c r="G2651" s="6" t="n">
        <f aca="false">Sens!F2651*(1+Sens!G2652)</f>
        <v>15.9574562664827</v>
      </c>
      <c r="H2651" s="6" t="n">
        <f aca="false">Sens!G2651*(1+Sens!H2652)</f>
        <v>16.0119687434196</v>
      </c>
      <c r="I2651" s="6" t="n">
        <f aca="false">Sens!H2651*(1+Sens!I2652)</f>
        <v>16.1551810001948</v>
      </c>
      <c r="J2651" s="6" t="n">
        <f aca="false">Sens!I2651*(1+Sens!J2652)</f>
        <v>16.3889793892005</v>
      </c>
      <c r="K2651" s="6" t="n">
        <f aca="false">Sens!J2651*(1+Sens!K2652)</f>
        <v>16.7167589769845</v>
      </c>
      <c r="L2651" s="12" t="s">
        <v>1038</v>
      </c>
    </row>
    <row r="2652" customFormat="false" ht="15" hidden="false" customHeight="false" outlineLevel="0" collapsed="false">
      <c r="A2652" s="1" t="s">
        <v>1028</v>
      </c>
      <c r="B2652" s="0" t="s">
        <v>168</v>
      </c>
      <c r="E2652" s="7" t="n">
        <f aca="false">Sens!E2651/Sens!D2651-1</f>
        <v>-0.0131677736066995</v>
      </c>
      <c r="F2652" s="7" t="n">
        <f aca="false">Sens!$E$2652+(glt_win-Sens!$E$2652)*MIN(1,(Sens!F2590-base_fy)/n_conv)</f>
        <v>-0.00763981133891627</v>
      </c>
      <c r="G2652" s="7" t="n">
        <f aca="false">Sens!$E$2652+(glt_win-Sens!$E$2652)*MIN(1,(Sens!G2590-base_fy)/n_conv)</f>
        <v>-0.00211184907113301</v>
      </c>
      <c r="H2652" s="7" t="n">
        <f aca="false">Sens!$E$2652+(glt_win-Sens!$E$2652)*MIN(1,(Sens!H2590-base_fy)/n_conv)</f>
        <v>0.00341611319665024</v>
      </c>
      <c r="I2652" s="7" t="n">
        <f aca="false">Sens!$E$2652+(glt_win-Sens!$E$2652)*MIN(1,(Sens!I2590-base_fy)/n_conv)</f>
        <v>0.00894407546443349</v>
      </c>
      <c r="J2652" s="7" t="n">
        <f aca="false">Sens!$E$2652+(glt_win-Sens!$E$2652)*MIN(1,(Sens!J2590-base_fy)/n_conv)</f>
        <v>0.0144720377322168</v>
      </c>
      <c r="K2652" s="7" t="n">
        <f aca="false">Sens!$E$2652+(glt_win-Sens!$E$2652)*MIN(1,(Sens!K2590-base_fy)/n_conv)</f>
        <v>0.02</v>
      </c>
    </row>
    <row r="2653" customFormat="false" ht="15" hidden="false" customHeight="false" outlineLevel="0" collapsed="false">
      <c r="A2653" s="0" t="s">
        <v>870</v>
      </c>
      <c r="B2653" s="0" t="s">
        <v>98</v>
      </c>
      <c r="D2653" s="6" t="n">
        <f aca="false">Sens!D2647+Sens!D2649+Sens!D2651</f>
        <v>62.941</v>
      </c>
      <c r="E2653" s="6" t="n">
        <f aca="false">Sens!E2647+Sens!E2649+Sens!E2651</f>
        <v>63.712</v>
      </c>
      <c r="F2653" s="6" t="n">
        <f aca="false">Sens!F2647+Sens!F2649+Sens!F2651</f>
        <v>64.3025149952511</v>
      </c>
      <c r="G2653" s="6" t="n">
        <f aca="false">Sens!G2647+Sens!G2649+Sens!G2651</f>
        <v>66.2756719305292</v>
      </c>
      <c r="H2653" s="6" t="n">
        <f aca="false">Sens!H2647+Sens!H2649+Sens!H2651</f>
        <v>68.7139736271804</v>
      </c>
      <c r="I2653" s="6" t="n">
        <f aca="false">Sens!I2647+Sens!I2649+Sens!I2651</f>
        <v>71.5446393194289</v>
      </c>
      <c r="J2653" s="6" t="n">
        <f aca="false">Sens!J2647+Sens!J2649+Sens!J2651</f>
        <v>74.707035000971</v>
      </c>
      <c r="K2653" s="6" t="n">
        <f aca="false">Sens!K2647+Sens!K2649+Sens!K2651</f>
        <v>78.1524145698365</v>
      </c>
    </row>
    <row r="2654" customFormat="false" ht="15" hidden="false" customHeight="false" outlineLevel="0" collapsed="false">
      <c r="A2654" s="1" t="s">
        <v>1044</v>
      </c>
      <c r="B2654" s="0" t="s">
        <v>98</v>
      </c>
      <c r="D2654" s="6" t="n">
        <f aca="false">Sens!D2646+Sens!D2653</f>
        <v>281.724</v>
      </c>
      <c r="E2654" s="6" t="n">
        <f aca="false">Sens!E2646+Sens!E2653</f>
        <v>331.839</v>
      </c>
      <c r="F2654" s="6" t="n">
        <f aca="false">Sens!F2646+Sens!F2653</f>
        <v>403.077230889628</v>
      </c>
      <c r="G2654" s="6" t="n">
        <f aca="false">Sens!G2646+Sens!G2653</f>
        <v>491.783730467066</v>
      </c>
      <c r="H2654" s="6" t="n">
        <f aca="false">Sens!H2646+Sens!H2653</f>
        <v>587.294787614101</v>
      </c>
      <c r="I2654" s="6" t="n">
        <f aca="false">Sens!I2646+Sens!I2653</f>
        <v>668.612370626884</v>
      </c>
      <c r="J2654" s="6" t="n">
        <f aca="false">Sens!J2646+Sens!J2653</f>
        <v>734.052825485026</v>
      </c>
      <c r="K2654" s="6" t="n">
        <f aca="false">Sens!K2646+Sens!K2653</f>
        <v>786.111062567128</v>
      </c>
    </row>
    <row r="2655" customFormat="false" ht="15" hidden="false" customHeight="false" outlineLevel="0" collapsed="false">
      <c r="A2655" s="26" t="s">
        <v>1045</v>
      </c>
      <c r="B2655" s="31" t="s">
        <v>98</v>
      </c>
      <c r="C2655" s="31"/>
      <c r="D2655" s="27" t="n">
        <f aca="false">(Sens!D2634+Sens!D2639+Sens!D2640+Sens!D2642+Sens!D2644-Sens!D2646)+(Sens!D2647+Sens!D2649+Sens!D2651-Sens!D2653)+(Sens!D2646-Q!L5)+(Sens!D2653-Q!L12)+(Sens!D2634-Q!L6)+(Sens!D2639-Q!L7)</f>
        <v>0</v>
      </c>
      <c r="E2655" s="27" t="n">
        <f aca="false">(Sens!E2634+Sens!E2639+Sens!E2640+Sens!E2642+Sens!E2644-Sens!E2646)+(Sens!E2647+Sens!E2649+Sens!E2651-Sens!E2653)+(Sens!E2646-Q!M5)+(Sens!E2653-Q!M12)+(Sens!E2634-Q!M6)+(Sens!E2639-Q!M7)</f>
        <v>0</v>
      </c>
      <c r="F2655" s="27" t="n">
        <f aca="false">(Sens!F2634+Sens!F2639+Sens!F2640+Sens!F2642+Sens!F2644-Sens!F2646)+(Sens!F2647+Sens!F2649+Sens!F2651-Sens!F2653)</f>
        <v>0</v>
      </c>
      <c r="G2655" s="27" t="n">
        <f aca="false">(Sens!G2634+Sens!G2639+Sens!G2640+Sens!G2642+Sens!G2644-Sens!G2646)+(Sens!G2647+Sens!G2649+Sens!G2651-Sens!G2653)</f>
        <v>0</v>
      </c>
      <c r="H2655" s="27" t="n">
        <f aca="false">(Sens!H2634+Sens!H2639+Sens!H2640+Sens!H2642+Sens!H2644-Sens!H2646)+(Sens!H2647+Sens!H2649+Sens!H2651-Sens!H2653)</f>
        <v>0</v>
      </c>
      <c r="I2655" s="27" t="n">
        <f aca="false">(Sens!I2634+Sens!I2639+Sens!I2640+Sens!I2642+Sens!I2644-Sens!I2646)+(Sens!I2647+Sens!I2649+Sens!I2651-Sens!I2653)</f>
        <v>0</v>
      </c>
      <c r="J2655" s="27" t="n">
        <f aca="false">(Sens!J2634+Sens!J2639+Sens!J2640+Sens!J2642+Sens!J2644-Sens!J2646)+(Sens!J2647+Sens!J2649+Sens!J2651-Sens!J2653)</f>
        <v>0</v>
      </c>
      <c r="K2655" s="27" t="n">
        <f aca="false">(Sens!K2634+Sens!K2639+Sens!K2640+Sens!K2642+Sens!K2644-Sens!K2646)+(Sens!K2647+Sens!K2649+Sens!K2651-Sens!K2653)</f>
        <v>0</v>
      </c>
    </row>
    <row r="2656" customFormat="false" ht="17.15" hidden="false" customHeight="false" outlineLevel="0" collapsed="false">
      <c r="A2656" s="3" t="s">
        <v>1677</v>
      </c>
    </row>
    <row r="2657" customFormat="false" ht="15" hidden="false" customHeight="false" outlineLevel="0" collapsed="false">
      <c r="A2657" s="4" t="s">
        <v>43</v>
      </c>
      <c r="B2657" s="4" t="s">
        <v>65</v>
      </c>
      <c r="C2657" s="23" t="s">
        <v>942</v>
      </c>
      <c r="D2657" s="23" t="s">
        <v>943</v>
      </c>
      <c r="E2657" s="23" t="s">
        <v>944</v>
      </c>
      <c r="F2657" s="23" t="s">
        <v>945</v>
      </c>
      <c r="G2657" s="23" t="s">
        <v>946</v>
      </c>
      <c r="H2657" s="23" t="s">
        <v>947</v>
      </c>
      <c r="I2657" s="23" t="s">
        <v>948</v>
      </c>
      <c r="J2657" s="23" t="s">
        <v>949</v>
      </c>
      <c r="K2657" s="23" t="s">
        <v>950</v>
      </c>
      <c r="L2657" s="4" t="s">
        <v>47</v>
      </c>
    </row>
    <row r="2658" customFormat="false" ht="15" hidden="false" customHeight="false" outlineLevel="0" collapsed="false">
      <c r="A2658" s="0" t="s">
        <v>1029</v>
      </c>
      <c r="B2658" s="0" t="s">
        <v>98</v>
      </c>
      <c r="D2658" s="6" t="n">
        <f aca="false">Sens!D2634</f>
        <v>72.61</v>
      </c>
      <c r="E2658" s="6" t="n">
        <f aca="false">Sens!E2634</f>
        <v>101.938</v>
      </c>
      <c r="F2658" s="6" t="n">
        <f aca="false">Sens!F2634</f>
        <v>149.59001837225</v>
      </c>
      <c r="G2658" s="6" t="n">
        <f aca="false">Sens!G2634</f>
        <v>210.963087346352</v>
      </c>
      <c r="H2658" s="6" t="n">
        <f aca="false">Sens!H2634</f>
        <v>278.649709314524</v>
      </c>
      <c r="I2658" s="6" t="n">
        <f aca="false">Sens!I2634</f>
        <v>334.269404582332</v>
      </c>
      <c r="J2658" s="6" t="n">
        <f aca="false">Sens!J2634</f>
        <v>376.517293063672</v>
      </c>
      <c r="K2658" s="6" t="n">
        <f aca="false">Sens!K2634</f>
        <v>406.018092622804</v>
      </c>
    </row>
    <row r="2659" customFormat="false" ht="17.15" hidden="false" customHeight="false" outlineLevel="0" collapsed="false">
      <c r="A2659" s="0" t="s">
        <v>1025</v>
      </c>
      <c r="B2659" s="0" t="s">
        <v>98</v>
      </c>
      <c r="D2659" s="6" t="n">
        <f aca="false">Sens!D2631</f>
        <v>12.9359794422418</v>
      </c>
      <c r="E2659" s="6" t="n">
        <f aca="false">Sens!E2631</f>
        <v>27.8095064661409</v>
      </c>
      <c r="F2659" s="6" t="n">
        <f aca="false">Sens!F2631</f>
        <v>59.1034165651511</v>
      </c>
      <c r="G2659" s="6" t="n">
        <f aca="false">Sens!G2631</f>
        <v>103.451498789198</v>
      </c>
      <c r="H2659" s="6" t="n">
        <f aca="false">Sens!H2631</f>
        <v>153.816719989035</v>
      </c>
      <c r="I2659" s="6" t="n">
        <f aca="false">Sens!I2631</f>
        <v>192.699478690852</v>
      </c>
      <c r="J2659" s="6" t="n">
        <f aca="false">Sens!J2631</f>
        <v>219.794102584244</v>
      </c>
      <c r="K2659" s="6" t="n">
        <f aca="false">Sens!K2631</f>
        <v>236.757046905022</v>
      </c>
    </row>
    <row r="2660" customFormat="false" ht="17.15" hidden="false" customHeight="false" outlineLevel="0" collapsed="false">
      <c r="A2660" s="0" t="s">
        <v>1056</v>
      </c>
      <c r="B2660" s="0" t="s">
        <v>98</v>
      </c>
      <c r="D2660" s="6" t="n">
        <f aca="false">Sens!D2632</f>
        <v>59.6740205577583</v>
      </c>
      <c r="E2660" s="6" t="n">
        <f aca="false">Sens!E2632</f>
        <v>74.1284935338591</v>
      </c>
      <c r="F2660" s="6" t="n">
        <f aca="false">Sens!F2632</f>
        <v>90.4866018070994</v>
      </c>
      <c r="G2660" s="6" t="n">
        <f aca="false">Sens!G2632</f>
        <v>107.511588557154</v>
      </c>
      <c r="H2660" s="6" t="n">
        <f aca="false">Sens!H2632</f>
        <v>124.832989325489</v>
      </c>
      <c r="I2660" s="6" t="n">
        <f aca="false">Sens!I2632</f>
        <v>141.56992589148</v>
      </c>
      <c r="J2660" s="6" t="n">
        <f aca="false">Sens!J2632</f>
        <v>156.723190479428</v>
      </c>
      <c r="K2660" s="6" t="n">
        <f aca="false">Sens!K2632</f>
        <v>169.261045717783</v>
      </c>
    </row>
    <row r="2661" customFormat="false" ht="15" hidden="false" customHeight="false" outlineLevel="0" collapsed="false">
      <c r="A2661" s="0" t="s">
        <v>1036</v>
      </c>
      <c r="B2661" s="0" t="s">
        <v>98</v>
      </c>
      <c r="D2661" s="6" t="n">
        <f aca="false">Sens!D2639</f>
        <v>84.605</v>
      </c>
      <c r="E2661" s="6" t="n">
        <f aca="false">Sens!E2639</f>
        <v>100.299</v>
      </c>
      <c r="F2661" s="6" t="n">
        <f aca="false">Sens!F2639</f>
        <v>119.729653205718</v>
      </c>
      <c r="G2661" s="6" t="n">
        <f aca="false">Sens!G2639</f>
        <v>140.806092647576</v>
      </c>
      <c r="H2661" s="6" t="n">
        <f aca="false">Sens!H2639</f>
        <v>161.963437602768</v>
      </c>
      <c r="I2661" s="6" t="n">
        <f aca="false">Sens!I2639</f>
        <v>180.695354741933</v>
      </c>
      <c r="J2661" s="6" t="n">
        <f aca="false">Sens!J2639</f>
        <v>196.722117481571</v>
      </c>
      <c r="K2661" s="6" t="n">
        <f aca="false">Sens!K2639</f>
        <v>212.00016570528</v>
      </c>
    </row>
    <row r="2662" customFormat="false" ht="17.15" hidden="false" customHeight="false" outlineLevel="0" collapsed="false">
      <c r="A2662" s="0" t="s">
        <v>1057</v>
      </c>
      <c r="B2662" s="0" t="s">
        <v>98</v>
      </c>
      <c r="D2662" s="6" t="n">
        <f aca="false">Sens!D2637</f>
        <v>83.705</v>
      </c>
      <c r="E2662" s="6" t="n">
        <f aca="false">Sens!E2637</f>
        <v>95.049</v>
      </c>
      <c r="F2662" s="6" t="n">
        <f aca="false">Sens!F2637</f>
        <v>106.229653205718</v>
      </c>
      <c r="G2662" s="6" t="n">
        <f aca="false">Sens!G2637</f>
        <v>118.306092647576</v>
      </c>
      <c r="H2662" s="6" t="n">
        <f aca="false">Sens!H2637</f>
        <v>130.463437602768</v>
      </c>
      <c r="I2662" s="6" t="n">
        <f aca="false">Sens!I2637</f>
        <v>142.445354741933</v>
      </c>
      <c r="J2662" s="6" t="n">
        <f aca="false">Sens!J2637</f>
        <v>153.972117481571</v>
      </c>
      <c r="K2662" s="6" t="n">
        <f aca="false">Sens!K2637</f>
        <v>164.75016570528</v>
      </c>
    </row>
    <row r="2663" customFormat="false" ht="17.15" hidden="false" customHeight="false" outlineLevel="0" collapsed="false">
      <c r="A2663" s="0" t="s">
        <v>1058</v>
      </c>
      <c r="B2663" s="0" t="s">
        <v>98</v>
      </c>
      <c r="D2663" s="6" t="n">
        <f aca="false">Sens!D2636</f>
        <v>0.9</v>
      </c>
      <c r="E2663" s="6" t="n">
        <f aca="false">Sens!E2636</f>
        <v>5.25</v>
      </c>
      <c r="F2663" s="6" t="n">
        <f aca="false">Sens!F2636</f>
        <v>13.5</v>
      </c>
      <c r="G2663" s="6" t="n">
        <f aca="false">Sens!G2636</f>
        <v>22.5</v>
      </c>
      <c r="H2663" s="6" t="n">
        <f aca="false">Sens!H2636</f>
        <v>31.5</v>
      </c>
      <c r="I2663" s="6" t="n">
        <f aca="false">Sens!I2636</f>
        <v>38.25</v>
      </c>
      <c r="J2663" s="6" t="n">
        <f aca="false">Sens!J2636</f>
        <v>42.75</v>
      </c>
      <c r="K2663" s="6" t="n">
        <f aca="false">Sens!K2636</f>
        <v>47.25</v>
      </c>
    </row>
    <row r="2664" customFormat="false" ht="15" hidden="false" customHeight="false" outlineLevel="0" collapsed="false">
      <c r="A2664" s="0" t="s">
        <v>1037</v>
      </c>
      <c r="B2664" s="0" t="s">
        <v>98</v>
      </c>
      <c r="D2664" s="6" t="n">
        <f aca="false">Sens!D2640</f>
        <v>35.391</v>
      </c>
      <c r="E2664" s="6" t="n">
        <f aca="false">Sens!E2640</f>
        <v>37.285</v>
      </c>
      <c r="F2664" s="6" t="n">
        <f aca="false">Sens!F2640</f>
        <v>38.3851437782675</v>
      </c>
      <c r="G2664" s="6" t="n">
        <f aca="false">Sens!G2640</f>
        <v>40.0105353288615</v>
      </c>
      <c r="H2664" s="6" t="n">
        <f aca="false">Sens!H2640</f>
        <v>41.4812512033683</v>
      </c>
      <c r="I2664" s="6" t="n">
        <f aca="false">Sens!I2640</f>
        <v>42.7743107216329</v>
      </c>
      <c r="J2664" s="6" t="n">
        <f aca="false">Sens!J2640</f>
        <v>43.8687373064601</v>
      </c>
      <c r="K2664" s="6" t="n">
        <f aca="false">Sens!K2640</f>
        <v>44.7461120525893</v>
      </c>
    </row>
    <row r="2665" customFormat="false" ht="15" hidden="false" customHeight="false" outlineLevel="0" collapsed="false">
      <c r="A2665" s="0" t="s">
        <v>1039</v>
      </c>
      <c r="B2665" s="0" t="s">
        <v>98</v>
      </c>
      <c r="D2665" s="6" t="n">
        <f aca="false">Sens!D2642</f>
        <v>18.417</v>
      </c>
      <c r="E2665" s="6" t="n">
        <f aca="false">Sens!E2642</f>
        <v>20.345</v>
      </c>
      <c r="F2665" s="6" t="n">
        <f aca="false">Sens!F2642</f>
        <v>22.3161797133988</v>
      </c>
      <c r="G2665" s="6" t="n">
        <f aca="false">Sens!G2642</f>
        <v>24.3943499673233</v>
      </c>
      <c r="H2665" s="6" t="n">
        <f aca="false">Sens!H2642</f>
        <v>26.5250243109019</v>
      </c>
      <c r="I2665" s="6" t="n">
        <f aca="false">Sens!I2642</f>
        <v>28.6884573538181</v>
      </c>
      <c r="J2665" s="6" t="n">
        <f aca="false">Sens!J2642</f>
        <v>30.8624968052127</v>
      </c>
      <c r="K2665" s="6" t="n">
        <f aca="false">Sens!K2642</f>
        <v>33.0228715815776</v>
      </c>
    </row>
    <row r="2666" customFormat="false" ht="15" hidden="false" customHeight="false" outlineLevel="0" collapsed="false">
      <c r="A2666" s="0" t="s">
        <v>1040</v>
      </c>
      <c r="B2666" s="0" t="s">
        <v>98</v>
      </c>
      <c r="D2666" s="6" t="n">
        <f aca="false">Sens!D2644</f>
        <v>7.76</v>
      </c>
      <c r="E2666" s="6" t="n">
        <f aca="false">Sens!E2644</f>
        <v>8.26</v>
      </c>
      <c r="F2666" s="6" t="n">
        <f aca="false">Sens!F2644</f>
        <v>8.75372082474227</v>
      </c>
      <c r="G2666" s="6" t="n">
        <f aca="false">Sens!G2644</f>
        <v>9.33399324642364</v>
      </c>
      <c r="H2666" s="6" t="n">
        <f aca="false">Sens!H2644</f>
        <v>9.96139155535851</v>
      </c>
      <c r="I2666" s="6" t="n">
        <f aca="false">Sens!I2644</f>
        <v>10.6402039077391</v>
      </c>
      <c r="J2666" s="6" t="n">
        <f aca="false">Sens!J2644</f>
        <v>11.3751458271397</v>
      </c>
      <c r="K2666" s="6" t="n">
        <f aca="false">Sens!K2644</f>
        <v>12.1714060350394</v>
      </c>
    </row>
    <row r="2667" customFormat="false" ht="15" hidden="false" customHeight="false" outlineLevel="0" collapsed="false">
      <c r="A2667" s="0" t="s">
        <v>856</v>
      </c>
      <c r="B2667" s="0" t="s">
        <v>98</v>
      </c>
      <c r="D2667" s="6" t="n">
        <f aca="false">Sens!D2646</f>
        <v>218.783</v>
      </c>
      <c r="E2667" s="6" t="n">
        <f aca="false">Sens!E2646</f>
        <v>268.127</v>
      </c>
      <c r="F2667" s="6" t="n">
        <f aca="false">Sens!F2646</f>
        <v>338.774715894377</v>
      </c>
      <c r="G2667" s="6" t="n">
        <f aca="false">Sens!G2646</f>
        <v>425.508058536537</v>
      </c>
      <c r="H2667" s="6" t="n">
        <f aca="false">Sens!H2646</f>
        <v>518.580813986921</v>
      </c>
      <c r="I2667" s="6" t="n">
        <f aca="false">Sens!I2646</f>
        <v>597.067731307455</v>
      </c>
      <c r="J2667" s="6" t="n">
        <f aca="false">Sens!J2646</f>
        <v>659.345790484055</v>
      </c>
      <c r="K2667" s="6" t="n">
        <f aca="false">Sens!K2646</f>
        <v>707.958647997291</v>
      </c>
    </row>
    <row r="2668" customFormat="false" ht="15" hidden="false" customHeight="false" outlineLevel="0" collapsed="false">
      <c r="A2668" s="0" t="s">
        <v>1041</v>
      </c>
      <c r="B2668" s="0" t="s">
        <v>98</v>
      </c>
      <c r="D2668" s="6" t="n">
        <f aca="false">Sens!D2647</f>
        <v>22.171</v>
      </c>
      <c r="E2668" s="6" t="n">
        <f aca="false">Sens!E2647</f>
        <v>24.835</v>
      </c>
      <c r="F2668" s="6" t="n">
        <f aca="false">Sens!F2647</f>
        <v>27.5591895660247</v>
      </c>
      <c r="G2668" s="6" t="n">
        <f aca="false">Sens!G2647</f>
        <v>30.4098563144583</v>
      </c>
      <c r="H2668" s="6" t="n">
        <f aca="false">Sens!H2647</f>
        <v>33.3011792571777</v>
      </c>
      <c r="I2668" s="6" t="n">
        <f aca="false">Sens!I2647</f>
        <v>36.189023797112</v>
      </c>
      <c r="J2668" s="6" t="n">
        <f aca="false">Sens!J2647</f>
        <v>39.0247773769199</v>
      </c>
      <c r="K2668" s="6" t="n">
        <f aca="false">Sens!K2647</f>
        <v>41.7565117933043</v>
      </c>
    </row>
    <row r="2669" customFormat="false" ht="15" hidden="false" customHeight="false" outlineLevel="0" collapsed="false">
      <c r="A2669" s="0" t="s">
        <v>1042</v>
      </c>
      <c r="B2669" s="0" t="s">
        <v>98</v>
      </c>
      <c r="D2669" s="6" t="n">
        <f aca="false">Sens!D2649</f>
        <v>23.455</v>
      </c>
      <c r="E2669" s="6" t="n">
        <f aca="false">Sens!E2649</f>
        <v>21.79</v>
      </c>
      <c r="F2669" s="6" t="n">
        <f aca="false">Sens!F2649</f>
        <v>20.7520981041711</v>
      </c>
      <c r="G2669" s="6" t="n">
        <f aca="false">Sens!G2649</f>
        <v>19.9083593495882</v>
      </c>
      <c r="H2669" s="6" t="n">
        <f aca="false">Sens!H2649</f>
        <v>19.4008256265831</v>
      </c>
      <c r="I2669" s="6" t="n">
        <f aca="false">Sens!I2649</f>
        <v>19.200434522122</v>
      </c>
      <c r="J2669" s="6" t="n">
        <f aca="false">Sens!J2649</f>
        <v>19.2932782348507</v>
      </c>
      <c r="K2669" s="6" t="n">
        <f aca="false">Sens!K2649</f>
        <v>19.6791437995477</v>
      </c>
    </row>
    <row r="2670" customFormat="false" ht="15" hidden="false" customHeight="false" outlineLevel="0" collapsed="false">
      <c r="A2670" s="0" t="s">
        <v>1043</v>
      </c>
      <c r="B2670" s="0" t="s">
        <v>98</v>
      </c>
      <c r="D2670" s="6" t="n">
        <f aca="false">Sens!D2651</f>
        <v>17.315</v>
      </c>
      <c r="E2670" s="6" t="n">
        <f aca="false">Sens!E2651</f>
        <v>17.087</v>
      </c>
      <c r="F2670" s="6" t="n">
        <f aca="false">Sens!F2651</f>
        <v>15.9912273250553</v>
      </c>
      <c r="G2670" s="6" t="n">
        <f aca="false">Sens!G2651</f>
        <v>15.9574562664827</v>
      </c>
      <c r="H2670" s="6" t="n">
        <f aca="false">Sens!H2651</f>
        <v>16.0119687434196</v>
      </c>
      <c r="I2670" s="6" t="n">
        <f aca="false">Sens!I2651</f>
        <v>16.1551810001948</v>
      </c>
      <c r="J2670" s="6" t="n">
        <f aca="false">Sens!J2651</f>
        <v>16.3889793892005</v>
      </c>
      <c r="K2670" s="6" t="n">
        <f aca="false">Sens!K2651</f>
        <v>16.7167589769845</v>
      </c>
    </row>
    <row r="2671" customFormat="false" ht="15" hidden="false" customHeight="false" outlineLevel="0" collapsed="false">
      <c r="A2671" s="0" t="s">
        <v>870</v>
      </c>
      <c r="B2671" s="0" t="s">
        <v>98</v>
      </c>
      <c r="D2671" s="6" t="n">
        <f aca="false">Sens!D2653</f>
        <v>62.941</v>
      </c>
      <c r="E2671" s="6" t="n">
        <f aca="false">Sens!E2653</f>
        <v>63.712</v>
      </c>
      <c r="F2671" s="6" t="n">
        <f aca="false">Sens!F2653</f>
        <v>64.3025149952511</v>
      </c>
      <c r="G2671" s="6" t="n">
        <f aca="false">Sens!G2653</f>
        <v>66.2756719305292</v>
      </c>
      <c r="H2671" s="6" t="n">
        <f aca="false">Sens!H2653</f>
        <v>68.7139736271804</v>
      </c>
      <c r="I2671" s="6" t="n">
        <f aca="false">Sens!I2653</f>
        <v>71.5446393194289</v>
      </c>
      <c r="J2671" s="6" t="n">
        <f aca="false">Sens!J2653</f>
        <v>74.707035000971</v>
      </c>
      <c r="K2671" s="6" t="n">
        <f aca="false">Sens!K2653</f>
        <v>78.1524145698365</v>
      </c>
    </row>
    <row r="2672" customFormat="false" ht="15" hidden="false" customHeight="false" outlineLevel="0" collapsed="false">
      <c r="A2672" s="1" t="s">
        <v>1059</v>
      </c>
      <c r="B2672" s="0" t="s">
        <v>98</v>
      </c>
      <c r="D2672" s="6" t="n">
        <f aca="false">Sens!D2654</f>
        <v>281.724</v>
      </c>
      <c r="E2672" s="6" t="n">
        <f aca="false">Sens!E2654</f>
        <v>331.839</v>
      </c>
      <c r="F2672" s="6" t="n">
        <f aca="false">Sens!F2654</f>
        <v>403.077230889628</v>
      </c>
      <c r="G2672" s="6" t="n">
        <f aca="false">Sens!G2654</f>
        <v>491.783730467066</v>
      </c>
      <c r="H2672" s="6" t="n">
        <f aca="false">Sens!H2654</f>
        <v>587.294787614101</v>
      </c>
      <c r="I2672" s="6" t="n">
        <f aca="false">Sens!I2654</f>
        <v>668.612370626884</v>
      </c>
      <c r="J2672" s="6" t="n">
        <f aca="false">Sens!J2654</f>
        <v>734.052825485026</v>
      </c>
      <c r="K2672" s="6" t="n">
        <f aca="false">Sens!K2654</f>
        <v>786.111062567128</v>
      </c>
    </row>
    <row r="2673" customFormat="false" ht="15" hidden="false" customHeight="false" outlineLevel="0" collapsed="false">
      <c r="A2673" s="1" t="s">
        <v>1060</v>
      </c>
      <c r="B2673" s="0" t="s">
        <v>168</v>
      </c>
      <c r="E2673" s="7" t="n">
        <f aca="false">Sens!E2672/Sens!D2672-1</f>
        <v>0.177886867998467</v>
      </c>
      <c r="F2673" s="7" t="n">
        <f aca="false">Sens!F2672/Sens!E2672-1</f>
        <v>0.21467709006364</v>
      </c>
      <c r="G2673" s="7" t="n">
        <f aca="false">Sens!G2672/Sens!F2672-1</f>
        <v>0.220073208753704</v>
      </c>
      <c r="H2673" s="7" t="n">
        <f aca="false">Sens!H2672/Sens!G2672-1</f>
        <v>0.194213535808362</v>
      </c>
      <c r="I2673" s="7" t="n">
        <f aca="false">Sens!I2672/Sens!H2672-1</f>
        <v>0.13846127145643</v>
      </c>
      <c r="J2673" s="7" t="n">
        <f aca="false">Sens!J2672/Sens!I2672-1</f>
        <v>0.0978750285412546</v>
      </c>
      <c r="K2673" s="7" t="n">
        <f aca="false">Sens!K2672/Sens!J2672-1</f>
        <v>0.0709189247350204</v>
      </c>
    </row>
    <row r="2674" customFormat="false" ht="17.15" hidden="false" customHeight="false" outlineLevel="0" collapsed="false">
      <c r="A2674" s="26" t="s">
        <v>1061</v>
      </c>
      <c r="B2674" s="31" t="s">
        <v>98</v>
      </c>
      <c r="C2674" s="31"/>
      <c r="D2674" s="27" t="n">
        <f aca="false">(Sens!D2667+Sens!D2671-Sens!D2672)+(Sens!D2659+Sens!D2660-Sens!D2658)+(Sens!D2662+Sens!D2663-Sens!D2661)+(Sens!D2672-Q!L18)</f>
        <v>0</v>
      </c>
      <c r="E2674" s="27" t="n">
        <f aca="false">(Sens!E2667+Sens!E2671-Sens!E2672)+(Sens!E2659+Sens!E2660-Sens!E2658)+(Sens!E2662+Sens!E2663-Sens!E2661)+(Sens!E2672-Q!M18)</f>
        <v>0</v>
      </c>
      <c r="F2674" s="27" t="n">
        <f aca="false">(Sens!F2667+Sens!F2671-Sens!F2672)+(Sens!F2659+Sens!F2660-Sens!F2658)+(Sens!F2662+Sens!F2663-Sens!F2661)</f>
        <v>0</v>
      </c>
      <c r="G2674" s="27" t="n">
        <f aca="false">(Sens!G2667+Sens!G2671-Sens!G2672)+(Sens!G2659+Sens!G2660-Sens!G2658)+(Sens!G2662+Sens!G2663-Sens!G2661)</f>
        <v>0</v>
      </c>
      <c r="H2674" s="27" t="n">
        <f aca="false">(Sens!H2667+Sens!H2671-Sens!H2672)+(Sens!H2659+Sens!H2660-Sens!H2658)+(Sens!H2662+Sens!H2663-Sens!H2661)</f>
        <v>0</v>
      </c>
      <c r="I2674" s="27" t="n">
        <f aca="false">(Sens!I2667+Sens!I2671-Sens!I2672)+(Sens!I2659+Sens!I2660-Sens!I2658)+(Sens!I2662+Sens!I2663-Sens!I2661)</f>
        <v>0</v>
      </c>
      <c r="J2674" s="27" t="n">
        <f aca="false">(Sens!J2667+Sens!J2671-Sens!J2672)+(Sens!J2659+Sens!J2660-Sens!J2658)+(Sens!J2662+Sens!J2663-Sens!J2661)</f>
        <v>0</v>
      </c>
      <c r="K2674" s="27" t="n">
        <f aca="false">(Sens!K2667+Sens!K2671-Sens!K2672)+(Sens!K2659+Sens!K2660-Sens!K2658)+(Sens!K2662+Sens!K2663-Sens!K2661)</f>
        <v>0</v>
      </c>
    </row>
    <row r="2675" customFormat="false" ht="17.15" hidden="false" customHeight="false" outlineLevel="0" collapsed="false">
      <c r="A2675" s="0" t="s">
        <v>1062</v>
      </c>
      <c r="B2675" s="0" t="s">
        <v>168</v>
      </c>
      <c r="E2675" s="7" t="n">
        <f aca="false">(Q!M21+Sens!E2611+Sens!E2612+Sens!E2613+Sens!E2627-Sens!E2609)/(Q!M5-Sens!E2609)</f>
        <v>0.550623586919075</v>
      </c>
      <c r="F2675" s="7" t="n">
        <f aca="false">Sens!$E$2675+dm_seg</f>
        <v>0.550623586919075</v>
      </c>
      <c r="G2675" s="7" t="n">
        <f aca="false">Sens!$E$2675+dm_seg</f>
        <v>0.550623586919075</v>
      </c>
      <c r="H2675" s="7" t="n">
        <f aca="false">Sens!$E$2675+dm_seg</f>
        <v>0.550623586919075</v>
      </c>
      <c r="I2675" s="7" t="n">
        <f aca="false">Sens!$E$2675+dm_seg</f>
        <v>0.550623586919075</v>
      </c>
      <c r="J2675" s="7" t="n">
        <f aca="false">Sens!$E$2675+dm_seg</f>
        <v>0.550623586919075</v>
      </c>
      <c r="K2675" s="7" t="n">
        <f aca="false">Sens!$E$2675+dm_seg</f>
        <v>0.550623586919075</v>
      </c>
      <c r="L2675" s="12" t="s">
        <v>1063</v>
      </c>
    </row>
    <row r="2676" customFormat="false" ht="17.15" hidden="false" customHeight="false" outlineLevel="0" collapsed="false">
      <c r="A2676" s="0" t="s">
        <v>884</v>
      </c>
      <c r="B2676" s="0" t="s">
        <v>98</v>
      </c>
      <c r="D2676" s="6" t="n">
        <f aca="false">Q!L21</f>
        <v>110.814</v>
      </c>
      <c r="E2676" s="6" t="n">
        <f aca="false">Q!M21</f>
        <v>136.365</v>
      </c>
      <c r="F2676" s="6" t="n">
        <f aca="false">Q!$I$21+(Sens!F2675*(Sens!F2646-Sens!F2609)+Sens!F2609-(Sens!F2611+Sens!F2612+Sens!F2613)-Sens!F2627-Sens!F2710)*(Sens!F2646-Q!$I$5)/Sens!F2646</f>
        <v>166.462921549893</v>
      </c>
      <c r="G2676" s="6" t="n">
        <f aca="false">(Sens!G2675*(Sens!G2646-Sens!G2609)+Sens!G2609-(Sens!G2611+Sens!G2612+Sens!G2613)-Sens!G2627-Sens!G2710)</f>
        <v>199.758270103098</v>
      </c>
      <c r="H2676" s="6" t="n">
        <f aca="false">(Sens!H2675*(Sens!H2646-Sens!H2609)+Sens!H2609-(Sens!H2611+Sens!H2612+Sens!H2613)-Sens!H2627-Sens!H2710)</f>
        <v>241.546560047822</v>
      </c>
      <c r="I2676" s="6" t="n">
        <f aca="false">(Sens!I2675*(Sens!I2646-Sens!I2609)+Sens!I2609-(Sens!I2611+Sens!I2612+Sens!I2613)-Sens!I2627-Sens!I2710)</f>
        <v>274.00544743042</v>
      </c>
      <c r="J2676" s="6" t="n">
        <f aca="false">(Sens!J2675*(Sens!J2646-Sens!J2609)+Sens!J2609-(Sens!J2611+Sens!J2612+Sens!J2613)-Sens!J2627-Sens!J2710)</f>
        <v>300.77388544585</v>
      </c>
      <c r="K2676" s="6" t="n">
        <f aca="false">(Sens!K2675*(Sens!K2646-Sens!K2609)+Sens!K2609-(Sens!K2611+Sens!K2612+Sens!K2613)-Sens!K2627-Sens!K2710)</f>
        <v>323.342410485772</v>
      </c>
      <c r="L2676" s="1" t="s">
        <v>1064</v>
      </c>
    </row>
    <row r="2677" customFormat="false" ht="17.15" hidden="false" customHeight="false" outlineLevel="0" collapsed="false">
      <c r="A2677" s="0" t="s">
        <v>1065</v>
      </c>
      <c r="B2677" s="0" t="s">
        <v>168</v>
      </c>
      <c r="E2677" s="7" t="n">
        <f aca="false">Q!M22/Q!M12</f>
        <v>0.296207935710698</v>
      </c>
      <c r="F2677" s="7" t="n">
        <f aca="false">Sens!$E$2677+dm_seg</f>
        <v>0.296207935710698</v>
      </c>
      <c r="G2677" s="7" t="n">
        <f aca="false">Sens!$E$2677+dm_seg</f>
        <v>0.296207935710698</v>
      </c>
      <c r="H2677" s="7" t="n">
        <f aca="false">Sens!$E$2677+dm_seg</f>
        <v>0.296207935710698</v>
      </c>
      <c r="I2677" s="7" t="n">
        <f aca="false">Sens!$E$2677+dm_seg</f>
        <v>0.296207935710698</v>
      </c>
      <c r="J2677" s="7" t="n">
        <f aca="false">Sens!$E$2677+dm_seg</f>
        <v>0.296207935710698</v>
      </c>
      <c r="K2677" s="7" t="n">
        <f aca="false">Sens!$E$2677+dm_seg</f>
        <v>0.296207935710698</v>
      </c>
      <c r="L2677" s="12" t="s">
        <v>1066</v>
      </c>
    </row>
    <row r="2678" customFormat="false" ht="17.15" hidden="false" customHeight="false" outlineLevel="0" collapsed="false">
      <c r="A2678" s="0" t="s">
        <v>886</v>
      </c>
      <c r="B2678" s="0" t="s">
        <v>98</v>
      </c>
      <c r="D2678" s="6" t="n">
        <f aca="false">Q!L22</f>
        <v>17.714</v>
      </c>
      <c r="E2678" s="6" t="n">
        <f aca="false">Q!M22</f>
        <v>18.872</v>
      </c>
      <c r="F2678" s="6" t="n">
        <f aca="false">Q!$I$22+(Sens!F2653-Q!$I$12)*Sens!F2677</f>
        <v>19.8174315512051</v>
      </c>
      <c r="G2678" s="6" t="n">
        <f aca="false">Sens!G2653*Sens!G2677</f>
        <v>19.6313799703815</v>
      </c>
      <c r="H2678" s="6" t="n">
        <f aca="false">Sens!H2653*Sens!H2677</f>
        <v>20.3536242825865</v>
      </c>
      <c r="I2678" s="6" t="n">
        <f aca="false">Sens!I2653*Sens!I2677</f>
        <v>21.1920899239745</v>
      </c>
      <c r="J2678" s="6" t="n">
        <f aca="false">Sens!J2653*Sens!J2677</f>
        <v>22.1288166207045</v>
      </c>
      <c r="K2678" s="6" t="n">
        <f aca="false">Sens!K2653*Sens!K2677</f>
        <v>23.1493653905379</v>
      </c>
      <c r="L2678" s="12" t="s">
        <v>1067</v>
      </c>
    </row>
    <row r="2679" customFormat="false" ht="15" hidden="false" customHeight="false" outlineLevel="0" collapsed="false">
      <c r="A2679" s="1" t="s">
        <v>1068</v>
      </c>
      <c r="B2679" s="0" t="s">
        <v>98</v>
      </c>
      <c r="D2679" s="6" t="n">
        <f aca="false">Sens!D2676+Sens!D2678</f>
        <v>128.528</v>
      </c>
      <c r="E2679" s="6" t="n">
        <f aca="false">Sens!E2676+Sens!E2678</f>
        <v>155.237</v>
      </c>
      <c r="F2679" s="6" t="n">
        <f aca="false">Sens!F2676+Sens!F2678</f>
        <v>186.280353101098</v>
      </c>
      <c r="G2679" s="6" t="n">
        <f aca="false">Sens!G2676+Sens!G2678</f>
        <v>219.389650073479</v>
      </c>
      <c r="H2679" s="6" t="n">
        <f aca="false">Sens!H2676+Sens!H2678</f>
        <v>261.900184330408</v>
      </c>
      <c r="I2679" s="6" t="n">
        <f aca="false">Sens!I2676+Sens!I2678</f>
        <v>295.197537354394</v>
      </c>
      <c r="J2679" s="6" t="n">
        <f aca="false">Sens!J2676+Sens!J2678</f>
        <v>322.902702066554</v>
      </c>
      <c r="K2679" s="6" t="n">
        <f aca="false">Sens!K2676+Sens!K2678</f>
        <v>346.49177587631</v>
      </c>
    </row>
    <row r="2680" customFormat="false" ht="15" hidden="false" customHeight="false" outlineLevel="0" collapsed="false">
      <c r="A2680" s="26" t="s">
        <v>1069</v>
      </c>
      <c r="B2680" s="31" t="s">
        <v>98</v>
      </c>
      <c r="C2680" s="31"/>
      <c r="D2680" s="27" t="n">
        <f aca="false">Sens!D2679-Q!L23</f>
        <v>0</v>
      </c>
      <c r="E2680" s="27" t="n">
        <f aca="false">Sens!E2679-Q!M23</f>
        <v>0</v>
      </c>
      <c r="F2680" s="31"/>
      <c r="G2680" s="31"/>
      <c r="H2680" s="31"/>
      <c r="I2680" s="31"/>
      <c r="J2680" s="31"/>
      <c r="K2680" s="31"/>
    </row>
    <row r="2681" customFormat="false" ht="15" hidden="false" customHeight="false" outlineLevel="0" collapsed="false">
      <c r="A2681" s="1" t="s">
        <v>1070</v>
      </c>
      <c r="B2681" s="0" t="s">
        <v>168</v>
      </c>
      <c r="D2681" s="7" t="n">
        <f aca="false">Sens!D2679/Sens!D2672</f>
        <v>0.456219562408598</v>
      </c>
      <c r="E2681" s="7" t="n">
        <f aca="false">Sens!E2679/Sens!E2672</f>
        <v>0.467808184089272</v>
      </c>
      <c r="F2681" s="7" t="n">
        <f aca="false">Sens!F2679/Sens!F2672</f>
        <v>0.4621455612612</v>
      </c>
      <c r="G2681" s="7" t="n">
        <f aca="false">Sens!G2679/Sens!G2672</f>
        <v>0.446110020486274</v>
      </c>
      <c r="H2681" s="7" t="n">
        <f aca="false">Sens!H2679/Sens!H2672</f>
        <v>0.445943314760861</v>
      </c>
      <c r="I2681" s="7" t="n">
        <f aca="false">Sens!I2679/Sens!I2672</f>
        <v>0.441507740991421</v>
      </c>
      <c r="J2681" s="7" t="n">
        <f aca="false">Sens!J2679/Sens!J2672</f>
        <v>0.439890278813648</v>
      </c>
      <c r="K2681" s="7" t="n">
        <f aca="false">Sens!K2679/Sens!K2672</f>
        <v>0.440766950594494</v>
      </c>
    </row>
    <row r="2682" customFormat="false" ht="17.15" hidden="false" customHeight="false" outlineLevel="0" collapsed="false">
      <c r="A2682" s="1" t="s">
        <v>1071</v>
      </c>
      <c r="B2682" s="0" t="s">
        <v>98</v>
      </c>
      <c r="F2682" s="6" t="n">
        <f aca="false">Sens!F2697</f>
        <v>2.25425785294683</v>
      </c>
      <c r="G2682" s="6" t="n">
        <f aca="false">Sens!G2697</f>
        <v>6.77926553548493</v>
      </c>
      <c r="H2682" s="6" t="n">
        <f aca="false">Sens!H2697</f>
        <v>12.0408686927557</v>
      </c>
      <c r="I2682" s="6" t="n">
        <f aca="false">Sens!I2697</f>
        <v>17.3192726564212</v>
      </c>
      <c r="J2682" s="6" t="n">
        <f aca="false">Sens!J2697</f>
        <v>21.0868567662223</v>
      </c>
      <c r="K2682" s="6" t="n">
        <f aca="false">Sens!K2697</f>
        <v>22.4039793531564</v>
      </c>
      <c r="L2682" s="1" t="s">
        <v>1072</v>
      </c>
    </row>
    <row r="2683" customFormat="false" ht="17.15" hidden="false" customHeight="false" outlineLevel="0" collapsed="false">
      <c r="A2683" s="1" t="s">
        <v>1073</v>
      </c>
      <c r="B2683" s="0" t="s">
        <v>98</v>
      </c>
      <c r="D2683" s="6" t="n">
        <f aca="false">Sens!D2679</f>
        <v>128.528</v>
      </c>
      <c r="E2683" s="6" t="n">
        <f aca="false">Sens!E2679</f>
        <v>155.237</v>
      </c>
      <c r="F2683" s="6" t="n">
        <f aca="false">Sens!F2679+Sens!F2682</f>
        <v>188.534610954044</v>
      </c>
      <c r="G2683" s="6" t="n">
        <f aca="false">Sens!G2679+Sens!G2682</f>
        <v>226.168915608964</v>
      </c>
      <c r="H2683" s="6" t="n">
        <f aca="false">Sens!H2679+Sens!H2682</f>
        <v>273.941053023164</v>
      </c>
      <c r="I2683" s="6" t="n">
        <f aca="false">Sens!I2679+Sens!I2682</f>
        <v>312.516810010816</v>
      </c>
      <c r="J2683" s="6" t="n">
        <f aca="false">Sens!J2679+Sens!J2682</f>
        <v>343.989558832777</v>
      </c>
      <c r="K2683" s="6" t="n">
        <f aca="false">Sens!K2679+Sens!K2682</f>
        <v>368.895755229467</v>
      </c>
    </row>
    <row r="2684" customFormat="false" ht="17.15" hidden="false" customHeight="false" outlineLevel="0" collapsed="false">
      <c r="A2684" s="1" t="s">
        <v>1074</v>
      </c>
      <c r="B2684" s="0" t="s">
        <v>98</v>
      </c>
      <c r="E2684" s="6" t="n">
        <f aca="false">Sens!E2627</f>
        <v>13.0443247816667</v>
      </c>
      <c r="F2684" s="6" t="n">
        <f aca="false">Sens!F2627</f>
        <v>27.6634515826813</v>
      </c>
      <c r="G2684" s="6" t="n">
        <f aca="false">Sens!G2627</f>
        <v>48.5875925218392</v>
      </c>
      <c r="H2684" s="6" t="n">
        <f aca="false">Sens!H2627</f>
        <v>71.2800725291565</v>
      </c>
      <c r="I2684" s="6" t="n">
        <f aca="false">Sens!I2627</f>
        <v>91.3848077556387</v>
      </c>
      <c r="J2684" s="6" t="n">
        <f aca="false">Sens!J2627</f>
        <v>105.612538439677</v>
      </c>
      <c r="K2684" s="6" t="n">
        <f aca="false">Sens!K2627</f>
        <v>114.410135640747</v>
      </c>
    </row>
    <row r="2685" customFormat="false" ht="17.15" hidden="false" customHeight="false" outlineLevel="0" collapsed="false">
      <c r="A2685" s="1" t="s">
        <v>1075</v>
      </c>
      <c r="B2685" s="0" t="s">
        <v>98</v>
      </c>
      <c r="E2685" s="6" t="n">
        <f aca="false">Sens!E2709</f>
        <v>25.4896752183333</v>
      </c>
      <c r="F2685" s="6" t="n">
        <f aca="false">Sens!F2709</f>
        <v>29.8843953731304</v>
      </c>
      <c r="G2685" s="6" t="n">
        <f aca="false">Sens!G2709</f>
        <v>31.0537876175266</v>
      </c>
      <c r="H2685" s="6" t="n">
        <f aca="false">Sens!H2709</f>
        <v>32.7027454172168</v>
      </c>
      <c r="I2685" s="6" t="n">
        <f aca="false">Sens!I2709</f>
        <v>34.748593905439</v>
      </c>
      <c r="J2685" s="6" t="n">
        <f aca="false">Sens!J2709</f>
        <v>37.0935901789615</v>
      </c>
      <c r="K2685" s="6" t="n">
        <f aca="false">Sens!K2709</f>
        <v>39.6481571473381</v>
      </c>
    </row>
    <row r="2686" customFormat="false" ht="17.15" hidden="false" customHeight="false" outlineLevel="0" collapsed="false">
      <c r="A2686" s="1" t="s">
        <v>1076</v>
      </c>
      <c r="B2686" s="0" t="s">
        <v>98</v>
      </c>
      <c r="D2686" s="6" t="n">
        <f aca="false">Q!L27</f>
        <v>-4.901</v>
      </c>
      <c r="E2686" s="6" t="n">
        <f aca="false">Q!M27</f>
        <v>10.697</v>
      </c>
      <c r="F2686" s="6" t="n">
        <f aca="false">Q!$I$27+oie_f*(q_per_yr-1)/q_per_yr</f>
        <v>-0.862</v>
      </c>
      <c r="G2686" s="6" t="n">
        <f aca="false">oie_f</f>
        <v>-1.2</v>
      </c>
      <c r="H2686" s="6" t="n">
        <f aca="false">oie_f</f>
        <v>-1.2</v>
      </c>
      <c r="I2686" s="6" t="n">
        <f aca="false">oie_f</f>
        <v>-1.2</v>
      </c>
      <c r="J2686" s="6" t="n">
        <f aca="false">oie_f</f>
        <v>-1.2</v>
      </c>
      <c r="K2686" s="6" t="n">
        <f aca="false">oie_f</f>
        <v>-1.2</v>
      </c>
      <c r="L2686" s="12" t="s">
        <v>1077</v>
      </c>
    </row>
    <row r="2687" customFormat="false" ht="15" hidden="false" customHeight="false" outlineLevel="0" collapsed="false">
      <c r="A2687" s="1" t="s">
        <v>1078</v>
      </c>
      <c r="B2687" s="0" t="s">
        <v>98</v>
      </c>
      <c r="D2687" s="6" t="n">
        <f aca="false">Sens!D2679+Sens!D2686</f>
        <v>123.627</v>
      </c>
      <c r="E2687" s="6" t="n">
        <f aca="false">Sens!E2679+Sens!E2686</f>
        <v>165.934</v>
      </c>
      <c r="F2687" s="6" t="n">
        <f aca="false">Sens!F2679+Sens!F2686</f>
        <v>185.418353101098</v>
      </c>
      <c r="G2687" s="6" t="n">
        <f aca="false">Sens!G2679+Sens!G2686</f>
        <v>218.189650073479</v>
      </c>
      <c r="H2687" s="6" t="n">
        <f aca="false">Sens!H2679+Sens!H2686</f>
        <v>260.700184330408</v>
      </c>
      <c r="I2687" s="6" t="n">
        <f aca="false">Sens!I2679+Sens!I2686</f>
        <v>293.997537354394</v>
      </c>
      <c r="J2687" s="6" t="n">
        <f aca="false">Sens!J2679+Sens!J2686</f>
        <v>321.702702066554</v>
      </c>
      <c r="K2687" s="6" t="n">
        <f aca="false">Sens!K2679+Sens!K2686</f>
        <v>345.29177587631</v>
      </c>
    </row>
    <row r="2688" customFormat="false" ht="15" hidden="false" customHeight="false" outlineLevel="0" collapsed="false">
      <c r="A2688" s="1" t="s">
        <v>1079</v>
      </c>
      <c r="B2688" s="0" t="s">
        <v>98</v>
      </c>
      <c r="D2688" s="6" t="n">
        <f aca="false">Q!L29</f>
        <v>21.795</v>
      </c>
      <c r="E2688" s="6" t="n">
        <f aca="false">Q!M29</f>
        <v>32.185</v>
      </c>
      <c r="F2688" s="6" t="n">
        <f aca="false">Q!$I$29+(Sens!F2687-Q!$I$28)*tax_f</f>
        <v>37.2170706202195</v>
      </c>
      <c r="G2688" s="6" t="n">
        <f aca="false">Sens!G2687*tax_f</f>
        <v>43.6379300146958</v>
      </c>
      <c r="H2688" s="6" t="n">
        <f aca="false">Sens!H2687*tax_f</f>
        <v>52.1400368660816</v>
      </c>
      <c r="I2688" s="6" t="n">
        <f aca="false">Sens!I2687*tax_f</f>
        <v>58.7995074708789</v>
      </c>
      <c r="J2688" s="6" t="n">
        <f aca="false">Sens!J2687*tax_f</f>
        <v>64.3405404133109</v>
      </c>
      <c r="K2688" s="6" t="n">
        <f aca="false">Sens!K2687*tax_f</f>
        <v>69.0583551752621</v>
      </c>
    </row>
    <row r="2689" customFormat="false" ht="15" hidden="false" customHeight="false" outlineLevel="0" collapsed="false">
      <c r="A2689" s="1" t="s">
        <v>1080</v>
      </c>
      <c r="B2689" s="0" t="s">
        <v>98</v>
      </c>
      <c r="D2689" s="6" t="n">
        <f aca="false">Sens!D2687-Sens!D2688</f>
        <v>101.832</v>
      </c>
      <c r="E2689" s="6" t="n">
        <f aca="false">Sens!E2687-Sens!E2688</f>
        <v>133.749</v>
      </c>
      <c r="F2689" s="6" t="n">
        <f aca="false">Sens!F2687-Sens!F2688</f>
        <v>148.201282480878</v>
      </c>
      <c r="G2689" s="6" t="n">
        <f aca="false">Sens!G2687-Sens!G2688</f>
        <v>174.551720058783</v>
      </c>
      <c r="H2689" s="6" t="n">
        <f aca="false">Sens!H2687-Sens!H2688</f>
        <v>208.560147464326</v>
      </c>
      <c r="I2689" s="6" t="n">
        <f aca="false">Sens!I2687-Sens!I2688</f>
        <v>235.198029883516</v>
      </c>
      <c r="J2689" s="6" t="n">
        <f aca="false">Sens!J2687-Sens!J2688</f>
        <v>257.362161653244</v>
      </c>
      <c r="K2689" s="6" t="n">
        <f aca="false">Sens!K2687-Sens!K2688</f>
        <v>276.233420701048</v>
      </c>
    </row>
    <row r="2690" customFormat="false" ht="17.15" hidden="false" customHeight="false" outlineLevel="0" collapsed="false">
      <c r="A2690" s="1" t="s">
        <v>1081</v>
      </c>
      <c r="B2690" s="1" t="s">
        <v>81</v>
      </c>
      <c r="D2690" s="15" t="n">
        <f aca="false">Q!L31</f>
        <v>7.465</v>
      </c>
      <c r="E2690" s="15" t="n">
        <f aca="false">Q!M31</f>
        <v>7.453</v>
      </c>
      <c r="F2690" s="15" t="n">
        <f aca="false">Sens!F2734</f>
        <v>7.47050278335092</v>
      </c>
      <c r="G2690" s="15" t="n">
        <f aca="false">Sens!G2734</f>
        <v>7.49382150085294</v>
      </c>
      <c r="H2690" s="15" t="n">
        <f aca="false">Sens!H2734</f>
        <v>7.50283737403285</v>
      </c>
      <c r="I2690" s="15" t="n">
        <f aca="false">Sens!I2734</f>
        <v>7.51451873808832</v>
      </c>
      <c r="J2690" s="15" t="n">
        <f aca="false">Sens!J2734</f>
        <v>7.52866814925079</v>
      </c>
      <c r="K2690" s="15" t="n">
        <f aca="false">Sens!K2734</f>
        <v>7.54510278921604</v>
      </c>
    </row>
    <row r="2691" customFormat="false" ht="17.15" hidden="false" customHeight="false" outlineLevel="0" collapsed="false">
      <c r="A2691" s="0" t="s">
        <v>1082</v>
      </c>
      <c r="B2691" s="0" t="s">
        <v>75</v>
      </c>
      <c r="D2691" s="8" t="n">
        <f aca="false">Sens!D2689/Sens!D2690</f>
        <v>13.641259209645</v>
      </c>
      <c r="E2691" s="8" t="n">
        <f aca="false">Sens!E2689/Sens!E2690</f>
        <v>17.9456594659869</v>
      </c>
      <c r="F2691" s="8" t="n">
        <f aca="false">Sens!F2689/Sens!F2690</f>
        <v>19.8381938644298</v>
      </c>
      <c r="G2691" s="8" t="n">
        <f aca="false">Sens!G2689/Sens!G2690</f>
        <v>23.2927512403272</v>
      </c>
      <c r="H2691" s="8" t="n">
        <f aca="false">Sens!H2689/Sens!H2690</f>
        <v>27.7975034066643</v>
      </c>
      <c r="I2691" s="8" t="n">
        <f aca="false">Sens!I2689/Sens!I2690</f>
        <v>31.2991474346033</v>
      </c>
      <c r="J2691" s="8" t="n">
        <f aca="false">Sens!J2689/Sens!J2690</f>
        <v>34.1842881836749</v>
      </c>
      <c r="K2691" s="8" t="n">
        <f aca="false">Sens!K2689/Sens!K2690</f>
        <v>36.6109552670189</v>
      </c>
      <c r="L2691" s="1" t="s">
        <v>1083</v>
      </c>
    </row>
    <row r="2692" customFormat="false" ht="17.15" hidden="false" customHeight="false" outlineLevel="0" collapsed="false">
      <c r="A2692" s="1" t="s">
        <v>1084</v>
      </c>
      <c r="B2692" s="0" t="s">
        <v>98</v>
      </c>
      <c r="D2692" s="6" t="n">
        <f aca="false">Sens!D2689</f>
        <v>101.832</v>
      </c>
      <c r="E2692" s="6" t="n">
        <f aca="false">Sens!E2689</f>
        <v>133.749</v>
      </c>
      <c r="F2692" s="6" t="n">
        <f aca="false">Sens!F2689+Sens!F2682*(1-tax_f)</f>
        <v>150.004688763236</v>
      </c>
      <c r="G2692" s="6" t="n">
        <f aca="false">Sens!G2689+Sens!G2682*(1-tax_f)</f>
        <v>179.975132487171</v>
      </c>
      <c r="H2692" s="6" t="n">
        <f aca="false">Sens!H2689+Sens!H2682*(1-tax_f)</f>
        <v>218.192842418531</v>
      </c>
      <c r="I2692" s="6" t="n">
        <f aca="false">Sens!I2689+Sens!I2682*(1-tax_f)</f>
        <v>249.053448008652</v>
      </c>
      <c r="J2692" s="6" t="n">
        <f aca="false">Sens!J2689+Sens!J2682*(1-tax_f)</f>
        <v>274.231647066221</v>
      </c>
      <c r="K2692" s="6" t="n">
        <f aca="false">Sens!K2689+Sens!K2682*(1-tax_f)</f>
        <v>294.156604183573</v>
      </c>
    </row>
    <row r="2693" customFormat="false" ht="17.15" hidden="false" customHeight="false" outlineLevel="0" collapsed="false">
      <c r="A2693" s="0" t="s">
        <v>1085</v>
      </c>
      <c r="B2693" s="0" t="s">
        <v>75</v>
      </c>
      <c r="D2693" s="8" t="n">
        <f aca="false">Sens!D2692/Sens!D2690</f>
        <v>13.641259209645</v>
      </c>
      <c r="E2693" s="8" t="n">
        <f aca="false">Sens!E2692/Sens!E2690</f>
        <v>17.9456594659869</v>
      </c>
      <c r="F2693" s="8" t="n">
        <f aca="false">Sens!F2692/Sens!F2690</f>
        <v>20.0795974666581</v>
      </c>
      <c r="G2693" s="8" t="n">
        <f aca="false">Sens!G2692/Sens!G2690</f>
        <v>24.0164690961329</v>
      </c>
      <c r="H2693" s="8" t="n">
        <f aca="false">Sens!H2692/Sens!H2690</f>
        <v>29.0813770232701</v>
      </c>
      <c r="I2693" s="8" t="n">
        <f aca="false">Sens!I2692/Sens!I2690</f>
        <v>33.1429671931341</v>
      </c>
      <c r="J2693" s="8" t="n">
        <f aca="false">Sens!J2692/Sens!J2690</f>
        <v>36.4249880097998</v>
      </c>
      <c r="K2693" s="8" t="n">
        <f aca="false">Sens!K2692/Sens!K2690</f>
        <v>38.9864276738551</v>
      </c>
      <c r="L2693" s="1" t="s">
        <v>1086</v>
      </c>
    </row>
    <row r="2694" customFormat="false" ht="17.15" hidden="false" customHeight="false" outlineLevel="0" collapsed="false">
      <c r="A2694" s="0" t="s">
        <v>1087</v>
      </c>
      <c r="B2694" s="0" t="s">
        <v>168</v>
      </c>
      <c r="E2694" s="7" t="n">
        <f aca="false">Sens!E2693/Sens!D2693-1</f>
        <v>0.315542736208578</v>
      </c>
      <c r="F2694" s="7" t="n">
        <f aca="false">Sens!F2693/Sens!E2693-1</f>
        <v>0.1189110940568</v>
      </c>
      <c r="G2694" s="7" t="n">
        <f aca="false">Sens!G2693/Sens!F2693-1</f>
        <v>0.196063274476091</v>
      </c>
      <c r="H2694" s="7" t="n">
        <f aca="false">Sens!H2693/Sens!G2693-1</f>
        <v>0.210893112841167</v>
      </c>
      <c r="I2694" s="7" t="n">
        <f aca="false">Sens!I2693/Sens!H2693-1</f>
        <v>0.139662924716874</v>
      </c>
      <c r="J2694" s="7" t="n">
        <f aca="false">Sens!J2693/Sens!I2693-1</f>
        <v>0.0990261613433809</v>
      </c>
      <c r="K2694" s="7" t="n">
        <f aca="false">Sens!K2693/Sens!J2693-1</f>
        <v>0.0703209473498296</v>
      </c>
    </row>
    <row r="2695" customFormat="false" ht="17.15" hidden="false" customHeight="false" outlineLevel="0" collapsed="false">
      <c r="A2695" s="0" t="s">
        <v>1007</v>
      </c>
      <c r="B2695" s="0" t="s">
        <v>98</v>
      </c>
      <c r="E2695" s="6" t="n">
        <f aca="false">Sens!E2636</f>
        <v>5.25</v>
      </c>
      <c r="F2695" s="6" t="n">
        <f aca="false">Sens!F2636</f>
        <v>13.5</v>
      </c>
      <c r="G2695" s="6" t="n">
        <f aca="false">Sens!G2636</f>
        <v>22.5</v>
      </c>
      <c r="H2695" s="6" t="n">
        <f aca="false">Sens!H2636</f>
        <v>31.5</v>
      </c>
      <c r="I2695" s="6" t="n">
        <f aca="false">Sens!I2636</f>
        <v>38.25</v>
      </c>
      <c r="J2695" s="6" t="n">
        <f aca="false">Sens!J2636</f>
        <v>42.75</v>
      </c>
      <c r="K2695" s="6" t="n">
        <f aca="false">Sens!K2636</f>
        <v>47.25</v>
      </c>
    </row>
    <row r="2696" customFormat="false" ht="17.15" hidden="false" customHeight="false" outlineLevel="0" collapsed="false">
      <c r="A2696" s="1" t="s">
        <v>1008</v>
      </c>
      <c r="B2696" s="0" t="s">
        <v>98</v>
      </c>
      <c r="F2696" s="6" t="n">
        <f aca="false">MAX(0,((Sens!E2596+Sens!F2596)/2-(shadow_base*(Sens!$D$2596+Sens!$E$2596)/2+(1-shadow_base)*Sens!$E$2596))*Sens!F2605/1000-(Sens!F2695-Sens!$E$2695)*Sens!F2675)</f>
        <v>2.25425785294683</v>
      </c>
      <c r="G2696" s="6" t="n">
        <f aca="false">MAX(0,((Sens!F2596+Sens!G2596)/2-(shadow_base*(Sens!$D$2596+Sens!$E$2596)/2+(1-shadow_base)*Sens!$E$2596))*Sens!G2605/1000-(Sens!G2695-Sens!$E$2695)*Sens!G2675)</f>
        <v>6.77926553548493</v>
      </c>
      <c r="H2696" s="6" t="n">
        <f aca="false">MAX(0,((Sens!G2596+Sens!H2596)/2-(shadow_base*(Sens!$D$2596+Sens!$E$2596)/2+(1-shadow_base)*Sens!$E$2596))*Sens!H2605/1000-(Sens!H2695-Sens!$E$2695)*Sens!H2675)</f>
        <v>12.0408686927557</v>
      </c>
      <c r="I2696" s="6" t="n">
        <f aca="false">MAX(0,((Sens!H2596+Sens!I2596)/2-(shadow_base*(Sens!$D$2596+Sens!$E$2596)/2+(1-shadow_base)*Sens!$E$2596))*Sens!I2605/1000-(Sens!I2695-Sens!$E$2695)*Sens!I2675)</f>
        <v>17.3192726564212</v>
      </c>
      <c r="J2696" s="6" t="n">
        <f aca="false">MAX(0,((Sens!I2596+Sens!J2596)/2-(shadow_base*(Sens!$D$2596+Sens!$E$2596)/2+(1-shadow_base)*Sens!$E$2596))*Sens!J2605/1000-(Sens!J2695-Sens!$E$2695)*Sens!J2675)</f>
        <v>21.0868567662223</v>
      </c>
      <c r="K2696" s="6" t="n">
        <f aca="false">MAX(0,((Sens!J2596+Sens!K2596)/2-(shadow_base*(Sens!$D$2596+Sens!$E$2596)/2+(1-shadow_base)*Sens!$E$2596))*Sens!K2605/1000-(Sens!K2695-Sens!$E$2695)*Sens!K2675)</f>
        <v>22.4039793531564</v>
      </c>
      <c r="L2696" s="1" t="s">
        <v>1009</v>
      </c>
    </row>
    <row r="2697" customFormat="false" ht="17.15" hidden="false" customHeight="false" outlineLevel="0" collapsed="false">
      <c r="A2697" s="1" t="s">
        <v>1010</v>
      </c>
      <c r="B2697" s="0" t="s">
        <v>98</v>
      </c>
      <c r="F2697" s="6" t="n">
        <f aca="false">IF(internal_ai_reading=2,1,0)*Sens!F2696</f>
        <v>2.25425785294683</v>
      </c>
      <c r="G2697" s="6" t="n">
        <f aca="false">IF(internal_ai_reading=2,1,0)*Sens!G2696</f>
        <v>6.77926553548493</v>
      </c>
      <c r="H2697" s="6" t="n">
        <f aca="false">IF(internal_ai_reading=2,1,0)*Sens!H2696</f>
        <v>12.0408686927557</v>
      </c>
      <c r="I2697" s="6" t="n">
        <f aca="false">IF(internal_ai_reading=2,1,0)*Sens!I2696</f>
        <v>17.3192726564212</v>
      </c>
      <c r="J2697" s="6" t="n">
        <f aca="false">IF(internal_ai_reading=2,1,0)*Sens!J2696</f>
        <v>21.0868567662223</v>
      </c>
      <c r="K2697" s="6" t="n">
        <f aca="false">IF(internal_ai_reading=2,1,0)*Sens!K2696</f>
        <v>22.4039793531564</v>
      </c>
    </row>
    <row r="2698" customFormat="false" ht="17.15" hidden="false" customHeight="false" outlineLevel="0" collapsed="false">
      <c r="A2698" s="0" t="s">
        <v>1011</v>
      </c>
      <c r="B2698" s="0" t="s">
        <v>98</v>
      </c>
      <c r="F2698" s="6" t="n">
        <f aca="false">Sens!F2615+Sens!F2695*Sens!F2675+Sens!F2697-Sens!F2616-Sens!F2627</f>
        <v>21.8797550558744</v>
      </c>
      <c r="G2698" s="6" t="n">
        <f aca="false">Sens!G2615+Sens!G2695*Sens!G2675+Sens!G2697-Sens!G2616-Sens!G2627</f>
        <v>44.631080468196</v>
      </c>
      <c r="H2698" s="6" t="n">
        <f aca="false">Sens!H2615+Sens!H2695*Sens!H2675+Sens!H2697-Sens!H2616-Sens!H2627</f>
        <v>72.8171649306737</v>
      </c>
      <c r="I2698" s="6" t="n">
        <f aca="false">Sens!I2615+Sens!I2695*Sens!I2675+Sens!I2697-Sens!I2616-Sens!I2627</f>
        <v>92.1909009112366</v>
      </c>
      <c r="J2698" s="6" t="n">
        <f aca="false">Sens!J2615+Sens!J2695*Sens!J2675+Sens!J2697-Sens!J2616-Sens!J2627</f>
        <v>105.585947210159</v>
      </c>
      <c r="K2698" s="6" t="n">
        <f aca="false">Sens!K2615+Sens!K2695*Sens!K2675+Sens!K2697-Sens!K2616-Sens!K2627</f>
        <v>114.30085488194</v>
      </c>
    </row>
    <row r="2699" customFormat="false" ht="17.15" hidden="false" customHeight="false" outlineLevel="0" collapsed="false">
      <c r="A2699" s="0" t="s">
        <v>1012</v>
      </c>
      <c r="B2699" s="0" t="s">
        <v>98</v>
      </c>
      <c r="E2699" s="6" t="n">
        <f aca="false">Sens!E2595*(cxit_open+self_build*tk_cxfac)/1000*ai_net_open</f>
        <v>101.35843056</v>
      </c>
      <c r="F2699" s="6" t="n">
        <f aca="false">Sens!E2699+Sens!F2624-Sens!F2627</f>
        <v>208.458102211014</v>
      </c>
      <c r="G2699" s="6" t="n">
        <f aca="false">Sens!F2699+Sens!G2624-Sens!G2627</f>
        <v>313.426090208414</v>
      </c>
      <c r="H2699" s="6" t="n">
        <f aca="false">Sens!G2699+Sens!H2624-Sens!H2627</f>
        <v>399.590820930867</v>
      </c>
      <c r="I2699" s="6" t="n">
        <f aca="false">Sens!H2699+Sens!I2624-Sens!I2627</f>
        <v>443.097880072517</v>
      </c>
      <c r="J2699" s="6" t="n">
        <f aca="false">Sens!I2699+Sens!J2624-Sens!J2627</f>
        <v>440.629286589592</v>
      </c>
      <c r="K2699" s="6" t="n">
        <f aca="false">Sens!J2699+Sens!K2624-Sens!K2627</f>
        <v>421.389433400631</v>
      </c>
      <c r="L2699" s="1" t="s">
        <v>1013</v>
      </c>
    </row>
    <row r="2700" customFormat="false" ht="17.15" hidden="false" customHeight="false" outlineLevel="0" collapsed="false">
      <c r="A2700" s="0" t="s">
        <v>1014</v>
      </c>
      <c r="B2700" s="0" t="s">
        <v>168</v>
      </c>
      <c r="F2700" s="7" t="n">
        <f aca="false">Sens!F2698*(1-tax_f)/((Sens!E2699+Sens!F2699)/2)</f>
        <v>0.112994641623186</v>
      </c>
      <c r="G2700" s="7" t="n">
        <f aca="false">Sens!G2698*(1-tax_f)/((Sens!F2699+Sens!G2699)/2)</f>
        <v>0.136830603008039</v>
      </c>
      <c r="H2700" s="7" t="n">
        <f aca="false">Sens!H2698*(1-tax_f)/((Sens!G2699+Sens!H2699)/2)</f>
        <v>0.163400702099644</v>
      </c>
      <c r="I2700" s="7" t="n">
        <f aca="false">Sens!I2698*(1-tax_f)/((Sens!H2699+Sens!I2699)/2)</f>
        <v>0.175041437344947</v>
      </c>
      <c r="J2700" s="7" t="n">
        <f aca="false">Sens!J2698*(1-tax_f)/((Sens!I2699+Sens!J2699)/2)</f>
        <v>0.191164786949281</v>
      </c>
      <c r="K2700" s="7" t="n">
        <f aca="false">Sens!K2698*(1-tax_f)/((Sens!J2699+Sens!K2699)/2)</f>
        <v>0.21215475206058</v>
      </c>
    </row>
    <row r="2701" customFormat="false" ht="17.15" hidden="false" customHeight="false" outlineLevel="0" collapsed="false">
      <c r="A2701" s="1" t="s">
        <v>1015</v>
      </c>
      <c r="B2701" s="0" t="s">
        <v>168</v>
      </c>
      <c r="F2701" s="7" t="n">
        <f aca="false">(Sens!F2698-Sens!F2697)*(1-tax_f)/((Sens!E2699+Sens!F2699)/2)</f>
        <v>0.10135287243658</v>
      </c>
      <c r="G2701" s="7" t="n">
        <f aca="false">(Sens!G2698-Sens!G2697)*(1-tax_f)/((Sens!F2699+Sens!G2699)/2)</f>
        <v>0.116046634046475</v>
      </c>
      <c r="H2701" s="7" t="n">
        <f aca="false">(Sens!H2698-Sens!H2697)*(1-tax_f)/((Sens!G2699+Sens!H2699)/2)</f>
        <v>0.136381160757173</v>
      </c>
      <c r="I2701" s="7" t="n">
        <f aca="false">(Sens!I2698-Sens!I2697)*(1-tax_f)/((Sens!H2699+Sens!I2699)/2)</f>
        <v>0.142157602285478</v>
      </c>
      <c r="J2701" s="7" t="n">
        <f aca="false">(Sens!J2698-Sens!J2697)*(1-tax_f)/((Sens!I2699+Sens!J2699)/2)</f>
        <v>0.152986747279651</v>
      </c>
      <c r="K2701" s="7" t="n">
        <f aca="false">(Sens!K2698-Sens!K2697)*(1-tax_f)/((Sens!J2699+Sens!K2699)/2)</f>
        <v>0.170570542653322</v>
      </c>
    </row>
    <row r="2702" customFormat="false" ht="17.15" hidden="false" customHeight="false" outlineLevel="0" collapsed="false">
      <c r="A2702" s="1" t="s">
        <v>1016</v>
      </c>
      <c r="B2702" s="0" t="s">
        <v>168</v>
      </c>
      <c r="F2702" s="7" t="n">
        <f aca="false">(Sens!F2698-Sens!F2697+Sens!F2696)*(1-tax_f)/((Sens!E2699+Sens!F2699)/2)</f>
        <v>0.112994641623186</v>
      </c>
      <c r="G2702" s="7" t="n">
        <f aca="false">(Sens!G2698-Sens!G2697+Sens!G2696)*(1-tax_f)/((Sens!F2699+Sens!G2699)/2)</f>
        <v>0.136830603008039</v>
      </c>
      <c r="H2702" s="7" t="n">
        <f aca="false">(Sens!H2698-Sens!H2697+Sens!H2696)*(1-tax_f)/((Sens!G2699+Sens!H2699)/2)</f>
        <v>0.163400702099644</v>
      </c>
      <c r="I2702" s="7" t="n">
        <f aca="false">(Sens!I2698-Sens!I2697+Sens!I2696)*(1-tax_f)/((Sens!H2699+Sens!I2699)/2)</f>
        <v>0.175041437344947</v>
      </c>
      <c r="J2702" s="7" t="n">
        <f aca="false">(Sens!J2698-Sens!J2697+Sens!J2696)*(1-tax_f)/((Sens!I2699+Sens!J2699)/2)</f>
        <v>0.191164786949281</v>
      </c>
      <c r="K2702" s="7" t="n">
        <f aca="false">(Sens!K2698-Sens!K2697+Sens!K2696)*(1-tax_f)/((Sens!J2699+Sens!K2699)/2)</f>
        <v>0.21215475206058</v>
      </c>
    </row>
    <row r="2703" customFormat="false" ht="17.15" hidden="false" customHeight="false" outlineLevel="0" collapsed="false">
      <c r="A2703" s="1" t="s">
        <v>1017</v>
      </c>
      <c r="B2703" s="0" t="s">
        <v>168</v>
      </c>
      <c r="F2703" s="7" t="n">
        <f aca="false">Sens!F2628*(1-tax_f)/(Sens!F2614*(Sens!E2699+Sens!F2699)/2)</f>
        <v>0.15471433083293</v>
      </c>
      <c r="G2703" s="7" t="n">
        <f aca="false">Sens!G2628*(1-tax_f)/(Sens!G2614*(Sens!F2699+Sens!G2699)/2)</f>
        <v>0.176916911437355</v>
      </c>
      <c r="H2703" s="7" t="n">
        <f aca="false">Sens!H2628*(1-tax_f)/(Sens!H2614*(Sens!G2699+Sens!H2699)/2)</f>
        <v>0.207487057996582</v>
      </c>
      <c r="I2703" s="7" t="n">
        <f aca="false">Sens!I2628*(1-tax_f)/(Sens!I2614*(Sens!H2699+Sens!I2699)/2)</f>
        <v>0.219873660070946</v>
      </c>
      <c r="J2703" s="7" t="n">
        <f aca="false">Sens!J2628*(1-tax_f)/(Sens!J2614*(Sens!I2699+Sens!J2699)/2)</f>
        <v>0.238959457974928</v>
      </c>
      <c r="K2703" s="7" t="n">
        <f aca="false">Sens!K2628*(1-tax_f)/(Sens!K2614*(Sens!J2699+Sens!K2699)/2)</f>
        <v>0.264604270651536</v>
      </c>
    </row>
    <row r="2704" customFormat="false" ht="17.15" hidden="false" customHeight="false" outlineLevel="0" collapsed="false">
      <c r="A2704" s="0" t="s">
        <v>1018</v>
      </c>
      <c r="B2704" s="0" t="s">
        <v>253</v>
      </c>
      <c r="F2704" s="7" t="n">
        <f aca="false">Sens!F2700-wacc</f>
        <v>0.0100580506775892</v>
      </c>
      <c r="G2704" s="7" t="n">
        <f aca="false">Sens!G2700-wacc</f>
        <v>0.0338940120624412</v>
      </c>
      <c r="H2704" s="7" t="n">
        <f aca="false">Sens!H2700-wacc</f>
        <v>0.0604641111540467</v>
      </c>
      <c r="I2704" s="7" t="n">
        <f aca="false">Sens!I2700-wacc</f>
        <v>0.0721048463993498</v>
      </c>
      <c r="J2704" s="7" t="n">
        <f aca="false">Sens!J2700-wacc</f>
        <v>0.0882281960036838</v>
      </c>
      <c r="K2704" s="7" t="n">
        <f aca="false">Sens!K2700-wacc</f>
        <v>0.109218161114983</v>
      </c>
    </row>
    <row r="2705" customFormat="false" ht="17.15" hidden="false" customHeight="false" outlineLevel="0" collapsed="false">
      <c r="A2705" s="0" t="s">
        <v>1019</v>
      </c>
      <c r="B2705" s="0" t="s">
        <v>98</v>
      </c>
      <c r="F2705" s="6" t="n">
        <f aca="false">Sens!F2698*(1-tax_f)-wacc*(Sens!E2699+Sens!F2699)/2</f>
        <v>1.55807519368292</v>
      </c>
      <c r="G2705" s="6" t="n">
        <f aca="false">Sens!G2698*(1-tax_f)-wacc*(Sens!F2699+Sens!G2699)/2</f>
        <v>8.84437455653075</v>
      </c>
      <c r="H2705" s="6" t="n">
        <f aca="false">Sens!H2698*(1-tax_f)-wacc*(Sens!G2699+Sens!H2699)/2</f>
        <v>21.5559668849202</v>
      </c>
      <c r="I2705" s="6" t="n">
        <f aca="false">Sens!I2698*(1-tax_f)-wacc*(Sens!H2699+Sens!I2699)/2</f>
        <v>30.3809696741583</v>
      </c>
      <c r="J2705" s="6" t="n">
        <f aca="false">Sens!J2698*(1-tax_f)-wacc*(Sens!I2699+Sens!J2699)/2</f>
        <v>38.9848268370223</v>
      </c>
      <c r="K2705" s="6" t="n">
        <f aca="false">Sens!K2698*(1-tax_f)-wacc*(Sens!J2699+Sens!K2699)/2</f>
        <v>47.0740497220117</v>
      </c>
    </row>
    <row r="2706" customFormat="false" ht="17.15" hidden="false" customHeight="false" outlineLevel="0" collapsed="false">
      <c r="A2706" s="3" t="s">
        <v>1678</v>
      </c>
    </row>
    <row r="2707" customFormat="false" ht="15" hidden="false" customHeight="false" outlineLevel="0" collapsed="false">
      <c r="A2707" s="4" t="s">
        <v>43</v>
      </c>
      <c r="B2707" s="4" t="s">
        <v>65</v>
      </c>
      <c r="C2707" s="23" t="s">
        <v>942</v>
      </c>
      <c r="D2707" s="23" t="s">
        <v>943</v>
      </c>
      <c r="E2707" s="23" t="s">
        <v>944</v>
      </c>
      <c r="F2707" s="23" t="s">
        <v>945</v>
      </c>
      <c r="G2707" s="23" t="s">
        <v>946</v>
      </c>
      <c r="H2707" s="23" t="s">
        <v>947</v>
      </c>
      <c r="I2707" s="23" t="s">
        <v>948</v>
      </c>
      <c r="J2707" s="23" t="s">
        <v>949</v>
      </c>
      <c r="K2707" s="23" t="s">
        <v>950</v>
      </c>
      <c r="L2707" s="4" t="s">
        <v>47</v>
      </c>
    </row>
    <row r="2708" customFormat="false" ht="15" hidden="false" customHeight="false" outlineLevel="0" collapsed="false">
      <c r="A2708" s="1" t="s">
        <v>1080</v>
      </c>
      <c r="B2708" s="0" t="s">
        <v>98</v>
      </c>
      <c r="F2708" s="6" t="n">
        <f aca="false">Sens!F2689</f>
        <v>148.201282480878</v>
      </c>
      <c r="G2708" s="6" t="n">
        <f aca="false">Sens!G2689</f>
        <v>174.551720058783</v>
      </c>
      <c r="H2708" s="6" t="n">
        <f aca="false">Sens!H2689</f>
        <v>208.560147464326</v>
      </c>
      <c r="I2708" s="6" t="n">
        <f aca="false">Sens!I2689</f>
        <v>235.198029883516</v>
      </c>
      <c r="J2708" s="6" t="n">
        <f aca="false">Sens!J2689</f>
        <v>257.362161653244</v>
      </c>
      <c r="K2708" s="6" t="n">
        <f aca="false">Sens!K2689</f>
        <v>276.233420701048</v>
      </c>
    </row>
    <row r="2709" customFormat="false" ht="17.15" hidden="false" customHeight="false" outlineLevel="0" collapsed="false">
      <c r="A2709" s="1" t="s">
        <v>1102</v>
      </c>
      <c r="B2709" s="0" t="s">
        <v>98</v>
      </c>
      <c r="E2709" s="6" t="n">
        <f aca="false">Q!M38-Sens!E2627</f>
        <v>25.4896752183333</v>
      </c>
      <c r="F2709" s="6" t="n">
        <f aca="false">Sens!E2709*(1-1/life_nonai)+(Sens!F2717+Sens!F2718)/life_nonai</f>
        <v>29.8843953731304</v>
      </c>
      <c r="G2709" s="6" t="n">
        <f aca="false">Sens!F2709*(1-1/life_nonai)+(Sens!G2717)/life_nonai</f>
        <v>31.0537876175266</v>
      </c>
      <c r="H2709" s="6" t="n">
        <f aca="false">Sens!G2709*(1-1/life_nonai)+(Sens!H2717)/life_nonai</f>
        <v>32.7027454172168</v>
      </c>
      <c r="I2709" s="6" t="n">
        <f aca="false">Sens!H2709*(1-1/life_nonai)+(Sens!I2717)/life_nonai</f>
        <v>34.748593905439</v>
      </c>
      <c r="J2709" s="6" t="n">
        <f aca="false">Sens!I2709*(1-1/life_nonai)+(Sens!J2717)/life_nonai</f>
        <v>37.0935901789615</v>
      </c>
      <c r="K2709" s="6" t="n">
        <f aca="false">Sens!J2709*(1-1/life_nonai)+(Sens!K2717)/life_nonai</f>
        <v>39.6481571473381</v>
      </c>
      <c r="L2709" s="12" t="s">
        <v>1103</v>
      </c>
    </row>
    <row r="2710" customFormat="false" ht="17.15" hidden="false" customHeight="false" outlineLevel="0" collapsed="false">
      <c r="A2710" s="1" t="s">
        <v>1104</v>
      </c>
      <c r="B2710" s="0" t="s">
        <v>98</v>
      </c>
      <c r="F2710" s="6" t="n">
        <f aca="false">Sens!$F$2718/life_nonai*(1-1/life_nonai)^(Sens!F2590-2027)</f>
        <v>3.37383582536815</v>
      </c>
      <c r="G2710" s="6" t="n">
        <f aca="false">Sens!$F$2718/life_nonai*(1-1/life_nonai)^(Sens!G2590-2027)</f>
        <v>3.03645224283133</v>
      </c>
      <c r="H2710" s="6" t="n">
        <f aca="false">Sens!$F$2718/life_nonai*(1-1/life_nonai)^(Sens!H2590-2027)</f>
        <v>2.7328070185482</v>
      </c>
      <c r="I2710" s="6" t="n">
        <f aca="false">Sens!$F$2718/life_nonai*(1-1/life_nonai)^(Sens!I2590-2027)</f>
        <v>2.45952631669338</v>
      </c>
      <c r="J2710" s="6" t="n">
        <f aca="false">Sens!$F$2718/life_nonai*(1-1/life_nonai)^(Sens!J2590-2027)</f>
        <v>2.21357368502404</v>
      </c>
      <c r="K2710" s="6" t="n">
        <f aca="false">Sens!$F$2718/life_nonai*(1-1/life_nonai)^(Sens!K2590-2027)</f>
        <v>1.99221631652164</v>
      </c>
      <c r="L2710" s="1" t="s">
        <v>1105</v>
      </c>
    </row>
    <row r="2711" customFormat="false" ht="17.15" hidden="false" customHeight="false" outlineLevel="0" collapsed="false">
      <c r="A2711" s="1" t="s">
        <v>1106</v>
      </c>
      <c r="B2711" s="0" t="s">
        <v>98</v>
      </c>
      <c r="E2711" s="6" t="n">
        <f aca="false">Sens!E2627+Sens!E2709</f>
        <v>38.534</v>
      </c>
      <c r="F2711" s="6" t="n">
        <f aca="false">Sens!F2627+Sens!F2709</f>
        <v>57.5478469558117</v>
      </c>
      <c r="G2711" s="6" t="n">
        <f aca="false">Sens!G2627+Sens!G2709</f>
        <v>79.6413801393657</v>
      </c>
      <c r="H2711" s="6" t="n">
        <f aca="false">Sens!H2627+Sens!H2709</f>
        <v>103.982817946373</v>
      </c>
      <c r="I2711" s="6" t="n">
        <f aca="false">Sens!I2627+Sens!I2709</f>
        <v>126.133401661078</v>
      </c>
      <c r="J2711" s="6" t="n">
        <f aca="false">Sens!J2627+Sens!J2709</f>
        <v>142.706128618638</v>
      </c>
      <c r="K2711" s="6" t="n">
        <f aca="false">Sens!K2627+Sens!K2709</f>
        <v>154.058292788085</v>
      </c>
    </row>
    <row r="2712" customFormat="false" ht="17.15" hidden="false" customHeight="false" outlineLevel="0" collapsed="false">
      <c r="A2712" s="1" t="s">
        <v>1107</v>
      </c>
      <c r="B2712" s="0" t="s">
        <v>98</v>
      </c>
      <c r="F2712" s="6" t="n">
        <f aca="false">Sens!F2654*sbc_r</f>
        <v>15.0680693022395</v>
      </c>
      <c r="G2712" s="6" t="n">
        <f aca="false">Sens!G2654*sbc_r</f>
        <v>18.3841476633065</v>
      </c>
      <c r="H2712" s="6" t="n">
        <f aca="false">Sens!H2654*sbc_r</f>
        <v>21.9545979838202</v>
      </c>
      <c r="I2712" s="6" t="n">
        <f aca="false">Sens!I2654*sbc_r</f>
        <v>24.9944595349748</v>
      </c>
      <c r="J2712" s="6" t="n">
        <f aca="false">Sens!J2654*sbc_r</f>
        <v>27.4407929753337</v>
      </c>
      <c r="K2712" s="6" t="n">
        <f aca="false">Sens!K2654*sbc_r</f>
        <v>29.3868645070206</v>
      </c>
    </row>
    <row r="2713" customFormat="false" ht="17.15" hidden="false" customHeight="false" outlineLevel="0" collapsed="false">
      <c r="A2713" s="1" t="s">
        <v>1108</v>
      </c>
      <c r="B2713" s="0" t="s">
        <v>98</v>
      </c>
      <c r="F2713" s="6" t="n">
        <f aca="false">wc27-wc26q1</f>
        <v>-4.677</v>
      </c>
      <c r="G2713" s="6" t="n">
        <f aca="false">wc_f</f>
        <v>0</v>
      </c>
      <c r="H2713" s="6" t="n">
        <f aca="false">wc_f</f>
        <v>0</v>
      </c>
      <c r="I2713" s="6" t="n">
        <f aca="false">wc_f</f>
        <v>0</v>
      </c>
      <c r="J2713" s="6" t="n">
        <f aca="false">wc_f</f>
        <v>0</v>
      </c>
      <c r="K2713" s="6" t="n">
        <f aca="false">wc_f</f>
        <v>0</v>
      </c>
      <c r="L2713" s="12" t="s">
        <v>1109</v>
      </c>
    </row>
    <row r="2714" customFormat="false" ht="17.15" hidden="false" customHeight="false" outlineLevel="0" collapsed="false">
      <c r="A2714" s="0" t="s">
        <v>1110</v>
      </c>
      <c r="B2714" s="0" t="s">
        <v>98</v>
      </c>
      <c r="F2714" s="6" t="n">
        <f aca="false">Q!$I$35-Q!$I$26-Q!$I$38-Q!$I$39</f>
        <v>6.493</v>
      </c>
      <c r="L2714" s="1" t="s">
        <v>1111</v>
      </c>
    </row>
    <row r="2715" customFormat="false" ht="15" hidden="false" customHeight="false" outlineLevel="0" collapsed="false">
      <c r="A2715" s="1" t="s">
        <v>908</v>
      </c>
      <c r="B2715" s="0" t="s">
        <v>98</v>
      </c>
      <c r="E2715" s="6" t="n">
        <f aca="false">Q!M35</f>
        <v>182.935</v>
      </c>
      <c r="F2715" s="6" t="n">
        <f aca="false">Sens!F2708+Sens!F2711+Sens!F2712+Sens!F2713+Sens!F2714</f>
        <v>222.633198738929</v>
      </c>
      <c r="G2715" s="6" t="n">
        <f aca="false">Sens!G2708+Sens!G2711+Sens!G2712+Sens!G2713</f>
        <v>272.577247861455</v>
      </c>
      <c r="H2715" s="6" t="n">
        <f aca="false">Sens!H2708+Sens!H2711+Sens!H2712+Sens!H2713</f>
        <v>334.49756339452</v>
      </c>
      <c r="I2715" s="6" t="n">
        <f aca="false">Sens!I2708+Sens!I2711+Sens!I2712+Sens!I2713</f>
        <v>386.325891079568</v>
      </c>
      <c r="J2715" s="6" t="n">
        <f aca="false">Sens!J2708+Sens!J2711+Sens!J2712+Sens!J2713</f>
        <v>427.509083247216</v>
      </c>
      <c r="K2715" s="6" t="n">
        <f aca="false">Sens!K2708+Sens!K2711+Sens!K2712+Sens!K2713</f>
        <v>459.678577996154</v>
      </c>
    </row>
    <row r="2716" customFormat="false" ht="17.15" hidden="false" customHeight="false" outlineLevel="0" collapsed="false">
      <c r="A2716" s="0" t="s">
        <v>1112</v>
      </c>
      <c r="B2716" s="0" t="s">
        <v>98</v>
      </c>
      <c r="F2716" s="6" t="n">
        <f aca="false">Sens!F2624</f>
        <v>134.763123233696</v>
      </c>
      <c r="G2716" s="6" t="n">
        <f aca="false">Sens!G2624</f>
        <v>153.555580519238</v>
      </c>
      <c r="H2716" s="6" t="n">
        <f aca="false">Sens!H2624</f>
        <v>157.44480325161</v>
      </c>
      <c r="I2716" s="6" t="n">
        <f aca="false">Sens!I2624</f>
        <v>134.891866897288</v>
      </c>
      <c r="J2716" s="6" t="n">
        <f aca="false">Sens!J2624</f>
        <v>103.143944956752</v>
      </c>
      <c r="K2716" s="6" t="n">
        <f aca="false">Sens!K2624</f>
        <v>95.1702824517861</v>
      </c>
    </row>
    <row r="2717" customFormat="false" ht="17.15" hidden="false" customHeight="false" outlineLevel="0" collapsed="false">
      <c r="A2717" s="1" t="s">
        <v>1113</v>
      </c>
      <c r="B2717" s="0" t="s">
        <v>98</v>
      </c>
      <c r="E2717" s="6" t="n">
        <f aca="false">Sens!E2632*cx_azo+Sens!E2639*cx_m365+Sens!E2640*cx_lic+(Sens!E2642+Sens!E2644)*cx_ind+Sens!E2647*cx_srch+(Sens!E2649+Sens!E2651)*cx_dev</f>
        <v>30.1846587067718</v>
      </c>
      <c r="F2717" s="6" t="n">
        <f aca="false">Sens!F2632*cx_azo+Sens!F2639*cx_m365+Sens!F2640*cx_lic+(Sens!F2642+Sens!F2644)*cx_ind+Sens!F2647*cx_srch+(Sens!F2649+Sens!F2651)*cx_dev</f>
        <v>35.6985185126228</v>
      </c>
      <c r="G2717" s="6" t="n">
        <f aca="false">Sens!G2632*cx_azo+Sens!G2639*cx_m365+Sens!G2640*cx_lic+(Sens!G2642+Sens!G2644)*cx_ind+Sens!G2647*cx_srch+(Sens!G2649+Sens!G2651)*cx_dev</f>
        <v>41.5783178170917</v>
      </c>
      <c r="H2717" s="6" t="n">
        <f aca="false">Sens!H2632*cx_azo+Sens!H2639*cx_m365+Sens!H2640*cx_lic+(Sens!H2642+Sens!H2644)*cx_ind+Sens!H2647*cx_srch+(Sens!H2649+Sens!H2651)*cx_dev</f>
        <v>47.5433656144293</v>
      </c>
      <c r="I2717" s="6" t="n">
        <f aca="false">Sens!I2632*cx_azo+Sens!I2639*cx_m365+Sens!I2640*cx_lic+(Sens!I2642+Sens!I2644)*cx_ind+Sens!I2647*cx_srch+(Sens!I2649+Sens!I2651)*cx_dev</f>
        <v>53.1612302994382</v>
      </c>
      <c r="J2717" s="6" t="n">
        <f aca="false">Sens!J2632*cx_azo+Sens!J2639*cx_m365+Sens!J2640*cx_lic+(Sens!J2642+Sens!J2644)*cx_ind+Sens!J2647*cx_srch+(Sens!J2649+Sens!J2651)*cx_dev</f>
        <v>58.1985566406647</v>
      </c>
      <c r="K2717" s="6" t="n">
        <f aca="false">Sens!K2632*cx_azo+Sens!K2639*cx_m365+Sens!K2640*cx_lic+(Sens!K2642+Sens!K2644)*cx_ind+Sens!K2647*cx_srch+(Sens!K2649+Sens!K2651)*cx_dev</f>
        <v>62.6392598627275</v>
      </c>
    </row>
    <row r="2718" customFormat="false" ht="17.15" hidden="false" customHeight="false" outlineLevel="0" collapsed="false">
      <c r="A2718" s="0" t="s">
        <v>1114</v>
      </c>
      <c r="B2718" s="0" t="s">
        <v>98</v>
      </c>
      <c r="F2718" s="6" t="n">
        <f aca="false">Sens!F2622</f>
        <v>33.7383582536815</v>
      </c>
      <c r="L2718" s="1" t="s">
        <v>1115</v>
      </c>
    </row>
    <row r="2719" customFormat="false" ht="17.15" hidden="false" customHeight="false" outlineLevel="0" collapsed="false">
      <c r="A2719" s="1" t="s">
        <v>1116</v>
      </c>
      <c r="B2719" s="0" t="s">
        <v>98</v>
      </c>
      <c r="E2719" s="6" t="n">
        <f aca="false">Q!M43</f>
        <v>145.3</v>
      </c>
      <c r="F2719" s="6" t="n">
        <f aca="false">Sens!F2716+Sens!F2717+Sens!F2718</f>
        <v>204.2</v>
      </c>
      <c r="G2719" s="6" t="n">
        <f aca="false">Sens!G2716+Sens!G2717</f>
        <v>195.13389833633</v>
      </c>
      <c r="H2719" s="6" t="n">
        <f aca="false">Sens!H2716+Sens!H2717</f>
        <v>204.988168866039</v>
      </c>
      <c r="I2719" s="6" t="n">
        <f aca="false">Sens!I2716+Sens!I2717</f>
        <v>188.053097196726</v>
      </c>
      <c r="J2719" s="6" t="n">
        <f aca="false">Sens!J2716+Sens!J2717</f>
        <v>161.342501597417</v>
      </c>
      <c r="K2719" s="6" t="n">
        <f aca="false">Sens!K2716+Sens!K2717</f>
        <v>157.809542314514</v>
      </c>
      <c r="L2719" s="1" t="s">
        <v>1117</v>
      </c>
    </row>
    <row r="2720" customFormat="false" ht="15" hidden="false" customHeight="false" outlineLevel="0" collapsed="false">
      <c r="A2720" s="1" t="s">
        <v>1118</v>
      </c>
      <c r="B2720" s="0" t="s">
        <v>98</v>
      </c>
      <c r="E2720" s="6" t="n">
        <f aca="false">fl_liab</f>
        <v>66.594</v>
      </c>
      <c r="F2720" s="6" t="n">
        <f aca="false">Sens!E2720-Sens!F2721</f>
        <v>62.46973</v>
      </c>
      <c r="G2720" s="6" t="n">
        <f aca="false">Sens!F2720-Sens!G2721</f>
        <v>57.98686785</v>
      </c>
      <c r="H2720" s="6" t="n">
        <f aca="false">Sens!G2720-Sens!H2721</f>
        <v>53.92827690325</v>
      </c>
      <c r="I2720" s="6" t="n">
        <f aca="false">Sens!H2720-Sens!I2721</f>
        <v>49.7850493638962</v>
      </c>
      <c r="J2720" s="6" t="n">
        <f aca="false">Sens!I2720-Sens!J2721</f>
        <v>45.4823765852716</v>
      </c>
      <c r="K2720" s="6" t="n">
        <f aca="false">Sens!J2720-Sens!K2721</f>
        <v>40.9860835316088</v>
      </c>
    </row>
    <row r="2721" customFormat="false" ht="15" hidden="false" customHeight="false" outlineLevel="0" collapsed="false">
      <c r="A2721" s="1" t="s">
        <v>1119</v>
      </c>
      <c r="B2721" s="0" t="s">
        <v>98</v>
      </c>
      <c r="F2721" s="6" t="n">
        <f aca="false">fl_pay_27-Sens!E2720*fl_rate</f>
        <v>4.12427</v>
      </c>
      <c r="G2721" s="6" t="n">
        <f aca="false">fl_pay_28-Sens!F2720*fl_rate</f>
        <v>4.48286215</v>
      </c>
      <c r="H2721" s="6" t="n">
        <f aca="false">fl_pay_29-Sens!G2720*fl_rate</f>
        <v>4.05859094675</v>
      </c>
      <c r="I2721" s="6" t="n">
        <f aca="false">fl_pay_30-Sens!H2720*fl_rate</f>
        <v>4.14322753935375</v>
      </c>
      <c r="J2721" s="6" t="n">
        <f aca="false">fl_pay_31-Sens!I2720*fl_rate</f>
        <v>4.30267277862467</v>
      </c>
      <c r="K2721" s="6" t="n">
        <f aca="false">fl_pay_32-Sens!J2720*fl_rate</f>
        <v>4.49629305366278</v>
      </c>
    </row>
    <row r="2722" customFormat="false" ht="17.15" hidden="false" customHeight="false" outlineLevel="0" collapsed="false">
      <c r="A2722" s="1" t="s">
        <v>1120</v>
      </c>
      <c r="B2722" s="0" t="s">
        <v>98</v>
      </c>
      <c r="E2722" s="6" t="n">
        <f aca="false">Q!M35-Q!M36-Q!M44</f>
        <v>63.886</v>
      </c>
      <c r="F2722" s="6" t="n">
        <f aca="false">Sens!F2715-Sens!F2719-Sens!F2721</f>
        <v>14.3089287389293</v>
      </c>
      <c r="G2722" s="6" t="n">
        <f aca="false">Sens!G2715-Sens!G2719-Sens!G2721</f>
        <v>72.9604873751251</v>
      </c>
      <c r="H2722" s="6" t="n">
        <f aca="false">Sens!H2715-Sens!H2719-Sens!H2721</f>
        <v>125.450803581731</v>
      </c>
      <c r="I2722" s="6" t="n">
        <f aca="false">Sens!I2715-Sens!I2719-Sens!I2721</f>
        <v>194.129566343488</v>
      </c>
      <c r="J2722" s="6" t="n">
        <f aca="false">Sens!J2715-Sens!J2719-Sens!J2721</f>
        <v>261.863908871174</v>
      </c>
      <c r="K2722" s="6" t="n">
        <f aca="false">Sens!K2715-Sens!K2719-Sens!K2721</f>
        <v>297.372742627978</v>
      </c>
      <c r="L2722" s="12" t="s">
        <v>1121</v>
      </c>
    </row>
    <row r="2723" customFormat="false" ht="15" hidden="false" customHeight="false" outlineLevel="0" collapsed="false">
      <c r="A2723" s="1" t="s">
        <v>1122</v>
      </c>
      <c r="B2723" s="0" t="s">
        <v>75</v>
      </c>
      <c r="F2723" s="8" t="n">
        <f aca="false">dps_27</f>
        <v>3.85</v>
      </c>
      <c r="G2723" s="8" t="n">
        <f aca="false">Sens!F2723*(1+dps_g)</f>
        <v>4.158</v>
      </c>
      <c r="H2723" s="8" t="n">
        <f aca="false">Sens!G2723*(1+dps_g)</f>
        <v>4.49064</v>
      </c>
      <c r="I2723" s="8" t="n">
        <f aca="false">Sens!H2723*(1+dps_g)</f>
        <v>4.8498912</v>
      </c>
      <c r="J2723" s="8" t="n">
        <f aca="false">Sens!I2723*(1+dps_g)</f>
        <v>5.237882496</v>
      </c>
      <c r="K2723" s="8" t="n">
        <f aca="false">Sens!J2723*(1+dps_g)</f>
        <v>5.65691309568</v>
      </c>
    </row>
    <row r="2724" customFormat="false" ht="17.15" hidden="false" customHeight="false" outlineLevel="0" collapsed="false">
      <c r="A2724" s="1" t="s">
        <v>1123</v>
      </c>
      <c r="B2724" s="0" t="s">
        <v>98</v>
      </c>
      <c r="E2724" s="6" t="n">
        <f aca="false">Q!M41</f>
        <v>26.445</v>
      </c>
      <c r="F2724" s="6" t="n">
        <f aca="false">Sens!F2723*Sens!E2733</f>
        <v>28.59395</v>
      </c>
      <c r="G2724" s="6" t="n">
        <f aca="false">Sens!G2723*Sens!F2733</f>
        <v>31.0436511463462</v>
      </c>
      <c r="H2724" s="6" t="n">
        <f aca="false">Sens!H2723*Sens!G2733</f>
        <v>33.5614152111266</v>
      </c>
      <c r="I2724" s="6" t="n">
        <f aca="false">Sens!I2723*Sens!H2733</f>
        <v>36.2967667050894</v>
      </c>
      <c r="J2724" s="6" t="n">
        <f aca="false">Sens!J2723*Sens!I2733</f>
        <v>39.2684059268891</v>
      </c>
      <c r="K2724" s="6" t="n">
        <f aca="false">Sens!K2723*Sens!J2733</f>
        <v>42.4966326634185</v>
      </c>
      <c r="L2724" s="1" t="s">
        <v>1124</v>
      </c>
    </row>
    <row r="2725" customFormat="false" ht="15" hidden="false" customHeight="false" outlineLevel="0" collapsed="false">
      <c r="A2725" s="1" t="s">
        <v>1125</v>
      </c>
      <c r="B2725" s="0" t="s">
        <v>98</v>
      </c>
      <c r="E2725" s="6" t="n">
        <f aca="false">Sens!E2722-Sens!E2724</f>
        <v>37.441</v>
      </c>
      <c r="F2725" s="6" t="n">
        <f aca="false">Sens!F2722-Sens!F2724</f>
        <v>-14.2850212610707</v>
      </c>
      <c r="G2725" s="6" t="n">
        <f aca="false">Sens!G2722-Sens!G2724</f>
        <v>41.9168362287789</v>
      </c>
      <c r="H2725" s="6" t="n">
        <f aca="false">Sens!H2722-Sens!H2724</f>
        <v>91.8893883706043</v>
      </c>
      <c r="I2725" s="6" t="n">
        <f aca="false">Sens!I2722-Sens!I2724</f>
        <v>157.832799638398</v>
      </c>
      <c r="J2725" s="6" t="n">
        <f aca="false">Sens!J2722-Sens!J2724</f>
        <v>222.595502944285</v>
      </c>
      <c r="K2725" s="6" t="n">
        <f aca="false">Sens!K2722-Sens!K2724</f>
        <v>254.876109964559</v>
      </c>
    </row>
    <row r="2726" customFormat="false" ht="15" hidden="false" customHeight="false" outlineLevel="0" collapsed="false">
      <c r="A2726" s="1" t="s">
        <v>1126</v>
      </c>
      <c r="B2726" s="0" t="s">
        <v>98</v>
      </c>
      <c r="F2726" s="6" t="n">
        <f aca="false">debt_mat_27</f>
        <v>9.25</v>
      </c>
      <c r="G2726" s="6" t="n">
        <f aca="false">debt_mat_28</f>
        <v>0</v>
      </c>
      <c r="H2726" s="6" t="n">
        <f aca="false">debt_mat_29</f>
        <v>2.001</v>
      </c>
      <c r="I2726" s="6" t="n">
        <f aca="false">debt_mat_30</f>
        <v>0</v>
      </c>
      <c r="J2726" s="6" t="n">
        <f aca="false">debt_mat_31</f>
        <v>0.5</v>
      </c>
      <c r="K2726" s="6" t="n">
        <f aca="false">debt_mat_32</f>
        <v>0</v>
      </c>
    </row>
    <row r="2727" customFormat="false" ht="15" hidden="false" customHeight="false" outlineLevel="0" collapsed="false">
      <c r="A2727" s="1" t="s">
        <v>1127</v>
      </c>
      <c r="B2727" s="0" t="s">
        <v>98</v>
      </c>
      <c r="E2727" s="6" t="n">
        <f aca="false">Q!M40</f>
        <v>22.271</v>
      </c>
      <c r="F2727" s="6" t="n">
        <f aca="false">MAX(0,MIN(bb_target,Sens!E2729+Sens!F2725-Sens!F2726-min_cash))</f>
        <v>3.30797873892929</v>
      </c>
      <c r="G2727" s="6" t="n">
        <f aca="false">MAX(0,MIN(bb_target,Sens!F2729+Sens!G2725-Sens!G2726-min_cash))</f>
        <v>22.271</v>
      </c>
      <c r="H2727" s="6" t="n">
        <f aca="false">MAX(0,MIN(bb_target,Sens!G2729+Sens!H2725-Sens!H2726-min_cash))</f>
        <v>22.271</v>
      </c>
      <c r="I2727" s="6" t="n">
        <f aca="false">MAX(0,MIN(bb_target,Sens!H2729+Sens!I2725-Sens!I2726-min_cash))</f>
        <v>22.271</v>
      </c>
      <c r="J2727" s="6" t="n">
        <f aca="false">MAX(0,MIN(bb_target,Sens!I2729+Sens!J2725-Sens!J2726-min_cash))</f>
        <v>22.271</v>
      </c>
      <c r="K2727" s="6" t="n">
        <f aca="false">MAX(0,MIN(bb_target,Sens!J2729+Sens!K2725-Sens!K2726-min_cash))</f>
        <v>22.271</v>
      </c>
    </row>
    <row r="2728" customFormat="false" ht="15" hidden="false" customHeight="false" outlineLevel="0" collapsed="false">
      <c r="A2728" s="1" t="s">
        <v>1128</v>
      </c>
      <c r="B2728" s="0" t="s">
        <v>98</v>
      </c>
      <c r="F2728" s="6" t="n">
        <f aca="false">MAX(0,min_cash-(Sens!E2729+Sens!F2725-Sens!F2726-Sens!F2727))</f>
        <v>0</v>
      </c>
      <c r="G2728" s="6" t="n">
        <f aca="false">MAX(0,min_cash-(Sens!F2729+Sens!G2725-Sens!G2726-Sens!G2727))</f>
        <v>0</v>
      </c>
      <c r="H2728" s="6" t="n">
        <f aca="false">MAX(0,min_cash-(Sens!G2729+Sens!H2725-Sens!H2726-Sens!H2727))</f>
        <v>0</v>
      </c>
      <c r="I2728" s="6" t="n">
        <f aca="false">MAX(0,min_cash-(Sens!H2729+Sens!I2725-Sens!I2726-Sens!I2727))</f>
        <v>0</v>
      </c>
      <c r="J2728" s="6" t="n">
        <f aca="false">MAX(0,min_cash-(Sens!I2729+Sens!J2725-Sens!J2726-Sens!J2727))</f>
        <v>0</v>
      </c>
      <c r="K2728" s="6" t="n">
        <f aca="false">MAX(0,min_cash-(Sens!J2729+Sens!K2725-Sens!K2726-Sens!K2727))</f>
        <v>0</v>
      </c>
    </row>
    <row r="2729" customFormat="false" ht="15" hidden="false" customHeight="false" outlineLevel="0" collapsed="false">
      <c r="A2729" s="1" t="s">
        <v>1129</v>
      </c>
      <c r="B2729" s="0" t="s">
        <v>98</v>
      </c>
      <c r="E2729" s="6" t="n">
        <f aca="false">cash_open</f>
        <v>76.843</v>
      </c>
      <c r="F2729" s="6" t="n">
        <f aca="false">Sens!E2729+Sens!F2725-Sens!F2726-Sens!F2727+Sens!F2728</f>
        <v>50</v>
      </c>
      <c r="G2729" s="6" t="n">
        <f aca="false">Sens!F2729+Sens!G2725-Sens!G2726-Sens!G2727+Sens!G2728</f>
        <v>69.6458362287789</v>
      </c>
      <c r="H2729" s="6" t="n">
        <f aca="false">Sens!G2729+Sens!H2725-Sens!H2726-Sens!H2727+Sens!H2728</f>
        <v>137.263224599383</v>
      </c>
      <c r="I2729" s="6" t="n">
        <f aca="false">Sens!H2729+Sens!I2725-Sens!I2726-Sens!I2727+Sens!I2728</f>
        <v>272.825024237782</v>
      </c>
      <c r="J2729" s="6" t="n">
        <f aca="false">Sens!I2729+Sens!J2725-Sens!J2726-Sens!J2727+Sens!J2728</f>
        <v>472.649527182066</v>
      </c>
      <c r="K2729" s="6" t="n">
        <f aca="false">Sens!J2729+Sens!K2725-Sens!K2726-Sens!K2727+Sens!K2728</f>
        <v>705.254637146626</v>
      </c>
    </row>
    <row r="2730" customFormat="false" ht="15" hidden="false" customHeight="false" outlineLevel="0" collapsed="false">
      <c r="A2730" s="1" t="s">
        <v>1130</v>
      </c>
      <c r="B2730" s="0" t="s">
        <v>98</v>
      </c>
      <c r="E2730" s="6" t="n">
        <f aca="false">debt_face</f>
        <v>46.136</v>
      </c>
      <c r="F2730" s="6" t="n">
        <f aca="false">Sens!E2730-Sens!F2726+Sens!F2728</f>
        <v>36.886</v>
      </c>
      <c r="G2730" s="6" t="n">
        <f aca="false">Sens!F2730-Sens!G2726+Sens!G2728</f>
        <v>36.886</v>
      </c>
      <c r="H2730" s="6" t="n">
        <f aca="false">Sens!G2730-Sens!H2726+Sens!H2728</f>
        <v>34.885</v>
      </c>
      <c r="I2730" s="6" t="n">
        <f aca="false">Sens!H2730-Sens!I2726+Sens!I2728</f>
        <v>34.885</v>
      </c>
      <c r="J2730" s="6" t="n">
        <f aca="false">Sens!I2730-Sens!J2726+Sens!J2728</f>
        <v>34.385</v>
      </c>
      <c r="K2730" s="6" t="n">
        <f aca="false">Sens!J2730-Sens!K2726+Sens!K2728</f>
        <v>34.385</v>
      </c>
    </row>
    <row r="2731" customFormat="false" ht="15" hidden="false" customHeight="false" outlineLevel="0" collapsed="false">
      <c r="A2731" s="1" t="s">
        <v>1131</v>
      </c>
      <c r="B2731" s="0" t="s">
        <v>98</v>
      </c>
      <c r="E2731" s="6" t="n">
        <f aca="false">Sens!E2729-Sens!E2730</f>
        <v>30.707</v>
      </c>
      <c r="F2731" s="6" t="n">
        <f aca="false">Sens!F2729-Sens!F2730</f>
        <v>13.114</v>
      </c>
      <c r="G2731" s="6" t="n">
        <f aca="false">Sens!G2729-Sens!G2730</f>
        <v>32.7598362287789</v>
      </c>
      <c r="H2731" s="6" t="n">
        <f aca="false">Sens!H2729-Sens!H2730</f>
        <v>102.378224599383</v>
      </c>
      <c r="I2731" s="6" t="n">
        <f aca="false">Sens!I2729-Sens!I2730</f>
        <v>237.940024237782</v>
      </c>
      <c r="J2731" s="6" t="n">
        <f aca="false">Sens!J2729-Sens!J2730</f>
        <v>438.264527182066</v>
      </c>
      <c r="K2731" s="6" t="n">
        <f aca="false">Sens!K2729-Sens!K2730</f>
        <v>670.869637146626</v>
      </c>
    </row>
    <row r="2732" customFormat="false" ht="15" hidden="false" customHeight="false" outlineLevel="0" collapsed="false">
      <c r="A2732" s="1" t="s">
        <v>1132</v>
      </c>
      <c r="B2732" s="0" t="s">
        <v>75</v>
      </c>
      <c r="F2732" s="30" t="n">
        <f aca="false">px*(1+bb_g)^(Sens!F2590-base_fy-mid_yr)</f>
        <v>551.84177959629</v>
      </c>
      <c r="G2732" s="30" t="n">
        <f aca="false">px*(1+bb_g)^(Sens!G2590-base_fy-mid_yr)</f>
        <v>595.989121963993</v>
      </c>
      <c r="H2732" s="30" t="n">
        <f aca="false">px*(1+bb_g)^(Sens!H2590-base_fy-mid_yr)</f>
        <v>643.668251721112</v>
      </c>
      <c r="I2732" s="30" t="n">
        <f aca="false">px*(1+bb_g)^(Sens!I2590-base_fy-mid_yr)</f>
        <v>695.161711858801</v>
      </c>
      <c r="J2732" s="30" t="n">
        <f aca="false">px*(1+bb_g)^(Sens!J2590-base_fy-mid_yr)</f>
        <v>750.774648807506</v>
      </c>
      <c r="K2732" s="30" t="n">
        <f aca="false">px*(1+bb_g)^(Sens!K2590-base_fy-mid_yr)</f>
        <v>810.836620712106</v>
      </c>
    </row>
    <row r="2733" customFormat="false" ht="15" hidden="false" customHeight="false" outlineLevel="0" collapsed="false">
      <c r="A2733" s="1" t="s">
        <v>1133</v>
      </c>
      <c r="B2733" s="1" t="s">
        <v>81</v>
      </c>
      <c r="E2733" s="15" t="n">
        <f aca="false">sh_out26</f>
        <v>7.427</v>
      </c>
      <c r="F2733" s="15" t="n">
        <f aca="false">Sens!E2733+sh_iss-Sens!F2727/Sens!F2732</f>
        <v>7.46600556670184</v>
      </c>
      <c r="G2733" s="15" t="n">
        <f aca="false">Sens!F2733+sh_iss-Sens!G2727/Sens!G2732</f>
        <v>7.47363743500405</v>
      </c>
      <c r="H2733" s="15" t="n">
        <f aca="false">Sens!G2733+sh_iss-Sens!H2727/Sens!H2732</f>
        <v>7.48403731306165</v>
      </c>
      <c r="I2733" s="15" t="n">
        <f aca="false">Sens!H2733+sh_iss-Sens!I2727/Sens!I2732</f>
        <v>7.49700016311499</v>
      </c>
      <c r="J2733" s="15" t="n">
        <f aca="false">Sens!I2733+sh_iss-Sens!J2727/Sens!J2732</f>
        <v>7.5123361353866</v>
      </c>
      <c r="K2733" s="15" t="n">
        <f aca="false">Sens!J2733+sh_iss-Sens!K2727/Sens!K2732</f>
        <v>7.52986944304549</v>
      </c>
    </row>
    <row r="2734" customFormat="false" ht="15" hidden="false" customHeight="false" outlineLevel="0" collapsed="false">
      <c r="A2734" s="1" t="s">
        <v>1134</v>
      </c>
      <c r="B2734" s="1" t="s">
        <v>81</v>
      </c>
      <c r="E2734" s="15" t="n">
        <f aca="false">sh_dil26</f>
        <v>7.453</v>
      </c>
      <c r="F2734" s="15" t="n">
        <f aca="false">(Sens!E2733+Sens!F2733)/2+dil_gap</f>
        <v>7.47050278335092</v>
      </c>
      <c r="G2734" s="15" t="n">
        <f aca="false">(Sens!F2733+Sens!G2733)/2+dil_gap</f>
        <v>7.49382150085294</v>
      </c>
      <c r="H2734" s="15" t="n">
        <f aca="false">(Sens!G2733+Sens!H2733)/2+dil_gap</f>
        <v>7.50283737403285</v>
      </c>
      <c r="I2734" s="15" t="n">
        <f aca="false">(Sens!H2733+Sens!I2733)/2+dil_gap</f>
        <v>7.51451873808832</v>
      </c>
      <c r="J2734" s="15" t="n">
        <f aca="false">(Sens!I2733+Sens!J2733)/2+dil_gap</f>
        <v>7.52866814925079</v>
      </c>
      <c r="K2734" s="15" t="n">
        <f aca="false">(Sens!J2733+Sens!K2733)/2+dil_gap</f>
        <v>7.54510278921604</v>
      </c>
    </row>
    <row r="2735" customFormat="false" ht="17.15" hidden="false" customHeight="false" outlineLevel="0" collapsed="false">
      <c r="A2735" s="1" t="s">
        <v>1135</v>
      </c>
      <c r="B2735" s="0" t="s">
        <v>98</v>
      </c>
      <c r="C2735" s="6" t="n">
        <f aca="false">SUM(Sens!F2725:J2725)</f>
        <v>499.949505920996</v>
      </c>
    </row>
    <row r="2736" customFormat="false" ht="15" hidden="false" customHeight="false" outlineLevel="0" collapsed="false">
      <c r="A2736" s="26" t="s">
        <v>1100</v>
      </c>
      <c r="B2736" s="31" t="s">
        <v>98</v>
      </c>
      <c r="C2736" s="27" t="n">
        <f aca="false">Sens!$C$2735-(Sens!F2725+Sens!G2725+Sens!H2725+Sens!I2725+Sens!J2725)</f>
        <v>0</v>
      </c>
      <c r="D2736" s="31"/>
      <c r="E2736" s="31"/>
      <c r="F2736" s="31"/>
      <c r="G2736" s="31"/>
      <c r="H2736" s="31"/>
      <c r="I2736" s="31"/>
      <c r="J2736" s="31"/>
      <c r="K2736" s="31"/>
    </row>
    <row r="2737" customFormat="false" ht="17.15" hidden="false" customHeight="false" outlineLevel="0" collapsed="false">
      <c r="A2737" s="1" t="s">
        <v>1094</v>
      </c>
      <c r="B2737" s="1" t="s">
        <v>1136</v>
      </c>
      <c r="C2737" s="33" t="str">
        <f aca="false">IF(SUM(Sens!F2728:J2728)&gt;0.05,"需要舉債 "&amp;TEXT(SUM(Sens!F2728:J2728),"0.0")&amp;" 十億美元","不需舉債")&amp;"；"&amp;IF(SUM(Sens!F2727:J2727)&lt;COUNT(Sens!F2727:J2727)*bb_target-0.05,"回購較每年 "&amp;TEXT(bb_target,"0.0")&amp;" 的目標少 "&amp;TEXT(COUNT(Sens!F2727:J2727)*bb_target-SUM(Sens!F2727:J2727),"0.0")&amp;" 十億美元（"&amp;TEXT(COUNTIF(Sens!F2727:J2727,"&lt;"&amp;(bb_target-0.05)),"0")&amp;" 年減少）","回購不減")</f>
        <v>不需舉債；回購較每年 22.3 的目標少 19.0 十億美元（1 年減少）</v>
      </c>
    </row>
    <row r="2738" customFormat="false" ht="17.15" hidden="false" customHeight="false" outlineLevel="0" collapsed="false">
      <c r="A2738" s="3" t="s">
        <v>1679</v>
      </c>
    </row>
    <row r="2739" customFormat="false" ht="15" hidden="false" customHeight="false" outlineLevel="0" collapsed="false">
      <c r="A2739" s="4" t="s">
        <v>43</v>
      </c>
      <c r="B2739" s="4" t="s">
        <v>65</v>
      </c>
      <c r="C2739" s="23" t="s">
        <v>942</v>
      </c>
      <c r="D2739" s="23" t="s">
        <v>943</v>
      </c>
      <c r="E2739" s="23" t="s">
        <v>944</v>
      </c>
      <c r="F2739" s="23" t="s">
        <v>945</v>
      </c>
      <c r="G2739" s="23" t="s">
        <v>946</v>
      </c>
      <c r="H2739" s="23" t="s">
        <v>947</v>
      </c>
      <c r="I2739" s="23" t="s">
        <v>948</v>
      </c>
      <c r="J2739" s="23" t="s">
        <v>949</v>
      </c>
      <c r="K2739" s="23" t="s">
        <v>950</v>
      </c>
      <c r="L2739" s="4" t="s">
        <v>47</v>
      </c>
    </row>
    <row r="2740" customFormat="false" ht="17.15" hidden="false" customHeight="false" outlineLevel="0" collapsed="false">
      <c r="A2740" s="1" t="s">
        <v>1216</v>
      </c>
      <c r="B2740" s="1" t="s">
        <v>279</v>
      </c>
      <c r="F2740" s="8" t="n">
        <f aca="false">(1-v_off)*mid_yr</f>
        <v>0.373972602739726</v>
      </c>
      <c r="G2740" s="8" t="n">
        <f aca="false">Sens!G2590-base_fy-mid_yr-v_off</f>
        <v>1.24794520547945</v>
      </c>
      <c r="H2740" s="8" t="n">
        <f aca="false">Sens!H2590-base_fy-mid_yr-v_off</f>
        <v>2.24794520547945</v>
      </c>
      <c r="I2740" s="8" t="n">
        <f aca="false">Sens!I2590-base_fy-mid_yr-v_off</f>
        <v>3.24794520547945</v>
      </c>
      <c r="J2740" s="8" t="n">
        <f aca="false">Sens!J2590-base_fy-mid_yr-v_off</f>
        <v>4.24794520547945</v>
      </c>
      <c r="K2740" s="8" t="n">
        <f aca="false">Sens!K2590-base_fy-mid_yr-v_off</f>
        <v>5.24794520547945</v>
      </c>
      <c r="L2740" s="12" t="s">
        <v>1217</v>
      </c>
    </row>
    <row r="2741" customFormat="false" ht="15" hidden="false" customHeight="false" outlineLevel="0" collapsed="false">
      <c r="A2741" s="1" t="s">
        <v>1218</v>
      </c>
      <c r="B2741" s="1" t="s">
        <v>279</v>
      </c>
      <c r="F2741" s="8" t="n">
        <f aca="false">Sens!F2590-base_fy-v_off</f>
        <v>0.747945205479452</v>
      </c>
      <c r="G2741" s="8" t="n">
        <f aca="false">Sens!G2590-base_fy-v_off</f>
        <v>1.74794520547945</v>
      </c>
      <c r="H2741" s="8" t="n">
        <f aca="false">Sens!H2590-base_fy-v_off</f>
        <v>2.74794520547945</v>
      </c>
      <c r="I2741" s="8" t="n">
        <f aca="false">Sens!I2590-base_fy-v_off</f>
        <v>3.74794520547945</v>
      </c>
      <c r="J2741" s="8" t="n">
        <f aca="false">Sens!J2590-base_fy-v_off</f>
        <v>4.74794520547945</v>
      </c>
      <c r="K2741" s="8" t="n">
        <f aca="false">Sens!K2590-base_fy-v_off</f>
        <v>5.74794520547945</v>
      </c>
    </row>
    <row r="2742" customFormat="false" ht="15" hidden="false" customHeight="false" outlineLevel="0" collapsed="false">
      <c r="A2742" s="1" t="s">
        <v>1219</v>
      </c>
      <c r="B2742" s="0" t="s">
        <v>229</v>
      </c>
      <c r="F2742" s="15" t="n">
        <f aca="false">1/(1+wacc)^Sens!F2740</f>
        <v>0.964022703286649</v>
      </c>
      <c r="G2742" s="15" t="n">
        <f aca="false">1/(1+wacc)^Sens!G2740</f>
        <v>0.884910302296739</v>
      </c>
      <c r="H2742" s="15" t="n">
        <f aca="false">1/(1+wacc)^Sens!H2740</f>
        <v>0.802322009770358</v>
      </c>
      <c r="I2742" s="15" t="n">
        <f aca="false">1/(1+wacc)^Sens!I2740</f>
        <v>0.727441646561469</v>
      </c>
      <c r="J2742" s="15" t="n">
        <f aca="false">1/(1+wacc)^Sens!J2740</f>
        <v>0.659549834988973</v>
      </c>
      <c r="K2742" s="15" t="n">
        <f aca="false">1/(1+wacc)^Sens!K2740</f>
        <v>0.597994336576966</v>
      </c>
    </row>
    <row r="2743" customFormat="false" ht="17.15" hidden="false" customHeight="false" outlineLevel="0" collapsed="false">
      <c r="A2743" s="1" t="s">
        <v>1220</v>
      </c>
      <c r="B2743" s="0" t="s">
        <v>98</v>
      </c>
      <c r="F2743" s="6" t="n">
        <f aca="false">Q!$I$35-Q!$I$39-Q!$I$43</f>
        <v>9.666</v>
      </c>
      <c r="L2743" s="12" t="s">
        <v>1221</v>
      </c>
    </row>
    <row r="2744" customFormat="false" ht="17.15" hidden="false" customHeight="false" outlineLevel="0" collapsed="false">
      <c r="A2744" s="1" t="s">
        <v>1222</v>
      </c>
      <c r="B2744" s="0" t="s">
        <v>98</v>
      </c>
      <c r="F2744" s="6" t="n">
        <f aca="false">Sens!F2715-Sens!F2712-Sens!F2719+Sens!F2697*(1-tax_f)*(1-v_off)-Sens!F2743</f>
        <v>-4.95202148088937</v>
      </c>
      <c r="G2744" s="6" t="n">
        <f aca="false">Sens!G2715-Sens!G2712-Sens!G2719+Sens!G2697*(1-tax_f)</f>
        <v>64.4826142902066</v>
      </c>
      <c r="H2744" s="6" t="n">
        <f aca="false">Sens!H2715-Sens!H2712-Sens!H2719+Sens!H2697*(1-tax_f)</f>
        <v>117.187491498865</v>
      </c>
      <c r="I2744" s="6" t="n">
        <f aca="false">Sens!I2715-Sens!I2712-Sens!I2719+Sens!I2697*(1-tax_f)</f>
        <v>187.133752473004</v>
      </c>
      <c r="J2744" s="6" t="n">
        <f aca="false">Sens!J2715-Sens!J2712-Sens!J2719+Sens!J2697*(1-tax_f)</f>
        <v>255.595274087443</v>
      </c>
      <c r="K2744" s="6" t="n">
        <f aca="false">Sens!K2715-Sens!K2712-Sens!K2719+Sens!K2697*(1-tax_f)</f>
        <v>290.405354657145</v>
      </c>
      <c r="L2744" s="1" t="s">
        <v>1223</v>
      </c>
    </row>
    <row r="2745" customFormat="false" ht="15" hidden="false" customHeight="false" outlineLevel="0" collapsed="false">
      <c r="A2745" s="1" t="s">
        <v>1224</v>
      </c>
      <c r="B2745" s="0" t="s">
        <v>98</v>
      </c>
      <c r="F2745" s="6" t="n">
        <f aca="false">Sens!F2744*Sens!F2742</f>
        <v>-4.77386113474053</v>
      </c>
      <c r="G2745" s="6" t="n">
        <f aca="false">Sens!G2744*Sens!G2742</f>
        <v>57.0613297044308</v>
      </c>
      <c r="H2745" s="6" t="n">
        <f aca="false">Sens!H2744*Sens!H2742</f>
        <v>94.0221036993163</v>
      </c>
      <c r="I2745" s="6" t="n">
        <f aca="false">Sens!I2744*Sens!I2742</f>
        <v>136.128885026188</v>
      </c>
      <c r="J2745" s="6" t="n">
        <f aca="false">Sens!J2744*Sens!J2742</f>
        <v>168.577820848334</v>
      </c>
      <c r="K2745" s="6" t="n">
        <f aca="false">Sens!K2744*Sens!K2742</f>
        <v>173.660757396598</v>
      </c>
    </row>
    <row r="2746" customFormat="false" ht="17.15" hidden="false" customHeight="false" outlineLevel="0" collapsed="false">
      <c r="A2746" s="1" t="s">
        <v>1225</v>
      </c>
      <c r="B2746" s="0" t="s">
        <v>98</v>
      </c>
      <c r="C2746" s="6" t="n">
        <f aca="false">SUM(Sens!F2745:K2745)</f>
        <v>624.677035540127</v>
      </c>
    </row>
    <row r="2747" customFormat="false" ht="17.15" hidden="false" customHeight="false" outlineLevel="0" collapsed="false">
      <c r="A2747" s="1" t="s">
        <v>1226</v>
      </c>
      <c r="B2747" s="0" t="s">
        <v>98</v>
      </c>
      <c r="C2747" s="6" t="n">
        <f aca="false">Sens!K2683*(1+g_tv)*(1-tax_f)</f>
        <v>303.970102309081</v>
      </c>
    </row>
    <row r="2748" customFormat="false" ht="17.15" hidden="false" customHeight="false" outlineLevel="0" collapsed="false">
      <c r="A2748" s="1" t="s">
        <v>1227</v>
      </c>
      <c r="B2748" s="0" t="s">
        <v>98</v>
      </c>
      <c r="C2748" s="6" t="n">
        <f aca="false">Sens!$C$2747*(1-g_tv/(wacc+ronic_prem))</f>
        <v>215.380583407178</v>
      </c>
    </row>
    <row r="2749" customFormat="false" ht="17.15" hidden="false" customHeight="false" outlineLevel="0" collapsed="false">
      <c r="A2749" s="1" t="s">
        <v>1228</v>
      </c>
      <c r="B2749" s="0" t="s">
        <v>98</v>
      </c>
      <c r="C2749" s="6" t="n">
        <f aca="false">Sens!$C$2748/(wacc-g_tv)</f>
        <v>2952.98396339676</v>
      </c>
    </row>
    <row r="2750" customFormat="false" ht="15" hidden="false" customHeight="false" outlineLevel="0" collapsed="false">
      <c r="A2750" s="1" t="s">
        <v>1229</v>
      </c>
      <c r="B2750" s="0" t="s">
        <v>98</v>
      </c>
      <c r="C2750" s="6" t="n">
        <f aca="false">Sens!$C$2749/(1+wacc)^Sens!K2741</f>
        <v>1681.4458546329</v>
      </c>
    </row>
    <row r="2751" customFormat="false" ht="17.15" hidden="false" customHeight="false" outlineLevel="0" collapsed="false">
      <c r="A2751" s="0" t="s">
        <v>1230</v>
      </c>
      <c r="B2751" s="0" t="s">
        <v>98</v>
      </c>
      <c r="C2751" s="6" t="n">
        <f aca="false">Sens!$C$2746+Sens!$C$2750</f>
        <v>2306.12289017302</v>
      </c>
    </row>
    <row r="2752" customFormat="false" ht="15" hidden="false" customHeight="false" outlineLevel="0" collapsed="false">
      <c r="A2752" s="1" t="s">
        <v>1145</v>
      </c>
      <c r="B2752" s="0" t="s">
        <v>168</v>
      </c>
      <c r="C2752" s="7" t="n">
        <f aca="false">Sens!$C$2750/Sens!$C$2751</f>
        <v>0.729122399243321</v>
      </c>
    </row>
    <row r="2753" customFormat="false" ht="17.15" hidden="false" customHeight="false" outlineLevel="0" collapsed="false">
      <c r="A2753" s="1" t="s">
        <v>1231</v>
      </c>
      <c r="B2753" s="0" t="s">
        <v>98</v>
      </c>
      <c r="C2753" s="6" t="n">
        <f aca="false">Sens!$C$2751+cash_val-debt_val-fl_val+oai_v</f>
        <v>2421.97389017302</v>
      </c>
    </row>
    <row r="2754" customFormat="false" ht="17.15" hidden="false" customHeight="false" outlineLevel="0" collapsed="false">
      <c r="A2754" s="0" t="s">
        <v>1153</v>
      </c>
      <c r="B2754" s="0" t="s">
        <v>75</v>
      </c>
      <c r="C2754" s="5" t="n">
        <f aca="false">Sens!$C$2753/shd_val</f>
        <v>325.271809048217</v>
      </c>
    </row>
    <row r="2755" customFormat="false" ht="15" hidden="false" customHeight="false" outlineLevel="0" collapsed="false">
      <c r="A2755" s="1" t="s">
        <v>1232</v>
      </c>
      <c r="B2755" s="0" t="s">
        <v>75</v>
      </c>
      <c r="C2755" s="8" t="n">
        <f aca="false">div_rem27+Sens!G2723*roll_div_q/q_per_yr</f>
        <v>3.9795</v>
      </c>
    </row>
    <row r="2756" customFormat="false" ht="17.15" hidden="false" customHeight="false" outlineLevel="0" collapsed="false">
      <c r="A2756" s="0" t="s">
        <v>1233</v>
      </c>
      <c r="B2756" s="0" t="s">
        <v>75</v>
      </c>
      <c r="C2756" s="5" t="n">
        <f aca="false">Sens!$C$2754*(1+wacc)^t_roll-Sens!$C$2755</f>
        <v>357.5782694187</v>
      </c>
    </row>
    <row r="2757" customFormat="false" ht="17.15" hidden="false" customHeight="false" outlineLevel="0" collapsed="false">
      <c r="A2757" s="1" t="s">
        <v>1234</v>
      </c>
      <c r="B2757" s="0" t="s">
        <v>168</v>
      </c>
      <c r="F2757" s="7" t="n">
        <f aca="false">Sens!F2709/(Sens!F2654-Sens!F2609)</f>
        <v>0.0868798557582639</v>
      </c>
      <c r="G2757" s="7" t="n">
        <f aca="false">Sens!G2709/(Sens!G2654-Sens!G2609)</f>
        <v>0.0799670619236328</v>
      </c>
      <c r="H2757" s="7" t="n">
        <f aca="false">Sens!H2709/(Sens!H2654-Sens!H2609)</f>
        <v>0.0754426760190849</v>
      </c>
      <c r="I2757" s="7" t="n">
        <f aca="false">Sens!I2709/(Sens!I2654-Sens!I2609)</f>
        <v>0.0730146093838315</v>
      </c>
      <c r="J2757" s="7" t="n">
        <f aca="false">Sens!J2709/(Sens!J2654-Sens!J2609)</f>
        <v>0.0721302109757663</v>
      </c>
      <c r="K2757" s="7" t="n">
        <f aca="false">Sens!K2709/(Sens!K2654-Sens!K2609)</f>
        <v>0.0721723260720183</v>
      </c>
    </row>
    <row r="2758" customFormat="false" ht="17.15" hidden="false" customHeight="false" outlineLevel="0" collapsed="false">
      <c r="A2758" s="0" t="s">
        <v>1235</v>
      </c>
      <c r="B2758" s="0" t="s">
        <v>98</v>
      </c>
      <c r="F2758" s="6" t="n">
        <f aca="false">Sens!F2639*(al_m365+Sens!F2757+sbc_r)</f>
        <v>86.7156909976437</v>
      </c>
      <c r="G2758" s="6" t="n">
        <f aca="false">Sens!G2639*(al_m365+Sens!G2757+sbc_r)</f>
        <v>101.007201005058</v>
      </c>
      <c r="H2758" s="6" t="n">
        <f aca="false">Sens!H2639*(al_m365+Sens!H2757+sbc_r)</f>
        <v>115.451629868349</v>
      </c>
      <c r="I2758" s="6" t="n">
        <f aca="false">Sens!I2639*(al_m365+Sens!I2757+sbc_r)</f>
        <v>128.365473251703</v>
      </c>
      <c r="J2758" s="6" t="n">
        <f aca="false">Sens!J2639*(al_m365+Sens!J2757+sbc_r)</f>
        <v>139.576859827634</v>
      </c>
      <c r="K2758" s="6" t="n">
        <f aca="false">Sens!K2639*(al_m365+Sens!K2757+sbc_r)</f>
        <v>150.425758964595</v>
      </c>
      <c r="L2758" s="12" t="s">
        <v>1236</v>
      </c>
    </row>
    <row r="2759" customFormat="false" ht="17.15" hidden="false" customHeight="false" outlineLevel="0" collapsed="false">
      <c r="A2759" s="0" t="s">
        <v>1237</v>
      </c>
      <c r="B2759" s="0" t="s">
        <v>98</v>
      </c>
      <c r="F2759" s="6" t="n">
        <f aca="false">Sens!F2640*(al_lic+Sens!F2757+sbc_r)</f>
        <v>33.5586895319599</v>
      </c>
      <c r="G2759" s="6" t="n">
        <f aca="false">Sens!G2640*(al_lic+Sens!G2757+sbc_r)</f>
        <v>34.703123736071</v>
      </c>
      <c r="H2759" s="6" t="n">
        <f aca="false">Sens!H2640*(al_lic+Sens!H2757+sbc_r)</f>
        <v>35.7910714439691</v>
      </c>
      <c r="I2759" s="6" t="n">
        <f aca="false">Sens!I2640*(al_lic+Sens!I2757+sbc_r)</f>
        <v>36.8028969850858</v>
      </c>
      <c r="J2759" s="6" t="n">
        <f aca="false">Sens!J2640*(al_lic+Sens!J2757+sbc_r)</f>
        <v>37.7057411079331</v>
      </c>
      <c r="K2759" s="6" t="n">
        <f aca="false">Sens!K2640*(al_lic+Sens!K2757+sbc_r)</f>
        <v>38.4617404169078</v>
      </c>
    </row>
    <row r="2760" customFormat="false" ht="17.15" hidden="false" customHeight="false" outlineLevel="0" collapsed="false">
      <c r="A2760" s="0" t="s">
        <v>1238</v>
      </c>
      <c r="B2760" s="0" t="s">
        <v>98</v>
      </c>
      <c r="F2760" s="6" t="n">
        <f aca="false">Sens!F2642*(al_ind+Sens!F2757+sbc_r)</f>
        <v>9.4679168989051</v>
      </c>
      <c r="G2760" s="6" t="n">
        <f aca="false">Sens!G2642*(al_ind+Sens!G2757+sbc_r)</f>
        <v>10.1809733734483</v>
      </c>
      <c r="H2760" s="6" t="n">
        <f aca="false">Sens!H2642*(al_ind+Sens!H2757+sbc_r)</f>
        <v>10.9502001147554</v>
      </c>
      <c r="I2760" s="6" t="n">
        <f aca="false">Sens!I2642*(al_ind+Sens!I2757+sbc_r)</f>
        <v>11.7736624417294</v>
      </c>
      <c r="J2760" s="6" t="n">
        <f aca="false">Sens!J2642*(al_ind+Sens!J2757+sbc_r)</f>
        <v>12.6385873924827</v>
      </c>
      <c r="K2760" s="6" t="n">
        <f aca="false">Sens!K2642*(al_ind+Sens!K2757+sbc_r)</f>
        <v>13.5246792713716</v>
      </c>
    </row>
    <row r="2761" customFormat="false" ht="17.15" hidden="false" customHeight="false" outlineLevel="0" collapsed="false">
      <c r="A2761" s="0" t="s">
        <v>1239</v>
      </c>
      <c r="B2761" s="0" t="s">
        <v>98</v>
      </c>
      <c r="F2761" s="6" t="n">
        <f aca="false">Sens!F2644*(al_fro+Sens!F2757+sbc_r)</f>
        <v>3.71387497274514</v>
      </c>
      <c r="G2761" s="6" t="n">
        <f aca="false">Sens!G2644*(al_fro+Sens!G2757+sbc_r)</f>
        <v>3.89553879636384</v>
      </c>
      <c r="H2761" s="6" t="n">
        <f aca="false">Sens!H2644*(al_fro+Sens!H2757+sbc_r)</f>
        <v>4.11231408024679</v>
      </c>
      <c r="I2761" s="6" t="n">
        <f aca="false">Sens!I2644*(al_fro+Sens!I2757+sbc_r)</f>
        <v>4.36670984347015</v>
      </c>
      <c r="J2761" s="6" t="n">
        <f aca="false">Sens!J2644*(al_fro+Sens!J2757+sbc_r)</f>
        <v>4.65826778519932</v>
      </c>
      <c r="K2761" s="6" t="n">
        <f aca="false">Sens!K2644*(al_fro+Sens!K2757+sbc_r)</f>
        <v>4.98485913009996</v>
      </c>
    </row>
    <row r="2762" customFormat="false" ht="17.15" hidden="false" customHeight="false" outlineLevel="0" collapsed="false">
      <c r="A2762" s="0" t="s">
        <v>1240</v>
      </c>
      <c r="B2762" s="0" t="s">
        <v>98</v>
      </c>
      <c r="F2762" s="6" t="n">
        <f aca="false">Sens!F2647*(al_srch+Sens!F2757+sbc_r)</f>
        <v>11.6923290618434</v>
      </c>
      <c r="G2762" s="6" t="n">
        <f aca="false">Sens!G2647*(al_srch+Sens!G2757+sbc_r)</f>
        <v>12.6915428303113</v>
      </c>
      <c r="H2762" s="6" t="n">
        <f aca="false">Sens!H2647*(al_srch+Sens!H2757+sbc_r)</f>
        <v>13.7475680568392</v>
      </c>
      <c r="I2762" s="6" t="n">
        <f aca="false">Sens!I2647*(al_srch+Sens!I2757+sbc_r)</f>
        <v>14.8518738748497</v>
      </c>
      <c r="J2762" s="6" t="n">
        <f aca="false">Sens!J2647*(al_srch+Sens!J2757+sbc_r)</f>
        <v>15.9811457401942</v>
      </c>
      <c r="K2762" s="6" t="n">
        <f aca="false">Sens!K2647*(al_srch+Sens!K2757+sbc_r)</f>
        <v>17.1015845215211</v>
      </c>
    </row>
    <row r="2763" customFormat="false" ht="17.15" hidden="false" customHeight="false" outlineLevel="0" collapsed="false">
      <c r="A2763" s="0" t="s">
        <v>1241</v>
      </c>
      <c r="B2763" s="0" t="s">
        <v>98</v>
      </c>
      <c r="F2763" s="6" t="n">
        <f aca="false">Sens!F2615-Sens!F2616+Sens!F2697</f>
        <v>42.1097882151482</v>
      </c>
      <c r="G2763" s="6" t="n">
        <f aca="false">Sens!G2615-Sens!G2616+Sens!G2697</f>
        <v>80.8296422843559</v>
      </c>
      <c r="H2763" s="6" t="n">
        <f aca="false">Sens!H2615-Sens!H2616+Sens!H2697</f>
        <v>126.752594471879</v>
      </c>
      <c r="I2763" s="6" t="n">
        <f aca="false">Sens!I2615-Sens!I2616+Sens!I2697</f>
        <v>162.514356467221</v>
      </c>
      <c r="J2763" s="6" t="n">
        <f aca="false">Sens!J2615-Sens!J2616+Sens!J2697</f>
        <v>187.659327309045</v>
      </c>
      <c r="K2763" s="6" t="n">
        <f aca="false">Sens!K2615-Sens!K2616+Sens!K2697</f>
        <v>202.694026040761</v>
      </c>
    </row>
    <row r="2764" customFormat="false" ht="17.15" hidden="false" customHeight="false" outlineLevel="0" collapsed="false">
      <c r="A2764" s="0" t="s">
        <v>1242</v>
      </c>
      <c r="B2764" s="0" t="s">
        <v>98</v>
      </c>
      <c r="F2764" s="6" t="n">
        <f aca="false">Sens!F2676+Sens!F2697+Sens!F2627+Sens!F2757*(Sens!F2646-Sens!F2609)+sbc_r*Sens!F2646</f>
        <v>233.34270812779</v>
      </c>
      <c r="G2764" s="6" t="n">
        <f aca="false">Sens!G2676+Sens!G2697+Sens!G2627+Sens!G2757*(Sens!G2646-Sens!G2609)+sbc_r*Sens!G2646</f>
        <v>296.785636665448</v>
      </c>
      <c r="H2764" s="6" t="n">
        <f aca="false">Sens!H2676+Sens!H2697+Sens!H2627+Sens!H2757*(Sens!H2646-Sens!H2609)+sbc_r*Sens!H2646</f>
        <v>371.772172582729</v>
      </c>
      <c r="I2764" s="6" t="n">
        <f aca="false">Sens!I2676+Sens!I2697+Sens!I2627+Sens!I2757*(Sens!I2646-Sens!I2609)+sbc_r*Sens!I2646</f>
        <v>434.55425374772</v>
      </c>
      <c r="J2764" s="6" t="n">
        <f aca="false">Sens!J2676+Sens!J2697+Sens!J2627+Sens!J2757*(Sens!J2646-Sens!J2609)+sbc_r*Sens!J2646</f>
        <v>483.826287439338</v>
      </c>
      <c r="K2764" s="6" t="n">
        <f aca="false">Sens!K2676+Sens!K2697+Sens!K2627+Sens!K2757*(Sens!K2646-Sens!K2609)+sbc_r*Sens!K2646</f>
        <v>520.629566217177</v>
      </c>
    </row>
    <row r="2765" customFormat="false" ht="17.15" hidden="false" customHeight="false" outlineLevel="0" collapsed="false">
      <c r="A2765" s="0" t="s">
        <v>1243</v>
      </c>
      <c r="B2765" s="0" t="s">
        <v>98</v>
      </c>
      <c r="F2765" s="6" t="n">
        <f aca="false">Sens!F2764-Sens!F2758-Sens!F2759-Sens!F2760-Sens!F2761-Sens!F2763</f>
        <v>57.7767475113881</v>
      </c>
      <c r="G2765" s="6" t="n">
        <f aca="false">Sens!G2764-Sens!G2758-Sens!G2759-Sens!G2760-Sens!G2761-Sens!G2763</f>
        <v>66.1691574701508</v>
      </c>
      <c r="H2765" s="6" t="n">
        <f aca="false">Sens!H2764-Sens!H2758-Sens!H2759-Sens!H2760-Sens!H2761-Sens!H2763</f>
        <v>78.7143626035292</v>
      </c>
      <c r="I2765" s="6" t="n">
        <f aca="false">Sens!I2764-Sens!I2758-Sens!I2759-Sens!I2760-Sens!I2761-Sens!I2763</f>
        <v>90.7311547585105</v>
      </c>
      <c r="J2765" s="6" t="n">
        <f aca="false">Sens!J2764-Sens!J2758-Sens!J2759-Sens!J2760-Sens!J2761-Sens!J2763</f>
        <v>101.587504017044</v>
      </c>
      <c r="K2765" s="6" t="n">
        <f aca="false">Sens!K2764-Sens!K2758-Sens!K2759-Sens!K2760-Sens!K2761-Sens!K2763</f>
        <v>110.538502393441</v>
      </c>
    </row>
    <row r="2766" customFormat="false" ht="17.15" hidden="false" customHeight="false" outlineLevel="0" collapsed="false">
      <c r="A2766" s="0" t="s">
        <v>1244</v>
      </c>
      <c r="B2766" s="0" t="s">
        <v>98</v>
      </c>
      <c r="F2766" s="6" t="n">
        <f aca="false">Sens!F2678+Sens!F2757*Sens!F2653+sbc_r*Sens!F2653</f>
        <v>27.8078190843056</v>
      </c>
      <c r="G2766" s="6" t="n">
        <f aca="false">Sens!G2678+Sens!G2757*Sens!G2653+sbc_r*Sens!G2653</f>
        <v>27.4088067461882</v>
      </c>
      <c r="H2766" s="6" t="n">
        <f aca="false">Sens!H2678+Sens!H2757*Sens!H2653+sbc_r*Sens!H2653</f>
        <v>28.1062963706283</v>
      </c>
      <c r="I2766" s="6" t="n">
        <f aca="false">Sens!I2678+Sens!I2757*Sens!I2653+sbc_r*Sens!I2653</f>
        <v>29.0904174591482</v>
      </c>
      <c r="J2766" s="6" t="n">
        <f aca="false">Sens!J2678+Sens!J2757*Sens!J2653+sbc_r*Sens!J2653</f>
        <v>30.3101929874109</v>
      </c>
      <c r="K2766" s="6" t="n">
        <f aca="false">Sens!K2678+Sens!K2757*Sens!K2653+sbc_r*Sens!K2653</f>
        <v>31.7113463073964</v>
      </c>
    </row>
    <row r="2767" customFormat="false" ht="17.15" hidden="false" customHeight="false" outlineLevel="0" collapsed="false">
      <c r="A2767" s="0" t="s">
        <v>1245</v>
      </c>
      <c r="B2767" s="0" t="s">
        <v>98</v>
      </c>
      <c r="F2767" s="6" t="n">
        <f aca="false">(Sens!F2766-Sens!F2762)*Sens!F2649/(Sens!F2649+Sens!F2651)</f>
        <v>9.10179538831051</v>
      </c>
      <c r="G2767" s="6" t="n">
        <f aca="false">(Sens!G2766-Sens!G2762)*Sens!G2649/(Sens!G2649+Sens!G2651)</f>
        <v>8.16924343269969</v>
      </c>
      <c r="H2767" s="6" t="n">
        <f aca="false">(Sens!H2766-Sens!H2762)*Sens!H2649/(Sens!H2649+Sens!H2651)</f>
        <v>7.8663993957866</v>
      </c>
      <c r="I2767" s="6" t="n">
        <f aca="false">(Sens!I2766-Sens!I2762)*Sens!I2649/(Sens!I2649+Sens!I2651)</f>
        <v>7.73246964426742</v>
      </c>
      <c r="J2767" s="6" t="n">
        <f aca="false">(Sens!J2766-Sens!J2762)*Sens!J2649/(Sens!J2649+Sens!J2651)</f>
        <v>7.74766827518596</v>
      </c>
      <c r="K2767" s="6" t="n">
        <f aca="false">(Sens!K2766-Sens!K2762)*Sens!K2649/(Sens!K2649+Sens!K2651)</f>
        <v>7.89944969428697</v>
      </c>
    </row>
    <row r="2768" customFormat="false" ht="17.15" hidden="false" customHeight="false" outlineLevel="0" collapsed="false">
      <c r="A2768" s="0" t="s">
        <v>1246</v>
      </c>
      <c r="B2768" s="0" t="s">
        <v>98</v>
      </c>
      <c r="F2768" s="6" t="n">
        <f aca="false">Sens!F2766-Sens!F2762-Sens!F2767</f>
        <v>7.01369463415166</v>
      </c>
      <c r="G2768" s="6" t="n">
        <f aca="false">Sens!G2766-Sens!G2762-Sens!G2767</f>
        <v>6.54802048317719</v>
      </c>
      <c r="H2768" s="6" t="n">
        <f aca="false">Sens!H2766-Sens!H2762-Sens!H2767</f>
        <v>6.49232891800251</v>
      </c>
      <c r="I2768" s="6" t="n">
        <f aca="false">Sens!I2766-Sens!I2762-Sens!I2767</f>
        <v>6.50607394003113</v>
      </c>
      <c r="J2768" s="6" t="n">
        <f aca="false">Sens!J2766-Sens!J2762-Sens!J2767</f>
        <v>6.58137897203075</v>
      </c>
      <c r="K2768" s="6" t="n">
        <f aca="false">Sens!K2766-Sens!K2762-Sens!K2767</f>
        <v>6.71031209158825</v>
      </c>
    </row>
    <row r="2769" customFormat="false" ht="17.15" hidden="false" customHeight="false" outlineLevel="0" collapsed="false">
      <c r="A2769" s="0" t="s">
        <v>1247</v>
      </c>
      <c r="B2769" s="0" t="s">
        <v>98</v>
      </c>
      <c r="F2769" s="6" t="n">
        <f aca="false">Sens!F2763-tax_f*(Sens!F2763-Sens!F2627)-Sens!F2624</f>
        <v>-95.5426023450409</v>
      </c>
      <c r="G2769" s="6" t="n">
        <f aca="false">Sens!G2763-tax_f*(Sens!G2763-Sens!G2627)-Sens!G2624</f>
        <v>-79.1743481873859</v>
      </c>
      <c r="H2769" s="6" t="n">
        <f aca="false">Sens!H2763-tax_f*(Sens!H2763-Sens!H2627)-Sens!H2624</f>
        <v>-41.7867131682751</v>
      </c>
      <c r="I2769" s="6" t="n">
        <f aca="false">Sens!I2763-tax_f*(Sens!I2763-Sens!I2627)-Sens!I2624</f>
        <v>13.3965798276161</v>
      </c>
      <c r="J2769" s="6" t="n">
        <f aca="false">Sens!J2763-tax_f*(Sens!J2763-Sens!J2627)-Sens!J2624</f>
        <v>68.106024578419</v>
      </c>
      <c r="K2769" s="6" t="n">
        <f aca="false">Sens!K2763-tax_f*(Sens!K2763-Sens!K2627)-Sens!K2624</f>
        <v>89.8669655089723</v>
      </c>
    </row>
    <row r="2770" customFormat="false" ht="17.15" hidden="false" customHeight="false" outlineLevel="0" collapsed="false">
      <c r="A2770" s="0" t="s">
        <v>1248</v>
      </c>
      <c r="B2770" s="0" t="s">
        <v>98</v>
      </c>
      <c r="G2770" s="6" t="n">
        <f aca="false">Sens!G2769/(1+wacc)^(Sens!G2740-Sens!F2741)</f>
        <v>-75.3892155113357</v>
      </c>
      <c r="H2770" s="6" t="n">
        <f aca="false">Sens!H2769/(1+wacc)^(Sens!H2740-Sens!F2741)</f>
        <v>-36.0755029373243</v>
      </c>
      <c r="I2770" s="6" t="n">
        <f aca="false">Sens!I2769/(1+wacc)^(Sens!I2740-Sens!F2741)</f>
        <v>10.4861864056243</v>
      </c>
      <c r="J2770" s="6" t="n">
        <f aca="false">Sens!J2769/(1+wacc)^(Sens!J2740-Sens!F2741)</f>
        <v>48.3346549926835</v>
      </c>
      <c r="K2770" s="6" t="n">
        <f aca="false">Sens!K2769/(1+wacc)^(Sens!K2740-Sens!F2741)</f>
        <v>57.8259297758537</v>
      </c>
      <c r="L2770" s="1" t="s">
        <v>1249</v>
      </c>
    </row>
    <row r="2771" customFormat="false" ht="17.15" hidden="false" customHeight="false" outlineLevel="0" collapsed="false">
      <c r="A2771" s="0" t="s">
        <v>1250</v>
      </c>
      <c r="B2771" s="0" t="s">
        <v>98</v>
      </c>
      <c r="C2771" s="6" t="n">
        <f aca="false">(Sens!K2763-Sens!K2627)*(1-tax_f)*(1+g_tv)*(1-g_tv/(wacc+ronic_prem))/(wacc-g_tv)/(1+wacc)^(Sens!K2741-Sens!F2741)</f>
        <v>432.99827682912</v>
      </c>
    </row>
    <row r="2772" customFormat="false" ht="17.15" hidden="false" customHeight="false" outlineLevel="0" collapsed="false">
      <c r="A2772" s="1" t="s">
        <v>1251</v>
      </c>
      <c r="B2772" s="0" t="s">
        <v>98</v>
      </c>
      <c r="C2772" s="6" t="n">
        <f aca="false">(SUM(Sens!G2770:K2770)+Sens!$C$2771)*(1+wacc)^(t_roll-Sens!F2741)</f>
        <v>452.645987388895</v>
      </c>
      <c r="L2772" s="12" t="s">
        <v>1252</v>
      </c>
    </row>
    <row r="2773" customFormat="false" ht="17.15" hidden="false" customHeight="false" outlineLevel="0" collapsed="false">
      <c r="A2773" s="1" t="s">
        <v>1253</v>
      </c>
      <c r="B2773" s="0" t="s">
        <v>98</v>
      </c>
      <c r="C2773" s="6" t="n">
        <f aca="false">(w_ntm28*Sens!G2615+(1-w_ntm28)*Sens!H2615)*m_ai</f>
        <v>563.316843258668</v>
      </c>
    </row>
    <row r="2774" customFormat="false" ht="17.15" hidden="false" customHeight="false" outlineLevel="0" collapsed="false">
      <c r="A2774" s="1" t="s">
        <v>1254</v>
      </c>
      <c r="B2774" s="0" t="s">
        <v>98</v>
      </c>
      <c r="C2774" s="6" t="n">
        <f aca="false">(w_ntm28*Sens!G2765+(1-w_ntm28)*Sens!H2765)*m_cloud</f>
        <v>971.457669095551</v>
      </c>
    </row>
    <row r="2775" customFormat="false" ht="17.15" hidden="false" customHeight="false" outlineLevel="0" collapsed="false">
      <c r="A2775" s="1" t="s">
        <v>1255</v>
      </c>
      <c r="B2775" s="0" t="s">
        <v>98</v>
      </c>
      <c r="C2775" s="6" t="n">
        <f aca="false">(w_ntm28*Sens!G2758+(1-w_ntm28)*Sens!H2758)*m_sw</f>
        <v>1142.16538676374</v>
      </c>
    </row>
    <row r="2776" customFormat="false" ht="17.15" hidden="false" customHeight="false" outlineLevel="0" collapsed="false">
      <c r="A2776" s="1" t="s">
        <v>1256</v>
      </c>
      <c r="B2776" s="0" t="s">
        <v>98</v>
      </c>
      <c r="C2776" s="6" t="n">
        <f aca="false">(w_ntm28*Sens!G2759+(1-w_ntm28)*Sens!H2759)*m_sw</f>
        <v>378.656695882268</v>
      </c>
    </row>
    <row r="2777" customFormat="false" ht="17.15" hidden="false" customHeight="false" outlineLevel="0" collapsed="false">
      <c r="A2777" s="1" t="s">
        <v>1257</v>
      </c>
      <c r="B2777" s="0" t="s">
        <v>98</v>
      </c>
      <c r="C2777" s="6" t="n">
        <f aca="false">(w_ntm28*Sens!G2760+(1-w_ntm28)*Sens!H2760)*m_sw</f>
        <v>112.685794232513</v>
      </c>
    </row>
    <row r="2778" customFormat="false" ht="17.15" hidden="false" customHeight="false" outlineLevel="0" collapsed="false">
      <c r="A2778" s="1" t="s">
        <v>1258</v>
      </c>
      <c r="B2778" s="0" t="s">
        <v>98</v>
      </c>
      <c r="C2778" s="6" t="n">
        <f aca="false">(w_ntm28*Sens!G2761+(1-w_ntm28)*Sens!H2761)*m_sw</f>
        <v>42.8415197347358</v>
      </c>
    </row>
    <row r="2779" customFormat="false" ht="17.15" hidden="false" customHeight="false" outlineLevel="0" collapsed="false">
      <c r="A2779" s="1" t="s">
        <v>1259</v>
      </c>
      <c r="B2779" s="0" t="s">
        <v>98</v>
      </c>
      <c r="C2779" s="6" t="n">
        <f aca="false">(w_ntm28*Sens!G2762+(1-w_ntm28)*Sens!H2762)*m_ads</f>
        <v>118.782823068082</v>
      </c>
    </row>
    <row r="2780" customFormat="false" ht="17.15" hidden="false" customHeight="false" outlineLevel="0" collapsed="false">
      <c r="A2780" s="1" t="s">
        <v>1260</v>
      </c>
      <c r="B2780" s="0" t="s">
        <v>98</v>
      </c>
      <c r="C2780" s="6" t="n">
        <f aca="false">(w_ntm28*Sens!G2767+(1-w_ntm28)*Sens!H2767)*m_game</f>
        <v>101.920036548571</v>
      </c>
    </row>
    <row r="2781" customFormat="false" ht="17.15" hidden="false" customHeight="false" outlineLevel="0" collapsed="false">
      <c r="A2781" s="1" t="s">
        <v>1261</v>
      </c>
      <c r="B2781" s="0" t="s">
        <v>98</v>
      </c>
      <c r="C2781" s="6" t="n">
        <f aca="false">(w_ntm28*Sens!G2768+(1-w_ntm28)*Sens!H2768)*m_pc</f>
        <v>94.4849171209731</v>
      </c>
    </row>
    <row r="2782" customFormat="false" ht="17.15" hidden="false" customHeight="false" outlineLevel="0" collapsed="false">
      <c r="A2782" s="1" t="s">
        <v>1262</v>
      </c>
      <c r="B2782" s="0" t="s">
        <v>98</v>
      </c>
      <c r="C2782" s="6" t="n">
        <f aca="false">Sens!$C$2772+Sens!$C$2774+Sens!$C$2775+Sens!$C$2776+Sens!$C$2777+Sens!$C$2778+Sens!$C$2779+Sens!$C$2780+Sens!$C$2781</f>
        <v>3415.64082983533</v>
      </c>
    </row>
    <row r="2783" customFormat="false" ht="17.15" hidden="false" customHeight="false" outlineLevel="0" collapsed="false">
      <c r="A2783" s="1" t="s">
        <v>1263</v>
      </c>
      <c r="B2783" s="0" t="s">
        <v>98</v>
      </c>
      <c r="C2783" s="6" t="n">
        <f aca="false">(Sens!G2744-Sens!G2769)*t_stub</f>
        <v>47.6232670131197</v>
      </c>
      <c r="L2783" s="1" t="s">
        <v>1264</v>
      </c>
    </row>
    <row r="2784" customFormat="false" ht="17.15" hidden="false" customHeight="false" outlineLevel="0" collapsed="false">
      <c r="A2784" s="1" t="s">
        <v>1173</v>
      </c>
      <c r="B2784" s="0" t="s">
        <v>98</v>
      </c>
      <c r="C2784" s="6" t="n">
        <f aca="false">Sens!F2731+oai_v-Sens!F2720+Sens!$C$2783</f>
        <v>161.85153701312</v>
      </c>
      <c r="L2784" s="1" t="s">
        <v>1265</v>
      </c>
    </row>
    <row r="2785" customFormat="false" ht="17.15" hidden="false" customHeight="false" outlineLevel="0" collapsed="false">
      <c r="A2785" s="1" t="s">
        <v>1266</v>
      </c>
      <c r="B2785" s="0" t="s">
        <v>75</v>
      </c>
      <c r="C2785" s="5" t="n">
        <f aca="false">(Sens!$C$2782+Sens!$C$2784)/(Sens!F2733+dil_gap)-Sens!G2723*roll_div_q/q_per_yr</f>
        <v>476.5959750326</v>
      </c>
      <c r="L2785" s="1" t="s">
        <v>1267</v>
      </c>
    </row>
    <row r="2786" customFormat="false" ht="17.15" hidden="false" customHeight="false" outlineLevel="0" collapsed="false">
      <c r="A2786" s="1" t="s">
        <v>1268</v>
      </c>
      <c r="B2786" s="0" t="s">
        <v>75</v>
      </c>
      <c r="C2786" s="5" t="n">
        <f aca="false">w_dcf*Sens!$C$2756+(1-w_dcf)*Sens!$C$2785</f>
        <v>417.08712222565</v>
      </c>
    </row>
    <row r="2787" customFormat="false" ht="17.15" hidden="false" customHeight="false" outlineLevel="0" collapsed="false">
      <c r="A2787" s="3" t="s">
        <v>1680</v>
      </c>
    </row>
    <row r="2788" customFormat="false" ht="15" hidden="false" customHeight="false" outlineLevel="0" collapsed="false">
      <c r="A2788" s="4" t="s">
        <v>43</v>
      </c>
      <c r="B2788" s="4" t="s">
        <v>65</v>
      </c>
      <c r="C2788" s="23" t="s">
        <v>942</v>
      </c>
      <c r="D2788" s="23" t="s">
        <v>943</v>
      </c>
      <c r="E2788" s="23" t="s">
        <v>944</v>
      </c>
      <c r="F2788" s="23" t="s">
        <v>945</v>
      </c>
      <c r="G2788" s="23" t="s">
        <v>946</v>
      </c>
      <c r="H2788" s="23" t="s">
        <v>947</v>
      </c>
      <c r="I2788" s="23" t="s">
        <v>948</v>
      </c>
      <c r="J2788" s="23" t="s">
        <v>949</v>
      </c>
      <c r="K2788" s="23" t="s">
        <v>950</v>
      </c>
      <c r="L2788" s="4" t="s">
        <v>47</v>
      </c>
    </row>
    <row r="2789" customFormat="false" ht="17.15" hidden="false" customHeight="false" outlineLevel="0" collapsed="false">
      <c r="A2789" s="1" t="s">
        <v>951</v>
      </c>
      <c r="B2789" s="1" t="s">
        <v>279</v>
      </c>
      <c r="C2789" s="21" t="n">
        <v>2024</v>
      </c>
      <c r="D2789" s="21" t="n">
        <v>2025</v>
      </c>
      <c r="E2789" s="21" t="n">
        <v>2026</v>
      </c>
      <c r="F2789" s="21" t="n">
        <v>2027</v>
      </c>
      <c r="G2789" s="21" t="n">
        <v>2028</v>
      </c>
      <c r="H2789" s="21" t="n">
        <v>2029</v>
      </c>
      <c r="I2789" s="21" t="n">
        <v>2030</v>
      </c>
      <c r="J2789" s="21" t="n">
        <v>2031</v>
      </c>
      <c r="K2789" s="21" t="n">
        <v>2032</v>
      </c>
    </row>
    <row r="2790" customFormat="false" ht="17.15" hidden="false" customHeight="false" outlineLevel="0" collapsed="false">
      <c r="A2790" s="1" t="s">
        <v>952</v>
      </c>
      <c r="B2790" s="0" t="s">
        <v>459</v>
      </c>
      <c r="F2790" s="30" t="n">
        <f aca="false">pace</f>
        <v>2726.5351</v>
      </c>
      <c r="G2790" s="30" t="n">
        <f aca="false">pace</f>
        <v>2726.5351</v>
      </c>
      <c r="H2790" s="30" t="n">
        <f aca="false">pace</f>
        <v>2726.5351</v>
      </c>
      <c r="I2790" s="30" t="n">
        <f aca="false">pace+(g_tv*Sens!H2791-pace)*MIN(1,(Sens!I2789-pace_y0)/(pace_y1-pace_y0))</f>
        <v>1931.98611966667</v>
      </c>
      <c r="J2790" s="30" t="n">
        <f aca="false">pace+(g_tv*Sens!I2791-pace)*MIN(1,(Sens!J2789-pace_y0)/(pace_y1-pace_y0))</f>
        <v>1176.07686172667</v>
      </c>
      <c r="K2790" s="30" t="n">
        <f aca="false">pace+(g_tv*Sens!J2791-pace)*MIN(1,(Sens!K2789-pace_y0)/(pace_y1-pace_y0))</f>
        <v>436.1300484418</v>
      </c>
      <c r="L2790" s="12" t="s">
        <v>953</v>
      </c>
    </row>
    <row r="2791" customFormat="false" ht="17.15" hidden="false" customHeight="false" outlineLevel="0" collapsed="false">
      <c r="A2791" s="1" t="s">
        <v>954</v>
      </c>
      <c r="B2791" s="0" t="s">
        <v>459</v>
      </c>
      <c r="C2791" s="30" t="n">
        <f aca="false">mw_ext_24</f>
        <v>640</v>
      </c>
      <c r="D2791" s="30" t="n">
        <f aca="false">mw_ext_25</f>
        <v>1630</v>
      </c>
      <c r="E2791" s="30" t="n">
        <f aca="false">mw_ext_26</f>
        <v>3250</v>
      </c>
      <c r="F2791" s="30" t="n">
        <f aca="false">Sens!E2791+Sens!F2790</f>
        <v>5976.5351</v>
      </c>
      <c r="G2791" s="30" t="n">
        <f aca="false">Sens!F2791+Sens!G2790</f>
        <v>8703.0702</v>
      </c>
      <c r="H2791" s="30" t="n">
        <f aca="false">Sens!G2791+Sens!H2790</f>
        <v>11429.6053</v>
      </c>
      <c r="I2791" s="30" t="n">
        <f aca="false">Sens!H2791+Sens!I2790</f>
        <v>13361.5914196667</v>
      </c>
      <c r="J2791" s="30" t="n">
        <f aca="false">Sens!I2791+Sens!J2790</f>
        <v>14537.6682813933</v>
      </c>
      <c r="K2791" s="30" t="n">
        <f aca="false">Sens!J2791+Sens!K2790</f>
        <v>14973.7983298351</v>
      </c>
      <c r="L2791" s="1" t="s">
        <v>955</v>
      </c>
    </row>
    <row r="2792" customFormat="false" ht="17.15" hidden="false" customHeight="false" outlineLevel="0" collapsed="false">
      <c r="A2792" s="1" t="s">
        <v>956</v>
      </c>
      <c r="B2792" s="0" t="s">
        <v>459</v>
      </c>
      <c r="C2792" s="30" t="n">
        <f aca="false">rent_ext_24</f>
        <v>150</v>
      </c>
      <c r="D2792" s="30" t="n">
        <f aca="false">rent_ext_25</f>
        <v>400</v>
      </c>
      <c r="E2792" s="30" t="n">
        <f aca="false">rent_ext_26</f>
        <v>550</v>
      </c>
      <c r="F2792" s="30" t="n">
        <f aca="false">rent_ext_f</f>
        <v>756</v>
      </c>
      <c r="G2792" s="30" t="n">
        <f aca="false">rent_ext_f</f>
        <v>756</v>
      </c>
      <c r="H2792" s="30" t="n">
        <f aca="false">rent_ext_f</f>
        <v>756</v>
      </c>
      <c r="I2792" s="30" t="n">
        <f aca="false">rent_ext_f</f>
        <v>756</v>
      </c>
      <c r="J2792" s="30" t="n">
        <f aca="false">rent_ext_f</f>
        <v>756</v>
      </c>
      <c r="K2792" s="30" t="n">
        <f aca="false">rent_ext_f</f>
        <v>756</v>
      </c>
      <c r="L2792" s="1" t="s">
        <v>957</v>
      </c>
    </row>
    <row r="2793" customFormat="false" ht="17.15" hidden="false" customHeight="false" outlineLevel="0" collapsed="false">
      <c r="A2793" s="1" t="s">
        <v>958</v>
      </c>
      <c r="B2793" s="0" t="s">
        <v>459</v>
      </c>
      <c r="C2793" s="30" t="n">
        <f aca="false">Sens!C2791-Sens!C2792</f>
        <v>490</v>
      </c>
      <c r="D2793" s="30" t="n">
        <f aca="false">Sens!D2791-Sens!D2792</f>
        <v>1230</v>
      </c>
      <c r="E2793" s="30" t="n">
        <f aca="false">Sens!E2791-Sens!E2792</f>
        <v>2700</v>
      </c>
      <c r="F2793" s="30" t="n">
        <f aca="false">Sens!F2791-Sens!F2792</f>
        <v>5220.5351</v>
      </c>
      <c r="G2793" s="30" t="n">
        <f aca="false">Sens!G2791-Sens!G2792</f>
        <v>7947.0702</v>
      </c>
      <c r="H2793" s="30" t="n">
        <f aca="false">Sens!H2791-Sens!H2792</f>
        <v>10673.6053</v>
      </c>
      <c r="I2793" s="30" t="n">
        <f aca="false">Sens!I2791-Sens!I2792</f>
        <v>12605.5914196667</v>
      </c>
      <c r="J2793" s="30" t="n">
        <f aca="false">Sens!J2791-Sens!J2792</f>
        <v>13781.6682813933</v>
      </c>
      <c r="K2793" s="30" t="n">
        <f aca="false">Sens!K2791-Sens!K2792</f>
        <v>14217.7983298351</v>
      </c>
    </row>
    <row r="2794" customFormat="false" ht="17.15" hidden="false" customHeight="false" outlineLevel="0" collapsed="false">
      <c r="A2794" s="1" t="s">
        <v>959</v>
      </c>
      <c r="B2794" s="0" t="s">
        <v>459</v>
      </c>
      <c r="C2794" s="30" t="n">
        <f aca="false">Sens!C2793/ext_sh_hi</f>
        <v>653.333333333333</v>
      </c>
      <c r="D2794" s="30" t="n">
        <f aca="false">Sens!D2793/ext_sh_hi</f>
        <v>1640</v>
      </c>
      <c r="E2794" s="30" t="n">
        <f aca="false">Sens!E2793/ext_sh_hi</f>
        <v>3600</v>
      </c>
      <c r="F2794" s="30" t="n">
        <f aca="false">Sens!F2793/ext_sh_hi</f>
        <v>6960.71346666667</v>
      </c>
      <c r="G2794" s="30" t="n">
        <f aca="false">Sens!G2793/ext_sh_hi</f>
        <v>10596.0936</v>
      </c>
      <c r="H2794" s="30" t="n">
        <f aca="false">Sens!H2793/ext_sh_hi</f>
        <v>14231.4737333333</v>
      </c>
      <c r="I2794" s="30" t="n">
        <f aca="false">Sens!I2793/ext_sh_hi</f>
        <v>16807.4552262222</v>
      </c>
      <c r="J2794" s="30" t="n">
        <f aca="false">Sens!J2793/ext_sh_hi</f>
        <v>18375.5577085244</v>
      </c>
      <c r="K2794" s="30" t="n">
        <f aca="false">Sens!K2793/ext_sh_hi</f>
        <v>18957.0644397802</v>
      </c>
      <c r="L2794" s="1" t="s">
        <v>960</v>
      </c>
    </row>
    <row r="2795" customFormat="false" ht="17.15" hidden="false" customHeight="false" outlineLevel="0" collapsed="false">
      <c r="A2795" s="1" t="s">
        <v>961</v>
      </c>
      <c r="B2795" s="0" t="s">
        <v>459</v>
      </c>
      <c r="C2795" s="30" t="n">
        <f aca="false">Sens!C2794-Sens!C2793</f>
        <v>163.333333333333</v>
      </c>
      <c r="D2795" s="30" t="n">
        <f aca="false">Sens!D2794-Sens!D2793</f>
        <v>410</v>
      </c>
      <c r="E2795" s="30" t="n">
        <f aca="false">Sens!E2794-Sens!E2793</f>
        <v>900</v>
      </c>
      <c r="F2795" s="30" t="n">
        <f aca="false">Sens!F2794-Sens!F2793</f>
        <v>1740.17836666667</v>
      </c>
      <c r="G2795" s="30" t="n">
        <f aca="false">Sens!G2794-Sens!G2793</f>
        <v>2649.0234</v>
      </c>
      <c r="H2795" s="30" t="n">
        <f aca="false">Sens!H2794-Sens!H2793</f>
        <v>3557.86843333333</v>
      </c>
      <c r="I2795" s="30" t="n">
        <f aca="false">Sens!I2794-Sens!I2793</f>
        <v>4201.86380655556</v>
      </c>
      <c r="J2795" s="30" t="n">
        <f aca="false">Sens!J2794-Sens!J2793</f>
        <v>4593.88942713111</v>
      </c>
      <c r="K2795" s="30" t="n">
        <f aca="false">Sens!K2794-Sens!K2793</f>
        <v>4739.26610994505</v>
      </c>
    </row>
    <row r="2796" customFormat="false" ht="17.15" hidden="false" customHeight="false" outlineLevel="0" collapsed="false">
      <c r="A2796" s="1" t="s">
        <v>962</v>
      </c>
      <c r="B2796" s="0" t="s">
        <v>459</v>
      </c>
      <c r="C2796" s="30" t="n">
        <f aca="false">Sens!C2794</f>
        <v>653.333333333333</v>
      </c>
      <c r="D2796" s="30" t="n">
        <f aca="false">Sens!D2794-Sens!C2794</f>
        <v>986.666666666667</v>
      </c>
      <c r="E2796" s="30" t="n">
        <f aca="false">Sens!E2794-Sens!D2794</f>
        <v>1960</v>
      </c>
      <c r="F2796" s="30" t="n">
        <f aca="false">Sens!F2794-Sens!E2794</f>
        <v>3360.71346666667</v>
      </c>
      <c r="G2796" s="30" t="n">
        <f aca="false">Sens!G2794-Sens!F2794</f>
        <v>3635.38013333333</v>
      </c>
      <c r="H2796" s="30" t="n">
        <f aca="false">Sens!H2794-Sens!G2794</f>
        <v>3635.38013333333</v>
      </c>
      <c r="I2796" s="30" t="n">
        <f aca="false">Sens!I2794-Sens!H2794</f>
        <v>2575.98149288889</v>
      </c>
      <c r="J2796" s="30" t="n">
        <f aca="false">Sens!J2794-Sens!I2794</f>
        <v>1568.10248230222</v>
      </c>
      <c r="K2796" s="30" t="n">
        <f aca="false">Sens!K2794-Sens!J2794</f>
        <v>581.506731255733</v>
      </c>
    </row>
    <row r="2797" customFormat="false" ht="17.15" hidden="false" customHeight="false" outlineLevel="0" collapsed="false">
      <c r="A2797" s="1" t="s">
        <v>963</v>
      </c>
      <c r="B2797" s="0" t="s">
        <v>459</v>
      </c>
      <c r="D2797" s="30" t="n">
        <f aca="false">Sens!D2791-Sens!C2791</f>
        <v>990</v>
      </c>
      <c r="E2797" s="30" t="n">
        <f aca="false">Sens!E2791-Sens!D2791</f>
        <v>1620</v>
      </c>
      <c r="F2797" s="30" t="n">
        <f aca="false">Sens!F2791-Sens!E2791</f>
        <v>2726.5351</v>
      </c>
      <c r="G2797" s="30" t="n">
        <f aca="false">Sens!G2791-Sens!F2791</f>
        <v>2726.5351</v>
      </c>
      <c r="H2797" s="30" t="n">
        <f aca="false">Sens!H2791-Sens!G2791</f>
        <v>2726.5351</v>
      </c>
      <c r="I2797" s="30" t="n">
        <f aca="false">Sens!I2791-Sens!H2791</f>
        <v>1931.98611966667</v>
      </c>
      <c r="J2797" s="30" t="n">
        <f aca="false">Sens!J2791-Sens!I2791</f>
        <v>1176.07686172667</v>
      </c>
      <c r="K2797" s="30" t="n">
        <f aca="false">Sens!K2791-Sens!J2791</f>
        <v>436.130048441799</v>
      </c>
    </row>
    <row r="2798" customFormat="false" ht="17.15" hidden="false" customHeight="false" outlineLevel="0" collapsed="false">
      <c r="A2798" s="1" t="s">
        <v>964</v>
      </c>
      <c r="B2798" s="0" t="s">
        <v>459</v>
      </c>
      <c r="F2798" s="30" t="n">
        <f aca="false">Sens!F2817*ext_sh_hi</f>
        <v>0</v>
      </c>
      <c r="G2798" s="30" t="n">
        <f aca="false">Sens!G2817*ext_sh_hi</f>
        <v>0</v>
      </c>
      <c r="H2798" s="30" t="n">
        <f aca="false">Sens!H2817*ext_sh_hi</f>
        <v>0</v>
      </c>
      <c r="I2798" s="30" t="n">
        <f aca="false">Sens!I2817*ext_sh_hi</f>
        <v>490</v>
      </c>
      <c r="J2798" s="30" t="n">
        <f aca="false">Sens!J2817*ext_sh_hi</f>
        <v>740</v>
      </c>
      <c r="K2798" s="30" t="n">
        <f aca="false">Sens!K2817*ext_sh_hi</f>
        <v>1470</v>
      </c>
      <c r="L2798" s="1" t="s">
        <v>965</v>
      </c>
    </row>
    <row r="2799" customFormat="false" ht="17.15" hidden="false" customHeight="false" outlineLevel="0" collapsed="false">
      <c r="A2799" s="1" t="s">
        <v>966</v>
      </c>
      <c r="B2799" s="0" t="s">
        <v>459</v>
      </c>
      <c r="C2799" s="30" t="n">
        <f aca="false">mix_h*Sens!C2791</f>
        <v>128</v>
      </c>
      <c r="D2799" s="30" t="n">
        <f aca="false">mix_h*Sens!D2791</f>
        <v>326</v>
      </c>
      <c r="E2799" s="30" t="n">
        <f aca="false">mix_h*Sens!E2791</f>
        <v>650</v>
      </c>
      <c r="F2799" s="30" t="n">
        <f aca="false">Sens!E2799-Sens!F2798*mix_h</f>
        <v>650</v>
      </c>
      <c r="G2799" s="30" t="n">
        <f aca="false">Sens!F2799-Sens!G2798*mix_h</f>
        <v>650</v>
      </c>
      <c r="H2799" s="30" t="n">
        <f aca="false">Sens!G2799-Sens!H2798*mix_h</f>
        <v>650</v>
      </c>
      <c r="I2799" s="30" t="n">
        <f aca="false">Sens!H2799-Sens!I2798*mix_h</f>
        <v>552</v>
      </c>
      <c r="J2799" s="30" t="n">
        <f aca="false">Sens!I2799-Sens!J2798*mix_h</f>
        <v>404</v>
      </c>
      <c r="K2799" s="30" t="n">
        <f aca="false">Sens!J2799-Sens!K2798*mix_h</f>
        <v>110</v>
      </c>
    </row>
    <row r="2800" customFormat="false" ht="17.15" hidden="false" customHeight="false" outlineLevel="0" collapsed="false">
      <c r="A2800" s="1" t="s">
        <v>967</v>
      </c>
      <c r="B2800" s="0" t="s">
        <v>459</v>
      </c>
      <c r="C2800" s="30" t="n">
        <f aca="false">mix_g2*Sens!C2791</f>
        <v>288</v>
      </c>
      <c r="D2800" s="30" t="n">
        <f aca="false">mix_g2*Sens!D2791</f>
        <v>733.5</v>
      </c>
      <c r="E2800" s="30" t="n">
        <f aca="false">mix_g2*Sens!E2791</f>
        <v>1462.5</v>
      </c>
      <c r="F2800" s="30" t="n">
        <f aca="false">Sens!E2800-Sens!F2798*mix_g2</f>
        <v>1462.5</v>
      </c>
      <c r="G2800" s="30" t="n">
        <f aca="false">Sens!F2800-Sens!G2798*mix_g2</f>
        <v>1462.5</v>
      </c>
      <c r="H2800" s="30" t="n">
        <f aca="false">Sens!G2800-Sens!H2798*mix_g2</f>
        <v>1462.5</v>
      </c>
      <c r="I2800" s="30" t="n">
        <f aca="false">Sens!H2800-Sens!I2798*mix_g2</f>
        <v>1242</v>
      </c>
      <c r="J2800" s="30" t="n">
        <f aca="false">Sens!I2800-Sens!J2798*mix_g2</f>
        <v>909</v>
      </c>
      <c r="K2800" s="30" t="n">
        <f aca="false">Sens!J2800-Sens!K2798*mix_g2</f>
        <v>247.5</v>
      </c>
    </row>
    <row r="2801" customFormat="false" ht="17.15" hidden="false" customHeight="false" outlineLevel="0" collapsed="false">
      <c r="A2801" s="1" t="s">
        <v>968</v>
      </c>
      <c r="B2801" s="0" t="s">
        <v>459</v>
      </c>
      <c r="C2801" s="30" t="n">
        <f aca="false">mix_g3*Sens!C2791</f>
        <v>224</v>
      </c>
      <c r="D2801" s="30" t="n">
        <f aca="false">mix_g3*Sens!D2791</f>
        <v>570.5</v>
      </c>
      <c r="E2801" s="30" t="n">
        <f aca="false">mix_g3*Sens!E2791</f>
        <v>1137.5</v>
      </c>
      <c r="F2801" s="30" t="n">
        <f aca="false">Sens!E2801+(Sens!F2797+Sens!F2798)*(a_g3_27-nonnv*a_mai)-Sens!F2798*mix_g3</f>
        <v>2773.42106</v>
      </c>
      <c r="G2801" s="30" t="n">
        <f aca="false">Sens!F2801+(Sens!G2797+Sens!G2798)*(a_g3_28-nonnv*a_mai)-Sens!G2798*mix_g3</f>
        <v>3318.72808</v>
      </c>
      <c r="H2801" s="30" t="n">
        <f aca="false">Sens!G2801+(Sens!H2797+Sens!H2798)*(a_g3_29-nonnv*a_mai)-Sens!H2798*mix_g3</f>
        <v>3318.72808</v>
      </c>
      <c r="I2801" s="30" t="n">
        <f aca="false">Sens!H2801+(Sens!I2797+Sens!I2798)*(a_g3_29-nonnv*a_mai)-Sens!I2798*mix_g3</f>
        <v>3147.22808</v>
      </c>
      <c r="J2801" s="30" t="n">
        <f aca="false">Sens!I2801+(Sens!J2797+Sens!J2798)*(a_g3_29-nonnv*a_mai)-Sens!J2798*mix_g3</f>
        <v>2888.22808</v>
      </c>
      <c r="K2801" s="30" t="n">
        <f aca="false">Sens!J2801+(Sens!K2797+Sens!K2798)*(a_g3_29-nonnv*a_mai)-Sens!K2798*mix_g3</f>
        <v>2373.72808</v>
      </c>
    </row>
    <row r="2802" customFormat="false" ht="17.15" hidden="false" customHeight="false" outlineLevel="0" collapsed="false">
      <c r="A2802" s="1" t="s">
        <v>969</v>
      </c>
      <c r="B2802" s="0" t="s">
        <v>459</v>
      </c>
      <c r="C2802" s="30" t="n">
        <v>0</v>
      </c>
      <c r="D2802" s="30" t="n">
        <v>0</v>
      </c>
      <c r="E2802" s="30" t="n">
        <v>0</v>
      </c>
      <c r="F2802" s="30" t="n">
        <f aca="false">Sens!E2802+(Sens!F2797+Sens!F2798)*nonnv*a_mai</f>
        <v>272.65351</v>
      </c>
      <c r="G2802" s="30" t="n">
        <f aca="false">Sens!F2802+(Sens!G2797+Sens!G2798)*nonnv*a_mai</f>
        <v>545.30702</v>
      </c>
      <c r="H2802" s="30" t="n">
        <f aca="false">Sens!G2802+(Sens!H2797+Sens!H2798)*nonnv*a_mai</f>
        <v>817.96053</v>
      </c>
      <c r="I2802" s="30" t="n">
        <f aca="false">Sens!H2802+(Sens!I2797+Sens!I2798)*nonnv*a_mai</f>
        <v>1060.15914196667</v>
      </c>
      <c r="J2802" s="30" t="n">
        <f aca="false">Sens!I2802+(Sens!J2797+Sens!J2798)*nonnv*a_mai</f>
        <v>1251.76682813933</v>
      </c>
      <c r="K2802" s="30" t="n">
        <f aca="false">Sens!J2802+(Sens!K2797+Sens!K2798)*nonnv*a_mai</f>
        <v>1442.37983298351</v>
      </c>
      <c r="L2802" s="12" t="s">
        <v>970</v>
      </c>
    </row>
    <row r="2803" customFormat="false" ht="17.15" hidden="false" customHeight="false" outlineLevel="0" collapsed="false">
      <c r="A2803" s="1" t="s">
        <v>971</v>
      </c>
      <c r="B2803" s="0" t="s">
        <v>459</v>
      </c>
      <c r="C2803" s="30" t="n">
        <v>0</v>
      </c>
      <c r="D2803" s="30" t="n">
        <v>0</v>
      </c>
      <c r="E2803" s="30" t="n">
        <v>0</v>
      </c>
      <c r="F2803" s="30" t="n">
        <f aca="false">Sens!E2803+(Sens!F2797+Sens!F2798)*(1-a_g3_27)</f>
        <v>817.96053</v>
      </c>
      <c r="G2803" s="30" t="n">
        <f aca="false">Sens!F2803+(Sens!G2797+Sens!G2798)*(1-a_g3_28)</f>
        <v>2726.5351</v>
      </c>
      <c r="H2803" s="30" t="n">
        <f aca="false">Sens!G2803+(Sens!H2797+Sens!H2798)*(1-a_g3_29)</f>
        <v>5180.41669</v>
      </c>
      <c r="I2803" s="30" t="n">
        <f aca="false">Sens!H2803+(Sens!I2797+Sens!I2798)*(1-a_g3_29)</f>
        <v>7360.2041977</v>
      </c>
      <c r="J2803" s="30" t="n">
        <f aca="false">Sens!I2803+(Sens!J2797+Sens!J2798)*(1-a_g3_29)</f>
        <v>9084.673373254</v>
      </c>
      <c r="K2803" s="30" t="n">
        <f aca="false">Sens!J2803+(Sens!K2797+Sens!K2798)*(1-a_g3_29)</f>
        <v>10800.1904168516</v>
      </c>
    </row>
    <row r="2804" customFormat="false" ht="17.15" hidden="false" customHeight="false" outlineLevel="0" collapsed="false">
      <c r="A2804" s="1" t="s">
        <v>972</v>
      </c>
      <c r="B2804" s="0" t="s">
        <v>403</v>
      </c>
      <c r="C2804" s="15" t="n">
        <f aca="false">(Sens!C2799*tk_hold_h100+Sens!C2800*tk_hold_gb200+Sens!C2801*tk_hold_gb300+Sens!C2803*tk_hold_vr200+Sens!C2802*nv_hold_mai*tk_hold_vr200)/Sens!C2791</f>
        <v>9.7235358126469</v>
      </c>
      <c r="D2804" s="15" t="n">
        <f aca="false">(Sens!D2799*tk_hold_h100+Sens!D2800*tk_hold_gb200+Sens!D2801*tk_hold_gb300+Sens!D2803*tk_hold_vr200+Sens!D2802*nv_hold_mai*tk_hold_vr200)/Sens!D2791</f>
        <v>9.7235358126469</v>
      </c>
      <c r="E2804" s="15" t="n">
        <f aca="false">(Sens!E2799*tk_hold_h100+Sens!E2800*tk_hold_gb200+Sens!E2801*tk_hold_gb300+Sens!E2803*tk_hold_vr200+Sens!E2802*nv_hold_mai*tk_hold_vr200)/Sens!E2791</f>
        <v>9.7235358126469</v>
      </c>
      <c r="F2804" s="15" t="n">
        <f aca="false">(Sens!F2799*tk_hold_h100+Sens!F2800*tk_hold_gb200+Sens!F2801*tk_hold_gb300+Sens!F2803*tk_hold_vr200+Sens!F2802*nv_hold_mai*tk_hold_vr200)/Sens!F2791</f>
        <v>10.2195353876665</v>
      </c>
      <c r="G2804" s="15" t="n">
        <f aca="false">(Sens!G2799*tk_hold_h100+Sens!G2800*tk_hold_gb200+Sens!G2801*tk_hold_gb300+Sens!G2803*tk_hold_vr200+Sens!G2802*nv_hold_mai*tk_hold_vr200)/Sens!G2791</f>
        <v>10.5725598017306</v>
      </c>
      <c r="H2804" s="15" t="n">
        <f aca="false">(Sens!H2799*tk_hold_h100+Sens!H2800*tk_hold_gb200+Sens!H2801*tk_hold_gb300+Sens!H2803*tk_hold_vr200+Sens!H2802*nv_hold_mai*tk_hold_vr200)/Sens!H2791</f>
        <v>10.8210427149036</v>
      </c>
      <c r="I2804" s="15" t="n">
        <f aca="false">(Sens!I2799*tk_hold_h100+Sens!I2800*tk_hold_gb200+Sens!I2801*tk_hold_gb300+Sens!I2803*tk_hold_vr200+Sens!I2802*nv_hold_mai*tk_hold_vr200)/Sens!I2791</f>
        <v>11.0050618241982</v>
      </c>
      <c r="J2804" s="15" t="n">
        <f aca="false">(Sens!J2799*tk_hold_h100+Sens!J2800*tk_hold_gb200+Sens!J2801*tk_hold_gb300+Sens!J2803*tk_hold_vr200+Sens!J2802*nv_hold_mai*tk_hold_vr200)/Sens!J2791</f>
        <v>11.1505789658881</v>
      </c>
      <c r="K2804" s="15" t="n">
        <f aca="false">(Sens!K2799*tk_hold_h100+Sens!K2800*tk_hold_gb200+Sens!K2801*tk_hold_gb300+Sens!K2803*tk_hold_vr200+Sens!K2802*nv_hold_mai*tk_hold_vr200)/Sens!K2791</f>
        <v>11.3496914757183</v>
      </c>
      <c r="L2804" s="1" t="s">
        <v>973</v>
      </c>
    </row>
    <row r="2805" customFormat="false" ht="17.15" hidden="false" customHeight="false" outlineLevel="0" collapsed="false">
      <c r="A2805" s="1" t="s">
        <v>974</v>
      </c>
      <c r="B2805" s="0" t="s">
        <v>403</v>
      </c>
      <c r="C2805" s="15" t="n">
        <f aca="false">(Sens!C2799*tk_hold_h100+Sens!C2800*tk_hold_gb200+Sens!C2801*tk_hold_gb300+Sens!C2803*tk_hold_vr200+Sens!C2802*nv_out_mai*tk_hold_vr200)/Sens!C2791</f>
        <v>9.7235358126469</v>
      </c>
      <c r="D2805" s="15" t="n">
        <f aca="false">(Sens!D2799*tk_hold_h100+Sens!D2800*tk_hold_gb200+Sens!D2801*tk_hold_gb300+Sens!D2803*tk_hold_vr200+Sens!D2802*nv_out_mai*tk_hold_vr200)/Sens!D2791</f>
        <v>9.7235358126469</v>
      </c>
      <c r="E2805" s="15" t="n">
        <f aca="false">(Sens!E2799*tk_hold_h100+Sens!E2800*tk_hold_gb200+Sens!E2801*tk_hold_gb300+Sens!E2803*tk_hold_vr200+Sens!E2802*nv_out_mai*tk_hold_vr200)/Sens!E2791</f>
        <v>9.7235358126469</v>
      </c>
      <c r="F2805" s="15" t="n">
        <f aca="false">(Sens!F2799*tk_hold_h100+Sens!F2800*tk_hold_gb200+Sens!F2801*tk_hold_gb300+Sens!F2803*tk_hold_vr200+Sens!F2802*nv_out_mai*tk_hold_vr200)/Sens!F2791</f>
        <v>10.247422093969</v>
      </c>
      <c r="G2805" s="15" t="n">
        <f aca="false">(Sens!G2799*tk_hold_h100+Sens!G2800*tk_hold_gb200+Sens!G2801*tk_hold_gb300+Sens!G2803*tk_hold_vr200+Sens!G2802*nv_out_mai*tk_hold_vr200)/Sens!G2791</f>
        <v>10.6108602808053</v>
      </c>
      <c r="H2805" s="15" t="n">
        <f aca="false">(Sens!H2799*tk_hold_h100+Sens!H2800*tk_hold_gb200+Sens!H2801*tk_hold_gb300+Sens!H2803*tk_hold_vr200+Sens!H2802*nv_out_mai*tk_hold_vr200)/Sens!H2791</f>
        <v>10.8647885507393</v>
      </c>
      <c r="I2805" s="15" t="n">
        <f aca="false">(Sens!I2799*tk_hold_h100+Sens!I2800*tk_hold_gb200+Sens!I2801*tk_hold_gb300+Sens!I2803*tk_hold_vr200+Sens!I2802*nv_out_mai*tk_hold_vr200)/Sens!I2791</f>
        <v>11.0535625770025</v>
      </c>
      <c r="J2805" s="15" t="n">
        <f aca="false">(Sens!J2799*tk_hold_h100+Sens!J2800*tk_hold_gb200+Sens!J2801*tk_hold_gb300+Sens!J2803*tk_hold_vr200+Sens!J2802*nv_out_mai*tk_hold_vr200)/Sens!J2791</f>
        <v>11.2032127128058</v>
      </c>
      <c r="K2805" s="15" t="n">
        <f aca="false">(Sens!K2799*tk_hold_h100+Sens!K2800*tk_hold_gb200+Sens!K2801*tk_hold_gb300+Sens!K2803*tk_hold_vr200+Sens!K2802*nv_out_mai*tk_hold_vr200)/Sens!K2791</f>
        <v>11.4085735724225</v>
      </c>
      <c r="L2805" s="12" t="s">
        <v>975</v>
      </c>
    </row>
    <row r="2806" customFormat="false" ht="17.15" hidden="false" customHeight="false" outlineLevel="0" collapsed="false">
      <c r="A2806" s="0" t="s">
        <v>976</v>
      </c>
      <c r="B2806" s="0" t="s">
        <v>229</v>
      </c>
      <c r="C2806" s="15" t="n">
        <f aca="false">k_B</f>
        <v>1.17213932619116</v>
      </c>
      <c r="D2806" s="15" t="n">
        <f aca="false">k_B</f>
        <v>1.17213932619116</v>
      </c>
      <c r="E2806" s="15" t="n">
        <f aca="false">k_B</f>
        <v>1.17213932619116</v>
      </c>
      <c r="F2806" s="15" t="n">
        <f aca="false">(k_B+((ls_B*k_long+(1-ls_B)*k_spot)-k_B)*MIN(1,(Sens!F2789-base_fy)/k_ramp))</f>
        <v>1.17213932619116</v>
      </c>
      <c r="G2806" s="15" t="n">
        <f aca="false">(k_B+((ls_B*k_long+(1-ls_B)*k_spot)-k_B)*MIN(1,(Sens!G2789-base_fy)/k_ramp))</f>
        <v>1.17213932619116</v>
      </c>
      <c r="H2806" s="15" t="n">
        <f aca="false">(k_B+((ls_B*k_long+(1-ls_B)*k_spot)-k_B)*MIN(1,(Sens!H2789-base_fy)/k_ramp))</f>
        <v>1.17213932619116</v>
      </c>
      <c r="I2806" s="15" t="n">
        <f aca="false">(k_B+((ls_B*k_long+(1-ls_B)*k_spot)-k_B)*MIN(1,(Sens!I2789-base_fy)/k_ramp))</f>
        <v>1.17213932619116</v>
      </c>
      <c r="J2806" s="15" t="n">
        <f aca="false">(k_B+((ls_B*k_long+(1-ls_B)*k_spot)-k_B)*MIN(1,(Sens!J2789-base_fy)/k_ramp))</f>
        <v>1.17213932619116</v>
      </c>
      <c r="K2806" s="15" t="n">
        <f aca="false">(k_B+((ls_B*k_long+(1-ls_B)*k_spot)-k_B)*MIN(1,(Sens!K2789-base_fy)/k_ramp))</f>
        <v>1.17213932619116</v>
      </c>
      <c r="L2806" s="1" t="s">
        <v>977</v>
      </c>
    </row>
    <row r="2807" customFormat="false" ht="17.15" hidden="false" customHeight="false" outlineLevel="0" collapsed="false">
      <c r="A2807" s="1" t="s">
        <v>978</v>
      </c>
      <c r="B2807" s="0" t="s">
        <v>403</v>
      </c>
      <c r="C2807" s="15" t="n">
        <f aca="false">Sens!C2805*Sens!C2806*chip_f</f>
        <v>11.3973387156315</v>
      </c>
      <c r="D2807" s="15" t="n">
        <f aca="false">Sens!D2805*Sens!D2806*chip_f</f>
        <v>11.3973387156315</v>
      </c>
      <c r="E2807" s="15" t="n">
        <f aca="false">Sens!E2805*Sens!E2806*chip_f</f>
        <v>11.3973387156315</v>
      </c>
      <c r="F2807" s="15" t="n">
        <f aca="false">Sens!F2805*Sens!F2806*chip_f</f>
        <v>12.0114064284211</v>
      </c>
      <c r="G2807" s="15" t="n">
        <f aca="false">Sens!G2805*Sens!G2806*chip_f</f>
        <v>12.4374066198516</v>
      </c>
      <c r="H2807" s="15" t="n">
        <f aca="false">Sens!H2805*Sens!H2806*chip_f</f>
        <v>12.735045931073</v>
      </c>
      <c r="I2807" s="15" t="n">
        <f aca="false">Sens!I2805*Sens!I2806*chip_f</f>
        <v>12.9563153910195</v>
      </c>
      <c r="J2807" s="15" t="n">
        <f aca="false">Sens!J2805*Sens!J2806*chip_f</f>
        <v>13.1317262003643</v>
      </c>
      <c r="K2807" s="15" t="n">
        <f aca="false">Sens!K2805*Sens!K2806*chip_f</f>
        <v>13.3724377399815</v>
      </c>
      <c r="L2807" s="1" t="s">
        <v>979</v>
      </c>
    </row>
    <row r="2808" customFormat="false" ht="17.15" hidden="false" customHeight="false" outlineLevel="0" collapsed="false">
      <c r="A2808" s="0" t="s">
        <v>980</v>
      </c>
      <c r="B2808" s="0" t="s">
        <v>98</v>
      </c>
      <c r="D2808" s="6" t="n">
        <f aca="false">(Sens!C2791+Sens!D2791)/2*Sens!D2807/1000</f>
        <v>12.9359794422418</v>
      </c>
      <c r="E2808" s="6" t="n">
        <f aca="false">(Sens!D2791+Sens!E2791)/2*Sens!E2807/1000</f>
        <v>27.8095064661409</v>
      </c>
      <c r="F2808" s="6" t="n">
        <f aca="false">(Sens!E2791+Sens!F2791)/2*Sens!F2807/1000</f>
        <v>55.4118315060966</v>
      </c>
      <c r="G2808" s="6" t="n">
        <f aca="false">(Sens!F2791+Sens!G2791)/2*Sens!G2807/1000</f>
        <v>91.2881100675143</v>
      </c>
      <c r="H2808" s="6" t="n">
        <f aca="false">(Sens!G2791+Sens!H2791)/2*Sens!H2807/1000</f>
        <v>128.195273603944</v>
      </c>
      <c r="I2808" s="6" t="n">
        <f aca="false">(Sens!H2791+Sens!I2791)/2*Sens!I2807/1000</f>
        <v>160.601281810405</v>
      </c>
      <c r="J2808" s="6" t="n">
        <f aca="false">(Sens!I2791+Sens!J2791)/2*Sens!J2807/1000</f>
        <v>183.182719793589</v>
      </c>
      <c r="K2808" s="6" t="n">
        <f aca="false">(Sens!J2791+Sens!K2791)/2*Sens!K2807/1000</f>
        <v>197.320124937098</v>
      </c>
      <c r="L2808" s="12" t="s">
        <v>981</v>
      </c>
    </row>
    <row r="2809" customFormat="false" ht="17.15" hidden="false" customHeight="false" outlineLevel="0" collapsed="false">
      <c r="A2809" s="1" t="s">
        <v>982</v>
      </c>
      <c r="B2809" s="0" t="s">
        <v>403</v>
      </c>
      <c r="C2809" s="15" t="n">
        <f aca="false">(Sens!C2799*tk_opex_h100+Sens!C2800*tk_opex_gb200+Sens!C2801*tk_opex_gb300+(Sens!C2803+Sens!C2802)*tk_opex_vr200)/Sens!C2791</f>
        <v>1.88636041306092</v>
      </c>
      <c r="D2809" s="15" t="n">
        <f aca="false">(Sens!D2799*tk_opex_h100+Sens!D2800*tk_opex_gb200+Sens!D2801*tk_opex_gb300+(Sens!D2803+Sens!D2802)*tk_opex_vr200)/Sens!D2791</f>
        <v>1.88636041306092</v>
      </c>
      <c r="E2809" s="15" t="n">
        <f aca="false">(Sens!E2799*tk_opex_h100+Sens!E2800*tk_opex_gb200+Sens!E2801*tk_opex_gb300+(Sens!E2803+Sens!E2802)*tk_opex_vr200)/Sens!E2791</f>
        <v>1.88636041306092</v>
      </c>
      <c r="F2809" s="15" t="n">
        <f aca="false">(Sens!F2799*tk_opex_h100+Sens!F2800*tk_opex_gb200+Sens!F2801*tk_opex_gb300+(Sens!F2803+Sens!F2802)*tk_opex_vr200)/Sens!F2791</f>
        <v>1.95051159746876</v>
      </c>
      <c r="G2809" s="15" t="n">
        <f aca="false">(Sens!G2799*tk_opex_h100+Sens!G2800*tk_opex_gb200+Sens!G2801*tk_opex_gb300+(Sens!G2803+Sens!G2802)*tk_opex_vr200)/Sens!G2791</f>
        <v>1.98836003669956</v>
      </c>
      <c r="H2809" s="15" t="n">
        <f aca="false">(Sens!H2799*tk_opex_h100+Sens!H2800*tk_opex_gb200+Sens!H2801*tk_opex_gb300+(Sens!H2803+Sens!H2802)*tk_opex_vr200)/Sens!H2791</f>
        <v>2.01344013834343</v>
      </c>
      <c r="I2809" s="15" t="n">
        <f aca="false">(Sens!I2799*tk_opex_h100+Sens!I2800*tk_opex_gb200+Sens!I2801*tk_opex_gb300+(Sens!I2803+Sens!I2802)*tk_opex_vr200)/Sens!I2791</f>
        <v>2.03261166882178</v>
      </c>
      <c r="J2809" s="15" t="n">
        <f aca="false">(Sens!J2799*tk_opex_h100+Sens!J2800*tk_opex_gb200+Sens!J2801*tk_opex_gb300+(Sens!J2803+Sens!J2802)*tk_opex_vr200)/Sens!J2791</f>
        <v>2.04808073288745</v>
      </c>
      <c r="K2809" s="15" t="n">
        <f aca="false">(Sens!K2799*tk_opex_h100+Sens!K2800*tk_opex_gb200+Sens!K2801*tk_opex_gb300+(Sens!K2803+Sens!K2802)*tk_opex_vr200)/Sens!K2791</f>
        <v>2.06973825807449</v>
      </c>
      <c r="L2809" s="12" t="s">
        <v>983</v>
      </c>
    </row>
    <row r="2810" customFormat="false" ht="17.15" hidden="false" customHeight="false" outlineLevel="0" collapsed="false">
      <c r="A2810" s="0" t="s">
        <v>984</v>
      </c>
      <c r="B2810" s="0" t="s">
        <v>98</v>
      </c>
      <c r="D2810" s="6" t="n">
        <f aca="false">(Sens!C2794+Sens!D2794)/2*Sens!D2809/1000</f>
        <v>2.16302660697652</v>
      </c>
      <c r="E2810" s="6" t="n">
        <f aca="false">(Sens!D2794+Sens!E2794)/2*Sens!E2809/1000</f>
        <v>4.9422642822196</v>
      </c>
      <c r="F2810" s="6" t="n">
        <f aca="false">(Sens!E2794+Sens!F2794)/2*Sens!F2809/1000</f>
        <v>10.2993970471389</v>
      </c>
      <c r="G2810" s="6" t="n">
        <f aca="false">(Sens!F2794+Sens!G2794)/2*Sens!G2809/1000</f>
        <v>17.4546267717022</v>
      </c>
      <c r="H2810" s="6" t="n">
        <f aca="false">(Sens!G2794+Sens!H2794)/2*Sens!H2809/1000</f>
        <v>24.9944103031787</v>
      </c>
      <c r="I2810" s="6" t="n">
        <f aca="false">(Sens!H2794+Sens!I2794)/2*Sens!I2809/1000</f>
        <v>31.5450445954614</v>
      </c>
      <c r="J2810" s="6" t="n">
        <f aca="false">(Sens!I2794+Sens!J2794)/2*Sens!J2809/1000</f>
        <v>36.0288254582922</v>
      </c>
      <c r="K2810" s="6" t="n">
        <f aca="false">(Sens!J2794+Sens!K2794)/2*Sens!K2809/1000</f>
        <v>38.6343781672925</v>
      </c>
    </row>
    <row r="2811" customFormat="false" ht="17.15" hidden="false" customHeight="false" outlineLevel="0" collapsed="false">
      <c r="A2811" s="0" t="s">
        <v>985</v>
      </c>
      <c r="B2811" s="0" t="s">
        <v>98</v>
      </c>
      <c r="D2811" s="6" t="n">
        <f aca="false">(Sens!C2792+Sens!D2792)/2*rent_mw/1000</f>
        <v>2.44475</v>
      </c>
      <c r="E2811" s="6" t="n">
        <f aca="false">(Sens!D2792+Sens!E2792)/2*rent_mw/1000</f>
        <v>4.22275</v>
      </c>
      <c r="F2811" s="6" t="n">
        <f aca="false">(Sens!E2792+Sens!F2792)/2*rent_mw/1000</f>
        <v>5.80517</v>
      </c>
      <c r="G2811" s="6" t="n">
        <f aca="false">(Sens!F2792+Sens!G2792)/2*rent_mw/1000</f>
        <v>6.72084</v>
      </c>
      <c r="H2811" s="6" t="n">
        <f aca="false">(Sens!G2792+Sens!H2792)/2*rent_mw/1000</f>
        <v>6.72084</v>
      </c>
      <c r="I2811" s="6" t="n">
        <f aca="false">(Sens!H2792+Sens!I2792)/2*rent_mw/1000</f>
        <v>6.72084</v>
      </c>
      <c r="J2811" s="6" t="n">
        <f aca="false">(Sens!I2792+Sens!J2792)/2*rent_mw/1000</f>
        <v>6.72084</v>
      </c>
      <c r="K2811" s="6" t="n">
        <f aca="false">(Sens!J2792+Sens!K2792)/2*rent_mw/1000</f>
        <v>6.72084</v>
      </c>
    </row>
    <row r="2812" customFormat="false" ht="17.15" hidden="false" customHeight="false" outlineLevel="0" collapsed="false">
      <c r="A2812" s="0" t="s">
        <v>986</v>
      </c>
      <c r="B2812" s="0" t="s">
        <v>98</v>
      </c>
      <c r="D2812" s="6" t="n">
        <f aca="false">(Sens!C2794+Sens!D2794)/2*(1-self_build)*fac_rent/1000</f>
        <v>0.682593900504861</v>
      </c>
      <c r="E2812" s="6" t="n">
        <f aca="false">(Sens!D2794+Sens!E2794)/2*(1-self_build)*fac_rent/1000</f>
        <v>1.55964769126983</v>
      </c>
      <c r="F2812" s="6" t="n">
        <f aca="false">(Sens!E2794+Sens!F2794)/2*(1-self_build)*fac_rent/1000</f>
        <v>3.14331915581085</v>
      </c>
      <c r="G2812" s="6" t="n">
        <f aca="false">(Sens!F2794+Sens!G2794)/2*(1-self_build)*fac_rent/1000</f>
        <v>5.22565526862528</v>
      </c>
      <c r="H2812" s="6" t="n">
        <f aca="false">(Sens!G2794+Sens!H2794)/2*(1-self_build)*fac_rent/1000</f>
        <v>7.38974390673273</v>
      </c>
      <c r="I2812" s="6" t="n">
        <f aca="false">(Sens!H2794+Sens!I2794)/2*(1-self_build)*fac_rent/1000</f>
        <v>9.23851028459141</v>
      </c>
      <c r="J2812" s="6" t="n">
        <f aca="false">(Sens!I2794+Sens!J2794)/2*(1-self_build)*fac_rent/1000</f>
        <v>10.4719665831286</v>
      </c>
      <c r="K2812" s="6" t="n">
        <f aca="false">(Sens!J2794+Sens!K2794)/2*(1-self_build)*fac_rent/1000</f>
        <v>11.1117820501244</v>
      </c>
      <c r="L2812" s="12" t="s">
        <v>987</v>
      </c>
    </row>
    <row r="2813" customFormat="false" ht="17.15" hidden="false" customHeight="false" outlineLevel="0" collapsed="false">
      <c r="A2813" s="1" t="s">
        <v>988</v>
      </c>
      <c r="B2813" s="0" t="s">
        <v>168</v>
      </c>
      <c r="D2813" s="7" t="n">
        <f aca="false">(Sens!C2793+Sens!D2793)/(Sens!C2794+Sens!D2794)</f>
        <v>0.75</v>
      </c>
      <c r="E2813" s="7" t="n">
        <f aca="false">(Sens!D2793+Sens!E2793)/(Sens!D2794+Sens!E2794)</f>
        <v>0.75</v>
      </c>
      <c r="F2813" s="7" t="n">
        <f aca="false">(Sens!E2793+Sens!F2793)/(Sens!E2794+Sens!F2794)</f>
        <v>0.75</v>
      </c>
      <c r="G2813" s="7" t="n">
        <f aca="false">(Sens!F2793+Sens!G2793)/(Sens!F2794+Sens!G2794)</f>
        <v>0.75</v>
      </c>
      <c r="H2813" s="7" t="n">
        <f aca="false">(Sens!G2793+Sens!H2793)/(Sens!G2794+Sens!H2794)</f>
        <v>0.75</v>
      </c>
      <c r="I2813" s="7" t="n">
        <f aca="false">(Sens!H2793+Sens!I2793)/(Sens!H2794+Sens!I2794)</f>
        <v>0.75</v>
      </c>
      <c r="J2813" s="7" t="n">
        <f aca="false">(Sens!I2793+Sens!J2793)/(Sens!I2794+Sens!J2794)</f>
        <v>0.75</v>
      </c>
      <c r="K2813" s="7" t="n">
        <f aca="false">(Sens!J2793+Sens!K2793)/(Sens!J2794+Sens!K2794)</f>
        <v>0.75</v>
      </c>
    </row>
    <row r="2814" customFormat="false" ht="17.15" hidden="false" customHeight="false" outlineLevel="0" collapsed="false">
      <c r="A2814" s="0" t="s">
        <v>989</v>
      </c>
      <c r="B2814" s="0" t="s">
        <v>98</v>
      </c>
      <c r="D2814" s="6" t="n">
        <f aca="false">Sens!D2808-Sens!D2813*(Sens!D2810+Sens!D2812)-Sens!D2811</f>
        <v>8.35701406163072</v>
      </c>
      <c r="E2814" s="6" t="n">
        <f aca="false">Sens!E2808-Sens!E2813*(Sens!E2810+Sens!E2812)-Sens!E2811</f>
        <v>18.7103224860238</v>
      </c>
      <c r="F2814" s="6" t="n">
        <f aca="false">Sens!F2808-Sens!F2813*(Sens!F2810+Sens!F2812)-Sens!F2811</f>
        <v>39.5246243538843</v>
      </c>
      <c r="G2814" s="6" t="n">
        <f aca="false">Sens!G2808-Sens!G2813*(Sens!G2810+Sens!G2812)-Sens!G2811</f>
        <v>67.5570585372687</v>
      </c>
      <c r="H2814" s="6" t="n">
        <f aca="false">Sens!H2808-Sens!H2813*(Sens!H2810+Sens!H2812)-Sens!H2811</f>
        <v>97.1863179465102</v>
      </c>
      <c r="I2814" s="6" t="n">
        <f aca="false">Sens!I2808-Sens!I2813*(Sens!I2810+Sens!I2812)-Sens!I2811</f>
        <v>123.292775650365</v>
      </c>
      <c r="J2814" s="6" t="n">
        <f aca="false">Sens!J2808-Sens!J2813*(Sens!J2810+Sens!J2812)-Sens!J2811</f>
        <v>141.586285762524</v>
      </c>
      <c r="K2814" s="6" t="n">
        <f aca="false">Sens!K2808-Sens!K2813*(Sens!K2810+Sens!K2812)-Sens!K2811</f>
        <v>153.289664774035</v>
      </c>
    </row>
    <row r="2815" customFormat="false" ht="17.15" hidden="false" customHeight="false" outlineLevel="0" collapsed="false">
      <c r="A2815" s="1" t="s">
        <v>990</v>
      </c>
      <c r="B2815" s="0" t="s">
        <v>98</v>
      </c>
      <c r="D2815" s="6" t="n">
        <f aca="false">(1-Sens!D2813)*(Sens!D2810+Sens!D2812)</f>
        <v>0.711405126870345</v>
      </c>
      <c r="E2815" s="6" t="n">
        <f aca="false">(1-Sens!E2813)*(Sens!E2810+Sens!E2812)</f>
        <v>1.62547799337236</v>
      </c>
      <c r="F2815" s="6" t="n">
        <f aca="false">(1-Sens!F2813)*(Sens!F2810+Sens!F2812)</f>
        <v>3.36067905073745</v>
      </c>
      <c r="G2815" s="6" t="n">
        <f aca="false">(1-Sens!G2813)*(Sens!G2810+Sens!G2812)</f>
        <v>5.67007051008187</v>
      </c>
      <c r="H2815" s="6" t="n">
        <f aca="false">(1-Sens!H2813)*(Sens!H2810+Sens!H2812)</f>
        <v>8.09603855247786</v>
      </c>
      <c r="I2815" s="6" t="n">
        <f aca="false">(1-Sens!I2813)*(Sens!I2810+Sens!I2812)</f>
        <v>10.1958887200132</v>
      </c>
      <c r="J2815" s="6" t="n">
        <f aca="false">(1-Sens!J2813)*(Sens!J2810+Sens!J2812)</f>
        <v>11.6251980103552</v>
      </c>
      <c r="K2815" s="6" t="n">
        <f aca="false">(1-Sens!K2813)*(Sens!K2810+Sens!K2812)</f>
        <v>12.4365400543542</v>
      </c>
    </row>
    <row r="2816" customFormat="false" ht="17.15" hidden="false" customHeight="false" outlineLevel="0" collapsed="false">
      <c r="A2816" s="1" t="s">
        <v>991</v>
      </c>
      <c r="B2816" s="0" t="s">
        <v>417</v>
      </c>
      <c r="C2816" s="8" t="n">
        <f aca="false">cxit_open</f>
        <v>27.5918995</v>
      </c>
      <c r="D2816" s="8" t="n">
        <f aca="false">cxit_open</f>
        <v>27.5918995</v>
      </c>
      <c r="E2816" s="8" t="n">
        <f aca="false">cxit_open</f>
        <v>27.5918995</v>
      </c>
      <c r="F2816" s="8" t="n">
        <f aca="false">((a_g3_27-nonnv*a_mai)*tk_cxit_gb300+nonnv*a_mai*nv_hold_mai*tk_cxit_vr200+(1-a_g3_27)*tk_cxit_vr200)</f>
        <v>32.4975576</v>
      </c>
      <c r="G2816" s="8" t="n">
        <f aca="false">((a_g3_28-nonnv*a_mai)*tk_cxit_gb300+nonnv*a_mai*nv_hold_mai*tk_cxit_vr200+(1-a_g3_28)*tk_cxit_vr200)</f>
        <v>34.6372088</v>
      </c>
      <c r="H2816" s="8" t="n">
        <f aca="false">((a_g3_29-nonnv*a_mai)*tk_cxit_gb300+nonnv*a_mai*nv_hold_mai*tk_cxit_vr200+(1-a_g3_29)*tk_cxit_vr200)</f>
        <v>35.7070344</v>
      </c>
      <c r="I2816" s="8" t="n">
        <f aca="false">((a_g3_29-nonnv*a_mai)*tk_cxit_gb300+nonnv*a_mai*nv_hold_mai*tk_cxit_vr200+(1-a_g3_29)*tk_cxit_vr200)</f>
        <v>35.7070344</v>
      </c>
      <c r="J2816" s="8" t="n">
        <f aca="false">((a_g3_29-nonnv*a_mai)*tk_cxit_gb300+nonnv*a_mai*nv_hold_mai*tk_cxit_vr200+(1-a_g3_29)*tk_cxit_vr200)</f>
        <v>35.7070344</v>
      </c>
      <c r="K2816" s="8" t="n">
        <f aca="false">((a_g3_29-nonnv*a_mai)*tk_cxit_gb300+nonnv*a_mai*nv_hold_mai*tk_cxit_vr200+(1-a_g3_29)*tk_cxit_vr200)</f>
        <v>35.7070344</v>
      </c>
      <c r="L2816" s="12" t="s">
        <v>992</v>
      </c>
    </row>
    <row r="2817" customFormat="false" ht="17.15" hidden="false" customHeight="false" outlineLevel="0" collapsed="false">
      <c r="A2817" s="0" t="s">
        <v>993</v>
      </c>
      <c r="B2817" s="0" t="s">
        <v>459</v>
      </c>
      <c r="F2817" s="30" t="n">
        <f aca="false">Sens!C2796*IF(Sens!F2789-Sens!C2789=life_it,1,0)+Sens!D2796*IF(Sens!F2789-Sens!D2789=life_it,1,0)+Sens!E2796*IF(Sens!F2789-Sens!E2789=life_it,1,0)</f>
        <v>0</v>
      </c>
      <c r="G2817" s="30" t="n">
        <f aca="false">Sens!C2796*IF(Sens!G2789-Sens!C2789=life_it,1,0)+Sens!D2796*IF(Sens!G2789-Sens!D2789=life_it,1,0)+Sens!E2796*IF(Sens!G2789-Sens!E2789=life_it,1,0)+Sens!F2796*IF(Sens!G2789-Sens!F2789=life_it,1,0)</f>
        <v>0</v>
      </c>
      <c r="H2817" s="30" t="n">
        <f aca="false">Sens!C2796*IF(Sens!H2789-Sens!C2789=life_it,1,0)+Sens!D2796*IF(Sens!H2789-Sens!D2789=life_it,1,0)+Sens!E2796*IF(Sens!H2789-Sens!E2789=life_it,1,0)+Sens!F2796*IF(Sens!H2789-Sens!F2789=life_it,1,0)+Sens!G2796*IF(Sens!H2789-Sens!G2789=life_it,1,0)</f>
        <v>0</v>
      </c>
      <c r="I2817" s="30" t="n">
        <f aca="false">Sens!C2796*IF(Sens!I2789-Sens!C2789=life_it,1,0)+Sens!D2796*IF(Sens!I2789-Sens!D2789=life_it,1,0)+Sens!E2796*IF(Sens!I2789-Sens!E2789=life_it,1,0)+Sens!F2796*IF(Sens!I2789-Sens!F2789=life_it,1,0)+Sens!G2796*IF(Sens!I2789-Sens!G2789=life_it,1,0)+Sens!H2796*IF(Sens!I2789-Sens!H2789=life_it,1,0)</f>
        <v>653.333333333333</v>
      </c>
      <c r="J2817" s="30" t="n">
        <f aca="false">Sens!C2796*IF(Sens!J2789-Sens!C2789=life_it,1,0)+Sens!D2796*IF(Sens!J2789-Sens!D2789=life_it,1,0)+Sens!E2796*IF(Sens!J2789-Sens!E2789=life_it,1,0)+Sens!F2796*IF(Sens!J2789-Sens!F2789=life_it,1,0)+Sens!G2796*IF(Sens!J2789-Sens!G2789=life_it,1,0)+Sens!H2796*IF(Sens!J2789-Sens!H2789=life_it,1,0)+Sens!I2796*IF(Sens!J2789-Sens!I2789=life_it,1,0)</f>
        <v>986.666666666667</v>
      </c>
      <c r="K2817" s="30" t="n">
        <f aca="false">Sens!C2796*IF(Sens!K2789-Sens!C2789=life_it,1,0)+Sens!D2796*IF(Sens!K2789-Sens!D2789=life_it,1,0)+Sens!E2796*IF(Sens!K2789-Sens!E2789=life_it,1,0)+Sens!F2796*IF(Sens!K2789-Sens!F2789=life_it,1,0)+Sens!G2796*IF(Sens!K2789-Sens!G2789=life_it,1,0)+Sens!H2796*IF(Sens!K2789-Sens!H2789=life_it,1,0)+Sens!I2796*IF(Sens!K2789-Sens!I2789=life_it,1,0)+Sens!J2796*IF(Sens!K2789-Sens!J2789=life_it,1,0)</f>
        <v>1960</v>
      </c>
      <c r="L2817" s="1" t="s">
        <v>994</v>
      </c>
    </row>
    <row r="2818" customFormat="false" ht="17.15" hidden="false" customHeight="false" outlineLevel="0" collapsed="false">
      <c r="A2818" s="0" t="s">
        <v>995</v>
      </c>
      <c r="B2818" s="0" t="s">
        <v>98</v>
      </c>
      <c r="C2818" s="6" t="n">
        <f aca="false">Sens!C2796*Sens!C2816/1000</f>
        <v>18.0267076733333</v>
      </c>
      <c r="D2818" s="6" t="n">
        <f aca="false">Sens!D2796*Sens!D2816/1000</f>
        <v>27.2240075066667</v>
      </c>
      <c r="E2818" s="6" t="n">
        <f aca="false">Sens!E2796*Sens!E2816/1000</f>
        <v>54.08012302</v>
      </c>
      <c r="F2818" s="6" t="n">
        <f aca="false">(Sens!F2796+Sens!F2817)*Sens!F2816/1000</f>
        <v>109.214979460096</v>
      </c>
      <c r="G2818" s="6" t="n">
        <f aca="false">(Sens!G2796+Sens!G2817)*Sens!G2816/1000</f>
        <v>125.919420745638</v>
      </c>
      <c r="H2818" s="6" t="n">
        <f aca="false">(Sens!H2796+Sens!H2817)*Sens!H2816/1000</f>
        <v>129.80864347801</v>
      </c>
      <c r="I2818" s="6" t="n">
        <f aca="false">(Sens!I2796+Sens!I2817)*Sens!I2816/1000</f>
        <v>115.309255588347</v>
      </c>
      <c r="J2818" s="6" t="n">
        <f aca="false">(Sens!J2796+Sens!J2817)*Sens!J2816/1000</f>
        <v>91.2232298862909</v>
      </c>
      <c r="K2818" s="6" t="n">
        <f aca="false">(Sens!K2796+Sens!K2817)*Sens!K2816/1000</f>
        <v>90.74966828078</v>
      </c>
    </row>
    <row r="2819" customFormat="false" ht="17.15" hidden="false" customHeight="false" outlineLevel="0" collapsed="false">
      <c r="A2819" s="0" t="s">
        <v>996</v>
      </c>
      <c r="B2819" s="0" t="s">
        <v>98</v>
      </c>
      <c r="C2819" s="6" t="n">
        <f aca="false">Sens!C2796*self_build*tk_cxfac/1000</f>
        <v>4.96664</v>
      </c>
      <c r="D2819" s="6" t="n">
        <f aca="false">Sens!D2796*self_build*tk_cxfac/1000</f>
        <v>7.50064</v>
      </c>
      <c r="E2819" s="6" t="n">
        <f aca="false">Sens!E2796*self_build*tk_cxfac/1000</f>
        <v>14.89992</v>
      </c>
      <c r="F2819" s="6" t="n">
        <f aca="false">Sens!F2796*self_build*tk_cxfac/1000</f>
        <v>25.5481437736</v>
      </c>
      <c r="G2819" s="6" t="n">
        <f aca="false">Sens!G2796*self_build*tk_cxfac/1000</f>
        <v>27.6361597736</v>
      </c>
      <c r="H2819" s="6" t="n">
        <f aca="false">Sens!H2796*self_build*tk_cxfac/1000</f>
        <v>27.6361597736</v>
      </c>
      <c r="I2819" s="6" t="n">
        <f aca="false">Sens!I2796*self_build*tk_cxfac/1000</f>
        <v>19.5826113089413</v>
      </c>
      <c r="J2819" s="6" t="n">
        <f aca="false">Sens!J2796*self_build*tk_cxfac/1000</f>
        <v>11.9207150704615</v>
      </c>
      <c r="K2819" s="6" t="n">
        <f aca="false">Sens!K2796*self_build*tk_cxfac/1000</f>
        <v>4.42061417100608</v>
      </c>
    </row>
    <row r="2820" customFormat="false" ht="17.15" hidden="false" customHeight="false" outlineLevel="0" collapsed="false">
      <c r="A2820" s="0" t="s">
        <v>997</v>
      </c>
      <c r="B2820" s="0" t="s">
        <v>98</v>
      </c>
      <c r="F2820" s="15" t="n">
        <f aca="false">capex_floor27-Sens!F2818-Sens!F2819-Sens!F2916</f>
        <v>33.6908002670816</v>
      </c>
      <c r="L2820" s="12" t="s">
        <v>998</v>
      </c>
    </row>
    <row r="2821" customFormat="false" ht="17.15" hidden="false" customHeight="false" outlineLevel="0" collapsed="false">
      <c r="A2821" s="0" t="s">
        <v>999</v>
      </c>
      <c r="B2821" s="0" t="s">
        <v>98</v>
      </c>
      <c r="F2821" s="6" t="n">
        <f aca="false">MAX(0,Sens!F2820)</f>
        <v>33.6908002670816</v>
      </c>
    </row>
    <row r="2822" customFormat="false" ht="17.15" hidden="false" customHeight="false" outlineLevel="0" collapsed="false">
      <c r="A2822" s="0" t="s">
        <v>1000</v>
      </c>
      <c r="B2822" s="0" t="s">
        <v>98</v>
      </c>
      <c r="C2822" s="6" t="n">
        <f aca="false">Sens!C2818</f>
        <v>18.0267076733333</v>
      </c>
      <c r="D2822" s="6" t="n">
        <f aca="false">Sens!D2818</f>
        <v>27.2240075066667</v>
      </c>
      <c r="E2822" s="6" t="n">
        <f aca="false">Sens!E2818</f>
        <v>54.08012302</v>
      </c>
      <c r="F2822" s="6" t="n">
        <f aca="false">Sens!F2818</f>
        <v>109.214979460096</v>
      </c>
      <c r="G2822" s="6" t="n">
        <f aca="false">Sens!G2818</f>
        <v>125.919420745638</v>
      </c>
      <c r="H2822" s="6" t="n">
        <f aca="false">Sens!H2818</f>
        <v>129.80864347801</v>
      </c>
      <c r="I2822" s="6" t="n">
        <f aca="false">Sens!I2818</f>
        <v>115.309255588347</v>
      </c>
      <c r="J2822" s="6" t="n">
        <f aca="false">Sens!J2818</f>
        <v>91.2232298862909</v>
      </c>
      <c r="K2822" s="6" t="n">
        <f aca="false">Sens!K2818</f>
        <v>90.74966828078</v>
      </c>
    </row>
    <row r="2823" customFormat="false" ht="17.15" hidden="false" customHeight="false" outlineLevel="0" collapsed="false">
      <c r="A2823" s="0" t="s">
        <v>1001</v>
      </c>
      <c r="B2823" s="0" t="s">
        <v>98</v>
      </c>
      <c r="C2823" s="6" t="n">
        <f aca="false">Sens!C2822+Sens!C2819</f>
        <v>22.9933476733333</v>
      </c>
      <c r="D2823" s="6" t="n">
        <f aca="false">Sens!D2822+Sens!D2819</f>
        <v>34.7246475066667</v>
      </c>
      <c r="E2823" s="6" t="n">
        <f aca="false">Sens!E2822+Sens!E2819</f>
        <v>68.98004302</v>
      </c>
      <c r="F2823" s="6" t="n">
        <f aca="false">Sens!F2822+Sens!F2819</f>
        <v>134.763123233696</v>
      </c>
      <c r="G2823" s="6" t="n">
        <f aca="false">Sens!G2822+Sens!G2819</f>
        <v>153.555580519238</v>
      </c>
      <c r="H2823" s="6" t="n">
        <f aca="false">Sens!H2822+Sens!H2819</f>
        <v>157.44480325161</v>
      </c>
      <c r="I2823" s="6" t="n">
        <f aca="false">Sens!I2822+Sens!I2819</f>
        <v>134.891866897288</v>
      </c>
      <c r="J2823" s="6" t="n">
        <f aca="false">Sens!J2822+Sens!J2819</f>
        <v>103.143944956752</v>
      </c>
      <c r="K2823" s="6" t="n">
        <f aca="false">Sens!K2822+Sens!K2819</f>
        <v>95.1702824517861</v>
      </c>
      <c r="L2823" s="12" t="s">
        <v>1002</v>
      </c>
    </row>
    <row r="2824" customFormat="false" ht="17.15" hidden="false" customHeight="false" outlineLevel="0" collapsed="false">
      <c r="A2824" s="0" t="s">
        <v>1003</v>
      </c>
      <c r="B2824" s="0" t="s">
        <v>98</v>
      </c>
      <c r="E2824" s="6" t="n">
        <f aca="false">(Sens!C2822*IF(2&lt;life_it,1,IF(2=life_it,0.5,0))+Sens!D2822*IF(1&lt;life_it,1,IF(1=life_it,0.5,0))+Sens!E2822*0.5)/life_it</f>
        <v>12.0484627816667</v>
      </c>
      <c r="F2824" s="6" t="n">
        <f aca="false">(Sens!C2822*IF(3&lt;life_it,1,IF(3=life_it,0.5,0))+Sens!D2822*IF(2&lt;life_it,1,IF(2=life_it,0.5,0))+Sens!E2822*IF(1&lt;life_it,1,IF(1=life_it,0.5,0))+Sens!F2822*0.5)/life_it</f>
        <v>25.6563879883413</v>
      </c>
      <c r="G2824" s="6" t="n">
        <f aca="false">(Sens!C2822*IF(4&lt;life_it,1,IF(4=life_it,0.5,0))+Sens!D2822*IF(3&lt;life_it,1,IF(3=life_it,0.5,0))+Sens!E2822*IF(2&lt;life_it,1,IF(2=life_it,0.5,0))+Sens!F2822*IF(1&lt;life_it,1,IF(1=life_it,0.5,0))+Sens!G2822*0.5)/life_it</f>
        <v>45.2509213388192</v>
      </c>
      <c r="H2824" s="6" t="n">
        <f aca="false">(Sens!C2822*IF(5&lt;life_it,1,IF(5=life_it,0.5,0))+Sens!D2822*IF(4&lt;life_it,1,IF(4=life_it,0.5,0))+Sens!E2822*IF(3&lt;life_it,1,IF(3=life_it,0.5,0))+Sens!F2822*IF(2&lt;life_it,1,IF(2=life_it,0.5,0))+Sens!G2822*IF(1&lt;life_it,1,IF(1=life_it,0.5,0))+Sens!H2822*0.5)/life_it</f>
        <v>66.5615933574565</v>
      </c>
      <c r="I2824" s="6" t="n">
        <f aca="false">(Sens!C2822*IF(6&lt;life_it,1,IF(6=life_it,0.5,0))+Sens!D2822*IF(5&lt;life_it,1,IF(5=life_it,0.5,0))+Sens!E2822*IF(4&lt;life_it,1,IF(4=life_it,0.5,0))+Sens!F2822*IF(3&lt;life_it,1,IF(3=life_it,0.5,0))+Sens!G2822*IF(2&lt;life_it,1,IF(2=life_it,0.5,0))+Sens!H2822*IF(1&lt;life_it,1,IF(1=life_it,0.5,0))+Sens!I2822*0.5)/life_it</f>
        <v>85.4858593068751</v>
      </c>
      <c r="J2824" s="6" t="n">
        <f aca="false">(Sens!C2822*IF(7&lt;life_it,1,IF(7=life_it,0.5,0))+Sens!D2822*IF(6&lt;life_it,1,IF(6=life_it,0.5,0))+Sens!E2822*IF(5&lt;life_it,1,IF(5=life_it,0.5,0))+Sens!F2822*IF(4&lt;life_it,1,IF(4=life_it,0.5,0))+Sens!G2822*IF(3&lt;life_it,1,IF(3=life_it,0.5,0))+Sens!H2822*IF(2&lt;life_it,1,IF(2=life_it,0.5,0))+Sens!I2822*IF(1&lt;life_it,1,IF(1=life_it,0.5,0))+Sens!J2822*0.5)/life_it</f>
        <v>98.9260068314283</v>
      </c>
      <c r="K2824" s="6" t="n">
        <f aca="false">(Sens!C2822*IF(8&lt;life_it,1,IF(8=life_it,0.5,0))+Sens!D2822*IF(7&lt;life_it,1,IF(7=life_it,0.5,0))+Sens!E2822*IF(6&lt;life_it,1,IF(6=life_it,0.5,0))+Sens!F2822*IF(5&lt;life_it,1,IF(5=life_it,0.5,0))+Sens!G2822*IF(4&lt;life_it,1,IF(4=life_it,0.5,0))+Sens!H2822*IF(3&lt;life_it,1,IF(3=life_it,0.5,0))+Sens!I2822*IF(2&lt;life_it,1,IF(2=life_it,0.5,0))+Sens!J2822*IF(1&lt;life_it,1,IF(1=life_it,0.5,0))+Sens!K2822*0.5)/life_it</f>
        <v>107.315070801462</v>
      </c>
    </row>
    <row r="2825" customFormat="false" ht="17.15" hidden="false" customHeight="false" outlineLevel="0" collapsed="false">
      <c r="A2825" s="0" t="s">
        <v>1004</v>
      </c>
      <c r="B2825" s="0" t="s">
        <v>98</v>
      </c>
      <c r="E2825" s="6" t="n">
        <f aca="false">(Sens!C2819*IF(2&lt;life_fac,1,IF(2=life_fac,0.5,0))+Sens!D2819*IF(1&lt;life_fac,1,IF(1=life_fac,0.5,0))+Sens!E2819*0.5)/life_fac</f>
        <v>0.995862</v>
      </c>
      <c r="F2825" s="6" t="n">
        <f aca="false">(Sens!C2819*IF(3&lt;life_fac,1,IF(3=life_fac,0.5,0))+Sens!D2819*IF(2&lt;life_fac,1,IF(2=life_fac,0.5,0))+Sens!E2819*IF(1&lt;life_fac,1,IF(1=life_fac,0.5,0))+Sens!F2819*0.5)/life_fac</f>
        <v>2.00706359434</v>
      </c>
      <c r="G2825" s="6" t="n">
        <f aca="false">(Sens!C2819*IF(4&lt;life_fac,1,IF(4=life_fac,0.5,0))+Sens!D2819*IF(3&lt;life_fac,1,IF(3=life_fac,0.5,0))+Sens!E2819*IF(2&lt;life_fac,1,IF(2=life_fac,0.5,0))+Sens!F2819*IF(1&lt;life_fac,1,IF(1=life_fac,0.5,0))+Sens!G2819*0.5)/life_fac</f>
        <v>3.33667118302</v>
      </c>
      <c r="H2825" s="6" t="n">
        <f aca="false">(Sens!C2819*IF(5&lt;life_fac,1,IF(5=life_fac,0.5,0))+Sens!D2819*IF(4&lt;life_fac,1,IF(4=life_fac,0.5,0))+Sens!E2819*IF(3&lt;life_fac,1,IF(3=life_fac,0.5,0))+Sens!F2819*IF(2&lt;life_fac,1,IF(2=life_fac,0.5,0))+Sens!G2819*IF(1&lt;life_fac,1,IF(1=life_fac,0.5,0))+Sens!H2819*0.5)/life_fac</f>
        <v>4.7184791717</v>
      </c>
      <c r="I2825" s="6" t="n">
        <f aca="false">(Sens!C2819*IF(6&lt;life_fac,1,IF(6=life_fac,0.5,0))+Sens!D2819*IF(5&lt;life_fac,1,IF(5=life_fac,0.5,0))+Sens!E2819*IF(4&lt;life_fac,1,IF(4=life_fac,0.5,0))+Sens!F2819*IF(3&lt;life_fac,1,IF(3=life_fac,0.5,0))+Sens!G2819*IF(2&lt;life_fac,1,IF(2=life_fac,0.5,0))+Sens!H2819*IF(1&lt;life_fac,1,IF(1=life_fac,0.5,0))+Sens!I2819*0.5)/life_fac</f>
        <v>5.89894844876353</v>
      </c>
      <c r="J2825" s="6" t="n">
        <f aca="false">(Sens!C2819*IF(7&lt;life_fac,1,IF(7=life_fac,0.5,0))+Sens!D2819*IF(6&lt;life_fac,1,IF(6=life_fac,0.5,0))+Sens!E2819*IF(5&lt;life_fac,1,IF(5=life_fac,0.5,0))+Sens!F2819*IF(4&lt;life_fac,1,IF(4=life_fac,0.5,0))+Sens!G2819*IF(3&lt;life_fac,1,IF(3=life_fac,0.5,0))+Sens!H2819*IF(2&lt;life_fac,1,IF(2=life_fac,0.5,0))+Sens!I2819*IF(1&lt;life_fac,1,IF(1=life_fac,0.5,0))+Sens!J2819*0.5)/life_fac</f>
        <v>6.6865316082486</v>
      </c>
      <c r="K2825" s="6" t="n">
        <f aca="false">(Sens!C2819*IF(8&lt;life_fac,1,IF(8=life_fac,0.5,0))+Sens!D2819*IF(7&lt;life_fac,1,IF(7=life_fac,0.5,0))+Sens!E2819*IF(6&lt;life_fac,1,IF(6=life_fac,0.5,0))+Sens!F2819*IF(5&lt;life_fac,1,IF(5=life_fac,0.5,0))+Sens!G2819*IF(4&lt;life_fac,1,IF(4=life_fac,0.5,0))+Sens!H2819*IF(3&lt;life_fac,1,IF(3=life_fac,0.5,0))+Sens!I2819*IF(2&lt;life_fac,1,IF(2=life_fac,0.5,0))+Sens!J2819*IF(1&lt;life_fac,1,IF(1=life_fac,0.5,0))+Sens!K2819*0.5)/life_fac</f>
        <v>7.09506483928529</v>
      </c>
    </row>
    <row r="2826" customFormat="false" ht="17.15" hidden="false" customHeight="false" outlineLevel="0" collapsed="false">
      <c r="A2826" s="0" t="s">
        <v>1005</v>
      </c>
      <c r="B2826" s="0" t="s">
        <v>98</v>
      </c>
      <c r="E2826" s="6" t="n">
        <f aca="false">Sens!E2824+Sens!E2825</f>
        <v>13.0443247816667</v>
      </c>
      <c r="F2826" s="6" t="n">
        <f aca="false">Sens!F2824+Sens!F2825</f>
        <v>27.6634515826813</v>
      </c>
      <c r="G2826" s="6" t="n">
        <f aca="false">Sens!G2824+Sens!G2825</f>
        <v>48.5875925218392</v>
      </c>
      <c r="H2826" s="6" t="n">
        <f aca="false">Sens!H2824+Sens!H2825</f>
        <v>71.2800725291565</v>
      </c>
      <c r="I2826" s="6" t="n">
        <f aca="false">Sens!I2824+Sens!I2825</f>
        <v>91.3848077556387</v>
      </c>
      <c r="J2826" s="6" t="n">
        <f aca="false">Sens!J2824+Sens!J2825</f>
        <v>105.612538439677</v>
      </c>
      <c r="K2826" s="6" t="n">
        <f aca="false">Sens!K2824+Sens!K2825</f>
        <v>114.410135640747</v>
      </c>
    </row>
    <row r="2827" customFormat="false" ht="17.15" hidden="false" customHeight="false" outlineLevel="0" collapsed="false">
      <c r="A2827" s="0" t="s">
        <v>1006</v>
      </c>
      <c r="B2827" s="0" t="s">
        <v>98</v>
      </c>
      <c r="E2827" s="6" t="n">
        <f aca="false">Sens!E2814-Sens!E2813*Sens!E2826</f>
        <v>8.92707889977379</v>
      </c>
      <c r="F2827" s="6" t="n">
        <f aca="false">Sens!F2814-Sens!F2813*Sens!F2826</f>
        <v>18.7770356668733</v>
      </c>
      <c r="G2827" s="6" t="n">
        <f aca="false">Sens!G2814-Sens!G2813*Sens!G2826</f>
        <v>31.1163641458894</v>
      </c>
      <c r="H2827" s="6" t="n">
        <f aca="false">Sens!H2814-Sens!H2813*Sens!H2826</f>
        <v>43.7262635496428</v>
      </c>
      <c r="I2827" s="6" t="n">
        <f aca="false">Sens!I2814-Sens!I2813*Sens!I2826</f>
        <v>54.7541698336361</v>
      </c>
      <c r="J2827" s="6" t="n">
        <f aca="false">Sens!J2814-Sens!J2813*Sens!J2826</f>
        <v>62.3768819327658</v>
      </c>
      <c r="K2827" s="6" t="n">
        <f aca="false">Sens!K2814-Sens!K2813*Sens!K2826</f>
        <v>67.4820630434748</v>
      </c>
    </row>
    <row r="2828" customFormat="false" ht="17.15" hidden="false" customHeight="false" outlineLevel="0" collapsed="false">
      <c r="A2828" s="3" t="s">
        <v>1681</v>
      </c>
    </row>
    <row r="2829" customFormat="false" ht="15" hidden="false" customHeight="false" outlineLevel="0" collapsed="false">
      <c r="A2829" s="4" t="s">
        <v>43</v>
      </c>
      <c r="B2829" s="4" t="s">
        <v>65</v>
      </c>
      <c r="C2829" s="23" t="s">
        <v>942</v>
      </c>
      <c r="D2829" s="23" t="s">
        <v>943</v>
      </c>
      <c r="E2829" s="23" t="s">
        <v>944</v>
      </c>
      <c r="F2829" s="23" t="s">
        <v>945</v>
      </c>
      <c r="G2829" s="23" t="s">
        <v>946</v>
      </c>
      <c r="H2829" s="23" t="s">
        <v>947</v>
      </c>
      <c r="I2829" s="23" t="s">
        <v>948</v>
      </c>
      <c r="J2829" s="23" t="s">
        <v>949</v>
      </c>
      <c r="K2829" s="23" t="s">
        <v>950</v>
      </c>
      <c r="L2829" s="4" t="s">
        <v>47</v>
      </c>
    </row>
    <row r="2830" customFormat="false" ht="17.15" hidden="false" customHeight="false" outlineLevel="0" collapsed="false">
      <c r="A2830" s="0" t="s">
        <v>1025</v>
      </c>
      <c r="B2830" s="0" t="s">
        <v>98</v>
      </c>
      <c r="D2830" s="6" t="n">
        <f aca="false">Sens!D2808</f>
        <v>12.9359794422418</v>
      </c>
      <c r="E2830" s="6" t="n">
        <f aca="false">Sens!E2808</f>
        <v>27.8095064661409</v>
      </c>
      <c r="F2830" s="6" t="n">
        <f aca="false">Sens!F2808</f>
        <v>55.4118315060966</v>
      </c>
      <c r="G2830" s="6" t="n">
        <f aca="false">Sens!G2808</f>
        <v>91.2881100675143</v>
      </c>
      <c r="H2830" s="6" t="n">
        <f aca="false">Sens!H2808</f>
        <v>128.195273603944</v>
      </c>
      <c r="I2830" s="6" t="n">
        <f aca="false">Sens!I2808</f>
        <v>160.601281810405</v>
      </c>
      <c r="J2830" s="6" t="n">
        <f aca="false">Sens!J2808</f>
        <v>183.182719793589</v>
      </c>
      <c r="K2830" s="6" t="n">
        <f aca="false">Sens!K2808</f>
        <v>197.320124937098</v>
      </c>
    </row>
    <row r="2831" customFormat="false" ht="17.15" hidden="false" customHeight="false" outlineLevel="0" collapsed="false">
      <c r="A2831" s="0" t="s">
        <v>1026</v>
      </c>
      <c r="B2831" s="0" t="s">
        <v>98</v>
      </c>
      <c r="D2831" s="6" t="n">
        <f aca="false">Q!L6-Sens!D2830</f>
        <v>59.6740205577583</v>
      </c>
      <c r="E2831" s="6" t="n">
        <f aca="false">Q!M6-Sens!E2830</f>
        <v>74.1284935338591</v>
      </c>
      <c r="F2831" s="6" t="n">
        <f aca="false">Q!$I$6+(Sens!F2830+Sens!E2831*(1+Sens!F2832))*(1-Q!$E$6/Q!M6)-Sens!F2830</f>
        <v>91.2972164940844</v>
      </c>
      <c r="G2831" s="6" t="n">
        <f aca="false">Sens!F2831*(1+Sens!G2832)</f>
        <v>108.474719793879</v>
      </c>
      <c r="H2831" s="6" t="n">
        <f aca="false">Sens!G2831*(1+Sens!H2832)</f>
        <v>125.951292505701</v>
      </c>
      <c r="I2831" s="6" t="n">
        <f aca="false">Sens!H2831*(1+Sens!I2832)</f>
        <v>142.838165154212</v>
      </c>
      <c r="J2831" s="6" t="n">
        <f aca="false">Sens!I2831*(1+Sens!J2832)</f>
        <v>158.12717866615</v>
      </c>
      <c r="K2831" s="6" t="n">
        <f aca="false">Sens!J2831*(1+Sens!K2832)</f>
        <v>170.777352959442</v>
      </c>
      <c r="L2831" s="12" t="s">
        <v>1027</v>
      </c>
    </row>
    <row r="2832" customFormat="false" ht="15" hidden="false" customHeight="false" outlineLevel="0" collapsed="false">
      <c r="A2832" s="1" t="s">
        <v>1028</v>
      </c>
      <c r="B2832" s="0" t="s">
        <v>168</v>
      </c>
      <c r="E2832" s="7" t="n">
        <f aca="false">Sens!E2831/Sens!D2831-1</f>
        <v>0.242223883039864</v>
      </c>
      <c r="F2832" s="7" t="n">
        <f aca="false">Sens!$E$2832+(glt_azo-Sens!$E$2832)*MIN(1,(Sens!F2789-base_fy)/n_conv)</f>
        <v>0.215186569199887</v>
      </c>
      <c r="G2832" s="7" t="n">
        <f aca="false">Sens!$E$2832+(glt_azo-Sens!$E$2832)*MIN(1,(Sens!G2789-base_fy)/n_conv)</f>
        <v>0.18814925535991</v>
      </c>
      <c r="H2832" s="7" t="n">
        <f aca="false">Sens!$E$2832+(glt_azo-Sens!$E$2832)*MIN(1,(Sens!H2789-base_fy)/n_conv)</f>
        <v>0.161111941519932</v>
      </c>
      <c r="I2832" s="7" t="n">
        <f aca="false">Sens!$E$2832+(glt_azo-Sens!$E$2832)*MIN(1,(Sens!I2789-base_fy)/n_conv)</f>
        <v>0.134074627679955</v>
      </c>
      <c r="J2832" s="7" t="n">
        <f aca="false">Sens!$E$2832+(glt_azo-Sens!$E$2832)*MIN(1,(Sens!J2789-base_fy)/n_conv)</f>
        <v>0.107037313839977</v>
      </c>
      <c r="K2832" s="7" t="n">
        <f aca="false">Sens!$E$2832+(glt_azo-Sens!$E$2832)*MIN(1,(Sens!K2789-base_fy)/n_conv)</f>
        <v>0.08</v>
      </c>
    </row>
    <row r="2833" customFormat="false" ht="15" hidden="false" customHeight="false" outlineLevel="0" collapsed="false">
      <c r="A2833" s="0" t="s">
        <v>1029</v>
      </c>
      <c r="B2833" s="0" t="s">
        <v>98</v>
      </c>
      <c r="D2833" s="6" t="n">
        <f aca="false">Sens!D2830+Sens!D2831</f>
        <v>72.61</v>
      </c>
      <c r="E2833" s="6" t="n">
        <f aca="false">Sens!E2830+Sens!E2831</f>
        <v>101.938</v>
      </c>
      <c r="F2833" s="6" t="n">
        <f aca="false">Sens!F2830+Sens!F2831</f>
        <v>146.709048000181</v>
      </c>
      <c r="G2833" s="6" t="n">
        <f aca="false">Sens!G2830+Sens!G2831</f>
        <v>199.762829861393</v>
      </c>
      <c r="H2833" s="6" t="n">
        <f aca="false">Sens!H2830+Sens!H2831</f>
        <v>254.146566109645</v>
      </c>
      <c r="I2833" s="6" t="n">
        <f aca="false">Sens!I2830+Sens!I2831</f>
        <v>303.439446964617</v>
      </c>
      <c r="J2833" s="6" t="n">
        <f aca="false">Sens!J2830+Sens!J2831</f>
        <v>341.309898459739</v>
      </c>
      <c r="K2833" s="6" t="n">
        <f aca="false">Sens!K2830+Sens!K2831</f>
        <v>368.09747789654</v>
      </c>
    </row>
    <row r="2834" customFormat="false" ht="17.15" hidden="false" customHeight="false" outlineLevel="0" collapsed="false">
      <c r="A2834" s="0" t="s">
        <v>1030</v>
      </c>
      <c r="B2834" s="1" t="s">
        <v>613</v>
      </c>
      <c r="C2834" s="30" t="n">
        <f aca="false">cop_s24</f>
        <v>1</v>
      </c>
      <c r="D2834" s="30" t="n">
        <f aca="false">cop_s25</f>
        <v>5</v>
      </c>
      <c r="E2834" s="30" t="n">
        <f aca="false">cop_s26</f>
        <v>30</v>
      </c>
      <c r="F2834" s="30" t="n">
        <f aca="false">Sens!E2834+cop_add_B</f>
        <v>50</v>
      </c>
      <c r="G2834" s="30" t="n">
        <f aca="false">Sens!F2834+cop_add_B</f>
        <v>70</v>
      </c>
      <c r="H2834" s="30" t="n">
        <f aca="false">Sens!G2834+cop_add_B</f>
        <v>90</v>
      </c>
      <c r="I2834" s="30" t="n">
        <f aca="false">Sens!H2834+cop_add_B*cop_tail</f>
        <v>100</v>
      </c>
      <c r="J2834" s="30" t="n">
        <f aca="false">Sens!I2834+cop_add_B*cop_tail</f>
        <v>110</v>
      </c>
      <c r="K2834" s="30" t="n">
        <f aca="false">Sens!J2834+cop_add_B*cop_tail</f>
        <v>120</v>
      </c>
      <c r="L2834" s="12" t="s">
        <v>1031</v>
      </c>
    </row>
    <row r="2835" customFormat="false" ht="17.15" hidden="false" customHeight="false" outlineLevel="0" collapsed="false">
      <c r="A2835" s="0" t="s">
        <v>1032</v>
      </c>
      <c r="B2835" s="0" t="s">
        <v>98</v>
      </c>
      <c r="D2835" s="6" t="n">
        <f aca="false">(Sens!C2834+Sens!D2834)/2*cop_px*12/1000</f>
        <v>0.9</v>
      </c>
      <c r="E2835" s="6" t="n">
        <f aca="false">(Sens!D2834+Sens!E2834)/2*cop_px*12/1000</f>
        <v>5.25</v>
      </c>
      <c r="F2835" s="6" t="n">
        <f aca="false">(Sens!E2834+Sens!F2834)/2*cop_px*12/1000</f>
        <v>12</v>
      </c>
      <c r="G2835" s="6" t="n">
        <f aca="false">(Sens!F2834+Sens!G2834)/2*cop_px*12/1000</f>
        <v>18</v>
      </c>
      <c r="H2835" s="6" t="n">
        <f aca="false">(Sens!G2834+Sens!H2834)/2*cop_px*12/1000</f>
        <v>24</v>
      </c>
      <c r="I2835" s="6" t="n">
        <f aca="false">(Sens!H2834+Sens!I2834)/2*cop_px*12/1000</f>
        <v>28.5</v>
      </c>
      <c r="J2835" s="6" t="n">
        <f aca="false">(Sens!I2834+Sens!J2834)/2*cop_px*12/1000</f>
        <v>31.5</v>
      </c>
      <c r="K2835" s="6" t="n">
        <f aca="false">(Sens!J2834+Sens!K2834)/2*cop_px*12/1000</f>
        <v>34.5</v>
      </c>
      <c r="L2835" s="1" t="s">
        <v>1033</v>
      </c>
    </row>
    <row r="2836" customFormat="false" ht="17.15" hidden="false" customHeight="false" outlineLevel="0" collapsed="false">
      <c r="A2836" s="0" t="s">
        <v>1034</v>
      </c>
      <c r="B2836" s="0" t="s">
        <v>98</v>
      </c>
      <c r="D2836" s="6" t="n">
        <f aca="false">Q!L7-Sens!D2835</f>
        <v>83.705</v>
      </c>
      <c r="E2836" s="6" t="n">
        <f aca="false">Q!M7-Sens!E2835</f>
        <v>95.049</v>
      </c>
      <c r="F2836" s="6" t="n">
        <f aca="false">Q!$I$7+(Sens!E2836*(1+Sens!F2837)+Sens!F2835)*(1-Q!$E$7/Q!M7)-Sens!F2835</f>
        <v>106.584003697747</v>
      </c>
      <c r="G2836" s="6" t="n">
        <f aca="false">Sens!F2836*(1+Sens!G2837)</f>
        <v>118.700726545688</v>
      </c>
      <c r="H2836" s="6" t="n">
        <f aca="false">Sens!G2836*(1+Sens!H2837)</f>
        <v>130.898624783666</v>
      </c>
      <c r="I2836" s="6" t="n">
        <f aca="false">Sens!H2836*(1+Sens!I2837)</f>
        <v>142.920510030657</v>
      </c>
      <c r="J2836" s="6" t="n">
        <f aca="false">Sens!I2836*(1+Sens!J2837)</f>
        <v>154.485722618572</v>
      </c>
      <c r="K2836" s="6" t="n">
        <f aca="false">Sens!J2836*(1+Sens!K2837)</f>
        <v>165.299723201872</v>
      </c>
      <c r="L2836" s="12" t="s">
        <v>1035</v>
      </c>
    </row>
    <row r="2837" customFormat="false" ht="15" hidden="false" customHeight="false" outlineLevel="0" collapsed="false">
      <c r="A2837" s="1" t="s">
        <v>1028</v>
      </c>
      <c r="B2837" s="0" t="s">
        <v>168</v>
      </c>
      <c r="E2837" s="7" t="n">
        <f aca="false">Sens!E2836/Sens!D2836-1</f>
        <v>0.135523564900544</v>
      </c>
      <c r="F2837" s="7" t="n">
        <f aca="false">Sens!$E$2837+(glt_m365b-Sens!$E$2837)*MIN(1,(Sens!F2789-base_fy)/n_conv)</f>
        <v>0.124602970750453</v>
      </c>
      <c r="G2837" s="7" t="n">
        <f aca="false">Sens!$E$2837+(glt_m365b-Sens!$E$2837)*MIN(1,(Sens!G2789-base_fy)/n_conv)</f>
        <v>0.113682376600363</v>
      </c>
      <c r="H2837" s="7" t="n">
        <f aca="false">Sens!$E$2837+(glt_m365b-Sens!$E$2837)*MIN(1,(Sens!H2789-base_fy)/n_conv)</f>
        <v>0.102761782450272</v>
      </c>
      <c r="I2837" s="7" t="n">
        <f aca="false">Sens!$E$2837+(glt_m365b-Sens!$E$2837)*MIN(1,(Sens!I2789-base_fy)/n_conv)</f>
        <v>0.0918411883001813</v>
      </c>
      <c r="J2837" s="7" t="n">
        <f aca="false">Sens!$E$2837+(glt_m365b-Sens!$E$2837)*MIN(1,(Sens!J2789-base_fy)/n_conv)</f>
        <v>0.0809205941500906</v>
      </c>
      <c r="K2837" s="7" t="n">
        <f aca="false">Sens!$E$2837+(glt_m365b-Sens!$E$2837)*MIN(1,(Sens!K2789-base_fy)/n_conv)</f>
        <v>0.07</v>
      </c>
    </row>
    <row r="2838" customFormat="false" ht="15" hidden="false" customHeight="false" outlineLevel="0" collapsed="false">
      <c r="A2838" s="0" t="s">
        <v>1036</v>
      </c>
      <c r="B2838" s="0" t="s">
        <v>98</v>
      </c>
      <c r="D2838" s="6" t="n">
        <f aca="false">Sens!D2836+Sens!D2835</f>
        <v>84.605</v>
      </c>
      <c r="E2838" s="6" t="n">
        <f aca="false">Sens!E2836+Sens!E2835</f>
        <v>100.299</v>
      </c>
      <c r="F2838" s="6" t="n">
        <f aca="false">Sens!F2836+Sens!F2835</f>
        <v>118.584003697747</v>
      </c>
      <c r="G2838" s="6" t="n">
        <f aca="false">Sens!G2836+Sens!G2835</f>
        <v>136.700726545688</v>
      </c>
      <c r="H2838" s="6" t="n">
        <f aca="false">Sens!H2836+Sens!H2835</f>
        <v>154.898624783666</v>
      </c>
      <c r="I2838" s="6" t="n">
        <f aca="false">Sens!I2836+Sens!I2835</f>
        <v>171.420510030657</v>
      </c>
      <c r="J2838" s="6" t="n">
        <f aca="false">Sens!J2836+Sens!J2835</f>
        <v>185.985722618572</v>
      </c>
      <c r="K2838" s="6" t="n">
        <f aca="false">Sens!K2836+Sens!K2835</f>
        <v>199.799723201872</v>
      </c>
    </row>
    <row r="2839" customFormat="false" ht="17.15" hidden="false" customHeight="false" outlineLevel="0" collapsed="false">
      <c r="A2839" s="0" t="s">
        <v>1037</v>
      </c>
      <c r="B2839" s="0" t="s">
        <v>98</v>
      </c>
      <c r="D2839" s="6" t="n">
        <f aca="false">Q!L8</f>
        <v>35.391</v>
      </c>
      <c r="E2839" s="6" t="n">
        <f aca="false">Q!M8</f>
        <v>37.285</v>
      </c>
      <c r="F2839" s="6" t="n">
        <f aca="false">Q!$I$8+(Q!M8-Q!$E$8)*(1+Sens!F2840)</f>
        <v>38.3851437782675</v>
      </c>
      <c r="G2839" s="6" t="n">
        <f aca="false">Sens!F2839*(1+Sens!G2840)</f>
        <v>40.0105353288615</v>
      </c>
      <c r="H2839" s="6" t="n">
        <f aca="false">Sens!G2839*(1+Sens!H2840)</f>
        <v>41.4812512033683</v>
      </c>
      <c r="I2839" s="6" t="n">
        <f aca="false">Sens!H2839*(1+Sens!I2840)</f>
        <v>42.7743107216329</v>
      </c>
      <c r="J2839" s="6" t="n">
        <f aca="false">Sens!I2839*(1+Sens!J2840)</f>
        <v>43.8687373064601</v>
      </c>
      <c r="K2839" s="6" t="n">
        <f aca="false">Sens!J2839*(1+Sens!K2840)</f>
        <v>44.7461120525893</v>
      </c>
      <c r="L2839" s="12" t="s">
        <v>1038</v>
      </c>
    </row>
    <row r="2840" customFormat="false" ht="15" hidden="false" customHeight="false" outlineLevel="0" collapsed="false">
      <c r="A2840" s="1" t="s">
        <v>1028</v>
      </c>
      <c r="B2840" s="0" t="s">
        <v>168</v>
      </c>
      <c r="E2840" s="7" t="n">
        <f aca="false">Sens!E2839/Sens!D2839-1</f>
        <v>0.0535164307309768</v>
      </c>
      <c r="F2840" s="7" t="n">
        <f aca="false">Sens!$E$2840+(glt_lic-Sens!$E$2840)*MIN(1,(Sens!F2789-base_fy)/n_conv)</f>
        <v>0.0479303589424807</v>
      </c>
      <c r="G2840" s="7" t="n">
        <f aca="false">Sens!$E$2840+(glt_lic-Sens!$E$2840)*MIN(1,(Sens!G2789-base_fy)/n_conv)</f>
        <v>0.0423442871539845</v>
      </c>
      <c r="H2840" s="7" t="n">
        <f aca="false">Sens!$E$2840+(glt_lic-Sens!$E$2840)*MIN(1,(Sens!H2789-base_fy)/n_conv)</f>
        <v>0.0367582153654884</v>
      </c>
      <c r="I2840" s="7" t="n">
        <f aca="false">Sens!$E$2840+(glt_lic-Sens!$E$2840)*MIN(1,(Sens!I2789-base_fy)/n_conv)</f>
        <v>0.0311721435769923</v>
      </c>
      <c r="J2840" s="7" t="n">
        <f aca="false">Sens!$E$2840+(glt_lic-Sens!$E$2840)*MIN(1,(Sens!J2789-base_fy)/n_conv)</f>
        <v>0.0255860717884961</v>
      </c>
      <c r="K2840" s="7" t="n">
        <f aca="false">Sens!$E$2840+(glt_lic-Sens!$E$2840)*MIN(1,(Sens!K2789-base_fy)/n_conv)</f>
        <v>0.02</v>
      </c>
    </row>
    <row r="2841" customFormat="false" ht="17.15" hidden="false" customHeight="false" outlineLevel="0" collapsed="false">
      <c r="A2841" s="0" t="s">
        <v>1039</v>
      </c>
      <c r="B2841" s="0" t="s">
        <v>98</v>
      </c>
      <c r="D2841" s="6" t="n">
        <f aca="false">Q!L9</f>
        <v>18.417</v>
      </c>
      <c r="E2841" s="6" t="n">
        <f aca="false">Q!M9</f>
        <v>20.345</v>
      </c>
      <c r="F2841" s="6" t="n">
        <f aca="false">Q!$I$9+(Q!M9-Q!$E$9)*(1+Sens!F2842)</f>
        <v>22.3161797133988</v>
      </c>
      <c r="G2841" s="6" t="n">
        <f aca="false">Sens!F2841*(1+Sens!G2842)</f>
        <v>24.3943499673233</v>
      </c>
      <c r="H2841" s="6" t="n">
        <f aca="false">Sens!G2841*(1+Sens!H2842)</f>
        <v>26.5250243109019</v>
      </c>
      <c r="I2841" s="6" t="n">
        <f aca="false">Sens!H2841*(1+Sens!I2842)</f>
        <v>28.6884573538181</v>
      </c>
      <c r="J2841" s="6" t="n">
        <f aca="false">Sens!I2841*(1+Sens!J2842)</f>
        <v>30.8624968052127</v>
      </c>
      <c r="K2841" s="6" t="n">
        <f aca="false">Sens!J2841*(1+Sens!K2842)</f>
        <v>33.0228715815776</v>
      </c>
      <c r="L2841" s="12" t="s">
        <v>1038</v>
      </c>
    </row>
    <row r="2842" customFormat="false" ht="15" hidden="false" customHeight="false" outlineLevel="0" collapsed="false">
      <c r="A2842" s="1" t="s">
        <v>1028</v>
      </c>
      <c r="B2842" s="0" t="s">
        <v>168</v>
      </c>
      <c r="E2842" s="7" t="n">
        <f aca="false">Sens!E2841/Sens!D2841-1</f>
        <v>0.104685888038225</v>
      </c>
      <c r="F2842" s="7" t="n">
        <f aca="false">Sens!$E$2842+(glt_ind-Sens!$E$2842)*MIN(1,(Sens!F2789-base_fy)/n_conv)</f>
        <v>0.0989049066985211</v>
      </c>
      <c r="G2842" s="7" t="n">
        <f aca="false">Sens!$E$2842+(glt_ind-Sens!$E$2842)*MIN(1,(Sens!G2789-base_fy)/n_conv)</f>
        <v>0.0931239253588169</v>
      </c>
      <c r="H2842" s="7" t="n">
        <f aca="false">Sens!$E$2842+(glt_ind-Sens!$E$2842)*MIN(1,(Sens!H2789-base_fy)/n_conv)</f>
        <v>0.0873429440191127</v>
      </c>
      <c r="I2842" s="7" t="n">
        <f aca="false">Sens!$E$2842+(glt_ind-Sens!$E$2842)*MIN(1,(Sens!I2789-base_fy)/n_conv)</f>
        <v>0.0815619626794085</v>
      </c>
      <c r="J2842" s="7" t="n">
        <f aca="false">Sens!$E$2842+(glt_ind-Sens!$E$2842)*MIN(1,(Sens!J2789-base_fy)/n_conv)</f>
        <v>0.0757809813397042</v>
      </c>
      <c r="K2842" s="7" t="n">
        <f aca="false">Sens!$E$2842+(glt_ind-Sens!$E$2842)*MIN(1,(Sens!K2789-base_fy)/n_conv)</f>
        <v>0.07</v>
      </c>
    </row>
    <row r="2843" customFormat="false" ht="17.15" hidden="false" customHeight="false" outlineLevel="0" collapsed="false">
      <c r="A2843" s="0" t="s">
        <v>1040</v>
      </c>
      <c r="B2843" s="0" t="s">
        <v>98</v>
      </c>
      <c r="D2843" s="6" t="n">
        <f aca="false">Q!L10</f>
        <v>7.76</v>
      </c>
      <c r="E2843" s="6" t="n">
        <f aca="false">Q!M10</f>
        <v>8.26</v>
      </c>
      <c r="F2843" s="6" t="n">
        <f aca="false">Q!$I$10+(Q!M10-Q!$E$10)*(1+Sens!F2844)</f>
        <v>8.75372082474227</v>
      </c>
      <c r="G2843" s="6" t="n">
        <f aca="false">Sens!F2843*(1+Sens!G2844)</f>
        <v>9.33399324642364</v>
      </c>
      <c r="H2843" s="6" t="n">
        <f aca="false">Sens!G2843*(1+Sens!H2844)</f>
        <v>9.96139155535851</v>
      </c>
      <c r="I2843" s="6" t="n">
        <f aca="false">Sens!H2843*(1+Sens!I2844)</f>
        <v>10.6402039077391</v>
      </c>
      <c r="J2843" s="6" t="n">
        <f aca="false">Sens!I2843*(1+Sens!J2844)</f>
        <v>11.3751458271397</v>
      </c>
      <c r="K2843" s="6" t="n">
        <f aca="false">Sens!J2843*(1+Sens!K2844)</f>
        <v>12.1714060350394</v>
      </c>
      <c r="L2843" s="12" t="s">
        <v>1038</v>
      </c>
    </row>
    <row r="2844" customFormat="false" ht="15" hidden="false" customHeight="false" outlineLevel="0" collapsed="false">
      <c r="A2844" s="1" t="s">
        <v>1028</v>
      </c>
      <c r="B2844" s="0" t="s">
        <v>168</v>
      </c>
      <c r="E2844" s="7" t="n">
        <f aca="false">Sens!E2843/Sens!D2843-1</f>
        <v>0.0644329896907216</v>
      </c>
      <c r="F2844" s="7" t="n">
        <f aca="false">Sens!$E$2844+(glt_fro-Sens!$E$2844)*MIN(1,(Sens!F2789-base_fy)/n_conv)</f>
        <v>0.065360824742268</v>
      </c>
      <c r="G2844" s="7" t="n">
        <f aca="false">Sens!$E$2844+(glt_fro-Sens!$E$2844)*MIN(1,(Sens!G2789-base_fy)/n_conv)</f>
        <v>0.0662886597938144</v>
      </c>
      <c r="H2844" s="7" t="n">
        <f aca="false">Sens!$E$2844+(glt_fro-Sens!$E$2844)*MIN(1,(Sens!H2789-base_fy)/n_conv)</f>
        <v>0.0672164948453608</v>
      </c>
      <c r="I2844" s="7" t="n">
        <f aca="false">Sens!$E$2844+(glt_fro-Sens!$E$2844)*MIN(1,(Sens!I2789-base_fy)/n_conv)</f>
        <v>0.0681443298969072</v>
      </c>
      <c r="J2844" s="7" t="n">
        <f aca="false">Sens!$E$2844+(glt_fro-Sens!$E$2844)*MIN(1,(Sens!J2789-base_fy)/n_conv)</f>
        <v>0.0690721649484536</v>
      </c>
      <c r="K2844" s="7" t="n">
        <f aca="false">Sens!$E$2844+(glt_fro-Sens!$E$2844)*MIN(1,(Sens!K2789-base_fy)/n_conv)</f>
        <v>0.07</v>
      </c>
    </row>
    <row r="2845" customFormat="false" ht="15" hidden="false" customHeight="false" outlineLevel="0" collapsed="false">
      <c r="A2845" s="0" t="s">
        <v>856</v>
      </c>
      <c r="B2845" s="0" t="s">
        <v>98</v>
      </c>
      <c r="D2845" s="6" t="n">
        <f aca="false">Sens!D2833+Sens!D2838+Sens!D2839+Sens!D2841+Sens!D2843</f>
        <v>218.783</v>
      </c>
      <c r="E2845" s="6" t="n">
        <f aca="false">Sens!E2833+Sens!E2838+Sens!E2839+Sens!E2841+Sens!E2843</f>
        <v>268.127</v>
      </c>
      <c r="F2845" s="6" t="n">
        <f aca="false">Sens!F2833+Sens!F2838+Sens!F2839+Sens!F2841+Sens!F2843</f>
        <v>334.748096014336</v>
      </c>
      <c r="G2845" s="6" t="n">
        <f aca="false">Sens!G2833+Sens!G2838+Sens!G2839+Sens!G2841+Sens!G2843</f>
        <v>410.20243494969</v>
      </c>
      <c r="H2845" s="6" t="n">
        <f aca="false">Sens!H2833+Sens!H2838+Sens!H2839+Sens!H2841+Sens!H2843</f>
        <v>487.012857962939</v>
      </c>
      <c r="I2845" s="6" t="n">
        <f aca="false">Sens!I2833+Sens!I2838+Sens!I2839+Sens!I2841+Sens!I2843</f>
        <v>556.962928978464</v>
      </c>
      <c r="J2845" s="6" t="n">
        <f aca="false">Sens!J2833+Sens!J2838+Sens!J2839+Sens!J2841+Sens!J2843</f>
        <v>613.402001017124</v>
      </c>
      <c r="K2845" s="6" t="n">
        <f aca="false">Sens!K2833+Sens!K2838+Sens!K2839+Sens!K2841+Sens!K2843</f>
        <v>657.837590767618</v>
      </c>
    </row>
    <row r="2846" customFormat="false" ht="17.15" hidden="false" customHeight="false" outlineLevel="0" collapsed="false">
      <c r="A2846" s="0" t="s">
        <v>1041</v>
      </c>
      <c r="B2846" s="0" t="s">
        <v>98</v>
      </c>
      <c r="D2846" s="6" t="n">
        <f aca="false">Q!L13</f>
        <v>22.171</v>
      </c>
      <c r="E2846" s="6" t="n">
        <f aca="false">Q!M13</f>
        <v>24.835</v>
      </c>
      <c r="F2846" s="6" t="n">
        <f aca="false">Q!$I$13+(Q!M13-Q!$E$13)*(1+Sens!F2847)</f>
        <v>27.5591895660247</v>
      </c>
      <c r="G2846" s="6" t="n">
        <f aca="false">Sens!F2846*(1+Sens!G2847)</f>
        <v>30.4098563144583</v>
      </c>
      <c r="H2846" s="6" t="n">
        <f aca="false">Sens!G2846*(1+Sens!H2847)</f>
        <v>33.3011792571777</v>
      </c>
      <c r="I2846" s="6" t="n">
        <f aca="false">Sens!H2846*(1+Sens!I2847)</f>
        <v>36.189023797112</v>
      </c>
      <c r="J2846" s="6" t="n">
        <f aca="false">Sens!I2846*(1+Sens!J2847)</f>
        <v>39.0247773769199</v>
      </c>
      <c r="K2846" s="6" t="n">
        <f aca="false">Sens!J2846*(1+Sens!K2847)</f>
        <v>41.7565117933043</v>
      </c>
      <c r="L2846" s="12" t="s">
        <v>1038</v>
      </c>
    </row>
    <row r="2847" customFormat="false" ht="15" hidden="false" customHeight="false" outlineLevel="0" collapsed="false">
      <c r="A2847" s="1" t="s">
        <v>1028</v>
      </c>
      <c r="B2847" s="0" t="s">
        <v>168</v>
      </c>
      <c r="E2847" s="7" t="n">
        <f aca="false">Sens!E2846/Sens!D2846-1</f>
        <v>0.120156961796942</v>
      </c>
      <c r="F2847" s="7" t="n">
        <f aca="false">Sens!$E$2847+(glt_srch-Sens!$E$2847)*MIN(1,(Sens!F2789-base_fy)/n_conv)</f>
        <v>0.111797468164118</v>
      </c>
      <c r="G2847" s="7" t="n">
        <f aca="false">Sens!$E$2847+(glt_srch-Sens!$E$2847)*MIN(1,(Sens!G2789-base_fy)/n_conv)</f>
        <v>0.103437974531295</v>
      </c>
      <c r="H2847" s="7" t="n">
        <f aca="false">Sens!$E$2847+(glt_srch-Sens!$E$2847)*MIN(1,(Sens!H2789-base_fy)/n_conv)</f>
        <v>0.095078480898471</v>
      </c>
      <c r="I2847" s="7" t="n">
        <f aca="false">Sens!$E$2847+(glt_srch-Sens!$E$2847)*MIN(1,(Sens!I2789-base_fy)/n_conv)</f>
        <v>0.0867189872656474</v>
      </c>
      <c r="J2847" s="7" t="n">
        <f aca="false">Sens!$E$2847+(glt_srch-Sens!$E$2847)*MIN(1,(Sens!J2789-base_fy)/n_conv)</f>
        <v>0.0783594936328237</v>
      </c>
      <c r="K2847" s="7" t="n">
        <f aca="false">Sens!$E$2847+(glt_srch-Sens!$E$2847)*MIN(1,(Sens!K2789-base_fy)/n_conv)</f>
        <v>0.07</v>
      </c>
    </row>
    <row r="2848" customFormat="false" ht="17.15" hidden="false" customHeight="false" outlineLevel="0" collapsed="false">
      <c r="A2848" s="0" t="s">
        <v>1042</v>
      </c>
      <c r="B2848" s="0" t="s">
        <v>98</v>
      </c>
      <c r="D2848" s="6" t="n">
        <f aca="false">Q!L14</f>
        <v>23.455</v>
      </c>
      <c r="E2848" s="6" t="n">
        <f aca="false">Q!M14</f>
        <v>21.79</v>
      </c>
      <c r="F2848" s="6" t="n">
        <f aca="false">Q!$I$14+(Q!M14-Q!$E$14)*(1+Sens!F2849)</f>
        <v>20.7520981041711</v>
      </c>
      <c r="G2848" s="6" t="n">
        <f aca="false">Sens!F2848*(1+Sens!G2849)</f>
        <v>19.9083593495882</v>
      </c>
      <c r="H2848" s="6" t="n">
        <f aca="false">Sens!G2848*(1+Sens!H2849)</f>
        <v>19.4008256265831</v>
      </c>
      <c r="I2848" s="6" t="n">
        <f aca="false">Sens!H2848*(1+Sens!I2849)</f>
        <v>19.200434522122</v>
      </c>
      <c r="J2848" s="6" t="n">
        <f aca="false">Sens!I2848*(1+Sens!J2849)</f>
        <v>19.2932782348507</v>
      </c>
      <c r="K2848" s="6" t="n">
        <f aca="false">Sens!J2848*(1+Sens!K2849)</f>
        <v>19.6791437995477</v>
      </c>
      <c r="L2848" s="12" t="s">
        <v>1038</v>
      </c>
    </row>
    <row r="2849" customFormat="false" ht="15" hidden="false" customHeight="false" outlineLevel="0" collapsed="false">
      <c r="A2849" s="1" t="s">
        <v>1028</v>
      </c>
      <c r="B2849" s="0" t="s">
        <v>168</v>
      </c>
      <c r="E2849" s="7" t="n">
        <f aca="false">Sens!E2848/Sens!D2848-1</f>
        <v>-0.0709869963760392</v>
      </c>
      <c r="F2849" s="7" t="n">
        <f aca="false">Sens!$E$2849+(glt_xbox-Sens!$E$2849)*MIN(1,(Sens!F2789-base_fy)/n_conv)</f>
        <v>-0.0558224969800327</v>
      </c>
      <c r="G2849" s="7" t="n">
        <f aca="false">Sens!$E$2849+(glt_xbox-Sens!$E$2849)*MIN(1,(Sens!G2789-base_fy)/n_conv)</f>
        <v>-0.0406579975840262</v>
      </c>
      <c r="H2849" s="7" t="n">
        <f aca="false">Sens!$E$2849+(glt_xbox-Sens!$E$2849)*MIN(1,(Sens!H2789-base_fy)/n_conv)</f>
        <v>-0.0254934981880196</v>
      </c>
      <c r="I2849" s="7" t="n">
        <f aca="false">Sens!$E$2849+(glt_xbox-Sens!$E$2849)*MIN(1,(Sens!I2789-base_fy)/n_conv)</f>
        <v>-0.0103289987920131</v>
      </c>
      <c r="J2849" s="7" t="n">
        <f aca="false">Sens!$E$2849+(glt_xbox-Sens!$E$2849)*MIN(1,(Sens!J2789-base_fy)/n_conv)</f>
        <v>0.00483550060399347</v>
      </c>
      <c r="K2849" s="7" t="n">
        <f aca="false">Sens!$E$2849+(glt_xbox-Sens!$E$2849)*MIN(1,(Sens!K2789-base_fy)/n_conv)</f>
        <v>0.02</v>
      </c>
    </row>
    <row r="2850" customFormat="false" ht="17.15" hidden="false" customHeight="false" outlineLevel="0" collapsed="false">
      <c r="A2850" s="0" t="s">
        <v>1043</v>
      </c>
      <c r="B2850" s="0" t="s">
        <v>98</v>
      </c>
      <c r="D2850" s="6" t="n">
        <f aca="false">Q!L15</f>
        <v>17.315</v>
      </c>
      <c r="E2850" s="6" t="n">
        <f aca="false">Q!M15</f>
        <v>17.087</v>
      </c>
      <c r="F2850" s="6" t="n">
        <f aca="false">Q!$I$15+(Q!M15-Q!$E$15)*(1+Sens!F2851)</f>
        <v>15.9912273250553</v>
      </c>
      <c r="G2850" s="6" t="n">
        <f aca="false">Sens!F2850*(1+Sens!G2851)</f>
        <v>15.9574562664827</v>
      </c>
      <c r="H2850" s="6" t="n">
        <f aca="false">Sens!G2850*(1+Sens!H2851)</f>
        <v>16.0119687434196</v>
      </c>
      <c r="I2850" s="6" t="n">
        <f aca="false">Sens!H2850*(1+Sens!I2851)</f>
        <v>16.1551810001948</v>
      </c>
      <c r="J2850" s="6" t="n">
        <f aca="false">Sens!I2850*(1+Sens!J2851)</f>
        <v>16.3889793892005</v>
      </c>
      <c r="K2850" s="6" t="n">
        <f aca="false">Sens!J2850*(1+Sens!K2851)</f>
        <v>16.7167589769845</v>
      </c>
      <c r="L2850" s="12" t="s">
        <v>1038</v>
      </c>
    </row>
    <row r="2851" customFormat="false" ht="15" hidden="false" customHeight="false" outlineLevel="0" collapsed="false">
      <c r="A2851" s="1" t="s">
        <v>1028</v>
      </c>
      <c r="B2851" s="0" t="s">
        <v>168</v>
      </c>
      <c r="E2851" s="7" t="n">
        <f aca="false">Sens!E2850/Sens!D2850-1</f>
        <v>-0.0131677736066995</v>
      </c>
      <c r="F2851" s="7" t="n">
        <f aca="false">Sens!$E$2851+(glt_win-Sens!$E$2851)*MIN(1,(Sens!F2789-base_fy)/n_conv)</f>
        <v>-0.00763981133891627</v>
      </c>
      <c r="G2851" s="7" t="n">
        <f aca="false">Sens!$E$2851+(glt_win-Sens!$E$2851)*MIN(1,(Sens!G2789-base_fy)/n_conv)</f>
        <v>-0.00211184907113301</v>
      </c>
      <c r="H2851" s="7" t="n">
        <f aca="false">Sens!$E$2851+(glt_win-Sens!$E$2851)*MIN(1,(Sens!H2789-base_fy)/n_conv)</f>
        <v>0.00341611319665024</v>
      </c>
      <c r="I2851" s="7" t="n">
        <f aca="false">Sens!$E$2851+(glt_win-Sens!$E$2851)*MIN(1,(Sens!I2789-base_fy)/n_conv)</f>
        <v>0.00894407546443349</v>
      </c>
      <c r="J2851" s="7" t="n">
        <f aca="false">Sens!$E$2851+(glt_win-Sens!$E$2851)*MIN(1,(Sens!J2789-base_fy)/n_conv)</f>
        <v>0.0144720377322168</v>
      </c>
      <c r="K2851" s="7" t="n">
        <f aca="false">Sens!$E$2851+(glt_win-Sens!$E$2851)*MIN(1,(Sens!K2789-base_fy)/n_conv)</f>
        <v>0.02</v>
      </c>
    </row>
    <row r="2852" customFormat="false" ht="15" hidden="false" customHeight="false" outlineLevel="0" collapsed="false">
      <c r="A2852" s="0" t="s">
        <v>870</v>
      </c>
      <c r="B2852" s="0" t="s">
        <v>98</v>
      </c>
      <c r="D2852" s="6" t="n">
        <f aca="false">Sens!D2846+Sens!D2848+Sens!D2850</f>
        <v>62.941</v>
      </c>
      <c r="E2852" s="6" t="n">
        <f aca="false">Sens!E2846+Sens!E2848+Sens!E2850</f>
        <v>63.712</v>
      </c>
      <c r="F2852" s="6" t="n">
        <f aca="false">Sens!F2846+Sens!F2848+Sens!F2850</f>
        <v>64.3025149952511</v>
      </c>
      <c r="G2852" s="6" t="n">
        <f aca="false">Sens!G2846+Sens!G2848+Sens!G2850</f>
        <v>66.2756719305292</v>
      </c>
      <c r="H2852" s="6" t="n">
        <f aca="false">Sens!H2846+Sens!H2848+Sens!H2850</f>
        <v>68.7139736271804</v>
      </c>
      <c r="I2852" s="6" t="n">
        <f aca="false">Sens!I2846+Sens!I2848+Sens!I2850</f>
        <v>71.5446393194289</v>
      </c>
      <c r="J2852" s="6" t="n">
        <f aca="false">Sens!J2846+Sens!J2848+Sens!J2850</f>
        <v>74.707035000971</v>
      </c>
      <c r="K2852" s="6" t="n">
        <f aca="false">Sens!K2846+Sens!K2848+Sens!K2850</f>
        <v>78.1524145698365</v>
      </c>
    </row>
    <row r="2853" customFormat="false" ht="15" hidden="false" customHeight="false" outlineLevel="0" collapsed="false">
      <c r="A2853" s="1" t="s">
        <v>1044</v>
      </c>
      <c r="B2853" s="0" t="s">
        <v>98</v>
      </c>
      <c r="D2853" s="6" t="n">
        <f aca="false">Sens!D2845+Sens!D2852</f>
        <v>281.724</v>
      </c>
      <c r="E2853" s="6" t="n">
        <f aca="false">Sens!E2845+Sens!E2852</f>
        <v>331.839</v>
      </c>
      <c r="F2853" s="6" t="n">
        <f aca="false">Sens!F2845+Sens!F2852</f>
        <v>399.050611009588</v>
      </c>
      <c r="G2853" s="6" t="n">
        <f aca="false">Sens!G2845+Sens!G2852</f>
        <v>476.478106880219</v>
      </c>
      <c r="H2853" s="6" t="n">
        <f aca="false">Sens!H2845+Sens!H2852</f>
        <v>555.72683159012</v>
      </c>
      <c r="I2853" s="6" t="n">
        <f aca="false">Sens!I2845+Sens!I2852</f>
        <v>628.507568297893</v>
      </c>
      <c r="J2853" s="6" t="n">
        <f aca="false">Sens!J2845+Sens!J2852</f>
        <v>688.109036018095</v>
      </c>
      <c r="K2853" s="6" t="n">
        <f aca="false">Sens!K2845+Sens!K2852</f>
        <v>735.990005337455</v>
      </c>
    </row>
    <row r="2854" customFormat="false" ht="15" hidden="false" customHeight="false" outlineLevel="0" collapsed="false">
      <c r="A2854" s="26" t="s">
        <v>1045</v>
      </c>
      <c r="B2854" s="31" t="s">
        <v>98</v>
      </c>
      <c r="C2854" s="31"/>
      <c r="D2854" s="27" t="n">
        <f aca="false">(Sens!D2833+Sens!D2838+Sens!D2839+Sens!D2841+Sens!D2843-Sens!D2845)+(Sens!D2846+Sens!D2848+Sens!D2850-Sens!D2852)+(Sens!D2845-Q!L5)+(Sens!D2852-Q!L12)+(Sens!D2833-Q!L6)+(Sens!D2838-Q!L7)</f>
        <v>0</v>
      </c>
      <c r="E2854" s="27" t="n">
        <f aca="false">(Sens!E2833+Sens!E2838+Sens!E2839+Sens!E2841+Sens!E2843-Sens!E2845)+(Sens!E2846+Sens!E2848+Sens!E2850-Sens!E2852)+(Sens!E2845-Q!M5)+(Sens!E2852-Q!M12)+(Sens!E2833-Q!M6)+(Sens!E2838-Q!M7)</f>
        <v>0</v>
      </c>
      <c r="F2854" s="27" t="n">
        <f aca="false">(Sens!F2833+Sens!F2838+Sens!F2839+Sens!F2841+Sens!F2843-Sens!F2845)+(Sens!F2846+Sens!F2848+Sens!F2850-Sens!F2852)</f>
        <v>0</v>
      </c>
      <c r="G2854" s="27" t="n">
        <f aca="false">(Sens!G2833+Sens!G2838+Sens!G2839+Sens!G2841+Sens!G2843-Sens!G2845)+(Sens!G2846+Sens!G2848+Sens!G2850-Sens!G2852)</f>
        <v>0</v>
      </c>
      <c r="H2854" s="27" t="n">
        <f aca="false">(Sens!H2833+Sens!H2838+Sens!H2839+Sens!H2841+Sens!H2843-Sens!H2845)+(Sens!H2846+Sens!H2848+Sens!H2850-Sens!H2852)</f>
        <v>0</v>
      </c>
      <c r="I2854" s="27" t="n">
        <f aca="false">(Sens!I2833+Sens!I2838+Sens!I2839+Sens!I2841+Sens!I2843-Sens!I2845)+(Sens!I2846+Sens!I2848+Sens!I2850-Sens!I2852)</f>
        <v>0</v>
      </c>
      <c r="J2854" s="27" t="n">
        <f aca="false">(Sens!J2833+Sens!J2838+Sens!J2839+Sens!J2841+Sens!J2843-Sens!J2845)+(Sens!J2846+Sens!J2848+Sens!J2850-Sens!J2852)</f>
        <v>0</v>
      </c>
      <c r="K2854" s="27" t="n">
        <f aca="false">(Sens!K2833+Sens!K2838+Sens!K2839+Sens!K2841+Sens!K2843-Sens!K2845)+(Sens!K2846+Sens!K2848+Sens!K2850-Sens!K2852)</f>
        <v>0</v>
      </c>
    </row>
    <row r="2855" customFormat="false" ht="17.15" hidden="false" customHeight="false" outlineLevel="0" collapsed="false">
      <c r="A2855" s="3" t="s">
        <v>1682</v>
      </c>
    </row>
    <row r="2856" customFormat="false" ht="15" hidden="false" customHeight="false" outlineLevel="0" collapsed="false">
      <c r="A2856" s="4" t="s">
        <v>43</v>
      </c>
      <c r="B2856" s="4" t="s">
        <v>65</v>
      </c>
      <c r="C2856" s="23" t="s">
        <v>942</v>
      </c>
      <c r="D2856" s="23" t="s">
        <v>943</v>
      </c>
      <c r="E2856" s="23" t="s">
        <v>944</v>
      </c>
      <c r="F2856" s="23" t="s">
        <v>945</v>
      </c>
      <c r="G2856" s="23" t="s">
        <v>946</v>
      </c>
      <c r="H2856" s="23" t="s">
        <v>947</v>
      </c>
      <c r="I2856" s="23" t="s">
        <v>948</v>
      </c>
      <c r="J2856" s="23" t="s">
        <v>949</v>
      </c>
      <c r="K2856" s="23" t="s">
        <v>950</v>
      </c>
      <c r="L2856" s="4" t="s">
        <v>47</v>
      </c>
    </row>
    <row r="2857" customFormat="false" ht="15" hidden="false" customHeight="false" outlineLevel="0" collapsed="false">
      <c r="A2857" s="0" t="s">
        <v>1029</v>
      </c>
      <c r="B2857" s="0" t="s">
        <v>98</v>
      </c>
      <c r="D2857" s="6" t="n">
        <f aca="false">Sens!D2833</f>
        <v>72.61</v>
      </c>
      <c r="E2857" s="6" t="n">
        <f aca="false">Sens!E2833</f>
        <v>101.938</v>
      </c>
      <c r="F2857" s="6" t="n">
        <f aca="false">Sens!F2833</f>
        <v>146.709048000181</v>
      </c>
      <c r="G2857" s="6" t="n">
        <f aca="false">Sens!G2833</f>
        <v>199.762829861393</v>
      </c>
      <c r="H2857" s="6" t="n">
        <f aca="false">Sens!H2833</f>
        <v>254.146566109645</v>
      </c>
      <c r="I2857" s="6" t="n">
        <f aca="false">Sens!I2833</f>
        <v>303.439446964617</v>
      </c>
      <c r="J2857" s="6" t="n">
        <f aca="false">Sens!J2833</f>
        <v>341.309898459739</v>
      </c>
      <c r="K2857" s="6" t="n">
        <f aca="false">Sens!K2833</f>
        <v>368.09747789654</v>
      </c>
    </row>
    <row r="2858" customFormat="false" ht="17.15" hidden="false" customHeight="false" outlineLevel="0" collapsed="false">
      <c r="A2858" s="0" t="s">
        <v>1025</v>
      </c>
      <c r="B2858" s="0" t="s">
        <v>98</v>
      </c>
      <c r="D2858" s="6" t="n">
        <f aca="false">Sens!D2830</f>
        <v>12.9359794422418</v>
      </c>
      <c r="E2858" s="6" t="n">
        <f aca="false">Sens!E2830</f>
        <v>27.8095064661409</v>
      </c>
      <c r="F2858" s="6" t="n">
        <f aca="false">Sens!F2830</f>
        <v>55.4118315060966</v>
      </c>
      <c r="G2858" s="6" t="n">
        <f aca="false">Sens!G2830</f>
        <v>91.2881100675143</v>
      </c>
      <c r="H2858" s="6" t="n">
        <f aca="false">Sens!H2830</f>
        <v>128.195273603944</v>
      </c>
      <c r="I2858" s="6" t="n">
        <f aca="false">Sens!I2830</f>
        <v>160.601281810405</v>
      </c>
      <c r="J2858" s="6" t="n">
        <f aca="false">Sens!J2830</f>
        <v>183.182719793589</v>
      </c>
      <c r="K2858" s="6" t="n">
        <f aca="false">Sens!K2830</f>
        <v>197.320124937098</v>
      </c>
    </row>
    <row r="2859" customFormat="false" ht="17.15" hidden="false" customHeight="false" outlineLevel="0" collapsed="false">
      <c r="A2859" s="0" t="s">
        <v>1056</v>
      </c>
      <c r="B2859" s="0" t="s">
        <v>98</v>
      </c>
      <c r="D2859" s="6" t="n">
        <f aca="false">Sens!D2831</f>
        <v>59.6740205577583</v>
      </c>
      <c r="E2859" s="6" t="n">
        <f aca="false">Sens!E2831</f>
        <v>74.1284935338591</v>
      </c>
      <c r="F2859" s="6" t="n">
        <f aca="false">Sens!F2831</f>
        <v>91.2972164940844</v>
      </c>
      <c r="G2859" s="6" t="n">
        <f aca="false">Sens!G2831</f>
        <v>108.474719793879</v>
      </c>
      <c r="H2859" s="6" t="n">
        <f aca="false">Sens!H2831</f>
        <v>125.951292505701</v>
      </c>
      <c r="I2859" s="6" t="n">
        <f aca="false">Sens!I2831</f>
        <v>142.838165154212</v>
      </c>
      <c r="J2859" s="6" t="n">
        <f aca="false">Sens!J2831</f>
        <v>158.12717866615</v>
      </c>
      <c r="K2859" s="6" t="n">
        <f aca="false">Sens!K2831</f>
        <v>170.777352959442</v>
      </c>
    </row>
    <row r="2860" customFormat="false" ht="15" hidden="false" customHeight="false" outlineLevel="0" collapsed="false">
      <c r="A2860" s="0" t="s">
        <v>1036</v>
      </c>
      <c r="B2860" s="0" t="s">
        <v>98</v>
      </c>
      <c r="D2860" s="6" t="n">
        <f aca="false">Sens!D2838</f>
        <v>84.605</v>
      </c>
      <c r="E2860" s="6" t="n">
        <f aca="false">Sens!E2838</f>
        <v>100.299</v>
      </c>
      <c r="F2860" s="6" t="n">
        <f aca="false">Sens!F2838</f>
        <v>118.584003697747</v>
      </c>
      <c r="G2860" s="6" t="n">
        <f aca="false">Sens!G2838</f>
        <v>136.700726545688</v>
      </c>
      <c r="H2860" s="6" t="n">
        <f aca="false">Sens!H2838</f>
        <v>154.898624783666</v>
      </c>
      <c r="I2860" s="6" t="n">
        <f aca="false">Sens!I2838</f>
        <v>171.420510030657</v>
      </c>
      <c r="J2860" s="6" t="n">
        <f aca="false">Sens!J2838</f>
        <v>185.985722618572</v>
      </c>
      <c r="K2860" s="6" t="n">
        <f aca="false">Sens!K2838</f>
        <v>199.799723201872</v>
      </c>
    </row>
    <row r="2861" customFormat="false" ht="17.15" hidden="false" customHeight="false" outlineLevel="0" collapsed="false">
      <c r="A2861" s="0" t="s">
        <v>1057</v>
      </c>
      <c r="B2861" s="0" t="s">
        <v>98</v>
      </c>
      <c r="D2861" s="6" t="n">
        <f aca="false">Sens!D2836</f>
        <v>83.705</v>
      </c>
      <c r="E2861" s="6" t="n">
        <f aca="false">Sens!E2836</f>
        <v>95.049</v>
      </c>
      <c r="F2861" s="6" t="n">
        <f aca="false">Sens!F2836</f>
        <v>106.584003697747</v>
      </c>
      <c r="G2861" s="6" t="n">
        <f aca="false">Sens!G2836</f>
        <v>118.700726545688</v>
      </c>
      <c r="H2861" s="6" t="n">
        <f aca="false">Sens!H2836</f>
        <v>130.898624783666</v>
      </c>
      <c r="I2861" s="6" t="n">
        <f aca="false">Sens!I2836</f>
        <v>142.920510030657</v>
      </c>
      <c r="J2861" s="6" t="n">
        <f aca="false">Sens!J2836</f>
        <v>154.485722618572</v>
      </c>
      <c r="K2861" s="6" t="n">
        <f aca="false">Sens!K2836</f>
        <v>165.299723201872</v>
      </c>
    </row>
    <row r="2862" customFormat="false" ht="17.15" hidden="false" customHeight="false" outlineLevel="0" collapsed="false">
      <c r="A2862" s="0" t="s">
        <v>1058</v>
      </c>
      <c r="B2862" s="0" t="s">
        <v>98</v>
      </c>
      <c r="D2862" s="6" t="n">
        <f aca="false">Sens!D2835</f>
        <v>0.9</v>
      </c>
      <c r="E2862" s="6" t="n">
        <f aca="false">Sens!E2835</f>
        <v>5.25</v>
      </c>
      <c r="F2862" s="6" t="n">
        <f aca="false">Sens!F2835</f>
        <v>12</v>
      </c>
      <c r="G2862" s="6" t="n">
        <f aca="false">Sens!G2835</f>
        <v>18</v>
      </c>
      <c r="H2862" s="6" t="n">
        <f aca="false">Sens!H2835</f>
        <v>24</v>
      </c>
      <c r="I2862" s="6" t="n">
        <f aca="false">Sens!I2835</f>
        <v>28.5</v>
      </c>
      <c r="J2862" s="6" t="n">
        <f aca="false">Sens!J2835</f>
        <v>31.5</v>
      </c>
      <c r="K2862" s="6" t="n">
        <f aca="false">Sens!K2835</f>
        <v>34.5</v>
      </c>
    </row>
    <row r="2863" customFormat="false" ht="15" hidden="false" customHeight="false" outlineLevel="0" collapsed="false">
      <c r="A2863" s="0" t="s">
        <v>1037</v>
      </c>
      <c r="B2863" s="0" t="s">
        <v>98</v>
      </c>
      <c r="D2863" s="6" t="n">
        <f aca="false">Sens!D2839</f>
        <v>35.391</v>
      </c>
      <c r="E2863" s="6" t="n">
        <f aca="false">Sens!E2839</f>
        <v>37.285</v>
      </c>
      <c r="F2863" s="6" t="n">
        <f aca="false">Sens!F2839</f>
        <v>38.3851437782675</v>
      </c>
      <c r="G2863" s="6" t="n">
        <f aca="false">Sens!G2839</f>
        <v>40.0105353288615</v>
      </c>
      <c r="H2863" s="6" t="n">
        <f aca="false">Sens!H2839</f>
        <v>41.4812512033683</v>
      </c>
      <c r="I2863" s="6" t="n">
        <f aca="false">Sens!I2839</f>
        <v>42.7743107216329</v>
      </c>
      <c r="J2863" s="6" t="n">
        <f aca="false">Sens!J2839</f>
        <v>43.8687373064601</v>
      </c>
      <c r="K2863" s="6" t="n">
        <f aca="false">Sens!K2839</f>
        <v>44.7461120525893</v>
      </c>
    </row>
    <row r="2864" customFormat="false" ht="15" hidden="false" customHeight="false" outlineLevel="0" collapsed="false">
      <c r="A2864" s="0" t="s">
        <v>1039</v>
      </c>
      <c r="B2864" s="0" t="s">
        <v>98</v>
      </c>
      <c r="D2864" s="6" t="n">
        <f aca="false">Sens!D2841</f>
        <v>18.417</v>
      </c>
      <c r="E2864" s="6" t="n">
        <f aca="false">Sens!E2841</f>
        <v>20.345</v>
      </c>
      <c r="F2864" s="6" t="n">
        <f aca="false">Sens!F2841</f>
        <v>22.3161797133988</v>
      </c>
      <c r="G2864" s="6" t="n">
        <f aca="false">Sens!G2841</f>
        <v>24.3943499673233</v>
      </c>
      <c r="H2864" s="6" t="n">
        <f aca="false">Sens!H2841</f>
        <v>26.5250243109019</v>
      </c>
      <c r="I2864" s="6" t="n">
        <f aca="false">Sens!I2841</f>
        <v>28.6884573538181</v>
      </c>
      <c r="J2864" s="6" t="n">
        <f aca="false">Sens!J2841</f>
        <v>30.8624968052127</v>
      </c>
      <c r="K2864" s="6" t="n">
        <f aca="false">Sens!K2841</f>
        <v>33.0228715815776</v>
      </c>
    </row>
    <row r="2865" customFormat="false" ht="15" hidden="false" customHeight="false" outlineLevel="0" collapsed="false">
      <c r="A2865" s="0" t="s">
        <v>1040</v>
      </c>
      <c r="B2865" s="0" t="s">
        <v>98</v>
      </c>
      <c r="D2865" s="6" t="n">
        <f aca="false">Sens!D2843</f>
        <v>7.76</v>
      </c>
      <c r="E2865" s="6" t="n">
        <f aca="false">Sens!E2843</f>
        <v>8.26</v>
      </c>
      <c r="F2865" s="6" t="n">
        <f aca="false">Sens!F2843</f>
        <v>8.75372082474227</v>
      </c>
      <c r="G2865" s="6" t="n">
        <f aca="false">Sens!G2843</f>
        <v>9.33399324642364</v>
      </c>
      <c r="H2865" s="6" t="n">
        <f aca="false">Sens!H2843</f>
        <v>9.96139155535851</v>
      </c>
      <c r="I2865" s="6" t="n">
        <f aca="false">Sens!I2843</f>
        <v>10.6402039077391</v>
      </c>
      <c r="J2865" s="6" t="n">
        <f aca="false">Sens!J2843</f>
        <v>11.3751458271397</v>
      </c>
      <c r="K2865" s="6" t="n">
        <f aca="false">Sens!K2843</f>
        <v>12.1714060350394</v>
      </c>
    </row>
    <row r="2866" customFormat="false" ht="15" hidden="false" customHeight="false" outlineLevel="0" collapsed="false">
      <c r="A2866" s="0" t="s">
        <v>856</v>
      </c>
      <c r="B2866" s="0" t="s">
        <v>98</v>
      </c>
      <c r="D2866" s="6" t="n">
        <f aca="false">Sens!D2845</f>
        <v>218.783</v>
      </c>
      <c r="E2866" s="6" t="n">
        <f aca="false">Sens!E2845</f>
        <v>268.127</v>
      </c>
      <c r="F2866" s="6" t="n">
        <f aca="false">Sens!F2845</f>
        <v>334.748096014336</v>
      </c>
      <c r="G2866" s="6" t="n">
        <f aca="false">Sens!G2845</f>
        <v>410.20243494969</v>
      </c>
      <c r="H2866" s="6" t="n">
        <f aca="false">Sens!H2845</f>
        <v>487.012857962939</v>
      </c>
      <c r="I2866" s="6" t="n">
        <f aca="false">Sens!I2845</f>
        <v>556.962928978464</v>
      </c>
      <c r="J2866" s="6" t="n">
        <f aca="false">Sens!J2845</f>
        <v>613.402001017124</v>
      </c>
      <c r="K2866" s="6" t="n">
        <f aca="false">Sens!K2845</f>
        <v>657.837590767618</v>
      </c>
    </row>
    <row r="2867" customFormat="false" ht="15" hidden="false" customHeight="false" outlineLevel="0" collapsed="false">
      <c r="A2867" s="0" t="s">
        <v>1041</v>
      </c>
      <c r="B2867" s="0" t="s">
        <v>98</v>
      </c>
      <c r="D2867" s="6" t="n">
        <f aca="false">Sens!D2846</f>
        <v>22.171</v>
      </c>
      <c r="E2867" s="6" t="n">
        <f aca="false">Sens!E2846</f>
        <v>24.835</v>
      </c>
      <c r="F2867" s="6" t="n">
        <f aca="false">Sens!F2846</f>
        <v>27.5591895660247</v>
      </c>
      <c r="G2867" s="6" t="n">
        <f aca="false">Sens!G2846</f>
        <v>30.4098563144583</v>
      </c>
      <c r="H2867" s="6" t="n">
        <f aca="false">Sens!H2846</f>
        <v>33.3011792571777</v>
      </c>
      <c r="I2867" s="6" t="n">
        <f aca="false">Sens!I2846</f>
        <v>36.189023797112</v>
      </c>
      <c r="J2867" s="6" t="n">
        <f aca="false">Sens!J2846</f>
        <v>39.0247773769199</v>
      </c>
      <c r="K2867" s="6" t="n">
        <f aca="false">Sens!K2846</f>
        <v>41.7565117933043</v>
      </c>
    </row>
    <row r="2868" customFormat="false" ht="15" hidden="false" customHeight="false" outlineLevel="0" collapsed="false">
      <c r="A2868" s="0" t="s">
        <v>1042</v>
      </c>
      <c r="B2868" s="0" t="s">
        <v>98</v>
      </c>
      <c r="D2868" s="6" t="n">
        <f aca="false">Sens!D2848</f>
        <v>23.455</v>
      </c>
      <c r="E2868" s="6" t="n">
        <f aca="false">Sens!E2848</f>
        <v>21.79</v>
      </c>
      <c r="F2868" s="6" t="n">
        <f aca="false">Sens!F2848</f>
        <v>20.7520981041711</v>
      </c>
      <c r="G2868" s="6" t="n">
        <f aca="false">Sens!G2848</f>
        <v>19.9083593495882</v>
      </c>
      <c r="H2868" s="6" t="n">
        <f aca="false">Sens!H2848</f>
        <v>19.4008256265831</v>
      </c>
      <c r="I2868" s="6" t="n">
        <f aca="false">Sens!I2848</f>
        <v>19.200434522122</v>
      </c>
      <c r="J2868" s="6" t="n">
        <f aca="false">Sens!J2848</f>
        <v>19.2932782348507</v>
      </c>
      <c r="K2868" s="6" t="n">
        <f aca="false">Sens!K2848</f>
        <v>19.6791437995477</v>
      </c>
    </row>
    <row r="2869" customFormat="false" ht="15" hidden="false" customHeight="false" outlineLevel="0" collapsed="false">
      <c r="A2869" s="0" t="s">
        <v>1043</v>
      </c>
      <c r="B2869" s="0" t="s">
        <v>98</v>
      </c>
      <c r="D2869" s="6" t="n">
        <f aca="false">Sens!D2850</f>
        <v>17.315</v>
      </c>
      <c r="E2869" s="6" t="n">
        <f aca="false">Sens!E2850</f>
        <v>17.087</v>
      </c>
      <c r="F2869" s="6" t="n">
        <f aca="false">Sens!F2850</f>
        <v>15.9912273250553</v>
      </c>
      <c r="G2869" s="6" t="n">
        <f aca="false">Sens!G2850</f>
        <v>15.9574562664827</v>
      </c>
      <c r="H2869" s="6" t="n">
        <f aca="false">Sens!H2850</f>
        <v>16.0119687434196</v>
      </c>
      <c r="I2869" s="6" t="n">
        <f aca="false">Sens!I2850</f>
        <v>16.1551810001948</v>
      </c>
      <c r="J2869" s="6" t="n">
        <f aca="false">Sens!J2850</f>
        <v>16.3889793892005</v>
      </c>
      <c r="K2869" s="6" t="n">
        <f aca="false">Sens!K2850</f>
        <v>16.7167589769845</v>
      </c>
    </row>
    <row r="2870" customFormat="false" ht="15" hidden="false" customHeight="false" outlineLevel="0" collapsed="false">
      <c r="A2870" s="0" t="s">
        <v>870</v>
      </c>
      <c r="B2870" s="0" t="s">
        <v>98</v>
      </c>
      <c r="D2870" s="6" t="n">
        <f aca="false">Sens!D2852</f>
        <v>62.941</v>
      </c>
      <c r="E2870" s="6" t="n">
        <f aca="false">Sens!E2852</f>
        <v>63.712</v>
      </c>
      <c r="F2870" s="6" t="n">
        <f aca="false">Sens!F2852</f>
        <v>64.3025149952511</v>
      </c>
      <c r="G2870" s="6" t="n">
        <f aca="false">Sens!G2852</f>
        <v>66.2756719305292</v>
      </c>
      <c r="H2870" s="6" t="n">
        <f aca="false">Sens!H2852</f>
        <v>68.7139736271804</v>
      </c>
      <c r="I2870" s="6" t="n">
        <f aca="false">Sens!I2852</f>
        <v>71.5446393194289</v>
      </c>
      <c r="J2870" s="6" t="n">
        <f aca="false">Sens!J2852</f>
        <v>74.707035000971</v>
      </c>
      <c r="K2870" s="6" t="n">
        <f aca="false">Sens!K2852</f>
        <v>78.1524145698365</v>
      </c>
    </row>
    <row r="2871" customFormat="false" ht="15" hidden="false" customHeight="false" outlineLevel="0" collapsed="false">
      <c r="A2871" s="1" t="s">
        <v>1059</v>
      </c>
      <c r="B2871" s="0" t="s">
        <v>98</v>
      </c>
      <c r="D2871" s="6" t="n">
        <f aca="false">Sens!D2853</f>
        <v>281.724</v>
      </c>
      <c r="E2871" s="6" t="n">
        <f aca="false">Sens!E2853</f>
        <v>331.839</v>
      </c>
      <c r="F2871" s="6" t="n">
        <f aca="false">Sens!F2853</f>
        <v>399.050611009588</v>
      </c>
      <c r="G2871" s="6" t="n">
        <f aca="false">Sens!G2853</f>
        <v>476.478106880219</v>
      </c>
      <c r="H2871" s="6" t="n">
        <f aca="false">Sens!H2853</f>
        <v>555.72683159012</v>
      </c>
      <c r="I2871" s="6" t="n">
        <f aca="false">Sens!I2853</f>
        <v>628.507568297893</v>
      </c>
      <c r="J2871" s="6" t="n">
        <f aca="false">Sens!J2853</f>
        <v>688.109036018095</v>
      </c>
      <c r="K2871" s="6" t="n">
        <f aca="false">Sens!K2853</f>
        <v>735.990005337455</v>
      </c>
    </row>
    <row r="2872" customFormat="false" ht="15" hidden="false" customHeight="false" outlineLevel="0" collapsed="false">
      <c r="A2872" s="1" t="s">
        <v>1060</v>
      </c>
      <c r="B2872" s="0" t="s">
        <v>168</v>
      </c>
      <c r="E2872" s="7" t="n">
        <f aca="false">Sens!E2871/Sens!D2871-1</f>
        <v>0.177886867998467</v>
      </c>
      <c r="F2872" s="7" t="n">
        <f aca="false">Sens!F2871/Sens!E2871-1</f>
        <v>0.202542832547071</v>
      </c>
      <c r="G2872" s="7" t="n">
        <f aca="false">Sens!G2871/Sens!F2871-1</f>
        <v>0.194029262791359</v>
      </c>
      <c r="H2872" s="7" t="n">
        <f aca="false">Sens!H2871/Sens!G2871-1</f>
        <v>0.166321859421387</v>
      </c>
      <c r="I2872" s="7" t="n">
        <f aca="false">Sens!I2871/Sens!H2871-1</f>
        <v>0.13096494999085</v>
      </c>
      <c r="J2872" s="7" t="n">
        <f aca="false">Sens!J2871/Sens!I2871-1</f>
        <v>0.0948301511811749</v>
      </c>
      <c r="K2872" s="7" t="n">
        <f aca="false">Sens!K2871/Sens!J2871-1</f>
        <v>0.0695834043924704</v>
      </c>
    </row>
    <row r="2873" customFormat="false" ht="17.15" hidden="false" customHeight="false" outlineLevel="0" collapsed="false">
      <c r="A2873" s="26" t="s">
        <v>1061</v>
      </c>
      <c r="B2873" s="31" t="s">
        <v>98</v>
      </c>
      <c r="C2873" s="31"/>
      <c r="D2873" s="27" t="n">
        <f aca="false">(Sens!D2866+Sens!D2870-Sens!D2871)+(Sens!D2858+Sens!D2859-Sens!D2857)+(Sens!D2861+Sens!D2862-Sens!D2860)+(Sens!D2871-Q!L18)</f>
        <v>0</v>
      </c>
      <c r="E2873" s="27" t="n">
        <f aca="false">(Sens!E2866+Sens!E2870-Sens!E2871)+(Sens!E2858+Sens!E2859-Sens!E2857)+(Sens!E2861+Sens!E2862-Sens!E2860)+(Sens!E2871-Q!M18)</f>
        <v>0</v>
      </c>
      <c r="F2873" s="27" t="n">
        <f aca="false">(Sens!F2866+Sens!F2870-Sens!F2871)+(Sens!F2858+Sens!F2859-Sens!F2857)+(Sens!F2861+Sens!F2862-Sens!F2860)</f>
        <v>0</v>
      </c>
      <c r="G2873" s="27" t="n">
        <f aca="false">(Sens!G2866+Sens!G2870-Sens!G2871)+(Sens!G2858+Sens!G2859-Sens!G2857)+(Sens!G2861+Sens!G2862-Sens!G2860)</f>
        <v>0</v>
      </c>
      <c r="H2873" s="27" t="n">
        <f aca="false">(Sens!H2866+Sens!H2870-Sens!H2871)+(Sens!H2858+Sens!H2859-Sens!H2857)+(Sens!H2861+Sens!H2862-Sens!H2860)</f>
        <v>0</v>
      </c>
      <c r="I2873" s="27" t="n">
        <f aca="false">(Sens!I2866+Sens!I2870-Sens!I2871)+(Sens!I2858+Sens!I2859-Sens!I2857)+(Sens!I2861+Sens!I2862-Sens!I2860)</f>
        <v>0</v>
      </c>
      <c r="J2873" s="27" t="n">
        <f aca="false">(Sens!J2866+Sens!J2870-Sens!J2871)+(Sens!J2858+Sens!J2859-Sens!J2857)+(Sens!J2861+Sens!J2862-Sens!J2860)</f>
        <v>0</v>
      </c>
      <c r="K2873" s="27" t="n">
        <f aca="false">(Sens!K2866+Sens!K2870-Sens!K2871)+(Sens!K2858+Sens!K2859-Sens!K2857)+(Sens!K2861+Sens!K2862-Sens!K2860)</f>
        <v>0</v>
      </c>
    </row>
    <row r="2874" customFormat="false" ht="17.15" hidden="false" customHeight="false" outlineLevel="0" collapsed="false">
      <c r="A2874" s="0" t="s">
        <v>1062</v>
      </c>
      <c r="B2874" s="0" t="s">
        <v>168</v>
      </c>
      <c r="E2874" s="7" t="n">
        <f aca="false">(Q!M21+Sens!E2810+Sens!E2811+Sens!E2812+Sens!E2826-Sens!E2808)/(Q!M5-Sens!E2808)</f>
        <v>0.550623586919075</v>
      </c>
      <c r="F2874" s="7" t="n">
        <f aca="false">Sens!$E$2874+dm_seg</f>
        <v>0.550623586919075</v>
      </c>
      <c r="G2874" s="7" t="n">
        <f aca="false">Sens!$E$2874+dm_seg</f>
        <v>0.550623586919075</v>
      </c>
      <c r="H2874" s="7" t="n">
        <f aca="false">Sens!$E$2874+dm_seg</f>
        <v>0.550623586919075</v>
      </c>
      <c r="I2874" s="7" t="n">
        <f aca="false">Sens!$E$2874+dm_seg</f>
        <v>0.550623586919075</v>
      </c>
      <c r="J2874" s="7" t="n">
        <f aca="false">Sens!$E$2874+dm_seg</f>
        <v>0.550623586919075</v>
      </c>
      <c r="K2874" s="7" t="n">
        <f aca="false">Sens!$E$2874+dm_seg</f>
        <v>0.550623586919075</v>
      </c>
      <c r="L2874" s="12" t="s">
        <v>1063</v>
      </c>
    </row>
    <row r="2875" customFormat="false" ht="17.15" hidden="false" customHeight="false" outlineLevel="0" collapsed="false">
      <c r="A2875" s="0" t="s">
        <v>884</v>
      </c>
      <c r="B2875" s="0" t="s">
        <v>98</v>
      </c>
      <c r="D2875" s="6" t="n">
        <f aca="false">Q!L21</f>
        <v>110.814</v>
      </c>
      <c r="E2875" s="6" t="n">
        <f aca="false">Q!M21</f>
        <v>136.365</v>
      </c>
      <c r="F2875" s="6" t="n">
        <f aca="false">Q!$I$21+(Sens!F2874*(Sens!F2845-Sens!F2808)+Sens!F2808-(Sens!F2810+Sens!F2811+Sens!F2812)-Sens!F2826-Sens!F2909)*(Sens!F2845-Q!$I$5)/Sens!F2845</f>
        <v>163.035789547635</v>
      </c>
      <c r="G2875" s="6" t="n">
        <f aca="false">(Sens!G2874*(Sens!G2845-Sens!G2808)+Sens!G2808-(Sens!G2810+Sens!G2811+Sens!G2812)-Sens!G2826-Sens!G2909)</f>
        <v>185.868972967809</v>
      </c>
      <c r="H2875" s="6" t="n">
        <f aca="false">(Sens!H2874*(Sens!H2845-Sens!H2808)+Sens!H2808-(Sens!H2810+Sens!H2811+Sens!H2812)-Sens!H2826-Sens!H2909)</f>
        <v>212.65467739263</v>
      </c>
      <c r="I2875" s="6" t="n">
        <f aca="false">(Sens!I2874*(Sens!I2845-Sens!I2808)+Sens!I2808-(Sens!I2810+Sens!I2811+Sens!I2812)-Sens!I2826-Sens!I2909)</f>
        <v>237.502091716073</v>
      </c>
      <c r="J2875" s="6" t="n">
        <f aca="false">(Sens!J2874*(Sens!J2845-Sens!J2808)+Sens!J2808-(Sens!J2810+Sens!J2811+Sens!J2812)-Sens!J2826-Sens!J2909)</f>
        <v>259.026979696017</v>
      </c>
      <c r="K2875" s="6" t="n">
        <f aca="false">(Sens!K2874*(Sens!K2845-Sens!K2808)+Sens!K2808-(Sens!K2810+Sens!K2811+Sens!K2812)-Sens!K2826-Sens!K2909)</f>
        <v>278.025359888447</v>
      </c>
      <c r="L2875" s="1" t="s">
        <v>1064</v>
      </c>
    </row>
    <row r="2876" customFormat="false" ht="17.15" hidden="false" customHeight="false" outlineLevel="0" collapsed="false">
      <c r="A2876" s="0" t="s">
        <v>1065</v>
      </c>
      <c r="B2876" s="0" t="s">
        <v>168</v>
      </c>
      <c r="E2876" s="7" t="n">
        <f aca="false">Q!M22/Q!M12</f>
        <v>0.296207935710698</v>
      </c>
      <c r="F2876" s="7" t="n">
        <f aca="false">Sens!$E$2876+dm_seg</f>
        <v>0.296207935710698</v>
      </c>
      <c r="G2876" s="7" t="n">
        <f aca="false">Sens!$E$2876+dm_seg</f>
        <v>0.296207935710698</v>
      </c>
      <c r="H2876" s="7" t="n">
        <f aca="false">Sens!$E$2876+dm_seg</f>
        <v>0.296207935710698</v>
      </c>
      <c r="I2876" s="7" t="n">
        <f aca="false">Sens!$E$2876+dm_seg</f>
        <v>0.296207935710698</v>
      </c>
      <c r="J2876" s="7" t="n">
        <f aca="false">Sens!$E$2876+dm_seg</f>
        <v>0.296207935710698</v>
      </c>
      <c r="K2876" s="7" t="n">
        <f aca="false">Sens!$E$2876+dm_seg</f>
        <v>0.296207935710698</v>
      </c>
      <c r="L2876" s="12" t="s">
        <v>1066</v>
      </c>
    </row>
    <row r="2877" customFormat="false" ht="17.15" hidden="false" customHeight="false" outlineLevel="0" collapsed="false">
      <c r="A2877" s="0" t="s">
        <v>886</v>
      </c>
      <c r="B2877" s="0" t="s">
        <v>98</v>
      </c>
      <c r="D2877" s="6" t="n">
        <f aca="false">Q!L22</f>
        <v>17.714</v>
      </c>
      <c r="E2877" s="6" t="n">
        <f aca="false">Q!M22</f>
        <v>18.872</v>
      </c>
      <c r="F2877" s="6" t="n">
        <f aca="false">Q!$I$22+(Sens!F2852-Q!$I$12)*Sens!F2876</f>
        <v>19.8174315512051</v>
      </c>
      <c r="G2877" s="6" t="n">
        <f aca="false">Sens!G2852*Sens!G2876</f>
        <v>19.6313799703815</v>
      </c>
      <c r="H2877" s="6" t="n">
        <f aca="false">Sens!H2852*Sens!H2876</f>
        <v>20.3536242825865</v>
      </c>
      <c r="I2877" s="6" t="n">
        <f aca="false">Sens!I2852*Sens!I2876</f>
        <v>21.1920899239745</v>
      </c>
      <c r="J2877" s="6" t="n">
        <f aca="false">Sens!J2852*Sens!J2876</f>
        <v>22.1288166207045</v>
      </c>
      <c r="K2877" s="6" t="n">
        <f aca="false">Sens!K2852*Sens!K2876</f>
        <v>23.1493653905379</v>
      </c>
      <c r="L2877" s="12" t="s">
        <v>1067</v>
      </c>
    </row>
    <row r="2878" customFormat="false" ht="15" hidden="false" customHeight="false" outlineLevel="0" collapsed="false">
      <c r="A2878" s="1" t="s">
        <v>1068</v>
      </c>
      <c r="B2878" s="0" t="s">
        <v>98</v>
      </c>
      <c r="D2878" s="6" t="n">
        <f aca="false">Sens!D2875+Sens!D2877</f>
        <v>128.528</v>
      </c>
      <c r="E2878" s="6" t="n">
        <f aca="false">Sens!E2875+Sens!E2877</f>
        <v>155.237</v>
      </c>
      <c r="F2878" s="6" t="n">
        <f aca="false">Sens!F2875+Sens!F2877</f>
        <v>182.85322109884</v>
      </c>
      <c r="G2878" s="6" t="n">
        <f aca="false">Sens!G2875+Sens!G2877</f>
        <v>205.500352938191</v>
      </c>
      <c r="H2878" s="6" t="n">
        <f aca="false">Sens!H2875+Sens!H2877</f>
        <v>233.008301675217</v>
      </c>
      <c r="I2878" s="6" t="n">
        <f aca="false">Sens!I2875+Sens!I2877</f>
        <v>258.694181640047</v>
      </c>
      <c r="J2878" s="6" t="n">
        <f aca="false">Sens!J2875+Sens!J2877</f>
        <v>281.155796316722</v>
      </c>
      <c r="K2878" s="6" t="n">
        <f aca="false">Sens!K2875+Sens!K2877</f>
        <v>301.174725278984</v>
      </c>
    </row>
    <row r="2879" customFormat="false" ht="15" hidden="false" customHeight="false" outlineLevel="0" collapsed="false">
      <c r="A2879" s="26" t="s">
        <v>1069</v>
      </c>
      <c r="B2879" s="31" t="s">
        <v>98</v>
      </c>
      <c r="C2879" s="31"/>
      <c r="D2879" s="27" t="n">
        <f aca="false">Sens!D2878-Q!L23</f>
        <v>0</v>
      </c>
      <c r="E2879" s="27" t="n">
        <f aca="false">Sens!E2878-Q!M23</f>
        <v>0</v>
      </c>
      <c r="F2879" s="31"/>
      <c r="G2879" s="31"/>
      <c r="H2879" s="31"/>
      <c r="I2879" s="31"/>
      <c r="J2879" s="31"/>
      <c r="K2879" s="31"/>
    </row>
    <row r="2880" customFormat="false" ht="15" hidden="false" customHeight="false" outlineLevel="0" collapsed="false">
      <c r="A2880" s="1" t="s">
        <v>1070</v>
      </c>
      <c r="B2880" s="0" t="s">
        <v>168</v>
      </c>
      <c r="D2880" s="7" t="n">
        <f aca="false">Sens!D2878/Sens!D2871</f>
        <v>0.456219562408598</v>
      </c>
      <c r="E2880" s="7" t="n">
        <f aca="false">Sens!E2878/Sens!E2871</f>
        <v>0.467808184089272</v>
      </c>
      <c r="F2880" s="7" t="n">
        <f aca="false">Sens!F2878/Sens!F2871</f>
        <v>0.458220626792743</v>
      </c>
      <c r="G2880" s="7" t="n">
        <f aca="false">Sens!G2878/Sens!G2871</f>
        <v>0.431290231326097</v>
      </c>
      <c r="H2880" s="7" t="n">
        <f aca="false">Sens!H2878/Sens!H2871</f>
        <v>0.419285678556319</v>
      </c>
      <c r="I2880" s="7" t="n">
        <f aca="false">Sens!I2878/Sens!I2871</f>
        <v>0.411600742280058</v>
      </c>
      <c r="J2880" s="7" t="n">
        <f aca="false">Sens!J2878/Sens!J2871</f>
        <v>0.408591925988498</v>
      </c>
      <c r="K2880" s="7" t="n">
        <f aca="false">Sens!K2878/Sens!K2871</f>
        <v>0.409210346736834</v>
      </c>
    </row>
    <row r="2881" customFormat="false" ht="17.15" hidden="false" customHeight="false" outlineLevel="0" collapsed="false">
      <c r="A2881" s="1" t="s">
        <v>1071</v>
      </c>
      <c r="B2881" s="0" t="s">
        <v>98</v>
      </c>
      <c r="F2881" s="6" t="n">
        <f aca="false">Sens!F2896</f>
        <v>3.08019323332544</v>
      </c>
      <c r="G2881" s="6" t="n">
        <f aca="false">Sens!G2896</f>
        <v>9.25707167662077</v>
      </c>
      <c r="H2881" s="6" t="n">
        <f aca="false">Sens!H2896</f>
        <v>16.1705455946487</v>
      </c>
      <c r="I2881" s="6" t="n">
        <f aca="false">Sens!I2896</f>
        <v>22.6878526288822</v>
      </c>
      <c r="J2881" s="6" t="n">
        <f aca="false">Sens!J2896</f>
        <v>27.2813721190619</v>
      </c>
      <c r="K2881" s="6" t="n">
        <f aca="false">Sens!K2896</f>
        <v>29.4244300863746</v>
      </c>
      <c r="L2881" s="1" t="s">
        <v>1072</v>
      </c>
    </row>
    <row r="2882" customFormat="false" ht="17.15" hidden="false" customHeight="false" outlineLevel="0" collapsed="false">
      <c r="A2882" s="1" t="s">
        <v>1073</v>
      </c>
      <c r="B2882" s="0" t="s">
        <v>98</v>
      </c>
      <c r="D2882" s="6" t="n">
        <f aca="false">Sens!D2878</f>
        <v>128.528</v>
      </c>
      <c r="E2882" s="6" t="n">
        <f aca="false">Sens!E2878</f>
        <v>155.237</v>
      </c>
      <c r="F2882" s="6" t="n">
        <f aca="false">Sens!F2878+Sens!F2881</f>
        <v>185.933414332166</v>
      </c>
      <c r="G2882" s="6" t="n">
        <f aca="false">Sens!G2878+Sens!G2881</f>
        <v>214.757424614811</v>
      </c>
      <c r="H2882" s="6" t="n">
        <f aca="false">Sens!H2878+Sens!H2881</f>
        <v>249.178847269865</v>
      </c>
      <c r="I2882" s="6" t="n">
        <f aca="false">Sens!I2878+Sens!I2881</f>
        <v>281.382034268929</v>
      </c>
      <c r="J2882" s="6" t="n">
        <f aca="false">Sens!J2878+Sens!J2881</f>
        <v>308.437168435784</v>
      </c>
      <c r="K2882" s="6" t="n">
        <f aca="false">Sens!K2878+Sens!K2881</f>
        <v>330.599155365359</v>
      </c>
    </row>
    <row r="2883" customFormat="false" ht="17.15" hidden="false" customHeight="false" outlineLevel="0" collapsed="false">
      <c r="A2883" s="1" t="s">
        <v>1074</v>
      </c>
      <c r="B2883" s="0" t="s">
        <v>98</v>
      </c>
      <c r="E2883" s="6" t="n">
        <f aca="false">Sens!E2826</f>
        <v>13.0443247816667</v>
      </c>
      <c r="F2883" s="6" t="n">
        <f aca="false">Sens!F2826</f>
        <v>27.6634515826813</v>
      </c>
      <c r="G2883" s="6" t="n">
        <f aca="false">Sens!G2826</f>
        <v>48.5875925218392</v>
      </c>
      <c r="H2883" s="6" t="n">
        <f aca="false">Sens!H2826</f>
        <v>71.2800725291565</v>
      </c>
      <c r="I2883" s="6" t="n">
        <f aca="false">Sens!I2826</f>
        <v>91.3848077556387</v>
      </c>
      <c r="J2883" s="6" t="n">
        <f aca="false">Sens!J2826</f>
        <v>105.612538439677</v>
      </c>
      <c r="K2883" s="6" t="n">
        <f aca="false">Sens!K2826</f>
        <v>114.410135640747</v>
      </c>
    </row>
    <row r="2884" customFormat="false" ht="17.15" hidden="false" customHeight="false" outlineLevel="0" collapsed="false">
      <c r="A2884" s="1" t="s">
        <v>1075</v>
      </c>
      <c r="B2884" s="0" t="s">
        <v>98</v>
      </c>
      <c r="E2884" s="6" t="n">
        <f aca="false">Sens!E2908</f>
        <v>25.4896752183333</v>
      </c>
      <c r="F2884" s="6" t="n">
        <f aca="false">Sens!F2908</f>
        <v>29.8843953731304</v>
      </c>
      <c r="G2884" s="6" t="n">
        <f aca="false">Sens!G2908</f>
        <v>31.0319965812422</v>
      </c>
      <c r="H2884" s="6" t="n">
        <f aca="false">Sens!H2908</f>
        <v>32.6348514199741</v>
      </c>
      <c r="I2884" s="6" t="n">
        <f aca="false">Sens!I2908</f>
        <v>34.6201056460624</v>
      </c>
      <c r="J2884" s="6" t="n">
        <f aca="false">Sens!J2908</f>
        <v>36.8986665606271</v>
      </c>
      <c r="K2884" s="6" t="n">
        <f aca="false">Sens!K2908</f>
        <v>39.3810476106362</v>
      </c>
    </row>
    <row r="2885" customFormat="false" ht="17.15" hidden="false" customHeight="false" outlineLevel="0" collapsed="false">
      <c r="A2885" s="1" t="s">
        <v>1076</v>
      </c>
      <c r="B2885" s="0" t="s">
        <v>98</v>
      </c>
      <c r="D2885" s="6" t="n">
        <f aca="false">Q!L27</f>
        <v>-4.901</v>
      </c>
      <c r="E2885" s="6" t="n">
        <f aca="false">Q!M27</f>
        <v>10.697</v>
      </c>
      <c r="F2885" s="6" t="n">
        <f aca="false">Q!$I$27+oie_f*(q_per_yr-1)/q_per_yr</f>
        <v>-0.862</v>
      </c>
      <c r="G2885" s="6" t="n">
        <f aca="false">oie_f</f>
        <v>-1.2</v>
      </c>
      <c r="H2885" s="6" t="n">
        <f aca="false">oie_f</f>
        <v>-1.2</v>
      </c>
      <c r="I2885" s="6" t="n">
        <f aca="false">oie_f</f>
        <v>-1.2</v>
      </c>
      <c r="J2885" s="6" t="n">
        <f aca="false">oie_f</f>
        <v>-1.2</v>
      </c>
      <c r="K2885" s="6" t="n">
        <f aca="false">oie_f</f>
        <v>-1.2</v>
      </c>
      <c r="L2885" s="12" t="s">
        <v>1077</v>
      </c>
    </row>
    <row r="2886" customFormat="false" ht="15" hidden="false" customHeight="false" outlineLevel="0" collapsed="false">
      <c r="A2886" s="1" t="s">
        <v>1078</v>
      </c>
      <c r="B2886" s="0" t="s">
        <v>98</v>
      </c>
      <c r="D2886" s="6" t="n">
        <f aca="false">Sens!D2878+Sens!D2885</f>
        <v>123.627</v>
      </c>
      <c r="E2886" s="6" t="n">
        <f aca="false">Sens!E2878+Sens!E2885</f>
        <v>165.934</v>
      </c>
      <c r="F2886" s="6" t="n">
        <f aca="false">Sens!F2878+Sens!F2885</f>
        <v>181.99122109884</v>
      </c>
      <c r="G2886" s="6" t="n">
        <f aca="false">Sens!G2878+Sens!G2885</f>
        <v>204.300352938191</v>
      </c>
      <c r="H2886" s="6" t="n">
        <f aca="false">Sens!H2878+Sens!H2885</f>
        <v>231.808301675217</v>
      </c>
      <c r="I2886" s="6" t="n">
        <f aca="false">Sens!I2878+Sens!I2885</f>
        <v>257.494181640047</v>
      </c>
      <c r="J2886" s="6" t="n">
        <f aca="false">Sens!J2878+Sens!J2885</f>
        <v>279.955796316722</v>
      </c>
      <c r="K2886" s="6" t="n">
        <f aca="false">Sens!K2878+Sens!K2885</f>
        <v>299.974725278984</v>
      </c>
    </row>
    <row r="2887" customFormat="false" ht="15" hidden="false" customHeight="false" outlineLevel="0" collapsed="false">
      <c r="A2887" s="1" t="s">
        <v>1079</v>
      </c>
      <c r="B2887" s="0" t="s">
        <v>98</v>
      </c>
      <c r="D2887" s="6" t="n">
        <f aca="false">Q!L29</f>
        <v>21.795</v>
      </c>
      <c r="E2887" s="6" t="n">
        <f aca="false">Q!M29</f>
        <v>32.185</v>
      </c>
      <c r="F2887" s="6" t="n">
        <f aca="false">Q!$I$29+(Sens!F2886-Q!$I$28)*tax_f</f>
        <v>36.531644219768</v>
      </c>
      <c r="G2887" s="6" t="n">
        <f aca="false">Sens!G2886*tax_f</f>
        <v>40.8600705876381</v>
      </c>
      <c r="H2887" s="6" t="n">
        <f aca="false">Sens!H2886*tax_f</f>
        <v>46.3616603350433</v>
      </c>
      <c r="I2887" s="6" t="n">
        <f aca="false">Sens!I2886*tax_f</f>
        <v>51.4988363280094</v>
      </c>
      <c r="J2887" s="6" t="n">
        <f aca="false">Sens!J2886*tax_f</f>
        <v>55.9911592633443</v>
      </c>
      <c r="K2887" s="6" t="n">
        <f aca="false">Sens!K2886*tax_f</f>
        <v>59.9949450557969</v>
      </c>
    </row>
    <row r="2888" customFormat="false" ht="15" hidden="false" customHeight="false" outlineLevel="0" collapsed="false">
      <c r="A2888" s="1" t="s">
        <v>1080</v>
      </c>
      <c r="B2888" s="0" t="s">
        <v>98</v>
      </c>
      <c r="D2888" s="6" t="n">
        <f aca="false">Sens!D2886-Sens!D2887</f>
        <v>101.832</v>
      </c>
      <c r="E2888" s="6" t="n">
        <f aca="false">Sens!E2886-Sens!E2887</f>
        <v>133.749</v>
      </c>
      <c r="F2888" s="6" t="n">
        <f aca="false">Sens!F2886-Sens!F2887</f>
        <v>145.459576879072</v>
      </c>
      <c r="G2888" s="6" t="n">
        <f aca="false">Sens!G2886-Sens!G2887</f>
        <v>163.440282350553</v>
      </c>
      <c r="H2888" s="6" t="n">
        <f aca="false">Sens!H2886-Sens!H2887</f>
        <v>185.446641340173</v>
      </c>
      <c r="I2888" s="6" t="n">
        <f aca="false">Sens!I2886-Sens!I2887</f>
        <v>205.995345312038</v>
      </c>
      <c r="J2888" s="6" t="n">
        <f aca="false">Sens!J2886-Sens!J2887</f>
        <v>223.964637053377</v>
      </c>
      <c r="K2888" s="6" t="n">
        <f aca="false">Sens!K2886-Sens!K2887</f>
        <v>239.979780223188</v>
      </c>
    </row>
    <row r="2889" customFormat="false" ht="17.15" hidden="false" customHeight="false" outlineLevel="0" collapsed="false">
      <c r="A2889" s="1" t="s">
        <v>1081</v>
      </c>
      <c r="B2889" s="1" t="s">
        <v>81</v>
      </c>
      <c r="D2889" s="15" t="n">
        <f aca="false">Q!L31</f>
        <v>7.465</v>
      </c>
      <c r="E2889" s="15" t="n">
        <f aca="false">Q!M31</f>
        <v>7.453</v>
      </c>
      <c r="F2889" s="15" t="n">
        <f aca="false">Sens!F2933</f>
        <v>7.47312330899181</v>
      </c>
      <c r="G2889" s="15" t="n">
        <f aca="false">Sens!G2933</f>
        <v>7.49906255213473</v>
      </c>
      <c r="H2889" s="15" t="n">
        <f aca="false">Sens!H2933</f>
        <v>7.50807842531464</v>
      </c>
      <c r="I2889" s="15" t="n">
        <f aca="false">Sens!I2933</f>
        <v>7.51975978937011</v>
      </c>
      <c r="J2889" s="15" t="n">
        <f aca="false">Sens!J2933</f>
        <v>7.53390920053258</v>
      </c>
      <c r="K2889" s="15" t="n">
        <f aca="false">Sens!K2933</f>
        <v>7.55034384049784</v>
      </c>
    </row>
    <row r="2890" customFormat="false" ht="17.15" hidden="false" customHeight="false" outlineLevel="0" collapsed="false">
      <c r="A2890" s="0" t="s">
        <v>1082</v>
      </c>
      <c r="B2890" s="0" t="s">
        <v>75</v>
      </c>
      <c r="D2890" s="8" t="n">
        <f aca="false">Sens!D2888/Sens!D2889</f>
        <v>13.641259209645</v>
      </c>
      <c r="E2890" s="8" t="n">
        <f aca="false">Sens!E2888/Sens!E2889</f>
        <v>17.9456594659869</v>
      </c>
      <c r="F2890" s="8" t="n">
        <f aca="false">Sens!F2888/Sens!F2889</f>
        <v>19.4643619360666</v>
      </c>
      <c r="G2890" s="8" t="n">
        <f aca="false">Sens!G2888/Sens!G2889</f>
        <v>21.7947618404685</v>
      </c>
      <c r="H2890" s="8" t="n">
        <f aca="false">Sens!H2888/Sens!H2889</f>
        <v>24.6996143134189</v>
      </c>
      <c r="I2890" s="8" t="n">
        <f aca="false">Sens!I2888/Sens!I2889</f>
        <v>27.3938730866419</v>
      </c>
      <c r="J2890" s="8" t="n">
        <f aca="false">Sens!J2888/Sens!J2889</f>
        <v>29.7275466284548</v>
      </c>
      <c r="K2890" s="8" t="n">
        <f aca="false">Sens!K2888/Sens!K2889</f>
        <v>31.7839538559829</v>
      </c>
      <c r="L2890" s="1" t="s">
        <v>1083</v>
      </c>
    </row>
    <row r="2891" customFormat="false" ht="17.15" hidden="false" customHeight="false" outlineLevel="0" collapsed="false">
      <c r="A2891" s="1" t="s">
        <v>1084</v>
      </c>
      <c r="B2891" s="0" t="s">
        <v>98</v>
      </c>
      <c r="D2891" s="6" t="n">
        <f aca="false">Sens!D2888</f>
        <v>101.832</v>
      </c>
      <c r="E2891" s="6" t="n">
        <f aca="false">Sens!E2888</f>
        <v>133.749</v>
      </c>
      <c r="F2891" s="6" t="n">
        <f aca="false">Sens!F2888+Sens!F2881*(1-tax_f)</f>
        <v>147.923731465732</v>
      </c>
      <c r="G2891" s="6" t="n">
        <f aca="false">Sens!G2888+Sens!G2881*(1-tax_f)</f>
        <v>170.845939691849</v>
      </c>
      <c r="H2891" s="6" t="n">
        <f aca="false">Sens!H2888+Sens!H2881*(1-tax_f)</f>
        <v>198.383077815892</v>
      </c>
      <c r="I2891" s="6" t="n">
        <f aca="false">Sens!I2888+Sens!I2881*(1-tax_f)</f>
        <v>224.145627415144</v>
      </c>
      <c r="J2891" s="6" t="n">
        <f aca="false">Sens!J2888+Sens!J2881*(1-tax_f)</f>
        <v>245.789734748627</v>
      </c>
      <c r="K2891" s="6" t="n">
        <f aca="false">Sens!K2888+Sens!K2881*(1-tax_f)</f>
        <v>263.519324292287</v>
      </c>
    </row>
    <row r="2892" customFormat="false" ht="17.15" hidden="false" customHeight="false" outlineLevel="0" collapsed="false">
      <c r="A2892" s="0" t="s">
        <v>1085</v>
      </c>
      <c r="B2892" s="0" t="s">
        <v>75</v>
      </c>
      <c r="D2892" s="8" t="n">
        <f aca="false">Sens!D2891/Sens!D2889</f>
        <v>13.641259209645</v>
      </c>
      <c r="E2892" s="8" t="n">
        <f aca="false">Sens!E2891/Sens!E2889</f>
        <v>17.9456594659869</v>
      </c>
      <c r="F2892" s="8" t="n">
        <f aca="false">Sens!F2891/Sens!F2889</f>
        <v>19.7940975077646</v>
      </c>
      <c r="G2892" s="8" t="n">
        <f aca="false">Sens!G2891/Sens!G2889</f>
        <v>22.7823062554952</v>
      </c>
      <c r="H2892" s="8" t="n">
        <f aca="false">Sens!H2891/Sens!H2889</f>
        <v>26.4226166241169</v>
      </c>
      <c r="I2892" s="8" t="n">
        <f aca="false">Sens!I2891/Sens!I2889</f>
        <v>29.8075515300362</v>
      </c>
      <c r="J2892" s="8" t="n">
        <f aca="false">Sens!J2891/Sens!J2889</f>
        <v>32.6244620430588</v>
      </c>
      <c r="K2892" s="8" t="n">
        <f aca="false">Sens!K2891/Sens!K2889</f>
        <v>34.901632277837</v>
      </c>
      <c r="L2892" s="1" t="s">
        <v>1086</v>
      </c>
    </row>
    <row r="2893" customFormat="false" ht="17.15" hidden="false" customHeight="false" outlineLevel="0" collapsed="false">
      <c r="A2893" s="0" t="s">
        <v>1087</v>
      </c>
      <c r="B2893" s="0" t="s">
        <v>168</v>
      </c>
      <c r="E2893" s="7" t="n">
        <f aca="false">Sens!E2892/Sens!D2892-1</f>
        <v>0.315542736208578</v>
      </c>
      <c r="F2893" s="7" t="n">
        <f aca="false">Sens!F2892/Sens!E2892-1</f>
        <v>0.103001956839824</v>
      </c>
      <c r="G2893" s="7" t="n">
        <f aca="false">Sens!G2892/Sens!F2892-1</f>
        <v>0.150964637137836</v>
      </c>
      <c r="H2893" s="7" t="n">
        <f aca="false">Sens!H2892/Sens!G2892-1</f>
        <v>0.15978673659273</v>
      </c>
      <c r="I2893" s="7" t="n">
        <f aca="false">Sens!I2892/Sens!H2892-1</f>
        <v>0.128107482845952</v>
      </c>
      <c r="J2893" s="7" t="n">
        <f aca="false">Sens!J2892/Sens!I2892-1</f>
        <v>0.0945032506337911</v>
      </c>
      <c r="K2893" s="7" t="n">
        <f aca="false">Sens!K2892/Sens!J2892-1</f>
        <v>0.0697994723031057</v>
      </c>
    </row>
    <row r="2894" customFormat="false" ht="17.15" hidden="false" customHeight="false" outlineLevel="0" collapsed="false">
      <c r="A2894" s="0" t="s">
        <v>1007</v>
      </c>
      <c r="B2894" s="0" t="s">
        <v>98</v>
      </c>
      <c r="E2894" s="6" t="n">
        <f aca="false">Sens!E2835</f>
        <v>5.25</v>
      </c>
      <c r="F2894" s="6" t="n">
        <f aca="false">Sens!F2835</f>
        <v>12</v>
      </c>
      <c r="G2894" s="6" t="n">
        <f aca="false">Sens!G2835</f>
        <v>18</v>
      </c>
      <c r="H2894" s="6" t="n">
        <f aca="false">Sens!H2835</f>
        <v>24</v>
      </c>
      <c r="I2894" s="6" t="n">
        <f aca="false">Sens!I2835</f>
        <v>28.5</v>
      </c>
      <c r="J2894" s="6" t="n">
        <f aca="false">Sens!J2835</f>
        <v>31.5</v>
      </c>
      <c r="K2894" s="6" t="n">
        <f aca="false">Sens!K2835</f>
        <v>34.5</v>
      </c>
    </row>
    <row r="2895" customFormat="false" ht="17.15" hidden="false" customHeight="false" outlineLevel="0" collapsed="false">
      <c r="A2895" s="1" t="s">
        <v>1008</v>
      </c>
      <c r="B2895" s="0" t="s">
        <v>98</v>
      </c>
      <c r="F2895" s="6" t="n">
        <f aca="false">MAX(0,((Sens!E2795+Sens!F2795)/2-(shadow_base*(Sens!$D$2795+Sens!$E$2795)/2+(1-shadow_base)*Sens!$E$2795))*Sens!F2804/1000-(Sens!F2894-Sens!$E$2894)*Sens!F2874)</f>
        <v>3.08019323332544</v>
      </c>
      <c r="G2895" s="6" t="n">
        <f aca="false">MAX(0,((Sens!F2795+Sens!G2795)/2-(shadow_base*(Sens!$D$2795+Sens!$E$2795)/2+(1-shadow_base)*Sens!$E$2795))*Sens!G2804/1000-(Sens!G2894-Sens!$E$2894)*Sens!G2874)</f>
        <v>9.25707167662077</v>
      </c>
      <c r="H2895" s="6" t="n">
        <f aca="false">MAX(0,((Sens!G2795+Sens!H2795)/2-(shadow_base*(Sens!$D$2795+Sens!$E$2795)/2+(1-shadow_base)*Sens!$E$2795))*Sens!H2804/1000-(Sens!H2894-Sens!$E$2894)*Sens!H2874)</f>
        <v>16.1705455946487</v>
      </c>
      <c r="I2895" s="6" t="n">
        <f aca="false">MAX(0,((Sens!H2795+Sens!I2795)/2-(shadow_base*(Sens!$D$2795+Sens!$E$2795)/2+(1-shadow_base)*Sens!$E$2795))*Sens!I2804/1000-(Sens!I2894-Sens!$E$2894)*Sens!I2874)</f>
        <v>22.6878526288822</v>
      </c>
      <c r="J2895" s="6" t="n">
        <f aca="false">MAX(0,((Sens!I2795+Sens!J2795)/2-(shadow_base*(Sens!$D$2795+Sens!$E$2795)/2+(1-shadow_base)*Sens!$E$2795))*Sens!J2804/1000-(Sens!J2894-Sens!$E$2894)*Sens!J2874)</f>
        <v>27.2813721190619</v>
      </c>
      <c r="K2895" s="6" t="n">
        <f aca="false">MAX(0,((Sens!J2795+Sens!K2795)/2-(shadow_base*(Sens!$D$2795+Sens!$E$2795)/2+(1-shadow_base)*Sens!$E$2795))*Sens!K2804/1000-(Sens!K2894-Sens!$E$2894)*Sens!K2874)</f>
        <v>29.4244300863746</v>
      </c>
      <c r="L2895" s="1" t="s">
        <v>1009</v>
      </c>
    </row>
    <row r="2896" customFormat="false" ht="17.15" hidden="false" customHeight="false" outlineLevel="0" collapsed="false">
      <c r="A2896" s="1" t="s">
        <v>1010</v>
      </c>
      <c r="B2896" s="0" t="s">
        <v>98</v>
      </c>
      <c r="F2896" s="6" t="n">
        <f aca="false">IF(internal_ai_reading=2,1,0)*Sens!F2895</f>
        <v>3.08019323332544</v>
      </c>
      <c r="G2896" s="6" t="n">
        <f aca="false">IF(internal_ai_reading=2,1,0)*Sens!G2895</f>
        <v>9.25707167662077</v>
      </c>
      <c r="H2896" s="6" t="n">
        <f aca="false">IF(internal_ai_reading=2,1,0)*Sens!H2895</f>
        <v>16.1705455946487</v>
      </c>
      <c r="I2896" s="6" t="n">
        <f aca="false">IF(internal_ai_reading=2,1,0)*Sens!I2895</f>
        <v>22.6878526288822</v>
      </c>
      <c r="J2896" s="6" t="n">
        <f aca="false">IF(internal_ai_reading=2,1,0)*Sens!J2895</f>
        <v>27.2813721190619</v>
      </c>
      <c r="K2896" s="6" t="n">
        <f aca="false">IF(internal_ai_reading=2,1,0)*Sens!K2895</f>
        <v>29.4244300863746</v>
      </c>
    </row>
    <row r="2897" customFormat="false" ht="17.15" hidden="false" customHeight="false" outlineLevel="0" collapsed="false">
      <c r="A2897" s="0" t="s">
        <v>1011</v>
      </c>
      <c r="B2897" s="0" t="s">
        <v>98</v>
      </c>
      <c r="F2897" s="6" t="n">
        <f aca="false">Sens!F2814+Sens!F2894*Sens!F2874+Sens!F2896-Sens!F2815-Sens!F2826</f>
        <v>18.1881699968199</v>
      </c>
      <c r="G2897" s="6" t="n">
        <f aca="false">Sens!G2814+Sens!G2894*Sens!G2874+Sens!G2896-Sens!G2815-Sens!G2826</f>
        <v>32.4676917465118</v>
      </c>
      <c r="H2897" s="6" t="n">
        <f aca="false">Sens!H2814+Sens!H2894*Sens!H2874+Sens!H2896-Sens!H2815-Sens!H2826</f>
        <v>47.1957185455823</v>
      </c>
      <c r="I2897" s="6" t="n">
        <f aca="false">Sens!I2814+Sens!I2894*Sens!I2874+Sens!I2896-Sens!I2815-Sens!I2826</f>
        <v>60.0927040307891</v>
      </c>
      <c r="J2897" s="6" t="n">
        <f aca="false">Sens!J2814+Sens!J2894*Sens!J2874+Sens!J2896-Sens!J2815-Sens!J2826</f>
        <v>68.9745644195042</v>
      </c>
      <c r="K2897" s="6" t="n">
        <f aca="false">Sens!K2814+Sens!K2894*Sens!K2874+Sens!K2896-Sens!K2815-Sens!K2826</f>
        <v>74.8639329140163</v>
      </c>
    </row>
    <row r="2898" customFormat="false" ht="17.15" hidden="false" customHeight="false" outlineLevel="0" collapsed="false">
      <c r="A2898" s="0" t="s">
        <v>1012</v>
      </c>
      <c r="B2898" s="0" t="s">
        <v>98</v>
      </c>
      <c r="E2898" s="6" t="n">
        <f aca="false">Sens!E2794*(cxit_open+self_build*tk_cxfac)/1000*ai_net_open</f>
        <v>101.35843056</v>
      </c>
      <c r="F2898" s="6" t="n">
        <f aca="false">Sens!E2898+Sens!F2823-Sens!F2826</f>
        <v>208.458102211014</v>
      </c>
      <c r="G2898" s="6" t="n">
        <f aca="false">Sens!F2898+Sens!G2823-Sens!G2826</f>
        <v>313.426090208414</v>
      </c>
      <c r="H2898" s="6" t="n">
        <f aca="false">Sens!G2898+Sens!H2823-Sens!H2826</f>
        <v>399.590820930867</v>
      </c>
      <c r="I2898" s="6" t="n">
        <f aca="false">Sens!H2898+Sens!I2823-Sens!I2826</f>
        <v>443.097880072517</v>
      </c>
      <c r="J2898" s="6" t="n">
        <f aca="false">Sens!I2898+Sens!J2823-Sens!J2826</f>
        <v>440.629286589592</v>
      </c>
      <c r="K2898" s="6" t="n">
        <f aca="false">Sens!J2898+Sens!K2823-Sens!K2826</f>
        <v>421.389433400631</v>
      </c>
      <c r="L2898" s="1" t="s">
        <v>1013</v>
      </c>
    </row>
    <row r="2899" customFormat="false" ht="17.15" hidden="false" customHeight="false" outlineLevel="0" collapsed="false">
      <c r="A2899" s="0" t="s">
        <v>1014</v>
      </c>
      <c r="B2899" s="0" t="s">
        <v>168</v>
      </c>
      <c r="F2899" s="7" t="n">
        <f aca="false">Sens!F2897*(1-tax_f)/((Sens!E2898+Sens!F2898)/2)</f>
        <v>0.093930016370109</v>
      </c>
      <c r="G2899" s="7" t="n">
        <f aca="false">Sens!G2897*(1-tax_f)/((Sens!F2898+Sens!G2898)/2)</f>
        <v>0.0995399123962526</v>
      </c>
      <c r="H2899" s="7" t="n">
        <f aca="false">Sens!H2897*(1-tax_f)/((Sens!G2898+Sens!H2898)/2)</f>
        <v>0.105906533902926</v>
      </c>
      <c r="I2899" s="7" t="n">
        <f aca="false">Sens!I2897*(1-tax_f)/((Sens!H2898+Sens!I2898)/2)</f>
        <v>0.1140970874948</v>
      </c>
      <c r="J2899" s="7" t="n">
        <f aca="false">Sens!J2897*(1-tax_f)/((Sens!I2898+Sens!J2898)/2)</f>
        <v>0.124879382726278</v>
      </c>
      <c r="K2899" s="7" t="n">
        <f aca="false">Sens!K2897*(1-tax_f)/((Sens!J2898+Sens!K2898)/2)</f>
        <v>0.138955558486926</v>
      </c>
    </row>
    <row r="2900" customFormat="false" ht="17.15" hidden="false" customHeight="false" outlineLevel="0" collapsed="false">
      <c r="A2900" s="1" t="s">
        <v>1015</v>
      </c>
      <c r="B2900" s="0" t="s">
        <v>168</v>
      </c>
      <c r="F2900" s="7" t="n">
        <f aca="false">(Sens!F2897-Sens!F2896)*(1-tax_f)/((Sens!E2898+Sens!F2898)/2)</f>
        <v>0.0780228304970968</v>
      </c>
      <c r="G2900" s="7" t="n">
        <f aca="false">(Sens!G2897-Sens!G2896)*(1-tax_f)/((Sens!F2898+Sens!G2898)/2)</f>
        <v>0.0711594500298247</v>
      </c>
      <c r="H2900" s="7" t="n">
        <f aca="false">(Sens!H2897-Sens!H2896)*(1-tax_f)/((Sens!G2898+Sens!H2898)/2)</f>
        <v>0.0696200552132445</v>
      </c>
      <c r="I2900" s="7" t="n">
        <f aca="false">(Sens!I2897-Sens!I2896)*(1-tax_f)/((Sens!H2898+Sens!I2898)/2)</f>
        <v>0.0710200126948311</v>
      </c>
      <c r="J2900" s="7" t="n">
        <f aca="false">(Sens!J2897-Sens!J2896)*(1-tax_f)/((Sens!I2898+Sens!J2898)/2)</f>
        <v>0.0754860891429557</v>
      </c>
      <c r="K2900" s="7" t="n">
        <f aca="false">(Sens!K2897-Sens!K2896)*(1-tax_f)/((Sens!J2898+Sens!K2898)/2)</f>
        <v>0.0843406330259875</v>
      </c>
    </row>
    <row r="2901" customFormat="false" ht="17.15" hidden="false" customHeight="false" outlineLevel="0" collapsed="false">
      <c r="A2901" s="1" t="s">
        <v>1016</v>
      </c>
      <c r="B2901" s="0" t="s">
        <v>168</v>
      </c>
      <c r="F2901" s="7" t="n">
        <f aca="false">(Sens!F2897-Sens!F2896+Sens!F2895)*(1-tax_f)/((Sens!E2898+Sens!F2898)/2)</f>
        <v>0.093930016370109</v>
      </c>
      <c r="G2901" s="7" t="n">
        <f aca="false">(Sens!G2897-Sens!G2896+Sens!G2895)*(1-tax_f)/((Sens!F2898+Sens!G2898)/2)</f>
        <v>0.0995399123962526</v>
      </c>
      <c r="H2901" s="7" t="n">
        <f aca="false">(Sens!H2897-Sens!H2896+Sens!H2895)*(1-tax_f)/((Sens!G2898+Sens!H2898)/2)</f>
        <v>0.105906533902926</v>
      </c>
      <c r="I2901" s="7" t="n">
        <f aca="false">(Sens!I2897-Sens!I2896+Sens!I2895)*(1-tax_f)/((Sens!H2898+Sens!I2898)/2)</f>
        <v>0.1140970874948</v>
      </c>
      <c r="J2901" s="7" t="n">
        <f aca="false">(Sens!J2897-Sens!J2896+Sens!J2895)*(1-tax_f)/((Sens!I2898+Sens!J2898)/2)</f>
        <v>0.124879382726278</v>
      </c>
      <c r="K2901" s="7" t="n">
        <f aca="false">(Sens!K2897-Sens!K2896+Sens!K2895)*(1-tax_f)/((Sens!J2898+Sens!K2898)/2)</f>
        <v>0.138955558486926</v>
      </c>
    </row>
    <row r="2902" customFormat="false" ht="17.15" hidden="false" customHeight="false" outlineLevel="0" collapsed="false">
      <c r="A2902" s="1" t="s">
        <v>1017</v>
      </c>
      <c r="B2902" s="0" t="s">
        <v>168</v>
      </c>
      <c r="F2902" s="7" t="n">
        <f aca="false">Sens!F2827*(1-tax_f)/(Sens!F2813*(Sens!E2898+Sens!F2898)/2)</f>
        <v>0.129294830495493</v>
      </c>
      <c r="G2902" s="7" t="n">
        <f aca="false">Sens!G2827*(1-tax_f)/(Sens!G2813*(Sens!F2898+Sens!G2898)/2)</f>
        <v>0.12719599062164</v>
      </c>
      <c r="H2902" s="7" t="n">
        <f aca="false">Sens!H2827*(1-tax_f)/(Sens!H2813*(Sens!G2898+Sens!H2898)/2)</f>
        <v>0.130828167067624</v>
      </c>
      <c r="I2902" s="7" t="n">
        <f aca="false">Sens!I2827*(1-tax_f)/(Sens!I2813*(Sens!H2898+Sens!I2898)/2)</f>
        <v>0.138614526937417</v>
      </c>
      <c r="J2902" s="7" t="n">
        <f aca="false">Sens!J2827*(1-tax_f)/(Sens!J2813*(Sens!I2898+Sens!J2898)/2)</f>
        <v>0.150578919010924</v>
      </c>
      <c r="K2902" s="7" t="n">
        <f aca="false">Sens!K2827*(1-tax_f)/(Sens!K2813*(Sens!J2898+Sens!K2898)/2)</f>
        <v>0.167005345886664</v>
      </c>
    </row>
    <row r="2903" customFormat="false" ht="17.15" hidden="false" customHeight="false" outlineLevel="0" collapsed="false">
      <c r="A2903" s="0" t="s">
        <v>1018</v>
      </c>
      <c r="B2903" s="0" t="s">
        <v>253</v>
      </c>
      <c r="F2903" s="7" t="n">
        <f aca="false">Sens!F2899-wacc</f>
        <v>-0.00900657457548831</v>
      </c>
      <c r="G2903" s="7" t="n">
        <f aca="false">Sens!G2899-wacc</f>
        <v>-0.00339667854934467</v>
      </c>
      <c r="H2903" s="7" t="n">
        <f aca="false">Sens!H2899-wacc</f>
        <v>0.00296994295732858</v>
      </c>
      <c r="I2903" s="7" t="n">
        <f aca="false">Sens!I2899-wacc</f>
        <v>0.0111604965492029</v>
      </c>
      <c r="J2903" s="7" t="n">
        <f aca="false">Sens!J2899-wacc</f>
        <v>0.0219427917806807</v>
      </c>
      <c r="K2903" s="7" t="n">
        <f aca="false">Sens!K2899-wacc</f>
        <v>0.0360189675413283</v>
      </c>
    </row>
    <row r="2904" customFormat="false" ht="17.15" hidden="false" customHeight="false" outlineLevel="0" collapsed="false">
      <c r="A2904" s="0" t="s">
        <v>1019</v>
      </c>
      <c r="B2904" s="0" t="s">
        <v>98</v>
      </c>
      <c r="F2904" s="6" t="n">
        <f aca="false">Sens!F2897*(1-tax_f)-wacc*(Sens!E2898+Sens!F2898)/2</f>
        <v>-1.39519285356068</v>
      </c>
      <c r="G2904" s="6" t="n">
        <f aca="false">Sens!G2897*(1-tax_f)-wacc*(Sens!F2898+Sens!G2898)/2</f>
        <v>-0.886336420816569</v>
      </c>
      <c r="H2904" s="6" t="n">
        <f aca="false">Sens!H2897*(1-tax_f)-wacc*(Sens!G2898+Sens!H2898)/2</f>
        <v>1.05880977684714</v>
      </c>
      <c r="I2904" s="6" t="n">
        <f aca="false">Sens!I2897*(1-tax_f)-wacc*(Sens!H2898+Sens!I2898)/2</f>
        <v>4.70241216980026</v>
      </c>
      <c r="J2904" s="6" t="n">
        <f aca="false">Sens!J2897*(1-tax_f)-wacc*(Sens!I2898+Sens!J2898)/2</f>
        <v>9.69572060449876</v>
      </c>
      <c r="K2904" s="6" t="n">
        <f aca="false">Sens!K2897*(1-tax_f)-wacc*(Sens!J2898+Sens!K2898)/2</f>
        <v>15.5245121476726</v>
      </c>
    </row>
    <row r="2905" customFormat="false" ht="17.15" hidden="false" customHeight="false" outlineLevel="0" collapsed="false">
      <c r="A2905" s="3" t="s">
        <v>1683</v>
      </c>
    </row>
    <row r="2906" customFormat="false" ht="15" hidden="false" customHeight="false" outlineLevel="0" collapsed="false">
      <c r="A2906" s="4" t="s">
        <v>43</v>
      </c>
      <c r="B2906" s="4" t="s">
        <v>65</v>
      </c>
      <c r="C2906" s="23" t="s">
        <v>942</v>
      </c>
      <c r="D2906" s="23" t="s">
        <v>943</v>
      </c>
      <c r="E2906" s="23" t="s">
        <v>944</v>
      </c>
      <c r="F2906" s="23" t="s">
        <v>945</v>
      </c>
      <c r="G2906" s="23" t="s">
        <v>946</v>
      </c>
      <c r="H2906" s="23" t="s">
        <v>947</v>
      </c>
      <c r="I2906" s="23" t="s">
        <v>948</v>
      </c>
      <c r="J2906" s="23" t="s">
        <v>949</v>
      </c>
      <c r="K2906" s="23" t="s">
        <v>950</v>
      </c>
      <c r="L2906" s="4" t="s">
        <v>47</v>
      </c>
    </row>
    <row r="2907" customFormat="false" ht="15" hidden="false" customHeight="false" outlineLevel="0" collapsed="false">
      <c r="A2907" s="1" t="s">
        <v>1080</v>
      </c>
      <c r="B2907" s="0" t="s">
        <v>98</v>
      </c>
      <c r="F2907" s="6" t="n">
        <f aca="false">Sens!F2888</f>
        <v>145.459576879072</v>
      </c>
      <c r="G2907" s="6" t="n">
        <f aca="false">Sens!G2888</f>
        <v>163.440282350553</v>
      </c>
      <c r="H2907" s="6" t="n">
        <f aca="false">Sens!H2888</f>
        <v>185.446641340173</v>
      </c>
      <c r="I2907" s="6" t="n">
        <f aca="false">Sens!I2888</f>
        <v>205.995345312038</v>
      </c>
      <c r="J2907" s="6" t="n">
        <f aca="false">Sens!J2888</f>
        <v>223.964637053377</v>
      </c>
      <c r="K2907" s="6" t="n">
        <f aca="false">Sens!K2888</f>
        <v>239.979780223188</v>
      </c>
    </row>
    <row r="2908" customFormat="false" ht="17.15" hidden="false" customHeight="false" outlineLevel="0" collapsed="false">
      <c r="A2908" s="1" t="s">
        <v>1102</v>
      </c>
      <c r="B2908" s="0" t="s">
        <v>98</v>
      </c>
      <c r="E2908" s="6" t="n">
        <f aca="false">Q!M38-Sens!E2826</f>
        <v>25.4896752183333</v>
      </c>
      <c r="F2908" s="6" t="n">
        <f aca="false">Sens!E2908*(1-1/life_nonai)+(Sens!F2916+Sens!F2917)/life_nonai</f>
        <v>29.8843953731304</v>
      </c>
      <c r="G2908" s="6" t="n">
        <f aca="false">Sens!F2908*(1-1/life_nonai)+(Sens!G2916)/life_nonai</f>
        <v>31.0319965812422</v>
      </c>
      <c r="H2908" s="6" t="n">
        <f aca="false">Sens!G2908*(1-1/life_nonai)+(Sens!H2916)/life_nonai</f>
        <v>32.6348514199741</v>
      </c>
      <c r="I2908" s="6" t="n">
        <f aca="false">Sens!H2908*(1-1/life_nonai)+(Sens!I2916)/life_nonai</f>
        <v>34.6201056460624</v>
      </c>
      <c r="J2908" s="6" t="n">
        <f aca="false">Sens!I2908*(1-1/life_nonai)+(Sens!J2916)/life_nonai</f>
        <v>36.8986665606271</v>
      </c>
      <c r="K2908" s="6" t="n">
        <f aca="false">Sens!J2908*(1-1/life_nonai)+(Sens!K2916)/life_nonai</f>
        <v>39.3810476106362</v>
      </c>
      <c r="L2908" s="12" t="s">
        <v>1103</v>
      </c>
    </row>
    <row r="2909" customFormat="false" ht="17.15" hidden="false" customHeight="false" outlineLevel="0" collapsed="false">
      <c r="A2909" s="1" t="s">
        <v>1104</v>
      </c>
      <c r="B2909" s="0" t="s">
        <v>98</v>
      </c>
      <c r="F2909" s="6" t="n">
        <f aca="false">Sens!$F$2917/life_nonai*(1-1/life_nonai)^(Sens!F2789-2027)</f>
        <v>3.36908002670816</v>
      </c>
      <c r="G2909" s="6" t="n">
        <f aca="false">Sens!$F$2917/life_nonai*(1-1/life_nonai)^(Sens!G2789-2027)</f>
        <v>3.03217202403734</v>
      </c>
      <c r="H2909" s="6" t="n">
        <f aca="false">Sens!$F$2917/life_nonai*(1-1/life_nonai)^(Sens!H2789-2027)</f>
        <v>2.72895482163361</v>
      </c>
      <c r="I2909" s="6" t="n">
        <f aca="false">Sens!$F$2917/life_nonai*(1-1/life_nonai)^(Sens!I2789-2027)</f>
        <v>2.45605933947025</v>
      </c>
      <c r="J2909" s="6" t="n">
        <f aca="false">Sens!$F$2917/life_nonai*(1-1/life_nonai)^(Sens!J2789-2027)</f>
        <v>2.21045340552322</v>
      </c>
      <c r="K2909" s="6" t="n">
        <f aca="false">Sens!$F$2917/life_nonai*(1-1/life_nonai)^(Sens!K2789-2027)</f>
        <v>1.9894080649709</v>
      </c>
      <c r="L2909" s="1" t="s">
        <v>1105</v>
      </c>
    </row>
    <row r="2910" customFormat="false" ht="17.15" hidden="false" customHeight="false" outlineLevel="0" collapsed="false">
      <c r="A2910" s="1" t="s">
        <v>1106</v>
      </c>
      <c r="B2910" s="0" t="s">
        <v>98</v>
      </c>
      <c r="E2910" s="6" t="n">
        <f aca="false">Sens!E2826+Sens!E2908</f>
        <v>38.534</v>
      </c>
      <c r="F2910" s="6" t="n">
        <f aca="false">Sens!F2826+Sens!F2908</f>
        <v>57.5478469558117</v>
      </c>
      <c r="G2910" s="6" t="n">
        <f aca="false">Sens!G2826+Sens!G2908</f>
        <v>79.6195891030813</v>
      </c>
      <c r="H2910" s="6" t="n">
        <f aca="false">Sens!H2826+Sens!H2908</f>
        <v>103.914923949131</v>
      </c>
      <c r="I2910" s="6" t="n">
        <f aca="false">Sens!I2826+Sens!I2908</f>
        <v>126.004913401701</v>
      </c>
      <c r="J2910" s="6" t="n">
        <f aca="false">Sens!J2826+Sens!J2908</f>
        <v>142.511205000304</v>
      </c>
      <c r="K2910" s="6" t="n">
        <f aca="false">Sens!K2826+Sens!K2908</f>
        <v>153.791183251384</v>
      </c>
    </row>
    <row r="2911" customFormat="false" ht="17.15" hidden="false" customHeight="false" outlineLevel="0" collapsed="false">
      <c r="A2911" s="1" t="s">
        <v>1107</v>
      </c>
      <c r="B2911" s="0" t="s">
        <v>98</v>
      </c>
      <c r="F2911" s="6" t="n">
        <f aca="false">Sens!F2853*sbc_r</f>
        <v>14.9175438377464</v>
      </c>
      <c r="G2911" s="6" t="n">
        <f aca="false">Sens!G2853*sbc_r</f>
        <v>17.8119838712421</v>
      </c>
      <c r="H2911" s="6" t="n">
        <f aca="false">Sens!H2853*sbc_r</f>
        <v>20.7745061486909</v>
      </c>
      <c r="I2911" s="6" t="n">
        <f aca="false">Sens!I2853*sbc_r</f>
        <v>23.4952383075388</v>
      </c>
      <c r="J2911" s="6" t="n">
        <f aca="false">Sens!J2853*sbc_r</f>
        <v>25.7232953082804</v>
      </c>
      <c r="K2911" s="6" t="n">
        <f aca="false">Sens!K2853*sbc_r</f>
        <v>27.5132097680234</v>
      </c>
    </row>
    <row r="2912" customFormat="false" ht="17.15" hidden="false" customHeight="false" outlineLevel="0" collapsed="false">
      <c r="A2912" s="1" t="s">
        <v>1108</v>
      </c>
      <c r="B2912" s="0" t="s">
        <v>98</v>
      </c>
      <c r="F2912" s="6" t="n">
        <f aca="false">wc27-wc26q1</f>
        <v>-4.677</v>
      </c>
      <c r="G2912" s="6" t="n">
        <f aca="false">wc_f</f>
        <v>0</v>
      </c>
      <c r="H2912" s="6" t="n">
        <f aca="false">wc_f</f>
        <v>0</v>
      </c>
      <c r="I2912" s="6" t="n">
        <f aca="false">wc_f</f>
        <v>0</v>
      </c>
      <c r="J2912" s="6" t="n">
        <f aca="false">wc_f</f>
        <v>0</v>
      </c>
      <c r="K2912" s="6" t="n">
        <f aca="false">wc_f</f>
        <v>0</v>
      </c>
      <c r="L2912" s="12" t="s">
        <v>1109</v>
      </c>
    </row>
    <row r="2913" customFormat="false" ht="17.15" hidden="false" customHeight="false" outlineLevel="0" collapsed="false">
      <c r="A2913" s="0" t="s">
        <v>1110</v>
      </c>
      <c r="B2913" s="0" t="s">
        <v>98</v>
      </c>
      <c r="F2913" s="6" t="n">
        <f aca="false">Q!$I$35-Q!$I$26-Q!$I$38-Q!$I$39</f>
        <v>6.493</v>
      </c>
      <c r="L2913" s="1" t="s">
        <v>1111</v>
      </c>
    </row>
    <row r="2914" customFormat="false" ht="15" hidden="false" customHeight="false" outlineLevel="0" collapsed="false">
      <c r="A2914" s="1" t="s">
        <v>908</v>
      </c>
      <c r="B2914" s="0" t="s">
        <v>98</v>
      </c>
      <c r="E2914" s="6" t="n">
        <f aca="false">Q!M35</f>
        <v>182.935</v>
      </c>
      <c r="F2914" s="6" t="n">
        <f aca="false">Sens!F2907+Sens!F2910+Sens!F2911+Sens!F2912+Sens!F2913</f>
        <v>219.74096767263</v>
      </c>
      <c r="G2914" s="6" t="n">
        <f aca="false">Sens!G2907+Sens!G2910+Sens!G2911+Sens!G2912</f>
        <v>260.871855324876</v>
      </c>
      <c r="H2914" s="6" t="n">
        <f aca="false">Sens!H2907+Sens!H2910+Sens!H2911+Sens!H2912</f>
        <v>310.136071437995</v>
      </c>
      <c r="I2914" s="6" t="n">
        <f aca="false">Sens!I2907+Sens!I2910+Sens!I2911+Sens!I2912</f>
        <v>355.495497021278</v>
      </c>
      <c r="J2914" s="6" t="n">
        <f aca="false">Sens!J2907+Sens!J2910+Sens!J2911+Sens!J2912</f>
        <v>392.199137361962</v>
      </c>
      <c r="K2914" s="6" t="n">
        <f aca="false">Sens!K2907+Sens!K2910+Sens!K2911+Sens!K2912</f>
        <v>421.284173242595</v>
      </c>
    </row>
    <row r="2915" customFormat="false" ht="17.15" hidden="false" customHeight="false" outlineLevel="0" collapsed="false">
      <c r="A2915" s="0" t="s">
        <v>1112</v>
      </c>
      <c r="B2915" s="0" t="s">
        <v>98</v>
      </c>
      <c r="F2915" s="6" t="n">
        <f aca="false">Sens!F2823</f>
        <v>134.763123233696</v>
      </c>
      <c r="G2915" s="6" t="n">
        <f aca="false">Sens!G2823</f>
        <v>153.555580519238</v>
      </c>
      <c r="H2915" s="6" t="n">
        <f aca="false">Sens!H2823</f>
        <v>157.44480325161</v>
      </c>
      <c r="I2915" s="6" t="n">
        <f aca="false">Sens!I2823</f>
        <v>134.891866897288</v>
      </c>
      <c r="J2915" s="6" t="n">
        <f aca="false">Sens!J2823</f>
        <v>103.143944956752</v>
      </c>
      <c r="K2915" s="6" t="n">
        <f aca="false">Sens!K2823</f>
        <v>95.1702824517861</v>
      </c>
    </row>
    <row r="2916" customFormat="false" ht="17.15" hidden="false" customHeight="false" outlineLevel="0" collapsed="false">
      <c r="A2916" s="1" t="s">
        <v>1113</v>
      </c>
      <c r="B2916" s="0" t="s">
        <v>98</v>
      </c>
      <c r="E2916" s="6" t="n">
        <f aca="false">Sens!E2831*cx_azo+Sens!E2838*cx_m365+Sens!E2839*cx_lic+(Sens!E2841+Sens!E2843)*cx_ind+Sens!E2846*cx_srch+(Sens!E2848+Sens!E2850)*cx_dev</f>
        <v>30.1846587067718</v>
      </c>
      <c r="F2916" s="6" t="n">
        <f aca="false">Sens!F2831*cx_azo+Sens!F2838*cx_m365+Sens!F2839*cx_lic+(Sens!F2841+Sens!F2843)*cx_ind+Sens!F2846*cx_srch+(Sens!F2848+Sens!F2850)*cx_dev</f>
        <v>35.7460764992227</v>
      </c>
      <c r="G2916" s="6" t="n">
        <f aca="false">Sens!G2831*cx_azo+Sens!G2838*cx_m365+Sens!G2839*cx_lic+(Sens!G2841+Sens!G2843)*cx_ind+Sens!G2846*cx_srch+(Sens!G2848+Sens!G2850)*cx_dev</f>
        <v>41.360407454248</v>
      </c>
      <c r="H2916" s="6" t="n">
        <f aca="false">Sens!H2831*cx_azo+Sens!H2838*cx_m365+Sens!H2839*cx_lic+(Sens!H2841+Sens!H2843)*cx_ind+Sens!H2846*cx_srch+(Sens!H2848+Sens!H2850)*cx_dev</f>
        <v>47.0605449685615</v>
      </c>
      <c r="I2916" s="6" t="n">
        <f aca="false">Sens!I2831*cx_azo+Sens!I2838*cx_m365+Sens!I2839*cx_lic+(Sens!I2841+Sens!I2843)*cx_ind+Sens!I2846*cx_srch+(Sens!I2848+Sens!I2850)*cx_dev</f>
        <v>52.4873936808571</v>
      </c>
      <c r="J2916" s="6" t="n">
        <f aca="false">Sens!J2831*cx_azo+Sens!J2838*cx_m365+Sens!J2839*cx_lic+(Sens!J2841+Sens!J2843)*cx_ind+Sens!J2846*cx_srch+(Sens!J2848+Sens!J2850)*cx_dev</f>
        <v>57.4057147917091</v>
      </c>
      <c r="K2916" s="6" t="n">
        <f aca="false">Sens!K2831*cx_azo+Sens!K2838*cx_m365+Sens!K2839*cx_lic+(Sens!K2841+Sens!K2843)*cx_ind+Sens!K2846*cx_srch+(Sens!K2848+Sens!K2850)*cx_dev</f>
        <v>61.7224770607185</v>
      </c>
    </row>
    <row r="2917" customFormat="false" ht="17.15" hidden="false" customHeight="false" outlineLevel="0" collapsed="false">
      <c r="A2917" s="0" t="s">
        <v>1114</v>
      </c>
      <c r="B2917" s="0" t="s">
        <v>98</v>
      </c>
      <c r="F2917" s="6" t="n">
        <f aca="false">Sens!F2821</f>
        <v>33.6908002670816</v>
      </c>
      <c r="L2917" s="1" t="s">
        <v>1115</v>
      </c>
    </row>
    <row r="2918" customFormat="false" ht="17.15" hidden="false" customHeight="false" outlineLevel="0" collapsed="false">
      <c r="A2918" s="1" t="s">
        <v>1116</v>
      </c>
      <c r="B2918" s="0" t="s">
        <v>98</v>
      </c>
      <c r="E2918" s="6" t="n">
        <f aca="false">Q!M43</f>
        <v>145.3</v>
      </c>
      <c r="F2918" s="6" t="n">
        <f aca="false">Sens!F2915+Sens!F2916+Sens!F2917</f>
        <v>204.2</v>
      </c>
      <c r="G2918" s="6" t="n">
        <f aca="false">Sens!G2915+Sens!G2916</f>
        <v>194.915987973486</v>
      </c>
      <c r="H2918" s="6" t="n">
        <f aca="false">Sens!H2915+Sens!H2916</f>
        <v>204.505348220171</v>
      </c>
      <c r="I2918" s="6" t="n">
        <f aca="false">Sens!I2915+Sens!I2916</f>
        <v>187.379260578145</v>
      </c>
      <c r="J2918" s="6" t="n">
        <f aca="false">Sens!J2915+Sens!J2916</f>
        <v>160.549659748462</v>
      </c>
      <c r="K2918" s="6" t="n">
        <f aca="false">Sens!K2915+Sens!K2916</f>
        <v>156.892759512505</v>
      </c>
      <c r="L2918" s="1" t="s">
        <v>1117</v>
      </c>
    </row>
    <row r="2919" customFormat="false" ht="15" hidden="false" customHeight="false" outlineLevel="0" collapsed="false">
      <c r="A2919" s="1" t="s">
        <v>1118</v>
      </c>
      <c r="B2919" s="0" t="s">
        <v>98</v>
      </c>
      <c r="E2919" s="6" t="n">
        <f aca="false">fl_liab</f>
        <v>66.594</v>
      </c>
      <c r="F2919" s="6" t="n">
        <f aca="false">Sens!E2919-Sens!F2920</f>
        <v>62.46973</v>
      </c>
      <c r="G2919" s="6" t="n">
        <f aca="false">Sens!F2919-Sens!G2920</f>
        <v>57.98686785</v>
      </c>
      <c r="H2919" s="6" t="n">
        <f aca="false">Sens!G2919-Sens!H2920</f>
        <v>53.92827690325</v>
      </c>
      <c r="I2919" s="6" t="n">
        <f aca="false">Sens!H2919-Sens!I2920</f>
        <v>49.7850493638962</v>
      </c>
      <c r="J2919" s="6" t="n">
        <f aca="false">Sens!I2919-Sens!J2920</f>
        <v>45.4823765852716</v>
      </c>
      <c r="K2919" s="6" t="n">
        <f aca="false">Sens!J2919-Sens!K2920</f>
        <v>40.9860835316088</v>
      </c>
    </row>
    <row r="2920" customFormat="false" ht="15" hidden="false" customHeight="false" outlineLevel="0" collapsed="false">
      <c r="A2920" s="1" t="s">
        <v>1119</v>
      </c>
      <c r="B2920" s="0" t="s">
        <v>98</v>
      </c>
      <c r="F2920" s="6" t="n">
        <f aca="false">fl_pay_27-Sens!E2919*fl_rate</f>
        <v>4.12427</v>
      </c>
      <c r="G2920" s="6" t="n">
        <f aca="false">fl_pay_28-Sens!F2919*fl_rate</f>
        <v>4.48286215</v>
      </c>
      <c r="H2920" s="6" t="n">
        <f aca="false">fl_pay_29-Sens!G2919*fl_rate</f>
        <v>4.05859094675</v>
      </c>
      <c r="I2920" s="6" t="n">
        <f aca="false">fl_pay_30-Sens!H2919*fl_rate</f>
        <v>4.14322753935375</v>
      </c>
      <c r="J2920" s="6" t="n">
        <f aca="false">fl_pay_31-Sens!I2919*fl_rate</f>
        <v>4.30267277862467</v>
      </c>
      <c r="K2920" s="6" t="n">
        <f aca="false">fl_pay_32-Sens!J2919*fl_rate</f>
        <v>4.49629305366278</v>
      </c>
    </row>
    <row r="2921" customFormat="false" ht="17.15" hidden="false" customHeight="false" outlineLevel="0" collapsed="false">
      <c r="A2921" s="1" t="s">
        <v>1120</v>
      </c>
      <c r="B2921" s="0" t="s">
        <v>98</v>
      </c>
      <c r="E2921" s="6" t="n">
        <f aca="false">Q!M35-Q!M36-Q!M44</f>
        <v>63.886</v>
      </c>
      <c r="F2921" s="6" t="n">
        <f aca="false">Sens!F2914-Sens!F2918-Sens!F2920</f>
        <v>11.4166976726302</v>
      </c>
      <c r="G2921" s="6" t="n">
        <f aca="false">Sens!G2914-Sens!G2918-Sens!G2920</f>
        <v>61.4730052013896</v>
      </c>
      <c r="H2921" s="6" t="n">
        <f aca="false">Sens!H2914-Sens!H2918-Sens!H2920</f>
        <v>101.572132271074</v>
      </c>
      <c r="I2921" s="6" t="n">
        <f aca="false">Sens!I2914-Sens!I2918-Sens!I2920</f>
        <v>163.973008903779</v>
      </c>
      <c r="J2921" s="6" t="n">
        <f aca="false">Sens!J2914-Sens!J2918-Sens!J2920</f>
        <v>227.346804834875</v>
      </c>
      <c r="K2921" s="6" t="n">
        <f aca="false">Sens!K2914-Sens!K2918-Sens!K2920</f>
        <v>259.895120676427</v>
      </c>
      <c r="L2921" s="12" t="s">
        <v>1121</v>
      </c>
    </row>
    <row r="2922" customFormat="false" ht="15" hidden="false" customHeight="false" outlineLevel="0" collapsed="false">
      <c r="A2922" s="1" t="s">
        <v>1122</v>
      </c>
      <c r="B2922" s="0" t="s">
        <v>75</v>
      </c>
      <c r="F2922" s="8" t="n">
        <f aca="false">dps_27</f>
        <v>3.85</v>
      </c>
      <c r="G2922" s="8" t="n">
        <f aca="false">Sens!F2922*(1+dps_g)</f>
        <v>4.158</v>
      </c>
      <c r="H2922" s="8" t="n">
        <f aca="false">Sens!G2922*(1+dps_g)</f>
        <v>4.49064</v>
      </c>
      <c r="I2922" s="8" t="n">
        <f aca="false">Sens!H2922*(1+dps_g)</f>
        <v>4.8498912</v>
      </c>
      <c r="J2922" s="8" t="n">
        <f aca="false">Sens!I2922*(1+dps_g)</f>
        <v>5.237882496</v>
      </c>
      <c r="K2922" s="8" t="n">
        <f aca="false">Sens!J2922*(1+dps_g)</f>
        <v>5.65691309568</v>
      </c>
    </row>
    <row r="2923" customFormat="false" ht="17.15" hidden="false" customHeight="false" outlineLevel="0" collapsed="false">
      <c r="A2923" s="1" t="s">
        <v>1123</v>
      </c>
      <c r="B2923" s="0" t="s">
        <v>98</v>
      </c>
      <c r="E2923" s="6" t="n">
        <f aca="false">Q!M41</f>
        <v>26.445</v>
      </c>
      <c r="F2923" s="6" t="n">
        <f aca="false">Sens!F2922*Sens!E2932</f>
        <v>28.59395</v>
      </c>
      <c r="G2923" s="6" t="n">
        <f aca="false">Sens!G2922*Sens!F2932</f>
        <v>31.0654434375759</v>
      </c>
      <c r="H2923" s="6" t="n">
        <f aca="false">Sens!H2922*Sens!G2932</f>
        <v>33.5849508856547</v>
      </c>
      <c r="I2923" s="6" t="n">
        <f aca="false">Sens!I2922*Sens!H2932</f>
        <v>36.3221852335797</v>
      </c>
      <c r="J2923" s="6" t="n">
        <f aca="false">Sens!J2922*Sens!I2932</f>
        <v>39.2958579376587</v>
      </c>
      <c r="K2923" s="6" t="n">
        <f aca="false">Sens!K2922*Sens!J2932</f>
        <v>42.5262808350496</v>
      </c>
      <c r="L2923" s="1" t="s">
        <v>1124</v>
      </c>
    </row>
    <row r="2924" customFormat="false" ht="15" hidden="false" customHeight="false" outlineLevel="0" collapsed="false">
      <c r="A2924" s="1" t="s">
        <v>1125</v>
      </c>
      <c r="B2924" s="0" t="s">
        <v>98</v>
      </c>
      <c r="E2924" s="6" t="n">
        <f aca="false">Sens!E2921-Sens!E2923</f>
        <v>37.441</v>
      </c>
      <c r="F2924" s="6" t="n">
        <f aca="false">Sens!F2921-Sens!F2923</f>
        <v>-17.1772523273698</v>
      </c>
      <c r="G2924" s="6" t="n">
        <f aca="false">Sens!G2921-Sens!G2923</f>
        <v>30.4075617638137</v>
      </c>
      <c r="H2924" s="6" t="n">
        <f aca="false">Sens!H2921-Sens!H2923</f>
        <v>67.9871813854189</v>
      </c>
      <c r="I2924" s="6" t="n">
        <f aca="false">Sens!I2921-Sens!I2923</f>
        <v>127.650823670199</v>
      </c>
      <c r="J2924" s="6" t="n">
        <f aca="false">Sens!J2921-Sens!J2923</f>
        <v>188.050946897217</v>
      </c>
      <c r="K2924" s="6" t="n">
        <f aca="false">Sens!K2921-Sens!K2923</f>
        <v>217.368839841377</v>
      </c>
    </row>
    <row r="2925" customFormat="false" ht="15" hidden="false" customHeight="false" outlineLevel="0" collapsed="false">
      <c r="A2925" s="1" t="s">
        <v>1126</v>
      </c>
      <c r="B2925" s="0" t="s">
        <v>98</v>
      </c>
      <c r="F2925" s="6" t="n">
        <f aca="false">debt_mat_27</f>
        <v>9.25</v>
      </c>
      <c r="G2925" s="6" t="n">
        <f aca="false">debt_mat_28</f>
        <v>0</v>
      </c>
      <c r="H2925" s="6" t="n">
        <f aca="false">debt_mat_29</f>
        <v>2.001</v>
      </c>
      <c r="I2925" s="6" t="n">
        <f aca="false">debt_mat_30</f>
        <v>0</v>
      </c>
      <c r="J2925" s="6" t="n">
        <f aca="false">debt_mat_31</f>
        <v>0.5</v>
      </c>
      <c r="K2925" s="6" t="n">
        <f aca="false">debt_mat_32</f>
        <v>0</v>
      </c>
    </row>
    <row r="2926" customFormat="false" ht="15" hidden="false" customHeight="false" outlineLevel="0" collapsed="false">
      <c r="A2926" s="1" t="s">
        <v>1127</v>
      </c>
      <c r="B2926" s="0" t="s">
        <v>98</v>
      </c>
      <c r="E2926" s="6" t="n">
        <f aca="false">Q!M40</f>
        <v>22.271</v>
      </c>
      <c r="F2926" s="6" t="n">
        <f aca="false">MAX(0,MIN(bb_target,Sens!E2928+Sens!F2924-Sens!F2925-min_cash))</f>
        <v>0.415747672630246</v>
      </c>
      <c r="G2926" s="6" t="n">
        <f aca="false">MAX(0,MIN(bb_target,Sens!F2928+Sens!G2924-Sens!G2925-min_cash))</f>
        <v>22.271</v>
      </c>
      <c r="H2926" s="6" t="n">
        <f aca="false">MAX(0,MIN(bb_target,Sens!G2928+Sens!H2924-Sens!H2925-min_cash))</f>
        <v>22.271</v>
      </c>
      <c r="I2926" s="6" t="n">
        <f aca="false">MAX(0,MIN(bb_target,Sens!H2928+Sens!I2924-Sens!I2925-min_cash))</f>
        <v>22.271</v>
      </c>
      <c r="J2926" s="6" t="n">
        <f aca="false">MAX(0,MIN(bb_target,Sens!I2928+Sens!J2924-Sens!J2925-min_cash))</f>
        <v>22.271</v>
      </c>
      <c r="K2926" s="6" t="n">
        <f aca="false">MAX(0,MIN(bb_target,Sens!J2928+Sens!K2924-Sens!K2925-min_cash))</f>
        <v>22.271</v>
      </c>
    </row>
    <row r="2927" customFormat="false" ht="15" hidden="false" customHeight="false" outlineLevel="0" collapsed="false">
      <c r="A2927" s="1" t="s">
        <v>1128</v>
      </c>
      <c r="B2927" s="0" t="s">
        <v>98</v>
      </c>
      <c r="F2927" s="6" t="n">
        <f aca="false">MAX(0,min_cash-(Sens!E2928+Sens!F2924-Sens!F2925-Sens!F2926))</f>
        <v>0</v>
      </c>
      <c r="G2927" s="6" t="n">
        <f aca="false">MAX(0,min_cash-(Sens!F2928+Sens!G2924-Sens!G2925-Sens!G2926))</f>
        <v>0</v>
      </c>
      <c r="H2927" s="6" t="n">
        <f aca="false">MAX(0,min_cash-(Sens!G2928+Sens!H2924-Sens!H2925-Sens!H2926))</f>
        <v>0</v>
      </c>
      <c r="I2927" s="6" t="n">
        <f aca="false">MAX(0,min_cash-(Sens!H2928+Sens!I2924-Sens!I2925-Sens!I2926))</f>
        <v>0</v>
      </c>
      <c r="J2927" s="6" t="n">
        <f aca="false">MAX(0,min_cash-(Sens!I2928+Sens!J2924-Sens!J2925-Sens!J2926))</f>
        <v>0</v>
      </c>
      <c r="K2927" s="6" t="n">
        <f aca="false">MAX(0,min_cash-(Sens!J2928+Sens!K2924-Sens!K2925-Sens!K2926))</f>
        <v>0</v>
      </c>
    </row>
    <row r="2928" customFormat="false" ht="15" hidden="false" customHeight="false" outlineLevel="0" collapsed="false">
      <c r="A2928" s="1" t="s">
        <v>1129</v>
      </c>
      <c r="B2928" s="0" t="s">
        <v>98</v>
      </c>
      <c r="E2928" s="6" t="n">
        <f aca="false">cash_open</f>
        <v>76.843</v>
      </c>
      <c r="F2928" s="6" t="n">
        <f aca="false">Sens!E2928+Sens!F2924-Sens!F2925-Sens!F2926+Sens!F2927</f>
        <v>50</v>
      </c>
      <c r="G2928" s="6" t="n">
        <f aca="false">Sens!F2928+Sens!G2924-Sens!G2925-Sens!G2926+Sens!G2927</f>
        <v>58.1365617638137</v>
      </c>
      <c r="H2928" s="6" t="n">
        <f aca="false">Sens!G2928+Sens!H2924-Sens!H2925-Sens!H2926+Sens!H2927</f>
        <v>101.851743149233</v>
      </c>
      <c r="I2928" s="6" t="n">
        <f aca="false">Sens!H2928+Sens!I2924-Sens!I2925-Sens!I2926+Sens!I2927</f>
        <v>207.231566819431</v>
      </c>
      <c r="J2928" s="6" t="n">
        <f aca="false">Sens!I2928+Sens!J2924-Sens!J2925-Sens!J2926+Sens!J2927</f>
        <v>372.511513716648</v>
      </c>
      <c r="K2928" s="6" t="n">
        <f aca="false">Sens!J2928+Sens!K2924-Sens!K2925-Sens!K2926+Sens!K2927</f>
        <v>567.609353558026</v>
      </c>
    </row>
    <row r="2929" customFormat="false" ht="15" hidden="false" customHeight="false" outlineLevel="0" collapsed="false">
      <c r="A2929" s="1" t="s">
        <v>1130</v>
      </c>
      <c r="B2929" s="0" t="s">
        <v>98</v>
      </c>
      <c r="E2929" s="6" t="n">
        <f aca="false">debt_face</f>
        <v>46.136</v>
      </c>
      <c r="F2929" s="6" t="n">
        <f aca="false">Sens!E2929-Sens!F2925+Sens!F2927</f>
        <v>36.886</v>
      </c>
      <c r="G2929" s="6" t="n">
        <f aca="false">Sens!F2929-Sens!G2925+Sens!G2927</f>
        <v>36.886</v>
      </c>
      <c r="H2929" s="6" t="n">
        <f aca="false">Sens!G2929-Sens!H2925+Sens!H2927</f>
        <v>34.885</v>
      </c>
      <c r="I2929" s="6" t="n">
        <f aca="false">Sens!H2929-Sens!I2925+Sens!I2927</f>
        <v>34.885</v>
      </c>
      <c r="J2929" s="6" t="n">
        <f aca="false">Sens!I2929-Sens!J2925+Sens!J2927</f>
        <v>34.385</v>
      </c>
      <c r="K2929" s="6" t="n">
        <f aca="false">Sens!J2929-Sens!K2925+Sens!K2927</f>
        <v>34.385</v>
      </c>
    </row>
    <row r="2930" customFormat="false" ht="15" hidden="false" customHeight="false" outlineLevel="0" collapsed="false">
      <c r="A2930" s="1" t="s">
        <v>1131</v>
      </c>
      <c r="B2930" s="0" t="s">
        <v>98</v>
      </c>
      <c r="E2930" s="6" t="n">
        <f aca="false">Sens!E2928-Sens!E2929</f>
        <v>30.707</v>
      </c>
      <c r="F2930" s="6" t="n">
        <f aca="false">Sens!F2928-Sens!F2929</f>
        <v>13.114</v>
      </c>
      <c r="G2930" s="6" t="n">
        <f aca="false">Sens!G2928-Sens!G2929</f>
        <v>21.2505617638137</v>
      </c>
      <c r="H2930" s="6" t="n">
        <f aca="false">Sens!H2928-Sens!H2929</f>
        <v>66.9667431492326</v>
      </c>
      <c r="I2930" s="6" t="n">
        <f aca="false">Sens!I2928-Sens!I2929</f>
        <v>172.346566819431</v>
      </c>
      <c r="J2930" s="6" t="n">
        <f aca="false">Sens!J2928-Sens!J2929</f>
        <v>338.126513716648</v>
      </c>
      <c r="K2930" s="6" t="n">
        <f aca="false">Sens!K2928-Sens!K2929</f>
        <v>533.224353558026</v>
      </c>
    </row>
    <row r="2931" customFormat="false" ht="15" hidden="false" customHeight="false" outlineLevel="0" collapsed="false">
      <c r="A2931" s="1" t="s">
        <v>1132</v>
      </c>
      <c r="B2931" s="0" t="s">
        <v>75</v>
      </c>
      <c r="F2931" s="30" t="n">
        <f aca="false">px*(1+bb_g)^(Sens!F2789-base_fy-mid_yr)</f>
        <v>551.84177959629</v>
      </c>
      <c r="G2931" s="30" t="n">
        <f aca="false">px*(1+bb_g)^(Sens!G2789-base_fy-mid_yr)</f>
        <v>595.989121963993</v>
      </c>
      <c r="H2931" s="30" t="n">
        <f aca="false">px*(1+bb_g)^(Sens!H2789-base_fy-mid_yr)</f>
        <v>643.668251721112</v>
      </c>
      <c r="I2931" s="30" t="n">
        <f aca="false">px*(1+bb_g)^(Sens!I2789-base_fy-mid_yr)</f>
        <v>695.161711858801</v>
      </c>
      <c r="J2931" s="30" t="n">
        <f aca="false">px*(1+bb_g)^(Sens!J2789-base_fy-mid_yr)</f>
        <v>750.774648807506</v>
      </c>
      <c r="K2931" s="30" t="n">
        <f aca="false">px*(1+bb_g)^(Sens!K2789-base_fy-mid_yr)</f>
        <v>810.836620712106</v>
      </c>
    </row>
    <row r="2932" customFormat="false" ht="15" hidden="false" customHeight="false" outlineLevel="0" collapsed="false">
      <c r="A2932" s="1" t="s">
        <v>1133</v>
      </c>
      <c r="B2932" s="1" t="s">
        <v>81</v>
      </c>
      <c r="E2932" s="15" t="n">
        <f aca="false">sh_out26</f>
        <v>7.427</v>
      </c>
      <c r="F2932" s="15" t="n">
        <f aca="false">Sens!E2932+sh_iss-Sens!F2926/Sens!F2931</f>
        <v>7.47124661798363</v>
      </c>
      <c r="G2932" s="15" t="n">
        <f aca="false">Sens!F2932+sh_iss-Sens!G2926/Sens!G2931</f>
        <v>7.47887848628584</v>
      </c>
      <c r="H2932" s="15" t="n">
        <f aca="false">Sens!G2932+sh_iss-Sens!H2926/Sens!H2931</f>
        <v>7.48927836434344</v>
      </c>
      <c r="I2932" s="15" t="n">
        <f aca="false">Sens!H2932+sh_iss-Sens!I2926/Sens!I2931</f>
        <v>7.50224121439678</v>
      </c>
      <c r="J2932" s="15" t="n">
        <f aca="false">Sens!I2932+sh_iss-Sens!J2926/Sens!J2931</f>
        <v>7.51757718666839</v>
      </c>
      <c r="K2932" s="15" t="n">
        <f aca="false">Sens!J2932+sh_iss-Sens!K2926/Sens!K2931</f>
        <v>7.53511049432728</v>
      </c>
    </row>
    <row r="2933" customFormat="false" ht="15" hidden="false" customHeight="false" outlineLevel="0" collapsed="false">
      <c r="A2933" s="1" t="s">
        <v>1134</v>
      </c>
      <c r="B2933" s="1" t="s">
        <v>81</v>
      </c>
      <c r="E2933" s="15" t="n">
        <f aca="false">sh_dil26</f>
        <v>7.453</v>
      </c>
      <c r="F2933" s="15" t="n">
        <f aca="false">(Sens!E2932+Sens!F2932)/2+dil_gap</f>
        <v>7.47312330899181</v>
      </c>
      <c r="G2933" s="15" t="n">
        <f aca="false">(Sens!F2932+Sens!G2932)/2+dil_gap</f>
        <v>7.49906255213473</v>
      </c>
      <c r="H2933" s="15" t="n">
        <f aca="false">(Sens!G2932+Sens!H2932)/2+dil_gap</f>
        <v>7.50807842531464</v>
      </c>
      <c r="I2933" s="15" t="n">
        <f aca="false">(Sens!H2932+Sens!I2932)/2+dil_gap</f>
        <v>7.51975978937011</v>
      </c>
      <c r="J2933" s="15" t="n">
        <f aca="false">(Sens!I2932+Sens!J2932)/2+dil_gap</f>
        <v>7.53390920053258</v>
      </c>
      <c r="K2933" s="15" t="n">
        <f aca="false">(Sens!J2932+Sens!K2932)/2+dil_gap</f>
        <v>7.55034384049784</v>
      </c>
    </row>
    <row r="2934" customFormat="false" ht="17.15" hidden="false" customHeight="false" outlineLevel="0" collapsed="false">
      <c r="A2934" s="1" t="s">
        <v>1135</v>
      </c>
      <c r="B2934" s="0" t="s">
        <v>98</v>
      </c>
      <c r="C2934" s="6" t="n">
        <f aca="false">SUM(Sens!F2924:J2924)</f>
        <v>396.919261389279</v>
      </c>
    </row>
    <row r="2935" customFormat="false" ht="15" hidden="false" customHeight="false" outlineLevel="0" collapsed="false">
      <c r="A2935" s="26" t="s">
        <v>1100</v>
      </c>
      <c r="B2935" s="31" t="s">
        <v>98</v>
      </c>
      <c r="C2935" s="27" t="n">
        <f aca="false">Sens!$C$2934-(Sens!F2924+Sens!G2924+Sens!H2924+Sens!I2924+Sens!J2924)</f>
        <v>0</v>
      </c>
      <c r="D2935" s="31"/>
      <c r="E2935" s="31"/>
      <c r="F2935" s="31"/>
      <c r="G2935" s="31"/>
      <c r="H2935" s="31"/>
      <c r="I2935" s="31"/>
      <c r="J2935" s="31"/>
      <c r="K2935" s="31"/>
    </row>
    <row r="2936" customFormat="false" ht="17.15" hidden="false" customHeight="false" outlineLevel="0" collapsed="false">
      <c r="A2936" s="1" t="s">
        <v>1094</v>
      </c>
      <c r="B2936" s="1" t="s">
        <v>1136</v>
      </c>
      <c r="C2936" s="33" t="str">
        <f aca="false">IF(SUM(Sens!F2927:J2927)&gt;0.05,"需要舉債 "&amp;TEXT(SUM(Sens!F2927:J2927),"0.0")&amp;" 十億美元","不需舉債")&amp;"；"&amp;IF(SUM(Sens!F2926:J2926)&lt;COUNT(Sens!F2926:J2926)*bb_target-0.05,"回購較每年 "&amp;TEXT(bb_target,"0.0")&amp;" 的目標少 "&amp;TEXT(COUNT(Sens!F2926:J2926)*bb_target-SUM(Sens!F2926:J2926),"0.0")&amp;" 十億美元（"&amp;TEXT(COUNTIF(Sens!F2926:J2926,"&lt;"&amp;(bb_target-0.05)),"0")&amp;" 年減少）","回購不減")</f>
        <v>不需舉債；回購較每年 22.3 的目標少 21.9 十億美元（1 年減少）</v>
      </c>
    </row>
    <row r="2937" customFormat="false" ht="17.15" hidden="false" customHeight="false" outlineLevel="0" collapsed="false">
      <c r="A2937" s="3" t="s">
        <v>1684</v>
      </c>
    </row>
    <row r="2938" customFormat="false" ht="15" hidden="false" customHeight="false" outlineLevel="0" collapsed="false">
      <c r="A2938" s="4" t="s">
        <v>43</v>
      </c>
      <c r="B2938" s="4" t="s">
        <v>65</v>
      </c>
      <c r="C2938" s="23" t="s">
        <v>942</v>
      </c>
      <c r="D2938" s="23" t="s">
        <v>943</v>
      </c>
      <c r="E2938" s="23" t="s">
        <v>944</v>
      </c>
      <c r="F2938" s="23" t="s">
        <v>945</v>
      </c>
      <c r="G2938" s="23" t="s">
        <v>946</v>
      </c>
      <c r="H2938" s="23" t="s">
        <v>947</v>
      </c>
      <c r="I2938" s="23" t="s">
        <v>948</v>
      </c>
      <c r="J2938" s="23" t="s">
        <v>949</v>
      </c>
      <c r="K2938" s="23" t="s">
        <v>950</v>
      </c>
      <c r="L2938" s="4" t="s">
        <v>47</v>
      </c>
    </row>
    <row r="2939" customFormat="false" ht="17.15" hidden="false" customHeight="false" outlineLevel="0" collapsed="false">
      <c r="A2939" s="1" t="s">
        <v>1216</v>
      </c>
      <c r="B2939" s="1" t="s">
        <v>279</v>
      </c>
      <c r="F2939" s="8" t="n">
        <f aca="false">(1-v_off)*mid_yr</f>
        <v>0.373972602739726</v>
      </c>
      <c r="G2939" s="8" t="n">
        <f aca="false">Sens!G2789-base_fy-mid_yr-v_off</f>
        <v>1.24794520547945</v>
      </c>
      <c r="H2939" s="8" t="n">
        <f aca="false">Sens!H2789-base_fy-mid_yr-v_off</f>
        <v>2.24794520547945</v>
      </c>
      <c r="I2939" s="8" t="n">
        <f aca="false">Sens!I2789-base_fy-mid_yr-v_off</f>
        <v>3.24794520547945</v>
      </c>
      <c r="J2939" s="8" t="n">
        <f aca="false">Sens!J2789-base_fy-mid_yr-v_off</f>
        <v>4.24794520547945</v>
      </c>
      <c r="K2939" s="8" t="n">
        <f aca="false">Sens!K2789-base_fy-mid_yr-v_off</f>
        <v>5.24794520547945</v>
      </c>
      <c r="L2939" s="12" t="s">
        <v>1217</v>
      </c>
    </row>
    <row r="2940" customFormat="false" ht="15" hidden="false" customHeight="false" outlineLevel="0" collapsed="false">
      <c r="A2940" s="1" t="s">
        <v>1218</v>
      </c>
      <c r="B2940" s="1" t="s">
        <v>279</v>
      </c>
      <c r="F2940" s="8" t="n">
        <f aca="false">Sens!F2789-base_fy-v_off</f>
        <v>0.747945205479452</v>
      </c>
      <c r="G2940" s="8" t="n">
        <f aca="false">Sens!G2789-base_fy-v_off</f>
        <v>1.74794520547945</v>
      </c>
      <c r="H2940" s="8" t="n">
        <f aca="false">Sens!H2789-base_fy-v_off</f>
        <v>2.74794520547945</v>
      </c>
      <c r="I2940" s="8" t="n">
        <f aca="false">Sens!I2789-base_fy-v_off</f>
        <v>3.74794520547945</v>
      </c>
      <c r="J2940" s="8" t="n">
        <f aca="false">Sens!J2789-base_fy-v_off</f>
        <v>4.74794520547945</v>
      </c>
      <c r="K2940" s="8" t="n">
        <f aca="false">Sens!K2789-base_fy-v_off</f>
        <v>5.74794520547945</v>
      </c>
    </row>
    <row r="2941" customFormat="false" ht="15" hidden="false" customHeight="false" outlineLevel="0" collapsed="false">
      <c r="A2941" s="1" t="s">
        <v>1219</v>
      </c>
      <c r="B2941" s="0" t="s">
        <v>229</v>
      </c>
      <c r="F2941" s="15" t="n">
        <f aca="false">1/(1+wacc)^Sens!F2939</f>
        <v>0.964022703286649</v>
      </c>
      <c r="G2941" s="15" t="n">
        <f aca="false">1/(1+wacc)^Sens!G2939</f>
        <v>0.884910302296739</v>
      </c>
      <c r="H2941" s="15" t="n">
        <f aca="false">1/(1+wacc)^Sens!H2939</f>
        <v>0.802322009770358</v>
      </c>
      <c r="I2941" s="15" t="n">
        <f aca="false">1/(1+wacc)^Sens!I2939</f>
        <v>0.727441646561469</v>
      </c>
      <c r="J2941" s="15" t="n">
        <f aca="false">1/(1+wacc)^Sens!J2939</f>
        <v>0.659549834988973</v>
      </c>
      <c r="K2941" s="15" t="n">
        <f aca="false">1/(1+wacc)^Sens!K2939</f>
        <v>0.597994336576966</v>
      </c>
    </row>
    <row r="2942" customFormat="false" ht="17.15" hidden="false" customHeight="false" outlineLevel="0" collapsed="false">
      <c r="A2942" s="1" t="s">
        <v>1220</v>
      </c>
      <c r="B2942" s="0" t="s">
        <v>98</v>
      </c>
      <c r="F2942" s="6" t="n">
        <f aca="false">Q!$I$35-Q!$I$39-Q!$I$43</f>
        <v>9.666</v>
      </c>
      <c r="L2942" s="12" t="s">
        <v>1221</v>
      </c>
    </row>
    <row r="2943" customFormat="false" ht="17.15" hidden="false" customHeight="false" outlineLevel="0" collapsed="false">
      <c r="A2943" s="1" t="s">
        <v>1222</v>
      </c>
      <c r="B2943" s="0" t="s">
        <v>98</v>
      </c>
      <c r="F2943" s="6" t="n">
        <f aca="false">Sens!F2914-Sens!F2911-Sens!F2918+Sens!F2896*(1-tax_f)*(1-v_off)-Sens!F2942</f>
        <v>-7.19952355646336</v>
      </c>
      <c r="G2943" s="6" t="n">
        <f aca="false">Sens!G2914-Sens!G2911-Sens!G2918+Sens!G2896*(1-tax_f)</f>
        <v>55.5495408214441</v>
      </c>
      <c r="H2943" s="6" t="n">
        <f aca="false">Sens!H2914-Sens!H2911-Sens!H2918+Sens!H2896*(1-tax_f)</f>
        <v>97.7926535448517</v>
      </c>
      <c r="I2943" s="6" t="n">
        <f aca="false">Sens!I2914-Sens!I2911-Sens!I2918+Sens!I2896*(1-tax_f)</f>
        <v>162.771280238699</v>
      </c>
      <c r="J2943" s="6" t="n">
        <f aca="false">Sens!J2914-Sens!J2911-Sens!J2918+Sens!J2896*(1-tax_f)</f>
        <v>227.751280000469</v>
      </c>
      <c r="K2943" s="6" t="n">
        <f aca="false">Sens!K2914-Sens!K2911-Sens!K2918+Sens!K2896*(1-tax_f)</f>
        <v>260.417748031166</v>
      </c>
      <c r="L2943" s="1" t="s">
        <v>1223</v>
      </c>
    </row>
    <row r="2944" customFormat="false" ht="15" hidden="false" customHeight="false" outlineLevel="0" collapsed="false">
      <c r="A2944" s="1" t="s">
        <v>1224</v>
      </c>
      <c r="B2944" s="0" t="s">
        <v>98</v>
      </c>
      <c r="F2944" s="6" t="n">
        <f aca="false">Sens!F2943*Sens!F2941</f>
        <v>-6.94050416127772</v>
      </c>
      <c r="G2944" s="6" t="n">
        <f aca="false">Sens!G2943*Sens!G2941</f>
        <v>49.1563609607491</v>
      </c>
      <c r="H2944" s="6" t="n">
        <f aca="false">Sens!H2943*Sens!H2941</f>
        <v>78.4611983328817</v>
      </c>
      <c r="I2944" s="6" t="n">
        <f aca="false">Sens!I2943*Sens!I2941</f>
        <v>118.406608109758</v>
      </c>
      <c r="J2944" s="6" t="n">
        <f aca="false">Sens!J2943*Sens!J2941</f>
        <v>150.213319142837</v>
      </c>
      <c r="K2944" s="6" t="n">
        <f aca="false">Sens!K2943*Sens!K2941</f>
        <v>155.728338466765</v>
      </c>
    </row>
    <row r="2945" customFormat="false" ht="17.15" hidden="false" customHeight="false" outlineLevel="0" collapsed="false">
      <c r="A2945" s="1" t="s">
        <v>1225</v>
      </c>
      <c r="B2945" s="0" t="s">
        <v>98</v>
      </c>
      <c r="C2945" s="6" t="n">
        <f aca="false">SUM(Sens!F2944:K2944)</f>
        <v>545.025320851712</v>
      </c>
    </row>
    <row r="2946" customFormat="false" ht="17.15" hidden="false" customHeight="false" outlineLevel="0" collapsed="false">
      <c r="A2946" s="1" t="s">
        <v>1226</v>
      </c>
      <c r="B2946" s="0" t="s">
        <v>98</v>
      </c>
      <c r="C2946" s="6" t="n">
        <f aca="false">Sens!K2882*(1+g_tv)*(1-tax_f)</f>
        <v>272.413704021056</v>
      </c>
    </row>
    <row r="2947" customFormat="false" ht="17.15" hidden="false" customHeight="false" outlineLevel="0" collapsed="false">
      <c r="A2947" s="1" t="s">
        <v>1227</v>
      </c>
      <c r="B2947" s="0" t="s">
        <v>98</v>
      </c>
      <c r="C2947" s="6" t="n">
        <f aca="false">Sens!$C$2946*(1-g_tv/(wacc+ronic_prem))</f>
        <v>193.021030866076</v>
      </c>
    </row>
    <row r="2948" customFormat="false" ht="17.15" hidden="false" customHeight="false" outlineLevel="0" collapsed="false">
      <c r="A2948" s="1" t="s">
        <v>1228</v>
      </c>
      <c r="B2948" s="0" t="s">
        <v>98</v>
      </c>
      <c r="C2948" s="6" t="n">
        <f aca="false">Sens!$C$2947/(wacc-g_tv)</f>
        <v>2646.42243849933</v>
      </c>
    </row>
    <row r="2949" customFormat="false" ht="15" hidden="false" customHeight="false" outlineLevel="0" collapsed="false">
      <c r="A2949" s="1" t="s">
        <v>1229</v>
      </c>
      <c r="B2949" s="0" t="s">
        <v>98</v>
      </c>
      <c r="C2949" s="6" t="n">
        <f aca="false">Sens!$C$2948/(1+wacc)^Sens!K2940</f>
        <v>1506.88797974495</v>
      </c>
    </row>
    <row r="2950" customFormat="false" ht="17.15" hidden="false" customHeight="false" outlineLevel="0" collapsed="false">
      <c r="A2950" s="0" t="s">
        <v>1230</v>
      </c>
      <c r="B2950" s="0" t="s">
        <v>98</v>
      </c>
      <c r="C2950" s="6" t="n">
        <f aca="false">Sens!$C$2945+Sens!$C$2949</f>
        <v>2051.91330059666</v>
      </c>
    </row>
    <row r="2951" customFormat="false" ht="15" hidden="false" customHeight="false" outlineLevel="0" collapsed="false">
      <c r="A2951" s="1" t="s">
        <v>1145</v>
      </c>
      <c r="B2951" s="0" t="s">
        <v>168</v>
      </c>
      <c r="C2951" s="7" t="n">
        <f aca="false">Sens!$C$2949/Sens!$C$2950</f>
        <v>0.73438189581732</v>
      </c>
    </row>
    <row r="2952" customFormat="false" ht="17.15" hidden="false" customHeight="false" outlineLevel="0" collapsed="false">
      <c r="A2952" s="1" t="s">
        <v>1231</v>
      </c>
      <c r="B2952" s="0" t="s">
        <v>98</v>
      </c>
      <c r="C2952" s="6" t="n">
        <f aca="false">Sens!$C$2950+cash_val-debt_val-fl_val+oai_v</f>
        <v>2167.76430059666</v>
      </c>
    </row>
    <row r="2953" customFormat="false" ht="17.15" hidden="false" customHeight="false" outlineLevel="0" collapsed="false">
      <c r="A2953" s="0" t="s">
        <v>1153</v>
      </c>
      <c r="B2953" s="0" t="s">
        <v>75</v>
      </c>
      <c r="C2953" s="5" t="n">
        <f aca="false">Sens!$C$2952/shd_val</f>
        <v>291.131386059181</v>
      </c>
    </row>
    <row r="2954" customFormat="false" ht="15" hidden="false" customHeight="false" outlineLevel="0" collapsed="false">
      <c r="A2954" s="1" t="s">
        <v>1232</v>
      </c>
      <c r="B2954" s="0" t="s">
        <v>75</v>
      </c>
      <c r="C2954" s="8" t="n">
        <f aca="false">div_rem27+Sens!G2922*roll_div_q/q_per_yr</f>
        <v>3.9795</v>
      </c>
    </row>
    <row r="2955" customFormat="false" ht="17.15" hidden="false" customHeight="false" outlineLevel="0" collapsed="false">
      <c r="A2955" s="0" t="s">
        <v>1233</v>
      </c>
      <c r="B2955" s="0" t="s">
        <v>75</v>
      </c>
      <c r="C2955" s="5" t="n">
        <f aca="false">Sens!$C$2953*(1+wacc)^t_roll-Sens!$C$2954</f>
        <v>319.629283863985</v>
      </c>
    </row>
    <row r="2956" customFormat="false" ht="17.15" hidden="false" customHeight="false" outlineLevel="0" collapsed="false">
      <c r="A2956" s="1" t="s">
        <v>1234</v>
      </c>
      <c r="B2956" s="0" t="s">
        <v>168</v>
      </c>
      <c r="F2956" s="7" t="n">
        <f aca="false">Sens!F2908/(Sens!F2853-Sens!F2808)</f>
        <v>0.0869645603337002</v>
      </c>
      <c r="G2956" s="7" t="n">
        <f aca="false">Sens!G2908/(Sens!G2853-Sens!G2808)</f>
        <v>0.0805628309094725</v>
      </c>
      <c r="H2956" s="7" t="n">
        <f aca="false">Sens!H2908/(Sens!H2853-Sens!H2808)</f>
        <v>0.0763331988255926</v>
      </c>
      <c r="I2956" s="7" t="n">
        <f aca="false">Sens!I2908/(Sens!I2853-Sens!I2808)</f>
        <v>0.0739894005399053</v>
      </c>
      <c r="J2956" s="7" t="n">
        <f aca="false">Sens!J2908/(Sens!J2853-Sens!J2808)</f>
        <v>0.0730773290576933</v>
      </c>
      <c r="K2956" s="7" t="n">
        <f aca="false">Sens!K2908/(Sens!K2853-Sens!K2808)</f>
        <v>0.0731079442967314</v>
      </c>
    </row>
    <row r="2957" customFormat="false" ht="17.15" hidden="false" customHeight="false" outlineLevel="0" collapsed="false">
      <c r="A2957" s="0" t="s">
        <v>1235</v>
      </c>
      <c r="B2957" s="0" t="s">
        <v>98</v>
      </c>
      <c r="F2957" s="6" t="n">
        <f aca="false">Sens!F2838*(al_m365+Sens!F2956+sbc_r)</f>
        <v>85.895984695135</v>
      </c>
      <c r="G2957" s="6" t="n">
        <f aca="false">Sens!G2838*(al_m365+Sens!G2956+sbc_r)</f>
        <v>98.1436601299403</v>
      </c>
      <c r="H2957" s="6" t="n">
        <f aca="false">Sens!H2838*(al_m365+Sens!H2956+sbc_r)</f>
        <v>110.553593576579</v>
      </c>
      <c r="I2957" s="6" t="n">
        <f aca="false">Sens!I2838*(al_m365+Sens!I2956+sbc_r)</f>
        <v>121.9437487771</v>
      </c>
      <c r="J2957" s="6" t="n">
        <f aca="false">Sens!J2838*(al_m365+Sens!J2956+sbc_r)</f>
        <v>132.135400718389</v>
      </c>
      <c r="K2957" s="6" t="n">
        <f aca="false">Sens!K2838*(al_m365+Sens!K2956+sbc_r)</f>
        <v>141.955811317539</v>
      </c>
      <c r="L2957" s="12" t="s">
        <v>1236</v>
      </c>
    </row>
    <row r="2958" customFormat="false" ht="17.15" hidden="false" customHeight="false" outlineLevel="0" collapsed="false">
      <c r="A2958" s="0" t="s">
        <v>1237</v>
      </c>
      <c r="B2958" s="0" t="s">
        <v>98</v>
      </c>
      <c r="F2958" s="6" t="n">
        <f aca="false">Sens!F2839*(al_lic+Sens!F2956+sbc_r)</f>
        <v>33.5619409292667</v>
      </c>
      <c r="G2958" s="6" t="n">
        <f aca="false">Sens!G2839*(al_lic+Sens!G2956+sbc_r)</f>
        <v>34.7269607721268</v>
      </c>
      <c r="H2958" s="6" t="n">
        <f aca="false">Sens!H2839*(al_lic+Sens!H2956+sbc_r)</f>
        <v>35.8280114442082</v>
      </c>
      <c r="I2958" s="6" t="n">
        <f aca="false">Sens!I2839*(al_lic+Sens!I2956+sbc_r)</f>
        <v>36.8445930048844</v>
      </c>
      <c r="J2958" s="6" t="n">
        <f aca="false">Sens!J2839*(al_lic+Sens!J2956+sbc_r)</f>
        <v>37.7472899822674</v>
      </c>
      <c r="K2958" s="6" t="n">
        <f aca="false">Sens!K2839*(al_lic+Sens!K2956+sbc_r)</f>
        <v>38.5036056948293</v>
      </c>
    </row>
    <row r="2959" customFormat="false" ht="17.15" hidden="false" customHeight="false" outlineLevel="0" collapsed="false">
      <c r="A2959" s="0" t="s">
        <v>1238</v>
      </c>
      <c r="B2959" s="0" t="s">
        <v>98</v>
      </c>
      <c r="F2959" s="6" t="n">
        <f aca="false">Sens!F2841*(al_ind+Sens!F2956+sbc_r)</f>
        <v>9.46980718143308</v>
      </c>
      <c r="G2959" s="6" t="n">
        <f aca="false">Sens!G2841*(al_ind+Sens!G2956+sbc_r)</f>
        <v>10.1955067705885</v>
      </c>
      <c r="H2959" s="6" t="n">
        <f aca="false">Sens!H2841*(al_ind+Sens!H2956+sbc_r)</f>
        <v>10.9738212538474</v>
      </c>
      <c r="I2959" s="6" t="n">
        <f aca="false">Sens!I2841*(al_ind+Sens!I2956+sbc_r)</f>
        <v>11.8016276962393</v>
      </c>
      <c r="J2959" s="6" t="n">
        <f aca="false">Sens!J2841*(al_ind+Sens!J2956+sbc_r)</f>
        <v>12.6678178212603</v>
      </c>
      <c r="K2959" s="6" t="n">
        <f aca="false">Sens!K2841*(al_ind+Sens!K2956+sbc_r)</f>
        <v>13.5555760718557</v>
      </c>
    </row>
    <row r="2960" customFormat="false" ht="17.15" hidden="false" customHeight="false" outlineLevel="0" collapsed="false">
      <c r="A2960" s="0" t="s">
        <v>1239</v>
      </c>
      <c r="B2960" s="0" t="s">
        <v>98</v>
      </c>
      <c r="F2960" s="6" t="n">
        <f aca="false">Sens!F2843*(al_fro+Sens!F2956+sbc_r)</f>
        <v>3.71461645295109</v>
      </c>
      <c r="G2960" s="6" t="n">
        <f aca="false">Sens!G2843*(al_fro+Sens!G2956+sbc_r)</f>
        <v>3.9010997000541</v>
      </c>
      <c r="H2960" s="6" t="n">
        <f aca="false">Sens!H2843*(al_fro+Sens!H2956+sbc_r)</f>
        <v>4.12118492661139</v>
      </c>
      <c r="I2960" s="6" t="n">
        <f aca="false">Sens!I2843*(al_fro+Sens!I2956+sbc_r)</f>
        <v>4.37708182013823</v>
      </c>
      <c r="J2960" s="6" t="n">
        <f aca="false">Sens!J2843*(al_fro+Sens!J2956+sbc_r)</f>
        <v>4.66904139149676</v>
      </c>
      <c r="K2960" s="6" t="n">
        <f aca="false">Sens!K2843*(al_fro+Sens!K2956+sbc_r)</f>
        <v>4.99624691940673</v>
      </c>
    </row>
    <row r="2961" customFormat="false" ht="17.15" hidden="false" customHeight="false" outlineLevel="0" collapsed="false">
      <c r="A2961" s="0" t="s">
        <v>1240</v>
      </c>
      <c r="B2961" s="0" t="s">
        <v>98</v>
      </c>
      <c r="F2961" s="6" t="n">
        <f aca="false">Sens!F2846*(al_srch+Sens!F2956+sbc_r)</f>
        <v>11.694663451295</v>
      </c>
      <c r="G2961" s="6" t="n">
        <f aca="false">Sens!G2846*(al_srch+Sens!G2956+sbc_r)</f>
        <v>12.7096600795673</v>
      </c>
      <c r="H2961" s="6" t="n">
        <f aca="false">Sens!H2846*(al_srch+Sens!H2956+sbc_r)</f>
        <v>13.7772235164513</v>
      </c>
      <c r="I2961" s="6" t="n">
        <f aca="false">Sens!I2846*(al_srch+Sens!I2956+sbc_r)</f>
        <v>14.8871506151941</v>
      </c>
      <c r="J2961" s="6" t="n">
        <f aca="false">Sens!J2846*(al_srch+Sens!J2956+sbc_r)</f>
        <v>16.0181068124911</v>
      </c>
      <c r="K2961" s="6" t="n">
        <f aca="false">Sens!K2846*(al_srch+Sens!K2956+sbc_r)</f>
        <v>17.1406526749554</v>
      </c>
    </row>
    <row r="2962" customFormat="false" ht="17.15" hidden="false" customHeight="false" outlineLevel="0" collapsed="false">
      <c r="A2962" s="0" t="s">
        <v>1241</v>
      </c>
      <c r="B2962" s="0" t="s">
        <v>98</v>
      </c>
      <c r="F2962" s="6" t="n">
        <f aca="false">Sens!F2814-Sens!F2815+Sens!F2896</f>
        <v>39.2441385364723</v>
      </c>
      <c r="G2962" s="6" t="n">
        <f aca="false">Sens!G2814-Sens!G2815+Sens!G2896</f>
        <v>71.1440597038076</v>
      </c>
      <c r="H2962" s="6" t="n">
        <f aca="false">Sens!H2814-Sens!H2815+Sens!H2896</f>
        <v>105.260824988681</v>
      </c>
      <c r="I2962" s="6" t="n">
        <f aca="false">Sens!I2814-Sens!I2815+Sens!I2896</f>
        <v>135.784739559234</v>
      </c>
      <c r="J2962" s="6" t="n">
        <f aca="false">Sens!J2814-Sens!J2815+Sens!J2896</f>
        <v>157.24245987123</v>
      </c>
      <c r="K2962" s="6" t="n">
        <f aca="false">Sens!K2814-Sens!K2815+Sens!K2896</f>
        <v>170.277554806056</v>
      </c>
    </row>
    <row r="2963" customFormat="false" ht="17.15" hidden="false" customHeight="false" outlineLevel="0" collapsed="false">
      <c r="A2963" s="0" t="s">
        <v>1242</v>
      </c>
      <c r="B2963" s="0" t="s">
        <v>98</v>
      </c>
      <c r="F2963" s="6" t="n">
        <f aca="false">Sens!F2875+Sens!F2896+Sens!F2826+Sens!F2956*(Sens!F2845-Sens!F2808)+sbc_r*Sens!F2845</f>
        <v>230.585539324186</v>
      </c>
      <c r="G2963" s="6" t="n">
        <f aca="false">Sens!G2875+Sens!G2896+Sens!G2826+Sens!G2956*(Sens!G2845-Sens!G2808)+sbc_r*Sens!G2845</f>
        <v>284.740705853095</v>
      </c>
      <c r="H2963" s="6" t="n">
        <f aca="false">Sens!H2875+Sens!H2896+Sens!H2826+Sens!H2956*(Sens!H2845-Sens!H2808)+sbc_r*Sens!H2845</f>
        <v>345.700789636418</v>
      </c>
      <c r="I2963" s="6" t="n">
        <f aca="false">Sens!I2875+Sens!I2896+Sens!I2826+Sens!I2956*(Sens!I2845-Sens!I2808)+sbc_r*Sens!I2845</f>
        <v>401.722027437348</v>
      </c>
      <c r="J2963" s="6" t="n">
        <f aca="false">Sens!J2875+Sens!J2896+Sens!J2826+Sens!J2956*(Sens!J2845-Sens!J2808)+sbc_r*Sens!J2845</f>
        <v>446.29071937326</v>
      </c>
      <c r="K2963" s="6" t="n">
        <f aca="false">Sens!K2875+Sens!K2896+Sens!K2826+Sens!K2956*(Sens!K2845-Sens!K2808)+sbc_r*Sens!K2845</f>
        <v>480.119081253993</v>
      </c>
    </row>
    <row r="2964" customFormat="false" ht="17.15" hidden="false" customHeight="false" outlineLevel="0" collapsed="false">
      <c r="A2964" s="0" t="s">
        <v>1243</v>
      </c>
      <c r="B2964" s="0" t="s">
        <v>98</v>
      </c>
      <c r="F2964" s="6" t="n">
        <f aca="false">Sens!F2963-Sens!F2957-Sens!F2958-Sens!F2959-Sens!F2960-Sens!F2962</f>
        <v>58.6990515289279</v>
      </c>
      <c r="G2964" s="6" t="n">
        <f aca="false">Sens!G2963-Sens!G2957-Sens!G2958-Sens!G2959-Sens!G2960-Sens!G2962</f>
        <v>66.6294187765776</v>
      </c>
      <c r="H2964" s="6" t="n">
        <f aca="false">Sens!H2963-Sens!H2957-Sens!H2958-Sens!H2959-Sens!H2960-Sens!H2962</f>
        <v>78.9633534464907</v>
      </c>
      <c r="I2964" s="6" t="n">
        <f aca="false">Sens!I2963-Sens!I2957-Sens!I2958-Sens!I2959-Sens!I2960-Sens!I2962</f>
        <v>90.9702365797515</v>
      </c>
      <c r="J2964" s="6" t="n">
        <f aca="false">Sens!J2963-Sens!J2957-Sens!J2958-Sens!J2959-Sens!J2960-Sens!J2962</f>
        <v>101.828709588617</v>
      </c>
      <c r="K2964" s="6" t="n">
        <f aca="false">Sens!K2963-Sens!K2957-Sens!K2958-Sens!K2959-Sens!K2960-Sens!K2962</f>
        <v>110.830286444307</v>
      </c>
    </row>
    <row r="2965" customFormat="false" ht="17.15" hidden="false" customHeight="false" outlineLevel="0" collapsed="false">
      <c r="A2965" s="0" t="s">
        <v>1244</v>
      </c>
      <c r="B2965" s="0" t="s">
        <v>98</v>
      </c>
      <c r="F2965" s="6" t="n">
        <f aca="false">Sens!F2877+Sens!F2956*Sens!F2852+sbc_r*Sens!F2852</f>
        <v>27.8132658015378</v>
      </c>
      <c r="G2965" s="6" t="n">
        <f aca="false">Sens!G2877+Sens!G2956*Sens!G2852+sbc_r*Sens!G2852</f>
        <v>27.4482917360401</v>
      </c>
      <c r="H2965" s="6" t="n">
        <f aca="false">Sens!H2877+Sens!H2956*Sens!H2852+sbc_r*Sens!H2852</f>
        <v>28.1674877312691</v>
      </c>
      <c r="I2965" s="6" t="n">
        <f aca="false">Sens!I2877+Sens!I2956*Sens!I2852+sbc_r*Sens!I2852</f>
        <v>29.1601585408213</v>
      </c>
      <c r="J2965" s="6" t="n">
        <f aca="false">Sens!J2877+Sens!J2956*Sens!J2852+sbc_r*Sens!J2852</f>
        <v>30.3809493711075</v>
      </c>
      <c r="K2965" s="6" t="n">
        <f aca="false">Sens!K2877+Sens!K2956*Sens!K2852+sbc_r*Sens!K2852</f>
        <v>31.7844671307732</v>
      </c>
    </row>
    <row r="2966" customFormat="false" ht="17.15" hidden="false" customHeight="false" outlineLevel="0" collapsed="false">
      <c r="A2966" s="0" t="s">
        <v>1245</v>
      </c>
      <c r="B2966" s="0" t="s">
        <v>98</v>
      </c>
      <c r="F2966" s="6" t="n">
        <f aca="false">(Sens!F2965-Sens!F2961)*Sens!F2848/(Sens!F2848+Sens!F2850)</f>
        <v>9.10355318596983</v>
      </c>
      <c r="G2966" s="6" t="n">
        <f aca="false">(Sens!G2965-Sens!G2961)*Sens!G2848/(Sens!G2848+Sens!G2850)</f>
        <v>8.18110421575913</v>
      </c>
      <c r="H2966" s="6" t="n">
        <f aca="false">(Sens!H2965-Sens!H2961)*Sens!H2848/(Sens!H2848+Sens!H2850)</f>
        <v>7.88367627347215</v>
      </c>
      <c r="I2966" s="6" t="n">
        <f aca="false">(Sens!I2965-Sens!I2961)*Sens!I2848/(Sens!I2848+Sens!I2850)</f>
        <v>7.75118605803235</v>
      </c>
      <c r="J2966" s="6" t="n">
        <f aca="false">(Sens!J2965-Sens!J2961)*Sens!J2848/(Sens!J2848+Sens!J2850)</f>
        <v>7.76594128786184</v>
      </c>
      <c r="K2966" s="6" t="n">
        <f aca="false">(Sens!K2965-Sens!K2961)*Sens!K2848/(Sens!K2848+Sens!K2850)</f>
        <v>7.91786185987258</v>
      </c>
    </row>
    <row r="2967" customFormat="false" ht="17.15" hidden="false" customHeight="false" outlineLevel="0" collapsed="false">
      <c r="A2967" s="0" t="s">
        <v>1246</v>
      </c>
      <c r="B2967" s="0" t="s">
        <v>98</v>
      </c>
      <c r="F2967" s="6" t="n">
        <f aca="false">Sens!F2965-Sens!F2961-Sens!F2966</f>
        <v>7.01504916427293</v>
      </c>
      <c r="G2967" s="6" t="n">
        <f aca="false">Sens!G2965-Sens!G2961-Sens!G2966</f>
        <v>6.55752744071365</v>
      </c>
      <c r="H2967" s="6" t="n">
        <f aca="false">Sens!H2965-Sens!H2961-Sens!H2966</f>
        <v>6.50658794134561</v>
      </c>
      <c r="I2967" s="6" t="n">
        <f aca="false">Sens!I2965-Sens!I2961-Sens!I2966</f>
        <v>6.52182186759489</v>
      </c>
      <c r="J2967" s="6" t="n">
        <f aca="false">Sens!J2965-Sens!J2961-Sens!J2966</f>
        <v>6.59690127075459</v>
      </c>
      <c r="K2967" s="6" t="n">
        <f aca="false">Sens!K2965-Sens!K2961-Sens!K2966</f>
        <v>6.72595259594525</v>
      </c>
    </row>
    <row r="2968" customFormat="false" ht="17.15" hidden="false" customHeight="false" outlineLevel="0" collapsed="false">
      <c r="A2968" s="0" t="s">
        <v>1247</v>
      </c>
      <c r="B2968" s="0" t="s">
        <v>98</v>
      </c>
      <c r="F2968" s="6" t="n">
        <f aca="false">Sens!F2962-tax_f*(Sens!F2962-Sens!F2826)-Sens!F2823</f>
        <v>-97.8351220879816</v>
      </c>
      <c r="G2968" s="6" t="n">
        <f aca="false">Sens!G2962-tax_f*(Sens!G2962-Sens!G2826)-Sens!G2823</f>
        <v>-86.9228142518246</v>
      </c>
      <c r="H2968" s="6" t="n">
        <f aca="false">Sens!H2962-tax_f*(Sens!H2962-Sens!H2826)-Sens!H2823</f>
        <v>-58.9801287548337</v>
      </c>
      <c r="I2968" s="6" t="n">
        <f aca="false">Sens!I2962-tax_f*(Sens!I2962-Sens!I2826)-Sens!I2823</f>
        <v>-7.9871136987732</v>
      </c>
      <c r="J2968" s="6" t="n">
        <f aca="false">Sens!J2962-tax_f*(Sens!J2962-Sens!J2826)-Sens!J2823</f>
        <v>43.7725306281672</v>
      </c>
      <c r="K2968" s="6" t="n">
        <f aca="false">Sens!K2962-tax_f*(Sens!K2962-Sens!K2826)-Sens!K2823</f>
        <v>63.9337885212078</v>
      </c>
    </row>
    <row r="2969" customFormat="false" ht="17.15" hidden="false" customHeight="false" outlineLevel="0" collapsed="false">
      <c r="A2969" s="0" t="s">
        <v>1248</v>
      </c>
      <c r="B2969" s="0" t="s">
        <v>98</v>
      </c>
      <c r="G2969" s="6" t="n">
        <f aca="false">Sens!G2968/(1+wacc)^(Sens!G2939-Sens!F2940)</f>
        <v>-82.7672462926147</v>
      </c>
      <c r="H2969" s="6" t="n">
        <f aca="false">Sens!H2968/(1+wacc)^(Sens!H2939-Sens!F2940)</f>
        <v>-50.9190038367068</v>
      </c>
      <c r="I2969" s="6" t="n">
        <f aca="false">Sens!I2968/(1+wacc)^(Sens!I2939-Sens!F2940)</f>
        <v>-6.25192132364992</v>
      </c>
      <c r="J2969" s="6" t="n">
        <f aca="false">Sens!J2968/(1+wacc)^(Sens!J2939-Sens!F2940)</f>
        <v>31.0652424534488</v>
      </c>
      <c r="K2969" s="6" t="n">
        <f aca="false">Sens!K2968/(1+wacc)^(Sens!K2939-Sens!F2940)</f>
        <v>41.1389295765476</v>
      </c>
      <c r="L2969" s="1" t="s">
        <v>1249</v>
      </c>
    </row>
    <row r="2970" customFormat="false" ht="17.15" hidden="false" customHeight="false" outlineLevel="0" collapsed="false">
      <c r="A2970" s="0" t="s">
        <v>1250</v>
      </c>
      <c r="B2970" s="0" t="s">
        <v>98</v>
      </c>
      <c r="C2970" s="6" t="n">
        <f aca="false">(Sens!K2962-Sens!K2826)*(1-tax_f)*(1+g_tv)*(1-g_tv/(wacc+ronic_prem))/(wacc-g_tv)/(1+wacc)^(Sens!K2940-Sens!F2940)</f>
        <v>274.008045180855</v>
      </c>
    </row>
    <row r="2971" customFormat="false" ht="17.15" hidden="false" customHeight="false" outlineLevel="0" collapsed="false">
      <c r="A2971" s="1" t="s">
        <v>1251</v>
      </c>
      <c r="B2971" s="0" t="s">
        <v>98</v>
      </c>
      <c r="C2971" s="6" t="n">
        <f aca="false">(SUM(Sens!G2969:K2969)+Sens!$C$2970)*(1+wacc)^(t_roll-Sens!F2940)</f>
        <v>213.083775827364</v>
      </c>
      <c r="L2971" s="12" t="s">
        <v>1252</v>
      </c>
    </row>
    <row r="2972" customFormat="false" ht="17.15" hidden="false" customHeight="false" outlineLevel="0" collapsed="false">
      <c r="A2972" s="1" t="s">
        <v>1253</v>
      </c>
      <c r="B2972" s="0" t="s">
        <v>98</v>
      </c>
      <c r="C2972" s="6" t="n">
        <f aca="false">(w_ntm28*Sens!G2814+(1-w_ntm28)*Sens!H2814)*m_ai</f>
        <v>463.789109510335</v>
      </c>
    </row>
    <row r="2973" customFormat="false" ht="17.15" hidden="false" customHeight="false" outlineLevel="0" collapsed="false">
      <c r="A2973" s="1" t="s">
        <v>1254</v>
      </c>
      <c r="B2973" s="0" t="s">
        <v>98</v>
      </c>
      <c r="C2973" s="6" t="n">
        <f aca="false">(w_ntm28*Sens!G2964+(1-w_ntm28)*Sens!H2964)*m_cloud</f>
        <v>976.858559976093</v>
      </c>
    </row>
    <row r="2974" customFormat="false" ht="17.15" hidden="false" customHeight="false" outlineLevel="0" collapsed="false">
      <c r="A2974" s="1" t="s">
        <v>1255</v>
      </c>
      <c r="B2974" s="0" t="s">
        <v>98</v>
      </c>
      <c r="C2974" s="6" t="n">
        <f aca="false">(w_ntm28*Sens!G2957+(1-w_ntm28)*Sens!H2957)*m_sw</f>
        <v>1104.01529309334</v>
      </c>
    </row>
    <row r="2975" customFormat="false" ht="17.15" hidden="false" customHeight="false" outlineLevel="0" collapsed="false">
      <c r="A2975" s="1" t="s">
        <v>1256</v>
      </c>
      <c r="B2975" s="0" t="s">
        <v>98</v>
      </c>
      <c r="C2975" s="6" t="n">
        <f aca="false">(w_ntm28*Sens!G2958+(1-w_ntm28)*Sens!H2958)*m_sw</f>
        <v>378.960660369154</v>
      </c>
    </row>
    <row r="2976" customFormat="false" ht="17.15" hidden="false" customHeight="false" outlineLevel="0" collapsed="false">
      <c r="A2976" s="1" t="s">
        <v>1257</v>
      </c>
      <c r="B2976" s="0" t="s">
        <v>98</v>
      </c>
      <c r="C2976" s="6" t="n">
        <f aca="false">(w_ntm28*Sens!G2959+(1-w_ntm28)*Sens!H2959)*m_sw</f>
        <v>112.875022630037</v>
      </c>
    </row>
    <row r="2977" customFormat="false" ht="17.15" hidden="false" customHeight="false" outlineLevel="0" collapsed="false">
      <c r="A2977" s="1" t="s">
        <v>1258</v>
      </c>
      <c r="B2977" s="0" t="s">
        <v>98</v>
      </c>
      <c r="C2977" s="6" t="n">
        <f aca="false">(w_ntm28*Sens!G2960+(1-w_ntm28)*Sens!H2960)*m_sw</f>
        <v>42.9133300581685</v>
      </c>
    </row>
    <row r="2978" customFormat="false" ht="17.15" hidden="false" customHeight="false" outlineLevel="0" collapsed="false">
      <c r="A2978" s="1" t="s">
        <v>1259</v>
      </c>
      <c r="B2978" s="0" t="s">
        <v>98</v>
      </c>
      <c r="C2978" s="6" t="n">
        <f aca="false">(w_ntm28*Sens!G2961+(1-w_ntm28)*Sens!H2961)*m_ads</f>
        <v>118.982428939109</v>
      </c>
    </row>
    <row r="2979" customFormat="false" ht="17.15" hidden="false" customHeight="false" outlineLevel="0" collapsed="false">
      <c r="A2979" s="1" t="s">
        <v>1260</v>
      </c>
      <c r="B2979" s="0" t="s">
        <v>98</v>
      </c>
      <c r="C2979" s="6" t="n">
        <f aca="false">(w_ntm28*Sens!G2966+(1-w_ntm28)*Sens!H2966)*m_game</f>
        <v>102.092327644133</v>
      </c>
    </row>
    <row r="2980" customFormat="false" ht="17.15" hidden="false" customHeight="false" outlineLevel="0" collapsed="false">
      <c r="A2980" s="1" t="s">
        <v>1261</v>
      </c>
      <c r="B2980" s="0" t="s">
        <v>98</v>
      </c>
      <c r="C2980" s="6" t="n">
        <f aca="false">(w_ntm28*Sens!G2967+(1-w_ntm28)*Sens!H2967)*m_pc</f>
        <v>94.6450896104069</v>
      </c>
    </row>
    <row r="2981" customFormat="false" ht="17.15" hidden="false" customHeight="false" outlineLevel="0" collapsed="false">
      <c r="A2981" s="1" t="s">
        <v>1262</v>
      </c>
      <c r="B2981" s="0" t="s">
        <v>98</v>
      </c>
      <c r="C2981" s="6" t="n">
        <f aca="false">Sens!$C$2971+Sens!$C$2973+Sens!$C$2974+Sens!$C$2975+Sens!$C$2976+Sens!$C$2977+Sens!$C$2978+Sens!$C$2979+Sens!$C$2980</f>
        <v>3144.42648814781</v>
      </c>
    </row>
    <row r="2982" customFormat="false" ht="17.15" hidden="false" customHeight="false" outlineLevel="0" collapsed="false">
      <c r="A2982" s="1" t="s">
        <v>1263</v>
      </c>
      <c r="B2982" s="0" t="s">
        <v>98</v>
      </c>
      <c r="C2982" s="6" t="n">
        <f aca="false">(Sens!G2943-Sens!G2968)*t_stub</f>
        <v>47.230561544837</v>
      </c>
      <c r="L2982" s="1" t="s">
        <v>1264</v>
      </c>
    </row>
    <row r="2983" customFormat="false" ht="17.15" hidden="false" customHeight="false" outlineLevel="0" collapsed="false">
      <c r="A2983" s="1" t="s">
        <v>1173</v>
      </c>
      <c r="B2983" s="0" t="s">
        <v>98</v>
      </c>
      <c r="C2983" s="6" t="n">
        <f aca="false">Sens!F2930+oai_v-Sens!F2919+Sens!$C$2982</f>
        <v>161.458831544837</v>
      </c>
      <c r="L2983" s="1" t="s">
        <v>1265</v>
      </c>
    </row>
    <row r="2984" customFormat="false" ht="17.15" hidden="false" customHeight="false" outlineLevel="0" collapsed="false">
      <c r="A2984" s="1" t="s">
        <v>1266</v>
      </c>
      <c r="B2984" s="0" t="s">
        <v>75</v>
      </c>
      <c r="C2984" s="5" t="n">
        <f aca="false">(Sens!$C$2981+Sens!$C$2983)/(Sens!F2932+dil_gap)-Sens!G2922*roll_div_q/q_per_yr</f>
        <v>440.024748874841</v>
      </c>
      <c r="L2984" s="1" t="s">
        <v>1267</v>
      </c>
    </row>
    <row r="2985" customFormat="false" ht="17.15" hidden="false" customHeight="false" outlineLevel="0" collapsed="false">
      <c r="A2985" s="1" t="s">
        <v>1268</v>
      </c>
      <c r="B2985" s="0" t="s">
        <v>75</v>
      </c>
      <c r="C2985" s="5" t="n">
        <f aca="false">w_dcf*Sens!$C$2955+(1-w_dcf)*Sens!$C$2984</f>
        <v>379.827016369413</v>
      </c>
    </row>
    <row r="2986" customFormat="false" ht="17.15" hidden="false" customHeight="false" outlineLevel="0" collapsed="false">
      <c r="A2986" s="3" t="s">
        <v>1685</v>
      </c>
    </row>
    <row r="2987" customFormat="false" ht="15" hidden="false" customHeight="false" outlineLevel="0" collapsed="false">
      <c r="A2987" s="4" t="s">
        <v>43</v>
      </c>
      <c r="B2987" s="4" t="s">
        <v>65</v>
      </c>
      <c r="C2987" s="23" t="s">
        <v>942</v>
      </c>
      <c r="D2987" s="23" t="s">
        <v>943</v>
      </c>
      <c r="E2987" s="23" t="s">
        <v>944</v>
      </c>
      <c r="F2987" s="23" t="s">
        <v>945</v>
      </c>
      <c r="G2987" s="23" t="s">
        <v>946</v>
      </c>
      <c r="H2987" s="23" t="s">
        <v>947</v>
      </c>
      <c r="I2987" s="23" t="s">
        <v>948</v>
      </c>
      <c r="J2987" s="23" t="s">
        <v>949</v>
      </c>
      <c r="K2987" s="23" t="s">
        <v>950</v>
      </c>
      <c r="L2987" s="4" t="s">
        <v>47</v>
      </c>
    </row>
    <row r="2988" customFormat="false" ht="17.15" hidden="false" customHeight="false" outlineLevel="0" collapsed="false">
      <c r="A2988" s="1" t="s">
        <v>951</v>
      </c>
      <c r="B2988" s="1" t="s">
        <v>279</v>
      </c>
      <c r="C2988" s="21" t="n">
        <v>2024</v>
      </c>
      <c r="D2988" s="21" t="n">
        <v>2025</v>
      </c>
      <c r="E2988" s="21" t="n">
        <v>2026</v>
      </c>
      <c r="F2988" s="21" t="n">
        <v>2027</v>
      </c>
      <c r="G2988" s="21" t="n">
        <v>2028</v>
      </c>
      <c r="H2988" s="21" t="n">
        <v>2029</v>
      </c>
      <c r="I2988" s="21" t="n">
        <v>2030</v>
      </c>
      <c r="J2988" s="21" t="n">
        <v>2031</v>
      </c>
      <c r="K2988" s="21" t="n">
        <v>2032</v>
      </c>
    </row>
    <row r="2989" customFormat="false" ht="17.15" hidden="false" customHeight="false" outlineLevel="0" collapsed="false">
      <c r="A2989" s="1" t="s">
        <v>952</v>
      </c>
      <c r="B2989" s="0" t="s">
        <v>459</v>
      </c>
      <c r="F2989" s="30" t="n">
        <f aca="false">pace</f>
        <v>2726.5351</v>
      </c>
      <c r="G2989" s="30" t="n">
        <f aca="false">pace</f>
        <v>2726.5351</v>
      </c>
      <c r="H2989" s="30" t="n">
        <f aca="false">pace</f>
        <v>2726.5351</v>
      </c>
      <c r="I2989" s="30" t="n">
        <f aca="false">pace+(g_tv*Sens!H2990-pace)*MIN(1,(Sens!I2988-pace_y0)/(pace_y1-pace_y0))</f>
        <v>1931.98611966667</v>
      </c>
      <c r="J2989" s="30" t="n">
        <f aca="false">pace+(g_tv*Sens!I2990-pace)*MIN(1,(Sens!J2988-pace_y0)/(pace_y1-pace_y0))</f>
        <v>1176.07686172667</v>
      </c>
      <c r="K2989" s="30" t="n">
        <f aca="false">pace+(g_tv*Sens!J2990-pace)*MIN(1,(Sens!K2988-pace_y0)/(pace_y1-pace_y0))</f>
        <v>436.1300484418</v>
      </c>
      <c r="L2989" s="12" t="s">
        <v>953</v>
      </c>
    </row>
    <row r="2990" customFormat="false" ht="17.15" hidden="false" customHeight="false" outlineLevel="0" collapsed="false">
      <c r="A2990" s="1" t="s">
        <v>954</v>
      </c>
      <c r="B2990" s="0" t="s">
        <v>459</v>
      </c>
      <c r="C2990" s="30" t="n">
        <f aca="false">mw_ext_24</f>
        <v>640</v>
      </c>
      <c r="D2990" s="30" t="n">
        <f aca="false">mw_ext_25</f>
        <v>1630</v>
      </c>
      <c r="E2990" s="30" t="n">
        <f aca="false">mw_ext_26</f>
        <v>3250</v>
      </c>
      <c r="F2990" s="30" t="n">
        <f aca="false">Sens!E2990+Sens!F2989</f>
        <v>5976.5351</v>
      </c>
      <c r="G2990" s="30" t="n">
        <f aca="false">Sens!F2990+Sens!G2989</f>
        <v>8703.0702</v>
      </c>
      <c r="H2990" s="30" t="n">
        <f aca="false">Sens!G2990+Sens!H2989</f>
        <v>11429.6053</v>
      </c>
      <c r="I2990" s="30" t="n">
        <f aca="false">Sens!H2990+Sens!I2989</f>
        <v>13361.5914196667</v>
      </c>
      <c r="J2990" s="30" t="n">
        <f aca="false">Sens!I2990+Sens!J2989</f>
        <v>14537.6682813933</v>
      </c>
      <c r="K2990" s="30" t="n">
        <f aca="false">Sens!J2990+Sens!K2989</f>
        <v>14973.7983298351</v>
      </c>
      <c r="L2990" s="1" t="s">
        <v>955</v>
      </c>
    </row>
    <row r="2991" customFormat="false" ht="17.15" hidden="false" customHeight="false" outlineLevel="0" collapsed="false">
      <c r="A2991" s="1" t="s">
        <v>956</v>
      </c>
      <c r="B2991" s="0" t="s">
        <v>459</v>
      </c>
      <c r="C2991" s="30" t="n">
        <f aca="false">rent_ext_24</f>
        <v>150</v>
      </c>
      <c r="D2991" s="30" t="n">
        <f aca="false">rent_ext_25</f>
        <v>400</v>
      </c>
      <c r="E2991" s="30" t="n">
        <f aca="false">rent_ext_26</f>
        <v>550</v>
      </c>
      <c r="F2991" s="30" t="n">
        <f aca="false">rent_ext_f</f>
        <v>756</v>
      </c>
      <c r="G2991" s="30" t="n">
        <f aca="false">rent_ext_f</f>
        <v>756</v>
      </c>
      <c r="H2991" s="30" t="n">
        <f aca="false">rent_ext_f</f>
        <v>756</v>
      </c>
      <c r="I2991" s="30" t="n">
        <f aca="false">rent_ext_f</f>
        <v>756</v>
      </c>
      <c r="J2991" s="30" t="n">
        <f aca="false">rent_ext_f</f>
        <v>756</v>
      </c>
      <c r="K2991" s="30" t="n">
        <f aca="false">rent_ext_f</f>
        <v>756</v>
      </c>
      <c r="L2991" s="1" t="s">
        <v>957</v>
      </c>
    </row>
    <row r="2992" customFormat="false" ht="17.15" hidden="false" customHeight="false" outlineLevel="0" collapsed="false">
      <c r="A2992" s="1" t="s">
        <v>958</v>
      </c>
      <c r="B2992" s="0" t="s">
        <v>459</v>
      </c>
      <c r="C2992" s="30" t="n">
        <f aca="false">Sens!C2990-Sens!C2991</f>
        <v>490</v>
      </c>
      <c r="D2992" s="30" t="n">
        <f aca="false">Sens!D2990-Sens!D2991</f>
        <v>1230</v>
      </c>
      <c r="E2992" s="30" t="n">
        <f aca="false">Sens!E2990-Sens!E2991</f>
        <v>2700</v>
      </c>
      <c r="F2992" s="30" t="n">
        <f aca="false">Sens!F2990-Sens!F2991</f>
        <v>5220.5351</v>
      </c>
      <c r="G2992" s="30" t="n">
        <f aca="false">Sens!G2990-Sens!G2991</f>
        <v>7947.0702</v>
      </c>
      <c r="H2992" s="30" t="n">
        <f aca="false">Sens!H2990-Sens!H2991</f>
        <v>10673.6053</v>
      </c>
      <c r="I2992" s="30" t="n">
        <f aca="false">Sens!I2990-Sens!I2991</f>
        <v>12605.5914196667</v>
      </c>
      <c r="J2992" s="30" t="n">
        <f aca="false">Sens!J2990-Sens!J2991</f>
        <v>13781.6682813933</v>
      </c>
      <c r="K2992" s="30" t="n">
        <f aca="false">Sens!K2990-Sens!K2991</f>
        <v>14217.7983298351</v>
      </c>
    </row>
    <row r="2993" customFormat="false" ht="17.15" hidden="false" customHeight="false" outlineLevel="0" collapsed="false">
      <c r="A2993" s="1" t="s">
        <v>959</v>
      </c>
      <c r="B2993" s="0" t="s">
        <v>459</v>
      </c>
      <c r="C2993" s="30" t="n">
        <f aca="false">Sens!C2992/ext_sh_hi</f>
        <v>653.333333333333</v>
      </c>
      <c r="D2993" s="30" t="n">
        <f aca="false">Sens!D2992/ext_sh_hi</f>
        <v>1640</v>
      </c>
      <c r="E2993" s="30" t="n">
        <f aca="false">Sens!E2992/ext_sh_hi</f>
        <v>3600</v>
      </c>
      <c r="F2993" s="30" t="n">
        <f aca="false">Sens!F2992/ext_sh_hi</f>
        <v>6960.71346666667</v>
      </c>
      <c r="G2993" s="30" t="n">
        <f aca="false">Sens!G2992/ext_sh_hi</f>
        <v>10596.0936</v>
      </c>
      <c r="H2993" s="30" t="n">
        <f aca="false">Sens!H2992/ext_sh_hi</f>
        <v>14231.4737333333</v>
      </c>
      <c r="I2993" s="30" t="n">
        <f aca="false">Sens!I2992/ext_sh_hi</f>
        <v>16807.4552262222</v>
      </c>
      <c r="J2993" s="30" t="n">
        <f aca="false">Sens!J2992/ext_sh_hi</f>
        <v>18375.5577085244</v>
      </c>
      <c r="K2993" s="30" t="n">
        <f aca="false">Sens!K2992/ext_sh_hi</f>
        <v>18957.0644397802</v>
      </c>
      <c r="L2993" s="1" t="s">
        <v>960</v>
      </c>
    </row>
    <row r="2994" customFormat="false" ht="17.15" hidden="false" customHeight="false" outlineLevel="0" collapsed="false">
      <c r="A2994" s="1" t="s">
        <v>961</v>
      </c>
      <c r="B2994" s="0" t="s">
        <v>459</v>
      </c>
      <c r="C2994" s="30" t="n">
        <f aca="false">Sens!C2993-Sens!C2992</f>
        <v>163.333333333333</v>
      </c>
      <c r="D2994" s="30" t="n">
        <f aca="false">Sens!D2993-Sens!D2992</f>
        <v>410</v>
      </c>
      <c r="E2994" s="30" t="n">
        <f aca="false">Sens!E2993-Sens!E2992</f>
        <v>900</v>
      </c>
      <c r="F2994" s="30" t="n">
        <f aca="false">Sens!F2993-Sens!F2992</f>
        <v>1740.17836666667</v>
      </c>
      <c r="G2994" s="30" t="n">
        <f aca="false">Sens!G2993-Sens!G2992</f>
        <v>2649.0234</v>
      </c>
      <c r="H2994" s="30" t="n">
        <f aca="false">Sens!H2993-Sens!H2992</f>
        <v>3557.86843333333</v>
      </c>
      <c r="I2994" s="30" t="n">
        <f aca="false">Sens!I2993-Sens!I2992</f>
        <v>4201.86380655556</v>
      </c>
      <c r="J2994" s="30" t="n">
        <f aca="false">Sens!J2993-Sens!J2992</f>
        <v>4593.88942713111</v>
      </c>
      <c r="K2994" s="30" t="n">
        <f aca="false">Sens!K2993-Sens!K2992</f>
        <v>4739.26610994505</v>
      </c>
    </row>
    <row r="2995" customFormat="false" ht="17.15" hidden="false" customHeight="false" outlineLevel="0" collapsed="false">
      <c r="A2995" s="1" t="s">
        <v>962</v>
      </c>
      <c r="B2995" s="0" t="s">
        <v>459</v>
      </c>
      <c r="C2995" s="30" t="n">
        <f aca="false">Sens!C2993</f>
        <v>653.333333333333</v>
      </c>
      <c r="D2995" s="30" t="n">
        <f aca="false">Sens!D2993-Sens!C2993</f>
        <v>986.666666666667</v>
      </c>
      <c r="E2995" s="30" t="n">
        <f aca="false">Sens!E2993-Sens!D2993</f>
        <v>1960</v>
      </c>
      <c r="F2995" s="30" t="n">
        <f aca="false">Sens!F2993-Sens!E2993</f>
        <v>3360.71346666667</v>
      </c>
      <c r="G2995" s="30" t="n">
        <f aca="false">Sens!G2993-Sens!F2993</f>
        <v>3635.38013333333</v>
      </c>
      <c r="H2995" s="30" t="n">
        <f aca="false">Sens!H2993-Sens!G2993</f>
        <v>3635.38013333333</v>
      </c>
      <c r="I2995" s="30" t="n">
        <f aca="false">Sens!I2993-Sens!H2993</f>
        <v>2575.98149288889</v>
      </c>
      <c r="J2995" s="30" t="n">
        <f aca="false">Sens!J2993-Sens!I2993</f>
        <v>1568.10248230222</v>
      </c>
      <c r="K2995" s="30" t="n">
        <f aca="false">Sens!K2993-Sens!J2993</f>
        <v>581.506731255733</v>
      </c>
    </row>
    <row r="2996" customFormat="false" ht="17.15" hidden="false" customHeight="false" outlineLevel="0" collapsed="false">
      <c r="A2996" s="1" t="s">
        <v>963</v>
      </c>
      <c r="B2996" s="0" t="s">
        <v>459</v>
      </c>
      <c r="D2996" s="30" t="n">
        <f aca="false">Sens!D2990-Sens!C2990</f>
        <v>990</v>
      </c>
      <c r="E2996" s="30" t="n">
        <f aca="false">Sens!E2990-Sens!D2990</f>
        <v>1620</v>
      </c>
      <c r="F2996" s="30" t="n">
        <f aca="false">Sens!F2990-Sens!E2990</f>
        <v>2726.5351</v>
      </c>
      <c r="G2996" s="30" t="n">
        <f aca="false">Sens!G2990-Sens!F2990</f>
        <v>2726.5351</v>
      </c>
      <c r="H2996" s="30" t="n">
        <f aca="false">Sens!H2990-Sens!G2990</f>
        <v>2726.5351</v>
      </c>
      <c r="I2996" s="30" t="n">
        <f aca="false">Sens!I2990-Sens!H2990</f>
        <v>1931.98611966667</v>
      </c>
      <c r="J2996" s="30" t="n">
        <f aca="false">Sens!J2990-Sens!I2990</f>
        <v>1176.07686172667</v>
      </c>
      <c r="K2996" s="30" t="n">
        <f aca="false">Sens!K2990-Sens!J2990</f>
        <v>436.130048441799</v>
      </c>
    </row>
    <row r="2997" customFormat="false" ht="17.15" hidden="false" customHeight="false" outlineLevel="0" collapsed="false">
      <c r="A2997" s="1" t="s">
        <v>964</v>
      </c>
      <c r="B2997" s="0" t="s">
        <v>459</v>
      </c>
      <c r="F2997" s="30" t="n">
        <f aca="false">Sens!F3016*ext_sh_hi</f>
        <v>0</v>
      </c>
      <c r="G2997" s="30" t="n">
        <f aca="false">Sens!G3016*ext_sh_hi</f>
        <v>0</v>
      </c>
      <c r="H2997" s="30" t="n">
        <f aca="false">Sens!H3016*ext_sh_hi</f>
        <v>0</v>
      </c>
      <c r="I2997" s="30" t="n">
        <f aca="false">Sens!I3016*ext_sh_hi</f>
        <v>490</v>
      </c>
      <c r="J2997" s="30" t="n">
        <f aca="false">Sens!J3016*ext_sh_hi</f>
        <v>740</v>
      </c>
      <c r="K2997" s="30" t="n">
        <f aca="false">Sens!K3016*ext_sh_hi</f>
        <v>1470</v>
      </c>
      <c r="L2997" s="1" t="s">
        <v>965</v>
      </c>
    </row>
    <row r="2998" customFormat="false" ht="17.15" hidden="false" customHeight="false" outlineLevel="0" collapsed="false">
      <c r="A2998" s="1" t="s">
        <v>966</v>
      </c>
      <c r="B2998" s="0" t="s">
        <v>459</v>
      </c>
      <c r="C2998" s="30" t="n">
        <f aca="false">mix_h*Sens!C2990</f>
        <v>128</v>
      </c>
      <c r="D2998" s="30" t="n">
        <f aca="false">mix_h*Sens!D2990</f>
        <v>326</v>
      </c>
      <c r="E2998" s="30" t="n">
        <f aca="false">mix_h*Sens!E2990</f>
        <v>650</v>
      </c>
      <c r="F2998" s="30" t="n">
        <f aca="false">Sens!E2998-Sens!F2997*mix_h</f>
        <v>650</v>
      </c>
      <c r="G2998" s="30" t="n">
        <f aca="false">Sens!F2998-Sens!G2997*mix_h</f>
        <v>650</v>
      </c>
      <c r="H2998" s="30" t="n">
        <f aca="false">Sens!G2998-Sens!H2997*mix_h</f>
        <v>650</v>
      </c>
      <c r="I2998" s="30" t="n">
        <f aca="false">Sens!H2998-Sens!I2997*mix_h</f>
        <v>552</v>
      </c>
      <c r="J2998" s="30" t="n">
        <f aca="false">Sens!I2998-Sens!J2997*mix_h</f>
        <v>404</v>
      </c>
      <c r="K2998" s="30" t="n">
        <f aca="false">Sens!J2998-Sens!K2997*mix_h</f>
        <v>110</v>
      </c>
    </row>
    <row r="2999" customFormat="false" ht="17.15" hidden="false" customHeight="false" outlineLevel="0" collapsed="false">
      <c r="A2999" s="1" t="s">
        <v>967</v>
      </c>
      <c r="B2999" s="0" t="s">
        <v>459</v>
      </c>
      <c r="C2999" s="30" t="n">
        <f aca="false">mix_g2*Sens!C2990</f>
        <v>288</v>
      </c>
      <c r="D2999" s="30" t="n">
        <f aca="false">mix_g2*Sens!D2990</f>
        <v>733.5</v>
      </c>
      <c r="E2999" s="30" t="n">
        <f aca="false">mix_g2*Sens!E2990</f>
        <v>1462.5</v>
      </c>
      <c r="F2999" s="30" t="n">
        <f aca="false">Sens!E2999-Sens!F2997*mix_g2</f>
        <v>1462.5</v>
      </c>
      <c r="G2999" s="30" t="n">
        <f aca="false">Sens!F2999-Sens!G2997*mix_g2</f>
        <v>1462.5</v>
      </c>
      <c r="H2999" s="30" t="n">
        <f aca="false">Sens!G2999-Sens!H2997*mix_g2</f>
        <v>1462.5</v>
      </c>
      <c r="I2999" s="30" t="n">
        <f aca="false">Sens!H2999-Sens!I2997*mix_g2</f>
        <v>1242</v>
      </c>
      <c r="J2999" s="30" t="n">
        <f aca="false">Sens!I2999-Sens!J2997*mix_g2</f>
        <v>909</v>
      </c>
      <c r="K2999" s="30" t="n">
        <f aca="false">Sens!J2999-Sens!K2997*mix_g2</f>
        <v>247.5</v>
      </c>
    </row>
    <row r="3000" customFormat="false" ht="17.15" hidden="false" customHeight="false" outlineLevel="0" collapsed="false">
      <c r="A3000" s="1" t="s">
        <v>968</v>
      </c>
      <c r="B3000" s="0" t="s">
        <v>459</v>
      </c>
      <c r="C3000" s="30" t="n">
        <f aca="false">mix_g3*Sens!C2990</f>
        <v>224</v>
      </c>
      <c r="D3000" s="30" t="n">
        <f aca="false">mix_g3*Sens!D2990</f>
        <v>570.5</v>
      </c>
      <c r="E3000" s="30" t="n">
        <f aca="false">mix_g3*Sens!E2990</f>
        <v>1137.5</v>
      </c>
      <c r="F3000" s="30" t="n">
        <f aca="false">Sens!E3000+(Sens!F2996+Sens!F2997)*(a_g3_27-nonnv*a_mai)-Sens!F2997*mix_g3</f>
        <v>2773.42106</v>
      </c>
      <c r="G3000" s="30" t="n">
        <f aca="false">Sens!F3000+(Sens!G2996+Sens!G2997)*(a_g3_28-nonnv*a_mai)-Sens!G2997*mix_g3</f>
        <v>3318.72808</v>
      </c>
      <c r="H3000" s="30" t="n">
        <f aca="false">Sens!G3000+(Sens!H2996+Sens!H2997)*(a_g3_29-nonnv*a_mai)-Sens!H2997*mix_g3</f>
        <v>3318.72808</v>
      </c>
      <c r="I3000" s="30" t="n">
        <f aca="false">Sens!H3000+(Sens!I2996+Sens!I2997)*(a_g3_29-nonnv*a_mai)-Sens!I2997*mix_g3</f>
        <v>3147.22808</v>
      </c>
      <c r="J3000" s="30" t="n">
        <f aca="false">Sens!I3000+(Sens!J2996+Sens!J2997)*(a_g3_29-nonnv*a_mai)-Sens!J2997*mix_g3</f>
        <v>2888.22808</v>
      </c>
      <c r="K3000" s="30" t="n">
        <f aca="false">Sens!J3000+(Sens!K2996+Sens!K2997)*(a_g3_29-nonnv*a_mai)-Sens!K2997*mix_g3</f>
        <v>2373.72808</v>
      </c>
    </row>
    <row r="3001" customFormat="false" ht="17.15" hidden="false" customHeight="false" outlineLevel="0" collapsed="false">
      <c r="A3001" s="1" t="s">
        <v>969</v>
      </c>
      <c r="B3001" s="0" t="s">
        <v>459</v>
      </c>
      <c r="C3001" s="30" t="n">
        <v>0</v>
      </c>
      <c r="D3001" s="30" t="n">
        <v>0</v>
      </c>
      <c r="E3001" s="30" t="n">
        <v>0</v>
      </c>
      <c r="F3001" s="30" t="n">
        <f aca="false">Sens!E3001+(Sens!F2996+Sens!F2997)*nonnv*a_mai</f>
        <v>272.65351</v>
      </c>
      <c r="G3001" s="30" t="n">
        <f aca="false">Sens!F3001+(Sens!G2996+Sens!G2997)*nonnv*a_mai</f>
        <v>545.30702</v>
      </c>
      <c r="H3001" s="30" t="n">
        <f aca="false">Sens!G3001+(Sens!H2996+Sens!H2997)*nonnv*a_mai</f>
        <v>817.96053</v>
      </c>
      <c r="I3001" s="30" t="n">
        <f aca="false">Sens!H3001+(Sens!I2996+Sens!I2997)*nonnv*a_mai</f>
        <v>1060.15914196667</v>
      </c>
      <c r="J3001" s="30" t="n">
        <f aca="false">Sens!I3001+(Sens!J2996+Sens!J2997)*nonnv*a_mai</f>
        <v>1251.76682813933</v>
      </c>
      <c r="K3001" s="30" t="n">
        <f aca="false">Sens!J3001+(Sens!K2996+Sens!K2997)*nonnv*a_mai</f>
        <v>1442.37983298351</v>
      </c>
      <c r="L3001" s="12" t="s">
        <v>970</v>
      </c>
    </row>
    <row r="3002" customFormat="false" ht="17.15" hidden="false" customHeight="false" outlineLevel="0" collapsed="false">
      <c r="A3002" s="1" t="s">
        <v>971</v>
      </c>
      <c r="B3002" s="0" t="s">
        <v>459</v>
      </c>
      <c r="C3002" s="30" t="n">
        <v>0</v>
      </c>
      <c r="D3002" s="30" t="n">
        <v>0</v>
      </c>
      <c r="E3002" s="30" t="n">
        <v>0</v>
      </c>
      <c r="F3002" s="30" t="n">
        <f aca="false">Sens!E3002+(Sens!F2996+Sens!F2997)*(1-a_g3_27)</f>
        <v>817.96053</v>
      </c>
      <c r="G3002" s="30" t="n">
        <f aca="false">Sens!F3002+(Sens!G2996+Sens!G2997)*(1-a_g3_28)</f>
        <v>2726.5351</v>
      </c>
      <c r="H3002" s="30" t="n">
        <f aca="false">Sens!G3002+(Sens!H2996+Sens!H2997)*(1-a_g3_29)</f>
        <v>5180.41669</v>
      </c>
      <c r="I3002" s="30" t="n">
        <f aca="false">Sens!H3002+(Sens!I2996+Sens!I2997)*(1-a_g3_29)</f>
        <v>7360.2041977</v>
      </c>
      <c r="J3002" s="30" t="n">
        <f aca="false">Sens!I3002+(Sens!J2996+Sens!J2997)*(1-a_g3_29)</f>
        <v>9084.673373254</v>
      </c>
      <c r="K3002" s="30" t="n">
        <f aca="false">Sens!J3002+(Sens!K2996+Sens!K2997)*(1-a_g3_29)</f>
        <v>10800.1904168516</v>
      </c>
    </row>
    <row r="3003" customFormat="false" ht="17.15" hidden="false" customHeight="false" outlineLevel="0" collapsed="false">
      <c r="A3003" s="1" t="s">
        <v>972</v>
      </c>
      <c r="B3003" s="0" t="s">
        <v>403</v>
      </c>
      <c r="C3003" s="15" t="n">
        <f aca="false">(Sens!C2998*tk_hold_h100+Sens!C2999*tk_hold_gb200+Sens!C3000*tk_hold_gb300+Sens!C3002*tk_hold_vr200+Sens!C3001*nv_hold_mai*tk_hold_vr200)/Sens!C2990</f>
        <v>9.7235358126469</v>
      </c>
      <c r="D3003" s="15" t="n">
        <f aca="false">(Sens!D2998*tk_hold_h100+Sens!D2999*tk_hold_gb200+Sens!D3000*tk_hold_gb300+Sens!D3002*tk_hold_vr200+Sens!D3001*nv_hold_mai*tk_hold_vr200)/Sens!D2990</f>
        <v>9.7235358126469</v>
      </c>
      <c r="E3003" s="15" t="n">
        <f aca="false">(Sens!E2998*tk_hold_h100+Sens!E2999*tk_hold_gb200+Sens!E3000*tk_hold_gb300+Sens!E3002*tk_hold_vr200+Sens!E3001*nv_hold_mai*tk_hold_vr200)/Sens!E2990</f>
        <v>9.7235358126469</v>
      </c>
      <c r="F3003" s="15" t="n">
        <f aca="false">(Sens!F2998*tk_hold_h100+Sens!F2999*tk_hold_gb200+Sens!F3000*tk_hold_gb300+Sens!F3002*tk_hold_vr200+Sens!F3001*nv_hold_mai*tk_hold_vr200)/Sens!F2990</f>
        <v>10.2195353876665</v>
      </c>
      <c r="G3003" s="15" t="n">
        <f aca="false">(Sens!G2998*tk_hold_h100+Sens!G2999*tk_hold_gb200+Sens!G3000*tk_hold_gb300+Sens!G3002*tk_hold_vr200+Sens!G3001*nv_hold_mai*tk_hold_vr200)/Sens!G2990</f>
        <v>10.5725598017306</v>
      </c>
      <c r="H3003" s="15" t="n">
        <f aca="false">(Sens!H2998*tk_hold_h100+Sens!H2999*tk_hold_gb200+Sens!H3000*tk_hold_gb300+Sens!H3002*tk_hold_vr200+Sens!H3001*nv_hold_mai*tk_hold_vr200)/Sens!H2990</f>
        <v>10.8210427149036</v>
      </c>
      <c r="I3003" s="15" t="n">
        <f aca="false">(Sens!I2998*tk_hold_h100+Sens!I2999*tk_hold_gb200+Sens!I3000*tk_hold_gb300+Sens!I3002*tk_hold_vr200+Sens!I3001*nv_hold_mai*tk_hold_vr200)/Sens!I2990</f>
        <v>11.0050618241982</v>
      </c>
      <c r="J3003" s="15" t="n">
        <f aca="false">(Sens!J2998*tk_hold_h100+Sens!J2999*tk_hold_gb200+Sens!J3000*tk_hold_gb300+Sens!J3002*tk_hold_vr200+Sens!J3001*nv_hold_mai*tk_hold_vr200)/Sens!J2990</f>
        <v>11.1505789658881</v>
      </c>
      <c r="K3003" s="15" t="n">
        <f aca="false">(Sens!K2998*tk_hold_h100+Sens!K2999*tk_hold_gb200+Sens!K3000*tk_hold_gb300+Sens!K3002*tk_hold_vr200+Sens!K3001*nv_hold_mai*tk_hold_vr200)/Sens!K2990</f>
        <v>11.3496914757183</v>
      </c>
      <c r="L3003" s="1" t="s">
        <v>973</v>
      </c>
    </row>
    <row r="3004" customFormat="false" ht="17.15" hidden="false" customHeight="false" outlineLevel="0" collapsed="false">
      <c r="A3004" s="1" t="s">
        <v>974</v>
      </c>
      <c r="B3004" s="0" t="s">
        <v>403</v>
      </c>
      <c r="C3004" s="15" t="n">
        <f aca="false">(Sens!C2998*tk_hold_h100+Sens!C2999*tk_hold_gb200+Sens!C3000*tk_hold_gb300+Sens!C3002*tk_hold_vr200+Sens!C3001*nv_out_mai*tk_hold_vr200)/Sens!C2990</f>
        <v>9.7235358126469</v>
      </c>
      <c r="D3004" s="15" t="n">
        <f aca="false">(Sens!D2998*tk_hold_h100+Sens!D2999*tk_hold_gb200+Sens!D3000*tk_hold_gb300+Sens!D3002*tk_hold_vr200+Sens!D3001*nv_out_mai*tk_hold_vr200)/Sens!D2990</f>
        <v>9.7235358126469</v>
      </c>
      <c r="E3004" s="15" t="n">
        <f aca="false">(Sens!E2998*tk_hold_h100+Sens!E2999*tk_hold_gb200+Sens!E3000*tk_hold_gb300+Sens!E3002*tk_hold_vr200+Sens!E3001*nv_out_mai*tk_hold_vr200)/Sens!E2990</f>
        <v>9.7235358126469</v>
      </c>
      <c r="F3004" s="15" t="n">
        <f aca="false">(Sens!F2998*tk_hold_h100+Sens!F2999*tk_hold_gb200+Sens!F3000*tk_hold_gb300+Sens!F3002*tk_hold_vr200+Sens!F3001*nv_out_mai*tk_hold_vr200)/Sens!F2990</f>
        <v>10.247422093969</v>
      </c>
      <c r="G3004" s="15" t="n">
        <f aca="false">(Sens!G2998*tk_hold_h100+Sens!G2999*tk_hold_gb200+Sens!G3000*tk_hold_gb300+Sens!G3002*tk_hold_vr200+Sens!G3001*nv_out_mai*tk_hold_vr200)/Sens!G2990</f>
        <v>10.6108602808053</v>
      </c>
      <c r="H3004" s="15" t="n">
        <f aca="false">(Sens!H2998*tk_hold_h100+Sens!H2999*tk_hold_gb200+Sens!H3000*tk_hold_gb300+Sens!H3002*tk_hold_vr200+Sens!H3001*nv_out_mai*tk_hold_vr200)/Sens!H2990</f>
        <v>10.8647885507393</v>
      </c>
      <c r="I3004" s="15" t="n">
        <f aca="false">(Sens!I2998*tk_hold_h100+Sens!I2999*tk_hold_gb200+Sens!I3000*tk_hold_gb300+Sens!I3002*tk_hold_vr200+Sens!I3001*nv_out_mai*tk_hold_vr200)/Sens!I2990</f>
        <v>11.0535625770025</v>
      </c>
      <c r="J3004" s="15" t="n">
        <f aca="false">(Sens!J2998*tk_hold_h100+Sens!J2999*tk_hold_gb200+Sens!J3000*tk_hold_gb300+Sens!J3002*tk_hold_vr200+Sens!J3001*nv_out_mai*tk_hold_vr200)/Sens!J2990</f>
        <v>11.2032127128058</v>
      </c>
      <c r="K3004" s="15" t="n">
        <f aca="false">(Sens!K2998*tk_hold_h100+Sens!K2999*tk_hold_gb200+Sens!K3000*tk_hold_gb300+Sens!K3002*tk_hold_vr200+Sens!K3001*nv_out_mai*tk_hold_vr200)/Sens!K2990</f>
        <v>11.4085735724225</v>
      </c>
      <c r="L3004" s="12" t="s">
        <v>975</v>
      </c>
    </row>
    <row r="3005" customFormat="false" ht="17.15" hidden="false" customHeight="false" outlineLevel="0" collapsed="false">
      <c r="A3005" s="0" t="s">
        <v>976</v>
      </c>
      <c r="B3005" s="0" t="s">
        <v>229</v>
      </c>
      <c r="C3005" s="15" t="n">
        <f aca="false">k_B</f>
        <v>1.17213932619116</v>
      </c>
      <c r="D3005" s="15" t="n">
        <f aca="false">k_B</f>
        <v>1.17213932619116</v>
      </c>
      <c r="E3005" s="15" t="n">
        <f aca="false">k_B</f>
        <v>1.17213932619116</v>
      </c>
      <c r="F3005" s="15" t="n">
        <f aca="false">(k_B+((ls_C*k_long+(1-ls_C)*k_spot)-k_B)*MIN(1,(Sens!F2988-base_fy)/k_ramp))</f>
        <v>1.07843258004497</v>
      </c>
      <c r="G3005" s="15" t="n">
        <f aca="false">(k_B+((ls_C*k_long+(1-ls_C)*k_spot)-k_B)*MIN(1,(Sens!G2988-base_fy)/k_ramp))</f>
        <v>0.984725833898784</v>
      </c>
      <c r="H3005" s="15" t="n">
        <f aca="false">(k_B+((ls_C*k_long+(1-ls_C)*k_spot)-k_B)*MIN(1,(Sens!H2988-base_fy)/k_ramp))</f>
        <v>0.891019087752599</v>
      </c>
      <c r="I3005" s="15" t="n">
        <f aca="false">(k_B+((ls_C*k_long+(1-ls_C)*k_spot)-k_B)*MIN(1,(Sens!I2988-base_fy)/k_ramp))</f>
        <v>0.891019087752599</v>
      </c>
      <c r="J3005" s="15" t="n">
        <f aca="false">(k_B+((ls_C*k_long+(1-ls_C)*k_spot)-k_B)*MIN(1,(Sens!J2988-base_fy)/k_ramp))</f>
        <v>0.891019087752599</v>
      </c>
      <c r="K3005" s="15" t="n">
        <f aca="false">(k_B+((ls_C*k_long+(1-ls_C)*k_spot)-k_B)*MIN(1,(Sens!K2988-base_fy)/k_ramp))</f>
        <v>0.891019087752599</v>
      </c>
      <c r="L3005" s="1" t="s">
        <v>977</v>
      </c>
    </row>
    <row r="3006" customFormat="false" ht="17.15" hidden="false" customHeight="false" outlineLevel="0" collapsed="false">
      <c r="A3006" s="1" t="s">
        <v>978</v>
      </c>
      <c r="B3006" s="0" t="s">
        <v>403</v>
      </c>
      <c r="C3006" s="15" t="n">
        <f aca="false">Sens!C3004*Sens!C3005*chip_f</f>
        <v>11.3973387156315</v>
      </c>
      <c r="D3006" s="15" t="n">
        <f aca="false">Sens!D3004*Sens!D3005*chip_f</f>
        <v>11.3973387156315</v>
      </c>
      <c r="E3006" s="15" t="n">
        <f aca="false">Sens!E3004*Sens!E3005*chip_f</f>
        <v>11.3973387156315</v>
      </c>
      <c r="F3006" s="15" t="n">
        <f aca="false">Sens!F3004*Sens!F3005*chip_f</f>
        <v>11.0511538476088</v>
      </c>
      <c r="G3006" s="15" t="n">
        <f aca="false">Sens!G3004*Sens!G3005*chip_f</f>
        <v>10.4487882383995</v>
      </c>
      <c r="H3006" s="15" t="n">
        <f aca="false">Sens!H3004*Sens!H3005*chip_f</f>
        <v>9.68073398310464</v>
      </c>
      <c r="I3006" s="15" t="n">
        <f aca="false">Sens!I3004*Sens!I3005*chip_f</f>
        <v>9.84893524377706</v>
      </c>
      <c r="J3006" s="15" t="n">
        <f aca="false">Sens!J3004*Sens!J3005*chip_f</f>
        <v>9.98227637126252</v>
      </c>
      <c r="K3006" s="15" t="n">
        <f aca="false">Sens!K3004*Sens!K3005*chip_f</f>
        <v>10.1652568170583</v>
      </c>
      <c r="L3006" s="1" t="s">
        <v>979</v>
      </c>
    </row>
    <row r="3007" customFormat="false" ht="17.15" hidden="false" customHeight="false" outlineLevel="0" collapsed="false">
      <c r="A3007" s="0" t="s">
        <v>980</v>
      </c>
      <c r="B3007" s="0" t="s">
        <v>98</v>
      </c>
      <c r="D3007" s="6" t="n">
        <f aca="false">(Sens!C2990+Sens!D2990)/2*Sens!D3006/1000</f>
        <v>12.9359794422418</v>
      </c>
      <c r="E3007" s="6" t="n">
        <f aca="false">(Sens!D2990+Sens!E2990)/2*Sens!E3006/1000</f>
        <v>27.8095064661409</v>
      </c>
      <c r="F3007" s="6" t="n">
        <f aca="false">(Sens!E2990+Sens!F2990)/2*Sens!F3006/1000</f>
        <v>50.9819294352312</v>
      </c>
      <c r="G3007" s="6" t="n">
        <f aca="false">(Sens!F2990+Sens!G2990)/2*Sens!G3006/1000</f>
        <v>76.6920436014933</v>
      </c>
      <c r="H3007" s="6" t="n">
        <f aca="false">(Sens!G2990+Sens!H2990)/2*Sens!H3006/1000</f>
        <v>97.4495379418341</v>
      </c>
      <c r="I3007" s="6" t="n">
        <f aca="false">(Sens!H2990+Sens!I2990)/2*Sens!I3006/1000</f>
        <v>122.083445553868</v>
      </c>
      <c r="J3007" s="6" t="n">
        <f aca="false">(Sens!I2990+Sens!J2990)/2*Sens!J3006/1000</f>
        <v>139.249060444804</v>
      </c>
      <c r="K3007" s="6" t="n">
        <f aca="false">(Sens!J2990+Sens!K2990)/2*Sens!K3006/1000</f>
        <v>149.995818575589</v>
      </c>
      <c r="L3007" s="12" t="s">
        <v>981</v>
      </c>
    </row>
    <row r="3008" customFormat="false" ht="17.15" hidden="false" customHeight="false" outlineLevel="0" collapsed="false">
      <c r="A3008" s="1" t="s">
        <v>982</v>
      </c>
      <c r="B3008" s="0" t="s">
        <v>403</v>
      </c>
      <c r="C3008" s="15" t="n">
        <f aca="false">(Sens!C2998*tk_opex_h100+Sens!C2999*tk_opex_gb200+Sens!C3000*tk_opex_gb300+(Sens!C3002+Sens!C3001)*tk_opex_vr200)/Sens!C2990</f>
        <v>1.88636041306092</v>
      </c>
      <c r="D3008" s="15" t="n">
        <f aca="false">(Sens!D2998*tk_opex_h100+Sens!D2999*tk_opex_gb200+Sens!D3000*tk_opex_gb300+(Sens!D3002+Sens!D3001)*tk_opex_vr200)/Sens!D2990</f>
        <v>1.88636041306092</v>
      </c>
      <c r="E3008" s="15" t="n">
        <f aca="false">(Sens!E2998*tk_opex_h100+Sens!E2999*tk_opex_gb200+Sens!E3000*tk_opex_gb300+(Sens!E3002+Sens!E3001)*tk_opex_vr200)/Sens!E2990</f>
        <v>1.88636041306092</v>
      </c>
      <c r="F3008" s="15" t="n">
        <f aca="false">(Sens!F2998*tk_opex_h100+Sens!F2999*tk_opex_gb200+Sens!F3000*tk_opex_gb300+(Sens!F3002+Sens!F3001)*tk_opex_vr200)/Sens!F2990</f>
        <v>1.95051159746876</v>
      </c>
      <c r="G3008" s="15" t="n">
        <f aca="false">(Sens!G2998*tk_opex_h100+Sens!G2999*tk_opex_gb200+Sens!G3000*tk_opex_gb300+(Sens!G3002+Sens!G3001)*tk_opex_vr200)/Sens!G2990</f>
        <v>1.98836003669956</v>
      </c>
      <c r="H3008" s="15" t="n">
        <f aca="false">(Sens!H2998*tk_opex_h100+Sens!H2999*tk_opex_gb200+Sens!H3000*tk_opex_gb300+(Sens!H3002+Sens!H3001)*tk_opex_vr200)/Sens!H2990</f>
        <v>2.01344013834343</v>
      </c>
      <c r="I3008" s="15" t="n">
        <f aca="false">(Sens!I2998*tk_opex_h100+Sens!I2999*tk_opex_gb200+Sens!I3000*tk_opex_gb300+(Sens!I3002+Sens!I3001)*tk_opex_vr200)/Sens!I2990</f>
        <v>2.03261166882178</v>
      </c>
      <c r="J3008" s="15" t="n">
        <f aca="false">(Sens!J2998*tk_opex_h100+Sens!J2999*tk_opex_gb200+Sens!J3000*tk_opex_gb300+(Sens!J3002+Sens!J3001)*tk_opex_vr200)/Sens!J2990</f>
        <v>2.04808073288745</v>
      </c>
      <c r="K3008" s="15" t="n">
        <f aca="false">(Sens!K2998*tk_opex_h100+Sens!K2999*tk_opex_gb200+Sens!K3000*tk_opex_gb300+(Sens!K3002+Sens!K3001)*tk_opex_vr200)/Sens!K2990</f>
        <v>2.06973825807449</v>
      </c>
      <c r="L3008" s="12" t="s">
        <v>983</v>
      </c>
    </row>
    <row r="3009" customFormat="false" ht="17.15" hidden="false" customHeight="false" outlineLevel="0" collapsed="false">
      <c r="A3009" s="0" t="s">
        <v>984</v>
      </c>
      <c r="B3009" s="0" t="s">
        <v>98</v>
      </c>
      <c r="D3009" s="6" t="n">
        <f aca="false">(Sens!C2993+Sens!D2993)/2*Sens!D3008/1000</f>
        <v>2.16302660697652</v>
      </c>
      <c r="E3009" s="6" t="n">
        <f aca="false">(Sens!D2993+Sens!E2993)/2*Sens!E3008/1000</f>
        <v>4.9422642822196</v>
      </c>
      <c r="F3009" s="6" t="n">
        <f aca="false">(Sens!E2993+Sens!F2993)/2*Sens!F3008/1000</f>
        <v>10.2993970471389</v>
      </c>
      <c r="G3009" s="6" t="n">
        <f aca="false">(Sens!F2993+Sens!G2993)/2*Sens!G3008/1000</f>
        <v>17.4546267717022</v>
      </c>
      <c r="H3009" s="6" t="n">
        <f aca="false">(Sens!G2993+Sens!H2993)/2*Sens!H3008/1000</f>
        <v>24.9944103031787</v>
      </c>
      <c r="I3009" s="6" t="n">
        <f aca="false">(Sens!H2993+Sens!I2993)/2*Sens!I3008/1000</f>
        <v>31.5450445954614</v>
      </c>
      <c r="J3009" s="6" t="n">
        <f aca="false">(Sens!I2993+Sens!J2993)/2*Sens!J3008/1000</f>
        <v>36.0288254582922</v>
      </c>
      <c r="K3009" s="6" t="n">
        <f aca="false">(Sens!J2993+Sens!K2993)/2*Sens!K3008/1000</f>
        <v>38.6343781672925</v>
      </c>
    </row>
    <row r="3010" customFormat="false" ht="17.15" hidden="false" customHeight="false" outlineLevel="0" collapsed="false">
      <c r="A3010" s="0" t="s">
        <v>985</v>
      </c>
      <c r="B3010" s="0" t="s">
        <v>98</v>
      </c>
      <c r="D3010" s="6" t="n">
        <f aca="false">(Sens!C2991+Sens!D2991)/2*rent_mw/1000</f>
        <v>2.44475</v>
      </c>
      <c r="E3010" s="6" t="n">
        <f aca="false">(Sens!D2991+Sens!E2991)/2*rent_mw/1000</f>
        <v>4.22275</v>
      </c>
      <c r="F3010" s="6" t="n">
        <f aca="false">(Sens!E2991+Sens!F2991)/2*rent_mw/1000</f>
        <v>5.80517</v>
      </c>
      <c r="G3010" s="6" t="n">
        <f aca="false">(Sens!F2991+Sens!G2991)/2*rent_mw/1000</f>
        <v>6.72084</v>
      </c>
      <c r="H3010" s="6" t="n">
        <f aca="false">(Sens!G2991+Sens!H2991)/2*rent_mw/1000</f>
        <v>6.72084</v>
      </c>
      <c r="I3010" s="6" t="n">
        <f aca="false">(Sens!H2991+Sens!I2991)/2*rent_mw/1000</f>
        <v>6.72084</v>
      </c>
      <c r="J3010" s="6" t="n">
        <f aca="false">(Sens!I2991+Sens!J2991)/2*rent_mw/1000</f>
        <v>6.72084</v>
      </c>
      <c r="K3010" s="6" t="n">
        <f aca="false">(Sens!J2991+Sens!K2991)/2*rent_mw/1000</f>
        <v>6.72084</v>
      </c>
    </row>
    <row r="3011" customFormat="false" ht="17.15" hidden="false" customHeight="false" outlineLevel="0" collapsed="false">
      <c r="A3011" s="0" t="s">
        <v>986</v>
      </c>
      <c r="B3011" s="0" t="s">
        <v>98</v>
      </c>
      <c r="D3011" s="6" t="n">
        <f aca="false">(Sens!C2993+Sens!D2993)/2*(1-self_build)*fac_rent/1000</f>
        <v>0.682593900504861</v>
      </c>
      <c r="E3011" s="6" t="n">
        <f aca="false">(Sens!D2993+Sens!E2993)/2*(1-self_build)*fac_rent/1000</f>
        <v>1.55964769126983</v>
      </c>
      <c r="F3011" s="6" t="n">
        <f aca="false">(Sens!E2993+Sens!F2993)/2*(1-self_build)*fac_rent/1000</f>
        <v>3.14331915581085</v>
      </c>
      <c r="G3011" s="6" t="n">
        <f aca="false">(Sens!F2993+Sens!G2993)/2*(1-self_build)*fac_rent/1000</f>
        <v>5.22565526862528</v>
      </c>
      <c r="H3011" s="6" t="n">
        <f aca="false">(Sens!G2993+Sens!H2993)/2*(1-self_build)*fac_rent/1000</f>
        <v>7.38974390673273</v>
      </c>
      <c r="I3011" s="6" t="n">
        <f aca="false">(Sens!H2993+Sens!I2993)/2*(1-self_build)*fac_rent/1000</f>
        <v>9.23851028459141</v>
      </c>
      <c r="J3011" s="6" t="n">
        <f aca="false">(Sens!I2993+Sens!J2993)/2*(1-self_build)*fac_rent/1000</f>
        <v>10.4719665831286</v>
      </c>
      <c r="K3011" s="6" t="n">
        <f aca="false">(Sens!J2993+Sens!K2993)/2*(1-self_build)*fac_rent/1000</f>
        <v>11.1117820501244</v>
      </c>
      <c r="L3011" s="12" t="s">
        <v>987</v>
      </c>
    </row>
    <row r="3012" customFormat="false" ht="17.15" hidden="false" customHeight="false" outlineLevel="0" collapsed="false">
      <c r="A3012" s="1" t="s">
        <v>988</v>
      </c>
      <c r="B3012" s="0" t="s">
        <v>168</v>
      </c>
      <c r="D3012" s="7" t="n">
        <f aca="false">(Sens!C2992+Sens!D2992)/(Sens!C2993+Sens!D2993)</f>
        <v>0.75</v>
      </c>
      <c r="E3012" s="7" t="n">
        <f aca="false">(Sens!D2992+Sens!E2992)/(Sens!D2993+Sens!E2993)</f>
        <v>0.75</v>
      </c>
      <c r="F3012" s="7" t="n">
        <f aca="false">(Sens!E2992+Sens!F2992)/(Sens!E2993+Sens!F2993)</f>
        <v>0.75</v>
      </c>
      <c r="G3012" s="7" t="n">
        <f aca="false">(Sens!F2992+Sens!G2992)/(Sens!F2993+Sens!G2993)</f>
        <v>0.75</v>
      </c>
      <c r="H3012" s="7" t="n">
        <f aca="false">(Sens!G2992+Sens!H2992)/(Sens!G2993+Sens!H2993)</f>
        <v>0.75</v>
      </c>
      <c r="I3012" s="7" t="n">
        <f aca="false">(Sens!H2992+Sens!I2992)/(Sens!H2993+Sens!I2993)</f>
        <v>0.75</v>
      </c>
      <c r="J3012" s="7" t="n">
        <f aca="false">(Sens!I2992+Sens!J2992)/(Sens!I2993+Sens!J2993)</f>
        <v>0.75</v>
      </c>
      <c r="K3012" s="7" t="n">
        <f aca="false">(Sens!J2992+Sens!K2992)/(Sens!J2993+Sens!K2993)</f>
        <v>0.75</v>
      </c>
    </row>
    <row r="3013" customFormat="false" ht="17.15" hidden="false" customHeight="false" outlineLevel="0" collapsed="false">
      <c r="A3013" s="0" t="s">
        <v>989</v>
      </c>
      <c r="B3013" s="0" t="s">
        <v>98</v>
      </c>
      <c r="D3013" s="6" t="n">
        <f aca="false">Sens!D3007-Sens!D3012*(Sens!D3009+Sens!D3011)-Sens!D3010</f>
        <v>8.35701406163072</v>
      </c>
      <c r="E3013" s="6" t="n">
        <f aca="false">Sens!E3007-Sens!E3012*(Sens!E3009+Sens!E3011)-Sens!E3010</f>
        <v>18.7103224860238</v>
      </c>
      <c r="F3013" s="6" t="n">
        <f aca="false">Sens!F3007-Sens!F3012*(Sens!F3009+Sens!F3011)-Sens!F3010</f>
        <v>35.0947222830189</v>
      </c>
      <c r="G3013" s="6" t="n">
        <f aca="false">Sens!G3007-Sens!G3012*(Sens!G3009+Sens!G3011)-Sens!G3010</f>
        <v>52.9609920712477</v>
      </c>
      <c r="H3013" s="6" t="n">
        <f aca="false">Sens!H3007-Sens!H3012*(Sens!H3009+Sens!H3011)-Sens!H3010</f>
        <v>66.4405822844005</v>
      </c>
      <c r="I3013" s="6" t="n">
        <f aca="false">Sens!I3007-Sens!I3012*(Sens!I3009+Sens!I3011)-Sens!I3010</f>
        <v>84.7749393938279</v>
      </c>
      <c r="J3013" s="6" t="n">
        <f aca="false">Sens!J3007-Sens!J3012*(Sens!J3009+Sens!J3011)-Sens!J3010</f>
        <v>97.6526264137382</v>
      </c>
      <c r="K3013" s="6" t="n">
        <f aca="false">Sens!K3007-Sens!K3012*(Sens!K3009+Sens!K3011)-Sens!K3010</f>
        <v>105.965358412527</v>
      </c>
    </row>
    <row r="3014" customFormat="false" ht="17.15" hidden="false" customHeight="false" outlineLevel="0" collapsed="false">
      <c r="A3014" s="1" t="s">
        <v>990</v>
      </c>
      <c r="B3014" s="0" t="s">
        <v>98</v>
      </c>
      <c r="D3014" s="6" t="n">
        <f aca="false">(1-Sens!D3012)*(Sens!D3009+Sens!D3011)</f>
        <v>0.711405126870345</v>
      </c>
      <c r="E3014" s="6" t="n">
        <f aca="false">(1-Sens!E3012)*(Sens!E3009+Sens!E3011)</f>
        <v>1.62547799337236</v>
      </c>
      <c r="F3014" s="6" t="n">
        <f aca="false">(1-Sens!F3012)*(Sens!F3009+Sens!F3011)</f>
        <v>3.36067905073745</v>
      </c>
      <c r="G3014" s="6" t="n">
        <f aca="false">(1-Sens!G3012)*(Sens!G3009+Sens!G3011)</f>
        <v>5.67007051008187</v>
      </c>
      <c r="H3014" s="6" t="n">
        <f aca="false">(1-Sens!H3012)*(Sens!H3009+Sens!H3011)</f>
        <v>8.09603855247786</v>
      </c>
      <c r="I3014" s="6" t="n">
        <f aca="false">(1-Sens!I3012)*(Sens!I3009+Sens!I3011)</f>
        <v>10.1958887200132</v>
      </c>
      <c r="J3014" s="6" t="n">
        <f aca="false">(1-Sens!J3012)*(Sens!J3009+Sens!J3011)</f>
        <v>11.6251980103552</v>
      </c>
      <c r="K3014" s="6" t="n">
        <f aca="false">(1-Sens!K3012)*(Sens!K3009+Sens!K3011)</f>
        <v>12.4365400543542</v>
      </c>
    </row>
    <row r="3015" customFormat="false" ht="17.15" hidden="false" customHeight="false" outlineLevel="0" collapsed="false">
      <c r="A3015" s="1" t="s">
        <v>991</v>
      </c>
      <c r="B3015" s="0" t="s">
        <v>417</v>
      </c>
      <c r="C3015" s="8" t="n">
        <f aca="false">cxit_open</f>
        <v>27.5918995</v>
      </c>
      <c r="D3015" s="8" t="n">
        <f aca="false">cxit_open</f>
        <v>27.5918995</v>
      </c>
      <c r="E3015" s="8" t="n">
        <f aca="false">cxit_open</f>
        <v>27.5918995</v>
      </c>
      <c r="F3015" s="8" t="n">
        <f aca="false">((a_g3_27-nonnv*a_mai)*tk_cxit_gb300+nonnv*a_mai*nv_hold_mai*tk_cxit_vr200+(1-a_g3_27)*tk_cxit_vr200)</f>
        <v>32.4975576</v>
      </c>
      <c r="G3015" s="8" t="n">
        <f aca="false">((a_g3_28-nonnv*a_mai)*tk_cxit_gb300+nonnv*a_mai*nv_hold_mai*tk_cxit_vr200+(1-a_g3_28)*tk_cxit_vr200)</f>
        <v>34.6372088</v>
      </c>
      <c r="H3015" s="8" t="n">
        <f aca="false">((a_g3_29-nonnv*a_mai)*tk_cxit_gb300+nonnv*a_mai*nv_hold_mai*tk_cxit_vr200+(1-a_g3_29)*tk_cxit_vr200)</f>
        <v>35.7070344</v>
      </c>
      <c r="I3015" s="8" t="n">
        <f aca="false">((a_g3_29-nonnv*a_mai)*tk_cxit_gb300+nonnv*a_mai*nv_hold_mai*tk_cxit_vr200+(1-a_g3_29)*tk_cxit_vr200)</f>
        <v>35.7070344</v>
      </c>
      <c r="J3015" s="8" t="n">
        <f aca="false">((a_g3_29-nonnv*a_mai)*tk_cxit_gb300+nonnv*a_mai*nv_hold_mai*tk_cxit_vr200+(1-a_g3_29)*tk_cxit_vr200)</f>
        <v>35.7070344</v>
      </c>
      <c r="K3015" s="8" t="n">
        <f aca="false">((a_g3_29-nonnv*a_mai)*tk_cxit_gb300+nonnv*a_mai*nv_hold_mai*tk_cxit_vr200+(1-a_g3_29)*tk_cxit_vr200)</f>
        <v>35.7070344</v>
      </c>
      <c r="L3015" s="12" t="s">
        <v>992</v>
      </c>
    </row>
    <row r="3016" customFormat="false" ht="17.15" hidden="false" customHeight="false" outlineLevel="0" collapsed="false">
      <c r="A3016" s="0" t="s">
        <v>993</v>
      </c>
      <c r="B3016" s="0" t="s">
        <v>459</v>
      </c>
      <c r="F3016" s="30" t="n">
        <f aca="false">Sens!C2995*IF(Sens!F2988-Sens!C2988=life_it,1,0)+Sens!D2995*IF(Sens!F2988-Sens!D2988=life_it,1,0)+Sens!E2995*IF(Sens!F2988-Sens!E2988=life_it,1,0)</f>
        <v>0</v>
      </c>
      <c r="G3016" s="30" t="n">
        <f aca="false">Sens!C2995*IF(Sens!G2988-Sens!C2988=life_it,1,0)+Sens!D2995*IF(Sens!G2988-Sens!D2988=life_it,1,0)+Sens!E2995*IF(Sens!G2988-Sens!E2988=life_it,1,0)+Sens!F2995*IF(Sens!G2988-Sens!F2988=life_it,1,0)</f>
        <v>0</v>
      </c>
      <c r="H3016" s="30" t="n">
        <f aca="false">Sens!C2995*IF(Sens!H2988-Sens!C2988=life_it,1,0)+Sens!D2995*IF(Sens!H2988-Sens!D2988=life_it,1,0)+Sens!E2995*IF(Sens!H2988-Sens!E2988=life_it,1,0)+Sens!F2995*IF(Sens!H2988-Sens!F2988=life_it,1,0)+Sens!G2995*IF(Sens!H2988-Sens!G2988=life_it,1,0)</f>
        <v>0</v>
      </c>
      <c r="I3016" s="30" t="n">
        <f aca="false">Sens!C2995*IF(Sens!I2988-Sens!C2988=life_it,1,0)+Sens!D2995*IF(Sens!I2988-Sens!D2988=life_it,1,0)+Sens!E2995*IF(Sens!I2988-Sens!E2988=life_it,1,0)+Sens!F2995*IF(Sens!I2988-Sens!F2988=life_it,1,0)+Sens!G2995*IF(Sens!I2988-Sens!G2988=life_it,1,0)+Sens!H2995*IF(Sens!I2988-Sens!H2988=life_it,1,0)</f>
        <v>653.333333333333</v>
      </c>
      <c r="J3016" s="30" t="n">
        <f aca="false">Sens!C2995*IF(Sens!J2988-Sens!C2988=life_it,1,0)+Sens!D2995*IF(Sens!J2988-Sens!D2988=life_it,1,0)+Sens!E2995*IF(Sens!J2988-Sens!E2988=life_it,1,0)+Sens!F2995*IF(Sens!J2988-Sens!F2988=life_it,1,0)+Sens!G2995*IF(Sens!J2988-Sens!G2988=life_it,1,0)+Sens!H2995*IF(Sens!J2988-Sens!H2988=life_it,1,0)+Sens!I2995*IF(Sens!J2988-Sens!I2988=life_it,1,0)</f>
        <v>986.666666666667</v>
      </c>
      <c r="K3016" s="30" t="n">
        <f aca="false">Sens!C2995*IF(Sens!K2988-Sens!C2988=life_it,1,0)+Sens!D2995*IF(Sens!K2988-Sens!D2988=life_it,1,0)+Sens!E2995*IF(Sens!K2988-Sens!E2988=life_it,1,0)+Sens!F2995*IF(Sens!K2988-Sens!F2988=life_it,1,0)+Sens!G2995*IF(Sens!K2988-Sens!G2988=life_it,1,0)+Sens!H2995*IF(Sens!K2988-Sens!H2988=life_it,1,0)+Sens!I2995*IF(Sens!K2988-Sens!I2988=life_it,1,0)+Sens!J2995*IF(Sens!K2988-Sens!J2988=life_it,1,0)</f>
        <v>1960</v>
      </c>
      <c r="L3016" s="1" t="s">
        <v>994</v>
      </c>
    </row>
    <row r="3017" customFormat="false" ht="17.15" hidden="false" customHeight="false" outlineLevel="0" collapsed="false">
      <c r="A3017" s="0" t="s">
        <v>995</v>
      </c>
      <c r="B3017" s="0" t="s">
        <v>98</v>
      </c>
      <c r="C3017" s="6" t="n">
        <f aca="false">Sens!C2995*Sens!C3015/1000</f>
        <v>18.0267076733333</v>
      </c>
      <c r="D3017" s="6" t="n">
        <f aca="false">Sens!D2995*Sens!D3015/1000</f>
        <v>27.2240075066667</v>
      </c>
      <c r="E3017" s="6" t="n">
        <f aca="false">Sens!E2995*Sens!E3015/1000</f>
        <v>54.08012302</v>
      </c>
      <c r="F3017" s="6" t="n">
        <f aca="false">(Sens!F2995+Sens!F3016)*Sens!F3015/1000</f>
        <v>109.214979460096</v>
      </c>
      <c r="G3017" s="6" t="n">
        <f aca="false">(Sens!G2995+Sens!G3016)*Sens!G3015/1000</f>
        <v>125.919420745638</v>
      </c>
      <c r="H3017" s="6" t="n">
        <f aca="false">(Sens!H2995+Sens!H3016)*Sens!H3015/1000</f>
        <v>129.80864347801</v>
      </c>
      <c r="I3017" s="6" t="n">
        <f aca="false">(Sens!I2995+Sens!I3016)*Sens!I3015/1000</f>
        <v>115.309255588347</v>
      </c>
      <c r="J3017" s="6" t="n">
        <f aca="false">(Sens!J2995+Sens!J3016)*Sens!J3015/1000</f>
        <v>91.2232298862909</v>
      </c>
      <c r="K3017" s="6" t="n">
        <f aca="false">(Sens!K2995+Sens!K3016)*Sens!K3015/1000</f>
        <v>90.74966828078</v>
      </c>
    </row>
    <row r="3018" customFormat="false" ht="17.15" hidden="false" customHeight="false" outlineLevel="0" collapsed="false">
      <c r="A3018" s="0" t="s">
        <v>996</v>
      </c>
      <c r="B3018" s="0" t="s">
        <v>98</v>
      </c>
      <c r="C3018" s="6" t="n">
        <f aca="false">Sens!C2995*self_build*tk_cxfac/1000</f>
        <v>4.96664</v>
      </c>
      <c r="D3018" s="6" t="n">
        <f aca="false">Sens!D2995*self_build*tk_cxfac/1000</f>
        <v>7.50064</v>
      </c>
      <c r="E3018" s="6" t="n">
        <f aca="false">Sens!E2995*self_build*tk_cxfac/1000</f>
        <v>14.89992</v>
      </c>
      <c r="F3018" s="6" t="n">
        <f aca="false">Sens!F2995*self_build*tk_cxfac/1000</f>
        <v>25.5481437736</v>
      </c>
      <c r="G3018" s="6" t="n">
        <f aca="false">Sens!G2995*self_build*tk_cxfac/1000</f>
        <v>27.6361597736</v>
      </c>
      <c r="H3018" s="6" t="n">
        <f aca="false">Sens!H2995*self_build*tk_cxfac/1000</f>
        <v>27.6361597736</v>
      </c>
      <c r="I3018" s="6" t="n">
        <f aca="false">Sens!I2995*self_build*tk_cxfac/1000</f>
        <v>19.5826113089413</v>
      </c>
      <c r="J3018" s="6" t="n">
        <f aca="false">Sens!J2995*self_build*tk_cxfac/1000</f>
        <v>11.9207150704615</v>
      </c>
      <c r="K3018" s="6" t="n">
        <f aca="false">Sens!K2995*self_build*tk_cxfac/1000</f>
        <v>4.42061417100608</v>
      </c>
    </row>
    <row r="3019" customFormat="false" ht="17.15" hidden="false" customHeight="false" outlineLevel="0" collapsed="false">
      <c r="A3019" s="0" t="s">
        <v>997</v>
      </c>
      <c r="B3019" s="0" t="s">
        <v>98</v>
      </c>
      <c r="F3019" s="15" t="n">
        <f aca="false">capex_floor27-Sens!F3017-Sens!F3018-Sens!F3115</f>
        <v>33.6108176930023</v>
      </c>
      <c r="L3019" s="12" t="s">
        <v>998</v>
      </c>
    </row>
    <row r="3020" customFormat="false" ht="17.15" hidden="false" customHeight="false" outlineLevel="0" collapsed="false">
      <c r="A3020" s="0" t="s">
        <v>999</v>
      </c>
      <c r="B3020" s="0" t="s">
        <v>98</v>
      </c>
      <c r="F3020" s="6" t="n">
        <f aca="false">MAX(0,Sens!F3019)</f>
        <v>33.6108176930023</v>
      </c>
    </row>
    <row r="3021" customFormat="false" ht="17.15" hidden="false" customHeight="false" outlineLevel="0" collapsed="false">
      <c r="A3021" s="0" t="s">
        <v>1000</v>
      </c>
      <c r="B3021" s="0" t="s">
        <v>98</v>
      </c>
      <c r="C3021" s="6" t="n">
        <f aca="false">Sens!C3017</f>
        <v>18.0267076733333</v>
      </c>
      <c r="D3021" s="6" t="n">
        <f aca="false">Sens!D3017</f>
        <v>27.2240075066667</v>
      </c>
      <c r="E3021" s="6" t="n">
        <f aca="false">Sens!E3017</f>
        <v>54.08012302</v>
      </c>
      <c r="F3021" s="6" t="n">
        <f aca="false">Sens!F3017</f>
        <v>109.214979460096</v>
      </c>
      <c r="G3021" s="6" t="n">
        <f aca="false">Sens!G3017</f>
        <v>125.919420745638</v>
      </c>
      <c r="H3021" s="6" t="n">
        <f aca="false">Sens!H3017</f>
        <v>129.80864347801</v>
      </c>
      <c r="I3021" s="6" t="n">
        <f aca="false">Sens!I3017</f>
        <v>115.309255588347</v>
      </c>
      <c r="J3021" s="6" t="n">
        <f aca="false">Sens!J3017</f>
        <v>91.2232298862909</v>
      </c>
      <c r="K3021" s="6" t="n">
        <f aca="false">Sens!K3017</f>
        <v>90.74966828078</v>
      </c>
    </row>
    <row r="3022" customFormat="false" ht="17.15" hidden="false" customHeight="false" outlineLevel="0" collapsed="false">
      <c r="A3022" s="0" t="s">
        <v>1001</v>
      </c>
      <c r="B3022" s="0" t="s">
        <v>98</v>
      </c>
      <c r="C3022" s="6" t="n">
        <f aca="false">Sens!C3021+Sens!C3018</f>
        <v>22.9933476733333</v>
      </c>
      <c r="D3022" s="6" t="n">
        <f aca="false">Sens!D3021+Sens!D3018</f>
        <v>34.7246475066667</v>
      </c>
      <c r="E3022" s="6" t="n">
        <f aca="false">Sens!E3021+Sens!E3018</f>
        <v>68.98004302</v>
      </c>
      <c r="F3022" s="6" t="n">
        <f aca="false">Sens!F3021+Sens!F3018</f>
        <v>134.763123233696</v>
      </c>
      <c r="G3022" s="6" t="n">
        <f aca="false">Sens!G3021+Sens!G3018</f>
        <v>153.555580519238</v>
      </c>
      <c r="H3022" s="6" t="n">
        <f aca="false">Sens!H3021+Sens!H3018</f>
        <v>157.44480325161</v>
      </c>
      <c r="I3022" s="6" t="n">
        <f aca="false">Sens!I3021+Sens!I3018</f>
        <v>134.891866897288</v>
      </c>
      <c r="J3022" s="6" t="n">
        <f aca="false">Sens!J3021+Sens!J3018</f>
        <v>103.143944956752</v>
      </c>
      <c r="K3022" s="6" t="n">
        <f aca="false">Sens!K3021+Sens!K3018</f>
        <v>95.1702824517861</v>
      </c>
      <c r="L3022" s="12" t="s">
        <v>1002</v>
      </c>
    </row>
    <row r="3023" customFormat="false" ht="17.15" hidden="false" customHeight="false" outlineLevel="0" collapsed="false">
      <c r="A3023" s="0" t="s">
        <v>1003</v>
      </c>
      <c r="B3023" s="0" t="s">
        <v>98</v>
      </c>
      <c r="E3023" s="6" t="n">
        <f aca="false">(Sens!C3021*IF(2&lt;life_it,1,IF(2=life_it,0.5,0))+Sens!D3021*IF(1&lt;life_it,1,IF(1=life_it,0.5,0))+Sens!E3021*0.5)/life_it</f>
        <v>12.0484627816667</v>
      </c>
      <c r="F3023" s="6" t="n">
        <f aca="false">(Sens!C3021*IF(3&lt;life_it,1,IF(3=life_it,0.5,0))+Sens!D3021*IF(2&lt;life_it,1,IF(2=life_it,0.5,0))+Sens!E3021*IF(1&lt;life_it,1,IF(1=life_it,0.5,0))+Sens!F3021*0.5)/life_it</f>
        <v>25.6563879883413</v>
      </c>
      <c r="G3023" s="6" t="n">
        <f aca="false">(Sens!C3021*IF(4&lt;life_it,1,IF(4=life_it,0.5,0))+Sens!D3021*IF(3&lt;life_it,1,IF(3=life_it,0.5,0))+Sens!E3021*IF(2&lt;life_it,1,IF(2=life_it,0.5,0))+Sens!F3021*IF(1&lt;life_it,1,IF(1=life_it,0.5,0))+Sens!G3021*0.5)/life_it</f>
        <v>45.2509213388192</v>
      </c>
      <c r="H3023" s="6" t="n">
        <f aca="false">(Sens!C3021*IF(5&lt;life_it,1,IF(5=life_it,0.5,0))+Sens!D3021*IF(4&lt;life_it,1,IF(4=life_it,0.5,0))+Sens!E3021*IF(3&lt;life_it,1,IF(3=life_it,0.5,0))+Sens!F3021*IF(2&lt;life_it,1,IF(2=life_it,0.5,0))+Sens!G3021*IF(1&lt;life_it,1,IF(1=life_it,0.5,0))+Sens!H3021*0.5)/life_it</f>
        <v>66.5615933574565</v>
      </c>
      <c r="I3023" s="6" t="n">
        <f aca="false">(Sens!C3021*IF(6&lt;life_it,1,IF(6=life_it,0.5,0))+Sens!D3021*IF(5&lt;life_it,1,IF(5=life_it,0.5,0))+Sens!E3021*IF(4&lt;life_it,1,IF(4=life_it,0.5,0))+Sens!F3021*IF(3&lt;life_it,1,IF(3=life_it,0.5,0))+Sens!G3021*IF(2&lt;life_it,1,IF(2=life_it,0.5,0))+Sens!H3021*IF(1&lt;life_it,1,IF(1=life_it,0.5,0))+Sens!I3021*0.5)/life_it</f>
        <v>85.4858593068751</v>
      </c>
      <c r="J3023" s="6" t="n">
        <f aca="false">(Sens!C3021*IF(7&lt;life_it,1,IF(7=life_it,0.5,0))+Sens!D3021*IF(6&lt;life_it,1,IF(6=life_it,0.5,0))+Sens!E3021*IF(5&lt;life_it,1,IF(5=life_it,0.5,0))+Sens!F3021*IF(4&lt;life_it,1,IF(4=life_it,0.5,0))+Sens!G3021*IF(3&lt;life_it,1,IF(3=life_it,0.5,0))+Sens!H3021*IF(2&lt;life_it,1,IF(2=life_it,0.5,0))+Sens!I3021*IF(1&lt;life_it,1,IF(1=life_it,0.5,0))+Sens!J3021*0.5)/life_it</f>
        <v>98.9260068314283</v>
      </c>
      <c r="K3023" s="6" t="n">
        <f aca="false">(Sens!C3021*IF(8&lt;life_it,1,IF(8=life_it,0.5,0))+Sens!D3021*IF(7&lt;life_it,1,IF(7=life_it,0.5,0))+Sens!E3021*IF(6&lt;life_it,1,IF(6=life_it,0.5,0))+Sens!F3021*IF(5&lt;life_it,1,IF(5=life_it,0.5,0))+Sens!G3021*IF(4&lt;life_it,1,IF(4=life_it,0.5,0))+Sens!H3021*IF(3&lt;life_it,1,IF(3=life_it,0.5,0))+Sens!I3021*IF(2&lt;life_it,1,IF(2=life_it,0.5,0))+Sens!J3021*IF(1&lt;life_it,1,IF(1=life_it,0.5,0))+Sens!K3021*0.5)/life_it</f>
        <v>107.315070801462</v>
      </c>
    </row>
    <row r="3024" customFormat="false" ht="17.15" hidden="false" customHeight="false" outlineLevel="0" collapsed="false">
      <c r="A3024" s="0" t="s">
        <v>1004</v>
      </c>
      <c r="B3024" s="0" t="s">
        <v>98</v>
      </c>
      <c r="E3024" s="6" t="n">
        <f aca="false">(Sens!C3018*IF(2&lt;life_fac,1,IF(2=life_fac,0.5,0))+Sens!D3018*IF(1&lt;life_fac,1,IF(1=life_fac,0.5,0))+Sens!E3018*0.5)/life_fac</f>
        <v>0.995862</v>
      </c>
      <c r="F3024" s="6" t="n">
        <f aca="false">(Sens!C3018*IF(3&lt;life_fac,1,IF(3=life_fac,0.5,0))+Sens!D3018*IF(2&lt;life_fac,1,IF(2=life_fac,0.5,0))+Sens!E3018*IF(1&lt;life_fac,1,IF(1=life_fac,0.5,0))+Sens!F3018*0.5)/life_fac</f>
        <v>2.00706359434</v>
      </c>
      <c r="G3024" s="6" t="n">
        <f aca="false">(Sens!C3018*IF(4&lt;life_fac,1,IF(4=life_fac,0.5,0))+Sens!D3018*IF(3&lt;life_fac,1,IF(3=life_fac,0.5,0))+Sens!E3018*IF(2&lt;life_fac,1,IF(2=life_fac,0.5,0))+Sens!F3018*IF(1&lt;life_fac,1,IF(1=life_fac,0.5,0))+Sens!G3018*0.5)/life_fac</f>
        <v>3.33667118302</v>
      </c>
      <c r="H3024" s="6" t="n">
        <f aca="false">(Sens!C3018*IF(5&lt;life_fac,1,IF(5=life_fac,0.5,0))+Sens!D3018*IF(4&lt;life_fac,1,IF(4=life_fac,0.5,0))+Sens!E3018*IF(3&lt;life_fac,1,IF(3=life_fac,0.5,0))+Sens!F3018*IF(2&lt;life_fac,1,IF(2=life_fac,0.5,0))+Sens!G3018*IF(1&lt;life_fac,1,IF(1=life_fac,0.5,0))+Sens!H3018*0.5)/life_fac</f>
        <v>4.7184791717</v>
      </c>
      <c r="I3024" s="6" t="n">
        <f aca="false">(Sens!C3018*IF(6&lt;life_fac,1,IF(6=life_fac,0.5,0))+Sens!D3018*IF(5&lt;life_fac,1,IF(5=life_fac,0.5,0))+Sens!E3018*IF(4&lt;life_fac,1,IF(4=life_fac,0.5,0))+Sens!F3018*IF(3&lt;life_fac,1,IF(3=life_fac,0.5,0))+Sens!G3018*IF(2&lt;life_fac,1,IF(2=life_fac,0.5,0))+Sens!H3018*IF(1&lt;life_fac,1,IF(1=life_fac,0.5,0))+Sens!I3018*0.5)/life_fac</f>
        <v>5.89894844876353</v>
      </c>
      <c r="J3024" s="6" t="n">
        <f aca="false">(Sens!C3018*IF(7&lt;life_fac,1,IF(7=life_fac,0.5,0))+Sens!D3018*IF(6&lt;life_fac,1,IF(6=life_fac,0.5,0))+Sens!E3018*IF(5&lt;life_fac,1,IF(5=life_fac,0.5,0))+Sens!F3018*IF(4&lt;life_fac,1,IF(4=life_fac,0.5,0))+Sens!G3018*IF(3&lt;life_fac,1,IF(3=life_fac,0.5,0))+Sens!H3018*IF(2&lt;life_fac,1,IF(2=life_fac,0.5,0))+Sens!I3018*IF(1&lt;life_fac,1,IF(1=life_fac,0.5,0))+Sens!J3018*0.5)/life_fac</f>
        <v>6.6865316082486</v>
      </c>
      <c r="K3024" s="6" t="n">
        <f aca="false">(Sens!C3018*IF(8&lt;life_fac,1,IF(8=life_fac,0.5,0))+Sens!D3018*IF(7&lt;life_fac,1,IF(7=life_fac,0.5,0))+Sens!E3018*IF(6&lt;life_fac,1,IF(6=life_fac,0.5,0))+Sens!F3018*IF(5&lt;life_fac,1,IF(5=life_fac,0.5,0))+Sens!G3018*IF(4&lt;life_fac,1,IF(4=life_fac,0.5,0))+Sens!H3018*IF(3&lt;life_fac,1,IF(3=life_fac,0.5,0))+Sens!I3018*IF(2&lt;life_fac,1,IF(2=life_fac,0.5,0))+Sens!J3018*IF(1&lt;life_fac,1,IF(1=life_fac,0.5,0))+Sens!K3018*0.5)/life_fac</f>
        <v>7.09506483928529</v>
      </c>
    </row>
    <row r="3025" customFormat="false" ht="17.15" hidden="false" customHeight="false" outlineLevel="0" collapsed="false">
      <c r="A3025" s="0" t="s">
        <v>1005</v>
      </c>
      <c r="B3025" s="0" t="s">
        <v>98</v>
      </c>
      <c r="E3025" s="6" t="n">
        <f aca="false">Sens!E3023+Sens!E3024</f>
        <v>13.0443247816667</v>
      </c>
      <c r="F3025" s="6" t="n">
        <f aca="false">Sens!F3023+Sens!F3024</f>
        <v>27.6634515826813</v>
      </c>
      <c r="G3025" s="6" t="n">
        <f aca="false">Sens!G3023+Sens!G3024</f>
        <v>48.5875925218392</v>
      </c>
      <c r="H3025" s="6" t="n">
        <f aca="false">Sens!H3023+Sens!H3024</f>
        <v>71.2800725291565</v>
      </c>
      <c r="I3025" s="6" t="n">
        <f aca="false">Sens!I3023+Sens!I3024</f>
        <v>91.3848077556387</v>
      </c>
      <c r="J3025" s="6" t="n">
        <f aca="false">Sens!J3023+Sens!J3024</f>
        <v>105.612538439677</v>
      </c>
      <c r="K3025" s="6" t="n">
        <f aca="false">Sens!K3023+Sens!K3024</f>
        <v>114.410135640747</v>
      </c>
    </row>
    <row r="3026" customFormat="false" ht="17.15" hidden="false" customHeight="false" outlineLevel="0" collapsed="false">
      <c r="A3026" s="0" t="s">
        <v>1006</v>
      </c>
      <c r="B3026" s="0" t="s">
        <v>98</v>
      </c>
      <c r="E3026" s="6" t="n">
        <f aca="false">Sens!E3013-Sens!E3012*Sens!E3025</f>
        <v>8.92707889977379</v>
      </c>
      <c r="F3026" s="6" t="n">
        <f aca="false">Sens!F3013-Sens!F3012*Sens!F3025</f>
        <v>14.3471335960079</v>
      </c>
      <c r="G3026" s="6" t="n">
        <f aca="false">Sens!G3013-Sens!G3012*Sens!G3025</f>
        <v>16.5202976798684</v>
      </c>
      <c r="H3026" s="6" t="n">
        <f aca="false">Sens!H3013-Sens!H3012*Sens!H3025</f>
        <v>12.9805278875331</v>
      </c>
      <c r="I3026" s="6" t="n">
        <f aca="false">Sens!I3013-Sens!I3012*Sens!I3025</f>
        <v>16.2363335770989</v>
      </c>
      <c r="J3026" s="6" t="n">
        <f aca="false">Sens!J3013-Sens!J3012*Sens!J3025</f>
        <v>18.4432225839805</v>
      </c>
      <c r="K3026" s="6" t="n">
        <f aca="false">Sens!K3013-Sens!K3012*Sens!K3025</f>
        <v>20.1577566819661</v>
      </c>
    </row>
    <row r="3027" customFormat="false" ht="17.15" hidden="false" customHeight="false" outlineLevel="0" collapsed="false">
      <c r="A3027" s="3" t="s">
        <v>1686</v>
      </c>
    </row>
    <row r="3028" customFormat="false" ht="15" hidden="false" customHeight="false" outlineLevel="0" collapsed="false">
      <c r="A3028" s="4" t="s">
        <v>43</v>
      </c>
      <c r="B3028" s="4" t="s">
        <v>65</v>
      </c>
      <c r="C3028" s="23" t="s">
        <v>942</v>
      </c>
      <c r="D3028" s="23" t="s">
        <v>943</v>
      </c>
      <c r="E3028" s="23" t="s">
        <v>944</v>
      </c>
      <c r="F3028" s="23" t="s">
        <v>945</v>
      </c>
      <c r="G3028" s="23" t="s">
        <v>946</v>
      </c>
      <c r="H3028" s="23" t="s">
        <v>947</v>
      </c>
      <c r="I3028" s="23" t="s">
        <v>948</v>
      </c>
      <c r="J3028" s="23" t="s">
        <v>949</v>
      </c>
      <c r="K3028" s="23" t="s">
        <v>950</v>
      </c>
      <c r="L3028" s="4" t="s">
        <v>47</v>
      </c>
    </row>
    <row r="3029" customFormat="false" ht="17.15" hidden="false" customHeight="false" outlineLevel="0" collapsed="false">
      <c r="A3029" s="0" t="s">
        <v>1025</v>
      </c>
      <c r="B3029" s="0" t="s">
        <v>98</v>
      </c>
      <c r="D3029" s="6" t="n">
        <f aca="false">Sens!D3007</f>
        <v>12.9359794422418</v>
      </c>
      <c r="E3029" s="6" t="n">
        <f aca="false">Sens!E3007</f>
        <v>27.8095064661409</v>
      </c>
      <c r="F3029" s="6" t="n">
        <f aca="false">Sens!F3007</f>
        <v>50.9819294352312</v>
      </c>
      <c r="G3029" s="6" t="n">
        <f aca="false">Sens!G3007</f>
        <v>76.6920436014933</v>
      </c>
      <c r="H3029" s="6" t="n">
        <f aca="false">Sens!H3007</f>
        <v>97.4495379418341</v>
      </c>
      <c r="I3029" s="6" t="n">
        <f aca="false">Sens!I3007</f>
        <v>122.083445553868</v>
      </c>
      <c r="J3029" s="6" t="n">
        <f aca="false">Sens!J3007</f>
        <v>139.249060444804</v>
      </c>
      <c r="K3029" s="6" t="n">
        <f aca="false">Sens!K3007</f>
        <v>149.995818575589</v>
      </c>
    </row>
    <row r="3030" customFormat="false" ht="17.15" hidden="false" customHeight="false" outlineLevel="0" collapsed="false">
      <c r="A3030" s="0" t="s">
        <v>1026</v>
      </c>
      <c r="B3030" s="0" t="s">
        <v>98</v>
      </c>
      <c r="D3030" s="6" t="n">
        <f aca="false">Q!L6-Sens!D3029</f>
        <v>59.6740205577583</v>
      </c>
      <c r="E3030" s="6" t="n">
        <f aca="false">Q!M6-Sens!E3029</f>
        <v>74.1284935338591</v>
      </c>
      <c r="F3030" s="6" t="n">
        <f aca="false">Q!$I$6+(Sens!F3029+Sens!E3030*(1+Sens!F3031))*(1-Q!$E$6/Q!M6)-Sens!F3029</f>
        <v>92.2699541184664</v>
      </c>
      <c r="G3030" s="6" t="n">
        <f aca="false">Sens!F3030*(1+Sens!G3031)</f>
        <v>109.630477277949</v>
      </c>
      <c r="H3030" s="6" t="n">
        <f aca="false">Sens!G3030*(1+Sens!H3031)</f>
        <v>127.293256321956</v>
      </c>
      <c r="I3030" s="6" t="n">
        <f aca="false">Sens!H3030*(1+Sens!I3031)</f>
        <v>144.360052269491</v>
      </c>
      <c r="J3030" s="6" t="n">
        <f aca="false">Sens!I3030*(1+Sens!J3031)</f>
        <v>159.811964490216</v>
      </c>
      <c r="K3030" s="6" t="n">
        <f aca="false">Sens!J3030*(1+Sens!K3031)</f>
        <v>172.596921649434</v>
      </c>
      <c r="L3030" s="12" t="s">
        <v>1027</v>
      </c>
    </row>
    <row r="3031" customFormat="false" ht="15" hidden="false" customHeight="false" outlineLevel="0" collapsed="false">
      <c r="A3031" s="1" t="s">
        <v>1028</v>
      </c>
      <c r="B3031" s="0" t="s">
        <v>168</v>
      </c>
      <c r="E3031" s="7" t="n">
        <f aca="false">Sens!E3030/Sens!D3030-1</f>
        <v>0.242223883039864</v>
      </c>
      <c r="F3031" s="7" t="n">
        <f aca="false">Sens!$E$3031+(glt_azo-Sens!$E$3031)*MIN(1,(Sens!F2988-base_fy)/n_conv)</f>
        <v>0.215186569199887</v>
      </c>
      <c r="G3031" s="7" t="n">
        <f aca="false">Sens!$E$3031+(glt_azo-Sens!$E$3031)*MIN(1,(Sens!G2988-base_fy)/n_conv)</f>
        <v>0.18814925535991</v>
      </c>
      <c r="H3031" s="7" t="n">
        <f aca="false">Sens!$E$3031+(glt_azo-Sens!$E$3031)*MIN(1,(Sens!H2988-base_fy)/n_conv)</f>
        <v>0.161111941519932</v>
      </c>
      <c r="I3031" s="7" t="n">
        <f aca="false">Sens!$E$3031+(glt_azo-Sens!$E$3031)*MIN(1,(Sens!I2988-base_fy)/n_conv)</f>
        <v>0.134074627679955</v>
      </c>
      <c r="J3031" s="7" t="n">
        <f aca="false">Sens!$E$3031+(glt_azo-Sens!$E$3031)*MIN(1,(Sens!J2988-base_fy)/n_conv)</f>
        <v>0.107037313839977</v>
      </c>
      <c r="K3031" s="7" t="n">
        <f aca="false">Sens!$E$3031+(glt_azo-Sens!$E$3031)*MIN(1,(Sens!K2988-base_fy)/n_conv)</f>
        <v>0.08</v>
      </c>
    </row>
    <row r="3032" customFormat="false" ht="15" hidden="false" customHeight="false" outlineLevel="0" collapsed="false">
      <c r="A3032" s="0" t="s">
        <v>1029</v>
      </c>
      <c r="B3032" s="0" t="s">
        <v>98</v>
      </c>
      <c r="D3032" s="6" t="n">
        <f aca="false">Sens!D3029+Sens!D3030</f>
        <v>72.61</v>
      </c>
      <c r="E3032" s="6" t="n">
        <f aca="false">Sens!E3029+Sens!E3030</f>
        <v>101.938</v>
      </c>
      <c r="F3032" s="6" t="n">
        <f aca="false">Sens!F3029+Sens!F3030</f>
        <v>143.251883553698</v>
      </c>
      <c r="G3032" s="6" t="n">
        <f aca="false">Sens!G3029+Sens!G3030</f>
        <v>186.322520879442</v>
      </c>
      <c r="H3032" s="6" t="n">
        <f aca="false">Sens!H3029+Sens!H3030</f>
        <v>224.74279426379</v>
      </c>
      <c r="I3032" s="6" t="n">
        <f aca="false">Sens!I3029+Sens!I3030</f>
        <v>266.443497823359</v>
      </c>
      <c r="J3032" s="6" t="n">
        <f aca="false">Sens!J3029+Sens!J3030</f>
        <v>299.06102493502</v>
      </c>
      <c r="K3032" s="6" t="n">
        <f aca="false">Sens!K3029+Sens!K3030</f>
        <v>322.592740225023</v>
      </c>
    </row>
    <row r="3033" customFormat="false" ht="17.15" hidden="false" customHeight="false" outlineLevel="0" collapsed="false">
      <c r="A3033" s="0" t="s">
        <v>1030</v>
      </c>
      <c r="B3033" s="1" t="s">
        <v>613</v>
      </c>
      <c r="C3033" s="30" t="n">
        <f aca="false">cop_s24</f>
        <v>1</v>
      </c>
      <c r="D3033" s="30" t="n">
        <f aca="false">cop_s25</f>
        <v>5</v>
      </c>
      <c r="E3033" s="30" t="n">
        <f aca="false">cop_s26</f>
        <v>30</v>
      </c>
      <c r="F3033" s="30" t="n">
        <f aca="false">Sens!E3033+cop_add_C</f>
        <v>40</v>
      </c>
      <c r="G3033" s="30" t="n">
        <f aca="false">Sens!F3033+cop_add_C</f>
        <v>50</v>
      </c>
      <c r="H3033" s="30" t="n">
        <f aca="false">Sens!G3033+cop_add_C</f>
        <v>60</v>
      </c>
      <c r="I3033" s="30" t="n">
        <f aca="false">Sens!H3033+cop_add_C*cop_tail</f>
        <v>65</v>
      </c>
      <c r="J3033" s="30" t="n">
        <f aca="false">Sens!I3033+cop_add_C*cop_tail</f>
        <v>70</v>
      </c>
      <c r="K3033" s="30" t="n">
        <f aca="false">Sens!J3033+cop_add_C*cop_tail</f>
        <v>75</v>
      </c>
      <c r="L3033" s="12" t="s">
        <v>1031</v>
      </c>
    </row>
    <row r="3034" customFormat="false" ht="17.15" hidden="false" customHeight="false" outlineLevel="0" collapsed="false">
      <c r="A3034" s="0" t="s">
        <v>1032</v>
      </c>
      <c r="B3034" s="0" t="s">
        <v>98</v>
      </c>
      <c r="D3034" s="6" t="n">
        <f aca="false">(Sens!C3033+Sens!D3033)/2*cop_px*12/1000</f>
        <v>0.9</v>
      </c>
      <c r="E3034" s="6" t="n">
        <f aca="false">(Sens!D3033+Sens!E3033)/2*cop_px*12/1000</f>
        <v>5.25</v>
      </c>
      <c r="F3034" s="6" t="n">
        <f aca="false">(Sens!E3033+Sens!F3033)/2*cop_px*12/1000</f>
        <v>10.5</v>
      </c>
      <c r="G3034" s="6" t="n">
        <f aca="false">(Sens!F3033+Sens!G3033)/2*cop_px*12/1000</f>
        <v>13.5</v>
      </c>
      <c r="H3034" s="6" t="n">
        <f aca="false">(Sens!G3033+Sens!H3033)/2*cop_px*12/1000</f>
        <v>16.5</v>
      </c>
      <c r="I3034" s="6" t="n">
        <f aca="false">(Sens!H3033+Sens!I3033)/2*cop_px*12/1000</f>
        <v>18.75</v>
      </c>
      <c r="J3034" s="6" t="n">
        <f aca="false">(Sens!I3033+Sens!J3033)/2*cop_px*12/1000</f>
        <v>20.25</v>
      </c>
      <c r="K3034" s="6" t="n">
        <f aca="false">(Sens!J3033+Sens!K3033)/2*cop_px*12/1000</f>
        <v>21.75</v>
      </c>
      <c r="L3034" s="1" t="s">
        <v>1033</v>
      </c>
    </row>
    <row r="3035" customFormat="false" ht="17.15" hidden="false" customHeight="false" outlineLevel="0" collapsed="false">
      <c r="A3035" s="0" t="s">
        <v>1034</v>
      </c>
      <c r="B3035" s="0" t="s">
        <v>98</v>
      </c>
      <c r="D3035" s="6" t="n">
        <f aca="false">Q!L7-Sens!D3034</f>
        <v>83.705</v>
      </c>
      <c r="E3035" s="6" t="n">
        <f aca="false">Q!M7-Sens!E3034</f>
        <v>95.049</v>
      </c>
      <c r="F3035" s="6" t="n">
        <f aca="false">Q!$I$7+(Sens!E3035*(1+Sens!F3036)+Sens!F3034)*(1-Q!$E$7/Q!M7)-Sens!F3034</f>
        <v>106.938354189776</v>
      </c>
      <c r="G3035" s="6" t="n">
        <f aca="false">Sens!F3035*(1+Sens!G3036)</f>
        <v>119.095360443801</v>
      </c>
      <c r="H3035" s="6" t="n">
        <f aca="false">Sens!G3035*(1+Sens!H3036)</f>
        <v>131.333811964563</v>
      </c>
      <c r="I3035" s="6" t="n">
        <f aca="false">Sens!H3035*(1+Sens!I3036)</f>
        <v>143.395665319381</v>
      </c>
      <c r="J3035" s="6" t="n">
        <f aca="false">Sens!I3035*(1+Sens!J3036)</f>
        <v>154.999327755573</v>
      </c>
      <c r="K3035" s="6" t="n">
        <f aca="false">Sens!J3035*(1+Sens!K3036)</f>
        <v>165.849280698463</v>
      </c>
      <c r="L3035" s="12" t="s">
        <v>1035</v>
      </c>
    </row>
    <row r="3036" customFormat="false" ht="15" hidden="false" customHeight="false" outlineLevel="0" collapsed="false">
      <c r="A3036" s="1" t="s">
        <v>1028</v>
      </c>
      <c r="B3036" s="0" t="s">
        <v>168</v>
      </c>
      <c r="E3036" s="7" t="n">
        <f aca="false">Sens!E3035/Sens!D3035-1</f>
        <v>0.135523564900544</v>
      </c>
      <c r="F3036" s="7" t="n">
        <f aca="false">Sens!$E$3036+(glt_m365b-Sens!$E$3036)*MIN(1,(Sens!F2988-base_fy)/n_conv)</f>
        <v>0.124602970750453</v>
      </c>
      <c r="G3036" s="7" t="n">
        <f aca="false">Sens!$E$3036+(glt_m365b-Sens!$E$3036)*MIN(1,(Sens!G2988-base_fy)/n_conv)</f>
        <v>0.113682376600363</v>
      </c>
      <c r="H3036" s="7" t="n">
        <f aca="false">Sens!$E$3036+(glt_m365b-Sens!$E$3036)*MIN(1,(Sens!H2988-base_fy)/n_conv)</f>
        <v>0.102761782450272</v>
      </c>
      <c r="I3036" s="7" t="n">
        <f aca="false">Sens!$E$3036+(glt_m365b-Sens!$E$3036)*MIN(1,(Sens!I2988-base_fy)/n_conv)</f>
        <v>0.0918411883001813</v>
      </c>
      <c r="J3036" s="7" t="n">
        <f aca="false">Sens!$E$3036+(glt_m365b-Sens!$E$3036)*MIN(1,(Sens!J2988-base_fy)/n_conv)</f>
        <v>0.0809205941500906</v>
      </c>
      <c r="K3036" s="7" t="n">
        <f aca="false">Sens!$E$3036+(glt_m365b-Sens!$E$3036)*MIN(1,(Sens!K2988-base_fy)/n_conv)</f>
        <v>0.07</v>
      </c>
    </row>
    <row r="3037" customFormat="false" ht="15" hidden="false" customHeight="false" outlineLevel="0" collapsed="false">
      <c r="A3037" s="0" t="s">
        <v>1036</v>
      </c>
      <c r="B3037" s="0" t="s">
        <v>98</v>
      </c>
      <c r="D3037" s="6" t="n">
        <f aca="false">Sens!D3035+Sens!D3034</f>
        <v>84.605</v>
      </c>
      <c r="E3037" s="6" t="n">
        <f aca="false">Sens!E3035+Sens!E3034</f>
        <v>100.299</v>
      </c>
      <c r="F3037" s="6" t="n">
        <f aca="false">Sens!F3035+Sens!F3034</f>
        <v>117.438354189776</v>
      </c>
      <c r="G3037" s="6" t="n">
        <f aca="false">Sens!G3035+Sens!G3034</f>
        <v>132.595360443801</v>
      </c>
      <c r="H3037" s="6" t="n">
        <f aca="false">Sens!H3035+Sens!H3034</f>
        <v>147.833811964563</v>
      </c>
      <c r="I3037" s="6" t="n">
        <f aca="false">Sens!I3035+Sens!I3034</f>
        <v>162.145665319381</v>
      </c>
      <c r="J3037" s="6" t="n">
        <f aca="false">Sens!J3035+Sens!J3034</f>
        <v>175.249327755573</v>
      </c>
      <c r="K3037" s="6" t="n">
        <f aca="false">Sens!K3035+Sens!K3034</f>
        <v>187.599280698463</v>
      </c>
    </row>
    <row r="3038" customFormat="false" ht="17.15" hidden="false" customHeight="false" outlineLevel="0" collapsed="false">
      <c r="A3038" s="0" t="s">
        <v>1037</v>
      </c>
      <c r="B3038" s="0" t="s">
        <v>98</v>
      </c>
      <c r="D3038" s="6" t="n">
        <f aca="false">Q!L8</f>
        <v>35.391</v>
      </c>
      <c r="E3038" s="6" t="n">
        <f aca="false">Q!M8</f>
        <v>37.285</v>
      </c>
      <c r="F3038" s="6" t="n">
        <f aca="false">Q!$I$8+(Q!M8-Q!$E$8)*(1+Sens!F3039)</f>
        <v>38.3851437782675</v>
      </c>
      <c r="G3038" s="6" t="n">
        <f aca="false">Sens!F3038*(1+Sens!G3039)</f>
        <v>40.0105353288615</v>
      </c>
      <c r="H3038" s="6" t="n">
        <f aca="false">Sens!G3038*(1+Sens!H3039)</f>
        <v>41.4812512033683</v>
      </c>
      <c r="I3038" s="6" t="n">
        <f aca="false">Sens!H3038*(1+Sens!I3039)</f>
        <v>42.7743107216329</v>
      </c>
      <c r="J3038" s="6" t="n">
        <f aca="false">Sens!I3038*(1+Sens!J3039)</f>
        <v>43.8687373064601</v>
      </c>
      <c r="K3038" s="6" t="n">
        <f aca="false">Sens!J3038*(1+Sens!K3039)</f>
        <v>44.7461120525893</v>
      </c>
      <c r="L3038" s="12" t="s">
        <v>1038</v>
      </c>
    </row>
    <row r="3039" customFormat="false" ht="15" hidden="false" customHeight="false" outlineLevel="0" collapsed="false">
      <c r="A3039" s="1" t="s">
        <v>1028</v>
      </c>
      <c r="B3039" s="0" t="s">
        <v>168</v>
      </c>
      <c r="E3039" s="7" t="n">
        <f aca="false">Sens!E3038/Sens!D3038-1</f>
        <v>0.0535164307309768</v>
      </c>
      <c r="F3039" s="7" t="n">
        <f aca="false">Sens!$E$3039+(glt_lic-Sens!$E$3039)*MIN(1,(Sens!F2988-base_fy)/n_conv)</f>
        <v>0.0479303589424807</v>
      </c>
      <c r="G3039" s="7" t="n">
        <f aca="false">Sens!$E$3039+(glt_lic-Sens!$E$3039)*MIN(1,(Sens!G2988-base_fy)/n_conv)</f>
        <v>0.0423442871539845</v>
      </c>
      <c r="H3039" s="7" t="n">
        <f aca="false">Sens!$E$3039+(glt_lic-Sens!$E$3039)*MIN(1,(Sens!H2988-base_fy)/n_conv)</f>
        <v>0.0367582153654884</v>
      </c>
      <c r="I3039" s="7" t="n">
        <f aca="false">Sens!$E$3039+(glt_lic-Sens!$E$3039)*MIN(1,(Sens!I2988-base_fy)/n_conv)</f>
        <v>0.0311721435769923</v>
      </c>
      <c r="J3039" s="7" t="n">
        <f aca="false">Sens!$E$3039+(glt_lic-Sens!$E$3039)*MIN(1,(Sens!J2988-base_fy)/n_conv)</f>
        <v>0.0255860717884961</v>
      </c>
      <c r="K3039" s="7" t="n">
        <f aca="false">Sens!$E$3039+(glt_lic-Sens!$E$3039)*MIN(1,(Sens!K2988-base_fy)/n_conv)</f>
        <v>0.02</v>
      </c>
    </row>
    <row r="3040" customFormat="false" ht="17.15" hidden="false" customHeight="false" outlineLevel="0" collapsed="false">
      <c r="A3040" s="0" t="s">
        <v>1039</v>
      </c>
      <c r="B3040" s="0" t="s">
        <v>98</v>
      </c>
      <c r="D3040" s="6" t="n">
        <f aca="false">Q!L9</f>
        <v>18.417</v>
      </c>
      <c r="E3040" s="6" t="n">
        <f aca="false">Q!M9</f>
        <v>20.345</v>
      </c>
      <c r="F3040" s="6" t="n">
        <f aca="false">Q!$I$9+(Q!M9-Q!$E$9)*(1+Sens!F3041)</f>
        <v>22.3161797133988</v>
      </c>
      <c r="G3040" s="6" t="n">
        <f aca="false">Sens!F3040*(1+Sens!G3041)</f>
        <v>24.3943499673233</v>
      </c>
      <c r="H3040" s="6" t="n">
        <f aca="false">Sens!G3040*(1+Sens!H3041)</f>
        <v>26.5250243109019</v>
      </c>
      <c r="I3040" s="6" t="n">
        <f aca="false">Sens!H3040*(1+Sens!I3041)</f>
        <v>28.6884573538181</v>
      </c>
      <c r="J3040" s="6" t="n">
        <f aca="false">Sens!I3040*(1+Sens!J3041)</f>
        <v>30.8624968052127</v>
      </c>
      <c r="K3040" s="6" t="n">
        <f aca="false">Sens!J3040*(1+Sens!K3041)</f>
        <v>33.0228715815776</v>
      </c>
      <c r="L3040" s="12" t="s">
        <v>1038</v>
      </c>
    </row>
    <row r="3041" customFormat="false" ht="15" hidden="false" customHeight="false" outlineLevel="0" collapsed="false">
      <c r="A3041" s="1" t="s">
        <v>1028</v>
      </c>
      <c r="B3041" s="0" t="s">
        <v>168</v>
      </c>
      <c r="E3041" s="7" t="n">
        <f aca="false">Sens!E3040/Sens!D3040-1</f>
        <v>0.104685888038225</v>
      </c>
      <c r="F3041" s="7" t="n">
        <f aca="false">Sens!$E$3041+(glt_ind-Sens!$E$3041)*MIN(1,(Sens!F2988-base_fy)/n_conv)</f>
        <v>0.0989049066985211</v>
      </c>
      <c r="G3041" s="7" t="n">
        <f aca="false">Sens!$E$3041+(glt_ind-Sens!$E$3041)*MIN(1,(Sens!G2988-base_fy)/n_conv)</f>
        <v>0.0931239253588169</v>
      </c>
      <c r="H3041" s="7" t="n">
        <f aca="false">Sens!$E$3041+(glt_ind-Sens!$E$3041)*MIN(1,(Sens!H2988-base_fy)/n_conv)</f>
        <v>0.0873429440191127</v>
      </c>
      <c r="I3041" s="7" t="n">
        <f aca="false">Sens!$E$3041+(glt_ind-Sens!$E$3041)*MIN(1,(Sens!I2988-base_fy)/n_conv)</f>
        <v>0.0815619626794085</v>
      </c>
      <c r="J3041" s="7" t="n">
        <f aca="false">Sens!$E$3041+(glt_ind-Sens!$E$3041)*MIN(1,(Sens!J2988-base_fy)/n_conv)</f>
        <v>0.0757809813397042</v>
      </c>
      <c r="K3041" s="7" t="n">
        <f aca="false">Sens!$E$3041+(glt_ind-Sens!$E$3041)*MIN(1,(Sens!K2988-base_fy)/n_conv)</f>
        <v>0.07</v>
      </c>
    </row>
    <row r="3042" customFormat="false" ht="17.15" hidden="false" customHeight="false" outlineLevel="0" collapsed="false">
      <c r="A3042" s="0" t="s">
        <v>1040</v>
      </c>
      <c r="B3042" s="0" t="s">
        <v>98</v>
      </c>
      <c r="D3042" s="6" t="n">
        <f aca="false">Q!L10</f>
        <v>7.76</v>
      </c>
      <c r="E3042" s="6" t="n">
        <f aca="false">Q!M10</f>
        <v>8.26</v>
      </c>
      <c r="F3042" s="6" t="n">
        <f aca="false">Q!$I$10+(Q!M10-Q!$E$10)*(1+Sens!F3043)</f>
        <v>8.75372082474227</v>
      </c>
      <c r="G3042" s="6" t="n">
        <f aca="false">Sens!F3042*(1+Sens!G3043)</f>
        <v>9.33399324642364</v>
      </c>
      <c r="H3042" s="6" t="n">
        <f aca="false">Sens!G3042*(1+Sens!H3043)</f>
        <v>9.96139155535851</v>
      </c>
      <c r="I3042" s="6" t="n">
        <f aca="false">Sens!H3042*(1+Sens!I3043)</f>
        <v>10.6402039077391</v>
      </c>
      <c r="J3042" s="6" t="n">
        <f aca="false">Sens!I3042*(1+Sens!J3043)</f>
        <v>11.3751458271397</v>
      </c>
      <c r="K3042" s="6" t="n">
        <f aca="false">Sens!J3042*(1+Sens!K3043)</f>
        <v>12.1714060350394</v>
      </c>
      <c r="L3042" s="12" t="s">
        <v>1038</v>
      </c>
    </row>
    <row r="3043" customFormat="false" ht="15" hidden="false" customHeight="false" outlineLevel="0" collapsed="false">
      <c r="A3043" s="1" t="s">
        <v>1028</v>
      </c>
      <c r="B3043" s="0" t="s">
        <v>168</v>
      </c>
      <c r="E3043" s="7" t="n">
        <f aca="false">Sens!E3042/Sens!D3042-1</f>
        <v>0.0644329896907216</v>
      </c>
      <c r="F3043" s="7" t="n">
        <f aca="false">Sens!$E$3043+(glt_fro-Sens!$E$3043)*MIN(1,(Sens!F2988-base_fy)/n_conv)</f>
        <v>0.065360824742268</v>
      </c>
      <c r="G3043" s="7" t="n">
        <f aca="false">Sens!$E$3043+(glt_fro-Sens!$E$3043)*MIN(1,(Sens!G2988-base_fy)/n_conv)</f>
        <v>0.0662886597938144</v>
      </c>
      <c r="H3043" s="7" t="n">
        <f aca="false">Sens!$E$3043+(glt_fro-Sens!$E$3043)*MIN(1,(Sens!H2988-base_fy)/n_conv)</f>
        <v>0.0672164948453608</v>
      </c>
      <c r="I3043" s="7" t="n">
        <f aca="false">Sens!$E$3043+(glt_fro-Sens!$E$3043)*MIN(1,(Sens!I2988-base_fy)/n_conv)</f>
        <v>0.0681443298969072</v>
      </c>
      <c r="J3043" s="7" t="n">
        <f aca="false">Sens!$E$3043+(glt_fro-Sens!$E$3043)*MIN(1,(Sens!J2988-base_fy)/n_conv)</f>
        <v>0.0690721649484536</v>
      </c>
      <c r="K3043" s="7" t="n">
        <f aca="false">Sens!$E$3043+(glt_fro-Sens!$E$3043)*MIN(1,(Sens!K2988-base_fy)/n_conv)</f>
        <v>0.07</v>
      </c>
    </row>
    <row r="3044" customFormat="false" ht="15" hidden="false" customHeight="false" outlineLevel="0" collapsed="false">
      <c r="A3044" s="0" t="s">
        <v>856</v>
      </c>
      <c r="B3044" s="0" t="s">
        <v>98</v>
      </c>
      <c r="D3044" s="6" t="n">
        <f aca="false">Sens!D3032+Sens!D3037+Sens!D3038+Sens!D3040+Sens!D3042</f>
        <v>218.783</v>
      </c>
      <c r="E3044" s="6" t="n">
        <f aca="false">Sens!E3032+Sens!E3037+Sens!E3038+Sens!E3040+Sens!E3042</f>
        <v>268.127</v>
      </c>
      <c r="F3044" s="6" t="n">
        <f aca="false">Sens!F3032+Sens!F3037+Sens!F3038+Sens!F3040+Sens!F3042</f>
        <v>330.145282059882</v>
      </c>
      <c r="G3044" s="6" t="n">
        <f aca="false">Sens!G3032+Sens!G3037+Sens!G3038+Sens!G3040+Sens!G3042</f>
        <v>392.656759865851</v>
      </c>
      <c r="H3044" s="6" t="n">
        <f aca="false">Sens!H3032+Sens!H3037+Sens!H3038+Sens!H3040+Sens!H3042</f>
        <v>450.544273297982</v>
      </c>
      <c r="I3044" s="6" t="n">
        <f aca="false">Sens!I3032+Sens!I3037+Sens!I3038+Sens!I3040+Sens!I3042</f>
        <v>510.69213512593</v>
      </c>
      <c r="J3044" s="6" t="n">
        <f aca="false">Sens!J3032+Sens!J3037+Sens!J3038+Sens!J3040+Sens!J3042</f>
        <v>560.416732629406</v>
      </c>
      <c r="K3044" s="6" t="n">
        <f aca="false">Sens!K3032+Sens!K3037+Sens!K3038+Sens!K3040+Sens!K3042</f>
        <v>600.132410592692</v>
      </c>
    </row>
    <row r="3045" customFormat="false" ht="17.15" hidden="false" customHeight="false" outlineLevel="0" collapsed="false">
      <c r="A3045" s="0" t="s">
        <v>1041</v>
      </c>
      <c r="B3045" s="0" t="s">
        <v>98</v>
      </c>
      <c r="D3045" s="6" t="n">
        <f aca="false">Q!L13</f>
        <v>22.171</v>
      </c>
      <c r="E3045" s="6" t="n">
        <f aca="false">Q!M13</f>
        <v>24.835</v>
      </c>
      <c r="F3045" s="6" t="n">
        <f aca="false">Q!$I$13+(Q!M13-Q!$E$13)*(1+Sens!F3046)</f>
        <v>27.5591895660247</v>
      </c>
      <c r="G3045" s="6" t="n">
        <f aca="false">Sens!F3045*(1+Sens!G3046)</f>
        <v>30.4098563144583</v>
      </c>
      <c r="H3045" s="6" t="n">
        <f aca="false">Sens!G3045*(1+Sens!H3046)</f>
        <v>33.3011792571777</v>
      </c>
      <c r="I3045" s="6" t="n">
        <f aca="false">Sens!H3045*(1+Sens!I3046)</f>
        <v>36.189023797112</v>
      </c>
      <c r="J3045" s="6" t="n">
        <f aca="false">Sens!I3045*(1+Sens!J3046)</f>
        <v>39.0247773769199</v>
      </c>
      <c r="K3045" s="6" t="n">
        <f aca="false">Sens!J3045*(1+Sens!K3046)</f>
        <v>41.7565117933043</v>
      </c>
      <c r="L3045" s="12" t="s">
        <v>1038</v>
      </c>
    </row>
    <row r="3046" customFormat="false" ht="15" hidden="false" customHeight="false" outlineLevel="0" collapsed="false">
      <c r="A3046" s="1" t="s">
        <v>1028</v>
      </c>
      <c r="B3046" s="0" t="s">
        <v>168</v>
      </c>
      <c r="E3046" s="7" t="n">
        <f aca="false">Sens!E3045/Sens!D3045-1</f>
        <v>0.120156961796942</v>
      </c>
      <c r="F3046" s="7" t="n">
        <f aca="false">Sens!$E$3046+(glt_srch-Sens!$E$3046)*MIN(1,(Sens!F2988-base_fy)/n_conv)</f>
        <v>0.111797468164118</v>
      </c>
      <c r="G3046" s="7" t="n">
        <f aca="false">Sens!$E$3046+(glt_srch-Sens!$E$3046)*MIN(1,(Sens!G2988-base_fy)/n_conv)</f>
        <v>0.103437974531295</v>
      </c>
      <c r="H3046" s="7" t="n">
        <f aca="false">Sens!$E$3046+(glt_srch-Sens!$E$3046)*MIN(1,(Sens!H2988-base_fy)/n_conv)</f>
        <v>0.095078480898471</v>
      </c>
      <c r="I3046" s="7" t="n">
        <f aca="false">Sens!$E$3046+(glt_srch-Sens!$E$3046)*MIN(1,(Sens!I2988-base_fy)/n_conv)</f>
        <v>0.0867189872656474</v>
      </c>
      <c r="J3046" s="7" t="n">
        <f aca="false">Sens!$E$3046+(glt_srch-Sens!$E$3046)*MIN(1,(Sens!J2988-base_fy)/n_conv)</f>
        <v>0.0783594936328237</v>
      </c>
      <c r="K3046" s="7" t="n">
        <f aca="false">Sens!$E$3046+(glt_srch-Sens!$E$3046)*MIN(1,(Sens!K2988-base_fy)/n_conv)</f>
        <v>0.07</v>
      </c>
    </row>
    <row r="3047" customFormat="false" ht="17.15" hidden="false" customHeight="false" outlineLevel="0" collapsed="false">
      <c r="A3047" s="0" t="s">
        <v>1042</v>
      </c>
      <c r="B3047" s="0" t="s">
        <v>98</v>
      </c>
      <c r="D3047" s="6" t="n">
        <f aca="false">Q!L14</f>
        <v>23.455</v>
      </c>
      <c r="E3047" s="6" t="n">
        <f aca="false">Q!M14</f>
        <v>21.79</v>
      </c>
      <c r="F3047" s="6" t="n">
        <f aca="false">Q!$I$14+(Q!M14-Q!$E$14)*(1+Sens!F3048)</f>
        <v>20.7520981041711</v>
      </c>
      <c r="G3047" s="6" t="n">
        <f aca="false">Sens!F3047*(1+Sens!G3048)</f>
        <v>19.9083593495882</v>
      </c>
      <c r="H3047" s="6" t="n">
        <f aca="false">Sens!G3047*(1+Sens!H3048)</f>
        <v>19.4008256265831</v>
      </c>
      <c r="I3047" s="6" t="n">
        <f aca="false">Sens!H3047*(1+Sens!I3048)</f>
        <v>19.200434522122</v>
      </c>
      <c r="J3047" s="6" t="n">
        <f aca="false">Sens!I3047*(1+Sens!J3048)</f>
        <v>19.2932782348507</v>
      </c>
      <c r="K3047" s="6" t="n">
        <f aca="false">Sens!J3047*(1+Sens!K3048)</f>
        <v>19.6791437995477</v>
      </c>
      <c r="L3047" s="12" t="s">
        <v>1038</v>
      </c>
    </row>
    <row r="3048" customFormat="false" ht="15" hidden="false" customHeight="false" outlineLevel="0" collapsed="false">
      <c r="A3048" s="1" t="s">
        <v>1028</v>
      </c>
      <c r="B3048" s="0" t="s">
        <v>168</v>
      </c>
      <c r="E3048" s="7" t="n">
        <f aca="false">Sens!E3047/Sens!D3047-1</f>
        <v>-0.0709869963760392</v>
      </c>
      <c r="F3048" s="7" t="n">
        <f aca="false">Sens!$E$3048+(glt_xbox-Sens!$E$3048)*MIN(1,(Sens!F2988-base_fy)/n_conv)</f>
        <v>-0.0558224969800327</v>
      </c>
      <c r="G3048" s="7" t="n">
        <f aca="false">Sens!$E$3048+(glt_xbox-Sens!$E$3048)*MIN(1,(Sens!G2988-base_fy)/n_conv)</f>
        <v>-0.0406579975840262</v>
      </c>
      <c r="H3048" s="7" t="n">
        <f aca="false">Sens!$E$3048+(glt_xbox-Sens!$E$3048)*MIN(1,(Sens!H2988-base_fy)/n_conv)</f>
        <v>-0.0254934981880196</v>
      </c>
      <c r="I3048" s="7" t="n">
        <f aca="false">Sens!$E$3048+(glt_xbox-Sens!$E$3048)*MIN(1,(Sens!I2988-base_fy)/n_conv)</f>
        <v>-0.0103289987920131</v>
      </c>
      <c r="J3048" s="7" t="n">
        <f aca="false">Sens!$E$3048+(glt_xbox-Sens!$E$3048)*MIN(1,(Sens!J2988-base_fy)/n_conv)</f>
        <v>0.00483550060399347</v>
      </c>
      <c r="K3048" s="7" t="n">
        <f aca="false">Sens!$E$3048+(glt_xbox-Sens!$E$3048)*MIN(1,(Sens!K2988-base_fy)/n_conv)</f>
        <v>0.02</v>
      </c>
    </row>
    <row r="3049" customFormat="false" ht="17.15" hidden="false" customHeight="false" outlineLevel="0" collapsed="false">
      <c r="A3049" s="0" t="s">
        <v>1043</v>
      </c>
      <c r="B3049" s="0" t="s">
        <v>98</v>
      </c>
      <c r="D3049" s="6" t="n">
        <f aca="false">Q!L15</f>
        <v>17.315</v>
      </c>
      <c r="E3049" s="6" t="n">
        <f aca="false">Q!M15</f>
        <v>17.087</v>
      </c>
      <c r="F3049" s="6" t="n">
        <f aca="false">Q!$I$15+(Q!M15-Q!$E$15)*(1+Sens!F3050)</f>
        <v>15.9912273250553</v>
      </c>
      <c r="G3049" s="6" t="n">
        <f aca="false">Sens!F3049*(1+Sens!G3050)</f>
        <v>15.9574562664827</v>
      </c>
      <c r="H3049" s="6" t="n">
        <f aca="false">Sens!G3049*(1+Sens!H3050)</f>
        <v>16.0119687434196</v>
      </c>
      <c r="I3049" s="6" t="n">
        <f aca="false">Sens!H3049*(1+Sens!I3050)</f>
        <v>16.1551810001948</v>
      </c>
      <c r="J3049" s="6" t="n">
        <f aca="false">Sens!I3049*(1+Sens!J3050)</f>
        <v>16.3889793892005</v>
      </c>
      <c r="K3049" s="6" t="n">
        <f aca="false">Sens!J3049*(1+Sens!K3050)</f>
        <v>16.7167589769845</v>
      </c>
      <c r="L3049" s="12" t="s">
        <v>1038</v>
      </c>
    </row>
    <row r="3050" customFormat="false" ht="15" hidden="false" customHeight="false" outlineLevel="0" collapsed="false">
      <c r="A3050" s="1" t="s">
        <v>1028</v>
      </c>
      <c r="B3050" s="0" t="s">
        <v>168</v>
      </c>
      <c r="E3050" s="7" t="n">
        <f aca="false">Sens!E3049/Sens!D3049-1</f>
        <v>-0.0131677736066995</v>
      </c>
      <c r="F3050" s="7" t="n">
        <f aca="false">Sens!$E$3050+(glt_win-Sens!$E$3050)*MIN(1,(Sens!F2988-base_fy)/n_conv)</f>
        <v>-0.00763981133891627</v>
      </c>
      <c r="G3050" s="7" t="n">
        <f aca="false">Sens!$E$3050+(glt_win-Sens!$E$3050)*MIN(1,(Sens!G2988-base_fy)/n_conv)</f>
        <v>-0.00211184907113301</v>
      </c>
      <c r="H3050" s="7" t="n">
        <f aca="false">Sens!$E$3050+(glt_win-Sens!$E$3050)*MIN(1,(Sens!H2988-base_fy)/n_conv)</f>
        <v>0.00341611319665024</v>
      </c>
      <c r="I3050" s="7" t="n">
        <f aca="false">Sens!$E$3050+(glt_win-Sens!$E$3050)*MIN(1,(Sens!I2988-base_fy)/n_conv)</f>
        <v>0.00894407546443349</v>
      </c>
      <c r="J3050" s="7" t="n">
        <f aca="false">Sens!$E$3050+(glt_win-Sens!$E$3050)*MIN(1,(Sens!J2988-base_fy)/n_conv)</f>
        <v>0.0144720377322168</v>
      </c>
      <c r="K3050" s="7" t="n">
        <f aca="false">Sens!$E$3050+(glt_win-Sens!$E$3050)*MIN(1,(Sens!K2988-base_fy)/n_conv)</f>
        <v>0.02</v>
      </c>
    </row>
    <row r="3051" customFormat="false" ht="15" hidden="false" customHeight="false" outlineLevel="0" collapsed="false">
      <c r="A3051" s="0" t="s">
        <v>870</v>
      </c>
      <c r="B3051" s="0" t="s">
        <v>98</v>
      </c>
      <c r="D3051" s="6" t="n">
        <f aca="false">Sens!D3045+Sens!D3047+Sens!D3049</f>
        <v>62.941</v>
      </c>
      <c r="E3051" s="6" t="n">
        <f aca="false">Sens!E3045+Sens!E3047+Sens!E3049</f>
        <v>63.712</v>
      </c>
      <c r="F3051" s="6" t="n">
        <f aca="false">Sens!F3045+Sens!F3047+Sens!F3049</f>
        <v>64.3025149952511</v>
      </c>
      <c r="G3051" s="6" t="n">
        <f aca="false">Sens!G3045+Sens!G3047+Sens!G3049</f>
        <v>66.2756719305292</v>
      </c>
      <c r="H3051" s="6" t="n">
        <f aca="false">Sens!H3045+Sens!H3047+Sens!H3049</f>
        <v>68.7139736271804</v>
      </c>
      <c r="I3051" s="6" t="n">
        <f aca="false">Sens!I3045+Sens!I3047+Sens!I3049</f>
        <v>71.5446393194289</v>
      </c>
      <c r="J3051" s="6" t="n">
        <f aca="false">Sens!J3045+Sens!J3047+Sens!J3049</f>
        <v>74.707035000971</v>
      </c>
      <c r="K3051" s="6" t="n">
        <f aca="false">Sens!K3045+Sens!K3047+Sens!K3049</f>
        <v>78.1524145698365</v>
      </c>
    </row>
    <row r="3052" customFormat="false" ht="15" hidden="false" customHeight="false" outlineLevel="0" collapsed="false">
      <c r="A3052" s="1" t="s">
        <v>1044</v>
      </c>
      <c r="B3052" s="0" t="s">
        <v>98</v>
      </c>
      <c r="D3052" s="6" t="n">
        <f aca="false">Sens!D3044+Sens!D3051</f>
        <v>281.724</v>
      </c>
      <c r="E3052" s="6" t="n">
        <f aca="false">Sens!E3044+Sens!E3051</f>
        <v>331.839</v>
      </c>
      <c r="F3052" s="6" t="n">
        <f aca="false">Sens!F3044+Sens!F3051</f>
        <v>394.447797055133</v>
      </c>
      <c r="G3052" s="6" t="n">
        <f aca="false">Sens!G3044+Sens!G3051</f>
        <v>458.93243179638</v>
      </c>
      <c r="H3052" s="6" t="n">
        <f aca="false">Sens!H3044+Sens!H3051</f>
        <v>519.258246925162</v>
      </c>
      <c r="I3052" s="6" t="n">
        <f aca="false">Sens!I3044+Sens!I3051</f>
        <v>582.236774445359</v>
      </c>
      <c r="J3052" s="6" t="n">
        <f aca="false">Sens!J3044+Sens!J3051</f>
        <v>635.123767630377</v>
      </c>
      <c r="K3052" s="6" t="n">
        <f aca="false">Sens!K3044+Sens!K3051</f>
        <v>678.284825162529</v>
      </c>
    </row>
    <row r="3053" customFormat="false" ht="15" hidden="false" customHeight="false" outlineLevel="0" collapsed="false">
      <c r="A3053" s="26" t="s">
        <v>1045</v>
      </c>
      <c r="B3053" s="31" t="s">
        <v>98</v>
      </c>
      <c r="C3053" s="31"/>
      <c r="D3053" s="27" t="n">
        <f aca="false">(Sens!D3032+Sens!D3037+Sens!D3038+Sens!D3040+Sens!D3042-Sens!D3044)+(Sens!D3045+Sens!D3047+Sens!D3049-Sens!D3051)+(Sens!D3044-Q!L5)+(Sens!D3051-Q!L12)+(Sens!D3032-Q!L6)+(Sens!D3037-Q!L7)</f>
        <v>0</v>
      </c>
      <c r="E3053" s="27" t="n">
        <f aca="false">(Sens!E3032+Sens!E3037+Sens!E3038+Sens!E3040+Sens!E3042-Sens!E3044)+(Sens!E3045+Sens!E3047+Sens!E3049-Sens!E3051)+(Sens!E3044-Q!M5)+(Sens!E3051-Q!M12)+(Sens!E3032-Q!M6)+(Sens!E3037-Q!M7)</f>
        <v>0</v>
      </c>
      <c r="F3053" s="27" t="n">
        <f aca="false">(Sens!F3032+Sens!F3037+Sens!F3038+Sens!F3040+Sens!F3042-Sens!F3044)+(Sens!F3045+Sens!F3047+Sens!F3049-Sens!F3051)</f>
        <v>0</v>
      </c>
      <c r="G3053" s="27" t="n">
        <f aca="false">(Sens!G3032+Sens!G3037+Sens!G3038+Sens!G3040+Sens!G3042-Sens!G3044)+(Sens!G3045+Sens!G3047+Sens!G3049-Sens!G3051)</f>
        <v>0</v>
      </c>
      <c r="H3053" s="27" t="n">
        <f aca="false">(Sens!H3032+Sens!H3037+Sens!H3038+Sens!H3040+Sens!H3042-Sens!H3044)+(Sens!H3045+Sens!H3047+Sens!H3049-Sens!H3051)</f>
        <v>0</v>
      </c>
      <c r="I3053" s="27" t="n">
        <f aca="false">(Sens!I3032+Sens!I3037+Sens!I3038+Sens!I3040+Sens!I3042-Sens!I3044)+(Sens!I3045+Sens!I3047+Sens!I3049-Sens!I3051)</f>
        <v>0</v>
      </c>
      <c r="J3053" s="27" t="n">
        <f aca="false">(Sens!J3032+Sens!J3037+Sens!J3038+Sens!J3040+Sens!J3042-Sens!J3044)+(Sens!J3045+Sens!J3047+Sens!J3049-Sens!J3051)</f>
        <v>0</v>
      </c>
      <c r="K3053" s="27" t="n">
        <f aca="false">(Sens!K3032+Sens!K3037+Sens!K3038+Sens!K3040+Sens!K3042-Sens!K3044)+(Sens!K3045+Sens!K3047+Sens!K3049-Sens!K3051)</f>
        <v>0</v>
      </c>
    </row>
    <row r="3054" customFormat="false" ht="17.15" hidden="false" customHeight="false" outlineLevel="0" collapsed="false">
      <c r="A3054" s="3" t="s">
        <v>1687</v>
      </c>
    </row>
    <row r="3055" customFormat="false" ht="15" hidden="false" customHeight="false" outlineLevel="0" collapsed="false">
      <c r="A3055" s="4" t="s">
        <v>43</v>
      </c>
      <c r="B3055" s="4" t="s">
        <v>65</v>
      </c>
      <c r="C3055" s="23" t="s">
        <v>942</v>
      </c>
      <c r="D3055" s="23" t="s">
        <v>943</v>
      </c>
      <c r="E3055" s="23" t="s">
        <v>944</v>
      </c>
      <c r="F3055" s="23" t="s">
        <v>945</v>
      </c>
      <c r="G3055" s="23" t="s">
        <v>946</v>
      </c>
      <c r="H3055" s="23" t="s">
        <v>947</v>
      </c>
      <c r="I3055" s="23" t="s">
        <v>948</v>
      </c>
      <c r="J3055" s="23" t="s">
        <v>949</v>
      </c>
      <c r="K3055" s="23" t="s">
        <v>950</v>
      </c>
      <c r="L3055" s="4" t="s">
        <v>47</v>
      </c>
    </row>
    <row r="3056" customFormat="false" ht="15" hidden="false" customHeight="false" outlineLevel="0" collapsed="false">
      <c r="A3056" s="0" t="s">
        <v>1029</v>
      </c>
      <c r="B3056" s="0" t="s">
        <v>98</v>
      </c>
      <c r="D3056" s="6" t="n">
        <f aca="false">Sens!D3032</f>
        <v>72.61</v>
      </c>
      <c r="E3056" s="6" t="n">
        <f aca="false">Sens!E3032</f>
        <v>101.938</v>
      </c>
      <c r="F3056" s="6" t="n">
        <f aca="false">Sens!F3032</f>
        <v>143.251883553698</v>
      </c>
      <c r="G3056" s="6" t="n">
        <f aca="false">Sens!G3032</f>
        <v>186.322520879442</v>
      </c>
      <c r="H3056" s="6" t="n">
        <f aca="false">Sens!H3032</f>
        <v>224.74279426379</v>
      </c>
      <c r="I3056" s="6" t="n">
        <f aca="false">Sens!I3032</f>
        <v>266.443497823359</v>
      </c>
      <c r="J3056" s="6" t="n">
        <f aca="false">Sens!J3032</f>
        <v>299.06102493502</v>
      </c>
      <c r="K3056" s="6" t="n">
        <f aca="false">Sens!K3032</f>
        <v>322.592740225023</v>
      </c>
    </row>
    <row r="3057" customFormat="false" ht="17.15" hidden="false" customHeight="false" outlineLevel="0" collapsed="false">
      <c r="A3057" s="0" t="s">
        <v>1025</v>
      </c>
      <c r="B3057" s="0" t="s">
        <v>98</v>
      </c>
      <c r="D3057" s="6" t="n">
        <f aca="false">Sens!D3029</f>
        <v>12.9359794422418</v>
      </c>
      <c r="E3057" s="6" t="n">
        <f aca="false">Sens!E3029</f>
        <v>27.8095064661409</v>
      </c>
      <c r="F3057" s="6" t="n">
        <f aca="false">Sens!F3029</f>
        <v>50.9819294352312</v>
      </c>
      <c r="G3057" s="6" t="n">
        <f aca="false">Sens!G3029</f>
        <v>76.6920436014933</v>
      </c>
      <c r="H3057" s="6" t="n">
        <f aca="false">Sens!H3029</f>
        <v>97.4495379418341</v>
      </c>
      <c r="I3057" s="6" t="n">
        <f aca="false">Sens!I3029</f>
        <v>122.083445553868</v>
      </c>
      <c r="J3057" s="6" t="n">
        <f aca="false">Sens!J3029</f>
        <v>139.249060444804</v>
      </c>
      <c r="K3057" s="6" t="n">
        <f aca="false">Sens!K3029</f>
        <v>149.995818575589</v>
      </c>
    </row>
    <row r="3058" customFormat="false" ht="17.15" hidden="false" customHeight="false" outlineLevel="0" collapsed="false">
      <c r="A3058" s="0" t="s">
        <v>1056</v>
      </c>
      <c r="B3058" s="0" t="s">
        <v>98</v>
      </c>
      <c r="D3058" s="6" t="n">
        <f aca="false">Sens!D3030</f>
        <v>59.6740205577583</v>
      </c>
      <c r="E3058" s="6" t="n">
        <f aca="false">Sens!E3030</f>
        <v>74.1284935338591</v>
      </c>
      <c r="F3058" s="6" t="n">
        <f aca="false">Sens!F3030</f>
        <v>92.2699541184664</v>
      </c>
      <c r="G3058" s="6" t="n">
        <f aca="false">Sens!G3030</f>
        <v>109.630477277949</v>
      </c>
      <c r="H3058" s="6" t="n">
        <f aca="false">Sens!H3030</f>
        <v>127.293256321956</v>
      </c>
      <c r="I3058" s="6" t="n">
        <f aca="false">Sens!I3030</f>
        <v>144.360052269491</v>
      </c>
      <c r="J3058" s="6" t="n">
        <f aca="false">Sens!J3030</f>
        <v>159.811964490216</v>
      </c>
      <c r="K3058" s="6" t="n">
        <f aca="false">Sens!K3030</f>
        <v>172.596921649434</v>
      </c>
    </row>
    <row r="3059" customFormat="false" ht="15" hidden="false" customHeight="false" outlineLevel="0" collapsed="false">
      <c r="A3059" s="0" t="s">
        <v>1036</v>
      </c>
      <c r="B3059" s="0" t="s">
        <v>98</v>
      </c>
      <c r="D3059" s="6" t="n">
        <f aca="false">Sens!D3037</f>
        <v>84.605</v>
      </c>
      <c r="E3059" s="6" t="n">
        <f aca="false">Sens!E3037</f>
        <v>100.299</v>
      </c>
      <c r="F3059" s="6" t="n">
        <f aca="false">Sens!F3037</f>
        <v>117.438354189776</v>
      </c>
      <c r="G3059" s="6" t="n">
        <f aca="false">Sens!G3037</f>
        <v>132.595360443801</v>
      </c>
      <c r="H3059" s="6" t="n">
        <f aca="false">Sens!H3037</f>
        <v>147.833811964563</v>
      </c>
      <c r="I3059" s="6" t="n">
        <f aca="false">Sens!I3037</f>
        <v>162.145665319381</v>
      </c>
      <c r="J3059" s="6" t="n">
        <f aca="false">Sens!J3037</f>
        <v>175.249327755573</v>
      </c>
      <c r="K3059" s="6" t="n">
        <f aca="false">Sens!K3037</f>
        <v>187.599280698463</v>
      </c>
    </row>
    <row r="3060" customFormat="false" ht="17.15" hidden="false" customHeight="false" outlineLevel="0" collapsed="false">
      <c r="A3060" s="0" t="s">
        <v>1057</v>
      </c>
      <c r="B3060" s="0" t="s">
        <v>98</v>
      </c>
      <c r="D3060" s="6" t="n">
        <f aca="false">Sens!D3035</f>
        <v>83.705</v>
      </c>
      <c r="E3060" s="6" t="n">
        <f aca="false">Sens!E3035</f>
        <v>95.049</v>
      </c>
      <c r="F3060" s="6" t="n">
        <f aca="false">Sens!F3035</f>
        <v>106.938354189776</v>
      </c>
      <c r="G3060" s="6" t="n">
        <f aca="false">Sens!G3035</f>
        <v>119.095360443801</v>
      </c>
      <c r="H3060" s="6" t="n">
        <f aca="false">Sens!H3035</f>
        <v>131.333811964563</v>
      </c>
      <c r="I3060" s="6" t="n">
        <f aca="false">Sens!I3035</f>
        <v>143.395665319381</v>
      </c>
      <c r="J3060" s="6" t="n">
        <f aca="false">Sens!J3035</f>
        <v>154.999327755573</v>
      </c>
      <c r="K3060" s="6" t="n">
        <f aca="false">Sens!K3035</f>
        <v>165.849280698463</v>
      </c>
    </row>
    <row r="3061" customFormat="false" ht="17.15" hidden="false" customHeight="false" outlineLevel="0" collapsed="false">
      <c r="A3061" s="0" t="s">
        <v>1058</v>
      </c>
      <c r="B3061" s="0" t="s">
        <v>98</v>
      </c>
      <c r="D3061" s="6" t="n">
        <f aca="false">Sens!D3034</f>
        <v>0.9</v>
      </c>
      <c r="E3061" s="6" t="n">
        <f aca="false">Sens!E3034</f>
        <v>5.25</v>
      </c>
      <c r="F3061" s="6" t="n">
        <f aca="false">Sens!F3034</f>
        <v>10.5</v>
      </c>
      <c r="G3061" s="6" t="n">
        <f aca="false">Sens!G3034</f>
        <v>13.5</v>
      </c>
      <c r="H3061" s="6" t="n">
        <f aca="false">Sens!H3034</f>
        <v>16.5</v>
      </c>
      <c r="I3061" s="6" t="n">
        <f aca="false">Sens!I3034</f>
        <v>18.75</v>
      </c>
      <c r="J3061" s="6" t="n">
        <f aca="false">Sens!J3034</f>
        <v>20.25</v>
      </c>
      <c r="K3061" s="6" t="n">
        <f aca="false">Sens!K3034</f>
        <v>21.75</v>
      </c>
    </row>
    <row r="3062" customFormat="false" ht="15" hidden="false" customHeight="false" outlineLevel="0" collapsed="false">
      <c r="A3062" s="0" t="s">
        <v>1037</v>
      </c>
      <c r="B3062" s="0" t="s">
        <v>98</v>
      </c>
      <c r="D3062" s="6" t="n">
        <f aca="false">Sens!D3038</f>
        <v>35.391</v>
      </c>
      <c r="E3062" s="6" t="n">
        <f aca="false">Sens!E3038</f>
        <v>37.285</v>
      </c>
      <c r="F3062" s="6" t="n">
        <f aca="false">Sens!F3038</f>
        <v>38.3851437782675</v>
      </c>
      <c r="G3062" s="6" t="n">
        <f aca="false">Sens!G3038</f>
        <v>40.0105353288615</v>
      </c>
      <c r="H3062" s="6" t="n">
        <f aca="false">Sens!H3038</f>
        <v>41.4812512033683</v>
      </c>
      <c r="I3062" s="6" t="n">
        <f aca="false">Sens!I3038</f>
        <v>42.7743107216329</v>
      </c>
      <c r="J3062" s="6" t="n">
        <f aca="false">Sens!J3038</f>
        <v>43.8687373064601</v>
      </c>
      <c r="K3062" s="6" t="n">
        <f aca="false">Sens!K3038</f>
        <v>44.7461120525893</v>
      </c>
    </row>
    <row r="3063" customFormat="false" ht="15" hidden="false" customHeight="false" outlineLevel="0" collapsed="false">
      <c r="A3063" s="0" t="s">
        <v>1039</v>
      </c>
      <c r="B3063" s="0" t="s">
        <v>98</v>
      </c>
      <c r="D3063" s="6" t="n">
        <f aca="false">Sens!D3040</f>
        <v>18.417</v>
      </c>
      <c r="E3063" s="6" t="n">
        <f aca="false">Sens!E3040</f>
        <v>20.345</v>
      </c>
      <c r="F3063" s="6" t="n">
        <f aca="false">Sens!F3040</f>
        <v>22.3161797133988</v>
      </c>
      <c r="G3063" s="6" t="n">
        <f aca="false">Sens!G3040</f>
        <v>24.3943499673233</v>
      </c>
      <c r="H3063" s="6" t="n">
        <f aca="false">Sens!H3040</f>
        <v>26.5250243109019</v>
      </c>
      <c r="I3063" s="6" t="n">
        <f aca="false">Sens!I3040</f>
        <v>28.6884573538181</v>
      </c>
      <c r="J3063" s="6" t="n">
        <f aca="false">Sens!J3040</f>
        <v>30.8624968052127</v>
      </c>
      <c r="K3063" s="6" t="n">
        <f aca="false">Sens!K3040</f>
        <v>33.0228715815776</v>
      </c>
    </row>
    <row r="3064" customFormat="false" ht="15" hidden="false" customHeight="false" outlineLevel="0" collapsed="false">
      <c r="A3064" s="0" t="s">
        <v>1040</v>
      </c>
      <c r="B3064" s="0" t="s">
        <v>98</v>
      </c>
      <c r="D3064" s="6" t="n">
        <f aca="false">Sens!D3042</f>
        <v>7.76</v>
      </c>
      <c r="E3064" s="6" t="n">
        <f aca="false">Sens!E3042</f>
        <v>8.26</v>
      </c>
      <c r="F3064" s="6" t="n">
        <f aca="false">Sens!F3042</f>
        <v>8.75372082474227</v>
      </c>
      <c r="G3064" s="6" t="n">
        <f aca="false">Sens!G3042</f>
        <v>9.33399324642364</v>
      </c>
      <c r="H3064" s="6" t="n">
        <f aca="false">Sens!H3042</f>
        <v>9.96139155535851</v>
      </c>
      <c r="I3064" s="6" t="n">
        <f aca="false">Sens!I3042</f>
        <v>10.6402039077391</v>
      </c>
      <c r="J3064" s="6" t="n">
        <f aca="false">Sens!J3042</f>
        <v>11.3751458271397</v>
      </c>
      <c r="K3064" s="6" t="n">
        <f aca="false">Sens!K3042</f>
        <v>12.1714060350394</v>
      </c>
    </row>
    <row r="3065" customFormat="false" ht="15" hidden="false" customHeight="false" outlineLevel="0" collapsed="false">
      <c r="A3065" s="0" t="s">
        <v>856</v>
      </c>
      <c r="B3065" s="0" t="s">
        <v>98</v>
      </c>
      <c r="D3065" s="6" t="n">
        <f aca="false">Sens!D3044</f>
        <v>218.783</v>
      </c>
      <c r="E3065" s="6" t="n">
        <f aca="false">Sens!E3044</f>
        <v>268.127</v>
      </c>
      <c r="F3065" s="6" t="n">
        <f aca="false">Sens!F3044</f>
        <v>330.145282059882</v>
      </c>
      <c r="G3065" s="6" t="n">
        <f aca="false">Sens!G3044</f>
        <v>392.656759865851</v>
      </c>
      <c r="H3065" s="6" t="n">
        <f aca="false">Sens!H3044</f>
        <v>450.544273297982</v>
      </c>
      <c r="I3065" s="6" t="n">
        <f aca="false">Sens!I3044</f>
        <v>510.69213512593</v>
      </c>
      <c r="J3065" s="6" t="n">
        <f aca="false">Sens!J3044</f>
        <v>560.416732629406</v>
      </c>
      <c r="K3065" s="6" t="n">
        <f aca="false">Sens!K3044</f>
        <v>600.132410592692</v>
      </c>
    </row>
    <row r="3066" customFormat="false" ht="15" hidden="false" customHeight="false" outlineLevel="0" collapsed="false">
      <c r="A3066" s="0" t="s">
        <v>1041</v>
      </c>
      <c r="B3066" s="0" t="s">
        <v>98</v>
      </c>
      <c r="D3066" s="6" t="n">
        <f aca="false">Sens!D3045</f>
        <v>22.171</v>
      </c>
      <c r="E3066" s="6" t="n">
        <f aca="false">Sens!E3045</f>
        <v>24.835</v>
      </c>
      <c r="F3066" s="6" t="n">
        <f aca="false">Sens!F3045</f>
        <v>27.5591895660247</v>
      </c>
      <c r="G3066" s="6" t="n">
        <f aca="false">Sens!G3045</f>
        <v>30.4098563144583</v>
      </c>
      <c r="H3066" s="6" t="n">
        <f aca="false">Sens!H3045</f>
        <v>33.3011792571777</v>
      </c>
      <c r="I3066" s="6" t="n">
        <f aca="false">Sens!I3045</f>
        <v>36.189023797112</v>
      </c>
      <c r="J3066" s="6" t="n">
        <f aca="false">Sens!J3045</f>
        <v>39.0247773769199</v>
      </c>
      <c r="K3066" s="6" t="n">
        <f aca="false">Sens!K3045</f>
        <v>41.7565117933043</v>
      </c>
    </row>
    <row r="3067" customFormat="false" ht="15" hidden="false" customHeight="false" outlineLevel="0" collapsed="false">
      <c r="A3067" s="0" t="s">
        <v>1042</v>
      </c>
      <c r="B3067" s="0" t="s">
        <v>98</v>
      </c>
      <c r="D3067" s="6" t="n">
        <f aca="false">Sens!D3047</f>
        <v>23.455</v>
      </c>
      <c r="E3067" s="6" t="n">
        <f aca="false">Sens!E3047</f>
        <v>21.79</v>
      </c>
      <c r="F3067" s="6" t="n">
        <f aca="false">Sens!F3047</f>
        <v>20.7520981041711</v>
      </c>
      <c r="G3067" s="6" t="n">
        <f aca="false">Sens!G3047</f>
        <v>19.9083593495882</v>
      </c>
      <c r="H3067" s="6" t="n">
        <f aca="false">Sens!H3047</f>
        <v>19.4008256265831</v>
      </c>
      <c r="I3067" s="6" t="n">
        <f aca="false">Sens!I3047</f>
        <v>19.200434522122</v>
      </c>
      <c r="J3067" s="6" t="n">
        <f aca="false">Sens!J3047</f>
        <v>19.2932782348507</v>
      </c>
      <c r="K3067" s="6" t="n">
        <f aca="false">Sens!K3047</f>
        <v>19.6791437995477</v>
      </c>
    </row>
    <row r="3068" customFormat="false" ht="15" hidden="false" customHeight="false" outlineLevel="0" collapsed="false">
      <c r="A3068" s="0" t="s">
        <v>1043</v>
      </c>
      <c r="B3068" s="0" t="s">
        <v>98</v>
      </c>
      <c r="D3068" s="6" t="n">
        <f aca="false">Sens!D3049</f>
        <v>17.315</v>
      </c>
      <c r="E3068" s="6" t="n">
        <f aca="false">Sens!E3049</f>
        <v>17.087</v>
      </c>
      <c r="F3068" s="6" t="n">
        <f aca="false">Sens!F3049</f>
        <v>15.9912273250553</v>
      </c>
      <c r="G3068" s="6" t="n">
        <f aca="false">Sens!G3049</f>
        <v>15.9574562664827</v>
      </c>
      <c r="H3068" s="6" t="n">
        <f aca="false">Sens!H3049</f>
        <v>16.0119687434196</v>
      </c>
      <c r="I3068" s="6" t="n">
        <f aca="false">Sens!I3049</f>
        <v>16.1551810001948</v>
      </c>
      <c r="J3068" s="6" t="n">
        <f aca="false">Sens!J3049</f>
        <v>16.3889793892005</v>
      </c>
      <c r="K3068" s="6" t="n">
        <f aca="false">Sens!K3049</f>
        <v>16.7167589769845</v>
      </c>
    </row>
    <row r="3069" customFormat="false" ht="15" hidden="false" customHeight="false" outlineLevel="0" collapsed="false">
      <c r="A3069" s="0" t="s">
        <v>870</v>
      </c>
      <c r="B3069" s="0" t="s">
        <v>98</v>
      </c>
      <c r="D3069" s="6" t="n">
        <f aca="false">Sens!D3051</f>
        <v>62.941</v>
      </c>
      <c r="E3069" s="6" t="n">
        <f aca="false">Sens!E3051</f>
        <v>63.712</v>
      </c>
      <c r="F3069" s="6" t="n">
        <f aca="false">Sens!F3051</f>
        <v>64.3025149952511</v>
      </c>
      <c r="G3069" s="6" t="n">
        <f aca="false">Sens!G3051</f>
        <v>66.2756719305292</v>
      </c>
      <c r="H3069" s="6" t="n">
        <f aca="false">Sens!H3051</f>
        <v>68.7139736271804</v>
      </c>
      <c r="I3069" s="6" t="n">
        <f aca="false">Sens!I3051</f>
        <v>71.5446393194289</v>
      </c>
      <c r="J3069" s="6" t="n">
        <f aca="false">Sens!J3051</f>
        <v>74.707035000971</v>
      </c>
      <c r="K3069" s="6" t="n">
        <f aca="false">Sens!K3051</f>
        <v>78.1524145698365</v>
      </c>
    </row>
    <row r="3070" customFormat="false" ht="15" hidden="false" customHeight="false" outlineLevel="0" collapsed="false">
      <c r="A3070" s="1" t="s">
        <v>1059</v>
      </c>
      <c r="B3070" s="0" t="s">
        <v>98</v>
      </c>
      <c r="D3070" s="6" t="n">
        <f aca="false">Sens!D3052</f>
        <v>281.724</v>
      </c>
      <c r="E3070" s="6" t="n">
        <f aca="false">Sens!E3052</f>
        <v>331.839</v>
      </c>
      <c r="F3070" s="6" t="n">
        <f aca="false">Sens!F3052</f>
        <v>394.447797055133</v>
      </c>
      <c r="G3070" s="6" t="n">
        <f aca="false">Sens!G3052</f>
        <v>458.93243179638</v>
      </c>
      <c r="H3070" s="6" t="n">
        <f aca="false">Sens!H3052</f>
        <v>519.258246925162</v>
      </c>
      <c r="I3070" s="6" t="n">
        <f aca="false">Sens!I3052</f>
        <v>582.236774445359</v>
      </c>
      <c r="J3070" s="6" t="n">
        <f aca="false">Sens!J3052</f>
        <v>635.123767630377</v>
      </c>
      <c r="K3070" s="6" t="n">
        <f aca="false">Sens!K3052</f>
        <v>678.284825162529</v>
      </c>
    </row>
    <row r="3071" customFormat="false" ht="15" hidden="false" customHeight="false" outlineLevel="0" collapsed="false">
      <c r="A3071" s="1" t="s">
        <v>1060</v>
      </c>
      <c r="B3071" s="0" t="s">
        <v>168</v>
      </c>
      <c r="E3071" s="7" t="n">
        <f aca="false">Sens!E3070/Sens!D3070-1</f>
        <v>0.177886867998467</v>
      </c>
      <c r="F3071" s="7" t="n">
        <f aca="false">Sens!F3070/Sens!E3070-1</f>
        <v>0.188672208676897</v>
      </c>
      <c r="G3071" s="7" t="n">
        <f aca="false">Sens!G3070/Sens!F3070-1</f>
        <v>0.16348078306604</v>
      </c>
      <c r="H3071" s="7" t="n">
        <f aca="false">Sens!H3070/Sens!G3070-1</f>
        <v>0.131448141271366</v>
      </c>
      <c r="I3071" s="7" t="n">
        <f aca="false">Sens!I3070/Sens!H3070-1</f>
        <v>0.121285560495438</v>
      </c>
      <c r="J3071" s="7" t="n">
        <f aca="false">Sens!J3070/Sens!I3070-1</f>
        <v>0.0908341683422489</v>
      </c>
      <c r="K3071" s="7" t="n">
        <f aca="false">Sens!K3070/Sens!J3070-1</f>
        <v>0.0679569238814417</v>
      </c>
    </row>
    <row r="3072" customFormat="false" ht="17.15" hidden="false" customHeight="false" outlineLevel="0" collapsed="false">
      <c r="A3072" s="26" t="s">
        <v>1061</v>
      </c>
      <c r="B3072" s="31" t="s">
        <v>98</v>
      </c>
      <c r="C3072" s="31"/>
      <c r="D3072" s="27" t="n">
        <f aca="false">(Sens!D3065+Sens!D3069-Sens!D3070)+(Sens!D3057+Sens!D3058-Sens!D3056)+(Sens!D3060+Sens!D3061-Sens!D3059)+(Sens!D3070-Q!L18)</f>
        <v>0</v>
      </c>
      <c r="E3072" s="27" t="n">
        <f aca="false">(Sens!E3065+Sens!E3069-Sens!E3070)+(Sens!E3057+Sens!E3058-Sens!E3056)+(Sens!E3060+Sens!E3061-Sens!E3059)+(Sens!E3070-Q!M18)</f>
        <v>0</v>
      </c>
      <c r="F3072" s="27" t="n">
        <f aca="false">(Sens!F3065+Sens!F3069-Sens!F3070)+(Sens!F3057+Sens!F3058-Sens!F3056)+(Sens!F3060+Sens!F3061-Sens!F3059)</f>
        <v>0</v>
      </c>
      <c r="G3072" s="27" t="n">
        <f aca="false">(Sens!G3065+Sens!G3069-Sens!G3070)+(Sens!G3057+Sens!G3058-Sens!G3056)+(Sens!G3060+Sens!G3061-Sens!G3059)</f>
        <v>0</v>
      </c>
      <c r="H3072" s="27" t="n">
        <f aca="false">(Sens!H3065+Sens!H3069-Sens!H3070)+(Sens!H3057+Sens!H3058-Sens!H3056)+(Sens!H3060+Sens!H3061-Sens!H3059)</f>
        <v>0</v>
      </c>
      <c r="I3072" s="27" t="n">
        <f aca="false">(Sens!I3065+Sens!I3069-Sens!I3070)+(Sens!I3057+Sens!I3058-Sens!I3056)+(Sens!I3060+Sens!I3061-Sens!I3059)</f>
        <v>0</v>
      </c>
      <c r="J3072" s="27" t="n">
        <f aca="false">(Sens!J3065+Sens!J3069-Sens!J3070)+(Sens!J3057+Sens!J3058-Sens!J3056)+(Sens!J3060+Sens!J3061-Sens!J3059)</f>
        <v>0</v>
      </c>
      <c r="K3072" s="27" t="n">
        <f aca="false">(Sens!K3065+Sens!K3069-Sens!K3070)+(Sens!K3057+Sens!K3058-Sens!K3056)+(Sens!K3060+Sens!K3061-Sens!K3059)</f>
        <v>0</v>
      </c>
    </row>
    <row r="3073" customFormat="false" ht="17.15" hidden="false" customHeight="false" outlineLevel="0" collapsed="false">
      <c r="A3073" s="0" t="s">
        <v>1062</v>
      </c>
      <c r="B3073" s="0" t="s">
        <v>168</v>
      </c>
      <c r="E3073" s="7" t="n">
        <f aca="false">(Q!M21+Sens!E3009+Sens!E3010+Sens!E3011+Sens!E3025-Sens!E3007)/(Q!M5-Sens!E3007)</f>
        <v>0.550623586919075</v>
      </c>
      <c r="F3073" s="7" t="n">
        <f aca="false">Sens!$E$3073+dm_seg</f>
        <v>0.550623586919075</v>
      </c>
      <c r="G3073" s="7" t="n">
        <f aca="false">Sens!$E$3073+dm_seg</f>
        <v>0.550623586919075</v>
      </c>
      <c r="H3073" s="7" t="n">
        <f aca="false">Sens!$E$3073+dm_seg</f>
        <v>0.550623586919075</v>
      </c>
      <c r="I3073" s="7" t="n">
        <f aca="false">Sens!$E$3073+dm_seg</f>
        <v>0.550623586919075</v>
      </c>
      <c r="J3073" s="7" t="n">
        <f aca="false">Sens!$E$3073+dm_seg</f>
        <v>0.550623586919075</v>
      </c>
      <c r="K3073" s="7" t="n">
        <f aca="false">Sens!$E$3073+dm_seg</f>
        <v>0.550623586919075</v>
      </c>
      <c r="L3073" s="12" t="s">
        <v>1063</v>
      </c>
    </row>
    <row r="3074" customFormat="false" ht="17.15" hidden="false" customHeight="false" outlineLevel="0" collapsed="false">
      <c r="A3074" s="0" t="s">
        <v>884</v>
      </c>
      <c r="B3074" s="0" t="s">
        <v>98</v>
      </c>
      <c r="D3074" s="6" t="n">
        <f aca="false">Q!L21</f>
        <v>110.814</v>
      </c>
      <c r="E3074" s="6" t="n">
        <f aca="false">Q!M21</f>
        <v>136.365</v>
      </c>
      <c r="F3074" s="6" t="n">
        <f aca="false">Q!$I$21+(Sens!F3073*(Sens!F3044-Sens!F3007)+Sens!F3007-(Sens!F3009+Sens!F3010+Sens!F3011)-Sens!F3025-Sens!F3108)*(Sens!F3044-Q!$I$5)/Sens!F3044</f>
        <v>159.061044884767</v>
      </c>
      <c r="G3074" s="6" t="n">
        <f aca="false">(Sens!G3073*(Sens!G3044-Sens!G3007)+Sens!G3007-(Sens!G3009+Sens!G3010+Sens!G3011)-Sens!G3025-Sens!G3108)</f>
        <v>169.655980856305</v>
      </c>
      <c r="H3074" s="6" t="n">
        <f aca="false">(Sens!H3073*(Sens!H3044-Sens!H3007)+Sens!H3007-(Sens!H3009+Sens!H3010+Sens!H3011)-Sens!H3025-Sens!H3108)</f>
        <v>178.764284673677</v>
      </c>
      <c r="I3074" s="6" t="n">
        <f aca="false">(Sens!I3073*(Sens!I3044-Sens!I3007)+Sens!I3007-(Sens!I3009+Sens!I3010+Sens!I3011)-Sens!I3025-Sens!I3108)</f>
        <v>194.721124868447</v>
      </c>
      <c r="J3074" s="6" t="n">
        <f aca="false">(Sens!J3073*(Sens!J3044-Sens!J3007)+Sens!J3007-(Sens!J3009+Sens!J3010+Sens!J3011)-Sens!J3025-Sens!J3108)</f>
        <v>210.114538567511</v>
      </c>
      <c r="K3074" s="6" t="n">
        <f aca="false">(Sens!K3073*(Sens!K3044-Sens!K3007)+Sens!K3007-(Sens!K3009+Sens!K3010+Sens!K3011)-Sens!K3025-Sens!K3108)</f>
        <v>224.989822443457</v>
      </c>
      <c r="L3074" s="1" t="s">
        <v>1064</v>
      </c>
    </row>
    <row r="3075" customFormat="false" ht="17.15" hidden="false" customHeight="false" outlineLevel="0" collapsed="false">
      <c r="A3075" s="0" t="s">
        <v>1065</v>
      </c>
      <c r="B3075" s="0" t="s">
        <v>168</v>
      </c>
      <c r="E3075" s="7" t="n">
        <f aca="false">Q!M22/Q!M12</f>
        <v>0.296207935710698</v>
      </c>
      <c r="F3075" s="7" t="n">
        <f aca="false">Sens!$E$3075+dm_seg</f>
        <v>0.296207935710698</v>
      </c>
      <c r="G3075" s="7" t="n">
        <f aca="false">Sens!$E$3075+dm_seg</f>
        <v>0.296207935710698</v>
      </c>
      <c r="H3075" s="7" t="n">
        <f aca="false">Sens!$E$3075+dm_seg</f>
        <v>0.296207935710698</v>
      </c>
      <c r="I3075" s="7" t="n">
        <f aca="false">Sens!$E$3075+dm_seg</f>
        <v>0.296207935710698</v>
      </c>
      <c r="J3075" s="7" t="n">
        <f aca="false">Sens!$E$3075+dm_seg</f>
        <v>0.296207935710698</v>
      </c>
      <c r="K3075" s="7" t="n">
        <f aca="false">Sens!$E$3075+dm_seg</f>
        <v>0.296207935710698</v>
      </c>
      <c r="L3075" s="12" t="s">
        <v>1066</v>
      </c>
    </row>
    <row r="3076" customFormat="false" ht="17.15" hidden="false" customHeight="false" outlineLevel="0" collapsed="false">
      <c r="A3076" s="0" t="s">
        <v>886</v>
      </c>
      <c r="B3076" s="0" t="s">
        <v>98</v>
      </c>
      <c r="D3076" s="6" t="n">
        <f aca="false">Q!L22</f>
        <v>17.714</v>
      </c>
      <c r="E3076" s="6" t="n">
        <f aca="false">Q!M22</f>
        <v>18.872</v>
      </c>
      <c r="F3076" s="6" t="n">
        <f aca="false">Q!$I$22+(Sens!F3051-Q!$I$12)*Sens!F3075</f>
        <v>19.8174315512051</v>
      </c>
      <c r="G3076" s="6" t="n">
        <f aca="false">Sens!G3051*Sens!G3075</f>
        <v>19.6313799703815</v>
      </c>
      <c r="H3076" s="6" t="n">
        <f aca="false">Sens!H3051*Sens!H3075</f>
        <v>20.3536242825865</v>
      </c>
      <c r="I3076" s="6" t="n">
        <f aca="false">Sens!I3051*Sens!I3075</f>
        <v>21.1920899239745</v>
      </c>
      <c r="J3076" s="6" t="n">
        <f aca="false">Sens!J3051*Sens!J3075</f>
        <v>22.1288166207045</v>
      </c>
      <c r="K3076" s="6" t="n">
        <f aca="false">Sens!K3051*Sens!K3075</f>
        <v>23.1493653905379</v>
      </c>
      <c r="L3076" s="12" t="s">
        <v>1067</v>
      </c>
    </row>
    <row r="3077" customFormat="false" ht="15" hidden="false" customHeight="false" outlineLevel="0" collapsed="false">
      <c r="A3077" s="1" t="s">
        <v>1068</v>
      </c>
      <c r="B3077" s="0" t="s">
        <v>98</v>
      </c>
      <c r="D3077" s="6" t="n">
        <f aca="false">Sens!D3074+Sens!D3076</f>
        <v>128.528</v>
      </c>
      <c r="E3077" s="6" t="n">
        <f aca="false">Sens!E3074+Sens!E3076</f>
        <v>155.237</v>
      </c>
      <c r="F3077" s="6" t="n">
        <f aca="false">Sens!F3074+Sens!F3076</f>
        <v>178.878476435972</v>
      </c>
      <c r="G3077" s="6" t="n">
        <f aca="false">Sens!G3074+Sens!G3076</f>
        <v>189.287360826687</v>
      </c>
      <c r="H3077" s="6" t="n">
        <f aca="false">Sens!H3074+Sens!H3076</f>
        <v>199.117908956263</v>
      </c>
      <c r="I3077" s="6" t="n">
        <f aca="false">Sens!I3074+Sens!I3076</f>
        <v>215.913214792421</v>
      </c>
      <c r="J3077" s="6" t="n">
        <f aca="false">Sens!J3074+Sens!J3076</f>
        <v>232.243355188216</v>
      </c>
      <c r="K3077" s="6" t="n">
        <f aca="false">Sens!K3074+Sens!K3076</f>
        <v>248.139187833995</v>
      </c>
    </row>
    <row r="3078" customFormat="false" ht="15" hidden="false" customHeight="false" outlineLevel="0" collapsed="false">
      <c r="A3078" s="26" t="s">
        <v>1069</v>
      </c>
      <c r="B3078" s="31" t="s">
        <v>98</v>
      </c>
      <c r="C3078" s="31"/>
      <c r="D3078" s="27" t="n">
        <f aca="false">Sens!D3077-Q!L23</f>
        <v>0</v>
      </c>
      <c r="E3078" s="27" t="n">
        <f aca="false">Sens!E3077-Q!M23</f>
        <v>0</v>
      </c>
      <c r="F3078" s="31"/>
      <c r="G3078" s="31"/>
      <c r="H3078" s="31"/>
      <c r="I3078" s="31"/>
      <c r="J3078" s="31"/>
      <c r="K3078" s="31"/>
    </row>
    <row r="3079" customFormat="false" ht="15" hidden="false" customHeight="false" outlineLevel="0" collapsed="false">
      <c r="A3079" s="1" t="s">
        <v>1070</v>
      </c>
      <c r="B3079" s="0" t="s">
        <v>168</v>
      </c>
      <c r="D3079" s="7" t="n">
        <f aca="false">Sens!D3077/Sens!D3070</f>
        <v>0.456219562408598</v>
      </c>
      <c r="E3079" s="7" t="n">
        <f aca="false">Sens!E3077/Sens!E3070</f>
        <v>0.467808184089272</v>
      </c>
      <c r="F3079" s="7" t="n">
        <f aca="false">Sens!F3077/Sens!F3070</f>
        <v>0.453490874512274</v>
      </c>
      <c r="G3079" s="7" t="n">
        <f aca="false">Sens!G3077/Sens!G3070</f>
        <v>0.412451480244634</v>
      </c>
      <c r="H3079" s="7" t="n">
        <f aca="false">Sens!H3077/Sens!H3070</f>
        <v>0.383466050150111</v>
      </c>
      <c r="I3079" s="7" t="n">
        <f aca="false">Sens!I3077/Sens!I3070</f>
        <v>0.370834039121114</v>
      </c>
      <c r="J3079" s="7" t="n">
        <f aca="false">Sens!J3077/Sens!J3070</f>
        <v>0.365666295334383</v>
      </c>
      <c r="K3079" s="7" t="n">
        <f aca="false">Sens!K3077/Sens!K3070</f>
        <v>0.365833317551423</v>
      </c>
    </row>
    <row r="3080" customFormat="false" ht="17.15" hidden="false" customHeight="false" outlineLevel="0" collapsed="false">
      <c r="A3080" s="1" t="s">
        <v>1071</v>
      </c>
      <c r="B3080" s="0" t="s">
        <v>98</v>
      </c>
      <c r="F3080" s="6" t="n">
        <f aca="false">Sens!F3095</f>
        <v>3.90612861370406</v>
      </c>
      <c r="G3080" s="6" t="n">
        <f aca="false">Sens!G3095</f>
        <v>11.7348778177566</v>
      </c>
      <c r="H3080" s="6" t="n">
        <f aca="false">Sens!H3095</f>
        <v>20.3002224965418</v>
      </c>
      <c r="I3080" s="6" t="n">
        <f aca="false">Sens!I3095</f>
        <v>28.0564326013432</v>
      </c>
      <c r="J3080" s="6" t="n">
        <f aca="false">Sens!J3095</f>
        <v>33.4758874719015</v>
      </c>
      <c r="K3080" s="6" t="n">
        <f aca="false">Sens!K3095</f>
        <v>36.4448808195928</v>
      </c>
      <c r="L3080" s="1" t="s">
        <v>1072</v>
      </c>
    </row>
    <row r="3081" customFormat="false" ht="17.15" hidden="false" customHeight="false" outlineLevel="0" collapsed="false">
      <c r="A3081" s="1" t="s">
        <v>1073</v>
      </c>
      <c r="B3081" s="0" t="s">
        <v>98</v>
      </c>
      <c r="D3081" s="6" t="n">
        <f aca="false">Sens!D3077</f>
        <v>128.528</v>
      </c>
      <c r="E3081" s="6" t="n">
        <f aca="false">Sens!E3077</f>
        <v>155.237</v>
      </c>
      <c r="F3081" s="6" t="n">
        <f aca="false">Sens!F3077+Sens!F3080</f>
        <v>182.784605049676</v>
      </c>
      <c r="G3081" s="6" t="n">
        <f aca="false">Sens!G3077+Sens!G3080</f>
        <v>201.022238644443</v>
      </c>
      <c r="H3081" s="6" t="n">
        <f aca="false">Sens!H3077+Sens!H3080</f>
        <v>219.418131452805</v>
      </c>
      <c r="I3081" s="6" t="n">
        <f aca="false">Sens!I3077+Sens!I3080</f>
        <v>243.969647393764</v>
      </c>
      <c r="J3081" s="6" t="n">
        <f aca="false">Sens!J3077+Sens!J3080</f>
        <v>265.719242660117</v>
      </c>
      <c r="K3081" s="6" t="n">
        <f aca="false">Sens!K3077+Sens!K3080</f>
        <v>284.584068653587</v>
      </c>
    </row>
    <row r="3082" customFormat="false" ht="17.15" hidden="false" customHeight="false" outlineLevel="0" collapsed="false">
      <c r="A3082" s="1" t="s">
        <v>1074</v>
      </c>
      <c r="B3082" s="0" t="s">
        <v>98</v>
      </c>
      <c r="E3082" s="6" t="n">
        <f aca="false">Sens!E3025</f>
        <v>13.0443247816667</v>
      </c>
      <c r="F3082" s="6" t="n">
        <f aca="false">Sens!F3025</f>
        <v>27.6634515826813</v>
      </c>
      <c r="G3082" s="6" t="n">
        <f aca="false">Sens!G3025</f>
        <v>48.5875925218392</v>
      </c>
      <c r="H3082" s="6" t="n">
        <f aca="false">Sens!H3025</f>
        <v>71.2800725291565</v>
      </c>
      <c r="I3082" s="6" t="n">
        <f aca="false">Sens!I3025</f>
        <v>91.3848077556387</v>
      </c>
      <c r="J3082" s="6" t="n">
        <f aca="false">Sens!J3025</f>
        <v>105.612538439677</v>
      </c>
      <c r="K3082" s="6" t="n">
        <f aca="false">Sens!K3025</f>
        <v>114.410135640747</v>
      </c>
    </row>
    <row r="3083" customFormat="false" ht="17.15" hidden="false" customHeight="false" outlineLevel="0" collapsed="false">
      <c r="A3083" s="1" t="s">
        <v>1075</v>
      </c>
      <c r="B3083" s="0" t="s">
        <v>98</v>
      </c>
      <c r="E3083" s="6" t="n">
        <f aca="false">Sens!E3107</f>
        <v>25.4896752183333</v>
      </c>
      <c r="F3083" s="6" t="n">
        <f aca="false">Sens!F3107</f>
        <v>29.8843953731304</v>
      </c>
      <c r="G3083" s="6" t="n">
        <f aca="false">Sens!G3107</f>
        <v>31.0140580699047</v>
      </c>
      <c r="H3083" s="6" t="n">
        <f aca="false">Sens!H3107</f>
        <v>32.5748979079045</v>
      </c>
      <c r="I3083" s="6" t="n">
        <f aca="false">Sens!I3107</f>
        <v>34.5038367803926</v>
      </c>
      <c r="J3083" s="6" t="n">
        <f aca="false">Sens!J3107</f>
        <v>36.7203563493755</v>
      </c>
      <c r="K3083" s="6" t="n">
        <f aca="false">Sens!K3107</f>
        <v>39.1349553692756</v>
      </c>
    </row>
    <row r="3084" customFormat="false" ht="17.15" hidden="false" customHeight="false" outlineLevel="0" collapsed="false">
      <c r="A3084" s="1" t="s">
        <v>1076</v>
      </c>
      <c r="B3084" s="0" t="s">
        <v>98</v>
      </c>
      <c r="D3084" s="6" t="n">
        <f aca="false">Q!L27</f>
        <v>-4.901</v>
      </c>
      <c r="E3084" s="6" t="n">
        <f aca="false">Q!M27</f>
        <v>10.697</v>
      </c>
      <c r="F3084" s="6" t="n">
        <f aca="false">Q!$I$27+oie_f*(q_per_yr-1)/q_per_yr</f>
        <v>-0.862</v>
      </c>
      <c r="G3084" s="6" t="n">
        <f aca="false">oie_f</f>
        <v>-1.2</v>
      </c>
      <c r="H3084" s="6" t="n">
        <f aca="false">oie_f</f>
        <v>-1.2</v>
      </c>
      <c r="I3084" s="6" t="n">
        <f aca="false">oie_f</f>
        <v>-1.2</v>
      </c>
      <c r="J3084" s="6" t="n">
        <f aca="false">oie_f</f>
        <v>-1.2</v>
      </c>
      <c r="K3084" s="6" t="n">
        <f aca="false">oie_f</f>
        <v>-1.2</v>
      </c>
      <c r="L3084" s="12" t="s">
        <v>1077</v>
      </c>
    </row>
    <row r="3085" customFormat="false" ht="15" hidden="false" customHeight="false" outlineLevel="0" collapsed="false">
      <c r="A3085" s="1" t="s">
        <v>1078</v>
      </c>
      <c r="B3085" s="0" t="s">
        <v>98</v>
      </c>
      <c r="D3085" s="6" t="n">
        <f aca="false">Sens!D3077+Sens!D3084</f>
        <v>123.627</v>
      </c>
      <c r="E3085" s="6" t="n">
        <f aca="false">Sens!E3077+Sens!E3084</f>
        <v>165.934</v>
      </c>
      <c r="F3085" s="6" t="n">
        <f aca="false">Sens!F3077+Sens!F3084</f>
        <v>178.016476435972</v>
      </c>
      <c r="G3085" s="6" t="n">
        <f aca="false">Sens!G3077+Sens!G3084</f>
        <v>188.087360826687</v>
      </c>
      <c r="H3085" s="6" t="n">
        <f aca="false">Sens!H3077+Sens!H3084</f>
        <v>197.917908956263</v>
      </c>
      <c r="I3085" s="6" t="n">
        <f aca="false">Sens!I3077+Sens!I3084</f>
        <v>214.713214792421</v>
      </c>
      <c r="J3085" s="6" t="n">
        <f aca="false">Sens!J3077+Sens!J3084</f>
        <v>231.043355188216</v>
      </c>
      <c r="K3085" s="6" t="n">
        <f aca="false">Sens!K3077+Sens!K3084</f>
        <v>246.939187833995</v>
      </c>
    </row>
    <row r="3086" customFormat="false" ht="15" hidden="false" customHeight="false" outlineLevel="0" collapsed="false">
      <c r="A3086" s="1" t="s">
        <v>1079</v>
      </c>
      <c r="B3086" s="0" t="s">
        <v>98</v>
      </c>
      <c r="D3086" s="6" t="n">
        <f aca="false">Q!L29</f>
        <v>21.795</v>
      </c>
      <c r="E3086" s="6" t="n">
        <f aca="false">Q!M29</f>
        <v>32.185</v>
      </c>
      <c r="F3086" s="6" t="n">
        <f aca="false">Q!$I$29+(Sens!F3085-Q!$I$28)*tax_f</f>
        <v>35.7366952871944</v>
      </c>
      <c r="G3086" s="6" t="n">
        <f aca="false">Sens!G3085*tax_f</f>
        <v>37.6174721653373</v>
      </c>
      <c r="H3086" s="6" t="n">
        <f aca="false">Sens!H3085*tax_f</f>
        <v>39.5835817912526</v>
      </c>
      <c r="I3086" s="6" t="n">
        <f aca="false">Sens!I3085*tax_f</f>
        <v>42.9426429584842</v>
      </c>
      <c r="J3086" s="6" t="n">
        <f aca="false">Sens!J3085*tax_f</f>
        <v>46.2086710376431</v>
      </c>
      <c r="K3086" s="6" t="n">
        <f aca="false">Sens!K3085*tax_f</f>
        <v>49.3878375667989</v>
      </c>
    </row>
    <row r="3087" customFormat="false" ht="15" hidden="false" customHeight="false" outlineLevel="0" collapsed="false">
      <c r="A3087" s="1" t="s">
        <v>1080</v>
      </c>
      <c r="B3087" s="0" t="s">
        <v>98</v>
      </c>
      <c r="D3087" s="6" t="n">
        <f aca="false">Sens!D3085-Sens!D3086</f>
        <v>101.832</v>
      </c>
      <c r="E3087" s="6" t="n">
        <f aca="false">Sens!E3085-Sens!E3086</f>
        <v>133.749</v>
      </c>
      <c r="F3087" s="6" t="n">
        <f aca="false">Sens!F3085-Sens!F3086</f>
        <v>142.279781148778</v>
      </c>
      <c r="G3087" s="6" t="n">
        <f aca="false">Sens!G3085-Sens!G3086</f>
        <v>150.469888661349</v>
      </c>
      <c r="H3087" s="6" t="n">
        <f aca="false">Sens!H3085-Sens!H3086</f>
        <v>158.334327165011</v>
      </c>
      <c r="I3087" s="6" t="n">
        <f aca="false">Sens!I3085-Sens!I3086</f>
        <v>171.770571833937</v>
      </c>
      <c r="J3087" s="6" t="n">
        <f aca="false">Sens!J3085-Sens!J3086</f>
        <v>184.834684150572</v>
      </c>
      <c r="K3087" s="6" t="n">
        <f aca="false">Sens!K3085-Sens!K3086</f>
        <v>197.551350267196</v>
      </c>
    </row>
    <row r="3088" customFormat="false" ht="17.15" hidden="false" customHeight="false" outlineLevel="0" collapsed="false">
      <c r="A3088" s="1" t="s">
        <v>1081</v>
      </c>
      <c r="B3088" s="1" t="s">
        <v>81</v>
      </c>
      <c r="D3088" s="15" t="n">
        <f aca="false">Q!L31</f>
        <v>7.465</v>
      </c>
      <c r="E3088" s="15" t="n">
        <f aca="false">Q!M31</f>
        <v>7.453</v>
      </c>
      <c r="F3088" s="15" t="n">
        <f aca="false">Sens!F3132</f>
        <v>7.4735</v>
      </c>
      <c r="G3088" s="15" t="n">
        <f aca="false">Sens!G3132</f>
        <v>7.50428868407169</v>
      </c>
      <c r="H3088" s="15" t="n">
        <f aca="false">Sens!H3132</f>
        <v>7.51777730717219</v>
      </c>
      <c r="I3088" s="15" t="n">
        <f aca="false">Sens!I3132</f>
        <v>7.52945867122766</v>
      </c>
      <c r="J3088" s="15" t="n">
        <f aca="false">Sens!J3132</f>
        <v>7.54360808239013</v>
      </c>
      <c r="K3088" s="15" t="n">
        <f aca="false">Sens!K3132</f>
        <v>7.56004272235538</v>
      </c>
    </row>
    <row r="3089" customFormat="false" ht="17.15" hidden="false" customHeight="false" outlineLevel="0" collapsed="false">
      <c r="A3089" s="0" t="s">
        <v>1082</v>
      </c>
      <c r="B3089" s="0" t="s">
        <v>75</v>
      </c>
      <c r="D3089" s="8" t="n">
        <f aca="false">Sens!D3087/Sens!D3088</f>
        <v>13.641259209645</v>
      </c>
      <c r="E3089" s="8" t="n">
        <f aca="false">Sens!E3087/Sens!E3088</f>
        <v>17.9456594659869</v>
      </c>
      <c r="F3089" s="8" t="n">
        <f aca="false">Sens!F3087/Sens!F3088</f>
        <v>19.0379047499535</v>
      </c>
      <c r="G3089" s="8" t="n">
        <f aca="false">Sens!G3087/Sens!G3088</f>
        <v>20.0511860612093</v>
      </c>
      <c r="H3089" s="8" t="n">
        <f aca="false">Sens!H3087/Sens!H3088</f>
        <v>21.0613218103647</v>
      </c>
      <c r="I3089" s="8" t="n">
        <f aca="false">Sens!I3087/Sens!I3088</f>
        <v>22.8131369510433</v>
      </c>
      <c r="J3089" s="8" t="n">
        <f aca="false">Sens!J3087/Sens!J3088</f>
        <v>24.5021589313544</v>
      </c>
      <c r="K3089" s="8" t="n">
        <f aca="false">Sens!K3087/Sens!K3088</f>
        <v>26.1309833187883</v>
      </c>
      <c r="L3089" s="1" t="s">
        <v>1083</v>
      </c>
    </row>
    <row r="3090" customFormat="false" ht="17.15" hidden="false" customHeight="false" outlineLevel="0" collapsed="false">
      <c r="A3090" s="1" t="s">
        <v>1084</v>
      </c>
      <c r="B3090" s="0" t="s">
        <v>98</v>
      </c>
      <c r="D3090" s="6" t="n">
        <f aca="false">Sens!D3087</f>
        <v>101.832</v>
      </c>
      <c r="E3090" s="6" t="n">
        <f aca="false">Sens!E3087</f>
        <v>133.749</v>
      </c>
      <c r="F3090" s="6" t="n">
        <f aca="false">Sens!F3087+Sens!F3080*(1-tax_f)</f>
        <v>145.404684039741</v>
      </c>
      <c r="G3090" s="6" t="n">
        <f aca="false">Sens!G3087+Sens!G3080*(1-tax_f)</f>
        <v>159.857790915555</v>
      </c>
      <c r="H3090" s="6" t="n">
        <f aca="false">Sens!H3087+Sens!H3080*(1-tax_f)</f>
        <v>174.574505162244</v>
      </c>
      <c r="I3090" s="6" t="n">
        <f aca="false">Sens!I3087+Sens!I3080*(1-tax_f)</f>
        <v>194.215717915012</v>
      </c>
      <c r="J3090" s="6" t="n">
        <f aca="false">Sens!J3087+Sens!J3080*(1-tax_f)</f>
        <v>211.615394128094</v>
      </c>
      <c r="K3090" s="6" t="n">
        <f aca="false">Sens!K3087+Sens!K3080*(1-tax_f)</f>
        <v>226.70725492287</v>
      </c>
    </row>
    <row r="3091" customFormat="false" ht="17.15" hidden="false" customHeight="false" outlineLevel="0" collapsed="false">
      <c r="A3091" s="0" t="s">
        <v>1085</v>
      </c>
      <c r="B3091" s="0" t="s">
        <v>75</v>
      </c>
      <c r="D3091" s="8" t="n">
        <f aca="false">Sens!D3090/Sens!D3088</f>
        <v>13.641259209645</v>
      </c>
      <c r="E3091" s="8" t="n">
        <f aca="false">Sens!E3090/Sens!E3088</f>
        <v>17.9456594659869</v>
      </c>
      <c r="F3091" s="8" t="n">
        <f aca="false">Sens!F3090/Sens!F3088</f>
        <v>19.4560358653564</v>
      </c>
      <c r="G3091" s="8" t="n">
        <f aca="false">Sens!G3090/Sens!G3088</f>
        <v>21.3021910064391</v>
      </c>
      <c r="H3091" s="8" t="n">
        <f aca="false">Sens!H3090/Sens!H3088</f>
        <v>23.2215584512851</v>
      </c>
      <c r="I3091" s="8" t="n">
        <f aca="false">Sens!I3090/Sens!I3088</f>
        <v>25.7941143441252</v>
      </c>
      <c r="J3091" s="8" t="n">
        <f aca="false">Sens!J3090/Sens!J3088</f>
        <v>28.0522784080062</v>
      </c>
      <c r="K3091" s="8" t="n">
        <f aca="false">Sens!K3090/Sens!K3088</f>
        <v>29.9875626697831</v>
      </c>
      <c r="L3091" s="1" t="s">
        <v>1086</v>
      </c>
    </row>
    <row r="3092" customFormat="false" ht="17.15" hidden="false" customHeight="false" outlineLevel="0" collapsed="false">
      <c r="A3092" s="0" t="s">
        <v>1087</v>
      </c>
      <c r="B3092" s="0" t="s">
        <v>168</v>
      </c>
      <c r="E3092" s="7" t="n">
        <f aca="false">Sens!E3091/Sens!D3091-1</f>
        <v>0.315542736208578</v>
      </c>
      <c r="F3092" s="7" t="n">
        <f aca="false">Sens!F3091/Sens!E3091-1</f>
        <v>0.0841638838757761</v>
      </c>
      <c r="G3092" s="7" t="n">
        <f aca="false">Sens!G3091/Sens!F3091-1</f>
        <v>0.0948885556060251</v>
      </c>
      <c r="H3092" s="7" t="n">
        <f aca="false">Sens!H3091/Sens!G3091-1</f>
        <v>0.0901018793919315</v>
      </c>
      <c r="I3092" s="7" t="n">
        <f aca="false">Sens!I3091/Sens!H3091-1</f>
        <v>0.11078308539183</v>
      </c>
      <c r="J3092" s="7" t="n">
        <f aca="false">Sens!J3091/Sens!I3091-1</f>
        <v>0.0875457103800605</v>
      </c>
      <c r="K3092" s="7" t="n">
        <f aca="false">Sens!K3091/Sens!J3091-1</f>
        <v>0.0689884876240428</v>
      </c>
    </row>
    <row r="3093" customFormat="false" ht="17.15" hidden="false" customHeight="false" outlineLevel="0" collapsed="false">
      <c r="A3093" s="0" t="s">
        <v>1007</v>
      </c>
      <c r="B3093" s="0" t="s">
        <v>98</v>
      </c>
      <c r="E3093" s="6" t="n">
        <f aca="false">Sens!E3034</f>
        <v>5.25</v>
      </c>
      <c r="F3093" s="6" t="n">
        <f aca="false">Sens!F3034</f>
        <v>10.5</v>
      </c>
      <c r="G3093" s="6" t="n">
        <f aca="false">Sens!G3034</f>
        <v>13.5</v>
      </c>
      <c r="H3093" s="6" t="n">
        <f aca="false">Sens!H3034</f>
        <v>16.5</v>
      </c>
      <c r="I3093" s="6" t="n">
        <f aca="false">Sens!I3034</f>
        <v>18.75</v>
      </c>
      <c r="J3093" s="6" t="n">
        <f aca="false">Sens!J3034</f>
        <v>20.25</v>
      </c>
      <c r="K3093" s="6" t="n">
        <f aca="false">Sens!K3034</f>
        <v>21.75</v>
      </c>
    </row>
    <row r="3094" customFormat="false" ht="17.15" hidden="false" customHeight="false" outlineLevel="0" collapsed="false">
      <c r="A3094" s="1" t="s">
        <v>1008</v>
      </c>
      <c r="B3094" s="0" t="s">
        <v>98</v>
      </c>
      <c r="F3094" s="6" t="n">
        <f aca="false">MAX(0,((Sens!E2994+Sens!F2994)/2-(shadow_base*(Sens!$D$2994+Sens!$E$2994)/2+(1-shadow_base)*Sens!$E$2994))*Sens!F3003/1000-(Sens!F3093-Sens!$E$3093)*Sens!F3073)</f>
        <v>3.90612861370406</v>
      </c>
      <c r="G3094" s="6" t="n">
        <f aca="false">MAX(0,((Sens!F2994+Sens!G2994)/2-(shadow_base*(Sens!$D$2994+Sens!$E$2994)/2+(1-shadow_base)*Sens!$E$2994))*Sens!G3003/1000-(Sens!G3093-Sens!$E$3093)*Sens!G3073)</f>
        <v>11.7348778177566</v>
      </c>
      <c r="H3094" s="6" t="n">
        <f aca="false">MAX(0,((Sens!G2994+Sens!H2994)/2-(shadow_base*(Sens!$D$2994+Sens!$E$2994)/2+(1-shadow_base)*Sens!$E$2994))*Sens!H3003/1000-(Sens!H3093-Sens!$E$3093)*Sens!H3073)</f>
        <v>20.3002224965418</v>
      </c>
      <c r="I3094" s="6" t="n">
        <f aca="false">MAX(0,((Sens!H2994+Sens!I2994)/2-(shadow_base*(Sens!$D$2994+Sens!$E$2994)/2+(1-shadow_base)*Sens!$E$2994))*Sens!I3003/1000-(Sens!I3093-Sens!$E$3093)*Sens!I3073)</f>
        <v>28.0564326013432</v>
      </c>
      <c r="J3094" s="6" t="n">
        <f aca="false">MAX(0,((Sens!I2994+Sens!J2994)/2-(shadow_base*(Sens!$D$2994+Sens!$E$2994)/2+(1-shadow_base)*Sens!$E$2994))*Sens!J3003/1000-(Sens!J3093-Sens!$E$3093)*Sens!J3073)</f>
        <v>33.4758874719015</v>
      </c>
      <c r="K3094" s="6" t="n">
        <f aca="false">MAX(0,((Sens!J2994+Sens!K2994)/2-(shadow_base*(Sens!$D$2994+Sens!$E$2994)/2+(1-shadow_base)*Sens!$E$2994))*Sens!K3003/1000-(Sens!K3093-Sens!$E$3093)*Sens!K3073)</f>
        <v>36.4448808195928</v>
      </c>
      <c r="L3094" s="1" t="s">
        <v>1009</v>
      </c>
    </row>
    <row r="3095" customFormat="false" ht="17.15" hidden="false" customHeight="false" outlineLevel="0" collapsed="false">
      <c r="A3095" s="1" t="s">
        <v>1010</v>
      </c>
      <c r="B3095" s="0" t="s">
        <v>98</v>
      </c>
      <c r="F3095" s="6" t="n">
        <f aca="false">IF(internal_ai_reading=2,1,0)*Sens!F3094</f>
        <v>3.90612861370406</v>
      </c>
      <c r="G3095" s="6" t="n">
        <f aca="false">IF(internal_ai_reading=2,1,0)*Sens!G3094</f>
        <v>11.7348778177566</v>
      </c>
      <c r="H3095" s="6" t="n">
        <f aca="false">IF(internal_ai_reading=2,1,0)*Sens!H3094</f>
        <v>20.3002224965418</v>
      </c>
      <c r="I3095" s="6" t="n">
        <f aca="false">IF(internal_ai_reading=2,1,0)*Sens!I3094</f>
        <v>28.0564326013432</v>
      </c>
      <c r="J3095" s="6" t="n">
        <f aca="false">IF(internal_ai_reading=2,1,0)*Sens!J3094</f>
        <v>33.4758874719015</v>
      </c>
      <c r="K3095" s="6" t="n">
        <f aca="false">IF(internal_ai_reading=2,1,0)*Sens!K3094</f>
        <v>36.4448808195928</v>
      </c>
    </row>
    <row r="3096" customFormat="false" ht="17.15" hidden="false" customHeight="false" outlineLevel="0" collapsed="false">
      <c r="A3096" s="0" t="s">
        <v>1011</v>
      </c>
      <c r="B3096" s="0" t="s">
        <v>98</v>
      </c>
      <c r="F3096" s="6" t="n">
        <f aca="false">Sens!F3013+Sens!F3093*Sens!F3073+Sens!F3095-Sens!F3014-Sens!F3025</f>
        <v>13.7582679259544</v>
      </c>
      <c r="G3096" s="6" t="n">
        <f aca="false">Sens!G3013+Sens!G3093*Sens!G3073+Sens!G3095-Sens!G3014-Sens!G3025</f>
        <v>17.8716252804908</v>
      </c>
      <c r="H3096" s="6" t="n">
        <f aca="false">Sens!H3013+Sens!H3093*Sens!H3073+Sens!H3095-Sens!H3014-Sens!H3025</f>
        <v>16.4499828834727</v>
      </c>
      <c r="I3096" s="6" t="n">
        <f aca="false">Sens!I3013+Sens!I3093*Sens!I3073+Sens!I3095-Sens!I3014-Sens!I3025</f>
        <v>21.5748677742519</v>
      </c>
      <c r="J3096" s="6" t="n">
        <f aca="false">Sens!J3013+Sens!J3093*Sens!J3073+Sens!J3095-Sens!J3014-Sens!J3025</f>
        <v>25.0409050707189</v>
      </c>
      <c r="K3096" s="6" t="n">
        <f aca="false">Sens!K3013+Sens!K3093*Sens!K3073+Sens!K3095-Sens!K3014-Sens!K3025</f>
        <v>27.5396265525076</v>
      </c>
    </row>
    <row r="3097" customFormat="false" ht="17.15" hidden="false" customHeight="false" outlineLevel="0" collapsed="false">
      <c r="A3097" s="0" t="s">
        <v>1012</v>
      </c>
      <c r="B3097" s="0" t="s">
        <v>98</v>
      </c>
      <c r="E3097" s="6" t="n">
        <f aca="false">Sens!E2993*(cxit_open+self_build*tk_cxfac)/1000*ai_net_open</f>
        <v>101.35843056</v>
      </c>
      <c r="F3097" s="6" t="n">
        <f aca="false">Sens!E3097+Sens!F3022-Sens!F3025</f>
        <v>208.458102211014</v>
      </c>
      <c r="G3097" s="6" t="n">
        <f aca="false">Sens!F3097+Sens!G3022-Sens!G3025</f>
        <v>313.426090208414</v>
      </c>
      <c r="H3097" s="6" t="n">
        <f aca="false">Sens!G3097+Sens!H3022-Sens!H3025</f>
        <v>399.590820930867</v>
      </c>
      <c r="I3097" s="6" t="n">
        <f aca="false">Sens!H3097+Sens!I3022-Sens!I3025</f>
        <v>443.097880072517</v>
      </c>
      <c r="J3097" s="6" t="n">
        <f aca="false">Sens!I3097+Sens!J3022-Sens!J3025</f>
        <v>440.629286589592</v>
      </c>
      <c r="K3097" s="6" t="n">
        <f aca="false">Sens!J3097+Sens!K3022-Sens!K3025</f>
        <v>421.389433400631</v>
      </c>
      <c r="L3097" s="1" t="s">
        <v>1013</v>
      </c>
    </row>
    <row r="3098" customFormat="false" ht="17.15" hidden="false" customHeight="false" outlineLevel="0" collapsed="false">
      <c r="A3098" s="0" t="s">
        <v>1014</v>
      </c>
      <c r="B3098" s="0" t="s">
        <v>168</v>
      </c>
      <c r="F3098" s="7" t="n">
        <f aca="false">Sens!F3096*(1-tax_f)/((Sens!E3097+Sens!F3097)/2)</f>
        <v>0.0710524660664159</v>
      </c>
      <c r="G3098" s="7" t="n">
        <f aca="false">Sens!G3096*(1-tax_f)/((Sens!F3097+Sens!G3097)/2)</f>
        <v>0.0547910836621094</v>
      </c>
      <c r="H3098" s="7" t="n">
        <f aca="false">Sens!H3096*(1-tax_f)/((Sens!G3097+Sens!H3097)/2)</f>
        <v>0.0369135320668642</v>
      </c>
      <c r="I3098" s="7" t="n">
        <f aca="false">Sens!I3096*(1-tax_f)/((Sens!H3097+Sens!I3097)/2)</f>
        <v>0.0409638676746236</v>
      </c>
      <c r="J3098" s="7" t="n">
        <f aca="false">Sens!J3096*(1-tax_f)/((Sens!I3097+Sens!J3097)/2)</f>
        <v>0.0453368976586743</v>
      </c>
      <c r="K3098" s="7" t="n">
        <f aca="false">Sens!K3096*(1-tax_f)/((Sens!J3097+Sens!K3097)/2)</f>
        <v>0.0511165261985401</v>
      </c>
    </row>
    <row r="3099" customFormat="false" ht="17.15" hidden="false" customHeight="false" outlineLevel="0" collapsed="false">
      <c r="A3099" s="1" t="s">
        <v>1015</v>
      </c>
      <c r="B3099" s="0" t="s">
        <v>168</v>
      </c>
      <c r="F3099" s="7" t="n">
        <f aca="false">(Sens!F3096-Sens!F3095)*(1-tax_f)/((Sens!E3097+Sens!F3097)/2)</f>
        <v>0.0508798635069981</v>
      </c>
      <c r="G3099" s="7" t="n">
        <f aca="false">(Sens!G3096-Sens!G3095)*(1-tax_f)/((Sens!F3097+Sens!G3097)/2)</f>
        <v>0.0188141278908167</v>
      </c>
      <c r="H3099" s="7" t="n">
        <f aca="false">(Sens!H3096-Sens!H3095)*(1-tax_f)/((Sens!G3097+Sens!H3097)/2)</f>
        <v>-0.00863988397002725</v>
      </c>
      <c r="I3099" s="7" t="n">
        <f aca="false">(Sens!I3096-Sens!I3095)*(1-tax_f)/((Sens!H3097+Sens!I3097)/2)</f>
        <v>-0.012306446865845</v>
      </c>
      <c r="J3099" s="7" t="n">
        <f aca="false">(Sens!J3096-Sens!J3095)*(1-tax_f)/((Sens!I3097+Sens!J3097)/2)</f>
        <v>-0.0152716498383402</v>
      </c>
      <c r="K3099" s="7" t="n">
        <f aca="false">(Sens!K3096-Sens!K3095)*(1-tax_f)/((Sens!J3097+Sens!K3097)/2)</f>
        <v>-0.0165291153160779</v>
      </c>
    </row>
    <row r="3100" customFormat="false" ht="17.15" hidden="false" customHeight="false" outlineLevel="0" collapsed="false">
      <c r="A3100" s="1" t="s">
        <v>1016</v>
      </c>
      <c r="B3100" s="0" t="s">
        <v>168</v>
      </c>
      <c r="F3100" s="7" t="n">
        <f aca="false">(Sens!F3096-Sens!F3095+Sens!F3094)*(1-tax_f)/((Sens!E3097+Sens!F3097)/2)</f>
        <v>0.0710524660664159</v>
      </c>
      <c r="G3100" s="7" t="n">
        <f aca="false">(Sens!G3096-Sens!G3095+Sens!G3094)*(1-tax_f)/((Sens!F3097+Sens!G3097)/2)</f>
        <v>0.0547910836621094</v>
      </c>
      <c r="H3100" s="7" t="n">
        <f aca="false">(Sens!H3096-Sens!H3095+Sens!H3094)*(1-tax_f)/((Sens!G3097+Sens!H3097)/2)</f>
        <v>0.0369135320668642</v>
      </c>
      <c r="I3100" s="7" t="n">
        <f aca="false">(Sens!I3096-Sens!I3095+Sens!I3094)*(1-tax_f)/((Sens!H3097+Sens!I3097)/2)</f>
        <v>0.0409638676746236</v>
      </c>
      <c r="J3100" s="7" t="n">
        <f aca="false">(Sens!J3096-Sens!J3095+Sens!J3094)*(1-tax_f)/((Sens!I3097+Sens!J3097)/2)</f>
        <v>0.0453368976586743</v>
      </c>
      <c r="K3100" s="7" t="n">
        <f aca="false">(Sens!K3096-Sens!K3095+Sens!K3094)*(1-tax_f)/((Sens!J3097+Sens!K3097)/2)</f>
        <v>0.0511165261985401</v>
      </c>
    </row>
    <row r="3101" customFormat="false" ht="17.15" hidden="false" customHeight="false" outlineLevel="0" collapsed="false">
      <c r="A3101" s="1" t="s">
        <v>1017</v>
      </c>
      <c r="B3101" s="0" t="s">
        <v>168</v>
      </c>
      <c r="F3101" s="7" t="n">
        <f aca="false">Sens!F3026*(1-tax_f)/(Sens!F3012*(Sens!E3097+Sens!F3097)/2)</f>
        <v>0.098791430090569</v>
      </c>
      <c r="G3101" s="7" t="n">
        <f aca="false">Sens!G3026*(1-tax_f)/(Sens!G3012*(Sens!F3097+Sens!G3097)/2)</f>
        <v>0.0675308856427829</v>
      </c>
      <c r="H3101" s="7" t="n">
        <f aca="false">Sens!H3026*(1-tax_f)/(Sens!H3012*(Sens!G3097+Sens!H3097)/2)</f>
        <v>0.0388374979528754</v>
      </c>
      <c r="I3101" s="7" t="n">
        <f aca="false">Sens!I3026*(1-tax_f)/(Sens!I3012*(Sens!H3097+Sens!I3097)/2)</f>
        <v>0.0411035671771815</v>
      </c>
      <c r="J3101" s="7" t="n">
        <f aca="false">Sens!J3026*(1-tax_f)/(Sens!J3012*(Sens!I3097+Sens!J3097)/2)</f>
        <v>0.0445222722541192</v>
      </c>
      <c r="K3101" s="7" t="n">
        <f aca="false">Sens!K3026*(1-tax_f)/(Sens!K3012*(Sens!J3097+Sens!K3097)/2)</f>
        <v>0.0498866361688163</v>
      </c>
    </row>
    <row r="3102" customFormat="false" ht="17.15" hidden="false" customHeight="false" outlineLevel="0" collapsed="false">
      <c r="A3102" s="0" t="s">
        <v>1018</v>
      </c>
      <c r="B3102" s="0" t="s">
        <v>253</v>
      </c>
      <c r="F3102" s="7" t="n">
        <f aca="false">Sens!F3098-wacc</f>
        <v>-0.0318841248791814</v>
      </c>
      <c r="G3102" s="7" t="n">
        <f aca="false">Sens!G3098-wacc</f>
        <v>-0.0481455072834879</v>
      </c>
      <c r="H3102" s="7" t="n">
        <f aca="false">Sens!H3098-wacc</f>
        <v>-0.0660230588787331</v>
      </c>
      <c r="I3102" s="7" t="n">
        <f aca="false">Sens!I3098-wacc</f>
        <v>-0.0619727232709737</v>
      </c>
      <c r="J3102" s="7" t="n">
        <f aca="false">Sens!J3098-wacc</f>
        <v>-0.057599693286923</v>
      </c>
      <c r="K3102" s="7" t="n">
        <f aca="false">Sens!K3098-wacc</f>
        <v>-0.0518200647470572</v>
      </c>
    </row>
    <row r="3103" customFormat="false" ht="17.15" hidden="false" customHeight="false" outlineLevel="0" collapsed="false">
      <c r="A3103" s="0" t="s">
        <v>1019</v>
      </c>
      <c r="B3103" s="0" t="s">
        <v>98</v>
      </c>
      <c r="F3103" s="6" t="n">
        <f aca="false">Sens!F3096*(1-tax_f)-wacc*(Sens!E3097+Sens!F3097)/2</f>
        <v>-4.93911451025301</v>
      </c>
      <c r="G3103" s="6" t="n">
        <f aca="false">Sens!G3096*(1-tax_f)-wacc*(Sens!F3097+Sens!G3097)/2</f>
        <v>-12.5631895936334</v>
      </c>
      <c r="H3103" s="6" t="n">
        <f aca="false">Sens!H3096*(1-tax_f)-wacc*(Sens!G3097+Sens!H3097)/2</f>
        <v>-23.5377787528406</v>
      </c>
      <c r="I3103" s="6" t="n">
        <f aca="false">Sens!I3096*(1-tax_f)-wacc*(Sens!H3097+Sens!I3097)/2</f>
        <v>-26.1118568354295</v>
      </c>
      <c r="J3103" s="6" t="n">
        <f aca="false">Sens!J3096*(1-tax_f)-wacc*(Sens!I3097+Sens!J3097)/2</f>
        <v>-25.4512068745295</v>
      </c>
      <c r="K3103" s="6" t="n">
        <f aca="false">Sens!K3096*(1-tax_f)-wacc*(Sens!J3097+Sens!K3097)/2</f>
        <v>-22.3349329415344</v>
      </c>
    </row>
    <row r="3104" customFormat="false" ht="17.15" hidden="false" customHeight="false" outlineLevel="0" collapsed="false">
      <c r="A3104" s="3" t="s">
        <v>1688</v>
      </c>
    </row>
    <row r="3105" customFormat="false" ht="15" hidden="false" customHeight="false" outlineLevel="0" collapsed="false">
      <c r="A3105" s="4" t="s">
        <v>43</v>
      </c>
      <c r="B3105" s="4" t="s">
        <v>65</v>
      </c>
      <c r="C3105" s="23" t="s">
        <v>942</v>
      </c>
      <c r="D3105" s="23" t="s">
        <v>943</v>
      </c>
      <c r="E3105" s="23" t="s">
        <v>944</v>
      </c>
      <c r="F3105" s="23" t="s">
        <v>945</v>
      </c>
      <c r="G3105" s="23" t="s">
        <v>946</v>
      </c>
      <c r="H3105" s="23" t="s">
        <v>947</v>
      </c>
      <c r="I3105" s="23" t="s">
        <v>948</v>
      </c>
      <c r="J3105" s="23" t="s">
        <v>949</v>
      </c>
      <c r="K3105" s="23" t="s">
        <v>950</v>
      </c>
      <c r="L3105" s="4" t="s">
        <v>47</v>
      </c>
    </row>
    <row r="3106" customFormat="false" ht="15" hidden="false" customHeight="false" outlineLevel="0" collapsed="false">
      <c r="A3106" s="1" t="s">
        <v>1080</v>
      </c>
      <c r="B3106" s="0" t="s">
        <v>98</v>
      </c>
      <c r="F3106" s="6" t="n">
        <f aca="false">Sens!F3087</f>
        <v>142.279781148778</v>
      </c>
      <c r="G3106" s="6" t="n">
        <f aca="false">Sens!G3087</f>
        <v>150.469888661349</v>
      </c>
      <c r="H3106" s="6" t="n">
        <f aca="false">Sens!H3087</f>
        <v>158.334327165011</v>
      </c>
      <c r="I3106" s="6" t="n">
        <f aca="false">Sens!I3087</f>
        <v>171.770571833937</v>
      </c>
      <c r="J3106" s="6" t="n">
        <f aca="false">Sens!J3087</f>
        <v>184.834684150572</v>
      </c>
      <c r="K3106" s="6" t="n">
        <f aca="false">Sens!K3087</f>
        <v>197.551350267196</v>
      </c>
    </row>
    <row r="3107" customFormat="false" ht="17.15" hidden="false" customHeight="false" outlineLevel="0" collapsed="false">
      <c r="A3107" s="1" t="s">
        <v>1102</v>
      </c>
      <c r="B3107" s="0" t="s">
        <v>98</v>
      </c>
      <c r="E3107" s="6" t="n">
        <f aca="false">Q!M38-Sens!E3025</f>
        <v>25.4896752183333</v>
      </c>
      <c r="F3107" s="6" t="n">
        <f aca="false">Sens!E3107*(1-1/life_nonai)+(Sens!F3115+Sens!F3116)/life_nonai</f>
        <v>29.8843953731304</v>
      </c>
      <c r="G3107" s="6" t="n">
        <f aca="false">Sens!F3107*(1-1/life_nonai)+(Sens!G3115)/life_nonai</f>
        <v>31.0140580699047</v>
      </c>
      <c r="H3107" s="6" t="n">
        <f aca="false">Sens!G3107*(1-1/life_nonai)+(Sens!H3115)/life_nonai</f>
        <v>32.5748979079045</v>
      </c>
      <c r="I3107" s="6" t="n">
        <f aca="false">Sens!H3107*(1-1/life_nonai)+(Sens!I3115)/life_nonai</f>
        <v>34.5038367803926</v>
      </c>
      <c r="J3107" s="6" t="n">
        <f aca="false">Sens!I3107*(1-1/life_nonai)+(Sens!J3115)/life_nonai</f>
        <v>36.7203563493755</v>
      </c>
      <c r="K3107" s="6" t="n">
        <f aca="false">Sens!J3107*(1-1/life_nonai)+(Sens!K3115)/life_nonai</f>
        <v>39.1349553692756</v>
      </c>
      <c r="L3107" s="12" t="s">
        <v>1103</v>
      </c>
    </row>
    <row r="3108" customFormat="false" ht="17.15" hidden="false" customHeight="false" outlineLevel="0" collapsed="false">
      <c r="A3108" s="1" t="s">
        <v>1104</v>
      </c>
      <c r="B3108" s="0" t="s">
        <v>98</v>
      </c>
      <c r="F3108" s="6" t="n">
        <f aca="false">Sens!$F$3116/life_nonai*(1-1/life_nonai)^(Sens!F2988-2027)</f>
        <v>3.36108176930023</v>
      </c>
      <c r="G3108" s="6" t="n">
        <f aca="false">Sens!$F$3116/life_nonai*(1-1/life_nonai)^(Sens!G2988-2027)</f>
        <v>3.02497359237021</v>
      </c>
      <c r="H3108" s="6" t="n">
        <f aca="false">Sens!$F$3116/life_nonai*(1-1/life_nonai)^(Sens!H2988-2027)</f>
        <v>2.72247623313319</v>
      </c>
      <c r="I3108" s="6" t="n">
        <f aca="false">Sens!$F$3116/life_nonai*(1-1/life_nonai)^(Sens!I2988-2027)</f>
        <v>2.45022860981987</v>
      </c>
      <c r="J3108" s="6" t="n">
        <f aca="false">Sens!$F$3116/life_nonai*(1-1/life_nonai)^(Sens!J2988-2027)</f>
        <v>2.20520574883788</v>
      </c>
      <c r="K3108" s="6" t="n">
        <f aca="false">Sens!$F$3116/life_nonai*(1-1/life_nonai)^(Sens!K2988-2027)</f>
        <v>1.98468517395409</v>
      </c>
      <c r="L3108" s="1" t="s">
        <v>1105</v>
      </c>
    </row>
    <row r="3109" customFormat="false" ht="17.15" hidden="false" customHeight="false" outlineLevel="0" collapsed="false">
      <c r="A3109" s="1" t="s">
        <v>1106</v>
      </c>
      <c r="B3109" s="0" t="s">
        <v>98</v>
      </c>
      <c r="E3109" s="6" t="n">
        <f aca="false">Sens!E3025+Sens!E3107</f>
        <v>38.534</v>
      </c>
      <c r="F3109" s="6" t="n">
        <f aca="false">Sens!F3025+Sens!F3107</f>
        <v>57.5478469558117</v>
      </c>
      <c r="G3109" s="6" t="n">
        <f aca="false">Sens!G3025+Sens!G3107</f>
        <v>79.6016505917439</v>
      </c>
      <c r="H3109" s="6" t="n">
        <f aca="false">Sens!H3025+Sens!H3107</f>
        <v>103.854970437061</v>
      </c>
      <c r="I3109" s="6" t="n">
        <f aca="false">Sens!I3025+Sens!I3107</f>
        <v>125.888644536031</v>
      </c>
      <c r="J3109" s="6" t="n">
        <f aca="false">Sens!J3025+Sens!J3107</f>
        <v>142.332894789052</v>
      </c>
      <c r="K3109" s="6" t="n">
        <f aca="false">Sens!K3025+Sens!K3107</f>
        <v>153.545091010023</v>
      </c>
    </row>
    <row r="3110" customFormat="false" ht="17.15" hidden="false" customHeight="false" outlineLevel="0" collapsed="false">
      <c r="A3110" s="1" t="s">
        <v>1107</v>
      </c>
      <c r="B3110" s="0" t="s">
        <v>98</v>
      </c>
      <c r="F3110" s="6" t="n">
        <f aca="false">Sens!F3052*sbc_r</f>
        <v>14.7454787486369</v>
      </c>
      <c r="G3110" s="6" t="n">
        <f aca="false">Sens!G3052*sbc_r</f>
        <v>17.1560811611477</v>
      </c>
      <c r="H3110" s="6" t="n">
        <f aca="false">Sens!H3052*sbc_r</f>
        <v>19.4112161412813</v>
      </c>
      <c r="I3110" s="6" t="n">
        <f aca="false">Sens!I3052*sbc_r</f>
        <v>21.7655163708747</v>
      </c>
      <c r="J3110" s="6" t="n">
        <f aca="false">Sens!J3052*sbc_r</f>
        <v>23.7425689489627</v>
      </c>
      <c r="K3110" s="6" t="n">
        <f aca="false">Sens!K3052*sbc_r</f>
        <v>25.3560408997772</v>
      </c>
    </row>
    <row r="3111" customFormat="false" ht="17.15" hidden="false" customHeight="false" outlineLevel="0" collapsed="false">
      <c r="A3111" s="1" t="s">
        <v>1108</v>
      </c>
      <c r="B3111" s="0" t="s">
        <v>98</v>
      </c>
      <c r="F3111" s="6" t="n">
        <f aca="false">wc27-wc26q1</f>
        <v>-4.677</v>
      </c>
      <c r="G3111" s="6" t="n">
        <f aca="false">wc_f</f>
        <v>0</v>
      </c>
      <c r="H3111" s="6" t="n">
        <f aca="false">wc_f</f>
        <v>0</v>
      </c>
      <c r="I3111" s="6" t="n">
        <f aca="false">wc_f</f>
        <v>0</v>
      </c>
      <c r="J3111" s="6" t="n">
        <f aca="false">wc_f</f>
        <v>0</v>
      </c>
      <c r="K3111" s="6" t="n">
        <f aca="false">wc_f</f>
        <v>0</v>
      </c>
      <c r="L3111" s="12" t="s">
        <v>1109</v>
      </c>
    </row>
    <row r="3112" customFormat="false" ht="17.15" hidden="false" customHeight="false" outlineLevel="0" collapsed="false">
      <c r="A3112" s="0" t="s">
        <v>1110</v>
      </c>
      <c r="B3112" s="0" t="s">
        <v>98</v>
      </c>
      <c r="F3112" s="6" t="n">
        <f aca="false">Q!$I$35-Q!$I$26-Q!$I$38-Q!$I$39</f>
        <v>6.493</v>
      </c>
      <c r="L3112" s="1" t="s">
        <v>1111</v>
      </c>
    </row>
    <row r="3113" customFormat="false" ht="15" hidden="false" customHeight="false" outlineLevel="0" collapsed="false">
      <c r="A3113" s="1" t="s">
        <v>908</v>
      </c>
      <c r="B3113" s="0" t="s">
        <v>98</v>
      </c>
      <c r="E3113" s="6" t="n">
        <f aca="false">Q!M35</f>
        <v>182.935</v>
      </c>
      <c r="F3113" s="6" t="n">
        <f aca="false">Sens!F3106+Sens!F3109+Sens!F3110+Sens!F3111+Sens!F3112</f>
        <v>216.389106853226</v>
      </c>
      <c r="G3113" s="6" t="n">
        <f aca="false">Sens!G3106+Sens!G3109+Sens!G3110+Sens!G3111</f>
        <v>247.227620414241</v>
      </c>
      <c r="H3113" s="6" t="n">
        <f aca="false">Sens!H3106+Sens!H3109+Sens!H3110+Sens!H3111</f>
        <v>281.600513743353</v>
      </c>
      <c r="I3113" s="6" t="n">
        <f aca="false">Sens!I3106+Sens!I3109+Sens!I3110+Sens!I3111</f>
        <v>319.424732740843</v>
      </c>
      <c r="J3113" s="6" t="n">
        <f aca="false">Sens!J3106+Sens!J3109+Sens!J3110+Sens!J3111</f>
        <v>350.910147888588</v>
      </c>
      <c r="K3113" s="6" t="n">
        <f aca="false">Sens!K3106+Sens!K3109+Sens!K3110+Sens!K3111</f>
        <v>376.452482176996</v>
      </c>
    </row>
    <row r="3114" customFormat="false" ht="17.15" hidden="false" customHeight="false" outlineLevel="0" collapsed="false">
      <c r="A3114" s="0" t="s">
        <v>1112</v>
      </c>
      <c r="B3114" s="0" t="s">
        <v>98</v>
      </c>
      <c r="F3114" s="6" t="n">
        <f aca="false">Sens!F3022</f>
        <v>134.763123233696</v>
      </c>
      <c r="G3114" s="6" t="n">
        <f aca="false">Sens!G3022</f>
        <v>153.555580519238</v>
      </c>
      <c r="H3114" s="6" t="n">
        <f aca="false">Sens!H3022</f>
        <v>157.44480325161</v>
      </c>
      <c r="I3114" s="6" t="n">
        <f aca="false">Sens!I3022</f>
        <v>134.891866897288</v>
      </c>
      <c r="J3114" s="6" t="n">
        <f aca="false">Sens!J3022</f>
        <v>103.143944956752</v>
      </c>
      <c r="K3114" s="6" t="n">
        <f aca="false">Sens!K3022</f>
        <v>95.1702824517861</v>
      </c>
    </row>
    <row r="3115" customFormat="false" ht="17.15" hidden="false" customHeight="false" outlineLevel="0" collapsed="false">
      <c r="A3115" s="1" t="s">
        <v>1113</v>
      </c>
      <c r="B3115" s="0" t="s">
        <v>98</v>
      </c>
      <c r="E3115" s="6" t="n">
        <f aca="false">Sens!E3030*cx_azo+Sens!E3037*cx_m365+Sens!E3038*cx_lic+(Sens!E3040+Sens!E3042)*cx_ind+Sens!E3045*cx_srch+(Sens!E3047+Sens!E3049)*cx_dev</f>
        <v>30.1846587067718</v>
      </c>
      <c r="F3115" s="6" t="n">
        <f aca="false">Sens!F3030*cx_azo+Sens!F3037*cx_m365+Sens!F3038*cx_lic+(Sens!F3040+Sens!F3042)*cx_ind+Sens!F3045*cx_srch+(Sens!F3047+Sens!F3049)*cx_dev</f>
        <v>35.826059073302</v>
      </c>
      <c r="G3115" s="6" t="n">
        <f aca="false">Sens!G3030*cx_azo+Sens!G3037*cx_m365+Sens!G3038*cx_lic+(Sens!G3040+Sens!G3042)*cx_ind+Sens!G3045*cx_srch+(Sens!G3047+Sens!G3049)*cx_dev</f>
        <v>41.1810223408732</v>
      </c>
      <c r="H3115" s="6" t="n">
        <f aca="false">Sens!H3030*cx_azo+Sens!H3037*cx_m365+Sens!H3038*cx_lic+(Sens!H3040+Sens!H3042)*cx_ind+Sens!H3045*cx_srch+(Sens!H3047+Sens!H3049)*cx_dev</f>
        <v>46.6224564499022</v>
      </c>
      <c r="I3115" s="6" t="n">
        <f aca="false">Sens!I3030*cx_azo+Sens!I3037*cx_m365+Sens!I3038*cx_lic+(Sens!I3040+Sens!I3042)*cx_ind+Sens!I3045*cx_srch+(Sens!I3047+Sens!I3049)*cx_dev</f>
        <v>51.8642866327854</v>
      </c>
      <c r="J3115" s="6" t="n">
        <f aca="false">Sens!J3030*cx_azo+Sens!J3037*cx_m365+Sens!J3038*cx_lic+(Sens!J3040+Sens!J3042)*cx_ind+Sens!J3045*cx_srch+(Sens!J3047+Sens!J3049)*cx_dev</f>
        <v>56.6690324702225</v>
      </c>
      <c r="K3115" s="6" t="n">
        <f aca="false">Sens!K3030*cx_azo+Sens!K3037*cx_m365+Sens!K3038*cx_lic+(Sens!K3040+Sens!K3042)*cx_ind+Sens!K3045*cx_srch+(Sens!K3047+Sens!K3049)*cx_dev</f>
        <v>60.866346548376</v>
      </c>
    </row>
    <row r="3116" customFormat="false" ht="17.15" hidden="false" customHeight="false" outlineLevel="0" collapsed="false">
      <c r="A3116" s="0" t="s">
        <v>1114</v>
      </c>
      <c r="B3116" s="0" t="s">
        <v>98</v>
      </c>
      <c r="F3116" s="6" t="n">
        <f aca="false">Sens!F3020</f>
        <v>33.6108176930023</v>
      </c>
      <c r="L3116" s="1" t="s">
        <v>1115</v>
      </c>
    </row>
    <row r="3117" customFormat="false" ht="17.15" hidden="false" customHeight="false" outlineLevel="0" collapsed="false">
      <c r="A3117" s="1" t="s">
        <v>1116</v>
      </c>
      <c r="B3117" s="0" t="s">
        <v>98</v>
      </c>
      <c r="E3117" s="6" t="n">
        <f aca="false">Q!M43</f>
        <v>145.3</v>
      </c>
      <c r="F3117" s="6" t="n">
        <f aca="false">Sens!F3114+Sens!F3115+Sens!F3116</f>
        <v>204.2</v>
      </c>
      <c r="G3117" s="6" t="n">
        <f aca="false">Sens!G3114+Sens!G3115</f>
        <v>194.736602860112</v>
      </c>
      <c r="H3117" s="6" t="n">
        <f aca="false">Sens!H3114+Sens!H3115</f>
        <v>204.067259701512</v>
      </c>
      <c r="I3117" s="6" t="n">
        <f aca="false">Sens!I3114+Sens!I3115</f>
        <v>186.756153530074</v>
      </c>
      <c r="J3117" s="6" t="n">
        <f aca="false">Sens!J3114+Sens!J3115</f>
        <v>159.812977426975</v>
      </c>
      <c r="K3117" s="6" t="n">
        <f aca="false">Sens!K3114+Sens!K3115</f>
        <v>156.036629000162</v>
      </c>
      <c r="L3117" s="1" t="s">
        <v>1117</v>
      </c>
    </row>
    <row r="3118" customFormat="false" ht="15" hidden="false" customHeight="false" outlineLevel="0" collapsed="false">
      <c r="A3118" s="1" t="s">
        <v>1118</v>
      </c>
      <c r="B3118" s="0" t="s">
        <v>98</v>
      </c>
      <c r="E3118" s="6" t="n">
        <f aca="false">fl_liab</f>
        <v>66.594</v>
      </c>
      <c r="F3118" s="6" t="n">
        <f aca="false">Sens!E3118-Sens!F3119</f>
        <v>62.46973</v>
      </c>
      <c r="G3118" s="6" t="n">
        <f aca="false">Sens!F3118-Sens!G3119</f>
        <v>57.98686785</v>
      </c>
      <c r="H3118" s="6" t="n">
        <f aca="false">Sens!G3118-Sens!H3119</f>
        <v>53.92827690325</v>
      </c>
      <c r="I3118" s="6" t="n">
        <f aca="false">Sens!H3118-Sens!I3119</f>
        <v>49.7850493638962</v>
      </c>
      <c r="J3118" s="6" t="n">
        <f aca="false">Sens!I3118-Sens!J3119</f>
        <v>45.4823765852716</v>
      </c>
      <c r="K3118" s="6" t="n">
        <f aca="false">Sens!J3118-Sens!K3119</f>
        <v>40.9860835316088</v>
      </c>
    </row>
    <row r="3119" customFormat="false" ht="15" hidden="false" customHeight="false" outlineLevel="0" collapsed="false">
      <c r="A3119" s="1" t="s">
        <v>1119</v>
      </c>
      <c r="B3119" s="0" t="s">
        <v>98</v>
      </c>
      <c r="F3119" s="6" t="n">
        <f aca="false">fl_pay_27-Sens!E3118*fl_rate</f>
        <v>4.12427</v>
      </c>
      <c r="G3119" s="6" t="n">
        <f aca="false">fl_pay_28-Sens!F3118*fl_rate</f>
        <v>4.48286215</v>
      </c>
      <c r="H3119" s="6" t="n">
        <f aca="false">fl_pay_29-Sens!G3118*fl_rate</f>
        <v>4.05859094675</v>
      </c>
      <c r="I3119" s="6" t="n">
        <f aca="false">fl_pay_30-Sens!H3118*fl_rate</f>
        <v>4.14322753935375</v>
      </c>
      <c r="J3119" s="6" t="n">
        <f aca="false">fl_pay_31-Sens!I3118*fl_rate</f>
        <v>4.30267277862467</v>
      </c>
      <c r="K3119" s="6" t="n">
        <f aca="false">fl_pay_32-Sens!J3118*fl_rate</f>
        <v>4.49629305366278</v>
      </c>
    </row>
    <row r="3120" customFormat="false" ht="17.15" hidden="false" customHeight="false" outlineLevel="0" collapsed="false">
      <c r="A3120" s="1" t="s">
        <v>1120</v>
      </c>
      <c r="B3120" s="0" t="s">
        <v>98</v>
      </c>
      <c r="E3120" s="6" t="n">
        <f aca="false">Q!M35-Q!M36-Q!M44</f>
        <v>63.886</v>
      </c>
      <c r="F3120" s="6" t="n">
        <f aca="false">Sens!F3113-Sens!F3117-Sens!F3119</f>
        <v>8.06483685322641</v>
      </c>
      <c r="G3120" s="6" t="n">
        <f aca="false">Sens!G3113-Sens!G3117-Sens!G3119</f>
        <v>48.0081554041292</v>
      </c>
      <c r="H3120" s="6" t="n">
        <f aca="false">Sens!H3113-Sens!H3117-Sens!H3119</f>
        <v>73.4746630950908</v>
      </c>
      <c r="I3120" s="6" t="n">
        <f aca="false">Sens!I3113-Sens!I3117-Sens!I3119</f>
        <v>128.525351671415</v>
      </c>
      <c r="J3120" s="6" t="n">
        <f aca="false">Sens!J3113-Sens!J3117-Sens!J3119</f>
        <v>186.794497682988</v>
      </c>
      <c r="K3120" s="6" t="n">
        <f aca="false">Sens!K3113-Sens!K3117-Sens!K3119</f>
        <v>215.919560123171</v>
      </c>
      <c r="L3120" s="12" t="s">
        <v>1121</v>
      </c>
    </row>
    <row r="3121" customFormat="false" ht="15" hidden="false" customHeight="false" outlineLevel="0" collapsed="false">
      <c r="A3121" s="1" t="s">
        <v>1122</v>
      </c>
      <c r="B3121" s="0" t="s">
        <v>75</v>
      </c>
      <c r="F3121" s="8" t="n">
        <f aca="false">dps_27</f>
        <v>3.85</v>
      </c>
      <c r="G3121" s="8" t="n">
        <f aca="false">Sens!F3121*(1+dps_g)</f>
        <v>4.158</v>
      </c>
      <c r="H3121" s="8" t="n">
        <f aca="false">Sens!G3121*(1+dps_g)</f>
        <v>4.49064</v>
      </c>
      <c r="I3121" s="8" t="n">
        <f aca="false">Sens!H3121*(1+dps_g)</f>
        <v>4.8498912</v>
      </c>
      <c r="J3121" s="8" t="n">
        <f aca="false">Sens!I3121*(1+dps_g)</f>
        <v>5.237882496</v>
      </c>
      <c r="K3121" s="8" t="n">
        <f aca="false">Sens!J3121*(1+dps_g)</f>
        <v>5.65691309568</v>
      </c>
    </row>
    <row r="3122" customFormat="false" ht="17.15" hidden="false" customHeight="false" outlineLevel="0" collapsed="false">
      <c r="A3122" s="1" t="s">
        <v>1123</v>
      </c>
      <c r="B3122" s="0" t="s">
        <v>98</v>
      </c>
      <c r="E3122" s="6" t="n">
        <f aca="false">Q!M41</f>
        <v>26.445</v>
      </c>
      <c r="F3122" s="6" t="n">
        <f aca="false">Sens!F3121*Sens!E3131</f>
        <v>28.59395</v>
      </c>
      <c r="G3122" s="6" t="n">
        <f aca="false">Sens!G3121*Sens!F3131</f>
        <v>31.068576</v>
      </c>
      <c r="H3122" s="6" t="n">
        <f aca="false">Sens!H3121*Sens!G3131</f>
        <v>33.6285050724794</v>
      </c>
      <c r="I3122" s="6" t="n">
        <f aca="false">Sens!I3121*Sens!H3131</f>
        <v>36.3692237553504</v>
      </c>
      <c r="J3122" s="6" t="n">
        <f aca="false">Sens!J3121*Sens!I3131</f>
        <v>39.3466595411711</v>
      </c>
      <c r="K3122" s="6" t="n">
        <f aca="false">Sens!K3121*Sens!J3131</f>
        <v>42.581146566843</v>
      </c>
      <c r="L3122" s="1" t="s">
        <v>1124</v>
      </c>
    </row>
    <row r="3123" customFormat="false" ht="15" hidden="false" customHeight="false" outlineLevel="0" collapsed="false">
      <c r="A3123" s="1" t="s">
        <v>1125</v>
      </c>
      <c r="B3123" s="0" t="s">
        <v>98</v>
      </c>
      <c r="E3123" s="6" t="n">
        <f aca="false">Sens!E3120-Sens!E3122</f>
        <v>37.441</v>
      </c>
      <c r="F3123" s="6" t="n">
        <f aca="false">Sens!F3120-Sens!F3122</f>
        <v>-20.5291131467736</v>
      </c>
      <c r="G3123" s="6" t="n">
        <f aca="false">Sens!G3120-Sens!G3122</f>
        <v>16.9395794041292</v>
      </c>
      <c r="H3123" s="6" t="n">
        <f aca="false">Sens!H3120-Sens!H3122</f>
        <v>39.8461580226113</v>
      </c>
      <c r="I3123" s="6" t="n">
        <f aca="false">Sens!I3120-Sens!I3122</f>
        <v>92.156127916065</v>
      </c>
      <c r="J3123" s="6" t="n">
        <f aca="false">Sens!J3120-Sens!J3122</f>
        <v>147.447838141817</v>
      </c>
      <c r="K3123" s="6" t="n">
        <f aca="false">Sens!K3120-Sens!K3122</f>
        <v>173.338413556328</v>
      </c>
    </row>
    <row r="3124" customFormat="false" ht="15" hidden="false" customHeight="false" outlineLevel="0" collapsed="false">
      <c r="A3124" s="1" t="s">
        <v>1126</v>
      </c>
      <c r="B3124" s="0" t="s">
        <v>98</v>
      </c>
      <c r="F3124" s="6" t="n">
        <f aca="false">debt_mat_27</f>
        <v>9.25</v>
      </c>
      <c r="G3124" s="6" t="n">
        <f aca="false">debt_mat_28</f>
        <v>0</v>
      </c>
      <c r="H3124" s="6" t="n">
        <f aca="false">debt_mat_29</f>
        <v>2.001</v>
      </c>
      <c r="I3124" s="6" t="n">
        <f aca="false">debt_mat_30</f>
        <v>0</v>
      </c>
      <c r="J3124" s="6" t="n">
        <f aca="false">debt_mat_31</f>
        <v>0.5</v>
      </c>
      <c r="K3124" s="6" t="n">
        <f aca="false">debt_mat_32</f>
        <v>0</v>
      </c>
    </row>
    <row r="3125" customFormat="false" ht="15" hidden="false" customHeight="false" outlineLevel="0" collapsed="false">
      <c r="A3125" s="1" t="s">
        <v>1127</v>
      </c>
      <c r="B3125" s="0" t="s">
        <v>98</v>
      </c>
      <c r="E3125" s="6" t="n">
        <f aca="false">Q!M40</f>
        <v>22.271</v>
      </c>
      <c r="F3125" s="6" t="n">
        <f aca="false">MAX(0,MIN(bb_target,Sens!E3127+Sens!F3123-Sens!F3124-min_cash))</f>
        <v>0</v>
      </c>
      <c r="G3125" s="6" t="n">
        <f aca="false">MAX(0,MIN(bb_target,Sens!F3127+Sens!G3123-Sens!G3124-min_cash))</f>
        <v>16.9395794041292</v>
      </c>
      <c r="H3125" s="6" t="n">
        <f aca="false">MAX(0,MIN(bb_target,Sens!G3127+Sens!H3123-Sens!H3124-min_cash))</f>
        <v>22.271</v>
      </c>
      <c r="I3125" s="6" t="n">
        <f aca="false">MAX(0,MIN(bb_target,Sens!H3127+Sens!I3123-Sens!I3124-min_cash))</f>
        <v>22.271</v>
      </c>
      <c r="J3125" s="6" t="n">
        <f aca="false">MAX(0,MIN(bb_target,Sens!I3127+Sens!J3123-Sens!J3124-min_cash))</f>
        <v>22.271</v>
      </c>
      <c r="K3125" s="6" t="n">
        <f aca="false">MAX(0,MIN(bb_target,Sens!J3127+Sens!K3123-Sens!K3124-min_cash))</f>
        <v>22.271</v>
      </c>
    </row>
    <row r="3126" customFormat="false" ht="15" hidden="false" customHeight="false" outlineLevel="0" collapsed="false">
      <c r="A3126" s="1" t="s">
        <v>1128</v>
      </c>
      <c r="B3126" s="0" t="s">
        <v>98</v>
      </c>
      <c r="F3126" s="6" t="n">
        <f aca="false">MAX(0,min_cash-(Sens!E3127+Sens!F3123-Sens!F3124-Sens!F3125))</f>
        <v>2.93611314677359</v>
      </c>
      <c r="G3126" s="6" t="n">
        <f aca="false">MAX(0,min_cash-(Sens!F3127+Sens!G3123-Sens!G3124-Sens!G3125))</f>
        <v>0</v>
      </c>
      <c r="H3126" s="6" t="n">
        <f aca="false">MAX(0,min_cash-(Sens!G3127+Sens!H3123-Sens!H3124-Sens!H3125))</f>
        <v>0</v>
      </c>
      <c r="I3126" s="6" t="n">
        <f aca="false">MAX(0,min_cash-(Sens!H3127+Sens!I3123-Sens!I3124-Sens!I3125))</f>
        <v>0</v>
      </c>
      <c r="J3126" s="6" t="n">
        <f aca="false">MAX(0,min_cash-(Sens!I3127+Sens!J3123-Sens!J3124-Sens!J3125))</f>
        <v>0</v>
      </c>
      <c r="K3126" s="6" t="n">
        <f aca="false">MAX(0,min_cash-(Sens!J3127+Sens!K3123-Sens!K3124-Sens!K3125))</f>
        <v>0</v>
      </c>
    </row>
    <row r="3127" customFormat="false" ht="15" hidden="false" customHeight="false" outlineLevel="0" collapsed="false">
      <c r="A3127" s="1" t="s">
        <v>1129</v>
      </c>
      <c r="B3127" s="0" t="s">
        <v>98</v>
      </c>
      <c r="E3127" s="6" t="n">
        <f aca="false">cash_open</f>
        <v>76.843</v>
      </c>
      <c r="F3127" s="6" t="n">
        <f aca="false">Sens!E3127+Sens!F3123-Sens!F3124-Sens!F3125+Sens!F3126</f>
        <v>50</v>
      </c>
      <c r="G3127" s="6" t="n">
        <f aca="false">Sens!F3127+Sens!G3123-Sens!G3124-Sens!G3125+Sens!G3126</f>
        <v>50</v>
      </c>
      <c r="H3127" s="6" t="n">
        <f aca="false">Sens!G3127+Sens!H3123-Sens!H3124-Sens!H3125+Sens!H3126</f>
        <v>65.5741580226113</v>
      </c>
      <c r="I3127" s="6" t="n">
        <f aca="false">Sens!H3127+Sens!I3123-Sens!I3124-Sens!I3125+Sens!I3126</f>
        <v>135.459285938676</v>
      </c>
      <c r="J3127" s="6" t="n">
        <f aca="false">Sens!I3127+Sens!J3123-Sens!J3124-Sens!J3125+Sens!J3126</f>
        <v>260.136124080493</v>
      </c>
      <c r="K3127" s="6" t="n">
        <f aca="false">Sens!J3127+Sens!K3123-Sens!K3124-Sens!K3125+Sens!K3126</f>
        <v>411.203537636821</v>
      </c>
    </row>
    <row r="3128" customFormat="false" ht="15" hidden="false" customHeight="false" outlineLevel="0" collapsed="false">
      <c r="A3128" s="1" t="s">
        <v>1130</v>
      </c>
      <c r="B3128" s="0" t="s">
        <v>98</v>
      </c>
      <c r="E3128" s="6" t="n">
        <f aca="false">debt_face</f>
        <v>46.136</v>
      </c>
      <c r="F3128" s="6" t="n">
        <f aca="false">Sens!E3128-Sens!F3124+Sens!F3126</f>
        <v>39.8221131467736</v>
      </c>
      <c r="G3128" s="6" t="n">
        <f aca="false">Sens!F3128-Sens!G3124+Sens!G3126</f>
        <v>39.8221131467736</v>
      </c>
      <c r="H3128" s="6" t="n">
        <f aca="false">Sens!G3128-Sens!H3124+Sens!H3126</f>
        <v>37.8211131467736</v>
      </c>
      <c r="I3128" s="6" t="n">
        <f aca="false">Sens!H3128-Sens!I3124+Sens!I3126</f>
        <v>37.8211131467736</v>
      </c>
      <c r="J3128" s="6" t="n">
        <f aca="false">Sens!I3128-Sens!J3124+Sens!J3126</f>
        <v>37.3211131467736</v>
      </c>
      <c r="K3128" s="6" t="n">
        <f aca="false">Sens!J3128-Sens!K3124+Sens!K3126</f>
        <v>37.3211131467736</v>
      </c>
    </row>
    <row r="3129" customFormat="false" ht="15" hidden="false" customHeight="false" outlineLevel="0" collapsed="false">
      <c r="A3129" s="1" t="s">
        <v>1131</v>
      </c>
      <c r="B3129" s="0" t="s">
        <v>98</v>
      </c>
      <c r="E3129" s="6" t="n">
        <f aca="false">Sens!E3127-Sens!E3128</f>
        <v>30.707</v>
      </c>
      <c r="F3129" s="6" t="n">
        <f aca="false">Sens!F3127-Sens!F3128</f>
        <v>10.1778868532264</v>
      </c>
      <c r="G3129" s="6" t="n">
        <f aca="false">Sens!G3127-Sens!G3128</f>
        <v>10.1778868532264</v>
      </c>
      <c r="H3129" s="6" t="n">
        <f aca="false">Sens!H3127-Sens!H3128</f>
        <v>27.7530448758377</v>
      </c>
      <c r="I3129" s="6" t="n">
        <f aca="false">Sens!I3127-Sens!I3128</f>
        <v>97.6381727919028</v>
      </c>
      <c r="J3129" s="6" t="n">
        <f aca="false">Sens!J3127-Sens!J3128</f>
        <v>222.81501093372</v>
      </c>
      <c r="K3129" s="6" t="n">
        <f aca="false">Sens!K3127-Sens!K3128</f>
        <v>373.882424490047</v>
      </c>
    </row>
    <row r="3130" customFormat="false" ht="15" hidden="false" customHeight="false" outlineLevel="0" collapsed="false">
      <c r="A3130" s="1" t="s">
        <v>1132</v>
      </c>
      <c r="B3130" s="0" t="s">
        <v>75</v>
      </c>
      <c r="F3130" s="30" t="n">
        <f aca="false">px*(1+bb_g)^(Sens!F2988-base_fy-mid_yr)</f>
        <v>551.84177959629</v>
      </c>
      <c r="G3130" s="30" t="n">
        <f aca="false">px*(1+bb_g)^(Sens!G2988-base_fy-mid_yr)</f>
        <v>595.989121963993</v>
      </c>
      <c r="H3130" s="30" t="n">
        <f aca="false">px*(1+bb_g)^(Sens!H2988-base_fy-mid_yr)</f>
        <v>643.668251721112</v>
      </c>
      <c r="I3130" s="30" t="n">
        <f aca="false">px*(1+bb_g)^(Sens!I2988-base_fy-mid_yr)</f>
        <v>695.161711858801</v>
      </c>
      <c r="J3130" s="30" t="n">
        <f aca="false">px*(1+bb_g)^(Sens!J2988-base_fy-mid_yr)</f>
        <v>750.774648807506</v>
      </c>
      <c r="K3130" s="30" t="n">
        <f aca="false">px*(1+bb_g)^(Sens!K2988-base_fy-mid_yr)</f>
        <v>810.836620712106</v>
      </c>
    </row>
    <row r="3131" customFormat="false" ht="15" hidden="false" customHeight="false" outlineLevel="0" collapsed="false">
      <c r="A3131" s="1" t="s">
        <v>1133</v>
      </c>
      <c r="B3131" s="1" t="s">
        <v>81</v>
      </c>
      <c r="E3131" s="15" t="n">
        <f aca="false">sh_out26</f>
        <v>7.427</v>
      </c>
      <c r="F3131" s="15" t="n">
        <f aca="false">Sens!E3131+sh_iss-Sens!F3125/Sens!F3130</f>
        <v>7.472</v>
      </c>
      <c r="G3131" s="15" t="n">
        <f aca="false">Sens!F3131+sh_iss-Sens!G3125/Sens!G3130</f>
        <v>7.48857736814339</v>
      </c>
      <c r="H3131" s="15" t="n">
        <f aca="false">Sens!G3131+sh_iss-Sens!H3125/Sens!H3130</f>
        <v>7.49897724620099</v>
      </c>
      <c r="I3131" s="15" t="n">
        <f aca="false">Sens!H3131+sh_iss-Sens!I3125/Sens!I3130</f>
        <v>7.51194009625433</v>
      </c>
      <c r="J3131" s="15" t="n">
        <f aca="false">Sens!I3131+sh_iss-Sens!J3125/Sens!J3130</f>
        <v>7.52727606852593</v>
      </c>
      <c r="K3131" s="15" t="n">
        <f aca="false">Sens!J3131+sh_iss-Sens!K3125/Sens!K3130</f>
        <v>7.54480937618483</v>
      </c>
    </row>
    <row r="3132" customFormat="false" ht="15" hidden="false" customHeight="false" outlineLevel="0" collapsed="false">
      <c r="A3132" s="1" t="s">
        <v>1134</v>
      </c>
      <c r="B3132" s="1" t="s">
        <v>81</v>
      </c>
      <c r="E3132" s="15" t="n">
        <f aca="false">sh_dil26</f>
        <v>7.453</v>
      </c>
      <c r="F3132" s="15" t="n">
        <f aca="false">(Sens!E3131+Sens!F3131)/2+dil_gap</f>
        <v>7.4735</v>
      </c>
      <c r="G3132" s="15" t="n">
        <f aca="false">(Sens!F3131+Sens!G3131)/2+dil_gap</f>
        <v>7.50428868407169</v>
      </c>
      <c r="H3132" s="15" t="n">
        <f aca="false">(Sens!G3131+Sens!H3131)/2+dil_gap</f>
        <v>7.51777730717219</v>
      </c>
      <c r="I3132" s="15" t="n">
        <f aca="false">(Sens!H3131+Sens!I3131)/2+dil_gap</f>
        <v>7.52945867122766</v>
      </c>
      <c r="J3132" s="15" t="n">
        <f aca="false">(Sens!I3131+Sens!J3131)/2+dil_gap</f>
        <v>7.54360808239013</v>
      </c>
      <c r="K3132" s="15" t="n">
        <f aca="false">(Sens!J3131+Sens!K3131)/2+dil_gap</f>
        <v>7.56004272235538</v>
      </c>
    </row>
    <row r="3133" customFormat="false" ht="17.15" hidden="false" customHeight="false" outlineLevel="0" collapsed="false">
      <c r="A3133" s="1" t="s">
        <v>1135</v>
      </c>
      <c r="B3133" s="0" t="s">
        <v>98</v>
      </c>
      <c r="C3133" s="6" t="n">
        <f aca="false">SUM(Sens!F3123:J3123)</f>
        <v>275.860590337849</v>
      </c>
    </row>
    <row r="3134" customFormat="false" ht="15" hidden="false" customHeight="false" outlineLevel="0" collapsed="false">
      <c r="A3134" s="26" t="s">
        <v>1100</v>
      </c>
      <c r="B3134" s="31" t="s">
        <v>98</v>
      </c>
      <c r="C3134" s="27" t="n">
        <f aca="false">Sens!$C$3133-(Sens!F3123+Sens!G3123+Sens!H3123+Sens!I3123+Sens!J3123)</f>
        <v>0</v>
      </c>
      <c r="D3134" s="31"/>
      <c r="E3134" s="31"/>
      <c r="F3134" s="31"/>
      <c r="G3134" s="31"/>
      <c r="H3134" s="31"/>
      <c r="I3134" s="31"/>
      <c r="J3134" s="31"/>
      <c r="K3134" s="31"/>
    </row>
    <row r="3135" customFormat="false" ht="17.15" hidden="false" customHeight="false" outlineLevel="0" collapsed="false">
      <c r="A3135" s="1" t="s">
        <v>1094</v>
      </c>
      <c r="B3135" s="1" t="s">
        <v>1136</v>
      </c>
      <c r="C3135" s="33" t="str">
        <f aca="false">IF(SUM(Sens!F3126:J3126)&gt;0.05,"需要舉債 "&amp;TEXT(SUM(Sens!F3126:J3126),"0.0")&amp;" 十億美元","不需舉債")&amp;"；"&amp;IF(SUM(Sens!F3125:J3125)&lt;COUNT(Sens!F3125:J3125)*bb_target-0.05,"回購較每年 "&amp;TEXT(bb_target,"0.0")&amp;" 的目標少 "&amp;TEXT(COUNT(Sens!F3125:J3125)*bb_target-SUM(Sens!F3125:J3125),"0.0")&amp;" 十億美元（"&amp;TEXT(COUNTIF(Sens!F3125:J3125,"&lt;"&amp;(bb_target-0.05)),"0")&amp;" 年減少）","回購不減")</f>
        <v>需要舉債 2.9 十億美元；回購較每年 22.3 的目標少 27.6 十億美元（2 年減少）</v>
      </c>
    </row>
    <row r="3136" customFormat="false" ht="17.15" hidden="false" customHeight="false" outlineLevel="0" collapsed="false">
      <c r="A3136" s="3" t="s">
        <v>1689</v>
      </c>
    </row>
    <row r="3137" customFormat="false" ht="15" hidden="false" customHeight="false" outlineLevel="0" collapsed="false">
      <c r="A3137" s="4" t="s">
        <v>43</v>
      </c>
      <c r="B3137" s="4" t="s">
        <v>65</v>
      </c>
      <c r="C3137" s="23" t="s">
        <v>942</v>
      </c>
      <c r="D3137" s="23" t="s">
        <v>943</v>
      </c>
      <c r="E3137" s="23" t="s">
        <v>944</v>
      </c>
      <c r="F3137" s="23" t="s">
        <v>945</v>
      </c>
      <c r="G3137" s="23" t="s">
        <v>946</v>
      </c>
      <c r="H3137" s="23" t="s">
        <v>947</v>
      </c>
      <c r="I3137" s="23" t="s">
        <v>948</v>
      </c>
      <c r="J3137" s="23" t="s">
        <v>949</v>
      </c>
      <c r="K3137" s="23" t="s">
        <v>950</v>
      </c>
      <c r="L3137" s="4" t="s">
        <v>47</v>
      </c>
    </row>
    <row r="3138" customFormat="false" ht="17.15" hidden="false" customHeight="false" outlineLevel="0" collapsed="false">
      <c r="A3138" s="1" t="s">
        <v>1216</v>
      </c>
      <c r="B3138" s="1" t="s">
        <v>279</v>
      </c>
      <c r="F3138" s="8" t="n">
        <f aca="false">(1-v_off)*mid_yr</f>
        <v>0.373972602739726</v>
      </c>
      <c r="G3138" s="8" t="n">
        <f aca="false">Sens!G2988-base_fy-mid_yr-v_off</f>
        <v>1.24794520547945</v>
      </c>
      <c r="H3138" s="8" t="n">
        <f aca="false">Sens!H2988-base_fy-mid_yr-v_off</f>
        <v>2.24794520547945</v>
      </c>
      <c r="I3138" s="8" t="n">
        <f aca="false">Sens!I2988-base_fy-mid_yr-v_off</f>
        <v>3.24794520547945</v>
      </c>
      <c r="J3138" s="8" t="n">
        <f aca="false">Sens!J2988-base_fy-mid_yr-v_off</f>
        <v>4.24794520547945</v>
      </c>
      <c r="K3138" s="8" t="n">
        <f aca="false">Sens!K2988-base_fy-mid_yr-v_off</f>
        <v>5.24794520547945</v>
      </c>
      <c r="L3138" s="12" t="s">
        <v>1217</v>
      </c>
    </row>
    <row r="3139" customFormat="false" ht="15" hidden="false" customHeight="false" outlineLevel="0" collapsed="false">
      <c r="A3139" s="1" t="s">
        <v>1218</v>
      </c>
      <c r="B3139" s="1" t="s">
        <v>279</v>
      </c>
      <c r="F3139" s="8" t="n">
        <f aca="false">Sens!F2988-base_fy-v_off</f>
        <v>0.747945205479452</v>
      </c>
      <c r="G3139" s="8" t="n">
        <f aca="false">Sens!G2988-base_fy-v_off</f>
        <v>1.74794520547945</v>
      </c>
      <c r="H3139" s="8" t="n">
        <f aca="false">Sens!H2988-base_fy-v_off</f>
        <v>2.74794520547945</v>
      </c>
      <c r="I3139" s="8" t="n">
        <f aca="false">Sens!I2988-base_fy-v_off</f>
        <v>3.74794520547945</v>
      </c>
      <c r="J3139" s="8" t="n">
        <f aca="false">Sens!J2988-base_fy-v_off</f>
        <v>4.74794520547945</v>
      </c>
      <c r="K3139" s="8" t="n">
        <f aca="false">Sens!K2988-base_fy-v_off</f>
        <v>5.74794520547945</v>
      </c>
    </row>
    <row r="3140" customFormat="false" ht="15" hidden="false" customHeight="false" outlineLevel="0" collapsed="false">
      <c r="A3140" s="1" t="s">
        <v>1219</v>
      </c>
      <c r="B3140" s="0" t="s">
        <v>229</v>
      </c>
      <c r="F3140" s="15" t="n">
        <f aca="false">1/(1+wacc)^Sens!F3138</f>
        <v>0.964022703286649</v>
      </c>
      <c r="G3140" s="15" t="n">
        <f aca="false">1/(1+wacc)^Sens!G3138</f>
        <v>0.884910302296739</v>
      </c>
      <c r="H3140" s="15" t="n">
        <f aca="false">1/(1+wacc)^Sens!H3138</f>
        <v>0.802322009770358</v>
      </c>
      <c r="I3140" s="15" t="n">
        <f aca="false">1/(1+wacc)^Sens!I3138</f>
        <v>0.727441646561469</v>
      </c>
      <c r="J3140" s="15" t="n">
        <f aca="false">1/(1+wacc)^Sens!J3138</f>
        <v>0.659549834988973</v>
      </c>
      <c r="K3140" s="15" t="n">
        <f aca="false">1/(1+wacc)^Sens!K3138</f>
        <v>0.597994336576966</v>
      </c>
    </row>
    <row r="3141" customFormat="false" ht="17.15" hidden="false" customHeight="false" outlineLevel="0" collapsed="false">
      <c r="A3141" s="1" t="s">
        <v>1220</v>
      </c>
      <c r="B3141" s="0" t="s">
        <v>98</v>
      </c>
      <c r="F3141" s="6" t="n">
        <f aca="false">Q!$I$35-Q!$I$39-Q!$I$43</f>
        <v>9.666</v>
      </c>
      <c r="L3141" s="12" t="s">
        <v>1221</v>
      </c>
    </row>
    <row r="3142" customFormat="false" ht="17.15" hidden="false" customHeight="false" outlineLevel="0" collapsed="false">
      <c r="A3142" s="1" t="s">
        <v>1222</v>
      </c>
      <c r="B3142" s="0" t="s">
        <v>98</v>
      </c>
      <c r="F3142" s="6" t="n">
        <f aca="false">Sens!F3113-Sens!F3110-Sens!F3117+Sens!F3095*(1-tax_f)*(1-v_off)-Sens!F3141</f>
        <v>-9.88511576052567</v>
      </c>
      <c r="G3142" s="6" t="n">
        <f aca="false">Sens!G3113-Sens!G3110-Sens!G3117+Sens!G3095*(1-tax_f)</f>
        <v>44.7228386471868</v>
      </c>
      <c r="H3142" s="6" t="n">
        <f aca="false">Sens!H3113-Sens!H3110-Sens!H3117+Sens!H3095*(1-tax_f)</f>
        <v>74.3622158977929</v>
      </c>
      <c r="I3142" s="6" t="n">
        <f aca="false">Sens!I3113-Sens!I3110-Sens!I3117+Sens!I3095*(1-tax_f)</f>
        <v>133.348208920969</v>
      </c>
      <c r="J3142" s="6" t="n">
        <f aca="false">Sens!J3113-Sens!J3110-Sens!J3117+Sens!J3095*(1-tax_f)</f>
        <v>194.135311490171</v>
      </c>
      <c r="K3142" s="6" t="n">
        <f aca="false">Sens!K3113-Sens!K3110-Sens!K3117+Sens!K3095*(1-tax_f)</f>
        <v>224.215716932731</v>
      </c>
      <c r="L3142" s="1" t="s">
        <v>1223</v>
      </c>
    </row>
    <row r="3143" customFormat="false" ht="15" hidden="false" customHeight="false" outlineLevel="0" collapsed="false">
      <c r="A3143" s="1" t="s">
        <v>1224</v>
      </c>
      <c r="B3143" s="0" t="s">
        <v>98</v>
      </c>
      <c r="F3143" s="6" t="n">
        <f aca="false">Sens!F3142*Sens!F3140</f>
        <v>-9.52947601776341</v>
      </c>
      <c r="G3143" s="6" t="n">
        <f aca="false">Sens!G3142*Sens!G3140</f>
        <v>39.5757006668503</v>
      </c>
      <c r="H3143" s="6" t="n">
        <f aca="false">Sens!H3142*Sens!H3140</f>
        <v>59.6624425100945</v>
      </c>
      <c r="I3143" s="6" t="n">
        <f aca="false">Sens!I3142*Sens!I3140</f>
        <v>97.0030406634925</v>
      </c>
      <c r="J3143" s="6" t="n">
        <f aca="false">Sens!J3142*Sens!J3140</f>
        <v>128.041912658875</v>
      </c>
      <c r="K3143" s="6" t="n">
        <f aca="false">Sens!K3142*Sens!K3140</f>
        <v>134.079728897317</v>
      </c>
    </row>
    <row r="3144" customFormat="false" ht="17.15" hidden="false" customHeight="false" outlineLevel="0" collapsed="false">
      <c r="A3144" s="1" t="s">
        <v>1225</v>
      </c>
      <c r="B3144" s="0" t="s">
        <v>98</v>
      </c>
      <c r="C3144" s="6" t="n">
        <f aca="false">SUM(Sens!F3143:K3143)</f>
        <v>448.833349378866</v>
      </c>
    </row>
    <row r="3145" customFormat="false" ht="17.15" hidden="false" customHeight="false" outlineLevel="0" collapsed="false">
      <c r="A3145" s="1" t="s">
        <v>1226</v>
      </c>
      <c r="B3145" s="0" t="s">
        <v>98</v>
      </c>
      <c r="C3145" s="6" t="n">
        <f aca="false">Sens!K3081*(1+g_tv)*(1-tax_f)</f>
        <v>234.497272570556</v>
      </c>
    </row>
    <row r="3146" customFormat="false" ht="17.15" hidden="false" customHeight="false" outlineLevel="0" collapsed="false">
      <c r="A3146" s="1" t="s">
        <v>1227</v>
      </c>
      <c r="B3146" s="0" t="s">
        <v>98</v>
      </c>
      <c r="C3146" s="6" t="n">
        <f aca="false">Sens!$C$3145*(1-g_tv/(wacc+ronic_prem))</f>
        <v>166.155023109092</v>
      </c>
    </row>
    <row r="3147" customFormat="false" ht="17.15" hidden="false" customHeight="false" outlineLevel="0" collapsed="false">
      <c r="A3147" s="1" t="s">
        <v>1228</v>
      </c>
      <c r="B3147" s="0" t="s">
        <v>98</v>
      </c>
      <c r="C3147" s="6" t="n">
        <f aca="false">Sens!$C$3146/(wacc-g_tv)</f>
        <v>2278.0749820488</v>
      </c>
    </row>
    <row r="3148" customFormat="false" ht="15" hidden="false" customHeight="false" outlineLevel="0" collapsed="false">
      <c r="A3148" s="1" t="s">
        <v>1229</v>
      </c>
      <c r="B3148" s="0" t="s">
        <v>98</v>
      </c>
      <c r="C3148" s="6" t="n">
        <f aca="false">Sens!$C$3147/(1+wacc)^Sens!K3139</f>
        <v>1297.14884421613</v>
      </c>
    </row>
    <row r="3149" customFormat="false" ht="17.15" hidden="false" customHeight="false" outlineLevel="0" collapsed="false">
      <c r="A3149" s="0" t="s">
        <v>1230</v>
      </c>
      <c r="B3149" s="0" t="s">
        <v>98</v>
      </c>
      <c r="C3149" s="6" t="n">
        <f aca="false">Sens!$C$3144+Sens!$C$3148</f>
        <v>1745.98219359499</v>
      </c>
    </row>
    <row r="3150" customFormat="false" ht="15" hidden="false" customHeight="false" outlineLevel="0" collapsed="false">
      <c r="A3150" s="1" t="s">
        <v>1145</v>
      </c>
      <c r="B3150" s="0" t="s">
        <v>168</v>
      </c>
      <c r="C3150" s="7" t="n">
        <f aca="false">Sens!$C$3148/Sens!$C$3149</f>
        <v>0.742933604348671</v>
      </c>
    </row>
    <row r="3151" customFormat="false" ht="17.15" hidden="false" customHeight="false" outlineLevel="0" collapsed="false">
      <c r="A3151" s="1" t="s">
        <v>1231</v>
      </c>
      <c r="B3151" s="0" t="s">
        <v>98</v>
      </c>
      <c r="C3151" s="6" t="n">
        <f aca="false">Sens!$C$3149+cash_val-debt_val-fl_val+oai_v</f>
        <v>1861.83319359499</v>
      </c>
    </row>
    <row r="3152" customFormat="false" ht="17.15" hidden="false" customHeight="false" outlineLevel="0" collapsed="false">
      <c r="A3152" s="0" t="s">
        <v>1153</v>
      </c>
      <c r="B3152" s="0" t="s">
        <v>75</v>
      </c>
      <c r="C3152" s="5" t="n">
        <f aca="false">Sens!$C$3151/shd_val</f>
        <v>250.044747998253</v>
      </c>
    </row>
    <row r="3153" customFormat="false" ht="15" hidden="false" customHeight="false" outlineLevel="0" collapsed="false">
      <c r="A3153" s="1" t="s">
        <v>1232</v>
      </c>
      <c r="B3153" s="0" t="s">
        <v>75</v>
      </c>
      <c r="C3153" s="8" t="n">
        <f aca="false">div_rem27+Sens!G3121*roll_div_q/q_per_yr</f>
        <v>3.9795</v>
      </c>
    </row>
    <row r="3154" customFormat="false" ht="17.15" hidden="false" customHeight="false" outlineLevel="0" collapsed="false">
      <c r="A3154" s="0" t="s">
        <v>1233</v>
      </c>
      <c r="B3154" s="0" t="s">
        <v>75</v>
      </c>
      <c r="C3154" s="5" t="n">
        <f aca="false">Sens!$C$3152*(1+wacc)^t_roll-Sens!$C$3153</f>
        <v>273.959192583432</v>
      </c>
    </row>
    <row r="3155" customFormat="false" ht="17.15" hidden="false" customHeight="false" outlineLevel="0" collapsed="false">
      <c r="A3155" s="1" t="s">
        <v>1234</v>
      </c>
      <c r="B3155" s="0" t="s">
        <v>168</v>
      </c>
      <c r="F3155" s="7" t="n">
        <f aca="false">Sens!F3107/(Sens!F3052-Sens!F3007)</f>
        <v>0.0870083411205277</v>
      </c>
      <c r="G3155" s="7" t="n">
        <f aca="false">Sens!G3107/(Sens!G3052-Sens!G3007)</f>
        <v>0.0811375747507143</v>
      </c>
      <c r="H3155" s="7" t="n">
        <f aca="false">Sens!H3107/(Sens!H3052-Sens!H3007)</f>
        <v>0.0772267077804502</v>
      </c>
      <c r="I3155" s="7" t="n">
        <f aca="false">Sens!I3107/(Sens!I3052-Sens!I3007)</f>
        <v>0.0749833471019589</v>
      </c>
      <c r="J3155" s="7" t="n">
        <f aca="false">Sens!J3107/(Sens!J3052-Sens!J3007)</f>
        <v>0.0740516824457303</v>
      </c>
      <c r="K3155" s="7" t="n">
        <f aca="false">Sens!K3107/(Sens!K3052-Sens!K3007)</f>
        <v>0.0740786858733075</v>
      </c>
    </row>
    <row r="3156" customFormat="false" ht="17.15" hidden="false" customHeight="false" outlineLevel="0" collapsed="false">
      <c r="A3156" s="0" t="s">
        <v>1235</v>
      </c>
      <c r="B3156" s="0" t="s">
        <v>98</v>
      </c>
      <c r="F3156" s="6" t="n">
        <f aca="false">Sens!F3037*(al_m365+Sens!F3155+sbc_r)</f>
        <v>85.0712782867345</v>
      </c>
      <c r="G3156" s="6" t="n">
        <f aca="false">Sens!G3037*(al_m365+Sens!G3155+sbc_r)</f>
        <v>95.2724397185981</v>
      </c>
      <c r="H3156" s="6" t="n">
        <f aca="false">Sens!H3037*(al_m365+Sens!H3155+sbc_r)</f>
        <v>105.643415984624</v>
      </c>
      <c r="I3156" s="6" t="n">
        <f aca="false">Sens!I3037*(al_m365+Sens!I3155+sbc_r)</f>
        <v>115.507048195348</v>
      </c>
      <c r="J3156" s="6" t="n">
        <f aca="false">Sens!J3037*(al_m365+Sens!J3155+sbc_r)</f>
        <v>124.678377310812</v>
      </c>
      <c r="K3156" s="6" t="n">
        <f aca="false">Sens!K3037*(al_m365+Sens!K3155+sbc_r)</f>
        <v>133.469622873316</v>
      </c>
      <c r="L3156" s="12" t="s">
        <v>1236</v>
      </c>
    </row>
    <row r="3157" customFormat="false" ht="17.15" hidden="false" customHeight="false" outlineLevel="0" collapsed="false">
      <c r="A3157" s="0" t="s">
        <v>1237</v>
      </c>
      <c r="B3157" s="0" t="s">
        <v>98</v>
      </c>
      <c r="F3157" s="6" t="n">
        <f aca="false">Sens!F3038*(al_lic+Sens!F3155+sbc_r)</f>
        <v>33.5636214610638</v>
      </c>
      <c r="G3157" s="6" t="n">
        <f aca="false">Sens!G3038*(al_lic+Sens!G3155+sbc_r)</f>
        <v>34.7499565808918</v>
      </c>
      <c r="H3157" s="6" t="n">
        <f aca="false">Sens!H3038*(al_lic+Sens!H3155+sbc_r)</f>
        <v>35.8650753136171</v>
      </c>
      <c r="I3157" s="6" t="n">
        <f aca="false">Sens!I3038*(al_lic+Sens!I3155+sbc_r)</f>
        <v>36.8871083839703</v>
      </c>
      <c r="J3157" s="6" t="n">
        <f aca="false">Sens!J3038*(al_lic+Sens!J3155+sbc_r)</f>
        <v>37.7900336350908</v>
      </c>
      <c r="K3157" s="6" t="n">
        <f aca="false">Sens!K3038*(al_lic+Sens!K3155+sbc_r)</f>
        <v>38.5470426061888</v>
      </c>
    </row>
    <row r="3158" customFormat="false" ht="17.15" hidden="false" customHeight="false" outlineLevel="0" collapsed="false">
      <c r="A3158" s="0" t="s">
        <v>1238</v>
      </c>
      <c r="B3158" s="0" t="s">
        <v>98</v>
      </c>
      <c r="F3158" s="6" t="n">
        <f aca="false">Sens!F3040*(al_ind+Sens!F3155+sbc_r)</f>
        <v>9.47078420133992</v>
      </c>
      <c r="G3158" s="6" t="n">
        <f aca="false">Sens!G3040*(al_ind+Sens!G3155+sbc_r)</f>
        <v>10.2095272729933</v>
      </c>
      <c r="H3158" s="6" t="n">
        <f aca="false">Sens!H3040*(al_ind+Sens!H3155+sbc_r)</f>
        <v>10.997521600597</v>
      </c>
      <c r="I3158" s="6" t="n">
        <f aca="false">Sens!I3040*(al_ind+Sens!I3155+sbc_r)</f>
        <v>11.8301424897968</v>
      </c>
      <c r="J3158" s="6" t="n">
        <f aca="false">Sens!J3040*(al_ind+Sens!J3155+sbc_r)</f>
        <v>12.6978887995857</v>
      </c>
      <c r="K3158" s="6" t="n">
        <f aca="false">Sens!K3040*(al_ind+Sens!K3155+sbc_r)</f>
        <v>13.5876327462779</v>
      </c>
    </row>
    <row r="3159" customFormat="false" ht="17.15" hidden="false" customHeight="false" outlineLevel="0" collapsed="false">
      <c r="A3159" s="0" t="s">
        <v>1239</v>
      </c>
      <c r="B3159" s="0" t="s">
        <v>98</v>
      </c>
      <c r="F3159" s="6" t="n">
        <f aca="false">Sens!F3042*(al_fro+Sens!F3155+sbc_r)</f>
        <v>3.71499969773646</v>
      </c>
      <c r="G3159" s="6" t="n">
        <f aca="false">Sens!G3042*(al_fro+Sens!G3155+sbc_r)</f>
        <v>3.90646435518667</v>
      </c>
      <c r="H3159" s="6" t="n">
        <f aca="false">Sens!H3042*(al_fro+Sens!H3155+sbc_r)</f>
        <v>4.13008551916894</v>
      </c>
      <c r="I3159" s="6" t="n">
        <f aca="false">Sens!I3042*(al_fro+Sens!I3155+sbc_r)</f>
        <v>4.38765761423188</v>
      </c>
      <c r="J3159" s="6" t="n">
        <f aca="false">Sens!J3042*(al_fro+Sens!J3155+sbc_r)</f>
        <v>4.68012480337285</v>
      </c>
      <c r="K3159" s="6" t="n">
        <f aca="false">Sens!K3042*(al_fro+Sens!K3155+sbc_r)</f>
        <v>5.00806220929033</v>
      </c>
    </row>
    <row r="3160" customFormat="false" ht="17.15" hidden="false" customHeight="false" outlineLevel="0" collapsed="false">
      <c r="A3160" s="0" t="s">
        <v>1240</v>
      </c>
      <c r="B3160" s="0" t="s">
        <v>98</v>
      </c>
      <c r="F3160" s="6" t="n">
        <f aca="false">Sens!F3045*(al_srch+Sens!F3155+sbc_r)</f>
        <v>11.6958700142985</v>
      </c>
      <c r="G3160" s="6" t="n">
        <f aca="false">Sens!G3045*(al_srch+Sens!G3155+sbc_r)</f>
        <v>12.7271379571971</v>
      </c>
      <c r="H3160" s="6" t="n">
        <f aca="false">Sens!H3045*(al_srch+Sens!H3155+sbc_r)</f>
        <v>13.8069784183249</v>
      </c>
      <c r="I3160" s="6" t="n">
        <f aca="false">Sens!I3045*(al_srch+Sens!I3155+sbc_r)</f>
        <v>14.9231205709813</v>
      </c>
      <c r="J3160" s="6" t="n">
        <f aca="false">Sens!J3045*(al_srch+Sens!J3155+sbc_r)</f>
        <v>16.0561307365457</v>
      </c>
      <c r="K3160" s="6" t="n">
        <f aca="false">Sens!K3045*(al_srch+Sens!K3155+sbc_r)</f>
        <v>17.181187457046</v>
      </c>
    </row>
    <row r="3161" customFormat="false" ht="17.15" hidden="false" customHeight="false" outlineLevel="0" collapsed="false">
      <c r="A3161" s="0" t="s">
        <v>1241</v>
      </c>
      <c r="B3161" s="0" t="s">
        <v>98</v>
      </c>
      <c r="F3161" s="6" t="n">
        <f aca="false">Sens!F3013-Sens!F3014+Sens!F3095</f>
        <v>35.6401718459855</v>
      </c>
      <c r="G3161" s="6" t="n">
        <f aca="false">Sens!G3013-Sens!G3014+Sens!G3095</f>
        <v>59.0257993789225</v>
      </c>
      <c r="H3161" s="6" t="n">
        <f aca="false">Sens!H3013-Sens!H3014+Sens!H3095</f>
        <v>78.6447662284645</v>
      </c>
      <c r="I3161" s="6" t="n">
        <f aca="false">Sens!I3013-Sens!I3014+Sens!I3095</f>
        <v>102.635483275158</v>
      </c>
      <c r="J3161" s="6" t="n">
        <f aca="false">Sens!J3013-Sens!J3014+Sens!J3095</f>
        <v>119.503315875285</v>
      </c>
      <c r="K3161" s="6" t="n">
        <f aca="false">Sens!K3013-Sens!K3014+Sens!K3095</f>
        <v>129.973699177765</v>
      </c>
    </row>
    <row r="3162" customFormat="false" ht="17.15" hidden="false" customHeight="false" outlineLevel="0" collapsed="false">
      <c r="A3162" s="0" t="s">
        <v>1242</v>
      </c>
      <c r="B3162" s="0" t="s">
        <v>98</v>
      </c>
      <c r="F3162" s="6" t="n">
        <f aca="false">Sens!F3074+Sens!F3095+Sens!F3025+Sens!F3155*(Sens!F3044-Sens!F3007)+sbc_r*Sens!F3044</f>
        <v>227.261849737886</v>
      </c>
      <c r="G3162" s="6" t="n">
        <f aca="false">Sens!G3074+Sens!G3095+Sens!G3025+Sens!G3155*(Sens!G3044-Sens!G3007)+sbc_r*Sens!G3044</f>
        <v>270.293587127028</v>
      </c>
      <c r="H3162" s="6" t="n">
        <f aca="false">Sens!H3074+Sens!H3095+Sens!H3025+Sens!H3155*(Sens!H3044-Sens!H3007)+sbc_r*Sens!H3044</f>
        <v>314.455433749118</v>
      </c>
      <c r="I3162" s="6" t="n">
        <f aca="false">Sens!I3074+Sens!I3095+Sens!I3025+Sens!I3155*(Sens!I3044-Sens!I3007)+sbc_r*Sens!I3044</f>
        <v>362.392538211564</v>
      </c>
      <c r="J3162" s="6" t="n">
        <f aca="false">Sens!J3074+Sens!J3095+Sens!J3025+Sens!J3155*(Sens!J3044-Sens!J3007)+sbc_r*Sens!J3044</f>
        <v>401.340965974361</v>
      </c>
      <c r="K3162" s="6" t="n">
        <f aca="false">Sens!K3074+Sens!K3095+Sens!K3025+Sens!K3155*(Sens!K3044-Sens!K3007)+sbc_r*Sens!K3044</f>
        <v>431.624867634481</v>
      </c>
    </row>
    <row r="3163" customFormat="false" ht="17.15" hidden="false" customHeight="false" outlineLevel="0" collapsed="false">
      <c r="A3163" s="0" t="s">
        <v>1243</v>
      </c>
      <c r="B3163" s="0" t="s">
        <v>98</v>
      </c>
      <c r="F3163" s="6" t="n">
        <f aca="false">Sens!F3162-Sens!F3156-Sens!F3157-Sens!F3158-Sens!F3159-Sens!F3161</f>
        <v>59.8009942450255</v>
      </c>
      <c r="G3163" s="6" t="n">
        <f aca="false">Sens!G3162-Sens!G3156-Sens!G3157-Sens!G3158-Sens!G3159-Sens!G3161</f>
        <v>67.129399820436</v>
      </c>
      <c r="H3163" s="6" t="n">
        <f aca="false">Sens!H3162-Sens!H3156-Sens!H3157-Sens!H3158-Sens!H3159-Sens!H3161</f>
        <v>79.1745691026464</v>
      </c>
      <c r="I3163" s="6" t="n">
        <f aca="false">Sens!I3162-Sens!I3156-Sens!I3157-Sens!I3158-Sens!I3159-Sens!I3161</f>
        <v>91.1450982530595</v>
      </c>
      <c r="J3163" s="6" t="n">
        <f aca="false">Sens!J3162-Sens!J3156-Sens!J3157-Sens!J3158-Sens!J3159-Sens!J3161</f>
        <v>101.991225550215</v>
      </c>
      <c r="K3163" s="6" t="n">
        <f aca="false">Sens!K3162-Sens!K3156-Sens!K3157-Sens!K3158-Sens!K3159-Sens!K3161</f>
        <v>111.038808021643</v>
      </c>
    </row>
    <row r="3164" customFormat="false" ht="17.15" hidden="false" customHeight="false" outlineLevel="0" collapsed="false">
      <c r="A3164" s="0" t="s">
        <v>1244</v>
      </c>
      <c r="B3164" s="0" t="s">
        <v>98</v>
      </c>
      <c r="F3164" s="6" t="n">
        <f aca="false">Sens!F3076+Sens!F3155*Sens!F3051+sbc_r*Sens!F3051</f>
        <v>27.8160810162392</v>
      </c>
      <c r="G3164" s="6" t="n">
        <f aca="false">Sens!G3076+Sens!G3155*Sens!G3051+sbc_r*Sens!G3051</f>
        <v>27.4863832703063</v>
      </c>
      <c r="H3164" s="6" t="n">
        <f aca="false">Sens!H3076+Sens!H3155*Sens!H3051+sbc_r*Sens!H3051</f>
        <v>28.2288842820288</v>
      </c>
      <c r="I3164" s="6" t="n">
        <f aca="false">Sens!I3076+Sens!I3155*Sens!I3051+sbc_r*Sens!I3051</f>
        <v>29.2312700891062</v>
      </c>
      <c r="J3164" s="6" t="n">
        <f aca="false">Sens!J3076+Sens!J3155*Sens!J3051+sbc_r*Sens!J3051</f>
        <v>30.4537404237709</v>
      </c>
      <c r="K3164" s="6" t="n">
        <f aca="false">Sens!K3076+Sens!K3155*Sens!K3051+sbc_r*Sens!K3051</f>
        <v>31.860332928906</v>
      </c>
    </row>
    <row r="3165" customFormat="false" ht="17.15" hidden="false" customHeight="false" outlineLevel="0" collapsed="false">
      <c r="A3165" s="0" t="s">
        <v>1245</v>
      </c>
      <c r="B3165" s="0" t="s">
        <v>98</v>
      </c>
      <c r="F3165" s="6" t="n">
        <f aca="false">(Sens!F3164-Sens!F3160)*Sens!F3047/(Sens!F3047+Sens!F3049)</f>
        <v>9.10446172915315</v>
      </c>
      <c r="G3165" s="6" t="n">
        <f aca="false">(Sens!G3164-Sens!G3160)*Sens!G3047/(Sens!G3047+Sens!G3049)</f>
        <v>8.19254642268453</v>
      </c>
      <c r="H3165" s="6" t="n">
        <f aca="false">(Sens!H3164-Sens!H3160)*Sens!H3047/(Sens!H3047+Sens!H3049)</f>
        <v>7.90101108490113</v>
      </c>
      <c r="I3165" s="6" t="n">
        <f aca="false">(Sens!I3164-Sens!I3160)*Sens!I3047/(Sens!I3047+Sens!I3049)</f>
        <v>7.77027026391555</v>
      </c>
      <c r="J3165" s="6" t="n">
        <f aca="false">(Sens!J3164-Sens!J3160)*Sens!J3047/(Sens!J3047+Sens!J3049)</f>
        <v>7.78473975887631</v>
      </c>
      <c r="K3165" s="6" t="n">
        <f aca="false">(Sens!K3164-Sens!K3160)*Sens!K3047/(Sens!K3047+Sens!K3049)</f>
        <v>7.93696522295022</v>
      </c>
    </row>
    <row r="3166" customFormat="false" ht="17.15" hidden="false" customHeight="false" outlineLevel="0" collapsed="false">
      <c r="A3166" s="0" t="s">
        <v>1246</v>
      </c>
      <c r="B3166" s="0" t="s">
        <v>98</v>
      </c>
      <c r="F3166" s="6" t="n">
        <f aca="false">Sens!F3164-Sens!F3160-Sens!F3165</f>
        <v>7.01574927278756</v>
      </c>
      <c r="G3166" s="6" t="n">
        <f aca="false">Sens!G3164-Sens!G3160-Sens!G3165</f>
        <v>6.5666988904247</v>
      </c>
      <c r="H3166" s="6" t="n">
        <f aca="false">Sens!H3164-Sens!H3160-Sens!H3165</f>
        <v>6.52089477880276</v>
      </c>
      <c r="I3166" s="6" t="n">
        <f aca="false">Sens!I3164-Sens!I3160-Sens!I3165</f>
        <v>6.53787925420939</v>
      </c>
      <c r="J3166" s="6" t="n">
        <f aca="false">Sens!J3164-Sens!J3160-Sens!J3165</f>
        <v>6.61286992834893</v>
      </c>
      <c r="K3166" s="6" t="n">
        <f aca="false">Sens!K3164-Sens!K3160-Sens!K3165</f>
        <v>6.74218024890981</v>
      </c>
    </row>
    <row r="3167" customFormat="false" ht="17.15" hidden="false" customHeight="false" outlineLevel="0" collapsed="false">
      <c r="A3167" s="0" t="s">
        <v>1247</v>
      </c>
      <c r="B3167" s="0" t="s">
        <v>98</v>
      </c>
      <c r="F3167" s="6" t="n">
        <f aca="false">Sens!F3161-tax_f*(Sens!F3161-Sens!F3025)-Sens!F3022</f>
        <v>-100.718295440371</v>
      </c>
      <c r="G3167" s="6" t="n">
        <f aca="false">Sens!G3161-tax_f*(Sens!G3161-Sens!G3025)-Sens!G3022</f>
        <v>-96.6174225117327</v>
      </c>
      <c r="H3167" s="6" t="n">
        <f aca="false">Sens!H3161-tax_f*(Sens!H3161-Sens!H3025)-Sens!H3022</f>
        <v>-80.272975763007</v>
      </c>
      <c r="I3167" s="6" t="n">
        <f aca="false">Sens!I3161-tax_f*(Sens!I3161-Sens!I3025)-Sens!I3022</f>
        <v>-34.5065187260342</v>
      </c>
      <c r="J3167" s="6" t="n">
        <f aca="false">Sens!J3161-tax_f*(Sens!J3161-Sens!J3025)-Sens!J3022</f>
        <v>13.5812154314106</v>
      </c>
      <c r="K3167" s="6" t="n">
        <f aca="false">Sens!K3161-tax_f*(Sens!K3161-Sens!K3025)-Sens!K3022</f>
        <v>31.6907040185754</v>
      </c>
    </row>
    <row r="3168" customFormat="false" ht="17.15" hidden="false" customHeight="false" outlineLevel="0" collapsed="false">
      <c r="A3168" s="0" t="s">
        <v>1248</v>
      </c>
      <c r="B3168" s="0" t="s">
        <v>98</v>
      </c>
      <c r="G3168" s="6" t="n">
        <f aca="false">Sens!G3167/(1+wacc)^(Sens!G3138-Sens!F3139)</f>
        <v>-91.9983789528344</v>
      </c>
      <c r="H3168" s="6" t="n">
        <f aca="false">Sens!H3167/(1+wacc)^(Sens!H3138-Sens!F3139)</f>
        <v>-69.3016452685421</v>
      </c>
      <c r="I3168" s="6" t="n">
        <f aca="false">Sens!I3167/(1+wacc)^(Sens!I3138-Sens!F3139)</f>
        <v>-27.0100124230551</v>
      </c>
      <c r="J3168" s="6" t="n">
        <f aca="false">Sens!J3167/(1+wacc)^(Sens!J3138-Sens!F3139)</f>
        <v>9.63855057349141</v>
      </c>
      <c r="K3168" s="6" t="n">
        <f aca="false">Sens!K3167/(1+wacc)^(Sens!K3138-Sens!F3139)</f>
        <v>20.3917470090002</v>
      </c>
      <c r="L3168" s="1" t="s">
        <v>1249</v>
      </c>
    </row>
    <row r="3169" customFormat="false" ht="17.15" hidden="false" customHeight="false" outlineLevel="0" collapsed="false">
      <c r="A3169" s="0" t="s">
        <v>1250</v>
      </c>
      <c r="B3169" s="0" t="s">
        <v>98</v>
      </c>
      <c r="C3169" s="6" t="n">
        <f aca="false">(Sens!K3161-Sens!K3025)*(1-tax_f)*(1+g_tv)*(1-g_tv/(wacc+ronic_prem))/(wacc-g_tv)/(1+wacc)^(Sens!K3139-Sens!F3139)</f>
        <v>76.333249048211</v>
      </c>
    </row>
    <row r="3170" customFormat="false" ht="17.15" hidden="false" customHeight="false" outlineLevel="0" collapsed="false">
      <c r="A3170" s="1" t="s">
        <v>1251</v>
      </c>
      <c r="B3170" s="0" t="s">
        <v>98</v>
      </c>
      <c r="C3170" s="6" t="n">
        <f aca="false">(SUM(Sens!G3168:K3168)+Sens!$C$3169)*(1+wacc)^(t_roll-Sens!F3139)</f>
        <v>-84.6517914736626</v>
      </c>
      <c r="L3170" s="12" t="s">
        <v>1252</v>
      </c>
    </row>
    <row r="3171" customFormat="false" ht="17.15" hidden="false" customHeight="false" outlineLevel="0" collapsed="false">
      <c r="A3171" s="1" t="s">
        <v>1253</v>
      </c>
      <c r="B3171" s="0" t="s">
        <v>98</v>
      </c>
      <c r="C3171" s="6" t="n">
        <f aca="false">(w_ntm28*Sens!G3013+(1-w_ntm28)*Sens!H3013)*m_ai</f>
        <v>344.355829012336</v>
      </c>
    </row>
    <row r="3172" customFormat="false" ht="17.15" hidden="false" customHeight="false" outlineLevel="0" collapsed="false">
      <c r="A3172" s="1" t="s">
        <v>1254</v>
      </c>
      <c r="B3172" s="0" t="s">
        <v>98</v>
      </c>
      <c r="C3172" s="6" t="n">
        <f aca="false">(w_ntm28*Sens!G3163+(1-w_ntm28)*Sens!H3163)*m_cloud</f>
        <v>982.456274662584</v>
      </c>
    </row>
    <row r="3173" customFormat="false" ht="17.15" hidden="false" customHeight="false" outlineLevel="0" collapsed="false">
      <c r="A3173" s="1" t="s">
        <v>1255</v>
      </c>
      <c r="B3173" s="0" t="s">
        <v>98</v>
      </c>
      <c r="C3173" s="6" t="n">
        <f aca="false">(w_ntm28*Sens!G3156+(1-w_ntm28)*Sens!H3156)*m_sw</f>
        <v>1065.76641811365</v>
      </c>
    </row>
    <row r="3174" customFormat="false" ht="17.15" hidden="false" customHeight="false" outlineLevel="0" collapsed="false">
      <c r="A3174" s="1" t="s">
        <v>1256</v>
      </c>
      <c r="B3174" s="0" t="s">
        <v>98</v>
      </c>
      <c r="C3174" s="6" t="n">
        <f aca="false">(w_ntm28*Sens!G3157+(1-w_ntm28)*Sens!H3157)*m_sw</f>
        <v>379.25896635476</v>
      </c>
    </row>
    <row r="3175" customFormat="false" ht="17.15" hidden="false" customHeight="false" outlineLevel="0" collapsed="false">
      <c r="A3175" s="1" t="s">
        <v>1257</v>
      </c>
      <c r="B3175" s="0" t="s">
        <v>98</v>
      </c>
      <c r="C3175" s="6" t="n">
        <f aca="false">(w_ntm28*Sens!G3158+(1-w_ntm28)*Sens!H3158)*m_sw</f>
        <v>113.060814133463</v>
      </c>
    </row>
    <row r="3176" customFormat="false" ht="17.15" hidden="false" customHeight="false" outlineLevel="0" collapsed="false">
      <c r="A3176" s="1" t="s">
        <v>1258</v>
      </c>
      <c r="B3176" s="0" t="s">
        <v>98</v>
      </c>
      <c r="C3176" s="6" t="n">
        <f aca="false">(w_ntm28*Sens!G3159+(1-w_ntm28)*Sens!H3159)*m_sw</f>
        <v>42.9838233333339</v>
      </c>
    </row>
    <row r="3177" customFormat="false" ht="17.15" hidden="false" customHeight="false" outlineLevel="0" collapsed="false">
      <c r="A3177" s="1" t="s">
        <v>1259</v>
      </c>
      <c r="B3177" s="0" t="s">
        <v>98</v>
      </c>
      <c r="C3177" s="6" t="n">
        <f aca="false">(w_ntm28*Sens!G3160+(1-w_ntm28)*Sens!H3160)*m_ads</f>
        <v>119.178422932819</v>
      </c>
    </row>
    <row r="3178" customFormat="false" ht="17.15" hidden="false" customHeight="false" outlineLevel="0" collapsed="false">
      <c r="A3178" s="1" t="s">
        <v>1260</v>
      </c>
      <c r="B3178" s="0" t="s">
        <v>98</v>
      </c>
      <c r="C3178" s="6" t="n">
        <f aca="false">(w_ntm28*Sens!G3165+(1-w_ntm28)*Sens!H3165)*m_game</f>
        <v>102.261310748795</v>
      </c>
    </row>
    <row r="3179" customFormat="false" ht="17.15" hidden="false" customHeight="false" outlineLevel="0" collapsed="false">
      <c r="A3179" s="1" t="s">
        <v>1261</v>
      </c>
      <c r="B3179" s="0" t="s">
        <v>98</v>
      </c>
      <c r="C3179" s="6" t="n">
        <f aca="false">(w_ntm28*Sens!G3166+(1-w_ntm28)*Sens!H3166)*m_pc</f>
        <v>94.8022308638417</v>
      </c>
    </row>
    <row r="3180" customFormat="false" ht="17.15" hidden="false" customHeight="false" outlineLevel="0" collapsed="false">
      <c r="A3180" s="1" t="s">
        <v>1262</v>
      </c>
      <c r="B3180" s="0" t="s">
        <v>98</v>
      </c>
      <c r="C3180" s="6" t="n">
        <f aca="false">Sens!$C$3170+Sens!$C$3172+Sens!$C$3173+Sens!$C$3174+Sens!$C$3175+Sens!$C$3176+Sens!$C$3177+Sens!$C$3178+Sens!$C$3179</f>
        <v>2815.11646966959</v>
      </c>
    </row>
    <row r="3181" customFormat="false" ht="17.15" hidden="false" customHeight="false" outlineLevel="0" collapsed="false">
      <c r="A3181" s="1" t="s">
        <v>1263</v>
      </c>
      <c r="B3181" s="0" t="s">
        <v>98</v>
      </c>
      <c r="C3181" s="6" t="n">
        <f aca="false">(Sens!G3142-Sens!G3167)*t_stub</f>
        <v>46.8552646581624</v>
      </c>
      <c r="L3181" s="1" t="s">
        <v>1264</v>
      </c>
    </row>
    <row r="3182" customFormat="false" ht="17.15" hidden="false" customHeight="false" outlineLevel="0" collapsed="false">
      <c r="A3182" s="1" t="s">
        <v>1173</v>
      </c>
      <c r="B3182" s="0" t="s">
        <v>98</v>
      </c>
      <c r="C3182" s="6" t="n">
        <f aca="false">Sens!F3129+oai_v-Sens!F3118+Sens!$C$3181</f>
        <v>158.147421511389</v>
      </c>
      <c r="L3182" s="1" t="s">
        <v>1265</v>
      </c>
    </row>
    <row r="3183" customFormat="false" ht="17.15" hidden="false" customHeight="false" outlineLevel="0" collapsed="false">
      <c r="A3183" s="1" t="s">
        <v>1266</v>
      </c>
      <c r="B3183" s="0" t="s">
        <v>75</v>
      </c>
      <c r="C3183" s="5" t="n">
        <f aca="false">(Sens!$C$3180+Sens!$C$3182)/(Sens!F3131+dil_gap)-Sens!G3121*roll_div_q/q_per_yr</f>
        <v>395.607230413684</v>
      </c>
      <c r="L3183" s="1" t="s">
        <v>1267</v>
      </c>
    </row>
    <row r="3184" customFormat="false" ht="17.15" hidden="false" customHeight="false" outlineLevel="0" collapsed="false">
      <c r="A3184" s="1" t="s">
        <v>1268</v>
      </c>
      <c r="B3184" s="0" t="s">
        <v>75</v>
      </c>
      <c r="C3184" s="5" t="n">
        <f aca="false">w_dcf*Sens!$C$3154+(1-w_dcf)*Sens!$C$3183</f>
        <v>334.783211498558</v>
      </c>
    </row>
    <row r="3185" customFormat="false" ht="17.15" hidden="false" customHeight="false" outlineLevel="0" collapsed="false">
      <c r="A3185" s="3" t="s">
        <v>1690</v>
      </c>
    </row>
    <row r="3186" customFormat="false" ht="15" hidden="false" customHeight="false" outlineLevel="0" collapsed="false">
      <c r="A3186" s="4" t="s">
        <v>43</v>
      </c>
      <c r="B3186" s="4" t="s">
        <v>65</v>
      </c>
      <c r="C3186" s="23" t="s">
        <v>942</v>
      </c>
      <c r="D3186" s="23" t="s">
        <v>943</v>
      </c>
      <c r="E3186" s="23" t="s">
        <v>944</v>
      </c>
      <c r="F3186" s="23" t="s">
        <v>945</v>
      </c>
      <c r="G3186" s="23" t="s">
        <v>946</v>
      </c>
      <c r="H3186" s="23" t="s">
        <v>947</v>
      </c>
      <c r="I3186" s="23" t="s">
        <v>948</v>
      </c>
      <c r="J3186" s="23" t="s">
        <v>949</v>
      </c>
      <c r="K3186" s="23" t="s">
        <v>950</v>
      </c>
      <c r="L3186" s="4" t="s">
        <v>47</v>
      </c>
    </row>
    <row r="3187" customFormat="false" ht="17.15" hidden="false" customHeight="false" outlineLevel="0" collapsed="false">
      <c r="A3187" s="1" t="s">
        <v>951</v>
      </c>
      <c r="B3187" s="1" t="s">
        <v>279</v>
      </c>
      <c r="C3187" s="21" t="n">
        <v>2024</v>
      </c>
      <c r="D3187" s="21" t="n">
        <v>2025</v>
      </c>
      <c r="E3187" s="21" t="n">
        <v>2026</v>
      </c>
      <c r="F3187" s="21" t="n">
        <v>2027</v>
      </c>
      <c r="G3187" s="21" t="n">
        <v>2028</v>
      </c>
      <c r="H3187" s="21" t="n">
        <v>2029</v>
      </c>
      <c r="I3187" s="21" t="n">
        <v>2030</v>
      </c>
      <c r="J3187" s="21" t="n">
        <v>2031</v>
      </c>
      <c r="K3187" s="21" t="n">
        <v>2032</v>
      </c>
    </row>
    <row r="3188" customFormat="false" ht="17.15" hidden="false" customHeight="false" outlineLevel="0" collapsed="false">
      <c r="A3188" s="1" t="s">
        <v>952</v>
      </c>
      <c r="B3188" s="0" t="s">
        <v>459</v>
      </c>
      <c r="F3188" s="30" t="n">
        <f aca="false">pace_epoch</f>
        <v>650</v>
      </c>
      <c r="G3188" s="30" t="n">
        <f aca="false">pace_epoch</f>
        <v>650</v>
      </c>
      <c r="H3188" s="30" t="n">
        <f aca="false">pace_epoch</f>
        <v>650</v>
      </c>
      <c r="I3188" s="30" t="n">
        <f aca="false">pace_epoch+(g_tv*Sens!H3189-pace_epoch)*MIN(1,(Sens!I3187-pace_y0)/(pace_y1-pace_y0))</f>
        <v>477.193333333333</v>
      </c>
      <c r="J3188" s="30" t="n">
        <f aca="false">pace_epoch+(g_tv*Sens!I3189-pace_epoch)*MIN(1,(Sens!J3187-pace_y0)/(pace_y1-pace_y0))</f>
        <v>304.386666666667</v>
      </c>
      <c r="K3188" s="30" t="n">
        <f aca="false">pace_epoch+(g_tv*Sens!J3189-pace_epoch)*MIN(1,(Sens!K3187-pace_y0)/(pace_y1-pace_y0))</f>
        <v>131.58</v>
      </c>
      <c r="L3188" s="12" t="s">
        <v>953</v>
      </c>
    </row>
    <row r="3189" customFormat="false" ht="17.15" hidden="false" customHeight="false" outlineLevel="0" collapsed="false">
      <c r="A3189" s="1" t="s">
        <v>954</v>
      </c>
      <c r="B3189" s="0" t="s">
        <v>459</v>
      </c>
      <c r="C3189" s="30" t="n">
        <f aca="false">mw_ext_24</f>
        <v>640</v>
      </c>
      <c r="D3189" s="30" t="n">
        <f aca="false">mw_ext_25</f>
        <v>1630</v>
      </c>
      <c r="E3189" s="30" t="n">
        <f aca="false">mw_ext_26</f>
        <v>3250</v>
      </c>
      <c r="F3189" s="30" t="n">
        <f aca="false">MIN(cap_epoch,Sens!E3189+Sens!F3188)</f>
        <v>3900</v>
      </c>
      <c r="G3189" s="30" t="n">
        <f aca="false">MIN(cap_epoch,Sens!F3189+Sens!G3188)</f>
        <v>4386</v>
      </c>
      <c r="H3189" s="30" t="n">
        <f aca="false">MIN(cap_epoch,Sens!G3189+Sens!H3188)</f>
        <v>4386</v>
      </c>
      <c r="I3189" s="30" t="n">
        <f aca="false">MIN(cap_epoch,Sens!H3189+Sens!I3188)</f>
        <v>4386</v>
      </c>
      <c r="J3189" s="30" t="n">
        <f aca="false">MIN(cap_epoch,Sens!I3189+Sens!J3188)</f>
        <v>4386</v>
      </c>
      <c r="K3189" s="30" t="n">
        <f aca="false">MIN(cap_epoch,Sens!J3189+Sens!K3188)</f>
        <v>4386</v>
      </c>
      <c r="L3189" s="1" t="s">
        <v>955</v>
      </c>
    </row>
    <row r="3190" customFormat="false" ht="17.15" hidden="false" customHeight="false" outlineLevel="0" collapsed="false">
      <c r="A3190" s="1" t="s">
        <v>956</v>
      </c>
      <c r="B3190" s="0" t="s">
        <v>459</v>
      </c>
      <c r="C3190" s="30" t="n">
        <f aca="false">rent_ext_24</f>
        <v>150</v>
      </c>
      <c r="D3190" s="30" t="n">
        <f aca="false">rent_ext_25</f>
        <v>400</v>
      </c>
      <c r="E3190" s="30" t="n">
        <f aca="false">rent_ext_26</f>
        <v>550</v>
      </c>
      <c r="F3190" s="30" t="n">
        <f aca="false">rent_ext_f</f>
        <v>756</v>
      </c>
      <c r="G3190" s="30" t="n">
        <f aca="false">rent_ext_f</f>
        <v>756</v>
      </c>
      <c r="H3190" s="30" t="n">
        <f aca="false">rent_ext_f</f>
        <v>756</v>
      </c>
      <c r="I3190" s="30" t="n">
        <f aca="false">rent_ext_f</f>
        <v>756</v>
      </c>
      <c r="J3190" s="30" t="n">
        <f aca="false">rent_ext_f</f>
        <v>756</v>
      </c>
      <c r="K3190" s="30" t="n">
        <f aca="false">rent_ext_f</f>
        <v>756</v>
      </c>
      <c r="L3190" s="1" t="s">
        <v>957</v>
      </c>
    </row>
    <row r="3191" customFormat="false" ht="17.15" hidden="false" customHeight="false" outlineLevel="0" collapsed="false">
      <c r="A3191" s="1" t="s">
        <v>958</v>
      </c>
      <c r="B3191" s="0" t="s">
        <v>459</v>
      </c>
      <c r="C3191" s="30" t="n">
        <f aca="false">Sens!C3189-Sens!C3190</f>
        <v>490</v>
      </c>
      <c r="D3191" s="30" t="n">
        <f aca="false">Sens!D3189-Sens!D3190</f>
        <v>1230</v>
      </c>
      <c r="E3191" s="30" t="n">
        <f aca="false">Sens!E3189-Sens!E3190</f>
        <v>2700</v>
      </c>
      <c r="F3191" s="30" t="n">
        <f aca="false">Sens!F3189-Sens!F3190</f>
        <v>3144</v>
      </c>
      <c r="G3191" s="30" t="n">
        <f aca="false">Sens!G3189-Sens!G3190</f>
        <v>3630</v>
      </c>
      <c r="H3191" s="30" t="n">
        <f aca="false">Sens!H3189-Sens!H3190</f>
        <v>3630</v>
      </c>
      <c r="I3191" s="30" t="n">
        <f aca="false">Sens!I3189-Sens!I3190</f>
        <v>3630</v>
      </c>
      <c r="J3191" s="30" t="n">
        <f aca="false">Sens!J3189-Sens!J3190</f>
        <v>3630</v>
      </c>
      <c r="K3191" s="30" t="n">
        <f aca="false">Sens!K3189-Sens!K3190</f>
        <v>3630</v>
      </c>
    </row>
    <row r="3192" customFormat="false" ht="17.15" hidden="false" customHeight="false" outlineLevel="0" collapsed="false">
      <c r="A3192" s="1" t="s">
        <v>959</v>
      </c>
      <c r="B3192" s="0" t="s">
        <v>459</v>
      </c>
      <c r="C3192" s="30" t="n">
        <f aca="false">Sens!C3191/ext_sh</f>
        <v>816.666666666667</v>
      </c>
      <c r="D3192" s="30" t="n">
        <f aca="false">Sens!D3191/ext_sh</f>
        <v>2050</v>
      </c>
      <c r="E3192" s="30" t="n">
        <f aca="false">Sens!E3191/ext_sh</f>
        <v>4500</v>
      </c>
      <c r="F3192" s="30" t="n">
        <f aca="false">Sens!F3191/ext_sh</f>
        <v>5240</v>
      </c>
      <c r="G3192" s="30" t="n">
        <f aca="false">Sens!G3191/ext_sh</f>
        <v>6050</v>
      </c>
      <c r="H3192" s="30" t="n">
        <f aca="false">Sens!H3191/ext_sh</f>
        <v>6050</v>
      </c>
      <c r="I3192" s="30" t="n">
        <f aca="false">Sens!I3191/ext_sh</f>
        <v>6050</v>
      </c>
      <c r="J3192" s="30" t="n">
        <f aca="false">Sens!J3191/ext_sh</f>
        <v>6050</v>
      </c>
      <c r="K3192" s="30" t="n">
        <f aca="false">Sens!K3191/ext_sh</f>
        <v>6050</v>
      </c>
      <c r="L3192" s="1" t="s">
        <v>960</v>
      </c>
    </row>
    <row r="3193" customFormat="false" ht="17.15" hidden="false" customHeight="false" outlineLevel="0" collapsed="false">
      <c r="A3193" s="1" t="s">
        <v>961</v>
      </c>
      <c r="B3193" s="0" t="s">
        <v>459</v>
      </c>
      <c r="C3193" s="30" t="n">
        <f aca="false">Sens!C3192-Sens!C3191</f>
        <v>326.666666666667</v>
      </c>
      <c r="D3193" s="30" t="n">
        <f aca="false">Sens!D3192-Sens!D3191</f>
        <v>820</v>
      </c>
      <c r="E3193" s="30" t="n">
        <f aca="false">Sens!E3192-Sens!E3191</f>
        <v>1800</v>
      </c>
      <c r="F3193" s="30" t="n">
        <f aca="false">Sens!F3192-Sens!F3191</f>
        <v>2096</v>
      </c>
      <c r="G3193" s="30" t="n">
        <f aca="false">Sens!G3192-Sens!G3191</f>
        <v>2420</v>
      </c>
      <c r="H3193" s="30" t="n">
        <f aca="false">Sens!H3192-Sens!H3191</f>
        <v>2420</v>
      </c>
      <c r="I3193" s="30" t="n">
        <f aca="false">Sens!I3192-Sens!I3191</f>
        <v>2420</v>
      </c>
      <c r="J3193" s="30" t="n">
        <f aca="false">Sens!J3192-Sens!J3191</f>
        <v>2420</v>
      </c>
      <c r="K3193" s="30" t="n">
        <f aca="false">Sens!K3192-Sens!K3191</f>
        <v>2420</v>
      </c>
    </row>
    <row r="3194" customFormat="false" ht="17.15" hidden="false" customHeight="false" outlineLevel="0" collapsed="false">
      <c r="A3194" s="1" t="s">
        <v>962</v>
      </c>
      <c r="B3194" s="0" t="s">
        <v>459</v>
      </c>
      <c r="C3194" s="30" t="n">
        <f aca="false">Sens!C3192</f>
        <v>816.666666666667</v>
      </c>
      <c r="D3194" s="30" t="n">
        <f aca="false">Sens!D3192-Sens!C3192</f>
        <v>1233.33333333333</v>
      </c>
      <c r="E3194" s="30" t="n">
        <f aca="false">Sens!E3192-Sens!D3192</f>
        <v>2450</v>
      </c>
      <c r="F3194" s="30" t="n">
        <f aca="false">Sens!F3192-Sens!E3192</f>
        <v>740</v>
      </c>
      <c r="G3194" s="30" t="n">
        <f aca="false">Sens!G3192-Sens!F3192</f>
        <v>810</v>
      </c>
      <c r="H3194" s="30" t="n">
        <f aca="false">Sens!H3192-Sens!G3192</f>
        <v>0</v>
      </c>
      <c r="I3194" s="30" t="n">
        <f aca="false">Sens!I3192-Sens!H3192</f>
        <v>0</v>
      </c>
      <c r="J3194" s="30" t="n">
        <f aca="false">Sens!J3192-Sens!I3192</f>
        <v>0</v>
      </c>
      <c r="K3194" s="30" t="n">
        <f aca="false">Sens!K3192-Sens!J3192</f>
        <v>0</v>
      </c>
    </row>
    <row r="3195" customFormat="false" ht="17.15" hidden="false" customHeight="false" outlineLevel="0" collapsed="false">
      <c r="A3195" s="1" t="s">
        <v>963</v>
      </c>
      <c r="B3195" s="0" t="s">
        <v>459</v>
      </c>
      <c r="D3195" s="30" t="n">
        <f aca="false">Sens!D3189-Sens!C3189</f>
        <v>990</v>
      </c>
      <c r="E3195" s="30" t="n">
        <f aca="false">Sens!E3189-Sens!D3189</f>
        <v>1620</v>
      </c>
      <c r="F3195" s="30" t="n">
        <f aca="false">Sens!F3189-Sens!E3189</f>
        <v>650</v>
      </c>
      <c r="G3195" s="30" t="n">
        <f aca="false">Sens!G3189-Sens!F3189</f>
        <v>486</v>
      </c>
      <c r="H3195" s="30" t="n">
        <f aca="false">Sens!H3189-Sens!G3189</f>
        <v>0</v>
      </c>
      <c r="I3195" s="30" t="n">
        <f aca="false">Sens!I3189-Sens!H3189</f>
        <v>0</v>
      </c>
      <c r="J3195" s="30" t="n">
        <f aca="false">Sens!J3189-Sens!I3189</f>
        <v>0</v>
      </c>
      <c r="K3195" s="30" t="n">
        <f aca="false">Sens!K3189-Sens!J3189</f>
        <v>0</v>
      </c>
    </row>
    <row r="3196" customFormat="false" ht="17.15" hidden="false" customHeight="false" outlineLevel="0" collapsed="false">
      <c r="A3196" s="1" t="s">
        <v>964</v>
      </c>
      <c r="B3196" s="0" t="s">
        <v>459</v>
      </c>
      <c r="F3196" s="30" t="n">
        <f aca="false">Sens!F3215*ext_sh</f>
        <v>0</v>
      </c>
      <c r="G3196" s="30" t="n">
        <f aca="false">Sens!G3215*ext_sh</f>
        <v>0</v>
      </c>
      <c r="H3196" s="30" t="n">
        <f aca="false">Sens!H3215*ext_sh</f>
        <v>0</v>
      </c>
      <c r="I3196" s="30" t="n">
        <f aca="false">Sens!I3215*ext_sh</f>
        <v>490</v>
      </c>
      <c r="J3196" s="30" t="n">
        <f aca="false">Sens!J3215*ext_sh</f>
        <v>740</v>
      </c>
      <c r="K3196" s="30" t="n">
        <f aca="false">Sens!K3215*ext_sh</f>
        <v>1470</v>
      </c>
      <c r="L3196" s="1" t="s">
        <v>965</v>
      </c>
    </row>
    <row r="3197" customFormat="false" ht="17.15" hidden="false" customHeight="false" outlineLevel="0" collapsed="false">
      <c r="A3197" s="1" t="s">
        <v>966</v>
      </c>
      <c r="B3197" s="0" t="s">
        <v>459</v>
      </c>
      <c r="C3197" s="30" t="n">
        <f aca="false">mix_h*Sens!C3189</f>
        <v>128</v>
      </c>
      <c r="D3197" s="30" t="n">
        <f aca="false">mix_h*Sens!D3189</f>
        <v>326</v>
      </c>
      <c r="E3197" s="30" t="n">
        <f aca="false">mix_h*Sens!E3189</f>
        <v>650</v>
      </c>
      <c r="F3197" s="30" t="n">
        <f aca="false">Sens!E3197-Sens!F3196*mix_h</f>
        <v>650</v>
      </c>
      <c r="G3197" s="30" t="n">
        <f aca="false">Sens!F3197-Sens!G3196*mix_h</f>
        <v>650</v>
      </c>
      <c r="H3197" s="30" t="n">
        <f aca="false">Sens!G3197-Sens!H3196*mix_h</f>
        <v>650</v>
      </c>
      <c r="I3197" s="30" t="n">
        <f aca="false">Sens!H3197-Sens!I3196*mix_h</f>
        <v>552</v>
      </c>
      <c r="J3197" s="30" t="n">
        <f aca="false">Sens!I3197-Sens!J3196*mix_h</f>
        <v>404</v>
      </c>
      <c r="K3197" s="30" t="n">
        <f aca="false">Sens!J3197-Sens!K3196*mix_h</f>
        <v>110</v>
      </c>
    </row>
    <row r="3198" customFormat="false" ht="17.15" hidden="false" customHeight="false" outlineLevel="0" collapsed="false">
      <c r="A3198" s="1" t="s">
        <v>967</v>
      </c>
      <c r="B3198" s="0" t="s">
        <v>459</v>
      </c>
      <c r="C3198" s="30" t="n">
        <f aca="false">mix_g2*Sens!C3189</f>
        <v>288</v>
      </c>
      <c r="D3198" s="30" t="n">
        <f aca="false">mix_g2*Sens!D3189</f>
        <v>733.5</v>
      </c>
      <c r="E3198" s="30" t="n">
        <f aca="false">mix_g2*Sens!E3189</f>
        <v>1462.5</v>
      </c>
      <c r="F3198" s="30" t="n">
        <f aca="false">Sens!E3198-Sens!F3196*mix_g2</f>
        <v>1462.5</v>
      </c>
      <c r="G3198" s="30" t="n">
        <f aca="false">Sens!F3198-Sens!G3196*mix_g2</f>
        <v>1462.5</v>
      </c>
      <c r="H3198" s="30" t="n">
        <f aca="false">Sens!G3198-Sens!H3196*mix_g2</f>
        <v>1462.5</v>
      </c>
      <c r="I3198" s="30" t="n">
        <f aca="false">Sens!H3198-Sens!I3196*mix_g2</f>
        <v>1242</v>
      </c>
      <c r="J3198" s="30" t="n">
        <f aca="false">Sens!I3198-Sens!J3196*mix_g2</f>
        <v>909</v>
      </c>
      <c r="K3198" s="30" t="n">
        <f aca="false">Sens!J3198-Sens!K3196*mix_g2</f>
        <v>247.5</v>
      </c>
    </row>
    <row r="3199" customFormat="false" ht="17.15" hidden="false" customHeight="false" outlineLevel="0" collapsed="false">
      <c r="A3199" s="1" t="s">
        <v>968</v>
      </c>
      <c r="B3199" s="0" t="s">
        <v>459</v>
      </c>
      <c r="C3199" s="30" t="n">
        <f aca="false">mix_g3*Sens!C3189</f>
        <v>224</v>
      </c>
      <c r="D3199" s="30" t="n">
        <f aca="false">mix_g3*Sens!D3189</f>
        <v>570.5</v>
      </c>
      <c r="E3199" s="30" t="n">
        <f aca="false">mix_g3*Sens!E3189</f>
        <v>1137.5</v>
      </c>
      <c r="F3199" s="30" t="n">
        <f aca="false">Sens!E3199+(Sens!F3195+Sens!F3196)*(a_g3_27-nonnv*a_mai)-Sens!F3196*mix_g3</f>
        <v>1527.5</v>
      </c>
      <c r="G3199" s="30" t="n">
        <f aca="false">Sens!F3199+(Sens!G3195+Sens!G3196)*(a_g3_28-nonnv*a_mai)-Sens!G3196*mix_g3</f>
        <v>1624.7</v>
      </c>
      <c r="H3199" s="30" t="n">
        <f aca="false">Sens!G3199+(Sens!H3195+Sens!H3196)*(a_g3_29-nonnv*a_mai)-Sens!H3196*mix_g3</f>
        <v>1624.7</v>
      </c>
      <c r="I3199" s="30" t="n">
        <f aca="false">Sens!H3199+(Sens!I3195+Sens!I3196)*(a_g3_29-nonnv*a_mai)-Sens!I3196*mix_g3</f>
        <v>1453.2</v>
      </c>
      <c r="J3199" s="30" t="n">
        <f aca="false">Sens!I3199+(Sens!J3195+Sens!J3196)*(a_g3_29-nonnv*a_mai)-Sens!J3196*mix_g3</f>
        <v>1194.2</v>
      </c>
      <c r="K3199" s="30" t="n">
        <f aca="false">Sens!J3199+(Sens!K3195+Sens!K3196)*(a_g3_29-nonnv*a_mai)-Sens!K3196*mix_g3</f>
        <v>679.7</v>
      </c>
    </row>
    <row r="3200" customFormat="false" ht="17.15" hidden="false" customHeight="false" outlineLevel="0" collapsed="false">
      <c r="A3200" s="1" t="s">
        <v>969</v>
      </c>
      <c r="B3200" s="0" t="s">
        <v>459</v>
      </c>
      <c r="C3200" s="30" t="n">
        <v>0</v>
      </c>
      <c r="D3200" s="30" t="n">
        <v>0</v>
      </c>
      <c r="E3200" s="30" t="n">
        <v>0</v>
      </c>
      <c r="F3200" s="30" t="n">
        <f aca="false">Sens!E3200+(Sens!F3195+Sens!F3196)*nonnv*a_mai</f>
        <v>65</v>
      </c>
      <c r="G3200" s="30" t="n">
        <f aca="false">Sens!F3200+(Sens!G3195+Sens!G3196)*nonnv*a_mai</f>
        <v>113.6</v>
      </c>
      <c r="H3200" s="30" t="n">
        <f aca="false">Sens!G3200+(Sens!H3195+Sens!H3196)*nonnv*a_mai</f>
        <v>113.6</v>
      </c>
      <c r="I3200" s="30" t="n">
        <f aca="false">Sens!H3200+(Sens!I3195+Sens!I3196)*nonnv*a_mai</f>
        <v>162.6</v>
      </c>
      <c r="J3200" s="30" t="n">
        <f aca="false">Sens!I3200+(Sens!J3195+Sens!J3196)*nonnv*a_mai</f>
        <v>236.6</v>
      </c>
      <c r="K3200" s="30" t="n">
        <f aca="false">Sens!J3200+(Sens!K3195+Sens!K3196)*nonnv*a_mai</f>
        <v>383.6</v>
      </c>
      <c r="L3200" s="12" t="s">
        <v>970</v>
      </c>
    </row>
    <row r="3201" customFormat="false" ht="17.15" hidden="false" customHeight="false" outlineLevel="0" collapsed="false">
      <c r="A3201" s="1" t="s">
        <v>971</v>
      </c>
      <c r="B3201" s="0" t="s">
        <v>459</v>
      </c>
      <c r="C3201" s="30" t="n">
        <v>0</v>
      </c>
      <c r="D3201" s="30" t="n">
        <v>0</v>
      </c>
      <c r="E3201" s="30" t="n">
        <v>0</v>
      </c>
      <c r="F3201" s="30" t="n">
        <f aca="false">Sens!E3201+(Sens!F3195+Sens!F3196)*(1-a_g3_27)</f>
        <v>195</v>
      </c>
      <c r="G3201" s="30" t="n">
        <f aca="false">Sens!F3201+(Sens!G3195+Sens!G3196)*(1-a_g3_28)</f>
        <v>535.2</v>
      </c>
      <c r="H3201" s="30" t="n">
        <f aca="false">Sens!G3201+(Sens!H3195+Sens!H3196)*(1-a_g3_29)</f>
        <v>535.2</v>
      </c>
      <c r="I3201" s="30" t="n">
        <f aca="false">Sens!H3201+(Sens!I3195+Sens!I3196)*(1-a_g3_29)</f>
        <v>976.2</v>
      </c>
      <c r="J3201" s="30" t="n">
        <f aca="false">Sens!I3201+(Sens!J3195+Sens!J3196)*(1-a_g3_29)</f>
        <v>1642.2</v>
      </c>
      <c r="K3201" s="30" t="n">
        <f aca="false">Sens!J3201+(Sens!K3195+Sens!K3196)*(1-a_g3_29)</f>
        <v>2965.2</v>
      </c>
    </row>
    <row r="3202" customFormat="false" ht="17.15" hidden="false" customHeight="false" outlineLevel="0" collapsed="false">
      <c r="A3202" s="1" t="s">
        <v>972</v>
      </c>
      <c r="B3202" s="0" t="s">
        <v>403</v>
      </c>
      <c r="C3202" s="15" t="n">
        <f aca="false">(Sens!C3197*tk_hold_h100+Sens!C3198*tk_hold_gb200+Sens!C3199*tk_hold_gb300+Sens!C3201*tk_hold_vr200+Sens!C3200*nv_hold_mai*tk_hold_vr200)/Sens!C3189</f>
        <v>9.7235358126469</v>
      </c>
      <c r="D3202" s="15" t="n">
        <f aca="false">(Sens!D3197*tk_hold_h100+Sens!D3198*tk_hold_gb200+Sens!D3199*tk_hold_gb300+Sens!D3201*tk_hold_vr200+Sens!D3200*nv_hold_mai*tk_hold_vr200)/Sens!D3189</f>
        <v>9.7235358126469</v>
      </c>
      <c r="E3202" s="15" t="n">
        <f aca="false">(Sens!E3197*tk_hold_h100+Sens!E3198*tk_hold_gb200+Sens!E3199*tk_hold_gb300+Sens!E3201*tk_hold_vr200+Sens!E3200*nv_hold_mai*tk_hold_vr200)/Sens!E3189</f>
        <v>9.7235358126469</v>
      </c>
      <c r="F3202" s="15" t="n">
        <f aca="false">(Sens!F3197*tk_hold_h100+Sens!F3198*tk_hold_gb200+Sens!F3199*tk_hold_gb300+Sens!F3201*tk_hold_vr200+Sens!F3200*nv_hold_mai*tk_hold_vr200)/Sens!F3189</f>
        <v>9.9047400860175</v>
      </c>
      <c r="G3202" s="15" t="n">
        <f aca="false">(Sens!G3197*tk_hold_h100+Sens!G3198*tk_hold_gb200+Sens!G3199*tk_hold_gb300+Sens!G3201*tk_hold_vr200+Sens!G3200*nv_hold_mai*tk_hold_vr200)/Sens!G3189</f>
        <v>10.0644846479809</v>
      </c>
      <c r="H3202" s="15" t="n">
        <f aca="false">(Sens!H3197*tk_hold_h100+Sens!H3198*tk_hold_gb200+Sens!H3199*tk_hold_gb300+Sens!H3201*tk_hold_vr200+Sens!H3200*nv_hold_mai*tk_hold_vr200)/Sens!H3189</f>
        <v>10.0644846479809</v>
      </c>
      <c r="I3202" s="15" t="n">
        <f aca="false">(Sens!I3197*tk_hold_h100+Sens!I3198*tk_hold_gb200+Sens!I3199*tk_hold_gb300+Sens!I3201*tk_hold_vr200+Sens!I3200*nv_hold_mai*tk_hold_vr200)/Sens!I3189</f>
        <v>10.2757076768083</v>
      </c>
      <c r="J3202" s="15" t="n">
        <f aca="false">(Sens!J3197*tk_hold_h100+Sens!J3198*tk_hold_gb200+Sens!J3199*tk_hold_gb300+Sens!J3201*tk_hold_vr200+Sens!J3200*nv_hold_mai*tk_hold_vr200)/Sens!J3189</f>
        <v>10.5946975570782</v>
      </c>
      <c r="K3202" s="15" t="n">
        <f aca="false">(Sens!K3197*tk_hold_h100+Sens!K3198*tk_hold_gb200+Sens!K3199*tk_hold_gb300+Sens!K3201*tk_hold_vr200+Sens!K3200*nv_hold_mai*tk_hold_vr200)/Sens!K3189</f>
        <v>11.2283666435604</v>
      </c>
      <c r="L3202" s="1" t="s">
        <v>973</v>
      </c>
    </row>
    <row r="3203" customFormat="false" ht="17.15" hidden="false" customHeight="false" outlineLevel="0" collapsed="false">
      <c r="A3203" s="1" t="s">
        <v>974</v>
      </c>
      <c r="B3203" s="0" t="s">
        <v>403</v>
      </c>
      <c r="C3203" s="15" t="n">
        <f aca="false">(Sens!C3197*tk_hold_h100+Sens!C3198*tk_hold_gb200+Sens!C3199*tk_hold_gb300+Sens!C3201*tk_hold_vr200+Sens!C3200*nv_out_mai*tk_hold_vr200)/Sens!C3189</f>
        <v>9.7235358126469</v>
      </c>
      <c r="D3203" s="15" t="n">
        <f aca="false">(Sens!D3197*tk_hold_h100+Sens!D3198*tk_hold_gb200+Sens!D3199*tk_hold_gb300+Sens!D3201*tk_hold_vr200+Sens!D3200*nv_out_mai*tk_hold_vr200)/Sens!D3189</f>
        <v>9.7235358126469</v>
      </c>
      <c r="E3203" s="15" t="n">
        <f aca="false">(Sens!E3197*tk_hold_h100+Sens!E3198*tk_hold_gb200+Sens!E3199*tk_hold_gb300+Sens!E3201*tk_hold_vr200+Sens!E3200*nv_out_mai*tk_hold_vr200)/Sens!E3189</f>
        <v>9.7235358126469</v>
      </c>
      <c r="F3203" s="15" t="n">
        <f aca="false">(Sens!F3197*tk_hold_h100+Sens!F3198*tk_hold_gb200+Sens!F3199*tk_hold_gb300+Sens!F3201*tk_hold_vr200+Sens!F3200*nv_out_mai*tk_hold_vr200)/Sens!F3189</f>
        <v>9.91492797852132</v>
      </c>
      <c r="G3203" s="15" t="n">
        <f aca="false">(Sens!G3197*tk_hold_h100+Sens!G3198*tk_hold_gb200+Sens!G3199*tk_hold_gb300+Sens!G3201*tk_hold_vr200+Sens!G3200*nv_out_mai*tk_hold_vr200)/Sens!G3189</f>
        <v>10.0803169952919</v>
      </c>
      <c r="H3203" s="15" t="n">
        <f aca="false">(Sens!H3197*tk_hold_h100+Sens!H3198*tk_hold_gb200+Sens!H3199*tk_hold_gb300+Sens!H3201*tk_hold_vr200+Sens!H3200*nv_out_mai*tk_hold_vr200)/Sens!H3189</f>
        <v>10.0803169952919</v>
      </c>
      <c r="I3203" s="15" t="n">
        <f aca="false">(Sens!I3197*tk_hold_h100+Sens!I3198*tk_hold_gb200+Sens!I3199*tk_hold_gb300+Sens!I3201*tk_hold_vr200+Sens!I3200*nv_out_mai*tk_hold_vr200)/Sens!I3189</f>
        <v>10.2983691175897</v>
      </c>
      <c r="J3203" s="15" t="n">
        <f aca="false">(Sens!J3197*tk_hold_h100+Sens!J3198*tk_hold_gb200+Sens!J3199*tk_hold_gb300+Sens!J3201*tk_hold_vr200+Sens!J3200*nv_out_mai*tk_hold_vr200)/Sens!J3189</f>
        <v>10.6276723226925</v>
      </c>
      <c r="K3203" s="15" t="n">
        <f aca="false">(Sens!K3197*tk_hold_h100+Sens!K3198*tk_hold_gb200+Sens!K3199*tk_hold_gb300+Sens!K3201*tk_hold_vr200+Sens!K3200*nv_out_mai*tk_hold_vr200)/Sens!K3189</f>
        <v>11.2818286895859</v>
      </c>
      <c r="L3203" s="12" t="s">
        <v>975</v>
      </c>
    </row>
    <row r="3204" customFormat="false" ht="17.15" hidden="false" customHeight="false" outlineLevel="0" collapsed="false">
      <c r="A3204" s="0" t="s">
        <v>976</v>
      </c>
      <c r="B3204" s="0" t="s">
        <v>229</v>
      </c>
      <c r="C3204" s="15" t="n">
        <f aca="false">k_B</f>
        <v>1.17213932619116</v>
      </c>
      <c r="D3204" s="15" t="n">
        <f aca="false">k_B</f>
        <v>1.17213932619116</v>
      </c>
      <c r="E3204" s="15" t="n">
        <f aca="false">k_B</f>
        <v>1.17213932619116</v>
      </c>
      <c r="F3204" s="15" t="n">
        <f aca="false">(k_B+((ls_A*k_long+(1-ls_A)*k_spot)-k_B)*MIN(1,(Sens!F3187-base_fy)/k_ramp))</f>
        <v>1.25022828131298</v>
      </c>
      <c r="G3204" s="15" t="n">
        <f aca="false">(k_B+((ls_A*k_long+(1-ls_A)*k_spot)-k_B)*MIN(1,(Sens!G3187-base_fy)/k_ramp))</f>
        <v>1.3283172364348</v>
      </c>
      <c r="H3204" s="15" t="n">
        <f aca="false">(k_B+((ls_A*k_long+(1-ls_A)*k_spot)-k_B)*MIN(1,(Sens!H3187-base_fy)/k_ramp))</f>
        <v>1.40640619155662</v>
      </c>
      <c r="I3204" s="15" t="n">
        <f aca="false">(k_B+((ls_A*k_long+(1-ls_A)*k_spot)-k_B)*MIN(1,(Sens!I3187-base_fy)/k_ramp))</f>
        <v>1.40640619155662</v>
      </c>
      <c r="J3204" s="15" t="n">
        <f aca="false">(k_B+((ls_A*k_long+(1-ls_A)*k_spot)-k_B)*MIN(1,(Sens!J3187-base_fy)/k_ramp))</f>
        <v>1.40640619155662</v>
      </c>
      <c r="K3204" s="15" t="n">
        <f aca="false">(k_B+((ls_A*k_long+(1-ls_A)*k_spot)-k_B)*MIN(1,(Sens!K3187-base_fy)/k_ramp))</f>
        <v>1.40640619155662</v>
      </c>
      <c r="L3204" s="1" t="s">
        <v>977</v>
      </c>
    </row>
    <row r="3205" customFormat="false" ht="17.15" hidden="false" customHeight="false" outlineLevel="0" collapsed="false">
      <c r="A3205" s="1" t="s">
        <v>978</v>
      </c>
      <c r="B3205" s="0" t="s">
        <v>403</v>
      </c>
      <c r="C3205" s="15" t="n">
        <f aca="false">Sens!C3203*Sens!C3204*chip_f</f>
        <v>11.3973387156315</v>
      </c>
      <c r="D3205" s="15" t="n">
        <f aca="false">Sens!D3203*Sens!D3204*chip_f</f>
        <v>11.3973387156315</v>
      </c>
      <c r="E3205" s="15" t="n">
        <f aca="false">Sens!E3203*Sens!E3204*chip_f</f>
        <v>11.3973387156315</v>
      </c>
      <c r="F3205" s="15" t="n">
        <f aca="false">Sens!F3203*Sens!F3204*chip_f</f>
        <v>12.3959233659286</v>
      </c>
      <c r="G3205" s="15" t="n">
        <f aca="false">Sens!G3203*Sens!G3204*chip_f</f>
        <v>13.3898588135729</v>
      </c>
      <c r="H3205" s="15" t="n">
        <f aca="false">Sens!H3203*Sens!H3204*chip_f</f>
        <v>14.1770202350319</v>
      </c>
      <c r="I3205" s="15" t="n">
        <f aca="false">Sens!I3203*Sens!I3204*chip_f</f>
        <v>14.4836900899136</v>
      </c>
      <c r="J3205" s="15" t="n">
        <f aca="false">Sens!J3203*Sens!J3204*chip_f</f>
        <v>14.9468241564696</v>
      </c>
      <c r="K3205" s="15" t="n">
        <f aca="false">Sens!K3203*Sens!K3204*chip_f</f>
        <v>15.8668337211147</v>
      </c>
      <c r="L3205" s="1" t="s">
        <v>979</v>
      </c>
    </row>
    <row r="3206" customFormat="false" ht="17.15" hidden="false" customHeight="false" outlineLevel="0" collapsed="false">
      <c r="A3206" s="0" t="s">
        <v>980</v>
      </c>
      <c r="B3206" s="0" t="s">
        <v>98</v>
      </c>
      <c r="D3206" s="6" t="n">
        <f aca="false">(Sens!C3189+Sens!D3189)/2*Sens!D3205/1000</f>
        <v>12.9359794422418</v>
      </c>
      <c r="E3206" s="6" t="n">
        <f aca="false">(Sens!D3189+Sens!E3189)/2*Sens!E3205/1000</f>
        <v>27.8095064661409</v>
      </c>
      <c r="F3206" s="6" t="n">
        <f aca="false">(Sens!E3189+Sens!F3189)/2*Sens!F3205/1000</f>
        <v>44.3154260331949</v>
      </c>
      <c r="G3206" s="6" t="n">
        <f aca="false">(Sens!F3189+Sens!G3189)/2*Sens!G3205/1000</f>
        <v>55.4741850646324</v>
      </c>
      <c r="H3206" s="6" t="n">
        <f aca="false">(Sens!G3189+Sens!H3189)/2*Sens!H3205/1000</f>
        <v>62.1804107508501</v>
      </c>
      <c r="I3206" s="6" t="n">
        <f aca="false">(Sens!H3189+Sens!I3189)/2*Sens!I3205/1000</f>
        <v>63.5254647343612</v>
      </c>
      <c r="J3206" s="6" t="n">
        <f aca="false">(Sens!I3189+Sens!J3189)/2*Sens!J3205/1000</f>
        <v>65.5567707502758</v>
      </c>
      <c r="K3206" s="6" t="n">
        <f aca="false">(Sens!J3189+Sens!K3189)/2*Sens!K3205/1000</f>
        <v>69.5919327008091</v>
      </c>
      <c r="L3206" s="12" t="s">
        <v>981</v>
      </c>
    </row>
    <row r="3207" customFormat="false" ht="17.15" hidden="false" customHeight="false" outlineLevel="0" collapsed="false">
      <c r="A3207" s="1" t="s">
        <v>982</v>
      </c>
      <c r="B3207" s="0" t="s">
        <v>403</v>
      </c>
      <c r="C3207" s="15" t="n">
        <f aca="false">(Sens!C3197*tk_opex_h100+Sens!C3198*tk_opex_gb200+Sens!C3199*tk_opex_gb300+(Sens!C3201+Sens!C3200)*tk_opex_vr200)/Sens!C3189</f>
        <v>1.88636041306092</v>
      </c>
      <c r="D3207" s="15" t="n">
        <f aca="false">(Sens!D3197*tk_opex_h100+Sens!D3198*tk_opex_gb200+Sens!D3199*tk_opex_gb300+(Sens!D3201+Sens!D3200)*tk_opex_vr200)/Sens!D3189</f>
        <v>1.88636041306092</v>
      </c>
      <c r="E3207" s="15" t="n">
        <f aca="false">(Sens!E3197*tk_opex_h100+Sens!E3198*tk_opex_gb200+Sens!E3199*tk_opex_gb300+(Sens!E3201+Sens!E3200)*tk_opex_vr200)/Sens!E3189</f>
        <v>1.88636041306092</v>
      </c>
      <c r="F3207" s="15" t="n">
        <f aca="false">(Sens!F3197*tk_opex_h100+Sens!F3198*tk_opex_gb200+Sens!F3199*tk_opex_gb300+(Sens!F3201+Sens!F3200)*tk_opex_vr200)/Sens!F3189</f>
        <v>1.90979686208616</v>
      </c>
      <c r="G3207" s="15" t="n">
        <f aca="false">(Sens!G3197*tk_opex_h100+Sens!G3198*tk_opex_gb200+Sens!G3199*tk_opex_gb300+(Sens!G3201+Sens!G3200)*tk_opex_vr200)/Sens!G3189</f>
        <v>1.92769515165485</v>
      </c>
      <c r="H3207" s="15" t="n">
        <f aca="false">(Sens!H3197*tk_opex_h100+Sens!H3198*tk_opex_gb200+Sens!H3199*tk_opex_gb300+(Sens!H3201+Sens!H3200)*tk_opex_vr200)/Sens!H3189</f>
        <v>1.92769515165485</v>
      </c>
      <c r="I3207" s="15" t="n">
        <f aca="false">(Sens!I3197*tk_opex_h100+Sens!I3198*tk_opex_gb200+Sens!I3199*tk_opex_gb300+(Sens!I3201+Sens!I3200)*tk_opex_vr200)/Sens!I3189</f>
        <v>1.95083610383771</v>
      </c>
      <c r="J3207" s="15" t="n">
        <f aca="false">(Sens!J3197*tk_opex_h100+Sens!J3198*tk_opex_gb200+Sens!J3199*tk_opex_gb300+(Sens!J3201+Sens!J3200)*tk_opex_vr200)/Sens!J3189</f>
        <v>1.98578366427713</v>
      </c>
      <c r="K3207" s="15" t="n">
        <f aca="false">(Sens!K3197*tk_opex_h100+Sens!K3198*tk_opex_gb200+Sens!K3199*tk_opex_gb300+(Sens!K3201+Sens!K3200)*tk_opex_vr200)/Sens!K3189</f>
        <v>2.05520652082571</v>
      </c>
      <c r="L3207" s="12" t="s">
        <v>983</v>
      </c>
    </row>
    <row r="3208" customFormat="false" ht="17.15" hidden="false" customHeight="false" outlineLevel="0" collapsed="false">
      <c r="A3208" s="0" t="s">
        <v>984</v>
      </c>
      <c r="B3208" s="0" t="s">
        <v>98</v>
      </c>
      <c r="D3208" s="6" t="n">
        <f aca="false">(Sens!C3192+Sens!D3192)/2*Sens!D3207/1000</f>
        <v>2.70378325872065</v>
      </c>
      <c r="E3208" s="6" t="n">
        <f aca="false">(Sens!D3192+Sens!E3192)/2*Sens!E3207/1000</f>
        <v>6.17783035277451</v>
      </c>
      <c r="F3208" s="6" t="n">
        <f aca="false">(Sens!E3192+Sens!F3192)/2*Sens!F3207/1000</f>
        <v>9.30071071835958</v>
      </c>
      <c r="G3208" s="6" t="n">
        <f aca="false">(Sens!F3192+Sens!G3192)/2*Sens!G3207/1000</f>
        <v>10.8818391310916</v>
      </c>
      <c r="H3208" s="6" t="n">
        <f aca="false">(Sens!G3192+Sens!H3192)/2*Sens!H3207/1000</f>
        <v>11.6625556675118</v>
      </c>
      <c r="I3208" s="6" t="n">
        <f aca="false">(Sens!H3192+Sens!I3192)/2*Sens!I3207/1000</f>
        <v>11.8025584282181</v>
      </c>
      <c r="J3208" s="6" t="n">
        <f aca="false">(Sens!I3192+Sens!J3192)/2*Sens!J3207/1000</f>
        <v>12.0139911688766</v>
      </c>
      <c r="K3208" s="6" t="n">
        <f aca="false">(Sens!J3192+Sens!K3192)/2*Sens!K3207/1000</f>
        <v>12.4339994509955</v>
      </c>
    </row>
    <row r="3209" customFormat="false" ht="17.15" hidden="false" customHeight="false" outlineLevel="0" collapsed="false">
      <c r="A3209" s="0" t="s">
        <v>985</v>
      </c>
      <c r="B3209" s="0" t="s">
        <v>98</v>
      </c>
      <c r="D3209" s="6" t="n">
        <f aca="false">(Sens!C3190+Sens!D3190)/2*rent_mw/1000</f>
        <v>2.44475</v>
      </c>
      <c r="E3209" s="6" t="n">
        <f aca="false">(Sens!D3190+Sens!E3190)/2*rent_mw/1000</f>
        <v>4.22275</v>
      </c>
      <c r="F3209" s="6" t="n">
        <f aca="false">(Sens!E3190+Sens!F3190)/2*rent_mw/1000</f>
        <v>5.80517</v>
      </c>
      <c r="G3209" s="6" t="n">
        <f aca="false">(Sens!F3190+Sens!G3190)/2*rent_mw/1000</f>
        <v>6.72084</v>
      </c>
      <c r="H3209" s="6" t="n">
        <f aca="false">(Sens!G3190+Sens!H3190)/2*rent_mw/1000</f>
        <v>6.72084</v>
      </c>
      <c r="I3209" s="6" t="n">
        <f aca="false">(Sens!H3190+Sens!I3190)/2*rent_mw/1000</f>
        <v>6.72084</v>
      </c>
      <c r="J3209" s="6" t="n">
        <f aca="false">(Sens!I3190+Sens!J3190)/2*rent_mw/1000</f>
        <v>6.72084</v>
      </c>
      <c r="K3209" s="6" t="n">
        <f aca="false">(Sens!J3190+Sens!K3190)/2*rent_mw/1000</f>
        <v>6.72084</v>
      </c>
    </row>
    <row r="3210" customFormat="false" ht="17.15" hidden="false" customHeight="false" outlineLevel="0" collapsed="false">
      <c r="A3210" s="0" t="s">
        <v>986</v>
      </c>
      <c r="B3210" s="0" t="s">
        <v>98</v>
      </c>
      <c r="D3210" s="6" t="n">
        <f aca="false">(Sens!C3192+Sens!D3192)/2*(1-self_build)*fac_rent/1000</f>
        <v>0.853242375631075</v>
      </c>
      <c r="E3210" s="6" t="n">
        <f aca="false">(Sens!D3192+Sens!E3192)/2*(1-self_build)*fac_rent/1000</f>
        <v>1.94955961408728</v>
      </c>
      <c r="F3210" s="6" t="n">
        <f aca="false">(Sens!E3192+Sens!F3192)/2*(1-self_build)*fac_rent/1000</f>
        <v>2.89903979255117</v>
      </c>
      <c r="G3210" s="6" t="n">
        <f aca="false">(Sens!F3192+Sens!G3192)/2*(1-self_build)*fac_rent/1000</f>
        <v>3.36038596077029</v>
      </c>
      <c r="H3210" s="6" t="n">
        <f aca="false">(Sens!G3192+Sens!H3192)/2*(1-self_build)*fac_rent/1000</f>
        <v>3.60147653900094</v>
      </c>
      <c r="I3210" s="6" t="n">
        <f aca="false">(Sens!H3192+Sens!I3192)/2*(1-self_build)*fac_rent/1000</f>
        <v>3.60147653900094</v>
      </c>
      <c r="J3210" s="6" t="n">
        <f aca="false">(Sens!I3192+Sens!J3192)/2*(1-self_build)*fac_rent/1000</f>
        <v>3.60147653900094</v>
      </c>
      <c r="K3210" s="6" t="n">
        <f aca="false">(Sens!J3192+Sens!K3192)/2*(1-self_build)*fac_rent/1000</f>
        <v>3.60147653900094</v>
      </c>
      <c r="L3210" s="12" t="s">
        <v>987</v>
      </c>
    </row>
    <row r="3211" customFormat="false" ht="17.15" hidden="false" customHeight="false" outlineLevel="0" collapsed="false">
      <c r="A3211" s="1" t="s">
        <v>988</v>
      </c>
      <c r="B3211" s="0" t="s">
        <v>168</v>
      </c>
      <c r="D3211" s="7" t="n">
        <f aca="false">(Sens!C3191+Sens!D3191)/(Sens!C3192+Sens!D3192)</f>
        <v>0.6</v>
      </c>
      <c r="E3211" s="7" t="n">
        <f aca="false">(Sens!D3191+Sens!E3191)/(Sens!D3192+Sens!E3192)</f>
        <v>0.6</v>
      </c>
      <c r="F3211" s="7" t="n">
        <f aca="false">(Sens!E3191+Sens!F3191)/(Sens!E3192+Sens!F3192)</f>
        <v>0.6</v>
      </c>
      <c r="G3211" s="7" t="n">
        <f aca="false">(Sens!F3191+Sens!G3191)/(Sens!F3192+Sens!G3192)</f>
        <v>0.6</v>
      </c>
      <c r="H3211" s="7" t="n">
        <f aca="false">(Sens!G3191+Sens!H3191)/(Sens!G3192+Sens!H3192)</f>
        <v>0.6</v>
      </c>
      <c r="I3211" s="7" t="n">
        <f aca="false">(Sens!H3191+Sens!I3191)/(Sens!H3192+Sens!I3192)</f>
        <v>0.6</v>
      </c>
      <c r="J3211" s="7" t="n">
        <f aca="false">(Sens!I3191+Sens!J3191)/(Sens!I3192+Sens!J3192)</f>
        <v>0.6</v>
      </c>
      <c r="K3211" s="7" t="n">
        <f aca="false">(Sens!J3191+Sens!K3191)/(Sens!J3192+Sens!K3192)</f>
        <v>0.6</v>
      </c>
    </row>
    <row r="3212" customFormat="false" ht="17.15" hidden="false" customHeight="false" outlineLevel="0" collapsed="false">
      <c r="A3212" s="0" t="s">
        <v>989</v>
      </c>
      <c r="B3212" s="0" t="s">
        <v>98</v>
      </c>
      <c r="D3212" s="6" t="n">
        <f aca="false">Sens!D3206-Sens!D3211*(Sens!D3208+Sens!D3210)-Sens!D3209</f>
        <v>8.35701406163072</v>
      </c>
      <c r="E3212" s="6" t="n">
        <f aca="false">Sens!E3206-Sens!E3211*(Sens!E3208+Sens!E3210)-Sens!E3209</f>
        <v>18.7103224860238</v>
      </c>
      <c r="F3212" s="6" t="n">
        <f aca="false">Sens!F3206-Sens!F3211*(Sens!F3208+Sens!F3210)-Sens!F3209</f>
        <v>31.1904057266485</v>
      </c>
      <c r="G3212" s="6" t="n">
        <f aca="false">Sens!G3206-Sens!G3211*(Sens!G3208+Sens!G3210)-Sens!G3209</f>
        <v>40.2080100095152</v>
      </c>
      <c r="H3212" s="6" t="n">
        <f aca="false">Sens!H3206-Sens!H3211*(Sens!H3208+Sens!H3210)-Sens!H3209</f>
        <v>46.3011514269424</v>
      </c>
      <c r="I3212" s="6" t="n">
        <f aca="false">Sens!I3206-Sens!I3211*(Sens!I3208+Sens!I3210)-Sens!I3209</f>
        <v>47.5622037540297</v>
      </c>
      <c r="J3212" s="6" t="n">
        <f aca="false">Sens!J3206-Sens!J3211*(Sens!J3208+Sens!J3210)-Sens!J3209</f>
        <v>49.4666501255493</v>
      </c>
      <c r="K3212" s="6" t="n">
        <f aca="false">Sens!K3206-Sens!K3211*(Sens!K3208+Sens!K3210)-Sens!K3209</f>
        <v>53.2498071068112</v>
      </c>
    </row>
    <row r="3213" customFormat="false" ht="17.15" hidden="false" customHeight="false" outlineLevel="0" collapsed="false">
      <c r="A3213" s="1" t="s">
        <v>990</v>
      </c>
      <c r="B3213" s="0" t="s">
        <v>98</v>
      </c>
      <c r="D3213" s="6" t="n">
        <f aca="false">(1-Sens!D3211)*(Sens!D3208+Sens!D3210)</f>
        <v>1.42281025374069</v>
      </c>
      <c r="E3213" s="6" t="n">
        <f aca="false">(1-Sens!E3211)*(Sens!E3208+Sens!E3210)</f>
        <v>3.25095598674472</v>
      </c>
      <c r="F3213" s="6" t="n">
        <f aca="false">(1-Sens!F3211)*(Sens!F3208+Sens!F3210)</f>
        <v>4.8799002043643</v>
      </c>
      <c r="G3213" s="6" t="n">
        <f aca="false">(1-Sens!G3211)*(Sens!G3208+Sens!G3210)</f>
        <v>5.69689003674476</v>
      </c>
      <c r="H3213" s="6" t="n">
        <f aca="false">(1-Sens!H3211)*(Sens!H3208+Sens!H3210)</f>
        <v>6.1056128826051</v>
      </c>
      <c r="I3213" s="6" t="n">
        <f aca="false">(1-Sens!I3211)*(Sens!I3208+Sens!I3210)</f>
        <v>6.16161398688763</v>
      </c>
      <c r="J3213" s="6" t="n">
        <f aca="false">(1-Sens!J3211)*(Sens!J3208+Sens!J3210)</f>
        <v>6.24618708315103</v>
      </c>
      <c r="K3213" s="6" t="n">
        <f aca="false">(1-Sens!K3211)*(Sens!K3208+Sens!K3210)</f>
        <v>6.41419039599859</v>
      </c>
    </row>
    <row r="3214" customFormat="false" ht="17.15" hidden="false" customHeight="false" outlineLevel="0" collapsed="false">
      <c r="A3214" s="1" t="s">
        <v>991</v>
      </c>
      <c r="B3214" s="0" t="s">
        <v>417</v>
      </c>
      <c r="C3214" s="8" t="n">
        <f aca="false">cxit_open</f>
        <v>27.5918995</v>
      </c>
      <c r="D3214" s="8" t="n">
        <f aca="false">cxit_open</f>
        <v>27.5918995</v>
      </c>
      <c r="E3214" s="8" t="n">
        <f aca="false">cxit_open</f>
        <v>27.5918995</v>
      </c>
      <c r="F3214" s="8" t="n">
        <f aca="false">((a_g3_27-nonnv*a_mai)*tk_cxit_gb300+nonnv*a_mai*nv_hold_mai*tk_cxit_vr200+(1-a_g3_27)*tk_cxit_vr200)</f>
        <v>32.4975576</v>
      </c>
      <c r="G3214" s="8" t="n">
        <f aca="false">((a_g3_28-nonnv*a_mai)*tk_cxit_gb300+nonnv*a_mai*nv_hold_mai*tk_cxit_vr200+(1-a_g3_28)*tk_cxit_vr200)</f>
        <v>34.6372088</v>
      </c>
      <c r="H3214" s="8" t="n">
        <f aca="false">((a_g3_29-nonnv*a_mai)*tk_cxit_gb300+nonnv*a_mai*nv_hold_mai*tk_cxit_vr200+(1-a_g3_29)*tk_cxit_vr200)</f>
        <v>35.7070344</v>
      </c>
      <c r="I3214" s="8" t="n">
        <f aca="false">((a_g3_29-nonnv*a_mai)*tk_cxit_gb300+nonnv*a_mai*nv_hold_mai*tk_cxit_vr200+(1-a_g3_29)*tk_cxit_vr200)</f>
        <v>35.7070344</v>
      </c>
      <c r="J3214" s="8" t="n">
        <f aca="false">((a_g3_29-nonnv*a_mai)*tk_cxit_gb300+nonnv*a_mai*nv_hold_mai*tk_cxit_vr200+(1-a_g3_29)*tk_cxit_vr200)</f>
        <v>35.7070344</v>
      </c>
      <c r="K3214" s="8" t="n">
        <f aca="false">((a_g3_29-nonnv*a_mai)*tk_cxit_gb300+nonnv*a_mai*nv_hold_mai*tk_cxit_vr200+(1-a_g3_29)*tk_cxit_vr200)</f>
        <v>35.7070344</v>
      </c>
      <c r="L3214" s="12" t="s">
        <v>992</v>
      </c>
    </row>
    <row r="3215" customFormat="false" ht="17.15" hidden="false" customHeight="false" outlineLevel="0" collapsed="false">
      <c r="A3215" s="0" t="s">
        <v>993</v>
      </c>
      <c r="B3215" s="0" t="s">
        <v>459</v>
      </c>
      <c r="F3215" s="30" t="n">
        <f aca="false">Sens!C3194*IF(Sens!F3187-Sens!C3187=life_it,1,0)+Sens!D3194*IF(Sens!F3187-Sens!D3187=life_it,1,0)+Sens!E3194*IF(Sens!F3187-Sens!E3187=life_it,1,0)</f>
        <v>0</v>
      </c>
      <c r="G3215" s="30" t="n">
        <f aca="false">Sens!C3194*IF(Sens!G3187-Sens!C3187=life_it,1,0)+Sens!D3194*IF(Sens!G3187-Sens!D3187=life_it,1,0)+Sens!E3194*IF(Sens!G3187-Sens!E3187=life_it,1,0)+Sens!F3194*IF(Sens!G3187-Sens!F3187=life_it,1,0)</f>
        <v>0</v>
      </c>
      <c r="H3215" s="30" t="n">
        <f aca="false">Sens!C3194*IF(Sens!H3187-Sens!C3187=life_it,1,0)+Sens!D3194*IF(Sens!H3187-Sens!D3187=life_it,1,0)+Sens!E3194*IF(Sens!H3187-Sens!E3187=life_it,1,0)+Sens!F3194*IF(Sens!H3187-Sens!F3187=life_it,1,0)+Sens!G3194*IF(Sens!H3187-Sens!G3187=life_it,1,0)</f>
        <v>0</v>
      </c>
      <c r="I3215" s="30" t="n">
        <f aca="false">Sens!C3194*IF(Sens!I3187-Sens!C3187=life_it,1,0)+Sens!D3194*IF(Sens!I3187-Sens!D3187=life_it,1,0)+Sens!E3194*IF(Sens!I3187-Sens!E3187=life_it,1,0)+Sens!F3194*IF(Sens!I3187-Sens!F3187=life_it,1,0)+Sens!G3194*IF(Sens!I3187-Sens!G3187=life_it,1,0)+Sens!H3194*IF(Sens!I3187-Sens!H3187=life_it,1,0)</f>
        <v>816.666666666667</v>
      </c>
      <c r="J3215" s="30" t="n">
        <f aca="false">Sens!C3194*IF(Sens!J3187-Sens!C3187=life_it,1,0)+Sens!D3194*IF(Sens!J3187-Sens!D3187=life_it,1,0)+Sens!E3194*IF(Sens!J3187-Sens!E3187=life_it,1,0)+Sens!F3194*IF(Sens!J3187-Sens!F3187=life_it,1,0)+Sens!G3194*IF(Sens!J3187-Sens!G3187=life_it,1,0)+Sens!H3194*IF(Sens!J3187-Sens!H3187=life_it,1,0)+Sens!I3194*IF(Sens!J3187-Sens!I3187=life_it,1,0)</f>
        <v>1233.33333333333</v>
      </c>
      <c r="K3215" s="30" t="n">
        <f aca="false">Sens!C3194*IF(Sens!K3187-Sens!C3187=life_it,1,0)+Sens!D3194*IF(Sens!K3187-Sens!D3187=life_it,1,0)+Sens!E3194*IF(Sens!K3187-Sens!E3187=life_it,1,0)+Sens!F3194*IF(Sens!K3187-Sens!F3187=life_it,1,0)+Sens!G3194*IF(Sens!K3187-Sens!G3187=life_it,1,0)+Sens!H3194*IF(Sens!K3187-Sens!H3187=life_it,1,0)+Sens!I3194*IF(Sens!K3187-Sens!I3187=life_it,1,0)+Sens!J3194*IF(Sens!K3187-Sens!J3187=life_it,1,0)</f>
        <v>2450</v>
      </c>
      <c r="L3215" s="1" t="s">
        <v>994</v>
      </c>
    </row>
    <row r="3216" customFormat="false" ht="17.15" hidden="false" customHeight="false" outlineLevel="0" collapsed="false">
      <c r="A3216" s="0" t="s">
        <v>995</v>
      </c>
      <c r="B3216" s="0" t="s">
        <v>98</v>
      </c>
      <c r="C3216" s="6" t="n">
        <f aca="false">Sens!C3194*Sens!C3214/1000</f>
        <v>22.5333845916667</v>
      </c>
      <c r="D3216" s="6" t="n">
        <f aca="false">Sens!D3194*Sens!D3214/1000</f>
        <v>34.0300093833333</v>
      </c>
      <c r="E3216" s="6" t="n">
        <f aca="false">Sens!E3194*Sens!E3214/1000</f>
        <v>67.600153775</v>
      </c>
      <c r="F3216" s="6" t="n">
        <f aca="false">(Sens!F3194+Sens!F3215)*Sens!F3214/1000</f>
        <v>24.048192624</v>
      </c>
      <c r="G3216" s="6" t="n">
        <f aca="false">(Sens!G3194+Sens!G3215)*Sens!G3214/1000</f>
        <v>28.056139128</v>
      </c>
      <c r="H3216" s="6" t="n">
        <f aca="false">(Sens!H3194+Sens!H3215)*Sens!H3214/1000</f>
        <v>0</v>
      </c>
      <c r="I3216" s="6" t="n">
        <f aca="false">(Sens!I3194+Sens!I3215)*Sens!I3214/1000</f>
        <v>29.16074476</v>
      </c>
      <c r="J3216" s="6" t="n">
        <f aca="false">(Sens!J3194+Sens!J3215)*Sens!J3214/1000</f>
        <v>44.03867576</v>
      </c>
      <c r="K3216" s="6" t="n">
        <f aca="false">(Sens!K3194+Sens!K3215)*Sens!K3214/1000</f>
        <v>87.48223428</v>
      </c>
    </row>
    <row r="3217" customFormat="false" ht="17.15" hidden="false" customHeight="false" outlineLevel="0" collapsed="false">
      <c r="A3217" s="0" t="s">
        <v>996</v>
      </c>
      <c r="B3217" s="0" t="s">
        <v>98</v>
      </c>
      <c r="C3217" s="6" t="n">
        <f aca="false">Sens!C3194*self_build*tk_cxfac/1000</f>
        <v>6.2083</v>
      </c>
      <c r="D3217" s="6" t="n">
        <f aca="false">Sens!D3194*self_build*tk_cxfac/1000</f>
        <v>9.3758</v>
      </c>
      <c r="E3217" s="6" t="n">
        <f aca="false">Sens!E3194*self_build*tk_cxfac/1000</f>
        <v>18.6249</v>
      </c>
      <c r="F3217" s="6" t="n">
        <f aca="false">Sens!F3194*self_build*tk_cxfac/1000</f>
        <v>5.62548</v>
      </c>
      <c r="G3217" s="6" t="n">
        <f aca="false">Sens!G3194*self_build*tk_cxfac/1000</f>
        <v>6.15762</v>
      </c>
      <c r="H3217" s="6" t="n">
        <f aca="false">Sens!H3194*self_build*tk_cxfac/1000</f>
        <v>0</v>
      </c>
      <c r="I3217" s="6" t="n">
        <f aca="false">Sens!I3194*self_build*tk_cxfac/1000</f>
        <v>0</v>
      </c>
      <c r="J3217" s="6" t="n">
        <f aca="false">Sens!J3194*self_build*tk_cxfac/1000</f>
        <v>0</v>
      </c>
      <c r="K3217" s="6" t="n">
        <f aca="false">Sens!K3194*self_build*tk_cxfac/1000</f>
        <v>0</v>
      </c>
    </row>
    <row r="3218" customFormat="false" ht="17.15" hidden="false" customHeight="false" outlineLevel="0" collapsed="false">
      <c r="A3218" s="0" t="s">
        <v>997</v>
      </c>
      <c r="B3218" s="0" t="s">
        <v>98</v>
      </c>
      <c r="F3218" s="15" t="n">
        <f aca="false">capex_floor27-Sens!F3216-Sens!F3217-Sens!F3314</f>
        <v>138.178366300118</v>
      </c>
      <c r="L3218" s="12" t="s">
        <v>998</v>
      </c>
    </row>
    <row r="3219" customFormat="false" ht="17.15" hidden="false" customHeight="false" outlineLevel="0" collapsed="false">
      <c r="A3219" s="0" t="s">
        <v>999</v>
      </c>
      <c r="B3219" s="0" t="s">
        <v>98</v>
      </c>
      <c r="F3219" s="6" t="n">
        <f aca="false">MAX(0,Sens!F3218)</f>
        <v>138.178366300118</v>
      </c>
    </row>
    <row r="3220" customFormat="false" ht="17.15" hidden="false" customHeight="false" outlineLevel="0" collapsed="false">
      <c r="A3220" s="0" t="s">
        <v>1000</v>
      </c>
      <c r="B3220" s="0" t="s">
        <v>98</v>
      </c>
      <c r="C3220" s="6" t="n">
        <f aca="false">Sens!C3216</f>
        <v>22.5333845916667</v>
      </c>
      <c r="D3220" s="6" t="n">
        <f aca="false">Sens!D3216</f>
        <v>34.0300093833333</v>
      </c>
      <c r="E3220" s="6" t="n">
        <f aca="false">Sens!E3216</f>
        <v>67.600153775</v>
      </c>
      <c r="F3220" s="6" t="n">
        <f aca="false">Sens!F3216</f>
        <v>24.048192624</v>
      </c>
      <c r="G3220" s="6" t="n">
        <f aca="false">Sens!G3216</f>
        <v>28.056139128</v>
      </c>
      <c r="H3220" s="6" t="n">
        <f aca="false">Sens!H3216</f>
        <v>0</v>
      </c>
      <c r="I3220" s="6" t="n">
        <f aca="false">Sens!I3216</f>
        <v>29.16074476</v>
      </c>
      <c r="J3220" s="6" t="n">
        <f aca="false">Sens!J3216</f>
        <v>44.03867576</v>
      </c>
      <c r="K3220" s="6" t="n">
        <f aca="false">Sens!K3216</f>
        <v>87.48223428</v>
      </c>
    </row>
    <row r="3221" customFormat="false" ht="17.15" hidden="false" customHeight="false" outlineLevel="0" collapsed="false">
      <c r="A3221" s="0" t="s">
        <v>1001</v>
      </c>
      <c r="B3221" s="0" t="s">
        <v>98</v>
      </c>
      <c r="C3221" s="6" t="n">
        <f aca="false">Sens!C3220+Sens!C3217</f>
        <v>28.7416845916667</v>
      </c>
      <c r="D3221" s="6" t="n">
        <f aca="false">Sens!D3220+Sens!D3217</f>
        <v>43.4058093833333</v>
      </c>
      <c r="E3221" s="6" t="n">
        <f aca="false">Sens!E3220+Sens!E3217</f>
        <v>86.225053775</v>
      </c>
      <c r="F3221" s="6" t="n">
        <f aca="false">Sens!F3220+Sens!F3217</f>
        <v>29.673672624</v>
      </c>
      <c r="G3221" s="6" t="n">
        <f aca="false">Sens!G3220+Sens!G3217</f>
        <v>34.213759128</v>
      </c>
      <c r="H3221" s="6" t="n">
        <f aca="false">Sens!H3220+Sens!H3217</f>
        <v>0</v>
      </c>
      <c r="I3221" s="6" t="n">
        <f aca="false">Sens!I3220+Sens!I3217</f>
        <v>29.16074476</v>
      </c>
      <c r="J3221" s="6" t="n">
        <f aca="false">Sens!J3220+Sens!J3217</f>
        <v>44.03867576</v>
      </c>
      <c r="K3221" s="6" t="n">
        <f aca="false">Sens!K3220+Sens!K3217</f>
        <v>87.48223428</v>
      </c>
      <c r="L3221" s="12" t="s">
        <v>1002</v>
      </c>
    </row>
    <row r="3222" customFormat="false" ht="17.15" hidden="false" customHeight="false" outlineLevel="0" collapsed="false">
      <c r="A3222" s="0" t="s">
        <v>1003</v>
      </c>
      <c r="B3222" s="0" t="s">
        <v>98</v>
      </c>
      <c r="E3222" s="6" t="n">
        <f aca="false">(Sens!C3220*IF(2&lt;life_it,1,IF(2=life_it,0.5,0))+Sens!D3220*IF(1&lt;life_it,1,IF(1=life_it,0.5,0))+Sens!E3220*0.5)/life_it</f>
        <v>15.0605784770833</v>
      </c>
      <c r="F3222" s="6" t="n">
        <f aca="false">(Sens!C3220*IF(3&lt;life_it,1,IF(3=life_it,0.5,0))+Sens!D3220*IF(2&lt;life_it,1,IF(2=life_it,0.5,0))+Sens!E3220*IF(1&lt;life_it,1,IF(1=life_it,0.5,0))+Sens!F3220*0.5)/life_it</f>
        <v>22.697940677</v>
      </c>
      <c r="G3222" s="6" t="n">
        <f aca="false">(Sens!C3220*IF(4&lt;life_it,1,IF(4=life_it,0.5,0))+Sens!D3220*IF(3&lt;life_it,1,IF(3=life_it,0.5,0))+Sens!E3220*IF(2&lt;life_it,1,IF(2=life_it,0.5,0))+Sens!F3220*IF(1&lt;life_it,1,IF(1=life_it,0.5,0))+Sens!G3220*0.5)/life_it</f>
        <v>27.039968323</v>
      </c>
      <c r="H3222" s="6" t="n">
        <f aca="false">(Sens!C3220*IF(5&lt;life_it,1,IF(5=life_it,0.5,0))+Sens!D3220*IF(4&lt;life_it,1,IF(4=life_it,0.5,0))+Sens!E3220*IF(3&lt;life_it,1,IF(3=life_it,0.5,0))+Sens!F3220*IF(2&lt;life_it,1,IF(2=life_it,0.5,0))+Sens!G3220*IF(1&lt;life_it,1,IF(1=life_it,0.5,0))+Sens!H3220*0.5)/life_it</f>
        <v>29.377979917</v>
      </c>
      <c r="I3222" s="6" t="n">
        <f aca="false">(Sens!C3220*IF(6&lt;life_it,1,IF(6=life_it,0.5,0))+Sens!D3220*IF(5&lt;life_it,1,IF(5=life_it,0.5,0))+Sens!E3220*IF(4&lt;life_it,1,IF(4=life_it,0.5,0))+Sens!F3220*IF(3&lt;life_it,1,IF(3=life_it,0.5,0))+Sens!G3220*IF(2&lt;life_it,1,IF(2=life_it,0.5,0))+Sens!H3220*IF(1&lt;life_it,1,IF(1=life_it,0.5,0))+Sens!I3220*0.5)/life_it</f>
        <v>29.9302599310278</v>
      </c>
      <c r="J3222" s="6" t="n">
        <f aca="false">(Sens!C3220*IF(7&lt;life_it,1,IF(7=life_it,0.5,0))+Sens!D3220*IF(6&lt;life_it,1,IF(6=life_it,0.5,0))+Sens!E3220*IF(5&lt;life_it,1,IF(5=life_it,0.5,0))+Sens!F3220*IF(4&lt;life_it,1,IF(4=life_it,0.5,0))+Sens!G3220*IF(3&lt;life_it,1,IF(3=life_it,0.5,0))+Sens!H3220*IF(2&lt;life_it,1,IF(2=life_it,0.5,0))+Sens!I3220*IF(1&lt;life_it,1,IF(1=life_it,0.5,0))+Sens!J3220*0.5)/life_it</f>
        <v>31.3165954764444</v>
      </c>
      <c r="K3222" s="6" t="n">
        <f aca="false">(Sens!C3220*IF(8&lt;life_it,1,IF(8=life_it,0.5,0))+Sens!D3220*IF(7&lt;life_it,1,IF(7=life_it,0.5,0))+Sens!E3220*IF(6&lt;life_it,1,IF(6=life_it,0.5,0))+Sens!F3220*IF(5&lt;life_it,1,IF(5=life_it,0.5,0))+Sens!G3220*IF(4&lt;life_it,1,IF(4=life_it,0.5,0))+Sens!H3220*IF(3&lt;life_it,1,IF(3=life_it,0.5,0))+Sens!I3220*IF(2&lt;life_it,1,IF(2=life_it,0.5,0))+Sens!J3220*IF(1&lt;life_it,1,IF(1=life_it,0.5,0))+Sens!K3220*0.5)/life_it</f>
        <v>33.8074910499167</v>
      </c>
    </row>
    <row r="3223" customFormat="false" ht="17.15" hidden="false" customHeight="false" outlineLevel="0" collapsed="false">
      <c r="A3223" s="0" t="s">
        <v>1004</v>
      </c>
      <c r="B3223" s="0" t="s">
        <v>98</v>
      </c>
      <c r="E3223" s="6" t="n">
        <f aca="false">(Sens!C3217*IF(2&lt;life_fac,1,IF(2=life_fac,0.5,0))+Sens!D3217*IF(1&lt;life_fac,1,IF(1=life_fac,0.5,0))+Sens!E3217*0.5)/life_fac</f>
        <v>1.2448275</v>
      </c>
      <c r="F3223" s="6" t="n">
        <f aca="false">(Sens!C3217*IF(3&lt;life_fac,1,IF(3=life_fac,0.5,0))+Sens!D3217*IF(2&lt;life_fac,1,IF(2=life_fac,0.5,0))+Sens!E3217*IF(1&lt;life_fac,1,IF(1=life_fac,0.5,0))+Sens!F3217*0.5)/life_fac</f>
        <v>1.851087</v>
      </c>
      <c r="G3223" s="6" t="n">
        <f aca="false">(Sens!C3217*IF(4&lt;life_fac,1,IF(4=life_fac,0.5,0))+Sens!D3217*IF(3&lt;life_fac,1,IF(3=life_fac,0.5,0))+Sens!E3217*IF(2&lt;life_fac,1,IF(2=life_fac,0.5,0))+Sens!F3217*IF(1&lt;life_fac,1,IF(1=life_fac,0.5,0))+Sens!G3217*0.5)/life_fac</f>
        <v>2.1456645</v>
      </c>
      <c r="H3223" s="6" t="n">
        <f aca="false">(Sens!C3217*IF(5&lt;life_fac,1,IF(5=life_fac,0.5,0))+Sens!D3217*IF(4&lt;life_fac,1,IF(4=life_fac,0.5,0))+Sens!E3217*IF(3&lt;life_fac,1,IF(3=life_fac,0.5,0))+Sens!F3217*IF(2&lt;life_fac,1,IF(2=life_fac,0.5,0))+Sens!G3217*IF(1&lt;life_fac,1,IF(1=life_fac,0.5,0))+Sens!H3217*0.5)/life_fac</f>
        <v>2.299605</v>
      </c>
      <c r="I3223" s="6" t="n">
        <f aca="false">(Sens!C3217*IF(6&lt;life_fac,1,IF(6=life_fac,0.5,0))+Sens!D3217*IF(5&lt;life_fac,1,IF(5=life_fac,0.5,0))+Sens!E3217*IF(4&lt;life_fac,1,IF(4=life_fac,0.5,0))+Sens!F3217*IF(3&lt;life_fac,1,IF(3=life_fac,0.5,0))+Sens!G3217*IF(2&lt;life_fac,1,IF(2=life_fac,0.5,0))+Sens!H3217*IF(1&lt;life_fac,1,IF(1=life_fac,0.5,0))+Sens!I3217*0.5)/life_fac</f>
        <v>2.299605</v>
      </c>
      <c r="J3223" s="6" t="n">
        <f aca="false">(Sens!C3217*IF(7&lt;life_fac,1,IF(7=life_fac,0.5,0))+Sens!D3217*IF(6&lt;life_fac,1,IF(6=life_fac,0.5,0))+Sens!E3217*IF(5&lt;life_fac,1,IF(5=life_fac,0.5,0))+Sens!F3217*IF(4&lt;life_fac,1,IF(4=life_fac,0.5,0))+Sens!G3217*IF(3&lt;life_fac,1,IF(3=life_fac,0.5,0))+Sens!H3217*IF(2&lt;life_fac,1,IF(2=life_fac,0.5,0))+Sens!I3217*IF(1&lt;life_fac,1,IF(1=life_fac,0.5,0))+Sens!J3217*0.5)/life_fac</f>
        <v>2.299605</v>
      </c>
      <c r="K3223" s="6" t="n">
        <f aca="false">(Sens!C3217*IF(8&lt;life_fac,1,IF(8=life_fac,0.5,0))+Sens!D3217*IF(7&lt;life_fac,1,IF(7=life_fac,0.5,0))+Sens!E3217*IF(6&lt;life_fac,1,IF(6=life_fac,0.5,0))+Sens!F3217*IF(5&lt;life_fac,1,IF(5=life_fac,0.5,0))+Sens!G3217*IF(4&lt;life_fac,1,IF(4=life_fac,0.5,0))+Sens!H3217*IF(3&lt;life_fac,1,IF(3=life_fac,0.5,0))+Sens!I3217*IF(2&lt;life_fac,1,IF(2=life_fac,0.5,0))+Sens!J3217*IF(1&lt;life_fac,1,IF(1=life_fac,0.5,0))+Sens!K3217*0.5)/life_fac</f>
        <v>2.299605</v>
      </c>
    </row>
    <row r="3224" customFormat="false" ht="17.15" hidden="false" customHeight="false" outlineLevel="0" collapsed="false">
      <c r="A3224" s="0" t="s">
        <v>1005</v>
      </c>
      <c r="B3224" s="0" t="s">
        <v>98</v>
      </c>
      <c r="E3224" s="6" t="n">
        <f aca="false">Sens!E3222+Sens!E3223</f>
        <v>16.3054059770833</v>
      </c>
      <c r="F3224" s="6" t="n">
        <f aca="false">Sens!F3222+Sens!F3223</f>
        <v>24.549027677</v>
      </c>
      <c r="G3224" s="6" t="n">
        <f aca="false">Sens!G3222+Sens!G3223</f>
        <v>29.185632823</v>
      </c>
      <c r="H3224" s="6" t="n">
        <f aca="false">Sens!H3222+Sens!H3223</f>
        <v>31.677584917</v>
      </c>
      <c r="I3224" s="6" t="n">
        <f aca="false">Sens!I3222+Sens!I3223</f>
        <v>32.2298649310278</v>
      </c>
      <c r="J3224" s="6" t="n">
        <f aca="false">Sens!J3222+Sens!J3223</f>
        <v>33.6162004764444</v>
      </c>
      <c r="K3224" s="6" t="n">
        <f aca="false">Sens!K3222+Sens!K3223</f>
        <v>36.1070960499167</v>
      </c>
    </row>
    <row r="3225" customFormat="false" ht="17.15" hidden="false" customHeight="false" outlineLevel="0" collapsed="false">
      <c r="A3225" s="0" t="s">
        <v>1006</v>
      </c>
      <c r="B3225" s="0" t="s">
        <v>98</v>
      </c>
      <c r="E3225" s="6" t="n">
        <f aca="false">Sens!E3212-Sens!E3211*Sens!E3224</f>
        <v>8.92707889977379</v>
      </c>
      <c r="F3225" s="6" t="n">
        <f aca="false">Sens!F3212-Sens!F3211*Sens!F3224</f>
        <v>16.4609891204485</v>
      </c>
      <c r="G3225" s="6" t="n">
        <f aca="false">Sens!G3212-Sens!G3211*Sens!G3224</f>
        <v>22.6966303157152</v>
      </c>
      <c r="H3225" s="6" t="n">
        <f aca="false">Sens!H3212-Sens!H3211*Sens!H3224</f>
        <v>27.2946004767424</v>
      </c>
      <c r="I3225" s="6" t="n">
        <f aca="false">Sens!I3212-Sens!I3211*Sens!I3224</f>
        <v>28.224284795413</v>
      </c>
      <c r="J3225" s="6" t="n">
        <f aca="false">Sens!J3212-Sens!J3211*Sens!J3224</f>
        <v>29.2969298396826</v>
      </c>
      <c r="K3225" s="6" t="n">
        <f aca="false">Sens!K3212-Sens!K3211*Sens!K3224</f>
        <v>31.5855494768612</v>
      </c>
    </row>
    <row r="3226" customFormat="false" ht="17.15" hidden="false" customHeight="false" outlineLevel="0" collapsed="false">
      <c r="A3226" s="3" t="s">
        <v>1691</v>
      </c>
    </row>
    <row r="3227" customFormat="false" ht="15" hidden="false" customHeight="false" outlineLevel="0" collapsed="false">
      <c r="A3227" s="4" t="s">
        <v>43</v>
      </c>
      <c r="B3227" s="4" t="s">
        <v>65</v>
      </c>
      <c r="C3227" s="23" t="s">
        <v>942</v>
      </c>
      <c r="D3227" s="23" t="s">
        <v>943</v>
      </c>
      <c r="E3227" s="23" t="s">
        <v>944</v>
      </c>
      <c r="F3227" s="23" t="s">
        <v>945</v>
      </c>
      <c r="G3227" s="23" t="s">
        <v>946</v>
      </c>
      <c r="H3227" s="23" t="s">
        <v>947</v>
      </c>
      <c r="I3227" s="23" t="s">
        <v>948</v>
      </c>
      <c r="J3227" s="23" t="s">
        <v>949</v>
      </c>
      <c r="K3227" s="23" t="s">
        <v>950</v>
      </c>
      <c r="L3227" s="4" t="s">
        <v>47</v>
      </c>
    </row>
    <row r="3228" customFormat="false" ht="17.15" hidden="false" customHeight="false" outlineLevel="0" collapsed="false">
      <c r="A3228" s="0" t="s">
        <v>1025</v>
      </c>
      <c r="B3228" s="0" t="s">
        <v>98</v>
      </c>
      <c r="D3228" s="6" t="n">
        <f aca="false">Sens!D3206</f>
        <v>12.9359794422418</v>
      </c>
      <c r="E3228" s="6" t="n">
        <f aca="false">Sens!E3206</f>
        <v>27.8095064661409</v>
      </c>
      <c r="F3228" s="6" t="n">
        <f aca="false">Sens!F3206</f>
        <v>44.3154260331949</v>
      </c>
      <c r="G3228" s="6" t="n">
        <f aca="false">Sens!G3206</f>
        <v>55.4741850646324</v>
      </c>
      <c r="H3228" s="6" t="n">
        <f aca="false">Sens!H3206</f>
        <v>62.1804107508501</v>
      </c>
      <c r="I3228" s="6" t="n">
        <f aca="false">Sens!I3206</f>
        <v>63.5254647343612</v>
      </c>
      <c r="J3228" s="6" t="n">
        <f aca="false">Sens!J3206</f>
        <v>65.5567707502758</v>
      </c>
      <c r="K3228" s="6" t="n">
        <f aca="false">Sens!K3206</f>
        <v>69.5919327008091</v>
      </c>
    </row>
    <row r="3229" customFormat="false" ht="17.15" hidden="false" customHeight="false" outlineLevel="0" collapsed="false">
      <c r="A3229" s="0" t="s">
        <v>1026</v>
      </c>
      <c r="B3229" s="0" t="s">
        <v>98</v>
      </c>
      <c r="D3229" s="6" t="n">
        <f aca="false">Q!L6-Sens!D3228</f>
        <v>59.6740205577583</v>
      </c>
      <c r="E3229" s="6" t="n">
        <f aca="false">Q!M6-Sens!E3228</f>
        <v>74.1284935338591</v>
      </c>
      <c r="F3229" s="6" t="n">
        <f aca="false">Q!$I$6+(Sens!F3228+Sens!E3229*(1+Sens!F3230))*(1-Q!$E$6/Q!M6)-Sens!F3228</f>
        <v>93.7338146233927</v>
      </c>
      <c r="G3229" s="6" t="n">
        <f aca="false">Sens!F3229*(1+Sens!G3230)</f>
        <v>111.369762046828</v>
      </c>
      <c r="H3229" s="6" t="n">
        <f aca="false">Sens!G3229*(1+Sens!H3230)</f>
        <v>129.312760636805</v>
      </c>
      <c r="I3229" s="6" t="n">
        <f aca="false">Sens!H3229*(1+Sens!I3230)</f>
        <v>146.650320873452</v>
      </c>
      <c r="J3229" s="6" t="n">
        <f aca="false">Sens!I3229*(1+Sens!J3230)</f>
        <v>162.347377293517</v>
      </c>
      <c r="K3229" s="6" t="n">
        <f aca="false">Sens!J3229*(1+Sens!K3230)</f>
        <v>175.335167476998</v>
      </c>
      <c r="L3229" s="12" t="s">
        <v>1027</v>
      </c>
    </row>
    <row r="3230" customFormat="false" ht="15" hidden="false" customHeight="false" outlineLevel="0" collapsed="false">
      <c r="A3230" s="1" t="s">
        <v>1028</v>
      </c>
      <c r="B3230" s="0" t="s">
        <v>168</v>
      </c>
      <c r="E3230" s="7" t="n">
        <f aca="false">Sens!E3229/Sens!D3229-1</f>
        <v>0.242223883039864</v>
      </c>
      <c r="F3230" s="7" t="n">
        <f aca="false">Sens!$E$3230+(glt_azo-Sens!$E$3230)*MIN(1,(Sens!F3187-base_fy)/n_conv)</f>
        <v>0.215186569199887</v>
      </c>
      <c r="G3230" s="7" t="n">
        <f aca="false">Sens!$E$3230+(glt_azo-Sens!$E$3230)*MIN(1,(Sens!G3187-base_fy)/n_conv)</f>
        <v>0.18814925535991</v>
      </c>
      <c r="H3230" s="7" t="n">
        <f aca="false">Sens!$E$3230+(glt_azo-Sens!$E$3230)*MIN(1,(Sens!H3187-base_fy)/n_conv)</f>
        <v>0.161111941519932</v>
      </c>
      <c r="I3230" s="7" t="n">
        <f aca="false">Sens!$E$3230+(glt_azo-Sens!$E$3230)*MIN(1,(Sens!I3187-base_fy)/n_conv)</f>
        <v>0.134074627679955</v>
      </c>
      <c r="J3230" s="7" t="n">
        <f aca="false">Sens!$E$3230+(glt_azo-Sens!$E$3230)*MIN(1,(Sens!J3187-base_fy)/n_conv)</f>
        <v>0.107037313839977</v>
      </c>
      <c r="K3230" s="7" t="n">
        <f aca="false">Sens!$E$3230+(glt_azo-Sens!$E$3230)*MIN(1,(Sens!K3187-base_fy)/n_conv)</f>
        <v>0.08</v>
      </c>
    </row>
    <row r="3231" customFormat="false" ht="15" hidden="false" customHeight="false" outlineLevel="0" collapsed="false">
      <c r="A3231" s="0" t="s">
        <v>1029</v>
      </c>
      <c r="B3231" s="0" t="s">
        <v>98</v>
      </c>
      <c r="D3231" s="6" t="n">
        <f aca="false">Sens!D3228+Sens!D3229</f>
        <v>72.61</v>
      </c>
      <c r="E3231" s="6" t="n">
        <f aca="false">Sens!E3228+Sens!E3229</f>
        <v>101.938</v>
      </c>
      <c r="F3231" s="6" t="n">
        <f aca="false">Sens!F3228+Sens!F3229</f>
        <v>138.049240656588</v>
      </c>
      <c r="G3231" s="6" t="n">
        <f aca="false">Sens!G3228+Sens!G3229</f>
        <v>166.84394711146</v>
      </c>
      <c r="H3231" s="6" t="n">
        <f aca="false">Sens!H3228+Sens!H3229</f>
        <v>191.493171387655</v>
      </c>
      <c r="I3231" s="6" t="n">
        <f aca="false">Sens!I3228+Sens!I3229</f>
        <v>210.175785607813</v>
      </c>
      <c r="J3231" s="6" t="n">
        <f aca="false">Sens!J3228+Sens!J3229</f>
        <v>227.904148043793</v>
      </c>
      <c r="K3231" s="6" t="n">
        <f aca="false">Sens!K3228+Sens!K3229</f>
        <v>244.927100177807</v>
      </c>
    </row>
    <row r="3232" customFormat="false" ht="17.15" hidden="false" customHeight="false" outlineLevel="0" collapsed="false">
      <c r="A3232" s="0" t="s">
        <v>1030</v>
      </c>
      <c r="B3232" s="1" t="s">
        <v>613</v>
      </c>
      <c r="C3232" s="30" t="n">
        <f aca="false">cop_s24</f>
        <v>1</v>
      </c>
      <c r="D3232" s="30" t="n">
        <f aca="false">cop_s25</f>
        <v>5</v>
      </c>
      <c r="E3232" s="30" t="n">
        <f aca="false">cop_s26</f>
        <v>30</v>
      </c>
      <c r="F3232" s="30" t="n">
        <f aca="false">Sens!E3232+cop_add_A</f>
        <v>60</v>
      </c>
      <c r="G3232" s="30" t="n">
        <f aca="false">Sens!F3232+cop_add_A</f>
        <v>90</v>
      </c>
      <c r="H3232" s="30" t="n">
        <f aca="false">Sens!G3232+cop_add_A</f>
        <v>120</v>
      </c>
      <c r="I3232" s="30" t="n">
        <f aca="false">Sens!H3232+cop_add_A*cop_tail</f>
        <v>135</v>
      </c>
      <c r="J3232" s="30" t="n">
        <f aca="false">Sens!I3232+cop_add_A*cop_tail</f>
        <v>150</v>
      </c>
      <c r="K3232" s="30" t="n">
        <f aca="false">Sens!J3232+cop_add_A*cop_tail</f>
        <v>165</v>
      </c>
      <c r="L3232" s="12" t="s">
        <v>1031</v>
      </c>
    </row>
    <row r="3233" customFormat="false" ht="17.15" hidden="false" customHeight="false" outlineLevel="0" collapsed="false">
      <c r="A3233" s="0" t="s">
        <v>1032</v>
      </c>
      <c r="B3233" s="0" t="s">
        <v>98</v>
      </c>
      <c r="D3233" s="6" t="n">
        <f aca="false">(Sens!C3232+Sens!D3232)/2*cop_px*12/1000</f>
        <v>0.9</v>
      </c>
      <c r="E3233" s="6" t="n">
        <f aca="false">(Sens!D3232+Sens!E3232)/2*cop_px*12/1000</f>
        <v>5.25</v>
      </c>
      <c r="F3233" s="6" t="n">
        <f aca="false">(Sens!E3232+Sens!F3232)/2*cop_px*12/1000</f>
        <v>13.5</v>
      </c>
      <c r="G3233" s="6" t="n">
        <f aca="false">(Sens!F3232+Sens!G3232)/2*cop_px*12/1000</f>
        <v>22.5</v>
      </c>
      <c r="H3233" s="6" t="n">
        <f aca="false">(Sens!G3232+Sens!H3232)/2*cop_px*12/1000</f>
        <v>31.5</v>
      </c>
      <c r="I3233" s="6" t="n">
        <f aca="false">(Sens!H3232+Sens!I3232)/2*cop_px*12/1000</f>
        <v>38.25</v>
      </c>
      <c r="J3233" s="6" t="n">
        <f aca="false">(Sens!I3232+Sens!J3232)/2*cop_px*12/1000</f>
        <v>42.75</v>
      </c>
      <c r="K3233" s="6" t="n">
        <f aca="false">(Sens!J3232+Sens!K3232)/2*cop_px*12/1000</f>
        <v>47.25</v>
      </c>
      <c r="L3233" s="1" t="s">
        <v>1033</v>
      </c>
    </row>
    <row r="3234" customFormat="false" ht="17.15" hidden="false" customHeight="false" outlineLevel="0" collapsed="false">
      <c r="A3234" s="0" t="s">
        <v>1034</v>
      </c>
      <c r="B3234" s="0" t="s">
        <v>98</v>
      </c>
      <c r="D3234" s="6" t="n">
        <f aca="false">Q!L7-Sens!D3233</f>
        <v>83.705</v>
      </c>
      <c r="E3234" s="6" t="n">
        <f aca="false">Q!M7-Sens!E3233</f>
        <v>95.049</v>
      </c>
      <c r="F3234" s="6" t="n">
        <f aca="false">Q!$I$7+(Sens!E3234*(1+Sens!F3235)+Sens!F3233)*(1-Q!$E$7/Q!M7)-Sens!F3233</f>
        <v>106.229653205718</v>
      </c>
      <c r="G3234" s="6" t="n">
        <f aca="false">Sens!F3234*(1+Sens!G3235)</f>
        <v>118.306092647576</v>
      </c>
      <c r="H3234" s="6" t="n">
        <f aca="false">Sens!G3234*(1+Sens!H3235)</f>
        <v>130.463437602768</v>
      </c>
      <c r="I3234" s="6" t="n">
        <f aca="false">Sens!H3234*(1+Sens!I3235)</f>
        <v>142.445354741933</v>
      </c>
      <c r="J3234" s="6" t="n">
        <f aca="false">Sens!I3234*(1+Sens!J3235)</f>
        <v>153.972117481571</v>
      </c>
      <c r="K3234" s="6" t="n">
        <f aca="false">Sens!J3234*(1+Sens!K3235)</f>
        <v>164.75016570528</v>
      </c>
      <c r="L3234" s="12" t="s">
        <v>1035</v>
      </c>
    </row>
    <row r="3235" customFormat="false" ht="15" hidden="false" customHeight="false" outlineLevel="0" collapsed="false">
      <c r="A3235" s="1" t="s">
        <v>1028</v>
      </c>
      <c r="B3235" s="0" t="s">
        <v>168</v>
      </c>
      <c r="E3235" s="7" t="n">
        <f aca="false">Sens!E3234/Sens!D3234-1</f>
        <v>0.135523564900544</v>
      </c>
      <c r="F3235" s="7" t="n">
        <f aca="false">Sens!$E$3235+(glt_m365b-Sens!$E$3235)*MIN(1,(Sens!F3187-base_fy)/n_conv)</f>
        <v>0.124602970750453</v>
      </c>
      <c r="G3235" s="7" t="n">
        <f aca="false">Sens!$E$3235+(glt_m365b-Sens!$E$3235)*MIN(1,(Sens!G3187-base_fy)/n_conv)</f>
        <v>0.113682376600363</v>
      </c>
      <c r="H3235" s="7" t="n">
        <f aca="false">Sens!$E$3235+(glt_m365b-Sens!$E$3235)*MIN(1,(Sens!H3187-base_fy)/n_conv)</f>
        <v>0.102761782450272</v>
      </c>
      <c r="I3235" s="7" t="n">
        <f aca="false">Sens!$E$3235+(glt_m365b-Sens!$E$3235)*MIN(1,(Sens!I3187-base_fy)/n_conv)</f>
        <v>0.0918411883001813</v>
      </c>
      <c r="J3235" s="7" t="n">
        <f aca="false">Sens!$E$3235+(glt_m365b-Sens!$E$3235)*MIN(1,(Sens!J3187-base_fy)/n_conv)</f>
        <v>0.0809205941500906</v>
      </c>
      <c r="K3235" s="7" t="n">
        <f aca="false">Sens!$E$3235+(glt_m365b-Sens!$E$3235)*MIN(1,(Sens!K3187-base_fy)/n_conv)</f>
        <v>0.07</v>
      </c>
    </row>
    <row r="3236" customFormat="false" ht="15" hidden="false" customHeight="false" outlineLevel="0" collapsed="false">
      <c r="A3236" s="0" t="s">
        <v>1036</v>
      </c>
      <c r="B3236" s="0" t="s">
        <v>98</v>
      </c>
      <c r="D3236" s="6" t="n">
        <f aca="false">Sens!D3234+Sens!D3233</f>
        <v>84.605</v>
      </c>
      <c r="E3236" s="6" t="n">
        <f aca="false">Sens!E3234+Sens!E3233</f>
        <v>100.299</v>
      </c>
      <c r="F3236" s="6" t="n">
        <f aca="false">Sens!F3234+Sens!F3233</f>
        <v>119.729653205718</v>
      </c>
      <c r="G3236" s="6" t="n">
        <f aca="false">Sens!G3234+Sens!G3233</f>
        <v>140.806092647576</v>
      </c>
      <c r="H3236" s="6" t="n">
        <f aca="false">Sens!H3234+Sens!H3233</f>
        <v>161.963437602768</v>
      </c>
      <c r="I3236" s="6" t="n">
        <f aca="false">Sens!I3234+Sens!I3233</f>
        <v>180.695354741933</v>
      </c>
      <c r="J3236" s="6" t="n">
        <f aca="false">Sens!J3234+Sens!J3233</f>
        <v>196.722117481571</v>
      </c>
      <c r="K3236" s="6" t="n">
        <f aca="false">Sens!K3234+Sens!K3233</f>
        <v>212.00016570528</v>
      </c>
    </row>
    <row r="3237" customFormat="false" ht="17.15" hidden="false" customHeight="false" outlineLevel="0" collapsed="false">
      <c r="A3237" s="0" t="s">
        <v>1037</v>
      </c>
      <c r="B3237" s="0" t="s">
        <v>98</v>
      </c>
      <c r="D3237" s="6" t="n">
        <f aca="false">Q!L8</f>
        <v>35.391</v>
      </c>
      <c r="E3237" s="6" t="n">
        <f aca="false">Q!M8</f>
        <v>37.285</v>
      </c>
      <c r="F3237" s="6" t="n">
        <f aca="false">Q!$I$8+(Q!M8-Q!$E$8)*(1+Sens!F3238)</f>
        <v>38.3851437782675</v>
      </c>
      <c r="G3237" s="6" t="n">
        <f aca="false">Sens!F3237*(1+Sens!G3238)</f>
        <v>40.0105353288615</v>
      </c>
      <c r="H3237" s="6" t="n">
        <f aca="false">Sens!G3237*(1+Sens!H3238)</f>
        <v>41.4812512033683</v>
      </c>
      <c r="I3237" s="6" t="n">
        <f aca="false">Sens!H3237*(1+Sens!I3238)</f>
        <v>42.7743107216329</v>
      </c>
      <c r="J3237" s="6" t="n">
        <f aca="false">Sens!I3237*(1+Sens!J3238)</f>
        <v>43.8687373064601</v>
      </c>
      <c r="K3237" s="6" t="n">
        <f aca="false">Sens!J3237*(1+Sens!K3238)</f>
        <v>44.7461120525893</v>
      </c>
      <c r="L3237" s="12" t="s">
        <v>1038</v>
      </c>
    </row>
    <row r="3238" customFormat="false" ht="15" hidden="false" customHeight="false" outlineLevel="0" collapsed="false">
      <c r="A3238" s="1" t="s">
        <v>1028</v>
      </c>
      <c r="B3238" s="0" t="s">
        <v>168</v>
      </c>
      <c r="E3238" s="7" t="n">
        <f aca="false">Sens!E3237/Sens!D3237-1</f>
        <v>0.0535164307309768</v>
      </c>
      <c r="F3238" s="7" t="n">
        <f aca="false">Sens!$E$3238+(glt_lic-Sens!$E$3238)*MIN(1,(Sens!F3187-base_fy)/n_conv)</f>
        <v>0.0479303589424807</v>
      </c>
      <c r="G3238" s="7" t="n">
        <f aca="false">Sens!$E$3238+(glt_lic-Sens!$E$3238)*MIN(1,(Sens!G3187-base_fy)/n_conv)</f>
        <v>0.0423442871539845</v>
      </c>
      <c r="H3238" s="7" t="n">
        <f aca="false">Sens!$E$3238+(glt_lic-Sens!$E$3238)*MIN(1,(Sens!H3187-base_fy)/n_conv)</f>
        <v>0.0367582153654884</v>
      </c>
      <c r="I3238" s="7" t="n">
        <f aca="false">Sens!$E$3238+(glt_lic-Sens!$E$3238)*MIN(1,(Sens!I3187-base_fy)/n_conv)</f>
        <v>0.0311721435769923</v>
      </c>
      <c r="J3238" s="7" t="n">
        <f aca="false">Sens!$E$3238+(glt_lic-Sens!$E$3238)*MIN(1,(Sens!J3187-base_fy)/n_conv)</f>
        <v>0.0255860717884961</v>
      </c>
      <c r="K3238" s="7" t="n">
        <f aca="false">Sens!$E$3238+(glt_lic-Sens!$E$3238)*MIN(1,(Sens!K3187-base_fy)/n_conv)</f>
        <v>0.02</v>
      </c>
    </row>
    <row r="3239" customFormat="false" ht="17.15" hidden="false" customHeight="false" outlineLevel="0" collapsed="false">
      <c r="A3239" s="0" t="s">
        <v>1039</v>
      </c>
      <c r="B3239" s="0" t="s">
        <v>98</v>
      </c>
      <c r="D3239" s="6" t="n">
        <f aca="false">Q!L9</f>
        <v>18.417</v>
      </c>
      <c r="E3239" s="6" t="n">
        <f aca="false">Q!M9</f>
        <v>20.345</v>
      </c>
      <c r="F3239" s="6" t="n">
        <f aca="false">Q!$I$9+(Q!M9-Q!$E$9)*(1+Sens!F3240)</f>
        <v>22.3161797133988</v>
      </c>
      <c r="G3239" s="6" t="n">
        <f aca="false">Sens!F3239*(1+Sens!G3240)</f>
        <v>24.3943499673233</v>
      </c>
      <c r="H3239" s="6" t="n">
        <f aca="false">Sens!G3239*(1+Sens!H3240)</f>
        <v>26.5250243109019</v>
      </c>
      <c r="I3239" s="6" t="n">
        <f aca="false">Sens!H3239*(1+Sens!I3240)</f>
        <v>28.6884573538181</v>
      </c>
      <c r="J3239" s="6" t="n">
        <f aca="false">Sens!I3239*(1+Sens!J3240)</f>
        <v>30.8624968052127</v>
      </c>
      <c r="K3239" s="6" t="n">
        <f aca="false">Sens!J3239*(1+Sens!K3240)</f>
        <v>33.0228715815776</v>
      </c>
      <c r="L3239" s="12" t="s">
        <v>1038</v>
      </c>
    </row>
    <row r="3240" customFormat="false" ht="15" hidden="false" customHeight="false" outlineLevel="0" collapsed="false">
      <c r="A3240" s="1" t="s">
        <v>1028</v>
      </c>
      <c r="B3240" s="0" t="s">
        <v>168</v>
      </c>
      <c r="E3240" s="7" t="n">
        <f aca="false">Sens!E3239/Sens!D3239-1</f>
        <v>0.104685888038225</v>
      </c>
      <c r="F3240" s="7" t="n">
        <f aca="false">Sens!$E$3240+(glt_ind-Sens!$E$3240)*MIN(1,(Sens!F3187-base_fy)/n_conv)</f>
        <v>0.0989049066985211</v>
      </c>
      <c r="G3240" s="7" t="n">
        <f aca="false">Sens!$E$3240+(glt_ind-Sens!$E$3240)*MIN(1,(Sens!G3187-base_fy)/n_conv)</f>
        <v>0.0931239253588169</v>
      </c>
      <c r="H3240" s="7" t="n">
        <f aca="false">Sens!$E$3240+(glt_ind-Sens!$E$3240)*MIN(1,(Sens!H3187-base_fy)/n_conv)</f>
        <v>0.0873429440191127</v>
      </c>
      <c r="I3240" s="7" t="n">
        <f aca="false">Sens!$E$3240+(glt_ind-Sens!$E$3240)*MIN(1,(Sens!I3187-base_fy)/n_conv)</f>
        <v>0.0815619626794085</v>
      </c>
      <c r="J3240" s="7" t="n">
        <f aca="false">Sens!$E$3240+(glt_ind-Sens!$E$3240)*MIN(1,(Sens!J3187-base_fy)/n_conv)</f>
        <v>0.0757809813397042</v>
      </c>
      <c r="K3240" s="7" t="n">
        <f aca="false">Sens!$E$3240+(glt_ind-Sens!$E$3240)*MIN(1,(Sens!K3187-base_fy)/n_conv)</f>
        <v>0.07</v>
      </c>
    </row>
    <row r="3241" customFormat="false" ht="17.15" hidden="false" customHeight="false" outlineLevel="0" collapsed="false">
      <c r="A3241" s="0" t="s">
        <v>1040</v>
      </c>
      <c r="B3241" s="0" t="s">
        <v>98</v>
      </c>
      <c r="D3241" s="6" t="n">
        <f aca="false">Q!L10</f>
        <v>7.76</v>
      </c>
      <c r="E3241" s="6" t="n">
        <f aca="false">Q!M10</f>
        <v>8.26</v>
      </c>
      <c r="F3241" s="6" t="n">
        <f aca="false">Q!$I$10+(Q!M10-Q!$E$10)*(1+Sens!F3242)</f>
        <v>8.75372082474227</v>
      </c>
      <c r="G3241" s="6" t="n">
        <f aca="false">Sens!F3241*(1+Sens!G3242)</f>
        <v>9.33399324642364</v>
      </c>
      <c r="H3241" s="6" t="n">
        <f aca="false">Sens!G3241*(1+Sens!H3242)</f>
        <v>9.96139155535851</v>
      </c>
      <c r="I3241" s="6" t="n">
        <f aca="false">Sens!H3241*(1+Sens!I3242)</f>
        <v>10.6402039077391</v>
      </c>
      <c r="J3241" s="6" t="n">
        <f aca="false">Sens!I3241*(1+Sens!J3242)</f>
        <v>11.3751458271397</v>
      </c>
      <c r="K3241" s="6" t="n">
        <f aca="false">Sens!J3241*(1+Sens!K3242)</f>
        <v>12.1714060350394</v>
      </c>
      <c r="L3241" s="12" t="s">
        <v>1038</v>
      </c>
    </row>
    <row r="3242" customFormat="false" ht="15" hidden="false" customHeight="false" outlineLevel="0" collapsed="false">
      <c r="A3242" s="1" t="s">
        <v>1028</v>
      </c>
      <c r="B3242" s="0" t="s">
        <v>168</v>
      </c>
      <c r="E3242" s="7" t="n">
        <f aca="false">Sens!E3241/Sens!D3241-1</f>
        <v>0.0644329896907216</v>
      </c>
      <c r="F3242" s="7" t="n">
        <f aca="false">Sens!$E$3242+(glt_fro-Sens!$E$3242)*MIN(1,(Sens!F3187-base_fy)/n_conv)</f>
        <v>0.065360824742268</v>
      </c>
      <c r="G3242" s="7" t="n">
        <f aca="false">Sens!$E$3242+(glt_fro-Sens!$E$3242)*MIN(1,(Sens!G3187-base_fy)/n_conv)</f>
        <v>0.0662886597938144</v>
      </c>
      <c r="H3242" s="7" t="n">
        <f aca="false">Sens!$E$3242+(glt_fro-Sens!$E$3242)*MIN(1,(Sens!H3187-base_fy)/n_conv)</f>
        <v>0.0672164948453608</v>
      </c>
      <c r="I3242" s="7" t="n">
        <f aca="false">Sens!$E$3242+(glt_fro-Sens!$E$3242)*MIN(1,(Sens!I3187-base_fy)/n_conv)</f>
        <v>0.0681443298969072</v>
      </c>
      <c r="J3242" s="7" t="n">
        <f aca="false">Sens!$E$3242+(glt_fro-Sens!$E$3242)*MIN(1,(Sens!J3187-base_fy)/n_conv)</f>
        <v>0.0690721649484536</v>
      </c>
      <c r="K3242" s="7" t="n">
        <f aca="false">Sens!$E$3242+(glt_fro-Sens!$E$3242)*MIN(1,(Sens!K3187-base_fy)/n_conv)</f>
        <v>0.07</v>
      </c>
    </row>
    <row r="3243" customFormat="false" ht="15" hidden="false" customHeight="false" outlineLevel="0" collapsed="false">
      <c r="A3243" s="0" t="s">
        <v>856</v>
      </c>
      <c r="B3243" s="0" t="s">
        <v>98</v>
      </c>
      <c r="D3243" s="6" t="n">
        <f aca="false">Sens!D3231+Sens!D3236+Sens!D3237+Sens!D3239+Sens!D3241</f>
        <v>218.783</v>
      </c>
      <c r="E3243" s="6" t="n">
        <f aca="false">Sens!E3231+Sens!E3236+Sens!E3237+Sens!E3239+Sens!E3241</f>
        <v>268.127</v>
      </c>
      <c r="F3243" s="6" t="n">
        <f aca="false">Sens!F3231+Sens!F3236+Sens!F3237+Sens!F3239+Sens!F3241</f>
        <v>327.233938178714</v>
      </c>
      <c r="G3243" s="6" t="n">
        <f aca="false">Sens!G3231+Sens!G3236+Sens!G3237+Sens!G3239+Sens!G3241</f>
        <v>381.388918301645</v>
      </c>
      <c r="H3243" s="6" t="n">
        <f aca="false">Sens!H3231+Sens!H3236+Sens!H3237+Sens!H3239+Sens!H3241</f>
        <v>431.424276060052</v>
      </c>
      <c r="I3243" s="6" t="n">
        <f aca="false">Sens!I3231+Sens!I3236+Sens!I3237+Sens!I3239+Sens!I3241</f>
        <v>472.974112332936</v>
      </c>
      <c r="J3243" s="6" t="n">
        <f aca="false">Sens!J3231+Sens!J3236+Sens!J3237+Sens!J3239+Sens!J3241</f>
        <v>510.732645464176</v>
      </c>
      <c r="K3243" s="6" t="n">
        <f aca="false">Sens!K3231+Sens!K3236+Sens!K3237+Sens!K3239+Sens!K3241</f>
        <v>546.867655552294</v>
      </c>
    </row>
    <row r="3244" customFormat="false" ht="17.15" hidden="false" customHeight="false" outlineLevel="0" collapsed="false">
      <c r="A3244" s="0" t="s">
        <v>1041</v>
      </c>
      <c r="B3244" s="0" t="s">
        <v>98</v>
      </c>
      <c r="D3244" s="6" t="n">
        <f aca="false">Q!L13</f>
        <v>22.171</v>
      </c>
      <c r="E3244" s="6" t="n">
        <f aca="false">Q!M13</f>
        <v>24.835</v>
      </c>
      <c r="F3244" s="6" t="n">
        <f aca="false">Q!$I$13+(Q!M13-Q!$E$13)*(1+Sens!F3245)</f>
        <v>27.5591895660247</v>
      </c>
      <c r="G3244" s="6" t="n">
        <f aca="false">Sens!F3244*(1+Sens!G3245)</f>
        <v>30.4098563144583</v>
      </c>
      <c r="H3244" s="6" t="n">
        <f aca="false">Sens!G3244*(1+Sens!H3245)</f>
        <v>33.3011792571777</v>
      </c>
      <c r="I3244" s="6" t="n">
        <f aca="false">Sens!H3244*(1+Sens!I3245)</f>
        <v>36.189023797112</v>
      </c>
      <c r="J3244" s="6" t="n">
        <f aca="false">Sens!I3244*(1+Sens!J3245)</f>
        <v>39.0247773769199</v>
      </c>
      <c r="K3244" s="6" t="n">
        <f aca="false">Sens!J3244*(1+Sens!K3245)</f>
        <v>41.7565117933043</v>
      </c>
      <c r="L3244" s="12" t="s">
        <v>1038</v>
      </c>
    </row>
    <row r="3245" customFormat="false" ht="15" hidden="false" customHeight="false" outlineLevel="0" collapsed="false">
      <c r="A3245" s="1" t="s">
        <v>1028</v>
      </c>
      <c r="B3245" s="0" t="s">
        <v>168</v>
      </c>
      <c r="E3245" s="7" t="n">
        <f aca="false">Sens!E3244/Sens!D3244-1</f>
        <v>0.120156961796942</v>
      </c>
      <c r="F3245" s="7" t="n">
        <f aca="false">Sens!$E$3245+(glt_srch-Sens!$E$3245)*MIN(1,(Sens!F3187-base_fy)/n_conv)</f>
        <v>0.111797468164118</v>
      </c>
      <c r="G3245" s="7" t="n">
        <f aca="false">Sens!$E$3245+(glt_srch-Sens!$E$3245)*MIN(1,(Sens!G3187-base_fy)/n_conv)</f>
        <v>0.103437974531295</v>
      </c>
      <c r="H3245" s="7" t="n">
        <f aca="false">Sens!$E$3245+(glt_srch-Sens!$E$3245)*MIN(1,(Sens!H3187-base_fy)/n_conv)</f>
        <v>0.095078480898471</v>
      </c>
      <c r="I3245" s="7" t="n">
        <f aca="false">Sens!$E$3245+(glt_srch-Sens!$E$3245)*MIN(1,(Sens!I3187-base_fy)/n_conv)</f>
        <v>0.0867189872656474</v>
      </c>
      <c r="J3245" s="7" t="n">
        <f aca="false">Sens!$E$3245+(glt_srch-Sens!$E$3245)*MIN(1,(Sens!J3187-base_fy)/n_conv)</f>
        <v>0.0783594936328237</v>
      </c>
      <c r="K3245" s="7" t="n">
        <f aca="false">Sens!$E$3245+(glt_srch-Sens!$E$3245)*MIN(1,(Sens!K3187-base_fy)/n_conv)</f>
        <v>0.07</v>
      </c>
    </row>
    <row r="3246" customFormat="false" ht="17.15" hidden="false" customHeight="false" outlineLevel="0" collapsed="false">
      <c r="A3246" s="0" t="s">
        <v>1042</v>
      </c>
      <c r="B3246" s="0" t="s">
        <v>98</v>
      </c>
      <c r="D3246" s="6" t="n">
        <f aca="false">Q!L14</f>
        <v>23.455</v>
      </c>
      <c r="E3246" s="6" t="n">
        <f aca="false">Q!M14</f>
        <v>21.79</v>
      </c>
      <c r="F3246" s="6" t="n">
        <f aca="false">Q!$I$14+(Q!M14-Q!$E$14)*(1+Sens!F3247)</f>
        <v>20.7520981041711</v>
      </c>
      <c r="G3246" s="6" t="n">
        <f aca="false">Sens!F3246*(1+Sens!G3247)</f>
        <v>19.9083593495882</v>
      </c>
      <c r="H3246" s="6" t="n">
        <f aca="false">Sens!G3246*(1+Sens!H3247)</f>
        <v>19.4008256265831</v>
      </c>
      <c r="I3246" s="6" t="n">
        <f aca="false">Sens!H3246*(1+Sens!I3247)</f>
        <v>19.200434522122</v>
      </c>
      <c r="J3246" s="6" t="n">
        <f aca="false">Sens!I3246*(1+Sens!J3247)</f>
        <v>19.2932782348507</v>
      </c>
      <c r="K3246" s="6" t="n">
        <f aca="false">Sens!J3246*(1+Sens!K3247)</f>
        <v>19.6791437995477</v>
      </c>
      <c r="L3246" s="12" t="s">
        <v>1038</v>
      </c>
    </row>
    <row r="3247" customFormat="false" ht="15" hidden="false" customHeight="false" outlineLevel="0" collapsed="false">
      <c r="A3247" s="1" t="s">
        <v>1028</v>
      </c>
      <c r="B3247" s="0" t="s">
        <v>168</v>
      </c>
      <c r="E3247" s="7" t="n">
        <f aca="false">Sens!E3246/Sens!D3246-1</f>
        <v>-0.0709869963760392</v>
      </c>
      <c r="F3247" s="7" t="n">
        <f aca="false">Sens!$E$3247+(glt_xbox-Sens!$E$3247)*MIN(1,(Sens!F3187-base_fy)/n_conv)</f>
        <v>-0.0558224969800327</v>
      </c>
      <c r="G3247" s="7" t="n">
        <f aca="false">Sens!$E$3247+(glt_xbox-Sens!$E$3247)*MIN(1,(Sens!G3187-base_fy)/n_conv)</f>
        <v>-0.0406579975840262</v>
      </c>
      <c r="H3247" s="7" t="n">
        <f aca="false">Sens!$E$3247+(glt_xbox-Sens!$E$3247)*MIN(1,(Sens!H3187-base_fy)/n_conv)</f>
        <v>-0.0254934981880196</v>
      </c>
      <c r="I3247" s="7" t="n">
        <f aca="false">Sens!$E$3247+(glt_xbox-Sens!$E$3247)*MIN(1,(Sens!I3187-base_fy)/n_conv)</f>
        <v>-0.0103289987920131</v>
      </c>
      <c r="J3247" s="7" t="n">
        <f aca="false">Sens!$E$3247+(glt_xbox-Sens!$E$3247)*MIN(1,(Sens!J3187-base_fy)/n_conv)</f>
        <v>0.00483550060399347</v>
      </c>
      <c r="K3247" s="7" t="n">
        <f aca="false">Sens!$E$3247+(glt_xbox-Sens!$E$3247)*MIN(1,(Sens!K3187-base_fy)/n_conv)</f>
        <v>0.02</v>
      </c>
    </row>
    <row r="3248" customFormat="false" ht="17.15" hidden="false" customHeight="false" outlineLevel="0" collapsed="false">
      <c r="A3248" s="0" t="s">
        <v>1043</v>
      </c>
      <c r="B3248" s="0" t="s">
        <v>98</v>
      </c>
      <c r="D3248" s="6" t="n">
        <f aca="false">Q!L15</f>
        <v>17.315</v>
      </c>
      <c r="E3248" s="6" t="n">
        <f aca="false">Q!M15</f>
        <v>17.087</v>
      </c>
      <c r="F3248" s="6" t="n">
        <f aca="false">Q!$I$15+(Q!M15-Q!$E$15)*(1+Sens!F3249)</f>
        <v>15.9912273250553</v>
      </c>
      <c r="G3248" s="6" t="n">
        <f aca="false">Sens!F3248*(1+Sens!G3249)</f>
        <v>15.9574562664827</v>
      </c>
      <c r="H3248" s="6" t="n">
        <f aca="false">Sens!G3248*(1+Sens!H3249)</f>
        <v>16.0119687434196</v>
      </c>
      <c r="I3248" s="6" t="n">
        <f aca="false">Sens!H3248*(1+Sens!I3249)</f>
        <v>16.1551810001948</v>
      </c>
      <c r="J3248" s="6" t="n">
        <f aca="false">Sens!I3248*(1+Sens!J3249)</f>
        <v>16.3889793892005</v>
      </c>
      <c r="K3248" s="6" t="n">
        <f aca="false">Sens!J3248*(1+Sens!K3249)</f>
        <v>16.7167589769845</v>
      </c>
      <c r="L3248" s="12" t="s">
        <v>1038</v>
      </c>
    </row>
    <row r="3249" customFormat="false" ht="15" hidden="false" customHeight="false" outlineLevel="0" collapsed="false">
      <c r="A3249" s="1" t="s">
        <v>1028</v>
      </c>
      <c r="B3249" s="0" t="s">
        <v>168</v>
      </c>
      <c r="E3249" s="7" t="n">
        <f aca="false">Sens!E3248/Sens!D3248-1</f>
        <v>-0.0131677736066995</v>
      </c>
      <c r="F3249" s="7" t="n">
        <f aca="false">Sens!$E$3249+(glt_win-Sens!$E$3249)*MIN(1,(Sens!F3187-base_fy)/n_conv)</f>
        <v>-0.00763981133891627</v>
      </c>
      <c r="G3249" s="7" t="n">
        <f aca="false">Sens!$E$3249+(glt_win-Sens!$E$3249)*MIN(1,(Sens!G3187-base_fy)/n_conv)</f>
        <v>-0.00211184907113301</v>
      </c>
      <c r="H3249" s="7" t="n">
        <f aca="false">Sens!$E$3249+(glt_win-Sens!$E$3249)*MIN(1,(Sens!H3187-base_fy)/n_conv)</f>
        <v>0.00341611319665024</v>
      </c>
      <c r="I3249" s="7" t="n">
        <f aca="false">Sens!$E$3249+(glt_win-Sens!$E$3249)*MIN(1,(Sens!I3187-base_fy)/n_conv)</f>
        <v>0.00894407546443349</v>
      </c>
      <c r="J3249" s="7" t="n">
        <f aca="false">Sens!$E$3249+(glt_win-Sens!$E$3249)*MIN(1,(Sens!J3187-base_fy)/n_conv)</f>
        <v>0.0144720377322168</v>
      </c>
      <c r="K3249" s="7" t="n">
        <f aca="false">Sens!$E$3249+(glt_win-Sens!$E$3249)*MIN(1,(Sens!K3187-base_fy)/n_conv)</f>
        <v>0.02</v>
      </c>
    </row>
    <row r="3250" customFormat="false" ht="15" hidden="false" customHeight="false" outlineLevel="0" collapsed="false">
      <c r="A3250" s="0" t="s">
        <v>870</v>
      </c>
      <c r="B3250" s="0" t="s">
        <v>98</v>
      </c>
      <c r="D3250" s="6" t="n">
        <f aca="false">Sens!D3244+Sens!D3246+Sens!D3248</f>
        <v>62.941</v>
      </c>
      <c r="E3250" s="6" t="n">
        <f aca="false">Sens!E3244+Sens!E3246+Sens!E3248</f>
        <v>63.712</v>
      </c>
      <c r="F3250" s="6" t="n">
        <f aca="false">Sens!F3244+Sens!F3246+Sens!F3248</f>
        <v>64.3025149952511</v>
      </c>
      <c r="G3250" s="6" t="n">
        <f aca="false">Sens!G3244+Sens!G3246+Sens!G3248</f>
        <v>66.2756719305292</v>
      </c>
      <c r="H3250" s="6" t="n">
        <f aca="false">Sens!H3244+Sens!H3246+Sens!H3248</f>
        <v>68.7139736271804</v>
      </c>
      <c r="I3250" s="6" t="n">
        <f aca="false">Sens!I3244+Sens!I3246+Sens!I3248</f>
        <v>71.5446393194289</v>
      </c>
      <c r="J3250" s="6" t="n">
        <f aca="false">Sens!J3244+Sens!J3246+Sens!J3248</f>
        <v>74.707035000971</v>
      </c>
      <c r="K3250" s="6" t="n">
        <f aca="false">Sens!K3244+Sens!K3246+Sens!K3248</f>
        <v>78.1524145698365</v>
      </c>
    </row>
    <row r="3251" customFormat="false" ht="15" hidden="false" customHeight="false" outlineLevel="0" collapsed="false">
      <c r="A3251" s="1" t="s">
        <v>1044</v>
      </c>
      <c r="B3251" s="0" t="s">
        <v>98</v>
      </c>
      <c r="D3251" s="6" t="n">
        <f aca="false">Sens!D3243+Sens!D3250</f>
        <v>281.724</v>
      </c>
      <c r="E3251" s="6" t="n">
        <f aca="false">Sens!E3243+Sens!E3250</f>
        <v>331.839</v>
      </c>
      <c r="F3251" s="6" t="n">
        <f aca="false">Sens!F3243+Sens!F3250</f>
        <v>391.536453173965</v>
      </c>
      <c r="G3251" s="6" t="n">
        <f aca="false">Sens!G3243+Sens!G3250</f>
        <v>447.664590232174</v>
      </c>
      <c r="H3251" s="6" t="n">
        <f aca="false">Sens!H3243+Sens!H3250</f>
        <v>500.138249687232</v>
      </c>
      <c r="I3251" s="6" t="n">
        <f aca="false">Sens!I3243+Sens!I3250</f>
        <v>544.518751652365</v>
      </c>
      <c r="J3251" s="6" t="n">
        <f aca="false">Sens!J3243+Sens!J3250</f>
        <v>585.439680465147</v>
      </c>
      <c r="K3251" s="6" t="n">
        <f aca="false">Sens!K3243+Sens!K3250</f>
        <v>625.020070122131</v>
      </c>
    </row>
    <row r="3252" customFormat="false" ht="15" hidden="false" customHeight="false" outlineLevel="0" collapsed="false">
      <c r="A3252" s="26" t="s">
        <v>1045</v>
      </c>
      <c r="B3252" s="31" t="s">
        <v>98</v>
      </c>
      <c r="C3252" s="31"/>
      <c r="D3252" s="27" t="n">
        <f aca="false">(Sens!D3231+Sens!D3236+Sens!D3237+Sens!D3239+Sens!D3241-Sens!D3243)+(Sens!D3244+Sens!D3246+Sens!D3248-Sens!D3250)+(Sens!D3243-Q!L5)+(Sens!D3250-Q!L12)+(Sens!D3231-Q!L6)+(Sens!D3236-Q!L7)</f>
        <v>0</v>
      </c>
      <c r="E3252" s="27" t="n">
        <f aca="false">(Sens!E3231+Sens!E3236+Sens!E3237+Sens!E3239+Sens!E3241-Sens!E3243)+(Sens!E3244+Sens!E3246+Sens!E3248-Sens!E3250)+(Sens!E3243-Q!M5)+(Sens!E3250-Q!M12)+(Sens!E3231-Q!M6)+(Sens!E3236-Q!M7)</f>
        <v>0</v>
      </c>
      <c r="F3252" s="27" t="n">
        <f aca="false">(Sens!F3231+Sens!F3236+Sens!F3237+Sens!F3239+Sens!F3241-Sens!F3243)+(Sens!F3244+Sens!F3246+Sens!F3248-Sens!F3250)</f>
        <v>0</v>
      </c>
      <c r="G3252" s="27" t="n">
        <f aca="false">(Sens!G3231+Sens!G3236+Sens!G3237+Sens!G3239+Sens!G3241-Sens!G3243)+(Sens!G3244+Sens!G3246+Sens!G3248-Sens!G3250)</f>
        <v>0</v>
      </c>
      <c r="H3252" s="27" t="n">
        <f aca="false">(Sens!H3231+Sens!H3236+Sens!H3237+Sens!H3239+Sens!H3241-Sens!H3243)+(Sens!H3244+Sens!H3246+Sens!H3248-Sens!H3250)</f>
        <v>0</v>
      </c>
      <c r="I3252" s="27" t="n">
        <f aca="false">(Sens!I3231+Sens!I3236+Sens!I3237+Sens!I3239+Sens!I3241-Sens!I3243)+(Sens!I3244+Sens!I3246+Sens!I3248-Sens!I3250)</f>
        <v>0</v>
      </c>
      <c r="J3252" s="27" t="n">
        <f aca="false">(Sens!J3231+Sens!J3236+Sens!J3237+Sens!J3239+Sens!J3241-Sens!J3243)+(Sens!J3244+Sens!J3246+Sens!J3248-Sens!J3250)</f>
        <v>0</v>
      </c>
      <c r="K3252" s="27" t="n">
        <f aca="false">(Sens!K3231+Sens!K3236+Sens!K3237+Sens!K3239+Sens!K3241-Sens!K3243)+(Sens!K3244+Sens!K3246+Sens!K3248-Sens!K3250)</f>
        <v>0</v>
      </c>
    </row>
    <row r="3253" customFormat="false" ht="17.15" hidden="false" customHeight="false" outlineLevel="0" collapsed="false">
      <c r="A3253" s="3" t="s">
        <v>1692</v>
      </c>
    </row>
    <row r="3254" customFormat="false" ht="15" hidden="false" customHeight="false" outlineLevel="0" collapsed="false">
      <c r="A3254" s="4" t="s">
        <v>43</v>
      </c>
      <c r="B3254" s="4" t="s">
        <v>65</v>
      </c>
      <c r="C3254" s="23" t="s">
        <v>942</v>
      </c>
      <c r="D3254" s="23" t="s">
        <v>943</v>
      </c>
      <c r="E3254" s="23" t="s">
        <v>944</v>
      </c>
      <c r="F3254" s="23" t="s">
        <v>945</v>
      </c>
      <c r="G3254" s="23" t="s">
        <v>946</v>
      </c>
      <c r="H3254" s="23" t="s">
        <v>947</v>
      </c>
      <c r="I3254" s="23" t="s">
        <v>948</v>
      </c>
      <c r="J3254" s="23" t="s">
        <v>949</v>
      </c>
      <c r="K3254" s="23" t="s">
        <v>950</v>
      </c>
      <c r="L3254" s="4" t="s">
        <v>47</v>
      </c>
    </row>
    <row r="3255" customFormat="false" ht="15" hidden="false" customHeight="false" outlineLevel="0" collapsed="false">
      <c r="A3255" s="0" t="s">
        <v>1029</v>
      </c>
      <c r="B3255" s="0" t="s">
        <v>98</v>
      </c>
      <c r="D3255" s="6" t="n">
        <f aca="false">Sens!D3231</f>
        <v>72.61</v>
      </c>
      <c r="E3255" s="6" t="n">
        <f aca="false">Sens!E3231</f>
        <v>101.938</v>
      </c>
      <c r="F3255" s="6" t="n">
        <f aca="false">Sens!F3231</f>
        <v>138.049240656588</v>
      </c>
      <c r="G3255" s="6" t="n">
        <f aca="false">Sens!G3231</f>
        <v>166.84394711146</v>
      </c>
      <c r="H3255" s="6" t="n">
        <f aca="false">Sens!H3231</f>
        <v>191.493171387655</v>
      </c>
      <c r="I3255" s="6" t="n">
        <f aca="false">Sens!I3231</f>
        <v>210.175785607813</v>
      </c>
      <c r="J3255" s="6" t="n">
        <f aca="false">Sens!J3231</f>
        <v>227.904148043793</v>
      </c>
      <c r="K3255" s="6" t="n">
        <f aca="false">Sens!K3231</f>
        <v>244.927100177807</v>
      </c>
    </row>
    <row r="3256" customFormat="false" ht="17.15" hidden="false" customHeight="false" outlineLevel="0" collapsed="false">
      <c r="A3256" s="0" t="s">
        <v>1025</v>
      </c>
      <c r="B3256" s="0" t="s">
        <v>98</v>
      </c>
      <c r="D3256" s="6" t="n">
        <f aca="false">Sens!D3228</f>
        <v>12.9359794422418</v>
      </c>
      <c r="E3256" s="6" t="n">
        <f aca="false">Sens!E3228</f>
        <v>27.8095064661409</v>
      </c>
      <c r="F3256" s="6" t="n">
        <f aca="false">Sens!F3228</f>
        <v>44.3154260331949</v>
      </c>
      <c r="G3256" s="6" t="n">
        <f aca="false">Sens!G3228</f>
        <v>55.4741850646324</v>
      </c>
      <c r="H3256" s="6" t="n">
        <f aca="false">Sens!H3228</f>
        <v>62.1804107508501</v>
      </c>
      <c r="I3256" s="6" t="n">
        <f aca="false">Sens!I3228</f>
        <v>63.5254647343612</v>
      </c>
      <c r="J3256" s="6" t="n">
        <f aca="false">Sens!J3228</f>
        <v>65.5567707502758</v>
      </c>
      <c r="K3256" s="6" t="n">
        <f aca="false">Sens!K3228</f>
        <v>69.5919327008091</v>
      </c>
    </row>
    <row r="3257" customFormat="false" ht="17.15" hidden="false" customHeight="false" outlineLevel="0" collapsed="false">
      <c r="A3257" s="0" t="s">
        <v>1056</v>
      </c>
      <c r="B3257" s="0" t="s">
        <v>98</v>
      </c>
      <c r="D3257" s="6" t="n">
        <f aca="false">Sens!D3229</f>
        <v>59.6740205577583</v>
      </c>
      <c r="E3257" s="6" t="n">
        <f aca="false">Sens!E3229</f>
        <v>74.1284935338591</v>
      </c>
      <c r="F3257" s="6" t="n">
        <f aca="false">Sens!F3229</f>
        <v>93.7338146233927</v>
      </c>
      <c r="G3257" s="6" t="n">
        <f aca="false">Sens!G3229</f>
        <v>111.369762046828</v>
      </c>
      <c r="H3257" s="6" t="n">
        <f aca="false">Sens!H3229</f>
        <v>129.312760636805</v>
      </c>
      <c r="I3257" s="6" t="n">
        <f aca="false">Sens!I3229</f>
        <v>146.650320873452</v>
      </c>
      <c r="J3257" s="6" t="n">
        <f aca="false">Sens!J3229</f>
        <v>162.347377293517</v>
      </c>
      <c r="K3257" s="6" t="n">
        <f aca="false">Sens!K3229</f>
        <v>175.335167476998</v>
      </c>
    </row>
    <row r="3258" customFormat="false" ht="15" hidden="false" customHeight="false" outlineLevel="0" collapsed="false">
      <c r="A3258" s="0" t="s">
        <v>1036</v>
      </c>
      <c r="B3258" s="0" t="s">
        <v>98</v>
      </c>
      <c r="D3258" s="6" t="n">
        <f aca="false">Sens!D3236</f>
        <v>84.605</v>
      </c>
      <c r="E3258" s="6" t="n">
        <f aca="false">Sens!E3236</f>
        <v>100.299</v>
      </c>
      <c r="F3258" s="6" t="n">
        <f aca="false">Sens!F3236</f>
        <v>119.729653205718</v>
      </c>
      <c r="G3258" s="6" t="n">
        <f aca="false">Sens!G3236</f>
        <v>140.806092647576</v>
      </c>
      <c r="H3258" s="6" t="n">
        <f aca="false">Sens!H3236</f>
        <v>161.963437602768</v>
      </c>
      <c r="I3258" s="6" t="n">
        <f aca="false">Sens!I3236</f>
        <v>180.695354741933</v>
      </c>
      <c r="J3258" s="6" t="n">
        <f aca="false">Sens!J3236</f>
        <v>196.722117481571</v>
      </c>
      <c r="K3258" s="6" t="n">
        <f aca="false">Sens!K3236</f>
        <v>212.00016570528</v>
      </c>
    </row>
    <row r="3259" customFormat="false" ht="17.15" hidden="false" customHeight="false" outlineLevel="0" collapsed="false">
      <c r="A3259" s="0" t="s">
        <v>1057</v>
      </c>
      <c r="B3259" s="0" t="s">
        <v>98</v>
      </c>
      <c r="D3259" s="6" t="n">
        <f aca="false">Sens!D3234</f>
        <v>83.705</v>
      </c>
      <c r="E3259" s="6" t="n">
        <f aca="false">Sens!E3234</f>
        <v>95.049</v>
      </c>
      <c r="F3259" s="6" t="n">
        <f aca="false">Sens!F3234</f>
        <v>106.229653205718</v>
      </c>
      <c r="G3259" s="6" t="n">
        <f aca="false">Sens!G3234</f>
        <v>118.306092647576</v>
      </c>
      <c r="H3259" s="6" t="n">
        <f aca="false">Sens!H3234</f>
        <v>130.463437602768</v>
      </c>
      <c r="I3259" s="6" t="n">
        <f aca="false">Sens!I3234</f>
        <v>142.445354741933</v>
      </c>
      <c r="J3259" s="6" t="n">
        <f aca="false">Sens!J3234</f>
        <v>153.972117481571</v>
      </c>
      <c r="K3259" s="6" t="n">
        <f aca="false">Sens!K3234</f>
        <v>164.75016570528</v>
      </c>
    </row>
    <row r="3260" customFormat="false" ht="17.15" hidden="false" customHeight="false" outlineLevel="0" collapsed="false">
      <c r="A3260" s="0" t="s">
        <v>1058</v>
      </c>
      <c r="B3260" s="0" t="s">
        <v>98</v>
      </c>
      <c r="D3260" s="6" t="n">
        <f aca="false">Sens!D3233</f>
        <v>0.9</v>
      </c>
      <c r="E3260" s="6" t="n">
        <f aca="false">Sens!E3233</f>
        <v>5.25</v>
      </c>
      <c r="F3260" s="6" t="n">
        <f aca="false">Sens!F3233</f>
        <v>13.5</v>
      </c>
      <c r="G3260" s="6" t="n">
        <f aca="false">Sens!G3233</f>
        <v>22.5</v>
      </c>
      <c r="H3260" s="6" t="n">
        <f aca="false">Sens!H3233</f>
        <v>31.5</v>
      </c>
      <c r="I3260" s="6" t="n">
        <f aca="false">Sens!I3233</f>
        <v>38.25</v>
      </c>
      <c r="J3260" s="6" t="n">
        <f aca="false">Sens!J3233</f>
        <v>42.75</v>
      </c>
      <c r="K3260" s="6" t="n">
        <f aca="false">Sens!K3233</f>
        <v>47.25</v>
      </c>
    </row>
    <row r="3261" customFormat="false" ht="15" hidden="false" customHeight="false" outlineLevel="0" collapsed="false">
      <c r="A3261" s="0" t="s">
        <v>1037</v>
      </c>
      <c r="B3261" s="0" t="s">
        <v>98</v>
      </c>
      <c r="D3261" s="6" t="n">
        <f aca="false">Sens!D3237</f>
        <v>35.391</v>
      </c>
      <c r="E3261" s="6" t="n">
        <f aca="false">Sens!E3237</f>
        <v>37.285</v>
      </c>
      <c r="F3261" s="6" t="n">
        <f aca="false">Sens!F3237</f>
        <v>38.3851437782675</v>
      </c>
      <c r="G3261" s="6" t="n">
        <f aca="false">Sens!G3237</f>
        <v>40.0105353288615</v>
      </c>
      <c r="H3261" s="6" t="n">
        <f aca="false">Sens!H3237</f>
        <v>41.4812512033683</v>
      </c>
      <c r="I3261" s="6" t="n">
        <f aca="false">Sens!I3237</f>
        <v>42.7743107216329</v>
      </c>
      <c r="J3261" s="6" t="n">
        <f aca="false">Sens!J3237</f>
        <v>43.8687373064601</v>
      </c>
      <c r="K3261" s="6" t="n">
        <f aca="false">Sens!K3237</f>
        <v>44.7461120525893</v>
      </c>
    </row>
    <row r="3262" customFormat="false" ht="15" hidden="false" customHeight="false" outlineLevel="0" collapsed="false">
      <c r="A3262" s="0" t="s">
        <v>1039</v>
      </c>
      <c r="B3262" s="0" t="s">
        <v>98</v>
      </c>
      <c r="D3262" s="6" t="n">
        <f aca="false">Sens!D3239</f>
        <v>18.417</v>
      </c>
      <c r="E3262" s="6" t="n">
        <f aca="false">Sens!E3239</f>
        <v>20.345</v>
      </c>
      <c r="F3262" s="6" t="n">
        <f aca="false">Sens!F3239</f>
        <v>22.3161797133988</v>
      </c>
      <c r="G3262" s="6" t="n">
        <f aca="false">Sens!G3239</f>
        <v>24.3943499673233</v>
      </c>
      <c r="H3262" s="6" t="n">
        <f aca="false">Sens!H3239</f>
        <v>26.5250243109019</v>
      </c>
      <c r="I3262" s="6" t="n">
        <f aca="false">Sens!I3239</f>
        <v>28.6884573538181</v>
      </c>
      <c r="J3262" s="6" t="n">
        <f aca="false">Sens!J3239</f>
        <v>30.8624968052127</v>
      </c>
      <c r="K3262" s="6" t="n">
        <f aca="false">Sens!K3239</f>
        <v>33.0228715815776</v>
      </c>
    </row>
    <row r="3263" customFormat="false" ht="15" hidden="false" customHeight="false" outlineLevel="0" collapsed="false">
      <c r="A3263" s="0" t="s">
        <v>1040</v>
      </c>
      <c r="B3263" s="0" t="s">
        <v>98</v>
      </c>
      <c r="D3263" s="6" t="n">
        <f aca="false">Sens!D3241</f>
        <v>7.76</v>
      </c>
      <c r="E3263" s="6" t="n">
        <f aca="false">Sens!E3241</f>
        <v>8.26</v>
      </c>
      <c r="F3263" s="6" t="n">
        <f aca="false">Sens!F3241</f>
        <v>8.75372082474227</v>
      </c>
      <c r="G3263" s="6" t="n">
        <f aca="false">Sens!G3241</f>
        <v>9.33399324642364</v>
      </c>
      <c r="H3263" s="6" t="n">
        <f aca="false">Sens!H3241</f>
        <v>9.96139155535851</v>
      </c>
      <c r="I3263" s="6" t="n">
        <f aca="false">Sens!I3241</f>
        <v>10.6402039077391</v>
      </c>
      <c r="J3263" s="6" t="n">
        <f aca="false">Sens!J3241</f>
        <v>11.3751458271397</v>
      </c>
      <c r="K3263" s="6" t="n">
        <f aca="false">Sens!K3241</f>
        <v>12.1714060350394</v>
      </c>
    </row>
    <row r="3264" customFormat="false" ht="15" hidden="false" customHeight="false" outlineLevel="0" collapsed="false">
      <c r="A3264" s="0" t="s">
        <v>856</v>
      </c>
      <c r="B3264" s="0" t="s">
        <v>98</v>
      </c>
      <c r="D3264" s="6" t="n">
        <f aca="false">Sens!D3243</f>
        <v>218.783</v>
      </c>
      <c r="E3264" s="6" t="n">
        <f aca="false">Sens!E3243</f>
        <v>268.127</v>
      </c>
      <c r="F3264" s="6" t="n">
        <f aca="false">Sens!F3243</f>
        <v>327.233938178714</v>
      </c>
      <c r="G3264" s="6" t="n">
        <f aca="false">Sens!G3243</f>
        <v>381.388918301645</v>
      </c>
      <c r="H3264" s="6" t="n">
        <f aca="false">Sens!H3243</f>
        <v>431.424276060052</v>
      </c>
      <c r="I3264" s="6" t="n">
        <f aca="false">Sens!I3243</f>
        <v>472.974112332936</v>
      </c>
      <c r="J3264" s="6" t="n">
        <f aca="false">Sens!J3243</f>
        <v>510.732645464176</v>
      </c>
      <c r="K3264" s="6" t="n">
        <f aca="false">Sens!K3243</f>
        <v>546.867655552294</v>
      </c>
    </row>
    <row r="3265" customFormat="false" ht="15" hidden="false" customHeight="false" outlineLevel="0" collapsed="false">
      <c r="A3265" s="0" t="s">
        <v>1041</v>
      </c>
      <c r="B3265" s="0" t="s">
        <v>98</v>
      </c>
      <c r="D3265" s="6" t="n">
        <f aca="false">Sens!D3244</f>
        <v>22.171</v>
      </c>
      <c r="E3265" s="6" t="n">
        <f aca="false">Sens!E3244</f>
        <v>24.835</v>
      </c>
      <c r="F3265" s="6" t="n">
        <f aca="false">Sens!F3244</f>
        <v>27.5591895660247</v>
      </c>
      <c r="G3265" s="6" t="n">
        <f aca="false">Sens!G3244</f>
        <v>30.4098563144583</v>
      </c>
      <c r="H3265" s="6" t="n">
        <f aca="false">Sens!H3244</f>
        <v>33.3011792571777</v>
      </c>
      <c r="I3265" s="6" t="n">
        <f aca="false">Sens!I3244</f>
        <v>36.189023797112</v>
      </c>
      <c r="J3265" s="6" t="n">
        <f aca="false">Sens!J3244</f>
        <v>39.0247773769199</v>
      </c>
      <c r="K3265" s="6" t="n">
        <f aca="false">Sens!K3244</f>
        <v>41.7565117933043</v>
      </c>
    </row>
    <row r="3266" customFormat="false" ht="15" hidden="false" customHeight="false" outlineLevel="0" collapsed="false">
      <c r="A3266" s="0" t="s">
        <v>1042</v>
      </c>
      <c r="B3266" s="0" t="s">
        <v>98</v>
      </c>
      <c r="D3266" s="6" t="n">
        <f aca="false">Sens!D3246</f>
        <v>23.455</v>
      </c>
      <c r="E3266" s="6" t="n">
        <f aca="false">Sens!E3246</f>
        <v>21.79</v>
      </c>
      <c r="F3266" s="6" t="n">
        <f aca="false">Sens!F3246</f>
        <v>20.7520981041711</v>
      </c>
      <c r="G3266" s="6" t="n">
        <f aca="false">Sens!G3246</f>
        <v>19.9083593495882</v>
      </c>
      <c r="H3266" s="6" t="n">
        <f aca="false">Sens!H3246</f>
        <v>19.4008256265831</v>
      </c>
      <c r="I3266" s="6" t="n">
        <f aca="false">Sens!I3246</f>
        <v>19.200434522122</v>
      </c>
      <c r="J3266" s="6" t="n">
        <f aca="false">Sens!J3246</f>
        <v>19.2932782348507</v>
      </c>
      <c r="K3266" s="6" t="n">
        <f aca="false">Sens!K3246</f>
        <v>19.6791437995477</v>
      </c>
    </row>
    <row r="3267" customFormat="false" ht="15" hidden="false" customHeight="false" outlineLevel="0" collapsed="false">
      <c r="A3267" s="0" t="s">
        <v>1043</v>
      </c>
      <c r="B3267" s="0" t="s">
        <v>98</v>
      </c>
      <c r="D3267" s="6" t="n">
        <f aca="false">Sens!D3248</f>
        <v>17.315</v>
      </c>
      <c r="E3267" s="6" t="n">
        <f aca="false">Sens!E3248</f>
        <v>17.087</v>
      </c>
      <c r="F3267" s="6" t="n">
        <f aca="false">Sens!F3248</f>
        <v>15.9912273250553</v>
      </c>
      <c r="G3267" s="6" t="n">
        <f aca="false">Sens!G3248</f>
        <v>15.9574562664827</v>
      </c>
      <c r="H3267" s="6" t="n">
        <f aca="false">Sens!H3248</f>
        <v>16.0119687434196</v>
      </c>
      <c r="I3267" s="6" t="n">
        <f aca="false">Sens!I3248</f>
        <v>16.1551810001948</v>
      </c>
      <c r="J3267" s="6" t="n">
        <f aca="false">Sens!J3248</f>
        <v>16.3889793892005</v>
      </c>
      <c r="K3267" s="6" t="n">
        <f aca="false">Sens!K3248</f>
        <v>16.7167589769845</v>
      </c>
    </row>
    <row r="3268" customFormat="false" ht="15" hidden="false" customHeight="false" outlineLevel="0" collapsed="false">
      <c r="A3268" s="0" t="s">
        <v>870</v>
      </c>
      <c r="B3268" s="0" t="s">
        <v>98</v>
      </c>
      <c r="D3268" s="6" t="n">
        <f aca="false">Sens!D3250</f>
        <v>62.941</v>
      </c>
      <c r="E3268" s="6" t="n">
        <f aca="false">Sens!E3250</f>
        <v>63.712</v>
      </c>
      <c r="F3268" s="6" t="n">
        <f aca="false">Sens!F3250</f>
        <v>64.3025149952511</v>
      </c>
      <c r="G3268" s="6" t="n">
        <f aca="false">Sens!G3250</f>
        <v>66.2756719305292</v>
      </c>
      <c r="H3268" s="6" t="n">
        <f aca="false">Sens!H3250</f>
        <v>68.7139736271804</v>
      </c>
      <c r="I3268" s="6" t="n">
        <f aca="false">Sens!I3250</f>
        <v>71.5446393194289</v>
      </c>
      <c r="J3268" s="6" t="n">
        <f aca="false">Sens!J3250</f>
        <v>74.707035000971</v>
      </c>
      <c r="K3268" s="6" t="n">
        <f aca="false">Sens!K3250</f>
        <v>78.1524145698365</v>
      </c>
    </row>
    <row r="3269" customFormat="false" ht="15" hidden="false" customHeight="false" outlineLevel="0" collapsed="false">
      <c r="A3269" s="1" t="s">
        <v>1059</v>
      </c>
      <c r="B3269" s="0" t="s">
        <v>98</v>
      </c>
      <c r="D3269" s="6" t="n">
        <f aca="false">Sens!D3251</f>
        <v>281.724</v>
      </c>
      <c r="E3269" s="6" t="n">
        <f aca="false">Sens!E3251</f>
        <v>331.839</v>
      </c>
      <c r="F3269" s="6" t="n">
        <f aca="false">Sens!F3251</f>
        <v>391.536453173965</v>
      </c>
      <c r="G3269" s="6" t="n">
        <f aca="false">Sens!G3251</f>
        <v>447.664590232174</v>
      </c>
      <c r="H3269" s="6" t="n">
        <f aca="false">Sens!H3251</f>
        <v>500.138249687232</v>
      </c>
      <c r="I3269" s="6" t="n">
        <f aca="false">Sens!I3251</f>
        <v>544.518751652365</v>
      </c>
      <c r="J3269" s="6" t="n">
        <f aca="false">Sens!J3251</f>
        <v>585.439680465147</v>
      </c>
      <c r="K3269" s="6" t="n">
        <f aca="false">Sens!K3251</f>
        <v>625.020070122131</v>
      </c>
    </row>
    <row r="3270" customFormat="false" ht="15" hidden="false" customHeight="false" outlineLevel="0" collapsed="false">
      <c r="A3270" s="1" t="s">
        <v>1060</v>
      </c>
      <c r="B3270" s="0" t="s">
        <v>168</v>
      </c>
      <c r="E3270" s="7" t="n">
        <f aca="false">Sens!E3269/Sens!D3269-1</f>
        <v>0.177886867998467</v>
      </c>
      <c r="F3270" s="7" t="n">
        <f aca="false">Sens!F3269/Sens!E3269-1</f>
        <v>0.179898846048732</v>
      </c>
      <c r="G3270" s="7" t="n">
        <f aca="false">Sens!G3269/Sens!F3269-1</f>
        <v>0.14335354116637</v>
      </c>
      <c r="H3270" s="7" t="n">
        <f aca="false">Sens!H3269/Sens!G3269-1</f>
        <v>0.117216462056656</v>
      </c>
      <c r="I3270" s="7" t="n">
        <f aca="false">Sens!I3269/Sens!H3269-1</f>
        <v>0.0887364683522736</v>
      </c>
      <c r="J3270" s="7" t="n">
        <f aca="false">Sens!J3269/Sens!I3269-1</f>
        <v>0.0751506329003466</v>
      </c>
      <c r="K3270" s="7" t="n">
        <f aca="false">Sens!K3269/Sens!J3269-1</f>
        <v>0.0676079722261671</v>
      </c>
    </row>
    <row r="3271" customFormat="false" ht="17.15" hidden="false" customHeight="false" outlineLevel="0" collapsed="false">
      <c r="A3271" s="26" t="s">
        <v>1061</v>
      </c>
      <c r="B3271" s="31" t="s">
        <v>98</v>
      </c>
      <c r="C3271" s="31"/>
      <c r="D3271" s="27" t="n">
        <f aca="false">(Sens!D3264+Sens!D3268-Sens!D3269)+(Sens!D3256+Sens!D3257-Sens!D3255)+(Sens!D3259+Sens!D3260-Sens!D3258)+(Sens!D3269-Q!L18)</f>
        <v>0</v>
      </c>
      <c r="E3271" s="27" t="n">
        <f aca="false">(Sens!E3264+Sens!E3268-Sens!E3269)+(Sens!E3256+Sens!E3257-Sens!E3255)+(Sens!E3259+Sens!E3260-Sens!E3258)+(Sens!E3269-Q!M18)</f>
        <v>0</v>
      </c>
      <c r="F3271" s="27" t="n">
        <f aca="false">(Sens!F3264+Sens!F3268-Sens!F3269)+(Sens!F3256+Sens!F3257-Sens!F3255)+(Sens!F3259+Sens!F3260-Sens!F3258)</f>
        <v>0</v>
      </c>
      <c r="G3271" s="27" t="n">
        <f aca="false">(Sens!G3264+Sens!G3268-Sens!G3269)+(Sens!G3256+Sens!G3257-Sens!G3255)+(Sens!G3259+Sens!G3260-Sens!G3258)</f>
        <v>0</v>
      </c>
      <c r="H3271" s="27" t="n">
        <f aca="false">(Sens!H3264+Sens!H3268-Sens!H3269)+(Sens!H3256+Sens!H3257-Sens!H3255)+(Sens!H3259+Sens!H3260-Sens!H3258)</f>
        <v>0</v>
      </c>
      <c r="I3271" s="27" t="n">
        <f aca="false">(Sens!I3264+Sens!I3268-Sens!I3269)+(Sens!I3256+Sens!I3257-Sens!I3255)+(Sens!I3259+Sens!I3260-Sens!I3258)</f>
        <v>0</v>
      </c>
      <c r="J3271" s="27" t="n">
        <f aca="false">(Sens!J3264+Sens!J3268-Sens!J3269)+(Sens!J3256+Sens!J3257-Sens!J3255)+(Sens!J3259+Sens!J3260-Sens!J3258)</f>
        <v>0</v>
      </c>
      <c r="K3271" s="27" t="n">
        <f aca="false">(Sens!K3264+Sens!K3268-Sens!K3269)+(Sens!K3256+Sens!K3257-Sens!K3255)+(Sens!K3259+Sens!K3260-Sens!K3258)</f>
        <v>0</v>
      </c>
    </row>
    <row r="3272" customFormat="false" ht="17.15" hidden="false" customHeight="false" outlineLevel="0" collapsed="false">
      <c r="A3272" s="0" t="s">
        <v>1062</v>
      </c>
      <c r="B3272" s="0" t="s">
        <v>168</v>
      </c>
      <c r="E3272" s="7" t="n">
        <f aca="false">(Q!M21+Sens!E3208+Sens!E3209+Sens!E3210+Sens!E3224-Sens!E3206)/(Q!M5-Sens!E3206)</f>
        <v>0.570957350878296</v>
      </c>
      <c r="F3272" s="7" t="n">
        <f aca="false">Sens!$E$3272+dm_seg</f>
        <v>0.570957350878296</v>
      </c>
      <c r="G3272" s="7" t="n">
        <f aca="false">Sens!$E$3272+dm_seg</f>
        <v>0.570957350878296</v>
      </c>
      <c r="H3272" s="7" t="n">
        <f aca="false">Sens!$E$3272+dm_seg</f>
        <v>0.570957350878296</v>
      </c>
      <c r="I3272" s="7" t="n">
        <f aca="false">Sens!$E$3272+dm_seg</f>
        <v>0.570957350878296</v>
      </c>
      <c r="J3272" s="7" t="n">
        <f aca="false">Sens!$E$3272+dm_seg</f>
        <v>0.570957350878296</v>
      </c>
      <c r="K3272" s="7" t="n">
        <f aca="false">Sens!$E$3272+dm_seg</f>
        <v>0.570957350878296</v>
      </c>
      <c r="L3272" s="12" t="s">
        <v>1063</v>
      </c>
    </row>
    <row r="3273" customFormat="false" ht="17.15" hidden="false" customHeight="false" outlineLevel="0" collapsed="false">
      <c r="A3273" s="0" t="s">
        <v>884</v>
      </c>
      <c r="B3273" s="0" t="s">
        <v>98</v>
      </c>
      <c r="D3273" s="6" t="n">
        <f aca="false">Q!L21</f>
        <v>110.814</v>
      </c>
      <c r="E3273" s="6" t="n">
        <f aca="false">Q!M21</f>
        <v>136.365</v>
      </c>
      <c r="F3273" s="6" t="n">
        <f aca="false">Q!$I$21+(Sens!F3272*(Sens!F3243-Sens!F3206)+Sens!F3206-(Sens!F3208+Sens!F3209+Sens!F3210)-Sens!F3224-Sens!F3307)*(Sens!F3243-Q!$I$5)/Sens!F3243</f>
        <v>154.956656769667</v>
      </c>
      <c r="G3273" s="6" t="n">
        <f aca="false">(Sens!G3272*(Sens!G3243-Sens!G3206)+Sens!G3206-(Sens!G3208+Sens!G3209+Sens!G3210)-Sens!G3224-Sens!G3307)</f>
        <v>178.972846883971</v>
      </c>
      <c r="H3273" s="6" t="n">
        <f aca="false">(Sens!H3272*(Sens!H3243-Sens!H3206)+Sens!H3206-(Sens!H3208+Sens!H3209+Sens!H3210)-Sens!H3224-Sens!H3307)</f>
        <v>208.148005122032</v>
      </c>
      <c r="I3273" s="6" t="n">
        <f aca="false">(Sens!I3272*(Sens!I3243-Sens!I3206)+Sens!I3206-(Sens!I3208+Sens!I3209+Sens!I3210)-Sens!I3224-Sens!I3307)</f>
        <v>232.875237086419</v>
      </c>
      <c r="J3273" s="6" t="n">
        <f aca="false">(Sens!J3272*(Sens!J3243-Sens!J3206)+Sens!J3206-(Sens!J3208+Sens!J3209+Sens!J3210)-Sens!J3224-Sens!J3307)</f>
        <v>254.71481805458</v>
      </c>
      <c r="K3273" s="6" t="n">
        <f aca="false">(Sens!K3272*(Sens!K3243-Sens!K3206)+Sens!K3206-(Sens!K3208+Sens!K3209+Sens!K3210)-Sens!K3224-Sens!K3307)</f>
        <v>275.073308667048</v>
      </c>
      <c r="L3273" s="1" t="s">
        <v>1064</v>
      </c>
    </row>
    <row r="3274" customFormat="false" ht="17.15" hidden="false" customHeight="false" outlineLevel="0" collapsed="false">
      <c r="A3274" s="0" t="s">
        <v>1065</v>
      </c>
      <c r="B3274" s="0" t="s">
        <v>168</v>
      </c>
      <c r="E3274" s="7" t="n">
        <f aca="false">Q!M22/Q!M12</f>
        <v>0.296207935710698</v>
      </c>
      <c r="F3274" s="7" t="n">
        <f aca="false">Sens!$E$3274+dm_seg</f>
        <v>0.296207935710698</v>
      </c>
      <c r="G3274" s="7" t="n">
        <f aca="false">Sens!$E$3274+dm_seg</f>
        <v>0.296207935710698</v>
      </c>
      <c r="H3274" s="7" t="n">
        <f aca="false">Sens!$E$3274+dm_seg</f>
        <v>0.296207935710698</v>
      </c>
      <c r="I3274" s="7" t="n">
        <f aca="false">Sens!$E$3274+dm_seg</f>
        <v>0.296207935710698</v>
      </c>
      <c r="J3274" s="7" t="n">
        <f aca="false">Sens!$E$3274+dm_seg</f>
        <v>0.296207935710698</v>
      </c>
      <c r="K3274" s="7" t="n">
        <f aca="false">Sens!$E$3274+dm_seg</f>
        <v>0.296207935710698</v>
      </c>
      <c r="L3274" s="12" t="s">
        <v>1066</v>
      </c>
    </row>
    <row r="3275" customFormat="false" ht="17.15" hidden="false" customHeight="false" outlineLevel="0" collapsed="false">
      <c r="A3275" s="0" t="s">
        <v>886</v>
      </c>
      <c r="B3275" s="0" t="s">
        <v>98</v>
      </c>
      <c r="D3275" s="6" t="n">
        <f aca="false">Q!L22</f>
        <v>17.714</v>
      </c>
      <c r="E3275" s="6" t="n">
        <f aca="false">Q!M22</f>
        <v>18.872</v>
      </c>
      <c r="F3275" s="6" t="n">
        <f aca="false">Q!$I$22+(Sens!F3250-Q!$I$12)*Sens!F3274</f>
        <v>19.8174315512051</v>
      </c>
      <c r="G3275" s="6" t="n">
        <f aca="false">Sens!G3250*Sens!G3274</f>
        <v>19.6313799703815</v>
      </c>
      <c r="H3275" s="6" t="n">
        <f aca="false">Sens!H3250*Sens!H3274</f>
        <v>20.3536242825865</v>
      </c>
      <c r="I3275" s="6" t="n">
        <f aca="false">Sens!I3250*Sens!I3274</f>
        <v>21.1920899239745</v>
      </c>
      <c r="J3275" s="6" t="n">
        <f aca="false">Sens!J3250*Sens!J3274</f>
        <v>22.1288166207045</v>
      </c>
      <c r="K3275" s="6" t="n">
        <f aca="false">Sens!K3250*Sens!K3274</f>
        <v>23.1493653905379</v>
      </c>
      <c r="L3275" s="12" t="s">
        <v>1067</v>
      </c>
    </row>
    <row r="3276" customFormat="false" ht="15" hidden="false" customHeight="false" outlineLevel="0" collapsed="false">
      <c r="A3276" s="1" t="s">
        <v>1068</v>
      </c>
      <c r="B3276" s="0" t="s">
        <v>98</v>
      </c>
      <c r="D3276" s="6" t="n">
        <f aca="false">Sens!D3273+Sens!D3275</f>
        <v>128.528</v>
      </c>
      <c r="E3276" s="6" t="n">
        <f aca="false">Sens!E3273+Sens!E3275</f>
        <v>155.237</v>
      </c>
      <c r="F3276" s="6" t="n">
        <f aca="false">Sens!F3273+Sens!F3275</f>
        <v>174.774088320872</v>
      </c>
      <c r="G3276" s="6" t="n">
        <f aca="false">Sens!G3273+Sens!G3275</f>
        <v>198.604226854352</v>
      </c>
      <c r="H3276" s="6" t="n">
        <f aca="false">Sens!H3273+Sens!H3275</f>
        <v>228.501629404618</v>
      </c>
      <c r="I3276" s="6" t="n">
        <f aca="false">Sens!I3273+Sens!I3275</f>
        <v>254.067327010393</v>
      </c>
      <c r="J3276" s="6" t="n">
        <f aca="false">Sens!J3273+Sens!J3275</f>
        <v>276.843634675284</v>
      </c>
      <c r="K3276" s="6" t="n">
        <f aca="false">Sens!K3273+Sens!K3275</f>
        <v>298.222674057586</v>
      </c>
    </row>
    <row r="3277" customFormat="false" ht="15" hidden="false" customHeight="false" outlineLevel="0" collapsed="false">
      <c r="A3277" s="26" t="s">
        <v>1069</v>
      </c>
      <c r="B3277" s="31" t="s">
        <v>98</v>
      </c>
      <c r="C3277" s="31"/>
      <c r="D3277" s="27" t="n">
        <f aca="false">Sens!D3276-Q!L23</f>
        <v>0</v>
      </c>
      <c r="E3277" s="27" t="n">
        <f aca="false">Sens!E3276-Q!M23</f>
        <v>0</v>
      </c>
      <c r="F3277" s="31"/>
      <c r="G3277" s="31"/>
      <c r="H3277" s="31"/>
      <c r="I3277" s="31"/>
      <c r="J3277" s="31"/>
      <c r="K3277" s="31"/>
    </row>
    <row r="3278" customFormat="false" ht="15" hidden="false" customHeight="false" outlineLevel="0" collapsed="false">
      <c r="A3278" s="1" t="s">
        <v>1070</v>
      </c>
      <c r="B3278" s="0" t="s">
        <v>168</v>
      </c>
      <c r="D3278" s="7" t="n">
        <f aca="false">Sens!D3276/Sens!D3269</f>
        <v>0.456219562408598</v>
      </c>
      <c r="E3278" s="7" t="n">
        <f aca="false">Sens!E3276/Sens!E3269</f>
        <v>0.467808184089272</v>
      </c>
      <c r="F3278" s="7" t="n">
        <f aca="false">Sens!F3276/Sens!F3269</f>
        <v>0.446380118387641</v>
      </c>
      <c r="G3278" s="7" t="n">
        <f aca="false">Sens!G3276/Sens!G3269</f>
        <v>0.443645155743387</v>
      </c>
      <c r="H3278" s="7" t="n">
        <f aca="false">Sens!H3276/Sens!H3269</f>
        <v>0.456876932623159</v>
      </c>
      <c r="I3278" s="7" t="n">
        <f aca="false">Sens!I3276/Sens!I3269</f>
        <v>0.466590592591009</v>
      </c>
      <c r="J3278" s="7" t="n">
        <f aca="false">Sens!J3276/Sens!J3269</f>
        <v>0.472881569037693</v>
      </c>
      <c r="K3278" s="7" t="n">
        <f aca="false">Sens!K3276/Sens!K3269</f>
        <v>0.477140956448506</v>
      </c>
    </row>
    <row r="3279" customFormat="false" ht="17.15" hidden="false" customHeight="false" outlineLevel="0" collapsed="false">
      <c r="A3279" s="1" t="s">
        <v>1071</v>
      </c>
      <c r="B3279" s="0" t="s">
        <v>98</v>
      </c>
      <c r="F3279" s="6" t="n">
        <f aca="false">Sens!F3294</f>
        <v>1.60882603013322</v>
      </c>
      <c r="G3279" s="6" t="n">
        <f aca="false">Sens!G3294</f>
        <v>0</v>
      </c>
      <c r="H3279" s="6" t="n">
        <f aca="false">Sens!H3294</f>
        <v>0</v>
      </c>
      <c r="I3279" s="6" t="n">
        <f aca="false">Sens!I3294</f>
        <v>0</v>
      </c>
      <c r="J3279" s="6" t="n">
        <f aca="false">Sens!J3294</f>
        <v>0</v>
      </c>
      <c r="K3279" s="6" t="n">
        <f aca="false">Sens!K3294</f>
        <v>0</v>
      </c>
      <c r="L3279" s="1" t="s">
        <v>1072</v>
      </c>
    </row>
    <row r="3280" customFormat="false" ht="17.15" hidden="false" customHeight="false" outlineLevel="0" collapsed="false">
      <c r="A3280" s="1" t="s">
        <v>1073</v>
      </c>
      <c r="B3280" s="0" t="s">
        <v>98</v>
      </c>
      <c r="D3280" s="6" t="n">
        <f aca="false">Sens!D3276</f>
        <v>128.528</v>
      </c>
      <c r="E3280" s="6" t="n">
        <f aca="false">Sens!E3276</f>
        <v>155.237</v>
      </c>
      <c r="F3280" s="6" t="n">
        <f aca="false">Sens!F3276+Sens!F3279</f>
        <v>176.382914351005</v>
      </c>
      <c r="G3280" s="6" t="n">
        <f aca="false">Sens!G3276+Sens!G3279</f>
        <v>198.604226854352</v>
      </c>
      <c r="H3280" s="6" t="n">
        <f aca="false">Sens!H3276+Sens!H3279</f>
        <v>228.501629404618</v>
      </c>
      <c r="I3280" s="6" t="n">
        <f aca="false">Sens!I3276+Sens!I3279</f>
        <v>254.067327010393</v>
      </c>
      <c r="J3280" s="6" t="n">
        <f aca="false">Sens!J3276+Sens!J3279</f>
        <v>276.843634675284</v>
      </c>
      <c r="K3280" s="6" t="n">
        <f aca="false">Sens!K3276+Sens!K3279</f>
        <v>298.222674057586</v>
      </c>
    </row>
    <row r="3281" customFormat="false" ht="17.15" hidden="false" customHeight="false" outlineLevel="0" collapsed="false">
      <c r="A3281" s="1" t="s">
        <v>1074</v>
      </c>
      <c r="B3281" s="0" t="s">
        <v>98</v>
      </c>
      <c r="E3281" s="6" t="n">
        <f aca="false">Sens!E3224</f>
        <v>16.3054059770833</v>
      </c>
      <c r="F3281" s="6" t="n">
        <f aca="false">Sens!F3224</f>
        <v>24.549027677</v>
      </c>
      <c r="G3281" s="6" t="n">
        <f aca="false">Sens!G3224</f>
        <v>29.185632823</v>
      </c>
      <c r="H3281" s="6" t="n">
        <f aca="false">Sens!H3224</f>
        <v>31.677584917</v>
      </c>
      <c r="I3281" s="6" t="n">
        <f aca="false">Sens!I3224</f>
        <v>32.2298649310278</v>
      </c>
      <c r="J3281" s="6" t="n">
        <f aca="false">Sens!J3224</f>
        <v>33.6162004764444</v>
      </c>
      <c r="K3281" s="6" t="n">
        <f aca="false">Sens!K3224</f>
        <v>36.1070960499167</v>
      </c>
    </row>
    <row r="3282" customFormat="false" ht="17.15" hidden="false" customHeight="false" outlineLevel="0" collapsed="false">
      <c r="A3282" s="1" t="s">
        <v>1075</v>
      </c>
      <c r="B3282" s="0" t="s">
        <v>98</v>
      </c>
      <c r="E3282" s="6" t="n">
        <f aca="false">Sens!E3306</f>
        <v>22.2285940229167</v>
      </c>
      <c r="F3282" s="6" t="n">
        <f aca="false">Sens!F3306</f>
        <v>37.458367358225</v>
      </c>
      <c r="G3282" s="6" t="n">
        <f aca="false">Sens!G3306</f>
        <v>37.9475258739052</v>
      </c>
      <c r="H3282" s="6" t="n">
        <f aca="false">Sens!H3306</f>
        <v>38.9967052741839</v>
      </c>
      <c r="I3282" s="6" t="n">
        <f aca="false">Sens!I3306</f>
        <v>40.5147656763488</v>
      </c>
      <c r="J3282" s="6" t="n">
        <f aca="false">Sens!J3306</f>
        <v>42.3956285090621</v>
      </c>
      <c r="K3282" s="6" t="n">
        <f aca="false">Sens!K3306</f>
        <v>44.541474079613</v>
      </c>
    </row>
    <row r="3283" customFormat="false" ht="17.15" hidden="false" customHeight="false" outlineLevel="0" collapsed="false">
      <c r="A3283" s="1" t="s">
        <v>1076</v>
      </c>
      <c r="B3283" s="0" t="s">
        <v>98</v>
      </c>
      <c r="D3283" s="6" t="n">
        <f aca="false">Q!L27</f>
        <v>-4.901</v>
      </c>
      <c r="E3283" s="6" t="n">
        <f aca="false">Q!M27</f>
        <v>10.697</v>
      </c>
      <c r="F3283" s="6" t="n">
        <f aca="false">Q!$I$27+oie_f*(q_per_yr-1)/q_per_yr</f>
        <v>-0.862</v>
      </c>
      <c r="G3283" s="6" t="n">
        <f aca="false">oie_f</f>
        <v>-1.2</v>
      </c>
      <c r="H3283" s="6" t="n">
        <f aca="false">oie_f</f>
        <v>-1.2</v>
      </c>
      <c r="I3283" s="6" t="n">
        <f aca="false">oie_f</f>
        <v>-1.2</v>
      </c>
      <c r="J3283" s="6" t="n">
        <f aca="false">oie_f</f>
        <v>-1.2</v>
      </c>
      <c r="K3283" s="6" t="n">
        <f aca="false">oie_f</f>
        <v>-1.2</v>
      </c>
      <c r="L3283" s="12" t="s">
        <v>1077</v>
      </c>
    </row>
    <row r="3284" customFormat="false" ht="15" hidden="false" customHeight="false" outlineLevel="0" collapsed="false">
      <c r="A3284" s="1" t="s">
        <v>1078</v>
      </c>
      <c r="B3284" s="0" t="s">
        <v>98</v>
      </c>
      <c r="D3284" s="6" t="n">
        <f aca="false">Sens!D3276+Sens!D3283</f>
        <v>123.627</v>
      </c>
      <c r="E3284" s="6" t="n">
        <f aca="false">Sens!E3276+Sens!E3283</f>
        <v>165.934</v>
      </c>
      <c r="F3284" s="6" t="n">
        <f aca="false">Sens!F3276+Sens!F3283</f>
        <v>173.912088320872</v>
      </c>
      <c r="G3284" s="6" t="n">
        <f aca="false">Sens!G3276+Sens!G3283</f>
        <v>197.404226854352</v>
      </c>
      <c r="H3284" s="6" t="n">
        <f aca="false">Sens!H3276+Sens!H3283</f>
        <v>227.301629404618</v>
      </c>
      <c r="I3284" s="6" t="n">
        <f aca="false">Sens!I3276+Sens!I3283</f>
        <v>252.867327010393</v>
      </c>
      <c r="J3284" s="6" t="n">
        <f aca="false">Sens!J3276+Sens!J3283</f>
        <v>275.643634675284</v>
      </c>
      <c r="K3284" s="6" t="n">
        <f aca="false">Sens!K3276+Sens!K3283</f>
        <v>297.022674057586</v>
      </c>
    </row>
    <row r="3285" customFormat="false" ht="15" hidden="false" customHeight="false" outlineLevel="0" collapsed="false">
      <c r="A3285" s="1" t="s">
        <v>1079</v>
      </c>
      <c r="B3285" s="0" t="s">
        <v>98</v>
      </c>
      <c r="D3285" s="6" t="n">
        <f aca="false">Q!L29</f>
        <v>21.795</v>
      </c>
      <c r="E3285" s="6" t="n">
        <f aca="false">Q!M29</f>
        <v>32.185</v>
      </c>
      <c r="F3285" s="6" t="n">
        <f aca="false">Q!$I$29+(Sens!F3284-Q!$I$28)*tax_f</f>
        <v>34.9158176641744</v>
      </c>
      <c r="G3285" s="6" t="n">
        <f aca="false">Sens!G3284*tax_f</f>
        <v>39.4808453708705</v>
      </c>
      <c r="H3285" s="6" t="n">
        <f aca="false">Sens!H3284*tax_f</f>
        <v>45.4603258809237</v>
      </c>
      <c r="I3285" s="6" t="n">
        <f aca="false">Sens!I3284*tax_f</f>
        <v>50.5734654020787</v>
      </c>
      <c r="J3285" s="6" t="n">
        <f aca="false">Sens!J3284*tax_f</f>
        <v>55.1287269350568</v>
      </c>
      <c r="K3285" s="6" t="n">
        <f aca="false">Sens!K3284*tax_f</f>
        <v>59.4045348115172</v>
      </c>
    </row>
    <row r="3286" customFormat="false" ht="15" hidden="false" customHeight="false" outlineLevel="0" collapsed="false">
      <c r="A3286" s="1" t="s">
        <v>1080</v>
      </c>
      <c r="B3286" s="0" t="s">
        <v>98</v>
      </c>
      <c r="D3286" s="6" t="n">
        <f aca="false">Sens!D3284-Sens!D3285</f>
        <v>101.832</v>
      </c>
      <c r="E3286" s="6" t="n">
        <f aca="false">Sens!E3284-Sens!E3285</f>
        <v>133.749</v>
      </c>
      <c r="F3286" s="6" t="n">
        <f aca="false">Sens!F3284-Sens!F3285</f>
        <v>138.996270656697</v>
      </c>
      <c r="G3286" s="6" t="n">
        <f aca="false">Sens!G3284-Sens!G3285</f>
        <v>157.923381483482</v>
      </c>
      <c r="H3286" s="6" t="n">
        <f aca="false">Sens!H3284-Sens!H3285</f>
        <v>181.841303523695</v>
      </c>
      <c r="I3286" s="6" t="n">
        <f aca="false">Sens!I3284-Sens!I3285</f>
        <v>202.293861608315</v>
      </c>
      <c r="J3286" s="6" t="n">
        <f aca="false">Sens!J3284-Sens!J3285</f>
        <v>220.514907740227</v>
      </c>
      <c r="K3286" s="6" t="n">
        <f aca="false">Sens!K3284-Sens!K3285</f>
        <v>237.618139246069</v>
      </c>
    </row>
    <row r="3287" customFormat="false" ht="17.15" hidden="false" customHeight="false" outlineLevel="0" collapsed="false">
      <c r="A3287" s="1" t="s">
        <v>1081</v>
      </c>
      <c r="B3287" s="1" t="s">
        <v>81</v>
      </c>
      <c r="D3287" s="15" t="n">
        <f aca="false">Q!L31</f>
        <v>7.465</v>
      </c>
      <c r="E3287" s="15" t="n">
        <f aca="false">Q!M31</f>
        <v>7.453</v>
      </c>
      <c r="F3287" s="15" t="n">
        <f aca="false">Sens!F3331</f>
        <v>7.4735</v>
      </c>
      <c r="G3287" s="15" t="n">
        <f aca="false">Sens!G3331</f>
        <v>7.49981593415111</v>
      </c>
      <c r="H3287" s="15" t="n">
        <f aca="false">Sens!H3331</f>
        <v>7.50883180733101</v>
      </c>
      <c r="I3287" s="15" t="n">
        <f aca="false">Sens!I3331</f>
        <v>7.52051317138648</v>
      </c>
      <c r="J3287" s="15" t="n">
        <f aca="false">Sens!J3331</f>
        <v>7.53466258254895</v>
      </c>
      <c r="K3287" s="15" t="n">
        <f aca="false">Sens!K3331</f>
        <v>7.55109722251421</v>
      </c>
    </row>
    <row r="3288" customFormat="false" ht="17.15" hidden="false" customHeight="false" outlineLevel="0" collapsed="false">
      <c r="A3288" s="0" t="s">
        <v>1082</v>
      </c>
      <c r="B3288" s="0" t="s">
        <v>75</v>
      </c>
      <c r="D3288" s="8" t="n">
        <f aca="false">Sens!D3286/Sens!D3287</f>
        <v>13.641259209645</v>
      </c>
      <c r="E3288" s="8" t="n">
        <f aca="false">Sens!E3286/Sens!E3287</f>
        <v>17.9456594659869</v>
      </c>
      <c r="F3288" s="8" t="n">
        <f aca="false">Sens!F3286/Sens!F3287</f>
        <v>18.5985509676453</v>
      </c>
      <c r="G3288" s="8" t="n">
        <f aca="false">Sens!G3286/Sens!G3287</f>
        <v>21.0569676469476</v>
      </c>
      <c r="H3288" s="8" t="n">
        <f aca="false">Sens!H3286/Sens!H3287</f>
        <v>24.2169898313823</v>
      </c>
      <c r="I3288" s="8" t="n">
        <f aca="false">Sens!I3286/Sens!I3287</f>
        <v>26.8989438617019</v>
      </c>
      <c r="J3288" s="8" t="n">
        <f aca="false">Sens!J3286/Sens!J3287</f>
        <v>29.2667263230821</v>
      </c>
      <c r="K3288" s="8" t="n">
        <f aca="false">Sens!K3286/Sens!K3287</f>
        <v>31.4680280552594</v>
      </c>
      <c r="L3288" s="1" t="s">
        <v>1083</v>
      </c>
    </row>
    <row r="3289" customFormat="false" ht="17.15" hidden="false" customHeight="false" outlineLevel="0" collapsed="false">
      <c r="A3289" s="1" t="s">
        <v>1084</v>
      </c>
      <c r="B3289" s="0" t="s">
        <v>98</v>
      </c>
      <c r="D3289" s="6" t="n">
        <f aca="false">Sens!D3286</f>
        <v>101.832</v>
      </c>
      <c r="E3289" s="6" t="n">
        <f aca="false">Sens!E3286</f>
        <v>133.749</v>
      </c>
      <c r="F3289" s="6" t="n">
        <f aca="false">Sens!F3286+Sens!F3279*(1-tax_f)</f>
        <v>140.283331480804</v>
      </c>
      <c r="G3289" s="6" t="n">
        <f aca="false">Sens!G3286+Sens!G3279*(1-tax_f)</f>
        <v>157.923381483482</v>
      </c>
      <c r="H3289" s="6" t="n">
        <f aca="false">Sens!H3286+Sens!H3279*(1-tax_f)</f>
        <v>181.841303523695</v>
      </c>
      <c r="I3289" s="6" t="n">
        <f aca="false">Sens!I3286+Sens!I3279*(1-tax_f)</f>
        <v>202.293861608315</v>
      </c>
      <c r="J3289" s="6" t="n">
        <f aca="false">Sens!J3286+Sens!J3279*(1-tax_f)</f>
        <v>220.514907740227</v>
      </c>
      <c r="K3289" s="6" t="n">
        <f aca="false">Sens!K3286+Sens!K3279*(1-tax_f)</f>
        <v>237.618139246069</v>
      </c>
    </row>
    <row r="3290" customFormat="false" ht="17.15" hidden="false" customHeight="false" outlineLevel="0" collapsed="false">
      <c r="A3290" s="0" t="s">
        <v>1085</v>
      </c>
      <c r="B3290" s="0" t="s">
        <v>75</v>
      </c>
      <c r="D3290" s="8" t="n">
        <f aca="false">Sens!D3289/Sens!D3287</f>
        <v>13.641259209645</v>
      </c>
      <c r="E3290" s="8" t="n">
        <f aca="false">Sens!E3289/Sens!E3287</f>
        <v>17.9456594659869</v>
      </c>
      <c r="F3290" s="8" t="n">
        <f aca="false">Sens!F3289/Sens!F3287</f>
        <v>18.7707675762098</v>
      </c>
      <c r="G3290" s="8" t="n">
        <f aca="false">Sens!G3289/Sens!G3287</f>
        <v>21.0569676469476</v>
      </c>
      <c r="H3290" s="8" t="n">
        <f aca="false">Sens!H3289/Sens!H3287</f>
        <v>24.2169898313823</v>
      </c>
      <c r="I3290" s="8" t="n">
        <f aca="false">Sens!I3289/Sens!I3287</f>
        <v>26.8989438617019</v>
      </c>
      <c r="J3290" s="8" t="n">
        <f aca="false">Sens!J3289/Sens!J3287</f>
        <v>29.2667263230821</v>
      </c>
      <c r="K3290" s="8" t="n">
        <f aca="false">Sens!K3289/Sens!K3287</f>
        <v>31.4680280552594</v>
      </c>
      <c r="L3290" s="1" t="s">
        <v>1086</v>
      </c>
    </row>
    <row r="3291" customFormat="false" ht="17.15" hidden="false" customHeight="false" outlineLevel="0" collapsed="false">
      <c r="A3291" s="0" t="s">
        <v>1087</v>
      </c>
      <c r="B3291" s="0" t="s">
        <v>168</v>
      </c>
      <c r="E3291" s="7" t="n">
        <f aca="false">Sens!E3290/Sens!D3290-1</f>
        <v>0.315542736208578</v>
      </c>
      <c r="F3291" s="7" t="n">
        <f aca="false">Sens!F3290/Sens!E3290-1</f>
        <v>0.0459781437281155</v>
      </c>
      <c r="G3291" s="7" t="n">
        <f aca="false">Sens!G3290/Sens!F3290-1</f>
        <v>0.121795768950618</v>
      </c>
      <c r="H3291" s="7" t="n">
        <f aca="false">Sens!H3290/Sens!G3290-1</f>
        <v>0.150070144828889</v>
      </c>
      <c r="I3291" s="7" t="n">
        <f aca="false">Sens!I3290/Sens!H3290-1</f>
        <v>0.110746795906243</v>
      </c>
      <c r="J3291" s="7" t="n">
        <f aca="false">Sens!J3290/Sens!I3290-1</f>
        <v>0.0880251088501427</v>
      </c>
      <c r="K3291" s="7" t="n">
        <f aca="false">Sens!K3290/Sens!J3290-1</f>
        <v>0.0752151678283615</v>
      </c>
    </row>
    <row r="3292" customFormat="false" ht="17.15" hidden="false" customHeight="false" outlineLevel="0" collapsed="false">
      <c r="A3292" s="0" t="s">
        <v>1007</v>
      </c>
      <c r="B3292" s="0" t="s">
        <v>98</v>
      </c>
      <c r="E3292" s="6" t="n">
        <f aca="false">Sens!E3233</f>
        <v>5.25</v>
      </c>
      <c r="F3292" s="6" t="n">
        <f aca="false">Sens!F3233</f>
        <v>13.5</v>
      </c>
      <c r="G3292" s="6" t="n">
        <f aca="false">Sens!G3233</f>
        <v>22.5</v>
      </c>
      <c r="H3292" s="6" t="n">
        <f aca="false">Sens!H3233</f>
        <v>31.5</v>
      </c>
      <c r="I3292" s="6" t="n">
        <f aca="false">Sens!I3233</f>
        <v>38.25</v>
      </c>
      <c r="J3292" s="6" t="n">
        <f aca="false">Sens!J3233</f>
        <v>42.75</v>
      </c>
      <c r="K3292" s="6" t="n">
        <f aca="false">Sens!K3233</f>
        <v>47.25</v>
      </c>
    </row>
    <row r="3293" customFormat="false" ht="17.15" hidden="false" customHeight="false" outlineLevel="0" collapsed="false">
      <c r="A3293" s="1" t="s">
        <v>1008</v>
      </c>
      <c r="B3293" s="0" t="s">
        <v>98</v>
      </c>
      <c r="F3293" s="6" t="n">
        <f aca="false">MAX(0,((Sens!E3193+Sens!F3193)/2-(shadow_base*(Sens!$D$3193+Sens!$E$3193)/2+(1-shadow_base)*Sens!$E$3193))*Sens!F3202/1000-(Sens!F3292-Sens!$E$3292)*Sens!F3272)</f>
        <v>1.60882603013322</v>
      </c>
      <c r="G3293" s="6" t="n">
        <f aca="false">MAX(0,((Sens!F3193+Sens!G3193)/2-(shadow_base*(Sens!$D$3193+Sens!$E$3193)/2+(1-shadow_base)*Sens!$E$3193))*Sens!G3202/1000-(Sens!G3292-Sens!$E$3292)*Sens!G3272)</f>
        <v>0</v>
      </c>
      <c r="H3293" s="6" t="n">
        <f aca="false">MAX(0,((Sens!G3193+Sens!H3193)/2-(shadow_base*(Sens!$D$3193+Sens!$E$3193)/2+(1-shadow_base)*Sens!$E$3193))*Sens!H3202/1000-(Sens!H3292-Sens!$E$3292)*Sens!H3272)</f>
        <v>0</v>
      </c>
      <c r="I3293" s="6" t="n">
        <f aca="false">MAX(0,((Sens!H3193+Sens!I3193)/2-(shadow_base*(Sens!$D$3193+Sens!$E$3193)/2+(1-shadow_base)*Sens!$E$3193))*Sens!I3202/1000-(Sens!I3292-Sens!$E$3292)*Sens!I3272)</f>
        <v>0</v>
      </c>
      <c r="J3293" s="6" t="n">
        <f aca="false">MAX(0,((Sens!I3193+Sens!J3193)/2-(shadow_base*(Sens!$D$3193+Sens!$E$3193)/2+(1-shadow_base)*Sens!$E$3193))*Sens!J3202/1000-(Sens!J3292-Sens!$E$3292)*Sens!J3272)</f>
        <v>0</v>
      </c>
      <c r="K3293" s="6" t="n">
        <f aca="false">MAX(0,((Sens!J3193+Sens!K3193)/2-(shadow_base*(Sens!$D$3193+Sens!$E$3193)/2+(1-shadow_base)*Sens!$E$3193))*Sens!K3202/1000-(Sens!K3292-Sens!$E$3292)*Sens!K3272)</f>
        <v>0</v>
      </c>
      <c r="L3293" s="1" t="s">
        <v>1009</v>
      </c>
    </row>
    <row r="3294" customFormat="false" ht="17.15" hidden="false" customHeight="false" outlineLevel="0" collapsed="false">
      <c r="A3294" s="1" t="s">
        <v>1010</v>
      </c>
      <c r="B3294" s="0" t="s">
        <v>98</v>
      </c>
      <c r="F3294" s="6" t="n">
        <f aca="false">IF(internal_ai_reading=2,1,0)*Sens!F3293</f>
        <v>1.60882603013322</v>
      </c>
      <c r="G3294" s="6" t="n">
        <f aca="false">IF(internal_ai_reading=2,1,0)*Sens!G3293</f>
        <v>0</v>
      </c>
      <c r="H3294" s="6" t="n">
        <f aca="false">IF(internal_ai_reading=2,1,0)*Sens!H3293</f>
        <v>0</v>
      </c>
      <c r="I3294" s="6" t="n">
        <f aca="false">IF(internal_ai_reading=2,1,0)*Sens!I3293</f>
        <v>0</v>
      </c>
      <c r="J3294" s="6" t="n">
        <f aca="false">IF(internal_ai_reading=2,1,0)*Sens!J3293</f>
        <v>0</v>
      </c>
      <c r="K3294" s="6" t="n">
        <f aca="false">IF(internal_ai_reading=2,1,0)*Sens!K3293</f>
        <v>0</v>
      </c>
    </row>
    <row r="3295" customFormat="false" ht="17.15" hidden="false" customHeight="false" outlineLevel="0" collapsed="false">
      <c r="A3295" s="0" t="s">
        <v>1011</v>
      </c>
      <c r="B3295" s="0" t="s">
        <v>98</v>
      </c>
      <c r="F3295" s="6" t="n">
        <f aca="false">Sens!F3212+Sens!F3292*Sens!F3272+Sens!F3294-Sens!F3213-Sens!F3224</f>
        <v>11.0782281122744</v>
      </c>
      <c r="G3295" s="6" t="n">
        <f aca="false">Sens!G3212+Sens!G3292*Sens!G3272+Sens!G3294-Sens!G3213-Sens!G3224</f>
        <v>18.1720275445321</v>
      </c>
      <c r="H3295" s="6" t="n">
        <f aca="false">Sens!H3212+Sens!H3292*Sens!H3272+Sens!H3294-Sens!H3213-Sens!H3224</f>
        <v>26.5031101800036</v>
      </c>
      <c r="I3295" s="6" t="n">
        <f aca="false">Sens!I3212+Sens!I3292*Sens!I3272+Sens!I3294-Sens!I3213-Sens!I3224</f>
        <v>31.0098435072091</v>
      </c>
      <c r="J3295" s="6" t="n">
        <f aca="false">Sens!J3212+Sens!J3292*Sens!J3272+Sens!J3294-Sens!J3213-Sens!J3224</f>
        <v>34.012689316001</v>
      </c>
      <c r="K3295" s="6" t="n">
        <f aca="false">Sens!K3212+Sens!K3292*Sens!K3272+Sens!K3294-Sens!K3213-Sens!K3224</f>
        <v>37.7062554898954</v>
      </c>
    </row>
    <row r="3296" customFormat="false" ht="17.15" hidden="false" customHeight="false" outlineLevel="0" collapsed="false">
      <c r="A3296" s="0" t="s">
        <v>1012</v>
      </c>
      <c r="B3296" s="0" t="s">
        <v>98</v>
      </c>
      <c r="E3296" s="6" t="n">
        <f aca="false">Sens!E3192*(cxit_open+self_build*tk_cxfac)/1000*ai_net_open</f>
        <v>126.6980382</v>
      </c>
      <c r="F3296" s="6" t="n">
        <f aca="false">Sens!E3296+Sens!F3221-Sens!F3224</f>
        <v>131.822683147</v>
      </c>
      <c r="G3296" s="6" t="n">
        <f aca="false">Sens!F3296+Sens!G3221-Sens!G3224</f>
        <v>136.850809452</v>
      </c>
      <c r="H3296" s="6" t="n">
        <f aca="false">Sens!G3296+Sens!H3221-Sens!H3224</f>
        <v>105.173224535</v>
      </c>
      <c r="I3296" s="6" t="n">
        <f aca="false">Sens!H3296+Sens!I3221-Sens!I3224</f>
        <v>102.104104363972</v>
      </c>
      <c r="J3296" s="6" t="n">
        <f aca="false">Sens!I3296+Sens!J3221-Sens!J3224</f>
        <v>112.526579647528</v>
      </c>
      <c r="K3296" s="6" t="n">
        <f aca="false">Sens!J3296+Sens!K3221-Sens!K3224</f>
        <v>163.901717877611</v>
      </c>
      <c r="L3296" s="1" t="s">
        <v>1013</v>
      </c>
    </row>
    <row r="3297" customFormat="false" ht="17.15" hidden="false" customHeight="false" outlineLevel="0" collapsed="false">
      <c r="A3297" s="0" t="s">
        <v>1014</v>
      </c>
      <c r="B3297" s="0" t="s">
        <v>168</v>
      </c>
      <c r="F3297" s="7" t="n">
        <f aca="false">Sens!F3295*(1-tax_f)/((Sens!E3296+Sens!F3296)/2)</f>
        <v>0.0685638075249193</v>
      </c>
      <c r="G3297" s="7" t="n">
        <f aca="false">Sens!G3295*(1-tax_f)/((Sens!F3296+Sens!G3296)/2)</f>
        <v>0.108217761975673</v>
      </c>
      <c r="H3297" s="7" t="n">
        <f aca="false">Sens!H3295*(1-tax_f)/((Sens!G3296+Sens!H3296)/2)</f>
        <v>0.175209773961059</v>
      </c>
      <c r="I3297" s="7" t="n">
        <f aca="false">Sens!I3295*(1-tax_f)/((Sens!H3296+Sens!I3296)/2)</f>
        <v>0.239368916393734</v>
      </c>
      <c r="J3297" s="7" t="n">
        <f aca="false">Sens!J3295*(1-tax_f)/((Sens!I3296+Sens!J3296)/2)</f>
        <v>0.25355322868321</v>
      </c>
      <c r="K3297" s="7" t="n">
        <f aca="false">Sens!K3295*(1-tax_f)/((Sens!J3296+Sens!K3296)/2)</f>
        <v>0.218248310046283</v>
      </c>
    </row>
    <row r="3298" customFormat="false" ht="17.15" hidden="false" customHeight="false" outlineLevel="0" collapsed="false">
      <c r="A3298" s="1" t="s">
        <v>1015</v>
      </c>
      <c r="B3298" s="0" t="s">
        <v>168</v>
      </c>
      <c r="F3298" s="7" t="n">
        <f aca="false">(Sens!F3295-Sens!F3294)*(1-tax_f)/((Sens!E3296+Sens!F3296)/2)</f>
        <v>0.0586066882858853</v>
      </c>
      <c r="G3298" s="7" t="n">
        <f aca="false">(Sens!G3295-Sens!G3294)*(1-tax_f)/((Sens!F3296+Sens!G3296)/2)</f>
        <v>0.108217761975673</v>
      </c>
      <c r="H3298" s="7" t="n">
        <f aca="false">(Sens!H3295-Sens!H3294)*(1-tax_f)/((Sens!G3296+Sens!H3296)/2)</f>
        <v>0.175209773961059</v>
      </c>
      <c r="I3298" s="7" t="n">
        <f aca="false">(Sens!I3295-Sens!I3294)*(1-tax_f)/((Sens!H3296+Sens!I3296)/2)</f>
        <v>0.239368916393734</v>
      </c>
      <c r="J3298" s="7" t="n">
        <f aca="false">(Sens!J3295-Sens!J3294)*(1-tax_f)/((Sens!I3296+Sens!J3296)/2)</f>
        <v>0.25355322868321</v>
      </c>
      <c r="K3298" s="7" t="n">
        <f aca="false">(Sens!K3295-Sens!K3294)*(1-tax_f)/((Sens!J3296+Sens!K3296)/2)</f>
        <v>0.218248310046283</v>
      </c>
    </row>
    <row r="3299" customFormat="false" ht="17.15" hidden="false" customHeight="false" outlineLevel="0" collapsed="false">
      <c r="A3299" s="1" t="s">
        <v>1016</v>
      </c>
      <c r="B3299" s="0" t="s">
        <v>168</v>
      </c>
      <c r="F3299" s="7" t="n">
        <f aca="false">(Sens!F3295-Sens!F3294+Sens!F3293)*(1-tax_f)/((Sens!E3296+Sens!F3296)/2)</f>
        <v>0.0685638075249193</v>
      </c>
      <c r="G3299" s="7" t="n">
        <f aca="false">(Sens!G3295-Sens!G3294+Sens!G3293)*(1-tax_f)/((Sens!F3296+Sens!G3296)/2)</f>
        <v>0.108217761975673</v>
      </c>
      <c r="H3299" s="7" t="n">
        <f aca="false">(Sens!H3295-Sens!H3294+Sens!H3293)*(1-tax_f)/((Sens!G3296+Sens!H3296)/2)</f>
        <v>0.175209773961059</v>
      </c>
      <c r="I3299" s="7" t="n">
        <f aca="false">(Sens!I3295-Sens!I3294+Sens!I3293)*(1-tax_f)/((Sens!H3296+Sens!I3296)/2)</f>
        <v>0.239368916393734</v>
      </c>
      <c r="J3299" s="7" t="n">
        <f aca="false">(Sens!J3295-Sens!J3294+Sens!J3293)*(1-tax_f)/((Sens!I3296+Sens!J3296)/2)</f>
        <v>0.25355322868321</v>
      </c>
      <c r="K3299" s="7" t="n">
        <f aca="false">(Sens!K3295-Sens!K3294+Sens!K3293)*(1-tax_f)/((Sens!J3296+Sens!K3296)/2)</f>
        <v>0.218248310046283</v>
      </c>
    </row>
    <row r="3300" customFormat="false" ht="17.15" hidden="false" customHeight="false" outlineLevel="0" collapsed="false">
      <c r="A3300" s="1" t="s">
        <v>1017</v>
      </c>
      <c r="B3300" s="0" t="s">
        <v>168</v>
      </c>
      <c r="F3300" s="7" t="n">
        <f aca="false">Sens!F3225*(1-tax_f)/(Sens!F3211*(Sens!E3296+Sens!F3296)/2)</f>
        <v>0.169796721744959</v>
      </c>
      <c r="G3300" s="7" t="n">
        <f aca="false">Sens!G3225*(1-tax_f)/(Sens!G3211*(Sens!F3296+Sens!G3296)/2)</f>
        <v>0.225271004307476</v>
      </c>
      <c r="H3300" s="7" t="n">
        <f aca="false">Sens!H3225*(1-tax_f)/(Sens!H3211*(Sens!G3296+Sens!H3296)/2)</f>
        <v>0.300737080001</v>
      </c>
      <c r="I3300" s="7" t="n">
        <f aca="false">Sens!I3225*(1-tax_f)/(Sens!I3211*(Sens!H3296+Sens!I3296)/2)</f>
        <v>0.36311139213454</v>
      </c>
      <c r="J3300" s="7" t="n">
        <f aca="false">Sens!J3225*(1-tax_f)/(Sens!J3211*(Sens!I3296+Sens!J3296)/2)</f>
        <v>0.363998030379327</v>
      </c>
      <c r="K3300" s="7" t="n">
        <f aca="false">Sens!K3225*(1-tax_f)/(Sens!K3211*(Sens!J3296+Sens!K3296)/2)</f>
        <v>0.304701554408107</v>
      </c>
    </row>
    <row r="3301" customFormat="false" ht="17.15" hidden="false" customHeight="false" outlineLevel="0" collapsed="false">
      <c r="A3301" s="0" t="s">
        <v>1018</v>
      </c>
      <c r="B3301" s="0" t="s">
        <v>253</v>
      </c>
      <c r="F3301" s="7" t="n">
        <f aca="false">Sens!F3297-wacc</f>
        <v>-0.034372783420678</v>
      </c>
      <c r="G3301" s="7" t="n">
        <f aca="false">Sens!G3297-wacc</f>
        <v>0.00528117103007597</v>
      </c>
      <c r="H3301" s="7" t="n">
        <f aca="false">Sens!H3297-wacc</f>
        <v>0.0722731830154612</v>
      </c>
      <c r="I3301" s="7" t="n">
        <f aca="false">Sens!I3297-wacc</f>
        <v>0.136432325448137</v>
      </c>
      <c r="J3301" s="7" t="n">
        <f aca="false">Sens!J3297-wacc</f>
        <v>0.150616637737612</v>
      </c>
      <c r="K3301" s="7" t="n">
        <f aca="false">Sens!K3297-wacc</f>
        <v>0.115311719100686</v>
      </c>
    </row>
    <row r="3302" customFormat="false" ht="17.15" hidden="false" customHeight="false" outlineLevel="0" collapsed="false">
      <c r="A3302" s="0" t="s">
        <v>1019</v>
      </c>
      <c r="B3302" s="0" t="s">
        <v>98</v>
      </c>
      <c r="F3302" s="6" t="n">
        <f aca="false">Sens!F3295*(1-tax_f)-wacc*(Sens!E3296+Sens!F3296)/2</f>
        <v>-4.44303838230894</v>
      </c>
      <c r="G3302" s="6" t="n">
        <f aca="false">Sens!G3295*(1-tax_f)-wacc*(Sens!F3296+Sens!G3296)/2</f>
        <v>0.709455332831585</v>
      </c>
      <c r="H3302" s="6" t="n">
        <f aca="false">Sens!H3295*(1-tax_f)-wacc*(Sens!G3296+Sens!H3296)/2</f>
        <v>8.74592365124133</v>
      </c>
      <c r="I3302" s="6" t="n">
        <f aca="false">Sens!I3295*(1-tax_f)-wacc*(Sens!H3296+Sens!I3296)/2</f>
        <v>14.1396639971825</v>
      </c>
      <c r="J3302" s="6" t="n">
        <f aca="false">Sens!J3295*(1-tax_f)-wacc*(Sens!I3296+Sens!J3296)/2</f>
        <v>16.163475990568</v>
      </c>
      <c r="K3302" s="6" t="n">
        <f aca="false">Sens!K3295*(1-tax_f)-wacc*(Sens!J3296+Sens!K3296)/2</f>
        <v>15.9377110978498</v>
      </c>
    </row>
    <row r="3303" customFormat="false" ht="17.15" hidden="false" customHeight="false" outlineLevel="0" collapsed="false">
      <c r="A3303" s="3" t="s">
        <v>1693</v>
      </c>
    </row>
    <row r="3304" customFormat="false" ht="15" hidden="false" customHeight="false" outlineLevel="0" collapsed="false">
      <c r="A3304" s="4" t="s">
        <v>43</v>
      </c>
      <c r="B3304" s="4" t="s">
        <v>65</v>
      </c>
      <c r="C3304" s="23" t="s">
        <v>942</v>
      </c>
      <c r="D3304" s="23" t="s">
        <v>943</v>
      </c>
      <c r="E3304" s="23" t="s">
        <v>944</v>
      </c>
      <c r="F3304" s="23" t="s">
        <v>945</v>
      </c>
      <c r="G3304" s="23" t="s">
        <v>946</v>
      </c>
      <c r="H3304" s="23" t="s">
        <v>947</v>
      </c>
      <c r="I3304" s="23" t="s">
        <v>948</v>
      </c>
      <c r="J3304" s="23" t="s">
        <v>949</v>
      </c>
      <c r="K3304" s="23" t="s">
        <v>950</v>
      </c>
      <c r="L3304" s="4" t="s">
        <v>47</v>
      </c>
    </row>
    <row r="3305" customFormat="false" ht="15" hidden="false" customHeight="false" outlineLevel="0" collapsed="false">
      <c r="A3305" s="1" t="s">
        <v>1080</v>
      </c>
      <c r="B3305" s="0" t="s">
        <v>98</v>
      </c>
      <c r="F3305" s="6" t="n">
        <f aca="false">Sens!F3286</f>
        <v>138.996270656697</v>
      </c>
      <c r="G3305" s="6" t="n">
        <f aca="false">Sens!G3286</f>
        <v>157.923381483482</v>
      </c>
      <c r="H3305" s="6" t="n">
        <f aca="false">Sens!H3286</f>
        <v>181.841303523695</v>
      </c>
      <c r="I3305" s="6" t="n">
        <f aca="false">Sens!I3286</f>
        <v>202.293861608315</v>
      </c>
      <c r="J3305" s="6" t="n">
        <f aca="false">Sens!J3286</f>
        <v>220.514907740227</v>
      </c>
      <c r="K3305" s="6" t="n">
        <f aca="false">Sens!K3286</f>
        <v>237.618139246069</v>
      </c>
    </row>
    <row r="3306" customFormat="false" ht="17.15" hidden="false" customHeight="false" outlineLevel="0" collapsed="false">
      <c r="A3306" s="1" t="s">
        <v>1102</v>
      </c>
      <c r="B3306" s="0" t="s">
        <v>98</v>
      </c>
      <c r="E3306" s="6" t="n">
        <f aca="false">Q!M38-Sens!E3224</f>
        <v>22.2285940229167</v>
      </c>
      <c r="F3306" s="6" t="n">
        <f aca="false">Sens!E3306*(1-1/life_nonai)+(Sens!F3314+Sens!F3315)/life_nonai</f>
        <v>37.458367358225</v>
      </c>
      <c r="G3306" s="6" t="n">
        <f aca="false">Sens!F3306*(1-1/life_nonai)+(Sens!G3314)/life_nonai</f>
        <v>37.9475258739052</v>
      </c>
      <c r="H3306" s="6" t="n">
        <f aca="false">Sens!G3306*(1-1/life_nonai)+(Sens!H3314)/life_nonai</f>
        <v>38.9967052741839</v>
      </c>
      <c r="I3306" s="6" t="n">
        <f aca="false">Sens!H3306*(1-1/life_nonai)+(Sens!I3314)/life_nonai</f>
        <v>40.5147656763488</v>
      </c>
      <c r="J3306" s="6" t="n">
        <f aca="false">Sens!I3306*(1-1/life_nonai)+(Sens!J3314)/life_nonai</f>
        <v>42.3956285090621</v>
      </c>
      <c r="K3306" s="6" t="n">
        <f aca="false">Sens!J3306*(1-1/life_nonai)+(Sens!K3314)/life_nonai</f>
        <v>44.541474079613</v>
      </c>
      <c r="L3306" s="12" t="s">
        <v>1103</v>
      </c>
    </row>
    <row r="3307" customFormat="false" ht="17.15" hidden="false" customHeight="false" outlineLevel="0" collapsed="false">
      <c r="A3307" s="1" t="s">
        <v>1104</v>
      </c>
      <c r="B3307" s="0" t="s">
        <v>98</v>
      </c>
      <c r="F3307" s="6" t="n">
        <f aca="false">Sens!$F$3315/life_nonai*(1-1/life_nonai)^(Sens!F3187-2027)</f>
        <v>13.8178366300118</v>
      </c>
      <c r="G3307" s="6" t="n">
        <f aca="false">Sens!$F$3315/life_nonai*(1-1/life_nonai)^(Sens!G3187-2027)</f>
        <v>12.4360529670107</v>
      </c>
      <c r="H3307" s="6" t="n">
        <f aca="false">Sens!$F$3315/life_nonai*(1-1/life_nonai)^(Sens!H3187-2027)</f>
        <v>11.1924476703096</v>
      </c>
      <c r="I3307" s="6" t="n">
        <f aca="false">Sens!$F$3315/life_nonai*(1-1/life_nonai)^(Sens!I3187-2027)</f>
        <v>10.0732029032786</v>
      </c>
      <c r="J3307" s="6" t="n">
        <f aca="false">Sens!$F$3315/life_nonai*(1-1/life_nonai)^(Sens!J3187-2027)</f>
        <v>9.06588261295078</v>
      </c>
      <c r="K3307" s="6" t="n">
        <f aca="false">Sens!$F$3315/life_nonai*(1-1/life_nonai)^(Sens!K3187-2027)</f>
        <v>8.1592943516557</v>
      </c>
      <c r="L3307" s="1" t="s">
        <v>1105</v>
      </c>
    </row>
    <row r="3308" customFormat="false" ht="17.15" hidden="false" customHeight="false" outlineLevel="0" collapsed="false">
      <c r="A3308" s="1" t="s">
        <v>1106</v>
      </c>
      <c r="B3308" s="0" t="s">
        <v>98</v>
      </c>
      <c r="E3308" s="6" t="n">
        <f aca="false">Sens!E3224+Sens!E3306</f>
        <v>38.534</v>
      </c>
      <c r="F3308" s="6" t="n">
        <f aca="false">Sens!F3224+Sens!F3306</f>
        <v>62.007395035225</v>
      </c>
      <c r="G3308" s="6" t="n">
        <f aca="false">Sens!G3224+Sens!G3306</f>
        <v>67.1331586969052</v>
      </c>
      <c r="H3308" s="6" t="n">
        <f aca="false">Sens!H3224+Sens!H3306</f>
        <v>70.6742901911839</v>
      </c>
      <c r="I3308" s="6" t="n">
        <f aca="false">Sens!I3224+Sens!I3306</f>
        <v>72.7446306073766</v>
      </c>
      <c r="J3308" s="6" t="n">
        <f aca="false">Sens!J3224+Sens!J3306</f>
        <v>76.0118289855066</v>
      </c>
      <c r="K3308" s="6" t="n">
        <f aca="false">Sens!K3224+Sens!K3306</f>
        <v>80.6485701295297</v>
      </c>
    </row>
    <row r="3309" customFormat="false" ht="17.15" hidden="false" customHeight="false" outlineLevel="0" collapsed="false">
      <c r="A3309" s="1" t="s">
        <v>1107</v>
      </c>
      <c r="B3309" s="0" t="s">
        <v>98</v>
      </c>
      <c r="F3309" s="6" t="n">
        <f aca="false">Sens!F3251*sbc_r</f>
        <v>14.6366451852345</v>
      </c>
      <c r="G3309" s="6" t="n">
        <f aca="false">Sens!G3251*sbc_r</f>
        <v>16.7348601033336</v>
      </c>
      <c r="H3309" s="6" t="n">
        <f aca="false">Sens!H3251*sbc_r</f>
        <v>18.6964611976595</v>
      </c>
      <c r="I3309" s="6" t="n">
        <f aca="false">Sens!I3251*sbc_r</f>
        <v>20.3555191350251</v>
      </c>
      <c r="J3309" s="6" t="n">
        <f aca="false">Sens!J3251*sbc_r</f>
        <v>21.8852492810373</v>
      </c>
      <c r="K3309" s="6" t="n">
        <f aca="false">Sens!K3251*sbc_r</f>
        <v>23.3648666065924</v>
      </c>
    </row>
    <row r="3310" customFormat="false" ht="17.15" hidden="false" customHeight="false" outlineLevel="0" collapsed="false">
      <c r="A3310" s="1" t="s">
        <v>1108</v>
      </c>
      <c r="B3310" s="0" t="s">
        <v>98</v>
      </c>
      <c r="F3310" s="6" t="n">
        <f aca="false">wc27-wc26q1</f>
        <v>-4.677</v>
      </c>
      <c r="G3310" s="6" t="n">
        <f aca="false">wc_f</f>
        <v>0</v>
      </c>
      <c r="H3310" s="6" t="n">
        <f aca="false">wc_f</f>
        <v>0</v>
      </c>
      <c r="I3310" s="6" t="n">
        <f aca="false">wc_f</f>
        <v>0</v>
      </c>
      <c r="J3310" s="6" t="n">
        <f aca="false">wc_f</f>
        <v>0</v>
      </c>
      <c r="K3310" s="6" t="n">
        <f aca="false">wc_f</f>
        <v>0</v>
      </c>
      <c r="L3310" s="12" t="s">
        <v>1109</v>
      </c>
    </row>
    <row r="3311" customFormat="false" ht="17.15" hidden="false" customHeight="false" outlineLevel="0" collapsed="false">
      <c r="A3311" s="0" t="s">
        <v>1110</v>
      </c>
      <c r="B3311" s="0" t="s">
        <v>98</v>
      </c>
      <c r="F3311" s="6" t="n">
        <f aca="false">Q!$I$35-Q!$I$26-Q!$I$38-Q!$I$39</f>
        <v>6.493</v>
      </c>
      <c r="L3311" s="1" t="s">
        <v>1111</v>
      </c>
    </row>
    <row r="3312" customFormat="false" ht="15" hidden="false" customHeight="false" outlineLevel="0" collapsed="false">
      <c r="A3312" s="1" t="s">
        <v>908</v>
      </c>
      <c r="B3312" s="0" t="s">
        <v>98</v>
      </c>
      <c r="E3312" s="6" t="n">
        <f aca="false">Q!M35</f>
        <v>182.935</v>
      </c>
      <c r="F3312" s="6" t="n">
        <f aca="false">Sens!F3305+Sens!F3308+Sens!F3309+Sens!F3310+Sens!F3311</f>
        <v>217.456310877157</v>
      </c>
      <c r="G3312" s="6" t="n">
        <f aca="false">Sens!G3305+Sens!G3308+Sens!G3309+Sens!G3310</f>
        <v>241.791400283721</v>
      </c>
      <c r="H3312" s="6" t="n">
        <f aca="false">Sens!H3305+Sens!H3308+Sens!H3309+Sens!H3310</f>
        <v>271.212054912538</v>
      </c>
      <c r="I3312" s="6" t="n">
        <f aca="false">Sens!I3305+Sens!I3308+Sens!I3309+Sens!I3310</f>
        <v>295.394011350716</v>
      </c>
      <c r="J3312" s="6" t="n">
        <f aca="false">Sens!J3305+Sens!J3308+Sens!J3309+Sens!J3310</f>
        <v>318.411986006771</v>
      </c>
      <c r="K3312" s="6" t="n">
        <f aca="false">Sens!K3305+Sens!K3308+Sens!K3309+Sens!K3310</f>
        <v>341.631575982191</v>
      </c>
    </row>
    <row r="3313" customFormat="false" ht="17.15" hidden="false" customHeight="false" outlineLevel="0" collapsed="false">
      <c r="A3313" s="0" t="s">
        <v>1112</v>
      </c>
      <c r="B3313" s="0" t="s">
        <v>98</v>
      </c>
      <c r="F3313" s="6" t="n">
        <f aca="false">Sens!F3221</f>
        <v>29.673672624</v>
      </c>
      <c r="G3313" s="6" t="n">
        <f aca="false">Sens!G3221</f>
        <v>34.213759128</v>
      </c>
      <c r="H3313" s="6" t="n">
        <f aca="false">Sens!H3221</f>
        <v>0</v>
      </c>
      <c r="I3313" s="6" t="n">
        <f aca="false">Sens!I3221</f>
        <v>29.16074476</v>
      </c>
      <c r="J3313" s="6" t="n">
        <f aca="false">Sens!J3221</f>
        <v>44.03867576</v>
      </c>
      <c r="K3313" s="6" t="n">
        <f aca="false">Sens!K3221</f>
        <v>87.48223428</v>
      </c>
    </row>
    <row r="3314" customFormat="false" ht="17.15" hidden="false" customHeight="false" outlineLevel="0" collapsed="false">
      <c r="A3314" s="1" t="s">
        <v>1113</v>
      </c>
      <c r="B3314" s="0" t="s">
        <v>98</v>
      </c>
      <c r="E3314" s="6" t="n">
        <f aca="false">Sens!E3229*cx_azo+Sens!E3236*cx_m365+Sens!E3237*cx_lic+(Sens!E3239+Sens!E3241)*cx_ind+Sens!E3244*cx_srch+(Sens!E3246+Sens!E3248)*cx_dev</f>
        <v>30.1846587067718</v>
      </c>
      <c r="F3314" s="6" t="n">
        <f aca="false">Sens!F3229*cx_azo+Sens!F3236*cx_m365+Sens!F3237*cx_lic+(Sens!F3239+Sens!F3241)*cx_ind+Sens!F3244*cx_srch+(Sens!F3246+Sens!F3248)*cx_dev</f>
        <v>36.3479610758815</v>
      </c>
      <c r="G3314" s="6" t="n">
        <f aca="false">Sens!G3229*cx_azo+Sens!G3236*cx_m365+Sens!G3237*cx_lic+(Sens!G3239+Sens!G3241)*cx_ind+Sens!G3244*cx_srch+(Sens!G3246+Sens!G3248)*cx_dev</f>
        <v>42.3499525150266</v>
      </c>
      <c r="H3314" s="6" t="n">
        <f aca="false">Sens!H3229*cx_azo+Sens!H3236*cx_m365+Sens!H3237*cx_lic+(Sens!H3239+Sens!H3241)*cx_ind+Sens!H3244*cx_srch+(Sens!H3246+Sens!H3248)*cx_dev</f>
        <v>48.4393198766925</v>
      </c>
      <c r="I3314" s="6" t="n">
        <f aca="false">Sens!I3229*cx_azo+Sens!I3236*cx_m365+Sens!I3237*cx_lic+(Sens!I3239+Sens!I3241)*cx_ind+Sens!I3244*cx_srch+(Sens!I3246+Sens!I3248)*cx_dev</f>
        <v>54.1773092958326</v>
      </c>
      <c r="J3314" s="6" t="n">
        <f aca="false">Sens!J3229*cx_azo+Sens!J3236*cx_m365+Sens!J3237*cx_lic+(Sens!J3239+Sens!J3241)*cx_ind+Sens!J3244*cx_srch+(Sens!J3246+Sens!J3248)*cx_dev</f>
        <v>59.3233940034824</v>
      </c>
      <c r="K3314" s="6" t="n">
        <f aca="false">Sens!K3229*cx_azo+Sens!K3236*cx_m365+Sens!K3237*cx_lic+(Sens!K3239+Sens!K3241)*cx_ind+Sens!K3244*cx_srch+(Sens!K3246+Sens!K3248)*cx_dev</f>
        <v>63.8540842145706</v>
      </c>
    </row>
    <row r="3315" customFormat="false" ht="17.15" hidden="false" customHeight="false" outlineLevel="0" collapsed="false">
      <c r="A3315" s="0" t="s">
        <v>1114</v>
      </c>
      <c r="B3315" s="0" t="s">
        <v>98</v>
      </c>
      <c r="F3315" s="6" t="n">
        <f aca="false">Sens!F3219</f>
        <v>138.178366300118</v>
      </c>
      <c r="L3315" s="1" t="s">
        <v>1115</v>
      </c>
    </row>
    <row r="3316" customFormat="false" ht="17.15" hidden="false" customHeight="false" outlineLevel="0" collapsed="false">
      <c r="A3316" s="1" t="s">
        <v>1116</v>
      </c>
      <c r="B3316" s="0" t="s">
        <v>98</v>
      </c>
      <c r="E3316" s="6" t="n">
        <f aca="false">Q!M43</f>
        <v>145.3</v>
      </c>
      <c r="F3316" s="6" t="n">
        <f aca="false">Sens!F3313+Sens!F3314+Sens!F3315</f>
        <v>204.2</v>
      </c>
      <c r="G3316" s="6" t="n">
        <f aca="false">Sens!G3313+Sens!G3314</f>
        <v>76.5637116430266</v>
      </c>
      <c r="H3316" s="6" t="n">
        <f aca="false">Sens!H3313+Sens!H3314</f>
        <v>48.4393198766925</v>
      </c>
      <c r="I3316" s="6" t="n">
        <f aca="false">Sens!I3313+Sens!I3314</f>
        <v>83.3380540558326</v>
      </c>
      <c r="J3316" s="6" t="n">
        <f aca="false">Sens!J3313+Sens!J3314</f>
        <v>103.362069763482</v>
      </c>
      <c r="K3316" s="6" t="n">
        <f aca="false">Sens!K3313+Sens!K3314</f>
        <v>151.336318494571</v>
      </c>
      <c r="L3316" s="1" t="s">
        <v>1117</v>
      </c>
    </row>
    <row r="3317" customFormat="false" ht="15" hidden="false" customHeight="false" outlineLevel="0" collapsed="false">
      <c r="A3317" s="1" t="s">
        <v>1118</v>
      </c>
      <c r="B3317" s="0" t="s">
        <v>98</v>
      </c>
      <c r="E3317" s="6" t="n">
        <f aca="false">fl_liab</f>
        <v>66.594</v>
      </c>
      <c r="F3317" s="6" t="n">
        <f aca="false">Sens!E3317-Sens!F3318</f>
        <v>62.46973</v>
      </c>
      <c r="G3317" s="6" t="n">
        <f aca="false">Sens!F3317-Sens!G3318</f>
        <v>57.98686785</v>
      </c>
      <c r="H3317" s="6" t="n">
        <f aca="false">Sens!G3317-Sens!H3318</f>
        <v>53.92827690325</v>
      </c>
      <c r="I3317" s="6" t="n">
        <f aca="false">Sens!H3317-Sens!I3318</f>
        <v>49.7850493638962</v>
      </c>
      <c r="J3317" s="6" t="n">
        <f aca="false">Sens!I3317-Sens!J3318</f>
        <v>45.4823765852716</v>
      </c>
      <c r="K3317" s="6" t="n">
        <f aca="false">Sens!J3317-Sens!K3318</f>
        <v>40.9860835316088</v>
      </c>
    </row>
    <row r="3318" customFormat="false" ht="15" hidden="false" customHeight="false" outlineLevel="0" collapsed="false">
      <c r="A3318" s="1" t="s">
        <v>1119</v>
      </c>
      <c r="B3318" s="0" t="s">
        <v>98</v>
      </c>
      <c r="F3318" s="6" t="n">
        <f aca="false">fl_pay_27-Sens!E3317*fl_rate</f>
        <v>4.12427</v>
      </c>
      <c r="G3318" s="6" t="n">
        <f aca="false">fl_pay_28-Sens!F3317*fl_rate</f>
        <v>4.48286215</v>
      </c>
      <c r="H3318" s="6" t="n">
        <f aca="false">fl_pay_29-Sens!G3317*fl_rate</f>
        <v>4.05859094675</v>
      </c>
      <c r="I3318" s="6" t="n">
        <f aca="false">fl_pay_30-Sens!H3317*fl_rate</f>
        <v>4.14322753935375</v>
      </c>
      <c r="J3318" s="6" t="n">
        <f aca="false">fl_pay_31-Sens!I3317*fl_rate</f>
        <v>4.30267277862467</v>
      </c>
      <c r="K3318" s="6" t="n">
        <f aca="false">fl_pay_32-Sens!J3317*fl_rate</f>
        <v>4.49629305366278</v>
      </c>
    </row>
    <row r="3319" customFormat="false" ht="17.15" hidden="false" customHeight="false" outlineLevel="0" collapsed="false">
      <c r="A3319" s="1" t="s">
        <v>1120</v>
      </c>
      <c r="B3319" s="0" t="s">
        <v>98</v>
      </c>
      <c r="E3319" s="6" t="n">
        <f aca="false">Q!M35-Q!M36-Q!M44</f>
        <v>63.886</v>
      </c>
      <c r="F3319" s="6" t="n">
        <f aca="false">Sens!F3312-Sens!F3316-Sens!F3318</f>
        <v>9.13204087715698</v>
      </c>
      <c r="G3319" s="6" t="n">
        <f aca="false">Sens!G3312-Sens!G3316-Sens!G3318</f>
        <v>160.744826490694</v>
      </c>
      <c r="H3319" s="6" t="n">
        <f aca="false">Sens!H3312-Sens!H3316-Sens!H3318</f>
        <v>218.714144089096</v>
      </c>
      <c r="I3319" s="6" t="n">
        <f aca="false">Sens!I3312-Sens!I3316-Sens!I3318</f>
        <v>207.91272975553</v>
      </c>
      <c r="J3319" s="6" t="n">
        <f aca="false">Sens!J3312-Sens!J3316-Sens!J3318</f>
        <v>210.747243464664</v>
      </c>
      <c r="K3319" s="6" t="n">
        <f aca="false">Sens!K3312-Sens!K3316-Sens!K3318</f>
        <v>185.798964433957</v>
      </c>
      <c r="L3319" s="12" t="s">
        <v>1121</v>
      </c>
    </row>
    <row r="3320" customFormat="false" ht="15" hidden="false" customHeight="false" outlineLevel="0" collapsed="false">
      <c r="A3320" s="1" t="s">
        <v>1122</v>
      </c>
      <c r="B3320" s="0" t="s">
        <v>75</v>
      </c>
      <c r="F3320" s="8" t="n">
        <f aca="false">dps_27</f>
        <v>3.85</v>
      </c>
      <c r="G3320" s="8" t="n">
        <f aca="false">Sens!F3320*(1+dps_g)</f>
        <v>4.158</v>
      </c>
      <c r="H3320" s="8" t="n">
        <f aca="false">Sens!G3320*(1+dps_g)</f>
        <v>4.49064</v>
      </c>
      <c r="I3320" s="8" t="n">
        <f aca="false">Sens!H3320*(1+dps_g)</f>
        <v>4.8498912</v>
      </c>
      <c r="J3320" s="8" t="n">
        <f aca="false">Sens!I3320*(1+dps_g)</f>
        <v>5.237882496</v>
      </c>
      <c r="K3320" s="8" t="n">
        <f aca="false">Sens!J3320*(1+dps_g)</f>
        <v>5.65691309568</v>
      </c>
    </row>
    <row r="3321" customFormat="false" ht="17.15" hidden="false" customHeight="false" outlineLevel="0" collapsed="false">
      <c r="A3321" s="1" t="s">
        <v>1123</v>
      </c>
      <c r="B3321" s="0" t="s">
        <v>98</v>
      </c>
      <c r="E3321" s="6" t="n">
        <f aca="false">Q!M41</f>
        <v>26.445</v>
      </c>
      <c r="F3321" s="6" t="n">
        <f aca="false">Sens!F3320*Sens!E3330</f>
        <v>28.59395</v>
      </c>
      <c r="G3321" s="6" t="n">
        <f aca="false">Sens!G3320*Sens!F3330</f>
        <v>31.068576</v>
      </c>
      <c r="H3321" s="6" t="n">
        <f aca="false">Sens!H3320*Sens!G3330</f>
        <v>33.5883340530727</v>
      </c>
      <c r="I3321" s="6" t="n">
        <f aca="false">Sens!I3320*Sens!H3330</f>
        <v>36.3258390543911</v>
      </c>
      <c r="J3321" s="6" t="n">
        <f aca="false">Sens!J3320*Sens!I3330</f>
        <v>39.299804064135</v>
      </c>
      <c r="K3321" s="6" t="n">
        <f aca="false">Sens!K3320*Sens!J3330</f>
        <v>42.5305426516441</v>
      </c>
      <c r="L3321" s="1" t="s">
        <v>1124</v>
      </c>
    </row>
    <row r="3322" customFormat="false" ht="15" hidden="false" customHeight="false" outlineLevel="0" collapsed="false">
      <c r="A3322" s="1" t="s">
        <v>1125</v>
      </c>
      <c r="B3322" s="0" t="s">
        <v>98</v>
      </c>
      <c r="E3322" s="6" t="n">
        <f aca="false">Sens!E3319-Sens!E3321</f>
        <v>37.441</v>
      </c>
      <c r="F3322" s="6" t="n">
        <f aca="false">Sens!F3319-Sens!F3321</f>
        <v>-19.461909122843</v>
      </c>
      <c r="G3322" s="6" t="n">
        <f aca="false">Sens!G3319-Sens!G3321</f>
        <v>129.676250490694</v>
      </c>
      <c r="H3322" s="6" t="n">
        <f aca="false">Sens!H3319-Sens!H3321</f>
        <v>185.125810036023</v>
      </c>
      <c r="I3322" s="6" t="n">
        <f aca="false">Sens!I3319-Sens!I3321</f>
        <v>171.586890701139</v>
      </c>
      <c r="J3322" s="6" t="n">
        <f aca="false">Sens!J3319-Sens!J3321</f>
        <v>171.447439400529</v>
      </c>
      <c r="K3322" s="6" t="n">
        <f aca="false">Sens!K3319-Sens!K3321</f>
        <v>143.268421782313</v>
      </c>
    </row>
    <row r="3323" customFormat="false" ht="15" hidden="false" customHeight="false" outlineLevel="0" collapsed="false">
      <c r="A3323" s="1" t="s">
        <v>1126</v>
      </c>
      <c r="B3323" s="0" t="s">
        <v>98</v>
      </c>
      <c r="F3323" s="6" t="n">
        <f aca="false">debt_mat_27</f>
        <v>9.25</v>
      </c>
      <c r="G3323" s="6" t="n">
        <f aca="false">debt_mat_28</f>
        <v>0</v>
      </c>
      <c r="H3323" s="6" t="n">
        <f aca="false">debt_mat_29</f>
        <v>2.001</v>
      </c>
      <c r="I3323" s="6" t="n">
        <f aca="false">debt_mat_30</f>
        <v>0</v>
      </c>
      <c r="J3323" s="6" t="n">
        <f aca="false">debt_mat_31</f>
        <v>0.5</v>
      </c>
      <c r="K3323" s="6" t="n">
        <f aca="false">debt_mat_32</f>
        <v>0</v>
      </c>
    </row>
    <row r="3324" customFormat="false" ht="15" hidden="false" customHeight="false" outlineLevel="0" collapsed="false">
      <c r="A3324" s="1" t="s">
        <v>1127</v>
      </c>
      <c r="B3324" s="0" t="s">
        <v>98</v>
      </c>
      <c r="E3324" s="6" t="n">
        <f aca="false">Q!M40</f>
        <v>22.271</v>
      </c>
      <c r="F3324" s="6" t="n">
        <f aca="false">MAX(0,MIN(bb_target,Sens!E3326+Sens!F3322-Sens!F3323-min_cash))</f>
        <v>0</v>
      </c>
      <c r="G3324" s="6" t="n">
        <f aca="false">MAX(0,MIN(bb_target,Sens!F3326+Sens!G3322-Sens!G3323-min_cash))</f>
        <v>22.271</v>
      </c>
      <c r="H3324" s="6" t="n">
        <f aca="false">MAX(0,MIN(bb_target,Sens!G3326+Sens!H3322-Sens!H3323-min_cash))</f>
        <v>22.271</v>
      </c>
      <c r="I3324" s="6" t="n">
        <f aca="false">MAX(0,MIN(bb_target,Sens!H3326+Sens!I3322-Sens!I3323-min_cash))</f>
        <v>22.271</v>
      </c>
      <c r="J3324" s="6" t="n">
        <f aca="false">MAX(0,MIN(bb_target,Sens!I3326+Sens!J3322-Sens!J3323-min_cash))</f>
        <v>22.271</v>
      </c>
      <c r="K3324" s="6" t="n">
        <f aca="false">MAX(0,MIN(bb_target,Sens!J3326+Sens!K3322-Sens!K3323-min_cash))</f>
        <v>22.271</v>
      </c>
    </row>
    <row r="3325" customFormat="false" ht="15" hidden="false" customHeight="false" outlineLevel="0" collapsed="false">
      <c r="A3325" s="1" t="s">
        <v>1128</v>
      </c>
      <c r="B3325" s="0" t="s">
        <v>98</v>
      </c>
      <c r="F3325" s="6" t="n">
        <f aca="false">MAX(0,min_cash-(Sens!E3326+Sens!F3322-Sens!F3323-Sens!F3324))</f>
        <v>1.86890912284302</v>
      </c>
      <c r="G3325" s="6" t="n">
        <f aca="false">MAX(0,min_cash-(Sens!F3326+Sens!G3322-Sens!G3323-Sens!G3324))</f>
        <v>0</v>
      </c>
      <c r="H3325" s="6" t="n">
        <f aca="false">MAX(0,min_cash-(Sens!G3326+Sens!H3322-Sens!H3323-Sens!H3324))</f>
        <v>0</v>
      </c>
      <c r="I3325" s="6" t="n">
        <f aca="false">MAX(0,min_cash-(Sens!H3326+Sens!I3322-Sens!I3323-Sens!I3324))</f>
        <v>0</v>
      </c>
      <c r="J3325" s="6" t="n">
        <f aca="false">MAX(0,min_cash-(Sens!I3326+Sens!J3322-Sens!J3323-Sens!J3324))</f>
        <v>0</v>
      </c>
      <c r="K3325" s="6" t="n">
        <f aca="false">MAX(0,min_cash-(Sens!J3326+Sens!K3322-Sens!K3323-Sens!K3324))</f>
        <v>0</v>
      </c>
    </row>
    <row r="3326" customFormat="false" ht="15" hidden="false" customHeight="false" outlineLevel="0" collapsed="false">
      <c r="A3326" s="1" t="s">
        <v>1129</v>
      </c>
      <c r="B3326" s="0" t="s">
        <v>98</v>
      </c>
      <c r="E3326" s="6" t="n">
        <f aca="false">cash_open</f>
        <v>76.843</v>
      </c>
      <c r="F3326" s="6" t="n">
        <f aca="false">Sens!E3326+Sens!F3322-Sens!F3323-Sens!F3324+Sens!F3325</f>
        <v>50</v>
      </c>
      <c r="G3326" s="6" t="n">
        <f aca="false">Sens!F3326+Sens!G3322-Sens!G3323-Sens!G3324+Sens!G3325</f>
        <v>157.405250490694</v>
      </c>
      <c r="H3326" s="6" t="n">
        <f aca="false">Sens!G3326+Sens!H3322-Sens!H3323-Sens!H3324+Sens!H3325</f>
        <v>318.259060526717</v>
      </c>
      <c r="I3326" s="6" t="n">
        <f aca="false">Sens!H3326+Sens!I3322-Sens!I3323-Sens!I3324+Sens!I3325</f>
        <v>467.574951227856</v>
      </c>
      <c r="J3326" s="6" t="n">
        <f aca="false">Sens!I3326+Sens!J3322-Sens!J3323-Sens!J3324+Sens!J3325</f>
        <v>616.251390628385</v>
      </c>
      <c r="K3326" s="6" t="n">
        <f aca="false">Sens!J3326+Sens!K3322-Sens!K3323-Sens!K3324+Sens!K3325</f>
        <v>737.248812410699</v>
      </c>
    </row>
    <row r="3327" customFormat="false" ht="15" hidden="false" customHeight="false" outlineLevel="0" collapsed="false">
      <c r="A3327" s="1" t="s">
        <v>1130</v>
      </c>
      <c r="B3327" s="0" t="s">
        <v>98</v>
      </c>
      <c r="E3327" s="6" t="n">
        <f aca="false">debt_face</f>
        <v>46.136</v>
      </c>
      <c r="F3327" s="6" t="n">
        <f aca="false">Sens!E3327-Sens!F3323+Sens!F3325</f>
        <v>38.754909122843</v>
      </c>
      <c r="G3327" s="6" t="n">
        <f aca="false">Sens!F3327-Sens!G3323+Sens!G3325</f>
        <v>38.754909122843</v>
      </c>
      <c r="H3327" s="6" t="n">
        <f aca="false">Sens!G3327-Sens!H3323+Sens!H3325</f>
        <v>36.753909122843</v>
      </c>
      <c r="I3327" s="6" t="n">
        <f aca="false">Sens!H3327-Sens!I3323+Sens!I3325</f>
        <v>36.753909122843</v>
      </c>
      <c r="J3327" s="6" t="n">
        <f aca="false">Sens!I3327-Sens!J3323+Sens!J3325</f>
        <v>36.253909122843</v>
      </c>
      <c r="K3327" s="6" t="n">
        <f aca="false">Sens!J3327-Sens!K3323+Sens!K3325</f>
        <v>36.253909122843</v>
      </c>
    </row>
    <row r="3328" customFormat="false" ht="15" hidden="false" customHeight="false" outlineLevel="0" collapsed="false">
      <c r="A3328" s="1" t="s">
        <v>1131</v>
      </c>
      <c r="B3328" s="0" t="s">
        <v>98</v>
      </c>
      <c r="E3328" s="6" t="n">
        <f aca="false">Sens!E3326-Sens!E3327</f>
        <v>30.707</v>
      </c>
      <c r="F3328" s="6" t="n">
        <f aca="false">Sens!F3326-Sens!F3327</f>
        <v>11.245090877157</v>
      </c>
      <c r="G3328" s="6" t="n">
        <f aca="false">Sens!G3326-Sens!G3327</f>
        <v>118.650341367851</v>
      </c>
      <c r="H3328" s="6" t="n">
        <f aca="false">Sens!H3326-Sens!H3327</f>
        <v>281.505151403874</v>
      </c>
      <c r="I3328" s="6" t="n">
        <f aca="false">Sens!I3326-Sens!I3327</f>
        <v>430.821042105013</v>
      </c>
      <c r="J3328" s="6" t="n">
        <f aca="false">Sens!J3326-Sens!J3327</f>
        <v>579.997481505542</v>
      </c>
      <c r="K3328" s="6" t="n">
        <f aca="false">Sens!K3326-Sens!K3327</f>
        <v>700.994903287856</v>
      </c>
    </row>
    <row r="3329" customFormat="false" ht="15" hidden="false" customHeight="false" outlineLevel="0" collapsed="false">
      <c r="A3329" s="1" t="s">
        <v>1132</v>
      </c>
      <c r="B3329" s="0" t="s">
        <v>75</v>
      </c>
      <c r="F3329" s="30" t="n">
        <f aca="false">px*(1+bb_g)^(Sens!F3187-base_fy-mid_yr)</f>
        <v>551.84177959629</v>
      </c>
      <c r="G3329" s="30" t="n">
        <f aca="false">px*(1+bb_g)^(Sens!G3187-base_fy-mid_yr)</f>
        <v>595.989121963993</v>
      </c>
      <c r="H3329" s="30" t="n">
        <f aca="false">px*(1+bb_g)^(Sens!H3187-base_fy-mid_yr)</f>
        <v>643.668251721112</v>
      </c>
      <c r="I3329" s="30" t="n">
        <f aca="false">px*(1+bb_g)^(Sens!I3187-base_fy-mid_yr)</f>
        <v>695.161711858801</v>
      </c>
      <c r="J3329" s="30" t="n">
        <f aca="false">px*(1+bb_g)^(Sens!J3187-base_fy-mid_yr)</f>
        <v>750.774648807506</v>
      </c>
      <c r="K3329" s="30" t="n">
        <f aca="false">px*(1+bb_g)^(Sens!K3187-base_fy-mid_yr)</f>
        <v>810.836620712106</v>
      </c>
    </row>
    <row r="3330" customFormat="false" ht="15" hidden="false" customHeight="false" outlineLevel="0" collapsed="false">
      <c r="A3330" s="1" t="s">
        <v>1133</v>
      </c>
      <c r="B3330" s="1" t="s">
        <v>81</v>
      </c>
      <c r="E3330" s="15" t="n">
        <f aca="false">sh_out26</f>
        <v>7.427</v>
      </c>
      <c r="F3330" s="15" t="n">
        <f aca="false">Sens!E3330+sh_iss-Sens!F3324/Sens!F3329</f>
        <v>7.472</v>
      </c>
      <c r="G3330" s="15" t="n">
        <f aca="false">Sens!F3330+sh_iss-Sens!G3324/Sens!G3329</f>
        <v>7.47963186830221</v>
      </c>
      <c r="H3330" s="15" t="n">
        <f aca="false">Sens!G3330+sh_iss-Sens!H3324/Sens!H3329</f>
        <v>7.49003174635981</v>
      </c>
      <c r="I3330" s="15" t="n">
        <f aca="false">Sens!H3330+sh_iss-Sens!I3324/Sens!I3329</f>
        <v>7.50299459641315</v>
      </c>
      <c r="J3330" s="15" t="n">
        <f aca="false">Sens!I3330+sh_iss-Sens!J3324/Sens!J3329</f>
        <v>7.51833056868476</v>
      </c>
      <c r="K3330" s="15" t="n">
        <f aca="false">Sens!J3330+sh_iss-Sens!K3324/Sens!K3329</f>
        <v>7.53586387634365</v>
      </c>
    </row>
    <row r="3331" customFormat="false" ht="15" hidden="false" customHeight="false" outlineLevel="0" collapsed="false">
      <c r="A3331" s="1" t="s">
        <v>1134</v>
      </c>
      <c r="B3331" s="1" t="s">
        <v>81</v>
      </c>
      <c r="E3331" s="15" t="n">
        <f aca="false">sh_dil26</f>
        <v>7.453</v>
      </c>
      <c r="F3331" s="15" t="n">
        <f aca="false">(Sens!E3330+Sens!F3330)/2+dil_gap</f>
        <v>7.4735</v>
      </c>
      <c r="G3331" s="15" t="n">
        <f aca="false">(Sens!F3330+Sens!G3330)/2+dil_gap</f>
        <v>7.49981593415111</v>
      </c>
      <c r="H3331" s="15" t="n">
        <f aca="false">(Sens!G3330+Sens!H3330)/2+dil_gap</f>
        <v>7.50883180733101</v>
      </c>
      <c r="I3331" s="15" t="n">
        <f aca="false">(Sens!H3330+Sens!I3330)/2+dil_gap</f>
        <v>7.52051317138648</v>
      </c>
      <c r="J3331" s="15" t="n">
        <f aca="false">(Sens!I3330+Sens!J3330)/2+dil_gap</f>
        <v>7.53466258254895</v>
      </c>
      <c r="K3331" s="15" t="n">
        <f aca="false">(Sens!J3330+Sens!K3330)/2+dil_gap</f>
        <v>7.55109722251421</v>
      </c>
    </row>
    <row r="3332" customFormat="false" ht="17.15" hidden="false" customHeight="false" outlineLevel="0" collapsed="false">
      <c r="A3332" s="1" t="s">
        <v>1135</v>
      </c>
      <c r="B3332" s="0" t="s">
        <v>98</v>
      </c>
      <c r="C3332" s="6" t="n">
        <f aca="false">SUM(Sens!F3322:J3322)</f>
        <v>638.374481505542</v>
      </c>
    </row>
    <row r="3333" customFormat="false" ht="15" hidden="false" customHeight="false" outlineLevel="0" collapsed="false">
      <c r="A3333" s="26" t="s">
        <v>1100</v>
      </c>
      <c r="B3333" s="31" t="s">
        <v>98</v>
      </c>
      <c r="C3333" s="27" t="n">
        <f aca="false">Sens!$C$3332-(Sens!F3322+Sens!G3322+Sens!H3322+Sens!I3322+Sens!J3322)</f>
        <v>0</v>
      </c>
      <c r="D3333" s="31"/>
      <c r="E3333" s="31"/>
      <c r="F3333" s="31"/>
      <c r="G3333" s="31"/>
      <c r="H3333" s="31"/>
      <c r="I3333" s="31"/>
      <c r="J3333" s="31"/>
      <c r="K3333" s="31"/>
    </row>
    <row r="3334" customFormat="false" ht="17.15" hidden="false" customHeight="false" outlineLevel="0" collapsed="false">
      <c r="A3334" s="1" t="s">
        <v>1094</v>
      </c>
      <c r="B3334" s="1" t="s">
        <v>1136</v>
      </c>
      <c r="C3334" s="33" t="str">
        <f aca="false">IF(SUM(Sens!F3325:J3325)&gt;0.05,"需要舉債 "&amp;TEXT(SUM(Sens!F3325:J3325),"0.0")&amp;" 十億美元","不需舉債")&amp;"；"&amp;IF(SUM(Sens!F3324:J3324)&lt;COUNT(Sens!F3324:J3324)*bb_target-0.05,"回購較每年 "&amp;TEXT(bb_target,"0.0")&amp;" 的目標少 "&amp;TEXT(COUNT(Sens!F3324:J3324)*bb_target-SUM(Sens!F3324:J3324),"0.0")&amp;" 十億美元（"&amp;TEXT(COUNTIF(Sens!F3324:J3324,"&lt;"&amp;(bb_target-0.05)),"0")&amp;" 年減少）","回購不減")</f>
        <v>需要舉債 1.9 十億美元；回購較每年 22.3 的目標少 22.3 十億美元（1 年減少）</v>
      </c>
    </row>
    <row r="3335" customFormat="false" ht="17.15" hidden="false" customHeight="false" outlineLevel="0" collapsed="false">
      <c r="A3335" s="3" t="s">
        <v>1694</v>
      </c>
    </row>
    <row r="3336" customFormat="false" ht="15" hidden="false" customHeight="false" outlineLevel="0" collapsed="false">
      <c r="A3336" s="4" t="s">
        <v>43</v>
      </c>
      <c r="B3336" s="4" t="s">
        <v>65</v>
      </c>
      <c r="C3336" s="23" t="s">
        <v>942</v>
      </c>
      <c r="D3336" s="23" t="s">
        <v>943</v>
      </c>
      <c r="E3336" s="23" t="s">
        <v>944</v>
      </c>
      <c r="F3336" s="23" t="s">
        <v>945</v>
      </c>
      <c r="G3336" s="23" t="s">
        <v>946</v>
      </c>
      <c r="H3336" s="23" t="s">
        <v>947</v>
      </c>
      <c r="I3336" s="23" t="s">
        <v>948</v>
      </c>
      <c r="J3336" s="23" t="s">
        <v>949</v>
      </c>
      <c r="K3336" s="23" t="s">
        <v>950</v>
      </c>
      <c r="L3336" s="4" t="s">
        <v>47</v>
      </c>
    </row>
    <row r="3337" customFormat="false" ht="17.15" hidden="false" customHeight="false" outlineLevel="0" collapsed="false">
      <c r="A3337" s="1" t="s">
        <v>1216</v>
      </c>
      <c r="B3337" s="1" t="s">
        <v>279</v>
      </c>
      <c r="F3337" s="8" t="n">
        <f aca="false">(1-v_off)*mid_yr</f>
        <v>0.373972602739726</v>
      </c>
      <c r="G3337" s="8" t="n">
        <f aca="false">Sens!G3187-base_fy-mid_yr-v_off</f>
        <v>1.24794520547945</v>
      </c>
      <c r="H3337" s="8" t="n">
        <f aca="false">Sens!H3187-base_fy-mid_yr-v_off</f>
        <v>2.24794520547945</v>
      </c>
      <c r="I3337" s="8" t="n">
        <f aca="false">Sens!I3187-base_fy-mid_yr-v_off</f>
        <v>3.24794520547945</v>
      </c>
      <c r="J3337" s="8" t="n">
        <f aca="false">Sens!J3187-base_fy-mid_yr-v_off</f>
        <v>4.24794520547945</v>
      </c>
      <c r="K3337" s="8" t="n">
        <f aca="false">Sens!K3187-base_fy-mid_yr-v_off</f>
        <v>5.24794520547945</v>
      </c>
      <c r="L3337" s="12" t="s">
        <v>1217</v>
      </c>
    </row>
    <row r="3338" customFormat="false" ht="15" hidden="false" customHeight="false" outlineLevel="0" collapsed="false">
      <c r="A3338" s="1" t="s">
        <v>1218</v>
      </c>
      <c r="B3338" s="1" t="s">
        <v>279</v>
      </c>
      <c r="F3338" s="8" t="n">
        <f aca="false">Sens!F3187-base_fy-v_off</f>
        <v>0.747945205479452</v>
      </c>
      <c r="G3338" s="8" t="n">
        <f aca="false">Sens!G3187-base_fy-v_off</f>
        <v>1.74794520547945</v>
      </c>
      <c r="H3338" s="8" t="n">
        <f aca="false">Sens!H3187-base_fy-v_off</f>
        <v>2.74794520547945</v>
      </c>
      <c r="I3338" s="8" t="n">
        <f aca="false">Sens!I3187-base_fy-v_off</f>
        <v>3.74794520547945</v>
      </c>
      <c r="J3338" s="8" t="n">
        <f aca="false">Sens!J3187-base_fy-v_off</f>
        <v>4.74794520547945</v>
      </c>
      <c r="K3338" s="8" t="n">
        <f aca="false">Sens!K3187-base_fy-v_off</f>
        <v>5.74794520547945</v>
      </c>
    </row>
    <row r="3339" customFormat="false" ht="15" hidden="false" customHeight="false" outlineLevel="0" collapsed="false">
      <c r="A3339" s="1" t="s">
        <v>1219</v>
      </c>
      <c r="B3339" s="0" t="s">
        <v>229</v>
      </c>
      <c r="F3339" s="15" t="n">
        <f aca="false">1/(1+wacc)^Sens!F3337</f>
        <v>0.964022703286649</v>
      </c>
      <c r="G3339" s="15" t="n">
        <f aca="false">1/(1+wacc)^Sens!G3337</f>
        <v>0.884910302296739</v>
      </c>
      <c r="H3339" s="15" t="n">
        <f aca="false">1/(1+wacc)^Sens!H3337</f>
        <v>0.802322009770358</v>
      </c>
      <c r="I3339" s="15" t="n">
        <f aca="false">1/(1+wacc)^Sens!I3337</f>
        <v>0.727441646561469</v>
      </c>
      <c r="J3339" s="15" t="n">
        <f aca="false">1/(1+wacc)^Sens!J3337</f>
        <v>0.659549834988973</v>
      </c>
      <c r="K3339" s="15" t="n">
        <f aca="false">1/(1+wacc)^Sens!K3337</f>
        <v>0.597994336576966</v>
      </c>
    </row>
    <row r="3340" customFormat="false" ht="17.15" hidden="false" customHeight="false" outlineLevel="0" collapsed="false">
      <c r="A3340" s="1" t="s">
        <v>1220</v>
      </c>
      <c r="B3340" s="0" t="s">
        <v>98</v>
      </c>
      <c r="F3340" s="6" t="n">
        <f aca="false">Q!$I$35-Q!$I$39-Q!$I$43</f>
        <v>9.666</v>
      </c>
      <c r="L3340" s="12" t="s">
        <v>1221</v>
      </c>
    </row>
    <row r="3341" customFormat="false" ht="17.15" hidden="false" customHeight="false" outlineLevel="0" collapsed="false">
      <c r="A3341" s="1" t="s">
        <v>1222</v>
      </c>
      <c r="B3341" s="0" t="s">
        <v>98</v>
      </c>
      <c r="F3341" s="6" t="n">
        <f aca="false">Sens!F3312-Sens!F3309-Sens!F3316+Sens!F3294*(1-tax_f)*(1-v_off)-Sens!F3340</f>
        <v>-10.0836833355266</v>
      </c>
      <c r="G3341" s="6" t="n">
        <f aca="false">Sens!G3312-Sens!G3309-Sens!G3316+Sens!G3294*(1-tax_f)</f>
        <v>148.492828537361</v>
      </c>
      <c r="H3341" s="6" t="n">
        <f aca="false">Sens!H3312-Sens!H3309-Sens!H3316+Sens!H3294*(1-tax_f)</f>
        <v>204.076273838186</v>
      </c>
      <c r="I3341" s="6" t="n">
        <f aca="false">Sens!I3312-Sens!I3309-Sens!I3316+Sens!I3294*(1-tax_f)</f>
        <v>191.700438159859</v>
      </c>
      <c r="J3341" s="6" t="n">
        <f aca="false">Sens!J3312-Sens!J3309-Sens!J3316+Sens!J3294*(1-tax_f)</f>
        <v>193.164666962251</v>
      </c>
      <c r="K3341" s="6" t="n">
        <f aca="false">Sens!K3312-Sens!K3309-Sens!K3316+Sens!K3294*(1-tax_f)</f>
        <v>166.930390881028</v>
      </c>
      <c r="L3341" s="1" t="s">
        <v>1223</v>
      </c>
    </row>
    <row r="3342" customFormat="false" ht="15" hidden="false" customHeight="false" outlineLevel="0" collapsed="false">
      <c r="A3342" s="1" t="s">
        <v>1224</v>
      </c>
      <c r="B3342" s="0" t="s">
        <v>98</v>
      </c>
      <c r="F3342" s="6" t="n">
        <f aca="false">Sens!F3341*Sens!F3339</f>
        <v>-9.72089966820089</v>
      </c>
      <c r="G3342" s="6" t="n">
        <f aca="false">Sens!G3341*Sens!G3339</f>
        <v>131.402833789894</v>
      </c>
      <c r="H3342" s="6" t="n">
        <f aca="false">Sens!H3341*Sens!H3339</f>
        <v>163.734886172299</v>
      </c>
      <c r="I3342" s="6" t="n">
        <f aca="false">Sens!I3341*Sens!I3339</f>
        <v>139.450882381563</v>
      </c>
      <c r="J3342" s="6" t="n">
        <f aca="false">Sens!J3341*Sens!J3339</f>
        <v>127.401724220653</v>
      </c>
      <c r="K3342" s="6" t="n">
        <f aca="false">Sens!K3341*Sens!K3339</f>
        <v>99.8234283494337</v>
      </c>
    </row>
    <row r="3343" customFormat="false" ht="17.15" hidden="false" customHeight="false" outlineLevel="0" collapsed="false">
      <c r="A3343" s="1" t="s">
        <v>1225</v>
      </c>
      <c r="B3343" s="0" t="s">
        <v>98</v>
      </c>
      <c r="C3343" s="6" t="n">
        <f aca="false">SUM(Sens!F3342:K3342)</f>
        <v>652.092855245641</v>
      </c>
    </row>
    <row r="3344" customFormat="false" ht="17.15" hidden="false" customHeight="false" outlineLevel="0" collapsed="false">
      <c r="A3344" s="1" t="s">
        <v>1226</v>
      </c>
      <c r="B3344" s="0" t="s">
        <v>98</v>
      </c>
      <c r="C3344" s="6" t="n">
        <f aca="false">Sens!K3280*(1+g_tv)*(1-tax_f)</f>
        <v>245.735483423451</v>
      </c>
    </row>
    <row r="3345" customFormat="false" ht="17.15" hidden="false" customHeight="false" outlineLevel="0" collapsed="false">
      <c r="A3345" s="1" t="s">
        <v>1227</v>
      </c>
      <c r="B3345" s="0" t="s">
        <v>98</v>
      </c>
      <c r="C3345" s="6" t="n">
        <f aca="false">Sens!$C$3344*(1-g_tv/(wacc+ronic_prem))</f>
        <v>174.117952329967</v>
      </c>
    </row>
    <row r="3346" customFormat="false" ht="17.15" hidden="false" customHeight="false" outlineLevel="0" collapsed="false">
      <c r="A3346" s="1" t="s">
        <v>1228</v>
      </c>
      <c r="B3346" s="0" t="s">
        <v>98</v>
      </c>
      <c r="C3346" s="6" t="n">
        <f aca="false">Sens!$C$3345/(wacc-g_tv)</f>
        <v>2387.25103644946</v>
      </c>
    </row>
    <row r="3347" customFormat="false" ht="15" hidden="false" customHeight="false" outlineLevel="0" collapsed="false">
      <c r="A3347" s="1" t="s">
        <v>1229</v>
      </c>
      <c r="B3347" s="0" t="s">
        <v>98</v>
      </c>
      <c r="C3347" s="6" t="n">
        <f aca="false">Sens!$C$3346/(1+wacc)^Sens!K3338</f>
        <v>1359.31431018974</v>
      </c>
    </row>
    <row r="3348" customFormat="false" ht="17.15" hidden="false" customHeight="false" outlineLevel="0" collapsed="false">
      <c r="A3348" s="0" t="s">
        <v>1230</v>
      </c>
      <c r="B3348" s="0" t="s">
        <v>98</v>
      </c>
      <c r="C3348" s="6" t="n">
        <f aca="false">Sens!$C$3343+Sens!$C$3347</f>
        <v>2011.40716543538</v>
      </c>
    </row>
    <row r="3349" customFormat="false" ht="15" hidden="false" customHeight="false" outlineLevel="0" collapsed="false">
      <c r="A3349" s="1" t="s">
        <v>1145</v>
      </c>
      <c r="B3349" s="0" t="s">
        <v>168</v>
      </c>
      <c r="C3349" s="7" t="n">
        <f aca="false">Sens!$C$3347/Sens!$C$3348</f>
        <v>0.675802658729968</v>
      </c>
    </row>
    <row r="3350" customFormat="false" ht="17.15" hidden="false" customHeight="false" outlineLevel="0" collapsed="false">
      <c r="A3350" s="1" t="s">
        <v>1231</v>
      </c>
      <c r="B3350" s="0" t="s">
        <v>98</v>
      </c>
      <c r="C3350" s="6" t="n">
        <f aca="false">Sens!$C$3348+cash_val-debt_val-fl_val+oai_v</f>
        <v>2127.25816543538</v>
      </c>
    </row>
    <row r="3351" customFormat="false" ht="17.15" hidden="false" customHeight="false" outlineLevel="0" collapsed="false">
      <c r="A3351" s="0" t="s">
        <v>1153</v>
      </c>
      <c r="B3351" s="0" t="s">
        <v>75</v>
      </c>
      <c r="C3351" s="5" t="n">
        <f aca="false">Sens!$C$3350/shd_val</f>
        <v>285.691400139052</v>
      </c>
    </row>
    <row r="3352" customFormat="false" ht="15" hidden="false" customHeight="false" outlineLevel="0" collapsed="false">
      <c r="A3352" s="1" t="s">
        <v>1232</v>
      </c>
      <c r="B3352" s="0" t="s">
        <v>75</v>
      </c>
      <c r="C3352" s="8" t="n">
        <f aca="false">div_rem27+Sens!G3320*roll_div_q/q_per_yr</f>
        <v>3.9795</v>
      </c>
    </row>
    <row r="3353" customFormat="false" ht="17.15" hidden="false" customHeight="false" outlineLevel="0" collapsed="false">
      <c r="A3353" s="0" t="s">
        <v>1233</v>
      </c>
      <c r="B3353" s="0" t="s">
        <v>75</v>
      </c>
      <c r="C3353" s="5" t="n">
        <f aca="false">Sens!$C$3351*(1+wacc)^t_roll-Sens!$C$3352</f>
        <v>313.582435904101</v>
      </c>
    </row>
    <row r="3354" customFormat="false" ht="17.15" hidden="false" customHeight="false" outlineLevel="0" collapsed="false">
      <c r="A3354" s="1" t="s">
        <v>1234</v>
      </c>
      <c r="B3354" s="0" t="s">
        <v>168</v>
      </c>
      <c r="F3354" s="7" t="n">
        <f aca="false">Sens!F3306/(Sens!F3251-Sens!F3206)</f>
        <v>0.107880469298418</v>
      </c>
      <c r="G3354" s="7" t="n">
        <f aca="false">Sens!G3306/(Sens!G3251-Sens!G3206)</f>
        <v>0.0967579149665688</v>
      </c>
      <c r="H3354" s="7" t="n">
        <f aca="false">Sens!H3306/(Sens!H3251-Sens!H3206)</f>
        <v>0.0890421447162373</v>
      </c>
      <c r="I3354" s="7" t="n">
        <f aca="false">Sens!I3306/(Sens!I3251-Sens!I3206)</f>
        <v>0.0842314576487123</v>
      </c>
      <c r="J3354" s="7" t="n">
        <f aca="false">Sens!J3306/(Sens!J3251-Sens!J3206)</f>
        <v>0.0815484173778937</v>
      </c>
      <c r="K3354" s="7" t="n">
        <f aca="false">Sens!K3306/(Sens!K3251-Sens!K3206)</f>
        <v>0.0801930458302042</v>
      </c>
    </row>
    <row r="3355" customFormat="false" ht="17.15" hidden="false" customHeight="false" outlineLevel="0" collapsed="false">
      <c r="A3355" s="0" t="s">
        <v>1235</v>
      </c>
      <c r="B3355" s="0" t="s">
        <v>98</v>
      </c>
      <c r="F3355" s="6" t="n">
        <f aca="false">Sens!F3236*(al_m365+Sens!F3354+sbc_r)</f>
        <v>89.2300871739136</v>
      </c>
      <c r="G3355" s="6" t="n">
        <f aca="false">Sens!G3236*(al_m365+Sens!G3354+sbc_r)</f>
        <v>103.371455414254</v>
      </c>
      <c r="H3355" s="6" t="n">
        <f aca="false">Sens!H3236*(al_m365+Sens!H3354+sbc_r)</f>
        <v>117.654246568111</v>
      </c>
      <c r="I3355" s="6" t="n">
        <f aca="false">Sens!I3236*(al_m365+Sens!I3354+sbc_r)</f>
        <v>130.392305628012</v>
      </c>
      <c r="J3355" s="6" t="n">
        <f aca="false">Sens!J3236*(al_m365+Sens!J3354+sbc_r)</f>
        <v>141.429629333939</v>
      </c>
      <c r="K3355" s="6" t="n">
        <f aca="false">Sens!K3236*(al_m365+Sens!K3354+sbc_r)</f>
        <v>152.126152882406</v>
      </c>
      <c r="L3355" s="12" t="s">
        <v>1236</v>
      </c>
    </row>
    <row r="3356" customFormat="false" ht="17.15" hidden="false" customHeight="false" outlineLevel="0" collapsed="false">
      <c r="A3356" s="0" t="s">
        <v>1237</v>
      </c>
      <c r="B3356" s="0" t="s">
        <v>98</v>
      </c>
      <c r="F3356" s="6" t="n">
        <f aca="false">Sens!F3237*(al_lic+Sens!F3354+sbc_r)</f>
        <v>34.3648011021305</v>
      </c>
      <c r="G3356" s="6" t="n">
        <f aca="false">Sens!G3237*(al_lic+Sens!G3354+sbc_r)</f>
        <v>35.3749347549471</v>
      </c>
      <c r="H3356" s="6" t="n">
        <f aca="false">Sens!H3237*(al_lic+Sens!H3354+sbc_r)</f>
        <v>36.3551944212281</v>
      </c>
      <c r="I3356" s="6" t="n">
        <f aca="false">Sens!I3237*(al_lic+Sens!I3354+sbc_r)</f>
        <v>37.2826899380852</v>
      </c>
      <c r="J3356" s="6" t="n">
        <f aca="false">Sens!J3237*(al_lic+Sens!J3354+sbc_r)</f>
        <v>38.1189059304861</v>
      </c>
      <c r="K3356" s="6" t="n">
        <f aca="false">Sens!K3237*(al_lic+Sens!K3354+sbc_r)</f>
        <v>38.82063644195</v>
      </c>
    </row>
    <row r="3357" customFormat="false" ht="17.15" hidden="false" customHeight="false" outlineLevel="0" collapsed="false">
      <c r="A3357" s="0" t="s">
        <v>1238</v>
      </c>
      <c r="B3357" s="0" t="s">
        <v>98</v>
      </c>
      <c r="F3357" s="6" t="n">
        <f aca="false">Sens!F3239*(al_ind+Sens!F3354+sbc_r)</f>
        <v>9.93657036475881</v>
      </c>
      <c r="G3357" s="6" t="n">
        <f aca="false">Sens!G3239*(al_ind+Sens!G3354+sbc_r)</f>
        <v>10.5905753188275</v>
      </c>
      <c r="H3357" s="6" t="n">
        <f aca="false">Sens!H3239*(al_ind+Sens!H3354+sbc_r)</f>
        <v>11.3109263525627</v>
      </c>
      <c r="I3357" s="6" t="n">
        <f aca="false">Sens!I3239*(al_ind+Sens!I3354+sbc_r)</f>
        <v>12.0954565148207</v>
      </c>
      <c r="J3357" s="6" t="n">
        <f aca="false">Sens!J3239*(al_ind+Sens!J3354+sbc_r)</f>
        <v>12.9292567574792</v>
      </c>
      <c r="K3357" s="6" t="n">
        <f aca="false">Sens!K3239*(al_ind+Sens!K3354+sbc_r)</f>
        <v>13.789546469938</v>
      </c>
    </row>
    <row r="3358" customFormat="false" ht="17.15" hidden="false" customHeight="false" outlineLevel="0" collapsed="false">
      <c r="A3358" s="0" t="s">
        <v>1239</v>
      </c>
      <c r="B3358" s="0" t="s">
        <v>98</v>
      </c>
      <c r="F3358" s="6" t="n">
        <f aca="false">Sens!F3241*(al_fro+Sens!F3354+sbc_r)</f>
        <v>3.89770848082395</v>
      </c>
      <c r="G3358" s="6" t="n">
        <f aca="false">Sens!G3241*(al_fro+Sens!G3354+sbc_r)</f>
        <v>4.0522645052683</v>
      </c>
      <c r="H3358" s="6" t="n">
        <f aca="false">Sens!H3241*(al_fro+Sens!H3354+sbc_r)</f>
        <v>4.24778371288396</v>
      </c>
      <c r="I3358" s="6" t="n">
        <f aca="false">Sens!I3241*(al_fro+Sens!I3354+sbc_r)</f>
        <v>4.48605939621065</v>
      </c>
      <c r="J3358" s="6" t="n">
        <f aca="false">Sens!J3241*(al_fro+Sens!J3354+sbc_r)</f>
        <v>4.76540125645362</v>
      </c>
      <c r="K3358" s="6" t="n">
        <f aca="false">Sens!K3241*(al_fro+Sens!K3354+sbc_r)</f>
        <v>5.0824825669701</v>
      </c>
    </row>
    <row r="3359" customFormat="false" ht="17.15" hidden="false" customHeight="false" outlineLevel="0" collapsed="false">
      <c r="A3359" s="0" t="s">
        <v>1240</v>
      </c>
      <c r="B3359" s="0" t="s">
        <v>98</v>
      </c>
      <c r="F3359" s="6" t="n">
        <f aca="false">Sens!F3244*(al_srch+Sens!F3354+sbc_r)</f>
        <v>12.2710889513994</v>
      </c>
      <c r="G3359" s="6" t="n">
        <f aca="false">Sens!G3244*(al_srch+Sens!G3354+sbc_r)</f>
        <v>13.2021502587442</v>
      </c>
      <c r="H3359" s="6" t="n">
        <f aca="false">Sens!H3244*(al_srch+Sens!H3354+sbc_r)</f>
        <v>14.2004464017254</v>
      </c>
      <c r="I3359" s="6" t="n">
        <f aca="false">Sens!I3244*(al_srch+Sens!I3354+sbc_r)</f>
        <v>15.2578006636361</v>
      </c>
      <c r="J3359" s="6" t="n">
        <f aca="false">Sens!J3244*(al_srch+Sens!J3354+sbc_r)</f>
        <v>16.3486891483271</v>
      </c>
      <c r="K3359" s="6" t="n">
        <f aca="false">Sens!K3244*(al_srch+Sens!K3354+sbc_r)</f>
        <v>17.4365018006946</v>
      </c>
    </row>
    <row r="3360" customFormat="false" ht="17.15" hidden="false" customHeight="false" outlineLevel="0" collapsed="false">
      <c r="A3360" s="0" t="s">
        <v>1241</v>
      </c>
      <c r="B3360" s="0" t="s">
        <v>98</v>
      </c>
      <c r="F3360" s="6" t="n">
        <f aca="false">Sens!F3212-Sens!F3213+Sens!F3294</f>
        <v>27.9193315524174</v>
      </c>
      <c r="G3360" s="6" t="n">
        <f aca="false">Sens!G3212-Sens!G3213+Sens!G3294</f>
        <v>34.5111199727705</v>
      </c>
      <c r="H3360" s="6" t="n">
        <f aca="false">Sens!H3212-Sens!H3213+Sens!H3294</f>
        <v>40.1955385443373</v>
      </c>
      <c r="I3360" s="6" t="n">
        <f aca="false">Sens!I3212-Sens!I3213+Sens!I3294</f>
        <v>41.4005897671421</v>
      </c>
      <c r="J3360" s="6" t="n">
        <f aca="false">Sens!J3212-Sens!J3213+Sens!J3294</f>
        <v>43.2204630423983</v>
      </c>
      <c r="K3360" s="6" t="n">
        <f aca="false">Sens!K3212-Sens!K3213+Sens!K3294</f>
        <v>46.8356167108126</v>
      </c>
    </row>
    <row r="3361" customFormat="false" ht="17.15" hidden="false" customHeight="false" outlineLevel="0" collapsed="false">
      <c r="A3361" s="0" t="s">
        <v>1242</v>
      </c>
      <c r="B3361" s="0" t="s">
        <v>98</v>
      </c>
      <c r="F3361" s="6" t="n">
        <f aca="false">Sens!F3273+Sens!F3294+Sens!F3224+Sens!F3354*(Sens!F3243-Sens!F3206)+sbc_r*Sens!F3243</f>
        <v>223.868743220084</v>
      </c>
      <c r="G3361" s="6" t="n">
        <f aca="false">Sens!G3273+Sens!G3294+Sens!G3224+Sens!G3354*(Sens!G3243-Sens!G3206)+sbc_r*Sens!G3243</f>
        <v>253.950613840696</v>
      </c>
      <c r="H3361" s="6" t="n">
        <f aca="false">Sens!H3273+Sens!H3294+Sens!H3224+Sens!H3354*(Sens!H3243-Sens!H3206)+sbc_r*Sens!H3243</f>
        <v>288.831610889434</v>
      </c>
      <c r="I3361" s="6" t="n">
        <f aca="false">Sens!I3273+Sens!I3294+Sens!I3224+Sens!I3354*(Sens!I3243-Sens!I3206)+sbc_r*Sens!I3243</f>
        <v>317.274553930235</v>
      </c>
      <c r="J3361" s="6" t="n">
        <f aca="false">Sens!J3273+Sens!J3294+Sens!J3224+Sens!J3354*(Sens!J3243-Sens!J3206)+sbc_r*Sens!J3243</f>
        <v>343.726913679087</v>
      </c>
      <c r="K3361" s="6" t="n">
        <f aca="false">Sens!K3273+Sens!K3294+Sens!K3224+Sens!K3354*(Sens!K3243-Sens!K3206)+sbc_r*Sens!K3243</f>
        <v>369.897925870621</v>
      </c>
    </row>
    <row r="3362" customFormat="false" ht="17.15" hidden="false" customHeight="false" outlineLevel="0" collapsed="false">
      <c r="A3362" s="0" t="s">
        <v>1243</v>
      </c>
      <c r="B3362" s="0" t="s">
        <v>98</v>
      </c>
      <c r="F3362" s="6" t="n">
        <f aca="false">Sens!F3361-Sens!F3355-Sens!F3356-Sens!F3357-Sens!F3358-Sens!F3360</f>
        <v>58.5202445460394</v>
      </c>
      <c r="G3362" s="6" t="n">
        <f aca="false">Sens!G3361-Sens!G3355-Sens!G3356-Sens!G3357-Sens!G3358-Sens!G3360</f>
        <v>66.0502638746287</v>
      </c>
      <c r="H3362" s="6" t="n">
        <f aca="false">Sens!H3361-Sens!H3355-Sens!H3356-Sens!H3357-Sens!H3358-Sens!H3360</f>
        <v>79.0679212903104</v>
      </c>
      <c r="I3362" s="6" t="n">
        <f aca="false">Sens!I3361-Sens!I3355-Sens!I3356-Sens!I3357-Sens!I3358-Sens!I3360</f>
        <v>91.6174526859643</v>
      </c>
      <c r="J3362" s="6" t="n">
        <f aca="false">Sens!J3361-Sens!J3355-Sens!J3356-Sens!J3357-Sens!J3358-Sens!J3360</f>
        <v>103.263257358331</v>
      </c>
      <c r="K3362" s="6" t="n">
        <f aca="false">Sens!K3361-Sens!K3355-Sens!K3356-Sens!K3357-Sens!K3358-Sens!K3360</f>
        <v>113.243490798545</v>
      </c>
    </row>
    <row r="3363" customFormat="false" ht="17.15" hidden="false" customHeight="false" outlineLevel="0" collapsed="false">
      <c r="A3363" s="0" t="s">
        <v>1244</v>
      </c>
      <c r="B3363" s="0" t="s">
        <v>98</v>
      </c>
      <c r="F3363" s="6" t="n">
        <f aca="false">Sens!F3275+Sens!F3354*Sens!F3250+sbc_r*Sens!F3250</f>
        <v>29.1582113513808</v>
      </c>
      <c r="G3363" s="6" t="n">
        <f aca="false">Sens!G3275+Sens!G3354*Sens!G3250+sbc_r*Sens!G3250</f>
        <v>28.5216318138955</v>
      </c>
      <c r="H3363" s="6" t="n">
        <f aca="false">Sens!H3275+Sens!H3354*Sens!H3250+sbc_r*Sens!H3250</f>
        <v>29.0407699040281</v>
      </c>
      <c r="I3363" s="6" t="n">
        <f aca="false">Sens!I3275+Sens!I3354*Sens!I3250+sbc_r*Sens!I3250</f>
        <v>29.8929228225599</v>
      </c>
      <c r="J3363" s="6" t="n">
        <f aca="false">Sens!J3275+Sens!J3354*Sens!J3250+sbc_r*Sens!J3250</f>
        <v>31.0137992627411</v>
      </c>
      <c r="K3363" s="6" t="n">
        <f aca="false">Sens!K3275+Sens!K3354*Sens!K3250+sbc_r*Sens!K3250</f>
        <v>32.3381849230866</v>
      </c>
    </row>
    <row r="3364" customFormat="false" ht="17.15" hidden="false" customHeight="false" outlineLevel="0" collapsed="false">
      <c r="A3364" s="0" t="s">
        <v>1245</v>
      </c>
      <c r="B3364" s="0" t="s">
        <v>98</v>
      </c>
      <c r="F3364" s="6" t="n">
        <f aca="false">(Sens!F3363-Sens!F3359)*Sens!F3246/(Sens!F3246+Sens!F3248)</f>
        <v>9.53760218074356</v>
      </c>
      <c r="G3364" s="6" t="n">
        <f aca="false">(Sens!G3363-Sens!G3359)*Sens!G3246/(Sens!G3246+Sens!G3248)</f>
        <v>8.50352176886459</v>
      </c>
      <c r="H3364" s="6" t="n">
        <f aca="false">(Sens!H3363-Sens!H3359)*Sens!H3246/(Sens!H3246+Sens!H3248)</f>
        <v>8.13024031659423</v>
      </c>
      <c r="I3364" s="6" t="n">
        <f aca="false">(Sens!I3363-Sens!I3359)*Sens!I3246/(Sens!I3246+Sens!I3248)</f>
        <v>7.94783800492183</v>
      </c>
      <c r="J3364" s="6" t="n">
        <f aca="false">(Sens!J3363-Sens!J3359)*Sens!J3246/(Sens!J3246+Sens!J3248)</f>
        <v>7.92937635177546</v>
      </c>
      <c r="K3364" s="6" t="n">
        <f aca="false">(Sens!K3363-Sens!K3359)*Sens!K3246/(Sens!K3246+Sens!K3248)</f>
        <v>8.05729059178418</v>
      </c>
    </row>
    <row r="3365" customFormat="false" ht="17.15" hidden="false" customHeight="false" outlineLevel="0" collapsed="false">
      <c r="A3365" s="0" t="s">
        <v>1246</v>
      </c>
      <c r="B3365" s="0" t="s">
        <v>98</v>
      </c>
      <c r="F3365" s="6" t="n">
        <f aca="false">Sens!F3363-Sens!F3359-Sens!F3364</f>
        <v>7.34952021923789</v>
      </c>
      <c r="G3365" s="6" t="n">
        <f aca="false">Sens!G3363-Sens!G3359-Sens!G3364</f>
        <v>6.81595978628678</v>
      </c>
      <c r="H3365" s="6" t="n">
        <f aca="false">Sens!H3363-Sens!H3359-Sens!H3364</f>
        <v>6.71008318570843</v>
      </c>
      <c r="I3365" s="6" t="n">
        <f aca="false">Sens!I3363-Sens!I3359-Sens!I3364</f>
        <v>6.687284154002</v>
      </c>
      <c r="J3365" s="6" t="n">
        <f aca="false">Sens!J3363-Sens!J3359-Sens!J3364</f>
        <v>6.73573376263846</v>
      </c>
      <c r="K3365" s="6" t="n">
        <f aca="false">Sens!K3363-Sens!K3359-Sens!K3364</f>
        <v>6.84439253060777</v>
      </c>
    </row>
    <row r="3366" customFormat="false" ht="17.15" hidden="false" customHeight="false" outlineLevel="0" collapsed="false">
      <c r="A3366" s="0" t="s">
        <v>1247</v>
      </c>
      <c r="B3366" s="0" t="s">
        <v>98</v>
      </c>
      <c r="F3366" s="6" t="n">
        <f aca="false">Sens!F3360-tax_f*(Sens!F3360-Sens!F3224)-Sens!F3221</f>
        <v>-2.4284018466661</v>
      </c>
      <c r="G3366" s="6" t="n">
        <f aca="false">Sens!G3360-tax_f*(Sens!G3360-Sens!G3224)-Sens!G3221</f>
        <v>-0.767736585183634</v>
      </c>
      <c r="H3366" s="6" t="n">
        <f aca="false">Sens!H3360-tax_f*(Sens!H3360-Sens!H3224)-Sens!H3221</f>
        <v>38.4919478188698</v>
      </c>
      <c r="I3366" s="6" t="n">
        <f aca="false">Sens!I3360-tax_f*(Sens!I3360-Sens!I3224)-Sens!I3221</f>
        <v>10.4057000399192</v>
      </c>
      <c r="J3366" s="6" t="n">
        <f aca="false">Sens!J3360-tax_f*(Sens!J3360-Sens!J3224)-Sens!J3221</f>
        <v>-2.73906523079249</v>
      </c>
      <c r="K3366" s="6" t="n">
        <f aca="false">Sens!K3360-tax_f*(Sens!K3360-Sens!K3224)-Sens!K3221</f>
        <v>-42.7923217013666</v>
      </c>
    </row>
    <row r="3367" customFormat="false" ht="17.15" hidden="false" customHeight="false" outlineLevel="0" collapsed="false">
      <c r="A3367" s="0" t="s">
        <v>1248</v>
      </c>
      <c r="B3367" s="0" t="s">
        <v>98</v>
      </c>
      <c r="G3367" s="6" t="n">
        <f aca="false">Sens!G3366/(1+wacc)^(Sens!G3337-Sens!F3338)</f>
        <v>-0.731032969660333</v>
      </c>
      <c r="H3367" s="6" t="n">
        <f aca="false">Sens!H3366/(1+wacc)^(Sens!H3337-Sens!F3338)</f>
        <v>33.2310505258218</v>
      </c>
      <c r="I3367" s="6" t="n">
        <f aca="false">Sens!I3366/(1+wacc)^(Sens!I3337-Sens!F3338)</f>
        <v>8.14507222766444</v>
      </c>
      <c r="J3367" s="6" t="n">
        <f aca="false">Sens!J3366/(1+wacc)^(Sens!J3337-Sens!F3338)</f>
        <v>-1.94390692677078</v>
      </c>
      <c r="K3367" s="6" t="n">
        <f aca="false">Sens!K3366/(1+wacc)^(Sens!K3337-Sens!F3338)</f>
        <v>-27.5352102481074</v>
      </c>
      <c r="L3367" s="1" t="s">
        <v>1249</v>
      </c>
    </row>
    <row r="3368" customFormat="false" ht="17.15" hidden="false" customHeight="false" outlineLevel="0" collapsed="false">
      <c r="A3368" s="0" t="s">
        <v>1250</v>
      </c>
      <c r="B3368" s="0" t="s">
        <v>98</v>
      </c>
      <c r="C3368" s="6" t="n">
        <f aca="false">(Sens!K3360-Sens!K3224)*(1-tax_f)*(1+g_tv)*(1-g_tv/(wacc+ronic_prem))/(wacc-g_tv)/(1+wacc)^(Sens!K3338-Sens!F3338)</f>
        <v>52.6192370776268</v>
      </c>
    </row>
    <row r="3369" customFormat="false" ht="17.15" hidden="false" customHeight="false" outlineLevel="0" collapsed="false">
      <c r="A3369" s="1" t="s">
        <v>1251</v>
      </c>
      <c r="B3369" s="0" t="s">
        <v>98</v>
      </c>
      <c r="C3369" s="6" t="n">
        <f aca="false">(SUM(Sens!G3367:K3367)+Sens!$C$3368)*(1+wacc)^(t_roll-Sens!F3338)</f>
        <v>65.8909523591203</v>
      </c>
      <c r="L3369" s="12" t="s">
        <v>1252</v>
      </c>
    </row>
    <row r="3370" customFormat="false" ht="17.15" hidden="false" customHeight="false" outlineLevel="0" collapsed="false">
      <c r="A3370" s="1" t="s">
        <v>1253</v>
      </c>
      <c r="B3370" s="0" t="s">
        <v>98</v>
      </c>
      <c r="C3370" s="6" t="n">
        <f aca="false">(w_ntm28*Sens!G3212+(1-w_ntm28)*Sens!H3212)*m_ai</f>
        <v>253.267407510646</v>
      </c>
    </row>
    <row r="3371" customFormat="false" ht="17.15" hidden="false" customHeight="false" outlineLevel="0" collapsed="false">
      <c r="A3371" s="1" t="s">
        <v>1254</v>
      </c>
      <c r="B3371" s="0" t="s">
        <v>98</v>
      </c>
      <c r="C3371" s="6" t="n">
        <f aca="false">(w_ntm28*Sens!G3362+(1-w_ntm28)*Sens!H3362)*m_cloud</f>
        <v>971.961175673852</v>
      </c>
    </row>
    <row r="3372" customFormat="false" ht="17.15" hidden="false" customHeight="false" outlineLevel="0" collapsed="false">
      <c r="A3372" s="1" t="s">
        <v>1255</v>
      </c>
      <c r="B3372" s="0" t="s">
        <v>98</v>
      </c>
      <c r="C3372" s="6" t="n">
        <f aca="false">(w_ntm28*Sens!G3355+(1-w_ntm28)*Sens!H3355)*m_sw</f>
        <v>1167.1254098038</v>
      </c>
    </row>
    <row r="3373" customFormat="false" ht="17.15" hidden="false" customHeight="false" outlineLevel="0" collapsed="false">
      <c r="A3373" s="1" t="s">
        <v>1256</v>
      </c>
      <c r="B3373" s="0" t="s">
        <v>98</v>
      </c>
      <c r="C3373" s="6" t="n">
        <f aca="false">(w_ntm28*Sens!G3356+(1-w_ntm28)*Sens!H3356)*m_sw</f>
        <v>385.529888579456</v>
      </c>
    </row>
    <row r="3374" customFormat="false" ht="17.15" hidden="false" customHeight="false" outlineLevel="0" collapsed="false">
      <c r="A3374" s="1" t="s">
        <v>1257</v>
      </c>
      <c r="B3374" s="0" t="s">
        <v>98</v>
      </c>
      <c r="C3374" s="6" t="n">
        <f aca="false">(w_ntm28*Sens!G3357+(1-w_ntm28)*Sens!H3357)*m_sw</f>
        <v>116.935953004216</v>
      </c>
    </row>
    <row r="3375" customFormat="false" ht="17.15" hidden="false" customHeight="false" outlineLevel="0" collapsed="false">
      <c r="A3375" s="1" t="s">
        <v>1258</v>
      </c>
      <c r="B3375" s="0" t="s">
        <v>98</v>
      </c>
      <c r="C3375" s="6" t="n">
        <f aca="false">(w_ntm28*Sens!G3358+(1-w_ntm28)*Sens!H3358)*m_sw</f>
        <v>44.4586837611987</v>
      </c>
    </row>
    <row r="3376" customFormat="false" ht="17.15" hidden="false" customHeight="false" outlineLevel="0" collapsed="false">
      <c r="A3376" s="1" t="s">
        <v>1259</v>
      </c>
      <c r="B3376" s="0" t="s">
        <v>98</v>
      </c>
      <c r="C3376" s="6" t="n">
        <f aca="false">(w_ntm28*Sens!G3359+(1-w_ntm28)*Sens!H3359)*m_ads</f>
        <v>123.261554181836</v>
      </c>
    </row>
    <row r="3377" customFormat="false" ht="17.15" hidden="false" customHeight="false" outlineLevel="0" collapsed="false">
      <c r="A3377" s="1" t="s">
        <v>1260</v>
      </c>
      <c r="B3377" s="0" t="s">
        <v>98</v>
      </c>
      <c r="C3377" s="6" t="n">
        <f aca="false">(w_ntm28*Sens!G3364+(1-w_ntm28)*Sens!H3364)*m_game</f>
        <v>105.849492628264</v>
      </c>
    </row>
    <row r="3378" customFormat="false" ht="17.15" hidden="false" customHeight="false" outlineLevel="0" collapsed="false">
      <c r="A3378" s="1" t="s">
        <v>1261</v>
      </c>
      <c r="B3378" s="0" t="s">
        <v>98</v>
      </c>
      <c r="C3378" s="6" t="n">
        <f aca="false">(w_ntm28*Sens!G3365+(1-w_ntm28)*Sens!H3365)*m_pc</f>
        <v>98.123255561695</v>
      </c>
    </row>
    <row r="3379" customFormat="false" ht="17.15" hidden="false" customHeight="false" outlineLevel="0" collapsed="false">
      <c r="A3379" s="1" t="s">
        <v>1262</v>
      </c>
      <c r="B3379" s="0" t="s">
        <v>98</v>
      </c>
      <c r="C3379" s="6" t="n">
        <f aca="false">Sens!$C$3369+Sens!$C$3371+Sens!$C$3372+Sens!$C$3373+Sens!$C$3374+Sens!$C$3375+Sens!$C$3376+Sens!$C$3377+Sens!$C$3378</f>
        <v>3079.13636555344</v>
      </c>
    </row>
    <row r="3380" customFormat="false" ht="17.15" hidden="false" customHeight="false" outlineLevel="0" collapsed="false">
      <c r="A3380" s="1" t="s">
        <v>1263</v>
      </c>
      <c r="B3380" s="0" t="s">
        <v>98</v>
      </c>
      <c r="C3380" s="6" t="n">
        <f aca="false">(Sens!G3341-Sens!G3366)*t_stub</f>
        <v>49.4808996707612</v>
      </c>
      <c r="L3380" s="1" t="s">
        <v>1264</v>
      </c>
    </row>
    <row r="3381" customFormat="false" ht="17.15" hidden="false" customHeight="false" outlineLevel="0" collapsed="false">
      <c r="A3381" s="1" t="s">
        <v>1173</v>
      </c>
      <c r="B3381" s="0" t="s">
        <v>98</v>
      </c>
      <c r="C3381" s="6" t="n">
        <f aca="false">Sens!F3328+oai_v-Sens!F3317+Sens!$C$3380</f>
        <v>161.840260547918</v>
      </c>
      <c r="L3381" s="1" t="s">
        <v>1265</v>
      </c>
    </row>
    <row r="3382" customFormat="false" ht="17.15" hidden="false" customHeight="false" outlineLevel="0" collapsed="false">
      <c r="A3382" s="1" t="s">
        <v>1266</v>
      </c>
      <c r="B3382" s="0" t="s">
        <v>75</v>
      </c>
      <c r="C3382" s="5" t="n">
        <f aca="false">(Sens!$C$3379+Sens!$C$3381)/(Sens!F3330+dil_gap)-Sens!G3320*roll_div_q/q_per_yr</f>
        <v>431.321309245112</v>
      </c>
      <c r="L3382" s="1" t="s">
        <v>1267</v>
      </c>
    </row>
    <row r="3383" customFormat="false" ht="17.15" hidden="false" customHeight="false" outlineLevel="0" collapsed="false">
      <c r="A3383" s="1" t="s">
        <v>1268</v>
      </c>
      <c r="B3383" s="0" t="s">
        <v>75</v>
      </c>
      <c r="C3383" s="5" t="n">
        <f aca="false">w_dcf*Sens!$C$3353+(1-w_dcf)*Sens!$C$3382</f>
        <v>372.451872574606</v>
      </c>
    </row>
    <row r="3384" customFormat="false" ht="17.15" hidden="false" customHeight="false" outlineLevel="0" collapsed="false">
      <c r="A3384" s="3" t="s">
        <v>1695</v>
      </c>
    </row>
    <row r="3385" customFormat="false" ht="15" hidden="false" customHeight="false" outlineLevel="0" collapsed="false">
      <c r="A3385" s="4" t="s">
        <v>43</v>
      </c>
      <c r="B3385" s="4" t="s">
        <v>65</v>
      </c>
      <c r="C3385" s="23" t="s">
        <v>942</v>
      </c>
      <c r="D3385" s="23" t="s">
        <v>943</v>
      </c>
      <c r="E3385" s="23" t="s">
        <v>944</v>
      </c>
      <c r="F3385" s="23" t="s">
        <v>945</v>
      </c>
      <c r="G3385" s="23" t="s">
        <v>946</v>
      </c>
      <c r="H3385" s="23" t="s">
        <v>947</v>
      </c>
      <c r="I3385" s="23" t="s">
        <v>948</v>
      </c>
      <c r="J3385" s="23" t="s">
        <v>949</v>
      </c>
      <c r="K3385" s="23" t="s">
        <v>950</v>
      </c>
      <c r="L3385" s="4" t="s">
        <v>47</v>
      </c>
    </row>
    <row r="3386" customFormat="false" ht="17.15" hidden="false" customHeight="false" outlineLevel="0" collapsed="false">
      <c r="A3386" s="1" t="s">
        <v>951</v>
      </c>
      <c r="B3386" s="1" t="s">
        <v>279</v>
      </c>
      <c r="C3386" s="21" t="n">
        <v>2024</v>
      </c>
      <c r="D3386" s="21" t="n">
        <v>2025</v>
      </c>
      <c r="E3386" s="21" t="n">
        <v>2026</v>
      </c>
      <c r="F3386" s="21" t="n">
        <v>2027</v>
      </c>
      <c r="G3386" s="21" t="n">
        <v>2028</v>
      </c>
      <c r="H3386" s="21" t="n">
        <v>2029</v>
      </c>
      <c r="I3386" s="21" t="n">
        <v>2030</v>
      </c>
      <c r="J3386" s="21" t="n">
        <v>2031</v>
      </c>
      <c r="K3386" s="21" t="n">
        <v>2032</v>
      </c>
    </row>
    <row r="3387" customFormat="false" ht="17.15" hidden="false" customHeight="false" outlineLevel="0" collapsed="false">
      <c r="A3387" s="1" t="s">
        <v>952</v>
      </c>
      <c r="B3387" s="0" t="s">
        <v>459</v>
      </c>
      <c r="F3387" s="30" t="n">
        <f aca="false">pace_epoch</f>
        <v>650</v>
      </c>
      <c r="G3387" s="30" t="n">
        <f aca="false">pace_epoch</f>
        <v>650</v>
      </c>
      <c r="H3387" s="30" t="n">
        <f aca="false">pace_epoch</f>
        <v>650</v>
      </c>
      <c r="I3387" s="30" t="n">
        <f aca="false">pace_epoch+(g_tv*Sens!H3388-pace_epoch)*MIN(1,(Sens!I3386-pace_y0)/(pace_y1-pace_y0))</f>
        <v>477.193333333333</v>
      </c>
      <c r="J3387" s="30" t="n">
        <f aca="false">pace_epoch+(g_tv*Sens!I3388-pace_epoch)*MIN(1,(Sens!J3386-pace_y0)/(pace_y1-pace_y0))</f>
        <v>304.386666666667</v>
      </c>
      <c r="K3387" s="30" t="n">
        <f aca="false">pace_epoch+(g_tv*Sens!J3388-pace_epoch)*MIN(1,(Sens!K3386-pace_y0)/(pace_y1-pace_y0))</f>
        <v>131.58</v>
      </c>
      <c r="L3387" s="12" t="s">
        <v>953</v>
      </c>
    </row>
    <row r="3388" customFormat="false" ht="17.15" hidden="false" customHeight="false" outlineLevel="0" collapsed="false">
      <c r="A3388" s="1" t="s">
        <v>954</v>
      </c>
      <c r="B3388" s="0" t="s">
        <v>459</v>
      </c>
      <c r="C3388" s="30" t="n">
        <f aca="false">mw_ext_24</f>
        <v>640</v>
      </c>
      <c r="D3388" s="30" t="n">
        <f aca="false">mw_ext_25</f>
        <v>1630</v>
      </c>
      <c r="E3388" s="30" t="n">
        <f aca="false">mw_ext_26</f>
        <v>3250</v>
      </c>
      <c r="F3388" s="30" t="n">
        <f aca="false">MIN(cap_epoch,Sens!E3388+Sens!F3387)</f>
        <v>3900</v>
      </c>
      <c r="G3388" s="30" t="n">
        <f aca="false">MIN(cap_epoch,Sens!F3388+Sens!G3387)</f>
        <v>4386</v>
      </c>
      <c r="H3388" s="30" t="n">
        <f aca="false">MIN(cap_epoch,Sens!G3388+Sens!H3387)</f>
        <v>4386</v>
      </c>
      <c r="I3388" s="30" t="n">
        <f aca="false">MIN(cap_epoch,Sens!H3388+Sens!I3387)</f>
        <v>4386</v>
      </c>
      <c r="J3388" s="30" t="n">
        <f aca="false">MIN(cap_epoch,Sens!I3388+Sens!J3387)</f>
        <v>4386</v>
      </c>
      <c r="K3388" s="30" t="n">
        <f aca="false">MIN(cap_epoch,Sens!J3388+Sens!K3387)</f>
        <v>4386</v>
      </c>
      <c r="L3388" s="1" t="s">
        <v>955</v>
      </c>
    </row>
    <row r="3389" customFormat="false" ht="17.15" hidden="false" customHeight="false" outlineLevel="0" collapsed="false">
      <c r="A3389" s="1" t="s">
        <v>956</v>
      </c>
      <c r="B3389" s="0" t="s">
        <v>459</v>
      </c>
      <c r="C3389" s="30" t="n">
        <f aca="false">rent_ext_24</f>
        <v>150</v>
      </c>
      <c r="D3389" s="30" t="n">
        <f aca="false">rent_ext_25</f>
        <v>400</v>
      </c>
      <c r="E3389" s="30" t="n">
        <f aca="false">rent_ext_26</f>
        <v>550</v>
      </c>
      <c r="F3389" s="30" t="n">
        <f aca="false">rent_ext_f</f>
        <v>756</v>
      </c>
      <c r="G3389" s="30" t="n">
        <f aca="false">rent_ext_f</f>
        <v>756</v>
      </c>
      <c r="H3389" s="30" t="n">
        <f aca="false">rent_ext_f</f>
        <v>756</v>
      </c>
      <c r="I3389" s="30" t="n">
        <f aca="false">rent_ext_f</f>
        <v>756</v>
      </c>
      <c r="J3389" s="30" t="n">
        <f aca="false">rent_ext_f</f>
        <v>756</v>
      </c>
      <c r="K3389" s="30" t="n">
        <f aca="false">rent_ext_f</f>
        <v>756</v>
      </c>
      <c r="L3389" s="1" t="s">
        <v>957</v>
      </c>
    </row>
    <row r="3390" customFormat="false" ht="17.15" hidden="false" customHeight="false" outlineLevel="0" collapsed="false">
      <c r="A3390" s="1" t="s">
        <v>958</v>
      </c>
      <c r="B3390" s="0" t="s">
        <v>459</v>
      </c>
      <c r="C3390" s="30" t="n">
        <f aca="false">Sens!C3388-Sens!C3389</f>
        <v>490</v>
      </c>
      <c r="D3390" s="30" t="n">
        <f aca="false">Sens!D3388-Sens!D3389</f>
        <v>1230</v>
      </c>
      <c r="E3390" s="30" t="n">
        <f aca="false">Sens!E3388-Sens!E3389</f>
        <v>2700</v>
      </c>
      <c r="F3390" s="30" t="n">
        <f aca="false">Sens!F3388-Sens!F3389</f>
        <v>3144</v>
      </c>
      <c r="G3390" s="30" t="n">
        <f aca="false">Sens!G3388-Sens!G3389</f>
        <v>3630</v>
      </c>
      <c r="H3390" s="30" t="n">
        <f aca="false">Sens!H3388-Sens!H3389</f>
        <v>3630</v>
      </c>
      <c r="I3390" s="30" t="n">
        <f aca="false">Sens!I3388-Sens!I3389</f>
        <v>3630</v>
      </c>
      <c r="J3390" s="30" t="n">
        <f aca="false">Sens!J3388-Sens!J3389</f>
        <v>3630</v>
      </c>
      <c r="K3390" s="30" t="n">
        <f aca="false">Sens!K3388-Sens!K3389</f>
        <v>3630</v>
      </c>
    </row>
    <row r="3391" customFormat="false" ht="17.15" hidden="false" customHeight="false" outlineLevel="0" collapsed="false">
      <c r="A3391" s="1" t="s">
        <v>959</v>
      </c>
      <c r="B3391" s="0" t="s">
        <v>459</v>
      </c>
      <c r="C3391" s="30" t="n">
        <f aca="false">Sens!C3390/ext_sh</f>
        <v>816.666666666667</v>
      </c>
      <c r="D3391" s="30" t="n">
        <f aca="false">Sens!D3390/ext_sh</f>
        <v>2050</v>
      </c>
      <c r="E3391" s="30" t="n">
        <f aca="false">Sens!E3390/ext_sh</f>
        <v>4500</v>
      </c>
      <c r="F3391" s="30" t="n">
        <f aca="false">Sens!F3390/ext_sh</f>
        <v>5240</v>
      </c>
      <c r="G3391" s="30" t="n">
        <f aca="false">Sens!G3390/ext_sh</f>
        <v>6050</v>
      </c>
      <c r="H3391" s="30" t="n">
        <f aca="false">Sens!H3390/ext_sh</f>
        <v>6050</v>
      </c>
      <c r="I3391" s="30" t="n">
        <f aca="false">Sens!I3390/ext_sh</f>
        <v>6050</v>
      </c>
      <c r="J3391" s="30" t="n">
        <f aca="false">Sens!J3390/ext_sh</f>
        <v>6050</v>
      </c>
      <c r="K3391" s="30" t="n">
        <f aca="false">Sens!K3390/ext_sh</f>
        <v>6050</v>
      </c>
      <c r="L3391" s="1" t="s">
        <v>960</v>
      </c>
    </row>
    <row r="3392" customFormat="false" ht="17.15" hidden="false" customHeight="false" outlineLevel="0" collapsed="false">
      <c r="A3392" s="1" t="s">
        <v>961</v>
      </c>
      <c r="B3392" s="0" t="s">
        <v>459</v>
      </c>
      <c r="C3392" s="30" t="n">
        <f aca="false">Sens!C3391-Sens!C3390</f>
        <v>326.666666666667</v>
      </c>
      <c r="D3392" s="30" t="n">
        <f aca="false">Sens!D3391-Sens!D3390</f>
        <v>820</v>
      </c>
      <c r="E3392" s="30" t="n">
        <f aca="false">Sens!E3391-Sens!E3390</f>
        <v>1800</v>
      </c>
      <c r="F3392" s="30" t="n">
        <f aca="false">Sens!F3391-Sens!F3390</f>
        <v>2096</v>
      </c>
      <c r="G3392" s="30" t="n">
        <f aca="false">Sens!G3391-Sens!G3390</f>
        <v>2420</v>
      </c>
      <c r="H3392" s="30" t="n">
        <f aca="false">Sens!H3391-Sens!H3390</f>
        <v>2420</v>
      </c>
      <c r="I3392" s="30" t="n">
        <f aca="false">Sens!I3391-Sens!I3390</f>
        <v>2420</v>
      </c>
      <c r="J3392" s="30" t="n">
        <f aca="false">Sens!J3391-Sens!J3390</f>
        <v>2420</v>
      </c>
      <c r="K3392" s="30" t="n">
        <f aca="false">Sens!K3391-Sens!K3390</f>
        <v>2420</v>
      </c>
    </row>
    <row r="3393" customFormat="false" ht="17.15" hidden="false" customHeight="false" outlineLevel="0" collapsed="false">
      <c r="A3393" s="1" t="s">
        <v>962</v>
      </c>
      <c r="B3393" s="0" t="s">
        <v>459</v>
      </c>
      <c r="C3393" s="30" t="n">
        <f aca="false">Sens!C3391</f>
        <v>816.666666666667</v>
      </c>
      <c r="D3393" s="30" t="n">
        <f aca="false">Sens!D3391-Sens!C3391</f>
        <v>1233.33333333333</v>
      </c>
      <c r="E3393" s="30" t="n">
        <f aca="false">Sens!E3391-Sens!D3391</f>
        <v>2450</v>
      </c>
      <c r="F3393" s="30" t="n">
        <f aca="false">Sens!F3391-Sens!E3391</f>
        <v>740</v>
      </c>
      <c r="G3393" s="30" t="n">
        <f aca="false">Sens!G3391-Sens!F3391</f>
        <v>810</v>
      </c>
      <c r="H3393" s="30" t="n">
        <f aca="false">Sens!H3391-Sens!G3391</f>
        <v>0</v>
      </c>
      <c r="I3393" s="30" t="n">
        <f aca="false">Sens!I3391-Sens!H3391</f>
        <v>0</v>
      </c>
      <c r="J3393" s="30" t="n">
        <f aca="false">Sens!J3391-Sens!I3391</f>
        <v>0</v>
      </c>
      <c r="K3393" s="30" t="n">
        <f aca="false">Sens!K3391-Sens!J3391</f>
        <v>0</v>
      </c>
    </row>
    <row r="3394" customFormat="false" ht="17.15" hidden="false" customHeight="false" outlineLevel="0" collapsed="false">
      <c r="A3394" s="1" t="s">
        <v>963</v>
      </c>
      <c r="B3394" s="0" t="s">
        <v>459</v>
      </c>
      <c r="D3394" s="30" t="n">
        <f aca="false">Sens!D3388-Sens!C3388</f>
        <v>990</v>
      </c>
      <c r="E3394" s="30" t="n">
        <f aca="false">Sens!E3388-Sens!D3388</f>
        <v>1620</v>
      </c>
      <c r="F3394" s="30" t="n">
        <f aca="false">Sens!F3388-Sens!E3388</f>
        <v>650</v>
      </c>
      <c r="G3394" s="30" t="n">
        <f aca="false">Sens!G3388-Sens!F3388</f>
        <v>486</v>
      </c>
      <c r="H3394" s="30" t="n">
        <f aca="false">Sens!H3388-Sens!G3388</f>
        <v>0</v>
      </c>
      <c r="I3394" s="30" t="n">
        <f aca="false">Sens!I3388-Sens!H3388</f>
        <v>0</v>
      </c>
      <c r="J3394" s="30" t="n">
        <f aca="false">Sens!J3388-Sens!I3388</f>
        <v>0</v>
      </c>
      <c r="K3394" s="30" t="n">
        <f aca="false">Sens!K3388-Sens!J3388</f>
        <v>0</v>
      </c>
    </row>
    <row r="3395" customFormat="false" ht="17.15" hidden="false" customHeight="false" outlineLevel="0" collapsed="false">
      <c r="A3395" s="1" t="s">
        <v>964</v>
      </c>
      <c r="B3395" s="0" t="s">
        <v>459</v>
      </c>
      <c r="F3395" s="30" t="n">
        <f aca="false">Sens!F3414*ext_sh</f>
        <v>0</v>
      </c>
      <c r="G3395" s="30" t="n">
        <f aca="false">Sens!G3414*ext_sh</f>
        <v>0</v>
      </c>
      <c r="H3395" s="30" t="n">
        <f aca="false">Sens!H3414*ext_sh</f>
        <v>0</v>
      </c>
      <c r="I3395" s="30" t="n">
        <f aca="false">Sens!I3414*ext_sh</f>
        <v>490</v>
      </c>
      <c r="J3395" s="30" t="n">
        <f aca="false">Sens!J3414*ext_sh</f>
        <v>740</v>
      </c>
      <c r="K3395" s="30" t="n">
        <f aca="false">Sens!K3414*ext_sh</f>
        <v>1470</v>
      </c>
      <c r="L3395" s="1" t="s">
        <v>965</v>
      </c>
    </row>
    <row r="3396" customFormat="false" ht="17.15" hidden="false" customHeight="false" outlineLevel="0" collapsed="false">
      <c r="A3396" s="1" t="s">
        <v>966</v>
      </c>
      <c r="B3396" s="0" t="s">
        <v>459</v>
      </c>
      <c r="C3396" s="30" t="n">
        <f aca="false">mix_h*Sens!C3388</f>
        <v>128</v>
      </c>
      <c r="D3396" s="30" t="n">
        <f aca="false">mix_h*Sens!D3388</f>
        <v>326</v>
      </c>
      <c r="E3396" s="30" t="n">
        <f aca="false">mix_h*Sens!E3388</f>
        <v>650</v>
      </c>
      <c r="F3396" s="30" t="n">
        <f aca="false">Sens!E3396-Sens!F3395*mix_h</f>
        <v>650</v>
      </c>
      <c r="G3396" s="30" t="n">
        <f aca="false">Sens!F3396-Sens!G3395*mix_h</f>
        <v>650</v>
      </c>
      <c r="H3396" s="30" t="n">
        <f aca="false">Sens!G3396-Sens!H3395*mix_h</f>
        <v>650</v>
      </c>
      <c r="I3396" s="30" t="n">
        <f aca="false">Sens!H3396-Sens!I3395*mix_h</f>
        <v>552</v>
      </c>
      <c r="J3396" s="30" t="n">
        <f aca="false">Sens!I3396-Sens!J3395*mix_h</f>
        <v>404</v>
      </c>
      <c r="K3396" s="30" t="n">
        <f aca="false">Sens!J3396-Sens!K3395*mix_h</f>
        <v>110</v>
      </c>
    </row>
    <row r="3397" customFormat="false" ht="17.15" hidden="false" customHeight="false" outlineLevel="0" collapsed="false">
      <c r="A3397" s="1" t="s">
        <v>967</v>
      </c>
      <c r="B3397" s="0" t="s">
        <v>459</v>
      </c>
      <c r="C3397" s="30" t="n">
        <f aca="false">mix_g2*Sens!C3388</f>
        <v>288</v>
      </c>
      <c r="D3397" s="30" t="n">
        <f aca="false">mix_g2*Sens!D3388</f>
        <v>733.5</v>
      </c>
      <c r="E3397" s="30" t="n">
        <f aca="false">mix_g2*Sens!E3388</f>
        <v>1462.5</v>
      </c>
      <c r="F3397" s="30" t="n">
        <f aca="false">Sens!E3397-Sens!F3395*mix_g2</f>
        <v>1462.5</v>
      </c>
      <c r="G3397" s="30" t="n">
        <f aca="false">Sens!F3397-Sens!G3395*mix_g2</f>
        <v>1462.5</v>
      </c>
      <c r="H3397" s="30" t="n">
        <f aca="false">Sens!G3397-Sens!H3395*mix_g2</f>
        <v>1462.5</v>
      </c>
      <c r="I3397" s="30" t="n">
        <f aca="false">Sens!H3397-Sens!I3395*mix_g2</f>
        <v>1242</v>
      </c>
      <c r="J3397" s="30" t="n">
        <f aca="false">Sens!I3397-Sens!J3395*mix_g2</f>
        <v>909</v>
      </c>
      <c r="K3397" s="30" t="n">
        <f aca="false">Sens!J3397-Sens!K3395*mix_g2</f>
        <v>247.5</v>
      </c>
    </row>
    <row r="3398" customFormat="false" ht="17.15" hidden="false" customHeight="false" outlineLevel="0" collapsed="false">
      <c r="A3398" s="1" t="s">
        <v>968</v>
      </c>
      <c r="B3398" s="0" t="s">
        <v>459</v>
      </c>
      <c r="C3398" s="30" t="n">
        <f aca="false">mix_g3*Sens!C3388</f>
        <v>224</v>
      </c>
      <c r="D3398" s="30" t="n">
        <f aca="false">mix_g3*Sens!D3388</f>
        <v>570.5</v>
      </c>
      <c r="E3398" s="30" t="n">
        <f aca="false">mix_g3*Sens!E3388</f>
        <v>1137.5</v>
      </c>
      <c r="F3398" s="30" t="n">
        <f aca="false">Sens!E3398+(Sens!F3394+Sens!F3395)*(a_g3_27-nonnv*a_mai)-Sens!F3395*mix_g3</f>
        <v>1527.5</v>
      </c>
      <c r="G3398" s="30" t="n">
        <f aca="false">Sens!F3398+(Sens!G3394+Sens!G3395)*(a_g3_28-nonnv*a_mai)-Sens!G3395*mix_g3</f>
        <v>1624.7</v>
      </c>
      <c r="H3398" s="30" t="n">
        <f aca="false">Sens!G3398+(Sens!H3394+Sens!H3395)*(a_g3_29-nonnv*a_mai)-Sens!H3395*mix_g3</f>
        <v>1624.7</v>
      </c>
      <c r="I3398" s="30" t="n">
        <f aca="false">Sens!H3398+(Sens!I3394+Sens!I3395)*(a_g3_29-nonnv*a_mai)-Sens!I3395*mix_g3</f>
        <v>1453.2</v>
      </c>
      <c r="J3398" s="30" t="n">
        <f aca="false">Sens!I3398+(Sens!J3394+Sens!J3395)*(a_g3_29-nonnv*a_mai)-Sens!J3395*mix_g3</f>
        <v>1194.2</v>
      </c>
      <c r="K3398" s="30" t="n">
        <f aca="false">Sens!J3398+(Sens!K3394+Sens!K3395)*(a_g3_29-nonnv*a_mai)-Sens!K3395*mix_g3</f>
        <v>679.7</v>
      </c>
    </row>
    <row r="3399" customFormat="false" ht="17.15" hidden="false" customHeight="false" outlineLevel="0" collapsed="false">
      <c r="A3399" s="1" t="s">
        <v>969</v>
      </c>
      <c r="B3399" s="0" t="s">
        <v>459</v>
      </c>
      <c r="C3399" s="30" t="n">
        <v>0</v>
      </c>
      <c r="D3399" s="30" t="n">
        <v>0</v>
      </c>
      <c r="E3399" s="30" t="n">
        <v>0</v>
      </c>
      <c r="F3399" s="30" t="n">
        <f aca="false">Sens!E3399+(Sens!F3394+Sens!F3395)*nonnv*a_mai</f>
        <v>65</v>
      </c>
      <c r="G3399" s="30" t="n">
        <f aca="false">Sens!F3399+(Sens!G3394+Sens!G3395)*nonnv*a_mai</f>
        <v>113.6</v>
      </c>
      <c r="H3399" s="30" t="n">
        <f aca="false">Sens!G3399+(Sens!H3394+Sens!H3395)*nonnv*a_mai</f>
        <v>113.6</v>
      </c>
      <c r="I3399" s="30" t="n">
        <f aca="false">Sens!H3399+(Sens!I3394+Sens!I3395)*nonnv*a_mai</f>
        <v>162.6</v>
      </c>
      <c r="J3399" s="30" t="n">
        <f aca="false">Sens!I3399+(Sens!J3394+Sens!J3395)*nonnv*a_mai</f>
        <v>236.6</v>
      </c>
      <c r="K3399" s="30" t="n">
        <f aca="false">Sens!J3399+(Sens!K3394+Sens!K3395)*nonnv*a_mai</f>
        <v>383.6</v>
      </c>
      <c r="L3399" s="12" t="s">
        <v>970</v>
      </c>
    </row>
    <row r="3400" customFormat="false" ht="17.15" hidden="false" customHeight="false" outlineLevel="0" collapsed="false">
      <c r="A3400" s="1" t="s">
        <v>971</v>
      </c>
      <c r="B3400" s="0" t="s">
        <v>459</v>
      </c>
      <c r="C3400" s="30" t="n">
        <v>0</v>
      </c>
      <c r="D3400" s="30" t="n">
        <v>0</v>
      </c>
      <c r="E3400" s="30" t="n">
        <v>0</v>
      </c>
      <c r="F3400" s="30" t="n">
        <f aca="false">Sens!E3400+(Sens!F3394+Sens!F3395)*(1-a_g3_27)</f>
        <v>195</v>
      </c>
      <c r="G3400" s="30" t="n">
        <f aca="false">Sens!F3400+(Sens!G3394+Sens!G3395)*(1-a_g3_28)</f>
        <v>535.2</v>
      </c>
      <c r="H3400" s="30" t="n">
        <f aca="false">Sens!G3400+(Sens!H3394+Sens!H3395)*(1-a_g3_29)</f>
        <v>535.2</v>
      </c>
      <c r="I3400" s="30" t="n">
        <f aca="false">Sens!H3400+(Sens!I3394+Sens!I3395)*(1-a_g3_29)</f>
        <v>976.2</v>
      </c>
      <c r="J3400" s="30" t="n">
        <f aca="false">Sens!I3400+(Sens!J3394+Sens!J3395)*(1-a_g3_29)</f>
        <v>1642.2</v>
      </c>
      <c r="K3400" s="30" t="n">
        <f aca="false">Sens!J3400+(Sens!K3394+Sens!K3395)*(1-a_g3_29)</f>
        <v>2965.2</v>
      </c>
    </row>
    <row r="3401" customFormat="false" ht="17.15" hidden="false" customHeight="false" outlineLevel="0" collapsed="false">
      <c r="A3401" s="1" t="s">
        <v>972</v>
      </c>
      <c r="B3401" s="0" t="s">
        <v>403</v>
      </c>
      <c r="C3401" s="15" t="n">
        <f aca="false">(Sens!C3396*tk_hold_h100+Sens!C3397*tk_hold_gb200+Sens!C3398*tk_hold_gb300+Sens!C3400*tk_hold_vr200+Sens!C3399*nv_hold_mai*tk_hold_vr200)/Sens!C3388</f>
        <v>9.7235358126469</v>
      </c>
      <c r="D3401" s="15" t="n">
        <f aca="false">(Sens!D3396*tk_hold_h100+Sens!D3397*tk_hold_gb200+Sens!D3398*tk_hold_gb300+Sens!D3400*tk_hold_vr200+Sens!D3399*nv_hold_mai*tk_hold_vr200)/Sens!D3388</f>
        <v>9.7235358126469</v>
      </c>
      <c r="E3401" s="15" t="n">
        <f aca="false">(Sens!E3396*tk_hold_h100+Sens!E3397*tk_hold_gb200+Sens!E3398*tk_hold_gb300+Sens!E3400*tk_hold_vr200+Sens!E3399*nv_hold_mai*tk_hold_vr200)/Sens!E3388</f>
        <v>9.7235358126469</v>
      </c>
      <c r="F3401" s="15" t="n">
        <f aca="false">(Sens!F3396*tk_hold_h100+Sens!F3397*tk_hold_gb200+Sens!F3398*tk_hold_gb300+Sens!F3400*tk_hold_vr200+Sens!F3399*nv_hold_mai*tk_hold_vr200)/Sens!F3388</f>
        <v>9.9047400860175</v>
      </c>
      <c r="G3401" s="15" t="n">
        <f aca="false">(Sens!G3396*tk_hold_h100+Sens!G3397*tk_hold_gb200+Sens!G3398*tk_hold_gb300+Sens!G3400*tk_hold_vr200+Sens!G3399*nv_hold_mai*tk_hold_vr200)/Sens!G3388</f>
        <v>10.0644846479809</v>
      </c>
      <c r="H3401" s="15" t="n">
        <f aca="false">(Sens!H3396*tk_hold_h100+Sens!H3397*tk_hold_gb200+Sens!H3398*tk_hold_gb300+Sens!H3400*tk_hold_vr200+Sens!H3399*nv_hold_mai*tk_hold_vr200)/Sens!H3388</f>
        <v>10.0644846479809</v>
      </c>
      <c r="I3401" s="15" t="n">
        <f aca="false">(Sens!I3396*tk_hold_h100+Sens!I3397*tk_hold_gb200+Sens!I3398*tk_hold_gb300+Sens!I3400*tk_hold_vr200+Sens!I3399*nv_hold_mai*tk_hold_vr200)/Sens!I3388</f>
        <v>10.2757076768083</v>
      </c>
      <c r="J3401" s="15" t="n">
        <f aca="false">(Sens!J3396*tk_hold_h100+Sens!J3397*tk_hold_gb200+Sens!J3398*tk_hold_gb300+Sens!J3400*tk_hold_vr200+Sens!J3399*nv_hold_mai*tk_hold_vr200)/Sens!J3388</f>
        <v>10.5946975570782</v>
      </c>
      <c r="K3401" s="15" t="n">
        <f aca="false">(Sens!K3396*tk_hold_h100+Sens!K3397*tk_hold_gb200+Sens!K3398*tk_hold_gb300+Sens!K3400*tk_hold_vr200+Sens!K3399*nv_hold_mai*tk_hold_vr200)/Sens!K3388</f>
        <v>11.2283666435604</v>
      </c>
      <c r="L3401" s="1" t="s">
        <v>973</v>
      </c>
    </row>
    <row r="3402" customFormat="false" ht="17.15" hidden="false" customHeight="false" outlineLevel="0" collapsed="false">
      <c r="A3402" s="1" t="s">
        <v>974</v>
      </c>
      <c r="B3402" s="0" t="s">
        <v>403</v>
      </c>
      <c r="C3402" s="15" t="n">
        <f aca="false">(Sens!C3396*tk_hold_h100+Sens!C3397*tk_hold_gb200+Sens!C3398*tk_hold_gb300+Sens!C3400*tk_hold_vr200+Sens!C3399*nv_out_mai*tk_hold_vr200)/Sens!C3388</f>
        <v>9.7235358126469</v>
      </c>
      <c r="D3402" s="15" t="n">
        <f aca="false">(Sens!D3396*tk_hold_h100+Sens!D3397*tk_hold_gb200+Sens!D3398*tk_hold_gb300+Sens!D3400*tk_hold_vr200+Sens!D3399*nv_out_mai*tk_hold_vr200)/Sens!D3388</f>
        <v>9.7235358126469</v>
      </c>
      <c r="E3402" s="15" t="n">
        <f aca="false">(Sens!E3396*tk_hold_h100+Sens!E3397*tk_hold_gb200+Sens!E3398*tk_hold_gb300+Sens!E3400*tk_hold_vr200+Sens!E3399*nv_out_mai*tk_hold_vr200)/Sens!E3388</f>
        <v>9.7235358126469</v>
      </c>
      <c r="F3402" s="15" t="n">
        <f aca="false">(Sens!F3396*tk_hold_h100+Sens!F3397*tk_hold_gb200+Sens!F3398*tk_hold_gb300+Sens!F3400*tk_hold_vr200+Sens!F3399*nv_out_mai*tk_hold_vr200)/Sens!F3388</f>
        <v>9.91492797852132</v>
      </c>
      <c r="G3402" s="15" t="n">
        <f aca="false">(Sens!G3396*tk_hold_h100+Sens!G3397*tk_hold_gb200+Sens!G3398*tk_hold_gb300+Sens!G3400*tk_hold_vr200+Sens!G3399*nv_out_mai*tk_hold_vr200)/Sens!G3388</f>
        <v>10.0803169952919</v>
      </c>
      <c r="H3402" s="15" t="n">
        <f aca="false">(Sens!H3396*tk_hold_h100+Sens!H3397*tk_hold_gb200+Sens!H3398*tk_hold_gb300+Sens!H3400*tk_hold_vr200+Sens!H3399*nv_out_mai*tk_hold_vr200)/Sens!H3388</f>
        <v>10.0803169952919</v>
      </c>
      <c r="I3402" s="15" t="n">
        <f aca="false">(Sens!I3396*tk_hold_h100+Sens!I3397*tk_hold_gb200+Sens!I3398*tk_hold_gb300+Sens!I3400*tk_hold_vr200+Sens!I3399*nv_out_mai*tk_hold_vr200)/Sens!I3388</f>
        <v>10.2983691175897</v>
      </c>
      <c r="J3402" s="15" t="n">
        <f aca="false">(Sens!J3396*tk_hold_h100+Sens!J3397*tk_hold_gb200+Sens!J3398*tk_hold_gb300+Sens!J3400*tk_hold_vr200+Sens!J3399*nv_out_mai*tk_hold_vr200)/Sens!J3388</f>
        <v>10.6276723226925</v>
      </c>
      <c r="K3402" s="15" t="n">
        <f aca="false">(Sens!K3396*tk_hold_h100+Sens!K3397*tk_hold_gb200+Sens!K3398*tk_hold_gb300+Sens!K3400*tk_hold_vr200+Sens!K3399*nv_out_mai*tk_hold_vr200)/Sens!K3388</f>
        <v>11.2818286895859</v>
      </c>
      <c r="L3402" s="12" t="s">
        <v>975</v>
      </c>
    </row>
    <row r="3403" customFormat="false" ht="17.15" hidden="false" customHeight="false" outlineLevel="0" collapsed="false">
      <c r="A3403" s="0" t="s">
        <v>976</v>
      </c>
      <c r="B3403" s="0" t="s">
        <v>229</v>
      </c>
      <c r="C3403" s="15" t="n">
        <f aca="false">k_B</f>
        <v>1.17213932619116</v>
      </c>
      <c r="D3403" s="15" t="n">
        <f aca="false">k_B</f>
        <v>1.17213932619116</v>
      </c>
      <c r="E3403" s="15" t="n">
        <f aca="false">k_B</f>
        <v>1.17213932619116</v>
      </c>
      <c r="F3403" s="15" t="n">
        <f aca="false">(k_B+((ls_B*k_long+(1-ls_B)*k_spot)-k_B)*MIN(1,(Sens!F3386-base_fy)/k_ramp))</f>
        <v>1.17213932619116</v>
      </c>
      <c r="G3403" s="15" t="n">
        <f aca="false">(k_B+((ls_B*k_long+(1-ls_B)*k_spot)-k_B)*MIN(1,(Sens!G3386-base_fy)/k_ramp))</f>
        <v>1.17213932619116</v>
      </c>
      <c r="H3403" s="15" t="n">
        <f aca="false">(k_B+((ls_B*k_long+(1-ls_B)*k_spot)-k_B)*MIN(1,(Sens!H3386-base_fy)/k_ramp))</f>
        <v>1.17213932619116</v>
      </c>
      <c r="I3403" s="15" t="n">
        <f aca="false">(k_B+((ls_B*k_long+(1-ls_B)*k_spot)-k_B)*MIN(1,(Sens!I3386-base_fy)/k_ramp))</f>
        <v>1.17213932619116</v>
      </c>
      <c r="J3403" s="15" t="n">
        <f aca="false">(k_B+((ls_B*k_long+(1-ls_B)*k_spot)-k_B)*MIN(1,(Sens!J3386-base_fy)/k_ramp))</f>
        <v>1.17213932619116</v>
      </c>
      <c r="K3403" s="15" t="n">
        <f aca="false">(k_B+((ls_B*k_long+(1-ls_B)*k_spot)-k_B)*MIN(1,(Sens!K3386-base_fy)/k_ramp))</f>
        <v>1.17213932619116</v>
      </c>
      <c r="L3403" s="1" t="s">
        <v>977</v>
      </c>
    </row>
    <row r="3404" customFormat="false" ht="17.15" hidden="false" customHeight="false" outlineLevel="0" collapsed="false">
      <c r="A3404" s="1" t="s">
        <v>978</v>
      </c>
      <c r="B3404" s="0" t="s">
        <v>403</v>
      </c>
      <c r="C3404" s="15" t="n">
        <f aca="false">Sens!C3402*Sens!C3403*chip_f</f>
        <v>11.3973387156315</v>
      </c>
      <c r="D3404" s="15" t="n">
        <f aca="false">Sens!D3402*Sens!D3403*chip_f</f>
        <v>11.3973387156315</v>
      </c>
      <c r="E3404" s="15" t="n">
        <f aca="false">Sens!E3402*Sens!E3403*chip_f</f>
        <v>11.3973387156315</v>
      </c>
      <c r="F3404" s="15" t="n">
        <f aca="false">Sens!F3402*Sens!F3403*chip_f</f>
        <v>11.6216769999778</v>
      </c>
      <c r="G3404" s="15" t="n">
        <f aca="false">Sens!G3402*Sens!G3403*chip_f</f>
        <v>11.8155359706547</v>
      </c>
      <c r="H3404" s="15" t="n">
        <f aca="false">Sens!H3402*Sens!H3403*chip_f</f>
        <v>11.8155359706547</v>
      </c>
      <c r="I3404" s="15" t="n">
        <f aca="false">Sens!I3402*Sens!I3403*chip_f</f>
        <v>12.0711234383594</v>
      </c>
      <c r="J3404" s="15" t="n">
        <f aca="false">Sens!J3402*Sens!J3403*chip_f</f>
        <v>12.4571126753012</v>
      </c>
      <c r="K3404" s="15" t="n">
        <f aca="false">Sens!K3402*Sens!K3403*chip_f</f>
        <v>13.2238750784153</v>
      </c>
      <c r="L3404" s="1" t="s">
        <v>979</v>
      </c>
    </row>
    <row r="3405" customFormat="false" ht="17.15" hidden="false" customHeight="false" outlineLevel="0" collapsed="false">
      <c r="A3405" s="0" t="s">
        <v>980</v>
      </c>
      <c r="B3405" s="0" t="s">
        <v>98</v>
      </c>
      <c r="D3405" s="6" t="n">
        <f aca="false">(Sens!C3388+Sens!D3388)/2*Sens!D3404/1000</f>
        <v>12.9359794422418</v>
      </c>
      <c r="E3405" s="6" t="n">
        <f aca="false">(Sens!D3388+Sens!E3388)/2*Sens!E3404/1000</f>
        <v>27.8095064661409</v>
      </c>
      <c r="F3405" s="6" t="n">
        <f aca="false">(Sens!E3388+Sens!F3388)/2*Sens!F3404/1000</f>
        <v>41.5474952749207</v>
      </c>
      <c r="G3405" s="6" t="n">
        <f aca="false">(Sens!F3388+Sens!G3388)/2*Sens!G3404/1000</f>
        <v>48.9517655264224</v>
      </c>
      <c r="H3405" s="6" t="n">
        <f aca="false">(Sens!G3388+Sens!H3388)/2*Sens!H3404/1000</f>
        <v>51.8229407672915</v>
      </c>
      <c r="I3405" s="6" t="n">
        <f aca="false">(Sens!H3388+Sens!I3388)/2*Sens!I3404/1000</f>
        <v>52.9439474006443</v>
      </c>
      <c r="J3405" s="6" t="n">
        <f aca="false">(Sens!I3388+Sens!J3388)/2*Sens!J3404/1000</f>
        <v>54.636896193871</v>
      </c>
      <c r="K3405" s="6" t="n">
        <f aca="false">(Sens!J3388+Sens!K3388)/2*Sens!K3404/1000</f>
        <v>57.9999160939293</v>
      </c>
      <c r="L3405" s="12" t="s">
        <v>981</v>
      </c>
    </row>
    <row r="3406" customFormat="false" ht="17.15" hidden="false" customHeight="false" outlineLevel="0" collapsed="false">
      <c r="A3406" s="1" t="s">
        <v>982</v>
      </c>
      <c r="B3406" s="0" t="s">
        <v>403</v>
      </c>
      <c r="C3406" s="15" t="n">
        <f aca="false">(Sens!C3396*tk_opex_h100+Sens!C3397*tk_opex_gb200+Sens!C3398*tk_opex_gb300+(Sens!C3400+Sens!C3399)*tk_opex_vr200)/Sens!C3388</f>
        <v>1.88636041306092</v>
      </c>
      <c r="D3406" s="15" t="n">
        <f aca="false">(Sens!D3396*tk_opex_h100+Sens!D3397*tk_opex_gb200+Sens!D3398*tk_opex_gb300+(Sens!D3400+Sens!D3399)*tk_opex_vr200)/Sens!D3388</f>
        <v>1.88636041306092</v>
      </c>
      <c r="E3406" s="15" t="n">
        <f aca="false">(Sens!E3396*tk_opex_h100+Sens!E3397*tk_opex_gb200+Sens!E3398*tk_opex_gb300+(Sens!E3400+Sens!E3399)*tk_opex_vr200)/Sens!E3388</f>
        <v>1.88636041306092</v>
      </c>
      <c r="F3406" s="15" t="n">
        <f aca="false">(Sens!F3396*tk_opex_h100+Sens!F3397*tk_opex_gb200+Sens!F3398*tk_opex_gb300+(Sens!F3400+Sens!F3399)*tk_opex_vr200)/Sens!F3388</f>
        <v>1.90979686208616</v>
      </c>
      <c r="G3406" s="15" t="n">
        <f aca="false">(Sens!G3396*tk_opex_h100+Sens!G3397*tk_opex_gb200+Sens!G3398*tk_opex_gb300+(Sens!G3400+Sens!G3399)*tk_opex_vr200)/Sens!G3388</f>
        <v>1.92769515165485</v>
      </c>
      <c r="H3406" s="15" t="n">
        <f aca="false">(Sens!H3396*tk_opex_h100+Sens!H3397*tk_opex_gb200+Sens!H3398*tk_opex_gb300+(Sens!H3400+Sens!H3399)*tk_opex_vr200)/Sens!H3388</f>
        <v>1.92769515165485</v>
      </c>
      <c r="I3406" s="15" t="n">
        <f aca="false">(Sens!I3396*tk_opex_h100+Sens!I3397*tk_opex_gb200+Sens!I3398*tk_opex_gb300+(Sens!I3400+Sens!I3399)*tk_opex_vr200)/Sens!I3388</f>
        <v>1.95083610383771</v>
      </c>
      <c r="J3406" s="15" t="n">
        <f aca="false">(Sens!J3396*tk_opex_h100+Sens!J3397*tk_opex_gb200+Sens!J3398*tk_opex_gb300+(Sens!J3400+Sens!J3399)*tk_opex_vr200)/Sens!J3388</f>
        <v>1.98578366427713</v>
      </c>
      <c r="K3406" s="15" t="n">
        <f aca="false">(Sens!K3396*tk_opex_h100+Sens!K3397*tk_opex_gb200+Sens!K3398*tk_opex_gb300+(Sens!K3400+Sens!K3399)*tk_opex_vr200)/Sens!K3388</f>
        <v>2.05520652082571</v>
      </c>
      <c r="L3406" s="12" t="s">
        <v>983</v>
      </c>
    </row>
    <row r="3407" customFormat="false" ht="17.15" hidden="false" customHeight="false" outlineLevel="0" collapsed="false">
      <c r="A3407" s="0" t="s">
        <v>984</v>
      </c>
      <c r="B3407" s="0" t="s">
        <v>98</v>
      </c>
      <c r="D3407" s="6" t="n">
        <f aca="false">(Sens!C3391+Sens!D3391)/2*Sens!D3406/1000</f>
        <v>2.70378325872065</v>
      </c>
      <c r="E3407" s="6" t="n">
        <f aca="false">(Sens!D3391+Sens!E3391)/2*Sens!E3406/1000</f>
        <v>6.17783035277451</v>
      </c>
      <c r="F3407" s="6" t="n">
        <f aca="false">(Sens!E3391+Sens!F3391)/2*Sens!F3406/1000</f>
        <v>9.30071071835958</v>
      </c>
      <c r="G3407" s="6" t="n">
        <f aca="false">(Sens!F3391+Sens!G3391)/2*Sens!G3406/1000</f>
        <v>10.8818391310916</v>
      </c>
      <c r="H3407" s="6" t="n">
        <f aca="false">(Sens!G3391+Sens!H3391)/2*Sens!H3406/1000</f>
        <v>11.6625556675118</v>
      </c>
      <c r="I3407" s="6" t="n">
        <f aca="false">(Sens!H3391+Sens!I3391)/2*Sens!I3406/1000</f>
        <v>11.8025584282181</v>
      </c>
      <c r="J3407" s="6" t="n">
        <f aca="false">(Sens!I3391+Sens!J3391)/2*Sens!J3406/1000</f>
        <v>12.0139911688766</v>
      </c>
      <c r="K3407" s="6" t="n">
        <f aca="false">(Sens!J3391+Sens!K3391)/2*Sens!K3406/1000</f>
        <v>12.4339994509955</v>
      </c>
    </row>
    <row r="3408" customFormat="false" ht="17.15" hidden="false" customHeight="false" outlineLevel="0" collapsed="false">
      <c r="A3408" s="0" t="s">
        <v>985</v>
      </c>
      <c r="B3408" s="0" t="s">
        <v>98</v>
      </c>
      <c r="D3408" s="6" t="n">
        <f aca="false">(Sens!C3389+Sens!D3389)/2*rent_mw/1000</f>
        <v>2.44475</v>
      </c>
      <c r="E3408" s="6" t="n">
        <f aca="false">(Sens!D3389+Sens!E3389)/2*rent_mw/1000</f>
        <v>4.22275</v>
      </c>
      <c r="F3408" s="6" t="n">
        <f aca="false">(Sens!E3389+Sens!F3389)/2*rent_mw/1000</f>
        <v>5.80517</v>
      </c>
      <c r="G3408" s="6" t="n">
        <f aca="false">(Sens!F3389+Sens!G3389)/2*rent_mw/1000</f>
        <v>6.72084</v>
      </c>
      <c r="H3408" s="6" t="n">
        <f aca="false">(Sens!G3389+Sens!H3389)/2*rent_mw/1000</f>
        <v>6.72084</v>
      </c>
      <c r="I3408" s="6" t="n">
        <f aca="false">(Sens!H3389+Sens!I3389)/2*rent_mw/1000</f>
        <v>6.72084</v>
      </c>
      <c r="J3408" s="6" t="n">
        <f aca="false">(Sens!I3389+Sens!J3389)/2*rent_mw/1000</f>
        <v>6.72084</v>
      </c>
      <c r="K3408" s="6" t="n">
        <f aca="false">(Sens!J3389+Sens!K3389)/2*rent_mw/1000</f>
        <v>6.72084</v>
      </c>
    </row>
    <row r="3409" customFormat="false" ht="17.15" hidden="false" customHeight="false" outlineLevel="0" collapsed="false">
      <c r="A3409" s="0" t="s">
        <v>986</v>
      </c>
      <c r="B3409" s="0" t="s">
        <v>98</v>
      </c>
      <c r="D3409" s="6" t="n">
        <f aca="false">(Sens!C3391+Sens!D3391)/2*(1-self_build)*fac_rent/1000</f>
        <v>0.853242375631075</v>
      </c>
      <c r="E3409" s="6" t="n">
        <f aca="false">(Sens!D3391+Sens!E3391)/2*(1-self_build)*fac_rent/1000</f>
        <v>1.94955961408728</v>
      </c>
      <c r="F3409" s="6" t="n">
        <f aca="false">(Sens!E3391+Sens!F3391)/2*(1-self_build)*fac_rent/1000</f>
        <v>2.89903979255117</v>
      </c>
      <c r="G3409" s="6" t="n">
        <f aca="false">(Sens!F3391+Sens!G3391)/2*(1-self_build)*fac_rent/1000</f>
        <v>3.36038596077029</v>
      </c>
      <c r="H3409" s="6" t="n">
        <f aca="false">(Sens!G3391+Sens!H3391)/2*(1-self_build)*fac_rent/1000</f>
        <v>3.60147653900094</v>
      </c>
      <c r="I3409" s="6" t="n">
        <f aca="false">(Sens!H3391+Sens!I3391)/2*(1-self_build)*fac_rent/1000</f>
        <v>3.60147653900094</v>
      </c>
      <c r="J3409" s="6" t="n">
        <f aca="false">(Sens!I3391+Sens!J3391)/2*(1-self_build)*fac_rent/1000</f>
        <v>3.60147653900094</v>
      </c>
      <c r="K3409" s="6" t="n">
        <f aca="false">(Sens!J3391+Sens!K3391)/2*(1-self_build)*fac_rent/1000</f>
        <v>3.60147653900094</v>
      </c>
      <c r="L3409" s="12" t="s">
        <v>987</v>
      </c>
    </row>
    <row r="3410" customFormat="false" ht="17.15" hidden="false" customHeight="false" outlineLevel="0" collapsed="false">
      <c r="A3410" s="1" t="s">
        <v>988</v>
      </c>
      <c r="B3410" s="0" t="s">
        <v>168</v>
      </c>
      <c r="D3410" s="7" t="n">
        <f aca="false">(Sens!C3390+Sens!D3390)/(Sens!C3391+Sens!D3391)</f>
        <v>0.6</v>
      </c>
      <c r="E3410" s="7" t="n">
        <f aca="false">(Sens!D3390+Sens!E3390)/(Sens!D3391+Sens!E3391)</f>
        <v>0.6</v>
      </c>
      <c r="F3410" s="7" t="n">
        <f aca="false">(Sens!E3390+Sens!F3390)/(Sens!E3391+Sens!F3391)</f>
        <v>0.6</v>
      </c>
      <c r="G3410" s="7" t="n">
        <f aca="false">(Sens!F3390+Sens!G3390)/(Sens!F3391+Sens!G3391)</f>
        <v>0.6</v>
      </c>
      <c r="H3410" s="7" t="n">
        <f aca="false">(Sens!G3390+Sens!H3390)/(Sens!G3391+Sens!H3391)</f>
        <v>0.6</v>
      </c>
      <c r="I3410" s="7" t="n">
        <f aca="false">(Sens!H3390+Sens!I3390)/(Sens!H3391+Sens!I3391)</f>
        <v>0.6</v>
      </c>
      <c r="J3410" s="7" t="n">
        <f aca="false">(Sens!I3390+Sens!J3390)/(Sens!I3391+Sens!J3391)</f>
        <v>0.6</v>
      </c>
      <c r="K3410" s="7" t="n">
        <f aca="false">(Sens!J3390+Sens!K3390)/(Sens!J3391+Sens!K3391)</f>
        <v>0.6</v>
      </c>
    </row>
    <row r="3411" customFormat="false" ht="17.15" hidden="false" customHeight="false" outlineLevel="0" collapsed="false">
      <c r="A3411" s="0" t="s">
        <v>989</v>
      </c>
      <c r="B3411" s="0" t="s">
        <v>98</v>
      </c>
      <c r="D3411" s="6" t="n">
        <f aca="false">Sens!D3405-Sens!D3410*(Sens!D3407+Sens!D3409)-Sens!D3408</f>
        <v>8.35701406163072</v>
      </c>
      <c r="E3411" s="6" t="n">
        <f aca="false">Sens!E3405-Sens!E3410*(Sens!E3407+Sens!E3409)-Sens!E3408</f>
        <v>18.7103224860238</v>
      </c>
      <c r="F3411" s="6" t="n">
        <f aca="false">Sens!F3405-Sens!F3410*(Sens!F3407+Sens!F3409)-Sens!F3408</f>
        <v>28.4224749683742</v>
      </c>
      <c r="G3411" s="6" t="n">
        <f aca="false">Sens!G3405-Sens!G3410*(Sens!G3407+Sens!G3409)-Sens!G3408</f>
        <v>33.6855904713053</v>
      </c>
      <c r="H3411" s="6" t="n">
        <f aca="false">Sens!H3405-Sens!H3410*(Sens!H3407+Sens!H3409)-Sens!H3408</f>
        <v>35.9436814433839</v>
      </c>
      <c r="I3411" s="6" t="n">
        <f aca="false">Sens!I3405-Sens!I3410*(Sens!I3407+Sens!I3409)-Sens!I3408</f>
        <v>36.9806864203129</v>
      </c>
      <c r="J3411" s="6" t="n">
        <f aca="false">Sens!J3405-Sens!J3410*(Sens!J3407+Sens!J3409)-Sens!J3408</f>
        <v>38.5467755691444</v>
      </c>
      <c r="K3411" s="6" t="n">
        <f aca="false">Sens!K3405-Sens!K3410*(Sens!K3407+Sens!K3409)-Sens!K3408</f>
        <v>41.6577904999314</v>
      </c>
    </row>
    <row r="3412" customFormat="false" ht="17.15" hidden="false" customHeight="false" outlineLevel="0" collapsed="false">
      <c r="A3412" s="1" t="s">
        <v>990</v>
      </c>
      <c r="B3412" s="0" t="s">
        <v>98</v>
      </c>
      <c r="D3412" s="6" t="n">
        <f aca="false">(1-Sens!D3410)*(Sens!D3407+Sens!D3409)</f>
        <v>1.42281025374069</v>
      </c>
      <c r="E3412" s="6" t="n">
        <f aca="false">(1-Sens!E3410)*(Sens!E3407+Sens!E3409)</f>
        <v>3.25095598674472</v>
      </c>
      <c r="F3412" s="6" t="n">
        <f aca="false">(1-Sens!F3410)*(Sens!F3407+Sens!F3409)</f>
        <v>4.8799002043643</v>
      </c>
      <c r="G3412" s="6" t="n">
        <f aca="false">(1-Sens!G3410)*(Sens!G3407+Sens!G3409)</f>
        <v>5.69689003674476</v>
      </c>
      <c r="H3412" s="6" t="n">
        <f aca="false">(1-Sens!H3410)*(Sens!H3407+Sens!H3409)</f>
        <v>6.1056128826051</v>
      </c>
      <c r="I3412" s="6" t="n">
        <f aca="false">(1-Sens!I3410)*(Sens!I3407+Sens!I3409)</f>
        <v>6.16161398688763</v>
      </c>
      <c r="J3412" s="6" t="n">
        <f aca="false">(1-Sens!J3410)*(Sens!J3407+Sens!J3409)</f>
        <v>6.24618708315103</v>
      </c>
      <c r="K3412" s="6" t="n">
        <f aca="false">(1-Sens!K3410)*(Sens!K3407+Sens!K3409)</f>
        <v>6.41419039599859</v>
      </c>
    </row>
    <row r="3413" customFormat="false" ht="17.15" hidden="false" customHeight="false" outlineLevel="0" collapsed="false">
      <c r="A3413" s="1" t="s">
        <v>991</v>
      </c>
      <c r="B3413" s="0" t="s">
        <v>417</v>
      </c>
      <c r="C3413" s="8" t="n">
        <f aca="false">cxit_open</f>
        <v>27.5918995</v>
      </c>
      <c r="D3413" s="8" t="n">
        <f aca="false">cxit_open</f>
        <v>27.5918995</v>
      </c>
      <c r="E3413" s="8" t="n">
        <f aca="false">cxit_open</f>
        <v>27.5918995</v>
      </c>
      <c r="F3413" s="8" t="n">
        <f aca="false">((a_g3_27-nonnv*a_mai)*tk_cxit_gb300+nonnv*a_mai*nv_hold_mai*tk_cxit_vr200+(1-a_g3_27)*tk_cxit_vr200)</f>
        <v>32.4975576</v>
      </c>
      <c r="G3413" s="8" t="n">
        <f aca="false">((a_g3_28-nonnv*a_mai)*tk_cxit_gb300+nonnv*a_mai*nv_hold_mai*tk_cxit_vr200+(1-a_g3_28)*tk_cxit_vr200)</f>
        <v>34.6372088</v>
      </c>
      <c r="H3413" s="8" t="n">
        <f aca="false">((a_g3_29-nonnv*a_mai)*tk_cxit_gb300+nonnv*a_mai*nv_hold_mai*tk_cxit_vr200+(1-a_g3_29)*tk_cxit_vr200)</f>
        <v>35.7070344</v>
      </c>
      <c r="I3413" s="8" t="n">
        <f aca="false">((a_g3_29-nonnv*a_mai)*tk_cxit_gb300+nonnv*a_mai*nv_hold_mai*tk_cxit_vr200+(1-a_g3_29)*tk_cxit_vr200)</f>
        <v>35.7070344</v>
      </c>
      <c r="J3413" s="8" t="n">
        <f aca="false">((a_g3_29-nonnv*a_mai)*tk_cxit_gb300+nonnv*a_mai*nv_hold_mai*tk_cxit_vr200+(1-a_g3_29)*tk_cxit_vr200)</f>
        <v>35.7070344</v>
      </c>
      <c r="K3413" s="8" t="n">
        <f aca="false">((a_g3_29-nonnv*a_mai)*tk_cxit_gb300+nonnv*a_mai*nv_hold_mai*tk_cxit_vr200+(1-a_g3_29)*tk_cxit_vr200)</f>
        <v>35.7070344</v>
      </c>
      <c r="L3413" s="12" t="s">
        <v>992</v>
      </c>
    </row>
    <row r="3414" customFormat="false" ht="17.15" hidden="false" customHeight="false" outlineLevel="0" collapsed="false">
      <c r="A3414" s="0" t="s">
        <v>993</v>
      </c>
      <c r="B3414" s="0" t="s">
        <v>459</v>
      </c>
      <c r="F3414" s="30" t="n">
        <f aca="false">Sens!C3393*IF(Sens!F3386-Sens!C3386=life_it,1,0)+Sens!D3393*IF(Sens!F3386-Sens!D3386=life_it,1,0)+Sens!E3393*IF(Sens!F3386-Sens!E3386=life_it,1,0)</f>
        <v>0</v>
      </c>
      <c r="G3414" s="30" t="n">
        <f aca="false">Sens!C3393*IF(Sens!G3386-Sens!C3386=life_it,1,0)+Sens!D3393*IF(Sens!G3386-Sens!D3386=life_it,1,0)+Sens!E3393*IF(Sens!G3386-Sens!E3386=life_it,1,0)+Sens!F3393*IF(Sens!G3386-Sens!F3386=life_it,1,0)</f>
        <v>0</v>
      </c>
      <c r="H3414" s="30" t="n">
        <f aca="false">Sens!C3393*IF(Sens!H3386-Sens!C3386=life_it,1,0)+Sens!D3393*IF(Sens!H3386-Sens!D3386=life_it,1,0)+Sens!E3393*IF(Sens!H3386-Sens!E3386=life_it,1,0)+Sens!F3393*IF(Sens!H3386-Sens!F3386=life_it,1,0)+Sens!G3393*IF(Sens!H3386-Sens!G3386=life_it,1,0)</f>
        <v>0</v>
      </c>
      <c r="I3414" s="30" t="n">
        <f aca="false">Sens!C3393*IF(Sens!I3386-Sens!C3386=life_it,1,0)+Sens!D3393*IF(Sens!I3386-Sens!D3386=life_it,1,0)+Sens!E3393*IF(Sens!I3386-Sens!E3386=life_it,1,0)+Sens!F3393*IF(Sens!I3386-Sens!F3386=life_it,1,0)+Sens!G3393*IF(Sens!I3386-Sens!G3386=life_it,1,0)+Sens!H3393*IF(Sens!I3386-Sens!H3386=life_it,1,0)</f>
        <v>816.666666666667</v>
      </c>
      <c r="J3414" s="30" t="n">
        <f aca="false">Sens!C3393*IF(Sens!J3386-Sens!C3386=life_it,1,0)+Sens!D3393*IF(Sens!J3386-Sens!D3386=life_it,1,0)+Sens!E3393*IF(Sens!J3386-Sens!E3386=life_it,1,0)+Sens!F3393*IF(Sens!J3386-Sens!F3386=life_it,1,0)+Sens!G3393*IF(Sens!J3386-Sens!G3386=life_it,1,0)+Sens!H3393*IF(Sens!J3386-Sens!H3386=life_it,1,0)+Sens!I3393*IF(Sens!J3386-Sens!I3386=life_it,1,0)</f>
        <v>1233.33333333333</v>
      </c>
      <c r="K3414" s="30" t="n">
        <f aca="false">Sens!C3393*IF(Sens!K3386-Sens!C3386=life_it,1,0)+Sens!D3393*IF(Sens!K3386-Sens!D3386=life_it,1,0)+Sens!E3393*IF(Sens!K3386-Sens!E3386=life_it,1,0)+Sens!F3393*IF(Sens!K3386-Sens!F3386=life_it,1,0)+Sens!G3393*IF(Sens!K3386-Sens!G3386=life_it,1,0)+Sens!H3393*IF(Sens!K3386-Sens!H3386=life_it,1,0)+Sens!I3393*IF(Sens!K3386-Sens!I3386=life_it,1,0)+Sens!J3393*IF(Sens!K3386-Sens!J3386=life_it,1,0)</f>
        <v>2450</v>
      </c>
      <c r="L3414" s="1" t="s">
        <v>994</v>
      </c>
    </row>
    <row r="3415" customFormat="false" ht="17.15" hidden="false" customHeight="false" outlineLevel="0" collapsed="false">
      <c r="A3415" s="0" t="s">
        <v>995</v>
      </c>
      <c r="B3415" s="0" t="s">
        <v>98</v>
      </c>
      <c r="C3415" s="6" t="n">
        <f aca="false">Sens!C3393*Sens!C3413/1000</f>
        <v>22.5333845916667</v>
      </c>
      <c r="D3415" s="6" t="n">
        <f aca="false">Sens!D3393*Sens!D3413/1000</f>
        <v>34.0300093833333</v>
      </c>
      <c r="E3415" s="6" t="n">
        <f aca="false">Sens!E3393*Sens!E3413/1000</f>
        <v>67.600153775</v>
      </c>
      <c r="F3415" s="6" t="n">
        <f aca="false">(Sens!F3393+Sens!F3414)*Sens!F3413/1000</f>
        <v>24.048192624</v>
      </c>
      <c r="G3415" s="6" t="n">
        <f aca="false">(Sens!G3393+Sens!G3414)*Sens!G3413/1000</f>
        <v>28.056139128</v>
      </c>
      <c r="H3415" s="6" t="n">
        <f aca="false">(Sens!H3393+Sens!H3414)*Sens!H3413/1000</f>
        <v>0</v>
      </c>
      <c r="I3415" s="6" t="n">
        <f aca="false">(Sens!I3393+Sens!I3414)*Sens!I3413/1000</f>
        <v>29.16074476</v>
      </c>
      <c r="J3415" s="6" t="n">
        <f aca="false">(Sens!J3393+Sens!J3414)*Sens!J3413/1000</f>
        <v>44.03867576</v>
      </c>
      <c r="K3415" s="6" t="n">
        <f aca="false">(Sens!K3393+Sens!K3414)*Sens!K3413/1000</f>
        <v>87.48223428</v>
      </c>
    </row>
    <row r="3416" customFormat="false" ht="17.15" hidden="false" customHeight="false" outlineLevel="0" collapsed="false">
      <c r="A3416" s="0" t="s">
        <v>996</v>
      </c>
      <c r="B3416" s="0" t="s">
        <v>98</v>
      </c>
      <c r="C3416" s="6" t="n">
        <f aca="false">Sens!C3393*self_build*tk_cxfac/1000</f>
        <v>6.2083</v>
      </c>
      <c r="D3416" s="6" t="n">
        <f aca="false">Sens!D3393*self_build*tk_cxfac/1000</f>
        <v>9.3758</v>
      </c>
      <c r="E3416" s="6" t="n">
        <f aca="false">Sens!E3393*self_build*tk_cxfac/1000</f>
        <v>18.6249</v>
      </c>
      <c r="F3416" s="6" t="n">
        <f aca="false">Sens!F3393*self_build*tk_cxfac/1000</f>
        <v>5.62548</v>
      </c>
      <c r="G3416" s="6" t="n">
        <f aca="false">Sens!G3393*self_build*tk_cxfac/1000</f>
        <v>6.15762</v>
      </c>
      <c r="H3416" s="6" t="n">
        <f aca="false">Sens!H3393*self_build*tk_cxfac/1000</f>
        <v>0</v>
      </c>
      <c r="I3416" s="6" t="n">
        <f aca="false">Sens!I3393*self_build*tk_cxfac/1000</f>
        <v>0</v>
      </c>
      <c r="J3416" s="6" t="n">
        <f aca="false">Sens!J3393*self_build*tk_cxfac/1000</f>
        <v>0</v>
      </c>
      <c r="K3416" s="6" t="n">
        <f aca="false">Sens!K3393*self_build*tk_cxfac/1000</f>
        <v>0</v>
      </c>
    </row>
    <row r="3417" customFormat="false" ht="17.15" hidden="false" customHeight="false" outlineLevel="0" collapsed="false">
      <c r="A3417" s="0" t="s">
        <v>997</v>
      </c>
      <c r="B3417" s="0" t="s">
        <v>98</v>
      </c>
      <c r="F3417" s="15" t="n">
        <f aca="false">capex_floor27-Sens!F3415-Sens!F3416-Sens!F3513</f>
        <v>138.171372338453</v>
      </c>
      <c r="L3417" s="12" t="s">
        <v>998</v>
      </c>
    </row>
    <row r="3418" customFormat="false" ht="17.15" hidden="false" customHeight="false" outlineLevel="0" collapsed="false">
      <c r="A3418" s="0" t="s">
        <v>999</v>
      </c>
      <c r="B3418" s="0" t="s">
        <v>98</v>
      </c>
      <c r="F3418" s="6" t="n">
        <f aca="false">MAX(0,Sens!F3417)</f>
        <v>138.171372338453</v>
      </c>
    </row>
    <row r="3419" customFormat="false" ht="17.15" hidden="false" customHeight="false" outlineLevel="0" collapsed="false">
      <c r="A3419" s="0" t="s">
        <v>1000</v>
      </c>
      <c r="B3419" s="0" t="s">
        <v>98</v>
      </c>
      <c r="C3419" s="6" t="n">
        <f aca="false">Sens!C3415</f>
        <v>22.5333845916667</v>
      </c>
      <c r="D3419" s="6" t="n">
        <f aca="false">Sens!D3415</f>
        <v>34.0300093833333</v>
      </c>
      <c r="E3419" s="6" t="n">
        <f aca="false">Sens!E3415</f>
        <v>67.600153775</v>
      </c>
      <c r="F3419" s="6" t="n">
        <f aca="false">Sens!F3415</f>
        <v>24.048192624</v>
      </c>
      <c r="G3419" s="6" t="n">
        <f aca="false">Sens!G3415</f>
        <v>28.056139128</v>
      </c>
      <c r="H3419" s="6" t="n">
        <f aca="false">Sens!H3415</f>
        <v>0</v>
      </c>
      <c r="I3419" s="6" t="n">
        <f aca="false">Sens!I3415</f>
        <v>29.16074476</v>
      </c>
      <c r="J3419" s="6" t="n">
        <f aca="false">Sens!J3415</f>
        <v>44.03867576</v>
      </c>
      <c r="K3419" s="6" t="n">
        <f aca="false">Sens!K3415</f>
        <v>87.48223428</v>
      </c>
    </row>
    <row r="3420" customFormat="false" ht="17.15" hidden="false" customHeight="false" outlineLevel="0" collapsed="false">
      <c r="A3420" s="0" t="s">
        <v>1001</v>
      </c>
      <c r="B3420" s="0" t="s">
        <v>98</v>
      </c>
      <c r="C3420" s="6" t="n">
        <f aca="false">Sens!C3419+Sens!C3416</f>
        <v>28.7416845916667</v>
      </c>
      <c r="D3420" s="6" t="n">
        <f aca="false">Sens!D3419+Sens!D3416</f>
        <v>43.4058093833333</v>
      </c>
      <c r="E3420" s="6" t="n">
        <f aca="false">Sens!E3419+Sens!E3416</f>
        <v>86.225053775</v>
      </c>
      <c r="F3420" s="6" t="n">
        <f aca="false">Sens!F3419+Sens!F3416</f>
        <v>29.673672624</v>
      </c>
      <c r="G3420" s="6" t="n">
        <f aca="false">Sens!G3419+Sens!G3416</f>
        <v>34.213759128</v>
      </c>
      <c r="H3420" s="6" t="n">
        <f aca="false">Sens!H3419+Sens!H3416</f>
        <v>0</v>
      </c>
      <c r="I3420" s="6" t="n">
        <f aca="false">Sens!I3419+Sens!I3416</f>
        <v>29.16074476</v>
      </c>
      <c r="J3420" s="6" t="n">
        <f aca="false">Sens!J3419+Sens!J3416</f>
        <v>44.03867576</v>
      </c>
      <c r="K3420" s="6" t="n">
        <f aca="false">Sens!K3419+Sens!K3416</f>
        <v>87.48223428</v>
      </c>
      <c r="L3420" s="12" t="s">
        <v>1002</v>
      </c>
    </row>
    <row r="3421" customFormat="false" ht="17.15" hidden="false" customHeight="false" outlineLevel="0" collapsed="false">
      <c r="A3421" s="0" t="s">
        <v>1003</v>
      </c>
      <c r="B3421" s="0" t="s">
        <v>98</v>
      </c>
      <c r="E3421" s="6" t="n">
        <f aca="false">(Sens!C3419*IF(2&lt;life_it,1,IF(2=life_it,0.5,0))+Sens!D3419*IF(1&lt;life_it,1,IF(1=life_it,0.5,0))+Sens!E3419*0.5)/life_it</f>
        <v>15.0605784770833</v>
      </c>
      <c r="F3421" s="6" t="n">
        <f aca="false">(Sens!C3419*IF(3&lt;life_it,1,IF(3=life_it,0.5,0))+Sens!D3419*IF(2&lt;life_it,1,IF(2=life_it,0.5,0))+Sens!E3419*IF(1&lt;life_it,1,IF(1=life_it,0.5,0))+Sens!F3419*0.5)/life_it</f>
        <v>22.697940677</v>
      </c>
      <c r="G3421" s="6" t="n">
        <f aca="false">(Sens!C3419*IF(4&lt;life_it,1,IF(4=life_it,0.5,0))+Sens!D3419*IF(3&lt;life_it,1,IF(3=life_it,0.5,0))+Sens!E3419*IF(2&lt;life_it,1,IF(2=life_it,0.5,0))+Sens!F3419*IF(1&lt;life_it,1,IF(1=life_it,0.5,0))+Sens!G3419*0.5)/life_it</f>
        <v>27.039968323</v>
      </c>
      <c r="H3421" s="6" t="n">
        <f aca="false">(Sens!C3419*IF(5&lt;life_it,1,IF(5=life_it,0.5,0))+Sens!D3419*IF(4&lt;life_it,1,IF(4=life_it,0.5,0))+Sens!E3419*IF(3&lt;life_it,1,IF(3=life_it,0.5,0))+Sens!F3419*IF(2&lt;life_it,1,IF(2=life_it,0.5,0))+Sens!G3419*IF(1&lt;life_it,1,IF(1=life_it,0.5,0))+Sens!H3419*0.5)/life_it</f>
        <v>29.377979917</v>
      </c>
      <c r="I3421" s="6" t="n">
        <f aca="false">(Sens!C3419*IF(6&lt;life_it,1,IF(6=life_it,0.5,0))+Sens!D3419*IF(5&lt;life_it,1,IF(5=life_it,0.5,0))+Sens!E3419*IF(4&lt;life_it,1,IF(4=life_it,0.5,0))+Sens!F3419*IF(3&lt;life_it,1,IF(3=life_it,0.5,0))+Sens!G3419*IF(2&lt;life_it,1,IF(2=life_it,0.5,0))+Sens!H3419*IF(1&lt;life_it,1,IF(1=life_it,0.5,0))+Sens!I3419*0.5)/life_it</f>
        <v>29.9302599310278</v>
      </c>
      <c r="J3421" s="6" t="n">
        <f aca="false">(Sens!C3419*IF(7&lt;life_it,1,IF(7=life_it,0.5,0))+Sens!D3419*IF(6&lt;life_it,1,IF(6=life_it,0.5,0))+Sens!E3419*IF(5&lt;life_it,1,IF(5=life_it,0.5,0))+Sens!F3419*IF(4&lt;life_it,1,IF(4=life_it,0.5,0))+Sens!G3419*IF(3&lt;life_it,1,IF(3=life_it,0.5,0))+Sens!H3419*IF(2&lt;life_it,1,IF(2=life_it,0.5,0))+Sens!I3419*IF(1&lt;life_it,1,IF(1=life_it,0.5,0))+Sens!J3419*0.5)/life_it</f>
        <v>31.3165954764444</v>
      </c>
      <c r="K3421" s="6" t="n">
        <f aca="false">(Sens!C3419*IF(8&lt;life_it,1,IF(8=life_it,0.5,0))+Sens!D3419*IF(7&lt;life_it,1,IF(7=life_it,0.5,0))+Sens!E3419*IF(6&lt;life_it,1,IF(6=life_it,0.5,0))+Sens!F3419*IF(5&lt;life_it,1,IF(5=life_it,0.5,0))+Sens!G3419*IF(4&lt;life_it,1,IF(4=life_it,0.5,0))+Sens!H3419*IF(3&lt;life_it,1,IF(3=life_it,0.5,0))+Sens!I3419*IF(2&lt;life_it,1,IF(2=life_it,0.5,0))+Sens!J3419*IF(1&lt;life_it,1,IF(1=life_it,0.5,0))+Sens!K3419*0.5)/life_it</f>
        <v>33.8074910499167</v>
      </c>
    </row>
    <row r="3422" customFormat="false" ht="17.15" hidden="false" customHeight="false" outlineLevel="0" collapsed="false">
      <c r="A3422" s="0" t="s">
        <v>1004</v>
      </c>
      <c r="B3422" s="0" t="s">
        <v>98</v>
      </c>
      <c r="E3422" s="6" t="n">
        <f aca="false">(Sens!C3416*IF(2&lt;life_fac,1,IF(2=life_fac,0.5,0))+Sens!D3416*IF(1&lt;life_fac,1,IF(1=life_fac,0.5,0))+Sens!E3416*0.5)/life_fac</f>
        <v>1.2448275</v>
      </c>
      <c r="F3422" s="6" t="n">
        <f aca="false">(Sens!C3416*IF(3&lt;life_fac,1,IF(3=life_fac,0.5,0))+Sens!D3416*IF(2&lt;life_fac,1,IF(2=life_fac,0.5,0))+Sens!E3416*IF(1&lt;life_fac,1,IF(1=life_fac,0.5,0))+Sens!F3416*0.5)/life_fac</f>
        <v>1.851087</v>
      </c>
      <c r="G3422" s="6" t="n">
        <f aca="false">(Sens!C3416*IF(4&lt;life_fac,1,IF(4=life_fac,0.5,0))+Sens!D3416*IF(3&lt;life_fac,1,IF(3=life_fac,0.5,0))+Sens!E3416*IF(2&lt;life_fac,1,IF(2=life_fac,0.5,0))+Sens!F3416*IF(1&lt;life_fac,1,IF(1=life_fac,0.5,0))+Sens!G3416*0.5)/life_fac</f>
        <v>2.1456645</v>
      </c>
      <c r="H3422" s="6" t="n">
        <f aca="false">(Sens!C3416*IF(5&lt;life_fac,1,IF(5=life_fac,0.5,0))+Sens!D3416*IF(4&lt;life_fac,1,IF(4=life_fac,0.5,0))+Sens!E3416*IF(3&lt;life_fac,1,IF(3=life_fac,0.5,0))+Sens!F3416*IF(2&lt;life_fac,1,IF(2=life_fac,0.5,0))+Sens!G3416*IF(1&lt;life_fac,1,IF(1=life_fac,0.5,0))+Sens!H3416*0.5)/life_fac</f>
        <v>2.299605</v>
      </c>
      <c r="I3422" s="6" t="n">
        <f aca="false">(Sens!C3416*IF(6&lt;life_fac,1,IF(6=life_fac,0.5,0))+Sens!D3416*IF(5&lt;life_fac,1,IF(5=life_fac,0.5,0))+Sens!E3416*IF(4&lt;life_fac,1,IF(4=life_fac,0.5,0))+Sens!F3416*IF(3&lt;life_fac,1,IF(3=life_fac,0.5,0))+Sens!G3416*IF(2&lt;life_fac,1,IF(2=life_fac,0.5,0))+Sens!H3416*IF(1&lt;life_fac,1,IF(1=life_fac,0.5,0))+Sens!I3416*0.5)/life_fac</f>
        <v>2.299605</v>
      </c>
      <c r="J3422" s="6" t="n">
        <f aca="false">(Sens!C3416*IF(7&lt;life_fac,1,IF(7=life_fac,0.5,0))+Sens!D3416*IF(6&lt;life_fac,1,IF(6=life_fac,0.5,0))+Sens!E3416*IF(5&lt;life_fac,1,IF(5=life_fac,0.5,0))+Sens!F3416*IF(4&lt;life_fac,1,IF(4=life_fac,0.5,0))+Sens!G3416*IF(3&lt;life_fac,1,IF(3=life_fac,0.5,0))+Sens!H3416*IF(2&lt;life_fac,1,IF(2=life_fac,0.5,0))+Sens!I3416*IF(1&lt;life_fac,1,IF(1=life_fac,0.5,0))+Sens!J3416*0.5)/life_fac</f>
        <v>2.299605</v>
      </c>
      <c r="K3422" s="6" t="n">
        <f aca="false">(Sens!C3416*IF(8&lt;life_fac,1,IF(8=life_fac,0.5,0))+Sens!D3416*IF(7&lt;life_fac,1,IF(7=life_fac,0.5,0))+Sens!E3416*IF(6&lt;life_fac,1,IF(6=life_fac,0.5,0))+Sens!F3416*IF(5&lt;life_fac,1,IF(5=life_fac,0.5,0))+Sens!G3416*IF(4&lt;life_fac,1,IF(4=life_fac,0.5,0))+Sens!H3416*IF(3&lt;life_fac,1,IF(3=life_fac,0.5,0))+Sens!I3416*IF(2&lt;life_fac,1,IF(2=life_fac,0.5,0))+Sens!J3416*IF(1&lt;life_fac,1,IF(1=life_fac,0.5,0))+Sens!K3416*0.5)/life_fac</f>
        <v>2.299605</v>
      </c>
    </row>
    <row r="3423" customFormat="false" ht="17.15" hidden="false" customHeight="false" outlineLevel="0" collapsed="false">
      <c r="A3423" s="0" t="s">
        <v>1005</v>
      </c>
      <c r="B3423" s="0" t="s">
        <v>98</v>
      </c>
      <c r="E3423" s="6" t="n">
        <f aca="false">Sens!E3421+Sens!E3422</f>
        <v>16.3054059770833</v>
      </c>
      <c r="F3423" s="6" t="n">
        <f aca="false">Sens!F3421+Sens!F3422</f>
        <v>24.549027677</v>
      </c>
      <c r="G3423" s="6" t="n">
        <f aca="false">Sens!G3421+Sens!G3422</f>
        <v>29.185632823</v>
      </c>
      <c r="H3423" s="6" t="n">
        <f aca="false">Sens!H3421+Sens!H3422</f>
        <v>31.677584917</v>
      </c>
      <c r="I3423" s="6" t="n">
        <f aca="false">Sens!I3421+Sens!I3422</f>
        <v>32.2298649310278</v>
      </c>
      <c r="J3423" s="6" t="n">
        <f aca="false">Sens!J3421+Sens!J3422</f>
        <v>33.6162004764444</v>
      </c>
      <c r="K3423" s="6" t="n">
        <f aca="false">Sens!K3421+Sens!K3422</f>
        <v>36.1070960499167</v>
      </c>
    </row>
    <row r="3424" customFormat="false" ht="17.15" hidden="false" customHeight="false" outlineLevel="0" collapsed="false">
      <c r="A3424" s="0" t="s">
        <v>1006</v>
      </c>
      <c r="B3424" s="0" t="s">
        <v>98</v>
      </c>
      <c r="E3424" s="6" t="n">
        <f aca="false">Sens!E3411-Sens!E3410*Sens!E3423</f>
        <v>8.92707889977379</v>
      </c>
      <c r="F3424" s="6" t="n">
        <f aca="false">Sens!F3411-Sens!F3410*Sens!F3423</f>
        <v>13.6930583621742</v>
      </c>
      <c r="G3424" s="6" t="n">
        <f aca="false">Sens!G3411-Sens!G3410*Sens!G3423</f>
        <v>16.1742107775053</v>
      </c>
      <c r="H3424" s="6" t="n">
        <f aca="false">Sens!H3411-Sens!H3410*Sens!H3423</f>
        <v>16.9371304931839</v>
      </c>
      <c r="I3424" s="6" t="n">
        <f aca="false">Sens!I3411-Sens!I3410*Sens!I3423</f>
        <v>17.6427674616962</v>
      </c>
      <c r="J3424" s="6" t="n">
        <f aca="false">Sens!J3411-Sens!J3410*Sens!J3423</f>
        <v>18.3770552832778</v>
      </c>
      <c r="K3424" s="6" t="n">
        <f aca="false">Sens!K3411-Sens!K3410*Sens!K3423</f>
        <v>19.9935328699814</v>
      </c>
    </row>
    <row r="3425" customFormat="false" ht="17.15" hidden="false" customHeight="false" outlineLevel="0" collapsed="false">
      <c r="A3425" s="3" t="s">
        <v>1696</v>
      </c>
    </row>
    <row r="3426" customFormat="false" ht="15" hidden="false" customHeight="false" outlineLevel="0" collapsed="false">
      <c r="A3426" s="4" t="s">
        <v>43</v>
      </c>
      <c r="B3426" s="4" t="s">
        <v>65</v>
      </c>
      <c r="C3426" s="23" t="s">
        <v>942</v>
      </c>
      <c r="D3426" s="23" t="s">
        <v>943</v>
      </c>
      <c r="E3426" s="23" t="s">
        <v>944</v>
      </c>
      <c r="F3426" s="23" t="s">
        <v>945</v>
      </c>
      <c r="G3426" s="23" t="s">
        <v>946</v>
      </c>
      <c r="H3426" s="23" t="s">
        <v>947</v>
      </c>
      <c r="I3426" s="23" t="s">
        <v>948</v>
      </c>
      <c r="J3426" s="23" t="s">
        <v>949</v>
      </c>
      <c r="K3426" s="23" t="s">
        <v>950</v>
      </c>
      <c r="L3426" s="4" t="s">
        <v>47</v>
      </c>
    </row>
    <row r="3427" customFormat="false" ht="17.15" hidden="false" customHeight="false" outlineLevel="0" collapsed="false">
      <c r="A3427" s="0" t="s">
        <v>1025</v>
      </c>
      <c r="B3427" s="0" t="s">
        <v>98</v>
      </c>
      <c r="D3427" s="6" t="n">
        <f aca="false">Sens!D3405</f>
        <v>12.9359794422418</v>
      </c>
      <c r="E3427" s="6" t="n">
        <f aca="false">Sens!E3405</f>
        <v>27.8095064661409</v>
      </c>
      <c r="F3427" s="6" t="n">
        <f aca="false">Sens!F3405</f>
        <v>41.5474952749207</v>
      </c>
      <c r="G3427" s="6" t="n">
        <f aca="false">Sens!G3405</f>
        <v>48.9517655264224</v>
      </c>
      <c r="H3427" s="6" t="n">
        <f aca="false">Sens!H3405</f>
        <v>51.8229407672915</v>
      </c>
      <c r="I3427" s="6" t="n">
        <f aca="false">Sens!I3405</f>
        <v>52.9439474006443</v>
      </c>
      <c r="J3427" s="6" t="n">
        <f aca="false">Sens!J3405</f>
        <v>54.636896193871</v>
      </c>
      <c r="K3427" s="6" t="n">
        <f aca="false">Sens!K3405</f>
        <v>57.9999160939293</v>
      </c>
    </row>
    <row r="3428" customFormat="false" ht="17.15" hidden="false" customHeight="false" outlineLevel="0" collapsed="false">
      <c r="A3428" s="0" t="s">
        <v>1026</v>
      </c>
      <c r="B3428" s="0" t="s">
        <v>98</v>
      </c>
      <c r="D3428" s="6" t="n">
        <f aca="false">Q!L6-Sens!D3427</f>
        <v>59.6740205577583</v>
      </c>
      <c r="E3428" s="6" t="n">
        <f aca="false">Q!M6-Sens!E3427</f>
        <v>74.1284935338591</v>
      </c>
      <c r="F3428" s="6" t="n">
        <f aca="false">Q!$I$6+(Sens!F3427+Sens!E3428*(1+Sens!F3429))*(1-Q!$E$6/Q!M6)-Sens!F3427</f>
        <v>94.3416091857071</v>
      </c>
      <c r="G3428" s="6" t="n">
        <f aca="false">Sens!F3428*(1+Sens!G3429)</f>
        <v>112.091912703454</v>
      </c>
      <c r="H3428" s="6" t="n">
        <f aca="false">Sens!G3428*(1+Sens!H3429)</f>
        <v>130.15125838779</v>
      </c>
      <c r="I3428" s="6" t="n">
        <f aca="false">Sens!H3428*(1+Sens!I3429)</f>
        <v>147.60123989821</v>
      </c>
      <c r="J3428" s="6" t="n">
        <f aca="false">Sens!I3428*(1+Sens!J3429)</f>
        <v>163.400080136365</v>
      </c>
      <c r="K3428" s="6" t="n">
        <f aca="false">Sens!J3428*(1+Sens!K3429)</f>
        <v>176.472086547274</v>
      </c>
      <c r="L3428" s="12" t="s">
        <v>1027</v>
      </c>
    </row>
    <row r="3429" customFormat="false" ht="15" hidden="false" customHeight="false" outlineLevel="0" collapsed="false">
      <c r="A3429" s="1" t="s">
        <v>1028</v>
      </c>
      <c r="B3429" s="0" t="s">
        <v>168</v>
      </c>
      <c r="E3429" s="7" t="n">
        <f aca="false">Sens!E3428/Sens!D3428-1</f>
        <v>0.242223883039864</v>
      </c>
      <c r="F3429" s="7" t="n">
        <f aca="false">Sens!$E$3429+(glt_azo-Sens!$E$3429)*MIN(1,(Sens!F3386-base_fy)/n_conv)</f>
        <v>0.215186569199887</v>
      </c>
      <c r="G3429" s="7" t="n">
        <f aca="false">Sens!$E$3429+(glt_azo-Sens!$E$3429)*MIN(1,(Sens!G3386-base_fy)/n_conv)</f>
        <v>0.18814925535991</v>
      </c>
      <c r="H3429" s="7" t="n">
        <f aca="false">Sens!$E$3429+(glt_azo-Sens!$E$3429)*MIN(1,(Sens!H3386-base_fy)/n_conv)</f>
        <v>0.161111941519932</v>
      </c>
      <c r="I3429" s="7" t="n">
        <f aca="false">Sens!$E$3429+(glt_azo-Sens!$E$3429)*MIN(1,(Sens!I3386-base_fy)/n_conv)</f>
        <v>0.134074627679955</v>
      </c>
      <c r="J3429" s="7" t="n">
        <f aca="false">Sens!$E$3429+(glt_azo-Sens!$E$3429)*MIN(1,(Sens!J3386-base_fy)/n_conv)</f>
        <v>0.107037313839977</v>
      </c>
      <c r="K3429" s="7" t="n">
        <f aca="false">Sens!$E$3429+(glt_azo-Sens!$E$3429)*MIN(1,(Sens!K3386-base_fy)/n_conv)</f>
        <v>0.08</v>
      </c>
    </row>
    <row r="3430" customFormat="false" ht="15" hidden="false" customHeight="false" outlineLevel="0" collapsed="false">
      <c r="A3430" s="0" t="s">
        <v>1029</v>
      </c>
      <c r="B3430" s="0" t="s">
        <v>98</v>
      </c>
      <c r="D3430" s="6" t="n">
        <f aca="false">Sens!D3427+Sens!D3428</f>
        <v>72.61</v>
      </c>
      <c r="E3430" s="6" t="n">
        <f aca="false">Sens!E3427+Sens!E3428</f>
        <v>101.938</v>
      </c>
      <c r="F3430" s="6" t="n">
        <f aca="false">Sens!F3427+Sens!F3428</f>
        <v>135.889104460628</v>
      </c>
      <c r="G3430" s="6" t="n">
        <f aca="false">Sens!G3427+Sens!G3428</f>
        <v>161.043678229876</v>
      </c>
      <c r="H3430" s="6" t="n">
        <f aca="false">Sens!H3427+Sens!H3428</f>
        <v>181.974199155081</v>
      </c>
      <c r="I3430" s="6" t="n">
        <f aca="false">Sens!I3427+Sens!I3428</f>
        <v>200.545187298855</v>
      </c>
      <c r="J3430" s="6" t="n">
        <f aca="false">Sens!J3427+Sens!J3428</f>
        <v>218.036976330236</v>
      </c>
      <c r="K3430" s="6" t="n">
        <f aca="false">Sens!K3427+Sens!K3428</f>
        <v>234.472002641203</v>
      </c>
    </row>
    <row r="3431" customFormat="false" ht="17.15" hidden="false" customHeight="false" outlineLevel="0" collapsed="false">
      <c r="A3431" s="0" t="s">
        <v>1030</v>
      </c>
      <c r="B3431" s="1" t="s">
        <v>613</v>
      </c>
      <c r="C3431" s="30" t="n">
        <f aca="false">cop_s24</f>
        <v>1</v>
      </c>
      <c r="D3431" s="30" t="n">
        <f aca="false">cop_s25</f>
        <v>5</v>
      </c>
      <c r="E3431" s="30" t="n">
        <f aca="false">cop_s26</f>
        <v>30</v>
      </c>
      <c r="F3431" s="30" t="n">
        <f aca="false">Sens!E3431+cop_add_B</f>
        <v>50</v>
      </c>
      <c r="G3431" s="30" t="n">
        <f aca="false">Sens!F3431+cop_add_B</f>
        <v>70</v>
      </c>
      <c r="H3431" s="30" t="n">
        <f aca="false">Sens!G3431+cop_add_B</f>
        <v>90</v>
      </c>
      <c r="I3431" s="30" t="n">
        <f aca="false">Sens!H3431+cop_add_B*cop_tail</f>
        <v>100</v>
      </c>
      <c r="J3431" s="30" t="n">
        <f aca="false">Sens!I3431+cop_add_B*cop_tail</f>
        <v>110</v>
      </c>
      <c r="K3431" s="30" t="n">
        <f aca="false">Sens!J3431+cop_add_B*cop_tail</f>
        <v>120</v>
      </c>
      <c r="L3431" s="12" t="s">
        <v>1031</v>
      </c>
    </row>
    <row r="3432" customFormat="false" ht="17.15" hidden="false" customHeight="false" outlineLevel="0" collapsed="false">
      <c r="A3432" s="0" t="s">
        <v>1032</v>
      </c>
      <c r="B3432" s="0" t="s">
        <v>98</v>
      </c>
      <c r="D3432" s="6" t="n">
        <f aca="false">(Sens!C3431+Sens!D3431)/2*cop_px*12/1000</f>
        <v>0.9</v>
      </c>
      <c r="E3432" s="6" t="n">
        <f aca="false">(Sens!D3431+Sens!E3431)/2*cop_px*12/1000</f>
        <v>5.25</v>
      </c>
      <c r="F3432" s="6" t="n">
        <f aca="false">(Sens!E3431+Sens!F3431)/2*cop_px*12/1000</f>
        <v>12</v>
      </c>
      <c r="G3432" s="6" t="n">
        <f aca="false">(Sens!F3431+Sens!G3431)/2*cop_px*12/1000</f>
        <v>18</v>
      </c>
      <c r="H3432" s="6" t="n">
        <f aca="false">(Sens!G3431+Sens!H3431)/2*cop_px*12/1000</f>
        <v>24</v>
      </c>
      <c r="I3432" s="6" t="n">
        <f aca="false">(Sens!H3431+Sens!I3431)/2*cop_px*12/1000</f>
        <v>28.5</v>
      </c>
      <c r="J3432" s="6" t="n">
        <f aca="false">(Sens!I3431+Sens!J3431)/2*cop_px*12/1000</f>
        <v>31.5</v>
      </c>
      <c r="K3432" s="6" t="n">
        <f aca="false">(Sens!J3431+Sens!K3431)/2*cop_px*12/1000</f>
        <v>34.5</v>
      </c>
      <c r="L3432" s="1" t="s">
        <v>1033</v>
      </c>
    </row>
    <row r="3433" customFormat="false" ht="17.15" hidden="false" customHeight="false" outlineLevel="0" collapsed="false">
      <c r="A3433" s="0" t="s">
        <v>1034</v>
      </c>
      <c r="B3433" s="0" t="s">
        <v>98</v>
      </c>
      <c r="D3433" s="6" t="n">
        <f aca="false">Q!L7-Sens!D3432</f>
        <v>83.705</v>
      </c>
      <c r="E3433" s="6" t="n">
        <f aca="false">Q!M7-Sens!E3432</f>
        <v>95.049</v>
      </c>
      <c r="F3433" s="6" t="n">
        <f aca="false">Q!$I$7+(Sens!E3433*(1+Sens!F3434)+Sens!F3432)*(1-Q!$E$7/Q!M7)-Sens!F3432</f>
        <v>106.584003697747</v>
      </c>
      <c r="G3433" s="6" t="n">
        <f aca="false">Sens!F3433*(1+Sens!G3434)</f>
        <v>118.700726545688</v>
      </c>
      <c r="H3433" s="6" t="n">
        <f aca="false">Sens!G3433*(1+Sens!H3434)</f>
        <v>130.898624783666</v>
      </c>
      <c r="I3433" s="6" t="n">
        <f aca="false">Sens!H3433*(1+Sens!I3434)</f>
        <v>142.920510030657</v>
      </c>
      <c r="J3433" s="6" t="n">
        <f aca="false">Sens!I3433*(1+Sens!J3434)</f>
        <v>154.485722618572</v>
      </c>
      <c r="K3433" s="6" t="n">
        <f aca="false">Sens!J3433*(1+Sens!K3434)</f>
        <v>165.299723201872</v>
      </c>
      <c r="L3433" s="12" t="s">
        <v>1035</v>
      </c>
    </row>
    <row r="3434" customFormat="false" ht="15" hidden="false" customHeight="false" outlineLevel="0" collapsed="false">
      <c r="A3434" s="1" t="s">
        <v>1028</v>
      </c>
      <c r="B3434" s="0" t="s">
        <v>168</v>
      </c>
      <c r="E3434" s="7" t="n">
        <f aca="false">Sens!E3433/Sens!D3433-1</f>
        <v>0.135523564900544</v>
      </c>
      <c r="F3434" s="7" t="n">
        <f aca="false">Sens!$E$3434+(glt_m365b-Sens!$E$3434)*MIN(1,(Sens!F3386-base_fy)/n_conv)</f>
        <v>0.124602970750453</v>
      </c>
      <c r="G3434" s="7" t="n">
        <f aca="false">Sens!$E$3434+(glt_m365b-Sens!$E$3434)*MIN(1,(Sens!G3386-base_fy)/n_conv)</f>
        <v>0.113682376600363</v>
      </c>
      <c r="H3434" s="7" t="n">
        <f aca="false">Sens!$E$3434+(glt_m365b-Sens!$E$3434)*MIN(1,(Sens!H3386-base_fy)/n_conv)</f>
        <v>0.102761782450272</v>
      </c>
      <c r="I3434" s="7" t="n">
        <f aca="false">Sens!$E$3434+(glt_m365b-Sens!$E$3434)*MIN(1,(Sens!I3386-base_fy)/n_conv)</f>
        <v>0.0918411883001813</v>
      </c>
      <c r="J3434" s="7" t="n">
        <f aca="false">Sens!$E$3434+(glt_m365b-Sens!$E$3434)*MIN(1,(Sens!J3386-base_fy)/n_conv)</f>
        <v>0.0809205941500906</v>
      </c>
      <c r="K3434" s="7" t="n">
        <f aca="false">Sens!$E$3434+(glt_m365b-Sens!$E$3434)*MIN(1,(Sens!K3386-base_fy)/n_conv)</f>
        <v>0.07</v>
      </c>
    </row>
    <row r="3435" customFormat="false" ht="15" hidden="false" customHeight="false" outlineLevel="0" collapsed="false">
      <c r="A3435" s="0" t="s">
        <v>1036</v>
      </c>
      <c r="B3435" s="0" t="s">
        <v>98</v>
      </c>
      <c r="D3435" s="6" t="n">
        <f aca="false">Sens!D3433+Sens!D3432</f>
        <v>84.605</v>
      </c>
      <c r="E3435" s="6" t="n">
        <f aca="false">Sens!E3433+Sens!E3432</f>
        <v>100.299</v>
      </c>
      <c r="F3435" s="6" t="n">
        <f aca="false">Sens!F3433+Sens!F3432</f>
        <v>118.584003697747</v>
      </c>
      <c r="G3435" s="6" t="n">
        <f aca="false">Sens!G3433+Sens!G3432</f>
        <v>136.700726545688</v>
      </c>
      <c r="H3435" s="6" t="n">
        <f aca="false">Sens!H3433+Sens!H3432</f>
        <v>154.898624783666</v>
      </c>
      <c r="I3435" s="6" t="n">
        <f aca="false">Sens!I3433+Sens!I3432</f>
        <v>171.420510030657</v>
      </c>
      <c r="J3435" s="6" t="n">
        <f aca="false">Sens!J3433+Sens!J3432</f>
        <v>185.985722618572</v>
      </c>
      <c r="K3435" s="6" t="n">
        <f aca="false">Sens!K3433+Sens!K3432</f>
        <v>199.799723201872</v>
      </c>
    </row>
    <row r="3436" customFormat="false" ht="17.15" hidden="false" customHeight="false" outlineLevel="0" collapsed="false">
      <c r="A3436" s="0" t="s">
        <v>1037</v>
      </c>
      <c r="B3436" s="0" t="s">
        <v>98</v>
      </c>
      <c r="D3436" s="6" t="n">
        <f aca="false">Q!L8</f>
        <v>35.391</v>
      </c>
      <c r="E3436" s="6" t="n">
        <f aca="false">Q!M8</f>
        <v>37.285</v>
      </c>
      <c r="F3436" s="6" t="n">
        <f aca="false">Q!$I$8+(Q!M8-Q!$E$8)*(1+Sens!F3437)</f>
        <v>38.3851437782675</v>
      </c>
      <c r="G3436" s="6" t="n">
        <f aca="false">Sens!F3436*(1+Sens!G3437)</f>
        <v>40.0105353288615</v>
      </c>
      <c r="H3436" s="6" t="n">
        <f aca="false">Sens!G3436*(1+Sens!H3437)</f>
        <v>41.4812512033683</v>
      </c>
      <c r="I3436" s="6" t="n">
        <f aca="false">Sens!H3436*(1+Sens!I3437)</f>
        <v>42.7743107216329</v>
      </c>
      <c r="J3436" s="6" t="n">
        <f aca="false">Sens!I3436*(1+Sens!J3437)</f>
        <v>43.8687373064601</v>
      </c>
      <c r="K3436" s="6" t="n">
        <f aca="false">Sens!J3436*(1+Sens!K3437)</f>
        <v>44.7461120525893</v>
      </c>
      <c r="L3436" s="12" t="s">
        <v>1038</v>
      </c>
    </row>
    <row r="3437" customFormat="false" ht="15" hidden="false" customHeight="false" outlineLevel="0" collapsed="false">
      <c r="A3437" s="1" t="s">
        <v>1028</v>
      </c>
      <c r="B3437" s="0" t="s">
        <v>168</v>
      </c>
      <c r="E3437" s="7" t="n">
        <f aca="false">Sens!E3436/Sens!D3436-1</f>
        <v>0.0535164307309768</v>
      </c>
      <c r="F3437" s="7" t="n">
        <f aca="false">Sens!$E$3437+(glt_lic-Sens!$E$3437)*MIN(1,(Sens!F3386-base_fy)/n_conv)</f>
        <v>0.0479303589424807</v>
      </c>
      <c r="G3437" s="7" t="n">
        <f aca="false">Sens!$E$3437+(glt_lic-Sens!$E$3437)*MIN(1,(Sens!G3386-base_fy)/n_conv)</f>
        <v>0.0423442871539845</v>
      </c>
      <c r="H3437" s="7" t="n">
        <f aca="false">Sens!$E$3437+(glt_lic-Sens!$E$3437)*MIN(1,(Sens!H3386-base_fy)/n_conv)</f>
        <v>0.0367582153654884</v>
      </c>
      <c r="I3437" s="7" t="n">
        <f aca="false">Sens!$E$3437+(glt_lic-Sens!$E$3437)*MIN(1,(Sens!I3386-base_fy)/n_conv)</f>
        <v>0.0311721435769923</v>
      </c>
      <c r="J3437" s="7" t="n">
        <f aca="false">Sens!$E$3437+(glt_lic-Sens!$E$3437)*MIN(1,(Sens!J3386-base_fy)/n_conv)</f>
        <v>0.0255860717884961</v>
      </c>
      <c r="K3437" s="7" t="n">
        <f aca="false">Sens!$E$3437+(glt_lic-Sens!$E$3437)*MIN(1,(Sens!K3386-base_fy)/n_conv)</f>
        <v>0.02</v>
      </c>
    </row>
    <row r="3438" customFormat="false" ht="17.15" hidden="false" customHeight="false" outlineLevel="0" collapsed="false">
      <c r="A3438" s="0" t="s">
        <v>1039</v>
      </c>
      <c r="B3438" s="0" t="s">
        <v>98</v>
      </c>
      <c r="D3438" s="6" t="n">
        <f aca="false">Q!L9</f>
        <v>18.417</v>
      </c>
      <c r="E3438" s="6" t="n">
        <f aca="false">Q!M9</f>
        <v>20.345</v>
      </c>
      <c r="F3438" s="6" t="n">
        <f aca="false">Q!$I$9+(Q!M9-Q!$E$9)*(1+Sens!F3439)</f>
        <v>22.3161797133988</v>
      </c>
      <c r="G3438" s="6" t="n">
        <f aca="false">Sens!F3438*(1+Sens!G3439)</f>
        <v>24.3943499673233</v>
      </c>
      <c r="H3438" s="6" t="n">
        <f aca="false">Sens!G3438*(1+Sens!H3439)</f>
        <v>26.5250243109019</v>
      </c>
      <c r="I3438" s="6" t="n">
        <f aca="false">Sens!H3438*(1+Sens!I3439)</f>
        <v>28.6884573538181</v>
      </c>
      <c r="J3438" s="6" t="n">
        <f aca="false">Sens!I3438*(1+Sens!J3439)</f>
        <v>30.8624968052127</v>
      </c>
      <c r="K3438" s="6" t="n">
        <f aca="false">Sens!J3438*(1+Sens!K3439)</f>
        <v>33.0228715815776</v>
      </c>
      <c r="L3438" s="12" t="s">
        <v>1038</v>
      </c>
    </row>
    <row r="3439" customFormat="false" ht="15" hidden="false" customHeight="false" outlineLevel="0" collapsed="false">
      <c r="A3439" s="1" t="s">
        <v>1028</v>
      </c>
      <c r="B3439" s="0" t="s">
        <v>168</v>
      </c>
      <c r="E3439" s="7" t="n">
        <f aca="false">Sens!E3438/Sens!D3438-1</f>
        <v>0.104685888038225</v>
      </c>
      <c r="F3439" s="7" t="n">
        <f aca="false">Sens!$E$3439+(glt_ind-Sens!$E$3439)*MIN(1,(Sens!F3386-base_fy)/n_conv)</f>
        <v>0.0989049066985211</v>
      </c>
      <c r="G3439" s="7" t="n">
        <f aca="false">Sens!$E$3439+(glt_ind-Sens!$E$3439)*MIN(1,(Sens!G3386-base_fy)/n_conv)</f>
        <v>0.0931239253588169</v>
      </c>
      <c r="H3439" s="7" t="n">
        <f aca="false">Sens!$E$3439+(glt_ind-Sens!$E$3439)*MIN(1,(Sens!H3386-base_fy)/n_conv)</f>
        <v>0.0873429440191127</v>
      </c>
      <c r="I3439" s="7" t="n">
        <f aca="false">Sens!$E$3439+(glt_ind-Sens!$E$3439)*MIN(1,(Sens!I3386-base_fy)/n_conv)</f>
        <v>0.0815619626794085</v>
      </c>
      <c r="J3439" s="7" t="n">
        <f aca="false">Sens!$E$3439+(glt_ind-Sens!$E$3439)*MIN(1,(Sens!J3386-base_fy)/n_conv)</f>
        <v>0.0757809813397042</v>
      </c>
      <c r="K3439" s="7" t="n">
        <f aca="false">Sens!$E$3439+(glt_ind-Sens!$E$3439)*MIN(1,(Sens!K3386-base_fy)/n_conv)</f>
        <v>0.07</v>
      </c>
    </row>
    <row r="3440" customFormat="false" ht="17.15" hidden="false" customHeight="false" outlineLevel="0" collapsed="false">
      <c r="A3440" s="0" t="s">
        <v>1040</v>
      </c>
      <c r="B3440" s="0" t="s">
        <v>98</v>
      </c>
      <c r="D3440" s="6" t="n">
        <f aca="false">Q!L10</f>
        <v>7.76</v>
      </c>
      <c r="E3440" s="6" t="n">
        <f aca="false">Q!M10</f>
        <v>8.26</v>
      </c>
      <c r="F3440" s="6" t="n">
        <f aca="false">Q!$I$10+(Q!M10-Q!$E$10)*(1+Sens!F3441)</f>
        <v>8.75372082474227</v>
      </c>
      <c r="G3440" s="6" t="n">
        <f aca="false">Sens!F3440*(1+Sens!G3441)</f>
        <v>9.33399324642364</v>
      </c>
      <c r="H3440" s="6" t="n">
        <f aca="false">Sens!G3440*(1+Sens!H3441)</f>
        <v>9.96139155535851</v>
      </c>
      <c r="I3440" s="6" t="n">
        <f aca="false">Sens!H3440*(1+Sens!I3441)</f>
        <v>10.6402039077391</v>
      </c>
      <c r="J3440" s="6" t="n">
        <f aca="false">Sens!I3440*(1+Sens!J3441)</f>
        <v>11.3751458271397</v>
      </c>
      <c r="K3440" s="6" t="n">
        <f aca="false">Sens!J3440*(1+Sens!K3441)</f>
        <v>12.1714060350394</v>
      </c>
      <c r="L3440" s="12" t="s">
        <v>1038</v>
      </c>
    </row>
    <row r="3441" customFormat="false" ht="15" hidden="false" customHeight="false" outlineLevel="0" collapsed="false">
      <c r="A3441" s="1" t="s">
        <v>1028</v>
      </c>
      <c r="B3441" s="0" t="s">
        <v>168</v>
      </c>
      <c r="E3441" s="7" t="n">
        <f aca="false">Sens!E3440/Sens!D3440-1</f>
        <v>0.0644329896907216</v>
      </c>
      <c r="F3441" s="7" t="n">
        <f aca="false">Sens!$E$3441+(glt_fro-Sens!$E$3441)*MIN(1,(Sens!F3386-base_fy)/n_conv)</f>
        <v>0.065360824742268</v>
      </c>
      <c r="G3441" s="7" t="n">
        <f aca="false">Sens!$E$3441+(glt_fro-Sens!$E$3441)*MIN(1,(Sens!G3386-base_fy)/n_conv)</f>
        <v>0.0662886597938144</v>
      </c>
      <c r="H3441" s="7" t="n">
        <f aca="false">Sens!$E$3441+(glt_fro-Sens!$E$3441)*MIN(1,(Sens!H3386-base_fy)/n_conv)</f>
        <v>0.0672164948453608</v>
      </c>
      <c r="I3441" s="7" t="n">
        <f aca="false">Sens!$E$3441+(glt_fro-Sens!$E$3441)*MIN(1,(Sens!I3386-base_fy)/n_conv)</f>
        <v>0.0681443298969072</v>
      </c>
      <c r="J3441" s="7" t="n">
        <f aca="false">Sens!$E$3441+(glt_fro-Sens!$E$3441)*MIN(1,(Sens!J3386-base_fy)/n_conv)</f>
        <v>0.0690721649484536</v>
      </c>
      <c r="K3441" s="7" t="n">
        <f aca="false">Sens!$E$3441+(glt_fro-Sens!$E$3441)*MIN(1,(Sens!K3386-base_fy)/n_conv)</f>
        <v>0.07</v>
      </c>
    </row>
    <row r="3442" customFormat="false" ht="15" hidden="false" customHeight="false" outlineLevel="0" collapsed="false">
      <c r="A3442" s="0" t="s">
        <v>856</v>
      </c>
      <c r="B3442" s="0" t="s">
        <v>98</v>
      </c>
      <c r="D3442" s="6" t="n">
        <f aca="false">Sens!D3430+Sens!D3435+Sens!D3436+Sens!D3438+Sens!D3440</f>
        <v>218.783</v>
      </c>
      <c r="E3442" s="6" t="n">
        <f aca="false">Sens!E3430+Sens!E3435+Sens!E3436+Sens!E3438+Sens!E3440</f>
        <v>268.127</v>
      </c>
      <c r="F3442" s="6" t="n">
        <f aca="false">Sens!F3430+Sens!F3435+Sens!F3436+Sens!F3438+Sens!F3440</f>
        <v>323.928152474783</v>
      </c>
      <c r="G3442" s="6" t="n">
        <f aca="false">Sens!G3430+Sens!G3435+Sens!G3436+Sens!G3438+Sens!G3440</f>
        <v>371.483283318173</v>
      </c>
      <c r="H3442" s="6" t="n">
        <f aca="false">Sens!H3430+Sens!H3435+Sens!H3436+Sens!H3438+Sens!H3440</f>
        <v>414.840491008376</v>
      </c>
      <c r="I3442" s="6" t="n">
        <f aca="false">Sens!I3430+Sens!I3435+Sens!I3436+Sens!I3438+Sens!I3440</f>
        <v>454.068669312702</v>
      </c>
      <c r="J3442" s="6" t="n">
        <f aca="false">Sens!J3430+Sens!J3435+Sens!J3436+Sens!J3438+Sens!J3440</f>
        <v>490.12907888762</v>
      </c>
      <c r="K3442" s="6" t="n">
        <f aca="false">Sens!K3430+Sens!K3435+Sens!K3436+Sens!K3438+Sens!K3440</f>
        <v>524.212115512281</v>
      </c>
    </row>
    <row r="3443" customFormat="false" ht="17.15" hidden="false" customHeight="false" outlineLevel="0" collapsed="false">
      <c r="A3443" s="0" t="s">
        <v>1041</v>
      </c>
      <c r="B3443" s="0" t="s">
        <v>98</v>
      </c>
      <c r="D3443" s="6" t="n">
        <f aca="false">Q!L13</f>
        <v>22.171</v>
      </c>
      <c r="E3443" s="6" t="n">
        <f aca="false">Q!M13</f>
        <v>24.835</v>
      </c>
      <c r="F3443" s="6" t="n">
        <f aca="false">Q!$I$13+(Q!M13-Q!$E$13)*(1+Sens!F3444)</f>
        <v>27.5591895660247</v>
      </c>
      <c r="G3443" s="6" t="n">
        <f aca="false">Sens!F3443*(1+Sens!G3444)</f>
        <v>30.4098563144583</v>
      </c>
      <c r="H3443" s="6" t="n">
        <f aca="false">Sens!G3443*(1+Sens!H3444)</f>
        <v>33.3011792571777</v>
      </c>
      <c r="I3443" s="6" t="n">
        <f aca="false">Sens!H3443*(1+Sens!I3444)</f>
        <v>36.189023797112</v>
      </c>
      <c r="J3443" s="6" t="n">
        <f aca="false">Sens!I3443*(1+Sens!J3444)</f>
        <v>39.0247773769199</v>
      </c>
      <c r="K3443" s="6" t="n">
        <f aca="false">Sens!J3443*(1+Sens!K3444)</f>
        <v>41.7565117933043</v>
      </c>
      <c r="L3443" s="12" t="s">
        <v>1038</v>
      </c>
    </row>
    <row r="3444" customFormat="false" ht="15" hidden="false" customHeight="false" outlineLevel="0" collapsed="false">
      <c r="A3444" s="1" t="s">
        <v>1028</v>
      </c>
      <c r="B3444" s="0" t="s">
        <v>168</v>
      </c>
      <c r="E3444" s="7" t="n">
        <f aca="false">Sens!E3443/Sens!D3443-1</f>
        <v>0.120156961796942</v>
      </c>
      <c r="F3444" s="7" t="n">
        <f aca="false">Sens!$E$3444+(glt_srch-Sens!$E$3444)*MIN(1,(Sens!F3386-base_fy)/n_conv)</f>
        <v>0.111797468164118</v>
      </c>
      <c r="G3444" s="7" t="n">
        <f aca="false">Sens!$E$3444+(glt_srch-Sens!$E$3444)*MIN(1,(Sens!G3386-base_fy)/n_conv)</f>
        <v>0.103437974531295</v>
      </c>
      <c r="H3444" s="7" t="n">
        <f aca="false">Sens!$E$3444+(glt_srch-Sens!$E$3444)*MIN(1,(Sens!H3386-base_fy)/n_conv)</f>
        <v>0.095078480898471</v>
      </c>
      <c r="I3444" s="7" t="n">
        <f aca="false">Sens!$E$3444+(glt_srch-Sens!$E$3444)*MIN(1,(Sens!I3386-base_fy)/n_conv)</f>
        <v>0.0867189872656474</v>
      </c>
      <c r="J3444" s="7" t="n">
        <f aca="false">Sens!$E$3444+(glt_srch-Sens!$E$3444)*MIN(1,(Sens!J3386-base_fy)/n_conv)</f>
        <v>0.0783594936328237</v>
      </c>
      <c r="K3444" s="7" t="n">
        <f aca="false">Sens!$E$3444+(glt_srch-Sens!$E$3444)*MIN(1,(Sens!K3386-base_fy)/n_conv)</f>
        <v>0.07</v>
      </c>
    </row>
    <row r="3445" customFormat="false" ht="17.15" hidden="false" customHeight="false" outlineLevel="0" collapsed="false">
      <c r="A3445" s="0" t="s">
        <v>1042</v>
      </c>
      <c r="B3445" s="0" t="s">
        <v>98</v>
      </c>
      <c r="D3445" s="6" t="n">
        <f aca="false">Q!L14</f>
        <v>23.455</v>
      </c>
      <c r="E3445" s="6" t="n">
        <f aca="false">Q!M14</f>
        <v>21.79</v>
      </c>
      <c r="F3445" s="6" t="n">
        <f aca="false">Q!$I$14+(Q!M14-Q!$E$14)*(1+Sens!F3446)</f>
        <v>20.7520981041711</v>
      </c>
      <c r="G3445" s="6" t="n">
        <f aca="false">Sens!F3445*(1+Sens!G3446)</f>
        <v>19.9083593495882</v>
      </c>
      <c r="H3445" s="6" t="n">
        <f aca="false">Sens!G3445*(1+Sens!H3446)</f>
        <v>19.4008256265831</v>
      </c>
      <c r="I3445" s="6" t="n">
        <f aca="false">Sens!H3445*(1+Sens!I3446)</f>
        <v>19.200434522122</v>
      </c>
      <c r="J3445" s="6" t="n">
        <f aca="false">Sens!I3445*(1+Sens!J3446)</f>
        <v>19.2932782348507</v>
      </c>
      <c r="K3445" s="6" t="n">
        <f aca="false">Sens!J3445*(1+Sens!K3446)</f>
        <v>19.6791437995477</v>
      </c>
      <c r="L3445" s="12" t="s">
        <v>1038</v>
      </c>
    </row>
    <row r="3446" customFormat="false" ht="15" hidden="false" customHeight="false" outlineLevel="0" collapsed="false">
      <c r="A3446" s="1" t="s">
        <v>1028</v>
      </c>
      <c r="B3446" s="0" t="s">
        <v>168</v>
      </c>
      <c r="E3446" s="7" t="n">
        <f aca="false">Sens!E3445/Sens!D3445-1</f>
        <v>-0.0709869963760392</v>
      </c>
      <c r="F3446" s="7" t="n">
        <f aca="false">Sens!$E$3446+(glt_xbox-Sens!$E$3446)*MIN(1,(Sens!F3386-base_fy)/n_conv)</f>
        <v>-0.0558224969800327</v>
      </c>
      <c r="G3446" s="7" t="n">
        <f aca="false">Sens!$E$3446+(glt_xbox-Sens!$E$3446)*MIN(1,(Sens!G3386-base_fy)/n_conv)</f>
        <v>-0.0406579975840262</v>
      </c>
      <c r="H3446" s="7" t="n">
        <f aca="false">Sens!$E$3446+(glt_xbox-Sens!$E$3446)*MIN(1,(Sens!H3386-base_fy)/n_conv)</f>
        <v>-0.0254934981880196</v>
      </c>
      <c r="I3446" s="7" t="n">
        <f aca="false">Sens!$E$3446+(glt_xbox-Sens!$E$3446)*MIN(1,(Sens!I3386-base_fy)/n_conv)</f>
        <v>-0.0103289987920131</v>
      </c>
      <c r="J3446" s="7" t="n">
        <f aca="false">Sens!$E$3446+(glt_xbox-Sens!$E$3446)*MIN(1,(Sens!J3386-base_fy)/n_conv)</f>
        <v>0.00483550060399347</v>
      </c>
      <c r="K3446" s="7" t="n">
        <f aca="false">Sens!$E$3446+(glt_xbox-Sens!$E$3446)*MIN(1,(Sens!K3386-base_fy)/n_conv)</f>
        <v>0.02</v>
      </c>
    </row>
    <row r="3447" customFormat="false" ht="17.15" hidden="false" customHeight="false" outlineLevel="0" collapsed="false">
      <c r="A3447" s="0" t="s">
        <v>1043</v>
      </c>
      <c r="B3447" s="0" t="s">
        <v>98</v>
      </c>
      <c r="D3447" s="6" t="n">
        <f aca="false">Q!L15</f>
        <v>17.315</v>
      </c>
      <c r="E3447" s="6" t="n">
        <f aca="false">Q!M15</f>
        <v>17.087</v>
      </c>
      <c r="F3447" s="6" t="n">
        <f aca="false">Q!$I$15+(Q!M15-Q!$E$15)*(1+Sens!F3448)</f>
        <v>15.9912273250553</v>
      </c>
      <c r="G3447" s="6" t="n">
        <f aca="false">Sens!F3447*(1+Sens!G3448)</f>
        <v>15.9574562664827</v>
      </c>
      <c r="H3447" s="6" t="n">
        <f aca="false">Sens!G3447*(1+Sens!H3448)</f>
        <v>16.0119687434196</v>
      </c>
      <c r="I3447" s="6" t="n">
        <f aca="false">Sens!H3447*(1+Sens!I3448)</f>
        <v>16.1551810001948</v>
      </c>
      <c r="J3447" s="6" t="n">
        <f aca="false">Sens!I3447*(1+Sens!J3448)</f>
        <v>16.3889793892005</v>
      </c>
      <c r="K3447" s="6" t="n">
        <f aca="false">Sens!J3447*(1+Sens!K3448)</f>
        <v>16.7167589769845</v>
      </c>
      <c r="L3447" s="12" t="s">
        <v>1038</v>
      </c>
    </row>
    <row r="3448" customFormat="false" ht="15" hidden="false" customHeight="false" outlineLevel="0" collapsed="false">
      <c r="A3448" s="1" t="s">
        <v>1028</v>
      </c>
      <c r="B3448" s="0" t="s">
        <v>168</v>
      </c>
      <c r="E3448" s="7" t="n">
        <f aca="false">Sens!E3447/Sens!D3447-1</f>
        <v>-0.0131677736066995</v>
      </c>
      <c r="F3448" s="7" t="n">
        <f aca="false">Sens!$E$3448+(glt_win-Sens!$E$3448)*MIN(1,(Sens!F3386-base_fy)/n_conv)</f>
        <v>-0.00763981133891627</v>
      </c>
      <c r="G3448" s="7" t="n">
        <f aca="false">Sens!$E$3448+(glt_win-Sens!$E$3448)*MIN(1,(Sens!G3386-base_fy)/n_conv)</f>
        <v>-0.00211184907113301</v>
      </c>
      <c r="H3448" s="7" t="n">
        <f aca="false">Sens!$E$3448+(glt_win-Sens!$E$3448)*MIN(1,(Sens!H3386-base_fy)/n_conv)</f>
        <v>0.00341611319665024</v>
      </c>
      <c r="I3448" s="7" t="n">
        <f aca="false">Sens!$E$3448+(glt_win-Sens!$E$3448)*MIN(1,(Sens!I3386-base_fy)/n_conv)</f>
        <v>0.00894407546443349</v>
      </c>
      <c r="J3448" s="7" t="n">
        <f aca="false">Sens!$E$3448+(glt_win-Sens!$E$3448)*MIN(1,(Sens!J3386-base_fy)/n_conv)</f>
        <v>0.0144720377322168</v>
      </c>
      <c r="K3448" s="7" t="n">
        <f aca="false">Sens!$E$3448+(glt_win-Sens!$E$3448)*MIN(1,(Sens!K3386-base_fy)/n_conv)</f>
        <v>0.02</v>
      </c>
    </row>
    <row r="3449" customFormat="false" ht="15" hidden="false" customHeight="false" outlineLevel="0" collapsed="false">
      <c r="A3449" s="0" t="s">
        <v>870</v>
      </c>
      <c r="B3449" s="0" t="s">
        <v>98</v>
      </c>
      <c r="D3449" s="6" t="n">
        <f aca="false">Sens!D3443+Sens!D3445+Sens!D3447</f>
        <v>62.941</v>
      </c>
      <c r="E3449" s="6" t="n">
        <f aca="false">Sens!E3443+Sens!E3445+Sens!E3447</f>
        <v>63.712</v>
      </c>
      <c r="F3449" s="6" t="n">
        <f aca="false">Sens!F3443+Sens!F3445+Sens!F3447</f>
        <v>64.3025149952511</v>
      </c>
      <c r="G3449" s="6" t="n">
        <f aca="false">Sens!G3443+Sens!G3445+Sens!G3447</f>
        <v>66.2756719305292</v>
      </c>
      <c r="H3449" s="6" t="n">
        <f aca="false">Sens!H3443+Sens!H3445+Sens!H3447</f>
        <v>68.7139736271804</v>
      </c>
      <c r="I3449" s="6" t="n">
        <f aca="false">Sens!I3443+Sens!I3445+Sens!I3447</f>
        <v>71.5446393194289</v>
      </c>
      <c r="J3449" s="6" t="n">
        <f aca="false">Sens!J3443+Sens!J3445+Sens!J3447</f>
        <v>74.707035000971</v>
      </c>
      <c r="K3449" s="6" t="n">
        <f aca="false">Sens!K3443+Sens!K3445+Sens!K3447</f>
        <v>78.1524145698365</v>
      </c>
    </row>
    <row r="3450" customFormat="false" ht="15" hidden="false" customHeight="false" outlineLevel="0" collapsed="false">
      <c r="A3450" s="1" t="s">
        <v>1044</v>
      </c>
      <c r="B3450" s="0" t="s">
        <v>98</v>
      </c>
      <c r="D3450" s="6" t="n">
        <f aca="false">Sens!D3442+Sens!D3449</f>
        <v>281.724</v>
      </c>
      <c r="E3450" s="6" t="n">
        <f aca="false">Sens!E3442+Sens!E3449</f>
        <v>331.839</v>
      </c>
      <c r="F3450" s="6" t="n">
        <f aca="false">Sens!F3442+Sens!F3449</f>
        <v>388.230667470034</v>
      </c>
      <c r="G3450" s="6" t="n">
        <f aca="false">Sens!G3442+Sens!G3449</f>
        <v>437.758955248702</v>
      </c>
      <c r="H3450" s="6" t="n">
        <f aca="false">Sens!H3442+Sens!H3449</f>
        <v>483.554464635556</v>
      </c>
      <c r="I3450" s="6" t="n">
        <f aca="false">Sens!I3442+Sens!I3449</f>
        <v>525.613308632131</v>
      </c>
      <c r="J3450" s="6" t="n">
        <f aca="false">Sens!J3442+Sens!J3449</f>
        <v>564.836113888591</v>
      </c>
      <c r="K3450" s="6" t="n">
        <f aca="false">Sens!K3442+Sens!K3449</f>
        <v>602.364530082118</v>
      </c>
    </row>
    <row r="3451" customFormat="false" ht="15" hidden="false" customHeight="false" outlineLevel="0" collapsed="false">
      <c r="A3451" s="26" t="s">
        <v>1045</v>
      </c>
      <c r="B3451" s="31" t="s">
        <v>98</v>
      </c>
      <c r="C3451" s="31"/>
      <c r="D3451" s="27" t="n">
        <f aca="false">(Sens!D3430+Sens!D3435+Sens!D3436+Sens!D3438+Sens!D3440-Sens!D3442)+(Sens!D3443+Sens!D3445+Sens!D3447-Sens!D3449)+(Sens!D3442-Q!L5)+(Sens!D3449-Q!L12)+(Sens!D3430-Q!L6)+(Sens!D3435-Q!L7)</f>
        <v>0</v>
      </c>
      <c r="E3451" s="27" t="n">
        <f aca="false">(Sens!E3430+Sens!E3435+Sens!E3436+Sens!E3438+Sens!E3440-Sens!E3442)+(Sens!E3443+Sens!E3445+Sens!E3447-Sens!E3449)+(Sens!E3442-Q!M5)+(Sens!E3449-Q!M12)+(Sens!E3430-Q!M6)+(Sens!E3435-Q!M7)</f>
        <v>0</v>
      </c>
      <c r="F3451" s="27" t="n">
        <f aca="false">(Sens!F3430+Sens!F3435+Sens!F3436+Sens!F3438+Sens!F3440-Sens!F3442)+(Sens!F3443+Sens!F3445+Sens!F3447-Sens!F3449)</f>
        <v>0</v>
      </c>
      <c r="G3451" s="27" t="n">
        <f aca="false">(Sens!G3430+Sens!G3435+Sens!G3436+Sens!G3438+Sens!G3440-Sens!G3442)+(Sens!G3443+Sens!G3445+Sens!G3447-Sens!G3449)</f>
        <v>0</v>
      </c>
      <c r="H3451" s="27" t="n">
        <f aca="false">(Sens!H3430+Sens!H3435+Sens!H3436+Sens!H3438+Sens!H3440-Sens!H3442)+(Sens!H3443+Sens!H3445+Sens!H3447-Sens!H3449)</f>
        <v>0</v>
      </c>
      <c r="I3451" s="27" t="n">
        <f aca="false">(Sens!I3430+Sens!I3435+Sens!I3436+Sens!I3438+Sens!I3440-Sens!I3442)+(Sens!I3443+Sens!I3445+Sens!I3447-Sens!I3449)</f>
        <v>0</v>
      </c>
      <c r="J3451" s="27" t="n">
        <f aca="false">(Sens!J3430+Sens!J3435+Sens!J3436+Sens!J3438+Sens!J3440-Sens!J3442)+(Sens!J3443+Sens!J3445+Sens!J3447-Sens!J3449)</f>
        <v>0</v>
      </c>
      <c r="K3451" s="27" t="n">
        <f aca="false">(Sens!K3430+Sens!K3435+Sens!K3436+Sens!K3438+Sens!K3440-Sens!K3442)+(Sens!K3443+Sens!K3445+Sens!K3447-Sens!K3449)</f>
        <v>0</v>
      </c>
    </row>
    <row r="3452" customFormat="false" ht="17.15" hidden="false" customHeight="false" outlineLevel="0" collapsed="false">
      <c r="A3452" s="3" t="s">
        <v>1697</v>
      </c>
    </row>
    <row r="3453" customFormat="false" ht="15" hidden="false" customHeight="false" outlineLevel="0" collapsed="false">
      <c r="A3453" s="4" t="s">
        <v>43</v>
      </c>
      <c r="B3453" s="4" t="s">
        <v>65</v>
      </c>
      <c r="C3453" s="23" t="s">
        <v>942</v>
      </c>
      <c r="D3453" s="23" t="s">
        <v>943</v>
      </c>
      <c r="E3453" s="23" t="s">
        <v>944</v>
      </c>
      <c r="F3453" s="23" t="s">
        <v>945</v>
      </c>
      <c r="G3453" s="23" t="s">
        <v>946</v>
      </c>
      <c r="H3453" s="23" t="s">
        <v>947</v>
      </c>
      <c r="I3453" s="23" t="s">
        <v>948</v>
      </c>
      <c r="J3453" s="23" t="s">
        <v>949</v>
      </c>
      <c r="K3453" s="23" t="s">
        <v>950</v>
      </c>
      <c r="L3453" s="4" t="s">
        <v>47</v>
      </c>
    </row>
    <row r="3454" customFormat="false" ht="15" hidden="false" customHeight="false" outlineLevel="0" collapsed="false">
      <c r="A3454" s="0" t="s">
        <v>1029</v>
      </c>
      <c r="B3454" s="0" t="s">
        <v>98</v>
      </c>
      <c r="D3454" s="6" t="n">
        <f aca="false">Sens!D3430</f>
        <v>72.61</v>
      </c>
      <c r="E3454" s="6" t="n">
        <f aca="false">Sens!E3430</f>
        <v>101.938</v>
      </c>
      <c r="F3454" s="6" t="n">
        <f aca="false">Sens!F3430</f>
        <v>135.889104460628</v>
      </c>
      <c r="G3454" s="6" t="n">
        <f aca="false">Sens!G3430</f>
        <v>161.043678229876</v>
      </c>
      <c r="H3454" s="6" t="n">
        <f aca="false">Sens!H3430</f>
        <v>181.974199155081</v>
      </c>
      <c r="I3454" s="6" t="n">
        <f aca="false">Sens!I3430</f>
        <v>200.545187298855</v>
      </c>
      <c r="J3454" s="6" t="n">
        <f aca="false">Sens!J3430</f>
        <v>218.036976330236</v>
      </c>
      <c r="K3454" s="6" t="n">
        <f aca="false">Sens!K3430</f>
        <v>234.472002641203</v>
      </c>
    </row>
    <row r="3455" customFormat="false" ht="17.15" hidden="false" customHeight="false" outlineLevel="0" collapsed="false">
      <c r="A3455" s="0" t="s">
        <v>1025</v>
      </c>
      <c r="B3455" s="0" t="s">
        <v>98</v>
      </c>
      <c r="D3455" s="6" t="n">
        <f aca="false">Sens!D3427</f>
        <v>12.9359794422418</v>
      </c>
      <c r="E3455" s="6" t="n">
        <f aca="false">Sens!E3427</f>
        <v>27.8095064661409</v>
      </c>
      <c r="F3455" s="6" t="n">
        <f aca="false">Sens!F3427</f>
        <v>41.5474952749207</v>
      </c>
      <c r="G3455" s="6" t="n">
        <f aca="false">Sens!G3427</f>
        <v>48.9517655264224</v>
      </c>
      <c r="H3455" s="6" t="n">
        <f aca="false">Sens!H3427</f>
        <v>51.8229407672915</v>
      </c>
      <c r="I3455" s="6" t="n">
        <f aca="false">Sens!I3427</f>
        <v>52.9439474006443</v>
      </c>
      <c r="J3455" s="6" t="n">
        <f aca="false">Sens!J3427</f>
        <v>54.636896193871</v>
      </c>
      <c r="K3455" s="6" t="n">
        <f aca="false">Sens!K3427</f>
        <v>57.9999160939293</v>
      </c>
    </row>
    <row r="3456" customFormat="false" ht="17.15" hidden="false" customHeight="false" outlineLevel="0" collapsed="false">
      <c r="A3456" s="0" t="s">
        <v>1056</v>
      </c>
      <c r="B3456" s="0" t="s">
        <v>98</v>
      </c>
      <c r="D3456" s="6" t="n">
        <f aca="false">Sens!D3428</f>
        <v>59.6740205577583</v>
      </c>
      <c r="E3456" s="6" t="n">
        <f aca="false">Sens!E3428</f>
        <v>74.1284935338591</v>
      </c>
      <c r="F3456" s="6" t="n">
        <f aca="false">Sens!F3428</f>
        <v>94.3416091857071</v>
      </c>
      <c r="G3456" s="6" t="n">
        <f aca="false">Sens!G3428</f>
        <v>112.091912703454</v>
      </c>
      <c r="H3456" s="6" t="n">
        <f aca="false">Sens!H3428</f>
        <v>130.15125838779</v>
      </c>
      <c r="I3456" s="6" t="n">
        <f aca="false">Sens!I3428</f>
        <v>147.60123989821</v>
      </c>
      <c r="J3456" s="6" t="n">
        <f aca="false">Sens!J3428</f>
        <v>163.400080136365</v>
      </c>
      <c r="K3456" s="6" t="n">
        <f aca="false">Sens!K3428</f>
        <v>176.472086547274</v>
      </c>
    </row>
    <row r="3457" customFormat="false" ht="15" hidden="false" customHeight="false" outlineLevel="0" collapsed="false">
      <c r="A3457" s="0" t="s">
        <v>1036</v>
      </c>
      <c r="B3457" s="0" t="s">
        <v>98</v>
      </c>
      <c r="D3457" s="6" t="n">
        <f aca="false">Sens!D3435</f>
        <v>84.605</v>
      </c>
      <c r="E3457" s="6" t="n">
        <f aca="false">Sens!E3435</f>
        <v>100.299</v>
      </c>
      <c r="F3457" s="6" t="n">
        <f aca="false">Sens!F3435</f>
        <v>118.584003697747</v>
      </c>
      <c r="G3457" s="6" t="n">
        <f aca="false">Sens!G3435</f>
        <v>136.700726545688</v>
      </c>
      <c r="H3457" s="6" t="n">
        <f aca="false">Sens!H3435</f>
        <v>154.898624783666</v>
      </c>
      <c r="I3457" s="6" t="n">
        <f aca="false">Sens!I3435</f>
        <v>171.420510030657</v>
      </c>
      <c r="J3457" s="6" t="n">
        <f aca="false">Sens!J3435</f>
        <v>185.985722618572</v>
      </c>
      <c r="K3457" s="6" t="n">
        <f aca="false">Sens!K3435</f>
        <v>199.799723201872</v>
      </c>
    </row>
    <row r="3458" customFormat="false" ht="17.15" hidden="false" customHeight="false" outlineLevel="0" collapsed="false">
      <c r="A3458" s="0" t="s">
        <v>1057</v>
      </c>
      <c r="B3458" s="0" t="s">
        <v>98</v>
      </c>
      <c r="D3458" s="6" t="n">
        <f aca="false">Sens!D3433</f>
        <v>83.705</v>
      </c>
      <c r="E3458" s="6" t="n">
        <f aca="false">Sens!E3433</f>
        <v>95.049</v>
      </c>
      <c r="F3458" s="6" t="n">
        <f aca="false">Sens!F3433</f>
        <v>106.584003697747</v>
      </c>
      <c r="G3458" s="6" t="n">
        <f aca="false">Sens!G3433</f>
        <v>118.700726545688</v>
      </c>
      <c r="H3458" s="6" t="n">
        <f aca="false">Sens!H3433</f>
        <v>130.898624783666</v>
      </c>
      <c r="I3458" s="6" t="n">
        <f aca="false">Sens!I3433</f>
        <v>142.920510030657</v>
      </c>
      <c r="J3458" s="6" t="n">
        <f aca="false">Sens!J3433</f>
        <v>154.485722618572</v>
      </c>
      <c r="K3458" s="6" t="n">
        <f aca="false">Sens!K3433</f>
        <v>165.299723201872</v>
      </c>
    </row>
    <row r="3459" customFormat="false" ht="17.15" hidden="false" customHeight="false" outlineLevel="0" collapsed="false">
      <c r="A3459" s="0" t="s">
        <v>1058</v>
      </c>
      <c r="B3459" s="0" t="s">
        <v>98</v>
      </c>
      <c r="D3459" s="6" t="n">
        <f aca="false">Sens!D3432</f>
        <v>0.9</v>
      </c>
      <c r="E3459" s="6" t="n">
        <f aca="false">Sens!E3432</f>
        <v>5.25</v>
      </c>
      <c r="F3459" s="6" t="n">
        <f aca="false">Sens!F3432</f>
        <v>12</v>
      </c>
      <c r="G3459" s="6" t="n">
        <f aca="false">Sens!G3432</f>
        <v>18</v>
      </c>
      <c r="H3459" s="6" t="n">
        <f aca="false">Sens!H3432</f>
        <v>24</v>
      </c>
      <c r="I3459" s="6" t="n">
        <f aca="false">Sens!I3432</f>
        <v>28.5</v>
      </c>
      <c r="J3459" s="6" t="n">
        <f aca="false">Sens!J3432</f>
        <v>31.5</v>
      </c>
      <c r="K3459" s="6" t="n">
        <f aca="false">Sens!K3432</f>
        <v>34.5</v>
      </c>
    </row>
    <row r="3460" customFormat="false" ht="15" hidden="false" customHeight="false" outlineLevel="0" collapsed="false">
      <c r="A3460" s="0" t="s">
        <v>1037</v>
      </c>
      <c r="B3460" s="0" t="s">
        <v>98</v>
      </c>
      <c r="D3460" s="6" t="n">
        <f aca="false">Sens!D3436</f>
        <v>35.391</v>
      </c>
      <c r="E3460" s="6" t="n">
        <f aca="false">Sens!E3436</f>
        <v>37.285</v>
      </c>
      <c r="F3460" s="6" t="n">
        <f aca="false">Sens!F3436</f>
        <v>38.3851437782675</v>
      </c>
      <c r="G3460" s="6" t="n">
        <f aca="false">Sens!G3436</f>
        <v>40.0105353288615</v>
      </c>
      <c r="H3460" s="6" t="n">
        <f aca="false">Sens!H3436</f>
        <v>41.4812512033683</v>
      </c>
      <c r="I3460" s="6" t="n">
        <f aca="false">Sens!I3436</f>
        <v>42.7743107216329</v>
      </c>
      <c r="J3460" s="6" t="n">
        <f aca="false">Sens!J3436</f>
        <v>43.8687373064601</v>
      </c>
      <c r="K3460" s="6" t="n">
        <f aca="false">Sens!K3436</f>
        <v>44.7461120525893</v>
      </c>
    </row>
    <row r="3461" customFormat="false" ht="15" hidden="false" customHeight="false" outlineLevel="0" collapsed="false">
      <c r="A3461" s="0" t="s">
        <v>1039</v>
      </c>
      <c r="B3461" s="0" t="s">
        <v>98</v>
      </c>
      <c r="D3461" s="6" t="n">
        <f aca="false">Sens!D3438</f>
        <v>18.417</v>
      </c>
      <c r="E3461" s="6" t="n">
        <f aca="false">Sens!E3438</f>
        <v>20.345</v>
      </c>
      <c r="F3461" s="6" t="n">
        <f aca="false">Sens!F3438</f>
        <v>22.3161797133988</v>
      </c>
      <c r="G3461" s="6" t="n">
        <f aca="false">Sens!G3438</f>
        <v>24.3943499673233</v>
      </c>
      <c r="H3461" s="6" t="n">
        <f aca="false">Sens!H3438</f>
        <v>26.5250243109019</v>
      </c>
      <c r="I3461" s="6" t="n">
        <f aca="false">Sens!I3438</f>
        <v>28.6884573538181</v>
      </c>
      <c r="J3461" s="6" t="n">
        <f aca="false">Sens!J3438</f>
        <v>30.8624968052127</v>
      </c>
      <c r="K3461" s="6" t="n">
        <f aca="false">Sens!K3438</f>
        <v>33.0228715815776</v>
      </c>
    </row>
    <row r="3462" customFormat="false" ht="15" hidden="false" customHeight="false" outlineLevel="0" collapsed="false">
      <c r="A3462" s="0" t="s">
        <v>1040</v>
      </c>
      <c r="B3462" s="0" t="s">
        <v>98</v>
      </c>
      <c r="D3462" s="6" t="n">
        <f aca="false">Sens!D3440</f>
        <v>7.76</v>
      </c>
      <c r="E3462" s="6" t="n">
        <f aca="false">Sens!E3440</f>
        <v>8.26</v>
      </c>
      <c r="F3462" s="6" t="n">
        <f aca="false">Sens!F3440</f>
        <v>8.75372082474227</v>
      </c>
      <c r="G3462" s="6" t="n">
        <f aca="false">Sens!G3440</f>
        <v>9.33399324642364</v>
      </c>
      <c r="H3462" s="6" t="n">
        <f aca="false">Sens!H3440</f>
        <v>9.96139155535851</v>
      </c>
      <c r="I3462" s="6" t="n">
        <f aca="false">Sens!I3440</f>
        <v>10.6402039077391</v>
      </c>
      <c r="J3462" s="6" t="n">
        <f aca="false">Sens!J3440</f>
        <v>11.3751458271397</v>
      </c>
      <c r="K3462" s="6" t="n">
        <f aca="false">Sens!K3440</f>
        <v>12.1714060350394</v>
      </c>
    </row>
    <row r="3463" customFormat="false" ht="15" hidden="false" customHeight="false" outlineLevel="0" collapsed="false">
      <c r="A3463" s="0" t="s">
        <v>856</v>
      </c>
      <c r="B3463" s="0" t="s">
        <v>98</v>
      </c>
      <c r="D3463" s="6" t="n">
        <f aca="false">Sens!D3442</f>
        <v>218.783</v>
      </c>
      <c r="E3463" s="6" t="n">
        <f aca="false">Sens!E3442</f>
        <v>268.127</v>
      </c>
      <c r="F3463" s="6" t="n">
        <f aca="false">Sens!F3442</f>
        <v>323.928152474783</v>
      </c>
      <c r="G3463" s="6" t="n">
        <f aca="false">Sens!G3442</f>
        <v>371.483283318173</v>
      </c>
      <c r="H3463" s="6" t="n">
        <f aca="false">Sens!H3442</f>
        <v>414.840491008376</v>
      </c>
      <c r="I3463" s="6" t="n">
        <f aca="false">Sens!I3442</f>
        <v>454.068669312702</v>
      </c>
      <c r="J3463" s="6" t="n">
        <f aca="false">Sens!J3442</f>
        <v>490.12907888762</v>
      </c>
      <c r="K3463" s="6" t="n">
        <f aca="false">Sens!K3442</f>
        <v>524.212115512281</v>
      </c>
    </row>
    <row r="3464" customFormat="false" ht="15" hidden="false" customHeight="false" outlineLevel="0" collapsed="false">
      <c r="A3464" s="0" t="s">
        <v>1041</v>
      </c>
      <c r="B3464" s="0" t="s">
        <v>98</v>
      </c>
      <c r="D3464" s="6" t="n">
        <f aca="false">Sens!D3443</f>
        <v>22.171</v>
      </c>
      <c r="E3464" s="6" t="n">
        <f aca="false">Sens!E3443</f>
        <v>24.835</v>
      </c>
      <c r="F3464" s="6" t="n">
        <f aca="false">Sens!F3443</f>
        <v>27.5591895660247</v>
      </c>
      <c r="G3464" s="6" t="n">
        <f aca="false">Sens!G3443</f>
        <v>30.4098563144583</v>
      </c>
      <c r="H3464" s="6" t="n">
        <f aca="false">Sens!H3443</f>
        <v>33.3011792571777</v>
      </c>
      <c r="I3464" s="6" t="n">
        <f aca="false">Sens!I3443</f>
        <v>36.189023797112</v>
      </c>
      <c r="J3464" s="6" t="n">
        <f aca="false">Sens!J3443</f>
        <v>39.0247773769199</v>
      </c>
      <c r="K3464" s="6" t="n">
        <f aca="false">Sens!K3443</f>
        <v>41.7565117933043</v>
      </c>
    </row>
    <row r="3465" customFormat="false" ht="15" hidden="false" customHeight="false" outlineLevel="0" collapsed="false">
      <c r="A3465" s="0" t="s">
        <v>1042</v>
      </c>
      <c r="B3465" s="0" t="s">
        <v>98</v>
      </c>
      <c r="D3465" s="6" t="n">
        <f aca="false">Sens!D3445</f>
        <v>23.455</v>
      </c>
      <c r="E3465" s="6" t="n">
        <f aca="false">Sens!E3445</f>
        <v>21.79</v>
      </c>
      <c r="F3465" s="6" t="n">
        <f aca="false">Sens!F3445</f>
        <v>20.7520981041711</v>
      </c>
      <c r="G3465" s="6" t="n">
        <f aca="false">Sens!G3445</f>
        <v>19.9083593495882</v>
      </c>
      <c r="H3465" s="6" t="n">
        <f aca="false">Sens!H3445</f>
        <v>19.4008256265831</v>
      </c>
      <c r="I3465" s="6" t="n">
        <f aca="false">Sens!I3445</f>
        <v>19.200434522122</v>
      </c>
      <c r="J3465" s="6" t="n">
        <f aca="false">Sens!J3445</f>
        <v>19.2932782348507</v>
      </c>
      <c r="K3465" s="6" t="n">
        <f aca="false">Sens!K3445</f>
        <v>19.6791437995477</v>
      </c>
    </row>
    <row r="3466" customFormat="false" ht="15" hidden="false" customHeight="false" outlineLevel="0" collapsed="false">
      <c r="A3466" s="0" t="s">
        <v>1043</v>
      </c>
      <c r="B3466" s="0" t="s">
        <v>98</v>
      </c>
      <c r="D3466" s="6" t="n">
        <f aca="false">Sens!D3447</f>
        <v>17.315</v>
      </c>
      <c r="E3466" s="6" t="n">
        <f aca="false">Sens!E3447</f>
        <v>17.087</v>
      </c>
      <c r="F3466" s="6" t="n">
        <f aca="false">Sens!F3447</f>
        <v>15.9912273250553</v>
      </c>
      <c r="G3466" s="6" t="n">
        <f aca="false">Sens!G3447</f>
        <v>15.9574562664827</v>
      </c>
      <c r="H3466" s="6" t="n">
        <f aca="false">Sens!H3447</f>
        <v>16.0119687434196</v>
      </c>
      <c r="I3466" s="6" t="n">
        <f aca="false">Sens!I3447</f>
        <v>16.1551810001948</v>
      </c>
      <c r="J3466" s="6" t="n">
        <f aca="false">Sens!J3447</f>
        <v>16.3889793892005</v>
      </c>
      <c r="K3466" s="6" t="n">
        <f aca="false">Sens!K3447</f>
        <v>16.7167589769845</v>
      </c>
    </row>
    <row r="3467" customFormat="false" ht="15" hidden="false" customHeight="false" outlineLevel="0" collapsed="false">
      <c r="A3467" s="0" t="s">
        <v>870</v>
      </c>
      <c r="B3467" s="0" t="s">
        <v>98</v>
      </c>
      <c r="D3467" s="6" t="n">
        <f aca="false">Sens!D3449</f>
        <v>62.941</v>
      </c>
      <c r="E3467" s="6" t="n">
        <f aca="false">Sens!E3449</f>
        <v>63.712</v>
      </c>
      <c r="F3467" s="6" t="n">
        <f aca="false">Sens!F3449</f>
        <v>64.3025149952511</v>
      </c>
      <c r="G3467" s="6" t="n">
        <f aca="false">Sens!G3449</f>
        <v>66.2756719305292</v>
      </c>
      <c r="H3467" s="6" t="n">
        <f aca="false">Sens!H3449</f>
        <v>68.7139736271804</v>
      </c>
      <c r="I3467" s="6" t="n">
        <f aca="false">Sens!I3449</f>
        <v>71.5446393194289</v>
      </c>
      <c r="J3467" s="6" t="n">
        <f aca="false">Sens!J3449</f>
        <v>74.707035000971</v>
      </c>
      <c r="K3467" s="6" t="n">
        <f aca="false">Sens!K3449</f>
        <v>78.1524145698365</v>
      </c>
    </row>
    <row r="3468" customFormat="false" ht="15" hidden="false" customHeight="false" outlineLevel="0" collapsed="false">
      <c r="A3468" s="1" t="s">
        <v>1059</v>
      </c>
      <c r="B3468" s="0" t="s">
        <v>98</v>
      </c>
      <c r="D3468" s="6" t="n">
        <f aca="false">Sens!D3450</f>
        <v>281.724</v>
      </c>
      <c r="E3468" s="6" t="n">
        <f aca="false">Sens!E3450</f>
        <v>331.839</v>
      </c>
      <c r="F3468" s="6" t="n">
        <f aca="false">Sens!F3450</f>
        <v>388.230667470034</v>
      </c>
      <c r="G3468" s="6" t="n">
        <f aca="false">Sens!G3450</f>
        <v>437.758955248702</v>
      </c>
      <c r="H3468" s="6" t="n">
        <f aca="false">Sens!H3450</f>
        <v>483.554464635556</v>
      </c>
      <c r="I3468" s="6" t="n">
        <f aca="false">Sens!I3450</f>
        <v>525.613308632131</v>
      </c>
      <c r="J3468" s="6" t="n">
        <f aca="false">Sens!J3450</f>
        <v>564.836113888591</v>
      </c>
      <c r="K3468" s="6" t="n">
        <f aca="false">Sens!K3450</f>
        <v>602.364530082118</v>
      </c>
    </row>
    <row r="3469" customFormat="false" ht="15" hidden="false" customHeight="false" outlineLevel="0" collapsed="false">
      <c r="A3469" s="1" t="s">
        <v>1060</v>
      </c>
      <c r="B3469" s="0" t="s">
        <v>168</v>
      </c>
      <c r="E3469" s="7" t="n">
        <f aca="false">Sens!E3468/Sens!D3468-1</f>
        <v>0.177886867998467</v>
      </c>
      <c r="F3469" s="7" t="n">
        <f aca="false">Sens!F3468/Sens!E3468-1</f>
        <v>0.169936829215476</v>
      </c>
      <c r="G3469" s="7" t="n">
        <f aca="false">Sens!G3468/Sens!F3468-1</f>
        <v>0.12757438277977</v>
      </c>
      <c r="H3469" s="7" t="n">
        <f aca="false">Sens!H3468/Sens!G3468-1</f>
        <v>0.1046135295184</v>
      </c>
      <c r="I3469" s="7" t="n">
        <f aca="false">Sens!I3468/Sens!H3468-1</f>
        <v>0.0869785041241908</v>
      </c>
      <c r="J3469" s="7" t="n">
        <f aca="false">Sens!J3468/Sens!I3468-1</f>
        <v>0.0746229302270425</v>
      </c>
      <c r="K3469" s="7" t="n">
        <f aca="false">Sens!K3468/Sens!J3468-1</f>
        <v>0.0664412477721441</v>
      </c>
    </row>
    <row r="3470" customFormat="false" ht="17.15" hidden="false" customHeight="false" outlineLevel="0" collapsed="false">
      <c r="A3470" s="26" t="s">
        <v>1061</v>
      </c>
      <c r="B3470" s="31" t="s">
        <v>98</v>
      </c>
      <c r="C3470" s="31"/>
      <c r="D3470" s="27" t="n">
        <f aca="false">(Sens!D3463+Sens!D3467-Sens!D3468)+(Sens!D3455+Sens!D3456-Sens!D3454)+(Sens!D3458+Sens!D3459-Sens!D3457)+(Sens!D3468-Q!L18)</f>
        <v>0</v>
      </c>
      <c r="E3470" s="27" t="n">
        <f aca="false">(Sens!E3463+Sens!E3467-Sens!E3468)+(Sens!E3455+Sens!E3456-Sens!E3454)+(Sens!E3458+Sens!E3459-Sens!E3457)+(Sens!E3468-Q!M18)</f>
        <v>0</v>
      </c>
      <c r="F3470" s="27" t="n">
        <f aca="false">(Sens!F3463+Sens!F3467-Sens!F3468)+(Sens!F3455+Sens!F3456-Sens!F3454)+(Sens!F3458+Sens!F3459-Sens!F3457)</f>
        <v>0</v>
      </c>
      <c r="G3470" s="27" t="n">
        <f aca="false">(Sens!G3463+Sens!G3467-Sens!G3468)+(Sens!G3455+Sens!G3456-Sens!G3454)+(Sens!G3458+Sens!G3459-Sens!G3457)</f>
        <v>0</v>
      </c>
      <c r="H3470" s="27" t="n">
        <f aca="false">(Sens!H3463+Sens!H3467-Sens!H3468)+(Sens!H3455+Sens!H3456-Sens!H3454)+(Sens!H3458+Sens!H3459-Sens!H3457)</f>
        <v>0</v>
      </c>
      <c r="I3470" s="27" t="n">
        <f aca="false">(Sens!I3463+Sens!I3467-Sens!I3468)+(Sens!I3455+Sens!I3456-Sens!I3454)+(Sens!I3458+Sens!I3459-Sens!I3457)</f>
        <v>0</v>
      </c>
      <c r="J3470" s="27" t="n">
        <f aca="false">(Sens!J3463+Sens!J3467-Sens!J3468)+(Sens!J3455+Sens!J3456-Sens!J3454)+(Sens!J3458+Sens!J3459-Sens!J3457)</f>
        <v>0</v>
      </c>
      <c r="K3470" s="27" t="n">
        <f aca="false">(Sens!K3463+Sens!K3467-Sens!K3468)+(Sens!K3455+Sens!K3456-Sens!K3454)+(Sens!K3458+Sens!K3459-Sens!K3457)</f>
        <v>0</v>
      </c>
    </row>
    <row r="3471" customFormat="false" ht="17.15" hidden="false" customHeight="false" outlineLevel="0" collapsed="false">
      <c r="A3471" s="0" t="s">
        <v>1062</v>
      </c>
      <c r="B3471" s="0" t="s">
        <v>168</v>
      </c>
      <c r="E3471" s="7" t="n">
        <f aca="false">(Q!M21+Sens!E3407+Sens!E3408+Sens!E3409+Sens!E3423-Sens!E3405)/(Q!M5-Sens!E3405)</f>
        <v>0.570957350878296</v>
      </c>
      <c r="F3471" s="7" t="n">
        <f aca="false">Sens!$E$3471+dm_seg</f>
        <v>0.570957350878296</v>
      </c>
      <c r="G3471" s="7" t="n">
        <f aca="false">Sens!$E$3471+dm_seg</f>
        <v>0.570957350878296</v>
      </c>
      <c r="H3471" s="7" t="n">
        <f aca="false">Sens!$E$3471+dm_seg</f>
        <v>0.570957350878296</v>
      </c>
      <c r="I3471" s="7" t="n">
        <f aca="false">Sens!$E$3471+dm_seg</f>
        <v>0.570957350878296</v>
      </c>
      <c r="J3471" s="7" t="n">
        <f aca="false">Sens!$E$3471+dm_seg</f>
        <v>0.570957350878296</v>
      </c>
      <c r="K3471" s="7" t="n">
        <f aca="false">Sens!$E$3471+dm_seg</f>
        <v>0.570957350878296</v>
      </c>
      <c r="L3471" s="12" t="s">
        <v>1063</v>
      </c>
    </row>
    <row r="3472" customFormat="false" ht="17.15" hidden="false" customHeight="false" outlineLevel="0" collapsed="false">
      <c r="A3472" s="0" t="s">
        <v>884</v>
      </c>
      <c r="B3472" s="0" t="s">
        <v>98</v>
      </c>
      <c r="D3472" s="6" t="n">
        <f aca="false">Q!L21</f>
        <v>110.814</v>
      </c>
      <c r="E3472" s="6" t="n">
        <f aca="false">Q!M21</f>
        <v>136.365</v>
      </c>
      <c r="F3472" s="6" t="n">
        <f aca="false">Q!$I$21+(Sens!F3471*(Sens!F3442-Sens!F3405)+Sens!F3405-(Sens!F3407+Sens!F3408+Sens!F3409)-Sens!F3423-Sens!F3506)*(Sens!F3442-Q!$I$5)/Sens!F3442</f>
        <v>152.253180035428</v>
      </c>
      <c r="G3472" s="6" t="n">
        <f aca="false">(Sens!G3471*(Sens!G3442-Sens!G3405)+Sens!G3405-(Sens!G3407+Sens!G3408+Sens!G3409)-Sens!G3423-Sens!G3506)</f>
        <v>170.519385074234</v>
      </c>
      <c r="H3472" s="6" t="n">
        <f aca="false">(Sens!H3471*(Sens!H3442-Sens!H3405)+Sens!H3405-(Sens!H3407+Sens!H3408+Sens!H3409)-Sens!H3423-Sens!H3506)</f>
        <v>194.236141292342</v>
      </c>
      <c r="I3472" s="6" t="n">
        <f aca="false">(Sens!I3471*(Sens!I3442-Sens!I3405)+Sens!I3405-(Sens!I3407+Sens!I3408+Sens!I3409)-Sens!I3423-Sens!I3506)</f>
        <v>217.541623053626</v>
      </c>
      <c r="J3472" s="6" t="n">
        <f aca="false">(Sens!J3471*(Sens!J3442-Sens!J3405)+Sens!J3405-(Sens!J3407+Sens!J3408+Sens!J3409)-Sens!J3423-Sens!J3506)</f>
        <v>238.266427229453</v>
      </c>
      <c r="K3472" s="6" t="n">
        <f aca="false">(Sens!K3471*(Sens!K3442-Sens!K3405)+Sens!K3405-(Sens!K3407+Sens!K3408+Sens!K3409)-Sens!K3423-Sens!K3506)</f>
        <v>257.164905015849</v>
      </c>
      <c r="L3472" s="1" t="s">
        <v>1064</v>
      </c>
    </row>
    <row r="3473" customFormat="false" ht="17.15" hidden="false" customHeight="false" outlineLevel="0" collapsed="false">
      <c r="A3473" s="0" t="s">
        <v>1065</v>
      </c>
      <c r="B3473" s="0" t="s">
        <v>168</v>
      </c>
      <c r="E3473" s="7" t="n">
        <f aca="false">Q!M22/Q!M12</f>
        <v>0.296207935710698</v>
      </c>
      <c r="F3473" s="7" t="n">
        <f aca="false">Sens!$E$3473+dm_seg</f>
        <v>0.296207935710698</v>
      </c>
      <c r="G3473" s="7" t="n">
        <f aca="false">Sens!$E$3473+dm_seg</f>
        <v>0.296207935710698</v>
      </c>
      <c r="H3473" s="7" t="n">
        <f aca="false">Sens!$E$3473+dm_seg</f>
        <v>0.296207935710698</v>
      </c>
      <c r="I3473" s="7" t="n">
        <f aca="false">Sens!$E$3473+dm_seg</f>
        <v>0.296207935710698</v>
      </c>
      <c r="J3473" s="7" t="n">
        <f aca="false">Sens!$E$3473+dm_seg</f>
        <v>0.296207935710698</v>
      </c>
      <c r="K3473" s="7" t="n">
        <f aca="false">Sens!$E$3473+dm_seg</f>
        <v>0.296207935710698</v>
      </c>
      <c r="L3473" s="12" t="s">
        <v>1066</v>
      </c>
    </row>
    <row r="3474" customFormat="false" ht="17.15" hidden="false" customHeight="false" outlineLevel="0" collapsed="false">
      <c r="A3474" s="0" t="s">
        <v>886</v>
      </c>
      <c r="B3474" s="0" t="s">
        <v>98</v>
      </c>
      <c r="D3474" s="6" t="n">
        <f aca="false">Q!L22</f>
        <v>17.714</v>
      </c>
      <c r="E3474" s="6" t="n">
        <f aca="false">Q!M22</f>
        <v>18.872</v>
      </c>
      <c r="F3474" s="6" t="n">
        <f aca="false">Q!$I$22+(Sens!F3449-Q!$I$12)*Sens!F3473</f>
        <v>19.8174315512051</v>
      </c>
      <c r="G3474" s="6" t="n">
        <f aca="false">Sens!G3449*Sens!G3473</f>
        <v>19.6313799703815</v>
      </c>
      <c r="H3474" s="6" t="n">
        <f aca="false">Sens!H3449*Sens!H3473</f>
        <v>20.3536242825865</v>
      </c>
      <c r="I3474" s="6" t="n">
        <f aca="false">Sens!I3449*Sens!I3473</f>
        <v>21.1920899239745</v>
      </c>
      <c r="J3474" s="6" t="n">
        <f aca="false">Sens!J3449*Sens!J3473</f>
        <v>22.1288166207045</v>
      </c>
      <c r="K3474" s="6" t="n">
        <f aca="false">Sens!K3449*Sens!K3473</f>
        <v>23.1493653905379</v>
      </c>
      <c r="L3474" s="12" t="s">
        <v>1067</v>
      </c>
    </row>
    <row r="3475" customFormat="false" ht="15" hidden="false" customHeight="false" outlineLevel="0" collapsed="false">
      <c r="A3475" s="1" t="s">
        <v>1068</v>
      </c>
      <c r="B3475" s="0" t="s">
        <v>98</v>
      </c>
      <c r="D3475" s="6" t="n">
        <f aca="false">Sens!D3472+Sens!D3474</f>
        <v>128.528</v>
      </c>
      <c r="E3475" s="6" t="n">
        <f aca="false">Sens!E3472+Sens!E3474</f>
        <v>155.237</v>
      </c>
      <c r="F3475" s="6" t="n">
        <f aca="false">Sens!F3472+Sens!F3474</f>
        <v>172.070611586633</v>
      </c>
      <c r="G3475" s="6" t="n">
        <f aca="false">Sens!G3472+Sens!G3474</f>
        <v>190.150765044615</v>
      </c>
      <c r="H3475" s="6" t="n">
        <f aca="false">Sens!H3472+Sens!H3474</f>
        <v>214.589765574929</v>
      </c>
      <c r="I3475" s="6" t="n">
        <f aca="false">Sens!I3472+Sens!I3474</f>
        <v>238.7337129776</v>
      </c>
      <c r="J3475" s="6" t="n">
        <f aca="false">Sens!J3472+Sens!J3474</f>
        <v>260.395243850157</v>
      </c>
      <c r="K3475" s="6" t="n">
        <f aca="false">Sens!K3472+Sens!K3474</f>
        <v>280.314270406387</v>
      </c>
    </row>
    <row r="3476" customFormat="false" ht="15" hidden="false" customHeight="false" outlineLevel="0" collapsed="false">
      <c r="A3476" s="26" t="s">
        <v>1069</v>
      </c>
      <c r="B3476" s="31" t="s">
        <v>98</v>
      </c>
      <c r="C3476" s="31"/>
      <c r="D3476" s="27" t="n">
        <f aca="false">Sens!D3475-Q!L23</f>
        <v>0</v>
      </c>
      <c r="E3476" s="27" t="n">
        <f aca="false">Sens!E3475-Q!M23</f>
        <v>0</v>
      </c>
      <c r="F3476" s="31"/>
      <c r="G3476" s="31"/>
      <c r="H3476" s="31"/>
      <c r="I3476" s="31"/>
      <c r="J3476" s="31"/>
      <c r="K3476" s="31"/>
    </row>
    <row r="3477" customFormat="false" ht="15" hidden="false" customHeight="false" outlineLevel="0" collapsed="false">
      <c r="A3477" s="1" t="s">
        <v>1070</v>
      </c>
      <c r="B3477" s="0" t="s">
        <v>168</v>
      </c>
      <c r="D3477" s="7" t="n">
        <f aca="false">Sens!D3475/Sens!D3468</f>
        <v>0.456219562408598</v>
      </c>
      <c r="E3477" s="7" t="n">
        <f aca="false">Sens!E3475/Sens!E3468</f>
        <v>0.467808184089272</v>
      </c>
      <c r="F3477" s="7" t="n">
        <f aca="false">Sens!F3475/Sens!F3468</f>
        <v>0.443217463236375</v>
      </c>
      <c r="G3477" s="7" t="n">
        <f aca="false">Sens!G3475/Sens!G3468</f>
        <v>0.434373215589812</v>
      </c>
      <c r="H3477" s="7" t="n">
        <f aca="false">Sens!H3475/Sens!H3468</f>
        <v>0.443775792116117</v>
      </c>
      <c r="I3477" s="7" t="n">
        <f aca="false">Sens!I3475/Sens!I3468</f>
        <v>0.454200281950407</v>
      </c>
      <c r="J3477" s="7" t="n">
        <f aca="false">Sens!J3475/Sens!J3468</f>
        <v>0.461010260228364</v>
      </c>
      <c r="K3477" s="7" t="n">
        <f aca="false">Sens!K3475/Sens!K3468</f>
        <v>0.465356534801564</v>
      </c>
    </row>
    <row r="3478" customFormat="false" ht="17.15" hidden="false" customHeight="false" outlineLevel="0" collapsed="false">
      <c r="A3478" s="1" t="s">
        <v>1071</v>
      </c>
      <c r="B3478" s="0" t="s">
        <v>98</v>
      </c>
      <c r="F3478" s="6" t="n">
        <f aca="false">Sens!F3493</f>
        <v>2.46526205645066</v>
      </c>
      <c r="G3478" s="6" t="n">
        <f aca="false">Sens!G3493</f>
        <v>2.26142522258762</v>
      </c>
      <c r="H3478" s="6" t="n">
        <f aca="false">Sens!H3493</f>
        <v>0.466127630290755</v>
      </c>
      <c r="I3478" s="6" t="n">
        <f aca="false">Sens!I3493</f>
        <v>0</v>
      </c>
      <c r="J3478" s="6" t="n">
        <f aca="false">Sens!J3493</f>
        <v>0</v>
      </c>
      <c r="K3478" s="6" t="n">
        <f aca="false">Sens!K3493</f>
        <v>0</v>
      </c>
      <c r="L3478" s="1" t="s">
        <v>1072</v>
      </c>
    </row>
    <row r="3479" customFormat="false" ht="17.15" hidden="false" customHeight="false" outlineLevel="0" collapsed="false">
      <c r="A3479" s="1" t="s">
        <v>1073</v>
      </c>
      <c r="B3479" s="0" t="s">
        <v>98</v>
      </c>
      <c r="D3479" s="6" t="n">
        <f aca="false">Sens!D3475</f>
        <v>128.528</v>
      </c>
      <c r="E3479" s="6" t="n">
        <f aca="false">Sens!E3475</f>
        <v>155.237</v>
      </c>
      <c r="F3479" s="6" t="n">
        <f aca="false">Sens!F3475+Sens!F3478</f>
        <v>174.535873643084</v>
      </c>
      <c r="G3479" s="6" t="n">
        <f aca="false">Sens!G3475+Sens!G3478</f>
        <v>192.412190267203</v>
      </c>
      <c r="H3479" s="6" t="n">
        <f aca="false">Sens!H3475+Sens!H3478</f>
        <v>215.055893205219</v>
      </c>
      <c r="I3479" s="6" t="n">
        <f aca="false">Sens!I3475+Sens!I3478</f>
        <v>238.7337129776</v>
      </c>
      <c r="J3479" s="6" t="n">
        <f aca="false">Sens!J3475+Sens!J3478</f>
        <v>260.395243850157</v>
      </c>
      <c r="K3479" s="6" t="n">
        <f aca="false">Sens!K3475+Sens!K3478</f>
        <v>280.314270406387</v>
      </c>
    </row>
    <row r="3480" customFormat="false" ht="17.15" hidden="false" customHeight="false" outlineLevel="0" collapsed="false">
      <c r="A3480" s="1" t="s">
        <v>1074</v>
      </c>
      <c r="B3480" s="0" t="s">
        <v>98</v>
      </c>
      <c r="E3480" s="6" t="n">
        <f aca="false">Sens!E3423</f>
        <v>16.3054059770833</v>
      </c>
      <c r="F3480" s="6" t="n">
        <f aca="false">Sens!F3423</f>
        <v>24.549027677</v>
      </c>
      <c r="G3480" s="6" t="n">
        <f aca="false">Sens!G3423</f>
        <v>29.185632823</v>
      </c>
      <c r="H3480" s="6" t="n">
        <f aca="false">Sens!H3423</f>
        <v>31.677584917</v>
      </c>
      <c r="I3480" s="6" t="n">
        <f aca="false">Sens!I3423</f>
        <v>32.2298649310278</v>
      </c>
      <c r="J3480" s="6" t="n">
        <f aca="false">Sens!J3423</f>
        <v>33.6162004764444</v>
      </c>
      <c r="K3480" s="6" t="n">
        <f aca="false">Sens!K3423</f>
        <v>36.1070960499167</v>
      </c>
    </row>
    <row r="3481" customFormat="false" ht="17.15" hidden="false" customHeight="false" outlineLevel="0" collapsed="false">
      <c r="A3481" s="1" t="s">
        <v>1075</v>
      </c>
      <c r="B3481" s="0" t="s">
        <v>98</v>
      </c>
      <c r="E3481" s="6" t="n">
        <f aca="false">Sens!E3505</f>
        <v>22.2285940229167</v>
      </c>
      <c r="F3481" s="6" t="n">
        <f aca="false">Sens!F3505</f>
        <v>37.458367358225</v>
      </c>
      <c r="G3481" s="6" t="n">
        <f aca="false">Sens!G3505</f>
        <v>37.9209152260188</v>
      </c>
      <c r="H3481" s="6" t="n">
        <f aca="false">Sens!H3505</f>
        <v>38.9188775179148</v>
      </c>
      <c r="I3481" s="6" t="n">
        <f aca="false">Sens!I3505</f>
        <v>40.370990629089</v>
      </c>
      <c r="J3481" s="6" t="n">
        <f aca="false">Sens!J3505</f>
        <v>42.1799210747553</v>
      </c>
      <c r="K3481" s="6" t="n">
        <f aca="false">Sens!K3505</f>
        <v>44.2480713451083</v>
      </c>
    </row>
    <row r="3482" customFormat="false" ht="17.15" hidden="false" customHeight="false" outlineLevel="0" collapsed="false">
      <c r="A3482" s="1" t="s">
        <v>1076</v>
      </c>
      <c r="B3482" s="0" t="s">
        <v>98</v>
      </c>
      <c r="D3482" s="6" t="n">
        <f aca="false">Q!L27</f>
        <v>-4.901</v>
      </c>
      <c r="E3482" s="6" t="n">
        <f aca="false">Q!M27</f>
        <v>10.697</v>
      </c>
      <c r="F3482" s="6" t="n">
        <f aca="false">Q!$I$27+oie_f*(q_per_yr-1)/q_per_yr</f>
        <v>-0.862</v>
      </c>
      <c r="G3482" s="6" t="n">
        <f aca="false">oie_f</f>
        <v>-1.2</v>
      </c>
      <c r="H3482" s="6" t="n">
        <f aca="false">oie_f</f>
        <v>-1.2</v>
      </c>
      <c r="I3482" s="6" t="n">
        <f aca="false">oie_f</f>
        <v>-1.2</v>
      </c>
      <c r="J3482" s="6" t="n">
        <f aca="false">oie_f</f>
        <v>-1.2</v>
      </c>
      <c r="K3482" s="6" t="n">
        <f aca="false">oie_f</f>
        <v>-1.2</v>
      </c>
      <c r="L3482" s="12" t="s">
        <v>1077</v>
      </c>
    </row>
    <row r="3483" customFormat="false" ht="15" hidden="false" customHeight="false" outlineLevel="0" collapsed="false">
      <c r="A3483" s="1" t="s">
        <v>1078</v>
      </c>
      <c r="B3483" s="0" t="s">
        <v>98</v>
      </c>
      <c r="D3483" s="6" t="n">
        <f aca="false">Sens!D3475+Sens!D3482</f>
        <v>123.627</v>
      </c>
      <c r="E3483" s="6" t="n">
        <f aca="false">Sens!E3475+Sens!E3482</f>
        <v>165.934</v>
      </c>
      <c r="F3483" s="6" t="n">
        <f aca="false">Sens!F3475+Sens!F3482</f>
        <v>171.208611586633</v>
      </c>
      <c r="G3483" s="6" t="n">
        <f aca="false">Sens!G3475+Sens!G3482</f>
        <v>188.950765044615</v>
      </c>
      <c r="H3483" s="6" t="n">
        <f aca="false">Sens!H3475+Sens!H3482</f>
        <v>213.389765574929</v>
      </c>
      <c r="I3483" s="6" t="n">
        <f aca="false">Sens!I3475+Sens!I3482</f>
        <v>237.5337129776</v>
      </c>
      <c r="J3483" s="6" t="n">
        <f aca="false">Sens!J3475+Sens!J3482</f>
        <v>259.195243850157</v>
      </c>
      <c r="K3483" s="6" t="n">
        <f aca="false">Sens!K3475+Sens!K3482</f>
        <v>279.114270406387</v>
      </c>
    </row>
    <row r="3484" customFormat="false" ht="15" hidden="false" customHeight="false" outlineLevel="0" collapsed="false">
      <c r="A3484" s="1" t="s">
        <v>1079</v>
      </c>
      <c r="B3484" s="0" t="s">
        <v>98</v>
      </c>
      <c r="D3484" s="6" t="n">
        <f aca="false">Q!L29</f>
        <v>21.795</v>
      </c>
      <c r="E3484" s="6" t="n">
        <f aca="false">Q!M29</f>
        <v>32.185</v>
      </c>
      <c r="F3484" s="6" t="n">
        <f aca="false">Q!$I$29+(Sens!F3483-Q!$I$28)*tax_f</f>
        <v>34.3751223173267</v>
      </c>
      <c r="G3484" s="6" t="n">
        <f aca="false">Sens!G3483*tax_f</f>
        <v>37.790153008923</v>
      </c>
      <c r="H3484" s="6" t="n">
        <f aca="false">Sens!H3483*tax_f</f>
        <v>42.6779531149857</v>
      </c>
      <c r="I3484" s="6" t="n">
        <f aca="false">Sens!I3483*tax_f</f>
        <v>47.50674259552</v>
      </c>
      <c r="J3484" s="6" t="n">
        <f aca="false">Sens!J3483*tax_f</f>
        <v>51.8390487700315</v>
      </c>
      <c r="K3484" s="6" t="n">
        <f aca="false">Sens!K3483*tax_f</f>
        <v>55.8228540812774</v>
      </c>
    </row>
    <row r="3485" customFormat="false" ht="15" hidden="false" customHeight="false" outlineLevel="0" collapsed="false">
      <c r="A3485" s="1" t="s">
        <v>1080</v>
      </c>
      <c r="B3485" s="0" t="s">
        <v>98</v>
      </c>
      <c r="D3485" s="6" t="n">
        <f aca="false">Sens!D3483-Sens!D3484</f>
        <v>101.832</v>
      </c>
      <c r="E3485" s="6" t="n">
        <f aca="false">Sens!E3483-Sens!E3484</f>
        <v>133.749</v>
      </c>
      <c r="F3485" s="6" t="n">
        <f aca="false">Sens!F3483-Sens!F3484</f>
        <v>136.833489269307</v>
      </c>
      <c r="G3485" s="6" t="n">
        <f aca="false">Sens!G3483-Sens!G3484</f>
        <v>151.160612035692</v>
      </c>
      <c r="H3485" s="6" t="n">
        <f aca="false">Sens!H3483-Sens!H3484</f>
        <v>170.711812459943</v>
      </c>
      <c r="I3485" s="6" t="n">
        <f aca="false">Sens!I3483-Sens!I3484</f>
        <v>190.02697038208</v>
      </c>
      <c r="J3485" s="6" t="n">
        <f aca="false">Sens!J3483-Sens!J3484</f>
        <v>207.356195080126</v>
      </c>
      <c r="K3485" s="6" t="n">
        <f aca="false">Sens!K3483-Sens!K3484</f>
        <v>223.29141632511</v>
      </c>
    </row>
    <row r="3486" customFormat="false" ht="17.15" hidden="false" customHeight="false" outlineLevel="0" collapsed="false">
      <c r="A3486" s="1" t="s">
        <v>1081</v>
      </c>
      <c r="B3486" s="1" t="s">
        <v>81</v>
      </c>
      <c r="D3486" s="15" t="n">
        <f aca="false">Q!L31</f>
        <v>7.465</v>
      </c>
      <c r="E3486" s="15" t="n">
        <f aca="false">Q!M31</f>
        <v>7.453</v>
      </c>
      <c r="F3486" s="15" t="n">
        <f aca="false">Sens!F3530</f>
        <v>7.4735</v>
      </c>
      <c r="G3486" s="15" t="n">
        <f aca="false">Sens!G3530</f>
        <v>7.49981593415111</v>
      </c>
      <c r="H3486" s="15" t="n">
        <f aca="false">Sens!H3530</f>
        <v>7.50883180733101</v>
      </c>
      <c r="I3486" s="15" t="n">
        <f aca="false">Sens!I3530</f>
        <v>7.52051317138648</v>
      </c>
      <c r="J3486" s="15" t="n">
        <f aca="false">Sens!J3530</f>
        <v>7.53466258254895</v>
      </c>
      <c r="K3486" s="15" t="n">
        <f aca="false">Sens!K3530</f>
        <v>7.55109722251421</v>
      </c>
    </row>
    <row r="3487" customFormat="false" ht="17.15" hidden="false" customHeight="false" outlineLevel="0" collapsed="false">
      <c r="A3487" s="0" t="s">
        <v>1082</v>
      </c>
      <c r="B3487" s="0" t="s">
        <v>75</v>
      </c>
      <c r="D3487" s="8" t="n">
        <f aca="false">Sens!D3485/Sens!D3486</f>
        <v>13.641259209645</v>
      </c>
      <c r="E3487" s="8" t="n">
        <f aca="false">Sens!E3485/Sens!E3486</f>
        <v>17.9456594659869</v>
      </c>
      <c r="F3487" s="8" t="n">
        <f aca="false">Sens!F3485/Sens!F3486</f>
        <v>18.3091575927352</v>
      </c>
      <c r="G3487" s="8" t="n">
        <f aca="false">Sens!G3485/Sens!G3486</f>
        <v>20.1552429236787</v>
      </c>
      <c r="H3487" s="8" t="n">
        <f aca="false">Sens!H3485/Sens!H3486</f>
        <v>22.7348030745973</v>
      </c>
      <c r="I3487" s="8" t="n">
        <f aca="false">Sens!I3485/Sens!I3486</f>
        <v>25.2678196356442</v>
      </c>
      <c r="J3487" s="8" t="n">
        <f aca="false">Sens!J3485/Sens!J3486</f>
        <v>27.5203027087615</v>
      </c>
      <c r="K3487" s="8" t="n">
        <f aca="false">Sens!K3485/Sens!K3486</f>
        <v>29.5707245907718</v>
      </c>
      <c r="L3487" s="1" t="s">
        <v>1083</v>
      </c>
    </row>
    <row r="3488" customFormat="false" ht="17.15" hidden="false" customHeight="false" outlineLevel="0" collapsed="false">
      <c r="A3488" s="1" t="s">
        <v>1084</v>
      </c>
      <c r="B3488" s="0" t="s">
        <v>98</v>
      </c>
      <c r="D3488" s="6" t="n">
        <f aca="false">Sens!D3485</f>
        <v>101.832</v>
      </c>
      <c r="E3488" s="6" t="n">
        <f aca="false">Sens!E3485</f>
        <v>133.749</v>
      </c>
      <c r="F3488" s="6" t="n">
        <f aca="false">Sens!F3485+Sens!F3478*(1-tax_f)</f>
        <v>138.805698914467</v>
      </c>
      <c r="G3488" s="6" t="n">
        <f aca="false">Sens!G3485+Sens!G3478*(1-tax_f)</f>
        <v>152.969752213762</v>
      </c>
      <c r="H3488" s="6" t="n">
        <f aca="false">Sens!H3485+Sens!H3478*(1-tax_f)</f>
        <v>171.084714564176</v>
      </c>
      <c r="I3488" s="6" t="n">
        <f aca="false">Sens!I3485+Sens!I3478*(1-tax_f)</f>
        <v>190.02697038208</v>
      </c>
      <c r="J3488" s="6" t="n">
        <f aca="false">Sens!J3485+Sens!J3478*(1-tax_f)</f>
        <v>207.356195080126</v>
      </c>
      <c r="K3488" s="6" t="n">
        <f aca="false">Sens!K3485+Sens!K3478*(1-tax_f)</f>
        <v>223.29141632511</v>
      </c>
    </row>
    <row r="3489" customFormat="false" ht="17.15" hidden="false" customHeight="false" outlineLevel="0" collapsed="false">
      <c r="A3489" s="0" t="s">
        <v>1085</v>
      </c>
      <c r="B3489" s="0" t="s">
        <v>75</v>
      </c>
      <c r="D3489" s="8" t="n">
        <f aca="false">Sens!D3488/Sens!D3486</f>
        <v>13.641259209645</v>
      </c>
      <c r="E3489" s="8" t="n">
        <f aca="false">Sens!E3488/Sens!E3486</f>
        <v>17.9456594659869</v>
      </c>
      <c r="F3489" s="8" t="n">
        <f aca="false">Sens!F3488/Sens!F3486</f>
        <v>18.5730513032003</v>
      </c>
      <c r="G3489" s="8" t="n">
        <f aca="false">Sens!G3488/Sens!G3486</f>
        <v>20.3964675342498</v>
      </c>
      <c r="H3489" s="8" t="n">
        <f aca="false">Sens!H3488/Sens!H3486</f>
        <v>22.7844648747016</v>
      </c>
      <c r="I3489" s="8" t="n">
        <f aca="false">Sens!I3488/Sens!I3486</f>
        <v>25.2678196356442</v>
      </c>
      <c r="J3489" s="8" t="n">
        <f aca="false">Sens!J3488/Sens!J3486</f>
        <v>27.5203027087615</v>
      </c>
      <c r="K3489" s="8" t="n">
        <f aca="false">Sens!K3488/Sens!K3486</f>
        <v>29.5707245907718</v>
      </c>
      <c r="L3489" s="1" t="s">
        <v>1086</v>
      </c>
    </row>
    <row r="3490" customFormat="false" ht="17.15" hidden="false" customHeight="false" outlineLevel="0" collapsed="false">
      <c r="A3490" s="0" t="s">
        <v>1087</v>
      </c>
      <c r="B3490" s="0" t="s">
        <v>168</v>
      </c>
      <c r="E3490" s="7" t="n">
        <f aca="false">Sens!E3489/Sens!D3489-1</f>
        <v>0.315542736208578</v>
      </c>
      <c r="F3490" s="7" t="n">
        <f aca="false">Sens!F3489/Sens!E3489-1</f>
        <v>0.0349606454085756</v>
      </c>
      <c r="G3490" s="7" t="n">
        <f aca="false">Sens!G3489/Sens!F3489-1</f>
        <v>0.0981753725482535</v>
      </c>
      <c r="H3490" s="7" t="n">
        <f aca="false">Sens!H3489/Sens!G3489-1</f>
        <v>0.117078966563297</v>
      </c>
      <c r="I3490" s="7" t="n">
        <f aca="false">Sens!I3489/Sens!H3489-1</f>
        <v>0.108993332720312</v>
      </c>
      <c r="J3490" s="7" t="n">
        <f aca="false">Sens!J3489/Sens!I3489-1</f>
        <v>0.0891443387517232</v>
      </c>
      <c r="K3490" s="7" t="n">
        <f aca="false">Sens!K3489/Sens!J3489-1</f>
        <v>0.0745057895514181</v>
      </c>
    </row>
    <row r="3491" customFormat="false" ht="17.15" hidden="false" customHeight="false" outlineLevel="0" collapsed="false">
      <c r="A3491" s="0" t="s">
        <v>1007</v>
      </c>
      <c r="B3491" s="0" t="s">
        <v>98</v>
      </c>
      <c r="E3491" s="6" t="n">
        <f aca="false">Sens!E3432</f>
        <v>5.25</v>
      </c>
      <c r="F3491" s="6" t="n">
        <f aca="false">Sens!F3432</f>
        <v>12</v>
      </c>
      <c r="G3491" s="6" t="n">
        <f aca="false">Sens!G3432</f>
        <v>18</v>
      </c>
      <c r="H3491" s="6" t="n">
        <f aca="false">Sens!H3432</f>
        <v>24</v>
      </c>
      <c r="I3491" s="6" t="n">
        <f aca="false">Sens!I3432</f>
        <v>28.5</v>
      </c>
      <c r="J3491" s="6" t="n">
        <f aca="false">Sens!J3432</f>
        <v>31.5</v>
      </c>
      <c r="K3491" s="6" t="n">
        <f aca="false">Sens!K3432</f>
        <v>34.5</v>
      </c>
    </row>
    <row r="3492" customFormat="false" ht="17.15" hidden="false" customHeight="false" outlineLevel="0" collapsed="false">
      <c r="A3492" s="1" t="s">
        <v>1008</v>
      </c>
      <c r="B3492" s="0" t="s">
        <v>98</v>
      </c>
      <c r="F3492" s="6" t="n">
        <f aca="false">MAX(0,((Sens!E3392+Sens!F3392)/2-(shadow_base*(Sens!$D$3392+Sens!$E$3392)/2+(1-shadow_base)*Sens!$E$3392))*Sens!F3401/1000-(Sens!F3491-Sens!$E$3491)*Sens!F3471)</f>
        <v>2.46526205645066</v>
      </c>
      <c r="G3492" s="6" t="n">
        <f aca="false">MAX(0,((Sens!F3392+Sens!G3392)/2-(shadow_base*(Sens!$D$3392+Sens!$E$3392)/2+(1-shadow_base)*Sens!$E$3392))*Sens!G3401/1000-(Sens!G3491-Sens!$E$3491)*Sens!G3471)</f>
        <v>2.26142522258762</v>
      </c>
      <c r="H3492" s="6" t="n">
        <f aca="false">MAX(0,((Sens!G3392+Sens!H3392)/2-(shadow_base*(Sens!$D$3392+Sens!$E$3392)/2+(1-shadow_base)*Sens!$E$3392))*Sens!H3401/1000-(Sens!H3491-Sens!$E$3491)*Sens!H3471)</f>
        <v>0.466127630290755</v>
      </c>
      <c r="I3492" s="6" t="n">
        <f aca="false">MAX(0,((Sens!H3392+Sens!I3392)/2-(shadow_base*(Sens!$D$3392+Sens!$E$3392)/2+(1-shadow_base)*Sens!$E$3392))*Sens!I3401/1000-(Sens!I3491-Sens!$E$3491)*Sens!I3471)</f>
        <v>0</v>
      </c>
      <c r="J3492" s="6" t="n">
        <f aca="false">MAX(0,((Sens!I3392+Sens!J3392)/2-(shadow_base*(Sens!$D$3392+Sens!$E$3392)/2+(1-shadow_base)*Sens!$E$3392))*Sens!J3401/1000-(Sens!J3491-Sens!$E$3491)*Sens!J3471)</f>
        <v>0</v>
      </c>
      <c r="K3492" s="6" t="n">
        <f aca="false">MAX(0,((Sens!J3392+Sens!K3392)/2-(shadow_base*(Sens!$D$3392+Sens!$E$3392)/2+(1-shadow_base)*Sens!$E$3392))*Sens!K3401/1000-(Sens!K3491-Sens!$E$3491)*Sens!K3471)</f>
        <v>0</v>
      </c>
      <c r="L3492" s="1" t="s">
        <v>1009</v>
      </c>
    </row>
    <row r="3493" customFormat="false" ht="17.15" hidden="false" customHeight="false" outlineLevel="0" collapsed="false">
      <c r="A3493" s="1" t="s">
        <v>1010</v>
      </c>
      <c r="B3493" s="0" t="s">
        <v>98</v>
      </c>
      <c r="F3493" s="6" t="n">
        <f aca="false">IF(internal_ai_reading=2,1,0)*Sens!F3492</f>
        <v>2.46526205645066</v>
      </c>
      <c r="G3493" s="6" t="n">
        <f aca="false">IF(internal_ai_reading=2,1,0)*Sens!G3492</f>
        <v>2.26142522258762</v>
      </c>
      <c r="H3493" s="6" t="n">
        <f aca="false">IF(internal_ai_reading=2,1,0)*Sens!H3492</f>
        <v>0.466127630290755</v>
      </c>
      <c r="I3493" s="6" t="n">
        <f aca="false">IF(internal_ai_reading=2,1,0)*Sens!I3492</f>
        <v>0</v>
      </c>
      <c r="J3493" s="6" t="n">
        <f aca="false">IF(internal_ai_reading=2,1,0)*Sens!J3492</f>
        <v>0</v>
      </c>
      <c r="K3493" s="6" t="n">
        <f aca="false">IF(internal_ai_reading=2,1,0)*Sens!K3492</f>
        <v>0</v>
      </c>
    </row>
    <row r="3494" customFormat="false" ht="17.15" hidden="false" customHeight="false" outlineLevel="0" collapsed="false">
      <c r="A3494" s="0" t="s">
        <v>1011</v>
      </c>
      <c r="B3494" s="0" t="s">
        <v>98</v>
      </c>
      <c r="F3494" s="6" t="n">
        <f aca="false">Sens!F3411+Sens!F3491*Sens!F3471+Sens!F3493-Sens!F3412-Sens!F3423</f>
        <v>8.31029735400012</v>
      </c>
      <c r="G3494" s="6" t="n">
        <f aca="false">Sens!G3411+Sens!G3491*Sens!G3471+Sens!G3493-Sens!G3412-Sens!G3423</f>
        <v>11.3417251499575</v>
      </c>
      <c r="H3494" s="6" t="n">
        <f aca="false">Sens!H3411+Sens!H3491*Sens!H3471+Sens!H3493-Sens!H3412-Sens!H3423</f>
        <v>12.3295876951486</v>
      </c>
      <c r="I3494" s="6" t="n">
        <f aca="false">Sens!I3411+Sens!I3491*Sens!I3471+Sens!I3493-Sens!I3412-Sens!I3423</f>
        <v>14.8614920024289</v>
      </c>
      <c r="J3494" s="6" t="n">
        <f aca="false">Sens!J3411+Sens!J3491*Sens!J3471+Sens!J3493-Sens!J3412-Sens!J3423</f>
        <v>16.6695445622153</v>
      </c>
      <c r="K3494" s="6" t="n">
        <f aca="false">Sens!K3411+Sens!K3491*Sens!K3471+Sens!K3493-Sens!K3412-Sens!K3423</f>
        <v>18.8345326593174</v>
      </c>
    </row>
    <row r="3495" customFormat="false" ht="17.15" hidden="false" customHeight="false" outlineLevel="0" collapsed="false">
      <c r="A3495" s="0" t="s">
        <v>1012</v>
      </c>
      <c r="B3495" s="0" t="s">
        <v>98</v>
      </c>
      <c r="E3495" s="6" t="n">
        <f aca="false">Sens!E3391*(cxit_open+self_build*tk_cxfac)/1000*ai_net_open</f>
        <v>126.6980382</v>
      </c>
      <c r="F3495" s="6" t="n">
        <f aca="false">Sens!E3495+Sens!F3420-Sens!F3423</f>
        <v>131.822683147</v>
      </c>
      <c r="G3495" s="6" t="n">
        <f aca="false">Sens!F3495+Sens!G3420-Sens!G3423</f>
        <v>136.850809452</v>
      </c>
      <c r="H3495" s="6" t="n">
        <f aca="false">Sens!G3495+Sens!H3420-Sens!H3423</f>
        <v>105.173224535</v>
      </c>
      <c r="I3495" s="6" t="n">
        <f aca="false">Sens!H3495+Sens!I3420-Sens!I3423</f>
        <v>102.104104363972</v>
      </c>
      <c r="J3495" s="6" t="n">
        <f aca="false">Sens!I3495+Sens!J3420-Sens!J3423</f>
        <v>112.526579647528</v>
      </c>
      <c r="K3495" s="6" t="n">
        <f aca="false">Sens!J3495+Sens!K3420-Sens!K3423</f>
        <v>163.901717877611</v>
      </c>
      <c r="L3495" s="1" t="s">
        <v>1013</v>
      </c>
    </row>
    <row r="3496" customFormat="false" ht="17.15" hidden="false" customHeight="false" outlineLevel="0" collapsed="false">
      <c r="A3496" s="0" t="s">
        <v>1014</v>
      </c>
      <c r="B3496" s="0" t="s">
        <v>168</v>
      </c>
      <c r="F3496" s="7" t="n">
        <f aca="false">Sens!F3494*(1-tax_f)/((Sens!E3495+Sens!F3495)/2)</f>
        <v>0.0514329207234146</v>
      </c>
      <c r="G3496" s="7" t="n">
        <f aca="false">Sens!G3494*(1-tax_f)/((Sens!F3495+Sens!G3495)/2)</f>
        <v>0.0675420565847049</v>
      </c>
      <c r="H3496" s="7" t="n">
        <f aca="false">Sens!H3494*(1-tax_f)/((Sens!G3495+Sens!H3495)/2)</f>
        <v>0.0815098401066129</v>
      </c>
      <c r="I3496" s="7" t="n">
        <f aca="false">Sens!I3494*(1-tax_f)/((Sens!H3495+Sens!I3495)/2)</f>
        <v>0.114717742312648</v>
      </c>
      <c r="J3496" s="7" t="n">
        <f aca="false">Sens!J3494*(1-tax_f)/((Sens!I3495+Sens!J3495)/2)</f>
        <v>0.12426588221708</v>
      </c>
      <c r="K3496" s="7" t="n">
        <f aca="false">Sens!K3494*(1-tax_f)/((Sens!J3495+Sens!K3495)/2)</f>
        <v>0.109016524446696</v>
      </c>
    </row>
    <row r="3497" customFormat="false" ht="17.15" hidden="false" customHeight="false" outlineLevel="0" collapsed="false">
      <c r="A3497" s="1" t="s">
        <v>1015</v>
      </c>
      <c r="B3497" s="0" t="s">
        <v>168</v>
      </c>
      <c r="F3497" s="7" t="n">
        <f aca="false">(Sens!F3494-Sens!F3493)*(1-tax_f)/((Sens!E3495+Sens!F3495)/2)</f>
        <v>0.0361752683782989</v>
      </c>
      <c r="G3497" s="7" t="n">
        <f aca="false">(Sens!G3494-Sens!G3493)*(1-tax_f)/((Sens!F3495+Sens!G3495)/2)</f>
        <v>0.0540748539919261</v>
      </c>
      <c r="H3497" s="7" t="n">
        <f aca="false">(Sens!H3494-Sens!H3493)*(1-tax_f)/((Sens!G3495+Sens!H3495)/2)</f>
        <v>0.0784283105734539</v>
      </c>
      <c r="I3497" s="7" t="n">
        <f aca="false">(Sens!I3494-Sens!I3493)*(1-tax_f)/((Sens!H3495+Sens!I3495)/2)</f>
        <v>0.114717742312648</v>
      </c>
      <c r="J3497" s="7" t="n">
        <f aca="false">(Sens!J3494-Sens!J3493)*(1-tax_f)/((Sens!I3495+Sens!J3495)/2)</f>
        <v>0.12426588221708</v>
      </c>
      <c r="K3497" s="7" t="n">
        <f aca="false">(Sens!K3494-Sens!K3493)*(1-tax_f)/((Sens!J3495+Sens!K3495)/2)</f>
        <v>0.109016524446696</v>
      </c>
    </row>
    <row r="3498" customFormat="false" ht="17.15" hidden="false" customHeight="false" outlineLevel="0" collapsed="false">
      <c r="A3498" s="1" t="s">
        <v>1016</v>
      </c>
      <c r="B3498" s="0" t="s">
        <v>168</v>
      </c>
      <c r="F3498" s="7" t="n">
        <f aca="false">(Sens!F3494-Sens!F3493+Sens!F3492)*(1-tax_f)/((Sens!E3495+Sens!F3495)/2)</f>
        <v>0.0514329207234146</v>
      </c>
      <c r="G3498" s="7" t="n">
        <f aca="false">(Sens!G3494-Sens!G3493+Sens!G3492)*(1-tax_f)/((Sens!F3495+Sens!G3495)/2)</f>
        <v>0.0675420565847049</v>
      </c>
      <c r="H3498" s="7" t="n">
        <f aca="false">(Sens!H3494-Sens!H3493+Sens!H3492)*(1-tax_f)/((Sens!G3495+Sens!H3495)/2)</f>
        <v>0.0815098401066129</v>
      </c>
      <c r="I3498" s="7" t="n">
        <f aca="false">(Sens!I3494-Sens!I3493+Sens!I3492)*(1-tax_f)/((Sens!H3495+Sens!I3495)/2)</f>
        <v>0.114717742312648</v>
      </c>
      <c r="J3498" s="7" t="n">
        <f aca="false">(Sens!J3494-Sens!J3493+Sens!J3492)*(1-tax_f)/((Sens!I3495+Sens!J3495)/2)</f>
        <v>0.12426588221708</v>
      </c>
      <c r="K3498" s="7" t="n">
        <f aca="false">(Sens!K3494-Sens!K3493+Sens!K3492)*(1-tax_f)/((Sens!J3495+Sens!K3495)/2)</f>
        <v>0.109016524446696</v>
      </c>
    </row>
    <row r="3499" customFormat="false" ht="17.15" hidden="false" customHeight="false" outlineLevel="0" collapsed="false">
      <c r="A3499" s="1" t="s">
        <v>1017</v>
      </c>
      <c r="B3499" s="0" t="s">
        <v>168</v>
      </c>
      <c r="F3499" s="7" t="n">
        <f aca="false">Sens!F3424*(1-tax_f)/(Sens!F3410*(Sens!E3495+Sens!F3495)/2)</f>
        <v>0.141245243742451</v>
      </c>
      <c r="G3499" s="7" t="n">
        <f aca="false">Sens!G3424*(1-tax_f)/(Sens!G3410*(Sens!F3495+Sens!G3495)/2)</f>
        <v>0.160533993594925</v>
      </c>
      <c r="H3499" s="7" t="n">
        <f aca="false">Sens!H3424*(1-tax_f)/(Sens!H3410*(Sens!G3495+Sens!H3495)/2)</f>
        <v>0.186616513125234</v>
      </c>
      <c r="I3499" s="7" t="n">
        <f aca="false">Sens!I3424*(1-tax_f)/(Sens!I3410*(Sens!H3495+Sens!I3495)/2)</f>
        <v>0.226977934093253</v>
      </c>
      <c r="J3499" s="7" t="n">
        <f aca="false">Sens!J3424*(1-tax_f)/(Sens!J3410*(Sens!I3495+Sens!J3495)/2)</f>
        <v>0.228324673059243</v>
      </c>
      <c r="K3499" s="7" t="n">
        <f aca="false">Sens!K3424*(1-tax_f)/(Sens!K3410*(Sens!J3495+Sens!K3495)/2)</f>
        <v>0.192874926809674</v>
      </c>
    </row>
    <row r="3500" customFormat="false" ht="17.15" hidden="false" customHeight="false" outlineLevel="0" collapsed="false">
      <c r="A3500" s="0" t="s">
        <v>1018</v>
      </c>
      <c r="B3500" s="0" t="s">
        <v>253</v>
      </c>
      <c r="F3500" s="7" t="n">
        <f aca="false">Sens!F3496-wacc</f>
        <v>-0.0515036702221827</v>
      </c>
      <c r="G3500" s="7" t="n">
        <f aca="false">Sens!G3496-wacc</f>
        <v>-0.0353945343608924</v>
      </c>
      <c r="H3500" s="7" t="n">
        <f aca="false">Sens!H3496-wacc</f>
        <v>-0.0214267508389844</v>
      </c>
      <c r="I3500" s="7" t="n">
        <f aca="false">Sens!I3496-wacc</f>
        <v>0.0117811513670505</v>
      </c>
      <c r="J3500" s="7" t="n">
        <f aca="false">Sens!J3496-wacc</f>
        <v>0.0213292912714831</v>
      </c>
      <c r="K3500" s="7" t="n">
        <f aca="false">Sens!K3496-wacc</f>
        <v>0.0060799335010986</v>
      </c>
    </row>
    <row r="3501" customFormat="false" ht="17.15" hidden="false" customHeight="false" outlineLevel="0" collapsed="false">
      <c r="A3501" s="0" t="s">
        <v>1019</v>
      </c>
      <c r="B3501" s="0" t="s">
        <v>98</v>
      </c>
      <c r="F3501" s="6" t="n">
        <f aca="false">Sens!F3494*(1-tax_f)-wacc*(Sens!E3495+Sens!F3495)/2</f>
        <v>-6.65738298892834</v>
      </c>
      <c r="G3501" s="6" t="n">
        <f aca="false">Sens!G3494*(1-tax_f)-wacc*(Sens!F3495+Sens!G3495)/2</f>
        <v>-4.75478658282813</v>
      </c>
      <c r="H3501" s="6" t="n">
        <f aca="false">Sens!H3494*(1-tax_f)-wacc*(Sens!G3495+Sens!H3495)/2</f>
        <v>-2.59289433664267</v>
      </c>
      <c r="I3501" s="6" t="n">
        <f aca="false">Sens!I3494*(1-tax_f)-wacc*(Sens!H3495+Sens!I3495)/2</f>
        <v>1.22098279335835</v>
      </c>
      <c r="J3501" s="6" t="n">
        <f aca="false">Sens!J3494*(1-tax_f)-wacc*(Sens!I3495+Sens!J3495)/2</f>
        <v>2.28896018753947</v>
      </c>
      <c r="K3501" s="6" t="n">
        <f aca="false">Sens!K3494*(1-tax_f)-wacc*(Sens!J3495+Sens!K3495)/2</f>
        <v>0.840332833387372</v>
      </c>
    </row>
    <row r="3502" customFormat="false" ht="17.15" hidden="false" customHeight="false" outlineLevel="0" collapsed="false">
      <c r="A3502" s="3" t="s">
        <v>1698</v>
      </c>
    </row>
    <row r="3503" customFormat="false" ht="15" hidden="false" customHeight="false" outlineLevel="0" collapsed="false">
      <c r="A3503" s="4" t="s">
        <v>43</v>
      </c>
      <c r="B3503" s="4" t="s">
        <v>65</v>
      </c>
      <c r="C3503" s="23" t="s">
        <v>942</v>
      </c>
      <c r="D3503" s="23" t="s">
        <v>943</v>
      </c>
      <c r="E3503" s="23" t="s">
        <v>944</v>
      </c>
      <c r="F3503" s="23" t="s">
        <v>945</v>
      </c>
      <c r="G3503" s="23" t="s">
        <v>946</v>
      </c>
      <c r="H3503" s="23" t="s">
        <v>947</v>
      </c>
      <c r="I3503" s="23" t="s">
        <v>948</v>
      </c>
      <c r="J3503" s="23" t="s">
        <v>949</v>
      </c>
      <c r="K3503" s="23" t="s">
        <v>950</v>
      </c>
      <c r="L3503" s="4" t="s">
        <v>47</v>
      </c>
    </row>
    <row r="3504" customFormat="false" ht="15" hidden="false" customHeight="false" outlineLevel="0" collapsed="false">
      <c r="A3504" s="1" t="s">
        <v>1080</v>
      </c>
      <c r="B3504" s="0" t="s">
        <v>98</v>
      </c>
      <c r="F3504" s="6" t="n">
        <f aca="false">Sens!F3485</f>
        <v>136.833489269307</v>
      </c>
      <c r="G3504" s="6" t="n">
        <f aca="false">Sens!G3485</f>
        <v>151.160612035692</v>
      </c>
      <c r="H3504" s="6" t="n">
        <f aca="false">Sens!H3485</f>
        <v>170.711812459943</v>
      </c>
      <c r="I3504" s="6" t="n">
        <f aca="false">Sens!I3485</f>
        <v>190.02697038208</v>
      </c>
      <c r="J3504" s="6" t="n">
        <f aca="false">Sens!J3485</f>
        <v>207.356195080126</v>
      </c>
      <c r="K3504" s="6" t="n">
        <f aca="false">Sens!K3485</f>
        <v>223.29141632511</v>
      </c>
    </row>
    <row r="3505" customFormat="false" ht="17.15" hidden="false" customHeight="false" outlineLevel="0" collapsed="false">
      <c r="A3505" s="1" t="s">
        <v>1102</v>
      </c>
      <c r="B3505" s="0" t="s">
        <v>98</v>
      </c>
      <c r="E3505" s="6" t="n">
        <f aca="false">Q!M38-Sens!E3423</f>
        <v>22.2285940229167</v>
      </c>
      <c r="F3505" s="6" t="n">
        <f aca="false">Sens!E3505*(1-1/life_nonai)+(Sens!F3513+Sens!F3514)/life_nonai</f>
        <v>37.458367358225</v>
      </c>
      <c r="G3505" s="6" t="n">
        <f aca="false">Sens!F3505*(1-1/life_nonai)+(Sens!G3513)/life_nonai</f>
        <v>37.9209152260188</v>
      </c>
      <c r="H3505" s="6" t="n">
        <f aca="false">Sens!G3505*(1-1/life_nonai)+(Sens!H3513)/life_nonai</f>
        <v>38.9188775179148</v>
      </c>
      <c r="I3505" s="6" t="n">
        <f aca="false">Sens!H3505*(1-1/life_nonai)+(Sens!I3513)/life_nonai</f>
        <v>40.370990629089</v>
      </c>
      <c r="J3505" s="6" t="n">
        <f aca="false">Sens!I3505*(1-1/life_nonai)+(Sens!J3513)/life_nonai</f>
        <v>42.1799210747553</v>
      </c>
      <c r="K3505" s="6" t="n">
        <f aca="false">Sens!J3505*(1-1/life_nonai)+(Sens!K3513)/life_nonai</f>
        <v>44.2480713451083</v>
      </c>
      <c r="L3505" s="12" t="s">
        <v>1103</v>
      </c>
    </row>
    <row r="3506" customFormat="false" ht="17.15" hidden="false" customHeight="false" outlineLevel="0" collapsed="false">
      <c r="A3506" s="1" t="s">
        <v>1104</v>
      </c>
      <c r="B3506" s="0" t="s">
        <v>98</v>
      </c>
      <c r="F3506" s="6" t="n">
        <f aca="false">Sens!$F$3514/life_nonai*(1-1/life_nonai)^(Sens!F3386-2027)</f>
        <v>13.8171372338453</v>
      </c>
      <c r="G3506" s="6" t="n">
        <f aca="false">Sens!$F$3514/life_nonai*(1-1/life_nonai)^(Sens!G3386-2027)</f>
        <v>12.4354235104607</v>
      </c>
      <c r="H3506" s="6" t="n">
        <f aca="false">Sens!$F$3514/life_nonai*(1-1/life_nonai)^(Sens!H3386-2027)</f>
        <v>11.1918811594147</v>
      </c>
      <c r="I3506" s="6" t="n">
        <f aca="false">Sens!$F$3514/life_nonai*(1-1/life_nonai)^(Sens!I3386-2027)</f>
        <v>10.0726930434732</v>
      </c>
      <c r="J3506" s="6" t="n">
        <f aca="false">Sens!$F$3514/life_nonai*(1-1/life_nonai)^(Sens!J3386-2027)</f>
        <v>9.06542373912588</v>
      </c>
      <c r="K3506" s="6" t="n">
        <f aca="false">Sens!$F$3514/life_nonai*(1-1/life_nonai)^(Sens!K3386-2027)</f>
        <v>8.15888136521329</v>
      </c>
      <c r="L3506" s="1" t="s">
        <v>1105</v>
      </c>
    </row>
    <row r="3507" customFormat="false" ht="17.15" hidden="false" customHeight="false" outlineLevel="0" collapsed="false">
      <c r="A3507" s="1" t="s">
        <v>1106</v>
      </c>
      <c r="B3507" s="0" t="s">
        <v>98</v>
      </c>
      <c r="E3507" s="6" t="n">
        <f aca="false">Sens!E3423+Sens!E3505</f>
        <v>38.534</v>
      </c>
      <c r="F3507" s="6" t="n">
        <f aca="false">Sens!F3423+Sens!F3505</f>
        <v>62.007395035225</v>
      </c>
      <c r="G3507" s="6" t="n">
        <f aca="false">Sens!G3423+Sens!G3505</f>
        <v>67.1065480490188</v>
      </c>
      <c r="H3507" s="6" t="n">
        <f aca="false">Sens!H3423+Sens!H3505</f>
        <v>70.5964624349148</v>
      </c>
      <c r="I3507" s="6" t="n">
        <f aca="false">Sens!I3423+Sens!I3505</f>
        <v>72.6008555601168</v>
      </c>
      <c r="J3507" s="6" t="n">
        <f aca="false">Sens!J3423+Sens!J3505</f>
        <v>75.7961215511998</v>
      </c>
      <c r="K3507" s="6" t="n">
        <f aca="false">Sens!K3423+Sens!K3505</f>
        <v>80.355167395025</v>
      </c>
    </row>
    <row r="3508" customFormat="false" ht="17.15" hidden="false" customHeight="false" outlineLevel="0" collapsed="false">
      <c r="A3508" s="1" t="s">
        <v>1107</v>
      </c>
      <c r="B3508" s="0" t="s">
        <v>98</v>
      </c>
      <c r="F3508" s="6" t="n">
        <f aca="false">Sens!F3450*sbc_r</f>
        <v>14.513066366418</v>
      </c>
      <c r="G3508" s="6" t="n">
        <f aca="false">Sens!G3450*sbc_r</f>
        <v>16.3645618503556</v>
      </c>
      <c r="H3508" s="6" t="n">
        <f aca="false">Sens!H3450*sbc_r</f>
        <v>18.0765164245434</v>
      </c>
      <c r="I3508" s="6" t="n">
        <f aca="false">Sens!I3450*sbc_r</f>
        <v>19.6487847829266</v>
      </c>
      <c r="J3508" s="6" t="n">
        <f aca="false">Sens!J3450*sbc_r</f>
        <v>21.1150346788291</v>
      </c>
      <c r="K3508" s="6" t="n">
        <f aca="false">Sens!K3450*sbc_r</f>
        <v>22.5179439296426</v>
      </c>
    </row>
    <row r="3509" customFormat="false" ht="17.15" hidden="false" customHeight="false" outlineLevel="0" collapsed="false">
      <c r="A3509" s="1" t="s">
        <v>1108</v>
      </c>
      <c r="B3509" s="0" t="s">
        <v>98</v>
      </c>
      <c r="F3509" s="6" t="n">
        <f aca="false">wc27-wc26q1</f>
        <v>-4.677</v>
      </c>
      <c r="G3509" s="6" t="n">
        <f aca="false">wc_f</f>
        <v>0</v>
      </c>
      <c r="H3509" s="6" t="n">
        <f aca="false">wc_f</f>
        <v>0</v>
      </c>
      <c r="I3509" s="6" t="n">
        <f aca="false">wc_f</f>
        <v>0</v>
      </c>
      <c r="J3509" s="6" t="n">
        <f aca="false">wc_f</f>
        <v>0</v>
      </c>
      <c r="K3509" s="6" t="n">
        <f aca="false">wc_f</f>
        <v>0</v>
      </c>
      <c r="L3509" s="12" t="s">
        <v>1109</v>
      </c>
    </row>
    <row r="3510" customFormat="false" ht="17.15" hidden="false" customHeight="false" outlineLevel="0" collapsed="false">
      <c r="A3510" s="0" t="s">
        <v>1110</v>
      </c>
      <c r="B3510" s="0" t="s">
        <v>98</v>
      </c>
      <c r="F3510" s="6" t="n">
        <f aca="false">Q!$I$35-Q!$I$26-Q!$I$38-Q!$I$39</f>
        <v>6.493</v>
      </c>
      <c r="L3510" s="1" t="s">
        <v>1111</v>
      </c>
    </row>
    <row r="3511" customFormat="false" ht="15" hidden="false" customHeight="false" outlineLevel="0" collapsed="false">
      <c r="A3511" s="1" t="s">
        <v>908</v>
      </c>
      <c r="B3511" s="0" t="s">
        <v>98</v>
      </c>
      <c r="E3511" s="6" t="n">
        <f aca="false">Q!M35</f>
        <v>182.935</v>
      </c>
      <c r="F3511" s="6" t="n">
        <f aca="false">Sens!F3504+Sens!F3507+Sens!F3508+Sens!F3509+Sens!F3510</f>
        <v>215.16995067095</v>
      </c>
      <c r="G3511" s="6" t="n">
        <f aca="false">Sens!G3504+Sens!G3507+Sens!G3508+Sens!G3509</f>
        <v>234.631721935066</v>
      </c>
      <c r="H3511" s="6" t="n">
        <f aca="false">Sens!H3504+Sens!H3507+Sens!H3508+Sens!H3509</f>
        <v>259.384791319401</v>
      </c>
      <c r="I3511" s="6" t="n">
        <f aca="false">Sens!I3504+Sens!I3507+Sens!I3508+Sens!I3509</f>
        <v>282.276610725124</v>
      </c>
      <c r="J3511" s="6" t="n">
        <f aca="false">Sens!J3504+Sens!J3507+Sens!J3508+Sens!J3509</f>
        <v>304.267351310155</v>
      </c>
      <c r="K3511" s="6" t="n">
        <f aca="false">Sens!K3504+Sens!K3507+Sens!K3508+Sens!K3509</f>
        <v>326.164527649777</v>
      </c>
    </row>
    <row r="3512" customFormat="false" ht="17.15" hidden="false" customHeight="false" outlineLevel="0" collapsed="false">
      <c r="A3512" s="0" t="s">
        <v>1112</v>
      </c>
      <c r="B3512" s="0" t="s">
        <v>98</v>
      </c>
      <c r="F3512" s="6" t="n">
        <f aca="false">Sens!F3420</f>
        <v>29.673672624</v>
      </c>
      <c r="G3512" s="6" t="n">
        <f aca="false">Sens!G3420</f>
        <v>34.213759128</v>
      </c>
      <c r="H3512" s="6" t="n">
        <f aca="false">Sens!H3420</f>
        <v>0</v>
      </c>
      <c r="I3512" s="6" t="n">
        <f aca="false">Sens!I3420</f>
        <v>29.16074476</v>
      </c>
      <c r="J3512" s="6" t="n">
        <f aca="false">Sens!J3420</f>
        <v>44.03867576</v>
      </c>
      <c r="K3512" s="6" t="n">
        <f aca="false">Sens!K3420</f>
        <v>87.48223428</v>
      </c>
    </row>
    <row r="3513" customFormat="false" ht="17.15" hidden="false" customHeight="false" outlineLevel="0" collapsed="false">
      <c r="A3513" s="1" t="s">
        <v>1113</v>
      </c>
      <c r="B3513" s="0" t="s">
        <v>98</v>
      </c>
      <c r="E3513" s="6" t="n">
        <f aca="false">Sens!E3428*cx_azo+Sens!E3435*cx_m365+Sens!E3436*cx_lic+(Sens!E3438+Sens!E3440)*cx_ind+Sens!E3443*cx_srch+(Sens!E3445+Sens!E3447)*cx_dev</f>
        <v>30.1846587067718</v>
      </c>
      <c r="F3513" s="6" t="n">
        <f aca="false">Sens!F3428*cx_azo+Sens!F3435*cx_m365+Sens!F3436*cx_lic+(Sens!F3438+Sens!F3440)*cx_ind+Sens!F3443*cx_srch+(Sens!F3445+Sens!F3447)*cx_dev</f>
        <v>36.3549550375473</v>
      </c>
      <c r="G3513" s="6" t="n">
        <f aca="false">Sens!G3428*cx_azo+Sens!G3435*cx_m365+Sens!G3436*cx_lic+(Sens!G3438+Sens!G3440)*cx_ind+Sens!G3443*cx_srch+(Sens!G3445+Sens!G3447)*cx_dev</f>
        <v>42.0838460361629</v>
      </c>
      <c r="H3513" s="6" t="n">
        <f aca="false">Sens!H3428*cx_azo+Sens!H3435*cx_m365+Sens!H3436*cx_lic+(Sens!H3438+Sens!H3440)*cx_ind+Sens!H3443*cx_srch+(Sens!H3445+Sens!H3447)*cx_dev</f>
        <v>47.9005381449792</v>
      </c>
      <c r="I3513" s="6" t="n">
        <f aca="false">Sens!I3428*cx_azo+Sens!I3435*cx_m365+Sens!I3436*cx_lic+(Sens!I3438+Sens!I3440)*cx_ind+Sens!I3443*cx_srch+(Sens!I3445+Sens!I3447)*cx_dev</f>
        <v>53.4400086296567</v>
      </c>
      <c r="J3513" s="6" t="n">
        <f aca="false">Sens!J3428*cx_azo+Sens!J3435*cx_m365+Sens!J3436*cx_lic+(Sens!J3438+Sens!J3440)*cx_ind+Sens!J3443*cx_srch+(Sens!J3445+Sens!J3447)*cx_dev</f>
        <v>58.4602950857521</v>
      </c>
      <c r="K3513" s="6" t="n">
        <f aca="false">Sens!K3428*cx_azo+Sens!K3435*cx_m365+Sens!K3436*cx_lic+(Sens!K3438+Sens!K3440)*cx_ind+Sens!K3443*cx_srch+(Sens!K3445+Sens!K3447)*cx_dev</f>
        <v>62.8614237782849</v>
      </c>
    </row>
    <row r="3514" customFormat="false" ht="17.15" hidden="false" customHeight="false" outlineLevel="0" collapsed="false">
      <c r="A3514" s="0" t="s">
        <v>1114</v>
      </c>
      <c r="B3514" s="0" t="s">
        <v>98</v>
      </c>
      <c r="F3514" s="6" t="n">
        <f aca="false">Sens!F3418</f>
        <v>138.171372338453</v>
      </c>
      <c r="L3514" s="1" t="s">
        <v>1115</v>
      </c>
    </row>
    <row r="3515" customFormat="false" ht="17.15" hidden="false" customHeight="false" outlineLevel="0" collapsed="false">
      <c r="A3515" s="1" t="s">
        <v>1116</v>
      </c>
      <c r="B3515" s="0" t="s">
        <v>98</v>
      </c>
      <c r="E3515" s="6" t="n">
        <f aca="false">Q!M43</f>
        <v>145.3</v>
      </c>
      <c r="F3515" s="6" t="n">
        <f aca="false">Sens!F3512+Sens!F3513+Sens!F3514</f>
        <v>204.2</v>
      </c>
      <c r="G3515" s="6" t="n">
        <f aca="false">Sens!G3512+Sens!G3513</f>
        <v>76.2976051641629</v>
      </c>
      <c r="H3515" s="6" t="n">
        <f aca="false">Sens!H3512+Sens!H3513</f>
        <v>47.9005381449792</v>
      </c>
      <c r="I3515" s="6" t="n">
        <f aca="false">Sens!I3512+Sens!I3513</f>
        <v>82.6007533896567</v>
      </c>
      <c r="J3515" s="6" t="n">
        <f aca="false">Sens!J3512+Sens!J3513</f>
        <v>102.498970845752</v>
      </c>
      <c r="K3515" s="6" t="n">
        <f aca="false">Sens!K3512+Sens!K3513</f>
        <v>150.343658058285</v>
      </c>
      <c r="L3515" s="1" t="s">
        <v>1117</v>
      </c>
    </row>
    <row r="3516" customFormat="false" ht="15" hidden="false" customHeight="false" outlineLevel="0" collapsed="false">
      <c r="A3516" s="1" t="s">
        <v>1118</v>
      </c>
      <c r="B3516" s="0" t="s">
        <v>98</v>
      </c>
      <c r="E3516" s="6" t="n">
        <f aca="false">fl_liab</f>
        <v>66.594</v>
      </c>
      <c r="F3516" s="6" t="n">
        <f aca="false">Sens!E3516-Sens!F3517</f>
        <v>62.46973</v>
      </c>
      <c r="G3516" s="6" t="n">
        <f aca="false">Sens!F3516-Sens!G3517</f>
        <v>57.98686785</v>
      </c>
      <c r="H3516" s="6" t="n">
        <f aca="false">Sens!G3516-Sens!H3517</f>
        <v>53.92827690325</v>
      </c>
      <c r="I3516" s="6" t="n">
        <f aca="false">Sens!H3516-Sens!I3517</f>
        <v>49.7850493638962</v>
      </c>
      <c r="J3516" s="6" t="n">
        <f aca="false">Sens!I3516-Sens!J3517</f>
        <v>45.4823765852716</v>
      </c>
      <c r="K3516" s="6" t="n">
        <f aca="false">Sens!J3516-Sens!K3517</f>
        <v>40.9860835316088</v>
      </c>
    </row>
    <row r="3517" customFormat="false" ht="15" hidden="false" customHeight="false" outlineLevel="0" collapsed="false">
      <c r="A3517" s="1" t="s">
        <v>1119</v>
      </c>
      <c r="B3517" s="0" t="s">
        <v>98</v>
      </c>
      <c r="F3517" s="6" t="n">
        <f aca="false">fl_pay_27-Sens!E3516*fl_rate</f>
        <v>4.12427</v>
      </c>
      <c r="G3517" s="6" t="n">
        <f aca="false">fl_pay_28-Sens!F3516*fl_rate</f>
        <v>4.48286215</v>
      </c>
      <c r="H3517" s="6" t="n">
        <f aca="false">fl_pay_29-Sens!G3516*fl_rate</f>
        <v>4.05859094675</v>
      </c>
      <c r="I3517" s="6" t="n">
        <f aca="false">fl_pay_30-Sens!H3516*fl_rate</f>
        <v>4.14322753935375</v>
      </c>
      <c r="J3517" s="6" t="n">
        <f aca="false">fl_pay_31-Sens!I3516*fl_rate</f>
        <v>4.30267277862467</v>
      </c>
      <c r="K3517" s="6" t="n">
        <f aca="false">fl_pay_32-Sens!J3516*fl_rate</f>
        <v>4.49629305366278</v>
      </c>
    </row>
    <row r="3518" customFormat="false" ht="17.15" hidden="false" customHeight="false" outlineLevel="0" collapsed="false">
      <c r="A3518" s="1" t="s">
        <v>1120</v>
      </c>
      <c r="B3518" s="0" t="s">
        <v>98</v>
      </c>
      <c r="E3518" s="6" t="n">
        <f aca="false">Q!M35-Q!M36-Q!M44</f>
        <v>63.886</v>
      </c>
      <c r="F3518" s="6" t="n">
        <f aca="false">Sens!F3511-Sens!F3515-Sens!F3517</f>
        <v>6.84568067094963</v>
      </c>
      <c r="G3518" s="6" t="n">
        <f aca="false">Sens!G3511-Sens!G3515-Sens!G3517</f>
        <v>153.851254620904</v>
      </c>
      <c r="H3518" s="6" t="n">
        <f aca="false">Sens!H3511-Sens!H3515-Sens!H3517</f>
        <v>207.425662227672</v>
      </c>
      <c r="I3518" s="6" t="n">
        <f aca="false">Sens!I3511-Sens!I3515-Sens!I3517</f>
        <v>195.532629796113</v>
      </c>
      <c r="J3518" s="6" t="n">
        <f aca="false">Sens!J3511-Sens!J3515-Sens!J3517</f>
        <v>197.465707685778</v>
      </c>
      <c r="K3518" s="6" t="n">
        <f aca="false">Sens!K3511-Sens!K3515-Sens!K3517</f>
        <v>171.324576537829</v>
      </c>
      <c r="L3518" s="12" t="s">
        <v>1121</v>
      </c>
    </row>
    <row r="3519" customFormat="false" ht="15" hidden="false" customHeight="false" outlineLevel="0" collapsed="false">
      <c r="A3519" s="1" t="s">
        <v>1122</v>
      </c>
      <c r="B3519" s="0" t="s">
        <v>75</v>
      </c>
      <c r="F3519" s="8" t="n">
        <f aca="false">dps_27</f>
        <v>3.85</v>
      </c>
      <c r="G3519" s="8" t="n">
        <f aca="false">Sens!F3519*(1+dps_g)</f>
        <v>4.158</v>
      </c>
      <c r="H3519" s="8" t="n">
        <f aca="false">Sens!G3519*(1+dps_g)</f>
        <v>4.49064</v>
      </c>
      <c r="I3519" s="8" t="n">
        <f aca="false">Sens!H3519*(1+dps_g)</f>
        <v>4.8498912</v>
      </c>
      <c r="J3519" s="8" t="n">
        <f aca="false">Sens!I3519*(1+dps_g)</f>
        <v>5.237882496</v>
      </c>
      <c r="K3519" s="8" t="n">
        <f aca="false">Sens!J3519*(1+dps_g)</f>
        <v>5.65691309568</v>
      </c>
    </row>
    <row r="3520" customFormat="false" ht="17.15" hidden="false" customHeight="false" outlineLevel="0" collapsed="false">
      <c r="A3520" s="1" t="s">
        <v>1123</v>
      </c>
      <c r="B3520" s="0" t="s">
        <v>98</v>
      </c>
      <c r="E3520" s="6" t="n">
        <f aca="false">Q!M41</f>
        <v>26.445</v>
      </c>
      <c r="F3520" s="6" t="n">
        <f aca="false">Sens!F3519*Sens!E3529</f>
        <v>28.59395</v>
      </c>
      <c r="G3520" s="6" t="n">
        <f aca="false">Sens!G3519*Sens!F3529</f>
        <v>31.068576</v>
      </c>
      <c r="H3520" s="6" t="n">
        <f aca="false">Sens!H3519*Sens!G3529</f>
        <v>33.5883340530727</v>
      </c>
      <c r="I3520" s="6" t="n">
        <f aca="false">Sens!I3519*Sens!H3529</f>
        <v>36.3258390543911</v>
      </c>
      <c r="J3520" s="6" t="n">
        <f aca="false">Sens!J3519*Sens!I3529</f>
        <v>39.299804064135</v>
      </c>
      <c r="K3520" s="6" t="n">
        <f aca="false">Sens!K3519*Sens!J3529</f>
        <v>42.5305426516441</v>
      </c>
      <c r="L3520" s="1" t="s">
        <v>1124</v>
      </c>
    </row>
    <row r="3521" customFormat="false" ht="15" hidden="false" customHeight="false" outlineLevel="0" collapsed="false">
      <c r="A3521" s="1" t="s">
        <v>1125</v>
      </c>
      <c r="B3521" s="0" t="s">
        <v>98</v>
      </c>
      <c r="E3521" s="6" t="n">
        <f aca="false">Sens!E3518-Sens!E3520</f>
        <v>37.441</v>
      </c>
      <c r="F3521" s="6" t="n">
        <f aca="false">Sens!F3518-Sens!F3520</f>
        <v>-21.7482693290504</v>
      </c>
      <c r="G3521" s="6" t="n">
        <f aca="false">Sens!G3518-Sens!G3520</f>
        <v>122.782678620904</v>
      </c>
      <c r="H3521" s="6" t="n">
        <f aca="false">Sens!H3518-Sens!H3520</f>
        <v>173.837328174599</v>
      </c>
      <c r="I3521" s="6" t="n">
        <f aca="false">Sens!I3518-Sens!I3520</f>
        <v>159.206790741722</v>
      </c>
      <c r="J3521" s="6" t="n">
        <f aca="false">Sens!J3518-Sens!J3520</f>
        <v>158.165903621643</v>
      </c>
      <c r="K3521" s="6" t="n">
        <f aca="false">Sens!K3518-Sens!K3520</f>
        <v>128.794033886185</v>
      </c>
    </row>
    <row r="3522" customFormat="false" ht="15" hidden="false" customHeight="false" outlineLevel="0" collapsed="false">
      <c r="A3522" s="1" t="s">
        <v>1126</v>
      </c>
      <c r="B3522" s="0" t="s">
        <v>98</v>
      </c>
      <c r="F3522" s="6" t="n">
        <f aca="false">debt_mat_27</f>
        <v>9.25</v>
      </c>
      <c r="G3522" s="6" t="n">
        <f aca="false">debt_mat_28</f>
        <v>0</v>
      </c>
      <c r="H3522" s="6" t="n">
        <f aca="false">debt_mat_29</f>
        <v>2.001</v>
      </c>
      <c r="I3522" s="6" t="n">
        <f aca="false">debt_mat_30</f>
        <v>0</v>
      </c>
      <c r="J3522" s="6" t="n">
        <f aca="false">debt_mat_31</f>
        <v>0.5</v>
      </c>
      <c r="K3522" s="6" t="n">
        <f aca="false">debt_mat_32</f>
        <v>0</v>
      </c>
    </row>
    <row r="3523" customFormat="false" ht="15" hidden="false" customHeight="false" outlineLevel="0" collapsed="false">
      <c r="A3523" s="1" t="s">
        <v>1127</v>
      </c>
      <c r="B3523" s="0" t="s">
        <v>98</v>
      </c>
      <c r="E3523" s="6" t="n">
        <f aca="false">Q!M40</f>
        <v>22.271</v>
      </c>
      <c r="F3523" s="6" t="n">
        <f aca="false">MAX(0,MIN(bb_target,Sens!E3525+Sens!F3521-Sens!F3522-min_cash))</f>
        <v>0</v>
      </c>
      <c r="G3523" s="6" t="n">
        <f aca="false">MAX(0,MIN(bb_target,Sens!F3525+Sens!G3521-Sens!G3522-min_cash))</f>
        <v>22.271</v>
      </c>
      <c r="H3523" s="6" t="n">
        <f aca="false">MAX(0,MIN(bb_target,Sens!G3525+Sens!H3521-Sens!H3522-min_cash))</f>
        <v>22.271</v>
      </c>
      <c r="I3523" s="6" t="n">
        <f aca="false">MAX(0,MIN(bb_target,Sens!H3525+Sens!I3521-Sens!I3522-min_cash))</f>
        <v>22.271</v>
      </c>
      <c r="J3523" s="6" t="n">
        <f aca="false">MAX(0,MIN(bb_target,Sens!I3525+Sens!J3521-Sens!J3522-min_cash))</f>
        <v>22.271</v>
      </c>
      <c r="K3523" s="6" t="n">
        <f aca="false">MAX(0,MIN(bb_target,Sens!J3525+Sens!K3521-Sens!K3522-min_cash))</f>
        <v>22.271</v>
      </c>
    </row>
    <row r="3524" customFormat="false" ht="15" hidden="false" customHeight="false" outlineLevel="0" collapsed="false">
      <c r="A3524" s="1" t="s">
        <v>1128</v>
      </c>
      <c r="B3524" s="0" t="s">
        <v>98</v>
      </c>
      <c r="F3524" s="6" t="n">
        <f aca="false">MAX(0,min_cash-(Sens!E3525+Sens!F3521-Sens!F3522-Sens!F3523))</f>
        <v>4.15526932905037</v>
      </c>
      <c r="G3524" s="6" t="n">
        <f aca="false">MAX(0,min_cash-(Sens!F3525+Sens!G3521-Sens!G3522-Sens!G3523))</f>
        <v>0</v>
      </c>
      <c r="H3524" s="6" t="n">
        <f aca="false">MAX(0,min_cash-(Sens!G3525+Sens!H3521-Sens!H3522-Sens!H3523))</f>
        <v>0</v>
      </c>
      <c r="I3524" s="6" t="n">
        <f aca="false">MAX(0,min_cash-(Sens!H3525+Sens!I3521-Sens!I3522-Sens!I3523))</f>
        <v>0</v>
      </c>
      <c r="J3524" s="6" t="n">
        <f aca="false">MAX(0,min_cash-(Sens!I3525+Sens!J3521-Sens!J3522-Sens!J3523))</f>
        <v>0</v>
      </c>
      <c r="K3524" s="6" t="n">
        <f aca="false">MAX(0,min_cash-(Sens!J3525+Sens!K3521-Sens!K3522-Sens!K3523))</f>
        <v>0</v>
      </c>
    </row>
    <row r="3525" customFormat="false" ht="15" hidden="false" customHeight="false" outlineLevel="0" collapsed="false">
      <c r="A3525" s="1" t="s">
        <v>1129</v>
      </c>
      <c r="B3525" s="0" t="s">
        <v>98</v>
      </c>
      <c r="E3525" s="6" t="n">
        <f aca="false">cash_open</f>
        <v>76.843</v>
      </c>
      <c r="F3525" s="6" t="n">
        <f aca="false">Sens!E3525+Sens!F3521-Sens!F3522-Sens!F3523+Sens!F3524</f>
        <v>50</v>
      </c>
      <c r="G3525" s="6" t="n">
        <f aca="false">Sens!F3525+Sens!G3521-Sens!G3522-Sens!G3523+Sens!G3524</f>
        <v>150.511678620904</v>
      </c>
      <c r="H3525" s="6" t="n">
        <f aca="false">Sens!G3525+Sens!H3521-Sens!H3522-Sens!H3523+Sens!H3524</f>
        <v>300.077006795503</v>
      </c>
      <c r="I3525" s="6" t="n">
        <f aca="false">Sens!H3525+Sens!I3521-Sens!I3522-Sens!I3523+Sens!I3524</f>
        <v>437.012797537225</v>
      </c>
      <c r="J3525" s="6" t="n">
        <f aca="false">Sens!I3525+Sens!J3521-Sens!J3522-Sens!J3523+Sens!J3524</f>
        <v>572.407701158868</v>
      </c>
      <c r="K3525" s="6" t="n">
        <f aca="false">Sens!J3525+Sens!K3521-Sens!K3522-Sens!K3523+Sens!K3524</f>
        <v>678.930735045053</v>
      </c>
    </row>
    <row r="3526" customFormat="false" ht="15" hidden="false" customHeight="false" outlineLevel="0" collapsed="false">
      <c r="A3526" s="1" t="s">
        <v>1130</v>
      </c>
      <c r="B3526" s="0" t="s">
        <v>98</v>
      </c>
      <c r="E3526" s="6" t="n">
        <f aca="false">debt_face</f>
        <v>46.136</v>
      </c>
      <c r="F3526" s="6" t="n">
        <f aca="false">Sens!E3526-Sens!F3522+Sens!F3524</f>
        <v>41.0412693290504</v>
      </c>
      <c r="G3526" s="6" t="n">
        <f aca="false">Sens!F3526-Sens!G3522+Sens!G3524</f>
        <v>41.0412693290504</v>
      </c>
      <c r="H3526" s="6" t="n">
        <f aca="false">Sens!G3526-Sens!H3522+Sens!H3524</f>
        <v>39.0402693290504</v>
      </c>
      <c r="I3526" s="6" t="n">
        <f aca="false">Sens!H3526-Sens!I3522+Sens!I3524</f>
        <v>39.0402693290504</v>
      </c>
      <c r="J3526" s="6" t="n">
        <f aca="false">Sens!I3526-Sens!J3522+Sens!J3524</f>
        <v>38.5402693290504</v>
      </c>
      <c r="K3526" s="6" t="n">
        <f aca="false">Sens!J3526-Sens!K3522+Sens!K3524</f>
        <v>38.5402693290504</v>
      </c>
    </row>
    <row r="3527" customFormat="false" ht="15" hidden="false" customHeight="false" outlineLevel="0" collapsed="false">
      <c r="A3527" s="1" t="s">
        <v>1131</v>
      </c>
      <c r="B3527" s="0" t="s">
        <v>98</v>
      </c>
      <c r="E3527" s="6" t="n">
        <f aca="false">Sens!E3525-Sens!E3526</f>
        <v>30.707</v>
      </c>
      <c r="F3527" s="6" t="n">
        <f aca="false">Sens!F3525-Sens!F3526</f>
        <v>8.95873067094963</v>
      </c>
      <c r="G3527" s="6" t="n">
        <f aca="false">Sens!G3525-Sens!G3526</f>
        <v>109.470409291853</v>
      </c>
      <c r="H3527" s="6" t="n">
        <f aca="false">Sens!H3525-Sens!H3526</f>
        <v>261.036737466453</v>
      </c>
      <c r="I3527" s="6" t="n">
        <f aca="false">Sens!I3525-Sens!I3526</f>
        <v>397.972528208175</v>
      </c>
      <c r="J3527" s="6" t="n">
        <f aca="false">Sens!J3525-Sens!J3526</f>
        <v>533.867431829818</v>
      </c>
      <c r="K3527" s="6" t="n">
        <f aca="false">Sens!K3525-Sens!K3526</f>
        <v>640.390465716003</v>
      </c>
    </row>
    <row r="3528" customFormat="false" ht="15" hidden="false" customHeight="false" outlineLevel="0" collapsed="false">
      <c r="A3528" s="1" t="s">
        <v>1132</v>
      </c>
      <c r="B3528" s="0" t="s">
        <v>75</v>
      </c>
      <c r="F3528" s="30" t="n">
        <f aca="false">px*(1+bb_g)^(Sens!F3386-base_fy-mid_yr)</f>
        <v>551.84177959629</v>
      </c>
      <c r="G3528" s="30" t="n">
        <f aca="false">px*(1+bb_g)^(Sens!G3386-base_fy-mid_yr)</f>
        <v>595.989121963993</v>
      </c>
      <c r="H3528" s="30" t="n">
        <f aca="false">px*(1+bb_g)^(Sens!H3386-base_fy-mid_yr)</f>
        <v>643.668251721112</v>
      </c>
      <c r="I3528" s="30" t="n">
        <f aca="false">px*(1+bb_g)^(Sens!I3386-base_fy-mid_yr)</f>
        <v>695.161711858801</v>
      </c>
      <c r="J3528" s="30" t="n">
        <f aca="false">px*(1+bb_g)^(Sens!J3386-base_fy-mid_yr)</f>
        <v>750.774648807506</v>
      </c>
      <c r="K3528" s="30" t="n">
        <f aca="false">px*(1+bb_g)^(Sens!K3386-base_fy-mid_yr)</f>
        <v>810.836620712106</v>
      </c>
    </row>
    <row r="3529" customFormat="false" ht="15" hidden="false" customHeight="false" outlineLevel="0" collapsed="false">
      <c r="A3529" s="1" t="s">
        <v>1133</v>
      </c>
      <c r="B3529" s="1" t="s">
        <v>81</v>
      </c>
      <c r="E3529" s="15" t="n">
        <f aca="false">sh_out26</f>
        <v>7.427</v>
      </c>
      <c r="F3529" s="15" t="n">
        <f aca="false">Sens!E3529+sh_iss-Sens!F3523/Sens!F3528</f>
        <v>7.472</v>
      </c>
      <c r="G3529" s="15" t="n">
        <f aca="false">Sens!F3529+sh_iss-Sens!G3523/Sens!G3528</f>
        <v>7.47963186830221</v>
      </c>
      <c r="H3529" s="15" t="n">
        <f aca="false">Sens!G3529+sh_iss-Sens!H3523/Sens!H3528</f>
        <v>7.49003174635981</v>
      </c>
      <c r="I3529" s="15" t="n">
        <f aca="false">Sens!H3529+sh_iss-Sens!I3523/Sens!I3528</f>
        <v>7.50299459641315</v>
      </c>
      <c r="J3529" s="15" t="n">
        <f aca="false">Sens!I3529+sh_iss-Sens!J3523/Sens!J3528</f>
        <v>7.51833056868476</v>
      </c>
      <c r="K3529" s="15" t="n">
        <f aca="false">Sens!J3529+sh_iss-Sens!K3523/Sens!K3528</f>
        <v>7.53586387634365</v>
      </c>
    </row>
    <row r="3530" customFormat="false" ht="15" hidden="false" customHeight="false" outlineLevel="0" collapsed="false">
      <c r="A3530" s="1" t="s">
        <v>1134</v>
      </c>
      <c r="B3530" s="1" t="s">
        <v>81</v>
      </c>
      <c r="E3530" s="15" t="n">
        <f aca="false">sh_dil26</f>
        <v>7.453</v>
      </c>
      <c r="F3530" s="15" t="n">
        <f aca="false">(Sens!E3529+Sens!F3529)/2+dil_gap</f>
        <v>7.4735</v>
      </c>
      <c r="G3530" s="15" t="n">
        <f aca="false">(Sens!F3529+Sens!G3529)/2+dil_gap</f>
        <v>7.49981593415111</v>
      </c>
      <c r="H3530" s="15" t="n">
        <f aca="false">(Sens!G3529+Sens!H3529)/2+dil_gap</f>
        <v>7.50883180733101</v>
      </c>
      <c r="I3530" s="15" t="n">
        <f aca="false">(Sens!H3529+Sens!I3529)/2+dil_gap</f>
        <v>7.52051317138648</v>
      </c>
      <c r="J3530" s="15" t="n">
        <f aca="false">(Sens!I3529+Sens!J3529)/2+dil_gap</f>
        <v>7.53466258254895</v>
      </c>
      <c r="K3530" s="15" t="n">
        <f aca="false">(Sens!J3529+Sens!K3529)/2+dil_gap</f>
        <v>7.55109722251421</v>
      </c>
    </row>
    <row r="3531" customFormat="false" ht="17.15" hidden="false" customHeight="false" outlineLevel="0" collapsed="false">
      <c r="A3531" s="1" t="s">
        <v>1135</v>
      </c>
      <c r="B3531" s="0" t="s">
        <v>98</v>
      </c>
      <c r="C3531" s="6" t="n">
        <f aca="false">SUM(Sens!F3521:J3521)</f>
        <v>592.244431829818</v>
      </c>
    </row>
    <row r="3532" customFormat="false" ht="15" hidden="false" customHeight="false" outlineLevel="0" collapsed="false">
      <c r="A3532" s="26" t="s">
        <v>1100</v>
      </c>
      <c r="B3532" s="31" t="s">
        <v>98</v>
      </c>
      <c r="C3532" s="27" t="n">
        <f aca="false">Sens!$C$3531-(Sens!F3521+Sens!G3521+Sens!H3521+Sens!I3521+Sens!J3521)</f>
        <v>0</v>
      </c>
      <c r="D3532" s="31"/>
      <c r="E3532" s="31"/>
      <c r="F3532" s="31"/>
      <c r="G3532" s="31"/>
      <c r="H3532" s="31"/>
      <c r="I3532" s="31"/>
      <c r="J3532" s="31"/>
      <c r="K3532" s="31"/>
    </row>
    <row r="3533" customFormat="false" ht="17.15" hidden="false" customHeight="false" outlineLevel="0" collapsed="false">
      <c r="A3533" s="1" t="s">
        <v>1094</v>
      </c>
      <c r="B3533" s="1" t="s">
        <v>1136</v>
      </c>
      <c r="C3533" s="33" t="str">
        <f aca="false">IF(SUM(Sens!F3524:J3524)&gt;0.05,"需要舉債 "&amp;TEXT(SUM(Sens!F3524:J3524),"0.0")&amp;" 十億美元","不需舉債")&amp;"；"&amp;IF(SUM(Sens!F3523:J3523)&lt;COUNT(Sens!F3523:J3523)*bb_target-0.05,"回購較每年 "&amp;TEXT(bb_target,"0.0")&amp;" 的目標少 "&amp;TEXT(COUNT(Sens!F3523:J3523)*bb_target-SUM(Sens!F3523:J3523),"0.0")&amp;" 十億美元（"&amp;TEXT(COUNTIF(Sens!F3523:J3523,"&lt;"&amp;(bb_target-0.05)),"0")&amp;" 年減少）","回購不減")</f>
        <v>需要舉債 4.2 十億美元；回購較每年 22.3 的目標少 22.3 十億美元（1 年減少）</v>
      </c>
    </row>
    <row r="3534" customFormat="false" ht="17.15" hidden="false" customHeight="false" outlineLevel="0" collapsed="false">
      <c r="A3534" s="3" t="s">
        <v>1699</v>
      </c>
    </row>
    <row r="3535" customFormat="false" ht="15" hidden="false" customHeight="false" outlineLevel="0" collapsed="false">
      <c r="A3535" s="4" t="s">
        <v>43</v>
      </c>
      <c r="B3535" s="4" t="s">
        <v>65</v>
      </c>
      <c r="C3535" s="23" t="s">
        <v>942</v>
      </c>
      <c r="D3535" s="23" t="s">
        <v>943</v>
      </c>
      <c r="E3535" s="23" t="s">
        <v>944</v>
      </c>
      <c r="F3535" s="23" t="s">
        <v>945</v>
      </c>
      <c r="G3535" s="23" t="s">
        <v>946</v>
      </c>
      <c r="H3535" s="23" t="s">
        <v>947</v>
      </c>
      <c r="I3535" s="23" t="s">
        <v>948</v>
      </c>
      <c r="J3535" s="23" t="s">
        <v>949</v>
      </c>
      <c r="K3535" s="23" t="s">
        <v>950</v>
      </c>
      <c r="L3535" s="4" t="s">
        <v>47</v>
      </c>
    </row>
    <row r="3536" customFormat="false" ht="17.15" hidden="false" customHeight="false" outlineLevel="0" collapsed="false">
      <c r="A3536" s="1" t="s">
        <v>1216</v>
      </c>
      <c r="B3536" s="1" t="s">
        <v>279</v>
      </c>
      <c r="F3536" s="8" t="n">
        <f aca="false">(1-v_off)*mid_yr</f>
        <v>0.373972602739726</v>
      </c>
      <c r="G3536" s="8" t="n">
        <f aca="false">Sens!G3386-base_fy-mid_yr-v_off</f>
        <v>1.24794520547945</v>
      </c>
      <c r="H3536" s="8" t="n">
        <f aca="false">Sens!H3386-base_fy-mid_yr-v_off</f>
        <v>2.24794520547945</v>
      </c>
      <c r="I3536" s="8" t="n">
        <f aca="false">Sens!I3386-base_fy-mid_yr-v_off</f>
        <v>3.24794520547945</v>
      </c>
      <c r="J3536" s="8" t="n">
        <f aca="false">Sens!J3386-base_fy-mid_yr-v_off</f>
        <v>4.24794520547945</v>
      </c>
      <c r="K3536" s="8" t="n">
        <f aca="false">Sens!K3386-base_fy-mid_yr-v_off</f>
        <v>5.24794520547945</v>
      </c>
      <c r="L3536" s="12" t="s">
        <v>1217</v>
      </c>
    </row>
    <row r="3537" customFormat="false" ht="15" hidden="false" customHeight="false" outlineLevel="0" collapsed="false">
      <c r="A3537" s="1" t="s">
        <v>1218</v>
      </c>
      <c r="B3537" s="1" t="s">
        <v>279</v>
      </c>
      <c r="F3537" s="8" t="n">
        <f aca="false">Sens!F3386-base_fy-v_off</f>
        <v>0.747945205479452</v>
      </c>
      <c r="G3537" s="8" t="n">
        <f aca="false">Sens!G3386-base_fy-v_off</f>
        <v>1.74794520547945</v>
      </c>
      <c r="H3537" s="8" t="n">
        <f aca="false">Sens!H3386-base_fy-v_off</f>
        <v>2.74794520547945</v>
      </c>
      <c r="I3537" s="8" t="n">
        <f aca="false">Sens!I3386-base_fy-v_off</f>
        <v>3.74794520547945</v>
      </c>
      <c r="J3537" s="8" t="n">
        <f aca="false">Sens!J3386-base_fy-v_off</f>
        <v>4.74794520547945</v>
      </c>
      <c r="K3537" s="8" t="n">
        <f aca="false">Sens!K3386-base_fy-v_off</f>
        <v>5.74794520547945</v>
      </c>
    </row>
    <row r="3538" customFormat="false" ht="15" hidden="false" customHeight="false" outlineLevel="0" collapsed="false">
      <c r="A3538" s="1" t="s">
        <v>1219</v>
      </c>
      <c r="B3538" s="0" t="s">
        <v>229</v>
      </c>
      <c r="F3538" s="15" t="n">
        <f aca="false">1/(1+wacc)^Sens!F3536</f>
        <v>0.964022703286649</v>
      </c>
      <c r="G3538" s="15" t="n">
        <f aca="false">1/(1+wacc)^Sens!G3536</f>
        <v>0.884910302296739</v>
      </c>
      <c r="H3538" s="15" t="n">
        <f aca="false">1/(1+wacc)^Sens!H3536</f>
        <v>0.802322009770358</v>
      </c>
      <c r="I3538" s="15" t="n">
        <f aca="false">1/(1+wacc)^Sens!I3536</f>
        <v>0.727441646561469</v>
      </c>
      <c r="J3538" s="15" t="n">
        <f aca="false">1/(1+wacc)^Sens!J3536</f>
        <v>0.659549834988973</v>
      </c>
      <c r="K3538" s="15" t="n">
        <f aca="false">1/(1+wacc)^Sens!K3536</f>
        <v>0.597994336576966</v>
      </c>
    </row>
    <row r="3539" customFormat="false" ht="17.15" hidden="false" customHeight="false" outlineLevel="0" collapsed="false">
      <c r="A3539" s="1" t="s">
        <v>1220</v>
      </c>
      <c r="B3539" s="0" t="s">
        <v>98</v>
      </c>
      <c r="F3539" s="6" t="n">
        <f aca="false">Q!$I$35-Q!$I$39-Q!$I$43</f>
        <v>9.666</v>
      </c>
      <c r="L3539" s="12" t="s">
        <v>1221</v>
      </c>
    </row>
    <row r="3540" customFormat="false" ht="17.15" hidden="false" customHeight="false" outlineLevel="0" collapsed="false">
      <c r="A3540" s="1" t="s">
        <v>1222</v>
      </c>
      <c r="B3540" s="0" t="s">
        <v>98</v>
      </c>
      <c r="F3540" s="6" t="n">
        <f aca="false">Sens!F3511-Sens!F3508-Sens!F3515+Sens!F3493*(1-tax_f)*(1-v_off)-Sens!F3539</f>
        <v>-11.7340109471702</v>
      </c>
      <c r="G3540" s="6" t="n">
        <f aca="false">Sens!G3511-Sens!G3508-Sens!G3515+Sens!G3493*(1-tax_f)</f>
        <v>143.778695098618</v>
      </c>
      <c r="H3540" s="6" t="n">
        <f aca="false">Sens!H3511-Sens!H3508-Sens!H3515+Sens!H3493*(1-tax_f)</f>
        <v>193.780638854111</v>
      </c>
      <c r="I3540" s="6" t="n">
        <f aca="false">Sens!I3511-Sens!I3508-Sens!I3515+Sens!I3493*(1-tax_f)</f>
        <v>180.02707255254</v>
      </c>
      <c r="J3540" s="6" t="n">
        <f aca="false">Sens!J3511-Sens!J3508-Sens!J3515+Sens!J3493*(1-tax_f)</f>
        <v>180.653345785574</v>
      </c>
      <c r="K3540" s="6" t="n">
        <f aca="false">Sens!K3511-Sens!K3508-Sens!K3515+Sens!K3493*(1-tax_f)</f>
        <v>153.30292566185</v>
      </c>
      <c r="L3540" s="1" t="s">
        <v>1223</v>
      </c>
    </row>
    <row r="3541" customFormat="false" ht="15" hidden="false" customHeight="false" outlineLevel="0" collapsed="false">
      <c r="A3541" s="1" t="s">
        <v>1224</v>
      </c>
      <c r="B3541" s="0" t="s">
        <v>98</v>
      </c>
      <c r="F3541" s="6" t="n">
        <f aca="false">Sens!F3540*Sens!F3538</f>
        <v>-11.3118529536861</v>
      </c>
      <c r="G3541" s="6" t="n">
        <f aca="false">Sens!G3540*Sens!G3538</f>
        <v>127.231248543549</v>
      </c>
      <c r="H3541" s="6" t="n">
        <f aca="false">Sens!H3540*Sens!H3538</f>
        <v>155.474471620014</v>
      </c>
      <c r="I3541" s="6" t="n">
        <f aca="false">Sens!I3540*Sens!I3538</f>
        <v>130.959190083261</v>
      </c>
      <c r="J3541" s="6" t="n">
        <f aca="false">Sens!J3540*Sens!J3538</f>
        <v>119.149884403081</v>
      </c>
      <c r="K3541" s="6" t="n">
        <f aca="false">Sens!K3540*Sens!K3538</f>
        <v>91.6742813264656</v>
      </c>
    </row>
    <row r="3542" customFormat="false" ht="17.15" hidden="false" customHeight="false" outlineLevel="0" collapsed="false">
      <c r="A3542" s="1" t="s">
        <v>1225</v>
      </c>
      <c r="B3542" s="0" t="s">
        <v>98</v>
      </c>
      <c r="C3542" s="6" t="n">
        <f aca="false">SUM(Sens!F3541:K3541)</f>
        <v>613.177223022684</v>
      </c>
    </row>
    <row r="3543" customFormat="false" ht="17.15" hidden="false" customHeight="false" outlineLevel="0" collapsed="false">
      <c r="A3543" s="1" t="s">
        <v>1226</v>
      </c>
      <c r="B3543" s="0" t="s">
        <v>98</v>
      </c>
      <c r="C3543" s="6" t="n">
        <f aca="false">Sens!K3479*(1+g_tv)*(1-tax_f)</f>
        <v>230.978958814863</v>
      </c>
    </row>
    <row r="3544" customFormat="false" ht="17.15" hidden="false" customHeight="false" outlineLevel="0" collapsed="false">
      <c r="A3544" s="1" t="s">
        <v>1227</v>
      </c>
      <c r="B3544" s="0" t="s">
        <v>98</v>
      </c>
      <c r="C3544" s="6" t="n">
        <f aca="false">Sens!$C$3543*(1-g_tv/(wacc+ronic_prem))</f>
        <v>163.662092180839</v>
      </c>
    </row>
    <row r="3545" customFormat="false" ht="17.15" hidden="false" customHeight="false" outlineLevel="0" collapsed="false">
      <c r="A3545" s="1" t="s">
        <v>1228</v>
      </c>
      <c r="B3545" s="0" t="s">
        <v>98</v>
      </c>
      <c r="C3545" s="6" t="n">
        <f aca="false">Sens!$C$3544/(wacc-g_tv)</f>
        <v>2243.89555446748</v>
      </c>
    </row>
    <row r="3546" customFormat="false" ht="15" hidden="false" customHeight="false" outlineLevel="0" collapsed="false">
      <c r="A3546" s="1" t="s">
        <v>1229</v>
      </c>
      <c r="B3546" s="0" t="s">
        <v>98</v>
      </c>
      <c r="C3546" s="6" t="n">
        <f aca="false">Sens!$C$3545/(1+wacc)^Sens!K3537</f>
        <v>1277.68688386256</v>
      </c>
    </row>
    <row r="3547" customFormat="false" ht="17.15" hidden="false" customHeight="false" outlineLevel="0" collapsed="false">
      <c r="A3547" s="0" t="s">
        <v>1230</v>
      </c>
      <c r="B3547" s="0" t="s">
        <v>98</v>
      </c>
      <c r="C3547" s="6" t="n">
        <f aca="false">Sens!$C$3542+Sens!$C$3546</f>
        <v>1890.86410688525</v>
      </c>
    </row>
    <row r="3548" customFormat="false" ht="15" hidden="false" customHeight="false" outlineLevel="0" collapsed="false">
      <c r="A3548" s="1" t="s">
        <v>1145</v>
      </c>
      <c r="B3548" s="0" t="s">
        <v>168</v>
      </c>
      <c r="C3548" s="7" t="n">
        <f aca="false">Sens!$C$3546/Sens!$C$3547</f>
        <v>0.675715869379556</v>
      </c>
    </row>
    <row r="3549" customFormat="false" ht="17.15" hidden="false" customHeight="false" outlineLevel="0" collapsed="false">
      <c r="A3549" s="1" t="s">
        <v>1231</v>
      </c>
      <c r="B3549" s="0" t="s">
        <v>98</v>
      </c>
      <c r="C3549" s="6" t="n">
        <f aca="false">Sens!$C$3547+cash_val-debt_val-fl_val+oai_v</f>
        <v>2006.71510688525</v>
      </c>
    </row>
    <row r="3550" customFormat="false" ht="17.15" hidden="false" customHeight="false" outlineLevel="0" collapsed="false">
      <c r="A3550" s="0" t="s">
        <v>1153</v>
      </c>
      <c r="B3550" s="0" t="s">
        <v>75</v>
      </c>
      <c r="C3550" s="5" t="n">
        <f aca="false">Sens!$C$3549/shd_val</f>
        <v>269.502431760039</v>
      </c>
    </row>
    <row r="3551" customFormat="false" ht="15" hidden="false" customHeight="false" outlineLevel="0" collapsed="false">
      <c r="A3551" s="1" t="s">
        <v>1232</v>
      </c>
      <c r="B3551" s="0" t="s">
        <v>75</v>
      </c>
      <c r="C3551" s="8" t="n">
        <f aca="false">div_rem27+Sens!G3519*roll_div_q/q_per_yr</f>
        <v>3.9795</v>
      </c>
    </row>
    <row r="3552" customFormat="false" ht="17.15" hidden="false" customHeight="false" outlineLevel="0" collapsed="false">
      <c r="A3552" s="0" t="s">
        <v>1233</v>
      </c>
      <c r="B3552" s="0" t="s">
        <v>75</v>
      </c>
      <c r="C3552" s="5" t="n">
        <f aca="false">Sens!$C$3550*(1+wacc)^t_roll-Sens!$C$3551</f>
        <v>295.587494032461</v>
      </c>
    </row>
    <row r="3553" customFormat="false" ht="17.15" hidden="false" customHeight="false" outlineLevel="0" collapsed="false">
      <c r="A3553" s="1" t="s">
        <v>1234</v>
      </c>
      <c r="B3553" s="0" t="s">
        <v>168</v>
      </c>
      <c r="F3553" s="7" t="n">
        <f aca="false">Sens!F3505/(Sens!F3450-Sens!F3405)</f>
        <v>0.108047838379486</v>
      </c>
      <c r="G3553" s="7" t="n">
        <f aca="false">Sens!G3505/(Sens!G3450-Sens!G3405)</f>
        <v>0.0975314146147999</v>
      </c>
      <c r="H3553" s="7" t="n">
        <f aca="false">Sens!H3505/(Sens!H3450-Sens!H3405)</f>
        <v>0.0901460175277594</v>
      </c>
      <c r="I3553" s="7" t="n">
        <f aca="false">Sens!I3505/(Sens!I3450-Sens!I3405)</f>
        <v>0.0854106357219918</v>
      </c>
      <c r="J3553" s="7" t="n">
        <f aca="false">Sens!J3505/(Sens!J3450-Sens!J3405)</f>
        <v>0.0826734334586806</v>
      </c>
      <c r="K3553" s="7" t="n">
        <f aca="false">Sens!K3505/(Sens!K3450-Sens!K3405)</f>
        <v>0.0812838862190781</v>
      </c>
    </row>
    <row r="3554" customFormat="false" ht="17.15" hidden="false" customHeight="false" outlineLevel="0" collapsed="false">
      <c r="A3554" s="0" t="s">
        <v>1235</v>
      </c>
      <c r="B3554" s="0" t="s">
        <v>98</v>
      </c>
      <c r="F3554" s="6" t="n">
        <f aca="false">Sens!F3435*(al_m365+Sens!F3553+sbc_r)</f>
        <v>88.396124216877</v>
      </c>
      <c r="G3554" s="6" t="n">
        <f aca="false">Sens!G3435*(al_m365+Sens!G3553+sbc_r)</f>
        <v>100.46327785091</v>
      </c>
      <c r="H3554" s="6" t="n">
        <f aca="false">Sens!H3435*(al_m365+Sens!H3553+sbc_r)</f>
        <v>112.693180197931</v>
      </c>
      <c r="I3554" s="6" t="n">
        <f aca="false">Sens!I3435*(al_m365+Sens!I3553+sbc_r)</f>
        <v>123.901582737194</v>
      </c>
      <c r="J3554" s="6" t="n">
        <f aca="false">Sens!J3435*(al_m365+Sens!J3553+sbc_r)</f>
        <v>133.92013912973</v>
      </c>
      <c r="K3554" s="6" t="n">
        <f aca="false">Sens!K3435*(al_m365+Sens!K3553+sbc_r)</f>
        <v>143.589362250538</v>
      </c>
      <c r="L3554" s="12" t="s">
        <v>1236</v>
      </c>
    </row>
    <row r="3555" customFormat="false" ht="17.15" hidden="false" customHeight="false" outlineLevel="0" collapsed="false">
      <c r="A3555" s="0" t="s">
        <v>1237</v>
      </c>
      <c r="B3555" s="0" t="s">
        <v>98</v>
      </c>
      <c r="F3555" s="6" t="n">
        <f aca="false">Sens!F3436*(al_lic+Sens!F3553+sbc_r)</f>
        <v>34.3712255883714</v>
      </c>
      <c r="G3555" s="6" t="n">
        <f aca="false">Sens!G3436*(al_lic+Sens!G3553+sbc_r)</f>
        <v>35.4058828899495</v>
      </c>
      <c r="H3555" s="6" t="n">
        <f aca="false">Sens!H3436*(al_lic+Sens!H3553+sbc_r)</f>
        <v>36.4009844466194</v>
      </c>
      <c r="I3555" s="6" t="n">
        <f aca="false">Sens!I3436*(al_lic+Sens!I3553+sbc_r)</f>
        <v>37.3331284673878</v>
      </c>
      <c r="J3555" s="6" t="n">
        <f aca="false">Sens!J3436*(al_lic+Sens!J3553+sbc_r)</f>
        <v>38.1682589653997</v>
      </c>
      <c r="K3555" s="6" t="n">
        <f aca="false">Sens!K3436*(al_lic+Sens!K3553+sbc_r)</f>
        <v>38.869447308222</v>
      </c>
    </row>
    <row r="3556" customFormat="false" ht="17.15" hidden="false" customHeight="false" outlineLevel="0" collapsed="false">
      <c r="A3556" s="0" t="s">
        <v>1238</v>
      </c>
      <c r="B3556" s="0" t="s">
        <v>98</v>
      </c>
      <c r="F3556" s="6" t="n">
        <f aca="false">Sens!F3438*(al_ind+Sens!F3553+sbc_r)</f>
        <v>9.94030540325038</v>
      </c>
      <c r="G3556" s="6" t="n">
        <f aca="false">Sens!G3438*(al_ind+Sens!G3553+sbc_r)</f>
        <v>10.6094443399461</v>
      </c>
      <c r="H3556" s="6" t="n">
        <f aca="false">Sens!H3438*(al_ind+Sens!H3553+sbc_r)</f>
        <v>11.3402066057245</v>
      </c>
      <c r="I3556" s="6" t="n">
        <f aca="false">Sens!I3438*(al_ind+Sens!I3553+sbc_r)</f>
        <v>12.1292853146886</v>
      </c>
      <c r="J3556" s="6" t="n">
        <f aca="false">Sens!J3438*(al_ind+Sens!J3553+sbc_r)</f>
        <v>12.9639775626783</v>
      </c>
      <c r="K3556" s="6" t="n">
        <f aca="false">Sens!K3438*(al_ind+Sens!K3553+sbc_r)</f>
        <v>13.8255691520158</v>
      </c>
    </row>
    <row r="3557" customFormat="false" ht="17.15" hidden="false" customHeight="false" outlineLevel="0" collapsed="false">
      <c r="A3557" s="0" t="s">
        <v>1239</v>
      </c>
      <c r="B3557" s="0" t="s">
        <v>98</v>
      </c>
      <c r="F3557" s="6" t="n">
        <f aca="false">Sens!F3440*(al_fro+Sens!F3553+sbc_r)</f>
        <v>3.89917358303431</v>
      </c>
      <c r="G3557" s="6" t="n">
        <f aca="false">Sens!G3440*(al_fro+Sens!G3553+sbc_r)</f>
        <v>4.059484345761</v>
      </c>
      <c r="H3557" s="6" t="n">
        <f aca="false">Sens!H3440*(al_fro+Sens!H3553+sbc_r)</f>
        <v>4.25877982218685</v>
      </c>
      <c r="I3557" s="6" t="n">
        <f aca="false">Sens!I3440*(al_fro+Sens!I3553+sbc_r)</f>
        <v>4.49860609135388</v>
      </c>
      <c r="J3557" s="6" t="n">
        <f aca="false">Sens!J3440*(al_fro+Sens!J3553+sbc_r)</f>
        <v>4.77819847843045</v>
      </c>
      <c r="K3557" s="6" t="n">
        <f aca="false">Sens!K3440*(al_fro+Sens!K3553+sbc_r)</f>
        <v>5.09575962826251</v>
      </c>
    </row>
    <row r="3558" customFormat="false" ht="17.15" hidden="false" customHeight="false" outlineLevel="0" collapsed="false">
      <c r="A3558" s="0" t="s">
        <v>1240</v>
      </c>
      <c r="B3558" s="0" t="s">
        <v>98</v>
      </c>
      <c r="F3558" s="6" t="n">
        <f aca="false">Sens!F3443*(al_srch+Sens!F3553+sbc_r)</f>
        <v>12.275701507632</v>
      </c>
      <c r="G3558" s="6" t="n">
        <f aca="false">Sens!G3443*(al_srch+Sens!G3553+sbc_r)</f>
        <v>13.2256722719062</v>
      </c>
      <c r="H3558" s="6" t="n">
        <f aca="false">Sens!H3443*(al_srch+Sens!H3553+sbc_r)</f>
        <v>14.2372066680991</v>
      </c>
      <c r="I3558" s="6" t="n">
        <f aca="false">Sens!I3443*(al_srch+Sens!I3553+sbc_r)</f>
        <v>15.300473966991</v>
      </c>
      <c r="J3558" s="6" t="n">
        <f aca="false">Sens!J3443*(al_srch+Sens!J3553+sbc_r)</f>
        <v>16.3925926504253</v>
      </c>
      <c r="K3558" s="6" t="n">
        <f aca="false">Sens!K3443*(al_srch+Sens!K3553+sbc_r)</f>
        <v>17.4820514902573</v>
      </c>
    </row>
    <row r="3559" customFormat="false" ht="17.15" hidden="false" customHeight="false" outlineLevel="0" collapsed="false">
      <c r="A3559" s="0" t="s">
        <v>1241</v>
      </c>
      <c r="B3559" s="0" t="s">
        <v>98</v>
      </c>
      <c r="F3559" s="6" t="n">
        <f aca="false">Sens!F3411-Sens!F3412+Sens!F3493</f>
        <v>26.0078368204606</v>
      </c>
      <c r="G3559" s="6" t="n">
        <f aca="false">Sens!G3411-Sens!G3412+Sens!G3493</f>
        <v>30.2501256571481</v>
      </c>
      <c r="H3559" s="6" t="n">
        <f aca="false">Sens!H3411-Sens!H3412+Sens!H3493</f>
        <v>30.3041961910695</v>
      </c>
      <c r="I3559" s="6" t="n">
        <f aca="false">Sens!I3411-Sens!I3412+Sens!I3493</f>
        <v>30.8190724334252</v>
      </c>
      <c r="J3559" s="6" t="n">
        <f aca="false">Sens!J3411-Sens!J3412+Sens!J3493</f>
        <v>32.3005884859934</v>
      </c>
      <c r="K3559" s="6" t="n">
        <f aca="false">Sens!K3411-Sens!K3412+Sens!K3493</f>
        <v>35.2436001039328</v>
      </c>
    </row>
    <row r="3560" customFormat="false" ht="17.15" hidden="false" customHeight="false" outlineLevel="0" collapsed="false">
      <c r="A3560" s="0" t="s">
        <v>1242</v>
      </c>
      <c r="B3560" s="0" t="s">
        <v>98</v>
      </c>
      <c r="F3560" s="6" t="n">
        <f aca="false">Sens!F3472+Sens!F3493+Sens!F3423+Sens!F3553*(Sens!F3442-Sens!F3405)+sbc_r*Sens!F3442</f>
        <v>221.887361440501</v>
      </c>
      <c r="G3560" s="6" t="n">
        <f aca="false">Sens!G3472+Sens!G3493+Sens!G3423+Sens!G3553*(Sens!G3442-Sens!G3405)+sbc_r*Sens!G3442</f>
        <v>247.310404143757</v>
      </c>
      <c r="H3560" s="6" t="n">
        <f aca="false">Sens!H3472+Sens!H3493+Sens!H3423+Sens!H3553*(Sens!H3442-Sens!H3405)+sbc_r*Sens!H3442</f>
        <v>274.612250673391</v>
      </c>
      <c r="I3560" s="6" t="n">
        <f aca="false">Sens!I3472+Sens!I3493+Sens!I3423+Sens!I3553*(Sens!I3442-Sens!I3405)+sbc_r*Sens!I3442</f>
        <v>301.006066628138</v>
      </c>
      <c r="J3560" s="6" t="n">
        <f aca="false">Sens!J3472+Sens!J3493+Sens!J3423+Sens!J3553*(Sens!J3442-Sens!J3405)+sbc_r*Sens!J3442</f>
        <v>326.208554201721</v>
      </c>
      <c r="K3560" s="6" t="n">
        <f aca="false">Sens!K3472+Sens!K3493+Sens!K3423+Sens!K3553*(Sens!K3442-Sens!K3405)+sbc_r*Sens!K3442</f>
        <v>350.763944997667</v>
      </c>
    </row>
    <row r="3561" customFormat="false" ht="17.15" hidden="false" customHeight="false" outlineLevel="0" collapsed="false">
      <c r="A3561" s="0" t="s">
        <v>1243</v>
      </c>
      <c r="B3561" s="0" t="s">
        <v>98</v>
      </c>
      <c r="F3561" s="6" t="n">
        <f aca="false">Sens!F3560-Sens!F3554-Sens!F3555-Sens!F3556-Sens!F3557-Sens!F3559</f>
        <v>59.2726958285074</v>
      </c>
      <c r="G3561" s="6" t="n">
        <f aca="false">Sens!G3560-Sens!G3554-Sens!G3555-Sens!G3556-Sens!G3557-Sens!G3559</f>
        <v>66.5221890600424</v>
      </c>
      <c r="H3561" s="6" t="n">
        <f aca="false">Sens!H3560-Sens!H3554-Sens!H3555-Sens!H3556-Sens!H3557-Sens!H3559</f>
        <v>79.6149034098598</v>
      </c>
      <c r="I3561" s="6" t="n">
        <f aca="false">Sens!I3560-Sens!I3554-Sens!I3555-Sens!I3556-Sens!I3557-Sens!I3559</f>
        <v>92.3243915840883</v>
      </c>
      <c r="J3561" s="6" t="n">
        <f aca="false">Sens!J3560-Sens!J3554-Sens!J3555-Sens!J3556-Sens!J3557-Sens!J3559</f>
        <v>104.07739157949</v>
      </c>
      <c r="K3561" s="6" t="n">
        <f aca="false">Sens!K3560-Sens!K3554-Sens!K3555-Sens!K3556-Sens!K3557-Sens!K3559</f>
        <v>114.140206554696</v>
      </c>
    </row>
    <row r="3562" customFormat="false" ht="17.15" hidden="false" customHeight="false" outlineLevel="0" collapsed="false">
      <c r="A3562" s="0" t="s">
        <v>1244</v>
      </c>
      <c r="B3562" s="0" t="s">
        <v>98</v>
      </c>
      <c r="F3562" s="6" t="n">
        <f aca="false">Sens!F3474+Sens!F3553*Sens!F3449+sbc_r*Sens!F3449</f>
        <v>29.1689736042259</v>
      </c>
      <c r="G3562" s="6" t="n">
        <f aca="false">Sens!G3474+Sens!G3553*Sens!G3449+sbc_r*Sens!G3449</f>
        <v>28.5728960228201</v>
      </c>
      <c r="H3562" s="6" t="n">
        <f aca="false">Sens!H3474+Sens!H3553*Sens!H3449+sbc_r*Sens!H3449</f>
        <v>29.1166213912868</v>
      </c>
      <c r="I3562" s="6" t="n">
        <f aca="false">Sens!I3474+Sens!I3553*Sens!I3449+sbc_r*Sens!I3449</f>
        <v>29.9772866925061</v>
      </c>
      <c r="J3562" s="6" t="n">
        <f aca="false">Sens!J3474+Sens!J3553*Sens!J3449+sbc_r*Sens!J3449</f>
        <v>31.097845878465</v>
      </c>
      <c r="K3562" s="6" t="n">
        <f aca="false">Sens!K3474+Sens!K3553*Sens!K3449+sbc_r*Sens!K3449</f>
        <v>32.4234367333874</v>
      </c>
    </row>
    <row r="3563" customFormat="false" ht="17.15" hidden="false" customHeight="false" outlineLevel="0" collapsed="false">
      <c r="A3563" s="0" t="s">
        <v>1245</v>
      </c>
      <c r="B3563" s="0" t="s">
        <v>98</v>
      </c>
      <c r="F3563" s="6" t="n">
        <f aca="false">(Sens!F3562-Sens!F3558)*Sens!F3445/(Sens!F3445+Sens!F3447)</f>
        <v>9.54107544033349</v>
      </c>
      <c r="G3563" s="6" t="n">
        <f aca="false">(Sens!G3562-Sens!G3558)*Sens!G3445/(Sens!G3445+Sens!G3447)</f>
        <v>8.51892087781835</v>
      </c>
      <c r="H3563" s="6" t="n">
        <f aca="false">(Sens!H3562-Sens!H3558)*Sens!H3445/(Sens!H3445+Sens!H3447)</f>
        <v>8.15165636052449</v>
      </c>
      <c r="I3563" s="6" t="n">
        <f aca="false">(Sens!I3562-Sens!I3558)*Sens!I3445/(Sens!I3445+Sens!I3447)</f>
        <v>7.97047873630776</v>
      </c>
      <c r="J3563" s="6" t="n">
        <f aca="false">(Sens!J3562-Sens!J3558)*Sens!J3445/(Sens!J3445+Sens!J3447)</f>
        <v>7.95108160004076</v>
      </c>
      <c r="K3563" s="6" t="n">
        <f aca="false">(Sens!K3562-Sens!K3558)*Sens!K3445/(Sens!K3445+Sens!K3447)</f>
        <v>8.07875739665919</v>
      </c>
    </row>
    <row r="3564" customFormat="false" ht="17.15" hidden="false" customHeight="false" outlineLevel="0" collapsed="false">
      <c r="A3564" s="0" t="s">
        <v>1246</v>
      </c>
      <c r="B3564" s="0" t="s">
        <v>98</v>
      </c>
      <c r="F3564" s="6" t="n">
        <f aca="false">Sens!F3562-Sens!F3558-Sens!F3563</f>
        <v>7.35219665626043</v>
      </c>
      <c r="G3564" s="6" t="n">
        <f aca="false">Sens!G3562-Sens!G3558-Sens!G3563</f>
        <v>6.82830287309557</v>
      </c>
      <c r="H3564" s="6" t="n">
        <f aca="false">Sens!H3562-Sens!H3558-Sens!H3563</f>
        <v>6.72775836266323</v>
      </c>
      <c r="I3564" s="6" t="n">
        <f aca="false">Sens!I3562-Sens!I3558-Sens!I3563</f>
        <v>6.70633398920729</v>
      </c>
      <c r="J3564" s="6" t="n">
        <f aca="false">Sens!J3562-Sens!J3558-Sens!J3563</f>
        <v>6.75417162799899</v>
      </c>
      <c r="K3564" s="6" t="n">
        <f aca="false">Sens!K3562-Sens!K3558-Sens!K3563</f>
        <v>6.86262784647094</v>
      </c>
    </row>
    <row r="3565" customFormat="false" ht="17.15" hidden="false" customHeight="false" outlineLevel="0" collapsed="false">
      <c r="A3565" s="0" t="s">
        <v>1247</v>
      </c>
      <c r="B3565" s="0" t="s">
        <v>98</v>
      </c>
      <c r="F3565" s="6" t="n">
        <f aca="false">Sens!F3559-tax_f*(Sens!F3559-Sens!F3423)-Sens!F3420</f>
        <v>-3.95759763223154</v>
      </c>
      <c r="G3565" s="6" t="n">
        <f aca="false">Sens!G3559-tax_f*(Sens!G3559-Sens!G3423)-Sens!G3420</f>
        <v>-4.17653203768149</v>
      </c>
      <c r="H3565" s="6" t="n">
        <f aca="false">Sens!H3559-tax_f*(Sens!H3559-Sens!H3423)-Sens!H3420</f>
        <v>30.5788739362556</v>
      </c>
      <c r="I3565" s="6" t="n">
        <f aca="false">Sens!I3559-tax_f*(Sens!I3559-Sens!I3423)-Sens!I3420</f>
        <v>1.94048617294574</v>
      </c>
      <c r="J3565" s="6" t="n">
        <f aca="false">Sens!J3559-tax_f*(Sens!J3559-Sens!J3423)-Sens!J3420</f>
        <v>-11.4749648759164</v>
      </c>
      <c r="K3565" s="6" t="n">
        <f aca="false">Sens!K3559-tax_f*(Sens!K3559-Sens!K3423)-Sens!K3420</f>
        <v>-52.0659349868704</v>
      </c>
    </row>
    <row r="3566" customFormat="false" ht="17.15" hidden="false" customHeight="false" outlineLevel="0" collapsed="false">
      <c r="A3566" s="0" t="s">
        <v>1248</v>
      </c>
      <c r="B3566" s="0" t="s">
        <v>98</v>
      </c>
      <c r="G3566" s="6" t="n">
        <f aca="false">Sens!G3565/(1+wacc)^(Sens!G3536-Sens!F3537)</f>
        <v>-3.97686221721156</v>
      </c>
      <c r="H3566" s="6" t="n">
        <f aca="false">Sens!H3565/(1+wacc)^(Sens!H3536-Sens!F3537)</f>
        <v>26.3994981386806</v>
      </c>
      <c r="I3566" s="6" t="n">
        <f aca="false">Sens!I3565/(1+wacc)^(Sens!I3536-Sens!F3537)</f>
        <v>1.51891751393882</v>
      </c>
      <c r="J3566" s="6" t="n">
        <f aca="false">Sens!J3565/(1+wacc)^(Sens!J3536-Sens!F3537)</f>
        <v>-8.14375045032843</v>
      </c>
      <c r="K3566" s="6" t="n">
        <f aca="false">Sens!K3565/(1+wacc)^(Sens!K3536-Sens!F3537)</f>
        <v>-33.502423089654</v>
      </c>
      <c r="L3566" s="1" t="s">
        <v>1249</v>
      </c>
    </row>
    <row r="3567" customFormat="false" ht="17.15" hidden="false" customHeight="false" outlineLevel="0" collapsed="false">
      <c r="A3567" s="0" t="s">
        <v>1250</v>
      </c>
      <c r="B3567" s="0" t="s">
        <v>98</v>
      </c>
      <c r="C3567" s="6" t="n">
        <f aca="false">(Sens!K3559-Sens!K3423)*(1-tax_f)*(1+g_tv)*(1-g_tv/(wacc+ronic_prem))/(wacc-g_tv)/(1+wacc)^(Sens!K3537-Sens!F3537)</f>
        <v>-4.23511305364801</v>
      </c>
    </row>
    <row r="3568" customFormat="false" ht="17.15" hidden="false" customHeight="false" outlineLevel="0" collapsed="false">
      <c r="A3568" s="1" t="s">
        <v>1251</v>
      </c>
      <c r="B3568" s="0" t="s">
        <v>98</v>
      </c>
      <c r="C3568" s="6" t="n">
        <f aca="false">(SUM(Sens!G3566:K3566)+Sens!$C$3567)*(1+wacc)^(t_roll-Sens!F3537)</f>
        <v>-22.6640301004534</v>
      </c>
      <c r="L3568" s="12" t="s">
        <v>1252</v>
      </c>
    </row>
    <row r="3569" customFormat="false" ht="17.15" hidden="false" customHeight="false" outlineLevel="0" collapsed="false">
      <c r="A3569" s="1" t="s">
        <v>1253</v>
      </c>
      <c r="B3569" s="0" t="s">
        <v>98</v>
      </c>
      <c r="C3569" s="6" t="n">
        <f aca="false">(w_ntm28*Sens!G3411+(1-w_ntm28)*Sens!H3411)*m_ai</f>
        <v>206.567859265904</v>
      </c>
    </row>
    <row r="3570" customFormat="false" ht="17.15" hidden="false" customHeight="false" outlineLevel="0" collapsed="false">
      <c r="A3570" s="1" t="s">
        <v>1254</v>
      </c>
      <c r="B3570" s="0" t="s">
        <v>98</v>
      </c>
      <c r="C3570" s="6" t="n">
        <f aca="false">(w_ntm28*Sens!G3561+(1-w_ntm28)*Sens!H3561)*m_cloud</f>
        <v>978.824207543312</v>
      </c>
    </row>
    <row r="3571" customFormat="false" ht="17.15" hidden="false" customHeight="false" outlineLevel="0" collapsed="false">
      <c r="A3571" s="1" t="s">
        <v>1255</v>
      </c>
      <c r="B3571" s="0" t="s">
        <v>98</v>
      </c>
      <c r="C3571" s="6" t="n">
        <f aca="false">(w_ntm28*Sens!G3554+(1-w_ntm28)*Sens!H3554)*m_sw</f>
        <v>1128.42793076719</v>
      </c>
    </row>
    <row r="3572" customFormat="false" ht="17.15" hidden="false" customHeight="false" outlineLevel="0" collapsed="false">
      <c r="A3572" s="1" t="s">
        <v>1256</v>
      </c>
      <c r="B3572" s="0" t="s">
        <v>98</v>
      </c>
      <c r="C3572" s="6" t="n">
        <f aca="false">(w_ntm28*Sens!G3555+(1-w_ntm28)*Sens!H3555)*m_sw</f>
        <v>385.916827314041</v>
      </c>
    </row>
    <row r="3573" customFormat="false" ht="17.15" hidden="false" customHeight="false" outlineLevel="0" collapsed="false">
      <c r="A3573" s="1" t="s">
        <v>1257</v>
      </c>
      <c r="B3573" s="0" t="s">
        <v>98</v>
      </c>
      <c r="C3573" s="6" t="n">
        <f aca="false">(w_ntm28*Sens!G3556+(1-w_ntm28)*Sens!H3556)*m_sw</f>
        <v>117.176705437031</v>
      </c>
    </row>
    <row r="3574" customFormat="false" ht="17.15" hidden="false" customHeight="false" outlineLevel="0" collapsed="false">
      <c r="A3574" s="1" t="s">
        <v>1258</v>
      </c>
      <c r="B3574" s="0" t="s">
        <v>98</v>
      </c>
      <c r="C3574" s="6" t="n">
        <f aca="false">(w_ntm28*Sens!G3557+(1-w_ntm28)*Sens!H3557)*m_sw</f>
        <v>44.5500663792815</v>
      </c>
    </row>
    <row r="3575" customFormat="false" ht="17.15" hidden="false" customHeight="false" outlineLevel="0" collapsed="false">
      <c r="A3575" s="1" t="s">
        <v>1259</v>
      </c>
      <c r="B3575" s="0" t="s">
        <v>98</v>
      </c>
      <c r="C3575" s="6" t="n">
        <f aca="false">(w_ntm28*Sens!G3558+(1-w_ntm28)*Sens!H3558)*m_ads</f>
        <v>123.515489196841</v>
      </c>
    </row>
    <row r="3576" customFormat="false" ht="17.15" hidden="false" customHeight="false" outlineLevel="0" collapsed="false">
      <c r="A3576" s="1" t="s">
        <v>1260</v>
      </c>
      <c r="B3576" s="0" t="s">
        <v>98</v>
      </c>
      <c r="C3576" s="6" t="n">
        <f aca="false">(w_ntm28*Sens!G3563+(1-w_ntm28)*Sens!H3563)*m_game</f>
        <v>106.068967666543</v>
      </c>
    </row>
    <row r="3577" customFormat="false" ht="17.15" hidden="false" customHeight="false" outlineLevel="0" collapsed="false">
      <c r="A3577" s="1" t="s">
        <v>1261</v>
      </c>
      <c r="B3577" s="0" t="s">
        <v>98</v>
      </c>
      <c r="C3577" s="6" t="n">
        <f aca="false">(w_ntm28*Sens!G3564+(1-w_ntm28)*Sens!H3564)*m_pc</f>
        <v>98.3272261684471</v>
      </c>
    </row>
    <row r="3578" customFormat="false" ht="17.15" hidden="false" customHeight="false" outlineLevel="0" collapsed="false">
      <c r="A3578" s="1" t="s">
        <v>1262</v>
      </c>
      <c r="B3578" s="0" t="s">
        <v>98</v>
      </c>
      <c r="C3578" s="6" t="n">
        <f aca="false">Sens!$C$3568+Sens!$C$3570+Sens!$C$3571+Sens!$C$3572+Sens!$C$3573+Sens!$C$3574+Sens!$C$3575+Sens!$C$3576+Sens!$C$3577</f>
        <v>2960.14339037224</v>
      </c>
    </row>
    <row r="3579" customFormat="false" ht="17.15" hidden="false" customHeight="false" outlineLevel="0" collapsed="false">
      <c r="A3579" s="1" t="s">
        <v>1263</v>
      </c>
      <c r="B3579" s="0" t="s">
        <v>98</v>
      </c>
      <c r="C3579" s="6" t="n">
        <f aca="false">(Sens!G3540-Sens!G3565)*t_stub</f>
        <v>49.04817118765</v>
      </c>
      <c r="L3579" s="1" t="s">
        <v>1264</v>
      </c>
    </row>
    <row r="3580" customFormat="false" ht="17.15" hidden="false" customHeight="false" outlineLevel="0" collapsed="false">
      <c r="A3580" s="1" t="s">
        <v>1173</v>
      </c>
      <c r="B3580" s="0" t="s">
        <v>98</v>
      </c>
      <c r="C3580" s="6" t="n">
        <f aca="false">Sens!F3527+oai_v-Sens!F3516+Sens!$C$3579</f>
        <v>159.1211718586</v>
      </c>
      <c r="L3580" s="1" t="s">
        <v>1265</v>
      </c>
    </row>
    <row r="3581" customFormat="false" ht="17.15" hidden="false" customHeight="false" outlineLevel="0" collapsed="false">
      <c r="A3581" s="1" t="s">
        <v>1266</v>
      </c>
      <c r="B3581" s="0" t="s">
        <v>75</v>
      </c>
      <c r="C3581" s="5" t="n">
        <f aca="false">(Sens!$C$3578+Sens!$C$3580)/(Sens!F3529+dil_gap)-Sens!G3519*roll_div_q/q_per_yr</f>
        <v>415.084374363772</v>
      </c>
      <c r="L3581" s="1" t="s">
        <v>1267</v>
      </c>
    </row>
    <row r="3582" customFormat="false" ht="17.15" hidden="false" customHeight="false" outlineLevel="0" collapsed="false">
      <c r="A3582" s="1" t="s">
        <v>1268</v>
      </c>
      <c r="B3582" s="0" t="s">
        <v>75</v>
      </c>
      <c r="C3582" s="5" t="n">
        <f aca="false">w_dcf*Sens!$C$3552+(1-w_dcf)*Sens!$C$3581</f>
        <v>355.335934198116</v>
      </c>
    </row>
    <row r="3583" customFormat="false" ht="17.15" hidden="false" customHeight="false" outlineLevel="0" collapsed="false">
      <c r="A3583" s="3" t="s">
        <v>1700</v>
      </c>
    </row>
    <row r="3584" customFormat="false" ht="15" hidden="false" customHeight="false" outlineLevel="0" collapsed="false">
      <c r="A3584" s="4" t="s">
        <v>43</v>
      </c>
      <c r="B3584" s="4" t="s">
        <v>65</v>
      </c>
      <c r="C3584" s="23" t="s">
        <v>942</v>
      </c>
      <c r="D3584" s="23" t="s">
        <v>943</v>
      </c>
      <c r="E3584" s="23" t="s">
        <v>944</v>
      </c>
      <c r="F3584" s="23" t="s">
        <v>945</v>
      </c>
      <c r="G3584" s="23" t="s">
        <v>946</v>
      </c>
      <c r="H3584" s="23" t="s">
        <v>947</v>
      </c>
      <c r="I3584" s="23" t="s">
        <v>948</v>
      </c>
      <c r="J3584" s="23" t="s">
        <v>949</v>
      </c>
      <c r="K3584" s="23" t="s">
        <v>950</v>
      </c>
      <c r="L3584" s="4" t="s">
        <v>47</v>
      </c>
    </row>
    <row r="3585" customFormat="false" ht="17.15" hidden="false" customHeight="false" outlineLevel="0" collapsed="false">
      <c r="A3585" s="1" t="s">
        <v>951</v>
      </c>
      <c r="B3585" s="1" t="s">
        <v>279</v>
      </c>
      <c r="C3585" s="21" t="n">
        <v>2024</v>
      </c>
      <c r="D3585" s="21" t="n">
        <v>2025</v>
      </c>
      <c r="E3585" s="21" t="n">
        <v>2026</v>
      </c>
      <c r="F3585" s="21" t="n">
        <v>2027</v>
      </c>
      <c r="G3585" s="21" t="n">
        <v>2028</v>
      </c>
      <c r="H3585" s="21" t="n">
        <v>2029</v>
      </c>
      <c r="I3585" s="21" t="n">
        <v>2030</v>
      </c>
      <c r="J3585" s="21" t="n">
        <v>2031</v>
      </c>
      <c r="K3585" s="21" t="n">
        <v>2032</v>
      </c>
    </row>
    <row r="3586" customFormat="false" ht="17.15" hidden="false" customHeight="false" outlineLevel="0" collapsed="false">
      <c r="A3586" s="1" t="s">
        <v>952</v>
      </c>
      <c r="B3586" s="0" t="s">
        <v>459</v>
      </c>
      <c r="F3586" s="30" t="n">
        <f aca="false">pace_epoch</f>
        <v>650</v>
      </c>
      <c r="G3586" s="30" t="n">
        <f aca="false">pace_epoch</f>
        <v>650</v>
      </c>
      <c r="H3586" s="30" t="n">
        <f aca="false">pace_epoch</f>
        <v>650</v>
      </c>
      <c r="I3586" s="30" t="n">
        <f aca="false">pace_epoch+(g_tv*Sens!H3587-pace_epoch)*MIN(1,(Sens!I3585-pace_y0)/(pace_y1-pace_y0))</f>
        <v>477.193333333333</v>
      </c>
      <c r="J3586" s="30" t="n">
        <f aca="false">pace_epoch+(g_tv*Sens!I3587-pace_epoch)*MIN(1,(Sens!J3585-pace_y0)/(pace_y1-pace_y0))</f>
        <v>304.386666666667</v>
      </c>
      <c r="K3586" s="30" t="n">
        <f aca="false">pace_epoch+(g_tv*Sens!J3587-pace_epoch)*MIN(1,(Sens!K3585-pace_y0)/(pace_y1-pace_y0))</f>
        <v>131.58</v>
      </c>
      <c r="L3586" s="12" t="s">
        <v>953</v>
      </c>
    </row>
    <row r="3587" customFormat="false" ht="17.15" hidden="false" customHeight="false" outlineLevel="0" collapsed="false">
      <c r="A3587" s="1" t="s">
        <v>954</v>
      </c>
      <c r="B3587" s="0" t="s">
        <v>459</v>
      </c>
      <c r="C3587" s="30" t="n">
        <f aca="false">mw_ext_24</f>
        <v>640</v>
      </c>
      <c r="D3587" s="30" t="n">
        <f aca="false">mw_ext_25</f>
        <v>1630</v>
      </c>
      <c r="E3587" s="30" t="n">
        <f aca="false">mw_ext_26</f>
        <v>3250</v>
      </c>
      <c r="F3587" s="30" t="n">
        <f aca="false">MIN(cap_epoch,Sens!E3587+Sens!F3586)</f>
        <v>3900</v>
      </c>
      <c r="G3587" s="30" t="n">
        <f aca="false">MIN(cap_epoch,Sens!F3587+Sens!G3586)</f>
        <v>4386</v>
      </c>
      <c r="H3587" s="30" t="n">
        <f aca="false">MIN(cap_epoch,Sens!G3587+Sens!H3586)</f>
        <v>4386</v>
      </c>
      <c r="I3587" s="30" t="n">
        <f aca="false">MIN(cap_epoch,Sens!H3587+Sens!I3586)</f>
        <v>4386</v>
      </c>
      <c r="J3587" s="30" t="n">
        <f aca="false">MIN(cap_epoch,Sens!I3587+Sens!J3586)</f>
        <v>4386</v>
      </c>
      <c r="K3587" s="30" t="n">
        <f aca="false">MIN(cap_epoch,Sens!J3587+Sens!K3586)</f>
        <v>4386</v>
      </c>
      <c r="L3587" s="1" t="s">
        <v>955</v>
      </c>
    </row>
    <row r="3588" customFormat="false" ht="17.15" hidden="false" customHeight="false" outlineLevel="0" collapsed="false">
      <c r="A3588" s="1" t="s">
        <v>956</v>
      </c>
      <c r="B3588" s="0" t="s">
        <v>459</v>
      </c>
      <c r="C3588" s="30" t="n">
        <f aca="false">rent_ext_24</f>
        <v>150</v>
      </c>
      <c r="D3588" s="30" t="n">
        <f aca="false">rent_ext_25</f>
        <v>400</v>
      </c>
      <c r="E3588" s="30" t="n">
        <f aca="false">rent_ext_26</f>
        <v>550</v>
      </c>
      <c r="F3588" s="30" t="n">
        <f aca="false">rent_ext_f</f>
        <v>756</v>
      </c>
      <c r="G3588" s="30" t="n">
        <f aca="false">rent_ext_f</f>
        <v>756</v>
      </c>
      <c r="H3588" s="30" t="n">
        <f aca="false">rent_ext_f</f>
        <v>756</v>
      </c>
      <c r="I3588" s="30" t="n">
        <f aca="false">rent_ext_f</f>
        <v>756</v>
      </c>
      <c r="J3588" s="30" t="n">
        <f aca="false">rent_ext_f</f>
        <v>756</v>
      </c>
      <c r="K3588" s="30" t="n">
        <f aca="false">rent_ext_f</f>
        <v>756</v>
      </c>
      <c r="L3588" s="1" t="s">
        <v>957</v>
      </c>
    </row>
    <row r="3589" customFormat="false" ht="17.15" hidden="false" customHeight="false" outlineLevel="0" collapsed="false">
      <c r="A3589" s="1" t="s">
        <v>958</v>
      </c>
      <c r="B3589" s="0" t="s">
        <v>459</v>
      </c>
      <c r="C3589" s="30" t="n">
        <f aca="false">Sens!C3587-Sens!C3588</f>
        <v>490</v>
      </c>
      <c r="D3589" s="30" t="n">
        <f aca="false">Sens!D3587-Sens!D3588</f>
        <v>1230</v>
      </c>
      <c r="E3589" s="30" t="n">
        <f aca="false">Sens!E3587-Sens!E3588</f>
        <v>2700</v>
      </c>
      <c r="F3589" s="30" t="n">
        <f aca="false">Sens!F3587-Sens!F3588</f>
        <v>3144</v>
      </c>
      <c r="G3589" s="30" t="n">
        <f aca="false">Sens!G3587-Sens!G3588</f>
        <v>3630</v>
      </c>
      <c r="H3589" s="30" t="n">
        <f aca="false">Sens!H3587-Sens!H3588</f>
        <v>3630</v>
      </c>
      <c r="I3589" s="30" t="n">
        <f aca="false">Sens!I3587-Sens!I3588</f>
        <v>3630</v>
      </c>
      <c r="J3589" s="30" t="n">
        <f aca="false">Sens!J3587-Sens!J3588</f>
        <v>3630</v>
      </c>
      <c r="K3589" s="30" t="n">
        <f aca="false">Sens!K3587-Sens!K3588</f>
        <v>3630</v>
      </c>
    </row>
    <row r="3590" customFormat="false" ht="17.15" hidden="false" customHeight="false" outlineLevel="0" collapsed="false">
      <c r="A3590" s="1" t="s">
        <v>959</v>
      </c>
      <c r="B3590" s="0" t="s">
        <v>459</v>
      </c>
      <c r="C3590" s="30" t="n">
        <f aca="false">Sens!C3589/ext_sh</f>
        <v>816.666666666667</v>
      </c>
      <c r="D3590" s="30" t="n">
        <f aca="false">Sens!D3589/ext_sh</f>
        <v>2050</v>
      </c>
      <c r="E3590" s="30" t="n">
        <f aca="false">Sens!E3589/ext_sh</f>
        <v>4500</v>
      </c>
      <c r="F3590" s="30" t="n">
        <f aca="false">Sens!F3589/ext_sh</f>
        <v>5240</v>
      </c>
      <c r="G3590" s="30" t="n">
        <f aca="false">Sens!G3589/ext_sh</f>
        <v>6050</v>
      </c>
      <c r="H3590" s="30" t="n">
        <f aca="false">Sens!H3589/ext_sh</f>
        <v>6050</v>
      </c>
      <c r="I3590" s="30" t="n">
        <f aca="false">Sens!I3589/ext_sh</f>
        <v>6050</v>
      </c>
      <c r="J3590" s="30" t="n">
        <f aca="false">Sens!J3589/ext_sh</f>
        <v>6050</v>
      </c>
      <c r="K3590" s="30" t="n">
        <f aca="false">Sens!K3589/ext_sh</f>
        <v>6050</v>
      </c>
      <c r="L3590" s="1" t="s">
        <v>960</v>
      </c>
    </row>
    <row r="3591" customFormat="false" ht="17.15" hidden="false" customHeight="false" outlineLevel="0" collapsed="false">
      <c r="A3591" s="1" t="s">
        <v>961</v>
      </c>
      <c r="B3591" s="0" t="s">
        <v>459</v>
      </c>
      <c r="C3591" s="30" t="n">
        <f aca="false">Sens!C3590-Sens!C3589</f>
        <v>326.666666666667</v>
      </c>
      <c r="D3591" s="30" t="n">
        <f aca="false">Sens!D3590-Sens!D3589</f>
        <v>820</v>
      </c>
      <c r="E3591" s="30" t="n">
        <f aca="false">Sens!E3590-Sens!E3589</f>
        <v>1800</v>
      </c>
      <c r="F3591" s="30" t="n">
        <f aca="false">Sens!F3590-Sens!F3589</f>
        <v>2096</v>
      </c>
      <c r="G3591" s="30" t="n">
        <f aca="false">Sens!G3590-Sens!G3589</f>
        <v>2420</v>
      </c>
      <c r="H3591" s="30" t="n">
        <f aca="false">Sens!H3590-Sens!H3589</f>
        <v>2420</v>
      </c>
      <c r="I3591" s="30" t="n">
        <f aca="false">Sens!I3590-Sens!I3589</f>
        <v>2420</v>
      </c>
      <c r="J3591" s="30" t="n">
        <f aca="false">Sens!J3590-Sens!J3589</f>
        <v>2420</v>
      </c>
      <c r="K3591" s="30" t="n">
        <f aca="false">Sens!K3590-Sens!K3589</f>
        <v>2420</v>
      </c>
    </row>
    <row r="3592" customFormat="false" ht="17.15" hidden="false" customHeight="false" outlineLevel="0" collapsed="false">
      <c r="A3592" s="1" t="s">
        <v>962</v>
      </c>
      <c r="B3592" s="0" t="s">
        <v>459</v>
      </c>
      <c r="C3592" s="30" t="n">
        <f aca="false">Sens!C3590</f>
        <v>816.666666666667</v>
      </c>
      <c r="D3592" s="30" t="n">
        <f aca="false">Sens!D3590-Sens!C3590</f>
        <v>1233.33333333333</v>
      </c>
      <c r="E3592" s="30" t="n">
        <f aca="false">Sens!E3590-Sens!D3590</f>
        <v>2450</v>
      </c>
      <c r="F3592" s="30" t="n">
        <f aca="false">Sens!F3590-Sens!E3590</f>
        <v>740</v>
      </c>
      <c r="G3592" s="30" t="n">
        <f aca="false">Sens!G3590-Sens!F3590</f>
        <v>810</v>
      </c>
      <c r="H3592" s="30" t="n">
        <f aca="false">Sens!H3590-Sens!G3590</f>
        <v>0</v>
      </c>
      <c r="I3592" s="30" t="n">
        <f aca="false">Sens!I3590-Sens!H3590</f>
        <v>0</v>
      </c>
      <c r="J3592" s="30" t="n">
        <f aca="false">Sens!J3590-Sens!I3590</f>
        <v>0</v>
      </c>
      <c r="K3592" s="30" t="n">
        <f aca="false">Sens!K3590-Sens!J3590</f>
        <v>0</v>
      </c>
    </row>
    <row r="3593" customFormat="false" ht="17.15" hidden="false" customHeight="false" outlineLevel="0" collapsed="false">
      <c r="A3593" s="1" t="s">
        <v>963</v>
      </c>
      <c r="B3593" s="0" t="s">
        <v>459</v>
      </c>
      <c r="D3593" s="30" t="n">
        <f aca="false">Sens!D3587-Sens!C3587</f>
        <v>990</v>
      </c>
      <c r="E3593" s="30" t="n">
        <f aca="false">Sens!E3587-Sens!D3587</f>
        <v>1620</v>
      </c>
      <c r="F3593" s="30" t="n">
        <f aca="false">Sens!F3587-Sens!E3587</f>
        <v>650</v>
      </c>
      <c r="G3593" s="30" t="n">
        <f aca="false">Sens!G3587-Sens!F3587</f>
        <v>486</v>
      </c>
      <c r="H3593" s="30" t="n">
        <f aca="false">Sens!H3587-Sens!G3587</f>
        <v>0</v>
      </c>
      <c r="I3593" s="30" t="n">
        <f aca="false">Sens!I3587-Sens!H3587</f>
        <v>0</v>
      </c>
      <c r="J3593" s="30" t="n">
        <f aca="false">Sens!J3587-Sens!I3587</f>
        <v>0</v>
      </c>
      <c r="K3593" s="30" t="n">
        <f aca="false">Sens!K3587-Sens!J3587</f>
        <v>0</v>
      </c>
    </row>
    <row r="3594" customFormat="false" ht="17.15" hidden="false" customHeight="false" outlineLevel="0" collapsed="false">
      <c r="A3594" s="1" t="s">
        <v>964</v>
      </c>
      <c r="B3594" s="0" t="s">
        <v>459</v>
      </c>
      <c r="F3594" s="30" t="n">
        <f aca="false">Sens!F3613*ext_sh</f>
        <v>0</v>
      </c>
      <c r="G3594" s="30" t="n">
        <f aca="false">Sens!G3613*ext_sh</f>
        <v>0</v>
      </c>
      <c r="H3594" s="30" t="n">
        <f aca="false">Sens!H3613*ext_sh</f>
        <v>0</v>
      </c>
      <c r="I3594" s="30" t="n">
        <f aca="false">Sens!I3613*ext_sh</f>
        <v>490</v>
      </c>
      <c r="J3594" s="30" t="n">
        <f aca="false">Sens!J3613*ext_sh</f>
        <v>740</v>
      </c>
      <c r="K3594" s="30" t="n">
        <f aca="false">Sens!K3613*ext_sh</f>
        <v>1470</v>
      </c>
      <c r="L3594" s="1" t="s">
        <v>965</v>
      </c>
    </row>
    <row r="3595" customFormat="false" ht="17.15" hidden="false" customHeight="false" outlineLevel="0" collapsed="false">
      <c r="A3595" s="1" t="s">
        <v>966</v>
      </c>
      <c r="B3595" s="0" t="s">
        <v>459</v>
      </c>
      <c r="C3595" s="30" t="n">
        <f aca="false">mix_h*Sens!C3587</f>
        <v>128</v>
      </c>
      <c r="D3595" s="30" t="n">
        <f aca="false">mix_h*Sens!D3587</f>
        <v>326</v>
      </c>
      <c r="E3595" s="30" t="n">
        <f aca="false">mix_h*Sens!E3587</f>
        <v>650</v>
      </c>
      <c r="F3595" s="30" t="n">
        <f aca="false">Sens!E3595-Sens!F3594*mix_h</f>
        <v>650</v>
      </c>
      <c r="G3595" s="30" t="n">
        <f aca="false">Sens!F3595-Sens!G3594*mix_h</f>
        <v>650</v>
      </c>
      <c r="H3595" s="30" t="n">
        <f aca="false">Sens!G3595-Sens!H3594*mix_h</f>
        <v>650</v>
      </c>
      <c r="I3595" s="30" t="n">
        <f aca="false">Sens!H3595-Sens!I3594*mix_h</f>
        <v>552</v>
      </c>
      <c r="J3595" s="30" t="n">
        <f aca="false">Sens!I3595-Sens!J3594*mix_h</f>
        <v>404</v>
      </c>
      <c r="K3595" s="30" t="n">
        <f aca="false">Sens!J3595-Sens!K3594*mix_h</f>
        <v>110</v>
      </c>
    </row>
    <row r="3596" customFormat="false" ht="17.15" hidden="false" customHeight="false" outlineLevel="0" collapsed="false">
      <c r="A3596" s="1" t="s">
        <v>967</v>
      </c>
      <c r="B3596" s="0" t="s">
        <v>459</v>
      </c>
      <c r="C3596" s="30" t="n">
        <f aca="false">mix_g2*Sens!C3587</f>
        <v>288</v>
      </c>
      <c r="D3596" s="30" t="n">
        <f aca="false">mix_g2*Sens!D3587</f>
        <v>733.5</v>
      </c>
      <c r="E3596" s="30" t="n">
        <f aca="false">mix_g2*Sens!E3587</f>
        <v>1462.5</v>
      </c>
      <c r="F3596" s="30" t="n">
        <f aca="false">Sens!E3596-Sens!F3594*mix_g2</f>
        <v>1462.5</v>
      </c>
      <c r="G3596" s="30" t="n">
        <f aca="false">Sens!F3596-Sens!G3594*mix_g2</f>
        <v>1462.5</v>
      </c>
      <c r="H3596" s="30" t="n">
        <f aca="false">Sens!G3596-Sens!H3594*mix_g2</f>
        <v>1462.5</v>
      </c>
      <c r="I3596" s="30" t="n">
        <f aca="false">Sens!H3596-Sens!I3594*mix_g2</f>
        <v>1242</v>
      </c>
      <c r="J3596" s="30" t="n">
        <f aca="false">Sens!I3596-Sens!J3594*mix_g2</f>
        <v>909</v>
      </c>
      <c r="K3596" s="30" t="n">
        <f aca="false">Sens!J3596-Sens!K3594*mix_g2</f>
        <v>247.5</v>
      </c>
    </row>
    <row r="3597" customFormat="false" ht="17.15" hidden="false" customHeight="false" outlineLevel="0" collapsed="false">
      <c r="A3597" s="1" t="s">
        <v>968</v>
      </c>
      <c r="B3597" s="0" t="s">
        <v>459</v>
      </c>
      <c r="C3597" s="30" t="n">
        <f aca="false">mix_g3*Sens!C3587</f>
        <v>224</v>
      </c>
      <c r="D3597" s="30" t="n">
        <f aca="false">mix_g3*Sens!D3587</f>
        <v>570.5</v>
      </c>
      <c r="E3597" s="30" t="n">
        <f aca="false">mix_g3*Sens!E3587</f>
        <v>1137.5</v>
      </c>
      <c r="F3597" s="30" t="n">
        <f aca="false">Sens!E3597+(Sens!F3593+Sens!F3594)*(a_g3_27-nonnv*a_mai)-Sens!F3594*mix_g3</f>
        <v>1527.5</v>
      </c>
      <c r="G3597" s="30" t="n">
        <f aca="false">Sens!F3597+(Sens!G3593+Sens!G3594)*(a_g3_28-nonnv*a_mai)-Sens!G3594*mix_g3</f>
        <v>1624.7</v>
      </c>
      <c r="H3597" s="30" t="n">
        <f aca="false">Sens!G3597+(Sens!H3593+Sens!H3594)*(a_g3_29-nonnv*a_mai)-Sens!H3594*mix_g3</f>
        <v>1624.7</v>
      </c>
      <c r="I3597" s="30" t="n">
        <f aca="false">Sens!H3597+(Sens!I3593+Sens!I3594)*(a_g3_29-nonnv*a_mai)-Sens!I3594*mix_g3</f>
        <v>1453.2</v>
      </c>
      <c r="J3597" s="30" t="n">
        <f aca="false">Sens!I3597+(Sens!J3593+Sens!J3594)*(a_g3_29-nonnv*a_mai)-Sens!J3594*mix_g3</f>
        <v>1194.2</v>
      </c>
      <c r="K3597" s="30" t="n">
        <f aca="false">Sens!J3597+(Sens!K3593+Sens!K3594)*(a_g3_29-nonnv*a_mai)-Sens!K3594*mix_g3</f>
        <v>679.7</v>
      </c>
    </row>
    <row r="3598" customFormat="false" ht="17.15" hidden="false" customHeight="false" outlineLevel="0" collapsed="false">
      <c r="A3598" s="1" t="s">
        <v>969</v>
      </c>
      <c r="B3598" s="0" t="s">
        <v>459</v>
      </c>
      <c r="C3598" s="30" t="n">
        <v>0</v>
      </c>
      <c r="D3598" s="30" t="n">
        <v>0</v>
      </c>
      <c r="E3598" s="30" t="n">
        <v>0</v>
      </c>
      <c r="F3598" s="30" t="n">
        <f aca="false">Sens!E3598+(Sens!F3593+Sens!F3594)*nonnv*a_mai</f>
        <v>65</v>
      </c>
      <c r="G3598" s="30" t="n">
        <f aca="false">Sens!F3598+(Sens!G3593+Sens!G3594)*nonnv*a_mai</f>
        <v>113.6</v>
      </c>
      <c r="H3598" s="30" t="n">
        <f aca="false">Sens!G3598+(Sens!H3593+Sens!H3594)*nonnv*a_mai</f>
        <v>113.6</v>
      </c>
      <c r="I3598" s="30" t="n">
        <f aca="false">Sens!H3598+(Sens!I3593+Sens!I3594)*nonnv*a_mai</f>
        <v>162.6</v>
      </c>
      <c r="J3598" s="30" t="n">
        <f aca="false">Sens!I3598+(Sens!J3593+Sens!J3594)*nonnv*a_mai</f>
        <v>236.6</v>
      </c>
      <c r="K3598" s="30" t="n">
        <f aca="false">Sens!J3598+(Sens!K3593+Sens!K3594)*nonnv*a_mai</f>
        <v>383.6</v>
      </c>
      <c r="L3598" s="12" t="s">
        <v>970</v>
      </c>
    </row>
    <row r="3599" customFormat="false" ht="17.15" hidden="false" customHeight="false" outlineLevel="0" collapsed="false">
      <c r="A3599" s="1" t="s">
        <v>971</v>
      </c>
      <c r="B3599" s="0" t="s">
        <v>459</v>
      </c>
      <c r="C3599" s="30" t="n">
        <v>0</v>
      </c>
      <c r="D3599" s="30" t="n">
        <v>0</v>
      </c>
      <c r="E3599" s="30" t="n">
        <v>0</v>
      </c>
      <c r="F3599" s="30" t="n">
        <f aca="false">Sens!E3599+(Sens!F3593+Sens!F3594)*(1-a_g3_27)</f>
        <v>195</v>
      </c>
      <c r="G3599" s="30" t="n">
        <f aca="false">Sens!F3599+(Sens!G3593+Sens!G3594)*(1-a_g3_28)</f>
        <v>535.2</v>
      </c>
      <c r="H3599" s="30" t="n">
        <f aca="false">Sens!G3599+(Sens!H3593+Sens!H3594)*(1-a_g3_29)</f>
        <v>535.2</v>
      </c>
      <c r="I3599" s="30" t="n">
        <f aca="false">Sens!H3599+(Sens!I3593+Sens!I3594)*(1-a_g3_29)</f>
        <v>976.2</v>
      </c>
      <c r="J3599" s="30" t="n">
        <f aca="false">Sens!I3599+(Sens!J3593+Sens!J3594)*(1-a_g3_29)</f>
        <v>1642.2</v>
      </c>
      <c r="K3599" s="30" t="n">
        <f aca="false">Sens!J3599+(Sens!K3593+Sens!K3594)*(1-a_g3_29)</f>
        <v>2965.2</v>
      </c>
    </row>
    <row r="3600" customFormat="false" ht="17.15" hidden="false" customHeight="false" outlineLevel="0" collapsed="false">
      <c r="A3600" s="1" t="s">
        <v>972</v>
      </c>
      <c r="B3600" s="0" t="s">
        <v>403</v>
      </c>
      <c r="C3600" s="15" t="n">
        <f aca="false">(Sens!C3595*tk_hold_h100+Sens!C3596*tk_hold_gb200+Sens!C3597*tk_hold_gb300+Sens!C3599*tk_hold_vr200+Sens!C3598*nv_hold_mai*tk_hold_vr200)/Sens!C3587</f>
        <v>9.7235358126469</v>
      </c>
      <c r="D3600" s="15" t="n">
        <f aca="false">(Sens!D3595*tk_hold_h100+Sens!D3596*tk_hold_gb200+Sens!D3597*tk_hold_gb300+Sens!D3599*tk_hold_vr200+Sens!D3598*nv_hold_mai*tk_hold_vr200)/Sens!D3587</f>
        <v>9.7235358126469</v>
      </c>
      <c r="E3600" s="15" t="n">
        <f aca="false">(Sens!E3595*tk_hold_h100+Sens!E3596*tk_hold_gb200+Sens!E3597*tk_hold_gb300+Sens!E3599*tk_hold_vr200+Sens!E3598*nv_hold_mai*tk_hold_vr200)/Sens!E3587</f>
        <v>9.7235358126469</v>
      </c>
      <c r="F3600" s="15" t="n">
        <f aca="false">(Sens!F3595*tk_hold_h100+Sens!F3596*tk_hold_gb200+Sens!F3597*tk_hold_gb300+Sens!F3599*tk_hold_vr200+Sens!F3598*nv_hold_mai*tk_hold_vr200)/Sens!F3587</f>
        <v>9.9047400860175</v>
      </c>
      <c r="G3600" s="15" t="n">
        <f aca="false">(Sens!G3595*tk_hold_h100+Sens!G3596*tk_hold_gb200+Sens!G3597*tk_hold_gb300+Sens!G3599*tk_hold_vr200+Sens!G3598*nv_hold_mai*tk_hold_vr200)/Sens!G3587</f>
        <v>10.0644846479809</v>
      </c>
      <c r="H3600" s="15" t="n">
        <f aca="false">(Sens!H3595*tk_hold_h100+Sens!H3596*tk_hold_gb200+Sens!H3597*tk_hold_gb300+Sens!H3599*tk_hold_vr200+Sens!H3598*nv_hold_mai*tk_hold_vr200)/Sens!H3587</f>
        <v>10.0644846479809</v>
      </c>
      <c r="I3600" s="15" t="n">
        <f aca="false">(Sens!I3595*tk_hold_h100+Sens!I3596*tk_hold_gb200+Sens!I3597*tk_hold_gb300+Sens!I3599*tk_hold_vr200+Sens!I3598*nv_hold_mai*tk_hold_vr200)/Sens!I3587</f>
        <v>10.2757076768083</v>
      </c>
      <c r="J3600" s="15" t="n">
        <f aca="false">(Sens!J3595*tk_hold_h100+Sens!J3596*tk_hold_gb200+Sens!J3597*tk_hold_gb300+Sens!J3599*tk_hold_vr200+Sens!J3598*nv_hold_mai*tk_hold_vr200)/Sens!J3587</f>
        <v>10.5946975570782</v>
      </c>
      <c r="K3600" s="15" t="n">
        <f aca="false">(Sens!K3595*tk_hold_h100+Sens!K3596*tk_hold_gb200+Sens!K3597*tk_hold_gb300+Sens!K3599*tk_hold_vr200+Sens!K3598*nv_hold_mai*tk_hold_vr200)/Sens!K3587</f>
        <v>11.2283666435604</v>
      </c>
      <c r="L3600" s="1" t="s">
        <v>973</v>
      </c>
    </row>
    <row r="3601" customFormat="false" ht="17.15" hidden="false" customHeight="false" outlineLevel="0" collapsed="false">
      <c r="A3601" s="1" t="s">
        <v>974</v>
      </c>
      <c r="B3601" s="0" t="s">
        <v>403</v>
      </c>
      <c r="C3601" s="15" t="n">
        <f aca="false">(Sens!C3595*tk_hold_h100+Sens!C3596*tk_hold_gb200+Sens!C3597*tk_hold_gb300+Sens!C3599*tk_hold_vr200+Sens!C3598*nv_out_mai*tk_hold_vr200)/Sens!C3587</f>
        <v>9.7235358126469</v>
      </c>
      <c r="D3601" s="15" t="n">
        <f aca="false">(Sens!D3595*tk_hold_h100+Sens!D3596*tk_hold_gb200+Sens!D3597*tk_hold_gb300+Sens!D3599*tk_hold_vr200+Sens!D3598*nv_out_mai*tk_hold_vr200)/Sens!D3587</f>
        <v>9.7235358126469</v>
      </c>
      <c r="E3601" s="15" t="n">
        <f aca="false">(Sens!E3595*tk_hold_h100+Sens!E3596*tk_hold_gb200+Sens!E3597*tk_hold_gb300+Sens!E3599*tk_hold_vr200+Sens!E3598*nv_out_mai*tk_hold_vr200)/Sens!E3587</f>
        <v>9.7235358126469</v>
      </c>
      <c r="F3601" s="15" t="n">
        <f aca="false">(Sens!F3595*tk_hold_h100+Sens!F3596*tk_hold_gb200+Sens!F3597*tk_hold_gb300+Sens!F3599*tk_hold_vr200+Sens!F3598*nv_out_mai*tk_hold_vr200)/Sens!F3587</f>
        <v>9.91492797852132</v>
      </c>
      <c r="G3601" s="15" t="n">
        <f aca="false">(Sens!G3595*tk_hold_h100+Sens!G3596*tk_hold_gb200+Sens!G3597*tk_hold_gb300+Sens!G3599*tk_hold_vr200+Sens!G3598*nv_out_mai*tk_hold_vr200)/Sens!G3587</f>
        <v>10.0803169952919</v>
      </c>
      <c r="H3601" s="15" t="n">
        <f aca="false">(Sens!H3595*tk_hold_h100+Sens!H3596*tk_hold_gb200+Sens!H3597*tk_hold_gb300+Sens!H3599*tk_hold_vr200+Sens!H3598*nv_out_mai*tk_hold_vr200)/Sens!H3587</f>
        <v>10.0803169952919</v>
      </c>
      <c r="I3601" s="15" t="n">
        <f aca="false">(Sens!I3595*tk_hold_h100+Sens!I3596*tk_hold_gb200+Sens!I3597*tk_hold_gb300+Sens!I3599*tk_hold_vr200+Sens!I3598*nv_out_mai*tk_hold_vr200)/Sens!I3587</f>
        <v>10.2983691175897</v>
      </c>
      <c r="J3601" s="15" t="n">
        <f aca="false">(Sens!J3595*tk_hold_h100+Sens!J3596*tk_hold_gb200+Sens!J3597*tk_hold_gb300+Sens!J3599*tk_hold_vr200+Sens!J3598*nv_out_mai*tk_hold_vr200)/Sens!J3587</f>
        <v>10.6276723226925</v>
      </c>
      <c r="K3601" s="15" t="n">
        <f aca="false">(Sens!K3595*tk_hold_h100+Sens!K3596*tk_hold_gb200+Sens!K3597*tk_hold_gb300+Sens!K3599*tk_hold_vr200+Sens!K3598*nv_out_mai*tk_hold_vr200)/Sens!K3587</f>
        <v>11.2818286895859</v>
      </c>
      <c r="L3601" s="12" t="s">
        <v>975</v>
      </c>
    </row>
    <row r="3602" customFormat="false" ht="17.15" hidden="false" customHeight="false" outlineLevel="0" collapsed="false">
      <c r="A3602" s="0" t="s">
        <v>976</v>
      </c>
      <c r="B3602" s="0" t="s">
        <v>229</v>
      </c>
      <c r="C3602" s="15" t="n">
        <f aca="false">k_B</f>
        <v>1.17213932619116</v>
      </c>
      <c r="D3602" s="15" t="n">
        <f aca="false">k_B</f>
        <v>1.17213932619116</v>
      </c>
      <c r="E3602" s="15" t="n">
        <f aca="false">k_B</f>
        <v>1.17213932619116</v>
      </c>
      <c r="F3602" s="15" t="n">
        <f aca="false">(k_B+((ls_C*k_long+(1-ls_C)*k_spot)-k_B)*MIN(1,(Sens!F3585-base_fy)/k_ramp))</f>
        <v>1.07843258004497</v>
      </c>
      <c r="G3602" s="15" t="n">
        <f aca="false">(k_B+((ls_C*k_long+(1-ls_C)*k_spot)-k_B)*MIN(1,(Sens!G3585-base_fy)/k_ramp))</f>
        <v>0.984725833898784</v>
      </c>
      <c r="H3602" s="15" t="n">
        <f aca="false">(k_B+((ls_C*k_long+(1-ls_C)*k_spot)-k_B)*MIN(1,(Sens!H3585-base_fy)/k_ramp))</f>
        <v>0.891019087752599</v>
      </c>
      <c r="I3602" s="15" t="n">
        <f aca="false">(k_B+((ls_C*k_long+(1-ls_C)*k_spot)-k_B)*MIN(1,(Sens!I3585-base_fy)/k_ramp))</f>
        <v>0.891019087752599</v>
      </c>
      <c r="J3602" s="15" t="n">
        <f aca="false">(k_B+((ls_C*k_long+(1-ls_C)*k_spot)-k_B)*MIN(1,(Sens!J3585-base_fy)/k_ramp))</f>
        <v>0.891019087752599</v>
      </c>
      <c r="K3602" s="15" t="n">
        <f aca="false">(k_B+((ls_C*k_long+(1-ls_C)*k_spot)-k_B)*MIN(1,(Sens!K3585-base_fy)/k_ramp))</f>
        <v>0.891019087752599</v>
      </c>
      <c r="L3602" s="1" t="s">
        <v>977</v>
      </c>
    </row>
    <row r="3603" customFormat="false" ht="17.15" hidden="false" customHeight="false" outlineLevel="0" collapsed="false">
      <c r="A3603" s="1" t="s">
        <v>978</v>
      </c>
      <c r="B3603" s="0" t="s">
        <v>403</v>
      </c>
      <c r="C3603" s="15" t="n">
        <f aca="false">Sens!C3601*Sens!C3602*chip_f</f>
        <v>11.3973387156315</v>
      </c>
      <c r="D3603" s="15" t="n">
        <f aca="false">Sens!D3601*Sens!D3602*chip_f</f>
        <v>11.3973387156315</v>
      </c>
      <c r="E3603" s="15" t="n">
        <f aca="false">Sens!E3601*Sens!E3602*chip_f</f>
        <v>11.3973387156315</v>
      </c>
      <c r="F3603" s="15" t="n">
        <f aca="false">Sens!F3601*Sens!F3602*chip_f</f>
        <v>10.6925813608368</v>
      </c>
      <c r="G3603" s="15" t="n">
        <f aca="false">Sens!G3601*Sens!G3602*chip_f</f>
        <v>9.92634855915291</v>
      </c>
      <c r="H3603" s="15" t="n">
        <f aca="false">Sens!H3601*Sens!H3602*chip_f</f>
        <v>8.98175485340201</v>
      </c>
      <c r="I3603" s="15" t="n">
        <f aca="false">Sens!I3601*Sens!I3602*chip_f</f>
        <v>9.17604345649432</v>
      </c>
      <c r="J3603" s="15" t="n">
        <f aca="false">Sens!J3601*Sens!J3602*chip_f</f>
        <v>9.46945889789902</v>
      </c>
      <c r="K3603" s="15" t="n">
        <f aca="false">Sens!K3601*Sens!K3602*chip_f</f>
        <v>10.0523247071759</v>
      </c>
      <c r="L3603" s="1" t="s">
        <v>979</v>
      </c>
    </row>
    <row r="3604" customFormat="false" ht="17.15" hidden="false" customHeight="false" outlineLevel="0" collapsed="false">
      <c r="A3604" s="0" t="s">
        <v>980</v>
      </c>
      <c r="B3604" s="0" t="s">
        <v>98</v>
      </c>
      <c r="D3604" s="6" t="n">
        <f aca="false">(Sens!C3587+Sens!D3587)/2*Sens!D3603/1000</f>
        <v>12.9359794422418</v>
      </c>
      <c r="E3604" s="6" t="n">
        <f aca="false">(Sens!D3587+Sens!E3587)/2*Sens!E3603/1000</f>
        <v>27.8095064661409</v>
      </c>
      <c r="F3604" s="6" t="n">
        <f aca="false">(Sens!E3587+Sens!F3587)/2*Sens!F3603/1000</f>
        <v>38.2259783649916</v>
      </c>
      <c r="G3604" s="6" t="n">
        <f aca="false">(Sens!F3587+Sens!G3587)/2*Sens!G3603/1000</f>
        <v>41.1248620805705</v>
      </c>
      <c r="H3604" s="6" t="n">
        <f aca="false">(Sens!G3587+Sens!H3587)/2*Sens!H3603/1000</f>
        <v>39.3939767870212</v>
      </c>
      <c r="I3604" s="6" t="n">
        <f aca="false">(Sens!H3587+Sens!I3587)/2*Sens!I3603/1000</f>
        <v>40.2461266001841</v>
      </c>
      <c r="J3604" s="6" t="n">
        <f aca="false">(Sens!I3587+Sens!J3587)/2*Sens!J3603/1000</f>
        <v>41.5330467261851</v>
      </c>
      <c r="K3604" s="6" t="n">
        <f aca="false">(Sens!J3587+Sens!K3587)/2*Sens!K3603/1000</f>
        <v>44.0894961656736</v>
      </c>
      <c r="L3604" s="12" t="s">
        <v>981</v>
      </c>
    </row>
    <row r="3605" customFormat="false" ht="17.15" hidden="false" customHeight="false" outlineLevel="0" collapsed="false">
      <c r="A3605" s="1" t="s">
        <v>982</v>
      </c>
      <c r="B3605" s="0" t="s">
        <v>403</v>
      </c>
      <c r="C3605" s="15" t="n">
        <f aca="false">(Sens!C3595*tk_opex_h100+Sens!C3596*tk_opex_gb200+Sens!C3597*tk_opex_gb300+(Sens!C3599+Sens!C3598)*tk_opex_vr200)/Sens!C3587</f>
        <v>1.88636041306092</v>
      </c>
      <c r="D3605" s="15" t="n">
        <f aca="false">(Sens!D3595*tk_opex_h100+Sens!D3596*tk_opex_gb200+Sens!D3597*tk_opex_gb300+(Sens!D3599+Sens!D3598)*tk_opex_vr200)/Sens!D3587</f>
        <v>1.88636041306092</v>
      </c>
      <c r="E3605" s="15" t="n">
        <f aca="false">(Sens!E3595*tk_opex_h100+Sens!E3596*tk_opex_gb200+Sens!E3597*tk_opex_gb300+(Sens!E3599+Sens!E3598)*tk_opex_vr200)/Sens!E3587</f>
        <v>1.88636041306092</v>
      </c>
      <c r="F3605" s="15" t="n">
        <f aca="false">(Sens!F3595*tk_opex_h100+Sens!F3596*tk_opex_gb200+Sens!F3597*tk_opex_gb300+(Sens!F3599+Sens!F3598)*tk_opex_vr200)/Sens!F3587</f>
        <v>1.90979686208616</v>
      </c>
      <c r="G3605" s="15" t="n">
        <f aca="false">(Sens!G3595*tk_opex_h100+Sens!G3596*tk_opex_gb200+Sens!G3597*tk_opex_gb300+(Sens!G3599+Sens!G3598)*tk_opex_vr200)/Sens!G3587</f>
        <v>1.92769515165485</v>
      </c>
      <c r="H3605" s="15" t="n">
        <f aca="false">(Sens!H3595*tk_opex_h100+Sens!H3596*tk_opex_gb200+Sens!H3597*tk_opex_gb300+(Sens!H3599+Sens!H3598)*tk_opex_vr200)/Sens!H3587</f>
        <v>1.92769515165485</v>
      </c>
      <c r="I3605" s="15" t="n">
        <f aca="false">(Sens!I3595*tk_opex_h100+Sens!I3596*tk_opex_gb200+Sens!I3597*tk_opex_gb300+(Sens!I3599+Sens!I3598)*tk_opex_vr200)/Sens!I3587</f>
        <v>1.95083610383771</v>
      </c>
      <c r="J3605" s="15" t="n">
        <f aca="false">(Sens!J3595*tk_opex_h100+Sens!J3596*tk_opex_gb200+Sens!J3597*tk_opex_gb300+(Sens!J3599+Sens!J3598)*tk_opex_vr200)/Sens!J3587</f>
        <v>1.98578366427713</v>
      </c>
      <c r="K3605" s="15" t="n">
        <f aca="false">(Sens!K3595*tk_opex_h100+Sens!K3596*tk_opex_gb200+Sens!K3597*tk_opex_gb300+(Sens!K3599+Sens!K3598)*tk_opex_vr200)/Sens!K3587</f>
        <v>2.05520652082571</v>
      </c>
      <c r="L3605" s="12" t="s">
        <v>983</v>
      </c>
    </row>
    <row r="3606" customFormat="false" ht="17.15" hidden="false" customHeight="false" outlineLevel="0" collapsed="false">
      <c r="A3606" s="0" t="s">
        <v>984</v>
      </c>
      <c r="B3606" s="0" t="s">
        <v>98</v>
      </c>
      <c r="D3606" s="6" t="n">
        <f aca="false">(Sens!C3590+Sens!D3590)/2*Sens!D3605/1000</f>
        <v>2.70378325872065</v>
      </c>
      <c r="E3606" s="6" t="n">
        <f aca="false">(Sens!D3590+Sens!E3590)/2*Sens!E3605/1000</f>
        <v>6.17783035277451</v>
      </c>
      <c r="F3606" s="6" t="n">
        <f aca="false">(Sens!E3590+Sens!F3590)/2*Sens!F3605/1000</f>
        <v>9.30071071835958</v>
      </c>
      <c r="G3606" s="6" t="n">
        <f aca="false">(Sens!F3590+Sens!G3590)/2*Sens!G3605/1000</f>
        <v>10.8818391310916</v>
      </c>
      <c r="H3606" s="6" t="n">
        <f aca="false">(Sens!G3590+Sens!H3590)/2*Sens!H3605/1000</f>
        <v>11.6625556675118</v>
      </c>
      <c r="I3606" s="6" t="n">
        <f aca="false">(Sens!H3590+Sens!I3590)/2*Sens!I3605/1000</f>
        <v>11.8025584282181</v>
      </c>
      <c r="J3606" s="6" t="n">
        <f aca="false">(Sens!I3590+Sens!J3590)/2*Sens!J3605/1000</f>
        <v>12.0139911688766</v>
      </c>
      <c r="K3606" s="6" t="n">
        <f aca="false">(Sens!J3590+Sens!K3590)/2*Sens!K3605/1000</f>
        <v>12.4339994509955</v>
      </c>
    </row>
    <row r="3607" customFormat="false" ht="17.15" hidden="false" customHeight="false" outlineLevel="0" collapsed="false">
      <c r="A3607" s="0" t="s">
        <v>985</v>
      </c>
      <c r="B3607" s="0" t="s">
        <v>98</v>
      </c>
      <c r="D3607" s="6" t="n">
        <f aca="false">(Sens!C3588+Sens!D3588)/2*rent_mw/1000</f>
        <v>2.44475</v>
      </c>
      <c r="E3607" s="6" t="n">
        <f aca="false">(Sens!D3588+Sens!E3588)/2*rent_mw/1000</f>
        <v>4.22275</v>
      </c>
      <c r="F3607" s="6" t="n">
        <f aca="false">(Sens!E3588+Sens!F3588)/2*rent_mw/1000</f>
        <v>5.80517</v>
      </c>
      <c r="G3607" s="6" t="n">
        <f aca="false">(Sens!F3588+Sens!G3588)/2*rent_mw/1000</f>
        <v>6.72084</v>
      </c>
      <c r="H3607" s="6" t="n">
        <f aca="false">(Sens!G3588+Sens!H3588)/2*rent_mw/1000</f>
        <v>6.72084</v>
      </c>
      <c r="I3607" s="6" t="n">
        <f aca="false">(Sens!H3588+Sens!I3588)/2*rent_mw/1000</f>
        <v>6.72084</v>
      </c>
      <c r="J3607" s="6" t="n">
        <f aca="false">(Sens!I3588+Sens!J3588)/2*rent_mw/1000</f>
        <v>6.72084</v>
      </c>
      <c r="K3607" s="6" t="n">
        <f aca="false">(Sens!J3588+Sens!K3588)/2*rent_mw/1000</f>
        <v>6.72084</v>
      </c>
    </row>
    <row r="3608" customFormat="false" ht="17.15" hidden="false" customHeight="false" outlineLevel="0" collapsed="false">
      <c r="A3608" s="0" t="s">
        <v>986</v>
      </c>
      <c r="B3608" s="0" t="s">
        <v>98</v>
      </c>
      <c r="D3608" s="6" t="n">
        <f aca="false">(Sens!C3590+Sens!D3590)/2*(1-self_build)*fac_rent/1000</f>
        <v>0.853242375631075</v>
      </c>
      <c r="E3608" s="6" t="n">
        <f aca="false">(Sens!D3590+Sens!E3590)/2*(1-self_build)*fac_rent/1000</f>
        <v>1.94955961408728</v>
      </c>
      <c r="F3608" s="6" t="n">
        <f aca="false">(Sens!E3590+Sens!F3590)/2*(1-self_build)*fac_rent/1000</f>
        <v>2.89903979255117</v>
      </c>
      <c r="G3608" s="6" t="n">
        <f aca="false">(Sens!F3590+Sens!G3590)/2*(1-self_build)*fac_rent/1000</f>
        <v>3.36038596077029</v>
      </c>
      <c r="H3608" s="6" t="n">
        <f aca="false">(Sens!G3590+Sens!H3590)/2*(1-self_build)*fac_rent/1000</f>
        <v>3.60147653900094</v>
      </c>
      <c r="I3608" s="6" t="n">
        <f aca="false">(Sens!H3590+Sens!I3590)/2*(1-self_build)*fac_rent/1000</f>
        <v>3.60147653900094</v>
      </c>
      <c r="J3608" s="6" t="n">
        <f aca="false">(Sens!I3590+Sens!J3590)/2*(1-self_build)*fac_rent/1000</f>
        <v>3.60147653900094</v>
      </c>
      <c r="K3608" s="6" t="n">
        <f aca="false">(Sens!J3590+Sens!K3590)/2*(1-self_build)*fac_rent/1000</f>
        <v>3.60147653900094</v>
      </c>
      <c r="L3608" s="12" t="s">
        <v>987</v>
      </c>
    </row>
    <row r="3609" customFormat="false" ht="17.15" hidden="false" customHeight="false" outlineLevel="0" collapsed="false">
      <c r="A3609" s="1" t="s">
        <v>988</v>
      </c>
      <c r="B3609" s="0" t="s">
        <v>168</v>
      </c>
      <c r="D3609" s="7" t="n">
        <f aca="false">(Sens!C3589+Sens!D3589)/(Sens!C3590+Sens!D3590)</f>
        <v>0.6</v>
      </c>
      <c r="E3609" s="7" t="n">
        <f aca="false">(Sens!D3589+Sens!E3589)/(Sens!D3590+Sens!E3590)</f>
        <v>0.6</v>
      </c>
      <c r="F3609" s="7" t="n">
        <f aca="false">(Sens!E3589+Sens!F3589)/(Sens!E3590+Sens!F3590)</f>
        <v>0.6</v>
      </c>
      <c r="G3609" s="7" t="n">
        <f aca="false">(Sens!F3589+Sens!G3589)/(Sens!F3590+Sens!G3590)</f>
        <v>0.6</v>
      </c>
      <c r="H3609" s="7" t="n">
        <f aca="false">(Sens!G3589+Sens!H3589)/(Sens!G3590+Sens!H3590)</f>
        <v>0.6</v>
      </c>
      <c r="I3609" s="7" t="n">
        <f aca="false">(Sens!H3589+Sens!I3589)/(Sens!H3590+Sens!I3590)</f>
        <v>0.6</v>
      </c>
      <c r="J3609" s="7" t="n">
        <f aca="false">(Sens!I3589+Sens!J3589)/(Sens!I3590+Sens!J3590)</f>
        <v>0.6</v>
      </c>
      <c r="K3609" s="7" t="n">
        <f aca="false">(Sens!J3589+Sens!K3589)/(Sens!J3590+Sens!K3590)</f>
        <v>0.6</v>
      </c>
    </row>
    <row r="3610" customFormat="false" ht="17.15" hidden="false" customHeight="false" outlineLevel="0" collapsed="false">
      <c r="A3610" s="0" t="s">
        <v>989</v>
      </c>
      <c r="B3610" s="0" t="s">
        <v>98</v>
      </c>
      <c r="D3610" s="6" t="n">
        <f aca="false">Sens!D3604-Sens!D3609*(Sens!D3606+Sens!D3608)-Sens!D3607</f>
        <v>8.35701406163072</v>
      </c>
      <c r="E3610" s="6" t="n">
        <f aca="false">Sens!E3604-Sens!E3609*(Sens!E3606+Sens!E3608)-Sens!E3607</f>
        <v>18.7103224860238</v>
      </c>
      <c r="F3610" s="6" t="n">
        <f aca="false">Sens!F3604-Sens!F3609*(Sens!F3606+Sens!F3608)-Sens!F3607</f>
        <v>25.1009580584451</v>
      </c>
      <c r="G3610" s="6" t="n">
        <f aca="false">Sens!G3604-Sens!G3609*(Sens!G3606+Sens!G3608)-Sens!G3607</f>
        <v>25.8586870254534</v>
      </c>
      <c r="H3610" s="6" t="n">
        <f aca="false">Sens!H3604-Sens!H3609*(Sens!H3606+Sens!H3608)-Sens!H3607</f>
        <v>23.5147174631136</v>
      </c>
      <c r="I3610" s="6" t="n">
        <f aca="false">Sens!I3604-Sens!I3609*(Sens!I3606+Sens!I3608)-Sens!I3607</f>
        <v>24.2828656198526</v>
      </c>
      <c r="J3610" s="6" t="n">
        <f aca="false">Sens!J3604-Sens!J3609*(Sens!J3606+Sens!J3608)-Sens!J3607</f>
        <v>25.4429261014586</v>
      </c>
      <c r="K3610" s="6" t="n">
        <f aca="false">Sens!K3604-Sens!K3609*(Sens!K3606+Sens!K3608)-Sens!K3607</f>
        <v>27.7473705716757</v>
      </c>
    </row>
    <row r="3611" customFormat="false" ht="17.15" hidden="false" customHeight="false" outlineLevel="0" collapsed="false">
      <c r="A3611" s="1" t="s">
        <v>990</v>
      </c>
      <c r="B3611" s="0" t="s">
        <v>98</v>
      </c>
      <c r="D3611" s="6" t="n">
        <f aca="false">(1-Sens!D3609)*(Sens!D3606+Sens!D3608)</f>
        <v>1.42281025374069</v>
      </c>
      <c r="E3611" s="6" t="n">
        <f aca="false">(1-Sens!E3609)*(Sens!E3606+Sens!E3608)</f>
        <v>3.25095598674472</v>
      </c>
      <c r="F3611" s="6" t="n">
        <f aca="false">(1-Sens!F3609)*(Sens!F3606+Sens!F3608)</f>
        <v>4.8799002043643</v>
      </c>
      <c r="G3611" s="6" t="n">
        <f aca="false">(1-Sens!G3609)*(Sens!G3606+Sens!G3608)</f>
        <v>5.69689003674476</v>
      </c>
      <c r="H3611" s="6" t="n">
        <f aca="false">(1-Sens!H3609)*(Sens!H3606+Sens!H3608)</f>
        <v>6.1056128826051</v>
      </c>
      <c r="I3611" s="6" t="n">
        <f aca="false">(1-Sens!I3609)*(Sens!I3606+Sens!I3608)</f>
        <v>6.16161398688763</v>
      </c>
      <c r="J3611" s="6" t="n">
        <f aca="false">(1-Sens!J3609)*(Sens!J3606+Sens!J3608)</f>
        <v>6.24618708315103</v>
      </c>
      <c r="K3611" s="6" t="n">
        <f aca="false">(1-Sens!K3609)*(Sens!K3606+Sens!K3608)</f>
        <v>6.41419039599859</v>
      </c>
    </row>
    <row r="3612" customFormat="false" ht="17.15" hidden="false" customHeight="false" outlineLevel="0" collapsed="false">
      <c r="A3612" s="1" t="s">
        <v>991</v>
      </c>
      <c r="B3612" s="0" t="s">
        <v>417</v>
      </c>
      <c r="C3612" s="8" t="n">
        <f aca="false">cxit_open</f>
        <v>27.5918995</v>
      </c>
      <c r="D3612" s="8" t="n">
        <f aca="false">cxit_open</f>
        <v>27.5918995</v>
      </c>
      <c r="E3612" s="8" t="n">
        <f aca="false">cxit_open</f>
        <v>27.5918995</v>
      </c>
      <c r="F3612" s="8" t="n">
        <f aca="false">((a_g3_27-nonnv*a_mai)*tk_cxit_gb300+nonnv*a_mai*nv_hold_mai*tk_cxit_vr200+(1-a_g3_27)*tk_cxit_vr200)</f>
        <v>32.4975576</v>
      </c>
      <c r="G3612" s="8" t="n">
        <f aca="false">((a_g3_28-nonnv*a_mai)*tk_cxit_gb300+nonnv*a_mai*nv_hold_mai*tk_cxit_vr200+(1-a_g3_28)*tk_cxit_vr200)</f>
        <v>34.6372088</v>
      </c>
      <c r="H3612" s="8" t="n">
        <f aca="false">((a_g3_29-nonnv*a_mai)*tk_cxit_gb300+nonnv*a_mai*nv_hold_mai*tk_cxit_vr200+(1-a_g3_29)*tk_cxit_vr200)</f>
        <v>35.7070344</v>
      </c>
      <c r="I3612" s="8" t="n">
        <f aca="false">((a_g3_29-nonnv*a_mai)*tk_cxit_gb300+nonnv*a_mai*nv_hold_mai*tk_cxit_vr200+(1-a_g3_29)*tk_cxit_vr200)</f>
        <v>35.7070344</v>
      </c>
      <c r="J3612" s="8" t="n">
        <f aca="false">((a_g3_29-nonnv*a_mai)*tk_cxit_gb300+nonnv*a_mai*nv_hold_mai*tk_cxit_vr200+(1-a_g3_29)*tk_cxit_vr200)</f>
        <v>35.7070344</v>
      </c>
      <c r="K3612" s="8" t="n">
        <f aca="false">((a_g3_29-nonnv*a_mai)*tk_cxit_gb300+nonnv*a_mai*nv_hold_mai*tk_cxit_vr200+(1-a_g3_29)*tk_cxit_vr200)</f>
        <v>35.7070344</v>
      </c>
      <c r="L3612" s="12" t="s">
        <v>992</v>
      </c>
    </row>
    <row r="3613" customFormat="false" ht="17.15" hidden="false" customHeight="false" outlineLevel="0" collapsed="false">
      <c r="A3613" s="0" t="s">
        <v>993</v>
      </c>
      <c r="B3613" s="0" t="s">
        <v>459</v>
      </c>
      <c r="F3613" s="30" t="n">
        <f aca="false">Sens!C3592*IF(Sens!F3585-Sens!C3585=life_it,1,0)+Sens!D3592*IF(Sens!F3585-Sens!D3585=life_it,1,0)+Sens!E3592*IF(Sens!F3585-Sens!E3585=life_it,1,0)</f>
        <v>0</v>
      </c>
      <c r="G3613" s="30" t="n">
        <f aca="false">Sens!C3592*IF(Sens!G3585-Sens!C3585=life_it,1,0)+Sens!D3592*IF(Sens!G3585-Sens!D3585=life_it,1,0)+Sens!E3592*IF(Sens!G3585-Sens!E3585=life_it,1,0)+Sens!F3592*IF(Sens!G3585-Sens!F3585=life_it,1,0)</f>
        <v>0</v>
      </c>
      <c r="H3613" s="30" t="n">
        <f aca="false">Sens!C3592*IF(Sens!H3585-Sens!C3585=life_it,1,0)+Sens!D3592*IF(Sens!H3585-Sens!D3585=life_it,1,0)+Sens!E3592*IF(Sens!H3585-Sens!E3585=life_it,1,0)+Sens!F3592*IF(Sens!H3585-Sens!F3585=life_it,1,0)+Sens!G3592*IF(Sens!H3585-Sens!G3585=life_it,1,0)</f>
        <v>0</v>
      </c>
      <c r="I3613" s="30" t="n">
        <f aca="false">Sens!C3592*IF(Sens!I3585-Sens!C3585=life_it,1,0)+Sens!D3592*IF(Sens!I3585-Sens!D3585=life_it,1,0)+Sens!E3592*IF(Sens!I3585-Sens!E3585=life_it,1,0)+Sens!F3592*IF(Sens!I3585-Sens!F3585=life_it,1,0)+Sens!G3592*IF(Sens!I3585-Sens!G3585=life_it,1,0)+Sens!H3592*IF(Sens!I3585-Sens!H3585=life_it,1,0)</f>
        <v>816.666666666667</v>
      </c>
      <c r="J3613" s="30" t="n">
        <f aca="false">Sens!C3592*IF(Sens!J3585-Sens!C3585=life_it,1,0)+Sens!D3592*IF(Sens!J3585-Sens!D3585=life_it,1,0)+Sens!E3592*IF(Sens!J3585-Sens!E3585=life_it,1,0)+Sens!F3592*IF(Sens!J3585-Sens!F3585=life_it,1,0)+Sens!G3592*IF(Sens!J3585-Sens!G3585=life_it,1,0)+Sens!H3592*IF(Sens!J3585-Sens!H3585=life_it,1,0)+Sens!I3592*IF(Sens!J3585-Sens!I3585=life_it,1,0)</f>
        <v>1233.33333333333</v>
      </c>
      <c r="K3613" s="30" t="n">
        <f aca="false">Sens!C3592*IF(Sens!K3585-Sens!C3585=life_it,1,0)+Sens!D3592*IF(Sens!K3585-Sens!D3585=life_it,1,0)+Sens!E3592*IF(Sens!K3585-Sens!E3585=life_it,1,0)+Sens!F3592*IF(Sens!K3585-Sens!F3585=life_it,1,0)+Sens!G3592*IF(Sens!K3585-Sens!G3585=life_it,1,0)+Sens!H3592*IF(Sens!K3585-Sens!H3585=life_it,1,0)+Sens!I3592*IF(Sens!K3585-Sens!I3585=life_it,1,0)+Sens!J3592*IF(Sens!K3585-Sens!J3585=life_it,1,0)</f>
        <v>2450</v>
      </c>
      <c r="L3613" s="1" t="s">
        <v>994</v>
      </c>
    </row>
    <row r="3614" customFormat="false" ht="17.15" hidden="false" customHeight="false" outlineLevel="0" collapsed="false">
      <c r="A3614" s="0" t="s">
        <v>995</v>
      </c>
      <c r="B3614" s="0" t="s">
        <v>98</v>
      </c>
      <c r="C3614" s="6" t="n">
        <f aca="false">Sens!C3592*Sens!C3612/1000</f>
        <v>22.5333845916667</v>
      </c>
      <c r="D3614" s="6" t="n">
        <f aca="false">Sens!D3592*Sens!D3612/1000</f>
        <v>34.0300093833333</v>
      </c>
      <c r="E3614" s="6" t="n">
        <f aca="false">Sens!E3592*Sens!E3612/1000</f>
        <v>67.600153775</v>
      </c>
      <c r="F3614" s="6" t="n">
        <f aca="false">(Sens!F3592+Sens!F3613)*Sens!F3612/1000</f>
        <v>24.048192624</v>
      </c>
      <c r="G3614" s="6" t="n">
        <f aca="false">(Sens!G3592+Sens!G3613)*Sens!G3612/1000</f>
        <v>28.056139128</v>
      </c>
      <c r="H3614" s="6" t="n">
        <f aca="false">(Sens!H3592+Sens!H3613)*Sens!H3612/1000</f>
        <v>0</v>
      </c>
      <c r="I3614" s="6" t="n">
        <f aca="false">(Sens!I3592+Sens!I3613)*Sens!I3612/1000</f>
        <v>29.16074476</v>
      </c>
      <c r="J3614" s="6" t="n">
        <f aca="false">(Sens!J3592+Sens!J3613)*Sens!J3612/1000</f>
        <v>44.03867576</v>
      </c>
      <c r="K3614" s="6" t="n">
        <f aca="false">(Sens!K3592+Sens!K3613)*Sens!K3612/1000</f>
        <v>87.48223428</v>
      </c>
    </row>
    <row r="3615" customFormat="false" ht="17.15" hidden="false" customHeight="false" outlineLevel="0" collapsed="false">
      <c r="A3615" s="0" t="s">
        <v>996</v>
      </c>
      <c r="B3615" s="0" t="s">
        <v>98</v>
      </c>
      <c r="C3615" s="6" t="n">
        <f aca="false">Sens!C3592*self_build*tk_cxfac/1000</f>
        <v>6.2083</v>
      </c>
      <c r="D3615" s="6" t="n">
        <f aca="false">Sens!D3592*self_build*tk_cxfac/1000</f>
        <v>9.3758</v>
      </c>
      <c r="E3615" s="6" t="n">
        <f aca="false">Sens!E3592*self_build*tk_cxfac/1000</f>
        <v>18.6249</v>
      </c>
      <c r="F3615" s="6" t="n">
        <f aca="false">Sens!F3592*self_build*tk_cxfac/1000</f>
        <v>5.62548</v>
      </c>
      <c r="G3615" s="6" t="n">
        <f aca="false">Sens!G3592*self_build*tk_cxfac/1000</f>
        <v>6.15762</v>
      </c>
      <c r="H3615" s="6" t="n">
        <f aca="false">Sens!H3592*self_build*tk_cxfac/1000</f>
        <v>0</v>
      </c>
      <c r="I3615" s="6" t="n">
        <f aca="false">Sens!I3592*self_build*tk_cxfac/1000</f>
        <v>0</v>
      </c>
      <c r="J3615" s="6" t="n">
        <f aca="false">Sens!J3592*self_build*tk_cxfac/1000</f>
        <v>0</v>
      </c>
      <c r="K3615" s="6" t="n">
        <f aca="false">Sens!K3592*self_build*tk_cxfac/1000</f>
        <v>0</v>
      </c>
    </row>
    <row r="3616" customFormat="false" ht="17.15" hidden="false" customHeight="false" outlineLevel="0" collapsed="false">
      <c r="A3616" s="0" t="s">
        <v>997</v>
      </c>
      <c r="B3616" s="0" t="s">
        <v>98</v>
      </c>
      <c r="F3616" s="15" t="n">
        <f aca="false">capex_floor27-Sens!F3614-Sens!F3615-Sens!F3712</f>
        <v>138.140066594294</v>
      </c>
      <c r="L3616" s="12" t="s">
        <v>998</v>
      </c>
    </row>
    <row r="3617" customFormat="false" ht="17.15" hidden="false" customHeight="false" outlineLevel="0" collapsed="false">
      <c r="A3617" s="0" t="s">
        <v>999</v>
      </c>
      <c r="B3617" s="0" t="s">
        <v>98</v>
      </c>
      <c r="F3617" s="6" t="n">
        <f aca="false">MAX(0,Sens!F3616)</f>
        <v>138.140066594294</v>
      </c>
    </row>
    <row r="3618" customFormat="false" ht="17.15" hidden="false" customHeight="false" outlineLevel="0" collapsed="false">
      <c r="A3618" s="0" t="s">
        <v>1000</v>
      </c>
      <c r="B3618" s="0" t="s">
        <v>98</v>
      </c>
      <c r="C3618" s="6" t="n">
        <f aca="false">Sens!C3614</f>
        <v>22.5333845916667</v>
      </c>
      <c r="D3618" s="6" t="n">
        <f aca="false">Sens!D3614</f>
        <v>34.0300093833333</v>
      </c>
      <c r="E3618" s="6" t="n">
        <f aca="false">Sens!E3614</f>
        <v>67.600153775</v>
      </c>
      <c r="F3618" s="6" t="n">
        <f aca="false">Sens!F3614</f>
        <v>24.048192624</v>
      </c>
      <c r="G3618" s="6" t="n">
        <f aca="false">Sens!G3614</f>
        <v>28.056139128</v>
      </c>
      <c r="H3618" s="6" t="n">
        <f aca="false">Sens!H3614</f>
        <v>0</v>
      </c>
      <c r="I3618" s="6" t="n">
        <f aca="false">Sens!I3614</f>
        <v>29.16074476</v>
      </c>
      <c r="J3618" s="6" t="n">
        <f aca="false">Sens!J3614</f>
        <v>44.03867576</v>
      </c>
      <c r="K3618" s="6" t="n">
        <f aca="false">Sens!K3614</f>
        <v>87.48223428</v>
      </c>
    </row>
    <row r="3619" customFormat="false" ht="17.15" hidden="false" customHeight="false" outlineLevel="0" collapsed="false">
      <c r="A3619" s="0" t="s">
        <v>1001</v>
      </c>
      <c r="B3619" s="0" t="s">
        <v>98</v>
      </c>
      <c r="C3619" s="6" t="n">
        <f aca="false">Sens!C3618+Sens!C3615</f>
        <v>28.7416845916667</v>
      </c>
      <c r="D3619" s="6" t="n">
        <f aca="false">Sens!D3618+Sens!D3615</f>
        <v>43.4058093833333</v>
      </c>
      <c r="E3619" s="6" t="n">
        <f aca="false">Sens!E3618+Sens!E3615</f>
        <v>86.225053775</v>
      </c>
      <c r="F3619" s="6" t="n">
        <f aca="false">Sens!F3618+Sens!F3615</f>
        <v>29.673672624</v>
      </c>
      <c r="G3619" s="6" t="n">
        <f aca="false">Sens!G3618+Sens!G3615</f>
        <v>34.213759128</v>
      </c>
      <c r="H3619" s="6" t="n">
        <f aca="false">Sens!H3618+Sens!H3615</f>
        <v>0</v>
      </c>
      <c r="I3619" s="6" t="n">
        <f aca="false">Sens!I3618+Sens!I3615</f>
        <v>29.16074476</v>
      </c>
      <c r="J3619" s="6" t="n">
        <f aca="false">Sens!J3618+Sens!J3615</f>
        <v>44.03867576</v>
      </c>
      <c r="K3619" s="6" t="n">
        <f aca="false">Sens!K3618+Sens!K3615</f>
        <v>87.48223428</v>
      </c>
      <c r="L3619" s="12" t="s">
        <v>1002</v>
      </c>
    </row>
    <row r="3620" customFormat="false" ht="17.15" hidden="false" customHeight="false" outlineLevel="0" collapsed="false">
      <c r="A3620" s="0" t="s">
        <v>1003</v>
      </c>
      <c r="B3620" s="0" t="s">
        <v>98</v>
      </c>
      <c r="E3620" s="6" t="n">
        <f aca="false">(Sens!C3618*IF(2&lt;life_it,1,IF(2=life_it,0.5,0))+Sens!D3618*IF(1&lt;life_it,1,IF(1=life_it,0.5,0))+Sens!E3618*0.5)/life_it</f>
        <v>15.0605784770833</v>
      </c>
      <c r="F3620" s="6" t="n">
        <f aca="false">(Sens!C3618*IF(3&lt;life_it,1,IF(3=life_it,0.5,0))+Sens!D3618*IF(2&lt;life_it,1,IF(2=life_it,0.5,0))+Sens!E3618*IF(1&lt;life_it,1,IF(1=life_it,0.5,0))+Sens!F3618*0.5)/life_it</f>
        <v>22.697940677</v>
      </c>
      <c r="G3620" s="6" t="n">
        <f aca="false">(Sens!C3618*IF(4&lt;life_it,1,IF(4=life_it,0.5,0))+Sens!D3618*IF(3&lt;life_it,1,IF(3=life_it,0.5,0))+Sens!E3618*IF(2&lt;life_it,1,IF(2=life_it,0.5,0))+Sens!F3618*IF(1&lt;life_it,1,IF(1=life_it,0.5,0))+Sens!G3618*0.5)/life_it</f>
        <v>27.039968323</v>
      </c>
      <c r="H3620" s="6" t="n">
        <f aca="false">(Sens!C3618*IF(5&lt;life_it,1,IF(5=life_it,0.5,0))+Sens!D3618*IF(4&lt;life_it,1,IF(4=life_it,0.5,0))+Sens!E3618*IF(3&lt;life_it,1,IF(3=life_it,0.5,0))+Sens!F3618*IF(2&lt;life_it,1,IF(2=life_it,0.5,0))+Sens!G3618*IF(1&lt;life_it,1,IF(1=life_it,0.5,0))+Sens!H3618*0.5)/life_it</f>
        <v>29.377979917</v>
      </c>
      <c r="I3620" s="6" t="n">
        <f aca="false">(Sens!C3618*IF(6&lt;life_it,1,IF(6=life_it,0.5,0))+Sens!D3618*IF(5&lt;life_it,1,IF(5=life_it,0.5,0))+Sens!E3618*IF(4&lt;life_it,1,IF(4=life_it,0.5,0))+Sens!F3618*IF(3&lt;life_it,1,IF(3=life_it,0.5,0))+Sens!G3618*IF(2&lt;life_it,1,IF(2=life_it,0.5,0))+Sens!H3618*IF(1&lt;life_it,1,IF(1=life_it,0.5,0))+Sens!I3618*0.5)/life_it</f>
        <v>29.9302599310278</v>
      </c>
      <c r="J3620" s="6" t="n">
        <f aca="false">(Sens!C3618*IF(7&lt;life_it,1,IF(7=life_it,0.5,0))+Sens!D3618*IF(6&lt;life_it,1,IF(6=life_it,0.5,0))+Sens!E3618*IF(5&lt;life_it,1,IF(5=life_it,0.5,0))+Sens!F3618*IF(4&lt;life_it,1,IF(4=life_it,0.5,0))+Sens!G3618*IF(3&lt;life_it,1,IF(3=life_it,0.5,0))+Sens!H3618*IF(2&lt;life_it,1,IF(2=life_it,0.5,0))+Sens!I3618*IF(1&lt;life_it,1,IF(1=life_it,0.5,0))+Sens!J3618*0.5)/life_it</f>
        <v>31.3165954764444</v>
      </c>
      <c r="K3620" s="6" t="n">
        <f aca="false">(Sens!C3618*IF(8&lt;life_it,1,IF(8=life_it,0.5,0))+Sens!D3618*IF(7&lt;life_it,1,IF(7=life_it,0.5,0))+Sens!E3618*IF(6&lt;life_it,1,IF(6=life_it,0.5,0))+Sens!F3618*IF(5&lt;life_it,1,IF(5=life_it,0.5,0))+Sens!G3618*IF(4&lt;life_it,1,IF(4=life_it,0.5,0))+Sens!H3618*IF(3&lt;life_it,1,IF(3=life_it,0.5,0))+Sens!I3618*IF(2&lt;life_it,1,IF(2=life_it,0.5,0))+Sens!J3618*IF(1&lt;life_it,1,IF(1=life_it,0.5,0))+Sens!K3618*0.5)/life_it</f>
        <v>33.8074910499167</v>
      </c>
    </row>
    <row r="3621" customFormat="false" ht="17.15" hidden="false" customHeight="false" outlineLevel="0" collapsed="false">
      <c r="A3621" s="0" t="s">
        <v>1004</v>
      </c>
      <c r="B3621" s="0" t="s">
        <v>98</v>
      </c>
      <c r="E3621" s="6" t="n">
        <f aca="false">(Sens!C3615*IF(2&lt;life_fac,1,IF(2=life_fac,0.5,0))+Sens!D3615*IF(1&lt;life_fac,1,IF(1=life_fac,0.5,0))+Sens!E3615*0.5)/life_fac</f>
        <v>1.2448275</v>
      </c>
      <c r="F3621" s="6" t="n">
        <f aca="false">(Sens!C3615*IF(3&lt;life_fac,1,IF(3=life_fac,0.5,0))+Sens!D3615*IF(2&lt;life_fac,1,IF(2=life_fac,0.5,0))+Sens!E3615*IF(1&lt;life_fac,1,IF(1=life_fac,0.5,0))+Sens!F3615*0.5)/life_fac</f>
        <v>1.851087</v>
      </c>
      <c r="G3621" s="6" t="n">
        <f aca="false">(Sens!C3615*IF(4&lt;life_fac,1,IF(4=life_fac,0.5,0))+Sens!D3615*IF(3&lt;life_fac,1,IF(3=life_fac,0.5,0))+Sens!E3615*IF(2&lt;life_fac,1,IF(2=life_fac,0.5,0))+Sens!F3615*IF(1&lt;life_fac,1,IF(1=life_fac,0.5,0))+Sens!G3615*0.5)/life_fac</f>
        <v>2.1456645</v>
      </c>
      <c r="H3621" s="6" t="n">
        <f aca="false">(Sens!C3615*IF(5&lt;life_fac,1,IF(5=life_fac,0.5,0))+Sens!D3615*IF(4&lt;life_fac,1,IF(4=life_fac,0.5,0))+Sens!E3615*IF(3&lt;life_fac,1,IF(3=life_fac,0.5,0))+Sens!F3615*IF(2&lt;life_fac,1,IF(2=life_fac,0.5,0))+Sens!G3615*IF(1&lt;life_fac,1,IF(1=life_fac,0.5,0))+Sens!H3615*0.5)/life_fac</f>
        <v>2.299605</v>
      </c>
      <c r="I3621" s="6" t="n">
        <f aca="false">(Sens!C3615*IF(6&lt;life_fac,1,IF(6=life_fac,0.5,0))+Sens!D3615*IF(5&lt;life_fac,1,IF(5=life_fac,0.5,0))+Sens!E3615*IF(4&lt;life_fac,1,IF(4=life_fac,0.5,0))+Sens!F3615*IF(3&lt;life_fac,1,IF(3=life_fac,0.5,0))+Sens!G3615*IF(2&lt;life_fac,1,IF(2=life_fac,0.5,0))+Sens!H3615*IF(1&lt;life_fac,1,IF(1=life_fac,0.5,0))+Sens!I3615*0.5)/life_fac</f>
        <v>2.299605</v>
      </c>
      <c r="J3621" s="6" t="n">
        <f aca="false">(Sens!C3615*IF(7&lt;life_fac,1,IF(7=life_fac,0.5,0))+Sens!D3615*IF(6&lt;life_fac,1,IF(6=life_fac,0.5,0))+Sens!E3615*IF(5&lt;life_fac,1,IF(5=life_fac,0.5,0))+Sens!F3615*IF(4&lt;life_fac,1,IF(4=life_fac,0.5,0))+Sens!G3615*IF(3&lt;life_fac,1,IF(3=life_fac,0.5,0))+Sens!H3615*IF(2&lt;life_fac,1,IF(2=life_fac,0.5,0))+Sens!I3615*IF(1&lt;life_fac,1,IF(1=life_fac,0.5,0))+Sens!J3615*0.5)/life_fac</f>
        <v>2.299605</v>
      </c>
      <c r="K3621" s="6" t="n">
        <f aca="false">(Sens!C3615*IF(8&lt;life_fac,1,IF(8=life_fac,0.5,0))+Sens!D3615*IF(7&lt;life_fac,1,IF(7=life_fac,0.5,0))+Sens!E3615*IF(6&lt;life_fac,1,IF(6=life_fac,0.5,0))+Sens!F3615*IF(5&lt;life_fac,1,IF(5=life_fac,0.5,0))+Sens!G3615*IF(4&lt;life_fac,1,IF(4=life_fac,0.5,0))+Sens!H3615*IF(3&lt;life_fac,1,IF(3=life_fac,0.5,0))+Sens!I3615*IF(2&lt;life_fac,1,IF(2=life_fac,0.5,0))+Sens!J3615*IF(1&lt;life_fac,1,IF(1=life_fac,0.5,0))+Sens!K3615*0.5)/life_fac</f>
        <v>2.299605</v>
      </c>
    </row>
    <row r="3622" customFormat="false" ht="17.15" hidden="false" customHeight="false" outlineLevel="0" collapsed="false">
      <c r="A3622" s="0" t="s">
        <v>1005</v>
      </c>
      <c r="B3622" s="0" t="s">
        <v>98</v>
      </c>
      <c r="E3622" s="6" t="n">
        <f aca="false">Sens!E3620+Sens!E3621</f>
        <v>16.3054059770833</v>
      </c>
      <c r="F3622" s="6" t="n">
        <f aca="false">Sens!F3620+Sens!F3621</f>
        <v>24.549027677</v>
      </c>
      <c r="G3622" s="6" t="n">
        <f aca="false">Sens!G3620+Sens!G3621</f>
        <v>29.185632823</v>
      </c>
      <c r="H3622" s="6" t="n">
        <f aca="false">Sens!H3620+Sens!H3621</f>
        <v>31.677584917</v>
      </c>
      <c r="I3622" s="6" t="n">
        <f aca="false">Sens!I3620+Sens!I3621</f>
        <v>32.2298649310278</v>
      </c>
      <c r="J3622" s="6" t="n">
        <f aca="false">Sens!J3620+Sens!J3621</f>
        <v>33.6162004764444</v>
      </c>
      <c r="K3622" s="6" t="n">
        <f aca="false">Sens!K3620+Sens!K3621</f>
        <v>36.1070960499167</v>
      </c>
    </row>
    <row r="3623" customFormat="false" ht="17.15" hidden="false" customHeight="false" outlineLevel="0" collapsed="false">
      <c r="A3623" s="0" t="s">
        <v>1006</v>
      </c>
      <c r="B3623" s="0" t="s">
        <v>98</v>
      </c>
      <c r="E3623" s="6" t="n">
        <f aca="false">Sens!E3610-Sens!E3609*Sens!E3622</f>
        <v>8.92707889977379</v>
      </c>
      <c r="F3623" s="6" t="n">
        <f aca="false">Sens!F3610-Sens!F3609*Sens!F3622</f>
        <v>10.3715414522451</v>
      </c>
      <c r="G3623" s="6" t="n">
        <f aca="false">Sens!G3610-Sens!G3609*Sens!G3622</f>
        <v>8.34730733165337</v>
      </c>
      <c r="H3623" s="6" t="n">
        <f aca="false">Sens!H3610-Sens!H3609*Sens!H3622</f>
        <v>4.50816651291358</v>
      </c>
      <c r="I3623" s="6" t="n">
        <f aca="false">Sens!I3610-Sens!I3609*Sens!I3622</f>
        <v>4.94494666123597</v>
      </c>
      <c r="J3623" s="6" t="n">
        <f aca="false">Sens!J3610-Sens!J3609*Sens!J3622</f>
        <v>5.27320581559189</v>
      </c>
      <c r="K3623" s="6" t="n">
        <f aca="false">Sens!K3610-Sens!K3609*Sens!K3622</f>
        <v>6.08311294172574</v>
      </c>
    </row>
    <row r="3624" customFormat="false" ht="17.15" hidden="false" customHeight="false" outlineLevel="0" collapsed="false">
      <c r="A3624" s="3" t="s">
        <v>1701</v>
      </c>
    </row>
    <row r="3625" customFormat="false" ht="15" hidden="false" customHeight="false" outlineLevel="0" collapsed="false">
      <c r="A3625" s="4" t="s">
        <v>43</v>
      </c>
      <c r="B3625" s="4" t="s">
        <v>65</v>
      </c>
      <c r="C3625" s="23" t="s">
        <v>942</v>
      </c>
      <c r="D3625" s="23" t="s">
        <v>943</v>
      </c>
      <c r="E3625" s="23" t="s">
        <v>944</v>
      </c>
      <c r="F3625" s="23" t="s">
        <v>945</v>
      </c>
      <c r="G3625" s="23" t="s">
        <v>946</v>
      </c>
      <c r="H3625" s="23" t="s">
        <v>947</v>
      </c>
      <c r="I3625" s="23" t="s">
        <v>948</v>
      </c>
      <c r="J3625" s="23" t="s">
        <v>949</v>
      </c>
      <c r="K3625" s="23" t="s">
        <v>950</v>
      </c>
      <c r="L3625" s="4" t="s">
        <v>47</v>
      </c>
    </row>
    <row r="3626" customFormat="false" ht="17.15" hidden="false" customHeight="false" outlineLevel="0" collapsed="false">
      <c r="A3626" s="0" t="s">
        <v>1025</v>
      </c>
      <c r="B3626" s="0" t="s">
        <v>98</v>
      </c>
      <c r="D3626" s="6" t="n">
        <f aca="false">Sens!D3604</f>
        <v>12.9359794422418</v>
      </c>
      <c r="E3626" s="6" t="n">
        <f aca="false">Sens!E3604</f>
        <v>27.8095064661409</v>
      </c>
      <c r="F3626" s="6" t="n">
        <f aca="false">Sens!F3604</f>
        <v>38.2259783649916</v>
      </c>
      <c r="G3626" s="6" t="n">
        <f aca="false">Sens!G3604</f>
        <v>41.1248620805705</v>
      </c>
      <c r="H3626" s="6" t="n">
        <f aca="false">Sens!H3604</f>
        <v>39.3939767870212</v>
      </c>
      <c r="I3626" s="6" t="n">
        <f aca="false">Sens!I3604</f>
        <v>40.2461266001841</v>
      </c>
      <c r="J3626" s="6" t="n">
        <f aca="false">Sens!J3604</f>
        <v>41.5330467261851</v>
      </c>
      <c r="K3626" s="6" t="n">
        <f aca="false">Sens!K3604</f>
        <v>44.0894961656736</v>
      </c>
    </row>
    <row r="3627" customFormat="false" ht="17.15" hidden="false" customHeight="false" outlineLevel="0" collapsed="false">
      <c r="A3627" s="0" t="s">
        <v>1026</v>
      </c>
      <c r="B3627" s="0" t="s">
        <v>98</v>
      </c>
      <c r="D3627" s="6" t="n">
        <f aca="false">Q!L6-Sens!D3626</f>
        <v>59.6740205577583</v>
      </c>
      <c r="E3627" s="6" t="n">
        <f aca="false">Q!M6-Sens!E3626</f>
        <v>74.1284935338591</v>
      </c>
      <c r="F3627" s="6" t="n">
        <f aca="false">Q!$I$6+(Sens!F3626+Sens!E3627*(1+Sens!F3628))*(1-Q!$E$6/Q!M6)-Sens!F3626</f>
        <v>95.0709626604845</v>
      </c>
      <c r="G3627" s="6" t="n">
        <f aca="false">Sens!F3627*(1+Sens!G3628)</f>
        <v>112.958493491404</v>
      </c>
      <c r="H3627" s="6" t="n">
        <f aca="false">Sens!G3627*(1+Sens!H3628)</f>
        <v>131.157455688971</v>
      </c>
      <c r="I3627" s="6" t="n">
        <f aca="false">Sens!H3627*(1+Sens!I3628)</f>
        <v>148.74234272792</v>
      </c>
      <c r="J3627" s="6" t="n">
        <f aca="false">Sens!I3627*(1+Sens!J3628)</f>
        <v>164.663323547782</v>
      </c>
      <c r="K3627" s="6" t="n">
        <f aca="false">Sens!J3627*(1+Sens!K3628)</f>
        <v>177.836389431605</v>
      </c>
      <c r="L3627" s="12" t="s">
        <v>1027</v>
      </c>
    </row>
    <row r="3628" customFormat="false" ht="15" hidden="false" customHeight="false" outlineLevel="0" collapsed="false">
      <c r="A3628" s="1" t="s">
        <v>1028</v>
      </c>
      <c r="B3628" s="0" t="s">
        <v>168</v>
      </c>
      <c r="E3628" s="7" t="n">
        <f aca="false">Sens!E3627/Sens!D3627-1</f>
        <v>0.242223883039864</v>
      </c>
      <c r="F3628" s="7" t="n">
        <f aca="false">Sens!$E$3628+(glt_azo-Sens!$E$3628)*MIN(1,(Sens!F3585-base_fy)/n_conv)</f>
        <v>0.215186569199887</v>
      </c>
      <c r="G3628" s="7" t="n">
        <f aca="false">Sens!$E$3628+(glt_azo-Sens!$E$3628)*MIN(1,(Sens!G3585-base_fy)/n_conv)</f>
        <v>0.18814925535991</v>
      </c>
      <c r="H3628" s="7" t="n">
        <f aca="false">Sens!$E$3628+(glt_azo-Sens!$E$3628)*MIN(1,(Sens!H3585-base_fy)/n_conv)</f>
        <v>0.161111941519932</v>
      </c>
      <c r="I3628" s="7" t="n">
        <f aca="false">Sens!$E$3628+(glt_azo-Sens!$E$3628)*MIN(1,(Sens!I3585-base_fy)/n_conv)</f>
        <v>0.134074627679955</v>
      </c>
      <c r="J3628" s="7" t="n">
        <f aca="false">Sens!$E$3628+(glt_azo-Sens!$E$3628)*MIN(1,(Sens!J3585-base_fy)/n_conv)</f>
        <v>0.107037313839977</v>
      </c>
      <c r="K3628" s="7" t="n">
        <f aca="false">Sens!$E$3628+(glt_azo-Sens!$E$3628)*MIN(1,(Sens!K3585-base_fy)/n_conv)</f>
        <v>0.08</v>
      </c>
    </row>
    <row r="3629" customFormat="false" ht="15" hidden="false" customHeight="false" outlineLevel="0" collapsed="false">
      <c r="A3629" s="0" t="s">
        <v>1029</v>
      </c>
      <c r="B3629" s="0" t="s">
        <v>98</v>
      </c>
      <c r="D3629" s="6" t="n">
        <f aca="false">Sens!D3626+Sens!D3627</f>
        <v>72.61</v>
      </c>
      <c r="E3629" s="6" t="n">
        <f aca="false">Sens!E3626+Sens!E3627</f>
        <v>101.938</v>
      </c>
      <c r="F3629" s="6" t="n">
        <f aca="false">Sens!F3626+Sens!F3627</f>
        <v>133.296941025476</v>
      </c>
      <c r="G3629" s="6" t="n">
        <f aca="false">Sens!G3626+Sens!G3627</f>
        <v>154.083355571975</v>
      </c>
      <c r="H3629" s="6" t="n">
        <f aca="false">Sens!H3626+Sens!H3627</f>
        <v>170.551432475992</v>
      </c>
      <c r="I3629" s="6" t="n">
        <f aca="false">Sens!I3626+Sens!I3627</f>
        <v>188.988469328104</v>
      </c>
      <c r="J3629" s="6" t="n">
        <f aca="false">Sens!J3626+Sens!J3627</f>
        <v>206.196370273967</v>
      </c>
      <c r="K3629" s="6" t="n">
        <f aca="false">Sens!K3626+Sens!K3627</f>
        <v>221.925885597278</v>
      </c>
    </row>
    <row r="3630" customFormat="false" ht="17.15" hidden="false" customHeight="false" outlineLevel="0" collapsed="false">
      <c r="A3630" s="0" t="s">
        <v>1030</v>
      </c>
      <c r="B3630" s="1" t="s">
        <v>613</v>
      </c>
      <c r="C3630" s="30" t="n">
        <f aca="false">cop_s24</f>
        <v>1</v>
      </c>
      <c r="D3630" s="30" t="n">
        <f aca="false">cop_s25</f>
        <v>5</v>
      </c>
      <c r="E3630" s="30" t="n">
        <f aca="false">cop_s26</f>
        <v>30</v>
      </c>
      <c r="F3630" s="30" t="n">
        <f aca="false">Sens!E3630+cop_add_C</f>
        <v>40</v>
      </c>
      <c r="G3630" s="30" t="n">
        <f aca="false">Sens!F3630+cop_add_C</f>
        <v>50</v>
      </c>
      <c r="H3630" s="30" t="n">
        <f aca="false">Sens!G3630+cop_add_C</f>
        <v>60</v>
      </c>
      <c r="I3630" s="30" t="n">
        <f aca="false">Sens!H3630+cop_add_C*cop_tail</f>
        <v>65</v>
      </c>
      <c r="J3630" s="30" t="n">
        <f aca="false">Sens!I3630+cop_add_C*cop_tail</f>
        <v>70</v>
      </c>
      <c r="K3630" s="30" t="n">
        <f aca="false">Sens!J3630+cop_add_C*cop_tail</f>
        <v>75</v>
      </c>
      <c r="L3630" s="12" t="s">
        <v>1031</v>
      </c>
    </row>
    <row r="3631" customFormat="false" ht="17.15" hidden="false" customHeight="false" outlineLevel="0" collapsed="false">
      <c r="A3631" s="0" t="s">
        <v>1032</v>
      </c>
      <c r="B3631" s="0" t="s">
        <v>98</v>
      </c>
      <c r="D3631" s="6" t="n">
        <f aca="false">(Sens!C3630+Sens!D3630)/2*cop_px*12/1000</f>
        <v>0.9</v>
      </c>
      <c r="E3631" s="6" t="n">
        <f aca="false">(Sens!D3630+Sens!E3630)/2*cop_px*12/1000</f>
        <v>5.25</v>
      </c>
      <c r="F3631" s="6" t="n">
        <f aca="false">(Sens!E3630+Sens!F3630)/2*cop_px*12/1000</f>
        <v>10.5</v>
      </c>
      <c r="G3631" s="6" t="n">
        <f aca="false">(Sens!F3630+Sens!G3630)/2*cop_px*12/1000</f>
        <v>13.5</v>
      </c>
      <c r="H3631" s="6" t="n">
        <f aca="false">(Sens!G3630+Sens!H3630)/2*cop_px*12/1000</f>
        <v>16.5</v>
      </c>
      <c r="I3631" s="6" t="n">
        <f aca="false">(Sens!H3630+Sens!I3630)/2*cop_px*12/1000</f>
        <v>18.75</v>
      </c>
      <c r="J3631" s="6" t="n">
        <f aca="false">(Sens!I3630+Sens!J3630)/2*cop_px*12/1000</f>
        <v>20.25</v>
      </c>
      <c r="K3631" s="6" t="n">
        <f aca="false">(Sens!J3630+Sens!K3630)/2*cop_px*12/1000</f>
        <v>21.75</v>
      </c>
      <c r="L3631" s="1" t="s">
        <v>1033</v>
      </c>
    </row>
    <row r="3632" customFormat="false" ht="17.15" hidden="false" customHeight="false" outlineLevel="0" collapsed="false">
      <c r="A3632" s="0" t="s">
        <v>1034</v>
      </c>
      <c r="B3632" s="0" t="s">
        <v>98</v>
      </c>
      <c r="D3632" s="6" t="n">
        <f aca="false">Q!L7-Sens!D3631</f>
        <v>83.705</v>
      </c>
      <c r="E3632" s="6" t="n">
        <f aca="false">Q!M7-Sens!E3631</f>
        <v>95.049</v>
      </c>
      <c r="F3632" s="6" t="n">
        <f aca="false">Q!$I$7+(Sens!E3632*(1+Sens!F3633)+Sens!F3631)*(1-Q!$E$7/Q!M7)-Sens!F3631</f>
        <v>106.938354189776</v>
      </c>
      <c r="G3632" s="6" t="n">
        <f aca="false">Sens!F3632*(1+Sens!G3633)</f>
        <v>119.095360443801</v>
      </c>
      <c r="H3632" s="6" t="n">
        <f aca="false">Sens!G3632*(1+Sens!H3633)</f>
        <v>131.333811964563</v>
      </c>
      <c r="I3632" s="6" t="n">
        <f aca="false">Sens!H3632*(1+Sens!I3633)</f>
        <v>143.395665319381</v>
      </c>
      <c r="J3632" s="6" t="n">
        <f aca="false">Sens!I3632*(1+Sens!J3633)</f>
        <v>154.999327755573</v>
      </c>
      <c r="K3632" s="6" t="n">
        <f aca="false">Sens!J3632*(1+Sens!K3633)</f>
        <v>165.849280698463</v>
      </c>
      <c r="L3632" s="12" t="s">
        <v>1035</v>
      </c>
    </row>
    <row r="3633" customFormat="false" ht="15" hidden="false" customHeight="false" outlineLevel="0" collapsed="false">
      <c r="A3633" s="1" t="s">
        <v>1028</v>
      </c>
      <c r="B3633" s="0" t="s">
        <v>168</v>
      </c>
      <c r="E3633" s="7" t="n">
        <f aca="false">Sens!E3632/Sens!D3632-1</f>
        <v>0.135523564900544</v>
      </c>
      <c r="F3633" s="7" t="n">
        <f aca="false">Sens!$E$3633+(glt_m365b-Sens!$E$3633)*MIN(1,(Sens!F3585-base_fy)/n_conv)</f>
        <v>0.124602970750453</v>
      </c>
      <c r="G3633" s="7" t="n">
        <f aca="false">Sens!$E$3633+(glt_m365b-Sens!$E$3633)*MIN(1,(Sens!G3585-base_fy)/n_conv)</f>
        <v>0.113682376600363</v>
      </c>
      <c r="H3633" s="7" t="n">
        <f aca="false">Sens!$E$3633+(glt_m365b-Sens!$E$3633)*MIN(1,(Sens!H3585-base_fy)/n_conv)</f>
        <v>0.102761782450272</v>
      </c>
      <c r="I3633" s="7" t="n">
        <f aca="false">Sens!$E$3633+(glt_m365b-Sens!$E$3633)*MIN(1,(Sens!I3585-base_fy)/n_conv)</f>
        <v>0.0918411883001813</v>
      </c>
      <c r="J3633" s="7" t="n">
        <f aca="false">Sens!$E$3633+(glt_m365b-Sens!$E$3633)*MIN(1,(Sens!J3585-base_fy)/n_conv)</f>
        <v>0.0809205941500906</v>
      </c>
      <c r="K3633" s="7" t="n">
        <f aca="false">Sens!$E$3633+(glt_m365b-Sens!$E$3633)*MIN(1,(Sens!K3585-base_fy)/n_conv)</f>
        <v>0.07</v>
      </c>
    </row>
    <row r="3634" customFormat="false" ht="15" hidden="false" customHeight="false" outlineLevel="0" collapsed="false">
      <c r="A3634" s="0" t="s">
        <v>1036</v>
      </c>
      <c r="B3634" s="0" t="s">
        <v>98</v>
      </c>
      <c r="D3634" s="6" t="n">
        <f aca="false">Sens!D3632+Sens!D3631</f>
        <v>84.605</v>
      </c>
      <c r="E3634" s="6" t="n">
        <f aca="false">Sens!E3632+Sens!E3631</f>
        <v>100.299</v>
      </c>
      <c r="F3634" s="6" t="n">
        <f aca="false">Sens!F3632+Sens!F3631</f>
        <v>117.438354189776</v>
      </c>
      <c r="G3634" s="6" t="n">
        <f aca="false">Sens!G3632+Sens!G3631</f>
        <v>132.595360443801</v>
      </c>
      <c r="H3634" s="6" t="n">
        <f aca="false">Sens!H3632+Sens!H3631</f>
        <v>147.833811964563</v>
      </c>
      <c r="I3634" s="6" t="n">
        <f aca="false">Sens!I3632+Sens!I3631</f>
        <v>162.145665319381</v>
      </c>
      <c r="J3634" s="6" t="n">
        <f aca="false">Sens!J3632+Sens!J3631</f>
        <v>175.249327755573</v>
      </c>
      <c r="K3634" s="6" t="n">
        <f aca="false">Sens!K3632+Sens!K3631</f>
        <v>187.599280698463</v>
      </c>
    </row>
    <row r="3635" customFormat="false" ht="17.15" hidden="false" customHeight="false" outlineLevel="0" collapsed="false">
      <c r="A3635" s="0" t="s">
        <v>1037</v>
      </c>
      <c r="B3635" s="0" t="s">
        <v>98</v>
      </c>
      <c r="D3635" s="6" t="n">
        <f aca="false">Q!L8</f>
        <v>35.391</v>
      </c>
      <c r="E3635" s="6" t="n">
        <f aca="false">Q!M8</f>
        <v>37.285</v>
      </c>
      <c r="F3635" s="6" t="n">
        <f aca="false">Q!$I$8+(Q!M8-Q!$E$8)*(1+Sens!F3636)</f>
        <v>38.3851437782675</v>
      </c>
      <c r="G3635" s="6" t="n">
        <f aca="false">Sens!F3635*(1+Sens!G3636)</f>
        <v>40.0105353288615</v>
      </c>
      <c r="H3635" s="6" t="n">
        <f aca="false">Sens!G3635*(1+Sens!H3636)</f>
        <v>41.4812512033683</v>
      </c>
      <c r="I3635" s="6" t="n">
        <f aca="false">Sens!H3635*(1+Sens!I3636)</f>
        <v>42.7743107216329</v>
      </c>
      <c r="J3635" s="6" t="n">
        <f aca="false">Sens!I3635*(1+Sens!J3636)</f>
        <v>43.8687373064601</v>
      </c>
      <c r="K3635" s="6" t="n">
        <f aca="false">Sens!J3635*(1+Sens!K3636)</f>
        <v>44.7461120525893</v>
      </c>
      <c r="L3635" s="12" t="s">
        <v>1038</v>
      </c>
    </row>
    <row r="3636" customFormat="false" ht="15" hidden="false" customHeight="false" outlineLevel="0" collapsed="false">
      <c r="A3636" s="1" t="s">
        <v>1028</v>
      </c>
      <c r="B3636" s="0" t="s">
        <v>168</v>
      </c>
      <c r="E3636" s="7" t="n">
        <f aca="false">Sens!E3635/Sens!D3635-1</f>
        <v>0.0535164307309768</v>
      </c>
      <c r="F3636" s="7" t="n">
        <f aca="false">Sens!$E$3636+(glt_lic-Sens!$E$3636)*MIN(1,(Sens!F3585-base_fy)/n_conv)</f>
        <v>0.0479303589424807</v>
      </c>
      <c r="G3636" s="7" t="n">
        <f aca="false">Sens!$E$3636+(glt_lic-Sens!$E$3636)*MIN(1,(Sens!G3585-base_fy)/n_conv)</f>
        <v>0.0423442871539845</v>
      </c>
      <c r="H3636" s="7" t="n">
        <f aca="false">Sens!$E$3636+(glt_lic-Sens!$E$3636)*MIN(1,(Sens!H3585-base_fy)/n_conv)</f>
        <v>0.0367582153654884</v>
      </c>
      <c r="I3636" s="7" t="n">
        <f aca="false">Sens!$E$3636+(glt_lic-Sens!$E$3636)*MIN(1,(Sens!I3585-base_fy)/n_conv)</f>
        <v>0.0311721435769923</v>
      </c>
      <c r="J3636" s="7" t="n">
        <f aca="false">Sens!$E$3636+(glt_lic-Sens!$E$3636)*MIN(1,(Sens!J3585-base_fy)/n_conv)</f>
        <v>0.0255860717884961</v>
      </c>
      <c r="K3636" s="7" t="n">
        <f aca="false">Sens!$E$3636+(glt_lic-Sens!$E$3636)*MIN(1,(Sens!K3585-base_fy)/n_conv)</f>
        <v>0.02</v>
      </c>
    </row>
    <row r="3637" customFormat="false" ht="17.15" hidden="false" customHeight="false" outlineLevel="0" collapsed="false">
      <c r="A3637" s="0" t="s">
        <v>1039</v>
      </c>
      <c r="B3637" s="0" t="s">
        <v>98</v>
      </c>
      <c r="D3637" s="6" t="n">
        <f aca="false">Q!L9</f>
        <v>18.417</v>
      </c>
      <c r="E3637" s="6" t="n">
        <f aca="false">Q!M9</f>
        <v>20.345</v>
      </c>
      <c r="F3637" s="6" t="n">
        <f aca="false">Q!$I$9+(Q!M9-Q!$E$9)*(1+Sens!F3638)</f>
        <v>22.3161797133988</v>
      </c>
      <c r="G3637" s="6" t="n">
        <f aca="false">Sens!F3637*(1+Sens!G3638)</f>
        <v>24.3943499673233</v>
      </c>
      <c r="H3637" s="6" t="n">
        <f aca="false">Sens!G3637*(1+Sens!H3638)</f>
        <v>26.5250243109019</v>
      </c>
      <c r="I3637" s="6" t="n">
        <f aca="false">Sens!H3637*(1+Sens!I3638)</f>
        <v>28.6884573538181</v>
      </c>
      <c r="J3637" s="6" t="n">
        <f aca="false">Sens!I3637*(1+Sens!J3638)</f>
        <v>30.8624968052127</v>
      </c>
      <c r="K3637" s="6" t="n">
        <f aca="false">Sens!J3637*(1+Sens!K3638)</f>
        <v>33.0228715815776</v>
      </c>
      <c r="L3637" s="12" t="s">
        <v>1038</v>
      </c>
    </row>
    <row r="3638" customFormat="false" ht="15" hidden="false" customHeight="false" outlineLevel="0" collapsed="false">
      <c r="A3638" s="1" t="s">
        <v>1028</v>
      </c>
      <c r="B3638" s="0" t="s">
        <v>168</v>
      </c>
      <c r="E3638" s="7" t="n">
        <f aca="false">Sens!E3637/Sens!D3637-1</f>
        <v>0.104685888038225</v>
      </c>
      <c r="F3638" s="7" t="n">
        <f aca="false">Sens!$E$3638+(glt_ind-Sens!$E$3638)*MIN(1,(Sens!F3585-base_fy)/n_conv)</f>
        <v>0.0989049066985211</v>
      </c>
      <c r="G3638" s="7" t="n">
        <f aca="false">Sens!$E$3638+(glt_ind-Sens!$E$3638)*MIN(1,(Sens!G3585-base_fy)/n_conv)</f>
        <v>0.0931239253588169</v>
      </c>
      <c r="H3638" s="7" t="n">
        <f aca="false">Sens!$E$3638+(glt_ind-Sens!$E$3638)*MIN(1,(Sens!H3585-base_fy)/n_conv)</f>
        <v>0.0873429440191127</v>
      </c>
      <c r="I3638" s="7" t="n">
        <f aca="false">Sens!$E$3638+(glt_ind-Sens!$E$3638)*MIN(1,(Sens!I3585-base_fy)/n_conv)</f>
        <v>0.0815619626794085</v>
      </c>
      <c r="J3638" s="7" t="n">
        <f aca="false">Sens!$E$3638+(glt_ind-Sens!$E$3638)*MIN(1,(Sens!J3585-base_fy)/n_conv)</f>
        <v>0.0757809813397042</v>
      </c>
      <c r="K3638" s="7" t="n">
        <f aca="false">Sens!$E$3638+(glt_ind-Sens!$E$3638)*MIN(1,(Sens!K3585-base_fy)/n_conv)</f>
        <v>0.07</v>
      </c>
    </row>
    <row r="3639" customFormat="false" ht="17.15" hidden="false" customHeight="false" outlineLevel="0" collapsed="false">
      <c r="A3639" s="0" t="s">
        <v>1040</v>
      </c>
      <c r="B3639" s="0" t="s">
        <v>98</v>
      </c>
      <c r="D3639" s="6" t="n">
        <f aca="false">Q!L10</f>
        <v>7.76</v>
      </c>
      <c r="E3639" s="6" t="n">
        <f aca="false">Q!M10</f>
        <v>8.26</v>
      </c>
      <c r="F3639" s="6" t="n">
        <f aca="false">Q!$I$10+(Q!M10-Q!$E$10)*(1+Sens!F3640)</f>
        <v>8.75372082474227</v>
      </c>
      <c r="G3639" s="6" t="n">
        <f aca="false">Sens!F3639*(1+Sens!G3640)</f>
        <v>9.33399324642364</v>
      </c>
      <c r="H3639" s="6" t="n">
        <f aca="false">Sens!G3639*(1+Sens!H3640)</f>
        <v>9.96139155535851</v>
      </c>
      <c r="I3639" s="6" t="n">
        <f aca="false">Sens!H3639*(1+Sens!I3640)</f>
        <v>10.6402039077391</v>
      </c>
      <c r="J3639" s="6" t="n">
        <f aca="false">Sens!I3639*(1+Sens!J3640)</f>
        <v>11.3751458271397</v>
      </c>
      <c r="K3639" s="6" t="n">
        <f aca="false">Sens!J3639*(1+Sens!K3640)</f>
        <v>12.1714060350394</v>
      </c>
      <c r="L3639" s="12" t="s">
        <v>1038</v>
      </c>
    </row>
    <row r="3640" customFormat="false" ht="15" hidden="false" customHeight="false" outlineLevel="0" collapsed="false">
      <c r="A3640" s="1" t="s">
        <v>1028</v>
      </c>
      <c r="B3640" s="0" t="s">
        <v>168</v>
      </c>
      <c r="E3640" s="7" t="n">
        <f aca="false">Sens!E3639/Sens!D3639-1</f>
        <v>0.0644329896907216</v>
      </c>
      <c r="F3640" s="7" t="n">
        <f aca="false">Sens!$E$3640+(glt_fro-Sens!$E$3640)*MIN(1,(Sens!F3585-base_fy)/n_conv)</f>
        <v>0.065360824742268</v>
      </c>
      <c r="G3640" s="7" t="n">
        <f aca="false">Sens!$E$3640+(glt_fro-Sens!$E$3640)*MIN(1,(Sens!G3585-base_fy)/n_conv)</f>
        <v>0.0662886597938144</v>
      </c>
      <c r="H3640" s="7" t="n">
        <f aca="false">Sens!$E$3640+(glt_fro-Sens!$E$3640)*MIN(1,(Sens!H3585-base_fy)/n_conv)</f>
        <v>0.0672164948453608</v>
      </c>
      <c r="I3640" s="7" t="n">
        <f aca="false">Sens!$E$3640+(glt_fro-Sens!$E$3640)*MIN(1,(Sens!I3585-base_fy)/n_conv)</f>
        <v>0.0681443298969072</v>
      </c>
      <c r="J3640" s="7" t="n">
        <f aca="false">Sens!$E$3640+(glt_fro-Sens!$E$3640)*MIN(1,(Sens!J3585-base_fy)/n_conv)</f>
        <v>0.0690721649484536</v>
      </c>
      <c r="K3640" s="7" t="n">
        <f aca="false">Sens!$E$3640+(glt_fro-Sens!$E$3640)*MIN(1,(Sens!K3585-base_fy)/n_conv)</f>
        <v>0.07</v>
      </c>
    </row>
    <row r="3641" customFormat="false" ht="15" hidden="false" customHeight="false" outlineLevel="0" collapsed="false">
      <c r="A3641" s="0" t="s">
        <v>856</v>
      </c>
      <c r="B3641" s="0" t="s">
        <v>98</v>
      </c>
      <c r="D3641" s="6" t="n">
        <f aca="false">Sens!D3629+Sens!D3634+Sens!D3635+Sens!D3637+Sens!D3639</f>
        <v>218.783</v>
      </c>
      <c r="E3641" s="6" t="n">
        <f aca="false">Sens!E3629+Sens!E3634+Sens!E3635+Sens!E3637+Sens!E3639</f>
        <v>268.127</v>
      </c>
      <c r="F3641" s="6" t="n">
        <f aca="false">Sens!F3629+Sens!F3634+Sens!F3635+Sens!F3637+Sens!F3639</f>
        <v>320.19033953166</v>
      </c>
      <c r="G3641" s="6" t="n">
        <f aca="false">Sens!G3629+Sens!G3634+Sens!G3635+Sens!G3637+Sens!G3639</f>
        <v>360.417594558384</v>
      </c>
      <c r="H3641" s="6" t="n">
        <f aca="false">Sens!H3629+Sens!H3634+Sens!H3635+Sens!H3637+Sens!H3639</f>
        <v>396.352911510184</v>
      </c>
      <c r="I3641" s="6" t="n">
        <f aca="false">Sens!I3629+Sens!I3634+Sens!I3635+Sens!I3637+Sens!I3639</f>
        <v>433.237106630676</v>
      </c>
      <c r="J3641" s="6" t="n">
        <f aca="false">Sens!J3629+Sens!J3634+Sens!J3635+Sens!J3637+Sens!J3639</f>
        <v>467.552077968353</v>
      </c>
      <c r="K3641" s="6" t="n">
        <f aca="false">Sens!K3629+Sens!K3634+Sens!K3635+Sens!K3637+Sens!K3639</f>
        <v>499.465555964948</v>
      </c>
    </row>
    <row r="3642" customFormat="false" ht="17.15" hidden="false" customHeight="false" outlineLevel="0" collapsed="false">
      <c r="A3642" s="0" t="s">
        <v>1041</v>
      </c>
      <c r="B3642" s="0" t="s">
        <v>98</v>
      </c>
      <c r="D3642" s="6" t="n">
        <f aca="false">Q!L13</f>
        <v>22.171</v>
      </c>
      <c r="E3642" s="6" t="n">
        <f aca="false">Q!M13</f>
        <v>24.835</v>
      </c>
      <c r="F3642" s="6" t="n">
        <f aca="false">Q!$I$13+(Q!M13-Q!$E$13)*(1+Sens!F3643)</f>
        <v>27.5591895660247</v>
      </c>
      <c r="G3642" s="6" t="n">
        <f aca="false">Sens!F3642*(1+Sens!G3643)</f>
        <v>30.4098563144583</v>
      </c>
      <c r="H3642" s="6" t="n">
        <f aca="false">Sens!G3642*(1+Sens!H3643)</f>
        <v>33.3011792571777</v>
      </c>
      <c r="I3642" s="6" t="n">
        <f aca="false">Sens!H3642*(1+Sens!I3643)</f>
        <v>36.189023797112</v>
      </c>
      <c r="J3642" s="6" t="n">
        <f aca="false">Sens!I3642*(1+Sens!J3643)</f>
        <v>39.0247773769199</v>
      </c>
      <c r="K3642" s="6" t="n">
        <f aca="false">Sens!J3642*(1+Sens!K3643)</f>
        <v>41.7565117933043</v>
      </c>
      <c r="L3642" s="12" t="s">
        <v>1038</v>
      </c>
    </row>
    <row r="3643" customFormat="false" ht="15" hidden="false" customHeight="false" outlineLevel="0" collapsed="false">
      <c r="A3643" s="1" t="s">
        <v>1028</v>
      </c>
      <c r="B3643" s="0" t="s">
        <v>168</v>
      </c>
      <c r="E3643" s="7" t="n">
        <f aca="false">Sens!E3642/Sens!D3642-1</f>
        <v>0.120156961796942</v>
      </c>
      <c r="F3643" s="7" t="n">
        <f aca="false">Sens!$E$3643+(glt_srch-Sens!$E$3643)*MIN(1,(Sens!F3585-base_fy)/n_conv)</f>
        <v>0.111797468164118</v>
      </c>
      <c r="G3643" s="7" t="n">
        <f aca="false">Sens!$E$3643+(glt_srch-Sens!$E$3643)*MIN(1,(Sens!G3585-base_fy)/n_conv)</f>
        <v>0.103437974531295</v>
      </c>
      <c r="H3643" s="7" t="n">
        <f aca="false">Sens!$E$3643+(glt_srch-Sens!$E$3643)*MIN(1,(Sens!H3585-base_fy)/n_conv)</f>
        <v>0.095078480898471</v>
      </c>
      <c r="I3643" s="7" t="n">
        <f aca="false">Sens!$E$3643+(glt_srch-Sens!$E$3643)*MIN(1,(Sens!I3585-base_fy)/n_conv)</f>
        <v>0.0867189872656474</v>
      </c>
      <c r="J3643" s="7" t="n">
        <f aca="false">Sens!$E$3643+(glt_srch-Sens!$E$3643)*MIN(1,(Sens!J3585-base_fy)/n_conv)</f>
        <v>0.0783594936328237</v>
      </c>
      <c r="K3643" s="7" t="n">
        <f aca="false">Sens!$E$3643+(glt_srch-Sens!$E$3643)*MIN(1,(Sens!K3585-base_fy)/n_conv)</f>
        <v>0.07</v>
      </c>
    </row>
    <row r="3644" customFormat="false" ht="17.15" hidden="false" customHeight="false" outlineLevel="0" collapsed="false">
      <c r="A3644" s="0" t="s">
        <v>1042</v>
      </c>
      <c r="B3644" s="0" t="s">
        <v>98</v>
      </c>
      <c r="D3644" s="6" t="n">
        <f aca="false">Q!L14</f>
        <v>23.455</v>
      </c>
      <c r="E3644" s="6" t="n">
        <f aca="false">Q!M14</f>
        <v>21.79</v>
      </c>
      <c r="F3644" s="6" t="n">
        <f aca="false">Q!$I$14+(Q!M14-Q!$E$14)*(1+Sens!F3645)</f>
        <v>20.7520981041711</v>
      </c>
      <c r="G3644" s="6" t="n">
        <f aca="false">Sens!F3644*(1+Sens!G3645)</f>
        <v>19.9083593495882</v>
      </c>
      <c r="H3644" s="6" t="n">
        <f aca="false">Sens!G3644*(1+Sens!H3645)</f>
        <v>19.4008256265831</v>
      </c>
      <c r="I3644" s="6" t="n">
        <f aca="false">Sens!H3644*(1+Sens!I3645)</f>
        <v>19.200434522122</v>
      </c>
      <c r="J3644" s="6" t="n">
        <f aca="false">Sens!I3644*(1+Sens!J3645)</f>
        <v>19.2932782348507</v>
      </c>
      <c r="K3644" s="6" t="n">
        <f aca="false">Sens!J3644*(1+Sens!K3645)</f>
        <v>19.6791437995477</v>
      </c>
      <c r="L3644" s="12" t="s">
        <v>1038</v>
      </c>
    </row>
    <row r="3645" customFormat="false" ht="15" hidden="false" customHeight="false" outlineLevel="0" collapsed="false">
      <c r="A3645" s="1" t="s">
        <v>1028</v>
      </c>
      <c r="B3645" s="0" t="s">
        <v>168</v>
      </c>
      <c r="E3645" s="7" t="n">
        <f aca="false">Sens!E3644/Sens!D3644-1</f>
        <v>-0.0709869963760392</v>
      </c>
      <c r="F3645" s="7" t="n">
        <f aca="false">Sens!$E$3645+(glt_xbox-Sens!$E$3645)*MIN(1,(Sens!F3585-base_fy)/n_conv)</f>
        <v>-0.0558224969800327</v>
      </c>
      <c r="G3645" s="7" t="n">
        <f aca="false">Sens!$E$3645+(glt_xbox-Sens!$E$3645)*MIN(1,(Sens!G3585-base_fy)/n_conv)</f>
        <v>-0.0406579975840262</v>
      </c>
      <c r="H3645" s="7" t="n">
        <f aca="false">Sens!$E$3645+(glt_xbox-Sens!$E$3645)*MIN(1,(Sens!H3585-base_fy)/n_conv)</f>
        <v>-0.0254934981880196</v>
      </c>
      <c r="I3645" s="7" t="n">
        <f aca="false">Sens!$E$3645+(glt_xbox-Sens!$E$3645)*MIN(1,(Sens!I3585-base_fy)/n_conv)</f>
        <v>-0.0103289987920131</v>
      </c>
      <c r="J3645" s="7" t="n">
        <f aca="false">Sens!$E$3645+(glt_xbox-Sens!$E$3645)*MIN(1,(Sens!J3585-base_fy)/n_conv)</f>
        <v>0.00483550060399347</v>
      </c>
      <c r="K3645" s="7" t="n">
        <f aca="false">Sens!$E$3645+(glt_xbox-Sens!$E$3645)*MIN(1,(Sens!K3585-base_fy)/n_conv)</f>
        <v>0.02</v>
      </c>
    </row>
    <row r="3646" customFormat="false" ht="17.15" hidden="false" customHeight="false" outlineLevel="0" collapsed="false">
      <c r="A3646" s="0" t="s">
        <v>1043</v>
      </c>
      <c r="B3646" s="0" t="s">
        <v>98</v>
      </c>
      <c r="D3646" s="6" t="n">
        <f aca="false">Q!L15</f>
        <v>17.315</v>
      </c>
      <c r="E3646" s="6" t="n">
        <f aca="false">Q!M15</f>
        <v>17.087</v>
      </c>
      <c r="F3646" s="6" t="n">
        <f aca="false">Q!$I$15+(Q!M15-Q!$E$15)*(1+Sens!F3647)</f>
        <v>15.9912273250553</v>
      </c>
      <c r="G3646" s="6" t="n">
        <f aca="false">Sens!F3646*(1+Sens!G3647)</f>
        <v>15.9574562664827</v>
      </c>
      <c r="H3646" s="6" t="n">
        <f aca="false">Sens!G3646*(1+Sens!H3647)</f>
        <v>16.0119687434196</v>
      </c>
      <c r="I3646" s="6" t="n">
        <f aca="false">Sens!H3646*(1+Sens!I3647)</f>
        <v>16.1551810001948</v>
      </c>
      <c r="J3646" s="6" t="n">
        <f aca="false">Sens!I3646*(1+Sens!J3647)</f>
        <v>16.3889793892005</v>
      </c>
      <c r="K3646" s="6" t="n">
        <f aca="false">Sens!J3646*(1+Sens!K3647)</f>
        <v>16.7167589769845</v>
      </c>
      <c r="L3646" s="12" t="s">
        <v>1038</v>
      </c>
    </row>
    <row r="3647" customFormat="false" ht="15" hidden="false" customHeight="false" outlineLevel="0" collapsed="false">
      <c r="A3647" s="1" t="s">
        <v>1028</v>
      </c>
      <c r="B3647" s="0" t="s">
        <v>168</v>
      </c>
      <c r="E3647" s="7" t="n">
        <f aca="false">Sens!E3646/Sens!D3646-1</f>
        <v>-0.0131677736066995</v>
      </c>
      <c r="F3647" s="7" t="n">
        <f aca="false">Sens!$E$3647+(glt_win-Sens!$E$3647)*MIN(1,(Sens!F3585-base_fy)/n_conv)</f>
        <v>-0.00763981133891627</v>
      </c>
      <c r="G3647" s="7" t="n">
        <f aca="false">Sens!$E$3647+(glt_win-Sens!$E$3647)*MIN(1,(Sens!G3585-base_fy)/n_conv)</f>
        <v>-0.00211184907113301</v>
      </c>
      <c r="H3647" s="7" t="n">
        <f aca="false">Sens!$E$3647+(glt_win-Sens!$E$3647)*MIN(1,(Sens!H3585-base_fy)/n_conv)</f>
        <v>0.00341611319665024</v>
      </c>
      <c r="I3647" s="7" t="n">
        <f aca="false">Sens!$E$3647+(glt_win-Sens!$E$3647)*MIN(1,(Sens!I3585-base_fy)/n_conv)</f>
        <v>0.00894407546443349</v>
      </c>
      <c r="J3647" s="7" t="n">
        <f aca="false">Sens!$E$3647+(glt_win-Sens!$E$3647)*MIN(1,(Sens!J3585-base_fy)/n_conv)</f>
        <v>0.0144720377322168</v>
      </c>
      <c r="K3647" s="7" t="n">
        <f aca="false">Sens!$E$3647+(glt_win-Sens!$E$3647)*MIN(1,(Sens!K3585-base_fy)/n_conv)</f>
        <v>0.02</v>
      </c>
    </row>
    <row r="3648" customFormat="false" ht="15" hidden="false" customHeight="false" outlineLevel="0" collapsed="false">
      <c r="A3648" s="0" t="s">
        <v>870</v>
      </c>
      <c r="B3648" s="0" t="s">
        <v>98</v>
      </c>
      <c r="D3648" s="6" t="n">
        <f aca="false">Sens!D3642+Sens!D3644+Sens!D3646</f>
        <v>62.941</v>
      </c>
      <c r="E3648" s="6" t="n">
        <f aca="false">Sens!E3642+Sens!E3644+Sens!E3646</f>
        <v>63.712</v>
      </c>
      <c r="F3648" s="6" t="n">
        <f aca="false">Sens!F3642+Sens!F3644+Sens!F3646</f>
        <v>64.3025149952511</v>
      </c>
      <c r="G3648" s="6" t="n">
        <f aca="false">Sens!G3642+Sens!G3644+Sens!G3646</f>
        <v>66.2756719305292</v>
      </c>
      <c r="H3648" s="6" t="n">
        <f aca="false">Sens!H3642+Sens!H3644+Sens!H3646</f>
        <v>68.7139736271804</v>
      </c>
      <c r="I3648" s="6" t="n">
        <f aca="false">Sens!I3642+Sens!I3644+Sens!I3646</f>
        <v>71.5446393194289</v>
      </c>
      <c r="J3648" s="6" t="n">
        <f aca="false">Sens!J3642+Sens!J3644+Sens!J3646</f>
        <v>74.707035000971</v>
      </c>
      <c r="K3648" s="6" t="n">
        <f aca="false">Sens!K3642+Sens!K3644+Sens!K3646</f>
        <v>78.1524145698365</v>
      </c>
    </row>
    <row r="3649" customFormat="false" ht="15" hidden="false" customHeight="false" outlineLevel="0" collapsed="false">
      <c r="A3649" s="1" t="s">
        <v>1044</v>
      </c>
      <c r="B3649" s="0" t="s">
        <v>98</v>
      </c>
      <c r="D3649" s="6" t="n">
        <f aca="false">Sens!D3641+Sens!D3648</f>
        <v>281.724</v>
      </c>
      <c r="E3649" s="6" t="n">
        <f aca="false">Sens!E3641+Sens!E3648</f>
        <v>331.839</v>
      </c>
      <c r="F3649" s="6" t="n">
        <f aca="false">Sens!F3641+Sens!F3648</f>
        <v>384.492854526911</v>
      </c>
      <c r="G3649" s="6" t="n">
        <f aca="false">Sens!G3641+Sens!G3648</f>
        <v>426.693266488913</v>
      </c>
      <c r="H3649" s="6" t="n">
        <f aca="false">Sens!H3641+Sens!H3648</f>
        <v>465.066885137364</v>
      </c>
      <c r="I3649" s="6" t="n">
        <f aca="false">Sens!I3641+Sens!I3648</f>
        <v>504.781745950104</v>
      </c>
      <c r="J3649" s="6" t="n">
        <f aca="false">Sens!J3641+Sens!J3648</f>
        <v>542.259112969324</v>
      </c>
      <c r="K3649" s="6" t="n">
        <f aca="false">Sens!K3641+Sens!K3648</f>
        <v>577.617970534784</v>
      </c>
    </row>
    <row r="3650" customFormat="false" ht="15" hidden="false" customHeight="false" outlineLevel="0" collapsed="false">
      <c r="A3650" s="26" t="s">
        <v>1045</v>
      </c>
      <c r="B3650" s="31" t="s">
        <v>98</v>
      </c>
      <c r="C3650" s="31"/>
      <c r="D3650" s="27" t="n">
        <f aca="false">(Sens!D3629+Sens!D3634+Sens!D3635+Sens!D3637+Sens!D3639-Sens!D3641)+(Sens!D3642+Sens!D3644+Sens!D3646-Sens!D3648)+(Sens!D3641-Q!L5)+(Sens!D3648-Q!L12)+(Sens!D3629-Q!L6)+(Sens!D3634-Q!L7)</f>
        <v>0</v>
      </c>
      <c r="E3650" s="27" t="n">
        <f aca="false">(Sens!E3629+Sens!E3634+Sens!E3635+Sens!E3637+Sens!E3639-Sens!E3641)+(Sens!E3642+Sens!E3644+Sens!E3646-Sens!E3648)+(Sens!E3641-Q!M5)+(Sens!E3648-Q!M12)+(Sens!E3629-Q!M6)+(Sens!E3634-Q!M7)</f>
        <v>0</v>
      </c>
      <c r="F3650" s="27" t="n">
        <f aca="false">(Sens!F3629+Sens!F3634+Sens!F3635+Sens!F3637+Sens!F3639-Sens!F3641)+(Sens!F3642+Sens!F3644+Sens!F3646-Sens!F3648)</f>
        <v>0</v>
      </c>
      <c r="G3650" s="27" t="n">
        <f aca="false">(Sens!G3629+Sens!G3634+Sens!G3635+Sens!G3637+Sens!G3639-Sens!G3641)+(Sens!G3642+Sens!G3644+Sens!G3646-Sens!G3648)</f>
        <v>0</v>
      </c>
      <c r="H3650" s="27" t="n">
        <f aca="false">(Sens!H3629+Sens!H3634+Sens!H3635+Sens!H3637+Sens!H3639-Sens!H3641)+(Sens!H3642+Sens!H3644+Sens!H3646-Sens!H3648)</f>
        <v>0</v>
      </c>
      <c r="I3650" s="27" t="n">
        <f aca="false">(Sens!I3629+Sens!I3634+Sens!I3635+Sens!I3637+Sens!I3639-Sens!I3641)+(Sens!I3642+Sens!I3644+Sens!I3646-Sens!I3648)</f>
        <v>0</v>
      </c>
      <c r="J3650" s="27" t="n">
        <f aca="false">(Sens!J3629+Sens!J3634+Sens!J3635+Sens!J3637+Sens!J3639-Sens!J3641)+(Sens!J3642+Sens!J3644+Sens!J3646-Sens!J3648)</f>
        <v>0</v>
      </c>
      <c r="K3650" s="27" t="n">
        <f aca="false">(Sens!K3629+Sens!K3634+Sens!K3635+Sens!K3637+Sens!K3639-Sens!K3641)+(Sens!K3642+Sens!K3644+Sens!K3646-Sens!K3648)</f>
        <v>0</v>
      </c>
    </row>
    <row r="3651" customFormat="false" ht="17.15" hidden="false" customHeight="false" outlineLevel="0" collapsed="false">
      <c r="A3651" s="3" t="s">
        <v>1702</v>
      </c>
    </row>
    <row r="3652" customFormat="false" ht="15" hidden="false" customHeight="false" outlineLevel="0" collapsed="false">
      <c r="A3652" s="4" t="s">
        <v>43</v>
      </c>
      <c r="B3652" s="4" t="s">
        <v>65</v>
      </c>
      <c r="C3652" s="23" t="s">
        <v>942</v>
      </c>
      <c r="D3652" s="23" t="s">
        <v>943</v>
      </c>
      <c r="E3652" s="23" t="s">
        <v>944</v>
      </c>
      <c r="F3652" s="23" t="s">
        <v>945</v>
      </c>
      <c r="G3652" s="23" t="s">
        <v>946</v>
      </c>
      <c r="H3652" s="23" t="s">
        <v>947</v>
      </c>
      <c r="I3652" s="23" t="s">
        <v>948</v>
      </c>
      <c r="J3652" s="23" t="s">
        <v>949</v>
      </c>
      <c r="K3652" s="23" t="s">
        <v>950</v>
      </c>
      <c r="L3652" s="4" t="s">
        <v>47</v>
      </c>
    </row>
    <row r="3653" customFormat="false" ht="15" hidden="false" customHeight="false" outlineLevel="0" collapsed="false">
      <c r="A3653" s="0" t="s">
        <v>1029</v>
      </c>
      <c r="B3653" s="0" t="s">
        <v>98</v>
      </c>
      <c r="D3653" s="6" t="n">
        <f aca="false">Sens!D3629</f>
        <v>72.61</v>
      </c>
      <c r="E3653" s="6" t="n">
        <f aca="false">Sens!E3629</f>
        <v>101.938</v>
      </c>
      <c r="F3653" s="6" t="n">
        <f aca="false">Sens!F3629</f>
        <v>133.296941025476</v>
      </c>
      <c r="G3653" s="6" t="n">
        <f aca="false">Sens!G3629</f>
        <v>154.083355571975</v>
      </c>
      <c r="H3653" s="6" t="n">
        <f aca="false">Sens!H3629</f>
        <v>170.551432475992</v>
      </c>
      <c r="I3653" s="6" t="n">
        <f aca="false">Sens!I3629</f>
        <v>188.988469328104</v>
      </c>
      <c r="J3653" s="6" t="n">
        <f aca="false">Sens!J3629</f>
        <v>206.196370273967</v>
      </c>
      <c r="K3653" s="6" t="n">
        <f aca="false">Sens!K3629</f>
        <v>221.925885597278</v>
      </c>
    </row>
    <row r="3654" customFormat="false" ht="17.15" hidden="false" customHeight="false" outlineLevel="0" collapsed="false">
      <c r="A3654" s="0" t="s">
        <v>1025</v>
      </c>
      <c r="B3654" s="0" t="s">
        <v>98</v>
      </c>
      <c r="D3654" s="6" t="n">
        <f aca="false">Sens!D3626</f>
        <v>12.9359794422418</v>
      </c>
      <c r="E3654" s="6" t="n">
        <f aca="false">Sens!E3626</f>
        <v>27.8095064661409</v>
      </c>
      <c r="F3654" s="6" t="n">
        <f aca="false">Sens!F3626</f>
        <v>38.2259783649916</v>
      </c>
      <c r="G3654" s="6" t="n">
        <f aca="false">Sens!G3626</f>
        <v>41.1248620805705</v>
      </c>
      <c r="H3654" s="6" t="n">
        <f aca="false">Sens!H3626</f>
        <v>39.3939767870212</v>
      </c>
      <c r="I3654" s="6" t="n">
        <f aca="false">Sens!I3626</f>
        <v>40.2461266001841</v>
      </c>
      <c r="J3654" s="6" t="n">
        <f aca="false">Sens!J3626</f>
        <v>41.5330467261851</v>
      </c>
      <c r="K3654" s="6" t="n">
        <f aca="false">Sens!K3626</f>
        <v>44.0894961656736</v>
      </c>
    </row>
    <row r="3655" customFormat="false" ht="17.15" hidden="false" customHeight="false" outlineLevel="0" collapsed="false">
      <c r="A3655" s="0" t="s">
        <v>1056</v>
      </c>
      <c r="B3655" s="0" t="s">
        <v>98</v>
      </c>
      <c r="D3655" s="6" t="n">
        <f aca="false">Sens!D3627</f>
        <v>59.6740205577583</v>
      </c>
      <c r="E3655" s="6" t="n">
        <f aca="false">Sens!E3627</f>
        <v>74.1284935338591</v>
      </c>
      <c r="F3655" s="6" t="n">
        <f aca="false">Sens!F3627</f>
        <v>95.0709626604845</v>
      </c>
      <c r="G3655" s="6" t="n">
        <f aca="false">Sens!G3627</f>
        <v>112.958493491404</v>
      </c>
      <c r="H3655" s="6" t="n">
        <f aca="false">Sens!H3627</f>
        <v>131.157455688971</v>
      </c>
      <c r="I3655" s="6" t="n">
        <f aca="false">Sens!I3627</f>
        <v>148.74234272792</v>
      </c>
      <c r="J3655" s="6" t="n">
        <f aca="false">Sens!J3627</f>
        <v>164.663323547782</v>
      </c>
      <c r="K3655" s="6" t="n">
        <f aca="false">Sens!K3627</f>
        <v>177.836389431605</v>
      </c>
    </row>
    <row r="3656" customFormat="false" ht="15" hidden="false" customHeight="false" outlineLevel="0" collapsed="false">
      <c r="A3656" s="0" t="s">
        <v>1036</v>
      </c>
      <c r="B3656" s="0" t="s">
        <v>98</v>
      </c>
      <c r="D3656" s="6" t="n">
        <f aca="false">Sens!D3634</f>
        <v>84.605</v>
      </c>
      <c r="E3656" s="6" t="n">
        <f aca="false">Sens!E3634</f>
        <v>100.299</v>
      </c>
      <c r="F3656" s="6" t="n">
        <f aca="false">Sens!F3634</f>
        <v>117.438354189776</v>
      </c>
      <c r="G3656" s="6" t="n">
        <f aca="false">Sens!G3634</f>
        <v>132.595360443801</v>
      </c>
      <c r="H3656" s="6" t="n">
        <f aca="false">Sens!H3634</f>
        <v>147.833811964563</v>
      </c>
      <c r="I3656" s="6" t="n">
        <f aca="false">Sens!I3634</f>
        <v>162.145665319381</v>
      </c>
      <c r="J3656" s="6" t="n">
        <f aca="false">Sens!J3634</f>
        <v>175.249327755573</v>
      </c>
      <c r="K3656" s="6" t="n">
        <f aca="false">Sens!K3634</f>
        <v>187.599280698463</v>
      </c>
    </row>
    <row r="3657" customFormat="false" ht="17.15" hidden="false" customHeight="false" outlineLevel="0" collapsed="false">
      <c r="A3657" s="0" t="s">
        <v>1057</v>
      </c>
      <c r="B3657" s="0" t="s">
        <v>98</v>
      </c>
      <c r="D3657" s="6" t="n">
        <f aca="false">Sens!D3632</f>
        <v>83.705</v>
      </c>
      <c r="E3657" s="6" t="n">
        <f aca="false">Sens!E3632</f>
        <v>95.049</v>
      </c>
      <c r="F3657" s="6" t="n">
        <f aca="false">Sens!F3632</f>
        <v>106.938354189776</v>
      </c>
      <c r="G3657" s="6" t="n">
        <f aca="false">Sens!G3632</f>
        <v>119.095360443801</v>
      </c>
      <c r="H3657" s="6" t="n">
        <f aca="false">Sens!H3632</f>
        <v>131.333811964563</v>
      </c>
      <c r="I3657" s="6" t="n">
        <f aca="false">Sens!I3632</f>
        <v>143.395665319381</v>
      </c>
      <c r="J3657" s="6" t="n">
        <f aca="false">Sens!J3632</f>
        <v>154.999327755573</v>
      </c>
      <c r="K3657" s="6" t="n">
        <f aca="false">Sens!K3632</f>
        <v>165.849280698463</v>
      </c>
    </row>
    <row r="3658" customFormat="false" ht="17.15" hidden="false" customHeight="false" outlineLevel="0" collapsed="false">
      <c r="A3658" s="0" t="s">
        <v>1058</v>
      </c>
      <c r="B3658" s="0" t="s">
        <v>98</v>
      </c>
      <c r="D3658" s="6" t="n">
        <f aca="false">Sens!D3631</f>
        <v>0.9</v>
      </c>
      <c r="E3658" s="6" t="n">
        <f aca="false">Sens!E3631</f>
        <v>5.25</v>
      </c>
      <c r="F3658" s="6" t="n">
        <f aca="false">Sens!F3631</f>
        <v>10.5</v>
      </c>
      <c r="G3658" s="6" t="n">
        <f aca="false">Sens!G3631</f>
        <v>13.5</v>
      </c>
      <c r="H3658" s="6" t="n">
        <f aca="false">Sens!H3631</f>
        <v>16.5</v>
      </c>
      <c r="I3658" s="6" t="n">
        <f aca="false">Sens!I3631</f>
        <v>18.75</v>
      </c>
      <c r="J3658" s="6" t="n">
        <f aca="false">Sens!J3631</f>
        <v>20.25</v>
      </c>
      <c r="K3658" s="6" t="n">
        <f aca="false">Sens!K3631</f>
        <v>21.75</v>
      </c>
    </row>
    <row r="3659" customFormat="false" ht="15" hidden="false" customHeight="false" outlineLevel="0" collapsed="false">
      <c r="A3659" s="0" t="s">
        <v>1037</v>
      </c>
      <c r="B3659" s="0" t="s">
        <v>98</v>
      </c>
      <c r="D3659" s="6" t="n">
        <f aca="false">Sens!D3635</f>
        <v>35.391</v>
      </c>
      <c r="E3659" s="6" t="n">
        <f aca="false">Sens!E3635</f>
        <v>37.285</v>
      </c>
      <c r="F3659" s="6" t="n">
        <f aca="false">Sens!F3635</f>
        <v>38.3851437782675</v>
      </c>
      <c r="G3659" s="6" t="n">
        <f aca="false">Sens!G3635</f>
        <v>40.0105353288615</v>
      </c>
      <c r="H3659" s="6" t="n">
        <f aca="false">Sens!H3635</f>
        <v>41.4812512033683</v>
      </c>
      <c r="I3659" s="6" t="n">
        <f aca="false">Sens!I3635</f>
        <v>42.7743107216329</v>
      </c>
      <c r="J3659" s="6" t="n">
        <f aca="false">Sens!J3635</f>
        <v>43.8687373064601</v>
      </c>
      <c r="K3659" s="6" t="n">
        <f aca="false">Sens!K3635</f>
        <v>44.7461120525893</v>
      </c>
    </row>
    <row r="3660" customFormat="false" ht="15" hidden="false" customHeight="false" outlineLevel="0" collapsed="false">
      <c r="A3660" s="0" t="s">
        <v>1039</v>
      </c>
      <c r="B3660" s="0" t="s">
        <v>98</v>
      </c>
      <c r="D3660" s="6" t="n">
        <f aca="false">Sens!D3637</f>
        <v>18.417</v>
      </c>
      <c r="E3660" s="6" t="n">
        <f aca="false">Sens!E3637</f>
        <v>20.345</v>
      </c>
      <c r="F3660" s="6" t="n">
        <f aca="false">Sens!F3637</f>
        <v>22.3161797133988</v>
      </c>
      <c r="G3660" s="6" t="n">
        <f aca="false">Sens!G3637</f>
        <v>24.3943499673233</v>
      </c>
      <c r="H3660" s="6" t="n">
        <f aca="false">Sens!H3637</f>
        <v>26.5250243109019</v>
      </c>
      <c r="I3660" s="6" t="n">
        <f aca="false">Sens!I3637</f>
        <v>28.6884573538181</v>
      </c>
      <c r="J3660" s="6" t="n">
        <f aca="false">Sens!J3637</f>
        <v>30.8624968052127</v>
      </c>
      <c r="K3660" s="6" t="n">
        <f aca="false">Sens!K3637</f>
        <v>33.0228715815776</v>
      </c>
    </row>
    <row r="3661" customFormat="false" ht="15" hidden="false" customHeight="false" outlineLevel="0" collapsed="false">
      <c r="A3661" s="0" t="s">
        <v>1040</v>
      </c>
      <c r="B3661" s="0" t="s">
        <v>98</v>
      </c>
      <c r="D3661" s="6" t="n">
        <f aca="false">Sens!D3639</f>
        <v>7.76</v>
      </c>
      <c r="E3661" s="6" t="n">
        <f aca="false">Sens!E3639</f>
        <v>8.26</v>
      </c>
      <c r="F3661" s="6" t="n">
        <f aca="false">Sens!F3639</f>
        <v>8.75372082474227</v>
      </c>
      <c r="G3661" s="6" t="n">
        <f aca="false">Sens!G3639</f>
        <v>9.33399324642364</v>
      </c>
      <c r="H3661" s="6" t="n">
        <f aca="false">Sens!H3639</f>
        <v>9.96139155535851</v>
      </c>
      <c r="I3661" s="6" t="n">
        <f aca="false">Sens!I3639</f>
        <v>10.6402039077391</v>
      </c>
      <c r="J3661" s="6" t="n">
        <f aca="false">Sens!J3639</f>
        <v>11.3751458271397</v>
      </c>
      <c r="K3661" s="6" t="n">
        <f aca="false">Sens!K3639</f>
        <v>12.1714060350394</v>
      </c>
    </row>
    <row r="3662" customFormat="false" ht="15" hidden="false" customHeight="false" outlineLevel="0" collapsed="false">
      <c r="A3662" s="0" t="s">
        <v>856</v>
      </c>
      <c r="B3662" s="0" t="s">
        <v>98</v>
      </c>
      <c r="D3662" s="6" t="n">
        <f aca="false">Sens!D3641</f>
        <v>218.783</v>
      </c>
      <c r="E3662" s="6" t="n">
        <f aca="false">Sens!E3641</f>
        <v>268.127</v>
      </c>
      <c r="F3662" s="6" t="n">
        <f aca="false">Sens!F3641</f>
        <v>320.19033953166</v>
      </c>
      <c r="G3662" s="6" t="n">
        <f aca="false">Sens!G3641</f>
        <v>360.417594558384</v>
      </c>
      <c r="H3662" s="6" t="n">
        <f aca="false">Sens!H3641</f>
        <v>396.352911510184</v>
      </c>
      <c r="I3662" s="6" t="n">
        <f aca="false">Sens!I3641</f>
        <v>433.237106630676</v>
      </c>
      <c r="J3662" s="6" t="n">
        <f aca="false">Sens!J3641</f>
        <v>467.552077968353</v>
      </c>
      <c r="K3662" s="6" t="n">
        <f aca="false">Sens!K3641</f>
        <v>499.465555964948</v>
      </c>
    </row>
    <row r="3663" customFormat="false" ht="15" hidden="false" customHeight="false" outlineLevel="0" collapsed="false">
      <c r="A3663" s="0" t="s">
        <v>1041</v>
      </c>
      <c r="B3663" s="0" t="s">
        <v>98</v>
      </c>
      <c r="D3663" s="6" t="n">
        <f aca="false">Sens!D3642</f>
        <v>22.171</v>
      </c>
      <c r="E3663" s="6" t="n">
        <f aca="false">Sens!E3642</f>
        <v>24.835</v>
      </c>
      <c r="F3663" s="6" t="n">
        <f aca="false">Sens!F3642</f>
        <v>27.5591895660247</v>
      </c>
      <c r="G3663" s="6" t="n">
        <f aca="false">Sens!G3642</f>
        <v>30.4098563144583</v>
      </c>
      <c r="H3663" s="6" t="n">
        <f aca="false">Sens!H3642</f>
        <v>33.3011792571777</v>
      </c>
      <c r="I3663" s="6" t="n">
        <f aca="false">Sens!I3642</f>
        <v>36.189023797112</v>
      </c>
      <c r="J3663" s="6" t="n">
        <f aca="false">Sens!J3642</f>
        <v>39.0247773769199</v>
      </c>
      <c r="K3663" s="6" t="n">
        <f aca="false">Sens!K3642</f>
        <v>41.7565117933043</v>
      </c>
    </row>
    <row r="3664" customFormat="false" ht="15" hidden="false" customHeight="false" outlineLevel="0" collapsed="false">
      <c r="A3664" s="0" t="s">
        <v>1042</v>
      </c>
      <c r="B3664" s="0" t="s">
        <v>98</v>
      </c>
      <c r="D3664" s="6" t="n">
        <f aca="false">Sens!D3644</f>
        <v>23.455</v>
      </c>
      <c r="E3664" s="6" t="n">
        <f aca="false">Sens!E3644</f>
        <v>21.79</v>
      </c>
      <c r="F3664" s="6" t="n">
        <f aca="false">Sens!F3644</f>
        <v>20.7520981041711</v>
      </c>
      <c r="G3664" s="6" t="n">
        <f aca="false">Sens!G3644</f>
        <v>19.9083593495882</v>
      </c>
      <c r="H3664" s="6" t="n">
        <f aca="false">Sens!H3644</f>
        <v>19.4008256265831</v>
      </c>
      <c r="I3664" s="6" t="n">
        <f aca="false">Sens!I3644</f>
        <v>19.200434522122</v>
      </c>
      <c r="J3664" s="6" t="n">
        <f aca="false">Sens!J3644</f>
        <v>19.2932782348507</v>
      </c>
      <c r="K3664" s="6" t="n">
        <f aca="false">Sens!K3644</f>
        <v>19.6791437995477</v>
      </c>
    </row>
    <row r="3665" customFormat="false" ht="15" hidden="false" customHeight="false" outlineLevel="0" collapsed="false">
      <c r="A3665" s="0" t="s">
        <v>1043</v>
      </c>
      <c r="B3665" s="0" t="s">
        <v>98</v>
      </c>
      <c r="D3665" s="6" t="n">
        <f aca="false">Sens!D3646</f>
        <v>17.315</v>
      </c>
      <c r="E3665" s="6" t="n">
        <f aca="false">Sens!E3646</f>
        <v>17.087</v>
      </c>
      <c r="F3665" s="6" t="n">
        <f aca="false">Sens!F3646</f>
        <v>15.9912273250553</v>
      </c>
      <c r="G3665" s="6" t="n">
        <f aca="false">Sens!G3646</f>
        <v>15.9574562664827</v>
      </c>
      <c r="H3665" s="6" t="n">
        <f aca="false">Sens!H3646</f>
        <v>16.0119687434196</v>
      </c>
      <c r="I3665" s="6" t="n">
        <f aca="false">Sens!I3646</f>
        <v>16.1551810001948</v>
      </c>
      <c r="J3665" s="6" t="n">
        <f aca="false">Sens!J3646</f>
        <v>16.3889793892005</v>
      </c>
      <c r="K3665" s="6" t="n">
        <f aca="false">Sens!K3646</f>
        <v>16.7167589769845</v>
      </c>
    </row>
    <row r="3666" customFormat="false" ht="15" hidden="false" customHeight="false" outlineLevel="0" collapsed="false">
      <c r="A3666" s="0" t="s">
        <v>870</v>
      </c>
      <c r="B3666" s="0" t="s">
        <v>98</v>
      </c>
      <c r="D3666" s="6" t="n">
        <f aca="false">Sens!D3648</f>
        <v>62.941</v>
      </c>
      <c r="E3666" s="6" t="n">
        <f aca="false">Sens!E3648</f>
        <v>63.712</v>
      </c>
      <c r="F3666" s="6" t="n">
        <f aca="false">Sens!F3648</f>
        <v>64.3025149952511</v>
      </c>
      <c r="G3666" s="6" t="n">
        <f aca="false">Sens!G3648</f>
        <v>66.2756719305292</v>
      </c>
      <c r="H3666" s="6" t="n">
        <f aca="false">Sens!H3648</f>
        <v>68.7139736271804</v>
      </c>
      <c r="I3666" s="6" t="n">
        <f aca="false">Sens!I3648</f>
        <v>71.5446393194289</v>
      </c>
      <c r="J3666" s="6" t="n">
        <f aca="false">Sens!J3648</f>
        <v>74.707035000971</v>
      </c>
      <c r="K3666" s="6" t="n">
        <f aca="false">Sens!K3648</f>
        <v>78.1524145698365</v>
      </c>
    </row>
    <row r="3667" customFormat="false" ht="15" hidden="false" customHeight="false" outlineLevel="0" collapsed="false">
      <c r="A3667" s="1" t="s">
        <v>1059</v>
      </c>
      <c r="B3667" s="0" t="s">
        <v>98</v>
      </c>
      <c r="D3667" s="6" t="n">
        <f aca="false">Sens!D3649</f>
        <v>281.724</v>
      </c>
      <c r="E3667" s="6" t="n">
        <f aca="false">Sens!E3649</f>
        <v>331.839</v>
      </c>
      <c r="F3667" s="6" t="n">
        <f aca="false">Sens!F3649</f>
        <v>384.492854526911</v>
      </c>
      <c r="G3667" s="6" t="n">
        <f aca="false">Sens!G3649</f>
        <v>426.693266488913</v>
      </c>
      <c r="H3667" s="6" t="n">
        <f aca="false">Sens!H3649</f>
        <v>465.066885137364</v>
      </c>
      <c r="I3667" s="6" t="n">
        <f aca="false">Sens!I3649</f>
        <v>504.781745950104</v>
      </c>
      <c r="J3667" s="6" t="n">
        <f aca="false">Sens!J3649</f>
        <v>542.259112969324</v>
      </c>
      <c r="K3667" s="6" t="n">
        <f aca="false">Sens!K3649</f>
        <v>577.617970534784</v>
      </c>
    </row>
    <row r="3668" customFormat="false" ht="15" hidden="false" customHeight="false" outlineLevel="0" collapsed="false">
      <c r="A3668" s="1" t="s">
        <v>1060</v>
      </c>
      <c r="B3668" s="0" t="s">
        <v>168</v>
      </c>
      <c r="E3668" s="7" t="n">
        <f aca="false">Sens!E3667/Sens!D3667-1</f>
        <v>0.177886867998467</v>
      </c>
      <c r="F3668" s="7" t="n">
        <f aca="false">Sens!F3667/Sens!E3667-1</f>
        <v>0.158672894165277</v>
      </c>
      <c r="G3668" s="7" t="n">
        <f aca="false">Sens!G3667/Sens!F3667-1</f>
        <v>0.109756036985202</v>
      </c>
      <c r="H3668" s="7" t="n">
        <f aca="false">Sens!H3667/Sens!G3667-1</f>
        <v>0.0899325620116118</v>
      </c>
      <c r="I3668" s="7" t="n">
        <f aca="false">Sens!I3667/Sens!H3667-1</f>
        <v>0.0853960195446071</v>
      </c>
      <c r="J3668" s="7" t="n">
        <f aca="false">Sens!J3667/Sens!I3667-1</f>
        <v>0.0742446954944438</v>
      </c>
      <c r="K3668" s="7" t="n">
        <f aca="false">Sens!K3667/Sens!J3667-1</f>
        <v>0.0652065713969121</v>
      </c>
    </row>
    <row r="3669" customFormat="false" ht="17.15" hidden="false" customHeight="false" outlineLevel="0" collapsed="false">
      <c r="A3669" s="26" t="s">
        <v>1061</v>
      </c>
      <c r="B3669" s="31" t="s">
        <v>98</v>
      </c>
      <c r="C3669" s="31"/>
      <c r="D3669" s="27" t="n">
        <f aca="false">(Sens!D3662+Sens!D3666-Sens!D3667)+(Sens!D3654+Sens!D3655-Sens!D3653)+(Sens!D3657+Sens!D3658-Sens!D3656)+(Sens!D3667-Q!L18)</f>
        <v>0</v>
      </c>
      <c r="E3669" s="27" t="n">
        <f aca="false">(Sens!E3662+Sens!E3666-Sens!E3667)+(Sens!E3654+Sens!E3655-Sens!E3653)+(Sens!E3657+Sens!E3658-Sens!E3656)+(Sens!E3667-Q!M18)</f>
        <v>0</v>
      </c>
      <c r="F3669" s="27" t="n">
        <f aca="false">(Sens!F3662+Sens!F3666-Sens!F3667)+(Sens!F3654+Sens!F3655-Sens!F3653)+(Sens!F3657+Sens!F3658-Sens!F3656)</f>
        <v>0</v>
      </c>
      <c r="G3669" s="27" t="n">
        <f aca="false">(Sens!G3662+Sens!G3666-Sens!G3667)+(Sens!G3654+Sens!G3655-Sens!G3653)+(Sens!G3657+Sens!G3658-Sens!G3656)</f>
        <v>0</v>
      </c>
      <c r="H3669" s="27" t="n">
        <f aca="false">(Sens!H3662+Sens!H3666-Sens!H3667)+(Sens!H3654+Sens!H3655-Sens!H3653)+(Sens!H3657+Sens!H3658-Sens!H3656)</f>
        <v>0</v>
      </c>
      <c r="I3669" s="27" t="n">
        <f aca="false">(Sens!I3662+Sens!I3666-Sens!I3667)+(Sens!I3654+Sens!I3655-Sens!I3653)+(Sens!I3657+Sens!I3658-Sens!I3656)</f>
        <v>0</v>
      </c>
      <c r="J3669" s="27" t="n">
        <f aca="false">(Sens!J3662+Sens!J3666-Sens!J3667)+(Sens!J3654+Sens!J3655-Sens!J3653)+(Sens!J3657+Sens!J3658-Sens!J3656)</f>
        <v>0</v>
      </c>
      <c r="K3669" s="27" t="n">
        <f aca="false">(Sens!K3662+Sens!K3666-Sens!K3667)+(Sens!K3654+Sens!K3655-Sens!K3653)+(Sens!K3657+Sens!K3658-Sens!K3656)</f>
        <v>0</v>
      </c>
    </row>
    <row r="3670" customFormat="false" ht="17.15" hidden="false" customHeight="false" outlineLevel="0" collapsed="false">
      <c r="A3670" s="0" t="s">
        <v>1062</v>
      </c>
      <c r="B3670" s="0" t="s">
        <v>168</v>
      </c>
      <c r="E3670" s="7" t="n">
        <f aca="false">(Q!M21+Sens!E3606+Sens!E3607+Sens!E3608+Sens!E3622-Sens!E3604)/(Q!M5-Sens!E3604)</f>
        <v>0.570957350878296</v>
      </c>
      <c r="F3670" s="7" t="n">
        <f aca="false">Sens!$E$3670+dm_seg</f>
        <v>0.570957350878296</v>
      </c>
      <c r="G3670" s="7" t="n">
        <f aca="false">Sens!$E$3670+dm_seg</f>
        <v>0.570957350878296</v>
      </c>
      <c r="H3670" s="7" t="n">
        <f aca="false">Sens!$E$3670+dm_seg</f>
        <v>0.570957350878296</v>
      </c>
      <c r="I3670" s="7" t="n">
        <f aca="false">Sens!$E$3670+dm_seg</f>
        <v>0.570957350878296</v>
      </c>
      <c r="J3670" s="7" t="n">
        <f aca="false">Sens!$E$3670+dm_seg</f>
        <v>0.570957350878296</v>
      </c>
      <c r="K3670" s="7" t="n">
        <f aca="false">Sens!$E$3670+dm_seg</f>
        <v>0.570957350878296</v>
      </c>
      <c r="L3670" s="12" t="s">
        <v>1063</v>
      </c>
    </row>
    <row r="3671" customFormat="false" ht="17.15" hidden="false" customHeight="false" outlineLevel="0" collapsed="false">
      <c r="A3671" s="0" t="s">
        <v>884</v>
      </c>
      <c r="B3671" s="0" t="s">
        <v>98</v>
      </c>
      <c r="D3671" s="6" t="n">
        <f aca="false">Q!L21</f>
        <v>110.814</v>
      </c>
      <c r="E3671" s="6" t="n">
        <f aca="false">Q!M21</f>
        <v>136.365</v>
      </c>
      <c r="F3671" s="6" t="n">
        <f aca="false">Q!$I$21+(Sens!F3670*(Sens!F3641-Sens!F3604)+Sens!F3604-(Sens!F3606+Sens!F3607+Sens!F3608)-Sens!F3622-Sens!F3705)*(Sens!F3641-Q!$I$5)/Sens!F3641</f>
        <v>149.14482335196</v>
      </c>
      <c r="G3671" s="6" t="n">
        <f aca="false">(Sens!G3670*(Sens!G3641-Sens!G3604)+Sens!G3604-(Sens!G3606+Sens!G3607+Sens!G3608)-Sens!G3622-Sens!G3705)</f>
        <v>160.846090862447</v>
      </c>
      <c r="H3671" s="6" t="n">
        <f aca="false">(Sens!H3670*(Sens!H3641-Sens!H3604)+Sens!H3604-(Sens!H3606+Sens!H3607+Sens!H3608)-Sens!H3622-Sens!H3705)</f>
        <v>178.350502011246</v>
      </c>
      <c r="I3671" s="6" t="n">
        <f aca="false">(Sens!I3670*(Sens!I3641-Sens!I3604)+Sens!I3604-(Sens!I3606+Sens!I3607+Sens!I3608)-Sens!I3622-Sens!I3705)</f>
        <v>200.202064724488</v>
      </c>
      <c r="J3671" s="6" t="n">
        <f aca="false">(Sens!J3670*(Sens!J3641-Sens!J3604)+Sens!J3604-(Sens!J3606+Sens!J3607+Sens!J3608)-Sens!J3622-Sens!J3705)</f>
        <v>219.755866274377</v>
      </c>
      <c r="K3671" s="6" t="n">
        <f aca="false">(Sens!K3670*(Sens!K3641-Sens!K3604)+Sens!K3604-(Sens!K3606+Sens!K3607+Sens!K3608)-Sens!K3622-Sens!K3705)</f>
        <v>237.069360089824</v>
      </c>
      <c r="L3671" s="1" t="s">
        <v>1064</v>
      </c>
    </row>
    <row r="3672" customFormat="false" ht="17.15" hidden="false" customHeight="false" outlineLevel="0" collapsed="false">
      <c r="A3672" s="0" t="s">
        <v>1065</v>
      </c>
      <c r="B3672" s="0" t="s">
        <v>168</v>
      </c>
      <c r="E3672" s="7" t="n">
        <f aca="false">Q!M22/Q!M12</f>
        <v>0.296207935710698</v>
      </c>
      <c r="F3672" s="7" t="n">
        <f aca="false">Sens!$E$3672+dm_seg</f>
        <v>0.296207935710698</v>
      </c>
      <c r="G3672" s="7" t="n">
        <f aca="false">Sens!$E$3672+dm_seg</f>
        <v>0.296207935710698</v>
      </c>
      <c r="H3672" s="7" t="n">
        <f aca="false">Sens!$E$3672+dm_seg</f>
        <v>0.296207935710698</v>
      </c>
      <c r="I3672" s="7" t="n">
        <f aca="false">Sens!$E$3672+dm_seg</f>
        <v>0.296207935710698</v>
      </c>
      <c r="J3672" s="7" t="n">
        <f aca="false">Sens!$E$3672+dm_seg</f>
        <v>0.296207935710698</v>
      </c>
      <c r="K3672" s="7" t="n">
        <f aca="false">Sens!$E$3672+dm_seg</f>
        <v>0.296207935710698</v>
      </c>
      <c r="L3672" s="12" t="s">
        <v>1066</v>
      </c>
    </row>
    <row r="3673" customFormat="false" ht="17.15" hidden="false" customHeight="false" outlineLevel="0" collapsed="false">
      <c r="A3673" s="0" t="s">
        <v>886</v>
      </c>
      <c r="B3673" s="0" t="s">
        <v>98</v>
      </c>
      <c r="D3673" s="6" t="n">
        <f aca="false">Q!L22</f>
        <v>17.714</v>
      </c>
      <c r="E3673" s="6" t="n">
        <f aca="false">Q!M22</f>
        <v>18.872</v>
      </c>
      <c r="F3673" s="6" t="n">
        <f aca="false">Q!$I$22+(Sens!F3648-Q!$I$12)*Sens!F3672</f>
        <v>19.8174315512051</v>
      </c>
      <c r="G3673" s="6" t="n">
        <f aca="false">Sens!G3648*Sens!G3672</f>
        <v>19.6313799703815</v>
      </c>
      <c r="H3673" s="6" t="n">
        <f aca="false">Sens!H3648*Sens!H3672</f>
        <v>20.3536242825865</v>
      </c>
      <c r="I3673" s="6" t="n">
        <f aca="false">Sens!I3648*Sens!I3672</f>
        <v>21.1920899239745</v>
      </c>
      <c r="J3673" s="6" t="n">
        <f aca="false">Sens!J3648*Sens!J3672</f>
        <v>22.1288166207045</v>
      </c>
      <c r="K3673" s="6" t="n">
        <f aca="false">Sens!K3648*Sens!K3672</f>
        <v>23.1493653905379</v>
      </c>
      <c r="L3673" s="12" t="s">
        <v>1067</v>
      </c>
    </row>
    <row r="3674" customFormat="false" ht="15" hidden="false" customHeight="false" outlineLevel="0" collapsed="false">
      <c r="A3674" s="1" t="s">
        <v>1068</v>
      </c>
      <c r="B3674" s="0" t="s">
        <v>98</v>
      </c>
      <c r="D3674" s="6" t="n">
        <f aca="false">Sens!D3671+Sens!D3673</f>
        <v>128.528</v>
      </c>
      <c r="E3674" s="6" t="n">
        <f aca="false">Sens!E3671+Sens!E3673</f>
        <v>155.237</v>
      </c>
      <c r="F3674" s="6" t="n">
        <f aca="false">Sens!F3671+Sens!F3673</f>
        <v>168.962254903165</v>
      </c>
      <c r="G3674" s="6" t="n">
        <f aca="false">Sens!G3671+Sens!G3673</f>
        <v>180.477470832828</v>
      </c>
      <c r="H3674" s="6" t="n">
        <f aca="false">Sens!H3671+Sens!H3673</f>
        <v>198.704126293833</v>
      </c>
      <c r="I3674" s="6" t="n">
        <f aca="false">Sens!I3671+Sens!I3673</f>
        <v>221.394154648462</v>
      </c>
      <c r="J3674" s="6" t="n">
        <f aca="false">Sens!J3671+Sens!J3673</f>
        <v>241.884682895082</v>
      </c>
      <c r="K3674" s="6" t="n">
        <f aca="false">Sens!K3671+Sens!K3673</f>
        <v>260.218725480362</v>
      </c>
    </row>
    <row r="3675" customFormat="false" ht="15" hidden="false" customHeight="false" outlineLevel="0" collapsed="false">
      <c r="A3675" s="26" t="s">
        <v>1069</v>
      </c>
      <c r="B3675" s="31" t="s">
        <v>98</v>
      </c>
      <c r="C3675" s="31"/>
      <c r="D3675" s="27" t="n">
        <f aca="false">Sens!D3674-Q!L23</f>
        <v>0</v>
      </c>
      <c r="E3675" s="27" t="n">
        <f aca="false">Sens!E3674-Q!M23</f>
        <v>0</v>
      </c>
      <c r="F3675" s="31"/>
      <c r="G3675" s="31"/>
      <c r="H3675" s="31"/>
      <c r="I3675" s="31"/>
      <c r="J3675" s="31"/>
      <c r="K3675" s="31"/>
    </row>
    <row r="3676" customFormat="false" ht="15" hidden="false" customHeight="false" outlineLevel="0" collapsed="false">
      <c r="A3676" s="1" t="s">
        <v>1070</v>
      </c>
      <c r="B3676" s="0" t="s">
        <v>168</v>
      </c>
      <c r="D3676" s="7" t="n">
        <f aca="false">Sens!D3674/Sens!D3667</f>
        <v>0.456219562408598</v>
      </c>
      <c r="E3676" s="7" t="n">
        <f aca="false">Sens!E3674/Sens!E3667</f>
        <v>0.467808184089272</v>
      </c>
      <c r="F3676" s="7" t="n">
        <f aca="false">Sens!F3674/Sens!F3667</f>
        <v>0.439441859357984</v>
      </c>
      <c r="G3676" s="7" t="n">
        <f aca="false">Sens!G3674/Sens!G3667</f>
        <v>0.422967703047917</v>
      </c>
      <c r="H3676" s="7" t="n">
        <f aca="false">Sens!H3674/Sens!H3667</f>
        <v>0.42725924516243</v>
      </c>
      <c r="I3676" s="7" t="n">
        <f aca="false">Sens!I3674/Sens!I3667</f>
        <v>0.438593820843803</v>
      </c>
      <c r="J3676" s="7" t="n">
        <f aca="false">Sens!J3674/Sens!J3667</f>
        <v>0.446068451612662</v>
      </c>
      <c r="K3676" s="7" t="n">
        <f aca="false">Sens!K3674/Sens!K3667</f>
        <v>0.450503167758856</v>
      </c>
    </row>
    <row r="3677" customFormat="false" ht="17.15" hidden="false" customHeight="false" outlineLevel="0" collapsed="false">
      <c r="A3677" s="1" t="s">
        <v>1071</v>
      </c>
      <c r="B3677" s="0" t="s">
        <v>98</v>
      </c>
      <c r="F3677" s="6" t="n">
        <f aca="false">Sens!F3692</f>
        <v>3.32169808276811</v>
      </c>
      <c r="G3677" s="6" t="n">
        <f aca="false">Sens!G3692</f>
        <v>4.83073330153996</v>
      </c>
      <c r="H3677" s="6" t="n">
        <f aca="false">Sens!H3692</f>
        <v>4.74830776187797</v>
      </c>
      <c r="I3677" s="6" t="n">
        <f aca="false">Sens!I3692</f>
        <v>3.69811128440021</v>
      </c>
      <c r="J3677" s="6" t="n">
        <f aca="false">Sens!J3692</f>
        <v>3.19575402518239</v>
      </c>
      <c r="K3677" s="6" t="n">
        <f aca="false">Sens!K3692</f>
        <v>3.04269068486014</v>
      </c>
      <c r="L3677" s="1" t="s">
        <v>1072</v>
      </c>
    </row>
    <row r="3678" customFormat="false" ht="17.15" hidden="false" customHeight="false" outlineLevel="0" collapsed="false">
      <c r="A3678" s="1" t="s">
        <v>1073</v>
      </c>
      <c r="B3678" s="0" t="s">
        <v>98</v>
      </c>
      <c r="D3678" s="6" t="n">
        <f aca="false">Sens!D3674</f>
        <v>128.528</v>
      </c>
      <c r="E3678" s="6" t="n">
        <f aca="false">Sens!E3674</f>
        <v>155.237</v>
      </c>
      <c r="F3678" s="6" t="n">
        <f aca="false">Sens!F3674+Sens!F3677</f>
        <v>172.283952985933</v>
      </c>
      <c r="G3678" s="6" t="n">
        <f aca="false">Sens!G3674+Sens!G3677</f>
        <v>185.308204134368</v>
      </c>
      <c r="H3678" s="6" t="n">
        <f aca="false">Sens!H3674+Sens!H3677</f>
        <v>203.452434055711</v>
      </c>
      <c r="I3678" s="6" t="n">
        <f aca="false">Sens!I3674+Sens!I3677</f>
        <v>225.092265932863</v>
      </c>
      <c r="J3678" s="6" t="n">
        <f aca="false">Sens!J3674+Sens!J3677</f>
        <v>245.080436920264</v>
      </c>
      <c r="K3678" s="6" t="n">
        <f aca="false">Sens!K3674+Sens!K3677</f>
        <v>263.261416165222</v>
      </c>
    </row>
    <row r="3679" customFormat="false" ht="17.15" hidden="false" customHeight="false" outlineLevel="0" collapsed="false">
      <c r="A3679" s="1" t="s">
        <v>1074</v>
      </c>
      <c r="B3679" s="0" t="s">
        <v>98</v>
      </c>
      <c r="E3679" s="6" t="n">
        <f aca="false">Sens!E3622</f>
        <v>16.3054059770833</v>
      </c>
      <c r="F3679" s="6" t="n">
        <f aca="false">Sens!F3622</f>
        <v>24.549027677</v>
      </c>
      <c r="G3679" s="6" t="n">
        <f aca="false">Sens!G3622</f>
        <v>29.185632823</v>
      </c>
      <c r="H3679" s="6" t="n">
        <f aca="false">Sens!H3622</f>
        <v>31.677584917</v>
      </c>
      <c r="I3679" s="6" t="n">
        <f aca="false">Sens!I3622</f>
        <v>32.2298649310278</v>
      </c>
      <c r="J3679" s="6" t="n">
        <f aca="false">Sens!J3622</f>
        <v>33.6162004764444</v>
      </c>
      <c r="K3679" s="6" t="n">
        <f aca="false">Sens!K3622</f>
        <v>36.1070960499167</v>
      </c>
    </row>
    <row r="3680" customFormat="false" ht="17.15" hidden="false" customHeight="false" outlineLevel="0" collapsed="false">
      <c r="A3680" s="1" t="s">
        <v>1075</v>
      </c>
      <c r="B3680" s="0" t="s">
        <v>98</v>
      </c>
      <c r="E3680" s="6" t="n">
        <f aca="false">Sens!E3704</f>
        <v>22.2285940229167</v>
      </c>
      <c r="F3680" s="6" t="n">
        <f aca="false">Sens!F3704</f>
        <v>37.458367358225</v>
      </c>
      <c r="G3680" s="6" t="n">
        <f aca="false">Sens!G3704</f>
        <v>37.8971931807589</v>
      </c>
      <c r="H3680" s="6" t="n">
        <f aca="false">Sens!H3704</f>
        <v>38.8470034950136</v>
      </c>
      <c r="I3680" s="6" t="n">
        <f aca="false">Sens!I3704</f>
        <v>40.2363776179593</v>
      </c>
      <c r="J3680" s="6" t="n">
        <f aca="false">Sens!J3704</f>
        <v>41.976670284337</v>
      </c>
      <c r="K3680" s="6" t="n">
        <f aca="false">Sens!K3704</f>
        <v>43.9704272663843</v>
      </c>
    </row>
    <row r="3681" customFormat="false" ht="17.15" hidden="false" customHeight="false" outlineLevel="0" collapsed="false">
      <c r="A3681" s="1" t="s">
        <v>1076</v>
      </c>
      <c r="B3681" s="0" t="s">
        <v>98</v>
      </c>
      <c r="D3681" s="6" t="n">
        <f aca="false">Q!L27</f>
        <v>-4.901</v>
      </c>
      <c r="E3681" s="6" t="n">
        <f aca="false">Q!M27</f>
        <v>10.697</v>
      </c>
      <c r="F3681" s="6" t="n">
        <f aca="false">Q!$I$27+oie_f*(q_per_yr-1)/q_per_yr</f>
        <v>-0.862</v>
      </c>
      <c r="G3681" s="6" t="n">
        <f aca="false">oie_f</f>
        <v>-1.2</v>
      </c>
      <c r="H3681" s="6" t="n">
        <f aca="false">oie_f</f>
        <v>-1.2</v>
      </c>
      <c r="I3681" s="6" t="n">
        <f aca="false">oie_f</f>
        <v>-1.2</v>
      </c>
      <c r="J3681" s="6" t="n">
        <f aca="false">oie_f</f>
        <v>-1.2</v>
      </c>
      <c r="K3681" s="6" t="n">
        <f aca="false">oie_f</f>
        <v>-1.2</v>
      </c>
      <c r="L3681" s="12" t="s">
        <v>1077</v>
      </c>
    </row>
    <row r="3682" customFormat="false" ht="15" hidden="false" customHeight="false" outlineLevel="0" collapsed="false">
      <c r="A3682" s="1" t="s">
        <v>1078</v>
      </c>
      <c r="B3682" s="0" t="s">
        <v>98</v>
      </c>
      <c r="D3682" s="6" t="n">
        <f aca="false">Sens!D3674+Sens!D3681</f>
        <v>123.627</v>
      </c>
      <c r="E3682" s="6" t="n">
        <f aca="false">Sens!E3674+Sens!E3681</f>
        <v>165.934</v>
      </c>
      <c r="F3682" s="6" t="n">
        <f aca="false">Sens!F3674+Sens!F3681</f>
        <v>168.100254903165</v>
      </c>
      <c r="G3682" s="6" t="n">
        <f aca="false">Sens!G3674+Sens!G3681</f>
        <v>179.277470832828</v>
      </c>
      <c r="H3682" s="6" t="n">
        <f aca="false">Sens!H3674+Sens!H3681</f>
        <v>197.504126293833</v>
      </c>
      <c r="I3682" s="6" t="n">
        <f aca="false">Sens!I3674+Sens!I3681</f>
        <v>220.194154648462</v>
      </c>
      <c r="J3682" s="6" t="n">
        <f aca="false">Sens!J3674+Sens!J3681</f>
        <v>240.684682895082</v>
      </c>
      <c r="K3682" s="6" t="n">
        <f aca="false">Sens!K3674+Sens!K3681</f>
        <v>259.018725480362</v>
      </c>
    </row>
    <row r="3683" customFormat="false" ht="15" hidden="false" customHeight="false" outlineLevel="0" collapsed="false">
      <c r="A3683" s="1" t="s">
        <v>1079</v>
      </c>
      <c r="B3683" s="0" t="s">
        <v>98</v>
      </c>
      <c r="D3683" s="6" t="n">
        <f aca="false">Q!L29</f>
        <v>21.795</v>
      </c>
      <c r="E3683" s="6" t="n">
        <f aca="false">Q!M29</f>
        <v>32.185</v>
      </c>
      <c r="F3683" s="6" t="n">
        <f aca="false">Q!$I$29+(Sens!F3682-Q!$I$28)*tax_f</f>
        <v>33.7534509806329</v>
      </c>
      <c r="G3683" s="6" t="n">
        <f aca="false">Sens!G3682*tax_f</f>
        <v>35.8554941665657</v>
      </c>
      <c r="H3683" s="6" t="n">
        <f aca="false">Sens!H3682*tax_f</f>
        <v>39.5008252587666</v>
      </c>
      <c r="I3683" s="6" t="n">
        <f aca="false">Sens!I3682*tax_f</f>
        <v>44.0388309296925</v>
      </c>
      <c r="J3683" s="6" t="n">
        <f aca="false">Sens!J3682*tax_f</f>
        <v>48.1369365790164</v>
      </c>
      <c r="K3683" s="6" t="n">
        <f aca="false">Sens!K3682*tax_f</f>
        <v>51.8037450960724</v>
      </c>
    </row>
    <row r="3684" customFormat="false" ht="15" hidden="false" customHeight="false" outlineLevel="0" collapsed="false">
      <c r="A3684" s="1" t="s">
        <v>1080</v>
      </c>
      <c r="B3684" s="0" t="s">
        <v>98</v>
      </c>
      <c r="D3684" s="6" t="n">
        <f aca="false">Sens!D3682-Sens!D3683</f>
        <v>101.832</v>
      </c>
      <c r="E3684" s="6" t="n">
        <f aca="false">Sens!E3682-Sens!E3683</f>
        <v>133.749</v>
      </c>
      <c r="F3684" s="6" t="n">
        <f aca="false">Sens!F3682-Sens!F3683</f>
        <v>134.346803922532</v>
      </c>
      <c r="G3684" s="6" t="n">
        <f aca="false">Sens!G3682-Sens!G3683</f>
        <v>143.421976666263</v>
      </c>
      <c r="H3684" s="6" t="n">
        <f aca="false">Sens!H3682-Sens!H3683</f>
        <v>158.003301035066</v>
      </c>
      <c r="I3684" s="6" t="n">
        <f aca="false">Sens!I3682-Sens!I3683</f>
        <v>176.15532371877</v>
      </c>
      <c r="J3684" s="6" t="n">
        <f aca="false">Sens!J3682-Sens!J3683</f>
        <v>192.547746316066</v>
      </c>
      <c r="K3684" s="6" t="n">
        <f aca="false">Sens!K3682-Sens!K3683</f>
        <v>207.21498038429</v>
      </c>
    </row>
    <row r="3685" customFormat="false" ht="17.15" hidden="false" customHeight="false" outlineLevel="0" collapsed="false">
      <c r="A3685" s="1" t="s">
        <v>1081</v>
      </c>
      <c r="B3685" s="1" t="s">
        <v>81</v>
      </c>
      <c r="D3685" s="15" t="n">
        <f aca="false">Q!L31</f>
        <v>7.465</v>
      </c>
      <c r="E3685" s="15" t="n">
        <f aca="false">Q!M31</f>
        <v>7.453</v>
      </c>
      <c r="F3685" s="15" t="n">
        <f aca="false">Sens!F3729</f>
        <v>7.4735</v>
      </c>
      <c r="G3685" s="15" t="n">
        <f aca="false">Sens!G3729</f>
        <v>7.49981593415111</v>
      </c>
      <c r="H3685" s="15" t="n">
        <f aca="false">Sens!H3729</f>
        <v>7.50883180733101</v>
      </c>
      <c r="I3685" s="15" t="n">
        <f aca="false">Sens!I3729</f>
        <v>7.52051317138648</v>
      </c>
      <c r="J3685" s="15" t="n">
        <f aca="false">Sens!J3729</f>
        <v>7.53466258254895</v>
      </c>
      <c r="K3685" s="15" t="n">
        <f aca="false">Sens!K3729</f>
        <v>7.55109722251421</v>
      </c>
    </row>
    <row r="3686" customFormat="false" ht="17.15" hidden="false" customHeight="false" outlineLevel="0" collapsed="false">
      <c r="A3686" s="0" t="s">
        <v>1082</v>
      </c>
      <c r="B3686" s="0" t="s">
        <v>75</v>
      </c>
      <c r="D3686" s="8" t="n">
        <f aca="false">Sens!D3684/Sens!D3685</f>
        <v>13.641259209645</v>
      </c>
      <c r="E3686" s="8" t="n">
        <f aca="false">Sens!E3684/Sens!E3685</f>
        <v>17.9456594659869</v>
      </c>
      <c r="F3686" s="8" t="n">
        <f aca="false">Sens!F3684/Sens!F3685</f>
        <v>17.9764238874064</v>
      </c>
      <c r="G3686" s="8" t="n">
        <f aca="false">Sens!G3684/Sens!G3685</f>
        <v>19.1233995508046</v>
      </c>
      <c r="H3686" s="8" t="n">
        <f aca="false">Sens!H3684/Sens!H3685</f>
        <v>21.0423278999011</v>
      </c>
      <c r="I3686" s="8" t="n">
        <f aca="false">Sens!I3684/Sens!I3685</f>
        <v>23.4233116416833</v>
      </c>
      <c r="J3686" s="8" t="n">
        <f aca="false">Sens!J3684/Sens!J3685</f>
        <v>25.5549262102361</v>
      </c>
      <c r="K3686" s="8" t="n">
        <f aca="false">Sens!K3684/Sens!K3685</f>
        <v>27.4417047321893</v>
      </c>
      <c r="L3686" s="1" t="s">
        <v>1083</v>
      </c>
    </row>
    <row r="3687" customFormat="false" ht="17.15" hidden="false" customHeight="false" outlineLevel="0" collapsed="false">
      <c r="A3687" s="1" t="s">
        <v>1084</v>
      </c>
      <c r="B3687" s="0" t="s">
        <v>98</v>
      </c>
      <c r="D3687" s="6" t="n">
        <f aca="false">Sens!D3684</f>
        <v>101.832</v>
      </c>
      <c r="E3687" s="6" t="n">
        <f aca="false">Sens!E3684</f>
        <v>133.749</v>
      </c>
      <c r="F3687" s="6" t="n">
        <f aca="false">Sens!F3684+Sens!F3677*(1-tax_f)</f>
        <v>137.004162388746</v>
      </c>
      <c r="G3687" s="6" t="n">
        <f aca="false">Sens!G3684+Sens!G3677*(1-tax_f)</f>
        <v>147.286563307495</v>
      </c>
      <c r="H3687" s="6" t="n">
        <f aca="false">Sens!H3684+Sens!H3677*(1-tax_f)</f>
        <v>161.801947244569</v>
      </c>
      <c r="I3687" s="6" t="n">
        <f aca="false">Sens!I3684+Sens!I3677*(1-tax_f)</f>
        <v>179.11381274629</v>
      </c>
      <c r="J3687" s="6" t="n">
        <f aca="false">Sens!J3684+Sens!J3677*(1-tax_f)</f>
        <v>195.104349536211</v>
      </c>
      <c r="K3687" s="6" t="n">
        <f aca="false">Sens!K3684+Sens!K3677*(1-tax_f)</f>
        <v>209.649132932178</v>
      </c>
    </row>
    <row r="3688" customFormat="false" ht="17.15" hidden="false" customHeight="false" outlineLevel="0" collapsed="false">
      <c r="A3688" s="0" t="s">
        <v>1085</v>
      </c>
      <c r="B3688" s="0" t="s">
        <v>75</v>
      </c>
      <c r="D3688" s="8" t="n">
        <f aca="false">Sens!D3687/Sens!D3685</f>
        <v>13.641259209645</v>
      </c>
      <c r="E3688" s="8" t="n">
        <f aca="false">Sens!E3687/Sens!E3685</f>
        <v>17.9456594659869</v>
      </c>
      <c r="F3688" s="8" t="n">
        <f aca="false">Sens!F3687/Sens!F3685</f>
        <v>18.331994699772</v>
      </c>
      <c r="G3688" s="8" t="n">
        <f aca="false">Sens!G3687/Sens!G3685</f>
        <v>19.6386904159623</v>
      </c>
      <c r="H3688" s="8" t="n">
        <f aca="false">Sens!H3687/Sens!H3685</f>
        <v>21.5482183375846</v>
      </c>
      <c r="I3688" s="8" t="n">
        <f aca="false">Sens!I3687/Sens!I3685</f>
        <v>23.8167008905416</v>
      </c>
      <c r="J3688" s="8" t="n">
        <f aca="false">Sens!J3687/Sens!J3685</f>
        <v>25.8942384477963</v>
      </c>
      <c r="K3688" s="8" t="n">
        <f aca="false">Sens!K3687/Sens!K3685</f>
        <v>27.7640621957683</v>
      </c>
      <c r="L3688" s="1" t="s">
        <v>1086</v>
      </c>
    </row>
    <row r="3689" customFormat="false" ht="17.15" hidden="false" customHeight="false" outlineLevel="0" collapsed="false">
      <c r="A3689" s="0" t="s">
        <v>1087</v>
      </c>
      <c r="B3689" s="0" t="s">
        <v>168</v>
      </c>
      <c r="E3689" s="7" t="n">
        <f aca="false">Sens!E3688/Sens!D3688-1</f>
        <v>0.315542736208578</v>
      </c>
      <c r="F3689" s="7" t="n">
        <f aca="false">Sens!F3688/Sens!E3688-1</f>
        <v>0.021528060003446</v>
      </c>
      <c r="G3689" s="7" t="n">
        <f aca="false">Sens!G3688/Sens!F3688-1</f>
        <v>0.0712795163641702</v>
      </c>
      <c r="H3689" s="7" t="n">
        <f aca="false">Sens!H3688/Sens!G3688-1</f>
        <v>0.0972329560259386</v>
      </c>
      <c r="I3689" s="7" t="n">
        <f aca="false">Sens!I3688/Sens!H3688-1</f>
        <v>0.105274715404209</v>
      </c>
      <c r="J3689" s="7" t="n">
        <f aca="false">Sens!J3688/Sens!I3688-1</f>
        <v>0.0872302829347706</v>
      </c>
      <c r="K3689" s="7" t="n">
        <f aca="false">Sens!K3688/Sens!J3688-1</f>
        <v>0.0722100304954558</v>
      </c>
    </row>
    <row r="3690" customFormat="false" ht="17.15" hidden="false" customHeight="false" outlineLevel="0" collapsed="false">
      <c r="A3690" s="0" t="s">
        <v>1007</v>
      </c>
      <c r="B3690" s="0" t="s">
        <v>98</v>
      </c>
      <c r="E3690" s="6" t="n">
        <f aca="false">Sens!E3631</f>
        <v>5.25</v>
      </c>
      <c r="F3690" s="6" t="n">
        <f aca="false">Sens!F3631</f>
        <v>10.5</v>
      </c>
      <c r="G3690" s="6" t="n">
        <f aca="false">Sens!G3631</f>
        <v>13.5</v>
      </c>
      <c r="H3690" s="6" t="n">
        <f aca="false">Sens!H3631</f>
        <v>16.5</v>
      </c>
      <c r="I3690" s="6" t="n">
        <f aca="false">Sens!I3631</f>
        <v>18.75</v>
      </c>
      <c r="J3690" s="6" t="n">
        <f aca="false">Sens!J3631</f>
        <v>20.25</v>
      </c>
      <c r="K3690" s="6" t="n">
        <f aca="false">Sens!K3631</f>
        <v>21.75</v>
      </c>
    </row>
    <row r="3691" customFormat="false" ht="17.15" hidden="false" customHeight="false" outlineLevel="0" collapsed="false">
      <c r="A3691" s="1" t="s">
        <v>1008</v>
      </c>
      <c r="B3691" s="0" t="s">
        <v>98</v>
      </c>
      <c r="F3691" s="6" t="n">
        <f aca="false">MAX(0,((Sens!E3591+Sens!F3591)/2-(shadow_base*(Sens!$D$3591+Sens!$E$3591)/2+(1-shadow_base)*Sens!$E$3591))*Sens!F3600/1000-(Sens!F3690-Sens!$E$3690)*Sens!F3670)</f>
        <v>3.32169808276811</v>
      </c>
      <c r="G3691" s="6" t="n">
        <f aca="false">MAX(0,((Sens!F3591+Sens!G3591)/2-(shadow_base*(Sens!$D$3591+Sens!$E$3591)/2+(1-shadow_base)*Sens!$E$3591))*Sens!G3600/1000-(Sens!G3690-Sens!$E$3690)*Sens!G3670)</f>
        <v>4.83073330153996</v>
      </c>
      <c r="H3691" s="6" t="n">
        <f aca="false">MAX(0,((Sens!G3591+Sens!H3591)/2-(shadow_base*(Sens!$D$3591+Sens!$E$3591)/2+(1-shadow_base)*Sens!$E$3591))*Sens!H3600/1000-(Sens!H3690-Sens!$E$3690)*Sens!H3670)</f>
        <v>4.74830776187797</v>
      </c>
      <c r="I3691" s="6" t="n">
        <f aca="false">MAX(0,((Sens!H3591+Sens!I3591)/2-(shadow_base*(Sens!$D$3591+Sens!$E$3591)/2+(1-shadow_base)*Sens!$E$3591))*Sens!I3600/1000-(Sens!I3690-Sens!$E$3690)*Sens!I3670)</f>
        <v>3.69811128440021</v>
      </c>
      <c r="J3691" s="6" t="n">
        <f aca="false">MAX(0,((Sens!I3591+Sens!J3591)/2-(shadow_base*(Sens!$D$3591+Sens!$E$3591)/2+(1-shadow_base)*Sens!$E$3591))*Sens!J3600/1000-(Sens!J3690-Sens!$E$3690)*Sens!J3670)</f>
        <v>3.19575402518239</v>
      </c>
      <c r="K3691" s="6" t="n">
        <f aca="false">MAX(0,((Sens!J3591+Sens!K3591)/2-(shadow_base*(Sens!$D$3591+Sens!$E$3591)/2+(1-shadow_base)*Sens!$E$3591))*Sens!K3600/1000-(Sens!K3690-Sens!$E$3690)*Sens!K3670)</f>
        <v>3.04269068486014</v>
      </c>
      <c r="L3691" s="1" t="s">
        <v>1009</v>
      </c>
    </row>
    <row r="3692" customFormat="false" ht="17.15" hidden="false" customHeight="false" outlineLevel="0" collapsed="false">
      <c r="A3692" s="1" t="s">
        <v>1010</v>
      </c>
      <c r="B3692" s="0" t="s">
        <v>98</v>
      </c>
      <c r="F3692" s="6" t="n">
        <f aca="false">IF(internal_ai_reading=2,1,0)*Sens!F3691</f>
        <v>3.32169808276811</v>
      </c>
      <c r="G3692" s="6" t="n">
        <f aca="false">IF(internal_ai_reading=2,1,0)*Sens!G3691</f>
        <v>4.83073330153996</v>
      </c>
      <c r="H3692" s="6" t="n">
        <f aca="false">IF(internal_ai_reading=2,1,0)*Sens!H3691</f>
        <v>4.74830776187797</v>
      </c>
      <c r="I3692" s="6" t="n">
        <f aca="false">IF(internal_ai_reading=2,1,0)*Sens!I3691</f>
        <v>3.69811128440021</v>
      </c>
      <c r="J3692" s="6" t="n">
        <f aca="false">IF(internal_ai_reading=2,1,0)*Sens!J3691</f>
        <v>3.19575402518239</v>
      </c>
      <c r="K3692" s="6" t="n">
        <f aca="false">IF(internal_ai_reading=2,1,0)*Sens!K3691</f>
        <v>3.04269068486014</v>
      </c>
    </row>
    <row r="3693" customFormat="false" ht="17.15" hidden="false" customHeight="false" outlineLevel="0" collapsed="false">
      <c r="A3693" s="0" t="s">
        <v>1011</v>
      </c>
      <c r="B3693" s="0" t="s">
        <v>98</v>
      </c>
      <c r="F3693" s="6" t="n">
        <f aca="false">Sens!F3610+Sens!F3690*Sens!F3670+Sens!F3692-Sens!F3611-Sens!F3622</f>
        <v>4.98878044407102</v>
      </c>
      <c r="G3693" s="6" t="n">
        <f aca="false">Sens!G3610+Sens!G3690*Sens!G3670+Sens!G3692-Sens!G3611-Sens!G3622</f>
        <v>3.51482170410556</v>
      </c>
      <c r="H3693" s="6" t="n">
        <f aca="false">Sens!H3610+Sens!H3690*Sens!H3670+Sens!H3692-Sens!H3611-Sens!H3622</f>
        <v>-0.0993762851216644</v>
      </c>
      <c r="I3693" s="6" t="n">
        <f aca="false">Sens!I3610+Sens!I3690*Sens!I3670+Sens!I3692-Sens!I3611-Sens!I3622</f>
        <v>0.29494831530549</v>
      </c>
      <c r="J3693" s="6" t="n">
        <f aca="false">Sens!J3610+Sens!J3690*Sens!J3670+Sens!J3692-Sens!J3611-Sens!J3622</f>
        <v>0.338178922330961</v>
      </c>
      <c r="K3693" s="6" t="n">
        <f aca="false">Sens!K3610+Sens!K3690*Sens!K3670+Sens!K3692-Sens!K3611-Sens!K3622</f>
        <v>0.687097192223561</v>
      </c>
    </row>
    <row r="3694" customFormat="false" ht="17.15" hidden="false" customHeight="false" outlineLevel="0" collapsed="false">
      <c r="A3694" s="0" t="s">
        <v>1012</v>
      </c>
      <c r="B3694" s="0" t="s">
        <v>98</v>
      </c>
      <c r="E3694" s="6" t="n">
        <f aca="false">Sens!E3590*(cxit_open+self_build*tk_cxfac)/1000*ai_net_open</f>
        <v>126.6980382</v>
      </c>
      <c r="F3694" s="6" t="n">
        <f aca="false">Sens!E3694+Sens!F3619-Sens!F3622</f>
        <v>131.822683147</v>
      </c>
      <c r="G3694" s="6" t="n">
        <f aca="false">Sens!F3694+Sens!G3619-Sens!G3622</f>
        <v>136.850809452</v>
      </c>
      <c r="H3694" s="6" t="n">
        <f aca="false">Sens!G3694+Sens!H3619-Sens!H3622</f>
        <v>105.173224535</v>
      </c>
      <c r="I3694" s="6" t="n">
        <f aca="false">Sens!H3694+Sens!I3619-Sens!I3622</f>
        <v>102.104104363972</v>
      </c>
      <c r="J3694" s="6" t="n">
        <f aca="false">Sens!I3694+Sens!J3619-Sens!J3622</f>
        <v>112.526579647528</v>
      </c>
      <c r="K3694" s="6" t="n">
        <f aca="false">Sens!J3694+Sens!K3619-Sens!K3622</f>
        <v>163.901717877611</v>
      </c>
      <c r="L3694" s="1" t="s">
        <v>1013</v>
      </c>
    </row>
    <row r="3695" customFormat="false" ht="17.15" hidden="false" customHeight="false" outlineLevel="0" collapsed="false">
      <c r="A3695" s="0" t="s">
        <v>1014</v>
      </c>
      <c r="B3695" s="0" t="s">
        <v>168</v>
      </c>
      <c r="F3695" s="7" t="n">
        <f aca="false">Sens!F3693*(1-tax_f)/((Sens!E3694+Sens!F3694)/2)</f>
        <v>0.0308758565616089</v>
      </c>
      <c r="G3695" s="7" t="n">
        <f aca="false">Sens!G3693*(1-tax_f)/((Sens!F3694+Sens!G3694)/2)</f>
        <v>0.0209314088716686</v>
      </c>
      <c r="H3695" s="7" t="n">
        <f aca="false">Sens!H3693*(1-tax_f)/((Sens!G3694+Sens!H3694)/2)</f>
        <v>-0.00065696804393899</v>
      </c>
      <c r="I3695" s="7" t="n">
        <f aca="false">Sens!I3693*(1-tax_f)/((Sens!H3694+Sens!I3694)/2)</f>
        <v>0.00227674346729351</v>
      </c>
      <c r="J3695" s="7" t="n">
        <f aca="false">Sens!J3693*(1-tax_f)/((Sens!I3694+Sens!J3694)/2)</f>
        <v>0.00252101081549247</v>
      </c>
      <c r="K3695" s="7" t="n">
        <f aca="false">Sens!K3693*(1-tax_f)/((Sens!J3694+Sens!K3694)/2)</f>
        <v>0.00397700060883861</v>
      </c>
    </row>
    <row r="3696" customFormat="false" ht="17.15" hidden="false" customHeight="false" outlineLevel="0" collapsed="false">
      <c r="A3696" s="1" t="s">
        <v>1015</v>
      </c>
      <c r="B3696" s="0" t="s">
        <v>168</v>
      </c>
      <c r="F3696" s="7" t="n">
        <f aca="false">(Sens!F3693-Sens!F3692)*(1-tax_f)/((Sens!E3694+Sens!F3694)/2)</f>
        <v>0.0103176711104114</v>
      </c>
      <c r="G3696" s="7" t="n">
        <f aca="false">(Sens!G3693-Sens!G3692)*(1-tax_f)/((Sens!F3694+Sens!G3694)/2)</f>
        <v>-0.00783649527732706</v>
      </c>
      <c r="H3696" s="7" t="n">
        <f aca="false">(Sens!H3693-Sens!H3692)*(1-tax_f)/((Sens!G3694+Sens!H3694)/2)</f>
        <v>-0.0320476208392429</v>
      </c>
      <c r="I3696" s="7" t="n">
        <f aca="false">(Sens!I3693-Sens!I3692)*(1-tax_f)/((Sens!H3694+Sens!I3694)/2)</f>
        <v>-0.0262694467333931</v>
      </c>
      <c r="J3696" s="7" t="n">
        <f aca="false">(Sens!J3693-Sens!J3692)*(1-tax_f)/((Sens!I3694+Sens!J3694)/2)</f>
        <v>-0.0213022671274593</v>
      </c>
      <c r="K3696" s="7" t="n">
        <f aca="false">(Sens!K3693-Sens!K3692)*(1-tax_f)/((Sens!J3694+Sens!K3694)/2)</f>
        <v>-0.0136344564647032</v>
      </c>
    </row>
    <row r="3697" customFormat="false" ht="17.15" hidden="false" customHeight="false" outlineLevel="0" collapsed="false">
      <c r="A3697" s="1" t="s">
        <v>1016</v>
      </c>
      <c r="B3697" s="0" t="s">
        <v>168</v>
      </c>
      <c r="F3697" s="7" t="n">
        <f aca="false">(Sens!F3693-Sens!F3692+Sens!F3691)*(1-tax_f)/((Sens!E3694+Sens!F3694)/2)</f>
        <v>0.0308758565616089</v>
      </c>
      <c r="G3697" s="7" t="n">
        <f aca="false">(Sens!G3693-Sens!G3692+Sens!G3691)*(1-tax_f)/((Sens!F3694+Sens!G3694)/2)</f>
        <v>0.0209314088716686</v>
      </c>
      <c r="H3697" s="7" t="n">
        <f aca="false">(Sens!H3693-Sens!H3692+Sens!H3691)*(1-tax_f)/((Sens!G3694+Sens!H3694)/2)</f>
        <v>-0.00065696804393899</v>
      </c>
      <c r="I3697" s="7" t="n">
        <f aca="false">(Sens!I3693-Sens!I3692+Sens!I3691)*(1-tax_f)/((Sens!H3694+Sens!I3694)/2)</f>
        <v>0.00227674346729351</v>
      </c>
      <c r="J3697" s="7" t="n">
        <f aca="false">(Sens!J3693-Sens!J3692+Sens!J3691)*(1-tax_f)/((Sens!I3694+Sens!J3694)/2)</f>
        <v>0.00252101081549247</v>
      </c>
      <c r="K3697" s="7" t="n">
        <f aca="false">(Sens!K3693-Sens!K3692+Sens!K3691)*(1-tax_f)/((Sens!J3694+Sens!K3694)/2)</f>
        <v>0.00397700060883861</v>
      </c>
    </row>
    <row r="3698" customFormat="false" ht="17.15" hidden="false" customHeight="false" outlineLevel="0" collapsed="false">
      <c r="A3698" s="1" t="s">
        <v>1017</v>
      </c>
      <c r="B3698" s="0" t="s">
        <v>168</v>
      </c>
      <c r="F3698" s="7" t="n">
        <f aca="false">Sens!F3623*(1-tax_f)/(Sens!F3609*(Sens!E3694+Sens!F3694)/2)</f>
        <v>0.106983470139441</v>
      </c>
      <c r="G3698" s="7" t="n">
        <f aca="false">Sens!G3623*(1-tax_f)/(Sens!G3609*(Sens!F3694+Sens!G3694)/2)</f>
        <v>0.0828495807398649</v>
      </c>
      <c r="H3698" s="7" t="n">
        <f aca="false">Sens!H3623*(1-tax_f)/(Sens!H3609*(Sens!G3694+Sens!H3694)/2)</f>
        <v>0.049671832874314</v>
      </c>
      <c r="I3698" s="7" t="n">
        <f aca="false">Sens!I3623*(1-tax_f)/(Sens!I3609*(Sens!H3694+Sens!I3694)/2)</f>
        <v>0.063617784443709</v>
      </c>
      <c r="J3698" s="7" t="n">
        <f aca="false">Sens!J3623*(1-tax_f)/(Sens!J3609*(Sens!I3694+Sens!J3694)/2)</f>
        <v>0.0655166442751414</v>
      </c>
      <c r="K3698" s="7" t="n">
        <f aca="false">Sens!K3623*(1-tax_f)/(Sens!K3609*(Sens!J3694+Sens!K3694)/2)</f>
        <v>0.0586829736915535</v>
      </c>
    </row>
    <row r="3699" customFormat="false" ht="17.15" hidden="false" customHeight="false" outlineLevel="0" collapsed="false">
      <c r="A3699" s="0" t="s">
        <v>1018</v>
      </c>
      <c r="B3699" s="0" t="s">
        <v>253</v>
      </c>
      <c r="F3699" s="7" t="n">
        <f aca="false">Sens!F3695-wacc</f>
        <v>-0.0720607343839884</v>
      </c>
      <c r="G3699" s="7" t="n">
        <f aca="false">Sens!G3695-wacc</f>
        <v>-0.0820051820739287</v>
      </c>
      <c r="H3699" s="7" t="n">
        <f aca="false">Sens!H3695-wacc</f>
        <v>-0.103593558989536</v>
      </c>
      <c r="I3699" s="7" t="n">
        <f aca="false">Sens!I3695-wacc</f>
        <v>-0.100659847478304</v>
      </c>
      <c r="J3699" s="7" t="n">
        <f aca="false">Sens!J3695-wacc</f>
        <v>-0.100415580130105</v>
      </c>
      <c r="K3699" s="7" t="n">
        <f aca="false">Sens!K3695-wacc</f>
        <v>-0.0989595903367587</v>
      </c>
    </row>
    <row r="3700" customFormat="false" ht="17.15" hidden="false" customHeight="false" outlineLevel="0" collapsed="false">
      <c r="A3700" s="0" t="s">
        <v>1019</v>
      </c>
      <c r="B3700" s="0" t="s">
        <v>98</v>
      </c>
      <c r="F3700" s="6" t="n">
        <f aca="false">Sens!F3693*(1-tax_f)-wacc*(Sens!E3694+Sens!F3694)/2</f>
        <v>-9.31459651687162</v>
      </c>
      <c r="G3700" s="6" t="n">
        <f aca="false">Sens!G3693*(1-tax_f)-wacc*(Sens!F3694+Sens!G3694)/2</f>
        <v>-11.0163093395097</v>
      </c>
      <c r="H3700" s="6" t="n">
        <f aca="false">Sens!H3693*(1-tax_f)-wacc*(Sens!G3694+Sens!H3694)/2</f>
        <v>-12.5360655208589</v>
      </c>
      <c r="I3700" s="6" t="n">
        <f aca="false">Sens!I3693*(1-tax_f)-wacc*(Sens!H3694+Sens!I3694)/2</f>
        <v>-10.4322521563404</v>
      </c>
      <c r="J3700" s="6" t="n">
        <f aca="false">Sens!J3693*(1-tax_f)-wacc*(Sens!I3694+Sens!J3694)/2</f>
        <v>-10.776132324368</v>
      </c>
      <c r="K3700" s="6" t="n">
        <f aca="false">Sens!K3693*(1-tax_f)-wacc*(Sens!J3694+Sens!K3694)/2</f>
        <v>-13.6776155402877</v>
      </c>
    </row>
    <row r="3701" customFormat="false" ht="17.15" hidden="false" customHeight="false" outlineLevel="0" collapsed="false">
      <c r="A3701" s="3" t="s">
        <v>1703</v>
      </c>
    </row>
    <row r="3702" customFormat="false" ht="15" hidden="false" customHeight="false" outlineLevel="0" collapsed="false">
      <c r="A3702" s="4" t="s">
        <v>43</v>
      </c>
      <c r="B3702" s="4" t="s">
        <v>65</v>
      </c>
      <c r="C3702" s="23" t="s">
        <v>942</v>
      </c>
      <c r="D3702" s="23" t="s">
        <v>943</v>
      </c>
      <c r="E3702" s="23" t="s">
        <v>944</v>
      </c>
      <c r="F3702" s="23" t="s">
        <v>945</v>
      </c>
      <c r="G3702" s="23" t="s">
        <v>946</v>
      </c>
      <c r="H3702" s="23" t="s">
        <v>947</v>
      </c>
      <c r="I3702" s="23" t="s">
        <v>948</v>
      </c>
      <c r="J3702" s="23" t="s">
        <v>949</v>
      </c>
      <c r="K3702" s="23" t="s">
        <v>950</v>
      </c>
      <c r="L3702" s="4" t="s">
        <v>47</v>
      </c>
    </row>
    <row r="3703" customFormat="false" ht="15" hidden="false" customHeight="false" outlineLevel="0" collapsed="false">
      <c r="A3703" s="1" t="s">
        <v>1080</v>
      </c>
      <c r="B3703" s="0" t="s">
        <v>98</v>
      </c>
      <c r="F3703" s="6" t="n">
        <f aca="false">Sens!F3684</f>
        <v>134.346803922532</v>
      </c>
      <c r="G3703" s="6" t="n">
        <f aca="false">Sens!G3684</f>
        <v>143.421976666263</v>
      </c>
      <c r="H3703" s="6" t="n">
        <f aca="false">Sens!H3684</f>
        <v>158.003301035066</v>
      </c>
      <c r="I3703" s="6" t="n">
        <f aca="false">Sens!I3684</f>
        <v>176.15532371877</v>
      </c>
      <c r="J3703" s="6" t="n">
        <f aca="false">Sens!J3684</f>
        <v>192.547746316066</v>
      </c>
      <c r="K3703" s="6" t="n">
        <f aca="false">Sens!K3684</f>
        <v>207.21498038429</v>
      </c>
    </row>
    <row r="3704" customFormat="false" ht="17.15" hidden="false" customHeight="false" outlineLevel="0" collapsed="false">
      <c r="A3704" s="1" t="s">
        <v>1102</v>
      </c>
      <c r="B3704" s="0" t="s">
        <v>98</v>
      </c>
      <c r="E3704" s="6" t="n">
        <f aca="false">Q!M38-Sens!E3622</f>
        <v>22.2285940229167</v>
      </c>
      <c r="F3704" s="6" t="n">
        <f aca="false">Sens!E3704*(1-1/life_nonai)+(Sens!F3712+Sens!F3713)/life_nonai</f>
        <v>37.458367358225</v>
      </c>
      <c r="G3704" s="6" t="n">
        <f aca="false">Sens!F3704*(1-1/life_nonai)+(Sens!G3712)/life_nonai</f>
        <v>37.8971931807589</v>
      </c>
      <c r="H3704" s="6" t="n">
        <f aca="false">Sens!G3704*(1-1/life_nonai)+(Sens!H3712)/life_nonai</f>
        <v>38.8470034950136</v>
      </c>
      <c r="I3704" s="6" t="n">
        <f aca="false">Sens!H3704*(1-1/life_nonai)+(Sens!I3712)/life_nonai</f>
        <v>40.2363776179593</v>
      </c>
      <c r="J3704" s="6" t="n">
        <f aca="false">Sens!I3704*(1-1/life_nonai)+(Sens!J3712)/life_nonai</f>
        <v>41.976670284337</v>
      </c>
      <c r="K3704" s="6" t="n">
        <f aca="false">Sens!J3704*(1-1/life_nonai)+(Sens!K3712)/life_nonai</f>
        <v>43.9704272663843</v>
      </c>
      <c r="L3704" s="12" t="s">
        <v>1103</v>
      </c>
    </row>
    <row r="3705" customFormat="false" ht="17.15" hidden="false" customHeight="false" outlineLevel="0" collapsed="false">
      <c r="A3705" s="1" t="s">
        <v>1104</v>
      </c>
      <c r="B3705" s="0" t="s">
        <v>98</v>
      </c>
      <c r="F3705" s="6" t="n">
        <f aca="false">Sens!$F$3713/life_nonai*(1-1/life_nonai)^(Sens!F3585-2027)</f>
        <v>13.8140066594294</v>
      </c>
      <c r="G3705" s="6" t="n">
        <f aca="false">Sens!$F$3713/life_nonai*(1-1/life_nonai)^(Sens!G3585-2027)</f>
        <v>12.4326059934865</v>
      </c>
      <c r="H3705" s="6" t="n">
        <f aca="false">Sens!$F$3713/life_nonai*(1-1/life_nonai)^(Sens!H3585-2027)</f>
        <v>11.1893453941378</v>
      </c>
      <c r="I3705" s="6" t="n">
        <f aca="false">Sens!$F$3713/life_nonai*(1-1/life_nonai)^(Sens!I3585-2027)</f>
        <v>10.0704108547241</v>
      </c>
      <c r="J3705" s="6" t="n">
        <f aca="false">Sens!$F$3713/life_nonai*(1-1/life_nonai)^(Sens!J3585-2027)</f>
        <v>9.06336976925165</v>
      </c>
      <c r="K3705" s="6" t="n">
        <f aca="false">Sens!$F$3713/life_nonai*(1-1/life_nonai)^(Sens!K3585-2027)</f>
        <v>8.15703279232649</v>
      </c>
      <c r="L3705" s="1" t="s">
        <v>1105</v>
      </c>
    </row>
    <row r="3706" customFormat="false" ht="17.15" hidden="false" customHeight="false" outlineLevel="0" collapsed="false">
      <c r="A3706" s="1" t="s">
        <v>1106</v>
      </c>
      <c r="B3706" s="0" t="s">
        <v>98</v>
      </c>
      <c r="E3706" s="6" t="n">
        <f aca="false">Sens!E3622+Sens!E3704</f>
        <v>38.534</v>
      </c>
      <c r="F3706" s="6" t="n">
        <f aca="false">Sens!F3622+Sens!F3704</f>
        <v>62.007395035225</v>
      </c>
      <c r="G3706" s="6" t="n">
        <f aca="false">Sens!G3622+Sens!G3704</f>
        <v>67.0828260037589</v>
      </c>
      <c r="H3706" s="6" t="n">
        <f aca="false">Sens!H3622+Sens!H3704</f>
        <v>70.5245884120136</v>
      </c>
      <c r="I3706" s="6" t="n">
        <f aca="false">Sens!I3622+Sens!I3704</f>
        <v>72.4662425489871</v>
      </c>
      <c r="J3706" s="6" t="n">
        <f aca="false">Sens!J3622+Sens!J3704</f>
        <v>75.5928707607814</v>
      </c>
      <c r="K3706" s="6" t="n">
        <f aca="false">Sens!K3622+Sens!K3704</f>
        <v>80.0775233163009</v>
      </c>
    </row>
    <row r="3707" customFormat="false" ht="17.15" hidden="false" customHeight="false" outlineLevel="0" collapsed="false">
      <c r="A3707" s="1" t="s">
        <v>1107</v>
      </c>
      <c r="B3707" s="0" t="s">
        <v>98</v>
      </c>
      <c r="F3707" s="6" t="n">
        <f aca="false">Sens!F3649*sbc_r</f>
        <v>14.3733372521203</v>
      </c>
      <c r="G3707" s="6" t="n">
        <f aca="false">Sens!G3649*sbc_r</f>
        <v>15.9508977871648</v>
      </c>
      <c r="H3707" s="6" t="n">
        <f aca="false">Sens!H3649*sbc_r</f>
        <v>17.3854028915498</v>
      </c>
      <c r="I3707" s="6" t="n">
        <f aca="false">Sens!I3649*sbc_r</f>
        <v>18.8700470966675</v>
      </c>
      <c r="J3707" s="6" t="n">
        <f aca="false">Sens!J3649*sbc_r</f>
        <v>20.2710479973254</v>
      </c>
      <c r="K3707" s="6" t="n">
        <f aca="false">Sens!K3649*sbc_r</f>
        <v>21.5928535358532</v>
      </c>
    </row>
    <row r="3708" customFormat="false" ht="17.15" hidden="false" customHeight="false" outlineLevel="0" collapsed="false">
      <c r="A3708" s="1" t="s">
        <v>1108</v>
      </c>
      <c r="B3708" s="0" t="s">
        <v>98</v>
      </c>
      <c r="F3708" s="6" t="n">
        <f aca="false">wc27-wc26q1</f>
        <v>-4.677</v>
      </c>
      <c r="G3708" s="6" t="n">
        <f aca="false">wc_f</f>
        <v>0</v>
      </c>
      <c r="H3708" s="6" t="n">
        <f aca="false">wc_f</f>
        <v>0</v>
      </c>
      <c r="I3708" s="6" t="n">
        <f aca="false">wc_f</f>
        <v>0</v>
      </c>
      <c r="J3708" s="6" t="n">
        <f aca="false">wc_f</f>
        <v>0</v>
      </c>
      <c r="K3708" s="6" t="n">
        <f aca="false">wc_f</f>
        <v>0</v>
      </c>
      <c r="L3708" s="12" t="s">
        <v>1109</v>
      </c>
    </row>
    <row r="3709" customFormat="false" ht="17.15" hidden="false" customHeight="false" outlineLevel="0" collapsed="false">
      <c r="A3709" s="0" t="s">
        <v>1110</v>
      </c>
      <c r="B3709" s="0" t="s">
        <v>98</v>
      </c>
      <c r="F3709" s="6" t="n">
        <f aca="false">Q!$I$35-Q!$I$26-Q!$I$38-Q!$I$39</f>
        <v>6.493</v>
      </c>
      <c r="L3709" s="1" t="s">
        <v>1111</v>
      </c>
    </row>
    <row r="3710" customFormat="false" ht="15" hidden="false" customHeight="false" outlineLevel="0" collapsed="false">
      <c r="A3710" s="1" t="s">
        <v>908</v>
      </c>
      <c r="B3710" s="0" t="s">
        <v>98</v>
      </c>
      <c r="E3710" s="6" t="n">
        <f aca="false">Q!M35</f>
        <v>182.935</v>
      </c>
      <c r="F3710" s="6" t="n">
        <f aca="false">Sens!F3703+Sens!F3706+Sens!F3707+Sens!F3708+Sens!F3709</f>
        <v>212.543536209877</v>
      </c>
      <c r="G3710" s="6" t="n">
        <f aca="false">Sens!G3703+Sens!G3706+Sens!G3707+Sens!G3708</f>
        <v>226.455700457186</v>
      </c>
      <c r="H3710" s="6" t="n">
        <f aca="false">Sens!H3703+Sens!H3706+Sens!H3707+Sens!H3708</f>
        <v>245.91329233863</v>
      </c>
      <c r="I3710" s="6" t="n">
        <f aca="false">Sens!I3703+Sens!I3706+Sens!I3707+Sens!I3708</f>
        <v>267.491613364424</v>
      </c>
      <c r="J3710" s="6" t="n">
        <f aca="false">Sens!J3703+Sens!J3706+Sens!J3707+Sens!J3708</f>
        <v>288.411665074172</v>
      </c>
      <c r="K3710" s="6" t="n">
        <f aca="false">Sens!K3703+Sens!K3706+Sens!K3707+Sens!K3708</f>
        <v>308.885357236444</v>
      </c>
    </row>
    <row r="3711" customFormat="false" ht="17.15" hidden="false" customHeight="false" outlineLevel="0" collapsed="false">
      <c r="A3711" s="0" t="s">
        <v>1112</v>
      </c>
      <c r="B3711" s="0" t="s">
        <v>98</v>
      </c>
      <c r="F3711" s="6" t="n">
        <f aca="false">Sens!F3619</f>
        <v>29.673672624</v>
      </c>
      <c r="G3711" s="6" t="n">
        <f aca="false">Sens!G3619</f>
        <v>34.213759128</v>
      </c>
      <c r="H3711" s="6" t="n">
        <f aca="false">Sens!H3619</f>
        <v>0</v>
      </c>
      <c r="I3711" s="6" t="n">
        <f aca="false">Sens!I3619</f>
        <v>29.16074476</v>
      </c>
      <c r="J3711" s="6" t="n">
        <f aca="false">Sens!J3619</f>
        <v>44.03867576</v>
      </c>
      <c r="K3711" s="6" t="n">
        <f aca="false">Sens!K3619</f>
        <v>87.48223428</v>
      </c>
    </row>
    <row r="3712" customFormat="false" ht="17.15" hidden="false" customHeight="false" outlineLevel="0" collapsed="false">
      <c r="A3712" s="1" t="s">
        <v>1113</v>
      </c>
      <c r="B3712" s="0" t="s">
        <v>98</v>
      </c>
      <c r="E3712" s="6" t="n">
        <f aca="false">Sens!E3627*cx_azo+Sens!E3634*cx_m365+Sens!E3635*cx_lic+(Sens!E3637+Sens!E3639)*cx_ind+Sens!E3642*cx_srch+(Sens!E3644+Sens!E3646)*cx_dev</f>
        <v>30.1846587067718</v>
      </c>
      <c r="F3712" s="6" t="n">
        <f aca="false">Sens!F3627*cx_azo+Sens!F3634*cx_m365+Sens!F3635*cx_lic+(Sens!F3637+Sens!F3639)*cx_ind+Sens!F3642*cx_srch+(Sens!F3644+Sens!F3646)*cx_dev</f>
        <v>36.3862607817056</v>
      </c>
      <c r="G3712" s="6" t="n">
        <f aca="false">Sens!G3627*cx_azo+Sens!G3634*cx_m365+Sens!G3635*cx_lic+(Sens!G3637+Sens!G3639)*cx_ind+Sens!G3642*cx_srch+(Sens!G3644+Sens!G3646)*cx_dev</f>
        <v>41.8466255835643</v>
      </c>
      <c r="H3712" s="6" t="n">
        <f aca="false">Sens!H3627*cx_azo+Sens!H3634*cx_m365+Sens!H3635*cx_lic+(Sens!H3637+Sens!H3639)*cx_ind+Sens!H3642*cx_srch+(Sens!H3644+Sens!H3646)*cx_dev</f>
        <v>47.3952963233052</v>
      </c>
      <c r="I3712" s="6" t="n">
        <f aca="false">Sens!I3627*cx_azo+Sens!I3634*cx_m365+Sens!I3635*cx_lic+(Sens!I3637+Sens!I3639)*cx_ind+Sens!I3642*cx_srch+(Sens!I3644+Sens!I3646)*cx_dev</f>
        <v>52.7407447244711</v>
      </c>
      <c r="J3712" s="6" t="n">
        <f aca="false">Sens!J3627*cx_azo+Sens!J3634*cx_m365+Sens!J3635*cx_lic+(Sens!J3637+Sens!J3639)*cx_ind+Sens!J3642*cx_srch+(Sens!J3644+Sens!J3646)*cx_dev</f>
        <v>57.6393042817356</v>
      </c>
      <c r="K3712" s="6" t="n">
        <f aca="false">Sens!K3627*cx_azo+Sens!K3634*cx_m365+Sens!K3635*cx_lic+(Sens!K3637+Sens!K3639)*cx_ind+Sens!K3642*cx_srch+(Sens!K3644+Sens!K3646)*cx_dev</f>
        <v>61.9142401048102</v>
      </c>
    </row>
    <row r="3713" customFormat="false" ht="17.15" hidden="false" customHeight="false" outlineLevel="0" collapsed="false">
      <c r="A3713" s="0" t="s">
        <v>1114</v>
      </c>
      <c r="B3713" s="0" t="s">
        <v>98</v>
      </c>
      <c r="F3713" s="6" t="n">
        <f aca="false">Sens!F3617</f>
        <v>138.140066594294</v>
      </c>
      <c r="L3713" s="1" t="s">
        <v>1115</v>
      </c>
    </row>
    <row r="3714" customFormat="false" ht="17.15" hidden="false" customHeight="false" outlineLevel="0" collapsed="false">
      <c r="A3714" s="1" t="s">
        <v>1116</v>
      </c>
      <c r="B3714" s="0" t="s">
        <v>98</v>
      </c>
      <c r="E3714" s="6" t="n">
        <f aca="false">Q!M43</f>
        <v>145.3</v>
      </c>
      <c r="F3714" s="6" t="n">
        <f aca="false">Sens!F3711+Sens!F3712+Sens!F3713</f>
        <v>204.2</v>
      </c>
      <c r="G3714" s="6" t="n">
        <f aca="false">Sens!G3711+Sens!G3712</f>
        <v>76.0603847115643</v>
      </c>
      <c r="H3714" s="6" t="n">
        <f aca="false">Sens!H3711+Sens!H3712</f>
        <v>47.3952963233052</v>
      </c>
      <c r="I3714" s="6" t="n">
        <f aca="false">Sens!I3711+Sens!I3712</f>
        <v>81.9014894844711</v>
      </c>
      <c r="J3714" s="6" t="n">
        <f aca="false">Sens!J3711+Sens!J3712</f>
        <v>101.677980041736</v>
      </c>
      <c r="K3714" s="6" t="n">
        <f aca="false">Sens!K3711+Sens!K3712</f>
        <v>149.39647438481</v>
      </c>
      <c r="L3714" s="1" t="s">
        <v>1117</v>
      </c>
    </row>
    <row r="3715" customFormat="false" ht="15" hidden="false" customHeight="false" outlineLevel="0" collapsed="false">
      <c r="A3715" s="1" t="s">
        <v>1118</v>
      </c>
      <c r="B3715" s="0" t="s">
        <v>98</v>
      </c>
      <c r="E3715" s="6" t="n">
        <f aca="false">fl_liab</f>
        <v>66.594</v>
      </c>
      <c r="F3715" s="6" t="n">
        <f aca="false">Sens!E3715-Sens!F3716</f>
        <v>62.46973</v>
      </c>
      <c r="G3715" s="6" t="n">
        <f aca="false">Sens!F3715-Sens!G3716</f>
        <v>57.98686785</v>
      </c>
      <c r="H3715" s="6" t="n">
        <f aca="false">Sens!G3715-Sens!H3716</f>
        <v>53.92827690325</v>
      </c>
      <c r="I3715" s="6" t="n">
        <f aca="false">Sens!H3715-Sens!I3716</f>
        <v>49.7850493638962</v>
      </c>
      <c r="J3715" s="6" t="n">
        <f aca="false">Sens!I3715-Sens!J3716</f>
        <v>45.4823765852716</v>
      </c>
      <c r="K3715" s="6" t="n">
        <f aca="false">Sens!J3715-Sens!K3716</f>
        <v>40.9860835316088</v>
      </c>
    </row>
    <row r="3716" customFormat="false" ht="15" hidden="false" customHeight="false" outlineLevel="0" collapsed="false">
      <c r="A3716" s="1" t="s">
        <v>1119</v>
      </c>
      <c r="B3716" s="0" t="s">
        <v>98</v>
      </c>
      <c r="F3716" s="6" t="n">
        <f aca="false">fl_pay_27-Sens!E3715*fl_rate</f>
        <v>4.12427</v>
      </c>
      <c r="G3716" s="6" t="n">
        <f aca="false">fl_pay_28-Sens!F3715*fl_rate</f>
        <v>4.48286215</v>
      </c>
      <c r="H3716" s="6" t="n">
        <f aca="false">fl_pay_29-Sens!G3715*fl_rate</f>
        <v>4.05859094675</v>
      </c>
      <c r="I3716" s="6" t="n">
        <f aca="false">fl_pay_30-Sens!H3715*fl_rate</f>
        <v>4.14322753935375</v>
      </c>
      <c r="J3716" s="6" t="n">
        <f aca="false">fl_pay_31-Sens!I3715*fl_rate</f>
        <v>4.30267277862467</v>
      </c>
      <c r="K3716" s="6" t="n">
        <f aca="false">fl_pay_32-Sens!J3715*fl_rate</f>
        <v>4.49629305366278</v>
      </c>
    </row>
    <row r="3717" customFormat="false" ht="17.15" hidden="false" customHeight="false" outlineLevel="0" collapsed="false">
      <c r="A3717" s="1" t="s">
        <v>1120</v>
      </c>
      <c r="B3717" s="0" t="s">
        <v>98</v>
      </c>
      <c r="E3717" s="6" t="n">
        <f aca="false">Q!M35-Q!M36-Q!M44</f>
        <v>63.886</v>
      </c>
      <c r="F3717" s="6" t="n">
        <f aca="false">Sens!F3710-Sens!F3714-Sens!F3716</f>
        <v>4.21926620987702</v>
      </c>
      <c r="G3717" s="6" t="n">
        <f aca="false">Sens!G3710-Sens!G3714-Sens!G3716</f>
        <v>145.912453595622</v>
      </c>
      <c r="H3717" s="6" t="n">
        <f aca="false">Sens!H3710-Sens!H3714-Sens!H3716</f>
        <v>194.459405068574</v>
      </c>
      <c r="I3717" s="6" t="n">
        <f aca="false">Sens!I3710-Sens!I3714-Sens!I3716</f>
        <v>181.4468963406</v>
      </c>
      <c r="J3717" s="6" t="n">
        <f aca="false">Sens!J3710-Sens!J3714-Sens!J3716</f>
        <v>182.431012253812</v>
      </c>
      <c r="K3717" s="6" t="n">
        <f aca="false">Sens!K3710-Sens!K3714-Sens!K3716</f>
        <v>154.992589797971</v>
      </c>
      <c r="L3717" s="12" t="s">
        <v>1121</v>
      </c>
    </row>
    <row r="3718" customFormat="false" ht="15" hidden="false" customHeight="false" outlineLevel="0" collapsed="false">
      <c r="A3718" s="1" t="s">
        <v>1122</v>
      </c>
      <c r="B3718" s="0" t="s">
        <v>75</v>
      </c>
      <c r="F3718" s="8" t="n">
        <f aca="false">dps_27</f>
        <v>3.85</v>
      </c>
      <c r="G3718" s="8" t="n">
        <f aca="false">Sens!F3718*(1+dps_g)</f>
        <v>4.158</v>
      </c>
      <c r="H3718" s="8" t="n">
        <f aca="false">Sens!G3718*(1+dps_g)</f>
        <v>4.49064</v>
      </c>
      <c r="I3718" s="8" t="n">
        <f aca="false">Sens!H3718*(1+dps_g)</f>
        <v>4.8498912</v>
      </c>
      <c r="J3718" s="8" t="n">
        <f aca="false">Sens!I3718*(1+dps_g)</f>
        <v>5.237882496</v>
      </c>
      <c r="K3718" s="8" t="n">
        <f aca="false">Sens!J3718*(1+dps_g)</f>
        <v>5.65691309568</v>
      </c>
    </row>
    <row r="3719" customFormat="false" ht="17.15" hidden="false" customHeight="false" outlineLevel="0" collapsed="false">
      <c r="A3719" s="1" t="s">
        <v>1123</v>
      </c>
      <c r="B3719" s="0" t="s">
        <v>98</v>
      </c>
      <c r="E3719" s="6" t="n">
        <f aca="false">Q!M41</f>
        <v>26.445</v>
      </c>
      <c r="F3719" s="6" t="n">
        <f aca="false">Sens!F3718*Sens!E3728</f>
        <v>28.59395</v>
      </c>
      <c r="G3719" s="6" t="n">
        <f aca="false">Sens!G3718*Sens!F3728</f>
        <v>31.068576</v>
      </c>
      <c r="H3719" s="6" t="n">
        <f aca="false">Sens!H3718*Sens!G3728</f>
        <v>33.5883340530727</v>
      </c>
      <c r="I3719" s="6" t="n">
        <f aca="false">Sens!I3718*Sens!H3728</f>
        <v>36.3258390543911</v>
      </c>
      <c r="J3719" s="6" t="n">
        <f aca="false">Sens!J3718*Sens!I3728</f>
        <v>39.299804064135</v>
      </c>
      <c r="K3719" s="6" t="n">
        <f aca="false">Sens!K3718*Sens!J3728</f>
        <v>42.5305426516441</v>
      </c>
      <c r="L3719" s="1" t="s">
        <v>1124</v>
      </c>
    </row>
    <row r="3720" customFormat="false" ht="15" hidden="false" customHeight="false" outlineLevel="0" collapsed="false">
      <c r="A3720" s="1" t="s">
        <v>1125</v>
      </c>
      <c r="B3720" s="0" t="s">
        <v>98</v>
      </c>
      <c r="E3720" s="6" t="n">
        <f aca="false">Sens!E3717-Sens!E3719</f>
        <v>37.441</v>
      </c>
      <c r="F3720" s="6" t="n">
        <f aca="false">Sens!F3717-Sens!F3719</f>
        <v>-24.374683790123</v>
      </c>
      <c r="G3720" s="6" t="n">
        <f aca="false">Sens!G3717-Sens!G3719</f>
        <v>114.843877595622</v>
      </c>
      <c r="H3720" s="6" t="n">
        <f aca="false">Sens!H3717-Sens!H3719</f>
        <v>160.871071015502</v>
      </c>
      <c r="I3720" s="6" t="n">
        <f aca="false">Sens!I3717-Sens!I3719</f>
        <v>145.121057286208</v>
      </c>
      <c r="J3720" s="6" t="n">
        <f aca="false">Sens!J3717-Sens!J3719</f>
        <v>143.131208189677</v>
      </c>
      <c r="K3720" s="6" t="n">
        <f aca="false">Sens!K3717-Sens!K3719</f>
        <v>112.462047146327</v>
      </c>
    </row>
    <row r="3721" customFormat="false" ht="15" hidden="false" customHeight="false" outlineLevel="0" collapsed="false">
      <c r="A3721" s="1" t="s">
        <v>1126</v>
      </c>
      <c r="B3721" s="0" t="s">
        <v>98</v>
      </c>
      <c r="F3721" s="6" t="n">
        <f aca="false">debt_mat_27</f>
        <v>9.25</v>
      </c>
      <c r="G3721" s="6" t="n">
        <f aca="false">debt_mat_28</f>
        <v>0</v>
      </c>
      <c r="H3721" s="6" t="n">
        <f aca="false">debt_mat_29</f>
        <v>2.001</v>
      </c>
      <c r="I3721" s="6" t="n">
        <f aca="false">debt_mat_30</f>
        <v>0</v>
      </c>
      <c r="J3721" s="6" t="n">
        <f aca="false">debt_mat_31</f>
        <v>0.5</v>
      </c>
      <c r="K3721" s="6" t="n">
        <f aca="false">debt_mat_32</f>
        <v>0</v>
      </c>
    </row>
    <row r="3722" customFormat="false" ht="15" hidden="false" customHeight="false" outlineLevel="0" collapsed="false">
      <c r="A3722" s="1" t="s">
        <v>1127</v>
      </c>
      <c r="B3722" s="0" t="s">
        <v>98</v>
      </c>
      <c r="E3722" s="6" t="n">
        <f aca="false">Q!M40</f>
        <v>22.271</v>
      </c>
      <c r="F3722" s="6" t="n">
        <f aca="false">MAX(0,MIN(bb_target,Sens!E3724+Sens!F3720-Sens!F3721-min_cash))</f>
        <v>0</v>
      </c>
      <c r="G3722" s="6" t="n">
        <f aca="false">MAX(0,MIN(bb_target,Sens!F3724+Sens!G3720-Sens!G3721-min_cash))</f>
        <v>22.271</v>
      </c>
      <c r="H3722" s="6" t="n">
        <f aca="false">MAX(0,MIN(bb_target,Sens!G3724+Sens!H3720-Sens!H3721-min_cash))</f>
        <v>22.271</v>
      </c>
      <c r="I3722" s="6" t="n">
        <f aca="false">MAX(0,MIN(bb_target,Sens!H3724+Sens!I3720-Sens!I3721-min_cash))</f>
        <v>22.271</v>
      </c>
      <c r="J3722" s="6" t="n">
        <f aca="false">MAX(0,MIN(bb_target,Sens!I3724+Sens!J3720-Sens!J3721-min_cash))</f>
        <v>22.271</v>
      </c>
      <c r="K3722" s="6" t="n">
        <f aca="false">MAX(0,MIN(bb_target,Sens!J3724+Sens!K3720-Sens!K3721-min_cash))</f>
        <v>22.271</v>
      </c>
    </row>
    <row r="3723" customFormat="false" ht="15" hidden="false" customHeight="false" outlineLevel="0" collapsed="false">
      <c r="A3723" s="1" t="s">
        <v>1128</v>
      </c>
      <c r="B3723" s="0" t="s">
        <v>98</v>
      </c>
      <c r="F3723" s="6" t="n">
        <f aca="false">MAX(0,min_cash-(Sens!E3724+Sens!F3720-Sens!F3721-Sens!F3722))</f>
        <v>6.78168379012298</v>
      </c>
      <c r="G3723" s="6" t="n">
        <f aca="false">MAX(0,min_cash-(Sens!F3724+Sens!G3720-Sens!G3721-Sens!G3722))</f>
        <v>0</v>
      </c>
      <c r="H3723" s="6" t="n">
        <f aca="false">MAX(0,min_cash-(Sens!G3724+Sens!H3720-Sens!H3721-Sens!H3722))</f>
        <v>0</v>
      </c>
      <c r="I3723" s="6" t="n">
        <f aca="false">MAX(0,min_cash-(Sens!H3724+Sens!I3720-Sens!I3721-Sens!I3722))</f>
        <v>0</v>
      </c>
      <c r="J3723" s="6" t="n">
        <f aca="false">MAX(0,min_cash-(Sens!I3724+Sens!J3720-Sens!J3721-Sens!J3722))</f>
        <v>0</v>
      </c>
      <c r="K3723" s="6" t="n">
        <f aca="false">MAX(0,min_cash-(Sens!J3724+Sens!K3720-Sens!K3721-Sens!K3722))</f>
        <v>0</v>
      </c>
    </row>
    <row r="3724" customFormat="false" ht="15" hidden="false" customHeight="false" outlineLevel="0" collapsed="false">
      <c r="A3724" s="1" t="s">
        <v>1129</v>
      </c>
      <c r="B3724" s="0" t="s">
        <v>98</v>
      </c>
      <c r="E3724" s="6" t="n">
        <f aca="false">cash_open</f>
        <v>76.843</v>
      </c>
      <c r="F3724" s="6" t="n">
        <f aca="false">Sens!E3724+Sens!F3720-Sens!F3721-Sens!F3722+Sens!F3723</f>
        <v>50</v>
      </c>
      <c r="G3724" s="6" t="n">
        <f aca="false">Sens!F3724+Sens!G3720-Sens!G3721-Sens!G3722+Sens!G3723</f>
        <v>142.572877595622</v>
      </c>
      <c r="H3724" s="6" t="n">
        <f aca="false">Sens!G3724+Sens!H3720-Sens!H3721-Sens!H3722+Sens!H3723</f>
        <v>279.171948611124</v>
      </c>
      <c r="I3724" s="6" t="n">
        <f aca="false">Sens!H3724+Sens!I3720-Sens!I3721-Sens!I3722+Sens!I3723</f>
        <v>402.022005897332</v>
      </c>
      <c r="J3724" s="6" t="n">
        <f aca="false">Sens!I3724+Sens!J3720-Sens!J3721-Sens!J3722+Sens!J3723</f>
        <v>522.382214087009</v>
      </c>
      <c r="K3724" s="6" t="n">
        <f aca="false">Sens!J3724+Sens!K3720-Sens!K3721-Sens!K3722+Sens!K3723</f>
        <v>612.573261233336</v>
      </c>
    </row>
    <row r="3725" customFormat="false" ht="15" hidden="false" customHeight="false" outlineLevel="0" collapsed="false">
      <c r="A3725" s="1" t="s">
        <v>1130</v>
      </c>
      <c r="B3725" s="0" t="s">
        <v>98</v>
      </c>
      <c r="E3725" s="6" t="n">
        <f aca="false">debt_face</f>
        <v>46.136</v>
      </c>
      <c r="F3725" s="6" t="n">
        <f aca="false">Sens!E3725-Sens!F3721+Sens!F3723</f>
        <v>43.667683790123</v>
      </c>
      <c r="G3725" s="6" t="n">
        <f aca="false">Sens!F3725-Sens!G3721+Sens!G3723</f>
        <v>43.667683790123</v>
      </c>
      <c r="H3725" s="6" t="n">
        <f aca="false">Sens!G3725-Sens!H3721+Sens!H3723</f>
        <v>41.666683790123</v>
      </c>
      <c r="I3725" s="6" t="n">
        <f aca="false">Sens!H3725-Sens!I3721+Sens!I3723</f>
        <v>41.666683790123</v>
      </c>
      <c r="J3725" s="6" t="n">
        <f aca="false">Sens!I3725-Sens!J3721+Sens!J3723</f>
        <v>41.166683790123</v>
      </c>
      <c r="K3725" s="6" t="n">
        <f aca="false">Sens!J3725-Sens!K3721+Sens!K3723</f>
        <v>41.166683790123</v>
      </c>
    </row>
    <row r="3726" customFormat="false" ht="15" hidden="false" customHeight="false" outlineLevel="0" collapsed="false">
      <c r="A3726" s="1" t="s">
        <v>1131</v>
      </c>
      <c r="B3726" s="0" t="s">
        <v>98</v>
      </c>
      <c r="E3726" s="6" t="n">
        <f aca="false">Sens!E3724-Sens!E3725</f>
        <v>30.707</v>
      </c>
      <c r="F3726" s="6" t="n">
        <f aca="false">Sens!F3724-Sens!F3725</f>
        <v>6.33231620987701</v>
      </c>
      <c r="G3726" s="6" t="n">
        <f aca="false">Sens!G3724-Sens!G3725</f>
        <v>98.9051938054992</v>
      </c>
      <c r="H3726" s="6" t="n">
        <f aca="false">Sens!H3724-Sens!H3725</f>
        <v>237.505264821001</v>
      </c>
      <c r="I3726" s="6" t="n">
        <f aca="false">Sens!I3724-Sens!I3725</f>
        <v>360.355322107209</v>
      </c>
      <c r="J3726" s="6" t="n">
        <f aca="false">Sens!J3724-Sens!J3725</f>
        <v>481.215530296886</v>
      </c>
      <c r="K3726" s="6" t="n">
        <f aca="false">Sens!K3724-Sens!K3725</f>
        <v>571.406577443213</v>
      </c>
    </row>
    <row r="3727" customFormat="false" ht="15" hidden="false" customHeight="false" outlineLevel="0" collapsed="false">
      <c r="A3727" s="1" t="s">
        <v>1132</v>
      </c>
      <c r="B3727" s="0" t="s">
        <v>75</v>
      </c>
      <c r="F3727" s="30" t="n">
        <f aca="false">px*(1+bb_g)^(Sens!F3585-base_fy-mid_yr)</f>
        <v>551.84177959629</v>
      </c>
      <c r="G3727" s="30" t="n">
        <f aca="false">px*(1+bb_g)^(Sens!G3585-base_fy-mid_yr)</f>
        <v>595.989121963993</v>
      </c>
      <c r="H3727" s="30" t="n">
        <f aca="false">px*(1+bb_g)^(Sens!H3585-base_fy-mid_yr)</f>
        <v>643.668251721112</v>
      </c>
      <c r="I3727" s="30" t="n">
        <f aca="false">px*(1+bb_g)^(Sens!I3585-base_fy-mid_yr)</f>
        <v>695.161711858801</v>
      </c>
      <c r="J3727" s="30" t="n">
        <f aca="false">px*(1+bb_g)^(Sens!J3585-base_fy-mid_yr)</f>
        <v>750.774648807506</v>
      </c>
      <c r="K3727" s="30" t="n">
        <f aca="false">px*(1+bb_g)^(Sens!K3585-base_fy-mid_yr)</f>
        <v>810.836620712106</v>
      </c>
    </row>
    <row r="3728" customFormat="false" ht="15" hidden="false" customHeight="false" outlineLevel="0" collapsed="false">
      <c r="A3728" s="1" t="s">
        <v>1133</v>
      </c>
      <c r="B3728" s="1" t="s">
        <v>81</v>
      </c>
      <c r="E3728" s="15" t="n">
        <f aca="false">sh_out26</f>
        <v>7.427</v>
      </c>
      <c r="F3728" s="15" t="n">
        <f aca="false">Sens!E3728+sh_iss-Sens!F3722/Sens!F3727</f>
        <v>7.472</v>
      </c>
      <c r="G3728" s="15" t="n">
        <f aca="false">Sens!F3728+sh_iss-Sens!G3722/Sens!G3727</f>
        <v>7.47963186830221</v>
      </c>
      <c r="H3728" s="15" t="n">
        <f aca="false">Sens!G3728+sh_iss-Sens!H3722/Sens!H3727</f>
        <v>7.49003174635981</v>
      </c>
      <c r="I3728" s="15" t="n">
        <f aca="false">Sens!H3728+sh_iss-Sens!I3722/Sens!I3727</f>
        <v>7.50299459641315</v>
      </c>
      <c r="J3728" s="15" t="n">
        <f aca="false">Sens!I3728+sh_iss-Sens!J3722/Sens!J3727</f>
        <v>7.51833056868476</v>
      </c>
      <c r="K3728" s="15" t="n">
        <f aca="false">Sens!J3728+sh_iss-Sens!K3722/Sens!K3727</f>
        <v>7.53586387634365</v>
      </c>
    </row>
    <row r="3729" customFormat="false" ht="15" hidden="false" customHeight="false" outlineLevel="0" collapsed="false">
      <c r="A3729" s="1" t="s">
        <v>1134</v>
      </c>
      <c r="B3729" s="1" t="s">
        <v>81</v>
      </c>
      <c r="E3729" s="15" t="n">
        <f aca="false">sh_dil26</f>
        <v>7.453</v>
      </c>
      <c r="F3729" s="15" t="n">
        <f aca="false">(Sens!E3728+Sens!F3728)/2+dil_gap</f>
        <v>7.4735</v>
      </c>
      <c r="G3729" s="15" t="n">
        <f aca="false">(Sens!F3728+Sens!G3728)/2+dil_gap</f>
        <v>7.49981593415111</v>
      </c>
      <c r="H3729" s="15" t="n">
        <f aca="false">(Sens!G3728+Sens!H3728)/2+dil_gap</f>
        <v>7.50883180733101</v>
      </c>
      <c r="I3729" s="15" t="n">
        <f aca="false">(Sens!H3728+Sens!I3728)/2+dil_gap</f>
        <v>7.52051317138648</v>
      </c>
      <c r="J3729" s="15" t="n">
        <f aca="false">(Sens!I3728+Sens!J3728)/2+dil_gap</f>
        <v>7.53466258254895</v>
      </c>
      <c r="K3729" s="15" t="n">
        <f aca="false">(Sens!J3728+Sens!K3728)/2+dil_gap</f>
        <v>7.55109722251421</v>
      </c>
    </row>
    <row r="3730" customFormat="false" ht="17.15" hidden="false" customHeight="false" outlineLevel="0" collapsed="false">
      <c r="A3730" s="1" t="s">
        <v>1135</v>
      </c>
      <c r="B3730" s="0" t="s">
        <v>98</v>
      </c>
      <c r="C3730" s="6" t="n">
        <f aca="false">SUM(Sens!F3720:J3720)</f>
        <v>539.592530296886</v>
      </c>
    </row>
    <row r="3731" customFormat="false" ht="15" hidden="false" customHeight="false" outlineLevel="0" collapsed="false">
      <c r="A3731" s="26" t="s">
        <v>1100</v>
      </c>
      <c r="B3731" s="31" t="s">
        <v>98</v>
      </c>
      <c r="C3731" s="27" t="n">
        <f aca="false">Sens!$C$3730-(Sens!F3720+Sens!G3720+Sens!H3720+Sens!I3720+Sens!J3720)</f>
        <v>0</v>
      </c>
      <c r="D3731" s="31"/>
      <c r="E3731" s="31"/>
      <c r="F3731" s="31"/>
      <c r="G3731" s="31"/>
      <c r="H3731" s="31"/>
      <c r="I3731" s="31"/>
      <c r="J3731" s="31"/>
      <c r="K3731" s="31"/>
    </row>
    <row r="3732" customFormat="false" ht="17.15" hidden="false" customHeight="false" outlineLevel="0" collapsed="false">
      <c r="A3732" s="1" t="s">
        <v>1094</v>
      </c>
      <c r="B3732" s="1" t="s">
        <v>1136</v>
      </c>
      <c r="C3732" s="33" t="str">
        <f aca="false">IF(SUM(Sens!F3723:J3723)&gt;0.05,"需要舉債 "&amp;TEXT(SUM(Sens!F3723:J3723),"0.0")&amp;" 十億美元","不需舉債")&amp;"；"&amp;IF(SUM(Sens!F3722:J3722)&lt;COUNT(Sens!F3722:J3722)*bb_target-0.05,"回購較每年 "&amp;TEXT(bb_target,"0.0")&amp;" 的目標少 "&amp;TEXT(COUNT(Sens!F3722:J3722)*bb_target-SUM(Sens!F3722:J3722),"0.0")&amp;" 十億美元（"&amp;TEXT(COUNTIF(Sens!F3722:J3722,"&lt;"&amp;(bb_target-0.05)),"0")&amp;" 年減少）","回購不減")</f>
        <v>需要舉債 6.8 十億美元；回購較每年 22.3 的目標少 22.3 十億美元（1 年減少）</v>
      </c>
    </row>
    <row r="3733" customFormat="false" ht="17.15" hidden="false" customHeight="false" outlineLevel="0" collapsed="false">
      <c r="A3733" s="3" t="s">
        <v>1704</v>
      </c>
    </row>
    <row r="3734" customFormat="false" ht="15" hidden="false" customHeight="false" outlineLevel="0" collapsed="false">
      <c r="A3734" s="4" t="s">
        <v>43</v>
      </c>
      <c r="B3734" s="4" t="s">
        <v>65</v>
      </c>
      <c r="C3734" s="23" t="s">
        <v>942</v>
      </c>
      <c r="D3734" s="23" t="s">
        <v>943</v>
      </c>
      <c r="E3734" s="23" t="s">
        <v>944</v>
      </c>
      <c r="F3734" s="23" t="s">
        <v>945</v>
      </c>
      <c r="G3734" s="23" t="s">
        <v>946</v>
      </c>
      <c r="H3734" s="23" t="s">
        <v>947</v>
      </c>
      <c r="I3734" s="23" t="s">
        <v>948</v>
      </c>
      <c r="J3734" s="23" t="s">
        <v>949</v>
      </c>
      <c r="K3734" s="23" t="s">
        <v>950</v>
      </c>
      <c r="L3734" s="4" t="s">
        <v>47</v>
      </c>
    </row>
    <row r="3735" customFormat="false" ht="17.15" hidden="false" customHeight="false" outlineLevel="0" collapsed="false">
      <c r="A3735" s="1" t="s">
        <v>1216</v>
      </c>
      <c r="B3735" s="1" t="s">
        <v>279</v>
      </c>
      <c r="F3735" s="8" t="n">
        <f aca="false">(1-v_off)*mid_yr</f>
        <v>0.373972602739726</v>
      </c>
      <c r="G3735" s="8" t="n">
        <f aca="false">Sens!G3585-base_fy-mid_yr-v_off</f>
        <v>1.24794520547945</v>
      </c>
      <c r="H3735" s="8" t="n">
        <f aca="false">Sens!H3585-base_fy-mid_yr-v_off</f>
        <v>2.24794520547945</v>
      </c>
      <c r="I3735" s="8" t="n">
        <f aca="false">Sens!I3585-base_fy-mid_yr-v_off</f>
        <v>3.24794520547945</v>
      </c>
      <c r="J3735" s="8" t="n">
        <f aca="false">Sens!J3585-base_fy-mid_yr-v_off</f>
        <v>4.24794520547945</v>
      </c>
      <c r="K3735" s="8" t="n">
        <f aca="false">Sens!K3585-base_fy-mid_yr-v_off</f>
        <v>5.24794520547945</v>
      </c>
      <c r="L3735" s="12" t="s">
        <v>1217</v>
      </c>
    </row>
    <row r="3736" customFormat="false" ht="15" hidden="false" customHeight="false" outlineLevel="0" collapsed="false">
      <c r="A3736" s="1" t="s">
        <v>1218</v>
      </c>
      <c r="B3736" s="1" t="s">
        <v>279</v>
      </c>
      <c r="F3736" s="8" t="n">
        <f aca="false">Sens!F3585-base_fy-v_off</f>
        <v>0.747945205479452</v>
      </c>
      <c r="G3736" s="8" t="n">
        <f aca="false">Sens!G3585-base_fy-v_off</f>
        <v>1.74794520547945</v>
      </c>
      <c r="H3736" s="8" t="n">
        <f aca="false">Sens!H3585-base_fy-v_off</f>
        <v>2.74794520547945</v>
      </c>
      <c r="I3736" s="8" t="n">
        <f aca="false">Sens!I3585-base_fy-v_off</f>
        <v>3.74794520547945</v>
      </c>
      <c r="J3736" s="8" t="n">
        <f aca="false">Sens!J3585-base_fy-v_off</f>
        <v>4.74794520547945</v>
      </c>
      <c r="K3736" s="8" t="n">
        <f aca="false">Sens!K3585-base_fy-v_off</f>
        <v>5.74794520547945</v>
      </c>
    </row>
    <row r="3737" customFormat="false" ht="15" hidden="false" customHeight="false" outlineLevel="0" collapsed="false">
      <c r="A3737" s="1" t="s">
        <v>1219</v>
      </c>
      <c r="B3737" s="0" t="s">
        <v>229</v>
      </c>
      <c r="F3737" s="15" t="n">
        <f aca="false">1/(1+wacc)^Sens!F3735</f>
        <v>0.964022703286649</v>
      </c>
      <c r="G3737" s="15" t="n">
        <f aca="false">1/(1+wacc)^Sens!G3735</f>
        <v>0.884910302296739</v>
      </c>
      <c r="H3737" s="15" t="n">
        <f aca="false">1/(1+wacc)^Sens!H3735</f>
        <v>0.802322009770358</v>
      </c>
      <c r="I3737" s="15" t="n">
        <f aca="false">1/(1+wacc)^Sens!I3735</f>
        <v>0.727441646561469</v>
      </c>
      <c r="J3737" s="15" t="n">
        <f aca="false">1/(1+wacc)^Sens!J3735</f>
        <v>0.659549834988973</v>
      </c>
      <c r="K3737" s="15" t="n">
        <f aca="false">1/(1+wacc)^Sens!K3735</f>
        <v>0.597994336576966</v>
      </c>
    </row>
    <row r="3738" customFormat="false" ht="17.15" hidden="false" customHeight="false" outlineLevel="0" collapsed="false">
      <c r="A3738" s="1" t="s">
        <v>1220</v>
      </c>
      <c r="B3738" s="0" t="s">
        <v>98</v>
      </c>
      <c r="F3738" s="6" t="n">
        <f aca="false">Q!$I$35-Q!$I$39-Q!$I$43</f>
        <v>9.666</v>
      </c>
      <c r="L3738" s="12" t="s">
        <v>1221</v>
      </c>
    </row>
    <row r="3739" customFormat="false" ht="17.15" hidden="false" customHeight="false" outlineLevel="0" collapsed="false">
      <c r="A3739" s="1" t="s">
        <v>1222</v>
      </c>
      <c r="B3739" s="0" t="s">
        <v>98</v>
      </c>
      <c r="F3739" s="6" t="n">
        <f aca="false">Sens!F3710-Sens!F3707-Sens!F3714+Sens!F3692*(1-tax_f)*(1-v_off)-Sens!F3738</f>
        <v>-13.7082425181979</v>
      </c>
      <c r="G3739" s="6" t="n">
        <f aca="false">Sens!G3710-Sens!G3707-Sens!G3714+Sens!G3692*(1-tax_f)</f>
        <v>138.309004599689</v>
      </c>
      <c r="H3739" s="6" t="n">
        <f aca="false">Sens!H3710-Sens!H3707-Sens!H3714+Sens!H3692*(1-tax_f)</f>
        <v>184.931239333277</v>
      </c>
      <c r="I3739" s="6" t="n">
        <f aca="false">Sens!I3710-Sens!I3707-Sens!I3714+Sens!I3692*(1-tax_f)</f>
        <v>169.678565810806</v>
      </c>
      <c r="J3739" s="6" t="n">
        <f aca="false">Sens!J3710-Sens!J3707-Sens!J3714+Sens!J3692*(1-tax_f)</f>
        <v>169.019240255257</v>
      </c>
      <c r="K3739" s="6" t="n">
        <f aca="false">Sens!K3710-Sens!K3707-Sens!K3714+Sens!K3692*(1-tax_f)</f>
        <v>140.330181863668</v>
      </c>
      <c r="L3739" s="1" t="s">
        <v>1223</v>
      </c>
    </row>
    <row r="3740" customFormat="false" ht="15" hidden="false" customHeight="false" outlineLevel="0" collapsed="false">
      <c r="A3740" s="1" t="s">
        <v>1224</v>
      </c>
      <c r="B3740" s="0" t="s">
        <v>98</v>
      </c>
      <c r="F3740" s="6" t="n">
        <f aca="false">Sens!F3739*Sens!F3737</f>
        <v>-13.2150570097021</v>
      </c>
      <c r="G3740" s="6" t="n">
        <f aca="false">Sens!G3739*Sens!G3737</f>
        <v>122.391063070672</v>
      </c>
      <c r="H3740" s="6" t="n">
        <f aca="false">Sens!H3739*Sens!H3737</f>
        <v>148.374403611198</v>
      </c>
      <c r="I3740" s="6" t="n">
        <f aca="false">Sens!I3739*Sens!I3737</f>
        <v>123.431255299601</v>
      </c>
      <c r="J3740" s="6" t="n">
        <f aca="false">Sens!J3739*Sens!J3737</f>
        <v>111.476612020316</v>
      </c>
      <c r="K3740" s="6" t="n">
        <f aca="false">Sens!K3739*Sens!K3737</f>
        <v>83.9166540052893</v>
      </c>
    </row>
    <row r="3741" customFormat="false" ht="17.15" hidden="false" customHeight="false" outlineLevel="0" collapsed="false">
      <c r="A3741" s="1" t="s">
        <v>1225</v>
      </c>
      <c r="B3741" s="0" t="s">
        <v>98</v>
      </c>
      <c r="C3741" s="6" t="n">
        <f aca="false">SUM(Sens!F3740:K3740)</f>
        <v>576.374930997375</v>
      </c>
    </row>
    <row r="3742" customFormat="false" ht="17.15" hidden="false" customHeight="false" outlineLevel="0" collapsed="false">
      <c r="A3742" s="1" t="s">
        <v>1226</v>
      </c>
      <c r="B3742" s="0" t="s">
        <v>98</v>
      </c>
      <c r="C3742" s="6" t="n">
        <f aca="false">Sens!K3678*(1+g_tv)*(1-tax_f)</f>
        <v>216.927406920143</v>
      </c>
    </row>
    <row r="3743" customFormat="false" ht="17.15" hidden="false" customHeight="false" outlineLevel="0" collapsed="false">
      <c r="A3743" s="1" t="s">
        <v>1227</v>
      </c>
      <c r="B3743" s="0" t="s">
        <v>98</v>
      </c>
      <c r="C3743" s="6" t="n">
        <f aca="false">Sens!$C$3742*(1-g_tv/(wacc+ronic_prem))</f>
        <v>153.705746402517</v>
      </c>
    </row>
    <row r="3744" customFormat="false" ht="17.15" hidden="false" customHeight="false" outlineLevel="0" collapsed="false">
      <c r="A3744" s="1" t="s">
        <v>1228</v>
      </c>
      <c r="B3744" s="0" t="s">
        <v>98</v>
      </c>
      <c r="C3744" s="6" t="n">
        <f aca="false">Sens!$C$3743/(wacc-g_tv)</f>
        <v>2107.38868392087</v>
      </c>
    </row>
    <row r="3745" customFormat="false" ht="15" hidden="false" customHeight="false" outlineLevel="0" collapsed="false">
      <c r="A3745" s="1" t="s">
        <v>1229</v>
      </c>
      <c r="B3745" s="0" t="s">
        <v>98</v>
      </c>
      <c r="C3745" s="6" t="n">
        <f aca="false">Sens!$C$3744/(1+wacc)^Sens!K3736</f>
        <v>1199.95909581678</v>
      </c>
    </row>
    <row r="3746" customFormat="false" ht="17.15" hidden="false" customHeight="false" outlineLevel="0" collapsed="false">
      <c r="A3746" s="0" t="s">
        <v>1230</v>
      </c>
      <c r="B3746" s="0" t="s">
        <v>98</v>
      </c>
      <c r="C3746" s="6" t="n">
        <f aca="false">Sens!$C$3741+Sens!$C$3745</f>
        <v>1776.33402681415</v>
      </c>
    </row>
    <row r="3747" customFormat="false" ht="15" hidden="false" customHeight="false" outlineLevel="0" collapsed="false">
      <c r="A3747" s="1" t="s">
        <v>1145</v>
      </c>
      <c r="B3747" s="0" t="s">
        <v>168</v>
      </c>
      <c r="C3747" s="7" t="n">
        <f aca="false">Sens!$C$3745/Sens!$C$3746</f>
        <v>0.675525592429763</v>
      </c>
    </row>
    <row r="3748" customFormat="false" ht="17.15" hidden="false" customHeight="false" outlineLevel="0" collapsed="false">
      <c r="A3748" s="1" t="s">
        <v>1231</v>
      </c>
      <c r="B3748" s="0" t="s">
        <v>98</v>
      </c>
      <c r="C3748" s="6" t="n">
        <f aca="false">Sens!$C$3746+cash_val-debt_val-fl_val+oai_v</f>
        <v>1892.18502681415</v>
      </c>
    </row>
    <row r="3749" customFormat="false" ht="17.15" hidden="false" customHeight="false" outlineLevel="0" collapsed="false">
      <c r="A3749" s="0" t="s">
        <v>1153</v>
      </c>
      <c r="B3749" s="0" t="s">
        <v>75</v>
      </c>
      <c r="C3749" s="5" t="n">
        <f aca="false">Sens!$C$3748/shd_val</f>
        <v>254.121008167359</v>
      </c>
    </row>
    <row r="3750" customFormat="false" ht="15" hidden="false" customHeight="false" outlineLevel="0" collapsed="false">
      <c r="A3750" s="1" t="s">
        <v>1232</v>
      </c>
      <c r="B3750" s="0" t="s">
        <v>75</v>
      </c>
      <c r="C3750" s="8" t="n">
        <f aca="false">div_rem27+Sens!G3718*roll_div_q/q_per_yr</f>
        <v>3.9795</v>
      </c>
    </row>
    <row r="3751" customFormat="false" ht="17.15" hidden="false" customHeight="false" outlineLevel="0" collapsed="false">
      <c r="A3751" s="0" t="s">
        <v>1233</v>
      </c>
      <c r="B3751" s="0" t="s">
        <v>75</v>
      </c>
      <c r="C3751" s="5" t="n">
        <f aca="false">Sens!$C$3749*(1+wacc)^t_roll-Sens!$C$3750</f>
        <v>278.490183260505</v>
      </c>
    </row>
    <row r="3752" customFormat="false" ht="17.15" hidden="false" customHeight="false" outlineLevel="0" collapsed="false">
      <c r="A3752" s="1" t="s">
        <v>1234</v>
      </c>
      <c r="B3752" s="0" t="s">
        <v>168</v>
      </c>
      <c r="F3752" s="7" t="n">
        <f aca="false">Sens!F3704/(Sens!F3649-Sens!F3604)</f>
        <v>0.108177737857631</v>
      </c>
      <c r="G3752" s="7" t="n">
        <f aca="false">Sens!G3704/(Sens!G3649-Sens!G3604)</f>
        <v>0.0982891563402672</v>
      </c>
      <c r="H3752" s="7" t="n">
        <f aca="false">Sens!H3704/(Sens!H3649-Sens!H3604)</f>
        <v>0.0912602205424856</v>
      </c>
      <c r="I3752" s="7" t="n">
        <f aca="false">Sens!I3704/(Sens!I3649-Sens!I3604)</f>
        <v>0.0866163453176461</v>
      </c>
      <c r="J3752" s="7" t="n">
        <f aca="false">Sens!J3704/(Sens!J3649-Sens!J3604)</f>
        <v>0.0838316059702677</v>
      </c>
      <c r="K3752" s="7" t="n">
        <f aca="false">Sens!K3704/(Sens!K3649-Sens!K3604)</f>
        <v>0.0824143965668911</v>
      </c>
    </row>
    <row r="3753" customFormat="false" ht="17.15" hidden="false" customHeight="false" outlineLevel="0" collapsed="false">
      <c r="A3753" s="0" t="s">
        <v>1235</v>
      </c>
      <c r="B3753" s="0" t="s">
        <v>98</v>
      </c>
      <c r="F3753" s="6" t="n">
        <f aca="false">Sens!F3634*(al_m365+Sens!F3752+sbc_r)</f>
        <v>87.5573773987304</v>
      </c>
      <c r="G3753" s="6" t="n">
        <f aca="false">Sens!G3634*(al_m365+Sens!G3752+sbc_r)</f>
        <v>97.5466598616462</v>
      </c>
      <c r="H3753" s="6" t="n">
        <f aca="false">Sens!H3634*(al_m365+Sens!H3752+sbc_r)</f>
        <v>107.718043671489</v>
      </c>
      <c r="I3753" s="6" t="n">
        <f aca="false">Sens!I3634*(al_m365+Sens!I3752+sbc_r)</f>
        <v>117.393288430689</v>
      </c>
      <c r="J3753" s="6" t="n">
        <f aca="false">Sens!J3634*(al_m365+Sens!J3752+sbc_r)</f>
        <v>126.392302333988</v>
      </c>
      <c r="K3753" s="6" t="n">
        <f aca="false">Sens!K3634*(al_m365+Sens!K3752+sbc_r)</f>
        <v>135.033396203543</v>
      </c>
      <c r="L3753" s="12" t="s">
        <v>1236</v>
      </c>
    </row>
    <row r="3754" customFormat="false" ht="17.15" hidden="false" customHeight="false" outlineLevel="0" collapsed="false">
      <c r="A3754" s="0" t="s">
        <v>1237</v>
      </c>
      <c r="B3754" s="0" t="s">
        <v>98</v>
      </c>
      <c r="F3754" s="6" t="n">
        <f aca="false">Sens!F3635*(al_lic+Sens!F3752+sbc_r)</f>
        <v>34.3762117985167</v>
      </c>
      <c r="G3754" s="6" t="n">
        <f aca="false">Sens!G3635*(al_lic+Sens!G3752+sbc_r)</f>
        <v>35.4362005420265</v>
      </c>
      <c r="H3754" s="6" t="n">
        <f aca="false">Sens!H3635*(al_lic+Sens!H3752+sbc_r)</f>
        <v>36.4472029817648</v>
      </c>
      <c r="I3754" s="6" t="n">
        <f aca="false">Sens!I3635*(al_lic+Sens!I3752+sbc_r)</f>
        <v>37.3847018642724</v>
      </c>
      <c r="J3754" s="6" t="n">
        <f aca="false">Sens!J3635*(al_lic+Sens!J3752+sbc_r)</f>
        <v>38.2190665310661</v>
      </c>
      <c r="K3754" s="6" t="n">
        <f aca="false">Sens!K3635*(al_lic+Sens!K3752+sbc_r)</f>
        <v>38.9200332509219</v>
      </c>
    </row>
    <row r="3755" customFormat="false" ht="17.15" hidden="false" customHeight="false" outlineLevel="0" collapsed="false">
      <c r="A3755" s="0" t="s">
        <v>1238</v>
      </c>
      <c r="B3755" s="0" t="s">
        <v>98</v>
      </c>
      <c r="F3755" s="6" t="n">
        <f aca="false">Sens!F3637*(al_ind+Sens!F3752+sbc_r)</f>
        <v>9.94320426334936</v>
      </c>
      <c r="G3755" s="6" t="n">
        <f aca="false">Sens!G3637*(al_ind+Sens!G3752+sbc_r)</f>
        <v>10.627928956782</v>
      </c>
      <c r="H3755" s="6" t="n">
        <f aca="false">Sens!H3637*(al_ind+Sens!H3752+sbc_r)</f>
        <v>11.3697608677774</v>
      </c>
      <c r="I3755" s="6" t="n">
        <f aca="false">Sens!I3637*(al_ind+Sens!I3752+sbc_r)</f>
        <v>12.1638752630046</v>
      </c>
      <c r="J3755" s="6" t="n">
        <f aca="false">Sens!J3637*(al_ind+Sens!J3752+sbc_r)</f>
        <v>12.999721658117</v>
      </c>
      <c r="K3755" s="6" t="n">
        <f aca="false">Sens!K3637*(al_ind+Sens!K3752+sbc_r)</f>
        <v>13.8629018500533</v>
      </c>
    </row>
    <row r="3756" customFormat="false" ht="17.15" hidden="false" customHeight="false" outlineLevel="0" collapsed="false">
      <c r="A3756" s="0" t="s">
        <v>1239</v>
      </c>
      <c r="B3756" s="0" t="s">
        <v>98</v>
      </c>
      <c r="F3756" s="6" t="n">
        <f aca="false">Sens!F3639*(al_fro+Sens!F3752+sbc_r)</f>
        <v>3.90031068680128</v>
      </c>
      <c r="G3756" s="6" t="n">
        <f aca="false">Sens!G3639*(al_fro+Sens!G3752+sbc_r)</f>
        <v>4.06655710190904</v>
      </c>
      <c r="H3756" s="6" t="n">
        <f aca="false">Sens!H3639*(al_fro+Sens!H3752+sbc_r)</f>
        <v>4.2698788346887</v>
      </c>
      <c r="I3756" s="6" t="n">
        <f aca="false">Sens!I3639*(al_fro+Sens!I3752+sbc_r)</f>
        <v>4.51143508730516</v>
      </c>
      <c r="J3756" s="6" t="n">
        <f aca="false">Sens!J3639*(al_fro+Sens!J3752+sbc_r)</f>
        <v>4.79137285964274</v>
      </c>
      <c r="K3756" s="6" t="n">
        <f aca="false">Sens!K3639*(al_fro+Sens!K3752+sbc_r)</f>
        <v>5.10951952873256</v>
      </c>
    </row>
    <row r="3757" customFormat="false" ht="17.15" hidden="false" customHeight="false" outlineLevel="0" collapsed="false">
      <c r="A3757" s="0" t="s">
        <v>1240</v>
      </c>
      <c r="B3757" s="0" t="s">
        <v>98</v>
      </c>
      <c r="F3757" s="6" t="n">
        <f aca="false">Sens!F3642*(al_srch+Sens!F3752+sbc_r)</f>
        <v>12.2792814319747</v>
      </c>
      <c r="G3757" s="6" t="n">
        <f aca="false">Sens!G3642*(al_srch+Sens!G3752+sbc_r)</f>
        <v>13.2487150889011</v>
      </c>
      <c r="H3757" s="6" t="n">
        <f aca="false">Sens!H3642*(al_srch+Sens!H3752+sbc_r)</f>
        <v>14.2743109424213</v>
      </c>
      <c r="I3757" s="6" t="n">
        <f aca="false">Sens!I3642*(al_srch+Sens!I3752+sbc_r)</f>
        <v>15.3441074202405</v>
      </c>
      <c r="J3757" s="6" t="n">
        <f aca="false">Sens!J3642*(al_srch+Sens!J3752+sbc_r)</f>
        <v>16.437790074854</v>
      </c>
      <c r="K3757" s="6" t="n">
        <f aca="false">Sens!K3642*(al_srch+Sens!K3752+sbc_r)</f>
        <v>17.5292576589282</v>
      </c>
    </row>
    <row r="3758" customFormat="false" ht="17.15" hidden="false" customHeight="false" outlineLevel="0" collapsed="false">
      <c r="A3758" s="0" t="s">
        <v>1241</v>
      </c>
      <c r="B3758" s="0" t="s">
        <v>98</v>
      </c>
      <c r="F3758" s="6" t="n">
        <f aca="false">Sens!F3610-Sens!F3611+Sens!F3692</f>
        <v>23.5427559368489</v>
      </c>
      <c r="G3758" s="6" t="n">
        <f aca="false">Sens!G3610-Sens!G3611+Sens!G3692</f>
        <v>24.9925302902486</v>
      </c>
      <c r="H3758" s="6" t="n">
        <f aca="false">Sens!H3610-Sens!H3611+Sens!H3692</f>
        <v>22.1574123423864</v>
      </c>
      <c r="I3758" s="6" t="n">
        <f aca="false">Sens!I3610-Sens!I3611+Sens!I3692</f>
        <v>21.8193629173652</v>
      </c>
      <c r="J3758" s="6" t="n">
        <f aca="false">Sens!J3610-Sens!J3611+Sens!J3692</f>
        <v>22.3924930434899</v>
      </c>
      <c r="K3758" s="6" t="n">
        <f aca="false">Sens!K3610-Sens!K3611+Sens!K3692</f>
        <v>24.3758708605373</v>
      </c>
    </row>
    <row r="3759" customFormat="false" ht="17.15" hidden="false" customHeight="false" outlineLevel="0" collapsed="false">
      <c r="A3759" s="0" t="s">
        <v>1242</v>
      </c>
      <c r="B3759" s="0" t="s">
        <v>98</v>
      </c>
      <c r="F3759" s="6" t="n">
        <f aca="false">Sens!F3671+Sens!F3692+Sens!F3622+Sens!F3752*(Sens!F3641-Sens!F3604)+sbc_r*Sens!F3641</f>
        <v>219.487358805911</v>
      </c>
      <c r="G3759" s="6" t="n">
        <f aca="false">Sens!G3671+Sens!G3692+Sens!G3622+Sens!G3752*(Sens!G3641-Sens!G3604)+sbc_r*Sens!G3641</f>
        <v>239.718812060467</v>
      </c>
      <c r="H3759" s="6" t="n">
        <f aca="false">Sens!H3671+Sens!H3692+Sens!H3622+Sens!H3752*(Sens!H3641-Sens!H3604)+sbc_r*Sens!H3641</f>
        <v>262.169242651418</v>
      </c>
      <c r="I3759" s="6" t="n">
        <f aca="false">Sens!I3671+Sens!I3692+Sens!I3622+Sens!I3752*(Sens!I3641-Sens!I3604)+sbc_r*Sens!I3641</f>
        <v>286.365006827866</v>
      </c>
      <c r="J3759" s="6" t="n">
        <f aca="false">Sens!J3671+Sens!J3692+Sens!J3622+Sens!J3752*(Sens!J3641-Sens!J3604)+sbc_r*Sens!J3641</f>
        <v>309.759986165546</v>
      </c>
      <c r="K3759" s="6" t="n">
        <f aca="false">Sens!K3671+Sens!K3692+Sens!K3622+Sens!K3752*(Sens!K3641-Sens!K3604)+sbc_r*Sens!K3641</f>
        <v>332.420004170611</v>
      </c>
    </row>
    <row r="3760" customFormat="false" ht="17.15" hidden="false" customHeight="false" outlineLevel="0" collapsed="false">
      <c r="A3760" s="0" t="s">
        <v>1243</v>
      </c>
      <c r="B3760" s="0" t="s">
        <v>98</v>
      </c>
      <c r="F3760" s="6" t="n">
        <f aca="false">Sens!F3759-Sens!F3753-Sens!F3754-Sens!F3755-Sens!F3756-Sens!F3758</f>
        <v>60.1674987216642</v>
      </c>
      <c r="G3760" s="6" t="n">
        <f aca="false">Sens!G3759-Sens!G3753-Sens!G3754-Sens!G3755-Sens!G3756-Sens!G3758</f>
        <v>67.0489353078547</v>
      </c>
      <c r="H3760" s="6" t="n">
        <f aca="false">Sens!H3759-Sens!H3753-Sens!H3754-Sens!H3755-Sens!H3756-Sens!H3758</f>
        <v>80.2069439533114</v>
      </c>
      <c r="I3760" s="6" t="n">
        <f aca="false">Sens!I3759-Sens!I3753-Sens!I3754-Sens!I3755-Sens!I3756-Sens!I3758</f>
        <v>93.0923432652294</v>
      </c>
      <c r="J3760" s="6" t="n">
        <f aca="false">Sens!J3759-Sens!J3753-Sens!J3754-Sens!J3755-Sens!J3756-Sens!J3758</f>
        <v>104.965029739242</v>
      </c>
      <c r="K3760" s="6" t="n">
        <f aca="false">Sens!K3759-Sens!K3753-Sens!K3754-Sens!K3755-Sens!K3756-Sens!K3758</f>
        <v>115.118282476823</v>
      </c>
    </row>
    <row r="3761" customFormat="false" ht="17.15" hidden="false" customHeight="false" outlineLevel="0" collapsed="false">
      <c r="A3761" s="0" t="s">
        <v>1244</v>
      </c>
      <c r="B3761" s="0" t="s">
        <v>98</v>
      </c>
      <c r="F3761" s="6" t="n">
        <f aca="false">Sens!F3673+Sens!F3752*Sens!F3648+sbc_r*Sens!F3648</f>
        <v>29.1773264673672</v>
      </c>
      <c r="G3761" s="6" t="n">
        <f aca="false">Sens!G3673+Sens!G3752*Sens!G3648+sbc_r*Sens!G3648</f>
        <v>28.6231158648252</v>
      </c>
      <c r="H3761" s="6" t="n">
        <f aca="false">Sens!H3673+Sens!H3752*Sens!H3648+sbc_r*Sens!H3648</f>
        <v>29.193182707856</v>
      </c>
      <c r="I3761" s="6" t="n">
        <f aca="false">Sens!I3673+Sens!I3752*Sens!I3648+sbc_r*Sens!I3648</f>
        <v>30.0635487506511</v>
      </c>
      <c r="J3761" s="6" t="n">
        <f aca="false">Sens!J3673+Sens!J3752*Sens!J3648+sbc_r*Sens!J3648</f>
        <v>31.1843695128253</v>
      </c>
      <c r="K3761" s="6" t="n">
        <f aca="false">Sens!K3673+Sens!K3752*Sens!K3648+sbc_r*Sens!K3648</f>
        <v>32.5117888467652</v>
      </c>
    </row>
    <row r="3762" customFormat="false" ht="17.15" hidden="false" customHeight="false" outlineLevel="0" collapsed="false">
      <c r="A3762" s="0" t="s">
        <v>1245</v>
      </c>
      <c r="B3762" s="0" t="s">
        <v>98</v>
      </c>
      <c r="F3762" s="6" t="n">
        <f aca="false">(Sens!F3761-Sens!F3757)*Sens!F3644/(Sens!F3644+Sens!F3646)</f>
        <v>9.54377112704764</v>
      </c>
      <c r="G3762" s="6" t="n">
        <f aca="false">(Sens!G3761-Sens!G3757)*Sens!G3644/(Sens!G3644+Sens!G3646)</f>
        <v>8.53400627238313</v>
      </c>
      <c r="H3762" s="6" t="n">
        <f aca="false">(Sens!H3761-Sens!H3757)*Sens!H3644/(Sens!H3644+Sens!H3646)</f>
        <v>8.17327281892581</v>
      </c>
      <c r="I3762" s="6" t="n">
        <f aca="false">(Sens!I3761-Sens!I3757)*Sens!I3644/(Sens!I3644+Sens!I3646)</f>
        <v>7.99362888445182</v>
      </c>
      <c r="J3762" s="6" t="n">
        <f aca="false">(Sens!J3761-Sens!J3757)*Sens!J3644/(Sens!J3644+Sens!J3646)</f>
        <v>7.97342654455077</v>
      </c>
      <c r="K3762" s="6" t="n">
        <f aca="false">(Sens!K3761-Sens!K3757)*Sens!K3644/(Sens!K3644+Sens!K3646)</f>
        <v>8.10100487236068</v>
      </c>
    </row>
    <row r="3763" customFormat="false" ht="17.15" hidden="false" customHeight="false" outlineLevel="0" collapsed="false">
      <c r="A3763" s="0" t="s">
        <v>1246</v>
      </c>
      <c r="B3763" s="0" t="s">
        <v>98</v>
      </c>
      <c r="F3763" s="6" t="n">
        <f aca="false">Sens!F3761-Sens!F3757-Sens!F3762</f>
        <v>7.35427390834487</v>
      </c>
      <c r="G3763" s="6" t="n">
        <f aca="false">Sens!G3761-Sens!G3757-Sens!G3762</f>
        <v>6.840394503541</v>
      </c>
      <c r="H3763" s="6" t="n">
        <f aca="false">Sens!H3761-Sens!H3757-Sens!H3762</f>
        <v>6.74559894650885</v>
      </c>
      <c r="I3763" s="6" t="n">
        <f aca="false">Sens!I3761-Sens!I3757-Sens!I3762</f>
        <v>6.72581244595876</v>
      </c>
      <c r="J3763" s="6" t="n">
        <f aca="false">Sens!J3761-Sens!J3757-Sens!J3762</f>
        <v>6.77315289342053</v>
      </c>
      <c r="K3763" s="6" t="n">
        <f aca="false">Sens!K3761-Sens!K3757-Sens!K3762</f>
        <v>6.88152631547632</v>
      </c>
    </row>
    <row r="3764" customFormat="false" ht="17.15" hidden="false" customHeight="false" outlineLevel="0" collapsed="false">
      <c r="A3764" s="0" t="s">
        <v>1247</v>
      </c>
      <c r="B3764" s="0" t="s">
        <v>98</v>
      </c>
      <c r="F3764" s="6" t="n">
        <f aca="false">Sens!F3758-tax_f*(Sens!F3758-Sens!F3622)-Sens!F3619</f>
        <v>-5.92966233912087</v>
      </c>
      <c r="G3764" s="6" t="n">
        <f aca="false">Sens!G3758-tax_f*(Sens!G3758-Sens!G3622)-Sens!G3619</f>
        <v>-8.38260833120114</v>
      </c>
      <c r="H3764" s="6" t="n">
        <f aca="false">Sens!H3758-tax_f*(Sens!H3758-Sens!H3622)-Sens!H3619</f>
        <v>24.0614468573092</v>
      </c>
      <c r="I3764" s="6" t="n">
        <f aca="false">Sens!I3758-tax_f*(Sens!I3758-Sens!I3622)-Sens!I3619</f>
        <v>-5.25928143990227</v>
      </c>
      <c r="J3764" s="6" t="n">
        <f aca="false">Sens!J3758-tax_f*(Sens!J3758-Sens!J3622)-Sens!J3619</f>
        <v>-19.4014412299192</v>
      </c>
      <c r="K3764" s="6" t="n">
        <f aca="false">Sens!K3758-tax_f*(Sens!K3758-Sens!K3622)-Sens!K3619</f>
        <v>-60.7601183815868</v>
      </c>
    </row>
    <row r="3765" customFormat="false" ht="17.15" hidden="false" customHeight="false" outlineLevel="0" collapsed="false">
      <c r="A3765" s="0" t="s">
        <v>1248</v>
      </c>
      <c r="B3765" s="0" t="s">
        <v>98</v>
      </c>
      <c r="G3765" s="6" t="n">
        <f aca="false">Sens!G3764/(1+wacc)^(Sens!G3735-Sens!F3736)</f>
        <v>-7.98185625137517</v>
      </c>
      <c r="H3765" s="6" t="n">
        <f aca="false">Sens!H3764/(1+wacc)^(Sens!H3735-Sens!F3736)</f>
        <v>20.772842153954</v>
      </c>
      <c r="I3765" s="6" t="n">
        <f aca="false">Sens!I3764/(1+wacc)^(Sens!I3735-Sens!F3736)</f>
        <v>-4.11670786485131</v>
      </c>
      <c r="J3765" s="6" t="n">
        <f aca="false">Sens!J3764/(1+wacc)^(Sens!J3735-Sens!F3736)</f>
        <v>-13.769148530013</v>
      </c>
      <c r="K3765" s="6" t="n">
        <f aca="false">Sens!K3764/(1+wacc)^(Sens!K3735-Sens!F3736)</f>
        <v>-39.0967951216224</v>
      </c>
      <c r="L3765" s="1" t="s">
        <v>1249</v>
      </c>
    </row>
    <row r="3766" customFormat="false" ht="17.15" hidden="false" customHeight="false" outlineLevel="0" collapsed="false">
      <c r="A3766" s="0" t="s">
        <v>1250</v>
      </c>
      <c r="B3766" s="0" t="s">
        <v>98</v>
      </c>
      <c r="C3766" s="6" t="n">
        <f aca="false">(Sens!K3758-Sens!K3622)*(1-tax_f)*(1+g_tv)*(1-g_tv/(wacc+ronic_prem))/(wacc-g_tv)/(1+wacc)^(Sens!K3736-Sens!F3736)</f>
        <v>-57.5371142920865</v>
      </c>
    </row>
    <row r="3767" customFormat="false" ht="17.15" hidden="false" customHeight="false" outlineLevel="0" collapsed="false">
      <c r="A3767" s="1" t="s">
        <v>1251</v>
      </c>
      <c r="B3767" s="0" t="s">
        <v>98</v>
      </c>
      <c r="C3767" s="6" t="n">
        <f aca="false">(SUM(Sens!G3765:K3765)+Sens!$C$3766)*(1+wacc)^(t_roll-Sens!F3736)</f>
        <v>-105.087154581357</v>
      </c>
      <c r="L3767" s="12" t="s">
        <v>1252</v>
      </c>
    </row>
    <row r="3768" customFormat="false" ht="17.15" hidden="false" customHeight="false" outlineLevel="0" collapsed="false">
      <c r="A3768" s="1" t="s">
        <v>1253</v>
      </c>
      <c r="B3768" s="0" t="s">
        <v>98</v>
      </c>
      <c r="C3768" s="6" t="n">
        <f aca="false">(w_ntm28*Sens!G3610+(1-w_ntm28)*Sens!H3610)*m_ai</f>
        <v>150.528401372214</v>
      </c>
    </row>
    <row r="3769" customFormat="false" ht="17.15" hidden="false" customHeight="false" outlineLevel="0" collapsed="false">
      <c r="A3769" s="1" t="s">
        <v>1254</v>
      </c>
      <c r="B3769" s="0" t="s">
        <v>98</v>
      </c>
      <c r="C3769" s="6" t="n">
        <f aca="false">(w_ntm28*Sens!G3760+(1-w_ntm28)*Sens!H3760)*m_cloud</f>
        <v>986.400509345306</v>
      </c>
    </row>
    <row r="3770" customFormat="false" ht="17.15" hidden="false" customHeight="false" outlineLevel="0" collapsed="false">
      <c r="A3770" s="1" t="s">
        <v>1255</v>
      </c>
      <c r="B3770" s="0" t="s">
        <v>98</v>
      </c>
      <c r="C3770" s="6" t="n">
        <f aca="false">(w_ntm28*Sens!G3753+(1-w_ntm28)*Sens!H3753)*m_sw</f>
        <v>1089.61930573196</v>
      </c>
    </row>
    <row r="3771" customFormat="false" ht="17.15" hidden="false" customHeight="false" outlineLevel="0" collapsed="false">
      <c r="A3771" s="1" t="s">
        <v>1256</v>
      </c>
      <c r="B3771" s="0" t="s">
        <v>98</v>
      </c>
      <c r="C3771" s="6" t="n">
        <f aca="false">(w_ntm28*Sens!G3754+(1-w_ntm28)*Sens!H3754)*m_sw</f>
        <v>386.300716982381</v>
      </c>
    </row>
    <row r="3772" customFormat="false" ht="17.15" hidden="false" customHeight="false" outlineLevel="0" collapsed="false">
      <c r="A3772" s="1" t="s">
        <v>1257</v>
      </c>
      <c r="B3772" s="0" t="s">
        <v>98</v>
      </c>
      <c r="C3772" s="6" t="n">
        <f aca="false">(w_ntm28*Sens!G3755+(1-w_ntm28)*Sens!H3755)*m_sw</f>
        <v>117.415644121328</v>
      </c>
    </row>
    <row r="3773" customFormat="false" ht="17.15" hidden="false" customHeight="false" outlineLevel="0" collapsed="false">
      <c r="A3773" s="1" t="s">
        <v>1258</v>
      </c>
      <c r="B3773" s="0" t="s">
        <v>98</v>
      </c>
      <c r="C3773" s="6" t="n">
        <f aca="false">(w_ntm28*Sens!G3756+(1-w_ntm28)*Sens!H3756)*m_sw</f>
        <v>44.6407481134462</v>
      </c>
    </row>
    <row r="3774" customFormat="false" ht="17.15" hidden="false" customHeight="false" outlineLevel="0" collapsed="false">
      <c r="A3774" s="1" t="s">
        <v>1259</v>
      </c>
      <c r="B3774" s="0" t="s">
        <v>98</v>
      </c>
      <c r="C3774" s="6" t="n">
        <f aca="false">(w_ntm28*Sens!G3757+(1-w_ntm28)*Sens!H3757)*m_ads</f>
        <v>123.767524287473</v>
      </c>
    </row>
    <row r="3775" customFormat="false" ht="17.15" hidden="false" customHeight="false" outlineLevel="0" collapsed="false">
      <c r="A3775" s="1" t="s">
        <v>1260</v>
      </c>
      <c r="B3775" s="0" t="s">
        <v>98</v>
      </c>
      <c r="C3775" s="6" t="n">
        <f aca="false">(w_ntm28*Sens!G3762+(1-w_ntm28)*Sens!H3762)*m_game</f>
        <v>106.286615324144</v>
      </c>
    </row>
    <row r="3776" customFormat="false" ht="17.15" hidden="false" customHeight="false" outlineLevel="0" collapsed="false">
      <c r="A3776" s="1" t="s">
        <v>1261</v>
      </c>
      <c r="B3776" s="0" t="s">
        <v>98</v>
      </c>
      <c r="C3776" s="6" t="n">
        <f aca="false">(w_ntm28*Sens!G3763+(1-w_ntm28)*Sens!H3763)*m_pc</f>
        <v>98.5295413286201</v>
      </c>
    </row>
    <row r="3777" customFormat="false" ht="17.15" hidden="false" customHeight="false" outlineLevel="0" collapsed="false">
      <c r="A3777" s="1" t="s">
        <v>1262</v>
      </c>
      <c r="B3777" s="0" t="s">
        <v>98</v>
      </c>
      <c r="C3777" s="6" t="n">
        <f aca="false">Sens!$C$3767+Sens!$C$3769+Sens!$C$3770+Sens!$C$3771+Sens!$C$3772+Sens!$C$3773+Sens!$C$3774+Sens!$C$3775+Sens!$C$3776</f>
        <v>2847.8734506533</v>
      </c>
    </row>
    <row r="3778" customFormat="false" ht="17.15" hidden="false" customHeight="false" outlineLevel="0" collapsed="false">
      <c r="A3778" s="1" t="s">
        <v>1263</v>
      </c>
      <c r="B3778" s="0" t="s">
        <v>98</v>
      </c>
      <c r="C3778" s="6" t="n">
        <f aca="false">(Sens!G3739-Sens!G3764)*t_stub</f>
        <v>48.6292744236651</v>
      </c>
      <c r="L3778" s="1" t="s">
        <v>1264</v>
      </c>
    </row>
    <row r="3779" customFormat="false" ht="17.15" hidden="false" customHeight="false" outlineLevel="0" collapsed="false">
      <c r="A3779" s="1" t="s">
        <v>1173</v>
      </c>
      <c r="B3779" s="0" t="s">
        <v>98</v>
      </c>
      <c r="C3779" s="6" t="n">
        <f aca="false">Sens!F3726+oai_v-Sens!F3715+Sens!$C$3778</f>
        <v>156.075860633542</v>
      </c>
      <c r="L3779" s="1" t="s">
        <v>1265</v>
      </c>
    </row>
    <row r="3780" customFormat="false" ht="17.15" hidden="false" customHeight="false" outlineLevel="0" collapsed="false">
      <c r="A3780" s="1" t="s">
        <v>1266</v>
      </c>
      <c r="B3780" s="0" t="s">
        <v>75</v>
      </c>
      <c r="C3780" s="5" t="n">
        <f aca="false">(Sens!$C$3777+Sens!$C$3779)/(Sens!F3728+dil_gap)-Sens!G3718*roll_div_q/q_per_yr</f>
        <v>399.700802999846</v>
      </c>
      <c r="L3780" s="1" t="s">
        <v>1267</v>
      </c>
    </row>
    <row r="3781" customFormat="false" ht="17.15" hidden="false" customHeight="false" outlineLevel="0" collapsed="false">
      <c r="A3781" s="1" t="s">
        <v>1268</v>
      </c>
      <c r="B3781" s="0" t="s">
        <v>75</v>
      </c>
      <c r="C3781" s="5" t="n">
        <f aca="false">w_dcf*Sens!$C$3751+(1-w_dcf)*Sens!$C$3780</f>
        <v>339.095493130176</v>
      </c>
    </row>
    <row r="3782" customFormat="false" ht="17.15" hidden="false" customHeight="false" outlineLevel="0" collapsed="false">
      <c r="A3782" s="3" t="s">
        <v>1705</v>
      </c>
    </row>
    <row r="3783" customFormat="false" ht="15" hidden="false" customHeight="false" outlineLevel="0" collapsed="false">
      <c r="A3783" s="4" t="s">
        <v>43</v>
      </c>
      <c r="B3783" s="4" t="s">
        <v>65</v>
      </c>
      <c r="C3783" s="23" t="s">
        <v>942</v>
      </c>
      <c r="D3783" s="23" t="s">
        <v>943</v>
      </c>
      <c r="E3783" s="23" t="s">
        <v>944</v>
      </c>
      <c r="F3783" s="23" t="s">
        <v>945</v>
      </c>
      <c r="G3783" s="23" t="s">
        <v>946</v>
      </c>
      <c r="H3783" s="23" t="s">
        <v>947</v>
      </c>
      <c r="I3783" s="23" t="s">
        <v>948</v>
      </c>
      <c r="J3783" s="23" t="s">
        <v>949</v>
      </c>
      <c r="K3783" s="23" t="s">
        <v>950</v>
      </c>
      <c r="L3783" s="4" t="s">
        <v>47</v>
      </c>
    </row>
    <row r="3784" customFormat="false" ht="17.15" hidden="false" customHeight="false" outlineLevel="0" collapsed="false">
      <c r="A3784" s="1" t="s">
        <v>951</v>
      </c>
      <c r="B3784" s="1" t="s">
        <v>279</v>
      </c>
      <c r="C3784" s="21" t="n">
        <v>2024</v>
      </c>
      <c r="D3784" s="21" t="n">
        <v>2025</v>
      </c>
      <c r="E3784" s="21" t="n">
        <v>2026</v>
      </c>
      <c r="F3784" s="21" t="n">
        <v>2027</v>
      </c>
      <c r="G3784" s="21" t="n">
        <v>2028</v>
      </c>
      <c r="H3784" s="21" t="n">
        <v>2029</v>
      </c>
      <c r="I3784" s="21" t="n">
        <v>2030</v>
      </c>
      <c r="J3784" s="21" t="n">
        <v>2031</v>
      </c>
      <c r="K3784" s="21" t="n">
        <v>2032</v>
      </c>
    </row>
    <row r="3785" customFormat="false" ht="17.15" hidden="false" customHeight="false" outlineLevel="0" collapsed="false">
      <c r="A3785" s="1" t="s">
        <v>952</v>
      </c>
      <c r="B3785" s="0" t="s">
        <v>459</v>
      </c>
      <c r="F3785" s="30" t="n">
        <f aca="false">pace*1.2</f>
        <v>3271.84212</v>
      </c>
      <c r="G3785" s="30" t="n">
        <f aca="false">pace*1.2</f>
        <v>3271.84212</v>
      </c>
      <c r="H3785" s="30" t="n">
        <f aca="false">pace*1.2</f>
        <v>3271.84212</v>
      </c>
      <c r="I3785" s="30" t="n">
        <f aca="false">pace*1.2+(g_tv*Sens!H3786-pace*1.2)*MIN(1,(Sens!I3784-pace_y0)/(pace_y1-pace_y0))</f>
        <v>2311.8833436</v>
      </c>
      <c r="J3785" s="30" t="n">
        <f aca="false">pace*1.2+(g_tv*Sens!I3786-pace*1.2)*MIN(1,(Sens!J3784-pace_y0)/(pace_y1-pace_y0))</f>
        <v>1398.162234072</v>
      </c>
      <c r="K3785" s="30" t="n">
        <f aca="false">pace*1.2+(g_tv*Sens!J3786-pace*1.2)*MIN(1,(Sens!K3784-pace_y0)/(pace_y1-pace_y0))</f>
        <v>503.26715813016</v>
      </c>
      <c r="L3785" s="12" t="s">
        <v>953</v>
      </c>
    </row>
    <row r="3786" customFormat="false" ht="17.15" hidden="false" customHeight="false" outlineLevel="0" collapsed="false">
      <c r="A3786" s="1" t="s">
        <v>954</v>
      </c>
      <c r="B3786" s="0" t="s">
        <v>459</v>
      </c>
      <c r="C3786" s="30" t="n">
        <f aca="false">mw_ext_24</f>
        <v>640</v>
      </c>
      <c r="D3786" s="30" t="n">
        <f aca="false">mw_ext_25</f>
        <v>1630</v>
      </c>
      <c r="E3786" s="30" t="n">
        <f aca="false">mw_ext_26</f>
        <v>3250</v>
      </c>
      <c r="F3786" s="30" t="n">
        <f aca="false">Sens!E3786+Sens!F3785</f>
        <v>6521.84212</v>
      </c>
      <c r="G3786" s="30" t="n">
        <f aca="false">Sens!F3786+Sens!G3785</f>
        <v>9793.68424</v>
      </c>
      <c r="H3786" s="30" t="n">
        <f aca="false">Sens!G3786+Sens!H3785</f>
        <v>13065.52636</v>
      </c>
      <c r="I3786" s="30" t="n">
        <f aca="false">Sens!H3786+Sens!I3785</f>
        <v>15377.4097036</v>
      </c>
      <c r="J3786" s="30" t="n">
        <f aca="false">Sens!I3786+Sens!J3785</f>
        <v>16775.571937672</v>
      </c>
      <c r="K3786" s="30" t="n">
        <f aca="false">Sens!J3786+Sens!K3785</f>
        <v>17278.8390958022</v>
      </c>
      <c r="L3786" s="1" t="s">
        <v>955</v>
      </c>
    </row>
    <row r="3787" customFormat="false" ht="17.15" hidden="false" customHeight="false" outlineLevel="0" collapsed="false">
      <c r="A3787" s="1" t="s">
        <v>956</v>
      </c>
      <c r="B3787" s="0" t="s">
        <v>459</v>
      </c>
      <c r="C3787" s="30" t="n">
        <f aca="false">rent_ext_24</f>
        <v>150</v>
      </c>
      <c r="D3787" s="30" t="n">
        <f aca="false">rent_ext_25</f>
        <v>400</v>
      </c>
      <c r="E3787" s="30" t="n">
        <f aca="false">rent_ext_26</f>
        <v>550</v>
      </c>
      <c r="F3787" s="30" t="n">
        <f aca="false">rent_ext_f</f>
        <v>756</v>
      </c>
      <c r="G3787" s="30" t="n">
        <f aca="false">rent_ext_f</f>
        <v>756</v>
      </c>
      <c r="H3787" s="30" t="n">
        <f aca="false">rent_ext_f</f>
        <v>756</v>
      </c>
      <c r="I3787" s="30" t="n">
        <f aca="false">rent_ext_f</f>
        <v>756</v>
      </c>
      <c r="J3787" s="30" t="n">
        <f aca="false">rent_ext_f</f>
        <v>756</v>
      </c>
      <c r="K3787" s="30" t="n">
        <f aca="false">rent_ext_f</f>
        <v>756</v>
      </c>
      <c r="L3787" s="1" t="s">
        <v>957</v>
      </c>
    </row>
    <row r="3788" customFormat="false" ht="17.15" hidden="false" customHeight="false" outlineLevel="0" collapsed="false">
      <c r="A3788" s="1" t="s">
        <v>958</v>
      </c>
      <c r="B3788" s="0" t="s">
        <v>459</v>
      </c>
      <c r="C3788" s="30" t="n">
        <f aca="false">Sens!C3786-Sens!C3787</f>
        <v>490</v>
      </c>
      <c r="D3788" s="30" t="n">
        <f aca="false">Sens!D3786-Sens!D3787</f>
        <v>1230</v>
      </c>
      <c r="E3788" s="30" t="n">
        <f aca="false">Sens!E3786-Sens!E3787</f>
        <v>2700</v>
      </c>
      <c r="F3788" s="30" t="n">
        <f aca="false">Sens!F3786-Sens!F3787</f>
        <v>5765.84212</v>
      </c>
      <c r="G3788" s="30" t="n">
        <f aca="false">Sens!G3786-Sens!G3787</f>
        <v>9037.68424</v>
      </c>
      <c r="H3788" s="30" t="n">
        <f aca="false">Sens!H3786-Sens!H3787</f>
        <v>12309.52636</v>
      </c>
      <c r="I3788" s="30" t="n">
        <f aca="false">Sens!I3786-Sens!I3787</f>
        <v>14621.4097036</v>
      </c>
      <c r="J3788" s="30" t="n">
        <f aca="false">Sens!J3786-Sens!J3787</f>
        <v>16019.571937672</v>
      </c>
      <c r="K3788" s="30" t="n">
        <f aca="false">Sens!K3786-Sens!K3787</f>
        <v>16522.8390958022</v>
      </c>
    </row>
    <row r="3789" customFormat="false" ht="17.15" hidden="false" customHeight="false" outlineLevel="0" collapsed="false">
      <c r="A3789" s="1" t="s">
        <v>959</v>
      </c>
      <c r="B3789" s="0" t="s">
        <v>459</v>
      </c>
      <c r="C3789" s="30" t="n">
        <f aca="false">Sens!C3788/ext_sh</f>
        <v>816.666666666667</v>
      </c>
      <c r="D3789" s="30" t="n">
        <f aca="false">Sens!D3788/ext_sh</f>
        <v>2050</v>
      </c>
      <c r="E3789" s="30" t="n">
        <f aca="false">Sens!E3788/ext_sh</f>
        <v>4500</v>
      </c>
      <c r="F3789" s="30" t="n">
        <f aca="false">Sens!F3788/ext_sh</f>
        <v>9609.73686666667</v>
      </c>
      <c r="G3789" s="30" t="n">
        <f aca="false">Sens!G3788/ext_sh</f>
        <v>15062.8070666667</v>
      </c>
      <c r="H3789" s="30" t="n">
        <f aca="false">Sens!H3788/ext_sh</f>
        <v>20515.8772666667</v>
      </c>
      <c r="I3789" s="30" t="n">
        <f aca="false">Sens!I3788/ext_sh</f>
        <v>24369.0161726667</v>
      </c>
      <c r="J3789" s="30" t="n">
        <f aca="false">Sens!J3788/ext_sh</f>
        <v>26699.2865627867</v>
      </c>
      <c r="K3789" s="30" t="n">
        <f aca="false">Sens!K3788/ext_sh</f>
        <v>27538.0651596703</v>
      </c>
      <c r="L3789" s="1" t="s">
        <v>960</v>
      </c>
    </row>
    <row r="3790" customFormat="false" ht="17.15" hidden="false" customHeight="false" outlineLevel="0" collapsed="false">
      <c r="A3790" s="1" t="s">
        <v>961</v>
      </c>
      <c r="B3790" s="0" t="s">
        <v>459</v>
      </c>
      <c r="C3790" s="30" t="n">
        <f aca="false">Sens!C3789-Sens!C3788</f>
        <v>326.666666666667</v>
      </c>
      <c r="D3790" s="30" t="n">
        <f aca="false">Sens!D3789-Sens!D3788</f>
        <v>820</v>
      </c>
      <c r="E3790" s="30" t="n">
        <f aca="false">Sens!E3789-Sens!E3788</f>
        <v>1800</v>
      </c>
      <c r="F3790" s="30" t="n">
        <f aca="false">Sens!F3789-Sens!F3788</f>
        <v>3843.89474666667</v>
      </c>
      <c r="G3790" s="30" t="n">
        <f aca="false">Sens!G3789-Sens!G3788</f>
        <v>6025.12282666667</v>
      </c>
      <c r="H3790" s="30" t="n">
        <f aca="false">Sens!H3789-Sens!H3788</f>
        <v>8206.35090666667</v>
      </c>
      <c r="I3790" s="30" t="n">
        <f aca="false">Sens!I3789-Sens!I3788</f>
        <v>9747.60646906667</v>
      </c>
      <c r="J3790" s="30" t="n">
        <f aca="false">Sens!J3789-Sens!J3788</f>
        <v>10679.7146251147</v>
      </c>
      <c r="K3790" s="30" t="n">
        <f aca="false">Sens!K3789-Sens!K3788</f>
        <v>11015.2260638681</v>
      </c>
    </row>
    <row r="3791" customFormat="false" ht="17.15" hidden="false" customHeight="false" outlineLevel="0" collapsed="false">
      <c r="A3791" s="1" t="s">
        <v>962</v>
      </c>
      <c r="B3791" s="0" t="s">
        <v>459</v>
      </c>
      <c r="C3791" s="30" t="n">
        <f aca="false">Sens!C3789</f>
        <v>816.666666666667</v>
      </c>
      <c r="D3791" s="30" t="n">
        <f aca="false">Sens!D3789-Sens!C3789</f>
        <v>1233.33333333333</v>
      </c>
      <c r="E3791" s="30" t="n">
        <f aca="false">Sens!E3789-Sens!D3789</f>
        <v>2450</v>
      </c>
      <c r="F3791" s="30" t="n">
        <f aca="false">Sens!F3789-Sens!E3789</f>
        <v>5109.73686666667</v>
      </c>
      <c r="G3791" s="30" t="n">
        <f aca="false">Sens!G3789-Sens!F3789</f>
        <v>5453.0702</v>
      </c>
      <c r="H3791" s="30" t="n">
        <f aca="false">Sens!H3789-Sens!G3789</f>
        <v>5453.0702</v>
      </c>
      <c r="I3791" s="30" t="n">
        <f aca="false">Sens!I3789-Sens!H3789</f>
        <v>3853.138906</v>
      </c>
      <c r="J3791" s="30" t="n">
        <f aca="false">Sens!J3789-Sens!I3789</f>
        <v>2330.27039012</v>
      </c>
      <c r="K3791" s="30" t="n">
        <f aca="false">Sens!K3789-Sens!J3789</f>
        <v>838.778596883596</v>
      </c>
    </row>
    <row r="3792" customFormat="false" ht="17.15" hidden="false" customHeight="false" outlineLevel="0" collapsed="false">
      <c r="A3792" s="1" t="s">
        <v>963</v>
      </c>
      <c r="B3792" s="0" t="s">
        <v>459</v>
      </c>
      <c r="D3792" s="30" t="n">
        <f aca="false">Sens!D3786-Sens!C3786</f>
        <v>990</v>
      </c>
      <c r="E3792" s="30" t="n">
        <f aca="false">Sens!E3786-Sens!D3786</f>
        <v>1620</v>
      </c>
      <c r="F3792" s="30" t="n">
        <f aca="false">Sens!F3786-Sens!E3786</f>
        <v>3271.84212</v>
      </c>
      <c r="G3792" s="30" t="n">
        <f aca="false">Sens!G3786-Sens!F3786</f>
        <v>3271.84212</v>
      </c>
      <c r="H3792" s="30" t="n">
        <f aca="false">Sens!H3786-Sens!G3786</f>
        <v>3271.84212</v>
      </c>
      <c r="I3792" s="30" t="n">
        <f aca="false">Sens!I3786-Sens!H3786</f>
        <v>2311.8833436</v>
      </c>
      <c r="J3792" s="30" t="n">
        <f aca="false">Sens!J3786-Sens!I3786</f>
        <v>1398.162234072</v>
      </c>
      <c r="K3792" s="30" t="n">
        <f aca="false">Sens!K3786-Sens!J3786</f>
        <v>503.267158130158</v>
      </c>
    </row>
    <row r="3793" customFormat="false" ht="17.15" hidden="false" customHeight="false" outlineLevel="0" collapsed="false">
      <c r="A3793" s="1" t="s">
        <v>964</v>
      </c>
      <c r="B3793" s="0" t="s">
        <v>459</v>
      </c>
      <c r="F3793" s="30" t="n">
        <f aca="false">Sens!F3812*ext_sh</f>
        <v>0</v>
      </c>
      <c r="G3793" s="30" t="n">
        <f aca="false">Sens!G3812*ext_sh</f>
        <v>0</v>
      </c>
      <c r="H3793" s="30" t="n">
        <f aca="false">Sens!H3812*ext_sh</f>
        <v>0</v>
      </c>
      <c r="I3793" s="30" t="n">
        <f aca="false">Sens!I3812*ext_sh</f>
        <v>490</v>
      </c>
      <c r="J3793" s="30" t="n">
        <f aca="false">Sens!J3812*ext_sh</f>
        <v>740</v>
      </c>
      <c r="K3793" s="30" t="n">
        <f aca="false">Sens!K3812*ext_sh</f>
        <v>1470</v>
      </c>
      <c r="L3793" s="1" t="s">
        <v>965</v>
      </c>
    </row>
    <row r="3794" customFormat="false" ht="17.15" hidden="false" customHeight="false" outlineLevel="0" collapsed="false">
      <c r="A3794" s="1" t="s">
        <v>966</v>
      </c>
      <c r="B3794" s="0" t="s">
        <v>459</v>
      </c>
      <c r="C3794" s="30" t="n">
        <f aca="false">mix_h*Sens!C3786</f>
        <v>128</v>
      </c>
      <c r="D3794" s="30" t="n">
        <f aca="false">mix_h*Sens!D3786</f>
        <v>326</v>
      </c>
      <c r="E3794" s="30" t="n">
        <f aca="false">mix_h*Sens!E3786</f>
        <v>650</v>
      </c>
      <c r="F3794" s="30" t="n">
        <f aca="false">Sens!E3794-Sens!F3793*mix_h</f>
        <v>650</v>
      </c>
      <c r="G3794" s="30" t="n">
        <f aca="false">Sens!F3794-Sens!G3793*mix_h</f>
        <v>650</v>
      </c>
      <c r="H3794" s="30" t="n">
        <f aca="false">Sens!G3794-Sens!H3793*mix_h</f>
        <v>650</v>
      </c>
      <c r="I3794" s="30" t="n">
        <f aca="false">Sens!H3794-Sens!I3793*mix_h</f>
        <v>552</v>
      </c>
      <c r="J3794" s="30" t="n">
        <f aca="false">Sens!I3794-Sens!J3793*mix_h</f>
        <v>404</v>
      </c>
      <c r="K3794" s="30" t="n">
        <f aca="false">Sens!J3794-Sens!K3793*mix_h</f>
        <v>110</v>
      </c>
    </row>
    <row r="3795" customFormat="false" ht="17.15" hidden="false" customHeight="false" outlineLevel="0" collapsed="false">
      <c r="A3795" s="1" t="s">
        <v>967</v>
      </c>
      <c r="B3795" s="0" t="s">
        <v>459</v>
      </c>
      <c r="C3795" s="30" t="n">
        <f aca="false">mix_g2*Sens!C3786</f>
        <v>288</v>
      </c>
      <c r="D3795" s="30" t="n">
        <f aca="false">mix_g2*Sens!D3786</f>
        <v>733.5</v>
      </c>
      <c r="E3795" s="30" t="n">
        <f aca="false">mix_g2*Sens!E3786</f>
        <v>1462.5</v>
      </c>
      <c r="F3795" s="30" t="n">
        <f aca="false">Sens!E3795-Sens!F3793*mix_g2</f>
        <v>1462.5</v>
      </c>
      <c r="G3795" s="30" t="n">
        <f aca="false">Sens!F3795-Sens!G3793*mix_g2</f>
        <v>1462.5</v>
      </c>
      <c r="H3795" s="30" t="n">
        <f aca="false">Sens!G3795-Sens!H3793*mix_g2</f>
        <v>1462.5</v>
      </c>
      <c r="I3795" s="30" t="n">
        <f aca="false">Sens!H3795-Sens!I3793*mix_g2</f>
        <v>1242</v>
      </c>
      <c r="J3795" s="30" t="n">
        <f aca="false">Sens!I3795-Sens!J3793*mix_g2</f>
        <v>909</v>
      </c>
      <c r="K3795" s="30" t="n">
        <f aca="false">Sens!J3795-Sens!K3793*mix_g2</f>
        <v>247.5</v>
      </c>
    </row>
    <row r="3796" customFormat="false" ht="17.15" hidden="false" customHeight="false" outlineLevel="0" collapsed="false">
      <c r="A3796" s="1" t="s">
        <v>968</v>
      </c>
      <c r="B3796" s="0" t="s">
        <v>459</v>
      </c>
      <c r="C3796" s="30" t="n">
        <f aca="false">mix_g3*Sens!C3786</f>
        <v>224</v>
      </c>
      <c r="D3796" s="30" t="n">
        <f aca="false">mix_g3*Sens!D3786</f>
        <v>570.5</v>
      </c>
      <c r="E3796" s="30" t="n">
        <f aca="false">mix_g3*Sens!E3786</f>
        <v>1137.5</v>
      </c>
      <c r="F3796" s="30" t="n">
        <f aca="false">Sens!E3796+(Sens!F3792+Sens!F3793)*(a_g3_27-nonnv*a_mai)-Sens!F3793*mix_g3</f>
        <v>3100.605272</v>
      </c>
      <c r="G3796" s="30" t="n">
        <f aca="false">Sens!F3796+(Sens!G3792+Sens!G3793)*(a_g3_28-nonnv*a_mai)-Sens!G3793*mix_g3</f>
        <v>3754.973696</v>
      </c>
      <c r="H3796" s="30" t="n">
        <f aca="false">Sens!G3796+(Sens!H3792+Sens!H3793)*(a_g3_29-nonnv*a_mai)-Sens!H3793*mix_g3</f>
        <v>3754.973696</v>
      </c>
      <c r="I3796" s="30" t="n">
        <f aca="false">Sens!H3796+(Sens!I3792+Sens!I3793)*(a_g3_29-nonnv*a_mai)-Sens!I3793*mix_g3</f>
        <v>3583.473696</v>
      </c>
      <c r="J3796" s="30" t="n">
        <f aca="false">Sens!I3796+(Sens!J3792+Sens!J3793)*(a_g3_29-nonnv*a_mai)-Sens!J3793*mix_g3</f>
        <v>3324.473696</v>
      </c>
      <c r="K3796" s="30" t="n">
        <f aca="false">Sens!J3796+(Sens!K3792+Sens!K3793)*(a_g3_29-nonnv*a_mai)-Sens!K3793*mix_g3</f>
        <v>2809.973696</v>
      </c>
    </row>
    <row r="3797" customFormat="false" ht="17.15" hidden="false" customHeight="false" outlineLevel="0" collapsed="false">
      <c r="A3797" s="1" t="s">
        <v>969</v>
      </c>
      <c r="B3797" s="0" t="s">
        <v>459</v>
      </c>
      <c r="C3797" s="30" t="n">
        <v>0</v>
      </c>
      <c r="D3797" s="30" t="n">
        <v>0</v>
      </c>
      <c r="E3797" s="30" t="n">
        <v>0</v>
      </c>
      <c r="F3797" s="30" t="n">
        <f aca="false">Sens!E3797+(Sens!F3792+Sens!F3793)*nonnv*a_mai</f>
        <v>327.184212</v>
      </c>
      <c r="G3797" s="30" t="n">
        <f aca="false">Sens!F3797+(Sens!G3792+Sens!G3793)*nonnv*a_mai</f>
        <v>654.368424</v>
      </c>
      <c r="H3797" s="30" t="n">
        <f aca="false">Sens!G3797+(Sens!H3792+Sens!H3793)*nonnv*a_mai</f>
        <v>981.552636</v>
      </c>
      <c r="I3797" s="30" t="n">
        <f aca="false">Sens!H3797+(Sens!I3792+Sens!I3793)*nonnv*a_mai</f>
        <v>1261.74097036</v>
      </c>
      <c r="J3797" s="30" t="n">
        <f aca="false">Sens!I3797+(Sens!J3792+Sens!J3793)*nonnv*a_mai</f>
        <v>1475.5571937672</v>
      </c>
      <c r="K3797" s="30" t="n">
        <f aca="false">Sens!J3797+(Sens!K3792+Sens!K3793)*nonnv*a_mai</f>
        <v>1672.88390958022</v>
      </c>
      <c r="L3797" s="12" t="s">
        <v>970</v>
      </c>
    </row>
    <row r="3798" customFormat="false" ht="17.15" hidden="false" customHeight="false" outlineLevel="0" collapsed="false">
      <c r="A3798" s="1" t="s">
        <v>971</v>
      </c>
      <c r="B3798" s="0" t="s">
        <v>459</v>
      </c>
      <c r="C3798" s="30" t="n">
        <v>0</v>
      </c>
      <c r="D3798" s="30" t="n">
        <v>0</v>
      </c>
      <c r="E3798" s="30" t="n">
        <v>0</v>
      </c>
      <c r="F3798" s="30" t="n">
        <f aca="false">Sens!E3798+(Sens!F3792+Sens!F3793)*(1-a_g3_27)</f>
        <v>981.552636</v>
      </c>
      <c r="G3798" s="30" t="n">
        <f aca="false">Sens!F3798+(Sens!G3792+Sens!G3793)*(1-a_g3_28)</f>
        <v>3271.84212</v>
      </c>
      <c r="H3798" s="30" t="n">
        <f aca="false">Sens!G3798+(Sens!H3792+Sens!H3793)*(1-a_g3_29)</f>
        <v>6216.500028</v>
      </c>
      <c r="I3798" s="30" t="n">
        <f aca="false">Sens!H3798+(Sens!I3792+Sens!I3793)*(1-a_g3_29)</f>
        <v>8738.19503724</v>
      </c>
      <c r="J3798" s="30" t="n">
        <f aca="false">Sens!I3798+(Sens!J3792+Sens!J3793)*(1-a_g3_29)</f>
        <v>10662.5410479048</v>
      </c>
      <c r="K3798" s="30" t="n">
        <f aca="false">Sens!J3798+(Sens!K3792+Sens!K3793)*(1-a_g3_29)</f>
        <v>12438.4814902219</v>
      </c>
    </row>
    <row r="3799" customFormat="false" ht="17.15" hidden="false" customHeight="false" outlineLevel="0" collapsed="false">
      <c r="A3799" s="1" t="s">
        <v>972</v>
      </c>
      <c r="B3799" s="0" t="s">
        <v>403</v>
      </c>
      <c r="C3799" s="15" t="n">
        <f aca="false">(Sens!C3794*tk_hold_h100+Sens!C3795*tk_hold_gb200+Sens!C3796*tk_hold_gb300+Sens!C3798*tk_hold_vr200+Sens!C3797*nv_hold_mai*tk_hold_vr200)/Sens!C3786</f>
        <v>9.7235358126469</v>
      </c>
      <c r="D3799" s="15" t="n">
        <f aca="false">(Sens!D3794*tk_hold_h100+Sens!D3795*tk_hold_gb200+Sens!D3796*tk_hold_gb300+Sens!D3798*tk_hold_vr200+Sens!D3797*nv_hold_mai*tk_hold_vr200)/Sens!D3786</f>
        <v>9.7235358126469</v>
      </c>
      <c r="E3799" s="15" t="n">
        <f aca="false">(Sens!E3794*tk_hold_h100+Sens!E3795*tk_hold_gb200+Sens!E3796*tk_hold_gb300+Sens!E3798*tk_hold_vr200+Sens!E3797*nv_hold_mai*tk_hold_vr200)/Sens!E3786</f>
        <v>9.7235358126469</v>
      </c>
      <c r="F3799" s="15" t="n">
        <f aca="false">(Sens!F3794*tk_hold_h100+Sens!F3795*tk_hold_gb200+Sens!F3796*tk_hold_gb300+Sens!F3798*tk_hold_vr200+Sens!F3797*nv_hold_mai*tk_hold_vr200)/Sens!F3786</f>
        <v>10.2689692313307</v>
      </c>
      <c r="G3799" s="15" t="n">
        <f aca="false">(Sens!G3794*tk_hold_h100+Sens!G3795*tk_hold_gb200+Sens!G3796*tk_hold_gb300+Sens!G3798*tk_hold_vr200+Sens!G3797*nv_hold_mai*tk_hold_vr200)/Sens!G3786</f>
        <v>10.6289089323929</v>
      </c>
      <c r="H3799" s="15" t="n">
        <f aca="false">(Sens!H3794*tk_hold_h100+Sens!H3795*tk_hold_gb200+Sens!H3796*tk_hold_gb300+Sens!H3798*tk_hold_vr200+Sens!H3797*nv_hold_mai*tk_hold_vr200)/Sens!H3786</f>
        <v>10.8756428486304</v>
      </c>
      <c r="I3799" s="15" t="n">
        <f aca="false">(Sens!I3794*tk_hold_h100+Sens!I3795*tk_hold_gb200+Sens!I3796*tk_hold_gb300+Sens!I3798*tk_hold_vr200+Sens!I3797*nv_hold_mai*tk_hold_vr200)/Sens!I3786</f>
        <v>11.0469250311643</v>
      </c>
      <c r="J3799" s="15" t="n">
        <f aca="false">(Sens!J3794*tk_hold_h100+Sens!J3795*tk_hold_gb200+Sens!J3796*tk_hold_gb300+Sens!J3798*tk_hold_vr200+Sens!J3797*nv_hold_mai*tk_hold_vr200)/Sens!J3786</f>
        <v>11.1776048375843</v>
      </c>
      <c r="K3799" s="15" t="n">
        <f aca="false">(Sens!K3794*tk_hold_h100+Sens!K3795*tk_hold_gb200+Sens!K3796*tk_hold_gb300+Sens!K3798*tk_hold_vr200+Sens!K3797*nv_hold_mai*tk_hold_vr200)/Sens!K3786</f>
        <v>11.3511694689919</v>
      </c>
      <c r="L3799" s="1" t="s">
        <v>973</v>
      </c>
    </row>
    <row r="3800" customFormat="false" ht="17.15" hidden="false" customHeight="false" outlineLevel="0" collapsed="false">
      <c r="A3800" s="1" t="s">
        <v>974</v>
      </c>
      <c r="B3800" s="0" t="s">
        <v>403</v>
      </c>
      <c r="C3800" s="15" t="n">
        <f aca="false">(Sens!C3794*tk_hold_h100+Sens!C3795*tk_hold_gb200+Sens!C3796*tk_hold_gb300+Sens!C3798*tk_hold_vr200+Sens!C3797*nv_out_mai*tk_hold_vr200)/Sens!C3786</f>
        <v>9.7235358126469</v>
      </c>
      <c r="D3800" s="15" t="n">
        <f aca="false">(Sens!D3794*tk_hold_h100+Sens!D3795*tk_hold_gb200+Sens!D3796*tk_hold_gb300+Sens!D3798*tk_hold_vr200+Sens!D3797*nv_out_mai*tk_hold_vr200)/Sens!D3786</f>
        <v>9.7235358126469</v>
      </c>
      <c r="E3800" s="15" t="n">
        <f aca="false">(Sens!E3794*tk_hold_h100+Sens!E3795*tk_hold_gb200+Sens!E3796*tk_hold_gb300+Sens!E3798*tk_hold_vr200+Sens!E3797*nv_out_mai*tk_hold_vr200)/Sens!E3786</f>
        <v>9.7235358126469</v>
      </c>
      <c r="F3800" s="15" t="n">
        <f aca="false">(Sens!F3794*tk_hold_h100+Sens!F3795*tk_hold_gb200+Sens!F3796*tk_hold_gb300+Sens!F3798*tk_hold_vr200+Sens!F3797*nv_out_mai*tk_hold_vr200)/Sens!F3786</f>
        <v>10.2996352688042</v>
      </c>
      <c r="G3800" s="15" t="n">
        <f aca="false">(Sens!G3794*tk_hold_h100+Sens!G3795*tk_hold_gb200+Sens!G3796*tk_hold_gb300+Sens!G3798*tk_hold_vr200+Sens!G3797*nv_out_mai*tk_hold_vr200)/Sens!G3786</f>
        <v>10.6697513875807</v>
      </c>
      <c r="H3800" s="15" t="n">
        <f aca="false">(Sens!H3794*tk_hold_h100+Sens!H3795*tk_hold_gb200+Sens!H3796*tk_hold_gb300+Sens!H3798*tk_hold_vr200+Sens!H3797*nv_out_mai*tk_hold_vr200)/Sens!H3786</f>
        <v>10.92156500653</v>
      </c>
      <c r="I3800" s="15" t="n">
        <f aca="false">(Sens!I3794*tk_hold_h100+Sens!I3795*tk_hold_gb200+Sens!I3796*tk_hold_gb300+Sens!I3798*tk_hold_vr200+Sens!I3797*nv_out_mai*tk_hold_vr200)/Sens!I3786</f>
        <v>11.097081000036</v>
      </c>
      <c r="J3800" s="15" t="n">
        <f aca="false">(Sens!J3794*tk_hold_h100+Sens!J3795*tk_hold_gb200+Sens!J3796*tk_hold_gb300+Sens!J3798*tk_hold_vr200+Sens!J3797*nv_out_mai*tk_hold_vr200)/Sens!J3786</f>
        <v>11.2313716532703</v>
      </c>
      <c r="K3800" s="15" t="n">
        <f aca="false">(Sens!K3794*tk_hold_h100+Sens!K3795*tk_hold_gb200+Sens!K3796*tk_hold_gb300+Sens!K3798*tk_hold_vr200+Sens!K3797*nv_out_mai*tk_hold_vr200)/Sens!K3786</f>
        <v>11.4103510888253</v>
      </c>
      <c r="L3800" s="12" t="s">
        <v>975</v>
      </c>
    </row>
    <row r="3801" customFormat="false" ht="17.15" hidden="false" customHeight="false" outlineLevel="0" collapsed="false">
      <c r="A3801" s="0" t="s">
        <v>976</v>
      </c>
      <c r="B3801" s="0" t="s">
        <v>229</v>
      </c>
      <c r="C3801" s="15" t="n">
        <f aca="false">k_B</f>
        <v>1.17213932619116</v>
      </c>
      <c r="D3801" s="15" t="n">
        <f aca="false">k_B</f>
        <v>1.17213932619116</v>
      </c>
      <c r="E3801" s="15" t="n">
        <f aca="false">k_B</f>
        <v>1.17213932619116</v>
      </c>
      <c r="F3801" s="15" t="n">
        <f aca="false">(k_B+((ls_A*k_long+(1-ls_A)*k_spot)-k_B)*MIN(1,(Sens!F3784-base_fy)/k_ramp))</f>
        <v>1.25022828131298</v>
      </c>
      <c r="G3801" s="15" t="n">
        <f aca="false">(k_B+((ls_A*k_long+(1-ls_A)*k_spot)-k_B)*MIN(1,(Sens!G3784-base_fy)/k_ramp))</f>
        <v>1.3283172364348</v>
      </c>
      <c r="H3801" s="15" t="n">
        <f aca="false">(k_B+((ls_A*k_long+(1-ls_A)*k_spot)-k_B)*MIN(1,(Sens!H3784-base_fy)/k_ramp))</f>
        <v>1.40640619155662</v>
      </c>
      <c r="I3801" s="15" t="n">
        <f aca="false">(k_B+((ls_A*k_long+(1-ls_A)*k_spot)-k_B)*MIN(1,(Sens!I3784-base_fy)/k_ramp))</f>
        <v>1.40640619155662</v>
      </c>
      <c r="J3801" s="15" t="n">
        <f aca="false">(k_B+((ls_A*k_long+(1-ls_A)*k_spot)-k_B)*MIN(1,(Sens!J3784-base_fy)/k_ramp))</f>
        <v>1.40640619155662</v>
      </c>
      <c r="K3801" s="15" t="n">
        <f aca="false">(k_B+((ls_A*k_long+(1-ls_A)*k_spot)-k_B)*MIN(1,(Sens!K3784-base_fy)/k_ramp))</f>
        <v>1.40640619155662</v>
      </c>
      <c r="L3801" s="1" t="s">
        <v>977</v>
      </c>
    </row>
    <row r="3802" customFormat="false" ht="17.15" hidden="false" customHeight="false" outlineLevel="0" collapsed="false">
      <c r="A3802" s="1" t="s">
        <v>978</v>
      </c>
      <c r="B3802" s="0" t="s">
        <v>403</v>
      </c>
      <c r="C3802" s="15" t="n">
        <f aca="false">Sens!C3800*Sens!C3801*chip_f</f>
        <v>11.3973387156315</v>
      </c>
      <c r="D3802" s="15" t="n">
        <f aca="false">Sens!D3800*Sens!D3801*chip_f</f>
        <v>11.3973387156315</v>
      </c>
      <c r="E3802" s="15" t="n">
        <f aca="false">Sens!E3800*Sens!E3801*chip_f</f>
        <v>11.3973387156315</v>
      </c>
      <c r="F3802" s="15" t="n">
        <f aca="false">Sens!F3800*Sens!F3801*chip_f</f>
        <v>12.8768953002676</v>
      </c>
      <c r="G3802" s="15" t="n">
        <f aca="false">Sens!G3800*Sens!G3801*chip_f</f>
        <v>14.1728146765976</v>
      </c>
      <c r="H3802" s="15" t="n">
        <f aca="false">Sens!H3800*Sens!H3801*chip_f</f>
        <v>15.3601566466719</v>
      </c>
      <c r="I3802" s="15" t="n">
        <f aca="false">Sens!I3800*Sens!I3801*chip_f</f>
        <v>15.607003426656</v>
      </c>
      <c r="J3802" s="15" t="n">
        <f aca="false">Sens!J3800*Sens!J3801*chip_f</f>
        <v>15.7958706328329</v>
      </c>
      <c r="K3802" s="15" t="n">
        <f aca="false">Sens!K3800*Sens!K3801*chip_f</f>
        <v>16.0475884191587</v>
      </c>
      <c r="L3802" s="1" t="s">
        <v>979</v>
      </c>
    </row>
    <row r="3803" customFormat="false" ht="17.15" hidden="false" customHeight="false" outlineLevel="0" collapsed="false">
      <c r="A3803" s="0" t="s">
        <v>980</v>
      </c>
      <c r="B3803" s="0" t="s">
        <v>98</v>
      </c>
      <c r="D3803" s="6" t="n">
        <f aca="false">(Sens!C3786+Sens!D3786)/2*Sens!D3802/1000</f>
        <v>12.9359794422418</v>
      </c>
      <c r="E3803" s="6" t="n">
        <f aca="false">(Sens!D3786+Sens!E3786)/2*Sens!E3802/1000</f>
        <v>27.8095064661409</v>
      </c>
      <c r="F3803" s="6" t="n">
        <f aca="false">(Sens!E3786+Sens!F3786)/2*Sens!F3802/1000</f>
        <v>62.9154939349924</v>
      </c>
      <c r="G3803" s="6" t="n">
        <f aca="false">(Sens!F3786+Sens!G3786)/2*Sens!G3802/1000</f>
        <v>115.618465725711</v>
      </c>
      <c r="H3803" s="6" t="n">
        <f aca="false">(Sens!G3786+Sens!H3786)/2*Sens!H3802/1000</f>
        <v>175.560527817631</v>
      </c>
      <c r="I3803" s="6" t="n">
        <f aca="false">(Sens!H3786+Sens!I3786)/2*Sens!I3802/1000</f>
        <v>221.954500304381</v>
      </c>
      <c r="J3803" s="6" t="n">
        <f aca="false">(Sens!I3786+Sens!J3786)/2*Sens!J3802/1000</f>
        <v>253.942169232691</v>
      </c>
      <c r="K3803" s="6" t="n">
        <f aca="false">(Sens!J3786+Sens!K3786)/2*Sens!K3802/1000</f>
        <v>273.245586061025</v>
      </c>
      <c r="L3803" s="12" t="s">
        <v>981</v>
      </c>
    </row>
    <row r="3804" customFormat="false" ht="17.15" hidden="false" customHeight="false" outlineLevel="0" collapsed="false">
      <c r="A3804" s="1" t="s">
        <v>982</v>
      </c>
      <c r="B3804" s="0" t="s">
        <v>403</v>
      </c>
      <c r="C3804" s="15" t="n">
        <f aca="false">(Sens!C3794*tk_opex_h100+Sens!C3795*tk_opex_gb200+Sens!C3796*tk_opex_gb300+(Sens!C3798+Sens!C3797)*tk_opex_vr200)/Sens!C3786</f>
        <v>1.88636041306092</v>
      </c>
      <c r="D3804" s="15" t="n">
        <f aca="false">(Sens!D3794*tk_opex_h100+Sens!D3795*tk_opex_gb200+Sens!D3796*tk_opex_gb300+(Sens!D3798+Sens!D3797)*tk_opex_vr200)/Sens!D3786</f>
        <v>1.88636041306092</v>
      </c>
      <c r="E3804" s="15" t="n">
        <f aca="false">(Sens!E3794*tk_opex_h100+Sens!E3795*tk_opex_gb200+Sens!E3796*tk_opex_gb300+(Sens!E3798+Sens!E3797)*tk_opex_vr200)/Sens!E3786</f>
        <v>1.88636041306092</v>
      </c>
      <c r="F3804" s="15" t="n">
        <f aca="false">(Sens!F3794*tk_opex_h100+Sens!F3795*tk_opex_gb200+Sens!F3796*tk_opex_gb300+(Sens!F3798+Sens!F3797)*tk_opex_vr200)/Sens!F3786</f>
        <v>1.95690523121485</v>
      </c>
      <c r="G3804" s="15" t="n">
        <f aca="false">(Sens!G3794*tk_opex_h100+Sens!G3795*tk_opex_gb200+Sens!G3796*tk_opex_gb300+(Sens!G3798+Sens!G3797)*tk_opex_vr200)/Sens!G3786</f>
        <v>1.99512968065993</v>
      </c>
      <c r="H3804" s="15" t="n">
        <f aca="false">(Sens!H3794*tk_opex_h100+Sens!H3795*tk_opex_gb200+Sens!H3796*tk_opex_gb300+(Sens!H3798+Sens!H3797)*tk_opex_vr200)/Sens!H3786</f>
        <v>2.01976225803135</v>
      </c>
      <c r="I3804" s="15" t="n">
        <f aca="false">(Sens!I3794*tk_opex_h100+Sens!I3795*tk_opex_gb200+Sens!I3796*tk_opex_gb300+(Sens!I3798+Sens!I3797)*tk_opex_vr200)/Sens!I3786</f>
        <v>2.03744787525749</v>
      </c>
      <c r="J3804" s="15" t="n">
        <f aca="false">(Sens!J3794*tk_opex_h100+Sens!J3795*tk_opex_gb200+Sens!J3796*tk_opex_gb300+(Sens!J3798+Sens!J3797)*tk_opex_vr200)/Sens!J3786</f>
        <v>2.05125627122296</v>
      </c>
      <c r="K3804" s="15" t="n">
        <f aca="false">(Sens!K3794*tk_opex_h100+Sens!K3795*tk_opex_gb200+Sens!K3796*tk_opex_gb300+(Sens!K3798+Sens!K3797)*tk_opex_vr200)/Sens!K3786</f>
        <v>2.07010859619451</v>
      </c>
      <c r="L3804" s="12" t="s">
        <v>983</v>
      </c>
    </row>
    <row r="3805" customFormat="false" ht="17.15" hidden="false" customHeight="false" outlineLevel="0" collapsed="false">
      <c r="A3805" s="0" t="s">
        <v>984</v>
      </c>
      <c r="B3805" s="0" t="s">
        <v>98</v>
      </c>
      <c r="D3805" s="6" t="n">
        <f aca="false">(Sens!C3789+Sens!D3789)/2*Sens!D3804/1000</f>
        <v>2.70378325872065</v>
      </c>
      <c r="E3805" s="6" t="n">
        <f aca="false">(Sens!D3789+Sens!E3789)/2*Sens!E3804/1000</f>
        <v>6.17783035277451</v>
      </c>
      <c r="F3805" s="6" t="n">
        <f aca="false">(Sens!E3789+Sens!F3789)/2*Sens!F3804/1000</f>
        <v>13.8057089427225</v>
      </c>
      <c r="G3805" s="6" t="n">
        <f aca="false">(Sens!F3789+Sens!G3789)/2*Sens!G3804/1000</f>
        <v>24.6124623493897</v>
      </c>
      <c r="H3805" s="6" t="n">
        <f aca="false">(Sens!G3789+Sens!H3789)/2*Sens!H3804/1000</f>
        <v>35.930241903439</v>
      </c>
      <c r="I3805" s="6" t="n">
        <f aca="false">(Sens!H3789+Sens!I3789)/2*Sens!I3804/1000</f>
        <v>45.7253153845642</v>
      </c>
      <c r="J3805" s="6" t="n">
        <f aca="false">(Sens!I3789+Sens!J3789)/2*Sens!J3804/1000</f>
        <v>52.3770881234055</v>
      </c>
      <c r="K3805" s="6" t="n">
        <f aca="false">(Sens!J3789+Sens!K3789)/2*Sens!K3804/1000</f>
        <v>56.1386040177415</v>
      </c>
    </row>
    <row r="3806" customFormat="false" ht="17.15" hidden="false" customHeight="false" outlineLevel="0" collapsed="false">
      <c r="A3806" s="0" t="s">
        <v>985</v>
      </c>
      <c r="B3806" s="0" t="s">
        <v>98</v>
      </c>
      <c r="D3806" s="6" t="n">
        <f aca="false">(Sens!C3787+Sens!D3787)/2*rent_mw/1000</f>
        <v>2.44475</v>
      </c>
      <c r="E3806" s="6" t="n">
        <f aca="false">(Sens!D3787+Sens!E3787)/2*rent_mw/1000</f>
        <v>4.22275</v>
      </c>
      <c r="F3806" s="6" t="n">
        <f aca="false">(Sens!E3787+Sens!F3787)/2*rent_mw/1000</f>
        <v>5.80517</v>
      </c>
      <c r="G3806" s="6" t="n">
        <f aca="false">(Sens!F3787+Sens!G3787)/2*rent_mw/1000</f>
        <v>6.72084</v>
      </c>
      <c r="H3806" s="6" t="n">
        <f aca="false">(Sens!G3787+Sens!H3787)/2*rent_mw/1000</f>
        <v>6.72084</v>
      </c>
      <c r="I3806" s="6" t="n">
        <f aca="false">(Sens!H3787+Sens!I3787)/2*rent_mw/1000</f>
        <v>6.72084</v>
      </c>
      <c r="J3806" s="6" t="n">
        <f aca="false">(Sens!I3787+Sens!J3787)/2*rent_mw/1000</f>
        <v>6.72084</v>
      </c>
      <c r="K3806" s="6" t="n">
        <f aca="false">(Sens!J3787+Sens!K3787)/2*rent_mw/1000</f>
        <v>6.72084</v>
      </c>
    </row>
    <row r="3807" customFormat="false" ht="17.15" hidden="false" customHeight="false" outlineLevel="0" collapsed="false">
      <c r="A3807" s="0" t="s">
        <v>986</v>
      </c>
      <c r="B3807" s="0" t="s">
        <v>98</v>
      </c>
      <c r="D3807" s="6" t="n">
        <f aca="false">(Sens!C3789+Sens!D3789)/2*(1-self_build)*fac_rent/1000</f>
        <v>0.853242375631075</v>
      </c>
      <c r="E3807" s="6" t="n">
        <f aca="false">(Sens!D3789+Sens!E3789)/2*(1-self_build)*fac_rent/1000</f>
        <v>1.94955961408728</v>
      </c>
      <c r="F3807" s="6" t="n">
        <f aca="false">(Sens!E3789+Sens!F3789)/2*(1-self_build)*fac_rent/1000</f>
        <v>4.19966002452699</v>
      </c>
      <c r="G3807" s="6" t="n">
        <f aca="false">(Sens!F3789+Sens!G3789)/2*(1-self_build)*fac_rent/1000</f>
        <v>7.34360232507189</v>
      </c>
      <c r="H3807" s="6" t="n">
        <f aca="false">(Sens!G3789+Sens!H3789)/2*(1-self_build)*fac_rent/1000</f>
        <v>10.5897352822331</v>
      </c>
      <c r="I3807" s="6" t="n">
        <f aca="false">(Sens!H3789+Sens!I3789)/2*(1-self_build)*fac_rent/1000</f>
        <v>13.359660386555</v>
      </c>
      <c r="J3807" s="6" t="n">
        <f aca="false">(Sens!I3789+Sens!J3789)/2*(1-self_build)*fac_rent/1000</f>
        <v>15.2001069577134</v>
      </c>
      <c r="K3807" s="6" t="n">
        <f aca="false">(Sens!J3789+Sens!K3789)/2*(1-self_build)*fac_rent/1000</f>
        <v>16.1433512203281</v>
      </c>
      <c r="L3807" s="12" t="s">
        <v>987</v>
      </c>
    </row>
    <row r="3808" customFormat="false" ht="17.15" hidden="false" customHeight="false" outlineLevel="0" collapsed="false">
      <c r="A3808" s="1" t="s">
        <v>988</v>
      </c>
      <c r="B3808" s="0" t="s">
        <v>168</v>
      </c>
      <c r="D3808" s="7" t="n">
        <f aca="false">(Sens!C3788+Sens!D3788)/(Sens!C3789+Sens!D3789)</f>
        <v>0.6</v>
      </c>
      <c r="E3808" s="7" t="n">
        <f aca="false">(Sens!D3788+Sens!E3788)/(Sens!D3789+Sens!E3789)</f>
        <v>0.6</v>
      </c>
      <c r="F3808" s="7" t="n">
        <f aca="false">(Sens!E3788+Sens!F3788)/(Sens!E3789+Sens!F3789)</f>
        <v>0.6</v>
      </c>
      <c r="G3808" s="7" t="n">
        <f aca="false">(Sens!F3788+Sens!G3788)/(Sens!F3789+Sens!G3789)</f>
        <v>0.6</v>
      </c>
      <c r="H3808" s="7" t="n">
        <f aca="false">(Sens!G3788+Sens!H3788)/(Sens!G3789+Sens!H3789)</f>
        <v>0.6</v>
      </c>
      <c r="I3808" s="7" t="n">
        <f aca="false">(Sens!H3788+Sens!I3788)/(Sens!H3789+Sens!I3789)</f>
        <v>0.6</v>
      </c>
      <c r="J3808" s="7" t="n">
        <f aca="false">(Sens!I3788+Sens!J3788)/(Sens!I3789+Sens!J3789)</f>
        <v>0.6</v>
      </c>
      <c r="K3808" s="7" t="n">
        <f aca="false">(Sens!J3788+Sens!K3788)/(Sens!J3789+Sens!K3789)</f>
        <v>0.6</v>
      </c>
    </row>
    <row r="3809" customFormat="false" ht="17.15" hidden="false" customHeight="false" outlineLevel="0" collapsed="false">
      <c r="A3809" s="0" t="s">
        <v>989</v>
      </c>
      <c r="B3809" s="0" t="s">
        <v>98</v>
      </c>
      <c r="D3809" s="6" t="n">
        <f aca="false">Sens!D3803-Sens!D3808*(Sens!D3805+Sens!D3807)-Sens!D3806</f>
        <v>8.35701406163072</v>
      </c>
      <c r="E3809" s="6" t="n">
        <f aca="false">Sens!E3803-Sens!E3808*(Sens!E3805+Sens!E3807)-Sens!E3806</f>
        <v>18.7103224860238</v>
      </c>
      <c r="F3809" s="6" t="n">
        <f aca="false">Sens!F3803-Sens!F3808*(Sens!F3805+Sens!F3807)-Sens!F3806</f>
        <v>46.3071025546427</v>
      </c>
      <c r="G3809" s="6" t="n">
        <f aca="false">Sens!G3803-Sens!G3808*(Sens!G3805+Sens!G3807)-Sens!G3806</f>
        <v>89.7239869210345</v>
      </c>
      <c r="H3809" s="6" t="n">
        <f aca="false">Sens!H3803-Sens!H3808*(Sens!H3805+Sens!H3807)-Sens!H3806</f>
        <v>140.927701506228</v>
      </c>
      <c r="I3809" s="6" t="n">
        <f aca="false">Sens!I3803-Sens!I3808*(Sens!I3805+Sens!I3807)-Sens!I3806</f>
        <v>179.78267484171</v>
      </c>
      <c r="J3809" s="6" t="n">
        <f aca="false">Sens!J3803-Sens!J3808*(Sens!J3805+Sens!J3807)-Sens!J3806</f>
        <v>206.67501218402</v>
      </c>
      <c r="K3809" s="6" t="n">
        <f aca="false">Sens!K3803-Sens!K3808*(Sens!K3805+Sens!K3807)-Sens!K3806</f>
        <v>223.155572918183</v>
      </c>
    </row>
    <row r="3810" customFormat="false" ht="17.15" hidden="false" customHeight="false" outlineLevel="0" collapsed="false">
      <c r="A3810" s="1" t="s">
        <v>990</v>
      </c>
      <c r="B3810" s="0" t="s">
        <v>98</v>
      </c>
      <c r="D3810" s="6" t="n">
        <f aca="false">(1-Sens!D3808)*(Sens!D3805+Sens!D3807)</f>
        <v>1.42281025374069</v>
      </c>
      <c r="E3810" s="6" t="n">
        <f aca="false">(1-Sens!E3808)*(Sens!E3805+Sens!E3807)</f>
        <v>3.25095598674472</v>
      </c>
      <c r="F3810" s="6" t="n">
        <f aca="false">(1-Sens!F3808)*(Sens!F3805+Sens!F3807)</f>
        <v>7.2021475868998</v>
      </c>
      <c r="G3810" s="6" t="n">
        <f aca="false">(1-Sens!G3808)*(Sens!G3805+Sens!G3807)</f>
        <v>12.7824258697846</v>
      </c>
      <c r="H3810" s="6" t="n">
        <f aca="false">(1-Sens!H3808)*(Sens!H3805+Sens!H3807)</f>
        <v>18.6079908742688</v>
      </c>
      <c r="I3810" s="6" t="n">
        <f aca="false">(1-Sens!I3808)*(Sens!I3805+Sens!I3807)</f>
        <v>23.6339903084477</v>
      </c>
      <c r="J3810" s="6" t="n">
        <f aca="false">(1-Sens!J3808)*(Sens!J3805+Sens!J3807)</f>
        <v>27.0308780324476</v>
      </c>
      <c r="K3810" s="6" t="n">
        <f aca="false">(1-Sens!K3808)*(Sens!K3805+Sens!K3807)</f>
        <v>28.9127820952278</v>
      </c>
    </row>
    <row r="3811" customFormat="false" ht="17.15" hidden="false" customHeight="false" outlineLevel="0" collapsed="false">
      <c r="A3811" s="1" t="s">
        <v>991</v>
      </c>
      <c r="B3811" s="0" t="s">
        <v>417</v>
      </c>
      <c r="C3811" s="8" t="n">
        <f aca="false">cxit_open</f>
        <v>27.5918995</v>
      </c>
      <c r="D3811" s="8" t="n">
        <f aca="false">cxit_open</f>
        <v>27.5918995</v>
      </c>
      <c r="E3811" s="8" t="n">
        <f aca="false">cxit_open</f>
        <v>27.5918995</v>
      </c>
      <c r="F3811" s="8" t="n">
        <f aca="false">((a_g3_27-nonnv*a_mai)*tk_cxit_gb300+nonnv*a_mai*nv_hold_mai*tk_cxit_vr200+(1-a_g3_27)*tk_cxit_vr200)</f>
        <v>32.4975576</v>
      </c>
      <c r="G3811" s="8" t="n">
        <f aca="false">((a_g3_28-nonnv*a_mai)*tk_cxit_gb300+nonnv*a_mai*nv_hold_mai*tk_cxit_vr200+(1-a_g3_28)*tk_cxit_vr200)</f>
        <v>34.6372088</v>
      </c>
      <c r="H3811" s="8" t="n">
        <f aca="false">((a_g3_29-nonnv*a_mai)*tk_cxit_gb300+nonnv*a_mai*nv_hold_mai*tk_cxit_vr200+(1-a_g3_29)*tk_cxit_vr200)</f>
        <v>35.7070344</v>
      </c>
      <c r="I3811" s="8" t="n">
        <f aca="false">((a_g3_29-nonnv*a_mai)*tk_cxit_gb300+nonnv*a_mai*nv_hold_mai*tk_cxit_vr200+(1-a_g3_29)*tk_cxit_vr200)</f>
        <v>35.7070344</v>
      </c>
      <c r="J3811" s="8" t="n">
        <f aca="false">((a_g3_29-nonnv*a_mai)*tk_cxit_gb300+nonnv*a_mai*nv_hold_mai*tk_cxit_vr200+(1-a_g3_29)*tk_cxit_vr200)</f>
        <v>35.7070344</v>
      </c>
      <c r="K3811" s="8" t="n">
        <f aca="false">((a_g3_29-nonnv*a_mai)*tk_cxit_gb300+nonnv*a_mai*nv_hold_mai*tk_cxit_vr200+(1-a_g3_29)*tk_cxit_vr200)</f>
        <v>35.7070344</v>
      </c>
      <c r="L3811" s="12" t="s">
        <v>992</v>
      </c>
    </row>
    <row r="3812" customFormat="false" ht="17.15" hidden="false" customHeight="false" outlineLevel="0" collapsed="false">
      <c r="A3812" s="0" t="s">
        <v>993</v>
      </c>
      <c r="B3812" s="0" t="s">
        <v>459</v>
      </c>
      <c r="F3812" s="30" t="n">
        <f aca="false">Sens!C3791*IF(Sens!F3784-Sens!C3784=life_it,1,0)+Sens!D3791*IF(Sens!F3784-Sens!D3784=life_it,1,0)+Sens!E3791*IF(Sens!F3784-Sens!E3784=life_it,1,0)</f>
        <v>0</v>
      </c>
      <c r="G3812" s="30" t="n">
        <f aca="false">Sens!C3791*IF(Sens!G3784-Sens!C3784=life_it,1,0)+Sens!D3791*IF(Sens!G3784-Sens!D3784=life_it,1,0)+Sens!E3791*IF(Sens!G3784-Sens!E3784=life_it,1,0)+Sens!F3791*IF(Sens!G3784-Sens!F3784=life_it,1,0)</f>
        <v>0</v>
      </c>
      <c r="H3812" s="30" t="n">
        <f aca="false">Sens!C3791*IF(Sens!H3784-Sens!C3784=life_it,1,0)+Sens!D3791*IF(Sens!H3784-Sens!D3784=life_it,1,0)+Sens!E3791*IF(Sens!H3784-Sens!E3784=life_it,1,0)+Sens!F3791*IF(Sens!H3784-Sens!F3784=life_it,1,0)+Sens!G3791*IF(Sens!H3784-Sens!G3784=life_it,1,0)</f>
        <v>0</v>
      </c>
      <c r="I3812" s="30" t="n">
        <f aca="false">Sens!C3791*IF(Sens!I3784-Sens!C3784=life_it,1,0)+Sens!D3791*IF(Sens!I3784-Sens!D3784=life_it,1,0)+Sens!E3791*IF(Sens!I3784-Sens!E3784=life_it,1,0)+Sens!F3791*IF(Sens!I3784-Sens!F3784=life_it,1,0)+Sens!G3791*IF(Sens!I3784-Sens!G3784=life_it,1,0)+Sens!H3791*IF(Sens!I3784-Sens!H3784=life_it,1,0)</f>
        <v>816.666666666667</v>
      </c>
      <c r="J3812" s="30" t="n">
        <f aca="false">Sens!C3791*IF(Sens!J3784-Sens!C3784=life_it,1,0)+Sens!D3791*IF(Sens!J3784-Sens!D3784=life_it,1,0)+Sens!E3791*IF(Sens!J3784-Sens!E3784=life_it,1,0)+Sens!F3791*IF(Sens!J3784-Sens!F3784=life_it,1,0)+Sens!G3791*IF(Sens!J3784-Sens!G3784=life_it,1,0)+Sens!H3791*IF(Sens!J3784-Sens!H3784=life_it,1,0)+Sens!I3791*IF(Sens!J3784-Sens!I3784=life_it,1,0)</f>
        <v>1233.33333333333</v>
      </c>
      <c r="K3812" s="30" t="n">
        <f aca="false">Sens!C3791*IF(Sens!K3784-Sens!C3784=life_it,1,0)+Sens!D3791*IF(Sens!K3784-Sens!D3784=life_it,1,0)+Sens!E3791*IF(Sens!K3784-Sens!E3784=life_it,1,0)+Sens!F3791*IF(Sens!K3784-Sens!F3784=life_it,1,0)+Sens!G3791*IF(Sens!K3784-Sens!G3784=life_it,1,0)+Sens!H3791*IF(Sens!K3784-Sens!H3784=life_it,1,0)+Sens!I3791*IF(Sens!K3784-Sens!I3784=life_it,1,0)+Sens!J3791*IF(Sens!K3784-Sens!J3784=life_it,1,0)</f>
        <v>2450</v>
      </c>
      <c r="L3812" s="1" t="s">
        <v>994</v>
      </c>
    </row>
    <row r="3813" customFormat="false" ht="17.15" hidden="false" customHeight="false" outlineLevel="0" collapsed="false">
      <c r="A3813" s="0" t="s">
        <v>995</v>
      </c>
      <c r="B3813" s="0" t="s">
        <v>98</v>
      </c>
      <c r="C3813" s="6" t="n">
        <f aca="false">Sens!C3791*Sens!C3811/1000</f>
        <v>22.5333845916667</v>
      </c>
      <c r="D3813" s="6" t="n">
        <f aca="false">Sens!D3791*Sens!D3811/1000</f>
        <v>34.0300093833333</v>
      </c>
      <c r="E3813" s="6" t="n">
        <f aca="false">Sens!E3791*Sens!E3811/1000</f>
        <v>67.600153775</v>
      </c>
      <c r="F3813" s="6" t="n">
        <f aca="false">(Sens!F3791+Sens!F3812)*Sens!F3811/1000</f>
        <v>166.053968145344</v>
      </c>
      <c r="G3813" s="6" t="n">
        <f aca="false">(Sens!G3791+Sens!G3812)*Sens!G3811/1000</f>
        <v>188.879131118458</v>
      </c>
      <c r="H3813" s="6" t="n">
        <f aca="false">(Sens!H3791+Sens!H3812)*Sens!H3811/1000</f>
        <v>194.712965217015</v>
      </c>
      <c r="I3813" s="6" t="n">
        <f aca="false">(Sens!I3791+Sens!I3812)*Sens!I3811/1000</f>
        <v>166.744908224521</v>
      </c>
      <c r="J3813" s="6" t="n">
        <f aca="false">(Sens!J3791+Sens!J3812)*Sens!J3811/1000</f>
        <v>127.245720741316</v>
      </c>
      <c r="K3813" s="6" t="n">
        <f aca="false">(Sens!K3791+Sens!K3812)*Sens!K3811/1000</f>
        <v>117.432530492906</v>
      </c>
    </row>
    <row r="3814" customFormat="false" ht="17.15" hidden="false" customHeight="false" outlineLevel="0" collapsed="false">
      <c r="A3814" s="0" t="s">
        <v>996</v>
      </c>
      <c r="B3814" s="0" t="s">
        <v>98</v>
      </c>
      <c r="C3814" s="6" t="n">
        <f aca="false">Sens!C3791*self_build*tk_cxfac/1000</f>
        <v>6.2083</v>
      </c>
      <c r="D3814" s="6" t="n">
        <f aca="false">Sens!D3791*self_build*tk_cxfac/1000</f>
        <v>9.3758</v>
      </c>
      <c r="E3814" s="6" t="n">
        <f aca="false">Sens!E3791*self_build*tk_cxfac/1000</f>
        <v>18.6249</v>
      </c>
      <c r="F3814" s="6" t="n">
        <f aca="false">Sens!F3791*self_build*tk_cxfac/1000</f>
        <v>38.8442196604</v>
      </c>
      <c r="G3814" s="6" t="n">
        <f aca="false">Sens!G3791*self_build*tk_cxfac/1000</f>
        <v>41.4542396604</v>
      </c>
      <c r="H3814" s="6" t="n">
        <f aca="false">Sens!H3791*self_build*tk_cxfac/1000</f>
        <v>41.4542396604</v>
      </c>
      <c r="I3814" s="6" t="n">
        <f aca="false">Sens!I3791*self_build*tk_cxfac/1000</f>
        <v>29.291561963412</v>
      </c>
      <c r="J3814" s="6" t="n">
        <f aca="false">Sens!J3791*self_build*tk_cxfac/1000</f>
        <v>17.7147155056922</v>
      </c>
      <c r="K3814" s="6" t="n">
        <f aca="false">Sens!K3791*self_build*tk_cxfac/1000</f>
        <v>6.3763948935091</v>
      </c>
    </row>
    <row r="3815" customFormat="false" ht="17.15" hidden="false" customHeight="false" outlineLevel="0" collapsed="false">
      <c r="A3815" s="0" t="s">
        <v>997</v>
      </c>
      <c r="B3815" s="0" t="s">
        <v>98</v>
      </c>
      <c r="F3815" s="15" t="n">
        <f aca="false">capex_floor27-Sens!F3813-Sens!F3814-Sens!F3911</f>
        <v>-36.2292917333313</v>
      </c>
      <c r="L3815" s="12" t="s">
        <v>998</v>
      </c>
    </row>
    <row r="3816" customFormat="false" ht="17.15" hidden="false" customHeight="false" outlineLevel="0" collapsed="false">
      <c r="A3816" s="0" t="s">
        <v>999</v>
      </c>
      <c r="B3816" s="0" t="s">
        <v>98</v>
      </c>
      <c r="F3816" s="6" t="n">
        <f aca="false">MAX(0,Sens!F3815)</f>
        <v>0</v>
      </c>
    </row>
    <row r="3817" customFormat="false" ht="17.15" hidden="false" customHeight="false" outlineLevel="0" collapsed="false">
      <c r="A3817" s="0" t="s">
        <v>1000</v>
      </c>
      <c r="B3817" s="0" t="s">
        <v>98</v>
      </c>
      <c r="C3817" s="6" t="n">
        <f aca="false">Sens!C3813</f>
        <v>22.5333845916667</v>
      </c>
      <c r="D3817" s="6" t="n">
        <f aca="false">Sens!D3813</f>
        <v>34.0300093833333</v>
      </c>
      <c r="E3817" s="6" t="n">
        <f aca="false">Sens!E3813</f>
        <v>67.600153775</v>
      </c>
      <c r="F3817" s="6" t="n">
        <f aca="false">Sens!F3813</f>
        <v>166.053968145344</v>
      </c>
      <c r="G3817" s="6" t="n">
        <f aca="false">Sens!G3813</f>
        <v>188.879131118458</v>
      </c>
      <c r="H3817" s="6" t="n">
        <f aca="false">Sens!H3813</f>
        <v>194.712965217015</v>
      </c>
      <c r="I3817" s="6" t="n">
        <f aca="false">Sens!I3813</f>
        <v>166.744908224521</v>
      </c>
      <c r="J3817" s="6" t="n">
        <f aca="false">Sens!J3813</f>
        <v>127.245720741316</v>
      </c>
      <c r="K3817" s="6" t="n">
        <f aca="false">Sens!K3813</f>
        <v>117.432530492906</v>
      </c>
    </row>
    <row r="3818" customFormat="false" ht="17.15" hidden="false" customHeight="false" outlineLevel="0" collapsed="false">
      <c r="A3818" s="0" t="s">
        <v>1001</v>
      </c>
      <c r="B3818" s="0" t="s">
        <v>98</v>
      </c>
      <c r="C3818" s="6" t="n">
        <f aca="false">Sens!C3817+Sens!C3814</f>
        <v>28.7416845916667</v>
      </c>
      <c r="D3818" s="6" t="n">
        <f aca="false">Sens!D3817+Sens!D3814</f>
        <v>43.4058093833333</v>
      </c>
      <c r="E3818" s="6" t="n">
        <f aca="false">Sens!E3817+Sens!E3814</f>
        <v>86.225053775</v>
      </c>
      <c r="F3818" s="6" t="n">
        <f aca="false">Sens!F3817+Sens!F3814</f>
        <v>204.898187805744</v>
      </c>
      <c r="G3818" s="6" t="n">
        <f aca="false">Sens!G3817+Sens!G3814</f>
        <v>230.333370778858</v>
      </c>
      <c r="H3818" s="6" t="n">
        <f aca="false">Sens!H3817+Sens!H3814</f>
        <v>236.167204877415</v>
      </c>
      <c r="I3818" s="6" t="n">
        <f aca="false">Sens!I3817+Sens!I3814</f>
        <v>196.036470187933</v>
      </c>
      <c r="J3818" s="6" t="n">
        <f aca="false">Sens!J3817+Sens!J3814</f>
        <v>144.960436247008</v>
      </c>
      <c r="K3818" s="6" t="n">
        <f aca="false">Sens!K3817+Sens!K3814</f>
        <v>123.808925386415</v>
      </c>
      <c r="L3818" s="12" t="s">
        <v>1002</v>
      </c>
    </row>
    <row r="3819" customFormat="false" ht="17.15" hidden="false" customHeight="false" outlineLevel="0" collapsed="false">
      <c r="A3819" s="0" t="s">
        <v>1003</v>
      </c>
      <c r="B3819" s="0" t="s">
        <v>98</v>
      </c>
      <c r="E3819" s="6" t="n">
        <f aca="false">(Sens!C3817*IF(2&lt;life_it,1,IF(2=life_it,0.5,0))+Sens!D3817*IF(1&lt;life_it,1,IF(1=life_it,0.5,0))+Sens!E3817*0.5)/life_it</f>
        <v>15.0605784770833</v>
      </c>
      <c r="F3819" s="6" t="n">
        <f aca="false">(Sens!C3817*IF(3&lt;life_it,1,IF(3=life_it,0.5,0))+Sens!D3817*IF(2&lt;life_it,1,IF(2=life_it,0.5,0))+Sens!E3817*IF(1&lt;life_it,1,IF(1=life_it,0.5,0))+Sens!F3817*0.5)/life_it</f>
        <v>34.5317553037786</v>
      </c>
      <c r="G3819" s="6" t="n">
        <f aca="false">(Sens!C3817*IF(4&lt;life_it,1,IF(4=life_it,0.5,0))+Sens!D3817*IF(3&lt;life_it,1,IF(3=life_it,0.5,0))+Sens!E3817*IF(2&lt;life_it,1,IF(2=life_it,0.5,0))+Sens!F3817*IF(1&lt;life_it,1,IF(1=life_it,0.5,0))+Sens!G3817*0.5)/life_it</f>
        <v>64.1095135757621</v>
      </c>
      <c r="H3819" s="6" t="n">
        <f aca="false">(Sens!C3817*IF(5&lt;life_it,1,IF(5=life_it,0.5,0))+Sens!D3817*IF(4&lt;life_it,1,IF(4=life_it,0.5,0))+Sens!E3817*IF(3&lt;life_it,1,IF(3=life_it,0.5,0))+Sens!F3817*IF(2&lt;life_it,1,IF(2=life_it,0.5,0))+Sens!G3817*IF(1&lt;life_it,1,IF(1=life_it,0.5,0))+Sens!H3817*0.5)/life_it</f>
        <v>96.0755216037181</v>
      </c>
      <c r="I3819" s="6" t="n">
        <f aca="false">(Sens!C3817*IF(6&lt;life_it,1,IF(6=life_it,0.5,0))+Sens!D3817*IF(5&lt;life_it,1,IF(5=life_it,0.5,0))+Sens!E3817*IF(4&lt;life_it,1,IF(4=life_it,0.5,0))+Sens!F3817*IF(3&lt;life_it,1,IF(3=life_it,0.5,0))+Sens!G3817*IF(2&lt;life_it,1,IF(2=life_it,0.5,0))+Sens!H3817*IF(1&lt;life_it,1,IF(1=life_it,0.5,0))+Sens!I3817*0.5)/life_it</f>
        <v>124.319229007874</v>
      </c>
      <c r="J3819" s="6" t="n">
        <f aca="false">(Sens!C3817*IF(7&lt;life_it,1,IF(7=life_it,0.5,0))+Sens!D3817*IF(6&lt;life_it,1,IF(6=life_it,0.5,0))+Sens!E3817*IF(5&lt;life_it,1,IF(5=life_it,0.5,0))+Sens!F3817*IF(4&lt;life_it,1,IF(4=life_it,0.5,0))+Sens!G3817*IF(3&lt;life_it,1,IF(3=life_it,0.5,0))+Sens!H3817*IF(2&lt;life_it,1,IF(2=life_it,0.5,0))+Sens!I3817*IF(1&lt;life_it,1,IF(1=life_it,0.5,0))+Sens!J3817*0.5)/life_it</f>
        <v>144.104831923777</v>
      </c>
      <c r="K3819" s="6" t="n">
        <f aca="false">(Sens!C3817*IF(8&lt;life_it,1,IF(8=life_it,0.5,0))+Sens!D3817*IF(7&lt;life_it,1,IF(7=life_it,0.5,0))+Sens!E3817*IF(6&lt;life_it,1,IF(6=life_it,0.5,0))+Sens!F3817*IF(5&lt;life_it,1,IF(5=life_it,0.5,0))+Sens!G3817*IF(4&lt;life_it,1,IF(4=life_it,0.5,0))+Sens!H3817*IF(3&lt;life_it,1,IF(3=life_it,0.5,0))+Sens!I3817*IF(2&lt;life_it,1,IF(2=life_it,0.5,0))+Sens!J3817*IF(1&lt;life_it,1,IF(1=life_it,0.5,0))+Sens!K3817*0.5)/life_it</f>
        <v>156.025505930101</v>
      </c>
    </row>
    <row r="3820" customFormat="false" ht="17.15" hidden="false" customHeight="false" outlineLevel="0" collapsed="false">
      <c r="A3820" s="0" t="s">
        <v>1004</v>
      </c>
      <c r="B3820" s="0" t="s">
        <v>98</v>
      </c>
      <c r="E3820" s="6" t="n">
        <f aca="false">(Sens!C3814*IF(2&lt;life_fac,1,IF(2=life_fac,0.5,0))+Sens!D3814*IF(1&lt;life_fac,1,IF(1=life_fac,0.5,0))+Sens!E3814*0.5)/life_fac</f>
        <v>1.2448275</v>
      </c>
      <c r="F3820" s="6" t="n">
        <f aca="false">(Sens!C3814*IF(3&lt;life_fac,1,IF(3=life_fac,0.5,0))+Sens!D3814*IF(2&lt;life_fac,1,IF(2=life_fac,0.5,0))+Sens!E3814*IF(1&lt;life_fac,1,IF(1=life_fac,0.5,0))+Sens!F3814*0.5)/life_fac</f>
        <v>2.68155549151</v>
      </c>
      <c r="G3820" s="6" t="n">
        <f aca="false">(Sens!C3814*IF(4&lt;life_fac,1,IF(4=life_fac,0.5,0))+Sens!D3814*IF(3&lt;life_fac,1,IF(3=life_fac,0.5,0))+Sens!E3814*IF(2&lt;life_fac,1,IF(2=life_fac,0.5,0))+Sens!F3814*IF(1&lt;life_fac,1,IF(1=life_fac,0.5,0))+Sens!G3814*0.5)/life_fac</f>
        <v>4.68901697453</v>
      </c>
      <c r="H3820" s="6" t="n">
        <f aca="false">(Sens!C3814*IF(5&lt;life_fac,1,IF(5=life_fac,0.5,0))+Sens!D3814*IF(4&lt;life_fac,1,IF(4=life_fac,0.5,0))+Sens!E3814*IF(3&lt;life_fac,1,IF(3=life_fac,0.5,0))+Sens!F3814*IF(2&lt;life_fac,1,IF(2=life_fac,0.5,0))+Sens!G3814*IF(1&lt;life_fac,1,IF(1=life_fac,0.5,0))+Sens!H3814*0.5)/life_fac</f>
        <v>6.76172895755</v>
      </c>
      <c r="I3820" s="6" t="n">
        <f aca="false">(Sens!C3814*IF(6&lt;life_fac,1,IF(6=life_fac,0.5,0))+Sens!D3814*IF(5&lt;life_fac,1,IF(5=life_fac,0.5,0))+Sens!E3814*IF(4&lt;life_fac,1,IF(4=life_fac,0.5,0))+Sens!F3814*IF(3&lt;life_fac,1,IF(3=life_fac,0.5,0))+Sens!G3814*IF(2&lt;life_fac,1,IF(2=life_fac,0.5,0))+Sens!H3814*IF(1&lt;life_fac,1,IF(1=life_fac,0.5,0))+Sens!I3814*0.5)/life_fac</f>
        <v>8.5303739981453</v>
      </c>
      <c r="J3820" s="6" t="n">
        <f aca="false">(Sens!C3814*IF(7&lt;life_fac,1,IF(7=life_fac,0.5,0))+Sens!D3814*IF(6&lt;life_fac,1,IF(6=life_fac,0.5,0))+Sens!E3814*IF(5&lt;life_fac,1,IF(5=life_fac,0.5,0))+Sens!F3814*IF(4&lt;life_fac,1,IF(4=life_fac,0.5,0))+Sens!G3814*IF(3&lt;life_fac,1,IF(3=life_fac,0.5,0))+Sens!H3814*IF(2&lt;life_fac,1,IF(2=life_fac,0.5,0))+Sens!I3814*IF(1&lt;life_fac,1,IF(1=life_fac,0.5,0))+Sens!J3814*0.5)/life_fac</f>
        <v>9.70553093487291</v>
      </c>
      <c r="K3820" s="6" t="n">
        <f aca="false">(Sens!C3814*IF(8&lt;life_fac,1,IF(8=life_fac,0.5,0))+Sens!D3814*IF(7&lt;life_fac,1,IF(7=life_fac,0.5,0))+Sens!E3814*IF(6&lt;life_fac,1,IF(6=life_fac,0.5,0))+Sens!F3814*IF(5&lt;life_fac,1,IF(5=life_fac,0.5,0))+Sens!G3814*IF(4&lt;life_fac,1,IF(4=life_fac,0.5,0))+Sens!H3814*IF(3&lt;life_fac,1,IF(3=life_fac,0.5,0))+Sens!I3814*IF(2&lt;life_fac,1,IF(2=life_fac,0.5,0))+Sens!J3814*IF(1&lt;life_fac,1,IF(1=life_fac,0.5,0))+Sens!K3814*0.5)/life_fac</f>
        <v>10.3078086948529</v>
      </c>
    </row>
    <row r="3821" customFormat="false" ht="17.15" hidden="false" customHeight="false" outlineLevel="0" collapsed="false">
      <c r="A3821" s="0" t="s">
        <v>1005</v>
      </c>
      <c r="B3821" s="0" t="s">
        <v>98</v>
      </c>
      <c r="E3821" s="6" t="n">
        <f aca="false">Sens!E3819+Sens!E3820</f>
        <v>16.3054059770833</v>
      </c>
      <c r="F3821" s="6" t="n">
        <f aca="false">Sens!F3819+Sens!F3820</f>
        <v>37.2133107952886</v>
      </c>
      <c r="G3821" s="6" t="n">
        <f aca="false">Sens!G3819+Sens!G3820</f>
        <v>68.7985305502921</v>
      </c>
      <c r="H3821" s="6" t="n">
        <f aca="false">Sens!H3819+Sens!H3820</f>
        <v>102.837250561268</v>
      </c>
      <c r="I3821" s="6" t="n">
        <f aca="false">Sens!I3819+Sens!I3820</f>
        <v>132.849603006019</v>
      </c>
      <c r="J3821" s="6" t="n">
        <f aca="false">Sens!J3819+Sens!J3820</f>
        <v>153.81036285865</v>
      </c>
      <c r="K3821" s="6" t="n">
        <f aca="false">Sens!K3819+Sens!K3820</f>
        <v>166.333314624954</v>
      </c>
    </row>
    <row r="3822" customFormat="false" ht="17.15" hidden="false" customHeight="false" outlineLevel="0" collapsed="false">
      <c r="A3822" s="0" t="s">
        <v>1006</v>
      </c>
      <c r="B3822" s="0" t="s">
        <v>98</v>
      </c>
      <c r="E3822" s="6" t="n">
        <f aca="false">Sens!E3809-Sens!E3808*Sens!E3821</f>
        <v>8.92707889977379</v>
      </c>
      <c r="F3822" s="6" t="n">
        <f aca="false">Sens!F3809-Sens!F3808*Sens!F3821</f>
        <v>23.9791160774695</v>
      </c>
      <c r="G3822" s="6" t="n">
        <f aca="false">Sens!G3809-Sens!G3808*Sens!G3821</f>
        <v>48.4448685908593</v>
      </c>
      <c r="H3822" s="6" t="n">
        <f aca="false">Sens!H3809-Sens!H3808*Sens!H3821</f>
        <v>79.2253511694667</v>
      </c>
      <c r="I3822" s="6" t="n">
        <f aca="false">Sens!I3809-Sens!I3808*Sens!I3821</f>
        <v>100.072913038098</v>
      </c>
      <c r="J3822" s="6" t="n">
        <f aca="false">Sens!J3809-Sens!J3808*Sens!J3821</f>
        <v>114.38879446883</v>
      </c>
      <c r="K3822" s="6" t="n">
        <f aca="false">Sens!K3809-Sens!K3808*Sens!K3821</f>
        <v>123.35558414321</v>
      </c>
    </row>
    <row r="3823" customFormat="false" ht="17.15" hidden="false" customHeight="false" outlineLevel="0" collapsed="false">
      <c r="A3823" s="3" t="s">
        <v>1706</v>
      </c>
    </row>
    <row r="3824" customFormat="false" ht="15" hidden="false" customHeight="false" outlineLevel="0" collapsed="false">
      <c r="A3824" s="4" t="s">
        <v>43</v>
      </c>
      <c r="B3824" s="4" t="s">
        <v>65</v>
      </c>
      <c r="C3824" s="23" t="s">
        <v>942</v>
      </c>
      <c r="D3824" s="23" t="s">
        <v>943</v>
      </c>
      <c r="E3824" s="23" t="s">
        <v>944</v>
      </c>
      <c r="F3824" s="23" t="s">
        <v>945</v>
      </c>
      <c r="G3824" s="23" t="s">
        <v>946</v>
      </c>
      <c r="H3824" s="23" t="s">
        <v>947</v>
      </c>
      <c r="I3824" s="23" t="s">
        <v>948</v>
      </c>
      <c r="J3824" s="23" t="s">
        <v>949</v>
      </c>
      <c r="K3824" s="23" t="s">
        <v>950</v>
      </c>
      <c r="L3824" s="4" t="s">
        <v>47</v>
      </c>
    </row>
    <row r="3825" customFormat="false" ht="17.15" hidden="false" customHeight="false" outlineLevel="0" collapsed="false">
      <c r="A3825" s="0" t="s">
        <v>1025</v>
      </c>
      <c r="B3825" s="0" t="s">
        <v>98</v>
      </c>
      <c r="D3825" s="6" t="n">
        <f aca="false">Sens!D3803</f>
        <v>12.9359794422418</v>
      </c>
      <c r="E3825" s="6" t="n">
        <f aca="false">Sens!E3803</f>
        <v>27.8095064661409</v>
      </c>
      <c r="F3825" s="6" t="n">
        <f aca="false">Sens!F3803</f>
        <v>62.9154939349924</v>
      </c>
      <c r="G3825" s="6" t="n">
        <f aca="false">Sens!G3803</f>
        <v>115.618465725711</v>
      </c>
      <c r="H3825" s="6" t="n">
        <f aca="false">Sens!H3803</f>
        <v>175.560527817631</v>
      </c>
      <c r="I3825" s="6" t="n">
        <f aca="false">Sens!I3803</f>
        <v>221.954500304381</v>
      </c>
      <c r="J3825" s="6" t="n">
        <f aca="false">Sens!J3803</f>
        <v>253.942169232691</v>
      </c>
      <c r="K3825" s="6" t="n">
        <f aca="false">Sens!K3803</f>
        <v>273.245586061025</v>
      </c>
    </row>
    <row r="3826" customFormat="false" ht="17.15" hidden="false" customHeight="false" outlineLevel="0" collapsed="false">
      <c r="A3826" s="0" t="s">
        <v>1026</v>
      </c>
      <c r="B3826" s="0" t="s">
        <v>98</v>
      </c>
      <c r="D3826" s="6" t="n">
        <f aca="false">Q!L6-Sens!D3825</f>
        <v>59.6740205577583</v>
      </c>
      <c r="E3826" s="6" t="n">
        <f aca="false">Q!M6-Sens!E3825</f>
        <v>74.1284935338591</v>
      </c>
      <c r="F3826" s="6" t="n">
        <f aca="false">Q!$I$6+(Sens!F3825+Sens!E3826*(1+Sens!F3827))*(1-Q!$E$6/Q!M6)-Sens!F3825</f>
        <v>89.649528881924</v>
      </c>
      <c r="G3826" s="6" t="n">
        <f aca="false">Sens!F3826*(1+Sens!G3827)</f>
        <v>106.517020984425</v>
      </c>
      <c r="H3826" s="6" t="n">
        <f aca="false">Sens!G3826*(1+Sens!H3827)</f>
        <v>123.678185040145</v>
      </c>
      <c r="I3826" s="6" t="n">
        <f aca="false">Sens!H3826*(1+Sens!I3827)</f>
        <v>140.260291651535</v>
      </c>
      <c r="J3826" s="6" t="n">
        <f aca="false">Sens!I3826*(1+Sens!J3827)</f>
        <v>155.273376508327</v>
      </c>
      <c r="K3826" s="6" t="n">
        <f aca="false">Sens!J3826*(1+Sens!K3827)</f>
        <v>167.695246628993</v>
      </c>
      <c r="L3826" s="12" t="s">
        <v>1027</v>
      </c>
    </row>
    <row r="3827" customFormat="false" ht="15" hidden="false" customHeight="false" outlineLevel="0" collapsed="false">
      <c r="A3827" s="1" t="s">
        <v>1028</v>
      </c>
      <c r="B3827" s="0" t="s">
        <v>168</v>
      </c>
      <c r="E3827" s="7" t="n">
        <f aca="false">Sens!E3826/Sens!D3826-1</f>
        <v>0.242223883039864</v>
      </c>
      <c r="F3827" s="7" t="n">
        <f aca="false">Sens!$E$3827+(glt_azo-Sens!$E$3827)*MIN(1,(Sens!F3784-base_fy)/n_conv)</f>
        <v>0.215186569199887</v>
      </c>
      <c r="G3827" s="7" t="n">
        <f aca="false">Sens!$E$3827+(glt_azo-Sens!$E$3827)*MIN(1,(Sens!G3784-base_fy)/n_conv)</f>
        <v>0.18814925535991</v>
      </c>
      <c r="H3827" s="7" t="n">
        <f aca="false">Sens!$E$3827+(glt_azo-Sens!$E$3827)*MIN(1,(Sens!H3784-base_fy)/n_conv)</f>
        <v>0.161111941519932</v>
      </c>
      <c r="I3827" s="7" t="n">
        <f aca="false">Sens!$E$3827+(glt_azo-Sens!$E$3827)*MIN(1,(Sens!I3784-base_fy)/n_conv)</f>
        <v>0.134074627679955</v>
      </c>
      <c r="J3827" s="7" t="n">
        <f aca="false">Sens!$E$3827+(glt_azo-Sens!$E$3827)*MIN(1,(Sens!J3784-base_fy)/n_conv)</f>
        <v>0.107037313839977</v>
      </c>
      <c r="K3827" s="7" t="n">
        <f aca="false">Sens!$E$3827+(glt_azo-Sens!$E$3827)*MIN(1,(Sens!K3784-base_fy)/n_conv)</f>
        <v>0.08</v>
      </c>
    </row>
    <row r="3828" customFormat="false" ht="15" hidden="false" customHeight="false" outlineLevel="0" collapsed="false">
      <c r="A3828" s="0" t="s">
        <v>1029</v>
      </c>
      <c r="B3828" s="0" t="s">
        <v>98</v>
      </c>
      <c r="D3828" s="6" t="n">
        <f aca="false">Sens!D3825+Sens!D3826</f>
        <v>72.61</v>
      </c>
      <c r="E3828" s="6" t="n">
        <f aca="false">Sens!E3825+Sens!E3826</f>
        <v>101.938</v>
      </c>
      <c r="F3828" s="6" t="n">
        <f aca="false">Sens!F3825+Sens!F3826</f>
        <v>152.565022816916</v>
      </c>
      <c r="G3828" s="6" t="n">
        <f aca="false">Sens!G3825+Sens!G3826</f>
        <v>222.135486710136</v>
      </c>
      <c r="H3828" s="6" t="n">
        <f aca="false">Sens!H3825+Sens!H3826</f>
        <v>299.238712857776</v>
      </c>
      <c r="I3828" s="6" t="n">
        <f aca="false">Sens!I3825+Sens!I3826</f>
        <v>362.214791955916</v>
      </c>
      <c r="J3828" s="6" t="n">
        <f aca="false">Sens!J3825+Sens!J3826</f>
        <v>409.215545741018</v>
      </c>
      <c r="K3828" s="6" t="n">
        <f aca="false">Sens!K3825+Sens!K3826</f>
        <v>440.940832690017</v>
      </c>
    </row>
    <row r="3829" customFormat="false" ht="17.15" hidden="false" customHeight="false" outlineLevel="0" collapsed="false">
      <c r="A3829" s="0" t="s">
        <v>1030</v>
      </c>
      <c r="B3829" s="1" t="s">
        <v>613</v>
      </c>
      <c r="C3829" s="30" t="n">
        <f aca="false">cop_s24</f>
        <v>1</v>
      </c>
      <c r="D3829" s="30" t="n">
        <f aca="false">cop_s25</f>
        <v>5</v>
      </c>
      <c r="E3829" s="30" t="n">
        <f aca="false">cop_s26</f>
        <v>30</v>
      </c>
      <c r="F3829" s="30" t="n">
        <f aca="false">Sens!E3829+cop_add_A</f>
        <v>60</v>
      </c>
      <c r="G3829" s="30" t="n">
        <f aca="false">Sens!F3829+cop_add_A</f>
        <v>90</v>
      </c>
      <c r="H3829" s="30" t="n">
        <f aca="false">Sens!G3829+cop_add_A</f>
        <v>120</v>
      </c>
      <c r="I3829" s="30" t="n">
        <f aca="false">Sens!H3829+cop_add_A*cop_tail</f>
        <v>135</v>
      </c>
      <c r="J3829" s="30" t="n">
        <f aca="false">Sens!I3829+cop_add_A*cop_tail</f>
        <v>150</v>
      </c>
      <c r="K3829" s="30" t="n">
        <f aca="false">Sens!J3829+cop_add_A*cop_tail</f>
        <v>165</v>
      </c>
      <c r="L3829" s="12" t="s">
        <v>1031</v>
      </c>
    </row>
    <row r="3830" customFormat="false" ht="17.15" hidden="false" customHeight="false" outlineLevel="0" collapsed="false">
      <c r="A3830" s="0" t="s">
        <v>1032</v>
      </c>
      <c r="B3830" s="0" t="s">
        <v>98</v>
      </c>
      <c r="D3830" s="6" t="n">
        <f aca="false">(Sens!C3829+Sens!D3829)/2*cop_px*12/1000</f>
        <v>0.9</v>
      </c>
      <c r="E3830" s="6" t="n">
        <f aca="false">(Sens!D3829+Sens!E3829)/2*cop_px*12/1000</f>
        <v>5.25</v>
      </c>
      <c r="F3830" s="6" t="n">
        <f aca="false">(Sens!E3829+Sens!F3829)/2*cop_px*12/1000</f>
        <v>13.5</v>
      </c>
      <c r="G3830" s="6" t="n">
        <f aca="false">(Sens!F3829+Sens!G3829)/2*cop_px*12/1000</f>
        <v>22.5</v>
      </c>
      <c r="H3830" s="6" t="n">
        <f aca="false">(Sens!G3829+Sens!H3829)/2*cop_px*12/1000</f>
        <v>31.5</v>
      </c>
      <c r="I3830" s="6" t="n">
        <f aca="false">(Sens!H3829+Sens!I3829)/2*cop_px*12/1000</f>
        <v>38.25</v>
      </c>
      <c r="J3830" s="6" t="n">
        <f aca="false">(Sens!I3829+Sens!J3829)/2*cop_px*12/1000</f>
        <v>42.75</v>
      </c>
      <c r="K3830" s="6" t="n">
        <f aca="false">(Sens!J3829+Sens!K3829)/2*cop_px*12/1000</f>
        <v>47.25</v>
      </c>
      <c r="L3830" s="1" t="s">
        <v>1033</v>
      </c>
    </row>
    <row r="3831" customFormat="false" ht="17.15" hidden="false" customHeight="false" outlineLevel="0" collapsed="false">
      <c r="A3831" s="0" t="s">
        <v>1034</v>
      </c>
      <c r="B3831" s="0" t="s">
        <v>98</v>
      </c>
      <c r="D3831" s="6" t="n">
        <f aca="false">Q!L7-Sens!D3830</f>
        <v>83.705</v>
      </c>
      <c r="E3831" s="6" t="n">
        <f aca="false">Q!M7-Sens!E3830</f>
        <v>95.049</v>
      </c>
      <c r="F3831" s="6" t="n">
        <f aca="false">Q!$I$7+(Sens!E3831*(1+Sens!F3832)+Sens!F3830)*(1-Q!$E$7/Q!M7)-Sens!F3830</f>
        <v>106.229653205718</v>
      </c>
      <c r="G3831" s="6" t="n">
        <f aca="false">Sens!F3831*(1+Sens!G3832)</f>
        <v>118.306092647576</v>
      </c>
      <c r="H3831" s="6" t="n">
        <f aca="false">Sens!G3831*(1+Sens!H3832)</f>
        <v>130.463437602768</v>
      </c>
      <c r="I3831" s="6" t="n">
        <f aca="false">Sens!H3831*(1+Sens!I3832)</f>
        <v>142.445354741933</v>
      </c>
      <c r="J3831" s="6" t="n">
        <f aca="false">Sens!I3831*(1+Sens!J3832)</f>
        <v>153.972117481571</v>
      </c>
      <c r="K3831" s="6" t="n">
        <f aca="false">Sens!J3831*(1+Sens!K3832)</f>
        <v>164.75016570528</v>
      </c>
      <c r="L3831" s="12" t="s">
        <v>1035</v>
      </c>
    </row>
    <row r="3832" customFormat="false" ht="15" hidden="false" customHeight="false" outlineLevel="0" collapsed="false">
      <c r="A3832" s="1" t="s">
        <v>1028</v>
      </c>
      <c r="B3832" s="0" t="s">
        <v>168</v>
      </c>
      <c r="E3832" s="7" t="n">
        <f aca="false">Sens!E3831/Sens!D3831-1</f>
        <v>0.135523564900544</v>
      </c>
      <c r="F3832" s="7" t="n">
        <f aca="false">Sens!$E$3832+(glt_m365b-Sens!$E$3832)*MIN(1,(Sens!F3784-base_fy)/n_conv)</f>
        <v>0.124602970750453</v>
      </c>
      <c r="G3832" s="7" t="n">
        <f aca="false">Sens!$E$3832+(glt_m365b-Sens!$E$3832)*MIN(1,(Sens!G3784-base_fy)/n_conv)</f>
        <v>0.113682376600363</v>
      </c>
      <c r="H3832" s="7" t="n">
        <f aca="false">Sens!$E$3832+(glt_m365b-Sens!$E$3832)*MIN(1,(Sens!H3784-base_fy)/n_conv)</f>
        <v>0.102761782450272</v>
      </c>
      <c r="I3832" s="7" t="n">
        <f aca="false">Sens!$E$3832+(glt_m365b-Sens!$E$3832)*MIN(1,(Sens!I3784-base_fy)/n_conv)</f>
        <v>0.0918411883001813</v>
      </c>
      <c r="J3832" s="7" t="n">
        <f aca="false">Sens!$E$3832+(glt_m365b-Sens!$E$3832)*MIN(1,(Sens!J3784-base_fy)/n_conv)</f>
        <v>0.0809205941500906</v>
      </c>
      <c r="K3832" s="7" t="n">
        <f aca="false">Sens!$E$3832+(glt_m365b-Sens!$E$3832)*MIN(1,(Sens!K3784-base_fy)/n_conv)</f>
        <v>0.07</v>
      </c>
    </row>
    <row r="3833" customFormat="false" ht="15" hidden="false" customHeight="false" outlineLevel="0" collapsed="false">
      <c r="A3833" s="0" t="s">
        <v>1036</v>
      </c>
      <c r="B3833" s="0" t="s">
        <v>98</v>
      </c>
      <c r="D3833" s="6" t="n">
        <f aca="false">Sens!D3831+Sens!D3830</f>
        <v>84.605</v>
      </c>
      <c r="E3833" s="6" t="n">
        <f aca="false">Sens!E3831+Sens!E3830</f>
        <v>100.299</v>
      </c>
      <c r="F3833" s="6" t="n">
        <f aca="false">Sens!F3831+Sens!F3830</f>
        <v>119.729653205718</v>
      </c>
      <c r="G3833" s="6" t="n">
        <f aca="false">Sens!G3831+Sens!G3830</f>
        <v>140.806092647576</v>
      </c>
      <c r="H3833" s="6" t="n">
        <f aca="false">Sens!H3831+Sens!H3830</f>
        <v>161.963437602768</v>
      </c>
      <c r="I3833" s="6" t="n">
        <f aca="false">Sens!I3831+Sens!I3830</f>
        <v>180.695354741933</v>
      </c>
      <c r="J3833" s="6" t="n">
        <f aca="false">Sens!J3831+Sens!J3830</f>
        <v>196.722117481571</v>
      </c>
      <c r="K3833" s="6" t="n">
        <f aca="false">Sens!K3831+Sens!K3830</f>
        <v>212.00016570528</v>
      </c>
    </row>
    <row r="3834" customFormat="false" ht="17.15" hidden="false" customHeight="false" outlineLevel="0" collapsed="false">
      <c r="A3834" s="0" t="s">
        <v>1037</v>
      </c>
      <c r="B3834" s="0" t="s">
        <v>98</v>
      </c>
      <c r="D3834" s="6" t="n">
        <f aca="false">Q!L8</f>
        <v>35.391</v>
      </c>
      <c r="E3834" s="6" t="n">
        <f aca="false">Q!M8</f>
        <v>37.285</v>
      </c>
      <c r="F3834" s="6" t="n">
        <f aca="false">Q!$I$8+(Q!M8-Q!$E$8)*(1+Sens!F3835)</f>
        <v>38.3851437782675</v>
      </c>
      <c r="G3834" s="6" t="n">
        <f aca="false">Sens!F3834*(1+Sens!G3835)</f>
        <v>40.0105353288615</v>
      </c>
      <c r="H3834" s="6" t="n">
        <f aca="false">Sens!G3834*(1+Sens!H3835)</f>
        <v>41.4812512033683</v>
      </c>
      <c r="I3834" s="6" t="n">
        <f aca="false">Sens!H3834*(1+Sens!I3835)</f>
        <v>42.7743107216329</v>
      </c>
      <c r="J3834" s="6" t="n">
        <f aca="false">Sens!I3834*(1+Sens!J3835)</f>
        <v>43.8687373064601</v>
      </c>
      <c r="K3834" s="6" t="n">
        <f aca="false">Sens!J3834*(1+Sens!K3835)</f>
        <v>44.7461120525893</v>
      </c>
      <c r="L3834" s="12" t="s">
        <v>1038</v>
      </c>
    </row>
    <row r="3835" customFormat="false" ht="15" hidden="false" customHeight="false" outlineLevel="0" collapsed="false">
      <c r="A3835" s="1" t="s">
        <v>1028</v>
      </c>
      <c r="B3835" s="0" t="s">
        <v>168</v>
      </c>
      <c r="E3835" s="7" t="n">
        <f aca="false">Sens!E3834/Sens!D3834-1</f>
        <v>0.0535164307309768</v>
      </c>
      <c r="F3835" s="7" t="n">
        <f aca="false">Sens!$E$3835+(glt_lic-Sens!$E$3835)*MIN(1,(Sens!F3784-base_fy)/n_conv)</f>
        <v>0.0479303589424807</v>
      </c>
      <c r="G3835" s="7" t="n">
        <f aca="false">Sens!$E$3835+(glt_lic-Sens!$E$3835)*MIN(1,(Sens!G3784-base_fy)/n_conv)</f>
        <v>0.0423442871539845</v>
      </c>
      <c r="H3835" s="7" t="n">
        <f aca="false">Sens!$E$3835+(glt_lic-Sens!$E$3835)*MIN(1,(Sens!H3784-base_fy)/n_conv)</f>
        <v>0.0367582153654884</v>
      </c>
      <c r="I3835" s="7" t="n">
        <f aca="false">Sens!$E$3835+(glt_lic-Sens!$E$3835)*MIN(1,(Sens!I3784-base_fy)/n_conv)</f>
        <v>0.0311721435769923</v>
      </c>
      <c r="J3835" s="7" t="n">
        <f aca="false">Sens!$E$3835+(glt_lic-Sens!$E$3835)*MIN(1,(Sens!J3784-base_fy)/n_conv)</f>
        <v>0.0255860717884961</v>
      </c>
      <c r="K3835" s="7" t="n">
        <f aca="false">Sens!$E$3835+(glt_lic-Sens!$E$3835)*MIN(1,(Sens!K3784-base_fy)/n_conv)</f>
        <v>0.02</v>
      </c>
    </row>
    <row r="3836" customFormat="false" ht="17.15" hidden="false" customHeight="false" outlineLevel="0" collapsed="false">
      <c r="A3836" s="0" t="s">
        <v>1039</v>
      </c>
      <c r="B3836" s="0" t="s">
        <v>98</v>
      </c>
      <c r="D3836" s="6" t="n">
        <f aca="false">Q!L9</f>
        <v>18.417</v>
      </c>
      <c r="E3836" s="6" t="n">
        <f aca="false">Q!M9</f>
        <v>20.345</v>
      </c>
      <c r="F3836" s="6" t="n">
        <f aca="false">Q!$I$9+(Q!M9-Q!$E$9)*(1+Sens!F3837)</f>
        <v>22.3161797133988</v>
      </c>
      <c r="G3836" s="6" t="n">
        <f aca="false">Sens!F3836*(1+Sens!G3837)</f>
        <v>24.3943499673233</v>
      </c>
      <c r="H3836" s="6" t="n">
        <f aca="false">Sens!G3836*(1+Sens!H3837)</f>
        <v>26.5250243109019</v>
      </c>
      <c r="I3836" s="6" t="n">
        <f aca="false">Sens!H3836*(1+Sens!I3837)</f>
        <v>28.6884573538181</v>
      </c>
      <c r="J3836" s="6" t="n">
        <f aca="false">Sens!I3836*(1+Sens!J3837)</f>
        <v>30.8624968052127</v>
      </c>
      <c r="K3836" s="6" t="n">
        <f aca="false">Sens!J3836*(1+Sens!K3837)</f>
        <v>33.0228715815776</v>
      </c>
      <c r="L3836" s="12" t="s">
        <v>1038</v>
      </c>
    </row>
    <row r="3837" customFormat="false" ht="15" hidden="false" customHeight="false" outlineLevel="0" collapsed="false">
      <c r="A3837" s="1" t="s">
        <v>1028</v>
      </c>
      <c r="B3837" s="0" t="s">
        <v>168</v>
      </c>
      <c r="E3837" s="7" t="n">
        <f aca="false">Sens!E3836/Sens!D3836-1</f>
        <v>0.104685888038225</v>
      </c>
      <c r="F3837" s="7" t="n">
        <f aca="false">Sens!$E$3837+(glt_ind-Sens!$E$3837)*MIN(1,(Sens!F3784-base_fy)/n_conv)</f>
        <v>0.0989049066985211</v>
      </c>
      <c r="G3837" s="7" t="n">
        <f aca="false">Sens!$E$3837+(glt_ind-Sens!$E$3837)*MIN(1,(Sens!G3784-base_fy)/n_conv)</f>
        <v>0.0931239253588169</v>
      </c>
      <c r="H3837" s="7" t="n">
        <f aca="false">Sens!$E$3837+(glt_ind-Sens!$E$3837)*MIN(1,(Sens!H3784-base_fy)/n_conv)</f>
        <v>0.0873429440191127</v>
      </c>
      <c r="I3837" s="7" t="n">
        <f aca="false">Sens!$E$3837+(glt_ind-Sens!$E$3837)*MIN(1,(Sens!I3784-base_fy)/n_conv)</f>
        <v>0.0815619626794085</v>
      </c>
      <c r="J3837" s="7" t="n">
        <f aca="false">Sens!$E$3837+(glt_ind-Sens!$E$3837)*MIN(1,(Sens!J3784-base_fy)/n_conv)</f>
        <v>0.0757809813397042</v>
      </c>
      <c r="K3837" s="7" t="n">
        <f aca="false">Sens!$E$3837+(glt_ind-Sens!$E$3837)*MIN(1,(Sens!K3784-base_fy)/n_conv)</f>
        <v>0.07</v>
      </c>
    </row>
    <row r="3838" customFormat="false" ht="17.15" hidden="false" customHeight="false" outlineLevel="0" collapsed="false">
      <c r="A3838" s="0" t="s">
        <v>1040</v>
      </c>
      <c r="B3838" s="0" t="s">
        <v>98</v>
      </c>
      <c r="D3838" s="6" t="n">
        <f aca="false">Q!L10</f>
        <v>7.76</v>
      </c>
      <c r="E3838" s="6" t="n">
        <f aca="false">Q!M10</f>
        <v>8.26</v>
      </c>
      <c r="F3838" s="6" t="n">
        <f aca="false">Q!$I$10+(Q!M10-Q!$E$10)*(1+Sens!F3839)</f>
        <v>8.75372082474227</v>
      </c>
      <c r="G3838" s="6" t="n">
        <f aca="false">Sens!F3838*(1+Sens!G3839)</f>
        <v>9.33399324642364</v>
      </c>
      <c r="H3838" s="6" t="n">
        <f aca="false">Sens!G3838*(1+Sens!H3839)</f>
        <v>9.96139155535851</v>
      </c>
      <c r="I3838" s="6" t="n">
        <f aca="false">Sens!H3838*(1+Sens!I3839)</f>
        <v>10.6402039077391</v>
      </c>
      <c r="J3838" s="6" t="n">
        <f aca="false">Sens!I3838*(1+Sens!J3839)</f>
        <v>11.3751458271397</v>
      </c>
      <c r="K3838" s="6" t="n">
        <f aca="false">Sens!J3838*(1+Sens!K3839)</f>
        <v>12.1714060350394</v>
      </c>
      <c r="L3838" s="12" t="s">
        <v>1038</v>
      </c>
    </row>
    <row r="3839" customFormat="false" ht="15" hidden="false" customHeight="false" outlineLevel="0" collapsed="false">
      <c r="A3839" s="1" t="s">
        <v>1028</v>
      </c>
      <c r="B3839" s="0" t="s">
        <v>168</v>
      </c>
      <c r="E3839" s="7" t="n">
        <f aca="false">Sens!E3838/Sens!D3838-1</f>
        <v>0.0644329896907216</v>
      </c>
      <c r="F3839" s="7" t="n">
        <f aca="false">Sens!$E$3839+(glt_fro-Sens!$E$3839)*MIN(1,(Sens!F3784-base_fy)/n_conv)</f>
        <v>0.065360824742268</v>
      </c>
      <c r="G3839" s="7" t="n">
        <f aca="false">Sens!$E$3839+(glt_fro-Sens!$E$3839)*MIN(1,(Sens!G3784-base_fy)/n_conv)</f>
        <v>0.0662886597938144</v>
      </c>
      <c r="H3839" s="7" t="n">
        <f aca="false">Sens!$E$3839+(glt_fro-Sens!$E$3839)*MIN(1,(Sens!H3784-base_fy)/n_conv)</f>
        <v>0.0672164948453608</v>
      </c>
      <c r="I3839" s="7" t="n">
        <f aca="false">Sens!$E$3839+(glt_fro-Sens!$E$3839)*MIN(1,(Sens!I3784-base_fy)/n_conv)</f>
        <v>0.0681443298969072</v>
      </c>
      <c r="J3839" s="7" t="n">
        <f aca="false">Sens!$E$3839+(glt_fro-Sens!$E$3839)*MIN(1,(Sens!J3784-base_fy)/n_conv)</f>
        <v>0.0690721649484536</v>
      </c>
      <c r="K3839" s="7" t="n">
        <f aca="false">Sens!$E$3839+(glt_fro-Sens!$E$3839)*MIN(1,(Sens!K3784-base_fy)/n_conv)</f>
        <v>0.07</v>
      </c>
    </row>
    <row r="3840" customFormat="false" ht="15" hidden="false" customHeight="false" outlineLevel="0" collapsed="false">
      <c r="A3840" s="0" t="s">
        <v>856</v>
      </c>
      <c r="B3840" s="0" t="s">
        <v>98</v>
      </c>
      <c r="D3840" s="6" t="n">
        <f aca="false">Sens!D3828+Sens!D3833+Sens!D3834+Sens!D3836+Sens!D3838</f>
        <v>218.783</v>
      </c>
      <c r="E3840" s="6" t="n">
        <f aca="false">Sens!E3828+Sens!E3833+Sens!E3834+Sens!E3836+Sens!E3838</f>
        <v>268.127</v>
      </c>
      <c r="F3840" s="6" t="n">
        <f aca="false">Sens!F3828+Sens!F3833+Sens!F3834+Sens!F3836+Sens!F3838</f>
        <v>341.749720339043</v>
      </c>
      <c r="G3840" s="6" t="n">
        <f aca="false">Sens!G3828+Sens!G3833+Sens!G3834+Sens!G3836+Sens!G3838</f>
        <v>436.680457900321</v>
      </c>
      <c r="H3840" s="6" t="n">
        <f aca="false">Sens!H3828+Sens!H3833+Sens!H3834+Sens!H3836+Sens!H3838</f>
        <v>539.169817530172</v>
      </c>
      <c r="I3840" s="6" t="n">
        <f aca="false">Sens!I3828+Sens!I3833+Sens!I3834+Sens!I3836+Sens!I3838</f>
        <v>625.013118681039</v>
      </c>
      <c r="J3840" s="6" t="n">
        <f aca="false">Sens!J3828+Sens!J3833+Sens!J3834+Sens!J3836+Sens!J3838</f>
        <v>692.044043161401</v>
      </c>
      <c r="K3840" s="6" t="n">
        <f aca="false">Sens!K3828+Sens!K3833+Sens!K3834+Sens!K3836+Sens!K3838</f>
        <v>742.881388064504</v>
      </c>
    </row>
    <row r="3841" customFormat="false" ht="17.15" hidden="false" customHeight="false" outlineLevel="0" collapsed="false">
      <c r="A3841" s="0" t="s">
        <v>1041</v>
      </c>
      <c r="B3841" s="0" t="s">
        <v>98</v>
      </c>
      <c r="D3841" s="6" t="n">
        <f aca="false">Q!L13</f>
        <v>22.171</v>
      </c>
      <c r="E3841" s="6" t="n">
        <f aca="false">Q!M13</f>
        <v>24.835</v>
      </c>
      <c r="F3841" s="6" t="n">
        <f aca="false">Q!$I$13+(Q!M13-Q!$E$13)*(1+Sens!F3842)</f>
        <v>27.5591895660247</v>
      </c>
      <c r="G3841" s="6" t="n">
        <f aca="false">Sens!F3841*(1+Sens!G3842)</f>
        <v>30.4098563144583</v>
      </c>
      <c r="H3841" s="6" t="n">
        <f aca="false">Sens!G3841*(1+Sens!H3842)</f>
        <v>33.3011792571777</v>
      </c>
      <c r="I3841" s="6" t="n">
        <f aca="false">Sens!H3841*(1+Sens!I3842)</f>
        <v>36.189023797112</v>
      </c>
      <c r="J3841" s="6" t="n">
        <f aca="false">Sens!I3841*(1+Sens!J3842)</f>
        <v>39.0247773769199</v>
      </c>
      <c r="K3841" s="6" t="n">
        <f aca="false">Sens!J3841*(1+Sens!K3842)</f>
        <v>41.7565117933043</v>
      </c>
      <c r="L3841" s="12" t="s">
        <v>1038</v>
      </c>
    </row>
    <row r="3842" customFormat="false" ht="15" hidden="false" customHeight="false" outlineLevel="0" collapsed="false">
      <c r="A3842" s="1" t="s">
        <v>1028</v>
      </c>
      <c r="B3842" s="0" t="s">
        <v>168</v>
      </c>
      <c r="E3842" s="7" t="n">
        <f aca="false">Sens!E3841/Sens!D3841-1</f>
        <v>0.120156961796942</v>
      </c>
      <c r="F3842" s="7" t="n">
        <f aca="false">Sens!$E$3842+(glt_srch-Sens!$E$3842)*MIN(1,(Sens!F3784-base_fy)/n_conv)</f>
        <v>0.111797468164118</v>
      </c>
      <c r="G3842" s="7" t="n">
        <f aca="false">Sens!$E$3842+(glt_srch-Sens!$E$3842)*MIN(1,(Sens!G3784-base_fy)/n_conv)</f>
        <v>0.103437974531295</v>
      </c>
      <c r="H3842" s="7" t="n">
        <f aca="false">Sens!$E$3842+(glt_srch-Sens!$E$3842)*MIN(1,(Sens!H3784-base_fy)/n_conv)</f>
        <v>0.095078480898471</v>
      </c>
      <c r="I3842" s="7" t="n">
        <f aca="false">Sens!$E$3842+(glt_srch-Sens!$E$3842)*MIN(1,(Sens!I3784-base_fy)/n_conv)</f>
        <v>0.0867189872656474</v>
      </c>
      <c r="J3842" s="7" t="n">
        <f aca="false">Sens!$E$3842+(glt_srch-Sens!$E$3842)*MIN(1,(Sens!J3784-base_fy)/n_conv)</f>
        <v>0.0783594936328237</v>
      </c>
      <c r="K3842" s="7" t="n">
        <f aca="false">Sens!$E$3842+(glt_srch-Sens!$E$3842)*MIN(1,(Sens!K3784-base_fy)/n_conv)</f>
        <v>0.07</v>
      </c>
    </row>
    <row r="3843" customFormat="false" ht="17.15" hidden="false" customHeight="false" outlineLevel="0" collapsed="false">
      <c r="A3843" s="0" t="s">
        <v>1042</v>
      </c>
      <c r="B3843" s="0" t="s">
        <v>98</v>
      </c>
      <c r="D3843" s="6" t="n">
        <f aca="false">Q!L14</f>
        <v>23.455</v>
      </c>
      <c r="E3843" s="6" t="n">
        <f aca="false">Q!M14</f>
        <v>21.79</v>
      </c>
      <c r="F3843" s="6" t="n">
        <f aca="false">Q!$I$14+(Q!M14-Q!$E$14)*(1+Sens!F3844)</f>
        <v>20.7520981041711</v>
      </c>
      <c r="G3843" s="6" t="n">
        <f aca="false">Sens!F3843*(1+Sens!G3844)</f>
        <v>19.9083593495882</v>
      </c>
      <c r="H3843" s="6" t="n">
        <f aca="false">Sens!G3843*(1+Sens!H3844)</f>
        <v>19.4008256265831</v>
      </c>
      <c r="I3843" s="6" t="n">
        <f aca="false">Sens!H3843*(1+Sens!I3844)</f>
        <v>19.200434522122</v>
      </c>
      <c r="J3843" s="6" t="n">
        <f aca="false">Sens!I3843*(1+Sens!J3844)</f>
        <v>19.2932782348507</v>
      </c>
      <c r="K3843" s="6" t="n">
        <f aca="false">Sens!J3843*(1+Sens!K3844)</f>
        <v>19.6791437995477</v>
      </c>
      <c r="L3843" s="12" t="s">
        <v>1038</v>
      </c>
    </row>
    <row r="3844" customFormat="false" ht="15" hidden="false" customHeight="false" outlineLevel="0" collapsed="false">
      <c r="A3844" s="1" t="s">
        <v>1028</v>
      </c>
      <c r="B3844" s="0" t="s">
        <v>168</v>
      </c>
      <c r="E3844" s="7" t="n">
        <f aca="false">Sens!E3843/Sens!D3843-1</f>
        <v>-0.0709869963760392</v>
      </c>
      <c r="F3844" s="7" t="n">
        <f aca="false">Sens!$E$3844+(glt_xbox-Sens!$E$3844)*MIN(1,(Sens!F3784-base_fy)/n_conv)</f>
        <v>-0.0558224969800327</v>
      </c>
      <c r="G3844" s="7" t="n">
        <f aca="false">Sens!$E$3844+(glt_xbox-Sens!$E$3844)*MIN(1,(Sens!G3784-base_fy)/n_conv)</f>
        <v>-0.0406579975840262</v>
      </c>
      <c r="H3844" s="7" t="n">
        <f aca="false">Sens!$E$3844+(glt_xbox-Sens!$E$3844)*MIN(1,(Sens!H3784-base_fy)/n_conv)</f>
        <v>-0.0254934981880196</v>
      </c>
      <c r="I3844" s="7" t="n">
        <f aca="false">Sens!$E$3844+(glt_xbox-Sens!$E$3844)*MIN(1,(Sens!I3784-base_fy)/n_conv)</f>
        <v>-0.0103289987920131</v>
      </c>
      <c r="J3844" s="7" t="n">
        <f aca="false">Sens!$E$3844+(glt_xbox-Sens!$E$3844)*MIN(1,(Sens!J3784-base_fy)/n_conv)</f>
        <v>0.00483550060399347</v>
      </c>
      <c r="K3844" s="7" t="n">
        <f aca="false">Sens!$E$3844+(glt_xbox-Sens!$E$3844)*MIN(1,(Sens!K3784-base_fy)/n_conv)</f>
        <v>0.02</v>
      </c>
    </row>
    <row r="3845" customFormat="false" ht="17.15" hidden="false" customHeight="false" outlineLevel="0" collapsed="false">
      <c r="A3845" s="0" t="s">
        <v>1043</v>
      </c>
      <c r="B3845" s="0" t="s">
        <v>98</v>
      </c>
      <c r="D3845" s="6" t="n">
        <f aca="false">Q!L15</f>
        <v>17.315</v>
      </c>
      <c r="E3845" s="6" t="n">
        <f aca="false">Q!M15</f>
        <v>17.087</v>
      </c>
      <c r="F3845" s="6" t="n">
        <f aca="false">Q!$I$15+(Q!M15-Q!$E$15)*(1+Sens!F3846)</f>
        <v>15.9912273250553</v>
      </c>
      <c r="G3845" s="6" t="n">
        <f aca="false">Sens!F3845*(1+Sens!G3846)</f>
        <v>15.9574562664827</v>
      </c>
      <c r="H3845" s="6" t="n">
        <f aca="false">Sens!G3845*(1+Sens!H3846)</f>
        <v>16.0119687434196</v>
      </c>
      <c r="I3845" s="6" t="n">
        <f aca="false">Sens!H3845*(1+Sens!I3846)</f>
        <v>16.1551810001948</v>
      </c>
      <c r="J3845" s="6" t="n">
        <f aca="false">Sens!I3845*(1+Sens!J3846)</f>
        <v>16.3889793892005</v>
      </c>
      <c r="K3845" s="6" t="n">
        <f aca="false">Sens!J3845*(1+Sens!K3846)</f>
        <v>16.7167589769845</v>
      </c>
      <c r="L3845" s="12" t="s">
        <v>1038</v>
      </c>
    </row>
    <row r="3846" customFormat="false" ht="15" hidden="false" customHeight="false" outlineLevel="0" collapsed="false">
      <c r="A3846" s="1" t="s">
        <v>1028</v>
      </c>
      <c r="B3846" s="0" t="s">
        <v>168</v>
      </c>
      <c r="E3846" s="7" t="n">
        <f aca="false">Sens!E3845/Sens!D3845-1</f>
        <v>-0.0131677736066995</v>
      </c>
      <c r="F3846" s="7" t="n">
        <f aca="false">Sens!$E$3846+(glt_win-Sens!$E$3846)*MIN(1,(Sens!F3784-base_fy)/n_conv)</f>
        <v>-0.00763981133891627</v>
      </c>
      <c r="G3846" s="7" t="n">
        <f aca="false">Sens!$E$3846+(glt_win-Sens!$E$3846)*MIN(1,(Sens!G3784-base_fy)/n_conv)</f>
        <v>-0.00211184907113301</v>
      </c>
      <c r="H3846" s="7" t="n">
        <f aca="false">Sens!$E$3846+(glt_win-Sens!$E$3846)*MIN(1,(Sens!H3784-base_fy)/n_conv)</f>
        <v>0.00341611319665024</v>
      </c>
      <c r="I3846" s="7" t="n">
        <f aca="false">Sens!$E$3846+(glt_win-Sens!$E$3846)*MIN(1,(Sens!I3784-base_fy)/n_conv)</f>
        <v>0.00894407546443349</v>
      </c>
      <c r="J3846" s="7" t="n">
        <f aca="false">Sens!$E$3846+(glt_win-Sens!$E$3846)*MIN(1,(Sens!J3784-base_fy)/n_conv)</f>
        <v>0.0144720377322168</v>
      </c>
      <c r="K3846" s="7" t="n">
        <f aca="false">Sens!$E$3846+(glt_win-Sens!$E$3846)*MIN(1,(Sens!K3784-base_fy)/n_conv)</f>
        <v>0.02</v>
      </c>
    </row>
    <row r="3847" customFormat="false" ht="15" hidden="false" customHeight="false" outlineLevel="0" collapsed="false">
      <c r="A3847" s="0" t="s">
        <v>870</v>
      </c>
      <c r="B3847" s="0" t="s">
        <v>98</v>
      </c>
      <c r="D3847" s="6" t="n">
        <f aca="false">Sens!D3841+Sens!D3843+Sens!D3845</f>
        <v>62.941</v>
      </c>
      <c r="E3847" s="6" t="n">
        <f aca="false">Sens!E3841+Sens!E3843+Sens!E3845</f>
        <v>63.712</v>
      </c>
      <c r="F3847" s="6" t="n">
        <f aca="false">Sens!F3841+Sens!F3843+Sens!F3845</f>
        <v>64.3025149952511</v>
      </c>
      <c r="G3847" s="6" t="n">
        <f aca="false">Sens!G3841+Sens!G3843+Sens!G3845</f>
        <v>66.2756719305292</v>
      </c>
      <c r="H3847" s="6" t="n">
        <f aca="false">Sens!H3841+Sens!H3843+Sens!H3845</f>
        <v>68.7139736271804</v>
      </c>
      <c r="I3847" s="6" t="n">
        <f aca="false">Sens!I3841+Sens!I3843+Sens!I3845</f>
        <v>71.5446393194289</v>
      </c>
      <c r="J3847" s="6" t="n">
        <f aca="false">Sens!J3841+Sens!J3843+Sens!J3845</f>
        <v>74.707035000971</v>
      </c>
      <c r="K3847" s="6" t="n">
        <f aca="false">Sens!K3841+Sens!K3843+Sens!K3845</f>
        <v>78.1524145698365</v>
      </c>
    </row>
    <row r="3848" customFormat="false" ht="15" hidden="false" customHeight="false" outlineLevel="0" collapsed="false">
      <c r="A3848" s="1" t="s">
        <v>1044</v>
      </c>
      <c r="B3848" s="0" t="s">
        <v>98</v>
      </c>
      <c r="D3848" s="6" t="n">
        <f aca="false">Sens!D3840+Sens!D3847</f>
        <v>281.724</v>
      </c>
      <c r="E3848" s="6" t="n">
        <f aca="false">Sens!E3840+Sens!E3847</f>
        <v>331.839</v>
      </c>
      <c r="F3848" s="6" t="n">
        <f aca="false">Sens!F3840+Sens!F3847</f>
        <v>406.052235334294</v>
      </c>
      <c r="G3848" s="6" t="n">
        <f aca="false">Sens!G3840+Sens!G3847</f>
        <v>502.95612983085</v>
      </c>
      <c r="H3848" s="6" t="n">
        <f aca="false">Sens!H3840+Sens!H3847</f>
        <v>607.883791157353</v>
      </c>
      <c r="I3848" s="6" t="n">
        <f aca="false">Sens!I3840+Sens!I3847</f>
        <v>696.557758000468</v>
      </c>
      <c r="J3848" s="6" t="n">
        <f aca="false">Sens!J3840+Sens!J3847</f>
        <v>766.751078162372</v>
      </c>
      <c r="K3848" s="6" t="n">
        <f aca="false">Sens!K3840+Sens!K3847</f>
        <v>821.033802634341</v>
      </c>
    </row>
    <row r="3849" customFormat="false" ht="15" hidden="false" customHeight="false" outlineLevel="0" collapsed="false">
      <c r="A3849" s="26" t="s">
        <v>1045</v>
      </c>
      <c r="B3849" s="31" t="s">
        <v>98</v>
      </c>
      <c r="C3849" s="31"/>
      <c r="D3849" s="27" t="n">
        <f aca="false">(Sens!D3828+Sens!D3833+Sens!D3834+Sens!D3836+Sens!D3838-Sens!D3840)+(Sens!D3841+Sens!D3843+Sens!D3845-Sens!D3847)+(Sens!D3840-Q!L5)+(Sens!D3847-Q!L12)+(Sens!D3828-Q!L6)+(Sens!D3833-Q!L7)</f>
        <v>0</v>
      </c>
      <c r="E3849" s="27" t="n">
        <f aca="false">(Sens!E3828+Sens!E3833+Sens!E3834+Sens!E3836+Sens!E3838-Sens!E3840)+(Sens!E3841+Sens!E3843+Sens!E3845-Sens!E3847)+(Sens!E3840-Q!M5)+(Sens!E3847-Q!M12)+(Sens!E3828-Q!M6)+(Sens!E3833-Q!M7)</f>
        <v>0</v>
      </c>
      <c r="F3849" s="27" t="n">
        <f aca="false">(Sens!F3828+Sens!F3833+Sens!F3834+Sens!F3836+Sens!F3838-Sens!F3840)+(Sens!F3841+Sens!F3843+Sens!F3845-Sens!F3847)</f>
        <v>0</v>
      </c>
      <c r="G3849" s="27" t="n">
        <f aca="false">(Sens!G3828+Sens!G3833+Sens!G3834+Sens!G3836+Sens!G3838-Sens!G3840)+(Sens!G3841+Sens!G3843+Sens!G3845-Sens!G3847)</f>
        <v>0</v>
      </c>
      <c r="H3849" s="27" t="n">
        <f aca="false">(Sens!H3828+Sens!H3833+Sens!H3834+Sens!H3836+Sens!H3838-Sens!H3840)+(Sens!H3841+Sens!H3843+Sens!H3845-Sens!H3847)</f>
        <v>0</v>
      </c>
      <c r="I3849" s="27" t="n">
        <f aca="false">(Sens!I3828+Sens!I3833+Sens!I3834+Sens!I3836+Sens!I3838-Sens!I3840)+(Sens!I3841+Sens!I3843+Sens!I3845-Sens!I3847)</f>
        <v>0</v>
      </c>
      <c r="J3849" s="27" t="n">
        <f aca="false">(Sens!J3828+Sens!J3833+Sens!J3834+Sens!J3836+Sens!J3838-Sens!J3840)+(Sens!J3841+Sens!J3843+Sens!J3845-Sens!J3847)</f>
        <v>0</v>
      </c>
      <c r="K3849" s="27" t="n">
        <f aca="false">(Sens!K3828+Sens!K3833+Sens!K3834+Sens!K3836+Sens!K3838-Sens!K3840)+(Sens!K3841+Sens!K3843+Sens!K3845-Sens!K3847)</f>
        <v>0</v>
      </c>
    </row>
    <row r="3850" customFormat="false" ht="17.15" hidden="false" customHeight="false" outlineLevel="0" collapsed="false">
      <c r="A3850" s="3" t="s">
        <v>1707</v>
      </c>
    </row>
    <row r="3851" customFormat="false" ht="15" hidden="false" customHeight="false" outlineLevel="0" collapsed="false">
      <c r="A3851" s="4" t="s">
        <v>43</v>
      </c>
      <c r="B3851" s="4" t="s">
        <v>65</v>
      </c>
      <c r="C3851" s="23" t="s">
        <v>942</v>
      </c>
      <c r="D3851" s="23" t="s">
        <v>943</v>
      </c>
      <c r="E3851" s="23" t="s">
        <v>944</v>
      </c>
      <c r="F3851" s="23" t="s">
        <v>945</v>
      </c>
      <c r="G3851" s="23" t="s">
        <v>946</v>
      </c>
      <c r="H3851" s="23" t="s">
        <v>947</v>
      </c>
      <c r="I3851" s="23" t="s">
        <v>948</v>
      </c>
      <c r="J3851" s="23" t="s">
        <v>949</v>
      </c>
      <c r="K3851" s="23" t="s">
        <v>950</v>
      </c>
      <c r="L3851" s="4" t="s">
        <v>47</v>
      </c>
    </row>
    <row r="3852" customFormat="false" ht="15" hidden="false" customHeight="false" outlineLevel="0" collapsed="false">
      <c r="A3852" s="0" t="s">
        <v>1029</v>
      </c>
      <c r="B3852" s="0" t="s">
        <v>98</v>
      </c>
      <c r="D3852" s="6" t="n">
        <f aca="false">Sens!D3828</f>
        <v>72.61</v>
      </c>
      <c r="E3852" s="6" t="n">
        <f aca="false">Sens!E3828</f>
        <v>101.938</v>
      </c>
      <c r="F3852" s="6" t="n">
        <f aca="false">Sens!F3828</f>
        <v>152.565022816916</v>
      </c>
      <c r="G3852" s="6" t="n">
        <f aca="false">Sens!G3828</f>
        <v>222.135486710136</v>
      </c>
      <c r="H3852" s="6" t="n">
        <f aca="false">Sens!H3828</f>
        <v>299.238712857776</v>
      </c>
      <c r="I3852" s="6" t="n">
        <f aca="false">Sens!I3828</f>
        <v>362.214791955916</v>
      </c>
      <c r="J3852" s="6" t="n">
        <f aca="false">Sens!J3828</f>
        <v>409.215545741018</v>
      </c>
      <c r="K3852" s="6" t="n">
        <f aca="false">Sens!K3828</f>
        <v>440.940832690017</v>
      </c>
    </row>
    <row r="3853" customFormat="false" ht="17.15" hidden="false" customHeight="false" outlineLevel="0" collapsed="false">
      <c r="A3853" s="0" t="s">
        <v>1025</v>
      </c>
      <c r="B3853" s="0" t="s">
        <v>98</v>
      </c>
      <c r="D3853" s="6" t="n">
        <f aca="false">Sens!D3825</f>
        <v>12.9359794422418</v>
      </c>
      <c r="E3853" s="6" t="n">
        <f aca="false">Sens!E3825</f>
        <v>27.8095064661409</v>
      </c>
      <c r="F3853" s="6" t="n">
        <f aca="false">Sens!F3825</f>
        <v>62.9154939349924</v>
      </c>
      <c r="G3853" s="6" t="n">
        <f aca="false">Sens!G3825</f>
        <v>115.618465725711</v>
      </c>
      <c r="H3853" s="6" t="n">
        <f aca="false">Sens!H3825</f>
        <v>175.560527817631</v>
      </c>
      <c r="I3853" s="6" t="n">
        <f aca="false">Sens!I3825</f>
        <v>221.954500304381</v>
      </c>
      <c r="J3853" s="6" t="n">
        <f aca="false">Sens!J3825</f>
        <v>253.942169232691</v>
      </c>
      <c r="K3853" s="6" t="n">
        <f aca="false">Sens!K3825</f>
        <v>273.245586061025</v>
      </c>
    </row>
    <row r="3854" customFormat="false" ht="17.15" hidden="false" customHeight="false" outlineLevel="0" collapsed="false">
      <c r="A3854" s="0" t="s">
        <v>1056</v>
      </c>
      <c r="B3854" s="0" t="s">
        <v>98</v>
      </c>
      <c r="D3854" s="6" t="n">
        <f aca="false">Sens!D3826</f>
        <v>59.6740205577583</v>
      </c>
      <c r="E3854" s="6" t="n">
        <f aca="false">Sens!E3826</f>
        <v>74.1284935338591</v>
      </c>
      <c r="F3854" s="6" t="n">
        <f aca="false">Sens!F3826</f>
        <v>89.649528881924</v>
      </c>
      <c r="G3854" s="6" t="n">
        <f aca="false">Sens!G3826</f>
        <v>106.517020984425</v>
      </c>
      <c r="H3854" s="6" t="n">
        <f aca="false">Sens!H3826</f>
        <v>123.678185040145</v>
      </c>
      <c r="I3854" s="6" t="n">
        <f aca="false">Sens!I3826</f>
        <v>140.260291651535</v>
      </c>
      <c r="J3854" s="6" t="n">
        <f aca="false">Sens!J3826</f>
        <v>155.273376508327</v>
      </c>
      <c r="K3854" s="6" t="n">
        <f aca="false">Sens!K3826</f>
        <v>167.695246628993</v>
      </c>
    </row>
    <row r="3855" customFormat="false" ht="15" hidden="false" customHeight="false" outlineLevel="0" collapsed="false">
      <c r="A3855" s="0" t="s">
        <v>1036</v>
      </c>
      <c r="B3855" s="0" t="s">
        <v>98</v>
      </c>
      <c r="D3855" s="6" t="n">
        <f aca="false">Sens!D3833</f>
        <v>84.605</v>
      </c>
      <c r="E3855" s="6" t="n">
        <f aca="false">Sens!E3833</f>
        <v>100.299</v>
      </c>
      <c r="F3855" s="6" t="n">
        <f aca="false">Sens!F3833</f>
        <v>119.729653205718</v>
      </c>
      <c r="G3855" s="6" t="n">
        <f aca="false">Sens!G3833</f>
        <v>140.806092647576</v>
      </c>
      <c r="H3855" s="6" t="n">
        <f aca="false">Sens!H3833</f>
        <v>161.963437602768</v>
      </c>
      <c r="I3855" s="6" t="n">
        <f aca="false">Sens!I3833</f>
        <v>180.695354741933</v>
      </c>
      <c r="J3855" s="6" t="n">
        <f aca="false">Sens!J3833</f>
        <v>196.722117481571</v>
      </c>
      <c r="K3855" s="6" t="n">
        <f aca="false">Sens!K3833</f>
        <v>212.00016570528</v>
      </c>
    </row>
    <row r="3856" customFormat="false" ht="17.15" hidden="false" customHeight="false" outlineLevel="0" collapsed="false">
      <c r="A3856" s="0" t="s">
        <v>1057</v>
      </c>
      <c r="B3856" s="0" t="s">
        <v>98</v>
      </c>
      <c r="D3856" s="6" t="n">
        <f aca="false">Sens!D3831</f>
        <v>83.705</v>
      </c>
      <c r="E3856" s="6" t="n">
        <f aca="false">Sens!E3831</f>
        <v>95.049</v>
      </c>
      <c r="F3856" s="6" t="n">
        <f aca="false">Sens!F3831</f>
        <v>106.229653205718</v>
      </c>
      <c r="G3856" s="6" t="n">
        <f aca="false">Sens!G3831</f>
        <v>118.306092647576</v>
      </c>
      <c r="H3856" s="6" t="n">
        <f aca="false">Sens!H3831</f>
        <v>130.463437602768</v>
      </c>
      <c r="I3856" s="6" t="n">
        <f aca="false">Sens!I3831</f>
        <v>142.445354741933</v>
      </c>
      <c r="J3856" s="6" t="n">
        <f aca="false">Sens!J3831</f>
        <v>153.972117481571</v>
      </c>
      <c r="K3856" s="6" t="n">
        <f aca="false">Sens!K3831</f>
        <v>164.75016570528</v>
      </c>
    </row>
    <row r="3857" customFormat="false" ht="17.15" hidden="false" customHeight="false" outlineLevel="0" collapsed="false">
      <c r="A3857" s="0" t="s">
        <v>1058</v>
      </c>
      <c r="B3857" s="0" t="s">
        <v>98</v>
      </c>
      <c r="D3857" s="6" t="n">
        <f aca="false">Sens!D3830</f>
        <v>0.9</v>
      </c>
      <c r="E3857" s="6" t="n">
        <f aca="false">Sens!E3830</f>
        <v>5.25</v>
      </c>
      <c r="F3857" s="6" t="n">
        <f aca="false">Sens!F3830</f>
        <v>13.5</v>
      </c>
      <c r="G3857" s="6" t="n">
        <f aca="false">Sens!G3830</f>
        <v>22.5</v>
      </c>
      <c r="H3857" s="6" t="n">
        <f aca="false">Sens!H3830</f>
        <v>31.5</v>
      </c>
      <c r="I3857" s="6" t="n">
        <f aca="false">Sens!I3830</f>
        <v>38.25</v>
      </c>
      <c r="J3857" s="6" t="n">
        <f aca="false">Sens!J3830</f>
        <v>42.75</v>
      </c>
      <c r="K3857" s="6" t="n">
        <f aca="false">Sens!K3830</f>
        <v>47.25</v>
      </c>
    </row>
    <row r="3858" customFormat="false" ht="15" hidden="false" customHeight="false" outlineLevel="0" collapsed="false">
      <c r="A3858" s="0" t="s">
        <v>1037</v>
      </c>
      <c r="B3858" s="0" t="s">
        <v>98</v>
      </c>
      <c r="D3858" s="6" t="n">
        <f aca="false">Sens!D3834</f>
        <v>35.391</v>
      </c>
      <c r="E3858" s="6" t="n">
        <f aca="false">Sens!E3834</f>
        <v>37.285</v>
      </c>
      <c r="F3858" s="6" t="n">
        <f aca="false">Sens!F3834</f>
        <v>38.3851437782675</v>
      </c>
      <c r="G3858" s="6" t="n">
        <f aca="false">Sens!G3834</f>
        <v>40.0105353288615</v>
      </c>
      <c r="H3858" s="6" t="n">
        <f aca="false">Sens!H3834</f>
        <v>41.4812512033683</v>
      </c>
      <c r="I3858" s="6" t="n">
        <f aca="false">Sens!I3834</f>
        <v>42.7743107216329</v>
      </c>
      <c r="J3858" s="6" t="n">
        <f aca="false">Sens!J3834</f>
        <v>43.8687373064601</v>
      </c>
      <c r="K3858" s="6" t="n">
        <f aca="false">Sens!K3834</f>
        <v>44.7461120525893</v>
      </c>
    </row>
    <row r="3859" customFormat="false" ht="15" hidden="false" customHeight="false" outlineLevel="0" collapsed="false">
      <c r="A3859" s="0" t="s">
        <v>1039</v>
      </c>
      <c r="B3859" s="0" t="s">
        <v>98</v>
      </c>
      <c r="D3859" s="6" t="n">
        <f aca="false">Sens!D3836</f>
        <v>18.417</v>
      </c>
      <c r="E3859" s="6" t="n">
        <f aca="false">Sens!E3836</f>
        <v>20.345</v>
      </c>
      <c r="F3859" s="6" t="n">
        <f aca="false">Sens!F3836</f>
        <v>22.3161797133988</v>
      </c>
      <c r="G3859" s="6" t="n">
        <f aca="false">Sens!G3836</f>
        <v>24.3943499673233</v>
      </c>
      <c r="H3859" s="6" t="n">
        <f aca="false">Sens!H3836</f>
        <v>26.5250243109019</v>
      </c>
      <c r="I3859" s="6" t="n">
        <f aca="false">Sens!I3836</f>
        <v>28.6884573538181</v>
      </c>
      <c r="J3859" s="6" t="n">
        <f aca="false">Sens!J3836</f>
        <v>30.8624968052127</v>
      </c>
      <c r="K3859" s="6" t="n">
        <f aca="false">Sens!K3836</f>
        <v>33.0228715815776</v>
      </c>
    </row>
    <row r="3860" customFormat="false" ht="15" hidden="false" customHeight="false" outlineLevel="0" collapsed="false">
      <c r="A3860" s="0" t="s">
        <v>1040</v>
      </c>
      <c r="B3860" s="0" t="s">
        <v>98</v>
      </c>
      <c r="D3860" s="6" t="n">
        <f aca="false">Sens!D3838</f>
        <v>7.76</v>
      </c>
      <c r="E3860" s="6" t="n">
        <f aca="false">Sens!E3838</f>
        <v>8.26</v>
      </c>
      <c r="F3860" s="6" t="n">
        <f aca="false">Sens!F3838</f>
        <v>8.75372082474227</v>
      </c>
      <c r="G3860" s="6" t="n">
        <f aca="false">Sens!G3838</f>
        <v>9.33399324642364</v>
      </c>
      <c r="H3860" s="6" t="n">
        <f aca="false">Sens!H3838</f>
        <v>9.96139155535851</v>
      </c>
      <c r="I3860" s="6" t="n">
        <f aca="false">Sens!I3838</f>
        <v>10.6402039077391</v>
      </c>
      <c r="J3860" s="6" t="n">
        <f aca="false">Sens!J3838</f>
        <v>11.3751458271397</v>
      </c>
      <c r="K3860" s="6" t="n">
        <f aca="false">Sens!K3838</f>
        <v>12.1714060350394</v>
      </c>
    </row>
    <row r="3861" customFormat="false" ht="15" hidden="false" customHeight="false" outlineLevel="0" collapsed="false">
      <c r="A3861" s="0" t="s">
        <v>856</v>
      </c>
      <c r="B3861" s="0" t="s">
        <v>98</v>
      </c>
      <c r="D3861" s="6" t="n">
        <f aca="false">Sens!D3840</f>
        <v>218.783</v>
      </c>
      <c r="E3861" s="6" t="n">
        <f aca="false">Sens!E3840</f>
        <v>268.127</v>
      </c>
      <c r="F3861" s="6" t="n">
        <f aca="false">Sens!F3840</f>
        <v>341.749720339043</v>
      </c>
      <c r="G3861" s="6" t="n">
        <f aca="false">Sens!G3840</f>
        <v>436.680457900321</v>
      </c>
      <c r="H3861" s="6" t="n">
        <f aca="false">Sens!H3840</f>
        <v>539.169817530172</v>
      </c>
      <c r="I3861" s="6" t="n">
        <f aca="false">Sens!I3840</f>
        <v>625.013118681039</v>
      </c>
      <c r="J3861" s="6" t="n">
        <f aca="false">Sens!J3840</f>
        <v>692.044043161401</v>
      </c>
      <c r="K3861" s="6" t="n">
        <f aca="false">Sens!K3840</f>
        <v>742.881388064504</v>
      </c>
    </row>
    <row r="3862" customFormat="false" ht="15" hidden="false" customHeight="false" outlineLevel="0" collapsed="false">
      <c r="A3862" s="0" t="s">
        <v>1041</v>
      </c>
      <c r="B3862" s="0" t="s">
        <v>98</v>
      </c>
      <c r="D3862" s="6" t="n">
        <f aca="false">Sens!D3841</f>
        <v>22.171</v>
      </c>
      <c r="E3862" s="6" t="n">
        <f aca="false">Sens!E3841</f>
        <v>24.835</v>
      </c>
      <c r="F3862" s="6" t="n">
        <f aca="false">Sens!F3841</f>
        <v>27.5591895660247</v>
      </c>
      <c r="G3862" s="6" t="n">
        <f aca="false">Sens!G3841</f>
        <v>30.4098563144583</v>
      </c>
      <c r="H3862" s="6" t="n">
        <f aca="false">Sens!H3841</f>
        <v>33.3011792571777</v>
      </c>
      <c r="I3862" s="6" t="n">
        <f aca="false">Sens!I3841</f>
        <v>36.189023797112</v>
      </c>
      <c r="J3862" s="6" t="n">
        <f aca="false">Sens!J3841</f>
        <v>39.0247773769199</v>
      </c>
      <c r="K3862" s="6" t="n">
        <f aca="false">Sens!K3841</f>
        <v>41.7565117933043</v>
      </c>
    </row>
    <row r="3863" customFormat="false" ht="15" hidden="false" customHeight="false" outlineLevel="0" collapsed="false">
      <c r="A3863" s="0" t="s">
        <v>1042</v>
      </c>
      <c r="B3863" s="0" t="s">
        <v>98</v>
      </c>
      <c r="D3863" s="6" t="n">
        <f aca="false">Sens!D3843</f>
        <v>23.455</v>
      </c>
      <c r="E3863" s="6" t="n">
        <f aca="false">Sens!E3843</f>
        <v>21.79</v>
      </c>
      <c r="F3863" s="6" t="n">
        <f aca="false">Sens!F3843</f>
        <v>20.7520981041711</v>
      </c>
      <c r="G3863" s="6" t="n">
        <f aca="false">Sens!G3843</f>
        <v>19.9083593495882</v>
      </c>
      <c r="H3863" s="6" t="n">
        <f aca="false">Sens!H3843</f>
        <v>19.4008256265831</v>
      </c>
      <c r="I3863" s="6" t="n">
        <f aca="false">Sens!I3843</f>
        <v>19.200434522122</v>
      </c>
      <c r="J3863" s="6" t="n">
        <f aca="false">Sens!J3843</f>
        <v>19.2932782348507</v>
      </c>
      <c r="K3863" s="6" t="n">
        <f aca="false">Sens!K3843</f>
        <v>19.6791437995477</v>
      </c>
    </row>
    <row r="3864" customFormat="false" ht="15" hidden="false" customHeight="false" outlineLevel="0" collapsed="false">
      <c r="A3864" s="0" t="s">
        <v>1043</v>
      </c>
      <c r="B3864" s="0" t="s">
        <v>98</v>
      </c>
      <c r="D3864" s="6" t="n">
        <f aca="false">Sens!D3845</f>
        <v>17.315</v>
      </c>
      <c r="E3864" s="6" t="n">
        <f aca="false">Sens!E3845</f>
        <v>17.087</v>
      </c>
      <c r="F3864" s="6" t="n">
        <f aca="false">Sens!F3845</f>
        <v>15.9912273250553</v>
      </c>
      <c r="G3864" s="6" t="n">
        <f aca="false">Sens!G3845</f>
        <v>15.9574562664827</v>
      </c>
      <c r="H3864" s="6" t="n">
        <f aca="false">Sens!H3845</f>
        <v>16.0119687434196</v>
      </c>
      <c r="I3864" s="6" t="n">
        <f aca="false">Sens!I3845</f>
        <v>16.1551810001948</v>
      </c>
      <c r="J3864" s="6" t="n">
        <f aca="false">Sens!J3845</f>
        <v>16.3889793892005</v>
      </c>
      <c r="K3864" s="6" t="n">
        <f aca="false">Sens!K3845</f>
        <v>16.7167589769845</v>
      </c>
    </row>
    <row r="3865" customFormat="false" ht="15" hidden="false" customHeight="false" outlineLevel="0" collapsed="false">
      <c r="A3865" s="0" t="s">
        <v>870</v>
      </c>
      <c r="B3865" s="0" t="s">
        <v>98</v>
      </c>
      <c r="D3865" s="6" t="n">
        <f aca="false">Sens!D3847</f>
        <v>62.941</v>
      </c>
      <c r="E3865" s="6" t="n">
        <f aca="false">Sens!E3847</f>
        <v>63.712</v>
      </c>
      <c r="F3865" s="6" t="n">
        <f aca="false">Sens!F3847</f>
        <v>64.3025149952511</v>
      </c>
      <c r="G3865" s="6" t="n">
        <f aca="false">Sens!G3847</f>
        <v>66.2756719305292</v>
      </c>
      <c r="H3865" s="6" t="n">
        <f aca="false">Sens!H3847</f>
        <v>68.7139736271804</v>
      </c>
      <c r="I3865" s="6" t="n">
        <f aca="false">Sens!I3847</f>
        <v>71.5446393194289</v>
      </c>
      <c r="J3865" s="6" t="n">
        <f aca="false">Sens!J3847</f>
        <v>74.707035000971</v>
      </c>
      <c r="K3865" s="6" t="n">
        <f aca="false">Sens!K3847</f>
        <v>78.1524145698365</v>
      </c>
    </row>
    <row r="3866" customFormat="false" ht="15" hidden="false" customHeight="false" outlineLevel="0" collapsed="false">
      <c r="A3866" s="1" t="s">
        <v>1059</v>
      </c>
      <c r="B3866" s="0" t="s">
        <v>98</v>
      </c>
      <c r="D3866" s="6" t="n">
        <f aca="false">Sens!D3848</f>
        <v>281.724</v>
      </c>
      <c r="E3866" s="6" t="n">
        <f aca="false">Sens!E3848</f>
        <v>331.839</v>
      </c>
      <c r="F3866" s="6" t="n">
        <f aca="false">Sens!F3848</f>
        <v>406.052235334294</v>
      </c>
      <c r="G3866" s="6" t="n">
        <f aca="false">Sens!G3848</f>
        <v>502.95612983085</v>
      </c>
      <c r="H3866" s="6" t="n">
        <f aca="false">Sens!H3848</f>
        <v>607.883791157353</v>
      </c>
      <c r="I3866" s="6" t="n">
        <f aca="false">Sens!I3848</f>
        <v>696.557758000468</v>
      </c>
      <c r="J3866" s="6" t="n">
        <f aca="false">Sens!J3848</f>
        <v>766.751078162372</v>
      </c>
      <c r="K3866" s="6" t="n">
        <f aca="false">Sens!K3848</f>
        <v>821.033802634341</v>
      </c>
    </row>
    <row r="3867" customFormat="false" ht="15" hidden="false" customHeight="false" outlineLevel="0" collapsed="false">
      <c r="A3867" s="1" t="s">
        <v>1060</v>
      </c>
      <c r="B3867" s="0" t="s">
        <v>168</v>
      </c>
      <c r="E3867" s="7" t="n">
        <f aca="false">Sens!E3866/Sens!D3866-1</f>
        <v>0.177886867998467</v>
      </c>
      <c r="F3867" s="7" t="n">
        <f aca="false">Sens!F3866/Sens!E3866-1</f>
        <v>0.223642294408717</v>
      </c>
      <c r="G3867" s="7" t="n">
        <f aca="false">Sens!G3866/Sens!F3866-1</f>
        <v>0.238648838903145</v>
      </c>
      <c r="H3867" s="7" t="n">
        <f aca="false">Sens!H3866/Sens!G3866-1</f>
        <v>0.208621895833721</v>
      </c>
      <c r="I3867" s="7" t="n">
        <f aca="false">Sens!I3866/Sens!H3866-1</f>
        <v>0.145873221383792</v>
      </c>
      <c r="J3867" s="7" t="n">
        <f aca="false">Sens!J3866/Sens!I3866-1</f>
        <v>0.10077171541869</v>
      </c>
      <c r="K3867" s="7" t="n">
        <f aca="false">Sens!K3866/Sens!J3866-1</f>
        <v>0.0707957589079167</v>
      </c>
    </row>
    <row r="3868" customFormat="false" ht="17.15" hidden="false" customHeight="false" outlineLevel="0" collapsed="false">
      <c r="A3868" s="26" t="s">
        <v>1061</v>
      </c>
      <c r="B3868" s="31" t="s">
        <v>98</v>
      </c>
      <c r="C3868" s="31"/>
      <c r="D3868" s="27" t="n">
        <f aca="false">(Sens!D3861+Sens!D3865-Sens!D3866)+(Sens!D3853+Sens!D3854-Sens!D3852)+(Sens!D3856+Sens!D3857-Sens!D3855)+(Sens!D3866-Q!L18)</f>
        <v>0</v>
      </c>
      <c r="E3868" s="27" t="n">
        <f aca="false">(Sens!E3861+Sens!E3865-Sens!E3866)+(Sens!E3853+Sens!E3854-Sens!E3852)+(Sens!E3856+Sens!E3857-Sens!E3855)+(Sens!E3866-Q!M18)</f>
        <v>0</v>
      </c>
      <c r="F3868" s="27" t="n">
        <f aca="false">(Sens!F3861+Sens!F3865-Sens!F3866)+(Sens!F3853+Sens!F3854-Sens!F3852)+(Sens!F3856+Sens!F3857-Sens!F3855)</f>
        <v>0</v>
      </c>
      <c r="G3868" s="27" t="n">
        <f aca="false">(Sens!G3861+Sens!G3865-Sens!G3866)+(Sens!G3853+Sens!G3854-Sens!G3852)+(Sens!G3856+Sens!G3857-Sens!G3855)</f>
        <v>0</v>
      </c>
      <c r="H3868" s="27" t="n">
        <f aca="false">(Sens!H3861+Sens!H3865-Sens!H3866)+(Sens!H3853+Sens!H3854-Sens!H3852)+(Sens!H3856+Sens!H3857-Sens!H3855)</f>
        <v>0</v>
      </c>
      <c r="I3868" s="27" t="n">
        <f aca="false">(Sens!I3861+Sens!I3865-Sens!I3866)+(Sens!I3853+Sens!I3854-Sens!I3852)+(Sens!I3856+Sens!I3857-Sens!I3855)</f>
        <v>0</v>
      </c>
      <c r="J3868" s="27" t="n">
        <f aca="false">(Sens!J3861+Sens!J3865-Sens!J3866)+(Sens!J3853+Sens!J3854-Sens!J3852)+(Sens!J3856+Sens!J3857-Sens!J3855)</f>
        <v>0</v>
      </c>
      <c r="K3868" s="27" t="n">
        <f aca="false">(Sens!K3861+Sens!K3865-Sens!K3866)+(Sens!K3853+Sens!K3854-Sens!K3852)+(Sens!K3856+Sens!K3857-Sens!K3855)</f>
        <v>0</v>
      </c>
    </row>
    <row r="3869" customFormat="false" ht="17.15" hidden="false" customHeight="false" outlineLevel="0" collapsed="false">
      <c r="A3869" s="0" t="s">
        <v>1062</v>
      </c>
      <c r="B3869" s="0" t="s">
        <v>168</v>
      </c>
      <c r="E3869" s="7" t="n">
        <f aca="false">(Q!M21+Sens!E3805+Sens!E3806+Sens!E3807+Sens!E3821-Sens!E3803)/(Q!M5-Sens!E3803)</f>
        <v>0.570957350878296</v>
      </c>
      <c r="F3869" s="7" t="n">
        <f aca="false">Sens!$E$3869+dm_seg</f>
        <v>0.570957350878296</v>
      </c>
      <c r="G3869" s="7" t="n">
        <f aca="false">Sens!$E$3869+dm_seg</f>
        <v>0.570957350878296</v>
      </c>
      <c r="H3869" s="7" t="n">
        <f aca="false">Sens!$E$3869+dm_seg</f>
        <v>0.570957350878296</v>
      </c>
      <c r="I3869" s="7" t="n">
        <f aca="false">Sens!$E$3869+dm_seg</f>
        <v>0.570957350878296</v>
      </c>
      <c r="J3869" s="7" t="n">
        <f aca="false">Sens!$E$3869+dm_seg</f>
        <v>0.570957350878296</v>
      </c>
      <c r="K3869" s="7" t="n">
        <f aca="false">Sens!$E$3869+dm_seg</f>
        <v>0.570957350878296</v>
      </c>
      <c r="L3869" s="12" t="s">
        <v>1063</v>
      </c>
    </row>
    <row r="3870" customFormat="false" ht="17.15" hidden="false" customHeight="false" outlineLevel="0" collapsed="false">
      <c r="A3870" s="0" t="s">
        <v>884</v>
      </c>
      <c r="B3870" s="0" t="s">
        <v>98</v>
      </c>
      <c r="D3870" s="6" t="n">
        <f aca="false">Q!L21</f>
        <v>110.814</v>
      </c>
      <c r="E3870" s="6" t="n">
        <f aca="false">Q!M21</f>
        <v>136.365</v>
      </c>
      <c r="F3870" s="6" t="n">
        <f aca="false">Q!$I$21+(Sens!F3869*(Sens!F3840-Sens!F3803)+Sens!F3803-(Sens!F3805+Sens!F3806+Sens!F3807)-Sens!F3821-Sens!F3904)*(Sens!F3840-Q!$I$5)/Sens!F3840</f>
        <v>165.452443092521</v>
      </c>
      <c r="G3870" s="6" t="n">
        <f aca="false">(Sens!G3869*(Sens!G3840-Sens!G3803)+Sens!G3803-(Sens!G3805+Sens!G3806+Sens!G3807)-Sens!G3821-Sens!G3904)</f>
        <v>191.455735020681</v>
      </c>
      <c r="H3870" s="6" t="n">
        <f aca="false">(Sens!H3869*(Sens!H3840-Sens!H3803)+Sens!H3803-(Sens!H3805+Sens!H3806+Sens!H3807)-Sens!H3821-Sens!H3904)</f>
        <v>227.087856879702</v>
      </c>
      <c r="I3870" s="6" t="n">
        <f aca="false">(Sens!I3869*(Sens!I3840-Sens!I3803)+Sens!I3803-(Sens!I3805+Sens!I3806+Sens!I3807)-Sens!I3821-Sens!I3904)</f>
        <v>253.428362524246</v>
      </c>
      <c r="J3870" s="6" t="n">
        <f aca="false">(Sens!J3869*(Sens!J3840-Sens!J3803)+Sens!J3803-(Sens!J3805+Sens!J3806+Sens!J3807)-Sens!J3821-Sens!J3904)</f>
        <v>275.971256646076</v>
      </c>
      <c r="K3870" s="6" t="n">
        <f aca="false">(Sens!K3869*(Sens!K3840-Sens!K3803)+Sens!K3803-(Sens!K3805+Sens!K3806+Sens!K3807)-Sens!K3821-Sens!K3904)</f>
        <v>296.051489587512</v>
      </c>
      <c r="L3870" s="1" t="s">
        <v>1064</v>
      </c>
    </row>
    <row r="3871" customFormat="false" ht="17.15" hidden="false" customHeight="false" outlineLevel="0" collapsed="false">
      <c r="A3871" s="0" t="s">
        <v>1065</v>
      </c>
      <c r="B3871" s="0" t="s">
        <v>168</v>
      </c>
      <c r="E3871" s="7" t="n">
        <f aca="false">Q!M22/Q!M12</f>
        <v>0.296207935710698</v>
      </c>
      <c r="F3871" s="7" t="n">
        <f aca="false">Sens!$E$3871+dm_seg</f>
        <v>0.296207935710698</v>
      </c>
      <c r="G3871" s="7" t="n">
        <f aca="false">Sens!$E$3871+dm_seg</f>
        <v>0.296207935710698</v>
      </c>
      <c r="H3871" s="7" t="n">
        <f aca="false">Sens!$E$3871+dm_seg</f>
        <v>0.296207935710698</v>
      </c>
      <c r="I3871" s="7" t="n">
        <f aca="false">Sens!$E$3871+dm_seg</f>
        <v>0.296207935710698</v>
      </c>
      <c r="J3871" s="7" t="n">
        <f aca="false">Sens!$E$3871+dm_seg</f>
        <v>0.296207935710698</v>
      </c>
      <c r="K3871" s="7" t="n">
        <f aca="false">Sens!$E$3871+dm_seg</f>
        <v>0.296207935710698</v>
      </c>
      <c r="L3871" s="12" t="s">
        <v>1066</v>
      </c>
    </row>
    <row r="3872" customFormat="false" ht="17.15" hidden="false" customHeight="false" outlineLevel="0" collapsed="false">
      <c r="A3872" s="0" t="s">
        <v>886</v>
      </c>
      <c r="B3872" s="0" t="s">
        <v>98</v>
      </c>
      <c r="D3872" s="6" t="n">
        <f aca="false">Q!L22</f>
        <v>17.714</v>
      </c>
      <c r="E3872" s="6" t="n">
        <f aca="false">Q!M22</f>
        <v>18.872</v>
      </c>
      <c r="F3872" s="6" t="n">
        <f aca="false">Q!$I$22+(Sens!F3847-Q!$I$12)*Sens!F3871</f>
        <v>19.8174315512051</v>
      </c>
      <c r="G3872" s="6" t="n">
        <f aca="false">Sens!G3847*Sens!G3871</f>
        <v>19.6313799703815</v>
      </c>
      <c r="H3872" s="6" t="n">
        <f aca="false">Sens!H3847*Sens!H3871</f>
        <v>20.3536242825865</v>
      </c>
      <c r="I3872" s="6" t="n">
        <f aca="false">Sens!I3847*Sens!I3871</f>
        <v>21.1920899239745</v>
      </c>
      <c r="J3872" s="6" t="n">
        <f aca="false">Sens!J3847*Sens!J3871</f>
        <v>22.1288166207045</v>
      </c>
      <c r="K3872" s="6" t="n">
        <f aca="false">Sens!K3847*Sens!K3871</f>
        <v>23.1493653905379</v>
      </c>
      <c r="L3872" s="12" t="s">
        <v>1067</v>
      </c>
    </row>
    <row r="3873" customFormat="false" ht="15" hidden="false" customHeight="false" outlineLevel="0" collapsed="false">
      <c r="A3873" s="1" t="s">
        <v>1068</v>
      </c>
      <c r="B3873" s="0" t="s">
        <v>98</v>
      </c>
      <c r="D3873" s="6" t="n">
        <f aca="false">Sens!D3870+Sens!D3872</f>
        <v>128.528</v>
      </c>
      <c r="E3873" s="6" t="n">
        <f aca="false">Sens!E3870+Sens!E3872</f>
        <v>155.237</v>
      </c>
      <c r="F3873" s="6" t="n">
        <f aca="false">Sens!F3870+Sens!F3872</f>
        <v>185.269874643726</v>
      </c>
      <c r="G3873" s="6" t="n">
        <f aca="false">Sens!G3870+Sens!G3872</f>
        <v>211.087114991062</v>
      </c>
      <c r="H3873" s="6" t="n">
        <f aca="false">Sens!H3870+Sens!H3872</f>
        <v>247.441481162289</v>
      </c>
      <c r="I3873" s="6" t="n">
        <f aca="false">Sens!I3870+Sens!I3872</f>
        <v>274.62045244822</v>
      </c>
      <c r="J3873" s="6" t="n">
        <f aca="false">Sens!J3870+Sens!J3872</f>
        <v>298.100073266781</v>
      </c>
      <c r="K3873" s="6" t="n">
        <f aca="false">Sens!K3870+Sens!K3872</f>
        <v>319.20085497805</v>
      </c>
    </row>
    <row r="3874" customFormat="false" ht="15" hidden="false" customHeight="false" outlineLevel="0" collapsed="false">
      <c r="A3874" s="26" t="s">
        <v>1069</v>
      </c>
      <c r="B3874" s="31" t="s">
        <v>98</v>
      </c>
      <c r="C3874" s="31"/>
      <c r="D3874" s="27" t="n">
        <f aca="false">Sens!D3873-Q!L23</f>
        <v>0</v>
      </c>
      <c r="E3874" s="27" t="n">
        <f aca="false">Sens!E3873-Q!M23</f>
        <v>0</v>
      </c>
      <c r="F3874" s="31"/>
      <c r="G3874" s="31"/>
      <c r="H3874" s="31"/>
      <c r="I3874" s="31"/>
      <c r="J3874" s="31"/>
      <c r="K3874" s="31"/>
    </row>
    <row r="3875" customFormat="false" ht="15" hidden="false" customHeight="false" outlineLevel="0" collapsed="false">
      <c r="A3875" s="1" t="s">
        <v>1070</v>
      </c>
      <c r="B3875" s="0" t="s">
        <v>168</v>
      </c>
      <c r="D3875" s="7" t="n">
        <f aca="false">Sens!D3873/Sens!D3866</f>
        <v>0.456219562408598</v>
      </c>
      <c r="E3875" s="7" t="n">
        <f aca="false">Sens!E3873/Sens!E3866</f>
        <v>0.467808184089272</v>
      </c>
      <c r="F3875" s="7" t="n">
        <f aca="false">Sens!F3873/Sens!F3866</f>
        <v>0.456271037373301</v>
      </c>
      <c r="G3875" s="7" t="n">
        <f aca="false">Sens!G3873/Sens!G3866</f>
        <v>0.419692896599259</v>
      </c>
      <c r="H3875" s="7" t="n">
        <f aca="false">Sens!H3873/Sens!H3866</f>
        <v>0.407053921755643</v>
      </c>
      <c r="I3875" s="7" t="n">
        <f aca="false">Sens!I3873/Sens!I3866</f>
        <v>0.394253669985017</v>
      </c>
      <c r="J3875" s="7" t="n">
        <f aca="false">Sens!J3873/Sens!J3866</f>
        <v>0.388783376713626</v>
      </c>
      <c r="K3875" s="7" t="n">
        <f aca="false">Sens!K3873/Sens!K3866</f>
        <v>0.388779187840833</v>
      </c>
    </row>
    <row r="3876" customFormat="false" ht="17.15" hidden="false" customHeight="false" outlineLevel="0" collapsed="false">
      <c r="A3876" s="1" t="s">
        <v>1071</v>
      </c>
      <c r="B3876" s="0" t="s">
        <v>98</v>
      </c>
      <c r="F3876" s="6" t="n">
        <f aca="false">Sens!F3891</f>
        <v>10.8157429114053</v>
      </c>
      <c r="G3876" s="6" t="n">
        <f aca="false">Sens!G3891</f>
        <v>28.6755595154872</v>
      </c>
      <c r="H3876" s="6" t="n">
        <f aca="false">Sens!H3891</f>
        <v>48.1534901744381</v>
      </c>
      <c r="I3876" s="6" t="n">
        <f aca="false">Sens!I3891</f>
        <v>65.8549462014139</v>
      </c>
      <c r="J3876" s="6" t="n">
        <f aca="false">Sens!J3891</f>
        <v>78.1106985454331</v>
      </c>
      <c r="K3876" s="6" t="n">
        <f aca="false">Sens!K3891</f>
        <v>84.2812334489175</v>
      </c>
      <c r="L3876" s="1" t="s">
        <v>1072</v>
      </c>
    </row>
    <row r="3877" customFormat="false" ht="17.15" hidden="false" customHeight="false" outlineLevel="0" collapsed="false">
      <c r="A3877" s="1" t="s">
        <v>1073</v>
      </c>
      <c r="B3877" s="0" t="s">
        <v>98</v>
      </c>
      <c r="D3877" s="6" t="n">
        <f aca="false">Sens!D3873</f>
        <v>128.528</v>
      </c>
      <c r="E3877" s="6" t="n">
        <f aca="false">Sens!E3873</f>
        <v>155.237</v>
      </c>
      <c r="F3877" s="6" t="n">
        <f aca="false">Sens!F3873+Sens!F3876</f>
        <v>196.085617555132</v>
      </c>
      <c r="G3877" s="6" t="n">
        <f aca="false">Sens!G3873+Sens!G3876</f>
        <v>239.76267450655</v>
      </c>
      <c r="H3877" s="6" t="n">
        <f aca="false">Sens!H3873+Sens!H3876</f>
        <v>295.594971336727</v>
      </c>
      <c r="I3877" s="6" t="n">
        <f aca="false">Sens!I3873+Sens!I3876</f>
        <v>340.475398649634</v>
      </c>
      <c r="J3877" s="6" t="n">
        <f aca="false">Sens!J3873+Sens!J3876</f>
        <v>376.210771812214</v>
      </c>
      <c r="K3877" s="6" t="n">
        <f aca="false">Sens!K3873+Sens!K3876</f>
        <v>403.482088426967</v>
      </c>
    </row>
    <row r="3878" customFormat="false" ht="17.15" hidden="false" customHeight="false" outlineLevel="0" collapsed="false">
      <c r="A3878" s="1" t="s">
        <v>1074</v>
      </c>
      <c r="B3878" s="0" t="s">
        <v>98</v>
      </c>
      <c r="E3878" s="6" t="n">
        <f aca="false">Sens!E3821</f>
        <v>16.3054059770833</v>
      </c>
      <c r="F3878" s="6" t="n">
        <f aca="false">Sens!F3821</f>
        <v>37.2133107952886</v>
      </c>
      <c r="G3878" s="6" t="n">
        <f aca="false">Sens!G3821</f>
        <v>68.7985305502921</v>
      </c>
      <c r="H3878" s="6" t="n">
        <f aca="false">Sens!H3821</f>
        <v>102.837250561268</v>
      </c>
      <c r="I3878" s="6" t="n">
        <f aca="false">Sens!I3821</f>
        <v>132.849603006019</v>
      </c>
      <c r="J3878" s="6" t="n">
        <f aca="false">Sens!J3821</f>
        <v>153.81036285865</v>
      </c>
      <c r="K3878" s="6" t="n">
        <f aca="false">Sens!K3821</f>
        <v>166.333314624954</v>
      </c>
    </row>
    <row r="3879" customFormat="false" ht="17.15" hidden="false" customHeight="false" outlineLevel="0" collapsed="false">
      <c r="A3879" s="1" t="s">
        <v>1075</v>
      </c>
      <c r="B3879" s="0" t="s">
        <v>98</v>
      </c>
      <c r="E3879" s="6" t="n">
        <f aca="false">Sens!E3903</f>
        <v>22.2285940229167</v>
      </c>
      <c r="F3879" s="6" t="n">
        <f aca="false">Sens!F3903</f>
        <v>23.5588450133838</v>
      </c>
      <c r="G3879" s="6" t="n">
        <f aca="false">Sens!G3903</f>
        <v>25.3409009423</v>
      </c>
      <c r="H3879" s="6" t="n">
        <f aca="false">Sens!H3903</f>
        <v>27.538051323806</v>
      </c>
      <c r="I3879" s="6" t="n">
        <f aca="false">Sens!I3903</f>
        <v>30.0741765365704</v>
      </c>
      <c r="J3879" s="6" t="n">
        <f aca="false">Sens!J3903</f>
        <v>32.8576182675578</v>
      </c>
      <c r="K3879" s="6" t="n">
        <f aca="false">Sens!K3903</f>
        <v>35.8044664452989</v>
      </c>
    </row>
    <row r="3880" customFormat="false" ht="17.15" hidden="false" customHeight="false" outlineLevel="0" collapsed="false">
      <c r="A3880" s="1" t="s">
        <v>1076</v>
      </c>
      <c r="B3880" s="0" t="s">
        <v>98</v>
      </c>
      <c r="D3880" s="6" t="n">
        <f aca="false">Q!L27</f>
        <v>-4.901</v>
      </c>
      <c r="E3880" s="6" t="n">
        <f aca="false">Q!M27</f>
        <v>10.697</v>
      </c>
      <c r="F3880" s="6" t="n">
        <f aca="false">Q!$I$27+oie_f*(q_per_yr-1)/q_per_yr</f>
        <v>-0.862</v>
      </c>
      <c r="G3880" s="6" t="n">
        <f aca="false">oie_f</f>
        <v>-1.2</v>
      </c>
      <c r="H3880" s="6" t="n">
        <f aca="false">oie_f</f>
        <v>-1.2</v>
      </c>
      <c r="I3880" s="6" t="n">
        <f aca="false">oie_f</f>
        <v>-1.2</v>
      </c>
      <c r="J3880" s="6" t="n">
        <f aca="false">oie_f</f>
        <v>-1.2</v>
      </c>
      <c r="K3880" s="6" t="n">
        <f aca="false">oie_f</f>
        <v>-1.2</v>
      </c>
      <c r="L3880" s="12" t="s">
        <v>1077</v>
      </c>
    </row>
    <row r="3881" customFormat="false" ht="15" hidden="false" customHeight="false" outlineLevel="0" collapsed="false">
      <c r="A3881" s="1" t="s">
        <v>1078</v>
      </c>
      <c r="B3881" s="0" t="s">
        <v>98</v>
      </c>
      <c r="D3881" s="6" t="n">
        <f aca="false">Sens!D3873+Sens!D3880</f>
        <v>123.627</v>
      </c>
      <c r="E3881" s="6" t="n">
        <f aca="false">Sens!E3873+Sens!E3880</f>
        <v>165.934</v>
      </c>
      <c r="F3881" s="6" t="n">
        <f aca="false">Sens!F3873+Sens!F3880</f>
        <v>184.407874643726</v>
      </c>
      <c r="G3881" s="6" t="n">
        <f aca="false">Sens!G3873+Sens!G3880</f>
        <v>209.887114991062</v>
      </c>
      <c r="H3881" s="6" t="n">
        <f aca="false">Sens!H3873+Sens!H3880</f>
        <v>246.241481162289</v>
      </c>
      <c r="I3881" s="6" t="n">
        <f aca="false">Sens!I3873+Sens!I3880</f>
        <v>273.42045244822</v>
      </c>
      <c r="J3881" s="6" t="n">
        <f aca="false">Sens!J3873+Sens!J3880</f>
        <v>296.900073266781</v>
      </c>
      <c r="K3881" s="6" t="n">
        <f aca="false">Sens!K3873+Sens!K3880</f>
        <v>318.00085497805</v>
      </c>
    </row>
    <row r="3882" customFormat="false" ht="15" hidden="false" customHeight="false" outlineLevel="0" collapsed="false">
      <c r="A3882" s="1" t="s">
        <v>1079</v>
      </c>
      <c r="B3882" s="0" t="s">
        <v>98</v>
      </c>
      <c r="D3882" s="6" t="n">
        <f aca="false">Q!L29</f>
        <v>21.795</v>
      </c>
      <c r="E3882" s="6" t="n">
        <f aca="false">Q!M29</f>
        <v>32.185</v>
      </c>
      <c r="F3882" s="6" t="n">
        <f aca="false">Q!$I$29+(Sens!F3881-Q!$I$28)*tax_f</f>
        <v>37.0149749287453</v>
      </c>
      <c r="G3882" s="6" t="n">
        <f aca="false">Sens!G3881*tax_f</f>
        <v>41.9774229982125</v>
      </c>
      <c r="H3882" s="6" t="n">
        <f aca="false">Sens!H3881*tax_f</f>
        <v>49.2482962324578</v>
      </c>
      <c r="I3882" s="6" t="n">
        <f aca="false">Sens!I3881*tax_f</f>
        <v>54.684090489644</v>
      </c>
      <c r="J3882" s="6" t="n">
        <f aca="false">Sens!J3881*tax_f</f>
        <v>59.3800146533561</v>
      </c>
      <c r="K3882" s="6" t="n">
        <f aca="false">Sens!K3881*tax_f</f>
        <v>63.6001709956099</v>
      </c>
    </row>
    <row r="3883" customFormat="false" ht="15" hidden="false" customHeight="false" outlineLevel="0" collapsed="false">
      <c r="A3883" s="1" t="s">
        <v>1080</v>
      </c>
      <c r="B3883" s="0" t="s">
        <v>98</v>
      </c>
      <c r="D3883" s="6" t="n">
        <f aca="false">Sens!D3881-Sens!D3882</f>
        <v>101.832</v>
      </c>
      <c r="E3883" s="6" t="n">
        <f aca="false">Sens!E3881-Sens!E3882</f>
        <v>133.749</v>
      </c>
      <c r="F3883" s="6" t="n">
        <f aca="false">Sens!F3881-Sens!F3882</f>
        <v>147.392899714981</v>
      </c>
      <c r="G3883" s="6" t="n">
        <f aca="false">Sens!G3881-Sens!G3882</f>
        <v>167.90969199285</v>
      </c>
      <c r="H3883" s="6" t="n">
        <f aca="false">Sens!H3881-Sens!H3882</f>
        <v>196.993184929831</v>
      </c>
      <c r="I3883" s="6" t="n">
        <f aca="false">Sens!I3881-Sens!I3882</f>
        <v>218.736361958576</v>
      </c>
      <c r="J3883" s="6" t="n">
        <f aca="false">Sens!J3881-Sens!J3882</f>
        <v>237.520058613424</v>
      </c>
      <c r="K3883" s="6" t="n">
        <f aca="false">Sens!K3881-Sens!K3882</f>
        <v>254.40068398244</v>
      </c>
    </row>
    <row r="3884" customFormat="false" ht="17.15" hidden="false" customHeight="false" outlineLevel="0" collapsed="false">
      <c r="A3884" s="1" t="s">
        <v>1081</v>
      </c>
      <c r="B3884" s="1" t="s">
        <v>81</v>
      </c>
      <c r="D3884" s="15" t="n">
        <f aca="false">Q!L31</f>
        <v>7.465</v>
      </c>
      <c r="E3884" s="15" t="n">
        <f aca="false">Q!M31</f>
        <v>7.453</v>
      </c>
      <c r="F3884" s="15" t="n">
        <f aca="false">Sens!F3928</f>
        <v>7.4735</v>
      </c>
      <c r="G3884" s="15" t="n">
        <f aca="false">Sens!G3928</f>
        <v>7.5185</v>
      </c>
      <c r="H3884" s="15" t="n">
        <f aca="false">Sens!H3928</f>
        <v>7.5461999390288</v>
      </c>
      <c r="I3884" s="15" t="n">
        <f aca="false">Sens!I3928</f>
        <v>7.55788130308427</v>
      </c>
      <c r="J3884" s="15" t="n">
        <f aca="false">Sens!J3928</f>
        <v>7.57203071424674</v>
      </c>
      <c r="K3884" s="15" t="n">
        <f aca="false">Sens!K3928</f>
        <v>7.58846535421199</v>
      </c>
    </row>
    <row r="3885" customFormat="false" ht="17.15" hidden="false" customHeight="false" outlineLevel="0" collapsed="false">
      <c r="A3885" s="0" t="s">
        <v>1082</v>
      </c>
      <c r="B3885" s="0" t="s">
        <v>75</v>
      </c>
      <c r="D3885" s="8" t="n">
        <f aca="false">Sens!D3883/Sens!D3884</f>
        <v>13.641259209645</v>
      </c>
      <c r="E3885" s="8" t="n">
        <f aca="false">Sens!E3883/Sens!E3884</f>
        <v>17.9456594659869</v>
      </c>
      <c r="F3885" s="8" t="n">
        <f aca="false">Sens!F3883/Sens!F3884</f>
        <v>19.722071280522</v>
      </c>
      <c r="G3885" s="8" t="n">
        <f aca="false">Sens!G3883/Sens!G3884</f>
        <v>22.3328711834608</v>
      </c>
      <c r="H3885" s="8" t="n">
        <f aca="false">Sens!H3883/Sens!H3884</f>
        <v>26.1049517003898</v>
      </c>
      <c r="I3885" s="8" t="n">
        <f aca="false">Sens!I3883/Sens!I3884</f>
        <v>28.9414920910855</v>
      </c>
      <c r="J3885" s="8" t="n">
        <f aca="false">Sens!J3883/Sens!J3884</f>
        <v>31.3680791292264</v>
      </c>
      <c r="K3885" s="8" t="n">
        <f aca="false">Sens!K3883/Sens!K3884</f>
        <v>33.5246551321782</v>
      </c>
      <c r="L3885" s="1" t="s">
        <v>1083</v>
      </c>
    </row>
    <row r="3886" customFormat="false" ht="17.15" hidden="false" customHeight="false" outlineLevel="0" collapsed="false">
      <c r="A3886" s="1" t="s">
        <v>1084</v>
      </c>
      <c r="B3886" s="0" t="s">
        <v>98</v>
      </c>
      <c r="D3886" s="6" t="n">
        <f aca="false">Sens!D3883</f>
        <v>101.832</v>
      </c>
      <c r="E3886" s="6" t="n">
        <f aca="false">Sens!E3883</f>
        <v>133.749</v>
      </c>
      <c r="F3886" s="6" t="n">
        <f aca="false">Sens!F3883+Sens!F3876*(1-tax_f)</f>
        <v>156.045494044105</v>
      </c>
      <c r="G3886" s="6" t="n">
        <f aca="false">Sens!G3883+Sens!G3876*(1-tax_f)</f>
        <v>190.85013960524</v>
      </c>
      <c r="H3886" s="6" t="n">
        <f aca="false">Sens!H3883+Sens!H3876*(1-tax_f)</f>
        <v>235.515977069381</v>
      </c>
      <c r="I3886" s="6" t="n">
        <f aca="false">Sens!I3883+Sens!I3876*(1-tax_f)</f>
        <v>271.420318919707</v>
      </c>
      <c r="J3886" s="6" t="n">
        <f aca="false">Sens!J3883+Sens!J3876*(1-tax_f)</f>
        <v>300.008617449771</v>
      </c>
      <c r="K3886" s="6" t="n">
        <f aca="false">Sens!K3883+Sens!K3876*(1-tax_f)</f>
        <v>321.825670741574</v>
      </c>
    </row>
    <row r="3887" customFormat="false" ht="17.15" hidden="false" customHeight="false" outlineLevel="0" collapsed="false">
      <c r="A3887" s="0" t="s">
        <v>1085</v>
      </c>
      <c r="B3887" s="0" t="s">
        <v>75</v>
      </c>
      <c r="D3887" s="8" t="n">
        <f aca="false">Sens!D3886/Sens!D3884</f>
        <v>13.641259209645</v>
      </c>
      <c r="E3887" s="8" t="n">
        <f aca="false">Sens!E3886/Sens!E3884</f>
        <v>17.9456594659869</v>
      </c>
      <c r="F3887" s="8" t="n">
        <f aca="false">Sens!F3886/Sens!F3884</f>
        <v>20.8798413118492</v>
      </c>
      <c r="G3887" s="8" t="n">
        <f aca="false">Sens!G3886/Sens!G3884</f>
        <v>25.3840712383108</v>
      </c>
      <c r="H3887" s="8" t="n">
        <f aca="false">Sens!H3886/Sens!H3884</f>
        <v>31.2098776831101</v>
      </c>
      <c r="I3887" s="8" t="n">
        <f aca="false">Sens!I3886/Sens!I3884</f>
        <v>35.9122230206161</v>
      </c>
      <c r="J3887" s="8" t="n">
        <f aca="false">Sens!J3886/Sens!J3884</f>
        <v>39.6206287020609</v>
      </c>
      <c r="K3887" s="8" t="n">
        <f aca="false">Sens!K3886/Sens!K3884</f>
        <v>42.4098491222529</v>
      </c>
      <c r="L3887" s="1" t="s">
        <v>1086</v>
      </c>
    </row>
    <row r="3888" customFormat="false" ht="17.15" hidden="false" customHeight="false" outlineLevel="0" collapsed="false">
      <c r="A3888" s="0" t="s">
        <v>1087</v>
      </c>
      <c r="B3888" s="0" t="s">
        <v>168</v>
      </c>
      <c r="E3888" s="7" t="n">
        <f aca="false">Sens!E3887/Sens!D3887-1</f>
        <v>0.315542736208578</v>
      </c>
      <c r="F3888" s="7" t="n">
        <f aca="false">Sens!F3887/Sens!E3887-1</f>
        <v>0.16350370692276</v>
      </c>
      <c r="G3888" s="7" t="n">
        <f aca="false">Sens!G3887/Sens!F3887-1</f>
        <v>0.215721463548932</v>
      </c>
      <c r="H3888" s="7" t="n">
        <f aca="false">Sens!H3887/Sens!G3887-1</f>
        <v>0.2295063857214</v>
      </c>
      <c r="I3888" s="7" t="n">
        <f aca="false">Sens!I3887/Sens!H3887-1</f>
        <v>0.150668496213007</v>
      </c>
      <c r="J3888" s="7" t="n">
        <f aca="false">Sens!J3887/Sens!I3887-1</f>
        <v>0.103263050001551</v>
      </c>
      <c r="K3888" s="7" t="n">
        <f aca="false">Sens!K3887/Sens!J3887-1</f>
        <v>0.0703981867921979</v>
      </c>
    </row>
    <row r="3889" customFormat="false" ht="17.15" hidden="false" customHeight="false" outlineLevel="0" collapsed="false">
      <c r="A3889" s="0" t="s">
        <v>1007</v>
      </c>
      <c r="B3889" s="0" t="s">
        <v>98</v>
      </c>
      <c r="E3889" s="6" t="n">
        <f aca="false">Sens!E3830</f>
        <v>5.25</v>
      </c>
      <c r="F3889" s="6" t="n">
        <f aca="false">Sens!F3830</f>
        <v>13.5</v>
      </c>
      <c r="G3889" s="6" t="n">
        <f aca="false">Sens!G3830</f>
        <v>22.5</v>
      </c>
      <c r="H3889" s="6" t="n">
        <f aca="false">Sens!H3830</f>
        <v>31.5</v>
      </c>
      <c r="I3889" s="6" t="n">
        <f aca="false">Sens!I3830</f>
        <v>38.25</v>
      </c>
      <c r="J3889" s="6" t="n">
        <f aca="false">Sens!J3830</f>
        <v>42.75</v>
      </c>
      <c r="K3889" s="6" t="n">
        <f aca="false">Sens!K3830</f>
        <v>47.25</v>
      </c>
    </row>
    <row r="3890" customFormat="false" ht="17.15" hidden="false" customHeight="false" outlineLevel="0" collapsed="false">
      <c r="A3890" s="1" t="s">
        <v>1008</v>
      </c>
      <c r="B3890" s="0" t="s">
        <v>98</v>
      </c>
      <c r="F3890" s="6" t="n">
        <f aca="false">MAX(0,((Sens!E3790+Sens!F3790)/2-(shadow_base*(Sens!$D$3790+Sens!$E$3790)/2+(1-shadow_base)*Sens!$E$3790))*Sens!F3799/1000-(Sens!F3889-Sens!$E$3889)*Sens!F3869)</f>
        <v>10.8157429114053</v>
      </c>
      <c r="G3890" s="6" t="n">
        <f aca="false">MAX(0,((Sens!F3790+Sens!G3790)/2-(shadow_base*(Sens!$D$3790+Sens!$E$3790)/2+(1-shadow_base)*Sens!$E$3790))*Sens!G3799/1000-(Sens!G3889-Sens!$E$3889)*Sens!G3869)</f>
        <v>28.6755595154872</v>
      </c>
      <c r="H3890" s="6" t="n">
        <f aca="false">MAX(0,((Sens!G3790+Sens!H3790)/2-(shadow_base*(Sens!$D$3790+Sens!$E$3790)/2+(1-shadow_base)*Sens!$E$3790))*Sens!H3799/1000-(Sens!H3889-Sens!$E$3889)*Sens!H3869)</f>
        <v>48.1534901744381</v>
      </c>
      <c r="I3890" s="6" t="n">
        <f aca="false">MAX(0,((Sens!H3790+Sens!I3790)/2-(shadow_base*(Sens!$D$3790+Sens!$E$3790)/2+(1-shadow_base)*Sens!$E$3790))*Sens!I3799/1000-(Sens!I3889-Sens!$E$3889)*Sens!I3869)</f>
        <v>65.8549462014139</v>
      </c>
      <c r="J3890" s="6" t="n">
        <f aca="false">MAX(0,((Sens!I3790+Sens!J3790)/2-(shadow_base*(Sens!$D$3790+Sens!$E$3790)/2+(1-shadow_base)*Sens!$E$3790))*Sens!J3799/1000-(Sens!J3889-Sens!$E$3889)*Sens!J3869)</f>
        <v>78.1106985454331</v>
      </c>
      <c r="K3890" s="6" t="n">
        <f aca="false">MAX(0,((Sens!J3790+Sens!K3790)/2-(shadow_base*(Sens!$D$3790+Sens!$E$3790)/2+(1-shadow_base)*Sens!$E$3790))*Sens!K3799/1000-(Sens!K3889-Sens!$E$3889)*Sens!K3869)</f>
        <v>84.2812334489175</v>
      </c>
      <c r="L3890" s="1" t="s">
        <v>1009</v>
      </c>
    </row>
    <row r="3891" customFormat="false" ht="17.15" hidden="false" customHeight="false" outlineLevel="0" collapsed="false">
      <c r="A3891" s="1" t="s">
        <v>1010</v>
      </c>
      <c r="B3891" s="0" t="s">
        <v>98</v>
      </c>
      <c r="F3891" s="6" t="n">
        <f aca="false">IF(internal_ai_reading=2,1,0)*Sens!F3890</f>
        <v>10.8157429114053</v>
      </c>
      <c r="G3891" s="6" t="n">
        <f aca="false">IF(internal_ai_reading=2,1,0)*Sens!G3890</f>
        <v>28.6755595154872</v>
      </c>
      <c r="H3891" s="6" t="n">
        <f aca="false">IF(internal_ai_reading=2,1,0)*Sens!H3890</f>
        <v>48.1534901744381</v>
      </c>
      <c r="I3891" s="6" t="n">
        <f aca="false">IF(internal_ai_reading=2,1,0)*Sens!I3890</f>
        <v>65.8549462014139</v>
      </c>
      <c r="J3891" s="6" t="n">
        <f aca="false">IF(internal_ai_reading=2,1,0)*Sens!J3890</f>
        <v>78.1106985454331</v>
      </c>
      <c r="K3891" s="6" t="n">
        <f aca="false">IF(internal_ai_reading=2,1,0)*Sens!K3890</f>
        <v>84.2812334489175</v>
      </c>
    </row>
    <row r="3892" customFormat="false" ht="17.15" hidden="false" customHeight="false" outlineLevel="0" collapsed="false">
      <c r="A3892" s="0" t="s">
        <v>1011</v>
      </c>
      <c r="B3892" s="0" t="s">
        <v>98</v>
      </c>
      <c r="F3892" s="6" t="n">
        <f aca="false">Sens!F3809+Sens!F3889*Sens!F3869+Sens!F3891-Sens!F3810-Sens!F3821</f>
        <v>20.4153113207165</v>
      </c>
      <c r="G3892" s="6" t="n">
        <f aca="false">Sens!G3809+Sens!G3889*Sens!G3869+Sens!G3891-Sens!G3810-Sens!G3821</f>
        <v>49.6651304112066</v>
      </c>
      <c r="H3892" s="6" t="n">
        <f aca="false">Sens!H3809+Sens!H3889*Sens!H3869+Sens!H3891-Sens!H3810-Sens!H3821</f>
        <v>85.6211067977951</v>
      </c>
      <c r="I3892" s="6" t="n">
        <f aca="false">Sens!I3809+Sens!I3889*Sens!I3869+Sens!I3891-Sens!I3810-Sens!I3821</f>
        <v>110.993146399752</v>
      </c>
      <c r="J3892" s="6" t="n">
        <f aca="false">Sens!J3809+Sens!J3889*Sens!J3869+Sens!J3891-Sens!J3810-Sens!J3821</f>
        <v>128.352896588403</v>
      </c>
      <c r="K3892" s="6" t="n">
        <f aca="false">Sens!K3809+Sens!K3889*Sens!K3869+Sens!K3891-Sens!K3810-Sens!K3821</f>
        <v>139.168444475918</v>
      </c>
    </row>
    <row r="3893" customFormat="false" ht="17.15" hidden="false" customHeight="false" outlineLevel="0" collapsed="false">
      <c r="A3893" s="0" t="s">
        <v>1012</v>
      </c>
      <c r="B3893" s="0" t="s">
        <v>98</v>
      </c>
      <c r="E3893" s="6" t="n">
        <f aca="false">Sens!E3789*(cxit_open+self_build*tk_cxfac)/1000*ai_net_open</f>
        <v>126.6980382</v>
      </c>
      <c r="F3893" s="6" t="n">
        <f aca="false">Sens!E3893+Sens!F3818-Sens!F3821</f>
        <v>294.382915210455</v>
      </c>
      <c r="G3893" s="6" t="n">
        <f aca="false">Sens!F3893+Sens!G3818-Sens!G3821</f>
        <v>455.917755439021</v>
      </c>
      <c r="H3893" s="6" t="n">
        <f aca="false">Sens!G3893+Sens!H3818-Sens!H3821</f>
        <v>589.247709755167</v>
      </c>
      <c r="I3893" s="6" t="n">
        <f aca="false">Sens!H3893+Sens!I3818-Sens!I3821</f>
        <v>652.434576937081</v>
      </c>
      <c r="J3893" s="6" t="n">
        <f aca="false">Sens!I3893+Sens!J3818-Sens!J3821</f>
        <v>643.584650325439</v>
      </c>
      <c r="K3893" s="6" t="n">
        <f aca="false">Sens!J3893+Sens!K3818-Sens!K3821</f>
        <v>601.060261086901</v>
      </c>
      <c r="L3893" s="1" t="s">
        <v>1013</v>
      </c>
    </row>
    <row r="3894" customFormat="false" ht="17.15" hidden="false" customHeight="false" outlineLevel="0" collapsed="false">
      <c r="A3894" s="0" t="s">
        <v>1014</v>
      </c>
      <c r="B3894" s="0" t="s">
        <v>168</v>
      </c>
      <c r="F3894" s="7" t="n">
        <f aca="false">Sens!F3892*(1-tax_f)/((Sens!E3893+Sens!F3893)/2)</f>
        <v>0.0775729651236594</v>
      </c>
      <c r="G3894" s="7" t="n">
        <f aca="false">Sens!G3892*(1-tax_f)/((Sens!F3893+Sens!G3893)/2)</f>
        <v>0.105909819578256</v>
      </c>
      <c r="H3894" s="7" t="n">
        <f aca="false">Sens!H3892*(1-tax_f)/((Sens!G3893+Sens!H3893)/2)</f>
        <v>0.131073763378719</v>
      </c>
      <c r="I3894" s="7" t="n">
        <f aca="false">Sens!I3892*(1-tax_f)/((Sens!H3893+Sens!I3893)/2)</f>
        <v>0.143022926349934</v>
      </c>
      <c r="J3894" s="7" t="n">
        <f aca="false">Sens!J3892*(1-tax_f)/((Sens!I3893+Sens!J3893)/2)</f>
        <v>0.158458015299063</v>
      </c>
      <c r="K3894" s="7" t="n">
        <f aca="false">Sens!K3892*(1-tax_f)/((Sens!J3893+Sens!K3893)/2)</f>
        <v>0.178902037938514</v>
      </c>
    </row>
    <row r="3895" customFormat="false" ht="17.15" hidden="false" customHeight="false" outlineLevel="0" collapsed="false">
      <c r="A3895" s="1" t="s">
        <v>1015</v>
      </c>
      <c r="B3895" s="0" t="s">
        <v>168</v>
      </c>
      <c r="F3895" s="7" t="n">
        <f aca="false">(Sens!F3892-Sens!F3891)*(1-tax_f)/((Sens!E3893+Sens!F3893)/2)</f>
        <v>0.0364759064272523</v>
      </c>
      <c r="G3895" s="7" t="n">
        <f aca="false">(Sens!G3892-Sens!G3891)*(1-tax_f)/((Sens!F3893+Sens!G3893)/2)</f>
        <v>0.0447598072970943</v>
      </c>
      <c r="H3895" s="7" t="n">
        <f aca="false">(Sens!H3892-Sens!H3891)*(1-tax_f)/((Sens!G3893+Sens!H3893)/2)</f>
        <v>0.0573576037419425</v>
      </c>
      <c r="I3895" s="7" t="n">
        <f aca="false">(Sens!I3892-Sens!I3891)*(1-tax_f)/((Sens!H3893+Sens!I3893)/2)</f>
        <v>0.0581639289626435</v>
      </c>
      <c r="J3895" s="7" t="n">
        <f aca="false">(Sens!J3892-Sens!J3891)*(1-tax_f)/((Sens!I3893+Sens!J3893)/2)</f>
        <v>0.0620264847756525</v>
      </c>
      <c r="K3895" s="7" t="n">
        <f aca="false">(Sens!K3892-Sens!K3891)*(1-tax_f)/((Sens!J3893+Sens!K3893)/2)</f>
        <v>0.070557905180803</v>
      </c>
    </row>
    <row r="3896" customFormat="false" ht="17.15" hidden="false" customHeight="false" outlineLevel="0" collapsed="false">
      <c r="A3896" s="1" t="s">
        <v>1016</v>
      </c>
      <c r="B3896" s="0" t="s">
        <v>168</v>
      </c>
      <c r="F3896" s="7" t="n">
        <f aca="false">(Sens!F3892-Sens!F3891+Sens!F3890)*(1-tax_f)/((Sens!E3893+Sens!F3893)/2)</f>
        <v>0.0775729651236594</v>
      </c>
      <c r="G3896" s="7" t="n">
        <f aca="false">(Sens!G3892-Sens!G3891+Sens!G3890)*(1-tax_f)/((Sens!F3893+Sens!G3893)/2)</f>
        <v>0.105909819578256</v>
      </c>
      <c r="H3896" s="7" t="n">
        <f aca="false">(Sens!H3892-Sens!H3891+Sens!H3890)*(1-tax_f)/((Sens!G3893+Sens!H3893)/2)</f>
        <v>0.131073763378719</v>
      </c>
      <c r="I3896" s="7" t="n">
        <f aca="false">(Sens!I3892-Sens!I3891+Sens!I3890)*(1-tax_f)/((Sens!H3893+Sens!I3893)/2)</f>
        <v>0.143022926349934</v>
      </c>
      <c r="J3896" s="7" t="n">
        <f aca="false">(Sens!J3892-Sens!J3891+Sens!J3890)*(1-tax_f)/((Sens!I3893+Sens!J3893)/2)</f>
        <v>0.158458015299063</v>
      </c>
      <c r="K3896" s="7" t="n">
        <f aca="false">(Sens!K3892-Sens!K3891+Sens!K3890)*(1-tax_f)/((Sens!J3893+Sens!K3893)/2)</f>
        <v>0.178902037938514</v>
      </c>
    </row>
    <row r="3897" customFormat="false" ht="17.15" hidden="false" customHeight="false" outlineLevel="0" collapsed="false">
      <c r="A3897" s="1" t="s">
        <v>1017</v>
      </c>
      <c r="B3897" s="0" t="s">
        <v>168</v>
      </c>
      <c r="F3897" s="7" t="n">
        <f aca="false">Sens!F3822*(1-tax_f)/(Sens!F3808*(Sens!E3893+Sens!F3893)/2)</f>
        <v>0.151857520559919</v>
      </c>
      <c r="G3897" s="7" t="n">
        <f aca="false">Sens!G3822*(1-tax_f)/(Sens!G3808*(Sens!F3893+Sens!G3893)/2)</f>
        <v>0.172179395935319</v>
      </c>
      <c r="H3897" s="7" t="n">
        <f aca="false">Sens!H3822*(1-tax_f)/(Sens!H3808*(Sens!G3893+Sens!H3893)/2)</f>
        <v>0.202137948635076</v>
      </c>
      <c r="I3897" s="7" t="n">
        <f aca="false">Sens!I3822*(1-tax_f)/(Sens!I3808*(Sens!H3893+Sens!I3893)/2)</f>
        <v>0.214918988774357</v>
      </c>
      <c r="J3897" s="7" t="n">
        <f aca="false">Sens!J3822*(1-tax_f)/(Sens!J3808*(Sens!I3893+Sens!J3893)/2)</f>
        <v>0.235364398022488</v>
      </c>
      <c r="K3897" s="7" t="n">
        <f aca="false">Sens!K3822*(1-tax_f)/(Sens!K3808*(Sens!J3893+Sens!K3893)/2)</f>
        <v>0.264290820109188</v>
      </c>
    </row>
    <row r="3898" customFormat="false" ht="17.15" hidden="false" customHeight="false" outlineLevel="0" collapsed="false">
      <c r="A3898" s="0" t="s">
        <v>1018</v>
      </c>
      <c r="B3898" s="0" t="s">
        <v>253</v>
      </c>
      <c r="F3898" s="7" t="n">
        <f aca="false">Sens!F3894-wacc</f>
        <v>-0.0253636258219379</v>
      </c>
      <c r="G3898" s="7" t="n">
        <f aca="false">Sens!G3894-wacc</f>
        <v>0.00297322863265896</v>
      </c>
      <c r="H3898" s="7" t="n">
        <f aca="false">Sens!H3894-wacc</f>
        <v>0.0281371724331221</v>
      </c>
      <c r="I3898" s="7" t="n">
        <f aca="false">Sens!I3894-wacc</f>
        <v>0.0400863354043366</v>
      </c>
      <c r="J3898" s="7" t="n">
        <f aca="false">Sens!J3894-wacc</f>
        <v>0.0555214243534659</v>
      </c>
      <c r="K3898" s="7" t="n">
        <f aca="false">Sens!K3894-wacc</f>
        <v>0.0759654469929167</v>
      </c>
    </row>
    <row r="3899" customFormat="false" ht="17.15" hidden="false" customHeight="false" outlineLevel="0" collapsed="false">
      <c r="A3899" s="0" t="s">
        <v>1019</v>
      </c>
      <c r="B3899" s="0" t="s">
        <v>98</v>
      </c>
      <c r="F3899" s="6" t="n">
        <f aca="false">Sens!F3892*(1-tax_f)-wacc*(Sens!E3893+Sens!F3893)/2</f>
        <v>-5.34006987152382</v>
      </c>
      <c r="G3899" s="6" t="n">
        <f aca="false">Sens!G3892*(1-tax_f)-wacc*(Sens!F3893+Sens!G3893)/2</f>
        <v>1.11540771853912</v>
      </c>
      <c r="H3899" s="6" t="n">
        <f aca="false">Sens!H3892*(1-tax_f)-wacc*(Sens!G3893+Sens!H3893)/2</f>
        <v>14.7040004576566</v>
      </c>
      <c r="I3899" s="6" t="n">
        <f aca="false">Sens!I3892*(1-tax_f)-wacc*(Sens!H3893+Sens!I3893)/2</f>
        <v>24.8872463049845</v>
      </c>
      <c r="J3899" s="6" t="n">
        <f aca="false">Sens!J3892*(1-tax_f)-wacc*(Sens!I3893+Sens!J3893)/2</f>
        <v>35.9784167435467</v>
      </c>
      <c r="K3899" s="6" t="n">
        <f aca="false">Sens!K3892*(1-tax_f)-wacc*(Sens!J3893+Sens!K3893)/2</f>
        <v>47.2750035214488</v>
      </c>
    </row>
    <row r="3900" customFormat="false" ht="17.15" hidden="false" customHeight="false" outlineLevel="0" collapsed="false">
      <c r="A3900" s="3" t="s">
        <v>1708</v>
      </c>
    </row>
    <row r="3901" customFormat="false" ht="15" hidden="false" customHeight="false" outlineLevel="0" collapsed="false">
      <c r="A3901" s="4" t="s">
        <v>43</v>
      </c>
      <c r="B3901" s="4" t="s">
        <v>65</v>
      </c>
      <c r="C3901" s="23" t="s">
        <v>942</v>
      </c>
      <c r="D3901" s="23" t="s">
        <v>943</v>
      </c>
      <c r="E3901" s="23" t="s">
        <v>944</v>
      </c>
      <c r="F3901" s="23" t="s">
        <v>945</v>
      </c>
      <c r="G3901" s="23" t="s">
        <v>946</v>
      </c>
      <c r="H3901" s="23" t="s">
        <v>947</v>
      </c>
      <c r="I3901" s="23" t="s">
        <v>948</v>
      </c>
      <c r="J3901" s="23" t="s">
        <v>949</v>
      </c>
      <c r="K3901" s="23" t="s">
        <v>950</v>
      </c>
      <c r="L3901" s="4" t="s">
        <v>47</v>
      </c>
    </row>
    <row r="3902" customFormat="false" ht="15" hidden="false" customHeight="false" outlineLevel="0" collapsed="false">
      <c r="A3902" s="1" t="s">
        <v>1080</v>
      </c>
      <c r="B3902" s="0" t="s">
        <v>98</v>
      </c>
      <c r="F3902" s="6" t="n">
        <f aca="false">Sens!F3883</f>
        <v>147.392899714981</v>
      </c>
      <c r="G3902" s="6" t="n">
        <f aca="false">Sens!G3883</f>
        <v>167.90969199285</v>
      </c>
      <c r="H3902" s="6" t="n">
        <f aca="false">Sens!H3883</f>
        <v>196.993184929831</v>
      </c>
      <c r="I3902" s="6" t="n">
        <f aca="false">Sens!I3883</f>
        <v>218.736361958576</v>
      </c>
      <c r="J3902" s="6" t="n">
        <f aca="false">Sens!J3883</f>
        <v>237.520058613424</v>
      </c>
      <c r="K3902" s="6" t="n">
        <f aca="false">Sens!K3883</f>
        <v>254.40068398244</v>
      </c>
    </row>
    <row r="3903" customFormat="false" ht="17.15" hidden="false" customHeight="false" outlineLevel="0" collapsed="false">
      <c r="A3903" s="1" t="s">
        <v>1102</v>
      </c>
      <c r="B3903" s="0" t="s">
        <v>98</v>
      </c>
      <c r="E3903" s="6" t="n">
        <f aca="false">Q!M38-Sens!E3821</f>
        <v>22.2285940229167</v>
      </c>
      <c r="F3903" s="6" t="n">
        <f aca="false">Sens!E3903*(1-1/life_nonai)+(Sens!F3911+Sens!F3912)/life_nonai</f>
        <v>23.5588450133838</v>
      </c>
      <c r="G3903" s="6" t="n">
        <f aca="false">Sens!F3903*(1-1/life_nonai)+(Sens!G3911)/life_nonai</f>
        <v>25.3409009423</v>
      </c>
      <c r="H3903" s="6" t="n">
        <f aca="false">Sens!G3903*(1-1/life_nonai)+(Sens!H3911)/life_nonai</f>
        <v>27.538051323806</v>
      </c>
      <c r="I3903" s="6" t="n">
        <f aca="false">Sens!H3903*(1-1/life_nonai)+(Sens!I3911)/life_nonai</f>
        <v>30.0741765365704</v>
      </c>
      <c r="J3903" s="6" t="n">
        <f aca="false">Sens!I3903*(1-1/life_nonai)+(Sens!J3911)/life_nonai</f>
        <v>32.8576182675578</v>
      </c>
      <c r="K3903" s="6" t="n">
        <f aca="false">Sens!J3903*(1-1/life_nonai)+(Sens!K3911)/life_nonai</f>
        <v>35.8044664452989</v>
      </c>
      <c r="L3903" s="12" t="s">
        <v>1103</v>
      </c>
    </row>
    <row r="3904" customFormat="false" ht="17.15" hidden="false" customHeight="false" outlineLevel="0" collapsed="false">
      <c r="A3904" s="1" t="s">
        <v>1104</v>
      </c>
      <c r="B3904" s="0" t="s">
        <v>98</v>
      </c>
      <c r="F3904" s="6" t="n">
        <f aca="false">Sens!$F$3912/life_nonai*(1-1/life_nonai)^(Sens!F3784-2027)</f>
        <v>0</v>
      </c>
      <c r="G3904" s="6" t="n">
        <f aca="false">Sens!$F$3912/life_nonai*(1-1/life_nonai)^(Sens!G3784-2027)</f>
        <v>0</v>
      </c>
      <c r="H3904" s="6" t="n">
        <f aca="false">Sens!$F$3912/life_nonai*(1-1/life_nonai)^(Sens!H3784-2027)</f>
        <v>0</v>
      </c>
      <c r="I3904" s="6" t="n">
        <f aca="false">Sens!$F$3912/life_nonai*(1-1/life_nonai)^(Sens!I3784-2027)</f>
        <v>0</v>
      </c>
      <c r="J3904" s="6" t="n">
        <f aca="false">Sens!$F$3912/life_nonai*(1-1/life_nonai)^(Sens!J3784-2027)</f>
        <v>0</v>
      </c>
      <c r="K3904" s="6" t="n">
        <f aca="false">Sens!$F$3912/life_nonai*(1-1/life_nonai)^(Sens!K3784-2027)</f>
        <v>0</v>
      </c>
      <c r="L3904" s="1" t="s">
        <v>1105</v>
      </c>
    </row>
    <row r="3905" customFormat="false" ht="17.15" hidden="false" customHeight="false" outlineLevel="0" collapsed="false">
      <c r="A3905" s="1" t="s">
        <v>1106</v>
      </c>
      <c r="B3905" s="0" t="s">
        <v>98</v>
      </c>
      <c r="E3905" s="6" t="n">
        <f aca="false">Sens!E3821+Sens!E3903</f>
        <v>38.534</v>
      </c>
      <c r="F3905" s="6" t="n">
        <f aca="false">Sens!F3821+Sens!F3903</f>
        <v>60.7721558086724</v>
      </c>
      <c r="G3905" s="6" t="n">
        <f aca="false">Sens!G3821+Sens!G3903</f>
        <v>94.1394314925921</v>
      </c>
      <c r="H3905" s="6" t="n">
        <f aca="false">Sens!H3821+Sens!H3903</f>
        <v>130.375301885074</v>
      </c>
      <c r="I3905" s="6" t="n">
        <f aca="false">Sens!I3821+Sens!I3903</f>
        <v>162.923779542589</v>
      </c>
      <c r="J3905" s="6" t="n">
        <f aca="false">Sens!J3821+Sens!J3903</f>
        <v>186.667981126208</v>
      </c>
      <c r="K3905" s="6" t="n">
        <f aca="false">Sens!K3821+Sens!K3903</f>
        <v>202.137781070253</v>
      </c>
    </row>
    <row r="3906" customFormat="false" ht="17.15" hidden="false" customHeight="false" outlineLevel="0" collapsed="false">
      <c r="A3906" s="1" t="s">
        <v>1107</v>
      </c>
      <c r="B3906" s="0" t="s">
        <v>98</v>
      </c>
      <c r="F3906" s="6" t="n">
        <f aca="false">Sens!F3848*sbc_r</f>
        <v>15.1792826621401</v>
      </c>
      <c r="G3906" s="6" t="n">
        <f aca="false">Sens!G3848*sbc_r</f>
        <v>18.8018008448425</v>
      </c>
      <c r="H3906" s="6" t="n">
        <f aca="false">Sens!H3848*sbc_r</f>
        <v>22.7242681821816</v>
      </c>
      <c r="I3906" s="6" t="n">
        <f aca="false">Sens!I3848*sbc_r</f>
        <v>26.0391303855056</v>
      </c>
      <c r="J3906" s="6" t="n">
        <f aca="false">Sens!J3848*sbc_r</f>
        <v>28.663138222464</v>
      </c>
      <c r="K3906" s="6" t="n">
        <f aca="false">Sens!K3848*sbc_r</f>
        <v>30.6923668456058</v>
      </c>
    </row>
    <row r="3907" customFormat="false" ht="17.15" hidden="false" customHeight="false" outlineLevel="0" collapsed="false">
      <c r="A3907" s="1" t="s">
        <v>1108</v>
      </c>
      <c r="B3907" s="0" t="s">
        <v>98</v>
      </c>
      <c r="F3907" s="6" t="n">
        <f aca="false">wc27-wc26q1</f>
        <v>-4.677</v>
      </c>
      <c r="G3907" s="6" t="n">
        <f aca="false">wc_f</f>
        <v>0</v>
      </c>
      <c r="H3907" s="6" t="n">
        <f aca="false">wc_f</f>
        <v>0</v>
      </c>
      <c r="I3907" s="6" t="n">
        <f aca="false">wc_f</f>
        <v>0</v>
      </c>
      <c r="J3907" s="6" t="n">
        <f aca="false">wc_f</f>
        <v>0</v>
      </c>
      <c r="K3907" s="6" t="n">
        <f aca="false">wc_f</f>
        <v>0</v>
      </c>
      <c r="L3907" s="12" t="s">
        <v>1109</v>
      </c>
    </row>
    <row r="3908" customFormat="false" ht="17.15" hidden="false" customHeight="false" outlineLevel="0" collapsed="false">
      <c r="A3908" s="0" t="s">
        <v>1110</v>
      </c>
      <c r="B3908" s="0" t="s">
        <v>98</v>
      </c>
      <c r="F3908" s="6" t="n">
        <f aca="false">Q!$I$35-Q!$I$26-Q!$I$38-Q!$I$39</f>
        <v>6.493</v>
      </c>
      <c r="L3908" s="1" t="s">
        <v>1111</v>
      </c>
    </row>
    <row r="3909" customFormat="false" ht="15" hidden="false" customHeight="false" outlineLevel="0" collapsed="false">
      <c r="A3909" s="1" t="s">
        <v>908</v>
      </c>
      <c r="B3909" s="0" t="s">
        <v>98</v>
      </c>
      <c r="E3909" s="6" t="n">
        <f aca="false">Q!M35</f>
        <v>182.935</v>
      </c>
      <c r="F3909" s="6" t="n">
        <f aca="false">Sens!F3902+Sens!F3905+Sens!F3906+Sens!F3907+Sens!F3908</f>
        <v>225.160338185794</v>
      </c>
      <c r="G3909" s="6" t="n">
        <f aca="false">Sens!G3902+Sens!G3905+Sens!G3906+Sens!G3907</f>
        <v>280.850924330285</v>
      </c>
      <c r="H3909" s="6" t="n">
        <f aca="false">Sens!H3902+Sens!H3905+Sens!H3906+Sens!H3907</f>
        <v>350.092754997087</v>
      </c>
      <c r="I3909" s="6" t="n">
        <f aca="false">Sens!I3902+Sens!I3905+Sens!I3906+Sens!I3907</f>
        <v>407.699271886671</v>
      </c>
      <c r="J3909" s="6" t="n">
        <f aca="false">Sens!J3902+Sens!J3905+Sens!J3906+Sens!J3907</f>
        <v>452.851177962096</v>
      </c>
      <c r="K3909" s="6" t="n">
        <f aca="false">Sens!K3902+Sens!K3905+Sens!K3906+Sens!K3907</f>
        <v>487.230831898298</v>
      </c>
    </row>
    <row r="3910" customFormat="false" ht="17.15" hidden="false" customHeight="false" outlineLevel="0" collapsed="false">
      <c r="A3910" s="0" t="s">
        <v>1112</v>
      </c>
      <c r="B3910" s="0" t="s">
        <v>98</v>
      </c>
      <c r="F3910" s="6" t="n">
        <f aca="false">Sens!F3818</f>
        <v>204.898187805744</v>
      </c>
      <c r="G3910" s="6" t="n">
        <f aca="false">Sens!G3818</f>
        <v>230.333370778858</v>
      </c>
      <c r="H3910" s="6" t="n">
        <f aca="false">Sens!H3818</f>
        <v>236.167204877415</v>
      </c>
      <c r="I3910" s="6" t="n">
        <f aca="false">Sens!I3818</f>
        <v>196.036470187933</v>
      </c>
      <c r="J3910" s="6" t="n">
        <f aca="false">Sens!J3818</f>
        <v>144.960436247008</v>
      </c>
      <c r="K3910" s="6" t="n">
        <f aca="false">Sens!K3818</f>
        <v>123.808925386415</v>
      </c>
    </row>
    <row r="3911" customFormat="false" ht="17.15" hidden="false" customHeight="false" outlineLevel="0" collapsed="false">
      <c r="A3911" s="1" t="s">
        <v>1113</v>
      </c>
      <c r="B3911" s="0" t="s">
        <v>98</v>
      </c>
      <c r="E3911" s="6" t="n">
        <f aca="false">Sens!E3826*cx_azo+Sens!E3833*cx_m365+Sens!E3834*cx_lic+(Sens!E3836+Sens!E3838)*cx_ind+Sens!E3841*cx_srch+(Sens!E3843+Sens!E3845)*cx_dev</f>
        <v>30.1846587067718</v>
      </c>
      <c r="F3911" s="6" t="n">
        <f aca="false">Sens!F3826*cx_azo+Sens!F3833*cx_m365+Sens!F3834*cx_lic+(Sens!F3836+Sens!F3838)*cx_ind+Sens!F3841*cx_srch+(Sens!F3843+Sens!F3845)*cx_dev</f>
        <v>35.5311039275878</v>
      </c>
      <c r="G3911" s="6" t="n">
        <f aca="false">Sens!G3826*cx_azo+Sens!G3833*cx_m365+Sens!G3834*cx_lic+(Sens!G3836+Sens!G3838)*cx_ind+Sens!G3841*cx_srch+(Sens!G3843+Sens!G3845)*cx_dev</f>
        <v>41.3794043025459</v>
      </c>
      <c r="H3911" s="6" t="n">
        <f aca="false">Sens!H3826*cx_azo+Sens!H3833*cx_m365+Sens!H3834*cx_lic+(Sens!H3836+Sens!H3838)*cx_ind+Sens!H3841*cx_srch+(Sens!H3843+Sens!H3845)*cx_dev</f>
        <v>47.3124047573605</v>
      </c>
      <c r="I3911" s="6" t="n">
        <f aca="false">Sens!I3826*cx_azo+Sens!I3833*cx_m365+Sens!I3834*cx_lic+(Sens!I3836+Sens!I3838)*cx_ind+Sens!I3841*cx_srch+(Sens!I3843+Sens!I3845)*cx_dev</f>
        <v>52.8993034514492</v>
      </c>
      <c r="J3911" s="6" t="n">
        <f aca="false">Sens!J3826*cx_azo+Sens!J3833*cx_m365+Sens!J3834*cx_lic+(Sens!J3836+Sens!J3838)*cx_ind+Sens!J3841*cx_srch+(Sens!J3843+Sens!J3845)*cx_dev</f>
        <v>57.9085938464444</v>
      </c>
      <c r="K3911" s="6" t="n">
        <f aca="false">Sens!K3826*cx_azo+Sens!K3833*cx_m365+Sens!K3834*cx_lic+(Sens!K3836+Sens!K3838)*cx_ind+Sens!K3841*cx_srch+(Sens!K3843+Sens!K3845)*cx_dev</f>
        <v>62.3261000449696</v>
      </c>
    </row>
    <row r="3912" customFormat="false" ht="17.15" hidden="false" customHeight="false" outlineLevel="0" collapsed="false">
      <c r="A3912" s="0" t="s">
        <v>1114</v>
      </c>
      <c r="B3912" s="0" t="s">
        <v>98</v>
      </c>
      <c r="F3912" s="6" t="n">
        <f aca="false">Sens!F3816</f>
        <v>0</v>
      </c>
      <c r="L3912" s="1" t="s">
        <v>1115</v>
      </c>
    </row>
    <row r="3913" customFormat="false" ht="17.15" hidden="false" customHeight="false" outlineLevel="0" collapsed="false">
      <c r="A3913" s="1" t="s">
        <v>1116</v>
      </c>
      <c r="B3913" s="0" t="s">
        <v>98</v>
      </c>
      <c r="E3913" s="6" t="n">
        <f aca="false">Q!M43</f>
        <v>145.3</v>
      </c>
      <c r="F3913" s="6" t="n">
        <f aca="false">Sens!F3910+Sens!F3911+Sens!F3912</f>
        <v>240.429291733331</v>
      </c>
      <c r="G3913" s="6" t="n">
        <f aca="false">Sens!G3910+Sens!G3911</f>
        <v>271.712775081404</v>
      </c>
      <c r="H3913" s="6" t="n">
        <f aca="false">Sens!H3910+Sens!H3911</f>
        <v>283.479609634775</v>
      </c>
      <c r="I3913" s="6" t="n">
        <f aca="false">Sens!I3910+Sens!I3911</f>
        <v>248.935773639382</v>
      </c>
      <c r="J3913" s="6" t="n">
        <f aca="false">Sens!J3910+Sens!J3911</f>
        <v>202.869030093453</v>
      </c>
      <c r="K3913" s="6" t="n">
        <f aca="false">Sens!K3910+Sens!K3911</f>
        <v>186.135025431385</v>
      </c>
      <c r="L3913" s="1" t="s">
        <v>1117</v>
      </c>
    </row>
    <row r="3914" customFormat="false" ht="15" hidden="false" customHeight="false" outlineLevel="0" collapsed="false">
      <c r="A3914" s="1" t="s">
        <v>1118</v>
      </c>
      <c r="B3914" s="0" t="s">
        <v>98</v>
      </c>
      <c r="E3914" s="6" t="n">
        <f aca="false">fl_liab</f>
        <v>66.594</v>
      </c>
      <c r="F3914" s="6" t="n">
        <f aca="false">Sens!E3914-Sens!F3915</f>
        <v>62.46973</v>
      </c>
      <c r="G3914" s="6" t="n">
        <f aca="false">Sens!F3914-Sens!G3915</f>
        <v>57.98686785</v>
      </c>
      <c r="H3914" s="6" t="n">
        <f aca="false">Sens!G3914-Sens!H3915</f>
        <v>53.92827690325</v>
      </c>
      <c r="I3914" s="6" t="n">
        <f aca="false">Sens!H3914-Sens!I3915</f>
        <v>49.7850493638962</v>
      </c>
      <c r="J3914" s="6" t="n">
        <f aca="false">Sens!I3914-Sens!J3915</f>
        <v>45.4823765852716</v>
      </c>
      <c r="K3914" s="6" t="n">
        <f aca="false">Sens!J3914-Sens!K3915</f>
        <v>40.9860835316088</v>
      </c>
    </row>
    <row r="3915" customFormat="false" ht="15" hidden="false" customHeight="false" outlineLevel="0" collapsed="false">
      <c r="A3915" s="1" t="s">
        <v>1119</v>
      </c>
      <c r="B3915" s="0" t="s">
        <v>98</v>
      </c>
      <c r="F3915" s="6" t="n">
        <f aca="false">fl_pay_27-Sens!E3914*fl_rate</f>
        <v>4.12427</v>
      </c>
      <c r="G3915" s="6" t="n">
        <f aca="false">fl_pay_28-Sens!F3914*fl_rate</f>
        <v>4.48286215</v>
      </c>
      <c r="H3915" s="6" t="n">
        <f aca="false">fl_pay_29-Sens!G3914*fl_rate</f>
        <v>4.05859094675</v>
      </c>
      <c r="I3915" s="6" t="n">
        <f aca="false">fl_pay_30-Sens!H3914*fl_rate</f>
        <v>4.14322753935375</v>
      </c>
      <c r="J3915" s="6" t="n">
        <f aca="false">fl_pay_31-Sens!I3914*fl_rate</f>
        <v>4.30267277862467</v>
      </c>
      <c r="K3915" s="6" t="n">
        <f aca="false">fl_pay_32-Sens!J3914*fl_rate</f>
        <v>4.49629305366278</v>
      </c>
    </row>
    <row r="3916" customFormat="false" ht="17.15" hidden="false" customHeight="false" outlineLevel="0" collapsed="false">
      <c r="A3916" s="1" t="s">
        <v>1120</v>
      </c>
      <c r="B3916" s="0" t="s">
        <v>98</v>
      </c>
      <c r="E3916" s="6" t="n">
        <f aca="false">Q!M35-Q!M36-Q!M44</f>
        <v>63.886</v>
      </c>
      <c r="F3916" s="6" t="n">
        <f aca="false">Sens!F3909-Sens!F3913-Sens!F3915</f>
        <v>-19.3932235475378</v>
      </c>
      <c r="G3916" s="6" t="n">
        <f aca="false">Sens!G3909-Sens!G3913-Sens!G3915</f>
        <v>4.65528709888089</v>
      </c>
      <c r="H3916" s="6" t="n">
        <f aca="false">Sens!H3909-Sens!H3913-Sens!H3915</f>
        <v>62.5545544155615</v>
      </c>
      <c r="I3916" s="6" t="n">
        <f aca="false">Sens!I3909-Sens!I3913-Sens!I3915</f>
        <v>154.620270707936</v>
      </c>
      <c r="J3916" s="6" t="n">
        <f aca="false">Sens!J3909-Sens!J3913-Sens!J3915</f>
        <v>245.679475090019</v>
      </c>
      <c r="K3916" s="6" t="n">
        <f aca="false">Sens!K3909-Sens!K3913-Sens!K3915</f>
        <v>296.599513413251</v>
      </c>
      <c r="L3916" s="12" t="s">
        <v>1121</v>
      </c>
    </row>
    <row r="3917" customFormat="false" ht="15" hidden="false" customHeight="false" outlineLevel="0" collapsed="false">
      <c r="A3917" s="1" t="s">
        <v>1122</v>
      </c>
      <c r="B3917" s="0" t="s">
        <v>75</v>
      </c>
      <c r="F3917" s="8" t="n">
        <f aca="false">dps_27</f>
        <v>3.85</v>
      </c>
      <c r="G3917" s="8" t="n">
        <f aca="false">Sens!F3917*(1+dps_g)</f>
        <v>4.158</v>
      </c>
      <c r="H3917" s="8" t="n">
        <f aca="false">Sens!G3917*(1+dps_g)</f>
        <v>4.49064</v>
      </c>
      <c r="I3917" s="8" t="n">
        <f aca="false">Sens!H3917*(1+dps_g)</f>
        <v>4.8498912</v>
      </c>
      <c r="J3917" s="8" t="n">
        <f aca="false">Sens!I3917*(1+dps_g)</f>
        <v>5.237882496</v>
      </c>
      <c r="K3917" s="8" t="n">
        <f aca="false">Sens!J3917*(1+dps_g)</f>
        <v>5.65691309568</v>
      </c>
    </row>
    <row r="3918" customFormat="false" ht="17.15" hidden="false" customHeight="false" outlineLevel="0" collapsed="false">
      <c r="A3918" s="1" t="s">
        <v>1123</v>
      </c>
      <c r="B3918" s="0" t="s">
        <v>98</v>
      </c>
      <c r="E3918" s="6" t="n">
        <f aca="false">Q!M41</f>
        <v>26.445</v>
      </c>
      <c r="F3918" s="6" t="n">
        <f aca="false">Sens!F3917*Sens!E3927</f>
        <v>28.59395</v>
      </c>
      <c r="G3918" s="6" t="n">
        <f aca="false">Sens!G3917*Sens!F3927</f>
        <v>31.068576</v>
      </c>
      <c r="H3918" s="6" t="n">
        <f aca="false">Sens!H3917*Sens!G3927</f>
        <v>33.75614088</v>
      </c>
      <c r="I3918" s="6" t="n">
        <f aca="false">Sens!I3917*Sens!H3927</f>
        <v>36.5070704274727</v>
      </c>
      <c r="J3918" s="6" t="n">
        <f aca="false">Sens!J3917*Sens!I3927</f>
        <v>39.4955339470631</v>
      </c>
      <c r="K3918" s="6" t="n">
        <f aca="false">Sens!K3917*Sens!J3927</f>
        <v>42.7419309252064</v>
      </c>
      <c r="L3918" s="1" t="s">
        <v>1124</v>
      </c>
    </row>
    <row r="3919" customFormat="false" ht="15" hidden="false" customHeight="false" outlineLevel="0" collapsed="false">
      <c r="A3919" s="1" t="s">
        <v>1125</v>
      </c>
      <c r="B3919" s="0" t="s">
        <v>98</v>
      </c>
      <c r="E3919" s="6" t="n">
        <f aca="false">Sens!E3916-Sens!E3918</f>
        <v>37.441</v>
      </c>
      <c r="F3919" s="6" t="n">
        <f aca="false">Sens!F3916-Sens!F3918</f>
        <v>-47.9871735475378</v>
      </c>
      <c r="G3919" s="6" t="n">
        <f aca="false">Sens!G3916-Sens!G3918</f>
        <v>-26.4132889011191</v>
      </c>
      <c r="H3919" s="6" t="n">
        <f aca="false">Sens!H3916-Sens!H3918</f>
        <v>28.7984135355615</v>
      </c>
      <c r="I3919" s="6" t="n">
        <f aca="false">Sens!I3916-Sens!I3918</f>
        <v>118.113200280463</v>
      </c>
      <c r="J3919" s="6" t="n">
        <f aca="false">Sens!J3916-Sens!J3918</f>
        <v>206.183941142955</v>
      </c>
      <c r="K3919" s="6" t="n">
        <f aca="false">Sens!K3916-Sens!K3918</f>
        <v>253.857582488044</v>
      </c>
    </row>
    <row r="3920" customFormat="false" ht="15" hidden="false" customHeight="false" outlineLevel="0" collapsed="false">
      <c r="A3920" s="1" t="s">
        <v>1126</v>
      </c>
      <c r="B3920" s="0" t="s">
        <v>98</v>
      </c>
      <c r="F3920" s="6" t="n">
        <f aca="false">debt_mat_27</f>
        <v>9.25</v>
      </c>
      <c r="G3920" s="6" t="n">
        <f aca="false">debt_mat_28</f>
        <v>0</v>
      </c>
      <c r="H3920" s="6" t="n">
        <f aca="false">debt_mat_29</f>
        <v>2.001</v>
      </c>
      <c r="I3920" s="6" t="n">
        <f aca="false">debt_mat_30</f>
        <v>0</v>
      </c>
      <c r="J3920" s="6" t="n">
        <f aca="false">debt_mat_31</f>
        <v>0.5</v>
      </c>
      <c r="K3920" s="6" t="n">
        <f aca="false">debt_mat_32</f>
        <v>0</v>
      </c>
    </row>
    <row r="3921" customFormat="false" ht="15" hidden="false" customHeight="false" outlineLevel="0" collapsed="false">
      <c r="A3921" s="1" t="s">
        <v>1127</v>
      </c>
      <c r="B3921" s="0" t="s">
        <v>98</v>
      </c>
      <c r="E3921" s="6" t="n">
        <f aca="false">Q!M40</f>
        <v>22.271</v>
      </c>
      <c r="F3921" s="6" t="n">
        <f aca="false">MAX(0,MIN(bb_target,Sens!E3923+Sens!F3919-Sens!F3920-min_cash))</f>
        <v>0</v>
      </c>
      <c r="G3921" s="6" t="n">
        <f aca="false">MAX(0,MIN(bb_target,Sens!F3923+Sens!G3919-Sens!G3920-min_cash))</f>
        <v>0</v>
      </c>
      <c r="H3921" s="6" t="n">
        <f aca="false">MAX(0,MIN(bb_target,Sens!G3923+Sens!H3919-Sens!H3920-min_cash))</f>
        <v>22.271</v>
      </c>
      <c r="I3921" s="6" t="n">
        <f aca="false">MAX(0,MIN(bb_target,Sens!H3923+Sens!I3919-Sens!I3920-min_cash))</f>
        <v>22.271</v>
      </c>
      <c r="J3921" s="6" t="n">
        <f aca="false">MAX(0,MIN(bb_target,Sens!I3923+Sens!J3919-Sens!J3920-min_cash))</f>
        <v>22.271</v>
      </c>
      <c r="K3921" s="6" t="n">
        <f aca="false">MAX(0,MIN(bb_target,Sens!J3923+Sens!K3919-Sens!K3920-min_cash))</f>
        <v>22.271</v>
      </c>
    </row>
    <row r="3922" customFormat="false" ht="15" hidden="false" customHeight="false" outlineLevel="0" collapsed="false">
      <c r="A3922" s="1" t="s">
        <v>1128</v>
      </c>
      <c r="B3922" s="0" t="s">
        <v>98</v>
      </c>
      <c r="F3922" s="6" t="n">
        <f aca="false">MAX(0,min_cash-(Sens!E3923+Sens!F3919-Sens!F3920-Sens!F3921))</f>
        <v>30.3941735475378</v>
      </c>
      <c r="G3922" s="6" t="n">
        <f aca="false">MAX(0,min_cash-(Sens!F3923+Sens!G3919-Sens!G3920-Sens!G3921))</f>
        <v>26.4132889011191</v>
      </c>
      <c r="H3922" s="6" t="n">
        <f aca="false">MAX(0,min_cash-(Sens!G3923+Sens!H3919-Sens!H3920-Sens!H3921))</f>
        <v>0</v>
      </c>
      <c r="I3922" s="6" t="n">
        <f aca="false">MAX(0,min_cash-(Sens!H3923+Sens!I3919-Sens!I3920-Sens!I3921))</f>
        <v>0</v>
      </c>
      <c r="J3922" s="6" t="n">
        <f aca="false">MAX(0,min_cash-(Sens!I3923+Sens!J3919-Sens!J3920-Sens!J3921))</f>
        <v>0</v>
      </c>
      <c r="K3922" s="6" t="n">
        <f aca="false">MAX(0,min_cash-(Sens!J3923+Sens!K3919-Sens!K3920-Sens!K3921))</f>
        <v>0</v>
      </c>
    </row>
    <row r="3923" customFormat="false" ht="15" hidden="false" customHeight="false" outlineLevel="0" collapsed="false">
      <c r="A3923" s="1" t="s">
        <v>1129</v>
      </c>
      <c r="B3923" s="0" t="s">
        <v>98</v>
      </c>
      <c r="E3923" s="6" t="n">
        <f aca="false">cash_open</f>
        <v>76.843</v>
      </c>
      <c r="F3923" s="6" t="n">
        <f aca="false">Sens!E3923+Sens!F3919-Sens!F3920-Sens!F3921+Sens!F3922</f>
        <v>50</v>
      </c>
      <c r="G3923" s="6" t="n">
        <f aca="false">Sens!F3923+Sens!G3919-Sens!G3920-Sens!G3921+Sens!G3922</f>
        <v>50</v>
      </c>
      <c r="H3923" s="6" t="n">
        <f aca="false">Sens!G3923+Sens!H3919-Sens!H3920-Sens!H3921+Sens!H3922</f>
        <v>54.5264135355614</v>
      </c>
      <c r="I3923" s="6" t="n">
        <f aca="false">Sens!H3923+Sens!I3919-Sens!I3920-Sens!I3921+Sens!I3922</f>
        <v>150.368613816024</v>
      </c>
      <c r="J3923" s="6" t="n">
        <f aca="false">Sens!I3923+Sens!J3919-Sens!J3920-Sens!J3921+Sens!J3922</f>
        <v>333.78155495898</v>
      </c>
      <c r="K3923" s="6" t="n">
        <f aca="false">Sens!J3923+Sens!K3919-Sens!K3920-Sens!K3921+Sens!K3922</f>
        <v>565.368137447024</v>
      </c>
    </row>
    <row r="3924" customFormat="false" ht="15" hidden="false" customHeight="false" outlineLevel="0" collapsed="false">
      <c r="A3924" s="1" t="s">
        <v>1130</v>
      </c>
      <c r="B3924" s="0" t="s">
        <v>98</v>
      </c>
      <c r="E3924" s="6" t="n">
        <f aca="false">debt_face</f>
        <v>46.136</v>
      </c>
      <c r="F3924" s="6" t="n">
        <f aca="false">Sens!E3924-Sens!F3920+Sens!F3922</f>
        <v>67.2801735475378</v>
      </c>
      <c r="G3924" s="6" t="n">
        <f aca="false">Sens!F3924-Sens!G3920+Sens!G3922</f>
        <v>93.6934624486569</v>
      </c>
      <c r="H3924" s="6" t="n">
        <f aca="false">Sens!G3924-Sens!H3920+Sens!H3922</f>
        <v>91.6924624486569</v>
      </c>
      <c r="I3924" s="6" t="n">
        <f aca="false">Sens!H3924-Sens!I3920+Sens!I3922</f>
        <v>91.6924624486569</v>
      </c>
      <c r="J3924" s="6" t="n">
        <f aca="false">Sens!I3924-Sens!J3920+Sens!J3922</f>
        <v>91.1924624486569</v>
      </c>
      <c r="K3924" s="6" t="n">
        <f aca="false">Sens!J3924-Sens!K3920+Sens!K3922</f>
        <v>91.1924624486569</v>
      </c>
    </row>
    <row r="3925" customFormat="false" ht="15" hidden="false" customHeight="false" outlineLevel="0" collapsed="false">
      <c r="A3925" s="1" t="s">
        <v>1131</v>
      </c>
      <c r="B3925" s="0" t="s">
        <v>98</v>
      </c>
      <c r="E3925" s="6" t="n">
        <f aca="false">Sens!E3923-Sens!E3924</f>
        <v>30.707</v>
      </c>
      <c r="F3925" s="6" t="n">
        <f aca="false">Sens!F3923-Sens!F3924</f>
        <v>-17.2801735475378</v>
      </c>
      <c r="G3925" s="6" t="n">
        <f aca="false">Sens!G3923-Sens!G3924</f>
        <v>-43.6934624486569</v>
      </c>
      <c r="H3925" s="6" t="n">
        <f aca="false">Sens!H3923-Sens!H3924</f>
        <v>-37.1660489130954</v>
      </c>
      <c r="I3925" s="6" t="n">
        <f aca="false">Sens!I3923-Sens!I3924</f>
        <v>58.6761513673675</v>
      </c>
      <c r="J3925" s="6" t="n">
        <f aca="false">Sens!J3923-Sens!J3924</f>
        <v>242.589092510323</v>
      </c>
      <c r="K3925" s="6" t="n">
        <f aca="false">Sens!K3923-Sens!K3924</f>
        <v>474.175674998367</v>
      </c>
    </row>
    <row r="3926" customFormat="false" ht="15" hidden="false" customHeight="false" outlineLevel="0" collapsed="false">
      <c r="A3926" s="1" t="s">
        <v>1132</v>
      </c>
      <c r="B3926" s="0" t="s">
        <v>75</v>
      </c>
      <c r="F3926" s="30" t="n">
        <f aca="false">px*(1+bb_g)^(Sens!F3784-base_fy-mid_yr)</f>
        <v>551.84177959629</v>
      </c>
      <c r="G3926" s="30" t="n">
        <f aca="false">px*(1+bb_g)^(Sens!G3784-base_fy-mid_yr)</f>
        <v>595.989121963993</v>
      </c>
      <c r="H3926" s="30" t="n">
        <f aca="false">px*(1+bb_g)^(Sens!H3784-base_fy-mid_yr)</f>
        <v>643.668251721112</v>
      </c>
      <c r="I3926" s="30" t="n">
        <f aca="false">px*(1+bb_g)^(Sens!I3784-base_fy-mid_yr)</f>
        <v>695.161711858801</v>
      </c>
      <c r="J3926" s="30" t="n">
        <f aca="false">px*(1+bb_g)^(Sens!J3784-base_fy-mid_yr)</f>
        <v>750.774648807506</v>
      </c>
      <c r="K3926" s="30" t="n">
        <f aca="false">px*(1+bb_g)^(Sens!K3784-base_fy-mid_yr)</f>
        <v>810.836620712106</v>
      </c>
    </row>
    <row r="3927" customFormat="false" ht="15" hidden="false" customHeight="false" outlineLevel="0" collapsed="false">
      <c r="A3927" s="1" t="s">
        <v>1133</v>
      </c>
      <c r="B3927" s="1" t="s">
        <v>81</v>
      </c>
      <c r="E3927" s="15" t="n">
        <f aca="false">sh_out26</f>
        <v>7.427</v>
      </c>
      <c r="F3927" s="15" t="n">
        <f aca="false">Sens!E3927+sh_iss-Sens!F3921/Sens!F3926</f>
        <v>7.472</v>
      </c>
      <c r="G3927" s="15" t="n">
        <f aca="false">Sens!F3927+sh_iss-Sens!G3921/Sens!G3926</f>
        <v>7.517</v>
      </c>
      <c r="H3927" s="15" t="n">
        <f aca="false">Sens!G3927+sh_iss-Sens!H3921/Sens!H3926</f>
        <v>7.5273998780576</v>
      </c>
      <c r="I3927" s="15" t="n">
        <f aca="false">Sens!H3927+sh_iss-Sens!I3921/Sens!I3926</f>
        <v>7.54036272811094</v>
      </c>
      <c r="J3927" s="15" t="n">
        <f aca="false">Sens!I3927+sh_iss-Sens!J3921/Sens!J3926</f>
        <v>7.55569870038255</v>
      </c>
      <c r="K3927" s="15" t="n">
        <f aca="false">Sens!J3927+sh_iss-Sens!K3921/Sens!K3926</f>
        <v>7.57323200804144</v>
      </c>
    </row>
    <row r="3928" customFormat="false" ht="15" hidden="false" customHeight="false" outlineLevel="0" collapsed="false">
      <c r="A3928" s="1" t="s">
        <v>1134</v>
      </c>
      <c r="B3928" s="1" t="s">
        <v>81</v>
      </c>
      <c r="E3928" s="15" t="n">
        <f aca="false">sh_dil26</f>
        <v>7.453</v>
      </c>
      <c r="F3928" s="15" t="n">
        <f aca="false">(Sens!E3927+Sens!F3927)/2+dil_gap</f>
        <v>7.4735</v>
      </c>
      <c r="G3928" s="15" t="n">
        <f aca="false">(Sens!F3927+Sens!G3927)/2+dil_gap</f>
        <v>7.5185</v>
      </c>
      <c r="H3928" s="15" t="n">
        <f aca="false">(Sens!G3927+Sens!H3927)/2+dil_gap</f>
        <v>7.5461999390288</v>
      </c>
      <c r="I3928" s="15" t="n">
        <f aca="false">(Sens!H3927+Sens!I3927)/2+dil_gap</f>
        <v>7.55788130308427</v>
      </c>
      <c r="J3928" s="15" t="n">
        <f aca="false">(Sens!I3927+Sens!J3927)/2+dil_gap</f>
        <v>7.57203071424674</v>
      </c>
      <c r="K3928" s="15" t="n">
        <f aca="false">(Sens!J3927+Sens!K3927)/2+dil_gap</f>
        <v>7.58846535421199</v>
      </c>
    </row>
    <row r="3929" customFormat="false" ht="17.15" hidden="false" customHeight="false" outlineLevel="0" collapsed="false">
      <c r="A3929" s="1" t="s">
        <v>1135</v>
      </c>
      <c r="B3929" s="0" t="s">
        <v>98</v>
      </c>
      <c r="C3929" s="6" t="n">
        <f aca="false">SUM(Sens!F3919:J3919)</f>
        <v>278.695092510323</v>
      </c>
    </row>
    <row r="3930" customFormat="false" ht="15" hidden="false" customHeight="false" outlineLevel="0" collapsed="false">
      <c r="A3930" s="26" t="s">
        <v>1100</v>
      </c>
      <c r="B3930" s="31" t="s">
        <v>98</v>
      </c>
      <c r="C3930" s="27" t="n">
        <f aca="false">Sens!$C$3929-(Sens!F3919+Sens!G3919+Sens!H3919+Sens!I3919+Sens!J3919)</f>
        <v>0</v>
      </c>
      <c r="D3930" s="31"/>
      <c r="E3930" s="31"/>
      <c r="F3930" s="31"/>
      <c r="G3930" s="31"/>
      <c r="H3930" s="31"/>
      <c r="I3930" s="31"/>
      <c r="J3930" s="31"/>
      <c r="K3930" s="31"/>
    </row>
    <row r="3931" customFormat="false" ht="17.15" hidden="false" customHeight="false" outlineLevel="0" collapsed="false">
      <c r="A3931" s="1" t="s">
        <v>1094</v>
      </c>
      <c r="B3931" s="1" t="s">
        <v>1136</v>
      </c>
      <c r="C3931" s="33" t="str">
        <f aca="false">IF(SUM(Sens!F3922:J3922)&gt;0.05,"需要舉債 "&amp;TEXT(SUM(Sens!F3922:J3922),"0.0")&amp;" 十億美元","不需舉債")&amp;"；"&amp;IF(SUM(Sens!F3921:J3921)&lt;COUNT(Sens!F3921:J3921)*bb_target-0.05,"回購較每年 "&amp;TEXT(bb_target,"0.0")&amp;" 的目標少 "&amp;TEXT(COUNT(Sens!F3921:J3921)*bb_target-SUM(Sens!F3921:J3921),"0.0")&amp;" 十億美元（"&amp;TEXT(COUNTIF(Sens!F3921:J3921,"&lt;"&amp;(bb_target-0.05)),"0")&amp;" 年減少）","回購不減")</f>
        <v>需要舉債 56.8 十億美元；回購較每年 22.3 的目標少 44.5 十億美元（2 年減少）</v>
      </c>
    </row>
    <row r="3932" customFormat="false" ht="17.15" hidden="false" customHeight="false" outlineLevel="0" collapsed="false">
      <c r="A3932" s="3" t="s">
        <v>1709</v>
      </c>
    </row>
    <row r="3933" customFormat="false" ht="15" hidden="false" customHeight="false" outlineLevel="0" collapsed="false">
      <c r="A3933" s="4" t="s">
        <v>43</v>
      </c>
      <c r="B3933" s="4" t="s">
        <v>65</v>
      </c>
      <c r="C3933" s="23" t="s">
        <v>942</v>
      </c>
      <c r="D3933" s="23" t="s">
        <v>943</v>
      </c>
      <c r="E3933" s="23" t="s">
        <v>944</v>
      </c>
      <c r="F3933" s="23" t="s">
        <v>945</v>
      </c>
      <c r="G3933" s="23" t="s">
        <v>946</v>
      </c>
      <c r="H3933" s="23" t="s">
        <v>947</v>
      </c>
      <c r="I3933" s="23" t="s">
        <v>948</v>
      </c>
      <c r="J3933" s="23" t="s">
        <v>949</v>
      </c>
      <c r="K3933" s="23" t="s">
        <v>950</v>
      </c>
      <c r="L3933" s="4" t="s">
        <v>47</v>
      </c>
    </row>
    <row r="3934" customFormat="false" ht="17.15" hidden="false" customHeight="false" outlineLevel="0" collapsed="false">
      <c r="A3934" s="1" t="s">
        <v>1216</v>
      </c>
      <c r="B3934" s="1" t="s">
        <v>279</v>
      </c>
      <c r="F3934" s="8" t="n">
        <f aca="false">(1-v_off)*mid_yr</f>
        <v>0.373972602739726</v>
      </c>
      <c r="G3934" s="8" t="n">
        <f aca="false">Sens!G3784-base_fy-mid_yr-v_off</f>
        <v>1.24794520547945</v>
      </c>
      <c r="H3934" s="8" t="n">
        <f aca="false">Sens!H3784-base_fy-mid_yr-v_off</f>
        <v>2.24794520547945</v>
      </c>
      <c r="I3934" s="8" t="n">
        <f aca="false">Sens!I3784-base_fy-mid_yr-v_off</f>
        <v>3.24794520547945</v>
      </c>
      <c r="J3934" s="8" t="n">
        <f aca="false">Sens!J3784-base_fy-mid_yr-v_off</f>
        <v>4.24794520547945</v>
      </c>
      <c r="K3934" s="8" t="n">
        <f aca="false">Sens!K3784-base_fy-mid_yr-v_off</f>
        <v>5.24794520547945</v>
      </c>
      <c r="L3934" s="12" t="s">
        <v>1217</v>
      </c>
    </row>
    <row r="3935" customFormat="false" ht="15" hidden="false" customHeight="false" outlineLevel="0" collapsed="false">
      <c r="A3935" s="1" t="s">
        <v>1218</v>
      </c>
      <c r="B3935" s="1" t="s">
        <v>279</v>
      </c>
      <c r="F3935" s="8" t="n">
        <f aca="false">Sens!F3784-base_fy-v_off</f>
        <v>0.747945205479452</v>
      </c>
      <c r="G3935" s="8" t="n">
        <f aca="false">Sens!G3784-base_fy-v_off</f>
        <v>1.74794520547945</v>
      </c>
      <c r="H3935" s="8" t="n">
        <f aca="false">Sens!H3784-base_fy-v_off</f>
        <v>2.74794520547945</v>
      </c>
      <c r="I3935" s="8" t="n">
        <f aca="false">Sens!I3784-base_fy-v_off</f>
        <v>3.74794520547945</v>
      </c>
      <c r="J3935" s="8" t="n">
        <f aca="false">Sens!J3784-base_fy-v_off</f>
        <v>4.74794520547945</v>
      </c>
      <c r="K3935" s="8" t="n">
        <f aca="false">Sens!K3784-base_fy-v_off</f>
        <v>5.74794520547945</v>
      </c>
    </row>
    <row r="3936" customFormat="false" ht="15" hidden="false" customHeight="false" outlineLevel="0" collapsed="false">
      <c r="A3936" s="1" t="s">
        <v>1219</v>
      </c>
      <c r="B3936" s="0" t="s">
        <v>229</v>
      </c>
      <c r="F3936" s="15" t="n">
        <f aca="false">1/(1+wacc)^Sens!F3934</f>
        <v>0.964022703286649</v>
      </c>
      <c r="G3936" s="15" t="n">
        <f aca="false">1/(1+wacc)^Sens!G3934</f>
        <v>0.884910302296739</v>
      </c>
      <c r="H3936" s="15" t="n">
        <f aca="false">1/(1+wacc)^Sens!H3934</f>
        <v>0.802322009770358</v>
      </c>
      <c r="I3936" s="15" t="n">
        <f aca="false">1/(1+wacc)^Sens!I3934</f>
        <v>0.727441646561469</v>
      </c>
      <c r="J3936" s="15" t="n">
        <f aca="false">1/(1+wacc)^Sens!J3934</f>
        <v>0.659549834988973</v>
      </c>
      <c r="K3936" s="15" t="n">
        <f aca="false">1/(1+wacc)^Sens!K3934</f>
        <v>0.597994336576966</v>
      </c>
    </row>
    <row r="3937" customFormat="false" ht="17.15" hidden="false" customHeight="false" outlineLevel="0" collapsed="false">
      <c r="A3937" s="1" t="s">
        <v>1220</v>
      </c>
      <c r="B3937" s="0" t="s">
        <v>98</v>
      </c>
      <c r="F3937" s="6" t="n">
        <f aca="false">Q!$I$35-Q!$I$39-Q!$I$43</f>
        <v>9.666</v>
      </c>
      <c r="L3937" s="12" t="s">
        <v>1221</v>
      </c>
    </row>
    <row r="3938" customFormat="false" ht="17.15" hidden="false" customHeight="false" outlineLevel="0" collapsed="false">
      <c r="A3938" s="1" t="s">
        <v>1222</v>
      </c>
      <c r="B3938" s="0" t="s">
        <v>98</v>
      </c>
      <c r="F3938" s="6" t="n">
        <f aca="false">Sens!F3909-Sens!F3906-Sens!F3913+Sens!F3891*(1-tax_f)*(1-v_off)-Sens!F3937</f>
        <v>-33.6425697662507</v>
      </c>
      <c r="G3938" s="6" t="n">
        <f aca="false">Sens!G3909-Sens!G3906-Sens!G3913+Sens!G3891*(1-tax_f)</f>
        <v>13.2767960164281</v>
      </c>
      <c r="H3938" s="6" t="n">
        <f aca="false">Sens!H3909-Sens!H3906-Sens!H3913+Sens!H3891*(1-tax_f)</f>
        <v>82.4116693196803</v>
      </c>
      <c r="I3938" s="6" t="n">
        <f aca="false">Sens!I3909-Sens!I3906-Sens!I3913+Sens!I3891*(1-tax_f)</f>
        <v>185.408324822915</v>
      </c>
      <c r="J3938" s="6" t="n">
        <f aca="false">Sens!J3909-Sens!J3906-Sens!J3913+Sens!J3891*(1-tax_f)</f>
        <v>283.807568482526</v>
      </c>
      <c r="K3938" s="6" t="n">
        <f aca="false">Sens!K3909-Sens!K3906-Sens!K3913+Sens!K3891*(1-tax_f)</f>
        <v>337.828426380442</v>
      </c>
      <c r="L3938" s="1" t="s">
        <v>1223</v>
      </c>
    </row>
    <row r="3939" customFormat="false" ht="15" hidden="false" customHeight="false" outlineLevel="0" collapsed="false">
      <c r="A3939" s="1" t="s">
        <v>1224</v>
      </c>
      <c r="B3939" s="0" t="s">
        <v>98</v>
      </c>
      <c r="F3939" s="6" t="n">
        <f aca="false">Sens!F3938*Sens!F3936</f>
        <v>-32.4322010515707</v>
      </c>
      <c r="G3939" s="6" t="n">
        <f aca="false">Sens!G3938*Sens!G3936</f>
        <v>11.7487735764296</v>
      </c>
      <c r="H3939" s="6" t="n">
        <f aca="false">Sens!H3938*Sens!H3936</f>
        <v>66.1206961570961</v>
      </c>
      <c r="I3939" s="6" t="n">
        <f aca="false">Sens!I3938*Sens!I3936</f>
        <v>134.873737095385</v>
      </c>
      <c r="J3939" s="6" t="n">
        <f aca="false">Sens!J3938*Sens!J3936</f>
        <v>187.185234961271</v>
      </c>
      <c r="K3939" s="6" t="n">
        <f aca="false">Sens!K3938*Sens!K3936</f>
        <v>202.019485710212</v>
      </c>
    </row>
    <row r="3940" customFormat="false" ht="17.15" hidden="false" customHeight="false" outlineLevel="0" collapsed="false">
      <c r="A3940" s="1" t="s">
        <v>1225</v>
      </c>
      <c r="B3940" s="0" t="s">
        <v>98</v>
      </c>
      <c r="C3940" s="6" t="n">
        <f aca="false">SUM(Sens!F3939:K3939)</f>
        <v>569.515726448823</v>
      </c>
    </row>
    <row r="3941" customFormat="false" ht="17.15" hidden="false" customHeight="false" outlineLevel="0" collapsed="false">
      <c r="A3941" s="1" t="s">
        <v>1226</v>
      </c>
      <c r="B3941" s="0" t="s">
        <v>98</v>
      </c>
      <c r="C3941" s="6" t="n">
        <f aca="false">Sens!K3877*(1+g_tv)*(1-tax_f)</f>
        <v>332.469240863821</v>
      </c>
    </row>
    <row r="3942" customFormat="false" ht="17.15" hidden="false" customHeight="false" outlineLevel="0" collapsed="false">
      <c r="A3942" s="1" t="s">
        <v>1227</v>
      </c>
      <c r="B3942" s="0" t="s">
        <v>98</v>
      </c>
      <c r="C3942" s="6" t="n">
        <f aca="false">Sens!$C$3941*(1-g_tv/(wacc+ronic_prem))</f>
        <v>235.573888741795</v>
      </c>
    </row>
    <row r="3943" customFormat="false" ht="17.15" hidden="false" customHeight="false" outlineLevel="0" collapsed="false">
      <c r="A3943" s="1" t="s">
        <v>1228</v>
      </c>
      <c r="B3943" s="0" t="s">
        <v>98</v>
      </c>
      <c r="C3943" s="6" t="n">
        <f aca="false">Sens!$C$3942/(wacc-g_tv)</f>
        <v>3229.84507073421</v>
      </c>
    </row>
    <row r="3944" customFormat="false" ht="15" hidden="false" customHeight="false" outlineLevel="0" collapsed="false">
      <c r="A3944" s="1" t="s">
        <v>1229</v>
      </c>
      <c r="B3944" s="0" t="s">
        <v>98</v>
      </c>
      <c r="C3944" s="6" t="n">
        <f aca="false">Sens!$C$3943/(1+wacc)^Sens!K3935</f>
        <v>1839.09214293381</v>
      </c>
    </row>
    <row r="3945" customFormat="false" ht="17.15" hidden="false" customHeight="false" outlineLevel="0" collapsed="false">
      <c r="A3945" s="0" t="s">
        <v>1230</v>
      </c>
      <c r="B3945" s="0" t="s">
        <v>98</v>
      </c>
      <c r="C3945" s="6" t="n">
        <f aca="false">Sens!$C$3940+Sens!$C$3944</f>
        <v>2408.60786938264</v>
      </c>
    </row>
    <row r="3946" customFormat="false" ht="15" hidden="false" customHeight="false" outlineLevel="0" collapsed="false">
      <c r="A3946" s="1" t="s">
        <v>1145</v>
      </c>
      <c r="B3946" s="0" t="s">
        <v>168</v>
      </c>
      <c r="C3946" s="7" t="n">
        <f aca="false">Sens!$C$3944/Sens!$C$3945</f>
        <v>0.763549835700404</v>
      </c>
    </row>
    <row r="3947" customFormat="false" ht="17.15" hidden="false" customHeight="false" outlineLevel="0" collapsed="false">
      <c r="A3947" s="1" t="s">
        <v>1231</v>
      </c>
      <c r="B3947" s="0" t="s">
        <v>98</v>
      </c>
      <c r="C3947" s="6" t="n">
        <f aca="false">Sens!$C$3945+cash_val-debt_val-fl_val+oai_v</f>
        <v>2524.45886938264</v>
      </c>
    </row>
    <row r="3948" customFormat="false" ht="17.15" hidden="false" customHeight="false" outlineLevel="0" collapsed="false">
      <c r="A3948" s="0" t="s">
        <v>1153</v>
      </c>
      <c r="B3948" s="0" t="s">
        <v>75</v>
      </c>
      <c r="C3948" s="5" t="n">
        <f aca="false">Sens!$C$3947/shd_val</f>
        <v>339.035572036347</v>
      </c>
    </row>
    <row r="3949" customFormat="false" ht="15" hidden="false" customHeight="false" outlineLevel="0" collapsed="false">
      <c r="A3949" s="1" t="s">
        <v>1232</v>
      </c>
      <c r="B3949" s="0" t="s">
        <v>75</v>
      </c>
      <c r="C3949" s="8" t="n">
        <f aca="false">div_rem27+Sens!G3917*roll_div_q/q_per_yr</f>
        <v>3.9795</v>
      </c>
    </row>
    <row r="3950" customFormat="false" ht="17.15" hidden="false" customHeight="false" outlineLevel="0" collapsed="false">
      <c r="A3950" s="0" t="s">
        <v>1233</v>
      </c>
      <c r="B3950" s="0" t="s">
        <v>75</v>
      </c>
      <c r="C3950" s="5" t="n">
        <f aca="false">Sens!$C$3948*(1+wacc)^t_roll-Sens!$C$3949</f>
        <v>372.877460145856</v>
      </c>
    </row>
    <row r="3951" customFormat="false" ht="17.15" hidden="false" customHeight="false" outlineLevel="0" collapsed="false">
      <c r="A3951" s="1" t="s">
        <v>1234</v>
      </c>
      <c r="B3951" s="0" t="s">
        <v>168</v>
      </c>
      <c r="F3951" s="7" t="n">
        <f aca="false">Sens!F3903/(Sens!F3848-Sens!F3803)</f>
        <v>0.0686573082127886</v>
      </c>
      <c r="G3951" s="7" t="n">
        <f aca="false">Sens!G3903/(Sens!G3848-Sens!G3803)</f>
        <v>0.0654232812624736</v>
      </c>
      <c r="H3951" s="7" t="n">
        <f aca="false">Sens!H3903/(Sens!H3848-Sens!H3803)</f>
        <v>0.0636978244267334</v>
      </c>
      <c r="I3951" s="7" t="n">
        <f aca="false">Sens!I3903/(Sens!I3848-Sens!I3803)</f>
        <v>0.0633669829460557</v>
      </c>
      <c r="J3951" s="7" t="n">
        <f aca="false">Sens!J3903/(Sens!J3848-Sens!J3803)</f>
        <v>0.0640738054573529</v>
      </c>
      <c r="K3951" s="7" t="n">
        <f aca="false">Sens!K3903/(Sens!K3848-Sens!K3803)</f>
        <v>0.065361877751357</v>
      </c>
    </row>
    <row r="3952" customFormat="false" ht="17.15" hidden="false" customHeight="false" outlineLevel="0" collapsed="false">
      <c r="A3952" s="0" t="s">
        <v>1235</v>
      </c>
      <c r="B3952" s="0" t="s">
        <v>98</v>
      </c>
      <c r="F3952" s="6" t="n">
        <f aca="false">Sens!F3833*(al_m365+Sens!F3951+sbc_r)</f>
        <v>84.5339116994992</v>
      </c>
      <c r="G3952" s="6" t="n">
        <f aca="false">Sens!G3833*(al_m365+Sens!G3951+sbc_r)</f>
        <v>98.9593480778369</v>
      </c>
      <c r="H3952" s="6" t="n">
        <f aca="false">Sens!H3833*(al_m365+Sens!H3951+sbc_r)</f>
        <v>113.549393330318</v>
      </c>
      <c r="I3952" s="6" t="n">
        <f aca="false">Sens!I3833*(al_m365+Sens!I3951+sbc_r)</f>
        <v>126.622191970112</v>
      </c>
      <c r="J3952" s="6" t="n">
        <f aca="false">Sens!J3833*(al_m365+Sens!J3951+sbc_r)</f>
        <v>137.991986674761</v>
      </c>
      <c r="K3952" s="6" t="n">
        <f aca="false">Sens!K3833*(al_m365+Sens!K3951+sbc_r)</f>
        <v>148.981942792087</v>
      </c>
      <c r="L3952" s="12" t="s">
        <v>1236</v>
      </c>
    </row>
    <row r="3953" customFormat="false" ht="17.15" hidden="false" customHeight="false" outlineLevel="0" collapsed="false">
      <c r="A3953" s="0" t="s">
        <v>1237</v>
      </c>
      <c r="B3953" s="0" t="s">
        <v>98</v>
      </c>
      <c r="F3953" s="6" t="n">
        <f aca="false">Sens!F3834*(al_lic+Sens!F3951+sbc_r)</f>
        <v>32.8592144244205</v>
      </c>
      <c r="G3953" s="6" t="n">
        <f aca="false">Sens!G3834*(al_lic+Sens!G3951+sbc_r)</f>
        <v>34.1212192861125</v>
      </c>
      <c r="H3953" s="6" t="n">
        <f aca="false">Sens!H3834*(al_lic+Sens!H3951+sbc_r)</f>
        <v>35.3038803047205</v>
      </c>
      <c r="I3953" s="6" t="n">
        <f aca="false">Sens!I3834*(al_lic+Sens!I3951+sbc_r)</f>
        <v>36.3902264141101</v>
      </c>
      <c r="J3953" s="6" t="n">
        <f aca="false">Sens!J3834*(al_lic+Sens!J3951+sbc_r)</f>
        <v>37.3523167706115</v>
      </c>
      <c r="K3953" s="6" t="n">
        <f aca="false">Sens!K3834*(al_lic+Sens!K3951+sbc_r)</f>
        <v>38.1569993332231</v>
      </c>
    </row>
    <row r="3954" customFormat="false" ht="17.15" hidden="false" customHeight="false" outlineLevel="0" collapsed="false">
      <c r="A3954" s="0" t="s">
        <v>1238</v>
      </c>
      <c r="B3954" s="0" t="s">
        <v>98</v>
      </c>
      <c r="F3954" s="6" t="n">
        <f aca="false">Sens!F3836*(al_ind+Sens!F3951+sbc_r)</f>
        <v>9.06125925304431</v>
      </c>
      <c r="G3954" s="6" t="n">
        <f aca="false">Sens!G3836*(al_ind+Sens!G3951+sbc_r)</f>
        <v>9.82618729815196</v>
      </c>
      <c r="H3954" s="6" t="n">
        <f aca="false">Sens!H3836*(al_ind+Sens!H3951+sbc_r)</f>
        <v>10.6386676407403</v>
      </c>
      <c r="I3954" s="6" t="n">
        <f aca="false">Sens!I3836*(al_ind+Sens!I3951+sbc_r)</f>
        <v>11.4968869221037</v>
      </c>
      <c r="J3954" s="6" t="n">
        <f aca="false">Sens!J3836*(al_ind+Sens!J3951+sbc_r)</f>
        <v>12.3899466029091</v>
      </c>
      <c r="K3954" s="6" t="n">
        <f aca="false">Sens!K3836*(al_ind+Sens!K3951+sbc_r)</f>
        <v>13.2997787110655</v>
      </c>
    </row>
    <row r="3955" customFormat="false" ht="17.15" hidden="false" customHeight="false" outlineLevel="0" collapsed="false">
      <c r="A3955" s="0" t="s">
        <v>1239</v>
      </c>
      <c r="B3955" s="0" t="s">
        <v>98</v>
      </c>
      <c r="F3955" s="6" t="n">
        <f aca="false">Sens!F3838*(al_fro+Sens!F3951+sbc_r)</f>
        <v>3.55435987881646</v>
      </c>
      <c r="G3955" s="6" t="n">
        <f aca="false">Sens!G3838*(al_fro+Sens!G3951+sbc_r)</f>
        <v>3.75978724589511</v>
      </c>
      <c r="H3955" s="6" t="n">
        <f aca="false">Sens!H3838*(al_fro+Sens!H3951+sbc_r)</f>
        <v>3.9953190147758</v>
      </c>
      <c r="I3955" s="6" t="n">
        <f aca="false">Sens!I3838*(al_fro+Sens!I3951+sbc_r)</f>
        <v>4.26405713094652</v>
      </c>
      <c r="J3955" s="6" t="n">
        <f aca="false">Sens!J3838*(al_fro+Sens!J3951+sbc_r)</f>
        <v>4.56662499758479</v>
      </c>
      <c r="K3955" s="6" t="n">
        <f aca="false">Sens!K3838*(al_fro+Sens!K3951+sbc_r)</f>
        <v>4.90196639830854</v>
      </c>
    </row>
    <row r="3956" customFormat="false" ht="17.15" hidden="false" customHeight="false" outlineLevel="0" collapsed="false">
      <c r="A3956" s="0" t="s">
        <v>1240</v>
      </c>
      <c r="B3956" s="0" t="s">
        <v>98</v>
      </c>
      <c r="F3956" s="6" t="n">
        <f aca="false">Sens!F3841*(al_srch+Sens!F3951+sbc_r)</f>
        <v>11.1901304196618</v>
      </c>
      <c r="G3956" s="6" t="n">
        <f aca="false">Sens!G3841*(al_srch+Sens!G3951+sbc_r)</f>
        <v>12.2492685501365</v>
      </c>
      <c r="H3956" s="6" t="n">
        <f aca="false">Sens!H3841*(al_srch+Sens!H3951+sbc_r)</f>
        <v>13.3564506486133</v>
      </c>
      <c r="I3956" s="6" t="n">
        <f aca="false">Sens!I3841*(al_srch+Sens!I3951+sbc_r)</f>
        <v>14.5027356921074</v>
      </c>
      <c r="J3956" s="6" t="n">
        <f aca="false">Sens!J3841*(al_srch+Sens!J3951+sbc_r)</f>
        <v>15.66674630838</v>
      </c>
      <c r="K3956" s="6" t="n">
        <f aca="false">Sens!K3841*(al_srch+Sens!K3951+sbc_r)</f>
        <v>16.8172039559018</v>
      </c>
    </row>
    <row r="3957" customFormat="false" ht="17.15" hidden="false" customHeight="false" outlineLevel="0" collapsed="false">
      <c r="A3957" s="0" t="s">
        <v>1241</v>
      </c>
      <c r="B3957" s="0" t="s">
        <v>98</v>
      </c>
      <c r="F3957" s="6" t="n">
        <f aca="false">Sens!F3809-Sens!F3810+Sens!F3891</f>
        <v>49.9206978791482</v>
      </c>
      <c r="G3957" s="6" t="n">
        <f aca="false">Sens!G3809-Sens!G3810+Sens!G3891</f>
        <v>105.617120566737</v>
      </c>
      <c r="H3957" s="6" t="n">
        <f aca="false">Sens!H3809-Sens!H3810+Sens!H3891</f>
        <v>170.473200806397</v>
      </c>
      <c r="I3957" s="6" t="n">
        <f aca="false">Sens!I3809-Sens!I3810+Sens!I3891</f>
        <v>222.003630734676</v>
      </c>
      <c r="J3957" s="6" t="n">
        <f aca="false">Sens!J3809-Sens!J3810+Sens!J3891</f>
        <v>257.754832697005</v>
      </c>
      <c r="K3957" s="6" t="n">
        <f aca="false">Sens!K3809-Sens!K3810+Sens!K3891</f>
        <v>278.524024271872</v>
      </c>
    </row>
    <row r="3958" customFormat="false" ht="17.15" hidden="false" customHeight="false" outlineLevel="0" collapsed="false">
      <c r="A3958" s="0" t="s">
        <v>1242</v>
      </c>
      <c r="B3958" s="0" t="s">
        <v>98</v>
      </c>
      <c r="F3958" s="6" t="n">
        <f aca="false">Sens!F3870+Sens!F3891+Sens!F3821+Sens!F3951*(Sens!F3840-Sens!F3803)+sbc_r*Sens!F3840</f>
        <v>245.400992578433</v>
      </c>
      <c r="G3958" s="6" t="n">
        <f aca="false">Sens!G3870+Sens!G3891+Sens!G3821+Sens!G3951*(Sens!G3840-Sens!G3803)+sbc_r*Sens!G3840</f>
        <v>326.258998933525</v>
      </c>
      <c r="H3958" s="6" t="n">
        <f aca="false">Sens!H3870+Sens!H3891+Sens!H3821+Sens!H3951*(Sens!H3840-Sens!H3803)+sbc_r*Sens!H3840</f>
        <v>421.395280455926</v>
      </c>
      <c r="I3958" s="6" t="n">
        <f aca="false">Sens!I3870+Sens!I3891+Sens!I3821+Sens!I3951*(Sens!I3840-Sens!I3803)+sbc_r*Sens!I3840</f>
        <v>501.03812707236</v>
      </c>
      <c r="J3958" s="6" t="n">
        <f aca="false">Sens!J3870+Sens!J3891+Sens!J3821+Sens!J3951*(Sens!J3840-Sens!J3803)+sbc_r*Sens!J3840</f>
        <v>561.83356834252</v>
      </c>
      <c r="K3958" s="6" t="n">
        <f aca="false">Sens!K3870+Sens!K3891+Sens!K3821+Sens!K3951*(Sens!K3840-Sens!K3803)+sbc_r*Sens!K3840</f>
        <v>605.133143015992</v>
      </c>
    </row>
    <row r="3959" customFormat="false" ht="17.15" hidden="false" customHeight="false" outlineLevel="0" collapsed="false">
      <c r="A3959" s="0" t="s">
        <v>1243</v>
      </c>
      <c r="B3959" s="0" t="s">
        <v>98</v>
      </c>
      <c r="F3959" s="6" t="n">
        <f aca="false">Sens!F3958-Sens!F3952-Sens!F3953-Sens!F3954-Sens!F3955-Sens!F3957</f>
        <v>65.4715494435044</v>
      </c>
      <c r="G3959" s="6" t="n">
        <f aca="false">Sens!G3958-Sens!G3952-Sens!G3953-Sens!G3954-Sens!G3955-Sens!G3957</f>
        <v>73.9753364587911</v>
      </c>
      <c r="H3959" s="6" t="n">
        <f aca="false">Sens!H3958-Sens!H3952-Sens!H3953-Sens!H3954-Sens!H3955-Sens!H3957</f>
        <v>87.4348193589751</v>
      </c>
      <c r="I3959" s="6" t="n">
        <f aca="false">Sens!I3958-Sens!I3952-Sens!I3953-Sens!I3954-Sens!I3955-Sens!I3957</f>
        <v>100.261133900412</v>
      </c>
      <c r="J3959" s="6" t="n">
        <f aca="false">Sens!J3958-Sens!J3952-Sens!J3953-Sens!J3954-Sens!J3955-Sens!J3957</f>
        <v>111.777860599648</v>
      </c>
      <c r="K3959" s="6" t="n">
        <f aca="false">Sens!K3958-Sens!K3952-Sens!K3953-Sens!K3954-Sens!K3955-Sens!K3957</f>
        <v>121.268431509436</v>
      </c>
    </row>
    <row r="3960" customFormat="false" ht="17.15" hidden="false" customHeight="false" outlineLevel="0" collapsed="false">
      <c r="A3960" s="0" t="s">
        <v>1244</v>
      </c>
      <c r="B3960" s="0" t="s">
        <v>98</v>
      </c>
      <c r="F3960" s="6" t="n">
        <f aca="false">Sens!F3872+Sens!F3951*Sens!F3847+sbc_r*Sens!F3847</f>
        <v>26.636063447511</v>
      </c>
      <c r="G3960" s="6" t="n">
        <f aca="false">Sens!G3872+Sens!G3951*Sens!G3847+sbc_r*Sens!G3847</f>
        <v>26.4449079104596</v>
      </c>
      <c r="H3960" s="6" t="n">
        <f aca="false">Sens!H3872+Sens!H3951*Sens!H3847+sbc_r*Sens!H3847</f>
        <v>27.2992609480563</v>
      </c>
      <c r="I3960" s="6" t="n">
        <f aca="false">Sens!I3872+Sens!I3951*Sens!I3847+sbc_r*Sens!I3847</f>
        <v>28.400181505369</v>
      </c>
      <c r="J3960" s="6" t="n">
        <f aca="false">Sens!J3872+Sens!J3951*Sens!J3847+sbc_r*Sens!J3847</f>
        <v>29.7083228183648</v>
      </c>
      <c r="K3960" s="6" t="n">
        <f aca="false">Sens!K3872+Sens!K3951*Sens!K3847+sbc_r*Sens!K3847</f>
        <v>31.1790933268336</v>
      </c>
    </row>
    <row r="3961" customFormat="false" ht="17.15" hidden="false" customHeight="false" outlineLevel="0" collapsed="false">
      <c r="A3961" s="0" t="s">
        <v>1245</v>
      </c>
      <c r="B3961" s="0" t="s">
        <v>98</v>
      </c>
      <c r="F3961" s="6" t="n">
        <f aca="false">(Sens!F3960-Sens!F3956)*Sens!F3843/(Sens!F3843+Sens!F3845)</f>
        <v>8.72363929393888</v>
      </c>
      <c r="G3961" s="6" t="n">
        <f aca="false">(Sens!G3960-Sens!G3956)*Sens!G3843/(Sens!G3843+Sens!G3845)</f>
        <v>7.87970062099574</v>
      </c>
      <c r="H3961" s="6" t="n">
        <f aca="false">(Sens!H3960-Sens!H3956)*Sens!H3843/(Sens!H3843+Sens!H3845)</f>
        <v>7.63853957803329</v>
      </c>
      <c r="I3961" s="6" t="n">
        <f aca="false">(Sens!I3960-Sens!I3956)*Sens!I3843/(Sens!I3843+Sens!I3845)</f>
        <v>7.547231024555</v>
      </c>
      <c r="J3961" s="6" t="n">
        <f aca="false">(Sens!J3960-Sens!J3956)*Sens!J3843/(Sens!J3843+Sens!J3845)</f>
        <v>7.59223380194643</v>
      </c>
      <c r="K3961" s="6" t="n">
        <f aca="false">(Sens!K3960-Sens!K3956)*Sens!K3843/(Sens!K3843+Sens!K3845)</f>
        <v>7.76542590244529</v>
      </c>
    </row>
    <row r="3962" customFormat="false" ht="17.15" hidden="false" customHeight="false" outlineLevel="0" collapsed="false">
      <c r="A3962" s="0" t="s">
        <v>1246</v>
      </c>
      <c r="B3962" s="0" t="s">
        <v>98</v>
      </c>
      <c r="F3962" s="6" t="n">
        <f aca="false">Sens!F3960-Sens!F3956-Sens!F3961</f>
        <v>6.72229373391033</v>
      </c>
      <c r="G3962" s="6" t="n">
        <f aca="false">Sens!G3960-Sens!G3956-Sens!G3961</f>
        <v>6.31593873932742</v>
      </c>
      <c r="H3962" s="6" t="n">
        <f aca="false">Sens!H3960-Sens!H3956-Sens!H3961</f>
        <v>6.30427072140968</v>
      </c>
      <c r="I3962" s="6" t="n">
        <f aca="false">Sens!I3960-Sens!I3956-Sens!I3961</f>
        <v>6.3502147887066</v>
      </c>
      <c r="J3962" s="6" t="n">
        <f aca="false">Sens!J3960-Sens!J3956-Sens!J3961</f>
        <v>6.44934270803844</v>
      </c>
      <c r="K3962" s="6" t="n">
        <f aca="false">Sens!K3960-Sens!K3956-Sens!K3961</f>
        <v>6.59646346848654</v>
      </c>
    </row>
    <row r="3963" customFormat="false" ht="17.15" hidden="false" customHeight="false" outlineLevel="0" collapsed="false">
      <c r="A3963" s="0" t="s">
        <v>1247</v>
      </c>
      <c r="B3963" s="0" t="s">
        <v>98</v>
      </c>
      <c r="F3963" s="6" t="n">
        <f aca="false">Sens!F3957-tax_f*(Sens!F3957-Sens!F3821)-Sens!F3818</f>
        <v>-157.518967343367</v>
      </c>
      <c r="G3963" s="6" t="n">
        <f aca="false">Sens!G3957-tax_f*(Sens!G3957-Sens!G3821)-Sens!G3818</f>
        <v>-132.07996821541</v>
      </c>
      <c r="H3963" s="6" t="n">
        <f aca="false">Sens!H3957-tax_f*(Sens!H3957-Sens!H3821)-Sens!H3818</f>
        <v>-79.2211941200437</v>
      </c>
      <c r="I3963" s="6" t="n">
        <f aca="false">Sens!I3957-tax_f*(Sens!I3957-Sens!I3821)-Sens!I3818</f>
        <v>8.13635500101208</v>
      </c>
      <c r="J3963" s="6" t="n">
        <f aca="false">Sens!J3957-tax_f*(Sens!J3957-Sens!J3821)-Sens!J3818</f>
        <v>92.0055024823259</v>
      </c>
      <c r="K3963" s="6" t="n">
        <f aca="false">Sens!K3957-tax_f*(Sens!K3957-Sens!K3821)-Sens!K3818</f>
        <v>132.276956956073</v>
      </c>
    </row>
    <row r="3964" customFormat="false" ht="17.15" hidden="false" customHeight="false" outlineLevel="0" collapsed="false">
      <c r="A3964" s="0" t="s">
        <v>1248</v>
      </c>
      <c r="B3964" s="0" t="s">
        <v>98</v>
      </c>
      <c r="G3964" s="6" t="n">
        <f aca="false">Sens!G3963/(1+wacc)^(Sens!G3934-Sens!F3935)</f>
        <v>-125.765546752026</v>
      </c>
      <c r="H3964" s="6" t="n">
        <f aca="false">Sens!H3963/(1+wacc)^(Sens!H3934-Sens!F3935)</f>
        <v>-68.393616163756</v>
      </c>
      <c r="I3964" s="6" t="n">
        <f aca="false">Sens!I3963/(1+wacc)^(Sens!I3934-Sens!F3935)</f>
        <v>6.36874010387835</v>
      </c>
      <c r="J3964" s="6" t="n">
        <f aca="false">Sens!J3963/(1+wacc)^(Sens!J3934-Sens!F3935)</f>
        <v>65.2960475587773</v>
      </c>
      <c r="K3964" s="6" t="n">
        <f aca="false">Sens!K3963/(1+wacc)^(Sens!K3934-Sens!F3935)</f>
        <v>85.1151252363344</v>
      </c>
      <c r="L3964" s="1" t="s">
        <v>1249</v>
      </c>
    </row>
    <row r="3965" customFormat="false" ht="17.15" hidden="false" customHeight="false" outlineLevel="0" collapsed="false">
      <c r="A3965" s="0" t="s">
        <v>1250</v>
      </c>
      <c r="B3965" s="0" t="s">
        <v>98</v>
      </c>
      <c r="C3965" s="6" t="n">
        <f aca="false">(Sens!K3957-Sens!K3821)*(1-tax_f)*(1+g_tv)*(1-g_tv/(wacc+ronic_prem))/(wacc-g_tv)/(1+wacc)^(Sens!K3935-Sens!F3935)</f>
        <v>550.251962540883</v>
      </c>
    </row>
    <row r="3966" customFormat="false" ht="17.15" hidden="false" customHeight="false" outlineLevel="0" collapsed="false">
      <c r="A3966" s="1" t="s">
        <v>1251</v>
      </c>
      <c r="B3966" s="0" t="s">
        <v>98</v>
      </c>
      <c r="C3966" s="6" t="n">
        <f aca="false">(SUM(Sens!G3964:K3964)+Sens!$C$3965)*(1+wacc)^(t_roll-Sens!F3935)</f>
        <v>529.804191806718</v>
      </c>
      <c r="L3966" s="12" t="s">
        <v>1252</v>
      </c>
    </row>
    <row r="3967" customFormat="false" ht="17.15" hidden="false" customHeight="false" outlineLevel="0" collapsed="false">
      <c r="A3967" s="1" t="s">
        <v>1253</v>
      </c>
      <c r="B3967" s="0" t="s">
        <v>98</v>
      </c>
      <c r="C3967" s="6" t="n">
        <f aca="false">(w_ntm28*Sens!G3809+(1-w_ntm28)*Sens!H3809)*m_ai</f>
        <v>639.348509201108</v>
      </c>
    </row>
    <row r="3968" customFormat="false" ht="17.15" hidden="false" customHeight="false" outlineLevel="0" collapsed="false">
      <c r="A3968" s="1" t="s">
        <v>1254</v>
      </c>
      <c r="B3968" s="0" t="s">
        <v>98</v>
      </c>
      <c r="C3968" s="6" t="n">
        <f aca="false">(w_ntm28*Sens!G3959+(1-w_ntm28)*Sens!H3959)*m_cloud</f>
        <v>1083.49314011163</v>
      </c>
    </row>
    <row r="3969" customFormat="false" ht="17.15" hidden="false" customHeight="false" outlineLevel="0" collapsed="false">
      <c r="A3969" s="1" t="s">
        <v>1255</v>
      </c>
      <c r="B3969" s="0" t="s">
        <v>98</v>
      </c>
      <c r="C3969" s="6" t="n">
        <f aca="false">(w_ntm28*Sens!G3952+(1-w_ntm28)*Sens!H3952)*m_sw</f>
        <v>1120.56561306862</v>
      </c>
    </row>
    <row r="3970" customFormat="false" ht="17.15" hidden="false" customHeight="false" outlineLevel="0" collapsed="false">
      <c r="A3970" s="1" t="s">
        <v>1256</v>
      </c>
      <c r="B3970" s="0" t="s">
        <v>98</v>
      </c>
      <c r="C3970" s="6" t="n">
        <f aca="false">(w_ntm28*Sens!G3953+(1-w_ntm28)*Sens!H3953)*m_sw</f>
        <v>372.708424947867</v>
      </c>
    </row>
    <row r="3971" customFormat="false" ht="17.15" hidden="false" customHeight="false" outlineLevel="0" collapsed="false">
      <c r="A3971" s="1" t="s">
        <v>1257</v>
      </c>
      <c r="B3971" s="0" t="s">
        <v>98</v>
      </c>
      <c r="C3971" s="6" t="n">
        <f aca="false">(w_ntm28*Sens!G3954+(1-w_ntm28)*Sens!H3954)*m_sw</f>
        <v>109.007684529615</v>
      </c>
    </row>
    <row r="3972" customFormat="false" ht="17.15" hidden="false" customHeight="false" outlineLevel="0" collapsed="false">
      <c r="A3972" s="1" t="s">
        <v>1258</v>
      </c>
      <c r="B3972" s="0" t="s">
        <v>98</v>
      </c>
      <c r="C3972" s="6" t="n">
        <f aca="false">(w_ntm28*Sens!G3955+(1-w_ntm28)*Sens!H3955)*m_sw</f>
        <v>41.442001358323</v>
      </c>
    </row>
    <row r="3973" customFormat="false" ht="17.15" hidden="false" customHeight="false" outlineLevel="0" collapsed="false">
      <c r="A3973" s="1" t="s">
        <v>1259</v>
      </c>
      <c r="B3973" s="0" t="s">
        <v>98</v>
      </c>
      <c r="C3973" s="6" t="n">
        <f aca="false">(w_ntm28*Sens!G3956+(1-w_ntm28)*Sens!H3956)*m_ads</f>
        <v>114.906922711072</v>
      </c>
    </row>
    <row r="3974" customFormat="false" ht="17.15" hidden="false" customHeight="false" outlineLevel="0" collapsed="false">
      <c r="A3974" s="1" t="s">
        <v>1260</v>
      </c>
      <c r="B3974" s="0" t="s">
        <v>98</v>
      </c>
      <c r="C3974" s="6" t="n">
        <f aca="false">(w_ntm28*Sens!G3961+(1-w_ntm28)*Sens!H3961)*m_game</f>
        <v>98.5192389069738</v>
      </c>
    </row>
    <row r="3975" customFormat="false" ht="17.15" hidden="false" customHeight="false" outlineLevel="0" collapsed="false">
      <c r="A3975" s="1" t="s">
        <v>1261</v>
      </c>
      <c r="B3975" s="0" t="s">
        <v>98</v>
      </c>
      <c r="C3975" s="6" t="n">
        <f aca="false">(w_ntm28*Sens!G3962+(1-w_ntm28)*Sens!H3962)*m_pc</f>
        <v>91.3361257599517</v>
      </c>
    </row>
    <row r="3976" customFormat="false" ht="17.15" hidden="false" customHeight="false" outlineLevel="0" collapsed="false">
      <c r="A3976" s="1" t="s">
        <v>1262</v>
      </c>
      <c r="B3976" s="0" t="s">
        <v>98</v>
      </c>
      <c r="C3976" s="6" t="n">
        <f aca="false">Sens!$C$3966+Sens!$C$3968+Sens!$C$3969+Sens!$C$3970+Sens!$C$3971+Sens!$C$3972+Sens!$C$3973+Sens!$C$3974+Sens!$C$3975</f>
        <v>3561.78334320078</v>
      </c>
    </row>
    <row r="3977" customFormat="false" ht="17.15" hidden="false" customHeight="false" outlineLevel="0" collapsed="false">
      <c r="A3977" s="1" t="s">
        <v>1263</v>
      </c>
      <c r="B3977" s="0" t="s">
        <v>98</v>
      </c>
      <c r="C3977" s="6" t="n">
        <f aca="false">(Sens!G3938-Sens!G3963)*t_stub</f>
        <v>48.1867629371298</v>
      </c>
      <c r="L3977" s="1" t="s">
        <v>1264</v>
      </c>
    </row>
    <row r="3978" customFormat="false" ht="17.15" hidden="false" customHeight="false" outlineLevel="0" collapsed="false">
      <c r="A3978" s="1" t="s">
        <v>1173</v>
      </c>
      <c r="B3978" s="0" t="s">
        <v>98</v>
      </c>
      <c r="C3978" s="6" t="n">
        <f aca="false">Sens!F3925+oai_v-Sens!F3914+Sens!$C$3977</f>
        <v>132.020859389592</v>
      </c>
      <c r="L3978" s="1" t="s">
        <v>1265</v>
      </c>
    </row>
    <row r="3979" customFormat="false" ht="17.15" hidden="false" customHeight="false" outlineLevel="0" collapsed="false">
      <c r="A3979" s="1" t="s">
        <v>1266</v>
      </c>
      <c r="B3979" s="0" t="s">
        <v>75</v>
      </c>
      <c r="C3979" s="5" t="n">
        <f aca="false">(Sens!$C$3976+Sens!$C$3978)/(Sens!F3927+dil_gap)-Sens!G3917*roll_div_q/q_per_yr</f>
        <v>491.730537698822</v>
      </c>
      <c r="L3979" s="1" t="s">
        <v>1267</v>
      </c>
    </row>
    <row r="3980" customFormat="false" ht="17.15" hidden="false" customHeight="false" outlineLevel="0" collapsed="false">
      <c r="A3980" s="1" t="s">
        <v>1268</v>
      </c>
      <c r="B3980" s="0" t="s">
        <v>75</v>
      </c>
      <c r="C3980" s="5" t="n">
        <f aca="false">w_dcf*Sens!$C$3950+(1-w_dcf)*Sens!$C$3979</f>
        <v>432.303998922339</v>
      </c>
    </row>
    <row r="3981" customFormat="false" ht="17.15" hidden="false" customHeight="false" outlineLevel="0" collapsed="false">
      <c r="A3981" s="3" t="s">
        <v>1710</v>
      </c>
    </row>
    <row r="3982" customFormat="false" ht="15" hidden="false" customHeight="false" outlineLevel="0" collapsed="false">
      <c r="A3982" s="4" t="s">
        <v>43</v>
      </c>
      <c r="B3982" s="4" t="s">
        <v>65</v>
      </c>
      <c r="C3982" s="23" t="s">
        <v>942</v>
      </c>
      <c r="D3982" s="23" t="s">
        <v>943</v>
      </c>
      <c r="E3982" s="23" t="s">
        <v>944</v>
      </c>
      <c r="F3982" s="23" t="s">
        <v>945</v>
      </c>
      <c r="G3982" s="23" t="s">
        <v>946</v>
      </c>
      <c r="H3982" s="23" t="s">
        <v>947</v>
      </c>
      <c r="I3982" s="23" t="s">
        <v>948</v>
      </c>
      <c r="J3982" s="23" t="s">
        <v>949</v>
      </c>
      <c r="K3982" s="23" t="s">
        <v>950</v>
      </c>
      <c r="L3982" s="4" t="s">
        <v>47</v>
      </c>
    </row>
    <row r="3983" customFormat="false" ht="17.15" hidden="false" customHeight="false" outlineLevel="0" collapsed="false">
      <c r="A3983" s="1" t="s">
        <v>951</v>
      </c>
      <c r="B3983" s="1" t="s">
        <v>279</v>
      </c>
      <c r="C3983" s="21" t="n">
        <v>2024</v>
      </c>
      <c r="D3983" s="21" t="n">
        <v>2025</v>
      </c>
      <c r="E3983" s="21" t="n">
        <v>2026</v>
      </c>
      <c r="F3983" s="21" t="n">
        <v>2027</v>
      </c>
      <c r="G3983" s="21" t="n">
        <v>2028</v>
      </c>
      <c r="H3983" s="21" t="n">
        <v>2029</v>
      </c>
      <c r="I3983" s="21" t="n">
        <v>2030</v>
      </c>
      <c r="J3983" s="21" t="n">
        <v>2031</v>
      </c>
      <c r="K3983" s="21" t="n">
        <v>2032</v>
      </c>
    </row>
    <row r="3984" customFormat="false" ht="17.15" hidden="false" customHeight="false" outlineLevel="0" collapsed="false">
      <c r="A3984" s="1" t="s">
        <v>952</v>
      </c>
      <c r="B3984" s="0" t="s">
        <v>459</v>
      </c>
      <c r="F3984" s="30" t="n">
        <f aca="false">pace*1.2</f>
        <v>3271.84212</v>
      </c>
      <c r="G3984" s="30" t="n">
        <f aca="false">pace*1.2</f>
        <v>3271.84212</v>
      </c>
      <c r="H3984" s="30" t="n">
        <f aca="false">pace*1.2</f>
        <v>3271.84212</v>
      </c>
      <c r="I3984" s="30" t="n">
        <f aca="false">pace*1.2+(g_tv*Sens!H3985-pace*1.2)*MIN(1,(Sens!I3983-pace_y0)/(pace_y1-pace_y0))</f>
        <v>2311.8833436</v>
      </c>
      <c r="J3984" s="30" t="n">
        <f aca="false">pace*1.2+(g_tv*Sens!I3985-pace*1.2)*MIN(1,(Sens!J3983-pace_y0)/(pace_y1-pace_y0))</f>
        <v>1398.162234072</v>
      </c>
      <c r="K3984" s="30" t="n">
        <f aca="false">pace*1.2+(g_tv*Sens!J3985-pace*1.2)*MIN(1,(Sens!K3983-pace_y0)/(pace_y1-pace_y0))</f>
        <v>503.26715813016</v>
      </c>
      <c r="L3984" s="12" t="s">
        <v>953</v>
      </c>
    </row>
    <row r="3985" customFormat="false" ht="17.15" hidden="false" customHeight="false" outlineLevel="0" collapsed="false">
      <c r="A3985" s="1" t="s">
        <v>954</v>
      </c>
      <c r="B3985" s="0" t="s">
        <v>459</v>
      </c>
      <c r="C3985" s="30" t="n">
        <f aca="false">mw_ext_24</f>
        <v>640</v>
      </c>
      <c r="D3985" s="30" t="n">
        <f aca="false">mw_ext_25</f>
        <v>1630</v>
      </c>
      <c r="E3985" s="30" t="n">
        <f aca="false">mw_ext_26</f>
        <v>3250</v>
      </c>
      <c r="F3985" s="30" t="n">
        <f aca="false">Sens!E3985+Sens!F3984</f>
        <v>6521.84212</v>
      </c>
      <c r="G3985" s="30" t="n">
        <f aca="false">Sens!F3985+Sens!G3984</f>
        <v>9793.68424</v>
      </c>
      <c r="H3985" s="30" t="n">
        <f aca="false">Sens!G3985+Sens!H3984</f>
        <v>13065.52636</v>
      </c>
      <c r="I3985" s="30" t="n">
        <f aca="false">Sens!H3985+Sens!I3984</f>
        <v>15377.4097036</v>
      </c>
      <c r="J3985" s="30" t="n">
        <f aca="false">Sens!I3985+Sens!J3984</f>
        <v>16775.571937672</v>
      </c>
      <c r="K3985" s="30" t="n">
        <f aca="false">Sens!J3985+Sens!K3984</f>
        <v>17278.8390958022</v>
      </c>
      <c r="L3985" s="1" t="s">
        <v>955</v>
      </c>
    </row>
    <row r="3986" customFormat="false" ht="17.15" hidden="false" customHeight="false" outlineLevel="0" collapsed="false">
      <c r="A3986" s="1" t="s">
        <v>956</v>
      </c>
      <c r="B3986" s="0" t="s">
        <v>459</v>
      </c>
      <c r="C3986" s="30" t="n">
        <f aca="false">rent_ext_24</f>
        <v>150</v>
      </c>
      <c r="D3986" s="30" t="n">
        <f aca="false">rent_ext_25</f>
        <v>400</v>
      </c>
      <c r="E3986" s="30" t="n">
        <f aca="false">rent_ext_26</f>
        <v>550</v>
      </c>
      <c r="F3986" s="30" t="n">
        <f aca="false">rent_ext_f</f>
        <v>756</v>
      </c>
      <c r="G3986" s="30" t="n">
        <f aca="false">rent_ext_f</f>
        <v>756</v>
      </c>
      <c r="H3986" s="30" t="n">
        <f aca="false">rent_ext_f</f>
        <v>756</v>
      </c>
      <c r="I3986" s="30" t="n">
        <f aca="false">rent_ext_f</f>
        <v>756</v>
      </c>
      <c r="J3986" s="30" t="n">
        <f aca="false">rent_ext_f</f>
        <v>756</v>
      </c>
      <c r="K3986" s="30" t="n">
        <f aca="false">rent_ext_f</f>
        <v>756</v>
      </c>
      <c r="L3986" s="1" t="s">
        <v>957</v>
      </c>
    </row>
    <row r="3987" customFormat="false" ht="17.15" hidden="false" customHeight="false" outlineLevel="0" collapsed="false">
      <c r="A3987" s="1" t="s">
        <v>958</v>
      </c>
      <c r="B3987" s="0" t="s">
        <v>459</v>
      </c>
      <c r="C3987" s="30" t="n">
        <f aca="false">Sens!C3985-Sens!C3986</f>
        <v>490</v>
      </c>
      <c r="D3987" s="30" t="n">
        <f aca="false">Sens!D3985-Sens!D3986</f>
        <v>1230</v>
      </c>
      <c r="E3987" s="30" t="n">
        <f aca="false">Sens!E3985-Sens!E3986</f>
        <v>2700</v>
      </c>
      <c r="F3987" s="30" t="n">
        <f aca="false">Sens!F3985-Sens!F3986</f>
        <v>5765.84212</v>
      </c>
      <c r="G3987" s="30" t="n">
        <f aca="false">Sens!G3985-Sens!G3986</f>
        <v>9037.68424</v>
      </c>
      <c r="H3987" s="30" t="n">
        <f aca="false">Sens!H3985-Sens!H3986</f>
        <v>12309.52636</v>
      </c>
      <c r="I3987" s="30" t="n">
        <f aca="false">Sens!I3985-Sens!I3986</f>
        <v>14621.4097036</v>
      </c>
      <c r="J3987" s="30" t="n">
        <f aca="false">Sens!J3985-Sens!J3986</f>
        <v>16019.571937672</v>
      </c>
      <c r="K3987" s="30" t="n">
        <f aca="false">Sens!K3985-Sens!K3986</f>
        <v>16522.8390958022</v>
      </c>
    </row>
    <row r="3988" customFormat="false" ht="17.15" hidden="false" customHeight="false" outlineLevel="0" collapsed="false">
      <c r="A3988" s="1" t="s">
        <v>959</v>
      </c>
      <c r="B3988" s="0" t="s">
        <v>459</v>
      </c>
      <c r="C3988" s="30" t="n">
        <f aca="false">Sens!C3987/ext_sh</f>
        <v>816.666666666667</v>
      </c>
      <c r="D3988" s="30" t="n">
        <f aca="false">Sens!D3987/ext_sh</f>
        <v>2050</v>
      </c>
      <c r="E3988" s="30" t="n">
        <f aca="false">Sens!E3987/ext_sh</f>
        <v>4500</v>
      </c>
      <c r="F3988" s="30" t="n">
        <f aca="false">Sens!F3987/ext_sh</f>
        <v>9609.73686666667</v>
      </c>
      <c r="G3988" s="30" t="n">
        <f aca="false">Sens!G3987/ext_sh</f>
        <v>15062.8070666667</v>
      </c>
      <c r="H3988" s="30" t="n">
        <f aca="false">Sens!H3987/ext_sh</f>
        <v>20515.8772666667</v>
      </c>
      <c r="I3988" s="30" t="n">
        <f aca="false">Sens!I3987/ext_sh</f>
        <v>24369.0161726667</v>
      </c>
      <c r="J3988" s="30" t="n">
        <f aca="false">Sens!J3987/ext_sh</f>
        <v>26699.2865627867</v>
      </c>
      <c r="K3988" s="30" t="n">
        <f aca="false">Sens!K3987/ext_sh</f>
        <v>27538.0651596703</v>
      </c>
      <c r="L3988" s="1" t="s">
        <v>960</v>
      </c>
    </row>
    <row r="3989" customFormat="false" ht="17.15" hidden="false" customHeight="false" outlineLevel="0" collapsed="false">
      <c r="A3989" s="1" t="s">
        <v>961</v>
      </c>
      <c r="B3989" s="0" t="s">
        <v>459</v>
      </c>
      <c r="C3989" s="30" t="n">
        <f aca="false">Sens!C3988-Sens!C3987</f>
        <v>326.666666666667</v>
      </c>
      <c r="D3989" s="30" t="n">
        <f aca="false">Sens!D3988-Sens!D3987</f>
        <v>820</v>
      </c>
      <c r="E3989" s="30" t="n">
        <f aca="false">Sens!E3988-Sens!E3987</f>
        <v>1800</v>
      </c>
      <c r="F3989" s="30" t="n">
        <f aca="false">Sens!F3988-Sens!F3987</f>
        <v>3843.89474666667</v>
      </c>
      <c r="G3989" s="30" t="n">
        <f aca="false">Sens!G3988-Sens!G3987</f>
        <v>6025.12282666667</v>
      </c>
      <c r="H3989" s="30" t="n">
        <f aca="false">Sens!H3988-Sens!H3987</f>
        <v>8206.35090666667</v>
      </c>
      <c r="I3989" s="30" t="n">
        <f aca="false">Sens!I3988-Sens!I3987</f>
        <v>9747.60646906667</v>
      </c>
      <c r="J3989" s="30" t="n">
        <f aca="false">Sens!J3988-Sens!J3987</f>
        <v>10679.7146251147</v>
      </c>
      <c r="K3989" s="30" t="n">
        <f aca="false">Sens!K3988-Sens!K3987</f>
        <v>11015.2260638681</v>
      </c>
    </row>
    <row r="3990" customFormat="false" ht="17.15" hidden="false" customHeight="false" outlineLevel="0" collapsed="false">
      <c r="A3990" s="1" t="s">
        <v>962</v>
      </c>
      <c r="B3990" s="0" t="s">
        <v>459</v>
      </c>
      <c r="C3990" s="30" t="n">
        <f aca="false">Sens!C3988</f>
        <v>816.666666666667</v>
      </c>
      <c r="D3990" s="30" t="n">
        <f aca="false">Sens!D3988-Sens!C3988</f>
        <v>1233.33333333333</v>
      </c>
      <c r="E3990" s="30" t="n">
        <f aca="false">Sens!E3988-Sens!D3988</f>
        <v>2450</v>
      </c>
      <c r="F3990" s="30" t="n">
        <f aca="false">Sens!F3988-Sens!E3988</f>
        <v>5109.73686666667</v>
      </c>
      <c r="G3990" s="30" t="n">
        <f aca="false">Sens!G3988-Sens!F3988</f>
        <v>5453.0702</v>
      </c>
      <c r="H3990" s="30" t="n">
        <f aca="false">Sens!H3988-Sens!G3988</f>
        <v>5453.0702</v>
      </c>
      <c r="I3990" s="30" t="n">
        <f aca="false">Sens!I3988-Sens!H3988</f>
        <v>3853.138906</v>
      </c>
      <c r="J3990" s="30" t="n">
        <f aca="false">Sens!J3988-Sens!I3988</f>
        <v>2330.27039012</v>
      </c>
      <c r="K3990" s="30" t="n">
        <f aca="false">Sens!K3988-Sens!J3988</f>
        <v>838.778596883596</v>
      </c>
    </row>
    <row r="3991" customFormat="false" ht="17.15" hidden="false" customHeight="false" outlineLevel="0" collapsed="false">
      <c r="A3991" s="1" t="s">
        <v>963</v>
      </c>
      <c r="B3991" s="0" t="s">
        <v>459</v>
      </c>
      <c r="D3991" s="30" t="n">
        <f aca="false">Sens!D3985-Sens!C3985</f>
        <v>990</v>
      </c>
      <c r="E3991" s="30" t="n">
        <f aca="false">Sens!E3985-Sens!D3985</f>
        <v>1620</v>
      </c>
      <c r="F3991" s="30" t="n">
        <f aca="false">Sens!F3985-Sens!E3985</f>
        <v>3271.84212</v>
      </c>
      <c r="G3991" s="30" t="n">
        <f aca="false">Sens!G3985-Sens!F3985</f>
        <v>3271.84212</v>
      </c>
      <c r="H3991" s="30" t="n">
        <f aca="false">Sens!H3985-Sens!G3985</f>
        <v>3271.84212</v>
      </c>
      <c r="I3991" s="30" t="n">
        <f aca="false">Sens!I3985-Sens!H3985</f>
        <v>2311.8833436</v>
      </c>
      <c r="J3991" s="30" t="n">
        <f aca="false">Sens!J3985-Sens!I3985</f>
        <v>1398.162234072</v>
      </c>
      <c r="K3991" s="30" t="n">
        <f aca="false">Sens!K3985-Sens!J3985</f>
        <v>503.267158130158</v>
      </c>
    </row>
    <row r="3992" customFormat="false" ht="17.15" hidden="false" customHeight="false" outlineLevel="0" collapsed="false">
      <c r="A3992" s="1" t="s">
        <v>964</v>
      </c>
      <c r="B3992" s="0" t="s">
        <v>459</v>
      </c>
      <c r="F3992" s="30" t="n">
        <f aca="false">Sens!F4011*ext_sh</f>
        <v>0</v>
      </c>
      <c r="G3992" s="30" t="n">
        <f aca="false">Sens!G4011*ext_sh</f>
        <v>0</v>
      </c>
      <c r="H3992" s="30" t="n">
        <f aca="false">Sens!H4011*ext_sh</f>
        <v>0</v>
      </c>
      <c r="I3992" s="30" t="n">
        <f aca="false">Sens!I4011*ext_sh</f>
        <v>490</v>
      </c>
      <c r="J3992" s="30" t="n">
        <f aca="false">Sens!J4011*ext_sh</f>
        <v>740</v>
      </c>
      <c r="K3992" s="30" t="n">
        <f aca="false">Sens!K4011*ext_sh</f>
        <v>1470</v>
      </c>
      <c r="L3992" s="1" t="s">
        <v>965</v>
      </c>
    </row>
    <row r="3993" customFormat="false" ht="17.15" hidden="false" customHeight="false" outlineLevel="0" collapsed="false">
      <c r="A3993" s="1" t="s">
        <v>966</v>
      </c>
      <c r="B3993" s="0" t="s">
        <v>459</v>
      </c>
      <c r="C3993" s="30" t="n">
        <f aca="false">mix_h*Sens!C3985</f>
        <v>128</v>
      </c>
      <c r="D3993" s="30" t="n">
        <f aca="false">mix_h*Sens!D3985</f>
        <v>326</v>
      </c>
      <c r="E3993" s="30" t="n">
        <f aca="false">mix_h*Sens!E3985</f>
        <v>650</v>
      </c>
      <c r="F3993" s="30" t="n">
        <f aca="false">Sens!E3993-Sens!F3992*mix_h</f>
        <v>650</v>
      </c>
      <c r="G3993" s="30" t="n">
        <f aca="false">Sens!F3993-Sens!G3992*mix_h</f>
        <v>650</v>
      </c>
      <c r="H3993" s="30" t="n">
        <f aca="false">Sens!G3993-Sens!H3992*mix_h</f>
        <v>650</v>
      </c>
      <c r="I3993" s="30" t="n">
        <f aca="false">Sens!H3993-Sens!I3992*mix_h</f>
        <v>552</v>
      </c>
      <c r="J3993" s="30" t="n">
        <f aca="false">Sens!I3993-Sens!J3992*mix_h</f>
        <v>404</v>
      </c>
      <c r="K3993" s="30" t="n">
        <f aca="false">Sens!J3993-Sens!K3992*mix_h</f>
        <v>110</v>
      </c>
    </row>
    <row r="3994" customFormat="false" ht="17.15" hidden="false" customHeight="false" outlineLevel="0" collapsed="false">
      <c r="A3994" s="1" t="s">
        <v>967</v>
      </c>
      <c r="B3994" s="0" t="s">
        <v>459</v>
      </c>
      <c r="C3994" s="30" t="n">
        <f aca="false">mix_g2*Sens!C3985</f>
        <v>288</v>
      </c>
      <c r="D3994" s="30" t="n">
        <f aca="false">mix_g2*Sens!D3985</f>
        <v>733.5</v>
      </c>
      <c r="E3994" s="30" t="n">
        <f aca="false">mix_g2*Sens!E3985</f>
        <v>1462.5</v>
      </c>
      <c r="F3994" s="30" t="n">
        <f aca="false">Sens!E3994-Sens!F3992*mix_g2</f>
        <v>1462.5</v>
      </c>
      <c r="G3994" s="30" t="n">
        <f aca="false">Sens!F3994-Sens!G3992*mix_g2</f>
        <v>1462.5</v>
      </c>
      <c r="H3994" s="30" t="n">
        <f aca="false">Sens!G3994-Sens!H3992*mix_g2</f>
        <v>1462.5</v>
      </c>
      <c r="I3994" s="30" t="n">
        <f aca="false">Sens!H3994-Sens!I3992*mix_g2</f>
        <v>1242</v>
      </c>
      <c r="J3994" s="30" t="n">
        <f aca="false">Sens!I3994-Sens!J3992*mix_g2</f>
        <v>909</v>
      </c>
      <c r="K3994" s="30" t="n">
        <f aca="false">Sens!J3994-Sens!K3992*mix_g2</f>
        <v>247.5</v>
      </c>
    </row>
    <row r="3995" customFormat="false" ht="17.15" hidden="false" customHeight="false" outlineLevel="0" collapsed="false">
      <c r="A3995" s="1" t="s">
        <v>968</v>
      </c>
      <c r="B3995" s="0" t="s">
        <v>459</v>
      </c>
      <c r="C3995" s="30" t="n">
        <f aca="false">mix_g3*Sens!C3985</f>
        <v>224</v>
      </c>
      <c r="D3995" s="30" t="n">
        <f aca="false">mix_g3*Sens!D3985</f>
        <v>570.5</v>
      </c>
      <c r="E3995" s="30" t="n">
        <f aca="false">mix_g3*Sens!E3985</f>
        <v>1137.5</v>
      </c>
      <c r="F3995" s="30" t="n">
        <f aca="false">Sens!E3995+(Sens!F3991+Sens!F3992)*(a_g3_27-nonnv*a_mai)-Sens!F3992*mix_g3</f>
        <v>3100.605272</v>
      </c>
      <c r="G3995" s="30" t="n">
        <f aca="false">Sens!F3995+(Sens!G3991+Sens!G3992)*(a_g3_28-nonnv*a_mai)-Sens!G3992*mix_g3</f>
        <v>3754.973696</v>
      </c>
      <c r="H3995" s="30" t="n">
        <f aca="false">Sens!G3995+(Sens!H3991+Sens!H3992)*(a_g3_29-nonnv*a_mai)-Sens!H3992*mix_g3</f>
        <v>3754.973696</v>
      </c>
      <c r="I3995" s="30" t="n">
        <f aca="false">Sens!H3995+(Sens!I3991+Sens!I3992)*(a_g3_29-nonnv*a_mai)-Sens!I3992*mix_g3</f>
        <v>3583.473696</v>
      </c>
      <c r="J3995" s="30" t="n">
        <f aca="false">Sens!I3995+(Sens!J3991+Sens!J3992)*(a_g3_29-nonnv*a_mai)-Sens!J3992*mix_g3</f>
        <v>3324.473696</v>
      </c>
      <c r="K3995" s="30" t="n">
        <f aca="false">Sens!J3995+(Sens!K3991+Sens!K3992)*(a_g3_29-nonnv*a_mai)-Sens!K3992*mix_g3</f>
        <v>2809.973696</v>
      </c>
    </row>
    <row r="3996" customFormat="false" ht="17.15" hidden="false" customHeight="false" outlineLevel="0" collapsed="false">
      <c r="A3996" s="1" t="s">
        <v>969</v>
      </c>
      <c r="B3996" s="0" t="s">
        <v>459</v>
      </c>
      <c r="C3996" s="30" t="n">
        <v>0</v>
      </c>
      <c r="D3996" s="30" t="n">
        <v>0</v>
      </c>
      <c r="E3996" s="30" t="n">
        <v>0</v>
      </c>
      <c r="F3996" s="30" t="n">
        <f aca="false">Sens!E3996+(Sens!F3991+Sens!F3992)*nonnv*a_mai</f>
        <v>327.184212</v>
      </c>
      <c r="G3996" s="30" t="n">
        <f aca="false">Sens!F3996+(Sens!G3991+Sens!G3992)*nonnv*a_mai</f>
        <v>654.368424</v>
      </c>
      <c r="H3996" s="30" t="n">
        <f aca="false">Sens!G3996+(Sens!H3991+Sens!H3992)*nonnv*a_mai</f>
        <v>981.552636</v>
      </c>
      <c r="I3996" s="30" t="n">
        <f aca="false">Sens!H3996+(Sens!I3991+Sens!I3992)*nonnv*a_mai</f>
        <v>1261.74097036</v>
      </c>
      <c r="J3996" s="30" t="n">
        <f aca="false">Sens!I3996+(Sens!J3991+Sens!J3992)*nonnv*a_mai</f>
        <v>1475.5571937672</v>
      </c>
      <c r="K3996" s="30" t="n">
        <f aca="false">Sens!J3996+(Sens!K3991+Sens!K3992)*nonnv*a_mai</f>
        <v>1672.88390958022</v>
      </c>
      <c r="L3996" s="12" t="s">
        <v>970</v>
      </c>
    </row>
    <row r="3997" customFormat="false" ht="17.15" hidden="false" customHeight="false" outlineLevel="0" collapsed="false">
      <c r="A3997" s="1" t="s">
        <v>971</v>
      </c>
      <c r="B3997" s="0" t="s">
        <v>459</v>
      </c>
      <c r="C3997" s="30" t="n">
        <v>0</v>
      </c>
      <c r="D3997" s="30" t="n">
        <v>0</v>
      </c>
      <c r="E3997" s="30" t="n">
        <v>0</v>
      </c>
      <c r="F3997" s="30" t="n">
        <f aca="false">Sens!E3997+(Sens!F3991+Sens!F3992)*(1-a_g3_27)</f>
        <v>981.552636</v>
      </c>
      <c r="G3997" s="30" t="n">
        <f aca="false">Sens!F3997+(Sens!G3991+Sens!G3992)*(1-a_g3_28)</f>
        <v>3271.84212</v>
      </c>
      <c r="H3997" s="30" t="n">
        <f aca="false">Sens!G3997+(Sens!H3991+Sens!H3992)*(1-a_g3_29)</f>
        <v>6216.500028</v>
      </c>
      <c r="I3997" s="30" t="n">
        <f aca="false">Sens!H3997+(Sens!I3991+Sens!I3992)*(1-a_g3_29)</f>
        <v>8738.19503724</v>
      </c>
      <c r="J3997" s="30" t="n">
        <f aca="false">Sens!I3997+(Sens!J3991+Sens!J3992)*(1-a_g3_29)</f>
        <v>10662.5410479048</v>
      </c>
      <c r="K3997" s="30" t="n">
        <f aca="false">Sens!J3997+(Sens!K3991+Sens!K3992)*(1-a_g3_29)</f>
        <v>12438.4814902219</v>
      </c>
    </row>
    <row r="3998" customFormat="false" ht="17.15" hidden="false" customHeight="false" outlineLevel="0" collapsed="false">
      <c r="A3998" s="1" t="s">
        <v>972</v>
      </c>
      <c r="B3998" s="0" t="s">
        <v>403</v>
      </c>
      <c r="C3998" s="15" t="n">
        <f aca="false">(Sens!C3993*tk_hold_h100+Sens!C3994*tk_hold_gb200+Sens!C3995*tk_hold_gb300+Sens!C3997*tk_hold_vr200+Sens!C3996*nv_hold_mai*tk_hold_vr200)/Sens!C3985</f>
        <v>9.7235358126469</v>
      </c>
      <c r="D3998" s="15" t="n">
        <f aca="false">(Sens!D3993*tk_hold_h100+Sens!D3994*tk_hold_gb200+Sens!D3995*tk_hold_gb300+Sens!D3997*tk_hold_vr200+Sens!D3996*nv_hold_mai*tk_hold_vr200)/Sens!D3985</f>
        <v>9.7235358126469</v>
      </c>
      <c r="E3998" s="15" t="n">
        <f aca="false">(Sens!E3993*tk_hold_h100+Sens!E3994*tk_hold_gb200+Sens!E3995*tk_hold_gb300+Sens!E3997*tk_hold_vr200+Sens!E3996*nv_hold_mai*tk_hold_vr200)/Sens!E3985</f>
        <v>9.7235358126469</v>
      </c>
      <c r="F3998" s="15" t="n">
        <f aca="false">(Sens!F3993*tk_hold_h100+Sens!F3994*tk_hold_gb200+Sens!F3995*tk_hold_gb300+Sens!F3997*tk_hold_vr200+Sens!F3996*nv_hold_mai*tk_hold_vr200)/Sens!F3985</f>
        <v>10.2689692313307</v>
      </c>
      <c r="G3998" s="15" t="n">
        <f aca="false">(Sens!G3993*tk_hold_h100+Sens!G3994*tk_hold_gb200+Sens!G3995*tk_hold_gb300+Sens!G3997*tk_hold_vr200+Sens!G3996*nv_hold_mai*tk_hold_vr200)/Sens!G3985</f>
        <v>10.6289089323929</v>
      </c>
      <c r="H3998" s="15" t="n">
        <f aca="false">(Sens!H3993*tk_hold_h100+Sens!H3994*tk_hold_gb200+Sens!H3995*tk_hold_gb300+Sens!H3997*tk_hold_vr200+Sens!H3996*nv_hold_mai*tk_hold_vr200)/Sens!H3985</f>
        <v>10.8756428486304</v>
      </c>
      <c r="I3998" s="15" t="n">
        <f aca="false">(Sens!I3993*tk_hold_h100+Sens!I3994*tk_hold_gb200+Sens!I3995*tk_hold_gb300+Sens!I3997*tk_hold_vr200+Sens!I3996*nv_hold_mai*tk_hold_vr200)/Sens!I3985</f>
        <v>11.0469250311643</v>
      </c>
      <c r="J3998" s="15" t="n">
        <f aca="false">(Sens!J3993*tk_hold_h100+Sens!J3994*tk_hold_gb200+Sens!J3995*tk_hold_gb300+Sens!J3997*tk_hold_vr200+Sens!J3996*nv_hold_mai*tk_hold_vr200)/Sens!J3985</f>
        <v>11.1776048375843</v>
      </c>
      <c r="K3998" s="15" t="n">
        <f aca="false">(Sens!K3993*tk_hold_h100+Sens!K3994*tk_hold_gb200+Sens!K3995*tk_hold_gb300+Sens!K3997*tk_hold_vr200+Sens!K3996*nv_hold_mai*tk_hold_vr200)/Sens!K3985</f>
        <v>11.3511694689919</v>
      </c>
      <c r="L3998" s="1" t="s">
        <v>973</v>
      </c>
    </row>
    <row r="3999" customFormat="false" ht="17.15" hidden="false" customHeight="false" outlineLevel="0" collapsed="false">
      <c r="A3999" s="1" t="s">
        <v>974</v>
      </c>
      <c r="B3999" s="0" t="s">
        <v>403</v>
      </c>
      <c r="C3999" s="15" t="n">
        <f aca="false">(Sens!C3993*tk_hold_h100+Sens!C3994*tk_hold_gb200+Sens!C3995*tk_hold_gb300+Sens!C3997*tk_hold_vr200+Sens!C3996*nv_out_mai*tk_hold_vr200)/Sens!C3985</f>
        <v>9.7235358126469</v>
      </c>
      <c r="D3999" s="15" t="n">
        <f aca="false">(Sens!D3993*tk_hold_h100+Sens!D3994*tk_hold_gb200+Sens!D3995*tk_hold_gb300+Sens!D3997*tk_hold_vr200+Sens!D3996*nv_out_mai*tk_hold_vr200)/Sens!D3985</f>
        <v>9.7235358126469</v>
      </c>
      <c r="E3999" s="15" t="n">
        <f aca="false">(Sens!E3993*tk_hold_h100+Sens!E3994*tk_hold_gb200+Sens!E3995*tk_hold_gb300+Sens!E3997*tk_hold_vr200+Sens!E3996*nv_out_mai*tk_hold_vr200)/Sens!E3985</f>
        <v>9.7235358126469</v>
      </c>
      <c r="F3999" s="15" t="n">
        <f aca="false">(Sens!F3993*tk_hold_h100+Sens!F3994*tk_hold_gb200+Sens!F3995*tk_hold_gb300+Sens!F3997*tk_hold_vr200+Sens!F3996*nv_out_mai*tk_hold_vr200)/Sens!F3985</f>
        <v>10.2996352688042</v>
      </c>
      <c r="G3999" s="15" t="n">
        <f aca="false">(Sens!G3993*tk_hold_h100+Sens!G3994*tk_hold_gb200+Sens!G3995*tk_hold_gb300+Sens!G3997*tk_hold_vr200+Sens!G3996*nv_out_mai*tk_hold_vr200)/Sens!G3985</f>
        <v>10.6697513875807</v>
      </c>
      <c r="H3999" s="15" t="n">
        <f aca="false">(Sens!H3993*tk_hold_h100+Sens!H3994*tk_hold_gb200+Sens!H3995*tk_hold_gb300+Sens!H3997*tk_hold_vr200+Sens!H3996*nv_out_mai*tk_hold_vr200)/Sens!H3985</f>
        <v>10.92156500653</v>
      </c>
      <c r="I3999" s="15" t="n">
        <f aca="false">(Sens!I3993*tk_hold_h100+Sens!I3994*tk_hold_gb200+Sens!I3995*tk_hold_gb300+Sens!I3997*tk_hold_vr200+Sens!I3996*nv_out_mai*tk_hold_vr200)/Sens!I3985</f>
        <v>11.097081000036</v>
      </c>
      <c r="J3999" s="15" t="n">
        <f aca="false">(Sens!J3993*tk_hold_h100+Sens!J3994*tk_hold_gb200+Sens!J3995*tk_hold_gb300+Sens!J3997*tk_hold_vr200+Sens!J3996*nv_out_mai*tk_hold_vr200)/Sens!J3985</f>
        <v>11.2313716532703</v>
      </c>
      <c r="K3999" s="15" t="n">
        <f aca="false">(Sens!K3993*tk_hold_h100+Sens!K3994*tk_hold_gb200+Sens!K3995*tk_hold_gb300+Sens!K3997*tk_hold_vr200+Sens!K3996*nv_out_mai*tk_hold_vr200)/Sens!K3985</f>
        <v>11.4103510888253</v>
      </c>
      <c r="L3999" s="12" t="s">
        <v>975</v>
      </c>
    </row>
    <row r="4000" customFormat="false" ht="17.15" hidden="false" customHeight="false" outlineLevel="0" collapsed="false">
      <c r="A4000" s="0" t="s">
        <v>976</v>
      </c>
      <c r="B4000" s="0" t="s">
        <v>229</v>
      </c>
      <c r="C4000" s="15" t="n">
        <f aca="false">k_B</f>
        <v>1.17213932619116</v>
      </c>
      <c r="D4000" s="15" t="n">
        <f aca="false">k_B</f>
        <v>1.17213932619116</v>
      </c>
      <c r="E4000" s="15" t="n">
        <f aca="false">k_B</f>
        <v>1.17213932619116</v>
      </c>
      <c r="F4000" s="15" t="n">
        <f aca="false">(k_B+((ls_B*k_long+(1-ls_B)*k_spot)-k_B)*MIN(1,(Sens!F3983-base_fy)/k_ramp))</f>
        <v>1.17213932619116</v>
      </c>
      <c r="G4000" s="15" t="n">
        <f aca="false">(k_B+((ls_B*k_long+(1-ls_B)*k_spot)-k_B)*MIN(1,(Sens!G3983-base_fy)/k_ramp))</f>
        <v>1.17213932619116</v>
      </c>
      <c r="H4000" s="15" t="n">
        <f aca="false">(k_B+((ls_B*k_long+(1-ls_B)*k_spot)-k_B)*MIN(1,(Sens!H3983-base_fy)/k_ramp))</f>
        <v>1.17213932619116</v>
      </c>
      <c r="I4000" s="15" t="n">
        <f aca="false">(k_B+((ls_B*k_long+(1-ls_B)*k_spot)-k_B)*MIN(1,(Sens!I3983-base_fy)/k_ramp))</f>
        <v>1.17213932619116</v>
      </c>
      <c r="J4000" s="15" t="n">
        <f aca="false">(k_B+((ls_B*k_long+(1-ls_B)*k_spot)-k_B)*MIN(1,(Sens!J3983-base_fy)/k_ramp))</f>
        <v>1.17213932619116</v>
      </c>
      <c r="K4000" s="15" t="n">
        <f aca="false">(k_B+((ls_B*k_long+(1-ls_B)*k_spot)-k_B)*MIN(1,(Sens!K3983-base_fy)/k_ramp))</f>
        <v>1.17213932619116</v>
      </c>
      <c r="L4000" s="1" t="s">
        <v>977</v>
      </c>
    </row>
    <row r="4001" customFormat="false" ht="17.15" hidden="false" customHeight="false" outlineLevel="0" collapsed="false">
      <c r="A4001" s="1" t="s">
        <v>978</v>
      </c>
      <c r="B4001" s="0" t="s">
        <v>403</v>
      </c>
      <c r="C4001" s="15" t="n">
        <f aca="false">Sens!C3999*Sens!C4000*chip_f</f>
        <v>11.3973387156315</v>
      </c>
      <c r="D4001" s="15" t="n">
        <f aca="false">Sens!D3999*Sens!D4000*chip_f</f>
        <v>11.3973387156315</v>
      </c>
      <c r="E4001" s="15" t="n">
        <f aca="false">Sens!E3999*Sens!E4000*chip_f</f>
        <v>11.3973387156315</v>
      </c>
      <c r="F4001" s="15" t="n">
        <f aca="false">Sens!F3999*Sens!F4000*chip_f</f>
        <v>12.0726075439908</v>
      </c>
      <c r="G4001" s="15" t="n">
        <f aca="false">Sens!G3999*Sens!G4000*chip_f</f>
        <v>12.506435202066</v>
      </c>
      <c r="H4001" s="15" t="n">
        <f aca="false">Sens!H3999*Sens!H4000*chip_f</f>
        <v>12.8015958477069</v>
      </c>
      <c r="I4001" s="15" t="n">
        <f aca="false">Sens!I3999*Sens!I4000*chip_f</f>
        <v>13.0073250460709</v>
      </c>
      <c r="J4001" s="15" t="n">
        <f aca="false">Sens!J3999*Sens!J4000*chip_f</f>
        <v>13.1647324018667</v>
      </c>
      <c r="K4001" s="15" t="n">
        <f aca="false">Sens!K3999*Sens!K4000*chip_f</f>
        <v>13.3745212368602</v>
      </c>
      <c r="L4001" s="1" t="s">
        <v>979</v>
      </c>
    </row>
    <row r="4002" customFormat="false" ht="17.15" hidden="false" customHeight="false" outlineLevel="0" collapsed="false">
      <c r="A4002" s="0" t="s">
        <v>980</v>
      </c>
      <c r="B4002" s="0" t="s">
        <v>98</v>
      </c>
      <c r="D4002" s="6" t="n">
        <f aca="false">(Sens!C3985+Sens!D3985)/2*Sens!D4001/1000</f>
        <v>12.9359794422418</v>
      </c>
      <c r="E4002" s="6" t="n">
        <f aca="false">(Sens!D3985+Sens!E3985)/2*Sens!E4001/1000</f>
        <v>27.8095064661409</v>
      </c>
      <c r="F4002" s="6" t="n">
        <f aca="false">(Sens!E3985+Sens!F3985)/2*Sens!F4001/1000</f>
        <v>58.9858074482995</v>
      </c>
      <c r="G4002" s="6" t="n">
        <f aca="false">(Sens!F3985+Sens!G3985)/2*Sens!G4001/1000</f>
        <v>102.02453660447</v>
      </c>
      <c r="H4002" s="6" t="n">
        <f aca="false">(Sens!G3985+Sens!H3985)/2*Sens!H4001/1000</f>
        <v>146.317187749409</v>
      </c>
      <c r="I4002" s="6" t="n">
        <f aca="false">(Sens!H3985+Sens!I3985)/2*Sens!I4001/1000</f>
        <v>184.983257321929</v>
      </c>
      <c r="J4002" s="6" t="n">
        <f aca="false">(Sens!I3985+Sens!J3985)/2*Sens!J4001/1000</f>
        <v>211.642699614739</v>
      </c>
      <c r="K4002" s="6" t="n">
        <f aca="false">(Sens!J3985+Sens!K3985)/2*Sens!K4001/1000</f>
        <v>227.730721787983</v>
      </c>
      <c r="L4002" s="12" t="s">
        <v>981</v>
      </c>
    </row>
    <row r="4003" customFormat="false" ht="17.15" hidden="false" customHeight="false" outlineLevel="0" collapsed="false">
      <c r="A4003" s="1" t="s">
        <v>982</v>
      </c>
      <c r="B4003" s="0" t="s">
        <v>403</v>
      </c>
      <c r="C4003" s="15" t="n">
        <f aca="false">(Sens!C3993*tk_opex_h100+Sens!C3994*tk_opex_gb200+Sens!C3995*tk_opex_gb300+(Sens!C3997+Sens!C3996)*tk_opex_vr200)/Sens!C3985</f>
        <v>1.88636041306092</v>
      </c>
      <c r="D4003" s="15" t="n">
        <f aca="false">(Sens!D3993*tk_opex_h100+Sens!D3994*tk_opex_gb200+Sens!D3995*tk_opex_gb300+(Sens!D3997+Sens!D3996)*tk_opex_vr200)/Sens!D3985</f>
        <v>1.88636041306092</v>
      </c>
      <c r="E4003" s="15" t="n">
        <f aca="false">(Sens!E3993*tk_opex_h100+Sens!E3994*tk_opex_gb200+Sens!E3995*tk_opex_gb300+(Sens!E3997+Sens!E3996)*tk_opex_vr200)/Sens!E3985</f>
        <v>1.88636041306092</v>
      </c>
      <c r="F4003" s="15" t="n">
        <f aca="false">(Sens!F3993*tk_opex_h100+Sens!F3994*tk_opex_gb200+Sens!F3995*tk_opex_gb300+(Sens!F3997+Sens!F3996)*tk_opex_vr200)/Sens!F3985</f>
        <v>1.95690523121485</v>
      </c>
      <c r="G4003" s="15" t="n">
        <f aca="false">(Sens!G3993*tk_opex_h100+Sens!G3994*tk_opex_gb200+Sens!G3995*tk_opex_gb300+(Sens!G3997+Sens!G3996)*tk_opex_vr200)/Sens!G3985</f>
        <v>1.99512968065993</v>
      </c>
      <c r="H4003" s="15" t="n">
        <f aca="false">(Sens!H3993*tk_opex_h100+Sens!H3994*tk_opex_gb200+Sens!H3995*tk_opex_gb300+(Sens!H3997+Sens!H3996)*tk_opex_vr200)/Sens!H3985</f>
        <v>2.01976225803135</v>
      </c>
      <c r="I4003" s="15" t="n">
        <f aca="false">(Sens!I3993*tk_opex_h100+Sens!I3994*tk_opex_gb200+Sens!I3995*tk_opex_gb300+(Sens!I3997+Sens!I3996)*tk_opex_vr200)/Sens!I3985</f>
        <v>2.03744787525749</v>
      </c>
      <c r="J4003" s="15" t="n">
        <f aca="false">(Sens!J3993*tk_opex_h100+Sens!J3994*tk_opex_gb200+Sens!J3995*tk_opex_gb300+(Sens!J3997+Sens!J3996)*tk_opex_vr200)/Sens!J3985</f>
        <v>2.05125627122296</v>
      </c>
      <c r="K4003" s="15" t="n">
        <f aca="false">(Sens!K3993*tk_opex_h100+Sens!K3994*tk_opex_gb200+Sens!K3995*tk_opex_gb300+(Sens!K3997+Sens!K3996)*tk_opex_vr200)/Sens!K3985</f>
        <v>2.07010859619451</v>
      </c>
      <c r="L4003" s="12" t="s">
        <v>983</v>
      </c>
    </row>
    <row r="4004" customFormat="false" ht="17.15" hidden="false" customHeight="false" outlineLevel="0" collapsed="false">
      <c r="A4004" s="0" t="s">
        <v>984</v>
      </c>
      <c r="B4004" s="0" t="s">
        <v>98</v>
      </c>
      <c r="D4004" s="6" t="n">
        <f aca="false">(Sens!C3988+Sens!D3988)/2*Sens!D4003/1000</f>
        <v>2.70378325872065</v>
      </c>
      <c r="E4004" s="6" t="n">
        <f aca="false">(Sens!D3988+Sens!E3988)/2*Sens!E4003/1000</f>
        <v>6.17783035277451</v>
      </c>
      <c r="F4004" s="6" t="n">
        <f aca="false">(Sens!E3988+Sens!F3988)/2*Sens!F4003/1000</f>
        <v>13.8057089427225</v>
      </c>
      <c r="G4004" s="6" t="n">
        <f aca="false">(Sens!F3988+Sens!G3988)/2*Sens!G4003/1000</f>
        <v>24.6124623493897</v>
      </c>
      <c r="H4004" s="6" t="n">
        <f aca="false">(Sens!G3988+Sens!H3988)/2*Sens!H4003/1000</f>
        <v>35.930241903439</v>
      </c>
      <c r="I4004" s="6" t="n">
        <f aca="false">(Sens!H3988+Sens!I3988)/2*Sens!I4003/1000</f>
        <v>45.7253153845642</v>
      </c>
      <c r="J4004" s="6" t="n">
        <f aca="false">(Sens!I3988+Sens!J3988)/2*Sens!J4003/1000</f>
        <v>52.3770881234055</v>
      </c>
      <c r="K4004" s="6" t="n">
        <f aca="false">(Sens!J3988+Sens!K3988)/2*Sens!K4003/1000</f>
        <v>56.1386040177415</v>
      </c>
    </row>
    <row r="4005" customFormat="false" ht="17.15" hidden="false" customHeight="false" outlineLevel="0" collapsed="false">
      <c r="A4005" s="0" t="s">
        <v>985</v>
      </c>
      <c r="B4005" s="0" t="s">
        <v>98</v>
      </c>
      <c r="D4005" s="6" t="n">
        <f aca="false">(Sens!C3986+Sens!D3986)/2*rent_mw/1000</f>
        <v>2.44475</v>
      </c>
      <c r="E4005" s="6" t="n">
        <f aca="false">(Sens!D3986+Sens!E3986)/2*rent_mw/1000</f>
        <v>4.22275</v>
      </c>
      <c r="F4005" s="6" t="n">
        <f aca="false">(Sens!E3986+Sens!F3986)/2*rent_mw/1000</f>
        <v>5.80517</v>
      </c>
      <c r="G4005" s="6" t="n">
        <f aca="false">(Sens!F3986+Sens!G3986)/2*rent_mw/1000</f>
        <v>6.72084</v>
      </c>
      <c r="H4005" s="6" t="n">
        <f aca="false">(Sens!G3986+Sens!H3986)/2*rent_mw/1000</f>
        <v>6.72084</v>
      </c>
      <c r="I4005" s="6" t="n">
        <f aca="false">(Sens!H3986+Sens!I3986)/2*rent_mw/1000</f>
        <v>6.72084</v>
      </c>
      <c r="J4005" s="6" t="n">
        <f aca="false">(Sens!I3986+Sens!J3986)/2*rent_mw/1000</f>
        <v>6.72084</v>
      </c>
      <c r="K4005" s="6" t="n">
        <f aca="false">(Sens!J3986+Sens!K3986)/2*rent_mw/1000</f>
        <v>6.72084</v>
      </c>
    </row>
    <row r="4006" customFormat="false" ht="17.15" hidden="false" customHeight="false" outlineLevel="0" collapsed="false">
      <c r="A4006" s="0" t="s">
        <v>986</v>
      </c>
      <c r="B4006" s="0" t="s">
        <v>98</v>
      </c>
      <c r="D4006" s="6" t="n">
        <f aca="false">(Sens!C3988+Sens!D3988)/2*(1-self_build)*fac_rent/1000</f>
        <v>0.853242375631075</v>
      </c>
      <c r="E4006" s="6" t="n">
        <f aca="false">(Sens!D3988+Sens!E3988)/2*(1-self_build)*fac_rent/1000</f>
        <v>1.94955961408728</v>
      </c>
      <c r="F4006" s="6" t="n">
        <f aca="false">(Sens!E3988+Sens!F3988)/2*(1-self_build)*fac_rent/1000</f>
        <v>4.19966002452699</v>
      </c>
      <c r="G4006" s="6" t="n">
        <f aca="false">(Sens!F3988+Sens!G3988)/2*(1-self_build)*fac_rent/1000</f>
        <v>7.34360232507189</v>
      </c>
      <c r="H4006" s="6" t="n">
        <f aca="false">(Sens!G3988+Sens!H3988)/2*(1-self_build)*fac_rent/1000</f>
        <v>10.5897352822331</v>
      </c>
      <c r="I4006" s="6" t="n">
        <f aca="false">(Sens!H3988+Sens!I3988)/2*(1-self_build)*fac_rent/1000</f>
        <v>13.359660386555</v>
      </c>
      <c r="J4006" s="6" t="n">
        <f aca="false">(Sens!I3988+Sens!J3988)/2*(1-self_build)*fac_rent/1000</f>
        <v>15.2001069577134</v>
      </c>
      <c r="K4006" s="6" t="n">
        <f aca="false">(Sens!J3988+Sens!K3988)/2*(1-self_build)*fac_rent/1000</f>
        <v>16.1433512203281</v>
      </c>
      <c r="L4006" s="12" t="s">
        <v>987</v>
      </c>
    </row>
    <row r="4007" customFormat="false" ht="17.15" hidden="false" customHeight="false" outlineLevel="0" collapsed="false">
      <c r="A4007" s="1" t="s">
        <v>988</v>
      </c>
      <c r="B4007" s="0" t="s">
        <v>168</v>
      </c>
      <c r="D4007" s="7" t="n">
        <f aca="false">(Sens!C3987+Sens!D3987)/(Sens!C3988+Sens!D3988)</f>
        <v>0.6</v>
      </c>
      <c r="E4007" s="7" t="n">
        <f aca="false">(Sens!D3987+Sens!E3987)/(Sens!D3988+Sens!E3988)</f>
        <v>0.6</v>
      </c>
      <c r="F4007" s="7" t="n">
        <f aca="false">(Sens!E3987+Sens!F3987)/(Sens!E3988+Sens!F3988)</f>
        <v>0.6</v>
      </c>
      <c r="G4007" s="7" t="n">
        <f aca="false">(Sens!F3987+Sens!G3987)/(Sens!F3988+Sens!G3988)</f>
        <v>0.6</v>
      </c>
      <c r="H4007" s="7" t="n">
        <f aca="false">(Sens!G3987+Sens!H3987)/(Sens!G3988+Sens!H3988)</f>
        <v>0.6</v>
      </c>
      <c r="I4007" s="7" t="n">
        <f aca="false">(Sens!H3987+Sens!I3987)/(Sens!H3988+Sens!I3988)</f>
        <v>0.6</v>
      </c>
      <c r="J4007" s="7" t="n">
        <f aca="false">(Sens!I3987+Sens!J3987)/(Sens!I3988+Sens!J3988)</f>
        <v>0.6</v>
      </c>
      <c r="K4007" s="7" t="n">
        <f aca="false">(Sens!J3987+Sens!K3987)/(Sens!J3988+Sens!K3988)</f>
        <v>0.6</v>
      </c>
    </row>
    <row r="4008" customFormat="false" ht="17.15" hidden="false" customHeight="false" outlineLevel="0" collapsed="false">
      <c r="A4008" s="0" t="s">
        <v>989</v>
      </c>
      <c r="B4008" s="0" t="s">
        <v>98</v>
      </c>
      <c r="D4008" s="6" t="n">
        <f aca="false">Sens!D4002-Sens!D4007*(Sens!D4004+Sens!D4006)-Sens!D4005</f>
        <v>8.35701406163072</v>
      </c>
      <c r="E4008" s="6" t="n">
        <f aca="false">Sens!E4002-Sens!E4007*(Sens!E4004+Sens!E4006)-Sens!E4005</f>
        <v>18.7103224860238</v>
      </c>
      <c r="F4008" s="6" t="n">
        <f aca="false">Sens!F4002-Sens!F4007*(Sens!F4004+Sens!F4006)-Sens!F4005</f>
        <v>42.3774160679498</v>
      </c>
      <c r="G4008" s="6" t="n">
        <f aca="false">Sens!G4002-Sens!G4007*(Sens!G4004+Sens!G4006)-Sens!G4005</f>
        <v>76.1300577997932</v>
      </c>
      <c r="H4008" s="6" t="n">
        <f aca="false">Sens!H4002-Sens!H4007*(Sens!H4004+Sens!H4006)-Sens!H4005</f>
        <v>111.684361438006</v>
      </c>
      <c r="I4008" s="6" t="n">
        <f aca="false">Sens!I4002-Sens!I4007*(Sens!I4004+Sens!I4006)-Sens!I4005</f>
        <v>142.811431859258</v>
      </c>
      <c r="J4008" s="6" t="n">
        <f aca="false">Sens!J4002-Sens!J4007*(Sens!J4004+Sens!J4006)-Sens!J4005</f>
        <v>164.375542566068</v>
      </c>
      <c r="K4008" s="6" t="n">
        <f aca="false">Sens!K4002-Sens!K4007*(Sens!K4004+Sens!K4006)-Sens!K4005</f>
        <v>177.640708645141</v>
      </c>
    </row>
    <row r="4009" customFormat="false" ht="17.15" hidden="false" customHeight="false" outlineLevel="0" collapsed="false">
      <c r="A4009" s="1" t="s">
        <v>990</v>
      </c>
      <c r="B4009" s="0" t="s">
        <v>98</v>
      </c>
      <c r="D4009" s="6" t="n">
        <f aca="false">(1-Sens!D4007)*(Sens!D4004+Sens!D4006)</f>
        <v>1.42281025374069</v>
      </c>
      <c r="E4009" s="6" t="n">
        <f aca="false">(1-Sens!E4007)*(Sens!E4004+Sens!E4006)</f>
        <v>3.25095598674472</v>
      </c>
      <c r="F4009" s="6" t="n">
        <f aca="false">(1-Sens!F4007)*(Sens!F4004+Sens!F4006)</f>
        <v>7.2021475868998</v>
      </c>
      <c r="G4009" s="6" t="n">
        <f aca="false">(1-Sens!G4007)*(Sens!G4004+Sens!G4006)</f>
        <v>12.7824258697846</v>
      </c>
      <c r="H4009" s="6" t="n">
        <f aca="false">(1-Sens!H4007)*(Sens!H4004+Sens!H4006)</f>
        <v>18.6079908742688</v>
      </c>
      <c r="I4009" s="6" t="n">
        <f aca="false">(1-Sens!I4007)*(Sens!I4004+Sens!I4006)</f>
        <v>23.6339903084477</v>
      </c>
      <c r="J4009" s="6" t="n">
        <f aca="false">(1-Sens!J4007)*(Sens!J4004+Sens!J4006)</f>
        <v>27.0308780324476</v>
      </c>
      <c r="K4009" s="6" t="n">
        <f aca="false">(1-Sens!K4007)*(Sens!K4004+Sens!K4006)</f>
        <v>28.9127820952278</v>
      </c>
    </row>
    <row r="4010" customFormat="false" ht="17.15" hidden="false" customHeight="false" outlineLevel="0" collapsed="false">
      <c r="A4010" s="1" t="s">
        <v>991</v>
      </c>
      <c r="B4010" s="0" t="s">
        <v>417</v>
      </c>
      <c r="C4010" s="8" t="n">
        <f aca="false">cxit_open</f>
        <v>27.5918995</v>
      </c>
      <c r="D4010" s="8" t="n">
        <f aca="false">cxit_open</f>
        <v>27.5918995</v>
      </c>
      <c r="E4010" s="8" t="n">
        <f aca="false">cxit_open</f>
        <v>27.5918995</v>
      </c>
      <c r="F4010" s="8" t="n">
        <f aca="false">((a_g3_27-nonnv*a_mai)*tk_cxit_gb300+nonnv*a_mai*nv_hold_mai*tk_cxit_vr200+(1-a_g3_27)*tk_cxit_vr200)</f>
        <v>32.4975576</v>
      </c>
      <c r="G4010" s="8" t="n">
        <f aca="false">((a_g3_28-nonnv*a_mai)*tk_cxit_gb300+nonnv*a_mai*nv_hold_mai*tk_cxit_vr200+(1-a_g3_28)*tk_cxit_vr200)</f>
        <v>34.6372088</v>
      </c>
      <c r="H4010" s="8" t="n">
        <f aca="false">((a_g3_29-nonnv*a_mai)*tk_cxit_gb300+nonnv*a_mai*nv_hold_mai*tk_cxit_vr200+(1-a_g3_29)*tk_cxit_vr200)</f>
        <v>35.7070344</v>
      </c>
      <c r="I4010" s="8" t="n">
        <f aca="false">((a_g3_29-nonnv*a_mai)*tk_cxit_gb300+nonnv*a_mai*nv_hold_mai*tk_cxit_vr200+(1-a_g3_29)*tk_cxit_vr200)</f>
        <v>35.7070344</v>
      </c>
      <c r="J4010" s="8" t="n">
        <f aca="false">((a_g3_29-nonnv*a_mai)*tk_cxit_gb300+nonnv*a_mai*nv_hold_mai*tk_cxit_vr200+(1-a_g3_29)*tk_cxit_vr200)</f>
        <v>35.7070344</v>
      </c>
      <c r="K4010" s="8" t="n">
        <f aca="false">((a_g3_29-nonnv*a_mai)*tk_cxit_gb300+nonnv*a_mai*nv_hold_mai*tk_cxit_vr200+(1-a_g3_29)*tk_cxit_vr200)</f>
        <v>35.7070344</v>
      </c>
      <c r="L4010" s="12" t="s">
        <v>992</v>
      </c>
    </row>
    <row r="4011" customFormat="false" ht="17.15" hidden="false" customHeight="false" outlineLevel="0" collapsed="false">
      <c r="A4011" s="0" t="s">
        <v>993</v>
      </c>
      <c r="B4011" s="0" t="s">
        <v>459</v>
      </c>
      <c r="F4011" s="30" t="n">
        <f aca="false">Sens!C3990*IF(Sens!F3983-Sens!C3983=life_it,1,0)+Sens!D3990*IF(Sens!F3983-Sens!D3983=life_it,1,0)+Sens!E3990*IF(Sens!F3983-Sens!E3983=life_it,1,0)</f>
        <v>0</v>
      </c>
      <c r="G4011" s="30" t="n">
        <f aca="false">Sens!C3990*IF(Sens!G3983-Sens!C3983=life_it,1,0)+Sens!D3990*IF(Sens!G3983-Sens!D3983=life_it,1,0)+Sens!E3990*IF(Sens!G3983-Sens!E3983=life_it,1,0)+Sens!F3990*IF(Sens!G3983-Sens!F3983=life_it,1,0)</f>
        <v>0</v>
      </c>
      <c r="H4011" s="30" t="n">
        <f aca="false">Sens!C3990*IF(Sens!H3983-Sens!C3983=life_it,1,0)+Sens!D3990*IF(Sens!H3983-Sens!D3983=life_it,1,0)+Sens!E3990*IF(Sens!H3983-Sens!E3983=life_it,1,0)+Sens!F3990*IF(Sens!H3983-Sens!F3983=life_it,1,0)+Sens!G3990*IF(Sens!H3983-Sens!G3983=life_it,1,0)</f>
        <v>0</v>
      </c>
      <c r="I4011" s="30" t="n">
        <f aca="false">Sens!C3990*IF(Sens!I3983-Sens!C3983=life_it,1,0)+Sens!D3990*IF(Sens!I3983-Sens!D3983=life_it,1,0)+Sens!E3990*IF(Sens!I3983-Sens!E3983=life_it,1,0)+Sens!F3990*IF(Sens!I3983-Sens!F3983=life_it,1,0)+Sens!G3990*IF(Sens!I3983-Sens!G3983=life_it,1,0)+Sens!H3990*IF(Sens!I3983-Sens!H3983=life_it,1,0)</f>
        <v>816.666666666667</v>
      </c>
      <c r="J4011" s="30" t="n">
        <f aca="false">Sens!C3990*IF(Sens!J3983-Sens!C3983=life_it,1,0)+Sens!D3990*IF(Sens!J3983-Sens!D3983=life_it,1,0)+Sens!E3990*IF(Sens!J3983-Sens!E3983=life_it,1,0)+Sens!F3990*IF(Sens!J3983-Sens!F3983=life_it,1,0)+Sens!G3990*IF(Sens!J3983-Sens!G3983=life_it,1,0)+Sens!H3990*IF(Sens!J3983-Sens!H3983=life_it,1,0)+Sens!I3990*IF(Sens!J3983-Sens!I3983=life_it,1,0)</f>
        <v>1233.33333333333</v>
      </c>
      <c r="K4011" s="30" t="n">
        <f aca="false">Sens!C3990*IF(Sens!K3983-Sens!C3983=life_it,1,0)+Sens!D3990*IF(Sens!K3983-Sens!D3983=life_it,1,0)+Sens!E3990*IF(Sens!K3983-Sens!E3983=life_it,1,0)+Sens!F3990*IF(Sens!K3983-Sens!F3983=life_it,1,0)+Sens!G3990*IF(Sens!K3983-Sens!G3983=life_it,1,0)+Sens!H3990*IF(Sens!K3983-Sens!H3983=life_it,1,0)+Sens!I3990*IF(Sens!K3983-Sens!I3983=life_it,1,0)+Sens!J3990*IF(Sens!K3983-Sens!J3983=life_it,1,0)</f>
        <v>2450</v>
      </c>
      <c r="L4011" s="1" t="s">
        <v>994</v>
      </c>
    </row>
    <row r="4012" customFormat="false" ht="17.15" hidden="false" customHeight="false" outlineLevel="0" collapsed="false">
      <c r="A4012" s="0" t="s">
        <v>995</v>
      </c>
      <c r="B4012" s="0" t="s">
        <v>98</v>
      </c>
      <c r="C4012" s="6" t="n">
        <f aca="false">Sens!C3990*Sens!C4010/1000</f>
        <v>22.5333845916667</v>
      </c>
      <c r="D4012" s="6" t="n">
        <f aca="false">Sens!D3990*Sens!D4010/1000</f>
        <v>34.0300093833333</v>
      </c>
      <c r="E4012" s="6" t="n">
        <f aca="false">Sens!E3990*Sens!E4010/1000</f>
        <v>67.600153775</v>
      </c>
      <c r="F4012" s="6" t="n">
        <f aca="false">(Sens!F3990+Sens!F4011)*Sens!F4010/1000</f>
        <v>166.053968145344</v>
      </c>
      <c r="G4012" s="6" t="n">
        <f aca="false">(Sens!G3990+Sens!G4011)*Sens!G4010/1000</f>
        <v>188.879131118458</v>
      </c>
      <c r="H4012" s="6" t="n">
        <f aca="false">(Sens!H3990+Sens!H4011)*Sens!H4010/1000</f>
        <v>194.712965217015</v>
      </c>
      <c r="I4012" s="6" t="n">
        <f aca="false">(Sens!I3990+Sens!I4011)*Sens!I4010/1000</f>
        <v>166.744908224521</v>
      </c>
      <c r="J4012" s="6" t="n">
        <f aca="false">(Sens!J3990+Sens!J4011)*Sens!J4010/1000</f>
        <v>127.245720741316</v>
      </c>
      <c r="K4012" s="6" t="n">
        <f aca="false">(Sens!K3990+Sens!K4011)*Sens!K4010/1000</f>
        <v>117.432530492906</v>
      </c>
    </row>
    <row r="4013" customFormat="false" ht="17.15" hidden="false" customHeight="false" outlineLevel="0" collapsed="false">
      <c r="A4013" s="0" t="s">
        <v>996</v>
      </c>
      <c r="B4013" s="0" t="s">
        <v>98</v>
      </c>
      <c r="C4013" s="6" t="n">
        <f aca="false">Sens!C3990*self_build*tk_cxfac/1000</f>
        <v>6.2083</v>
      </c>
      <c r="D4013" s="6" t="n">
        <f aca="false">Sens!D3990*self_build*tk_cxfac/1000</f>
        <v>9.3758</v>
      </c>
      <c r="E4013" s="6" t="n">
        <f aca="false">Sens!E3990*self_build*tk_cxfac/1000</f>
        <v>18.6249</v>
      </c>
      <c r="F4013" s="6" t="n">
        <f aca="false">Sens!F3990*self_build*tk_cxfac/1000</f>
        <v>38.8442196604</v>
      </c>
      <c r="G4013" s="6" t="n">
        <f aca="false">Sens!G3990*self_build*tk_cxfac/1000</f>
        <v>41.4542396604</v>
      </c>
      <c r="H4013" s="6" t="n">
        <f aca="false">Sens!H3990*self_build*tk_cxfac/1000</f>
        <v>41.4542396604</v>
      </c>
      <c r="I4013" s="6" t="n">
        <f aca="false">Sens!I3990*self_build*tk_cxfac/1000</f>
        <v>29.291561963412</v>
      </c>
      <c r="J4013" s="6" t="n">
        <f aca="false">Sens!J3990*self_build*tk_cxfac/1000</f>
        <v>17.7147155056922</v>
      </c>
      <c r="K4013" s="6" t="n">
        <f aca="false">Sens!K3990*self_build*tk_cxfac/1000</f>
        <v>6.3763948935091</v>
      </c>
    </row>
    <row r="4014" customFormat="false" ht="17.15" hidden="false" customHeight="false" outlineLevel="0" collapsed="false">
      <c r="A4014" s="0" t="s">
        <v>997</v>
      </c>
      <c r="B4014" s="0" t="s">
        <v>98</v>
      </c>
      <c r="F4014" s="15" t="n">
        <f aca="false">capex_floor27-Sens!F4012-Sens!F4013-Sens!F4110</f>
        <v>-36.2873063942945</v>
      </c>
      <c r="L4014" s="12" t="s">
        <v>998</v>
      </c>
    </row>
    <row r="4015" customFormat="false" ht="17.15" hidden="false" customHeight="false" outlineLevel="0" collapsed="false">
      <c r="A4015" s="0" t="s">
        <v>999</v>
      </c>
      <c r="B4015" s="0" t="s">
        <v>98</v>
      </c>
      <c r="F4015" s="6" t="n">
        <f aca="false">MAX(0,Sens!F4014)</f>
        <v>0</v>
      </c>
    </row>
    <row r="4016" customFormat="false" ht="17.15" hidden="false" customHeight="false" outlineLevel="0" collapsed="false">
      <c r="A4016" s="0" t="s">
        <v>1000</v>
      </c>
      <c r="B4016" s="0" t="s">
        <v>98</v>
      </c>
      <c r="C4016" s="6" t="n">
        <f aca="false">Sens!C4012</f>
        <v>22.5333845916667</v>
      </c>
      <c r="D4016" s="6" t="n">
        <f aca="false">Sens!D4012</f>
        <v>34.0300093833333</v>
      </c>
      <c r="E4016" s="6" t="n">
        <f aca="false">Sens!E4012</f>
        <v>67.600153775</v>
      </c>
      <c r="F4016" s="6" t="n">
        <f aca="false">Sens!F4012</f>
        <v>166.053968145344</v>
      </c>
      <c r="G4016" s="6" t="n">
        <f aca="false">Sens!G4012</f>
        <v>188.879131118458</v>
      </c>
      <c r="H4016" s="6" t="n">
        <f aca="false">Sens!H4012</f>
        <v>194.712965217015</v>
      </c>
      <c r="I4016" s="6" t="n">
        <f aca="false">Sens!I4012</f>
        <v>166.744908224521</v>
      </c>
      <c r="J4016" s="6" t="n">
        <f aca="false">Sens!J4012</f>
        <v>127.245720741316</v>
      </c>
      <c r="K4016" s="6" t="n">
        <f aca="false">Sens!K4012</f>
        <v>117.432530492906</v>
      </c>
    </row>
    <row r="4017" customFormat="false" ht="17.15" hidden="false" customHeight="false" outlineLevel="0" collapsed="false">
      <c r="A4017" s="0" t="s">
        <v>1001</v>
      </c>
      <c r="B4017" s="0" t="s">
        <v>98</v>
      </c>
      <c r="C4017" s="6" t="n">
        <f aca="false">Sens!C4016+Sens!C4013</f>
        <v>28.7416845916667</v>
      </c>
      <c r="D4017" s="6" t="n">
        <f aca="false">Sens!D4016+Sens!D4013</f>
        <v>43.4058093833333</v>
      </c>
      <c r="E4017" s="6" t="n">
        <f aca="false">Sens!E4016+Sens!E4013</f>
        <v>86.225053775</v>
      </c>
      <c r="F4017" s="6" t="n">
        <f aca="false">Sens!F4016+Sens!F4013</f>
        <v>204.898187805744</v>
      </c>
      <c r="G4017" s="6" t="n">
        <f aca="false">Sens!G4016+Sens!G4013</f>
        <v>230.333370778858</v>
      </c>
      <c r="H4017" s="6" t="n">
        <f aca="false">Sens!H4016+Sens!H4013</f>
        <v>236.167204877415</v>
      </c>
      <c r="I4017" s="6" t="n">
        <f aca="false">Sens!I4016+Sens!I4013</f>
        <v>196.036470187933</v>
      </c>
      <c r="J4017" s="6" t="n">
        <f aca="false">Sens!J4016+Sens!J4013</f>
        <v>144.960436247008</v>
      </c>
      <c r="K4017" s="6" t="n">
        <f aca="false">Sens!K4016+Sens!K4013</f>
        <v>123.808925386415</v>
      </c>
      <c r="L4017" s="12" t="s">
        <v>1002</v>
      </c>
    </row>
    <row r="4018" customFormat="false" ht="17.15" hidden="false" customHeight="false" outlineLevel="0" collapsed="false">
      <c r="A4018" s="0" t="s">
        <v>1003</v>
      </c>
      <c r="B4018" s="0" t="s">
        <v>98</v>
      </c>
      <c r="E4018" s="6" t="n">
        <f aca="false">(Sens!C4016*IF(2&lt;life_it,1,IF(2=life_it,0.5,0))+Sens!D4016*IF(1&lt;life_it,1,IF(1=life_it,0.5,0))+Sens!E4016*0.5)/life_it</f>
        <v>15.0605784770833</v>
      </c>
      <c r="F4018" s="6" t="n">
        <f aca="false">(Sens!C4016*IF(3&lt;life_it,1,IF(3=life_it,0.5,0))+Sens!D4016*IF(2&lt;life_it,1,IF(2=life_it,0.5,0))+Sens!E4016*IF(1&lt;life_it,1,IF(1=life_it,0.5,0))+Sens!F4016*0.5)/life_it</f>
        <v>34.5317553037786</v>
      </c>
      <c r="G4018" s="6" t="n">
        <f aca="false">(Sens!C4016*IF(4&lt;life_it,1,IF(4=life_it,0.5,0))+Sens!D4016*IF(3&lt;life_it,1,IF(3=life_it,0.5,0))+Sens!E4016*IF(2&lt;life_it,1,IF(2=life_it,0.5,0))+Sens!F4016*IF(1&lt;life_it,1,IF(1=life_it,0.5,0))+Sens!G4016*0.5)/life_it</f>
        <v>64.1095135757621</v>
      </c>
      <c r="H4018" s="6" t="n">
        <f aca="false">(Sens!C4016*IF(5&lt;life_it,1,IF(5=life_it,0.5,0))+Sens!D4016*IF(4&lt;life_it,1,IF(4=life_it,0.5,0))+Sens!E4016*IF(3&lt;life_it,1,IF(3=life_it,0.5,0))+Sens!F4016*IF(2&lt;life_it,1,IF(2=life_it,0.5,0))+Sens!G4016*IF(1&lt;life_it,1,IF(1=life_it,0.5,0))+Sens!H4016*0.5)/life_it</f>
        <v>96.0755216037181</v>
      </c>
      <c r="I4018" s="6" t="n">
        <f aca="false">(Sens!C4016*IF(6&lt;life_it,1,IF(6=life_it,0.5,0))+Sens!D4016*IF(5&lt;life_it,1,IF(5=life_it,0.5,0))+Sens!E4016*IF(4&lt;life_it,1,IF(4=life_it,0.5,0))+Sens!F4016*IF(3&lt;life_it,1,IF(3=life_it,0.5,0))+Sens!G4016*IF(2&lt;life_it,1,IF(2=life_it,0.5,0))+Sens!H4016*IF(1&lt;life_it,1,IF(1=life_it,0.5,0))+Sens!I4016*0.5)/life_it</f>
        <v>124.319229007874</v>
      </c>
      <c r="J4018" s="6" t="n">
        <f aca="false">(Sens!C4016*IF(7&lt;life_it,1,IF(7=life_it,0.5,0))+Sens!D4016*IF(6&lt;life_it,1,IF(6=life_it,0.5,0))+Sens!E4016*IF(5&lt;life_it,1,IF(5=life_it,0.5,0))+Sens!F4016*IF(4&lt;life_it,1,IF(4=life_it,0.5,0))+Sens!G4016*IF(3&lt;life_it,1,IF(3=life_it,0.5,0))+Sens!H4016*IF(2&lt;life_it,1,IF(2=life_it,0.5,0))+Sens!I4016*IF(1&lt;life_it,1,IF(1=life_it,0.5,0))+Sens!J4016*0.5)/life_it</f>
        <v>144.104831923777</v>
      </c>
      <c r="K4018" s="6" t="n">
        <f aca="false">(Sens!C4016*IF(8&lt;life_it,1,IF(8=life_it,0.5,0))+Sens!D4016*IF(7&lt;life_it,1,IF(7=life_it,0.5,0))+Sens!E4016*IF(6&lt;life_it,1,IF(6=life_it,0.5,0))+Sens!F4016*IF(5&lt;life_it,1,IF(5=life_it,0.5,0))+Sens!G4016*IF(4&lt;life_it,1,IF(4=life_it,0.5,0))+Sens!H4016*IF(3&lt;life_it,1,IF(3=life_it,0.5,0))+Sens!I4016*IF(2&lt;life_it,1,IF(2=life_it,0.5,0))+Sens!J4016*IF(1&lt;life_it,1,IF(1=life_it,0.5,0))+Sens!K4016*0.5)/life_it</f>
        <v>156.025505930101</v>
      </c>
    </row>
    <row r="4019" customFormat="false" ht="17.15" hidden="false" customHeight="false" outlineLevel="0" collapsed="false">
      <c r="A4019" s="0" t="s">
        <v>1004</v>
      </c>
      <c r="B4019" s="0" t="s">
        <v>98</v>
      </c>
      <c r="E4019" s="6" t="n">
        <f aca="false">(Sens!C4013*IF(2&lt;life_fac,1,IF(2=life_fac,0.5,0))+Sens!D4013*IF(1&lt;life_fac,1,IF(1=life_fac,0.5,0))+Sens!E4013*0.5)/life_fac</f>
        <v>1.2448275</v>
      </c>
      <c r="F4019" s="6" t="n">
        <f aca="false">(Sens!C4013*IF(3&lt;life_fac,1,IF(3=life_fac,0.5,0))+Sens!D4013*IF(2&lt;life_fac,1,IF(2=life_fac,0.5,0))+Sens!E4013*IF(1&lt;life_fac,1,IF(1=life_fac,0.5,0))+Sens!F4013*0.5)/life_fac</f>
        <v>2.68155549151</v>
      </c>
      <c r="G4019" s="6" t="n">
        <f aca="false">(Sens!C4013*IF(4&lt;life_fac,1,IF(4=life_fac,0.5,0))+Sens!D4013*IF(3&lt;life_fac,1,IF(3=life_fac,0.5,0))+Sens!E4013*IF(2&lt;life_fac,1,IF(2=life_fac,0.5,0))+Sens!F4013*IF(1&lt;life_fac,1,IF(1=life_fac,0.5,0))+Sens!G4013*0.5)/life_fac</f>
        <v>4.68901697453</v>
      </c>
      <c r="H4019" s="6" t="n">
        <f aca="false">(Sens!C4013*IF(5&lt;life_fac,1,IF(5=life_fac,0.5,0))+Sens!D4013*IF(4&lt;life_fac,1,IF(4=life_fac,0.5,0))+Sens!E4013*IF(3&lt;life_fac,1,IF(3=life_fac,0.5,0))+Sens!F4013*IF(2&lt;life_fac,1,IF(2=life_fac,0.5,0))+Sens!G4013*IF(1&lt;life_fac,1,IF(1=life_fac,0.5,0))+Sens!H4013*0.5)/life_fac</f>
        <v>6.76172895755</v>
      </c>
      <c r="I4019" s="6" t="n">
        <f aca="false">(Sens!C4013*IF(6&lt;life_fac,1,IF(6=life_fac,0.5,0))+Sens!D4013*IF(5&lt;life_fac,1,IF(5=life_fac,0.5,0))+Sens!E4013*IF(4&lt;life_fac,1,IF(4=life_fac,0.5,0))+Sens!F4013*IF(3&lt;life_fac,1,IF(3=life_fac,0.5,0))+Sens!G4013*IF(2&lt;life_fac,1,IF(2=life_fac,0.5,0))+Sens!H4013*IF(1&lt;life_fac,1,IF(1=life_fac,0.5,0))+Sens!I4013*0.5)/life_fac</f>
        <v>8.5303739981453</v>
      </c>
      <c r="J4019" s="6" t="n">
        <f aca="false">(Sens!C4013*IF(7&lt;life_fac,1,IF(7=life_fac,0.5,0))+Sens!D4013*IF(6&lt;life_fac,1,IF(6=life_fac,0.5,0))+Sens!E4013*IF(5&lt;life_fac,1,IF(5=life_fac,0.5,0))+Sens!F4013*IF(4&lt;life_fac,1,IF(4=life_fac,0.5,0))+Sens!G4013*IF(3&lt;life_fac,1,IF(3=life_fac,0.5,0))+Sens!H4013*IF(2&lt;life_fac,1,IF(2=life_fac,0.5,0))+Sens!I4013*IF(1&lt;life_fac,1,IF(1=life_fac,0.5,0))+Sens!J4013*0.5)/life_fac</f>
        <v>9.70553093487291</v>
      </c>
      <c r="K4019" s="6" t="n">
        <f aca="false">(Sens!C4013*IF(8&lt;life_fac,1,IF(8=life_fac,0.5,0))+Sens!D4013*IF(7&lt;life_fac,1,IF(7=life_fac,0.5,0))+Sens!E4013*IF(6&lt;life_fac,1,IF(6=life_fac,0.5,0))+Sens!F4013*IF(5&lt;life_fac,1,IF(5=life_fac,0.5,0))+Sens!G4013*IF(4&lt;life_fac,1,IF(4=life_fac,0.5,0))+Sens!H4013*IF(3&lt;life_fac,1,IF(3=life_fac,0.5,0))+Sens!I4013*IF(2&lt;life_fac,1,IF(2=life_fac,0.5,0))+Sens!J4013*IF(1&lt;life_fac,1,IF(1=life_fac,0.5,0))+Sens!K4013*0.5)/life_fac</f>
        <v>10.3078086948529</v>
      </c>
    </row>
    <row r="4020" customFormat="false" ht="17.15" hidden="false" customHeight="false" outlineLevel="0" collapsed="false">
      <c r="A4020" s="0" t="s">
        <v>1005</v>
      </c>
      <c r="B4020" s="0" t="s">
        <v>98</v>
      </c>
      <c r="E4020" s="6" t="n">
        <f aca="false">Sens!E4018+Sens!E4019</f>
        <v>16.3054059770833</v>
      </c>
      <c r="F4020" s="6" t="n">
        <f aca="false">Sens!F4018+Sens!F4019</f>
        <v>37.2133107952886</v>
      </c>
      <c r="G4020" s="6" t="n">
        <f aca="false">Sens!G4018+Sens!G4019</f>
        <v>68.7985305502921</v>
      </c>
      <c r="H4020" s="6" t="n">
        <f aca="false">Sens!H4018+Sens!H4019</f>
        <v>102.837250561268</v>
      </c>
      <c r="I4020" s="6" t="n">
        <f aca="false">Sens!I4018+Sens!I4019</f>
        <v>132.849603006019</v>
      </c>
      <c r="J4020" s="6" t="n">
        <f aca="false">Sens!J4018+Sens!J4019</f>
        <v>153.81036285865</v>
      </c>
      <c r="K4020" s="6" t="n">
        <f aca="false">Sens!K4018+Sens!K4019</f>
        <v>166.333314624954</v>
      </c>
    </row>
    <row r="4021" customFormat="false" ht="17.15" hidden="false" customHeight="false" outlineLevel="0" collapsed="false">
      <c r="A4021" s="0" t="s">
        <v>1006</v>
      </c>
      <c r="B4021" s="0" t="s">
        <v>98</v>
      </c>
      <c r="E4021" s="6" t="n">
        <f aca="false">Sens!E4008-Sens!E4007*Sens!E4020</f>
        <v>8.92707889977379</v>
      </c>
      <c r="F4021" s="6" t="n">
        <f aca="false">Sens!F4008-Sens!F4007*Sens!F4020</f>
        <v>20.0494295907766</v>
      </c>
      <c r="G4021" s="6" t="n">
        <f aca="false">Sens!G4008-Sens!G4007*Sens!G4020</f>
        <v>34.850939469618</v>
      </c>
      <c r="H4021" s="6" t="n">
        <f aca="false">Sens!H4008-Sens!H4007*Sens!H4020</f>
        <v>49.9820111012452</v>
      </c>
      <c r="I4021" s="6" t="n">
        <f aca="false">Sens!I4008-Sens!I4007*Sens!I4020</f>
        <v>63.1016700556461</v>
      </c>
      <c r="J4021" s="6" t="n">
        <f aca="false">Sens!J4008-Sens!J4007*Sens!J4020</f>
        <v>72.0893248508782</v>
      </c>
      <c r="K4021" s="6" t="n">
        <f aca="false">Sens!K4008-Sens!K4007*Sens!K4020</f>
        <v>77.8407198701686</v>
      </c>
    </row>
    <row r="4022" customFormat="false" ht="17.15" hidden="false" customHeight="false" outlineLevel="0" collapsed="false">
      <c r="A4022" s="3" t="s">
        <v>1711</v>
      </c>
    </row>
    <row r="4023" customFormat="false" ht="15" hidden="false" customHeight="false" outlineLevel="0" collapsed="false">
      <c r="A4023" s="4" t="s">
        <v>43</v>
      </c>
      <c r="B4023" s="4" t="s">
        <v>65</v>
      </c>
      <c r="C4023" s="23" t="s">
        <v>942</v>
      </c>
      <c r="D4023" s="23" t="s">
        <v>943</v>
      </c>
      <c r="E4023" s="23" t="s">
        <v>944</v>
      </c>
      <c r="F4023" s="23" t="s">
        <v>945</v>
      </c>
      <c r="G4023" s="23" t="s">
        <v>946</v>
      </c>
      <c r="H4023" s="23" t="s">
        <v>947</v>
      </c>
      <c r="I4023" s="23" t="s">
        <v>948</v>
      </c>
      <c r="J4023" s="23" t="s">
        <v>949</v>
      </c>
      <c r="K4023" s="23" t="s">
        <v>950</v>
      </c>
      <c r="L4023" s="4" t="s">
        <v>47</v>
      </c>
    </row>
    <row r="4024" customFormat="false" ht="17.15" hidden="false" customHeight="false" outlineLevel="0" collapsed="false">
      <c r="A4024" s="0" t="s">
        <v>1025</v>
      </c>
      <c r="B4024" s="0" t="s">
        <v>98</v>
      </c>
      <c r="D4024" s="6" t="n">
        <f aca="false">Sens!D4002</f>
        <v>12.9359794422418</v>
      </c>
      <c r="E4024" s="6" t="n">
        <f aca="false">Sens!E4002</f>
        <v>27.8095064661409</v>
      </c>
      <c r="F4024" s="6" t="n">
        <f aca="false">Sens!F4002</f>
        <v>58.9858074482995</v>
      </c>
      <c r="G4024" s="6" t="n">
        <f aca="false">Sens!G4002</f>
        <v>102.02453660447</v>
      </c>
      <c r="H4024" s="6" t="n">
        <f aca="false">Sens!H4002</f>
        <v>146.317187749409</v>
      </c>
      <c r="I4024" s="6" t="n">
        <f aca="false">Sens!I4002</f>
        <v>184.983257321929</v>
      </c>
      <c r="J4024" s="6" t="n">
        <f aca="false">Sens!J4002</f>
        <v>211.642699614739</v>
      </c>
      <c r="K4024" s="6" t="n">
        <f aca="false">Sens!K4002</f>
        <v>227.730721787983</v>
      </c>
    </row>
    <row r="4025" customFormat="false" ht="17.15" hidden="false" customHeight="false" outlineLevel="0" collapsed="false">
      <c r="A4025" s="0" t="s">
        <v>1026</v>
      </c>
      <c r="B4025" s="0" t="s">
        <v>98</v>
      </c>
      <c r="D4025" s="6" t="n">
        <f aca="false">Q!L6-Sens!D4024</f>
        <v>59.6740205577583</v>
      </c>
      <c r="E4025" s="6" t="n">
        <f aca="false">Q!M6-Sens!E4024</f>
        <v>74.1284935338591</v>
      </c>
      <c r="F4025" s="6" t="n">
        <f aca="false">Q!$I$6+(Sens!F4024+Sens!E4025*(1+Sens!F4026))*(1-Q!$E$6/Q!M6)-Sens!F4024</f>
        <v>90.5124269407258</v>
      </c>
      <c r="G4025" s="6" t="n">
        <f aca="false">Sens!F4025*(1+Sens!G4026)</f>
        <v>107.542272670442</v>
      </c>
      <c r="H4025" s="6" t="n">
        <f aca="false">Sens!G4025*(1+Sens!H4026)</f>
        <v>124.868617015842</v>
      </c>
      <c r="I4025" s="6" t="n">
        <f aca="false">Sens!H4025*(1+Sens!I4026)</f>
        <v>141.610330351152</v>
      </c>
      <c r="J4025" s="6" t="n">
        <f aca="false">Sens!I4025*(1+Sens!J4026)</f>
        <v>156.767919723931</v>
      </c>
      <c r="K4025" s="6" t="n">
        <f aca="false">Sens!J4025*(1+Sens!K4026)</f>
        <v>169.309353301846</v>
      </c>
      <c r="L4025" s="12" t="s">
        <v>1027</v>
      </c>
    </row>
    <row r="4026" customFormat="false" ht="15" hidden="false" customHeight="false" outlineLevel="0" collapsed="false">
      <c r="A4026" s="1" t="s">
        <v>1028</v>
      </c>
      <c r="B4026" s="0" t="s">
        <v>168</v>
      </c>
      <c r="E4026" s="7" t="n">
        <f aca="false">Sens!E4025/Sens!D4025-1</f>
        <v>0.242223883039864</v>
      </c>
      <c r="F4026" s="7" t="n">
        <f aca="false">Sens!$E$4026+(glt_azo-Sens!$E$4026)*MIN(1,(Sens!F3983-base_fy)/n_conv)</f>
        <v>0.215186569199887</v>
      </c>
      <c r="G4026" s="7" t="n">
        <f aca="false">Sens!$E$4026+(glt_azo-Sens!$E$4026)*MIN(1,(Sens!G3983-base_fy)/n_conv)</f>
        <v>0.18814925535991</v>
      </c>
      <c r="H4026" s="7" t="n">
        <f aca="false">Sens!$E$4026+(glt_azo-Sens!$E$4026)*MIN(1,(Sens!H3983-base_fy)/n_conv)</f>
        <v>0.161111941519932</v>
      </c>
      <c r="I4026" s="7" t="n">
        <f aca="false">Sens!$E$4026+(glt_azo-Sens!$E$4026)*MIN(1,(Sens!I3983-base_fy)/n_conv)</f>
        <v>0.134074627679955</v>
      </c>
      <c r="J4026" s="7" t="n">
        <f aca="false">Sens!$E$4026+(glt_azo-Sens!$E$4026)*MIN(1,(Sens!J3983-base_fy)/n_conv)</f>
        <v>0.107037313839977</v>
      </c>
      <c r="K4026" s="7" t="n">
        <f aca="false">Sens!$E$4026+(glt_azo-Sens!$E$4026)*MIN(1,(Sens!K3983-base_fy)/n_conv)</f>
        <v>0.08</v>
      </c>
    </row>
    <row r="4027" customFormat="false" ht="15" hidden="false" customHeight="false" outlineLevel="0" collapsed="false">
      <c r="A4027" s="0" t="s">
        <v>1029</v>
      </c>
      <c r="B4027" s="0" t="s">
        <v>98</v>
      </c>
      <c r="D4027" s="6" t="n">
        <f aca="false">Sens!D4024+Sens!D4025</f>
        <v>72.61</v>
      </c>
      <c r="E4027" s="6" t="n">
        <f aca="false">Sens!E4024+Sens!E4025</f>
        <v>101.938</v>
      </c>
      <c r="F4027" s="6" t="n">
        <f aca="false">Sens!F4024+Sens!F4025</f>
        <v>149.498234389025</v>
      </c>
      <c r="G4027" s="6" t="n">
        <f aca="false">Sens!G4024+Sens!G4025</f>
        <v>209.566809274912</v>
      </c>
      <c r="H4027" s="6" t="n">
        <f aca="false">Sens!H4024+Sens!H4025</f>
        <v>271.185804765252</v>
      </c>
      <c r="I4027" s="6" t="n">
        <f aca="false">Sens!I4024+Sens!I4025</f>
        <v>326.593587673081</v>
      </c>
      <c r="J4027" s="6" t="n">
        <f aca="false">Sens!J4024+Sens!J4025</f>
        <v>368.410619338671</v>
      </c>
      <c r="K4027" s="6" t="n">
        <f aca="false">Sens!K4024+Sens!K4025</f>
        <v>397.040075089829</v>
      </c>
    </row>
    <row r="4028" customFormat="false" ht="17.15" hidden="false" customHeight="false" outlineLevel="0" collapsed="false">
      <c r="A4028" s="0" t="s">
        <v>1030</v>
      </c>
      <c r="B4028" s="1" t="s">
        <v>613</v>
      </c>
      <c r="C4028" s="30" t="n">
        <f aca="false">cop_s24</f>
        <v>1</v>
      </c>
      <c r="D4028" s="30" t="n">
        <f aca="false">cop_s25</f>
        <v>5</v>
      </c>
      <c r="E4028" s="30" t="n">
        <f aca="false">cop_s26</f>
        <v>30</v>
      </c>
      <c r="F4028" s="30" t="n">
        <f aca="false">Sens!E4028+cop_add_B</f>
        <v>50</v>
      </c>
      <c r="G4028" s="30" t="n">
        <f aca="false">Sens!F4028+cop_add_B</f>
        <v>70</v>
      </c>
      <c r="H4028" s="30" t="n">
        <f aca="false">Sens!G4028+cop_add_B</f>
        <v>90</v>
      </c>
      <c r="I4028" s="30" t="n">
        <f aca="false">Sens!H4028+cop_add_B*cop_tail</f>
        <v>100</v>
      </c>
      <c r="J4028" s="30" t="n">
        <f aca="false">Sens!I4028+cop_add_B*cop_tail</f>
        <v>110</v>
      </c>
      <c r="K4028" s="30" t="n">
        <f aca="false">Sens!J4028+cop_add_B*cop_tail</f>
        <v>120</v>
      </c>
      <c r="L4028" s="12" t="s">
        <v>1031</v>
      </c>
    </row>
    <row r="4029" customFormat="false" ht="17.15" hidden="false" customHeight="false" outlineLevel="0" collapsed="false">
      <c r="A4029" s="0" t="s">
        <v>1032</v>
      </c>
      <c r="B4029" s="0" t="s">
        <v>98</v>
      </c>
      <c r="D4029" s="6" t="n">
        <f aca="false">(Sens!C4028+Sens!D4028)/2*cop_px*12/1000</f>
        <v>0.9</v>
      </c>
      <c r="E4029" s="6" t="n">
        <f aca="false">(Sens!D4028+Sens!E4028)/2*cop_px*12/1000</f>
        <v>5.25</v>
      </c>
      <c r="F4029" s="6" t="n">
        <f aca="false">(Sens!E4028+Sens!F4028)/2*cop_px*12/1000</f>
        <v>12</v>
      </c>
      <c r="G4029" s="6" t="n">
        <f aca="false">(Sens!F4028+Sens!G4028)/2*cop_px*12/1000</f>
        <v>18</v>
      </c>
      <c r="H4029" s="6" t="n">
        <f aca="false">(Sens!G4028+Sens!H4028)/2*cop_px*12/1000</f>
        <v>24</v>
      </c>
      <c r="I4029" s="6" t="n">
        <f aca="false">(Sens!H4028+Sens!I4028)/2*cop_px*12/1000</f>
        <v>28.5</v>
      </c>
      <c r="J4029" s="6" t="n">
        <f aca="false">(Sens!I4028+Sens!J4028)/2*cop_px*12/1000</f>
        <v>31.5</v>
      </c>
      <c r="K4029" s="6" t="n">
        <f aca="false">(Sens!J4028+Sens!K4028)/2*cop_px*12/1000</f>
        <v>34.5</v>
      </c>
      <c r="L4029" s="1" t="s">
        <v>1033</v>
      </c>
    </row>
    <row r="4030" customFormat="false" ht="17.15" hidden="false" customHeight="false" outlineLevel="0" collapsed="false">
      <c r="A4030" s="0" t="s">
        <v>1034</v>
      </c>
      <c r="B4030" s="0" t="s">
        <v>98</v>
      </c>
      <c r="D4030" s="6" t="n">
        <f aca="false">Q!L7-Sens!D4029</f>
        <v>83.705</v>
      </c>
      <c r="E4030" s="6" t="n">
        <f aca="false">Q!M7-Sens!E4029</f>
        <v>95.049</v>
      </c>
      <c r="F4030" s="6" t="n">
        <f aca="false">Q!$I$7+(Sens!E4030*(1+Sens!F4031)+Sens!F4029)*(1-Q!$E$7/Q!M7)-Sens!F4029</f>
        <v>106.584003697747</v>
      </c>
      <c r="G4030" s="6" t="n">
        <f aca="false">Sens!F4030*(1+Sens!G4031)</f>
        <v>118.700726545688</v>
      </c>
      <c r="H4030" s="6" t="n">
        <f aca="false">Sens!G4030*(1+Sens!H4031)</f>
        <v>130.898624783666</v>
      </c>
      <c r="I4030" s="6" t="n">
        <f aca="false">Sens!H4030*(1+Sens!I4031)</f>
        <v>142.920510030657</v>
      </c>
      <c r="J4030" s="6" t="n">
        <f aca="false">Sens!I4030*(1+Sens!J4031)</f>
        <v>154.485722618572</v>
      </c>
      <c r="K4030" s="6" t="n">
        <f aca="false">Sens!J4030*(1+Sens!K4031)</f>
        <v>165.299723201872</v>
      </c>
      <c r="L4030" s="12" t="s">
        <v>1035</v>
      </c>
    </row>
    <row r="4031" customFormat="false" ht="15" hidden="false" customHeight="false" outlineLevel="0" collapsed="false">
      <c r="A4031" s="1" t="s">
        <v>1028</v>
      </c>
      <c r="B4031" s="0" t="s">
        <v>168</v>
      </c>
      <c r="E4031" s="7" t="n">
        <f aca="false">Sens!E4030/Sens!D4030-1</f>
        <v>0.135523564900544</v>
      </c>
      <c r="F4031" s="7" t="n">
        <f aca="false">Sens!$E$4031+(glt_m365b-Sens!$E$4031)*MIN(1,(Sens!F3983-base_fy)/n_conv)</f>
        <v>0.124602970750453</v>
      </c>
      <c r="G4031" s="7" t="n">
        <f aca="false">Sens!$E$4031+(glt_m365b-Sens!$E$4031)*MIN(1,(Sens!G3983-base_fy)/n_conv)</f>
        <v>0.113682376600363</v>
      </c>
      <c r="H4031" s="7" t="n">
        <f aca="false">Sens!$E$4031+(glt_m365b-Sens!$E$4031)*MIN(1,(Sens!H3983-base_fy)/n_conv)</f>
        <v>0.102761782450272</v>
      </c>
      <c r="I4031" s="7" t="n">
        <f aca="false">Sens!$E$4031+(glt_m365b-Sens!$E$4031)*MIN(1,(Sens!I3983-base_fy)/n_conv)</f>
        <v>0.0918411883001813</v>
      </c>
      <c r="J4031" s="7" t="n">
        <f aca="false">Sens!$E$4031+(glt_m365b-Sens!$E$4031)*MIN(1,(Sens!J3983-base_fy)/n_conv)</f>
        <v>0.0809205941500906</v>
      </c>
      <c r="K4031" s="7" t="n">
        <f aca="false">Sens!$E$4031+(glt_m365b-Sens!$E$4031)*MIN(1,(Sens!K3983-base_fy)/n_conv)</f>
        <v>0.07</v>
      </c>
    </row>
    <row r="4032" customFormat="false" ht="15" hidden="false" customHeight="false" outlineLevel="0" collapsed="false">
      <c r="A4032" s="0" t="s">
        <v>1036</v>
      </c>
      <c r="B4032" s="0" t="s">
        <v>98</v>
      </c>
      <c r="D4032" s="6" t="n">
        <f aca="false">Sens!D4030+Sens!D4029</f>
        <v>84.605</v>
      </c>
      <c r="E4032" s="6" t="n">
        <f aca="false">Sens!E4030+Sens!E4029</f>
        <v>100.299</v>
      </c>
      <c r="F4032" s="6" t="n">
        <f aca="false">Sens!F4030+Sens!F4029</f>
        <v>118.584003697747</v>
      </c>
      <c r="G4032" s="6" t="n">
        <f aca="false">Sens!G4030+Sens!G4029</f>
        <v>136.700726545688</v>
      </c>
      <c r="H4032" s="6" t="n">
        <f aca="false">Sens!H4030+Sens!H4029</f>
        <v>154.898624783666</v>
      </c>
      <c r="I4032" s="6" t="n">
        <f aca="false">Sens!I4030+Sens!I4029</f>
        <v>171.420510030657</v>
      </c>
      <c r="J4032" s="6" t="n">
        <f aca="false">Sens!J4030+Sens!J4029</f>
        <v>185.985722618572</v>
      </c>
      <c r="K4032" s="6" t="n">
        <f aca="false">Sens!K4030+Sens!K4029</f>
        <v>199.799723201872</v>
      </c>
    </row>
    <row r="4033" customFormat="false" ht="17.15" hidden="false" customHeight="false" outlineLevel="0" collapsed="false">
      <c r="A4033" s="0" t="s">
        <v>1037</v>
      </c>
      <c r="B4033" s="0" t="s">
        <v>98</v>
      </c>
      <c r="D4033" s="6" t="n">
        <f aca="false">Q!L8</f>
        <v>35.391</v>
      </c>
      <c r="E4033" s="6" t="n">
        <f aca="false">Q!M8</f>
        <v>37.285</v>
      </c>
      <c r="F4033" s="6" t="n">
        <f aca="false">Q!$I$8+(Q!M8-Q!$E$8)*(1+Sens!F4034)</f>
        <v>38.3851437782675</v>
      </c>
      <c r="G4033" s="6" t="n">
        <f aca="false">Sens!F4033*(1+Sens!G4034)</f>
        <v>40.0105353288615</v>
      </c>
      <c r="H4033" s="6" t="n">
        <f aca="false">Sens!G4033*(1+Sens!H4034)</f>
        <v>41.4812512033683</v>
      </c>
      <c r="I4033" s="6" t="n">
        <f aca="false">Sens!H4033*(1+Sens!I4034)</f>
        <v>42.7743107216329</v>
      </c>
      <c r="J4033" s="6" t="n">
        <f aca="false">Sens!I4033*(1+Sens!J4034)</f>
        <v>43.8687373064601</v>
      </c>
      <c r="K4033" s="6" t="n">
        <f aca="false">Sens!J4033*(1+Sens!K4034)</f>
        <v>44.7461120525893</v>
      </c>
      <c r="L4033" s="12" t="s">
        <v>1038</v>
      </c>
    </row>
    <row r="4034" customFormat="false" ht="15" hidden="false" customHeight="false" outlineLevel="0" collapsed="false">
      <c r="A4034" s="1" t="s">
        <v>1028</v>
      </c>
      <c r="B4034" s="0" t="s">
        <v>168</v>
      </c>
      <c r="E4034" s="7" t="n">
        <f aca="false">Sens!E4033/Sens!D4033-1</f>
        <v>0.0535164307309768</v>
      </c>
      <c r="F4034" s="7" t="n">
        <f aca="false">Sens!$E$4034+(glt_lic-Sens!$E$4034)*MIN(1,(Sens!F3983-base_fy)/n_conv)</f>
        <v>0.0479303589424807</v>
      </c>
      <c r="G4034" s="7" t="n">
        <f aca="false">Sens!$E$4034+(glt_lic-Sens!$E$4034)*MIN(1,(Sens!G3983-base_fy)/n_conv)</f>
        <v>0.0423442871539845</v>
      </c>
      <c r="H4034" s="7" t="n">
        <f aca="false">Sens!$E$4034+(glt_lic-Sens!$E$4034)*MIN(1,(Sens!H3983-base_fy)/n_conv)</f>
        <v>0.0367582153654884</v>
      </c>
      <c r="I4034" s="7" t="n">
        <f aca="false">Sens!$E$4034+(glt_lic-Sens!$E$4034)*MIN(1,(Sens!I3983-base_fy)/n_conv)</f>
        <v>0.0311721435769923</v>
      </c>
      <c r="J4034" s="7" t="n">
        <f aca="false">Sens!$E$4034+(glt_lic-Sens!$E$4034)*MIN(1,(Sens!J3983-base_fy)/n_conv)</f>
        <v>0.0255860717884961</v>
      </c>
      <c r="K4034" s="7" t="n">
        <f aca="false">Sens!$E$4034+(glt_lic-Sens!$E$4034)*MIN(1,(Sens!K3983-base_fy)/n_conv)</f>
        <v>0.02</v>
      </c>
    </row>
    <row r="4035" customFormat="false" ht="17.15" hidden="false" customHeight="false" outlineLevel="0" collapsed="false">
      <c r="A4035" s="0" t="s">
        <v>1039</v>
      </c>
      <c r="B4035" s="0" t="s">
        <v>98</v>
      </c>
      <c r="D4035" s="6" t="n">
        <f aca="false">Q!L9</f>
        <v>18.417</v>
      </c>
      <c r="E4035" s="6" t="n">
        <f aca="false">Q!M9</f>
        <v>20.345</v>
      </c>
      <c r="F4035" s="6" t="n">
        <f aca="false">Q!$I$9+(Q!M9-Q!$E$9)*(1+Sens!F4036)</f>
        <v>22.3161797133988</v>
      </c>
      <c r="G4035" s="6" t="n">
        <f aca="false">Sens!F4035*(1+Sens!G4036)</f>
        <v>24.3943499673233</v>
      </c>
      <c r="H4035" s="6" t="n">
        <f aca="false">Sens!G4035*(1+Sens!H4036)</f>
        <v>26.5250243109019</v>
      </c>
      <c r="I4035" s="6" t="n">
        <f aca="false">Sens!H4035*(1+Sens!I4036)</f>
        <v>28.6884573538181</v>
      </c>
      <c r="J4035" s="6" t="n">
        <f aca="false">Sens!I4035*(1+Sens!J4036)</f>
        <v>30.8624968052127</v>
      </c>
      <c r="K4035" s="6" t="n">
        <f aca="false">Sens!J4035*(1+Sens!K4036)</f>
        <v>33.0228715815776</v>
      </c>
      <c r="L4035" s="12" t="s">
        <v>1038</v>
      </c>
    </row>
    <row r="4036" customFormat="false" ht="15" hidden="false" customHeight="false" outlineLevel="0" collapsed="false">
      <c r="A4036" s="1" t="s">
        <v>1028</v>
      </c>
      <c r="B4036" s="0" t="s">
        <v>168</v>
      </c>
      <c r="E4036" s="7" t="n">
        <f aca="false">Sens!E4035/Sens!D4035-1</f>
        <v>0.104685888038225</v>
      </c>
      <c r="F4036" s="7" t="n">
        <f aca="false">Sens!$E$4036+(glt_ind-Sens!$E$4036)*MIN(1,(Sens!F3983-base_fy)/n_conv)</f>
        <v>0.0989049066985211</v>
      </c>
      <c r="G4036" s="7" t="n">
        <f aca="false">Sens!$E$4036+(glt_ind-Sens!$E$4036)*MIN(1,(Sens!G3983-base_fy)/n_conv)</f>
        <v>0.0931239253588169</v>
      </c>
      <c r="H4036" s="7" t="n">
        <f aca="false">Sens!$E$4036+(glt_ind-Sens!$E$4036)*MIN(1,(Sens!H3983-base_fy)/n_conv)</f>
        <v>0.0873429440191127</v>
      </c>
      <c r="I4036" s="7" t="n">
        <f aca="false">Sens!$E$4036+(glt_ind-Sens!$E$4036)*MIN(1,(Sens!I3983-base_fy)/n_conv)</f>
        <v>0.0815619626794085</v>
      </c>
      <c r="J4036" s="7" t="n">
        <f aca="false">Sens!$E$4036+(glt_ind-Sens!$E$4036)*MIN(1,(Sens!J3983-base_fy)/n_conv)</f>
        <v>0.0757809813397042</v>
      </c>
      <c r="K4036" s="7" t="n">
        <f aca="false">Sens!$E$4036+(glt_ind-Sens!$E$4036)*MIN(1,(Sens!K3983-base_fy)/n_conv)</f>
        <v>0.07</v>
      </c>
    </row>
    <row r="4037" customFormat="false" ht="17.15" hidden="false" customHeight="false" outlineLevel="0" collapsed="false">
      <c r="A4037" s="0" t="s">
        <v>1040</v>
      </c>
      <c r="B4037" s="0" t="s">
        <v>98</v>
      </c>
      <c r="D4037" s="6" t="n">
        <f aca="false">Q!L10</f>
        <v>7.76</v>
      </c>
      <c r="E4037" s="6" t="n">
        <f aca="false">Q!M10</f>
        <v>8.26</v>
      </c>
      <c r="F4037" s="6" t="n">
        <f aca="false">Q!$I$10+(Q!M10-Q!$E$10)*(1+Sens!F4038)</f>
        <v>8.75372082474227</v>
      </c>
      <c r="G4037" s="6" t="n">
        <f aca="false">Sens!F4037*(1+Sens!G4038)</f>
        <v>9.33399324642364</v>
      </c>
      <c r="H4037" s="6" t="n">
        <f aca="false">Sens!G4037*(1+Sens!H4038)</f>
        <v>9.96139155535851</v>
      </c>
      <c r="I4037" s="6" t="n">
        <f aca="false">Sens!H4037*(1+Sens!I4038)</f>
        <v>10.6402039077391</v>
      </c>
      <c r="J4037" s="6" t="n">
        <f aca="false">Sens!I4037*(1+Sens!J4038)</f>
        <v>11.3751458271397</v>
      </c>
      <c r="K4037" s="6" t="n">
        <f aca="false">Sens!J4037*(1+Sens!K4038)</f>
        <v>12.1714060350394</v>
      </c>
      <c r="L4037" s="12" t="s">
        <v>1038</v>
      </c>
    </row>
    <row r="4038" customFormat="false" ht="15" hidden="false" customHeight="false" outlineLevel="0" collapsed="false">
      <c r="A4038" s="1" t="s">
        <v>1028</v>
      </c>
      <c r="B4038" s="0" t="s">
        <v>168</v>
      </c>
      <c r="E4038" s="7" t="n">
        <f aca="false">Sens!E4037/Sens!D4037-1</f>
        <v>0.0644329896907216</v>
      </c>
      <c r="F4038" s="7" t="n">
        <f aca="false">Sens!$E$4038+(glt_fro-Sens!$E$4038)*MIN(1,(Sens!F3983-base_fy)/n_conv)</f>
        <v>0.065360824742268</v>
      </c>
      <c r="G4038" s="7" t="n">
        <f aca="false">Sens!$E$4038+(glt_fro-Sens!$E$4038)*MIN(1,(Sens!G3983-base_fy)/n_conv)</f>
        <v>0.0662886597938144</v>
      </c>
      <c r="H4038" s="7" t="n">
        <f aca="false">Sens!$E$4038+(glt_fro-Sens!$E$4038)*MIN(1,(Sens!H3983-base_fy)/n_conv)</f>
        <v>0.0672164948453608</v>
      </c>
      <c r="I4038" s="7" t="n">
        <f aca="false">Sens!$E$4038+(glt_fro-Sens!$E$4038)*MIN(1,(Sens!I3983-base_fy)/n_conv)</f>
        <v>0.0681443298969072</v>
      </c>
      <c r="J4038" s="7" t="n">
        <f aca="false">Sens!$E$4038+(glt_fro-Sens!$E$4038)*MIN(1,(Sens!J3983-base_fy)/n_conv)</f>
        <v>0.0690721649484536</v>
      </c>
      <c r="K4038" s="7" t="n">
        <f aca="false">Sens!$E$4038+(glt_fro-Sens!$E$4038)*MIN(1,(Sens!K3983-base_fy)/n_conv)</f>
        <v>0.07</v>
      </c>
    </row>
    <row r="4039" customFormat="false" ht="15" hidden="false" customHeight="false" outlineLevel="0" collapsed="false">
      <c r="A4039" s="0" t="s">
        <v>856</v>
      </c>
      <c r="B4039" s="0" t="s">
        <v>98</v>
      </c>
      <c r="D4039" s="6" t="n">
        <f aca="false">Sens!D4027+Sens!D4032+Sens!D4033+Sens!D4035+Sens!D4037</f>
        <v>218.783</v>
      </c>
      <c r="E4039" s="6" t="n">
        <f aca="false">Sens!E4027+Sens!E4032+Sens!E4033+Sens!E4035+Sens!E4037</f>
        <v>268.127</v>
      </c>
      <c r="F4039" s="6" t="n">
        <f aca="false">Sens!F4027+Sens!F4032+Sens!F4033+Sens!F4035+Sens!F4037</f>
        <v>337.537282403181</v>
      </c>
      <c r="G4039" s="6" t="n">
        <f aca="false">Sens!G4027+Sens!G4032+Sens!G4033+Sens!G4035+Sens!G4037</f>
        <v>420.006414363209</v>
      </c>
      <c r="H4039" s="6" t="n">
        <f aca="false">Sens!H4027+Sens!H4032+Sens!H4033+Sens!H4035+Sens!H4037</f>
        <v>504.052096618546</v>
      </c>
      <c r="I4039" s="6" t="n">
        <f aca="false">Sens!I4027+Sens!I4032+Sens!I4033+Sens!I4035+Sens!I4037</f>
        <v>580.117069686928</v>
      </c>
      <c r="J4039" s="6" t="n">
        <f aca="false">Sens!J4027+Sens!J4032+Sens!J4033+Sens!J4035+Sens!J4037</f>
        <v>640.502721896055</v>
      </c>
      <c r="K4039" s="6" t="n">
        <f aca="false">Sens!K4027+Sens!K4032+Sens!K4033+Sens!K4035+Sens!K4037</f>
        <v>686.780187960907</v>
      </c>
    </row>
    <row r="4040" customFormat="false" ht="17.15" hidden="false" customHeight="false" outlineLevel="0" collapsed="false">
      <c r="A4040" s="0" t="s">
        <v>1041</v>
      </c>
      <c r="B4040" s="0" t="s">
        <v>98</v>
      </c>
      <c r="D4040" s="6" t="n">
        <f aca="false">Q!L13</f>
        <v>22.171</v>
      </c>
      <c r="E4040" s="6" t="n">
        <f aca="false">Q!M13</f>
        <v>24.835</v>
      </c>
      <c r="F4040" s="6" t="n">
        <f aca="false">Q!$I$13+(Q!M13-Q!$E$13)*(1+Sens!F4041)</f>
        <v>27.5591895660247</v>
      </c>
      <c r="G4040" s="6" t="n">
        <f aca="false">Sens!F4040*(1+Sens!G4041)</f>
        <v>30.4098563144583</v>
      </c>
      <c r="H4040" s="6" t="n">
        <f aca="false">Sens!G4040*(1+Sens!H4041)</f>
        <v>33.3011792571777</v>
      </c>
      <c r="I4040" s="6" t="n">
        <f aca="false">Sens!H4040*(1+Sens!I4041)</f>
        <v>36.189023797112</v>
      </c>
      <c r="J4040" s="6" t="n">
        <f aca="false">Sens!I4040*(1+Sens!J4041)</f>
        <v>39.0247773769199</v>
      </c>
      <c r="K4040" s="6" t="n">
        <f aca="false">Sens!J4040*(1+Sens!K4041)</f>
        <v>41.7565117933043</v>
      </c>
      <c r="L4040" s="12" t="s">
        <v>1038</v>
      </c>
    </row>
    <row r="4041" customFormat="false" ht="15" hidden="false" customHeight="false" outlineLevel="0" collapsed="false">
      <c r="A4041" s="1" t="s">
        <v>1028</v>
      </c>
      <c r="B4041" s="0" t="s">
        <v>168</v>
      </c>
      <c r="E4041" s="7" t="n">
        <f aca="false">Sens!E4040/Sens!D4040-1</f>
        <v>0.120156961796942</v>
      </c>
      <c r="F4041" s="7" t="n">
        <f aca="false">Sens!$E$4041+(glt_srch-Sens!$E$4041)*MIN(1,(Sens!F3983-base_fy)/n_conv)</f>
        <v>0.111797468164118</v>
      </c>
      <c r="G4041" s="7" t="n">
        <f aca="false">Sens!$E$4041+(glt_srch-Sens!$E$4041)*MIN(1,(Sens!G3983-base_fy)/n_conv)</f>
        <v>0.103437974531295</v>
      </c>
      <c r="H4041" s="7" t="n">
        <f aca="false">Sens!$E$4041+(glt_srch-Sens!$E$4041)*MIN(1,(Sens!H3983-base_fy)/n_conv)</f>
        <v>0.095078480898471</v>
      </c>
      <c r="I4041" s="7" t="n">
        <f aca="false">Sens!$E$4041+(glt_srch-Sens!$E$4041)*MIN(1,(Sens!I3983-base_fy)/n_conv)</f>
        <v>0.0867189872656474</v>
      </c>
      <c r="J4041" s="7" t="n">
        <f aca="false">Sens!$E$4041+(glt_srch-Sens!$E$4041)*MIN(1,(Sens!J3983-base_fy)/n_conv)</f>
        <v>0.0783594936328237</v>
      </c>
      <c r="K4041" s="7" t="n">
        <f aca="false">Sens!$E$4041+(glt_srch-Sens!$E$4041)*MIN(1,(Sens!K3983-base_fy)/n_conv)</f>
        <v>0.07</v>
      </c>
    </row>
    <row r="4042" customFormat="false" ht="17.15" hidden="false" customHeight="false" outlineLevel="0" collapsed="false">
      <c r="A4042" s="0" t="s">
        <v>1042</v>
      </c>
      <c r="B4042" s="0" t="s">
        <v>98</v>
      </c>
      <c r="D4042" s="6" t="n">
        <f aca="false">Q!L14</f>
        <v>23.455</v>
      </c>
      <c r="E4042" s="6" t="n">
        <f aca="false">Q!M14</f>
        <v>21.79</v>
      </c>
      <c r="F4042" s="6" t="n">
        <f aca="false">Q!$I$14+(Q!M14-Q!$E$14)*(1+Sens!F4043)</f>
        <v>20.7520981041711</v>
      </c>
      <c r="G4042" s="6" t="n">
        <f aca="false">Sens!F4042*(1+Sens!G4043)</f>
        <v>19.9083593495882</v>
      </c>
      <c r="H4042" s="6" t="n">
        <f aca="false">Sens!G4042*(1+Sens!H4043)</f>
        <v>19.4008256265831</v>
      </c>
      <c r="I4042" s="6" t="n">
        <f aca="false">Sens!H4042*(1+Sens!I4043)</f>
        <v>19.200434522122</v>
      </c>
      <c r="J4042" s="6" t="n">
        <f aca="false">Sens!I4042*(1+Sens!J4043)</f>
        <v>19.2932782348507</v>
      </c>
      <c r="K4042" s="6" t="n">
        <f aca="false">Sens!J4042*(1+Sens!K4043)</f>
        <v>19.6791437995477</v>
      </c>
      <c r="L4042" s="12" t="s">
        <v>1038</v>
      </c>
    </row>
    <row r="4043" customFormat="false" ht="15" hidden="false" customHeight="false" outlineLevel="0" collapsed="false">
      <c r="A4043" s="1" t="s">
        <v>1028</v>
      </c>
      <c r="B4043" s="0" t="s">
        <v>168</v>
      </c>
      <c r="E4043" s="7" t="n">
        <f aca="false">Sens!E4042/Sens!D4042-1</f>
        <v>-0.0709869963760392</v>
      </c>
      <c r="F4043" s="7" t="n">
        <f aca="false">Sens!$E$4043+(glt_xbox-Sens!$E$4043)*MIN(1,(Sens!F3983-base_fy)/n_conv)</f>
        <v>-0.0558224969800327</v>
      </c>
      <c r="G4043" s="7" t="n">
        <f aca="false">Sens!$E$4043+(glt_xbox-Sens!$E$4043)*MIN(1,(Sens!G3983-base_fy)/n_conv)</f>
        <v>-0.0406579975840262</v>
      </c>
      <c r="H4043" s="7" t="n">
        <f aca="false">Sens!$E$4043+(glt_xbox-Sens!$E$4043)*MIN(1,(Sens!H3983-base_fy)/n_conv)</f>
        <v>-0.0254934981880196</v>
      </c>
      <c r="I4043" s="7" t="n">
        <f aca="false">Sens!$E$4043+(glt_xbox-Sens!$E$4043)*MIN(1,(Sens!I3983-base_fy)/n_conv)</f>
        <v>-0.0103289987920131</v>
      </c>
      <c r="J4043" s="7" t="n">
        <f aca="false">Sens!$E$4043+(glt_xbox-Sens!$E$4043)*MIN(1,(Sens!J3983-base_fy)/n_conv)</f>
        <v>0.00483550060399347</v>
      </c>
      <c r="K4043" s="7" t="n">
        <f aca="false">Sens!$E$4043+(glt_xbox-Sens!$E$4043)*MIN(1,(Sens!K3983-base_fy)/n_conv)</f>
        <v>0.02</v>
      </c>
    </row>
    <row r="4044" customFormat="false" ht="17.15" hidden="false" customHeight="false" outlineLevel="0" collapsed="false">
      <c r="A4044" s="0" t="s">
        <v>1043</v>
      </c>
      <c r="B4044" s="0" t="s">
        <v>98</v>
      </c>
      <c r="D4044" s="6" t="n">
        <f aca="false">Q!L15</f>
        <v>17.315</v>
      </c>
      <c r="E4044" s="6" t="n">
        <f aca="false">Q!M15</f>
        <v>17.087</v>
      </c>
      <c r="F4044" s="6" t="n">
        <f aca="false">Q!$I$15+(Q!M15-Q!$E$15)*(1+Sens!F4045)</f>
        <v>15.9912273250553</v>
      </c>
      <c r="G4044" s="6" t="n">
        <f aca="false">Sens!F4044*(1+Sens!G4045)</f>
        <v>15.9574562664827</v>
      </c>
      <c r="H4044" s="6" t="n">
        <f aca="false">Sens!G4044*(1+Sens!H4045)</f>
        <v>16.0119687434196</v>
      </c>
      <c r="I4044" s="6" t="n">
        <f aca="false">Sens!H4044*(1+Sens!I4045)</f>
        <v>16.1551810001948</v>
      </c>
      <c r="J4044" s="6" t="n">
        <f aca="false">Sens!I4044*(1+Sens!J4045)</f>
        <v>16.3889793892005</v>
      </c>
      <c r="K4044" s="6" t="n">
        <f aca="false">Sens!J4044*(1+Sens!K4045)</f>
        <v>16.7167589769845</v>
      </c>
      <c r="L4044" s="12" t="s">
        <v>1038</v>
      </c>
    </row>
    <row r="4045" customFormat="false" ht="15" hidden="false" customHeight="false" outlineLevel="0" collapsed="false">
      <c r="A4045" s="1" t="s">
        <v>1028</v>
      </c>
      <c r="B4045" s="0" t="s">
        <v>168</v>
      </c>
      <c r="E4045" s="7" t="n">
        <f aca="false">Sens!E4044/Sens!D4044-1</f>
        <v>-0.0131677736066995</v>
      </c>
      <c r="F4045" s="7" t="n">
        <f aca="false">Sens!$E$4045+(glt_win-Sens!$E$4045)*MIN(1,(Sens!F3983-base_fy)/n_conv)</f>
        <v>-0.00763981133891627</v>
      </c>
      <c r="G4045" s="7" t="n">
        <f aca="false">Sens!$E$4045+(glt_win-Sens!$E$4045)*MIN(1,(Sens!G3983-base_fy)/n_conv)</f>
        <v>-0.00211184907113301</v>
      </c>
      <c r="H4045" s="7" t="n">
        <f aca="false">Sens!$E$4045+(glt_win-Sens!$E$4045)*MIN(1,(Sens!H3983-base_fy)/n_conv)</f>
        <v>0.00341611319665024</v>
      </c>
      <c r="I4045" s="7" t="n">
        <f aca="false">Sens!$E$4045+(glt_win-Sens!$E$4045)*MIN(1,(Sens!I3983-base_fy)/n_conv)</f>
        <v>0.00894407546443349</v>
      </c>
      <c r="J4045" s="7" t="n">
        <f aca="false">Sens!$E$4045+(glt_win-Sens!$E$4045)*MIN(1,(Sens!J3983-base_fy)/n_conv)</f>
        <v>0.0144720377322168</v>
      </c>
      <c r="K4045" s="7" t="n">
        <f aca="false">Sens!$E$4045+(glt_win-Sens!$E$4045)*MIN(1,(Sens!K3983-base_fy)/n_conv)</f>
        <v>0.02</v>
      </c>
    </row>
    <row r="4046" customFormat="false" ht="15" hidden="false" customHeight="false" outlineLevel="0" collapsed="false">
      <c r="A4046" s="0" t="s">
        <v>870</v>
      </c>
      <c r="B4046" s="0" t="s">
        <v>98</v>
      </c>
      <c r="D4046" s="6" t="n">
        <f aca="false">Sens!D4040+Sens!D4042+Sens!D4044</f>
        <v>62.941</v>
      </c>
      <c r="E4046" s="6" t="n">
        <f aca="false">Sens!E4040+Sens!E4042+Sens!E4044</f>
        <v>63.712</v>
      </c>
      <c r="F4046" s="6" t="n">
        <f aca="false">Sens!F4040+Sens!F4042+Sens!F4044</f>
        <v>64.3025149952511</v>
      </c>
      <c r="G4046" s="6" t="n">
        <f aca="false">Sens!G4040+Sens!G4042+Sens!G4044</f>
        <v>66.2756719305292</v>
      </c>
      <c r="H4046" s="6" t="n">
        <f aca="false">Sens!H4040+Sens!H4042+Sens!H4044</f>
        <v>68.7139736271804</v>
      </c>
      <c r="I4046" s="6" t="n">
        <f aca="false">Sens!I4040+Sens!I4042+Sens!I4044</f>
        <v>71.5446393194289</v>
      </c>
      <c r="J4046" s="6" t="n">
        <f aca="false">Sens!J4040+Sens!J4042+Sens!J4044</f>
        <v>74.707035000971</v>
      </c>
      <c r="K4046" s="6" t="n">
        <f aca="false">Sens!K4040+Sens!K4042+Sens!K4044</f>
        <v>78.1524145698365</v>
      </c>
    </row>
    <row r="4047" customFormat="false" ht="15" hidden="false" customHeight="false" outlineLevel="0" collapsed="false">
      <c r="A4047" s="1" t="s">
        <v>1044</v>
      </c>
      <c r="B4047" s="0" t="s">
        <v>98</v>
      </c>
      <c r="D4047" s="6" t="n">
        <f aca="false">Sens!D4039+Sens!D4046</f>
        <v>281.724</v>
      </c>
      <c r="E4047" s="6" t="n">
        <f aca="false">Sens!E4039+Sens!E4046</f>
        <v>331.839</v>
      </c>
      <c r="F4047" s="6" t="n">
        <f aca="false">Sens!F4039+Sens!F4046</f>
        <v>401.839797398432</v>
      </c>
      <c r="G4047" s="6" t="n">
        <f aca="false">Sens!G4039+Sens!G4046</f>
        <v>486.282086293738</v>
      </c>
      <c r="H4047" s="6" t="n">
        <f aca="false">Sens!H4039+Sens!H4046</f>
        <v>572.766070245726</v>
      </c>
      <c r="I4047" s="6" t="n">
        <f aca="false">Sens!I4039+Sens!I4046</f>
        <v>651.661709006357</v>
      </c>
      <c r="J4047" s="6" t="n">
        <f aca="false">Sens!J4039+Sens!J4046</f>
        <v>715.209756897026</v>
      </c>
      <c r="K4047" s="6" t="n">
        <f aca="false">Sens!K4039+Sens!K4046</f>
        <v>764.932602530743</v>
      </c>
    </row>
    <row r="4048" customFormat="false" ht="15" hidden="false" customHeight="false" outlineLevel="0" collapsed="false">
      <c r="A4048" s="26" t="s">
        <v>1045</v>
      </c>
      <c r="B4048" s="31" t="s">
        <v>98</v>
      </c>
      <c r="C4048" s="31"/>
      <c r="D4048" s="27" t="n">
        <f aca="false">(Sens!D4027+Sens!D4032+Sens!D4033+Sens!D4035+Sens!D4037-Sens!D4039)+(Sens!D4040+Sens!D4042+Sens!D4044-Sens!D4046)+(Sens!D4039-Q!L5)+(Sens!D4046-Q!L12)+(Sens!D4027-Q!L6)+(Sens!D4032-Q!L7)</f>
        <v>0</v>
      </c>
      <c r="E4048" s="27" t="n">
        <f aca="false">(Sens!E4027+Sens!E4032+Sens!E4033+Sens!E4035+Sens!E4037-Sens!E4039)+(Sens!E4040+Sens!E4042+Sens!E4044-Sens!E4046)+(Sens!E4039-Q!M5)+(Sens!E4046-Q!M12)+(Sens!E4027-Q!M6)+(Sens!E4032-Q!M7)</f>
        <v>0</v>
      </c>
      <c r="F4048" s="27" t="n">
        <f aca="false">(Sens!F4027+Sens!F4032+Sens!F4033+Sens!F4035+Sens!F4037-Sens!F4039)+(Sens!F4040+Sens!F4042+Sens!F4044-Sens!F4046)</f>
        <v>0</v>
      </c>
      <c r="G4048" s="27" t="n">
        <f aca="false">(Sens!G4027+Sens!G4032+Sens!G4033+Sens!G4035+Sens!G4037-Sens!G4039)+(Sens!G4040+Sens!G4042+Sens!G4044-Sens!G4046)</f>
        <v>0</v>
      </c>
      <c r="H4048" s="27" t="n">
        <f aca="false">(Sens!H4027+Sens!H4032+Sens!H4033+Sens!H4035+Sens!H4037-Sens!H4039)+(Sens!H4040+Sens!H4042+Sens!H4044-Sens!H4046)</f>
        <v>0</v>
      </c>
      <c r="I4048" s="27" t="n">
        <f aca="false">(Sens!I4027+Sens!I4032+Sens!I4033+Sens!I4035+Sens!I4037-Sens!I4039)+(Sens!I4040+Sens!I4042+Sens!I4044-Sens!I4046)</f>
        <v>0</v>
      </c>
      <c r="J4048" s="27" t="n">
        <f aca="false">(Sens!J4027+Sens!J4032+Sens!J4033+Sens!J4035+Sens!J4037-Sens!J4039)+(Sens!J4040+Sens!J4042+Sens!J4044-Sens!J4046)</f>
        <v>0</v>
      </c>
      <c r="K4048" s="27" t="n">
        <f aca="false">(Sens!K4027+Sens!K4032+Sens!K4033+Sens!K4035+Sens!K4037-Sens!K4039)+(Sens!K4040+Sens!K4042+Sens!K4044-Sens!K4046)</f>
        <v>0</v>
      </c>
    </row>
    <row r="4049" customFormat="false" ht="17.15" hidden="false" customHeight="false" outlineLevel="0" collapsed="false">
      <c r="A4049" s="3" t="s">
        <v>1712</v>
      </c>
    </row>
    <row r="4050" customFormat="false" ht="15" hidden="false" customHeight="false" outlineLevel="0" collapsed="false">
      <c r="A4050" s="4" t="s">
        <v>43</v>
      </c>
      <c r="B4050" s="4" t="s">
        <v>65</v>
      </c>
      <c r="C4050" s="23" t="s">
        <v>942</v>
      </c>
      <c r="D4050" s="23" t="s">
        <v>943</v>
      </c>
      <c r="E4050" s="23" t="s">
        <v>944</v>
      </c>
      <c r="F4050" s="23" t="s">
        <v>945</v>
      </c>
      <c r="G4050" s="23" t="s">
        <v>946</v>
      </c>
      <c r="H4050" s="23" t="s">
        <v>947</v>
      </c>
      <c r="I4050" s="23" t="s">
        <v>948</v>
      </c>
      <c r="J4050" s="23" t="s">
        <v>949</v>
      </c>
      <c r="K4050" s="23" t="s">
        <v>950</v>
      </c>
      <c r="L4050" s="4" t="s">
        <v>47</v>
      </c>
    </row>
    <row r="4051" customFormat="false" ht="15" hidden="false" customHeight="false" outlineLevel="0" collapsed="false">
      <c r="A4051" s="0" t="s">
        <v>1029</v>
      </c>
      <c r="B4051" s="0" t="s">
        <v>98</v>
      </c>
      <c r="D4051" s="6" t="n">
        <f aca="false">Sens!D4027</f>
        <v>72.61</v>
      </c>
      <c r="E4051" s="6" t="n">
        <f aca="false">Sens!E4027</f>
        <v>101.938</v>
      </c>
      <c r="F4051" s="6" t="n">
        <f aca="false">Sens!F4027</f>
        <v>149.498234389025</v>
      </c>
      <c r="G4051" s="6" t="n">
        <f aca="false">Sens!G4027</f>
        <v>209.566809274912</v>
      </c>
      <c r="H4051" s="6" t="n">
        <f aca="false">Sens!H4027</f>
        <v>271.185804765252</v>
      </c>
      <c r="I4051" s="6" t="n">
        <f aca="false">Sens!I4027</f>
        <v>326.593587673081</v>
      </c>
      <c r="J4051" s="6" t="n">
        <f aca="false">Sens!J4027</f>
        <v>368.410619338671</v>
      </c>
      <c r="K4051" s="6" t="n">
        <f aca="false">Sens!K4027</f>
        <v>397.040075089829</v>
      </c>
    </row>
    <row r="4052" customFormat="false" ht="17.15" hidden="false" customHeight="false" outlineLevel="0" collapsed="false">
      <c r="A4052" s="0" t="s">
        <v>1025</v>
      </c>
      <c r="B4052" s="0" t="s">
        <v>98</v>
      </c>
      <c r="D4052" s="6" t="n">
        <f aca="false">Sens!D4024</f>
        <v>12.9359794422418</v>
      </c>
      <c r="E4052" s="6" t="n">
        <f aca="false">Sens!E4024</f>
        <v>27.8095064661409</v>
      </c>
      <c r="F4052" s="6" t="n">
        <f aca="false">Sens!F4024</f>
        <v>58.9858074482995</v>
      </c>
      <c r="G4052" s="6" t="n">
        <f aca="false">Sens!G4024</f>
        <v>102.02453660447</v>
      </c>
      <c r="H4052" s="6" t="n">
        <f aca="false">Sens!H4024</f>
        <v>146.317187749409</v>
      </c>
      <c r="I4052" s="6" t="n">
        <f aca="false">Sens!I4024</f>
        <v>184.983257321929</v>
      </c>
      <c r="J4052" s="6" t="n">
        <f aca="false">Sens!J4024</f>
        <v>211.642699614739</v>
      </c>
      <c r="K4052" s="6" t="n">
        <f aca="false">Sens!K4024</f>
        <v>227.730721787983</v>
      </c>
    </row>
    <row r="4053" customFormat="false" ht="17.15" hidden="false" customHeight="false" outlineLevel="0" collapsed="false">
      <c r="A4053" s="0" t="s">
        <v>1056</v>
      </c>
      <c r="B4053" s="0" t="s">
        <v>98</v>
      </c>
      <c r="D4053" s="6" t="n">
        <f aca="false">Sens!D4025</f>
        <v>59.6740205577583</v>
      </c>
      <c r="E4053" s="6" t="n">
        <f aca="false">Sens!E4025</f>
        <v>74.1284935338591</v>
      </c>
      <c r="F4053" s="6" t="n">
        <f aca="false">Sens!F4025</f>
        <v>90.5124269407258</v>
      </c>
      <c r="G4053" s="6" t="n">
        <f aca="false">Sens!G4025</f>
        <v>107.542272670442</v>
      </c>
      <c r="H4053" s="6" t="n">
        <f aca="false">Sens!H4025</f>
        <v>124.868617015842</v>
      </c>
      <c r="I4053" s="6" t="n">
        <f aca="false">Sens!I4025</f>
        <v>141.610330351152</v>
      </c>
      <c r="J4053" s="6" t="n">
        <f aca="false">Sens!J4025</f>
        <v>156.767919723931</v>
      </c>
      <c r="K4053" s="6" t="n">
        <f aca="false">Sens!K4025</f>
        <v>169.309353301846</v>
      </c>
    </row>
    <row r="4054" customFormat="false" ht="15" hidden="false" customHeight="false" outlineLevel="0" collapsed="false">
      <c r="A4054" s="0" t="s">
        <v>1036</v>
      </c>
      <c r="B4054" s="0" t="s">
        <v>98</v>
      </c>
      <c r="D4054" s="6" t="n">
        <f aca="false">Sens!D4032</f>
        <v>84.605</v>
      </c>
      <c r="E4054" s="6" t="n">
        <f aca="false">Sens!E4032</f>
        <v>100.299</v>
      </c>
      <c r="F4054" s="6" t="n">
        <f aca="false">Sens!F4032</f>
        <v>118.584003697747</v>
      </c>
      <c r="G4054" s="6" t="n">
        <f aca="false">Sens!G4032</f>
        <v>136.700726545688</v>
      </c>
      <c r="H4054" s="6" t="n">
        <f aca="false">Sens!H4032</f>
        <v>154.898624783666</v>
      </c>
      <c r="I4054" s="6" t="n">
        <f aca="false">Sens!I4032</f>
        <v>171.420510030657</v>
      </c>
      <c r="J4054" s="6" t="n">
        <f aca="false">Sens!J4032</f>
        <v>185.985722618572</v>
      </c>
      <c r="K4054" s="6" t="n">
        <f aca="false">Sens!K4032</f>
        <v>199.799723201872</v>
      </c>
    </row>
    <row r="4055" customFormat="false" ht="17.15" hidden="false" customHeight="false" outlineLevel="0" collapsed="false">
      <c r="A4055" s="0" t="s">
        <v>1057</v>
      </c>
      <c r="B4055" s="0" t="s">
        <v>98</v>
      </c>
      <c r="D4055" s="6" t="n">
        <f aca="false">Sens!D4030</f>
        <v>83.705</v>
      </c>
      <c r="E4055" s="6" t="n">
        <f aca="false">Sens!E4030</f>
        <v>95.049</v>
      </c>
      <c r="F4055" s="6" t="n">
        <f aca="false">Sens!F4030</f>
        <v>106.584003697747</v>
      </c>
      <c r="G4055" s="6" t="n">
        <f aca="false">Sens!G4030</f>
        <v>118.700726545688</v>
      </c>
      <c r="H4055" s="6" t="n">
        <f aca="false">Sens!H4030</f>
        <v>130.898624783666</v>
      </c>
      <c r="I4055" s="6" t="n">
        <f aca="false">Sens!I4030</f>
        <v>142.920510030657</v>
      </c>
      <c r="J4055" s="6" t="n">
        <f aca="false">Sens!J4030</f>
        <v>154.485722618572</v>
      </c>
      <c r="K4055" s="6" t="n">
        <f aca="false">Sens!K4030</f>
        <v>165.299723201872</v>
      </c>
    </row>
    <row r="4056" customFormat="false" ht="17.15" hidden="false" customHeight="false" outlineLevel="0" collapsed="false">
      <c r="A4056" s="0" t="s">
        <v>1058</v>
      </c>
      <c r="B4056" s="0" t="s">
        <v>98</v>
      </c>
      <c r="D4056" s="6" t="n">
        <f aca="false">Sens!D4029</f>
        <v>0.9</v>
      </c>
      <c r="E4056" s="6" t="n">
        <f aca="false">Sens!E4029</f>
        <v>5.25</v>
      </c>
      <c r="F4056" s="6" t="n">
        <f aca="false">Sens!F4029</f>
        <v>12</v>
      </c>
      <c r="G4056" s="6" t="n">
        <f aca="false">Sens!G4029</f>
        <v>18</v>
      </c>
      <c r="H4056" s="6" t="n">
        <f aca="false">Sens!H4029</f>
        <v>24</v>
      </c>
      <c r="I4056" s="6" t="n">
        <f aca="false">Sens!I4029</f>
        <v>28.5</v>
      </c>
      <c r="J4056" s="6" t="n">
        <f aca="false">Sens!J4029</f>
        <v>31.5</v>
      </c>
      <c r="K4056" s="6" t="n">
        <f aca="false">Sens!K4029</f>
        <v>34.5</v>
      </c>
    </row>
    <row r="4057" customFormat="false" ht="15" hidden="false" customHeight="false" outlineLevel="0" collapsed="false">
      <c r="A4057" s="0" t="s">
        <v>1037</v>
      </c>
      <c r="B4057" s="0" t="s">
        <v>98</v>
      </c>
      <c r="D4057" s="6" t="n">
        <f aca="false">Sens!D4033</f>
        <v>35.391</v>
      </c>
      <c r="E4057" s="6" t="n">
        <f aca="false">Sens!E4033</f>
        <v>37.285</v>
      </c>
      <c r="F4057" s="6" t="n">
        <f aca="false">Sens!F4033</f>
        <v>38.3851437782675</v>
      </c>
      <c r="G4057" s="6" t="n">
        <f aca="false">Sens!G4033</f>
        <v>40.0105353288615</v>
      </c>
      <c r="H4057" s="6" t="n">
        <f aca="false">Sens!H4033</f>
        <v>41.4812512033683</v>
      </c>
      <c r="I4057" s="6" t="n">
        <f aca="false">Sens!I4033</f>
        <v>42.7743107216329</v>
      </c>
      <c r="J4057" s="6" t="n">
        <f aca="false">Sens!J4033</f>
        <v>43.8687373064601</v>
      </c>
      <c r="K4057" s="6" t="n">
        <f aca="false">Sens!K4033</f>
        <v>44.7461120525893</v>
      </c>
    </row>
    <row r="4058" customFormat="false" ht="15" hidden="false" customHeight="false" outlineLevel="0" collapsed="false">
      <c r="A4058" s="0" t="s">
        <v>1039</v>
      </c>
      <c r="B4058" s="0" t="s">
        <v>98</v>
      </c>
      <c r="D4058" s="6" t="n">
        <f aca="false">Sens!D4035</f>
        <v>18.417</v>
      </c>
      <c r="E4058" s="6" t="n">
        <f aca="false">Sens!E4035</f>
        <v>20.345</v>
      </c>
      <c r="F4058" s="6" t="n">
        <f aca="false">Sens!F4035</f>
        <v>22.3161797133988</v>
      </c>
      <c r="G4058" s="6" t="n">
        <f aca="false">Sens!G4035</f>
        <v>24.3943499673233</v>
      </c>
      <c r="H4058" s="6" t="n">
        <f aca="false">Sens!H4035</f>
        <v>26.5250243109019</v>
      </c>
      <c r="I4058" s="6" t="n">
        <f aca="false">Sens!I4035</f>
        <v>28.6884573538181</v>
      </c>
      <c r="J4058" s="6" t="n">
        <f aca="false">Sens!J4035</f>
        <v>30.8624968052127</v>
      </c>
      <c r="K4058" s="6" t="n">
        <f aca="false">Sens!K4035</f>
        <v>33.0228715815776</v>
      </c>
    </row>
    <row r="4059" customFormat="false" ht="15" hidden="false" customHeight="false" outlineLevel="0" collapsed="false">
      <c r="A4059" s="0" t="s">
        <v>1040</v>
      </c>
      <c r="B4059" s="0" t="s">
        <v>98</v>
      </c>
      <c r="D4059" s="6" t="n">
        <f aca="false">Sens!D4037</f>
        <v>7.76</v>
      </c>
      <c r="E4059" s="6" t="n">
        <f aca="false">Sens!E4037</f>
        <v>8.26</v>
      </c>
      <c r="F4059" s="6" t="n">
        <f aca="false">Sens!F4037</f>
        <v>8.75372082474227</v>
      </c>
      <c r="G4059" s="6" t="n">
        <f aca="false">Sens!G4037</f>
        <v>9.33399324642364</v>
      </c>
      <c r="H4059" s="6" t="n">
        <f aca="false">Sens!H4037</f>
        <v>9.96139155535851</v>
      </c>
      <c r="I4059" s="6" t="n">
        <f aca="false">Sens!I4037</f>
        <v>10.6402039077391</v>
      </c>
      <c r="J4059" s="6" t="n">
        <f aca="false">Sens!J4037</f>
        <v>11.3751458271397</v>
      </c>
      <c r="K4059" s="6" t="n">
        <f aca="false">Sens!K4037</f>
        <v>12.1714060350394</v>
      </c>
    </row>
    <row r="4060" customFormat="false" ht="15" hidden="false" customHeight="false" outlineLevel="0" collapsed="false">
      <c r="A4060" s="0" t="s">
        <v>856</v>
      </c>
      <c r="B4060" s="0" t="s">
        <v>98</v>
      </c>
      <c r="D4060" s="6" t="n">
        <f aca="false">Sens!D4039</f>
        <v>218.783</v>
      </c>
      <c r="E4060" s="6" t="n">
        <f aca="false">Sens!E4039</f>
        <v>268.127</v>
      </c>
      <c r="F4060" s="6" t="n">
        <f aca="false">Sens!F4039</f>
        <v>337.537282403181</v>
      </c>
      <c r="G4060" s="6" t="n">
        <f aca="false">Sens!G4039</f>
        <v>420.006414363209</v>
      </c>
      <c r="H4060" s="6" t="n">
        <f aca="false">Sens!H4039</f>
        <v>504.052096618546</v>
      </c>
      <c r="I4060" s="6" t="n">
        <f aca="false">Sens!I4039</f>
        <v>580.117069686928</v>
      </c>
      <c r="J4060" s="6" t="n">
        <f aca="false">Sens!J4039</f>
        <v>640.502721896055</v>
      </c>
      <c r="K4060" s="6" t="n">
        <f aca="false">Sens!K4039</f>
        <v>686.780187960907</v>
      </c>
    </row>
    <row r="4061" customFormat="false" ht="15" hidden="false" customHeight="false" outlineLevel="0" collapsed="false">
      <c r="A4061" s="0" t="s">
        <v>1041</v>
      </c>
      <c r="B4061" s="0" t="s">
        <v>98</v>
      </c>
      <c r="D4061" s="6" t="n">
        <f aca="false">Sens!D4040</f>
        <v>22.171</v>
      </c>
      <c r="E4061" s="6" t="n">
        <f aca="false">Sens!E4040</f>
        <v>24.835</v>
      </c>
      <c r="F4061" s="6" t="n">
        <f aca="false">Sens!F4040</f>
        <v>27.5591895660247</v>
      </c>
      <c r="G4061" s="6" t="n">
        <f aca="false">Sens!G4040</f>
        <v>30.4098563144583</v>
      </c>
      <c r="H4061" s="6" t="n">
        <f aca="false">Sens!H4040</f>
        <v>33.3011792571777</v>
      </c>
      <c r="I4061" s="6" t="n">
        <f aca="false">Sens!I4040</f>
        <v>36.189023797112</v>
      </c>
      <c r="J4061" s="6" t="n">
        <f aca="false">Sens!J4040</f>
        <v>39.0247773769199</v>
      </c>
      <c r="K4061" s="6" t="n">
        <f aca="false">Sens!K4040</f>
        <v>41.7565117933043</v>
      </c>
    </row>
    <row r="4062" customFormat="false" ht="15" hidden="false" customHeight="false" outlineLevel="0" collapsed="false">
      <c r="A4062" s="0" t="s">
        <v>1042</v>
      </c>
      <c r="B4062" s="0" t="s">
        <v>98</v>
      </c>
      <c r="D4062" s="6" t="n">
        <f aca="false">Sens!D4042</f>
        <v>23.455</v>
      </c>
      <c r="E4062" s="6" t="n">
        <f aca="false">Sens!E4042</f>
        <v>21.79</v>
      </c>
      <c r="F4062" s="6" t="n">
        <f aca="false">Sens!F4042</f>
        <v>20.7520981041711</v>
      </c>
      <c r="G4062" s="6" t="n">
        <f aca="false">Sens!G4042</f>
        <v>19.9083593495882</v>
      </c>
      <c r="H4062" s="6" t="n">
        <f aca="false">Sens!H4042</f>
        <v>19.4008256265831</v>
      </c>
      <c r="I4062" s="6" t="n">
        <f aca="false">Sens!I4042</f>
        <v>19.200434522122</v>
      </c>
      <c r="J4062" s="6" t="n">
        <f aca="false">Sens!J4042</f>
        <v>19.2932782348507</v>
      </c>
      <c r="K4062" s="6" t="n">
        <f aca="false">Sens!K4042</f>
        <v>19.6791437995477</v>
      </c>
    </row>
    <row r="4063" customFormat="false" ht="15" hidden="false" customHeight="false" outlineLevel="0" collapsed="false">
      <c r="A4063" s="0" t="s">
        <v>1043</v>
      </c>
      <c r="B4063" s="0" t="s">
        <v>98</v>
      </c>
      <c r="D4063" s="6" t="n">
        <f aca="false">Sens!D4044</f>
        <v>17.315</v>
      </c>
      <c r="E4063" s="6" t="n">
        <f aca="false">Sens!E4044</f>
        <v>17.087</v>
      </c>
      <c r="F4063" s="6" t="n">
        <f aca="false">Sens!F4044</f>
        <v>15.9912273250553</v>
      </c>
      <c r="G4063" s="6" t="n">
        <f aca="false">Sens!G4044</f>
        <v>15.9574562664827</v>
      </c>
      <c r="H4063" s="6" t="n">
        <f aca="false">Sens!H4044</f>
        <v>16.0119687434196</v>
      </c>
      <c r="I4063" s="6" t="n">
        <f aca="false">Sens!I4044</f>
        <v>16.1551810001948</v>
      </c>
      <c r="J4063" s="6" t="n">
        <f aca="false">Sens!J4044</f>
        <v>16.3889793892005</v>
      </c>
      <c r="K4063" s="6" t="n">
        <f aca="false">Sens!K4044</f>
        <v>16.7167589769845</v>
      </c>
    </row>
    <row r="4064" customFormat="false" ht="15" hidden="false" customHeight="false" outlineLevel="0" collapsed="false">
      <c r="A4064" s="0" t="s">
        <v>870</v>
      </c>
      <c r="B4064" s="0" t="s">
        <v>98</v>
      </c>
      <c r="D4064" s="6" t="n">
        <f aca="false">Sens!D4046</f>
        <v>62.941</v>
      </c>
      <c r="E4064" s="6" t="n">
        <f aca="false">Sens!E4046</f>
        <v>63.712</v>
      </c>
      <c r="F4064" s="6" t="n">
        <f aca="false">Sens!F4046</f>
        <v>64.3025149952511</v>
      </c>
      <c r="G4064" s="6" t="n">
        <f aca="false">Sens!G4046</f>
        <v>66.2756719305292</v>
      </c>
      <c r="H4064" s="6" t="n">
        <f aca="false">Sens!H4046</f>
        <v>68.7139736271804</v>
      </c>
      <c r="I4064" s="6" t="n">
        <f aca="false">Sens!I4046</f>
        <v>71.5446393194289</v>
      </c>
      <c r="J4064" s="6" t="n">
        <f aca="false">Sens!J4046</f>
        <v>74.707035000971</v>
      </c>
      <c r="K4064" s="6" t="n">
        <f aca="false">Sens!K4046</f>
        <v>78.1524145698365</v>
      </c>
    </row>
    <row r="4065" customFormat="false" ht="15" hidden="false" customHeight="false" outlineLevel="0" collapsed="false">
      <c r="A4065" s="1" t="s">
        <v>1059</v>
      </c>
      <c r="B4065" s="0" t="s">
        <v>98</v>
      </c>
      <c r="D4065" s="6" t="n">
        <f aca="false">Sens!D4047</f>
        <v>281.724</v>
      </c>
      <c r="E4065" s="6" t="n">
        <f aca="false">Sens!E4047</f>
        <v>331.839</v>
      </c>
      <c r="F4065" s="6" t="n">
        <f aca="false">Sens!F4047</f>
        <v>401.839797398432</v>
      </c>
      <c r="G4065" s="6" t="n">
        <f aca="false">Sens!G4047</f>
        <v>486.282086293738</v>
      </c>
      <c r="H4065" s="6" t="n">
        <f aca="false">Sens!H4047</f>
        <v>572.766070245726</v>
      </c>
      <c r="I4065" s="6" t="n">
        <f aca="false">Sens!I4047</f>
        <v>651.661709006357</v>
      </c>
      <c r="J4065" s="6" t="n">
        <f aca="false">Sens!J4047</f>
        <v>715.209756897026</v>
      </c>
      <c r="K4065" s="6" t="n">
        <f aca="false">Sens!K4047</f>
        <v>764.932602530743</v>
      </c>
    </row>
    <row r="4066" customFormat="false" ht="15" hidden="false" customHeight="false" outlineLevel="0" collapsed="false">
      <c r="A4066" s="1" t="s">
        <v>1060</v>
      </c>
      <c r="B4066" s="0" t="s">
        <v>168</v>
      </c>
      <c r="E4066" s="7" t="n">
        <f aca="false">Sens!E4065/Sens!D4065-1</f>
        <v>0.177886867998467</v>
      </c>
      <c r="F4066" s="7" t="n">
        <f aca="false">Sens!F4065/Sens!E4065-1</f>
        <v>0.210948072403882</v>
      </c>
      <c r="G4066" s="7" t="n">
        <f aca="false">Sens!G4065/Sens!F4065-1</f>
        <v>0.210139188407911</v>
      </c>
      <c r="H4066" s="7" t="n">
        <f aca="false">Sens!H4065/Sens!G4065-1</f>
        <v>0.177847357304764</v>
      </c>
      <c r="I4066" s="7" t="n">
        <f aca="false">Sens!I4065/Sens!H4065-1</f>
        <v>0.137744958821991</v>
      </c>
      <c r="J4066" s="7" t="n">
        <f aca="false">Sens!J4065/Sens!I4065-1</f>
        <v>0.0975169278973991</v>
      </c>
      <c r="K4066" s="7" t="n">
        <f aca="false">Sens!K4065/Sens!J4065-1</f>
        <v>0.0695220460210753</v>
      </c>
    </row>
    <row r="4067" customFormat="false" ht="17.15" hidden="false" customHeight="false" outlineLevel="0" collapsed="false">
      <c r="A4067" s="26" t="s">
        <v>1061</v>
      </c>
      <c r="B4067" s="31" t="s">
        <v>98</v>
      </c>
      <c r="C4067" s="31"/>
      <c r="D4067" s="27" t="n">
        <f aca="false">(Sens!D4060+Sens!D4064-Sens!D4065)+(Sens!D4052+Sens!D4053-Sens!D4051)+(Sens!D4055+Sens!D4056-Sens!D4054)+(Sens!D4065-Q!L18)</f>
        <v>0</v>
      </c>
      <c r="E4067" s="27" t="n">
        <f aca="false">(Sens!E4060+Sens!E4064-Sens!E4065)+(Sens!E4052+Sens!E4053-Sens!E4051)+(Sens!E4055+Sens!E4056-Sens!E4054)+(Sens!E4065-Q!M18)</f>
        <v>0</v>
      </c>
      <c r="F4067" s="27" t="n">
        <f aca="false">(Sens!F4060+Sens!F4064-Sens!F4065)+(Sens!F4052+Sens!F4053-Sens!F4051)+(Sens!F4055+Sens!F4056-Sens!F4054)</f>
        <v>0</v>
      </c>
      <c r="G4067" s="27" t="n">
        <f aca="false">(Sens!G4060+Sens!G4064-Sens!G4065)+(Sens!G4052+Sens!G4053-Sens!G4051)+(Sens!G4055+Sens!G4056-Sens!G4054)</f>
        <v>0</v>
      </c>
      <c r="H4067" s="27" t="n">
        <f aca="false">(Sens!H4060+Sens!H4064-Sens!H4065)+(Sens!H4052+Sens!H4053-Sens!H4051)+(Sens!H4055+Sens!H4056-Sens!H4054)</f>
        <v>0</v>
      </c>
      <c r="I4067" s="27" t="n">
        <f aca="false">(Sens!I4060+Sens!I4064-Sens!I4065)+(Sens!I4052+Sens!I4053-Sens!I4051)+(Sens!I4055+Sens!I4056-Sens!I4054)</f>
        <v>0</v>
      </c>
      <c r="J4067" s="27" t="n">
        <f aca="false">(Sens!J4060+Sens!J4064-Sens!J4065)+(Sens!J4052+Sens!J4053-Sens!J4051)+(Sens!J4055+Sens!J4056-Sens!J4054)</f>
        <v>0</v>
      </c>
      <c r="K4067" s="27" t="n">
        <f aca="false">(Sens!K4060+Sens!K4064-Sens!K4065)+(Sens!K4052+Sens!K4053-Sens!K4051)+(Sens!K4055+Sens!K4056-Sens!K4054)</f>
        <v>0</v>
      </c>
    </row>
    <row r="4068" customFormat="false" ht="17.15" hidden="false" customHeight="false" outlineLevel="0" collapsed="false">
      <c r="A4068" s="0" t="s">
        <v>1062</v>
      </c>
      <c r="B4068" s="0" t="s">
        <v>168</v>
      </c>
      <c r="E4068" s="7" t="n">
        <f aca="false">(Q!M21+Sens!E4004+Sens!E4005+Sens!E4006+Sens!E4020-Sens!E4002)/(Q!M5-Sens!E4002)</f>
        <v>0.570957350878296</v>
      </c>
      <c r="F4068" s="7" t="n">
        <f aca="false">Sens!$E$4068+dm_seg</f>
        <v>0.570957350878296</v>
      </c>
      <c r="G4068" s="7" t="n">
        <f aca="false">Sens!$E$4068+dm_seg</f>
        <v>0.570957350878296</v>
      </c>
      <c r="H4068" s="7" t="n">
        <f aca="false">Sens!$E$4068+dm_seg</f>
        <v>0.570957350878296</v>
      </c>
      <c r="I4068" s="7" t="n">
        <f aca="false">Sens!$E$4068+dm_seg</f>
        <v>0.570957350878296</v>
      </c>
      <c r="J4068" s="7" t="n">
        <f aca="false">Sens!$E$4068+dm_seg</f>
        <v>0.570957350878296</v>
      </c>
      <c r="K4068" s="7" t="n">
        <f aca="false">Sens!$E$4068+dm_seg</f>
        <v>0.570957350878296</v>
      </c>
      <c r="L4068" s="12" t="s">
        <v>1063</v>
      </c>
    </row>
    <row r="4069" customFormat="false" ht="17.15" hidden="false" customHeight="false" outlineLevel="0" collapsed="false">
      <c r="A4069" s="0" t="s">
        <v>884</v>
      </c>
      <c r="B4069" s="0" t="s">
        <v>98</v>
      </c>
      <c r="D4069" s="6" t="n">
        <f aca="false">Q!L21</f>
        <v>110.814</v>
      </c>
      <c r="E4069" s="6" t="n">
        <f aca="false">Q!M21</f>
        <v>136.365</v>
      </c>
      <c r="F4069" s="6" t="n">
        <f aca="false">Q!$I$21+(Sens!F4068*(Sens!F4039-Sens!F4002)+Sens!F4002-(Sens!F4004+Sens!F4005+Sens!F4006)-Sens!F4020-Sens!F4103)*(Sens!F4039-Q!$I$5)/Sens!F4039</f>
        <v>161.840343765851</v>
      </c>
      <c r="G4069" s="6" t="n">
        <f aca="false">(Sens!G4068*(Sens!G4039-Sens!G4002)+Sens!G4002-(Sens!G4004+Sens!G4005+Sens!G4006)-Sens!G4020-Sens!G4103)</f>
        <v>176.103191932152</v>
      </c>
      <c r="H4069" s="6" t="n">
        <f aca="false">(Sens!H4068*(Sens!H4039-Sens!H4002)+Sens!H4002-(Sens!H4004+Sens!H4005+Sens!H4006)-Sens!H4020-Sens!H4103)</f>
        <v>194.49049588708</v>
      </c>
      <c r="I4069" s="6" t="n">
        <f aca="false">(Sens!I4068*(Sens!I4039-Sens!I4002)+Sens!I4002-(Sens!I4004+Sens!I4005+Sens!I4006)-Sens!I4020-Sens!I4103)</f>
        <v>211.932393295152</v>
      </c>
      <c r="J4069" s="6" t="n">
        <f aca="false">(Sens!J4068*(Sens!J4039-Sens!J4002)+Sens!J4002-(Sens!J4004+Sens!J4005+Sens!J4006)-Sens!J4020-Sens!J4103)</f>
        <v>228.395083894318</v>
      </c>
      <c r="K4069" s="6" t="n">
        <f aca="false">(Sens!K4068*(Sens!K4039-Sens!K4002)+Sens!K4002-(Sens!K4004+Sens!K4005+Sens!K4006)-Sens!K4020-Sens!K4103)</f>
        <v>244.492279053148</v>
      </c>
      <c r="L4069" s="1" t="s">
        <v>1064</v>
      </c>
    </row>
    <row r="4070" customFormat="false" ht="17.15" hidden="false" customHeight="false" outlineLevel="0" collapsed="false">
      <c r="A4070" s="0" t="s">
        <v>1065</v>
      </c>
      <c r="B4070" s="0" t="s">
        <v>168</v>
      </c>
      <c r="E4070" s="7" t="n">
        <f aca="false">Q!M22/Q!M12</f>
        <v>0.296207935710698</v>
      </c>
      <c r="F4070" s="7" t="n">
        <f aca="false">Sens!$E$4070+dm_seg</f>
        <v>0.296207935710698</v>
      </c>
      <c r="G4070" s="7" t="n">
        <f aca="false">Sens!$E$4070+dm_seg</f>
        <v>0.296207935710698</v>
      </c>
      <c r="H4070" s="7" t="n">
        <f aca="false">Sens!$E$4070+dm_seg</f>
        <v>0.296207935710698</v>
      </c>
      <c r="I4070" s="7" t="n">
        <f aca="false">Sens!$E$4070+dm_seg</f>
        <v>0.296207935710698</v>
      </c>
      <c r="J4070" s="7" t="n">
        <f aca="false">Sens!$E$4070+dm_seg</f>
        <v>0.296207935710698</v>
      </c>
      <c r="K4070" s="7" t="n">
        <f aca="false">Sens!$E$4070+dm_seg</f>
        <v>0.296207935710698</v>
      </c>
      <c r="L4070" s="12" t="s">
        <v>1066</v>
      </c>
    </row>
    <row r="4071" customFormat="false" ht="17.15" hidden="false" customHeight="false" outlineLevel="0" collapsed="false">
      <c r="A4071" s="0" t="s">
        <v>886</v>
      </c>
      <c r="B4071" s="0" t="s">
        <v>98</v>
      </c>
      <c r="D4071" s="6" t="n">
        <f aca="false">Q!L22</f>
        <v>17.714</v>
      </c>
      <c r="E4071" s="6" t="n">
        <f aca="false">Q!M22</f>
        <v>18.872</v>
      </c>
      <c r="F4071" s="6" t="n">
        <f aca="false">Q!$I$22+(Sens!F4046-Q!$I$12)*Sens!F4070</f>
        <v>19.8174315512051</v>
      </c>
      <c r="G4071" s="6" t="n">
        <f aca="false">Sens!G4046*Sens!G4070</f>
        <v>19.6313799703815</v>
      </c>
      <c r="H4071" s="6" t="n">
        <f aca="false">Sens!H4046*Sens!H4070</f>
        <v>20.3536242825865</v>
      </c>
      <c r="I4071" s="6" t="n">
        <f aca="false">Sens!I4046*Sens!I4070</f>
        <v>21.1920899239745</v>
      </c>
      <c r="J4071" s="6" t="n">
        <f aca="false">Sens!J4046*Sens!J4070</f>
        <v>22.1288166207045</v>
      </c>
      <c r="K4071" s="6" t="n">
        <f aca="false">Sens!K4046*Sens!K4070</f>
        <v>23.1493653905379</v>
      </c>
      <c r="L4071" s="12" t="s">
        <v>1067</v>
      </c>
    </row>
    <row r="4072" customFormat="false" ht="15" hidden="false" customHeight="false" outlineLevel="0" collapsed="false">
      <c r="A4072" s="1" t="s">
        <v>1068</v>
      </c>
      <c r="B4072" s="0" t="s">
        <v>98</v>
      </c>
      <c r="D4072" s="6" t="n">
        <f aca="false">Sens!D4069+Sens!D4071</f>
        <v>128.528</v>
      </c>
      <c r="E4072" s="6" t="n">
        <f aca="false">Sens!E4069+Sens!E4071</f>
        <v>155.237</v>
      </c>
      <c r="F4072" s="6" t="n">
        <f aca="false">Sens!F4069+Sens!F4071</f>
        <v>181.657775317056</v>
      </c>
      <c r="G4072" s="6" t="n">
        <f aca="false">Sens!G4069+Sens!G4071</f>
        <v>195.734571902533</v>
      </c>
      <c r="H4072" s="6" t="n">
        <f aca="false">Sens!H4069+Sens!H4071</f>
        <v>214.844120169666</v>
      </c>
      <c r="I4072" s="6" t="n">
        <f aca="false">Sens!I4069+Sens!I4071</f>
        <v>233.124483219127</v>
      </c>
      <c r="J4072" s="6" t="n">
        <f aca="false">Sens!J4069+Sens!J4071</f>
        <v>250.523900515022</v>
      </c>
      <c r="K4072" s="6" t="n">
        <f aca="false">Sens!K4069+Sens!K4071</f>
        <v>267.641644443686</v>
      </c>
    </row>
    <row r="4073" customFormat="false" ht="15" hidden="false" customHeight="false" outlineLevel="0" collapsed="false">
      <c r="A4073" s="26" t="s">
        <v>1069</v>
      </c>
      <c r="B4073" s="31" t="s">
        <v>98</v>
      </c>
      <c r="C4073" s="31"/>
      <c r="D4073" s="27" t="n">
        <f aca="false">Sens!D4072-Q!L23</f>
        <v>0</v>
      </c>
      <c r="E4073" s="27" t="n">
        <f aca="false">Sens!E4072-Q!M23</f>
        <v>0</v>
      </c>
      <c r="F4073" s="31"/>
      <c r="G4073" s="31"/>
      <c r="H4073" s="31"/>
      <c r="I4073" s="31"/>
      <c r="J4073" s="31"/>
      <c r="K4073" s="31"/>
    </row>
    <row r="4074" customFormat="false" ht="15" hidden="false" customHeight="false" outlineLevel="0" collapsed="false">
      <c r="A4074" s="1" t="s">
        <v>1070</v>
      </c>
      <c r="B4074" s="0" t="s">
        <v>168</v>
      </c>
      <c r="D4074" s="7" t="n">
        <f aca="false">Sens!D4072/Sens!D4065</f>
        <v>0.456219562408598</v>
      </c>
      <c r="E4074" s="7" t="n">
        <f aca="false">Sens!E4072/Sens!E4065</f>
        <v>0.467808184089272</v>
      </c>
      <c r="F4074" s="7" t="n">
        <f aca="false">Sens!F4072/Sens!F4065</f>
        <v>0.452065167494944</v>
      </c>
      <c r="G4074" s="7" t="n">
        <f aca="false">Sens!G4072/Sens!G4065</f>
        <v>0.402512404671021</v>
      </c>
      <c r="H4074" s="7" t="n">
        <f aca="false">Sens!H4072/Sens!H4065</f>
        <v>0.37509924440443</v>
      </c>
      <c r="I4074" s="7" t="n">
        <f aca="false">Sens!I4072/Sens!I4065</f>
        <v>0.357738501429816</v>
      </c>
      <c r="J4074" s="7" t="n">
        <f aca="false">Sens!J4072/Sens!J4065</f>
        <v>0.350280317206428</v>
      </c>
      <c r="K4074" s="7" t="n">
        <f aca="false">Sens!K4072/Sens!K4065</f>
        <v>0.349889184430375</v>
      </c>
    </row>
    <row r="4075" customFormat="false" ht="17.15" hidden="false" customHeight="false" outlineLevel="0" collapsed="false">
      <c r="A4075" s="1" t="s">
        <v>1071</v>
      </c>
      <c r="B4075" s="0" t="s">
        <v>98</v>
      </c>
      <c r="F4075" s="6" t="n">
        <f aca="false">Sens!F4090</f>
        <v>11.6721789377228</v>
      </c>
      <c r="G4075" s="6" t="n">
        <f aca="false">Sens!G4090</f>
        <v>31.2448675944395</v>
      </c>
      <c r="H4075" s="6" t="n">
        <f aca="false">Sens!H4090</f>
        <v>52.4356703060253</v>
      </c>
      <c r="I4075" s="6" t="n">
        <f aca="false">Sens!I4090</f>
        <v>71.4217803724773</v>
      </c>
      <c r="J4075" s="6" t="n">
        <f aca="false">Sens!J4090</f>
        <v>84.5339687428139</v>
      </c>
      <c r="K4075" s="6" t="n">
        <f aca="false">Sens!K4090</f>
        <v>91.5609396726158</v>
      </c>
      <c r="L4075" s="1" t="s">
        <v>1072</v>
      </c>
    </row>
    <row r="4076" customFormat="false" ht="17.15" hidden="false" customHeight="false" outlineLevel="0" collapsed="false">
      <c r="A4076" s="1" t="s">
        <v>1073</v>
      </c>
      <c r="B4076" s="0" t="s">
        <v>98</v>
      </c>
      <c r="D4076" s="6" t="n">
        <f aca="false">Sens!D4072</f>
        <v>128.528</v>
      </c>
      <c r="E4076" s="6" t="n">
        <f aca="false">Sens!E4072</f>
        <v>155.237</v>
      </c>
      <c r="F4076" s="6" t="n">
        <f aca="false">Sens!F4072+Sens!F4075</f>
        <v>193.329954254779</v>
      </c>
      <c r="G4076" s="6" t="n">
        <f aca="false">Sens!G4072+Sens!G4075</f>
        <v>226.979439496973</v>
      </c>
      <c r="H4076" s="6" t="n">
        <f aca="false">Sens!H4072+Sens!H4075</f>
        <v>267.279790475692</v>
      </c>
      <c r="I4076" s="6" t="n">
        <f aca="false">Sens!I4072+Sens!I4075</f>
        <v>304.546263591604</v>
      </c>
      <c r="J4076" s="6" t="n">
        <f aca="false">Sens!J4072+Sens!J4075</f>
        <v>335.057869257836</v>
      </c>
      <c r="K4076" s="6" t="n">
        <f aca="false">Sens!K4072+Sens!K4075</f>
        <v>359.202584116302</v>
      </c>
    </row>
    <row r="4077" customFormat="false" ht="17.15" hidden="false" customHeight="false" outlineLevel="0" collapsed="false">
      <c r="A4077" s="1" t="s">
        <v>1074</v>
      </c>
      <c r="B4077" s="0" t="s">
        <v>98</v>
      </c>
      <c r="E4077" s="6" t="n">
        <f aca="false">Sens!E4020</f>
        <v>16.3054059770833</v>
      </c>
      <c r="F4077" s="6" t="n">
        <f aca="false">Sens!F4020</f>
        <v>37.2133107952886</v>
      </c>
      <c r="G4077" s="6" t="n">
        <f aca="false">Sens!G4020</f>
        <v>68.7985305502921</v>
      </c>
      <c r="H4077" s="6" t="n">
        <f aca="false">Sens!H4020</f>
        <v>102.837250561268</v>
      </c>
      <c r="I4077" s="6" t="n">
        <f aca="false">Sens!I4020</f>
        <v>132.849603006019</v>
      </c>
      <c r="J4077" s="6" t="n">
        <f aca="false">Sens!J4020</f>
        <v>153.81036285865</v>
      </c>
      <c r="K4077" s="6" t="n">
        <f aca="false">Sens!K4020</f>
        <v>166.333314624954</v>
      </c>
    </row>
    <row r="4078" customFormat="false" ht="17.15" hidden="false" customHeight="false" outlineLevel="0" collapsed="false">
      <c r="A4078" s="1" t="s">
        <v>1075</v>
      </c>
      <c r="B4078" s="0" t="s">
        <v>98</v>
      </c>
      <c r="E4078" s="6" t="n">
        <f aca="false">Sens!E4102</f>
        <v>22.2285940229167</v>
      </c>
      <c r="F4078" s="6" t="n">
        <f aca="false">Sens!F4102</f>
        <v>23.5646464794801</v>
      </c>
      <c r="G4078" s="6" t="n">
        <f aca="false">Sens!G4102</f>
        <v>25.3255736344881</v>
      </c>
      <c r="H4078" s="6" t="n">
        <f aca="false">Sens!H4102</f>
        <v>27.4774172580983</v>
      </c>
      <c r="I4078" s="6" t="n">
        <f aca="false">Sens!I4102</f>
        <v>29.953858204313</v>
      </c>
      <c r="J4078" s="6" t="n">
        <f aca="false">Sens!J4102</f>
        <v>32.6718586842082</v>
      </c>
      <c r="K4078" s="6" t="n">
        <f aca="false">Sens!K4102</f>
        <v>35.5475605287073</v>
      </c>
    </row>
    <row r="4079" customFormat="false" ht="17.15" hidden="false" customHeight="false" outlineLevel="0" collapsed="false">
      <c r="A4079" s="1" t="s">
        <v>1076</v>
      </c>
      <c r="B4079" s="0" t="s">
        <v>98</v>
      </c>
      <c r="D4079" s="6" t="n">
        <f aca="false">Q!L27</f>
        <v>-4.901</v>
      </c>
      <c r="E4079" s="6" t="n">
        <f aca="false">Q!M27</f>
        <v>10.697</v>
      </c>
      <c r="F4079" s="6" t="n">
        <f aca="false">Q!$I$27+oie_f*(q_per_yr-1)/q_per_yr</f>
        <v>-0.862</v>
      </c>
      <c r="G4079" s="6" t="n">
        <f aca="false">oie_f</f>
        <v>-1.2</v>
      </c>
      <c r="H4079" s="6" t="n">
        <f aca="false">oie_f</f>
        <v>-1.2</v>
      </c>
      <c r="I4079" s="6" t="n">
        <f aca="false">oie_f</f>
        <v>-1.2</v>
      </c>
      <c r="J4079" s="6" t="n">
        <f aca="false">oie_f</f>
        <v>-1.2</v>
      </c>
      <c r="K4079" s="6" t="n">
        <f aca="false">oie_f</f>
        <v>-1.2</v>
      </c>
      <c r="L4079" s="12" t="s">
        <v>1077</v>
      </c>
    </row>
    <row r="4080" customFormat="false" ht="15" hidden="false" customHeight="false" outlineLevel="0" collapsed="false">
      <c r="A4080" s="1" t="s">
        <v>1078</v>
      </c>
      <c r="B4080" s="0" t="s">
        <v>98</v>
      </c>
      <c r="D4080" s="6" t="n">
        <f aca="false">Sens!D4072+Sens!D4079</f>
        <v>123.627</v>
      </c>
      <c r="E4080" s="6" t="n">
        <f aca="false">Sens!E4072+Sens!E4079</f>
        <v>165.934</v>
      </c>
      <c r="F4080" s="6" t="n">
        <f aca="false">Sens!F4072+Sens!F4079</f>
        <v>180.795775317056</v>
      </c>
      <c r="G4080" s="6" t="n">
        <f aca="false">Sens!G4072+Sens!G4079</f>
        <v>194.534571902533</v>
      </c>
      <c r="H4080" s="6" t="n">
        <f aca="false">Sens!H4072+Sens!H4079</f>
        <v>213.644120169666</v>
      </c>
      <c r="I4080" s="6" t="n">
        <f aca="false">Sens!I4072+Sens!I4079</f>
        <v>231.924483219127</v>
      </c>
      <c r="J4080" s="6" t="n">
        <f aca="false">Sens!J4072+Sens!J4079</f>
        <v>249.323900515022</v>
      </c>
      <c r="K4080" s="6" t="n">
        <f aca="false">Sens!K4072+Sens!K4079</f>
        <v>266.441644443686</v>
      </c>
    </row>
    <row r="4081" customFormat="false" ht="15" hidden="false" customHeight="false" outlineLevel="0" collapsed="false">
      <c r="A4081" s="1" t="s">
        <v>1079</v>
      </c>
      <c r="B4081" s="0" t="s">
        <v>98</v>
      </c>
      <c r="D4081" s="6" t="n">
        <f aca="false">Q!L29</f>
        <v>21.795</v>
      </c>
      <c r="E4081" s="6" t="n">
        <f aca="false">Q!M29</f>
        <v>32.185</v>
      </c>
      <c r="F4081" s="6" t="n">
        <f aca="false">Q!$I$29+(Sens!F4080-Q!$I$28)*tax_f</f>
        <v>36.2925550634113</v>
      </c>
      <c r="G4081" s="6" t="n">
        <f aca="false">Sens!G4080*tax_f</f>
        <v>38.9069143805067</v>
      </c>
      <c r="H4081" s="6" t="n">
        <f aca="false">Sens!H4080*tax_f</f>
        <v>42.7288240339333</v>
      </c>
      <c r="I4081" s="6" t="n">
        <f aca="false">Sens!I4080*tax_f</f>
        <v>46.3848966438254</v>
      </c>
      <c r="J4081" s="6" t="n">
        <f aca="false">Sens!J4080*tax_f</f>
        <v>49.8647801030045</v>
      </c>
      <c r="K4081" s="6" t="n">
        <f aca="false">Sens!K4080*tax_f</f>
        <v>53.2883288887372</v>
      </c>
    </row>
    <row r="4082" customFormat="false" ht="15" hidden="false" customHeight="false" outlineLevel="0" collapsed="false">
      <c r="A4082" s="1" t="s">
        <v>1080</v>
      </c>
      <c r="B4082" s="0" t="s">
        <v>98</v>
      </c>
      <c r="D4082" s="6" t="n">
        <f aca="false">Sens!D4080-Sens!D4081</f>
        <v>101.832</v>
      </c>
      <c r="E4082" s="6" t="n">
        <f aca="false">Sens!E4080-Sens!E4081</f>
        <v>133.749</v>
      </c>
      <c r="F4082" s="6" t="n">
        <f aca="false">Sens!F4080-Sens!F4081</f>
        <v>144.503220253645</v>
      </c>
      <c r="G4082" s="6" t="n">
        <f aca="false">Sens!G4080-Sens!G4081</f>
        <v>155.627657522027</v>
      </c>
      <c r="H4082" s="6" t="n">
        <f aca="false">Sens!H4080-Sens!H4081</f>
        <v>170.915296135733</v>
      </c>
      <c r="I4082" s="6" t="n">
        <f aca="false">Sens!I4080-Sens!I4081</f>
        <v>185.539586575302</v>
      </c>
      <c r="J4082" s="6" t="n">
        <f aca="false">Sens!J4080-Sens!J4081</f>
        <v>199.459120412018</v>
      </c>
      <c r="K4082" s="6" t="n">
        <f aca="false">Sens!K4080-Sens!K4081</f>
        <v>213.153315554949</v>
      </c>
    </row>
    <row r="4083" customFormat="false" ht="17.15" hidden="false" customHeight="false" outlineLevel="0" collapsed="false">
      <c r="A4083" s="1" t="s">
        <v>1081</v>
      </c>
      <c r="B4083" s="1" t="s">
        <v>81</v>
      </c>
      <c r="D4083" s="15" t="n">
        <f aca="false">Q!L31</f>
        <v>7.465</v>
      </c>
      <c r="E4083" s="15" t="n">
        <f aca="false">Q!M31</f>
        <v>7.453</v>
      </c>
      <c r="F4083" s="15" t="n">
        <f aca="false">Sens!F4127</f>
        <v>7.4735</v>
      </c>
      <c r="G4083" s="15" t="n">
        <f aca="false">Sens!G4127</f>
        <v>7.5185</v>
      </c>
      <c r="H4083" s="15" t="n">
        <f aca="false">Sens!H4127</f>
        <v>7.5635</v>
      </c>
      <c r="I4083" s="15" t="n">
        <f aca="false">Sens!I4127</f>
        <v>7.59248142502667</v>
      </c>
      <c r="J4083" s="15" t="n">
        <f aca="false">Sens!J4127</f>
        <v>7.60663083618914</v>
      </c>
      <c r="K4083" s="15" t="n">
        <f aca="false">Sens!K4127</f>
        <v>7.62306547615439</v>
      </c>
    </row>
    <row r="4084" customFormat="false" ht="17.15" hidden="false" customHeight="false" outlineLevel="0" collapsed="false">
      <c r="A4084" s="0" t="s">
        <v>1082</v>
      </c>
      <c r="B4084" s="0" t="s">
        <v>75</v>
      </c>
      <c r="D4084" s="8" t="n">
        <f aca="false">Sens!D4082/Sens!D4083</f>
        <v>13.641259209645</v>
      </c>
      <c r="E4084" s="8" t="n">
        <f aca="false">Sens!E4082/Sens!E4083</f>
        <v>17.9456594659869</v>
      </c>
      <c r="F4084" s="8" t="n">
        <f aca="false">Sens!F4082/Sens!F4083</f>
        <v>19.3354144983803</v>
      </c>
      <c r="G4084" s="8" t="n">
        <f aca="false">Sens!G4082/Sens!G4083</f>
        <v>20.6992960726244</v>
      </c>
      <c r="H4084" s="8" t="n">
        <f aca="false">Sens!H4082/Sens!H4083</f>
        <v>22.597381653432</v>
      </c>
      <c r="I4084" s="8" t="n">
        <f aca="false">Sens!I4082/Sens!I4083</f>
        <v>24.4372789591184</v>
      </c>
      <c r="J4084" s="8" t="n">
        <f aca="false">Sens!J4082/Sens!J4083</f>
        <v>26.2217432010865</v>
      </c>
      <c r="K4084" s="8" t="n">
        <f aca="false">Sens!K4082/Sens!K4083</f>
        <v>27.9616272773349</v>
      </c>
      <c r="L4084" s="1" t="s">
        <v>1083</v>
      </c>
    </row>
    <row r="4085" customFormat="false" ht="17.15" hidden="false" customHeight="false" outlineLevel="0" collapsed="false">
      <c r="A4085" s="1" t="s">
        <v>1084</v>
      </c>
      <c r="B4085" s="0" t="s">
        <v>98</v>
      </c>
      <c r="D4085" s="6" t="n">
        <f aca="false">Sens!D4082</f>
        <v>101.832</v>
      </c>
      <c r="E4085" s="6" t="n">
        <f aca="false">Sens!E4082</f>
        <v>133.749</v>
      </c>
      <c r="F4085" s="6" t="n">
        <f aca="false">Sens!F4082+Sens!F4075*(1-tax_f)</f>
        <v>153.840963403823</v>
      </c>
      <c r="G4085" s="6" t="n">
        <f aca="false">Sens!G4082+Sens!G4075*(1-tax_f)</f>
        <v>180.623551597578</v>
      </c>
      <c r="H4085" s="6" t="n">
        <f aca="false">Sens!H4082+Sens!H4075*(1-tax_f)</f>
        <v>212.863832380553</v>
      </c>
      <c r="I4085" s="6" t="n">
        <f aca="false">Sens!I4082+Sens!I4075*(1-tax_f)</f>
        <v>242.677010873283</v>
      </c>
      <c r="J4085" s="6" t="n">
        <f aca="false">Sens!J4082+Sens!J4075*(1-tax_f)</f>
        <v>267.086295406269</v>
      </c>
      <c r="K4085" s="6" t="n">
        <f aca="false">Sens!K4082+Sens!K4075*(1-tax_f)</f>
        <v>286.402067293041</v>
      </c>
    </row>
    <row r="4086" customFormat="false" ht="17.15" hidden="false" customHeight="false" outlineLevel="0" collapsed="false">
      <c r="A4086" s="0" t="s">
        <v>1085</v>
      </c>
      <c r="B4086" s="0" t="s">
        <v>75</v>
      </c>
      <c r="D4086" s="8" t="n">
        <f aca="false">Sens!D4085/Sens!D4083</f>
        <v>13.641259209645</v>
      </c>
      <c r="E4086" s="8" t="n">
        <f aca="false">Sens!E4085/Sens!E4083</f>
        <v>17.9456594659869</v>
      </c>
      <c r="F4086" s="8" t="n">
        <f aca="false">Sens!F4085/Sens!F4083</f>
        <v>20.5848616316081</v>
      </c>
      <c r="G4086" s="8" t="n">
        <f aca="false">Sens!G4085/Sens!G4083</f>
        <v>24.0238813057895</v>
      </c>
      <c r="H4086" s="8" t="n">
        <f aca="false">Sens!H4085/Sens!H4083</f>
        <v>28.1435621578044</v>
      </c>
      <c r="I4086" s="8" t="n">
        <f aca="false">Sens!I4085/Sens!I4083</f>
        <v>31.9628060034972</v>
      </c>
      <c r="J4086" s="8" t="n">
        <f aca="false">Sens!J4085/Sens!J4083</f>
        <v>35.112298882126</v>
      </c>
      <c r="K4086" s="8" t="n">
        <f aca="false">Sens!K4085/Sens!K4083</f>
        <v>37.5704587857643</v>
      </c>
      <c r="L4086" s="1" t="s">
        <v>1086</v>
      </c>
    </row>
    <row r="4087" customFormat="false" ht="17.15" hidden="false" customHeight="false" outlineLevel="0" collapsed="false">
      <c r="A4087" s="0" t="s">
        <v>1087</v>
      </c>
      <c r="B4087" s="0" t="s">
        <v>168</v>
      </c>
      <c r="E4087" s="7" t="n">
        <f aca="false">Sens!E4086/Sens!D4086-1</f>
        <v>0.315542736208578</v>
      </c>
      <c r="F4087" s="7" t="n">
        <f aca="false">Sens!F4086/Sens!E4086-1</f>
        <v>0.147066323788404</v>
      </c>
      <c r="G4087" s="7" t="n">
        <f aca="false">Sens!G4086/Sens!F4086-1</f>
        <v>0.167065474411582</v>
      </c>
      <c r="H4087" s="7" t="n">
        <f aca="false">Sens!H4086/Sens!G4086-1</f>
        <v>0.171482734183426</v>
      </c>
      <c r="I4087" s="7" t="n">
        <f aca="false">Sens!I4086/Sens!H4086-1</f>
        <v>0.13570577257697</v>
      </c>
      <c r="J4087" s="7" t="n">
        <f aca="false">Sens!J4086/Sens!I4086-1</f>
        <v>0.0985361822827497</v>
      </c>
      <c r="K4087" s="7" t="n">
        <f aca="false">Sens!K4086/Sens!J4086-1</f>
        <v>0.0700085150189258</v>
      </c>
    </row>
    <row r="4088" customFormat="false" ht="17.15" hidden="false" customHeight="false" outlineLevel="0" collapsed="false">
      <c r="A4088" s="0" t="s">
        <v>1007</v>
      </c>
      <c r="B4088" s="0" t="s">
        <v>98</v>
      </c>
      <c r="E4088" s="6" t="n">
        <f aca="false">Sens!E4029</f>
        <v>5.25</v>
      </c>
      <c r="F4088" s="6" t="n">
        <f aca="false">Sens!F4029</f>
        <v>12</v>
      </c>
      <c r="G4088" s="6" t="n">
        <f aca="false">Sens!G4029</f>
        <v>18</v>
      </c>
      <c r="H4088" s="6" t="n">
        <f aca="false">Sens!H4029</f>
        <v>24</v>
      </c>
      <c r="I4088" s="6" t="n">
        <f aca="false">Sens!I4029</f>
        <v>28.5</v>
      </c>
      <c r="J4088" s="6" t="n">
        <f aca="false">Sens!J4029</f>
        <v>31.5</v>
      </c>
      <c r="K4088" s="6" t="n">
        <f aca="false">Sens!K4029</f>
        <v>34.5</v>
      </c>
    </row>
    <row r="4089" customFormat="false" ht="17.15" hidden="false" customHeight="false" outlineLevel="0" collapsed="false">
      <c r="A4089" s="1" t="s">
        <v>1008</v>
      </c>
      <c r="B4089" s="0" t="s">
        <v>98</v>
      </c>
      <c r="F4089" s="6" t="n">
        <f aca="false">MAX(0,((Sens!E3989+Sens!F3989)/2-(shadow_base*(Sens!$D$3989+Sens!$E$3989)/2+(1-shadow_base)*Sens!$E$3989))*Sens!F3998/1000-(Sens!F4088-Sens!$E$4088)*Sens!F4068)</f>
        <v>11.6721789377228</v>
      </c>
      <c r="G4089" s="6" t="n">
        <f aca="false">MAX(0,((Sens!F3989+Sens!G3989)/2-(shadow_base*(Sens!$D$3989+Sens!$E$3989)/2+(1-shadow_base)*Sens!$E$3989))*Sens!G3998/1000-(Sens!G4088-Sens!$E$4088)*Sens!G4068)</f>
        <v>31.2448675944395</v>
      </c>
      <c r="H4089" s="6" t="n">
        <f aca="false">MAX(0,((Sens!G3989+Sens!H3989)/2-(shadow_base*(Sens!$D$3989+Sens!$E$3989)/2+(1-shadow_base)*Sens!$E$3989))*Sens!H3998/1000-(Sens!H4088-Sens!$E$4088)*Sens!H4068)</f>
        <v>52.4356703060253</v>
      </c>
      <c r="I4089" s="6" t="n">
        <f aca="false">MAX(0,((Sens!H3989+Sens!I3989)/2-(shadow_base*(Sens!$D$3989+Sens!$E$3989)/2+(1-shadow_base)*Sens!$E$3989))*Sens!I3998/1000-(Sens!I4088-Sens!$E$4088)*Sens!I4068)</f>
        <v>71.4217803724773</v>
      </c>
      <c r="J4089" s="6" t="n">
        <f aca="false">MAX(0,((Sens!I3989+Sens!J3989)/2-(shadow_base*(Sens!$D$3989+Sens!$E$3989)/2+(1-shadow_base)*Sens!$E$3989))*Sens!J3998/1000-(Sens!J4088-Sens!$E$4088)*Sens!J4068)</f>
        <v>84.5339687428139</v>
      </c>
      <c r="K4089" s="6" t="n">
        <f aca="false">MAX(0,((Sens!J3989+Sens!K3989)/2-(shadow_base*(Sens!$D$3989+Sens!$E$3989)/2+(1-shadow_base)*Sens!$E$3989))*Sens!K3998/1000-(Sens!K4088-Sens!$E$4088)*Sens!K4068)</f>
        <v>91.5609396726158</v>
      </c>
      <c r="L4089" s="1" t="s">
        <v>1009</v>
      </c>
    </row>
    <row r="4090" customFormat="false" ht="17.15" hidden="false" customHeight="false" outlineLevel="0" collapsed="false">
      <c r="A4090" s="1" t="s">
        <v>1010</v>
      </c>
      <c r="B4090" s="0" t="s">
        <v>98</v>
      </c>
      <c r="F4090" s="6" t="n">
        <f aca="false">IF(internal_ai_reading=2,1,0)*Sens!F4089</f>
        <v>11.6721789377228</v>
      </c>
      <c r="G4090" s="6" t="n">
        <f aca="false">IF(internal_ai_reading=2,1,0)*Sens!G4089</f>
        <v>31.2448675944395</v>
      </c>
      <c r="H4090" s="6" t="n">
        <f aca="false">IF(internal_ai_reading=2,1,0)*Sens!H4089</f>
        <v>52.4356703060253</v>
      </c>
      <c r="I4090" s="6" t="n">
        <f aca="false">IF(internal_ai_reading=2,1,0)*Sens!I4089</f>
        <v>71.4217803724773</v>
      </c>
      <c r="J4090" s="6" t="n">
        <f aca="false">IF(internal_ai_reading=2,1,0)*Sens!J4089</f>
        <v>84.5339687428139</v>
      </c>
      <c r="K4090" s="6" t="n">
        <f aca="false">IF(internal_ai_reading=2,1,0)*Sens!K4089</f>
        <v>91.5609396726158</v>
      </c>
    </row>
    <row r="4091" customFormat="false" ht="17.15" hidden="false" customHeight="false" outlineLevel="0" collapsed="false">
      <c r="A4091" s="0" t="s">
        <v>1011</v>
      </c>
      <c r="B4091" s="0" t="s">
        <v>98</v>
      </c>
      <c r="F4091" s="6" t="n">
        <f aca="false">Sens!F4008+Sens!F4088*Sens!F4068+Sens!F4090-Sens!F4009-Sens!F4020</f>
        <v>16.4856248340237</v>
      </c>
      <c r="G4091" s="6" t="n">
        <f aca="false">Sens!G4008+Sens!G4088*Sens!G4068+Sens!G4090-Sens!G4009-Sens!G4020</f>
        <v>36.0712012899653</v>
      </c>
      <c r="H4091" s="6" t="n">
        <f aca="false">Sens!H4008+Sens!H4088*Sens!H4068+Sens!H4090-Sens!H4009-Sens!H4020</f>
        <v>56.3777667295736</v>
      </c>
      <c r="I4091" s="6" t="n">
        <f aca="false">Sens!I4008+Sens!I4088*Sens!I4068+Sens!I4090-Sens!I4009-Sens!I4020</f>
        <v>74.0219034172994</v>
      </c>
      <c r="J4091" s="6" t="n">
        <f aca="false">Sens!J4008+Sens!J4088*Sens!J4068+Sens!J4090-Sens!J4009-Sens!J4020</f>
        <v>86.0534269704509</v>
      </c>
      <c r="K4091" s="6" t="n">
        <f aca="false">Sens!K4008+Sens!K4088*Sens!K4068+Sens!K4090-Sens!K4009-Sens!K4020</f>
        <v>93.6535802028762</v>
      </c>
    </row>
    <row r="4092" customFormat="false" ht="17.15" hidden="false" customHeight="false" outlineLevel="0" collapsed="false">
      <c r="A4092" s="0" t="s">
        <v>1012</v>
      </c>
      <c r="B4092" s="0" t="s">
        <v>98</v>
      </c>
      <c r="E4092" s="6" t="n">
        <f aca="false">Sens!E3988*(cxit_open+self_build*tk_cxfac)/1000*ai_net_open</f>
        <v>126.6980382</v>
      </c>
      <c r="F4092" s="6" t="n">
        <f aca="false">Sens!E4092+Sens!F4017-Sens!F4020</f>
        <v>294.382915210455</v>
      </c>
      <c r="G4092" s="6" t="n">
        <f aca="false">Sens!F4092+Sens!G4017-Sens!G4020</f>
        <v>455.917755439021</v>
      </c>
      <c r="H4092" s="6" t="n">
        <f aca="false">Sens!G4092+Sens!H4017-Sens!H4020</f>
        <v>589.247709755167</v>
      </c>
      <c r="I4092" s="6" t="n">
        <f aca="false">Sens!H4092+Sens!I4017-Sens!I4020</f>
        <v>652.434576937081</v>
      </c>
      <c r="J4092" s="6" t="n">
        <f aca="false">Sens!I4092+Sens!J4017-Sens!J4020</f>
        <v>643.584650325439</v>
      </c>
      <c r="K4092" s="6" t="n">
        <f aca="false">Sens!J4092+Sens!K4017-Sens!K4020</f>
        <v>601.060261086901</v>
      </c>
      <c r="L4092" s="1" t="s">
        <v>1013</v>
      </c>
    </row>
    <row r="4093" customFormat="false" ht="17.15" hidden="false" customHeight="false" outlineLevel="0" collapsed="false">
      <c r="A4093" s="0" t="s">
        <v>1014</v>
      </c>
      <c r="B4093" s="0" t="s">
        <v>168</v>
      </c>
      <c r="F4093" s="7" t="n">
        <f aca="false">Sens!F4091*(1-tax_f)/((Sens!E4092+Sens!F4092)/2)</f>
        <v>0.0626411608523327</v>
      </c>
      <c r="G4093" s="7" t="n">
        <f aca="false">Sens!G4091*(1-tax_f)/((Sens!F4092+Sens!G4092)/2)</f>
        <v>0.0769210588789507</v>
      </c>
      <c r="H4093" s="7" t="n">
        <f aca="false">Sens!H4091*(1-tax_f)/((Sens!G4092+Sens!H4092)/2)</f>
        <v>0.0863063598743746</v>
      </c>
      <c r="I4093" s="7" t="n">
        <f aca="false">Sens!I4091*(1-tax_f)/((Sens!H4092+Sens!I4092)/2)</f>
        <v>0.0953827293318176</v>
      </c>
      <c r="J4093" s="7" t="n">
        <f aca="false">Sens!J4091*(1-tax_f)/((Sens!I4092+Sens!J4092)/2)</f>
        <v>0.106237222609377</v>
      </c>
      <c r="K4093" s="7" t="n">
        <f aca="false">Sens!K4091*(1-tax_f)/((Sens!J4092+Sens!K4092)/2)</f>
        <v>0.120392352027991</v>
      </c>
    </row>
    <row r="4094" customFormat="false" ht="17.15" hidden="false" customHeight="false" outlineLevel="0" collapsed="false">
      <c r="A4094" s="1" t="s">
        <v>1015</v>
      </c>
      <c r="B4094" s="0" t="s">
        <v>168</v>
      </c>
      <c r="F4094" s="7" t="n">
        <f aca="false">(Sens!F4091-Sens!F4090)*(1-tax_f)/((Sens!E4092+Sens!F4092)/2)</f>
        <v>0.018289864150123</v>
      </c>
      <c r="G4094" s="7" t="n">
        <f aca="false">(Sens!G4091-Sens!G4090)*(1-tax_f)/((Sens!F4092+Sens!G4092)/2)</f>
        <v>0.0102920525262984</v>
      </c>
      <c r="H4094" s="7" t="n">
        <f aca="false">(Sens!H4091-Sens!H4090)*(1-tax_f)/((Sens!G4092+Sens!H4092)/2)</f>
        <v>0.00603479017220043</v>
      </c>
      <c r="I4094" s="7" t="n">
        <f aca="false">(Sens!I4091-Sens!I4090)*(1-tax_f)/((Sens!H4092+Sens!I4092)/2)</f>
        <v>0.00335045197656635</v>
      </c>
      <c r="J4094" s="7" t="n">
        <f aca="false">(Sens!J4091-Sens!J4090)*(1-tax_f)/((Sens!I4092+Sens!J4092)/2)</f>
        <v>0.00187584652532844</v>
      </c>
      <c r="K4094" s="7" t="n">
        <f aca="false">(Sens!K4091-Sens!K4090)*(1-tax_f)/((Sens!J4092+Sens!K4092)/2)</f>
        <v>0.00269010447696069</v>
      </c>
    </row>
    <row r="4095" customFormat="false" ht="17.15" hidden="false" customHeight="false" outlineLevel="0" collapsed="false">
      <c r="A4095" s="1" t="s">
        <v>1016</v>
      </c>
      <c r="B4095" s="0" t="s">
        <v>168</v>
      </c>
      <c r="F4095" s="7" t="n">
        <f aca="false">(Sens!F4091-Sens!F4090+Sens!F4089)*(1-tax_f)/((Sens!E4092+Sens!F4092)/2)</f>
        <v>0.0626411608523327</v>
      </c>
      <c r="G4095" s="7" t="n">
        <f aca="false">(Sens!G4091-Sens!G4090+Sens!G4089)*(1-tax_f)/((Sens!F4092+Sens!G4092)/2)</f>
        <v>0.0769210588789507</v>
      </c>
      <c r="H4095" s="7" t="n">
        <f aca="false">(Sens!H4091-Sens!H4090+Sens!H4089)*(1-tax_f)/((Sens!G4092+Sens!H4092)/2)</f>
        <v>0.0863063598743746</v>
      </c>
      <c r="I4095" s="7" t="n">
        <f aca="false">(Sens!I4091-Sens!I4090+Sens!I4089)*(1-tax_f)/((Sens!H4092+Sens!I4092)/2)</f>
        <v>0.0953827293318176</v>
      </c>
      <c r="J4095" s="7" t="n">
        <f aca="false">(Sens!J4091-Sens!J4090+Sens!J4089)*(1-tax_f)/((Sens!I4092+Sens!J4092)/2)</f>
        <v>0.106237222609377</v>
      </c>
      <c r="K4095" s="7" t="n">
        <f aca="false">(Sens!K4091-Sens!K4090+Sens!K4089)*(1-tax_f)/((Sens!J4092+Sens!K4092)/2)</f>
        <v>0.120392352027991</v>
      </c>
    </row>
    <row r="4096" customFormat="false" ht="17.15" hidden="false" customHeight="false" outlineLevel="0" collapsed="false">
      <c r="A4096" s="1" t="s">
        <v>1017</v>
      </c>
      <c r="B4096" s="0" t="s">
        <v>168</v>
      </c>
      <c r="F4096" s="7" t="n">
        <f aca="false">Sens!F4021*(1-tax_f)/(Sens!F4007*(Sens!E4092+Sens!F4092)/2)</f>
        <v>0.126971180107708</v>
      </c>
      <c r="G4096" s="7" t="n">
        <f aca="false">Sens!G4021*(1-tax_f)/(Sens!G4007*(Sens!F4092+Sens!G4092)/2)</f>
        <v>0.12386479476981</v>
      </c>
      <c r="H4096" s="7" t="n">
        <f aca="false">Sens!H4021*(1-tax_f)/(Sens!H4007*(Sens!G4092+Sens!H4092)/2)</f>
        <v>0.127525609461168</v>
      </c>
      <c r="I4096" s="7" t="n">
        <f aca="false">Sens!I4021*(1-tax_f)/(Sens!I4007*(Sens!H4092+Sens!I4092)/2)</f>
        <v>0.13551866041083</v>
      </c>
      <c r="J4096" s="7" t="n">
        <f aca="false">Sens!J4021*(1-tax_f)/(Sens!J4007*(Sens!I4092+Sens!J4092)/2)</f>
        <v>0.148329743539679</v>
      </c>
      <c r="K4096" s="7" t="n">
        <f aca="false">Sens!K4021*(1-tax_f)/(Sens!K4007*(Sens!J4092+Sens!K4092)/2)</f>
        <v>0.166774676924982</v>
      </c>
    </row>
    <row r="4097" customFormat="false" ht="17.15" hidden="false" customHeight="false" outlineLevel="0" collapsed="false">
      <c r="A4097" s="0" t="s">
        <v>1018</v>
      </c>
      <c r="B4097" s="0" t="s">
        <v>253</v>
      </c>
      <c r="F4097" s="7" t="n">
        <f aca="false">Sens!F4093-wacc</f>
        <v>-0.0402954300932646</v>
      </c>
      <c r="G4097" s="7" t="n">
        <f aca="false">Sens!G4093-wacc</f>
        <v>-0.0260155320666466</v>
      </c>
      <c r="H4097" s="7" t="n">
        <f aca="false">Sens!H4093-wacc</f>
        <v>-0.0166302310712227</v>
      </c>
      <c r="I4097" s="7" t="n">
        <f aca="false">Sens!I4093-wacc</f>
        <v>-0.00755386161377965</v>
      </c>
      <c r="J4097" s="7" t="n">
        <f aca="false">Sens!J4093-wacc</f>
        <v>0.00330063166378</v>
      </c>
      <c r="K4097" s="7" t="n">
        <f aca="false">Sens!K4093-wacc</f>
        <v>0.0174557610823936</v>
      </c>
    </row>
    <row r="4098" customFormat="false" ht="17.15" hidden="false" customHeight="false" outlineLevel="0" collapsed="false">
      <c r="A4098" s="0" t="s">
        <v>1019</v>
      </c>
      <c r="B4098" s="0" t="s">
        <v>98</v>
      </c>
      <c r="F4098" s="6" t="n">
        <f aca="false">Sens!F4091*(1-tax_f)-wacc*(Sens!E4092+Sens!F4092)/2</f>
        <v>-8.4838190608781</v>
      </c>
      <c r="G4098" s="6" t="n">
        <f aca="false">Sens!G4091*(1-tax_f)-wacc*(Sens!F4092+Sens!G4092)/2</f>
        <v>-9.75973557845392</v>
      </c>
      <c r="H4098" s="6" t="n">
        <f aca="false">Sens!H4091*(1-tax_f)-wacc*(Sens!G4092+Sens!H4092)/2</f>
        <v>-8.69067159692067</v>
      </c>
      <c r="I4098" s="6" t="n">
        <f aca="false">Sens!I4091*(1-tax_f)-wacc*(Sens!H4092+Sens!I4092)/2</f>
        <v>-4.68974808097735</v>
      </c>
      <c r="J4098" s="6" t="n">
        <f aca="false">Sens!J4091*(1-tax_f)-wacc*(Sens!I4092+Sens!J4092)/2</f>
        <v>2.13884104918519</v>
      </c>
      <c r="K4098" s="6" t="n">
        <f aca="false">Sens!K4091*(1-tax_f)-wacc*(Sens!J4092+Sens!K4092)/2</f>
        <v>10.8631121030153</v>
      </c>
    </row>
    <row r="4099" customFormat="false" ht="17.15" hidden="false" customHeight="false" outlineLevel="0" collapsed="false">
      <c r="A4099" s="3" t="s">
        <v>1713</v>
      </c>
    </row>
    <row r="4100" customFormat="false" ht="15" hidden="false" customHeight="false" outlineLevel="0" collapsed="false">
      <c r="A4100" s="4" t="s">
        <v>43</v>
      </c>
      <c r="B4100" s="4" t="s">
        <v>65</v>
      </c>
      <c r="C4100" s="23" t="s">
        <v>942</v>
      </c>
      <c r="D4100" s="23" t="s">
        <v>943</v>
      </c>
      <c r="E4100" s="23" t="s">
        <v>944</v>
      </c>
      <c r="F4100" s="23" t="s">
        <v>945</v>
      </c>
      <c r="G4100" s="23" t="s">
        <v>946</v>
      </c>
      <c r="H4100" s="23" t="s">
        <v>947</v>
      </c>
      <c r="I4100" s="23" t="s">
        <v>948</v>
      </c>
      <c r="J4100" s="23" t="s">
        <v>949</v>
      </c>
      <c r="K4100" s="23" t="s">
        <v>950</v>
      </c>
      <c r="L4100" s="4" t="s">
        <v>47</v>
      </c>
    </row>
    <row r="4101" customFormat="false" ht="15" hidden="false" customHeight="false" outlineLevel="0" collapsed="false">
      <c r="A4101" s="1" t="s">
        <v>1080</v>
      </c>
      <c r="B4101" s="0" t="s">
        <v>98</v>
      </c>
      <c r="F4101" s="6" t="n">
        <f aca="false">Sens!F4082</f>
        <v>144.503220253645</v>
      </c>
      <c r="G4101" s="6" t="n">
        <f aca="false">Sens!G4082</f>
        <v>155.627657522027</v>
      </c>
      <c r="H4101" s="6" t="n">
        <f aca="false">Sens!H4082</f>
        <v>170.915296135733</v>
      </c>
      <c r="I4101" s="6" t="n">
        <f aca="false">Sens!I4082</f>
        <v>185.539586575302</v>
      </c>
      <c r="J4101" s="6" t="n">
        <f aca="false">Sens!J4082</f>
        <v>199.459120412018</v>
      </c>
      <c r="K4101" s="6" t="n">
        <f aca="false">Sens!K4082</f>
        <v>213.153315554949</v>
      </c>
    </row>
    <row r="4102" customFormat="false" ht="17.15" hidden="false" customHeight="false" outlineLevel="0" collapsed="false">
      <c r="A4102" s="1" t="s">
        <v>1102</v>
      </c>
      <c r="B4102" s="0" t="s">
        <v>98</v>
      </c>
      <c r="E4102" s="6" t="n">
        <f aca="false">Q!M38-Sens!E4020</f>
        <v>22.2285940229167</v>
      </c>
      <c r="F4102" s="6" t="n">
        <f aca="false">Sens!E4102*(1-1/life_nonai)+(Sens!F4110+Sens!F4111)/life_nonai</f>
        <v>23.5646464794801</v>
      </c>
      <c r="G4102" s="6" t="n">
        <f aca="false">Sens!F4102*(1-1/life_nonai)+(Sens!G4110)/life_nonai</f>
        <v>25.3255736344881</v>
      </c>
      <c r="H4102" s="6" t="n">
        <f aca="false">Sens!G4102*(1-1/life_nonai)+(Sens!H4110)/life_nonai</f>
        <v>27.4774172580983</v>
      </c>
      <c r="I4102" s="6" t="n">
        <f aca="false">Sens!H4102*(1-1/life_nonai)+(Sens!I4110)/life_nonai</f>
        <v>29.953858204313</v>
      </c>
      <c r="J4102" s="6" t="n">
        <f aca="false">Sens!I4102*(1-1/life_nonai)+(Sens!J4110)/life_nonai</f>
        <v>32.6718586842082</v>
      </c>
      <c r="K4102" s="6" t="n">
        <f aca="false">Sens!J4102*(1-1/life_nonai)+(Sens!K4110)/life_nonai</f>
        <v>35.5475605287073</v>
      </c>
      <c r="L4102" s="12" t="s">
        <v>1103</v>
      </c>
    </row>
    <row r="4103" customFormat="false" ht="17.15" hidden="false" customHeight="false" outlineLevel="0" collapsed="false">
      <c r="A4103" s="1" t="s">
        <v>1104</v>
      </c>
      <c r="B4103" s="0" t="s">
        <v>98</v>
      </c>
      <c r="F4103" s="6" t="n">
        <f aca="false">Sens!$F$4111/life_nonai*(1-1/life_nonai)^(Sens!F3983-2027)</f>
        <v>0</v>
      </c>
      <c r="G4103" s="6" t="n">
        <f aca="false">Sens!$F$4111/life_nonai*(1-1/life_nonai)^(Sens!G3983-2027)</f>
        <v>0</v>
      </c>
      <c r="H4103" s="6" t="n">
        <f aca="false">Sens!$F$4111/life_nonai*(1-1/life_nonai)^(Sens!H3983-2027)</f>
        <v>0</v>
      </c>
      <c r="I4103" s="6" t="n">
        <f aca="false">Sens!$F$4111/life_nonai*(1-1/life_nonai)^(Sens!I3983-2027)</f>
        <v>0</v>
      </c>
      <c r="J4103" s="6" t="n">
        <f aca="false">Sens!$F$4111/life_nonai*(1-1/life_nonai)^(Sens!J3983-2027)</f>
        <v>0</v>
      </c>
      <c r="K4103" s="6" t="n">
        <f aca="false">Sens!$F$4111/life_nonai*(1-1/life_nonai)^(Sens!K3983-2027)</f>
        <v>0</v>
      </c>
      <c r="L4103" s="1" t="s">
        <v>1105</v>
      </c>
    </row>
    <row r="4104" customFormat="false" ht="17.15" hidden="false" customHeight="false" outlineLevel="0" collapsed="false">
      <c r="A4104" s="1" t="s">
        <v>1106</v>
      </c>
      <c r="B4104" s="0" t="s">
        <v>98</v>
      </c>
      <c r="E4104" s="6" t="n">
        <f aca="false">Sens!E4020+Sens!E4102</f>
        <v>38.534</v>
      </c>
      <c r="F4104" s="6" t="n">
        <f aca="false">Sens!F4020+Sens!F4102</f>
        <v>60.7779572747687</v>
      </c>
      <c r="G4104" s="6" t="n">
        <f aca="false">Sens!G4020+Sens!G4102</f>
        <v>94.1241041847802</v>
      </c>
      <c r="H4104" s="6" t="n">
        <f aca="false">Sens!H4020+Sens!H4102</f>
        <v>130.314667819366</v>
      </c>
      <c r="I4104" s="6" t="n">
        <f aca="false">Sens!I4020+Sens!I4102</f>
        <v>162.803461210332</v>
      </c>
      <c r="J4104" s="6" t="n">
        <f aca="false">Sens!J4020+Sens!J4102</f>
        <v>186.482221542858</v>
      </c>
      <c r="K4104" s="6" t="n">
        <f aca="false">Sens!K4020+Sens!K4102</f>
        <v>201.880875153661</v>
      </c>
    </row>
    <row r="4105" customFormat="false" ht="17.15" hidden="false" customHeight="false" outlineLevel="0" collapsed="false">
      <c r="A4105" s="1" t="s">
        <v>1107</v>
      </c>
      <c r="B4105" s="0" t="s">
        <v>98</v>
      </c>
      <c r="F4105" s="6" t="n">
        <f aca="false">Sens!F4047*sbc_r</f>
        <v>15.0218108381702</v>
      </c>
      <c r="G4105" s="6" t="n">
        <f aca="false">Sens!G4047*sbc_r</f>
        <v>18.1784819761204</v>
      </c>
      <c r="H4105" s="6" t="n">
        <f aca="false">Sens!H4047*sbc_r</f>
        <v>21.4114769553857</v>
      </c>
      <c r="I4105" s="6" t="n">
        <f aca="false">Sens!I4047*sbc_r</f>
        <v>24.3607999669233</v>
      </c>
      <c r="J4105" s="6" t="n">
        <f aca="false">Sens!J4047*sbc_r</f>
        <v>26.7363903408207</v>
      </c>
      <c r="K4105" s="6" t="n">
        <f aca="false">Sens!K4047*sbc_r</f>
        <v>28.5951589005327</v>
      </c>
    </row>
    <row r="4106" customFormat="false" ht="17.15" hidden="false" customHeight="false" outlineLevel="0" collapsed="false">
      <c r="A4106" s="1" t="s">
        <v>1108</v>
      </c>
      <c r="B4106" s="0" t="s">
        <v>98</v>
      </c>
      <c r="F4106" s="6" t="n">
        <f aca="false">wc27-wc26q1</f>
        <v>-4.677</v>
      </c>
      <c r="G4106" s="6" t="n">
        <f aca="false">wc_f</f>
        <v>0</v>
      </c>
      <c r="H4106" s="6" t="n">
        <f aca="false">wc_f</f>
        <v>0</v>
      </c>
      <c r="I4106" s="6" t="n">
        <f aca="false">wc_f</f>
        <v>0</v>
      </c>
      <c r="J4106" s="6" t="n">
        <f aca="false">wc_f</f>
        <v>0</v>
      </c>
      <c r="K4106" s="6" t="n">
        <f aca="false">wc_f</f>
        <v>0</v>
      </c>
      <c r="L4106" s="12" t="s">
        <v>1109</v>
      </c>
    </row>
    <row r="4107" customFormat="false" ht="17.15" hidden="false" customHeight="false" outlineLevel="0" collapsed="false">
      <c r="A4107" s="0" t="s">
        <v>1110</v>
      </c>
      <c r="B4107" s="0" t="s">
        <v>98</v>
      </c>
      <c r="F4107" s="6" t="n">
        <f aca="false">Q!$I$35-Q!$I$26-Q!$I$38-Q!$I$39</f>
        <v>6.493</v>
      </c>
      <c r="L4107" s="1" t="s">
        <v>1111</v>
      </c>
    </row>
    <row r="4108" customFormat="false" ht="15" hidden="false" customHeight="false" outlineLevel="0" collapsed="false">
      <c r="A4108" s="1" t="s">
        <v>908</v>
      </c>
      <c r="B4108" s="0" t="s">
        <v>98</v>
      </c>
      <c r="E4108" s="6" t="n">
        <f aca="false">Q!M35</f>
        <v>182.935</v>
      </c>
      <c r="F4108" s="6" t="n">
        <f aca="false">Sens!F4101+Sens!F4104+Sens!F4105+Sens!F4106+Sens!F4107</f>
        <v>222.118988366584</v>
      </c>
      <c r="G4108" s="6" t="n">
        <f aca="false">Sens!G4101+Sens!G4104+Sens!G4105+Sens!G4106</f>
        <v>267.930243682927</v>
      </c>
      <c r="H4108" s="6" t="n">
        <f aca="false">Sens!H4101+Sens!H4104+Sens!H4105+Sens!H4106</f>
        <v>322.641440910485</v>
      </c>
      <c r="I4108" s="6" t="n">
        <f aca="false">Sens!I4101+Sens!I4104+Sens!I4105+Sens!I4106</f>
        <v>372.703847752557</v>
      </c>
      <c r="J4108" s="6" t="n">
        <f aca="false">Sens!J4101+Sens!J4104+Sens!J4105+Sens!J4106</f>
        <v>412.677732295696</v>
      </c>
      <c r="K4108" s="6" t="n">
        <f aca="false">Sens!K4101+Sens!K4104+Sens!K4105+Sens!K4106</f>
        <v>443.629349609143</v>
      </c>
    </row>
    <row r="4109" customFormat="false" ht="17.15" hidden="false" customHeight="false" outlineLevel="0" collapsed="false">
      <c r="A4109" s="0" t="s">
        <v>1112</v>
      </c>
      <c r="B4109" s="0" t="s">
        <v>98</v>
      </c>
      <c r="F4109" s="6" t="n">
        <f aca="false">Sens!F4017</f>
        <v>204.898187805744</v>
      </c>
      <c r="G4109" s="6" t="n">
        <f aca="false">Sens!G4017</f>
        <v>230.333370778858</v>
      </c>
      <c r="H4109" s="6" t="n">
        <f aca="false">Sens!H4017</f>
        <v>236.167204877415</v>
      </c>
      <c r="I4109" s="6" t="n">
        <f aca="false">Sens!I4017</f>
        <v>196.036470187933</v>
      </c>
      <c r="J4109" s="6" t="n">
        <f aca="false">Sens!J4017</f>
        <v>144.960436247008</v>
      </c>
      <c r="K4109" s="6" t="n">
        <f aca="false">Sens!K4017</f>
        <v>123.808925386415</v>
      </c>
    </row>
    <row r="4110" customFormat="false" ht="17.15" hidden="false" customHeight="false" outlineLevel="0" collapsed="false">
      <c r="A4110" s="1" t="s">
        <v>1113</v>
      </c>
      <c r="B4110" s="0" t="s">
        <v>98</v>
      </c>
      <c r="E4110" s="6" t="n">
        <f aca="false">Sens!E4025*cx_azo+Sens!E4032*cx_m365+Sens!E4033*cx_lic+(Sens!E4035+Sens!E4037)*cx_ind+Sens!E4040*cx_srch+(Sens!E4042+Sens!E4044)*cx_dev</f>
        <v>30.1846587067718</v>
      </c>
      <c r="F4110" s="6" t="n">
        <f aca="false">Sens!F4025*cx_azo+Sens!F4032*cx_m365+Sens!F4033*cx_lic+(Sens!F4035+Sens!F4037)*cx_ind+Sens!F4040*cx_srch+(Sens!F4042+Sens!F4044)*cx_dev</f>
        <v>35.589118588551</v>
      </c>
      <c r="G4110" s="6" t="n">
        <f aca="false">Sens!G4025*cx_azo+Sens!G4032*cx_m365+Sens!G4033*cx_lic+(Sens!G4035+Sens!G4037)*cx_ind+Sens!G4040*cx_srch+(Sens!G4042+Sens!G4044)*cx_dev</f>
        <v>41.1739180295605</v>
      </c>
      <c r="H4110" s="6" t="n">
        <f aca="false">Sens!H4025*cx_azo+Sens!H4032*cx_m365+Sens!H4033*cx_lic+(Sens!H4035+Sens!H4037)*cx_ind+Sens!H4040*cx_srch+(Sens!H4042+Sens!H4044)*cx_dev</f>
        <v>46.8440098705897</v>
      </c>
      <c r="I4110" s="6" t="n">
        <f aca="false">Sens!I4025*cx_azo+Sens!I4032*cx_m365+Sens!I4033*cx_lic+(Sens!I4035+Sens!I4037)*cx_ind+Sens!I4040*cx_srch+(Sens!I4042+Sens!I4044)*cx_dev</f>
        <v>52.2418267202451</v>
      </c>
      <c r="J4110" s="6" t="n">
        <f aca="false">Sens!J4025*cx_azo+Sens!J4032*cx_m365+Sens!J4033*cx_lic+(Sens!J4035+Sens!J4037)*cx_ind+Sens!J4040*cx_srch+(Sens!J4042+Sens!J4044)*cx_dev</f>
        <v>57.1338630032654</v>
      </c>
      <c r="K4110" s="6" t="n">
        <f aca="false">Sens!K4025*cx_azo+Sens!K4032*cx_m365+Sens!K4033*cx_lic+(Sens!K4035+Sens!K4037)*cx_ind+Sens!K4040*cx_srch+(Sens!K4042+Sens!K4044)*cx_dev</f>
        <v>61.4288771291993</v>
      </c>
    </row>
    <row r="4111" customFormat="false" ht="17.15" hidden="false" customHeight="false" outlineLevel="0" collapsed="false">
      <c r="A4111" s="0" t="s">
        <v>1114</v>
      </c>
      <c r="B4111" s="0" t="s">
        <v>98</v>
      </c>
      <c r="F4111" s="6" t="n">
        <f aca="false">Sens!F4015</f>
        <v>0</v>
      </c>
      <c r="L4111" s="1" t="s">
        <v>1115</v>
      </c>
    </row>
    <row r="4112" customFormat="false" ht="17.15" hidden="false" customHeight="false" outlineLevel="0" collapsed="false">
      <c r="A4112" s="1" t="s">
        <v>1116</v>
      </c>
      <c r="B4112" s="0" t="s">
        <v>98</v>
      </c>
      <c r="E4112" s="6" t="n">
        <f aca="false">Q!M43</f>
        <v>145.3</v>
      </c>
      <c r="F4112" s="6" t="n">
        <f aca="false">Sens!F4109+Sens!F4110+Sens!F4111</f>
        <v>240.487306394295</v>
      </c>
      <c r="G4112" s="6" t="n">
        <f aca="false">Sens!G4109+Sens!G4110</f>
        <v>271.507288808418</v>
      </c>
      <c r="H4112" s="6" t="n">
        <f aca="false">Sens!H4109+Sens!H4110</f>
        <v>283.011214748005</v>
      </c>
      <c r="I4112" s="6" t="n">
        <f aca="false">Sens!I4109+Sens!I4110</f>
        <v>248.278296908178</v>
      </c>
      <c r="J4112" s="6" t="n">
        <f aca="false">Sens!J4109+Sens!J4110</f>
        <v>202.094299250274</v>
      </c>
      <c r="K4112" s="6" t="n">
        <f aca="false">Sens!K4109+Sens!K4110</f>
        <v>185.237802515615</v>
      </c>
      <c r="L4112" s="1" t="s">
        <v>1117</v>
      </c>
    </row>
    <row r="4113" customFormat="false" ht="15" hidden="false" customHeight="false" outlineLevel="0" collapsed="false">
      <c r="A4113" s="1" t="s">
        <v>1118</v>
      </c>
      <c r="B4113" s="0" t="s">
        <v>98</v>
      </c>
      <c r="E4113" s="6" t="n">
        <f aca="false">fl_liab</f>
        <v>66.594</v>
      </c>
      <c r="F4113" s="6" t="n">
        <f aca="false">Sens!E4113-Sens!F4114</f>
        <v>62.46973</v>
      </c>
      <c r="G4113" s="6" t="n">
        <f aca="false">Sens!F4113-Sens!G4114</f>
        <v>57.98686785</v>
      </c>
      <c r="H4113" s="6" t="n">
        <f aca="false">Sens!G4113-Sens!H4114</f>
        <v>53.92827690325</v>
      </c>
      <c r="I4113" s="6" t="n">
        <f aca="false">Sens!H4113-Sens!I4114</f>
        <v>49.7850493638962</v>
      </c>
      <c r="J4113" s="6" t="n">
        <f aca="false">Sens!I4113-Sens!J4114</f>
        <v>45.4823765852716</v>
      </c>
      <c r="K4113" s="6" t="n">
        <f aca="false">Sens!J4113-Sens!K4114</f>
        <v>40.9860835316088</v>
      </c>
    </row>
    <row r="4114" customFormat="false" ht="15" hidden="false" customHeight="false" outlineLevel="0" collapsed="false">
      <c r="A4114" s="1" t="s">
        <v>1119</v>
      </c>
      <c r="B4114" s="0" t="s">
        <v>98</v>
      </c>
      <c r="F4114" s="6" t="n">
        <f aca="false">fl_pay_27-Sens!E4113*fl_rate</f>
        <v>4.12427</v>
      </c>
      <c r="G4114" s="6" t="n">
        <f aca="false">fl_pay_28-Sens!F4113*fl_rate</f>
        <v>4.48286215</v>
      </c>
      <c r="H4114" s="6" t="n">
        <f aca="false">fl_pay_29-Sens!G4113*fl_rate</f>
        <v>4.05859094675</v>
      </c>
      <c r="I4114" s="6" t="n">
        <f aca="false">fl_pay_30-Sens!H4113*fl_rate</f>
        <v>4.14322753935375</v>
      </c>
      <c r="J4114" s="6" t="n">
        <f aca="false">fl_pay_31-Sens!I4113*fl_rate</f>
        <v>4.30267277862467</v>
      </c>
      <c r="K4114" s="6" t="n">
        <f aca="false">fl_pay_32-Sens!J4113*fl_rate</f>
        <v>4.49629305366278</v>
      </c>
    </row>
    <row r="4115" customFormat="false" ht="17.15" hidden="false" customHeight="false" outlineLevel="0" collapsed="false">
      <c r="A4115" s="1" t="s">
        <v>1120</v>
      </c>
      <c r="B4115" s="0" t="s">
        <v>98</v>
      </c>
      <c r="E4115" s="6" t="n">
        <f aca="false">Q!M35-Q!M36-Q!M44</f>
        <v>63.886</v>
      </c>
      <c r="F4115" s="6" t="n">
        <f aca="false">Sens!F4108-Sens!F4112-Sens!F4114</f>
        <v>-22.4925880277106</v>
      </c>
      <c r="G4115" s="6" t="n">
        <f aca="false">Sens!G4108-Sens!G4112-Sens!G4114</f>
        <v>-8.05990727549088</v>
      </c>
      <c r="H4115" s="6" t="n">
        <f aca="false">Sens!H4108-Sens!H4112-Sens!H4114</f>
        <v>35.5716352157308</v>
      </c>
      <c r="I4115" s="6" t="n">
        <f aca="false">Sens!I4108-Sens!I4112-Sens!I4114</f>
        <v>120.282323305026</v>
      </c>
      <c r="J4115" s="6" t="n">
        <f aca="false">Sens!J4108-Sens!J4112-Sens!J4114</f>
        <v>206.280760266798</v>
      </c>
      <c r="K4115" s="6" t="n">
        <f aca="false">Sens!K4108-Sens!K4112-Sens!K4114</f>
        <v>253.895254039865</v>
      </c>
      <c r="L4115" s="12" t="s">
        <v>1121</v>
      </c>
    </row>
    <row r="4116" customFormat="false" ht="15" hidden="false" customHeight="false" outlineLevel="0" collapsed="false">
      <c r="A4116" s="1" t="s">
        <v>1122</v>
      </c>
      <c r="B4116" s="0" t="s">
        <v>75</v>
      </c>
      <c r="F4116" s="8" t="n">
        <f aca="false">dps_27</f>
        <v>3.85</v>
      </c>
      <c r="G4116" s="8" t="n">
        <f aca="false">Sens!F4116*(1+dps_g)</f>
        <v>4.158</v>
      </c>
      <c r="H4116" s="8" t="n">
        <f aca="false">Sens!G4116*(1+dps_g)</f>
        <v>4.49064</v>
      </c>
      <c r="I4116" s="8" t="n">
        <f aca="false">Sens!H4116*(1+dps_g)</f>
        <v>4.8498912</v>
      </c>
      <c r="J4116" s="8" t="n">
        <f aca="false">Sens!I4116*(1+dps_g)</f>
        <v>5.237882496</v>
      </c>
      <c r="K4116" s="8" t="n">
        <f aca="false">Sens!J4116*(1+dps_g)</f>
        <v>5.65691309568</v>
      </c>
    </row>
    <row r="4117" customFormat="false" ht="17.15" hidden="false" customHeight="false" outlineLevel="0" collapsed="false">
      <c r="A4117" s="1" t="s">
        <v>1123</v>
      </c>
      <c r="B4117" s="0" t="s">
        <v>98</v>
      </c>
      <c r="E4117" s="6" t="n">
        <f aca="false">Q!M41</f>
        <v>26.445</v>
      </c>
      <c r="F4117" s="6" t="n">
        <f aca="false">Sens!F4116*Sens!E4126</f>
        <v>28.59395</v>
      </c>
      <c r="G4117" s="6" t="n">
        <f aca="false">Sens!G4116*Sens!F4126</f>
        <v>31.068576</v>
      </c>
      <c r="H4117" s="6" t="n">
        <f aca="false">Sens!H4116*Sens!G4126</f>
        <v>33.75614088</v>
      </c>
      <c r="I4117" s="6" t="n">
        <f aca="false">Sens!I4116*Sens!H4126</f>
        <v>36.6748772544</v>
      </c>
      <c r="J4117" s="6" t="n">
        <f aca="false">Sens!J4116*Sens!I4126</f>
        <v>39.6767653201446</v>
      </c>
      <c r="K4117" s="6" t="n">
        <f aca="false">Sens!K4116*Sens!J4126</f>
        <v>42.9376608081345</v>
      </c>
      <c r="L4117" s="1" t="s">
        <v>1124</v>
      </c>
    </row>
    <row r="4118" customFormat="false" ht="15" hidden="false" customHeight="false" outlineLevel="0" collapsed="false">
      <c r="A4118" s="1" t="s">
        <v>1125</v>
      </c>
      <c r="B4118" s="0" t="s">
        <v>98</v>
      </c>
      <c r="E4118" s="6" t="n">
        <f aca="false">Sens!E4115-Sens!E4117</f>
        <v>37.441</v>
      </c>
      <c r="F4118" s="6" t="n">
        <f aca="false">Sens!F4115-Sens!F4117</f>
        <v>-51.0865380277106</v>
      </c>
      <c r="G4118" s="6" t="n">
        <f aca="false">Sens!G4115-Sens!G4117</f>
        <v>-39.1284832754909</v>
      </c>
      <c r="H4118" s="6" t="n">
        <f aca="false">Sens!H4115-Sens!H4117</f>
        <v>1.81549433573076</v>
      </c>
      <c r="I4118" s="6" t="n">
        <f aca="false">Sens!I4115-Sens!I4117</f>
        <v>83.6074460506255</v>
      </c>
      <c r="J4118" s="6" t="n">
        <f aca="false">Sens!J4115-Sens!J4117</f>
        <v>166.603994946653</v>
      </c>
      <c r="K4118" s="6" t="n">
        <f aca="false">Sens!K4115-Sens!K4117</f>
        <v>210.957593231731</v>
      </c>
    </row>
    <row r="4119" customFormat="false" ht="15" hidden="false" customHeight="false" outlineLevel="0" collapsed="false">
      <c r="A4119" s="1" t="s">
        <v>1126</v>
      </c>
      <c r="B4119" s="0" t="s">
        <v>98</v>
      </c>
      <c r="F4119" s="6" t="n">
        <f aca="false">debt_mat_27</f>
        <v>9.25</v>
      </c>
      <c r="G4119" s="6" t="n">
        <f aca="false">debt_mat_28</f>
        <v>0</v>
      </c>
      <c r="H4119" s="6" t="n">
        <f aca="false">debt_mat_29</f>
        <v>2.001</v>
      </c>
      <c r="I4119" s="6" t="n">
        <f aca="false">debt_mat_30</f>
        <v>0</v>
      </c>
      <c r="J4119" s="6" t="n">
        <f aca="false">debt_mat_31</f>
        <v>0.5</v>
      </c>
      <c r="K4119" s="6" t="n">
        <f aca="false">debt_mat_32</f>
        <v>0</v>
      </c>
    </row>
    <row r="4120" customFormat="false" ht="15" hidden="false" customHeight="false" outlineLevel="0" collapsed="false">
      <c r="A4120" s="1" t="s">
        <v>1127</v>
      </c>
      <c r="B4120" s="0" t="s">
        <v>98</v>
      </c>
      <c r="E4120" s="6" t="n">
        <f aca="false">Q!M40</f>
        <v>22.271</v>
      </c>
      <c r="F4120" s="6" t="n">
        <f aca="false">MAX(0,MIN(bb_target,Sens!E4122+Sens!F4118-Sens!F4119-min_cash))</f>
        <v>0</v>
      </c>
      <c r="G4120" s="6" t="n">
        <f aca="false">MAX(0,MIN(bb_target,Sens!F4122+Sens!G4118-Sens!G4119-min_cash))</f>
        <v>0</v>
      </c>
      <c r="H4120" s="6" t="n">
        <f aca="false">MAX(0,MIN(bb_target,Sens!G4122+Sens!H4118-Sens!H4119-min_cash))</f>
        <v>0</v>
      </c>
      <c r="I4120" s="6" t="n">
        <f aca="false">MAX(0,MIN(bb_target,Sens!H4122+Sens!I4118-Sens!I4119-min_cash))</f>
        <v>22.271</v>
      </c>
      <c r="J4120" s="6" t="n">
        <f aca="false">MAX(0,MIN(bb_target,Sens!I4122+Sens!J4118-Sens!J4119-min_cash))</f>
        <v>22.271</v>
      </c>
      <c r="K4120" s="6" t="n">
        <f aca="false">MAX(0,MIN(bb_target,Sens!J4122+Sens!K4118-Sens!K4119-min_cash))</f>
        <v>22.271</v>
      </c>
    </row>
    <row r="4121" customFormat="false" ht="15" hidden="false" customHeight="false" outlineLevel="0" collapsed="false">
      <c r="A4121" s="1" t="s">
        <v>1128</v>
      </c>
      <c r="B4121" s="0" t="s">
        <v>98</v>
      </c>
      <c r="F4121" s="6" t="n">
        <f aca="false">MAX(0,min_cash-(Sens!E4122+Sens!F4118-Sens!F4119-Sens!F4120))</f>
        <v>33.4935380277106</v>
      </c>
      <c r="G4121" s="6" t="n">
        <f aca="false">MAX(0,min_cash-(Sens!F4122+Sens!G4118-Sens!G4119-Sens!G4120))</f>
        <v>39.1284832754909</v>
      </c>
      <c r="H4121" s="6" t="n">
        <f aca="false">MAX(0,min_cash-(Sens!G4122+Sens!H4118-Sens!H4119-Sens!H4120))</f>
        <v>0.185505664269236</v>
      </c>
      <c r="I4121" s="6" t="n">
        <f aca="false">MAX(0,min_cash-(Sens!H4122+Sens!I4118-Sens!I4119-Sens!I4120))</f>
        <v>0</v>
      </c>
      <c r="J4121" s="6" t="n">
        <f aca="false">MAX(0,min_cash-(Sens!I4122+Sens!J4118-Sens!J4119-Sens!J4120))</f>
        <v>0</v>
      </c>
      <c r="K4121" s="6" t="n">
        <f aca="false">MAX(0,min_cash-(Sens!J4122+Sens!K4118-Sens!K4119-Sens!K4120))</f>
        <v>0</v>
      </c>
    </row>
    <row r="4122" customFormat="false" ht="15" hidden="false" customHeight="false" outlineLevel="0" collapsed="false">
      <c r="A4122" s="1" t="s">
        <v>1129</v>
      </c>
      <c r="B4122" s="0" t="s">
        <v>98</v>
      </c>
      <c r="E4122" s="6" t="n">
        <f aca="false">cash_open</f>
        <v>76.843</v>
      </c>
      <c r="F4122" s="6" t="n">
        <f aca="false">Sens!E4122+Sens!F4118-Sens!F4119-Sens!F4120+Sens!F4121</f>
        <v>50</v>
      </c>
      <c r="G4122" s="6" t="n">
        <f aca="false">Sens!F4122+Sens!G4118-Sens!G4119-Sens!G4120+Sens!G4121</f>
        <v>50</v>
      </c>
      <c r="H4122" s="6" t="n">
        <f aca="false">Sens!G4122+Sens!H4118-Sens!H4119-Sens!H4120+Sens!H4121</f>
        <v>50</v>
      </c>
      <c r="I4122" s="6" t="n">
        <f aca="false">Sens!H4122+Sens!I4118-Sens!I4119-Sens!I4120+Sens!I4121</f>
        <v>111.336446050626</v>
      </c>
      <c r="J4122" s="6" t="n">
        <f aca="false">Sens!I4122+Sens!J4118-Sens!J4119-Sens!J4120+Sens!J4121</f>
        <v>255.169440997279</v>
      </c>
      <c r="K4122" s="6" t="n">
        <f aca="false">Sens!J4122+Sens!K4118-Sens!K4119-Sens!K4120+Sens!K4121</f>
        <v>443.856034229009</v>
      </c>
    </row>
    <row r="4123" customFormat="false" ht="15" hidden="false" customHeight="false" outlineLevel="0" collapsed="false">
      <c r="A4123" s="1" t="s">
        <v>1130</v>
      </c>
      <c r="B4123" s="0" t="s">
        <v>98</v>
      </c>
      <c r="E4123" s="6" t="n">
        <f aca="false">debt_face</f>
        <v>46.136</v>
      </c>
      <c r="F4123" s="6" t="n">
        <f aca="false">Sens!E4123-Sens!F4119+Sens!F4121</f>
        <v>70.3795380277106</v>
      </c>
      <c r="G4123" s="6" t="n">
        <f aca="false">Sens!F4123-Sens!G4119+Sens!G4121</f>
        <v>109.508021303201</v>
      </c>
      <c r="H4123" s="6" t="n">
        <f aca="false">Sens!G4123-Sens!H4119+Sens!H4121</f>
        <v>107.692526967471</v>
      </c>
      <c r="I4123" s="6" t="n">
        <f aca="false">Sens!H4123-Sens!I4119+Sens!I4121</f>
        <v>107.692526967471</v>
      </c>
      <c r="J4123" s="6" t="n">
        <f aca="false">Sens!I4123-Sens!J4119+Sens!J4121</f>
        <v>107.192526967471</v>
      </c>
      <c r="K4123" s="6" t="n">
        <f aca="false">Sens!J4123-Sens!K4119+Sens!K4121</f>
        <v>107.192526967471</v>
      </c>
    </row>
    <row r="4124" customFormat="false" ht="15" hidden="false" customHeight="false" outlineLevel="0" collapsed="false">
      <c r="A4124" s="1" t="s">
        <v>1131</v>
      </c>
      <c r="B4124" s="0" t="s">
        <v>98</v>
      </c>
      <c r="E4124" s="6" t="n">
        <f aca="false">Sens!E4122-Sens!E4123</f>
        <v>30.707</v>
      </c>
      <c r="F4124" s="6" t="n">
        <f aca="false">Sens!F4122-Sens!F4123</f>
        <v>-20.3795380277106</v>
      </c>
      <c r="G4124" s="6" t="n">
        <f aca="false">Sens!G4122-Sens!G4123</f>
        <v>-59.5080213032015</v>
      </c>
      <c r="H4124" s="6" t="n">
        <f aca="false">Sens!H4122-Sens!H4123</f>
        <v>-57.6925269674707</v>
      </c>
      <c r="I4124" s="6" t="n">
        <f aca="false">Sens!I4122-Sens!I4123</f>
        <v>3.64391908315481</v>
      </c>
      <c r="J4124" s="6" t="n">
        <f aca="false">Sens!J4122-Sens!J4123</f>
        <v>147.976914029808</v>
      </c>
      <c r="K4124" s="6" t="n">
        <f aca="false">Sens!K4122-Sens!K4123</f>
        <v>336.663507261539</v>
      </c>
    </row>
    <row r="4125" customFormat="false" ht="15" hidden="false" customHeight="false" outlineLevel="0" collapsed="false">
      <c r="A4125" s="1" t="s">
        <v>1132</v>
      </c>
      <c r="B4125" s="0" t="s">
        <v>75</v>
      </c>
      <c r="F4125" s="30" t="n">
        <f aca="false">px*(1+bb_g)^(Sens!F3983-base_fy-mid_yr)</f>
        <v>551.84177959629</v>
      </c>
      <c r="G4125" s="30" t="n">
        <f aca="false">px*(1+bb_g)^(Sens!G3983-base_fy-mid_yr)</f>
        <v>595.989121963993</v>
      </c>
      <c r="H4125" s="30" t="n">
        <f aca="false">px*(1+bb_g)^(Sens!H3983-base_fy-mid_yr)</f>
        <v>643.668251721112</v>
      </c>
      <c r="I4125" s="30" t="n">
        <f aca="false">px*(1+bb_g)^(Sens!I3983-base_fy-mid_yr)</f>
        <v>695.161711858801</v>
      </c>
      <c r="J4125" s="30" t="n">
        <f aca="false">px*(1+bb_g)^(Sens!J3983-base_fy-mid_yr)</f>
        <v>750.774648807506</v>
      </c>
      <c r="K4125" s="30" t="n">
        <f aca="false">px*(1+bb_g)^(Sens!K3983-base_fy-mid_yr)</f>
        <v>810.836620712106</v>
      </c>
    </row>
    <row r="4126" customFormat="false" ht="15" hidden="false" customHeight="false" outlineLevel="0" collapsed="false">
      <c r="A4126" s="1" t="s">
        <v>1133</v>
      </c>
      <c r="B4126" s="1" t="s">
        <v>81</v>
      </c>
      <c r="E4126" s="15" t="n">
        <f aca="false">sh_out26</f>
        <v>7.427</v>
      </c>
      <c r="F4126" s="15" t="n">
        <f aca="false">Sens!E4126+sh_iss-Sens!F4120/Sens!F4125</f>
        <v>7.472</v>
      </c>
      <c r="G4126" s="15" t="n">
        <f aca="false">Sens!F4126+sh_iss-Sens!G4120/Sens!G4125</f>
        <v>7.517</v>
      </c>
      <c r="H4126" s="15" t="n">
        <f aca="false">Sens!G4126+sh_iss-Sens!H4120/Sens!H4125</f>
        <v>7.562</v>
      </c>
      <c r="I4126" s="15" t="n">
        <f aca="false">Sens!H4126+sh_iss-Sens!I4120/Sens!I4125</f>
        <v>7.57496285005334</v>
      </c>
      <c r="J4126" s="15" t="n">
        <f aca="false">Sens!I4126+sh_iss-Sens!J4120/Sens!J4125</f>
        <v>7.59029882232494</v>
      </c>
      <c r="K4126" s="15" t="n">
        <f aca="false">Sens!J4126+sh_iss-Sens!K4120/Sens!K4125</f>
        <v>7.60783212998384</v>
      </c>
    </row>
    <row r="4127" customFormat="false" ht="15" hidden="false" customHeight="false" outlineLevel="0" collapsed="false">
      <c r="A4127" s="1" t="s">
        <v>1134</v>
      </c>
      <c r="B4127" s="1" t="s">
        <v>81</v>
      </c>
      <c r="E4127" s="15" t="n">
        <f aca="false">sh_dil26</f>
        <v>7.453</v>
      </c>
      <c r="F4127" s="15" t="n">
        <f aca="false">(Sens!E4126+Sens!F4126)/2+dil_gap</f>
        <v>7.4735</v>
      </c>
      <c r="G4127" s="15" t="n">
        <f aca="false">(Sens!F4126+Sens!G4126)/2+dil_gap</f>
        <v>7.5185</v>
      </c>
      <c r="H4127" s="15" t="n">
        <f aca="false">(Sens!G4126+Sens!H4126)/2+dil_gap</f>
        <v>7.5635</v>
      </c>
      <c r="I4127" s="15" t="n">
        <f aca="false">(Sens!H4126+Sens!I4126)/2+dil_gap</f>
        <v>7.59248142502667</v>
      </c>
      <c r="J4127" s="15" t="n">
        <f aca="false">(Sens!I4126+Sens!J4126)/2+dil_gap</f>
        <v>7.60663083618914</v>
      </c>
      <c r="K4127" s="15" t="n">
        <f aca="false">(Sens!J4126+Sens!K4126)/2+dil_gap</f>
        <v>7.62306547615439</v>
      </c>
    </row>
    <row r="4128" customFormat="false" ht="17.15" hidden="false" customHeight="false" outlineLevel="0" collapsed="false">
      <c r="A4128" s="1" t="s">
        <v>1135</v>
      </c>
      <c r="B4128" s="0" t="s">
        <v>98</v>
      </c>
      <c r="C4128" s="6" t="n">
        <f aca="false">SUM(Sens!F4118:J4118)</f>
        <v>161.811914029808</v>
      </c>
    </row>
    <row r="4129" customFormat="false" ht="15" hidden="false" customHeight="false" outlineLevel="0" collapsed="false">
      <c r="A4129" s="26" t="s">
        <v>1100</v>
      </c>
      <c r="B4129" s="31" t="s">
        <v>98</v>
      </c>
      <c r="C4129" s="27" t="n">
        <f aca="false">Sens!$C$4128-(Sens!F4118+Sens!G4118+Sens!H4118+Sens!I4118+Sens!J4118)</f>
        <v>0</v>
      </c>
      <c r="D4129" s="31"/>
      <c r="E4129" s="31"/>
      <c r="F4129" s="31"/>
      <c r="G4129" s="31"/>
      <c r="H4129" s="31"/>
      <c r="I4129" s="31"/>
      <c r="J4129" s="31"/>
      <c r="K4129" s="31"/>
    </row>
    <row r="4130" customFormat="false" ht="17.15" hidden="false" customHeight="false" outlineLevel="0" collapsed="false">
      <c r="A4130" s="1" t="s">
        <v>1094</v>
      </c>
      <c r="B4130" s="1" t="s">
        <v>1136</v>
      </c>
      <c r="C4130" s="33" t="str">
        <f aca="false">IF(SUM(Sens!F4121:J4121)&gt;0.05,"需要舉債 "&amp;TEXT(SUM(Sens!F4121:J4121),"0.0")&amp;" 十億美元","不需舉債")&amp;"；"&amp;IF(SUM(Sens!F4120:J4120)&lt;COUNT(Sens!F4120:J4120)*bb_target-0.05,"回購較每年 "&amp;TEXT(bb_target,"0.0")&amp;" 的目標少 "&amp;TEXT(COUNT(Sens!F4120:J4120)*bb_target-SUM(Sens!F4120:J4120),"0.0")&amp;" 十億美元（"&amp;TEXT(COUNTIF(Sens!F4120:J4120,"&lt;"&amp;(bb_target-0.05)),"0")&amp;" 年減少）","回購不減")</f>
        <v>需要舉債 72.8 十億美元；回購較每年 22.3 的目標少 66.8 十億美元（3 年減少）</v>
      </c>
    </row>
    <row r="4131" customFormat="false" ht="17.15" hidden="false" customHeight="false" outlineLevel="0" collapsed="false">
      <c r="A4131" s="3" t="s">
        <v>1714</v>
      </c>
    </row>
    <row r="4132" customFormat="false" ht="15" hidden="false" customHeight="false" outlineLevel="0" collapsed="false">
      <c r="A4132" s="4" t="s">
        <v>43</v>
      </c>
      <c r="B4132" s="4" t="s">
        <v>65</v>
      </c>
      <c r="C4132" s="23" t="s">
        <v>942</v>
      </c>
      <c r="D4132" s="23" t="s">
        <v>943</v>
      </c>
      <c r="E4132" s="23" t="s">
        <v>944</v>
      </c>
      <c r="F4132" s="23" t="s">
        <v>945</v>
      </c>
      <c r="G4132" s="23" t="s">
        <v>946</v>
      </c>
      <c r="H4132" s="23" t="s">
        <v>947</v>
      </c>
      <c r="I4132" s="23" t="s">
        <v>948</v>
      </c>
      <c r="J4132" s="23" t="s">
        <v>949</v>
      </c>
      <c r="K4132" s="23" t="s">
        <v>950</v>
      </c>
      <c r="L4132" s="4" t="s">
        <v>47</v>
      </c>
    </row>
    <row r="4133" customFormat="false" ht="17.15" hidden="false" customHeight="false" outlineLevel="0" collapsed="false">
      <c r="A4133" s="1" t="s">
        <v>1216</v>
      </c>
      <c r="B4133" s="1" t="s">
        <v>279</v>
      </c>
      <c r="F4133" s="8" t="n">
        <f aca="false">(1-v_off)*mid_yr</f>
        <v>0.373972602739726</v>
      </c>
      <c r="G4133" s="8" t="n">
        <f aca="false">Sens!G3983-base_fy-mid_yr-v_off</f>
        <v>1.24794520547945</v>
      </c>
      <c r="H4133" s="8" t="n">
        <f aca="false">Sens!H3983-base_fy-mid_yr-v_off</f>
        <v>2.24794520547945</v>
      </c>
      <c r="I4133" s="8" t="n">
        <f aca="false">Sens!I3983-base_fy-mid_yr-v_off</f>
        <v>3.24794520547945</v>
      </c>
      <c r="J4133" s="8" t="n">
        <f aca="false">Sens!J3983-base_fy-mid_yr-v_off</f>
        <v>4.24794520547945</v>
      </c>
      <c r="K4133" s="8" t="n">
        <f aca="false">Sens!K3983-base_fy-mid_yr-v_off</f>
        <v>5.24794520547945</v>
      </c>
      <c r="L4133" s="12" t="s">
        <v>1217</v>
      </c>
    </row>
    <row r="4134" customFormat="false" ht="15" hidden="false" customHeight="false" outlineLevel="0" collapsed="false">
      <c r="A4134" s="1" t="s">
        <v>1218</v>
      </c>
      <c r="B4134" s="1" t="s">
        <v>279</v>
      </c>
      <c r="F4134" s="8" t="n">
        <f aca="false">Sens!F3983-base_fy-v_off</f>
        <v>0.747945205479452</v>
      </c>
      <c r="G4134" s="8" t="n">
        <f aca="false">Sens!G3983-base_fy-v_off</f>
        <v>1.74794520547945</v>
      </c>
      <c r="H4134" s="8" t="n">
        <f aca="false">Sens!H3983-base_fy-v_off</f>
        <v>2.74794520547945</v>
      </c>
      <c r="I4134" s="8" t="n">
        <f aca="false">Sens!I3983-base_fy-v_off</f>
        <v>3.74794520547945</v>
      </c>
      <c r="J4134" s="8" t="n">
        <f aca="false">Sens!J3983-base_fy-v_off</f>
        <v>4.74794520547945</v>
      </c>
      <c r="K4134" s="8" t="n">
        <f aca="false">Sens!K3983-base_fy-v_off</f>
        <v>5.74794520547945</v>
      </c>
    </row>
    <row r="4135" customFormat="false" ht="15" hidden="false" customHeight="false" outlineLevel="0" collapsed="false">
      <c r="A4135" s="1" t="s">
        <v>1219</v>
      </c>
      <c r="B4135" s="0" t="s">
        <v>229</v>
      </c>
      <c r="F4135" s="15" t="n">
        <f aca="false">1/(1+wacc)^Sens!F4133</f>
        <v>0.964022703286649</v>
      </c>
      <c r="G4135" s="15" t="n">
        <f aca="false">1/(1+wacc)^Sens!G4133</f>
        <v>0.884910302296739</v>
      </c>
      <c r="H4135" s="15" t="n">
        <f aca="false">1/(1+wacc)^Sens!H4133</f>
        <v>0.802322009770358</v>
      </c>
      <c r="I4135" s="15" t="n">
        <f aca="false">1/(1+wacc)^Sens!I4133</f>
        <v>0.727441646561469</v>
      </c>
      <c r="J4135" s="15" t="n">
        <f aca="false">1/(1+wacc)^Sens!J4133</f>
        <v>0.659549834988973</v>
      </c>
      <c r="K4135" s="15" t="n">
        <f aca="false">1/(1+wacc)^Sens!K4133</f>
        <v>0.597994336576966</v>
      </c>
    </row>
    <row r="4136" customFormat="false" ht="17.15" hidden="false" customHeight="false" outlineLevel="0" collapsed="false">
      <c r="A4136" s="1" t="s">
        <v>1220</v>
      </c>
      <c r="B4136" s="0" t="s">
        <v>98</v>
      </c>
      <c r="F4136" s="6" t="n">
        <f aca="false">Q!$I$35-Q!$I$39-Q!$I$43</f>
        <v>9.666</v>
      </c>
      <c r="L4136" s="12" t="s">
        <v>1221</v>
      </c>
    </row>
    <row r="4137" customFormat="false" ht="17.15" hidden="false" customHeight="false" outlineLevel="0" collapsed="false">
      <c r="A4137" s="1" t="s">
        <v>1222</v>
      </c>
      <c r="B4137" s="0" t="s">
        <v>98</v>
      </c>
      <c r="F4137" s="6" t="n">
        <f aca="false">Sens!F4108-Sens!F4105-Sens!F4112+Sens!F4090*(1-tax_f)*(1-v_off)-Sens!F4136</f>
        <v>-36.0720086467064</v>
      </c>
      <c r="G4137" s="6" t="n">
        <f aca="false">Sens!G4108-Sens!G4105-Sens!G4112+Sens!G4090*(1-tax_f)</f>
        <v>3.24036697394033</v>
      </c>
      <c r="H4137" s="6" t="n">
        <f aca="false">Sens!H4108-Sens!H4105-Sens!H4112+Sens!H4090*(1-tax_f)</f>
        <v>60.1672854519153</v>
      </c>
      <c r="I4137" s="6" t="n">
        <f aca="false">Sens!I4108-Sens!I4105-Sens!I4112+Sens!I4090*(1-tax_f)</f>
        <v>157.202175175438</v>
      </c>
      <c r="J4137" s="6" t="n">
        <f aca="false">Sens!J4108-Sens!J4105-Sens!J4112+Sens!J4090*(1-tax_f)</f>
        <v>251.474217698853</v>
      </c>
      <c r="K4137" s="6" t="n">
        <f aca="false">Sens!K4108-Sens!K4105-Sens!K4112+Sens!K4090*(1-tax_f)</f>
        <v>303.045139931088</v>
      </c>
      <c r="L4137" s="1" t="s">
        <v>1223</v>
      </c>
    </row>
    <row r="4138" customFormat="false" ht="15" hidden="false" customHeight="false" outlineLevel="0" collapsed="false">
      <c r="A4138" s="1" t="s">
        <v>1224</v>
      </c>
      <c r="B4138" s="0" t="s">
        <v>98</v>
      </c>
      <c r="F4138" s="6" t="n">
        <f aca="false">Sens!F4137*Sens!F4135</f>
        <v>-34.7742352885772</v>
      </c>
      <c r="G4138" s="6" t="n">
        <f aca="false">Sens!G4137*Sens!G4135</f>
        <v>2.8674341184619</v>
      </c>
      <c r="H4138" s="6" t="n">
        <f aca="false">Sens!H4137*Sens!H4135</f>
        <v>48.2735373862075</v>
      </c>
      <c r="I4138" s="6" t="n">
        <f aca="false">Sens!I4137*Sens!I4135</f>
        <v>114.355409152665</v>
      </c>
      <c r="J4138" s="6" t="n">
        <f aca="false">Sens!J4137*Sens!J4135</f>
        <v>165.85977878726</v>
      </c>
      <c r="K4138" s="6" t="n">
        <f aca="false">Sens!K4137*Sens!K4135</f>
        <v>181.219277405964</v>
      </c>
    </row>
    <row r="4139" customFormat="false" ht="17.15" hidden="false" customHeight="false" outlineLevel="0" collapsed="false">
      <c r="A4139" s="1" t="s">
        <v>1225</v>
      </c>
      <c r="B4139" s="0" t="s">
        <v>98</v>
      </c>
      <c r="C4139" s="6" t="n">
        <f aca="false">SUM(Sens!F4138:K4138)</f>
        <v>477.801201561981</v>
      </c>
    </row>
    <row r="4140" customFormat="false" ht="17.15" hidden="false" customHeight="false" outlineLevel="0" collapsed="false">
      <c r="A4140" s="1" t="s">
        <v>1226</v>
      </c>
      <c r="B4140" s="0" t="s">
        <v>98</v>
      </c>
      <c r="C4140" s="6" t="n">
        <f aca="false">Sens!K4076*(1+g_tv)*(1-tax_f)</f>
        <v>295.982929311833</v>
      </c>
    </row>
    <row r="4141" customFormat="false" ht="17.15" hidden="false" customHeight="false" outlineLevel="0" collapsed="false">
      <c r="A4141" s="1" t="s">
        <v>1227</v>
      </c>
      <c r="B4141" s="0" t="s">
        <v>98</v>
      </c>
      <c r="C4141" s="6" t="n">
        <f aca="false">Sens!$C$4140*(1-g_tv/(wacc+ronic_prem))</f>
        <v>209.721204518092</v>
      </c>
    </row>
    <row r="4142" customFormat="false" ht="17.15" hidden="false" customHeight="false" outlineLevel="0" collapsed="false">
      <c r="A4142" s="1" t="s">
        <v>1228</v>
      </c>
      <c r="B4142" s="0" t="s">
        <v>98</v>
      </c>
      <c r="C4142" s="6" t="n">
        <f aca="false">Sens!$C$4141/(wacc-g_tv)</f>
        <v>2875.39082645802</v>
      </c>
    </row>
    <row r="4143" customFormat="false" ht="15" hidden="false" customHeight="false" outlineLevel="0" collapsed="false">
      <c r="A4143" s="1" t="s">
        <v>1229</v>
      </c>
      <c r="B4143" s="0" t="s">
        <v>98</v>
      </c>
      <c r="C4143" s="6" t="n">
        <f aca="false">Sens!$C$4142/(1+wacc)^Sens!K4134</f>
        <v>1637.26388139132</v>
      </c>
    </row>
    <row r="4144" customFormat="false" ht="17.15" hidden="false" customHeight="false" outlineLevel="0" collapsed="false">
      <c r="A4144" s="0" t="s">
        <v>1230</v>
      </c>
      <c r="B4144" s="0" t="s">
        <v>98</v>
      </c>
      <c r="C4144" s="6" t="n">
        <f aca="false">Sens!$C$4139+Sens!$C$4143</f>
        <v>2115.0650829533</v>
      </c>
    </row>
    <row r="4145" customFormat="false" ht="15" hidden="false" customHeight="false" outlineLevel="0" collapsed="false">
      <c r="A4145" s="1" t="s">
        <v>1145</v>
      </c>
      <c r="B4145" s="0" t="s">
        <v>168</v>
      </c>
      <c r="C4145" s="7" t="n">
        <f aca="false">Sens!$C$4143/Sens!$C$4144</f>
        <v>0.774096217930647</v>
      </c>
    </row>
    <row r="4146" customFormat="false" ht="17.15" hidden="false" customHeight="false" outlineLevel="0" collapsed="false">
      <c r="A4146" s="1" t="s">
        <v>1231</v>
      </c>
      <c r="B4146" s="0" t="s">
        <v>98</v>
      </c>
      <c r="C4146" s="6" t="n">
        <f aca="false">Sens!$C$4144+cash_val-debt_val-fl_val+oai_v</f>
        <v>2230.9160829533</v>
      </c>
    </row>
    <row r="4147" customFormat="false" ht="17.15" hidden="false" customHeight="false" outlineLevel="0" collapsed="false">
      <c r="A4147" s="0" t="s">
        <v>1153</v>
      </c>
      <c r="B4147" s="0" t="s">
        <v>75</v>
      </c>
      <c r="C4147" s="5" t="n">
        <f aca="false">Sens!$C$4146/shd_val</f>
        <v>299.612689088544</v>
      </c>
    </row>
    <row r="4148" customFormat="false" ht="15" hidden="false" customHeight="false" outlineLevel="0" collapsed="false">
      <c r="A4148" s="1" t="s">
        <v>1232</v>
      </c>
      <c r="B4148" s="0" t="s">
        <v>75</v>
      </c>
      <c r="C4148" s="8" t="n">
        <f aca="false">div_rem27+Sens!G4116*roll_div_q/q_per_yr</f>
        <v>3.9795</v>
      </c>
    </row>
    <row r="4149" customFormat="false" ht="17.15" hidden="false" customHeight="false" outlineLevel="0" collapsed="false">
      <c r="A4149" s="0" t="s">
        <v>1233</v>
      </c>
      <c r="B4149" s="0" t="s">
        <v>75</v>
      </c>
      <c r="C4149" s="5" t="n">
        <f aca="false">Sens!$C$4147*(1+wacc)^t_roll-Sens!$C$4148</f>
        <v>329.056725528953</v>
      </c>
    </row>
    <row r="4150" customFormat="false" ht="17.15" hidden="false" customHeight="false" outlineLevel="0" collapsed="false">
      <c r="A4150" s="1" t="s">
        <v>1234</v>
      </c>
      <c r="B4150" s="0" t="s">
        <v>168</v>
      </c>
      <c r="F4150" s="7" t="n">
        <f aca="false">Sens!F4102/(Sens!F4047-Sens!F4002)</f>
        <v>0.0687308509459305</v>
      </c>
      <c r="G4150" s="7" t="n">
        <f aca="false">Sens!G4102/(Sens!G4047-Sens!G4002)</f>
        <v>0.0659078101522477</v>
      </c>
      <c r="H4150" s="7" t="n">
        <f aca="false">Sens!H4102/(Sens!H4047-Sens!H4002)</f>
        <v>0.0644330853847076</v>
      </c>
      <c r="I4150" s="7" t="n">
        <f aca="false">Sens!I4102/(Sens!I4047-Sens!I4002)</f>
        <v>0.0641852181008092</v>
      </c>
      <c r="J4150" s="7" t="n">
        <f aca="false">Sens!J4102/(Sens!J4047-Sens!J4002)</f>
        <v>0.0648808499518133</v>
      </c>
      <c r="K4150" s="7" t="n">
        <f aca="false">Sens!K4102/(Sens!K4047-Sens!K4002)</f>
        <v>0.0661716978346346</v>
      </c>
    </row>
    <row r="4151" customFormat="false" ht="17.15" hidden="false" customHeight="false" outlineLevel="0" collapsed="false">
      <c r="A4151" s="0" t="s">
        <v>1235</v>
      </c>
      <c r="B4151" s="0" t="s">
        <v>98</v>
      </c>
      <c r="F4151" s="6" t="n">
        <f aca="false">Sens!F4032*(al_m365+Sens!F4150+sbc_r)</f>
        <v>83.7337584336721</v>
      </c>
      <c r="G4151" s="6" t="n">
        <f aca="false">Sens!G4032*(al_m365+Sens!G4150+sbc_r)</f>
        <v>96.1403081448856</v>
      </c>
      <c r="H4151" s="6" t="n">
        <f aca="false">Sens!H4032*(al_m365+Sens!H4150+sbc_r)</f>
        <v>108.710282369816</v>
      </c>
      <c r="I4151" s="6" t="n">
        <f aca="false">Sens!I4032*(al_m365+Sens!I4150+sbc_r)</f>
        <v>120.263110822957</v>
      </c>
      <c r="J4151" s="6" t="n">
        <f aca="false">Sens!J4032*(al_m365+Sens!J4150+sbc_r)</f>
        <v>130.610972628954</v>
      </c>
      <c r="K4151" s="6" t="n">
        <f aca="false">Sens!K4032*(al_m365+Sens!K4150+sbc_r)</f>
        <v>140.569951194352</v>
      </c>
      <c r="L4151" s="12" t="s">
        <v>1236</v>
      </c>
    </row>
    <row r="4152" customFormat="false" ht="17.15" hidden="false" customHeight="false" outlineLevel="0" collapsed="false">
      <c r="A4152" s="0" t="s">
        <v>1237</v>
      </c>
      <c r="B4152" s="0" t="s">
        <v>98</v>
      </c>
      <c r="F4152" s="6" t="n">
        <f aca="false">Sens!F4033*(al_lic+Sens!F4150+sbc_r)</f>
        <v>32.862037372806</v>
      </c>
      <c r="G4152" s="6" t="n">
        <f aca="false">Sens!G4033*(al_lic+Sens!G4150+sbc_r)</f>
        <v>34.1406055463746</v>
      </c>
      <c r="H4152" s="6" t="n">
        <f aca="false">Sens!H4033*(al_lic+Sens!H4150+sbc_r)</f>
        <v>35.3343798492183</v>
      </c>
      <c r="I4152" s="6" t="n">
        <f aca="false">Sens!I4033*(al_lic+Sens!I4150+sbc_r)</f>
        <v>36.4252258588629</v>
      </c>
      <c r="J4152" s="6" t="n">
        <f aca="false">Sens!J4033*(al_lic+Sens!J4150+sbc_r)</f>
        <v>37.3877207935337</v>
      </c>
      <c r="K4152" s="6" t="n">
        <f aca="false">Sens!K4033*(al_lic+Sens!K4150+sbc_r)</f>
        <v>38.1932356334119</v>
      </c>
    </row>
    <row r="4153" customFormat="false" ht="17.15" hidden="false" customHeight="false" outlineLevel="0" collapsed="false">
      <c r="A4153" s="0" t="s">
        <v>1238</v>
      </c>
      <c r="B4153" s="0" t="s">
        <v>98</v>
      </c>
      <c r="F4153" s="6" t="n">
        <f aca="false">Sens!F4035*(al_ind+Sens!F4150+sbc_r)</f>
        <v>9.06290044589373</v>
      </c>
      <c r="G4153" s="6" t="n">
        <f aca="false">Sens!G4035*(al_ind+Sens!G4150+sbc_r)</f>
        <v>9.83800706545839</v>
      </c>
      <c r="H4153" s="6" t="n">
        <f aca="false">Sens!H4035*(al_ind+Sens!H4150+sbc_r)</f>
        <v>10.6581704555255</v>
      </c>
      <c r="I4153" s="6" t="n">
        <f aca="false">Sens!I4035*(al_ind+Sens!I4150+sbc_r)</f>
        <v>11.5203608264463</v>
      </c>
      <c r="J4153" s="6" t="n">
        <f aca="false">Sens!J4035*(al_ind+Sens!J4150+sbc_r)</f>
        <v>12.4148540110411</v>
      </c>
      <c r="K4153" s="6" t="n">
        <f aca="false">Sens!K4035*(al_ind+Sens!K4150+sbc_r)</f>
        <v>13.3265212956797</v>
      </c>
    </row>
    <row r="4154" customFormat="false" ht="17.15" hidden="false" customHeight="false" outlineLevel="0" collapsed="false">
      <c r="A4154" s="0" t="s">
        <v>1239</v>
      </c>
      <c r="B4154" s="0" t="s">
        <v>98</v>
      </c>
      <c r="F4154" s="6" t="n">
        <f aca="false">Sens!F4037*(al_fro+Sens!F4150+sbc_r)</f>
        <v>3.55500365137107</v>
      </c>
      <c r="G4154" s="6" t="n">
        <f aca="false">Sens!G4037*(al_fro+Sens!G4150+sbc_r)</f>
        <v>3.76430983527996</v>
      </c>
      <c r="H4154" s="6" t="n">
        <f aca="false">Sens!H4037*(al_fro+Sens!H4150+sbc_r)</f>
        <v>4.00264323707355</v>
      </c>
      <c r="I4154" s="6" t="n">
        <f aca="false">Sens!I4037*(al_fro+Sens!I4150+sbc_r)</f>
        <v>4.27276331983757</v>
      </c>
      <c r="J4154" s="6" t="n">
        <f aca="false">Sens!J4037*(al_fro+Sens!J4150+sbc_r)</f>
        <v>4.57580524639827</v>
      </c>
      <c r="K4154" s="6" t="n">
        <f aca="false">Sens!K4037*(al_fro+Sens!K4150+sbc_r)</f>
        <v>4.91182304735744</v>
      </c>
    </row>
    <row r="4155" customFormat="false" ht="17.15" hidden="false" customHeight="false" outlineLevel="0" collapsed="false">
      <c r="A4155" s="0" t="s">
        <v>1240</v>
      </c>
      <c r="B4155" s="0" t="s">
        <v>98</v>
      </c>
      <c r="F4155" s="6" t="n">
        <f aca="false">Sens!F4040*(al_srch+Sens!F4150+sbc_r)</f>
        <v>11.1921571977856</v>
      </c>
      <c r="G4155" s="6" t="n">
        <f aca="false">Sens!G4040*(al_srch+Sens!G4150+sbc_r)</f>
        <v>12.2640030040547</v>
      </c>
      <c r="H4155" s="6" t="n">
        <f aca="false">Sens!H4040*(al_srch+Sens!H4150+sbc_r)</f>
        <v>13.3809357055756</v>
      </c>
      <c r="I4155" s="6" t="n">
        <f aca="false">Sens!I4040*(al_srch+Sens!I4150+sbc_r)</f>
        <v>14.5323468235944</v>
      </c>
      <c r="J4155" s="6" t="n">
        <f aca="false">Sens!J4040*(al_srch+Sens!J4150+sbc_r)</f>
        <v>15.6982410401095</v>
      </c>
      <c r="K4155" s="6" t="n">
        <f aca="false">Sens!K4040*(al_srch+Sens!K4150+sbc_r)</f>
        <v>16.8510192177596</v>
      </c>
    </row>
    <row r="4156" customFormat="false" ht="17.15" hidden="false" customHeight="false" outlineLevel="0" collapsed="false">
      <c r="A4156" s="0" t="s">
        <v>1241</v>
      </c>
      <c r="B4156" s="0" t="s">
        <v>98</v>
      </c>
      <c r="F4156" s="6" t="n">
        <f aca="false">Sens!F4008-Sens!F4009+Sens!F4090</f>
        <v>46.8474474187728</v>
      </c>
      <c r="G4156" s="6" t="n">
        <f aca="false">Sens!G4008-Sens!G4009+Sens!G4090</f>
        <v>94.5924995244481</v>
      </c>
      <c r="H4156" s="6" t="n">
        <f aca="false">Sens!H4008-Sens!H4009+Sens!H4090</f>
        <v>145.512040869763</v>
      </c>
      <c r="I4156" s="6" t="n">
        <f aca="false">Sens!I4008-Sens!I4009+Sens!I4090</f>
        <v>190.599221923287</v>
      </c>
      <c r="J4156" s="6" t="n">
        <f aca="false">Sens!J4008-Sens!J4009+Sens!J4090</f>
        <v>221.878633276434</v>
      </c>
      <c r="K4156" s="6" t="n">
        <f aca="false">Sens!K4008-Sens!K4009+Sens!K4090</f>
        <v>240.288866222529</v>
      </c>
    </row>
    <row r="4157" customFormat="false" ht="17.15" hidden="false" customHeight="false" outlineLevel="0" collapsed="false">
      <c r="A4157" s="0" t="s">
        <v>1242</v>
      </c>
      <c r="B4157" s="0" t="s">
        <v>98</v>
      </c>
      <c r="F4157" s="6" t="n">
        <f aca="false">Sens!F4069+Sens!F4090+Sens!F4020+Sens!F4150*(Sens!F4039-Sens!F4002)+sbc_r*Sens!F4039</f>
        <v>242.488929937506</v>
      </c>
      <c r="G4157" s="6" t="n">
        <f aca="false">Sens!G4069+Sens!G4090+Sens!G4020+Sens!G4150*(Sens!G4039-Sens!G4002)+sbc_r*Sens!G4039</f>
        <v>312.805005269674</v>
      </c>
      <c r="H4157" s="6" t="n">
        <f aca="false">Sens!H4069+Sens!H4090+Sens!H4020+Sens!H4150*(Sens!H4039-Sens!H4002)+sbc_r*Sens!H4039</f>
        <v>391.656151600312</v>
      </c>
      <c r="I4157" s="6" t="n">
        <f aca="false">Sens!I4069+Sens!I4090+Sens!I4020+Sens!I4150*(Sens!I4039-Sens!I4002)+sbc_r*Sens!I4039</f>
        <v>463.251802924465</v>
      </c>
      <c r="J4157" s="6" t="n">
        <f aca="false">Sens!J4069+Sens!J4090+Sens!J4020+Sens!J4150*(Sens!J4039-Sens!J4002)+sbc_r*Sens!J4039</f>
        <v>518.507866421855</v>
      </c>
      <c r="K4157" s="6" t="n">
        <f aca="false">Sens!K4069+Sens!K4090+Sens!K4020+Sens!K4150*(Sens!K4039-Sens!K4002)+sbc_r*Sens!K4039</f>
        <v>558.436235448787</v>
      </c>
    </row>
    <row r="4158" customFormat="false" ht="17.15" hidden="false" customHeight="false" outlineLevel="0" collapsed="false">
      <c r="A4158" s="0" t="s">
        <v>1243</v>
      </c>
      <c r="B4158" s="0" t="s">
        <v>98</v>
      </c>
      <c r="F4158" s="6" t="n">
        <f aca="false">Sens!F4157-Sens!F4151-Sens!F4152-Sens!F4153-Sens!F4154-Sens!F4156</f>
        <v>66.4277826149907</v>
      </c>
      <c r="G4158" s="6" t="n">
        <f aca="false">Sens!G4157-Sens!G4151-Sens!G4152-Sens!G4153-Sens!G4154-Sens!G4156</f>
        <v>74.3292751532277</v>
      </c>
      <c r="H4158" s="6" t="n">
        <f aca="false">Sens!H4157-Sens!H4151-Sens!H4152-Sens!H4153-Sens!H4154-Sens!H4156</f>
        <v>87.4386348189159</v>
      </c>
      <c r="I4158" s="6" t="n">
        <f aca="false">Sens!I4157-Sens!I4151-Sens!I4152-Sens!I4153-Sens!I4154-Sens!I4156</f>
        <v>100.171120173074</v>
      </c>
      <c r="J4158" s="6" t="n">
        <f aca="false">Sens!J4157-Sens!J4151-Sens!J4152-Sens!J4153-Sens!J4154-Sens!J4156</f>
        <v>111.639880465494</v>
      </c>
      <c r="K4158" s="6" t="n">
        <f aca="false">Sens!K4157-Sens!K4151-Sens!K4152-Sens!K4153-Sens!K4154-Sens!K4156</f>
        <v>121.145838055457</v>
      </c>
    </row>
    <row r="4159" customFormat="false" ht="17.15" hidden="false" customHeight="false" outlineLevel="0" collapsed="false">
      <c r="A4159" s="0" t="s">
        <v>1244</v>
      </c>
      <c r="B4159" s="0" t="s">
        <v>98</v>
      </c>
      <c r="F4159" s="6" t="n">
        <f aca="false">Sens!F4071+Sens!F4150*Sens!F4046+sbc_r*Sens!F4046</f>
        <v>26.6407924302116</v>
      </c>
      <c r="G4159" s="6" t="n">
        <f aca="false">Sens!G4071+Sens!G4150*Sens!G4046+sbc_r*Sens!G4046</f>
        <v>26.4770203881992</v>
      </c>
      <c r="H4159" s="6" t="n">
        <f aca="false">Sens!H4071+Sens!H4150*Sens!H4046+sbc_r*Sens!H4046</f>
        <v>27.3497836501316</v>
      </c>
      <c r="I4159" s="6" t="n">
        <f aca="false">Sens!I4071+Sens!I4150*Sens!I4046+sbc_r*Sens!I4046</f>
        <v>28.4587218443943</v>
      </c>
      <c r="J4159" s="6" t="n">
        <f aca="false">Sens!J4071+Sens!J4150*Sens!J4046+sbc_r*Sens!J4046</f>
        <v>29.7686147196598</v>
      </c>
      <c r="K4159" s="6" t="n">
        <f aca="false">Sens!K4071+Sens!K4150*Sens!K4046+sbc_r*Sens!K4046</f>
        <v>31.2423827217089</v>
      </c>
    </row>
    <row r="4160" customFormat="false" ht="17.15" hidden="false" customHeight="false" outlineLevel="0" collapsed="false">
      <c r="A4160" s="0" t="s">
        <v>1245</v>
      </c>
      <c r="B4160" s="0" t="s">
        <v>98</v>
      </c>
      <c r="F4160" s="6" t="n">
        <f aca="false">(Sens!F4159-Sens!F4155)*Sens!F4042/(Sens!F4042+Sens!F4044)</f>
        <v>8.72516545995189</v>
      </c>
      <c r="G4160" s="6" t="n">
        <f aca="false">(Sens!G4159-Sens!G4155)*Sens!G4042/(Sens!G4042+Sens!G4044)</f>
        <v>7.88934679624862</v>
      </c>
      <c r="H4160" s="6" t="n">
        <f aca="false">(Sens!H4159-Sens!H4155)*Sens!H4042/(Sens!H4042+Sens!H4044)</f>
        <v>7.65280424766898</v>
      </c>
      <c r="I4160" s="6" t="n">
        <f aca="false">(Sens!I4159-Sens!I4155)*Sens!I4042/(Sens!I4042+Sens!I4044)</f>
        <v>7.56294149506755</v>
      </c>
      <c r="J4160" s="6" t="n">
        <f aca="false">(Sens!J4159-Sens!J4155)*Sens!J4042/(Sens!J4042+Sens!J4044)</f>
        <v>7.60780433592596</v>
      </c>
      <c r="K4160" s="6" t="n">
        <f aca="false">(Sens!K4159-Sens!K4155)*Sens!K4042/(Sens!K4042+Sens!K4044)</f>
        <v>7.78136246831587</v>
      </c>
    </row>
    <row r="4161" customFormat="false" ht="17.15" hidden="false" customHeight="false" outlineLevel="0" collapsed="false">
      <c r="A4161" s="0" t="s">
        <v>1246</v>
      </c>
      <c r="B4161" s="0" t="s">
        <v>98</v>
      </c>
      <c r="F4161" s="6" t="n">
        <f aca="false">Sens!F4159-Sens!F4155-Sens!F4160</f>
        <v>6.72346977247411</v>
      </c>
      <c r="G4161" s="6" t="n">
        <f aca="false">Sens!G4159-Sens!G4155-Sens!G4160</f>
        <v>6.32367058789584</v>
      </c>
      <c r="H4161" s="6" t="n">
        <f aca="false">Sens!H4159-Sens!H4155-Sens!H4160</f>
        <v>6.31604369688702</v>
      </c>
      <c r="I4161" s="6" t="n">
        <f aca="false">Sens!I4159-Sens!I4155-Sens!I4160</f>
        <v>6.36343352573236</v>
      </c>
      <c r="J4161" s="6" t="n">
        <f aca="false">Sens!J4159-Sens!J4155-Sens!J4160</f>
        <v>6.46256934362432</v>
      </c>
      <c r="K4161" s="6" t="n">
        <f aca="false">Sens!K4159-Sens!K4155-Sens!K4160</f>
        <v>6.61000103563341</v>
      </c>
    </row>
    <row r="4162" customFormat="false" ht="17.15" hidden="false" customHeight="false" outlineLevel="0" collapsed="false">
      <c r="A4162" s="0" t="s">
        <v>1247</v>
      </c>
      <c r="B4162" s="0" t="s">
        <v>98</v>
      </c>
      <c r="F4162" s="6" t="n">
        <f aca="false">Sens!F4156-tax_f*(Sens!F4156-Sens!F4020)-Sens!F4017</f>
        <v>-159.977567711668</v>
      </c>
      <c r="G4162" s="6" t="n">
        <f aca="false">Sens!G4156-tax_f*(Sens!G4156-Sens!G4020)-Sens!G4017</f>
        <v>-140.899665049241</v>
      </c>
      <c r="H4162" s="6" t="n">
        <f aca="false">Sens!H4156-tax_f*(Sens!H4156-Sens!H4020)-Sens!H4017</f>
        <v>-99.1901220693512</v>
      </c>
      <c r="I4162" s="6" t="n">
        <f aca="false">Sens!I4156-tax_f*(Sens!I4156-Sens!I4020)-Sens!I4017</f>
        <v>-16.9871720480991</v>
      </c>
      <c r="J4162" s="6" t="n">
        <f aca="false">Sens!J4156-tax_f*(Sens!J4156-Sens!J4020)-Sens!J4017</f>
        <v>63.3045429458691</v>
      </c>
      <c r="K4162" s="6" t="n">
        <f aca="false">Sens!K4156-tax_f*(Sens!K4156-Sens!K4020)-Sens!K4017</f>
        <v>101.688830516598</v>
      </c>
    </row>
    <row r="4163" customFormat="false" ht="17.15" hidden="false" customHeight="false" outlineLevel="0" collapsed="false">
      <c r="A4163" s="0" t="s">
        <v>1248</v>
      </c>
      <c r="B4163" s="0" t="s">
        <v>98</v>
      </c>
      <c r="G4163" s="6" t="n">
        <f aca="false">Sens!G4162/(1+wacc)^(Sens!G4133-Sens!F4134)</f>
        <v>-134.163595369701</v>
      </c>
      <c r="H4163" s="6" t="n">
        <f aca="false">Sens!H4162/(1+wacc)^(Sens!H4133-Sens!F4134)</f>
        <v>-85.6332855292179</v>
      </c>
      <c r="I4163" s="6" t="n">
        <f aca="false">Sens!I4162/(1+wacc)^(Sens!I4133-Sens!F4134)</f>
        <v>-13.2967260967291</v>
      </c>
      <c r="J4163" s="6" t="n">
        <f aca="false">Sens!J4162/(1+wacc)^(Sens!J4133-Sens!F4134)</f>
        <v>44.9270569189509</v>
      </c>
      <c r="K4163" s="6" t="n">
        <f aca="false">Sens!K4162/(1+wacc)^(Sens!K4133-Sens!F4134)</f>
        <v>65.4328444177236</v>
      </c>
      <c r="L4163" s="1" t="s">
        <v>1249</v>
      </c>
    </row>
    <row r="4164" customFormat="false" ht="17.15" hidden="false" customHeight="false" outlineLevel="0" collapsed="false">
      <c r="A4164" s="0" t="s">
        <v>1250</v>
      </c>
      <c r="B4164" s="0" t="s">
        <v>98</v>
      </c>
      <c r="C4164" s="6" t="n">
        <f aca="false">(Sens!K4156-Sens!K4020)*(1-tax_f)*(1+g_tv)*(1-g_tv/(wacc+ronic_prem))/(wacc-g_tv)/(1+wacc)^(Sens!K4134-Sens!F4134)</f>
        <v>362.723326516341</v>
      </c>
    </row>
    <row r="4165" customFormat="false" ht="17.15" hidden="false" customHeight="false" outlineLevel="0" collapsed="false">
      <c r="A4165" s="1" t="s">
        <v>1251</v>
      </c>
      <c r="B4165" s="0" t="s">
        <v>98</v>
      </c>
      <c r="C4165" s="6" t="n">
        <f aca="false">(SUM(Sens!G4163:K4163)+Sens!$C$4164)*(1+wacc)^(t_roll-Sens!F4134)</f>
        <v>247.912404024353</v>
      </c>
      <c r="L4165" s="12" t="s">
        <v>1252</v>
      </c>
    </row>
    <row r="4166" customFormat="false" ht="17.15" hidden="false" customHeight="false" outlineLevel="0" collapsed="false">
      <c r="A4166" s="1" t="s">
        <v>1253</v>
      </c>
      <c r="B4166" s="0" t="s">
        <v>98</v>
      </c>
      <c r="C4166" s="6" t="n">
        <f aca="false">(w_ntm28*Sens!G4008+(1-w_ntm28)*Sens!H4008)*m_ai</f>
        <v>526.914863564549</v>
      </c>
    </row>
    <row r="4167" customFormat="false" ht="17.15" hidden="false" customHeight="false" outlineLevel="0" collapsed="false">
      <c r="A4167" s="1" t="s">
        <v>1254</v>
      </c>
      <c r="B4167" s="0" t="s">
        <v>98</v>
      </c>
      <c r="C4167" s="6" t="n">
        <f aca="false">(w_ntm28*Sens!G4158+(1-w_ntm28)*Sens!H4158)*m_cloud</f>
        <v>1086.79376636987</v>
      </c>
    </row>
    <row r="4168" customFormat="false" ht="17.15" hidden="false" customHeight="false" outlineLevel="0" collapsed="false">
      <c r="A4168" s="1" t="s">
        <v>1255</v>
      </c>
      <c r="B4168" s="0" t="s">
        <v>98</v>
      </c>
      <c r="C4168" s="6" t="n">
        <f aca="false">(w_ntm28*Sens!G4151+(1-w_ntm28)*Sens!H4151)*m_sw</f>
        <v>1082.94734603466</v>
      </c>
    </row>
    <row r="4169" customFormat="false" ht="17.15" hidden="false" customHeight="false" outlineLevel="0" collapsed="false">
      <c r="A4169" s="1" t="s">
        <v>1256</v>
      </c>
      <c r="B4169" s="0" t="s">
        <v>98</v>
      </c>
      <c r="C4169" s="6" t="n">
        <f aca="false">(w_ntm28*Sens!G4152+(1-w_ntm28)*Sens!H4152)*m_sw</f>
        <v>372.957256329573</v>
      </c>
    </row>
    <row r="4170" customFormat="false" ht="17.15" hidden="false" customHeight="false" outlineLevel="0" collapsed="false">
      <c r="A4170" s="1" t="s">
        <v>1257</v>
      </c>
      <c r="B4170" s="0" t="s">
        <v>98</v>
      </c>
      <c r="C4170" s="6" t="n">
        <f aca="false">(w_ntm28*Sens!G4153+(1-w_ntm28)*Sens!H4153)*m_sw</f>
        <v>109.162618097435</v>
      </c>
    </row>
    <row r="4171" customFormat="false" ht="17.15" hidden="false" customHeight="false" outlineLevel="0" collapsed="false">
      <c r="A4171" s="1" t="s">
        <v>1258</v>
      </c>
      <c r="B4171" s="0" t="s">
        <v>98</v>
      </c>
      <c r="C4171" s="6" t="n">
        <f aca="false">(w_ntm28*Sens!G4154+(1-w_ntm28)*Sens!H4154)*m_sw</f>
        <v>41.5007930394468</v>
      </c>
    </row>
    <row r="4172" customFormat="false" ht="17.15" hidden="false" customHeight="false" outlineLevel="0" collapsed="false">
      <c r="A4172" s="1" t="s">
        <v>1259</v>
      </c>
      <c r="B4172" s="0" t="s">
        <v>98</v>
      </c>
      <c r="C4172" s="6" t="n">
        <f aca="false">(w_ntm28*Sens!G4155+(1-w_ntm28)*Sens!H4155)*m_ads</f>
        <v>115.070357310233</v>
      </c>
    </row>
    <row r="4173" customFormat="false" ht="17.15" hidden="false" customHeight="false" outlineLevel="0" collapsed="false">
      <c r="A4173" s="1" t="s">
        <v>1260</v>
      </c>
      <c r="B4173" s="0" t="s">
        <v>98</v>
      </c>
      <c r="C4173" s="6" t="n">
        <f aca="false">(w_ntm28*Sens!G4160+(1-w_ntm28)*Sens!H4160)*m_game</f>
        <v>98.6602476075042</v>
      </c>
    </row>
    <row r="4174" customFormat="false" ht="17.15" hidden="false" customHeight="false" outlineLevel="0" collapsed="false">
      <c r="A4174" s="1" t="s">
        <v>1261</v>
      </c>
      <c r="B4174" s="0" t="s">
        <v>98</v>
      </c>
      <c r="C4174" s="6" t="n">
        <f aca="false">(w_ntm28*Sens!G4161+(1-w_ntm28)*Sens!H4161)*m_pc</f>
        <v>91.4672303012426</v>
      </c>
    </row>
    <row r="4175" customFormat="false" ht="17.15" hidden="false" customHeight="false" outlineLevel="0" collapsed="false">
      <c r="A4175" s="1" t="s">
        <v>1262</v>
      </c>
      <c r="B4175" s="0" t="s">
        <v>98</v>
      </c>
      <c r="C4175" s="6" t="n">
        <f aca="false">Sens!$C$4165+Sens!$C$4167+Sens!$C$4168+Sens!$C$4169+Sens!$C$4170+Sens!$C$4171+Sens!$C$4172+Sens!$C$4173+Sens!$C$4174</f>
        <v>3246.47201911432</v>
      </c>
    </row>
    <row r="4176" customFormat="false" ht="17.15" hidden="false" customHeight="false" outlineLevel="0" collapsed="false">
      <c r="A4176" s="1" t="s">
        <v>1263</v>
      </c>
      <c r="B4176" s="0" t="s">
        <v>98</v>
      </c>
      <c r="C4176" s="6" t="n">
        <f aca="false">(Sens!G4137-Sens!G4162)*t_stub</f>
        <v>47.7834078761779</v>
      </c>
      <c r="L4176" s="1" t="s">
        <v>1264</v>
      </c>
    </row>
    <row r="4177" customFormat="false" ht="17.15" hidden="false" customHeight="false" outlineLevel="0" collapsed="false">
      <c r="A4177" s="1" t="s">
        <v>1173</v>
      </c>
      <c r="B4177" s="0" t="s">
        <v>98</v>
      </c>
      <c r="C4177" s="6" t="n">
        <f aca="false">Sens!F4124+oai_v-Sens!F4113+Sens!$C$4176</f>
        <v>128.518139848467</v>
      </c>
      <c r="L4177" s="1" t="s">
        <v>1265</v>
      </c>
    </row>
    <row r="4178" customFormat="false" ht="17.15" hidden="false" customHeight="false" outlineLevel="0" collapsed="false">
      <c r="A4178" s="1" t="s">
        <v>1266</v>
      </c>
      <c r="B4178" s="0" t="s">
        <v>75</v>
      </c>
      <c r="C4178" s="5" t="n">
        <f aca="false">(Sens!$C$4175+Sens!$C$4177)/(Sens!F4126+dil_gap)-Sens!G4116*roll_div_q/q_per_yr</f>
        <v>449.199315229827</v>
      </c>
      <c r="L4178" s="1" t="s">
        <v>1267</v>
      </c>
    </row>
    <row r="4179" customFormat="false" ht="17.15" hidden="false" customHeight="false" outlineLevel="0" collapsed="false">
      <c r="A4179" s="1" t="s">
        <v>1268</v>
      </c>
      <c r="B4179" s="0" t="s">
        <v>75</v>
      </c>
      <c r="C4179" s="5" t="n">
        <f aca="false">w_dcf*Sens!$C$4149+(1-w_dcf)*Sens!$C$4178</f>
        <v>389.12802037939</v>
      </c>
    </row>
    <row r="4180" customFormat="false" ht="17.15" hidden="false" customHeight="false" outlineLevel="0" collapsed="false">
      <c r="A4180" s="3" t="s">
        <v>1715</v>
      </c>
    </row>
    <row r="4181" customFormat="false" ht="15" hidden="false" customHeight="false" outlineLevel="0" collapsed="false">
      <c r="A4181" s="4" t="s">
        <v>43</v>
      </c>
      <c r="B4181" s="4" t="s">
        <v>65</v>
      </c>
      <c r="C4181" s="23" t="s">
        <v>942</v>
      </c>
      <c r="D4181" s="23" t="s">
        <v>943</v>
      </c>
      <c r="E4181" s="23" t="s">
        <v>944</v>
      </c>
      <c r="F4181" s="23" t="s">
        <v>945</v>
      </c>
      <c r="G4181" s="23" t="s">
        <v>946</v>
      </c>
      <c r="H4181" s="23" t="s">
        <v>947</v>
      </c>
      <c r="I4181" s="23" t="s">
        <v>948</v>
      </c>
      <c r="J4181" s="23" t="s">
        <v>949</v>
      </c>
      <c r="K4181" s="23" t="s">
        <v>950</v>
      </c>
      <c r="L4181" s="4" t="s">
        <v>47</v>
      </c>
    </row>
    <row r="4182" customFormat="false" ht="17.15" hidden="false" customHeight="false" outlineLevel="0" collapsed="false">
      <c r="A4182" s="1" t="s">
        <v>951</v>
      </c>
      <c r="B4182" s="1" t="s">
        <v>279</v>
      </c>
      <c r="C4182" s="21" t="n">
        <v>2024</v>
      </c>
      <c r="D4182" s="21" t="n">
        <v>2025</v>
      </c>
      <c r="E4182" s="21" t="n">
        <v>2026</v>
      </c>
      <c r="F4182" s="21" t="n">
        <v>2027</v>
      </c>
      <c r="G4182" s="21" t="n">
        <v>2028</v>
      </c>
      <c r="H4182" s="21" t="n">
        <v>2029</v>
      </c>
      <c r="I4182" s="21" t="n">
        <v>2030</v>
      </c>
      <c r="J4182" s="21" t="n">
        <v>2031</v>
      </c>
      <c r="K4182" s="21" t="n">
        <v>2032</v>
      </c>
    </row>
    <row r="4183" customFormat="false" ht="17.15" hidden="false" customHeight="false" outlineLevel="0" collapsed="false">
      <c r="A4183" s="1" t="s">
        <v>952</v>
      </c>
      <c r="B4183" s="0" t="s">
        <v>459</v>
      </c>
      <c r="F4183" s="30" t="n">
        <f aca="false">pace*1.2</f>
        <v>3271.84212</v>
      </c>
      <c r="G4183" s="30" t="n">
        <f aca="false">pace*1.2</f>
        <v>3271.84212</v>
      </c>
      <c r="H4183" s="30" t="n">
        <f aca="false">pace*1.2</f>
        <v>3271.84212</v>
      </c>
      <c r="I4183" s="30" t="n">
        <f aca="false">pace*1.2+(g_tv*Sens!H4184-pace*1.2)*MIN(1,(Sens!I4182-pace_y0)/(pace_y1-pace_y0))</f>
        <v>2311.8833436</v>
      </c>
      <c r="J4183" s="30" t="n">
        <f aca="false">pace*1.2+(g_tv*Sens!I4184-pace*1.2)*MIN(1,(Sens!J4182-pace_y0)/(pace_y1-pace_y0))</f>
        <v>1398.162234072</v>
      </c>
      <c r="K4183" s="30" t="n">
        <f aca="false">pace*1.2+(g_tv*Sens!J4184-pace*1.2)*MIN(1,(Sens!K4182-pace_y0)/(pace_y1-pace_y0))</f>
        <v>503.26715813016</v>
      </c>
      <c r="L4183" s="12" t="s">
        <v>953</v>
      </c>
    </row>
    <row r="4184" customFormat="false" ht="17.15" hidden="false" customHeight="false" outlineLevel="0" collapsed="false">
      <c r="A4184" s="1" t="s">
        <v>954</v>
      </c>
      <c r="B4184" s="0" t="s">
        <v>459</v>
      </c>
      <c r="C4184" s="30" t="n">
        <f aca="false">mw_ext_24</f>
        <v>640</v>
      </c>
      <c r="D4184" s="30" t="n">
        <f aca="false">mw_ext_25</f>
        <v>1630</v>
      </c>
      <c r="E4184" s="30" t="n">
        <f aca="false">mw_ext_26</f>
        <v>3250</v>
      </c>
      <c r="F4184" s="30" t="n">
        <f aca="false">Sens!E4184+Sens!F4183</f>
        <v>6521.84212</v>
      </c>
      <c r="G4184" s="30" t="n">
        <f aca="false">Sens!F4184+Sens!G4183</f>
        <v>9793.68424</v>
      </c>
      <c r="H4184" s="30" t="n">
        <f aca="false">Sens!G4184+Sens!H4183</f>
        <v>13065.52636</v>
      </c>
      <c r="I4184" s="30" t="n">
        <f aca="false">Sens!H4184+Sens!I4183</f>
        <v>15377.4097036</v>
      </c>
      <c r="J4184" s="30" t="n">
        <f aca="false">Sens!I4184+Sens!J4183</f>
        <v>16775.571937672</v>
      </c>
      <c r="K4184" s="30" t="n">
        <f aca="false">Sens!J4184+Sens!K4183</f>
        <v>17278.8390958022</v>
      </c>
      <c r="L4184" s="1" t="s">
        <v>955</v>
      </c>
    </row>
    <row r="4185" customFormat="false" ht="17.15" hidden="false" customHeight="false" outlineLevel="0" collapsed="false">
      <c r="A4185" s="1" t="s">
        <v>956</v>
      </c>
      <c r="B4185" s="0" t="s">
        <v>459</v>
      </c>
      <c r="C4185" s="30" t="n">
        <f aca="false">rent_ext_24</f>
        <v>150</v>
      </c>
      <c r="D4185" s="30" t="n">
        <f aca="false">rent_ext_25</f>
        <v>400</v>
      </c>
      <c r="E4185" s="30" t="n">
        <f aca="false">rent_ext_26</f>
        <v>550</v>
      </c>
      <c r="F4185" s="30" t="n">
        <f aca="false">rent_ext_f</f>
        <v>756</v>
      </c>
      <c r="G4185" s="30" t="n">
        <f aca="false">rent_ext_f</f>
        <v>756</v>
      </c>
      <c r="H4185" s="30" t="n">
        <f aca="false">rent_ext_f</f>
        <v>756</v>
      </c>
      <c r="I4185" s="30" t="n">
        <f aca="false">rent_ext_f</f>
        <v>756</v>
      </c>
      <c r="J4185" s="30" t="n">
        <f aca="false">rent_ext_f</f>
        <v>756</v>
      </c>
      <c r="K4185" s="30" t="n">
        <f aca="false">rent_ext_f</f>
        <v>756</v>
      </c>
      <c r="L4185" s="1" t="s">
        <v>957</v>
      </c>
    </row>
    <row r="4186" customFormat="false" ht="17.15" hidden="false" customHeight="false" outlineLevel="0" collapsed="false">
      <c r="A4186" s="1" t="s">
        <v>958</v>
      </c>
      <c r="B4186" s="0" t="s">
        <v>459</v>
      </c>
      <c r="C4186" s="30" t="n">
        <f aca="false">Sens!C4184-Sens!C4185</f>
        <v>490</v>
      </c>
      <c r="D4186" s="30" t="n">
        <f aca="false">Sens!D4184-Sens!D4185</f>
        <v>1230</v>
      </c>
      <c r="E4186" s="30" t="n">
        <f aca="false">Sens!E4184-Sens!E4185</f>
        <v>2700</v>
      </c>
      <c r="F4186" s="30" t="n">
        <f aca="false">Sens!F4184-Sens!F4185</f>
        <v>5765.84212</v>
      </c>
      <c r="G4186" s="30" t="n">
        <f aca="false">Sens!G4184-Sens!G4185</f>
        <v>9037.68424</v>
      </c>
      <c r="H4186" s="30" t="n">
        <f aca="false">Sens!H4184-Sens!H4185</f>
        <v>12309.52636</v>
      </c>
      <c r="I4186" s="30" t="n">
        <f aca="false">Sens!I4184-Sens!I4185</f>
        <v>14621.4097036</v>
      </c>
      <c r="J4186" s="30" t="n">
        <f aca="false">Sens!J4184-Sens!J4185</f>
        <v>16019.571937672</v>
      </c>
      <c r="K4186" s="30" t="n">
        <f aca="false">Sens!K4184-Sens!K4185</f>
        <v>16522.8390958022</v>
      </c>
    </row>
    <row r="4187" customFormat="false" ht="17.15" hidden="false" customHeight="false" outlineLevel="0" collapsed="false">
      <c r="A4187" s="1" t="s">
        <v>959</v>
      </c>
      <c r="B4187" s="0" t="s">
        <v>459</v>
      </c>
      <c r="C4187" s="30" t="n">
        <f aca="false">Sens!C4186/ext_sh</f>
        <v>816.666666666667</v>
      </c>
      <c r="D4187" s="30" t="n">
        <f aca="false">Sens!D4186/ext_sh</f>
        <v>2050</v>
      </c>
      <c r="E4187" s="30" t="n">
        <f aca="false">Sens!E4186/ext_sh</f>
        <v>4500</v>
      </c>
      <c r="F4187" s="30" t="n">
        <f aca="false">Sens!F4186/ext_sh</f>
        <v>9609.73686666667</v>
      </c>
      <c r="G4187" s="30" t="n">
        <f aca="false">Sens!G4186/ext_sh</f>
        <v>15062.8070666667</v>
      </c>
      <c r="H4187" s="30" t="n">
        <f aca="false">Sens!H4186/ext_sh</f>
        <v>20515.8772666667</v>
      </c>
      <c r="I4187" s="30" t="n">
        <f aca="false">Sens!I4186/ext_sh</f>
        <v>24369.0161726667</v>
      </c>
      <c r="J4187" s="30" t="n">
        <f aca="false">Sens!J4186/ext_sh</f>
        <v>26699.2865627867</v>
      </c>
      <c r="K4187" s="30" t="n">
        <f aca="false">Sens!K4186/ext_sh</f>
        <v>27538.0651596703</v>
      </c>
      <c r="L4187" s="1" t="s">
        <v>960</v>
      </c>
    </row>
    <row r="4188" customFormat="false" ht="17.15" hidden="false" customHeight="false" outlineLevel="0" collapsed="false">
      <c r="A4188" s="1" t="s">
        <v>961</v>
      </c>
      <c r="B4188" s="0" t="s">
        <v>459</v>
      </c>
      <c r="C4188" s="30" t="n">
        <f aca="false">Sens!C4187-Sens!C4186</f>
        <v>326.666666666667</v>
      </c>
      <c r="D4188" s="30" t="n">
        <f aca="false">Sens!D4187-Sens!D4186</f>
        <v>820</v>
      </c>
      <c r="E4188" s="30" t="n">
        <f aca="false">Sens!E4187-Sens!E4186</f>
        <v>1800</v>
      </c>
      <c r="F4188" s="30" t="n">
        <f aca="false">Sens!F4187-Sens!F4186</f>
        <v>3843.89474666667</v>
      </c>
      <c r="G4188" s="30" t="n">
        <f aca="false">Sens!G4187-Sens!G4186</f>
        <v>6025.12282666667</v>
      </c>
      <c r="H4188" s="30" t="n">
        <f aca="false">Sens!H4187-Sens!H4186</f>
        <v>8206.35090666667</v>
      </c>
      <c r="I4188" s="30" t="n">
        <f aca="false">Sens!I4187-Sens!I4186</f>
        <v>9747.60646906667</v>
      </c>
      <c r="J4188" s="30" t="n">
        <f aca="false">Sens!J4187-Sens!J4186</f>
        <v>10679.7146251147</v>
      </c>
      <c r="K4188" s="30" t="n">
        <f aca="false">Sens!K4187-Sens!K4186</f>
        <v>11015.2260638681</v>
      </c>
    </row>
    <row r="4189" customFormat="false" ht="17.15" hidden="false" customHeight="false" outlineLevel="0" collapsed="false">
      <c r="A4189" s="1" t="s">
        <v>962</v>
      </c>
      <c r="B4189" s="0" t="s">
        <v>459</v>
      </c>
      <c r="C4189" s="30" t="n">
        <f aca="false">Sens!C4187</f>
        <v>816.666666666667</v>
      </c>
      <c r="D4189" s="30" t="n">
        <f aca="false">Sens!D4187-Sens!C4187</f>
        <v>1233.33333333333</v>
      </c>
      <c r="E4189" s="30" t="n">
        <f aca="false">Sens!E4187-Sens!D4187</f>
        <v>2450</v>
      </c>
      <c r="F4189" s="30" t="n">
        <f aca="false">Sens!F4187-Sens!E4187</f>
        <v>5109.73686666667</v>
      </c>
      <c r="G4189" s="30" t="n">
        <f aca="false">Sens!G4187-Sens!F4187</f>
        <v>5453.0702</v>
      </c>
      <c r="H4189" s="30" t="n">
        <f aca="false">Sens!H4187-Sens!G4187</f>
        <v>5453.0702</v>
      </c>
      <c r="I4189" s="30" t="n">
        <f aca="false">Sens!I4187-Sens!H4187</f>
        <v>3853.138906</v>
      </c>
      <c r="J4189" s="30" t="n">
        <f aca="false">Sens!J4187-Sens!I4187</f>
        <v>2330.27039012</v>
      </c>
      <c r="K4189" s="30" t="n">
        <f aca="false">Sens!K4187-Sens!J4187</f>
        <v>838.778596883596</v>
      </c>
    </row>
    <row r="4190" customFormat="false" ht="17.15" hidden="false" customHeight="false" outlineLevel="0" collapsed="false">
      <c r="A4190" s="1" t="s">
        <v>963</v>
      </c>
      <c r="B4190" s="0" t="s">
        <v>459</v>
      </c>
      <c r="D4190" s="30" t="n">
        <f aca="false">Sens!D4184-Sens!C4184</f>
        <v>990</v>
      </c>
      <c r="E4190" s="30" t="n">
        <f aca="false">Sens!E4184-Sens!D4184</f>
        <v>1620</v>
      </c>
      <c r="F4190" s="30" t="n">
        <f aca="false">Sens!F4184-Sens!E4184</f>
        <v>3271.84212</v>
      </c>
      <c r="G4190" s="30" t="n">
        <f aca="false">Sens!G4184-Sens!F4184</f>
        <v>3271.84212</v>
      </c>
      <c r="H4190" s="30" t="n">
        <f aca="false">Sens!H4184-Sens!G4184</f>
        <v>3271.84212</v>
      </c>
      <c r="I4190" s="30" t="n">
        <f aca="false">Sens!I4184-Sens!H4184</f>
        <v>2311.8833436</v>
      </c>
      <c r="J4190" s="30" t="n">
        <f aca="false">Sens!J4184-Sens!I4184</f>
        <v>1398.162234072</v>
      </c>
      <c r="K4190" s="30" t="n">
        <f aca="false">Sens!K4184-Sens!J4184</f>
        <v>503.267158130158</v>
      </c>
    </row>
    <row r="4191" customFormat="false" ht="17.15" hidden="false" customHeight="false" outlineLevel="0" collapsed="false">
      <c r="A4191" s="1" t="s">
        <v>964</v>
      </c>
      <c r="B4191" s="0" t="s">
        <v>459</v>
      </c>
      <c r="F4191" s="30" t="n">
        <f aca="false">Sens!F4210*ext_sh</f>
        <v>0</v>
      </c>
      <c r="G4191" s="30" t="n">
        <f aca="false">Sens!G4210*ext_sh</f>
        <v>0</v>
      </c>
      <c r="H4191" s="30" t="n">
        <f aca="false">Sens!H4210*ext_sh</f>
        <v>0</v>
      </c>
      <c r="I4191" s="30" t="n">
        <f aca="false">Sens!I4210*ext_sh</f>
        <v>490</v>
      </c>
      <c r="J4191" s="30" t="n">
        <f aca="false">Sens!J4210*ext_sh</f>
        <v>740</v>
      </c>
      <c r="K4191" s="30" t="n">
        <f aca="false">Sens!K4210*ext_sh</f>
        <v>1470</v>
      </c>
      <c r="L4191" s="1" t="s">
        <v>965</v>
      </c>
    </row>
    <row r="4192" customFormat="false" ht="17.15" hidden="false" customHeight="false" outlineLevel="0" collapsed="false">
      <c r="A4192" s="1" t="s">
        <v>966</v>
      </c>
      <c r="B4192" s="0" t="s">
        <v>459</v>
      </c>
      <c r="C4192" s="30" t="n">
        <f aca="false">mix_h*Sens!C4184</f>
        <v>128</v>
      </c>
      <c r="D4192" s="30" t="n">
        <f aca="false">mix_h*Sens!D4184</f>
        <v>326</v>
      </c>
      <c r="E4192" s="30" t="n">
        <f aca="false">mix_h*Sens!E4184</f>
        <v>650</v>
      </c>
      <c r="F4192" s="30" t="n">
        <f aca="false">Sens!E4192-Sens!F4191*mix_h</f>
        <v>650</v>
      </c>
      <c r="G4192" s="30" t="n">
        <f aca="false">Sens!F4192-Sens!G4191*mix_h</f>
        <v>650</v>
      </c>
      <c r="H4192" s="30" t="n">
        <f aca="false">Sens!G4192-Sens!H4191*mix_h</f>
        <v>650</v>
      </c>
      <c r="I4192" s="30" t="n">
        <f aca="false">Sens!H4192-Sens!I4191*mix_h</f>
        <v>552</v>
      </c>
      <c r="J4192" s="30" t="n">
        <f aca="false">Sens!I4192-Sens!J4191*mix_h</f>
        <v>404</v>
      </c>
      <c r="K4192" s="30" t="n">
        <f aca="false">Sens!J4192-Sens!K4191*mix_h</f>
        <v>110</v>
      </c>
    </row>
    <row r="4193" customFormat="false" ht="17.15" hidden="false" customHeight="false" outlineLevel="0" collapsed="false">
      <c r="A4193" s="1" t="s">
        <v>967</v>
      </c>
      <c r="B4193" s="0" t="s">
        <v>459</v>
      </c>
      <c r="C4193" s="30" t="n">
        <f aca="false">mix_g2*Sens!C4184</f>
        <v>288</v>
      </c>
      <c r="D4193" s="30" t="n">
        <f aca="false">mix_g2*Sens!D4184</f>
        <v>733.5</v>
      </c>
      <c r="E4193" s="30" t="n">
        <f aca="false">mix_g2*Sens!E4184</f>
        <v>1462.5</v>
      </c>
      <c r="F4193" s="30" t="n">
        <f aca="false">Sens!E4193-Sens!F4191*mix_g2</f>
        <v>1462.5</v>
      </c>
      <c r="G4193" s="30" t="n">
        <f aca="false">Sens!F4193-Sens!G4191*mix_g2</f>
        <v>1462.5</v>
      </c>
      <c r="H4193" s="30" t="n">
        <f aca="false">Sens!G4193-Sens!H4191*mix_g2</f>
        <v>1462.5</v>
      </c>
      <c r="I4193" s="30" t="n">
        <f aca="false">Sens!H4193-Sens!I4191*mix_g2</f>
        <v>1242</v>
      </c>
      <c r="J4193" s="30" t="n">
        <f aca="false">Sens!I4193-Sens!J4191*mix_g2</f>
        <v>909</v>
      </c>
      <c r="K4193" s="30" t="n">
        <f aca="false">Sens!J4193-Sens!K4191*mix_g2</f>
        <v>247.5</v>
      </c>
    </row>
    <row r="4194" customFormat="false" ht="17.15" hidden="false" customHeight="false" outlineLevel="0" collapsed="false">
      <c r="A4194" s="1" t="s">
        <v>968</v>
      </c>
      <c r="B4194" s="0" t="s">
        <v>459</v>
      </c>
      <c r="C4194" s="30" t="n">
        <f aca="false">mix_g3*Sens!C4184</f>
        <v>224</v>
      </c>
      <c r="D4194" s="30" t="n">
        <f aca="false">mix_g3*Sens!D4184</f>
        <v>570.5</v>
      </c>
      <c r="E4194" s="30" t="n">
        <f aca="false">mix_g3*Sens!E4184</f>
        <v>1137.5</v>
      </c>
      <c r="F4194" s="30" t="n">
        <f aca="false">Sens!E4194+(Sens!F4190+Sens!F4191)*(a_g3_27-nonnv*a_mai)-Sens!F4191*mix_g3</f>
        <v>3100.605272</v>
      </c>
      <c r="G4194" s="30" t="n">
        <f aca="false">Sens!F4194+(Sens!G4190+Sens!G4191)*(a_g3_28-nonnv*a_mai)-Sens!G4191*mix_g3</f>
        <v>3754.973696</v>
      </c>
      <c r="H4194" s="30" t="n">
        <f aca="false">Sens!G4194+(Sens!H4190+Sens!H4191)*(a_g3_29-nonnv*a_mai)-Sens!H4191*mix_g3</f>
        <v>3754.973696</v>
      </c>
      <c r="I4194" s="30" t="n">
        <f aca="false">Sens!H4194+(Sens!I4190+Sens!I4191)*(a_g3_29-nonnv*a_mai)-Sens!I4191*mix_g3</f>
        <v>3583.473696</v>
      </c>
      <c r="J4194" s="30" t="n">
        <f aca="false">Sens!I4194+(Sens!J4190+Sens!J4191)*(a_g3_29-nonnv*a_mai)-Sens!J4191*mix_g3</f>
        <v>3324.473696</v>
      </c>
      <c r="K4194" s="30" t="n">
        <f aca="false">Sens!J4194+(Sens!K4190+Sens!K4191)*(a_g3_29-nonnv*a_mai)-Sens!K4191*mix_g3</f>
        <v>2809.973696</v>
      </c>
    </row>
    <row r="4195" customFormat="false" ht="17.15" hidden="false" customHeight="false" outlineLevel="0" collapsed="false">
      <c r="A4195" s="1" t="s">
        <v>969</v>
      </c>
      <c r="B4195" s="0" t="s">
        <v>459</v>
      </c>
      <c r="C4195" s="30" t="n">
        <v>0</v>
      </c>
      <c r="D4195" s="30" t="n">
        <v>0</v>
      </c>
      <c r="E4195" s="30" t="n">
        <v>0</v>
      </c>
      <c r="F4195" s="30" t="n">
        <f aca="false">Sens!E4195+(Sens!F4190+Sens!F4191)*nonnv*a_mai</f>
        <v>327.184212</v>
      </c>
      <c r="G4195" s="30" t="n">
        <f aca="false">Sens!F4195+(Sens!G4190+Sens!G4191)*nonnv*a_mai</f>
        <v>654.368424</v>
      </c>
      <c r="H4195" s="30" t="n">
        <f aca="false">Sens!G4195+(Sens!H4190+Sens!H4191)*nonnv*a_mai</f>
        <v>981.552636</v>
      </c>
      <c r="I4195" s="30" t="n">
        <f aca="false">Sens!H4195+(Sens!I4190+Sens!I4191)*nonnv*a_mai</f>
        <v>1261.74097036</v>
      </c>
      <c r="J4195" s="30" t="n">
        <f aca="false">Sens!I4195+(Sens!J4190+Sens!J4191)*nonnv*a_mai</f>
        <v>1475.5571937672</v>
      </c>
      <c r="K4195" s="30" t="n">
        <f aca="false">Sens!J4195+(Sens!K4190+Sens!K4191)*nonnv*a_mai</f>
        <v>1672.88390958022</v>
      </c>
      <c r="L4195" s="12" t="s">
        <v>970</v>
      </c>
    </row>
    <row r="4196" customFormat="false" ht="17.15" hidden="false" customHeight="false" outlineLevel="0" collapsed="false">
      <c r="A4196" s="1" t="s">
        <v>971</v>
      </c>
      <c r="B4196" s="0" t="s">
        <v>459</v>
      </c>
      <c r="C4196" s="30" t="n">
        <v>0</v>
      </c>
      <c r="D4196" s="30" t="n">
        <v>0</v>
      </c>
      <c r="E4196" s="30" t="n">
        <v>0</v>
      </c>
      <c r="F4196" s="30" t="n">
        <f aca="false">Sens!E4196+(Sens!F4190+Sens!F4191)*(1-a_g3_27)</f>
        <v>981.552636</v>
      </c>
      <c r="G4196" s="30" t="n">
        <f aca="false">Sens!F4196+(Sens!G4190+Sens!G4191)*(1-a_g3_28)</f>
        <v>3271.84212</v>
      </c>
      <c r="H4196" s="30" t="n">
        <f aca="false">Sens!G4196+(Sens!H4190+Sens!H4191)*(1-a_g3_29)</f>
        <v>6216.500028</v>
      </c>
      <c r="I4196" s="30" t="n">
        <f aca="false">Sens!H4196+(Sens!I4190+Sens!I4191)*(1-a_g3_29)</f>
        <v>8738.19503724</v>
      </c>
      <c r="J4196" s="30" t="n">
        <f aca="false">Sens!I4196+(Sens!J4190+Sens!J4191)*(1-a_g3_29)</f>
        <v>10662.5410479048</v>
      </c>
      <c r="K4196" s="30" t="n">
        <f aca="false">Sens!J4196+(Sens!K4190+Sens!K4191)*(1-a_g3_29)</f>
        <v>12438.4814902219</v>
      </c>
    </row>
    <row r="4197" customFormat="false" ht="17.15" hidden="false" customHeight="false" outlineLevel="0" collapsed="false">
      <c r="A4197" s="1" t="s">
        <v>972</v>
      </c>
      <c r="B4197" s="0" t="s">
        <v>403</v>
      </c>
      <c r="C4197" s="15" t="n">
        <f aca="false">(Sens!C4192*tk_hold_h100+Sens!C4193*tk_hold_gb200+Sens!C4194*tk_hold_gb300+Sens!C4196*tk_hold_vr200+Sens!C4195*nv_hold_mai*tk_hold_vr200)/Sens!C4184</f>
        <v>9.7235358126469</v>
      </c>
      <c r="D4197" s="15" t="n">
        <f aca="false">(Sens!D4192*tk_hold_h100+Sens!D4193*tk_hold_gb200+Sens!D4194*tk_hold_gb300+Sens!D4196*tk_hold_vr200+Sens!D4195*nv_hold_mai*tk_hold_vr200)/Sens!D4184</f>
        <v>9.7235358126469</v>
      </c>
      <c r="E4197" s="15" t="n">
        <f aca="false">(Sens!E4192*tk_hold_h100+Sens!E4193*tk_hold_gb200+Sens!E4194*tk_hold_gb300+Sens!E4196*tk_hold_vr200+Sens!E4195*nv_hold_mai*tk_hold_vr200)/Sens!E4184</f>
        <v>9.7235358126469</v>
      </c>
      <c r="F4197" s="15" t="n">
        <f aca="false">(Sens!F4192*tk_hold_h100+Sens!F4193*tk_hold_gb200+Sens!F4194*tk_hold_gb300+Sens!F4196*tk_hold_vr200+Sens!F4195*nv_hold_mai*tk_hold_vr200)/Sens!F4184</f>
        <v>10.2689692313307</v>
      </c>
      <c r="G4197" s="15" t="n">
        <f aca="false">(Sens!G4192*tk_hold_h100+Sens!G4193*tk_hold_gb200+Sens!G4194*tk_hold_gb300+Sens!G4196*tk_hold_vr200+Sens!G4195*nv_hold_mai*tk_hold_vr200)/Sens!G4184</f>
        <v>10.6289089323929</v>
      </c>
      <c r="H4197" s="15" t="n">
        <f aca="false">(Sens!H4192*tk_hold_h100+Sens!H4193*tk_hold_gb200+Sens!H4194*tk_hold_gb300+Sens!H4196*tk_hold_vr200+Sens!H4195*nv_hold_mai*tk_hold_vr200)/Sens!H4184</f>
        <v>10.8756428486304</v>
      </c>
      <c r="I4197" s="15" t="n">
        <f aca="false">(Sens!I4192*tk_hold_h100+Sens!I4193*tk_hold_gb200+Sens!I4194*tk_hold_gb300+Sens!I4196*tk_hold_vr200+Sens!I4195*nv_hold_mai*tk_hold_vr200)/Sens!I4184</f>
        <v>11.0469250311643</v>
      </c>
      <c r="J4197" s="15" t="n">
        <f aca="false">(Sens!J4192*tk_hold_h100+Sens!J4193*tk_hold_gb200+Sens!J4194*tk_hold_gb300+Sens!J4196*tk_hold_vr200+Sens!J4195*nv_hold_mai*tk_hold_vr200)/Sens!J4184</f>
        <v>11.1776048375843</v>
      </c>
      <c r="K4197" s="15" t="n">
        <f aca="false">(Sens!K4192*tk_hold_h100+Sens!K4193*tk_hold_gb200+Sens!K4194*tk_hold_gb300+Sens!K4196*tk_hold_vr200+Sens!K4195*nv_hold_mai*tk_hold_vr200)/Sens!K4184</f>
        <v>11.3511694689919</v>
      </c>
      <c r="L4197" s="1" t="s">
        <v>973</v>
      </c>
    </row>
    <row r="4198" customFormat="false" ht="17.15" hidden="false" customHeight="false" outlineLevel="0" collapsed="false">
      <c r="A4198" s="1" t="s">
        <v>974</v>
      </c>
      <c r="B4198" s="0" t="s">
        <v>403</v>
      </c>
      <c r="C4198" s="15" t="n">
        <f aca="false">(Sens!C4192*tk_hold_h100+Sens!C4193*tk_hold_gb200+Sens!C4194*tk_hold_gb300+Sens!C4196*tk_hold_vr200+Sens!C4195*nv_out_mai*tk_hold_vr200)/Sens!C4184</f>
        <v>9.7235358126469</v>
      </c>
      <c r="D4198" s="15" t="n">
        <f aca="false">(Sens!D4192*tk_hold_h100+Sens!D4193*tk_hold_gb200+Sens!D4194*tk_hold_gb300+Sens!D4196*tk_hold_vr200+Sens!D4195*nv_out_mai*tk_hold_vr200)/Sens!D4184</f>
        <v>9.7235358126469</v>
      </c>
      <c r="E4198" s="15" t="n">
        <f aca="false">(Sens!E4192*tk_hold_h100+Sens!E4193*tk_hold_gb200+Sens!E4194*tk_hold_gb300+Sens!E4196*tk_hold_vr200+Sens!E4195*nv_out_mai*tk_hold_vr200)/Sens!E4184</f>
        <v>9.7235358126469</v>
      </c>
      <c r="F4198" s="15" t="n">
        <f aca="false">(Sens!F4192*tk_hold_h100+Sens!F4193*tk_hold_gb200+Sens!F4194*tk_hold_gb300+Sens!F4196*tk_hold_vr200+Sens!F4195*nv_out_mai*tk_hold_vr200)/Sens!F4184</f>
        <v>10.2996352688042</v>
      </c>
      <c r="G4198" s="15" t="n">
        <f aca="false">(Sens!G4192*tk_hold_h100+Sens!G4193*tk_hold_gb200+Sens!G4194*tk_hold_gb300+Sens!G4196*tk_hold_vr200+Sens!G4195*nv_out_mai*tk_hold_vr200)/Sens!G4184</f>
        <v>10.6697513875807</v>
      </c>
      <c r="H4198" s="15" t="n">
        <f aca="false">(Sens!H4192*tk_hold_h100+Sens!H4193*tk_hold_gb200+Sens!H4194*tk_hold_gb300+Sens!H4196*tk_hold_vr200+Sens!H4195*nv_out_mai*tk_hold_vr200)/Sens!H4184</f>
        <v>10.92156500653</v>
      </c>
      <c r="I4198" s="15" t="n">
        <f aca="false">(Sens!I4192*tk_hold_h100+Sens!I4193*tk_hold_gb200+Sens!I4194*tk_hold_gb300+Sens!I4196*tk_hold_vr200+Sens!I4195*nv_out_mai*tk_hold_vr200)/Sens!I4184</f>
        <v>11.097081000036</v>
      </c>
      <c r="J4198" s="15" t="n">
        <f aca="false">(Sens!J4192*tk_hold_h100+Sens!J4193*tk_hold_gb200+Sens!J4194*tk_hold_gb300+Sens!J4196*tk_hold_vr200+Sens!J4195*nv_out_mai*tk_hold_vr200)/Sens!J4184</f>
        <v>11.2313716532703</v>
      </c>
      <c r="K4198" s="15" t="n">
        <f aca="false">(Sens!K4192*tk_hold_h100+Sens!K4193*tk_hold_gb200+Sens!K4194*tk_hold_gb300+Sens!K4196*tk_hold_vr200+Sens!K4195*nv_out_mai*tk_hold_vr200)/Sens!K4184</f>
        <v>11.4103510888253</v>
      </c>
      <c r="L4198" s="12" t="s">
        <v>975</v>
      </c>
    </row>
    <row r="4199" customFormat="false" ht="17.15" hidden="false" customHeight="false" outlineLevel="0" collapsed="false">
      <c r="A4199" s="0" t="s">
        <v>976</v>
      </c>
      <c r="B4199" s="0" t="s">
        <v>229</v>
      </c>
      <c r="C4199" s="15" t="n">
        <f aca="false">k_B</f>
        <v>1.17213932619116</v>
      </c>
      <c r="D4199" s="15" t="n">
        <f aca="false">k_B</f>
        <v>1.17213932619116</v>
      </c>
      <c r="E4199" s="15" t="n">
        <f aca="false">k_B</f>
        <v>1.17213932619116</v>
      </c>
      <c r="F4199" s="15" t="n">
        <f aca="false">(k_B+((ls_C*k_long+(1-ls_C)*k_spot)-k_B)*MIN(1,(Sens!F4182-base_fy)/k_ramp))</f>
        <v>1.07843258004497</v>
      </c>
      <c r="G4199" s="15" t="n">
        <f aca="false">(k_B+((ls_C*k_long+(1-ls_C)*k_spot)-k_B)*MIN(1,(Sens!G4182-base_fy)/k_ramp))</f>
        <v>0.984725833898784</v>
      </c>
      <c r="H4199" s="15" t="n">
        <f aca="false">(k_B+((ls_C*k_long+(1-ls_C)*k_spot)-k_B)*MIN(1,(Sens!H4182-base_fy)/k_ramp))</f>
        <v>0.891019087752599</v>
      </c>
      <c r="I4199" s="15" t="n">
        <f aca="false">(k_B+((ls_C*k_long+(1-ls_C)*k_spot)-k_B)*MIN(1,(Sens!I4182-base_fy)/k_ramp))</f>
        <v>0.891019087752599</v>
      </c>
      <c r="J4199" s="15" t="n">
        <f aca="false">(k_B+((ls_C*k_long+(1-ls_C)*k_spot)-k_B)*MIN(1,(Sens!J4182-base_fy)/k_ramp))</f>
        <v>0.891019087752599</v>
      </c>
      <c r="K4199" s="15" t="n">
        <f aca="false">(k_B+((ls_C*k_long+(1-ls_C)*k_spot)-k_B)*MIN(1,(Sens!K4182-base_fy)/k_ramp))</f>
        <v>0.891019087752599</v>
      </c>
      <c r="L4199" s="1" t="s">
        <v>977</v>
      </c>
    </row>
    <row r="4200" customFormat="false" ht="17.15" hidden="false" customHeight="false" outlineLevel="0" collapsed="false">
      <c r="A4200" s="1" t="s">
        <v>978</v>
      </c>
      <c r="B4200" s="0" t="s">
        <v>403</v>
      </c>
      <c r="C4200" s="15" t="n">
        <f aca="false">Sens!C4198*Sens!C4199*chip_f</f>
        <v>11.3973387156315</v>
      </c>
      <c r="D4200" s="15" t="n">
        <f aca="false">Sens!D4198*Sens!D4199*chip_f</f>
        <v>11.3973387156315</v>
      </c>
      <c r="E4200" s="15" t="n">
        <f aca="false">Sens!E4198*Sens!E4199*chip_f</f>
        <v>11.3973387156315</v>
      </c>
      <c r="F4200" s="15" t="n">
        <f aca="false">Sens!F4198*Sens!F4199*chip_f</f>
        <v>11.1074622364587</v>
      </c>
      <c r="G4200" s="15" t="n">
        <f aca="false">Sens!G4198*Sens!G4199*chip_f</f>
        <v>10.5067798326282</v>
      </c>
      <c r="H4200" s="15" t="n">
        <f aca="false">Sens!H4198*Sens!H4199*chip_f</f>
        <v>9.73132288894905</v>
      </c>
      <c r="I4200" s="15" t="n">
        <f aca="false">Sens!I4198*Sens!I4199*chip_f</f>
        <v>9.88771098936882</v>
      </c>
      <c r="J4200" s="15" t="n">
        <f aca="false">Sens!J4198*Sens!J4199*chip_f</f>
        <v>10.0073665247073</v>
      </c>
      <c r="K4200" s="15" t="n">
        <f aca="false">Sens!K4198*Sens!K4199*chip_f</f>
        <v>10.166840618102</v>
      </c>
      <c r="L4200" s="1" t="s">
        <v>979</v>
      </c>
    </row>
    <row r="4201" customFormat="false" ht="17.15" hidden="false" customHeight="false" outlineLevel="0" collapsed="false">
      <c r="A4201" s="0" t="s">
        <v>980</v>
      </c>
      <c r="B4201" s="0" t="s">
        <v>98</v>
      </c>
      <c r="D4201" s="6" t="n">
        <f aca="false">(Sens!C4184+Sens!D4184)/2*Sens!D4200/1000</f>
        <v>12.9359794422418</v>
      </c>
      <c r="E4201" s="6" t="n">
        <f aca="false">(Sens!D4184+Sens!E4184)/2*Sens!E4200/1000</f>
        <v>27.8095064661409</v>
      </c>
      <c r="F4201" s="6" t="n">
        <f aca="false">(Sens!E4184+Sens!F4184)/2*Sens!F4200/1000</f>
        <v>54.2701836642681</v>
      </c>
      <c r="G4201" s="6" t="n">
        <f aca="false">(Sens!F4184+Sens!G4184)/2*Sens!G4200/1000</f>
        <v>85.7118216589805</v>
      </c>
      <c r="H4201" s="6" t="n">
        <f aca="false">(Sens!G4184+Sens!H4184)/2*Sens!H4200/1000</f>
        <v>111.225179667543</v>
      </c>
      <c r="I4201" s="6" t="n">
        <f aca="false">(Sens!H4184+Sens!I4184)/2*Sens!I4200/1000</f>
        <v>140.617765742986</v>
      </c>
      <c r="J4201" s="6" t="n">
        <f aca="false">(Sens!I4184+Sens!J4184)/2*Sens!J4200/1000</f>
        <v>160.883336073197</v>
      </c>
      <c r="K4201" s="6" t="n">
        <f aca="false">(Sens!J4184+Sens!K4184)/2*Sens!K4200/1000</f>
        <v>173.112884660333</v>
      </c>
      <c r="L4201" s="12" t="s">
        <v>981</v>
      </c>
    </row>
    <row r="4202" customFormat="false" ht="17.15" hidden="false" customHeight="false" outlineLevel="0" collapsed="false">
      <c r="A4202" s="1" t="s">
        <v>982</v>
      </c>
      <c r="B4202" s="0" t="s">
        <v>403</v>
      </c>
      <c r="C4202" s="15" t="n">
        <f aca="false">(Sens!C4192*tk_opex_h100+Sens!C4193*tk_opex_gb200+Sens!C4194*tk_opex_gb300+(Sens!C4196+Sens!C4195)*tk_opex_vr200)/Sens!C4184</f>
        <v>1.88636041306092</v>
      </c>
      <c r="D4202" s="15" t="n">
        <f aca="false">(Sens!D4192*tk_opex_h100+Sens!D4193*tk_opex_gb200+Sens!D4194*tk_opex_gb300+(Sens!D4196+Sens!D4195)*tk_opex_vr200)/Sens!D4184</f>
        <v>1.88636041306092</v>
      </c>
      <c r="E4202" s="15" t="n">
        <f aca="false">(Sens!E4192*tk_opex_h100+Sens!E4193*tk_opex_gb200+Sens!E4194*tk_opex_gb300+(Sens!E4196+Sens!E4195)*tk_opex_vr200)/Sens!E4184</f>
        <v>1.88636041306092</v>
      </c>
      <c r="F4202" s="15" t="n">
        <f aca="false">(Sens!F4192*tk_opex_h100+Sens!F4193*tk_opex_gb200+Sens!F4194*tk_opex_gb300+(Sens!F4196+Sens!F4195)*tk_opex_vr200)/Sens!F4184</f>
        <v>1.95690523121485</v>
      </c>
      <c r="G4202" s="15" t="n">
        <f aca="false">(Sens!G4192*tk_opex_h100+Sens!G4193*tk_opex_gb200+Sens!G4194*tk_opex_gb300+(Sens!G4196+Sens!G4195)*tk_opex_vr200)/Sens!G4184</f>
        <v>1.99512968065993</v>
      </c>
      <c r="H4202" s="15" t="n">
        <f aca="false">(Sens!H4192*tk_opex_h100+Sens!H4193*tk_opex_gb200+Sens!H4194*tk_opex_gb300+(Sens!H4196+Sens!H4195)*tk_opex_vr200)/Sens!H4184</f>
        <v>2.01976225803135</v>
      </c>
      <c r="I4202" s="15" t="n">
        <f aca="false">(Sens!I4192*tk_opex_h100+Sens!I4193*tk_opex_gb200+Sens!I4194*tk_opex_gb300+(Sens!I4196+Sens!I4195)*tk_opex_vr200)/Sens!I4184</f>
        <v>2.03744787525749</v>
      </c>
      <c r="J4202" s="15" t="n">
        <f aca="false">(Sens!J4192*tk_opex_h100+Sens!J4193*tk_opex_gb200+Sens!J4194*tk_opex_gb300+(Sens!J4196+Sens!J4195)*tk_opex_vr200)/Sens!J4184</f>
        <v>2.05125627122296</v>
      </c>
      <c r="K4202" s="15" t="n">
        <f aca="false">(Sens!K4192*tk_opex_h100+Sens!K4193*tk_opex_gb200+Sens!K4194*tk_opex_gb300+(Sens!K4196+Sens!K4195)*tk_opex_vr200)/Sens!K4184</f>
        <v>2.07010859619451</v>
      </c>
      <c r="L4202" s="12" t="s">
        <v>983</v>
      </c>
    </row>
    <row r="4203" customFormat="false" ht="17.15" hidden="false" customHeight="false" outlineLevel="0" collapsed="false">
      <c r="A4203" s="0" t="s">
        <v>984</v>
      </c>
      <c r="B4203" s="0" t="s">
        <v>98</v>
      </c>
      <c r="D4203" s="6" t="n">
        <f aca="false">(Sens!C4187+Sens!D4187)/2*Sens!D4202/1000</f>
        <v>2.70378325872065</v>
      </c>
      <c r="E4203" s="6" t="n">
        <f aca="false">(Sens!D4187+Sens!E4187)/2*Sens!E4202/1000</f>
        <v>6.17783035277451</v>
      </c>
      <c r="F4203" s="6" t="n">
        <f aca="false">(Sens!E4187+Sens!F4187)/2*Sens!F4202/1000</f>
        <v>13.8057089427225</v>
      </c>
      <c r="G4203" s="6" t="n">
        <f aca="false">(Sens!F4187+Sens!G4187)/2*Sens!G4202/1000</f>
        <v>24.6124623493897</v>
      </c>
      <c r="H4203" s="6" t="n">
        <f aca="false">(Sens!G4187+Sens!H4187)/2*Sens!H4202/1000</f>
        <v>35.930241903439</v>
      </c>
      <c r="I4203" s="6" t="n">
        <f aca="false">(Sens!H4187+Sens!I4187)/2*Sens!I4202/1000</f>
        <v>45.7253153845642</v>
      </c>
      <c r="J4203" s="6" t="n">
        <f aca="false">(Sens!I4187+Sens!J4187)/2*Sens!J4202/1000</f>
        <v>52.3770881234055</v>
      </c>
      <c r="K4203" s="6" t="n">
        <f aca="false">(Sens!J4187+Sens!K4187)/2*Sens!K4202/1000</f>
        <v>56.1386040177415</v>
      </c>
    </row>
    <row r="4204" customFormat="false" ht="17.15" hidden="false" customHeight="false" outlineLevel="0" collapsed="false">
      <c r="A4204" s="0" t="s">
        <v>985</v>
      </c>
      <c r="B4204" s="0" t="s">
        <v>98</v>
      </c>
      <c r="D4204" s="6" t="n">
        <f aca="false">(Sens!C4185+Sens!D4185)/2*rent_mw/1000</f>
        <v>2.44475</v>
      </c>
      <c r="E4204" s="6" t="n">
        <f aca="false">(Sens!D4185+Sens!E4185)/2*rent_mw/1000</f>
        <v>4.22275</v>
      </c>
      <c r="F4204" s="6" t="n">
        <f aca="false">(Sens!E4185+Sens!F4185)/2*rent_mw/1000</f>
        <v>5.80517</v>
      </c>
      <c r="G4204" s="6" t="n">
        <f aca="false">(Sens!F4185+Sens!G4185)/2*rent_mw/1000</f>
        <v>6.72084</v>
      </c>
      <c r="H4204" s="6" t="n">
        <f aca="false">(Sens!G4185+Sens!H4185)/2*rent_mw/1000</f>
        <v>6.72084</v>
      </c>
      <c r="I4204" s="6" t="n">
        <f aca="false">(Sens!H4185+Sens!I4185)/2*rent_mw/1000</f>
        <v>6.72084</v>
      </c>
      <c r="J4204" s="6" t="n">
        <f aca="false">(Sens!I4185+Sens!J4185)/2*rent_mw/1000</f>
        <v>6.72084</v>
      </c>
      <c r="K4204" s="6" t="n">
        <f aca="false">(Sens!J4185+Sens!K4185)/2*rent_mw/1000</f>
        <v>6.72084</v>
      </c>
    </row>
    <row r="4205" customFormat="false" ht="17.15" hidden="false" customHeight="false" outlineLevel="0" collapsed="false">
      <c r="A4205" s="0" t="s">
        <v>986</v>
      </c>
      <c r="B4205" s="0" t="s">
        <v>98</v>
      </c>
      <c r="D4205" s="6" t="n">
        <f aca="false">(Sens!C4187+Sens!D4187)/2*(1-self_build)*fac_rent/1000</f>
        <v>0.853242375631075</v>
      </c>
      <c r="E4205" s="6" t="n">
        <f aca="false">(Sens!D4187+Sens!E4187)/2*(1-self_build)*fac_rent/1000</f>
        <v>1.94955961408728</v>
      </c>
      <c r="F4205" s="6" t="n">
        <f aca="false">(Sens!E4187+Sens!F4187)/2*(1-self_build)*fac_rent/1000</f>
        <v>4.19966002452699</v>
      </c>
      <c r="G4205" s="6" t="n">
        <f aca="false">(Sens!F4187+Sens!G4187)/2*(1-self_build)*fac_rent/1000</f>
        <v>7.34360232507189</v>
      </c>
      <c r="H4205" s="6" t="n">
        <f aca="false">(Sens!G4187+Sens!H4187)/2*(1-self_build)*fac_rent/1000</f>
        <v>10.5897352822331</v>
      </c>
      <c r="I4205" s="6" t="n">
        <f aca="false">(Sens!H4187+Sens!I4187)/2*(1-self_build)*fac_rent/1000</f>
        <v>13.359660386555</v>
      </c>
      <c r="J4205" s="6" t="n">
        <f aca="false">(Sens!I4187+Sens!J4187)/2*(1-self_build)*fac_rent/1000</f>
        <v>15.2001069577134</v>
      </c>
      <c r="K4205" s="6" t="n">
        <f aca="false">(Sens!J4187+Sens!K4187)/2*(1-self_build)*fac_rent/1000</f>
        <v>16.1433512203281</v>
      </c>
      <c r="L4205" s="12" t="s">
        <v>987</v>
      </c>
    </row>
    <row r="4206" customFormat="false" ht="17.15" hidden="false" customHeight="false" outlineLevel="0" collapsed="false">
      <c r="A4206" s="1" t="s">
        <v>988</v>
      </c>
      <c r="B4206" s="0" t="s">
        <v>168</v>
      </c>
      <c r="D4206" s="7" t="n">
        <f aca="false">(Sens!C4186+Sens!D4186)/(Sens!C4187+Sens!D4187)</f>
        <v>0.6</v>
      </c>
      <c r="E4206" s="7" t="n">
        <f aca="false">(Sens!D4186+Sens!E4186)/(Sens!D4187+Sens!E4187)</f>
        <v>0.6</v>
      </c>
      <c r="F4206" s="7" t="n">
        <f aca="false">(Sens!E4186+Sens!F4186)/(Sens!E4187+Sens!F4187)</f>
        <v>0.6</v>
      </c>
      <c r="G4206" s="7" t="n">
        <f aca="false">(Sens!F4186+Sens!G4186)/(Sens!F4187+Sens!G4187)</f>
        <v>0.6</v>
      </c>
      <c r="H4206" s="7" t="n">
        <f aca="false">(Sens!G4186+Sens!H4186)/(Sens!G4187+Sens!H4187)</f>
        <v>0.6</v>
      </c>
      <c r="I4206" s="7" t="n">
        <f aca="false">(Sens!H4186+Sens!I4186)/(Sens!H4187+Sens!I4187)</f>
        <v>0.6</v>
      </c>
      <c r="J4206" s="7" t="n">
        <f aca="false">(Sens!I4186+Sens!J4186)/(Sens!I4187+Sens!J4187)</f>
        <v>0.6</v>
      </c>
      <c r="K4206" s="7" t="n">
        <f aca="false">(Sens!J4186+Sens!K4186)/(Sens!J4187+Sens!K4187)</f>
        <v>0.6</v>
      </c>
    </row>
    <row r="4207" customFormat="false" ht="17.15" hidden="false" customHeight="false" outlineLevel="0" collapsed="false">
      <c r="A4207" s="0" t="s">
        <v>989</v>
      </c>
      <c r="B4207" s="0" t="s">
        <v>98</v>
      </c>
      <c r="D4207" s="6" t="n">
        <f aca="false">Sens!D4201-Sens!D4206*(Sens!D4203+Sens!D4205)-Sens!D4204</f>
        <v>8.35701406163072</v>
      </c>
      <c r="E4207" s="6" t="n">
        <f aca="false">Sens!E4201-Sens!E4206*(Sens!E4203+Sens!E4205)-Sens!E4204</f>
        <v>18.7103224860238</v>
      </c>
      <c r="F4207" s="6" t="n">
        <f aca="false">Sens!F4201-Sens!F4206*(Sens!F4203+Sens!F4205)-Sens!F4204</f>
        <v>37.6617922839184</v>
      </c>
      <c r="G4207" s="6" t="n">
        <f aca="false">Sens!G4201-Sens!G4206*(Sens!G4203+Sens!G4205)-Sens!G4204</f>
        <v>59.8173428543036</v>
      </c>
      <c r="H4207" s="6" t="n">
        <f aca="false">Sens!H4201-Sens!H4206*(Sens!H4203+Sens!H4205)-Sens!H4204</f>
        <v>76.5923533561401</v>
      </c>
      <c r="I4207" s="6" t="n">
        <f aca="false">Sens!I4201-Sens!I4206*(Sens!I4203+Sens!I4205)-Sens!I4204</f>
        <v>98.4459402803146</v>
      </c>
      <c r="J4207" s="6" t="n">
        <f aca="false">Sens!J4201-Sens!J4206*(Sens!J4203+Sens!J4205)-Sens!J4204</f>
        <v>113.616179024526</v>
      </c>
      <c r="K4207" s="6" t="n">
        <f aca="false">Sens!K4201-Sens!K4206*(Sens!K4203+Sens!K4205)-Sens!K4204</f>
        <v>123.022871517491</v>
      </c>
    </row>
    <row r="4208" customFormat="false" ht="17.15" hidden="false" customHeight="false" outlineLevel="0" collapsed="false">
      <c r="A4208" s="1" t="s">
        <v>990</v>
      </c>
      <c r="B4208" s="0" t="s">
        <v>98</v>
      </c>
      <c r="D4208" s="6" t="n">
        <f aca="false">(1-Sens!D4206)*(Sens!D4203+Sens!D4205)</f>
        <v>1.42281025374069</v>
      </c>
      <c r="E4208" s="6" t="n">
        <f aca="false">(1-Sens!E4206)*(Sens!E4203+Sens!E4205)</f>
        <v>3.25095598674472</v>
      </c>
      <c r="F4208" s="6" t="n">
        <f aca="false">(1-Sens!F4206)*(Sens!F4203+Sens!F4205)</f>
        <v>7.2021475868998</v>
      </c>
      <c r="G4208" s="6" t="n">
        <f aca="false">(1-Sens!G4206)*(Sens!G4203+Sens!G4205)</f>
        <v>12.7824258697846</v>
      </c>
      <c r="H4208" s="6" t="n">
        <f aca="false">(1-Sens!H4206)*(Sens!H4203+Sens!H4205)</f>
        <v>18.6079908742688</v>
      </c>
      <c r="I4208" s="6" t="n">
        <f aca="false">(1-Sens!I4206)*(Sens!I4203+Sens!I4205)</f>
        <v>23.6339903084477</v>
      </c>
      <c r="J4208" s="6" t="n">
        <f aca="false">(1-Sens!J4206)*(Sens!J4203+Sens!J4205)</f>
        <v>27.0308780324476</v>
      </c>
      <c r="K4208" s="6" t="n">
        <f aca="false">(1-Sens!K4206)*(Sens!K4203+Sens!K4205)</f>
        <v>28.9127820952278</v>
      </c>
    </row>
    <row r="4209" customFormat="false" ht="17.15" hidden="false" customHeight="false" outlineLevel="0" collapsed="false">
      <c r="A4209" s="1" t="s">
        <v>991</v>
      </c>
      <c r="B4209" s="0" t="s">
        <v>417</v>
      </c>
      <c r="C4209" s="8" t="n">
        <f aca="false">cxit_open</f>
        <v>27.5918995</v>
      </c>
      <c r="D4209" s="8" t="n">
        <f aca="false">cxit_open</f>
        <v>27.5918995</v>
      </c>
      <c r="E4209" s="8" t="n">
        <f aca="false">cxit_open</f>
        <v>27.5918995</v>
      </c>
      <c r="F4209" s="8" t="n">
        <f aca="false">((a_g3_27-nonnv*a_mai)*tk_cxit_gb300+nonnv*a_mai*nv_hold_mai*tk_cxit_vr200+(1-a_g3_27)*tk_cxit_vr200)</f>
        <v>32.4975576</v>
      </c>
      <c r="G4209" s="8" t="n">
        <f aca="false">((a_g3_28-nonnv*a_mai)*tk_cxit_gb300+nonnv*a_mai*nv_hold_mai*tk_cxit_vr200+(1-a_g3_28)*tk_cxit_vr200)</f>
        <v>34.6372088</v>
      </c>
      <c r="H4209" s="8" t="n">
        <f aca="false">((a_g3_29-nonnv*a_mai)*tk_cxit_gb300+nonnv*a_mai*nv_hold_mai*tk_cxit_vr200+(1-a_g3_29)*tk_cxit_vr200)</f>
        <v>35.7070344</v>
      </c>
      <c r="I4209" s="8" t="n">
        <f aca="false">((a_g3_29-nonnv*a_mai)*tk_cxit_gb300+nonnv*a_mai*nv_hold_mai*tk_cxit_vr200+(1-a_g3_29)*tk_cxit_vr200)</f>
        <v>35.7070344</v>
      </c>
      <c r="J4209" s="8" t="n">
        <f aca="false">((a_g3_29-nonnv*a_mai)*tk_cxit_gb300+nonnv*a_mai*nv_hold_mai*tk_cxit_vr200+(1-a_g3_29)*tk_cxit_vr200)</f>
        <v>35.7070344</v>
      </c>
      <c r="K4209" s="8" t="n">
        <f aca="false">((a_g3_29-nonnv*a_mai)*tk_cxit_gb300+nonnv*a_mai*nv_hold_mai*tk_cxit_vr200+(1-a_g3_29)*tk_cxit_vr200)</f>
        <v>35.7070344</v>
      </c>
      <c r="L4209" s="12" t="s">
        <v>992</v>
      </c>
    </row>
    <row r="4210" customFormat="false" ht="17.15" hidden="false" customHeight="false" outlineLevel="0" collapsed="false">
      <c r="A4210" s="0" t="s">
        <v>993</v>
      </c>
      <c r="B4210" s="0" t="s">
        <v>459</v>
      </c>
      <c r="F4210" s="30" t="n">
        <f aca="false">Sens!C4189*IF(Sens!F4182-Sens!C4182=life_it,1,0)+Sens!D4189*IF(Sens!F4182-Sens!D4182=life_it,1,0)+Sens!E4189*IF(Sens!F4182-Sens!E4182=life_it,1,0)</f>
        <v>0</v>
      </c>
      <c r="G4210" s="30" t="n">
        <f aca="false">Sens!C4189*IF(Sens!G4182-Sens!C4182=life_it,1,0)+Sens!D4189*IF(Sens!G4182-Sens!D4182=life_it,1,0)+Sens!E4189*IF(Sens!G4182-Sens!E4182=life_it,1,0)+Sens!F4189*IF(Sens!G4182-Sens!F4182=life_it,1,0)</f>
        <v>0</v>
      </c>
      <c r="H4210" s="30" t="n">
        <f aca="false">Sens!C4189*IF(Sens!H4182-Sens!C4182=life_it,1,0)+Sens!D4189*IF(Sens!H4182-Sens!D4182=life_it,1,0)+Sens!E4189*IF(Sens!H4182-Sens!E4182=life_it,1,0)+Sens!F4189*IF(Sens!H4182-Sens!F4182=life_it,1,0)+Sens!G4189*IF(Sens!H4182-Sens!G4182=life_it,1,0)</f>
        <v>0</v>
      </c>
      <c r="I4210" s="30" t="n">
        <f aca="false">Sens!C4189*IF(Sens!I4182-Sens!C4182=life_it,1,0)+Sens!D4189*IF(Sens!I4182-Sens!D4182=life_it,1,0)+Sens!E4189*IF(Sens!I4182-Sens!E4182=life_it,1,0)+Sens!F4189*IF(Sens!I4182-Sens!F4182=life_it,1,0)+Sens!G4189*IF(Sens!I4182-Sens!G4182=life_it,1,0)+Sens!H4189*IF(Sens!I4182-Sens!H4182=life_it,1,0)</f>
        <v>816.666666666667</v>
      </c>
      <c r="J4210" s="30" t="n">
        <f aca="false">Sens!C4189*IF(Sens!J4182-Sens!C4182=life_it,1,0)+Sens!D4189*IF(Sens!J4182-Sens!D4182=life_it,1,0)+Sens!E4189*IF(Sens!J4182-Sens!E4182=life_it,1,0)+Sens!F4189*IF(Sens!J4182-Sens!F4182=life_it,1,0)+Sens!G4189*IF(Sens!J4182-Sens!G4182=life_it,1,0)+Sens!H4189*IF(Sens!J4182-Sens!H4182=life_it,1,0)+Sens!I4189*IF(Sens!J4182-Sens!I4182=life_it,1,0)</f>
        <v>1233.33333333333</v>
      </c>
      <c r="K4210" s="30" t="n">
        <f aca="false">Sens!C4189*IF(Sens!K4182-Sens!C4182=life_it,1,0)+Sens!D4189*IF(Sens!K4182-Sens!D4182=life_it,1,0)+Sens!E4189*IF(Sens!K4182-Sens!E4182=life_it,1,0)+Sens!F4189*IF(Sens!K4182-Sens!F4182=life_it,1,0)+Sens!G4189*IF(Sens!K4182-Sens!G4182=life_it,1,0)+Sens!H4189*IF(Sens!K4182-Sens!H4182=life_it,1,0)+Sens!I4189*IF(Sens!K4182-Sens!I4182=life_it,1,0)+Sens!J4189*IF(Sens!K4182-Sens!J4182=life_it,1,0)</f>
        <v>2450</v>
      </c>
      <c r="L4210" s="1" t="s">
        <v>994</v>
      </c>
    </row>
    <row r="4211" customFormat="false" ht="17.15" hidden="false" customHeight="false" outlineLevel="0" collapsed="false">
      <c r="A4211" s="0" t="s">
        <v>995</v>
      </c>
      <c r="B4211" s="0" t="s">
        <v>98</v>
      </c>
      <c r="C4211" s="6" t="n">
        <f aca="false">Sens!C4189*Sens!C4209/1000</f>
        <v>22.5333845916667</v>
      </c>
      <c r="D4211" s="6" t="n">
        <f aca="false">Sens!D4189*Sens!D4209/1000</f>
        <v>34.0300093833333</v>
      </c>
      <c r="E4211" s="6" t="n">
        <f aca="false">Sens!E4189*Sens!E4209/1000</f>
        <v>67.600153775</v>
      </c>
      <c r="F4211" s="6" t="n">
        <f aca="false">(Sens!F4189+Sens!F4210)*Sens!F4209/1000</f>
        <v>166.053968145344</v>
      </c>
      <c r="G4211" s="6" t="n">
        <f aca="false">(Sens!G4189+Sens!G4210)*Sens!G4209/1000</f>
        <v>188.879131118458</v>
      </c>
      <c r="H4211" s="6" t="n">
        <f aca="false">(Sens!H4189+Sens!H4210)*Sens!H4209/1000</f>
        <v>194.712965217015</v>
      </c>
      <c r="I4211" s="6" t="n">
        <f aca="false">(Sens!I4189+Sens!I4210)*Sens!I4209/1000</f>
        <v>166.744908224521</v>
      </c>
      <c r="J4211" s="6" t="n">
        <f aca="false">(Sens!J4189+Sens!J4210)*Sens!J4209/1000</f>
        <v>127.245720741316</v>
      </c>
      <c r="K4211" s="6" t="n">
        <f aca="false">(Sens!K4189+Sens!K4210)*Sens!K4209/1000</f>
        <v>117.432530492906</v>
      </c>
    </row>
    <row r="4212" customFormat="false" ht="17.15" hidden="false" customHeight="false" outlineLevel="0" collapsed="false">
      <c r="A4212" s="0" t="s">
        <v>996</v>
      </c>
      <c r="B4212" s="0" t="s">
        <v>98</v>
      </c>
      <c r="C4212" s="6" t="n">
        <f aca="false">Sens!C4189*self_build*tk_cxfac/1000</f>
        <v>6.2083</v>
      </c>
      <c r="D4212" s="6" t="n">
        <f aca="false">Sens!D4189*self_build*tk_cxfac/1000</f>
        <v>9.3758</v>
      </c>
      <c r="E4212" s="6" t="n">
        <f aca="false">Sens!E4189*self_build*tk_cxfac/1000</f>
        <v>18.6249</v>
      </c>
      <c r="F4212" s="6" t="n">
        <f aca="false">Sens!F4189*self_build*tk_cxfac/1000</f>
        <v>38.8442196604</v>
      </c>
      <c r="G4212" s="6" t="n">
        <f aca="false">Sens!G4189*self_build*tk_cxfac/1000</f>
        <v>41.4542396604</v>
      </c>
      <c r="H4212" s="6" t="n">
        <f aca="false">Sens!H4189*self_build*tk_cxfac/1000</f>
        <v>41.4542396604</v>
      </c>
      <c r="I4212" s="6" t="n">
        <f aca="false">Sens!I4189*self_build*tk_cxfac/1000</f>
        <v>29.291561963412</v>
      </c>
      <c r="J4212" s="6" t="n">
        <f aca="false">Sens!J4189*self_build*tk_cxfac/1000</f>
        <v>17.7147155056922</v>
      </c>
      <c r="K4212" s="6" t="n">
        <f aca="false">Sens!K4189*self_build*tk_cxfac/1000</f>
        <v>6.3763948935091</v>
      </c>
    </row>
    <row r="4213" customFormat="false" ht="17.15" hidden="false" customHeight="false" outlineLevel="0" collapsed="false">
      <c r="A4213" s="0" t="s">
        <v>997</v>
      </c>
      <c r="B4213" s="0" t="s">
        <v>98</v>
      </c>
      <c r="F4213" s="15" t="n">
        <f aca="false">capex_floor27-Sens!F4211-Sens!F4212-Sens!F4309</f>
        <v>-36.3798369776098</v>
      </c>
      <c r="L4213" s="12" t="s">
        <v>998</v>
      </c>
    </row>
    <row r="4214" customFormat="false" ht="17.15" hidden="false" customHeight="false" outlineLevel="0" collapsed="false">
      <c r="A4214" s="0" t="s">
        <v>999</v>
      </c>
      <c r="B4214" s="0" t="s">
        <v>98</v>
      </c>
      <c r="F4214" s="6" t="n">
        <f aca="false">MAX(0,Sens!F4213)</f>
        <v>0</v>
      </c>
    </row>
    <row r="4215" customFormat="false" ht="17.15" hidden="false" customHeight="false" outlineLevel="0" collapsed="false">
      <c r="A4215" s="0" t="s">
        <v>1000</v>
      </c>
      <c r="B4215" s="0" t="s">
        <v>98</v>
      </c>
      <c r="C4215" s="6" t="n">
        <f aca="false">Sens!C4211</f>
        <v>22.5333845916667</v>
      </c>
      <c r="D4215" s="6" t="n">
        <f aca="false">Sens!D4211</f>
        <v>34.0300093833333</v>
      </c>
      <c r="E4215" s="6" t="n">
        <f aca="false">Sens!E4211</f>
        <v>67.600153775</v>
      </c>
      <c r="F4215" s="6" t="n">
        <f aca="false">Sens!F4211</f>
        <v>166.053968145344</v>
      </c>
      <c r="G4215" s="6" t="n">
        <f aca="false">Sens!G4211</f>
        <v>188.879131118458</v>
      </c>
      <c r="H4215" s="6" t="n">
        <f aca="false">Sens!H4211</f>
        <v>194.712965217015</v>
      </c>
      <c r="I4215" s="6" t="n">
        <f aca="false">Sens!I4211</f>
        <v>166.744908224521</v>
      </c>
      <c r="J4215" s="6" t="n">
        <f aca="false">Sens!J4211</f>
        <v>127.245720741316</v>
      </c>
      <c r="K4215" s="6" t="n">
        <f aca="false">Sens!K4211</f>
        <v>117.432530492906</v>
      </c>
    </row>
    <row r="4216" customFormat="false" ht="17.15" hidden="false" customHeight="false" outlineLevel="0" collapsed="false">
      <c r="A4216" s="0" t="s">
        <v>1001</v>
      </c>
      <c r="B4216" s="0" t="s">
        <v>98</v>
      </c>
      <c r="C4216" s="6" t="n">
        <f aca="false">Sens!C4215+Sens!C4212</f>
        <v>28.7416845916667</v>
      </c>
      <c r="D4216" s="6" t="n">
        <f aca="false">Sens!D4215+Sens!D4212</f>
        <v>43.4058093833333</v>
      </c>
      <c r="E4216" s="6" t="n">
        <f aca="false">Sens!E4215+Sens!E4212</f>
        <v>86.225053775</v>
      </c>
      <c r="F4216" s="6" t="n">
        <f aca="false">Sens!F4215+Sens!F4212</f>
        <v>204.898187805744</v>
      </c>
      <c r="G4216" s="6" t="n">
        <f aca="false">Sens!G4215+Sens!G4212</f>
        <v>230.333370778858</v>
      </c>
      <c r="H4216" s="6" t="n">
        <f aca="false">Sens!H4215+Sens!H4212</f>
        <v>236.167204877415</v>
      </c>
      <c r="I4216" s="6" t="n">
        <f aca="false">Sens!I4215+Sens!I4212</f>
        <v>196.036470187933</v>
      </c>
      <c r="J4216" s="6" t="n">
        <f aca="false">Sens!J4215+Sens!J4212</f>
        <v>144.960436247008</v>
      </c>
      <c r="K4216" s="6" t="n">
        <f aca="false">Sens!K4215+Sens!K4212</f>
        <v>123.808925386415</v>
      </c>
      <c r="L4216" s="12" t="s">
        <v>1002</v>
      </c>
    </row>
    <row r="4217" customFormat="false" ht="17.15" hidden="false" customHeight="false" outlineLevel="0" collapsed="false">
      <c r="A4217" s="0" t="s">
        <v>1003</v>
      </c>
      <c r="B4217" s="0" t="s">
        <v>98</v>
      </c>
      <c r="E4217" s="6" t="n">
        <f aca="false">(Sens!C4215*IF(2&lt;life_it,1,IF(2=life_it,0.5,0))+Sens!D4215*IF(1&lt;life_it,1,IF(1=life_it,0.5,0))+Sens!E4215*0.5)/life_it</f>
        <v>15.0605784770833</v>
      </c>
      <c r="F4217" s="6" t="n">
        <f aca="false">(Sens!C4215*IF(3&lt;life_it,1,IF(3=life_it,0.5,0))+Sens!D4215*IF(2&lt;life_it,1,IF(2=life_it,0.5,0))+Sens!E4215*IF(1&lt;life_it,1,IF(1=life_it,0.5,0))+Sens!F4215*0.5)/life_it</f>
        <v>34.5317553037786</v>
      </c>
      <c r="G4217" s="6" t="n">
        <f aca="false">(Sens!C4215*IF(4&lt;life_it,1,IF(4=life_it,0.5,0))+Sens!D4215*IF(3&lt;life_it,1,IF(3=life_it,0.5,0))+Sens!E4215*IF(2&lt;life_it,1,IF(2=life_it,0.5,0))+Sens!F4215*IF(1&lt;life_it,1,IF(1=life_it,0.5,0))+Sens!G4215*0.5)/life_it</f>
        <v>64.1095135757621</v>
      </c>
      <c r="H4217" s="6" t="n">
        <f aca="false">(Sens!C4215*IF(5&lt;life_it,1,IF(5=life_it,0.5,0))+Sens!D4215*IF(4&lt;life_it,1,IF(4=life_it,0.5,0))+Sens!E4215*IF(3&lt;life_it,1,IF(3=life_it,0.5,0))+Sens!F4215*IF(2&lt;life_it,1,IF(2=life_it,0.5,0))+Sens!G4215*IF(1&lt;life_it,1,IF(1=life_it,0.5,0))+Sens!H4215*0.5)/life_it</f>
        <v>96.0755216037181</v>
      </c>
      <c r="I4217" s="6" t="n">
        <f aca="false">(Sens!C4215*IF(6&lt;life_it,1,IF(6=life_it,0.5,0))+Sens!D4215*IF(5&lt;life_it,1,IF(5=life_it,0.5,0))+Sens!E4215*IF(4&lt;life_it,1,IF(4=life_it,0.5,0))+Sens!F4215*IF(3&lt;life_it,1,IF(3=life_it,0.5,0))+Sens!G4215*IF(2&lt;life_it,1,IF(2=life_it,0.5,0))+Sens!H4215*IF(1&lt;life_it,1,IF(1=life_it,0.5,0))+Sens!I4215*0.5)/life_it</f>
        <v>124.319229007874</v>
      </c>
      <c r="J4217" s="6" t="n">
        <f aca="false">(Sens!C4215*IF(7&lt;life_it,1,IF(7=life_it,0.5,0))+Sens!D4215*IF(6&lt;life_it,1,IF(6=life_it,0.5,0))+Sens!E4215*IF(5&lt;life_it,1,IF(5=life_it,0.5,0))+Sens!F4215*IF(4&lt;life_it,1,IF(4=life_it,0.5,0))+Sens!G4215*IF(3&lt;life_it,1,IF(3=life_it,0.5,0))+Sens!H4215*IF(2&lt;life_it,1,IF(2=life_it,0.5,0))+Sens!I4215*IF(1&lt;life_it,1,IF(1=life_it,0.5,0))+Sens!J4215*0.5)/life_it</f>
        <v>144.104831923777</v>
      </c>
      <c r="K4217" s="6" t="n">
        <f aca="false">(Sens!C4215*IF(8&lt;life_it,1,IF(8=life_it,0.5,0))+Sens!D4215*IF(7&lt;life_it,1,IF(7=life_it,0.5,0))+Sens!E4215*IF(6&lt;life_it,1,IF(6=life_it,0.5,0))+Sens!F4215*IF(5&lt;life_it,1,IF(5=life_it,0.5,0))+Sens!G4215*IF(4&lt;life_it,1,IF(4=life_it,0.5,0))+Sens!H4215*IF(3&lt;life_it,1,IF(3=life_it,0.5,0))+Sens!I4215*IF(2&lt;life_it,1,IF(2=life_it,0.5,0))+Sens!J4215*IF(1&lt;life_it,1,IF(1=life_it,0.5,0))+Sens!K4215*0.5)/life_it</f>
        <v>156.025505930101</v>
      </c>
    </row>
    <row r="4218" customFormat="false" ht="17.15" hidden="false" customHeight="false" outlineLevel="0" collapsed="false">
      <c r="A4218" s="0" t="s">
        <v>1004</v>
      </c>
      <c r="B4218" s="0" t="s">
        <v>98</v>
      </c>
      <c r="E4218" s="6" t="n">
        <f aca="false">(Sens!C4212*IF(2&lt;life_fac,1,IF(2=life_fac,0.5,0))+Sens!D4212*IF(1&lt;life_fac,1,IF(1=life_fac,0.5,0))+Sens!E4212*0.5)/life_fac</f>
        <v>1.2448275</v>
      </c>
      <c r="F4218" s="6" t="n">
        <f aca="false">(Sens!C4212*IF(3&lt;life_fac,1,IF(3=life_fac,0.5,0))+Sens!D4212*IF(2&lt;life_fac,1,IF(2=life_fac,0.5,0))+Sens!E4212*IF(1&lt;life_fac,1,IF(1=life_fac,0.5,0))+Sens!F4212*0.5)/life_fac</f>
        <v>2.68155549151</v>
      </c>
      <c r="G4218" s="6" t="n">
        <f aca="false">(Sens!C4212*IF(4&lt;life_fac,1,IF(4=life_fac,0.5,0))+Sens!D4212*IF(3&lt;life_fac,1,IF(3=life_fac,0.5,0))+Sens!E4212*IF(2&lt;life_fac,1,IF(2=life_fac,0.5,0))+Sens!F4212*IF(1&lt;life_fac,1,IF(1=life_fac,0.5,0))+Sens!G4212*0.5)/life_fac</f>
        <v>4.68901697453</v>
      </c>
      <c r="H4218" s="6" t="n">
        <f aca="false">(Sens!C4212*IF(5&lt;life_fac,1,IF(5=life_fac,0.5,0))+Sens!D4212*IF(4&lt;life_fac,1,IF(4=life_fac,0.5,0))+Sens!E4212*IF(3&lt;life_fac,1,IF(3=life_fac,0.5,0))+Sens!F4212*IF(2&lt;life_fac,1,IF(2=life_fac,0.5,0))+Sens!G4212*IF(1&lt;life_fac,1,IF(1=life_fac,0.5,0))+Sens!H4212*0.5)/life_fac</f>
        <v>6.76172895755</v>
      </c>
      <c r="I4218" s="6" t="n">
        <f aca="false">(Sens!C4212*IF(6&lt;life_fac,1,IF(6=life_fac,0.5,0))+Sens!D4212*IF(5&lt;life_fac,1,IF(5=life_fac,0.5,0))+Sens!E4212*IF(4&lt;life_fac,1,IF(4=life_fac,0.5,0))+Sens!F4212*IF(3&lt;life_fac,1,IF(3=life_fac,0.5,0))+Sens!G4212*IF(2&lt;life_fac,1,IF(2=life_fac,0.5,0))+Sens!H4212*IF(1&lt;life_fac,1,IF(1=life_fac,0.5,0))+Sens!I4212*0.5)/life_fac</f>
        <v>8.5303739981453</v>
      </c>
      <c r="J4218" s="6" t="n">
        <f aca="false">(Sens!C4212*IF(7&lt;life_fac,1,IF(7=life_fac,0.5,0))+Sens!D4212*IF(6&lt;life_fac,1,IF(6=life_fac,0.5,0))+Sens!E4212*IF(5&lt;life_fac,1,IF(5=life_fac,0.5,0))+Sens!F4212*IF(4&lt;life_fac,1,IF(4=life_fac,0.5,0))+Sens!G4212*IF(3&lt;life_fac,1,IF(3=life_fac,0.5,0))+Sens!H4212*IF(2&lt;life_fac,1,IF(2=life_fac,0.5,0))+Sens!I4212*IF(1&lt;life_fac,1,IF(1=life_fac,0.5,0))+Sens!J4212*0.5)/life_fac</f>
        <v>9.70553093487291</v>
      </c>
      <c r="K4218" s="6" t="n">
        <f aca="false">(Sens!C4212*IF(8&lt;life_fac,1,IF(8=life_fac,0.5,0))+Sens!D4212*IF(7&lt;life_fac,1,IF(7=life_fac,0.5,0))+Sens!E4212*IF(6&lt;life_fac,1,IF(6=life_fac,0.5,0))+Sens!F4212*IF(5&lt;life_fac,1,IF(5=life_fac,0.5,0))+Sens!G4212*IF(4&lt;life_fac,1,IF(4=life_fac,0.5,0))+Sens!H4212*IF(3&lt;life_fac,1,IF(3=life_fac,0.5,0))+Sens!I4212*IF(2&lt;life_fac,1,IF(2=life_fac,0.5,0))+Sens!J4212*IF(1&lt;life_fac,1,IF(1=life_fac,0.5,0))+Sens!K4212*0.5)/life_fac</f>
        <v>10.3078086948529</v>
      </c>
    </row>
    <row r="4219" customFormat="false" ht="17.15" hidden="false" customHeight="false" outlineLevel="0" collapsed="false">
      <c r="A4219" s="0" t="s">
        <v>1005</v>
      </c>
      <c r="B4219" s="0" t="s">
        <v>98</v>
      </c>
      <c r="E4219" s="6" t="n">
        <f aca="false">Sens!E4217+Sens!E4218</f>
        <v>16.3054059770833</v>
      </c>
      <c r="F4219" s="6" t="n">
        <f aca="false">Sens!F4217+Sens!F4218</f>
        <v>37.2133107952886</v>
      </c>
      <c r="G4219" s="6" t="n">
        <f aca="false">Sens!G4217+Sens!G4218</f>
        <v>68.7985305502921</v>
      </c>
      <c r="H4219" s="6" t="n">
        <f aca="false">Sens!H4217+Sens!H4218</f>
        <v>102.837250561268</v>
      </c>
      <c r="I4219" s="6" t="n">
        <f aca="false">Sens!I4217+Sens!I4218</f>
        <v>132.849603006019</v>
      </c>
      <c r="J4219" s="6" t="n">
        <f aca="false">Sens!J4217+Sens!J4218</f>
        <v>153.81036285865</v>
      </c>
      <c r="K4219" s="6" t="n">
        <f aca="false">Sens!K4217+Sens!K4218</f>
        <v>166.333314624954</v>
      </c>
    </row>
    <row r="4220" customFormat="false" ht="17.15" hidden="false" customHeight="false" outlineLevel="0" collapsed="false">
      <c r="A4220" s="0" t="s">
        <v>1006</v>
      </c>
      <c r="B4220" s="0" t="s">
        <v>98</v>
      </c>
      <c r="E4220" s="6" t="n">
        <f aca="false">Sens!E4207-Sens!E4206*Sens!E4219</f>
        <v>8.92707889977379</v>
      </c>
      <c r="F4220" s="6" t="n">
        <f aca="false">Sens!F4207-Sens!F4206*Sens!F4219</f>
        <v>15.3338058067452</v>
      </c>
      <c r="G4220" s="6" t="n">
        <f aca="false">Sens!G4207-Sens!G4206*Sens!G4219</f>
        <v>18.5382245241284</v>
      </c>
      <c r="H4220" s="6" t="n">
        <f aca="false">Sens!H4207-Sens!H4206*Sens!H4219</f>
        <v>14.8900030193793</v>
      </c>
      <c r="I4220" s="6" t="n">
        <f aca="false">Sens!I4207-Sens!I4206*Sens!I4219</f>
        <v>18.7361784767032</v>
      </c>
      <c r="J4220" s="6" t="n">
        <f aca="false">Sens!J4207-Sens!J4206*Sens!J4219</f>
        <v>21.329961309336</v>
      </c>
      <c r="K4220" s="6" t="n">
        <f aca="false">Sens!K4207-Sens!K4206*Sens!K4219</f>
        <v>23.2228827425184</v>
      </c>
    </row>
    <row r="4221" customFormat="false" ht="17.15" hidden="false" customHeight="false" outlineLevel="0" collapsed="false">
      <c r="A4221" s="3" t="s">
        <v>1716</v>
      </c>
    </row>
    <row r="4222" customFormat="false" ht="15" hidden="false" customHeight="false" outlineLevel="0" collapsed="false">
      <c r="A4222" s="4" t="s">
        <v>43</v>
      </c>
      <c r="B4222" s="4" t="s">
        <v>65</v>
      </c>
      <c r="C4222" s="23" t="s">
        <v>942</v>
      </c>
      <c r="D4222" s="23" t="s">
        <v>943</v>
      </c>
      <c r="E4222" s="23" t="s">
        <v>944</v>
      </c>
      <c r="F4222" s="23" t="s">
        <v>945</v>
      </c>
      <c r="G4222" s="23" t="s">
        <v>946</v>
      </c>
      <c r="H4222" s="23" t="s">
        <v>947</v>
      </c>
      <c r="I4222" s="23" t="s">
        <v>948</v>
      </c>
      <c r="J4222" s="23" t="s">
        <v>949</v>
      </c>
      <c r="K4222" s="23" t="s">
        <v>950</v>
      </c>
      <c r="L4222" s="4" t="s">
        <v>47</v>
      </c>
    </row>
    <row r="4223" customFormat="false" ht="17.15" hidden="false" customHeight="false" outlineLevel="0" collapsed="false">
      <c r="A4223" s="0" t="s">
        <v>1025</v>
      </c>
      <c r="B4223" s="0" t="s">
        <v>98</v>
      </c>
      <c r="D4223" s="6" t="n">
        <f aca="false">Sens!D4201</f>
        <v>12.9359794422418</v>
      </c>
      <c r="E4223" s="6" t="n">
        <f aca="false">Sens!E4201</f>
        <v>27.8095064661409</v>
      </c>
      <c r="F4223" s="6" t="n">
        <f aca="false">Sens!F4201</f>
        <v>54.2701836642681</v>
      </c>
      <c r="G4223" s="6" t="n">
        <f aca="false">Sens!G4201</f>
        <v>85.7118216589805</v>
      </c>
      <c r="H4223" s="6" t="n">
        <f aca="false">Sens!H4201</f>
        <v>111.225179667543</v>
      </c>
      <c r="I4223" s="6" t="n">
        <f aca="false">Sens!I4201</f>
        <v>140.617765742986</v>
      </c>
      <c r="J4223" s="6" t="n">
        <f aca="false">Sens!J4201</f>
        <v>160.883336073197</v>
      </c>
      <c r="K4223" s="6" t="n">
        <f aca="false">Sens!K4201</f>
        <v>173.112884660333</v>
      </c>
    </row>
    <row r="4224" customFormat="false" ht="17.15" hidden="false" customHeight="false" outlineLevel="0" collapsed="false">
      <c r="A4224" s="0" t="s">
        <v>1026</v>
      </c>
      <c r="B4224" s="0" t="s">
        <v>98</v>
      </c>
      <c r="D4224" s="6" t="n">
        <f aca="false">Q!L6-Sens!D4223</f>
        <v>59.6740205577583</v>
      </c>
      <c r="E4224" s="6" t="n">
        <f aca="false">Q!M6-Sens!E4223</f>
        <v>74.1284935338591</v>
      </c>
      <c r="F4224" s="6" t="n">
        <f aca="false">Q!$I$6+(Sens!F4223+Sens!E4224*(1+Sens!F4225))*(1-Q!$E$6/Q!M6)-Sens!F4223</f>
        <v>91.5479046112879</v>
      </c>
      <c r="G4224" s="6" t="n">
        <f aca="false">Sens!F4224*(1+Sens!G4225)</f>
        <v>108.772574693662</v>
      </c>
      <c r="H4224" s="6" t="n">
        <f aca="false">Sens!G4224*(1+Sens!H4225)</f>
        <v>126.297135386679</v>
      </c>
      <c r="I4224" s="6" t="n">
        <f aca="false">Sens!H4224*(1+Sens!I4225)</f>
        <v>143.230376790693</v>
      </c>
      <c r="J4224" s="6" t="n">
        <f aca="false">Sens!I4224*(1+Sens!J4225)</f>
        <v>158.561371582657</v>
      </c>
      <c r="K4224" s="6" t="n">
        <f aca="false">Sens!J4224*(1+Sens!K4225)</f>
        <v>171.24628130927</v>
      </c>
      <c r="L4224" s="12" t="s">
        <v>1027</v>
      </c>
    </row>
    <row r="4225" customFormat="false" ht="15" hidden="false" customHeight="false" outlineLevel="0" collapsed="false">
      <c r="A4225" s="1" t="s">
        <v>1028</v>
      </c>
      <c r="B4225" s="0" t="s">
        <v>168</v>
      </c>
      <c r="E4225" s="7" t="n">
        <f aca="false">Sens!E4224/Sens!D4224-1</f>
        <v>0.242223883039864</v>
      </c>
      <c r="F4225" s="7" t="n">
        <f aca="false">Sens!$E$4225+(glt_azo-Sens!$E$4225)*MIN(1,(Sens!F4182-base_fy)/n_conv)</f>
        <v>0.215186569199887</v>
      </c>
      <c r="G4225" s="7" t="n">
        <f aca="false">Sens!$E$4225+(glt_azo-Sens!$E$4225)*MIN(1,(Sens!G4182-base_fy)/n_conv)</f>
        <v>0.18814925535991</v>
      </c>
      <c r="H4225" s="7" t="n">
        <f aca="false">Sens!$E$4225+(glt_azo-Sens!$E$4225)*MIN(1,(Sens!H4182-base_fy)/n_conv)</f>
        <v>0.161111941519932</v>
      </c>
      <c r="I4225" s="7" t="n">
        <f aca="false">Sens!$E$4225+(glt_azo-Sens!$E$4225)*MIN(1,(Sens!I4182-base_fy)/n_conv)</f>
        <v>0.134074627679955</v>
      </c>
      <c r="J4225" s="7" t="n">
        <f aca="false">Sens!$E$4225+(glt_azo-Sens!$E$4225)*MIN(1,(Sens!J4182-base_fy)/n_conv)</f>
        <v>0.107037313839977</v>
      </c>
      <c r="K4225" s="7" t="n">
        <f aca="false">Sens!$E$4225+(glt_azo-Sens!$E$4225)*MIN(1,(Sens!K4182-base_fy)/n_conv)</f>
        <v>0.08</v>
      </c>
    </row>
    <row r="4226" customFormat="false" ht="15" hidden="false" customHeight="false" outlineLevel="0" collapsed="false">
      <c r="A4226" s="0" t="s">
        <v>1029</v>
      </c>
      <c r="B4226" s="0" t="s">
        <v>98</v>
      </c>
      <c r="D4226" s="6" t="n">
        <f aca="false">Sens!D4223+Sens!D4224</f>
        <v>72.61</v>
      </c>
      <c r="E4226" s="6" t="n">
        <f aca="false">Sens!E4223+Sens!E4224</f>
        <v>101.938</v>
      </c>
      <c r="F4226" s="6" t="n">
        <f aca="false">Sens!F4223+Sens!F4224</f>
        <v>145.818088275556</v>
      </c>
      <c r="G4226" s="6" t="n">
        <f aca="false">Sens!G4223+Sens!G4224</f>
        <v>194.484396352642</v>
      </c>
      <c r="H4226" s="6" t="n">
        <f aca="false">Sens!H4223+Sens!H4224</f>
        <v>237.522315054223</v>
      </c>
      <c r="I4226" s="6" t="n">
        <f aca="false">Sens!I4223+Sens!I4224</f>
        <v>283.84814253368</v>
      </c>
      <c r="J4226" s="6" t="n">
        <f aca="false">Sens!J4223+Sens!J4224</f>
        <v>319.444707655854</v>
      </c>
      <c r="K4226" s="6" t="n">
        <f aca="false">Sens!K4223+Sens!K4224</f>
        <v>344.359165969602</v>
      </c>
    </row>
    <row r="4227" customFormat="false" ht="17.15" hidden="false" customHeight="false" outlineLevel="0" collapsed="false">
      <c r="A4227" s="0" t="s">
        <v>1030</v>
      </c>
      <c r="B4227" s="1" t="s">
        <v>613</v>
      </c>
      <c r="C4227" s="30" t="n">
        <f aca="false">cop_s24</f>
        <v>1</v>
      </c>
      <c r="D4227" s="30" t="n">
        <f aca="false">cop_s25</f>
        <v>5</v>
      </c>
      <c r="E4227" s="30" t="n">
        <f aca="false">cop_s26</f>
        <v>30</v>
      </c>
      <c r="F4227" s="30" t="n">
        <f aca="false">Sens!E4227+cop_add_C</f>
        <v>40</v>
      </c>
      <c r="G4227" s="30" t="n">
        <f aca="false">Sens!F4227+cop_add_C</f>
        <v>50</v>
      </c>
      <c r="H4227" s="30" t="n">
        <f aca="false">Sens!G4227+cop_add_C</f>
        <v>60</v>
      </c>
      <c r="I4227" s="30" t="n">
        <f aca="false">Sens!H4227+cop_add_C*cop_tail</f>
        <v>65</v>
      </c>
      <c r="J4227" s="30" t="n">
        <f aca="false">Sens!I4227+cop_add_C*cop_tail</f>
        <v>70</v>
      </c>
      <c r="K4227" s="30" t="n">
        <f aca="false">Sens!J4227+cop_add_C*cop_tail</f>
        <v>75</v>
      </c>
      <c r="L4227" s="12" t="s">
        <v>1031</v>
      </c>
    </row>
    <row r="4228" customFormat="false" ht="17.15" hidden="false" customHeight="false" outlineLevel="0" collapsed="false">
      <c r="A4228" s="0" t="s">
        <v>1032</v>
      </c>
      <c r="B4228" s="0" t="s">
        <v>98</v>
      </c>
      <c r="D4228" s="6" t="n">
        <f aca="false">(Sens!C4227+Sens!D4227)/2*cop_px*12/1000</f>
        <v>0.9</v>
      </c>
      <c r="E4228" s="6" t="n">
        <f aca="false">(Sens!D4227+Sens!E4227)/2*cop_px*12/1000</f>
        <v>5.25</v>
      </c>
      <c r="F4228" s="6" t="n">
        <f aca="false">(Sens!E4227+Sens!F4227)/2*cop_px*12/1000</f>
        <v>10.5</v>
      </c>
      <c r="G4228" s="6" t="n">
        <f aca="false">(Sens!F4227+Sens!G4227)/2*cop_px*12/1000</f>
        <v>13.5</v>
      </c>
      <c r="H4228" s="6" t="n">
        <f aca="false">(Sens!G4227+Sens!H4227)/2*cop_px*12/1000</f>
        <v>16.5</v>
      </c>
      <c r="I4228" s="6" t="n">
        <f aca="false">(Sens!H4227+Sens!I4227)/2*cop_px*12/1000</f>
        <v>18.75</v>
      </c>
      <c r="J4228" s="6" t="n">
        <f aca="false">(Sens!I4227+Sens!J4227)/2*cop_px*12/1000</f>
        <v>20.25</v>
      </c>
      <c r="K4228" s="6" t="n">
        <f aca="false">(Sens!J4227+Sens!K4227)/2*cop_px*12/1000</f>
        <v>21.75</v>
      </c>
      <c r="L4228" s="1" t="s">
        <v>1033</v>
      </c>
    </row>
    <row r="4229" customFormat="false" ht="17.15" hidden="false" customHeight="false" outlineLevel="0" collapsed="false">
      <c r="A4229" s="0" t="s">
        <v>1034</v>
      </c>
      <c r="B4229" s="0" t="s">
        <v>98</v>
      </c>
      <c r="D4229" s="6" t="n">
        <f aca="false">Q!L7-Sens!D4228</f>
        <v>83.705</v>
      </c>
      <c r="E4229" s="6" t="n">
        <f aca="false">Q!M7-Sens!E4228</f>
        <v>95.049</v>
      </c>
      <c r="F4229" s="6" t="n">
        <f aca="false">Q!$I$7+(Sens!E4229*(1+Sens!F4230)+Sens!F4228)*(1-Q!$E$7/Q!M7)-Sens!F4228</f>
        <v>106.938354189776</v>
      </c>
      <c r="G4229" s="6" t="n">
        <f aca="false">Sens!F4229*(1+Sens!G4230)</f>
        <v>119.095360443801</v>
      </c>
      <c r="H4229" s="6" t="n">
        <f aca="false">Sens!G4229*(1+Sens!H4230)</f>
        <v>131.333811964563</v>
      </c>
      <c r="I4229" s="6" t="n">
        <f aca="false">Sens!H4229*(1+Sens!I4230)</f>
        <v>143.395665319381</v>
      </c>
      <c r="J4229" s="6" t="n">
        <f aca="false">Sens!I4229*(1+Sens!J4230)</f>
        <v>154.999327755573</v>
      </c>
      <c r="K4229" s="6" t="n">
        <f aca="false">Sens!J4229*(1+Sens!K4230)</f>
        <v>165.849280698463</v>
      </c>
      <c r="L4229" s="12" t="s">
        <v>1035</v>
      </c>
    </row>
    <row r="4230" customFormat="false" ht="15" hidden="false" customHeight="false" outlineLevel="0" collapsed="false">
      <c r="A4230" s="1" t="s">
        <v>1028</v>
      </c>
      <c r="B4230" s="0" t="s">
        <v>168</v>
      </c>
      <c r="E4230" s="7" t="n">
        <f aca="false">Sens!E4229/Sens!D4229-1</f>
        <v>0.135523564900544</v>
      </c>
      <c r="F4230" s="7" t="n">
        <f aca="false">Sens!$E$4230+(glt_m365b-Sens!$E$4230)*MIN(1,(Sens!F4182-base_fy)/n_conv)</f>
        <v>0.124602970750453</v>
      </c>
      <c r="G4230" s="7" t="n">
        <f aca="false">Sens!$E$4230+(glt_m365b-Sens!$E$4230)*MIN(1,(Sens!G4182-base_fy)/n_conv)</f>
        <v>0.113682376600363</v>
      </c>
      <c r="H4230" s="7" t="n">
        <f aca="false">Sens!$E$4230+(glt_m365b-Sens!$E$4230)*MIN(1,(Sens!H4182-base_fy)/n_conv)</f>
        <v>0.102761782450272</v>
      </c>
      <c r="I4230" s="7" t="n">
        <f aca="false">Sens!$E$4230+(glt_m365b-Sens!$E$4230)*MIN(1,(Sens!I4182-base_fy)/n_conv)</f>
        <v>0.0918411883001813</v>
      </c>
      <c r="J4230" s="7" t="n">
        <f aca="false">Sens!$E$4230+(glt_m365b-Sens!$E$4230)*MIN(1,(Sens!J4182-base_fy)/n_conv)</f>
        <v>0.0809205941500906</v>
      </c>
      <c r="K4230" s="7" t="n">
        <f aca="false">Sens!$E$4230+(glt_m365b-Sens!$E$4230)*MIN(1,(Sens!K4182-base_fy)/n_conv)</f>
        <v>0.07</v>
      </c>
    </row>
    <row r="4231" customFormat="false" ht="15" hidden="false" customHeight="false" outlineLevel="0" collapsed="false">
      <c r="A4231" s="0" t="s">
        <v>1036</v>
      </c>
      <c r="B4231" s="0" t="s">
        <v>98</v>
      </c>
      <c r="D4231" s="6" t="n">
        <f aca="false">Sens!D4229+Sens!D4228</f>
        <v>84.605</v>
      </c>
      <c r="E4231" s="6" t="n">
        <f aca="false">Sens!E4229+Sens!E4228</f>
        <v>100.299</v>
      </c>
      <c r="F4231" s="6" t="n">
        <f aca="false">Sens!F4229+Sens!F4228</f>
        <v>117.438354189776</v>
      </c>
      <c r="G4231" s="6" t="n">
        <f aca="false">Sens!G4229+Sens!G4228</f>
        <v>132.595360443801</v>
      </c>
      <c r="H4231" s="6" t="n">
        <f aca="false">Sens!H4229+Sens!H4228</f>
        <v>147.833811964563</v>
      </c>
      <c r="I4231" s="6" t="n">
        <f aca="false">Sens!I4229+Sens!I4228</f>
        <v>162.145665319381</v>
      </c>
      <c r="J4231" s="6" t="n">
        <f aca="false">Sens!J4229+Sens!J4228</f>
        <v>175.249327755573</v>
      </c>
      <c r="K4231" s="6" t="n">
        <f aca="false">Sens!K4229+Sens!K4228</f>
        <v>187.599280698463</v>
      </c>
    </row>
    <row r="4232" customFormat="false" ht="17.15" hidden="false" customHeight="false" outlineLevel="0" collapsed="false">
      <c r="A4232" s="0" t="s">
        <v>1037</v>
      </c>
      <c r="B4232" s="0" t="s">
        <v>98</v>
      </c>
      <c r="D4232" s="6" t="n">
        <f aca="false">Q!L8</f>
        <v>35.391</v>
      </c>
      <c r="E4232" s="6" t="n">
        <f aca="false">Q!M8</f>
        <v>37.285</v>
      </c>
      <c r="F4232" s="6" t="n">
        <f aca="false">Q!$I$8+(Q!M8-Q!$E$8)*(1+Sens!F4233)</f>
        <v>38.3851437782675</v>
      </c>
      <c r="G4232" s="6" t="n">
        <f aca="false">Sens!F4232*(1+Sens!G4233)</f>
        <v>40.0105353288615</v>
      </c>
      <c r="H4232" s="6" t="n">
        <f aca="false">Sens!G4232*(1+Sens!H4233)</f>
        <v>41.4812512033683</v>
      </c>
      <c r="I4232" s="6" t="n">
        <f aca="false">Sens!H4232*(1+Sens!I4233)</f>
        <v>42.7743107216329</v>
      </c>
      <c r="J4232" s="6" t="n">
        <f aca="false">Sens!I4232*(1+Sens!J4233)</f>
        <v>43.8687373064601</v>
      </c>
      <c r="K4232" s="6" t="n">
        <f aca="false">Sens!J4232*(1+Sens!K4233)</f>
        <v>44.7461120525893</v>
      </c>
      <c r="L4232" s="12" t="s">
        <v>1038</v>
      </c>
    </row>
    <row r="4233" customFormat="false" ht="15" hidden="false" customHeight="false" outlineLevel="0" collapsed="false">
      <c r="A4233" s="1" t="s">
        <v>1028</v>
      </c>
      <c r="B4233" s="0" t="s">
        <v>168</v>
      </c>
      <c r="E4233" s="7" t="n">
        <f aca="false">Sens!E4232/Sens!D4232-1</f>
        <v>0.0535164307309768</v>
      </c>
      <c r="F4233" s="7" t="n">
        <f aca="false">Sens!$E$4233+(glt_lic-Sens!$E$4233)*MIN(1,(Sens!F4182-base_fy)/n_conv)</f>
        <v>0.0479303589424807</v>
      </c>
      <c r="G4233" s="7" t="n">
        <f aca="false">Sens!$E$4233+(glt_lic-Sens!$E$4233)*MIN(1,(Sens!G4182-base_fy)/n_conv)</f>
        <v>0.0423442871539845</v>
      </c>
      <c r="H4233" s="7" t="n">
        <f aca="false">Sens!$E$4233+(glt_lic-Sens!$E$4233)*MIN(1,(Sens!H4182-base_fy)/n_conv)</f>
        <v>0.0367582153654884</v>
      </c>
      <c r="I4233" s="7" t="n">
        <f aca="false">Sens!$E$4233+(glt_lic-Sens!$E$4233)*MIN(1,(Sens!I4182-base_fy)/n_conv)</f>
        <v>0.0311721435769923</v>
      </c>
      <c r="J4233" s="7" t="n">
        <f aca="false">Sens!$E$4233+(glt_lic-Sens!$E$4233)*MIN(1,(Sens!J4182-base_fy)/n_conv)</f>
        <v>0.0255860717884961</v>
      </c>
      <c r="K4233" s="7" t="n">
        <f aca="false">Sens!$E$4233+(glt_lic-Sens!$E$4233)*MIN(1,(Sens!K4182-base_fy)/n_conv)</f>
        <v>0.02</v>
      </c>
    </row>
    <row r="4234" customFormat="false" ht="17.15" hidden="false" customHeight="false" outlineLevel="0" collapsed="false">
      <c r="A4234" s="0" t="s">
        <v>1039</v>
      </c>
      <c r="B4234" s="0" t="s">
        <v>98</v>
      </c>
      <c r="D4234" s="6" t="n">
        <f aca="false">Q!L9</f>
        <v>18.417</v>
      </c>
      <c r="E4234" s="6" t="n">
        <f aca="false">Q!M9</f>
        <v>20.345</v>
      </c>
      <c r="F4234" s="6" t="n">
        <f aca="false">Q!$I$9+(Q!M9-Q!$E$9)*(1+Sens!F4235)</f>
        <v>22.3161797133988</v>
      </c>
      <c r="G4234" s="6" t="n">
        <f aca="false">Sens!F4234*(1+Sens!G4235)</f>
        <v>24.3943499673233</v>
      </c>
      <c r="H4234" s="6" t="n">
        <f aca="false">Sens!G4234*(1+Sens!H4235)</f>
        <v>26.5250243109019</v>
      </c>
      <c r="I4234" s="6" t="n">
        <f aca="false">Sens!H4234*(1+Sens!I4235)</f>
        <v>28.6884573538181</v>
      </c>
      <c r="J4234" s="6" t="n">
        <f aca="false">Sens!I4234*(1+Sens!J4235)</f>
        <v>30.8624968052127</v>
      </c>
      <c r="K4234" s="6" t="n">
        <f aca="false">Sens!J4234*(1+Sens!K4235)</f>
        <v>33.0228715815776</v>
      </c>
      <c r="L4234" s="12" t="s">
        <v>1038</v>
      </c>
    </row>
    <row r="4235" customFormat="false" ht="15" hidden="false" customHeight="false" outlineLevel="0" collapsed="false">
      <c r="A4235" s="1" t="s">
        <v>1028</v>
      </c>
      <c r="B4235" s="0" t="s">
        <v>168</v>
      </c>
      <c r="E4235" s="7" t="n">
        <f aca="false">Sens!E4234/Sens!D4234-1</f>
        <v>0.104685888038225</v>
      </c>
      <c r="F4235" s="7" t="n">
        <f aca="false">Sens!$E$4235+(glt_ind-Sens!$E$4235)*MIN(1,(Sens!F4182-base_fy)/n_conv)</f>
        <v>0.0989049066985211</v>
      </c>
      <c r="G4235" s="7" t="n">
        <f aca="false">Sens!$E$4235+(glt_ind-Sens!$E$4235)*MIN(1,(Sens!G4182-base_fy)/n_conv)</f>
        <v>0.0931239253588169</v>
      </c>
      <c r="H4235" s="7" t="n">
        <f aca="false">Sens!$E$4235+(glt_ind-Sens!$E$4235)*MIN(1,(Sens!H4182-base_fy)/n_conv)</f>
        <v>0.0873429440191127</v>
      </c>
      <c r="I4235" s="7" t="n">
        <f aca="false">Sens!$E$4235+(glt_ind-Sens!$E$4235)*MIN(1,(Sens!I4182-base_fy)/n_conv)</f>
        <v>0.0815619626794085</v>
      </c>
      <c r="J4235" s="7" t="n">
        <f aca="false">Sens!$E$4235+(glt_ind-Sens!$E$4235)*MIN(1,(Sens!J4182-base_fy)/n_conv)</f>
        <v>0.0757809813397042</v>
      </c>
      <c r="K4235" s="7" t="n">
        <f aca="false">Sens!$E$4235+(glt_ind-Sens!$E$4235)*MIN(1,(Sens!K4182-base_fy)/n_conv)</f>
        <v>0.07</v>
      </c>
    </row>
    <row r="4236" customFormat="false" ht="17.15" hidden="false" customHeight="false" outlineLevel="0" collapsed="false">
      <c r="A4236" s="0" t="s">
        <v>1040</v>
      </c>
      <c r="B4236" s="0" t="s">
        <v>98</v>
      </c>
      <c r="D4236" s="6" t="n">
        <f aca="false">Q!L10</f>
        <v>7.76</v>
      </c>
      <c r="E4236" s="6" t="n">
        <f aca="false">Q!M10</f>
        <v>8.26</v>
      </c>
      <c r="F4236" s="6" t="n">
        <f aca="false">Q!$I$10+(Q!M10-Q!$E$10)*(1+Sens!F4237)</f>
        <v>8.75372082474227</v>
      </c>
      <c r="G4236" s="6" t="n">
        <f aca="false">Sens!F4236*(1+Sens!G4237)</f>
        <v>9.33399324642364</v>
      </c>
      <c r="H4236" s="6" t="n">
        <f aca="false">Sens!G4236*(1+Sens!H4237)</f>
        <v>9.96139155535851</v>
      </c>
      <c r="I4236" s="6" t="n">
        <f aca="false">Sens!H4236*(1+Sens!I4237)</f>
        <v>10.6402039077391</v>
      </c>
      <c r="J4236" s="6" t="n">
        <f aca="false">Sens!I4236*(1+Sens!J4237)</f>
        <v>11.3751458271397</v>
      </c>
      <c r="K4236" s="6" t="n">
        <f aca="false">Sens!J4236*(1+Sens!K4237)</f>
        <v>12.1714060350394</v>
      </c>
      <c r="L4236" s="12" t="s">
        <v>1038</v>
      </c>
    </row>
    <row r="4237" customFormat="false" ht="15" hidden="false" customHeight="false" outlineLevel="0" collapsed="false">
      <c r="A4237" s="1" t="s">
        <v>1028</v>
      </c>
      <c r="B4237" s="0" t="s">
        <v>168</v>
      </c>
      <c r="E4237" s="7" t="n">
        <f aca="false">Sens!E4236/Sens!D4236-1</f>
        <v>0.0644329896907216</v>
      </c>
      <c r="F4237" s="7" t="n">
        <f aca="false">Sens!$E$4237+(glt_fro-Sens!$E$4237)*MIN(1,(Sens!F4182-base_fy)/n_conv)</f>
        <v>0.065360824742268</v>
      </c>
      <c r="G4237" s="7" t="n">
        <f aca="false">Sens!$E$4237+(glt_fro-Sens!$E$4237)*MIN(1,(Sens!G4182-base_fy)/n_conv)</f>
        <v>0.0662886597938144</v>
      </c>
      <c r="H4237" s="7" t="n">
        <f aca="false">Sens!$E$4237+(glt_fro-Sens!$E$4237)*MIN(1,(Sens!H4182-base_fy)/n_conv)</f>
        <v>0.0672164948453608</v>
      </c>
      <c r="I4237" s="7" t="n">
        <f aca="false">Sens!$E$4237+(glt_fro-Sens!$E$4237)*MIN(1,(Sens!I4182-base_fy)/n_conv)</f>
        <v>0.0681443298969072</v>
      </c>
      <c r="J4237" s="7" t="n">
        <f aca="false">Sens!$E$4237+(glt_fro-Sens!$E$4237)*MIN(1,(Sens!J4182-base_fy)/n_conv)</f>
        <v>0.0690721649484536</v>
      </c>
      <c r="K4237" s="7" t="n">
        <f aca="false">Sens!$E$4237+(glt_fro-Sens!$E$4237)*MIN(1,(Sens!K4182-base_fy)/n_conv)</f>
        <v>0.07</v>
      </c>
    </row>
    <row r="4238" customFormat="false" ht="15" hidden="false" customHeight="false" outlineLevel="0" collapsed="false">
      <c r="A4238" s="0" t="s">
        <v>856</v>
      </c>
      <c r="B4238" s="0" t="s">
        <v>98</v>
      </c>
      <c r="D4238" s="6" t="n">
        <f aca="false">Sens!D4226+Sens!D4231+Sens!D4232+Sens!D4234+Sens!D4236</f>
        <v>218.783</v>
      </c>
      <c r="E4238" s="6" t="n">
        <f aca="false">Sens!E4226+Sens!E4231+Sens!E4232+Sens!E4234+Sens!E4236</f>
        <v>268.127</v>
      </c>
      <c r="F4238" s="6" t="n">
        <f aca="false">Sens!F4226+Sens!F4231+Sens!F4232+Sens!F4234+Sens!F4236</f>
        <v>332.71148678174</v>
      </c>
      <c r="G4238" s="6" t="n">
        <f aca="false">Sens!G4226+Sens!G4231+Sens!G4232+Sens!G4234+Sens!G4236</f>
        <v>400.818635339051</v>
      </c>
      <c r="H4238" s="6" t="n">
        <f aca="false">Sens!H4226+Sens!H4231+Sens!H4232+Sens!H4234+Sens!H4236</f>
        <v>463.323794088415</v>
      </c>
      <c r="I4238" s="6" t="n">
        <f aca="false">Sens!I4226+Sens!I4231+Sens!I4232+Sens!I4234+Sens!I4236</f>
        <v>528.096779836251</v>
      </c>
      <c r="J4238" s="6" t="n">
        <f aca="false">Sens!J4226+Sens!J4231+Sens!J4232+Sens!J4234+Sens!J4236</f>
        <v>580.80041535024</v>
      </c>
      <c r="K4238" s="6" t="n">
        <f aca="false">Sens!K4226+Sens!K4231+Sens!K4232+Sens!K4234+Sens!K4236</f>
        <v>621.898836337271</v>
      </c>
    </row>
    <row r="4239" customFormat="false" ht="17.15" hidden="false" customHeight="false" outlineLevel="0" collapsed="false">
      <c r="A4239" s="0" t="s">
        <v>1041</v>
      </c>
      <c r="B4239" s="0" t="s">
        <v>98</v>
      </c>
      <c r="D4239" s="6" t="n">
        <f aca="false">Q!L13</f>
        <v>22.171</v>
      </c>
      <c r="E4239" s="6" t="n">
        <f aca="false">Q!M13</f>
        <v>24.835</v>
      </c>
      <c r="F4239" s="6" t="n">
        <f aca="false">Q!$I$13+(Q!M13-Q!$E$13)*(1+Sens!F4240)</f>
        <v>27.5591895660247</v>
      </c>
      <c r="G4239" s="6" t="n">
        <f aca="false">Sens!F4239*(1+Sens!G4240)</f>
        <v>30.4098563144583</v>
      </c>
      <c r="H4239" s="6" t="n">
        <f aca="false">Sens!G4239*(1+Sens!H4240)</f>
        <v>33.3011792571777</v>
      </c>
      <c r="I4239" s="6" t="n">
        <f aca="false">Sens!H4239*(1+Sens!I4240)</f>
        <v>36.189023797112</v>
      </c>
      <c r="J4239" s="6" t="n">
        <f aca="false">Sens!I4239*(1+Sens!J4240)</f>
        <v>39.0247773769199</v>
      </c>
      <c r="K4239" s="6" t="n">
        <f aca="false">Sens!J4239*(1+Sens!K4240)</f>
        <v>41.7565117933043</v>
      </c>
      <c r="L4239" s="12" t="s">
        <v>1038</v>
      </c>
    </row>
    <row r="4240" customFormat="false" ht="15" hidden="false" customHeight="false" outlineLevel="0" collapsed="false">
      <c r="A4240" s="1" t="s">
        <v>1028</v>
      </c>
      <c r="B4240" s="0" t="s">
        <v>168</v>
      </c>
      <c r="E4240" s="7" t="n">
        <f aca="false">Sens!E4239/Sens!D4239-1</f>
        <v>0.120156961796942</v>
      </c>
      <c r="F4240" s="7" t="n">
        <f aca="false">Sens!$E$4240+(glt_srch-Sens!$E$4240)*MIN(1,(Sens!F4182-base_fy)/n_conv)</f>
        <v>0.111797468164118</v>
      </c>
      <c r="G4240" s="7" t="n">
        <f aca="false">Sens!$E$4240+(glt_srch-Sens!$E$4240)*MIN(1,(Sens!G4182-base_fy)/n_conv)</f>
        <v>0.103437974531295</v>
      </c>
      <c r="H4240" s="7" t="n">
        <f aca="false">Sens!$E$4240+(glt_srch-Sens!$E$4240)*MIN(1,(Sens!H4182-base_fy)/n_conv)</f>
        <v>0.095078480898471</v>
      </c>
      <c r="I4240" s="7" t="n">
        <f aca="false">Sens!$E$4240+(glt_srch-Sens!$E$4240)*MIN(1,(Sens!I4182-base_fy)/n_conv)</f>
        <v>0.0867189872656474</v>
      </c>
      <c r="J4240" s="7" t="n">
        <f aca="false">Sens!$E$4240+(glt_srch-Sens!$E$4240)*MIN(1,(Sens!J4182-base_fy)/n_conv)</f>
        <v>0.0783594936328237</v>
      </c>
      <c r="K4240" s="7" t="n">
        <f aca="false">Sens!$E$4240+(glt_srch-Sens!$E$4240)*MIN(1,(Sens!K4182-base_fy)/n_conv)</f>
        <v>0.07</v>
      </c>
    </row>
    <row r="4241" customFormat="false" ht="17.15" hidden="false" customHeight="false" outlineLevel="0" collapsed="false">
      <c r="A4241" s="0" t="s">
        <v>1042</v>
      </c>
      <c r="B4241" s="0" t="s">
        <v>98</v>
      </c>
      <c r="D4241" s="6" t="n">
        <f aca="false">Q!L14</f>
        <v>23.455</v>
      </c>
      <c r="E4241" s="6" t="n">
        <f aca="false">Q!M14</f>
        <v>21.79</v>
      </c>
      <c r="F4241" s="6" t="n">
        <f aca="false">Q!$I$14+(Q!M14-Q!$E$14)*(1+Sens!F4242)</f>
        <v>20.7520981041711</v>
      </c>
      <c r="G4241" s="6" t="n">
        <f aca="false">Sens!F4241*(1+Sens!G4242)</f>
        <v>19.9083593495882</v>
      </c>
      <c r="H4241" s="6" t="n">
        <f aca="false">Sens!G4241*(1+Sens!H4242)</f>
        <v>19.4008256265831</v>
      </c>
      <c r="I4241" s="6" t="n">
        <f aca="false">Sens!H4241*(1+Sens!I4242)</f>
        <v>19.200434522122</v>
      </c>
      <c r="J4241" s="6" t="n">
        <f aca="false">Sens!I4241*(1+Sens!J4242)</f>
        <v>19.2932782348507</v>
      </c>
      <c r="K4241" s="6" t="n">
        <f aca="false">Sens!J4241*(1+Sens!K4242)</f>
        <v>19.6791437995477</v>
      </c>
      <c r="L4241" s="12" t="s">
        <v>1038</v>
      </c>
    </row>
    <row r="4242" customFormat="false" ht="15" hidden="false" customHeight="false" outlineLevel="0" collapsed="false">
      <c r="A4242" s="1" t="s">
        <v>1028</v>
      </c>
      <c r="B4242" s="0" t="s">
        <v>168</v>
      </c>
      <c r="E4242" s="7" t="n">
        <f aca="false">Sens!E4241/Sens!D4241-1</f>
        <v>-0.0709869963760392</v>
      </c>
      <c r="F4242" s="7" t="n">
        <f aca="false">Sens!$E$4242+(glt_xbox-Sens!$E$4242)*MIN(1,(Sens!F4182-base_fy)/n_conv)</f>
        <v>-0.0558224969800327</v>
      </c>
      <c r="G4242" s="7" t="n">
        <f aca="false">Sens!$E$4242+(glt_xbox-Sens!$E$4242)*MIN(1,(Sens!G4182-base_fy)/n_conv)</f>
        <v>-0.0406579975840262</v>
      </c>
      <c r="H4242" s="7" t="n">
        <f aca="false">Sens!$E$4242+(glt_xbox-Sens!$E$4242)*MIN(1,(Sens!H4182-base_fy)/n_conv)</f>
        <v>-0.0254934981880196</v>
      </c>
      <c r="I4242" s="7" t="n">
        <f aca="false">Sens!$E$4242+(glt_xbox-Sens!$E$4242)*MIN(1,(Sens!I4182-base_fy)/n_conv)</f>
        <v>-0.0103289987920131</v>
      </c>
      <c r="J4242" s="7" t="n">
        <f aca="false">Sens!$E$4242+(glt_xbox-Sens!$E$4242)*MIN(1,(Sens!J4182-base_fy)/n_conv)</f>
        <v>0.00483550060399347</v>
      </c>
      <c r="K4242" s="7" t="n">
        <f aca="false">Sens!$E$4242+(glt_xbox-Sens!$E$4242)*MIN(1,(Sens!K4182-base_fy)/n_conv)</f>
        <v>0.02</v>
      </c>
    </row>
    <row r="4243" customFormat="false" ht="17.15" hidden="false" customHeight="false" outlineLevel="0" collapsed="false">
      <c r="A4243" s="0" t="s">
        <v>1043</v>
      </c>
      <c r="B4243" s="0" t="s">
        <v>98</v>
      </c>
      <c r="D4243" s="6" t="n">
        <f aca="false">Q!L15</f>
        <v>17.315</v>
      </c>
      <c r="E4243" s="6" t="n">
        <f aca="false">Q!M15</f>
        <v>17.087</v>
      </c>
      <c r="F4243" s="6" t="n">
        <f aca="false">Q!$I$15+(Q!M15-Q!$E$15)*(1+Sens!F4244)</f>
        <v>15.9912273250553</v>
      </c>
      <c r="G4243" s="6" t="n">
        <f aca="false">Sens!F4243*(1+Sens!G4244)</f>
        <v>15.9574562664827</v>
      </c>
      <c r="H4243" s="6" t="n">
        <f aca="false">Sens!G4243*(1+Sens!H4244)</f>
        <v>16.0119687434196</v>
      </c>
      <c r="I4243" s="6" t="n">
        <f aca="false">Sens!H4243*(1+Sens!I4244)</f>
        <v>16.1551810001948</v>
      </c>
      <c r="J4243" s="6" t="n">
        <f aca="false">Sens!I4243*(1+Sens!J4244)</f>
        <v>16.3889793892005</v>
      </c>
      <c r="K4243" s="6" t="n">
        <f aca="false">Sens!J4243*(1+Sens!K4244)</f>
        <v>16.7167589769845</v>
      </c>
      <c r="L4243" s="12" t="s">
        <v>1038</v>
      </c>
    </row>
    <row r="4244" customFormat="false" ht="15" hidden="false" customHeight="false" outlineLevel="0" collapsed="false">
      <c r="A4244" s="1" t="s">
        <v>1028</v>
      </c>
      <c r="B4244" s="0" t="s">
        <v>168</v>
      </c>
      <c r="E4244" s="7" t="n">
        <f aca="false">Sens!E4243/Sens!D4243-1</f>
        <v>-0.0131677736066995</v>
      </c>
      <c r="F4244" s="7" t="n">
        <f aca="false">Sens!$E$4244+(glt_win-Sens!$E$4244)*MIN(1,(Sens!F4182-base_fy)/n_conv)</f>
        <v>-0.00763981133891627</v>
      </c>
      <c r="G4244" s="7" t="n">
        <f aca="false">Sens!$E$4244+(glt_win-Sens!$E$4244)*MIN(1,(Sens!G4182-base_fy)/n_conv)</f>
        <v>-0.00211184907113301</v>
      </c>
      <c r="H4244" s="7" t="n">
        <f aca="false">Sens!$E$4244+(glt_win-Sens!$E$4244)*MIN(1,(Sens!H4182-base_fy)/n_conv)</f>
        <v>0.00341611319665024</v>
      </c>
      <c r="I4244" s="7" t="n">
        <f aca="false">Sens!$E$4244+(glt_win-Sens!$E$4244)*MIN(1,(Sens!I4182-base_fy)/n_conv)</f>
        <v>0.00894407546443349</v>
      </c>
      <c r="J4244" s="7" t="n">
        <f aca="false">Sens!$E$4244+(glt_win-Sens!$E$4244)*MIN(1,(Sens!J4182-base_fy)/n_conv)</f>
        <v>0.0144720377322168</v>
      </c>
      <c r="K4244" s="7" t="n">
        <f aca="false">Sens!$E$4244+(glt_win-Sens!$E$4244)*MIN(1,(Sens!K4182-base_fy)/n_conv)</f>
        <v>0.02</v>
      </c>
    </row>
    <row r="4245" customFormat="false" ht="15" hidden="false" customHeight="false" outlineLevel="0" collapsed="false">
      <c r="A4245" s="0" t="s">
        <v>870</v>
      </c>
      <c r="B4245" s="0" t="s">
        <v>98</v>
      </c>
      <c r="D4245" s="6" t="n">
        <f aca="false">Sens!D4239+Sens!D4241+Sens!D4243</f>
        <v>62.941</v>
      </c>
      <c r="E4245" s="6" t="n">
        <f aca="false">Sens!E4239+Sens!E4241+Sens!E4243</f>
        <v>63.712</v>
      </c>
      <c r="F4245" s="6" t="n">
        <f aca="false">Sens!F4239+Sens!F4241+Sens!F4243</f>
        <v>64.3025149952511</v>
      </c>
      <c r="G4245" s="6" t="n">
        <f aca="false">Sens!G4239+Sens!G4241+Sens!G4243</f>
        <v>66.2756719305292</v>
      </c>
      <c r="H4245" s="6" t="n">
        <f aca="false">Sens!H4239+Sens!H4241+Sens!H4243</f>
        <v>68.7139736271804</v>
      </c>
      <c r="I4245" s="6" t="n">
        <f aca="false">Sens!I4239+Sens!I4241+Sens!I4243</f>
        <v>71.5446393194289</v>
      </c>
      <c r="J4245" s="6" t="n">
        <f aca="false">Sens!J4239+Sens!J4241+Sens!J4243</f>
        <v>74.707035000971</v>
      </c>
      <c r="K4245" s="6" t="n">
        <f aca="false">Sens!K4239+Sens!K4241+Sens!K4243</f>
        <v>78.1524145698365</v>
      </c>
    </row>
    <row r="4246" customFormat="false" ht="15" hidden="false" customHeight="false" outlineLevel="0" collapsed="false">
      <c r="A4246" s="1" t="s">
        <v>1044</v>
      </c>
      <c r="B4246" s="0" t="s">
        <v>98</v>
      </c>
      <c r="D4246" s="6" t="n">
        <f aca="false">Sens!D4238+Sens!D4245</f>
        <v>281.724</v>
      </c>
      <c r="E4246" s="6" t="n">
        <f aca="false">Sens!E4238+Sens!E4245</f>
        <v>331.839</v>
      </c>
      <c r="F4246" s="6" t="n">
        <f aca="false">Sens!F4238+Sens!F4245</f>
        <v>397.014001776991</v>
      </c>
      <c r="G4246" s="6" t="n">
        <f aca="false">Sens!G4238+Sens!G4245</f>
        <v>467.09430726958</v>
      </c>
      <c r="H4246" s="6" t="n">
        <f aca="false">Sens!H4238+Sens!H4245</f>
        <v>532.037767715595</v>
      </c>
      <c r="I4246" s="6" t="n">
        <f aca="false">Sens!I4238+Sens!I4245</f>
        <v>599.64141915568</v>
      </c>
      <c r="J4246" s="6" t="n">
        <f aca="false">Sens!J4238+Sens!J4245</f>
        <v>655.507450351211</v>
      </c>
      <c r="K4246" s="6" t="n">
        <f aca="false">Sens!K4238+Sens!K4245</f>
        <v>700.051250907108</v>
      </c>
    </row>
    <row r="4247" customFormat="false" ht="15" hidden="false" customHeight="false" outlineLevel="0" collapsed="false">
      <c r="A4247" s="26" t="s">
        <v>1045</v>
      </c>
      <c r="B4247" s="31" t="s">
        <v>98</v>
      </c>
      <c r="C4247" s="31"/>
      <c r="D4247" s="27" t="n">
        <f aca="false">(Sens!D4226+Sens!D4231+Sens!D4232+Sens!D4234+Sens!D4236-Sens!D4238)+(Sens!D4239+Sens!D4241+Sens!D4243-Sens!D4245)+(Sens!D4238-Q!L5)+(Sens!D4245-Q!L12)+(Sens!D4226-Q!L6)+(Sens!D4231-Q!L7)</f>
        <v>0</v>
      </c>
      <c r="E4247" s="27" t="n">
        <f aca="false">(Sens!E4226+Sens!E4231+Sens!E4232+Sens!E4234+Sens!E4236-Sens!E4238)+(Sens!E4239+Sens!E4241+Sens!E4243-Sens!E4245)+(Sens!E4238-Q!M5)+(Sens!E4245-Q!M12)+(Sens!E4226-Q!M6)+(Sens!E4231-Q!M7)</f>
        <v>0</v>
      </c>
      <c r="F4247" s="27" t="n">
        <f aca="false">(Sens!F4226+Sens!F4231+Sens!F4232+Sens!F4234+Sens!F4236-Sens!F4238)+(Sens!F4239+Sens!F4241+Sens!F4243-Sens!F4245)</f>
        <v>0</v>
      </c>
      <c r="G4247" s="27" t="n">
        <f aca="false">(Sens!G4226+Sens!G4231+Sens!G4232+Sens!G4234+Sens!G4236-Sens!G4238)+(Sens!G4239+Sens!G4241+Sens!G4243-Sens!G4245)</f>
        <v>0</v>
      </c>
      <c r="H4247" s="27" t="n">
        <f aca="false">(Sens!H4226+Sens!H4231+Sens!H4232+Sens!H4234+Sens!H4236-Sens!H4238)+(Sens!H4239+Sens!H4241+Sens!H4243-Sens!H4245)</f>
        <v>0</v>
      </c>
      <c r="I4247" s="27" t="n">
        <f aca="false">(Sens!I4226+Sens!I4231+Sens!I4232+Sens!I4234+Sens!I4236-Sens!I4238)+(Sens!I4239+Sens!I4241+Sens!I4243-Sens!I4245)</f>
        <v>0</v>
      </c>
      <c r="J4247" s="27" t="n">
        <f aca="false">(Sens!J4226+Sens!J4231+Sens!J4232+Sens!J4234+Sens!J4236-Sens!J4238)+(Sens!J4239+Sens!J4241+Sens!J4243-Sens!J4245)</f>
        <v>0</v>
      </c>
      <c r="K4247" s="27" t="n">
        <f aca="false">(Sens!K4226+Sens!K4231+Sens!K4232+Sens!K4234+Sens!K4236-Sens!K4238)+(Sens!K4239+Sens!K4241+Sens!K4243-Sens!K4245)</f>
        <v>0</v>
      </c>
    </row>
    <row r="4248" customFormat="false" ht="17.15" hidden="false" customHeight="false" outlineLevel="0" collapsed="false">
      <c r="A4248" s="3" t="s">
        <v>1717</v>
      </c>
    </row>
    <row r="4249" customFormat="false" ht="15" hidden="false" customHeight="false" outlineLevel="0" collapsed="false">
      <c r="A4249" s="4" t="s">
        <v>43</v>
      </c>
      <c r="B4249" s="4" t="s">
        <v>65</v>
      </c>
      <c r="C4249" s="23" t="s">
        <v>942</v>
      </c>
      <c r="D4249" s="23" t="s">
        <v>943</v>
      </c>
      <c r="E4249" s="23" t="s">
        <v>944</v>
      </c>
      <c r="F4249" s="23" t="s">
        <v>945</v>
      </c>
      <c r="G4249" s="23" t="s">
        <v>946</v>
      </c>
      <c r="H4249" s="23" t="s">
        <v>947</v>
      </c>
      <c r="I4249" s="23" t="s">
        <v>948</v>
      </c>
      <c r="J4249" s="23" t="s">
        <v>949</v>
      </c>
      <c r="K4249" s="23" t="s">
        <v>950</v>
      </c>
      <c r="L4249" s="4" t="s">
        <v>47</v>
      </c>
    </row>
    <row r="4250" customFormat="false" ht="15" hidden="false" customHeight="false" outlineLevel="0" collapsed="false">
      <c r="A4250" s="0" t="s">
        <v>1029</v>
      </c>
      <c r="B4250" s="0" t="s">
        <v>98</v>
      </c>
      <c r="D4250" s="6" t="n">
        <f aca="false">Sens!D4226</f>
        <v>72.61</v>
      </c>
      <c r="E4250" s="6" t="n">
        <f aca="false">Sens!E4226</f>
        <v>101.938</v>
      </c>
      <c r="F4250" s="6" t="n">
        <f aca="false">Sens!F4226</f>
        <v>145.818088275556</v>
      </c>
      <c r="G4250" s="6" t="n">
        <f aca="false">Sens!G4226</f>
        <v>194.484396352642</v>
      </c>
      <c r="H4250" s="6" t="n">
        <f aca="false">Sens!H4226</f>
        <v>237.522315054223</v>
      </c>
      <c r="I4250" s="6" t="n">
        <f aca="false">Sens!I4226</f>
        <v>283.84814253368</v>
      </c>
      <c r="J4250" s="6" t="n">
        <f aca="false">Sens!J4226</f>
        <v>319.444707655854</v>
      </c>
      <c r="K4250" s="6" t="n">
        <f aca="false">Sens!K4226</f>
        <v>344.359165969602</v>
      </c>
    </row>
    <row r="4251" customFormat="false" ht="17.15" hidden="false" customHeight="false" outlineLevel="0" collapsed="false">
      <c r="A4251" s="0" t="s">
        <v>1025</v>
      </c>
      <c r="B4251" s="0" t="s">
        <v>98</v>
      </c>
      <c r="D4251" s="6" t="n">
        <f aca="false">Sens!D4223</f>
        <v>12.9359794422418</v>
      </c>
      <c r="E4251" s="6" t="n">
        <f aca="false">Sens!E4223</f>
        <v>27.8095064661409</v>
      </c>
      <c r="F4251" s="6" t="n">
        <f aca="false">Sens!F4223</f>
        <v>54.2701836642681</v>
      </c>
      <c r="G4251" s="6" t="n">
        <f aca="false">Sens!G4223</f>
        <v>85.7118216589805</v>
      </c>
      <c r="H4251" s="6" t="n">
        <f aca="false">Sens!H4223</f>
        <v>111.225179667543</v>
      </c>
      <c r="I4251" s="6" t="n">
        <f aca="false">Sens!I4223</f>
        <v>140.617765742986</v>
      </c>
      <c r="J4251" s="6" t="n">
        <f aca="false">Sens!J4223</f>
        <v>160.883336073197</v>
      </c>
      <c r="K4251" s="6" t="n">
        <f aca="false">Sens!K4223</f>
        <v>173.112884660333</v>
      </c>
    </row>
    <row r="4252" customFormat="false" ht="17.15" hidden="false" customHeight="false" outlineLevel="0" collapsed="false">
      <c r="A4252" s="0" t="s">
        <v>1056</v>
      </c>
      <c r="B4252" s="0" t="s">
        <v>98</v>
      </c>
      <c r="D4252" s="6" t="n">
        <f aca="false">Sens!D4224</f>
        <v>59.6740205577583</v>
      </c>
      <c r="E4252" s="6" t="n">
        <f aca="false">Sens!E4224</f>
        <v>74.1284935338591</v>
      </c>
      <c r="F4252" s="6" t="n">
        <f aca="false">Sens!F4224</f>
        <v>91.5479046112879</v>
      </c>
      <c r="G4252" s="6" t="n">
        <f aca="false">Sens!G4224</f>
        <v>108.772574693662</v>
      </c>
      <c r="H4252" s="6" t="n">
        <f aca="false">Sens!H4224</f>
        <v>126.297135386679</v>
      </c>
      <c r="I4252" s="6" t="n">
        <f aca="false">Sens!I4224</f>
        <v>143.230376790693</v>
      </c>
      <c r="J4252" s="6" t="n">
        <f aca="false">Sens!J4224</f>
        <v>158.561371582657</v>
      </c>
      <c r="K4252" s="6" t="n">
        <f aca="false">Sens!K4224</f>
        <v>171.24628130927</v>
      </c>
    </row>
    <row r="4253" customFormat="false" ht="15" hidden="false" customHeight="false" outlineLevel="0" collapsed="false">
      <c r="A4253" s="0" t="s">
        <v>1036</v>
      </c>
      <c r="B4253" s="0" t="s">
        <v>98</v>
      </c>
      <c r="D4253" s="6" t="n">
        <f aca="false">Sens!D4231</f>
        <v>84.605</v>
      </c>
      <c r="E4253" s="6" t="n">
        <f aca="false">Sens!E4231</f>
        <v>100.299</v>
      </c>
      <c r="F4253" s="6" t="n">
        <f aca="false">Sens!F4231</f>
        <v>117.438354189776</v>
      </c>
      <c r="G4253" s="6" t="n">
        <f aca="false">Sens!G4231</f>
        <v>132.595360443801</v>
      </c>
      <c r="H4253" s="6" t="n">
        <f aca="false">Sens!H4231</f>
        <v>147.833811964563</v>
      </c>
      <c r="I4253" s="6" t="n">
        <f aca="false">Sens!I4231</f>
        <v>162.145665319381</v>
      </c>
      <c r="J4253" s="6" t="n">
        <f aca="false">Sens!J4231</f>
        <v>175.249327755573</v>
      </c>
      <c r="K4253" s="6" t="n">
        <f aca="false">Sens!K4231</f>
        <v>187.599280698463</v>
      </c>
    </row>
    <row r="4254" customFormat="false" ht="17.15" hidden="false" customHeight="false" outlineLevel="0" collapsed="false">
      <c r="A4254" s="0" t="s">
        <v>1057</v>
      </c>
      <c r="B4254" s="0" t="s">
        <v>98</v>
      </c>
      <c r="D4254" s="6" t="n">
        <f aca="false">Sens!D4229</f>
        <v>83.705</v>
      </c>
      <c r="E4254" s="6" t="n">
        <f aca="false">Sens!E4229</f>
        <v>95.049</v>
      </c>
      <c r="F4254" s="6" t="n">
        <f aca="false">Sens!F4229</f>
        <v>106.938354189776</v>
      </c>
      <c r="G4254" s="6" t="n">
        <f aca="false">Sens!G4229</f>
        <v>119.095360443801</v>
      </c>
      <c r="H4254" s="6" t="n">
        <f aca="false">Sens!H4229</f>
        <v>131.333811964563</v>
      </c>
      <c r="I4254" s="6" t="n">
        <f aca="false">Sens!I4229</f>
        <v>143.395665319381</v>
      </c>
      <c r="J4254" s="6" t="n">
        <f aca="false">Sens!J4229</f>
        <v>154.999327755573</v>
      </c>
      <c r="K4254" s="6" t="n">
        <f aca="false">Sens!K4229</f>
        <v>165.849280698463</v>
      </c>
    </row>
    <row r="4255" customFormat="false" ht="17.15" hidden="false" customHeight="false" outlineLevel="0" collapsed="false">
      <c r="A4255" s="0" t="s">
        <v>1058</v>
      </c>
      <c r="B4255" s="0" t="s">
        <v>98</v>
      </c>
      <c r="D4255" s="6" t="n">
        <f aca="false">Sens!D4228</f>
        <v>0.9</v>
      </c>
      <c r="E4255" s="6" t="n">
        <f aca="false">Sens!E4228</f>
        <v>5.25</v>
      </c>
      <c r="F4255" s="6" t="n">
        <f aca="false">Sens!F4228</f>
        <v>10.5</v>
      </c>
      <c r="G4255" s="6" t="n">
        <f aca="false">Sens!G4228</f>
        <v>13.5</v>
      </c>
      <c r="H4255" s="6" t="n">
        <f aca="false">Sens!H4228</f>
        <v>16.5</v>
      </c>
      <c r="I4255" s="6" t="n">
        <f aca="false">Sens!I4228</f>
        <v>18.75</v>
      </c>
      <c r="J4255" s="6" t="n">
        <f aca="false">Sens!J4228</f>
        <v>20.25</v>
      </c>
      <c r="K4255" s="6" t="n">
        <f aca="false">Sens!K4228</f>
        <v>21.75</v>
      </c>
    </row>
    <row r="4256" customFormat="false" ht="15" hidden="false" customHeight="false" outlineLevel="0" collapsed="false">
      <c r="A4256" s="0" t="s">
        <v>1037</v>
      </c>
      <c r="B4256" s="0" t="s">
        <v>98</v>
      </c>
      <c r="D4256" s="6" t="n">
        <f aca="false">Sens!D4232</f>
        <v>35.391</v>
      </c>
      <c r="E4256" s="6" t="n">
        <f aca="false">Sens!E4232</f>
        <v>37.285</v>
      </c>
      <c r="F4256" s="6" t="n">
        <f aca="false">Sens!F4232</f>
        <v>38.3851437782675</v>
      </c>
      <c r="G4256" s="6" t="n">
        <f aca="false">Sens!G4232</f>
        <v>40.0105353288615</v>
      </c>
      <c r="H4256" s="6" t="n">
        <f aca="false">Sens!H4232</f>
        <v>41.4812512033683</v>
      </c>
      <c r="I4256" s="6" t="n">
        <f aca="false">Sens!I4232</f>
        <v>42.7743107216329</v>
      </c>
      <c r="J4256" s="6" t="n">
        <f aca="false">Sens!J4232</f>
        <v>43.8687373064601</v>
      </c>
      <c r="K4256" s="6" t="n">
        <f aca="false">Sens!K4232</f>
        <v>44.7461120525893</v>
      </c>
    </row>
    <row r="4257" customFormat="false" ht="15" hidden="false" customHeight="false" outlineLevel="0" collapsed="false">
      <c r="A4257" s="0" t="s">
        <v>1039</v>
      </c>
      <c r="B4257" s="0" t="s">
        <v>98</v>
      </c>
      <c r="D4257" s="6" t="n">
        <f aca="false">Sens!D4234</f>
        <v>18.417</v>
      </c>
      <c r="E4257" s="6" t="n">
        <f aca="false">Sens!E4234</f>
        <v>20.345</v>
      </c>
      <c r="F4257" s="6" t="n">
        <f aca="false">Sens!F4234</f>
        <v>22.3161797133988</v>
      </c>
      <c r="G4257" s="6" t="n">
        <f aca="false">Sens!G4234</f>
        <v>24.3943499673233</v>
      </c>
      <c r="H4257" s="6" t="n">
        <f aca="false">Sens!H4234</f>
        <v>26.5250243109019</v>
      </c>
      <c r="I4257" s="6" t="n">
        <f aca="false">Sens!I4234</f>
        <v>28.6884573538181</v>
      </c>
      <c r="J4257" s="6" t="n">
        <f aca="false">Sens!J4234</f>
        <v>30.8624968052127</v>
      </c>
      <c r="K4257" s="6" t="n">
        <f aca="false">Sens!K4234</f>
        <v>33.0228715815776</v>
      </c>
    </row>
    <row r="4258" customFormat="false" ht="15" hidden="false" customHeight="false" outlineLevel="0" collapsed="false">
      <c r="A4258" s="0" t="s">
        <v>1040</v>
      </c>
      <c r="B4258" s="0" t="s">
        <v>98</v>
      </c>
      <c r="D4258" s="6" t="n">
        <f aca="false">Sens!D4236</f>
        <v>7.76</v>
      </c>
      <c r="E4258" s="6" t="n">
        <f aca="false">Sens!E4236</f>
        <v>8.26</v>
      </c>
      <c r="F4258" s="6" t="n">
        <f aca="false">Sens!F4236</f>
        <v>8.75372082474227</v>
      </c>
      <c r="G4258" s="6" t="n">
        <f aca="false">Sens!G4236</f>
        <v>9.33399324642364</v>
      </c>
      <c r="H4258" s="6" t="n">
        <f aca="false">Sens!H4236</f>
        <v>9.96139155535851</v>
      </c>
      <c r="I4258" s="6" t="n">
        <f aca="false">Sens!I4236</f>
        <v>10.6402039077391</v>
      </c>
      <c r="J4258" s="6" t="n">
        <f aca="false">Sens!J4236</f>
        <v>11.3751458271397</v>
      </c>
      <c r="K4258" s="6" t="n">
        <f aca="false">Sens!K4236</f>
        <v>12.1714060350394</v>
      </c>
    </row>
    <row r="4259" customFormat="false" ht="15" hidden="false" customHeight="false" outlineLevel="0" collapsed="false">
      <c r="A4259" s="0" t="s">
        <v>856</v>
      </c>
      <c r="B4259" s="0" t="s">
        <v>98</v>
      </c>
      <c r="D4259" s="6" t="n">
        <f aca="false">Sens!D4238</f>
        <v>218.783</v>
      </c>
      <c r="E4259" s="6" t="n">
        <f aca="false">Sens!E4238</f>
        <v>268.127</v>
      </c>
      <c r="F4259" s="6" t="n">
        <f aca="false">Sens!F4238</f>
        <v>332.71148678174</v>
      </c>
      <c r="G4259" s="6" t="n">
        <f aca="false">Sens!G4238</f>
        <v>400.818635339051</v>
      </c>
      <c r="H4259" s="6" t="n">
        <f aca="false">Sens!H4238</f>
        <v>463.323794088415</v>
      </c>
      <c r="I4259" s="6" t="n">
        <f aca="false">Sens!I4238</f>
        <v>528.096779836251</v>
      </c>
      <c r="J4259" s="6" t="n">
        <f aca="false">Sens!J4238</f>
        <v>580.80041535024</v>
      </c>
      <c r="K4259" s="6" t="n">
        <f aca="false">Sens!K4238</f>
        <v>621.898836337271</v>
      </c>
    </row>
    <row r="4260" customFormat="false" ht="15" hidden="false" customHeight="false" outlineLevel="0" collapsed="false">
      <c r="A4260" s="0" t="s">
        <v>1041</v>
      </c>
      <c r="B4260" s="0" t="s">
        <v>98</v>
      </c>
      <c r="D4260" s="6" t="n">
        <f aca="false">Sens!D4239</f>
        <v>22.171</v>
      </c>
      <c r="E4260" s="6" t="n">
        <f aca="false">Sens!E4239</f>
        <v>24.835</v>
      </c>
      <c r="F4260" s="6" t="n">
        <f aca="false">Sens!F4239</f>
        <v>27.5591895660247</v>
      </c>
      <c r="G4260" s="6" t="n">
        <f aca="false">Sens!G4239</f>
        <v>30.4098563144583</v>
      </c>
      <c r="H4260" s="6" t="n">
        <f aca="false">Sens!H4239</f>
        <v>33.3011792571777</v>
      </c>
      <c r="I4260" s="6" t="n">
        <f aca="false">Sens!I4239</f>
        <v>36.189023797112</v>
      </c>
      <c r="J4260" s="6" t="n">
        <f aca="false">Sens!J4239</f>
        <v>39.0247773769199</v>
      </c>
      <c r="K4260" s="6" t="n">
        <f aca="false">Sens!K4239</f>
        <v>41.7565117933043</v>
      </c>
    </row>
    <row r="4261" customFormat="false" ht="15" hidden="false" customHeight="false" outlineLevel="0" collapsed="false">
      <c r="A4261" s="0" t="s">
        <v>1042</v>
      </c>
      <c r="B4261" s="0" t="s">
        <v>98</v>
      </c>
      <c r="D4261" s="6" t="n">
        <f aca="false">Sens!D4241</f>
        <v>23.455</v>
      </c>
      <c r="E4261" s="6" t="n">
        <f aca="false">Sens!E4241</f>
        <v>21.79</v>
      </c>
      <c r="F4261" s="6" t="n">
        <f aca="false">Sens!F4241</f>
        <v>20.7520981041711</v>
      </c>
      <c r="G4261" s="6" t="n">
        <f aca="false">Sens!G4241</f>
        <v>19.9083593495882</v>
      </c>
      <c r="H4261" s="6" t="n">
        <f aca="false">Sens!H4241</f>
        <v>19.4008256265831</v>
      </c>
      <c r="I4261" s="6" t="n">
        <f aca="false">Sens!I4241</f>
        <v>19.200434522122</v>
      </c>
      <c r="J4261" s="6" t="n">
        <f aca="false">Sens!J4241</f>
        <v>19.2932782348507</v>
      </c>
      <c r="K4261" s="6" t="n">
        <f aca="false">Sens!K4241</f>
        <v>19.6791437995477</v>
      </c>
    </row>
    <row r="4262" customFormat="false" ht="15" hidden="false" customHeight="false" outlineLevel="0" collapsed="false">
      <c r="A4262" s="0" t="s">
        <v>1043</v>
      </c>
      <c r="B4262" s="0" t="s">
        <v>98</v>
      </c>
      <c r="D4262" s="6" t="n">
        <f aca="false">Sens!D4243</f>
        <v>17.315</v>
      </c>
      <c r="E4262" s="6" t="n">
        <f aca="false">Sens!E4243</f>
        <v>17.087</v>
      </c>
      <c r="F4262" s="6" t="n">
        <f aca="false">Sens!F4243</f>
        <v>15.9912273250553</v>
      </c>
      <c r="G4262" s="6" t="n">
        <f aca="false">Sens!G4243</f>
        <v>15.9574562664827</v>
      </c>
      <c r="H4262" s="6" t="n">
        <f aca="false">Sens!H4243</f>
        <v>16.0119687434196</v>
      </c>
      <c r="I4262" s="6" t="n">
        <f aca="false">Sens!I4243</f>
        <v>16.1551810001948</v>
      </c>
      <c r="J4262" s="6" t="n">
        <f aca="false">Sens!J4243</f>
        <v>16.3889793892005</v>
      </c>
      <c r="K4262" s="6" t="n">
        <f aca="false">Sens!K4243</f>
        <v>16.7167589769845</v>
      </c>
    </row>
    <row r="4263" customFormat="false" ht="15" hidden="false" customHeight="false" outlineLevel="0" collapsed="false">
      <c r="A4263" s="0" t="s">
        <v>870</v>
      </c>
      <c r="B4263" s="0" t="s">
        <v>98</v>
      </c>
      <c r="D4263" s="6" t="n">
        <f aca="false">Sens!D4245</f>
        <v>62.941</v>
      </c>
      <c r="E4263" s="6" t="n">
        <f aca="false">Sens!E4245</f>
        <v>63.712</v>
      </c>
      <c r="F4263" s="6" t="n">
        <f aca="false">Sens!F4245</f>
        <v>64.3025149952511</v>
      </c>
      <c r="G4263" s="6" t="n">
        <f aca="false">Sens!G4245</f>
        <v>66.2756719305292</v>
      </c>
      <c r="H4263" s="6" t="n">
        <f aca="false">Sens!H4245</f>
        <v>68.7139736271804</v>
      </c>
      <c r="I4263" s="6" t="n">
        <f aca="false">Sens!I4245</f>
        <v>71.5446393194289</v>
      </c>
      <c r="J4263" s="6" t="n">
        <f aca="false">Sens!J4245</f>
        <v>74.707035000971</v>
      </c>
      <c r="K4263" s="6" t="n">
        <f aca="false">Sens!K4245</f>
        <v>78.1524145698365</v>
      </c>
    </row>
    <row r="4264" customFormat="false" ht="15" hidden="false" customHeight="false" outlineLevel="0" collapsed="false">
      <c r="A4264" s="1" t="s">
        <v>1059</v>
      </c>
      <c r="B4264" s="0" t="s">
        <v>98</v>
      </c>
      <c r="D4264" s="6" t="n">
        <f aca="false">Sens!D4246</f>
        <v>281.724</v>
      </c>
      <c r="E4264" s="6" t="n">
        <f aca="false">Sens!E4246</f>
        <v>331.839</v>
      </c>
      <c r="F4264" s="6" t="n">
        <f aca="false">Sens!F4246</f>
        <v>397.014001776991</v>
      </c>
      <c r="G4264" s="6" t="n">
        <f aca="false">Sens!G4246</f>
        <v>467.09430726958</v>
      </c>
      <c r="H4264" s="6" t="n">
        <f aca="false">Sens!H4246</f>
        <v>532.037767715595</v>
      </c>
      <c r="I4264" s="6" t="n">
        <f aca="false">Sens!I4246</f>
        <v>599.64141915568</v>
      </c>
      <c r="J4264" s="6" t="n">
        <f aca="false">Sens!J4246</f>
        <v>655.507450351211</v>
      </c>
      <c r="K4264" s="6" t="n">
        <f aca="false">Sens!K4246</f>
        <v>700.051250907108</v>
      </c>
    </row>
    <row r="4265" customFormat="false" ht="15" hidden="false" customHeight="false" outlineLevel="0" collapsed="false">
      <c r="A4265" s="1" t="s">
        <v>1060</v>
      </c>
      <c r="B4265" s="0" t="s">
        <v>168</v>
      </c>
      <c r="E4265" s="7" t="n">
        <f aca="false">Sens!E4264/Sens!D4264-1</f>
        <v>0.177886867998467</v>
      </c>
      <c r="F4265" s="7" t="n">
        <f aca="false">Sens!F4264/Sens!E4264-1</f>
        <v>0.19640549114779</v>
      </c>
      <c r="G4265" s="7" t="n">
        <f aca="false">Sens!G4264/Sens!F4264-1</f>
        <v>0.176518473350857</v>
      </c>
      <c r="H4265" s="7" t="n">
        <f aca="false">Sens!H4264/Sens!G4264-1</f>
        <v>0.139037148248807</v>
      </c>
      <c r="I4265" s="7" t="n">
        <f aca="false">Sens!I4264/Sens!H4264-1</f>
        <v>0.12706551215406</v>
      </c>
      <c r="J4265" s="7" t="n">
        <f aca="false">Sens!J4264/Sens!I4264-1</f>
        <v>0.0931657310700664</v>
      </c>
      <c r="K4265" s="7" t="n">
        <f aca="false">Sens!K4264/Sens!J4264-1</f>
        <v>0.0679531567978844</v>
      </c>
    </row>
    <row r="4266" customFormat="false" ht="17.15" hidden="false" customHeight="false" outlineLevel="0" collapsed="false">
      <c r="A4266" s="26" t="s">
        <v>1061</v>
      </c>
      <c r="B4266" s="31" t="s">
        <v>98</v>
      </c>
      <c r="C4266" s="31"/>
      <c r="D4266" s="27" t="n">
        <f aca="false">(Sens!D4259+Sens!D4263-Sens!D4264)+(Sens!D4251+Sens!D4252-Sens!D4250)+(Sens!D4254+Sens!D4255-Sens!D4253)+(Sens!D4264-Q!L18)</f>
        <v>0</v>
      </c>
      <c r="E4266" s="27" t="n">
        <f aca="false">(Sens!E4259+Sens!E4263-Sens!E4264)+(Sens!E4251+Sens!E4252-Sens!E4250)+(Sens!E4254+Sens!E4255-Sens!E4253)+(Sens!E4264-Q!M18)</f>
        <v>0</v>
      </c>
      <c r="F4266" s="27" t="n">
        <f aca="false">(Sens!F4259+Sens!F4263-Sens!F4264)+(Sens!F4251+Sens!F4252-Sens!F4250)+(Sens!F4254+Sens!F4255-Sens!F4253)</f>
        <v>0</v>
      </c>
      <c r="G4266" s="27" t="n">
        <f aca="false">(Sens!G4259+Sens!G4263-Sens!G4264)+(Sens!G4251+Sens!G4252-Sens!G4250)+(Sens!G4254+Sens!G4255-Sens!G4253)</f>
        <v>0</v>
      </c>
      <c r="H4266" s="27" t="n">
        <f aca="false">(Sens!H4259+Sens!H4263-Sens!H4264)+(Sens!H4251+Sens!H4252-Sens!H4250)+(Sens!H4254+Sens!H4255-Sens!H4253)</f>
        <v>0</v>
      </c>
      <c r="I4266" s="27" t="n">
        <f aca="false">(Sens!I4259+Sens!I4263-Sens!I4264)+(Sens!I4251+Sens!I4252-Sens!I4250)+(Sens!I4254+Sens!I4255-Sens!I4253)</f>
        <v>0</v>
      </c>
      <c r="J4266" s="27" t="n">
        <f aca="false">(Sens!J4259+Sens!J4263-Sens!J4264)+(Sens!J4251+Sens!J4252-Sens!J4250)+(Sens!J4254+Sens!J4255-Sens!J4253)</f>
        <v>0</v>
      </c>
      <c r="K4266" s="27" t="n">
        <f aca="false">(Sens!K4259+Sens!K4263-Sens!K4264)+(Sens!K4251+Sens!K4252-Sens!K4250)+(Sens!K4254+Sens!K4255-Sens!K4253)</f>
        <v>0</v>
      </c>
    </row>
    <row r="4267" customFormat="false" ht="17.15" hidden="false" customHeight="false" outlineLevel="0" collapsed="false">
      <c r="A4267" s="0" t="s">
        <v>1062</v>
      </c>
      <c r="B4267" s="0" t="s">
        <v>168</v>
      </c>
      <c r="E4267" s="7" t="n">
        <f aca="false">(Q!M21+Sens!E4203+Sens!E4204+Sens!E4205+Sens!E4219-Sens!E4201)/(Q!M5-Sens!E4201)</f>
        <v>0.570957350878296</v>
      </c>
      <c r="F4267" s="7" t="n">
        <f aca="false">Sens!$E$4267+dm_seg</f>
        <v>0.570957350878296</v>
      </c>
      <c r="G4267" s="7" t="n">
        <f aca="false">Sens!$E$4267+dm_seg</f>
        <v>0.570957350878296</v>
      </c>
      <c r="H4267" s="7" t="n">
        <f aca="false">Sens!$E$4267+dm_seg</f>
        <v>0.570957350878296</v>
      </c>
      <c r="I4267" s="7" t="n">
        <f aca="false">Sens!$E$4267+dm_seg</f>
        <v>0.570957350878296</v>
      </c>
      <c r="J4267" s="7" t="n">
        <f aca="false">Sens!$E$4267+dm_seg</f>
        <v>0.570957350878296</v>
      </c>
      <c r="K4267" s="7" t="n">
        <f aca="false">Sens!$E$4267+dm_seg</f>
        <v>0.570957350878296</v>
      </c>
      <c r="L4267" s="12" t="s">
        <v>1063</v>
      </c>
    </row>
    <row r="4268" customFormat="false" ht="17.15" hidden="false" customHeight="false" outlineLevel="0" collapsed="false">
      <c r="A4268" s="0" t="s">
        <v>884</v>
      </c>
      <c r="B4268" s="0" t="s">
        <v>98</v>
      </c>
      <c r="D4268" s="6" t="n">
        <f aca="false">Q!L21</f>
        <v>110.814</v>
      </c>
      <c r="E4268" s="6" t="n">
        <f aca="false">Q!M21</f>
        <v>136.365</v>
      </c>
      <c r="F4268" s="6" t="n">
        <f aca="false">Q!$I$21+(Sens!F4267*(Sens!F4238-Sens!F4201)+Sens!F4201-(Sens!F4203+Sens!F4204+Sens!F4205)-Sens!F4219-Sens!F4302)*(Sens!F4238-Q!$I$5)/Sens!F4238</f>
        <v>157.646667289903</v>
      </c>
      <c r="G4268" s="6" t="n">
        <f aca="false">(Sens!G4267*(Sens!G4238-Sens!G4201)+Sens!G4201-(Sens!G4203+Sens!G4204+Sens!G4205)-Sens!G4219-Sens!G4302)</f>
        <v>158.148938016701</v>
      </c>
      <c r="H4268" s="6" t="n">
        <f aca="false">(Sens!H4267*(Sens!H4238-Sens!H4201)+Sens!H4201-(Sens!H4203+Sens!H4204+Sens!H4205)-Sens!H4219-Sens!H4302)</f>
        <v>156.180404058262</v>
      </c>
      <c r="I4268" s="6" t="n">
        <f aca="false">(Sens!I4267*(Sens!I4238-Sens!I4201)+Sens!I4201-(Sens!I4203+Sens!I4204+Sens!I4205)-Sens!I4219-Sens!I4302)</f>
        <v>163.196338373472</v>
      </c>
      <c r="J4268" s="6" t="n">
        <f aca="false">(Sens!J4267*(Sens!J4238-Sens!J4201)+Sens!J4201-(Sens!J4203+Sens!J4204+Sens!J4205)-Sens!J4219-Sens!J4302)</f>
        <v>172.529681306</v>
      </c>
      <c r="K4268" s="6" t="n">
        <f aca="false">(Sens!K4267*(Sens!K4238-Sens!K4201)+Sens!K4201-(Sens!K4203+Sens!K4204+Sens!K4205)-Sens!K4219-Sens!K4302)</f>
        <v>184.014412878169</v>
      </c>
      <c r="L4268" s="1" t="s">
        <v>1064</v>
      </c>
    </row>
    <row r="4269" customFormat="false" ht="17.15" hidden="false" customHeight="false" outlineLevel="0" collapsed="false">
      <c r="A4269" s="0" t="s">
        <v>1065</v>
      </c>
      <c r="B4269" s="0" t="s">
        <v>168</v>
      </c>
      <c r="E4269" s="7" t="n">
        <f aca="false">Q!M22/Q!M12</f>
        <v>0.296207935710698</v>
      </c>
      <c r="F4269" s="7" t="n">
        <f aca="false">Sens!$E$4269+dm_seg</f>
        <v>0.296207935710698</v>
      </c>
      <c r="G4269" s="7" t="n">
        <f aca="false">Sens!$E$4269+dm_seg</f>
        <v>0.296207935710698</v>
      </c>
      <c r="H4269" s="7" t="n">
        <f aca="false">Sens!$E$4269+dm_seg</f>
        <v>0.296207935710698</v>
      </c>
      <c r="I4269" s="7" t="n">
        <f aca="false">Sens!$E$4269+dm_seg</f>
        <v>0.296207935710698</v>
      </c>
      <c r="J4269" s="7" t="n">
        <f aca="false">Sens!$E$4269+dm_seg</f>
        <v>0.296207935710698</v>
      </c>
      <c r="K4269" s="7" t="n">
        <f aca="false">Sens!$E$4269+dm_seg</f>
        <v>0.296207935710698</v>
      </c>
      <c r="L4269" s="12" t="s">
        <v>1066</v>
      </c>
    </row>
    <row r="4270" customFormat="false" ht="17.15" hidden="false" customHeight="false" outlineLevel="0" collapsed="false">
      <c r="A4270" s="0" t="s">
        <v>886</v>
      </c>
      <c r="B4270" s="0" t="s">
        <v>98</v>
      </c>
      <c r="D4270" s="6" t="n">
        <f aca="false">Q!L22</f>
        <v>17.714</v>
      </c>
      <c r="E4270" s="6" t="n">
        <f aca="false">Q!M22</f>
        <v>18.872</v>
      </c>
      <c r="F4270" s="6" t="n">
        <f aca="false">Q!$I$22+(Sens!F4245-Q!$I$12)*Sens!F4269</f>
        <v>19.8174315512051</v>
      </c>
      <c r="G4270" s="6" t="n">
        <f aca="false">Sens!G4245*Sens!G4269</f>
        <v>19.6313799703815</v>
      </c>
      <c r="H4270" s="6" t="n">
        <f aca="false">Sens!H4245*Sens!H4269</f>
        <v>20.3536242825865</v>
      </c>
      <c r="I4270" s="6" t="n">
        <f aca="false">Sens!I4245*Sens!I4269</f>
        <v>21.1920899239745</v>
      </c>
      <c r="J4270" s="6" t="n">
        <f aca="false">Sens!J4245*Sens!J4269</f>
        <v>22.1288166207045</v>
      </c>
      <c r="K4270" s="6" t="n">
        <f aca="false">Sens!K4245*Sens!K4269</f>
        <v>23.1493653905379</v>
      </c>
      <c r="L4270" s="12" t="s">
        <v>1067</v>
      </c>
    </row>
    <row r="4271" customFormat="false" ht="15" hidden="false" customHeight="false" outlineLevel="0" collapsed="false">
      <c r="A4271" s="1" t="s">
        <v>1068</v>
      </c>
      <c r="B4271" s="0" t="s">
        <v>98</v>
      </c>
      <c r="D4271" s="6" t="n">
        <f aca="false">Sens!D4268+Sens!D4270</f>
        <v>128.528</v>
      </c>
      <c r="E4271" s="6" t="n">
        <f aca="false">Sens!E4268+Sens!E4270</f>
        <v>155.237</v>
      </c>
      <c r="F4271" s="6" t="n">
        <f aca="false">Sens!F4268+Sens!F4270</f>
        <v>177.464098841108</v>
      </c>
      <c r="G4271" s="6" t="n">
        <f aca="false">Sens!G4268+Sens!G4270</f>
        <v>177.780317987082</v>
      </c>
      <c r="H4271" s="6" t="n">
        <f aca="false">Sens!H4268+Sens!H4270</f>
        <v>176.534028340849</v>
      </c>
      <c r="I4271" s="6" t="n">
        <f aca="false">Sens!I4268+Sens!I4270</f>
        <v>184.388428297447</v>
      </c>
      <c r="J4271" s="6" t="n">
        <f aca="false">Sens!J4268+Sens!J4270</f>
        <v>194.658497926705</v>
      </c>
      <c r="K4271" s="6" t="n">
        <f aca="false">Sens!K4268+Sens!K4270</f>
        <v>207.163778268707</v>
      </c>
    </row>
    <row r="4272" customFormat="false" ht="15" hidden="false" customHeight="false" outlineLevel="0" collapsed="false">
      <c r="A4272" s="26" t="s">
        <v>1069</v>
      </c>
      <c r="B4272" s="31" t="s">
        <v>98</v>
      </c>
      <c r="C4272" s="31"/>
      <c r="D4272" s="27" t="n">
        <f aca="false">Sens!D4271-Q!L23</f>
        <v>0</v>
      </c>
      <c r="E4272" s="27" t="n">
        <f aca="false">Sens!E4271-Q!M23</f>
        <v>0</v>
      </c>
      <c r="F4272" s="31"/>
      <c r="G4272" s="31"/>
      <c r="H4272" s="31"/>
      <c r="I4272" s="31"/>
      <c r="J4272" s="31"/>
      <c r="K4272" s="31"/>
    </row>
    <row r="4273" customFormat="false" ht="15" hidden="false" customHeight="false" outlineLevel="0" collapsed="false">
      <c r="A4273" s="1" t="s">
        <v>1070</v>
      </c>
      <c r="B4273" s="0" t="s">
        <v>168</v>
      </c>
      <c r="D4273" s="7" t="n">
        <f aca="false">Sens!D4271/Sens!D4264</f>
        <v>0.456219562408598</v>
      </c>
      <c r="E4273" s="7" t="n">
        <f aca="false">Sens!E4271/Sens!E4264</f>
        <v>0.467808184089272</v>
      </c>
      <c r="F4273" s="7" t="n">
        <f aca="false">Sens!F4271/Sens!F4264</f>
        <v>0.446997078306555</v>
      </c>
      <c r="G4273" s="7" t="n">
        <f aca="false">Sens!G4271/Sens!G4264</f>
        <v>0.380609044512456</v>
      </c>
      <c r="H4273" s="7" t="n">
        <f aca="false">Sens!H4271/Sens!H4264</f>
        <v>0.331807324692063</v>
      </c>
      <c r="I4273" s="7" t="n">
        <f aca="false">Sens!I4271/Sens!I4264</f>
        <v>0.30749781854141</v>
      </c>
      <c r="J4273" s="7" t="n">
        <f aca="false">Sens!J4271/Sens!J4264</f>
        <v>0.29695848280963</v>
      </c>
      <c r="K4273" s="7" t="n">
        <f aca="false">Sens!K4271/Sens!K4264</f>
        <v>0.295926588232318</v>
      </c>
    </row>
    <row r="4274" customFormat="false" ht="17.15" hidden="false" customHeight="false" outlineLevel="0" collapsed="false">
      <c r="A4274" s="1" t="s">
        <v>1071</v>
      </c>
      <c r="B4274" s="0" t="s">
        <v>98</v>
      </c>
      <c r="F4274" s="6" t="n">
        <f aca="false">Sens!F4289</f>
        <v>12.5286149640402</v>
      </c>
      <c r="G4274" s="6" t="n">
        <f aca="false">Sens!G4289</f>
        <v>33.8141756733918</v>
      </c>
      <c r="H4274" s="6" t="n">
        <f aca="false">Sens!H4289</f>
        <v>56.7178504376125</v>
      </c>
      <c r="I4274" s="6" t="n">
        <f aca="false">Sens!I4289</f>
        <v>76.9886145435407</v>
      </c>
      <c r="J4274" s="6" t="n">
        <f aca="false">Sens!J4289</f>
        <v>90.9572389401947</v>
      </c>
      <c r="K4274" s="6" t="n">
        <f aca="false">Sens!K4289</f>
        <v>98.840645896314</v>
      </c>
      <c r="L4274" s="1" t="s">
        <v>1072</v>
      </c>
    </row>
    <row r="4275" customFormat="false" ht="17.15" hidden="false" customHeight="false" outlineLevel="0" collapsed="false">
      <c r="A4275" s="1" t="s">
        <v>1073</v>
      </c>
      <c r="B4275" s="0" t="s">
        <v>98</v>
      </c>
      <c r="D4275" s="6" t="n">
        <f aca="false">Sens!D4271</f>
        <v>128.528</v>
      </c>
      <c r="E4275" s="6" t="n">
        <f aca="false">Sens!E4271</f>
        <v>155.237</v>
      </c>
      <c r="F4275" s="6" t="n">
        <f aca="false">Sens!F4271+Sens!F4274</f>
        <v>189.992713805149</v>
      </c>
      <c r="G4275" s="6" t="n">
        <f aca="false">Sens!G4271+Sens!G4274</f>
        <v>211.594493660474</v>
      </c>
      <c r="H4275" s="6" t="n">
        <f aca="false">Sens!H4271+Sens!H4274</f>
        <v>233.251878778461</v>
      </c>
      <c r="I4275" s="6" t="n">
        <f aca="false">Sens!I4271+Sens!I4274</f>
        <v>261.377042840987</v>
      </c>
      <c r="J4275" s="6" t="n">
        <f aca="false">Sens!J4271+Sens!J4274</f>
        <v>285.615736866899</v>
      </c>
      <c r="K4275" s="6" t="n">
        <f aca="false">Sens!K4271+Sens!K4274</f>
        <v>306.004424165021</v>
      </c>
    </row>
    <row r="4276" customFormat="false" ht="17.15" hidden="false" customHeight="false" outlineLevel="0" collapsed="false">
      <c r="A4276" s="1" t="s">
        <v>1074</v>
      </c>
      <c r="B4276" s="0" t="s">
        <v>98</v>
      </c>
      <c r="E4276" s="6" t="n">
        <f aca="false">Sens!E4219</f>
        <v>16.3054059770833</v>
      </c>
      <c r="F4276" s="6" t="n">
        <f aca="false">Sens!F4219</f>
        <v>37.2133107952886</v>
      </c>
      <c r="G4276" s="6" t="n">
        <f aca="false">Sens!G4219</f>
        <v>68.7985305502921</v>
      </c>
      <c r="H4276" s="6" t="n">
        <f aca="false">Sens!H4219</f>
        <v>102.837250561268</v>
      </c>
      <c r="I4276" s="6" t="n">
        <f aca="false">Sens!I4219</f>
        <v>132.849603006019</v>
      </c>
      <c r="J4276" s="6" t="n">
        <f aca="false">Sens!J4219</f>
        <v>153.81036285865</v>
      </c>
      <c r="K4276" s="6" t="n">
        <f aca="false">Sens!K4219</f>
        <v>166.333314624954</v>
      </c>
    </row>
    <row r="4277" customFormat="false" ht="17.15" hidden="false" customHeight="false" outlineLevel="0" collapsed="false">
      <c r="A4277" s="1" t="s">
        <v>1075</v>
      </c>
      <c r="B4277" s="0" t="s">
        <v>98</v>
      </c>
      <c r="E4277" s="6" t="n">
        <f aca="false">Sens!E4301</f>
        <v>22.2285940229167</v>
      </c>
      <c r="F4277" s="6" t="n">
        <f aca="false">Sens!F4301</f>
        <v>23.5738995378116</v>
      </c>
      <c r="G4277" s="6" t="n">
        <f aca="false">Sens!G4301</f>
        <v>25.3174537664321</v>
      </c>
      <c r="H4277" s="6" t="n">
        <f aca="false">Sens!H4301</f>
        <v>27.4280316160735</v>
      </c>
      <c r="I4277" s="6" t="n">
        <f aca="false">Sens!I4301</f>
        <v>29.8490636081688</v>
      </c>
      <c r="J4277" s="6" t="n">
        <f aca="false">Sens!J4301</f>
        <v>32.5060486362229</v>
      </c>
      <c r="K4277" s="6" t="n">
        <f aca="false">Sens!K4301</f>
        <v>35.315065620635</v>
      </c>
    </row>
    <row r="4278" customFormat="false" ht="17.15" hidden="false" customHeight="false" outlineLevel="0" collapsed="false">
      <c r="A4278" s="1" t="s">
        <v>1076</v>
      </c>
      <c r="B4278" s="0" t="s">
        <v>98</v>
      </c>
      <c r="D4278" s="6" t="n">
        <f aca="false">Q!L27</f>
        <v>-4.901</v>
      </c>
      <c r="E4278" s="6" t="n">
        <f aca="false">Q!M27</f>
        <v>10.697</v>
      </c>
      <c r="F4278" s="6" t="n">
        <f aca="false">Q!$I$27+oie_f*(q_per_yr-1)/q_per_yr</f>
        <v>-0.862</v>
      </c>
      <c r="G4278" s="6" t="n">
        <f aca="false">oie_f</f>
        <v>-1.2</v>
      </c>
      <c r="H4278" s="6" t="n">
        <f aca="false">oie_f</f>
        <v>-1.2</v>
      </c>
      <c r="I4278" s="6" t="n">
        <f aca="false">oie_f</f>
        <v>-1.2</v>
      </c>
      <c r="J4278" s="6" t="n">
        <f aca="false">oie_f</f>
        <v>-1.2</v>
      </c>
      <c r="K4278" s="6" t="n">
        <f aca="false">oie_f</f>
        <v>-1.2</v>
      </c>
      <c r="L4278" s="12" t="s">
        <v>1077</v>
      </c>
    </row>
    <row r="4279" customFormat="false" ht="15" hidden="false" customHeight="false" outlineLevel="0" collapsed="false">
      <c r="A4279" s="1" t="s">
        <v>1078</v>
      </c>
      <c r="B4279" s="0" t="s">
        <v>98</v>
      </c>
      <c r="D4279" s="6" t="n">
        <f aca="false">Sens!D4271+Sens!D4278</f>
        <v>123.627</v>
      </c>
      <c r="E4279" s="6" t="n">
        <f aca="false">Sens!E4271+Sens!E4278</f>
        <v>165.934</v>
      </c>
      <c r="F4279" s="6" t="n">
        <f aca="false">Sens!F4271+Sens!F4278</f>
        <v>176.602098841108</v>
      </c>
      <c r="G4279" s="6" t="n">
        <f aca="false">Sens!G4271+Sens!G4278</f>
        <v>176.580317987082</v>
      </c>
      <c r="H4279" s="6" t="n">
        <f aca="false">Sens!H4271+Sens!H4278</f>
        <v>175.334028340849</v>
      </c>
      <c r="I4279" s="6" t="n">
        <f aca="false">Sens!I4271+Sens!I4278</f>
        <v>183.188428297447</v>
      </c>
      <c r="J4279" s="6" t="n">
        <f aca="false">Sens!J4271+Sens!J4278</f>
        <v>193.458497926705</v>
      </c>
      <c r="K4279" s="6" t="n">
        <f aca="false">Sens!K4271+Sens!K4278</f>
        <v>205.963778268707</v>
      </c>
    </row>
    <row r="4280" customFormat="false" ht="15" hidden="false" customHeight="false" outlineLevel="0" collapsed="false">
      <c r="A4280" s="1" t="s">
        <v>1079</v>
      </c>
      <c r="B4280" s="0" t="s">
        <v>98</v>
      </c>
      <c r="D4280" s="6" t="n">
        <f aca="false">Q!L29</f>
        <v>21.795</v>
      </c>
      <c r="E4280" s="6" t="n">
        <f aca="false">Q!M29</f>
        <v>32.185</v>
      </c>
      <c r="F4280" s="6" t="n">
        <f aca="false">Q!$I$29+(Sens!F4279-Q!$I$28)*tax_f</f>
        <v>35.4538197682217</v>
      </c>
      <c r="G4280" s="6" t="n">
        <f aca="false">Sens!G4279*tax_f</f>
        <v>35.3160635974165</v>
      </c>
      <c r="H4280" s="6" t="n">
        <f aca="false">Sens!H4279*tax_f</f>
        <v>35.0668056681698</v>
      </c>
      <c r="I4280" s="6" t="n">
        <f aca="false">Sens!I4279*tax_f</f>
        <v>36.6376856594893</v>
      </c>
      <c r="J4280" s="6" t="n">
        <f aca="false">Sens!J4279*tax_f</f>
        <v>38.6916995853409</v>
      </c>
      <c r="K4280" s="6" t="n">
        <f aca="false">Sens!K4279*tax_f</f>
        <v>41.1927556537414</v>
      </c>
    </row>
    <row r="4281" customFormat="false" ht="15" hidden="false" customHeight="false" outlineLevel="0" collapsed="false">
      <c r="A4281" s="1" t="s">
        <v>1080</v>
      </c>
      <c r="B4281" s="0" t="s">
        <v>98</v>
      </c>
      <c r="D4281" s="6" t="n">
        <f aca="false">Sens!D4279-Sens!D4280</f>
        <v>101.832</v>
      </c>
      <c r="E4281" s="6" t="n">
        <f aca="false">Sens!E4279-Sens!E4280</f>
        <v>133.749</v>
      </c>
      <c r="F4281" s="6" t="n">
        <f aca="false">Sens!F4279-Sens!F4280</f>
        <v>141.148279072887</v>
      </c>
      <c r="G4281" s="6" t="n">
        <f aca="false">Sens!G4279-Sens!G4280</f>
        <v>141.264254389666</v>
      </c>
      <c r="H4281" s="6" t="n">
        <f aca="false">Sens!H4279-Sens!H4280</f>
        <v>140.267222672679</v>
      </c>
      <c r="I4281" s="6" t="n">
        <f aca="false">Sens!I4279-Sens!I4280</f>
        <v>146.550742637957</v>
      </c>
      <c r="J4281" s="6" t="n">
        <f aca="false">Sens!J4279-Sens!J4280</f>
        <v>154.766798341364</v>
      </c>
      <c r="K4281" s="6" t="n">
        <f aca="false">Sens!K4279-Sens!K4280</f>
        <v>164.771022614966</v>
      </c>
    </row>
    <row r="4282" customFormat="false" ht="17.15" hidden="false" customHeight="false" outlineLevel="0" collapsed="false">
      <c r="A4282" s="1" t="s">
        <v>1081</v>
      </c>
      <c r="B4282" s="1" t="s">
        <v>81</v>
      </c>
      <c r="D4282" s="15" t="n">
        <f aca="false">Q!L31</f>
        <v>7.465</v>
      </c>
      <c r="E4282" s="15" t="n">
        <f aca="false">Q!M31</f>
        <v>7.453</v>
      </c>
      <c r="F4282" s="15" t="n">
        <f aca="false">Sens!F4326</f>
        <v>7.4735</v>
      </c>
      <c r="G4282" s="15" t="n">
        <f aca="false">Sens!G4326</f>
        <v>7.5185</v>
      </c>
      <c r="H4282" s="15" t="n">
        <f aca="false">Sens!H4326</f>
        <v>7.5635</v>
      </c>
      <c r="I4282" s="15" t="n">
        <f aca="false">Sens!I4326</f>
        <v>7.59248142502667</v>
      </c>
      <c r="J4282" s="15" t="n">
        <f aca="false">Sens!J4326</f>
        <v>7.60663083618914</v>
      </c>
      <c r="K4282" s="15" t="n">
        <f aca="false">Sens!K4326</f>
        <v>7.62306547615439</v>
      </c>
    </row>
    <row r="4283" customFormat="false" ht="17.15" hidden="false" customHeight="false" outlineLevel="0" collapsed="false">
      <c r="A4283" s="0" t="s">
        <v>1082</v>
      </c>
      <c r="B4283" s="0" t="s">
        <v>75</v>
      </c>
      <c r="D4283" s="8" t="n">
        <f aca="false">Sens!D4281/Sens!D4282</f>
        <v>13.641259209645</v>
      </c>
      <c r="E4283" s="8" t="n">
        <f aca="false">Sens!E4281/Sens!E4282</f>
        <v>17.9456594659869</v>
      </c>
      <c r="F4283" s="8" t="n">
        <f aca="false">Sens!F4281/Sens!F4282</f>
        <v>18.8865028531326</v>
      </c>
      <c r="G4283" s="8" t="n">
        <f aca="false">Sens!G4281/Sens!G4282</f>
        <v>18.7888879949014</v>
      </c>
      <c r="H4283" s="8" t="n">
        <f aca="false">Sens!H4281/Sens!H4282</f>
        <v>18.5452796552759</v>
      </c>
      <c r="I4283" s="8" t="n">
        <f aca="false">Sens!I4281/Sens!I4282</f>
        <v>19.3020877410237</v>
      </c>
      <c r="J4283" s="8" t="n">
        <f aca="false">Sens!J4281/Sens!J4282</f>
        <v>20.346300704518</v>
      </c>
      <c r="K4283" s="8" t="n">
        <f aca="false">Sens!K4281/Sens!K4282</f>
        <v>21.6147982895311</v>
      </c>
      <c r="L4283" s="1" t="s">
        <v>1083</v>
      </c>
    </row>
    <row r="4284" customFormat="false" ht="17.15" hidden="false" customHeight="false" outlineLevel="0" collapsed="false">
      <c r="A4284" s="1" t="s">
        <v>1084</v>
      </c>
      <c r="B4284" s="0" t="s">
        <v>98</v>
      </c>
      <c r="D4284" s="6" t="n">
        <f aca="false">Sens!D4281</f>
        <v>101.832</v>
      </c>
      <c r="E4284" s="6" t="n">
        <f aca="false">Sens!E4281</f>
        <v>133.749</v>
      </c>
      <c r="F4284" s="6" t="n">
        <f aca="false">Sens!F4281+Sens!F4274*(1-tax_f)</f>
        <v>151.171171044119</v>
      </c>
      <c r="G4284" s="6" t="n">
        <f aca="false">Sens!G4281+Sens!G4274*(1-tax_f)</f>
        <v>168.315594928379</v>
      </c>
      <c r="H4284" s="6" t="n">
        <f aca="false">Sens!H4281+Sens!H4274*(1-tax_f)</f>
        <v>185.641503022769</v>
      </c>
      <c r="I4284" s="6" t="n">
        <f aca="false">Sens!I4281+Sens!I4274*(1-tax_f)</f>
        <v>208.14163427279</v>
      </c>
      <c r="J4284" s="6" t="n">
        <f aca="false">Sens!J4281+Sens!J4274*(1-tax_f)</f>
        <v>227.532589493519</v>
      </c>
      <c r="K4284" s="6" t="n">
        <f aca="false">Sens!K4281+Sens!K4274*(1-tax_f)</f>
        <v>243.843539332017</v>
      </c>
    </row>
    <row r="4285" customFormat="false" ht="17.15" hidden="false" customHeight="false" outlineLevel="0" collapsed="false">
      <c r="A4285" s="0" t="s">
        <v>1085</v>
      </c>
      <c r="B4285" s="0" t="s">
        <v>75</v>
      </c>
      <c r="D4285" s="8" t="n">
        <f aca="false">Sens!D4284/Sens!D4282</f>
        <v>13.641259209645</v>
      </c>
      <c r="E4285" s="8" t="n">
        <f aca="false">Sens!E4284/Sens!E4282</f>
        <v>17.9456594659869</v>
      </c>
      <c r="F4285" s="8" t="n">
        <f aca="false">Sens!F4284/Sens!F4282</f>
        <v>20.227627088261</v>
      </c>
      <c r="G4285" s="8" t="n">
        <f aca="false">Sens!G4284/Sens!G4282</f>
        <v>22.3868584063815</v>
      </c>
      <c r="H4285" s="8" t="n">
        <f aca="false">Sens!H4284/Sens!H4282</f>
        <v>24.544391224006</v>
      </c>
      <c r="I4285" s="8" t="n">
        <f aca="false">Sens!I4284/Sens!I4282</f>
        <v>27.4141776082197</v>
      </c>
      <c r="J4285" s="8" t="n">
        <f aca="false">Sens!J4284/Sens!J4282</f>
        <v>29.9124006926977</v>
      </c>
      <c r="K4285" s="8" t="n">
        <f aca="false">Sens!K4284/Sens!K4282</f>
        <v>31.9875960786091</v>
      </c>
      <c r="L4285" s="1" t="s">
        <v>1086</v>
      </c>
    </row>
    <row r="4286" customFormat="false" ht="17.15" hidden="false" customHeight="false" outlineLevel="0" collapsed="false">
      <c r="A4286" s="0" t="s">
        <v>1087</v>
      </c>
      <c r="B4286" s="0" t="s">
        <v>168</v>
      </c>
      <c r="E4286" s="7" t="n">
        <f aca="false">Sens!E4285/Sens!D4285-1</f>
        <v>0.315542736208578</v>
      </c>
      <c r="F4286" s="7" t="n">
        <f aca="false">Sens!F4285/Sens!E4285-1</f>
        <v>0.12715986428915</v>
      </c>
      <c r="G4286" s="7" t="n">
        <f aca="false">Sens!G4285/Sens!F4285-1</f>
        <v>0.106746644512424</v>
      </c>
      <c r="H4286" s="7" t="n">
        <f aca="false">Sens!H4285/Sens!G4285-1</f>
        <v>0.0963749704607704</v>
      </c>
      <c r="I4286" s="7" t="n">
        <f aca="false">Sens!I4285/Sens!H4285-1</f>
        <v>0.116922288192948</v>
      </c>
      <c r="J4286" s="7" t="n">
        <f aca="false">Sens!J4285/Sens!I4285-1</f>
        <v>0.0911288720814645</v>
      </c>
      <c r="K4286" s="7" t="n">
        <f aca="false">Sens!K4285/Sens!J4285-1</f>
        <v>0.0693757551334915</v>
      </c>
    </row>
    <row r="4287" customFormat="false" ht="17.15" hidden="false" customHeight="false" outlineLevel="0" collapsed="false">
      <c r="A4287" s="0" t="s">
        <v>1007</v>
      </c>
      <c r="B4287" s="0" t="s">
        <v>98</v>
      </c>
      <c r="E4287" s="6" t="n">
        <f aca="false">Sens!E4228</f>
        <v>5.25</v>
      </c>
      <c r="F4287" s="6" t="n">
        <f aca="false">Sens!F4228</f>
        <v>10.5</v>
      </c>
      <c r="G4287" s="6" t="n">
        <f aca="false">Sens!G4228</f>
        <v>13.5</v>
      </c>
      <c r="H4287" s="6" t="n">
        <f aca="false">Sens!H4228</f>
        <v>16.5</v>
      </c>
      <c r="I4287" s="6" t="n">
        <f aca="false">Sens!I4228</f>
        <v>18.75</v>
      </c>
      <c r="J4287" s="6" t="n">
        <f aca="false">Sens!J4228</f>
        <v>20.25</v>
      </c>
      <c r="K4287" s="6" t="n">
        <f aca="false">Sens!K4228</f>
        <v>21.75</v>
      </c>
    </row>
    <row r="4288" customFormat="false" ht="17.15" hidden="false" customHeight="false" outlineLevel="0" collapsed="false">
      <c r="A4288" s="1" t="s">
        <v>1008</v>
      </c>
      <c r="B4288" s="0" t="s">
        <v>98</v>
      </c>
      <c r="F4288" s="6" t="n">
        <f aca="false">MAX(0,((Sens!E4188+Sens!F4188)/2-(shadow_base*(Sens!$D$4188+Sens!$E$4188)/2+(1-shadow_base)*Sens!$E$4188))*Sens!F4197/1000-(Sens!F4287-Sens!$E$4287)*Sens!F4267)</f>
        <v>12.5286149640402</v>
      </c>
      <c r="G4288" s="6" t="n">
        <f aca="false">MAX(0,((Sens!F4188+Sens!G4188)/2-(shadow_base*(Sens!$D$4188+Sens!$E$4188)/2+(1-shadow_base)*Sens!$E$4188))*Sens!G4197/1000-(Sens!G4287-Sens!$E$4287)*Sens!G4267)</f>
        <v>33.8141756733918</v>
      </c>
      <c r="H4288" s="6" t="n">
        <f aca="false">MAX(0,((Sens!G4188+Sens!H4188)/2-(shadow_base*(Sens!$D$4188+Sens!$E$4188)/2+(1-shadow_base)*Sens!$E$4188))*Sens!H4197/1000-(Sens!H4287-Sens!$E$4287)*Sens!H4267)</f>
        <v>56.7178504376125</v>
      </c>
      <c r="I4288" s="6" t="n">
        <f aca="false">MAX(0,((Sens!H4188+Sens!I4188)/2-(shadow_base*(Sens!$D$4188+Sens!$E$4188)/2+(1-shadow_base)*Sens!$E$4188))*Sens!I4197/1000-(Sens!I4287-Sens!$E$4287)*Sens!I4267)</f>
        <v>76.9886145435407</v>
      </c>
      <c r="J4288" s="6" t="n">
        <f aca="false">MAX(0,((Sens!I4188+Sens!J4188)/2-(shadow_base*(Sens!$D$4188+Sens!$E$4188)/2+(1-shadow_base)*Sens!$E$4188))*Sens!J4197/1000-(Sens!J4287-Sens!$E$4287)*Sens!J4267)</f>
        <v>90.9572389401947</v>
      </c>
      <c r="K4288" s="6" t="n">
        <f aca="false">MAX(0,((Sens!J4188+Sens!K4188)/2-(shadow_base*(Sens!$D$4188+Sens!$E$4188)/2+(1-shadow_base)*Sens!$E$4188))*Sens!K4197/1000-(Sens!K4287-Sens!$E$4287)*Sens!K4267)</f>
        <v>98.840645896314</v>
      </c>
      <c r="L4288" s="1" t="s">
        <v>1009</v>
      </c>
    </row>
    <row r="4289" customFormat="false" ht="17.15" hidden="false" customHeight="false" outlineLevel="0" collapsed="false">
      <c r="A4289" s="1" t="s">
        <v>1010</v>
      </c>
      <c r="B4289" s="0" t="s">
        <v>98</v>
      </c>
      <c r="F4289" s="6" t="n">
        <f aca="false">IF(internal_ai_reading=2,1,0)*Sens!F4288</f>
        <v>12.5286149640402</v>
      </c>
      <c r="G4289" s="6" t="n">
        <f aca="false">IF(internal_ai_reading=2,1,0)*Sens!G4288</f>
        <v>33.8141756733918</v>
      </c>
      <c r="H4289" s="6" t="n">
        <f aca="false">IF(internal_ai_reading=2,1,0)*Sens!H4288</f>
        <v>56.7178504376125</v>
      </c>
      <c r="I4289" s="6" t="n">
        <f aca="false">IF(internal_ai_reading=2,1,0)*Sens!I4288</f>
        <v>76.9886145435407</v>
      </c>
      <c r="J4289" s="6" t="n">
        <f aca="false">IF(internal_ai_reading=2,1,0)*Sens!J4288</f>
        <v>90.9572389401947</v>
      </c>
      <c r="K4289" s="6" t="n">
        <f aca="false">IF(internal_ai_reading=2,1,0)*Sens!K4288</f>
        <v>98.840645896314</v>
      </c>
    </row>
    <row r="4290" customFormat="false" ht="17.15" hidden="false" customHeight="false" outlineLevel="0" collapsed="false">
      <c r="A4290" s="0" t="s">
        <v>1011</v>
      </c>
      <c r="B4290" s="0" t="s">
        <v>98</v>
      </c>
      <c r="F4290" s="6" t="n">
        <f aca="false">Sens!F4207+Sens!F4287*Sens!F4267+Sens!F4289-Sens!F4208-Sens!F4219</f>
        <v>11.7700010499923</v>
      </c>
      <c r="G4290" s="6" t="n">
        <f aca="false">Sens!G4207+Sens!G4287*Sens!G4267+Sens!G4289-Sens!G4208-Sens!G4219</f>
        <v>19.7584863444757</v>
      </c>
      <c r="H4290" s="6" t="n">
        <f aca="false">Sens!H4207+Sens!H4287*Sens!H4267+Sens!H4289-Sens!H4208-Sens!H4219</f>
        <v>21.2857586477076</v>
      </c>
      <c r="I4290" s="6" t="n">
        <f aca="false">Sens!I4207+Sens!I4287*Sens!I4267+Sens!I4289-Sens!I4208-Sens!I4219</f>
        <v>29.6564118383565</v>
      </c>
      <c r="J4290" s="6" t="n">
        <f aca="false">Sens!J4207+Sens!J4287*Sens!J4267+Sens!J4289-Sens!J4208-Sens!J4219</f>
        <v>35.2940634289087</v>
      </c>
      <c r="K4290" s="6" t="n">
        <f aca="false">Sens!K4207+Sens!K4287*Sens!K4267+Sens!K4289-Sens!K4208-Sens!K4219</f>
        <v>39.035743075226</v>
      </c>
    </row>
    <row r="4291" customFormat="false" ht="17.15" hidden="false" customHeight="false" outlineLevel="0" collapsed="false">
      <c r="A4291" s="0" t="s">
        <v>1012</v>
      </c>
      <c r="B4291" s="0" t="s">
        <v>98</v>
      </c>
      <c r="E4291" s="6" t="n">
        <f aca="false">Sens!E4187*(cxit_open+self_build*tk_cxfac)/1000*ai_net_open</f>
        <v>126.6980382</v>
      </c>
      <c r="F4291" s="6" t="n">
        <f aca="false">Sens!E4291+Sens!F4216-Sens!F4219</f>
        <v>294.382915210455</v>
      </c>
      <c r="G4291" s="6" t="n">
        <f aca="false">Sens!F4291+Sens!G4216-Sens!G4219</f>
        <v>455.917755439021</v>
      </c>
      <c r="H4291" s="6" t="n">
        <f aca="false">Sens!G4291+Sens!H4216-Sens!H4219</f>
        <v>589.247709755167</v>
      </c>
      <c r="I4291" s="6" t="n">
        <f aca="false">Sens!H4291+Sens!I4216-Sens!I4219</f>
        <v>652.434576937081</v>
      </c>
      <c r="J4291" s="6" t="n">
        <f aca="false">Sens!I4291+Sens!J4216-Sens!J4219</f>
        <v>643.584650325439</v>
      </c>
      <c r="K4291" s="6" t="n">
        <f aca="false">Sens!J4291+Sens!K4216-Sens!K4219</f>
        <v>601.060261086901</v>
      </c>
      <c r="L4291" s="1" t="s">
        <v>1013</v>
      </c>
    </row>
    <row r="4292" customFormat="false" ht="17.15" hidden="false" customHeight="false" outlineLevel="0" collapsed="false">
      <c r="A4292" s="0" t="s">
        <v>1014</v>
      </c>
      <c r="B4292" s="0" t="s">
        <v>168</v>
      </c>
      <c r="F4292" s="7" t="n">
        <f aca="false">Sens!F4290*(1-tax_f)/((Sens!E4291+Sens!F4291)/2)</f>
        <v>0.0447229957267407</v>
      </c>
      <c r="G4292" s="7" t="n">
        <f aca="false">Sens!G4290*(1-tax_f)/((Sens!F4291+Sens!G4291)/2)</f>
        <v>0.042134546039784</v>
      </c>
      <c r="H4292" s="7" t="n">
        <f aca="false">Sens!H4290*(1-tax_f)/((Sens!G4291+Sens!H4291)/2)</f>
        <v>0.0325854756691607</v>
      </c>
      <c r="I4292" s="7" t="n">
        <f aca="false">Sens!I4290*(1-tax_f)/((Sens!H4291+Sens!I4291)/2)</f>
        <v>0.0382144929100781</v>
      </c>
      <c r="J4292" s="7" t="n">
        <f aca="false">Sens!J4290*(1-tax_f)/((Sens!I4291+Sens!J4291)/2)</f>
        <v>0.0435722713817542</v>
      </c>
      <c r="K4292" s="7" t="n">
        <f aca="false">Sens!K4290*(1-tax_f)/((Sens!J4291+Sens!K4291)/2)</f>
        <v>0.0501807289353631</v>
      </c>
    </row>
    <row r="4293" customFormat="false" ht="17.15" hidden="false" customHeight="false" outlineLevel="0" collapsed="false">
      <c r="A4293" s="1" t="s">
        <v>1015</v>
      </c>
      <c r="B4293" s="0" t="s">
        <v>168</v>
      </c>
      <c r="F4293" s="7" t="n">
        <f aca="false">(Sens!F4290-Sens!F4289)*(1-tax_f)/((Sens!E4291+Sens!F4291)/2)</f>
        <v>-0.00288253898127163</v>
      </c>
      <c r="G4293" s="7" t="n">
        <f aca="false">(Sens!G4290-Sens!G4289)*(1-tax_f)/((Sens!F4291+Sens!G4291)/2)</f>
        <v>-0.0299734543843587</v>
      </c>
      <c r="H4293" s="7" t="n">
        <f aca="false">(Sens!H4290-Sens!H4289)*(1-tax_f)/((Sens!G4291+Sens!H4291)/2)</f>
        <v>-0.0542415040984107</v>
      </c>
      <c r="I4293" s="7" t="n">
        <f aca="false">(Sens!I4290-Sens!I4289)*(1-tax_f)/((Sens!H4291+Sens!I4291)/2)</f>
        <v>-0.0609910644131342</v>
      </c>
      <c r="J4293" s="7" t="n">
        <f aca="false">(Sens!J4290-Sens!J4289)*(1-tax_f)/((Sens!I4291+Sens!J4291)/2)</f>
        <v>-0.0687189502629328</v>
      </c>
      <c r="K4293" s="7" t="n">
        <f aca="false">(Sens!K4290-Sens!K4289)*(1-tax_f)/((Sens!J4291+Sens!K4291)/2)</f>
        <v>-0.0768796334089862</v>
      </c>
    </row>
    <row r="4294" customFormat="false" ht="17.15" hidden="false" customHeight="false" outlineLevel="0" collapsed="false">
      <c r="A4294" s="1" t="s">
        <v>1016</v>
      </c>
      <c r="B4294" s="0" t="s">
        <v>168</v>
      </c>
      <c r="F4294" s="7" t="n">
        <f aca="false">(Sens!F4290-Sens!F4289+Sens!F4288)*(1-tax_f)/((Sens!E4291+Sens!F4291)/2)</f>
        <v>0.0447229957267407</v>
      </c>
      <c r="G4294" s="7" t="n">
        <f aca="false">(Sens!G4290-Sens!G4289+Sens!G4288)*(1-tax_f)/((Sens!F4291+Sens!G4291)/2)</f>
        <v>0.042134546039784</v>
      </c>
      <c r="H4294" s="7" t="n">
        <f aca="false">(Sens!H4290-Sens!H4289+Sens!H4288)*(1-tax_f)/((Sens!G4291+Sens!H4291)/2)</f>
        <v>0.0325854756691607</v>
      </c>
      <c r="I4294" s="7" t="n">
        <f aca="false">(Sens!I4290-Sens!I4289+Sens!I4288)*(1-tax_f)/((Sens!H4291+Sens!I4291)/2)</f>
        <v>0.0382144929100781</v>
      </c>
      <c r="J4294" s="7" t="n">
        <f aca="false">(Sens!J4290-Sens!J4289+Sens!J4288)*(1-tax_f)/((Sens!I4291+Sens!J4291)/2)</f>
        <v>0.0435722713817542</v>
      </c>
      <c r="K4294" s="7" t="n">
        <f aca="false">(Sens!K4290-Sens!K4289+Sens!K4288)*(1-tax_f)/((Sens!J4291+Sens!K4291)/2)</f>
        <v>0.0501807289353631</v>
      </c>
    </row>
    <row r="4295" customFormat="false" ht="17.15" hidden="false" customHeight="false" outlineLevel="0" collapsed="false">
      <c r="A4295" s="1" t="s">
        <v>1017</v>
      </c>
      <c r="B4295" s="0" t="s">
        <v>168</v>
      </c>
      <c r="F4295" s="7" t="n">
        <f aca="false">Sens!F4220*(1-tax_f)/(Sens!F4206*(Sens!E4291+Sens!F4291)/2)</f>
        <v>0.0971075715650549</v>
      </c>
      <c r="G4295" s="7" t="n">
        <f aca="false">Sens!G4220*(1-tax_f)/(Sens!G4206*(Sens!F4291+Sens!G4291)/2)</f>
        <v>0.0658872733711986</v>
      </c>
      <c r="H4295" s="7" t="n">
        <f aca="false">Sens!H4220*(1-tax_f)/(Sens!H4206*(Sens!G4291+Sens!H4291)/2)</f>
        <v>0.037990802452478</v>
      </c>
      <c r="I4295" s="7" t="n">
        <f aca="false">Sens!I4220*(1-tax_f)/(Sens!I4206*(Sens!H4291+Sens!I4291)/2)</f>
        <v>0.0402382663745974</v>
      </c>
      <c r="J4295" s="7" t="n">
        <f aca="false">Sens!J4220*(1-tax_f)/(Sens!J4206*(Sens!I4291+Sens!J4291)/2)</f>
        <v>0.0438881581603067</v>
      </c>
      <c r="K4295" s="7" t="n">
        <f aca="false">Sens!K4220*(1-tax_f)/(Sens!K4206*(Sens!J4291+Sens!K4291)/2)</f>
        <v>0.0497553051039361</v>
      </c>
    </row>
    <row r="4296" customFormat="false" ht="17.15" hidden="false" customHeight="false" outlineLevel="0" collapsed="false">
      <c r="A4296" s="0" t="s">
        <v>1018</v>
      </c>
      <c r="B4296" s="0" t="s">
        <v>253</v>
      </c>
      <c r="F4296" s="7" t="n">
        <f aca="false">Sens!F4292-wacc</f>
        <v>-0.0582135952188566</v>
      </c>
      <c r="G4296" s="7" t="n">
        <f aca="false">Sens!G4292-wacc</f>
        <v>-0.0608020449058133</v>
      </c>
      <c r="H4296" s="7" t="n">
        <f aca="false">Sens!H4292-wacc</f>
        <v>-0.0703511152764366</v>
      </c>
      <c r="I4296" s="7" t="n">
        <f aca="false">Sens!I4292-wacc</f>
        <v>-0.0647220980355192</v>
      </c>
      <c r="J4296" s="7" t="n">
        <f aca="false">Sens!J4292-wacc</f>
        <v>-0.0593643195638431</v>
      </c>
      <c r="K4296" s="7" t="n">
        <f aca="false">Sens!K4292-wacc</f>
        <v>-0.0527558620102342</v>
      </c>
    </row>
    <row r="4297" customFormat="false" ht="17.15" hidden="false" customHeight="false" outlineLevel="0" collapsed="false">
      <c r="A4297" s="0" t="s">
        <v>1019</v>
      </c>
      <c r="B4297" s="0" t="s">
        <v>98</v>
      </c>
      <c r="F4297" s="6" t="n">
        <f aca="false">Sens!F4290*(1-tax_f)-wacc*(Sens!E4291+Sens!F4291)/2</f>
        <v>-12.2563180881032</v>
      </c>
      <c r="G4297" s="6" t="n">
        <f aca="false">Sens!G4290*(1-tax_f)-wacc*(Sens!F4291+Sens!G4291)/2</f>
        <v>-22.8099075348456</v>
      </c>
      <c r="H4297" s="6" t="n">
        <f aca="false">Sens!H4290*(1-tax_f)-wacc*(Sens!G4291+Sens!H4291)/2</f>
        <v>-36.7642780624134</v>
      </c>
      <c r="I4297" s="6" t="n">
        <f aca="false">Sens!I4290*(1-tax_f)-wacc*(Sens!H4291+Sens!I4291)/2</f>
        <v>-40.1821413441317</v>
      </c>
      <c r="J4297" s="6" t="n">
        <f aca="false">Sens!J4290*(1-tax_f)-wacc*(Sens!I4291+Sens!J4291)/2</f>
        <v>-38.4686497840486</v>
      </c>
      <c r="K4297" s="6" t="n">
        <f aca="false">Sens!K4290*(1-tax_f)-wacc*(Sens!J4291+Sens!K4291)/2</f>
        <v>-32.8311575991048</v>
      </c>
    </row>
    <row r="4298" customFormat="false" ht="17.15" hidden="false" customHeight="false" outlineLevel="0" collapsed="false">
      <c r="A4298" s="3" t="s">
        <v>1718</v>
      </c>
    </row>
    <row r="4299" customFormat="false" ht="15" hidden="false" customHeight="false" outlineLevel="0" collapsed="false">
      <c r="A4299" s="4" t="s">
        <v>43</v>
      </c>
      <c r="B4299" s="4" t="s">
        <v>65</v>
      </c>
      <c r="C4299" s="23" t="s">
        <v>942</v>
      </c>
      <c r="D4299" s="23" t="s">
        <v>943</v>
      </c>
      <c r="E4299" s="23" t="s">
        <v>944</v>
      </c>
      <c r="F4299" s="23" t="s">
        <v>945</v>
      </c>
      <c r="G4299" s="23" t="s">
        <v>946</v>
      </c>
      <c r="H4299" s="23" t="s">
        <v>947</v>
      </c>
      <c r="I4299" s="23" t="s">
        <v>948</v>
      </c>
      <c r="J4299" s="23" t="s">
        <v>949</v>
      </c>
      <c r="K4299" s="23" t="s">
        <v>950</v>
      </c>
      <c r="L4299" s="4" t="s">
        <v>47</v>
      </c>
    </row>
    <row r="4300" customFormat="false" ht="15" hidden="false" customHeight="false" outlineLevel="0" collapsed="false">
      <c r="A4300" s="1" t="s">
        <v>1080</v>
      </c>
      <c r="B4300" s="0" t="s">
        <v>98</v>
      </c>
      <c r="F4300" s="6" t="n">
        <f aca="false">Sens!F4281</f>
        <v>141.148279072887</v>
      </c>
      <c r="G4300" s="6" t="n">
        <f aca="false">Sens!G4281</f>
        <v>141.264254389666</v>
      </c>
      <c r="H4300" s="6" t="n">
        <f aca="false">Sens!H4281</f>
        <v>140.267222672679</v>
      </c>
      <c r="I4300" s="6" t="n">
        <f aca="false">Sens!I4281</f>
        <v>146.550742637957</v>
      </c>
      <c r="J4300" s="6" t="n">
        <f aca="false">Sens!J4281</f>
        <v>154.766798341364</v>
      </c>
      <c r="K4300" s="6" t="n">
        <f aca="false">Sens!K4281</f>
        <v>164.771022614966</v>
      </c>
    </row>
    <row r="4301" customFormat="false" ht="17.15" hidden="false" customHeight="false" outlineLevel="0" collapsed="false">
      <c r="A4301" s="1" t="s">
        <v>1102</v>
      </c>
      <c r="B4301" s="0" t="s">
        <v>98</v>
      </c>
      <c r="E4301" s="6" t="n">
        <f aca="false">Q!M38-Sens!E4219</f>
        <v>22.2285940229167</v>
      </c>
      <c r="F4301" s="6" t="n">
        <f aca="false">Sens!E4301*(1-1/life_nonai)+(Sens!F4309+Sens!F4310)/life_nonai</f>
        <v>23.5738995378116</v>
      </c>
      <c r="G4301" s="6" t="n">
        <f aca="false">Sens!F4301*(1-1/life_nonai)+(Sens!G4309)/life_nonai</f>
        <v>25.3174537664321</v>
      </c>
      <c r="H4301" s="6" t="n">
        <f aca="false">Sens!G4301*(1-1/life_nonai)+(Sens!H4309)/life_nonai</f>
        <v>27.4280316160735</v>
      </c>
      <c r="I4301" s="6" t="n">
        <f aca="false">Sens!H4301*(1-1/life_nonai)+(Sens!I4309)/life_nonai</f>
        <v>29.8490636081688</v>
      </c>
      <c r="J4301" s="6" t="n">
        <f aca="false">Sens!I4301*(1-1/life_nonai)+(Sens!J4309)/life_nonai</f>
        <v>32.5060486362229</v>
      </c>
      <c r="K4301" s="6" t="n">
        <f aca="false">Sens!J4301*(1-1/life_nonai)+(Sens!K4309)/life_nonai</f>
        <v>35.315065620635</v>
      </c>
      <c r="L4301" s="12" t="s">
        <v>1103</v>
      </c>
    </row>
    <row r="4302" customFormat="false" ht="17.15" hidden="false" customHeight="false" outlineLevel="0" collapsed="false">
      <c r="A4302" s="1" t="s">
        <v>1104</v>
      </c>
      <c r="B4302" s="0" t="s">
        <v>98</v>
      </c>
      <c r="F4302" s="6" t="n">
        <f aca="false">Sens!$F$4310/life_nonai*(1-1/life_nonai)^(Sens!F4182-2027)</f>
        <v>0</v>
      </c>
      <c r="G4302" s="6" t="n">
        <f aca="false">Sens!$F$4310/life_nonai*(1-1/life_nonai)^(Sens!G4182-2027)</f>
        <v>0</v>
      </c>
      <c r="H4302" s="6" t="n">
        <f aca="false">Sens!$F$4310/life_nonai*(1-1/life_nonai)^(Sens!H4182-2027)</f>
        <v>0</v>
      </c>
      <c r="I4302" s="6" t="n">
        <f aca="false">Sens!$F$4310/life_nonai*(1-1/life_nonai)^(Sens!I4182-2027)</f>
        <v>0</v>
      </c>
      <c r="J4302" s="6" t="n">
        <f aca="false">Sens!$F$4310/life_nonai*(1-1/life_nonai)^(Sens!J4182-2027)</f>
        <v>0</v>
      </c>
      <c r="K4302" s="6" t="n">
        <f aca="false">Sens!$F$4310/life_nonai*(1-1/life_nonai)^(Sens!K4182-2027)</f>
        <v>0</v>
      </c>
      <c r="L4302" s="1" t="s">
        <v>1105</v>
      </c>
    </row>
    <row r="4303" customFormat="false" ht="17.15" hidden="false" customHeight="false" outlineLevel="0" collapsed="false">
      <c r="A4303" s="1" t="s">
        <v>1106</v>
      </c>
      <c r="B4303" s="0" t="s">
        <v>98</v>
      </c>
      <c r="E4303" s="6" t="n">
        <f aca="false">Sens!E4219+Sens!E4301</f>
        <v>38.534</v>
      </c>
      <c r="F4303" s="6" t="n">
        <f aca="false">Sens!F4219+Sens!F4301</f>
        <v>60.7872103331003</v>
      </c>
      <c r="G4303" s="6" t="n">
        <f aca="false">Sens!G4219+Sens!G4301</f>
        <v>94.1159843167241</v>
      </c>
      <c r="H4303" s="6" t="n">
        <f aca="false">Sens!H4219+Sens!H4301</f>
        <v>130.265282177342</v>
      </c>
      <c r="I4303" s="6" t="n">
        <f aca="false">Sens!I4219+Sens!I4301</f>
        <v>162.698666614188</v>
      </c>
      <c r="J4303" s="6" t="n">
        <f aca="false">Sens!J4219+Sens!J4301</f>
        <v>186.316411494873</v>
      </c>
      <c r="K4303" s="6" t="n">
        <f aca="false">Sens!K4219+Sens!K4301</f>
        <v>201.648380245589</v>
      </c>
    </row>
    <row r="4304" customFormat="false" ht="17.15" hidden="false" customHeight="false" outlineLevel="0" collapsed="false">
      <c r="A4304" s="1" t="s">
        <v>1107</v>
      </c>
      <c r="B4304" s="0" t="s">
        <v>98</v>
      </c>
      <c r="F4304" s="6" t="n">
        <f aca="false">Sens!F4246*sbc_r</f>
        <v>14.8414101176883</v>
      </c>
      <c r="G4304" s="6" t="n">
        <f aca="false">Sens!G4246*sbc_r</f>
        <v>17.4611931740366</v>
      </c>
      <c r="H4304" s="6" t="n">
        <f aca="false">Sens!H4246*sbc_r</f>
        <v>19.8889476779762</v>
      </c>
      <c r="I4304" s="6" t="n">
        <f aca="false">Sens!I4246*sbc_r</f>
        <v>22.4161470008836</v>
      </c>
      <c r="J4304" s="6" t="n">
        <f aca="false">Sens!J4246*sbc_r</f>
        <v>24.504563723995</v>
      </c>
      <c r="K4304" s="6" t="n">
        <f aca="false">Sens!K4246*sbc_r</f>
        <v>26.1697261849953</v>
      </c>
    </row>
    <row r="4305" customFormat="false" ht="17.15" hidden="false" customHeight="false" outlineLevel="0" collapsed="false">
      <c r="A4305" s="1" t="s">
        <v>1108</v>
      </c>
      <c r="B4305" s="0" t="s">
        <v>98</v>
      </c>
      <c r="F4305" s="6" t="n">
        <f aca="false">wc27-wc26q1</f>
        <v>-4.677</v>
      </c>
      <c r="G4305" s="6" t="n">
        <f aca="false">wc_f</f>
        <v>0</v>
      </c>
      <c r="H4305" s="6" t="n">
        <f aca="false">wc_f</f>
        <v>0</v>
      </c>
      <c r="I4305" s="6" t="n">
        <f aca="false">wc_f</f>
        <v>0</v>
      </c>
      <c r="J4305" s="6" t="n">
        <f aca="false">wc_f</f>
        <v>0</v>
      </c>
      <c r="K4305" s="6" t="n">
        <f aca="false">wc_f</f>
        <v>0</v>
      </c>
      <c r="L4305" s="12" t="s">
        <v>1109</v>
      </c>
    </row>
    <row r="4306" customFormat="false" ht="17.15" hidden="false" customHeight="false" outlineLevel="0" collapsed="false">
      <c r="A4306" s="0" t="s">
        <v>1110</v>
      </c>
      <c r="B4306" s="0" t="s">
        <v>98</v>
      </c>
      <c r="F4306" s="6" t="n">
        <f aca="false">Q!$I$35-Q!$I$26-Q!$I$38-Q!$I$39</f>
        <v>6.493</v>
      </c>
      <c r="L4306" s="1" t="s">
        <v>1111</v>
      </c>
    </row>
    <row r="4307" customFormat="false" ht="15" hidden="false" customHeight="false" outlineLevel="0" collapsed="false">
      <c r="A4307" s="1" t="s">
        <v>908</v>
      </c>
      <c r="B4307" s="0" t="s">
        <v>98</v>
      </c>
      <c r="E4307" s="6" t="n">
        <f aca="false">Q!M35</f>
        <v>182.935</v>
      </c>
      <c r="F4307" s="6" t="n">
        <f aca="false">Sens!F4300+Sens!F4303+Sens!F4304+Sens!F4305+Sens!F4306</f>
        <v>218.592899523675</v>
      </c>
      <c r="G4307" s="6" t="n">
        <f aca="false">Sens!G4300+Sens!G4303+Sens!G4304+Sens!G4305</f>
        <v>252.841431880427</v>
      </c>
      <c r="H4307" s="6" t="n">
        <f aca="false">Sens!H4300+Sens!H4303+Sens!H4304+Sens!H4305</f>
        <v>290.421452527997</v>
      </c>
      <c r="I4307" s="6" t="n">
        <f aca="false">Sens!I4300+Sens!I4303+Sens!I4304+Sens!I4305</f>
        <v>331.665556253029</v>
      </c>
      <c r="J4307" s="6" t="n">
        <f aca="false">Sens!J4300+Sens!J4303+Sens!J4304+Sens!J4305</f>
        <v>365.587773560231</v>
      </c>
      <c r="K4307" s="6" t="n">
        <f aca="false">Sens!K4300+Sens!K4303+Sens!K4304+Sens!K4305</f>
        <v>392.58912904555</v>
      </c>
    </row>
    <row r="4308" customFormat="false" ht="17.15" hidden="false" customHeight="false" outlineLevel="0" collapsed="false">
      <c r="A4308" s="0" t="s">
        <v>1112</v>
      </c>
      <c r="B4308" s="0" t="s">
        <v>98</v>
      </c>
      <c r="F4308" s="6" t="n">
        <f aca="false">Sens!F4216</f>
        <v>204.898187805744</v>
      </c>
      <c r="G4308" s="6" t="n">
        <f aca="false">Sens!G4216</f>
        <v>230.333370778858</v>
      </c>
      <c r="H4308" s="6" t="n">
        <f aca="false">Sens!H4216</f>
        <v>236.167204877415</v>
      </c>
      <c r="I4308" s="6" t="n">
        <f aca="false">Sens!I4216</f>
        <v>196.036470187933</v>
      </c>
      <c r="J4308" s="6" t="n">
        <f aca="false">Sens!J4216</f>
        <v>144.960436247008</v>
      </c>
      <c r="K4308" s="6" t="n">
        <f aca="false">Sens!K4216</f>
        <v>123.808925386415</v>
      </c>
    </row>
    <row r="4309" customFormat="false" ht="17.15" hidden="false" customHeight="false" outlineLevel="0" collapsed="false">
      <c r="A4309" s="1" t="s">
        <v>1113</v>
      </c>
      <c r="B4309" s="0" t="s">
        <v>98</v>
      </c>
      <c r="E4309" s="6" t="n">
        <f aca="false">Sens!E4224*cx_azo+Sens!E4231*cx_m365+Sens!E4232*cx_lic+(Sens!E4234+Sens!E4236)*cx_ind+Sens!E4239*cx_srch+(Sens!E4241+Sens!E4243)*cx_dev</f>
        <v>30.1846587067718</v>
      </c>
      <c r="F4309" s="6" t="n">
        <f aca="false">Sens!F4224*cx_azo+Sens!F4231*cx_m365+Sens!F4232*cx_lic+(Sens!F4234+Sens!F4236)*cx_ind+Sens!F4239*cx_srch+(Sens!F4241+Sens!F4243)*cx_dev</f>
        <v>35.6816491718663</v>
      </c>
      <c r="G4309" s="6" t="n">
        <f aca="false">Sens!G4224*cx_azo+Sens!G4231*cx_m365+Sens!G4232*cx_lic+(Sens!G4234+Sens!G4236)*cx_ind+Sens!G4239*cx_srch+(Sens!G4241+Sens!G4243)*cx_dev</f>
        <v>41.0094418240158</v>
      </c>
      <c r="H4309" s="6" t="n">
        <f aca="false">Sens!H4224*cx_azo+Sens!H4231*cx_m365+Sens!H4232*cx_lic+(Sens!H4234+Sens!H4236)*cx_ind+Sens!H4239*cx_srch+(Sens!H4241+Sens!H4243)*cx_dev</f>
        <v>46.4232322628469</v>
      </c>
      <c r="I4309" s="6" t="n">
        <f aca="false">Sens!I4224*cx_azo+Sens!I4231*cx_m365+Sens!I4232*cx_lic+(Sens!I4234+Sens!I4236)*cx_ind+Sens!I4239*cx_srch+(Sens!I4241+Sens!I4243)*cx_dev</f>
        <v>51.6383515370258</v>
      </c>
      <c r="J4309" s="6" t="n">
        <f aca="false">Sens!J4224*cx_azo+Sens!J4231*cx_m365+Sens!J4232*cx_lic+(Sens!J4234+Sens!J4236)*cx_ind+Sens!J4239*cx_srch+(Sens!J4241+Sens!J4243)*cx_dev</f>
        <v>56.4189138887106</v>
      </c>
      <c r="K4309" s="6" t="n">
        <f aca="false">Sens!K4224*cx_azo+Sens!K4231*cx_m365+Sens!K4232*cx_lic+(Sens!K4234+Sens!K4236)*cx_ind+Sens!K4239*cx_srch+(Sens!K4241+Sens!K4243)*cx_dev</f>
        <v>60.5962184803432</v>
      </c>
    </row>
    <row r="4310" customFormat="false" ht="17.15" hidden="false" customHeight="false" outlineLevel="0" collapsed="false">
      <c r="A4310" s="0" t="s">
        <v>1114</v>
      </c>
      <c r="B4310" s="0" t="s">
        <v>98</v>
      </c>
      <c r="F4310" s="6" t="n">
        <f aca="false">Sens!F4214</f>
        <v>0</v>
      </c>
      <c r="L4310" s="1" t="s">
        <v>1115</v>
      </c>
    </row>
    <row r="4311" customFormat="false" ht="17.15" hidden="false" customHeight="false" outlineLevel="0" collapsed="false">
      <c r="A4311" s="1" t="s">
        <v>1116</v>
      </c>
      <c r="B4311" s="0" t="s">
        <v>98</v>
      </c>
      <c r="E4311" s="6" t="n">
        <f aca="false">Q!M43</f>
        <v>145.3</v>
      </c>
      <c r="F4311" s="6" t="n">
        <f aca="false">Sens!F4308+Sens!F4309+Sens!F4310</f>
        <v>240.57983697761</v>
      </c>
      <c r="G4311" s="6" t="n">
        <f aca="false">Sens!G4308+Sens!G4309</f>
        <v>271.342812602873</v>
      </c>
      <c r="H4311" s="6" t="n">
        <f aca="false">Sens!H4308+Sens!H4309</f>
        <v>282.590437140262</v>
      </c>
      <c r="I4311" s="6" t="n">
        <f aca="false">Sens!I4308+Sens!I4309</f>
        <v>247.674821724958</v>
      </c>
      <c r="J4311" s="6" t="n">
        <f aca="false">Sens!J4308+Sens!J4309</f>
        <v>201.379350135719</v>
      </c>
      <c r="K4311" s="6" t="n">
        <f aca="false">Sens!K4308+Sens!K4309</f>
        <v>184.405143866759</v>
      </c>
      <c r="L4311" s="1" t="s">
        <v>1117</v>
      </c>
    </row>
    <row r="4312" customFormat="false" ht="15" hidden="false" customHeight="false" outlineLevel="0" collapsed="false">
      <c r="A4312" s="1" t="s">
        <v>1118</v>
      </c>
      <c r="B4312" s="0" t="s">
        <v>98</v>
      </c>
      <c r="E4312" s="6" t="n">
        <f aca="false">fl_liab</f>
        <v>66.594</v>
      </c>
      <c r="F4312" s="6" t="n">
        <f aca="false">Sens!E4312-Sens!F4313</f>
        <v>62.46973</v>
      </c>
      <c r="G4312" s="6" t="n">
        <f aca="false">Sens!F4312-Sens!G4313</f>
        <v>57.98686785</v>
      </c>
      <c r="H4312" s="6" t="n">
        <f aca="false">Sens!G4312-Sens!H4313</f>
        <v>53.92827690325</v>
      </c>
      <c r="I4312" s="6" t="n">
        <f aca="false">Sens!H4312-Sens!I4313</f>
        <v>49.7850493638962</v>
      </c>
      <c r="J4312" s="6" t="n">
        <f aca="false">Sens!I4312-Sens!J4313</f>
        <v>45.4823765852716</v>
      </c>
      <c r="K4312" s="6" t="n">
        <f aca="false">Sens!J4312-Sens!K4313</f>
        <v>40.9860835316088</v>
      </c>
    </row>
    <row r="4313" customFormat="false" ht="15" hidden="false" customHeight="false" outlineLevel="0" collapsed="false">
      <c r="A4313" s="1" t="s">
        <v>1119</v>
      </c>
      <c r="B4313" s="0" t="s">
        <v>98</v>
      </c>
      <c r="F4313" s="6" t="n">
        <f aca="false">fl_pay_27-Sens!E4312*fl_rate</f>
        <v>4.12427</v>
      </c>
      <c r="G4313" s="6" t="n">
        <f aca="false">fl_pay_28-Sens!F4312*fl_rate</f>
        <v>4.48286215</v>
      </c>
      <c r="H4313" s="6" t="n">
        <f aca="false">fl_pay_29-Sens!G4312*fl_rate</f>
        <v>4.05859094675</v>
      </c>
      <c r="I4313" s="6" t="n">
        <f aca="false">fl_pay_30-Sens!H4312*fl_rate</f>
        <v>4.14322753935375</v>
      </c>
      <c r="J4313" s="6" t="n">
        <f aca="false">fl_pay_31-Sens!I4312*fl_rate</f>
        <v>4.30267277862467</v>
      </c>
      <c r="K4313" s="6" t="n">
        <f aca="false">fl_pay_32-Sens!J4312*fl_rate</f>
        <v>4.49629305366278</v>
      </c>
    </row>
    <row r="4314" customFormat="false" ht="17.15" hidden="false" customHeight="false" outlineLevel="0" collapsed="false">
      <c r="A4314" s="1" t="s">
        <v>1120</v>
      </c>
      <c r="B4314" s="0" t="s">
        <v>98</v>
      </c>
      <c r="E4314" s="6" t="n">
        <f aca="false">Q!M35-Q!M36-Q!M44</f>
        <v>63.886</v>
      </c>
      <c r="F4314" s="6" t="n">
        <f aca="false">Sens!F4307-Sens!F4311-Sens!F4313</f>
        <v>-26.1112074539345</v>
      </c>
      <c r="G4314" s="6" t="n">
        <f aca="false">Sens!G4307-Sens!G4311-Sens!G4313</f>
        <v>-22.9842428724468</v>
      </c>
      <c r="H4314" s="6" t="n">
        <f aca="false">Sens!H4307-Sens!H4311-Sens!H4313</f>
        <v>3.77242444098531</v>
      </c>
      <c r="I4314" s="6" t="n">
        <f aca="false">Sens!I4307-Sens!I4311-Sens!I4313</f>
        <v>79.8475069887167</v>
      </c>
      <c r="J4314" s="6" t="n">
        <f aca="false">Sens!J4307-Sens!J4311-Sens!J4313</f>
        <v>159.905750645888</v>
      </c>
      <c r="K4314" s="6" t="n">
        <f aca="false">Sens!K4307-Sens!K4311-Sens!K4313</f>
        <v>203.687692125128</v>
      </c>
      <c r="L4314" s="12" t="s">
        <v>1121</v>
      </c>
    </row>
    <row r="4315" customFormat="false" ht="15" hidden="false" customHeight="false" outlineLevel="0" collapsed="false">
      <c r="A4315" s="1" t="s">
        <v>1122</v>
      </c>
      <c r="B4315" s="0" t="s">
        <v>75</v>
      </c>
      <c r="F4315" s="8" t="n">
        <f aca="false">dps_27</f>
        <v>3.85</v>
      </c>
      <c r="G4315" s="8" t="n">
        <f aca="false">Sens!F4315*(1+dps_g)</f>
        <v>4.158</v>
      </c>
      <c r="H4315" s="8" t="n">
        <f aca="false">Sens!G4315*(1+dps_g)</f>
        <v>4.49064</v>
      </c>
      <c r="I4315" s="8" t="n">
        <f aca="false">Sens!H4315*(1+dps_g)</f>
        <v>4.8498912</v>
      </c>
      <c r="J4315" s="8" t="n">
        <f aca="false">Sens!I4315*(1+dps_g)</f>
        <v>5.237882496</v>
      </c>
      <c r="K4315" s="8" t="n">
        <f aca="false">Sens!J4315*(1+dps_g)</f>
        <v>5.65691309568</v>
      </c>
    </row>
    <row r="4316" customFormat="false" ht="17.15" hidden="false" customHeight="false" outlineLevel="0" collapsed="false">
      <c r="A4316" s="1" t="s">
        <v>1123</v>
      </c>
      <c r="B4316" s="0" t="s">
        <v>98</v>
      </c>
      <c r="E4316" s="6" t="n">
        <f aca="false">Q!M41</f>
        <v>26.445</v>
      </c>
      <c r="F4316" s="6" t="n">
        <f aca="false">Sens!F4315*Sens!E4325</f>
        <v>28.59395</v>
      </c>
      <c r="G4316" s="6" t="n">
        <f aca="false">Sens!G4315*Sens!F4325</f>
        <v>31.068576</v>
      </c>
      <c r="H4316" s="6" t="n">
        <f aca="false">Sens!H4315*Sens!G4325</f>
        <v>33.75614088</v>
      </c>
      <c r="I4316" s="6" t="n">
        <f aca="false">Sens!I4315*Sens!H4325</f>
        <v>36.6748772544</v>
      </c>
      <c r="J4316" s="6" t="n">
        <f aca="false">Sens!J4315*Sens!I4325</f>
        <v>39.6767653201446</v>
      </c>
      <c r="K4316" s="6" t="n">
        <f aca="false">Sens!K4315*Sens!J4325</f>
        <v>42.9376608081345</v>
      </c>
      <c r="L4316" s="1" t="s">
        <v>1124</v>
      </c>
    </row>
    <row r="4317" customFormat="false" ht="15" hidden="false" customHeight="false" outlineLevel="0" collapsed="false">
      <c r="A4317" s="1" t="s">
        <v>1125</v>
      </c>
      <c r="B4317" s="0" t="s">
        <v>98</v>
      </c>
      <c r="E4317" s="6" t="n">
        <f aca="false">Sens!E4314-Sens!E4316</f>
        <v>37.441</v>
      </c>
      <c r="F4317" s="6" t="n">
        <f aca="false">Sens!F4314-Sens!F4316</f>
        <v>-54.7051574539345</v>
      </c>
      <c r="G4317" s="6" t="n">
        <f aca="false">Sens!G4314-Sens!G4316</f>
        <v>-54.0528188724468</v>
      </c>
      <c r="H4317" s="6" t="n">
        <f aca="false">Sens!H4314-Sens!H4316</f>
        <v>-29.9837164390147</v>
      </c>
      <c r="I4317" s="6" t="n">
        <f aca="false">Sens!I4314-Sens!I4316</f>
        <v>43.1726297343167</v>
      </c>
      <c r="J4317" s="6" t="n">
        <f aca="false">Sens!J4314-Sens!J4316</f>
        <v>120.228985325743</v>
      </c>
      <c r="K4317" s="6" t="n">
        <f aca="false">Sens!K4314-Sens!K4316</f>
        <v>160.750031316994</v>
      </c>
    </row>
    <row r="4318" customFormat="false" ht="15" hidden="false" customHeight="false" outlineLevel="0" collapsed="false">
      <c r="A4318" s="1" t="s">
        <v>1126</v>
      </c>
      <c r="B4318" s="0" t="s">
        <v>98</v>
      </c>
      <c r="F4318" s="6" t="n">
        <f aca="false">debt_mat_27</f>
        <v>9.25</v>
      </c>
      <c r="G4318" s="6" t="n">
        <f aca="false">debt_mat_28</f>
        <v>0</v>
      </c>
      <c r="H4318" s="6" t="n">
        <f aca="false">debt_mat_29</f>
        <v>2.001</v>
      </c>
      <c r="I4318" s="6" t="n">
        <f aca="false">debt_mat_30</f>
        <v>0</v>
      </c>
      <c r="J4318" s="6" t="n">
        <f aca="false">debt_mat_31</f>
        <v>0.5</v>
      </c>
      <c r="K4318" s="6" t="n">
        <f aca="false">debt_mat_32</f>
        <v>0</v>
      </c>
    </row>
    <row r="4319" customFormat="false" ht="15" hidden="false" customHeight="false" outlineLevel="0" collapsed="false">
      <c r="A4319" s="1" t="s">
        <v>1127</v>
      </c>
      <c r="B4319" s="0" t="s">
        <v>98</v>
      </c>
      <c r="E4319" s="6" t="n">
        <f aca="false">Q!M40</f>
        <v>22.271</v>
      </c>
      <c r="F4319" s="6" t="n">
        <f aca="false">MAX(0,MIN(bb_target,Sens!E4321+Sens!F4317-Sens!F4318-min_cash))</f>
        <v>0</v>
      </c>
      <c r="G4319" s="6" t="n">
        <f aca="false">MAX(0,MIN(bb_target,Sens!F4321+Sens!G4317-Sens!G4318-min_cash))</f>
        <v>0</v>
      </c>
      <c r="H4319" s="6" t="n">
        <f aca="false">MAX(0,MIN(bb_target,Sens!G4321+Sens!H4317-Sens!H4318-min_cash))</f>
        <v>0</v>
      </c>
      <c r="I4319" s="6" t="n">
        <f aca="false">MAX(0,MIN(bb_target,Sens!H4321+Sens!I4317-Sens!I4318-min_cash))</f>
        <v>22.271</v>
      </c>
      <c r="J4319" s="6" t="n">
        <f aca="false">MAX(0,MIN(bb_target,Sens!I4321+Sens!J4317-Sens!J4318-min_cash))</f>
        <v>22.271</v>
      </c>
      <c r="K4319" s="6" t="n">
        <f aca="false">MAX(0,MIN(bb_target,Sens!J4321+Sens!K4317-Sens!K4318-min_cash))</f>
        <v>22.271</v>
      </c>
    </row>
    <row r="4320" customFormat="false" ht="15" hidden="false" customHeight="false" outlineLevel="0" collapsed="false">
      <c r="A4320" s="1" t="s">
        <v>1128</v>
      </c>
      <c r="B4320" s="0" t="s">
        <v>98</v>
      </c>
      <c r="F4320" s="6" t="n">
        <f aca="false">MAX(0,min_cash-(Sens!E4321+Sens!F4317-Sens!F4318-Sens!F4319))</f>
        <v>37.1121574539345</v>
      </c>
      <c r="G4320" s="6" t="n">
        <f aca="false">MAX(0,min_cash-(Sens!F4321+Sens!G4317-Sens!G4318-Sens!G4319))</f>
        <v>54.0528188724468</v>
      </c>
      <c r="H4320" s="6" t="n">
        <f aca="false">MAX(0,min_cash-(Sens!G4321+Sens!H4317-Sens!H4318-Sens!H4319))</f>
        <v>31.9847164390147</v>
      </c>
      <c r="I4320" s="6" t="n">
        <f aca="false">MAX(0,min_cash-(Sens!H4321+Sens!I4317-Sens!I4318-Sens!I4319))</f>
        <v>0</v>
      </c>
      <c r="J4320" s="6" t="n">
        <f aca="false">MAX(0,min_cash-(Sens!I4321+Sens!J4317-Sens!J4318-Sens!J4319))</f>
        <v>0</v>
      </c>
      <c r="K4320" s="6" t="n">
        <f aca="false">MAX(0,min_cash-(Sens!J4321+Sens!K4317-Sens!K4318-Sens!K4319))</f>
        <v>0</v>
      </c>
    </row>
    <row r="4321" customFormat="false" ht="15" hidden="false" customHeight="false" outlineLevel="0" collapsed="false">
      <c r="A4321" s="1" t="s">
        <v>1129</v>
      </c>
      <c r="B4321" s="0" t="s">
        <v>98</v>
      </c>
      <c r="E4321" s="6" t="n">
        <f aca="false">cash_open</f>
        <v>76.843</v>
      </c>
      <c r="F4321" s="6" t="n">
        <f aca="false">Sens!E4321+Sens!F4317-Sens!F4318-Sens!F4319+Sens!F4320</f>
        <v>50</v>
      </c>
      <c r="G4321" s="6" t="n">
        <f aca="false">Sens!F4321+Sens!G4317-Sens!G4318-Sens!G4319+Sens!G4320</f>
        <v>50</v>
      </c>
      <c r="H4321" s="6" t="n">
        <f aca="false">Sens!G4321+Sens!H4317-Sens!H4318-Sens!H4319+Sens!H4320</f>
        <v>50</v>
      </c>
      <c r="I4321" s="6" t="n">
        <f aca="false">Sens!H4321+Sens!I4317-Sens!I4318-Sens!I4319+Sens!I4320</f>
        <v>70.9016297343167</v>
      </c>
      <c r="J4321" s="6" t="n">
        <f aca="false">Sens!I4321+Sens!J4317-Sens!J4318-Sens!J4319+Sens!J4320</f>
        <v>168.35961506006</v>
      </c>
      <c r="K4321" s="6" t="n">
        <f aca="false">Sens!J4321+Sens!K4317-Sens!K4318-Sens!K4319+Sens!K4320</f>
        <v>306.838646377054</v>
      </c>
    </row>
    <row r="4322" customFormat="false" ht="15" hidden="false" customHeight="false" outlineLevel="0" collapsed="false">
      <c r="A4322" s="1" t="s">
        <v>1130</v>
      </c>
      <c r="B4322" s="0" t="s">
        <v>98</v>
      </c>
      <c r="E4322" s="6" t="n">
        <f aca="false">debt_face</f>
        <v>46.136</v>
      </c>
      <c r="F4322" s="6" t="n">
        <f aca="false">Sens!E4322-Sens!F4318+Sens!F4320</f>
        <v>73.9981574539345</v>
      </c>
      <c r="G4322" s="6" t="n">
        <f aca="false">Sens!F4322-Sens!G4318+Sens!G4320</f>
        <v>128.050976326381</v>
      </c>
      <c r="H4322" s="6" t="n">
        <f aca="false">Sens!G4322-Sens!H4318+Sens!H4320</f>
        <v>158.034692765396</v>
      </c>
      <c r="I4322" s="6" t="n">
        <f aca="false">Sens!H4322-Sens!I4318+Sens!I4320</f>
        <v>158.034692765396</v>
      </c>
      <c r="J4322" s="6" t="n">
        <f aca="false">Sens!I4322-Sens!J4318+Sens!J4320</f>
        <v>157.534692765396</v>
      </c>
      <c r="K4322" s="6" t="n">
        <f aca="false">Sens!J4322-Sens!K4318+Sens!K4320</f>
        <v>157.534692765396</v>
      </c>
    </row>
    <row r="4323" customFormat="false" ht="15" hidden="false" customHeight="false" outlineLevel="0" collapsed="false">
      <c r="A4323" s="1" t="s">
        <v>1131</v>
      </c>
      <c r="B4323" s="0" t="s">
        <v>98</v>
      </c>
      <c r="E4323" s="6" t="n">
        <f aca="false">Sens!E4321-Sens!E4322</f>
        <v>30.707</v>
      </c>
      <c r="F4323" s="6" t="n">
        <f aca="false">Sens!F4321-Sens!F4322</f>
        <v>-23.9981574539345</v>
      </c>
      <c r="G4323" s="6" t="n">
        <f aca="false">Sens!G4321-Sens!G4322</f>
        <v>-78.0509763263814</v>
      </c>
      <c r="H4323" s="6" t="n">
        <f aca="false">Sens!H4321-Sens!H4322</f>
        <v>-108.034692765396</v>
      </c>
      <c r="I4323" s="6" t="n">
        <f aca="false">Sens!I4321-Sens!I4322</f>
        <v>-87.1330630310794</v>
      </c>
      <c r="J4323" s="6" t="n">
        <f aca="false">Sens!J4321-Sens!J4322</f>
        <v>10.8249222946637</v>
      </c>
      <c r="K4323" s="6" t="n">
        <f aca="false">Sens!K4321-Sens!K4322</f>
        <v>149.303953611658</v>
      </c>
    </row>
    <row r="4324" customFormat="false" ht="15" hidden="false" customHeight="false" outlineLevel="0" collapsed="false">
      <c r="A4324" s="1" t="s">
        <v>1132</v>
      </c>
      <c r="B4324" s="0" t="s">
        <v>75</v>
      </c>
      <c r="F4324" s="30" t="n">
        <f aca="false">px*(1+bb_g)^(Sens!F4182-base_fy-mid_yr)</f>
        <v>551.84177959629</v>
      </c>
      <c r="G4324" s="30" t="n">
        <f aca="false">px*(1+bb_g)^(Sens!G4182-base_fy-mid_yr)</f>
        <v>595.989121963993</v>
      </c>
      <c r="H4324" s="30" t="n">
        <f aca="false">px*(1+bb_g)^(Sens!H4182-base_fy-mid_yr)</f>
        <v>643.668251721112</v>
      </c>
      <c r="I4324" s="30" t="n">
        <f aca="false">px*(1+bb_g)^(Sens!I4182-base_fy-mid_yr)</f>
        <v>695.161711858801</v>
      </c>
      <c r="J4324" s="30" t="n">
        <f aca="false">px*(1+bb_g)^(Sens!J4182-base_fy-mid_yr)</f>
        <v>750.774648807506</v>
      </c>
      <c r="K4324" s="30" t="n">
        <f aca="false">px*(1+bb_g)^(Sens!K4182-base_fy-mid_yr)</f>
        <v>810.836620712106</v>
      </c>
    </row>
    <row r="4325" customFormat="false" ht="15" hidden="false" customHeight="false" outlineLevel="0" collapsed="false">
      <c r="A4325" s="1" t="s">
        <v>1133</v>
      </c>
      <c r="B4325" s="1" t="s">
        <v>81</v>
      </c>
      <c r="E4325" s="15" t="n">
        <f aca="false">sh_out26</f>
        <v>7.427</v>
      </c>
      <c r="F4325" s="15" t="n">
        <f aca="false">Sens!E4325+sh_iss-Sens!F4319/Sens!F4324</f>
        <v>7.472</v>
      </c>
      <c r="G4325" s="15" t="n">
        <f aca="false">Sens!F4325+sh_iss-Sens!G4319/Sens!G4324</f>
        <v>7.517</v>
      </c>
      <c r="H4325" s="15" t="n">
        <f aca="false">Sens!G4325+sh_iss-Sens!H4319/Sens!H4324</f>
        <v>7.562</v>
      </c>
      <c r="I4325" s="15" t="n">
        <f aca="false">Sens!H4325+sh_iss-Sens!I4319/Sens!I4324</f>
        <v>7.57496285005334</v>
      </c>
      <c r="J4325" s="15" t="n">
        <f aca="false">Sens!I4325+sh_iss-Sens!J4319/Sens!J4324</f>
        <v>7.59029882232494</v>
      </c>
      <c r="K4325" s="15" t="n">
        <f aca="false">Sens!J4325+sh_iss-Sens!K4319/Sens!K4324</f>
        <v>7.60783212998384</v>
      </c>
    </row>
    <row r="4326" customFormat="false" ht="15" hidden="false" customHeight="false" outlineLevel="0" collapsed="false">
      <c r="A4326" s="1" t="s">
        <v>1134</v>
      </c>
      <c r="B4326" s="1" t="s">
        <v>81</v>
      </c>
      <c r="E4326" s="15" t="n">
        <f aca="false">sh_dil26</f>
        <v>7.453</v>
      </c>
      <c r="F4326" s="15" t="n">
        <f aca="false">(Sens!E4325+Sens!F4325)/2+dil_gap</f>
        <v>7.4735</v>
      </c>
      <c r="G4326" s="15" t="n">
        <f aca="false">(Sens!F4325+Sens!G4325)/2+dil_gap</f>
        <v>7.5185</v>
      </c>
      <c r="H4326" s="15" t="n">
        <f aca="false">(Sens!G4325+Sens!H4325)/2+dil_gap</f>
        <v>7.5635</v>
      </c>
      <c r="I4326" s="15" t="n">
        <f aca="false">(Sens!H4325+Sens!I4325)/2+dil_gap</f>
        <v>7.59248142502667</v>
      </c>
      <c r="J4326" s="15" t="n">
        <f aca="false">(Sens!I4325+Sens!J4325)/2+dil_gap</f>
        <v>7.60663083618914</v>
      </c>
      <c r="K4326" s="15" t="n">
        <f aca="false">(Sens!J4325+Sens!K4325)/2+dil_gap</f>
        <v>7.62306547615439</v>
      </c>
    </row>
    <row r="4327" customFormat="false" ht="17.15" hidden="false" customHeight="false" outlineLevel="0" collapsed="false">
      <c r="A4327" s="1" t="s">
        <v>1135</v>
      </c>
      <c r="B4327" s="0" t="s">
        <v>98</v>
      </c>
      <c r="C4327" s="6" t="n">
        <f aca="false">SUM(Sens!F4317:J4317)</f>
        <v>24.6599222946637</v>
      </c>
    </row>
    <row r="4328" customFormat="false" ht="15" hidden="false" customHeight="false" outlineLevel="0" collapsed="false">
      <c r="A4328" s="26" t="s">
        <v>1100</v>
      </c>
      <c r="B4328" s="31" t="s">
        <v>98</v>
      </c>
      <c r="C4328" s="27" t="n">
        <f aca="false">Sens!$C$4327-(Sens!F4317+Sens!G4317+Sens!H4317+Sens!I4317+Sens!J4317)</f>
        <v>0</v>
      </c>
      <c r="D4328" s="31"/>
      <c r="E4328" s="31"/>
      <c r="F4328" s="31"/>
      <c r="G4328" s="31"/>
      <c r="H4328" s="31"/>
      <c r="I4328" s="31"/>
      <c r="J4328" s="31"/>
      <c r="K4328" s="31"/>
    </row>
    <row r="4329" customFormat="false" ht="17.15" hidden="false" customHeight="false" outlineLevel="0" collapsed="false">
      <c r="A4329" s="1" t="s">
        <v>1094</v>
      </c>
      <c r="B4329" s="1" t="s">
        <v>1136</v>
      </c>
      <c r="C4329" s="33" t="str">
        <f aca="false">IF(SUM(Sens!F4320:J4320)&gt;0.05,"需要舉債 "&amp;TEXT(SUM(Sens!F4320:J4320),"0.0")&amp;" 十億美元","不需舉債")&amp;"；"&amp;IF(SUM(Sens!F4319:J4319)&lt;COUNT(Sens!F4319:J4319)*bb_target-0.05,"回購較每年 "&amp;TEXT(bb_target,"0.0")&amp;" 的目標少 "&amp;TEXT(COUNT(Sens!F4319:J4319)*bb_target-SUM(Sens!F4319:J4319),"0.0")&amp;" 十億美元（"&amp;TEXT(COUNTIF(Sens!F4319:J4319,"&lt;"&amp;(bb_target-0.05)),"0")&amp;" 年減少）","回購不減")</f>
        <v>需要舉債 123.1 十億美元；回購較每年 22.3 的目標少 66.8 十億美元（3 年減少）</v>
      </c>
    </row>
    <row r="4330" customFormat="false" ht="17.15" hidden="false" customHeight="false" outlineLevel="0" collapsed="false">
      <c r="A4330" s="3" t="s">
        <v>1719</v>
      </c>
    </row>
    <row r="4331" customFormat="false" ht="15" hidden="false" customHeight="false" outlineLevel="0" collapsed="false">
      <c r="A4331" s="4" t="s">
        <v>43</v>
      </c>
      <c r="B4331" s="4" t="s">
        <v>65</v>
      </c>
      <c r="C4331" s="23" t="s">
        <v>942</v>
      </c>
      <c r="D4331" s="23" t="s">
        <v>943</v>
      </c>
      <c r="E4331" s="23" t="s">
        <v>944</v>
      </c>
      <c r="F4331" s="23" t="s">
        <v>945</v>
      </c>
      <c r="G4331" s="23" t="s">
        <v>946</v>
      </c>
      <c r="H4331" s="23" t="s">
        <v>947</v>
      </c>
      <c r="I4331" s="23" t="s">
        <v>948</v>
      </c>
      <c r="J4331" s="23" t="s">
        <v>949</v>
      </c>
      <c r="K4331" s="23" t="s">
        <v>950</v>
      </c>
      <c r="L4331" s="4" t="s">
        <v>47</v>
      </c>
    </row>
    <row r="4332" customFormat="false" ht="17.15" hidden="false" customHeight="false" outlineLevel="0" collapsed="false">
      <c r="A4332" s="1" t="s">
        <v>1216</v>
      </c>
      <c r="B4332" s="1" t="s">
        <v>279</v>
      </c>
      <c r="F4332" s="8" t="n">
        <f aca="false">(1-v_off)*mid_yr</f>
        <v>0.373972602739726</v>
      </c>
      <c r="G4332" s="8" t="n">
        <f aca="false">Sens!G4182-base_fy-mid_yr-v_off</f>
        <v>1.24794520547945</v>
      </c>
      <c r="H4332" s="8" t="n">
        <f aca="false">Sens!H4182-base_fy-mid_yr-v_off</f>
        <v>2.24794520547945</v>
      </c>
      <c r="I4332" s="8" t="n">
        <f aca="false">Sens!I4182-base_fy-mid_yr-v_off</f>
        <v>3.24794520547945</v>
      </c>
      <c r="J4332" s="8" t="n">
        <f aca="false">Sens!J4182-base_fy-mid_yr-v_off</f>
        <v>4.24794520547945</v>
      </c>
      <c r="K4332" s="8" t="n">
        <f aca="false">Sens!K4182-base_fy-mid_yr-v_off</f>
        <v>5.24794520547945</v>
      </c>
      <c r="L4332" s="12" t="s">
        <v>1217</v>
      </c>
    </row>
    <row r="4333" customFormat="false" ht="15" hidden="false" customHeight="false" outlineLevel="0" collapsed="false">
      <c r="A4333" s="1" t="s">
        <v>1218</v>
      </c>
      <c r="B4333" s="1" t="s">
        <v>279</v>
      </c>
      <c r="F4333" s="8" t="n">
        <f aca="false">Sens!F4182-base_fy-v_off</f>
        <v>0.747945205479452</v>
      </c>
      <c r="G4333" s="8" t="n">
        <f aca="false">Sens!G4182-base_fy-v_off</f>
        <v>1.74794520547945</v>
      </c>
      <c r="H4333" s="8" t="n">
        <f aca="false">Sens!H4182-base_fy-v_off</f>
        <v>2.74794520547945</v>
      </c>
      <c r="I4333" s="8" t="n">
        <f aca="false">Sens!I4182-base_fy-v_off</f>
        <v>3.74794520547945</v>
      </c>
      <c r="J4333" s="8" t="n">
        <f aca="false">Sens!J4182-base_fy-v_off</f>
        <v>4.74794520547945</v>
      </c>
      <c r="K4333" s="8" t="n">
        <f aca="false">Sens!K4182-base_fy-v_off</f>
        <v>5.74794520547945</v>
      </c>
    </row>
    <row r="4334" customFormat="false" ht="15" hidden="false" customHeight="false" outlineLevel="0" collapsed="false">
      <c r="A4334" s="1" t="s">
        <v>1219</v>
      </c>
      <c r="B4334" s="0" t="s">
        <v>229</v>
      </c>
      <c r="F4334" s="15" t="n">
        <f aca="false">1/(1+wacc)^Sens!F4332</f>
        <v>0.964022703286649</v>
      </c>
      <c r="G4334" s="15" t="n">
        <f aca="false">1/(1+wacc)^Sens!G4332</f>
        <v>0.884910302296739</v>
      </c>
      <c r="H4334" s="15" t="n">
        <f aca="false">1/(1+wacc)^Sens!H4332</f>
        <v>0.802322009770358</v>
      </c>
      <c r="I4334" s="15" t="n">
        <f aca="false">1/(1+wacc)^Sens!I4332</f>
        <v>0.727441646561469</v>
      </c>
      <c r="J4334" s="15" t="n">
        <f aca="false">1/(1+wacc)^Sens!J4332</f>
        <v>0.659549834988973</v>
      </c>
      <c r="K4334" s="15" t="n">
        <f aca="false">1/(1+wacc)^Sens!K4332</f>
        <v>0.597994336576966</v>
      </c>
    </row>
    <row r="4335" customFormat="false" ht="17.15" hidden="false" customHeight="false" outlineLevel="0" collapsed="false">
      <c r="A4335" s="1" t="s">
        <v>1220</v>
      </c>
      <c r="B4335" s="0" t="s">
        <v>98</v>
      </c>
      <c r="F4335" s="6" t="n">
        <f aca="false">Q!$I$35-Q!$I$39-Q!$I$43</f>
        <v>9.666</v>
      </c>
      <c r="L4335" s="12" t="s">
        <v>1221</v>
      </c>
    </row>
    <row r="4336" customFormat="false" ht="17.15" hidden="false" customHeight="false" outlineLevel="0" collapsed="false">
      <c r="A4336" s="1" t="s">
        <v>1222</v>
      </c>
      <c r="B4336" s="0" t="s">
        <v>98</v>
      </c>
      <c r="F4336" s="6" t="n">
        <f aca="false">Sens!F4307-Sens!F4304-Sens!F4311+Sens!F4289*(1-tax_f)*(1-v_off)-Sens!F4335</f>
        <v>-38.9977735767013</v>
      </c>
      <c r="G4336" s="6" t="n">
        <f aca="false">Sens!G4307-Sens!G4304-Sens!G4311+Sens!G4289*(1-tax_f)</f>
        <v>-8.91123335777</v>
      </c>
      <c r="H4336" s="6" t="n">
        <f aca="false">Sens!H4307-Sens!H4304-Sens!H4311+Sens!H4289*(1-tax_f)</f>
        <v>33.3163480598491</v>
      </c>
      <c r="I4336" s="6" t="n">
        <f aca="false">Sens!I4307-Sens!I4304-Sens!I4311+Sens!I4289*(1-tax_f)</f>
        <v>123.165479162019</v>
      </c>
      <c r="J4336" s="6" t="n">
        <f aca="false">Sens!J4307-Sens!J4304-Sens!J4311+Sens!J4289*(1-tax_f)</f>
        <v>212.469650852673</v>
      </c>
      <c r="K4336" s="6" t="n">
        <f aca="false">Sens!K4307-Sens!K4304-Sens!K4311+Sens!K4289*(1-tax_f)</f>
        <v>261.086775710847</v>
      </c>
      <c r="L4336" s="1" t="s">
        <v>1223</v>
      </c>
    </row>
    <row r="4337" customFormat="false" ht="15" hidden="false" customHeight="false" outlineLevel="0" collapsed="false">
      <c r="A4337" s="1" t="s">
        <v>1224</v>
      </c>
      <c r="B4337" s="0" t="s">
        <v>98</v>
      </c>
      <c r="F4337" s="6" t="n">
        <f aca="false">Sens!F4336*Sens!F4334</f>
        <v>-37.5947391055722</v>
      </c>
      <c r="G4337" s="6" t="n">
        <f aca="false">Sens!G4336*Sens!G4334</f>
        <v>-7.88564220446103</v>
      </c>
      <c r="H4337" s="6" t="n">
        <f aca="false">Sens!H4336*Sens!H4334</f>
        <v>26.7304393335869</v>
      </c>
      <c r="I4337" s="6" t="n">
        <f aca="false">Sens!I4336*Sens!I4334</f>
        <v>89.5956989611516</v>
      </c>
      <c r="J4337" s="6" t="n">
        <f aca="false">Sens!J4336*Sens!J4334</f>
        <v>140.134323160045</v>
      </c>
      <c r="K4337" s="6" t="n">
        <f aca="false">Sens!K4336*Sens!K4334</f>
        <v>156.128413230227</v>
      </c>
    </row>
    <row r="4338" customFormat="false" ht="17.15" hidden="false" customHeight="false" outlineLevel="0" collapsed="false">
      <c r="A4338" s="1" t="s">
        <v>1225</v>
      </c>
      <c r="B4338" s="0" t="s">
        <v>98</v>
      </c>
      <c r="C4338" s="6" t="n">
        <f aca="false">SUM(Sens!F4337:K4337)</f>
        <v>367.108493374978</v>
      </c>
    </row>
    <row r="4339" customFormat="false" ht="17.15" hidden="false" customHeight="false" outlineLevel="0" collapsed="false">
      <c r="A4339" s="1" t="s">
        <v>1226</v>
      </c>
      <c r="B4339" s="0" t="s">
        <v>98</v>
      </c>
      <c r="C4339" s="6" t="n">
        <f aca="false">Sens!K4275*(1+g_tv)*(1-tax_f)</f>
        <v>252.147645511977</v>
      </c>
    </row>
    <row r="4340" customFormat="false" ht="17.15" hidden="false" customHeight="false" outlineLevel="0" collapsed="false">
      <c r="A4340" s="1" t="s">
        <v>1227</v>
      </c>
      <c r="B4340" s="0" t="s">
        <v>98</v>
      </c>
      <c r="C4340" s="6" t="n">
        <f aca="false">Sens!$C$4339*(1-g_tv/(wacc+ronic_prem))</f>
        <v>178.661343936698</v>
      </c>
    </row>
    <row r="4341" customFormat="false" ht="17.15" hidden="false" customHeight="false" outlineLevel="0" collapsed="false">
      <c r="A4341" s="1" t="s">
        <v>1228</v>
      </c>
      <c r="B4341" s="0" t="s">
        <v>98</v>
      </c>
      <c r="C4341" s="6" t="n">
        <f aca="false">Sens!$C$4340/(wacc-g_tv)</f>
        <v>2449.54338584264</v>
      </c>
    </row>
    <row r="4342" customFormat="false" ht="15" hidden="false" customHeight="false" outlineLevel="0" collapsed="false">
      <c r="A4342" s="1" t="s">
        <v>1229</v>
      </c>
      <c r="B4342" s="0" t="s">
        <v>98</v>
      </c>
      <c r="C4342" s="6" t="n">
        <f aca="false">Sens!$C$4341/(1+wacc)^Sens!K4333</f>
        <v>1394.78392802743</v>
      </c>
    </row>
    <row r="4343" customFormat="false" ht="17.15" hidden="false" customHeight="false" outlineLevel="0" collapsed="false">
      <c r="A4343" s="0" t="s">
        <v>1230</v>
      </c>
      <c r="B4343" s="0" t="s">
        <v>98</v>
      </c>
      <c r="C4343" s="6" t="n">
        <f aca="false">Sens!$C$4338+Sens!$C$4342</f>
        <v>1761.89242140241</v>
      </c>
    </row>
    <row r="4344" customFormat="false" ht="15" hidden="false" customHeight="false" outlineLevel="0" collapsed="false">
      <c r="A4344" s="1" t="s">
        <v>1145</v>
      </c>
      <c r="B4344" s="0" t="s">
        <v>168</v>
      </c>
      <c r="C4344" s="7" t="n">
        <f aca="false">Sens!$C$4342/Sens!$C$4343</f>
        <v>0.791639666011633</v>
      </c>
    </row>
    <row r="4345" customFormat="false" ht="17.15" hidden="false" customHeight="false" outlineLevel="0" collapsed="false">
      <c r="A4345" s="1" t="s">
        <v>1231</v>
      </c>
      <c r="B4345" s="0" t="s">
        <v>98</v>
      </c>
      <c r="C4345" s="6" t="n">
        <f aca="false">Sens!$C$4343+cash_val-debt_val-fl_val+oai_v</f>
        <v>1877.74342140241</v>
      </c>
    </row>
    <row r="4346" customFormat="false" ht="17.15" hidden="false" customHeight="false" outlineLevel="0" collapsed="false">
      <c r="A4346" s="0" t="s">
        <v>1153</v>
      </c>
      <c r="B4346" s="0" t="s">
        <v>75</v>
      </c>
      <c r="C4346" s="5" t="n">
        <f aca="false">Sens!$C$4345/shd_val</f>
        <v>252.181496293635</v>
      </c>
    </row>
    <row r="4347" customFormat="false" ht="15" hidden="false" customHeight="false" outlineLevel="0" collapsed="false">
      <c r="A4347" s="1" t="s">
        <v>1232</v>
      </c>
      <c r="B4347" s="0" t="s">
        <v>75</v>
      </c>
      <c r="C4347" s="8" t="n">
        <f aca="false">div_rem27+Sens!G4315*roll_div_q/q_per_yr</f>
        <v>3.9795</v>
      </c>
    </row>
    <row r="4348" customFormat="false" ht="17.15" hidden="false" customHeight="false" outlineLevel="0" collapsed="false">
      <c r="A4348" s="0" t="s">
        <v>1233</v>
      </c>
      <c r="B4348" s="0" t="s">
        <v>75</v>
      </c>
      <c r="C4348" s="5" t="n">
        <f aca="false">Sens!$C$4346*(1+wacc)^t_roll-Sens!$C$4347</f>
        <v>276.334307567261</v>
      </c>
    </row>
    <row r="4349" customFormat="false" ht="17.15" hidden="false" customHeight="false" outlineLevel="0" collapsed="false">
      <c r="A4349" s="1" t="s">
        <v>1234</v>
      </c>
      <c r="B4349" s="0" t="s">
        <v>168</v>
      </c>
      <c r="F4349" s="7" t="n">
        <f aca="false">Sens!F4301/(Sens!F4246-Sens!F4201)</f>
        <v>0.0687799408538378</v>
      </c>
      <c r="G4349" s="7" t="n">
        <f aca="false">Sens!G4301/(Sens!G4246-Sens!G4201)</f>
        <v>0.0663833676732647</v>
      </c>
      <c r="H4349" s="7" t="n">
        <f aca="false">Sens!H4301/(Sens!H4246-Sens!H4201)</f>
        <v>0.065178733704947</v>
      </c>
      <c r="I4349" s="7" t="n">
        <f aca="false">Sens!I4301/(Sens!I4246-Sens!I4201)</f>
        <v>0.0650272886511415</v>
      </c>
      <c r="J4349" s="7" t="n">
        <f aca="false">Sens!J4301/(Sens!J4246-Sens!J4201)</f>
        <v>0.065718689602651</v>
      </c>
      <c r="K4349" s="7" t="n">
        <f aca="false">Sens!K4301/(Sens!K4246-Sens!K4201)</f>
        <v>0.0670193477695952</v>
      </c>
    </row>
    <row r="4350" customFormat="false" ht="17.15" hidden="false" customHeight="false" outlineLevel="0" collapsed="false">
      <c r="A4350" s="0" t="s">
        <v>1235</v>
      </c>
      <c r="B4350" s="0" t="s">
        <v>98</v>
      </c>
      <c r="F4350" s="6" t="n">
        <f aca="false">Sens!F4231*(al_m365+Sens!F4349+sbc_r)</f>
        <v>82.930564959902</v>
      </c>
      <c r="G4350" s="6" t="n">
        <f aca="false">Sens!G4231*(al_m365+Sens!G4349+sbc_r)</f>
        <v>93.3161003131012</v>
      </c>
      <c r="H4350" s="6" t="n">
        <f aca="false">Sens!H4231*(al_m365+Sens!H4349+sbc_r)</f>
        <v>103.862318050593</v>
      </c>
      <c r="I4350" s="6" t="n">
        <f aca="false">Sens!I4231*(al_m365+Sens!I4349+sbc_r)</f>
        <v>113.892716473881</v>
      </c>
      <c r="J4350" s="6" t="n">
        <f aca="false">Sens!J4231*(al_m365+Sens!J4349+sbc_r)</f>
        <v>123.21802591687</v>
      </c>
      <c r="K4350" s="6" t="n">
        <f aca="false">Sens!K4231*(al_m365+Sens!K4349+sbc_r)</f>
        <v>132.145296122853</v>
      </c>
      <c r="L4350" s="12" t="s">
        <v>1236</v>
      </c>
    </row>
    <row r="4351" customFormat="false" ht="17.15" hidden="false" customHeight="false" outlineLevel="0" collapsed="false">
      <c r="A4351" s="0" t="s">
        <v>1237</v>
      </c>
      <c r="B4351" s="0" t="s">
        <v>98</v>
      </c>
      <c r="F4351" s="6" t="n">
        <f aca="false">Sens!F4232*(al_lic+Sens!F4349+sbc_r)</f>
        <v>32.8639216959791</v>
      </c>
      <c r="G4351" s="6" t="n">
        <f aca="false">Sens!G4232*(al_lic+Sens!G4349+sbc_r)</f>
        <v>34.1596328573702</v>
      </c>
      <c r="H4351" s="6" t="n">
        <f aca="false">Sens!H4232*(al_lic+Sens!H4349+sbc_r)</f>
        <v>35.3653102744995</v>
      </c>
      <c r="I4351" s="6" t="n">
        <f aca="false">Sens!I4232*(al_lic+Sens!I4349+sbc_r)</f>
        <v>36.4612448462323</v>
      </c>
      <c r="J4351" s="6" t="n">
        <f aca="false">Sens!J4232*(al_lic+Sens!J4349+sbc_r)</f>
        <v>37.4244757610812</v>
      </c>
      <c r="K4351" s="6" t="n">
        <f aca="false">Sens!K4232*(al_lic+Sens!K4349+sbc_r)</f>
        <v>38.231164672383</v>
      </c>
    </row>
    <row r="4352" customFormat="false" ht="17.15" hidden="false" customHeight="false" outlineLevel="0" collapsed="false">
      <c r="A4352" s="0" t="s">
        <v>1238</v>
      </c>
      <c r="B4352" s="0" t="s">
        <v>98</v>
      </c>
      <c r="F4352" s="6" t="n">
        <f aca="false">Sens!F4234*(al_ind+Sens!F4349+sbc_r)</f>
        <v>9.0639959451007</v>
      </c>
      <c r="G4352" s="6" t="n">
        <f aca="false">Sens!G4234*(al_ind+Sens!G4349+sbc_r)</f>
        <v>9.84960798205568</v>
      </c>
      <c r="H4352" s="6" t="n">
        <f aca="false">Sens!H4234*(al_ind+Sens!H4349+sbc_r)</f>
        <v>10.6779487953472</v>
      </c>
      <c r="I4352" s="6" t="n">
        <f aca="false">Sens!I4234*(al_ind+Sens!I4349+sbc_r)</f>
        <v>11.5445185315184</v>
      </c>
      <c r="J4352" s="6" t="n">
        <f aca="false">Sens!J4234*(al_ind+Sens!J4349+sbc_r)</f>
        <v>12.4407118345883</v>
      </c>
      <c r="K4352" s="6" t="n">
        <f aca="false">Sens!K4234*(al_ind+Sens!K4349+sbc_r)</f>
        <v>13.3545131306281</v>
      </c>
    </row>
    <row r="4353" customFormat="false" ht="17.15" hidden="false" customHeight="false" outlineLevel="0" collapsed="false">
      <c r="A4353" s="0" t="s">
        <v>1239</v>
      </c>
      <c r="B4353" s="0" t="s">
        <v>98</v>
      </c>
      <c r="F4353" s="6" t="n">
        <f aca="false">Sens!F4236*(al_fro+Sens!F4349+sbc_r)</f>
        <v>3.5554333707202</v>
      </c>
      <c r="G4353" s="6" t="n">
        <f aca="false">Sens!G4236*(al_fro+Sens!G4349+sbc_r)</f>
        <v>3.76874868596942</v>
      </c>
      <c r="H4353" s="6" t="n">
        <f aca="false">Sens!H4236*(al_fro+Sens!H4349+sbc_r)</f>
        <v>4.01007093195405</v>
      </c>
      <c r="I4353" s="6" t="n">
        <f aca="false">Sens!I4236*(al_fro+Sens!I4349+sbc_r)</f>
        <v>4.28172312219781</v>
      </c>
      <c r="J4353" s="6" t="n">
        <f aca="false">Sens!J4236*(al_fro+Sens!J4349+sbc_r)</f>
        <v>4.58533579460631</v>
      </c>
      <c r="K4353" s="6" t="n">
        <f aca="false">Sens!K4236*(al_fro+Sens!K4349+sbc_r)</f>
        <v>4.92214013889142</v>
      </c>
    </row>
    <row r="4354" customFormat="false" ht="17.15" hidden="false" customHeight="false" outlineLevel="0" collapsed="false">
      <c r="A4354" s="0" t="s">
        <v>1240</v>
      </c>
      <c r="B4354" s="0" t="s">
        <v>98</v>
      </c>
      <c r="F4354" s="6" t="n">
        <f aca="false">Sens!F4239*(al_srch+Sens!F4349+sbc_r)</f>
        <v>11.1935100758634</v>
      </c>
      <c r="G4354" s="6" t="n">
        <f aca="false">Sens!G4239*(al_srch+Sens!G4349+sbc_r)</f>
        <v>12.2784646399381</v>
      </c>
      <c r="H4354" s="6" t="n">
        <f aca="false">Sens!H4239*(al_srch+Sens!H4349+sbc_r)</f>
        <v>13.4057666739508</v>
      </c>
      <c r="I4354" s="6" t="n">
        <f aca="false">Sens!I4239*(al_srch+Sens!I4349+sbc_r)</f>
        <v>14.5628205347792</v>
      </c>
      <c r="J4354" s="6" t="n">
        <f aca="false">Sens!J4239*(al_srch+Sens!J4349+sbc_r)</f>
        <v>15.730937545961</v>
      </c>
      <c r="K4354" s="6" t="n">
        <f aca="false">Sens!K4239*(al_srch+Sens!K4349+sbc_r)</f>
        <v>16.8864141222654</v>
      </c>
    </row>
    <row r="4355" customFormat="false" ht="17.15" hidden="false" customHeight="false" outlineLevel="0" collapsed="false">
      <c r="A4355" s="0" t="s">
        <v>1241</v>
      </c>
      <c r="B4355" s="0" t="s">
        <v>98</v>
      </c>
      <c r="F4355" s="6" t="n">
        <f aca="false">Sens!F4207-Sens!F4208+Sens!F4289</f>
        <v>42.9882596610588</v>
      </c>
      <c r="G4355" s="6" t="n">
        <f aca="false">Sens!G4207-Sens!G4208+Sens!G4289</f>
        <v>80.8490926579108</v>
      </c>
      <c r="H4355" s="6" t="n">
        <f aca="false">Sens!H4207-Sens!H4208+Sens!H4289</f>
        <v>114.702212919484</v>
      </c>
      <c r="I4355" s="6" t="n">
        <f aca="false">Sens!I4207-Sens!I4208+Sens!I4289</f>
        <v>151.800564515408</v>
      </c>
      <c r="J4355" s="6" t="n">
        <f aca="false">Sens!J4207-Sens!J4208+Sens!J4289</f>
        <v>177.542539932273</v>
      </c>
      <c r="K4355" s="6" t="n">
        <f aca="false">Sens!K4207-Sens!K4208+Sens!K4289</f>
        <v>192.950735318577</v>
      </c>
    </row>
    <row r="4356" customFormat="false" ht="17.15" hidden="false" customHeight="false" outlineLevel="0" collapsed="false">
      <c r="A4356" s="0" t="s">
        <v>1242</v>
      </c>
      <c r="B4356" s="0" t="s">
        <v>98</v>
      </c>
      <c r="F4356" s="6" t="n">
        <f aca="false">Sens!F4268+Sens!F4289+Sens!F4219+Sens!F4349*(Sens!F4238-Sens!F4201)+sbc_r*Sens!F4238</f>
        <v>238.977385221186</v>
      </c>
      <c r="G4356" s="6" t="n">
        <f aca="false">Sens!G4268+Sens!G4289+Sens!G4219+Sens!G4349*(Sens!G4238-Sens!G4201)+sbc_r*Sens!G4238</f>
        <v>296.663132868789</v>
      </c>
      <c r="H4356" s="6" t="n">
        <f aca="false">Sens!H4268+Sens!H4289+Sens!H4219+Sens!H4349*(Sens!H4238-Sens!H4201)+sbc_r*Sens!H4238</f>
        <v>356.005088524636</v>
      </c>
      <c r="I4356" s="6" t="n">
        <f aca="false">Sens!I4268+Sens!I4289+Sens!I4219+Sens!I4349*(Sens!I4238-Sens!I4201)+sbc_r*Sens!I4238</f>
        <v>417.972888977859</v>
      </c>
      <c r="J4356" s="6" t="n">
        <f aca="false">Sens!J4268+Sens!J4289+Sens!J4219+Sens!J4349*(Sens!J4238-Sens!J4201)+sbc_r*Sens!J4238</f>
        <v>466.605504849987</v>
      </c>
      <c r="K4356" s="6" t="n">
        <f aca="false">Sens!K4268+Sens!K4289+Sens!K4219+Sens!K4349*(Sens!K4238-Sens!K4201)+sbc_r*Sens!K4238</f>
        <v>502.513901984769</v>
      </c>
    </row>
    <row r="4357" customFormat="false" ht="17.15" hidden="false" customHeight="false" outlineLevel="0" collapsed="false">
      <c r="A4357" s="0" t="s">
        <v>1243</v>
      </c>
      <c r="B4357" s="0" t="s">
        <v>98</v>
      </c>
      <c r="F4357" s="6" t="n">
        <f aca="false">Sens!F4356-Sens!F4350-Sens!F4351-Sens!F4352-Sens!F4353-Sens!F4355</f>
        <v>67.5752095884254</v>
      </c>
      <c r="G4357" s="6" t="n">
        <f aca="false">Sens!G4356-Sens!G4350-Sens!G4351-Sens!G4352-Sens!G4353-Sens!G4355</f>
        <v>74.7199503723814</v>
      </c>
      <c r="H4357" s="6" t="n">
        <f aca="false">Sens!H4356-Sens!H4350-Sens!H4351-Sens!H4352-Sens!H4353-Sens!H4355</f>
        <v>87.3872275527585</v>
      </c>
      <c r="I4357" s="6" t="n">
        <f aca="false">Sens!I4356-Sens!I4350-Sens!I4351-Sens!I4352-Sens!I4353-Sens!I4355</f>
        <v>99.992121488622</v>
      </c>
      <c r="J4357" s="6" t="n">
        <f aca="false">Sens!J4356-Sens!J4350-Sens!J4351-Sens!J4352-Sens!J4353-Sens!J4355</f>
        <v>111.394415610568</v>
      </c>
      <c r="K4357" s="6" t="n">
        <f aca="false">Sens!K4356-Sens!K4350-Sens!K4351-Sens!K4352-Sens!K4353-Sens!K4355</f>
        <v>120.910052601437</v>
      </c>
    </row>
    <row r="4358" customFormat="false" ht="17.15" hidden="false" customHeight="false" outlineLevel="0" collapsed="false">
      <c r="A4358" s="0" t="s">
        <v>1244</v>
      </c>
      <c r="B4358" s="0" t="s">
        <v>98</v>
      </c>
      <c r="F4358" s="6" t="n">
        <f aca="false">Sens!F4270+Sens!F4349*Sens!F4245+sbc_r*Sens!F4245</f>
        <v>26.643949034751</v>
      </c>
      <c r="G4358" s="6" t="n">
        <f aca="false">Sens!G4270+Sens!G4349*Sens!G4245+sbc_r*Sens!G4245</f>
        <v>26.5085382824462</v>
      </c>
      <c r="H4358" s="6" t="n">
        <f aca="false">Sens!H4270+Sens!H4349*Sens!H4245+sbc_r*Sens!H4245</f>
        <v>27.4010201091437</v>
      </c>
      <c r="I4358" s="6" t="n">
        <f aca="false">Sens!I4270+Sens!I4349*Sens!I4245+sbc_r*Sens!I4245</f>
        <v>28.5189674781993</v>
      </c>
      <c r="J4358" s="6" t="n">
        <f aca="false">Sens!J4270+Sens!J4349*Sens!J4245+sbc_r*Sens!J4245</f>
        <v>29.8312072357801</v>
      </c>
      <c r="K4358" s="6" t="n">
        <f aca="false">Sens!K4270+Sens!K4349*Sens!K4245+sbc_r*Sens!K4245</f>
        <v>31.308628610836</v>
      </c>
    </row>
    <row r="4359" customFormat="false" ht="17.15" hidden="false" customHeight="false" outlineLevel="0" collapsed="false">
      <c r="A4359" s="0" t="s">
        <v>1245</v>
      </c>
      <c r="B4359" s="0" t="s">
        <v>98</v>
      </c>
      <c r="F4359" s="6" t="n">
        <f aca="false">(Sens!F4358-Sens!F4354)*Sens!F4241/(Sens!F4241+Sens!F4243)</f>
        <v>8.7261841785367</v>
      </c>
      <c r="G4359" s="6" t="n">
        <f aca="false">(Sens!G4358-Sens!G4354)*Sens!G4241/(Sens!G4241+Sens!G4243)</f>
        <v>7.89881436626843</v>
      </c>
      <c r="H4359" s="6" t="n">
        <f aca="false">(Sens!H4358-Sens!H4354)*Sens!H4241/(Sens!H4241+Sens!H4243)</f>
        <v>7.6672704407087</v>
      </c>
      <c r="I4359" s="6" t="n">
        <f aca="false">(Sens!I4358-Sens!I4354)*Sens!I4241/(Sens!I4241+Sens!I4243)</f>
        <v>7.57910961553221</v>
      </c>
      <c r="J4359" s="6" t="n">
        <f aca="false">(Sens!J4358-Sens!J4354)*Sens!J4241/(Sens!J4241+Sens!J4243)</f>
        <v>7.62396900942576</v>
      </c>
      <c r="K4359" s="6" t="n">
        <f aca="false">(Sens!K4358-Sens!K4354)*Sens!K4241/(Sens!K4241+Sens!K4243)</f>
        <v>7.79804349327764</v>
      </c>
    </row>
    <row r="4360" customFormat="false" ht="17.15" hidden="false" customHeight="false" outlineLevel="0" collapsed="false">
      <c r="A4360" s="0" t="s">
        <v>1246</v>
      </c>
      <c r="B4360" s="0" t="s">
        <v>98</v>
      </c>
      <c r="F4360" s="6" t="n">
        <f aca="false">Sens!F4358-Sens!F4354-Sens!F4359</f>
        <v>6.72425478035082</v>
      </c>
      <c r="G4360" s="6" t="n">
        <f aca="false">Sens!G4358-Sens!G4354-Sens!G4359</f>
        <v>6.33125927623967</v>
      </c>
      <c r="H4360" s="6" t="n">
        <f aca="false">Sens!H4358-Sens!H4354-Sens!H4359</f>
        <v>6.32798299448427</v>
      </c>
      <c r="I4360" s="6" t="n">
        <f aca="false">Sens!I4358-Sens!I4354-Sens!I4359</f>
        <v>6.37703732788791</v>
      </c>
      <c r="J4360" s="6" t="n">
        <f aca="false">Sens!J4358-Sens!J4354-Sens!J4359</f>
        <v>6.47630068039335</v>
      </c>
      <c r="K4360" s="6" t="n">
        <f aca="false">Sens!K4358-Sens!K4354-Sens!K4359</f>
        <v>6.62417099529301</v>
      </c>
    </row>
    <row r="4361" customFormat="false" ht="17.15" hidden="false" customHeight="false" outlineLevel="0" collapsed="false">
      <c r="A4361" s="0" t="s">
        <v>1247</v>
      </c>
      <c r="B4361" s="0" t="s">
        <v>98</v>
      </c>
      <c r="F4361" s="6" t="n">
        <f aca="false">Sens!F4355-tax_f*(Sens!F4355-Sens!F4219)-Sens!F4216</f>
        <v>-163.064917917839</v>
      </c>
      <c r="G4361" s="6" t="n">
        <f aca="false">Sens!G4355-tax_f*(Sens!G4355-Sens!G4219)-Sens!G4216</f>
        <v>-151.894390542471</v>
      </c>
      <c r="H4361" s="6" t="n">
        <f aca="false">Sens!H4355-tax_f*(Sens!H4355-Sens!H4219)-Sens!H4216</f>
        <v>-123.837984429574</v>
      </c>
      <c r="I4361" s="6" t="n">
        <f aca="false">Sens!I4355-tax_f*(Sens!I4355-Sens!I4219)-Sens!I4216</f>
        <v>-48.0260979744027</v>
      </c>
      <c r="J4361" s="6" t="n">
        <f aca="false">Sens!J4355-tax_f*(Sens!J4355-Sens!J4219)-Sens!J4216</f>
        <v>27.83566827054</v>
      </c>
      <c r="K4361" s="6" t="n">
        <f aca="false">Sens!K4355-tax_f*(Sens!K4355-Sens!K4219)-Sens!K4216</f>
        <v>63.8183257934369</v>
      </c>
    </row>
    <row r="4362" customFormat="false" ht="17.15" hidden="false" customHeight="false" outlineLevel="0" collapsed="false">
      <c r="A4362" s="0" t="s">
        <v>1248</v>
      </c>
      <c r="B4362" s="0" t="s">
        <v>98</v>
      </c>
      <c r="G4362" s="6" t="n">
        <f aca="false">Sens!G4361/(1+wacc)^(Sens!G4332-Sens!F4333)</f>
        <v>-144.632689826093</v>
      </c>
      <c r="H4362" s="6" t="n">
        <f aca="false">Sens!H4361/(1+wacc)^(Sens!H4332-Sens!F4333)</f>
        <v>-106.912394689928</v>
      </c>
      <c r="I4362" s="6" t="n">
        <f aca="false">Sens!I4361/(1+wacc)^(Sens!I4332-Sens!F4333)</f>
        <v>-37.5924767496407</v>
      </c>
      <c r="J4362" s="6" t="n">
        <f aca="false">Sens!J4361/(1+wacc)^(Sens!J4332-Sens!F4333)</f>
        <v>19.7548958506333</v>
      </c>
      <c r="K4362" s="6" t="n">
        <f aca="false">Sens!K4361/(1+wacc)^(Sens!K4332-Sens!F4333)</f>
        <v>41.0646337599481</v>
      </c>
      <c r="L4362" s="1" t="s">
        <v>1249</v>
      </c>
    </row>
    <row r="4363" customFormat="false" ht="17.15" hidden="false" customHeight="false" outlineLevel="0" collapsed="false">
      <c r="A4363" s="0" t="s">
        <v>1250</v>
      </c>
      <c r="B4363" s="0" t="s">
        <v>98</v>
      </c>
      <c r="C4363" s="6" t="n">
        <f aca="false">(Sens!K4355-Sens!K4219)*(1-tax_f)*(1+g_tv)*(1-g_tv/(wacc+ronic_prem))/(wacc-g_tv)/(1+wacc)^(Sens!K4333-Sens!F4333)</f>
        <v>130.548135585705</v>
      </c>
    </row>
    <row r="4364" customFormat="false" ht="17.15" hidden="false" customHeight="false" outlineLevel="0" collapsed="false">
      <c r="A4364" s="1" t="s">
        <v>1251</v>
      </c>
      <c r="B4364" s="0" t="s">
        <v>98</v>
      </c>
      <c r="C4364" s="6" t="n">
        <f aca="false">(SUM(Sens!G4362:K4362)+Sens!$C$4363)*(1+wacc)^(t_roll-Sens!F4333)</f>
        <v>-100.997576016737</v>
      </c>
      <c r="L4364" s="12" t="s">
        <v>1252</v>
      </c>
    </row>
    <row r="4365" customFormat="false" ht="17.15" hidden="false" customHeight="false" outlineLevel="0" collapsed="false">
      <c r="A4365" s="1" t="s">
        <v>1253</v>
      </c>
      <c r="B4365" s="0" t="s">
        <v>98</v>
      </c>
      <c r="C4365" s="6" t="n">
        <f aca="false">(w_ntm28*Sens!G4207+(1-w_ntm28)*Sens!H4207)*m_ai</f>
        <v>391.994488800677</v>
      </c>
    </row>
    <row r="4366" customFormat="false" ht="17.15" hidden="false" customHeight="false" outlineLevel="0" collapsed="false">
      <c r="A4366" s="1" t="s">
        <v>1254</v>
      </c>
      <c r="B4366" s="0" t="s">
        <v>98</v>
      </c>
      <c r="C4366" s="6" t="n">
        <f aca="false">(w_ntm28*Sens!G4357+(1-w_ntm28)*Sens!H4357)*m_cloud</f>
        <v>1090.18426887491</v>
      </c>
    </row>
    <row r="4367" customFormat="false" ht="17.15" hidden="false" customHeight="false" outlineLevel="0" collapsed="false">
      <c r="A4367" s="1" t="s">
        <v>1255</v>
      </c>
      <c r="B4367" s="0" t="s">
        <v>98</v>
      </c>
      <c r="C4367" s="6" t="n">
        <f aca="false">(w_ntm28*Sens!G4350+(1-w_ntm28)*Sens!H4350)*m_sw</f>
        <v>1045.26017978639</v>
      </c>
    </row>
    <row r="4368" customFormat="false" ht="17.15" hidden="false" customHeight="false" outlineLevel="0" collapsed="false">
      <c r="A4368" s="1" t="s">
        <v>1256</v>
      </c>
      <c r="B4368" s="0" t="s">
        <v>98</v>
      </c>
      <c r="C4368" s="6" t="n">
        <f aca="false">(w_ntm28*Sens!G4351+(1-w_ntm28)*Sens!H4351)*m_sw</f>
        <v>373.205015496857</v>
      </c>
    </row>
    <row r="4369" customFormat="false" ht="17.15" hidden="false" customHeight="false" outlineLevel="0" collapsed="false">
      <c r="A4369" s="1" t="s">
        <v>1257</v>
      </c>
      <c r="B4369" s="0" t="s">
        <v>98</v>
      </c>
      <c r="C4369" s="6" t="n">
        <f aca="false">(w_ntm28*Sens!G4352+(1-w_ntm28)*Sens!H4352)*m_sw</f>
        <v>109.316943450108</v>
      </c>
    </row>
    <row r="4370" customFormat="false" ht="17.15" hidden="false" customHeight="false" outlineLevel="0" collapsed="false">
      <c r="A4370" s="1" t="s">
        <v>1258</v>
      </c>
      <c r="B4370" s="0" t="s">
        <v>98</v>
      </c>
      <c r="C4370" s="6" t="n">
        <f aca="false">(w_ntm28*Sens!G4353+(1-w_ntm28)*Sens!H4353)*m_sw</f>
        <v>41.5593450709247</v>
      </c>
    </row>
    <row r="4371" customFormat="false" ht="17.15" hidden="false" customHeight="false" outlineLevel="0" collapsed="false">
      <c r="A4371" s="1" t="s">
        <v>1259</v>
      </c>
      <c r="B4371" s="0" t="s">
        <v>98</v>
      </c>
      <c r="C4371" s="6" t="n">
        <f aca="false">(w_ntm28*Sens!G4354+(1-w_ntm28)*Sens!H4354)*m_ads</f>
        <v>115.233159674172</v>
      </c>
    </row>
    <row r="4372" customFormat="false" ht="17.15" hidden="false" customHeight="false" outlineLevel="0" collapsed="false">
      <c r="A4372" s="1" t="s">
        <v>1260</v>
      </c>
      <c r="B4372" s="0" t="s">
        <v>98</v>
      </c>
      <c r="C4372" s="6" t="n">
        <f aca="false">(w_ntm28*Sens!G4359+(1-w_ntm28)*Sens!H4359)*m_game</f>
        <v>98.8005789430159</v>
      </c>
    </row>
    <row r="4373" customFormat="false" ht="17.15" hidden="false" customHeight="false" outlineLevel="0" collapsed="false">
      <c r="A4373" s="1" t="s">
        <v>1261</v>
      </c>
      <c r="B4373" s="0" t="s">
        <v>98</v>
      </c>
      <c r="C4373" s="6" t="n">
        <f aca="false">(w_ntm28*Sens!G4360+(1-w_ntm28)*Sens!H4360)*m_pc</f>
        <v>91.5977356021467</v>
      </c>
    </row>
    <row r="4374" customFormat="false" ht="17.15" hidden="false" customHeight="false" outlineLevel="0" collapsed="false">
      <c r="A4374" s="1" t="s">
        <v>1262</v>
      </c>
      <c r="B4374" s="0" t="s">
        <v>98</v>
      </c>
      <c r="C4374" s="6" t="n">
        <f aca="false">Sens!$C$4364+Sens!$C$4366+Sens!$C$4367+Sens!$C$4368+Sens!$C$4369+Sens!$C$4370+Sens!$C$4371+Sens!$C$4372+Sens!$C$4373</f>
        <v>2864.15965088179</v>
      </c>
    </row>
    <row r="4375" customFormat="false" ht="17.15" hidden="false" customHeight="false" outlineLevel="0" collapsed="false">
      <c r="A4375" s="1" t="s">
        <v>1263</v>
      </c>
      <c r="B4375" s="0" t="s">
        <v>98</v>
      </c>
      <c r="C4375" s="6" t="n">
        <f aca="false">(Sens!G4336-Sens!G4361)*t_stub</f>
        <v>47.3998959434213</v>
      </c>
      <c r="L4375" s="1" t="s">
        <v>1264</v>
      </c>
    </row>
    <row r="4376" customFormat="false" ht="17.15" hidden="false" customHeight="false" outlineLevel="0" collapsed="false">
      <c r="A4376" s="1" t="s">
        <v>1173</v>
      </c>
      <c r="B4376" s="0" t="s">
        <v>98</v>
      </c>
      <c r="C4376" s="6" t="n">
        <f aca="false">Sens!F4323+oai_v-Sens!F4312+Sens!$C$4375</f>
        <v>124.516008489487</v>
      </c>
      <c r="L4376" s="1" t="s">
        <v>1265</v>
      </c>
    </row>
    <row r="4377" customFormat="false" ht="17.15" hidden="false" customHeight="false" outlineLevel="0" collapsed="false">
      <c r="A4377" s="1" t="s">
        <v>1266</v>
      </c>
      <c r="B4377" s="0" t="s">
        <v>75</v>
      </c>
      <c r="C4377" s="5" t="n">
        <f aca="false">(Sens!$C$4374+Sens!$C$4376)/(Sens!F4325+dil_gap)-Sens!G4315*roll_div_q/q_per_yr</f>
        <v>397.663229371835</v>
      </c>
      <c r="L4377" s="1" t="s">
        <v>1267</v>
      </c>
    </row>
    <row r="4378" customFormat="false" ht="17.15" hidden="false" customHeight="false" outlineLevel="0" collapsed="false">
      <c r="A4378" s="1" t="s">
        <v>1268</v>
      </c>
      <c r="B4378" s="0" t="s">
        <v>75</v>
      </c>
      <c r="C4378" s="5" t="n">
        <f aca="false">w_dcf*Sens!$C$4348+(1-w_dcf)*Sens!$C$4377</f>
        <v>336.998768469548</v>
      </c>
    </row>
    <row r="4379" customFormat="false" ht="17.15" hidden="false" customHeight="false" outlineLevel="0" collapsed="false">
      <c r="A4379" s="3" t="s">
        <v>1720</v>
      </c>
    </row>
    <row r="4380" customFormat="false" ht="15" hidden="false" customHeight="false" outlineLevel="0" collapsed="false">
      <c r="A4380" s="4" t="s">
        <v>43</v>
      </c>
      <c r="B4380" s="4" t="s">
        <v>65</v>
      </c>
      <c r="C4380" s="23" t="s">
        <v>942</v>
      </c>
      <c r="D4380" s="23" t="s">
        <v>943</v>
      </c>
      <c r="E4380" s="23" t="s">
        <v>944</v>
      </c>
      <c r="F4380" s="23" t="s">
        <v>945</v>
      </c>
      <c r="G4380" s="23" t="s">
        <v>946</v>
      </c>
      <c r="H4380" s="23" t="s">
        <v>947</v>
      </c>
      <c r="I4380" s="23" t="s">
        <v>948</v>
      </c>
      <c r="J4380" s="23" t="s">
        <v>949</v>
      </c>
      <c r="K4380" s="23" t="s">
        <v>950</v>
      </c>
      <c r="L4380" s="4" t="s">
        <v>47</v>
      </c>
    </row>
    <row r="4381" customFormat="false" ht="17.15" hidden="false" customHeight="false" outlineLevel="0" collapsed="false">
      <c r="A4381" s="1" t="s">
        <v>951</v>
      </c>
      <c r="B4381" s="1" t="s">
        <v>279</v>
      </c>
      <c r="C4381" s="21" t="n">
        <v>2024</v>
      </c>
      <c r="D4381" s="21" t="n">
        <v>2025</v>
      </c>
      <c r="E4381" s="21" t="n">
        <v>2026</v>
      </c>
      <c r="F4381" s="21" t="n">
        <v>2027</v>
      </c>
      <c r="G4381" s="21" t="n">
        <v>2028</v>
      </c>
      <c r="H4381" s="21" t="n">
        <v>2029</v>
      </c>
      <c r="I4381" s="21" t="n">
        <v>2030</v>
      </c>
      <c r="J4381" s="21" t="n">
        <v>2031</v>
      </c>
      <c r="K4381" s="21" t="n">
        <v>2032</v>
      </c>
    </row>
    <row r="4382" customFormat="false" ht="17.15" hidden="false" customHeight="false" outlineLevel="0" collapsed="false">
      <c r="A4382" s="1" t="s">
        <v>952</v>
      </c>
      <c r="B4382" s="0" t="s">
        <v>459</v>
      </c>
      <c r="F4382" s="30" t="n">
        <f aca="false">pace</f>
        <v>2726.5351</v>
      </c>
      <c r="G4382" s="30" t="n">
        <f aca="false">pace</f>
        <v>2726.5351</v>
      </c>
      <c r="H4382" s="30" t="n">
        <f aca="false">pace</f>
        <v>2726.5351</v>
      </c>
      <c r="I4382" s="30" t="n">
        <f aca="false">pace+(g_tv*Sens!H4383-pace)*MIN(1,(Sens!I4381-pace_y0)/(pace_y1-pace_y0))</f>
        <v>1931.98611966667</v>
      </c>
      <c r="J4382" s="30" t="n">
        <f aca="false">pace+(g_tv*Sens!I4383-pace)*MIN(1,(Sens!J4381-pace_y0)/(pace_y1-pace_y0))</f>
        <v>1176.07686172667</v>
      </c>
      <c r="K4382" s="30" t="n">
        <f aca="false">pace+(g_tv*Sens!J4383-pace)*MIN(1,(Sens!K4381-pace_y0)/(pace_y1-pace_y0))</f>
        <v>436.1300484418</v>
      </c>
      <c r="L4382" s="12" t="s">
        <v>953</v>
      </c>
    </row>
    <row r="4383" customFormat="false" ht="17.15" hidden="false" customHeight="false" outlineLevel="0" collapsed="false">
      <c r="A4383" s="1" t="s">
        <v>954</v>
      </c>
      <c r="B4383" s="0" t="s">
        <v>459</v>
      </c>
      <c r="C4383" s="30" t="n">
        <f aca="false">mw_ext_24</f>
        <v>640</v>
      </c>
      <c r="D4383" s="30" t="n">
        <f aca="false">mw_ext_25</f>
        <v>1630</v>
      </c>
      <c r="E4383" s="30" t="n">
        <f aca="false">mw_ext_26</f>
        <v>3250</v>
      </c>
      <c r="F4383" s="30" t="n">
        <f aca="false">Sens!E4383+Sens!F4382</f>
        <v>5976.5351</v>
      </c>
      <c r="G4383" s="30" t="n">
        <f aca="false">Sens!F4383+Sens!G4382</f>
        <v>8703.0702</v>
      </c>
      <c r="H4383" s="30" t="n">
        <f aca="false">Sens!G4383+Sens!H4382</f>
        <v>11429.6053</v>
      </c>
      <c r="I4383" s="30" t="n">
        <f aca="false">Sens!H4383+Sens!I4382</f>
        <v>13361.5914196667</v>
      </c>
      <c r="J4383" s="30" t="n">
        <f aca="false">Sens!I4383+Sens!J4382</f>
        <v>14537.6682813933</v>
      </c>
      <c r="K4383" s="30" t="n">
        <f aca="false">Sens!J4383+Sens!K4382</f>
        <v>14973.7983298351</v>
      </c>
      <c r="L4383" s="1" t="s">
        <v>955</v>
      </c>
    </row>
    <row r="4384" customFormat="false" ht="17.15" hidden="false" customHeight="false" outlineLevel="0" collapsed="false">
      <c r="A4384" s="1" t="s">
        <v>956</v>
      </c>
      <c r="B4384" s="0" t="s">
        <v>459</v>
      </c>
      <c r="C4384" s="30" t="n">
        <f aca="false">rent_ext_24</f>
        <v>150</v>
      </c>
      <c r="D4384" s="30" t="n">
        <f aca="false">rent_ext_25</f>
        <v>400</v>
      </c>
      <c r="E4384" s="30" t="n">
        <f aca="false">rent_ext_26</f>
        <v>550</v>
      </c>
      <c r="F4384" s="30" t="n">
        <f aca="false">rent_ext_f</f>
        <v>756</v>
      </c>
      <c r="G4384" s="30" t="n">
        <f aca="false">rent_ext_f</f>
        <v>756</v>
      </c>
      <c r="H4384" s="30" t="n">
        <f aca="false">rent_ext_f</f>
        <v>756</v>
      </c>
      <c r="I4384" s="30" t="n">
        <f aca="false">rent_ext_f</f>
        <v>756</v>
      </c>
      <c r="J4384" s="30" t="n">
        <f aca="false">rent_ext_f</f>
        <v>756</v>
      </c>
      <c r="K4384" s="30" t="n">
        <f aca="false">rent_ext_f</f>
        <v>756</v>
      </c>
      <c r="L4384" s="1" t="s">
        <v>957</v>
      </c>
    </row>
    <row r="4385" customFormat="false" ht="17.15" hidden="false" customHeight="false" outlineLevel="0" collapsed="false">
      <c r="A4385" s="1" t="s">
        <v>958</v>
      </c>
      <c r="B4385" s="0" t="s">
        <v>459</v>
      </c>
      <c r="C4385" s="30" t="n">
        <f aca="false">Sens!C4383-Sens!C4384</f>
        <v>490</v>
      </c>
      <c r="D4385" s="30" t="n">
        <f aca="false">Sens!D4383-Sens!D4384</f>
        <v>1230</v>
      </c>
      <c r="E4385" s="30" t="n">
        <f aca="false">Sens!E4383-Sens!E4384</f>
        <v>2700</v>
      </c>
      <c r="F4385" s="30" t="n">
        <f aca="false">Sens!F4383-Sens!F4384</f>
        <v>5220.5351</v>
      </c>
      <c r="G4385" s="30" t="n">
        <f aca="false">Sens!G4383-Sens!G4384</f>
        <v>7947.0702</v>
      </c>
      <c r="H4385" s="30" t="n">
        <f aca="false">Sens!H4383-Sens!H4384</f>
        <v>10673.6053</v>
      </c>
      <c r="I4385" s="30" t="n">
        <f aca="false">Sens!I4383-Sens!I4384</f>
        <v>12605.5914196667</v>
      </c>
      <c r="J4385" s="30" t="n">
        <f aca="false">Sens!J4383-Sens!J4384</f>
        <v>13781.6682813933</v>
      </c>
      <c r="K4385" s="30" t="n">
        <f aca="false">Sens!K4383-Sens!K4384</f>
        <v>14217.7983298351</v>
      </c>
    </row>
    <row r="4386" customFormat="false" ht="17.15" hidden="false" customHeight="false" outlineLevel="0" collapsed="false">
      <c r="A4386" s="1" t="s">
        <v>959</v>
      </c>
      <c r="B4386" s="0" t="s">
        <v>459</v>
      </c>
      <c r="C4386" s="30" t="n">
        <f aca="false">Sens!C4385/ext_sh</f>
        <v>816.666666666667</v>
      </c>
      <c r="D4386" s="30" t="n">
        <f aca="false">Sens!D4385/ext_sh</f>
        <v>2050</v>
      </c>
      <c r="E4386" s="30" t="n">
        <f aca="false">Sens!E4385/ext_sh</f>
        <v>4500</v>
      </c>
      <c r="F4386" s="30" t="n">
        <f aca="false">Sens!F4385/ext_sh</f>
        <v>8700.89183333333</v>
      </c>
      <c r="G4386" s="30" t="n">
        <f aca="false">Sens!G4385/ext_sh</f>
        <v>13245.117</v>
      </c>
      <c r="H4386" s="30" t="n">
        <f aca="false">Sens!H4385/ext_sh</f>
        <v>17789.3421666667</v>
      </c>
      <c r="I4386" s="30" t="n">
        <f aca="false">Sens!I4385/ext_sh</f>
        <v>21009.3190327778</v>
      </c>
      <c r="J4386" s="30" t="n">
        <f aca="false">Sens!J4385/ext_sh</f>
        <v>22969.4471356556</v>
      </c>
      <c r="K4386" s="30" t="n">
        <f aca="false">Sens!K4385/ext_sh</f>
        <v>23696.3305497252</v>
      </c>
      <c r="L4386" s="1" t="s">
        <v>960</v>
      </c>
    </row>
    <row r="4387" customFormat="false" ht="17.15" hidden="false" customHeight="false" outlineLevel="0" collapsed="false">
      <c r="A4387" s="1" t="s">
        <v>961</v>
      </c>
      <c r="B4387" s="0" t="s">
        <v>459</v>
      </c>
      <c r="C4387" s="30" t="n">
        <f aca="false">Sens!C4386-Sens!C4385</f>
        <v>326.666666666667</v>
      </c>
      <c r="D4387" s="30" t="n">
        <f aca="false">Sens!D4386-Sens!D4385</f>
        <v>820</v>
      </c>
      <c r="E4387" s="30" t="n">
        <f aca="false">Sens!E4386-Sens!E4385</f>
        <v>1800</v>
      </c>
      <c r="F4387" s="30" t="n">
        <f aca="false">Sens!F4386-Sens!F4385</f>
        <v>3480.35673333333</v>
      </c>
      <c r="G4387" s="30" t="n">
        <f aca="false">Sens!G4386-Sens!G4385</f>
        <v>5298.0468</v>
      </c>
      <c r="H4387" s="30" t="n">
        <f aca="false">Sens!H4386-Sens!H4385</f>
        <v>7115.73686666667</v>
      </c>
      <c r="I4387" s="30" t="n">
        <f aca="false">Sens!I4386-Sens!I4385</f>
        <v>8403.72761311111</v>
      </c>
      <c r="J4387" s="30" t="n">
        <f aca="false">Sens!J4386-Sens!J4385</f>
        <v>9187.77885426222</v>
      </c>
      <c r="K4387" s="30" t="n">
        <f aca="false">Sens!K4386-Sens!K4385</f>
        <v>9478.53221989009</v>
      </c>
    </row>
    <row r="4388" customFormat="false" ht="17.15" hidden="false" customHeight="false" outlineLevel="0" collapsed="false">
      <c r="A4388" s="1" t="s">
        <v>962</v>
      </c>
      <c r="B4388" s="0" t="s">
        <v>459</v>
      </c>
      <c r="C4388" s="30" t="n">
        <f aca="false">Sens!C4386</f>
        <v>816.666666666667</v>
      </c>
      <c r="D4388" s="30" t="n">
        <f aca="false">Sens!D4386-Sens!C4386</f>
        <v>1233.33333333333</v>
      </c>
      <c r="E4388" s="30" t="n">
        <f aca="false">Sens!E4386-Sens!D4386</f>
        <v>2450</v>
      </c>
      <c r="F4388" s="30" t="n">
        <f aca="false">Sens!F4386-Sens!E4386</f>
        <v>4200.89183333333</v>
      </c>
      <c r="G4388" s="30" t="n">
        <f aca="false">Sens!G4386-Sens!F4386</f>
        <v>4544.22516666667</v>
      </c>
      <c r="H4388" s="30" t="n">
        <f aca="false">Sens!H4386-Sens!G4386</f>
        <v>4544.22516666667</v>
      </c>
      <c r="I4388" s="30" t="n">
        <f aca="false">Sens!I4386-Sens!H4386</f>
        <v>3219.97686611111</v>
      </c>
      <c r="J4388" s="30" t="n">
        <f aca="false">Sens!J4386-Sens!I4386</f>
        <v>1960.12810287778</v>
      </c>
      <c r="K4388" s="30" t="n">
        <f aca="false">Sens!K4386-Sens!J4386</f>
        <v>726.883414069667</v>
      </c>
    </row>
    <row r="4389" customFormat="false" ht="17.15" hidden="false" customHeight="false" outlineLevel="0" collapsed="false">
      <c r="A4389" s="1" t="s">
        <v>963</v>
      </c>
      <c r="B4389" s="0" t="s">
        <v>459</v>
      </c>
      <c r="D4389" s="30" t="n">
        <f aca="false">Sens!D4383-Sens!C4383</f>
        <v>990</v>
      </c>
      <c r="E4389" s="30" t="n">
        <f aca="false">Sens!E4383-Sens!D4383</f>
        <v>1620</v>
      </c>
      <c r="F4389" s="30" t="n">
        <f aca="false">Sens!F4383-Sens!E4383</f>
        <v>2726.5351</v>
      </c>
      <c r="G4389" s="30" t="n">
        <f aca="false">Sens!G4383-Sens!F4383</f>
        <v>2726.5351</v>
      </c>
      <c r="H4389" s="30" t="n">
        <f aca="false">Sens!H4383-Sens!G4383</f>
        <v>2726.5351</v>
      </c>
      <c r="I4389" s="30" t="n">
        <f aca="false">Sens!I4383-Sens!H4383</f>
        <v>1931.98611966667</v>
      </c>
      <c r="J4389" s="30" t="n">
        <f aca="false">Sens!J4383-Sens!I4383</f>
        <v>1176.07686172667</v>
      </c>
      <c r="K4389" s="30" t="n">
        <f aca="false">Sens!K4383-Sens!J4383</f>
        <v>436.130048441799</v>
      </c>
    </row>
    <row r="4390" customFormat="false" ht="17.15" hidden="false" customHeight="false" outlineLevel="0" collapsed="false">
      <c r="A4390" s="1" t="s">
        <v>964</v>
      </c>
      <c r="B4390" s="0" t="s">
        <v>459</v>
      </c>
      <c r="F4390" s="30" t="n">
        <f aca="false">Sens!F4409*ext_sh</f>
        <v>0</v>
      </c>
      <c r="G4390" s="30" t="n">
        <f aca="false">Sens!G4409*ext_sh</f>
        <v>0</v>
      </c>
      <c r="H4390" s="30" t="n">
        <f aca="false">Sens!H4409*ext_sh</f>
        <v>490</v>
      </c>
      <c r="I4390" s="30" t="n">
        <f aca="false">Sens!I4409*ext_sh</f>
        <v>740</v>
      </c>
      <c r="J4390" s="30" t="n">
        <f aca="false">Sens!J4409*ext_sh</f>
        <v>1470</v>
      </c>
      <c r="K4390" s="30" t="n">
        <f aca="false">Sens!K4409*ext_sh</f>
        <v>2520.5351</v>
      </c>
      <c r="L4390" s="1" t="s">
        <v>965</v>
      </c>
    </row>
    <row r="4391" customFormat="false" ht="17.15" hidden="false" customHeight="false" outlineLevel="0" collapsed="false">
      <c r="A4391" s="1" t="s">
        <v>966</v>
      </c>
      <c r="B4391" s="0" t="s">
        <v>459</v>
      </c>
      <c r="C4391" s="30" t="n">
        <f aca="false">mix_h*Sens!C4383</f>
        <v>128</v>
      </c>
      <c r="D4391" s="30" t="n">
        <f aca="false">mix_h*Sens!D4383</f>
        <v>326</v>
      </c>
      <c r="E4391" s="30" t="n">
        <f aca="false">mix_h*Sens!E4383</f>
        <v>650</v>
      </c>
      <c r="F4391" s="30" t="n">
        <f aca="false">Sens!E4391-Sens!F4390*mix_h</f>
        <v>650</v>
      </c>
      <c r="G4391" s="30" t="n">
        <f aca="false">Sens!F4391-Sens!G4390*mix_h</f>
        <v>650</v>
      </c>
      <c r="H4391" s="30" t="n">
        <f aca="false">Sens!G4391-Sens!H4390*mix_h</f>
        <v>552</v>
      </c>
      <c r="I4391" s="30" t="n">
        <f aca="false">Sens!H4391-Sens!I4390*mix_h</f>
        <v>404</v>
      </c>
      <c r="J4391" s="30" t="n">
        <f aca="false">Sens!I4391-Sens!J4390*mix_h</f>
        <v>110</v>
      </c>
      <c r="K4391" s="30" t="n">
        <f aca="false">Sens!J4391-Sens!K4390*mix_h</f>
        <v>-394.10702</v>
      </c>
    </row>
    <row r="4392" customFormat="false" ht="17.15" hidden="false" customHeight="false" outlineLevel="0" collapsed="false">
      <c r="A4392" s="1" t="s">
        <v>967</v>
      </c>
      <c r="B4392" s="0" t="s">
        <v>459</v>
      </c>
      <c r="C4392" s="30" t="n">
        <f aca="false">mix_g2*Sens!C4383</f>
        <v>288</v>
      </c>
      <c r="D4392" s="30" t="n">
        <f aca="false">mix_g2*Sens!D4383</f>
        <v>733.5</v>
      </c>
      <c r="E4392" s="30" t="n">
        <f aca="false">mix_g2*Sens!E4383</f>
        <v>1462.5</v>
      </c>
      <c r="F4392" s="30" t="n">
        <f aca="false">Sens!E4392-Sens!F4390*mix_g2</f>
        <v>1462.5</v>
      </c>
      <c r="G4392" s="30" t="n">
        <f aca="false">Sens!F4392-Sens!G4390*mix_g2</f>
        <v>1462.5</v>
      </c>
      <c r="H4392" s="30" t="n">
        <f aca="false">Sens!G4392-Sens!H4390*mix_g2</f>
        <v>1242</v>
      </c>
      <c r="I4392" s="30" t="n">
        <f aca="false">Sens!H4392-Sens!I4390*mix_g2</f>
        <v>909</v>
      </c>
      <c r="J4392" s="30" t="n">
        <f aca="false">Sens!I4392-Sens!J4390*mix_g2</f>
        <v>247.5</v>
      </c>
      <c r="K4392" s="30" t="n">
        <f aca="false">Sens!J4392-Sens!K4390*mix_g2</f>
        <v>-886.740795</v>
      </c>
    </row>
    <row r="4393" customFormat="false" ht="17.15" hidden="false" customHeight="false" outlineLevel="0" collapsed="false">
      <c r="A4393" s="1" t="s">
        <v>968</v>
      </c>
      <c r="B4393" s="0" t="s">
        <v>459</v>
      </c>
      <c r="C4393" s="30" t="n">
        <f aca="false">mix_g3*Sens!C4383</f>
        <v>224</v>
      </c>
      <c r="D4393" s="30" t="n">
        <f aca="false">mix_g3*Sens!D4383</f>
        <v>570.5</v>
      </c>
      <c r="E4393" s="30" t="n">
        <f aca="false">mix_g3*Sens!E4383</f>
        <v>1137.5</v>
      </c>
      <c r="F4393" s="30" t="n">
        <f aca="false">Sens!E4393+(Sens!F4389+Sens!F4390)*(a_g3_27-nonnv*a_mai)-Sens!F4390*mix_g3</f>
        <v>2773.42106</v>
      </c>
      <c r="G4393" s="30" t="n">
        <f aca="false">Sens!F4393+(Sens!G4389+Sens!G4390)*(a_g3_28-nonnv*a_mai)-Sens!G4390*mix_g3</f>
        <v>3318.72808</v>
      </c>
      <c r="H4393" s="30" t="n">
        <f aca="false">Sens!G4393+(Sens!H4389+Sens!H4390)*(a_g3_29-nonnv*a_mai)-Sens!H4390*mix_g3</f>
        <v>3147.22808</v>
      </c>
      <c r="I4393" s="30" t="n">
        <f aca="false">Sens!H4393+(Sens!I4389+Sens!I4390)*(a_g3_29-nonnv*a_mai)-Sens!I4390*mix_g3</f>
        <v>2888.22808</v>
      </c>
      <c r="J4393" s="30" t="n">
        <f aca="false">Sens!I4393+(Sens!J4389+Sens!J4390)*(a_g3_29-nonnv*a_mai)-Sens!J4390*mix_g3</f>
        <v>2373.72808</v>
      </c>
      <c r="K4393" s="30" t="n">
        <f aca="false">Sens!J4393+(Sens!K4389+Sens!K4390)*(a_g3_29-nonnv*a_mai)-Sens!K4390*mix_g3</f>
        <v>1491.540795</v>
      </c>
    </row>
    <row r="4394" customFormat="false" ht="17.15" hidden="false" customHeight="false" outlineLevel="0" collapsed="false">
      <c r="A4394" s="1" t="s">
        <v>969</v>
      </c>
      <c r="B4394" s="0" t="s">
        <v>459</v>
      </c>
      <c r="C4394" s="30" t="n">
        <v>0</v>
      </c>
      <c r="D4394" s="30" t="n">
        <v>0</v>
      </c>
      <c r="E4394" s="30" t="n">
        <v>0</v>
      </c>
      <c r="F4394" s="30" t="n">
        <f aca="false">Sens!E4394+(Sens!F4389+Sens!F4390)*nonnv*a_mai</f>
        <v>272.65351</v>
      </c>
      <c r="G4394" s="30" t="n">
        <f aca="false">Sens!F4394+(Sens!G4389+Sens!G4390)*nonnv*a_mai</f>
        <v>545.30702</v>
      </c>
      <c r="H4394" s="30" t="n">
        <f aca="false">Sens!G4394+(Sens!H4389+Sens!H4390)*nonnv*a_mai</f>
        <v>866.96053</v>
      </c>
      <c r="I4394" s="30" t="n">
        <f aca="false">Sens!H4394+(Sens!I4389+Sens!I4390)*nonnv*a_mai</f>
        <v>1134.15914196667</v>
      </c>
      <c r="J4394" s="30" t="n">
        <f aca="false">Sens!I4394+(Sens!J4389+Sens!J4390)*nonnv*a_mai</f>
        <v>1398.76682813933</v>
      </c>
      <c r="K4394" s="30" t="n">
        <f aca="false">Sens!J4394+(Sens!K4389+Sens!K4390)*nonnv*a_mai</f>
        <v>1694.43334298351</v>
      </c>
      <c r="L4394" s="12" t="s">
        <v>970</v>
      </c>
    </row>
    <row r="4395" customFormat="false" ht="17.15" hidden="false" customHeight="false" outlineLevel="0" collapsed="false">
      <c r="A4395" s="1" t="s">
        <v>971</v>
      </c>
      <c r="B4395" s="0" t="s">
        <v>459</v>
      </c>
      <c r="C4395" s="30" t="n">
        <v>0</v>
      </c>
      <c r="D4395" s="30" t="n">
        <v>0</v>
      </c>
      <c r="E4395" s="30" t="n">
        <v>0</v>
      </c>
      <c r="F4395" s="30" t="n">
        <f aca="false">Sens!E4395+(Sens!F4389+Sens!F4390)*(1-a_g3_27)</f>
        <v>817.96053</v>
      </c>
      <c r="G4395" s="30" t="n">
        <f aca="false">Sens!F4395+(Sens!G4389+Sens!G4390)*(1-a_g3_28)</f>
        <v>2726.5351</v>
      </c>
      <c r="H4395" s="30" t="n">
        <f aca="false">Sens!G4395+(Sens!H4389+Sens!H4390)*(1-a_g3_29)</f>
        <v>5621.41669</v>
      </c>
      <c r="I4395" s="30" t="n">
        <f aca="false">Sens!H4395+(Sens!I4389+Sens!I4390)*(1-a_g3_29)</f>
        <v>8026.2041977</v>
      </c>
      <c r="J4395" s="30" t="n">
        <f aca="false">Sens!I4395+(Sens!J4389+Sens!J4390)*(1-a_g3_29)</f>
        <v>10407.673373254</v>
      </c>
      <c r="K4395" s="30" t="n">
        <f aca="false">Sens!J4395+(Sens!K4389+Sens!K4390)*(1-a_g3_29)</f>
        <v>13068.6720068516</v>
      </c>
    </row>
    <row r="4396" customFormat="false" ht="17.15" hidden="false" customHeight="false" outlineLevel="0" collapsed="false">
      <c r="A4396" s="1" t="s">
        <v>972</v>
      </c>
      <c r="B4396" s="0" t="s">
        <v>403</v>
      </c>
      <c r="C4396" s="15" t="n">
        <f aca="false">(Sens!C4391*tk_hold_h100+Sens!C4392*tk_hold_gb200+Sens!C4393*tk_hold_gb300+Sens!C4395*tk_hold_vr200+Sens!C4394*nv_hold_mai*tk_hold_vr200)/Sens!C4383</f>
        <v>9.7235358126469</v>
      </c>
      <c r="D4396" s="15" t="n">
        <f aca="false">(Sens!D4391*tk_hold_h100+Sens!D4392*tk_hold_gb200+Sens!D4393*tk_hold_gb300+Sens!D4395*tk_hold_vr200+Sens!D4394*nv_hold_mai*tk_hold_vr200)/Sens!D4383</f>
        <v>9.7235358126469</v>
      </c>
      <c r="E4396" s="15" t="n">
        <f aca="false">(Sens!E4391*tk_hold_h100+Sens!E4392*tk_hold_gb200+Sens!E4393*tk_hold_gb300+Sens!E4395*tk_hold_vr200+Sens!E4394*nv_hold_mai*tk_hold_vr200)/Sens!E4383</f>
        <v>9.7235358126469</v>
      </c>
      <c r="F4396" s="15" t="n">
        <f aca="false">(Sens!F4391*tk_hold_h100+Sens!F4392*tk_hold_gb200+Sens!F4393*tk_hold_gb300+Sens!F4395*tk_hold_vr200+Sens!F4394*nv_hold_mai*tk_hold_vr200)/Sens!F4383</f>
        <v>10.2195353876665</v>
      </c>
      <c r="G4396" s="15" t="n">
        <f aca="false">(Sens!G4391*tk_hold_h100+Sens!G4392*tk_hold_gb200+Sens!G4393*tk_hold_gb300+Sens!G4395*tk_hold_vr200+Sens!G4394*nv_hold_mai*tk_hold_vr200)/Sens!G4383</f>
        <v>10.5725598017306</v>
      </c>
      <c r="H4396" s="15" t="n">
        <f aca="false">(Sens!H4391*tk_hold_h100+Sens!H4392*tk_hold_gb200+Sens!H4393*tk_hold_gb300+Sens!H4395*tk_hold_vr200+Sens!H4394*nv_hold_mai*tk_hold_vr200)/Sens!H4383</f>
        <v>10.902097500272</v>
      </c>
      <c r="I4396" s="15" t="n">
        <f aca="false">(Sens!I4391*tk_hold_h100+Sens!I4392*tk_hold_gb200+Sens!I4393*tk_hold_gb300+Sens!I4395*tk_hold_vr200+Sens!I4394*nv_hold_mai*tk_hold_vr200)/Sens!I4383</f>
        <v>11.1097716279125</v>
      </c>
      <c r="J4396" s="15" t="n">
        <f aca="false">(Sens!J4391*tk_hold_h100+Sens!J4392*tk_hold_gb200+Sens!J4393*tk_hold_gb300+Sens!J4395*tk_hold_vr200+Sens!J4394*nv_hold_mai*tk_hold_vr200)/Sens!J4383</f>
        <v>11.3417562963592</v>
      </c>
      <c r="K4396" s="15" t="n">
        <f aca="false">(Sens!K4391*tk_hold_h100+Sens!K4392*tk_hold_gb200+Sens!K4393*tk_hold_gb300+Sens!K4395*tk_hold_vr200+Sens!K4394*nv_hold_mai*tk_hold_vr200)/Sens!K4383</f>
        <v>11.6679459977291</v>
      </c>
      <c r="L4396" s="1" t="s">
        <v>973</v>
      </c>
    </row>
    <row r="4397" customFormat="false" ht="17.15" hidden="false" customHeight="false" outlineLevel="0" collapsed="false">
      <c r="A4397" s="1" t="s">
        <v>974</v>
      </c>
      <c r="B4397" s="0" t="s">
        <v>403</v>
      </c>
      <c r="C4397" s="15" t="n">
        <f aca="false">(Sens!C4391*tk_hold_h100+Sens!C4392*tk_hold_gb200+Sens!C4393*tk_hold_gb300+Sens!C4395*tk_hold_vr200+Sens!C4394*nv_out_mai*tk_hold_vr200)/Sens!C4383</f>
        <v>9.7235358126469</v>
      </c>
      <c r="D4397" s="15" t="n">
        <f aca="false">(Sens!D4391*tk_hold_h100+Sens!D4392*tk_hold_gb200+Sens!D4393*tk_hold_gb300+Sens!D4395*tk_hold_vr200+Sens!D4394*nv_out_mai*tk_hold_vr200)/Sens!D4383</f>
        <v>9.7235358126469</v>
      </c>
      <c r="E4397" s="15" t="n">
        <f aca="false">(Sens!E4391*tk_hold_h100+Sens!E4392*tk_hold_gb200+Sens!E4393*tk_hold_gb300+Sens!E4395*tk_hold_vr200+Sens!E4394*nv_out_mai*tk_hold_vr200)/Sens!E4383</f>
        <v>9.7235358126469</v>
      </c>
      <c r="F4397" s="15" t="n">
        <f aca="false">(Sens!F4391*tk_hold_h100+Sens!F4392*tk_hold_gb200+Sens!F4393*tk_hold_gb300+Sens!F4395*tk_hold_vr200+Sens!F4394*nv_out_mai*tk_hold_vr200)/Sens!F4383</f>
        <v>10.247422093969</v>
      </c>
      <c r="G4397" s="15" t="n">
        <f aca="false">(Sens!G4391*tk_hold_h100+Sens!G4392*tk_hold_gb200+Sens!G4393*tk_hold_gb300+Sens!G4395*tk_hold_vr200+Sens!G4394*nv_out_mai*tk_hold_vr200)/Sens!G4383</f>
        <v>10.6108602808053</v>
      </c>
      <c r="H4397" s="15" t="n">
        <f aca="false">(Sens!H4391*tk_hold_h100+Sens!H4392*tk_hold_gb200+Sens!H4393*tk_hold_gb300+Sens!H4395*tk_hold_vr200+Sens!H4394*nv_out_mai*tk_hold_vr200)/Sens!H4383</f>
        <v>10.9484639343852</v>
      </c>
      <c r="I4397" s="15" t="n">
        <f aca="false">(Sens!I4391*tk_hold_h100+Sens!I4392*tk_hold_gb200+Sens!I4393*tk_hold_gb300+Sens!I4395*tk_hold_vr200+Sens!I4394*nv_out_mai*tk_hold_vr200)/Sens!I4383</f>
        <v>11.1616577740653</v>
      </c>
      <c r="J4397" s="15" t="n">
        <f aca="false">(Sens!J4391*tk_hold_h100+Sens!J4392*tk_hold_gb200+Sens!J4393*tk_hold_gb300+Sens!J4395*tk_hold_vr200+Sens!J4394*nv_out_mai*tk_hold_vr200)/Sens!J4383</f>
        <v>11.4005710353138</v>
      </c>
      <c r="K4397" s="15" t="n">
        <f aca="false">(Sens!K4391*tk_hold_h100+Sens!K4392*tk_hold_gb200+Sens!K4393*tk_hold_gb300+Sens!K4395*tk_hold_vr200+Sens!K4394*nv_out_mai*tk_hold_vr200)/Sens!K4383</f>
        <v>11.7371176442531</v>
      </c>
      <c r="L4397" s="12" t="s">
        <v>975</v>
      </c>
    </row>
    <row r="4398" customFormat="false" ht="17.15" hidden="false" customHeight="false" outlineLevel="0" collapsed="false">
      <c r="A4398" s="0" t="s">
        <v>976</v>
      </c>
      <c r="B4398" s="0" t="s">
        <v>229</v>
      </c>
      <c r="C4398" s="15" t="n">
        <f aca="false">k_B</f>
        <v>1.17213932619116</v>
      </c>
      <c r="D4398" s="15" t="n">
        <f aca="false">k_B</f>
        <v>1.17213932619116</v>
      </c>
      <c r="E4398" s="15" t="n">
        <f aca="false">k_B</f>
        <v>1.17213932619116</v>
      </c>
      <c r="F4398" s="15" t="n">
        <f aca="false">(k_B+((ls_A*k_long+(1-ls_A)*k_spot)-k_B)*MIN(1,(Sens!F4381-base_fy)/k_ramp))</f>
        <v>1.25022828131298</v>
      </c>
      <c r="G4398" s="15" t="n">
        <f aca="false">(k_B+((ls_A*k_long+(1-ls_A)*k_spot)-k_B)*MIN(1,(Sens!G4381-base_fy)/k_ramp))</f>
        <v>1.3283172364348</v>
      </c>
      <c r="H4398" s="15" t="n">
        <f aca="false">(k_B+((ls_A*k_long+(1-ls_A)*k_spot)-k_B)*MIN(1,(Sens!H4381-base_fy)/k_ramp))</f>
        <v>1.40640619155662</v>
      </c>
      <c r="I4398" s="15" t="n">
        <f aca="false">(k_B+((ls_A*k_long+(1-ls_A)*k_spot)-k_B)*MIN(1,(Sens!I4381-base_fy)/k_ramp))</f>
        <v>1.40640619155662</v>
      </c>
      <c r="J4398" s="15" t="n">
        <f aca="false">(k_B+((ls_A*k_long+(1-ls_A)*k_spot)-k_B)*MIN(1,(Sens!J4381-base_fy)/k_ramp))</f>
        <v>1.40640619155662</v>
      </c>
      <c r="K4398" s="15" t="n">
        <f aca="false">(k_B+((ls_A*k_long+(1-ls_A)*k_spot)-k_B)*MIN(1,(Sens!K4381-base_fy)/k_ramp))</f>
        <v>1.40640619155662</v>
      </c>
      <c r="L4398" s="1" t="s">
        <v>977</v>
      </c>
    </row>
    <row r="4399" customFormat="false" ht="17.15" hidden="false" customHeight="false" outlineLevel="0" collapsed="false">
      <c r="A4399" s="1" t="s">
        <v>978</v>
      </c>
      <c r="B4399" s="0" t="s">
        <v>403</v>
      </c>
      <c r="C4399" s="15" t="n">
        <f aca="false">Sens!C4397*Sens!C4398*chip_f</f>
        <v>11.3973387156315</v>
      </c>
      <c r="D4399" s="15" t="n">
        <f aca="false">Sens!D4397*Sens!D4398*chip_f</f>
        <v>11.3973387156315</v>
      </c>
      <c r="E4399" s="15" t="n">
        <f aca="false">Sens!E4397*Sens!E4398*chip_f</f>
        <v>11.3973387156315</v>
      </c>
      <c r="F4399" s="15" t="n">
        <f aca="false">Sens!F4397*Sens!F4398*chip_f</f>
        <v>12.8116169124314</v>
      </c>
      <c r="G4399" s="15" t="n">
        <f aca="false">Sens!G4397*Sens!G4398*chip_f</f>
        <v>14.094588604395</v>
      </c>
      <c r="H4399" s="15" t="n">
        <f aca="false">Sens!H4397*Sens!H4398*chip_f</f>
        <v>15.3979874653536</v>
      </c>
      <c r="I4399" s="15" t="n">
        <f aca="false">Sens!I4397*Sens!I4398*chip_f</f>
        <v>15.6978246014815</v>
      </c>
      <c r="J4399" s="15" t="n">
        <f aca="false">Sens!J4397*Sens!J4398*chip_f</f>
        <v>16.0338336913464</v>
      </c>
      <c r="K4399" s="15" t="n">
        <f aca="false">Sens!K4397*Sens!K4398*chip_f</f>
        <v>16.5071549259059</v>
      </c>
      <c r="L4399" s="1" t="s">
        <v>979</v>
      </c>
    </row>
    <row r="4400" customFormat="false" ht="17.15" hidden="false" customHeight="false" outlineLevel="0" collapsed="false">
      <c r="A4400" s="0" t="s">
        <v>980</v>
      </c>
      <c r="B4400" s="0" t="s">
        <v>98</v>
      </c>
      <c r="D4400" s="6" t="n">
        <f aca="false">(Sens!C4383+Sens!D4383)/2*Sens!D4399/1000</f>
        <v>12.9359794422418</v>
      </c>
      <c r="E4400" s="6" t="n">
        <f aca="false">(Sens!D4383+Sens!E4383)/2*Sens!E4399/1000</f>
        <v>27.8095064661409</v>
      </c>
      <c r="F4400" s="6" t="n">
        <f aca="false">(Sens!E4383+Sens!F4383)/2*Sens!F4399/1000</f>
        <v>59.1034165651511</v>
      </c>
      <c r="G4400" s="6" t="n">
        <f aca="false">(Sens!F4383+Sens!G4383)/2*Sens!G4399/1000</f>
        <v>103.451498789198</v>
      </c>
      <c r="H4400" s="6" t="n">
        <f aca="false">(Sens!G4383+Sens!H4383)/2*Sens!H4399/1000</f>
        <v>155.001342496516</v>
      </c>
      <c r="I4400" s="6" t="n">
        <f aca="false">(Sens!H4383+Sens!I4383)/2*Sens!I4399/1000</f>
        <v>194.583928883075</v>
      </c>
      <c r="J4400" s="6" t="n">
        <f aca="false">(Sens!I4383+Sens!J4383)/2*Sens!J4399/1000</f>
        <v>223.666045079239</v>
      </c>
      <c r="K4400" s="6" t="n">
        <f aca="false">(Sens!J4383+Sens!K4383)/2*Sens!K4399/1000</f>
        <v>243.575175721124</v>
      </c>
      <c r="L4400" s="12" t="s">
        <v>981</v>
      </c>
    </row>
    <row r="4401" customFormat="false" ht="17.15" hidden="false" customHeight="false" outlineLevel="0" collapsed="false">
      <c r="A4401" s="1" t="s">
        <v>982</v>
      </c>
      <c r="B4401" s="0" t="s">
        <v>403</v>
      </c>
      <c r="C4401" s="15" t="n">
        <f aca="false">(Sens!C4391*tk_opex_h100+Sens!C4392*tk_opex_gb200+Sens!C4393*tk_opex_gb300+(Sens!C4395+Sens!C4394)*tk_opex_vr200)/Sens!C4383</f>
        <v>1.88636041306092</v>
      </c>
      <c r="D4401" s="15" t="n">
        <f aca="false">(Sens!D4391*tk_opex_h100+Sens!D4392*tk_opex_gb200+Sens!D4393*tk_opex_gb300+(Sens!D4395+Sens!D4394)*tk_opex_vr200)/Sens!D4383</f>
        <v>1.88636041306092</v>
      </c>
      <c r="E4401" s="15" t="n">
        <f aca="false">(Sens!E4391*tk_opex_h100+Sens!E4392*tk_opex_gb200+Sens!E4393*tk_opex_gb300+(Sens!E4395+Sens!E4394)*tk_opex_vr200)/Sens!E4383</f>
        <v>1.88636041306092</v>
      </c>
      <c r="F4401" s="15" t="n">
        <f aca="false">(Sens!F4391*tk_opex_h100+Sens!F4392*tk_opex_gb200+Sens!F4393*tk_opex_gb300+(Sens!F4395+Sens!F4394)*tk_opex_vr200)/Sens!F4383</f>
        <v>1.95051159746876</v>
      </c>
      <c r="G4401" s="15" t="n">
        <f aca="false">(Sens!G4391*tk_opex_h100+Sens!G4392*tk_opex_gb200+Sens!G4393*tk_opex_gb300+(Sens!G4395+Sens!G4394)*tk_opex_vr200)/Sens!G4383</f>
        <v>1.98836003669956</v>
      </c>
      <c r="H4401" s="15" t="n">
        <f aca="false">(Sens!H4391*tk_opex_h100+Sens!H4392*tk_opex_gb200+Sens!H4393*tk_opex_gb300+(Sens!H4395+Sens!H4394)*tk_opex_vr200)/Sens!H4383</f>
        <v>2.02232025393885</v>
      </c>
      <c r="I4401" s="15" t="n">
        <f aca="false">(Sens!I4391*tk_opex_h100+Sens!I4392*tk_opex_gb200+Sens!I4393*tk_opex_gb300+(Sens!I4395+Sens!I4394)*tk_opex_vr200)/Sens!I4383</f>
        <v>2.04408335623333</v>
      </c>
      <c r="J4401" s="15" t="n">
        <f aca="false">(Sens!J4391*tk_opex_h100+Sens!J4392*tk_opex_gb200+Sens!J4393*tk_opex_gb300+(Sens!J4395+Sens!J4394)*tk_opex_vr200)/Sens!J4383</f>
        <v>2.0690255393673</v>
      </c>
      <c r="K4401" s="15" t="n">
        <f aca="false">(Sens!K4391*tk_opex_h100+Sens!K4392*tk_opex_gb200+Sens!K4393*tk_opex_gb300+(Sens!K4395+Sens!K4394)*tk_opex_vr200)/Sens!K4383</f>
        <v>2.1046052549011</v>
      </c>
      <c r="L4401" s="12" t="s">
        <v>983</v>
      </c>
    </row>
    <row r="4402" customFormat="false" ht="17.15" hidden="false" customHeight="false" outlineLevel="0" collapsed="false">
      <c r="A4402" s="0" t="s">
        <v>984</v>
      </c>
      <c r="B4402" s="0" t="s">
        <v>98</v>
      </c>
      <c r="D4402" s="6" t="n">
        <f aca="false">(Sens!C4386+Sens!D4386)/2*Sens!D4401/1000</f>
        <v>2.70378325872065</v>
      </c>
      <c r="E4402" s="6" t="n">
        <f aca="false">(Sens!D4386+Sens!E4386)/2*Sens!E4401/1000</f>
        <v>6.17783035277451</v>
      </c>
      <c r="F4402" s="6" t="n">
        <f aca="false">(Sens!E4386+Sens!F4386)/2*Sens!F4401/1000</f>
        <v>12.8742463089237</v>
      </c>
      <c r="G4402" s="6" t="n">
        <f aca="false">(Sens!F4386+Sens!G4386)/2*Sens!G4401/1000</f>
        <v>21.8182834646277</v>
      </c>
      <c r="H4402" s="6" t="n">
        <f aca="false">(Sens!G4386+Sens!H4386)/2*Sens!H4401/1000</f>
        <v>31.380807671394</v>
      </c>
      <c r="I4402" s="6" t="n">
        <f aca="false">(Sens!H4386+Sens!I4386)/2*Sens!I4401/1000</f>
        <v>39.6538488009602</v>
      </c>
      <c r="J4402" s="6" t="n">
        <f aca="false">(Sens!I4386+Sens!J4386)/2*Sens!J4401/1000</f>
        <v>45.4965951961756</v>
      </c>
      <c r="K4402" s="6" t="n">
        <f aca="false">(Sens!J4386+Sens!K4386)/2*Sens!K4401/1000</f>
        <v>49.1065204703494</v>
      </c>
    </row>
    <row r="4403" customFormat="false" ht="17.15" hidden="false" customHeight="false" outlineLevel="0" collapsed="false">
      <c r="A4403" s="0" t="s">
        <v>985</v>
      </c>
      <c r="B4403" s="0" t="s">
        <v>98</v>
      </c>
      <c r="D4403" s="6" t="n">
        <f aca="false">(Sens!C4384+Sens!D4384)/2*rent_mw/1000</f>
        <v>2.44475</v>
      </c>
      <c r="E4403" s="6" t="n">
        <f aca="false">(Sens!D4384+Sens!E4384)/2*rent_mw/1000</f>
        <v>4.22275</v>
      </c>
      <c r="F4403" s="6" t="n">
        <f aca="false">(Sens!E4384+Sens!F4384)/2*rent_mw/1000</f>
        <v>5.80517</v>
      </c>
      <c r="G4403" s="6" t="n">
        <f aca="false">(Sens!F4384+Sens!G4384)/2*rent_mw/1000</f>
        <v>6.72084</v>
      </c>
      <c r="H4403" s="6" t="n">
        <f aca="false">(Sens!G4384+Sens!H4384)/2*rent_mw/1000</f>
        <v>6.72084</v>
      </c>
      <c r="I4403" s="6" t="n">
        <f aca="false">(Sens!H4384+Sens!I4384)/2*rent_mw/1000</f>
        <v>6.72084</v>
      </c>
      <c r="J4403" s="6" t="n">
        <f aca="false">(Sens!I4384+Sens!J4384)/2*rent_mw/1000</f>
        <v>6.72084</v>
      </c>
      <c r="K4403" s="6" t="n">
        <f aca="false">(Sens!J4384+Sens!K4384)/2*rent_mw/1000</f>
        <v>6.72084</v>
      </c>
    </row>
    <row r="4404" customFormat="false" ht="17.15" hidden="false" customHeight="false" outlineLevel="0" collapsed="false">
      <c r="A4404" s="0" t="s">
        <v>986</v>
      </c>
      <c r="B4404" s="0" t="s">
        <v>98</v>
      </c>
      <c r="D4404" s="6" t="n">
        <f aca="false">(Sens!C4386+Sens!D4386)/2*(1-self_build)*fac_rent/1000</f>
        <v>0.853242375631075</v>
      </c>
      <c r="E4404" s="6" t="n">
        <f aca="false">(Sens!D4386+Sens!E4386)/2*(1-self_build)*fac_rent/1000</f>
        <v>1.94955961408728</v>
      </c>
      <c r="F4404" s="6" t="n">
        <f aca="false">(Sens!E4386+Sens!F4386)/2*(1-self_build)*fac_rent/1000</f>
        <v>3.92914894476356</v>
      </c>
      <c r="G4404" s="6" t="n">
        <f aca="false">(Sens!F4386+Sens!G4386)/2*(1-self_build)*fac_rent/1000</f>
        <v>6.53206908578159</v>
      </c>
      <c r="H4404" s="6" t="n">
        <f aca="false">(Sens!G4386+Sens!H4386)/2*(1-self_build)*fac_rent/1000</f>
        <v>9.23717988341591</v>
      </c>
      <c r="I4404" s="6" t="n">
        <f aca="false">(Sens!H4386+Sens!I4386)/2*(1-self_build)*fac_rent/1000</f>
        <v>11.5481378557393</v>
      </c>
      <c r="J4404" s="6" t="n">
        <f aca="false">(Sens!I4386+Sens!J4386)/2*(1-self_build)*fac_rent/1000</f>
        <v>13.0899582289108</v>
      </c>
      <c r="K4404" s="6" t="n">
        <f aca="false">(Sens!J4386+Sens!K4386)/2*(1-self_build)*fac_rent/1000</f>
        <v>13.8897275626556</v>
      </c>
      <c r="L4404" s="12" t="s">
        <v>987</v>
      </c>
    </row>
    <row r="4405" customFormat="false" ht="17.15" hidden="false" customHeight="false" outlineLevel="0" collapsed="false">
      <c r="A4405" s="1" t="s">
        <v>988</v>
      </c>
      <c r="B4405" s="0" t="s">
        <v>168</v>
      </c>
      <c r="D4405" s="7" t="n">
        <f aca="false">(Sens!C4385+Sens!D4385)/(Sens!C4386+Sens!D4386)</f>
        <v>0.6</v>
      </c>
      <c r="E4405" s="7" t="n">
        <f aca="false">(Sens!D4385+Sens!E4385)/(Sens!D4386+Sens!E4386)</f>
        <v>0.6</v>
      </c>
      <c r="F4405" s="7" t="n">
        <f aca="false">(Sens!E4385+Sens!F4385)/(Sens!E4386+Sens!F4386)</f>
        <v>0.6</v>
      </c>
      <c r="G4405" s="7" t="n">
        <f aca="false">(Sens!F4385+Sens!G4385)/(Sens!F4386+Sens!G4386)</f>
        <v>0.6</v>
      </c>
      <c r="H4405" s="7" t="n">
        <f aca="false">(Sens!G4385+Sens!H4385)/(Sens!G4386+Sens!H4386)</f>
        <v>0.6</v>
      </c>
      <c r="I4405" s="7" t="n">
        <f aca="false">(Sens!H4385+Sens!I4385)/(Sens!H4386+Sens!I4386)</f>
        <v>0.6</v>
      </c>
      <c r="J4405" s="7" t="n">
        <f aca="false">(Sens!I4385+Sens!J4385)/(Sens!I4386+Sens!J4386)</f>
        <v>0.6</v>
      </c>
      <c r="K4405" s="7" t="n">
        <f aca="false">(Sens!J4385+Sens!K4385)/(Sens!J4386+Sens!K4386)</f>
        <v>0.6</v>
      </c>
    </row>
    <row r="4406" customFormat="false" ht="17.15" hidden="false" customHeight="false" outlineLevel="0" collapsed="false">
      <c r="A4406" s="0" t="s">
        <v>989</v>
      </c>
      <c r="B4406" s="0" t="s">
        <v>98</v>
      </c>
      <c r="D4406" s="6" t="n">
        <f aca="false">Sens!D4400-Sens!D4405*(Sens!D4402+Sens!D4404)-Sens!D4403</f>
        <v>8.35701406163072</v>
      </c>
      <c r="E4406" s="6" t="n">
        <f aca="false">Sens!E4400-Sens!E4405*(Sens!E4402+Sens!E4404)-Sens!E4403</f>
        <v>18.7103224860238</v>
      </c>
      <c r="F4406" s="6" t="n">
        <f aca="false">Sens!F4400-Sens!F4405*(Sens!F4402+Sens!F4404)-Sens!F4403</f>
        <v>43.2162094129388</v>
      </c>
      <c r="G4406" s="6" t="n">
        <f aca="false">Sens!G4400-Sens!G4405*(Sens!G4402+Sens!G4404)-Sens!G4403</f>
        <v>79.7204472589529</v>
      </c>
      <c r="H4406" s="6" t="n">
        <f aca="false">Sens!H4400-Sens!H4405*(Sens!H4402+Sens!H4404)-Sens!H4403</f>
        <v>123.90970996363</v>
      </c>
      <c r="I4406" s="6" t="n">
        <f aca="false">Sens!I4400-Sens!I4405*(Sens!I4402+Sens!I4404)-Sens!I4403</f>
        <v>157.141896889055</v>
      </c>
      <c r="J4406" s="6" t="n">
        <f aca="false">Sens!J4400-Sens!J4405*(Sens!J4402+Sens!J4404)-Sens!J4403</f>
        <v>181.793273024188</v>
      </c>
      <c r="K4406" s="6" t="n">
        <f aca="false">Sens!K4400-Sens!K4405*(Sens!K4402+Sens!K4404)-Sens!K4403</f>
        <v>199.056586901321</v>
      </c>
    </row>
    <row r="4407" customFormat="false" ht="17.15" hidden="false" customHeight="false" outlineLevel="0" collapsed="false">
      <c r="A4407" s="1" t="s">
        <v>990</v>
      </c>
      <c r="B4407" s="0" t="s">
        <v>98</v>
      </c>
      <c r="D4407" s="6" t="n">
        <f aca="false">(1-Sens!D4405)*(Sens!D4402+Sens!D4404)</f>
        <v>1.42281025374069</v>
      </c>
      <c r="E4407" s="6" t="n">
        <f aca="false">(1-Sens!E4405)*(Sens!E4402+Sens!E4404)</f>
        <v>3.25095598674472</v>
      </c>
      <c r="F4407" s="6" t="n">
        <f aca="false">(1-Sens!F4405)*(Sens!F4402+Sens!F4404)</f>
        <v>6.72135810147489</v>
      </c>
      <c r="G4407" s="6" t="n">
        <f aca="false">(1-Sens!G4405)*(Sens!G4402+Sens!G4404)</f>
        <v>11.3401410201637</v>
      </c>
      <c r="H4407" s="6" t="n">
        <f aca="false">(1-Sens!H4405)*(Sens!H4402+Sens!H4404)</f>
        <v>16.247195021924</v>
      </c>
      <c r="I4407" s="6" t="n">
        <f aca="false">(1-Sens!I4405)*(Sens!I4402+Sens!I4404)</f>
        <v>20.4807946626798</v>
      </c>
      <c r="J4407" s="6" t="n">
        <f aca="false">(1-Sens!J4405)*(Sens!J4402+Sens!J4404)</f>
        <v>23.4346213700345</v>
      </c>
      <c r="K4407" s="6" t="n">
        <f aca="false">(1-Sens!K4405)*(Sens!K4402+Sens!K4404)</f>
        <v>25.198499213202</v>
      </c>
    </row>
    <row r="4408" customFormat="false" ht="17.15" hidden="false" customHeight="false" outlineLevel="0" collapsed="false">
      <c r="A4408" s="1" t="s">
        <v>991</v>
      </c>
      <c r="B4408" s="0" t="s">
        <v>417</v>
      </c>
      <c r="C4408" s="8" t="n">
        <f aca="false">cxit_open</f>
        <v>27.5918995</v>
      </c>
      <c r="D4408" s="8" t="n">
        <f aca="false">cxit_open</f>
        <v>27.5918995</v>
      </c>
      <c r="E4408" s="8" t="n">
        <f aca="false">cxit_open</f>
        <v>27.5918995</v>
      </c>
      <c r="F4408" s="8" t="n">
        <f aca="false">((a_g3_27-nonnv*a_mai)*tk_cxit_gb300+nonnv*a_mai*nv_hold_mai*tk_cxit_vr200+(1-a_g3_27)*tk_cxit_vr200)</f>
        <v>32.4975576</v>
      </c>
      <c r="G4408" s="8" t="n">
        <f aca="false">((a_g3_28-nonnv*a_mai)*tk_cxit_gb300+nonnv*a_mai*nv_hold_mai*tk_cxit_vr200+(1-a_g3_28)*tk_cxit_vr200)</f>
        <v>34.6372088</v>
      </c>
      <c r="H4408" s="8" t="n">
        <f aca="false">((a_g3_29-nonnv*a_mai)*tk_cxit_gb300+nonnv*a_mai*nv_hold_mai*tk_cxit_vr200+(1-a_g3_29)*tk_cxit_vr200)</f>
        <v>35.7070344</v>
      </c>
      <c r="I4408" s="8" t="n">
        <f aca="false">((a_g3_29-nonnv*a_mai)*tk_cxit_gb300+nonnv*a_mai*nv_hold_mai*tk_cxit_vr200+(1-a_g3_29)*tk_cxit_vr200)</f>
        <v>35.7070344</v>
      </c>
      <c r="J4408" s="8" t="n">
        <f aca="false">((a_g3_29-nonnv*a_mai)*tk_cxit_gb300+nonnv*a_mai*nv_hold_mai*tk_cxit_vr200+(1-a_g3_29)*tk_cxit_vr200)</f>
        <v>35.7070344</v>
      </c>
      <c r="K4408" s="8" t="n">
        <f aca="false">((a_g3_29-nonnv*a_mai)*tk_cxit_gb300+nonnv*a_mai*nv_hold_mai*tk_cxit_vr200+(1-a_g3_29)*tk_cxit_vr200)</f>
        <v>35.7070344</v>
      </c>
      <c r="L4408" s="12" t="s">
        <v>992</v>
      </c>
    </row>
    <row r="4409" customFormat="false" ht="17.15" hidden="false" customHeight="false" outlineLevel="0" collapsed="false">
      <c r="A4409" s="0" t="s">
        <v>993</v>
      </c>
      <c r="B4409" s="0" t="s">
        <v>459</v>
      </c>
      <c r="F4409" s="30" t="n">
        <f aca="false">Sens!C4388*IF(Sens!F4381-Sens!C4381=life_it_lo,1,0)+Sens!D4388*IF(Sens!F4381-Sens!D4381=life_it_lo,1,0)+Sens!E4388*IF(Sens!F4381-Sens!E4381=life_it_lo,1,0)</f>
        <v>0</v>
      </c>
      <c r="G4409" s="30" t="n">
        <f aca="false">Sens!C4388*IF(Sens!G4381-Sens!C4381=life_it_lo,1,0)+Sens!D4388*IF(Sens!G4381-Sens!D4381=life_it_lo,1,0)+Sens!E4388*IF(Sens!G4381-Sens!E4381=life_it_lo,1,0)+Sens!F4388*IF(Sens!G4381-Sens!F4381=life_it_lo,1,0)</f>
        <v>0</v>
      </c>
      <c r="H4409" s="30" t="n">
        <f aca="false">Sens!C4388*IF(Sens!H4381-Sens!C4381=life_it_lo,1,0)+Sens!D4388*IF(Sens!H4381-Sens!D4381=life_it_lo,1,0)+Sens!E4388*IF(Sens!H4381-Sens!E4381=life_it_lo,1,0)+Sens!F4388*IF(Sens!H4381-Sens!F4381=life_it_lo,1,0)+Sens!G4388*IF(Sens!H4381-Sens!G4381=life_it_lo,1,0)</f>
        <v>816.666666666667</v>
      </c>
      <c r="I4409" s="30" t="n">
        <f aca="false">Sens!C4388*IF(Sens!I4381-Sens!C4381=life_it_lo,1,0)+Sens!D4388*IF(Sens!I4381-Sens!D4381=life_it_lo,1,0)+Sens!E4388*IF(Sens!I4381-Sens!E4381=life_it_lo,1,0)+Sens!F4388*IF(Sens!I4381-Sens!F4381=life_it_lo,1,0)+Sens!G4388*IF(Sens!I4381-Sens!G4381=life_it_lo,1,0)+Sens!H4388*IF(Sens!I4381-Sens!H4381=life_it_lo,1,0)</f>
        <v>1233.33333333333</v>
      </c>
      <c r="J4409" s="30" t="n">
        <f aca="false">Sens!C4388*IF(Sens!J4381-Sens!C4381=life_it_lo,1,0)+Sens!D4388*IF(Sens!J4381-Sens!D4381=life_it_lo,1,0)+Sens!E4388*IF(Sens!J4381-Sens!E4381=life_it_lo,1,0)+Sens!F4388*IF(Sens!J4381-Sens!F4381=life_it_lo,1,0)+Sens!G4388*IF(Sens!J4381-Sens!G4381=life_it_lo,1,0)+Sens!H4388*IF(Sens!J4381-Sens!H4381=life_it_lo,1,0)+Sens!I4388*IF(Sens!J4381-Sens!I4381=life_it_lo,1,0)</f>
        <v>2450</v>
      </c>
      <c r="K4409" s="30" t="n">
        <f aca="false">Sens!C4388*IF(Sens!K4381-Sens!C4381=life_it_lo,1,0)+Sens!D4388*IF(Sens!K4381-Sens!D4381=life_it_lo,1,0)+Sens!E4388*IF(Sens!K4381-Sens!E4381=life_it_lo,1,0)+Sens!F4388*IF(Sens!K4381-Sens!F4381=life_it_lo,1,0)+Sens!G4388*IF(Sens!K4381-Sens!G4381=life_it_lo,1,0)+Sens!H4388*IF(Sens!K4381-Sens!H4381=life_it_lo,1,0)+Sens!I4388*IF(Sens!K4381-Sens!I4381=life_it_lo,1,0)+Sens!J4388*IF(Sens!K4381-Sens!J4381=life_it_lo,1,0)</f>
        <v>4200.89183333333</v>
      </c>
      <c r="L4409" s="1" t="s">
        <v>994</v>
      </c>
    </row>
    <row r="4410" customFormat="false" ht="17.15" hidden="false" customHeight="false" outlineLevel="0" collapsed="false">
      <c r="A4410" s="0" t="s">
        <v>995</v>
      </c>
      <c r="B4410" s="0" t="s">
        <v>98</v>
      </c>
      <c r="C4410" s="6" t="n">
        <f aca="false">Sens!C4388*Sens!C4408/1000</f>
        <v>22.5333845916667</v>
      </c>
      <c r="D4410" s="6" t="n">
        <f aca="false">Sens!D4388*Sens!D4408/1000</f>
        <v>34.0300093833333</v>
      </c>
      <c r="E4410" s="6" t="n">
        <f aca="false">Sens!E4388*Sens!E4408/1000</f>
        <v>67.600153775</v>
      </c>
      <c r="F4410" s="6" t="n">
        <f aca="false">(Sens!F4388+Sens!F4409)*Sens!F4408/1000</f>
        <v>136.51872432512</v>
      </c>
      <c r="G4410" s="6" t="n">
        <f aca="false">(Sens!G4388+Sens!G4409)*Sens!G4408/1000</f>
        <v>157.399275932048</v>
      </c>
      <c r="H4410" s="6" t="n">
        <f aca="false">(Sens!H4388+Sens!H4409)*Sens!H4408/1000</f>
        <v>191.421549107512</v>
      </c>
      <c r="I4410" s="6" t="n">
        <f aca="false">(Sens!I4388+Sens!I4409)*Sens!I4408/1000</f>
        <v>159.014500485434</v>
      </c>
      <c r="J4410" s="6" t="n">
        <f aca="false">(Sens!J4388+Sens!J4409)*Sens!J4408/1000</f>
        <v>157.472595877864</v>
      </c>
      <c r="K4410" s="6" t="n">
        <f aca="false">(Sens!K4388+Sens!K4409)*Sens!K4408/1000</f>
        <v>175.956240274487</v>
      </c>
    </row>
    <row r="4411" customFormat="false" ht="17.15" hidden="false" customHeight="false" outlineLevel="0" collapsed="false">
      <c r="A4411" s="0" t="s">
        <v>996</v>
      </c>
      <c r="B4411" s="0" t="s">
        <v>98</v>
      </c>
      <c r="C4411" s="6" t="n">
        <f aca="false">Sens!C4388*self_build*tk_cxfac/1000</f>
        <v>6.2083</v>
      </c>
      <c r="D4411" s="6" t="n">
        <f aca="false">Sens!D4388*self_build*tk_cxfac/1000</f>
        <v>9.3758</v>
      </c>
      <c r="E4411" s="6" t="n">
        <f aca="false">Sens!E4388*self_build*tk_cxfac/1000</f>
        <v>18.6249</v>
      </c>
      <c r="F4411" s="6" t="n">
        <f aca="false">Sens!F4388*self_build*tk_cxfac/1000</f>
        <v>31.935179717</v>
      </c>
      <c r="G4411" s="6" t="n">
        <f aca="false">Sens!G4388*self_build*tk_cxfac/1000</f>
        <v>34.545199717</v>
      </c>
      <c r="H4411" s="6" t="n">
        <f aca="false">Sens!H4388*self_build*tk_cxfac/1000</f>
        <v>34.545199717</v>
      </c>
      <c r="I4411" s="6" t="n">
        <f aca="false">Sens!I4388*self_build*tk_cxfac/1000</f>
        <v>24.4782641361767</v>
      </c>
      <c r="J4411" s="6" t="n">
        <f aca="false">Sens!J4388*self_build*tk_cxfac/1000</f>
        <v>14.9008938380769</v>
      </c>
      <c r="K4411" s="6" t="n">
        <f aca="false">Sens!K4388*self_build*tk_cxfac/1000</f>
        <v>5.52576771375761</v>
      </c>
    </row>
    <row r="4412" customFormat="false" ht="17.15" hidden="false" customHeight="false" outlineLevel="0" collapsed="false">
      <c r="A4412" s="0" t="s">
        <v>997</v>
      </c>
      <c r="B4412" s="0" t="s">
        <v>98</v>
      </c>
      <c r="F4412" s="15" t="n">
        <f aca="false">capex_floor27-Sens!F4410-Sens!F4411-Sens!F4508</f>
        <v>0.0475774452575593</v>
      </c>
      <c r="L4412" s="12" t="s">
        <v>998</v>
      </c>
    </row>
    <row r="4413" customFormat="false" ht="17.15" hidden="false" customHeight="false" outlineLevel="0" collapsed="false">
      <c r="A4413" s="0" t="s">
        <v>999</v>
      </c>
      <c r="B4413" s="0" t="s">
        <v>98</v>
      </c>
      <c r="F4413" s="6" t="n">
        <f aca="false">MAX(0,Sens!F4412)</f>
        <v>0.0475774452575593</v>
      </c>
    </row>
    <row r="4414" customFormat="false" ht="17.15" hidden="false" customHeight="false" outlineLevel="0" collapsed="false">
      <c r="A4414" s="0" t="s">
        <v>1000</v>
      </c>
      <c r="B4414" s="0" t="s">
        <v>98</v>
      </c>
      <c r="C4414" s="6" t="n">
        <f aca="false">Sens!C4410</f>
        <v>22.5333845916667</v>
      </c>
      <c r="D4414" s="6" t="n">
        <f aca="false">Sens!D4410</f>
        <v>34.0300093833333</v>
      </c>
      <c r="E4414" s="6" t="n">
        <f aca="false">Sens!E4410</f>
        <v>67.600153775</v>
      </c>
      <c r="F4414" s="6" t="n">
        <f aca="false">Sens!F4410</f>
        <v>136.51872432512</v>
      </c>
      <c r="G4414" s="6" t="n">
        <f aca="false">Sens!G4410</f>
        <v>157.399275932048</v>
      </c>
      <c r="H4414" s="6" t="n">
        <f aca="false">Sens!H4410</f>
        <v>191.421549107512</v>
      </c>
      <c r="I4414" s="6" t="n">
        <f aca="false">Sens!I4410</f>
        <v>159.014500485434</v>
      </c>
      <c r="J4414" s="6" t="n">
        <f aca="false">Sens!J4410</f>
        <v>157.472595877864</v>
      </c>
      <c r="K4414" s="6" t="n">
        <f aca="false">Sens!K4410</f>
        <v>175.956240274487</v>
      </c>
    </row>
    <row r="4415" customFormat="false" ht="17.15" hidden="false" customHeight="false" outlineLevel="0" collapsed="false">
      <c r="A4415" s="0" t="s">
        <v>1001</v>
      </c>
      <c r="B4415" s="0" t="s">
        <v>98</v>
      </c>
      <c r="C4415" s="6" t="n">
        <f aca="false">Sens!C4414+Sens!C4411</f>
        <v>28.7416845916667</v>
      </c>
      <c r="D4415" s="6" t="n">
        <f aca="false">Sens!D4414+Sens!D4411</f>
        <v>43.4058093833333</v>
      </c>
      <c r="E4415" s="6" t="n">
        <f aca="false">Sens!E4414+Sens!E4411</f>
        <v>86.225053775</v>
      </c>
      <c r="F4415" s="6" t="n">
        <f aca="false">Sens!F4414+Sens!F4411</f>
        <v>168.45390404212</v>
      </c>
      <c r="G4415" s="6" t="n">
        <f aca="false">Sens!G4414+Sens!G4411</f>
        <v>191.944475649048</v>
      </c>
      <c r="H4415" s="6" t="n">
        <f aca="false">Sens!H4414+Sens!H4411</f>
        <v>225.966748824512</v>
      </c>
      <c r="I4415" s="6" t="n">
        <f aca="false">Sens!I4414+Sens!I4411</f>
        <v>183.49276462161</v>
      </c>
      <c r="J4415" s="6" t="n">
        <f aca="false">Sens!J4414+Sens!J4411</f>
        <v>172.37348971594</v>
      </c>
      <c r="K4415" s="6" t="n">
        <f aca="false">Sens!K4414+Sens!K4411</f>
        <v>181.482007988245</v>
      </c>
      <c r="L4415" s="12" t="s">
        <v>1002</v>
      </c>
    </row>
    <row r="4416" customFormat="false" ht="17.15" hidden="false" customHeight="false" outlineLevel="0" collapsed="false">
      <c r="A4416" s="0" t="s">
        <v>1003</v>
      </c>
      <c r="B4416" s="0" t="s">
        <v>98</v>
      </c>
      <c r="E4416" s="6" t="n">
        <f aca="false">(Sens!C4414*IF(2&lt;life_it_lo,1,IF(2=life_it_lo,0.5,0))+Sens!D4414*IF(1&lt;life_it_lo,1,IF(1=life_it_lo,0.5,0))+Sens!E4414*0.5)/life_it_lo</f>
        <v>18.0726941725</v>
      </c>
      <c r="F4416" s="6" t="n">
        <f aca="false">(Sens!C4414*IF(3&lt;life_it_lo,1,IF(3=life_it_lo,0.5,0))+Sens!D4414*IF(2&lt;life_it_lo,1,IF(2=life_it_lo,0.5,0))+Sens!E4414*IF(1&lt;life_it_lo,1,IF(1=life_it_lo,0.5,0))+Sens!F4414*0.5)/life_it_lo</f>
        <v>38.484581982512</v>
      </c>
      <c r="G4416" s="6" t="n">
        <f aca="false">(Sens!C4414*IF(4&lt;life_it_lo,1,IF(4=life_it_lo,0.5,0))+Sens!D4414*IF(3&lt;life_it_lo,1,IF(3=life_it_lo,0.5,0))+Sens!E4414*IF(2&lt;life_it_lo,1,IF(2=life_it_lo,0.5,0))+Sens!F4414*IF(1&lt;life_it_lo,1,IF(1=life_it_lo,0.5,0))+Sens!G4414*0.5)/life_it_lo</f>
        <v>67.8763820082287</v>
      </c>
      <c r="H4416" s="6" t="n">
        <f aca="false">(Sens!C4414*IF(5&lt;life_it_lo,1,IF(5=life_it_lo,0.5,0))+Sens!D4414*IF(4&lt;life_it_lo,1,IF(4=life_it_lo,0.5,0))+Sens!E4414*IF(3&lt;life_it_lo,1,IF(3=life_it_lo,0.5,0))+Sens!F4414*IF(2&lt;life_it_lo,1,IF(2=life_it_lo,0.5,0))+Sens!G4414*IF(1&lt;life_it_lo,1,IF(1=life_it_lo,0.5,0))+Sens!H4414*0.5)/life_it_lo</f>
        <v>100.505126053018</v>
      </c>
      <c r="I4416" s="6" t="n">
        <f aca="false">(Sens!C4414*IF(6&lt;life_it_lo,1,IF(6=life_it_lo,0.5,0))+Sens!D4414*IF(5&lt;life_it_lo,1,IF(5=life_it_lo,0.5,0))+Sens!E4414*IF(4&lt;life_it_lo,1,IF(4=life_it_lo,0.5,0))+Sens!F4414*IF(3&lt;life_it_lo,1,IF(3=life_it_lo,0.5,0))+Sens!G4414*IF(2&lt;life_it_lo,1,IF(2=life_it_lo,0.5,0))+Sens!H4414*IF(1&lt;life_it_lo,1,IF(1=life_it_lo,0.5,0))+Sens!I4414*0.5)/life_it_lo</f>
        <v>129.892391614813</v>
      </c>
      <c r="J4416" s="6" t="n">
        <f aca="false">(Sens!C4414*IF(7&lt;life_it_lo,1,IF(7=life_it_lo,0.5,0))+Sens!D4414*IF(6&lt;life_it_lo,1,IF(6=life_it_lo,0.5,0))+Sens!E4414*IF(5&lt;life_it_lo,1,IF(5=life_it_lo,0.5,0))+Sens!F4414*IF(4&lt;life_it_lo,1,IF(4=life_it_lo,0.5,0))+Sens!G4414*IF(3&lt;life_it_lo,1,IF(3=life_it_lo,0.5,0))+Sens!H4414*IF(2&lt;life_it_lo,1,IF(2=life_it_lo,0.5,0))+Sens!I4414*IF(1&lt;life_it_lo,1,IF(1=life_it_lo,0.5,0))+Sens!J4414*0.5)/life_it_lo</f>
        <v>151.378084935309</v>
      </c>
      <c r="K4416" s="6" t="n">
        <f aca="false">(Sens!C4414*IF(8&lt;life_it_lo,1,IF(8=life_it_lo,0.5,0))+Sens!D4414*IF(7&lt;life_it_lo,1,IF(7=life_it_lo,0.5,0))+Sens!E4414*IF(6&lt;life_it_lo,1,IF(6=life_it_lo,0.5,0))+Sens!F4414*IF(5&lt;life_it_lo,1,IF(5=life_it_lo,0.5,0))+Sens!G4414*IF(4&lt;life_it_lo,1,IF(4=life_it_lo,0.5,0))+Sens!H4414*IF(3&lt;life_it_lo,1,IF(3=life_it_lo,0.5,0))+Sens!I4414*IF(2&lt;life_it_lo,1,IF(2=life_it_lo,0.5,0))+Sens!J4414*IF(1&lt;life_it_lo,1,IF(1=life_it_lo,0.5,0))+Sens!K4414*0.5)/life_it_lo</f>
        <v>164.309080740532</v>
      </c>
    </row>
    <row r="4417" customFormat="false" ht="17.15" hidden="false" customHeight="false" outlineLevel="0" collapsed="false">
      <c r="A4417" s="0" t="s">
        <v>1004</v>
      </c>
      <c r="B4417" s="0" t="s">
        <v>98</v>
      </c>
      <c r="E4417" s="6" t="n">
        <f aca="false">(Sens!C4411*IF(2&lt;life_fac,1,IF(2=life_fac,0.5,0))+Sens!D4411*IF(1&lt;life_fac,1,IF(1=life_fac,0.5,0))+Sens!E4411*0.5)/life_fac</f>
        <v>1.2448275</v>
      </c>
      <c r="F4417" s="6" t="n">
        <f aca="false">(Sens!C4411*IF(3&lt;life_fac,1,IF(3=life_fac,0.5,0))+Sens!D4411*IF(2&lt;life_fac,1,IF(2=life_fac,0.5,0))+Sens!E4411*IF(1&lt;life_fac,1,IF(1=life_fac,0.5,0))+Sens!F4411*0.5)/life_fac</f>
        <v>2.508829492925</v>
      </c>
      <c r="G4417" s="6" t="n">
        <f aca="false">(Sens!C4411*IF(4&lt;life_fac,1,IF(4=life_fac,0.5,0))+Sens!D4411*IF(3&lt;life_fac,1,IF(3=life_fac,0.5,0))+Sens!E4411*IF(2&lt;life_fac,1,IF(2=life_fac,0.5,0))+Sens!F4411*IF(1&lt;life_fac,1,IF(1=life_fac,0.5,0))+Sens!G4411*0.5)/life_fac</f>
        <v>4.170838978775</v>
      </c>
      <c r="H4417" s="6" t="n">
        <f aca="false">(Sens!C4411*IF(5&lt;life_fac,1,IF(5=life_fac,0.5,0))+Sens!D4411*IF(4&lt;life_fac,1,IF(4=life_fac,0.5,0))+Sens!E4411*IF(3&lt;life_fac,1,IF(3=life_fac,0.5,0))+Sens!F4411*IF(2&lt;life_fac,1,IF(2=life_fac,0.5,0))+Sens!G4411*IF(1&lt;life_fac,1,IF(1=life_fac,0.5,0))+Sens!H4411*0.5)/life_fac</f>
        <v>5.898098964625</v>
      </c>
      <c r="I4417" s="6" t="n">
        <f aca="false">(Sens!C4411*IF(6&lt;life_fac,1,IF(6=life_fac,0.5,0))+Sens!D4411*IF(5&lt;life_fac,1,IF(5=life_fac,0.5,0))+Sens!E4411*IF(4&lt;life_fac,1,IF(4=life_fac,0.5,0))+Sens!F4411*IF(3&lt;life_fac,1,IF(3=life_fac,0.5,0))+Sens!G4411*IF(2&lt;life_fac,1,IF(2=life_fac,0.5,0))+Sens!H4411*IF(1&lt;life_fac,1,IF(1=life_fac,0.5,0))+Sens!I4411*0.5)/life_fac</f>
        <v>7.37368556095442</v>
      </c>
      <c r="J4417" s="6" t="n">
        <f aca="false">(Sens!C4411*IF(7&lt;life_fac,1,IF(7=life_fac,0.5,0))+Sens!D4411*IF(6&lt;life_fac,1,IF(6=life_fac,0.5,0))+Sens!E4411*IF(5&lt;life_fac,1,IF(5=life_fac,0.5,0))+Sens!F4411*IF(4&lt;life_fac,1,IF(4=life_fac,0.5,0))+Sens!G4411*IF(3&lt;life_fac,1,IF(3=life_fac,0.5,0))+Sens!H4411*IF(2&lt;life_fac,1,IF(2=life_fac,0.5,0))+Sens!I4411*IF(1&lt;life_fac,1,IF(1=life_fac,0.5,0))+Sens!J4411*0.5)/life_fac</f>
        <v>8.35816451031075</v>
      </c>
      <c r="K4417" s="6" t="n">
        <f aca="false">(Sens!C4411*IF(8&lt;life_fac,1,IF(8=life_fac,0.5,0))+Sens!D4411*IF(7&lt;life_fac,1,IF(7=life_fac,0.5,0))+Sens!E4411*IF(6&lt;life_fac,1,IF(6=life_fac,0.5,0))+Sens!F4411*IF(5&lt;life_fac,1,IF(5=life_fac,0.5,0))+Sens!G4411*IF(4&lt;life_fac,1,IF(4=life_fac,0.5,0))+Sens!H4411*IF(3&lt;life_fac,1,IF(3=life_fac,0.5,0))+Sens!I4411*IF(2&lt;life_fac,1,IF(2=life_fac,0.5,0))+Sens!J4411*IF(1&lt;life_fac,1,IF(1=life_fac,0.5,0))+Sens!K4411*0.5)/life_fac</f>
        <v>8.86883104910662</v>
      </c>
    </row>
    <row r="4418" customFormat="false" ht="17.15" hidden="false" customHeight="false" outlineLevel="0" collapsed="false">
      <c r="A4418" s="0" t="s">
        <v>1005</v>
      </c>
      <c r="B4418" s="0" t="s">
        <v>98</v>
      </c>
      <c r="E4418" s="6" t="n">
        <f aca="false">Sens!E4416+Sens!E4417</f>
        <v>19.3175216725</v>
      </c>
      <c r="F4418" s="6" t="n">
        <f aca="false">Sens!F4416+Sens!F4417</f>
        <v>40.993411475437</v>
      </c>
      <c r="G4418" s="6" t="n">
        <f aca="false">Sens!G4416+Sens!G4417</f>
        <v>72.0472209870037</v>
      </c>
      <c r="H4418" s="6" t="n">
        <f aca="false">Sens!H4416+Sens!H4417</f>
        <v>106.403225017643</v>
      </c>
      <c r="I4418" s="6" t="n">
        <f aca="false">Sens!I4416+Sens!I4417</f>
        <v>137.266077175767</v>
      </c>
      <c r="J4418" s="6" t="n">
        <f aca="false">Sens!J4416+Sens!J4417</f>
        <v>159.73624944562</v>
      </c>
      <c r="K4418" s="6" t="n">
        <f aca="false">Sens!K4416+Sens!K4417</f>
        <v>173.177911789639</v>
      </c>
    </row>
    <row r="4419" customFormat="false" ht="17.15" hidden="false" customHeight="false" outlineLevel="0" collapsed="false">
      <c r="A4419" s="0" t="s">
        <v>1006</v>
      </c>
      <c r="B4419" s="0" t="s">
        <v>98</v>
      </c>
      <c r="E4419" s="6" t="n">
        <f aca="false">Sens!E4406-Sens!E4405*Sens!E4418</f>
        <v>7.11980948252379</v>
      </c>
      <c r="F4419" s="6" t="n">
        <f aca="false">Sens!F4406-Sens!F4405*Sens!F4418</f>
        <v>18.6201625276766</v>
      </c>
      <c r="G4419" s="6" t="n">
        <f aca="false">Sens!G4406-Sens!G4405*Sens!G4418</f>
        <v>36.4921146667506</v>
      </c>
      <c r="H4419" s="6" t="n">
        <f aca="false">Sens!H4406-Sens!H4405*Sens!H4418</f>
        <v>60.0677749530444</v>
      </c>
      <c r="I4419" s="6" t="n">
        <f aca="false">Sens!I4406-Sens!I4405*Sens!I4418</f>
        <v>74.7822505835951</v>
      </c>
      <c r="J4419" s="6" t="n">
        <f aca="false">Sens!J4406-Sens!J4405*Sens!J4418</f>
        <v>85.9515233568157</v>
      </c>
      <c r="K4419" s="6" t="n">
        <f aca="false">Sens!K4406-Sens!K4405*Sens!K4418</f>
        <v>95.1498398275381</v>
      </c>
    </row>
    <row r="4420" customFormat="false" ht="17.15" hidden="false" customHeight="false" outlineLevel="0" collapsed="false">
      <c r="A4420" s="3" t="s">
        <v>1721</v>
      </c>
    </row>
    <row r="4421" customFormat="false" ht="15" hidden="false" customHeight="false" outlineLevel="0" collapsed="false">
      <c r="A4421" s="4" t="s">
        <v>43</v>
      </c>
      <c r="B4421" s="4" t="s">
        <v>65</v>
      </c>
      <c r="C4421" s="23" t="s">
        <v>942</v>
      </c>
      <c r="D4421" s="23" t="s">
        <v>943</v>
      </c>
      <c r="E4421" s="23" t="s">
        <v>944</v>
      </c>
      <c r="F4421" s="23" t="s">
        <v>945</v>
      </c>
      <c r="G4421" s="23" t="s">
        <v>946</v>
      </c>
      <c r="H4421" s="23" t="s">
        <v>947</v>
      </c>
      <c r="I4421" s="23" t="s">
        <v>948</v>
      </c>
      <c r="J4421" s="23" t="s">
        <v>949</v>
      </c>
      <c r="K4421" s="23" t="s">
        <v>950</v>
      </c>
      <c r="L4421" s="4" t="s">
        <v>47</v>
      </c>
    </row>
    <row r="4422" customFormat="false" ht="17.15" hidden="false" customHeight="false" outlineLevel="0" collapsed="false">
      <c r="A4422" s="0" t="s">
        <v>1025</v>
      </c>
      <c r="B4422" s="0" t="s">
        <v>98</v>
      </c>
      <c r="D4422" s="6" t="n">
        <f aca="false">Sens!D4400</f>
        <v>12.9359794422418</v>
      </c>
      <c r="E4422" s="6" t="n">
        <f aca="false">Sens!E4400</f>
        <v>27.8095064661409</v>
      </c>
      <c r="F4422" s="6" t="n">
        <f aca="false">Sens!F4400</f>
        <v>59.1034165651511</v>
      </c>
      <c r="G4422" s="6" t="n">
        <f aca="false">Sens!G4400</f>
        <v>103.451498789198</v>
      </c>
      <c r="H4422" s="6" t="n">
        <f aca="false">Sens!H4400</f>
        <v>155.001342496516</v>
      </c>
      <c r="I4422" s="6" t="n">
        <f aca="false">Sens!I4400</f>
        <v>194.583928883075</v>
      </c>
      <c r="J4422" s="6" t="n">
        <f aca="false">Sens!J4400</f>
        <v>223.666045079239</v>
      </c>
      <c r="K4422" s="6" t="n">
        <f aca="false">Sens!K4400</f>
        <v>243.575175721124</v>
      </c>
    </row>
    <row r="4423" customFormat="false" ht="17.15" hidden="false" customHeight="false" outlineLevel="0" collapsed="false">
      <c r="A4423" s="0" t="s">
        <v>1026</v>
      </c>
      <c r="B4423" s="0" t="s">
        <v>98</v>
      </c>
      <c r="D4423" s="6" t="n">
        <f aca="false">Q!L6-Sens!D4422</f>
        <v>59.6740205577583</v>
      </c>
      <c r="E4423" s="6" t="n">
        <f aca="false">Q!M6-Sens!E4422</f>
        <v>74.1284935338591</v>
      </c>
      <c r="F4423" s="6" t="n">
        <f aca="false">Q!$I$6+(Sens!F4422+Sens!E4423*(1+Sens!F4424))*(1-Q!$E$6/Q!M6)-Sens!F4422</f>
        <v>90.4866018070994</v>
      </c>
      <c r="G4423" s="6" t="n">
        <f aca="false">Sens!F4423*(1+Sens!G4424)</f>
        <v>107.511588557154</v>
      </c>
      <c r="H4423" s="6" t="n">
        <f aca="false">Sens!G4423*(1+Sens!H4424)</f>
        <v>124.832989325489</v>
      </c>
      <c r="I4423" s="6" t="n">
        <f aca="false">Sens!H4423*(1+Sens!I4424)</f>
        <v>141.56992589148</v>
      </c>
      <c r="J4423" s="6" t="n">
        <f aca="false">Sens!I4423*(1+Sens!J4424)</f>
        <v>156.723190479428</v>
      </c>
      <c r="K4423" s="6" t="n">
        <f aca="false">Sens!J4423*(1+Sens!K4424)</f>
        <v>169.261045717783</v>
      </c>
      <c r="L4423" s="12" t="s">
        <v>1027</v>
      </c>
    </row>
    <row r="4424" customFormat="false" ht="15" hidden="false" customHeight="false" outlineLevel="0" collapsed="false">
      <c r="A4424" s="1" t="s">
        <v>1028</v>
      </c>
      <c r="B4424" s="0" t="s">
        <v>168</v>
      </c>
      <c r="E4424" s="7" t="n">
        <f aca="false">Sens!E4423/Sens!D4423-1</f>
        <v>0.242223883039864</v>
      </c>
      <c r="F4424" s="7" t="n">
        <f aca="false">Sens!$E$4424+(glt_azo-Sens!$E$4424)*MIN(1,(Sens!F4381-base_fy)/n_conv)</f>
        <v>0.215186569199887</v>
      </c>
      <c r="G4424" s="7" t="n">
        <f aca="false">Sens!$E$4424+(glt_azo-Sens!$E$4424)*MIN(1,(Sens!G4381-base_fy)/n_conv)</f>
        <v>0.18814925535991</v>
      </c>
      <c r="H4424" s="7" t="n">
        <f aca="false">Sens!$E$4424+(glt_azo-Sens!$E$4424)*MIN(1,(Sens!H4381-base_fy)/n_conv)</f>
        <v>0.161111941519932</v>
      </c>
      <c r="I4424" s="7" t="n">
        <f aca="false">Sens!$E$4424+(glt_azo-Sens!$E$4424)*MIN(1,(Sens!I4381-base_fy)/n_conv)</f>
        <v>0.134074627679955</v>
      </c>
      <c r="J4424" s="7" t="n">
        <f aca="false">Sens!$E$4424+(glt_azo-Sens!$E$4424)*MIN(1,(Sens!J4381-base_fy)/n_conv)</f>
        <v>0.107037313839977</v>
      </c>
      <c r="K4424" s="7" t="n">
        <f aca="false">Sens!$E$4424+(glt_azo-Sens!$E$4424)*MIN(1,(Sens!K4381-base_fy)/n_conv)</f>
        <v>0.08</v>
      </c>
    </row>
    <row r="4425" customFormat="false" ht="15" hidden="false" customHeight="false" outlineLevel="0" collapsed="false">
      <c r="A4425" s="0" t="s">
        <v>1029</v>
      </c>
      <c r="B4425" s="0" t="s">
        <v>98</v>
      </c>
      <c r="D4425" s="6" t="n">
        <f aca="false">Sens!D4422+Sens!D4423</f>
        <v>72.61</v>
      </c>
      <c r="E4425" s="6" t="n">
        <f aca="false">Sens!E4422+Sens!E4423</f>
        <v>101.938</v>
      </c>
      <c r="F4425" s="6" t="n">
        <f aca="false">Sens!F4422+Sens!F4423</f>
        <v>149.59001837225</v>
      </c>
      <c r="G4425" s="6" t="n">
        <f aca="false">Sens!G4422+Sens!G4423</f>
        <v>210.963087346352</v>
      </c>
      <c r="H4425" s="6" t="n">
        <f aca="false">Sens!H4422+Sens!H4423</f>
        <v>279.834331822005</v>
      </c>
      <c r="I4425" s="6" t="n">
        <f aca="false">Sens!I4422+Sens!I4423</f>
        <v>336.153854774555</v>
      </c>
      <c r="J4425" s="6" t="n">
        <f aca="false">Sens!J4422+Sens!J4423</f>
        <v>380.389235558668</v>
      </c>
      <c r="K4425" s="6" t="n">
        <f aca="false">Sens!K4422+Sens!K4423</f>
        <v>412.836221438907</v>
      </c>
    </row>
    <row r="4426" customFormat="false" ht="17.15" hidden="false" customHeight="false" outlineLevel="0" collapsed="false">
      <c r="A4426" s="0" t="s">
        <v>1030</v>
      </c>
      <c r="B4426" s="1" t="s">
        <v>613</v>
      </c>
      <c r="C4426" s="30" t="n">
        <f aca="false">cop_s24</f>
        <v>1</v>
      </c>
      <c r="D4426" s="30" t="n">
        <f aca="false">cop_s25</f>
        <v>5</v>
      </c>
      <c r="E4426" s="30" t="n">
        <f aca="false">cop_s26</f>
        <v>30</v>
      </c>
      <c r="F4426" s="30" t="n">
        <f aca="false">Sens!E4426+cop_add_A</f>
        <v>60</v>
      </c>
      <c r="G4426" s="30" t="n">
        <f aca="false">Sens!F4426+cop_add_A</f>
        <v>90</v>
      </c>
      <c r="H4426" s="30" t="n">
        <f aca="false">Sens!G4426+cop_add_A</f>
        <v>120</v>
      </c>
      <c r="I4426" s="30" t="n">
        <f aca="false">Sens!H4426+cop_add_A*cop_tail</f>
        <v>135</v>
      </c>
      <c r="J4426" s="30" t="n">
        <f aca="false">Sens!I4426+cop_add_A*cop_tail</f>
        <v>150</v>
      </c>
      <c r="K4426" s="30" t="n">
        <f aca="false">Sens!J4426+cop_add_A*cop_tail</f>
        <v>165</v>
      </c>
      <c r="L4426" s="12" t="s">
        <v>1031</v>
      </c>
    </row>
    <row r="4427" customFormat="false" ht="17.15" hidden="false" customHeight="false" outlineLevel="0" collapsed="false">
      <c r="A4427" s="0" t="s">
        <v>1032</v>
      </c>
      <c r="B4427" s="0" t="s">
        <v>98</v>
      </c>
      <c r="D4427" s="6" t="n">
        <f aca="false">(Sens!C4426+Sens!D4426)/2*cop_px*12/1000</f>
        <v>0.9</v>
      </c>
      <c r="E4427" s="6" t="n">
        <f aca="false">(Sens!D4426+Sens!E4426)/2*cop_px*12/1000</f>
        <v>5.25</v>
      </c>
      <c r="F4427" s="6" t="n">
        <f aca="false">(Sens!E4426+Sens!F4426)/2*cop_px*12/1000</f>
        <v>13.5</v>
      </c>
      <c r="G4427" s="6" t="n">
        <f aca="false">(Sens!F4426+Sens!G4426)/2*cop_px*12/1000</f>
        <v>22.5</v>
      </c>
      <c r="H4427" s="6" t="n">
        <f aca="false">(Sens!G4426+Sens!H4426)/2*cop_px*12/1000</f>
        <v>31.5</v>
      </c>
      <c r="I4427" s="6" t="n">
        <f aca="false">(Sens!H4426+Sens!I4426)/2*cop_px*12/1000</f>
        <v>38.25</v>
      </c>
      <c r="J4427" s="6" t="n">
        <f aca="false">(Sens!I4426+Sens!J4426)/2*cop_px*12/1000</f>
        <v>42.75</v>
      </c>
      <c r="K4427" s="6" t="n">
        <f aca="false">(Sens!J4426+Sens!K4426)/2*cop_px*12/1000</f>
        <v>47.25</v>
      </c>
      <c r="L4427" s="1" t="s">
        <v>1033</v>
      </c>
    </row>
    <row r="4428" customFormat="false" ht="17.15" hidden="false" customHeight="false" outlineLevel="0" collapsed="false">
      <c r="A4428" s="0" t="s">
        <v>1034</v>
      </c>
      <c r="B4428" s="0" t="s">
        <v>98</v>
      </c>
      <c r="D4428" s="6" t="n">
        <f aca="false">Q!L7-Sens!D4427</f>
        <v>83.705</v>
      </c>
      <c r="E4428" s="6" t="n">
        <f aca="false">Q!M7-Sens!E4427</f>
        <v>95.049</v>
      </c>
      <c r="F4428" s="6" t="n">
        <f aca="false">Q!$I$7+(Sens!E4428*(1+Sens!F4429)+Sens!F4427)*(1-Q!$E$7/Q!M7)-Sens!F4427</f>
        <v>106.229653205718</v>
      </c>
      <c r="G4428" s="6" t="n">
        <f aca="false">Sens!F4428*(1+Sens!G4429)</f>
        <v>118.306092647576</v>
      </c>
      <c r="H4428" s="6" t="n">
        <f aca="false">Sens!G4428*(1+Sens!H4429)</f>
        <v>130.463437602768</v>
      </c>
      <c r="I4428" s="6" t="n">
        <f aca="false">Sens!H4428*(1+Sens!I4429)</f>
        <v>142.445354741933</v>
      </c>
      <c r="J4428" s="6" t="n">
        <f aca="false">Sens!I4428*(1+Sens!J4429)</f>
        <v>153.972117481571</v>
      </c>
      <c r="K4428" s="6" t="n">
        <f aca="false">Sens!J4428*(1+Sens!K4429)</f>
        <v>164.75016570528</v>
      </c>
      <c r="L4428" s="12" t="s">
        <v>1035</v>
      </c>
    </row>
    <row r="4429" customFormat="false" ht="15" hidden="false" customHeight="false" outlineLevel="0" collapsed="false">
      <c r="A4429" s="1" t="s">
        <v>1028</v>
      </c>
      <c r="B4429" s="0" t="s">
        <v>168</v>
      </c>
      <c r="E4429" s="7" t="n">
        <f aca="false">Sens!E4428/Sens!D4428-1</f>
        <v>0.135523564900544</v>
      </c>
      <c r="F4429" s="7" t="n">
        <f aca="false">Sens!$E$4429+(glt_m365b-Sens!$E$4429)*MIN(1,(Sens!F4381-base_fy)/n_conv)</f>
        <v>0.124602970750453</v>
      </c>
      <c r="G4429" s="7" t="n">
        <f aca="false">Sens!$E$4429+(glt_m365b-Sens!$E$4429)*MIN(1,(Sens!G4381-base_fy)/n_conv)</f>
        <v>0.113682376600363</v>
      </c>
      <c r="H4429" s="7" t="n">
        <f aca="false">Sens!$E$4429+(glt_m365b-Sens!$E$4429)*MIN(1,(Sens!H4381-base_fy)/n_conv)</f>
        <v>0.102761782450272</v>
      </c>
      <c r="I4429" s="7" t="n">
        <f aca="false">Sens!$E$4429+(glt_m365b-Sens!$E$4429)*MIN(1,(Sens!I4381-base_fy)/n_conv)</f>
        <v>0.0918411883001813</v>
      </c>
      <c r="J4429" s="7" t="n">
        <f aca="false">Sens!$E$4429+(glt_m365b-Sens!$E$4429)*MIN(1,(Sens!J4381-base_fy)/n_conv)</f>
        <v>0.0809205941500906</v>
      </c>
      <c r="K4429" s="7" t="n">
        <f aca="false">Sens!$E$4429+(glt_m365b-Sens!$E$4429)*MIN(1,(Sens!K4381-base_fy)/n_conv)</f>
        <v>0.07</v>
      </c>
    </row>
    <row r="4430" customFormat="false" ht="15" hidden="false" customHeight="false" outlineLevel="0" collapsed="false">
      <c r="A4430" s="0" t="s">
        <v>1036</v>
      </c>
      <c r="B4430" s="0" t="s">
        <v>98</v>
      </c>
      <c r="D4430" s="6" t="n">
        <f aca="false">Sens!D4428+Sens!D4427</f>
        <v>84.605</v>
      </c>
      <c r="E4430" s="6" t="n">
        <f aca="false">Sens!E4428+Sens!E4427</f>
        <v>100.299</v>
      </c>
      <c r="F4430" s="6" t="n">
        <f aca="false">Sens!F4428+Sens!F4427</f>
        <v>119.729653205718</v>
      </c>
      <c r="G4430" s="6" t="n">
        <f aca="false">Sens!G4428+Sens!G4427</f>
        <v>140.806092647576</v>
      </c>
      <c r="H4430" s="6" t="n">
        <f aca="false">Sens!H4428+Sens!H4427</f>
        <v>161.963437602768</v>
      </c>
      <c r="I4430" s="6" t="n">
        <f aca="false">Sens!I4428+Sens!I4427</f>
        <v>180.695354741933</v>
      </c>
      <c r="J4430" s="6" t="n">
        <f aca="false">Sens!J4428+Sens!J4427</f>
        <v>196.722117481571</v>
      </c>
      <c r="K4430" s="6" t="n">
        <f aca="false">Sens!K4428+Sens!K4427</f>
        <v>212.00016570528</v>
      </c>
    </row>
    <row r="4431" customFormat="false" ht="17.15" hidden="false" customHeight="false" outlineLevel="0" collapsed="false">
      <c r="A4431" s="0" t="s">
        <v>1037</v>
      </c>
      <c r="B4431" s="0" t="s">
        <v>98</v>
      </c>
      <c r="D4431" s="6" t="n">
        <f aca="false">Q!L8</f>
        <v>35.391</v>
      </c>
      <c r="E4431" s="6" t="n">
        <f aca="false">Q!M8</f>
        <v>37.285</v>
      </c>
      <c r="F4431" s="6" t="n">
        <f aca="false">Q!$I$8+(Q!M8-Q!$E$8)*(1+Sens!F4432)</f>
        <v>38.3851437782675</v>
      </c>
      <c r="G4431" s="6" t="n">
        <f aca="false">Sens!F4431*(1+Sens!G4432)</f>
        <v>40.0105353288615</v>
      </c>
      <c r="H4431" s="6" t="n">
        <f aca="false">Sens!G4431*(1+Sens!H4432)</f>
        <v>41.4812512033683</v>
      </c>
      <c r="I4431" s="6" t="n">
        <f aca="false">Sens!H4431*(1+Sens!I4432)</f>
        <v>42.7743107216329</v>
      </c>
      <c r="J4431" s="6" t="n">
        <f aca="false">Sens!I4431*(1+Sens!J4432)</f>
        <v>43.8687373064601</v>
      </c>
      <c r="K4431" s="6" t="n">
        <f aca="false">Sens!J4431*(1+Sens!K4432)</f>
        <v>44.7461120525893</v>
      </c>
      <c r="L4431" s="12" t="s">
        <v>1038</v>
      </c>
    </row>
    <row r="4432" customFormat="false" ht="15" hidden="false" customHeight="false" outlineLevel="0" collapsed="false">
      <c r="A4432" s="1" t="s">
        <v>1028</v>
      </c>
      <c r="B4432" s="0" t="s">
        <v>168</v>
      </c>
      <c r="E4432" s="7" t="n">
        <f aca="false">Sens!E4431/Sens!D4431-1</f>
        <v>0.0535164307309768</v>
      </c>
      <c r="F4432" s="7" t="n">
        <f aca="false">Sens!$E$4432+(glt_lic-Sens!$E$4432)*MIN(1,(Sens!F4381-base_fy)/n_conv)</f>
        <v>0.0479303589424807</v>
      </c>
      <c r="G4432" s="7" t="n">
        <f aca="false">Sens!$E$4432+(glt_lic-Sens!$E$4432)*MIN(1,(Sens!G4381-base_fy)/n_conv)</f>
        <v>0.0423442871539845</v>
      </c>
      <c r="H4432" s="7" t="n">
        <f aca="false">Sens!$E$4432+(glt_lic-Sens!$E$4432)*MIN(1,(Sens!H4381-base_fy)/n_conv)</f>
        <v>0.0367582153654884</v>
      </c>
      <c r="I4432" s="7" t="n">
        <f aca="false">Sens!$E$4432+(glt_lic-Sens!$E$4432)*MIN(1,(Sens!I4381-base_fy)/n_conv)</f>
        <v>0.0311721435769923</v>
      </c>
      <c r="J4432" s="7" t="n">
        <f aca="false">Sens!$E$4432+(glt_lic-Sens!$E$4432)*MIN(1,(Sens!J4381-base_fy)/n_conv)</f>
        <v>0.0255860717884961</v>
      </c>
      <c r="K4432" s="7" t="n">
        <f aca="false">Sens!$E$4432+(glt_lic-Sens!$E$4432)*MIN(1,(Sens!K4381-base_fy)/n_conv)</f>
        <v>0.02</v>
      </c>
    </row>
    <row r="4433" customFormat="false" ht="17.15" hidden="false" customHeight="false" outlineLevel="0" collapsed="false">
      <c r="A4433" s="0" t="s">
        <v>1039</v>
      </c>
      <c r="B4433" s="0" t="s">
        <v>98</v>
      </c>
      <c r="D4433" s="6" t="n">
        <f aca="false">Q!L9</f>
        <v>18.417</v>
      </c>
      <c r="E4433" s="6" t="n">
        <f aca="false">Q!M9</f>
        <v>20.345</v>
      </c>
      <c r="F4433" s="6" t="n">
        <f aca="false">Q!$I$9+(Q!M9-Q!$E$9)*(1+Sens!F4434)</f>
        <v>22.3161797133988</v>
      </c>
      <c r="G4433" s="6" t="n">
        <f aca="false">Sens!F4433*(1+Sens!G4434)</f>
        <v>24.3943499673233</v>
      </c>
      <c r="H4433" s="6" t="n">
        <f aca="false">Sens!G4433*(1+Sens!H4434)</f>
        <v>26.5250243109019</v>
      </c>
      <c r="I4433" s="6" t="n">
        <f aca="false">Sens!H4433*(1+Sens!I4434)</f>
        <v>28.6884573538181</v>
      </c>
      <c r="J4433" s="6" t="n">
        <f aca="false">Sens!I4433*(1+Sens!J4434)</f>
        <v>30.8624968052127</v>
      </c>
      <c r="K4433" s="6" t="n">
        <f aca="false">Sens!J4433*(1+Sens!K4434)</f>
        <v>33.0228715815776</v>
      </c>
      <c r="L4433" s="12" t="s">
        <v>1038</v>
      </c>
    </row>
    <row r="4434" customFormat="false" ht="15" hidden="false" customHeight="false" outlineLevel="0" collapsed="false">
      <c r="A4434" s="1" t="s">
        <v>1028</v>
      </c>
      <c r="B4434" s="0" t="s">
        <v>168</v>
      </c>
      <c r="E4434" s="7" t="n">
        <f aca="false">Sens!E4433/Sens!D4433-1</f>
        <v>0.104685888038225</v>
      </c>
      <c r="F4434" s="7" t="n">
        <f aca="false">Sens!$E$4434+(glt_ind-Sens!$E$4434)*MIN(1,(Sens!F4381-base_fy)/n_conv)</f>
        <v>0.0989049066985211</v>
      </c>
      <c r="G4434" s="7" t="n">
        <f aca="false">Sens!$E$4434+(glt_ind-Sens!$E$4434)*MIN(1,(Sens!G4381-base_fy)/n_conv)</f>
        <v>0.0931239253588169</v>
      </c>
      <c r="H4434" s="7" t="n">
        <f aca="false">Sens!$E$4434+(glt_ind-Sens!$E$4434)*MIN(1,(Sens!H4381-base_fy)/n_conv)</f>
        <v>0.0873429440191127</v>
      </c>
      <c r="I4434" s="7" t="n">
        <f aca="false">Sens!$E$4434+(glt_ind-Sens!$E$4434)*MIN(1,(Sens!I4381-base_fy)/n_conv)</f>
        <v>0.0815619626794085</v>
      </c>
      <c r="J4434" s="7" t="n">
        <f aca="false">Sens!$E$4434+(glt_ind-Sens!$E$4434)*MIN(1,(Sens!J4381-base_fy)/n_conv)</f>
        <v>0.0757809813397042</v>
      </c>
      <c r="K4434" s="7" t="n">
        <f aca="false">Sens!$E$4434+(glt_ind-Sens!$E$4434)*MIN(1,(Sens!K4381-base_fy)/n_conv)</f>
        <v>0.07</v>
      </c>
    </row>
    <row r="4435" customFormat="false" ht="17.15" hidden="false" customHeight="false" outlineLevel="0" collapsed="false">
      <c r="A4435" s="0" t="s">
        <v>1040</v>
      </c>
      <c r="B4435" s="0" t="s">
        <v>98</v>
      </c>
      <c r="D4435" s="6" t="n">
        <f aca="false">Q!L10</f>
        <v>7.76</v>
      </c>
      <c r="E4435" s="6" t="n">
        <f aca="false">Q!M10</f>
        <v>8.26</v>
      </c>
      <c r="F4435" s="6" t="n">
        <f aca="false">Q!$I$10+(Q!M10-Q!$E$10)*(1+Sens!F4436)</f>
        <v>8.75372082474227</v>
      </c>
      <c r="G4435" s="6" t="n">
        <f aca="false">Sens!F4435*(1+Sens!G4436)</f>
        <v>9.33399324642364</v>
      </c>
      <c r="H4435" s="6" t="n">
        <f aca="false">Sens!G4435*(1+Sens!H4436)</f>
        <v>9.96139155535851</v>
      </c>
      <c r="I4435" s="6" t="n">
        <f aca="false">Sens!H4435*(1+Sens!I4436)</f>
        <v>10.6402039077391</v>
      </c>
      <c r="J4435" s="6" t="n">
        <f aca="false">Sens!I4435*(1+Sens!J4436)</f>
        <v>11.3751458271397</v>
      </c>
      <c r="K4435" s="6" t="n">
        <f aca="false">Sens!J4435*(1+Sens!K4436)</f>
        <v>12.1714060350394</v>
      </c>
      <c r="L4435" s="12" t="s">
        <v>1038</v>
      </c>
    </row>
    <row r="4436" customFormat="false" ht="15" hidden="false" customHeight="false" outlineLevel="0" collapsed="false">
      <c r="A4436" s="1" t="s">
        <v>1028</v>
      </c>
      <c r="B4436" s="0" t="s">
        <v>168</v>
      </c>
      <c r="E4436" s="7" t="n">
        <f aca="false">Sens!E4435/Sens!D4435-1</f>
        <v>0.0644329896907216</v>
      </c>
      <c r="F4436" s="7" t="n">
        <f aca="false">Sens!$E$4436+(glt_fro-Sens!$E$4436)*MIN(1,(Sens!F4381-base_fy)/n_conv)</f>
        <v>0.065360824742268</v>
      </c>
      <c r="G4436" s="7" t="n">
        <f aca="false">Sens!$E$4436+(glt_fro-Sens!$E$4436)*MIN(1,(Sens!G4381-base_fy)/n_conv)</f>
        <v>0.0662886597938144</v>
      </c>
      <c r="H4436" s="7" t="n">
        <f aca="false">Sens!$E$4436+(glt_fro-Sens!$E$4436)*MIN(1,(Sens!H4381-base_fy)/n_conv)</f>
        <v>0.0672164948453608</v>
      </c>
      <c r="I4436" s="7" t="n">
        <f aca="false">Sens!$E$4436+(glt_fro-Sens!$E$4436)*MIN(1,(Sens!I4381-base_fy)/n_conv)</f>
        <v>0.0681443298969072</v>
      </c>
      <c r="J4436" s="7" t="n">
        <f aca="false">Sens!$E$4436+(glt_fro-Sens!$E$4436)*MIN(1,(Sens!J4381-base_fy)/n_conv)</f>
        <v>0.0690721649484536</v>
      </c>
      <c r="K4436" s="7" t="n">
        <f aca="false">Sens!$E$4436+(glt_fro-Sens!$E$4436)*MIN(1,(Sens!K4381-base_fy)/n_conv)</f>
        <v>0.07</v>
      </c>
    </row>
    <row r="4437" customFormat="false" ht="15" hidden="false" customHeight="false" outlineLevel="0" collapsed="false">
      <c r="A4437" s="0" t="s">
        <v>856</v>
      </c>
      <c r="B4437" s="0" t="s">
        <v>98</v>
      </c>
      <c r="D4437" s="6" t="n">
        <f aca="false">Sens!D4425+Sens!D4430+Sens!D4431+Sens!D4433+Sens!D4435</f>
        <v>218.783</v>
      </c>
      <c r="E4437" s="6" t="n">
        <f aca="false">Sens!E4425+Sens!E4430+Sens!E4431+Sens!E4433+Sens!E4435</f>
        <v>268.127</v>
      </c>
      <c r="F4437" s="6" t="n">
        <f aca="false">Sens!F4425+Sens!F4430+Sens!F4431+Sens!F4433+Sens!F4435</f>
        <v>338.774715894377</v>
      </c>
      <c r="G4437" s="6" t="n">
        <f aca="false">Sens!G4425+Sens!G4430+Sens!G4431+Sens!G4433+Sens!G4435</f>
        <v>425.508058536537</v>
      </c>
      <c r="H4437" s="6" t="n">
        <f aca="false">Sens!H4425+Sens!H4430+Sens!H4431+Sens!H4433+Sens!H4435</f>
        <v>519.765436494402</v>
      </c>
      <c r="I4437" s="6" t="n">
        <f aca="false">Sens!I4425+Sens!I4430+Sens!I4431+Sens!I4433+Sens!I4435</f>
        <v>598.952181499678</v>
      </c>
      <c r="J4437" s="6" t="n">
        <f aca="false">Sens!J4425+Sens!J4430+Sens!J4431+Sens!J4433+Sens!J4435</f>
        <v>663.217732979051</v>
      </c>
      <c r="K4437" s="6" t="n">
        <f aca="false">Sens!K4425+Sens!K4430+Sens!K4431+Sens!K4433+Sens!K4435</f>
        <v>714.776776813394</v>
      </c>
    </row>
    <row r="4438" customFormat="false" ht="17.15" hidden="false" customHeight="false" outlineLevel="0" collapsed="false">
      <c r="A4438" s="0" t="s">
        <v>1041</v>
      </c>
      <c r="B4438" s="0" t="s">
        <v>98</v>
      </c>
      <c r="D4438" s="6" t="n">
        <f aca="false">Q!L13</f>
        <v>22.171</v>
      </c>
      <c r="E4438" s="6" t="n">
        <f aca="false">Q!M13</f>
        <v>24.835</v>
      </c>
      <c r="F4438" s="6" t="n">
        <f aca="false">Q!$I$13+(Q!M13-Q!$E$13)*(1+Sens!F4439)</f>
        <v>27.5591895660247</v>
      </c>
      <c r="G4438" s="6" t="n">
        <f aca="false">Sens!F4438*(1+Sens!G4439)</f>
        <v>30.4098563144583</v>
      </c>
      <c r="H4438" s="6" t="n">
        <f aca="false">Sens!G4438*(1+Sens!H4439)</f>
        <v>33.3011792571777</v>
      </c>
      <c r="I4438" s="6" t="n">
        <f aca="false">Sens!H4438*(1+Sens!I4439)</f>
        <v>36.189023797112</v>
      </c>
      <c r="J4438" s="6" t="n">
        <f aca="false">Sens!I4438*(1+Sens!J4439)</f>
        <v>39.0247773769199</v>
      </c>
      <c r="K4438" s="6" t="n">
        <f aca="false">Sens!J4438*(1+Sens!K4439)</f>
        <v>41.7565117933043</v>
      </c>
      <c r="L4438" s="12" t="s">
        <v>1038</v>
      </c>
    </row>
    <row r="4439" customFormat="false" ht="15" hidden="false" customHeight="false" outlineLevel="0" collapsed="false">
      <c r="A4439" s="1" t="s">
        <v>1028</v>
      </c>
      <c r="B4439" s="0" t="s">
        <v>168</v>
      </c>
      <c r="E4439" s="7" t="n">
        <f aca="false">Sens!E4438/Sens!D4438-1</f>
        <v>0.120156961796942</v>
      </c>
      <c r="F4439" s="7" t="n">
        <f aca="false">Sens!$E$4439+(glt_srch-Sens!$E$4439)*MIN(1,(Sens!F4381-base_fy)/n_conv)</f>
        <v>0.111797468164118</v>
      </c>
      <c r="G4439" s="7" t="n">
        <f aca="false">Sens!$E$4439+(glt_srch-Sens!$E$4439)*MIN(1,(Sens!G4381-base_fy)/n_conv)</f>
        <v>0.103437974531295</v>
      </c>
      <c r="H4439" s="7" t="n">
        <f aca="false">Sens!$E$4439+(glt_srch-Sens!$E$4439)*MIN(1,(Sens!H4381-base_fy)/n_conv)</f>
        <v>0.095078480898471</v>
      </c>
      <c r="I4439" s="7" t="n">
        <f aca="false">Sens!$E$4439+(glt_srch-Sens!$E$4439)*MIN(1,(Sens!I4381-base_fy)/n_conv)</f>
        <v>0.0867189872656474</v>
      </c>
      <c r="J4439" s="7" t="n">
        <f aca="false">Sens!$E$4439+(glt_srch-Sens!$E$4439)*MIN(1,(Sens!J4381-base_fy)/n_conv)</f>
        <v>0.0783594936328237</v>
      </c>
      <c r="K4439" s="7" t="n">
        <f aca="false">Sens!$E$4439+(glt_srch-Sens!$E$4439)*MIN(1,(Sens!K4381-base_fy)/n_conv)</f>
        <v>0.07</v>
      </c>
    </row>
    <row r="4440" customFormat="false" ht="17.15" hidden="false" customHeight="false" outlineLevel="0" collapsed="false">
      <c r="A4440" s="0" t="s">
        <v>1042</v>
      </c>
      <c r="B4440" s="0" t="s">
        <v>98</v>
      </c>
      <c r="D4440" s="6" t="n">
        <f aca="false">Q!L14</f>
        <v>23.455</v>
      </c>
      <c r="E4440" s="6" t="n">
        <f aca="false">Q!M14</f>
        <v>21.79</v>
      </c>
      <c r="F4440" s="6" t="n">
        <f aca="false">Q!$I$14+(Q!M14-Q!$E$14)*(1+Sens!F4441)</f>
        <v>20.7520981041711</v>
      </c>
      <c r="G4440" s="6" t="n">
        <f aca="false">Sens!F4440*(1+Sens!G4441)</f>
        <v>19.9083593495882</v>
      </c>
      <c r="H4440" s="6" t="n">
        <f aca="false">Sens!G4440*(1+Sens!H4441)</f>
        <v>19.4008256265831</v>
      </c>
      <c r="I4440" s="6" t="n">
        <f aca="false">Sens!H4440*(1+Sens!I4441)</f>
        <v>19.200434522122</v>
      </c>
      <c r="J4440" s="6" t="n">
        <f aca="false">Sens!I4440*(1+Sens!J4441)</f>
        <v>19.2932782348507</v>
      </c>
      <c r="K4440" s="6" t="n">
        <f aca="false">Sens!J4440*(1+Sens!K4441)</f>
        <v>19.6791437995477</v>
      </c>
      <c r="L4440" s="12" t="s">
        <v>1038</v>
      </c>
    </row>
    <row r="4441" customFormat="false" ht="15" hidden="false" customHeight="false" outlineLevel="0" collapsed="false">
      <c r="A4441" s="1" t="s">
        <v>1028</v>
      </c>
      <c r="B4441" s="0" t="s">
        <v>168</v>
      </c>
      <c r="E4441" s="7" t="n">
        <f aca="false">Sens!E4440/Sens!D4440-1</f>
        <v>-0.0709869963760392</v>
      </c>
      <c r="F4441" s="7" t="n">
        <f aca="false">Sens!$E$4441+(glt_xbox-Sens!$E$4441)*MIN(1,(Sens!F4381-base_fy)/n_conv)</f>
        <v>-0.0558224969800327</v>
      </c>
      <c r="G4441" s="7" t="n">
        <f aca="false">Sens!$E$4441+(glt_xbox-Sens!$E$4441)*MIN(1,(Sens!G4381-base_fy)/n_conv)</f>
        <v>-0.0406579975840262</v>
      </c>
      <c r="H4441" s="7" t="n">
        <f aca="false">Sens!$E$4441+(glt_xbox-Sens!$E$4441)*MIN(1,(Sens!H4381-base_fy)/n_conv)</f>
        <v>-0.0254934981880196</v>
      </c>
      <c r="I4441" s="7" t="n">
        <f aca="false">Sens!$E$4441+(glt_xbox-Sens!$E$4441)*MIN(1,(Sens!I4381-base_fy)/n_conv)</f>
        <v>-0.0103289987920131</v>
      </c>
      <c r="J4441" s="7" t="n">
        <f aca="false">Sens!$E$4441+(glt_xbox-Sens!$E$4441)*MIN(1,(Sens!J4381-base_fy)/n_conv)</f>
        <v>0.00483550060399347</v>
      </c>
      <c r="K4441" s="7" t="n">
        <f aca="false">Sens!$E$4441+(glt_xbox-Sens!$E$4441)*MIN(1,(Sens!K4381-base_fy)/n_conv)</f>
        <v>0.02</v>
      </c>
    </row>
    <row r="4442" customFormat="false" ht="17.15" hidden="false" customHeight="false" outlineLevel="0" collapsed="false">
      <c r="A4442" s="0" t="s">
        <v>1043</v>
      </c>
      <c r="B4442" s="0" t="s">
        <v>98</v>
      </c>
      <c r="D4442" s="6" t="n">
        <f aca="false">Q!L15</f>
        <v>17.315</v>
      </c>
      <c r="E4442" s="6" t="n">
        <f aca="false">Q!M15</f>
        <v>17.087</v>
      </c>
      <c r="F4442" s="6" t="n">
        <f aca="false">Q!$I$15+(Q!M15-Q!$E$15)*(1+Sens!F4443)</f>
        <v>15.9912273250553</v>
      </c>
      <c r="G4442" s="6" t="n">
        <f aca="false">Sens!F4442*(1+Sens!G4443)</f>
        <v>15.9574562664827</v>
      </c>
      <c r="H4442" s="6" t="n">
        <f aca="false">Sens!G4442*(1+Sens!H4443)</f>
        <v>16.0119687434196</v>
      </c>
      <c r="I4442" s="6" t="n">
        <f aca="false">Sens!H4442*(1+Sens!I4443)</f>
        <v>16.1551810001948</v>
      </c>
      <c r="J4442" s="6" t="n">
        <f aca="false">Sens!I4442*(1+Sens!J4443)</f>
        <v>16.3889793892005</v>
      </c>
      <c r="K4442" s="6" t="n">
        <f aca="false">Sens!J4442*(1+Sens!K4443)</f>
        <v>16.7167589769845</v>
      </c>
      <c r="L4442" s="12" t="s">
        <v>1038</v>
      </c>
    </row>
    <row r="4443" customFormat="false" ht="15" hidden="false" customHeight="false" outlineLevel="0" collapsed="false">
      <c r="A4443" s="1" t="s">
        <v>1028</v>
      </c>
      <c r="B4443" s="0" t="s">
        <v>168</v>
      </c>
      <c r="E4443" s="7" t="n">
        <f aca="false">Sens!E4442/Sens!D4442-1</f>
        <v>-0.0131677736066995</v>
      </c>
      <c r="F4443" s="7" t="n">
        <f aca="false">Sens!$E$4443+(glt_win-Sens!$E$4443)*MIN(1,(Sens!F4381-base_fy)/n_conv)</f>
        <v>-0.00763981133891627</v>
      </c>
      <c r="G4443" s="7" t="n">
        <f aca="false">Sens!$E$4443+(glt_win-Sens!$E$4443)*MIN(1,(Sens!G4381-base_fy)/n_conv)</f>
        <v>-0.00211184907113301</v>
      </c>
      <c r="H4443" s="7" t="n">
        <f aca="false">Sens!$E$4443+(glt_win-Sens!$E$4443)*MIN(1,(Sens!H4381-base_fy)/n_conv)</f>
        <v>0.00341611319665024</v>
      </c>
      <c r="I4443" s="7" t="n">
        <f aca="false">Sens!$E$4443+(glt_win-Sens!$E$4443)*MIN(1,(Sens!I4381-base_fy)/n_conv)</f>
        <v>0.00894407546443349</v>
      </c>
      <c r="J4443" s="7" t="n">
        <f aca="false">Sens!$E$4443+(glt_win-Sens!$E$4443)*MIN(1,(Sens!J4381-base_fy)/n_conv)</f>
        <v>0.0144720377322168</v>
      </c>
      <c r="K4443" s="7" t="n">
        <f aca="false">Sens!$E$4443+(glt_win-Sens!$E$4443)*MIN(1,(Sens!K4381-base_fy)/n_conv)</f>
        <v>0.02</v>
      </c>
    </row>
    <row r="4444" customFormat="false" ht="15" hidden="false" customHeight="false" outlineLevel="0" collapsed="false">
      <c r="A4444" s="0" t="s">
        <v>870</v>
      </c>
      <c r="B4444" s="0" t="s">
        <v>98</v>
      </c>
      <c r="D4444" s="6" t="n">
        <f aca="false">Sens!D4438+Sens!D4440+Sens!D4442</f>
        <v>62.941</v>
      </c>
      <c r="E4444" s="6" t="n">
        <f aca="false">Sens!E4438+Sens!E4440+Sens!E4442</f>
        <v>63.712</v>
      </c>
      <c r="F4444" s="6" t="n">
        <f aca="false">Sens!F4438+Sens!F4440+Sens!F4442</f>
        <v>64.3025149952511</v>
      </c>
      <c r="G4444" s="6" t="n">
        <f aca="false">Sens!G4438+Sens!G4440+Sens!G4442</f>
        <v>66.2756719305292</v>
      </c>
      <c r="H4444" s="6" t="n">
        <f aca="false">Sens!H4438+Sens!H4440+Sens!H4442</f>
        <v>68.7139736271804</v>
      </c>
      <c r="I4444" s="6" t="n">
        <f aca="false">Sens!I4438+Sens!I4440+Sens!I4442</f>
        <v>71.5446393194289</v>
      </c>
      <c r="J4444" s="6" t="n">
        <f aca="false">Sens!J4438+Sens!J4440+Sens!J4442</f>
        <v>74.707035000971</v>
      </c>
      <c r="K4444" s="6" t="n">
        <f aca="false">Sens!K4438+Sens!K4440+Sens!K4442</f>
        <v>78.1524145698365</v>
      </c>
    </row>
    <row r="4445" customFormat="false" ht="15" hidden="false" customHeight="false" outlineLevel="0" collapsed="false">
      <c r="A4445" s="1" t="s">
        <v>1044</v>
      </c>
      <c r="B4445" s="0" t="s">
        <v>98</v>
      </c>
      <c r="D4445" s="6" t="n">
        <f aca="false">Sens!D4437+Sens!D4444</f>
        <v>281.724</v>
      </c>
      <c r="E4445" s="6" t="n">
        <f aca="false">Sens!E4437+Sens!E4444</f>
        <v>331.839</v>
      </c>
      <c r="F4445" s="6" t="n">
        <f aca="false">Sens!F4437+Sens!F4444</f>
        <v>403.077230889628</v>
      </c>
      <c r="G4445" s="6" t="n">
        <f aca="false">Sens!G4437+Sens!G4444</f>
        <v>491.783730467066</v>
      </c>
      <c r="H4445" s="6" t="n">
        <f aca="false">Sens!H4437+Sens!H4444</f>
        <v>588.479410121582</v>
      </c>
      <c r="I4445" s="6" t="n">
        <f aca="false">Sens!I4437+Sens!I4444</f>
        <v>670.496820819107</v>
      </c>
      <c r="J4445" s="6" t="n">
        <f aca="false">Sens!J4437+Sens!J4444</f>
        <v>737.924767980022</v>
      </c>
      <c r="K4445" s="6" t="n">
        <f aca="false">Sens!K4437+Sens!K4444</f>
        <v>792.92919138323</v>
      </c>
    </row>
    <row r="4446" customFormat="false" ht="15" hidden="false" customHeight="false" outlineLevel="0" collapsed="false">
      <c r="A4446" s="26" t="s">
        <v>1045</v>
      </c>
      <c r="B4446" s="31" t="s">
        <v>98</v>
      </c>
      <c r="C4446" s="31"/>
      <c r="D4446" s="27" t="n">
        <f aca="false">(Sens!D4425+Sens!D4430+Sens!D4431+Sens!D4433+Sens!D4435-Sens!D4437)+(Sens!D4438+Sens!D4440+Sens!D4442-Sens!D4444)+(Sens!D4437-Q!L5)+(Sens!D4444-Q!L12)+(Sens!D4425-Q!L6)+(Sens!D4430-Q!L7)</f>
        <v>0</v>
      </c>
      <c r="E4446" s="27" t="n">
        <f aca="false">(Sens!E4425+Sens!E4430+Sens!E4431+Sens!E4433+Sens!E4435-Sens!E4437)+(Sens!E4438+Sens!E4440+Sens!E4442-Sens!E4444)+(Sens!E4437-Q!M5)+(Sens!E4444-Q!M12)+(Sens!E4425-Q!M6)+(Sens!E4430-Q!M7)</f>
        <v>0</v>
      </c>
      <c r="F4446" s="27" t="n">
        <f aca="false">(Sens!F4425+Sens!F4430+Sens!F4431+Sens!F4433+Sens!F4435-Sens!F4437)+(Sens!F4438+Sens!F4440+Sens!F4442-Sens!F4444)</f>
        <v>0</v>
      </c>
      <c r="G4446" s="27" t="n">
        <f aca="false">(Sens!G4425+Sens!G4430+Sens!G4431+Sens!G4433+Sens!G4435-Sens!G4437)+(Sens!G4438+Sens!G4440+Sens!G4442-Sens!G4444)</f>
        <v>0</v>
      </c>
      <c r="H4446" s="27" t="n">
        <f aca="false">(Sens!H4425+Sens!H4430+Sens!H4431+Sens!H4433+Sens!H4435-Sens!H4437)+(Sens!H4438+Sens!H4440+Sens!H4442-Sens!H4444)</f>
        <v>0</v>
      </c>
      <c r="I4446" s="27" t="n">
        <f aca="false">(Sens!I4425+Sens!I4430+Sens!I4431+Sens!I4433+Sens!I4435-Sens!I4437)+(Sens!I4438+Sens!I4440+Sens!I4442-Sens!I4444)</f>
        <v>0</v>
      </c>
      <c r="J4446" s="27" t="n">
        <f aca="false">(Sens!J4425+Sens!J4430+Sens!J4431+Sens!J4433+Sens!J4435-Sens!J4437)+(Sens!J4438+Sens!J4440+Sens!J4442-Sens!J4444)</f>
        <v>0</v>
      </c>
      <c r="K4446" s="27" t="n">
        <f aca="false">(Sens!K4425+Sens!K4430+Sens!K4431+Sens!K4433+Sens!K4435-Sens!K4437)+(Sens!K4438+Sens!K4440+Sens!K4442-Sens!K4444)</f>
        <v>0</v>
      </c>
    </row>
    <row r="4447" customFormat="false" ht="17.15" hidden="false" customHeight="false" outlineLevel="0" collapsed="false">
      <c r="A4447" s="3" t="s">
        <v>1722</v>
      </c>
    </row>
    <row r="4448" customFormat="false" ht="15" hidden="false" customHeight="false" outlineLevel="0" collapsed="false">
      <c r="A4448" s="4" t="s">
        <v>43</v>
      </c>
      <c r="B4448" s="4" t="s">
        <v>65</v>
      </c>
      <c r="C4448" s="23" t="s">
        <v>942</v>
      </c>
      <c r="D4448" s="23" t="s">
        <v>943</v>
      </c>
      <c r="E4448" s="23" t="s">
        <v>944</v>
      </c>
      <c r="F4448" s="23" t="s">
        <v>945</v>
      </c>
      <c r="G4448" s="23" t="s">
        <v>946</v>
      </c>
      <c r="H4448" s="23" t="s">
        <v>947</v>
      </c>
      <c r="I4448" s="23" t="s">
        <v>948</v>
      </c>
      <c r="J4448" s="23" t="s">
        <v>949</v>
      </c>
      <c r="K4448" s="23" t="s">
        <v>950</v>
      </c>
      <c r="L4448" s="4" t="s">
        <v>47</v>
      </c>
    </row>
    <row r="4449" customFormat="false" ht="15" hidden="false" customHeight="false" outlineLevel="0" collapsed="false">
      <c r="A4449" s="0" t="s">
        <v>1029</v>
      </c>
      <c r="B4449" s="0" t="s">
        <v>98</v>
      </c>
      <c r="D4449" s="6" t="n">
        <f aca="false">Sens!D4425</f>
        <v>72.61</v>
      </c>
      <c r="E4449" s="6" t="n">
        <f aca="false">Sens!E4425</f>
        <v>101.938</v>
      </c>
      <c r="F4449" s="6" t="n">
        <f aca="false">Sens!F4425</f>
        <v>149.59001837225</v>
      </c>
      <c r="G4449" s="6" t="n">
        <f aca="false">Sens!G4425</f>
        <v>210.963087346352</v>
      </c>
      <c r="H4449" s="6" t="n">
        <f aca="false">Sens!H4425</f>
        <v>279.834331822005</v>
      </c>
      <c r="I4449" s="6" t="n">
        <f aca="false">Sens!I4425</f>
        <v>336.153854774555</v>
      </c>
      <c r="J4449" s="6" t="n">
        <f aca="false">Sens!J4425</f>
        <v>380.389235558668</v>
      </c>
      <c r="K4449" s="6" t="n">
        <f aca="false">Sens!K4425</f>
        <v>412.836221438907</v>
      </c>
    </row>
    <row r="4450" customFormat="false" ht="17.15" hidden="false" customHeight="false" outlineLevel="0" collapsed="false">
      <c r="A4450" s="0" t="s">
        <v>1025</v>
      </c>
      <c r="B4450" s="0" t="s">
        <v>98</v>
      </c>
      <c r="D4450" s="6" t="n">
        <f aca="false">Sens!D4422</f>
        <v>12.9359794422418</v>
      </c>
      <c r="E4450" s="6" t="n">
        <f aca="false">Sens!E4422</f>
        <v>27.8095064661409</v>
      </c>
      <c r="F4450" s="6" t="n">
        <f aca="false">Sens!F4422</f>
        <v>59.1034165651511</v>
      </c>
      <c r="G4450" s="6" t="n">
        <f aca="false">Sens!G4422</f>
        <v>103.451498789198</v>
      </c>
      <c r="H4450" s="6" t="n">
        <f aca="false">Sens!H4422</f>
        <v>155.001342496516</v>
      </c>
      <c r="I4450" s="6" t="n">
        <f aca="false">Sens!I4422</f>
        <v>194.583928883075</v>
      </c>
      <c r="J4450" s="6" t="n">
        <f aca="false">Sens!J4422</f>
        <v>223.666045079239</v>
      </c>
      <c r="K4450" s="6" t="n">
        <f aca="false">Sens!K4422</f>
        <v>243.575175721124</v>
      </c>
    </row>
    <row r="4451" customFormat="false" ht="17.15" hidden="false" customHeight="false" outlineLevel="0" collapsed="false">
      <c r="A4451" s="0" t="s">
        <v>1056</v>
      </c>
      <c r="B4451" s="0" t="s">
        <v>98</v>
      </c>
      <c r="D4451" s="6" t="n">
        <f aca="false">Sens!D4423</f>
        <v>59.6740205577583</v>
      </c>
      <c r="E4451" s="6" t="n">
        <f aca="false">Sens!E4423</f>
        <v>74.1284935338591</v>
      </c>
      <c r="F4451" s="6" t="n">
        <f aca="false">Sens!F4423</f>
        <v>90.4866018070994</v>
      </c>
      <c r="G4451" s="6" t="n">
        <f aca="false">Sens!G4423</f>
        <v>107.511588557154</v>
      </c>
      <c r="H4451" s="6" t="n">
        <f aca="false">Sens!H4423</f>
        <v>124.832989325489</v>
      </c>
      <c r="I4451" s="6" t="n">
        <f aca="false">Sens!I4423</f>
        <v>141.56992589148</v>
      </c>
      <c r="J4451" s="6" t="n">
        <f aca="false">Sens!J4423</f>
        <v>156.723190479428</v>
      </c>
      <c r="K4451" s="6" t="n">
        <f aca="false">Sens!K4423</f>
        <v>169.261045717783</v>
      </c>
    </row>
    <row r="4452" customFormat="false" ht="15" hidden="false" customHeight="false" outlineLevel="0" collapsed="false">
      <c r="A4452" s="0" t="s">
        <v>1036</v>
      </c>
      <c r="B4452" s="0" t="s">
        <v>98</v>
      </c>
      <c r="D4452" s="6" t="n">
        <f aca="false">Sens!D4430</f>
        <v>84.605</v>
      </c>
      <c r="E4452" s="6" t="n">
        <f aca="false">Sens!E4430</f>
        <v>100.299</v>
      </c>
      <c r="F4452" s="6" t="n">
        <f aca="false">Sens!F4430</f>
        <v>119.729653205718</v>
      </c>
      <c r="G4452" s="6" t="n">
        <f aca="false">Sens!G4430</f>
        <v>140.806092647576</v>
      </c>
      <c r="H4452" s="6" t="n">
        <f aca="false">Sens!H4430</f>
        <v>161.963437602768</v>
      </c>
      <c r="I4452" s="6" t="n">
        <f aca="false">Sens!I4430</f>
        <v>180.695354741933</v>
      </c>
      <c r="J4452" s="6" t="n">
        <f aca="false">Sens!J4430</f>
        <v>196.722117481571</v>
      </c>
      <c r="K4452" s="6" t="n">
        <f aca="false">Sens!K4430</f>
        <v>212.00016570528</v>
      </c>
    </row>
    <row r="4453" customFormat="false" ht="17.15" hidden="false" customHeight="false" outlineLevel="0" collapsed="false">
      <c r="A4453" s="0" t="s">
        <v>1057</v>
      </c>
      <c r="B4453" s="0" t="s">
        <v>98</v>
      </c>
      <c r="D4453" s="6" t="n">
        <f aca="false">Sens!D4428</f>
        <v>83.705</v>
      </c>
      <c r="E4453" s="6" t="n">
        <f aca="false">Sens!E4428</f>
        <v>95.049</v>
      </c>
      <c r="F4453" s="6" t="n">
        <f aca="false">Sens!F4428</f>
        <v>106.229653205718</v>
      </c>
      <c r="G4453" s="6" t="n">
        <f aca="false">Sens!G4428</f>
        <v>118.306092647576</v>
      </c>
      <c r="H4453" s="6" t="n">
        <f aca="false">Sens!H4428</f>
        <v>130.463437602768</v>
      </c>
      <c r="I4453" s="6" t="n">
        <f aca="false">Sens!I4428</f>
        <v>142.445354741933</v>
      </c>
      <c r="J4453" s="6" t="n">
        <f aca="false">Sens!J4428</f>
        <v>153.972117481571</v>
      </c>
      <c r="K4453" s="6" t="n">
        <f aca="false">Sens!K4428</f>
        <v>164.75016570528</v>
      </c>
    </row>
    <row r="4454" customFormat="false" ht="17.15" hidden="false" customHeight="false" outlineLevel="0" collapsed="false">
      <c r="A4454" s="0" t="s">
        <v>1058</v>
      </c>
      <c r="B4454" s="0" t="s">
        <v>98</v>
      </c>
      <c r="D4454" s="6" t="n">
        <f aca="false">Sens!D4427</f>
        <v>0.9</v>
      </c>
      <c r="E4454" s="6" t="n">
        <f aca="false">Sens!E4427</f>
        <v>5.25</v>
      </c>
      <c r="F4454" s="6" t="n">
        <f aca="false">Sens!F4427</f>
        <v>13.5</v>
      </c>
      <c r="G4454" s="6" t="n">
        <f aca="false">Sens!G4427</f>
        <v>22.5</v>
      </c>
      <c r="H4454" s="6" t="n">
        <f aca="false">Sens!H4427</f>
        <v>31.5</v>
      </c>
      <c r="I4454" s="6" t="n">
        <f aca="false">Sens!I4427</f>
        <v>38.25</v>
      </c>
      <c r="J4454" s="6" t="n">
        <f aca="false">Sens!J4427</f>
        <v>42.75</v>
      </c>
      <c r="K4454" s="6" t="n">
        <f aca="false">Sens!K4427</f>
        <v>47.25</v>
      </c>
    </row>
    <row r="4455" customFormat="false" ht="15" hidden="false" customHeight="false" outlineLevel="0" collapsed="false">
      <c r="A4455" s="0" t="s">
        <v>1037</v>
      </c>
      <c r="B4455" s="0" t="s">
        <v>98</v>
      </c>
      <c r="D4455" s="6" t="n">
        <f aca="false">Sens!D4431</f>
        <v>35.391</v>
      </c>
      <c r="E4455" s="6" t="n">
        <f aca="false">Sens!E4431</f>
        <v>37.285</v>
      </c>
      <c r="F4455" s="6" t="n">
        <f aca="false">Sens!F4431</f>
        <v>38.3851437782675</v>
      </c>
      <c r="G4455" s="6" t="n">
        <f aca="false">Sens!G4431</f>
        <v>40.0105353288615</v>
      </c>
      <c r="H4455" s="6" t="n">
        <f aca="false">Sens!H4431</f>
        <v>41.4812512033683</v>
      </c>
      <c r="I4455" s="6" t="n">
        <f aca="false">Sens!I4431</f>
        <v>42.7743107216329</v>
      </c>
      <c r="J4455" s="6" t="n">
        <f aca="false">Sens!J4431</f>
        <v>43.8687373064601</v>
      </c>
      <c r="K4455" s="6" t="n">
        <f aca="false">Sens!K4431</f>
        <v>44.7461120525893</v>
      </c>
    </row>
    <row r="4456" customFormat="false" ht="15" hidden="false" customHeight="false" outlineLevel="0" collapsed="false">
      <c r="A4456" s="0" t="s">
        <v>1039</v>
      </c>
      <c r="B4456" s="0" t="s">
        <v>98</v>
      </c>
      <c r="D4456" s="6" t="n">
        <f aca="false">Sens!D4433</f>
        <v>18.417</v>
      </c>
      <c r="E4456" s="6" t="n">
        <f aca="false">Sens!E4433</f>
        <v>20.345</v>
      </c>
      <c r="F4456" s="6" t="n">
        <f aca="false">Sens!F4433</f>
        <v>22.3161797133988</v>
      </c>
      <c r="G4456" s="6" t="n">
        <f aca="false">Sens!G4433</f>
        <v>24.3943499673233</v>
      </c>
      <c r="H4456" s="6" t="n">
        <f aca="false">Sens!H4433</f>
        <v>26.5250243109019</v>
      </c>
      <c r="I4456" s="6" t="n">
        <f aca="false">Sens!I4433</f>
        <v>28.6884573538181</v>
      </c>
      <c r="J4456" s="6" t="n">
        <f aca="false">Sens!J4433</f>
        <v>30.8624968052127</v>
      </c>
      <c r="K4456" s="6" t="n">
        <f aca="false">Sens!K4433</f>
        <v>33.0228715815776</v>
      </c>
    </row>
    <row r="4457" customFormat="false" ht="15" hidden="false" customHeight="false" outlineLevel="0" collapsed="false">
      <c r="A4457" s="0" t="s">
        <v>1040</v>
      </c>
      <c r="B4457" s="0" t="s">
        <v>98</v>
      </c>
      <c r="D4457" s="6" t="n">
        <f aca="false">Sens!D4435</f>
        <v>7.76</v>
      </c>
      <c r="E4457" s="6" t="n">
        <f aca="false">Sens!E4435</f>
        <v>8.26</v>
      </c>
      <c r="F4457" s="6" t="n">
        <f aca="false">Sens!F4435</f>
        <v>8.75372082474227</v>
      </c>
      <c r="G4457" s="6" t="n">
        <f aca="false">Sens!G4435</f>
        <v>9.33399324642364</v>
      </c>
      <c r="H4457" s="6" t="n">
        <f aca="false">Sens!H4435</f>
        <v>9.96139155535851</v>
      </c>
      <c r="I4457" s="6" t="n">
        <f aca="false">Sens!I4435</f>
        <v>10.6402039077391</v>
      </c>
      <c r="J4457" s="6" t="n">
        <f aca="false">Sens!J4435</f>
        <v>11.3751458271397</v>
      </c>
      <c r="K4457" s="6" t="n">
        <f aca="false">Sens!K4435</f>
        <v>12.1714060350394</v>
      </c>
    </row>
    <row r="4458" customFormat="false" ht="15" hidden="false" customHeight="false" outlineLevel="0" collapsed="false">
      <c r="A4458" s="0" t="s">
        <v>856</v>
      </c>
      <c r="B4458" s="0" t="s">
        <v>98</v>
      </c>
      <c r="D4458" s="6" t="n">
        <f aca="false">Sens!D4437</f>
        <v>218.783</v>
      </c>
      <c r="E4458" s="6" t="n">
        <f aca="false">Sens!E4437</f>
        <v>268.127</v>
      </c>
      <c r="F4458" s="6" t="n">
        <f aca="false">Sens!F4437</f>
        <v>338.774715894377</v>
      </c>
      <c r="G4458" s="6" t="n">
        <f aca="false">Sens!G4437</f>
        <v>425.508058536537</v>
      </c>
      <c r="H4458" s="6" t="n">
        <f aca="false">Sens!H4437</f>
        <v>519.765436494402</v>
      </c>
      <c r="I4458" s="6" t="n">
        <f aca="false">Sens!I4437</f>
        <v>598.952181499678</v>
      </c>
      <c r="J4458" s="6" t="n">
        <f aca="false">Sens!J4437</f>
        <v>663.217732979051</v>
      </c>
      <c r="K4458" s="6" t="n">
        <f aca="false">Sens!K4437</f>
        <v>714.776776813394</v>
      </c>
    </row>
    <row r="4459" customFormat="false" ht="15" hidden="false" customHeight="false" outlineLevel="0" collapsed="false">
      <c r="A4459" s="0" t="s">
        <v>1041</v>
      </c>
      <c r="B4459" s="0" t="s">
        <v>98</v>
      </c>
      <c r="D4459" s="6" t="n">
        <f aca="false">Sens!D4438</f>
        <v>22.171</v>
      </c>
      <c r="E4459" s="6" t="n">
        <f aca="false">Sens!E4438</f>
        <v>24.835</v>
      </c>
      <c r="F4459" s="6" t="n">
        <f aca="false">Sens!F4438</f>
        <v>27.5591895660247</v>
      </c>
      <c r="G4459" s="6" t="n">
        <f aca="false">Sens!G4438</f>
        <v>30.4098563144583</v>
      </c>
      <c r="H4459" s="6" t="n">
        <f aca="false">Sens!H4438</f>
        <v>33.3011792571777</v>
      </c>
      <c r="I4459" s="6" t="n">
        <f aca="false">Sens!I4438</f>
        <v>36.189023797112</v>
      </c>
      <c r="J4459" s="6" t="n">
        <f aca="false">Sens!J4438</f>
        <v>39.0247773769199</v>
      </c>
      <c r="K4459" s="6" t="n">
        <f aca="false">Sens!K4438</f>
        <v>41.7565117933043</v>
      </c>
    </row>
    <row r="4460" customFormat="false" ht="15" hidden="false" customHeight="false" outlineLevel="0" collapsed="false">
      <c r="A4460" s="0" t="s">
        <v>1042</v>
      </c>
      <c r="B4460" s="0" t="s">
        <v>98</v>
      </c>
      <c r="D4460" s="6" t="n">
        <f aca="false">Sens!D4440</f>
        <v>23.455</v>
      </c>
      <c r="E4460" s="6" t="n">
        <f aca="false">Sens!E4440</f>
        <v>21.79</v>
      </c>
      <c r="F4460" s="6" t="n">
        <f aca="false">Sens!F4440</f>
        <v>20.7520981041711</v>
      </c>
      <c r="G4460" s="6" t="n">
        <f aca="false">Sens!G4440</f>
        <v>19.9083593495882</v>
      </c>
      <c r="H4460" s="6" t="n">
        <f aca="false">Sens!H4440</f>
        <v>19.4008256265831</v>
      </c>
      <c r="I4460" s="6" t="n">
        <f aca="false">Sens!I4440</f>
        <v>19.200434522122</v>
      </c>
      <c r="J4460" s="6" t="n">
        <f aca="false">Sens!J4440</f>
        <v>19.2932782348507</v>
      </c>
      <c r="K4460" s="6" t="n">
        <f aca="false">Sens!K4440</f>
        <v>19.6791437995477</v>
      </c>
    </row>
    <row r="4461" customFormat="false" ht="15" hidden="false" customHeight="false" outlineLevel="0" collapsed="false">
      <c r="A4461" s="0" t="s">
        <v>1043</v>
      </c>
      <c r="B4461" s="0" t="s">
        <v>98</v>
      </c>
      <c r="D4461" s="6" t="n">
        <f aca="false">Sens!D4442</f>
        <v>17.315</v>
      </c>
      <c r="E4461" s="6" t="n">
        <f aca="false">Sens!E4442</f>
        <v>17.087</v>
      </c>
      <c r="F4461" s="6" t="n">
        <f aca="false">Sens!F4442</f>
        <v>15.9912273250553</v>
      </c>
      <c r="G4461" s="6" t="n">
        <f aca="false">Sens!G4442</f>
        <v>15.9574562664827</v>
      </c>
      <c r="H4461" s="6" t="n">
        <f aca="false">Sens!H4442</f>
        <v>16.0119687434196</v>
      </c>
      <c r="I4461" s="6" t="n">
        <f aca="false">Sens!I4442</f>
        <v>16.1551810001948</v>
      </c>
      <c r="J4461" s="6" t="n">
        <f aca="false">Sens!J4442</f>
        <v>16.3889793892005</v>
      </c>
      <c r="K4461" s="6" t="n">
        <f aca="false">Sens!K4442</f>
        <v>16.7167589769845</v>
      </c>
    </row>
    <row r="4462" customFormat="false" ht="15" hidden="false" customHeight="false" outlineLevel="0" collapsed="false">
      <c r="A4462" s="0" t="s">
        <v>870</v>
      </c>
      <c r="B4462" s="0" t="s">
        <v>98</v>
      </c>
      <c r="D4462" s="6" t="n">
        <f aca="false">Sens!D4444</f>
        <v>62.941</v>
      </c>
      <c r="E4462" s="6" t="n">
        <f aca="false">Sens!E4444</f>
        <v>63.712</v>
      </c>
      <c r="F4462" s="6" t="n">
        <f aca="false">Sens!F4444</f>
        <v>64.3025149952511</v>
      </c>
      <c r="G4462" s="6" t="n">
        <f aca="false">Sens!G4444</f>
        <v>66.2756719305292</v>
      </c>
      <c r="H4462" s="6" t="n">
        <f aca="false">Sens!H4444</f>
        <v>68.7139736271804</v>
      </c>
      <c r="I4462" s="6" t="n">
        <f aca="false">Sens!I4444</f>
        <v>71.5446393194289</v>
      </c>
      <c r="J4462" s="6" t="n">
        <f aca="false">Sens!J4444</f>
        <v>74.707035000971</v>
      </c>
      <c r="K4462" s="6" t="n">
        <f aca="false">Sens!K4444</f>
        <v>78.1524145698365</v>
      </c>
    </row>
    <row r="4463" customFormat="false" ht="15" hidden="false" customHeight="false" outlineLevel="0" collapsed="false">
      <c r="A4463" s="1" t="s">
        <v>1059</v>
      </c>
      <c r="B4463" s="0" t="s">
        <v>98</v>
      </c>
      <c r="D4463" s="6" t="n">
        <f aca="false">Sens!D4445</f>
        <v>281.724</v>
      </c>
      <c r="E4463" s="6" t="n">
        <f aca="false">Sens!E4445</f>
        <v>331.839</v>
      </c>
      <c r="F4463" s="6" t="n">
        <f aca="false">Sens!F4445</f>
        <v>403.077230889628</v>
      </c>
      <c r="G4463" s="6" t="n">
        <f aca="false">Sens!G4445</f>
        <v>491.783730467066</v>
      </c>
      <c r="H4463" s="6" t="n">
        <f aca="false">Sens!H4445</f>
        <v>588.479410121582</v>
      </c>
      <c r="I4463" s="6" t="n">
        <f aca="false">Sens!I4445</f>
        <v>670.496820819107</v>
      </c>
      <c r="J4463" s="6" t="n">
        <f aca="false">Sens!J4445</f>
        <v>737.924767980022</v>
      </c>
      <c r="K4463" s="6" t="n">
        <f aca="false">Sens!K4445</f>
        <v>792.92919138323</v>
      </c>
    </row>
    <row r="4464" customFormat="false" ht="15" hidden="false" customHeight="false" outlineLevel="0" collapsed="false">
      <c r="A4464" s="1" t="s">
        <v>1060</v>
      </c>
      <c r="B4464" s="0" t="s">
        <v>168</v>
      </c>
      <c r="E4464" s="7" t="n">
        <f aca="false">Sens!E4463/Sens!D4463-1</f>
        <v>0.177886867998467</v>
      </c>
      <c r="F4464" s="7" t="n">
        <f aca="false">Sens!F4463/Sens!E4463-1</f>
        <v>0.21467709006364</v>
      </c>
      <c r="G4464" s="7" t="n">
        <f aca="false">Sens!G4463/Sens!F4463-1</f>
        <v>0.220073208753704</v>
      </c>
      <c r="H4464" s="7" t="n">
        <f aca="false">Sens!H4463/Sens!G4463-1</f>
        <v>0.196622363986464</v>
      </c>
      <c r="I4464" s="7" t="n">
        <f aca="false">Sens!I4463/Sens!H4463-1</f>
        <v>0.139371759294992</v>
      </c>
      <c r="J4464" s="7" t="n">
        <f aca="false">Sens!J4463/Sens!I4463-1</f>
        <v>0.100564156409485</v>
      </c>
      <c r="K4464" s="7" t="n">
        <f aca="false">Sens!K4463/Sens!J4463-1</f>
        <v>0.0745393375991108</v>
      </c>
    </row>
    <row r="4465" customFormat="false" ht="17.15" hidden="false" customHeight="false" outlineLevel="0" collapsed="false">
      <c r="A4465" s="26" t="s">
        <v>1061</v>
      </c>
      <c r="B4465" s="31" t="s">
        <v>98</v>
      </c>
      <c r="C4465" s="31"/>
      <c r="D4465" s="27" t="n">
        <f aca="false">(Sens!D4458+Sens!D4462-Sens!D4463)+(Sens!D4450+Sens!D4451-Sens!D4449)+(Sens!D4453+Sens!D4454-Sens!D4452)+(Sens!D4463-Q!L18)</f>
        <v>0</v>
      </c>
      <c r="E4465" s="27" t="n">
        <f aca="false">(Sens!E4458+Sens!E4462-Sens!E4463)+(Sens!E4450+Sens!E4451-Sens!E4449)+(Sens!E4453+Sens!E4454-Sens!E4452)+(Sens!E4463-Q!M18)</f>
        <v>0</v>
      </c>
      <c r="F4465" s="27" t="n">
        <f aca="false">(Sens!F4458+Sens!F4462-Sens!F4463)+(Sens!F4450+Sens!F4451-Sens!F4449)+(Sens!F4453+Sens!F4454-Sens!F4452)</f>
        <v>0</v>
      </c>
      <c r="G4465" s="27" t="n">
        <f aca="false">(Sens!G4458+Sens!G4462-Sens!G4463)+(Sens!G4450+Sens!G4451-Sens!G4449)+(Sens!G4453+Sens!G4454-Sens!G4452)</f>
        <v>0</v>
      </c>
      <c r="H4465" s="27" t="n">
        <f aca="false">(Sens!H4458+Sens!H4462-Sens!H4463)+(Sens!H4450+Sens!H4451-Sens!H4449)+(Sens!H4453+Sens!H4454-Sens!H4452)</f>
        <v>0</v>
      </c>
      <c r="I4465" s="27" t="n">
        <f aca="false">(Sens!I4458+Sens!I4462-Sens!I4463)+(Sens!I4450+Sens!I4451-Sens!I4449)+(Sens!I4453+Sens!I4454-Sens!I4452)</f>
        <v>0</v>
      </c>
      <c r="J4465" s="27" t="n">
        <f aca="false">(Sens!J4458+Sens!J4462-Sens!J4463)+(Sens!J4450+Sens!J4451-Sens!J4449)+(Sens!J4453+Sens!J4454-Sens!J4452)</f>
        <v>0</v>
      </c>
      <c r="K4465" s="27" t="n">
        <f aca="false">(Sens!K4458+Sens!K4462-Sens!K4463)+(Sens!K4450+Sens!K4451-Sens!K4449)+(Sens!K4453+Sens!K4454-Sens!K4452)</f>
        <v>0</v>
      </c>
    </row>
    <row r="4466" customFormat="false" ht="17.15" hidden="false" customHeight="false" outlineLevel="0" collapsed="false">
      <c r="A4466" s="0" t="s">
        <v>1062</v>
      </c>
      <c r="B4466" s="0" t="s">
        <v>168</v>
      </c>
      <c r="E4466" s="7" t="n">
        <f aca="false">(Q!M21+Sens!E4402+Sens!E4403+Sens!E4404+Sens!E4418-Sens!E4400)/(Q!M5-Sens!E4400)</f>
        <v>0.583491251973566</v>
      </c>
      <c r="F4466" s="7" t="n">
        <f aca="false">Sens!$E$4466+dm_seg</f>
        <v>0.583491251973566</v>
      </c>
      <c r="G4466" s="7" t="n">
        <f aca="false">Sens!$E$4466+dm_seg</f>
        <v>0.583491251973566</v>
      </c>
      <c r="H4466" s="7" t="n">
        <f aca="false">Sens!$E$4466+dm_seg</f>
        <v>0.583491251973566</v>
      </c>
      <c r="I4466" s="7" t="n">
        <f aca="false">Sens!$E$4466+dm_seg</f>
        <v>0.583491251973566</v>
      </c>
      <c r="J4466" s="7" t="n">
        <f aca="false">Sens!$E$4466+dm_seg</f>
        <v>0.583491251973566</v>
      </c>
      <c r="K4466" s="7" t="n">
        <f aca="false">Sens!$E$4466+dm_seg</f>
        <v>0.583491251973566</v>
      </c>
      <c r="L4466" s="12" t="s">
        <v>1063</v>
      </c>
    </row>
    <row r="4467" customFormat="false" ht="17.15" hidden="false" customHeight="false" outlineLevel="0" collapsed="false">
      <c r="A4467" s="0" t="s">
        <v>884</v>
      </c>
      <c r="B4467" s="0" t="s">
        <v>98</v>
      </c>
      <c r="D4467" s="6" t="n">
        <f aca="false">Q!L21</f>
        <v>110.814</v>
      </c>
      <c r="E4467" s="6" t="n">
        <f aca="false">Q!M21</f>
        <v>136.365</v>
      </c>
      <c r="F4467" s="6" t="n">
        <f aca="false">Q!$I$21+(Sens!F4466*(Sens!F4437-Sens!F4400)+Sens!F4400-(Sens!F4402+Sens!F4403+Sens!F4404)-Sens!F4418-Sens!F4501)*(Sens!F4437-Q!$I$5)/Sens!F4437</f>
        <v>163.269578674304</v>
      </c>
      <c r="G4467" s="6" t="n">
        <f aca="false">(Sens!G4466*(Sens!G4437-Sens!G4400)+Sens!G4400-(Sens!G4402+Sens!G4403+Sens!G4404)-Sens!G4418-Sens!G4501)</f>
        <v>184.245988534986</v>
      </c>
      <c r="H4467" s="6" t="n">
        <f aca="false">(Sens!H4466*(Sens!H4437-Sens!H4400)+Sens!H4400-(Sens!H4402+Sens!H4403+Sens!H4404)-Sens!H4418-Sens!H4501)</f>
        <v>214.092094032827</v>
      </c>
      <c r="I4467" s="6" t="n">
        <f aca="false">(Sens!I4466*(Sens!I4437-Sens!I4400)+Sens!I4400-(Sens!I4402+Sens!I4403+Sens!I4404)-Sens!I4418-Sens!I4501)</f>
        <v>235.336894632474</v>
      </c>
      <c r="J4467" s="6" t="n">
        <f aca="false">(Sens!J4466*(Sens!J4437-Sens!J4400)+Sens!J4400-(Sens!J4402+Sens!J4403+Sens!J4404)-Sens!J4418-Sens!J4501)</f>
        <v>255.093845332105</v>
      </c>
      <c r="K4467" s="6" t="n">
        <f aca="false">(Sens!K4466*(Sens!K4437-Sens!K4400)+Sens!K4400-(Sens!K4402+Sens!K4403+Sens!K4404)-Sens!K4418-Sens!K4501)</f>
        <v>275.619378651193</v>
      </c>
      <c r="L4467" s="1" t="s">
        <v>1064</v>
      </c>
    </row>
    <row r="4468" customFormat="false" ht="17.15" hidden="false" customHeight="false" outlineLevel="0" collapsed="false">
      <c r="A4468" s="0" t="s">
        <v>1065</v>
      </c>
      <c r="B4468" s="0" t="s">
        <v>168</v>
      </c>
      <c r="E4468" s="7" t="n">
        <f aca="false">Q!M22/Q!M12</f>
        <v>0.296207935710698</v>
      </c>
      <c r="F4468" s="7" t="n">
        <f aca="false">Sens!$E$4468+dm_seg</f>
        <v>0.296207935710698</v>
      </c>
      <c r="G4468" s="7" t="n">
        <f aca="false">Sens!$E$4468+dm_seg</f>
        <v>0.296207935710698</v>
      </c>
      <c r="H4468" s="7" t="n">
        <f aca="false">Sens!$E$4468+dm_seg</f>
        <v>0.296207935710698</v>
      </c>
      <c r="I4468" s="7" t="n">
        <f aca="false">Sens!$E$4468+dm_seg</f>
        <v>0.296207935710698</v>
      </c>
      <c r="J4468" s="7" t="n">
        <f aca="false">Sens!$E$4468+dm_seg</f>
        <v>0.296207935710698</v>
      </c>
      <c r="K4468" s="7" t="n">
        <f aca="false">Sens!$E$4468+dm_seg</f>
        <v>0.296207935710698</v>
      </c>
      <c r="L4468" s="12" t="s">
        <v>1066</v>
      </c>
    </row>
    <row r="4469" customFormat="false" ht="17.15" hidden="false" customHeight="false" outlineLevel="0" collapsed="false">
      <c r="A4469" s="0" t="s">
        <v>886</v>
      </c>
      <c r="B4469" s="0" t="s">
        <v>98</v>
      </c>
      <c r="D4469" s="6" t="n">
        <f aca="false">Q!L22</f>
        <v>17.714</v>
      </c>
      <c r="E4469" s="6" t="n">
        <f aca="false">Q!M22</f>
        <v>18.872</v>
      </c>
      <c r="F4469" s="6" t="n">
        <f aca="false">Q!$I$22+(Sens!F4444-Q!$I$12)*Sens!F4468</f>
        <v>19.8174315512051</v>
      </c>
      <c r="G4469" s="6" t="n">
        <f aca="false">Sens!G4444*Sens!G4468</f>
        <v>19.6313799703815</v>
      </c>
      <c r="H4469" s="6" t="n">
        <f aca="false">Sens!H4444*Sens!H4468</f>
        <v>20.3536242825865</v>
      </c>
      <c r="I4469" s="6" t="n">
        <f aca="false">Sens!I4444*Sens!I4468</f>
        <v>21.1920899239745</v>
      </c>
      <c r="J4469" s="6" t="n">
        <f aca="false">Sens!J4444*Sens!J4468</f>
        <v>22.1288166207045</v>
      </c>
      <c r="K4469" s="6" t="n">
        <f aca="false">Sens!K4444*Sens!K4468</f>
        <v>23.1493653905379</v>
      </c>
      <c r="L4469" s="12" t="s">
        <v>1067</v>
      </c>
    </row>
    <row r="4470" customFormat="false" ht="15" hidden="false" customHeight="false" outlineLevel="0" collapsed="false">
      <c r="A4470" s="1" t="s">
        <v>1068</v>
      </c>
      <c r="B4470" s="0" t="s">
        <v>98</v>
      </c>
      <c r="D4470" s="6" t="n">
        <f aca="false">Sens!D4467+Sens!D4469</f>
        <v>128.528</v>
      </c>
      <c r="E4470" s="6" t="n">
        <f aca="false">Sens!E4467+Sens!E4469</f>
        <v>155.237</v>
      </c>
      <c r="F4470" s="6" t="n">
        <f aca="false">Sens!F4467+Sens!F4469</f>
        <v>183.087010225509</v>
      </c>
      <c r="G4470" s="6" t="n">
        <f aca="false">Sens!G4467+Sens!G4469</f>
        <v>203.877368505368</v>
      </c>
      <c r="H4470" s="6" t="n">
        <f aca="false">Sens!H4467+Sens!H4469</f>
        <v>234.445718315414</v>
      </c>
      <c r="I4470" s="6" t="n">
        <f aca="false">Sens!I4467+Sens!I4469</f>
        <v>256.528984556449</v>
      </c>
      <c r="J4470" s="6" t="n">
        <f aca="false">Sens!J4467+Sens!J4469</f>
        <v>277.22266195281</v>
      </c>
      <c r="K4470" s="6" t="n">
        <f aca="false">Sens!K4467+Sens!K4469</f>
        <v>298.768744041731</v>
      </c>
    </row>
    <row r="4471" customFormat="false" ht="15" hidden="false" customHeight="false" outlineLevel="0" collapsed="false">
      <c r="A4471" s="26" t="s">
        <v>1069</v>
      </c>
      <c r="B4471" s="31" t="s">
        <v>98</v>
      </c>
      <c r="C4471" s="31"/>
      <c r="D4471" s="27" t="n">
        <f aca="false">Sens!D4470-Q!L23</f>
        <v>0</v>
      </c>
      <c r="E4471" s="27" t="n">
        <f aca="false">Sens!E4470-Q!M23</f>
        <v>0</v>
      </c>
      <c r="F4471" s="31"/>
      <c r="G4471" s="31"/>
      <c r="H4471" s="31"/>
      <c r="I4471" s="31"/>
      <c r="J4471" s="31"/>
      <c r="K4471" s="31"/>
    </row>
    <row r="4472" customFormat="false" ht="15" hidden="false" customHeight="false" outlineLevel="0" collapsed="false">
      <c r="A4472" s="1" t="s">
        <v>1070</v>
      </c>
      <c r="B4472" s="0" t="s">
        <v>168</v>
      </c>
      <c r="D4472" s="7" t="n">
        <f aca="false">Sens!D4470/Sens!D4463</f>
        <v>0.456219562408598</v>
      </c>
      <c r="E4472" s="7" t="n">
        <f aca="false">Sens!E4470/Sens!E4463</f>
        <v>0.467808184089272</v>
      </c>
      <c r="F4472" s="7" t="n">
        <f aca="false">Sens!F4470/Sens!F4463</f>
        <v>0.454223151780167</v>
      </c>
      <c r="G4472" s="7" t="n">
        <f aca="false">Sens!G4470/Sens!G4463</f>
        <v>0.414567127529285</v>
      </c>
      <c r="H4472" s="7" t="n">
        <f aca="false">Sens!H4470/Sens!H4463</f>
        <v>0.398392389407433</v>
      </c>
      <c r="I4472" s="7" t="n">
        <f aca="false">Sens!I4470/Sens!I4463</f>
        <v>0.382595377921497</v>
      </c>
      <c r="J4472" s="7" t="n">
        <f aca="false">Sens!J4470/Sens!J4463</f>
        <v>0.375678760196209</v>
      </c>
      <c r="K4472" s="7" t="n">
        <f aca="false">Sens!K4470/Sens!K4463</f>
        <v>0.376791203159694</v>
      </c>
    </row>
    <row r="4473" customFormat="false" ht="17.15" hidden="false" customHeight="false" outlineLevel="0" collapsed="false">
      <c r="A4473" s="1" t="s">
        <v>1071</v>
      </c>
      <c r="B4473" s="0" t="s">
        <v>98</v>
      </c>
      <c r="F4473" s="6" t="n">
        <f aca="false">Sens!F4488</f>
        <v>8.78000206127647</v>
      </c>
      <c r="G4473" s="6" t="n">
        <f aca="false">Sens!G4488</f>
        <v>22.4898207231339</v>
      </c>
      <c r="H4473" s="6" t="n">
        <f aca="false">Sens!H4488</f>
        <v>38.0697468509798</v>
      </c>
      <c r="I4473" s="6" t="n">
        <f aca="false">Sens!I4488</f>
        <v>52.3998409312223</v>
      </c>
      <c r="J4473" s="6" t="n">
        <f aca="false">Sens!J4488</f>
        <v>63.020666922148</v>
      </c>
      <c r="K4473" s="6" t="n">
        <f aca="false">Sens!K4488</f>
        <v>69.1071129550962</v>
      </c>
      <c r="L4473" s="1" t="s">
        <v>1072</v>
      </c>
    </row>
    <row r="4474" customFormat="false" ht="17.15" hidden="false" customHeight="false" outlineLevel="0" collapsed="false">
      <c r="A4474" s="1" t="s">
        <v>1073</v>
      </c>
      <c r="B4474" s="0" t="s">
        <v>98</v>
      </c>
      <c r="D4474" s="6" t="n">
        <f aca="false">Sens!D4470</f>
        <v>128.528</v>
      </c>
      <c r="E4474" s="6" t="n">
        <f aca="false">Sens!E4470</f>
        <v>155.237</v>
      </c>
      <c r="F4474" s="6" t="n">
        <f aca="false">Sens!F4470+Sens!F4473</f>
        <v>191.867012286786</v>
      </c>
      <c r="G4474" s="6" t="n">
        <f aca="false">Sens!G4470+Sens!G4473</f>
        <v>226.367189228502</v>
      </c>
      <c r="H4474" s="6" t="n">
        <f aca="false">Sens!H4470+Sens!H4473</f>
        <v>272.515465166394</v>
      </c>
      <c r="I4474" s="6" t="n">
        <f aca="false">Sens!I4470+Sens!I4473</f>
        <v>308.928825487671</v>
      </c>
      <c r="J4474" s="6" t="n">
        <f aca="false">Sens!J4470+Sens!J4473</f>
        <v>340.243328874958</v>
      </c>
      <c r="K4474" s="6" t="n">
        <f aca="false">Sens!K4470+Sens!K4473</f>
        <v>367.875856996827</v>
      </c>
    </row>
    <row r="4475" customFormat="false" ht="17.15" hidden="false" customHeight="false" outlineLevel="0" collapsed="false">
      <c r="A4475" s="1" t="s">
        <v>1074</v>
      </c>
      <c r="B4475" s="0" t="s">
        <v>98</v>
      </c>
      <c r="E4475" s="6" t="n">
        <f aca="false">Sens!E4418</f>
        <v>19.3175216725</v>
      </c>
      <c r="F4475" s="6" t="n">
        <f aca="false">Sens!F4418</f>
        <v>40.993411475437</v>
      </c>
      <c r="G4475" s="6" t="n">
        <f aca="false">Sens!G4418</f>
        <v>72.0472209870037</v>
      </c>
      <c r="H4475" s="6" t="n">
        <f aca="false">Sens!H4418</f>
        <v>106.403225017643</v>
      </c>
      <c r="I4475" s="6" t="n">
        <f aca="false">Sens!I4418</f>
        <v>137.266077175767</v>
      </c>
      <c r="J4475" s="6" t="n">
        <f aca="false">Sens!J4418</f>
        <v>159.73624944562</v>
      </c>
      <c r="K4475" s="6" t="n">
        <f aca="false">Sens!K4418</f>
        <v>173.177911789639</v>
      </c>
    </row>
    <row r="4476" customFormat="false" ht="17.15" hidden="false" customHeight="false" outlineLevel="0" collapsed="false">
      <c r="A4476" s="1" t="s">
        <v>1075</v>
      </c>
      <c r="B4476" s="0" t="s">
        <v>98</v>
      </c>
      <c r="E4476" s="6" t="n">
        <f aca="false">Sens!E4500</f>
        <v>19.2164783275</v>
      </c>
      <c r="F4476" s="6" t="n">
        <f aca="false">Sens!F4500</f>
        <v>20.869440090538</v>
      </c>
      <c r="G4476" s="6" t="n">
        <f aca="false">Sens!G4500</f>
        <v>22.9403278631934</v>
      </c>
      <c r="H4476" s="6" t="n">
        <f aca="false">Sens!H4500</f>
        <v>25.400631638317</v>
      </c>
      <c r="I4476" s="6" t="n">
        <f aca="false">Sens!I4500</f>
        <v>28.1766915044291</v>
      </c>
      <c r="J4476" s="6" t="n">
        <f aca="false">Sens!J4500</f>
        <v>31.1788780180527</v>
      </c>
      <c r="K4476" s="6" t="n">
        <f aca="false">Sens!K4500</f>
        <v>34.3249162025202</v>
      </c>
    </row>
    <row r="4477" customFormat="false" ht="17.15" hidden="false" customHeight="false" outlineLevel="0" collapsed="false">
      <c r="A4477" s="1" t="s">
        <v>1076</v>
      </c>
      <c r="B4477" s="0" t="s">
        <v>98</v>
      </c>
      <c r="D4477" s="6" t="n">
        <f aca="false">Q!L27</f>
        <v>-4.901</v>
      </c>
      <c r="E4477" s="6" t="n">
        <f aca="false">Q!M27</f>
        <v>10.697</v>
      </c>
      <c r="F4477" s="6" t="n">
        <f aca="false">Q!$I$27+oie_f*(q_per_yr-1)/q_per_yr</f>
        <v>-0.862</v>
      </c>
      <c r="G4477" s="6" t="n">
        <f aca="false">oie_f</f>
        <v>-1.2</v>
      </c>
      <c r="H4477" s="6" t="n">
        <f aca="false">oie_f</f>
        <v>-1.2</v>
      </c>
      <c r="I4477" s="6" t="n">
        <f aca="false">oie_f</f>
        <v>-1.2</v>
      </c>
      <c r="J4477" s="6" t="n">
        <f aca="false">oie_f</f>
        <v>-1.2</v>
      </c>
      <c r="K4477" s="6" t="n">
        <f aca="false">oie_f</f>
        <v>-1.2</v>
      </c>
      <c r="L4477" s="12" t="s">
        <v>1077</v>
      </c>
    </row>
    <row r="4478" customFormat="false" ht="15" hidden="false" customHeight="false" outlineLevel="0" collapsed="false">
      <c r="A4478" s="1" t="s">
        <v>1078</v>
      </c>
      <c r="B4478" s="0" t="s">
        <v>98</v>
      </c>
      <c r="D4478" s="6" t="n">
        <f aca="false">Sens!D4470+Sens!D4477</f>
        <v>123.627</v>
      </c>
      <c r="E4478" s="6" t="n">
        <f aca="false">Sens!E4470+Sens!E4477</f>
        <v>165.934</v>
      </c>
      <c r="F4478" s="6" t="n">
        <f aca="false">Sens!F4470+Sens!F4477</f>
        <v>182.225010225509</v>
      </c>
      <c r="G4478" s="6" t="n">
        <f aca="false">Sens!G4470+Sens!G4477</f>
        <v>202.677368505368</v>
      </c>
      <c r="H4478" s="6" t="n">
        <f aca="false">Sens!H4470+Sens!H4477</f>
        <v>233.245718315414</v>
      </c>
      <c r="I4478" s="6" t="n">
        <f aca="false">Sens!I4470+Sens!I4477</f>
        <v>255.328984556449</v>
      </c>
      <c r="J4478" s="6" t="n">
        <f aca="false">Sens!J4470+Sens!J4477</f>
        <v>276.02266195281</v>
      </c>
      <c r="K4478" s="6" t="n">
        <f aca="false">Sens!K4470+Sens!K4477</f>
        <v>297.568744041731</v>
      </c>
    </row>
    <row r="4479" customFormat="false" ht="15" hidden="false" customHeight="false" outlineLevel="0" collapsed="false">
      <c r="A4479" s="1" t="s">
        <v>1079</v>
      </c>
      <c r="B4479" s="0" t="s">
        <v>98</v>
      </c>
      <c r="D4479" s="6" t="n">
        <f aca="false">Q!L29</f>
        <v>21.795</v>
      </c>
      <c r="E4479" s="6" t="n">
        <f aca="false">Q!M29</f>
        <v>32.185</v>
      </c>
      <c r="F4479" s="6" t="n">
        <f aca="false">Q!$I$29+(Sens!F4478-Q!$I$28)*tax_f</f>
        <v>36.5784020451018</v>
      </c>
      <c r="G4479" s="6" t="n">
        <f aca="false">Sens!G4478*tax_f</f>
        <v>40.5354737010736</v>
      </c>
      <c r="H4479" s="6" t="n">
        <f aca="false">Sens!H4478*tax_f</f>
        <v>46.6491436630828</v>
      </c>
      <c r="I4479" s="6" t="n">
        <f aca="false">Sens!I4478*tax_f</f>
        <v>51.0657969112897</v>
      </c>
      <c r="J4479" s="6" t="n">
        <f aca="false">Sens!J4478*tax_f</f>
        <v>55.2045323905619</v>
      </c>
      <c r="K4479" s="6" t="n">
        <f aca="false">Sens!K4478*tax_f</f>
        <v>59.5137488083462</v>
      </c>
    </row>
    <row r="4480" customFormat="false" ht="15" hidden="false" customHeight="false" outlineLevel="0" collapsed="false">
      <c r="A4480" s="1" t="s">
        <v>1080</v>
      </c>
      <c r="B4480" s="0" t="s">
        <v>98</v>
      </c>
      <c r="D4480" s="6" t="n">
        <f aca="false">Sens!D4478-Sens!D4479</f>
        <v>101.832</v>
      </c>
      <c r="E4480" s="6" t="n">
        <f aca="false">Sens!E4478-Sens!E4479</f>
        <v>133.749</v>
      </c>
      <c r="F4480" s="6" t="n">
        <f aca="false">Sens!F4478-Sens!F4479</f>
        <v>145.646608180407</v>
      </c>
      <c r="G4480" s="6" t="n">
        <f aca="false">Sens!G4478-Sens!G4479</f>
        <v>162.141894804294</v>
      </c>
      <c r="H4480" s="6" t="n">
        <f aca="false">Sens!H4478-Sens!H4479</f>
        <v>186.596574652331</v>
      </c>
      <c r="I4480" s="6" t="n">
        <f aca="false">Sens!I4478-Sens!I4479</f>
        <v>204.263187645159</v>
      </c>
      <c r="J4480" s="6" t="n">
        <f aca="false">Sens!J4478-Sens!J4479</f>
        <v>220.818129562248</v>
      </c>
      <c r="K4480" s="6" t="n">
        <f aca="false">Sens!K4478-Sens!K4479</f>
        <v>238.054995233385</v>
      </c>
    </row>
    <row r="4481" customFormat="false" ht="17.15" hidden="false" customHeight="false" outlineLevel="0" collapsed="false">
      <c r="A4481" s="1" t="s">
        <v>1081</v>
      </c>
      <c r="B4481" s="1" t="s">
        <v>81</v>
      </c>
      <c r="D4481" s="15" t="n">
        <f aca="false">Q!L31</f>
        <v>7.465</v>
      </c>
      <c r="E4481" s="15" t="n">
        <f aca="false">Q!M31</f>
        <v>7.453</v>
      </c>
      <c r="F4481" s="15" t="n">
        <f aca="false">Sens!F4525</f>
        <v>7.46890782409377</v>
      </c>
      <c r="G4481" s="15" t="n">
        <f aca="false">Sens!G4525</f>
        <v>7.50388136424026</v>
      </c>
      <c r="H4481" s="15" t="n">
        <f aca="false">Sens!H4525</f>
        <v>7.52614701932177</v>
      </c>
      <c r="I4481" s="15" t="n">
        <f aca="false">Sens!I4525</f>
        <v>7.53782838337724</v>
      </c>
      <c r="J4481" s="15" t="n">
        <f aca="false">Sens!J4525</f>
        <v>7.55197779453972</v>
      </c>
      <c r="K4481" s="15" t="n">
        <f aca="false">Sens!K4525</f>
        <v>7.56841243450497</v>
      </c>
    </row>
    <row r="4482" customFormat="false" ht="17.15" hidden="false" customHeight="false" outlineLevel="0" collapsed="false">
      <c r="A4482" s="0" t="s">
        <v>1082</v>
      </c>
      <c r="B4482" s="0" t="s">
        <v>75</v>
      </c>
      <c r="D4482" s="8" t="n">
        <f aca="false">Sens!D4480/Sens!D4481</f>
        <v>13.641259209645</v>
      </c>
      <c r="E4482" s="8" t="n">
        <f aca="false">Sens!E4480/Sens!E4481</f>
        <v>17.9456594659869</v>
      </c>
      <c r="F4482" s="8" t="n">
        <f aca="false">Sens!F4480/Sens!F4481</f>
        <v>19.5003890275054</v>
      </c>
      <c r="G4482" s="8" t="n">
        <f aca="false">Sens!G4480/Sens!G4481</f>
        <v>21.6077369742253</v>
      </c>
      <c r="H4482" s="8" t="n">
        <f aca="false">Sens!H4480/Sens!H4481</f>
        <v>24.793107837687</v>
      </c>
      <c r="I4482" s="8" t="n">
        <f aca="false">Sens!I4480/Sens!I4481</f>
        <v>27.098413131242</v>
      </c>
      <c r="J4482" s="8" t="n">
        <f aca="false">Sens!J4480/Sens!J4481</f>
        <v>29.2397747411155</v>
      </c>
      <c r="K4482" s="8" t="n">
        <f aca="false">Sens!K4480/Sens!K4481</f>
        <v>31.4537556315078</v>
      </c>
      <c r="L4482" s="1" t="s">
        <v>1083</v>
      </c>
    </row>
    <row r="4483" customFormat="false" ht="17.15" hidden="false" customHeight="false" outlineLevel="0" collapsed="false">
      <c r="A4483" s="1" t="s">
        <v>1084</v>
      </c>
      <c r="B4483" s="0" t="s">
        <v>98</v>
      </c>
      <c r="D4483" s="6" t="n">
        <f aca="false">Sens!D4480</f>
        <v>101.832</v>
      </c>
      <c r="E4483" s="6" t="n">
        <f aca="false">Sens!E4480</f>
        <v>133.749</v>
      </c>
      <c r="F4483" s="6" t="n">
        <f aca="false">Sens!F4480+Sens!F4473*(1-tax_f)</f>
        <v>152.670609829429</v>
      </c>
      <c r="G4483" s="6" t="n">
        <f aca="false">Sens!G4480+Sens!G4473*(1-tax_f)</f>
        <v>180.133751382802</v>
      </c>
      <c r="H4483" s="6" t="n">
        <f aca="false">Sens!H4480+Sens!H4473*(1-tax_f)</f>
        <v>217.052372133115</v>
      </c>
      <c r="I4483" s="6" t="n">
        <f aca="false">Sens!I4480+Sens!I4473*(1-tax_f)</f>
        <v>246.183060390137</v>
      </c>
      <c r="J4483" s="6" t="n">
        <f aca="false">Sens!J4480+Sens!J4473*(1-tax_f)</f>
        <v>271.234663099966</v>
      </c>
      <c r="K4483" s="6" t="n">
        <f aca="false">Sens!K4480+Sens!K4473*(1-tax_f)</f>
        <v>293.340685597462</v>
      </c>
    </row>
    <row r="4484" customFormat="false" ht="17.15" hidden="false" customHeight="false" outlineLevel="0" collapsed="false">
      <c r="A4484" s="0" t="s">
        <v>1085</v>
      </c>
      <c r="B4484" s="0" t="s">
        <v>75</v>
      </c>
      <c r="D4484" s="8" t="n">
        <f aca="false">Sens!D4483/Sens!D4481</f>
        <v>13.641259209645</v>
      </c>
      <c r="E4484" s="8" t="n">
        <f aca="false">Sens!E4483/Sens!E4481</f>
        <v>17.9456594659869</v>
      </c>
      <c r="F4484" s="8" t="n">
        <f aca="false">Sens!F4483/Sens!F4481</f>
        <v>20.4408212586226</v>
      </c>
      <c r="G4484" s="8" t="n">
        <f aca="false">Sens!G4483/Sens!G4481</f>
        <v>24.0054103521984</v>
      </c>
      <c r="H4484" s="8" t="n">
        <f aca="false">Sens!H4483/Sens!H4481</f>
        <v>28.839773070587</v>
      </c>
      <c r="I4484" s="8" t="n">
        <f aca="false">Sens!I4483/Sens!I4481</f>
        <v>32.6596796675592</v>
      </c>
      <c r="J4484" s="8" t="n">
        <f aca="false">Sens!J4483/Sens!J4481</f>
        <v>35.9157124768132</v>
      </c>
      <c r="K4484" s="8" t="n">
        <f aca="false">Sens!K4483/Sens!K4481</f>
        <v>38.7585491853085</v>
      </c>
      <c r="L4484" s="1" t="s">
        <v>1086</v>
      </c>
    </row>
    <row r="4485" customFormat="false" ht="17.15" hidden="false" customHeight="false" outlineLevel="0" collapsed="false">
      <c r="A4485" s="0" t="s">
        <v>1087</v>
      </c>
      <c r="B4485" s="0" t="s">
        <v>168</v>
      </c>
      <c r="E4485" s="7" t="n">
        <f aca="false">Sens!E4484/Sens!D4484-1</f>
        <v>0.315542736208578</v>
      </c>
      <c r="F4485" s="7" t="n">
        <f aca="false">Sens!F4484/Sens!E4484-1</f>
        <v>0.139039849572812</v>
      </c>
      <c r="G4485" s="7" t="n">
        <f aca="false">Sens!G4484/Sens!F4484-1</f>
        <v>0.174385806151117</v>
      </c>
      <c r="H4485" s="7" t="n">
        <f aca="false">Sens!H4484/Sens!G4484-1</f>
        <v>0.201386381130783</v>
      </c>
      <c r="I4485" s="7" t="n">
        <f aca="false">Sens!I4484/Sens!H4484-1</f>
        <v>0.132452727267401</v>
      </c>
      <c r="J4485" s="7" t="n">
        <f aca="false">Sens!J4484/Sens!I4484-1</f>
        <v>0.0996957974602595</v>
      </c>
      <c r="K4485" s="7" t="n">
        <f aca="false">Sens!K4484/Sens!J4484-1</f>
        <v>0.0791530088768442</v>
      </c>
    </row>
    <row r="4486" customFormat="false" ht="17.15" hidden="false" customHeight="false" outlineLevel="0" collapsed="false">
      <c r="A4486" s="0" t="s">
        <v>1007</v>
      </c>
      <c r="B4486" s="0" t="s">
        <v>98</v>
      </c>
      <c r="E4486" s="6" t="n">
        <f aca="false">Sens!E4427</f>
        <v>5.25</v>
      </c>
      <c r="F4486" s="6" t="n">
        <f aca="false">Sens!F4427</f>
        <v>13.5</v>
      </c>
      <c r="G4486" s="6" t="n">
        <f aca="false">Sens!G4427</f>
        <v>22.5</v>
      </c>
      <c r="H4486" s="6" t="n">
        <f aca="false">Sens!H4427</f>
        <v>31.5</v>
      </c>
      <c r="I4486" s="6" t="n">
        <f aca="false">Sens!I4427</f>
        <v>38.25</v>
      </c>
      <c r="J4486" s="6" t="n">
        <f aca="false">Sens!J4427</f>
        <v>42.75</v>
      </c>
      <c r="K4486" s="6" t="n">
        <f aca="false">Sens!K4427</f>
        <v>47.25</v>
      </c>
    </row>
    <row r="4487" customFormat="false" ht="17.15" hidden="false" customHeight="false" outlineLevel="0" collapsed="false">
      <c r="A4487" s="1" t="s">
        <v>1008</v>
      </c>
      <c r="B4487" s="0" t="s">
        <v>98</v>
      </c>
      <c r="F4487" s="6" t="n">
        <f aca="false">MAX(0,((Sens!E4387+Sens!F4387)/2-(shadow_base*(Sens!$D$4387+Sens!$E$4387)/2+(1-shadow_base)*Sens!$E$4387))*Sens!F4396/1000-(Sens!F4486-Sens!$E$4486)*Sens!F4466)</f>
        <v>8.78000206127647</v>
      </c>
      <c r="G4487" s="6" t="n">
        <f aca="false">MAX(0,((Sens!F4387+Sens!G4387)/2-(shadow_base*(Sens!$D$4387+Sens!$E$4387)/2+(1-shadow_base)*Sens!$E$4387))*Sens!G4396/1000-(Sens!G4486-Sens!$E$4486)*Sens!G4466)</f>
        <v>22.4898207231339</v>
      </c>
      <c r="H4487" s="6" t="n">
        <f aca="false">MAX(0,((Sens!G4387+Sens!H4387)/2-(shadow_base*(Sens!$D$4387+Sens!$E$4387)/2+(1-shadow_base)*Sens!$E$4387))*Sens!H4396/1000-(Sens!H4486-Sens!$E$4486)*Sens!H4466)</f>
        <v>38.0697468509798</v>
      </c>
      <c r="I4487" s="6" t="n">
        <f aca="false">MAX(0,((Sens!H4387+Sens!I4387)/2-(shadow_base*(Sens!$D$4387+Sens!$E$4387)/2+(1-shadow_base)*Sens!$E$4387))*Sens!I4396/1000-(Sens!I4486-Sens!$E$4486)*Sens!I4466)</f>
        <v>52.3998409312223</v>
      </c>
      <c r="J4487" s="6" t="n">
        <f aca="false">MAX(0,((Sens!I4387+Sens!J4387)/2-(shadow_base*(Sens!$D$4387+Sens!$E$4387)/2+(1-shadow_base)*Sens!$E$4387))*Sens!J4396/1000-(Sens!J4486-Sens!$E$4486)*Sens!J4466)</f>
        <v>63.020666922148</v>
      </c>
      <c r="K4487" s="6" t="n">
        <f aca="false">MAX(0,((Sens!J4387+Sens!K4387)/2-(shadow_base*(Sens!$D$4387+Sens!$E$4387)/2+(1-shadow_base)*Sens!$E$4387))*Sens!K4396/1000-(Sens!K4486-Sens!$E$4486)*Sens!K4466)</f>
        <v>69.1071129550962</v>
      </c>
      <c r="L4487" s="1" t="s">
        <v>1009</v>
      </c>
    </row>
    <row r="4488" customFormat="false" ht="17.15" hidden="false" customHeight="false" outlineLevel="0" collapsed="false">
      <c r="A4488" s="1" t="s">
        <v>1010</v>
      </c>
      <c r="B4488" s="0" t="s">
        <v>98</v>
      </c>
      <c r="F4488" s="6" t="n">
        <f aca="false">IF(internal_ai_reading=2,1,0)*Sens!F4487</f>
        <v>8.78000206127647</v>
      </c>
      <c r="G4488" s="6" t="n">
        <f aca="false">IF(internal_ai_reading=2,1,0)*Sens!G4487</f>
        <v>22.4898207231339</v>
      </c>
      <c r="H4488" s="6" t="n">
        <f aca="false">IF(internal_ai_reading=2,1,0)*Sens!H4487</f>
        <v>38.0697468509798</v>
      </c>
      <c r="I4488" s="6" t="n">
        <f aca="false">IF(internal_ai_reading=2,1,0)*Sens!I4487</f>
        <v>52.3998409312223</v>
      </c>
      <c r="J4488" s="6" t="n">
        <f aca="false">IF(internal_ai_reading=2,1,0)*Sens!J4487</f>
        <v>63.020666922148</v>
      </c>
      <c r="K4488" s="6" t="n">
        <f aca="false">IF(internal_ai_reading=2,1,0)*Sens!K4487</f>
        <v>69.1071129550962</v>
      </c>
    </row>
    <row r="4489" customFormat="false" ht="17.15" hidden="false" customHeight="false" outlineLevel="0" collapsed="false">
      <c r="A4489" s="0" t="s">
        <v>1011</v>
      </c>
      <c r="B4489" s="0" t="s">
        <v>98</v>
      </c>
      <c r="F4489" s="6" t="n">
        <f aca="false">Sens!F4406+Sens!F4486*Sens!F4466+Sens!F4488-Sens!F4407-Sens!F4418</f>
        <v>12.1585737989465</v>
      </c>
      <c r="G4489" s="6" t="n">
        <f aca="false">Sens!G4406+Sens!G4486*Sens!G4466+Sens!G4488-Sens!G4407-Sens!G4418</f>
        <v>31.9514591443246</v>
      </c>
      <c r="H4489" s="6" t="n">
        <f aca="false">Sens!H4406+Sens!H4486*Sens!H4466+Sens!H4488-Sens!H4407-Sens!H4418</f>
        <v>57.7090112122102</v>
      </c>
      <c r="I4489" s="6" t="n">
        <f aca="false">Sens!I4406+Sens!I4486*Sens!I4466+Sens!I4488-Sens!I4407-Sens!I4418</f>
        <v>74.1134063698196</v>
      </c>
      <c r="J4489" s="6" t="n">
        <f aca="false">Sens!J4406+Sens!J4486*Sens!J4466+Sens!J4488-Sens!J4407-Sens!J4418</f>
        <v>86.5873201525511</v>
      </c>
      <c r="K4489" s="6" t="n">
        <f aca="false">Sens!K4406+Sens!K4486*Sens!K4466+Sens!K4488-Sens!K4407-Sens!K4418</f>
        <v>97.3572505093278</v>
      </c>
    </row>
    <row r="4490" customFormat="false" ht="17.15" hidden="false" customHeight="false" outlineLevel="0" collapsed="false">
      <c r="A4490" s="0" t="s">
        <v>1012</v>
      </c>
      <c r="B4490" s="0" t="s">
        <v>98</v>
      </c>
      <c r="E4490" s="6" t="n">
        <f aca="false">Sens!E4386*(cxit_open+self_build*tk_cxfac)/1000*ai_net_open</f>
        <v>126.6980382</v>
      </c>
      <c r="F4490" s="6" t="n">
        <f aca="false">Sens!E4490+Sens!F4415-Sens!F4418</f>
        <v>254.158530766683</v>
      </c>
      <c r="G4490" s="6" t="n">
        <f aca="false">Sens!F4490+Sens!G4415-Sens!G4418</f>
        <v>374.055785428727</v>
      </c>
      <c r="H4490" s="6" t="n">
        <f aca="false">Sens!G4490+Sens!H4415-Sens!H4418</f>
        <v>493.619309235596</v>
      </c>
      <c r="I4490" s="6" t="n">
        <f aca="false">Sens!H4490+Sens!I4415-Sens!I4418</f>
        <v>539.84599668144</v>
      </c>
      <c r="J4490" s="6" t="n">
        <f aca="false">Sens!I4490+Sens!J4415-Sens!J4418</f>
        <v>552.48323695176</v>
      </c>
      <c r="K4490" s="6" t="n">
        <f aca="false">Sens!J4490+Sens!K4415-Sens!K4418</f>
        <v>560.787333150366</v>
      </c>
      <c r="L4490" s="1" t="s">
        <v>1013</v>
      </c>
    </row>
    <row r="4491" customFormat="false" ht="17.15" hidden="false" customHeight="false" outlineLevel="0" collapsed="false">
      <c r="A4491" s="0" t="s">
        <v>1014</v>
      </c>
      <c r="B4491" s="0" t="s">
        <v>168</v>
      </c>
      <c r="F4491" s="7" t="n">
        <f aca="false">Sens!F4489*(1-tax_f)/((Sens!E4490+Sens!F4490)/2)</f>
        <v>0.0510788566181099</v>
      </c>
      <c r="G4491" s="7" t="n">
        <f aca="false">Sens!G4489*(1-tax_f)/((Sens!F4490+Sens!G4490)/2)</f>
        <v>0.0813772200234569</v>
      </c>
      <c r="H4491" s="7" t="n">
        <f aca="false">Sens!H4489*(1-tax_f)/((Sens!G4490+Sens!H4490)/2)</f>
        <v>0.106415890587776</v>
      </c>
      <c r="I4491" s="7" t="n">
        <f aca="false">Sens!I4489*(1-tax_f)/((Sens!H4490+Sens!I4490)/2)</f>
        <v>0.114741587852811</v>
      </c>
      <c r="J4491" s="7" t="n">
        <f aca="false">Sens!J4489*(1-tax_f)/((Sens!I4490+Sens!J4490)/2)</f>
        <v>0.126829629729202</v>
      </c>
      <c r="K4491" s="7" t="n">
        <f aca="false">Sens!K4489*(1-tax_f)/((Sens!J4490+Sens!K4490)/2)</f>
        <v>0.139922499523754</v>
      </c>
    </row>
    <row r="4492" customFormat="false" ht="17.15" hidden="false" customHeight="false" outlineLevel="0" collapsed="false">
      <c r="A4492" s="1" t="s">
        <v>1015</v>
      </c>
      <c r="B4492" s="0" t="s">
        <v>168</v>
      </c>
      <c r="F4492" s="7" t="n">
        <f aca="false">(Sens!F4489-Sens!F4488)*(1-tax_f)/((Sens!E4490+Sens!F4490)/2)</f>
        <v>0.0141935710730645</v>
      </c>
      <c r="G4492" s="7" t="n">
        <f aca="false">(Sens!G4489-Sens!G4488)*(1-tax_f)/((Sens!F4490+Sens!G4490)/2)</f>
        <v>0.0240978613247586</v>
      </c>
      <c r="H4492" s="7" t="n">
        <f aca="false">(Sens!H4489-Sens!H4488)*(1-tax_f)/((Sens!G4490+Sens!H4490)/2)</f>
        <v>0.0362149647618102</v>
      </c>
      <c r="I4492" s="7" t="n">
        <f aca="false">(Sens!I4489-Sens!I4488)*(1-tax_f)/((Sens!H4490+Sens!I4490)/2)</f>
        <v>0.033616711178251</v>
      </c>
      <c r="J4492" s="7" t="n">
        <f aca="false">(Sens!J4489-Sens!J4488)*(1-tax_f)/((Sens!I4490+Sens!J4490)/2)</f>
        <v>0.0345194873556838</v>
      </c>
      <c r="K4492" s="7" t="n">
        <f aca="false">(Sens!K4489-Sens!K4488)*(1-tax_f)/((Sens!J4490+Sens!K4490)/2)</f>
        <v>0.0406012889414871</v>
      </c>
    </row>
    <row r="4493" customFormat="false" ht="17.15" hidden="false" customHeight="false" outlineLevel="0" collapsed="false">
      <c r="A4493" s="1" t="s">
        <v>1016</v>
      </c>
      <c r="B4493" s="0" t="s">
        <v>168</v>
      </c>
      <c r="F4493" s="7" t="n">
        <f aca="false">(Sens!F4489-Sens!F4488+Sens!F4487)*(1-tax_f)/((Sens!E4490+Sens!F4490)/2)</f>
        <v>0.0510788566181099</v>
      </c>
      <c r="G4493" s="7" t="n">
        <f aca="false">(Sens!G4489-Sens!G4488+Sens!G4487)*(1-tax_f)/((Sens!F4490+Sens!G4490)/2)</f>
        <v>0.0813772200234569</v>
      </c>
      <c r="H4493" s="7" t="n">
        <f aca="false">(Sens!H4489-Sens!H4488+Sens!H4487)*(1-tax_f)/((Sens!G4490+Sens!H4490)/2)</f>
        <v>0.106415890587776</v>
      </c>
      <c r="I4493" s="7" t="n">
        <f aca="false">(Sens!I4489-Sens!I4488+Sens!I4487)*(1-tax_f)/((Sens!H4490+Sens!I4490)/2)</f>
        <v>0.114741587852811</v>
      </c>
      <c r="J4493" s="7" t="n">
        <f aca="false">(Sens!J4489-Sens!J4488+Sens!J4487)*(1-tax_f)/((Sens!I4490+Sens!J4490)/2)</f>
        <v>0.126829629729202</v>
      </c>
      <c r="K4493" s="7" t="n">
        <f aca="false">(Sens!K4489-Sens!K4488+Sens!K4487)*(1-tax_f)/((Sens!J4490+Sens!K4490)/2)</f>
        <v>0.139922499523754</v>
      </c>
    </row>
    <row r="4494" customFormat="false" ht="17.15" hidden="false" customHeight="false" outlineLevel="0" collapsed="false">
      <c r="A4494" s="1" t="s">
        <v>1017</v>
      </c>
      <c r="B4494" s="0" t="s">
        <v>168</v>
      </c>
      <c r="F4494" s="7" t="n">
        <f aca="false">Sens!F4419*(1-tax_f)/(Sens!F4405*(Sens!E4490+Sens!F4490)/2)</f>
        <v>0.130373927579058</v>
      </c>
      <c r="G4494" s="7" t="n">
        <f aca="false">Sens!G4419*(1-tax_f)/(Sens!G4405*(Sens!F4490+Sens!G4490)/2)</f>
        <v>0.154903037497369</v>
      </c>
      <c r="H4494" s="7" t="n">
        <f aca="false">Sens!H4419*(1-tax_f)/(Sens!H4405*(Sens!G4490+Sens!H4490)/2)</f>
        <v>0.184609117160482</v>
      </c>
      <c r="I4494" s="7" t="n">
        <f aca="false">Sens!I4419*(1-tax_f)/(Sens!I4405*(Sens!H4490+Sens!I4490)/2)</f>
        <v>0.192961808923652</v>
      </c>
      <c r="J4494" s="7" t="n">
        <f aca="false">Sens!J4419*(1-tax_f)/(Sens!J4405*(Sens!I4490+Sens!J4490)/2)</f>
        <v>0.209830566854359</v>
      </c>
      <c r="K4494" s="7" t="n">
        <f aca="false">Sens!K4419*(1-tax_f)/(Sens!K4405*(Sens!J4490+Sens!K4490)/2)</f>
        <v>0.227916656580163</v>
      </c>
    </row>
    <row r="4495" customFormat="false" ht="17.15" hidden="false" customHeight="false" outlineLevel="0" collapsed="false">
      <c r="A4495" s="0" t="s">
        <v>1018</v>
      </c>
      <c r="B4495" s="0" t="s">
        <v>253</v>
      </c>
      <c r="F4495" s="7" t="n">
        <f aca="false">Sens!F4491-wacc</f>
        <v>-0.0518577343274874</v>
      </c>
      <c r="G4495" s="7" t="n">
        <f aca="false">Sens!G4491-wacc</f>
        <v>-0.0215593709221404</v>
      </c>
      <c r="H4495" s="7" t="n">
        <f aca="false">Sens!H4491-wacc</f>
        <v>0.00347929964217822</v>
      </c>
      <c r="I4495" s="7" t="n">
        <f aca="false">Sens!I4491-wacc</f>
        <v>0.0118049969072133</v>
      </c>
      <c r="J4495" s="7" t="n">
        <f aca="false">Sens!J4491-wacc</f>
        <v>0.0238930387836048</v>
      </c>
      <c r="K4495" s="7" t="n">
        <f aca="false">Sens!K4491-wacc</f>
        <v>0.036985908578157</v>
      </c>
    </row>
    <row r="4496" customFormat="false" ht="17.15" hidden="false" customHeight="false" outlineLevel="0" collapsed="false">
      <c r="A4496" s="0" t="s">
        <v>1019</v>
      </c>
      <c r="B4496" s="0" t="s">
        <v>98</v>
      </c>
      <c r="F4496" s="6" t="n">
        <f aca="false">Sens!F4489*(1-tax_f)-wacc*(Sens!E4490+Sens!F4490)/2</f>
        <v>-9.8751793851763</v>
      </c>
      <c r="G4496" s="6" t="n">
        <f aca="false">Sens!G4489*(1-tax_f)-wacc*(Sens!F4490+Sens!G4490)/2</f>
        <v>-6.77195273072783</v>
      </c>
      <c r="H4496" s="6" t="n">
        <f aca="false">Sens!H4489*(1-tax_f)-wacc*(Sens!G4490+Sens!H4490)/2</f>
        <v>1.50945082319627</v>
      </c>
      <c r="I4496" s="6" t="n">
        <f aca="false">Sens!I4489*(1-tax_f)-wacc*(Sens!H4490+Sens!I4490)/2</f>
        <v>6.10002737003144</v>
      </c>
      <c r="J4496" s="6" t="n">
        <f aca="false">Sens!J4489*(1-tax_f)-wacc*(Sens!I4490+Sens!J4490)/2</f>
        <v>13.0495323718317</v>
      </c>
      <c r="K4496" s="6" t="n">
        <f aca="false">Sens!K4489*(1-tax_f)-wacc*(Sens!J4490+Sens!K4490)/2</f>
        <v>20.587661764275</v>
      </c>
    </row>
    <row r="4497" customFormat="false" ht="17.15" hidden="false" customHeight="false" outlineLevel="0" collapsed="false">
      <c r="A4497" s="3" t="s">
        <v>1723</v>
      </c>
    </row>
    <row r="4498" customFormat="false" ht="15" hidden="false" customHeight="false" outlineLevel="0" collapsed="false">
      <c r="A4498" s="4" t="s">
        <v>43</v>
      </c>
      <c r="B4498" s="4" t="s">
        <v>65</v>
      </c>
      <c r="C4498" s="23" t="s">
        <v>942</v>
      </c>
      <c r="D4498" s="23" t="s">
        <v>943</v>
      </c>
      <c r="E4498" s="23" t="s">
        <v>944</v>
      </c>
      <c r="F4498" s="23" t="s">
        <v>945</v>
      </c>
      <c r="G4498" s="23" t="s">
        <v>946</v>
      </c>
      <c r="H4498" s="23" t="s">
        <v>947</v>
      </c>
      <c r="I4498" s="23" t="s">
        <v>948</v>
      </c>
      <c r="J4498" s="23" t="s">
        <v>949</v>
      </c>
      <c r="K4498" s="23" t="s">
        <v>950</v>
      </c>
      <c r="L4498" s="4" t="s">
        <v>47</v>
      </c>
    </row>
    <row r="4499" customFormat="false" ht="15" hidden="false" customHeight="false" outlineLevel="0" collapsed="false">
      <c r="A4499" s="1" t="s">
        <v>1080</v>
      </c>
      <c r="B4499" s="0" t="s">
        <v>98</v>
      </c>
      <c r="F4499" s="6" t="n">
        <f aca="false">Sens!F4480</f>
        <v>145.646608180407</v>
      </c>
      <c r="G4499" s="6" t="n">
        <f aca="false">Sens!G4480</f>
        <v>162.141894804294</v>
      </c>
      <c r="H4499" s="6" t="n">
        <f aca="false">Sens!H4480</f>
        <v>186.596574652331</v>
      </c>
      <c r="I4499" s="6" t="n">
        <f aca="false">Sens!I4480</f>
        <v>204.263187645159</v>
      </c>
      <c r="J4499" s="6" t="n">
        <f aca="false">Sens!J4480</f>
        <v>220.818129562248</v>
      </c>
      <c r="K4499" s="6" t="n">
        <f aca="false">Sens!K4480</f>
        <v>238.054995233385</v>
      </c>
    </row>
    <row r="4500" customFormat="false" ht="17.15" hidden="false" customHeight="false" outlineLevel="0" collapsed="false">
      <c r="A4500" s="1" t="s">
        <v>1102</v>
      </c>
      <c r="B4500" s="0" t="s">
        <v>98</v>
      </c>
      <c r="E4500" s="6" t="n">
        <f aca="false">Q!M38-Sens!E4418</f>
        <v>19.2164783275</v>
      </c>
      <c r="F4500" s="6" t="n">
        <f aca="false">Sens!E4500*(1-1/life_nonai)+(Sens!F4508+Sens!F4509)/life_nonai</f>
        <v>20.869440090538</v>
      </c>
      <c r="G4500" s="6" t="n">
        <f aca="false">Sens!F4500*(1-1/life_nonai)+(Sens!G4508)/life_nonai</f>
        <v>22.9403278631934</v>
      </c>
      <c r="H4500" s="6" t="n">
        <f aca="false">Sens!G4500*(1-1/life_nonai)+(Sens!H4508)/life_nonai</f>
        <v>25.400631638317</v>
      </c>
      <c r="I4500" s="6" t="n">
        <f aca="false">Sens!H4500*(1-1/life_nonai)+(Sens!I4508)/life_nonai</f>
        <v>28.1766915044291</v>
      </c>
      <c r="J4500" s="6" t="n">
        <f aca="false">Sens!I4500*(1-1/life_nonai)+(Sens!J4508)/life_nonai</f>
        <v>31.1788780180527</v>
      </c>
      <c r="K4500" s="6" t="n">
        <f aca="false">Sens!J4500*(1-1/life_nonai)+(Sens!K4508)/life_nonai</f>
        <v>34.3249162025202</v>
      </c>
      <c r="L4500" s="12" t="s">
        <v>1103</v>
      </c>
    </row>
    <row r="4501" customFormat="false" ht="17.15" hidden="false" customHeight="false" outlineLevel="0" collapsed="false">
      <c r="A4501" s="1" t="s">
        <v>1104</v>
      </c>
      <c r="B4501" s="0" t="s">
        <v>98</v>
      </c>
      <c r="F4501" s="6" t="n">
        <f aca="false">Sens!$F$4509/life_nonai*(1-1/life_nonai)^(Sens!F4381-2027)</f>
        <v>0.00475774452575592</v>
      </c>
      <c r="G4501" s="6" t="n">
        <f aca="false">Sens!$F$4509/life_nonai*(1-1/life_nonai)^(Sens!G4381-2027)</f>
        <v>0.00428197007318033</v>
      </c>
      <c r="H4501" s="6" t="n">
        <f aca="false">Sens!$F$4509/life_nonai*(1-1/life_nonai)^(Sens!H4381-2027)</f>
        <v>0.0038537730658623</v>
      </c>
      <c r="I4501" s="6" t="n">
        <f aca="false">Sens!$F$4509/life_nonai*(1-1/life_nonai)^(Sens!I4381-2027)</f>
        <v>0.00346839575927607</v>
      </c>
      <c r="J4501" s="6" t="n">
        <f aca="false">Sens!$F$4509/life_nonai*(1-1/life_nonai)^(Sens!J4381-2027)</f>
        <v>0.00312155618334846</v>
      </c>
      <c r="K4501" s="6" t="n">
        <f aca="false">Sens!$F$4509/life_nonai*(1-1/life_nonai)^(Sens!K4381-2027)</f>
        <v>0.00280940056501362</v>
      </c>
      <c r="L4501" s="1" t="s">
        <v>1105</v>
      </c>
    </row>
    <row r="4502" customFormat="false" ht="17.15" hidden="false" customHeight="false" outlineLevel="0" collapsed="false">
      <c r="A4502" s="1" t="s">
        <v>1106</v>
      </c>
      <c r="B4502" s="0" t="s">
        <v>98</v>
      </c>
      <c r="E4502" s="6" t="n">
        <f aca="false">Sens!E4418+Sens!E4500</f>
        <v>38.534</v>
      </c>
      <c r="F4502" s="6" t="n">
        <f aca="false">Sens!F4418+Sens!F4500</f>
        <v>61.862851565975</v>
      </c>
      <c r="G4502" s="6" t="n">
        <f aca="false">Sens!G4418+Sens!G4500</f>
        <v>94.9875488501971</v>
      </c>
      <c r="H4502" s="6" t="n">
        <f aca="false">Sens!H4418+Sens!H4500</f>
        <v>131.80385665596</v>
      </c>
      <c r="I4502" s="6" t="n">
        <f aca="false">Sens!I4418+Sens!I4500</f>
        <v>165.442768680196</v>
      </c>
      <c r="J4502" s="6" t="n">
        <f aca="false">Sens!J4418+Sens!J4500</f>
        <v>190.915127463673</v>
      </c>
      <c r="K4502" s="6" t="n">
        <f aca="false">Sens!K4418+Sens!K4500</f>
        <v>207.502827992159</v>
      </c>
    </row>
    <row r="4503" customFormat="false" ht="17.15" hidden="false" customHeight="false" outlineLevel="0" collapsed="false">
      <c r="A4503" s="1" t="s">
        <v>1107</v>
      </c>
      <c r="B4503" s="0" t="s">
        <v>98</v>
      </c>
      <c r="F4503" s="6" t="n">
        <f aca="false">Sens!F4445*sbc_r</f>
        <v>15.0680693022395</v>
      </c>
      <c r="G4503" s="6" t="n">
        <f aca="false">Sens!G4445*sbc_r</f>
        <v>18.3841476633065</v>
      </c>
      <c r="H4503" s="6" t="n">
        <f aca="false">Sens!H4445*sbc_r</f>
        <v>21.998882236742</v>
      </c>
      <c r="I4503" s="6" t="n">
        <f aca="false">Sens!I4445*sbc_r</f>
        <v>25.0649051566001</v>
      </c>
      <c r="J4503" s="6" t="n">
        <f aca="false">Sens!J4445*sbc_r</f>
        <v>27.5855361991573</v>
      </c>
      <c r="K4503" s="6" t="n">
        <f aca="false">Sens!K4445*sbc_r</f>
        <v>29.6417437947588</v>
      </c>
    </row>
    <row r="4504" customFormat="false" ht="17.15" hidden="false" customHeight="false" outlineLevel="0" collapsed="false">
      <c r="A4504" s="1" t="s">
        <v>1108</v>
      </c>
      <c r="B4504" s="0" t="s">
        <v>98</v>
      </c>
      <c r="F4504" s="6" t="n">
        <f aca="false">wc27-wc26q1</f>
        <v>-4.677</v>
      </c>
      <c r="G4504" s="6" t="n">
        <f aca="false">wc_f</f>
        <v>0</v>
      </c>
      <c r="H4504" s="6" t="n">
        <f aca="false">wc_f</f>
        <v>0</v>
      </c>
      <c r="I4504" s="6" t="n">
        <f aca="false">wc_f</f>
        <v>0</v>
      </c>
      <c r="J4504" s="6" t="n">
        <f aca="false">wc_f</f>
        <v>0</v>
      </c>
      <c r="K4504" s="6" t="n">
        <f aca="false">wc_f</f>
        <v>0</v>
      </c>
      <c r="L4504" s="12" t="s">
        <v>1109</v>
      </c>
    </row>
    <row r="4505" customFormat="false" ht="17.15" hidden="false" customHeight="false" outlineLevel="0" collapsed="false">
      <c r="A4505" s="0" t="s">
        <v>1110</v>
      </c>
      <c r="B4505" s="0" t="s">
        <v>98</v>
      </c>
      <c r="F4505" s="6" t="n">
        <f aca="false">Q!$I$35-Q!$I$26-Q!$I$38-Q!$I$39</f>
        <v>6.493</v>
      </c>
      <c r="L4505" s="1" t="s">
        <v>1111</v>
      </c>
    </row>
    <row r="4506" customFormat="false" ht="15" hidden="false" customHeight="false" outlineLevel="0" collapsed="false">
      <c r="A4506" s="1" t="s">
        <v>908</v>
      </c>
      <c r="B4506" s="0" t="s">
        <v>98</v>
      </c>
      <c r="E4506" s="6" t="n">
        <f aca="false">Q!M35</f>
        <v>182.935</v>
      </c>
      <c r="F4506" s="6" t="n">
        <f aca="false">Sens!F4499+Sens!F4502+Sens!F4503+Sens!F4504+Sens!F4505</f>
        <v>224.393529048622</v>
      </c>
      <c r="G4506" s="6" t="n">
        <f aca="false">Sens!G4499+Sens!G4502+Sens!G4503+Sens!G4504</f>
        <v>275.513591317798</v>
      </c>
      <c r="H4506" s="6" t="n">
        <f aca="false">Sens!H4499+Sens!H4502+Sens!H4503+Sens!H4504</f>
        <v>340.399313545033</v>
      </c>
      <c r="I4506" s="6" t="n">
        <f aca="false">Sens!I4499+Sens!I4502+Sens!I4503+Sens!I4504</f>
        <v>394.770861481955</v>
      </c>
      <c r="J4506" s="6" t="n">
        <f aca="false">Sens!J4499+Sens!J4502+Sens!J4503+Sens!J4504</f>
        <v>439.318793225078</v>
      </c>
      <c r="K4506" s="6" t="n">
        <f aca="false">Sens!K4499+Sens!K4502+Sens!K4503+Sens!K4504</f>
        <v>475.199567020302</v>
      </c>
    </row>
    <row r="4507" customFormat="false" ht="17.15" hidden="false" customHeight="false" outlineLevel="0" collapsed="false">
      <c r="A4507" s="0" t="s">
        <v>1112</v>
      </c>
      <c r="B4507" s="0" t="s">
        <v>98</v>
      </c>
      <c r="F4507" s="6" t="n">
        <f aca="false">Sens!F4415</f>
        <v>168.45390404212</v>
      </c>
      <c r="G4507" s="6" t="n">
        <f aca="false">Sens!G4415</f>
        <v>191.944475649048</v>
      </c>
      <c r="H4507" s="6" t="n">
        <f aca="false">Sens!H4415</f>
        <v>225.966748824512</v>
      </c>
      <c r="I4507" s="6" t="n">
        <f aca="false">Sens!I4415</f>
        <v>183.49276462161</v>
      </c>
      <c r="J4507" s="6" t="n">
        <f aca="false">Sens!J4415</f>
        <v>172.37348971594</v>
      </c>
      <c r="K4507" s="6" t="n">
        <f aca="false">Sens!K4415</f>
        <v>181.482007988245</v>
      </c>
    </row>
    <row r="4508" customFormat="false" ht="17.15" hidden="false" customHeight="false" outlineLevel="0" collapsed="false">
      <c r="A4508" s="1" t="s">
        <v>1113</v>
      </c>
      <c r="B4508" s="0" t="s">
        <v>98</v>
      </c>
      <c r="E4508" s="6" t="n">
        <f aca="false">Sens!E4423*cx_azo+Sens!E4430*cx_m365+Sens!E4431*cx_lic+(Sens!E4433+Sens!E4435)*cx_ind+Sens!E4438*cx_srch+(Sens!E4440+Sens!E4442)*cx_dev</f>
        <v>30.1846587067718</v>
      </c>
      <c r="F4508" s="6" t="n">
        <f aca="false">Sens!F4423*cx_azo+Sens!F4430*cx_m365+Sens!F4431*cx_lic+(Sens!F4433+Sens!F4435)*cx_ind+Sens!F4438*cx_srch+(Sens!F4440+Sens!F4442)*cx_dev</f>
        <v>35.6985185126228</v>
      </c>
      <c r="G4508" s="6" t="n">
        <f aca="false">Sens!G4423*cx_azo+Sens!G4430*cx_m365+Sens!G4431*cx_lic+(Sens!G4433+Sens!G4435)*cx_ind+Sens!G4438*cx_srch+(Sens!G4440+Sens!G4442)*cx_dev</f>
        <v>41.5783178170917</v>
      </c>
      <c r="H4508" s="6" t="n">
        <f aca="false">Sens!H4423*cx_azo+Sens!H4430*cx_m365+Sens!H4431*cx_lic+(Sens!H4433+Sens!H4435)*cx_ind+Sens!H4438*cx_srch+(Sens!H4440+Sens!H4442)*cx_dev</f>
        <v>47.5433656144293</v>
      </c>
      <c r="I4508" s="6" t="n">
        <f aca="false">Sens!I4423*cx_azo+Sens!I4430*cx_m365+Sens!I4431*cx_lic+(Sens!I4433+Sens!I4435)*cx_ind+Sens!I4438*cx_srch+(Sens!I4440+Sens!I4442)*cx_dev</f>
        <v>53.1612302994382</v>
      </c>
      <c r="J4508" s="6" t="n">
        <f aca="false">Sens!J4423*cx_azo+Sens!J4430*cx_m365+Sens!J4431*cx_lic+(Sens!J4433+Sens!J4435)*cx_ind+Sens!J4438*cx_srch+(Sens!J4440+Sens!J4442)*cx_dev</f>
        <v>58.1985566406647</v>
      </c>
      <c r="K4508" s="6" t="n">
        <f aca="false">Sens!K4423*cx_azo+Sens!K4430*cx_m365+Sens!K4431*cx_lic+(Sens!K4433+Sens!K4435)*cx_ind+Sens!K4438*cx_srch+(Sens!K4440+Sens!K4442)*cx_dev</f>
        <v>62.6392598627275</v>
      </c>
    </row>
    <row r="4509" customFormat="false" ht="17.15" hidden="false" customHeight="false" outlineLevel="0" collapsed="false">
      <c r="A4509" s="0" t="s">
        <v>1114</v>
      </c>
      <c r="B4509" s="0" t="s">
        <v>98</v>
      </c>
      <c r="F4509" s="6" t="n">
        <f aca="false">Sens!F4413</f>
        <v>0.0475774452575593</v>
      </c>
      <c r="L4509" s="1" t="s">
        <v>1115</v>
      </c>
    </row>
    <row r="4510" customFormat="false" ht="17.15" hidden="false" customHeight="false" outlineLevel="0" collapsed="false">
      <c r="A4510" s="1" t="s">
        <v>1116</v>
      </c>
      <c r="B4510" s="0" t="s">
        <v>98</v>
      </c>
      <c r="E4510" s="6" t="n">
        <f aca="false">Q!M43</f>
        <v>145.3</v>
      </c>
      <c r="F4510" s="6" t="n">
        <f aca="false">Sens!F4507+Sens!F4508+Sens!F4509</f>
        <v>204.2</v>
      </c>
      <c r="G4510" s="6" t="n">
        <f aca="false">Sens!G4507+Sens!G4508</f>
        <v>233.52279346614</v>
      </c>
      <c r="H4510" s="6" t="n">
        <f aca="false">Sens!H4507+Sens!H4508</f>
        <v>273.510114438942</v>
      </c>
      <c r="I4510" s="6" t="n">
        <f aca="false">Sens!I4507+Sens!I4508</f>
        <v>236.653994921049</v>
      </c>
      <c r="J4510" s="6" t="n">
        <f aca="false">Sens!J4507+Sens!J4508</f>
        <v>230.572046356605</v>
      </c>
      <c r="K4510" s="6" t="n">
        <f aca="false">Sens!K4507+Sens!K4508</f>
        <v>244.121267850973</v>
      </c>
      <c r="L4510" s="1" t="s">
        <v>1117</v>
      </c>
    </row>
    <row r="4511" customFormat="false" ht="15" hidden="false" customHeight="false" outlineLevel="0" collapsed="false">
      <c r="A4511" s="1" t="s">
        <v>1118</v>
      </c>
      <c r="B4511" s="0" t="s">
        <v>98</v>
      </c>
      <c r="E4511" s="6" t="n">
        <f aca="false">fl_liab</f>
        <v>66.594</v>
      </c>
      <c r="F4511" s="6" t="n">
        <f aca="false">Sens!E4511-Sens!F4512</f>
        <v>62.46973</v>
      </c>
      <c r="G4511" s="6" t="n">
        <f aca="false">Sens!F4511-Sens!G4512</f>
        <v>57.98686785</v>
      </c>
      <c r="H4511" s="6" t="n">
        <f aca="false">Sens!G4511-Sens!H4512</f>
        <v>53.92827690325</v>
      </c>
      <c r="I4511" s="6" t="n">
        <f aca="false">Sens!H4511-Sens!I4512</f>
        <v>49.7850493638962</v>
      </c>
      <c r="J4511" s="6" t="n">
        <f aca="false">Sens!I4511-Sens!J4512</f>
        <v>45.4823765852716</v>
      </c>
      <c r="K4511" s="6" t="n">
        <f aca="false">Sens!J4511-Sens!K4512</f>
        <v>40.9860835316088</v>
      </c>
    </row>
    <row r="4512" customFormat="false" ht="15" hidden="false" customHeight="false" outlineLevel="0" collapsed="false">
      <c r="A4512" s="1" t="s">
        <v>1119</v>
      </c>
      <c r="B4512" s="0" t="s">
        <v>98</v>
      </c>
      <c r="F4512" s="6" t="n">
        <f aca="false">fl_pay_27-Sens!E4511*fl_rate</f>
        <v>4.12427</v>
      </c>
      <c r="G4512" s="6" t="n">
        <f aca="false">fl_pay_28-Sens!F4511*fl_rate</f>
        <v>4.48286215</v>
      </c>
      <c r="H4512" s="6" t="n">
        <f aca="false">fl_pay_29-Sens!G4511*fl_rate</f>
        <v>4.05859094675</v>
      </c>
      <c r="I4512" s="6" t="n">
        <f aca="false">fl_pay_30-Sens!H4511*fl_rate</f>
        <v>4.14322753935375</v>
      </c>
      <c r="J4512" s="6" t="n">
        <f aca="false">fl_pay_31-Sens!I4511*fl_rate</f>
        <v>4.30267277862467</v>
      </c>
      <c r="K4512" s="6" t="n">
        <f aca="false">fl_pay_32-Sens!J4511*fl_rate</f>
        <v>4.49629305366278</v>
      </c>
    </row>
    <row r="4513" customFormat="false" ht="17.15" hidden="false" customHeight="false" outlineLevel="0" collapsed="false">
      <c r="A4513" s="1" t="s">
        <v>1120</v>
      </c>
      <c r="B4513" s="0" t="s">
        <v>98</v>
      </c>
      <c r="E4513" s="6" t="n">
        <f aca="false">Q!M35-Q!M36-Q!M44</f>
        <v>63.886</v>
      </c>
      <c r="F4513" s="6" t="n">
        <f aca="false">Sens!F4506-Sens!F4510-Sens!F4512</f>
        <v>16.0692590486218</v>
      </c>
      <c r="G4513" s="6" t="n">
        <f aca="false">Sens!G4506-Sens!G4510-Sens!G4512</f>
        <v>37.5079357016581</v>
      </c>
      <c r="H4513" s="6" t="n">
        <f aca="false">Sens!H4506-Sens!H4510-Sens!H4512</f>
        <v>62.8306081593416</v>
      </c>
      <c r="I4513" s="6" t="n">
        <f aca="false">Sens!I4506-Sens!I4510-Sens!I4512</f>
        <v>153.973639021553</v>
      </c>
      <c r="J4513" s="6" t="n">
        <f aca="false">Sens!J4506-Sens!J4510-Sens!J4512</f>
        <v>204.444074089848</v>
      </c>
      <c r="K4513" s="6" t="n">
        <f aca="false">Sens!K4506-Sens!K4510-Sens!K4512</f>
        <v>226.582006115667</v>
      </c>
      <c r="L4513" s="12" t="s">
        <v>1121</v>
      </c>
    </row>
    <row r="4514" customFormat="false" ht="15" hidden="false" customHeight="false" outlineLevel="0" collapsed="false">
      <c r="A4514" s="1" t="s">
        <v>1122</v>
      </c>
      <c r="B4514" s="0" t="s">
        <v>75</v>
      </c>
      <c r="F4514" s="8" t="n">
        <f aca="false">dps_27</f>
        <v>3.85</v>
      </c>
      <c r="G4514" s="8" t="n">
        <f aca="false">Sens!F4514*(1+dps_g)</f>
        <v>4.158</v>
      </c>
      <c r="H4514" s="8" t="n">
        <f aca="false">Sens!G4514*(1+dps_g)</f>
        <v>4.49064</v>
      </c>
      <c r="I4514" s="8" t="n">
        <f aca="false">Sens!H4514*(1+dps_g)</f>
        <v>4.8498912</v>
      </c>
      <c r="J4514" s="8" t="n">
        <f aca="false">Sens!I4514*(1+dps_g)</f>
        <v>5.237882496</v>
      </c>
      <c r="K4514" s="8" t="n">
        <f aca="false">Sens!J4514*(1+dps_g)</f>
        <v>5.65691309568</v>
      </c>
    </row>
    <row r="4515" customFormat="false" ht="17.15" hidden="false" customHeight="false" outlineLevel="0" collapsed="false">
      <c r="A4515" s="1" t="s">
        <v>1123</v>
      </c>
      <c r="B4515" s="0" t="s">
        <v>98</v>
      </c>
      <c r="E4515" s="6" t="n">
        <f aca="false">Q!M41</f>
        <v>26.445</v>
      </c>
      <c r="F4515" s="6" t="n">
        <f aca="false">Sens!F4514*Sens!E4524</f>
        <v>28.59395</v>
      </c>
      <c r="G4515" s="6" t="n">
        <f aca="false">Sens!G4514*Sens!F4524</f>
        <v>31.0303874651638</v>
      </c>
      <c r="H4515" s="6" t="n">
        <f aca="false">Sens!H4514*Sens!G4524</f>
        <v>33.6660904366468</v>
      </c>
      <c r="I4515" s="6" t="n">
        <f aca="false">Sens!I4514*Sens!H4524</f>
        <v>36.4098159486512</v>
      </c>
      <c r="J4515" s="6" t="n">
        <f aca="false">Sens!J4514*Sens!I4524</f>
        <v>39.390499109936</v>
      </c>
      <c r="K4515" s="6" t="n">
        <f aca="false">Sens!K4514*Sens!J4524</f>
        <v>42.6284933011091</v>
      </c>
      <c r="L4515" s="1" t="s">
        <v>1124</v>
      </c>
    </row>
    <row r="4516" customFormat="false" ht="15" hidden="false" customHeight="false" outlineLevel="0" collapsed="false">
      <c r="A4516" s="1" t="s">
        <v>1125</v>
      </c>
      <c r="B4516" s="0" t="s">
        <v>98</v>
      </c>
      <c r="E4516" s="6" t="n">
        <f aca="false">Sens!E4513-Sens!E4515</f>
        <v>37.441</v>
      </c>
      <c r="F4516" s="6" t="n">
        <f aca="false">Sens!F4513-Sens!F4515</f>
        <v>-12.5246909513782</v>
      </c>
      <c r="G4516" s="6" t="n">
        <f aca="false">Sens!G4513-Sens!G4515</f>
        <v>6.47754823649427</v>
      </c>
      <c r="H4516" s="6" t="n">
        <f aca="false">Sens!H4513-Sens!H4515</f>
        <v>29.1645177226947</v>
      </c>
      <c r="I4516" s="6" t="n">
        <f aca="false">Sens!I4513-Sens!I4515</f>
        <v>117.563823072902</v>
      </c>
      <c r="J4516" s="6" t="n">
        <f aca="false">Sens!J4513-Sens!J4515</f>
        <v>165.053574979912</v>
      </c>
      <c r="K4516" s="6" t="n">
        <f aca="false">Sens!K4513-Sens!K4515</f>
        <v>183.953512814558</v>
      </c>
    </row>
    <row r="4517" customFormat="false" ht="15" hidden="false" customHeight="false" outlineLevel="0" collapsed="false">
      <c r="A4517" s="1" t="s">
        <v>1126</v>
      </c>
      <c r="B4517" s="0" t="s">
        <v>98</v>
      </c>
      <c r="F4517" s="6" t="n">
        <f aca="false">debt_mat_27</f>
        <v>9.25</v>
      </c>
      <c r="G4517" s="6" t="n">
        <f aca="false">debt_mat_28</f>
        <v>0</v>
      </c>
      <c r="H4517" s="6" t="n">
        <f aca="false">debt_mat_29</f>
        <v>2.001</v>
      </c>
      <c r="I4517" s="6" t="n">
        <f aca="false">debt_mat_30</f>
        <v>0</v>
      </c>
      <c r="J4517" s="6" t="n">
        <f aca="false">debt_mat_31</f>
        <v>0.5</v>
      </c>
      <c r="K4517" s="6" t="n">
        <f aca="false">debt_mat_32</f>
        <v>0</v>
      </c>
    </row>
    <row r="4518" customFormat="false" ht="15" hidden="false" customHeight="false" outlineLevel="0" collapsed="false">
      <c r="A4518" s="1" t="s">
        <v>1127</v>
      </c>
      <c r="B4518" s="0" t="s">
        <v>98</v>
      </c>
      <c r="E4518" s="6" t="n">
        <f aca="false">Q!M40</f>
        <v>22.271</v>
      </c>
      <c r="F4518" s="6" t="n">
        <f aca="false">MAX(0,MIN(bb_target,Sens!E4520+Sens!F4516-Sens!F4517-min_cash))</f>
        <v>5.0683090486218</v>
      </c>
      <c r="G4518" s="6" t="n">
        <f aca="false">MAX(0,MIN(bb_target,Sens!F4520+Sens!G4516-Sens!G4517-min_cash))</f>
        <v>6.47754823649427</v>
      </c>
      <c r="H4518" s="6" t="n">
        <f aca="false">MAX(0,MIN(bb_target,Sens!G4520+Sens!H4516-Sens!H4517-min_cash))</f>
        <v>22.271</v>
      </c>
      <c r="I4518" s="6" t="n">
        <f aca="false">MAX(0,MIN(bb_target,Sens!H4520+Sens!I4516-Sens!I4517-min_cash))</f>
        <v>22.271</v>
      </c>
      <c r="J4518" s="6" t="n">
        <f aca="false">MAX(0,MIN(bb_target,Sens!I4520+Sens!J4516-Sens!J4517-min_cash))</f>
        <v>22.271</v>
      </c>
      <c r="K4518" s="6" t="n">
        <f aca="false">MAX(0,MIN(bb_target,Sens!J4520+Sens!K4516-Sens!K4517-min_cash))</f>
        <v>22.271</v>
      </c>
    </row>
    <row r="4519" customFormat="false" ht="15" hidden="false" customHeight="false" outlineLevel="0" collapsed="false">
      <c r="A4519" s="1" t="s">
        <v>1128</v>
      </c>
      <c r="B4519" s="0" t="s">
        <v>98</v>
      </c>
      <c r="F4519" s="6" t="n">
        <f aca="false">MAX(0,min_cash-(Sens!E4520+Sens!F4516-Sens!F4517-Sens!F4518))</f>
        <v>0</v>
      </c>
      <c r="G4519" s="6" t="n">
        <f aca="false">MAX(0,min_cash-(Sens!F4520+Sens!G4516-Sens!G4517-Sens!G4518))</f>
        <v>0</v>
      </c>
      <c r="H4519" s="6" t="n">
        <f aca="false">MAX(0,min_cash-(Sens!G4520+Sens!H4516-Sens!H4517-Sens!H4518))</f>
        <v>0</v>
      </c>
      <c r="I4519" s="6" t="n">
        <f aca="false">MAX(0,min_cash-(Sens!H4520+Sens!I4516-Sens!I4517-Sens!I4518))</f>
        <v>0</v>
      </c>
      <c r="J4519" s="6" t="n">
        <f aca="false">MAX(0,min_cash-(Sens!I4520+Sens!J4516-Sens!J4517-Sens!J4518))</f>
        <v>0</v>
      </c>
      <c r="K4519" s="6" t="n">
        <f aca="false">MAX(0,min_cash-(Sens!J4520+Sens!K4516-Sens!K4517-Sens!K4518))</f>
        <v>0</v>
      </c>
    </row>
    <row r="4520" customFormat="false" ht="15" hidden="false" customHeight="false" outlineLevel="0" collapsed="false">
      <c r="A4520" s="1" t="s">
        <v>1129</v>
      </c>
      <c r="B4520" s="0" t="s">
        <v>98</v>
      </c>
      <c r="E4520" s="6" t="n">
        <f aca="false">cash_open</f>
        <v>76.843</v>
      </c>
      <c r="F4520" s="6" t="n">
        <f aca="false">Sens!E4520+Sens!F4516-Sens!F4517-Sens!F4518+Sens!F4519</f>
        <v>50</v>
      </c>
      <c r="G4520" s="6" t="n">
        <f aca="false">Sens!F4520+Sens!G4516-Sens!G4517-Sens!G4518+Sens!G4519</f>
        <v>50</v>
      </c>
      <c r="H4520" s="6" t="n">
        <f aca="false">Sens!G4520+Sens!H4516-Sens!H4517-Sens!H4518+Sens!H4519</f>
        <v>54.8925177226947</v>
      </c>
      <c r="I4520" s="6" t="n">
        <f aca="false">Sens!H4520+Sens!I4516-Sens!I4517-Sens!I4518+Sens!I4519</f>
        <v>150.185340795596</v>
      </c>
      <c r="J4520" s="6" t="n">
        <f aca="false">Sens!I4520+Sens!J4516-Sens!J4517-Sens!J4518+Sens!J4519</f>
        <v>292.467915775508</v>
      </c>
      <c r="K4520" s="6" t="n">
        <f aca="false">Sens!J4520+Sens!K4516-Sens!K4517-Sens!K4518+Sens!K4519</f>
        <v>454.150428590066</v>
      </c>
    </row>
    <row r="4521" customFormat="false" ht="15" hidden="false" customHeight="false" outlineLevel="0" collapsed="false">
      <c r="A4521" s="1" t="s">
        <v>1130</v>
      </c>
      <c r="B4521" s="0" t="s">
        <v>98</v>
      </c>
      <c r="E4521" s="6" t="n">
        <f aca="false">debt_face</f>
        <v>46.136</v>
      </c>
      <c r="F4521" s="6" t="n">
        <f aca="false">Sens!E4521-Sens!F4517+Sens!F4519</f>
        <v>36.886</v>
      </c>
      <c r="G4521" s="6" t="n">
        <f aca="false">Sens!F4521-Sens!G4517+Sens!G4519</f>
        <v>36.886</v>
      </c>
      <c r="H4521" s="6" t="n">
        <f aca="false">Sens!G4521-Sens!H4517+Sens!H4519</f>
        <v>34.885</v>
      </c>
      <c r="I4521" s="6" t="n">
        <f aca="false">Sens!H4521-Sens!I4517+Sens!I4519</f>
        <v>34.885</v>
      </c>
      <c r="J4521" s="6" t="n">
        <f aca="false">Sens!I4521-Sens!J4517+Sens!J4519</f>
        <v>34.385</v>
      </c>
      <c r="K4521" s="6" t="n">
        <f aca="false">Sens!J4521-Sens!K4517+Sens!K4519</f>
        <v>34.385</v>
      </c>
    </row>
    <row r="4522" customFormat="false" ht="15" hidden="false" customHeight="false" outlineLevel="0" collapsed="false">
      <c r="A4522" s="1" t="s">
        <v>1131</v>
      </c>
      <c r="B4522" s="0" t="s">
        <v>98</v>
      </c>
      <c r="E4522" s="6" t="n">
        <f aca="false">Sens!E4520-Sens!E4521</f>
        <v>30.707</v>
      </c>
      <c r="F4522" s="6" t="n">
        <f aca="false">Sens!F4520-Sens!F4521</f>
        <v>13.114</v>
      </c>
      <c r="G4522" s="6" t="n">
        <f aca="false">Sens!G4520-Sens!G4521</f>
        <v>13.114</v>
      </c>
      <c r="H4522" s="6" t="n">
        <f aca="false">Sens!H4520-Sens!H4521</f>
        <v>20.0075177226947</v>
      </c>
      <c r="I4522" s="6" t="n">
        <f aca="false">Sens!I4520-Sens!I4521</f>
        <v>115.300340795596</v>
      </c>
      <c r="J4522" s="6" t="n">
        <f aca="false">Sens!J4520-Sens!J4521</f>
        <v>258.082915775508</v>
      </c>
      <c r="K4522" s="6" t="n">
        <f aca="false">Sens!K4520-Sens!K4521</f>
        <v>419.765428590066</v>
      </c>
    </row>
    <row r="4523" customFormat="false" ht="15" hidden="false" customHeight="false" outlineLevel="0" collapsed="false">
      <c r="A4523" s="1" t="s">
        <v>1132</v>
      </c>
      <c r="B4523" s="0" t="s">
        <v>75</v>
      </c>
      <c r="F4523" s="30" t="n">
        <f aca="false">px*(1+bb_g)^(Sens!F4381-base_fy-mid_yr)</f>
        <v>551.84177959629</v>
      </c>
      <c r="G4523" s="30" t="n">
        <f aca="false">px*(1+bb_g)^(Sens!G4381-base_fy-mid_yr)</f>
        <v>595.989121963993</v>
      </c>
      <c r="H4523" s="30" t="n">
        <f aca="false">px*(1+bb_g)^(Sens!H4381-base_fy-mid_yr)</f>
        <v>643.668251721112</v>
      </c>
      <c r="I4523" s="30" t="n">
        <f aca="false">px*(1+bb_g)^(Sens!I4381-base_fy-mid_yr)</f>
        <v>695.161711858801</v>
      </c>
      <c r="J4523" s="30" t="n">
        <f aca="false">px*(1+bb_g)^(Sens!J4381-base_fy-mid_yr)</f>
        <v>750.774648807506</v>
      </c>
      <c r="K4523" s="30" t="n">
        <f aca="false">px*(1+bb_g)^(Sens!K4381-base_fy-mid_yr)</f>
        <v>810.836620712106</v>
      </c>
    </row>
    <row r="4524" customFormat="false" ht="15" hidden="false" customHeight="false" outlineLevel="0" collapsed="false">
      <c r="A4524" s="1" t="s">
        <v>1133</v>
      </c>
      <c r="B4524" s="1" t="s">
        <v>81</v>
      </c>
      <c r="E4524" s="15" t="n">
        <f aca="false">sh_out26</f>
        <v>7.427</v>
      </c>
      <c r="F4524" s="15" t="n">
        <f aca="false">Sens!E4524+sh_iss-Sens!F4518/Sens!F4523</f>
        <v>7.46281564818755</v>
      </c>
      <c r="G4524" s="15" t="n">
        <f aca="false">Sens!F4524+sh_iss-Sens!G4518/Sens!G4523</f>
        <v>7.49694708029297</v>
      </c>
      <c r="H4524" s="15" t="n">
        <f aca="false">Sens!G4524+sh_iss-Sens!H4518/Sens!H4523</f>
        <v>7.50734695835058</v>
      </c>
      <c r="I4524" s="15" t="n">
        <f aca="false">Sens!H4524+sh_iss-Sens!I4518/Sens!I4523</f>
        <v>7.52030980840391</v>
      </c>
      <c r="J4524" s="15" t="n">
        <f aca="false">Sens!I4524+sh_iss-Sens!J4518/Sens!J4523</f>
        <v>7.53564578067552</v>
      </c>
      <c r="K4524" s="15" t="n">
        <f aca="false">Sens!J4524+sh_iss-Sens!K4518/Sens!K4523</f>
        <v>7.55317908833441</v>
      </c>
    </row>
    <row r="4525" customFormat="false" ht="15" hidden="false" customHeight="false" outlineLevel="0" collapsed="false">
      <c r="A4525" s="1" t="s">
        <v>1134</v>
      </c>
      <c r="B4525" s="1" t="s">
        <v>81</v>
      </c>
      <c r="E4525" s="15" t="n">
        <f aca="false">sh_dil26</f>
        <v>7.453</v>
      </c>
      <c r="F4525" s="15" t="n">
        <f aca="false">(Sens!E4524+Sens!F4524)/2+dil_gap</f>
        <v>7.46890782409377</v>
      </c>
      <c r="G4525" s="15" t="n">
        <f aca="false">(Sens!F4524+Sens!G4524)/2+dil_gap</f>
        <v>7.50388136424026</v>
      </c>
      <c r="H4525" s="15" t="n">
        <f aca="false">(Sens!G4524+Sens!H4524)/2+dil_gap</f>
        <v>7.52614701932177</v>
      </c>
      <c r="I4525" s="15" t="n">
        <f aca="false">(Sens!H4524+Sens!I4524)/2+dil_gap</f>
        <v>7.53782838337724</v>
      </c>
      <c r="J4525" s="15" t="n">
        <f aca="false">(Sens!I4524+Sens!J4524)/2+dil_gap</f>
        <v>7.55197779453972</v>
      </c>
      <c r="K4525" s="15" t="n">
        <f aca="false">(Sens!J4524+Sens!K4524)/2+dil_gap</f>
        <v>7.56841243450497</v>
      </c>
    </row>
    <row r="4526" customFormat="false" ht="17.15" hidden="false" customHeight="false" outlineLevel="0" collapsed="false">
      <c r="A4526" s="1" t="s">
        <v>1135</v>
      </c>
      <c r="B4526" s="0" t="s">
        <v>98</v>
      </c>
      <c r="C4526" s="6" t="n">
        <f aca="false">SUM(Sens!F4516:J4516)</f>
        <v>305.734773060624</v>
      </c>
    </row>
    <row r="4527" customFormat="false" ht="15" hidden="false" customHeight="false" outlineLevel="0" collapsed="false">
      <c r="A4527" s="26" t="s">
        <v>1100</v>
      </c>
      <c r="B4527" s="31" t="s">
        <v>98</v>
      </c>
      <c r="C4527" s="27" t="n">
        <f aca="false">Sens!$C$4526-(Sens!F4516+Sens!G4516+Sens!H4516+Sens!I4516+Sens!J4516)</f>
        <v>0</v>
      </c>
      <c r="D4527" s="31"/>
      <c r="E4527" s="31"/>
      <c r="F4527" s="31"/>
      <c r="G4527" s="31"/>
      <c r="H4527" s="31"/>
      <c r="I4527" s="31"/>
      <c r="J4527" s="31"/>
      <c r="K4527" s="31"/>
    </row>
    <row r="4528" customFormat="false" ht="17.15" hidden="false" customHeight="false" outlineLevel="0" collapsed="false">
      <c r="A4528" s="1" t="s">
        <v>1094</v>
      </c>
      <c r="B4528" s="1" t="s">
        <v>1136</v>
      </c>
      <c r="C4528" s="33" t="str">
        <f aca="false">IF(SUM(Sens!F4519:J4519)&gt;0.05,"需要舉債 "&amp;TEXT(SUM(Sens!F4519:J4519),"0.0")&amp;" 十億美元","不需舉債")&amp;"；"&amp;IF(SUM(Sens!F4518:J4518)&lt;COUNT(Sens!F4518:J4518)*bb_target-0.05,"回購較每年 "&amp;TEXT(bb_target,"0.0")&amp;" 的目標少 "&amp;TEXT(COUNT(Sens!F4518:J4518)*bb_target-SUM(Sens!F4518:J4518),"0.0")&amp;" 十億美元（"&amp;TEXT(COUNTIF(Sens!F4518:J4518,"&lt;"&amp;(bb_target-0.05)),"0")&amp;" 年減少）","回購不減")</f>
        <v>不需舉債；回購較每年 22.3 的目標少 33.0 十億美元（2 年減少）</v>
      </c>
    </row>
    <row r="4529" customFormat="false" ht="17.15" hidden="false" customHeight="false" outlineLevel="0" collapsed="false">
      <c r="A4529" s="3" t="s">
        <v>1724</v>
      </c>
    </row>
    <row r="4530" customFormat="false" ht="15" hidden="false" customHeight="false" outlineLevel="0" collapsed="false">
      <c r="A4530" s="4" t="s">
        <v>43</v>
      </c>
      <c r="B4530" s="4" t="s">
        <v>65</v>
      </c>
      <c r="C4530" s="23" t="s">
        <v>942</v>
      </c>
      <c r="D4530" s="23" t="s">
        <v>943</v>
      </c>
      <c r="E4530" s="23" t="s">
        <v>944</v>
      </c>
      <c r="F4530" s="23" t="s">
        <v>945</v>
      </c>
      <c r="G4530" s="23" t="s">
        <v>946</v>
      </c>
      <c r="H4530" s="23" t="s">
        <v>947</v>
      </c>
      <c r="I4530" s="23" t="s">
        <v>948</v>
      </c>
      <c r="J4530" s="23" t="s">
        <v>949</v>
      </c>
      <c r="K4530" s="23" t="s">
        <v>950</v>
      </c>
      <c r="L4530" s="4" t="s">
        <v>47</v>
      </c>
    </row>
    <row r="4531" customFormat="false" ht="17.15" hidden="false" customHeight="false" outlineLevel="0" collapsed="false">
      <c r="A4531" s="1" t="s">
        <v>1216</v>
      </c>
      <c r="B4531" s="1" t="s">
        <v>279</v>
      </c>
      <c r="F4531" s="8" t="n">
        <f aca="false">(1-v_off)*mid_yr</f>
        <v>0.373972602739726</v>
      </c>
      <c r="G4531" s="8" t="n">
        <f aca="false">Sens!G4381-base_fy-mid_yr-v_off</f>
        <v>1.24794520547945</v>
      </c>
      <c r="H4531" s="8" t="n">
        <f aca="false">Sens!H4381-base_fy-mid_yr-v_off</f>
        <v>2.24794520547945</v>
      </c>
      <c r="I4531" s="8" t="n">
        <f aca="false">Sens!I4381-base_fy-mid_yr-v_off</f>
        <v>3.24794520547945</v>
      </c>
      <c r="J4531" s="8" t="n">
        <f aca="false">Sens!J4381-base_fy-mid_yr-v_off</f>
        <v>4.24794520547945</v>
      </c>
      <c r="K4531" s="8" t="n">
        <f aca="false">Sens!K4381-base_fy-mid_yr-v_off</f>
        <v>5.24794520547945</v>
      </c>
      <c r="L4531" s="12" t="s">
        <v>1217</v>
      </c>
    </row>
    <row r="4532" customFormat="false" ht="15" hidden="false" customHeight="false" outlineLevel="0" collapsed="false">
      <c r="A4532" s="1" t="s">
        <v>1218</v>
      </c>
      <c r="B4532" s="1" t="s">
        <v>279</v>
      </c>
      <c r="F4532" s="8" t="n">
        <f aca="false">Sens!F4381-base_fy-v_off</f>
        <v>0.747945205479452</v>
      </c>
      <c r="G4532" s="8" t="n">
        <f aca="false">Sens!G4381-base_fy-v_off</f>
        <v>1.74794520547945</v>
      </c>
      <c r="H4532" s="8" t="n">
        <f aca="false">Sens!H4381-base_fy-v_off</f>
        <v>2.74794520547945</v>
      </c>
      <c r="I4532" s="8" t="n">
        <f aca="false">Sens!I4381-base_fy-v_off</f>
        <v>3.74794520547945</v>
      </c>
      <c r="J4532" s="8" t="n">
        <f aca="false">Sens!J4381-base_fy-v_off</f>
        <v>4.74794520547945</v>
      </c>
      <c r="K4532" s="8" t="n">
        <f aca="false">Sens!K4381-base_fy-v_off</f>
        <v>5.74794520547945</v>
      </c>
    </row>
    <row r="4533" customFormat="false" ht="15" hidden="false" customHeight="false" outlineLevel="0" collapsed="false">
      <c r="A4533" s="1" t="s">
        <v>1219</v>
      </c>
      <c r="B4533" s="0" t="s">
        <v>229</v>
      </c>
      <c r="F4533" s="15" t="n">
        <f aca="false">1/(1+wacc)^Sens!F4531</f>
        <v>0.964022703286649</v>
      </c>
      <c r="G4533" s="15" t="n">
        <f aca="false">1/(1+wacc)^Sens!G4531</f>
        <v>0.884910302296739</v>
      </c>
      <c r="H4533" s="15" t="n">
        <f aca="false">1/(1+wacc)^Sens!H4531</f>
        <v>0.802322009770358</v>
      </c>
      <c r="I4533" s="15" t="n">
        <f aca="false">1/(1+wacc)^Sens!I4531</f>
        <v>0.727441646561469</v>
      </c>
      <c r="J4533" s="15" t="n">
        <f aca="false">1/(1+wacc)^Sens!J4531</f>
        <v>0.659549834988973</v>
      </c>
      <c r="K4533" s="15" t="n">
        <f aca="false">1/(1+wacc)^Sens!K4531</f>
        <v>0.597994336576966</v>
      </c>
    </row>
    <row r="4534" customFormat="false" ht="17.15" hidden="false" customHeight="false" outlineLevel="0" collapsed="false">
      <c r="A4534" s="1" t="s">
        <v>1220</v>
      </c>
      <c r="B4534" s="0" t="s">
        <v>98</v>
      </c>
      <c r="F4534" s="6" t="n">
        <f aca="false">Q!$I$35-Q!$I$39-Q!$I$43</f>
        <v>9.666</v>
      </c>
      <c r="L4534" s="12" t="s">
        <v>1221</v>
      </c>
    </row>
    <row r="4535" customFormat="false" ht="17.15" hidden="false" customHeight="false" outlineLevel="0" collapsed="false">
      <c r="A4535" s="1" t="s">
        <v>1222</v>
      </c>
      <c r="B4535" s="0" t="s">
        <v>98</v>
      </c>
      <c r="F4535" s="6" t="n">
        <f aca="false">Sens!F4506-Sens!F4503-Sens!F4510+Sens!F4488*(1-tax_f)*(1-v_off)-Sens!F4534</f>
        <v>0.713028103047506</v>
      </c>
      <c r="G4535" s="6" t="n">
        <f aca="false">Sens!G4506-Sens!G4503-Sens!G4510+Sens!G4488*(1-tax_f)</f>
        <v>41.5985067668588</v>
      </c>
      <c r="H4535" s="6" t="n">
        <f aca="false">Sens!H4506-Sens!H4503-Sens!H4510+Sens!H4488*(1-tax_f)</f>
        <v>75.3461143501333</v>
      </c>
      <c r="I4535" s="6" t="n">
        <f aca="false">Sens!I4506-Sens!I4503-Sens!I4510+Sens!I4488*(1-tax_f)</f>
        <v>174.971834149284</v>
      </c>
      <c r="J4535" s="6" t="n">
        <f aca="false">Sens!J4506-Sens!J4503-Sens!J4510+Sens!J4488*(1-tax_f)</f>
        <v>231.577744207034</v>
      </c>
      <c r="K4535" s="6" t="n">
        <f aca="false">Sens!K4506-Sens!K4503-Sens!K4510+Sens!K4488*(1-tax_f)</f>
        <v>256.722245738648</v>
      </c>
      <c r="L4535" s="1" t="s">
        <v>1223</v>
      </c>
    </row>
    <row r="4536" customFormat="false" ht="15" hidden="false" customHeight="false" outlineLevel="0" collapsed="false">
      <c r="A4536" s="1" t="s">
        <v>1224</v>
      </c>
      <c r="B4536" s="0" t="s">
        <v>98</v>
      </c>
      <c r="F4536" s="6" t="n">
        <f aca="false">Sens!F4535*Sens!F4533</f>
        <v>0.687375279419208</v>
      </c>
      <c r="G4536" s="6" t="n">
        <f aca="false">Sens!G4535*Sens!G4533</f>
        <v>36.810947198154</v>
      </c>
      <c r="H4536" s="6" t="n">
        <f aca="false">Sens!H4535*Sens!H4533</f>
        <v>60.4518458937862</v>
      </c>
      <c r="I4536" s="6" t="n">
        <f aca="false">Sens!I4535*Sens!I4533</f>
        <v>127.281799135436</v>
      </c>
      <c r="J4536" s="6" t="n">
        <f aca="false">Sens!J4535*Sens!J4533</f>
        <v>152.737062978867</v>
      </c>
      <c r="K4536" s="6" t="n">
        <f aca="false">Sens!K4535*Sens!K4533</f>
        <v>153.518449025032</v>
      </c>
    </row>
    <row r="4537" customFormat="false" ht="17.15" hidden="false" customHeight="false" outlineLevel="0" collapsed="false">
      <c r="A4537" s="1" t="s">
        <v>1225</v>
      </c>
      <c r="B4537" s="0" t="s">
        <v>98</v>
      </c>
      <c r="C4537" s="6" t="n">
        <f aca="false">SUM(Sens!F4536:K4536)</f>
        <v>531.487479510694</v>
      </c>
    </row>
    <row r="4538" customFormat="false" ht="17.15" hidden="false" customHeight="false" outlineLevel="0" collapsed="false">
      <c r="A4538" s="1" t="s">
        <v>1226</v>
      </c>
      <c r="B4538" s="0" t="s">
        <v>98</v>
      </c>
      <c r="C4538" s="6" t="n">
        <f aca="false">Sens!K4474*(1+g_tv)*(1-tax_f)</f>
        <v>303.129706165385</v>
      </c>
    </row>
    <row r="4539" customFormat="false" ht="17.15" hidden="false" customHeight="false" outlineLevel="0" collapsed="false">
      <c r="A4539" s="1" t="s">
        <v>1227</v>
      </c>
      <c r="B4539" s="0" t="s">
        <v>98</v>
      </c>
      <c r="C4539" s="6" t="n">
        <f aca="false">Sens!$C$4538*(1-g_tv/(wacc+ronic_prem))</f>
        <v>214.785113621343</v>
      </c>
    </row>
    <row r="4540" customFormat="false" ht="17.15" hidden="false" customHeight="false" outlineLevel="0" collapsed="false">
      <c r="A4540" s="1" t="s">
        <v>1228</v>
      </c>
      <c r="B4540" s="0" t="s">
        <v>98</v>
      </c>
      <c r="C4540" s="6" t="n">
        <f aca="false">Sens!$C$4539/(wacc-g_tv)</f>
        <v>2944.81975146808</v>
      </c>
    </row>
    <row r="4541" customFormat="false" ht="15" hidden="false" customHeight="false" outlineLevel="0" collapsed="false">
      <c r="A4541" s="1" t="s">
        <v>1229</v>
      </c>
      <c r="B4541" s="0" t="s">
        <v>98</v>
      </c>
      <c r="C4541" s="6" t="n">
        <f aca="false">Sens!$C$4540/(1+wacc)^Sens!K4532</f>
        <v>1676.79710595225</v>
      </c>
    </row>
    <row r="4542" customFormat="false" ht="17.15" hidden="false" customHeight="false" outlineLevel="0" collapsed="false">
      <c r="A4542" s="0" t="s">
        <v>1230</v>
      </c>
      <c r="B4542" s="0" t="s">
        <v>98</v>
      </c>
      <c r="C4542" s="6" t="n">
        <f aca="false">Sens!$C$4537+Sens!$C$4541</f>
        <v>2208.28458546294</v>
      </c>
    </row>
    <row r="4543" customFormat="false" ht="15" hidden="false" customHeight="false" outlineLevel="0" collapsed="false">
      <c r="A4543" s="1" t="s">
        <v>1145</v>
      </c>
      <c r="B4543" s="0" t="s">
        <v>168</v>
      </c>
      <c r="C4543" s="7" t="n">
        <f aca="false">Sens!$C$4541/Sens!$C$4542</f>
        <v>0.759321111504624</v>
      </c>
    </row>
    <row r="4544" customFormat="false" ht="17.15" hidden="false" customHeight="false" outlineLevel="0" collapsed="false">
      <c r="A4544" s="1" t="s">
        <v>1231</v>
      </c>
      <c r="B4544" s="0" t="s">
        <v>98</v>
      </c>
      <c r="C4544" s="6" t="n">
        <f aca="false">Sens!$C$4542+cash_val-debt_val-fl_val+oai_v</f>
        <v>2324.13558546294</v>
      </c>
    </row>
    <row r="4545" customFormat="false" ht="17.15" hidden="false" customHeight="false" outlineLevel="0" collapsed="false">
      <c r="A4545" s="0" t="s">
        <v>1153</v>
      </c>
      <c r="B4545" s="0" t="s">
        <v>75</v>
      </c>
      <c r="C4545" s="5" t="n">
        <f aca="false">Sens!$C$4544/shd_val</f>
        <v>312.132095818284</v>
      </c>
    </row>
    <row r="4546" customFormat="false" ht="15" hidden="false" customHeight="false" outlineLevel="0" collapsed="false">
      <c r="A4546" s="1" t="s">
        <v>1232</v>
      </c>
      <c r="B4546" s="0" t="s">
        <v>75</v>
      </c>
      <c r="C4546" s="8" t="n">
        <f aca="false">div_rem27+Sens!G4514*roll_div_q/q_per_yr</f>
        <v>3.9795</v>
      </c>
    </row>
    <row r="4547" customFormat="false" ht="17.15" hidden="false" customHeight="false" outlineLevel="0" collapsed="false">
      <c r="A4547" s="0" t="s">
        <v>1233</v>
      </c>
      <c r="B4547" s="0" t="s">
        <v>75</v>
      </c>
      <c r="C4547" s="5" t="n">
        <f aca="false">Sens!$C$4545*(1+wacc)^t_roll-Sens!$C$4546</f>
        <v>342.97274482646</v>
      </c>
    </row>
    <row r="4548" customFormat="false" ht="17.15" hidden="false" customHeight="false" outlineLevel="0" collapsed="false">
      <c r="A4548" s="1" t="s">
        <v>1234</v>
      </c>
      <c r="B4548" s="0" t="s">
        <v>168</v>
      </c>
      <c r="F4548" s="7" t="n">
        <f aca="false">Sens!F4500/(Sens!F4445-Sens!F4400)</f>
        <v>0.0606715953989785</v>
      </c>
      <c r="G4548" s="7" t="n">
        <f aca="false">Sens!G4500/(Sens!G4445-Sens!G4400)</f>
        <v>0.059073973242126</v>
      </c>
      <c r="H4548" s="7" t="n">
        <f aca="false">Sens!H4500/(Sens!H4445-Sens!H4400)</f>
        <v>0.0585972706242824</v>
      </c>
      <c r="I4548" s="7" t="n">
        <f aca="false">Sens!I4500/(Sens!I4445-Sens!I4400)</f>
        <v>0.0592055646776142</v>
      </c>
      <c r="J4548" s="7" t="n">
        <f aca="false">Sens!J4500/(Sens!J4445-Sens!J4400)</f>
        <v>0.0606287781414417</v>
      </c>
      <c r="K4548" s="7" t="n">
        <f aca="false">Sens!K4500/(Sens!K4445-Sens!K4400)</f>
        <v>0.0624823251016929</v>
      </c>
    </row>
    <row r="4549" customFormat="false" ht="17.15" hidden="false" customHeight="false" outlineLevel="0" collapsed="false">
      <c r="A4549" s="0" t="s">
        <v>1235</v>
      </c>
      <c r="B4549" s="0" t="s">
        <v>98</v>
      </c>
      <c r="F4549" s="6" t="n">
        <f aca="false">Sens!F4430*(al_m365+Sens!F4548+sbc_r)</f>
        <v>83.5777850737013</v>
      </c>
      <c r="G4549" s="6" t="n">
        <f aca="false">Sens!G4430*(al_m365+Sens!G4548+sbc_r)</f>
        <v>98.0653268244758</v>
      </c>
      <c r="H4549" s="6" t="n">
        <f aca="false">Sens!H4430*(al_m365+Sens!H4548+sbc_r)</f>
        <v>112.723290102795</v>
      </c>
      <c r="I4549" s="6" t="n">
        <f aca="false">Sens!I4430*(al_m365+Sens!I4548+sbc_r)</f>
        <v>125.870243019866</v>
      </c>
      <c r="J4549" s="6" t="n">
        <f aca="false">Sens!J4430*(al_m365+Sens!J4548+sbc_r)</f>
        <v>137.314273606393</v>
      </c>
      <c r="K4549" s="6" t="n">
        <f aca="false">Sens!K4430*(al_m365+Sens!K4548+sbc_r)</f>
        <v>148.371477153201</v>
      </c>
      <c r="L4549" s="12" t="s">
        <v>1236</v>
      </c>
    </row>
    <row r="4550" customFormat="false" ht="17.15" hidden="false" customHeight="false" outlineLevel="0" collapsed="false">
      <c r="A4550" s="0" t="s">
        <v>1237</v>
      </c>
      <c r="B4550" s="0" t="s">
        <v>98</v>
      </c>
      <c r="F4550" s="6" t="n">
        <f aca="false">Sens!F4431*(al_lic+Sens!F4548+sbc_r)</f>
        <v>32.5526816898905</v>
      </c>
      <c r="G4550" s="6" t="n">
        <f aca="false">Sens!G4431*(al_lic+Sens!G4548+sbc_r)</f>
        <v>33.8671800732505</v>
      </c>
      <c r="H4550" s="6" t="n">
        <f aca="false">Sens!H4431*(al_lic+Sens!H4548+sbc_r)</f>
        <v>35.0923029511648</v>
      </c>
      <c r="I4550" s="6" t="n">
        <f aca="false">Sens!I4431*(al_lic+Sens!I4548+sbc_r)</f>
        <v>36.2122246160531</v>
      </c>
      <c r="J4550" s="6" t="n">
        <f aca="false">Sens!J4431*(al_lic+Sens!J4548+sbc_r)</f>
        <v>37.2011877722763</v>
      </c>
      <c r="K4550" s="6" t="n">
        <f aca="false">Sens!K4431*(al_lic+Sens!K4548+sbc_r)</f>
        <v>38.0281505476999</v>
      </c>
    </row>
    <row r="4551" customFormat="false" ht="17.15" hidden="false" customHeight="false" outlineLevel="0" collapsed="false">
      <c r="A4551" s="0" t="s">
        <v>1238</v>
      </c>
      <c r="B4551" s="0" t="s">
        <v>98</v>
      </c>
      <c r="F4551" s="6" t="n">
        <f aca="false">Sens!F4433*(al_ind+Sens!F4548+sbc_r)</f>
        <v>8.88304865075174</v>
      </c>
      <c r="G4551" s="6" t="n">
        <f aca="false">Sens!G4433*(al_ind+Sens!G4548+sbc_r)</f>
        <v>9.67130005625327</v>
      </c>
      <c r="H4551" s="6" t="n">
        <f aca="false">Sens!H4433*(al_ind+Sens!H4548+sbc_r)</f>
        <v>10.5033753271313</v>
      </c>
      <c r="I4551" s="6" t="n">
        <f aca="false">Sens!I4433*(al_ind+Sens!I4548+sbc_r)</f>
        <v>11.3775022515782</v>
      </c>
      <c r="J4551" s="6" t="n">
        <f aca="false">Sens!J4433*(al_ind+Sens!J4548+sbc_r)</f>
        <v>12.283624458378</v>
      </c>
      <c r="K4551" s="6" t="n">
        <f aca="false">Sens!K4433*(al_ind+Sens!K4548+sbc_r)</f>
        <v>13.2046876137032</v>
      </c>
    </row>
    <row r="4552" customFormat="false" ht="17.15" hidden="false" customHeight="false" outlineLevel="0" collapsed="false">
      <c r="A4552" s="0" t="s">
        <v>1239</v>
      </c>
      <c r="B4552" s="0" t="s">
        <v>98</v>
      </c>
      <c r="F4552" s="6" t="n">
        <f aca="false">Sens!F4435*(al_fro+Sens!F4548+sbc_r)</f>
        <v>3.4844551782578</v>
      </c>
      <c r="G4552" s="6" t="n">
        <f aca="false">Sens!G4435*(al_fro+Sens!G4548+sbc_r)</f>
        <v>3.70052284771372</v>
      </c>
      <c r="H4552" s="6" t="n">
        <f aca="false">Sens!H4435*(al_fro+Sens!H4548+sbc_r)</f>
        <v>3.94451040120041</v>
      </c>
      <c r="I4552" s="6" t="n">
        <f aca="false">Sens!I4435*(al_fro+Sens!I4548+sbc_r)</f>
        <v>4.21977879202491</v>
      </c>
      <c r="J4552" s="6" t="n">
        <f aca="false">Sens!J4435*(al_fro+Sens!J4548+sbc_r)</f>
        <v>4.52743730948783</v>
      </c>
      <c r="K4552" s="6" t="n">
        <f aca="false">Sens!K4435*(al_fro+Sens!K4548+sbc_r)</f>
        <v>4.8669181938102</v>
      </c>
    </row>
    <row r="4553" customFormat="false" ht="17.15" hidden="false" customHeight="false" outlineLevel="0" collapsed="false">
      <c r="A4553" s="0" t="s">
        <v>1240</v>
      </c>
      <c r="B4553" s="0" t="s">
        <v>98</v>
      </c>
      <c r="F4553" s="6" t="n">
        <f aca="false">Sens!F4438*(al_srch+Sens!F4548+sbc_r)</f>
        <v>10.9700506464062</v>
      </c>
      <c r="G4553" s="6" t="n">
        <f aca="false">Sens!G4438*(al_srch+Sens!G4548+sbc_r)</f>
        <v>12.0561870055414</v>
      </c>
      <c r="H4553" s="6" t="n">
        <f aca="false">Sens!H4438*(al_srch+Sens!H4548+sbc_r)</f>
        <v>13.186596192127</v>
      </c>
      <c r="I4553" s="6" t="n">
        <f aca="false">Sens!I4438*(al_srch+Sens!I4548+sbc_r)</f>
        <v>14.352138027361</v>
      </c>
      <c r="J4553" s="6" t="n">
        <f aca="false">Sens!J4438*(al_srch+Sens!J4548+sbc_r)</f>
        <v>15.5323048843191</v>
      </c>
      <c r="K4553" s="6" t="n">
        <f aca="false">Sens!K4438*(al_srch+Sens!K4548+sbc_r)</f>
        <v>16.6969638817266</v>
      </c>
    </row>
    <row r="4554" customFormat="false" ht="17.15" hidden="false" customHeight="false" outlineLevel="0" collapsed="false">
      <c r="A4554" s="0" t="s">
        <v>1241</v>
      </c>
      <c r="B4554" s="0" t="s">
        <v>98</v>
      </c>
      <c r="F4554" s="6" t="n">
        <f aca="false">Sens!F4406-Sens!F4407+Sens!F4488</f>
        <v>45.2748533727404</v>
      </c>
      <c r="G4554" s="6" t="n">
        <f aca="false">Sens!G4406-Sens!G4407+Sens!G4488</f>
        <v>90.8701269619231</v>
      </c>
      <c r="H4554" s="6" t="n">
        <f aca="false">Sens!H4406-Sens!H4407+Sens!H4488</f>
        <v>145.732261792686</v>
      </c>
      <c r="I4554" s="6" t="n">
        <f aca="false">Sens!I4406-Sens!I4407+Sens!I4488</f>
        <v>189.060943157598</v>
      </c>
      <c r="J4554" s="6" t="n">
        <f aca="false">Sens!J4406-Sens!J4407+Sens!J4488</f>
        <v>221.379318576301</v>
      </c>
      <c r="K4554" s="6" t="n">
        <f aca="false">Sens!K4406-Sens!K4407+Sens!K4488</f>
        <v>242.965200643216</v>
      </c>
    </row>
    <row r="4555" customFormat="false" ht="17.15" hidden="false" customHeight="false" outlineLevel="0" collapsed="false">
      <c r="A4555" s="0" t="s">
        <v>1242</v>
      </c>
      <c r="B4555" s="0" t="s">
        <v>98</v>
      </c>
      <c r="F4555" s="6" t="n">
        <f aca="false">Sens!F4467+Sens!F4488+Sens!F4418+Sens!F4548*(Sens!F4437-Sens!F4400)+sbc_r*Sens!F4437</f>
        <v>242.675371125447</v>
      </c>
      <c r="G4555" s="6" t="n">
        <f aca="false">Sens!G4467+Sens!G4488+Sens!G4418+Sens!G4548*(Sens!G4437-Sens!G4400)+sbc_r*Sens!G4437</f>
        <v>313.714782486888</v>
      </c>
      <c r="H4555" s="6" t="n">
        <f aca="false">Sens!H4467+Sens!H4488+Sens!H4418+Sens!H4548*(Sens!H4437-Sens!H4400)+sbc_r*Sens!H4437</f>
        <v>399.369422430505</v>
      </c>
      <c r="I4555" s="6" t="n">
        <f aca="false">Sens!I4467+Sens!I4488+Sens!I4418+Sens!I4548*(Sens!I4437-Sens!I4400)+sbc_r*Sens!I4437</f>
        <v>471.334044988171</v>
      </c>
      <c r="J4555" s="6" t="n">
        <f aca="false">Sens!J4467+Sens!J4488+Sens!J4418+Sens!J4548*(Sens!J4437-Sens!J4400)+sbc_r*Sens!J4437</f>
        <v>529.293037495692</v>
      </c>
      <c r="K4555" s="6" t="n">
        <f aca="false">Sens!K4467+Sens!K4488+Sens!K4418+Sens!K4548*(Sens!K4437-Sens!K4400)+sbc_r*Sens!K4437</f>
        <v>574.066379449363</v>
      </c>
    </row>
    <row r="4556" customFormat="false" ht="17.15" hidden="false" customHeight="false" outlineLevel="0" collapsed="false">
      <c r="A4556" s="0" t="s">
        <v>1243</v>
      </c>
      <c r="B4556" s="0" t="s">
        <v>98</v>
      </c>
      <c r="F4556" s="6" t="n">
        <f aca="false">Sens!F4555-Sens!F4549-Sens!F4550-Sens!F4551-Sens!F4552-Sens!F4554</f>
        <v>68.9025471601053</v>
      </c>
      <c r="G4556" s="6" t="n">
        <f aca="false">Sens!G4555-Sens!G4549-Sens!G4550-Sens!G4551-Sens!G4552-Sens!G4554</f>
        <v>77.5403257232719</v>
      </c>
      <c r="H4556" s="6" t="n">
        <f aca="false">Sens!H4555-Sens!H4549-Sens!H4550-Sens!H4551-Sens!H4552-Sens!H4554</f>
        <v>91.3736818555278</v>
      </c>
      <c r="I4556" s="6" t="n">
        <f aca="false">Sens!I4555-Sens!I4549-Sens!I4550-Sens!I4551-Sens!I4552-Sens!I4554</f>
        <v>104.593353151051</v>
      </c>
      <c r="J4556" s="6" t="n">
        <f aca="false">Sens!J4555-Sens!J4549-Sens!J4550-Sens!J4551-Sens!J4552-Sens!J4554</f>
        <v>116.587195772855</v>
      </c>
      <c r="K4556" s="6" t="n">
        <f aca="false">Sens!K4555-Sens!K4549-Sens!K4550-Sens!K4551-Sens!K4552-Sens!K4554</f>
        <v>126.629945297733</v>
      </c>
    </row>
    <row r="4557" customFormat="false" ht="17.15" hidden="false" customHeight="false" outlineLevel="0" collapsed="false">
      <c r="A4557" s="0" t="s">
        <v>1244</v>
      </c>
      <c r="B4557" s="0" t="s">
        <v>98</v>
      </c>
      <c r="F4557" s="6" t="n">
        <f aca="false">Sens!F4469+Sens!F4548*Sens!F4444+sbc_r*Sens!F4444</f>
        <v>26.1225620295532</v>
      </c>
      <c r="G4557" s="6" t="n">
        <f aca="false">Sens!G4469+Sens!G4548*Sens!G4444+sbc_r*Sens!G4444</f>
        <v>26.0241032551172</v>
      </c>
      <c r="H4557" s="6" t="n">
        <f aca="false">Sens!H4469+Sens!H4548*Sens!H4444+sbc_r*Sens!H4444</f>
        <v>26.9487816285907</v>
      </c>
      <c r="I4557" s="6" t="n">
        <f aca="false">Sens!I4469+Sens!I4548*Sens!I4444+sbc_r*Sens!I4444</f>
        <v>28.102454336296</v>
      </c>
      <c r="J4557" s="6" t="n">
        <f aca="false">Sens!J4469+Sens!J4548*Sens!J4444+sbc_r*Sens!J4444</f>
        <v>29.4509550420957</v>
      </c>
      <c r="K4557" s="6" t="n">
        <f aca="false">Sens!K4469+Sens!K4548*Sens!K4444+sbc_r*Sens!K4444</f>
        <v>30.9540493343814</v>
      </c>
    </row>
    <row r="4558" customFormat="false" ht="17.15" hidden="false" customHeight="false" outlineLevel="0" collapsed="false">
      <c r="A4558" s="0" t="s">
        <v>1245</v>
      </c>
      <c r="B4558" s="0" t="s">
        <v>98</v>
      </c>
      <c r="F4558" s="6" t="n">
        <f aca="false">(Sens!F4557-Sens!F4553)*Sens!F4440/(Sens!F4440+Sens!F4442)</f>
        <v>8.55791899819496</v>
      </c>
      <c r="G4558" s="6" t="n">
        <f aca="false">(Sens!G4557-Sens!G4553)*Sens!G4440/(Sens!G4440+Sens!G4442)</f>
        <v>7.75329631530544</v>
      </c>
      <c r="H4558" s="6" t="n">
        <f aca="false">(Sens!H4557-Sens!H4553)*Sens!H4440/(Sens!H4440+Sens!H4442)</f>
        <v>7.53958462311293</v>
      </c>
      <c r="I4558" s="6" t="n">
        <f aca="false">(Sens!I4557-Sens!I4553)*Sens!I4440/(Sens!I4440+Sens!I4442)</f>
        <v>7.46732998557263</v>
      </c>
      <c r="J4558" s="6" t="n">
        <f aca="false">(Sens!J4557-Sens!J4553)*Sens!J4440/(Sens!J4440+Sens!J4442)</f>
        <v>7.52576793141389</v>
      </c>
      <c r="K4558" s="6" t="n">
        <f aca="false">(Sens!K4557-Sens!K4553)*Sens!K4440/(Sens!K4440+Sens!K4442)</f>
        <v>7.70875877177418</v>
      </c>
    </row>
    <row r="4559" customFormat="false" ht="17.15" hidden="false" customHeight="false" outlineLevel="0" collapsed="false">
      <c r="A4559" s="0" t="s">
        <v>1246</v>
      </c>
      <c r="B4559" s="0" t="s">
        <v>98</v>
      </c>
      <c r="F4559" s="6" t="n">
        <f aca="false">Sens!F4557-Sens!F4553-Sens!F4558</f>
        <v>6.59459238495209</v>
      </c>
      <c r="G4559" s="6" t="n">
        <f aca="false">Sens!G4557-Sens!G4553-Sens!G4558</f>
        <v>6.2146199342703</v>
      </c>
      <c r="H4559" s="6" t="n">
        <f aca="false">Sens!H4557-Sens!H4553-Sens!H4558</f>
        <v>6.2226008133507</v>
      </c>
      <c r="I4559" s="6" t="n">
        <f aca="false">Sens!I4557-Sens!I4553-Sens!I4558</f>
        <v>6.28298632336241</v>
      </c>
      <c r="J4559" s="6" t="n">
        <f aca="false">Sens!J4557-Sens!J4553-Sens!J4558</f>
        <v>6.39288222636274</v>
      </c>
      <c r="K4559" s="6" t="n">
        <f aca="false">Sens!K4557-Sens!K4553-Sens!K4558</f>
        <v>6.54832668088057</v>
      </c>
    </row>
    <row r="4560" customFormat="false" ht="17.15" hidden="false" customHeight="false" outlineLevel="0" collapsed="false">
      <c r="A4560" s="0" t="s">
        <v>1247</v>
      </c>
      <c r="B4560" s="0" t="s">
        <v>98</v>
      </c>
      <c r="F4560" s="6" t="n">
        <f aca="false">Sens!F4554-tax_f*(Sens!F4554-Sens!F4418)-Sens!F4415</f>
        <v>-124.03533904884</v>
      </c>
      <c r="G4560" s="6" t="n">
        <f aca="false">Sens!G4554-tax_f*(Sens!G4554-Sens!G4418)-Sens!G4415</f>
        <v>-104.838929882109</v>
      </c>
      <c r="H4560" s="6" t="n">
        <f aca="false">Sens!H4554-tax_f*(Sens!H4554-Sens!H4418)-Sens!H4415</f>
        <v>-88.1002943868349</v>
      </c>
      <c r="I4560" s="6" t="n">
        <f aca="false">Sens!I4554-tax_f*(Sens!I4554-Sens!I4418)-Sens!I4415</f>
        <v>-4.79079466037865</v>
      </c>
      <c r="J4560" s="6" t="n">
        <f aca="false">Sens!J4554-tax_f*(Sens!J4554-Sens!J4418)-Sens!J4415</f>
        <v>36.6772150342245</v>
      </c>
      <c r="K4560" s="6" t="n">
        <f aca="false">Sens!K4554-tax_f*(Sens!K4554-Sens!K4418)-Sens!K4415</f>
        <v>47.5257348842552</v>
      </c>
    </row>
    <row r="4561" customFormat="false" ht="17.15" hidden="false" customHeight="false" outlineLevel="0" collapsed="false">
      <c r="A4561" s="0" t="s">
        <v>1248</v>
      </c>
      <c r="B4561" s="0" t="s">
        <v>98</v>
      </c>
      <c r="G4561" s="6" t="n">
        <f aca="false">Sens!G4560/(1+wacc)^(Sens!G4531-Sens!F4532)</f>
        <v>-99.8268360877942</v>
      </c>
      <c r="H4561" s="6" t="n">
        <f aca="false">Sens!H4560/(1+wacc)^(Sens!H4531-Sens!F4532)</f>
        <v>-76.0591630198942</v>
      </c>
      <c r="I4561" s="6" t="n">
        <f aca="false">Sens!I4560/(1+wacc)^(Sens!I4531-Sens!F4532)</f>
        <v>-3.74999936448256</v>
      </c>
      <c r="J4561" s="6" t="n">
        <f aca="false">Sens!J4560/(1+wacc)^(Sens!J4531-Sens!F4532)</f>
        <v>26.0297168384932</v>
      </c>
      <c r="K4561" s="6" t="n">
        <f aca="false">Sens!K4560/(1+wacc)^(Sens!K4531-Sens!F4532)</f>
        <v>30.5809792552571</v>
      </c>
      <c r="L4561" s="1" t="s">
        <v>1249</v>
      </c>
    </row>
    <row r="4562" customFormat="false" ht="17.15" hidden="false" customHeight="false" outlineLevel="0" collapsed="false">
      <c r="A4562" s="0" t="s">
        <v>1250</v>
      </c>
      <c r="B4562" s="0" t="s">
        <v>98</v>
      </c>
      <c r="C4562" s="6" t="n">
        <f aca="false">(Sens!K4554-Sens!K4418)*(1-tax_f)*(1+g_tv)*(1-g_tv/(wacc+ronic_prem))/(wacc-g_tv)/(1+wacc)^(Sens!K4532-Sens!F4532)</f>
        <v>342.279612749939</v>
      </c>
    </row>
    <row r="4563" customFormat="false" ht="17.15" hidden="false" customHeight="false" outlineLevel="0" collapsed="false">
      <c r="A4563" s="1" t="s">
        <v>1251</v>
      </c>
      <c r="B4563" s="0" t="s">
        <v>98</v>
      </c>
      <c r="C4563" s="6" t="n">
        <f aca="false">(SUM(Sens!G4561:K4561)+Sens!$C$4562)*(1+wacc)^(t_roll-Sens!F4532)</f>
        <v>226.492558231133</v>
      </c>
      <c r="L4563" s="12" t="s">
        <v>1252</v>
      </c>
    </row>
    <row r="4564" customFormat="false" ht="17.15" hidden="false" customHeight="false" outlineLevel="0" collapsed="false">
      <c r="A4564" s="1" t="s">
        <v>1253</v>
      </c>
      <c r="B4564" s="0" t="s">
        <v>98</v>
      </c>
      <c r="C4564" s="6" t="n">
        <f aca="false">(w_ntm28*Sens!G4406+(1-w_ntm28)*Sens!H4406)*m_ai</f>
        <v>565.490544231437</v>
      </c>
    </row>
    <row r="4565" customFormat="false" ht="17.15" hidden="false" customHeight="false" outlineLevel="0" collapsed="false">
      <c r="A4565" s="1" t="s">
        <v>1254</v>
      </c>
      <c r="B4565" s="0" t="s">
        <v>98</v>
      </c>
      <c r="C4565" s="6" t="n">
        <f aca="false">(w_ntm28*Sens!G4556+(1-w_ntm28)*Sens!H4556)*m_cloud</f>
        <v>1134.46000782365</v>
      </c>
    </row>
    <row r="4566" customFormat="false" ht="17.15" hidden="false" customHeight="false" outlineLevel="0" collapsed="false">
      <c r="A4566" s="1" t="s">
        <v>1255</v>
      </c>
      <c r="B4566" s="0" t="s">
        <v>98</v>
      </c>
      <c r="C4566" s="6" t="n">
        <f aca="false">(w_ntm28*Sens!G4549+(1-w_ntm28)*Sens!H4549)*m_sw</f>
        <v>1111.15133904325</v>
      </c>
    </row>
    <row r="4567" customFormat="false" ht="17.15" hidden="false" customHeight="false" outlineLevel="0" collapsed="false">
      <c r="A4567" s="1" t="s">
        <v>1256</v>
      </c>
      <c r="B4567" s="0" t="s">
        <v>98</v>
      </c>
      <c r="C4567" s="6" t="n">
        <f aca="false">(w_ntm28*Sens!G4550+(1-w_ntm28)*Sens!H4550)*m_sw</f>
        <v>370.11557013296</v>
      </c>
    </row>
    <row r="4568" customFormat="false" ht="17.15" hidden="false" customHeight="false" outlineLevel="0" collapsed="false">
      <c r="A4568" s="1" t="s">
        <v>1257</v>
      </c>
      <c r="B4568" s="0" t="s">
        <v>98</v>
      </c>
      <c r="C4568" s="6" t="n">
        <f aca="false">(w_ntm28*Sens!G4551+(1-w_ntm28)*Sens!H4551)*m_sw</f>
        <v>107.404477733721</v>
      </c>
    </row>
    <row r="4569" customFormat="false" ht="17.15" hidden="false" customHeight="false" outlineLevel="0" collapsed="false">
      <c r="A4569" s="1" t="s">
        <v>1258</v>
      </c>
      <c r="B4569" s="0" t="s">
        <v>98</v>
      </c>
      <c r="C4569" s="6" t="n">
        <f aca="false">(w_ntm28*Sens!G4552+(1-w_ntm28)*Sens!H4552)*m_sw</f>
        <v>40.8319696849486</v>
      </c>
    </row>
    <row r="4570" customFormat="false" ht="17.15" hidden="false" customHeight="false" outlineLevel="0" collapsed="false">
      <c r="A4570" s="1" t="s">
        <v>1259</v>
      </c>
      <c r="B4570" s="0" t="s">
        <v>98</v>
      </c>
      <c r="C4570" s="6" t="n">
        <f aca="false">(w_ntm28*Sens!G4553+(1-w_ntm28)*Sens!H4553)*m_ads</f>
        <v>113.217516559593</v>
      </c>
    </row>
    <row r="4571" customFormat="false" ht="17.15" hidden="false" customHeight="false" outlineLevel="0" collapsed="false">
      <c r="A4571" s="1" t="s">
        <v>1260</v>
      </c>
      <c r="B4571" s="0" t="s">
        <v>98</v>
      </c>
      <c r="C4571" s="6" t="n">
        <f aca="false">(w_ntm28*Sens!G4558+(1-w_ntm28)*Sens!H4558)*m_game</f>
        <v>97.0367312549462</v>
      </c>
    </row>
    <row r="4572" customFormat="false" ht="17.15" hidden="false" customHeight="false" outlineLevel="0" collapsed="false">
      <c r="A4572" s="1" t="s">
        <v>1261</v>
      </c>
      <c r="B4572" s="0" t="s">
        <v>98</v>
      </c>
      <c r="C4572" s="6" t="n">
        <f aca="false">(w_ntm28*Sens!G4559+(1-w_ntm28)*Sens!H4559)*m_pc</f>
        <v>89.9635175678918</v>
      </c>
    </row>
    <row r="4573" customFormat="false" ht="17.15" hidden="false" customHeight="false" outlineLevel="0" collapsed="false">
      <c r="A4573" s="1" t="s">
        <v>1262</v>
      </c>
      <c r="B4573" s="0" t="s">
        <v>98</v>
      </c>
      <c r="C4573" s="6" t="n">
        <f aca="false">Sens!$C$4563+Sens!$C$4565+Sens!$C$4566+Sens!$C$4567+Sens!$C$4568+Sens!$C$4569+Sens!$C$4570+Sens!$C$4571+Sens!$C$4572</f>
        <v>3290.67368803209</v>
      </c>
    </row>
    <row r="4574" customFormat="false" ht="17.15" hidden="false" customHeight="false" outlineLevel="0" collapsed="false">
      <c r="A4574" s="1" t="s">
        <v>1263</v>
      </c>
      <c r="B4574" s="0" t="s">
        <v>98</v>
      </c>
      <c r="C4574" s="6" t="n">
        <f aca="false">(Sens!G4535-Sens!G4560)*t_stub</f>
        <v>48.5450132452742</v>
      </c>
      <c r="L4574" s="1" t="s">
        <v>1264</v>
      </c>
    </row>
    <row r="4575" customFormat="false" ht="17.15" hidden="false" customHeight="false" outlineLevel="0" collapsed="false">
      <c r="A4575" s="1" t="s">
        <v>1173</v>
      </c>
      <c r="B4575" s="0" t="s">
        <v>98</v>
      </c>
      <c r="C4575" s="6" t="n">
        <f aca="false">Sens!F4522+oai_v-Sens!F4511+Sens!$C$4574</f>
        <v>162.773283245274</v>
      </c>
      <c r="L4575" s="1" t="s">
        <v>1265</v>
      </c>
    </row>
    <row r="4576" customFormat="false" ht="17.15" hidden="false" customHeight="false" outlineLevel="0" collapsed="false">
      <c r="A4576" s="1" t="s">
        <v>1266</v>
      </c>
      <c r="B4576" s="0" t="s">
        <v>75</v>
      </c>
      <c r="C4576" s="5" t="n">
        <f aca="false">(Sens!$C$4573+Sens!$C$4575)/(Sens!F4524+dil_gap)-Sens!G4514*roll_div_q/q_per_yr</f>
        <v>460.230969790905</v>
      </c>
      <c r="L4576" s="1" t="s">
        <v>1267</v>
      </c>
    </row>
    <row r="4577" customFormat="false" ht="17.15" hidden="false" customHeight="false" outlineLevel="0" collapsed="false">
      <c r="A4577" s="1" t="s">
        <v>1268</v>
      </c>
      <c r="B4577" s="0" t="s">
        <v>75</v>
      </c>
      <c r="C4577" s="5" t="n">
        <f aca="false">w_dcf*Sens!$C$4547+(1-w_dcf)*Sens!$C$4576</f>
        <v>401.601857308683</v>
      </c>
    </row>
    <row r="4578" customFormat="false" ht="17.15" hidden="false" customHeight="false" outlineLevel="0" collapsed="false">
      <c r="A4578" s="3" t="s">
        <v>1725</v>
      </c>
    </row>
    <row r="4579" customFormat="false" ht="15" hidden="false" customHeight="false" outlineLevel="0" collapsed="false">
      <c r="A4579" s="4" t="s">
        <v>43</v>
      </c>
      <c r="B4579" s="4" t="s">
        <v>65</v>
      </c>
      <c r="C4579" s="23" t="s">
        <v>942</v>
      </c>
      <c r="D4579" s="23" t="s">
        <v>943</v>
      </c>
      <c r="E4579" s="23" t="s">
        <v>944</v>
      </c>
      <c r="F4579" s="23" t="s">
        <v>945</v>
      </c>
      <c r="G4579" s="23" t="s">
        <v>946</v>
      </c>
      <c r="H4579" s="23" t="s">
        <v>947</v>
      </c>
      <c r="I4579" s="23" t="s">
        <v>948</v>
      </c>
      <c r="J4579" s="23" t="s">
        <v>949</v>
      </c>
      <c r="K4579" s="23" t="s">
        <v>950</v>
      </c>
      <c r="L4579" s="4" t="s">
        <v>47</v>
      </c>
    </row>
    <row r="4580" customFormat="false" ht="17.15" hidden="false" customHeight="false" outlineLevel="0" collapsed="false">
      <c r="A4580" s="1" t="s">
        <v>951</v>
      </c>
      <c r="B4580" s="1" t="s">
        <v>279</v>
      </c>
      <c r="C4580" s="21" t="n">
        <v>2024</v>
      </c>
      <c r="D4580" s="21" t="n">
        <v>2025</v>
      </c>
      <c r="E4580" s="21" t="n">
        <v>2026</v>
      </c>
      <c r="F4580" s="21" t="n">
        <v>2027</v>
      </c>
      <c r="G4580" s="21" t="n">
        <v>2028</v>
      </c>
      <c r="H4580" s="21" t="n">
        <v>2029</v>
      </c>
      <c r="I4580" s="21" t="n">
        <v>2030</v>
      </c>
      <c r="J4580" s="21" t="n">
        <v>2031</v>
      </c>
      <c r="K4580" s="21" t="n">
        <v>2032</v>
      </c>
    </row>
    <row r="4581" customFormat="false" ht="17.15" hidden="false" customHeight="false" outlineLevel="0" collapsed="false">
      <c r="A4581" s="1" t="s">
        <v>952</v>
      </c>
      <c r="B4581" s="0" t="s">
        <v>459</v>
      </c>
      <c r="F4581" s="30" t="n">
        <f aca="false">pace</f>
        <v>2726.5351</v>
      </c>
      <c r="G4581" s="30" t="n">
        <f aca="false">pace</f>
        <v>2726.5351</v>
      </c>
      <c r="H4581" s="30" t="n">
        <f aca="false">pace</f>
        <v>2726.5351</v>
      </c>
      <c r="I4581" s="30" t="n">
        <f aca="false">pace+(g_tv*Sens!H4582-pace)*MIN(1,(Sens!I4580-pace_y0)/(pace_y1-pace_y0))</f>
        <v>1931.98611966667</v>
      </c>
      <c r="J4581" s="30" t="n">
        <f aca="false">pace+(g_tv*Sens!I4582-pace)*MIN(1,(Sens!J4580-pace_y0)/(pace_y1-pace_y0))</f>
        <v>1176.07686172667</v>
      </c>
      <c r="K4581" s="30" t="n">
        <f aca="false">pace+(g_tv*Sens!J4582-pace)*MIN(1,(Sens!K4580-pace_y0)/(pace_y1-pace_y0))</f>
        <v>436.1300484418</v>
      </c>
      <c r="L4581" s="12" t="s">
        <v>953</v>
      </c>
    </row>
    <row r="4582" customFormat="false" ht="17.15" hidden="false" customHeight="false" outlineLevel="0" collapsed="false">
      <c r="A4582" s="1" t="s">
        <v>954</v>
      </c>
      <c r="B4582" s="0" t="s">
        <v>459</v>
      </c>
      <c r="C4582" s="30" t="n">
        <f aca="false">mw_ext_24</f>
        <v>640</v>
      </c>
      <c r="D4582" s="30" t="n">
        <f aca="false">mw_ext_25</f>
        <v>1630</v>
      </c>
      <c r="E4582" s="30" t="n">
        <f aca="false">mw_ext_26</f>
        <v>3250</v>
      </c>
      <c r="F4582" s="30" t="n">
        <f aca="false">Sens!E4582+Sens!F4581</f>
        <v>5976.5351</v>
      </c>
      <c r="G4582" s="30" t="n">
        <f aca="false">Sens!F4582+Sens!G4581</f>
        <v>8703.0702</v>
      </c>
      <c r="H4582" s="30" t="n">
        <f aca="false">Sens!G4582+Sens!H4581</f>
        <v>11429.6053</v>
      </c>
      <c r="I4582" s="30" t="n">
        <f aca="false">Sens!H4582+Sens!I4581</f>
        <v>13361.5914196667</v>
      </c>
      <c r="J4582" s="30" t="n">
        <f aca="false">Sens!I4582+Sens!J4581</f>
        <v>14537.6682813933</v>
      </c>
      <c r="K4582" s="30" t="n">
        <f aca="false">Sens!J4582+Sens!K4581</f>
        <v>14973.7983298351</v>
      </c>
      <c r="L4582" s="1" t="s">
        <v>955</v>
      </c>
    </row>
    <row r="4583" customFormat="false" ht="17.15" hidden="false" customHeight="false" outlineLevel="0" collapsed="false">
      <c r="A4583" s="1" t="s">
        <v>956</v>
      </c>
      <c r="B4583" s="0" t="s">
        <v>459</v>
      </c>
      <c r="C4583" s="30" t="n">
        <f aca="false">rent_ext_24</f>
        <v>150</v>
      </c>
      <c r="D4583" s="30" t="n">
        <f aca="false">rent_ext_25</f>
        <v>400</v>
      </c>
      <c r="E4583" s="30" t="n">
        <f aca="false">rent_ext_26</f>
        <v>550</v>
      </c>
      <c r="F4583" s="30" t="n">
        <f aca="false">rent_ext_f</f>
        <v>756</v>
      </c>
      <c r="G4583" s="30" t="n">
        <f aca="false">rent_ext_f</f>
        <v>756</v>
      </c>
      <c r="H4583" s="30" t="n">
        <f aca="false">rent_ext_f</f>
        <v>756</v>
      </c>
      <c r="I4583" s="30" t="n">
        <f aca="false">rent_ext_f</f>
        <v>756</v>
      </c>
      <c r="J4583" s="30" t="n">
        <f aca="false">rent_ext_f</f>
        <v>756</v>
      </c>
      <c r="K4583" s="30" t="n">
        <f aca="false">rent_ext_f</f>
        <v>756</v>
      </c>
      <c r="L4583" s="1" t="s">
        <v>957</v>
      </c>
    </row>
    <row r="4584" customFormat="false" ht="17.15" hidden="false" customHeight="false" outlineLevel="0" collapsed="false">
      <c r="A4584" s="1" t="s">
        <v>958</v>
      </c>
      <c r="B4584" s="0" t="s">
        <v>459</v>
      </c>
      <c r="C4584" s="30" t="n">
        <f aca="false">Sens!C4582-Sens!C4583</f>
        <v>490</v>
      </c>
      <c r="D4584" s="30" t="n">
        <f aca="false">Sens!D4582-Sens!D4583</f>
        <v>1230</v>
      </c>
      <c r="E4584" s="30" t="n">
        <f aca="false">Sens!E4582-Sens!E4583</f>
        <v>2700</v>
      </c>
      <c r="F4584" s="30" t="n">
        <f aca="false">Sens!F4582-Sens!F4583</f>
        <v>5220.5351</v>
      </c>
      <c r="G4584" s="30" t="n">
        <f aca="false">Sens!G4582-Sens!G4583</f>
        <v>7947.0702</v>
      </c>
      <c r="H4584" s="30" t="n">
        <f aca="false">Sens!H4582-Sens!H4583</f>
        <v>10673.6053</v>
      </c>
      <c r="I4584" s="30" t="n">
        <f aca="false">Sens!I4582-Sens!I4583</f>
        <v>12605.5914196667</v>
      </c>
      <c r="J4584" s="30" t="n">
        <f aca="false">Sens!J4582-Sens!J4583</f>
        <v>13781.6682813933</v>
      </c>
      <c r="K4584" s="30" t="n">
        <f aca="false">Sens!K4582-Sens!K4583</f>
        <v>14217.7983298351</v>
      </c>
    </row>
    <row r="4585" customFormat="false" ht="17.15" hidden="false" customHeight="false" outlineLevel="0" collapsed="false">
      <c r="A4585" s="1" t="s">
        <v>959</v>
      </c>
      <c r="B4585" s="0" t="s">
        <v>459</v>
      </c>
      <c r="C4585" s="30" t="n">
        <f aca="false">Sens!C4584/ext_sh</f>
        <v>816.666666666667</v>
      </c>
      <c r="D4585" s="30" t="n">
        <f aca="false">Sens!D4584/ext_sh</f>
        <v>2050</v>
      </c>
      <c r="E4585" s="30" t="n">
        <f aca="false">Sens!E4584/ext_sh</f>
        <v>4500</v>
      </c>
      <c r="F4585" s="30" t="n">
        <f aca="false">Sens!F4584/ext_sh</f>
        <v>8700.89183333333</v>
      </c>
      <c r="G4585" s="30" t="n">
        <f aca="false">Sens!G4584/ext_sh</f>
        <v>13245.117</v>
      </c>
      <c r="H4585" s="30" t="n">
        <f aca="false">Sens!H4584/ext_sh</f>
        <v>17789.3421666667</v>
      </c>
      <c r="I4585" s="30" t="n">
        <f aca="false">Sens!I4584/ext_sh</f>
        <v>21009.3190327778</v>
      </c>
      <c r="J4585" s="30" t="n">
        <f aca="false">Sens!J4584/ext_sh</f>
        <v>22969.4471356556</v>
      </c>
      <c r="K4585" s="30" t="n">
        <f aca="false">Sens!K4584/ext_sh</f>
        <v>23696.3305497252</v>
      </c>
      <c r="L4585" s="1" t="s">
        <v>960</v>
      </c>
    </row>
    <row r="4586" customFormat="false" ht="17.15" hidden="false" customHeight="false" outlineLevel="0" collapsed="false">
      <c r="A4586" s="1" t="s">
        <v>961</v>
      </c>
      <c r="B4586" s="0" t="s">
        <v>459</v>
      </c>
      <c r="C4586" s="30" t="n">
        <f aca="false">Sens!C4585-Sens!C4584</f>
        <v>326.666666666667</v>
      </c>
      <c r="D4586" s="30" t="n">
        <f aca="false">Sens!D4585-Sens!D4584</f>
        <v>820</v>
      </c>
      <c r="E4586" s="30" t="n">
        <f aca="false">Sens!E4585-Sens!E4584</f>
        <v>1800</v>
      </c>
      <c r="F4586" s="30" t="n">
        <f aca="false">Sens!F4585-Sens!F4584</f>
        <v>3480.35673333333</v>
      </c>
      <c r="G4586" s="30" t="n">
        <f aca="false">Sens!G4585-Sens!G4584</f>
        <v>5298.0468</v>
      </c>
      <c r="H4586" s="30" t="n">
        <f aca="false">Sens!H4585-Sens!H4584</f>
        <v>7115.73686666667</v>
      </c>
      <c r="I4586" s="30" t="n">
        <f aca="false">Sens!I4585-Sens!I4584</f>
        <v>8403.72761311111</v>
      </c>
      <c r="J4586" s="30" t="n">
        <f aca="false">Sens!J4585-Sens!J4584</f>
        <v>9187.77885426222</v>
      </c>
      <c r="K4586" s="30" t="n">
        <f aca="false">Sens!K4585-Sens!K4584</f>
        <v>9478.53221989009</v>
      </c>
    </row>
    <row r="4587" customFormat="false" ht="17.15" hidden="false" customHeight="false" outlineLevel="0" collapsed="false">
      <c r="A4587" s="1" t="s">
        <v>962</v>
      </c>
      <c r="B4587" s="0" t="s">
        <v>459</v>
      </c>
      <c r="C4587" s="30" t="n">
        <f aca="false">Sens!C4585</f>
        <v>816.666666666667</v>
      </c>
      <c r="D4587" s="30" t="n">
        <f aca="false">Sens!D4585-Sens!C4585</f>
        <v>1233.33333333333</v>
      </c>
      <c r="E4587" s="30" t="n">
        <f aca="false">Sens!E4585-Sens!D4585</f>
        <v>2450</v>
      </c>
      <c r="F4587" s="30" t="n">
        <f aca="false">Sens!F4585-Sens!E4585</f>
        <v>4200.89183333333</v>
      </c>
      <c r="G4587" s="30" t="n">
        <f aca="false">Sens!G4585-Sens!F4585</f>
        <v>4544.22516666667</v>
      </c>
      <c r="H4587" s="30" t="n">
        <f aca="false">Sens!H4585-Sens!G4585</f>
        <v>4544.22516666667</v>
      </c>
      <c r="I4587" s="30" t="n">
        <f aca="false">Sens!I4585-Sens!H4585</f>
        <v>3219.97686611111</v>
      </c>
      <c r="J4587" s="30" t="n">
        <f aca="false">Sens!J4585-Sens!I4585</f>
        <v>1960.12810287778</v>
      </c>
      <c r="K4587" s="30" t="n">
        <f aca="false">Sens!K4585-Sens!J4585</f>
        <v>726.883414069667</v>
      </c>
    </row>
    <row r="4588" customFormat="false" ht="17.15" hidden="false" customHeight="false" outlineLevel="0" collapsed="false">
      <c r="A4588" s="1" t="s">
        <v>963</v>
      </c>
      <c r="B4588" s="0" t="s">
        <v>459</v>
      </c>
      <c r="D4588" s="30" t="n">
        <f aca="false">Sens!D4582-Sens!C4582</f>
        <v>990</v>
      </c>
      <c r="E4588" s="30" t="n">
        <f aca="false">Sens!E4582-Sens!D4582</f>
        <v>1620</v>
      </c>
      <c r="F4588" s="30" t="n">
        <f aca="false">Sens!F4582-Sens!E4582</f>
        <v>2726.5351</v>
      </c>
      <c r="G4588" s="30" t="n">
        <f aca="false">Sens!G4582-Sens!F4582</f>
        <v>2726.5351</v>
      </c>
      <c r="H4588" s="30" t="n">
        <f aca="false">Sens!H4582-Sens!G4582</f>
        <v>2726.5351</v>
      </c>
      <c r="I4588" s="30" t="n">
        <f aca="false">Sens!I4582-Sens!H4582</f>
        <v>1931.98611966667</v>
      </c>
      <c r="J4588" s="30" t="n">
        <f aca="false">Sens!J4582-Sens!I4582</f>
        <v>1176.07686172667</v>
      </c>
      <c r="K4588" s="30" t="n">
        <f aca="false">Sens!K4582-Sens!J4582</f>
        <v>436.130048441799</v>
      </c>
    </row>
    <row r="4589" customFormat="false" ht="17.15" hidden="false" customHeight="false" outlineLevel="0" collapsed="false">
      <c r="A4589" s="1" t="s">
        <v>964</v>
      </c>
      <c r="B4589" s="0" t="s">
        <v>459</v>
      </c>
      <c r="F4589" s="30" t="n">
        <f aca="false">Sens!F4608*ext_sh</f>
        <v>0</v>
      </c>
      <c r="G4589" s="30" t="n">
        <f aca="false">Sens!G4608*ext_sh</f>
        <v>0</v>
      </c>
      <c r="H4589" s="30" t="n">
        <f aca="false">Sens!H4608*ext_sh</f>
        <v>490</v>
      </c>
      <c r="I4589" s="30" t="n">
        <f aca="false">Sens!I4608*ext_sh</f>
        <v>740</v>
      </c>
      <c r="J4589" s="30" t="n">
        <f aca="false">Sens!J4608*ext_sh</f>
        <v>1470</v>
      </c>
      <c r="K4589" s="30" t="n">
        <f aca="false">Sens!K4608*ext_sh</f>
        <v>2520.5351</v>
      </c>
      <c r="L4589" s="1" t="s">
        <v>965</v>
      </c>
    </row>
    <row r="4590" customFormat="false" ht="17.15" hidden="false" customHeight="false" outlineLevel="0" collapsed="false">
      <c r="A4590" s="1" t="s">
        <v>966</v>
      </c>
      <c r="B4590" s="0" t="s">
        <v>459</v>
      </c>
      <c r="C4590" s="30" t="n">
        <f aca="false">mix_h*Sens!C4582</f>
        <v>128</v>
      </c>
      <c r="D4590" s="30" t="n">
        <f aca="false">mix_h*Sens!D4582</f>
        <v>326</v>
      </c>
      <c r="E4590" s="30" t="n">
        <f aca="false">mix_h*Sens!E4582</f>
        <v>650</v>
      </c>
      <c r="F4590" s="30" t="n">
        <f aca="false">Sens!E4590-Sens!F4589*mix_h</f>
        <v>650</v>
      </c>
      <c r="G4590" s="30" t="n">
        <f aca="false">Sens!F4590-Sens!G4589*mix_h</f>
        <v>650</v>
      </c>
      <c r="H4590" s="30" t="n">
        <f aca="false">Sens!G4590-Sens!H4589*mix_h</f>
        <v>552</v>
      </c>
      <c r="I4590" s="30" t="n">
        <f aca="false">Sens!H4590-Sens!I4589*mix_h</f>
        <v>404</v>
      </c>
      <c r="J4590" s="30" t="n">
        <f aca="false">Sens!I4590-Sens!J4589*mix_h</f>
        <v>110</v>
      </c>
      <c r="K4590" s="30" t="n">
        <f aca="false">Sens!J4590-Sens!K4589*mix_h</f>
        <v>-394.10702</v>
      </c>
    </row>
    <row r="4591" customFormat="false" ht="17.15" hidden="false" customHeight="false" outlineLevel="0" collapsed="false">
      <c r="A4591" s="1" t="s">
        <v>967</v>
      </c>
      <c r="B4591" s="0" t="s">
        <v>459</v>
      </c>
      <c r="C4591" s="30" t="n">
        <f aca="false">mix_g2*Sens!C4582</f>
        <v>288</v>
      </c>
      <c r="D4591" s="30" t="n">
        <f aca="false">mix_g2*Sens!D4582</f>
        <v>733.5</v>
      </c>
      <c r="E4591" s="30" t="n">
        <f aca="false">mix_g2*Sens!E4582</f>
        <v>1462.5</v>
      </c>
      <c r="F4591" s="30" t="n">
        <f aca="false">Sens!E4591-Sens!F4589*mix_g2</f>
        <v>1462.5</v>
      </c>
      <c r="G4591" s="30" t="n">
        <f aca="false">Sens!F4591-Sens!G4589*mix_g2</f>
        <v>1462.5</v>
      </c>
      <c r="H4591" s="30" t="n">
        <f aca="false">Sens!G4591-Sens!H4589*mix_g2</f>
        <v>1242</v>
      </c>
      <c r="I4591" s="30" t="n">
        <f aca="false">Sens!H4591-Sens!I4589*mix_g2</f>
        <v>909</v>
      </c>
      <c r="J4591" s="30" t="n">
        <f aca="false">Sens!I4591-Sens!J4589*mix_g2</f>
        <v>247.5</v>
      </c>
      <c r="K4591" s="30" t="n">
        <f aca="false">Sens!J4591-Sens!K4589*mix_g2</f>
        <v>-886.740795</v>
      </c>
    </row>
    <row r="4592" customFormat="false" ht="17.15" hidden="false" customHeight="false" outlineLevel="0" collapsed="false">
      <c r="A4592" s="1" t="s">
        <v>968</v>
      </c>
      <c r="B4592" s="0" t="s">
        <v>459</v>
      </c>
      <c r="C4592" s="30" t="n">
        <f aca="false">mix_g3*Sens!C4582</f>
        <v>224</v>
      </c>
      <c r="D4592" s="30" t="n">
        <f aca="false">mix_g3*Sens!D4582</f>
        <v>570.5</v>
      </c>
      <c r="E4592" s="30" t="n">
        <f aca="false">mix_g3*Sens!E4582</f>
        <v>1137.5</v>
      </c>
      <c r="F4592" s="30" t="n">
        <f aca="false">Sens!E4592+(Sens!F4588+Sens!F4589)*(a_g3_27-nonnv*a_mai)-Sens!F4589*mix_g3</f>
        <v>2773.42106</v>
      </c>
      <c r="G4592" s="30" t="n">
        <f aca="false">Sens!F4592+(Sens!G4588+Sens!G4589)*(a_g3_28-nonnv*a_mai)-Sens!G4589*mix_g3</f>
        <v>3318.72808</v>
      </c>
      <c r="H4592" s="30" t="n">
        <f aca="false">Sens!G4592+(Sens!H4588+Sens!H4589)*(a_g3_29-nonnv*a_mai)-Sens!H4589*mix_g3</f>
        <v>3147.22808</v>
      </c>
      <c r="I4592" s="30" t="n">
        <f aca="false">Sens!H4592+(Sens!I4588+Sens!I4589)*(a_g3_29-nonnv*a_mai)-Sens!I4589*mix_g3</f>
        <v>2888.22808</v>
      </c>
      <c r="J4592" s="30" t="n">
        <f aca="false">Sens!I4592+(Sens!J4588+Sens!J4589)*(a_g3_29-nonnv*a_mai)-Sens!J4589*mix_g3</f>
        <v>2373.72808</v>
      </c>
      <c r="K4592" s="30" t="n">
        <f aca="false">Sens!J4592+(Sens!K4588+Sens!K4589)*(a_g3_29-nonnv*a_mai)-Sens!K4589*mix_g3</f>
        <v>1491.540795</v>
      </c>
    </row>
    <row r="4593" customFormat="false" ht="17.15" hidden="false" customHeight="false" outlineLevel="0" collapsed="false">
      <c r="A4593" s="1" t="s">
        <v>969</v>
      </c>
      <c r="B4593" s="0" t="s">
        <v>459</v>
      </c>
      <c r="C4593" s="30" t="n">
        <v>0</v>
      </c>
      <c r="D4593" s="30" t="n">
        <v>0</v>
      </c>
      <c r="E4593" s="30" t="n">
        <v>0</v>
      </c>
      <c r="F4593" s="30" t="n">
        <f aca="false">Sens!E4593+(Sens!F4588+Sens!F4589)*nonnv*a_mai</f>
        <v>272.65351</v>
      </c>
      <c r="G4593" s="30" t="n">
        <f aca="false">Sens!F4593+(Sens!G4588+Sens!G4589)*nonnv*a_mai</f>
        <v>545.30702</v>
      </c>
      <c r="H4593" s="30" t="n">
        <f aca="false">Sens!G4593+(Sens!H4588+Sens!H4589)*nonnv*a_mai</f>
        <v>866.96053</v>
      </c>
      <c r="I4593" s="30" t="n">
        <f aca="false">Sens!H4593+(Sens!I4588+Sens!I4589)*nonnv*a_mai</f>
        <v>1134.15914196667</v>
      </c>
      <c r="J4593" s="30" t="n">
        <f aca="false">Sens!I4593+(Sens!J4588+Sens!J4589)*nonnv*a_mai</f>
        <v>1398.76682813933</v>
      </c>
      <c r="K4593" s="30" t="n">
        <f aca="false">Sens!J4593+(Sens!K4588+Sens!K4589)*nonnv*a_mai</f>
        <v>1694.43334298351</v>
      </c>
      <c r="L4593" s="12" t="s">
        <v>970</v>
      </c>
    </row>
    <row r="4594" customFormat="false" ht="17.15" hidden="false" customHeight="false" outlineLevel="0" collapsed="false">
      <c r="A4594" s="1" t="s">
        <v>971</v>
      </c>
      <c r="B4594" s="0" t="s">
        <v>459</v>
      </c>
      <c r="C4594" s="30" t="n">
        <v>0</v>
      </c>
      <c r="D4594" s="30" t="n">
        <v>0</v>
      </c>
      <c r="E4594" s="30" t="n">
        <v>0</v>
      </c>
      <c r="F4594" s="30" t="n">
        <f aca="false">Sens!E4594+(Sens!F4588+Sens!F4589)*(1-a_g3_27)</f>
        <v>817.96053</v>
      </c>
      <c r="G4594" s="30" t="n">
        <f aca="false">Sens!F4594+(Sens!G4588+Sens!G4589)*(1-a_g3_28)</f>
        <v>2726.5351</v>
      </c>
      <c r="H4594" s="30" t="n">
        <f aca="false">Sens!G4594+(Sens!H4588+Sens!H4589)*(1-a_g3_29)</f>
        <v>5621.41669</v>
      </c>
      <c r="I4594" s="30" t="n">
        <f aca="false">Sens!H4594+(Sens!I4588+Sens!I4589)*(1-a_g3_29)</f>
        <v>8026.2041977</v>
      </c>
      <c r="J4594" s="30" t="n">
        <f aca="false">Sens!I4594+(Sens!J4588+Sens!J4589)*(1-a_g3_29)</f>
        <v>10407.673373254</v>
      </c>
      <c r="K4594" s="30" t="n">
        <f aca="false">Sens!J4594+(Sens!K4588+Sens!K4589)*(1-a_g3_29)</f>
        <v>13068.6720068516</v>
      </c>
    </row>
    <row r="4595" customFormat="false" ht="17.15" hidden="false" customHeight="false" outlineLevel="0" collapsed="false">
      <c r="A4595" s="1" t="s">
        <v>972</v>
      </c>
      <c r="B4595" s="0" t="s">
        <v>403</v>
      </c>
      <c r="C4595" s="15" t="n">
        <f aca="false">(Sens!C4590*tk_hold_h100+Sens!C4591*tk_hold_gb200+Sens!C4592*tk_hold_gb300+Sens!C4594*tk_hold_vr200+Sens!C4593*nv_hold_mai*tk_hold_vr200)/Sens!C4582</f>
        <v>9.7235358126469</v>
      </c>
      <c r="D4595" s="15" t="n">
        <f aca="false">(Sens!D4590*tk_hold_h100+Sens!D4591*tk_hold_gb200+Sens!D4592*tk_hold_gb300+Sens!D4594*tk_hold_vr200+Sens!D4593*nv_hold_mai*tk_hold_vr200)/Sens!D4582</f>
        <v>9.7235358126469</v>
      </c>
      <c r="E4595" s="15" t="n">
        <f aca="false">(Sens!E4590*tk_hold_h100+Sens!E4591*tk_hold_gb200+Sens!E4592*tk_hold_gb300+Sens!E4594*tk_hold_vr200+Sens!E4593*nv_hold_mai*tk_hold_vr200)/Sens!E4582</f>
        <v>9.7235358126469</v>
      </c>
      <c r="F4595" s="15" t="n">
        <f aca="false">(Sens!F4590*tk_hold_h100+Sens!F4591*tk_hold_gb200+Sens!F4592*tk_hold_gb300+Sens!F4594*tk_hold_vr200+Sens!F4593*nv_hold_mai*tk_hold_vr200)/Sens!F4582</f>
        <v>10.2195353876665</v>
      </c>
      <c r="G4595" s="15" t="n">
        <f aca="false">(Sens!G4590*tk_hold_h100+Sens!G4591*tk_hold_gb200+Sens!G4592*tk_hold_gb300+Sens!G4594*tk_hold_vr200+Sens!G4593*nv_hold_mai*tk_hold_vr200)/Sens!G4582</f>
        <v>10.5725598017306</v>
      </c>
      <c r="H4595" s="15" t="n">
        <f aca="false">(Sens!H4590*tk_hold_h100+Sens!H4591*tk_hold_gb200+Sens!H4592*tk_hold_gb300+Sens!H4594*tk_hold_vr200+Sens!H4593*nv_hold_mai*tk_hold_vr200)/Sens!H4582</f>
        <v>10.902097500272</v>
      </c>
      <c r="I4595" s="15" t="n">
        <f aca="false">(Sens!I4590*tk_hold_h100+Sens!I4591*tk_hold_gb200+Sens!I4592*tk_hold_gb300+Sens!I4594*tk_hold_vr200+Sens!I4593*nv_hold_mai*tk_hold_vr200)/Sens!I4582</f>
        <v>11.1097716279125</v>
      </c>
      <c r="J4595" s="15" t="n">
        <f aca="false">(Sens!J4590*tk_hold_h100+Sens!J4591*tk_hold_gb200+Sens!J4592*tk_hold_gb300+Sens!J4594*tk_hold_vr200+Sens!J4593*nv_hold_mai*tk_hold_vr200)/Sens!J4582</f>
        <v>11.3417562963592</v>
      </c>
      <c r="K4595" s="15" t="n">
        <f aca="false">(Sens!K4590*tk_hold_h100+Sens!K4591*tk_hold_gb200+Sens!K4592*tk_hold_gb300+Sens!K4594*tk_hold_vr200+Sens!K4593*nv_hold_mai*tk_hold_vr200)/Sens!K4582</f>
        <v>11.6679459977291</v>
      </c>
      <c r="L4595" s="1" t="s">
        <v>973</v>
      </c>
    </row>
    <row r="4596" customFormat="false" ht="17.15" hidden="false" customHeight="false" outlineLevel="0" collapsed="false">
      <c r="A4596" s="1" t="s">
        <v>974</v>
      </c>
      <c r="B4596" s="0" t="s">
        <v>403</v>
      </c>
      <c r="C4596" s="15" t="n">
        <f aca="false">(Sens!C4590*tk_hold_h100+Sens!C4591*tk_hold_gb200+Sens!C4592*tk_hold_gb300+Sens!C4594*tk_hold_vr200+Sens!C4593*nv_out_mai*tk_hold_vr200)/Sens!C4582</f>
        <v>9.7235358126469</v>
      </c>
      <c r="D4596" s="15" t="n">
        <f aca="false">(Sens!D4590*tk_hold_h100+Sens!D4591*tk_hold_gb200+Sens!D4592*tk_hold_gb300+Sens!D4594*tk_hold_vr200+Sens!D4593*nv_out_mai*tk_hold_vr200)/Sens!D4582</f>
        <v>9.7235358126469</v>
      </c>
      <c r="E4596" s="15" t="n">
        <f aca="false">(Sens!E4590*tk_hold_h100+Sens!E4591*tk_hold_gb200+Sens!E4592*tk_hold_gb300+Sens!E4594*tk_hold_vr200+Sens!E4593*nv_out_mai*tk_hold_vr200)/Sens!E4582</f>
        <v>9.7235358126469</v>
      </c>
      <c r="F4596" s="15" t="n">
        <f aca="false">(Sens!F4590*tk_hold_h100+Sens!F4591*tk_hold_gb200+Sens!F4592*tk_hold_gb300+Sens!F4594*tk_hold_vr200+Sens!F4593*nv_out_mai*tk_hold_vr200)/Sens!F4582</f>
        <v>10.247422093969</v>
      </c>
      <c r="G4596" s="15" t="n">
        <f aca="false">(Sens!G4590*tk_hold_h100+Sens!G4591*tk_hold_gb200+Sens!G4592*tk_hold_gb300+Sens!G4594*tk_hold_vr200+Sens!G4593*nv_out_mai*tk_hold_vr200)/Sens!G4582</f>
        <v>10.6108602808053</v>
      </c>
      <c r="H4596" s="15" t="n">
        <f aca="false">(Sens!H4590*tk_hold_h100+Sens!H4591*tk_hold_gb200+Sens!H4592*tk_hold_gb300+Sens!H4594*tk_hold_vr200+Sens!H4593*nv_out_mai*tk_hold_vr200)/Sens!H4582</f>
        <v>10.9484639343852</v>
      </c>
      <c r="I4596" s="15" t="n">
        <f aca="false">(Sens!I4590*tk_hold_h100+Sens!I4591*tk_hold_gb200+Sens!I4592*tk_hold_gb300+Sens!I4594*tk_hold_vr200+Sens!I4593*nv_out_mai*tk_hold_vr200)/Sens!I4582</f>
        <v>11.1616577740653</v>
      </c>
      <c r="J4596" s="15" t="n">
        <f aca="false">(Sens!J4590*tk_hold_h100+Sens!J4591*tk_hold_gb200+Sens!J4592*tk_hold_gb300+Sens!J4594*tk_hold_vr200+Sens!J4593*nv_out_mai*tk_hold_vr200)/Sens!J4582</f>
        <v>11.4005710353138</v>
      </c>
      <c r="K4596" s="15" t="n">
        <f aca="false">(Sens!K4590*tk_hold_h100+Sens!K4591*tk_hold_gb200+Sens!K4592*tk_hold_gb300+Sens!K4594*tk_hold_vr200+Sens!K4593*nv_out_mai*tk_hold_vr200)/Sens!K4582</f>
        <v>11.7371176442531</v>
      </c>
      <c r="L4596" s="12" t="s">
        <v>975</v>
      </c>
    </row>
    <row r="4597" customFormat="false" ht="17.15" hidden="false" customHeight="false" outlineLevel="0" collapsed="false">
      <c r="A4597" s="0" t="s">
        <v>976</v>
      </c>
      <c r="B4597" s="0" t="s">
        <v>229</v>
      </c>
      <c r="C4597" s="15" t="n">
        <f aca="false">k_B</f>
        <v>1.17213932619116</v>
      </c>
      <c r="D4597" s="15" t="n">
        <f aca="false">k_B</f>
        <v>1.17213932619116</v>
      </c>
      <c r="E4597" s="15" t="n">
        <f aca="false">k_B</f>
        <v>1.17213932619116</v>
      </c>
      <c r="F4597" s="15" t="n">
        <f aca="false">(k_B+((ls_B*k_long+(1-ls_B)*k_spot)-k_B)*MIN(1,(Sens!F4580-base_fy)/k_ramp))</f>
        <v>1.17213932619116</v>
      </c>
      <c r="G4597" s="15" t="n">
        <f aca="false">(k_B+((ls_B*k_long+(1-ls_B)*k_spot)-k_B)*MIN(1,(Sens!G4580-base_fy)/k_ramp))</f>
        <v>1.17213932619116</v>
      </c>
      <c r="H4597" s="15" t="n">
        <f aca="false">(k_B+((ls_B*k_long+(1-ls_B)*k_spot)-k_B)*MIN(1,(Sens!H4580-base_fy)/k_ramp))</f>
        <v>1.17213932619116</v>
      </c>
      <c r="I4597" s="15" t="n">
        <f aca="false">(k_B+((ls_B*k_long+(1-ls_B)*k_spot)-k_B)*MIN(1,(Sens!I4580-base_fy)/k_ramp))</f>
        <v>1.17213932619116</v>
      </c>
      <c r="J4597" s="15" t="n">
        <f aca="false">(k_B+((ls_B*k_long+(1-ls_B)*k_spot)-k_B)*MIN(1,(Sens!J4580-base_fy)/k_ramp))</f>
        <v>1.17213932619116</v>
      </c>
      <c r="K4597" s="15" t="n">
        <f aca="false">(k_B+((ls_B*k_long+(1-ls_B)*k_spot)-k_B)*MIN(1,(Sens!K4580-base_fy)/k_ramp))</f>
        <v>1.17213932619116</v>
      </c>
      <c r="L4597" s="1" t="s">
        <v>977</v>
      </c>
    </row>
    <row r="4598" customFormat="false" ht="17.15" hidden="false" customHeight="false" outlineLevel="0" collapsed="false">
      <c r="A4598" s="1" t="s">
        <v>978</v>
      </c>
      <c r="B4598" s="0" t="s">
        <v>403</v>
      </c>
      <c r="C4598" s="15" t="n">
        <f aca="false">Sens!C4596*Sens!C4597*chip_f</f>
        <v>11.3973387156315</v>
      </c>
      <c r="D4598" s="15" t="n">
        <f aca="false">Sens!D4596*Sens!D4597*chip_f</f>
        <v>11.3973387156315</v>
      </c>
      <c r="E4598" s="15" t="n">
        <f aca="false">Sens!E4596*Sens!E4597*chip_f</f>
        <v>11.3973387156315</v>
      </c>
      <c r="F4598" s="15" t="n">
        <f aca="false">Sens!F4596*Sens!F4597*chip_f</f>
        <v>12.0114064284211</v>
      </c>
      <c r="G4598" s="15" t="n">
        <f aca="false">Sens!G4596*Sens!G4597*chip_f</f>
        <v>12.4374066198516</v>
      </c>
      <c r="H4598" s="15" t="n">
        <f aca="false">Sens!H4596*Sens!H4597*chip_f</f>
        <v>12.8331251388784</v>
      </c>
      <c r="I4598" s="15" t="n">
        <f aca="false">Sens!I4596*Sens!I4597*chip_f</f>
        <v>13.0830180224691</v>
      </c>
      <c r="J4598" s="15" t="n">
        <f aca="false">Sens!J4596*Sens!J4597*chip_f</f>
        <v>13.3630576515271</v>
      </c>
      <c r="K4598" s="15" t="n">
        <f aca="false">Sens!K4596*Sens!K4597*chip_f</f>
        <v>13.7575371669611</v>
      </c>
      <c r="L4598" s="1" t="s">
        <v>979</v>
      </c>
    </row>
    <row r="4599" customFormat="false" ht="17.15" hidden="false" customHeight="false" outlineLevel="0" collapsed="false">
      <c r="A4599" s="0" t="s">
        <v>980</v>
      </c>
      <c r="B4599" s="0" t="s">
        <v>98</v>
      </c>
      <c r="D4599" s="6" t="n">
        <f aca="false">(Sens!C4582+Sens!D4582)/2*Sens!D4598/1000</f>
        <v>12.9359794422418</v>
      </c>
      <c r="E4599" s="6" t="n">
        <f aca="false">(Sens!D4582+Sens!E4582)/2*Sens!E4598/1000</f>
        <v>27.8095064661409</v>
      </c>
      <c r="F4599" s="6" t="n">
        <f aca="false">(Sens!E4582+Sens!F4582)/2*Sens!F4598/1000</f>
        <v>55.4118315060966</v>
      </c>
      <c r="G4599" s="6" t="n">
        <f aca="false">(Sens!F4582+Sens!G4582)/2*Sens!G4598/1000</f>
        <v>91.2881100675143</v>
      </c>
      <c r="H4599" s="6" t="n">
        <f aca="false">(Sens!G4582+Sens!H4582)/2*Sens!H4598/1000</f>
        <v>129.182572035966</v>
      </c>
      <c r="I4599" s="6" t="n">
        <f aca="false">(Sens!H4582+Sens!I4582)/2*Sens!I4598/1000</f>
        <v>162.171836740988</v>
      </c>
      <c r="J4599" s="6" t="n">
        <f aca="false">(Sens!I4582+Sens!J4582)/2*Sens!J4598/1000</f>
        <v>186.409707910096</v>
      </c>
      <c r="K4599" s="6" t="n">
        <f aca="false">(Sens!J4582+Sens!K4582)/2*Sens!K4598/1000</f>
        <v>203.002549377754</v>
      </c>
      <c r="L4599" s="12" t="s">
        <v>981</v>
      </c>
    </row>
    <row r="4600" customFormat="false" ht="17.15" hidden="false" customHeight="false" outlineLevel="0" collapsed="false">
      <c r="A4600" s="1" t="s">
        <v>982</v>
      </c>
      <c r="B4600" s="0" t="s">
        <v>403</v>
      </c>
      <c r="C4600" s="15" t="n">
        <f aca="false">(Sens!C4590*tk_opex_h100+Sens!C4591*tk_opex_gb200+Sens!C4592*tk_opex_gb300+(Sens!C4594+Sens!C4593)*tk_opex_vr200)/Sens!C4582</f>
        <v>1.88636041306092</v>
      </c>
      <c r="D4600" s="15" t="n">
        <f aca="false">(Sens!D4590*tk_opex_h100+Sens!D4591*tk_opex_gb200+Sens!D4592*tk_opex_gb300+(Sens!D4594+Sens!D4593)*tk_opex_vr200)/Sens!D4582</f>
        <v>1.88636041306092</v>
      </c>
      <c r="E4600" s="15" t="n">
        <f aca="false">(Sens!E4590*tk_opex_h100+Sens!E4591*tk_opex_gb200+Sens!E4592*tk_opex_gb300+(Sens!E4594+Sens!E4593)*tk_opex_vr200)/Sens!E4582</f>
        <v>1.88636041306092</v>
      </c>
      <c r="F4600" s="15" t="n">
        <f aca="false">(Sens!F4590*tk_opex_h100+Sens!F4591*tk_opex_gb200+Sens!F4592*tk_opex_gb300+(Sens!F4594+Sens!F4593)*tk_opex_vr200)/Sens!F4582</f>
        <v>1.95051159746876</v>
      </c>
      <c r="G4600" s="15" t="n">
        <f aca="false">(Sens!G4590*tk_opex_h100+Sens!G4591*tk_opex_gb200+Sens!G4592*tk_opex_gb300+(Sens!G4594+Sens!G4593)*tk_opex_vr200)/Sens!G4582</f>
        <v>1.98836003669956</v>
      </c>
      <c r="H4600" s="15" t="n">
        <f aca="false">(Sens!H4590*tk_opex_h100+Sens!H4591*tk_opex_gb200+Sens!H4592*tk_opex_gb300+(Sens!H4594+Sens!H4593)*tk_opex_vr200)/Sens!H4582</f>
        <v>2.02232025393885</v>
      </c>
      <c r="I4600" s="15" t="n">
        <f aca="false">(Sens!I4590*tk_opex_h100+Sens!I4591*tk_opex_gb200+Sens!I4592*tk_opex_gb300+(Sens!I4594+Sens!I4593)*tk_opex_vr200)/Sens!I4582</f>
        <v>2.04408335623333</v>
      </c>
      <c r="J4600" s="15" t="n">
        <f aca="false">(Sens!J4590*tk_opex_h100+Sens!J4591*tk_opex_gb200+Sens!J4592*tk_opex_gb300+(Sens!J4594+Sens!J4593)*tk_opex_vr200)/Sens!J4582</f>
        <v>2.0690255393673</v>
      </c>
      <c r="K4600" s="15" t="n">
        <f aca="false">(Sens!K4590*tk_opex_h100+Sens!K4591*tk_opex_gb200+Sens!K4592*tk_opex_gb300+(Sens!K4594+Sens!K4593)*tk_opex_vr200)/Sens!K4582</f>
        <v>2.1046052549011</v>
      </c>
      <c r="L4600" s="12" t="s">
        <v>983</v>
      </c>
    </row>
    <row r="4601" customFormat="false" ht="17.15" hidden="false" customHeight="false" outlineLevel="0" collapsed="false">
      <c r="A4601" s="0" t="s">
        <v>984</v>
      </c>
      <c r="B4601" s="0" t="s">
        <v>98</v>
      </c>
      <c r="D4601" s="6" t="n">
        <f aca="false">(Sens!C4585+Sens!D4585)/2*Sens!D4600/1000</f>
        <v>2.70378325872065</v>
      </c>
      <c r="E4601" s="6" t="n">
        <f aca="false">(Sens!D4585+Sens!E4585)/2*Sens!E4600/1000</f>
        <v>6.17783035277451</v>
      </c>
      <c r="F4601" s="6" t="n">
        <f aca="false">(Sens!E4585+Sens!F4585)/2*Sens!F4600/1000</f>
        <v>12.8742463089237</v>
      </c>
      <c r="G4601" s="6" t="n">
        <f aca="false">(Sens!F4585+Sens!G4585)/2*Sens!G4600/1000</f>
        <v>21.8182834646277</v>
      </c>
      <c r="H4601" s="6" t="n">
        <f aca="false">(Sens!G4585+Sens!H4585)/2*Sens!H4600/1000</f>
        <v>31.380807671394</v>
      </c>
      <c r="I4601" s="6" t="n">
        <f aca="false">(Sens!H4585+Sens!I4585)/2*Sens!I4600/1000</f>
        <v>39.6538488009602</v>
      </c>
      <c r="J4601" s="6" t="n">
        <f aca="false">(Sens!I4585+Sens!J4585)/2*Sens!J4600/1000</f>
        <v>45.4965951961756</v>
      </c>
      <c r="K4601" s="6" t="n">
        <f aca="false">(Sens!J4585+Sens!K4585)/2*Sens!K4600/1000</f>
        <v>49.1065204703494</v>
      </c>
    </row>
    <row r="4602" customFormat="false" ht="17.15" hidden="false" customHeight="false" outlineLevel="0" collapsed="false">
      <c r="A4602" s="0" t="s">
        <v>985</v>
      </c>
      <c r="B4602" s="0" t="s">
        <v>98</v>
      </c>
      <c r="D4602" s="6" t="n">
        <f aca="false">(Sens!C4583+Sens!D4583)/2*rent_mw/1000</f>
        <v>2.44475</v>
      </c>
      <c r="E4602" s="6" t="n">
        <f aca="false">(Sens!D4583+Sens!E4583)/2*rent_mw/1000</f>
        <v>4.22275</v>
      </c>
      <c r="F4602" s="6" t="n">
        <f aca="false">(Sens!E4583+Sens!F4583)/2*rent_mw/1000</f>
        <v>5.80517</v>
      </c>
      <c r="G4602" s="6" t="n">
        <f aca="false">(Sens!F4583+Sens!G4583)/2*rent_mw/1000</f>
        <v>6.72084</v>
      </c>
      <c r="H4602" s="6" t="n">
        <f aca="false">(Sens!G4583+Sens!H4583)/2*rent_mw/1000</f>
        <v>6.72084</v>
      </c>
      <c r="I4602" s="6" t="n">
        <f aca="false">(Sens!H4583+Sens!I4583)/2*rent_mw/1000</f>
        <v>6.72084</v>
      </c>
      <c r="J4602" s="6" t="n">
        <f aca="false">(Sens!I4583+Sens!J4583)/2*rent_mw/1000</f>
        <v>6.72084</v>
      </c>
      <c r="K4602" s="6" t="n">
        <f aca="false">(Sens!J4583+Sens!K4583)/2*rent_mw/1000</f>
        <v>6.72084</v>
      </c>
    </row>
    <row r="4603" customFormat="false" ht="17.15" hidden="false" customHeight="false" outlineLevel="0" collapsed="false">
      <c r="A4603" s="0" t="s">
        <v>986</v>
      </c>
      <c r="B4603" s="0" t="s">
        <v>98</v>
      </c>
      <c r="D4603" s="6" t="n">
        <f aca="false">(Sens!C4585+Sens!D4585)/2*(1-self_build)*fac_rent/1000</f>
        <v>0.853242375631075</v>
      </c>
      <c r="E4603" s="6" t="n">
        <f aca="false">(Sens!D4585+Sens!E4585)/2*(1-self_build)*fac_rent/1000</f>
        <v>1.94955961408728</v>
      </c>
      <c r="F4603" s="6" t="n">
        <f aca="false">(Sens!E4585+Sens!F4585)/2*(1-self_build)*fac_rent/1000</f>
        <v>3.92914894476356</v>
      </c>
      <c r="G4603" s="6" t="n">
        <f aca="false">(Sens!F4585+Sens!G4585)/2*(1-self_build)*fac_rent/1000</f>
        <v>6.53206908578159</v>
      </c>
      <c r="H4603" s="6" t="n">
        <f aca="false">(Sens!G4585+Sens!H4585)/2*(1-self_build)*fac_rent/1000</f>
        <v>9.23717988341591</v>
      </c>
      <c r="I4603" s="6" t="n">
        <f aca="false">(Sens!H4585+Sens!I4585)/2*(1-self_build)*fac_rent/1000</f>
        <v>11.5481378557393</v>
      </c>
      <c r="J4603" s="6" t="n">
        <f aca="false">(Sens!I4585+Sens!J4585)/2*(1-self_build)*fac_rent/1000</f>
        <v>13.0899582289108</v>
      </c>
      <c r="K4603" s="6" t="n">
        <f aca="false">(Sens!J4585+Sens!K4585)/2*(1-self_build)*fac_rent/1000</f>
        <v>13.8897275626556</v>
      </c>
      <c r="L4603" s="12" t="s">
        <v>987</v>
      </c>
    </row>
    <row r="4604" customFormat="false" ht="17.15" hidden="false" customHeight="false" outlineLevel="0" collapsed="false">
      <c r="A4604" s="1" t="s">
        <v>988</v>
      </c>
      <c r="B4604" s="0" t="s">
        <v>168</v>
      </c>
      <c r="D4604" s="7" t="n">
        <f aca="false">(Sens!C4584+Sens!D4584)/(Sens!C4585+Sens!D4585)</f>
        <v>0.6</v>
      </c>
      <c r="E4604" s="7" t="n">
        <f aca="false">(Sens!D4584+Sens!E4584)/(Sens!D4585+Sens!E4585)</f>
        <v>0.6</v>
      </c>
      <c r="F4604" s="7" t="n">
        <f aca="false">(Sens!E4584+Sens!F4584)/(Sens!E4585+Sens!F4585)</f>
        <v>0.6</v>
      </c>
      <c r="G4604" s="7" t="n">
        <f aca="false">(Sens!F4584+Sens!G4584)/(Sens!F4585+Sens!G4585)</f>
        <v>0.6</v>
      </c>
      <c r="H4604" s="7" t="n">
        <f aca="false">(Sens!G4584+Sens!H4584)/(Sens!G4585+Sens!H4585)</f>
        <v>0.6</v>
      </c>
      <c r="I4604" s="7" t="n">
        <f aca="false">(Sens!H4584+Sens!I4584)/(Sens!H4585+Sens!I4585)</f>
        <v>0.6</v>
      </c>
      <c r="J4604" s="7" t="n">
        <f aca="false">(Sens!I4584+Sens!J4584)/(Sens!I4585+Sens!J4585)</f>
        <v>0.6</v>
      </c>
      <c r="K4604" s="7" t="n">
        <f aca="false">(Sens!J4584+Sens!K4584)/(Sens!J4585+Sens!K4585)</f>
        <v>0.6</v>
      </c>
    </row>
    <row r="4605" customFormat="false" ht="17.15" hidden="false" customHeight="false" outlineLevel="0" collapsed="false">
      <c r="A4605" s="0" t="s">
        <v>989</v>
      </c>
      <c r="B4605" s="0" t="s">
        <v>98</v>
      </c>
      <c r="D4605" s="6" t="n">
        <f aca="false">Sens!D4599-Sens!D4604*(Sens!D4601+Sens!D4603)-Sens!D4602</f>
        <v>8.35701406163072</v>
      </c>
      <c r="E4605" s="6" t="n">
        <f aca="false">Sens!E4599-Sens!E4604*(Sens!E4601+Sens!E4603)-Sens!E4602</f>
        <v>18.7103224860238</v>
      </c>
      <c r="F4605" s="6" t="n">
        <f aca="false">Sens!F4599-Sens!F4604*(Sens!F4601+Sens!F4603)-Sens!F4602</f>
        <v>39.5246243538843</v>
      </c>
      <c r="G4605" s="6" t="n">
        <f aca="false">Sens!G4599-Sens!G4604*(Sens!G4601+Sens!G4603)-Sens!G4602</f>
        <v>67.5570585372687</v>
      </c>
      <c r="H4605" s="6" t="n">
        <f aca="false">Sens!H4599-Sens!H4604*(Sens!H4601+Sens!H4603)-Sens!H4602</f>
        <v>98.0909395030797</v>
      </c>
      <c r="I4605" s="6" t="n">
        <f aca="false">Sens!I4599-Sens!I4604*(Sens!I4601+Sens!I4603)-Sens!I4602</f>
        <v>124.729804746969</v>
      </c>
      <c r="J4605" s="6" t="n">
        <f aca="false">Sens!J4599-Sens!J4604*(Sens!J4601+Sens!J4603)-Sens!J4602</f>
        <v>144.536935855045</v>
      </c>
      <c r="K4605" s="6" t="n">
        <f aca="false">Sens!K4599-Sens!K4604*(Sens!K4601+Sens!K4603)-Sens!K4602</f>
        <v>158.483960557951</v>
      </c>
    </row>
    <row r="4606" customFormat="false" ht="17.15" hidden="false" customHeight="false" outlineLevel="0" collapsed="false">
      <c r="A4606" s="1" t="s">
        <v>990</v>
      </c>
      <c r="B4606" s="0" t="s">
        <v>98</v>
      </c>
      <c r="D4606" s="6" t="n">
        <f aca="false">(1-Sens!D4604)*(Sens!D4601+Sens!D4603)</f>
        <v>1.42281025374069</v>
      </c>
      <c r="E4606" s="6" t="n">
        <f aca="false">(1-Sens!E4604)*(Sens!E4601+Sens!E4603)</f>
        <v>3.25095598674472</v>
      </c>
      <c r="F4606" s="6" t="n">
        <f aca="false">(1-Sens!F4604)*(Sens!F4601+Sens!F4603)</f>
        <v>6.72135810147489</v>
      </c>
      <c r="G4606" s="6" t="n">
        <f aca="false">(1-Sens!G4604)*(Sens!G4601+Sens!G4603)</f>
        <v>11.3401410201637</v>
      </c>
      <c r="H4606" s="6" t="n">
        <f aca="false">(1-Sens!H4604)*(Sens!H4601+Sens!H4603)</f>
        <v>16.247195021924</v>
      </c>
      <c r="I4606" s="6" t="n">
        <f aca="false">(1-Sens!I4604)*(Sens!I4601+Sens!I4603)</f>
        <v>20.4807946626798</v>
      </c>
      <c r="J4606" s="6" t="n">
        <f aca="false">(1-Sens!J4604)*(Sens!J4601+Sens!J4603)</f>
        <v>23.4346213700345</v>
      </c>
      <c r="K4606" s="6" t="n">
        <f aca="false">(1-Sens!K4604)*(Sens!K4601+Sens!K4603)</f>
        <v>25.198499213202</v>
      </c>
    </row>
    <row r="4607" customFormat="false" ht="17.15" hidden="false" customHeight="false" outlineLevel="0" collapsed="false">
      <c r="A4607" s="1" t="s">
        <v>991</v>
      </c>
      <c r="B4607" s="0" t="s">
        <v>417</v>
      </c>
      <c r="C4607" s="8" t="n">
        <f aca="false">cxit_open</f>
        <v>27.5918995</v>
      </c>
      <c r="D4607" s="8" t="n">
        <f aca="false">cxit_open</f>
        <v>27.5918995</v>
      </c>
      <c r="E4607" s="8" t="n">
        <f aca="false">cxit_open</f>
        <v>27.5918995</v>
      </c>
      <c r="F4607" s="8" t="n">
        <f aca="false">((a_g3_27-nonnv*a_mai)*tk_cxit_gb300+nonnv*a_mai*nv_hold_mai*tk_cxit_vr200+(1-a_g3_27)*tk_cxit_vr200)</f>
        <v>32.4975576</v>
      </c>
      <c r="G4607" s="8" t="n">
        <f aca="false">((a_g3_28-nonnv*a_mai)*tk_cxit_gb300+nonnv*a_mai*nv_hold_mai*tk_cxit_vr200+(1-a_g3_28)*tk_cxit_vr200)</f>
        <v>34.6372088</v>
      </c>
      <c r="H4607" s="8" t="n">
        <f aca="false">((a_g3_29-nonnv*a_mai)*tk_cxit_gb300+nonnv*a_mai*nv_hold_mai*tk_cxit_vr200+(1-a_g3_29)*tk_cxit_vr200)</f>
        <v>35.7070344</v>
      </c>
      <c r="I4607" s="8" t="n">
        <f aca="false">((a_g3_29-nonnv*a_mai)*tk_cxit_gb300+nonnv*a_mai*nv_hold_mai*tk_cxit_vr200+(1-a_g3_29)*tk_cxit_vr200)</f>
        <v>35.7070344</v>
      </c>
      <c r="J4607" s="8" t="n">
        <f aca="false">((a_g3_29-nonnv*a_mai)*tk_cxit_gb300+nonnv*a_mai*nv_hold_mai*tk_cxit_vr200+(1-a_g3_29)*tk_cxit_vr200)</f>
        <v>35.7070344</v>
      </c>
      <c r="K4607" s="8" t="n">
        <f aca="false">((a_g3_29-nonnv*a_mai)*tk_cxit_gb300+nonnv*a_mai*nv_hold_mai*tk_cxit_vr200+(1-a_g3_29)*tk_cxit_vr200)</f>
        <v>35.7070344</v>
      </c>
      <c r="L4607" s="12" t="s">
        <v>992</v>
      </c>
    </row>
    <row r="4608" customFormat="false" ht="17.15" hidden="false" customHeight="false" outlineLevel="0" collapsed="false">
      <c r="A4608" s="0" t="s">
        <v>993</v>
      </c>
      <c r="B4608" s="0" t="s">
        <v>459</v>
      </c>
      <c r="F4608" s="30" t="n">
        <f aca="false">Sens!C4587*IF(Sens!F4580-Sens!C4580=life_it_lo,1,0)+Sens!D4587*IF(Sens!F4580-Sens!D4580=life_it_lo,1,0)+Sens!E4587*IF(Sens!F4580-Sens!E4580=life_it_lo,1,0)</f>
        <v>0</v>
      </c>
      <c r="G4608" s="30" t="n">
        <f aca="false">Sens!C4587*IF(Sens!G4580-Sens!C4580=life_it_lo,1,0)+Sens!D4587*IF(Sens!G4580-Sens!D4580=life_it_lo,1,0)+Sens!E4587*IF(Sens!G4580-Sens!E4580=life_it_lo,1,0)+Sens!F4587*IF(Sens!G4580-Sens!F4580=life_it_lo,1,0)</f>
        <v>0</v>
      </c>
      <c r="H4608" s="30" t="n">
        <f aca="false">Sens!C4587*IF(Sens!H4580-Sens!C4580=life_it_lo,1,0)+Sens!D4587*IF(Sens!H4580-Sens!D4580=life_it_lo,1,0)+Sens!E4587*IF(Sens!H4580-Sens!E4580=life_it_lo,1,0)+Sens!F4587*IF(Sens!H4580-Sens!F4580=life_it_lo,1,0)+Sens!G4587*IF(Sens!H4580-Sens!G4580=life_it_lo,1,0)</f>
        <v>816.666666666667</v>
      </c>
      <c r="I4608" s="30" t="n">
        <f aca="false">Sens!C4587*IF(Sens!I4580-Sens!C4580=life_it_lo,1,0)+Sens!D4587*IF(Sens!I4580-Sens!D4580=life_it_lo,1,0)+Sens!E4587*IF(Sens!I4580-Sens!E4580=life_it_lo,1,0)+Sens!F4587*IF(Sens!I4580-Sens!F4580=life_it_lo,1,0)+Sens!G4587*IF(Sens!I4580-Sens!G4580=life_it_lo,1,0)+Sens!H4587*IF(Sens!I4580-Sens!H4580=life_it_lo,1,0)</f>
        <v>1233.33333333333</v>
      </c>
      <c r="J4608" s="30" t="n">
        <f aca="false">Sens!C4587*IF(Sens!J4580-Sens!C4580=life_it_lo,1,0)+Sens!D4587*IF(Sens!J4580-Sens!D4580=life_it_lo,1,0)+Sens!E4587*IF(Sens!J4580-Sens!E4580=life_it_lo,1,0)+Sens!F4587*IF(Sens!J4580-Sens!F4580=life_it_lo,1,0)+Sens!G4587*IF(Sens!J4580-Sens!G4580=life_it_lo,1,0)+Sens!H4587*IF(Sens!J4580-Sens!H4580=life_it_lo,1,0)+Sens!I4587*IF(Sens!J4580-Sens!I4580=life_it_lo,1,0)</f>
        <v>2450</v>
      </c>
      <c r="K4608" s="30" t="n">
        <f aca="false">Sens!C4587*IF(Sens!K4580-Sens!C4580=life_it_lo,1,0)+Sens!D4587*IF(Sens!K4580-Sens!D4580=life_it_lo,1,0)+Sens!E4587*IF(Sens!K4580-Sens!E4580=life_it_lo,1,0)+Sens!F4587*IF(Sens!K4580-Sens!F4580=life_it_lo,1,0)+Sens!G4587*IF(Sens!K4580-Sens!G4580=life_it_lo,1,0)+Sens!H4587*IF(Sens!K4580-Sens!H4580=life_it_lo,1,0)+Sens!I4587*IF(Sens!K4580-Sens!I4580=life_it_lo,1,0)+Sens!J4587*IF(Sens!K4580-Sens!J4580=life_it_lo,1,0)</f>
        <v>4200.89183333333</v>
      </c>
      <c r="L4608" s="1" t="s">
        <v>994</v>
      </c>
    </row>
    <row r="4609" customFormat="false" ht="17.15" hidden="false" customHeight="false" outlineLevel="0" collapsed="false">
      <c r="A4609" s="0" t="s">
        <v>995</v>
      </c>
      <c r="B4609" s="0" t="s">
        <v>98</v>
      </c>
      <c r="C4609" s="6" t="n">
        <f aca="false">Sens!C4587*Sens!C4607/1000</f>
        <v>22.5333845916667</v>
      </c>
      <c r="D4609" s="6" t="n">
        <f aca="false">Sens!D4587*Sens!D4607/1000</f>
        <v>34.0300093833333</v>
      </c>
      <c r="E4609" s="6" t="n">
        <f aca="false">Sens!E4587*Sens!E4607/1000</f>
        <v>67.600153775</v>
      </c>
      <c r="F4609" s="6" t="n">
        <f aca="false">(Sens!F4587+Sens!F4608)*Sens!F4607/1000</f>
        <v>136.51872432512</v>
      </c>
      <c r="G4609" s="6" t="n">
        <f aca="false">(Sens!G4587+Sens!G4608)*Sens!G4607/1000</f>
        <v>157.399275932048</v>
      </c>
      <c r="H4609" s="6" t="n">
        <f aca="false">(Sens!H4587+Sens!H4608)*Sens!H4607/1000</f>
        <v>191.421549107512</v>
      </c>
      <c r="I4609" s="6" t="n">
        <f aca="false">(Sens!I4587+Sens!I4608)*Sens!I4607/1000</f>
        <v>159.014500485434</v>
      </c>
      <c r="J4609" s="6" t="n">
        <f aca="false">(Sens!J4587+Sens!J4608)*Sens!J4607/1000</f>
        <v>157.472595877864</v>
      </c>
      <c r="K4609" s="6" t="n">
        <f aca="false">(Sens!K4587+Sens!K4608)*Sens!K4607/1000</f>
        <v>175.956240274487</v>
      </c>
    </row>
    <row r="4610" customFormat="false" ht="17.15" hidden="false" customHeight="false" outlineLevel="0" collapsed="false">
      <c r="A4610" s="0" t="s">
        <v>996</v>
      </c>
      <c r="B4610" s="0" t="s">
        <v>98</v>
      </c>
      <c r="C4610" s="6" t="n">
        <f aca="false">Sens!C4587*self_build*tk_cxfac/1000</f>
        <v>6.2083</v>
      </c>
      <c r="D4610" s="6" t="n">
        <f aca="false">Sens!D4587*self_build*tk_cxfac/1000</f>
        <v>9.3758</v>
      </c>
      <c r="E4610" s="6" t="n">
        <f aca="false">Sens!E4587*self_build*tk_cxfac/1000</f>
        <v>18.6249</v>
      </c>
      <c r="F4610" s="6" t="n">
        <f aca="false">Sens!F4587*self_build*tk_cxfac/1000</f>
        <v>31.935179717</v>
      </c>
      <c r="G4610" s="6" t="n">
        <f aca="false">Sens!G4587*self_build*tk_cxfac/1000</f>
        <v>34.545199717</v>
      </c>
      <c r="H4610" s="6" t="n">
        <f aca="false">Sens!H4587*self_build*tk_cxfac/1000</f>
        <v>34.545199717</v>
      </c>
      <c r="I4610" s="6" t="n">
        <f aca="false">Sens!I4587*self_build*tk_cxfac/1000</f>
        <v>24.4782641361767</v>
      </c>
      <c r="J4610" s="6" t="n">
        <f aca="false">Sens!J4587*self_build*tk_cxfac/1000</f>
        <v>14.9008938380769</v>
      </c>
      <c r="K4610" s="6" t="n">
        <f aca="false">Sens!K4587*self_build*tk_cxfac/1000</f>
        <v>5.52576771375761</v>
      </c>
    </row>
    <row r="4611" customFormat="false" ht="17.15" hidden="false" customHeight="false" outlineLevel="0" collapsed="false">
      <c r="A4611" s="0" t="s">
        <v>997</v>
      </c>
      <c r="B4611" s="0" t="s">
        <v>98</v>
      </c>
      <c r="F4611" s="15" t="n">
        <f aca="false">capex_floor27-Sens!F4609-Sens!F4610-Sens!F4707</f>
        <v>1.94586576753863E-005</v>
      </c>
      <c r="L4611" s="12" t="s">
        <v>998</v>
      </c>
    </row>
    <row r="4612" customFormat="false" ht="17.15" hidden="false" customHeight="false" outlineLevel="0" collapsed="false">
      <c r="A4612" s="0" t="s">
        <v>999</v>
      </c>
      <c r="B4612" s="0" t="s">
        <v>98</v>
      </c>
      <c r="F4612" s="6" t="n">
        <f aca="false">MAX(0,Sens!F4611)</f>
        <v>1.94586576753863E-005</v>
      </c>
    </row>
    <row r="4613" customFormat="false" ht="17.15" hidden="false" customHeight="false" outlineLevel="0" collapsed="false">
      <c r="A4613" s="0" t="s">
        <v>1000</v>
      </c>
      <c r="B4613" s="0" t="s">
        <v>98</v>
      </c>
      <c r="C4613" s="6" t="n">
        <f aca="false">Sens!C4609</f>
        <v>22.5333845916667</v>
      </c>
      <c r="D4613" s="6" t="n">
        <f aca="false">Sens!D4609</f>
        <v>34.0300093833333</v>
      </c>
      <c r="E4613" s="6" t="n">
        <f aca="false">Sens!E4609</f>
        <v>67.600153775</v>
      </c>
      <c r="F4613" s="6" t="n">
        <f aca="false">Sens!F4609</f>
        <v>136.51872432512</v>
      </c>
      <c r="G4613" s="6" t="n">
        <f aca="false">Sens!G4609</f>
        <v>157.399275932048</v>
      </c>
      <c r="H4613" s="6" t="n">
        <f aca="false">Sens!H4609</f>
        <v>191.421549107512</v>
      </c>
      <c r="I4613" s="6" t="n">
        <f aca="false">Sens!I4609</f>
        <v>159.014500485434</v>
      </c>
      <c r="J4613" s="6" t="n">
        <f aca="false">Sens!J4609</f>
        <v>157.472595877864</v>
      </c>
      <c r="K4613" s="6" t="n">
        <f aca="false">Sens!K4609</f>
        <v>175.956240274487</v>
      </c>
    </row>
    <row r="4614" customFormat="false" ht="17.15" hidden="false" customHeight="false" outlineLevel="0" collapsed="false">
      <c r="A4614" s="0" t="s">
        <v>1001</v>
      </c>
      <c r="B4614" s="0" t="s">
        <v>98</v>
      </c>
      <c r="C4614" s="6" t="n">
        <f aca="false">Sens!C4613+Sens!C4610</f>
        <v>28.7416845916667</v>
      </c>
      <c r="D4614" s="6" t="n">
        <f aca="false">Sens!D4613+Sens!D4610</f>
        <v>43.4058093833333</v>
      </c>
      <c r="E4614" s="6" t="n">
        <f aca="false">Sens!E4613+Sens!E4610</f>
        <v>86.225053775</v>
      </c>
      <c r="F4614" s="6" t="n">
        <f aca="false">Sens!F4613+Sens!F4610</f>
        <v>168.45390404212</v>
      </c>
      <c r="G4614" s="6" t="n">
        <f aca="false">Sens!G4613+Sens!G4610</f>
        <v>191.944475649048</v>
      </c>
      <c r="H4614" s="6" t="n">
        <f aca="false">Sens!H4613+Sens!H4610</f>
        <v>225.966748824512</v>
      </c>
      <c r="I4614" s="6" t="n">
        <f aca="false">Sens!I4613+Sens!I4610</f>
        <v>183.49276462161</v>
      </c>
      <c r="J4614" s="6" t="n">
        <f aca="false">Sens!J4613+Sens!J4610</f>
        <v>172.37348971594</v>
      </c>
      <c r="K4614" s="6" t="n">
        <f aca="false">Sens!K4613+Sens!K4610</f>
        <v>181.482007988245</v>
      </c>
      <c r="L4614" s="12" t="s">
        <v>1002</v>
      </c>
    </row>
    <row r="4615" customFormat="false" ht="17.15" hidden="false" customHeight="false" outlineLevel="0" collapsed="false">
      <c r="A4615" s="0" t="s">
        <v>1003</v>
      </c>
      <c r="B4615" s="0" t="s">
        <v>98</v>
      </c>
      <c r="E4615" s="6" t="n">
        <f aca="false">(Sens!C4613*IF(2&lt;life_it_lo,1,IF(2=life_it_lo,0.5,0))+Sens!D4613*IF(1&lt;life_it_lo,1,IF(1=life_it_lo,0.5,0))+Sens!E4613*0.5)/life_it_lo</f>
        <v>18.0726941725</v>
      </c>
      <c r="F4615" s="6" t="n">
        <f aca="false">(Sens!C4613*IF(3&lt;life_it_lo,1,IF(3=life_it_lo,0.5,0))+Sens!D4613*IF(2&lt;life_it_lo,1,IF(2=life_it_lo,0.5,0))+Sens!E4613*IF(1&lt;life_it_lo,1,IF(1=life_it_lo,0.5,0))+Sens!F4613*0.5)/life_it_lo</f>
        <v>38.484581982512</v>
      </c>
      <c r="G4615" s="6" t="n">
        <f aca="false">(Sens!C4613*IF(4&lt;life_it_lo,1,IF(4=life_it_lo,0.5,0))+Sens!D4613*IF(3&lt;life_it_lo,1,IF(3=life_it_lo,0.5,0))+Sens!E4613*IF(2&lt;life_it_lo,1,IF(2=life_it_lo,0.5,0))+Sens!F4613*IF(1&lt;life_it_lo,1,IF(1=life_it_lo,0.5,0))+Sens!G4613*0.5)/life_it_lo</f>
        <v>67.8763820082287</v>
      </c>
      <c r="H4615" s="6" t="n">
        <f aca="false">(Sens!C4613*IF(5&lt;life_it_lo,1,IF(5=life_it_lo,0.5,0))+Sens!D4613*IF(4&lt;life_it_lo,1,IF(4=life_it_lo,0.5,0))+Sens!E4613*IF(3&lt;life_it_lo,1,IF(3=life_it_lo,0.5,0))+Sens!F4613*IF(2&lt;life_it_lo,1,IF(2=life_it_lo,0.5,0))+Sens!G4613*IF(1&lt;life_it_lo,1,IF(1=life_it_lo,0.5,0))+Sens!H4613*0.5)/life_it_lo</f>
        <v>100.505126053018</v>
      </c>
      <c r="I4615" s="6" t="n">
        <f aca="false">(Sens!C4613*IF(6&lt;life_it_lo,1,IF(6=life_it_lo,0.5,0))+Sens!D4613*IF(5&lt;life_it_lo,1,IF(5=life_it_lo,0.5,0))+Sens!E4613*IF(4&lt;life_it_lo,1,IF(4=life_it_lo,0.5,0))+Sens!F4613*IF(3&lt;life_it_lo,1,IF(3=life_it_lo,0.5,0))+Sens!G4613*IF(2&lt;life_it_lo,1,IF(2=life_it_lo,0.5,0))+Sens!H4613*IF(1&lt;life_it_lo,1,IF(1=life_it_lo,0.5,0))+Sens!I4613*0.5)/life_it_lo</f>
        <v>129.892391614813</v>
      </c>
      <c r="J4615" s="6" t="n">
        <f aca="false">(Sens!C4613*IF(7&lt;life_it_lo,1,IF(7=life_it_lo,0.5,0))+Sens!D4613*IF(6&lt;life_it_lo,1,IF(6=life_it_lo,0.5,0))+Sens!E4613*IF(5&lt;life_it_lo,1,IF(5=life_it_lo,0.5,0))+Sens!F4613*IF(4&lt;life_it_lo,1,IF(4=life_it_lo,0.5,0))+Sens!G4613*IF(3&lt;life_it_lo,1,IF(3=life_it_lo,0.5,0))+Sens!H4613*IF(2&lt;life_it_lo,1,IF(2=life_it_lo,0.5,0))+Sens!I4613*IF(1&lt;life_it_lo,1,IF(1=life_it_lo,0.5,0))+Sens!J4613*0.5)/life_it_lo</f>
        <v>151.378084935309</v>
      </c>
      <c r="K4615" s="6" t="n">
        <f aca="false">(Sens!C4613*IF(8&lt;life_it_lo,1,IF(8=life_it_lo,0.5,0))+Sens!D4613*IF(7&lt;life_it_lo,1,IF(7=life_it_lo,0.5,0))+Sens!E4613*IF(6&lt;life_it_lo,1,IF(6=life_it_lo,0.5,0))+Sens!F4613*IF(5&lt;life_it_lo,1,IF(5=life_it_lo,0.5,0))+Sens!G4613*IF(4&lt;life_it_lo,1,IF(4=life_it_lo,0.5,0))+Sens!H4613*IF(3&lt;life_it_lo,1,IF(3=life_it_lo,0.5,0))+Sens!I4613*IF(2&lt;life_it_lo,1,IF(2=life_it_lo,0.5,0))+Sens!J4613*IF(1&lt;life_it_lo,1,IF(1=life_it_lo,0.5,0))+Sens!K4613*0.5)/life_it_lo</f>
        <v>164.309080740532</v>
      </c>
    </row>
    <row r="4616" customFormat="false" ht="17.15" hidden="false" customHeight="false" outlineLevel="0" collapsed="false">
      <c r="A4616" s="0" t="s">
        <v>1004</v>
      </c>
      <c r="B4616" s="0" t="s">
        <v>98</v>
      </c>
      <c r="E4616" s="6" t="n">
        <f aca="false">(Sens!C4610*IF(2&lt;life_fac,1,IF(2=life_fac,0.5,0))+Sens!D4610*IF(1&lt;life_fac,1,IF(1=life_fac,0.5,0))+Sens!E4610*0.5)/life_fac</f>
        <v>1.2448275</v>
      </c>
      <c r="F4616" s="6" t="n">
        <f aca="false">(Sens!C4610*IF(3&lt;life_fac,1,IF(3=life_fac,0.5,0))+Sens!D4610*IF(2&lt;life_fac,1,IF(2=life_fac,0.5,0))+Sens!E4610*IF(1&lt;life_fac,1,IF(1=life_fac,0.5,0))+Sens!F4610*0.5)/life_fac</f>
        <v>2.508829492925</v>
      </c>
      <c r="G4616" s="6" t="n">
        <f aca="false">(Sens!C4610*IF(4&lt;life_fac,1,IF(4=life_fac,0.5,0))+Sens!D4610*IF(3&lt;life_fac,1,IF(3=life_fac,0.5,0))+Sens!E4610*IF(2&lt;life_fac,1,IF(2=life_fac,0.5,0))+Sens!F4610*IF(1&lt;life_fac,1,IF(1=life_fac,0.5,0))+Sens!G4610*0.5)/life_fac</f>
        <v>4.170838978775</v>
      </c>
      <c r="H4616" s="6" t="n">
        <f aca="false">(Sens!C4610*IF(5&lt;life_fac,1,IF(5=life_fac,0.5,0))+Sens!D4610*IF(4&lt;life_fac,1,IF(4=life_fac,0.5,0))+Sens!E4610*IF(3&lt;life_fac,1,IF(3=life_fac,0.5,0))+Sens!F4610*IF(2&lt;life_fac,1,IF(2=life_fac,0.5,0))+Sens!G4610*IF(1&lt;life_fac,1,IF(1=life_fac,0.5,0))+Sens!H4610*0.5)/life_fac</f>
        <v>5.898098964625</v>
      </c>
      <c r="I4616" s="6" t="n">
        <f aca="false">(Sens!C4610*IF(6&lt;life_fac,1,IF(6=life_fac,0.5,0))+Sens!D4610*IF(5&lt;life_fac,1,IF(5=life_fac,0.5,0))+Sens!E4610*IF(4&lt;life_fac,1,IF(4=life_fac,0.5,0))+Sens!F4610*IF(3&lt;life_fac,1,IF(3=life_fac,0.5,0))+Sens!G4610*IF(2&lt;life_fac,1,IF(2=life_fac,0.5,0))+Sens!H4610*IF(1&lt;life_fac,1,IF(1=life_fac,0.5,0))+Sens!I4610*0.5)/life_fac</f>
        <v>7.37368556095442</v>
      </c>
      <c r="J4616" s="6" t="n">
        <f aca="false">(Sens!C4610*IF(7&lt;life_fac,1,IF(7=life_fac,0.5,0))+Sens!D4610*IF(6&lt;life_fac,1,IF(6=life_fac,0.5,0))+Sens!E4610*IF(5&lt;life_fac,1,IF(5=life_fac,0.5,0))+Sens!F4610*IF(4&lt;life_fac,1,IF(4=life_fac,0.5,0))+Sens!G4610*IF(3&lt;life_fac,1,IF(3=life_fac,0.5,0))+Sens!H4610*IF(2&lt;life_fac,1,IF(2=life_fac,0.5,0))+Sens!I4610*IF(1&lt;life_fac,1,IF(1=life_fac,0.5,0))+Sens!J4610*0.5)/life_fac</f>
        <v>8.35816451031075</v>
      </c>
      <c r="K4616" s="6" t="n">
        <f aca="false">(Sens!C4610*IF(8&lt;life_fac,1,IF(8=life_fac,0.5,0))+Sens!D4610*IF(7&lt;life_fac,1,IF(7=life_fac,0.5,0))+Sens!E4610*IF(6&lt;life_fac,1,IF(6=life_fac,0.5,0))+Sens!F4610*IF(5&lt;life_fac,1,IF(5=life_fac,0.5,0))+Sens!G4610*IF(4&lt;life_fac,1,IF(4=life_fac,0.5,0))+Sens!H4610*IF(3&lt;life_fac,1,IF(3=life_fac,0.5,0))+Sens!I4610*IF(2&lt;life_fac,1,IF(2=life_fac,0.5,0))+Sens!J4610*IF(1&lt;life_fac,1,IF(1=life_fac,0.5,0))+Sens!K4610*0.5)/life_fac</f>
        <v>8.86883104910662</v>
      </c>
    </row>
    <row r="4617" customFormat="false" ht="17.15" hidden="false" customHeight="false" outlineLevel="0" collapsed="false">
      <c r="A4617" s="0" t="s">
        <v>1005</v>
      </c>
      <c r="B4617" s="0" t="s">
        <v>98</v>
      </c>
      <c r="E4617" s="6" t="n">
        <f aca="false">Sens!E4615+Sens!E4616</f>
        <v>19.3175216725</v>
      </c>
      <c r="F4617" s="6" t="n">
        <f aca="false">Sens!F4615+Sens!F4616</f>
        <v>40.993411475437</v>
      </c>
      <c r="G4617" s="6" t="n">
        <f aca="false">Sens!G4615+Sens!G4616</f>
        <v>72.0472209870037</v>
      </c>
      <c r="H4617" s="6" t="n">
        <f aca="false">Sens!H4615+Sens!H4616</f>
        <v>106.403225017643</v>
      </c>
      <c r="I4617" s="6" t="n">
        <f aca="false">Sens!I4615+Sens!I4616</f>
        <v>137.266077175767</v>
      </c>
      <c r="J4617" s="6" t="n">
        <f aca="false">Sens!J4615+Sens!J4616</f>
        <v>159.73624944562</v>
      </c>
      <c r="K4617" s="6" t="n">
        <f aca="false">Sens!K4615+Sens!K4616</f>
        <v>173.177911789639</v>
      </c>
    </row>
    <row r="4618" customFormat="false" ht="17.15" hidden="false" customHeight="false" outlineLevel="0" collapsed="false">
      <c r="A4618" s="0" t="s">
        <v>1006</v>
      </c>
      <c r="B4618" s="0" t="s">
        <v>98</v>
      </c>
      <c r="E4618" s="6" t="n">
        <f aca="false">Sens!E4605-Sens!E4604*Sens!E4617</f>
        <v>7.11980948252379</v>
      </c>
      <c r="F4618" s="6" t="n">
        <f aca="false">Sens!F4605-Sens!F4604*Sens!F4617</f>
        <v>14.9285774686221</v>
      </c>
      <c r="G4618" s="6" t="n">
        <f aca="false">Sens!G4605-Sens!G4604*Sens!G4617</f>
        <v>24.3287259450665</v>
      </c>
      <c r="H4618" s="6" t="n">
        <f aca="false">Sens!H4605-Sens!H4604*Sens!H4617</f>
        <v>34.2490044924938</v>
      </c>
      <c r="I4618" s="6" t="n">
        <f aca="false">Sens!I4605-Sens!I4604*Sens!I4617</f>
        <v>42.3701584415085</v>
      </c>
      <c r="J4618" s="6" t="n">
        <f aca="false">Sens!J4605-Sens!J4604*Sens!J4617</f>
        <v>48.6951861876726</v>
      </c>
      <c r="K4618" s="6" t="n">
        <f aca="false">Sens!K4605-Sens!K4604*Sens!K4617</f>
        <v>54.5772134841675</v>
      </c>
    </row>
    <row r="4619" customFormat="false" ht="17.15" hidden="false" customHeight="false" outlineLevel="0" collapsed="false">
      <c r="A4619" s="3" t="s">
        <v>1726</v>
      </c>
    </row>
    <row r="4620" customFormat="false" ht="15" hidden="false" customHeight="false" outlineLevel="0" collapsed="false">
      <c r="A4620" s="4" t="s">
        <v>43</v>
      </c>
      <c r="B4620" s="4" t="s">
        <v>65</v>
      </c>
      <c r="C4620" s="23" t="s">
        <v>942</v>
      </c>
      <c r="D4620" s="23" t="s">
        <v>943</v>
      </c>
      <c r="E4620" s="23" t="s">
        <v>944</v>
      </c>
      <c r="F4620" s="23" t="s">
        <v>945</v>
      </c>
      <c r="G4620" s="23" t="s">
        <v>946</v>
      </c>
      <c r="H4620" s="23" t="s">
        <v>947</v>
      </c>
      <c r="I4620" s="23" t="s">
        <v>948</v>
      </c>
      <c r="J4620" s="23" t="s">
        <v>949</v>
      </c>
      <c r="K4620" s="23" t="s">
        <v>950</v>
      </c>
      <c r="L4620" s="4" t="s">
        <v>47</v>
      </c>
    </row>
    <row r="4621" customFormat="false" ht="17.15" hidden="false" customHeight="false" outlineLevel="0" collapsed="false">
      <c r="A4621" s="0" t="s">
        <v>1025</v>
      </c>
      <c r="B4621" s="0" t="s">
        <v>98</v>
      </c>
      <c r="D4621" s="6" t="n">
        <f aca="false">Sens!D4599</f>
        <v>12.9359794422418</v>
      </c>
      <c r="E4621" s="6" t="n">
        <f aca="false">Sens!E4599</f>
        <v>27.8095064661409</v>
      </c>
      <c r="F4621" s="6" t="n">
        <f aca="false">Sens!F4599</f>
        <v>55.4118315060966</v>
      </c>
      <c r="G4621" s="6" t="n">
        <f aca="false">Sens!G4599</f>
        <v>91.2881100675143</v>
      </c>
      <c r="H4621" s="6" t="n">
        <f aca="false">Sens!H4599</f>
        <v>129.182572035966</v>
      </c>
      <c r="I4621" s="6" t="n">
        <f aca="false">Sens!I4599</f>
        <v>162.171836740988</v>
      </c>
      <c r="J4621" s="6" t="n">
        <f aca="false">Sens!J4599</f>
        <v>186.409707910096</v>
      </c>
      <c r="K4621" s="6" t="n">
        <f aca="false">Sens!K4599</f>
        <v>203.002549377754</v>
      </c>
    </row>
    <row r="4622" customFormat="false" ht="17.15" hidden="false" customHeight="false" outlineLevel="0" collapsed="false">
      <c r="A4622" s="0" t="s">
        <v>1026</v>
      </c>
      <c r="B4622" s="0" t="s">
        <v>98</v>
      </c>
      <c r="D4622" s="6" t="n">
        <f aca="false">Q!L6-Sens!D4621</f>
        <v>59.6740205577583</v>
      </c>
      <c r="E4622" s="6" t="n">
        <f aca="false">Q!M6-Sens!E4621</f>
        <v>74.1284935338591</v>
      </c>
      <c r="F4622" s="6" t="n">
        <f aca="false">Q!$I$6+(Sens!F4621+Sens!E4622*(1+Sens!F4623))*(1-Q!$E$6/Q!M6)-Sens!F4621</f>
        <v>91.2972164940844</v>
      </c>
      <c r="G4622" s="6" t="n">
        <f aca="false">Sens!F4622*(1+Sens!G4623)</f>
        <v>108.474719793879</v>
      </c>
      <c r="H4622" s="6" t="n">
        <f aca="false">Sens!G4622*(1+Sens!H4623)</f>
        <v>125.951292505701</v>
      </c>
      <c r="I4622" s="6" t="n">
        <f aca="false">Sens!H4622*(1+Sens!I4623)</f>
        <v>142.838165154212</v>
      </c>
      <c r="J4622" s="6" t="n">
        <f aca="false">Sens!I4622*(1+Sens!J4623)</f>
        <v>158.12717866615</v>
      </c>
      <c r="K4622" s="6" t="n">
        <f aca="false">Sens!J4622*(1+Sens!K4623)</f>
        <v>170.777352959442</v>
      </c>
      <c r="L4622" s="12" t="s">
        <v>1027</v>
      </c>
    </row>
    <row r="4623" customFormat="false" ht="15" hidden="false" customHeight="false" outlineLevel="0" collapsed="false">
      <c r="A4623" s="1" t="s">
        <v>1028</v>
      </c>
      <c r="B4623" s="0" t="s">
        <v>168</v>
      </c>
      <c r="E4623" s="7" t="n">
        <f aca="false">Sens!E4622/Sens!D4622-1</f>
        <v>0.242223883039864</v>
      </c>
      <c r="F4623" s="7" t="n">
        <f aca="false">Sens!$E$4623+(glt_azo-Sens!$E$4623)*MIN(1,(Sens!F4580-base_fy)/n_conv)</f>
        <v>0.215186569199887</v>
      </c>
      <c r="G4623" s="7" t="n">
        <f aca="false">Sens!$E$4623+(glt_azo-Sens!$E$4623)*MIN(1,(Sens!G4580-base_fy)/n_conv)</f>
        <v>0.18814925535991</v>
      </c>
      <c r="H4623" s="7" t="n">
        <f aca="false">Sens!$E$4623+(glt_azo-Sens!$E$4623)*MIN(1,(Sens!H4580-base_fy)/n_conv)</f>
        <v>0.161111941519932</v>
      </c>
      <c r="I4623" s="7" t="n">
        <f aca="false">Sens!$E$4623+(glt_azo-Sens!$E$4623)*MIN(1,(Sens!I4580-base_fy)/n_conv)</f>
        <v>0.134074627679955</v>
      </c>
      <c r="J4623" s="7" t="n">
        <f aca="false">Sens!$E$4623+(glt_azo-Sens!$E$4623)*MIN(1,(Sens!J4580-base_fy)/n_conv)</f>
        <v>0.107037313839977</v>
      </c>
      <c r="K4623" s="7" t="n">
        <f aca="false">Sens!$E$4623+(glt_azo-Sens!$E$4623)*MIN(1,(Sens!K4580-base_fy)/n_conv)</f>
        <v>0.08</v>
      </c>
    </row>
    <row r="4624" customFormat="false" ht="15" hidden="false" customHeight="false" outlineLevel="0" collapsed="false">
      <c r="A4624" s="0" t="s">
        <v>1029</v>
      </c>
      <c r="B4624" s="0" t="s">
        <v>98</v>
      </c>
      <c r="D4624" s="6" t="n">
        <f aca="false">Sens!D4621+Sens!D4622</f>
        <v>72.61</v>
      </c>
      <c r="E4624" s="6" t="n">
        <f aca="false">Sens!E4621+Sens!E4622</f>
        <v>101.938</v>
      </c>
      <c r="F4624" s="6" t="n">
        <f aca="false">Sens!F4621+Sens!F4622</f>
        <v>146.709048000181</v>
      </c>
      <c r="G4624" s="6" t="n">
        <f aca="false">Sens!G4621+Sens!G4622</f>
        <v>199.762829861393</v>
      </c>
      <c r="H4624" s="6" t="n">
        <f aca="false">Sens!H4621+Sens!H4622</f>
        <v>255.133864541667</v>
      </c>
      <c r="I4624" s="6" t="n">
        <f aca="false">Sens!I4621+Sens!I4622</f>
        <v>305.010001895201</v>
      </c>
      <c r="J4624" s="6" t="n">
        <f aca="false">Sens!J4621+Sens!J4622</f>
        <v>344.536886576247</v>
      </c>
      <c r="K4624" s="6" t="n">
        <f aca="false">Sens!K4621+Sens!K4622</f>
        <v>373.779902337196</v>
      </c>
    </row>
    <row r="4625" customFormat="false" ht="17.15" hidden="false" customHeight="false" outlineLevel="0" collapsed="false">
      <c r="A4625" s="0" t="s">
        <v>1030</v>
      </c>
      <c r="B4625" s="1" t="s">
        <v>613</v>
      </c>
      <c r="C4625" s="30" t="n">
        <f aca="false">cop_s24</f>
        <v>1</v>
      </c>
      <c r="D4625" s="30" t="n">
        <f aca="false">cop_s25</f>
        <v>5</v>
      </c>
      <c r="E4625" s="30" t="n">
        <f aca="false">cop_s26</f>
        <v>30</v>
      </c>
      <c r="F4625" s="30" t="n">
        <f aca="false">Sens!E4625+cop_add_B</f>
        <v>50</v>
      </c>
      <c r="G4625" s="30" t="n">
        <f aca="false">Sens!F4625+cop_add_B</f>
        <v>70</v>
      </c>
      <c r="H4625" s="30" t="n">
        <f aca="false">Sens!G4625+cop_add_B</f>
        <v>90</v>
      </c>
      <c r="I4625" s="30" t="n">
        <f aca="false">Sens!H4625+cop_add_B*cop_tail</f>
        <v>100</v>
      </c>
      <c r="J4625" s="30" t="n">
        <f aca="false">Sens!I4625+cop_add_B*cop_tail</f>
        <v>110</v>
      </c>
      <c r="K4625" s="30" t="n">
        <f aca="false">Sens!J4625+cop_add_B*cop_tail</f>
        <v>120</v>
      </c>
      <c r="L4625" s="12" t="s">
        <v>1031</v>
      </c>
    </row>
    <row r="4626" customFormat="false" ht="17.15" hidden="false" customHeight="false" outlineLevel="0" collapsed="false">
      <c r="A4626" s="0" t="s">
        <v>1032</v>
      </c>
      <c r="B4626" s="0" t="s">
        <v>98</v>
      </c>
      <c r="D4626" s="6" t="n">
        <f aca="false">(Sens!C4625+Sens!D4625)/2*cop_px*12/1000</f>
        <v>0.9</v>
      </c>
      <c r="E4626" s="6" t="n">
        <f aca="false">(Sens!D4625+Sens!E4625)/2*cop_px*12/1000</f>
        <v>5.25</v>
      </c>
      <c r="F4626" s="6" t="n">
        <f aca="false">(Sens!E4625+Sens!F4625)/2*cop_px*12/1000</f>
        <v>12</v>
      </c>
      <c r="G4626" s="6" t="n">
        <f aca="false">(Sens!F4625+Sens!G4625)/2*cop_px*12/1000</f>
        <v>18</v>
      </c>
      <c r="H4626" s="6" t="n">
        <f aca="false">(Sens!G4625+Sens!H4625)/2*cop_px*12/1000</f>
        <v>24</v>
      </c>
      <c r="I4626" s="6" t="n">
        <f aca="false">(Sens!H4625+Sens!I4625)/2*cop_px*12/1000</f>
        <v>28.5</v>
      </c>
      <c r="J4626" s="6" t="n">
        <f aca="false">(Sens!I4625+Sens!J4625)/2*cop_px*12/1000</f>
        <v>31.5</v>
      </c>
      <c r="K4626" s="6" t="n">
        <f aca="false">(Sens!J4625+Sens!K4625)/2*cop_px*12/1000</f>
        <v>34.5</v>
      </c>
      <c r="L4626" s="1" t="s">
        <v>1033</v>
      </c>
    </row>
    <row r="4627" customFormat="false" ht="17.15" hidden="false" customHeight="false" outlineLevel="0" collapsed="false">
      <c r="A4627" s="0" t="s">
        <v>1034</v>
      </c>
      <c r="B4627" s="0" t="s">
        <v>98</v>
      </c>
      <c r="D4627" s="6" t="n">
        <f aca="false">Q!L7-Sens!D4626</f>
        <v>83.705</v>
      </c>
      <c r="E4627" s="6" t="n">
        <f aca="false">Q!M7-Sens!E4626</f>
        <v>95.049</v>
      </c>
      <c r="F4627" s="6" t="n">
        <f aca="false">Q!$I$7+(Sens!E4627*(1+Sens!F4628)+Sens!F4626)*(1-Q!$E$7/Q!M7)-Sens!F4626</f>
        <v>106.584003697747</v>
      </c>
      <c r="G4627" s="6" t="n">
        <f aca="false">Sens!F4627*(1+Sens!G4628)</f>
        <v>118.700726545688</v>
      </c>
      <c r="H4627" s="6" t="n">
        <f aca="false">Sens!G4627*(1+Sens!H4628)</f>
        <v>130.898624783666</v>
      </c>
      <c r="I4627" s="6" t="n">
        <f aca="false">Sens!H4627*(1+Sens!I4628)</f>
        <v>142.920510030657</v>
      </c>
      <c r="J4627" s="6" t="n">
        <f aca="false">Sens!I4627*(1+Sens!J4628)</f>
        <v>154.485722618572</v>
      </c>
      <c r="K4627" s="6" t="n">
        <f aca="false">Sens!J4627*(1+Sens!K4628)</f>
        <v>165.299723201872</v>
      </c>
      <c r="L4627" s="12" t="s">
        <v>1035</v>
      </c>
    </row>
    <row r="4628" customFormat="false" ht="15" hidden="false" customHeight="false" outlineLevel="0" collapsed="false">
      <c r="A4628" s="1" t="s">
        <v>1028</v>
      </c>
      <c r="B4628" s="0" t="s">
        <v>168</v>
      </c>
      <c r="E4628" s="7" t="n">
        <f aca="false">Sens!E4627/Sens!D4627-1</f>
        <v>0.135523564900544</v>
      </c>
      <c r="F4628" s="7" t="n">
        <f aca="false">Sens!$E$4628+(glt_m365b-Sens!$E$4628)*MIN(1,(Sens!F4580-base_fy)/n_conv)</f>
        <v>0.124602970750453</v>
      </c>
      <c r="G4628" s="7" t="n">
        <f aca="false">Sens!$E$4628+(glt_m365b-Sens!$E$4628)*MIN(1,(Sens!G4580-base_fy)/n_conv)</f>
        <v>0.113682376600363</v>
      </c>
      <c r="H4628" s="7" t="n">
        <f aca="false">Sens!$E$4628+(glt_m365b-Sens!$E$4628)*MIN(1,(Sens!H4580-base_fy)/n_conv)</f>
        <v>0.102761782450272</v>
      </c>
      <c r="I4628" s="7" t="n">
        <f aca="false">Sens!$E$4628+(glt_m365b-Sens!$E$4628)*MIN(1,(Sens!I4580-base_fy)/n_conv)</f>
        <v>0.0918411883001813</v>
      </c>
      <c r="J4628" s="7" t="n">
        <f aca="false">Sens!$E$4628+(glt_m365b-Sens!$E$4628)*MIN(1,(Sens!J4580-base_fy)/n_conv)</f>
        <v>0.0809205941500906</v>
      </c>
      <c r="K4628" s="7" t="n">
        <f aca="false">Sens!$E$4628+(glt_m365b-Sens!$E$4628)*MIN(1,(Sens!K4580-base_fy)/n_conv)</f>
        <v>0.07</v>
      </c>
    </row>
    <row r="4629" customFormat="false" ht="15" hidden="false" customHeight="false" outlineLevel="0" collapsed="false">
      <c r="A4629" s="0" t="s">
        <v>1036</v>
      </c>
      <c r="B4629" s="0" t="s">
        <v>98</v>
      </c>
      <c r="D4629" s="6" t="n">
        <f aca="false">Sens!D4627+Sens!D4626</f>
        <v>84.605</v>
      </c>
      <c r="E4629" s="6" t="n">
        <f aca="false">Sens!E4627+Sens!E4626</f>
        <v>100.299</v>
      </c>
      <c r="F4629" s="6" t="n">
        <f aca="false">Sens!F4627+Sens!F4626</f>
        <v>118.584003697747</v>
      </c>
      <c r="G4629" s="6" t="n">
        <f aca="false">Sens!G4627+Sens!G4626</f>
        <v>136.700726545688</v>
      </c>
      <c r="H4629" s="6" t="n">
        <f aca="false">Sens!H4627+Sens!H4626</f>
        <v>154.898624783666</v>
      </c>
      <c r="I4629" s="6" t="n">
        <f aca="false">Sens!I4627+Sens!I4626</f>
        <v>171.420510030657</v>
      </c>
      <c r="J4629" s="6" t="n">
        <f aca="false">Sens!J4627+Sens!J4626</f>
        <v>185.985722618572</v>
      </c>
      <c r="K4629" s="6" t="n">
        <f aca="false">Sens!K4627+Sens!K4626</f>
        <v>199.799723201872</v>
      </c>
    </row>
    <row r="4630" customFormat="false" ht="17.15" hidden="false" customHeight="false" outlineLevel="0" collapsed="false">
      <c r="A4630" s="0" t="s">
        <v>1037</v>
      </c>
      <c r="B4630" s="0" t="s">
        <v>98</v>
      </c>
      <c r="D4630" s="6" t="n">
        <f aca="false">Q!L8</f>
        <v>35.391</v>
      </c>
      <c r="E4630" s="6" t="n">
        <f aca="false">Q!M8</f>
        <v>37.285</v>
      </c>
      <c r="F4630" s="6" t="n">
        <f aca="false">Q!$I$8+(Q!M8-Q!$E$8)*(1+Sens!F4631)</f>
        <v>38.3851437782675</v>
      </c>
      <c r="G4630" s="6" t="n">
        <f aca="false">Sens!F4630*(1+Sens!G4631)</f>
        <v>40.0105353288615</v>
      </c>
      <c r="H4630" s="6" t="n">
        <f aca="false">Sens!G4630*(1+Sens!H4631)</f>
        <v>41.4812512033683</v>
      </c>
      <c r="I4630" s="6" t="n">
        <f aca="false">Sens!H4630*(1+Sens!I4631)</f>
        <v>42.7743107216329</v>
      </c>
      <c r="J4630" s="6" t="n">
        <f aca="false">Sens!I4630*(1+Sens!J4631)</f>
        <v>43.8687373064601</v>
      </c>
      <c r="K4630" s="6" t="n">
        <f aca="false">Sens!J4630*(1+Sens!K4631)</f>
        <v>44.7461120525893</v>
      </c>
      <c r="L4630" s="12" t="s">
        <v>1038</v>
      </c>
    </row>
    <row r="4631" customFormat="false" ht="15" hidden="false" customHeight="false" outlineLevel="0" collapsed="false">
      <c r="A4631" s="1" t="s">
        <v>1028</v>
      </c>
      <c r="B4631" s="0" t="s">
        <v>168</v>
      </c>
      <c r="E4631" s="7" t="n">
        <f aca="false">Sens!E4630/Sens!D4630-1</f>
        <v>0.0535164307309768</v>
      </c>
      <c r="F4631" s="7" t="n">
        <f aca="false">Sens!$E$4631+(glt_lic-Sens!$E$4631)*MIN(1,(Sens!F4580-base_fy)/n_conv)</f>
        <v>0.0479303589424807</v>
      </c>
      <c r="G4631" s="7" t="n">
        <f aca="false">Sens!$E$4631+(glt_lic-Sens!$E$4631)*MIN(1,(Sens!G4580-base_fy)/n_conv)</f>
        <v>0.0423442871539845</v>
      </c>
      <c r="H4631" s="7" t="n">
        <f aca="false">Sens!$E$4631+(glt_lic-Sens!$E$4631)*MIN(1,(Sens!H4580-base_fy)/n_conv)</f>
        <v>0.0367582153654884</v>
      </c>
      <c r="I4631" s="7" t="n">
        <f aca="false">Sens!$E$4631+(glt_lic-Sens!$E$4631)*MIN(1,(Sens!I4580-base_fy)/n_conv)</f>
        <v>0.0311721435769923</v>
      </c>
      <c r="J4631" s="7" t="n">
        <f aca="false">Sens!$E$4631+(glt_lic-Sens!$E$4631)*MIN(1,(Sens!J4580-base_fy)/n_conv)</f>
        <v>0.0255860717884961</v>
      </c>
      <c r="K4631" s="7" t="n">
        <f aca="false">Sens!$E$4631+(glt_lic-Sens!$E$4631)*MIN(1,(Sens!K4580-base_fy)/n_conv)</f>
        <v>0.02</v>
      </c>
    </row>
    <row r="4632" customFormat="false" ht="17.15" hidden="false" customHeight="false" outlineLevel="0" collapsed="false">
      <c r="A4632" s="0" t="s">
        <v>1039</v>
      </c>
      <c r="B4632" s="0" t="s">
        <v>98</v>
      </c>
      <c r="D4632" s="6" t="n">
        <f aca="false">Q!L9</f>
        <v>18.417</v>
      </c>
      <c r="E4632" s="6" t="n">
        <f aca="false">Q!M9</f>
        <v>20.345</v>
      </c>
      <c r="F4632" s="6" t="n">
        <f aca="false">Q!$I$9+(Q!M9-Q!$E$9)*(1+Sens!F4633)</f>
        <v>22.3161797133988</v>
      </c>
      <c r="G4632" s="6" t="n">
        <f aca="false">Sens!F4632*(1+Sens!G4633)</f>
        <v>24.3943499673233</v>
      </c>
      <c r="H4632" s="6" t="n">
        <f aca="false">Sens!G4632*(1+Sens!H4633)</f>
        <v>26.5250243109019</v>
      </c>
      <c r="I4632" s="6" t="n">
        <f aca="false">Sens!H4632*(1+Sens!I4633)</f>
        <v>28.6884573538181</v>
      </c>
      <c r="J4632" s="6" t="n">
        <f aca="false">Sens!I4632*(1+Sens!J4633)</f>
        <v>30.8624968052127</v>
      </c>
      <c r="K4632" s="6" t="n">
        <f aca="false">Sens!J4632*(1+Sens!K4633)</f>
        <v>33.0228715815776</v>
      </c>
      <c r="L4632" s="12" t="s">
        <v>1038</v>
      </c>
    </row>
    <row r="4633" customFormat="false" ht="15" hidden="false" customHeight="false" outlineLevel="0" collapsed="false">
      <c r="A4633" s="1" t="s">
        <v>1028</v>
      </c>
      <c r="B4633" s="0" t="s">
        <v>168</v>
      </c>
      <c r="E4633" s="7" t="n">
        <f aca="false">Sens!E4632/Sens!D4632-1</f>
        <v>0.104685888038225</v>
      </c>
      <c r="F4633" s="7" t="n">
        <f aca="false">Sens!$E$4633+(glt_ind-Sens!$E$4633)*MIN(1,(Sens!F4580-base_fy)/n_conv)</f>
        <v>0.0989049066985211</v>
      </c>
      <c r="G4633" s="7" t="n">
        <f aca="false">Sens!$E$4633+(glt_ind-Sens!$E$4633)*MIN(1,(Sens!G4580-base_fy)/n_conv)</f>
        <v>0.0931239253588169</v>
      </c>
      <c r="H4633" s="7" t="n">
        <f aca="false">Sens!$E$4633+(glt_ind-Sens!$E$4633)*MIN(1,(Sens!H4580-base_fy)/n_conv)</f>
        <v>0.0873429440191127</v>
      </c>
      <c r="I4633" s="7" t="n">
        <f aca="false">Sens!$E$4633+(glt_ind-Sens!$E$4633)*MIN(1,(Sens!I4580-base_fy)/n_conv)</f>
        <v>0.0815619626794085</v>
      </c>
      <c r="J4633" s="7" t="n">
        <f aca="false">Sens!$E$4633+(glt_ind-Sens!$E$4633)*MIN(1,(Sens!J4580-base_fy)/n_conv)</f>
        <v>0.0757809813397042</v>
      </c>
      <c r="K4633" s="7" t="n">
        <f aca="false">Sens!$E$4633+(glt_ind-Sens!$E$4633)*MIN(1,(Sens!K4580-base_fy)/n_conv)</f>
        <v>0.07</v>
      </c>
    </row>
    <row r="4634" customFormat="false" ht="17.15" hidden="false" customHeight="false" outlineLevel="0" collapsed="false">
      <c r="A4634" s="0" t="s">
        <v>1040</v>
      </c>
      <c r="B4634" s="0" t="s">
        <v>98</v>
      </c>
      <c r="D4634" s="6" t="n">
        <f aca="false">Q!L10</f>
        <v>7.76</v>
      </c>
      <c r="E4634" s="6" t="n">
        <f aca="false">Q!M10</f>
        <v>8.26</v>
      </c>
      <c r="F4634" s="6" t="n">
        <f aca="false">Q!$I$10+(Q!M10-Q!$E$10)*(1+Sens!F4635)</f>
        <v>8.75372082474227</v>
      </c>
      <c r="G4634" s="6" t="n">
        <f aca="false">Sens!F4634*(1+Sens!G4635)</f>
        <v>9.33399324642364</v>
      </c>
      <c r="H4634" s="6" t="n">
        <f aca="false">Sens!G4634*(1+Sens!H4635)</f>
        <v>9.96139155535851</v>
      </c>
      <c r="I4634" s="6" t="n">
        <f aca="false">Sens!H4634*(1+Sens!I4635)</f>
        <v>10.6402039077391</v>
      </c>
      <c r="J4634" s="6" t="n">
        <f aca="false">Sens!I4634*(1+Sens!J4635)</f>
        <v>11.3751458271397</v>
      </c>
      <c r="K4634" s="6" t="n">
        <f aca="false">Sens!J4634*(1+Sens!K4635)</f>
        <v>12.1714060350394</v>
      </c>
      <c r="L4634" s="12" t="s">
        <v>1038</v>
      </c>
    </row>
    <row r="4635" customFormat="false" ht="15" hidden="false" customHeight="false" outlineLevel="0" collapsed="false">
      <c r="A4635" s="1" t="s">
        <v>1028</v>
      </c>
      <c r="B4635" s="0" t="s">
        <v>168</v>
      </c>
      <c r="E4635" s="7" t="n">
        <f aca="false">Sens!E4634/Sens!D4634-1</f>
        <v>0.0644329896907216</v>
      </c>
      <c r="F4635" s="7" t="n">
        <f aca="false">Sens!$E$4635+(glt_fro-Sens!$E$4635)*MIN(1,(Sens!F4580-base_fy)/n_conv)</f>
        <v>0.065360824742268</v>
      </c>
      <c r="G4635" s="7" t="n">
        <f aca="false">Sens!$E$4635+(glt_fro-Sens!$E$4635)*MIN(1,(Sens!G4580-base_fy)/n_conv)</f>
        <v>0.0662886597938144</v>
      </c>
      <c r="H4635" s="7" t="n">
        <f aca="false">Sens!$E$4635+(glt_fro-Sens!$E$4635)*MIN(1,(Sens!H4580-base_fy)/n_conv)</f>
        <v>0.0672164948453608</v>
      </c>
      <c r="I4635" s="7" t="n">
        <f aca="false">Sens!$E$4635+(glt_fro-Sens!$E$4635)*MIN(1,(Sens!I4580-base_fy)/n_conv)</f>
        <v>0.0681443298969072</v>
      </c>
      <c r="J4635" s="7" t="n">
        <f aca="false">Sens!$E$4635+(glt_fro-Sens!$E$4635)*MIN(1,(Sens!J4580-base_fy)/n_conv)</f>
        <v>0.0690721649484536</v>
      </c>
      <c r="K4635" s="7" t="n">
        <f aca="false">Sens!$E$4635+(glt_fro-Sens!$E$4635)*MIN(1,(Sens!K4580-base_fy)/n_conv)</f>
        <v>0.07</v>
      </c>
    </row>
    <row r="4636" customFormat="false" ht="15" hidden="false" customHeight="false" outlineLevel="0" collapsed="false">
      <c r="A4636" s="0" t="s">
        <v>856</v>
      </c>
      <c r="B4636" s="0" t="s">
        <v>98</v>
      </c>
      <c r="D4636" s="6" t="n">
        <f aca="false">Sens!D4624+Sens!D4629+Sens!D4630+Sens!D4632+Sens!D4634</f>
        <v>218.783</v>
      </c>
      <c r="E4636" s="6" t="n">
        <f aca="false">Sens!E4624+Sens!E4629+Sens!E4630+Sens!E4632+Sens!E4634</f>
        <v>268.127</v>
      </c>
      <c r="F4636" s="6" t="n">
        <f aca="false">Sens!F4624+Sens!F4629+Sens!F4630+Sens!F4632+Sens!F4634</f>
        <v>334.748096014336</v>
      </c>
      <c r="G4636" s="6" t="n">
        <f aca="false">Sens!G4624+Sens!G4629+Sens!G4630+Sens!G4632+Sens!G4634</f>
        <v>410.20243494969</v>
      </c>
      <c r="H4636" s="6" t="n">
        <f aca="false">Sens!H4624+Sens!H4629+Sens!H4630+Sens!H4632+Sens!H4634</f>
        <v>488.000156394961</v>
      </c>
      <c r="I4636" s="6" t="n">
        <f aca="false">Sens!I4624+Sens!I4629+Sens!I4630+Sens!I4632+Sens!I4634</f>
        <v>558.533483909048</v>
      </c>
      <c r="J4636" s="6" t="n">
        <f aca="false">Sens!J4624+Sens!J4629+Sens!J4630+Sens!J4632+Sens!J4634</f>
        <v>616.628989133631</v>
      </c>
      <c r="K4636" s="6" t="n">
        <f aca="false">Sens!K4624+Sens!K4629+Sens!K4630+Sens!K4632+Sens!K4634</f>
        <v>663.520015208274</v>
      </c>
    </row>
    <row r="4637" customFormat="false" ht="17.15" hidden="false" customHeight="false" outlineLevel="0" collapsed="false">
      <c r="A4637" s="0" t="s">
        <v>1041</v>
      </c>
      <c r="B4637" s="0" t="s">
        <v>98</v>
      </c>
      <c r="D4637" s="6" t="n">
        <f aca="false">Q!L13</f>
        <v>22.171</v>
      </c>
      <c r="E4637" s="6" t="n">
        <f aca="false">Q!M13</f>
        <v>24.835</v>
      </c>
      <c r="F4637" s="6" t="n">
        <f aca="false">Q!$I$13+(Q!M13-Q!$E$13)*(1+Sens!F4638)</f>
        <v>27.5591895660247</v>
      </c>
      <c r="G4637" s="6" t="n">
        <f aca="false">Sens!F4637*(1+Sens!G4638)</f>
        <v>30.4098563144583</v>
      </c>
      <c r="H4637" s="6" t="n">
        <f aca="false">Sens!G4637*(1+Sens!H4638)</f>
        <v>33.3011792571777</v>
      </c>
      <c r="I4637" s="6" t="n">
        <f aca="false">Sens!H4637*(1+Sens!I4638)</f>
        <v>36.189023797112</v>
      </c>
      <c r="J4637" s="6" t="n">
        <f aca="false">Sens!I4637*(1+Sens!J4638)</f>
        <v>39.0247773769199</v>
      </c>
      <c r="K4637" s="6" t="n">
        <f aca="false">Sens!J4637*(1+Sens!K4638)</f>
        <v>41.7565117933043</v>
      </c>
      <c r="L4637" s="12" t="s">
        <v>1038</v>
      </c>
    </row>
    <row r="4638" customFormat="false" ht="15" hidden="false" customHeight="false" outlineLevel="0" collapsed="false">
      <c r="A4638" s="1" t="s">
        <v>1028</v>
      </c>
      <c r="B4638" s="0" t="s">
        <v>168</v>
      </c>
      <c r="E4638" s="7" t="n">
        <f aca="false">Sens!E4637/Sens!D4637-1</f>
        <v>0.120156961796942</v>
      </c>
      <c r="F4638" s="7" t="n">
        <f aca="false">Sens!$E$4638+(glt_srch-Sens!$E$4638)*MIN(1,(Sens!F4580-base_fy)/n_conv)</f>
        <v>0.111797468164118</v>
      </c>
      <c r="G4638" s="7" t="n">
        <f aca="false">Sens!$E$4638+(glt_srch-Sens!$E$4638)*MIN(1,(Sens!G4580-base_fy)/n_conv)</f>
        <v>0.103437974531295</v>
      </c>
      <c r="H4638" s="7" t="n">
        <f aca="false">Sens!$E$4638+(glt_srch-Sens!$E$4638)*MIN(1,(Sens!H4580-base_fy)/n_conv)</f>
        <v>0.095078480898471</v>
      </c>
      <c r="I4638" s="7" t="n">
        <f aca="false">Sens!$E$4638+(glt_srch-Sens!$E$4638)*MIN(1,(Sens!I4580-base_fy)/n_conv)</f>
        <v>0.0867189872656474</v>
      </c>
      <c r="J4638" s="7" t="n">
        <f aca="false">Sens!$E$4638+(glt_srch-Sens!$E$4638)*MIN(1,(Sens!J4580-base_fy)/n_conv)</f>
        <v>0.0783594936328237</v>
      </c>
      <c r="K4638" s="7" t="n">
        <f aca="false">Sens!$E$4638+(glt_srch-Sens!$E$4638)*MIN(1,(Sens!K4580-base_fy)/n_conv)</f>
        <v>0.07</v>
      </c>
    </row>
    <row r="4639" customFormat="false" ht="17.15" hidden="false" customHeight="false" outlineLevel="0" collapsed="false">
      <c r="A4639" s="0" t="s">
        <v>1042</v>
      </c>
      <c r="B4639" s="0" t="s">
        <v>98</v>
      </c>
      <c r="D4639" s="6" t="n">
        <f aca="false">Q!L14</f>
        <v>23.455</v>
      </c>
      <c r="E4639" s="6" t="n">
        <f aca="false">Q!M14</f>
        <v>21.79</v>
      </c>
      <c r="F4639" s="6" t="n">
        <f aca="false">Q!$I$14+(Q!M14-Q!$E$14)*(1+Sens!F4640)</f>
        <v>20.7520981041711</v>
      </c>
      <c r="G4639" s="6" t="n">
        <f aca="false">Sens!F4639*(1+Sens!G4640)</f>
        <v>19.9083593495882</v>
      </c>
      <c r="H4639" s="6" t="n">
        <f aca="false">Sens!G4639*(1+Sens!H4640)</f>
        <v>19.4008256265831</v>
      </c>
      <c r="I4639" s="6" t="n">
        <f aca="false">Sens!H4639*(1+Sens!I4640)</f>
        <v>19.200434522122</v>
      </c>
      <c r="J4639" s="6" t="n">
        <f aca="false">Sens!I4639*(1+Sens!J4640)</f>
        <v>19.2932782348507</v>
      </c>
      <c r="K4639" s="6" t="n">
        <f aca="false">Sens!J4639*(1+Sens!K4640)</f>
        <v>19.6791437995477</v>
      </c>
      <c r="L4639" s="12" t="s">
        <v>1038</v>
      </c>
    </row>
    <row r="4640" customFormat="false" ht="15" hidden="false" customHeight="false" outlineLevel="0" collapsed="false">
      <c r="A4640" s="1" t="s">
        <v>1028</v>
      </c>
      <c r="B4640" s="0" t="s">
        <v>168</v>
      </c>
      <c r="E4640" s="7" t="n">
        <f aca="false">Sens!E4639/Sens!D4639-1</f>
        <v>-0.0709869963760392</v>
      </c>
      <c r="F4640" s="7" t="n">
        <f aca="false">Sens!$E$4640+(glt_xbox-Sens!$E$4640)*MIN(1,(Sens!F4580-base_fy)/n_conv)</f>
        <v>-0.0558224969800327</v>
      </c>
      <c r="G4640" s="7" t="n">
        <f aca="false">Sens!$E$4640+(glt_xbox-Sens!$E$4640)*MIN(1,(Sens!G4580-base_fy)/n_conv)</f>
        <v>-0.0406579975840262</v>
      </c>
      <c r="H4640" s="7" t="n">
        <f aca="false">Sens!$E$4640+(glt_xbox-Sens!$E$4640)*MIN(1,(Sens!H4580-base_fy)/n_conv)</f>
        <v>-0.0254934981880196</v>
      </c>
      <c r="I4640" s="7" t="n">
        <f aca="false">Sens!$E$4640+(glt_xbox-Sens!$E$4640)*MIN(1,(Sens!I4580-base_fy)/n_conv)</f>
        <v>-0.0103289987920131</v>
      </c>
      <c r="J4640" s="7" t="n">
        <f aca="false">Sens!$E$4640+(glt_xbox-Sens!$E$4640)*MIN(1,(Sens!J4580-base_fy)/n_conv)</f>
        <v>0.00483550060399347</v>
      </c>
      <c r="K4640" s="7" t="n">
        <f aca="false">Sens!$E$4640+(glt_xbox-Sens!$E$4640)*MIN(1,(Sens!K4580-base_fy)/n_conv)</f>
        <v>0.02</v>
      </c>
    </row>
    <row r="4641" customFormat="false" ht="17.15" hidden="false" customHeight="false" outlineLevel="0" collapsed="false">
      <c r="A4641" s="0" t="s">
        <v>1043</v>
      </c>
      <c r="B4641" s="0" t="s">
        <v>98</v>
      </c>
      <c r="D4641" s="6" t="n">
        <f aca="false">Q!L15</f>
        <v>17.315</v>
      </c>
      <c r="E4641" s="6" t="n">
        <f aca="false">Q!M15</f>
        <v>17.087</v>
      </c>
      <c r="F4641" s="6" t="n">
        <f aca="false">Q!$I$15+(Q!M15-Q!$E$15)*(1+Sens!F4642)</f>
        <v>15.9912273250553</v>
      </c>
      <c r="G4641" s="6" t="n">
        <f aca="false">Sens!F4641*(1+Sens!G4642)</f>
        <v>15.9574562664827</v>
      </c>
      <c r="H4641" s="6" t="n">
        <f aca="false">Sens!G4641*(1+Sens!H4642)</f>
        <v>16.0119687434196</v>
      </c>
      <c r="I4641" s="6" t="n">
        <f aca="false">Sens!H4641*(1+Sens!I4642)</f>
        <v>16.1551810001948</v>
      </c>
      <c r="J4641" s="6" t="n">
        <f aca="false">Sens!I4641*(1+Sens!J4642)</f>
        <v>16.3889793892005</v>
      </c>
      <c r="K4641" s="6" t="n">
        <f aca="false">Sens!J4641*(1+Sens!K4642)</f>
        <v>16.7167589769845</v>
      </c>
      <c r="L4641" s="12" t="s">
        <v>1038</v>
      </c>
    </row>
    <row r="4642" customFormat="false" ht="15" hidden="false" customHeight="false" outlineLevel="0" collapsed="false">
      <c r="A4642" s="1" t="s">
        <v>1028</v>
      </c>
      <c r="B4642" s="0" t="s">
        <v>168</v>
      </c>
      <c r="E4642" s="7" t="n">
        <f aca="false">Sens!E4641/Sens!D4641-1</f>
        <v>-0.0131677736066995</v>
      </c>
      <c r="F4642" s="7" t="n">
        <f aca="false">Sens!$E$4642+(glt_win-Sens!$E$4642)*MIN(1,(Sens!F4580-base_fy)/n_conv)</f>
        <v>-0.00763981133891627</v>
      </c>
      <c r="G4642" s="7" t="n">
        <f aca="false">Sens!$E$4642+(glt_win-Sens!$E$4642)*MIN(1,(Sens!G4580-base_fy)/n_conv)</f>
        <v>-0.00211184907113301</v>
      </c>
      <c r="H4642" s="7" t="n">
        <f aca="false">Sens!$E$4642+(glt_win-Sens!$E$4642)*MIN(1,(Sens!H4580-base_fy)/n_conv)</f>
        <v>0.00341611319665024</v>
      </c>
      <c r="I4642" s="7" t="n">
        <f aca="false">Sens!$E$4642+(glt_win-Sens!$E$4642)*MIN(1,(Sens!I4580-base_fy)/n_conv)</f>
        <v>0.00894407546443349</v>
      </c>
      <c r="J4642" s="7" t="n">
        <f aca="false">Sens!$E$4642+(glt_win-Sens!$E$4642)*MIN(1,(Sens!J4580-base_fy)/n_conv)</f>
        <v>0.0144720377322168</v>
      </c>
      <c r="K4642" s="7" t="n">
        <f aca="false">Sens!$E$4642+(glt_win-Sens!$E$4642)*MIN(1,(Sens!K4580-base_fy)/n_conv)</f>
        <v>0.02</v>
      </c>
    </row>
    <row r="4643" customFormat="false" ht="15" hidden="false" customHeight="false" outlineLevel="0" collapsed="false">
      <c r="A4643" s="0" t="s">
        <v>870</v>
      </c>
      <c r="B4643" s="0" t="s">
        <v>98</v>
      </c>
      <c r="D4643" s="6" t="n">
        <f aca="false">Sens!D4637+Sens!D4639+Sens!D4641</f>
        <v>62.941</v>
      </c>
      <c r="E4643" s="6" t="n">
        <f aca="false">Sens!E4637+Sens!E4639+Sens!E4641</f>
        <v>63.712</v>
      </c>
      <c r="F4643" s="6" t="n">
        <f aca="false">Sens!F4637+Sens!F4639+Sens!F4641</f>
        <v>64.3025149952511</v>
      </c>
      <c r="G4643" s="6" t="n">
        <f aca="false">Sens!G4637+Sens!G4639+Sens!G4641</f>
        <v>66.2756719305292</v>
      </c>
      <c r="H4643" s="6" t="n">
        <f aca="false">Sens!H4637+Sens!H4639+Sens!H4641</f>
        <v>68.7139736271804</v>
      </c>
      <c r="I4643" s="6" t="n">
        <f aca="false">Sens!I4637+Sens!I4639+Sens!I4641</f>
        <v>71.5446393194289</v>
      </c>
      <c r="J4643" s="6" t="n">
        <f aca="false">Sens!J4637+Sens!J4639+Sens!J4641</f>
        <v>74.707035000971</v>
      </c>
      <c r="K4643" s="6" t="n">
        <f aca="false">Sens!K4637+Sens!K4639+Sens!K4641</f>
        <v>78.1524145698365</v>
      </c>
    </row>
    <row r="4644" customFormat="false" ht="15" hidden="false" customHeight="false" outlineLevel="0" collapsed="false">
      <c r="A4644" s="1" t="s">
        <v>1044</v>
      </c>
      <c r="B4644" s="0" t="s">
        <v>98</v>
      </c>
      <c r="D4644" s="6" t="n">
        <f aca="false">Sens!D4636+Sens!D4643</f>
        <v>281.724</v>
      </c>
      <c r="E4644" s="6" t="n">
        <f aca="false">Sens!E4636+Sens!E4643</f>
        <v>331.839</v>
      </c>
      <c r="F4644" s="6" t="n">
        <f aca="false">Sens!F4636+Sens!F4643</f>
        <v>399.050611009588</v>
      </c>
      <c r="G4644" s="6" t="n">
        <f aca="false">Sens!G4636+Sens!G4643</f>
        <v>476.478106880219</v>
      </c>
      <c r="H4644" s="6" t="n">
        <f aca="false">Sens!H4636+Sens!H4643</f>
        <v>556.714130022142</v>
      </c>
      <c r="I4644" s="6" t="n">
        <f aca="false">Sens!I4636+Sens!I4643</f>
        <v>630.078123228477</v>
      </c>
      <c r="J4644" s="6" t="n">
        <f aca="false">Sens!J4636+Sens!J4643</f>
        <v>691.336024134602</v>
      </c>
      <c r="K4644" s="6" t="n">
        <f aca="false">Sens!K4636+Sens!K4643</f>
        <v>741.67242977811</v>
      </c>
    </row>
    <row r="4645" customFormat="false" ht="15" hidden="false" customHeight="false" outlineLevel="0" collapsed="false">
      <c r="A4645" s="26" t="s">
        <v>1045</v>
      </c>
      <c r="B4645" s="31" t="s">
        <v>98</v>
      </c>
      <c r="C4645" s="31"/>
      <c r="D4645" s="27" t="n">
        <f aca="false">(Sens!D4624+Sens!D4629+Sens!D4630+Sens!D4632+Sens!D4634-Sens!D4636)+(Sens!D4637+Sens!D4639+Sens!D4641-Sens!D4643)+(Sens!D4636-Q!L5)+(Sens!D4643-Q!L12)+(Sens!D4624-Q!L6)+(Sens!D4629-Q!L7)</f>
        <v>0</v>
      </c>
      <c r="E4645" s="27" t="n">
        <f aca="false">(Sens!E4624+Sens!E4629+Sens!E4630+Sens!E4632+Sens!E4634-Sens!E4636)+(Sens!E4637+Sens!E4639+Sens!E4641-Sens!E4643)+(Sens!E4636-Q!M5)+(Sens!E4643-Q!M12)+(Sens!E4624-Q!M6)+(Sens!E4629-Q!M7)</f>
        <v>0</v>
      </c>
      <c r="F4645" s="27" t="n">
        <f aca="false">(Sens!F4624+Sens!F4629+Sens!F4630+Sens!F4632+Sens!F4634-Sens!F4636)+(Sens!F4637+Sens!F4639+Sens!F4641-Sens!F4643)</f>
        <v>0</v>
      </c>
      <c r="G4645" s="27" t="n">
        <f aca="false">(Sens!G4624+Sens!G4629+Sens!G4630+Sens!G4632+Sens!G4634-Sens!G4636)+(Sens!G4637+Sens!G4639+Sens!G4641-Sens!G4643)</f>
        <v>0</v>
      </c>
      <c r="H4645" s="27" t="n">
        <f aca="false">(Sens!H4624+Sens!H4629+Sens!H4630+Sens!H4632+Sens!H4634-Sens!H4636)+(Sens!H4637+Sens!H4639+Sens!H4641-Sens!H4643)</f>
        <v>0</v>
      </c>
      <c r="I4645" s="27" t="n">
        <f aca="false">(Sens!I4624+Sens!I4629+Sens!I4630+Sens!I4632+Sens!I4634-Sens!I4636)+(Sens!I4637+Sens!I4639+Sens!I4641-Sens!I4643)</f>
        <v>0</v>
      </c>
      <c r="J4645" s="27" t="n">
        <f aca="false">(Sens!J4624+Sens!J4629+Sens!J4630+Sens!J4632+Sens!J4634-Sens!J4636)+(Sens!J4637+Sens!J4639+Sens!J4641-Sens!J4643)</f>
        <v>0</v>
      </c>
      <c r="K4645" s="27" t="n">
        <f aca="false">(Sens!K4624+Sens!K4629+Sens!K4630+Sens!K4632+Sens!K4634-Sens!K4636)+(Sens!K4637+Sens!K4639+Sens!K4641-Sens!K4643)</f>
        <v>0</v>
      </c>
    </row>
    <row r="4646" customFormat="false" ht="17.15" hidden="false" customHeight="false" outlineLevel="0" collapsed="false">
      <c r="A4646" s="3" t="s">
        <v>1727</v>
      </c>
    </row>
    <row r="4647" customFormat="false" ht="15" hidden="false" customHeight="false" outlineLevel="0" collapsed="false">
      <c r="A4647" s="4" t="s">
        <v>43</v>
      </c>
      <c r="B4647" s="4" t="s">
        <v>65</v>
      </c>
      <c r="C4647" s="23" t="s">
        <v>942</v>
      </c>
      <c r="D4647" s="23" t="s">
        <v>943</v>
      </c>
      <c r="E4647" s="23" t="s">
        <v>944</v>
      </c>
      <c r="F4647" s="23" t="s">
        <v>945</v>
      </c>
      <c r="G4647" s="23" t="s">
        <v>946</v>
      </c>
      <c r="H4647" s="23" t="s">
        <v>947</v>
      </c>
      <c r="I4647" s="23" t="s">
        <v>948</v>
      </c>
      <c r="J4647" s="23" t="s">
        <v>949</v>
      </c>
      <c r="K4647" s="23" t="s">
        <v>950</v>
      </c>
      <c r="L4647" s="4" t="s">
        <v>47</v>
      </c>
    </row>
    <row r="4648" customFormat="false" ht="15" hidden="false" customHeight="false" outlineLevel="0" collapsed="false">
      <c r="A4648" s="0" t="s">
        <v>1029</v>
      </c>
      <c r="B4648" s="0" t="s">
        <v>98</v>
      </c>
      <c r="D4648" s="6" t="n">
        <f aca="false">Sens!D4624</f>
        <v>72.61</v>
      </c>
      <c r="E4648" s="6" t="n">
        <f aca="false">Sens!E4624</f>
        <v>101.938</v>
      </c>
      <c r="F4648" s="6" t="n">
        <f aca="false">Sens!F4624</f>
        <v>146.709048000181</v>
      </c>
      <c r="G4648" s="6" t="n">
        <f aca="false">Sens!G4624</f>
        <v>199.762829861393</v>
      </c>
      <c r="H4648" s="6" t="n">
        <f aca="false">Sens!H4624</f>
        <v>255.133864541667</v>
      </c>
      <c r="I4648" s="6" t="n">
        <f aca="false">Sens!I4624</f>
        <v>305.010001895201</v>
      </c>
      <c r="J4648" s="6" t="n">
        <f aca="false">Sens!J4624</f>
        <v>344.536886576247</v>
      </c>
      <c r="K4648" s="6" t="n">
        <f aca="false">Sens!K4624</f>
        <v>373.779902337196</v>
      </c>
    </row>
    <row r="4649" customFormat="false" ht="17.15" hidden="false" customHeight="false" outlineLevel="0" collapsed="false">
      <c r="A4649" s="0" t="s">
        <v>1025</v>
      </c>
      <c r="B4649" s="0" t="s">
        <v>98</v>
      </c>
      <c r="D4649" s="6" t="n">
        <f aca="false">Sens!D4621</f>
        <v>12.9359794422418</v>
      </c>
      <c r="E4649" s="6" t="n">
        <f aca="false">Sens!E4621</f>
        <v>27.8095064661409</v>
      </c>
      <c r="F4649" s="6" t="n">
        <f aca="false">Sens!F4621</f>
        <v>55.4118315060966</v>
      </c>
      <c r="G4649" s="6" t="n">
        <f aca="false">Sens!G4621</f>
        <v>91.2881100675143</v>
      </c>
      <c r="H4649" s="6" t="n">
        <f aca="false">Sens!H4621</f>
        <v>129.182572035966</v>
      </c>
      <c r="I4649" s="6" t="n">
        <f aca="false">Sens!I4621</f>
        <v>162.171836740988</v>
      </c>
      <c r="J4649" s="6" t="n">
        <f aca="false">Sens!J4621</f>
        <v>186.409707910096</v>
      </c>
      <c r="K4649" s="6" t="n">
        <f aca="false">Sens!K4621</f>
        <v>203.002549377754</v>
      </c>
    </row>
    <row r="4650" customFormat="false" ht="17.15" hidden="false" customHeight="false" outlineLevel="0" collapsed="false">
      <c r="A4650" s="0" t="s">
        <v>1056</v>
      </c>
      <c r="B4650" s="0" t="s">
        <v>98</v>
      </c>
      <c r="D4650" s="6" t="n">
        <f aca="false">Sens!D4622</f>
        <v>59.6740205577583</v>
      </c>
      <c r="E4650" s="6" t="n">
        <f aca="false">Sens!E4622</f>
        <v>74.1284935338591</v>
      </c>
      <c r="F4650" s="6" t="n">
        <f aca="false">Sens!F4622</f>
        <v>91.2972164940844</v>
      </c>
      <c r="G4650" s="6" t="n">
        <f aca="false">Sens!G4622</f>
        <v>108.474719793879</v>
      </c>
      <c r="H4650" s="6" t="n">
        <f aca="false">Sens!H4622</f>
        <v>125.951292505701</v>
      </c>
      <c r="I4650" s="6" t="n">
        <f aca="false">Sens!I4622</f>
        <v>142.838165154212</v>
      </c>
      <c r="J4650" s="6" t="n">
        <f aca="false">Sens!J4622</f>
        <v>158.12717866615</v>
      </c>
      <c r="K4650" s="6" t="n">
        <f aca="false">Sens!K4622</f>
        <v>170.777352959442</v>
      </c>
    </row>
    <row r="4651" customFormat="false" ht="15" hidden="false" customHeight="false" outlineLevel="0" collapsed="false">
      <c r="A4651" s="0" t="s">
        <v>1036</v>
      </c>
      <c r="B4651" s="0" t="s">
        <v>98</v>
      </c>
      <c r="D4651" s="6" t="n">
        <f aca="false">Sens!D4629</f>
        <v>84.605</v>
      </c>
      <c r="E4651" s="6" t="n">
        <f aca="false">Sens!E4629</f>
        <v>100.299</v>
      </c>
      <c r="F4651" s="6" t="n">
        <f aca="false">Sens!F4629</f>
        <v>118.584003697747</v>
      </c>
      <c r="G4651" s="6" t="n">
        <f aca="false">Sens!G4629</f>
        <v>136.700726545688</v>
      </c>
      <c r="H4651" s="6" t="n">
        <f aca="false">Sens!H4629</f>
        <v>154.898624783666</v>
      </c>
      <c r="I4651" s="6" t="n">
        <f aca="false">Sens!I4629</f>
        <v>171.420510030657</v>
      </c>
      <c r="J4651" s="6" t="n">
        <f aca="false">Sens!J4629</f>
        <v>185.985722618572</v>
      </c>
      <c r="K4651" s="6" t="n">
        <f aca="false">Sens!K4629</f>
        <v>199.799723201872</v>
      </c>
    </row>
    <row r="4652" customFormat="false" ht="17.15" hidden="false" customHeight="false" outlineLevel="0" collapsed="false">
      <c r="A4652" s="0" t="s">
        <v>1057</v>
      </c>
      <c r="B4652" s="0" t="s">
        <v>98</v>
      </c>
      <c r="D4652" s="6" t="n">
        <f aca="false">Sens!D4627</f>
        <v>83.705</v>
      </c>
      <c r="E4652" s="6" t="n">
        <f aca="false">Sens!E4627</f>
        <v>95.049</v>
      </c>
      <c r="F4652" s="6" t="n">
        <f aca="false">Sens!F4627</f>
        <v>106.584003697747</v>
      </c>
      <c r="G4652" s="6" t="n">
        <f aca="false">Sens!G4627</f>
        <v>118.700726545688</v>
      </c>
      <c r="H4652" s="6" t="n">
        <f aca="false">Sens!H4627</f>
        <v>130.898624783666</v>
      </c>
      <c r="I4652" s="6" t="n">
        <f aca="false">Sens!I4627</f>
        <v>142.920510030657</v>
      </c>
      <c r="J4652" s="6" t="n">
        <f aca="false">Sens!J4627</f>
        <v>154.485722618572</v>
      </c>
      <c r="K4652" s="6" t="n">
        <f aca="false">Sens!K4627</f>
        <v>165.299723201872</v>
      </c>
    </row>
    <row r="4653" customFormat="false" ht="17.15" hidden="false" customHeight="false" outlineLevel="0" collapsed="false">
      <c r="A4653" s="0" t="s">
        <v>1058</v>
      </c>
      <c r="B4653" s="0" t="s">
        <v>98</v>
      </c>
      <c r="D4653" s="6" t="n">
        <f aca="false">Sens!D4626</f>
        <v>0.9</v>
      </c>
      <c r="E4653" s="6" t="n">
        <f aca="false">Sens!E4626</f>
        <v>5.25</v>
      </c>
      <c r="F4653" s="6" t="n">
        <f aca="false">Sens!F4626</f>
        <v>12</v>
      </c>
      <c r="G4653" s="6" t="n">
        <f aca="false">Sens!G4626</f>
        <v>18</v>
      </c>
      <c r="H4653" s="6" t="n">
        <f aca="false">Sens!H4626</f>
        <v>24</v>
      </c>
      <c r="I4653" s="6" t="n">
        <f aca="false">Sens!I4626</f>
        <v>28.5</v>
      </c>
      <c r="J4653" s="6" t="n">
        <f aca="false">Sens!J4626</f>
        <v>31.5</v>
      </c>
      <c r="K4653" s="6" t="n">
        <f aca="false">Sens!K4626</f>
        <v>34.5</v>
      </c>
    </row>
    <row r="4654" customFormat="false" ht="15" hidden="false" customHeight="false" outlineLevel="0" collapsed="false">
      <c r="A4654" s="0" t="s">
        <v>1037</v>
      </c>
      <c r="B4654" s="0" t="s">
        <v>98</v>
      </c>
      <c r="D4654" s="6" t="n">
        <f aca="false">Sens!D4630</f>
        <v>35.391</v>
      </c>
      <c r="E4654" s="6" t="n">
        <f aca="false">Sens!E4630</f>
        <v>37.285</v>
      </c>
      <c r="F4654" s="6" t="n">
        <f aca="false">Sens!F4630</f>
        <v>38.3851437782675</v>
      </c>
      <c r="G4654" s="6" t="n">
        <f aca="false">Sens!G4630</f>
        <v>40.0105353288615</v>
      </c>
      <c r="H4654" s="6" t="n">
        <f aca="false">Sens!H4630</f>
        <v>41.4812512033683</v>
      </c>
      <c r="I4654" s="6" t="n">
        <f aca="false">Sens!I4630</f>
        <v>42.7743107216329</v>
      </c>
      <c r="J4654" s="6" t="n">
        <f aca="false">Sens!J4630</f>
        <v>43.8687373064601</v>
      </c>
      <c r="K4654" s="6" t="n">
        <f aca="false">Sens!K4630</f>
        <v>44.7461120525893</v>
      </c>
    </row>
    <row r="4655" customFormat="false" ht="15" hidden="false" customHeight="false" outlineLevel="0" collapsed="false">
      <c r="A4655" s="0" t="s">
        <v>1039</v>
      </c>
      <c r="B4655" s="0" t="s">
        <v>98</v>
      </c>
      <c r="D4655" s="6" t="n">
        <f aca="false">Sens!D4632</f>
        <v>18.417</v>
      </c>
      <c r="E4655" s="6" t="n">
        <f aca="false">Sens!E4632</f>
        <v>20.345</v>
      </c>
      <c r="F4655" s="6" t="n">
        <f aca="false">Sens!F4632</f>
        <v>22.3161797133988</v>
      </c>
      <c r="G4655" s="6" t="n">
        <f aca="false">Sens!G4632</f>
        <v>24.3943499673233</v>
      </c>
      <c r="H4655" s="6" t="n">
        <f aca="false">Sens!H4632</f>
        <v>26.5250243109019</v>
      </c>
      <c r="I4655" s="6" t="n">
        <f aca="false">Sens!I4632</f>
        <v>28.6884573538181</v>
      </c>
      <c r="J4655" s="6" t="n">
        <f aca="false">Sens!J4632</f>
        <v>30.8624968052127</v>
      </c>
      <c r="K4655" s="6" t="n">
        <f aca="false">Sens!K4632</f>
        <v>33.0228715815776</v>
      </c>
    </row>
    <row r="4656" customFormat="false" ht="15" hidden="false" customHeight="false" outlineLevel="0" collapsed="false">
      <c r="A4656" s="0" t="s">
        <v>1040</v>
      </c>
      <c r="B4656" s="0" t="s">
        <v>98</v>
      </c>
      <c r="D4656" s="6" t="n">
        <f aca="false">Sens!D4634</f>
        <v>7.76</v>
      </c>
      <c r="E4656" s="6" t="n">
        <f aca="false">Sens!E4634</f>
        <v>8.26</v>
      </c>
      <c r="F4656" s="6" t="n">
        <f aca="false">Sens!F4634</f>
        <v>8.75372082474227</v>
      </c>
      <c r="G4656" s="6" t="n">
        <f aca="false">Sens!G4634</f>
        <v>9.33399324642364</v>
      </c>
      <c r="H4656" s="6" t="n">
        <f aca="false">Sens!H4634</f>
        <v>9.96139155535851</v>
      </c>
      <c r="I4656" s="6" t="n">
        <f aca="false">Sens!I4634</f>
        <v>10.6402039077391</v>
      </c>
      <c r="J4656" s="6" t="n">
        <f aca="false">Sens!J4634</f>
        <v>11.3751458271397</v>
      </c>
      <c r="K4656" s="6" t="n">
        <f aca="false">Sens!K4634</f>
        <v>12.1714060350394</v>
      </c>
    </row>
    <row r="4657" customFormat="false" ht="15" hidden="false" customHeight="false" outlineLevel="0" collapsed="false">
      <c r="A4657" s="0" t="s">
        <v>856</v>
      </c>
      <c r="B4657" s="0" t="s">
        <v>98</v>
      </c>
      <c r="D4657" s="6" t="n">
        <f aca="false">Sens!D4636</f>
        <v>218.783</v>
      </c>
      <c r="E4657" s="6" t="n">
        <f aca="false">Sens!E4636</f>
        <v>268.127</v>
      </c>
      <c r="F4657" s="6" t="n">
        <f aca="false">Sens!F4636</f>
        <v>334.748096014336</v>
      </c>
      <c r="G4657" s="6" t="n">
        <f aca="false">Sens!G4636</f>
        <v>410.20243494969</v>
      </c>
      <c r="H4657" s="6" t="n">
        <f aca="false">Sens!H4636</f>
        <v>488.000156394961</v>
      </c>
      <c r="I4657" s="6" t="n">
        <f aca="false">Sens!I4636</f>
        <v>558.533483909048</v>
      </c>
      <c r="J4657" s="6" t="n">
        <f aca="false">Sens!J4636</f>
        <v>616.628989133631</v>
      </c>
      <c r="K4657" s="6" t="n">
        <f aca="false">Sens!K4636</f>
        <v>663.520015208274</v>
      </c>
    </row>
    <row r="4658" customFormat="false" ht="15" hidden="false" customHeight="false" outlineLevel="0" collapsed="false">
      <c r="A4658" s="0" t="s">
        <v>1041</v>
      </c>
      <c r="B4658" s="0" t="s">
        <v>98</v>
      </c>
      <c r="D4658" s="6" t="n">
        <f aca="false">Sens!D4637</f>
        <v>22.171</v>
      </c>
      <c r="E4658" s="6" t="n">
        <f aca="false">Sens!E4637</f>
        <v>24.835</v>
      </c>
      <c r="F4658" s="6" t="n">
        <f aca="false">Sens!F4637</f>
        <v>27.5591895660247</v>
      </c>
      <c r="G4658" s="6" t="n">
        <f aca="false">Sens!G4637</f>
        <v>30.4098563144583</v>
      </c>
      <c r="H4658" s="6" t="n">
        <f aca="false">Sens!H4637</f>
        <v>33.3011792571777</v>
      </c>
      <c r="I4658" s="6" t="n">
        <f aca="false">Sens!I4637</f>
        <v>36.189023797112</v>
      </c>
      <c r="J4658" s="6" t="n">
        <f aca="false">Sens!J4637</f>
        <v>39.0247773769199</v>
      </c>
      <c r="K4658" s="6" t="n">
        <f aca="false">Sens!K4637</f>
        <v>41.7565117933043</v>
      </c>
    </row>
    <row r="4659" customFormat="false" ht="15" hidden="false" customHeight="false" outlineLevel="0" collapsed="false">
      <c r="A4659" s="0" t="s">
        <v>1042</v>
      </c>
      <c r="B4659" s="0" t="s">
        <v>98</v>
      </c>
      <c r="D4659" s="6" t="n">
        <f aca="false">Sens!D4639</f>
        <v>23.455</v>
      </c>
      <c r="E4659" s="6" t="n">
        <f aca="false">Sens!E4639</f>
        <v>21.79</v>
      </c>
      <c r="F4659" s="6" t="n">
        <f aca="false">Sens!F4639</f>
        <v>20.7520981041711</v>
      </c>
      <c r="G4659" s="6" t="n">
        <f aca="false">Sens!G4639</f>
        <v>19.9083593495882</v>
      </c>
      <c r="H4659" s="6" t="n">
        <f aca="false">Sens!H4639</f>
        <v>19.4008256265831</v>
      </c>
      <c r="I4659" s="6" t="n">
        <f aca="false">Sens!I4639</f>
        <v>19.200434522122</v>
      </c>
      <c r="J4659" s="6" t="n">
        <f aca="false">Sens!J4639</f>
        <v>19.2932782348507</v>
      </c>
      <c r="K4659" s="6" t="n">
        <f aca="false">Sens!K4639</f>
        <v>19.6791437995477</v>
      </c>
    </row>
    <row r="4660" customFormat="false" ht="15" hidden="false" customHeight="false" outlineLevel="0" collapsed="false">
      <c r="A4660" s="0" t="s">
        <v>1043</v>
      </c>
      <c r="B4660" s="0" t="s">
        <v>98</v>
      </c>
      <c r="D4660" s="6" t="n">
        <f aca="false">Sens!D4641</f>
        <v>17.315</v>
      </c>
      <c r="E4660" s="6" t="n">
        <f aca="false">Sens!E4641</f>
        <v>17.087</v>
      </c>
      <c r="F4660" s="6" t="n">
        <f aca="false">Sens!F4641</f>
        <v>15.9912273250553</v>
      </c>
      <c r="G4660" s="6" t="n">
        <f aca="false">Sens!G4641</f>
        <v>15.9574562664827</v>
      </c>
      <c r="H4660" s="6" t="n">
        <f aca="false">Sens!H4641</f>
        <v>16.0119687434196</v>
      </c>
      <c r="I4660" s="6" t="n">
        <f aca="false">Sens!I4641</f>
        <v>16.1551810001948</v>
      </c>
      <c r="J4660" s="6" t="n">
        <f aca="false">Sens!J4641</f>
        <v>16.3889793892005</v>
      </c>
      <c r="K4660" s="6" t="n">
        <f aca="false">Sens!K4641</f>
        <v>16.7167589769845</v>
      </c>
    </row>
    <row r="4661" customFormat="false" ht="15" hidden="false" customHeight="false" outlineLevel="0" collapsed="false">
      <c r="A4661" s="0" t="s">
        <v>870</v>
      </c>
      <c r="B4661" s="0" t="s">
        <v>98</v>
      </c>
      <c r="D4661" s="6" t="n">
        <f aca="false">Sens!D4643</f>
        <v>62.941</v>
      </c>
      <c r="E4661" s="6" t="n">
        <f aca="false">Sens!E4643</f>
        <v>63.712</v>
      </c>
      <c r="F4661" s="6" t="n">
        <f aca="false">Sens!F4643</f>
        <v>64.3025149952511</v>
      </c>
      <c r="G4661" s="6" t="n">
        <f aca="false">Sens!G4643</f>
        <v>66.2756719305292</v>
      </c>
      <c r="H4661" s="6" t="n">
        <f aca="false">Sens!H4643</f>
        <v>68.7139736271804</v>
      </c>
      <c r="I4661" s="6" t="n">
        <f aca="false">Sens!I4643</f>
        <v>71.5446393194289</v>
      </c>
      <c r="J4661" s="6" t="n">
        <f aca="false">Sens!J4643</f>
        <v>74.707035000971</v>
      </c>
      <c r="K4661" s="6" t="n">
        <f aca="false">Sens!K4643</f>
        <v>78.1524145698365</v>
      </c>
    </row>
    <row r="4662" customFormat="false" ht="15" hidden="false" customHeight="false" outlineLevel="0" collapsed="false">
      <c r="A4662" s="1" t="s">
        <v>1059</v>
      </c>
      <c r="B4662" s="0" t="s">
        <v>98</v>
      </c>
      <c r="D4662" s="6" t="n">
        <f aca="false">Sens!D4644</f>
        <v>281.724</v>
      </c>
      <c r="E4662" s="6" t="n">
        <f aca="false">Sens!E4644</f>
        <v>331.839</v>
      </c>
      <c r="F4662" s="6" t="n">
        <f aca="false">Sens!F4644</f>
        <v>399.050611009588</v>
      </c>
      <c r="G4662" s="6" t="n">
        <f aca="false">Sens!G4644</f>
        <v>476.478106880219</v>
      </c>
      <c r="H4662" s="6" t="n">
        <f aca="false">Sens!H4644</f>
        <v>556.714130022142</v>
      </c>
      <c r="I4662" s="6" t="n">
        <f aca="false">Sens!I4644</f>
        <v>630.078123228477</v>
      </c>
      <c r="J4662" s="6" t="n">
        <f aca="false">Sens!J4644</f>
        <v>691.336024134602</v>
      </c>
      <c r="K4662" s="6" t="n">
        <f aca="false">Sens!K4644</f>
        <v>741.67242977811</v>
      </c>
    </row>
    <row r="4663" customFormat="false" ht="15" hidden="false" customHeight="false" outlineLevel="0" collapsed="false">
      <c r="A4663" s="1" t="s">
        <v>1060</v>
      </c>
      <c r="B4663" s="0" t="s">
        <v>168</v>
      </c>
      <c r="E4663" s="7" t="n">
        <f aca="false">Sens!E4662/Sens!D4662-1</f>
        <v>0.177886867998467</v>
      </c>
      <c r="F4663" s="7" t="n">
        <f aca="false">Sens!F4662/Sens!E4662-1</f>
        <v>0.202542832547071</v>
      </c>
      <c r="G4663" s="7" t="n">
        <f aca="false">Sens!G4662/Sens!F4662-1</f>
        <v>0.194029262791359</v>
      </c>
      <c r="H4663" s="7" t="n">
        <f aca="false">Sens!H4662/Sens!G4662-1</f>
        <v>0.1683939345446</v>
      </c>
      <c r="I4663" s="7" t="n">
        <f aca="false">Sens!I4662/Sens!H4662-1</f>
        <v>0.131780368505138</v>
      </c>
      <c r="J4663" s="7" t="n">
        <f aca="false">Sens!J4662/Sens!I4662-1</f>
        <v>0.0972227072291352</v>
      </c>
      <c r="K4663" s="7" t="n">
        <f aca="false">Sens!K4662/Sens!J4662-1</f>
        <v>0.0728103322932123</v>
      </c>
    </row>
    <row r="4664" customFormat="false" ht="17.15" hidden="false" customHeight="false" outlineLevel="0" collapsed="false">
      <c r="A4664" s="26" t="s">
        <v>1061</v>
      </c>
      <c r="B4664" s="31" t="s">
        <v>98</v>
      </c>
      <c r="C4664" s="31"/>
      <c r="D4664" s="27" t="n">
        <f aca="false">(Sens!D4657+Sens!D4661-Sens!D4662)+(Sens!D4649+Sens!D4650-Sens!D4648)+(Sens!D4652+Sens!D4653-Sens!D4651)+(Sens!D4662-Q!L18)</f>
        <v>0</v>
      </c>
      <c r="E4664" s="27" t="n">
        <f aca="false">(Sens!E4657+Sens!E4661-Sens!E4662)+(Sens!E4649+Sens!E4650-Sens!E4648)+(Sens!E4652+Sens!E4653-Sens!E4651)+(Sens!E4662-Q!M18)</f>
        <v>0</v>
      </c>
      <c r="F4664" s="27" t="n">
        <f aca="false">(Sens!F4657+Sens!F4661-Sens!F4662)+(Sens!F4649+Sens!F4650-Sens!F4648)+(Sens!F4652+Sens!F4653-Sens!F4651)</f>
        <v>0</v>
      </c>
      <c r="G4664" s="27" t="n">
        <f aca="false">(Sens!G4657+Sens!G4661-Sens!G4662)+(Sens!G4649+Sens!G4650-Sens!G4648)+(Sens!G4652+Sens!G4653-Sens!G4651)</f>
        <v>0</v>
      </c>
      <c r="H4664" s="27" t="n">
        <f aca="false">(Sens!H4657+Sens!H4661-Sens!H4662)+(Sens!H4649+Sens!H4650-Sens!H4648)+(Sens!H4652+Sens!H4653-Sens!H4651)</f>
        <v>0</v>
      </c>
      <c r="I4664" s="27" t="n">
        <f aca="false">(Sens!I4657+Sens!I4661-Sens!I4662)+(Sens!I4649+Sens!I4650-Sens!I4648)+(Sens!I4652+Sens!I4653-Sens!I4651)</f>
        <v>0</v>
      </c>
      <c r="J4664" s="27" t="n">
        <f aca="false">(Sens!J4657+Sens!J4661-Sens!J4662)+(Sens!J4649+Sens!J4650-Sens!J4648)+(Sens!J4652+Sens!J4653-Sens!J4651)</f>
        <v>0</v>
      </c>
      <c r="K4664" s="27" t="n">
        <f aca="false">(Sens!K4657+Sens!K4661-Sens!K4662)+(Sens!K4649+Sens!K4650-Sens!K4648)+(Sens!K4652+Sens!K4653-Sens!K4651)</f>
        <v>0</v>
      </c>
    </row>
    <row r="4665" customFormat="false" ht="17.15" hidden="false" customHeight="false" outlineLevel="0" collapsed="false">
      <c r="A4665" s="0" t="s">
        <v>1062</v>
      </c>
      <c r="B4665" s="0" t="s">
        <v>168</v>
      </c>
      <c r="E4665" s="7" t="n">
        <f aca="false">(Q!M21+Sens!E4601+Sens!E4602+Sens!E4603+Sens!E4617-Sens!E4599)/(Q!M5-Sens!E4599)</f>
        <v>0.583491251973566</v>
      </c>
      <c r="F4665" s="7" t="n">
        <f aca="false">Sens!$E$4665+dm_seg</f>
        <v>0.583491251973566</v>
      </c>
      <c r="G4665" s="7" t="n">
        <f aca="false">Sens!$E$4665+dm_seg</f>
        <v>0.583491251973566</v>
      </c>
      <c r="H4665" s="7" t="n">
        <f aca="false">Sens!$E$4665+dm_seg</f>
        <v>0.583491251973566</v>
      </c>
      <c r="I4665" s="7" t="n">
        <f aca="false">Sens!$E$4665+dm_seg</f>
        <v>0.583491251973566</v>
      </c>
      <c r="J4665" s="7" t="n">
        <f aca="false">Sens!$E$4665+dm_seg</f>
        <v>0.583491251973566</v>
      </c>
      <c r="K4665" s="7" t="n">
        <f aca="false">Sens!$E$4665+dm_seg</f>
        <v>0.583491251973566</v>
      </c>
      <c r="L4665" s="12" t="s">
        <v>1063</v>
      </c>
    </row>
    <row r="4666" customFormat="false" ht="17.15" hidden="false" customHeight="false" outlineLevel="0" collapsed="false">
      <c r="A4666" s="0" t="s">
        <v>884</v>
      </c>
      <c r="B4666" s="0" t="s">
        <v>98</v>
      </c>
      <c r="D4666" s="6" t="n">
        <f aca="false">Q!L21</f>
        <v>110.814</v>
      </c>
      <c r="E4666" s="6" t="n">
        <f aca="false">Q!M21</f>
        <v>136.365</v>
      </c>
      <c r="F4666" s="6" t="n">
        <f aca="false">Q!$I$21+(Sens!F4665*(Sens!F4636-Sens!F4599)+Sens!F4599-(Sens!F4601+Sens!F4602+Sens!F4603)-Sens!F4617-Sens!F4700)*(Sens!F4636-Q!$I$5)/Sens!F4636</f>
        <v>159.845220963334</v>
      </c>
      <c r="G4666" s="6" t="n">
        <f aca="false">(Sens!G4665*(Sens!G4636-Sens!G4599)+Sens!G4599-(Sens!G4601+Sens!G4602+Sens!G4603)-Sens!G4617-Sens!G4700)</f>
        <v>170.253413476627</v>
      </c>
      <c r="H4666" s="6" t="n">
        <f aca="false">(Sens!H4665*(Sens!H4636-Sens!H4599)+Sens!H4599-(Sens!H4601+Sens!H4602+Sens!H4603)-Sens!H4617-Sens!H4700)</f>
        <v>184.807439415122</v>
      </c>
      <c r="I4666" s="6" t="n">
        <f aca="false">(Sens!I4665*(Sens!I4636-Sens!I4599)+Sens!I4599-(Sens!I4601+Sens!I4602+Sens!I4603)-Sens!I4617-Sens!I4700)</f>
        <v>198.256485230382</v>
      </c>
      <c r="J4666" s="6" t="n">
        <f aca="false">(Sens!J4665*(Sens!J4636-Sens!J4599)+Sens!J4599-(Sens!J4601+Sens!J4602+Sens!J4603)-Sens!J4617-Sens!J4700)</f>
        <v>212.395250786996</v>
      </c>
      <c r="K4666" s="6" t="n">
        <f aca="false">(Sens!K4665*(Sens!K4636-Sens!K4599)+Sens!K4599-(Sens!K4601+Sens!K4602+Sens!K4603)-Sens!K4617-Sens!K4700)</f>
        <v>228.81546109924</v>
      </c>
      <c r="L4666" s="1" t="s">
        <v>1064</v>
      </c>
    </row>
    <row r="4667" customFormat="false" ht="17.15" hidden="false" customHeight="false" outlineLevel="0" collapsed="false">
      <c r="A4667" s="0" t="s">
        <v>1065</v>
      </c>
      <c r="B4667" s="0" t="s">
        <v>168</v>
      </c>
      <c r="E4667" s="7" t="n">
        <f aca="false">Q!M22/Q!M12</f>
        <v>0.296207935710698</v>
      </c>
      <c r="F4667" s="7" t="n">
        <f aca="false">Sens!$E$4667+dm_seg</f>
        <v>0.296207935710698</v>
      </c>
      <c r="G4667" s="7" t="n">
        <f aca="false">Sens!$E$4667+dm_seg</f>
        <v>0.296207935710698</v>
      </c>
      <c r="H4667" s="7" t="n">
        <f aca="false">Sens!$E$4667+dm_seg</f>
        <v>0.296207935710698</v>
      </c>
      <c r="I4667" s="7" t="n">
        <f aca="false">Sens!$E$4667+dm_seg</f>
        <v>0.296207935710698</v>
      </c>
      <c r="J4667" s="7" t="n">
        <f aca="false">Sens!$E$4667+dm_seg</f>
        <v>0.296207935710698</v>
      </c>
      <c r="K4667" s="7" t="n">
        <f aca="false">Sens!$E$4667+dm_seg</f>
        <v>0.296207935710698</v>
      </c>
      <c r="L4667" s="12" t="s">
        <v>1066</v>
      </c>
    </row>
    <row r="4668" customFormat="false" ht="17.15" hidden="false" customHeight="false" outlineLevel="0" collapsed="false">
      <c r="A4668" s="0" t="s">
        <v>886</v>
      </c>
      <c r="B4668" s="0" t="s">
        <v>98</v>
      </c>
      <c r="D4668" s="6" t="n">
        <f aca="false">Q!L22</f>
        <v>17.714</v>
      </c>
      <c r="E4668" s="6" t="n">
        <f aca="false">Q!M22</f>
        <v>18.872</v>
      </c>
      <c r="F4668" s="6" t="n">
        <f aca="false">Q!$I$22+(Sens!F4643-Q!$I$12)*Sens!F4667</f>
        <v>19.8174315512051</v>
      </c>
      <c r="G4668" s="6" t="n">
        <f aca="false">Sens!G4643*Sens!G4667</f>
        <v>19.6313799703815</v>
      </c>
      <c r="H4668" s="6" t="n">
        <f aca="false">Sens!H4643*Sens!H4667</f>
        <v>20.3536242825865</v>
      </c>
      <c r="I4668" s="6" t="n">
        <f aca="false">Sens!I4643*Sens!I4667</f>
        <v>21.1920899239745</v>
      </c>
      <c r="J4668" s="6" t="n">
        <f aca="false">Sens!J4643*Sens!J4667</f>
        <v>22.1288166207045</v>
      </c>
      <c r="K4668" s="6" t="n">
        <f aca="false">Sens!K4643*Sens!K4667</f>
        <v>23.1493653905379</v>
      </c>
      <c r="L4668" s="12" t="s">
        <v>1067</v>
      </c>
    </row>
    <row r="4669" customFormat="false" ht="15" hidden="false" customHeight="false" outlineLevel="0" collapsed="false">
      <c r="A4669" s="1" t="s">
        <v>1068</v>
      </c>
      <c r="B4669" s="0" t="s">
        <v>98</v>
      </c>
      <c r="D4669" s="6" t="n">
        <f aca="false">Sens!D4666+Sens!D4668</f>
        <v>128.528</v>
      </c>
      <c r="E4669" s="6" t="n">
        <f aca="false">Sens!E4666+Sens!E4668</f>
        <v>155.237</v>
      </c>
      <c r="F4669" s="6" t="n">
        <f aca="false">Sens!F4666+Sens!F4668</f>
        <v>179.66265251454</v>
      </c>
      <c r="G4669" s="6" t="n">
        <f aca="false">Sens!G4666+Sens!G4668</f>
        <v>189.884793447009</v>
      </c>
      <c r="H4669" s="6" t="n">
        <f aca="false">Sens!H4666+Sens!H4668</f>
        <v>205.161063697709</v>
      </c>
      <c r="I4669" s="6" t="n">
        <f aca="false">Sens!I4666+Sens!I4668</f>
        <v>219.448575154356</v>
      </c>
      <c r="J4669" s="6" t="n">
        <f aca="false">Sens!J4666+Sens!J4668</f>
        <v>234.5240674077</v>
      </c>
      <c r="K4669" s="6" t="n">
        <f aca="false">Sens!K4666+Sens!K4668</f>
        <v>251.964826489778</v>
      </c>
    </row>
    <row r="4670" customFormat="false" ht="15" hidden="false" customHeight="false" outlineLevel="0" collapsed="false">
      <c r="A4670" s="26" t="s">
        <v>1069</v>
      </c>
      <c r="B4670" s="31" t="s">
        <v>98</v>
      </c>
      <c r="C4670" s="31"/>
      <c r="D4670" s="27" t="n">
        <f aca="false">Sens!D4669-Q!L23</f>
        <v>0</v>
      </c>
      <c r="E4670" s="27" t="n">
        <f aca="false">Sens!E4669-Q!M23</f>
        <v>0</v>
      </c>
      <c r="F4670" s="31"/>
      <c r="G4670" s="31"/>
      <c r="H4670" s="31"/>
      <c r="I4670" s="31"/>
      <c r="J4670" s="31"/>
      <c r="K4670" s="31"/>
    </row>
    <row r="4671" customFormat="false" ht="15" hidden="false" customHeight="false" outlineLevel="0" collapsed="false">
      <c r="A4671" s="1" t="s">
        <v>1070</v>
      </c>
      <c r="B4671" s="0" t="s">
        <v>168</v>
      </c>
      <c r="D4671" s="7" t="n">
        <f aca="false">Sens!D4669/Sens!D4662</f>
        <v>0.456219562408598</v>
      </c>
      <c r="E4671" s="7" t="n">
        <f aca="false">Sens!E4669/Sens!E4662</f>
        <v>0.467808184089272</v>
      </c>
      <c r="F4671" s="7" t="n">
        <f aca="false">Sens!F4669/Sens!F4662</f>
        <v>0.450225228474147</v>
      </c>
      <c r="G4671" s="7" t="n">
        <f aca="false">Sens!G4669/Sens!G4662</f>
        <v>0.398517352014966</v>
      </c>
      <c r="H4671" s="7" t="n">
        <f aca="false">Sens!H4669/Sens!H4662</f>
        <v>0.36852138760974</v>
      </c>
      <c r="I4671" s="7" t="n">
        <f aca="false">Sens!I4669/Sens!I4662</f>
        <v>0.348287882191365</v>
      </c>
      <c r="J4671" s="7" t="n">
        <f aca="false">Sens!J4669/Sens!J4662</f>
        <v>0.339233106941406</v>
      </c>
      <c r="K4671" s="7" t="n">
        <f aca="false">Sens!K4669/Sens!K4662</f>
        <v>0.339725216110783</v>
      </c>
    </row>
    <row r="4672" customFormat="false" ht="17.15" hidden="false" customHeight="false" outlineLevel="0" collapsed="false">
      <c r="A4672" s="1" t="s">
        <v>1071</v>
      </c>
      <c r="B4672" s="0" t="s">
        <v>98</v>
      </c>
      <c r="F4672" s="6" t="n">
        <f aca="false">Sens!F4687</f>
        <v>9.65523893923682</v>
      </c>
      <c r="G4672" s="6" t="n">
        <f aca="false">Sens!G4687</f>
        <v>25.115531357015</v>
      </c>
      <c r="H4672" s="6" t="n">
        <f aca="false">Sens!H4687</f>
        <v>42.4459312407815</v>
      </c>
      <c r="I4672" s="6" t="n">
        <f aca="false">Sens!I4687</f>
        <v>58.0888806379645</v>
      </c>
      <c r="J4672" s="6" t="n">
        <f aca="false">Sens!J4687</f>
        <v>69.5849435068506</v>
      </c>
      <c r="K4672" s="6" t="n">
        <f aca="false">Sens!K4687</f>
        <v>76.5466264177592</v>
      </c>
      <c r="L4672" s="1" t="s">
        <v>1072</v>
      </c>
    </row>
    <row r="4673" customFormat="false" ht="17.15" hidden="false" customHeight="false" outlineLevel="0" collapsed="false">
      <c r="A4673" s="1" t="s">
        <v>1073</v>
      </c>
      <c r="B4673" s="0" t="s">
        <v>98</v>
      </c>
      <c r="D4673" s="6" t="n">
        <f aca="false">Sens!D4669</f>
        <v>128.528</v>
      </c>
      <c r="E4673" s="6" t="n">
        <f aca="false">Sens!E4669</f>
        <v>155.237</v>
      </c>
      <c r="F4673" s="6" t="n">
        <f aca="false">Sens!F4669+Sens!F4672</f>
        <v>189.317891453776</v>
      </c>
      <c r="G4673" s="6" t="n">
        <f aca="false">Sens!G4669+Sens!G4672</f>
        <v>215.000324804024</v>
      </c>
      <c r="H4673" s="6" t="n">
        <f aca="false">Sens!H4669+Sens!H4672</f>
        <v>247.60699493849</v>
      </c>
      <c r="I4673" s="6" t="n">
        <f aca="false">Sens!I4669+Sens!I4672</f>
        <v>277.537455792321</v>
      </c>
      <c r="J4673" s="6" t="n">
        <f aca="false">Sens!J4669+Sens!J4672</f>
        <v>304.109010914551</v>
      </c>
      <c r="K4673" s="6" t="n">
        <f aca="false">Sens!K4669+Sens!K4672</f>
        <v>328.511452907537</v>
      </c>
    </row>
    <row r="4674" customFormat="false" ht="17.15" hidden="false" customHeight="false" outlineLevel="0" collapsed="false">
      <c r="A4674" s="1" t="s">
        <v>1074</v>
      </c>
      <c r="B4674" s="0" t="s">
        <v>98</v>
      </c>
      <c r="E4674" s="6" t="n">
        <f aca="false">Sens!E4617</f>
        <v>19.3175216725</v>
      </c>
      <c r="F4674" s="6" t="n">
        <f aca="false">Sens!F4617</f>
        <v>40.993411475437</v>
      </c>
      <c r="G4674" s="6" t="n">
        <f aca="false">Sens!G4617</f>
        <v>72.0472209870037</v>
      </c>
      <c r="H4674" s="6" t="n">
        <f aca="false">Sens!H4617</f>
        <v>106.403225017643</v>
      </c>
      <c r="I4674" s="6" t="n">
        <f aca="false">Sens!I4617</f>
        <v>137.266077175767</v>
      </c>
      <c r="J4674" s="6" t="n">
        <f aca="false">Sens!J4617</f>
        <v>159.73624944562</v>
      </c>
      <c r="K4674" s="6" t="n">
        <f aca="false">Sens!K4617</f>
        <v>173.177911789639</v>
      </c>
    </row>
    <row r="4675" customFormat="false" ht="17.15" hidden="false" customHeight="false" outlineLevel="0" collapsed="false">
      <c r="A4675" s="1" t="s">
        <v>1075</v>
      </c>
      <c r="B4675" s="0" t="s">
        <v>98</v>
      </c>
      <c r="E4675" s="6" t="n">
        <f aca="false">Sens!E4699</f>
        <v>19.2164783275</v>
      </c>
      <c r="F4675" s="6" t="n">
        <f aca="false">Sens!F4699</f>
        <v>20.869440090538</v>
      </c>
      <c r="G4675" s="6" t="n">
        <f aca="false">Sens!G4699</f>
        <v>22.918536826909</v>
      </c>
      <c r="H4675" s="6" t="n">
        <f aca="false">Sens!H4699</f>
        <v>25.3327376410743</v>
      </c>
      <c r="I4675" s="6" t="n">
        <f aca="false">Sens!I4699</f>
        <v>28.0482032450526</v>
      </c>
      <c r="J4675" s="6" t="n">
        <f aca="false">Sens!J4699</f>
        <v>30.9839543997182</v>
      </c>
      <c r="K4675" s="6" t="n">
        <f aca="false">Sens!K4699</f>
        <v>34.0578066658183</v>
      </c>
    </row>
    <row r="4676" customFormat="false" ht="17.15" hidden="false" customHeight="false" outlineLevel="0" collapsed="false">
      <c r="A4676" s="1" t="s">
        <v>1076</v>
      </c>
      <c r="B4676" s="0" t="s">
        <v>98</v>
      </c>
      <c r="D4676" s="6" t="n">
        <f aca="false">Q!L27</f>
        <v>-4.901</v>
      </c>
      <c r="E4676" s="6" t="n">
        <f aca="false">Q!M27</f>
        <v>10.697</v>
      </c>
      <c r="F4676" s="6" t="n">
        <f aca="false">Q!$I$27+oie_f*(q_per_yr-1)/q_per_yr</f>
        <v>-0.862</v>
      </c>
      <c r="G4676" s="6" t="n">
        <f aca="false">oie_f</f>
        <v>-1.2</v>
      </c>
      <c r="H4676" s="6" t="n">
        <f aca="false">oie_f</f>
        <v>-1.2</v>
      </c>
      <c r="I4676" s="6" t="n">
        <f aca="false">oie_f</f>
        <v>-1.2</v>
      </c>
      <c r="J4676" s="6" t="n">
        <f aca="false">oie_f</f>
        <v>-1.2</v>
      </c>
      <c r="K4676" s="6" t="n">
        <f aca="false">oie_f</f>
        <v>-1.2</v>
      </c>
      <c r="L4676" s="12" t="s">
        <v>1077</v>
      </c>
    </row>
    <row r="4677" customFormat="false" ht="15" hidden="false" customHeight="false" outlineLevel="0" collapsed="false">
      <c r="A4677" s="1" t="s">
        <v>1078</v>
      </c>
      <c r="B4677" s="0" t="s">
        <v>98</v>
      </c>
      <c r="D4677" s="6" t="n">
        <f aca="false">Sens!D4669+Sens!D4676</f>
        <v>123.627</v>
      </c>
      <c r="E4677" s="6" t="n">
        <f aca="false">Sens!E4669+Sens!E4676</f>
        <v>165.934</v>
      </c>
      <c r="F4677" s="6" t="n">
        <f aca="false">Sens!F4669+Sens!F4676</f>
        <v>178.80065251454</v>
      </c>
      <c r="G4677" s="6" t="n">
        <f aca="false">Sens!G4669+Sens!G4676</f>
        <v>188.684793447009</v>
      </c>
      <c r="H4677" s="6" t="n">
        <f aca="false">Sens!H4669+Sens!H4676</f>
        <v>203.961063697709</v>
      </c>
      <c r="I4677" s="6" t="n">
        <f aca="false">Sens!I4669+Sens!I4676</f>
        <v>218.248575154356</v>
      </c>
      <c r="J4677" s="6" t="n">
        <f aca="false">Sens!J4669+Sens!J4676</f>
        <v>233.3240674077</v>
      </c>
      <c r="K4677" s="6" t="n">
        <f aca="false">Sens!K4669+Sens!K4676</f>
        <v>250.764826489778</v>
      </c>
    </row>
    <row r="4678" customFormat="false" ht="15" hidden="false" customHeight="false" outlineLevel="0" collapsed="false">
      <c r="A4678" s="1" t="s">
        <v>1079</v>
      </c>
      <c r="B4678" s="0" t="s">
        <v>98</v>
      </c>
      <c r="D4678" s="6" t="n">
        <f aca="false">Q!L29</f>
        <v>21.795</v>
      </c>
      <c r="E4678" s="6" t="n">
        <f aca="false">Q!M29</f>
        <v>32.185</v>
      </c>
      <c r="F4678" s="6" t="n">
        <f aca="false">Q!$I$29+(Sens!F4677-Q!$I$28)*tax_f</f>
        <v>35.8935305029079</v>
      </c>
      <c r="G4678" s="6" t="n">
        <f aca="false">Sens!G4677*tax_f</f>
        <v>37.7369586894018</v>
      </c>
      <c r="H4678" s="6" t="n">
        <f aca="false">Sens!H4677*tax_f</f>
        <v>40.7922127395418</v>
      </c>
      <c r="I4678" s="6" t="n">
        <f aca="false">Sens!I4677*tax_f</f>
        <v>43.6497150308712</v>
      </c>
      <c r="J4678" s="6" t="n">
        <f aca="false">Sens!J4677*tax_f</f>
        <v>46.66481348154</v>
      </c>
      <c r="K4678" s="6" t="n">
        <f aca="false">Sens!K4677*tax_f</f>
        <v>50.1529652979556</v>
      </c>
    </row>
    <row r="4679" customFormat="false" ht="15" hidden="false" customHeight="false" outlineLevel="0" collapsed="false">
      <c r="A4679" s="1" t="s">
        <v>1080</v>
      </c>
      <c r="B4679" s="0" t="s">
        <v>98</v>
      </c>
      <c r="D4679" s="6" t="n">
        <f aca="false">Sens!D4677-Sens!D4678</f>
        <v>101.832</v>
      </c>
      <c r="E4679" s="6" t="n">
        <f aca="false">Sens!E4677-Sens!E4678</f>
        <v>133.749</v>
      </c>
      <c r="F4679" s="6" t="n">
        <f aca="false">Sens!F4677-Sens!F4678</f>
        <v>142.907122011632</v>
      </c>
      <c r="G4679" s="6" t="n">
        <f aca="false">Sens!G4677-Sens!G4678</f>
        <v>150.947834757607</v>
      </c>
      <c r="H4679" s="6" t="n">
        <f aca="false">Sens!H4677-Sens!H4678</f>
        <v>163.168850958167</v>
      </c>
      <c r="I4679" s="6" t="n">
        <f aca="false">Sens!I4677-Sens!I4678</f>
        <v>174.598860123485</v>
      </c>
      <c r="J4679" s="6" t="n">
        <f aca="false">Sens!J4677-Sens!J4678</f>
        <v>186.65925392616</v>
      </c>
      <c r="K4679" s="6" t="n">
        <f aca="false">Sens!K4677-Sens!K4678</f>
        <v>200.611861191822</v>
      </c>
    </row>
    <row r="4680" customFormat="false" ht="17.15" hidden="false" customHeight="false" outlineLevel="0" collapsed="false">
      <c r="A4680" s="1" t="s">
        <v>1081</v>
      </c>
      <c r="B4680" s="1" t="s">
        <v>81</v>
      </c>
      <c r="D4680" s="15" t="n">
        <f aca="false">Q!L31</f>
        <v>7.465</v>
      </c>
      <c r="E4680" s="15" t="n">
        <f aca="false">Q!M31</f>
        <v>7.453</v>
      </c>
      <c r="F4680" s="15" t="n">
        <f aca="false">Sens!F4724</f>
        <v>7.47152633880227</v>
      </c>
      <c r="G4680" s="15" t="n">
        <f aca="false">Sens!G4724</f>
        <v>7.51455267760454</v>
      </c>
      <c r="H4680" s="15" t="n">
        <f aca="false">Sens!H4724</f>
        <v>7.55730701152536</v>
      </c>
      <c r="I4680" s="15" t="n">
        <f aca="false">Sens!I4724</f>
        <v>7.58404277047285</v>
      </c>
      <c r="J4680" s="15" t="n">
        <f aca="false">Sens!J4724</f>
        <v>7.59819218163532</v>
      </c>
      <c r="K4680" s="15" t="n">
        <f aca="false">Sens!K4724</f>
        <v>7.61462682160057</v>
      </c>
    </row>
    <row r="4681" customFormat="false" ht="17.15" hidden="false" customHeight="false" outlineLevel="0" collapsed="false">
      <c r="A4681" s="0" t="s">
        <v>1082</v>
      </c>
      <c r="B4681" s="0" t="s">
        <v>75</v>
      </c>
      <c r="D4681" s="8" t="n">
        <f aca="false">Sens!D4679/Sens!D4680</f>
        <v>13.641259209645</v>
      </c>
      <c r="E4681" s="8" t="n">
        <f aca="false">Sens!E4679/Sens!E4680</f>
        <v>17.9456594659869</v>
      </c>
      <c r="F4681" s="8" t="n">
        <f aca="false">Sens!F4679/Sens!F4680</f>
        <v>19.1268979765841</v>
      </c>
      <c r="G4681" s="8" t="n">
        <f aca="false">Sens!G4679/Sens!G4680</f>
        <v>20.0874012377974</v>
      </c>
      <c r="H4681" s="8" t="n">
        <f aca="false">Sens!H4679/Sens!H4680</f>
        <v>21.5908723450463</v>
      </c>
      <c r="I4681" s="8" t="n">
        <f aca="false">Sens!I4679/Sens!I4680</f>
        <v>23.0218717651824</v>
      </c>
      <c r="J4681" s="8" t="n">
        <f aca="false">Sens!J4679/Sens!J4680</f>
        <v>24.5662717478128</v>
      </c>
      <c r="K4681" s="8" t="n">
        <f aca="false">Sens!K4679/Sens!K4680</f>
        <v>26.3455932761856</v>
      </c>
      <c r="L4681" s="1" t="s">
        <v>1083</v>
      </c>
    </row>
    <row r="4682" customFormat="false" ht="17.15" hidden="false" customHeight="false" outlineLevel="0" collapsed="false">
      <c r="A4682" s="1" t="s">
        <v>1084</v>
      </c>
      <c r="B4682" s="0" t="s">
        <v>98</v>
      </c>
      <c r="D4682" s="6" t="n">
        <f aca="false">Sens!D4679</f>
        <v>101.832</v>
      </c>
      <c r="E4682" s="6" t="n">
        <f aca="false">Sens!E4679</f>
        <v>133.749</v>
      </c>
      <c r="F4682" s="6" t="n">
        <f aca="false">Sens!F4679+Sens!F4672*(1-tax_f)</f>
        <v>150.631313163021</v>
      </c>
      <c r="G4682" s="6" t="n">
        <f aca="false">Sens!G4679+Sens!G4672*(1-tax_f)</f>
        <v>171.040259843219</v>
      </c>
      <c r="H4682" s="6" t="n">
        <f aca="false">Sens!H4679+Sens!H4672*(1-tax_f)</f>
        <v>197.125595950792</v>
      </c>
      <c r="I4682" s="6" t="n">
        <f aca="false">Sens!I4679+Sens!I4672*(1-tax_f)</f>
        <v>221.069964633857</v>
      </c>
      <c r="J4682" s="6" t="n">
        <f aca="false">Sens!J4679+Sens!J4672*(1-tax_f)</f>
        <v>242.327208731641</v>
      </c>
      <c r="K4682" s="6" t="n">
        <f aca="false">Sens!K4679+Sens!K4672*(1-tax_f)</f>
        <v>261.84916232603</v>
      </c>
    </row>
    <row r="4683" customFormat="false" ht="17.15" hidden="false" customHeight="false" outlineLevel="0" collapsed="false">
      <c r="A4683" s="0" t="s">
        <v>1085</v>
      </c>
      <c r="B4683" s="0" t="s">
        <v>75</v>
      </c>
      <c r="D4683" s="8" t="n">
        <f aca="false">Sens!D4682/Sens!D4680</f>
        <v>13.641259209645</v>
      </c>
      <c r="E4683" s="8" t="n">
        <f aca="false">Sens!E4682/Sens!E4680</f>
        <v>17.9456594659869</v>
      </c>
      <c r="F4683" s="8" t="n">
        <f aca="false">Sens!F4682/Sens!F4680</f>
        <v>20.1607150042073</v>
      </c>
      <c r="G4683" s="8" t="n">
        <f aca="false">Sens!G4682/Sens!G4680</f>
        <v>22.7612031189783</v>
      </c>
      <c r="H4683" s="8" t="n">
        <f aca="false">Sens!H4682/Sens!H4680</f>
        <v>26.0841058395754</v>
      </c>
      <c r="I4683" s="8" t="n">
        <f aca="false">Sens!I4682/Sens!I4680</f>
        <v>29.1493562634633</v>
      </c>
      <c r="J4683" s="8" t="n">
        <f aca="false">Sens!J4682/Sens!J4680</f>
        <v>31.8927453976935</v>
      </c>
      <c r="K4683" s="8" t="n">
        <f aca="false">Sens!K4682/Sens!K4680</f>
        <v>34.3876552929996</v>
      </c>
      <c r="L4683" s="1" t="s">
        <v>1086</v>
      </c>
    </row>
    <row r="4684" customFormat="false" ht="17.15" hidden="false" customHeight="false" outlineLevel="0" collapsed="false">
      <c r="A4684" s="0" t="s">
        <v>1087</v>
      </c>
      <c r="B4684" s="0" t="s">
        <v>168</v>
      </c>
      <c r="E4684" s="7" t="n">
        <f aca="false">Sens!E4683/Sens!D4683-1</f>
        <v>0.315542736208578</v>
      </c>
      <c r="F4684" s="7" t="n">
        <f aca="false">Sens!F4683/Sens!E4683-1</f>
        <v>0.123431269963567</v>
      </c>
      <c r="G4684" s="7" t="n">
        <f aca="false">Sens!G4683/Sens!F4683-1</f>
        <v>0.128987891264188</v>
      </c>
      <c r="H4684" s="7" t="n">
        <f aca="false">Sens!H4683/Sens!G4683-1</f>
        <v>0.145989766148452</v>
      </c>
      <c r="I4684" s="7" t="n">
        <f aca="false">Sens!I4683/Sens!H4683-1</f>
        <v>0.117514107738258</v>
      </c>
      <c r="J4684" s="7" t="n">
        <f aca="false">Sens!J4683/Sens!I4683-1</f>
        <v>0.0941149131882824</v>
      </c>
      <c r="K4684" s="7" t="n">
        <f aca="false">Sens!K4683/Sens!J4683-1</f>
        <v>0.0782281319527467</v>
      </c>
    </row>
    <row r="4685" customFormat="false" ht="17.15" hidden="false" customHeight="false" outlineLevel="0" collapsed="false">
      <c r="A4685" s="0" t="s">
        <v>1007</v>
      </c>
      <c r="B4685" s="0" t="s">
        <v>98</v>
      </c>
      <c r="E4685" s="6" t="n">
        <f aca="false">Sens!E4626</f>
        <v>5.25</v>
      </c>
      <c r="F4685" s="6" t="n">
        <f aca="false">Sens!F4626</f>
        <v>12</v>
      </c>
      <c r="G4685" s="6" t="n">
        <f aca="false">Sens!G4626</f>
        <v>18</v>
      </c>
      <c r="H4685" s="6" t="n">
        <f aca="false">Sens!H4626</f>
        <v>24</v>
      </c>
      <c r="I4685" s="6" t="n">
        <f aca="false">Sens!I4626</f>
        <v>28.5</v>
      </c>
      <c r="J4685" s="6" t="n">
        <f aca="false">Sens!J4626</f>
        <v>31.5</v>
      </c>
      <c r="K4685" s="6" t="n">
        <f aca="false">Sens!K4626</f>
        <v>34.5</v>
      </c>
    </row>
    <row r="4686" customFormat="false" ht="17.15" hidden="false" customHeight="false" outlineLevel="0" collapsed="false">
      <c r="A4686" s="1" t="s">
        <v>1008</v>
      </c>
      <c r="B4686" s="0" t="s">
        <v>98</v>
      </c>
      <c r="F4686" s="6" t="n">
        <f aca="false">MAX(0,((Sens!E4586+Sens!F4586)/2-(shadow_base*(Sens!$D$4586+Sens!$E$4586)/2+(1-shadow_base)*Sens!$E$4586))*Sens!F4595/1000-(Sens!F4685-Sens!$E$4685)*Sens!F4665)</f>
        <v>9.65523893923682</v>
      </c>
      <c r="G4686" s="6" t="n">
        <f aca="false">MAX(0,((Sens!F4586+Sens!G4586)/2-(shadow_base*(Sens!$D$4586+Sens!$E$4586)/2+(1-shadow_base)*Sens!$E$4586))*Sens!G4595/1000-(Sens!G4685-Sens!$E$4685)*Sens!G4665)</f>
        <v>25.115531357015</v>
      </c>
      <c r="H4686" s="6" t="n">
        <f aca="false">MAX(0,((Sens!G4586+Sens!H4586)/2-(shadow_base*(Sens!$D$4586+Sens!$E$4586)/2+(1-shadow_base)*Sens!$E$4586))*Sens!H4595/1000-(Sens!H4685-Sens!$E$4685)*Sens!H4665)</f>
        <v>42.4459312407815</v>
      </c>
      <c r="I4686" s="6" t="n">
        <f aca="false">MAX(0,((Sens!H4586+Sens!I4586)/2-(shadow_base*(Sens!$D$4586+Sens!$E$4586)/2+(1-shadow_base)*Sens!$E$4586))*Sens!I4595/1000-(Sens!I4685-Sens!$E$4685)*Sens!I4665)</f>
        <v>58.0888806379645</v>
      </c>
      <c r="J4686" s="6" t="n">
        <f aca="false">MAX(0,((Sens!I4586+Sens!J4586)/2-(shadow_base*(Sens!$D$4586+Sens!$E$4586)/2+(1-shadow_base)*Sens!$E$4586))*Sens!J4595/1000-(Sens!J4685-Sens!$E$4685)*Sens!J4665)</f>
        <v>69.5849435068506</v>
      </c>
      <c r="K4686" s="6" t="n">
        <f aca="false">MAX(0,((Sens!J4586+Sens!K4586)/2-(shadow_base*(Sens!$D$4586+Sens!$E$4586)/2+(1-shadow_base)*Sens!$E$4586))*Sens!K4595/1000-(Sens!K4685-Sens!$E$4685)*Sens!K4665)</f>
        <v>76.5466264177592</v>
      </c>
      <c r="L4686" s="1" t="s">
        <v>1009</v>
      </c>
    </row>
    <row r="4687" customFormat="false" ht="17.15" hidden="false" customHeight="false" outlineLevel="0" collapsed="false">
      <c r="A4687" s="1" t="s">
        <v>1010</v>
      </c>
      <c r="B4687" s="0" t="s">
        <v>98</v>
      </c>
      <c r="F4687" s="6" t="n">
        <f aca="false">IF(internal_ai_reading=2,1,0)*Sens!F4686</f>
        <v>9.65523893923682</v>
      </c>
      <c r="G4687" s="6" t="n">
        <f aca="false">IF(internal_ai_reading=2,1,0)*Sens!G4686</f>
        <v>25.115531357015</v>
      </c>
      <c r="H4687" s="6" t="n">
        <f aca="false">IF(internal_ai_reading=2,1,0)*Sens!H4686</f>
        <v>42.4459312407815</v>
      </c>
      <c r="I4687" s="6" t="n">
        <f aca="false">IF(internal_ai_reading=2,1,0)*Sens!I4686</f>
        <v>58.0888806379645</v>
      </c>
      <c r="J4687" s="6" t="n">
        <f aca="false">IF(internal_ai_reading=2,1,0)*Sens!J4686</f>
        <v>69.5849435068506</v>
      </c>
      <c r="K4687" s="6" t="n">
        <f aca="false">IF(internal_ai_reading=2,1,0)*Sens!K4686</f>
        <v>76.5466264177592</v>
      </c>
    </row>
    <row r="4688" customFormat="false" ht="17.15" hidden="false" customHeight="false" outlineLevel="0" collapsed="false">
      <c r="A4688" s="0" t="s">
        <v>1011</v>
      </c>
      <c r="B4688" s="0" t="s">
        <v>98</v>
      </c>
      <c r="F4688" s="6" t="n">
        <f aca="false">Sens!F4605+Sens!F4685*Sens!F4665+Sens!F4687-Sens!F4606-Sens!F4617</f>
        <v>8.46698873989203</v>
      </c>
      <c r="G4688" s="6" t="n">
        <f aca="false">Sens!G4605+Sens!G4685*Sens!G4665+Sens!G4687-Sens!G4606-Sens!G4617</f>
        <v>19.7880704226404</v>
      </c>
      <c r="H4688" s="6" t="n">
        <f aca="false">Sens!H4605+Sens!H4685*Sens!H4665+Sens!H4687-Sens!H4606-Sens!H4617</f>
        <v>31.8902407516597</v>
      </c>
      <c r="I4688" s="6" t="n">
        <f aca="false">Sens!I4605+Sens!I4685*Sens!I4665+Sens!I4687-Sens!I4606-Sens!I4617</f>
        <v>41.701314227733</v>
      </c>
      <c r="J4688" s="6" t="n">
        <f aca="false">Sens!J4605+Sens!J4685*Sens!J4665+Sens!J4687-Sens!J4606-Sens!J4617</f>
        <v>49.3309829834081</v>
      </c>
      <c r="K4688" s="6" t="n">
        <f aca="false">Sens!K4605+Sens!K4685*Sens!K4665+Sens!K4687-Sens!K4606-Sens!K4617</f>
        <v>56.7846241659571</v>
      </c>
    </row>
    <row r="4689" customFormat="false" ht="17.15" hidden="false" customHeight="false" outlineLevel="0" collapsed="false">
      <c r="A4689" s="0" t="s">
        <v>1012</v>
      </c>
      <c r="B4689" s="0" t="s">
        <v>98</v>
      </c>
      <c r="E4689" s="6" t="n">
        <f aca="false">Sens!E4585*(cxit_open+self_build*tk_cxfac)/1000*ai_net_open</f>
        <v>126.6980382</v>
      </c>
      <c r="F4689" s="6" t="n">
        <f aca="false">Sens!E4689+Sens!F4614-Sens!F4617</f>
        <v>254.158530766683</v>
      </c>
      <c r="G4689" s="6" t="n">
        <f aca="false">Sens!F4689+Sens!G4614-Sens!G4617</f>
        <v>374.055785428727</v>
      </c>
      <c r="H4689" s="6" t="n">
        <f aca="false">Sens!G4689+Sens!H4614-Sens!H4617</f>
        <v>493.619309235596</v>
      </c>
      <c r="I4689" s="6" t="n">
        <f aca="false">Sens!H4689+Sens!I4614-Sens!I4617</f>
        <v>539.84599668144</v>
      </c>
      <c r="J4689" s="6" t="n">
        <f aca="false">Sens!I4689+Sens!J4614-Sens!J4617</f>
        <v>552.48323695176</v>
      </c>
      <c r="K4689" s="6" t="n">
        <f aca="false">Sens!J4689+Sens!K4614-Sens!K4617</f>
        <v>560.787333150366</v>
      </c>
      <c r="L4689" s="1" t="s">
        <v>1013</v>
      </c>
    </row>
    <row r="4690" customFormat="false" ht="17.15" hidden="false" customHeight="false" outlineLevel="0" collapsed="false">
      <c r="A4690" s="0" t="s">
        <v>1014</v>
      </c>
      <c r="B4690" s="0" t="s">
        <v>168</v>
      </c>
      <c r="F4690" s="7" t="n">
        <f aca="false">Sens!F4688*(1-tax_f)/((Sens!E4689+Sens!F4689)/2)</f>
        <v>0.0355702988675833</v>
      </c>
      <c r="G4690" s="7" t="n">
        <f aca="false">Sens!G4688*(1-tax_f)/((Sens!F4689+Sens!G4689)/2)</f>
        <v>0.0503982667379653</v>
      </c>
      <c r="H4690" s="7" t="n">
        <f aca="false">Sens!H4688*(1-tax_f)/((Sens!G4689+Sens!H4689)/2)</f>
        <v>0.0588058658320662</v>
      </c>
      <c r="I4690" s="7" t="n">
        <f aca="false">Sens!I4688*(1-tax_f)/((Sens!H4689+Sens!I4689)/2)</f>
        <v>0.0645615313667135</v>
      </c>
      <c r="J4690" s="7" t="n">
        <f aca="false">Sens!J4688*(1-tax_f)/((Sens!I4689+Sens!J4689)/2)</f>
        <v>0.0722580430360955</v>
      </c>
      <c r="K4690" s="7" t="n">
        <f aca="false">Sens!K4688*(1-tax_f)/((Sens!J4689+Sens!K4689)/2)</f>
        <v>0.0816112462733985</v>
      </c>
    </row>
    <row r="4691" customFormat="false" ht="17.15" hidden="false" customHeight="false" outlineLevel="0" collapsed="false">
      <c r="A4691" s="1" t="s">
        <v>1015</v>
      </c>
      <c r="B4691" s="0" t="s">
        <v>168</v>
      </c>
      <c r="F4691" s="7" t="n">
        <f aca="false">(Sens!F4688-Sens!F4687)*(1-tax_f)/((Sens!E4689+Sens!F4689)/2)</f>
        <v>-0.0049919063339511</v>
      </c>
      <c r="G4691" s="7" t="n">
        <f aca="false">(Sens!G4688-Sens!G4687)*(1-tax_f)/((Sens!F4689+Sens!G4689)/2)</f>
        <v>-0.0135685183786035</v>
      </c>
      <c r="H4691" s="7" t="n">
        <f aca="false">(Sens!H4688-Sens!H4687)*(1-tax_f)/((Sens!G4689+Sens!H4689)/2)</f>
        <v>-0.0194647799463793</v>
      </c>
      <c r="I4691" s="7" t="n">
        <f aca="false">(Sens!I4688-Sens!I4687)*(1-tax_f)/((Sens!H4689+Sens!I4689)/2)</f>
        <v>-0.0253710561024632</v>
      </c>
      <c r="J4691" s="7" t="n">
        <f aca="false">(Sens!J4688-Sens!J4687)*(1-tax_f)/((Sens!I4689+Sens!J4689)/2)</f>
        <v>-0.0296671880965057</v>
      </c>
      <c r="K4691" s="7" t="n">
        <f aca="false">(Sens!K4688-Sens!K4687)*(1-tax_f)/((Sens!J4689+Sens!K4689)/2)</f>
        <v>-0.0284020834216274</v>
      </c>
    </row>
    <row r="4692" customFormat="false" ht="17.15" hidden="false" customHeight="false" outlineLevel="0" collapsed="false">
      <c r="A4692" s="1" t="s">
        <v>1016</v>
      </c>
      <c r="B4692" s="0" t="s">
        <v>168</v>
      </c>
      <c r="F4692" s="7" t="n">
        <f aca="false">(Sens!F4688-Sens!F4687+Sens!F4686)*(1-tax_f)/((Sens!E4689+Sens!F4689)/2)</f>
        <v>0.0355702988675833</v>
      </c>
      <c r="G4692" s="7" t="n">
        <f aca="false">(Sens!G4688-Sens!G4687+Sens!G4686)*(1-tax_f)/((Sens!F4689+Sens!G4689)/2)</f>
        <v>0.0503982667379653</v>
      </c>
      <c r="H4692" s="7" t="n">
        <f aca="false">(Sens!H4688-Sens!H4687+Sens!H4686)*(1-tax_f)/((Sens!G4689+Sens!H4689)/2)</f>
        <v>0.0588058658320662</v>
      </c>
      <c r="I4692" s="7" t="n">
        <f aca="false">(Sens!I4688-Sens!I4687+Sens!I4686)*(1-tax_f)/((Sens!H4689+Sens!I4689)/2)</f>
        <v>0.0645615313667135</v>
      </c>
      <c r="J4692" s="7" t="n">
        <f aca="false">(Sens!J4688-Sens!J4687+Sens!J4686)*(1-tax_f)/((Sens!I4689+Sens!J4689)/2)</f>
        <v>0.0722580430360955</v>
      </c>
      <c r="K4692" s="7" t="n">
        <f aca="false">(Sens!K4688-Sens!K4687+Sens!K4686)*(1-tax_f)/((Sens!J4689+Sens!K4689)/2)</f>
        <v>0.0816112462733985</v>
      </c>
    </row>
    <row r="4693" customFormat="false" ht="17.15" hidden="false" customHeight="false" outlineLevel="0" collapsed="false">
      <c r="A4693" s="1" t="s">
        <v>1017</v>
      </c>
      <c r="B4693" s="0" t="s">
        <v>168</v>
      </c>
      <c r="F4693" s="7" t="n">
        <f aca="false">Sens!F4618*(1-tax_f)/(Sens!F4604*(Sens!E4689+Sens!F4689)/2)</f>
        <v>0.104526331328181</v>
      </c>
      <c r="G4693" s="7" t="n">
        <f aca="false">Sens!G4618*(1-tax_f)/(Sens!G4604*(Sens!F4689+Sens!G4689)/2)</f>
        <v>0.103271448688217</v>
      </c>
      <c r="H4693" s="7" t="n">
        <f aca="false">Sens!H4618*(1-tax_f)/(Sens!H4604*(Sens!G4689+Sens!H4689)/2)</f>
        <v>0.105259075900966</v>
      </c>
      <c r="I4693" s="7" t="n">
        <f aca="false">Sens!I4618*(1-tax_f)/(Sens!I4604*(Sens!H4689+Sens!I4689)/2)</f>
        <v>0.109328381446824</v>
      </c>
      <c r="J4693" s="7" t="n">
        <f aca="false">Sens!J4618*(1-tax_f)/(Sens!J4604*(Sens!I4689+Sens!J4689)/2)</f>
        <v>0.118877922365848</v>
      </c>
      <c r="K4693" s="7" t="n">
        <f aca="false">Sens!K4618*(1-tax_f)/(Sens!K4604*(Sens!J4689+Sens!K4689)/2)</f>
        <v>0.130731234496236</v>
      </c>
    </row>
    <row r="4694" customFormat="false" ht="17.15" hidden="false" customHeight="false" outlineLevel="0" collapsed="false">
      <c r="A4694" s="0" t="s">
        <v>1018</v>
      </c>
      <c r="B4694" s="0" t="s">
        <v>253</v>
      </c>
      <c r="F4694" s="7" t="n">
        <f aca="false">Sens!F4690-wacc</f>
        <v>-0.067366292078014</v>
      </c>
      <c r="G4694" s="7" t="n">
        <f aca="false">Sens!G4690-wacc</f>
        <v>-0.052538324207632</v>
      </c>
      <c r="H4694" s="7" t="n">
        <f aca="false">Sens!H4690-wacc</f>
        <v>-0.0441307251135311</v>
      </c>
      <c r="I4694" s="7" t="n">
        <f aca="false">Sens!I4690-wacc</f>
        <v>-0.0383750595788838</v>
      </c>
      <c r="J4694" s="7" t="n">
        <f aca="false">Sens!J4690-wacc</f>
        <v>-0.0306785479095018</v>
      </c>
      <c r="K4694" s="7" t="n">
        <f aca="false">Sens!K4690-wacc</f>
        <v>-0.0213253446721988</v>
      </c>
    </row>
    <row r="4695" customFormat="false" ht="17.15" hidden="false" customHeight="false" outlineLevel="0" collapsed="false">
      <c r="A4695" s="0" t="s">
        <v>1019</v>
      </c>
      <c r="B4695" s="0" t="s">
        <v>98</v>
      </c>
      <c r="F4695" s="6" t="n">
        <f aca="false">Sens!F4688*(1-tax_f)-wacc*(Sens!E4689+Sens!F4689)/2</f>
        <v>-12.8284474324199</v>
      </c>
      <c r="G4695" s="6" t="n">
        <f aca="false">Sens!G4688*(1-tax_f)-wacc*(Sens!F4689+Sens!G4689)/2</f>
        <v>-16.5026637080751</v>
      </c>
      <c r="H4695" s="6" t="n">
        <f aca="false">Sens!H4688*(1-tax_f)-wacc*(Sens!G4689+Sens!H4689)/2</f>
        <v>-19.1455655452442</v>
      </c>
      <c r="I4695" s="6" t="n">
        <f aca="false">Sens!I4688*(1-tax_f)-wacc*(Sens!H4689+Sens!I4689)/2</f>
        <v>-19.8296463436378</v>
      </c>
      <c r="J4695" s="6" t="n">
        <f aca="false">Sens!J4688*(1-tax_f)-wacc*(Sens!I4689+Sens!J4689)/2</f>
        <v>-16.7555373634827</v>
      </c>
      <c r="K4695" s="6" t="n">
        <f aca="false">Sens!K4688*(1-tax_f)-wacc*(Sens!J4689+Sens!K4689)/2</f>
        <v>-11.8704393104215</v>
      </c>
    </row>
    <row r="4696" customFormat="false" ht="17.15" hidden="false" customHeight="false" outlineLevel="0" collapsed="false">
      <c r="A4696" s="3" t="s">
        <v>1728</v>
      </c>
    </row>
    <row r="4697" customFormat="false" ht="15" hidden="false" customHeight="false" outlineLevel="0" collapsed="false">
      <c r="A4697" s="4" t="s">
        <v>43</v>
      </c>
      <c r="B4697" s="4" t="s">
        <v>65</v>
      </c>
      <c r="C4697" s="23" t="s">
        <v>942</v>
      </c>
      <c r="D4697" s="23" t="s">
        <v>943</v>
      </c>
      <c r="E4697" s="23" t="s">
        <v>944</v>
      </c>
      <c r="F4697" s="23" t="s">
        <v>945</v>
      </c>
      <c r="G4697" s="23" t="s">
        <v>946</v>
      </c>
      <c r="H4697" s="23" t="s">
        <v>947</v>
      </c>
      <c r="I4697" s="23" t="s">
        <v>948</v>
      </c>
      <c r="J4697" s="23" t="s">
        <v>949</v>
      </c>
      <c r="K4697" s="23" t="s">
        <v>950</v>
      </c>
      <c r="L4697" s="4" t="s">
        <v>47</v>
      </c>
    </row>
    <row r="4698" customFormat="false" ht="15" hidden="false" customHeight="false" outlineLevel="0" collapsed="false">
      <c r="A4698" s="1" t="s">
        <v>1080</v>
      </c>
      <c r="B4698" s="0" t="s">
        <v>98</v>
      </c>
      <c r="F4698" s="6" t="n">
        <f aca="false">Sens!F4679</f>
        <v>142.907122011632</v>
      </c>
      <c r="G4698" s="6" t="n">
        <f aca="false">Sens!G4679</f>
        <v>150.947834757607</v>
      </c>
      <c r="H4698" s="6" t="n">
        <f aca="false">Sens!H4679</f>
        <v>163.168850958167</v>
      </c>
      <c r="I4698" s="6" t="n">
        <f aca="false">Sens!I4679</f>
        <v>174.598860123485</v>
      </c>
      <c r="J4698" s="6" t="n">
        <f aca="false">Sens!J4679</f>
        <v>186.65925392616</v>
      </c>
      <c r="K4698" s="6" t="n">
        <f aca="false">Sens!K4679</f>
        <v>200.611861191822</v>
      </c>
    </row>
    <row r="4699" customFormat="false" ht="17.15" hidden="false" customHeight="false" outlineLevel="0" collapsed="false">
      <c r="A4699" s="1" t="s">
        <v>1102</v>
      </c>
      <c r="B4699" s="0" t="s">
        <v>98</v>
      </c>
      <c r="E4699" s="6" t="n">
        <f aca="false">Q!M38-Sens!E4617</f>
        <v>19.2164783275</v>
      </c>
      <c r="F4699" s="6" t="n">
        <f aca="false">Sens!E4699*(1-1/life_nonai)+(Sens!F4707+Sens!F4708)/life_nonai</f>
        <v>20.869440090538</v>
      </c>
      <c r="G4699" s="6" t="n">
        <f aca="false">Sens!F4699*(1-1/life_nonai)+(Sens!G4707)/life_nonai</f>
        <v>22.918536826909</v>
      </c>
      <c r="H4699" s="6" t="n">
        <f aca="false">Sens!G4699*(1-1/life_nonai)+(Sens!H4707)/life_nonai</f>
        <v>25.3327376410743</v>
      </c>
      <c r="I4699" s="6" t="n">
        <f aca="false">Sens!H4699*(1-1/life_nonai)+(Sens!I4707)/life_nonai</f>
        <v>28.0482032450526</v>
      </c>
      <c r="J4699" s="6" t="n">
        <f aca="false">Sens!I4699*(1-1/life_nonai)+(Sens!J4707)/life_nonai</f>
        <v>30.9839543997182</v>
      </c>
      <c r="K4699" s="6" t="n">
        <f aca="false">Sens!J4699*(1-1/life_nonai)+(Sens!K4707)/life_nonai</f>
        <v>34.0578066658183</v>
      </c>
      <c r="L4699" s="12" t="s">
        <v>1103</v>
      </c>
    </row>
    <row r="4700" customFormat="false" ht="17.15" hidden="false" customHeight="false" outlineLevel="0" collapsed="false">
      <c r="A4700" s="1" t="s">
        <v>1104</v>
      </c>
      <c r="B4700" s="0" t="s">
        <v>98</v>
      </c>
      <c r="F4700" s="6" t="n">
        <f aca="false">Sens!$F$4708/life_nonai*(1-1/life_nonai)^(Sens!F4580-2027)</f>
        <v>1.94586576753864E-006</v>
      </c>
      <c r="G4700" s="6" t="n">
        <f aca="false">Sens!$F$4708/life_nonai*(1-1/life_nonai)^(Sens!G4580-2027)</f>
        <v>1.75127919078477E-006</v>
      </c>
      <c r="H4700" s="6" t="n">
        <f aca="false">Sens!$F$4708/life_nonai*(1-1/life_nonai)^(Sens!H4580-2027)</f>
        <v>1.57615127170629E-006</v>
      </c>
      <c r="I4700" s="6" t="n">
        <f aca="false">Sens!$F$4708/life_nonai*(1-1/life_nonai)^(Sens!I4580-2027)</f>
        <v>1.41853614453567E-006</v>
      </c>
      <c r="J4700" s="6" t="n">
        <f aca="false">Sens!$F$4708/life_nonai*(1-1/life_nonai)^(Sens!J4580-2027)</f>
        <v>1.2766825300821E-006</v>
      </c>
      <c r="K4700" s="6" t="n">
        <f aca="false">Sens!$F$4708/life_nonai*(1-1/life_nonai)^(Sens!K4580-2027)</f>
        <v>1.14901427707389E-006</v>
      </c>
      <c r="L4700" s="1" t="s">
        <v>1105</v>
      </c>
    </row>
    <row r="4701" customFormat="false" ht="17.15" hidden="false" customHeight="false" outlineLevel="0" collapsed="false">
      <c r="A4701" s="1" t="s">
        <v>1106</v>
      </c>
      <c r="B4701" s="0" t="s">
        <v>98</v>
      </c>
      <c r="E4701" s="6" t="n">
        <f aca="false">Sens!E4617+Sens!E4699</f>
        <v>38.534</v>
      </c>
      <c r="F4701" s="6" t="n">
        <f aca="false">Sens!F4617+Sens!F4699</f>
        <v>61.862851565975</v>
      </c>
      <c r="G4701" s="6" t="n">
        <f aca="false">Sens!G4617+Sens!G4699</f>
        <v>94.9657578139128</v>
      </c>
      <c r="H4701" s="6" t="n">
        <f aca="false">Sens!H4617+Sens!H4699</f>
        <v>131.735962658717</v>
      </c>
      <c r="I4701" s="6" t="n">
        <f aca="false">Sens!I4617+Sens!I4699</f>
        <v>165.31428042082</v>
      </c>
      <c r="J4701" s="6" t="n">
        <f aca="false">Sens!J4617+Sens!J4699</f>
        <v>190.720203845338</v>
      </c>
      <c r="K4701" s="6" t="n">
        <f aca="false">Sens!K4617+Sens!K4699</f>
        <v>207.235718455457</v>
      </c>
    </row>
    <row r="4702" customFormat="false" ht="17.15" hidden="false" customHeight="false" outlineLevel="0" collapsed="false">
      <c r="A4702" s="1" t="s">
        <v>1107</v>
      </c>
      <c r="B4702" s="0" t="s">
        <v>98</v>
      </c>
      <c r="F4702" s="6" t="n">
        <f aca="false">Sens!F4644*sbc_r</f>
        <v>14.9175438377464</v>
      </c>
      <c r="G4702" s="6" t="n">
        <f aca="false">Sens!G4644*sbc_r</f>
        <v>17.8119838712421</v>
      </c>
      <c r="H4702" s="6" t="n">
        <f aca="false">Sens!H4644*sbc_r</f>
        <v>20.8114139173655</v>
      </c>
      <c r="I4702" s="6" t="n">
        <f aca="false">Sens!I4644*sbc_r</f>
        <v>23.5539497125089</v>
      </c>
      <c r="J4702" s="6" t="n">
        <f aca="false">Sens!J4644*sbc_r</f>
        <v>25.843928469498</v>
      </c>
      <c r="K4702" s="6" t="n">
        <f aca="false">Sens!K4644*sbc_r</f>
        <v>27.7256334891241</v>
      </c>
    </row>
    <row r="4703" customFormat="false" ht="17.15" hidden="false" customHeight="false" outlineLevel="0" collapsed="false">
      <c r="A4703" s="1" t="s">
        <v>1108</v>
      </c>
      <c r="B4703" s="0" t="s">
        <v>98</v>
      </c>
      <c r="F4703" s="6" t="n">
        <f aca="false">wc27-wc26q1</f>
        <v>-4.677</v>
      </c>
      <c r="G4703" s="6" t="n">
        <f aca="false">wc_f</f>
        <v>0</v>
      </c>
      <c r="H4703" s="6" t="n">
        <f aca="false">wc_f</f>
        <v>0</v>
      </c>
      <c r="I4703" s="6" t="n">
        <f aca="false">wc_f</f>
        <v>0</v>
      </c>
      <c r="J4703" s="6" t="n">
        <f aca="false">wc_f</f>
        <v>0</v>
      </c>
      <c r="K4703" s="6" t="n">
        <f aca="false">wc_f</f>
        <v>0</v>
      </c>
      <c r="L4703" s="12" t="s">
        <v>1109</v>
      </c>
    </row>
    <row r="4704" customFormat="false" ht="17.15" hidden="false" customHeight="false" outlineLevel="0" collapsed="false">
      <c r="A4704" s="0" t="s">
        <v>1110</v>
      </c>
      <c r="B4704" s="0" t="s">
        <v>98</v>
      </c>
      <c r="F4704" s="6" t="n">
        <f aca="false">Q!$I$35-Q!$I$26-Q!$I$38-Q!$I$39</f>
        <v>6.493</v>
      </c>
      <c r="L4704" s="1" t="s">
        <v>1111</v>
      </c>
    </row>
    <row r="4705" customFormat="false" ht="15" hidden="false" customHeight="false" outlineLevel="0" collapsed="false">
      <c r="A4705" s="1" t="s">
        <v>908</v>
      </c>
      <c r="B4705" s="0" t="s">
        <v>98</v>
      </c>
      <c r="E4705" s="6" t="n">
        <f aca="false">Q!M35</f>
        <v>182.935</v>
      </c>
      <c r="F4705" s="6" t="n">
        <f aca="false">Sens!F4698+Sens!F4701+Sens!F4702+Sens!F4703+Sens!F4704</f>
        <v>221.503517415353</v>
      </c>
      <c r="G4705" s="6" t="n">
        <f aca="false">Sens!G4698+Sens!G4701+Sens!G4702+Sens!G4703</f>
        <v>263.725576442762</v>
      </c>
      <c r="H4705" s="6" t="n">
        <f aca="false">Sens!H4698+Sens!H4701+Sens!H4702+Sens!H4703</f>
        <v>315.71622753425</v>
      </c>
      <c r="I4705" s="6" t="n">
        <f aca="false">Sens!I4698+Sens!I4701+Sens!I4702+Sens!I4703</f>
        <v>363.467090256814</v>
      </c>
      <c r="J4705" s="6" t="n">
        <f aca="false">Sens!J4698+Sens!J4701+Sens!J4702+Sens!J4703</f>
        <v>403.223386240996</v>
      </c>
      <c r="K4705" s="6" t="n">
        <f aca="false">Sens!K4698+Sens!K4701+Sens!K4702+Sens!K4703</f>
        <v>435.573213136404</v>
      </c>
    </row>
    <row r="4706" customFormat="false" ht="17.15" hidden="false" customHeight="false" outlineLevel="0" collapsed="false">
      <c r="A4706" s="0" t="s">
        <v>1112</v>
      </c>
      <c r="B4706" s="0" t="s">
        <v>98</v>
      </c>
      <c r="F4706" s="6" t="n">
        <f aca="false">Sens!F4614</f>
        <v>168.45390404212</v>
      </c>
      <c r="G4706" s="6" t="n">
        <f aca="false">Sens!G4614</f>
        <v>191.944475649048</v>
      </c>
      <c r="H4706" s="6" t="n">
        <f aca="false">Sens!H4614</f>
        <v>225.966748824512</v>
      </c>
      <c r="I4706" s="6" t="n">
        <f aca="false">Sens!I4614</f>
        <v>183.49276462161</v>
      </c>
      <c r="J4706" s="6" t="n">
        <f aca="false">Sens!J4614</f>
        <v>172.37348971594</v>
      </c>
      <c r="K4706" s="6" t="n">
        <f aca="false">Sens!K4614</f>
        <v>181.482007988245</v>
      </c>
    </row>
    <row r="4707" customFormat="false" ht="17.15" hidden="false" customHeight="false" outlineLevel="0" collapsed="false">
      <c r="A4707" s="1" t="s">
        <v>1113</v>
      </c>
      <c r="B4707" s="0" t="s">
        <v>98</v>
      </c>
      <c r="E4707" s="6" t="n">
        <f aca="false">Sens!E4622*cx_azo+Sens!E4629*cx_m365+Sens!E4630*cx_lic+(Sens!E4632+Sens!E4634)*cx_ind+Sens!E4637*cx_srch+(Sens!E4639+Sens!E4641)*cx_dev</f>
        <v>30.1846587067718</v>
      </c>
      <c r="F4707" s="6" t="n">
        <f aca="false">Sens!F4622*cx_azo+Sens!F4629*cx_m365+Sens!F4630*cx_lic+(Sens!F4632+Sens!F4634)*cx_ind+Sens!F4637*cx_srch+(Sens!F4639+Sens!F4641)*cx_dev</f>
        <v>35.7460764992227</v>
      </c>
      <c r="G4707" s="6" t="n">
        <f aca="false">Sens!G4622*cx_azo+Sens!G4629*cx_m365+Sens!G4630*cx_lic+(Sens!G4632+Sens!G4634)*cx_ind+Sens!G4637*cx_srch+(Sens!G4639+Sens!G4641)*cx_dev</f>
        <v>41.360407454248</v>
      </c>
      <c r="H4707" s="6" t="n">
        <f aca="false">Sens!H4622*cx_azo+Sens!H4629*cx_m365+Sens!H4630*cx_lic+(Sens!H4632+Sens!H4634)*cx_ind+Sens!H4637*cx_srch+(Sens!H4639+Sens!H4641)*cx_dev</f>
        <v>47.0605449685615</v>
      </c>
      <c r="I4707" s="6" t="n">
        <f aca="false">Sens!I4622*cx_azo+Sens!I4629*cx_m365+Sens!I4630*cx_lic+(Sens!I4632+Sens!I4634)*cx_ind+Sens!I4637*cx_srch+(Sens!I4639+Sens!I4641)*cx_dev</f>
        <v>52.4873936808571</v>
      </c>
      <c r="J4707" s="6" t="n">
        <f aca="false">Sens!J4622*cx_azo+Sens!J4629*cx_m365+Sens!J4630*cx_lic+(Sens!J4632+Sens!J4634)*cx_ind+Sens!J4637*cx_srch+(Sens!J4639+Sens!J4641)*cx_dev</f>
        <v>57.4057147917091</v>
      </c>
      <c r="K4707" s="6" t="n">
        <f aca="false">Sens!K4622*cx_azo+Sens!K4629*cx_m365+Sens!K4630*cx_lic+(Sens!K4632+Sens!K4634)*cx_ind+Sens!K4637*cx_srch+(Sens!K4639+Sens!K4641)*cx_dev</f>
        <v>61.7224770607185</v>
      </c>
    </row>
    <row r="4708" customFormat="false" ht="17.15" hidden="false" customHeight="false" outlineLevel="0" collapsed="false">
      <c r="A4708" s="0" t="s">
        <v>1114</v>
      </c>
      <c r="B4708" s="0" t="s">
        <v>98</v>
      </c>
      <c r="F4708" s="6" t="n">
        <f aca="false">Sens!F4612</f>
        <v>1.94586576753863E-005</v>
      </c>
      <c r="L4708" s="1" t="s">
        <v>1115</v>
      </c>
    </row>
    <row r="4709" customFormat="false" ht="17.15" hidden="false" customHeight="false" outlineLevel="0" collapsed="false">
      <c r="A4709" s="1" t="s">
        <v>1116</v>
      </c>
      <c r="B4709" s="0" t="s">
        <v>98</v>
      </c>
      <c r="E4709" s="6" t="n">
        <f aca="false">Q!M43</f>
        <v>145.3</v>
      </c>
      <c r="F4709" s="6" t="n">
        <f aca="false">Sens!F4706+Sens!F4707+Sens!F4708</f>
        <v>204.2</v>
      </c>
      <c r="G4709" s="6" t="n">
        <f aca="false">Sens!G4706+Sens!G4707</f>
        <v>233.304883103296</v>
      </c>
      <c r="H4709" s="6" t="n">
        <f aca="false">Sens!H4706+Sens!H4707</f>
        <v>273.027293793074</v>
      </c>
      <c r="I4709" s="6" t="n">
        <f aca="false">Sens!I4706+Sens!I4707</f>
        <v>235.980158302467</v>
      </c>
      <c r="J4709" s="6" t="n">
        <f aca="false">Sens!J4706+Sens!J4707</f>
        <v>229.77920450765</v>
      </c>
      <c r="K4709" s="6" t="n">
        <f aca="false">Sens!K4706+Sens!K4707</f>
        <v>243.204485048964</v>
      </c>
      <c r="L4709" s="1" t="s">
        <v>1117</v>
      </c>
    </row>
    <row r="4710" customFormat="false" ht="15" hidden="false" customHeight="false" outlineLevel="0" collapsed="false">
      <c r="A4710" s="1" t="s">
        <v>1118</v>
      </c>
      <c r="B4710" s="0" t="s">
        <v>98</v>
      </c>
      <c r="E4710" s="6" t="n">
        <f aca="false">fl_liab</f>
        <v>66.594</v>
      </c>
      <c r="F4710" s="6" t="n">
        <f aca="false">Sens!E4710-Sens!F4711</f>
        <v>62.46973</v>
      </c>
      <c r="G4710" s="6" t="n">
        <f aca="false">Sens!F4710-Sens!G4711</f>
        <v>57.98686785</v>
      </c>
      <c r="H4710" s="6" t="n">
        <f aca="false">Sens!G4710-Sens!H4711</f>
        <v>53.92827690325</v>
      </c>
      <c r="I4710" s="6" t="n">
        <f aca="false">Sens!H4710-Sens!I4711</f>
        <v>49.7850493638962</v>
      </c>
      <c r="J4710" s="6" t="n">
        <f aca="false">Sens!I4710-Sens!J4711</f>
        <v>45.4823765852716</v>
      </c>
      <c r="K4710" s="6" t="n">
        <f aca="false">Sens!J4710-Sens!K4711</f>
        <v>40.9860835316088</v>
      </c>
    </row>
    <row r="4711" customFormat="false" ht="15" hidden="false" customHeight="false" outlineLevel="0" collapsed="false">
      <c r="A4711" s="1" t="s">
        <v>1119</v>
      </c>
      <c r="B4711" s="0" t="s">
        <v>98</v>
      </c>
      <c r="F4711" s="6" t="n">
        <f aca="false">fl_pay_27-Sens!E4710*fl_rate</f>
        <v>4.12427</v>
      </c>
      <c r="G4711" s="6" t="n">
        <f aca="false">fl_pay_28-Sens!F4710*fl_rate</f>
        <v>4.48286215</v>
      </c>
      <c r="H4711" s="6" t="n">
        <f aca="false">fl_pay_29-Sens!G4710*fl_rate</f>
        <v>4.05859094675</v>
      </c>
      <c r="I4711" s="6" t="n">
        <f aca="false">fl_pay_30-Sens!H4710*fl_rate</f>
        <v>4.14322753935375</v>
      </c>
      <c r="J4711" s="6" t="n">
        <f aca="false">fl_pay_31-Sens!I4710*fl_rate</f>
        <v>4.30267277862467</v>
      </c>
      <c r="K4711" s="6" t="n">
        <f aca="false">fl_pay_32-Sens!J4710*fl_rate</f>
        <v>4.49629305366278</v>
      </c>
    </row>
    <row r="4712" customFormat="false" ht="17.15" hidden="false" customHeight="false" outlineLevel="0" collapsed="false">
      <c r="A4712" s="1" t="s">
        <v>1120</v>
      </c>
      <c r="B4712" s="0" t="s">
        <v>98</v>
      </c>
      <c r="E4712" s="6" t="n">
        <f aca="false">Q!M35-Q!M36-Q!M44</f>
        <v>63.886</v>
      </c>
      <c r="F4712" s="6" t="n">
        <f aca="false">Sens!F4705-Sens!F4709-Sens!F4711</f>
        <v>13.179247415353</v>
      </c>
      <c r="G4712" s="6" t="n">
        <f aca="false">Sens!G4705-Sens!G4709-Sens!G4711</f>
        <v>25.9378311894659</v>
      </c>
      <c r="H4712" s="6" t="n">
        <f aca="false">Sens!H4705-Sens!H4709-Sens!H4711</f>
        <v>38.6303427944262</v>
      </c>
      <c r="I4712" s="6" t="n">
        <f aca="false">Sens!I4705-Sens!I4709-Sens!I4711</f>
        <v>123.343704414992</v>
      </c>
      <c r="J4712" s="6" t="n">
        <f aca="false">Sens!J4705-Sens!J4709-Sens!J4711</f>
        <v>169.141508954722</v>
      </c>
      <c r="K4712" s="6" t="n">
        <f aca="false">Sens!K4705-Sens!K4709-Sens!K4711</f>
        <v>187.872435033777</v>
      </c>
      <c r="L4712" s="12" t="s">
        <v>1121</v>
      </c>
    </row>
    <row r="4713" customFormat="false" ht="15" hidden="false" customHeight="false" outlineLevel="0" collapsed="false">
      <c r="A4713" s="1" t="s">
        <v>1122</v>
      </c>
      <c r="B4713" s="0" t="s">
        <v>75</v>
      </c>
      <c r="F4713" s="8" t="n">
        <f aca="false">dps_27</f>
        <v>3.85</v>
      </c>
      <c r="G4713" s="8" t="n">
        <f aca="false">Sens!F4713*(1+dps_g)</f>
        <v>4.158</v>
      </c>
      <c r="H4713" s="8" t="n">
        <f aca="false">Sens!G4713*(1+dps_g)</f>
        <v>4.49064</v>
      </c>
      <c r="I4713" s="8" t="n">
        <f aca="false">Sens!H4713*(1+dps_g)</f>
        <v>4.8498912</v>
      </c>
      <c r="J4713" s="8" t="n">
        <f aca="false">Sens!I4713*(1+dps_g)</f>
        <v>5.237882496</v>
      </c>
      <c r="K4713" s="8" t="n">
        <f aca="false">Sens!J4713*(1+dps_g)</f>
        <v>5.65691309568</v>
      </c>
    </row>
    <row r="4714" customFormat="false" ht="17.15" hidden="false" customHeight="false" outlineLevel="0" collapsed="false">
      <c r="A4714" s="1" t="s">
        <v>1123</v>
      </c>
      <c r="B4714" s="0" t="s">
        <v>98</v>
      </c>
      <c r="E4714" s="6" t="n">
        <f aca="false">Q!M41</f>
        <v>26.445</v>
      </c>
      <c r="F4714" s="6" t="n">
        <f aca="false">Sens!F4713*Sens!E4723</f>
        <v>28.59395</v>
      </c>
      <c r="G4714" s="6" t="n">
        <f aca="false">Sens!G4713*Sens!F4723</f>
        <v>31.0521630334797</v>
      </c>
      <c r="H4714" s="6" t="n">
        <f aca="false">Sens!H4713*Sens!G4723</f>
        <v>33.738414876158</v>
      </c>
      <c r="I4714" s="6" t="n">
        <f aca="false">Sens!I4713*Sens!H4723</f>
        <v>36.6339506979396</v>
      </c>
      <c r="J4714" s="6" t="n">
        <f aca="false">Sens!J4713*Sens!I4723</f>
        <v>39.6325646391674</v>
      </c>
      <c r="K4714" s="6" t="n">
        <f aca="false">Sens!K4713*Sens!J4723</f>
        <v>42.889924072679</v>
      </c>
      <c r="L4714" s="1" t="s">
        <v>1124</v>
      </c>
    </row>
    <row r="4715" customFormat="false" ht="15" hidden="false" customHeight="false" outlineLevel="0" collapsed="false">
      <c r="A4715" s="1" t="s">
        <v>1125</v>
      </c>
      <c r="B4715" s="0" t="s">
        <v>98</v>
      </c>
      <c r="E4715" s="6" t="n">
        <f aca="false">Sens!E4712-Sens!E4714</f>
        <v>37.441</v>
      </c>
      <c r="F4715" s="6" t="n">
        <f aca="false">Sens!F4712-Sens!F4714</f>
        <v>-15.414702584647</v>
      </c>
      <c r="G4715" s="6" t="n">
        <f aca="false">Sens!G4712-Sens!G4714</f>
        <v>-5.11433184401375</v>
      </c>
      <c r="H4715" s="6" t="n">
        <f aca="false">Sens!H4712-Sens!H4714</f>
        <v>4.8919279182682</v>
      </c>
      <c r="I4715" s="6" t="n">
        <f aca="false">Sens!I4712-Sens!I4714</f>
        <v>86.7097537170527</v>
      </c>
      <c r="J4715" s="6" t="n">
        <f aca="false">Sens!J4712-Sens!J4714</f>
        <v>129.508944315554</v>
      </c>
      <c r="K4715" s="6" t="n">
        <f aca="false">Sens!K4712-Sens!K4714</f>
        <v>144.982510961098</v>
      </c>
    </row>
    <row r="4716" customFormat="false" ht="15" hidden="false" customHeight="false" outlineLevel="0" collapsed="false">
      <c r="A4716" s="1" t="s">
        <v>1126</v>
      </c>
      <c r="B4716" s="0" t="s">
        <v>98</v>
      </c>
      <c r="F4716" s="6" t="n">
        <f aca="false">debt_mat_27</f>
        <v>9.25</v>
      </c>
      <c r="G4716" s="6" t="n">
        <f aca="false">debt_mat_28</f>
        <v>0</v>
      </c>
      <c r="H4716" s="6" t="n">
        <f aca="false">debt_mat_29</f>
        <v>2.001</v>
      </c>
      <c r="I4716" s="6" t="n">
        <f aca="false">debt_mat_30</f>
        <v>0</v>
      </c>
      <c r="J4716" s="6" t="n">
        <f aca="false">debt_mat_31</f>
        <v>0.5</v>
      </c>
      <c r="K4716" s="6" t="n">
        <f aca="false">debt_mat_32</f>
        <v>0</v>
      </c>
    </row>
    <row r="4717" customFormat="false" ht="15" hidden="false" customHeight="false" outlineLevel="0" collapsed="false">
      <c r="A4717" s="1" t="s">
        <v>1127</v>
      </c>
      <c r="B4717" s="0" t="s">
        <v>98</v>
      </c>
      <c r="E4717" s="6" t="n">
        <f aca="false">Q!M40</f>
        <v>22.271</v>
      </c>
      <c r="F4717" s="6" t="n">
        <f aca="false">MAX(0,MIN(bb_target,Sens!E4719+Sens!F4715-Sens!F4716-min_cash))</f>
        <v>2.17829741535304</v>
      </c>
      <c r="G4717" s="6" t="n">
        <f aca="false">MAX(0,MIN(bb_target,Sens!F4719+Sens!G4715-Sens!G4716-min_cash))</f>
        <v>0</v>
      </c>
      <c r="H4717" s="6" t="n">
        <f aca="false">MAX(0,MIN(bb_target,Sens!G4719+Sens!H4715-Sens!H4716-min_cash))</f>
        <v>2.8909279182682</v>
      </c>
      <c r="I4717" s="6" t="n">
        <f aca="false">MAX(0,MIN(bb_target,Sens!H4719+Sens!I4715-Sens!I4716-min_cash))</f>
        <v>22.271</v>
      </c>
      <c r="J4717" s="6" t="n">
        <f aca="false">MAX(0,MIN(bb_target,Sens!I4719+Sens!J4715-Sens!J4716-min_cash))</f>
        <v>22.271</v>
      </c>
      <c r="K4717" s="6" t="n">
        <f aca="false">MAX(0,MIN(bb_target,Sens!J4719+Sens!K4715-Sens!K4716-min_cash))</f>
        <v>22.271</v>
      </c>
    </row>
    <row r="4718" customFormat="false" ht="15" hidden="false" customHeight="false" outlineLevel="0" collapsed="false">
      <c r="A4718" s="1" t="s">
        <v>1128</v>
      </c>
      <c r="B4718" s="0" t="s">
        <v>98</v>
      </c>
      <c r="F4718" s="6" t="n">
        <f aca="false">MAX(0,min_cash-(Sens!E4719+Sens!F4715-Sens!F4716-Sens!F4717))</f>
        <v>0</v>
      </c>
      <c r="G4718" s="6" t="n">
        <f aca="false">MAX(0,min_cash-(Sens!F4719+Sens!G4715-Sens!G4716-Sens!G4717))</f>
        <v>5.11433184401375</v>
      </c>
      <c r="H4718" s="6" t="n">
        <f aca="false">MAX(0,min_cash-(Sens!G4719+Sens!H4715-Sens!H4716-Sens!H4717))</f>
        <v>0</v>
      </c>
      <c r="I4718" s="6" t="n">
        <f aca="false">MAX(0,min_cash-(Sens!H4719+Sens!I4715-Sens!I4716-Sens!I4717))</f>
        <v>0</v>
      </c>
      <c r="J4718" s="6" t="n">
        <f aca="false">MAX(0,min_cash-(Sens!I4719+Sens!J4715-Sens!J4716-Sens!J4717))</f>
        <v>0</v>
      </c>
      <c r="K4718" s="6" t="n">
        <f aca="false">MAX(0,min_cash-(Sens!J4719+Sens!K4715-Sens!K4716-Sens!K4717))</f>
        <v>0</v>
      </c>
    </row>
    <row r="4719" customFormat="false" ht="15" hidden="false" customHeight="false" outlineLevel="0" collapsed="false">
      <c r="A4719" s="1" t="s">
        <v>1129</v>
      </c>
      <c r="B4719" s="0" t="s">
        <v>98</v>
      </c>
      <c r="E4719" s="6" t="n">
        <f aca="false">cash_open</f>
        <v>76.843</v>
      </c>
      <c r="F4719" s="6" t="n">
        <f aca="false">Sens!E4719+Sens!F4715-Sens!F4716-Sens!F4717+Sens!F4718</f>
        <v>50</v>
      </c>
      <c r="G4719" s="6" t="n">
        <f aca="false">Sens!F4719+Sens!G4715-Sens!G4716-Sens!G4717+Sens!G4718</f>
        <v>50</v>
      </c>
      <c r="H4719" s="6" t="n">
        <f aca="false">Sens!G4719+Sens!H4715-Sens!H4716-Sens!H4717+Sens!H4718</f>
        <v>50</v>
      </c>
      <c r="I4719" s="6" t="n">
        <f aca="false">Sens!H4719+Sens!I4715-Sens!I4716-Sens!I4717+Sens!I4718</f>
        <v>114.438753717053</v>
      </c>
      <c r="J4719" s="6" t="n">
        <f aca="false">Sens!I4719+Sens!J4715-Sens!J4716-Sens!J4717+Sens!J4718</f>
        <v>221.176698032607</v>
      </c>
      <c r="K4719" s="6" t="n">
        <f aca="false">Sens!J4719+Sens!K4715-Sens!K4716-Sens!K4717+Sens!K4718</f>
        <v>343.888208993705</v>
      </c>
    </row>
    <row r="4720" customFormat="false" ht="15" hidden="false" customHeight="false" outlineLevel="0" collapsed="false">
      <c r="A4720" s="1" t="s">
        <v>1130</v>
      </c>
      <c r="B4720" s="0" t="s">
        <v>98</v>
      </c>
      <c r="E4720" s="6" t="n">
        <f aca="false">debt_face</f>
        <v>46.136</v>
      </c>
      <c r="F4720" s="6" t="n">
        <f aca="false">Sens!E4720-Sens!F4716+Sens!F4718</f>
        <v>36.886</v>
      </c>
      <c r="G4720" s="6" t="n">
        <f aca="false">Sens!F4720-Sens!G4716+Sens!G4718</f>
        <v>42.0003318440138</v>
      </c>
      <c r="H4720" s="6" t="n">
        <f aca="false">Sens!G4720-Sens!H4716+Sens!H4718</f>
        <v>39.9993318440138</v>
      </c>
      <c r="I4720" s="6" t="n">
        <f aca="false">Sens!H4720-Sens!I4716+Sens!I4718</f>
        <v>39.9993318440138</v>
      </c>
      <c r="J4720" s="6" t="n">
        <f aca="false">Sens!I4720-Sens!J4716+Sens!J4718</f>
        <v>39.4993318440138</v>
      </c>
      <c r="K4720" s="6" t="n">
        <f aca="false">Sens!J4720-Sens!K4716+Sens!K4718</f>
        <v>39.4993318440138</v>
      </c>
    </row>
    <row r="4721" customFormat="false" ht="15" hidden="false" customHeight="false" outlineLevel="0" collapsed="false">
      <c r="A4721" s="1" t="s">
        <v>1131</v>
      </c>
      <c r="B4721" s="0" t="s">
        <v>98</v>
      </c>
      <c r="E4721" s="6" t="n">
        <f aca="false">Sens!E4719-Sens!E4720</f>
        <v>30.707</v>
      </c>
      <c r="F4721" s="6" t="n">
        <f aca="false">Sens!F4719-Sens!F4720</f>
        <v>13.114</v>
      </c>
      <c r="G4721" s="6" t="n">
        <f aca="false">Sens!G4719-Sens!G4720</f>
        <v>7.99966815598625</v>
      </c>
      <c r="H4721" s="6" t="n">
        <f aca="false">Sens!H4719-Sens!H4720</f>
        <v>10.0006681559862</v>
      </c>
      <c r="I4721" s="6" t="n">
        <f aca="false">Sens!I4719-Sens!I4720</f>
        <v>74.439421873039</v>
      </c>
      <c r="J4721" s="6" t="n">
        <f aca="false">Sens!J4719-Sens!J4720</f>
        <v>181.677366188593</v>
      </c>
      <c r="K4721" s="6" t="n">
        <f aca="false">Sens!K4719-Sens!K4720</f>
        <v>304.388877149692</v>
      </c>
    </row>
    <row r="4722" customFormat="false" ht="15" hidden="false" customHeight="false" outlineLevel="0" collapsed="false">
      <c r="A4722" s="1" t="s">
        <v>1132</v>
      </c>
      <c r="B4722" s="0" t="s">
        <v>75</v>
      </c>
      <c r="F4722" s="30" t="n">
        <f aca="false">px*(1+bb_g)^(Sens!F4580-base_fy-mid_yr)</f>
        <v>551.84177959629</v>
      </c>
      <c r="G4722" s="30" t="n">
        <f aca="false">px*(1+bb_g)^(Sens!G4580-base_fy-mid_yr)</f>
        <v>595.989121963993</v>
      </c>
      <c r="H4722" s="30" t="n">
        <f aca="false">px*(1+bb_g)^(Sens!H4580-base_fy-mid_yr)</f>
        <v>643.668251721112</v>
      </c>
      <c r="I4722" s="30" t="n">
        <f aca="false">px*(1+bb_g)^(Sens!I4580-base_fy-mid_yr)</f>
        <v>695.161711858801</v>
      </c>
      <c r="J4722" s="30" t="n">
        <f aca="false">px*(1+bb_g)^(Sens!J4580-base_fy-mid_yr)</f>
        <v>750.774648807506</v>
      </c>
      <c r="K4722" s="30" t="n">
        <f aca="false">px*(1+bb_g)^(Sens!K4580-base_fy-mid_yr)</f>
        <v>810.836620712106</v>
      </c>
    </row>
    <row r="4723" customFormat="false" ht="15" hidden="false" customHeight="false" outlineLevel="0" collapsed="false">
      <c r="A4723" s="1" t="s">
        <v>1133</v>
      </c>
      <c r="B4723" s="1" t="s">
        <v>81</v>
      </c>
      <c r="E4723" s="15" t="n">
        <f aca="false">sh_out26</f>
        <v>7.427</v>
      </c>
      <c r="F4723" s="15" t="n">
        <f aca="false">Sens!E4723+sh_iss-Sens!F4717/Sens!F4722</f>
        <v>7.46805267760454</v>
      </c>
      <c r="G4723" s="15" t="n">
        <f aca="false">Sens!F4723+sh_iss-Sens!G4717/Sens!G4722</f>
        <v>7.51305267760454</v>
      </c>
      <c r="H4723" s="15" t="n">
        <f aca="false">Sens!G4723+sh_iss-Sens!H4717/Sens!H4722</f>
        <v>7.55356134544618</v>
      </c>
      <c r="I4723" s="15" t="n">
        <f aca="false">Sens!H4723+sh_iss-Sens!I4717/Sens!I4722</f>
        <v>7.56652419549952</v>
      </c>
      <c r="J4723" s="15" t="n">
        <f aca="false">Sens!I4723+sh_iss-Sens!J4717/Sens!J4722</f>
        <v>7.58186016777112</v>
      </c>
      <c r="K4723" s="15" t="n">
        <f aca="false">Sens!J4723+sh_iss-Sens!K4717/Sens!K4722</f>
        <v>7.59939347543002</v>
      </c>
    </row>
    <row r="4724" customFormat="false" ht="15" hidden="false" customHeight="false" outlineLevel="0" collapsed="false">
      <c r="A4724" s="1" t="s">
        <v>1134</v>
      </c>
      <c r="B4724" s="1" t="s">
        <v>81</v>
      </c>
      <c r="E4724" s="15" t="n">
        <f aca="false">sh_dil26</f>
        <v>7.453</v>
      </c>
      <c r="F4724" s="15" t="n">
        <f aca="false">(Sens!E4723+Sens!F4723)/2+dil_gap</f>
        <v>7.47152633880227</v>
      </c>
      <c r="G4724" s="15" t="n">
        <f aca="false">(Sens!F4723+Sens!G4723)/2+dil_gap</f>
        <v>7.51455267760454</v>
      </c>
      <c r="H4724" s="15" t="n">
        <f aca="false">(Sens!G4723+Sens!H4723)/2+dil_gap</f>
        <v>7.55730701152536</v>
      </c>
      <c r="I4724" s="15" t="n">
        <f aca="false">(Sens!H4723+Sens!I4723)/2+dil_gap</f>
        <v>7.58404277047285</v>
      </c>
      <c r="J4724" s="15" t="n">
        <f aca="false">(Sens!I4723+Sens!J4723)/2+dil_gap</f>
        <v>7.59819218163532</v>
      </c>
      <c r="K4724" s="15" t="n">
        <f aca="false">(Sens!J4723+Sens!K4723)/2+dil_gap</f>
        <v>7.61462682160057</v>
      </c>
    </row>
    <row r="4725" customFormat="false" ht="17.15" hidden="false" customHeight="false" outlineLevel="0" collapsed="false">
      <c r="A4725" s="1" t="s">
        <v>1135</v>
      </c>
      <c r="B4725" s="0" t="s">
        <v>98</v>
      </c>
      <c r="C4725" s="6" t="n">
        <f aca="false">SUM(Sens!F4715:J4715)</f>
        <v>200.581591522215</v>
      </c>
    </row>
    <row r="4726" customFormat="false" ht="15" hidden="false" customHeight="false" outlineLevel="0" collapsed="false">
      <c r="A4726" s="26" t="s">
        <v>1100</v>
      </c>
      <c r="B4726" s="31" t="s">
        <v>98</v>
      </c>
      <c r="C4726" s="27" t="n">
        <f aca="false">Sens!$C$4725-(Sens!F4715+Sens!G4715+Sens!H4715+Sens!I4715+Sens!J4715)</f>
        <v>0</v>
      </c>
      <c r="D4726" s="31"/>
      <c r="E4726" s="31"/>
      <c r="F4726" s="31"/>
      <c r="G4726" s="31"/>
      <c r="H4726" s="31"/>
      <c r="I4726" s="31"/>
      <c r="J4726" s="31"/>
      <c r="K4726" s="31"/>
    </row>
    <row r="4727" customFormat="false" ht="17.15" hidden="false" customHeight="false" outlineLevel="0" collapsed="false">
      <c r="A4727" s="1" t="s">
        <v>1094</v>
      </c>
      <c r="B4727" s="1" t="s">
        <v>1136</v>
      </c>
      <c r="C4727" s="33" t="str">
        <f aca="false">IF(SUM(Sens!F4718:J4718)&gt;0.05,"需要舉債 "&amp;TEXT(SUM(Sens!F4718:J4718),"0.0")&amp;" 十億美元","不需舉債")&amp;"；"&amp;IF(SUM(Sens!F4717:J4717)&lt;COUNT(Sens!F4717:J4717)*bb_target-0.05,"回購較每年 "&amp;TEXT(bb_target,"0.0")&amp;" 的目標少 "&amp;TEXT(COUNT(Sens!F4717:J4717)*bb_target-SUM(Sens!F4717:J4717),"0.0")&amp;" 十億美元（"&amp;TEXT(COUNTIF(Sens!F4717:J4717,"&lt;"&amp;(bb_target-0.05)),"0")&amp;" 年減少）","回購不減")</f>
        <v>需要舉債 5.1 十億美元；回購較每年 22.3 的目標少 61.7 十億美元（3 年減少）</v>
      </c>
    </row>
    <row r="4728" customFormat="false" ht="17.15" hidden="false" customHeight="false" outlineLevel="0" collapsed="false">
      <c r="A4728" s="3" t="s">
        <v>1729</v>
      </c>
    </row>
    <row r="4729" customFormat="false" ht="15" hidden="false" customHeight="false" outlineLevel="0" collapsed="false">
      <c r="A4729" s="4" t="s">
        <v>43</v>
      </c>
      <c r="B4729" s="4" t="s">
        <v>65</v>
      </c>
      <c r="C4729" s="23" t="s">
        <v>942</v>
      </c>
      <c r="D4729" s="23" t="s">
        <v>943</v>
      </c>
      <c r="E4729" s="23" t="s">
        <v>944</v>
      </c>
      <c r="F4729" s="23" t="s">
        <v>945</v>
      </c>
      <c r="G4729" s="23" t="s">
        <v>946</v>
      </c>
      <c r="H4729" s="23" t="s">
        <v>947</v>
      </c>
      <c r="I4729" s="23" t="s">
        <v>948</v>
      </c>
      <c r="J4729" s="23" t="s">
        <v>949</v>
      </c>
      <c r="K4729" s="23" t="s">
        <v>950</v>
      </c>
      <c r="L4729" s="4" t="s">
        <v>47</v>
      </c>
    </row>
    <row r="4730" customFormat="false" ht="17.15" hidden="false" customHeight="false" outlineLevel="0" collapsed="false">
      <c r="A4730" s="1" t="s">
        <v>1216</v>
      </c>
      <c r="B4730" s="1" t="s">
        <v>279</v>
      </c>
      <c r="F4730" s="8" t="n">
        <f aca="false">(1-v_off)*mid_yr</f>
        <v>0.373972602739726</v>
      </c>
      <c r="G4730" s="8" t="n">
        <f aca="false">Sens!G4580-base_fy-mid_yr-v_off</f>
        <v>1.24794520547945</v>
      </c>
      <c r="H4730" s="8" t="n">
        <f aca="false">Sens!H4580-base_fy-mid_yr-v_off</f>
        <v>2.24794520547945</v>
      </c>
      <c r="I4730" s="8" t="n">
        <f aca="false">Sens!I4580-base_fy-mid_yr-v_off</f>
        <v>3.24794520547945</v>
      </c>
      <c r="J4730" s="8" t="n">
        <f aca="false">Sens!J4580-base_fy-mid_yr-v_off</f>
        <v>4.24794520547945</v>
      </c>
      <c r="K4730" s="8" t="n">
        <f aca="false">Sens!K4580-base_fy-mid_yr-v_off</f>
        <v>5.24794520547945</v>
      </c>
      <c r="L4730" s="12" t="s">
        <v>1217</v>
      </c>
    </row>
    <row r="4731" customFormat="false" ht="15" hidden="false" customHeight="false" outlineLevel="0" collapsed="false">
      <c r="A4731" s="1" t="s">
        <v>1218</v>
      </c>
      <c r="B4731" s="1" t="s">
        <v>279</v>
      </c>
      <c r="F4731" s="8" t="n">
        <f aca="false">Sens!F4580-base_fy-v_off</f>
        <v>0.747945205479452</v>
      </c>
      <c r="G4731" s="8" t="n">
        <f aca="false">Sens!G4580-base_fy-v_off</f>
        <v>1.74794520547945</v>
      </c>
      <c r="H4731" s="8" t="n">
        <f aca="false">Sens!H4580-base_fy-v_off</f>
        <v>2.74794520547945</v>
      </c>
      <c r="I4731" s="8" t="n">
        <f aca="false">Sens!I4580-base_fy-v_off</f>
        <v>3.74794520547945</v>
      </c>
      <c r="J4731" s="8" t="n">
        <f aca="false">Sens!J4580-base_fy-v_off</f>
        <v>4.74794520547945</v>
      </c>
      <c r="K4731" s="8" t="n">
        <f aca="false">Sens!K4580-base_fy-v_off</f>
        <v>5.74794520547945</v>
      </c>
    </row>
    <row r="4732" customFormat="false" ht="15" hidden="false" customHeight="false" outlineLevel="0" collapsed="false">
      <c r="A4732" s="1" t="s">
        <v>1219</v>
      </c>
      <c r="B4732" s="0" t="s">
        <v>229</v>
      </c>
      <c r="F4732" s="15" t="n">
        <f aca="false">1/(1+wacc)^Sens!F4730</f>
        <v>0.964022703286649</v>
      </c>
      <c r="G4732" s="15" t="n">
        <f aca="false">1/(1+wacc)^Sens!G4730</f>
        <v>0.884910302296739</v>
      </c>
      <c r="H4732" s="15" t="n">
        <f aca="false">1/(1+wacc)^Sens!H4730</f>
        <v>0.802322009770358</v>
      </c>
      <c r="I4732" s="15" t="n">
        <f aca="false">1/(1+wacc)^Sens!I4730</f>
        <v>0.727441646561469</v>
      </c>
      <c r="J4732" s="15" t="n">
        <f aca="false">1/(1+wacc)^Sens!J4730</f>
        <v>0.659549834988973</v>
      </c>
      <c r="K4732" s="15" t="n">
        <f aca="false">1/(1+wacc)^Sens!K4730</f>
        <v>0.597994336576966</v>
      </c>
    </row>
    <row r="4733" customFormat="false" ht="17.15" hidden="false" customHeight="false" outlineLevel="0" collapsed="false">
      <c r="A4733" s="1" t="s">
        <v>1220</v>
      </c>
      <c r="B4733" s="0" t="s">
        <v>98</v>
      </c>
      <c r="F4733" s="6" t="n">
        <f aca="false">Q!$I$35-Q!$I$39-Q!$I$43</f>
        <v>9.666</v>
      </c>
      <c r="L4733" s="12" t="s">
        <v>1221</v>
      </c>
    </row>
    <row r="4734" customFormat="false" ht="17.15" hidden="false" customHeight="false" outlineLevel="0" collapsed="false">
      <c r="A4734" s="1" t="s">
        <v>1222</v>
      </c>
      <c r="B4734" s="0" t="s">
        <v>98</v>
      </c>
      <c r="F4734" s="6" t="n">
        <f aca="false">Sens!F4705-Sens!F4702-Sens!F4709+Sens!F4687*(1-tax_f)*(1-v_off)-Sens!F4733</f>
        <v>-1.50275468450482</v>
      </c>
      <c r="G4734" s="6" t="n">
        <f aca="false">Sens!G4705-Sens!G4702-Sens!G4709+Sens!G4687*(1-tax_f)</f>
        <v>32.7011345538358</v>
      </c>
      <c r="H4734" s="6" t="n">
        <f aca="false">Sens!H4705-Sens!H4702-Sens!H4709+Sens!H4687*(1-tax_f)</f>
        <v>55.8342648164359</v>
      </c>
      <c r="I4734" s="6" t="n">
        <f aca="false">Sens!I4705-Sens!I4702-Sens!I4709+Sens!I4687*(1-tax_f)</f>
        <v>150.404086752209</v>
      </c>
      <c r="J4734" s="6" t="n">
        <f aca="false">Sens!J4705-Sens!J4702-Sens!J4709+Sens!J4687*(1-tax_f)</f>
        <v>203.268208069329</v>
      </c>
      <c r="K4734" s="6" t="n">
        <f aca="false">Sens!K4705-Sens!K4702-Sens!K4709+Sens!K4687*(1-tax_f)</f>
        <v>225.880395732523</v>
      </c>
      <c r="L4734" s="1" t="s">
        <v>1223</v>
      </c>
    </row>
    <row r="4735" customFormat="false" ht="15" hidden="false" customHeight="false" outlineLevel="0" collapsed="false">
      <c r="A4735" s="1" t="s">
        <v>1224</v>
      </c>
      <c r="B4735" s="0" t="s">
        <v>98</v>
      </c>
      <c r="F4735" s="6" t="n">
        <f aca="false">Sens!F4734*Sens!F4732</f>
        <v>-1.44868963333301</v>
      </c>
      <c r="G4735" s="6" t="n">
        <f aca="false">Sens!G4734*Sens!G4732</f>
        <v>28.9375708634812</v>
      </c>
      <c r="H4735" s="6" t="n">
        <f aca="false">Sens!H4734*Sens!H4732</f>
        <v>44.7970595615732</v>
      </c>
      <c r="I4735" s="6" t="n">
        <f aca="false">Sens!I4734*Sens!I4732</f>
        <v>109.410196516601</v>
      </c>
      <c r="J4735" s="6" t="n">
        <f aca="false">Sens!J4734*Sens!J4732</f>
        <v>134.06551309063</v>
      </c>
      <c r="K4735" s="6" t="n">
        <f aca="false">Sens!K4734*Sens!K4732</f>
        <v>135.075197391813</v>
      </c>
    </row>
    <row r="4736" customFormat="false" ht="17.15" hidden="false" customHeight="false" outlineLevel="0" collapsed="false">
      <c r="A4736" s="1" t="s">
        <v>1225</v>
      </c>
      <c r="B4736" s="0" t="s">
        <v>98</v>
      </c>
      <c r="C4736" s="6" t="n">
        <f aca="false">SUM(Sens!F4735:K4735)</f>
        <v>450.836847790765</v>
      </c>
    </row>
    <row r="4737" customFormat="false" ht="17.15" hidden="false" customHeight="false" outlineLevel="0" collapsed="false">
      <c r="A4737" s="1" t="s">
        <v>1226</v>
      </c>
      <c r="B4737" s="0" t="s">
        <v>98</v>
      </c>
      <c r="C4737" s="6" t="n">
        <f aca="false">Sens!K4673*(1+g_tv)*(1-tax_f)</f>
        <v>270.693437195811</v>
      </c>
    </row>
    <row r="4738" customFormat="false" ht="17.15" hidden="false" customHeight="false" outlineLevel="0" collapsed="false">
      <c r="A4738" s="1" t="s">
        <v>1227</v>
      </c>
      <c r="B4738" s="0" t="s">
        <v>98</v>
      </c>
      <c r="C4738" s="6" t="n">
        <f aca="false">Sens!$C$4737*(1-g_tv/(wacc+ronic_prem))</f>
        <v>191.802121277196</v>
      </c>
    </row>
    <row r="4739" customFormat="false" ht="17.15" hidden="false" customHeight="false" outlineLevel="0" collapsed="false">
      <c r="A4739" s="1" t="s">
        <v>1228</v>
      </c>
      <c r="B4739" s="0" t="s">
        <v>98</v>
      </c>
      <c r="C4739" s="6" t="n">
        <f aca="false">Sens!$C$4738/(wacc-g_tv)</f>
        <v>2629.71053062049</v>
      </c>
    </row>
    <row r="4740" customFormat="false" ht="15" hidden="false" customHeight="false" outlineLevel="0" collapsed="false">
      <c r="A4740" s="1" t="s">
        <v>1229</v>
      </c>
      <c r="B4740" s="0" t="s">
        <v>98</v>
      </c>
      <c r="C4740" s="6" t="n">
        <f aca="false">Sens!$C$4739/(1+wacc)^Sens!K4731</f>
        <v>1497.37212440195</v>
      </c>
    </row>
    <row r="4741" customFormat="false" ht="17.15" hidden="false" customHeight="false" outlineLevel="0" collapsed="false">
      <c r="A4741" s="0" t="s">
        <v>1230</v>
      </c>
      <c r="B4741" s="0" t="s">
        <v>98</v>
      </c>
      <c r="C4741" s="6" t="n">
        <f aca="false">Sens!$C$4736+Sens!$C$4740</f>
        <v>1948.20897219271</v>
      </c>
    </row>
    <row r="4742" customFormat="false" ht="15" hidden="false" customHeight="false" outlineLevel="0" collapsed="false">
      <c r="A4742" s="1" t="s">
        <v>1145</v>
      </c>
      <c r="B4742" s="0" t="s">
        <v>168</v>
      </c>
      <c r="C4742" s="7" t="n">
        <f aca="false">Sens!$C$4740/Sens!$C$4741</f>
        <v>0.768589071179902</v>
      </c>
    </row>
    <row r="4743" customFormat="false" ht="17.15" hidden="false" customHeight="false" outlineLevel="0" collapsed="false">
      <c r="A4743" s="1" t="s">
        <v>1231</v>
      </c>
      <c r="B4743" s="0" t="s">
        <v>98</v>
      </c>
      <c r="C4743" s="6" t="n">
        <f aca="false">Sens!$C$4741+cash_val-debt_val-fl_val+oai_v</f>
        <v>2064.05997219271</v>
      </c>
    </row>
    <row r="4744" customFormat="false" ht="17.15" hidden="false" customHeight="false" outlineLevel="0" collapsed="false">
      <c r="A4744" s="0" t="s">
        <v>1153</v>
      </c>
      <c r="B4744" s="0" t="s">
        <v>75</v>
      </c>
      <c r="C4744" s="5" t="n">
        <f aca="false">Sens!$C$4743/shd_val</f>
        <v>277.203864113983</v>
      </c>
    </row>
    <row r="4745" customFormat="false" ht="15" hidden="false" customHeight="false" outlineLevel="0" collapsed="false">
      <c r="A4745" s="1" t="s">
        <v>1232</v>
      </c>
      <c r="B4745" s="0" t="s">
        <v>75</v>
      </c>
      <c r="C4745" s="8" t="n">
        <f aca="false">div_rem27+Sens!G4713*roll_div_q/q_per_yr</f>
        <v>3.9795</v>
      </c>
    </row>
    <row r="4746" customFormat="false" ht="17.15" hidden="false" customHeight="false" outlineLevel="0" collapsed="false">
      <c r="A4746" s="0" t="s">
        <v>1233</v>
      </c>
      <c r="B4746" s="0" t="s">
        <v>75</v>
      </c>
      <c r="C4746" s="5" t="n">
        <f aca="false">Sens!$C$4744*(1+wacc)^t_roll-Sens!$C$4745</f>
        <v>304.148065916538</v>
      </c>
    </row>
    <row r="4747" customFormat="false" ht="17.15" hidden="false" customHeight="false" outlineLevel="0" collapsed="false">
      <c r="A4747" s="1" t="s">
        <v>1234</v>
      </c>
      <c r="B4747" s="0" t="s">
        <v>168</v>
      </c>
      <c r="F4747" s="7" t="n">
        <f aca="false">Sens!F4699/(Sens!F4644-Sens!F4599)</f>
        <v>0.0607307479111973</v>
      </c>
      <c r="G4747" s="7" t="n">
        <f aca="false">Sens!G4699/(Sens!G4644-Sens!G4599)</f>
        <v>0.0594993042824343</v>
      </c>
      <c r="H4747" s="7" t="n">
        <f aca="false">Sens!H4699/(Sens!H4644-Sens!H4599)</f>
        <v>0.0592534917431602</v>
      </c>
      <c r="I4747" s="7" t="n">
        <f aca="false">Sens!I4699/(Sens!I4644-Sens!I4599)</f>
        <v>0.0599440615675562</v>
      </c>
      <c r="J4747" s="7" t="n">
        <f aca="false">Sens!J4699/(Sens!J4644-Sens!J4599)</f>
        <v>0.0613633185756589</v>
      </c>
      <c r="K4747" s="7" t="n">
        <f aca="false">Sens!K4699/(Sens!K4644-Sens!K4599)</f>
        <v>0.0632257490255542</v>
      </c>
    </row>
    <row r="4748" customFormat="false" ht="17.15" hidden="false" customHeight="false" outlineLevel="0" collapsed="false">
      <c r="A4748" s="0" t="s">
        <v>1235</v>
      </c>
      <c r="B4748" s="0" t="s">
        <v>98</v>
      </c>
      <c r="F4748" s="6" t="n">
        <f aca="false">Sens!F4629*(al_m365+Sens!F4747+sbc_r)</f>
        <v>82.7850741858189</v>
      </c>
      <c r="G4748" s="6" t="n">
        <f aca="false">Sens!G4629*(al_m365+Sens!G4747+sbc_r)</f>
        <v>95.2642607364098</v>
      </c>
      <c r="H4748" s="6" t="n">
        <f aca="false">Sens!H4629*(al_m365+Sens!H4747+sbc_r)</f>
        <v>107.907970437802</v>
      </c>
      <c r="I4748" s="6" t="n">
        <f aca="false">Sens!I4629*(al_m365+Sens!I4747+sbc_r)</f>
        <v>119.536089606907</v>
      </c>
      <c r="J4748" s="6" t="n">
        <f aca="false">Sens!J4629*(al_m365+Sens!J4747+sbc_r)</f>
        <v>129.956762014126</v>
      </c>
      <c r="K4748" s="6" t="n">
        <f aca="false">Sens!K4629*(al_m365+Sens!K4747+sbc_r)</f>
        <v>139.981351437731</v>
      </c>
      <c r="L4748" s="12" t="s">
        <v>1236</v>
      </c>
    </row>
    <row r="4749" customFormat="false" ht="17.15" hidden="false" customHeight="false" outlineLevel="0" collapsed="false">
      <c r="A4749" s="0" t="s">
        <v>1237</v>
      </c>
      <c r="B4749" s="0" t="s">
        <v>98</v>
      </c>
      <c r="F4749" s="6" t="n">
        <f aca="false">Sens!F4630*(al_lic+Sens!F4747+sbc_r)</f>
        <v>32.5549522675768</v>
      </c>
      <c r="G4749" s="6" t="n">
        <f aca="false">Sens!G4630*(al_lic+Sens!G4747+sbc_r)</f>
        <v>33.8841977958652</v>
      </c>
      <c r="H4749" s="6" t="n">
        <f aca="false">Sens!H4630*(al_lic+Sens!H4747+sbc_r)</f>
        <v>35.1195238242419</v>
      </c>
      <c r="I4749" s="6" t="n">
        <f aca="false">Sens!I4630*(al_lic+Sens!I4747+sbc_r)</f>
        <v>36.2438133114904</v>
      </c>
      <c r="J4749" s="6" t="n">
        <f aca="false">Sens!J4630*(al_lic+Sens!J4747+sbc_r)</f>
        <v>37.2334111336259</v>
      </c>
      <c r="K4749" s="6" t="n">
        <f aca="false">Sens!K4630*(al_lic+Sens!K4747+sbc_r)</f>
        <v>38.0614158778996</v>
      </c>
    </row>
    <row r="4750" customFormat="false" ht="17.15" hidden="false" customHeight="false" outlineLevel="0" collapsed="false">
      <c r="A4750" s="0" t="s">
        <v>1238</v>
      </c>
      <c r="B4750" s="0" t="s">
        <v>98</v>
      </c>
      <c r="F4750" s="6" t="n">
        <f aca="false">Sens!F4632*(al_ind+Sens!F4747+sbc_r)</f>
        <v>8.88436870884491</v>
      </c>
      <c r="G4750" s="6" t="n">
        <f aca="false">Sens!G4632*(al_ind+Sens!G4747+sbc_r)</f>
        <v>9.68167573050252</v>
      </c>
      <c r="H4750" s="6" t="n">
        <f aca="false">Sens!H4632*(al_ind+Sens!H4747+sbc_r)</f>
        <v>10.5207816082628</v>
      </c>
      <c r="I4750" s="6" t="n">
        <f aca="false">Sens!I4632*(al_ind+Sens!I4747+sbc_r)</f>
        <v>11.3986885881112</v>
      </c>
      <c r="J4750" s="6" t="n">
        <f aca="false">Sens!J4632*(al_ind+Sens!J4747+sbc_r)</f>
        <v>12.3062942101823</v>
      </c>
      <c r="K4750" s="6" t="n">
        <f aca="false">Sens!K4632*(al_ind+Sens!K4747+sbc_r)</f>
        <v>13.2292376064716</v>
      </c>
    </row>
    <row r="4751" customFormat="false" ht="17.15" hidden="false" customHeight="false" outlineLevel="0" collapsed="false">
      <c r="A4751" s="0" t="s">
        <v>1239</v>
      </c>
      <c r="B4751" s="0" t="s">
        <v>98</v>
      </c>
      <c r="F4751" s="6" t="n">
        <f aca="false">Sens!F4634*(al_fro+Sens!F4747+sbc_r)</f>
        <v>3.48497298283584</v>
      </c>
      <c r="G4751" s="6" t="n">
        <f aca="false">Sens!G4634*(al_fro+Sens!G4747+sbc_r)</f>
        <v>3.70449288477146</v>
      </c>
      <c r="H4751" s="6" t="n">
        <f aca="false">Sens!H4634*(al_fro+Sens!H4747+sbc_r)</f>
        <v>3.95104727671245</v>
      </c>
      <c r="I4751" s="6" t="n">
        <f aca="false">Sens!I4634*(al_fro+Sens!I4747+sbc_r)</f>
        <v>4.22763654951912</v>
      </c>
      <c r="J4751" s="6" t="n">
        <f aca="false">Sens!J4634*(al_fro+Sens!J4747+sbc_r)</f>
        <v>4.53579281404298</v>
      </c>
      <c r="K4751" s="6" t="n">
        <f aca="false">Sens!K4634*(al_fro+Sens!K4747+sbc_r)</f>
        <v>4.87596670824368</v>
      </c>
    </row>
    <row r="4752" customFormat="false" ht="17.15" hidden="false" customHeight="false" outlineLevel="0" collapsed="false">
      <c r="A4752" s="0" t="s">
        <v>1240</v>
      </c>
      <c r="B4752" s="0" t="s">
        <v>98</v>
      </c>
      <c r="F4752" s="6" t="n">
        <f aca="false">Sens!F4637*(al_srch+Sens!F4747+sbc_r)</f>
        <v>10.9716808417037</v>
      </c>
      <c r="G4752" s="6" t="n">
        <f aca="false">Sens!G4637*(al_srch+Sens!G4747+sbc_r)</f>
        <v>12.0691212613633</v>
      </c>
      <c r="H4752" s="6" t="n">
        <f aca="false">Sens!H4637*(al_srch+Sens!H4747+sbc_r)</f>
        <v>13.2084491292391</v>
      </c>
      <c r="I4752" s="6" t="n">
        <f aca="false">Sens!I4637*(al_srch+Sens!I4747+sbc_r)</f>
        <v>14.3788635088852</v>
      </c>
      <c r="J4752" s="6" t="n">
        <f aca="false">Sens!J4637*(al_srch+Sens!J4747+sbc_r)</f>
        <v>15.5609701612388</v>
      </c>
      <c r="K4752" s="6" t="n">
        <f aca="false">Sens!K4637*(al_srch+Sens!K4747+sbc_r)</f>
        <v>16.7280066715708</v>
      </c>
    </row>
    <row r="4753" customFormat="false" ht="17.15" hidden="false" customHeight="false" outlineLevel="0" collapsed="false">
      <c r="A4753" s="0" t="s">
        <v>1241</v>
      </c>
      <c r="B4753" s="0" t="s">
        <v>98</v>
      </c>
      <c r="F4753" s="6" t="n">
        <f aca="false">Sens!F4605-Sens!F4606+Sens!F4687</f>
        <v>42.4585051916462</v>
      </c>
      <c r="G4753" s="6" t="n">
        <f aca="false">Sens!G4605-Sens!G4606+Sens!G4687</f>
        <v>81.33244887412</v>
      </c>
      <c r="H4753" s="6" t="n">
        <f aca="false">Sens!H4605-Sens!H4606+Sens!H4687</f>
        <v>124.289675721937</v>
      </c>
      <c r="I4753" s="6" t="n">
        <f aca="false">Sens!I4605-Sens!I4606+Sens!I4687</f>
        <v>162.337890722254</v>
      </c>
      <c r="J4753" s="6" t="n">
        <f aca="false">Sens!J4605-Sens!J4606+Sens!J4687</f>
        <v>190.687257991861</v>
      </c>
      <c r="K4753" s="6" t="n">
        <f aca="false">Sens!K4605-Sens!K4606+Sens!K4687</f>
        <v>209.832087762508</v>
      </c>
    </row>
    <row r="4754" customFormat="false" ht="17.15" hidden="false" customHeight="false" outlineLevel="0" collapsed="false">
      <c r="A4754" s="0" t="s">
        <v>1242</v>
      </c>
      <c r="B4754" s="0" t="s">
        <v>98</v>
      </c>
      <c r="F4754" s="6" t="n">
        <f aca="false">Sens!F4666+Sens!F4687+Sens!F4617+Sens!F4747*(Sens!F4636-Sens!F4599)+sbc_r*Sens!F4636</f>
        <v>239.971921172641</v>
      </c>
      <c r="G4754" s="6" t="n">
        <f aca="false">Sens!G4666+Sens!G4687+Sens!G4617+Sens!G4747*(Sens!G4636-Sens!G4599)+sbc_r*Sens!G4636</f>
        <v>301.725774133572</v>
      </c>
      <c r="H4754" s="6" t="n">
        <f aca="false">Sens!H4666+Sens!H4687+Sens!H4617+Sens!H4747*(Sens!H4636-Sens!H4599)+sbc_r*Sens!H4636</f>
        <v>373.160498325326</v>
      </c>
      <c r="I4754" s="6" t="n">
        <f aca="false">Sens!I4666+Sens!I4687+Sens!I4617+Sens!I4747*(Sens!I4636-Sens!I4599)+sbc_r*Sens!I4636</f>
        <v>438.250396095724</v>
      </c>
      <c r="J4754" s="6" t="n">
        <f aca="false">Sens!J4666+Sens!J4687+Sens!J4617+Sens!J4747*(Sens!J4636-Sens!J4599)+sbc_r*Sens!J4636</f>
        <v>491.167312849362</v>
      </c>
      <c r="K4754" s="6" t="n">
        <f aca="false">Sens!K4666+Sens!K4687+Sens!K4617+Sens!K4747*(Sens!K4636-Sens!K4599)+sbc_r*Sens!K4636</f>
        <v>532.460655143038</v>
      </c>
    </row>
    <row r="4755" customFormat="false" ht="17.15" hidden="false" customHeight="false" outlineLevel="0" collapsed="false">
      <c r="A4755" s="0" t="s">
        <v>1243</v>
      </c>
      <c r="B4755" s="0" t="s">
        <v>98</v>
      </c>
      <c r="F4755" s="6" t="n">
        <f aca="false">Sens!F4754-Sens!F4748-Sens!F4749-Sens!F4750-Sens!F4751-Sens!F4753</f>
        <v>69.8040478359179</v>
      </c>
      <c r="G4755" s="6" t="n">
        <f aca="false">Sens!G4754-Sens!G4748-Sens!G4749-Sens!G4750-Sens!G4751-Sens!G4753</f>
        <v>77.8586981119033</v>
      </c>
      <c r="H4755" s="6" t="n">
        <f aca="false">Sens!H4754-Sens!H4748-Sens!H4749-Sens!H4750-Sens!H4751-Sens!H4753</f>
        <v>91.3714994563696</v>
      </c>
      <c r="I4755" s="6" t="n">
        <f aca="false">Sens!I4754-Sens!I4748-Sens!I4749-Sens!I4750-Sens!I4751-Sens!I4753</f>
        <v>104.506277317443</v>
      </c>
      <c r="J4755" s="6" t="n">
        <f aca="false">Sens!J4754-Sens!J4748-Sens!J4749-Sens!J4750-Sens!J4751-Sens!J4753</f>
        <v>116.447794685524</v>
      </c>
      <c r="K4755" s="6" t="n">
        <f aca="false">Sens!K4754-Sens!K4748-Sens!K4749-Sens!K4750-Sens!K4751-Sens!K4753</f>
        <v>126.480595750185</v>
      </c>
    </row>
    <row r="4756" customFormat="false" ht="17.15" hidden="false" customHeight="false" outlineLevel="0" collapsed="false">
      <c r="A4756" s="0" t="s">
        <v>1244</v>
      </c>
      <c r="B4756" s="0" t="s">
        <v>98</v>
      </c>
      <c r="F4756" s="6" t="n">
        <f aca="false">Sens!F4668+Sens!F4747*Sens!F4643+sbc_r*Sens!F4643</f>
        <v>26.1263656848572</v>
      </c>
      <c r="G4756" s="6" t="n">
        <f aca="false">Sens!G4668+Sens!G4747*Sens!G4643+sbc_r*Sens!G4643</f>
        <v>26.0522923556065</v>
      </c>
      <c r="H4756" s="6" t="n">
        <f aca="false">Sens!H4668+Sens!H4747*Sens!H4643+sbc_r*Sens!H4643</f>
        <v>26.9938731892468</v>
      </c>
      <c r="I4756" s="6" t="n">
        <f aca="false">Sens!I4668+Sens!I4747*Sens!I4643+sbc_r*Sens!I4643</f>
        <v>28.1552898299255</v>
      </c>
      <c r="J4756" s="6" t="n">
        <f aca="false">Sens!J4668+Sens!J4747*Sens!J4643+sbc_r*Sens!J4643</f>
        <v>29.5058303800244</v>
      </c>
      <c r="K4756" s="6" t="n">
        <f aca="false">Sens!K4668+Sens!K4747*Sens!K4643+sbc_r*Sens!K4643</f>
        <v>31.0121497090801</v>
      </c>
    </row>
    <row r="4757" customFormat="false" ht="17.15" hidden="false" customHeight="false" outlineLevel="0" collapsed="false">
      <c r="A4757" s="0" t="s">
        <v>1245</v>
      </c>
      <c r="B4757" s="0" t="s">
        <v>98</v>
      </c>
      <c r="F4757" s="6" t="n">
        <f aca="false">(Sens!F4756-Sens!F4752)*Sens!F4639/(Sens!F4639+Sens!F4641)</f>
        <v>8.55914653693163</v>
      </c>
      <c r="G4757" s="6" t="n">
        <f aca="false">(Sens!G4756-Sens!G4752)*Sens!G4639/(Sens!G4639+Sens!G4641)</f>
        <v>7.76176395849843</v>
      </c>
      <c r="H4757" s="6" t="n">
        <f aca="false">(Sens!H4756-Sens!H4752)*Sens!H4639/(Sens!H4639+Sens!H4641)</f>
        <v>7.55231585461276</v>
      </c>
      <c r="I4757" s="6" t="n">
        <f aca="false">(Sens!I4756-Sens!I4752)*Sens!I4639/(Sens!I4639+Sens!I4641)</f>
        <v>7.48150944675275</v>
      </c>
      <c r="J4757" s="6" t="n">
        <f aca="false">(Sens!J4756-Sens!J4752)*Sens!J4639/(Sens!J4639+Sens!J4641)</f>
        <v>7.53993962438599</v>
      </c>
      <c r="K4757" s="6" t="n">
        <f aca="false">(Sens!K4756-Sens!K4752)*Sens!K4639/(Sens!K4639+Sens!K4641)</f>
        <v>7.72338871807587</v>
      </c>
    </row>
    <row r="4758" customFormat="false" ht="17.15" hidden="false" customHeight="false" outlineLevel="0" collapsed="false">
      <c r="A4758" s="0" t="s">
        <v>1246</v>
      </c>
      <c r="B4758" s="0" t="s">
        <v>98</v>
      </c>
      <c r="F4758" s="6" t="n">
        <f aca="false">Sens!F4756-Sens!F4752-Sens!F4757</f>
        <v>6.59553830622183</v>
      </c>
      <c r="G4758" s="6" t="n">
        <f aca="false">Sens!G4756-Sens!G4752-Sens!G4757</f>
        <v>6.2214071357448</v>
      </c>
      <c r="H4758" s="6" t="n">
        <f aca="false">Sens!H4756-Sens!H4752-Sens!H4757</f>
        <v>6.23310820539494</v>
      </c>
      <c r="I4758" s="6" t="n">
        <f aca="false">Sens!I4756-Sens!I4752-Sens!I4757</f>
        <v>6.2949168742875</v>
      </c>
      <c r="J4758" s="6" t="n">
        <f aca="false">Sens!J4756-Sens!J4752-Sens!J4757</f>
        <v>6.40492059439965</v>
      </c>
      <c r="K4758" s="6" t="n">
        <f aca="false">Sens!K4756-Sens!K4752-Sens!K4757</f>
        <v>6.56075431943348</v>
      </c>
    </row>
    <row r="4759" customFormat="false" ht="17.15" hidden="false" customHeight="false" outlineLevel="0" collapsed="false">
      <c r="A4759" s="0" t="s">
        <v>1247</v>
      </c>
      <c r="B4759" s="0" t="s">
        <v>98</v>
      </c>
      <c r="F4759" s="6" t="n">
        <f aca="false">Sens!F4753-tax_f*(Sens!F4753-Sens!F4617)-Sens!F4614</f>
        <v>-126.288417593715</v>
      </c>
      <c r="G4759" s="6" t="n">
        <f aca="false">Sens!G4753-tax_f*(Sens!G4753-Sens!G4617)-Sens!G4614</f>
        <v>-112.469072352351</v>
      </c>
      <c r="H4759" s="6" t="n">
        <f aca="false">Sens!H4753-tax_f*(Sens!H4753-Sens!H4617)-Sens!H4614</f>
        <v>-105.254363243434</v>
      </c>
      <c r="I4759" s="6" t="n">
        <f aca="false">Sens!I4753-tax_f*(Sens!I4753-Sens!I4617)-Sens!I4614</f>
        <v>-26.169236608654</v>
      </c>
      <c r="J4759" s="6" t="n">
        <f aca="false">Sens!J4753-tax_f*(Sens!J4753-Sens!J4617)-Sens!J4614</f>
        <v>12.1235665666721</v>
      </c>
      <c r="K4759" s="6" t="n">
        <f aca="false">Sens!K4753-tax_f*(Sens!K4753-Sens!K4617)-Sens!K4614</f>
        <v>21.0192445796891</v>
      </c>
    </row>
    <row r="4760" customFormat="false" ht="17.15" hidden="false" customHeight="false" outlineLevel="0" collapsed="false">
      <c r="A4760" s="0" t="s">
        <v>1248</v>
      </c>
      <c r="B4760" s="0" t="s">
        <v>98</v>
      </c>
      <c r="G4760" s="6" t="n">
        <f aca="false">Sens!G4759/(1+wacc)^(Sens!G4730-Sens!F4731)</f>
        <v>-107.092200037616</v>
      </c>
      <c r="H4760" s="6" t="n">
        <f aca="false">Sens!H4759/(1+wacc)^(Sens!H4730-Sens!F4731)</f>
        <v>-90.8686949141886</v>
      </c>
      <c r="I4760" s="6" t="n">
        <f aca="false">Sens!I4759/(1+wacc)^(Sens!I4730-Sens!F4731)</f>
        <v>-20.4839964156782</v>
      </c>
      <c r="J4760" s="6" t="n">
        <f aca="false">Sens!J4759/(1+wacc)^(Sens!J4730-Sens!F4731)</f>
        <v>8.6040612546135</v>
      </c>
      <c r="K4760" s="6" t="n">
        <f aca="false">Sens!K4759/(1+wacc)^(Sens!K4730-Sens!F4731)</f>
        <v>13.525074026064</v>
      </c>
      <c r="L4760" s="1" t="s">
        <v>1249</v>
      </c>
    </row>
    <row r="4761" customFormat="false" ht="17.15" hidden="false" customHeight="false" outlineLevel="0" collapsed="false">
      <c r="A4761" s="0" t="s">
        <v>1250</v>
      </c>
      <c r="B4761" s="0" t="s">
        <v>98</v>
      </c>
      <c r="C4761" s="6" t="n">
        <f aca="false">(Sens!K4753-Sens!K4617)*(1-tax_f)*(1+g_tv)*(1-g_tv/(wacc+ronic_prem))/(wacc-g_tv)/(1+wacc)^(Sens!K4731-Sens!F4731)</f>
        <v>179.774531490755</v>
      </c>
    </row>
    <row r="4762" customFormat="false" ht="17.15" hidden="false" customHeight="false" outlineLevel="0" collapsed="false">
      <c r="A4762" s="1" t="s">
        <v>1251</v>
      </c>
      <c r="B4762" s="0" t="s">
        <v>98</v>
      </c>
      <c r="C4762" s="6" t="n">
        <f aca="false">(SUM(Sens!G4760:K4760)+Sens!$C$4761)*(1+wacc)^(t_roll-Sens!F4731)</f>
        <v>-17.0873004443422</v>
      </c>
      <c r="L4762" s="12" t="s">
        <v>1252</v>
      </c>
    </row>
    <row r="4763" customFormat="false" ht="17.15" hidden="false" customHeight="false" outlineLevel="0" collapsed="false">
      <c r="A4763" s="1" t="s">
        <v>1253</v>
      </c>
      <c r="B4763" s="0" t="s">
        <v>98</v>
      </c>
      <c r="C4763" s="6" t="n">
        <f aca="false">(w_ntm28*Sens!G4605+(1-w_ntm28)*Sens!H4605)*m_ai</f>
        <v>465.573568471239</v>
      </c>
    </row>
    <row r="4764" customFormat="false" ht="17.15" hidden="false" customHeight="false" outlineLevel="0" collapsed="false">
      <c r="A4764" s="1" t="s">
        <v>1254</v>
      </c>
      <c r="B4764" s="0" t="s">
        <v>98</v>
      </c>
      <c r="C4764" s="6" t="n">
        <f aca="false">(w_ntm28*Sens!G4755+(1-w_ntm28)*Sens!H4755)*m_cloud</f>
        <v>1137.40345379599</v>
      </c>
    </row>
    <row r="4765" customFormat="false" ht="17.15" hidden="false" customHeight="false" outlineLevel="0" collapsed="false">
      <c r="A4765" s="1" t="s">
        <v>1255</v>
      </c>
      <c r="B4765" s="0" t="s">
        <v>98</v>
      </c>
      <c r="C4765" s="6" t="n">
        <f aca="false">(w_ntm28*Sens!G4748+(1-w_ntm28)*Sens!H4748)*m_sw</f>
        <v>1073.74784546831</v>
      </c>
    </row>
    <row r="4766" customFormat="false" ht="17.15" hidden="false" customHeight="false" outlineLevel="0" collapsed="false">
      <c r="A4766" s="1" t="s">
        <v>1256</v>
      </c>
      <c r="B4766" s="0" t="s">
        <v>98</v>
      </c>
      <c r="C4766" s="6" t="n">
        <f aca="false">(w_ntm28*Sens!G4749+(1-w_ntm28)*Sens!H4749)*m_sw</f>
        <v>370.3355897098</v>
      </c>
    </row>
    <row r="4767" customFormat="false" ht="17.15" hidden="false" customHeight="false" outlineLevel="0" collapsed="false">
      <c r="A4767" s="1" t="s">
        <v>1257</v>
      </c>
      <c r="B4767" s="0" t="s">
        <v>98</v>
      </c>
      <c r="C4767" s="6" t="n">
        <f aca="false">(w_ntm28*Sens!G4750+(1-w_ntm28)*Sens!H4750)*m_sw</f>
        <v>107.54149848553</v>
      </c>
    </row>
    <row r="4768" customFormat="false" ht="17.15" hidden="false" customHeight="false" outlineLevel="0" collapsed="false">
      <c r="A4768" s="1" t="s">
        <v>1258</v>
      </c>
      <c r="B4768" s="0" t="s">
        <v>98</v>
      </c>
      <c r="C4768" s="6" t="n">
        <f aca="false">(w_ntm28*Sens!G4751+(1-w_ntm28)*Sens!H4751)*m_sw</f>
        <v>40.8839601197934</v>
      </c>
    </row>
    <row r="4769" customFormat="false" ht="17.15" hidden="false" customHeight="false" outlineLevel="0" collapsed="false">
      <c r="A4769" s="1" t="s">
        <v>1259</v>
      </c>
      <c r="B4769" s="0" t="s">
        <v>98</v>
      </c>
      <c r="C4769" s="6" t="n">
        <f aca="false">(w_ntm28*Sens!G4752+(1-w_ntm28)*Sens!H4752)*m_ads</f>
        <v>113.362059691463</v>
      </c>
    </row>
    <row r="4770" customFormat="false" ht="17.15" hidden="false" customHeight="false" outlineLevel="0" collapsed="false">
      <c r="A4770" s="1" t="s">
        <v>1260</v>
      </c>
      <c r="B4770" s="0" t="s">
        <v>98</v>
      </c>
      <c r="C4770" s="6" t="n">
        <f aca="false">(w_ntm28*Sens!G4757+(1-w_ntm28)*Sens!H4757)*m_game</f>
        <v>97.1613814088513</v>
      </c>
    </row>
    <row r="4771" customFormat="false" ht="17.15" hidden="false" customHeight="false" outlineLevel="0" collapsed="false">
      <c r="A4771" s="1" t="s">
        <v>1261</v>
      </c>
      <c r="B4771" s="0" t="s">
        <v>98</v>
      </c>
      <c r="C4771" s="6" t="n">
        <f aca="false">(w_ntm28*Sens!G4758+(1-w_ntm28)*Sens!H4758)*m_pc</f>
        <v>90.0794262880368</v>
      </c>
    </row>
    <row r="4772" customFormat="false" ht="17.15" hidden="false" customHeight="false" outlineLevel="0" collapsed="false">
      <c r="A4772" s="1" t="s">
        <v>1262</v>
      </c>
      <c r="B4772" s="0" t="s">
        <v>98</v>
      </c>
      <c r="C4772" s="6" t="n">
        <f aca="false">Sens!$C$4762+Sens!$C$4764+Sens!$C$4765+Sens!$C$4766+Sens!$C$4767+Sens!$C$4768+Sens!$C$4769+Sens!$C$4770+Sens!$C$4771</f>
        <v>3013.42791452343</v>
      </c>
    </row>
    <row r="4773" customFormat="false" ht="17.15" hidden="false" customHeight="false" outlineLevel="0" collapsed="false">
      <c r="A4773" s="1" t="s">
        <v>1263</v>
      </c>
      <c r="B4773" s="0" t="s">
        <v>98</v>
      </c>
      <c r="C4773" s="6" t="n">
        <f aca="false">(Sens!G4734-Sens!G4759)*t_stub</f>
        <v>48.1249179058867</v>
      </c>
      <c r="L4773" s="1" t="s">
        <v>1264</v>
      </c>
    </row>
    <row r="4774" customFormat="false" ht="17.15" hidden="false" customHeight="false" outlineLevel="0" collapsed="false">
      <c r="A4774" s="1" t="s">
        <v>1173</v>
      </c>
      <c r="B4774" s="0" t="s">
        <v>98</v>
      </c>
      <c r="C4774" s="6" t="n">
        <f aca="false">Sens!F4721+oai_v-Sens!F4710+Sens!$C$4773</f>
        <v>162.353187905887</v>
      </c>
      <c r="L4774" s="1" t="s">
        <v>1265</v>
      </c>
    </row>
    <row r="4775" customFormat="false" ht="17.15" hidden="false" customHeight="false" outlineLevel="0" collapsed="false">
      <c r="A4775" s="1" t="s">
        <v>1266</v>
      </c>
      <c r="B4775" s="0" t="s">
        <v>75</v>
      </c>
      <c r="C4775" s="5" t="n">
        <f aca="false">(Sens!$C$4772+Sens!$C$4774)/(Sens!F4723+dil_gap)-Sens!G4713*roll_div_q/q_per_yr</f>
        <v>422.847148838236</v>
      </c>
      <c r="L4775" s="1" t="s">
        <v>1267</v>
      </c>
    </row>
    <row r="4776" customFormat="false" ht="17.15" hidden="false" customHeight="false" outlineLevel="0" collapsed="false">
      <c r="A4776" s="1" t="s">
        <v>1268</v>
      </c>
      <c r="B4776" s="0" t="s">
        <v>75</v>
      </c>
      <c r="C4776" s="5" t="n">
        <f aca="false">w_dcf*Sens!$C$4746+(1-w_dcf)*Sens!$C$4775</f>
        <v>363.497607377387</v>
      </c>
    </row>
    <row r="4777" customFormat="false" ht="17.15" hidden="false" customHeight="false" outlineLevel="0" collapsed="false">
      <c r="A4777" s="3" t="s">
        <v>1730</v>
      </c>
    </row>
    <row r="4778" customFormat="false" ht="15" hidden="false" customHeight="false" outlineLevel="0" collapsed="false">
      <c r="A4778" s="4" t="s">
        <v>43</v>
      </c>
      <c r="B4778" s="4" t="s">
        <v>65</v>
      </c>
      <c r="C4778" s="23" t="s">
        <v>942</v>
      </c>
      <c r="D4778" s="23" t="s">
        <v>943</v>
      </c>
      <c r="E4778" s="23" t="s">
        <v>944</v>
      </c>
      <c r="F4778" s="23" t="s">
        <v>945</v>
      </c>
      <c r="G4778" s="23" t="s">
        <v>946</v>
      </c>
      <c r="H4778" s="23" t="s">
        <v>947</v>
      </c>
      <c r="I4778" s="23" t="s">
        <v>948</v>
      </c>
      <c r="J4778" s="23" t="s">
        <v>949</v>
      </c>
      <c r="K4778" s="23" t="s">
        <v>950</v>
      </c>
      <c r="L4778" s="4" t="s">
        <v>47</v>
      </c>
    </row>
    <row r="4779" customFormat="false" ht="17.15" hidden="false" customHeight="false" outlineLevel="0" collapsed="false">
      <c r="A4779" s="1" t="s">
        <v>951</v>
      </c>
      <c r="B4779" s="1" t="s">
        <v>279</v>
      </c>
      <c r="C4779" s="21" t="n">
        <v>2024</v>
      </c>
      <c r="D4779" s="21" t="n">
        <v>2025</v>
      </c>
      <c r="E4779" s="21" t="n">
        <v>2026</v>
      </c>
      <c r="F4779" s="21" t="n">
        <v>2027</v>
      </c>
      <c r="G4779" s="21" t="n">
        <v>2028</v>
      </c>
      <c r="H4779" s="21" t="n">
        <v>2029</v>
      </c>
      <c r="I4779" s="21" t="n">
        <v>2030</v>
      </c>
      <c r="J4779" s="21" t="n">
        <v>2031</v>
      </c>
      <c r="K4779" s="21" t="n">
        <v>2032</v>
      </c>
    </row>
    <row r="4780" customFormat="false" ht="17.15" hidden="false" customHeight="false" outlineLevel="0" collapsed="false">
      <c r="A4780" s="1" t="s">
        <v>952</v>
      </c>
      <c r="B4780" s="0" t="s">
        <v>459</v>
      </c>
      <c r="F4780" s="30" t="n">
        <f aca="false">pace</f>
        <v>2726.5351</v>
      </c>
      <c r="G4780" s="30" t="n">
        <f aca="false">pace</f>
        <v>2726.5351</v>
      </c>
      <c r="H4780" s="30" t="n">
        <f aca="false">pace</f>
        <v>2726.5351</v>
      </c>
      <c r="I4780" s="30" t="n">
        <f aca="false">pace+(g_tv*Sens!H4781-pace)*MIN(1,(Sens!I4779-pace_y0)/(pace_y1-pace_y0))</f>
        <v>1931.98611966667</v>
      </c>
      <c r="J4780" s="30" t="n">
        <f aca="false">pace+(g_tv*Sens!I4781-pace)*MIN(1,(Sens!J4779-pace_y0)/(pace_y1-pace_y0))</f>
        <v>1176.07686172667</v>
      </c>
      <c r="K4780" s="30" t="n">
        <f aca="false">pace+(g_tv*Sens!J4781-pace)*MIN(1,(Sens!K4779-pace_y0)/(pace_y1-pace_y0))</f>
        <v>436.1300484418</v>
      </c>
      <c r="L4780" s="12" t="s">
        <v>953</v>
      </c>
    </row>
    <row r="4781" customFormat="false" ht="17.15" hidden="false" customHeight="false" outlineLevel="0" collapsed="false">
      <c r="A4781" s="1" t="s">
        <v>954</v>
      </c>
      <c r="B4781" s="0" t="s">
        <v>459</v>
      </c>
      <c r="C4781" s="30" t="n">
        <f aca="false">mw_ext_24</f>
        <v>640</v>
      </c>
      <c r="D4781" s="30" t="n">
        <f aca="false">mw_ext_25</f>
        <v>1630</v>
      </c>
      <c r="E4781" s="30" t="n">
        <f aca="false">mw_ext_26</f>
        <v>3250</v>
      </c>
      <c r="F4781" s="30" t="n">
        <f aca="false">Sens!E4781+Sens!F4780</f>
        <v>5976.5351</v>
      </c>
      <c r="G4781" s="30" t="n">
        <f aca="false">Sens!F4781+Sens!G4780</f>
        <v>8703.0702</v>
      </c>
      <c r="H4781" s="30" t="n">
        <f aca="false">Sens!G4781+Sens!H4780</f>
        <v>11429.6053</v>
      </c>
      <c r="I4781" s="30" t="n">
        <f aca="false">Sens!H4781+Sens!I4780</f>
        <v>13361.5914196667</v>
      </c>
      <c r="J4781" s="30" t="n">
        <f aca="false">Sens!I4781+Sens!J4780</f>
        <v>14537.6682813933</v>
      </c>
      <c r="K4781" s="30" t="n">
        <f aca="false">Sens!J4781+Sens!K4780</f>
        <v>14973.7983298351</v>
      </c>
      <c r="L4781" s="1" t="s">
        <v>955</v>
      </c>
    </row>
    <row r="4782" customFormat="false" ht="17.15" hidden="false" customHeight="false" outlineLevel="0" collapsed="false">
      <c r="A4782" s="1" t="s">
        <v>956</v>
      </c>
      <c r="B4782" s="0" t="s">
        <v>459</v>
      </c>
      <c r="C4782" s="30" t="n">
        <f aca="false">rent_ext_24</f>
        <v>150</v>
      </c>
      <c r="D4782" s="30" t="n">
        <f aca="false">rent_ext_25</f>
        <v>400</v>
      </c>
      <c r="E4782" s="30" t="n">
        <f aca="false">rent_ext_26</f>
        <v>550</v>
      </c>
      <c r="F4782" s="30" t="n">
        <f aca="false">rent_ext_f</f>
        <v>756</v>
      </c>
      <c r="G4782" s="30" t="n">
        <f aca="false">rent_ext_f</f>
        <v>756</v>
      </c>
      <c r="H4782" s="30" t="n">
        <f aca="false">rent_ext_f</f>
        <v>756</v>
      </c>
      <c r="I4782" s="30" t="n">
        <f aca="false">rent_ext_f</f>
        <v>756</v>
      </c>
      <c r="J4782" s="30" t="n">
        <f aca="false">rent_ext_f</f>
        <v>756</v>
      </c>
      <c r="K4782" s="30" t="n">
        <f aca="false">rent_ext_f</f>
        <v>756</v>
      </c>
      <c r="L4782" s="1" t="s">
        <v>957</v>
      </c>
    </row>
    <row r="4783" customFormat="false" ht="17.15" hidden="false" customHeight="false" outlineLevel="0" collapsed="false">
      <c r="A4783" s="1" t="s">
        <v>958</v>
      </c>
      <c r="B4783" s="0" t="s">
        <v>459</v>
      </c>
      <c r="C4783" s="30" t="n">
        <f aca="false">Sens!C4781-Sens!C4782</f>
        <v>490</v>
      </c>
      <c r="D4783" s="30" t="n">
        <f aca="false">Sens!D4781-Sens!D4782</f>
        <v>1230</v>
      </c>
      <c r="E4783" s="30" t="n">
        <f aca="false">Sens!E4781-Sens!E4782</f>
        <v>2700</v>
      </c>
      <c r="F4783" s="30" t="n">
        <f aca="false">Sens!F4781-Sens!F4782</f>
        <v>5220.5351</v>
      </c>
      <c r="G4783" s="30" t="n">
        <f aca="false">Sens!G4781-Sens!G4782</f>
        <v>7947.0702</v>
      </c>
      <c r="H4783" s="30" t="n">
        <f aca="false">Sens!H4781-Sens!H4782</f>
        <v>10673.6053</v>
      </c>
      <c r="I4783" s="30" t="n">
        <f aca="false">Sens!I4781-Sens!I4782</f>
        <v>12605.5914196667</v>
      </c>
      <c r="J4783" s="30" t="n">
        <f aca="false">Sens!J4781-Sens!J4782</f>
        <v>13781.6682813933</v>
      </c>
      <c r="K4783" s="30" t="n">
        <f aca="false">Sens!K4781-Sens!K4782</f>
        <v>14217.7983298351</v>
      </c>
    </row>
    <row r="4784" customFormat="false" ht="17.15" hidden="false" customHeight="false" outlineLevel="0" collapsed="false">
      <c r="A4784" s="1" t="s">
        <v>959</v>
      </c>
      <c r="B4784" s="0" t="s">
        <v>459</v>
      </c>
      <c r="C4784" s="30" t="n">
        <f aca="false">Sens!C4783/ext_sh</f>
        <v>816.666666666667</v>
      </c>
      <c r="D4784" s="30" t="n">
        <f aca="false">Sens!D4783/ext_sh</f>
        <v>2050</v>
      </c>
      <c r="E4784" s="30" t="n">
        <f aca="false">Sens!E4783/ext_sh</f>
        <v>4500</v>
      </c>
      <c r="F4784" s="30" t="n">
        <f aca="false">Sens!F4783/ext_sh</f>
        <v>8700.89183333333</v>
      </c>
      <c r="G4784" s="30" t="n">
        <f aca="false">Sens!G4783/ext_sh</f>
        <v>13245.117</v>
      </c>
      <c r="H4784" s="30" t="n">
        <f aca="false">Sens!H4783/ext_sh</f>
        <v>17789.3421666667</v>
      </c>
      <c r="I4784" s="30" t="n">
        <f aca="false">Sens!I4783/ext_sh</f>
        <v>21009.3190327778</v>
      </c>
      <c r="J4784" s="30" t="n">
        <f aca="false">Sens!J4783/ext_sh</f>
        <v>22969.4471356556</v>
      </c>
      <c r="K4784" s="30" t="n">
        <f aca="false">Sens!K4783/ext_sh</f>
        <v>23696.3305497252</v>
      </c>
      <c r="L4784" s="1" t="s">
        <v>960</v>
      </c>
    </row>
    <row r="4785" customFormat="false" ht="17.15" hidden="false" customHeight="false" outlineLevel="0" collapsed="false">
      <c r="A4785" s="1" t="s">
        <v>961</v>
      </c>
      <c r="B4785" s="0" t="s">
        <v>459</v>
      </c>
      <c r="C4785" s="30" t="n">
        <f aca="false">Sens!C4784-Sens!C4783</f>
        <v>326.666666666667</v>
      </c>
      <c r="D4785" s="30" t="n">
        <f aca="false">Sens!D4784-Sens!D4783</f>
        <v>820</v>
      </c>
      <c r="E4785" s="30" t="n">
        <f aca="false">Sens!E4784-Sens!E4783</f>
        <v>1800</v>
      </c>
      <c r="F4785" s="30" t="n">
        <f aca="false">Sens!F4784-Sens!F4783</f>
        <v>3480.35673333333</v>
      </c>
      <c r="G4785" s="30" t="n">
        <f aca="false">Sens!G4784-Sens!G4783</f>
        <v>5298.0468</v>
      </c>
      <c r="H4785" s="30" t="n">
        <f aca="false">Sens!H4784-Sens!H4783</f>
        <v>7115.73686666667</v>
      </c>
      <c r="I4785" s="30" t="n">
        <f aca="false">Sens!I4784-Sens!I4783</f>
        <v>8403.72761311111</v>
      </c>
      <c r="J4785" s="30" t="n">
        <f aca="false">Sens!J4784-Sens!J4783</f>
        <v>9187.77885426222</v>
      </c>
      <c r="K4785" s="30" t="n">
        <f aca="false">Sens!K4784-Sens!K4783</f>
        <v>9478.53221989009</v>
      </c>
    </row>
    <row r="4786" customFormat="false" ht="17.15" hidden="false" customHeight="false" outlineLevel="0" collapsed="false">
      <c r="A4786" s="1" t="s">
        <v>962</v>
      </c>
      <c r="B4786" s="0" t="s">
        <v>459</v>
      </c>
      <c r="C4786" s="30" t="n">
        <f aca="false">Sens!C4784</f>
        <v>816.666666666667</v>
      </c>
      <c r="D4786" s="30" t="n">
        <f aca="false">Sens!D4784-Sens!C4784</f>
        <v>1233.33333333333</v>
      </c>
      <c r="E4786" s="30" t="n">
        <f aca="false">Sens!E4784-Sens!D4784</f>
        <v>2450</v>
      </c>
      <c r="F4786" s="30" t="n">
        <f aca="false">Sens!F4784-Sens!E4784</f>
        <v>4200.89183333333</v>
      </c>
      <c r="G4786" s="30" t="n">
        <f aca="false">Sens!G4784-Sens!F4784</f>
        <v>4544.22516666667</v>
      </c>
      <c r="H4786" s="30" t="n">
        <f aca="false">Sens!H4784-Sens!G4784</f>
        <v>4544.22516666667</v>
      </c>
      <c r="I4786" s="30" t="n">
        <f aca="false">Sens!I4784-Sens!H4784</f>
        <v>3219.97686611111</v>
      </c>
      <c r="J4786" s="30" t="n">
        <f aca="false">Sens!J4784-Sens!I4784</f>
        <v>1960.12810287778</v>
      </c>
      <c r="K4786" s="30" t="n">
        <f aca="false">Sens!K4784-Sens!J4784</f>
        <v>726.883414069667</v>
      </c>
    </row>
    <row r="4787" customFormat="false" ht="17.15" hidden="false" customHeight="false" outlineLevel="0" collapsed="false">
      <c r="A4787" s="1" t="s">
        <v>963</v>
      </c>
      <c r="B4787" s="0" t="s">
        <v>459</v>
      </c>
      <c r="D4787" s="30" t="n">
        <f aca="false">Sens!D4781-Sens!C4781</f>
        <v>990</v>
      </c>
      <c r="E4787" s="30" t="n">
        <f aca="false">Sens!E4781-Sens!D4781</f>
        <v>1620</v>
      </c>
      <c r="F4787" s="30" t="n">
        <f aca="false">Sens!F4781-Sens!E4781</f>
        <v>2726.5351</v>
      </c>
      <c r="G4787" s="30" t="n">
        <f aca="false">Sens!G4781-Sens!F4781</f>
        <v>2726.5351</v>
      </c>
      <c r="H4787" s="30" t="n">
        <f aca="false">Sens!H4781-Sens!G4781</f>
        <v>2726.5351</v>
      </c>
      <c r="I4787" s="30" t="n">
        <f aca="false">Sens!I4781-Sens!H4781</f>
        <v>1931.98611966667</v>
      </c>
      <c r="J4787" s="30" t="n">
        <f aca="false">Sens!J4781-Sens!I4781</f>
        <v>1176.07686172667</v>
      </c>
      <c r="K4787" s="30" t="n">
        <f aca="false">Sens!K4781-Sens!J4781</f>
        <v>436.130048441799</v>
      </c>
    </row>
    <row r="4788" customFormat="false" ht="17.15" hidden="false" customHeight="false" outlineLevel="0" collapsed="false">
      <c r="A4788" s="1" t="s">
        <v>964</v>
      </c>
      <c r="B4788" s="0" t="s">
        <v>459</v>
      </c>
      <c r="F4788" s="30" t="n">
        <f aca="false">Sens!F4807*ext_sh</f>
        <v>0</v>
      </c>
      <c r="G4788" s="30" t="n">
        <f aca="false">Sens!G4807*ext_sh</f>
        <v>0</v>
      </c>
      <c r="H4788" s="30" t="n">
        <f aca="false">Sens!H4807*ext_sh</f>
        <v>490</v>
      </c>
      <c r="I4788" s="30" t="n">
        <f aca="false">Sens!I4807*ext_sh</f>
        <v>740</v>
      </c>
      <c r="J4788" s="30" t="n">
        <f aca="false">Sens!J4807*ext_sh</f>
        <v>1470</v>
      </c>
      <c r="K4788" s="30" t="n">
        <f aca="false">Sens!K4807*ext_sh</f>
        <v>2520.5351</v>
      </c>
      <c r="L4788" s="1" t="s">
        <v>965</v>
      </c>
    </row>
    <row r="4789" customFormat="false" ht="17.15" hidden="false" customHeight="false" outlineLevel="0" collapsed="false">
      <c r="A4789" s="1" t="s">
        <v>966</v>
      </c>
      <c r="B4789" s="0" t="s">
        <v>459</v>
      </c>
      <c r="C4789" s="30" t="n">
        <f aca="false">mix_h*Sens!C4781</f>
        <v>128</v>
      </c>
      <c r="D4789" s="30" t="n">
        <f aca="false">mix_h*Sens!D4781</f>
        <v>326</v>
      </c>
      <c r="E4789" s="30" t="n">
        <f aca="false">mix_h*Sens!E4781</f>
        <v>650</v>
      </c>
      <c r="F4789" s="30" t="n">
        <f aca="false">Sens!E4789-Sens!F4788*mix_h</f>
        <v>650</v>
      </c>
      <c r="G4789" s="30" t="n">
        <f aca="false">Sens!F4789-Sens!G4788*mix_h</f>
        <v>650</v>
      </c>
      <c r="H4789" s="30" t="n">
        <f aca="false">Sens!G4789-Sens!H4788*mix_h</f>
        <v>552</v>
      </c>
      <c r="I4789" s="30" t="n">
        <f aca="false">Sens!H4789-Sens!I4788*mix_h</f>
        <v>404</v>
      </c>
      <c r="J4789" s="30" t="n">
        <f aca="false">Sens!I4789-Sens!J4788*mix_h</f>
        <v>110</v>
      </c>
      <c r="K4789" s="30" t="n">
        <f aca="false">Sens!J4789-Sens!K4788*mix_h</f>
        <v>-394.10702</v>
      </c>
    </row>
    <row r="4790" customFormat="false" ht="17.15" hidden="false" customHeight="false" outlineLevel="0" collapsed="false">
      <c r="A4790" s="1" t="s">
        <v>967</v>
      </c>
      <c r="B4790" s="0" t="s">
        <v>459</v>
      </c>
      <c r="C4790" s="30" t="n">
        <f aca="false">mix_g2*Sens!C4781</f>
        <v>288</v>
      </c>
      <c r="D4790" s="30" t="n">
        <f aca="false">mix_g2*Sens!D4781</f>
        <v>733.5</v>
      </c>
      <c r="E4790" s="30" t="n">
        <f aca="false">mix_g2*Sens!E4781</f>
        <v>1462.5</v>
      </c>
      <c r="F4790" s="30" t="n">
        <f aca="false">Sens!E4790-Sens!F4788*mix_g2</f>
        <v>1462.5</v>
      </c>
      <c r="G4790" s="30" t="n">
        <f aca="false">Sens!F4790-Sens!G4788*mix_g2</f>
        <v>1462.5</v>
      </c>
      <c r="H4790" s="30" t="n">
        <f aca="false">Sens!G4790-Sens!H4788*mix_g2</f>
        <v>1242</v>
      </c>
      <c r="I4790" s="30" t="n">
        <f aca="false">Sens!H4790-Sens!I4788*mix_g2</f>
        <v>909</v>
      </c>
      <c r="J4790" s="30" t="n">
        <f aca="false">Sens!I4790-Sens!J4788*mix_g2</f>
        <v>247.5</v>
      </c>
      <c r="K4790" s="30" t="n">
        <f aca="false">Sens!J4790-Sens!K4788*mix_g2</f>
        <v>-886.740795</v>
      </c>
    </row>
    <row r="4791" customFormat="false" ht="17.15" hidden="false" customHeight="false" outlineLevel="0" collapsed="false">
      <c r="A4791" s="1" t="s">
        <v>968</v>
      </c>
      <c r="B4791" s="0" t="s">
        <v>459</v>
      </c>
      <c r="C4791" s="30" t="n">
        <f aca="false">mix_g3*Sens!C4781</f>
        <v>224</v>
      </c>
      <c r="D4791" s="30" t="n">
        <f aca="false">mix_g3*Sens!D4781</f>
        <v>570.5</v>
      </c>
      <c r="E4791" s="30" t="n">
        <f aca="false">mix_g3*Sens!E4781</f>
        <v>1137.5</v>
      </c>
      <c r="F4791" s="30" t="n">
        <f aca="false">Sens!E4791+(Sens!F4787+Sens!F4788)*(a_g3_27-nonnv*a_mai)-Sens!F4788*mix_g3</f>
        <v>2773.42106</v>
      </c>
      <c r="G4791" s="30" t="n">
        <f aca="false">Sens!F4791+(Sens!G4787+Sens!G4788)*(a_g3_28-nonnv*a_mai)-Sens!G4788*mix_g3</f>
        <v>3318.72808</v>
      </c>
      <c r="H4791" s="30" t="n">
        <f aca="false">Sens!G4791+(Sens!H4787+Sens!H4788)*(a_g3_29-nonnv*a_mai)-Sens!H4788*mix_g3</f>
        <v>3147.22808</v>
      </c>
      <c r="I4791" s="30" t="n">
        <f aca="false">Sens!H4791+(Sens!I4787+Sens!I4788)*(a_g3_29-nonnv*a_mai)-Sens!I4788*mix_g3</f>
        <v>2888.22808</v>
      </c>
      <c r="J4791" s="30" t="n">
        <f aca="false">Sens!I4791+(Sens!J4787+Sens!J4788)*(a_g3_29-nonnv*a_mai)-Sens!J4788*mix_g3</f>
        <v>2373.72808</v>
      </c>
      <c r="K4791" s="30" t="n">
        <f aca="false">Sens!J4791+(Sens!K4787+Sens!K4788)*(a_g3_29-nonnv*a_mai)-Sens!K4788*mix_g3</f>
        <v>1491.540795</v>
      </c>
    </row>
    <row r="4792" customFormat="false" ht="17.15" hidden="false" customHeight="false" outlineLevel="0" collapsed="false">
      <c r="A4792" s="1" t="s">
        <v>969</v>
      </c>
      <c r="B4792" s="0" t="s">
        <v>459</v>
      </c>
      <c r="C4792" s="30" t="n">
        <v>0</v>
      </c>
      <c r="D4792" s="30" t="n">
        <v>0</v>
      </c>
      <c r="E4792" s="30" t="n">
        <v>0</v>
      </c>
      <c r="F4792" s="30" t="n">
        <f aca="false">Sens!E4792+(Sens!F4787+Sens!F4788)*nonnv*a_mai</f>
        <v>272.65351</v>
      </c>
      <c r="G4792" s="30" t="n">
        <f aca="false">Sens!F4792+(Sens!G4787+Sens!G4788)*nonnv*a_mai</f>
        <v>545.30702</v>
      </c>
      <c r="H4792" s="30" t="n">
        <f aca="false">Sens!G4792+(Sens!H4787+Sens!H4788)*nonnv*a_mai</f>
        <v>866.96053</v>
      </c>
      <c r="I4792" s="30" t="n">
        <f aca="false">Sens!H4792+(Sens!I4787+Sens!I4788)*nonnv*a_mai</f>
        <v>1134.15914196667</v>
      </c>
      <c r="J4792" s="30" t="n">
        <f aca="false">Sens!I4792+(Sens!J4787+Sens!J4788)*nonnv*a_mai</f>
        <v>1398.76682813933</v>
      </c>
      <c r="K4792" s="30" t="n">
        <f aca="false">Sens!J4792+(Sens!K4787+Sens!K4788)*nonnv*a_mai</f>
        <v>1694.43334298351</v>
      </c>
      <c r="L4792" s="12" t="s">
        <v>970</v>
      </c>
    </row>
    <row r="4793" customFormat="false" ht="17.15" hidden="false" customHeight="false" outlineLevel="0" collapsed="false">
      <c r="A4793" s="1" t="s">
        <v>971</v>
      </c>
      <c r="B4793" s="0" t="s">
        <v>459</v>
      </c>
      <c r="C4793" s="30" t="n">
        <v>0</v>
      </c>
      <c r="D4793" s="30" t="n">
        <v>0</v>
      </c>
      <c r="E4793" s="30" t="n">
        <v>0</v>
      </c>
      <c r="F4793" s="30" t="n">
        <f aca="false">Sens!E4793+(Sens!F4787+Sens!F4788)*(1-a_g3_27)</f>
        <v>817.96053</v>
      </c>
      <c r="G4793" s="30" t="n">
        <f aca="false">Sens!F4793+(Sens!G4787+Sens!G4788)*(1-a_g3_28)</f>
        <v>2726.5351</v>
      </c>
      <c r="H4793" s="30" t="n">
        <f aca="false">Sens!G4793+(Sens!H4787+Sens!H4788)*(1-a_g3_29)</f>
        <v>5621.41669</v>
      </c>
      <c r="I4793" s="30" t="n">
        <f aca="false">Sens!H4793+(Sens!I4787+Sens!I4788)*(1-a_g3_29)</f>
        <v>8026.2041977</v>
      </c>
      <c r="J4793" s="30" t="n">
        <f aca="false">Sens!I4793+(Sens!J4787+Sens!J4788)*(1-a_g3_29)</f>
        <v>10407.673373254</v>
      </c>
      <c r="K4793" s="30" t="n">
        <f aca="false">Sens!J4793+(Sens!K4787+Sens!K4788)*(1-a_g3_29)</f>
        <v>13068.6720068516</v>
      </c>
    </row>
    <row r="4794" customFormat="false" ht="17.15" hidden="false" customHeight="false" outlineLevel="0" collapsed="false">
      <c r="A4794" s="1" t="s">
        <v>972</v>
      </c>
      <c r="B4794" s="0" t="s">
        <v>403</v>
      </c>
      <c r="C4794" s="15" t="n">
        <f aca="false">(Sens!C4789*tk_hold_h100+Sens!C4790*tk_hold_gb200+Sens!C4791*tk_hold_gb300+Sens!C4793*tk_hold_vr200+Sens!C4792*nv_hold_mai*tk_hold_vr200)/Sens!C4781</f>
        <v>9.7235358126469</v>
      </c>
      <c r="D4794" s="15" t="n">
        <f aca="false">(Sens!D4789*tk_hold_h100+Sens!D4790*tk_hold_gb200+Sens!D4791*tk_hold_gb300+Sens!D4793*tk_hold_vr200+Sens!D4792*nv_hold_mai*tk_hold_vr200)/Sens!D4781</f>
        <v>9.7235358126469</v>
      </c>
      <c r="E4794" s="15" t="n">
        <f aca="false">(Sens!E4789*tk_hold_h100+Sens!E4790*tk_hold_gb200+Sens!E4791*tk_hold_gb300+Sens!E4793*tk_hold_vr200+Sens!E4792*nv_hold_mai*tk_hold_vr200)/Sens!E4781</f>
        <v>9.7235358126469</v>
      </c>
      <c r="F4794" s="15" t="n">
        <f aca="false">(Sens!F4789*tk_hold_h100+Sens!F4790*tk_hold_gb200+Sens!F4791*tk_hold_gb300+Sens!F4793*tk_hold_vr200+Sens!F4792*nv_hold_mai*tk_hold_vr200)/Sens!F4781</f>
        <v>10.2195353876665</v>
      </c>
      <c r="G4794" s="15" t="n">
        <f aca="false">(Sens!G4789*tk_hold_h100+Sens!G4790*tk_hold_gb200+Sens!G4791*tk_hold_gb300+Sens!G4793*tk_hold_vr200+Sens!G4792*nv_hold_mai*tk_hold_vr200)/Sens!G4781</f>
        <v>10.5725598017306</v>
      </c>
      <c r="H4794" s="15" t="n">
        <f aca="false">(Sens!H4789*tk_hold_h100+Sens!H4790*tk_hold_gb200+Sens!H4791*tk_hold_gb300+Sens!H4793*tk_hold_vr200+Sens!H4792*nv_hold_mai*tk_hold_vr200)/Sens!H4781</f>
        <v>10.902097500272</v>
      </c>
      <c r="I4794" s="15" t="n">
        <f aca="false">(Sens!I4789*tk_hold_h100+Sens!I4790*tk_hold_gb200+Sens!I4791*tk_hold_gb300+Sens!I4793*tk_hold_vr200+Sens!I4792*nv_hold_mai*tk_hold_vr200)/Sens!I4781</f>
        <v>11.1097716279125</v>
      </c>
      <c r="J4794" s="15" t="n">
        <f aca="false">(Sens!J4789*tk_hold_h100+Sens!J4790*tk_hold_gb200+Sens!J4791*tk_hold_gb300+Sens!J4793*tk_hold_vr200+Sens!J4792*nv_hold_mai*tk_hold_vr200)/Sens!J4781</f>
        <v>11.3417562963592</v>
      </c>
      <c r="K4794" s="15" t="n">
        <f aca="false">(Sens!K4789*tk_hold_h100+Sens!K4790*tk_hold_gb200+Sens!K4791*tk_hold_gb300+Sens!K4793*tk_hold_vr200+Sens!K4792*nv_hold_mai*tk_hold_vr200)/Sens!K4781</f>
        <v>11.6679459977291</v>
      </c>
      <c r="L4794" s="1" t="s">
        <v>973</v>
      </c>
    </row>
    <row r="4795" customFormat="false" ht="17.15" hidden="false" customHeight="false" outlineLevel="0" collapsed="false">
      <c r="A4795" s="1" t="s">
        <v>974</v>
      </c>
      <c r="B4795" s="0" t="s">
        <v>403</v>
      </c>
      <c r="C4795" s="15" t="n">
        <f aca="false">(Sens!C4789*tk_hold_h100+Sens!C4790*tk_hold_gb200+Sens!C4791*tk_hold_gb300+Sens!C4793*tk_hold_vr200+Sens!C4792*nv_out_mai*tk_hold_vr200)/Sens!C4781</f>
        <v>9.7235358126469</v>
      </c>
      <c r="D4795" s="15" t="n">
        <f aca="false">(Sens!D4789*tk_hold_h100+Sens!D4790*tk_hold_gb200+Sens!D4791*tk_hold_gb300+Sens!D4793*tk_hold_vr200+Sens!D4792*nv_out_mai*tk_hold_vr200)/Sens!D4781</f>
        <v>9.7235358126469</v>
      </c>
      <c r="E4795" s="15" t="n">
        <f aca="false">(Sens!E4789*tk_hold_h100+Sens!E4790*tk_hold_gb200+Sens!E4791*tk_hold_gb300+Sens!E4793*tk_hold_vr200+Sens!E4792*nv_out_mai*tk_hold_vr200)/Sens!E4781</f>
        <v>9.7235358126469</v>
      </c>
      <c r="F4795" s="15" t="n">
        <f aca="false">(Sens!F4789*tk_hold_h100+Sens!F4790*tk_hold_gb200+Sens!F4791*tk_hold_gb300+Sens!F4793*tk_hold_vr200+Sens!F4792*nv_out_mai*tk_hold_vr200)/Sens!F4781</f>
        <v>10.247422093969</v>
      </c>
      <c r="G4795" s="15" t="n">
        <f aca="false">(Sens!G4789*tk_hold_h100+Sens!G4790*tk_hold_gb200+Sens!G4791*tk_hold_gb300+Sens!G4793*tk_hold_vr200+Sens!G4792*nv_out_mai*tk_hold_vr200)/Sens!G4781</f>
        <v>10.6108602808053</v>
      </c>
      <c r="H4795" s="15" t="n">
        <f aca="false">(Sens!H4789*tk_hold_h100+Sens!H4790*tk_hold_gb200+Sens!H4791*tk_hold_gb300+Sens!H4793*tk_hold_vr200+Sens!H4792*nv_out_mai*tk_hold_vr200)/Sens!H4781</f>
        <v>10.9484639343852</v>
      </c>
      <c r="I4795" s="15" t="n">
        <f aca="false">(Sens!I4789*tk_hold_h100+Sens!I4790*tk_hold_gb200+Sens!I4791*tk_hold_gb300+Sens!I4793*tk_hold_vr200+Sens!I4792*nv_out_mai*tk_hold_vr200)/Sens!I4781</f>
        <v>11.1616577740653</v>
      </c>
      <c r="J4795" s="15" t="n">
        <f aca="false">(Sens!J4789*tk_hold_h100+Sens!J4790*tk_hold_gb200+Sens!J4791*tk_hold_gb300+Sens!J4793*tk_hold_vr200+Sens!J4792*nv_out_mai*tk_hold_vr200)/Sens!J4781</f>
        <v>11.4005710353138</v>
      </c>
      <c r="K4795" s="15" t="n">
        <f aca="false">(Sens!K4789*tk_hold_h100+Sens!K4790*tk_hold_gb200+Sens!K4791*tk_hold_gb300+Sens!K4793*tk_hold_vr200+Sens!K4792*nv_out_mai*tk_hold_vr200)/Sens!K4781</f>
        <v>11.7371176442531</v>
      </c>
      <c r="L4795" s="12" t="s">
        <v>975</v>
      </c>
    </row>
    <row r="4796" customFormat="false" ht="17.15" hidden="false" customHeight="false" outlineLevel="0" collapsed="false">
      <c r="A4796" s="0" t="s">
        <v>976</v>
      </c>
      <c r="B4796" s="0" t="s">
        <v>229</v>
      </c>
      <c r="C4796" s="15" t="n">
        <f aca="false">k_B</f>
        <v>1.17213932619116</v>
      </c>
      <c r="D4796" s="15" t="n">
        <f aca="false">k_B</f>
        <v>1.17213932619116</v>
      </c>
      <c r="E4796" s="15" t="n">
        <f aca="false">k_B</f>
        <v>1.17213932619116</v>
      </c>
      <c r="F4796" s="15" t="n">
        <f aca="false">(k_B+((ls_C*k_long+(1-ls_C)*k_spot)-k_B)*MIN(1,(Sens!F4779-base_fy)/k_ramp))</f>
        <v>1.07843258004497</v>
      </c>
      <c r="G4796" s="15" t="n">
        <f aca="false">(k_B+((ls_C*k_long+(1-ls_C)*k_spot)-k_B)*MIN(1,(Sens!G4779-base_fy)/k_ramp))</f>
        <v>0.984725833898784</v>
      </c>
      <c r="H4796" s="15" t="n">
        <f aca="false">(k_B+((ls_C*k_long+(1-ls_C)*k_spot)-k_B)*MIN(1,(Sens!H4779-base_fy)/k_ramp))</f>
        <v>0.891019087752599</v>
      </c>
      <c r="I4796" s="15" t="n">
        <f aca="false">(k_B+((ls_C*k_long+(1-ls_C)*k_spot)-k_B)*MIN(1,(Sens!I4779-base_fy)/k_ramp))</f>
        <v>0.891019087752599</v>
      </c>
      <c r="J4796" s="15" t="n">
        <f aca="false">(k_B+((ls_C*k_long+(1-ls_C)*k_spot)-k_B)*MIN(1,(Sens!J4779-base_fy)/k_ramp))</f>
        <v>0.891019087752599</v>
      </c>
      <c r="K4796" s="15" t="n">
        <f aca="false">(k_B+((ls_C*k_long+(1-ls_C)*k_spot)-k_B)*MIN(1,(Sens!K4779-base_fy)/k_ramp))</f>
        <v>0.891019087752599</v>
      </c>
      <c r="L4796" s="1" t="s">
        <v>977</v>
      </c>
    </row>
    <row r="4797" customFormat="false" ht="17.15" hidden="false" customHeight="false" outlineLevel="0" collapsed="false">
      <c r="A4797" s="1" t="s">
        <v>978</v>
      </c>
      <c r="B4797" s="0" t="s">
        <v>403</v>
      </c>
      <c r="C4797" s="15" t="n">
        <f aca="false">Sens!C4795*Sens!C4796*chip_f</f>
        <v>11.3973387156315</v>
      </c>
      <c r="D4797" s="15" t="n">
        <f aca="false">Sens!D4795*Sens!D4796*chip_f</f>
        <v>11.3973387156315</v>
      </c>
      <c r="E4797" s="15" t="n">
        <f aca="false">Sens!E4795*Sens!E4796*chip_f</f>
        <v>11.3973387156315</v>
      </c>
      <c r="F4797" s="15" t="n">
        <f aca="false">Sens!F4795*Sens!F4796*chip_f</f>
        <v>11.0511538476088</v>
      </c>
      <c r="G4797" s="15" t="n">
        <f aca="false">Sens!G4795*Sens!G4796*chip_f</f>
        <v>10.4487882383995</v>
      </c>
      <c r="H4797" s="15" t="n">
        <f aca="false">Sens!H4795*Sens!H4796*chip_f</f>
        <v>9.75529034710811</v>
      </c>
      <c r="I4797" s="15" t="n">
        <f aca="false">Sens!I4795*Sens!I4796*chip_f</f>
        <v>9.94525012765435</v>
      </c>
      <c r="J4797" s="15" t="n">
        <f aca="false">Sens!J4795*Sens!J4796*chip_f</f>
        <v>10.158126403744</v>
      </c>
      <c r="K4797" s="15" t="n">
        <f aca="false">Sens!K4795*Sens!K4796*chip_f</f>
        <v>10.4579958562273</v>
      </c>
      <c r="L4797" s="1" t="s">
        <v>979</v>
      </c>
    </row>
    <row r="4798" customFormat="false" ht="17.15" hidden="false" customHeight="false" outlineLevel="0" collapsed="false">
      <c r="A4798" s="0" t="s">
        <v>980</v>
      </c>
      <c r="B4798" s="0" t="s">
        <v>98</v>
      </c>
      <c r="D4798" s="6" t="n">
        <f aca="false">(Sens!C4781+Sens!D4781)/2*Sens!D4797/1000</f>
        <v>12.9359794422418</v>
      </c>
      <c r="E4798" s="6" t="n">
        <f aca="false">(Sens!D4781+Sens!E4781)/2*Sens!E4797/1000</f>
        <v>27.8095064661409</v>
      </c>
      <c r="F4798" s="6" t="n">
        <f aca="false">(Sens!E4781+Sens!F4781)/2*Sens!F4797/1000</f>
        <v>50.9819294352312</v>
      </c>
      <c r="G4798" s="6" t="n">
        <f aca="false">(Sens!F4781+Sens!G4781)/2*Sens!G4797/1000</f>
        <v>76.6920436014933</v>
      </c>
      <c r="H4798" s="6" t="n">
        <f aca="false">(Sens!G4781+Sens!H4781)/2*Sens!H4797/1000</f>
        <v>98.200047483305</v>
      </c>
      <c r="I4798" s="6" t="n">
        <f aca="false">(Sens!H4781+Sens!I4781)/2*Sens!I4797/1000</f>
        <v>123.277326170485</v>
      </c>
      <c r="J4798" s="6" t="n">
        <f aca="false">(Sens!I4781+Sens!J4781)/2*Sens!J4797/1000</f>
        <v>141.702103307125</v>
      </c>
      <c r="K4798" s="6" t="n">
        <f aca="false">(Sens!J4781+Sens!K4781)/2*Sens!K4797/1000</f>
        <v>154.315397765709</v>
      </c>
      <c r="L4798" s="12" t="s">
        <v>981</v>
      </c>
    </row>
    <row r="4799" customFormat="false" ht="17.15" hidden="false" customHeight="false" outlineLevel="0" collapsed="false">
      <c r="A4799" s="1" t="s">
        <v>982</v>
      </c>
      <c r="B4799" s="0" t="s">
        <v>403</v>
      </c>
      <c r="C4799" s="15" t="n">
        <f aca="false">(Sens!C4789*tk_opex_h100+Sens!C4790*tk_opex_gb200+Sens!C4791*tk_opex_gb300+(Sens!C4793+Sens!C4792)*tk_opex_vr200)/Sens!C4781</f>
        <v>1.88636041306092</v>
      </c>
      <c r="D4799" s="15" t="n">
        <f aca="false">(Sens!D4789*tk_opex_h100+Sens!D4790*tk_opex_gb200+Sens!D4791*tk_opex_gb300+(Sens!D4793+Sens!D4792)*tk_opex_vr200)/Sens!D4781</f>
        <v>1.88636041306092</v>
      </c>
      <c r="E4799" s="15" t="n">
        <f aca="false">(Sens!E4789*tk_opex_h100+Sens!E4790*tk_opex_gb200+Sens!E4791*tk_opex_gb300+(Sens!E4793+Sens!E4792)*tk_opex_vr200)/Sens!E4781</f>
        <v>1.88636041306092</v>
      </c>
      <c r="F4799" s="15" t="n">
        <f aca="false">(Sens!F4789*tk_opex_h100+Sens!F4790*tk_opex_gb200+Sens!F4791*tk_opex_gb300+(Sens!F4793+Sens!F4792)*tk_opex_vr200)/Sens!F4781</f>
        <v>1.95051159746876</v>
      </c>
      <c r="G4799" s="15" t="n">
        <f aca="false">(Sens!G4789*tk_opex_h100+Sens!G4790*tk_opex_gb200+Sens!G4791*tk_opex_gb300+(Sens!G4793+Sens!G4792)*tk_opex_vr200)/Sens!G4781</f>
        <v>1.98836003669956</v>
      </c>
      <c r="H4799" s="15" t="n">
        <f aca="false">(Sens!H4789*tk_opex_h100+Sens!H4790*tk_opex_gb200+Sens!H4791*tk_opex_gb300+(Sens!H4793+Sens!H4792)*tk_opex_vr200)/Sens!H4781</f>
        <v>2.02232025393885</v>
      </c>
      <c r="I4799" s="15" t="n">
        <f aca="false">(Sens!I4789*tk_opex_h100+Sens!I4790*tk_opex_gb200+Sens!I4791*tk_opex_gb300+(Sens!I4793+Sens!I4792)*tk_opex_vr200)/Sens!I4781</f>
        <v>2.04408335623333</v>
      </c>
      <c r="J4799" s="15" t="n">
        <f aca="false">(Sens!J4789*tk_opex_h100+Sens!J4790*tk_opex_gb200+Sens!J4791*tk_opex_gb300+(Sens!J4793+Sens!J4792)*tk_opex_vr200)/Sens!J4781</f>
        <v>2.0690255393673</v>
      </c>
      <c r="K4799" s="15" t="n">
        <f aca="false">(Sens!K4789*tk_opex_h100+Sens!K4790*tk_opex_gb200+Sens!K4791*tk_opex_gb300+(Sens!K4793+Sens!K4792)*tk_opex_vr200)/Sens!K4781</f>
        <v>2.1046052549011</v>
      </c>
      <c r="L4799" s="12" t="s">
        <v>983</v>
      </c>
    </row>
    <row r="4800" customFormat="false" ht="17.15" hidden="false" customHeight="false" outlineLevel="0" collapsed="false">
      <c r="A4800" s="0" t="s">
        <v>984</v>
      </c>
      <c r="B4800" s="0" t="s">
        <v>98</v>
      </c>
      <c r="D4800" s="6" t="n">
        <f aca="false">(Sens!C4784+Sens!D4784)/2*Sens!D4799/1000</f>
        <v>2.70378325872065</v>
      </c>
      <c r="E4800" s="6" t="n">
        <f aca="false">(Sens!D4784+Sens!E4784)/2*Sens!E4799/1000</f>
        <v>6.17783035277451</v>
      </c>
      <c r="F4800" s="6" t="n">
        <f aca="false">(Sens!E4784+Sens!F4784)/2*Sens!F4799/1000</f>
        <v>12.8742463089237</v>
      </c>
      <c r="G4800" s="6" t="n">
        <f aca="false">(Sens!F4784+Sens!G4784)/2*Sens!G4799/1000</f>
        <v>21.8182834646277</v>
      </c>
      <c r="H4800" s="6" t="n">
        <f aca="false">(Sens!G4784+Sens!H4784)/2*Sens!H4799/1000</f>
        <v>31.380807671394</v>
      </c>
      <c r="I4800" s="6" t="n">
        <f aca="false">(Sens!H4784+Sens!I4784)/2*Sens!I4799/1000</f>
        <v>39.6538488009602</v>
      </c>
      <c r="J4800" s="6" t="n">
        <f aca="false">(Sens!I4784+Sens!J4784)/2*Sens!J4799/1000</f>
        <v>45.4965951961756</v>
      </c>
      <c r="K4800" s="6" t="n">
        <f aca="false">(Sens!J4784+Sens!K4784)/2*Sens!K4799/1000</f>
        <v>49.1065204703494</v>
      </c>
    </row>
    <row r="4801" customFormat="false" ht="17.15" hidden="false" customHeight="false" outlineLevel="0" collapsed="false">
      <c r="A4801" s="0" t="s">
        <v>985</v>
      </c>
      <c r="B4801" s="0" t="s">
        <v>98</v>
      </c>
      <c r="D4801" s="6" t="n">
        <f aca="false">(Sens!C4782+Sens!D4782)/2*rent_mw/1000</f>
        <v>2.44475</v>
      </c>
      <c r="E4801" s="6" t="n">
        <f aca="false">(Sens!D4782+Sens!E4782)/2*rent_mw/1000</f>
        <v>4.22275</v>
      </c>
      <c r="F4801" s="6" t="n">
        <f aca="false">(Sens!E4782+Sens!F4782)/2*rent_mw/1000</f>
        <v>5.80517</v>
      </c>
      <c r="G4801" s="6" t="n">
        <f aca="false">(Sens!F4782+Sens!G4782)/2*rent_mw/1000</f>
        <v>6.72084</v>
      </c>
      <c r="H4801" s="6" t="n">
        <f aca="false">(Sens!G4782+Sens!H4782)/2*rent_mw/1000</f>
        <v>6.72084</v>
      </c>
      <c r="I4801" s="6" t="n">
        <f aca="false">(Sens!H4782+Sens!I4782)/2*rent_mw/1000</f>
        <v>6.72084</v>
      </c>
      <c r="J4801" s="6" t="n">
        <f aca="false">(Sens!I4782+Sens!J4782)/2*rent_mw/1000</f>
        <v>6.72084</v>
      </c>
      <c r="K4801" s="6" t="n">
        <f aca="false">(Sens!J4782+Sens!K4782)/2*rent_mw/1000</f>
        <v>6.72084</v>
      </c>
    </row>
    <row r="4802" customFormat="false" ht="17.15" hidden="false" customHeight="false" outlineLevel="0" collapsed="false">
      <c r="A4802" s="0" t="s">
        <v>986</v>
      </c>
      <c r="B4802" s="0" t="s">
        <v>98</v>
      </c>
      <c r="D4802" s="6" t="n">
        <f aca="false">(Sens!C4784+Sens!D4784)/2*(1-self_build)*fac_rent/1000</f>
        <v>0.853242375631075</v>
      </c>
      <c r="E4802" s="6" t="n">
        <f aca="false">(Sens!D4784+Sens!E4784)/2*(1-self_build)*fac_rent/1000</f>
        <v>1.94955961408728</v>
      </c>
      <c r="F4802" s="6" t="n">
        <f aca="false">(Sens!E4784+Sens!F4784)/2*(1-self_build)*fac_rent/1000</f>
        <v>3.92914894476356</v>
      </c>
      <c r="G4802" s="6" t="n">
        <f aca="false">(Sens!F4784+Sens!G4784)/2*(1-self_build)*fac_rent/1000</f>
        <v>6.53206908578159</v>
      </c>
      <c r="H4802" s="6" t="n">
        <f aca="false">(Sens!G4784+Sens!H4784)/2*(1-self_build)*fac_rent/1000</f>
        <v>9.23717988341591</v>
      </c>
      <c r="I4802" s="6" t="n">
        <f aca="false">(Sens!H4784+Sens!I4784)/2*(1-self_build)*fac_rent/1000</f>
        <v>11.5481378557393</v>
      </c>
      <c r="J4802" s="6" t="n">
        <f aca="false">(Sens!I4784+Sens!J4784)/2*(1-self_build)*fac_rent/1000</f>
        <v>13.0899582289108</v>
      </c>
      <c r="K4802" s="6" t="n">
        <f aca="false">(Sens!J4784+Sens!K4784)/2*(1-self_build)*fac_rent/1000</f>
        <v>13.8897275626556</v>
      </c>
      <c r="L4802" s="12" t="s">
        <v>987</v>
      </c>
    </row>
    <row r="4803" customFormat="false" ht="17.15" hidden="false" customHeight="false" outlineLevel="0" collapsed="false">
      <c r="A4803" s="1" t="s">
        <v>988</v>
      </c>
      <c r="B4803" s="0" t="s">
        <v>168</v>
      </c>
      <c r="D4803" s="7" t="n">
        <f aca="false">(Sens!C4783+Sens!D4783)/(Sens!C4784+Sens!D4784)</f>
        <v>0.6</v>
      </c>
      <c r="E4803" s="7" t="n">
        <f aca="false">(Sens!D4783+Sens!E4783)/(Sens!D4784+Sens!E4784)</f>
        <v>0.6</v>
      </c>
      <c r="F4803" s="7" t="n">
        <f aca="false">(Sens!E4783+Sens!F4783)/(Sens!E4784+Sens!F4784)</f>
        <v>0.6</v>
      </c>
      <c r="G4803" s="7" t="n">
        <f aca="false">(Sens!F4783+Sens!G4783)/(Sens!F4784+Sens!G4784)</f>
        <v>0.6</v>
      </c>
      <c r="H4803" s="7" t="n">
        <f aca="false">(Sens!G4783+Sens!H4783)/(Sens!G4784+Sens!H4784)</f>
        <v>0.6</v>
      </c>
      <c r="I4803" s="7" t="n">
        <f aca="false">(Sens!H4783+Sens!I4783)/(Sens!H4784+Sens!I4784)</f>
        <v>0.6</v>
      </c>
      <c r="J4803" s="7" t="n">
        <f aca="false">(Sens!I4783+Sens!J4783)/(Sens!I4784+Sens!J4784)</f>
        <v>0.6</v>
      </c>
      <c r="K4803" s="7" t="n">
        <f aca="false">(Sens!J4783+Sens!K4783)/(Sens!J4784+Sens!K4784)</f>
        <v>0.6</v>
      </c>
    </row>
    <row r="4804" customFormat="false" ht="17.15" hidden="false" customHeight="false" outlineLevel="0" collapsed="false">
      <c r="A4804" s="0" t="s">
        <v>989</v>
      </c>
      <c r="B4804" s="0" t="s">
        <v>98</v>
      </c>
      <c r="D4804" s="6" t="n">
        <f aca="false">Sens!D4798-Sens!D4803*(Sens!D4800+Sens!D4802)-Sens!D4801</f>
        <v>8.35701406163072</v>
      </c>
      <c r="E4804" s="6" t="n">
        <f aca="false">Sens!E4798-Sens!E4803*(Sens!E4800+Sens!E4802)-Sens!E4801</f>
        <v>18.7103224860238</v>
      </c>
      <c r="F4804" s="6" t="n">
        <f aca="false">Sens!F4798-Sens!F4803*(Sens!F4800+Sens!F4802)-Sens!F4801</f>
        <v>35.0947222830189</v>
      </c>
      <c r="G4804" s="6" t="n">
        <f aca="false">Sens!G4798-Sens!G4803*(Sens!G4800+Sens!G4802)-Sens!G4801</f>
        <v>52.9609920712477</v>
      </c>
      <c r="H4804" s="6" t="n">
        <f aca="false">Sens!H4798-Sens!H4803*(Sens!H4800+Sens!H4802)-Sens!H4801</f>
        <v>67.108414950419</v>
      </c>
      <c r="I4804" s="6" t="n">
        <f aca="false">Sens!I4798-Sens!I4803*(Sens!I4800+Sens!I4802)-Sens!I4801</f>
        <v>85.8352941764648</v>
      </c>
      <c r="J4804" s="6" t="n">
        <f aca="false">Sens!J4798-Sens!J4803*(Sens!J4800+Sens!J4802)-Sens!J4801</f>
        <v>99.8293312520729</v>
      </c>
      <c r="K4804" s="6" t="n">
        <f aca="false">Sens!K4798-Sens!K4803*(Sens!K4800+Sens!K4802)-Sens!K4801</f>
        <v>109.796808945906</v>
      </c>
    </row>
    <row r="4805" customFormat="false" ht="17.15" hidden="false" customHeight="false" outlineLevel="0" collapsed="false">
      <c r="A4805" s="1" t="s">
        <v>990</v>
      </c>
      <c r="B4805" s="0" t="s">
        <v>98</v>
      </c>
      <c r="D4805" s="6" t="n">
        <f aca="false">(1-Sens!D4803)*(Sens!D4800+Sens!D4802)</f>
        <v>1.42281025374069</v>
      </c>
      <c r="E4805" s="6" t="n">
        <f aca="false">(1-Sens!E4803)*(Sens!E4800+Sens!E4802)</f>
        <v>3.25095598674472</v>
      </c>
      <c r="F4805" s="6" t="n">
        <f aca="false">(1-Sens!F4803)*(Sens!F4800+Sens!F4802)</f>
        <v>6.72135810147489</v>
      </c>
      <c r="G4805" s="6" t="n">
        <f aca="false">(1-Sens!G4803)*(Sens!G4800+Sens!G4802)</f>
        <v>11.3401410201637</v>
      </c>
      <c r="H4805" s="6" t="n">
        <f aca="false">(1-Sens!H4803)*(Sens!H4800+Sens!H4802)</f>
        <v>16.247195021924</v>
      </c>
      <c r="I4805" s="6" t="n">
        <f aca="false">(1-Sens!I4803)*(Sens!I4800+Sens!I4802)</f>
        <v>20.4807946626798</v>
      </c>
      <c r="J4805" s="6" t="n">
        <f aca="false">(1-Sens!J4803)*(Sens!J4800+Sens!J4802)</f>
        <v>23.4346213700345</v>
      </c>
      <c r="K4805" s="6" t="n">
        <f aca="false">(1-Sens!K4803)*(Sens!K4800+Sens!K4802)</f>
        <v>25.198499213202</v>
      </c>
    </row>
    <row r="4806" customFormat="false" ht="17.15" hidden="false" customHeight="false" outlineLevel="0" collapsed="false">
      <c r="A4806" s="1" t="s">
        <v>991</v>
      </c>
      <c r="B4806" s="0" t="s">
        <v>417</v>
      </c>
      <c r="C4806" s="8" t="n">
        <f aca="false">cxit_open</f>
        <v>27.5918995</v>
      </c>
      <c r="D4806" s="8" t="n">
        <f aca="false">cxit_open</f>
        <v>27.5918995</v>
      </c>
      <c r="E4806" s="8" t="n">
        <f aca="false">cxit_open</f>
        <v>27.5918995</v>
      </c>
      <c r="F4806" s="8" t="n">
        <f aca="false">((a_g3_27-nonnv*a_mai)*tk_cxit_gb300+nonnv*a_mai*nv_hold_mai*tk_cxit_vr200+(1-a_g3_27)*tk_cxit_vr200)</f>
        <v>32.4975576</v>
      </c>
      <c r="G4806" s="8" t="n">
        <f aca="false">((a_g3_28-nonnv*a_mai)*tk_cxit_gb300+nonnv*a_mai*nv_hold_mai*tk_cxit_vr200+(1-a_g3_28)*tk_cxit_vr200)</f>
        <v>34.6372088</v>
      </c>
      <c r="H4806" s="8" t="n">
        <f aca="false">((a_g3_29-nonnv*a_mai)*tk_cxit_gb300+nonnv*a_mai*nv_hold_mai*tk_cxit_vr200+(1-a_g3_29)*tk_cxit_vr200)</f>
        <v>35.7070344</v>
      </c>
      <c r="I4806" s="8" t="n">
        <f aca="false">((a_g3_29-nonnv*a_mai)*tk_cxit_gb300+nonnv*a_mai*nv_hold_mai*tk_cxit_vr200+(1-a_g3_29)*tk_cxit_vr200)</f>
        <v>35.7070344</v>
      </c>
      <c r="J4806" s="8" t="n">
        <f aca="false">((a_g3_29-nonnv*a_mai)*tk_cxit_gb300+nonnv*a_mai*nv_hold_mai*tk_cxit_vr200+(1-a_g3_29)*tk_cxit_vr200)</f>
        <v>35.7070344</v>
      </c>
      <c r="K4806" s="8" t="n">
        <f aca="false">((a_g3_29-nonnv*a_mai)*tk_cxit_gb300+nonnv*a_mai*nv_hold_mai*tk_cxit_vr200+(1-a_g3_29)*tk_cxit_vr200)</f>
        <v>35.7070344</v>
      </c>
      <c r="L4806" s="12" t="s">
        <v>992</v>
      </c>
    </row>
    <row r="4807" customFormat="false" ht="17.15" hidden="false" customHeight="false" outlineLevel="0" collapsed="false">
      <c r="A4807" s="0" t="s">
        <v>993</v>
      </c>
      <c r="B4807" s="0" t="s">
        <v>459</v>
      </c>
      <c r="F4807" s="30" t="n">
        <f aca="false">Sens!C4786*IF(Sens!F4779-Sens!C4779=life_it_lo,1,0)+Sens!D4786*IF(Sens!F4779-Sens!D4779=life_it_lo,1,0)+Sens!E4786*IF(Sens!F4779-Sens!E4779=life_it_lo,1,0)</f>
        <v>0</v>
      </c>
      <c r="G4807" s="30" t="n">
        <f aca="false">Sens!C4786*IF(Sens!G4779-Sens!C4779=life_it_lo,1,0)+Sens!D4786*IF(Sens!G4779-Sens!D4779=life_it_lo,1,0)+Sens!E4786*IF(Sens!G4779-Sens!E4779=life_it_lo,1,0)+Sens!F4786*IF(Sens!G4779-Sens!F4779=life_it_lo,1,0)</f>
        <v>0</v>
      </c>
      <c r="H4807" s="30" t="n">
        <f aca="false">Sens!C4786*IF(Sens!H4779-Sens!C4779=life_it_lo,1,0)+Sens!D4786*IF(Sens!H4779-Sens!D4779=life_it_lo,1,0)+Sens!E4786*IF(Sens!H4779-Sens!E4779=life_it_lo,1,0)+Sens!F4786*IF(Sens!H4779-Sens!F4779=life_it_lo,1,0)+Sens!G4786*IF(Sens!H4779-Sens!G4779=life_it_lo,1,0)</f>
        <v>816.666666666667</v>
      </c>
      <c r="I4807" s="30" t="n">
        <f aca="false">Sens!C4786*IF(Sens!I4779-Sens!C4779=life_it_lo,1,0)+Sens!D4786*IF(Sens!I4779-Sens!D4779=life_it_lo,1,0)+Sens!E4786*IF(Sens!I4779-Sens!E4779=life_it_lo,1,0)+Sens!F4786*IF(Sens!I4779-Sens!F4779=life_it_lo,1,0)+Sens!G4786*IF(Sens!I4779-Sens!G4779=life_it_lo,1,0)+Sens!H4786*IF(Sens!I4779-Sens!H4779=life_it_lo,1,0)</f>
        <v>1233.33333333333</v>
      </c>
      <c r="J4807" s="30" t="n">
        <f aca="false">Sens!C4786*IF(Sens!J4779-Sens!C4779=life_it_lo,1,0)+Sens!D4786*IF(Sens!J4779-Sens!D4779=life_it_lo,1,0)+Sens!E4786*IF(Sens!J4779-Sens!E4779=life_it_lo,1,0)+Sens!F4786*IF(Sens!J4779-Sens!F4779=life_it_lo,1,0)+Sens!G4786*IF(Sens!J4779-Sens!G4779=life_it_lo,1,0)+Sens!H4786*IF(Sens!J4779-Sens!H4779=life_it_lo,1,0)+Sens!I4786*IF(Sens!J4779-Sens!I4779=life_it_lo,1,0)</f>
        <v>2450</v>
      </c>
      <c r="K4807" s="30" t="n">
        <f aca="false">Sens!C4786*IF(Sens!K4779-Sens!C4779=life_it_lo,1,0)+Sens!D4786*IF(Sens!K4779-Sens!D4779=life_it_lo,1,0)+Sens!E4786*IF(Sens!K4779-Sens!E4779=life_it_lo,1,0)+Sens!F4786*IF(Sens!K4779-Sens!F4779=life_it_lo,1,0)+Sens!G4786*IF(Sens!K4779-Sens!G4779=life_it_lo,1,0)+Sens!H4786*IF(Sens!K4779-Sens!H4779=life_it_lo,1,0)+Sens!I4786*IF(Sens!K4779-Sens!I4779=life_it_lo,1,0)+Sens!J4786*IF(Sens!K4779-Sens!J4779=life_it_lo,1,0)</f>
        <v>4200.89183333333</v>
      </c>
      <c r="L4807" s="1" t="s">
        <v>994</v>
      </c>
    </row>
    <row r="4808" customFormat="false" ht="17.15" hidden="false" customHeight="false" outlineLevel="0" collapsed="false">
      <c r="A4808" s="0" t="s">
        <v>995</v>
      </c>
      <c r="B4808" s="0" t="s">
        <v>98</v>
      </c>
      <c r="C4808" s="6" t="n">
        <f aca="false">Sens!C4786*Sens!C4806/1000</f>
        <v>22.5333845916667</v>
      </c>
      <c r="D4808" s="6" t="n">
        <f aca="false">Sens!D4786*Sens!D4806/1000</f>
        <v>34.0300093833333</v>
      </c>
      <c r="E4808" s="6" t="n">
        <f aca="false">Sens!E4786*Sens!E4806/1000</f>
        <v>67.600153775</v>
      </c>
      <c r="F4808" s="6" t="n">
        <f aca="false">(Sens!F4786+Sens!F4807)*Sens!F4806/1000</f>
        <v>136.51872432512</v>
      </c>
      <c r="G4808" s="6" t="n">
        <f aca="false">(Sens!G4786+Sens!G4807)*Sens!G4806/1000</f>
        <v>157.399275932048</v>
      </c>
      <c r="H4808" s="6" t="n">
        <f aca="false">(Sens!H4786+Sens!H4807)*Sens!H4806/1000</f>
        <v>191.421549107512</v>
      </c>
      <c r="I4808" s="6" t="n">
        <f aca="false">(Sens!I4786+Sens!I4807)*Sens!I4806/1000</f>
        <v>159.014500485434</v>
      </c>
      <c r="J4808" s="6" t="n">
        <f aca="false">(Sens!J4786+Sens!J4807)*Sens!J4806/1000</f>
        <v>157.472595877864</v>
      </c>
      <c r="K4808" s="6" t="n">
        <f aca="false">(Sens!K4786+Sens!K4807)*Sens!K4806/1000</f>
        <v>175.956240274487</v>
      </c>
    </row>
    <row r="4809" customFormat="false" ht="17.15" hidden="false" customHeight="false" outlineLevel="0" collapsed="false">
      <c r="A4809" s="0" t="s">
        <v>996</v>
      </c>
      <c r="B4809" s="0" t="s">
        <v>98</v>
      </c>
      <c r="C4809" s="6" t="n">
        <f aca="false">Sens!C4786*self_build*tk_cxfac/1000</f>
        <v>6.2083</v>
      </c>
      <c r="D4809" s="6" t="n">
        <f aca="false">Sens!D4786*self_build*tk_cxfac/1000</f>
        <v>9.3758</v>
      </c>
      <c r="E4809" s="6" t="n">
        <f aca="false">Sens!E4786*self_build*tk_cxfac/1000</f>
        <v>18.6249</v>
      </c>
      <c r="F4809" s="6" t="n">
        <f aca="false">Sens!F4786*self_build*tk_cxfac/1000</f>
        <v>31.935179717</v>
      </c>
      <c r="G4809" s="6" t="n">
        <f aca="false">Sens!G4786*self_build*tk_cxfac/1000</f>
        <v>34.545199717</v>
      </c>
      <c r="H4809" s="6" t="n">
        <f aca="false">Sens!H4786*self_build*tk_cxfac/1000</f>
        <v>34.545199717</v>
      </c>
      <c r="I4809" s="6" t="n">
        <f aca="false">Sens!I4786*self_build*tk_cxfac/1000</f>
        <v>24.4782641361767</v>
      </c>
      <c r="J4809" s="6" t="n">
        <f aca="false">Sens!J4786*self_build*tk_cxfac/1000</f>
        <v>14.9008938380769</v>
      </c>
      <c r="K4809" s="6" t="n">
        <f aca="false">Sens!K4786*self_build*tk_cxfac/1000</f>
        <v>5.52576771375761</v>
      </c>
    </row>
    <row r="4810" customFormat="false" ht="17.15" hidden="false" customHeight="false" outlineLevel="0" collapsed="false">
      <c r="A4810" s="0" t="s">
        <v>997</v>
      </c>
      <c r="B4810" s="0" t="s">
        <v>98</v>
      </c>
      <c r="F4810" s="15" t="n">
        <f aca="false">capex_floor27-Sens!F4808-Sens!F4809-Sens!F4906</f>
        <v>-0.0799631154216058</v>
      </c>
      <c r="L4810" s="12" t="s">
        <v>998</v>
      </c>
    </row>
    <row r="4811" customFormat="false" ht="17.15" hidden="false" customHeight="false" outlineLevel="0" collapsed="false">
      <c r="A4811" s="0" t="s">
        <v>999</v>
      </c>
      <c r="B4811" s="0" t="s">
        <v>98</v>
      </c>
      <c r="F4811" s="6" t="n">
        <f aca="false">MAX(0,Sens!F4810)</f>
        <v>0</v>
      </c>
    </row>
    <row r="4812" customFormat="false" ht="17.15" hidden="false" customHeight="false" outlineLevel="0" collapsed="false">
      <c r="A4812" s="0" t="s">
        <v>1000</v>
      </c>
      <c r="B4812" s="0" t="s">
        <v>98</v>
      </c>
      <c r="C4812" s="6" t="n">
        <f aca="false">Sens!C4808</f>
        <v>22.5333845916667</v>
      </c>
      <c r="D4812" s="6" t="n">
        <f aca="false">Sens!D4808</f>
        <v>34.0300093833333</v>
      </c>
      <c r="E4812" s="6" t="n">
        <f aca="false">Sens!E4808</f>
        <v>67.600153775</v>
      </c>
      <c r="F4812" s="6" t="n">
        <f aca="false">Sens!F4808</f>
        <v>136.51872432512</v>
      </c>
      <c r="G4812" s="6" t="n">
        <f aca="false">Sens!G4808</f>
        <v>157.399275932048</v>
      </c>
      <c r="H4812" s="6" t="n">
        <f aca="false">Sens!H4808</f>
        <v>191.421549107512</v>
      </c>
      <c r="I4812" s="6" t="n">
        <f aca="false">Sens!I4808</f>
        <v>159.014500485434</v>
      </c>
      <c r="J4812" s="6" t="n">
        <f aca="false">Sens!J4808</f>
        <v>157.472595877864</v>
      </c>
      <c r="K4812" s="6" t="n">
        <f aca="false">Sens!K4808</f>
        <v>175.956240274487</v>
      </c>
    </row>
    <row r="4813" customFormat="false" ht="17.15" hidden="false" customHeight="false" outlineLevel="0" collapsed="false">
      <c r="A4813" s="0" t="s">
        <v>1001</v>
      </c>
      <c r="B4813" s="0" t="s">
        <v>98</v>
      </c>
      <c r="C4813" s="6" t="n">
        <f aca="false">Sens!C4812+Sens!C4809</f>
        <v>28.7416845916667</v>
      </c>
      <c r="D4813" s="6" t="n">
        <f aca="false">Sens!D4812+Sens!D4809</f>
        <v>43.4058093833333</v>
      </c>
      <c r="E4813" s="6" t="n">
        <f aca="false">Sens!E4812+Sens!E4809</f>
        <v>86.225053775</v>
      </c>
      <c r="F4813" s="6" t="n">
        <f aca="false">Sens!F4812+Sens!F4809</f>
        <v>168.45390404212</v>
      </c>
      <c r="G4813" s="6" t="n">
        <f aca="false">Sens!G4812+Sens!G4809</f>
        <v>191.944475649048</v>
      </c>
      <c r="H4813" s="6" t="n">
        <f aca="false">Sens!H4812+Sens!H4809</f>
        <v>225.966748824512</v>
      </c>
      <c r="I4813" s="6" t="n">
        <f aca="false">Sens!I4812+Sens!I4809</f>
        <v>183.49276462161</v>
      </c>
      <c r="J4813" s="6" t="n">
        <f aca="false">Sens!J4812+Sens!J4809</f>
        <v>172.37348971594</v>
      </c>
      <c r="K4813" s="6" t="n">
        <f aca="false">Sens!K4812+Sens!K4809</f>
        <v>181.482007988245</v>
      </c>
      <c r="L4813" s="12" t="s">
        <v>1002</v>
      </c>
    </row>
    <row r="4814" customFormat="false" ht="17.15" hidden="false" customHeight="false" outlineLevel="0" collapsed="false">
      <c r="A4814" s="0" t="s">
        <v>1003</v>
      </c>
      <c r="B4814" s="0" t="s">
        <v>98</v>
      </c>
      <c r="E4814" s="6" t="n">
        <f aca="false">(Sens!C4812*IF(2&lt;life_it_lo,1,IF(2=life_it_lo,0.5,0))+Sens!D4812*IF(1&lt;life_it_lo,1,IF(1=life_it_lo,0.5,0))+Sens!E4812*0.5)/life_it_lo</f>
        <v>18.0726941725</v>
      </c>
      <c r="F4814" s="6" t="n">
        <f aca="false">(Sens!C4812*IF(3&lt;life_it_lo,1,IF(3=life_it_lo,0.5,0))+Sens!D4812*IF(2&lt;life_it_lo,1,IF(2=life_it_lo,0.5,0))+Sens!E4812*IF(1&lt;life_it_lo,1,IF(1=life_it_lo,0.5,0))+Sens!F4812*0.5)/life_it_lo</f>
        <v>38.484581982512</v>
      </c>
      <c r="G4814" s="6" t="n">
        <f aca="false">(Sens!C4812*IF(4&lt;life_it_lo,1,IF(4=life_it_lo,0.5,0))+Sens!D4812*IF(3&lt;life_it_lo,1,IF(3=life_it_lo,0.5,0))+Sens!E4812*IF(2&lt;life_it_lo,1,IF(2=life_it_lo,0.5,0))+Sens!F4812*IF(1&lt;life_it_lo,1,IF(1=life_it_lo,0.5,0))+Sens!G4812*0.5)/life_it_lo</f>
        <v>67.8763820082287</v>
      </c>
      <c r="H4814" s="6" t="n">
        <f aca="false">(Sens!C4812*IF(5&lt;life_it_lo,1,IF(5=life_it_lo,0.5,0))+Sens!D4812*IF(4&lt;life_it_lo,1,IF(4=life_it_lo,0.5,0))+Sens!E4812*IF(3&lt;life_it_lo,1,IF(3=life_it_lo,0.5,0))+Sens!F4812*IF(2&lt;life_it_lo,1,IF(2=life_it_lo,0.5,0))+Sens!G4812*IF(1&lt;life_it_lo,1,IF(1=life_it_lo,0.5,0))+Sens!H4812*0.5)/life_it_lo</f>
        <v>100.505126053018</v>
      </c>
      <c r="I4814" s="6" t="n">
        <f aca="false">(Sens!C4812*IF(6&lt;life_it_lo,1,IF(6=life_it_lo,0.5,0))+Sens!D4812*IF(5&lt;life_it_lo,1,IF(5=life_it_lo,0.5,0))+Sens!E4812*IF(4&lt;life_it_lo,1,IF(4=life_it_lo,0.5,0))+Sens!F4812*IF(3&lt;life_it_lo,1,IF(3=life_it_lo,0.5,0))+Sens!G4812*IF(2&lt;life_it_lo,1,IF(2=life_it_lo,0.5,0))+Sens!H4812*IF(1&lt;life_it_lo,1,IF(1=life_it_lo,0.5,0))+Sens!I4812*0.5)/life_it_lo</f>
        <v>129.892391614813</v>
      </c>
      <c r="J4814" s="6" t="n">
        <f aca="false">(Sens!C4812*IF(7&lt;life_it_lo,1,IF(7=life_it_lo,0.5,0))+Sens!D4812*IF(6&lt;life_it_lo,1,IF(6=life_it_lo,0.5,0))+Sens!E4812*IF(5&lt;life_it_lo,1,IF(5=life_it_lo,0.5,0))+Sens!F4812*IF(4&lt;life_it_lo,1,IF(4=life_it_lo,0.5,0))+Sens!G4812*IF(3&lt;life_it_lo,1,IF(3=life_it_lo,0.5,0))+Sens!H4812*IF(2&lt;life_it_lo,1,IF(2=life_it_lo,0.5,0))+Sens!I4812*IF(1&lt;life_it_lo,1,IF(1=life_it_lo,0.5,0))+Sens!J4812*0.5)/life_it_lo</f>
        <v>151.378084935309</v>
      </c>
      <c r="K4814" s="6" t="n">
        <f aca="false">(Sens!C4812*IF(8&lt;life_it_lo,1,IF(8=life_it_lo,0.5,0))+Sens!D4812*IF(7&lt;life_it_lo,1,IF(7=life_it_lo,0.5,0))+Sens!E4812*IF(6&lt;life_it_lo,1,IF(6=life_it_lo,0.5,0))+Sens!F4812*IF(5&lt;life_it_lo,1,IF(5=life_it_lo,0.5,0))+Sens!G4812*IF(4&lt;life_it_lo,1,IF(4=life_it_lo,0.5,0))+Sens!H4812*IF(3&lt;life_it_lo,1,IF(3=life_it_lo,0.5,0))+Sens!I4812*IF(2&lt;life_it_lo,1,IF(2=life_it_lo,0.5,0))+Sens!J4812*IF(1&lt;life_it_lo,1,IF(1=life_it_lo,0.5,0))+Sens!K4812*0.5)/life_it_lo</f>
        <v>164.309080740532</v>
      </c>
    </row>
    <row r="4815" customFormat="false" ht="17.15" hidden="false" customHeight="false" outlineLevel="0" collapsed="false">
      <c r="A4815" s="0" t="s">
        <v>1004</v>
      </c>
      <c r="B4815" s="0" t="s">
        <v>98</v>
      </c>
      <c r="E4815" s="6" t="n">
        <f aca="false">(Sens!C4809*IF(2&lt;life_fac,1,IF(2=life_fac,0.5,0))+Sens!D4809*IF(1&lt;life_fac,1,IF(1=life_fac,0.5,0))+Sens!E4809*0.5)/life_fac</f>
        <v>1.2448275</v>
      </c>
      <c r="F4815" s="6" t="n">
        <f aca="false">(Sens!C4809*IF(3&lt;life_fac,1,IF(3=life_fac,0.5,0))+Sens!D4809*IF(2&lt;life_fac,1,IF(2=life_fac,0.5,0))+Sens!E4809*IF(1&lt;life_fac,1,IF(1=life_fac,0.5,0))+Sens!F4809*0.5)/life_fac</f>
        <v>2.508829492925</v>
      </c>
      <c r="G4815" s="6" t="n">
        <f aca="false">(Sens!C4809*IF(4&lt;life_fac,1,IF(4=life_fac,0.5,0))+Sens!D4809*IF(3&lt;life_fac,1,IF(3=life_fac,0.5,0))+Sens!E4809*IF(2&lt;life_fac,1,IF(2=life_fac,0.5,0))+Sens!F4809*IF(1&lt;life_fac,1,IF(1=life_fac,0.5,0))+Sens!G4809*0.5)/life_fac</f>
        <v>4.170838978775</v>
      </c>
      <c r="H4815" s="6" t="n">
        <f aca="false">(Sens!C4809*IF(5&lt;life_fac,1,IF(5=life_fac,0.5,0))+Sens!D4809*IF(4&lt;life_fac,1,IF(4=life_fac,0.5,0))+Sens!E4809*IF(3&lt;life_fac,1,IF(3=life_fac,0.5,0))+Sens!F4809*IF(2&lt;life_fac,1,IF(2=life_fac,0.5,0))+Sens!G4809*IF(1&lt;life_fac,1,IF(1=life_fac,0.5,0))+Sens!H4809*0.5)/life_fac</f>
        <v>5.898098964625</v>
      </c>
      <c r="I4815" s="6" t="n">
        <f aca="false">(Sens!C4809*IF(6&lt;life_fac,1,IF(6=life_fac,0.5,0))+Sens!D4809*IF(5&lt;life_fac,1,IF(5=life_fac,0.5,0))+Sens!E4809*IF(4&lt;life_fac,1,IF(4=life_fac,0.5,0))+Sens!F4809*IF(3&lt;life_fac,1,IF(3=life_fac,0.5,0))+Sens!G4809*IF(2&lt;life_fac,1,IF(2=life_fac,0.5,0))+Sens!H4809*IF(1&lt;life_fac,1,IF(1=life_fac,0.5,0))+Sens!I4809*0.5)/life_fac</f>
        <v>7.37368556095442</v>
      </c>
      <c r="J4815" s="6" t="n">
        <f aca="false">(Sens!C4809*IF(7&lt;life_fac,1,IF(7=life_fac,0.5,0))+Sens!D4809*IF(6&lt;life_fac,1,IF(6=life_fac,0.5,0))+Sens!E4809*IF(5&lt;life_fac,1,IF(5=life_fac,0.5,0))+Sens!F4809*IF(4&lt;life_fac,1,IF(4=life_fac,0.5,0))+Sens!G4809*IF(3&lt;life_fac,1,IF(3=life_fac,0.5,0))+Sens!H4809*IF(2&lt;life_fac,1,IF(2=life_fac,0.5,0))+Sens!I4809*IF(1&lt;life_fac,1,IF(1=life_fac,0.5,0))+Sens!J4809*0.5)/life_fac</f>
        <v>8.35816451031075</v>
      </c>
      <c r="K4815" s="6" t="n">
        <f aca="false">(Sens!C4809*IF(8&lt;life_fac,1,IF(8=life_fac,0.5,0))+Sens!D4809*IF(7&lt;life_fac,1,IF(7=life_fac,0.5,0))+Sens!E4809*IF(6&lt;life_fac,1,IF(6=life_fac,0.5,0))+Sens!F4809*IF(5&lt;life_fac,1,IF(5=life_fac,0.5,0))+Sens!G4809*IF(4&lt;life_fac,1,IF(4=life_fac,0.5,0))+Sens!H4809*IF(3&lt;life_fac,1,IF(3=life_fac,0.5,0))+Sens!I4809*IF(2&lt;life_fac,1,IF(2=life_fac,0.5,0))+Sens!J4809*IF(1&lt;life_fac,1,IF(1=life_fac,0.5,0))+Sens!K4809*0.5)/life_fac</f>
        <v>8.86883104910662</v>
      </c>
    </row>
    <row r="4816" customFormat="false" ht="17.15" hidden="false" customHeight="false" outlineLevel="0" collapsed="false">
      <c r="A4816" s="0" t="s">
        <v>1005</v>
      </c>
      <c r="B4816" s="0" t="s">
        <v>98</v>
      </c>
      <c r="E4816" s="6" t="n">
        <f aca="false">Sens!E4814+Sens!E4815</f>
        <v>19.3175216725</v>
      </c>
      <c r="F4816" s="6" t="n">
        <f aca="false">Sens!F4814+Sens!F4815</f>
        <v>40.993411475437</v>
      </c>
      <c r="G4816" s="6" t="n">
        <f aca="false">Sens!G4814+Sens!G4815</f>
        <v>72.0472209870037</v>
      </c>
      <c r="H4816" s="6" t="n">
        <f aca="false">Sens!H4814+Sens!H4815</f>
        <v>106.403225017643</v>
      </c>
      <c r="I4816" s="6" t="n">
        <f aca="false">Sens!I4814+Sens!I4815</f>
        <v>137.266077175767</v>
      </c>
      <c r="J4816" s="6" t="n">
        <f aca="false">Sens!J4814+Sens!J4815</f>
        <v>159.73624944562</v>
      </c>
      <c r="K4816" s="6" t="n">
        <f aca="false">Sens!K4814+Sens!K4815</f>
        <v>173.177911789639</v>
      </c>
    </row>
    <row r="4817" customFormat="false" ht="17.15" hidden="false" customHeight="false" outlineLevel="0" collapsed="false">
      <c r="A4817" s="0" t="s">
        <v>1006</v>
      </c>
      <c r="B4817" s="0" t="s">
        <v>98</v>
      </c>
      <c r="E4817" s="6" t="n">
        <f aca="false">Sens!E4804-Sens!E4803*Sens!E4816</f>
        <v>7.11980948252379</v>
      </c>
      <c r="F4817" s="6" t="n">
        <f aca="false">Sens!F4804-Sens!F4803*Sens!F4816</f>
        <v>10.4986753977567</v>
      </c>
      <c r="G4817" s="6" t="n">
        <f aca="false">Sens!G4804-Sens!G4803*Sens!G4816</f>
        <v>9.73265947904547</v>
      </c>
      <c r="H4817" s="6" t="n">
        <f aca="false">Sens!H4804-Sens!H4803*Sens!H4816</f>
        <v>3.26647993983318</v>
      </c>
      <c r="I4817" s="6" t="n">
        <f aca="false">Sens!I4804-Sens!I4803*Sens!I4816</f>
        <v>3.47564787100455</v>
      </c>
      <c r="J4817" s="6" t="n">
        <f aca="false">Sens!J4804-Sens!J4803*Sens!J4816</f>
        <v>3.98758158470092</v>
      </c>
      <c r="K4817" s="6" t="n">
        <f aca="false">Sens!K4804-Sens!K4803*Sens!K4816</f>
        <v>5.89006187212263</v>
      </c>
    </row>
    <row r="4818" customFormat="false" ht="17.15" hidden="false" customHeight="false" outlineLevel="0" collapsed="false">
      <c r="A4818" s="3" t="s">
        <v>1731</v>
      </c>
    </row>
    <row r="4819" customFormat="false" ht="15" hidden="false" customHeight="false" outlineLevel="0" collapsed="false">
      <c r="A4819" s="4" t="s">
        <v>43</v>
      </c>
      <c r="B4819" s="4" t="s">
        <v>65</v>
      </c>
      <c r="C4819" s="23" t="s">
        <v>942</v>
      </c>
      <c r="D4819" s="23" t="s">
        <v>943</v>
      </c>
      <c r="E4819" s="23" t="s">
        <v>944</v>
      </c>
      <c r="F4819" s="23" t="s">
        <v>945</v>
      </c>
      <c r="G4819" s="23" t="s">
        <v>946</v>
      </c>
      <c r="H4819" s="23" t="s">
        <v>947</v>
      </c>
      <c r="I4819" s="23" t="s">
        <v>948</v>
      </c>
      <c r="J4819" s="23" t="s">
        <v>949</v>
      </c>
      <c r="K4819" s="23" t="s">
        <v>950</v>
      </c>
      <c r="L4819" s="4" t="s">
        <v>47</v>
      </c>
    </row>
    <row r="4820" customFormat="false" ht="17.15" hidden="false" customHeight="false" outlineLevel="0" collapsed="false">
      <c r="A4820" s="0" t="s">
        <v>1025</v>
      </c>
      <c r="B4820" s="0" t="s">
        <v>98</v>
      </c>
      <c r="D4820" s="6" t="n">
        <f aca="false">Sens!D4798</f>
        <v>12.9359794422418</v>
      </c>
      <c r="E4820" s="6" t="n">
        <f aca="false">Sens!E4798</f>
        <v>27.8095064661409</v>
      </c>
      <c r="F4820" s="6" t="n">
        <f aca="false">Sens!F4798</f>
        <v>50.9819294352312</v>
      </c>
      <c r="G4820" s="6" t="n">
        <f aca="false">Sens!G4798</f>
        <v>76.6920436014933</v>
      </c>
      <c r="H4820" s="6" t="n">
        <f aca="false">Sens!H4798</f>
        <v>98.200047483305</v>
      </c>
      <c r="I4820" s="6" t="n">
        <f aca="false">Sens!I4798</f>
        <v>123.277326170485</v>
      </c>
      <c r="J4820" s="6" t="n">
        <f aca="false">Sens!J4798</f>
        <v>141.702103307125</v>
      </c>
      <c r="K4820" s="6" t="n">
        <f aca="false">Sens!K4798</f>
        <v>154.315397765709</v>
      </c>
    </row>
    <row r="4821" customFormat="false" ht="17.15" hidden="false" customHeight="false" outlineLevel="0" collapsed="false">
      <c r="A4821" s="0" t="s">
        <v>1026</v>
      </c>
      <c r="B4821" s="0" t="s">
        <v>98</v>
      </c>
      <c r="D4821" s="6" t="n">
        <f aca="false">Q!L6-Sens!D4820</f>
        <v>59.6740205577583</v>
      </c>
      <c r="E4821" s="6" t="n">
        <f aca="false">Q!M6-Sens!E4820</f>
        <v>74.1284935338591</v>
      </c>
      <c r="F4821" s="6" t="n">
        <f aca="false">Q!$I$6+(Sens!F4820+Sens!E4821*(1+Sens!F4822))*(1-Q!$E$6/Q!M6)-Sens!F4820</f>
        <v>92.2699541184664</v>
      </c>
      <c r="G4821" s="6" t="n">
        <f aca="false">Sens!F4821*(1+Sens!G4822)</f>
        <v>109.630477277949</v>
      </c>
      <c r="H4821" s="6" t="n">
        <f aca="false">Sens!G4821*(1+Sens!H4822)</f>
        <v>127.293256321956</v>
      </c>
      <c r="I4821" s="6" t="n">
        <f aca="false">Sens!H4821*(1+Sens!I4822)</f>
        <v>144.360052269491</v>
      </c>
      <c r="J4821" s="6" t="n">
        <f aca="false">Sens!I4821*(1+Sens!J4822)</f>
        <v>159.811964490216</v>
      </c>
      <c r="K4821" s="6" t="n">
        <f aca="false">Sens!J4821*(1+Sens!K4822)</f>
        <v>172.596921649434</v>
      </c>
      <c r="L4821" s="12" t="s">
        <v>1027</v>
      </c>
    </row>
    <row r="4822" customFormat="false" ht="15" hidden="false" customHeight="false" outlineLevel="0" collapsed="false">
      <c r="A4822" s="1" t="s">
        <v>1028</v>
      </c>
      <c r="B4822" s="0" t="s">
        <v>168</v>
      </c>
      <c r="E4822" s="7" t="n">
        <f aca="false">Sens!E4821/Sens!D4821-1</f>
        <v>0.242223883039864</v>
      </c>
      <c r="F4822" s="7" t="n">
        <f aca="false">Sens!$E$4822+(glt_azo-Sens!$E$4822)*MIN(1,(Sens!F4779-base_fy)/n_conv)</f>
        <v>0.215186569199887</v>
      </c>
      <c r="G4822" s="7" t="n">
        <f aca="false">Sens!$E$4822+(glt_azo-Sens!$E$4822)*MIN(1,(Sens!G4779-base_fy)/n_conv)</f>
        <v>0.18814925535991</v>
      </c>
      <c r="H4822" s="7" t="n">
        <f aca="false">Sens!$E$4822+(glt_azo-Sens!$E$4822)*MIN(1,(Sens!H4779-base_fy)/n_conv)</f>
        <v>0.161111941519932</v>
      </c>
      <c r="I4822" s="7" t="n">
        <f aca="false">Sens!$E$4822+(glt_azo-Sens!$E$4822)*MIN(1,(Sens!I4779-base_fy)/n_conv)</f>
        <v>0.134074627679955</v>
      </c>
      <c r="J4822" s="7" t="n">
        <f aca="false">Sens!$E$4822+(glt_azo-Sens!$E$4822)*MIN(1,(Sens!J4779-base_fy)/n_conv)</f>
        <v>0.107037313839977</v>
      </c>
      <c r="K4822" s="7" t="n">
        <f aca="false">Sens!$E$4822+(glt_azo-Sens!$E$4822)*MIN(1,(Sens!K4779-base_fy)/n_conv)</f>
        <v>0.08</v>
      </c>
    </row>
    <row r="4823" customFormat="false" ht="15" hidden="false" customHeight="false" outlineLevel="0" collapsed="false">
      <c r="A4823" s="0" t="s">
        <v>1029</v>
      </c>
      <c r="B4823" s="0" t="s">
        <v>98</v>
      </c>
      <c r="D4823" s="6" t="n">
        <f aca="false">Sens!D4820+Sens!D4821</f>
        <v>72.61</v>
      </c>
      <c r="E4823" s="6" t="n">
        <f aca="false">Sens!E4820+Sens!E4821</f>
        <v>101.938</v>
      </c>
      <c r="F4823" s="6" t="n">
        <f aca="false">Sens!F4820+Sens!F4821</f>
        <v>143.251883553698</v>
      </c>
      <c r="G4823" s="6" t="n">
        <f aca="false">Sens!G4820+Sens!G4821</f>
        <v>186.322520879442</v>
      </c>
      <c r="H4823" s="6" t="n">
        <f aca="false">Sens!H4820+Sens!H4821</f>
        <v>225.493303805261</v>
      </c>
      <c r="I4823" s="6" t="n">
        <f aca="false">Sens!I4820+Sens!I4821</f>
        <v>267.637378439976</v>
      </c>
      <c r="J4823" s="6" t="n">
        <f aca="false">Sens!J4820+Sens!J4821</f>
        <v>301.514067797341</v>
      </c>
      <c r="K4823" s="6" t="n">
        <f aca="false">Sens!K4820+Sens!K4821</f>
        <v>326.912319415143</v>
      </c>
    </row>
    <row r="4824" customFormat="false" ht="17.15" hidden="false" customHeight="false" outlineLevel="0" collapsed="false">
      <c r="A4824" s="0" t="s">
        <v>1030</v>
      </c>
      <c r="B4824" s="1" t="s">
        <v>613</v>
      </c>
      <c r="C4824" s="30" t="n">
        <f aca="false">cop_s24</f>
        <v>1</v>
      </c>
      <c r="D4824" s="30" t="n">
        <f aca="false">cop_s25</f>
        <v>5</v>
      </c>
      <c r="E4824" s="30" t="n">
        <f aca="false">cop_s26</f>
        <v>30</v>
      </c>
      <c r="F4824" s="30" t="n">
        <f aca="false">Sens!E4824+cop_add_C</f>
        <v>40</v>
      </c>
      <c r="G4824" s="30" t="n">
        <f aca="false">Sens!F4824+cop_add_C</f>
        <v>50</v>
      </c>
      <c r="H4824" s="30" t="n">
        <f aca="false">Sens!G4824+cop_add_C</f>
        <v>60</v>
      </c>
      <c r="I4824" s="30" t="n">
        <f aca="false">Sens!H4824+cop_add_C*cop_tail</f>
        <v>65</v>
      </c>
      <c r="J4824" s="30" t="n">
        <f aca="false">Sens!I4824+cop_add_C*cop_tail</f>
        <v>70</v>
      </c>
      <c r="K4824" s="30" t="n">
        <f aca="false">Sens!J4824+cop_add_C*cop_tail</f>
        <v>75</v>
      </c>
      <c r="L4824" s="12" t="s">
        <v>1031</v>
      </c>
    </row>
    <row r="4825" customFormat="false" ht="17.15" hidden="false" customHeight="false" outlineLevel="0" collapsed="false">
      <c r="A4825" s="0" t="s">
        <v>1032</v>
      </c>
      <c r="B4825" s="0" t="s">
        <v>98</v>
      </c>
      <c r="D4825" s="6" t="n">
        <f aca="false">(Sens!C4824+Sens!D4824)/2*cop_px*12/1000</f>
        <v>0.9</v>
      </c>
      <c r="E4825" s="6" t="n">
        <f aca="false">(Sens!D4824+Sens!E4824)/2*cop_px*12/1000</f>
        <v>5.25</v>
      </c>
      <c r="F4825" s="6" t="n">
        <f aca="false">(Sens!E4824+Sens!F4824)/2*cop_px*12/1000</f>
        <v>10.5</v>
      </c>
      <c r="G4825" s="6" t="n">
        <f aca="false">(Sens!F4824+Sens!G4824)/2*cop_px*12/1000</f>
        <v>13.5</v>
      </c>
      <c r="H4825" s="6" t="n">
        <f aca="false">(Sens!G4824+Sens!H4824)/2*cop_px*12/1000</f>
        <v>16.5</v>
      </c>
      <c r="I4825" s="6" t="n">
        <f aca="false">(Sens!H4824+Sens!I4824)/2*cop_px*12/1000</f>
        <v>18.75</v>
      </c>
      <c r="J4825" s="6" t="n">
        <f aca="false">(Sens!I4824+Sens!J4824)/2*cop_px*12/1000</f>
        <v>20.25</v>
      </c>
      <c r="K4825" s="6" t="n">
        <f aca="false">(Sens!J4824+Sens!K4824)/2*cop_px*12/1000</f>
        <v>21.75</v>
      </c>
      <c r="L4825" s="1" t="s">
        <v>1033</v>
      </c>
    </row>
    <row r="4826" customFormat="false" ht="17.15" hidden="false" customHeight="false" outlineLevel="0" collapsed="false">
      <c r="A4826" s="0" t="s">
        <v>1034</v>
      </c>
      <c r="B4826" s="0" t="s">
        <v>98</v>
      </c>
      <c r="D4826" s="6" t="n">
        <f aca="false">Q!L7-Sens!D4825</f>
        <v>83.705</v>
      </c>
      <c r="E4826" s="6" t="n">
        <f aca="false">Q!M7-Sens!E4825</f>
        <v>95.049</v>
      </c>
      <c r="F4826" s="6" t="n">
        <f aca="false">Q!$I$7+(Sens!E4826*(1+Sens!F4827)+Sens!F4825)*(1-Q!$E$7/Q!M7)-Sens!F4825</f>
        <v>106.938354189776</v>
      </c>
      <c r="G4826" s="6" t="n">
        <f aca="false">Sens!F4826*(1+Sens!G4827)</f>
        <v>119.095360443801</v>
      </c>
      <c r="H4826" s="6" t="n">
        <f aca="false">Sens!G4826*(1+Sens!H4827)</f>
        <v>131.333811964563</v>
      </c>
      <c r="I4826" s="6" t="n">
        <f aca="false">Sens!H4826*(1+Sens!I4827)</f>
        <v>143.395665319381</v>
      </c>
      <c r="J4826" s="6" t="n">
        <f aca="false">Sens!I4826*(1+Sens!J4827)</f>
        <v>154.999327755573</v>
      </c>
      <c r="K4826" s="6" t="n">
        <f aca="false">Sens!J4826*(1+Sens!K4827)</f>
        <v>165.849280698463</v>
      </c>
      <c r="L4826" s="12" t="s">
        <v>1035</v>
      </c>
    </row>
    <row r="4827" customFormat="false" ht="15" hidden="false" customHeight="false" outlineLevel="0" collapsed="false">
      <c r="A4827" s="1" t="s">
        <v>1028</v>
      </c>
      <c r="B4827" s="0" t="s">
        <v>168</v>
      </c>
      <c r="E4827" s="7" t="n">
        <f aca="false">Sens!E4826/Sens!D4826-1</f>
        <v>0.135523564900544</v>
      </c>
      <c r="F4827" s="7" t="n">
        <f aca="false">Sens!$E$4827+(glt_m365b-Sens!$E$4827)*MIN(1,(Sens!F4779-base_fy)/n_conv)</f>
        <v>0.124602970750453</v>
      </c>
      <c r="G4827" s="7" t="n">
        <f aca="false">Sens!$E$4827+(glt_m365b-Sens!$E$4827)*MIN(1,(Sens!G4779-base_fy)/n_conv)</f>
        <v>0.113682376600363</v>
      </c>
      <c r="H4827" s="7" t="n">
        <f aca="false">Sens!$E$4827+(glt_m365b-Sens!$E$4827)*MIN(1,(Sens!H4779-base_fy)/n_conv)</f>
        <v>0.102761782450272</v>
      </c>
      <c r="I4827" s="7" t="n">
        <f aca="false">Sens!$E$4827+(glt_m365b-Sens!$E$4827)*MIN(1,(Sens!I4779-base_fy)/n_conv)</f>
        <v>0.0918411883001813</v>
      </c>
      <c r="J4827" s="7" t="n">
        <f aca="false">Sens!$E$4827+(glt_m365b-Sens!$E$4827)*MIN(1,(Sens!J4779-base_fy)/n_conv)</f>
        <v>0.0809205941500906</v>
      </c>
      <c r="K4827" s="7" t="n">
        <f aca="false">Sens!$E$4827+(glt_m365b-Sens!$E$4827)*MIN(1,(Sens!K4779-base_fy)/n_conv)</f>
        <v>0.07</v>
      </c>
    </row>
    <row r="4828" customFormat="false" ht="15" hidden="false" customHeight="false" outlineLevel="0" collapsed="false">
      <c r="A4828" s="0" t="s">
        <v>1036</v>
      </c>
      <c r="B4828" s="0" t="s">
        <v>98</v>
      </c>
      <c r="D4828" s="6" t="n">
        <f aca="false">Sens!D4826+Sens!D4825</f>
        <v>84.605</v>
      </c>
      <c r="E4828" s="6" t="n">
        <f aca="false">Sens!E4826+Sens!E4825</f>
        <v>100.299</v>
      </c>
      <c r="F4828" s="6" t="n">
        <f aca="false">Sens!F4826+Sens!F4825</f>
        <v>117.438354189776</v>
      </c>
      <c r="G4828" s="6" t="n">
        <f aca="false">Sens!G4826+Sens!G4825</f>
        <v>132.595360443801</v>
      </c>
      <c r="H4828" s="6" t="n">
        <f aca="false">Sens!H4826+Sens!H4825</f>
        <v>147.833811964563</v>
      </c>
      <c r="I4828" s="6" t="n">
        <f aca="false">Sens!I4826+Sens!I4825</f>
        <v>162.145665319381</v>
      </c>
      <c r="J4828" s="6" t="n">
        <f aca="false">Sens!J4826+Sens!J4825</f>
        <v>175.249327755573</v>
      </c>
      <c r="K4828" s="6" t="n">
        <f aca="false">Sens!K4826+Sens!K4825</f>
        <v>187.599280698463</v>
      </c>
    </row>
    <row r="4829" customFormat="false" ht="17.15" hidden="false" customHeight="false" outlineLevel="0" collapsed="false">
      <c r="A4829" s="0" t="s">
        <v>1037</v>
      </c>
      <c r="B4829" s="0" t="s">
        <v>98</v>
      </c>
      <c r="D4829" s="6" t="n">
        <f aca="false">Q!L8</f>
        <v>35.391</v>
      </c>
      <c r="E4829" s="6" t="n">
        <f aca="false">Q!M8</f>
        <v>37.285</v>
      </c>
      <c r="F4829" s="6" t="n">
        <f aca="false">Q!$I$8+(Q!M8-Q!$E$8)*(1+Sens!F4830)</f>
        <v>38.3851437782675</v>
      </c>
      <c r="G4829" s="6" t="n">
        <f aca="false">Sens!F4829*(1+Sens!G4830)</f>
        <v>40.0105353288615</v>
      </c>
      <c r="H4829" s="6" t="n">
        <f aca="false">Sens!G4829*(1+Sens!H4830)</f>
        <v>41.4812512033683</v>
      </c>
      <c r="I4829" s="6" t="n">
        <f aca="false">Sens!H4829*(1+Sens!I4830)</f>
        <v>42.7743107216329</v>
      </c>
      <c r="J4829" s="6" t="n">
        <f aca="false">Sens!I4829*(1+Sens!J4830)</f>
        <v>43.8687373064601</v>
      </c>
      <c r="K4829" s="6" t="n">
        <f aca="false">Sens!J4829*(1+Sens!K4830)</f>
        <v>44.7461120525893</v>
      </c>
      <c r="L4829" s="12" t="s">
        <v>1038</v>
      </c>
    </row>
    <row r="4830" customFormat="false" ht="15" hidden="false" customHeight="false" outlineLevel="0" collapsed="false">
      <c r="A4830" s="1" t="s">
        <v>1028</v>
      </c>
      <c r="B4830" s="0" t="s">
        <v>168</v>
      </c>
      <c r="E4830" s="7" t="n">
        <f aca="false">Sens!E4829/Sens!D4829-1</f>
        <v>0.0535164307309768</v>
      </c>
      <c r="F4830" s="7" t="n">
        <f aca="false">Sens!$E$4830+(glt_lic-Sens!$E$4830)*MIN(1,(Sens!F4779-base_fy)/n_conv)</f>
        <v>0.0479303589424807</v>
      </c>
      <c r="G4830" s="7" t="n">
        <f aca="false">Sens!$E$4830+(glt_lic-Sens!$E$4830)*MIN(1,(Sens!G4779-base_fy)/n_conv)</f>
        <v>0.0423442871539845</v>
      </c>
      <c r="H4830" s="7" t="n">
        <f aca="false">Sens!$E$4830+(glt_lic-Sens!$E$4830)*MIN(1,(Sens!H4779-base_fy)/n_conv)</f>
        <v>0.0367582153654884</v>
      </c>
      <c r="I4830" s="7" t="n">
        <f aca="false">Sens!$E$4830+(glt_lic-Sens!$E$4830)*MIN(1,(Sens!I4779-base_fy)/n_conv)</f>
        <v>0.0311721435769923</v>
      </c>
      <c r="J4830" s="7" t="n">
        <f aca="false">Sens!$E$4830+(glt_lic-Sens!$E$4830)*MIN(1,(Sens!J4779-base_fy)/n_conv)</f>
        <v>0.0255860717884961</v>
      </c>
      <c r="K4830" s="7" t="n">
        <f aca="false">Sens!$E$4830+(glt_lic-Sens!$E$4830)*MIN(1,(Sens!K4779-base_fy)/n_conv)</f>
        <v>0.02</v>
      </c>
    </row>
    <row r="4831" customFormat="false" ht="17.15" hidden="false" customHeight="false" outlineLevel="0" collapsed="false">
      <c r="A4831" s="0" t="s">
        <v>1039</v>
      </c>
      <c r="B4831" s="0" t="s">
        <v>98</v>
      </c>
      <c r="D4831" s="6" t="n">
        <f aca="false">Q!L9</f>
        <v>18.417</v>
      </c>
      <c r="E4831" s="6" t="n">
        <f aca="false">Q!M9</f>
        <v>20.345</v>
      </c>
      <c r="F4831" s="6" t="n">
        <f aca="false">Q!$I$9+(Q!M9-Q!$E$9)*(1+Sens!F4832)</f>
        <v>22.3161797133988</v>
      </c>
      <c r="G4831" s="6" t="n">
        <f aca="false">Sens!F4831*(1+Sens!G4832)</f>
        <v>24.3943499673233</v>
      </c>
      <c r="H4831" s="6" t="n">
        <f aca="false">Sens!G4831*(1+Sens!H4832)</f>
        <v>26.5250243109019</v>
      </c>
      <c r="I4831" s="6" t="n">
        <f aca="false">Sens!H4831*(1+Sens!I4832)</f>
        <v>28.6884573538181</v>
      </c>
      <c r="J4831" s="6" t="n">
        <f aca="false">Sens!I4831*(1+Sens!J4832)</f>
        <v>30.8624968052127</v>
      </c>
      <c r="K4831" s="6" t="n">
        <f aca="false">Sens!J4831*(1+Sens!K4832)</f>
        <v>33.0228715815776</v>
      </c>
      <c r="L4831" s="12" t="s">
        <v>1038</v>
      </c>
    </row>
    <row r="4832" customFormat="false" ht="15" hidden="false" customHeight="false" outlineLevel="0" collapsed="false">
      <c r="A4832" s="1" t="s">
        <v>1028</v>
      </c>
      <c r="B4832" s="0" t="s">
        <v>168</v>
      </c>
      <c r="E4832" s="7" t="n">
        <f aca="false">Sens!E4831/Sens!D4831-1</f>
        <v>0.104685888038225</v>
      </c>
      <c r="F4832" s="7" t="n">
        <f aca="false">Sens!$E$4832+(glt_ind-Sens!$E$4832)*MIN(1,(Sens!F4779-base_fy)/n_conv)</f>
        <v>0.0989049066985211</v>
      </c>
      <c r="G4832" s="7" t="n">
        <f aca="false">Sens!$E$4832+(glt_ind-Sens!$E$4832)*MIN(1,(Sens!G4779-base_fy)/n_conv)</f>
        <v>0.0931239253588169</v>
      </c>
      <c r="H4832" s="7" t="n">
        <f aca="false">Sens!$E$4832+(glt_ind-Sens!$E$4832)*MIN(1,(Sens!H4779-base_fy)/n_conv)</f>
        <v>0.0873429440191127</v>
      </c>
      <c r="I4832" s="7" t="n">
        <f aca="false">Sens!$E$4832+(glt_ind-Sens!$E$4832)*MIN(1,(Sens!I4779-base_fy)/n_conv)</f>
        <v>0.0815619626794085</v>
      </c>
      <c r="J4832" s="7" t="n">
        <f aca="false">Sens!$E$4832+(glt_ind-Sens!$E$4832)*MIN(1,(Sens!J4779-base_fy)/n_conv)</f>
        <v>0.0757809813397042</v>
      </c>
      <c r="K4832" s="7" t="n">
        <f aca="false">Sens!$E$4832+(glt_ind-Sens!$E$4832)*MIN(1,(Sens!K4779-base_fy)/n_conv)</f>
        <v>0.07</v>
      </c>
    </row>
    <row r="4833" customFormat="false" ht="17.15" hidden="false" customHeight="false" outlineLevel="0" collapsed="false">
      <c r="A4833" s="0" t="s">
        <v>1040</v>
      </c>
      <c r="B4833" s="0" t="s">
        <v>98</v>
      </c>
      <c r="D4833" s="6" t="n">
        <f aca="false">Q!L10</f>
        <v>7.76</v>
      </c>
      <c r="E4833" s="6" t="n">
        <f aca="false">Q!M10</f>
        <v>8.26</v>
      </c>
      <c r="F4833" s="6" t="n">
        <f aca="false">Q!$I$10+(Q!M10-Q!$E$10)*(1+Sens!F4834)</f>
        <v>8.75372082474227</v>
      </c>
      <c r="G4833" s="6" t="n">
        <f aca="false">Sens!F4833*(1+Sens!G4834)</f>
        <v>9.33399324642364</v>
      </c>
      <c r="H4833" s="6" t="n">
        <f aca="false">Sens!G4833*(1+Sens!H4834)</f>
        <v>9.96139155535851</v>
      </c>
      <c r="I4833" s="6" t="n">
        <f aca="false">Sens!H4833*(1+Sens!I4834)</f>
        <v>10.6402039077391</v>
      </c>
      <c r="J4833" s="6" t="n">
        <f aca="false">Sens!I4833*(1+Sens!J4834)</f>
        <v>11.3751458271397</v>
      </c>
      <c r="K4833" s="6" t="n">
        <f aca="false">Sens!J4833*(1+Sens!K4834)</f>
        <v>12.1714060350394</v>
      </c>
      <c r="L4833" s="12" t="s">
        <v>1038</v>
      </c>
    </row>
    <row r="4834" customFormat="false" ht="15" hidden="false" customHeight="false" outlineLevel="0" collapsed="false">
      <c r="A4834" s="1" t="s">
        <v>1028</v>
      </c>
      <c r="B4834" s="0" t="s">
        <v>168</v>
      </c>
      <c r="E4834" s="7" t="n">
        <f aca="false">Sens!E4833/Sens!D4833-1</f>
        <v>0.0644329896907216</v>
      </c>
      <c r="F4834" s="7" t="n">
        <f aca="false">Sens!$E$4834+(glt_fro-Sens!$E$4834)*MIN(1,(Sens!F4779-base_fy)/n_conv)</f>
        <v>0.065360824742268</v>
      </c>
      <c r="G4834" s="7" t="n">
        <f aca="false">Sens!$E$4834+(glt_fro-Sens!$E$4834)*MIN(1,(Sens!G4779-base_fy)/n_conv)</f>
        <v>0.0662886597938144</v>
      </c>
      <c r="H4834" s="7" t="n">
        <f aca="false">Sens!$E$4834+(glt_fro-Sens!$E$4834)*MIN(1,(Sens!H4779-base_fy)/n_conv)</f>
        <v>0.0672164948453608</v>
      </c>
      <c r="I4834" s="7" t="n">
        <f aca="false">Sens!$E$4834+(glt_fro-Sens!$E$4834)*MIN(1,(Sens!I4779-base_fy)/n_conv)</f>
        <v>0.0681443298969072</v>
      </c>
      <c r="J4834" s="7" t="n">
        <f aca="false">Sens!$E$4834+(glt_fro-Sens!$E$4834)*MIN(1,(Sens!J4779-base_fy)/n_conv)</f>
        <v>0.0690721649484536</v>
      </c>
      <c r="K4834" s="7" t="n">
        <f aca="false">Sens!$E$4834+(glt_fro-Sens!$E$4834)*MIN(1,(Sens!K4779-base_fy)/n_conv)</f>
        <v>0.07</v>
      </c>
    </row>
    <row r="4835" customFormat="false" ht="15" hidden="false" customHeight="false" outlineLevel="0" collapsed="false">
      <c r="A4835" s="0" t="s">
        <v>856</v>
      </c>
      <c r="B4835" s="0" t="s">
        <v>98</v>
      </c>
      <c r="D4835" s="6" t="n">
        <f aca="false">Sens!D4823+Sens!D4828+Sens!D4829+Sens!D4831+Sens!D4833</f>
        <v>218.783</v>
      </c>
      <c r="E4835" s="6" t="n">
        <f aca="false">Sens!E4823+Sens!E4828+Sens!E4829+Sens!E4831+Sens!E4833</f>
        <v>268.127</v>
      </c>
      <c r="F4835" s="6" t="n">
        <f aca="false">Sens!F4823+Sens!F4828+Sens!F4829+Sens!F4831+Sens!F4833</f>
        <v>330.145282059882</v>
      </c>
      <c r="G4835" s="6" t="n">
        <f aca="false">Sens!G4823+Sens!G4828+Sens!G4829+Sens!G4831+Sens!G4833</f>
        <v>392.656759865851</v>
      </c>
      <c r="H4835" s="6" t="n">
        <f aca="false">Sens!H4823+Sens!H4828+Sens!H4829+Sens!H4831+Sens!H4833</f>
        <v>451.294782839453</v>
      </c>
      <c r="I4835" s="6" t="n">
        <f aca="false">Sens!I4823+Sens!I4828+Sens!I4829+Sens!I4831+Sens!I4833</f>
        <v>511.886015742547</v>
      </c>
      <c r="J4835" s="6" t="n">
        <f aca="false">Sens!J4823+Sens!J4828+Sens!J4829+Sens!J4831+Sens!J4833</f>
        <v>562.869775491727</v>
      </c>
      <c r="K4835" s="6" t="n">
        <f aca="false">Sens!K4823+Sens!K4828+Sens!K4829+Sens!K4831+Sens!K4833</f>
        <v>604.451989782812</v>
      </c>
    </row>
    <row r="4836" customFormat="false" ht="17.15" hidden="false" customHeight="false" outlineLevel="0" collapsed="false">
      <c r="A4836" s="0" t="s">
        <v>1041</v>
      </c>
      <c r="B4836" s="0" t="s">
        <v>98</v>
      </c>
      <c r="D4836" s="6" t="n">
        <f aca="false">Q!L13</f>
        <v>22.171</v>
      </c>
      <c r="E4836" s="6" t="n">
        <f aca="false">Q!M13</f>
        <v>24.835</v>
      </c>
      <c r="F4836" s="6" t="n">
        <f aca="false">Q!$I$13+(Q!M13-Q!$E$13)*(1+Sens!F4837)</f>
        <v>27.5591895660247</v>
      </c>
      <c r="G4836" s="6" t="n">
        <f aca="false">Sens!F4836*(1+Sens!G4837)</f>
        <v>30.4098563144583</v>
      </c>
      <c r="H4836" s="6" t="n">
        <f aca="false">Sens!G4836*(1+Sens!H4837)</f>
        <v>33.3011792571777</v>
      </c>
      <c r="I4836" s="6" t="n">
        <f aca="false">Sens!H4836*(1+Sens!I4837)</f>
        <v>36.189023797112</v>
      </c>
      <c r="J4836" s="6" t="n">
        <f aca="false">Sens!I4836*(1+Sens!J4837)</f>
        <v>39.0247773769199</v>
      </c>
      <c r="K4836" s="6" t="n">
        <f aca="false">Sens!J4836*(1+Sens!K4837)</f>
        <v>41.7565117933043</v>
      </c>
      <c r="L4836" s="12" t="s">
        <v>1038</v>
      </c>
    </row>
    <row r="4837" customFormat="false" ht="15" hidden="false" customHeight="false" outlineLevel="0" collapsed="false">
      <c r="A4837" s="1" t="s">
        <v>1028</v>
      </c>
      <c r="B4837" s="0" t="s">
        <v>168</v>
      </c>
      <c r="E4837" s="7" t="n">
        <f aca="false">Sens!E4836/Sens!D4836-1</f>
        <v>0.120156961796942</v>
      </c>
      <c r="F4837" s="7" t="n">
        <f aca="false">Sens!$E$4837+(glt_srch-Sens!$E$4837)*MIN(1,(Sens!F4779-base_fy)/n_conv)</f>
        <v>0.111797468164118</v>
      </c>
      <c r="G4837" s="7" t="n">
        <f aca="false">Sens!$E$4837+(glt_srch-Sens!$E$4837)*MIN(1,(Sens!G4779-base_fy)/n_conv)</f>
        <v>0.103437974531295</v>
      </c>
      <c r="H4837" s="7" t="n">
        <f aca="false">Sens!$E$4837+(glt_srch-Sens!$E$4837)*MIN(1,(Sens!H4779-base_fy)/n_conv)</f>
        <v>0.095078480898471</v>
      </c>
      <c r="I4837" s="7" t="n">
        <f aca="false">Sens!$E$4837+(glt_srch-Sens!$E$4837)*MIN(1,(Sens!I4779-base_fy)/n_conv)</f>
        <v>0.0867189872656474</v>
      </c>
      <c r="J4837" s="7" t="n">
        <f aca="false">Sens!$E$4837+(glt_srch-Sens!$E$4837)*MIN(1,(Sens!J4779-base_fy)/n_conv)</f>
        <v>0.0783594936328237</v>
      </c>
      <c r="K4837" s="7" t="n">
        <f aca="false">Sens!$E$4837+(glt_srch-Sens!$E$4837)*MIN(1,(Sens!K4779-base_fy)/n_conv)</f>
        <v>0.07</v>
      </c>
    </row>
    <row r="4838" customFormat="false" ht="17.15" hidden="false" customHeight="false" outlineLevel="0" collapsed="false">
      <c r="A4838" s="0" t="s">
        <v>1042</v>
      </c>
      <c r="B4838" s="0" t="s">
        <v>98</v>
      </c>
      <c r="D4838" s="6" t="n">
        <f aca="false">Q!L14</f>
        <v>23.455</v>
      </c>
      <c r="E4838" s="6" t="n">
        <f aca="false">Q!M14</f>
        <v>21.79</v>
      </c>
      <c r="F4838" s="6" t="n">
        <f aca="false">Q!$I$14+(Q!M14-Q!$E$14)*(1+Sens!F4839)</f>
        <v>20.7520981041711</v>
      </c>
      <c r="G4838" s="6" t="n">
        <f aca="false">Sens!F4838*(1+Sens!G4839)</f>
        <v>19.9083593495882</v>
      </c>
      <c r="H4838" s="6" t="n">
        <f aca="false">Sens!G4838*(1+Sens!H4839)</f>
        <v>19.4008256265831</v>
      </c>
      <c r="I4838" s="6" t="n">
        <f aca="false">Sens!H4838*(1+Sens!I4839)</f>
        <v>19.200434522122</v>
      </c>
      <c r="J4838" s="6" t="n">
        <f aca="false">Sens!I4838*(1+Sens!J4839)</f>
        <v>19.2932782348507</v>
      </c>
      <c r="K4838" s="6" t="n">
        <f aca="false">Sens!J4838*(1+Sens!K4839)</f>
        <v>19.6791437995477</v>
      </c>
      <c r="L4838" s="12" t="s">
        <v>1038</v>
      </c>
    </row>
    <row r="4839" customFormat="false" ht="15" hidden="false" customHeight="false" outlineLevel="0" collapsed="false">
      <c r="A4839" s="1" t="s">
        <v>1028</v>
      </c>
      <c r="B4839" s="0" t="s">
        <v>168</v>
      </c>
      <c r="E4839" s="7" t="n">
        <f aca="false">Sens!E4838/Sens!D4838-1</f>
        <v>-0.0709869963760392</v>
      </c>
      <c r="F4839" s="7" t="n">
        <f aca="false">Sens!$E$4839+(glt_xbox-Sens!$E$4839)*MIN(1,(Sens!F4779-base_fy)/n_conv)</f>
        <v>-0.0558224969800327</v>
      </c>
      <c r="G4839" s="7" t="n">
        <f aca="false">Sens!$E$4839+(glt_xbox-Sens!$E$4839)*MIN(1,(Sens!G4779-base_fy)/n_conv)</f>
        <v>-0.0406579975840262</v>
      </c>
      <c r="H4839" s="7" t="n">
        <f aca="false">Sens!$E$4839+(glt_xbox-Sens!$E$4839)*MIN(1,(Sens!H4779-base_fy)/n_conv)</f>
        <v>-0.0254934981880196</v>
      </c>
      <c r="I4839" s="7" t="n">
        <f aca="false">Sens!$E$4839+(glt_xbox-Sens!$E$4839)*MIN(1,(Sens!I4779-base_fy)/n_conv)</f>
        <v>-0.0103289987920131</v>
      </c>
      <c r="J4839" s="7" t="n">
        <f aca="false">Sens!$E$4839+(glt_xbox-Sens!$E$4839)*MIN(1,(Sens!J4779-base_fy)/n_conv)</f>
        <v>0.00483550060399347</v>
      </c>
      <c r="K4839" s="7" t="n">
        <f aca="false">Sens!$E$4839+(glt_xbox-Sens!$E$4839)*MIN(1,(Sens!K4779-base_fy)/n_conv)</f>
        <v>0.02</v>
      </c>
    </row>
    <row r="4840" customFormat="false" ht="17.15" hidden="false" customHeight="false" outlineLevel="0" collapsed="false">
      <c r="A4840" s="0" t="s">
        <v>1043</v>
      </c>
      <c r="B4840" s="0" t="s">
        <v>98</v>
      </c>
      <c r="D4840" s="6" t="n">
        <f aca="false">Q!L15</f>
        <v>17.315</v>
      </c>
      <c r="E4840" s="6" t="n">
        <f aca="false">Q!M15</f>
        <v>17.087</v>
      </c>
      <c r="F4840" s="6" t="n">
        <f aca="false">Q!$I$15+(Q!M15-Q!$E$15)*(1+Sens!F4841)</f>
        <v>15.9912273250553</v>
      </c>
      <c r="G4840" s="6" t="n">
        <f aca="false">Sens!F4840*(1+Sens!G4841)</f>
        <v>15.9574562664827</v>
      </c>
      <c r="H4840" s="6" t="n">
        <f aca="false">Sens!G4840*(1+Sens!H4841)</f>
        <v>16.0119687434196</v>
      </c>
      <c r="I4840" s="6" t="n">
        <f aca="false">Sens!H4840*(1+Sens!I4841)</f>
        <v>16.1551810001948</v>
      </c>
      <c r="J4840" s="6" t="n">
        <f aca="false">Sens!I4840*(1+Sens!J4841)</f>
        <v>16.3889793892005</v>
      </c>
      <c r="K4840" s="6" t="n">
        <f aca="false">Sens!J4840*(1+Sens!K4841)</f>
        <v>16.7167589769845</v>
      </c>
      <c r="L4840" s="12" t="s">
        <v>1038</v>
      </c>
    </row>
    <row r="4841" customFormat="false" ht="15" hidden="false" customHeight="false" outlineLevel="0" collapsed="false">
      <c r="A4841" s="1" t="s">
        <v>1028</v>
      </c>
      <c r="B4841" s="0" t="s">
        <v>168</v>
      </c>
      <c r="E4841" s="7" t="n">
        <f aca="false">Sens!E4840/Sens!D4840-1</f>
        <v>-0.0131677736066995</v>
      </c>
      <c r="F4841" s="7" t="n">
        <f aca="false">Sens!$E$4841+(glt_win-Sens!$E$4841)*MIN(1,(Sens!F4779-base_fy)/n_conv)</f>
        <v>-0.00763981133891627</v>
      </c>
      <c r="G4841" s="7" t="n">
        <f aca="false">Sens!$E$4841+(glt_win-Sens!$E$4841)*MIN(1,(Sens!G4779-base_fy)/n_conv)</f>
        <v>-0.00211184907113301</v>
      </c>
      <c r="H4841" s="7" t="n">
        <f aca="false">Sens!$E$4841+(glt_win-Sens!$E$4841)*MIN(1,(Sens!H4779-base_fy)/n_conv)</f>
        <v>0.00341611319665024</v>
      </c>
      <c r="I4841" s="7" t="n">
        <f aca="false">Sens!$E$4841+(glt_win-Sens!$E$4841)*MIN(1,(Sens!I4779-base_fy)/n_conv)</f>
        <v>0.00894407546443349</v>
      </c>
      <c r="J4841" s="7" t="n">
        <f aca="false">Sens!$E$4841+(glt_win-Sens!$E$4841)*MIN(1,(Sens!J4779-base_fy)/n_conv)</f>
        <v>0.0144720377322168</v>
      </c>
      <c r="K4841" s="7" t="n">
        <f aca="false">Sens!$E$4841+(glt_win-Sens!$E$4841)*MIN(1,(Sens!K4779-base_fy)/n_conv)</f>
        <v>0.02</v>
      </c>
    </row>
    <row r="4842" customFormat="false" ht="15" hidden="false" customHeight="false" outlineLevel="0" collapsed="false">
      <c r="A4842" s="0" t="s">
        <v>870</v>
      </c>
      <c r="B4842" s="0" t="s">
        <v>98</v>
      </c>
      <c r="D4842" s="6" t="n">
        <f aca="false">Sens!D4836+Sens!D4838+Sens!D4840</f>
        <v>62.941</v>
      </c>
      <c r="E4842" s="6" t="n">
        <f aca="false">Sens!E4836+Sens!E4838+Sens!E4840</f>
        <v>63.712</v>
      </c>
      <c r="F4842" s="6" t="n">
        <f aca="false">Sens!F4836+Sens!F4838+Sens!F4840</f>
        <v>64.3025149952511</v>
      </c>
      <c r="G4842" s="6" t="n">
        <f aca="false">Sens!G4836+Sens!G4838+Sens!G4840</f>
        <v>66.2756719305292</v>
      </c>
      <c r="H4842" s="6" t="n">
        <f aca="false">Sens!H4836+Sens!H4838+Sens!H4840</f>
        <v>68.7139736271804</v>
      </c>
      <c r="I4842" s="6" t="n">
        <f aca="false">Sens!I4836+Sens!I4838+Sens!I4840</f>
        <v>71.5446393194289</v>
      </c>
      <c r="J4842" s="6" t="n">
        <f aca="false">Sens!J4836+Sens!J4838+Sens!J4840</f>
        <v>74.707035000971</v>
      </c>
      <c r="K4842" s="6" t="n">
        <f aca="false">Sens!K4836+Sens!K4838+Sens!K4840</f>
        <v>78.1524145698365</v>
      </c>
    </row>
    <row r="4843" customFormat="false" ht="15" hidden="false" customHeight="false" outlineLevel="0" collapsed="false">
      <c r="A4843" s="1" t="s">
        <v>1044</v>
      </c>
      <c r="B4843" s="0" t="s">
        <v>98</v>
      </c>
      <c r="D4843" s="6" t="n">
        <f aca="false">Sens!D4835+Sens!D4842</f>
        <v>281.724</v>
      </c>
      <c r="E4843" s="6" t="n">
        <f aca="false">Sens!E4835+Sens!E4842</f>
        <v>331.839</v>
      </c>
      <c r="F4843" s="6" t="n">
        <f aca="false">Sens!F4835+Sens!F4842</f>
        <v>394.447797055133</v>
      </c>
      <c r="G4843" s="6" t="n">
        <f aca="false">Sens!G4835+Sens!G4842</f>
        <v>458.93243179638</v>
      </c>
      <c r="H4843" s="6" t="n">
        <f aca="false">Sens!H4835+Sens!H4842</f>
        <v>520.008756466633</v>
      </c>
      <c r="I4843" s="6" t="n">
        <f aca="false">Sens!I4835+Sens!I4842</f>
        <v>583.430655061976</v>
      </c>
      <c r="J4843" s="6" t="n">
        <f aca="false">Sens!J4835+Sens!J4842</f>
        <v>637.576810492698</v>
      </c>
      <c r="K4843" s="6" t="n">
        <f aca="false">Sens!K4835+Sens!K4842</f>
        <v>682.604404352648</v>
      </c>
    </row>
    <row r="4844" customFormat="false" ht="15" hidden="false" customHeight="false" outlineLevel="0" collapsed="false">
      <c r="A4844" s="26" t="s">
        <v>1045</v>
      </c>
      <c r="B4844" s="31" t="s">
        <v>98</v>
      </c>
      <c r="C4844" s="31"/>
      <c r="D4844" s="27" t="n">
        <f aca="false">(Sens!D4823+Sens!D4828+Sens!D4829+Sens!D4831+Sens!D4833-Sens!D4835)+(Sens!D4836+Sens!D4838+Sens!D4840-Sens!D4842)+(Sens!D4835-Q!L5)+(Sens!D4842-Q!L12)+(Sens!D4823-Q!L6)+(Sens!D4828-Q!L7)</f>
        <v>0</v>
      </c>
      <c r="E4844" s="27" t="n">
        <f aca="false">(Sens!E4823+Sens!E4828+Sens!E4829+Sens!E4831+Sens!E4833-Sens!E4835)+(Sens!E4836+Sens!E4838+Sens!E4840-Sens!E4842)+(Sens!E4835-Q!M5)+(Sens!E4842-Q!M12)+(Sens!E4823-Q!M6)+(Sens!E4828-Q!M7)</f>
        <v>0</v>
      </c>
      <c r="F4844" s="27" t="n">
        <f aca="false">(Sens!F4823+Sens!F4828+Sens!F4829+Sens!F4831+Sens!F4833-Sens!F4835)+(Sens!F4836+Sens!F4838+Sens!F4840-Sens!F4842)</f>
        <v>0</v>
      </c>
      <c r="G4844" s="27" t="n">
        <f aca="false">(Sens!G4823+Sens!G4828+Sens!G4829+Sens!G4831+Sens!G4833-Sens!G4835)+(Sens!G4836+Sens!G4838+Sens!G4840-Sens!G4842)</f>
        <v>0</v>
      </c>
      <c r="H4844" s="27" t="n">
        <f aca="false">(Sens!H4823+Sens!H4828+Sens!H4829+Sens!H4831+Sens!H4833-Sens!H4835)+(Sens!H4836+Sens!H4838+Sens!H4840-Sens!H4842)</f>
        <v>0</v>
      </c>
      <c r="I4844" s="27" t="n">
        <f aca="false">(Sens!I4823+Sens!I4828+Sens!I4829+Sens!I4831+Sens!I4833-Sens!I4835)+(Sens!I4836+Sens!I4838+Sens!I4840-Sens!I4842)</f>
        <v>0</v>
      </c>
      <c r="J4844" s="27" t="n">
        <f aca="false">(Sens!J4823+Sens!J4828+Sens!J4829+Sens!J4831+Sens!J4833-Sens!J4835)+(Sens!J4836+Sens!J4838+Sens!J4840-Sens!J4842)</f>
        <v>0</v>
      </c>
      <c r="K4844" s="27" t="n">
        <f aca="false">(Sens!K4823+Sens!K4828+Sens!K4829+Sens!K4831+Sens!K4833-Sens!K4835)+(Sens!K4836+Sens!K4838+Sens!K4840-Sens!K4842)</f>
        <v>0</v>
      </c>
    </row>
    <row r="4845" customFormat="false" ht="17.15" hidden="false" customHeight="false" outlineLevel="0" collapsed="false">
      <c r="A4845" s="3" t="s">
        <v>1732</v>
      </c>
    </row>
    <row r="4846" customFormat="false" ht="15" hidden="false" customHeight="false" outlineLevel="0" collapsed="false">
      <c r="A4846" s="4" t="s">
        <v>43</v>
      </c>
      <c r="B4846" s="4" t="s">
        <v>65</v>
      </c>
      <c r="C4846" s="23" t="s">
        <v>942</v>
      </c>
      <c r="D4846" s="23" t="s">
        <v>943</v>
      </c>
      <c r="E4846" s="23" t="s">
        <v>944</v>
      </c>
      <c r="F4846" s="23" t="s">
        <v>945</v>
      </c>
      <c r="G4846" s="23" t="s">
        <v>946</v>
      </c>
      <c r="H4846" s="23" t="s">
        <v>947</v>
      </c>
      <c r="I4846" s="23" t="s">
        <v>948</v>
      </c>
      <c r="J4846" s="23" t="s">
        <v>949</v>
      </c>
      <c r="K4846" s="23" t="s">
        <v>950</v>
      </c>
      <c r="L4846" s="4" t="s">
        <v>47</v>
      </c>
    </row>
    <row r="4847" customFormat="false" ht="15" hidden="false" customHeight="false" outlineLevel="0" collapsed="false">
      <c r="A4847" s="0" t="s">
        <v>1029</v>
      </c>
      <c r="B4847" s="0" t="s">
        <v>98</v>
      </c>
      <c r="D4847" s="6" t="n">
        <f aca="false">Sens!D4823</f>
        <v>72.61</v>
      </c>
      <c r="E4847" s="6" t="n">
        <f aca="false">Sens!E4823</f>
        <v>101.938</v>
      </c>
      <c r="F4847" s="6" t="n">
        <f aca="false">Sens!F4823</f>
        <v>143.251883553698</v>
      </c>
      <c r="G4847" s="6" t="n">
        <f aca="false">Sens!G4823</f>
        <v>186.322520879442</v>
      </c>
      <c r="H4847" s="6" t="n">
        <f aca="false">Sens!H4823</f>
        <v>225.493303805261</v>
      </c>
      <c r="I4847" s="6" t="n">
        <f aca="false">Sens!I4823</f>
        <v>267.637378439976</v>
      </c>
      <c r="J4847" s="6" t="n">
        <f aca="false">Sens!J4823</f>
        <v>301.514067797341</v>
      </c>
      <c r="K4847" s="6" t="n">
        <f aca="false">Sens!K4823</f>
        <v>326.912319415143</v>
      </c>
    </row>
    <row r="4848" customFormat="false" ht="17.15" hidden="false" customHeight="false" outlineLevel="0" collapsed="false">
      <c r="A4848" s="0" t="s">
        <v>1025</v>
      </c>
      <c r="B4848" s="0" t="s">
        <v>98</v>
      </c>
      <c r="D4848" s="6" t="n">
        <f aca="false">Sens!D4820</f>
        <v>12.9359794422418</v>
      </c>
      <c r="E4848" s="6" t="n">
        <f aca="false">Sens!E4820</f>
        <v>27.8095064661409</v>
      </c>
      <c r="F4848" s="6" t="n">
        <f aca="false">Sens!F4820</f>
        <v>50.9819294352312</v>
      </c>
      <c r="G4848" s="6" t="n">
        <f aca="false">Sens!G4820</f>
        <v>76.6920436014933</v>
      </c>
      <c r="H4848" s="6" t="n">
        <f aca="false">Sens!H4820</f>
        <v>98.200047483305</v>
      </c>
      <c r="I4848" s="6" t="n">
        <f aca="false">Sens!I4820</f>
        <v>123.277326170485</v>
      </c>
      <c r="J4848" s="6" t="n">
        <f aca="false">Sens!J4820</f>
        <v>141.702103307125</v>
      </c>
      <c r="K4848" s="6" t="n">
        <f aca="false">Sens!K4820</f>
        <v>154.315397765709</v>
      </c>
    </row>
    <row r="4849" customFormat="false" ht="17.15" hidden="false" customHeight="false" outlineLevel="0" collapsed="false">
      <c r="A4849" s="0" t="s">
        <v>1056</v>
      </c>
      <c r="B4849" s="0" t="s">
        <v>98</v>
      </c>
      <c r="D4849" s="6" t="n">
        <f aca="false">Sens!D4821</f>
        <v>59.6740205577583</v>
      </c>
      <c r="E4849" s="6" t="n">
        <f aca="false">Sens!E4821</f>
        <v>74.1284935338591</v>
      </c>
      <c r="F4849" s="6" t="n">
        <f aca="false">Sens!F4821</f>
        <v>92.2699541184664</v>
      </c>
      <c r="G4849" s="6" t="n">
        <f aca="false">Sens!G4821</f>
        <v>109.630477277949</v>
      </c>
      <c r="H4849" s="6" t="n">
        <f aca="false">Sens!H4821</f>
        <v>127.293256321956</v>
      </c>
      <c r="I4849" s="6" t="n">
        <f aca="false">Sens!I4821</f>
        <v>144.360052269491</v>
      </c>
      <c r="J4849" s="6" t="n">
        <f aca="false">Sens!J4821</f>
        <v>159.811964490216</v>
      </c>
      <c r="K4849" s="6" t="n">
        <f aca="false">Sens!K4821</f>
        <v>172.596921649434</v>
      </c>
    </row>
    <row r="4850" customFormat="false" ht="15" hidden="false" customHeight="false" outlineLevel="0" collapsed="false">
      <c r="A4850" s="0" t="s">
        <v>1036</v>
      </c>
      <c r="B4850" s="0" t="s">
        <v>98</v>
      </c>
      <c r="D4850" s="6" t="n">
        <f aca="false">Sens!D4828</f>
        <v>84.605</v>
      </c>
      <c r="E4850" s="6" t="n">
        <f aca="false">Sens!E4828</f>
        <v>100.299</v>
      </c>
      <c r="F4850" s="6" t="n">
        <f aca="false">Sens!F4828</f>
        <v>117.438354189776</v>
      </c>
      <c r="G4850" s="6" t="n">
        <f aca="false">Sens!G4828</f>
        <v>132.595360443801</v>
      </c>
      <c r="H4850" s="6" t="n">
        <f aca="false">Sens!H4828</f>
        <v>147.833811964563</v>
      </c>
      <c r="I4850" s="6" t="n">
        <f aca="false">Sens!I4828</f>
        <v>162.145665319381</v>
      </c>
      <c r="J4850" s="6" t="n">
        <f aca="false">Sens!J4828</f>
        <v>175.249327755573</v>
      </c>
      <c r="K4850" s="6" t="n">
        <f aca="false">Sens!K4828</f>
        <v>187.599280698463</v>
      </c>
    </row>
    <row r="4851" customFormat="false" ht="17.15" hidden="false" customHeight="false" outlineLevel="0" collapsed="false">
      <c r="A4851" s="0" t="s">
        <v>1057</v>
      </c>
      <c r="B4851" s="0" t="s">
        <v>98</v>
      </c>
      <c r="D4851" s="6" t="n">
        <f aca="false">Sens!D4826</f>
        <v>83.705</v>
      </c>
      <c r="E4851" s="6" t="n">
        <f aca="false">Sens!E4826</f>
        <v>95.049</v>
      </c>
      <c r="F4851" s="6" t="n">
        <f aca="false">Sens!F4826</f>
        <v>106.938354189776</v>
      </c>
      <c r="G4851" s="6" t="n">
        <f aca="false">Sens!G4826</f>
        <v>119.095360443801</v>
      </c>
      <c r="H4851" s="6" t="n">
        <f aca="false">Sens!H4826</f>
        <v>131.333811964563</v>
      </c>
      <c r="I4851" s="6" t="n">
        <f aca="false">Sens!I4826</f>
        <v>143.395665319381</v>
      </c>
      <c r="J4851" s="6" t="n">
        <f aca="false">Sens!J4826</f>
        <v>154.999327755573</v>
      </c>
      <c r="K4851" s="6" t="n">
        <f aca="false">Sens!K4826</f>
        <v>165.849280698463</v>
      </c>
    </row>
    <row r="4852" customFormat="false" ht="17.15" hidden="false" customHeight="false" outlineLevel="0" collapsed="false">
      <c r="A4852" s="0" t="s">
        <v>1058</v>
      </c>
      <c r="B4852" s="0" t="s">
        <v>98</v>
      </c>
      <c r="D4852" s="6" t="n">
        <f aca="false">Sens!D4825</f>
        <v>0.9</v>
      </c>
      <c r="E4852" s="6" t="n">
        <f aca="false">Sens!E4825</f>
        <v>5.25</v>
      </c>
      <c r="F4852" s="6" t="n">
        <f aca="false">Sens!F4825</f>
        <v>10.5</v>
      </c>
      <c r="G4852" s="6" t="n">
        <f aca="false">Sens!G4825</f>
        <v>13.5</v>
      </c>
      <c r="H4852" s="6" t="n">
        <f aca="false">Sens!H4825</f>
        <v>16.5</v>
      </c>
      <c r="I4852" s="6" t="n">
        <f aca="false">Sens!I4825</f>
        <v>18.75</v>
      </c>
      <c r="J4852" s="6" t="n">
        <f aca="false">Sens!J4825</f>
        <v>20.25</v>
      </c>
      <c r="K4852" s="6" t="n">
        <f aca="false">Sens!K4825</f>
        <v>21.75</v>
      </c>
    </row>
    <row r="4853" customFormat="false" ht="15" hidden="false" customHeight="false" outlineLevel="0" collapsed="false">
      <c r="A4853" s="0" t="s">
        <v>1037</v>
      </c>
      <c r="B4853" s="0" t="s">
        <v>98</v>
      </c>
      <c r="D4853" s="6" t="n">
        <f aca="false">Sens!D4829</f>
        <v>35.391</v>
      </c>
      <c r="E4853" s="6" t="n">
        <f aca="false">Sens!E4829</f>
        <v>37.285</v>
      </c>
      <c r="F4853" s="6" t="n">
        <f aca="false">Sens!F4829</f>
        <v>38.3851437782675</v>
      </c>
      <c r="G4853" s="6" t="n">
        <f aca="false">Sens!G4829</f>
        <v>40.0105353288615</v>
      </c>
      <c r="H4853" s="6" t="n">
        <f aca="false">Sens!H4829</f>
        <v>41.4812512033683</v>
      </c>
      <c r="I4853" s="6" t="n">
        <f aca="false">Sens!I4829</f>
        <v>42.7743107216329</v>
      </c>
      <c r="J4853" s="6" t="n">
        <f aca="false">Sens!J4829</f>
        <v>43.8687373064601</v>
      </c>
      <c r="K4853" s="6" t="n">
        <f aca="false">Sens!K4829</f>
        <v>44.7461120525893</v>
      </c>
    </row>
    <row r="4854" customFormat="false" ht="15" hidden="false" customHeight="false" outlineLevel="0" collapsed="false">
      <c r="A4854" s="0" t="s">
        <v>1039</v>
      </c>
      <c r="B4854" s="0" t="s">
        <v>98</v>
      </c>
      <c r="D4854" s="6" t="n">
        <f aca="false">Sens!D4831</f>
        <v>18.417</v>
      </c>
      <c r="E4854" s="6" t="n">
        <f aca="false">Sens!E4831</f>
        <v>20.345</v>
      </c>
      <c r="F4854" s="6" t="n">
        <f aca="false">Sens!F4831</f>
        <v>22.3161797133988</v>
      </c>
      <c r="G4854" s="6" t="n">
        <f aca="false">Sens!G4831</f>
        <v>24.3943499673233</v>
      </c>
      <c r="H4854" s="6" t="n">
        <f aca="false">Sens!H4831</f>
        <v>26.5250243109019</v>
      </c>
      <c r="I4854" s="6" t="n">
        <f aca="false">Sens!I4831</f>
        <v>28.6884573538181</v>
      </c>
      <c r="J4854" s="6" t="n">
        <f aca="false">Sens!J4831</f>
        <v>30.8624968052127</v>
      </c>
      <c r="K4854" s="6" t="n">
        <f aca="false">Sens!K4831</f>
        <v>33.0228715815776</v>
      </c>
    </row>
    <row r="4855" customFormat="false" ht="15" hidden="false" customHeight="false" outlineLevel="0" collapsed="false">
      <c r="A4855" s="0" t="s">
        <v>1040</v>
      </c>
      <c r="B4855" s="0" t="s">
        <v>98</v>
      </c>
      <c r="D4855" s="6" t="n">
        <f aca="false">Sens!D4833</f>
        <v>7.76</v>
      </c>
      <c r="E4855" s="6" t="n">
        <f aca="false">Sens!E4833</f>
        <v>8.26</v>
      </c>
      <c r="F4855" s="6" t="n">
        <f aca="false">Sens!F4833</f>
        <v>8.75372082474227</v>
      </c>
      <c r="G4855" s="6" t="n">
        <f aca="false">Sens!G4833</f>
        <v>9.33399324642364</v>
      </c>
      <c r="H4855" s="6" t="n">
        <f aca="false">Sens!H4833</f>
        <v>9.96139155535851</v>
      </c>
      <c r="I4855" s="6" t="n">
        <f aca="false">Sens!I4833</f>
        <v>10.6402039077391</v>
      </c>
      <c r="J4855" s="6" t="n">
        <f aca="false">Sens!J4833</f>
        <v>11.3751458271397</v>
      </c>
      <c r="K4855" s="6" t="n">
        <f aca="false">Sens!K4833</f>
        <v>12.1714060350394</v>
      </c>
    </row>
    <row r="4856" customFormat="false" ht="15" hidden="false" customHeight="false" outlineLevel="0" collapsed="false">
      <c r="A4856" s="0" t="s">
        <v>856</v>
      </c>
      <c r="B4856" s="0" t="s">
        <v>98</v>
      </c>
      <c r="D4856" s="6" t="n">
        <f aca="false">Sens!D4835</f>
        <v>218.783</v>
      </c>
      <c r="E4856" s="6" t="n">
        <f aca="false">Sens!E4835</f>
        <v>268.127</v>
      </c>
      <c r="F4856" s="6" t="n">
        <f aca="false">Sens!F4835</f>
        <v>330.145282059882</v>
      </c>
      <c r="G4856" s="6" t="n">
        <f aca="false">Sens!G4835</f>
        <v>392.656759865851</v>
      </c>
      <c r="H4856" s="6" t="n">
        <f aca="false">Sens!H4835</f>
        <v>451.294782839453</v>
      </c>
      <c r="I4856" s="6" t="n">
        <f aca="false">Sens!I4835</f>
        <v>511.886015742547</v>
      </c>
      <c r="J4856" s="6" t="n">
        <f aca="false">Sens!J4835</f>
        <v>562.869775491727</v>
      </c>
      <c r="K4856" s="6" t="n">
        <f aca="false">Sens!K4835</f>
        <v>604.451989782812</v>
      </c>
    </row>
    <row r="4857" customFormat="false" ht="15" hidden="false" customHeight="false" outlineLevel="0" collapsed="false">
      <c r="A4857" s="0" t="s">
        <v>1041</v>
      </c>
      <c r="B4857" s="0" t="s">
        <v>98</v>
      </c>
      <c r="D4857" s="6" t="n">
        <f aca="false">Sens!D4836</f>
        <v>22.171</v>
      </c>
      <c r="E4857" s="6" t="n">
        <f aca="false">Sens!E4836</f>
        <v>24.835</v>
      </c>
      <c r="F4857" s="6" t="n">
        <f aca="false">Sens!F4836</f>
        <v>27.5591895660247</v>
      </c>
      <c r="G4857" s="6" t="n">
        <f aca="false">Sens!G4836</f>
        <v>30.4098563144583</v>
      </c>
      <c r="H4857" s="6" t="n">
        <f aca="false">Sens!H4836</f>
        <v>33.3011792571777</v>
      </c>
      <c r="I4857" s="6" t="n">
        <f aca="false">Sens!I4836</f>
        <v>36.189023797112</v>
      </c>
      <c r="J4857" s="6" t="n">
        <f aca="false">Sens!J4836</f>
        <v>39.0247773769199</v>
      </c>
      <c r="K4857" s="6" t="n">
        <f aca="false">Sens!K4836</f>
        <v>41.7565117933043</v>
      </c>
    </row>
    <row r="4858" customFormat="false" ht="15" hidden="false" customHeight="false" outlineLevel="0" collapsed="false">
      <c r="A4858" s="0" t="s">
        <v>1042</v>
      </c>
      <c r="B4858" s="0" t="s">
        <v>98</v>
      </c>
      <c r="D4858" s="6" t="n">
        <f aca="false">Sens!D4838</f>
        <v>23.455</v>
      </c>
      <c r="E4858" s="6" t="n">
        <f aca="false">Sens!E4838</f>
        <v>21.79</v>
      </c>
      <c r="F4858" s="6" t="n">
        <f aca="false">Sens!F4838</f>
        <v>20.7520981041711</v>
      </c>
      <c r="G4858" s="6" t="n">
        <f aca="false">Sens!G4838</f>
        <v>19.9083593495882</v>
      </c>
      <c r="H4858" s="6" t="n">
        <f aca="false">Sens!H4838</f>
        <v>19.4008256265831</v>
      </c>
      <c r="I4858" s="6" t="n">
        <f aca="false">Sens!I4838</f>
        <v>19.200434522122</v>
      </c>
      <c r="J4858" s="6" t="n">
        <f aca="false">Sens!J4838</f>
        <v>19.2932782348507</v>
      </c>
      <c r="K4858" s="6" t="n">
        <f aca="false">Sens!K4838</f>
        <v>19.6791437995477</v>
      </c>
    </row>
    <row r="4859" customFormat="false" ht="15" hidden="false" customHeight="false" outlineLevel="0" collapsed="false">
      <c r="A4859" s="0" t="s">
        <v>1043</v>
      </c>
      <c r="B4859" s="0" t="s">
        <v>98</v>
      </c>
      <c r="D4859" s="6" t="n">
        <f aca="false">Sens!D4840</f>
        <v>17.315</v>
      </c>
      <c r="E4859" s="6" t="n">
        <f aca="false">Sens!E4840</f>
        <v>17.087</v>
      </c>
      <c r="F4859" s="6" t="n">
        <f aca="false">Sens!F4840</f>
        <v>15.9912273250553</v>
      </c>
      <c r="G4859" s="6" t="n">
        <f aca="false">Sens!G4840</f>
        <v>15.9574562664827</v>
      </c>
      <c r="H4859" s="6" t="n">
        <f aca="false">Sens!H4840</f>
        <v>16.0119687434196</v>
      </c>
      <c r="I4859" s="6" t="n">
        <f aca="false">Sens!I4840</f>
        <v>16.1551810001948</v>
      </c>
      <c r="J4859" s="6" t="n">
        <f aca="false">Sens!J4840</f>
        <v>16.3889793892005</v>
      </c>
      <c r="K4859" s="6" t="n">
        <f aca="false">Sens!K4840</f>
        <v>16.7167589769845</v>
      </c>
    </row>
    <row r="4860" customFormat="false" ht="15" hidden="false" customHeight="false" outlineLevel="0" collapsed="false">
      <c r="A4860" s="0" t="s">
        <v>870</v>
      </c>
      <c r="B4860" s="0" t="s">
        <v>98</v>
      </c>
      <c r="D4860" s="6" t="n">
        <f aca="false">Sens!D4842</f>
        <v>62.941</v>
      </c>
      <c r="E4860" s="6" t="n">
        <f aca="false">Sens!E4842</f>
        <v>63.712</v>
      </c>
      <c r="F4860" s="6" t="n">
        <f aca="false">Sens!F4842</f>
        <v>64.3025149952511</v>
      </c>
      <c r="G4860" s="6" t="n">
        <f aca="false">Sens!G4842</f>
        <v>66.2756719305292</v>
      </c>
      <c r="H4860" s="6" t="n">
        <f aca="false">Sens!H4842</f>
        <v>68.7139736271804</v>
      </c>
      <c r="I4860" s="6" t="n">
        <f aca="false">Sens!I4842</f>
        <v>71.5446393194289</v>
      </c>
      <c r="J4860" s="6" t="n">
        <f aca="false">Sens!J4842</f>
        <v>74.707035000971</v>
      </c>
      <c r="K4860" s="6" t="n">
        <f aca="false">Sens!K4842</f>
        <v>78.1524145698365</v>
      </c>
    </row>
    <row r="4861" customFormat="false" ht="15" hidden="false" customHeight="false" outlineLevel="0" collapsed="false">
      <c r="A4861" s="1" t="s">
        <v>1059</v>
      </c>
      <c r="B4861" s="0" t="s">
        <v>98</v>
      </c>
      <c r="D4861" s="6" t="n">
        <f aca="false">Sens!D4843</f>
        <v>281.724</v>
      </c>
      <c r="E4861" s="6" t="n">
        <f aca="false">Sens!E4843</f>
        <v>331.839</v>
      </c>
      <c r="F4861" s="6" t="n">
        <f aca="false">Sens!F4843</f>
        <v>394.447797055133</v>
      </c>
      <c r="G4861" s="6" t="n">
        <f aca="false">Sens!G4843</f>
        <v>458.93243179638</v>
      </c>
      <c r="H4861" s="6" t="n">
        <f aca="false">Sens!H4843</f>
        <v>520.008756466633</v>
      </c>
      <c r="I4861" s="6" t="n">
        <f aca="false">Sens!I4843</f>
        <v>583.430655061976</v>
      </c>
      <c r="J4861" s="6" t="n">
        <f aca="false">Sens!J4843</f>
        <v>637.576810492698</v>
      </c>
      <c r="K4861" s="6" t="n">
        <f aca="false">Sens!K4843</f>
        <v>682.604404352648</v>
      </c>
    </row>
    <row r="4862" customFormat="false" ht="15" hidden="false" customHeight="false" outlineLevel="0" collapsed="false">
      <c r="A4862" s="1" t="s">
        <v>1060</v>
      </c>
      <c r="B4862" s="0" t="s">
        <v>168</v>
      </c>
      <c r="E4862" s="7" t="n">
        <f aca="false">Sens!E4861/Sens!D4861-1</f>
        <v>0.177886867998467</v>
      </c>
      <c r="F4862" s="7" t="n">
        <f aca="false">Sens!F4861/Sens!E4861-1</f>
        <v>0.188672208676897</v>
      </c>
      <c r="G4862" s="7" t="n">
        <f aca="false">Sens!G4861/Sens!F4861-1</f>
        <v>0.16348078306604</v>
      </c>
      <c r="H4862" s="7" t="n">
        <f aca="false">Sens!H4861/Sens!G4861-1</f>
        <v>0.133083479045454</v>
      </c>
      <c r="I4862" s="7" t="n">
        <f aca="false">Sens!I4861/Sens!H4861-1</f>
        <v>0.121963135825411</v>
      </c>
      <c r="J4862" s="7" t="n">
        <f aca="false">Sens!J4861/Sens!I4861-1</f>
        <v>0.0928064971576954</v>
      </c>
      <c r="K4862" s="7" t="n">
        <f aca="false">Sens!K4861/Sens!J4861-1</f>
        <v>0.0706230106222889</v>
      </c>
    </row>
    <row r="4863" customFormat="false" ht="17.15" hidden="false" customHeight="false" outlineLevel="0" collapsed="false">
      <c r="A4863" s="26" t="s">
        <v>1061</v>
      </c>
      <c r="B4863" s="31" t="s">
        <v>98</v>
      </c>
      <c r="C4863" s="31"/>
      <c r="D4863" s="27" t="n">
        <f aca="false">(Sens!D4856+Sens!D4860-Sens!D4861)+(Sens!D4848+Sens!D4849-Sens!D4847)+(Sens!D4851+Sens!D4852-Sens!D4850)+(Sens!D4861-Q!L18)</f>
        <v>0</v>
      </c>
      <c r="E4863" s="27" t="n">
        <f aca="false">(Sens!E4856+Sens!E4860-Sens!E4861)+(Sens!E4848+Sens!E4849-Sens!E4847)+(Sens!E4851+Sens!E4852-Sens!E4850)+(Sens!E4861-Q!M18)</f>
        <v>0</v>
      </c>
      <c r="F4863" s="27" t="n">
        <f aca="false">(Sens!F4856+Sens!F4860-Sens!F4861)+(Sens!F4848+Sens!F4849-Sens!F4847)+(Sens!F4851+Sens!F4852-Sens!F4850)</f>
        <v>0</v>
      </c>
      <c r="G4863" s="27" t="n">
        <f aca="false">(Sens!G4856+Sens!G4860-Sens!G4861)+(Sens!G4848+Sens!G4849-Sens!G4847)+(Sens!G4851+Sens!G4852-Sens!G4850)</f>
        <v>0</v>
      </c>
      <c r="H4863" s="27" t="n">
        <f aca="false">(Sens!H4856+Sens!H4860-Sens!H4861)+(Sens!H4848+Sens!H4849-Sens!H4847)+(Sens!H4851+Sens!H4852-Sens!H4850)</f>
        <v>0</v>
      </c>
      <c r="I4863" s="27" t="n">
        <f aca="false">(Sens!I4856+Sens!I4860-Sens!I4861)+(Sens!I4848+Sens!I4849-Sens!I4847)+(Sens!I4851+Sens!I4852-Sens!I4850)</f>
        <v>0</v>
      </c>
      <c r="J4863" s="27" t="n">
        <f aca="false">(Sens!J4856+Sens!J4860-Sens!J4861)+(Sens!J4848+Sens!J4849-Sens!J4847)+(Sens!J4851+Sens!J4852-Sens!J4850)</f>
        <v>0</v>
      </c>
      <c r="K4863" s="27" t="n">
        <f aca="false">(Sens!K4856+Sens!K4860-Sens!K4861)+(Sens!K4848+Sens!K4849-Sens!K4847)+(Sens!K4851+Sens!K4852-Sens!K4850)</f>
        <v>0</v>
      </c>
    </row>
    <row r="4864" customFormat="false" ht="17.15" hidden="false" customHeight="false" outlineLevel="0" collapsed="false">
      <c r="A4864" s="0" t="s">
        <v>1062</v>
      </c>
      <c r="B4864" s="0" t="s">
        <v>168</v>
      </c>
      <c r="E4864" s="7" t="n">
        <f aca="false">(Q!M21+Sens!E4800+Sens!E4801+Sens!E4802+Sens!E4816-Sens!E4798)/(Q!M5-Sens!E4798)</f>
        <v>0.583491251973566</v>
      </c>
      <c r="F4864" s="7" t="n">
        <f aca="false">Sens!$E$4864+dm_seg</f>
        <v>0.583491251973566</v>
      </c>
      <c r="G4864" s="7" t="n">
        <f aca="false">Sens!$E$4864+dm_seg</f>
        <v>0.583491251973566</v>
      </c>
      <c r="H4864" s="7" t="n">
        <f aca="false">Sens!$E$4864+dm_seg</f>
        <v>0.583491251973566</v>
      </c>
      <c r="I4864" s="7" t="n">
        <f aca="false">Sens!$E$4864+dm_seg</f>
        <v>0.583491251973566</v>
      </c>
      <c r="J4864" s="7" t="n">
        <f aca="false">Sens!$E$4864+dm_seg</f>
        <v>0.583491251973566</v>
      </c>
      <c r="K4864" s="7" t="n">
        <f aca="false">Sens!$E$4864+dm_seg</f>
        <v>0.583491251973566</v>
      </c>
      <c r="L4864" s="12" t="s">
        <v>1063</v>
      </c>
    </row>
    <row r="4865" customFormat="false" ht="17.15" hidden="false" customHeight="false" outlineLevel="0" collapsed="false">
      <c r="A4865" s="0" t="s">
        <v>884</v>
      </c>
      <c r="B4865" s="0" t="s">
        <v>98</v>
      </c>
      <c r="D4865" s="6" t="n">
        <f aca="false">Q!L21</f>
        <v>110.814</v>
      </c>
      <c r="E4865" s="6" t="n">
        <f aca="false">Q!M21</f>
        <v>136.365</v>
      </c>
      <c r="F4865" s="6" t="n">
        <f aca="false">Q!$I$21+(Sens!F4864*(Sens!F4835-Sens!F4798)+Sens!F4798-(Sens!F4800+Sens!F4801+Sens!F4802)-Sens!F4816-Sens!F4899)*(Sens!F4835-Q!$I$5)/Sens!F4835</f>
        <v>155.873221531739</v>
      </c>
      <c r="G4865" s="6" t="n">
        <f aca="false">(Sens!G4864*(Sens!G4835-Sens!G4798)+Sens!G4798-(Sens!G4800+Sens!G4801+Sens!G4802)-Sens!G4816-Sens!G4899)</f>
        <v>153.936277936643</v>
      </c>
      <c r="H4865" s="6" t="n">
        <f aca="false">(Sens!H4864*(Sens!H4835-Sens!H4798)+Sens!H4798-(Sens!H4800+Sens!H4801+Sens!H4802)-Sens!H4816-Sens!H4899)</f>
        <v>150.485684109086</v>
      </c>
      <c r="I4865" s="6" t="n">
        <f aca="false">(Sens!I4864*(Sens!I4835-Sens!I4798)+Sens!I4798-(Sens!I4800+Sens!I4801+Sens!I4802)-Sens!I4816-Sens!I4899)</f>
        <v>154.838193144228</v>
      </c>
      <c r="J4865" s="6" t="n">
        <f aca="false">(Sens!J4864*(Sens!J4835-Sens!J4798)+Sens!J4798-(Sens!J4800+Sens!J4801+Sens!J4802)-Sens!J4816-Sens!J4899)</f>
        <v>162.406112770204</v>
      </c>
      <c r="K4865" s="6" t="n">
        <f aca="false">(Sens!K4864*(Sens!K4835-Sens!K4798)+Sens!K4798-(Sens!K4800+Sens!K4801+Sens!K4802)-Sens!K4816-Sens!K4899)</f>
        <v>174.071161578239</v>
      </c>
      <c r="L4865" s="1" t="s">
        <v>1064</v>
      </c>
    </row>
    <row r="4866" customFormat="false" ht="17.15" hidden="false" customHeight="false" outlineLevel="0" collapsed="false">
      <c r="A4866" s="0" t="s">
        <v>1065</v>
      </c>
      <c r="B4866" s="0" t="s">
        <v>168</v>
      </c>
      <c r="E4866" s="7" t="n">
        <f aca="false">Q!M22/Q!M12</f>
        <v>0.296207935710698</v>
      </c>
      <c r="F4866" s="7" t="n">
        <f aca="false">Sens!$E$4866+dm_seg</f>
        <v>0.296207935710698</v>
      </c>
      <c r="G4866" s="7" t="n">
        <f aca="false">Sens!$E$4866+dm_seg</f>
        <v>0.296207935710698</v>
      </c>
      <c r="H4866" s="7" t="n">
        <f aca="false">Sens!$E$4866+dm_seg</f>
        <v>0.296207935710698</v>
      </c>
      <c r="I4866" s="7" t="n">
        <f aca="false">Sens!$E$4866+dm_seg</f>
        <v>0.296207935710698</v>
      </c>
      <c r="J4866" s="7" t="n">
        <f aca="false">Sens!$E$4866+dm_seg</f>
        <v>0.296207935710698</v>
      </c>
      <c r="K4866" s="7" t="n">
        <f aca="false">Sens!$E$4866+dm_seg</f>
        <v>0.296207935710698</v>
      </c>
      <c r="L4866" s="12" t="s">
        <v>1066</v>
      </c>
    </row>
    <row r="4867" customFormat="false" ht="17.15" hidden="false" customHeight="false" outlineLevel="0" collapsed="false">
      <c r="A4867" s="0" t="s">
        <v>886</v>
      </c>
      <c r="B4867" s="0" t="s">
        <v>98</v>
      </c>
      <c r="D4867" s="6" t="n">
        <f aca="false">Q!L22</f>
        <v>17.714</v>
      </c>
      <c r="E4867" s="6" t="n">
        <f aca="false">Q!M22</f>
        <v>18.872</v>
      </c>
      <c r="F4867" s="6" t="n">
        <f aca="false">Q!$I$22+(Sens!F4842-Q!$I$12)*Sens!F4866</f>
        <v>19.8174315512051</v>
      </c>
      <c r="G4867" s="6" t="n">
        <f aca="false">Sens!G4842*Sens!G4866</f>
        <v>19.6313799703815</v>
      </c>
      <c r="H4867" s="6" t="n">
        <f aca="false">Sens!H4842*Sens!H4866</f>
        <v>20.3536242825865</v>
      </c>
      <c r="I4867" s="6" t="n">
        <f aca="false">Sens!I4842*Sens!I4866</f>
        <v>21.1920899239745</v>
      </c>
      <c r="J4867" s="6" t="n">
        <f aca="false">Sens!J4842*Sens!J4866</f>
        <v>22.1288166207045</v>
      </c>
      <c r="K4867" s="6" t="n">
        <f aca="false">Sens!K4842*Sens!K4866</f>
        <v>23.1493653905379</v>
      </c>
      <c r="L4867" s="12" t="s">
        <v>1067</v>
      </c>
    </row>
    <row r="4868" customFormat="false" ht="15" hidden="false" customHeight="false" outlineLevel="0" collapsed="false">
      <c r="A4868" s="1" t="s">
        <v>1068</v>
      </c>
      <c r="B4868" s="0" t="s">
        <v>98</v>
      </c>
      <c r="D4868" s="6" t="n">
        <f aca="false">Sens!D4865+Sens!D4867</f>
        <v>128.528</v>
      </c>
      <c r="E4868" s="6" t="n">
        <f aca="false">Sens!E4865+Sens!E4867</f>
        <v>155.237</v>
      </c>
      <c r="F4868" s="6" t="n">
        <f aca="false">Sens!F4865+Sens!F4867</f>
        <v>175.690653082944</v>
      </c>
      <c r="G4868" s="6" t="n">
        <f aca="false">Sens!G4865+Sens!G4867</f>
        <v>173.567657907025</v>
      </c>
      <c r="H4868" s="6" t="n">
        <f aca="false">Sens!H4865+Sens!H4867</f>
        <v>170.839308391672</v>
      </c>
      <c r="I4868" s="6" t="n">
        <f aca="false">Sens!I4865+Sens!I4867</f>
        <v>176.030283068202</v>
      </c>
      <c r="J4868" s="6" t="n">
        <f aca="false">Sens!J4865+Sens!J4867</f>
        <v>184.534929390909</v>
      </c>
      <c r="K4868" s="6" t="n">
        <f aca="false">Sens!K4865+Sens!K4867</f>
        <v>197.220526968777</v>
      </c>
    </row>
    <row r="4869" customFormat="false" ht="15" hidden="false" customHeight="false" outlineLevel="0" collapsed="false">
      <c r="A4869" s="26" t="s">
        <v>1069</v>
      </c>
      <c r="B4869" s="31" t="s">
        <v>98</v>
      </c>
      <c r="C4869" s="31"/>
      <c r="D4869" s="27" t="n">
        <f aca="false">Sens!D4868-Q!L23</f>
        <v>0</v>
      </c>
      <c r="E4869" s="27" t="n">
        <f aca="false">Sens!E4868-Q!M23</f>
        <v>0</v>
      </c>
      <c r="F4869" s="31"/>
      <c r="G4869" s="31"/>
      <c r="H4869" s="31"/>
      <c r="I4869" s="31"/>
      <c r="J4869" s="31"/>
      <c r="K4869" s="31"/>
    </row>
    <row r="4870" customFormat="false" ht="15" hidden="false" customHeight="false" outlineLevel="0" collapsed="false">
      <c r="A4870" s="1" t="s">
        <v>1070</v>
      </c>
      <c r="B4870" s="0" t="s">
        <v>168</v>
      </c>
      <c r="D4870" s="7" t="n">
        <f aca="false">Sens!D4868/Sens!D4861</f>
        <v>0.456219562408598</v>
      </c>
      <c r="E4870" s="7" t="n">
        <f aca="false">Sens!E4868/Sens!E4861</f>
        <v>0.467808184089272</v>
      </c>
      <c r="F4870" s="7" t="n">
        <f aca="false">Sens!F4868/Sens!F4861</f>
        <v>0.445409137519882</v>
      </c>
      <c r="G4870" s="7" t="n">
        <f aca="false">Sens!G4868/Sens!G4861</f>
        <v>0.378198719204995</v>
      </c>
      <c r="H4870" s="7" t="n">
        <f aca="false">Sens!H4868/Sens!H4861</f>
        <v>0.328531599260933</v>
      </c>
      <c r="I4870" s="7" t="n">
        <f aca="false">Sens!I4868/Sens!I4861</f>
        <v>0.301715862101046</v>
      </c>
      <c r="J4870" s="7" t="n">
        <f aca="false">Sens!J4868/Sens!J4861</f>
        <v>0.289431683138392</v>
      </c>
      <c r="K4870" s="7" t="n">
        <f aca="false">Sens!K4868/Sens!K4861</f>
        <v>0.288923607452859</v>
      </c>
    </row>
    <row r="4871" customFormat="false" ht="17.15" hidden="false" customHeight="false" outlineLevel="0" collapsed="false">
      <c r="A4871" s="1" t="s">
        <v>1071</v>
      </c>
      <c r="B4871" s="0" t="s">
        <v>98</v>
      </c>
      <c r="F4871" s="6" t="n">
        <f aca="false">Sens!F4886</f>
        <v>10.5304758171972</v>
      </c>
      <c r="G4871" s="6" t="n">
        <f aca="false">Sens!G4886</f>
        <v>27.741241990896</v>
      </c>
      <c r="H4871" s="6" t="n">
        <f aca="false">Sens!H4886</f>
        <v>46.8221156305833</v>
      </c>
      <c r="I4871" s="6" t="n">
        <f aca="false">Sens!I4886</f>
        <v>63.7779203447068</v>
      </c>
      <c r="J4871" s="6" t="n">
        <f aca="false">Sens!J4886</f>
        <v>76.1492200915533</v>
      </c>
      <c r="K4871" s="6" t="n">
        <f aca="false">Sens!K4886</f>
        <v>83.9861398804221</v>
      </c>
      <c r="L4871" s="1" t="s">
        <v>1072</v>
      </c>
    </row>
    <row r="4872" customFormat="false" ht="17.15" hidden="false" customHeight="false" outlineLevel="0" collapsed="false">
      <c r="A4872" s="1" t="s">
        <v>1073</v>
      </c>
      <c r="B4872" s="0" t="s">
        <v>98</v>
      </c>
      <c r="D4872" s="6" t="n">
        <f aca="false">Sens!D4868</f>
        <v>128.528</v>
      </c>
      <c r="E4872" s="6" t="n">
        <f aca="false">Sens!E4868</f>
        <v>155.237</v>
      </c>
      <c r="F4872" s="6" t="n">
        <f aca="false">Sens!F4868+Sens!F4871</f>
        <v>186.221128900141</v>
      </c>
      <c r="G4872" s="6" t="n">
        <f aca="false">Sens!G4868+Sens!G4871</f>
        <v>201.308899897921</v>
      </c>
      <c r="H4872" s="6" t="n">
        <f aca="false">Sens!H4868+Sens!H4871</f>
        <v>217.661424022255</v>
      </c>
      <c r="I4872" s="6" t="n">
        <f aca="false">Sens!I4868+Sens!I4871</f>
        <v>239.808203412909</v>
      </c>
      <c r="J4872" s="6" t="n">
        <f aca="false">Sens!J4868+Sens!J4871</f>
        <v>260.684149482462</v>
      </c>
      <c r="K4872" s="6" t="n">
        <f aca="false">Sens!K4868+Sens!K4871</f>
        <v>281.206666849199</v>
      </c>
    </row>
    <row r="4873" customFormat="false" ht="17.15" hidden="false" customHeight="false" outlineLevel="0" collapsed="false">
      <c r="A4873" s="1" t="s">
        <v>1074</v>
      </c>
      <c r="B4873" s="0" t="s">
        <v>98</v>
      </c>
      <c r="E4873" s="6" t="n">
        <f aca="false">Sens!E4816</f>
        <v>19.3175216725</v>
      </c>
      <c r="F4873" s="6" t="n">
        <f aca="false">Sens!F4816</f>
        <v>40.993411475437</v>
      </c>
      <c r="G4873" s="6" t="n">
        <f aca="false">Sens!G4816</f>
        <v>72.0472209870037</v>
      </c>
      <c r="H4873" s="6" t="n">
        <f aca="false">Sens!H4816</f>
        <v>106.403225017643</v>
      </c>
      <c r="I4873" s="6" t="n">
        <f aca="false">Sens!I4816</f>
        <v>137.266077175767</v>
      </c>
      <c r="J4873" s="6" t="n">
        <f aca="false">Sens!J4816</f>
        <v>159.73624944562</v>
      </c>
      <c r="K4873" s="6" t="n">
        <f aca="false">Sens!K4816</f>
        <v>173.177911789639</v>
      </c>
    </row>
    <row r="4874" customFormat="false" ht="17.15" hidden="false" customHeight="false" outlineLevel="0" collapsed="false">
      <c r="A4874" s="1" t="s">
        <v>1075</v>
      </c>
      <c r="B4874" s="0" t="s">
        <v>98</v>
      </c>
      <c r="E4874" s="6" t="n">
        <f aca="false">Sens!E4898</f>
        <v>19.2164783275</v>
      </c>
      <c r="F4874" s="6" t="n">
        <f aca="false">Sens!F4898</f>
        <v>20.8774364020802</v>
      </c>
      <c r="G4874" s="6" t="n">
        <f aca="false">Sens!G4898</f>
        <v>22.9077949959595</v>
      </c>
      <c r="H4874" s="6" t="n">
        <f aca="false">Sens!H4898</f>
        <v>25.2792611413538</v>
      </c>
      <c r="I4874" s="6" t="n">
        <f aca="false">Sens!I4898</f>
        <v>27.9377636904969</v>
      </c>
      <c r="J4874" s="6" t="n">
        <f aca="false">Sens!J4898</f>
        <v>30.8108905684695</v>
      </c>
      <c r="K4874" s="6" t="n">
        <f aca="false">Sens!K4898</f>
        <v>33.8164361664601</v>
      </c>
    </row>
    <row r="4875" customFormat="false" ht="17.15" hidden="false" customHeight="false" outlineLevel="0" collapsed="false">
      <c r="A4875" s="1" t="s">
        <v>1076</v>
      </c>
      <c r="B4875" s="0" t="s">
        <v>98</v>
      </c>
      <c r="D4875" s="6" t="n">
        <f aca="false">Q!L27</f>
        <v>-4.901</v>
      </c>
      <c r="E4875" s="6" t="n">
        <f aca="false">Q!M27</f>
        <v>10.697</v>
      </c>
      <c r="F4875" s="6" t="n">
        <f aca="false">Q!$I$27+oie_f*(q_per_yr-1)/q_per_yr</f>
        <v>-0.862</v>
      </c>
      <c r="G4875" s="6" t="n">
        <f aca="false">oie_f</f>
        <v>-1.2</v>
      </c>
      <c r="H4875" s="6" t="n">
        <f aca="false">oie_f</f>
        <v>-1.2</v>
      </c>
      <c r="I4875" s="6" t="n">
        <f aca="false">oie_f</f>
        <v>-1.2</v>
      </c>
      <c r="J4875" s="6" t="n">
        <f aca="false">oie_f</f>
        <v>-1.2</v>
      </c>
      <c r="K4875" s="6" t="n">
        <f aca="false">oie_f</f>
        <v>-1.2</v>
      </c>
      <c r="L4875" s="12" t="s">
        <v>1077</v>
      </c>
    </row>
    <row r="4876" customFormat="false" ht="15" hidden="false" customHeight="false" outlineLevel="0" collapsed="false">
      <c r="A4876" s="1" t="s">
        <v>1078</v>
      </c>
      <c r="B4876" s="0" t="s">
        <v>98</v>
      </c>
      <c r="D4876" s="6" t="n">
        <f aca="false">Sens!D4868+Sens!D4875</f>
        <v>123.627</v>
      </c>
      <c r="E4876" s="6" t="n">
        <f aca="false">Sens!E4868+Sens!E4875</f>
        <v>165.934</v>
      </c>
      <c r="F4876" s="6" t="n">
        <f aca="false">Sens!F4868+Sens!F4875</f>
        <v>174.828653082944</v>
      </c>
      <c r="G4876" s="6" t="n">
        <f aca="false">Sens!G4868+Sens!G4875</f>
        <v>172.367657907025</v>
      </c>
      <c r="H4876" s="6" t="n">
        <f aca="false">Sens!H4868+Sens!H4875</f>
        <v>169.639308391672</v>
      </c>
      <c r="I4876" s="6" t="n">
        <f aca="false">Sens!I4868+Sens!I4875</f>
        <v>174.830283068202</v>
      </c>
      <c r="J4876" s="6" t="n">
        <f aca="false">Sens!J4868+Sens!J4875</f>
        <v>183.334929390909</v>
      </c>
      <c r="K4876" s="6" t="n">
        <f aca="false">Sens!K4868+Sens!K4875</f>
        <v>196.020526968777</v>
      </c>
    </row>
    <row r="4877" customFormat="false" ht="15" hidden="false" customHeight="false" outlineLevel="0" collapsed="false">
      <c r="A4877" s="1" t="s">
        <v>1079</v>
      </c>
      <c r="B4877" s="0" t="s">
        <v>98</v>
      </c>
      <c r="D4877" s="6" t="n">
        <f aca="false">Q!L29</f>
        <v>21.795</v>
      </c>
      <c r="E4877" s="6" t="n">
        <f aca="false">Q!M29</f>
        <v>32.185</v>
      </c>
      <c r="F4877" s="6" t="n">
        <f aca="false">Q!$I$29+(Sens!F4876-Q!$I$28)*tax_f</f>
        <v>35.0991306165889</v>
      </c>
      <c r="G4877" s="6" t="n">
        <f aca="false">Sens!G4876*tax_f</f>
        <v>34.4735315814049</v>
      </c>
      <c r="H4877" s="6" t="n">
        <f aca="false">Sens!H4876*tax_f</f>
        <v>33.9278616783344</v>
      </c>
      <c r="I4877" s="6" t="n">
        <f aca="false">Sens!I4876*tax_f</f>
        <v>34.9660566136405</v>
      </c>
      <c r="J4877" s="6" t="n">
        <f aca="false">Sens!J4876*tax_f</f>
        <v>36.6669858781818</v>
      </c>
      <c r="K4877" s="6" t="n">
        <f aca="false">Sens!K4876*tax_f</f>
        <v>39.2041053937554</v>
      </c>
    </row>
    <row r="4878" customFormat="false" ht="15" hidden="false" customHeight="false" outlineLevel="0" collapsed="false">
      <c r="A4878" s="1" t="s">
        <v>1080</v>
      </c>
      <c r="B4878" s="0" t="s">
        <v>98</v>
      </c>
      <c r="D4878" s="6" t="n">
        <f aca="false">Sens!D4876-Sens!D4877</f>
        <v>101.832</v>
      </c>
      <c r="E4878" s="6" t="n">
        <f aca="false">Sens!E4876-Sens!E4877</f>
        <v>133.749</v>
      </c>
      <c r="F4878" s="6" t="n">
        <f aca="false">Sens!F4876-Sens!F4877</f>
        <v>139.729522466355</v>
      </c>
      <c r="G4878" s="6" t="n">
        <f aca="false">Sens!G4876-Sens!G4877</f>
        <v>137.89412632562</v>
      </c>
      <c r="H4878" s="6" t="n">
        <f aca="false">Sens!H4876-Sens!H4877</f>
        <v>135.711446713338</v>
      </c>
      <c r="I4878" s="6" t="n">
        <f aca="false">Sens!I4876-Sens!I4877</f>
        <v>139.864226454562</v>
      </c>
      <c r="J4878" s="6" t="n">
        <f aca="false">Sens!J4876-Sens!J4877</f>
        <v>146.667943512727</v>
      </c>
      <c r="K4878" s="6" t="n">
        <f aca="false">Sens!K4876-Sens!K4877</f>
        <v>156.816421575022</v>
      </c>
    </row>
    <row r="4879" customFormat="false" ht="17.15" hidden="false" customHeight="false" outlineLevel="0" collapsed="false">
      <c r="A4879" s="1" t="s">
        <v>1081</v>
      </c>
      <c r="B4879" s="1" t="s">
        <v>81</v>
      </c>
      <c r="D4879" s="15" t="n">
        <f aca="false">Q!L31</f>
        <v>7.465</v>
      </c>
      <c r="E4879" s="15" t="n">
        <f aca="false">Q!M31</f>
        <v>7.453</v>
      </c>
      <c r="F4879" s="15" t="n">
        <f aca="false">Sens!F4923</f>
        <v>7.4735</v>
      </c>
      <c r="G4879" s="15" t="n">
        <f aca="false">Sens!G4923</f>
        <v>7.5185</v>
      </c>
      <c r="H4879" s="15" t="n">
        <f aca="false">Sens!H4923</f>
        <v>7.5635</v>
      </c>
      <c r="I4879" s="15" t="n">
        <f aca="false">Sens!I4923</f>
        <v>7.59248142502667</v>
      </c>
      <c r="J4879" s="15" t="n">
        <f aca="false">Sens!J4923</f>
        <v>7.60663083618914</v>
      </c>
      <c r="K4879" s="15" t="n">
        <f aca="false">Sens!K4923</f>
        <v>7.62306547615439</v>
      </c>
    </row>
    <row r="4880" customFormat="false" ht="17.15" hidden="false" customHeight="false" outlineLevel="0" collapsed="false">
      <c r="A4880" s="0" t="s">
        <v>1082</v>
      </c>
      <c r="B4880" s="0" t="s">
        <v>75</v>
      </c>
      <c r="D4880" s="8" t="n">
        <f aca="false">Sens!D4878/Sens!D4879</f>
        <v>13.641259209645</v>
      </c>
      <c r="E4880" s="8" t="n">
        <f aca="false">Sens!E4878/Sens!E4879</f>
        <v>17.9456594659869</v>
      </c>
      <c r="F4880" s="8" t="n">
        <f aca="false">Sens!F4878/Sens!F4879</f>
        <v>18.696664543568</v>
      </c>
      <c r="G4880" s="8" t="n">
        <f aca="false">Sens!G4878/Sens!G4879</f>
        <v>18.3406432567161</v>
      </c>
      <c r="H4880" s="8" t="n">
        <f aca="false">Sens!H4878/Sens!H4879</f>
        <v>17.942942647364</v>
      </c>
      <c r="I4880" s="8" t="n">
        <f aca="false">Sens!I4878/Sens!I4879</f>
        <v>18.4214117394526</v>
      </c>
      <c r="J4880" s="8" t="n">
        <f aca="false">Sens!J4878/Sens!J4879</f>
        <v>19.2815908476776</v>
      </c>
      <c r="K4880" s="8" t="n">
        <f aca="false">Sens!K4878/Sens!K4879</f>
        <v>20.5713071815475</v>
      </c>
      <c r="L4880" s="1" t="s">
        <v>1083</v>
      </c>
    </row>
    <row r="4881" customFormat="false" ht="17.15" hidden="false" customHeight="false" outlineLevel="0" collapsed="false">
      <c r="A4881" s="1" t="s">
        <v>1084</v>
      </c>
      <c r="B4881" s="0" t="s">
        <v>98</v>
      </c>
      <c r="D4881" s="6" t="n">
        <f aca="false">Sens!D4878</f>
        <v>101.832</v>
      </c>
      <c r="E4881" s="6" t="n">
        <f aca="false">Sens!E4878</f>
        <v>133.749</v>
      </c>
      <c r="F4881" s="6" t="n">
        <f aca="false">Sens!F4878+Sens!F4871*(1-tax_f)</f>
        <v>148.153903120113</v>
      </c>
      <c r="G4881" s="6" t="n">
        <f aca="false">Sens!G4878+Sens!G4871*(1-tax_f)</f>
        <v>160.087119918336</v>
      </c>
      <c r="H4881" s="6" t="n">
        <f aca="false">Sens!H4878+Sens!H4871*(1-tax_f)</f>
        <v>173.169139217804</v>
      </c>
      <c r="I4881" s="6" t="n">
        <f aca="false">Sens!I4878+Sens!I4871*(1-tax_f)</f>
        <v>190.886562730327</v>
      </c>
      <c r="J4881" s="6" t="n">
        <f aca="false">Sens!J4878+Sens!J4871*(1-tax_f)</f>
        <v>207.58731958597</v>
      </c>
      <c r="K4881" s="6" t="n">
        <f aca="false">Sens!K4878+Sens!K4871*(1-tax_f)</f>
        <v>224.005333479359</v>
      </c>
    </row>
    <row r="4882" customFormat="false" ht="17.15" hidden="false" customHeight="false" outlineLevel="0" collapsed="false">
      <c r="A4882" s="0" t="s">
        <v>1085</v>
      </c>
      <c r="B4882" s="0" t="s">
        <v>75</v>
      </c>
      <c r="D4882" s="8" t="n">
        <f aca="false">Sens!D4881/Sens!D4879</f>
        <v>13.641259209645</v>
      </c>
      <c r="E4882" s="8" t="n">
        <f aca="false">Sens!E4881/Sens!E4879</f>
        <v>17.9456594659869</v>
      </c>
      <c r="F4882" s="8" t="n">
        <f aca="false">Sens!F4881/Sens!F4879</f>
        <v>19.8238981896184</v>
      </c>
      <c r="G4882" s="8" t="n">
        <f aca="false">Sens!G4881/Sens!G4879</f>
        <v>21.2924280000448</v>
      </c>
      <c r="H4882" s="8" t="n">
        <f aca="false">Sens!H4881/Sens!H4879</f>
        <v>22.8953710871692</v>
      </c>
      <c r="I4882" s="8" t="n">
        <f aca="false">Sens!I4881/Sens!I4879</f>
        <v>25.1415251542294</v>
      </c>
      <c r="J4882" s="8" t="n">
        <f aca="false">Sens!J4881/Sens!J4879</f>
        <v>27.2903107902065</v>
      </c>
      <c r="K4882" s="8" t="n">
        <f aca="false">Sens!K4881/Sens!K4879</f>
        <v>29.3852039156777</v>
      </c>
      <c r="L4882" s="1" t="s">
        <v>1086</v>
      </c>
    </row>
    <row r="4883" customFormat="false" ht="17.15" hidden="false" customHeight="false" outlineLevel="0" collapsed="false">
      <c r="A4883" s="0" t="s">
        <v>1087</v>
      </c>
      <c r="B4883" s="0" t="s">
        <v>168</v>
      </c>
      <c r="E4883" s="7" t="n">
        <f aca="false">Sens!E4882/Sens!D4882-1</f>
        <v>0.315542736208578</v>
      </c>
      <c r="F4883" s="7" t="n">
        <f aca="false">Sens!F4882/Sens!E4882-1</f>
        <v>0.104662563512445</v>
      </c>
      <c r="G4883" s="7" t="n">
        <f aca="false">Sens!G4882/Sens!F4882-1</f>
        <v>0.0740787607149538</v>
      </c>
      <c r="H4883" s="7" t="n">
        <f aca="false">Sens!H4882/Sens!G4882-1</f>
        <v>0.0752823063260371</v>
      </c>
      <c r="I4883" s="7" t="n">
        <f aca="false">Sens!I4882/Sens!H4882-1</f>
        <v>0.0981051610174131</v>
      </c>
      <c r="J4883" s="7" t="n">
        <f aca="false">Sens!J4882/Sens!I4882-1</f>
        <v>0.08546759286859</v>
      </c>
      <c r="K4883" s="7" t="n">
        <f aca="false">Sens!K4882/Sens!J4882-1</f>
        <v>0.0767632564383618</v>
      </c>
    </row>
    <row r="4884" customFormat="false" ht="17.15" hidden="false" customHeight="false" outlineLevel="0" collapsed="false">
      <c r="A4884" s="0" t="s">
        <v>1007</v>
      </c>
      <c r="B4884" s="0" t="s">
        <v>98</v>
      </c>
      <c r="E4884" s="6" t="n">
        <f aca="false">Sens!E4825</f>
        <v>5.25</v>
      </c>
      <c r="F4884" s="6" t="n">
        <f aca="false">Sens!F4825</f>
        <v>10.5</v>
      </c>
      <c r="G4884" s="6" t="n">
        <f aca="false">Sens!G4825</f>
        <v>13.5</v>
      </c>
      <c r="H4884" s="6" t="n">
        <f aca="false">Sens!H4825</f>
        <v>16.5</v>
      </c>
      <c r="I4884" s="6" t="n">
        <f aca="false">Sens!I4825</f>
        <v>18.75</v>
      </c>
      <c r="J4884" s="6" t="n">
        <f aca="false">Sens!J4825</f>
        <v>20.25</v>
      </c>
      <c r="K4884" s="6" t="n">
        <f aca="false">Sens!K4825</f>
        <v>21.75</v>
      </c>
    </row>
    <row r="4885" customFormat="false" ht="17.15" hidden="false" customHeight="false" outlineLevel="0" collapsed="false">
      <c r="A4885" s="1" t="s">
        <v>1008</v>
      </c>
      <c r="B4885" s="0" t="s">
        <v>98</v>
      </c>
      <c r="F4885" s="6" t="n">
        <f aca="false">MAX(0,((Sens!E4785+Sens!F4785)/2-(shadow_base*(Sens!$D$4785+Sens!$E$4785)/2+(1-shadow_base)*Sens!$E$4785))*Sens!F4794/1000-(Sens!F4884-Sens!$E$4884)*Sens!F4864)</f>
        <v>10.5304758171972</v>
      </c>
      <c r="G4885" s="6" t="n">
        <f aca="false">MAX(0,((Sens!F4785+Sens!G4785)/2-(shadow_base*(Sens!$D$4785+Sens!$E$4785)/2+(1-shadow_base)*Sens!$E$4785))*Sens!G4794/1000-(Sens!G4884-Sens!$E$4884)*Sens!G4864)</f>
        <v>27.741241990896</v>
      </c>
      <c r="H4885" s="6" t="n">
        <f aca="false">MAX(0,((Sens!G4785+Sens!H4785)/2-(shadow_base*(Sens!$D$4785+Sens!$E$4785)/2+(1-shadow_base)*Sens!$E$4785))*Sens!H4794/1000-(Sens!H4884-Sens!$E$4884)*Sens!H4864)</f>
        <v>46.8221156305833</v>
      </c>
      <c r="I4885" s="6" t="n">
        <f aca="false">MAX(0,((Sens!H4785+Sens!I4785)/2-(shadow_base*(Sens!$D$4785+Sens!$E$4785)/2+(1-shadow_base)*Sens!$E$4785))*Sens!I4794/1000-(Sens!I4884-Sens!$E$4884)*Sens!I4864)</f>
        <v>63.7779203447068</v>
      </c>
      <c r="J4885" s="6" t="n">
        <f aca="false">MAX(0,((Sens!I4785+Sens!J4785)/2-(shadow_base*(Sens!$D$4785+Sens!$E$4785)/2+(1-shadow_base)*Sens!$E$4785))*Sens!J4794/1000-(Sens!J4884-Sens!$E$4884)*Sens!J4864)</f>
        <v>76.1492200915533</v>
      </c>
      <c r="K4885" s="6" t="n">
        <f aca="false">MAX(0,((Sens!J4785+Sens!K4785)/2-(shadow_base*(Sens!$D$4785+Sens!$E$4785)/2+(1-shadow_base)*Sens!$E$4785))*Sens!K4794/1000-(Sens!K4884-Sens!$E$4884)*Sens!K4864)</f>
        <v>83.9861398804221</v>
      </c>
      <c r="L4885" s="1" t="s">
        <v>1009</v>
      </c>
    </row>
    <row r="4886" customFormat="false" ht="17.15" hidden="false" customHeight="false" outlineLevel="0" collapsed="false">
      <c r="A4886" s="1" t="s">
        <v>1010</v>
      </c>
      <c r="B4886" s="0" t="s">
        <v>98</v>
      </c>
      <c r="F4886" s="6" t="n">
        <f aca="false">IF(internal_ai_reading=2,1,0)*Sens!F4885</f>
        <v>10.5304758171972</v>
      </c>
      <c r="G4886" s="6" t="n">
        <f aca="false">IF(internal_ai_reading=2,1,0)*Sens!G4885</f>
        <v>27.741241990896</v>
      </c>
      <c r="H4886" s="6" t="n">
        <f aca="false">IF(internal_ai_reading=2,1,0)*Sens!H4885</f>
        <v>46.8221156305833</v>
      </c>
      <c r="I4886" s="6" t="n">
        <f aca="false">IF(internal_ai_reading=2,1,0)*Sens!I4885</f>
        <v>63.7779203447068</v>
      </c>
      <c r="J4886" s="6" t="n">
        <f aca="false">IF(internal_ai_reading=2,1,0)*Sens!J4885</f>
        <v>76.1492200915533</v>
      </c>
      <c r="K4886" s="6" t="n">
        <f aca="false">IF(internal_ai_reading=2,1,0)*Sens!K4885</f>
        <v>83.9861398804221</v>
      </c>
    </row>
    <row r="4887" customFormat="false" ht="17.15" hidden="false" customHeight="false" outlineLevel="0" collapsed="false">
      <c r="A4887" s="0" t="s">
        <v>1011</v>
      </c>
      <c r="B4887" s="0" t="s">
        <v>98</v>
      </c>
      <c r="F4887" s="6" t="n">
        <f aca="false">Sens!F4804+Sens!F4884*Sens!F4864+Sens!F4886-Sens!F4805-Sens!F4816</f>
        <v>4.03708666902662</v>
      </c>
      <c r="G4887" s="6" t="n">
        <f aca="false">Sens!G4804+Sens!G4884*Sens!G4864+Sens!G4886-Sens!G4805-Sens!G4816</f>
        <v>5.19200395661943</v>
      </c>
      <c r="H4887" s="6" t="n">
        <f aca="false">Sens!H4804+Sens!H4884*Sens!H4864+Sens!H4886-Sens!H4805-Sens!H4816</f>
        <v>0.90771619899904</v>
      </c>
      <c r="I4887" s="6" t="n">
        <f aca="false">Sens!I4804+Sens!I4884*Sens!I4864+Sens!I4886-Sens!I4805-Sens!I4816</f>
        <v>2.80680365722913</v>
      </c>
      <c r="J4887" s="6" t="n">
        <f aca="false">Sens!J4804+Sens!J4884*Sens!J4864+Sens!J4886-Sens!J4805-Sens!J4816</f>
        <v>4.62337838043644</v>
      </c>
      <c r="K4887" s="6" t="n">
        <f aca="false">Sens!K4804+Sens!K4884*Sens!K4864+Sens!K4886-Sens!K4805-Sens!K4816</f>
        <v>8.0974725539123</v>
      </c>
    </row>
    <row r="4888" customFormat="false" ht="17.15" hidden="false" customHeight="false" outlineLevel="0" collapsed="false">
      <c r="A4888" s="0" t="s">
        <v>1012</v>
      </c>
      <c r="B4888" s="0" t="s">
        <v>98</v>
      </c>
      <c r="E4888" s="6" t="n">
        <f aca="false">Sens!E4784*(cxit_open+self_build*tk_cxfac)/1000*ai_net_open</f>
        <v>126.6980382</v>
      </c>
      <c r="F4888" s="6" t="n">
        <f aca="false">Sens!E4888+Sens!F4813-Sens!F4816</f>
        <v>254.158530766683</v>
      </c>
      <c r="G4888" s="6" t="n">
        <f aca="false">Sens!F4888+Sens!G4813-Sens!G4816</f>
        <v>374.055785428727</v>
      </c>
      <c r="H4888" s="6" t="n">
        <f aca="false">Sens!G4888+Sens!H4813-Sens!H4816</f>
        <v>493.619309235596</v>
      </c>
      <c r="I4888" s="6" t="n">
        <f aca="false">Sens!H4888+Sens!I4813-Sens!I4816</f>
        <v>539.84599668144</v>
      </c>
      <c r="J4888" s="6" t="n">
        <f aca="false">Sens!I4888+Sens!J4813-Sens!J4816</f>
        <v>552.48323695176</v>
      </c>
      <c r="K4888" s="6" t="n">
        <f aca="false">Sens!J4888+Sens!K4813-Sens!K4816</f>
        <v>560.787333150366</v>
      </c>
      <c r="L4888" s="1" t="s">
        <v>1013</v>
      </c>
    </row>
    <row r="4889" customFormat="false" ht="17.15" hidden="false" customHeight="false" outlineLevel="0" collapsed="false">
      <c r="A4889" s="0" t="s">
        <v>1014</v>
      </c>
      <c r="B4889" s="0" t="s">
        <v>168</v>
      </c>
      <c r="F4889" s="7" t="n">
        <f aca="false">Sens!F4887*(1-tax_f)/((Sens!E4888+Sens!F4888)/2)</f>
        <v>0.0169600295669514</v>
      </c>
      <c r="G4889" s="7" t="n">
        <f aca="false">Sens!G4887*(1-tax_f)/((Sens!F4888+Sens!G4888)/2)</f>
        <v>0.0132235227953753</v>
      </c>
      <c r="H4889" s="7" t="n">
        <f aca="false">Sens!H4887*(1-tax_f)/((Sens!G4888+Sens!H4888)/2)</f>
        <v>0.00167383612521497</v>
      </c>
      <c r="I4889" s="7" t="n">
        <f aca="false">Sens!I4887*(1-tax_f)/((Sens!H4888+Sens!I4888)/2)</f>
        <v>0.00434546358339688</v>
      </c>
      <c r="J4889" s="7" t="n">
        <f aca="false">Sens!J4887*(1-tax_f)/((Sens!I4888+Sens!J4888)/2)</f>
        <v>0.00677213900436754</v>
      </c>
      <c r="K4889" s="7" t="n">
        <f aca="false">Sens!K4887*(1-tax_f)/((Sens!J4888+Sens!K4888)/2)</f>
        <v>0.0116377423729715</v>
      </c>
    </row>
    <row r="4890" customFormat="false" ht="17.15" hidden="false" customHeight="false" outlineLevel="0" collapsed="false">
      <c r="A4890" s="1" t="s">
        <v>1015</v>
      </c>
      <c r="B4890" s="0" t="s">
        <v>168</v>
      </c>
      <c r="F4890" s="7" t="n">
        <f aca="false">(Sens!F4887-Sens!F4886)*(1-tax_f)/((Sens!E4888+Sens!F4888)/2)</f>
        <v>-0.027279095291072</v>
      </c>
      <c r="G4890" s="7" t="n">
        <f aca="false">(Sens!G4887-Sens!G4886)*(1-tax_f)/((Sens!F4888+Sens!G4888)/2)</f>
        <v>-0.0574306887390641</v>
      </c>
      <c r="H4890" s="7" t="n">
        <f aca="false">(Sens!H4887-Sens!H4886)*(1-tax_f)/((Sens!G4888+Sens!H4888)/2)</f>
        <v>-0.0846665296057107</v>
      </c>
      <c r="I4890" s="7" t="n">
        <f aca="false">(Sens!I4887-Sens!I4886)*(1-tax_f)/((Sens!H4888+Sens!I4888)/2)</f>
        <v>-0.0943948346803968</v>
      </c>
      <c r="J4890" s="7" t="n">
        <f aca="false">(Sens!J4887-Sens!J4886)*(1-tax_f)/((Sens!I4888+Sens!J4888)/2)</f>
        <v>-0.104768180887317</v>
      </c>
      <c r="K4890" s="7" t="n">
        <f aca="false">(Sens!K4887-Sens!K4886)*(1-tax_f)/((Sens!J4888+Sens!K4888)/2)</f>
        <v>-0.109067706434813</v>
      </c>
    </row>
    <row r="4891" customFormat="false" ht="17.15" hidden="false" customHeight="false" outlineLevel="0" collapsed="false">
      <c r="A4891" s="1" t="s">
        <v>1016</v>
      </c>
      <c r="B4891" s="0" t="s">
        <v>168</v>
      </c>
      <c r="F4891" s="7" t="n">
        <f aca="false">(Sens!F4887-Sens!F4886+Sens!F4885)*(1-tax_f)/((Sens!E4888+Sens!F4888)/2)</f>
        <v>0.0169600295669514</v>
      </c>
      <c r="G4891" s="7" t="n">
        <f aca="false">(Sens!G4887-Sens!G4886+Sens!G4885)*(1-tax_f)/((Sens!F4888+Sens!G4888)/2)</f>
        <v>0.0132235227953753</v>
      </c>
      <c r="H4891" s="7" t="n">
        <f aca="false">(Sens!H4887-Sens!H4886+Sens!H4885)*(1-tax_f)/((Sens!G4888+Sens!H4888)/2)</f>
        <v>0.00167383612521497</v>
      </c>
      <c r="I4891" s="7" t="n">
        <f aca="false">(Sens!I4887-Sens!I4886+Sens!I4885)*(1-tax_f)/((Sens!H4888+Sens!I4888)/2)</f>
        <v>0.00434546358339688</v>
      </c>
      <c r="J4891" s="7" t="n">
        <f aca="false">(Sens!J4887-Sens!J4886+Sens!J4885)*(1-tax_f)/((Sens!I4888+Sens!J4888)/2)</f>
        <v>0.00677213900436754</v>
      </c>
      <c r="K4891" s="7" t="n">
        <f aca="false">(Sens!K4887-Sens!K4886+Sens!K4885)*(1-tax_f)/((Sens!J4888+Sens!K4888)/2)</f>
        <v>0.0116377423729715</v>
      </c>
    </row>
    <row r="4892" customFormat="false" ht="17.15" hidden="false" customHeight="false" outlineLevel="0" collapsed="false">
      <c r="A4892" s="1" t="s">
        <v>1017</v>
      </c>
      <c r="B4892" s="0" t="s">
        <v>168</v>
      </c>
      <c r="F4892" s="7" t="n">
        <f aca="false">Sens!F4817*(1-tax_f)/(Sens!F4803*(Sens!E4888+Sens!F4888)/2)</f>
        <v>0.0735092158271276</v>
      </c>
      <c r="G4892" s="7" t="n">
        <f aca="false">Sens!G4817*(1-tax_f)/(Sens!G4803*(Sens!F4888+Sens!G4888)/2)</f>
        <v>0.0413135421172332</v>
      </c>
      <c r="H4892" s="7" t="n">
        <f aca="false">Sens!H4817*(1-tax_f)/(Sens!H4803*(Sens!G4888+Sens!H4888)/2)</f>
        <v>0.0100390263895478</v>
      </c>
      <c r="I4892" s="7" t="n">
        <f aca="false">Sens!I4817*(1-tax_f)/(Sens!I4803*(Sens!H4888+Sens!I4888)/2)</f>
        <v>0.00896826847462924</v>
      </c>
      <c r="J4892" s="7" t="n">
        <f aca="false">Sens!J4817*(1-tax_f)/(Sens!J4803*(Sens!I4888+Sens!J4888)/2)</f>
        <v>0.00973474897963455</v>
      </c>
      <c r="K4892" s="7" t="n">
        <f aca="false">Sens!K4817*(1-tax_f)/(Sens!K4803*(Sens!J4888+Sens!K4888)/2)</f>
        <v>0.0141087279955248</v>
      </c>
    </row>
    <row r="4893" customFormat="false" ht="17.15" hidden="false" customHeight="false" outlineLevel="0" collapsed="false">
      <c r="A4893" s="0" t="s">
        <v>1018</v>
      </c>
      <c r="B4893" s="0" t="s">
        <v>253</v>
      </c>
      <c r="F4893" s="7" t="n">
        <f aca="false">Sens!F4889-wacc</f>
        <v>-0.0859765613786459</v>
      </c>
      <c r="G4893" s="7" t="n">
        <f aca="false">Sens!G4889-wacc</f>
        <v>-0.089713068150222</v>
      </c>
      <c r="H4893" s="7" t="n">
        <f aca="false">Sens!H4889-wacc</f>
        <v>-0.101262754820382</v>
      </c>
      <c r="I4893" s="7" t="n">
        <f aca="false">Sens!I4889-wacc</f>
        <v>-0.0985911273622004</v>
      </c>
      <c r="J4893" s="7" t="n">
        <f aca="false">Sens!J4889-wacc</f>
        <v>-0.0961644519412297</v>
      </c>
      <c r="K4893" s="7" t="n">
        <f aca="false">Sens!K4889-wacc</f>
        <v>-0.0912988485726258</v>
      </c>
    </row>
    <row r="4894" customFormat="false" ht="17.15" hidden="false" customHeight="false" outlineLevel="0" collapsed="false">
      <c r="A4894" s="0" t="s">
        <v>1019</v>
      </c>
      <c r="B4894" s="0" t="s">
        <v>98</v>
      </c>
      <c r="F4894" s="6" t="n">
        <f aca="false">Sens!F4887*(1-tax_f)-wacc*(Sens!E4888+Sens!F4888)/2</f>
        <v>-16.3723690891122</v>
      </c>
      <c r="G4894" s="6" t="n">
        <f aca="false">Sens!G4887*(1-tax_f)-wacc*(Sens!F4888+Sens!G4888)/2</f>
        <v>-28.179516880892</v>
      </c>
      <c r="H4894" s="6" t="n">
        <f aca="false">Sens!H4887*(1-tax_f)-wacc*(Sens!G4888+Sens!H4888)/2</f>
        <v>-43.9315851873727</v>
      </c>
      <c r="I4894" s="6" t="n">
        <f aca="false">Sens!I4887*(1-tax_f)-wacc*(Sens!H4888+Sens!I4888)/2</f>
        <v>-50.945254800041</v>
      </c>
      <c r="J4894" s="6" t="n">
        <f aca="false">Sens!J4887*(1-tax_f)-wacc*(Sens!I4888+Sens!J4888)/2</f>
        <v>-52.5216210458601</v>
      </c>
      <c r="K4894" s="6" t="n">
        <f aca="false">Sens!K4887*(1-tax_f)-wacc*(Sens!J4888+Sens!K4888)/2</f>
        <v>-50.8201606000574</v>
      </c>
    </row>
    <row r="4895" customFormat="false" ht="17.15" hidden="false" customHeight="false" outlineLevel="0" collapsed="false">
      <c r="A4895" s="3" t="s">
        <v>1733</v>
      </c>
    </row>
    <row r="4896" customFormat="false" ht="15" hidden="false" customHeight="false" outlineLevel="0" collapsed="false">
      <c r="A4896" s="4" t="s">
        <v>43</v>
      </c>
      <c r="B4896" s="4" t="s">
        <v>65</v>
      </c>
      <c r="C4896" s="23" t="s">
        <v>942</v>
      </c>
      <c r="D4896" s="23" t="s">
        <v>943</v>
      </c>
      <c r="E4896" s="23" t="s">
        <v>944</v>
      </c>
      <c r="F4896" s="23" t="s">
        <v>945</v>
      </c>
      <c r="G4896" s="23" t="s">
        <v>946</v>
      </c>
      <c r="H4896" s="23" t="s">
        <v>947</v>
      </c>
      <c r="I4896" s="23" t="s">
        <v>948</v>
      </c>
      <c r="J4896" s="23" t="s">
        <v>949</v>
      </c>
      <c r="K4896" s="23" t="s">
        <v>950</v>
      </c>
      <c r="L4896" s="4" t="s">
        <v>47</v>
      </c>
    </row>
    <row r="4897" customFormat="false" ht="15" hidden="false" customHeight="false" outlineLevel="0" collapsed="false">
      <c r="A4897" s="1" t="s">
        <v>1080</v>
      </c>
      <c r="B4897" s="0" t="s">
        <v>98</v>
      </c>
      <c r="F4897" s="6" t="n">
        <f aca="false">Sens!F4878</f>
        <v>139.729522466355</v>
      </c>
      <c r="G4897" s="6" t="n">
        <f aca="false">Sens!G4878</f>
        <v>137.89412632562</v>
      </c>
      <c r="H4897" s="6" t="n">
        <f aca="false">Sens!H4878</f>
        <v>135.711446713338</v>
      </c>
      <c r="I4897" s="6" t="n">
        <f aca="false">Sens!I4878</f>
        <v>139.864226454562</v>
      </c>
      <c r="J4897" s="6" t="n">
        <f aca="false">Sens!J4878</f>
        <v>146.667943512727</v>
      </c>
      <c r="K4897" s="6" t="n">
        <f aca="false">Sens!K4878</f>
        <v>156.816421575022</v>
      </c>
    </row>
    <row r="4898" customFormat="false" ht="17.15" hidden="false" customHeight="false" outlineLevel="0" collapsed="false">
      <c r="A4898" s="1" t="s">
        <v>1102</v>
      </c>
      <c r="B4898" s="0" t="s">
        <v>98</v>
      </c>
      <c r="E4898" s="6" t="n">
        <f aca="false">Q!M38-Sens!E4816</f>
        <v>19.2164783275</v>
      </c>
      <c r="F4898" s="6" t="n">
        <f aca="false">Sens!E4898*(1-1/life_nonai)+(Sens!F4906+Sens!F4907)/life_nonai</f>
        <v>20.8774364020802</v>
      </c>
      <c r="G4898" s="6" t="n">
        <f aca="false">Sens!F4898*(1-1/life_nonai)+(Sens!G4906)/life_nonai</f>
        <v>22.9077949959595</v>
      </c>
      <c r="H4898" s="6" t="n">
        <f aca="false">Sens!G4898*(1-1/life_nonai)+(Sens!H4906)/life_nonai</f>
        <v>25.2792611413538</v>
      </c>
      <c r="I4898" s="6" t="n">
        <f aca="false">Sens!H4898*(1-1/life_nonai)+(Sens!I4906)/life_nonai</f>
        <v>27.9377636904969</v>
      </c>
      <c r="J4898" s="6" t="n">
        <f aca="false">Sens!I4898*(1-1/life_nonai)+(Sens!J4906)/life_nonai</f>
        <v>30.8108905684695</v>
      </c>
      <c r="K4898" s="6" t="n">
        <f aca="false">Sens!J4898*(1-1/life_nonai)+(Sens!K4906)/life_nonai</f>
        <v>33.8164361664601</v>
      </c>
      <c r="L4898" s="12" t="s">
        <v>1103</v>
      </c>
    </row>
    <row r="4899" customFormat="false" ht="17.15" hidden="false" customHeight="false" outlineLevel="0" collapsed="false">
      <c r="A4899" s="1" t="s">
        <v>1104</v>
      </c>
      <c r="B4899" s="0" t="s">
        <v>98</v>
      </c>
      <c r="F4899" s="6" t="n">
        <f aca="false">Sens!$F$4907/life_nonai*(1-1/life_nonai)^(Sens!F4779-2027)</f>
        <v>0</v>
      </c>
      <c r="G4899" s="6" t="n">
        <f aca="false">Sens!$F$4907/life_nonai*(1-1/life_nonai)^(Sens!G4779-2027)</f>
        <v>0</v>
      </c>
      <c r="H4899" s="6" t="n">
        <f aca="false">Sens!$F$4907/life_nonai*(1-1/life_nonai)^(Sens!H4779-2027)</f>
        <v>0</v>
      </c>
      <c r="I4899" s="6" t="n">
        <f aca="false">Sens!$F$4907/life_nonai*(1-1/life_nonai)^(Sens!I4779-2027)</f>
        <v>0</v>
      </c>
      <c r="J4899" s="6" t="n">
        <f aca="false">Sens!$F$4907/life_nonai*(1-1/life_nonai)^(Sens!J4779-2027)</f>
        <v>0</v>
      </c>
      <c r="K4899" s="6" t="n">
        <f aca="false">Sens!$F$4907/life_nonai*(1-1/life_nonai)^(Sens!K4779-2027)</f>
        <v>0</v>
      </c>
      <c r="L4899" s="1" t="s">
        <v>1105</v>
      </c>
    </row>
    <row r="4900" customFormat="false" ht="17.15" hidden="false" customHeight="false" outlineLevel="0" collapsed="false">
      <c r="A4900" s="1" t="s">
        <v>1106</v>
      </c>
      <c r="B4900" s="0" t="s">
        <v>98</v>
      </c>
      <c r="E4900" s="6" t="n">
        <f aca="false">Sens!E4816+Sens!E4898</f>
        <v>38.534</v>
      </c>
      <c r="F4900" s="6" t="n">
        <f aca="false">Sens!F4816+Sens!F4898</f>
        <v>61.8708478775172</v>
      </c>
      <c r="G4900" s="6" t="n">
        <f aca="false">Sens!G4816+Sens!G4898</f>
        <v>94.9550159829632</v>
      </c>
      <c r="H4900" s="6" t="n">
        <f aca="false">Sens!H4816+Sens!H4898</f>
        <v>131.682486158997</v>
      </c>
      <c r="I4900" s="6" t="n">
        <f aca="false">Sens!I4816+Sens!I4898</f>
        <v>165.203840866264</v>
      </c>
      <c r="J4900" s="6" t="n">
        <f aca="false">Sens!J4816+Sens!J4898</f>
        <v>190.547140014089</v>
      </c>
      <c r="K4900" s="6" t="n">
        <f aca="false">Sens!K4816+Sens!K4898</f>
        <v>206.994347956099</v>
      </c>
    </row>
    <row r="4901" customFormat="false" ht="17.15" hidden="false" customHeight="false" outlineLevel="0" collapsed="false">
      <c r="A4901" s="1" t="s">
        <v>1107</v>
      </c>
      <c r="B4901" s="0" t="s">
        <v>98</v>
      </c>
      <c r="F4901" s="6" t="n">
        <f aca="false">Sens!F4843*sbc_r</f>
        <v>14.7454787486369</v>
      </c>
      <c r="G4901" s="6" t="n">
        <f aca="false">Sens!G4843*sbc_r</f>
        <v>17.1560811611477</v>
      </c>
      <c r="H4901" s="6" t="n">
        <f aca="false">Sens!H4843*sbc_r</f>
        <v>19.4392721288594</v>
      </c>
      <c r="I4901" s="6" t="n">
        <f aca="false">Sens!I4843*sbc_r</f>
        <v>21.8101467158586</v>
      </c>
      <c r="J4901" s="6" t="n">
        <f aca="false">Sens!J4843*sbc_r</f>
        <v>23.8342700350529</v>
      </c>
      <c r="K4901" s="6" t="n">
        <f aca="false">Sens!K4843*sbc_r</f>
        <v>25.5175179409129</v>
      </c>
    </row>
    <row r="4902" customFormat="false" ht="17.15" hidden="false" customHeight="false" outlineLevel="0" collapsed="false">
      <c r="A4902" s="1" t="s">
        <v>1108</v>
      </c>
      <c r="B4902" s="0" t="s">
        <v>98</v>
      </c>
      <c r="F4902" s="6" t="n">
        <f aca="false">wc27-wc26q1</f>
        <v>-4.677</v>
      </c>
      <c r="G4902" s="6" t="n">
        <f aca="false">wc_f</f>
        <v>0</v>
      </c>
      <c r="H4902" s="6" t="n">
        <f aca="false">wc_f</f>
        <v>0</v>
      </c>
      <c r="I4902" s="6" t="n">
        <f aca="false">wc_f</f>
        <v>0</v>
      </c>
      <c r="J4902" s="6" t="n">
        <f aca="false">wc_f</f>
        <v>0</v>
      </c>
      <c r="K4902" s="6" t="n">
        <f aca="false">wc_f</f>
        <v>0</v>
      </c>
      <c r="L4902" s="12" t="s">
        <v>1109</v>
      </c>
    </row>
    <row r="4903" customFormat="false" ht="17.15" hidden="false" customHeight="false" outlineLevel="0" collapsed="false">
      <c r="A4903" s="0" t="s">
        <v>1110</v>
      </c>
      <c r="B4903" s="0" t="s">
        <v>98</v>
      </c>
      <c r="F4903" s="6" t="n">
        <f aca="false">Q!$I$35-Q!$I$26-Q!$I$38-Q!$I$39</f>
        <v>6.493</v>
      </c>
      <c r="L4903" s="1" t="s">
        <v>1111</v>
      </c>
    </row>
    <row r="4904" customFormat="false" ht="15" hidden="false" customHeight="false" outlineLevel="0" collapsed="false">
      <c r="A4904" s="1" t="s">
        <v>908</v>
      </c>
      <c r="B4904" s="0" t="s">
        <v>98</v>
      </c>
      <c r="E4904" s="6" t="n">
        <f aca="false">Q!M35</f>
        <v>182.935</v>
      </c>
      <c r="F4904" s="6" t="n">
        <f aca="false">Sens!F4897+Sens!F4900+Sens!F4901+Sens!F4902+Sens!F4903</f>
        <v>218.16184909251</v>
      </c>
      <c r="G4904" s="6" t="n">
        <f aca="false">Sens!G4897+Sens!G4900+Sens!G4901+Sens!G4902</f>
        <v>250.005223469731</v>
      </c>
      <c r="H4904" s="6" t="n">
        <f aca="false">Sens!H4897+Sens!H4900+Sens!H4901+Sens!H4902</f>
        <v>286.833205001194</v>
      </c>
      <c r="I4904" s="6" t="n">
        <f aca="false">Sens!I4897+Sens!I4900+Sens!I4901+Sens!I4902</f>
        <v>326.878214036685</v>
      </c>
      <c r="J4904" s="6" t="n">
        <f aca="false">Sens!J4897+Sens!J4900+Sens!J4901+Sens!J4902</f>
        <v>361.049353561869</v>
      </c>
      <c r="K4904" s="6" t="n">
        <f aca="false">Sens!K4897+Sens!K4900+Sens!K4901+Sens!K4902</f>
        <v>389.328287472033</v>
      </c>
    </row>
    <row r="4905" customFormat="false" ht="17.15" hidden="false" customHeight="false" outlineLevel="0" collapsed="false">
      <c r="A4905" s="0" t="s">
        <v>1112</v>
      </c>
      <c r="B4905" s="0" t="s">
        <v>98</v>
      </c>
      <c r="F4905" s="6" t="n">
        <f aca="false">Sens!F4813</f>
        <v>168.45390404212</v>
      </c>
      <c r="G4905" s="6" t="n">
        <f aca="false">Sens!G4813</f>
        <v>191.944475649048</v>
      </c>
      <c r="H4905" s="6" t="n">
        <f aca="false">Sens!H4813</f>
        <v>225.966748824512</v>
      </c>
      <c r="I4905" s="6" t="n">
        <f aca="false">Sens!I4813</f>
        <v>183.49276462161</v>
      </c>
      <c r="J4905" s="6" t="n">
        <f aca="false">Sens!J4813</f>
        <v>172.37348971594</v>
      </c>
      <c r="K4905" s="6" t="n">
        <f aca="false">Sens!K4813</f>
        <v>181.482007988245</v>
      </c>
    </row>
    <row r="4906" customFormat="false" ht="17.15" hidden="false" customHeight="false" outlineLevel="0" collapsed="false">
      <c r="A4906" s="1" t="s">
        <v>1113</v>
      </c>
      <c r="B4906" s="0" t="s">
        <v>98</v>
      </c>
      <c r="E4906" s="6" t="n">
        <f aca="false">Sens!E4821*cx_azo+Sens!E4828*cx_m365+Sens!E4829*cx_lic+(Sens!E4831+Sens!E4833)*cx_ind+Sens!E4836*cx_srch+(Sens!E4838+Sens!E4840)*cx_dev</f>
        <v>30.1846587067718</v>
      </c>
      <c r="F4906" s="6" t="n">
        <f aca="false">Sens!F4821*cx_azo+Sens!F4828*cx_m365+Sens!F4829*cx_lic+(Sens!F4831+Sens!F4833)*cx_ind+Sens!F4836*cx_srch+(Sens!F4838+Sens!F4840)*cx_dev</f>
        <v>35.826059073302</v>
      </c>
      <c r="G4906" s="6" t="n">
        <f aca="false">Sens!G4821*cx_azo+Sens!G4828*cx_m365+Sens!G4829*cx_lic+(Sens!G4831+Sens!G4833)*cx_ind+Sens!G4836*cx_srch+(Sens!G4838+Sens!G4840)*cx_dev</f>
        <v>41.1810223408732</v>
      </c>
      <c r="H4906" s="6" t="n">
        <f aca="false">Sens!H4821*cx_azo+Sens!H4828*cx_m365+Sens!H4829*cx_lic+(Sens!H4831+Sens!H4833)*cx_ind+Sens!H4836*cx_srch+(Sens!H4838+Sens!H4840)*cx_dev</f>
        <v>46.6224564499022</v>
      </c>
      <c r="I4906" s="6" t="n">
        <f aca="false">Sens!I4821*cx_azo+Sens!I4828*cx_m365+Sens!I4829*cx_lic+(Sens!I4831+Sens!I4833)*cx_ind+Sens!I4836*cx_srch+(Sens!I4838+Sens!I4840)*cx_dev</f>
        <v>51.8642866327854</v>
      </c>
      <c r="J4906" s="6" t="n">
        <f aca="false">Sens!J4821*cx_azo+Sens!J4828*cx_m365+Sens!J4829*cx_lic+(Sens!J4831+Sens!J4833)*cx_ind+Sens!J4836*cx_srch+(Sens!J4838+Sens!J4840)*cx_dev</f>
        <v>56.6690324702225</v>
      </c>
      <c r="K4906" s="6" t="n">
        <f aca="false">Sens!K4821*cx_azo+Sens!K4828*cx_m365+Sens!K4829*cx_lic+(Sens!K4831+Sens!K4833)*cx_ind+Sens!K4836*cx_srch+(Sens!K4838+Sens!K4840)*cx_dev</f>
        <v>60.866346548376</v>
      </c>
    </row>
    <row r="4907" customFormat="false" ht="17.15" hidden="false" customHeight="false" outlineLevel="0" collapsed="false">
      <c r="A4907" s="0" t="s">
        <v>1114</v>
      </c>
      <c r="B4907" s="0" t="s">
        <v>98</v>
      </c>
      <c r="F4907" s="6" t="n">
        <f aca="false">Sens!F4811</f>
        <v>0</v>
      </c>
      <c r="L4907" s="1" t="s">
        <v>1115</v>
      </c>
    </row>
    <row r="4908" customFormat="false" ht="17.15" hidden="false" customHeight="false" outlineLevel="0" collapsed="false">
      <c r="A4908" s="1" t="s">
        <v>1116</v>
      </c>
      <c r="B4908" s="0" t="s">
        <v>98</v>
      </c>
      <c r="E4908" s="6" t="n">
        <f aca="false">Q!M43</f>
        <v>145.3</v>
      </c>
      <c r="F4908" s="6" t="n">
        <f aca="false">Sens!F4905+Sens!F4906+Sens!F4907</f>
        <v>204.279963115422</v>
      </c>
      <c r="G4908" s="6" t="n">
        <f aca="false">Sens!G4905+Sens!G4906</f>
        <v>233.125497989921</v>
      </c>
      <c r="H4908" s="6" t="n">
        <f aca="false">Sens!H4905+Sens!H4906</f>
        <v>272.589205274415</v>
      </c>
      <c r="I4908" s="6" t="n">
        <f aca="false">Sens!I4905+Sens!I4906</f>
        <v>235.357051254396</v>
      </c>
      <c r="J4908" s="6" t="n">
        <f aca="false">Sens!J4905+Sens!J4906</f>
        <v>229.042522186163</v>
      </c>
      <c r="K4908" s="6" t="n">
        <f aca="false">Sens!K4905+Sens!K4906</f>
        <v>242.348354536621</v>
      </c>
      <c r="L4908" s="1" t="s">
        <v>1117</v>
      </c>
    </row>
    <row r="4909" customFormat="false" ht="15" hidden="false" customHeight="false" outlineLevel="0" collapsed="false">
      <c r="A4909" s="1" t="s">
        <v>1118</v>
      </c>
      <c r="B4909" s="0" t="s">
        <v>98</v>
      </c>
      <c r="E4909" s="6" t="n">
        <f aca="false">fl_liab</f>
        <v>66.594</v>
      </c>
      <c r="F4909" s="6" t="n">
        <f aca="false">Sens!E4909-Sens!F4910</f>
        <v>62.46973</v>
      </c>
      <c r="G4909" s="6" t="n">
        <f aca="false">Sens!F4909-Sens!G4910</f>
        <v>57.98686785</v>
      </c>
      <c r="H4909" s="6" t="n">
        <f aca="false">Sens!G4909-Sens!H4910</f>
        <v>53.92827690325</v>
      </c>
      <c r="I4909" s="6" t="n">
        <f aca="false">Sens!H4909-Sens!I4910</f>
        <v>49.7850493638962</v>
      </c>
      <c r="J4909" s="6" t="n">
        <f aca="false">Sens!I4909-Sens!J4910</f>
        <v>45.4823765852716</v>
      </c>
      <c r="K4909" s="6" t="n">
        <f aca="false">Sens!J4909-Sens!K4910</f>
        <v>40.9860835316088</v>
      </c>
    </row>
    <row r="4910" customFormat="false" ht="15" hidden="false" customHeight="false" outlineLevel="0" collapsed="false">
      <c r="A4910" s="1" t="s">
        <v>1119</v>
      </c>
      <c r="B4910" s="0" t="s">
        <v>98</v>
      </c>
      <c r="F4910" s="6" t="n">
        <f aca="false">fl_pay_27-Sens!E4909*fl_rate</f>
        <v>4.12427</v>
      </c>
      <c r="G4910" s="6" t="n">
        <f aca="false">fl_pay_28-Sens!F4909*fl_rate</f>
        <v>4.48286215</v>
      </c>
      <c r="H4910" s="6" t="n">
        <f aca="false">fl_pay_29-Sens!G4909*fl_rate</f>
        <v>4.05859094675</v>
      </c>
      <c r="I4910" s="6" t="n">
        <f aca="false">fl_pay_30-Sens!H4909*fl_rate</f>
        <v>4.14322753935375</v>
      </c>
      <c r="J4910" s="6" t="n">
        <f aca="false">fl_pay_31-Sens!I4909*fl_rate</f>
        <v>4.30267277862467</v>
      </c>
      <c r="K4910" s="6" t="n">
        <f aca="false">fl_pay_32-Sens!J4909*fl_rate</f>
        <v>4.49629305366278</v>
      </c>
    </row>
    <row r="4911" customFormat="false" ht="17.15" hidden="false" customHeight="false" outlineLevel="0" collapsed="false">
      <c r="A4911" s="1" t="s">
        <v>1120</v>
      </c>
      <c r="B4911" s="0" t="s">
        <v>98</v>
      </c>
      <c r="E4911" s="6" t="n">
        <f aca="false">Q!M35-Q!M36-Q!M44</f>
        <v>63.886</v>
      </c>
      <c r="F4911" s="6" t="n">
        <f aca="false">Sens!F4904-Sens!F4908-Sens!F4910</f>
        <v>9.7576159770879</v>
      </c>
      <c r="G4911" s="6" t="n">
        <f aca="false">Sens!G4904-Sens!G4908-Sens!G4910</f>
        <v>12.3968633298093</v>
      </c>
      <c r="H4911" s="6" t="n">
        <f aca="false">Sens!H4904-Sens!H4908-Sens!H4910</f>
        <v>10.1854087800296</v>
      </c>
      <c r="I4911" s="6" t="n">
        <f aca="false">Sens!I4904-Sens!I4908-Sens!I4910</f>
        <v>87.3779352429351</v>
      </c>
      <c r="J4911" s="6" t="n">
        <f aca="false">Sens!J4904-Sens!J4908-Sens!J4910</f>
        <v>127.704158597082</v>
      </c>
      <c r="K4911" s="6" t="n">
        <f aca="false">Sens!K4904-Sens!K4908-Sens!K4910</f>
        <v>142.48363988175</v>
      </c>
      <c r="L4911" s="12" t="s">
        <v>1121</v>
      </c>
    </row>
    <row r="4912" customFormat="false" ht="15" hidden="false" customHeight="false" outlineLevel="0" collapsed="false">
      <c r="A4912" s="1" t="s">
        <v>1122</v>
      </c>
      <c r="B4912" s="0" t="s">
        <v>75</v>
      </c>
      <c r="F4912" s="8" t="n">
        <f aca="false">dps_27</f>
        <v>3.85</v>
      </c>
      <c r="G4912" s="8" t="n">
        <f aca="false">Sens!F4912*(1+dps_g)</f>
        <v>4.158</v>
      </c>
      <c r="H4912" s="8" t="n">
        <f aca="false">Sens!G4912*(1+dps_g)</f>
        <v>4.49064</v>
      </c>
      <c r="I4912" s="8" t="n">
        <f aca="false">Sens!H4912*(1+dps_g)</f>
        <v>4.8498912</v>
      </c>
      <c r="J4912" s="8" t="n">
        <f aca="false">Sens!I4912*(1+dps_g)</f>
        <v>5.237882496</v>
      </c>
      <c r="K4912" s="8" t="n">
        <f aca="false">Sens!J4912*(1+dps_g)</f>
        <v>5.65691309568</v>
      </c>
    </row>
    <row r="4913" customFormat="false" ht="17.15" hidden="false" customHeight="false" outlineLevel="0" collapsed="false">
      <c r="A4913" s="1" t="s">
        <v>1123</v>
      </c>
      <c r="B4913" s="0" t="s">
        <v>98</v>
      </c>
      <c r="E4913" s="6" t="n">
        <f aca="false">Q!M41</f>
        <v>26.445</v>
      </c>
      <c r="F4913" s="6" t="n">
        <f aca="false">Sens!F4912*Sens!E4922</f>
        <v>28.59395</v>
      </c>
      <c r="G4913" s="6" t="n">
        <f aca="false">Sens!G4912*Sens!F4922</f>
        <v>31.068576</v>
      </c>
      <c r="H4913" s="6" t="n">
        <f aca="false">Sens!H4912*Sens!G4922</f>
        <v>33.75614088</v>
      </c>
      <c r="I4913" s="6" t="n">
        <f aca="false">Sens!I4912*Sens!H4922</f>
        <v>36.6748772544</v>
      </c>
      <c r="J4913" s="6" t="n">
        <f aca="false">Sens!J4912*Sens!I4922</f>
        <v>39.6767653201446</v>
      </c>
      <c r="K4913" s="6" t="n">
        <f aca="false">Sens!K4912*Sens!J4922</f>
        <v>42.9376608081345</v>
      </c>
      <c r="L4913" s="1" t="s">
        <v>1124</v>
      </c>
    </row>
    <row r="4914" customFormat="false" ht="15" hidden="false" customHeight="false" outlineLevel="0" collapsed="false">
      <c r="A4914" s="1" t="s">
        <v>1125</v>
      </c>
      <c r="B4914" s="0" t="s">
        <v>98</v>
      </c>
      <c r="E4914" s="6" t="n">
        <f aca="false">Sens!E4911-Sens!E4913</f>
        <v>37.441</v>
      </c>
      <c r="F4914" s="6" t="n">
        <f aca="false">Sens!F4911-Sens!F4913</f>
        <v>-18.8363340229121</v>
      </c>
      <c r="G4914" s="6" t="n">
        <f aca="false">Sens!G4911-Sens!G4913</f>
        <v>-18.6717126701907</v>
      </c>
      <c r="H4914" s="6" t="n">
        <f aca="false">Sens!H4911-Sens!H4913</f>
        <v>-23.5707320999704</v>
      </c>
      <c r="I4914" s="6" t="n">
        <f aca="false">Sens!I4911-Sens!I4913</f>
        <v>50.7030579885351</v>
      </c>
      <c r="J4914" s="6" t="n">
        <f aca="false">Sens!J4911-Sens!J4913</f>
        <v>88.0273932769372</v>
      </c>
      <c r="K4914" s="6" t="n">
        <f aca="false">Sens!K4911-Sens!K4913</f>
        <v>99.5459790736151</v>
      </c>
    </row>
    <row r="4915" customFormat="false" ht="15" hidden="false" customHeight="false" outlineLevel="0" collapsed="false">
      <c r="A4915" s="1" t="s">
        <v>1126</v>
      </c>
      <c r="B4915" s="0" t="s">
        <v>98</v>
      </c>
      <c r="F4915" s="6" t="n">
        <f aca="false">debt_mat_27</f>
        <v>9.25</v>
      </c>
      <c r="G4915" s="6" t="n">
        <f aca="false">debt_mat_28</f>
        <v>0</v>
      </c>
      <c r="H4915" s="6" t="n">
        <f aca="false">debt_mat_29</f>
        <v>2.001</v>
      </c>
      <c r="I4915" s="6" t="n">
        <f aca="false">debt_mat_30</f>
        <v>0</v>
      </c>
      <c r="J4915" s="6" t="n">
        <f aca="false">debt_mat_31</f>
        <v>0.5</v>
      </c>
      <c r="K4915" s="6" t="n">
        <f aca="false">debt_mat_32</f>
        <v>0</v>
      </c>
    </row>
    <row r="4916" customFormat="false" ht="15" hidden="false" customHeight="false" outlineLevel="0" collapsed="false">
      <c r="A4916" s="1" t="s">
        <v>1127</v>
      </c>
      <c r="B4916" s="0" t="s">
        <v>98</v>
      </c>
      <c r="E4916" s="6" t="n">
        <f aca="false">Q!M40</f>
        <v>22.271</v>
      </c>
      <c r="F4916" s="6" t="n">
        <f aca="false">MAX(0,MIN(bb_target,Sens!E4918+Sens!F4914-Sens!F4915-min_cash))</f>
        <v>0</v>
      </c>
      <c r="G4916" s="6" t="n">
        <f aca="false">MAX(0,MIN(bb_target,Sens!F4918+Sens!G4914-Sens!G4915-min_cash))</f>
        <v>0</v>
      </c>
      <c r="H4916" s="6" t="n">
        <f aca="false">MAX(0,MIN(bb_target,Sens!G4918+Sens!H4914-Sens!H4915-min_cash))</f>
        <v>0</v>
      </c>
      <c r="I4916" s="6" t="n">
        <f aca="false">MAX(0,MIN(bb_target,Sens!H4918+Sens!I4914-Sens!I4915-min_cash))</f>
        <v>22.271</v>
      </c>
      <c r="J4916" s="6" t="n">
        <f aca="false">MAX(0,MIN(bb_target,Sens!I4918+Sens!J4914-Sens!J4915-min_cash))</f>
        <v>22.271</v>
      </c>
      <c r="K4916" s="6" t="n">
        <f aca="false">MAX(0,MIN(bb_target,Sens!J4918+Sens!K4914-Sens!K4915-min_cash))</f>
        <v>22.271</v>
      </c>
    </row>
    <row r="4917" customFormat="false" ht="15" hidden="false" customHeight="false" outlineLevel="0" collapsed="false">
      <c r="A4917" s="1" t="s">
        <v>1128</v>
      </c>
      <c r="B4917" s="0" t="s">
        <v>98</v>
      </c>
      <c r="F4917" s="6" t="n">
        <f aca="false">MAX(0,min_cash-(Sens!E4918+Sens!F4914-Sens!F4915-Sens!F4916))</f>
        <v>1.24333402291209</v>
      </c>
      <c r="G4917" s="6" t="n">
        <f aca="false">MAX(0,min_cash-(Sens!F4918+Sens!G4914-Sens!G4915-Sens!G4916))</f>
        <v>18.6717126701907</v>
      </c>
      <c r="H4917" s="6" t="n">
        <f aca="false">MAX(0,min_cash-(Sens!G4918+Sens!H4914-Sens!H4915-Sens!H4916))</f>
        <v>25.5717320999704</v>
      </c>
      <c r="I4917" s="6" t="n">
        <f aca="false">MAX(0,min_cash-(Sens!H4918+Sens!I4914-Sens!I4915-Sens!I4916))</f>
        <v>0</v>
      </c>
      <c r="J4917" s="6" t="n">
        <f aca="false">MAX(0,min_cash-(Sens!I4918+Sens!J4914-Sens!J4915-Sens!J4916))</f>
        <v>0</v>
      </c>
      <c r="K4917" s="6" t="n">
        <f aca="false">MAX(0,min_cash-(Sens!J4918+Sens!K4914-Sens!K4915-Sens!K4916))</f>
        <v>0</v>
      </c>
    </row>
    <row r="4918" customFormat="false" ht="15" hidden="false" customHeight="false" outlineLevel="0" collapsed="false">
      <c r="A4918" s="1" t="s">
        <v>1129</v>
      </c>
      <c r="B4918" s="0" t="s">
        <v>98</v>
      </c>
      <c r="E4918" s="6" t="n">
        <f aca="false">cash_open</f>
        <v>76.843</v>
      </c>
      <c r="F4918" s="6" t="n">
        <f aca="false">Sens!E4918+Sens!F4914-Sens!F4915-Sens!F4916+Sens!F4917</f>
        <v>50</v>
      </c>
      <c r="G4918" s="6" t="n">
        <f aca="false">Sens!F4918+Sens!G4914-Sens!G4915-Sens!G4916+Sens!G4917</f>
        <v>50</v>
      </c>
      <c r="H4918" s="6" t="n">
        <f aca="false">Sens!G4918+Sens!H4914-Sens!H4915-Sens!H4916+Sens!H4917</f>
        <v>50</v>
      </c>
      <c r="I4918" s="6" t="n">
        <f aca="false">Sens!H4918+Sens!I4914-Sens!I4915-Sens!I4916+Sens!I4917</f>
        <v>78.4320579885351</v>
      </c>
      <c r="J4918" s="6" t="n">
        <f aca="false">Sens!I4918+Sens!J4914-Sens!J4915-Sens!J4916+Sens!J4917</f>
        <v>143.688451265472</v>
      </c>
      <c r="K4918" s="6" t="n">
        <f aca="false">Sens!J4918+Sens!K4914-Sens!K4915-Sens!K4916+Sens!K4917</f>
        <v>220.963430339087</v>
      </c>
    </row>
    <row r="4919" customFormat="false" ht="15" hidden="false" customHeight="false" outlineLevel="0" collapsed="false">
      <c r="A4919" s="1" t="s">
        <v>1130</v>
      </c>
      <c r="B4919" s="0" t="s">
        <v>98</v>
      </c>
      <c r="E4919" s="6" t="n">
        <f aca="false">debt_face</f>
        <v>46.136</v>
      </c>
      <c r="F4919" s="6" t="n">
        <f aca="false">Sens!E4919-Sens!F4915+Sens!F4917</f>
        <v>38.1293340229121</v>
      </c>
      <c r="G4919" s="6" t="n">
        <f aca="false">Sens!F4919-Sens!G4915+Sens!G4917</f>
        <v>56.8010466931029</v>
      </c>
      <c r="H4919" s="6" t="n">
        <f aca="false">Sens!G4919-Sens!H4915+Sens!H4917</f>
        <v>80.3717787930733</v>
      </c>
      <c r="I4919" s="6" t="n">
        <f aca="false">Sens!H4919-Sens!I4915+Sens!I4917</f>
        <v>80.3717787930733</v>
      </c>
      <c r="J4919" s="6" t="n">
        <f aca="false">Sens!I4919-Sens!J4915+Sens!J4917</f>
        <v>79.8717787930733</v>
      </c>
      <c r="K4919" s="6" t="n">
        <f aca="false">Sens!J4919-Sens!K4915+Sens!K4917</f>
        <v>79.8717787930733</v>
      </c>
    </row>
    <row r="4920" customFormat="false" ht="15" hidden="false" customHeight="false" outlineLevel="0" collapsed="false">
      <c r="A4920" s="1" t="s">
        <v>1131</v>
      </c>
      <c r="B4920" s="0" t="s">
        <v>98</v>
      </c>
      <c r="E4920" s="6" t="n">
        <f aca="false">Sens!E4918-Sens!E4919</f>
        <v>30.707</v>
      </c>
      <c r="F4920" s="6" t="n">
        <f aca="false">Sens!F4918-Sens!F4919</f>
        <v>11.8706659770879</v>
      </c>
      <c r="G4920" s="6" t="n">
        <f aca="false">Sens!G4918-Sens!G4919</f>
        <v>-6.80104669310285</v>
      </c>
      <c r="H4920" s="6" t="n">
        <f aca="false">Sens!H4918-Sens!H4919</f>
        <v>-30.3717787930733</v>
      </c>
      <c r="I4920" s="6" t="n">
        <f aca="false">Sens!I4918-Sens!I4919</f>
        <v>-1.93972080453823</v>
      </c>
      <c r="J4920" s="6" t="n">
        <f aca="false">Sens!J4918-Sens!J4919</f>
        <v>63.8166724723989</v>
      </c>
      <c r="K4920" s="6" t="n">
        <f aca="false">Sens!K4918-Sens!K4919</f>
        <v>141.091651546014</v>
      </c>
    </row>
    <row r="4921" customFormat="false" ht="15" hidden="false" customHeight="false" outlineLevel="0" collapsed="false">
      <c r="A4921" s="1" t="s">
        <v>1132</v>
      </c>
      <c r="B4921" s="0" t="s">
        <v>75</v>
      </c>
      <c r="F4921" s="30" t="n">
        <f aca="false">px*(1+bb_g)^(Sens!F4779-base_fy-mid_yr)</f>
        <v>551.84177959629</v>
      </c>
      <c r="G4921" s="30" t="n">
        <f aca="false">px*(1+bb_g)^(Sens!G4779-base_fy-mid_yr)</f>
        <v>595.989121963993</v>
      </c>
      <c r="H4921" s="30" t="n">
        <f aca="false">px*(1+bb_g)^(Sens!H4779-base_fy-mid_yr)</f>
        <v>643.668251721112</v>
      </c>
      <c r="I4921" s="30" t="n">
        <f aca="false">px*(1+bb_g)^(Sens!I4779-base_fy-mid_yr)</f>
        <v>695.161711858801</v>
      </c>
      <c r="J4921" s="30" t="n">
        <f aca="false">px*(1+bb_g)^(Sens!J4779-base_fy-mid_yr)</f>
        <v>750.774648807506</v>
      </c>
      <c r="K4921" s="30" t="n">
        <f aca="false">px*(1+bb_g)^(Sens!K4779-base_fy-mid_yr)</f>
        <v>810.836620712106</v>
      </c>
    </row>
    <row r="4922" customFormat="false" ht="15" hidden="false" customHeight="false" outlineLevel="0" collapsed="false">
      <c r="A4922" s="1" t="s">
        <v>1133</v>
      </c>
      <c r="B4922" s="1" t="s">
        <v>81</v>
      </c>
      <c r="E4922" s="15" t="n">
        <f aca="false">sh_out26</f>
        <v>7.427</v>
      </c>
      <c r="F4922" s="15" t="n">
        <f aca="false">Sens!E4922+sh_iss-Sens!F4916/Sens!F4921</f>
        <v>7.472</v>
      </c>
      <c r="G4922" s="15" t="n">
        <f aca="false">Sens!F4922+sh_iss-Sens!G4916/Sens!G4921</f>
        <v>7.517</v>
      </c>
      <c r="H4922" s="15" t="n">
        <f aca="false">Sens!G4922+sh_iss-Sens!H4916/Sens!H4921</f>
        <v>7.562</v>
      </c>
      <c r="I4922" s="15" t="n">
        <f aca="false">Sens!H4922+sh_iss-Sens!I4916/Sens!I4921</f>
        <v>7.57496285005334</v>
      </c>
      <c r="J4922" s="15" t="n">
        <f aca="false">Sens!I4922+sh_iss-Sens!J4916/Sens!J4921</f>
        <v>7.59029882232494</v>
      </c>
      <c r="K4922" s="15" t="n">
        <f aca="false">Sens!J4922+sh_iss-Sens!K4916/Sens!K4921</f>
        <v>7.60783212998384</v>
      </c>
    </row>
    <row r="4923" customFormat="false" ht="15" hidden="false" customHeight="false" outlineLevel="0" collapsed="false">
      <c r="A4923" s="1" t="s">
        <v>1134</v>
      </c>
      <c r="B4923" s="1" t="s">
        <v>81</v>
      </c>
      <c r="E4923" s="15" t="n">
        <f aca="false">sh_dil26</f>
        <v>7.453</v>
      </c>
      <c r="F4923" s="15" t="n">
        <f aca="false">(Sens!E4922+Sens!F4922)/2+dil_gap</f>
        <v>7.4735</v>
      </c>
      <c r="G4923" s="15" t="n">
        <f aca="false">(Sens!F4922+Sens!G4922)/2+dil_gap</f>
        <v>7.5185</v>
      </c>
      <c r="H4923" s="15" t="n">
        <f aca="false">(Sens!G4922+Sens!H4922)/2+dil_gap</f>
        <v>7.5635</v>
      </c>
      <c r="I4923" s="15" t="n">
        <f aca="false">(Sens!H4922+Sens!I4922)/2+dil_gap</f>
        <v>7.59248142502667</v>
      </c>
      <c r="J4923" s="15" t="n">
        <f aca="false">(Sens!I4922+Sens!J4922)/2+dil_gap</f>
        <v>7.60663083618914</v>
      </c>
      <c r="K4923" s="15" t="n">
        <f aca="false">(Sens!J4922+Sens!K4922)/2+dil_gap</f>
        <v>7.62306547615439</v>
      </c>
    </row>
    <row r="4924" customFormat="false" ht="17.15" hidden="false" customHeight="false" outlineLevel="0" collapsed="false">
      <c r="A4924" s="1" t="s">
        <v>1135</v>
      </c>
      <c r="B4924" s="0" t="s">
        <v>98</v>
      </c>
      <c r="C4924" s="6" t="n">
        <f aca="false">SUM(Sens!F4914:J4914)</f>
        <v>77.6516724723989</v>
      </c>
    </row>
    <row r="4925" customFormat="false" ht="15" hidden="false" customHeight="false" outlineLevel="0" collapsed="false">
      <c r="A4925" s="26" t="s">
        <v>1100</v>
      </c>
      <c r="B4925" s="31" t="s">
        <v>98</v>
      </c>
      <c r="C4925" s="27" t="n">
        <f aca="false">Sens!$C$4924-(Sens!F4914+Sens!G4914+Sens!H4914+Sens!I4914+Sens!J4914)</f>
        <v>0</v>
      </c>
      <c r="D4925" s="31"/>
      <c r="E4925" s="31"/>
      <c r="F4925" s="31"/>
      <c r="G4925" s="31"/>
      <c r="H4925" s="31"/>
      <c r="I4925" s="31"/>
      <c r="J4925" s="31"/>
      <c r="K4925" s="31"/>
    </row>
    <row r="4926" customFormat="false" ht="17.15" hidden="false" customHeight="false" outlineLevel="0" collapsed="false">
      <c r="A4926" s="1" t="s">
        <v>1094</v>
      </c>
      <c r="B4926" s="1" t="s">
        <v>1136</v>
      </c>
      <c r="C4926" s="33" t="str">
        <f aca="false">IF(SUM(Sens!F4917:J4917)&gt;0.05,"需要舉債 "&amp;TEXT(SUM(Sens!F4917:J4917),"0.0")&amp;" 十億美元","不需舉債")&amp;"；"&amp;IF(SUM(Sens!F4916:J4916)&lt;COUNT(Sens!F4916:J4916)*bb_target-0.05,"回購較每年 "&amp;TEXT(bb_target,"0.0")&amp;" 的目標少 "&amp;TEXT(COUNT(Sens!F4916:J4916)*bb_target-SUM(Sens!F4916:J4916),"0.0")&amp;" 十億美元（"&amp;TEXT(COUNTIF(Sens!F4916:J4916,"&lt;"&amp;(bb_target-0.05)),"0")&amp;" 年減少）","回購不減")</f>
        <v>需要舉債 45.5 十億美元；回購較每年 22.3 的目標少 66.8 十億美元（3 年減少）</v>
      </c>
    </row>
    <row r="4927" customFormat="false" ht="17.15" hidden="false" customHeight="false" outlineLevel="0" collapsed="false">
      <c r="A4927" s="3" t="s">
        <v>1734</v>
      </c>
    </row>
    <row r="4928" customFormat="false" ht="15" hidden="false" customHeight="false" outlineLevel="0" collapsed="false">
      <c r="A4928" s="4" t="s">
        <v>43</v>
      </c>
      <c r="B4928" s="4" t="s">
        <v>65</v>
      </c>
      <c r="C4928" s="23" t="s">
        <v>942</v>
      </c>
      <c r="D4928" s="23" t="s">
        <v>943</v>
      </c>
      <c r="E4928" s="23" t="s">
        <v>944</v>
      </c>
      <c r="F4928" s="23" t="s">
        <v>945</v>
      </c>
      <c r="G4928" s="23" t="s">
        <v>946</v>
      </c>
      <c r="H4928" s="23" t="s">
        <v>947</v>
      </c>
      <c r="I4928" s="23" t="s">
        <v>948</v>
      </c>
      <c r="J4928" s="23" t="s">
        <v>949</v>
      </c>
      <c r="K4928" s="23" t="s">
        <v>950</v>
      </c>
      <c r="L4928" s="4" t="s">
        <v>47</v>
      </c>
    </row>
    <row r="4929" customFormat="false" ht="17.15" hidden="false" customHeight="false" outlineLevel="0" collapsed="false">
      <c r="A4929" s="1" t="s">
        <v>1216</v>
      </c>
      <c r="B4929" s="1" t="s">
        <v>279</v>
      </c>
      <c r="F4929" s="8" t="n">
        <f aca="false">(1-v_off)*mid_yr</f>
        <v>0.373972602739726</v>
      </c>
      <c r="G4929" s="8" t="n">
        <f aca="false">Sens!G4779-base_fy-mid_yr-v_off</f>
        <v>1.24794520547945</v>
      </c>
      <c r="H4929" s="8" t="n">
        <f aca="false">Sens!H4779-base_fy-mid_yr-v_off</f>
        <v>2.24794520547945</v>
      </c>
      <c r="I4929" s="8" t="n">
        <f aca="false">Sens!I4779-base_fy-mid_yr-v_off</f>
        <v>3.24794520547945</v>
      </c>
      <c r="J4929" s="8" t="n">
        <f aca="false">Sens!J4779-base_fy-mid_yr-v_off</f>
        <v>4.24794520547945</v>
      </c>
      <c r="K4929" s="8" t="n">
        <f aca="false">Sens!K4779-base_fy-mid_yr-v_off</f>
        <v>5.24794520547945</v>
      </c>
      <c r="L4929" s="12" t="s">
        <v>1217</v>
      </c>
    </row>
    <row r="4930" customFormat="false" ht="15" hidden="false" customHeight="false" outlineLevel="0" collapsed="false">
      <c r="A4930" s="1" t="s">
        <v>1218</v>
      </c>
      <c r="B4930" s="1" t="s">
        <v>279</v>
      </c>
      <c r="F4930" s="8" t="n">
        <f aca="false">Sens!F4779-base_fy-v_off</f>
        <v>0.747945205479452</v>
      </c>
      <c r="G4930" s="8" t="n">
        <f aca="false">Sens!G4779-base_fy-v_off</f>
        <v>1.74794520547945</v>
      </c>
      <c r="H4930" s="8" t="n">
        <f aca="false">Sens!H4779-base_fy-v_off</f>
        <v>2.74794520547945</v>
      </c>
      <c r="I4930" s="8" t="n">
        <f aca="false">Sens!I4779-base_fy-v_off</f>
        <v>3.74794520547945</v>
      </c>
      <c r="J4930" s="8" t="n">
        <f aca="false">Sens!J4779-base_fy-v_off</f>
        <v>4.74794520547945</v>
      </c>
      <c r="K4930" s="8" t="n">
        <f aca="false">Sens!K4779-base_fy-v_off</f>
        <v>5.74794520547945</v>
      </c>
    </row>
    <row r="4931" customFormat="false" ht="15" hidden="false" customHeight="false" outlineLevel="0" collapsed="false">
      <c r="A4931" s="1" t="s">
        <v>1219</v>
      </c>
      <c r="B4931" s="0" t="s">
        <v>229</v>
      </c>
      <c r="F4931" s="15" t="n">
        <f aca="false">1/(1+wacc)^Sens!F4929</f>
        <v>0.964022703286649</v>
      </c>
      <c r="G4931" s="15" t="n">
        <f aca="false">1/(1+wacc)^Sens!G4929</f>
        <v>0.884910302296739</v>
      </c>
      <c r="H4931" s="15" t="n">
        <f aca="false">1/(1+wacc)^Sens!H4929</f>
        <v>0.802322009770358</v>
      </c>
      <c r="I4931" s="15" t="n">
        <f aca="false">1/(1+wacc)^Sens!I4929</f>
        <v>0.727441646561469</v>
      </c>
      <c r="J4931" s="15" t="n">
        <f aca="false">1/(1+wacc)^Sens!J4929</f>
        <v>0.659549834988973</v>
      </c>
      <c r="K4931" s="15" t="n">
        <f aca="false">1/(1+wacc)^Sens!K4929</f>
        <v>0.597994336576966</v>
      </c>
    </row>
    <row r="4932" customFormat="false" ht="17.15" hidden="false" customHeight="false" outlineLevel="0" collapsed="false">
      <c r="A4932" s="1" t="s">
        <v>1220</v>
      </c>
      <c r="B4932" s="0" t="s">
        <v>98</v>
      </c>
      <c r="F4932" s="6" t="n">
        <f aca="false">Q!$I$35-Q!$I$39-Q!$I$43</f>
        <v>9.666</v>
      </c>
      <c r="L4932" s="12" t="s">
        <v>1221</v>
      </c>
    </row>
    <row r="4933" customFormat="false" ht="17.15" hidden="false" customHeight="false" outlineLevel="0" collapsed="false">
      <c r="A4933" s="1" t="s">
        <v>1222</v>
      </c>
      <c r="B4933" s="0" t="s">
        <v>98</v>
      </c>
      <c r="F4933" s="6" t="n">
        <f aca="false">Sens!F4904-Sens!F4901-Sens!F4908+Sens!F4886*(1-tax_f)*(1-v_off)-Sens!F4932</f>
        <v>-4.22861765243705</v>
      </c>
      <c r="G4933" s="6" t="n">
        <f aca="false">Sens!G4904-Sens!G4901-Sens!G4908+Sens!G4886*(1-tax_f)</f>
        <v>21.9166379113784</v>
      </c>
      <c r="H4933" s="6" t="n">
        <f aca="false">Sens!H4904-Sens!H4901-Sens!H4908+Sens!H4886*(1-tax_f)</f>
        <v>32.2624201023867</v>
      </c>
      <c r="I4933" s="6" t="n">
        <f aca="false">Sens!I4904-Sens!I4901-Sens!I4908+Sens!I4886*(1-tax_f)</f>
        <v>120.733352342196</v>
      </c>
      <c r="J4933" s="6" t="n">
        <f aca="false">Sens!J4904-Sens!J4901-Sens!J4908+Sens!J4886*(1-tax_f)</f>
        <v>169.091937413896</v>
      </c>
      <c r="K4933" s="6" t="n">
        <f aca="false">Sens!K4904-Sens!K4901-Sens!K4908+Sens!K4886*(1-tax_f)</f>
        <v>188.651326898837</v>
      </c>
      <c r="L4933" s="1" t="s">
        <v>1223</v>
      </c>
    </row>
    <row r="4934" customFormat="false" ht="15" hidden="false" customHeight="false" outlineLevel="0" collapsed="false">
      <c r="A4934" s="1" t="s">
        <v>1224</v>
      </c>
      <c r="B4934" s="0" t="s">
        <v>98</v>
      </c>
      <c r="F4934" s="6" t="n">
        <f aca="false">Sens!F4933*Sens!F4931</f>
        <v>-4.07648342046801</v>
      </c>
      <c r="G4934" s="6" t="n">
        <f aca="false">Sens!G4933*Sens!G4931</f>
        <v>19.394258679486</v>
      </c>
      <c r="H4934" s="6" t="n">
        <f aca="false">Sens!H4933*Sens!H4931</f>
        <v>25.8848497366025</v>
      </c>
      <c r="I4934" s="6" t="n">
        <f aca="false">Sens!I4933*Sens!I4931</f>
        <v>87.8264686226927</v>
      </c>
      <c r="J4934" s="6" t="n">
        <f aca="false">Sens!J4933*Sens!J4931</f>
        <v>111.524559419301</v>
      </c>
      <c r="K4934" s="6" t="n">
        <f aca="false">Sens!K4933*Sens!K4931</f>
        <v>112.812425073234</v>
      </c>
    </row>
    <row r="4935" customFormat="false" ht="17.15" hidden="false" customHeight="false" outlineLevel="0" collapsed="false">
      <c r="A4935" s="1" t="s">
        <v>1225</v>
      </c>
      <c r="B4935" s="0" t="s">
        <v>98</v>
      </c>
      <c r="C4935" s="6" t="n">
        <f aca="false">SUM(Sens!F4934:K4934)</f>
        <v>353.366078110849</v>
      </c>
    </row>
    <row r="4936" customFormat="false" ht="17.15" hidden="false" customHeight="false" outlineLevel="0" collapsed="false">
      <c r="A4936" s="1" t="s">
        <v>1226</v>
      </c>
      <c r="B4936" s="0" t="s">
        <v>98</v>
      </c>
      <c r="C4936" s="6" t="n">
        <f aca="false">Sens!K4872*(1+g_tv)*(1-tax_f)</f>
        <v>231.71429348374</v>
      </c>
    </row>
    <row r="4937" customFormat="false" ht="17.15" hidden="false" customHeight="false" outlineLevel="0" collapsed="false">
      <c r="A4937" s="1" t="s">
        <v>1227</v>
      </c>
      <c r="B4937" s="0" t="s">
        <v>98</v>
      </c>
      <c r="C4937" s="6" t="n">
        <f aca="false">Sens!$C$4936*(1-g_tv/(wacc+ronic_prem))</f>
        <v>164.183119771313</v>
      </c>
    </row>
    <row r="4938" customFormat="false" ht="17.15" hidden="false" customHeight="false" outlineLevel="0" collapsed="false">
      <c r="A4938" s="1" t="s">
        <v>1228</v>
      </c>
      <c r="B4938" s="0" t="s">
        <v>98</v>
      </c>
      <c r="C4938" s="6" t="n">
        <f aca="false">Sens!$C$4937/(wacc-g_tv)</f>
        <v>2251.03912374758</v>
      </c>
    </row>
    <row r="4939" customFormat="false" ht="15" hidden="false" customHeight="false" outlineLevel="0" collapsed="false">
      <c r="A4939" s="1" t="s">
        <v>1229</v>
      </c>
      <c r="B4939" s="0" t="s">
        <v>98</v>
      </c>
      <c r="C4939" s="6" t="n">
        <f aca="false">Sens!$C$4938/(1+wacc)^Sens!K4930</f>
        <v>1281.75447281739</v>
      </c>
    </row>
    <row r="4940" customFormat="false" ht="17.15" hidden="false" customHeight="false" outlineLevel="0" collapsed="false">
      <c r="A4940" s="0" t="s">
        <v>1230</v>
      </c>
      <c r="B4940" s="0" t="s">
        <v>98</v>
      </c>
      <c r="C4940" s="6" t="n">
        <f aca="false">Sens!$C$4935+Sens!$C$4939</f>
        <v>1635.12055092824</v>
      </c>
    </row>
    <row r="4941" customFormat="false" ht="15" hidden="false" customHeight="false" outlineLevel="0" collapsed="false">
      <c r="A4941" s="1" t="s">
        <v>1145</v>
      </c>
      <c r="B4941" s="0" t="s">
        <v>168</v>
      </c>
      <c r="C4941" s="7" t="n">
        <f aca="false">Sens!$C$4939/Sens!$C$4940</f>
        <v>0.783889892454568</v>
      </c>
    </row>
    <row r="4942" customFormat="false" ht="17.15" hidden="false" customHeight="false" outlineLevel="0" collapsed="false">
      <c r="A4942" s="1" t="s">
        <v>1231</v>
      </c>
      <c r="B4942" s="0" t="s">
        <v>98</v>
      </c>
      <c r="C4942" s="6" t="n">
        <f aca="false">Sens!$C$4940+cash_val-debt_val-fl_val+oai_v</f>
        <v>1750.97155092824</v>
      </c>
    </row>
    <row r="4943" customFormat="false" ht="17.15" hidden="false" customHeight="false" outlineLevel="0" collapsed="false">
      <c r="A4943" s="0" t="s">
        <v>1153</v>
      </c>
      <c r="B4943" s="0" t="s">
        <v>75</v>
      </c>
      <c r="C4943" s="5" t="n">
        <f aca="false">Sens!$C$4942/shd_val</f>
        <v>235.155996632856</v>
      </c>
    </row>
    <row r="4944" customFormat="false" ht="15" hidden="false" customHeight="false" outlineLevel="0" collapsed="false">
      <c r="A4944" s="1" t="s">
        <v>1232</v>
      </c>
      <c r="B4944" s="0" t="s">
        <v>75</v>
      </c>
      <c r="C4944" s="8" t="n">
        <f aca="false">div_rem27+Sens!G4912*roll_div_q/q_per_yr</f>
        <v>3.9795</v>
      </c>
    </row>
    <row r="4945" customFormat="false" ht="17.15" hidden="false" customHeight="false" outlineLevel="0" collapsed="false">
      <c r="A4945" s="0" t="s">
        <v>1233</v>
      </c>
      <c r="B4945" s="0" t="s">
        <v>75</v>
      </c>
      <c r="C4945" s="5" t="n">
        <f aca="false">Sens!$C$4943*(1+wacc)^t_roll-Sens!$C$4944</f>
        <v>257.409514488505</v>
      </c>
    </row>
    <row r="4946" customFormat="false" ht="17.15" hidden="false" customHeight="false" outlineLevel="0" collapsed="false">
      <c r="A4946" s="1" t="s">
        <v>1234</v>
      </c>
      <c r="B4946" s="0" t="s">
        <v>168</v>
      </c>
      <c r="F4946" s="7" t="n">
        <f aca="false">Sens!F4898/(Sens!F4843-Sens!F4798)</f>
        <v>0.060784602984726</v>
      </c>
      <c r="G4946" s="7" t="n">
        <f aca="false">Sens!G4898/(Sens!G4843-Sens!G4798)</f>
        <v>0.0599303362581347</v>
      </c>
      <c r="H4946" s="7" t="n">
        <f aca="false">Sens!H4898/(Sens!H4843-Sens!H4798)</f>
        <v>0.0599306287494243</v>
      </c>
      <c r="I4946" s="7" t="n">
        <f aca="false">Sens!I4898/(Sens!I4843-Sens!I4798)</f>
        <v>0.0607140314681607</v>
      </c>
      <c r="J4946" s="7" t="n">
        <f aca="false">Sens!J4898/(Sens!J4843-Sens!J4798)</f>
        <v>0.062134426543637</v>
      </c>
      <c r="K4946" s="7" t="n">
        <f aca="false">Sens!K4898/(Sens!K4843-Sens!K4798)</f>
        <v>0.0640112433626707</v>
      </c>
    </row>
    <row r="4947" customFormat="false" ht="17.15" hidden="false" customHeight="false" outlineLevel="0" collapsed="false">
      <c r="A4947" s="0" t="s">
        <v>1235</v>
      </c>
      <c r="B4947" s="0" t="s">
        <v>98</v>
      </c>
      <c r="F4947" s="6" t="n">
        <f aca="false">Sens!F4828*(al_m365+Sens!F4946+sbc_r)</f>
        <v>81.9916056393623</v>
      </c>
      <c r="G4947" s="6" t="n">
        <f aca="false">Sens!G4828*(al_m365+Sens!G4946+sbc_r)</f>
        <v>92.4604582866569</v>
      </c>
      <c r="H4947" s="6" t="n">
        <f aca="false">Sens!H4828*(al_m365+Sens!H4946+sbc_r)</f>
        <v>103.086470689427</v>
      </c>
      <c r="I4947" s="6" t="n">
        <f aca="false">Sens!I4828*(al_m365+Sens!I4946+sbc_r)</f>
        <v>113.193340518253</v>
      </c>
      <c r="J4947" s="6" t="n">
        <f aca="false">Sens!J4828*(al_m365+Sens!J4946+sbc_r)</f>
        <v>122.589886225279</v>
      </c>
      <c r="K4947" s="6" t="n">
        <f aca="false">Sens!K4828*(al_m365+Sens!K4946+sbc_r)</f>
        <v>131.580977899848</v>
      </c>
      <c r="L4947" s="12" t="s">
        <v>1236</v>
      </c>
    </row>
    <row r="4948" customFormat="false" ht="17.15" hidden="false" customHeight="false" outlineLevel="0" collapsed="false">
      <c r="A4948" s="0" t="s">
        <v>1237</v>
      </c>
      <c r="B4948" s="0" t="s">
        <v>98</v>
      </c>
      <c r="F4948" s="6" t="n">
        <f aca="false">Sens!F4829*(al_lic+Sens!F4946+sbc_r)</f>
        <v>32.5570195023174</v>
      </c>
      <c r="G4948" s="6" t="n">
        <f aca="false">Sens!G4829*(al_lic+Sens!G4946+sbc_r)</f>
        <v>33.9014436159569</v>
      </c>
      <c r="H4948" s="6" t="n">
        <f aca="false">Sens!H4829*(al_lic+Sens!H4946+sbc_r)</f>
        <v>35.1476123144978</v>
      </c>
      <c r="I4948" s="6" t="n">
        <f aca="false">Sens!I4829*(al_lic+Sens!I4946+sbc_r)</f>
        <v>36.2767482432652</v>
      </c>
      <c r="J4948" s="6" t="n">
        <f aca="false">Sens!J4829*(al_lic+Sens!J4946+sbc_r)</f>
        <v>37.2672386665081</v>
      </c>
      <c r="K4948" s="6" t="n">
        <f aca="false">Sens!K4829*(al_lic+Sens!K4946+sbc_r)</f>
        <v>38.0965636955249</v>
      </c>
    </row>
    <row r="4949" customFormat="false" ht="17.15" hidden="false" customHeight="false" outlineLevel="0" collapsed="false">
      <c r="A4949" s="0" t="s">
        <v>1238</v>
      </c>
      <c r="B4949" s="0" t="s">
        <v>98</v>
      </c>
      <c r="F4949" s="6" t="n">
        <f aca="false">Sens!F4831*(al_ind+Sens!F4946+sbc_r)</f>
        <v>8.88557054834426</v>
      </c>
      <c r="G4949" s="6" t="n">
        <f aca="false">Sens!G4831*(al_ind+Sens!G4946+sbc_r)</f>
        <v>9.69219047536486</v>
      </c>
      <c r="H4949" s="6" t="n">
        <f aca="false">Sens!H4831*(al_ind+Sens!H4946+sbc_r)</f>
        <v>10.5387426838158</v>
      </c>
      <c r="I4949" s="6" t="n">
        <f aca="false">Sens!I4831*(al_ind+Sens!I4946+sbc_r)</f>
        <v>11.4207778367684</v>
      </c>
      <c r="J4949" s="6" t="n">
        <f aca="false">Sens!J4831*(al_ind+Sens!J4946+sbc_r)</f>
        <v>12.3300925273805</v>
      </c>
      <c r="K4949" s="6" t="n">
        <f aca="false">Sens!K4831*(al_ind+Sens!K4946+sbc_r)</f>
        <v>13.2551768850942</v>
      </c>
    </row>
    <row r="4950" customFormat="false" ht="17.15" hidden="false" customHeight="false" outlineLevel="0" collapsed="false">
      <c r="A4950" s="0" t="s">
        <v>1239</v>
      </c>
      <c r="B4950" s="0" t="s">
        <v>98</v>
      </c>
      <c r="F4950" s="6" t="n">
        <f aca="false">Sens!F4833*(al_fro+Sens!F4946+sbc_r)</f>
        <v>3.48544441511451</v>
      </c>
      <c r="G4950" s="6" t="n">
        <f aca="false">Sens!G4833*(al_fro+Sens!G4946+sbc_r)</f>
        <v>3.70851613432164</v>
      </c>
      <c r="H4950" s="6" t="n">
        <f aca="false">Sens!H4833*(al_fro+Sens!H4946+sbc_r)</f>
        <v>3.95779250356847</v>
      </c>
      <c r="I4950" s="6" t="n">
        <f aca="false">Sens!I4833*(al_fro+Sens!I4946+sbc_r)</f>
        <v>4.23582918626438</v>
      </c>
      <c r="J4950" s="6" t="n">
        <f aca="false">Sens!J4833*(al_fro+Sens!J4946+sbc_r)</f>
        <v>4.5445642796272</v>
      </c>
      <c r="K4950" s="6" t="n">
        <f aca="false">Sens!K4833*(al_fro+Sens!K4946+sbc_r)</f>
        <v>4.88552727875895</v>
      </c>
    </row>
    <row r="4951" customFormat="false" ht="17.15" hidden="false" customHeight="false" outlineLevel="0" collapsed="false">
      <c r="A4951" s="0" t="s">
        <v>1240</v>
      </c>
      <c r="B4951" s="0" t="s">
        <v>98</v>
      </c>
      <c r="F4951" s="6" t="n">
        <f aca="false">Sens!F4836*(al_srch+Sens!F4946+sbc_r)</f>
        <v>10.9731650438842</v>
      </c>
      <c r="G4951" s="6" t="n">
        <f aca="false">Sens!G4836*(al_srch+Sens!G4946+sbc_r)</f>
        <v>12.0822288818113</v>
      </c>
      <c r="H4951" s="6" t="n">
        <f aca="false">Sens!H4836*(al_srch+Sens!H4946+sbc_r)</f>
        <v>13.2309985900664</v>
      </c>
      <c r="I4951" s="6" t="n">
        <f aca="false">Sens!I4836*(al_srch+Sens!I4946+sbc_r)</f>
        <v>14.4067279679412</v>
      </c>
      <c r="J4951" s="6" t="n">
        <f aca="false">Sens!J4836*(al_srch+Sens!J4946+sbc_r)</f>
        <v>15.5910624780227</v>
      </c>
      <c r="K4951" s="6" t="n">
        <f aca="false">Sens!K4836*(al_srch+Sens!K4946+sbc_r)</f>
        <v>16.7608061751221</v>
      </c>
    </row>
    <row r="4952" customFormat="false" ht="17.15" hidden="false" customHeight="false" outlineLevel="0" collapsed="false">
      <c r="A4952" s="0" t="s">
        <v>1241</v>
      </c>
      <c r="B4952" s="0" t="s">
        <v>98</v>
      </c>
      <c r="F4952" s="6" t="n">
        <f aca="false">Sens!F4804-Sens!F4805+Sens!F4886</f>
        <v>38.9038399987411</v>
      </c>
      <c r="G4952" s="6" t="n">
        <f aca="false">Sens!G4804-Sens!G4805+Sens!G4886</f>
        <v>69.36209304198</v>
      </c>
      <c r="H4952" s="6" t="n">
        <f aca="false">Sens!H4804-Sens!H4805+Sens!H4886</f>
        <v>97.6833355590783</v>
      </c>
      <c r="I4952" s="6" t="n">
        <f aca="false">Sens!I4804-Sens!I4805+Sens!I4886</f>
        <v>129.132419858492</v>
      </c>
      <c r="J4952" s="6" t="n">
        <f aca="false">Sens!J4804-Sens!J4805+Sens!J4886</f>
        <v>152.543929973592</v>
      </c>
      <c r="K4952" s="6" t="n">
        <f aca="false">Sens!K4804-Sens!K4805+Sens!K4886</f>
        <v>168.584449613126</v>
      </c>
    </row>
    <row r="4953" customFormat="false" ht="17.15" hidden="false" customHeight="false" outlineLevel="0" collapsed="false">
      <c r="A4953" s="0" t="s">
        <v>1242</v>
      </c>
      <c r="B4953" s="0" t="s">
        <v>98</v>
      </c>
      <c r="F4953" s="6" t="n">
        <f aca="false">Sens!F4865+Sens!F4886+Sens!F4816+Sens!F4946*(Sens!F4835-Sens!F4798)+sbc_r*Sens!F4835</f>
        <v>236.707626824765</v>
      </c>
      <c r="G4953" s="6" t="n">
        <f aca="false">Sens!G4865+Sens!G4886+Sens!G4816+Sens!G4946*(Sens!G4835-Sens!G4798)+sbc_r*Sens!G4835</f>
        <v>287.339137752612</v>
      </c>
      <c r="H4953" s="6" t="n">
        <f aca="false">Sens!H4865+Sens!H4886+Sens!H4816+Sens!H4946*(Sens!H4835-Sens!H4798)+sbc_r*Sens!H4835</f>
        <v>341.742780346475</v>
      </c>
      <c r="I4953" s="6" t="n">
        <f aca="false">Sens!I4865+Sens!I4886+Sens!I4816+Sens!I4946*(Sens!I4835-Sens!I4798)+sbc_r*Sens!I4835</f>
        <v>398.611813946281</v>
      </c>
      <c r="J4953" s="6" t="n">
        <f aca="false">Sens!J4865+Sens!J4886+Sens!J4816+Sens!J4946*(Sens!J4835-Sens!J4798)+sbc_r*Sens!J4835</f>
        <v>445.502121961627</v>
      </c>
      <c r="K4953" s="6" t="n">
        <f aca="false">Sens!K4865+Sens!K4886+Sens!K4816+Sens!K4946*(Sens!K4835-Sens!K4798)+sbc_r*Sens!K4835</f>
        <v>482.644994758054</v>
      </c>
    </row>
    <row r="4954" customFormat="false" ht="17.15" hidden="false" customHeight="false" outlineLevel="0" collapsed="false">
      <c r="A4954" s="0" t="s">
        <v>1243</v>
      </c>
      <c r="B4954" s="0" t="s">
        <v>98</v>
      </c>
      <c r="F4954" s="6" t="n">
        <f aca="false">Sens!F4953-Sens!F4947-Sens!F4948-Sens!F4949-Sens!F4950-Sens!F4952</f>
        <v>70.8841467208856</v>
      </c>
      <c r="G4954" s="6" t="n">
        <f aca="false">Sens!G4953-Sens!G4947-Sens!G4948-Sens!G4949-Sens!G4950-Sens!G4952</f>
        <v>78.2144361983317</v>
      </c>
      <c r="H4954" s="6" t="n">
        <f aca="false">Sens!H4953-Sens!H4947-Sens!H4948-Sens!H4949-Sens!H4950-Sens!H4952</f>
        <v>91.3288265960866</v>
      </c>
      <c r="I4954" s="6" t="n">
        <f aca="false">Sens!I4953-Sens!I4947-Sens!I4948-Sens!I4949-Sens!I4950-Sens!I4952</f>
        <v>104.352698303238</v>
      </c>
      <c r="J4954" s="6" t="n">
        <f aca="false">Sens!J4953-Sens!J4947-Sens!J4948-Sens!J4949-Sens!J4950-Sens!J4952</f>
        <v>116.22641028924</v>
      </c>
      <c r="K4954" s="6" t="n">
        <f aca="false">Sens!K4953-Sens!K4947-Sens!K4948-Sens!K4949-Sens!K4950-Sens!K4952</f>
        <v>126.242299385702</v>
      </c>
    </row>
    <row r="4955" customFormat="false" ht="17.15" hidden="false" customHeight="false" outlineLevel="0" collapsed="false">
      <c r="A4955" s="0" t="s">
        <v>1244</v>
      </c>
      <c r="B4955" s="0" t="s">
        <v>98</v>
      </c>
      <c r="F4955" s="6" t="n">
        <f aca="false">Sens!F4867+Sens!F4946*Sens!F4842+sbc_r*Sens!F4842</f>
        <v>26.1298287015303</v>
      </c>
      <c r="G4955" s="6" t="n">
        <f aca="false">Sens!G4867+Sens!G4946*Sens!G4842+sbc_r*Sens!G4842</f>
        <v>26.0808592894196</v>
      </c>
      <c r="H4955" s="6" t="n">
        <f aca="false">Sens!H4867+Sens!H4946*Sens!H4842+sbc_r*Sens!H4842</f>
        <v>27.0404019636373</v>
      </c>
      <c r="I4955" s="6" t="n">
        <f aca="false">Sens!I4867+Sens!I4946*Sens!I4842+sbc_r*Sens!I4842</f>
        <v>28.210377048751</v>
      </c>
      <c r="J4955" s="6" t="n">
        <f aca="false">Sens!J4867+Sens!J4946*Sens!J4842+sbc_r*Sens!J4842</f>
        <v>29.5634375699777</v>
      </c>
      <c r="K4955" s="6" t="n">
        <f aca="false">Sens!K4867+Sens!K4946*Sens!K4842+sbc_r*Sens!K4842</f>
        <v>31.0735379881567</v>
      </c>
    </row>
    <row r="4956" customFormat="false" ht="17.15" hidden="false" customHeight="false" outlineLevel="0" collapsed="false">
      <c r="A4956" s="0" t="s">
        <v>1245</v>
      </c>
      <c r="B4956" s="0" t="s">
        <v>98</v>
      </c>
      <c r="F4956" s="6" t="n">
        <f aca="false">(Sens!F4955-Sens!F4951)*Sens!F4838/(Sens!F4838+Sens!F4840)</f>
        <v>8.5602641427009</v>
      </c>
      <c r="G4956" s="6" t="n">
        <f aca="false">(Sens!G4955-Sens!G4951)*Sens!G4838/(Sens!G4838+Sens!G4840)</f>
        <v>7.77034509796184</v>
      </c>
      <c r="H4956" s="6" t="n">
        <f aca="false">(Sens!H4955-Sens!H4951)*Sens!H4838/(Sens!H4838+Sens!H4840)</f>
        <v>7.5654528715966</v>
      </c>
      <c r="I4956" s="6" t="n">
        <f aca="false">(Sens!I4955-Sens!I4951)*Sens!I4838/(Sens!I4838+Sens!I4840)</f>
        <v>7.49629320341332</v>
      </c>
      <c r="J4956" s="6" t="n">
        <f aca="false">(Sens!J4955-Sens!J4951)*Sens!J4838/(Sens!J4838+Sens!J4840)</f>
        <v>7.5548168249613</v>
      </c>
      <c r="K4956" s="6" t="n">
        <f aca="false">(Sens!K4955-Sens!K4951)*Sens!K4838/(Sens!K4838+Sens!K4840)</f>
        <v>7.73884657408972</v>
      </c>
    </row>
    <row r="4957" customFormat="false" ht="17.15" hidden="false" customHeight="false" outlineLevel="0" collapsed="false">
      <c r="A4957" s="0" t="s">
        <v>1246</v>
      </c>
      <c r="B4957" s="0" t="s">
        <v>98</v>
      </c>
      <c r="F4957" s="6" t="n">
        <f aca="false">Sens!F4955-Sens!F4951-Sens!F4956</f>
        <v>6.59639951494523</v>
      </c>
      <c r="G4957" s="6" t="n">
        <f aca="false">Sens!G4955-Sens!G4951-Sens!G4956</f>
        <v>6.22828530964649</v>
      </c>
      <c r="H4957" s="6" t="n">
        <f aca="false">Sens!H4955-Sens!H4951-Sens!H4956</f>
        <v>6.24395050197426</v>
      </c>
      <c r="I4957" s="6" t="n">
        <f aca="false">Sens!I4955-Sens!I4951-Sens!I4956</f>
        <v>6.30735587739647</v>
      </c>
      <c r="J4957" s="6" t="n">
        <f aca="false">Sens!J4955-Sens!J4951-Sens!J4956</f>
        <v>6.4175582669937</v>
      </c>
      <c r="K4957" s="6" t="n">
        <f aca="false">Sens!K4955-Sens!K4951-Sens!K4956</f>
        <v>6.57388523894485</v>
      </c>
    </row>
    <row r="4958" customFormat="false" ht="17.15" hidden="false" customHeight="false" outlineLevel="0" collapsed="false">
      <c r="A4958" s="0" t="s">
        <v>1247</v>
      </c>
      <c r="B4958" s="0" t="s">
        <v>98</v>
      </c>
      <c r="F4958" s="6" t="n">
        <f aca="false">Sens!F4952-tax_f*(Sens!F4952-Sens!F4816)-Sens!F4813</f>
        <v>-129.132149748039</v>
      </c>
      <c r="G4958" s="6" t="n">
        <f aca="false">Sens!G4952-tax_f*(Sens!G4952-Sens!G4816)-Sens!G4813</f>
        <v>-122.045357018063</v>
      </c>
      <c r="H4958" s="6" t="n">
        <f aca="false">Sens!H4952-tax_f*(Sens!H4952-Sens!H4816)-Sens!H4813</f>
        <v>-126.539435373721</v>
      </c>
      <c r="I4958" s="6" t="n">
        <f aca="false">Sens!I4952-tax_f*(Sens!I4952-Sens!I4816)-Sens!I4813</f>
        <v>-52.7336132996634</v>
      </c>
      <c r="J4958" s="6" t="n">
        <f aca="false">Sens!J4952-tax_f*(Sens!J4952-Sens!J4816)-Sens!J4813</f>
        <v>-18.3910958479432</v>
      </c>
      <c r="K4958" s="6" t="n">
        <f aca="false">Sens!K4952-tax_f*(Sens!K4952-Sens!K4816)-Sens!K4813</f>
        <v>-11.9788659398164</v>
      </c>
    </row>
    <row r="4959" customFormat="false" ht="17.15" hidden="false" customHeight="false" outlineLevel="0" collapsed="false">
      <c r="A4959" s="0" t="s">
        <v>1248</v>
      </c>
      <c r="B4959" s="0" t="s">
        <v>98</v>
      </c>
      <c r="G4959" s="6" t="n">
        <f aca="false">Sens!G4958/(1+wacc)^(Sens!G4929-Sens!F4930)</f>
        <v>-116.210665866379</v>
      </c>
      <c r="H4959" s="6" t="n">
        <f aca="false">Sens!H4958/(1+wacc)^(Sens!H4929-Sens!F4930)</f>
        <v>-109.244624101658</v>
      </c>
      <c r="I4959" s="6" t="n">
        <f aca="false">Sens!I4958/(1+wacc)^(Sens!I4929-Sens!F4930)</f>
        <v>-41.2772891303542</v>
      </c>
      <c r="J4959" s="6" t="n">
        <f aca="false">Sens!J4958/(1+wacc)^(Sens!J4929-Sens!F4930)</f>
        <v>-13.0521092407056</v>
      </c>
      <c r="K4959" s="6" t="n">
        <f aca="false">Sens!K4958/(1+wacc)^(Sens!K4929-Sens!F4930)</f>
        <v>-7.70793869256698</v>
      </c>
      <c r="L4959" s="1" t="s">
        <v>1249</v>
      </c>
    </row>
    <row r="4960" customFormat="false" ht="17.15" hidden="false" customHeight="false" outlineLevel="0" collapsed="false">
      <c r="A4960" s="0" t="s">
        <v>1250</v>
      </c>
      <c r="B4960" s="0" t="s">
        <v>98</v>
      </c>
      <c r="C4960" s="6" t="n">
        <f aca="false">(Sens!K4952-Sens!K4816)*(1-tax_f)*(1+g_tv)*(1-g_tv/(wacc+ronic_prem))/(wacc-g_tv)/(1+wacc)^(Sens!K4930-Sens!F4930)</f>
        <v>-22.5291522394153</v>
      </c>
    </row>
    <row r="4961" customFormat="false" ht="17.15" hidden="false" customHeight="false" outlineLevel="0" collapsed="false">
      <c r="A4961" s="1" t="s">
        <v>1251</v>
      </c>
      <c r="B4961" s="0" t="s">
        <v>98</v>
      </c>
      <c r="C4961" s="6" t="n">
        <f aca="false">(SUM(Sens!G4959:K4959)+Sens!$C$4960)*(1+wacc)^(t_roll-Sens!F4930)</f>
        <v>-320.256535780269</v>
      </c>
      <c r="L4961" s="12" t="s">
        <v>1252</v>
      </c>
    </row>
    <row r="4962" customFormat="false" ht="17.15" hidden="false" customHeight="false" outlineLevel="0" collapsed="false">
      <c r="A4962" s="1" t="s">
        <v>1253</v>
      </c>
      <c r="B4962" s="0" t="s">
        <v>98</v>
      </c>
      <c r="C4962" s="6" t="n">
        <f aca="false">(w_ntm28*Sens!G4804+(1-w_ntm28)*Sens!H4804)*m_ai</f>
        <v>345.673197559002</v>
      </c>
    </row>
    <row r="4963" customFormat="false" ht="17.15" hidden="false" customHeight="false" outlineLevel="0" collapsed="false">
      <c r="A4963" s="1" t="s">
        <v>1254</v>
      </c>
      <c r="B4963" s="0" t="s">
        <v>98</v>
      </c>
      <c r="C4963" s="6" t="n">
        <f aca="false">(w_ntm28*Sens!G4954+(1-w_ntm28)*Sens!H4954)*m_cloud</f>
        <v>1140.50954945447</v>
      </c>
    </row>
    <row r="4964" customFormat="false" ht="17.15" hidden="false" customHeight="false" outlineLevel="0" collapsed="false">
      <c r="A4964" s="1" t="s">
        <v>1255</v>
      </c>
      <c r="B4964" s="0" t="s">
        <v>98</v>
      </c>
      <c r="C4964" s="6" t="n">
        <f aca="false">(w_ntm28*Sens!G4947+(1-w_ntm28)*Sens!H4947)*m_sw</f>
        <v>1036.30257161642</v>
      </c>
    </row>
    <row r="4965" customFormat="false" ht="17.15" hidden="false" customHeight="false" outlineLevel="0" collapsed="false">
      <c r="A4965" s="1" t="s">
        <v>1256</v>
      </c>
      <c r="B4965" s="0" t="s">
        <v>98</v>
      </c>
      <c r="C4965" s="6" t="n">
        <f aca="false">(w_ntm28*Sens!G4948+(1-w_ntm28)*Sens!H4948)*m_sw</f>
        <v>370.560343472359</v>
      </c>
    </row>
    <row r="4966" customFormat="false" ht="17.15" hidden="false" customHeight="false" outlineLevel="0" collapsed="false">
      <c r="A4966" s="1" t="s">
        <v>1257</v>
      </c>
      <c r="B4966" s="0" t="s">
        <v>98</v>
      </c>
      <c r="C4966" s="6" t="n">
        <f aca="false">(w_ntm28*Sens!G4949+(1-w_ntm28)*Sens!H4949)*m_sw</f>
        <v>107.681497304221</v>
      </c>
    </row>
    <row r="4967" customFormat="false" ht="17.15" hidden="false" customHeight="false" outlineLevel="0" collapsed="false">
      <c r="A4967" s="1" t="s">
        <v>1258</v>
      </c>
      <c r="B4967" s="0" t="s">
        <v>98</v>
      </c>
      <c r="C4967" s="6" t="n">
        <f aca="false">(w_ntm28*Sens!G4950+(1-w_ntm28)*Sens!H4950)*m_sw</f>
        <v>40.9370760987391</v>
      </c>
    </row>
    <row r="4968" customFormat="false" ht="17.15" hidden="false" customHeight="false" outlineLevel="0" collapsed="false">
      <c r="A4968" s="1" t="s">
        <v>1259</v>
      </c>
      <c r="B4968" s="0" t="s">
        <v>98</v>
      </c>
      <c r="C4968" s="6" t="n">
        <f aca="false">(w_ntm28*Sens!G4951+(1-w_ntm28)*Sens!H4951)*m_ads</f>
        <v>113.509749072382</v>
      </c>
    </row>
    <row r="4969" customFormat="false" ht="17.15" hidden="false" customHeight="false" outlineLevel="0" collapsed="false">
      <c r="A4969" s="1" t="s">
        <v>1260</v>
      </c>
      <c r="B4969" s="0" t="s">
        <v>98</v>
      </c>
      <c r="C4969" s="6" t="n">
        <f aca="false">(w_ntm28*Sens!G4956+(1-w_ntm28)*Sens!H4956)*m_game</f>
        <v>97.2886787015617</v>
      </c>
    </row>
    <row r="4970" customFormat="false" ht="17.15" hidden="false" customHeight="false" outlineLevel="0" collapsed="false">
      <c r="A4970" s="1" t="s">
        <v>1261</v>
      </c>
      <c r="B4970" s="0" t="s">
        <v>98</v>
      </c>
      <c r="C4970" s="6" t="n">
        <f aca="false">(w_ntm28*Sens!G4957+(1-w_ntm28)*Sens!H4957)*m_pc</f>
        <v>90.1978118277298</v>
      </c>
    </row>
    <row r="4971" customFormat="false" ht="17.15" hidden="false" customHeight="false" outlineLevel="0" collapsed="false">
      <c r="A4971" s="1" t="s">
        <v>1262</v>
      </c>
      <c r="B4971" s="0" t="s">
        <v>98</v>
      </c>
      <c r="C4971" s="6" t="n">
        <f aca="false">Sens!$C$4961+Sens!$C$4963+Sens!$C$4964+Sens!$C$4965+Sens!$C$4966+Sens!$C$4967+Sens!$C$4968+Sens!$C$4969+Sens!$C$4970</f>
        <v>2676.73074176761</v>
      </c>
    </row>
    <row r="4972" customFormat="false" ht="17.15" hidden="false" customHeight="false" outlineLevel="0" collapsed="false">
      <c r="A4972" s="1" t="s">
        <v>1263</v>
      </c>
      <c r="B4972" s="0" t="s">
        <v>98</v>
      </c>
      <c r="C4972" s="6" t="n">
        <f aca="false">(Sens!G4933-Sens!G4958)*t_stub</f>
        <v>47.7243873601711</v>
      </c>
      <c r="L4972" s="1" t="s">
        <v>1264</v>
      </c>
    </row>
    <row r="4973" customFormat="false" ht="17.15" hidden="false" customHeight="false" outlineLevel="0" collapsed="false">
      <c r="A4973" s="1" t="s">
        <v>1173</v>
      </c>
      <c r="B4973" s="0" t="s">
        <v>98</v>
      </c>
      <c r="C4973" s="6" t="n">
        <f aca="false">Sens!F4920+oai_v-Sens!F4909+Sens!$C$4972</f>
        <v>160.709323337259</v>
      </c>
      <c r="L4973" s="1" t="s">
        <v>1265</v>
      </c>
    </row>
    <row r="4974" customFormat="false" ht="17.15" hidden="false" customHeight="false" outlineLevel="0" collapsed="false">
      <c r="A4974" s="1" t="s">
        <v>1266</v>
      </c>
      <c r="B4974" s="0" t="s">
        <v>75</v>
      </c>
      <c r="C4974" s="5" t="n">
        <f aca="false">(Sens!$C$4971+Sens!$C$4973)/(Sens!F4922+dil_gap)-Sens!G4912*roll_div_q/q_per_yr</f>
        <v>377.487723199689</v>
      </c>
      <c r="L4974" s="1" t="s">
        <v>1267</v>
      </c>
    </row>
    <row r="4975" customFormat="false" ht="17.15" hidden="false" customHeight="false" outlineLevel="0" collapsed="false">
      <c r="A4975" s="1" t="s">
        <v>1268</v>
      </c>
      <c r="B4975" s="0" t="s">
        <v>75</v>
      </c>
      <c r="C4975" s="5" t="n">
        <f aca="false">w_dcf*Sens!$C$4945+(1-w_dcf)*Sens!$C$4974</f>
        <v>317.448618844097</v>
      </c>
    </row>
    <row r="4976" customFormat="false" ht="17.15" hidden="false" customHeight="false" outlineLevel="0" collapsed="false">
      <c r="A4976" s="3" t="s">
        <v>1735</v>
      </c>
    </row>
    <row r="4977" customFormat="false" ht="15" hidden="false" customHeight="false" outlineLevel="0" collapsed="false">
      <c r="A4977" s="4" t="s">
        <v>43</v>
      </c>
      <c r="B4977" s="4" t="s">
        <v>65</v>
      </c>
      <c r="C4977" s="23" t="s">
        <v>942</v>
      </c>
      <c r="D4977" s="23" t="s">
        <v>943</v>
      </c>
      <c r="E4977" s="23" t="s">
        <v>944</v>
      </c>
      <c r="F4977" s="23" t="s">
        <v>945</v>
      </c>
      <c r="G4977" s="23" t="s">
        <v>946</v>
      </c>
      <c r="H4977" s="23" t="s">
        <v>947</v>
      </c>
      <c r="I4977" s="23" t="s">
        <v>948</v>
      </c>
      <c r="J4977" s="23" t="s">
        <v>949</v>
      </c>
      <c r="K4977" s="23" t="s">
        <v>950</v>
      </c>
      <c r="L4977" s="4" t="s">
        <v>47</v>
      </c>
    </row>
    <row r="4978" customFormat="false" ht="17.15" hidden="false" customHeight="false" outlineLevel="0" collapsed="false">
      <c r="A4978" s="1" t="s">
        <v>951</v>
      </c>
      <c r="B4978" s="1" t="s">
        <v>279</v>
      </c>
      <c r="C4978" s="21" t="n">
        <v>2024</v>
      </c>
      <c r="D4978" s="21" t="n">
        <v>2025</v>
      </c>
      <c r="E4978" s="21" t="n">
        <v>2026</v>
      </c>
      <c r="F4978" s="21" t="n">
        <v>2027</v>
      </c>
      <c r="G4978" s="21" t="n">
        <v>2028</v>
      </c>
      <c r="H4978" s="21" t="n">
        <v>2029</v>
      </c>
      <c r="I4978" s="21" t="n">
        <v>2030</v>
      </c>
      <c r="J4978" s="21" t="n">
        <v>2031</v>
      </c>
      <c r="K4978" s="21" t="n">
        <v>2032</v>
      </c>
    </row>
    <row r="4979" customFormat="false" ht="17.15" hidden="false" customHeight="false" outlineLevel="0" collapsed="false">
      <c r="A4979" s="1" t="s">
        <v>952</v>
      </c>
      <c r="B4979" s="0" t="s">
        <v>459</v>
      </c>
      <c r="F4979" s="30" t="n">
        <f aca="false">pace</f>
        <v>2726.5351</v>
      </c>
      <c r="G4979" s="30" t="n">
        <f aca="false">pace</f>
        <v>2726.5351</v>
      </c>
      <c r="H4979" s="30" t="n">
        <f aca="false">pace</f>
        <v>2726.5351</v>
      </c>
      <c r="I4979" s="30" t="n">
        <f aca="false">pace+(g_tv*Sens!H4980-pace)*MIN(1,(Sens!I4978-pace_y0)/(pace_y1-pace_y0))</f>
        <v>1931.98611966667</v>
      </c>
      <c r="J4979" s="30" t="n">
        <f aca="false">pace+(g_tv*Sens!I4980-pace)*MIN(1,(Sens!J4978-pace_y0)/(pace_y1-pace_y0))</f>
        <v>1176.07686172667</v>
      </c>
      <c r="K4979" s="30" t="n">
        <f aca="false">pace+(g_tv*Sens!J4980-pace)*MIN(1,(Sens!K4978-pace_y0)/(pace_y1-pace_y0))</f>
        <v>436.1300484418</v>
      </c>
      <c r="L4979" s="12" t="s">
        <v>953</v>
      </c>
    </row>
    <row r="4980" customFormat="false" ht="17.15" hidden="false" customHeight="false" outlineLevel="0" collapsed="false">
      <c r="A4980" s="1" t="s">
        <v>954</v>
      </c>
      <c r="B4980" s="0" t="s">
        <v>459</v>
      </c>
      <c r="C4980" s="30" t="n">
        <f aca="false">mw_ext_24</f>
        <v>640</v>
      </c>
      <c r="D4980" s="30" t="n">
        <f aca="false">mw_ext_25</f>
        <v>1630</v>
      </c>
      <c r="E4980" s="30" t="n">
        <f aca="false">mw_ext_26</f>
        <v>3250</v>
      </c>
      <c r="F4980" s="30" t="n">
        <f aca="false">Sens!E4980+Sens!F4979</f>
        <v>5976.5351</v>
      </c>
      <c r="G4980" s="30" t="n">
        <f aca="false">Sens!F4980+Sens!G4979</f>
        <v>8703.0702</v>
      </c>
      <c r="H4980" s="30" t="n">
        <f aca="false">Sens!G4980+Sens!H4979</f>
        <v>11429.6053</v>
      </c>
      <c r="I4980" s="30" t="n">
        <f aca="false">Sens!H4980+Sens!I4979</f>
        <v>13361.5914196667</v>
      </c>
      <c r="J4980" s="30" t="n">
        <f aca="false">Sens!I4980+Sens!J4979</f>
        <v>14537.6682813933</v>
      </c>
      <c r="K4980" s="30" t="n">
        <f aca="false">Sens!J4980+Sens!K4979</f>
        <v>14973.7983298351</v>
      </c>
      <c r="L4980" s="1" t="s">
        <v>955</v>
      </c>
    </row>
    <row r="4981" customFormat="false" ht="17.15" hidden="false" customHeight="false" outlineLevel="0" collapsed="false">
      <c r="A4981" s="1" t="s">
        <v>956</v>
      </c>
      <c r="B4981" s="0" t="s">
        <v>459</v>
      </c>
      <c r="C4981" s="30" t="n">
        <f aca="false">rent_ext_24</f>
        <v>150</v>
      </c>
      <c r="D4981" s="30" t="n">
        <f aca="false">rent_ext_25</f>
        <v>400</v>
      </c>
      <c r="E4981" s="30" t="n">
        <f aca="false">rent_ext_26</f>
        <v>550</v>
      </c>
      <c r="F4981" s="30" t="n">
        <f aca="false">rent_ext_f</f>
        <v>756</v>
      </c>
      <c r="G4981" s="30" t="n">
        <f aca="false">rent_ext_f</f>
        <v>756</v>
      </c>
      <c r="H4981" s="30" t="n">
        <f aca="false">rent_ext_f</f>
        <v>756</v>
      </c>
      <c r="I4981" s="30" t="n">
        <f aca="false">rent_ext_f</f>
        <v>756</v>
      </c>
      <c r="J4981" s="30" t="n">
        <f aca="false">rent_ext_f</f>
        <v>756</v>
      </c>
      <c r="K4981" s="30" t="n">
        <f aca="false">rent_ext_f</f>
        <v>756</v>
      </c>
      <c r="L4981" s="1" t="s">
        <v>957</v>
      </c>
    </row>
    <row r="4982" customFormat="false" ht="17.15" hidden="false" customHeight="false" outlineLevel="0" collapsed="false">
      <c r="A4982" s="1" t="s">
        <v>958</v>
      </c>
      <c r="B4982" s="0" t="s">
        <v>459</v>
      </c>
      <c r="C4982" s="30" t="n">
        <f aca="false">Sens!C4980-Sens!C4981</f>
        <v>490</v>
      </c>
      <c r="D4982" s="30" t="n">
        <f aca="false">Sens!D4980-Sens!D4981</f>
        <v>1230</v>
      </c>
      <c r="E4982" s="30" t="n">
        <f aca="false">Sens!E4980-Sens!E4981</f>
        <v>2700</v>
      </c>
      <c r="F4982" s="30" t="n">
        <f aca="false">Sens!F4980-Sens!F4981</f>
        <v>5220.5351</v>
      </c>
      <c r="G4982" s="30" t="n">
        <f aca="false">Sens!G4980-Sens!G4981</f>
        <v>7947.0702</v>
      </c>
      <c r="H4982" s="30" t="n">
        <f aca="false">Sens!H4980-Sens!H4981</f>
        <v>10673.6053</v>
      </c>
      <c r="I4982" s="30" t="n">
        <f aca="false">Sens!I4980-Sens!I4981</f>
        <v>12605.5914196667</v>
      </c>
      <c r="J4982" s="30" t="n">
        <f aca="false">Sens!J4980-Sens!J4981</f>
        <v>13781.6682813933</v>
      </c>
      <c r="K4982" s="30" t="n">
        <f aca="false">Sens!K4980-Sens!K4981</f>
        <v>14217.7983298351</v>
      </c>
    </row>
    <row r="4983" customFormat="false" ht="17.15" hidden="false" customHeight="false" outlineLevel="0" collapsed="false">
      <c r="A4983" s="1" t="s">
        <v>959</v>
      </c>
      <c r="B4983" s="0" t="s">
        <v>459</v>
      </c>
      <c r="C4983" s="30" t="n">
        <f aca="false">Sens!C4982/ext_sh</f>
        <v>816.666666666667</v>
      </c>
      <c r="D4983" s="30" t="n">
        <f aca="false">Sens!D4982/ext_sh</f>
        <v>2050</v>
      </c>
      <c r="E4983" s="30" t="n">
        <f aca="false">Sens!E4982/ext_sh</f>
        <v>4500</v>
      </c>
      <c r="F4983" s="30" t="n">
        <f aca="false">Sens!F4982/ext_sh</f>
        <v>8700.89183333333</v>
      </c>
      <c r="G4983" s="30" t="n">
        <f aca="false">Sens!G4982/ext_sh</f>
        <v>13245.117</v>
      </c>
      <c r="H4983" s="30" t="n">
        <f aca="false">Sens!H4982/ext_sh</f>
        <v>17789.3421666667</v>
      </c>
      <c r="I4983" s="30" t="n">
        <f aca="false">Sens!I4982/ext_sh</f>
        <v>21009.3190327778</v>
      </c>
      <c r="J4983" s="30" t="n">
        <f aca="false">Sens!J4982/ext_sh</f>
        <v>22969.4471356556</v>
      </c>
      <c r="K4983" s="30" t="n">
        <f aca="false">Sens!K4982/ext_sh</f>
        <v>23696.3305497252</v>
      </c>
      <c r="L4983" s="1" t="s">
        <v>960</v>
      </c>
    </row>
    <row r="4984" customFormat="false" ht="17.15" hidden="false" customHeight="false" outlineLevel="0" collapsed="false">
      <c r="A4984" s="1" t="s">
        <v>961</v>
      </c>
      <c r="B4984" s="0" t="s">
        <v>459</v>
      </c>
      <c r="C4984" s="30" t="n">
        <f aca="false">Sens!C4983-Sens!C4982</f>
        <v>326.666666666667</v>
      </c>
      <c r="D4984" s="30" t="n">
        <f aca="false">Sens!D4983-Sens!D4982</f>
        <v>820</v>
      </c>
      <c r="E4984" s="30" t="n">
        <f aca="false">Sens!E4983-Sens!E4982</f>
        <v>1800</v>
      </c>
      <c r="F4984" s="30" t="n">
        <f aca="false">Sens!F4983-Sens!F4982</f>
        <v>3480.35673333333</v>
      </c>
      <c r="G4984" s="30" t="n">
        <f aca="false">Sens!G4983-Sens!G4982</f>
        <v>5298.0468</v>
      </c>
      <c r="H4984" s="30" t="n">
        <f aca="false">Sens!H4983-Sens!H4982</f>
        <v>7115.73686666667</v>
      </c>
      <c r="I4984" s="30" t="n">
        <f aca="false">Sens!I4983-Sens!I4982</f>
        <v>8403.72761311111</v>
      </c>
      <c r="J4984" s="30" t="n">
        <f aca="false">Sens!J4983-Sens!J4982</f>
        <v>9187.77885426222</v>
      </c>
      <c r="K4984" s="30" t="n">
        <f aca="false">Sens!K4983-Sens!K4982</f>
        <v>9478.53221989009</v>
      </c>
    </row>
    <row r="4985" customFormat="false" ht="17.15" hidden="false" customHeight="false" outlineLevel="0" collapsed="false">
      <c r="A4985" s="1" t="s">
        <v>962</v>
      </c>
      <c r="B4985" s="0" t="s">
        <v>459</v>
      </c>
      <c r="C4985" s="30" t="n">
        <f aca="false">Sens!C4983</f>
        <v>816.666666666667</v>
      </c>
      <c r="D4985" s="30" t="n">
        <f aca="false">Sens!D4983-Sens!C4983</f>
        <v>1233.33333333333</v>
      </c>
      <c r="E4985" s="30" t="n">
        <f aca="false">Sens!E4983-Sens!D4983</f>
        <v>2450</v>
      </c>
      <c r="F4985" s="30" t="n">
        <f aca="false">Sens!F4983-Sens!E4983</f>
        <v>4200.89183333333</v>
      </c>
      <c r="G4985" s="30" t="n">
        <f aca="false">Sens!G4983-Sens!F4983</f>
        <v>4544.22516666667</v>
      </c>
      <c r="H4985" s="30" t="n">
        <f aca="false">Sens!H4983-Sens!G4983</f>
        <v>4544.22516666667</v>
      </c>
      <c r="I4985" s="30" t="n">
        <f aca="false">Sens!I4983-Sens!H4983</f>
        <v>3219.97686611111</v>
      </c>
      <c r="J4985" s="30" t="n">
        <f aca="false">Sens!J4983-Sens!I4983</f>
        <v>1960.12810287778</v>
      </c>
      <c r="K4985" s="30" t="n">
        <f aca="false">Sens!K4983-Sens!J4983</f>
        <v>726.883414069667</v>
      </c>
    </row>
    <row r="4986" customFormat="false" ht="17.15" hidden="false" customHeight="false" outlineLevel="0" collapsed="false">
      <c r="A4986" s="1" t="s">
        <v>963</v>
      </c>
      <c r="B4986" s="0" t="s">
        <v>459</v>
      </c>
      <c r="D4986" s="30" t="n">
        <f aca="false">Sens!D4980-Sens!C4980</f>
        <v>990</v>
      </c>
      <c r="E4986" s="30" t="n">
        <f aca="false">Sens!E4980-Sens!D4980</f>
        <v>1620</v>
      </c>
      <c r="F4986" s="30" t="n">
        <f aca="false">Sens!F4980-Sens!E4980</f>
        <v>2726.5351</v>
      </c>
      <c r="G4986" s="30" t="n">
        <f aca="false">Sens!G4980-Sens!F4980</f>
        <v>2726.5351</v>
      </c>
      <c r="H4986" s="30" t="n">
        <f aca="false">Sens!H4980-Sens!G4980</f>
        <v>2726.5351</v>
      </c>
      <c r="I4986" s="30" t="n">
        <f aca="false">Sens!I4980-Sens!H4980</f>
        <v>1931.98611966667</v>
      </c>
      <c r="J4986" s="30" t="n">
        <f aca="false">Sens!J4980-Sens!I4980</f>
        <v>1176.07686172667</v>
      </c>
      <c r="K4986" s="30" t="n">
        <f aca="false">Sens!K4980-Sens!J4980</f>
        <v>436.130048441799</v>
      </c>
    </row>
    <row r="4987" customFormat="false" ht="17.15" hidden="false" customHeight="false" outlineLevel="0" collapsed="false">
      <c r="A4987" s="1" t="s">
        <v>964</v>
      </c>
      <c r="B4987" s="0" t="s">
        <v>459</v>
      </c>
      <c r="F4987" s="30" t="n">
        <f aca="false">Sens!F5006*ext_sh</f>
        <v>0</v>
      </c>
      <c r="G4987" s="30" t="n">
        <f aca="false">Sens!G5006*ext_sh</f>
        <v>0</v>
      </c>
      <c r="H4987" s="30" t="n">
        <f aca="false">Sens!H5006*ext_sh</f>
        <v>0</v>
      </c>
      <c r="I4987" s="30" t="n">
        <f aca="false">Sens!I5006*ext_sh</f>
        <v>0</v>
      </c>
      <c r="J4987" s="30" t="n">
        <f aca="false">Sens!J5006*ext_sh</f>
        <v>490</v>
      </c>
      <c r="K4987" s="30" t="n">
        <f aca="false">Sens!K5006*ext_sh</f>
        <v>740</v>
      </c>
      <c r="L4987" s="1" t="s">
        <v>965</v>
      </c>
    </row>
    <row r="4988" customFormat="false" ht="17.15" hidden="false" customHeight="false" outlineLevel="0" collapsed="false">
      <c r="A4988" s="1" t="s">
        <v>966</v>
      </c>
      <c r="B4988" s="0" t="s">
        <v>459</v>
      </c>
      <c r="C4988" s="30" t="n">
        <f aca="false">mix_h*Sens!C4980</f>
        <v>128</v>
      </c>
      <c r="D4988" s="30" t="n">
        <f aca="false">mix_h*Sens!D4980</f>
        <v>326</v>
      </c>
      <c r="E4988" s="30" t="n">
        <f aca="false">mix_h*Sens!E4980</f>
        <v>650</v>
      </c>
      <c r="F4988" s="30" t="n">
        <f aca="false">Sens!E4988-Sens!F4987*mix_h</f>
        <v>650</v>
      </c>
      <c r="G4988" s="30" t="n">
        <f aca="false">Sens!F4988-Sens!G4987*mix_h</f>
        <v>650</v>
      </c>
      <c r="H4988" s="30" t="n">
        <f aca="false">Sens!G4988-Sens!H4987*mix_h</f>
        <v>650</v>
      </c>
      <c r="I4988" s="30" t="n">
        <f aca="false">Sens!H4988-Sens!I4987*mix_h</f>
        <v>650</v>
      </c>
      <c r="J4988" s="30" t="n">
        <f aca="false">Sens!I4988-Sens!J4987*mix_h</f>
        <v>552</v>
      </c>
      <c r="K4988" s="30" t="n">
        <f aca="false">Sens!J4988-Sens!K4987*mix_h</f>
        <v>404</v>
      </c>
    </row>
    <row r="4989" customFormat="false" ht="17.15" hidden="false" customHeight="false" outlineLevel="0" collapsed="false">
      <c r="A4989" s="1" t="s">
        <v>967</v>
      </c>
      <c r="B4989" s="0" t="s">
        <v>459</v>
      </c>
      <c r="C4989" s="30" t="n">
        <f aca="false">mix_g2*Sens!C4980</f>
        <v>288</v>
      </c>
      <c r="D4989" s="30" t="n">
        <f aca="false">mix_g2*Sens!D4980</f>
        <v>733.5</v>
      </c>
      <c r="E4989" s="30" t="n">
        <f aca="false">mix_g2*Sens!E4980</f>
        <v>1462.5</v>
      </c>
      <c r="F4989" s="30" t="n">
        <f aca="false">Sens!E4989-Sens!F4987*mix_g2</f>
        <v>1462.5</v>
      </c>
      <c r="G4989" s="30" t="n">
        <f aca="false">Sens!F4989-Sens!G4987*mix_g2</f>
        <v>1462.5</v>
      </c>
      <c r="H4989" s="30" t="n">
        <f aca="false">Sens!G4989-Sens!H4987*mix_g2</f>
        <v>1462.5</v>
      </c>
      <c r="I4989" s="30" t="n">
        <f aca="false">Sens!H4989-Sens!I4987*mix_g2</f>
        <v>1462.5</v>
      </c>
      <c r="J4989" s="30" t="n">
        <f aca="false">Sens!I4989-Sens!J4987*mix_g2</f>
        <v>1242</v>
      </c>
      <c r="K4989" s="30" t="n">
        <f aca="false">Sens!J4989-Sens!K4987*mix_g2</f>
        <v>909</v>
      </c>
    </row>
    <row r="4990" customFormat="false" ht="17.15" hidden="false" customHeight="false" outlineLevel="0" collapsed="false">
      <c r="A4990" s="1" t="s">
        <v>968</v>
      </c>
      <c r="B4990" s="0" t="s">
        <v>459</v>
      </c>
      <c r="C4990" s="30" t="n">
        <f aca="false">mix_g3*Sens!C4980</f>
        <v>224</v>
      </c>
      <c r="D4990" s="30" t="n">
        <f aca="false">mix_g3*Sens!D4980</f>
        <v>570.5</v>
      </c>
      <c r="E4990" s="30" t="n">
        <f aca="false">mix_g3*Sens!E4980</f>
        <v>1137.5</v>
      </c>
      <c r="F4990" s="30" t="n">
        <f aca="false">Sens!E4990+(Sens!F4986+Sens!F4987)*(a_g3_27-nonnv*a_mai)-Sens!F4987*mix_g3</f>
        <v>2773.42106</v>
      </c>
      <c r="G4990" s="30" t="n">
        <f aca="false">Sens!F4990+(Sens!G4986+Sens!G4987)*(a_g3_28-nonnv*a_mai)-Sens!G4987*mix_g3</f>
        <v>3318.72808</v>
      </c>
      <c r="H4990" s="30" t="n">
        <f aca="false">Sens!G4990+(Sens!H4986+Sens!H4987)*(a_g3_29-nonnv*a_mai)-Sens!H4987*mix_g3</f>
        <v>3318.72808</v>
      </c>
      <c r="I4990" s="30" t="n">
        <f aca="false">Sens!H4990+(Sens!I4986+Sens!I4987)*(a_g3_29-nonnv*a_mai)-Sens!I4987*mix_g3</f>
        <v>3318.72808</v>
      </c>
      <c r="J4990" s="30" t="n">
        <f aca="false">Sens!I4990+(Sens!J4986+Sens!J4987)*(a_g3_29-nonnv*a_mai)-Sens!J4987*mix_g3</f>
        <v>3147.22808</v>
      </c>
      <c r="K4990" s="30" t="n">
        <f aca="false">Sens!J4990+(Sens!K4986+Sens!K4987)*(a_g3_29-nonnv*a_mai)-Sens!K4987*mix_g3</f>
        <v>2888.22808</v>
      </c>
    </row>
    <row r="4991" customFormat="false" ht="17.15" hidden="false" customHeight="false" outlineLevel="0" collapsed="false">
      <c r="A4991" s="1" t="s">
        <v>969</v>
      </c>
      <c r="B4991" s="0" t="s">
        <v>459</v>
      </c>
      <c r="C4991" s="30" t="n">
        <v>0</v>
      </c>
      <c r="D4991" s="30" t="n">
        <v>0</v>
      </c>
      <c r="E4991" s="30" t="n">
        <v>0</v>
      </c>
      <c r="F4991" s="30" t="n">
        <f aca="false">Sens!E4991+(Sens!F4986+Sens!F4987)*nonnv*a_mai</f>
        <v>272.65351</v>
      </c>
      <c r="G4991" s="30" t="n">
        <f aca="false">Sens!F4991+(Sens!G4986+Sens!G4987)*nonnv*a_mai</f>
        <v>545.30702</v>
      </c>
      <c r="H4991" s="30" t="n">
        <f aca="false">Sens!G4991+(Sens!H4986+Sens!H4987)*nonnv*a_mai</f>
        <v>817.96053</v>
      </c>
      <c r="I4991" s="30" t="n">
        <f aca="false">Sens!H4991+(Sens!I4986+Sens!I4987)*nonnv*a_mai</f>
        <v>1011.15914196667</v>
      </c>
      <c r="J4991" s="30" t="n">
        <f aca="false">Sens!I4991+(Sens!J4986+Sens!J4987)*nonnv*a_mai</f>
        <v>1177.76682813933</v>
      </c>
      <c r="K4991" s="30" t="n">
        <f aca="false">Sens!J4991+(Sens!K4986+Sens!K4987)*nonnv*a_mai</f>
        <v>1295.37983298351</v>
      </c>
      <c r="L4991" s="12" t="s">
        <v>970</v>
      </c>
    </row>
    <row r="4992" customFormat="false" ht="17.15" hidden="false" customHeight="false" outlineLevel="0" collapsed="false">
      <c r="A4992" s="1" t="s">
        <v>971</v>
      </c>
      <c r="B4992" s="0" t="s">
        <v>459</v>
      </c>
      <c r="C4992" s="30" t="n">
        <v>0</v>
      </c>
      <c r="D4992" s="30" t="n">
        <v>0</v>
      </c>
      <c r="E4992" s="30" t="n">
        <v>0</v>
      </c>
      <c r="F4992" s="30" t="n">
        <f aca="false">Sens!E4992+(Sens!F4986+Sens!F4987)*(1-a_g3_27)</f>
        <v>817.96053</v>
      </c>
      <c r="G4992" s="30" t="n">
        <f aca="false">Sens!F4992+(Sens!G4986+Sens!G4987)*(1-a_g3_28)</f>
        <v>2726.5351</v>
      </c>
      <c r="H4992" s="30" t="n">
        <f aca="false">Sens!G4992+(Sens!H4986+Sens!H4987)*(1-a_g3_29)</f>
        <v>5180.41669</v>
      </c>
      <c r="I4992" s="30" t="n">
        <f aca="false">Sens!H4992+(Sens!I4986+Sens!I4987)*(1-a_g3_29)</f>
        <v>6919.2041977</v>
      </c>
      <c r="J4992" s="30" t="n">
        <f aca="false">Sens!I4992+(Sens!J4986+Sens!J4987)*(1-a_g3_29)</f>
        <v>8418.673373254</v>
      </c>
      <c r="K4992" s="30" t="n">
        <f aca="false">Sens!J4992+(Sens!K4986+Sens!K4987)*(1-a_g3_29)</f>
        <v>9477.19041685162</v>
      </c>
    </row>
    <row r="4993" customFormat="false" ht="17.15" hidden="false" customHeight="false" outlineLevel="0" collapsed="false">
      <c r="A4993" s="1" t="s">
        <v>972</v>
      </c>
      <c r="B4993" s="0" t="s">
        <v>403</v>
      </c>
      <c r="C4993" s="15" t="n">
        <f aca="false">(Sens!C4988*tk_hold_h100+Sens!C4989*tk_hold_gb200+Sens!C4990*tk_hold_gb300+Sens!C4992*tk_hold_vr200+Sens!C4991*nv_hold_mai*tk_hold_vr200)/Sens!C4980</f>
        <v>9.7235358126469</v>
      </c>
      <c r="D4993" s="15" t="n">
        <f aca="false">(Sens!D4988*tk_hold_h100+Sens!D4989*tk_hold_gb200+Sens!D4990*tk_hold_gb300+Sens!D4992*tk_hold_vr200+Sens!D4991*nv_hold_mai*tk_hold_vr200)/Sens!D4980</f>
        <v>9.7235358126469</v>
      </c>
      <c r="E4993" s="15" t="n">
        <f aca="false">(Sens!E4988*tk_hold_h100+Sens!E4989*tk_hold_gb200+Sens!E4990*tk_hold_gb300+Sens!E4992*tk_hold_vr200+Sens!E4991*nv_hold_mai*tk_hold_vr200)/Sens!E4980</f>
        <v>9.7235358126469</v>
      </c>
      <c r="F4993" s="15" t="n">
        <f aca="false">(Sens!F4988*tk_hold_h100+Sens!F4989*tk_hold_gb200+Sens!F4990*tk_hold_gb300+Sens!F4992*tk_hold_vr200+Sens!F4991*nv_hold_mai*tk_hold_vr200)/Sens!F4980</f>
        <v>10.2195353876665</v>
      </c>
      <c r="G4993" s="15" t="n">
        <f aca="false">(Sens!G4988*tk_hold_h100+Sens!G4989*tk_hold_gb200+Sens!G4990*tk_hold_gb300+Sens!G4992*tk_hold_vr200+Sens!G4991*nv_hold_mai*tk_hold_vr200)/Sens!G4980</f>
        <v>10.5725598017306</v>
      </c>
      <c r="H4993" s="15" t="n">
        <f aca="false">(Sens!H4988*tk_hold_h100+Sens!H4989*tk_hold_gb200+Sens!H4990*tk_hold_gb300+Sens!H4992*tk_hold_vr200+Sens!H4991*nv_hold_mai*tk_hold_vr200)/Sens!H4980</f>
        <v>10.8210427149036</v>
      </c>
      <c r="I4993" s="15" t="n">
        <f aca="false">(Sens!I4988*tk_hold_h100+Sens!I4989*tk_hold_gb200+Sens!I4990*tk_hold_gb300+Sens!I4992*tk_hold_vr200+Sens!I4991*nv_hold_mai*tk_hold_vr200)/Sens!I4980</f>
        <v>10.9357269541711</v>
      </c>
      <c r="J4993" s="15" t="n">
        <f aca="false">(Sens!J4988*tk_hold_h100+Sens!J4989*tk_hold_gb200+Sens!J4990*tk_hold_gb300+Sens!J4992*tk_hold_vr200+Sens!J4991*nv_hold_mai*tk_hold_vr200)/Sens!J4980</f>
        <v>11.0543400376237</v>
      </c>
      <c r="K4993" s="15" t="n">
        <f aca="false">(Sens!K4988*tk_hold_h100+Sens!K4989*tk_hold_gb200+Sens!K4990*tk_hold_gb300+Sens!K4992*tk_hold_vr200+Sens!K4991*nv_hold_mai*tk_hold_vr200)/Sens!K4980</f>
        <v>11.1640824170085</v>
      </c>
      <c r="L4993" s="1" t="s">
        <v>973</v>
      </c>
    </row>
    <row r="4994" customFormat="false" ht="17.15" hidden="false" customHeight="false" outlineLevel="0" collapsed="false">
      <c r="A4994" s="1" t="s">
        <v>974</v>
      </c>
      <c r="B4994" s="0" t="s">
        <v>403</v>
      </c>
      <c r="C4994" s="15" t="n">
        <f aca="false">(Sens!C4988*tk_hold_h100+Sens!C4989*tk_hold_gb200+Sens!C4990*tk_hold_gb300+Sens!C4992*tk_hold_vr200+Sens!C4991*nv_out_mai*tk_hold_vr200)/Sens!C4980</f>
        <v>9.7235358126469</v>
      </c>
      <c r="D4994" s="15" t="n">
        <f aca="false">(Sens!D4988*tk_hold_h100+Sens!D4989*tk_hold_gb200+Sens!D4990*tk_hold_gb300+Sens!D4992*tk_hold_vr200+Sens!D4991*nv_out_mai*tk_hold_vr200)/Sens!D4980</f>
        <v>9.7235358126469</v>
      </c>
      <c r="E4994" s="15" t="n">
        <f aca="false">(Sens!E4988*tk_hold_h100+Sens!E4989*tk_hold_gb200+Sens!E4990*tk_hold_gb300+Sens!E4992*tk_hold_vr200+Sens!E4991*nv_out_mai*tk_hold_vr200)/Sens!E4980</f>
        <v>9.7235358126469</v>
      </c>
      <c r="F4994" s="15" t="n">
        <f aca="false">(Sens!F4988*tk_hold_h100+Sens!F4989*tk_hold_gb200+Sens!F4990*tk_hold_gb300+Sens!F4992*tk_hold_vr200+Sens!F4991*nv_out_mai*tk_hold_vr200)/Sens!F4980</f>
        <v>10.247422093969</v>
      </c>
      <c r="G4994" s="15" t="n">
        <f aca="false">(Sens!G4988*tk_hold_h100+Sens!G4989*tk_hold_gb200+Sens!G4990*tk_hold_gb300+Sens!G4992*tk_hold_vr200+Sens!G4991*nv_out_mai*tk_hold_vr200)/Sens!G4980</f>
        <v>10.6108602808053</v>
      </c>
      <c r="H4994" s="15" t="n">
        <f aca="false">(Sens!H4988*tk_hold_h100+Sens!H4989*tk_hold_gb200+Sens!H4990*tk_hold_gb300+Sens!H4992*tk_hold_vr200+Sens!H4991*nv_out_mai*tk_hold_vr200)/Sens!H4980</f>
        <v>10.8647885507393</v>
      </c>
      <c r="I4994" s="15" t="n">
        <f aca="false">(Sens!I4988*tk_hold_h100+Sens!I4989*tk_hold_gb200+Sens!I4990*tk_hold_gb300+Sens!I4992*tk_hold_vr200+Sens!I4991*nv_out_mai*tk_hold_vr200)/Sens!I4980</f>
        <v>10.9819860275961</v>
      </c>
      <c r="J4994" s="15" t="n">
        <f aca="false">(Sens!J4988*tk_hold_h100+Sens!J4989*tk_hold_gb200+Sens!J4990*tk_hold_gb300+Sens!J4992*tk_hold_vr200+Sens!J4991*nv_out_mai*tk_hold_vr200)/Sens!J4980</f>
        <v>11.1038622647405</v>
      </c>
      <c r="K4994" s="15" t="n">
        <f aca="false">(Sens!K4988*tk_hold_h100+Sens!K4989*tk_hold_gb200+Sens!K4990*tk_hold_gb300+Sens!K4992*tk_hold_vr200+Sens!K4991*nv_out_mai*tk_hold_vr200)/Sens!K4980</f>
        <v>11.21696355057</v>
      </c>
      <c r="L4994" s="12" t="s">
        <v>975</v>
      </c>
    </row>
    <row r="4995" customFormat="false" ht="17.15" hidden="false" customHeight="false" outlineLevel="0" collapsed="false">
      <c r="A4995" s="0" t="s">
        <v>976</v>
      </c>
      <c r="B4995" s="0" t="s">
        <v>229</v>
      </c>
      <c r="C4995" s="15" t="n">
        <f aca="false">k_B</f>
        <v>1.17213932619116</v>
      </c>
      <c r="D4995" s="15" t="n">
        <f aca="false">k_B</f>
        <v>1.17213932619116</v>
      </c>
      <c r="E4995" s="15" t="n">
        <f aca="false">k_B</f>
        <v>1.17213932619116</v>
      </c>
      <c r="F4995" s="15" t="n">
        <f aca="false">(k_B+((ls_A*k_long+(1-ls_A)*k_spot)-k_B)*MIN(1,(Sens!F4978-base_fy)/k_ramp))</f>
        <v>1.25022828131298</v>
      </c>
      <c r="G4995" s="15" t="n">
        <f aca="false">(k_B+((ls_A*k_long+(1-ls_A)*k_spot)-k_B)*MIN(1,(Sens!G4978-base_fy)/k_ramp))</f>
        <v>1.3283172364348</v>
      </c>
      <c r="H4995" s="15" t="n">
        <f aca="false">(k_B+((ls_A*k_long+(1-ls_A)*k_spot)-k_B)*MIN(1,(Sens!H4978-base_fy)/k_ramp))</f>
        <v>1.40640619155662</v>
      </c>
      <c r="I4995" s="15" t="n">
        <f aca="false">(k_B+((ls_A*k_long+(1-ls_A)*k_spot)-k_B)*MIN(1,(Sens!I4978-base_fy)/k_ramp))</f>
        <v>1.40640619155662</v>
      </c>
      <c r="J4995" s="15" t="n">
        <f aca="false">(k_B+((ls_A*k_long+(1-ls_A)*k_spot)-k_B)*MIN(1,(Sens!J4978-base_fy)/k_ramp))</f>
        <v>1.40640619155662</v>
      </c>
      <c r="K4995" s="15" t="n">
        <f aca="false">(k_B+((ls_A*k_long+(1-ls_A)*k_spot)-k_B)*MIN(1,(Sens!K4978-base_fy)/k_ramp))</f>
        <v>1.40640619155662</v>
      </c>
      <c r="L4995" s="1" t="s">
        <v>977</v>
      </c>
    </row>
    <row r="4996" customFormat="false" ht="17.15" hidden="false" customHeight="false" outlineLevel="0" collapsed="false">
      <c r="A4996" s="1" t="s">
        <v>978</v>
      </c>
      <c r="B4996" s="0" t="s">
        <v>403</v>
      </c>
      <c r="C4996" s="15" t="n">
        <f aca="false">Sens!C4994*Sens!C4995*chip_f</f>
        <v>11.3973387156315</v>
      </c>
      <c r="D4996" s="15" t="n">
        <f aca="false">Sens!D4994*Sens!D4995*chip_f</f>
        <v>11.3973387156315</v>
      </c>
      <c r="E4996" s="15" t="n">
        <f aca="false">Sens!E4994*Sens!E4995*chip_f</f>
        <v>11.3973387156315</v>
      </c>
      <c r="F4996" s="15" t="n">
        <f aca="false">Sens!F4994*Sens!F4995*chip_f</f>
        <v>12.8116169124314</v>
      </c>
      <c r="G4996" s="15" t="n">
        <f aca="false">Sens!G4994*Sens!G4995*chip_f</f>
        <v>14.094588604395</v>
      </c>
      <c r="H4996" s="15" t="n">
        <f aca="false">Sens!H4994*Sens!H4995*chip_f</f>
        <v>15.2803058877132</v>
      </c>
      <c r="I4996" s="15" t="n">
        <f aca="false">Sens!I4994*Sens!I4995*chip_f</f>
        <v>15.4451331447994</v>
      </c>
      <c r="J4996" s="15" t="n">
        <f aca="false">Sens!J4994*Sens!J4995*chip_f</f>
        <v>15.6165406393229</v>
      </c>
      <c r="K4996" s="15" t="n">
        <f aca="false">Sens!K4994*Sens!K4995*chip_f</f>
        <v>15.7756069879866</v>
      </c>
      <c r="L4996" s="1" t="s">
        <v>979</v>
      </c>
    </row>
    <row r="4997" customFormat="false" ht="17.15" hidden="false" customHeight="false" outlineLevel="0" collapsed="false">
      <c r="A4997" s="0" t="s">
        <v>980</v>
      </c>
      <c r="B4997" s="0" t="s">
        <v>98</v>
      </c>
      <c r="D4997" s="6" t="n">
        <f aca="false">(Sens!C4980+Sens!D4980)/2*Sens!D4996/1000</f>
        <v>12.9359794422418</v>
      </c>
      <c r="E4997" s="6" t="n">
        <f aca="false">(Sens!D4980+Sens!E4980)/2*Sens!E4996/1000</f>
        <v>27.8095064661409</v>
      </c>
      <c r="F4997" s="6" t="n">
        <f aca="false">(Sens!E4980+Sens!F4980)/2*Sens!F4996/1000</f>
        <v>59.1034165651511</v>
      </c>
      <c r="G4997" s="6" t="n">
        <f aca="false">(Sens!F4980+Sens!G4980)/2*Sens!G4996/1000</f>
        <v>103.451498789198</v>
      </c>
      <c r="H4997" s="6" t="n">
        <f aca="false">(Sens!G4980+Sens!H4980)/2*Sens!H4996/1000</f>
        <v>153.816719989035</v>
      </c>
      <c r="I4997" s="6" t="n">
        <f aca="false">(Sens!H4980+Sens!I4980)/2*Sens!I4996/1000</f>
        <v>191.451667077083</v>
      </c>
      <c r="J4997" s="6" t="n">
        <f aca="false">(Sens!I4980+Sens!J4980)/2*Sens!J4996/1000</f>
        <v>217.844961464314</v>
      </c>
      <c r="K4997" s="6" t="n">
        <f aca="false">(Sens!J4980+Sens!K4980)/2*Sens!K4996/1000</f>
        <v>232.780649448914</v>
      </c>
      <c r="L4997" s="12" t="s">
        <v>981</v>
      </c>
    </row>
    <row r="4998" customFormat="false" ht="17.15" hidden="false" customHeight="false" outlineLevel="0" collapsed="false">
      <c r="A4998" s="1" t="s">
        <v>982</v>
      </c>
      <c r="B4998" s="0" t="s">
        <v>403</v>
      </c>
      <c r="C4998" s="15" t="n">
        <f aca="false">(Sens!C4988*tk_opex_h100+Sens!C4989*tk_opex_gb200+Sens!C4990*tk_opex_gb300+(Sens!C4992+Sens!C4991)*tk_opex_vr200)/Sens!C4980</f>
        <v>1.88636041306092</v>
      </c>
      <c r="D4998" s="15" t="n">
        <f aca="false">(Sens!D4988*tk_opex_h100+Sens!D4989*tk_opex_gb200+Sens!D4990*tk_opex_gb300+(Sens!D4992+Sens!D4991)*tk_opex_vr200)/Sens!D4980</f>
        <v>1.88636041306092</v>
      </c>
      <c r="E4998" s="15" t="n">
        <f aca="false">(Sens!E4988*tk_opex_h100+Sens!E4989*tk_opex_gb200+Sens!E4990*tk_opex_gb300+(Sens!E4992+Sens!E4991)*tk_opex_vr200)/Sens!E4980</f>
        <v>1.88636041306092</v>
      </c>
      <c r="F4998" s="15" t="n">
        <f aca="false">(Sens!F4988*tk_opex_h100+Sens!F4989*tk_opex_gb200+Sens!F4990*tk_opex_gb300+(Sens!F4992+Sens!F4991)*tk_opex_vr200)/Sens!F4980</f>
        <v>1.95051159746876</v>
      </c>
      <c r="G4998" s="15" t="n">
        <f aca="false">(Sens!G4988*tk_opex_h100+Sens!G4989*tk_opex_gb200+Sens!G4990*tk_opex_gb300+(Sens!G4992+Sens!G4991)*tk_opex_vr200)/Sens!G4980</f>
        <v>1.98836003669956</v>
      </c>
      <c r="H4998" s="15" t="n">
        <f aca="false">(Sens!H4988*tk_opex_h100+Sens!H4989*tk_opex_gb200+Sens!H4990*tk_opex_gb300+(Sens!H4992+Sens!H4991)*tk_opex_vr200)/Sens!H4980</f>
        <v>2.01344013834343</v>
      </c>
      <c r="I4998" s="15" t="n">
        <f aca="false">(Sens!I4988*tk_opex_h100+Sens!I4989*tk_opex_gb200+Sens!I4990*tk_opex_gb300+(Sens!I4992+Sens!I4991)*tk_opex_vr200)/Sens!I4980</f>
        <v>2.0250155514817</v>
      </c>
      <c r="J4998" s="15" t="n">
        <f aca="false">(Sens!J4988*tk_opex_h100+Sens!J4989*tk_opex_gb200+Sens!J4990*tk_opex_gb300+(Sens!J4992+Sens!J4991)*tk_opex_vr200)/Sens!J4980</f>
        <v>2.03753708880915</v>
      </c>
      <c r="K4998" s="15" t="n">
        <f aca="false">(Sens!K4988*tk_opex_h100+Sens!K4989*tk_opex_gb200+Sens!K4990*tk_opex_gb300+(Sens!K4992+Sens!K4991)*tk_opex_vr200)/Sens!K4980</f>
        <v>2.04940349450181</v>
      </c>
      <c r="L4998" s="12" t="s">
        <v>983</v>
      </c>
    </row>
    <row r="4999" customFormat="false" ht="17.15" hidden="false" customHeight="false" outlineLevel="0" collapsed="false">
      <c r="A4999" s="0" t="s">
        <v>984</v>
      </c>
      <c r="B4999" s="0" t="s">
        <v>98</v>
      </c>
      <c r="D4999" s="6" t="n">
        <f aca="false">(Sens!C4983+Sens!D4983)/2*Sens!D4998/1000</f>
        <v>2.70378325872065</v>
      </c>
      <c r="E4999" s="6" t="n">
        <f aca="false">(Sens!D4983+Sens!E4983)/2*Sens!E4998/1000</f>
        <v>6.17783035277451</v>
      </c>
      <c r="F4999" s="6" t="n">
        <f aca="false">(Sens!E4983+Sens!F4983)/2*Sens!F4998/1000</f>
        <v>12.8742463089237</v>
      </c>
      <c r="G4999" s="6" t="n">
        <f aca="false">(Sens!F4983+Sens!G4983)/2*Sens!G4998/1000</f>
        <v>21.8182834646277</v>
      </c>
      <c r="H4999" s="6" t="n">
        <f aca="false">(Sens!G4983+Sens!H4983)/2*Sens!H4998/1000</f>
        <v>31.2430128789734</v>
      </c>
      <c r="I4999" s="6" t="n">
        <f aca="false">(Sens!H4983+Sens!I4983)/2*Sens!I4998/1000</f>
        <v>39.2839461527723</v>
      </c>
      <c r="J4999" s="6" t="n">
        <f aca="false">(Sens!I4983+Sens!J4983)/2*Sens!J4998/1000</f>
        <v>44.8041835941241</v>
      </c>
      <c r="K4999" s="6" t="n">
        <f aca="false">(Sens!J4983+Sens!K4983)/2*Sens!K4998/1000</f>
        <v>47.8185039310321</v>
      </c>
    </row>
    <row r="5000" customFormat="false" ht="17.15" hidden="false" customHeight="false" outlineLevel="0" collapsed="false">
      <c r="A5000" s="0" t="s">
        <v>985</v>
      </c>
      <c r="B5000" s="0" t="s">
        <v>98</v>
      </c>
      <c r="D5000" s="6" t="n">
        <f aca="false">(Sens!C4981+Sens!D4981)/2*rent_mw/1000</f>
        <v>2.44475</v>
      </c>
      <c r="E5000" s="6" t="n">
        <f aca="false">(Sens!D4981+Sens!E4981)/2*rent_mw/1000</f>
        <v>4.22275</v>
      </c>
      <c r="F5000" s="6" t="n">
        <f aca="false">(Sens!E4981+Sens!F4981)/2*rent_mw/1000</f>
        <v>5.80517</v>
      </c>
      <c r="G5000" s="6" t="n">
        <f aca="false">(Sens!F4981+Sens!G4981)/2*rent_mw/1000</f>
        <v>6.72084</v>
      </c>
      <c r="H5000" s="6" t="n">
        <f aca="false">(Sens!G4981+Sens!H4981)/2*rent_mw/1000</f>
        <v>6.72084</v>
      </c>
      <c r="I5000" s="6" t="n">
        <f aca="false">(Sens!H4981+Sens!I4981)/2*rent_mw/1000</f>
        <v>6.72084</v>
      </c>
      <c r="J5000" s="6" t="n">
        <f aca="false">(Sens!I4981+Sens!J4981)/2*rent_mw/1000</f>
        <v>6.72084</v>
      </c>
      <c r="K5000" s="6" t="n">
        <f aca="false">(Sens!J4981+Sens!K4981)/2*rent_mw/1000</f>
        <v>6.72084</v>
      </c>
    </row>
    <row r="5001" customFormat="false" ht="17.15" hidden="false" customHeight="false" outlineLevel="0" collapsed="false">
      <c r="A5001" s="0" t="s">
        <v>986</v>
      </c>
      <c r="B5001" s="0" t="s">
        <v>98</v>
      </c>
      <c r="D5001" s="6" t="n">
        <f aca="false">(Sens!C4983+Sens!D4983)/2*(1-self_build)*fac_rent/1000</f>
        <v>0.853242375631075</v>
      </c>
      <c r="E5001" s="6" t="n">
        <f aca="false">(Sens!D4983+Sens!E4983)/2*(1-self_build)*fac_rent/1000</f>
        <v>1.94955961408728</v>
      </c>
      <c r="F5001" s="6" t="n">
        <f aca="false">(Sens!E4983+Sens!F4983)/2*(1-self_build)*fac_rent/1000</f>
        <v>3.92914894476356</v>
      </c>
      <c r="G5001" s="6" t="n">
        <f aca="false">(Sens!F4983+Sens!G4983)/2*(1-self_build)*fac_rent/1000</f>
        <v>6.53206908578159</v>
      </c>
      <c r="H5001" s="6" t="n">
        <f aca="false">(Sens!G4983+Sens!H4983)/2*(1-self_build)*fac_rent/1000</f>
        <v>9.23717988341591</v>
      </c>
      <c r="I5001" s="6" t="n">
        <f aca="false">(Sens!H4983+Sens!I4983)/2*(1-self_build)*fac_rent/1000</f>
        <v>11.5481378557393</v>
      </c>
      <c r="J5001" s="6" t="n">
        <f aca="false">(Sens!I4983+Sens!J4983)/2*(1-self_build)*fac_rent/1000</f>
        <v>13.0899582289108</v>
      </c>
      <c r="K5001" s="6" t="n">
        <f aca="false">(Sens!J4983+Sens!K4983)/2*(1-self_build)*fac_rent/1000</f>
        <v>13.8897275626556</v>
      </c>
      <c r="L5001" s="12" t="s">
        <v>987</v>
      </c>
    </row>
    <row r="5002" customFormat="false" ht="17.15" hidden="false" customHeight="false" outlineLevel="0" collapsed="false">
      <c r="A5002" s="1" t="s">
        <v>988</v>
      </c>
      <c r="B5002" s="0" t="s">
        <v>168</v>
      </c>
      <c r="D5002" s="7" t="n">
        <f aca="false">(Sens!C4982+Sens!D4982)/(Sens!C4983+Sens!D4983)</f>
        <v>0.6</v>
      </c>
      <c r="E5002" s="7" t="n">
        <f aca="false">(Sens!D4982+Sens!E4982)/(Sens!D4983+Sens!E4983)</f>
        <v>0.6</v>
      </c>
      <c r="F5002" s="7" t="n">
        <f aca="false">(Sens!E4982+Sens!F4982)/(Sens!E4983+Sens!F4983)</f>
        <v>0.6</v>
      </c>
      <c r="G5002" s="7" t="n">
        <f aca="false">(Sens!F4982+Sens!G4982)/(Sens!F4983+Sens!G4983)</f>
        <v>0.6</v>
      </c>
      <c r="H5002" s="7" t="n">
        <f aca="false">(Sens!G4982+Sens!H4982)/(Sens!G4983+Sens!H4983)</f>
        <v>0.6</v>
      </c>
      <c r="I5002" s="7" t="n">
        <f aca="false">(Sens!H4982+Sens!I4982)/(Sens!H4983+Sens!I4983)</f>
        <v>0.6</v>
      </c>
      <c r="J5002" s="7" t="n">
        <f aca="false">(Sens!I4982+Sens!J4982)/(Sens!I4983+Sens!J4983)</f>
        <v>0.6</v>
      </c>
      <c r="K5002" s="7" t="n">
        <f aca="false">(Sens!J4982+Sens!K4982)/(Sens!J4983+Sens!K4983)</f>
        <v>0.6</v>
      </c>
    </row>
    <row r="5003" customFormat="false" ht="17.15" hidden="false" customHeight="false" outlineLevel="0" collapsed="false">
      <c r="A5003" s="0" t="s">
        <v>989</v>
      </c>
      <c r="B5003" s="0" t="s">
        <v>98</v>
      </c>
      <c r="D5003" s="6" t="n">
        <f aca="false">Sens!D4997-Sens!D5002*(Sens!D4999+Sens!D5001)-Sens!D5000</f>
        <v>8.35701406163072</v>
      </c>
      <c r="E5003" s="6" t="n">
        <f aca="false">Sens!E4997-Sens!E5002*(Sens!E4999+Sens!E5001)-Sens!E5000</f>
        <v>18.7103224860238</v>
      </c>
      <c r="F5003" s="6" t="n">
        <f aca="false">Sens!F4997-Sens!F5002*(Sens!F4999+Sens!F5001)-Sens!F5000</f>
        <v>43.2162094129388</v>
      </c>
      <c r="G5003" s="6" t="n">
        <f aca="false">Sens!G4997-Sens!G5002*(Sens!G4999+Sens!G5001)-Sens!G5000</f>
        <v>79.7204472589529</v>
      </c>
      <c r="H5003" s="6" t="n">
        <f aca="false">Sens!H4997-Sens!H5002*(Sens!H4999+Sens!H5001)-Sens!H5000</f>
        <v>122.807764331602</v>
      </c>
      <c r="I5003" s="6" t="n">
        <f aca="false">Sens!I4997-Sens!I5002*(Sens!I4999+Sens!I5001)-Sens!I5000</f>
        <v>154.231576671976</v>
      </c>
      <c r="J5003" s="6" t="n">
        <f aca="false">Sens!J4997-Sens!J5002*(Sens!J4999+Sens!J5001)-Sens!J5000</f>
        <v>176.387636370493</v>
      </c>
      <c r="K5003" s="6" t="n">
        <f aca="false">Sens!K4997-Sens!K5002*(Sens!K4999+Sens!K5001)-Sens!K5000</f>
        <v>189.034870552701</v>
      </c>
    </row>
    <row r="5004" customFormat="false" ht="17.15" hidden="false" customHeight="false" outlineLevel="0" collapsed="false">
      <c r="A5004" s="1" t="s">
        <v>990</v>
      </c>
      <c r="B5004" s="0" t="s">
        <v>98</v>
      </c>
      <c r="D5004" s="6" t="n">
        <f aca="false">(1-Sens!D5002)*(Sens!D4999+Sens!D5001)</f>
        <v>1.42281025374069</v>
      </c>
      <c r="E5004" s="6" t="n">
        <f aca="false">(1-Sens!E5002)*(Sens!E4999+Sens!E5001)</f>
        <v>3.25095598674472</v>
      </c>
      <c r="F5004" s="6" t="n">
        <f aca="false">(1-Sens!F5002)*(Sens!F4999+Sens!F5001)</f>
        <v>6.72135810147489</v>
      </c>
      <c r="G5004" s="6" t="n">
        <f aca="false">(1-Sens!G5002)*(Sens!G4999+Sens!G5001)</f>
        <v>11.3401410201637</v>
      </c>
      <c r="H5004" s="6" t="n">
        <f aca="false">(1-Sens!H5002)*(Sens!H4999+Sens!H5001)</f>
        <v>16.1920771049557</v>
      </c>
      <c r="I5004" s="6" t="n">
        <f aca="false">(1-Sens!I5002)*(Sens!I4999+Sens!I5001)</f>
        <v>20.3328336034046</v>
      </c>
      <c r="J5004" s="6" t="n">
        <f aca="false">(1-Sens!J5002)*(Sens!J4999+Sens!J5001)</f>
        <v>23.157656729214</v>
      </c>
      <c r="K5004" s="6" t="n">
        <f aca="false">(1-Sens!K5002)*(Sens!K4999+Sens!K5001)</f>
        <v>24.6832925974751</v>
      </c>
    </row>
    <row r="5005" customFormat="false" ht="17.15" hidden="false" customHeight="false" outlineLevel="0" collapsed="false">
      <c r="A5005" s="1" t="s">
        <v>991</v>
      </c>
      <c r="B5005" s="0" t="s">
        <v>417</v>
      </c>
      <c r="C5005" s="8" t="n">
        <f aca="false">cxit_open</f>
        <v>27.5918995</v>
      </c>
      <c r="D5005" s="8" t="n">
        <f aca="false">cxit_open</f>
        <v>27.5918995</v>
      </c>
      <c r="E5005" s="8" t="n">
        <f aca="false">cxit_open</f>
        <v>27.5918995</v>
      </c>
      <c r="F5005" s="8" t="n">
        <f aca="false">((a_g3_27-nonnv*a_mai)*tk_cxit_gb300+nonnv*a_mai*nv_hold_mai*tk_cxit_vr200+(1-a_g3_27)*tk_cxit_vr200)</f>
        <v>32.4975576</v>
      </c>
      <c r="G5005" s="8" t="n">
        <f aca="false">((a_g3_28-nonnv*a_mai)*tk_cxit_gb300+nonnv*a_mai*nv_hold_mai*tk_cxit_vr200+(1-a_g3_28)*tk_cxit_vr200)</f>
        <v>34.6372088</v>
      </c>
      <c r="H5005" s="8" t="n">
        <f aca="false">((a_g3_29-nonnv*a_mai)*tk_cxit_gb300+nonnv*a_mai*nv_hold_mai*tk_cxit_vr200+(1-a_g3_29)*tk_cxit_vr200)</f>
        <v>35.7070344</v>
      </c>
      <c r="I5005" s="8" t="n">
        <f aca="false">((a_g3_29-nonnv*a_mai)*tk_cxit_gb300+nonnv*a_mai*nv_hold_mai*tk_cxit_vr200+(1-a_g3_29)*tk_cxit_vr200)</f>
        <v>35.7070344</v>
      </c>
      <c r="J5005" s="8" t="n">
        <f aca="false">((a_g3_29-nonnv*a_mai)*tk_cxit_gb300+nonnv*a_mai*nv_hold_mai*tk_cxit_vr200+(1-a_g3_29)*tk_cxit_vr200)</f>
        <v>35.7070344</v>
      </c>
      <c r="K5005" s="8" t="n">
        <f aca="false">((a_g3_29-nonnv*a_mai)*tk_cxit_gb300+nonnv*a_mai*nv_hold_mai*tk_cxit_vr200+(1-a_g3_29)*tk_cxit_vr200)</f>
        <v>35.7070344</v>
      </c>
      <c r="L5005" s="12" t="s">
        <v>992</v>
      </c>
    </row>
    <row r="5006" customFormat="false" ht="17.15" hidden="false" customHeight="false" outlineLevel="0" collapsed="false">
      <c r="A5006" s="0" t="s">
        <v>993</v>
      </c>
      <c r="B5006" s="0" t="s">
        <v>459</v>
      </c>
      <c r="F5006" s="30" t="n">
        <f aca="false">Sens!C4985*IF(Sens!F4978-Sens!C4978=life_it_hi,1,0)+Sens!D4985*IF(Sens!F4978-Sens!D4978=life_it_hi,1,0)+Sens!E4985*IF(Sens!F4978-Sens!E4978=life_it_hi,1,0)</f>
        <v>0</v>
      </c>
      <c r="G5006" s="30" t="n">
        <f aca="false">Sens!C4985*IF(Sens!G4978-Sens!C4978=life_it_hi,1,0)+Sens!D4985*IF(Sens!G4978-Sens!D4978=life_it_hi,1,0)+Sens!E4985*IF(Sens!G4978-Sens!E4978=life_it_hi,1,0)+Sens!F4985*IF(Sens!G4978-Sens!F4978=life_it_hi,1,0)</f>
        <v>0</v>
      </c>
      <c r="H5006" s="30" t="n">
        <f aca="false">Sens!C4985*IF(Sens!H4978-Sens!C4978=life_it_hi,1,0)+Sens!D4985*IF(Sens!H4978-Sens!D4978=life_it_hi,1,0)+Sens!E4985*IF(Sens!H4978-Sens!E4978=life_it_hi,1,0)+Sens!F4985*IF(Sens!H4978-Sens!F4978=life_it_hi,1,0)+Sens!G4985*IF(Sens!H4978-Sens!G4978=life_it_hi,1,0)</f>
        <v>0</v>
      </c>
      <c r="I5006" s="30" t="n">
        <f aca="false">Sens!C4985*IF(Sens!I4978-Sens!C4978=life_it_hi,1,0)+Sens!D4985*IF(Sens!I4978-Sens!D4978=life_it_hi,1,0)+Sens!E4985*IF(Sens!I4978-Sens!E4978=life_it_hi,1,0)+Sens!F4985*IF(Sens!I4978-Sens!F4978=life_it_hi,1,0)+Sens!G4985*IF(Sens!I4978-Sens!G4978=life_it_hi,1,0)+Sens!H4985*IF(Sens!I4978-Sens!H4978=life_it_hi,1,0)</f>
        <v>0</v>
      </c>
      <c r="J5006" s="30" t="n">
        <f aca="false">Sens!C4985*IF(Sens!J4978-Sens!C4978=life_it_hi,1,0)+Sens!D4985*IF(Sens!J4978-Sens!D4978=life_it_hi,1,0)+Sens!E4985*IF(Sens!J4978-Sens!E4978=life_it_hi,1,0)+Sens!F4985*IF(Sens!J4978-Sens!F4978=life_it_hi,1,0)+Sens!G4985*IF(Sens!J4978-Sens!G4978=life_it_hi,1,0)+Sens!H4985*IF(Sens!J4978-Sens!H4978=life_it_hi,1,0)+Sens!I4985*IF(Sens!J4978-Sens!I4978=life_it_hi,1,0)</f>
        <v>816.666666666667</v>
      </c>
      <c r="K5006" s="30" t="n">
        <f aca="false">Sens!C4985*IF(Sens!K4978-Sens!C4978=life_it_hi,1,0)+Sens!D4985*IF(Sens!K4978-Sens!D4978=life_it_hi,1,0)+Sens!E4985*IF(Sens!K4978-Sens!E4978=life_it_hi,1,0)+Sens!F4985*IF(Sens!K4978-Sens!F4978=life_it_hi,1,0)+Sens!G4985*IF(Sens!K4978-Sens!G4978=life_it_hi,1,0)+Sens!H4985*IF(Sens!K4978-Sens!H4978=life_it_hi,1,0)+Sens!I4985*IF(Sens!K4978-Sens!I4978=life_it_hi,1,0)+Sens!J4985*IF(Sens!K4978-Sens!J4978=life_it_hi,1,0)</f>
        <v>1233.33333333333</v>
      </c>
      <c r="L5006" s="1" t="s">
        <v>994</v>
      </c>
    </row>
    <row r="5007" customFormat="false" ht="17.15" hidden="false" customHeight="false" outlineLevel="0" collapsed="false">
      <c r="A5007" s="0" t="s">
        <v>995</v>
      </c>
      <c r="B5007" s="0" t="s">
        <v>98</v>
      </c>
      <c r="C5007" s="6" t="n">
        <f aca="false">Sens!C4985*Sens!C5005/1000</f>
        <v>22.5333845916667</v>
      </c>
      <c r="D5007" s="6" t="n">
        <f aca="false">Sens!D4985*Sens!D5005/1000</f>
        <v>34.0300093833333</v>
      </c>
      <c r="E5007" s="6" t="n">
        <f aca="false">Sens!E4985*Sens!E5005/1000</f>
        <v>67.600153775</v>
      </c>
      <c r="F5007" s="6" t="n">
        <f aca="false">(Sens!F4985+Sens!F5006)*Sens!F5005/1000</f>
        <v>136.51872432512</v>
      </c>
      <c r="G5007" s="6" t="n">
        <f aca="false">(Sens!G4985+Sens!G5006)*Sens!G5005/1000</f>
        <v>157.399275932048</v>
      </c>
      <c r="H5007" s="6" t="n">
        <f aca="false">(Sens!H4985+Sens!H5006)*Sens!H5005/1000</f>
        <v>162.260804347512</v>
      </c>
      <c r="I5007" s="6" t="n">
        <f aca="false">(Sens!I4985+Sens!I5006)*Sens!I5005/1000</f>
        <v>114.975824725434</v>
      </c>
      <c r="J5007" s="6" t="n">
        <f aca="false">(Sens!J4985+Sens!J5006)*Sens!J5005/1000</f>
        <v>99.1511063578636</v>
      </c>
      <c r="K5007" s="6" t="n">
        <f aca="false">(Sens!K4985+Sens!K5006)*Sens!K5005/1000</f>
        <v>69.993526830975</v>
      </c>
    </row>
    <row r="5008" customFormat="false" ht="17.15" hidden="false" customHeight="false" outlineLevel="0" collapsed="false">
      <c r="A5008" s="0" t="s">
        <v>996</v>
      </c>
      <c r="B5008" s="0" t="s">
        <v>98</v>
      </c>
      <c r="C5008" s="6" t="n">
        <f aca="false">Sens!C4985*self_build*tk_cxfac/1000</f>
        <v>6.2083</v>
      </c>
      <c r="D5008" s="6" t="n">
        <f aca="false">Sens!D4985*self_build*tk_cxfac/1000</f>
        <v>9.3758</v>
      </c>
      <c r="E5008" s="6" t="n">
        <f aca="false">Sens!E4985*self_build*tk_cxfac/1000</f>
        <v>18.6249</v>
      </c>
      <c r="F5008" s="6" t="n">
        <f aca="false">Sens!F4985*self_build*tk_cxfac/1000</f>
        <v>31.935179717</v>
      </c>
      <c r="G5008" s="6" t="n">
        <f aca="false">Sens!G4985*self_build*tk_cxfac/1000</f>
        <v>34.545199717</v>
      </c>
      <c r="H5008" s="6" t="n">
        <f aca="false">Sens!H4985*self_build*tk_cxfac/1000</f>
        <v>34.545199717</v>
      </c>
      <c r="I5008" s="6" t="n">
        <f aca="false">Sens!I4985*self_build*tk_cxfac/1000</f>
        <v>24.4782641361767</v>
      </c>
      <c r="J5008" s="6" t="n">
        <f aca="false">Sens!J4985*self_build*tk_cxfac/1000</f>
        <v>14.9008938380769</v>
      </c>
      <c r="K5008" s="6" t="n">
        <f aca="false">Sens!K4985*self_build*tk_cxfac/1000</f>
        <v>5.52576771375761</v>
      </c>
    </row>
    <row r="5009" customFormat="false" ht="17.15" hidden="false" customHeight="false" outlineLevel="0" collapsed="false">
      <c r="A5009" s="0" t="s">
        <v>997</v>
      </c>
      <c r="B5009" s="0" t="s">
        <v>98</v>
      </c>
      <c r="F5009" s="15" t="n">
        <f aca="false">capex_floor27-Sens!F5007-Sens!F5008-Sens!F5105</f>
        <v>0.0475774452575593</v>
      </c>
      <c r="L5009" s="12" t="s">
        <v>998</v>
      </c>
    </row>
    <row r="5010" customFormat="false" ht="17.15" hidden="false" customHeight="false" outlineLevel="0" collapsed="false">
      <c r="A5010" s="0" t="s">
        <v>999</v>
      </c>
      <c r="B5010" s="0" t="s">
        <v>98</v>
      </c>
      <c r="F5010" s="6" t="n">
        <f aca="false">MAX(0,Sens!F5009)</f>
        <v>0.0475774452575593</v>
      </c>
    </row>
    <row r="5011" customFormat="false" ht="17.15" hidden="false" customHeight="false" outlineLevel="0" collapsed="false">
      <c r="A5011" s="0" t="s">
        <v>1000</v>
      </c>
      <c r="B5011" s="0" t="s">
        <v>98</v>
      </c>
      <c r="C5011" s="6" t="n">
        <f aca="false">Sens!C5007</f>
        <v>22.5333845916667</v>
      </c>
      <c r="D5011" s="6" t="n">
        <f aca="false">Sens!D5007</f>
        <v>34.0300093833333</v>
      </c>
      <c r="E5011" s="6" t="n">
        <f aca="false">Sens!E5007</f>
        <v>67.600153775</v>
      </c>
      <c r="F5011" s="6" t="n">
        <f aca="false">Sens!F5007</f>
        <v>136.51872432512</v>
      </c>
      <c r="G5011" s="6" t="n">
        <f aca="false">Sens!G5007</f>
        <v>157.399275932048</v>
      </c>
      <c r="H5011" s="6" t="n">
        <f aca="false">Sens!H5007</f>
        <v>162.260804347512</v>
      </c>
      <c r="I5011" s="6" t="n">
        <f aca="false">Sens!I5007</f>
        <v>114.975824725434</v>
      </c>
      <c r="J5011" s="6" t="n">
        <f aca="false">Sens!J5007</f>
        <v>99.1511063578636</v>
      </c>
      <c r="K5011" s="6" t="n">
        <f aca="false">Sens!K5007</f>
        <v>69.993526830975</v>
      </c>
    </row>
    <row r="5012" customFormat="false" ht="17.15" hidden="false" customHeight="false" outlineLevel="0" collapsed="false">
      <c r="A5012" s="0" t="s">
        <v>1001</v>
      </c>
      <c r="B5012" s="0" t="s">
        <v>98</v>
      </c>
      <c r="C5012" s="6" t="n">
        <f aca="false">Sens!C5011+Sens!C5008</f>
        <v>28.7416845916667</v>
      </c>
      <c r="D5012" s="6" t="n">
        <f aca="false">Sens!D5011+Sens!D5008</f>
        <v>43.4058093833333</v>
      </c>
      <c r="E5012" s="6" t="n">
        <f aca="false">Sens!E5011+Sens!E5008</f>
        <v>86.225053775</v>
      </c>
      <c r="F5012" s="6" t="n">
        <f aca="false">Sens!F5011+Sens!F5008</f>
        <v>168.45390404212</v>
      </c>
      <c r="G5012" s="6" t="n">
        <f aca="false">Sens!G5011+Sens!G5008</f>
        <v>191.944475649048</v>
      </c>
      <c r="H5012" s="6" t="n">
        <f aca="false">Sens!H5011+Sens!H5008</f>
        <v>196.806004064512</v>
      </c>
      <c r="I5012" s="6" t="n">
        <f aca="false">Sens!I5011+Sens!I5008</f>
        <v>139.45408886161</v>
      </c>
      <c r="J5012" s="6" t="n">
        <f aca="false">Sens!J5011+Sens!J5008</f>
        <v>114.05200019594</v>
      </c>
      <c r="K5012" s="6" t="n">
        <f aca="false">Sens!K5011+Sens!K5008</f>
        <v>75.5192945447327</v>
      </c>
      <c r="L5012" s="12" t="s">
        <v>1002</v>
      </c>
    </row>
    <row r="5013" customFormat="false" ht="17.15" hidden="false" customHeight="false" outlineLevel="0" collapsed="false">
      <c r="A5013" s="0" t="s">
        <v>1003</v>
      </c>
      <c r="B5013" s="0" t="s">
        <v>98</v>
      </c>
      <c r="E5013" s="6" t="n">
        <f aca="false">(Sens!C5011*IF(2&lt;life_it_hi,1,IF(2=life_it_hi,0.5,0))+Sens!D5011*IF(1&lt;life_it_hi,1,IF(1=life_it_hi,0.5,0))+Sens!E5011*0.5)/life_it_hi</f>
        <v>12.9090672660714</v>
      </c>
      <c r="F5013" s="6" t="n">
        <f aca="false">(Sens!C5011*IF(3&lt;life_it_hi,1,IF(3=life_it_hi,0.5,0))+Sens!D5011*IF(2&lt;life_it_hi,1,IF(2=life_it_hi,0.5,0))+Sens!E5011*IF(1&lt;life_it_hi,1,IF(1=life_it_hi,0.5,0))+Sens!F5011*0.5)/life_it_hi</f>
        <v>27.4889871303657</v>
      </c>
      <c r="G5013" s="6" t="n">
        <f aca="false">(Sens!C5011*IF(4&lt;life_it_hi,1,IF(4=life_it_hi,0.5,0))+Sens!D5011*IF(3&lt;life_it_hi,1,IF(3=life_it_hi,0.5,0))+Sens!E5011*IF(2&lt;life_it_hi,1,IF(2=life_it_hi,0.5,0))+Sens!F5011*IF(1&lt;life_it_hi,1,IF(1=life_it_hi,0.5,0))+Sens!G5011*0.5)/life_it_hi</f>
        <v>48.4831300058777</v>
      </c>
      <c r="H5013" s="6" t="n">
        <f aca="false">(Sens!C5011*IF(5&lt;life_it_hi,1,IF(5=life_it_hi,0.5,0))+Sens!D5011*IF(4&lt;life_it_hi,1,IF(4=life_it_hi,0.5,0))+Sens!E5011*IF(3&lt;life_it_hi,1,IF(3=life_it_hi,0.5,0))+Sens!F5011*IF(2&lt;life_it_hi,1,IF(2=life_it_hi,0.5,0))+Sens!G5011*IF(1&lt;life_it_hi,1,IF(1=life_it_hi,0.5,0))+Sens!H5011*0.5)/life_it_hi</f>
        <v>71.3159928829891</v>
      </c>
      <c r="I5013" s="6" t="n">
        <f aca="false">(Sens!C5011*IF(6&lt;life_it_hi,1,IF(6=life_it_hi,0.5,0))+Sens!D5011*IF(5&lt;life_it_hi,1,IF(5=life_it_hi,0.5,0))+Sens!E5011*IF(4&lt;life_it_hi,1,IF(4=life_it_hi,0.5,0))+Sens!F5011*IF(3&lt;life_it_hi,1,IF(3=life_it_hi,0.5,0))+Sens!G5011*IF(2&lt;life_it_hi,1,IF(2=life_it_hi,0.5,0))+Sens!H5011*IF(1&lt;life_it_hi,1,IF(1=life_it_hi,0.5,0))+Sens!I5011*0.5)/life_it_hi</f>
        <v>91.1186092453424</v>
      </c>
      <c r="J5013" s="6" t="n">
        <f aca="false">(Sens!C5011*IF(7&lt;life_it_hi,1,IF(7=life_it_hi,0.5,0))+Sens!D5011*IF(6&lt;life_it_hi,1,IF(6=life_it_hi,0.5,0))+Sens!E5011*IF(5&lt;life_it_hi,1,IF(5=life_it_hi,0.5,0))+Sens!F5011*IF(4&lt;life_it_hi,1,IF(4=life_it_hi,0.5,0))+Sens!G5011*IF(3&lt;life_it_hi,1,IF(3=life_it_hi,0.5,0))+Sens!H5011*IF(2&lt;life_it_hi,1,IF(2=life_it_hi,0.5,0))+Sens!I5011*IF(1&lt;life_it_hi,1,IF(1=life_it_hi,0.5,0))+Sens!J5011*0.5)/life_it_hi</f>
        <v>104.803862566173</v>
      </c>
      <c r="K5013" s="6" t="n">
        <f aca="false">(Sens!C5011*IF(8&lt;life_it_hi,1,IF(8=life_it_hi,0.5,0))+Sens!D5011*IF(7&lt;life_it_hi,1,IF(7=life_it_hi,0.5,0))+Sens!E5011*IF(6&lt;life_it_hi,1,IF(6=life_it_hi,0.5,0))+Sens!F5011*IF(5&lt;life_it_hi,1,IF(5=life_it_hi,0.5,0))+Sens!G5011*IF(4&lt;life_it_hi,1,IF(4=life_it_hi,0.5,0))+Sens!H5011*IF(3&lt;life_it_hi,1,IF(3=life_it_hi,0.5,0))+Sens!I5011*IF(2&lt;life_it_hi,1,IF(2=life_it_hi,0.5,0))+Sens!J5011*IF(1&lt;life_it_hi,1,IF(1=life_it_hi,0.5,0))+Sens!K5011*0.5)/life_it_hi</f>
        <v>112.845379652876</v>
      </c>
    </row>
    <row r="5014" customFormat="false" ht="17.15" hidden="false" customHeight="false" outlineLevel="0" collapsed="false">
      <c r="A5014" s="0" t="s">
        <v>1004</v>
      </c>
      <c r="B5014" s="0" t="s">
        <v>98</v>
      </c>
      <c r="E5014" s="6" t="n">
        <f aca="false">(Sens!C5008*IF(2&lt;life_fac,1,IF(2=life_fac,0.5,0))+Sens!D5008*IF(1&lt;life_fac,1,IF(1=life_fac,0.5,0))+Sens!E5008*0.5)/life_fac</f>
        <v>1.2448275</v>
      </c>
      <c r="F5014" s="6" t="n">
        <f aca="false">(Sens!C5008*IF(3&lt;life_fac,1,IF(3=life_fac,0.5,0))+Sens!D5008*IF(2&lt;life_fac,1,IF(2=life_fac,0.5,0))+Sens!E5008*IF(1&lt;life_fac,1,IF(1=life_fac,0.5,0))+Sens!F5008*0.5)/life_fac</f>
        <v>2.508829492925</v>
      </c>
      <c r="G5014" s="6" t="n">
        <f aca="false">(Sens!C5008*IF(4&lt;life_fac,1,IF(4=life_fac,0.5,0))+Sens!D5008*IF(3&lt;life_fac,1,IF(3=life_fac,0.5,0))+Sens!E5008*IF(2&lt;life_fac,1,IF(2=life_fac,0.5,0))+Sens!F5008*IF(1&lt;life_fac,1,IF(1=life_fac,0.5,0))+Sens!G5008*0.5)/life_fac</f>
        <v>4.170838978775</v>
      </c>
      <c r="H5014" s="6" t="n">
        <f aca="false">(Sens!C5008*IF(5&lt;life_fac,1,IF(5=life_fac,0.5,0))+Sens!D5008*IF(4&lt;life_fac,1,IF(4=life_fac,0.5,0))+Sens!E5008*IF(3&lt;life_fac,1,IF(3=life_fac,0.5,0))+Sens!F5008*IF(2&lt;life_fac,1,IF(2=life_fac,0.5,0))+Sens!G5008*IF(1&lt;life_fac,1,IF(1=life_fac,0.5,0))+Sens!H5008*0.5)/life_fac</f>
        <v>5.898098964625</v>
      </c>
      <c r="I5014" s="6" t="n">
        <f aca="false">(Sens!C5008*IF(6&lt;life_fac,1,IF(6=life_fac,0.5,0))+Sens!D5008*IF(5&lt;life_fac,1,IF(5=life_fac,0.5,0))+Sens!E5008*IF(4&lt;life_fac,1,IF(4=life_fac,0.5,0))+Sens!F5008*IF(3&lt;life_fac,1,IF(3=life_fac,0.5,0))+Sens!G5008*IF(2&lt;life_fac,1,IF(2=life_fac,0.5,0))+Sens!H5008*IF(1&lt;life_fac,1,IF(1=life_fac,0.5,0))+Sens!I5008*0.5)/life_fac</f>
        <v>7.37368556095442</v>
      </c>
      <c r="J5014" s="6" t="n">
        <f aca="false">(Sens!C5008*IF(7&lt;life_fac,1,IF(7=life_fac,0.5,0))+Sens!D5008*IF(6&lt;life_fac,1,IF(6=life_fac,0.5,0))+Sens!E5008*IF(5&lt;life_fac,1,IF(5=life_fac,0.5,0))+Sens!F5008*IF(4&lt;life_fac,1,IF(4=life_fac,0.5,0))+Sens!G5008*IF(3&lt;life_fac,1,IF(3=life_fac,0.5,0))+Sens!H5008*IF(2&lt;life_fac,1,IF(2=life_fac,0.5,0))+Sens!I5008*IF(1&lt;life_fac,1,IF(1=life_fac,0.5,0))+Sens!J5008*0.5)/life_fac</f>
        <v>8.35816451031075</v>
      </c>
      <c r="K5014" s="6" t="n">
        <f aca="false">(Sens!C5008*IF(8&lt;life_fac,1,IF(8=life_fac,0.5,0))+Sens!D5008*IF(7&lt;life_fac,1,IF(7=life_fac,0.5,0))+Sens!E5008*IF(6&lt;life_fac,1,IF(6=life_fac,0.5,0))+Sens!F5008*IF(5&lt;life_fac,1,IF(5=life_fac,0.5,0))+Sens!G5008*IF(4&lt;life_fac,1,IF(4=life_fac,0.5,0))+Sens!H5008*IF(3&lt;life_fac,1,IF(3=life_fac,0.5,0))+Sens!I5008*IF(2&lt;life_fac,1,IF(2=life_fac,0.5,0))+Sens!J5008*IF(1&lt;life_fac,1,IF(1=life_fac,0.5,0))+Sens!K5008*0.5)/life_fac</f>
        <v>8.86883104910662</v>
      </c>
    </row>
    <row r="5015" customFormat="false" ht="17.15" hidden="false" customHeight="false" outlineLevel="0" collapsed="false">
      <c r="A5015" s="0" t="s">
        <v>1005</v>
      </c>
      <c r="B5015" s="0" t="s">
        <v>98</v>
      </c>
      <c r="E5015" s="6" t="n">
        <f aca="false">Sens!E5013+Sens!E5014</f>
        <v>14.1538947660714</v>
      </c>
      <c r="F5015" s="6" t="n">
        <f aca="false">Sens!F5013+Sens!F5014</f>
        <v>29.9978166232907</v>
      </c>
      <c r="G5015" s="6" t="n">
        <f aca="false">Sens!G5013+Sens!G5014</f>
        <v>52.6539689846527</v>
      </c>
      <c r="H5015" s="6" t="n">
        <f aca="false">Sens!H5013+Sens!H5014</f>
        <v>77.2140918476141</v>
      </c>
      <c r="I5015" s="6" t="n">
        <f aca="false">Sens!I5013+Sens!I5014</f>
        <v>98.4922948062968</v>
      </c>
      <c r="J5015" s="6" t="n">
        <f aca="false">Sens!J5013+Sens!J5014</f>
        <v>113.162027076484</v>
      </c>
      <c r="K5015" s="6" t="n">
        <f aca="false">Sens!K5013+Sens!K5014</f>
        <v>121.714210701983</v>
      </c>
    </row>
    <row r="5016" customFormat="false" ht="17.15" hidden="false" customHeight="false" outlineLevel="0" collapsed="false">
      <c r="A5016" s="0" t="s">
        <v>1006</v>
      </c>
      <c r="B5016" s="0" t="s">
        <v>98</v>
      </c>
      <c r="E5016" s="6" t="n">
        <f aca="false">Sens!E5003-Sens!E5002*Sens!E5015</f>
        <v>10.2179856263809</v>
      </c>
      <c r="F5016" s="6" t="n">
        <f aca="false">Sens!F5003-Sens!F5002*Sens!F5015</f>
        <v>25.2175194389644</v>
      </c>
      <c r="G5016" s="6" t="n">
        <f aca="false">Sens!G5003-Sens!G5002*Sens!G5015</f>
        <v>48.1280658681613</v>
      </c>
      <c r="H5016" s="6" t="n">
        <f aca="false">Sens!H5003-Sens!H5002*Sens!H5015</f>
        <v>76.4793092230331</v>
      </c>
      <c r="I5016" s="6" t="n">
        <f aca="false">Sens!I5003-Sens!I5002*Sens!I5015</f>
        <v>95.1361997881983</v>
      </c>
      <c r="J5016" s="6" t="n">
        <f aca="false">Sens!J5003-Sens!J5002*Sens!J5015</f>
        <v>108.490420124602</v>
      </c>
      <c r="K5016" s="6" t="n">
        <f aca="false">Sens!K5003-Sens!K5002*Sens!K5015</f>
        <v>116.006344131512</v>
      </c>
    </row>
    <row r="5017" customFormat="false" ht="17.15" hidden="false" customHeight="false" outlineLevel="0" collapsed="false">
      <c r="A5017" s="3" t="s">
        <v>1736</v>
      </c>
    </row>
    <row r="5018" customFormat="false" ht="15" hidden="false" customHeight="false" outlineLevel="0" collapsed="false">
      <c r="A5018" s="4" t="s">
        <v>43</v>
      </c>
      <c r="B5018" s="4" t="s">
        <v>65</v>
      </c>
      <c r="C5018" s="23" t="s">
        <v>942</v>
      </c>
      <c r="D5018" s="23" t="s">
        <v>943</v>
      </c>
      <c r="E5018" s="23" t="s">
        <v>944</v>
      </c>
      <c r="F5018" s="23" t="s">
        <v>945</v>
      </c>
      <c r="G5018" s="23" t="s">
        <v>946</v>
      </c>
      <c r="H5018" s="23" t="s">
        <v>947</v>
      </c>
      <c r="I5018" s="23" t="s">
        <v>948</v>
      </c>
      <c r="J5018" s="23" t="s">
        <v>949</v>
      </c>
      <c r="K5018" s="23" t="s">
        <v>950</v>
      </c>
      <c r="L5018" s="4" t="s">
        <v>47</v>
      </c>
    </row>
    <row r="5019" customFormat="false" ht="17.15" hidden="false" customHeight="false" outlineLevel="0" collapsed="false">
      <c r="A5019" s="0" t="s">
        <v>1025</v>
      </c>
      <c r="B5019" s="0" t="s">
        <v>98</v>
      </c>
      <c r="D5019" s="6" t="n">
        <f aca="false">Sens!D4997</f>
        <v>12.9359794422418</v>
      </c>
      <c r="E5019" s="6" t="n">
        <f aca="false">Sens!E4997</f>
        <v>27.8095064661409</v>
      </c>
      <c r="F5019" s="6" t="n">
        <f aca="false">Sens!F4997</f>
        <v>59.1034165651511</v>
      </c>
      <c r="G5019" s="6" t="n">
        <f aca="false">Sens!G4997</f>
        <v>103.451498789198</v>
      </c>
      <c r="H5019" s="6" t="n">
        <f aca="false">Sens!H4997</f>
        <v>153.816719989035</v>
      </c>
      <c r="I5019" s="6" t="n">
        <f aca="false">Sens!I4997</f>
        <v>191.451667077083</v>
      </c>
      <c r="J5019" s="6" t="n">
        <f aca="false">Sens!J4997</f>
        <v>217.844961464314</v>
      </c>
      <c r="K5019" s="6" t="n">
        <f aca="false">Sens!K4997</f>
        <v>232.780649448914</v>
      </c>
    </row>
    <row r="5020" customFormat="false" ht="17.15" hidden="false" customHeight="false" outlineLevel="0" collapsed="false">
      <c r="A5020" s="0" t="s">
        <v>1026</v>
      </c>
      <c r="B5020" s="0" t="s">
        <v>98</v>
      </c>
      <c r="D5020" s="6" t="n">
        <f aca="false">Q!L6-Sens!D5019</f>
        <v>59.6740205577583</v>
      </c>
      <c r="E5020" s="6" t="n">
        <f aca="false">Q!M6-Sens!E5019</f>
        <v>74.1284935338591</v>
      </c>
      <c r="F5020" s="6" t="n">
        <f aca="false">Q!$I$6+(Sens!F5019+Sens!E5020*(1+Sens!F5021))*(1-Q!$E$6/Q!M6)-Sens!F5019</f>
        <v>90.4866018070994</v>
      </c>
      <c r="G5020" s="6" t="n">
        <f aca="false">Sens!F5020*(1+Sens!G5021)</f>
        <v>107.511588557154</v>
      </c>
      <c r="H5020" s="6" t="n">
        <f aca="false">Sens!G5020*(1+Sens!H5021)</f>
        <v>124.832989325489</v>
      </c>
      <c r="I5020" s="6" t="n">
        <f aca="false">Sens!H5020*(1+Sens!I5021)</f>
        <v>141.56992589148</v>
      </c>
      <c r="J5020" s="6" t="n">
        <f aca="false">Sens!I5020*(1+Sens!J5021)</f>
        <v>156.723190479428</v>
      </c>
      <c r="K5020" s="6" t="n">
        <f aca="false">Sens!J5020*(1+Sens!K5021)</f>
        <v>169.261045717783</v>
      </c>
      <c r="L5020" s="12" t="s">
        <v>1027</v>
      </c>
    </row>
    <row r="5021" customFormat="false" ht="15" hidden="false" customHeight="false" outlineLevel="0" collapsed="false">
      <c r="A5021" s="1" t="s">
        <v>1028</v>
      </c>
      <c r="B5021" s="0" t="s">
        <v>168</v>
      </c>
      <c r="E5021" s="7" t="n">
        <f aca="false">Sens!E5020/Sens!D5020-1</f>
        <v>0.242223883039864</v>
      </c>
      <c r="F5021" s="7" t="n">
        <f aca="false">Sens!$E$5021+(glt_azo-Sens!$E$5021)*MIN(1,(Sens!F4978-base_fy)/n_conv)</f>
        <v>0.215186569199887</v>
      </c>
      <c r="G5021" s="7" t="n">
        <f aca="false">Sens!$E$5021+(glt_azo-Sens!$E$5021)*MIN(1,(Sens!G4978-base_fy)/n_conv)</f>
        <v>0.18814925535991</v>
      </c>
      <c r="H5021" s="7" t="n">
        <f aca="false">Sens!$E$5021+(glt_azo-Sens!$E$5021)*MIN(1,(Sens!H4978-base_fy)/n_conv)</f>
        <v>0.161111941519932</v>
      </c>
      <c r="I5021" s="7" t="n">
        <f aca="false">Sens!$E$5021+(glt_azo-Sens!$E$5021)*MIN(1,(Sens!I4978-base_fy)/n_conv)</f>
        <v>0.134074627679955</v>
      </c>
      <c r="J5021" s="7" t="n">
        <f aca="false">Sens!$E$5021+(glt_azo-Sens!$E$5021)*MIN(1,(Sens!J4978-base_fy)/n_conv)</f>
        <v>0.107037313839977</v>
      </c>
      <c r="K5021" s="7" t="n">
        <f aca="false">Sens!$E$5021+(glt_azo-Sens!$E$5021)*MIN(1,(Sens!K4978-base_fy)/n_conv)</f>
        <v>0.08</v>
      </c>
    </row>
    <row r="5022" customFormat="false" ht="15" hidden="false" customHeight="false" outlineLevel="0" collapsed="false">
      <c r="A5022" s="0" t="s">
        <v>1029</v>
      </c>
      <c r="B5022" s="0" t="s">
        <v>98</v>
      </c>
      <c r="D5022" s="6" t="n">
        <f aca="false">Sens!D5019+Sens!D5020</f>
        <v>72.61</v>
      </c>
      <c r="E5022" s="6" t="n">
        <f aca="false">Sens!E5019+Sens!E5020</f>
        <v>101.938</v>
      </c>
      <c r="F5022" s="6" t="n">
        <f aca="false">Sens!F5019+Sens!F5020</f>
        <v>149.59001837225</v>
      </c>
      <c r="G5022" s="6" t="n">
        <f aca="false">Sens!G5019+Sens!G5020</f>
        <v>210.963087346352</v>
      </c>
      <c r="H5022" s="6" t="n">
        <f aca="false">Sens!H5019+Sens!H5020</f>
        <v>278.649709314524</v>
      </c>
      <c r="I5022" s="6" t="n">
        <f aca="false">Sens!I5019+Sens!I5020</f>
        <v>333.021592968563</v>
      </c>
      <c r="J5022" s="6" t="n">
        <f aca="false">Sens!J5019+Sens!J5020</f>
        <v>374.568151943742</v>
      </c>
      <c r="K5022" s="6" t="n">
        <f aca="false">Sens!K5019+Sens!K5020</f>
        <v>402.041695166696</v>
      </c>
    </row>
    <row r="5023" customFormat="false" ht="17.15" hidden="false" customHeight="false" outlineLevel="0" collapsed="false">
      <c r="A5023" s="0" t="s">
        <v>1030</v>
      </c>
      <c r="B5023" s="1" t="s">
        <v>613</v>
      </c>
      <c r="C5023" s="30" t="n">
        <f aca="false">cop_s24</f>
        <v>1</v>
      </c>
      <c r="D5023" s="30" t="n">
        <f aca="false">cop_s25</f>
        <v>5</v>
      </c>
      <c r="E5023" s="30" t="n">
        <f aca="false">cop_s26</f>
        <v>30</v>
      </c>
      <c r="F5023" s="30" t="n">
        <f aca="false">Sens!E5023+cop_add_A</f>
        <v>60</v>
      </c>
      <c r="G5023" s="30" t="n">
        <f aca="false">Sens!F5023+cop_add_A</f>
        <v>90</v>
      </c>
      <c r="H5023" s="30" t="n">
        <f aca="false">Sens!G5023+cop_add_A</f>
        <v>120</v>
      </c>
      <c r="I5023" s="30" t="n">
        <f aca="false">Sens!H5023+cop_add_A*cop_tail</f>
        <v>135</v>
      </c>
      <c r="J5023" s="30" t="n">
        <f aca="false">Sens!I5023+cop_add_A*cop_tail</f>
        <v>150</v>
      </c>
      <c r="K5023" s="30" t="n">
        <f aca="false">Sens!J5023+cop_add_A*cop_tail</f>
        <v>165</v>
      </c>
      <c r="L5023" s="12" t="s">
        <v>1031</v>
      </c>
    </row>
    <row r="5024" customFormat="false" ht="17.15" hidden="false" customHeight="false" outlineLevel="0" collapsed="false">
      <c r="A5024" s="0" t="s">
        <v>1032</v>
      </c>
      <c r="B5024" s="0" t="s">
        <v>98</v>
      </c>
      <c r="D5024" s="6" t="n">
        <f aca="false">(Sens!C5023+Sens!D5023)/2*cop_px*12/1000</f>
        <v>0.9</v>
      </c>
      <c r="E5024" s="6" t="n">
        <f aca="false">(Sens!D5023+Sens!E5023)/2*cop_px*12/1000</f>
        <v>5.25</v>
      </c>
      <c r="F5024" s="6" t="n">
        <f aca="false">(Sens!E5023+Sens!F5023)/2*cop_px*12/1000</f>
        <v>13.5</v>
      </c>
      <c r="G5024" s="6" t="n">
        <f aca="false">(Sens!F5023+Sens!G5023)/2*cop_px*12/1000</f>
        <v>22.5</v>
      </c>
      <c r="H5024" s="6" t="n">
        <f aca="false">(Sens!G5023+Sens!H5023)/2*cop_px*12/1000</f>
        <v>31.5</v>
      </c>
      <c r="I5024" s="6" t="n">
        <f aca="false">(Sens!H5023+Sens!I5023)/2*cop_px*12/1000</f>
        <v>38.25</v>
      </c>
      <c r="J5024" s="6" t="n">
        <f aca="false">(Sens!I5023+Sens!J5023)/2*cop_px*12/1000</f>
        <v>42.75</v>
      </c>
      <c r="K5024" s="6" t="n">
        <f aca="false">(Sens!J5023+Sens!K5023)/2*cop_px*12/1000</f>
        <v>47.25</v>
      </c>
      <c r="L5024" s="1" t="s">
        <v>1033</v>
      </c>
    </row>
    <row r="5025" customFormat="false" ht="17.15" hidden="false" customHeight="false" outlineLevel="0" collapsed="false">
      <c r="A5025" s="0" t="s">
        <v>1034</v>
      </c>
      <c r="B5025" s="0" t="s">
        <v>98</v>
      </c>
      <c r="D5025" s="6" t="n">
        <f aca="false">Q!L7-Sens!D5024</f>
        <v>83.705</v>
      </c>
      <c r="E5025" s="6" t="n">
        <f aca="false">Q!M7-Sens!E5024</f>
        <v>95.049</v>
      </c>
      <c r="F5025" s="6" t="n">
        <f aca="false">Q!$I$7+(Sens!E5025*(1+Sens!F5026)+Sens!F5024)*(1-Q!$E$7/Q!M7)-Sens!F5024</f>
        <v>106.229653205718</v>
      </c>
      <c r="G5025" s="6" t="n">
        <f aca="false">Sens!F5025*(1+Sens!G5026)</f>
        <v>118.306092647576</v>
      </c>
      <c r="H5025" s="6" t="n">
        <f aca="false">Sens!G5025*(1+Sens!H5026)</f>
        <v>130.463437602768</v>
      </c>
      <c r="I5025" s="6" t="n">
        <f aca="false">Sens!H5025*(1+Sens!I5026)</f>
        <v>142.445354741933</v>
      </c>
      <c r="J5025" s="6" t="n">
        <f aca="false">Sens!I5025*(1+Sens!J5026)</f>
        <v>153.972117481571</v>
      </c>
      <c r="K5025" s="6" t="n">
        <f aca="false">Sens!J5025*(1+Sens!K5026)</f>
        <v>164.75016570528</v>
      </c>
      <c r="L5025" s="12" t="s">
        <v>1035</v>
      </c>
    </row>
    <row r="5026" customFormat="false" ht="15" hidden="false" customHeight="false" outlineLevel="0" collapsed="false">
      <c r="A5026" s="1" t="s">
        <v>1028</v>
      </c>
      <c r="B5026" s="0" t="s">
        <v>168</v>
      </c>
      <c r="E5026" s="7" t="n">
        <f aca="false">Sens!E5025/Sens!D5025-1</f>
        <v>0.135523564900544</v>
      </c>
      <c r="F5026" s="7" t="n">
        <f aca="false">Sens!$E$5026+(glt_m365b-Sens!$E$5026)*MIN(1,(Sens!F4978-base_fy)/n_conv)</f>
        <v>0.124602970750453</v>
      </c>
      <c r="G5026" s="7" t="n">
        <f aca="false">Sens!$E$5026+(glt_m365b-Sens!$E$5026)*MIN(1,(Sens!G4978-base_fy)/n_conv)</f>
        <v>0.113682376600363</v>
      </c>
      <c r="H5026" s="7" t="n">
        <f aca="false">Sens!$E$5026+(glt_m365b-Sens!$E$5026)*MIN(1,(Sens!H4978-base_fy)/n_conv)</f>
        <v>0.102761782450272</v>
      </c>
      <c r="I5026" s="7" t="n">
        <f aca="false">Sens!$E$5026+(glt_m365b-Sens!$E$5026)*MIN(1,(Sens!I4978-base_fy)/n_conv)</f>
        <v>0.0918411883001813</v>
      </c>
      <c r="J5026" s="7" t="n">
        <f aca="false">Sens!$E$5026+(glt_m365b-Sens!$E$5026)*MIN(1,(Sens!J4978-base_fy)/n_conv)</f>
        <v>0.0809205941500906</v>
      </c>
      <c r="K5026" s="7" t="n">
        <f aca="false">Sens!$E$5026+(glt_m365b-Sens!$E$5026)*MIN(1,(Sens!K4978-base_fy)/n_conv)</f>
        <v>0.07</v>
      </c>
    </row>
    <row r="5027" customFormat="false" ht="15" hidden="false" customHeight="false" outlineLevel="0" collapsed="false">
      <c r="A5027" s="0" t="s">
        <v>1036</v>
      </c>
      <c r="B5027" s="0" t="s">
        <v>98</v>
      </c>
      <c r="D5027" s="6" t="n">
        <f aca="false">Sens!D5025+Sens!D5024</f>
        <v>84.605</v>
      </c>
      <c r="E5027" s="6" t="n">
        <f aca="false">Sens!E5025+Sens!E5024</f>
        <v>100.299</v>
      </c>
      <c r="F5027" s="6" t="n">
        <f aca="false">Sens!F5025+Sens!F5024</f>
        <v>119.729653205718</v>
      </c>
      <c r="G5027" s="6" t="n">
        <f aca="false">Sens!G5025+Sens!G5024</f>
        <v>140.806092647576</v>
      </c>
      <c r="H5027" s="6" t="n">
        <f aca="false">Sens!H5025+Sens!H5024</f>
        <v>161.963437602768</v>
      </c>
      <c r="I5027" s="6" t="n">
        <f aca="false">Sens!I5025+Sens!I5024</f>
        <v>180.695354741933</v>
      </c>
      <c r="J5027" s="6" t="n">
        <f aca="false">Sens!J5025+Sens!J5024</f>
        <v>196.722117481571</v>
      </c>
      <c r="K5027" s="6" t="n">
        <f aca="false">Sens!K5025+Sens!K5024</f>
        <v>212.00016570528</v>
      </c>
    </row>
    <row r="5028" customFormat="false" ht="17.15" hidden="false" customHeight="false" outlineLevel="0" collapsed="false">
      <c r="A5028" s="0" t="s">
        <v>1037</v>
      </c>
      <c r="B5028" s="0" t="s">
        <v>98</v>
      </c>
      <c r="D5028" s="6" t="n">
        <f aca="false">Q!L8</f>
        <v>35.391</v>
      </c>
      <c r="E5028" s="6" t="n">
        <f aca="false">Q!M8</f>
        <v>37.285</v>
      </c>
      <c r="F5028" s="6" t="n">
        <f aca="false">Q!$I$8+(Q!M8-Q!$E$8)*(1+Sens!F5029)</f>
        <v>38.3851437782675</v>
      </c>
      <c r="G5028" s="6" t="n">
        <f aca="false">Sens!F5028*(1+Sens!G5029)</f>
        <v>40.0105353288615</v>
      </c>
      <c r="H5028" s="6" t="n">
        <f aca="false">Sens!G5028*(1+Sens!H5029)</f>
        <v>41.4812512033683</v>
      </c>
      <c r="I5028" s="6" t="n">
        <f aca="false">Sens!H5028*(1+Sens!I5029)</f>
        <v>42.7743107216329</v>
      </c>
      <c r="J5028" s="6" t="n">
        <f aca="false">Sens!I5028*(1+Sens!J5029)</f>
        <v>43.8687373064601</v>
      </c>
      <c r="K5028" s="6" t="n">
        <f aca="false">Sens!J5028*(1+Sens!K5029)</f>
        <v>44.7461120525893</v>
      </c>
      <c r="L5028" s="12" t="s">
        <v>1038</v>
      </c>
    </row>
    <row r="5029" customFormat="false" ht="15" hidden="false" customHeight="false" outlineLevel="0" collapsed="false">
      <c r="A5029" s="1" t="s">
        <v>1028</v>
      </c>
      <c r="B5029" s="0" t="s">
        <v>168</v>
      </c>
      <c r="E5029" s="7" t="n">
        <f aca="false">Sens!E5028/Sens!D5028-1</f>
        <v>0.0535164307309768</v>
      </c>
      <c r="F5029" s="7" t="n">
        <f aca="false">Sens!$E$5029+(glt_lic-Sens!$E$5029)*MIN(1,(Sens!F4978-base_fy)/n_conv)</f>
        <v>0.0479303589424807</v>
      </c>
      <c r="G5029" s="7" t="n">
        <f aca="false">Sens!$E$5029+(glt_lic-Sens!$E$5029)*MIN(1,(Sens!G4978-base_fy)/n_conv)</f>
        <v>0.0423442871539845</v>
      </c>
      <c r="H5029" s="7" t="n">
        <f aca="false">Sens!$E$5029+(glt_lic-Sens!$E$5029)*MIN(1,(Sens!H4978-base_fy)/n_conv)</f>
        <v>0.0367582153654884</v>
      </c>
      <c r="I5029" s="7" t="n">
        <f aca="false">Sens!$E$5029+(glt_lic-Sens!$E$5029)*MIN(1,(Sens!I4978-base_fy)/n_conv)</f>
        <v>0.0311721435769923</v>
      </c>
      <c r="J5029" s="7" t="n">
        <f aca="false">Sens!$E$5029+(glt_lic-Sens!$E$5029)*MIN(1,(Sens!J4978-base_fy)/n_conv)</f>
        <v>0.0255860717884961</v>
      </c>
      <c r="K5029" s="7" t="n">
        <f aca="false">Sens!$E$5029+(glt_lic-Sens!$E$5029)*MIN(1,(Sens!K4978-base_fy)/n_conv)</f>
        <v>0.02</v>
      </c>
    </row>
    <row r="5030" customFormat="false" ht="17.15" hidden="false" customHeight="false" outlineLevel="0" collapsed="false">
      <c r="A5030" s="0" t="s">
        <v>1039</v>
      </c>
      <c r="B5030" s="0" t="s">
        <v>98</v>
      </c>
      <c r="D5030" s="6" t="n">
        <f aca="false">Q!L9</f>
        <v>18.417</v>
      </c>
      <c r="E5030" s="6" t="n">
        <f aca="false">Q!M9</f>
        <v>20.345</v>
      </c>
      <c r="F5030" s="6" t="n">
        <f aca="false">Q!$I$9+(Q!M9-Q!$E$9)*(1+Sens!F5031)</f>
        <v>22.3161797133988</v>
      </c>
      <c r="G5030" s="6" t="n">
        <f aca="false">Sens!F5030*(1+Sens!G5031)</f>
        <v>24.3943499673233</v>
      </c>
      <c r="H5030" s="6" t="n">
        <f aca="false">Sens!G5030*(1+Sens!H5031)</f>
        <v>26.5250243109019</v>
      </c>
      <c r="I5030" s="6" t="n">
        <f aca="false">Sens!H5030*(1+Sens!I5031)</f>
        <v>28.6884573538181</v>
      </c>
      <c r="J5030" s="6" t="n">
        <f aca="false">Sens!I5030*(1+Sens!J5031)</f>
        <v>30.8624968052127</v>
      </c>
      <c r="K5030" s="6" t="n">
        <f aca="false">Sens!J5030*(1+Sens!K5031)</f>
        <v>33.0228715815776</v>
      </c>
      <c r="L5030" s="12" t="s">
        <v>1038</v>
      </c>
    </row>
    <row r="5031" customFormat="false" ht="15" hidden="false" customHeight="false" outlineLevel="0" collapsed="false">
      <c r="A5031" s="1" t="s">
        <v>1028</v>
      </c>
      <c r="B5031" s="0" t="s">
        <v>168</v>
      </c>
      <c r="E5031" s="7" t="n">
        <f aca="false">Sens!E5030/Sens!D5030-1</f>
        <v>0.104685888038225</v>
      </c>
      <c r="F5031" s="7" t="n">
        <f aca="false">Sens!$E$5031+(glt_ind-Sens!$E$5031)*MIN(1,(Sens!F4978-base_fy)/n_conv)</f>
        <v>0.0989049066985211</v>
      </c>
      <c r="G5031" s="7" t="n">
        <f aca="false">Sens!$E$5031+(glt_ind-Sens!$E$5031)*MIN(1,(Sens!G4978-base_fy)/n_conv)</f>
        <v>0.0931239253588169</v>
      </c>
      <c r="H5031" s="7" t="n">
        <f aca="false">Sens!$E$5031+(glt_ind-Sens!$E$5031)*MIN(1,(Sens!H4978-base_fy)/n_conv)</f>
        <v>0.0873429440191127</v>
      </c>
      <c r="I5031" s="7" t="n">
        <f aca="false">Sens!$E$5031+(glt_ind-Sens!$E$5031)*MIN(1,(Sens!I4978-base_fy)/n_conv)</f>
        <v>0.0815619626794085</v>
      </c>
      <c r="J5031" s="7" t="n">
        <f aca="false">Sens!$E$5031+(glt_ind-Sens!$E$5031)*MIN(1,(Sens!J4978-base_fy)/n_conv)</f>
        <v>0.0757809813397042</v>
      </c>
      <c r="K5031" s="7" t="n">
        <f aca="false">Sens!$E$5031+(glt_ind-Sens!$E$5031)*MIN(1,(Sens!K4978-base_fy)/n_conv)</f>
        <v>0.07</v>
      </c>
    </row>
    <row r="5032" customFormat="false" ht="17.15" hidden="false" customHeight="false" outlineLevel="0" collapsed="false">
      <c r="A5032" s="0" t="s">
        <v>1040</v>
      </c>
      <c r="B5032" s="0" t="s">
        <v>98</v>
      </c>
      <c r="D5032" s="6" t="n">
        <f aca="false">Q!L10</f>
        <v>7.76</v>
      </c>
      <c r="E5032" s="6" t="n">
        <f aca="false">Q!M10</f>
        <v>8.26</v>
      </c>
      <c r="F5032" s="6" t="n">
        <f aca="false">Q!$I$10+(Q!M10-Q!$E$10)*(1+Sens!F5033)</f>
        <v>8.75372082474227</v>
      </c>
      <c r="G5032" s="6" t="n">
        <f aca="false">Sens!F5032*(1+Sens!G5033)</f>
        <v>9.33399324642364</v>
      </c>
      <c r="H5032" s="6" t="n">
        <f aca="false">Sens!G5032*(1+Sens!H5033)</f>
        <v>9.96139155535851</v>
      </c>
      <c r="I5032" s="6" t="n">
        <f aca="false">Sens!H5032*(1+Sens!I5033)</f>
        <v>10.6402039077391</v>
      </c>
      <c r="J5032" s="6" t="n">
        <f aca="false">Sens!I5032*(1+Sens!J5033)</f>
        <v>11.3751458271397</v>
      </c>
      <c r="K5032" s="6" t="n">
        <f aca="false">Sens!J5032*(1+Sens!K5033)</f>
        <v>12.1714060350394</v>
      </c>
      <c r="L5032" s="12" t="s">
        <v>1038</v>
      </c>
    </row>
    <row r="5033" customFormat="false" ht="15" hidden="false" customHeight="false" outlineLevel="0" collapsed="false">
      <c r="A5033" s="1" t="s">
        <v>1028</v>
      </c>
      <c r="B5033" s="0" t="s">
        <v>168</v>
      </c>
      <c r="E5033" s="7" t="n">
        <f aca="false">Sens!E5032/Sens!D5032-1</f>
        <v>0.0644329896907216</v>
      </c>
      <c r="F5033" s="7" t="n">
        <f aca="false">Sens!$E$5033+(glt_fro-Sens!$E$5033)*MIN(1,(Sens!F4978-base_fy)/n_conv)</f>
        <v>0.065360824742268</v>
      </c>
      <c r="G5033" s="7" t="n">
        <f aca="false">Sens!$E$5033+(glt_fro-Sens!$E$5033)*MIN(1,(Sens!G4978-base_fy)/n_conv)</f>
        <v>0.0662886597938144</v>
      </c>
      <c r="H5033" s="7" t="n">
        <f aca="false">Sens!$E$5033+(glt_fro-Sens!$E$5033)*MIN(1,(Sens!H4978-base_fy)/n_conv)</f>
        <v>0.0672164948453608</v>
      </c>
      <c r="I5033" s="7" t="n">
        <f aca="false">Sens!$E$5033+(glt_fro-Sens!$E$5033)*MIN(1,(Sens!I4978-base_fy)/n_conv)</f>
        <v>0.0681443298969072</v>
      </c>
      <c r="J5033" s="7" t="n">
        <f aca="false">Sens!$E$5033+(glt_fro-Sens!$E$5033)*MIN(1,(Sens!J4978-base_fy)/n_conv)</f>
        <v>0.0690721649484536</v>
      </c>
      <c r="K5033" s="7" t="n">
        <f aca="false">Sens!$E$5033+(glt_fro-Sens!$E$5033)*MIN(1,(Sens!K4978-base_fy)/n_conv)</f>
        <v>0.07</v>
      </c>
    </row>
    <row r="5034" customFormat="false" ht="15" hidden="false" customHeight="false" outlineLevel="0" collapsed="false">
      <c r="A5034" s="0" t="s">
        <v>856</v>
      </c>
      <c r="B5034" s="0" t="s">
        <v>98</v>
      </c>
      <c r="D5034" s="6" t="n">
        <f aca="false">Sens!D5022+Sens!D5027+Sens!D5028+Sens!D5030+Sens!D5032</f>
        <v>218.783</v>
      </c>
      <c r="E5034" s="6" t="n">
        <f aca="false">Sens!E5022+Sens!E5027+Sens!E5028+Sens!E5030+Sens!E5032</f>
        <v>268.127</v>
      </c>
      <c r="F5034" s="6" t="n">
        <f aca="false">Sens!F5022+Sens!F5027+Sens!F5028+Sens!F5030+Sens!F5032</f>
        <v>338.774715894377</v>
      </c>
      <c r="G5034" s="6" t="n">
        <f aca="false">Sens!G5022+Sens!G5027+Sens!G5028+Sens!G5030+Sens!G5032</f>
        <v>425.508058536537</v>
      </c>
      <c r="H5034" s="6" t="n">
        <f aca="false">Sens!H5022+Sens!H5027+Sens!H5028+Sens!H5030+Sens!H5032</f>
        <v>518.580813986921</v>
      </c>
      <c r="I5034" s="6" t="n">
        <f aca="false">Sens!I5022+Sens!I5027+Sens!I5028+Sens!I5030+Sens!I5032</f>
        <v>595.819919693686</v>
      </c>
      <c r="J5034" s="6" t="n">
        <f aca="false">Sens!J5022+Sens!J5027+Sens!J5028+Sens!J5030+Sens!J5032</f>
        <v>657.396649364125</v>
      </c>
      <c r="K5034" s="6" t="n">
        <f aca="false">Sens!K5022+Sens!K5027+Sens!K5028+Sens!K5030+Sens!K5032</f>
        <v>703.982250541183</v>
      </c>
    </row>
    <row r="5035" customFormat="false" ht="17.15" hidden="false" customHeight="false" outlineLevel="0" collapsed="false">
      <c r="A5035" s="0" t="s">
        <v>1041</v>
      </c>
      <c r="B5035" s="0" t="s">
        <v>98</v>
      </c>
      <c r="D5035" s="6" t="n">
        <f aca="false">Q!L13</f>
        <v>22.171</v>
      </c>
      <c r="E5035" s="6" t="n">
        <f aca="false">Q!M13</f>
        <v>24.835</v>
      </c>
      <c r="F5035" s="6" t="n">
        <f aca="false">Q!$I$13+(Q!M13-Q!$E$13)*(1+Sens!F5036)</f>
        <v>27.5591895660247</v>
      </c>
      <c r="G5035" s="6" t="n">
        <f aca="false">Sens!F5035*(1+Sens!G5036)</f>
        <v>30.4098563144583</v>
      </c>
      <c r="H5035" s="6" t="n">
        <f aca="false">Sens!G5035*(1+Sens!H5036)</f>
        <v>33.3011792571777</v>
      </c>
      <c r="I5035" s="6" t="n">
        <f aca="false">Sens!H5035*(1+Sens!I5036)</f>
        <v>36.189023797112</v>
      </c>
      <c r="J5035" s="6" t="n">
        <f aca="false">Sens!I5035*(1+Sens!J5036)</f>
        <v>39.0247773769199</v>
      </c>
      <c r="K5035" s="6" t="n">
        <f aca="false">Sens!J5035*(1+Sens!K5036)</f>
        <v>41.7565117933043</v>
      </c>
      <c r="L5035" s="12" t="s">
        <v>1038</v>
      </c>
    </row>
    <row r="5036" customFormat="false" ht="15" hidden="false" customHeight="false" outlineLevel="0" collapsed="false">
      <c r="A5036" s="1" t="s">
        <v>1028</v>
      </c>
      <c r="B5036" s="0" t="s">
        <v>168</v>
      </c>
      <c r="E5036" s="7" t="n">
        <f aca="false">Sens!E5035/Sens!D5035-1</f>
        <v>0.120156961796942</v>
      </c>
      <c r="F5036" s="7" t="n">
        <f aca="false">Sens!$E$5036+(glt_srch-Sens!$E$5036)*MIN(1,(Sens!F4978-base_fy)/n_conv)</f>
        <v>0.111797468164118</v>
      </c>
      <c r="G5036" s="7" t="n">
        <f aca="false">Sens!$E$5036+(glt_srch-Sens!$E$5036)*MIN(1,(Sens!G4978-base_fy)/n_conv)</f>
        <v>0.103437974531295</v>
      </c>
      <c r="H5036" s="7" t="n">
        <f aca="false">Sens!$E$5036+(glt_srch-Sens!$E$5036)*MIN(1,(Sens!H4978-base_fy)/n_conv)</f>
        <v>0.095078480898471</v>
      </c>
      <c r="I5036" s="7" t="n">
        <f aca="false">Sens!$E$5036+(glt_srch-Sens!$E$5036)*MIN(1,(Sens!I4978-base_fy)/n_conv)</f>
        <v>0.0867189872656474</v>
      </c>
      <c r="J5036" s="7" t="n">
        <f aca="false">Sens!$E$5036+(glt_srch-Sens!$E$5036)*MIN(1,(Sens!J4978-base_fy)/n_conv)</f>
        <v>0.0783594936328237</v>
      </c>
      <c r="K5036" s="7" t="n">
        <f aca="false">Sens!$E$5036+(glt_srch-Sens!$E$5036)*MIN(1,(Sens!K4978-base_fy)/n_conv)</f>
        <v>0.07</v>
      </c>
    </row>
    <row r="5037" customFormat="false" ht="17.15" hidden="false" customHeight="false" outlineLevel="0" collapsed="false">
      <c r="A5037" s="0" t="s">
        <v>1042</v>
      </c>
      <c r="B5037" s="0" t="s">
        <v>98</v>
      </c>
      <c r="D5037" s="6" t="n">
        <f aca="false">Q!L14</f>
        <v>23.455</v>
      </c>
      <c r="E5037" s="6" t="n">
        <f aca="false">Q!M14</f>
        <v>21.79</v>
      </c>
      <c r="F5037" s="6" t="n">
        <f aca="false">Q!$I$14+(Q!M14-Q!$E$14)*(1+Sens!F5038)</f>
        <v>20.7520981041711</v>
      </c>
      <c r="G5037" s="6" t="n">
        <f aca="false">Sens!F5037*(1+Sens!G5038)</f>
        <v>19.9083593495882</v>
      </c>
      <c r="H5037" s="6" t="n">
        <f aca="false">Sens!G5037*(1+Sens!H5038)</f>
        <v>19.4008256265831</v>
      </c>
      <c r="I5037" s="6" t="n">
        <f aca="false">Sens!H5037*(1+Sens!I5038)</f>
        <v>19.200434522122</v>
      </c>
      <c r="J5037" s="6" t="n">
        <f aca="false">Sens!I5037*(1+Sens!J5038)</f>
        <v>19.2932782348507</v>
      </c>
      <c r="K5037" s="6" t="n">
        <f aca="false">Sens!J5037*(1+Sens!K5038)</f>
        <v>19.6791437995477</v>
      </c>
      <c r="L5037" s="12" t="s">
        <v>1038</v>
      </c>
    </row>
    <row r="5038" customFormat="false" ht="15" hidden="false" customHeight="false" outlineLevel="0" collapsed="false">
      <c r="A5038" s="1" t="s">
        <v>1028</v>
      </c>
      <c r="B5038" s="0" t="s">
        <v>168</v>
      </c>
      <c r="E5038" s="7" t="n">
        <f aca="false">Sens!E5037/Sens!D5037-1</f>
        <v>-0.0709869963760392</v>
      </c>
      <c r="F5038" s="7" t="n">
        <f aca="false">Sens!$E$5038+(glt_xbox-Sens!$E$5038)*MIN(1,(Sens!F4978-base_fy)/n_conv)</f>
        <v>-0.0558224969800327</v>
      </c>
      <c r="G5038" s="7" t="n">
        <f aca="false">Sens!$E$5038+(glt_xbox-Sens!$E$5038)*MIN(1,(Sens!G4978-base_fy)/n_conv)</f>
        <v>-0.0406579975840262</v>
      </c>
      <c r="H5038" s="7" t="n">
        <f aca="false">Sens!$E$5038+(glt_xbox-Sens!$E$5038)*MIN(1,(Sens!H4978-base_fy)/n_conv)</f>
        <v>-0.0254934981880196</v>
      </c>
      <c r="I5038" s="7" t="n">
        <f aca="false">Sens!$E$5038+(glt_xbox-Sens!$E$5038)*MIN(1,(Sens!I4978-base_fy)/n_conv)</f>
        <v>-0.0103289987920131</v>
      </c>
      <c r="J5038" s="7" t="n">
        <f aca="false">Sens!$E$5038+(glt_xbox-Sens!$E$5038)*MIN(1,(Sens!J4978-base_fy)/n_conv)</f>
        <v>0.00483550060399347</v>
      </c>
      <c r="K5038" s="7" t="n">
        <f aca="false">Sens!$E$5038+(glt_xbox-Sens!$E$5038)*MIN(1,(Sens!K4978-base_fy)/n_conv)</f>
        <v>0.02</v>
      </c>
    </row>
    <row r="5039" customFormat="false" ht="17.15" hidden="false" customHeight="false" outlineLevel="0" collapsed="false">
      <c r="A5039" s="0" t="s">
        <v>1043</v>
      </c>
      <c r="B5039" s="0" t="s">
        <v>98</v>
      </c>
      <c r="D5039" s="6" t="n">
        <f aca="false">Q!L15</f>
        <v>17.315</v>
      </c>
      <c r="E5039" s="6" t="n">
        <f aca="false">Q!M15</f>
        <v>17.087</v>
      </c>
      <c r="F5039" s="6" t="n">
        <f aca="false">Q!$I$15+(Q!M15-Q!$E$15)*(1+Sens!F5040)</f>
        <v>15.9912273250553</v>
      </c>
      <c r="G5039" s="6" t="n">
        <f aca="false">Sens!F5039*(1+Sens!G5040)</f>
        <v>15.9574562664827</v>
      </c>
      <c r="H5039" s="6" t="n">
        <f aca="false">Sens!G5039*(1+Sens!H5040)</f>
        <v>16.0119687434196</v>
      </c>
      <c r="I5039" s="6" t="n">
        <f aca="false">Sens!H5039*(1+Sens!I5040)</f>
        <v>16.1551810001948</v>
      </c>
      <c r="J5039" s="6" t="n">
        <f aca="false">Sens!I5039*(1+Sens!J5040)</f>
        <v>16.3889793892005</v>
      </c>
      <c r="K5039" s="6" t="n">
        <f aca="false">Sens!J5039*(1+Sens!K5040)</f>
        <v>16.7167589769845</v>
      </c>
      <c r="L5039" s="12" t="s">
        <v>1038</v>
      </c>
    </row>
    <row r="5040" customFormat="false" ht="15" hidden="false" customHeight="false" outlineLevel="0" collapsed="false">
      <c r="A5040" s="1" t="s">
        <v>1028</v>
      </c>
      <c r="B5040" s="0" t="s">
        <v>168</v>
      </c>
      <c r="E5040" s="7" t="n">
        <f aca="false">Sens!E5039/Sens!D5039-1</f>
        <v>-0.0131677736066995</v>
      </c>
      <c r="F5040" s="7" t="n">
        <f aca="false">Sens!$E$5040+(glt_win-Sens!$E$5040)*MIN(1,(Sens!F4978-base_fy)/n_conv)</f>
        <v>-0.00763981133891627</v>
      </c>
      <c r="G5040" s="7" t="n">
        <f aca="false">Sens!$E$5040+(glt_win-Sens!$E$5040)*MIN(1,(Sens!G4978-base_fy)/n_conv)</f>
        <v>-0.00211184907113301</v>
      </c>
      <c r="H5040" s="7" t="n">
        <f aca="false">Sens!$E$5040+(glt_win-Sens!$E$5040)*MIN(1,(Sens!H4978-base_fy)/n_conv)</f>
        <v>0.00341611319665024</v>
      </c>
      <c r="I5040" s="7" t="n">
        <f aca="false">Sens!$E$5040+(glt_win-Sens!$E$5040)*MIN(1,(Sens!I4978-base_fy)/n_conv)</f>
        <v>0.00894407546443349</v>
      </c>
      <c r="J5040" s="7" t="n">
        <f aca="false">Sens!$E$5040+(glt_win-Sens!$E$5040)*MIN(1,(Sens!J4978-base_fy)/n_conv)</f>
        <v>0.0144720377322168</v>
      </c>
      <c r="K5040" s="7" t="n">
        <f aca="false">Sens!$E$5040+(glt_win-Sens!$E$5040)*MIN(1,(Sens!K4978-base_fy)/n_conv)</f>
        <v>0.02</v>
      </c>
    </row>
    <row r="5041" customFormat="false" ht="15" hidden="false" customHeight="false" outlineLevel="0" collapsed="false">
      <c r="A5041" s="0" t="s">
        <v>870</v>
      </c>
      <c r="B5041" s="0" t="s">
        <v>98</v>
      </c>
      <c r="D5041" s="6" t="n">
        <f aca="false">Sens!D5035+Sens!D5037+Sens!D5039</f>
        <v>62.941</v>
      </c>
      <c r="E5041" s="6" t="n">
        <f aca="false">Sens!E5035+Sens!E5037+Sens!E5039</f>
        <v>63.712</v>
      </c>
      <c r="F5041" s="6" t="n">
        <f aca="false">Sens!F5035+Sens!F5037+Sens!F5039</f>
        <v>64.3025149952511</v>
      </c>
      <c r="G5041" s="6" t="n">
        <f aca="false">Sens!G5035+Sens!G5037+Sens!G5039</f>
        <v>66.2756719305292</v>
      </c>
      <c r="H5041" s="6" t="n">
        <f aca="false">Sens!H5035+Sens!H5037+Sens!H5039</f>
        <v>68.7139736271804</v>
      </c>
      <c r="I5041" s="6" t="n">
        <f aca="false">Sens!I5035+Sens!I5037+Sens!I5039</f>
        <v>71.5446393194289</v>
      </c>
      <c r="J5041" s="6" t="n">
        <f aca="false">Sens!J5035+Sens!J5037+Sens!J5039</f>
        <v>74.707035000971</v>
      </c>
      <c r="K5041" s="6" t="n">
        <f aca="false">Sens!K5035+Sens!K5037+Sens!K5039</f>
        <v>78.1524145698365</v>
      </c>
    </row>
    <row r="5042" customFormat="false" ht="15" hidden="false" customHeight="false" outlineLevel="0" collapsed="false">
      <c r="A5042" s="1" t="s">
        <v>1044</v>
      </c>
      <c r="B5042" s="0" t="s">
        <v>98</v>
      </c>
      <c r="D5042" s="6" t="n">
        <f aca="false">Sens!D5034+Sens!D5041</f>
        <v>281.724</v>
      </c>
      <c r="E5042" s="6" t="n">
        <f aca="false">Sens!E5034+Sens!E5041</f>
        <v>331.839</v>
      </c>
      <c r="F5042" s="6" t="n">
        <f aca="false">Sens!F5034+Sens!F5041</f>
        <v>403.077230889628</v>
      </c>
      <c r="G5042" s="6" t="n">
        <f aca="false">Sens!G5034+Sens!G5041</f>
        <v>491.783730467066</v>
      </c>
      <c r="H5042" s="6" t="n">
        <f aca="false">Sens!H5034+Sens!H5041</f>
        <v>587.294787614101</v>
      </c>
      <c r="I5042" s="6" t="n">
        <f aca="false">Sens!I5034+Sens!I5041</f>
        <v>667.364559013115</v>
      </c>
      <c r="J5042" s="6" t="n">
        <f aca="false">Sens!J5034+Sens!J5041</f>
        <v>732.103684365096</v>
      </c>
      <c r="K5042" s="6" t="n">
        <f aca="false">Sens!K5034+Sens!K5041</f>
        <v>782.13466511102</v>
      </c>
    </row>
    <row r="5043" customFormat="false" ht="15" hidden="false" customHeight="false" outlineLevel="0" collapsed="false">
      <c r="A5043" s="26" t="s">
        <v>1045</v>
      </c>
      <c r="B5043" s="31" t="s">
        <v>98</v>
      </c>
      <c r="C5043" s="31"/>
      <c r="D5043" s="27" t="n">
        <f aca="false">(Sens!D5022+Sens!D5027+Sens!D5028+Sens!D5030+Sens!D5032-Sens!D5034)+(Sens!D5035+Sens!D5037+Sens!D5039-Sens!D5041)+(Sens!D5034-Q!L5)+(Sens!D5041-Q!L12)+(Sens!D5022-Q!L6)+(Sens!D5027-Q!L7)</f>
        <v>0</v>
      </c>
      <c r="E5043" s="27" t="n">
        <f aca="false">(Sens!E5022+Sens!E5027+Sens!E5028+Sens!E5030+Sens!E5032-Sens!E5034)+(Sens!E5035+Sens!E5037+Sens!E5039-Sens!E5041)+(Sens!E5034-Q!M5)+(Sens!E5041-Q!M12)+(Sens!E5022-Q!M6)+(Sens!E5027-Q!M7)</f>
        <v>0</v>
      </c>
      <c r="F5043" s="27" t="n">
        <f aca="false">(Sens!F5022+Sens!F5027+Sens!F5028+Sens!F5030+Sens!F5032-Sens!F5034)+(Sens!F5035+Sens!F5037+Sens!F5039-Sens!F5041)</f>
        <v>0</v>
      </c>
      <c r="G5043" s="27" t="n">
        <f aca="false">(Sens!G5022+Sens!G5027+Sens!G5028+Sens!G5030+Sens!G5032-Sens!G5034)+(Sens!G5035+Sens!G5037+Sens!G5039-Sens!G5041)</f>
        <v>0</v>
      </c>
      <c r="H5043" s="27" t="n">
        <f aca="false">(Sens!H5022+Sens!H5027+Sens!H5028+Sens!H5030+Sens!H5032-Sens!H5034)+(Sens!H5035+Sens!H5037+Sens!H5039-Sens!H5041)</f>
        <v>0</v>
      </c>
      <c r="I5043" s="27" t="n">
        <f aca="false">(Sens!I5022+Sens!I5027+Sens!I5028+Sens!I5030+Sens!I5032-Sens!I5034)+(Sens!I5035+Sens!I5037+Sens!I5039-Sens!I5041)</f>
        <v>0</v>
      </c>
      <c r="J5043" s="27" t="n">
        <f aca="false">(Sens!J5022+Sens!J5027+Sens!J5028+Sens!J5030+Sens!J5032-Sens!J5034)+(Sens!J5035+Sens!J5037+Sens!J5039-Sens!J5041)</f>
        <v>0</v>
      </c>
      <c r="K5043" s="27" t="n">
        <f aca="false">(Sens!K5022+Sens!K5027+Sens!K5028+Sens!K5030+Sens!K5032-Sens!K5034)+(Sens!K5035+Sens!K5037+Sens!K5039-Sens!K5041)</f>
        <v>0</v>
      </c>
    </row>
    <row r="5044" customFormat="false" ht="17.15" hidden="false" customHeight="false" outlineLevel="0" collapsed="false">
      <c r="A5044" s="3" t="s">
        <v>1737</v>
      </c>
    </row>
    <row r="5045" customFormat="false" ht="15" hidden="false" customHeight="false" outlineLevel="0" collapsed="false">
      <c r="A5045" s="4" t="s">
        <v>43</v>
      </c>
      <c r="B5045" s="4" t="s">
        <v>65</v>
      </c>
      <c r="C5045" s="23" t="s">
        <v>942</v>
      </c>
      <c r="D5045" s="23" t="s">
        <v>943</v>
      </c>
      <c r="E5045" s="23" t="s">
        <v>944</v>
      </c>
      <c r="F5045" s="23" t="s">
        <v>945</v>
      </c>
      <c r="G5045" s="23" t="s">
        <v>946</v>
      </c>
      <c r="H5045" s="23" t="s">
        <v>947</v>
      </c>
      <c r="I5045" s="23" t="s">
        <v>948</v>
      </c>
      <c r="J5045" s="23" t="s">
        <v>949</v>
      </c>
      <c r="K5045" s="23" t="s">
        <v>950</v>
      </c>
      <c r="L5045" s="4" t="s">
        <v>47</v>
      </c>
    </row>
    <row r="5046" customFormat="false" ht="15" hidden="false" customHeight="false" outlineLevel="0" collapsed="false">
      <c r="A5046" s="0" t="s">
        <v>1029</v>
      </c>
      <c r="B5046" s="0" t="s">
        <v>98</v>
      </c>
      <c r="D5046" s="6" t="n">
        <f aca="false">Sens!D5022</f>
        <v>72.61</v>
      </c>
      <c r="E5046" s="6" t="n">
        <f aca="false">Sens!E5022</f>
        <v>101.938</v>
      </c>
      <c r="F5046" s="6" t="n">
        <f aca="false">Sens!F5022</f>
        <v>149.59001837225</v>
      </c>
      <c r="G5046" s="6" t="n">
        <f aca="false">Sens!G5022</f>
        <v>210.963087346352</v>
      </c>
      <c r="H5046" s="6" t="n">
        <f aca="false">Sens!H5022</f>
        <v>278.649709314524</v>
      </c>
      <c r="I5046" s="6" t="n">
        <f aca="false">Sens!I5022</f>
        <v>333.021592968563</v>
      </c>
      <c r="J5046" s="6" t="n">
        <f aca="false">Sens!J5022</f>
        <v>374.568151943742</v>
      </c>
      <c r="K5046" s="6" t="n">
        <f aca="false">Sens!K5022</f>
        <v>402.041695166696</v>
      </c>
    </row>
    <row r="5047" customFormat="false" ht="17.15" hidden="false" customHeight="false" outlineLevel="0" collapsed="false">
      <c r="A5047" s="0" t="s">
        <v>1025</v>
      </c>
      <c r="B5047" s="0" t="s">
        <v>98</v>
      </c>
      <c r="D5047" s="6" t="n">
        <f aca="false">Sens!D5019</f>
        <v>12.9359794422418</v>
      </c>
      <c r="E5047" s="6" t="n">
        <f aca="false">Sens!E5019</f>
        <v>27.8095064661409</v>
      </c>
      <c r="F5047" s="6" t="n">
        <f aca="false">Sens!F5019</f>
        <v>59.1034165651511</v>
      </c>
      <c r="G5047" s="6" t="n">
        <f aca="false">Sens!G5019</f>
        <v>103.451498789198</v>
      </c>
      <c r="H5047" s="6" t="n">
        <f aca="false">Sens!H5019</f>
        <v>153.816719989035</v>
      </c>
      <c r="I5047" s="6" t="n">
        <f aca="false">Sens!I5019</f>
        <v>191.451667077083</v>
      </c>
      <c r="J5047" s="6" t="n">
        <f aca="false">Sens!J5019</f>
        <v>217.844961464314</v>
      </c>
      <c r="K5047" s="6" t="n">
        <f aca="false">Sens!K5019</f>
        <v>232.780649448914</v>
      </c>
    </row>
    <row r="5048" customFormat="false" ht="17.15" hidden="false" customHeight="false" outlineLevel="0" collapsed="false">
      <c r="A5048" s="0" t="s">
        <v>1056</v>
      </c>
      <c r="B5048" s="0" t="s">
        <v>98</v>
      </c>
      <c r="D5048" s="6" t="n">
        <f aca="false">Sens!D5020</f>
        <v>59.6740205577583</v>
      </c>
      <c r="E5048" s="6" t="n">
        <f aca="false">Sens!E5020</f>
        <v>74.1284935338591</v>
      </c>
      <c r="F5048" s="6" t="n">
        <f aca="false">Sens!F5020</f>
        <v>90.4866018070994</v>
      </c>
      <c r="G5048" s="6" t="n">
        <f aca="false">Sens!G5020</f>
        <v>107.511588557154</v>
      </c>
      <c r="H5048" s="6" t="n">
        <f aca="false">Sens!H5020</f>
        <v>124.832989325489</v>
      </c>
      <c r="I5048" s="6" t="n">
        <f aca="false">Sens!I5020</f>
        <v>141.56992589148</v>
      </c>
      <c r="J5048" s="6" t="n">
        <f aca="false">Sens!J5020</f>
        <v>156.723190479428</v>
      </c>
      <c r="K5048" s="6" t="n">
        <f aca="false">Sens!K5020</f>
        <v>169.261045717783</v>
      </c>
    </row>
    <row r="5049" customFormat="false" ht="15" hidden="false" customHeight="false" outlineLevel="0" collapsed="false">
      <c r="A5049" s="0" t="s">
        <v>1036</v>
      </c>
      <c r="B5049" s="0" t="s">
        <v>98</v>
      </c>
      <c r="D5049" s="6" t="n">
        <f aca="false">Sens!D5027</f>
        <v>84.605</v>
      </c>
      <c r="E5049" s="6" t="n">
        <f aca="false">Sens!E5027</f>
        <v>100.299</v>
      </c>
      <c r="F5049" s="6" t="n">
        <f aca="false">Sens!F5027</f>
        <v>119.729653205718</v>
      </c>
      <c r="G5049" s="6" t="n">
        <f aca="false">Sens!G5027</f>
        <v>140.806092647576</v>
      </c>
      <c r="H5049" s="6" t="n">
        <f aca="false">Sens!H5027</f>
        <v>161.963437602768</v>
      </c>
      <c r="I5049" s="6" t="n">
        <f aca="false">Sens!I5027</f>
        <v>180.695354741933</v>
      </c>
      <c r="J5049" s="6" t="n">
        <f aca="false">Sens!J5027</f>
        <v>196.722117481571</v>
      </c>
      <c r="K5049" s="6" t="n">
        <f aca="false">Sens!K5027</f>
        <v>212.00016570528</v>
      </c>
    </row>
    <row r="5050" customFormat="false" ht="17.15" hidden="false" customHeight="false" outlineLevel="0" collapsed="false">
      <c r="A5050" s="0" t="s">
        <v>1057</v>
      </c>
      <c r="B5050" s="0" t="s">
        <v>98</v>
      </c>
      <c r="D5050" s="6" t="n">
        <f aca="false">Sens!D5025</f>
        <v>83.705</v>
      </c>
      <c r="E5050" s="6" t="n">
        <f aca="false">Sens!E5025</f>
        <v>95.049</v>
      </c>
      <c r="F5050" s="6" t="n">
        <f aca="false">Sens!F5025</f>
        <v>106.229653205718</v>
      </c>
      <c r="G5050" s="6" t="n">
        <f aca="false">Sens!G5025</f>
        <v>118.306092647576</v>
      </c>
      <c r="H5050" s="6" t="n">
        <f aca="false">Sens!H5025</f>
        <v>130.463437602768</v>
      </c>
      <c r="I5050" s="6" t="n">
        <f aca="false">Sens!I5025</f>
        <v>142.445354741933</v>
      </c>
      <c r="J5050" s="6" t="n">
        <f aca="false">Sens!J5025</f>
        <v>153.972117481571</v>
      </c>
      <c r="K5050" s="6" t="n">
        <f aca="false">Sens!K5025</f>
        <v>164.75016570528</v>
      </c>
    </row>
    <row r="5051" customFormat="false" ht="17.15" hidden="false" customHeight="false" outlineLevel="0" collapsed="false">
      <c r="A5051" s="0" t="s">
        <v>1058</v>
      </c>
      <c r="B5051" s="0" t="s">
        <v>98</v>
      </c>
      <c r="D5051" s="6" t="n">
        <f aca="false">Sens!D5024</f>
        <v>0.9</v>
      </c>
      <c r="E5051" s="6" t="n">
        <f aca="false">Sens!E5024</f>
        <v>5.25</v>
      </c>
      <c r="F5051" s="6" t="n">
        <f aca="false">Sens!F5024</f>
        <v>13.5</v>
      </c>
      <c r="G5051" s="6" t="n">
        <f aca="false">Sens!G5024</f>
        <v>22.5</v>
      </c>
      <c r="H5051" s="6" t="n">
        <f aca="false">Sens!H5024</f>
        <v>31.5</v>
      </c>
      <c r="I5051" s="6" t="n">
        <f aca="false">Sens!I5024</f>
        <v>38.25</v>
      </c>
      <c r="J5051" s="6" t="n">
        <f aca="false">Sens!J5024</f>
        <v>42.75</v>
      </c>
      <c r="K5051" s="6" t="n">
        <f aca="false">Sens!K5024</f>
        <v>47.25</v>
      </c>
    </row>
    <row r="5052" customFormat="false" ht="15" hidden="false" customHeight="false" outlineLevel="0" collapsed="false">
      <c r="A5052" s="0" t="s">
        <v>1037</v>
      </c>
      <c r="B5052" s="0" t="s">
        <v>98</v>
      </c>
      <c r="D5052" s="6" t="n">
        <f aca="false">Sens!D5028</f>
        <v>35.391</v>
      </c>
      <c r="E5052" s="6" t="n">
        <f aca="false">Sens!E5028</f>
        <v>37.285</v>
      </c>
      <c r="F5052" s="6" t="n">
        <f aca="false">Sens!F5028</f>
        <v>38.3851437782675</v>
      </c>
      <c r="G5052" s="6" t="n">
        <f aca="false">Sens!G5028</f>
        <v>40.0105353288615</v>
      </c>
      <c r="H5052" s="6" t="n">
        <f aca="false">Sens!H5028</f>
        <v>41.4812512033683</v>
      </c>
      <c r="I5052" s="6" t="n">
        <f aca="false">Sens!I5028</f>
        <v>42.7743107216329</v>
      </c>
      <c r="J5052" s="6" t="n">
        <f aca="false">Sens!J5028</f>
        <v>43.8687373064601</v>
      </c>
      <c r="K5052" s="6" t="n">
        <f aca="false">Sens!K5028</f>
        <v>44.7461120525893</v>
      </c>
    </row>
    <row r="5053" customFormat="false" ht="15" hidden="false" customHeight="false" outlineLevel="0" collapsed="false">
      <c r="A5053" s="0" t="s">
        <v>1039</v>
      </c>
      <c r="B5053" s="0" t="s">
        <v>98</v>
      </c>
      <c r="D5053" s="6" t="n">
        <f aca="false">Sens!D5030</f>
        <v>18.417</v>
      </c>
      <c r="E5053" s="6" t="n">
        <f aca="false">Sens!E5030</f>
        <v>20.345</v>
      </c>
      <c r="F5053" s="6" t="n">
        <f aca="false">Sens!F5030</f>
        <v>22.3161797133988</v>
      </c>
      <c r="G5053" s="6" t="n">
        <f aca="false">Sens!G5030</f>
        <v>24.3943499673233</v>
      </c>
      <c r="H5053" s="6" t="n">
        <f aca="false">Sens!H5030</f>
        <v>26.5250243109019</v>
      </c>
      <c r="I5053" s="6" t="n">
        <f aca="false">Sens!I5030</f>
        <v>28.6884573538181</v>
      </c>
      <c r="J5053" s="6" t="n">
        <f aca="false">Sens!J5030</f>
        <v>30.8624968052127</v>
      </c>
      <c r="K5053" s="6" t="n">
        <f aca="false">Sens!K5030</f>
        <v>33.0228715815776</v>
      </c>
    </row>
    <row r="5054" customFormat="false" ht="15" hidden="false" customHeight="false" outlineLevel="0" collapsed="false">
      <c r="A5054" s="0" t="s">
        <v>1040</v>
      </c>
      <c r="B5054" s="0" t="s">
        <v>98</v>
      </c>
      <c r="D5054" s="6" t="n">
        <f aca="false">Sens!D5032</f>
        <v>7.76</v>
      </c>
      <c r="E5054" s="6" t="n">
        <f aca="false">Sens!E5032</f>
        <v>8.26</v>
      </c>
      <c r="F5054" s="6" t="n">
        <f aca="false">Sens!F5032</f>
        <v>8.75372082474227</v>
      </c>
      <c r="G5054" s="6" t="n">
        <f aca="false">Sens!G5032</f>
        <v>9.33399324642364</v>
      </c>
      <c r="H5054" s="6" t="n">
        <f aca="false">Sens!H5032</f>
        <v>9.96139155535851</v>
      </c>
      <c r="I5054" s="6" t="n">
        <f aca="false">Sens!I5032</f>
        <v>10.6402039077391</v>
      </c>
      <c r="J5054" s="6" t="n">
        <f aca="false">Sens!J5032</f>
        <v>11.3751458271397</v>
      </c>
      <c r="K5054" s="6" t="n">
        <f aca="false">Sens!K5032</f>
        <v>12.1714060350394</v>
      </c>
    </row>
    <row r="5055" customFormat="false" ht="15" hidden="false" customHeight="false" outlineLevel="0" collapsed="false">
      <c r="A5055" s="0" t="s">
        <v>856</v>
      </c>
      <c r="B5055" s="0" t="s">
        <v>98</v>
      </c>
      <c r="D5055" s="6" t="n">
        <f aca="false">Sens!D5034</f>
        <v>218.783</v>
      </c>
      <c r="E5055" s="6" t="n">
        <f aca="false">Sens!E5034</f>
        <v>268.127</v>
      </c>
      <c r="F5055" s="6" t="n">
        <f aca="false">Sens!F5034</f>
        <v>338.774715894377</v>
      </c>
      <c r="G5055" s="6" t="n">
        <f aca="false">Sens!G5034</f>
        <v>425.508058536537</v>
      </c>
      <c r="H5055" s="6" t="n">
        <f aca="false">Sens!H5034</f>
        <v>518.580813986921</v>
      </c>
      <c r="I5055" s="6" t="n">
        <f aca="false">Sens!I5034</f>
        <v>595.819919693686</v>
      </c>
      <c r="J5055" s="6" t="n">
        <f aca="false">Sens!J5034</f>
        <v>657.396649364125</v>
      </c>
      <c r="K5055" s="6" t="n">
        <f aca="false">Sens!K5034</f>
        <v>703.982250541183</v>
      </c>
    </row>
    <row r="5056" customFormat="false" ht="15" hidden="false" customHeight="false" outlineLevel="0" collapsed="false">
      <c r="A5056" s="0" t="s">
        <v>1041</v>
      </c>
      <c r="B5056" s="0" t="s">
        <v>98</v>
      </c>
      <c r="D5056" s="6" t="n">
        <f aca="false">Sens!D5035</f>
        <v>22.171</v>
      </c>
      <c r="E5056" s="6" t="n">
        <f aca="false">Sens!E5035</f>
        <v>24.835</v>
      </c>
      <c r="F5056" s="6" t="n">
        <f aca="false">Sens!F5035</f>
        <v>27.5591895660247</v>
      </c>
      <c r="G5056" s="6" t="n">
        <f aca="false">Sens!G5035</f>
        <v>30.4098563144583</v>
      </c>
      <c r="H5056" s="6" t="n">
        <f aca="false">Sens!H5035</f>
        <v>33.3011792571777</v>
      </c>
      <c r="I5056" s="6" t="n">
        <f aca="false">Sens!I5035</f>
        <v>36.189023797112</v>
      </c>
      <c r="J5056" s="6" t="n">
        <f aca="false">Sens!J5035</f>
        <v>39.0247773769199</v>
      </c>
      <c r="K5056" s="6" t="n">
        <f aca="false">Sens!K5035</f>
        <v>41.7565117933043</v>
      </c>
    </row>
    <row r="5057" customFormat="false" ht="15" hidden="false" customHeight="false" outlineLevel="0" collapsed="false">
      <c r="A5057" s="0" t="s">
        <v>1042</v>
      </c>
      <c r="B5057" s="0" t="s">
        <v>98</v>
      </c>
      <c r="D5057" s="6" t="n">
        <f aca="false">Sens!D5037</f>
        <v>23.455</v>
      </c>
      <c r="E5057" s="6" t="n">
        <f aca="false">Sens!E5037</f>
        <v>21.79</v>
      </c>
      <c r="F5057" s="6" t="n">
        <f aca="false">Sens!F5037</f>
        <v>20.7520981041711</v>
      </c>
      <c r="G5057" s="6" t="n">
        <f aca="false">Sens!G5037</f>
        <v>19.9083593495882</v>
      </c>
      <c r="H5057" s="6" t="n">
        <f aca="false">Sens!H5037</f>
        <v>19.4008256265831</v>
      </c>
      <c r="I5057" s="6" t="n">
        <f aca="false">Sens!I5037</f>
        <v>19.200434522122</v>
      </c>
      <c r="J5057" s="6" t="n">
        <f aca="false">Sens!J5037</f>
        <v>19.2932782348507</v>
      </c>
      <c r="K5057" s="6" t="n">
        <f aca="false">Sens!K5037</f>
        <v>19.6791437995477</v>
      </c>
    </row>
    <row r="5058" customFormat="false" ht="15" hidden="false" customHeight="false" outlineLevel="0" collapsed="false">
      <c r="A5058" s="0" t="s">
        <v>1043</v>
      </c>
      <c r="B5058" s="0" t="s">
        <v>98</v>
      </c>
      <c r="D5058" s="6" t="n">
        <f aca="false">Sens!D5039</f>
        <v>17.315</v>
      </c>
      <c r="E5058" s="6" t="n">
        <f aca="false">Sens!E5039</f>
        <v>17.087</v>
      </c>
      <c r="F5058" s="6" t="n">
        <f aca="false">Sens!F5039</f>
        <v>15.9912273250553</v>
      </c>
      <c r="G5058" s="6" t="n">
        <f aca="false">Sens!G5039</f>
        <v>15.9574562664827</v>
      </c>
      <c r="H5058" s="6" t="n">
        <f aca="false">Sens!H5039</f>
        <v>16.0119687434196</v>
      </c>
      <c r="I5058" s="6" t="n">
        <f aca="false">Sens!I5039</f>
        <v>16.1551810001948</v>
      </c>
      <c r="J5058" s="6" t="n">
        <f aca="false">Sens!J5039</f>
        <v>16.3889793892005</v>
      </c>
      <c r="K5058" s="6" t="n">
        <f aca="false">Sens!K5039</f>
        <v>16.7167589769845</v>
      </c>
    </row>
    <row r="5059" customFormat="false" ht="15" hidden="false" customHeight="false" outlineLevel="0" collapsed="false">
      <c r="A5059" s="0" t="s">
        <v>870</v>
      </c>
      <c r="B5059" s="0" t="s">
        <v>98</v>
      </c>
      <c r="D5059" s="6" t="n">
        <f aca="false">Sens!D5041</f>
        <v>62.941</v>
      </c>
      <c r="E5059" s="6" t="n">
        <f aca="false">Sens!E5041</f>
        <v>63.712</v>
      </c>
      <c r="F5059" s="6" t="n">
        <f aca="false">Sens!F5041</f>
        <v>64.3025149952511</v>
      </c>
      <c r="G5059" s="6" t="n">
        <f aca="false">Sens!G5041</f>
        <v>66.2756719305292</v>
      </c>
      <c r="H5059" s="6" t="n">
        <f aca="false">Sens!H5041</f>
        <v>68.7139736271804</v>
      </c>
      <c r="I5059" s="6" t="n">
        <f aca="false">Sens!I5041</f>
        <v>71.5446393194289</v>
      </c>
      <c r="J5059" s="6" t="n">
        <f aca="false">Sens!J5041</f>
        <v>74.707035000971</v>
      </c>
      <c r="K5059" s="6" t="n">
        <f aca="false">Sens!K5041</f>
        <v>78.1524145698365</v>
      </c>
    </row>
    <row r="5060" customFormat="false" ht="15" hidden="false" customHeight="false" outlineLevel="0" collapsed="false">
      <c r="A5060" s="1" t="s">
        <v>1059</v>
      </c>
      <c r="B5060" s="0" t="s">
        <v>98</v>
      </c>
      <c r="D5060" s="6" t="n">
        <f aca="false">Sens!D5042</f>
        <v>281.724</v>
      </c>
      <c r="E5060" s="6" t="n">
        <f aca="false">Sens!E5042</f>
        <v>331.839</v>
      </c>
      <c r="F5060" s="6" t="n">
        <f aca="false">Sens!F5042</f>
        <v>403.077230889628</v>
      </c>
      <c r="G5060" s="6" t="n">
        <f aca="false">Sens!G5042</f>
        <v>491.783730467066</v>
      </c>
      <c r="H5060" s="6" t="n">
        <f aca="false">Sens!H5042</f>
        <v>587.294787614101</v>
      </c>
      <c r="I5060" s="6" t="n">
        <f aca="false">Sens!I5042</f>
        <v>667.364559013115</v>
      </c>
      <c r="J5060" s="6" t="n">
        <f aca="false">Sens!J5042</f>
        <v>732.103684365096</v>
      </c>
      <c r="K5060" s="6" t="n">
        <f aca="false">Sens!K5042</f>
        <v>782.13466511102</v>
      </c>
    </row>
    <row r="5061" customFormat="false" ht="15" hidden="false" customHeight="false" outlineLevel="0" collapsed="false">
      <c r="A5061" s="1" t="s">
        <v>1060</v>
      </c>
      <c r="B5061" s="0" t="s">
        <v>168</v>
      </c>
      <c r="E5061" s="7" t="n">
        <f aca="false">Sens!E5060/Sens!D5060-1</f>
        <v>0.177886867998467</v>
      </c>
      <c r="F5061" s="7" t="n">
        <f aca="false">Sens!F5060/Sens!E5060-1</f>
        <v>0.21467709006364</v>
      </c>
      <c r="G5061" s="7" t="n">
        <f aca="false">Sens!G5060/Sens!F5060-1</f>
        <v>0.220073208753704</v>
      </c>
      <c r="H5061" s="7" t="n">
        <f aca="false">Sens!H5060/Sens!G5060-1</f>
        <v>0.194213535808362</v>
      </c>
      <c r="I5061" s="7" t="n">
        <f aca="false">Sens!I5060/Sens!H5060-1</f>
        <v>0.13633659465002</v>
      </c>
      <c r="J5061" s="7" t="n">
        <f aca="false">Sens!J5060/Sens!I5060-1</f>
        <v>0.0970071372200467</v>
      </c>
      <c r="K5061" s="7" t="n">
        <f aca="false">Sens!K5060/Sens!J5060-1</f>
        <v>0.068338654502623</v>
      </c>
    </row>
    <row r="5062" customFormat="false" ht="17.15" hidden="false" customHeight="false" outlineLevel="0" collapsed="false">
      <c r="A5062" s="26" t="s">
        <v>1061</v>
      </c>
      <c r="B5062" s="31" t="s">
        <v>98</v>
      </c>
      <c r="C5062" s="31"/>
      <c r="D5062" s="27" t="n">
        <f aca="false">(Sens!D5055+Sens!D5059-Sens!D5060)+(Sens!D5047+Sens!D5048-Sens!D5046)+(Sens!D5050+Sens!D5051-Sens!D5049)+(Sens!D5060-Q!L18)</f>
        <v>0</v>
      </c>
      <c r="E5062" s="27" t="n">
        <f aca="false">(Sens!E5055+Sens!E5059-Sens!E5060)+(Sens!E5047+Sens!E5048-Sens!E5046)+(Sens!E5050+Sens!E5051-Sens!E5049)+(Sens!E5060-Q!M18)</f>
        <v>0</v>
      </c>
      <c r="F5062" s="27" t="n">
        <f aca="false">(Sens!F5055+Sens!F5059-Sens!F5060)+(Sens!F5047+Sens!F5048-Sens!F5046)+(Sens!F5050+Sens!F5051-Sens!F5049)</f>
        <v>0</v>
      </c>
      <c r="G5062" s="27" t="n">
        <f aca="false">(Sens!G5055+Sens!G5059-Sens!G5060)+(Sens!G5047+Sens!G5048-Sens!G5046)+(Sens!G5050+Sens!G5051-Sens!G5049)</f>
        <v>0</v>
      </c>
      <c r="H5062" s="27" t="n">
        <f aca="false">(Sens!H5055+Sens!H5059-Sens!H5060)+(Sens!H5047+Sens!H5048-Sens!H5046)+(Sens!H5050+Sens!H5051-Sens!H5049)</f>
        <v>0</v>
      </c>
      <c r="I5062" s="27" t="n">
        <f aca="false">(Sens!I5055+Sens!I5059-Sens!I5060)+(Sens!I5047+Sens!I5048-Sens!I5046)+(Sens!I5050+Sens!I5051-Sens!I5049)</f>
        <v>0</v>
      </c>
      <c r="J5062" s="27" t="n">
        <f aca="false">(Sens!J5055+Sens!J5059-Sens!J5060)+(Sens!J5047+Sens!J5048-Sens!J5046)+(Sens!J5050+Sens!J5051-Sens!J5049)</f>
        <v>0</v>
      </c>
      <c r="K5062" s="27" t="n">
        <f aca="false">(Sens!K5055+Sens!K5059-Sens!K5060)+(Sens!K5047+Sens!K5048-Sens!K5046)+(Sens!K5050+Sens!K5051-Sens!K5049)</f>
        <v>0</v>
      </c>
    </row>
    <row r="5063" customFormat="false" ht="17.15" hidden="false" customHeight="false" outlineLevel="0" collapsed="false">
      <c r="A5063" s="0" t="s">
        <v>1062</v>
      </c>
      <c r="B5063" s="0" t="s">
        <v>168</v>
      </c>
      <c r="E5063" s="7" t="n">
        <f aca="false">(Q!M21+Sens!E4999+Sens!E5000+Sens!E5001+Sens!E5015-Sens!E4997)/(Q!M5-Sens!E4997)</f>
        <v>0.562004564381674</v>
      </c>
      <c r="F5063" s="7" t="n">
        <f aca="false">Sens!$E$5063+dm_seg</f>
        <v>0.562004564381674</v>
      </c>
      <c r="G5063" s="7" t="n">
        <f aca="false">Sens!$E$5063+dm_seg</f>
        <v>0.562004564381674</v>
      </c>
      <c r="H5063" s="7" t="n">
        <f aca="false">Sens!$E$5063+dm_seg</f>
        <v>0.562004564381674</v>
      </c>
      <c r="I5063" s="7" t="n">
        <f aca="false">Sens!$E$5063+dm_seg</f>
        <v>0.562004564381674</v>
      </c>
      <c r="J5063" s="7" t="n">
        <f aca="false">Sens!$E$5063+dm_seg</f>
        <v>0.562004564381674</v>
      </c>
      <c r="K5063" s="7" t="n">
        <f aca="false">Sens!$E$5063+dm_seg</f>
        <v>0.562004564381674</v>
      </c>
      <c r="L5063" s="12" t="s">
        <v>1063</v>
      </c>
    </row>
    <row r="5064" customFormat="false" ht="17.15" hidden="false" customHeight="false" outlineLevel="0" collapsed="false">
      <c r="A5064" s="0" t="s">
        <v>884</v>
      </c>
      <c r="B5064" s="0" t="s">
        <v>98</v>
      </c>
      <c r="D5064" s="6" t="n">
        <f aca="false">Q!L21</f>
        <v>110.814</v>
      </c>
      <c r="E5064" s="6" t="n">
        <f aca="false">Q!M21</f>
        <v>136.365</v>
      </c>
      <c r="F5064" s="6" t="n">
        <f aca="false">Q!$I$21+(Sens!F5063*(Sens!F5034-Sens!F4997)+Sens!F4997-(Sens!F4999+Sens!F5000+Sens!F5001)-Sens!F5015-Sens!F5098)*(Sens!F5034-Q!$I$5)/Sens!F5034</f>
        <v>167.125627158122</v>
      </c>
      <c r="G5064" s="6" t="n">
        <f aca="false">(Sens!G5063*(Sens!G5034-Sens!G4997)+Sens!G4997-(Sens!G4999+Sens!G5000+Sens!G5001)-Sens!G5015-Sens!G5098)</f>
        <v>196.719311851127</v>
      </c>
      <c r="H5064" s="6" t="n">
        <f aca="false">(Sens!H5063*(Sens!H5034-Sens!H4997)+Sens!H4997-(Sens!H4999+Sens!H5000+Sens!H5001)-Sens!H5015-Sens!H5098)</f>
        <v>234.396827355324</v>
      </c>
      <c r="I5064" s="6" t="n">
        <f aca="false">(Sens!I5063*(Sens!I5034-Sens!I4997)+Sens!I4997-(Sens!I4999+Sens!I5000+Sens!I5001)-Sens!I5015-Sens!I5098)</f>
        <v>262.659783528088</v>
      </c>
      <c r="J5064" s="6" t="n">
        <f aca="false">(Sens!J5063*(Sens!J5034-Sens!J4997)+Sens!J4997-(Sens!J4999+Sens!J5000+Sens!J5001)-Sens!J5015-Sens!J5098)</f>
        <v>287.094885889975</v>
      </c>
      <c r="K5064" s="6" t="n">
        <f aca="false">(Sens!K5063*(Sens!K5034-Sens!K4997)+Sens!K4997-(Sens!K4999+Sens!K5000+Sens!K5001)-Sens!K5015-Sens!K5098)</f>
        <v>307.452008410487</v>
      </c>
      <c r="L5064" s="1" t="s">
        <v>1064</v>
      </c>
    </row>
    <row r="5065" customFormat="false" ht="17.15" hidden="false" customHeight="false" outlineLevel="0" collapsed="false">
      <c r="A5065" s="0" t="s">
        <v>1065</v>
      </c>
      <c r="B5065" s="0" t="s">
        <v>168</v>
      </c>
      <c r="E5065" s="7" t="n">
        <f aca="false">Q!M22/Q!M12</f>
        <v>0.296207935710698</v>
      </c>
      <c r="F5065" s="7" t="n">
        <f aca="false">Sens!$E$5065+dm_seg</f>
        <v>0.296207935710698</v>
      </c>
      <c r="G5065" s="7" t="n">
        <f aca="false">Sens!$E$5065+dm_seg</f>
        <v>0.296207935710698</v>
      </c>
      <c r="H5065" s="7" t="n">
        <f aca="false">Sens!$E$5065+dm_seg</f>
        <v>0.296207935710698</v>
      </c>
      <c r="I5065" s="7" t="n">
        <f aca="false">Sens!$E$5065+dm_seg</f>
        <v>0.296207935710698</v>
      </c>
      <c r="J5065" s="7" t="n">
        <f aca="false">Sens!$E$5065+dm_seg</f>
        <v>0.296207935710698</v>
      </c>
      <c r="K5065" s="7" t="n">
        <f aca="false">Sens!$E$5065+dm_seg</f>
        <v>0.296207935710698</v>
      </c>
      <c r="L5065" s="12" t="s">
        <v>1066</v>
      </c>
    </row>
    <row r="5066" customFormat="false" ht="17.15" hidden="false" customHeight="false" outlineLevel="0" collapsed="false">
      <c r="A5066" s="0" t="s">
        <v>886</v>
      </c>
      <c r="B5066" s="0" t="s">
        <v>98</v>
      </c>
      <c r="D5066" s="6" t="n">
        <f aca="false">Q!L22</f>
        <v>17.714</v>
      </c>
      <c r="E5066" s="6" t="n">
        <f aca="false">Q!M22</f>
        <v>18.872</v>
      </c>
      <c r="F5066" s="6" t="n">
        <f aca="false">Q!$I$22+(Sens!F5041-Q!$I$12)*Sens!F5065</f>
        <v>19.8174315512051</v>
      </c>
      <c r="G5066" s="6" t="n">
        <f aca="false">Sens!G5041*Sens!G5065</f>
        <v>19.6313799703815</v>
      </c>
      <c r="H5066" s="6" t="n">
        <f aca="false">Sens!H5041*Sens!H5065</f>
        <v>20.3536242825865</v>
      </c>
      <c r="I5066" s="6" t="n">
        <f aca="false">Sens!I5041*Sens!I5065</f>
        <v>21.1920899239745</v>
      </c>
      <c r="J5066" s="6" t="n">
        <f aca="false">Sens!J5041*Sens!J5065</f>
        <v>22.1288166207045</v>
      </c>
      <c r="K5066" s="6" t="n">
        <f aca="false">Sens!K5041*Sens!K5065</f>
        <v>23.1493653905379</v>
      </c>
      <c r="L5066" s="12" t="s">
        <v>1067</v>
      </c>
    </row>
    <row r="5067" customFormat="false" ht="15" hidden="false" customHeight="false" outlineLevel="0" collapsed="false">
      <c r="A5067" s="1" t="s">
        <v>1068</v>
      </c>
      <c r="B5067" s="0" t="s">
        <v>98</v>
      </c>
      <c r="D5067" s="6" t="n">
        <f aca="false">Sens!D5064+Sens!D5066</f>
        <v>128.528</v>
      </c>
      <c r="E5067" s="6" t="n">
        <f aca="false">Sens!E5064+Sens!E5066</f>
        <v>155.237</v>
      </c>
      <c r="F5067" s="6" t="n">
        <f aca="false">Sens!F5064+Sens!F5066</f>
        <v>186.943058709327</v>
      </c>
      <c r="G5067" s="6" t="n">
        <f aca="false">Sens!G5064+Sens!G5066</f>
        <v>216.350691821508</v>
      </c>
      <c r="H5067" s="6" t="n">
        <f aca="false">Sens!H5064+Sens!H5066</f>
        <v>254.75045163791</v>
      </c>
      <c r="I5067" s="6" t="n">
        <f aca="false">Sens!I5064+Sens!I5066</f>
        <v>283.851873452063</v>
      </c>
      <c r="J5067" s="6" t="n">
        <f aca="false">Sens!J5064+Sens!J5066</f>
        <v>309.223702510679</v>
      </c>
      <c r="K5067" s="6" t="n">
        <f aca="false">Sens!K5064+Sens!K5066</f>
        <v>330.601373801025</v>
      </c>
    </row>
    <row r="5068" customFormat="false" ht="15" hidden="false" customHeight="false" outlineLevel="0" collapsed="false">
      <c r="A5068" s="26" t="s">
        <v>1069</v>
      </c>
      <c r="B5068" s="31" t="s">
        <v>98</v>
      </c>
      <c r="C5068" s="31"/>
      <c r="D5068" s="27" t="n">
        <f aca="false">Sens!D5067-Q!L23</f>
        <v>0</v>
      </c>
      <c r="E5068" s="27" t="n">
        <f aca="false">Sens!E5067-Q!M23</f>
        <v>0</v>
      </c>
      <c r="F5068" s="31"/>
      <c r="G5068" s="31"/>
      <c r="H5068" s="31"/>
      <c r="I5068" s="31"/>
      <c r="J5068" s="31"/>
      <c r="K5068" s="31"/>
    </row>
    <row r="5069" customFormat="false" ht="15" hidden="false" customHeight="false" outlineLevel="0" collapsed="false">
      <c r="A5069" s="1" t="s">
        <v>1070</v>
      </c>
      <c r="B5069" s="0" t="s">
        <v>168</v>
      </c>
      <c r="D5069" s="7" t="n">
        <f aca="false">Sens!D5067/Sens!D5060</f>
        <v>0.456219562408598</v>
      </c>
      <c r="E5069" s="7" t="n">
        <f aca="false">Sens!E5067/Sens!E5060</f>
        <v>0.467808184089272</v>
      </c>
      <c r="F5069" s="7" t="n">
        <f aca="false">Sens!F5067/Sens!F5060</f>
        <v>0.463789676972641</v>
      </c>
      <c r="G5069" s="7" t="n">
        <f aca="false">Sens!G5067/Sens!G5060</f>
        <v>0.439930559752418</v>
      </c>
      <c r="H5069" s="7" t="n">
        <f aca="false">Sens!H5067/Sens!H5060</f>
        <v>0.433769304632925</v>
      </c>
      <c r="I5069" s="7" t="n">
        <f aca="false">Sens!I5067/Sens!I5060</f>
        <v>0.425332555675143</v>
      </c>
      <c r="J5069" s="7" t="n">
        <f aca="false">Sens!J5067/Sens!J5060</f>
        <v>0.422376924354435</v>
      </c>
      <c r="K5069" s="7" t="n">
        <f aca="false">Sens!K5067/Sens!K5060</f>
        <v>0.422691115159942</v>
      </c>
    </row>
    <row r="5070" customFormat="false" ht="17.15" hidden="false" customHeight="false" outlineLevel="0" collapsed="false">
      <c r="A5070" s="1" t="s">
        <v>1071</v>
      </c>
      <c r="B5070" s="0" t="s">
        <v>98</v>
      </c>
      <c r="F5070" s="6" t="n">
        <f aca="false">Sens!F5085</f>
        <v>8.95726723390958</v>
      </c>
      <c r="G5070" s="6" t="n">
        <f aca="false">Sens!G5085</f>
        <v>22.8604660840941</v>
      </c>
      <c r="H5070" s="6" t="n">
        <f aca="false">Sens!H5085</f>
        <v>38.2368558837439</v>
      </c>
      <c r="I5070" s="6" t="n">
        <f aca="false">Sens!I5085</f>
        <v>51.9863600783443</v>
      </c>
      <c r="J5070" s="6" t="n">
        <f aca="false">Sens!J5085</f>
        <v>61.6748905186012</v>
      </c>
      <c r="K5070" s="6" t="n">
        <f aca="false">Sens!K5085</f>
        <v>65.9669779563659</v>
      </c>
      <c r="L5070" s="1" t="s">
        <v>1072</v>
      </c>
    </row>
    <row r="5071" customFormat="false" ht="17.15" hidden="false" customHeight="false" outlineLevel="0" collapsed="false">
      <c r="A5071" s="1" t="s">
        <v>1073</v>
      </c>
      <c r="B5071" s="0" t="s">
        <v>98</v>
      </c>
      <c r="D5071" s="6" t="n">
        <f aca="false">Sens!D5067</f>
        <v>128.528</v>
      </c>
      <c r="E5071" s="6" t="n">
        <f aca="false">Sens!E5067</f>
        <v>155.237</v>
      </c>
      <c r="F5071" s="6" t="n">
        <f aca="false">Sens!F5067+Sens!F5070</f>
        <v>195.900325943237</v>
      </c>
      <c r="G5071" s="6" t="n">
        <f aca="false">Sens!G5067+Sens!G5070</f>
        <v>239.211157905603</v>
      </c>
      <c r="H5071" s="6" t="n">
        <f aca="false">Sens!H5067+Sens!H5070</f>
        <v>292.987307521654</v>
      </c>
      <c r="I5071" s="6" t="n">
        <f aca="false">Sens!I5067+Sens!I5070</f>
        <v>335.838233530407</v>
      </c>
      <c r="J5071" s="6" t="n">
        <f aca="false">Sens!J5067+Sens!J5070</f>
        <v>370.89859302928</v>
      </c>
      <c r="K5071" s="6" t="n">
        <f aca="false">Sens!K5067+Sens!K5070</f>
        <v>396.568351757391</v>
      </c>
    </row>
    <row r="5072" customFormat="false" ht="17.15" hidden="false" customHeight="false" outlineLevel="0" collapsed="false">
      <c r="A5072" s="1" t="s">
        <v>1074</v>
      </c>
      <c r="B5072" s="0" t="s">
        <v>98</v>
      </c>
      <c r="E5072" s="6" t="n">
        <f aca="false">Sens!E5015</f>
        <v>14.1538947660714</v>
      </c>
      <c r="F5072" s="6" t="n">
        <f aca="false">Sens!F5015</f>
        <v>29.9978166232907</v>
      </c>
      <c r="G5072" s="6" t="n">
        <f aca="false">Sens!G5015</f>
        <v>52.6539689846527</v>
      </c>
      <c r="H5072" s="6" t="n">
        <f aca="false">Sens!H5015</f>
        <v>77.2140918476141</v>
      </c>
      <c r="I5072" s="6" t="n">
        <f aca="false">Sens!I5015</f>
        <v>98.4922948062968</v>
      </c>
      <c r="J5072" s="6" t="n">
        <f aca="false">Sens!J5015</f>
        <v>113.162027076484</v>
      </c>
      <c r="K5072" s="6" t="n">
        <f aca="false">Sens!K5015</f>
        <v>121.714210701983</v>
      </c>
    </row>
    <row r="5073" customFormat="false" ht="17.15" hidden="false" customHeight="false" outlineLevel="0" collapsed="false">
      <c r="A5073" s="1" t="s">
        <v>1075</v>
      </c>
      <c r="B5073" s="0" t="s">
        <v>98</v>
      </c>
      <c r="E5073" s="6" t="n">
        <f aca="false">Sens!E5097</f>
        <v>24.3801052339286</v>
      </c>
      <c r="F5073" s="6" t="n">
        <f aca="false">Sens!F5097</f>
        <v>25.5167043063238</v>
      </c>
      <c r="G5073" s="6" t="n">
        <f aca="false">Sens!G5097</f>
        <v>27.1228656574006</v>
      </c>
      <c r="H5073" s="6" t="n">
        <f aca="false">Sens!H5097</f>
        <v>29.1649156531034</v>
      </c>
      <c r="I5073" s="6" t="n">
        <f aca="false">Sens!I5097</f>
        <v>31.5645471177369</v>
      </c>
      <c r="J5073" s="6" t="n">
        <f aca="false">Sens!J5097</f>
        <v>34.2279480700297</v>
      </c>
      <c r="K5073" s="6" t="n">
        <f aca="false">Sens!K5097</f>
        <v>37.0690792492995</v>
      </c>
    </row>
    <row r="5074" customFormat="false" ht="17.15" hidden="false" customHeight="false" outlineLevel="0" collapsed="false">
      <c r="A5074" s="1" t="s">
        <v>1076</v>
      </c>
      <c r="B5074" s="0" t="s">
        <v>98</v>
      </c>
      <c r="D5074" s="6" t="n">
        <f aca="false">Q!L27</f>
        <v>-4.901</v>
      </c>
      <c r="E5074" s="6" t="n">
        <f aca="false">Q!M27</f>
        <v>10.697</v>
      </c>
      <c r="F5074" s="6" t="n">
        <f aca="false">Q!$I$27+oie_f*(q_per_yr-1)/q_per_yr</f>
        <v>-0.862</v>
      </c>
      <c r="G5074" s="6" t="n">
        <f aca="false">oie_f</f>
        <v>-1.2</v>
      </c>
      <c r="H5074" s="6" t="n">
        <f aca="false">oie_f</f>
        <v>-1.2</v>
      </c>
      <c r="I5074" s="6" t="n">
        <f aca="false">oie_f</f>
        <v>-1.2</v>
      </c>
      <c r="J5074" s="6" t="n">
        <f aca="false">oie_f</f>
        <v>-1.2</v>
      </c>
      <c r="K5074" s="6" t="n">
        <f aca="false">oie_f</f>
        <v>-1.2</v>
      </c>
      <c r="L5074" s="12" t="s">
        <v>1077</v>
      </c>
    </row>
    <row r="5075" customFormat="false" ht="15" hidden="false" customHeight="false" outlineLevel="0" collapsed="false">
      <c r="A5075" s="1" t="s">
        <v>1078</v>
      </c>
      <c r="B5075" s="0" t="s">
        <v>98</v>
      </c>
      <c r="D5075" s="6" t="n">
        <f aca="false">Sens!D5067+Sens!D5074</f>
        <v>123.627</v>
      </c>
      <c r="E5075" s="6" t="n">
        <f aca="false">Sens!E5067+Sens!E5074</f>
        <v>165.934</v>
      </c>
      <c r="F5075" s="6" t="n">
        <f aca="false">Sens!F5067+Sens!F5074</f>
        <v>186.081058709327</v>
      </c>
      <c r="G5075" s="6" t="n">
        <f aca="false">Sens!G5067+Sens!G5074</f>
        <v>215.150691821508</v>
      </c>
      <c r="H5075" s="6" t="n">
        <f aca="false">Sens!H5067+Sens!H5074</f>
        <v>253.55045163791</v>
      </c>
      <c r="I5075" s="6" t="n">
        <f aca="false">Sens!I5067+Sens!I5074</f>
        <v>282.651873452063</v>
      </c>
      <c r="J5075" s="6" t="n">
        <f aca="false">Sens!J5067+Sens!J5074</f>
        <v>308.023702510679</v>
      </c>
      <c r="K5075" s="6" t="n">
        <f aca="false">Sens!K5067+Sens!K5074</f>
        <v>329.401373801025</v>
      </c>
    </row>
    <row r="5076" customFormat="false" ht="15" hidden="false" customHeight="false" outlineLevel="0" collapsed="false">
      <c r="A5076" s="1" t="s">
        <v>1079</v>
      </c>
      <c r="B5076" s="0" t="s">
        <v>98</v>
      </c>
      <c r="D5076" s="6" t="n">
        <f aca="false">Q!L29</f>
        <v>21.795</v>
      </c>
      <c r="E5076" s="6" t="n">
        <f aca="false">Q!M29</f>
        <v>32.185</v>
      </c>
      <c r="F5076" s="6" t="n">
        <f aca="false">Q!$I$29+(Sens!F5075-Q!$I$28)*tax_f</f>
        <v>37.3496117418654</v>
      </c>
      <c r="G5076" s="6" t="n">
        <f aca="false">Sens!G5075*tax_f</f>
        <v>43.0301383643017</v>
      </c>
      <c r="H5076" s="6" t="n">
        <f aca="false">Sens!H5075*tax_f</f>
        <v>50.710090327582</v>
      </c>
      <c r="I5076" s="6" t="n">
        <f aca="false">Sens!I5075*tax_f</f>
        <v>56.5303746904125</v>
      </c>
      <c r="J5076" s="6" t="n">
        <f aca="false">Sens!J5075*tax_f</f>
        <v>61.6047405021358</v>
      </c>
      <c r="K5076" s="6" t="n">
        <f aca="false">Sens!K5075*tax_f</f>
        <v>65.880274760205</v>
      </c>
    </row>
    <row r="5077" customFormat="false" ht="15" hidden="false" customHeight="false" outlineLevel="0" collapsed="false">
      <c r="A5077" s="1" t="s">
        <v>1080</v>
      </c>
      <c r="B5077" s="0" t="s">
        <v>98</v>
      </c>
      <c r="D5077" s="6" t="n">
        <f aca="false">Sens!D5075-Sens!D5076</f>
        <v>101.832</v>
      </c>
      <c r="E5077" s="6" t="n">
        <f aca="false">Sens!E5075-Sens!E5076</f>
        <v>133.749</v>
      </c>
      <c r="F5077" s="6" t="n">
        <f aca="false">Sens!F5075-Sens!F5076</f>
        <v>148.731446967462</v>
      </c>
      <c r="G5077" s="6" t="n">
        <f aca="false">Sens!G5075-Sens!G5076</f>
        <v>172.120553457207</v>
      </c>
      <c r="H5077" s="6" t="n">
        <f aca="false">Sens!H5075-Sens!H5076</f>
        <v>202.840361310328</v>
      </c>
      <c r="I5077" s="6" t="n">
        <f aca="false">Sens!I5075-Sens!I5076</f>
        <v>226.12149876165</v>
      </c>
      <c r="J5077" s="6" t="n">
        <f aca="false">Sens!J5075-Sens!J5076</f>
        <v>246.418962008543</v>
      </c>
      <c r="K5077" s="6" t="n">
        <f aca="false">Sens!K5075-Sens!K5076</f>
        <v>263.52109904082</v>
      </c>
    </row>
    <row r="5078" customFormat="false" ht="17.15" hidden="false" customHeight="false" outlineLevel="0" collapsed="false">
      <c r="A5078" s="1" t="s">
        <v>1081</v>
      </c>
      <c r="B5078" s="1" t="s">
        <v>81</v>
      </c>
      <c r="D5078" s="15" t="n">
        <f aca="false">Q!L31</f>
        <v>7.465</v>
      </c>
      <c r="E5078" s="15" t="n">
        <f aca="false">Q!M31</f>
        <v>7.453</v>
      </c>
      <c r="F5078" s="15" t="n">
        <f aca="false">Sens!F5122</f>
        <v>7.47186473309375</v>
      </c>
      <c r="G5078" s="15" t="n">
        <f aca="false">Sens!G5122</f>
        <v>7.51420519998782</v>
      </c>
      <c r="H5078" s="15" t="n">
        <f aca="false">Sens!H5122</f>
        <v>7.54088087281693</v>
      </c>
      <c r="I5078" s="15" t="n">
        <f aca="false">Sens!I5122</f>
        <v>7.5525622368724</v>
      </c>
      <c r="J5078" s="15" t="n">
        <f aca="false">Sens!J5122</f>
        <v>7.56671164803487</v>
      </c>
      <c r="K5078" s="15" t="n">
        <f aca="false">Sens!K5122</f>
        <v>7.58314628800013</v>
      </c>
    </row>
    <row r="5079" customFormat="false" ht="17.15" hidden="false" customHeight="false" outlineLevel="0" collapsed="false">
      <c r="A5079" s="0" t="s">
        <v>1082</v>
      </c>
      <c r="B5079" s="0" t="s">
        <v>75</v>
      </c>
      <c r="D5079" s="8" t="n">
        <f aca="false">Sens!D5077/Sens!D5078</f>
        <v>13.641259209645</v>
      </c>
      <c r="E5079" s="8" t="n">
        <f aca="false">Sens!E5077/Sens!E5078</f>
        <v>17.9456594659869</v>
      </c>
      <c r="F5079" s="8" t="n">
        <f aca="false">Sens!F5077/Sens!F5078</f>
        <v>19.9055325919797</v>
      </c>
      <c r="G5079" s="8" t="n">
        <f aca="false">Sens!G5077/Sens!G5078</f>
        <v>22.9060225102032</v>
      </c>
      <c r="H5079" s="8" t="n">
        <f aca="false">Sens!H5077/Sens!H5078</f>
        <v>26.8987621912341</v>
      </c>
      <c r="I5079" s="8" t="n">
        <f aca="false">Sens!I5077/Sens!I5078</f>
        <v>29.9397067736432</v>
      </c>
      <c r="J5079" s="8" t="n">
        <f aca="false">Sens!J5077/Sens!J5078</f>
        <v>32.5661890489166</v>
      </c>
      <c r="K5079" s="8" t="n">
        <f aca="false">Sens!K5077/Sens!K5078</f>
        <v>34.7508921801794</v>
      </c>
      <c r="L5079" s="1" t="s">
        <v>1083</v>
      </c>
    </row>
    <row r="5080" customFormat="false" ht="17.15" hidden="false" customHeight="false" outlineLevel="0" collapsed="false">
      <c r="A5080" s="1" t="s">
        <v>1084</v>
      </c>
      <c r="B5080" s="0" t="s">
        <v>98</v>
      </c>
      <c r="D5080" s="6" t="n">
        <f aca="false">Sens!D5077</f>
        <v>101.832</v>
      </c>
      <c r="E5080" s="6" t="n">
        <f aca="false">Sens!E5077</f>
        <v>133.749</v>
      </c>
      <c r="F5080" s="6" t="n">
        <f aca="false">Sens!F5077+Sens!F5070*(1-tax_f)</f>
        <v>155.897260754589</v>
      </c>
      <c r="G5080" s="6" t="n">
        <f aca="false">Sens!G5077+Sens!G5070*(1-tax_f)</f>
        <v>190.408926324482</v>
      </c>
      <c r="H5080" s="6" t="n">
        <f aca="false">Sens!H5077+Sens!H5070*(1-tax_f)</f>
        <v>233.429846017323</v>
      </c>
      <c r="I5080" s="6" t="n">
        <f aca="false">Sens!I5077+Sens!I5070*(1-tax_f)</f>
        <v>267.710586824326</v>
      </c>
      <c r="J5080" s="6" t="n">
        <f aca="false">Sens!J5077+Sens!J5070*(1-tax_f)</f>
        <v>295.758874423424</v>
      </c>
      <c r="K5080" s="6" t="n">
        <f aca="false">Sens!K5077+Sens!K5070*(1-tax_f)</f>
        <v>316.294681405913</v>
      </c>
    </row>
    <row r="5081" customFormat="false" ht="17.15" hidden="false" customHeight="false" outlineLevel="0" collapsed="false">
      <c r="A5081" s="0" t="s">
        <v>1085</v>
      </c>
      <c r="B5081" s="0" t="s">
        <v>75</v>
      </c>
      <c r="D5081" s="8" t="n">
        <f aca="false">Sens!D5080/Sens!D5078</f>
        <v>13.641259209645</v>
      </c>
      <c r="E5081" s="8" t="n">
        <f aca="false">Sens!E5080/Sens!E5078</f>
        <v>17.9456594659869</v>
      </c>
      <c r="F5081" s="8" t="n">
        <f aca="false">Sens!F5080/Sens!F5078</f>
        <v>20.8645721414231</v>
      </c>
      <c r="G5081" s="8" t="n">
        <f aca="false">Sens!G5080/Sens!G5078</f>
        <v>25.3398624680613</v>
      </c>
      <c r="H5081" s="8" t="n">
        <f aca="false">Sens!H5080/Sens!H5078</f>
        <v>30.9552491219934</v>
      </c>
      <c r="I5081" s="8" t="n">
        <f aca="false">Sens!I5080/Sens!I5078</f>
        <v>35.4463264820691</v>
      </c>
      <c r="J5081" s="8" t="n">
        <f aca="false">Sens!J5080/Sens!J5078</f>
        <v>39.0868435564391</v>
      </c>
      <c r="K5081" s="8" t="n">
        <f aca="false">Sens!K5080/Sens!K5078</f>
        <v>41.7102175526312</v>
      </c>
      <c r="L5081" s="1" t="s">
        <v>1086</v>
      </c>
    </row>
    <row r="5082" customFormat="false" ht="17.15" hidden="false" customHeight="false" outlineLevel="0" collapsed="false">
      <c r="A5082" s="0" t="s">
        <v>1087</v>
      </c>
      <c r="B5082" s="0" t="s">
        <v>168</v>
      </c>
      <c r="E5082" s="7" t="n">
        <f aca="false">Sens!E5081/Sens!D5081-1</f>
        <v>0.315542736208578</v>
      </c>
      <c r="F5082" s="7" t="n">
        <f aca="false">Sens!F5081/Sens!E5081-1</f>
        <v>0.162652851012165</v>
      </c>
      <c r="G5082" s="7" t="n">
        <f aca="false">Sens!G5081/Sens!F5081-1</f>
        <v>0.214492312437755</v>
      </c>
      <c r="H5082" s="7" t="n">
        <f aca="false">Sens!H5081/Sens!G5081-1</f>
        <v>0.221602886006579</v>
      </c>
      <c r="I5082" s="7" t="n">
        <f aca="false">Sens!I5081/Sens!H5081-1</f>
        <v>0.145082901525896</v>
      </c>
      <c r="J5082" s="7" t="n">
        <f aca="false">Sens!J5081/Sens!I5081-1</f>
        <v>0.102705059612073</v>
      </c>
      <c r="K5082" s="7" t="n">
        <f aca="false">Sens!K5081/Sens!J5081-1</f>
        <v>0.067116547602625</v>
      </c>
    </row>
    <row r="5083" customFormat="false" ht="17.15" hidden="false" customHeight="false" outlineLevel="0" collapsed="false">
      <c r="A5083" s="0" t="s">
        <v>1007</v>
      </c>
      <c r="B5083" s="0" t="s">
        <v>98</v>
      </c>
      <c r="E5083" s="6" t="n">
        <f aca="false">Sens!E5024</f>
        <v>5.25</v>
      </c>
      <c r="F5083" s="6" t="n">
        <f aca="false">Sens!F5024</f>
        <v>13.5</v>
      </c>
      <c r="G5083" s="6" t="n">
        <f aca="false">Sens!G5024</f>
        <v>22.5</v>
      </c>
      <c r="H5083" s="6" t="n">
        <f aca="false">Sens!H5024</f>
        <v>31.5</v>
      </c>
      <c r="I5083" s="6" t="n">
        <f aca="false">Sens!I5024</f>
        <v>38.25</v>
      </c>
      <c r="J5083" s="6" t="n">
        <f aca="false">Sens!J5024</f>
        <v>42.75</v>
      </c>
      <c r="K5083" s="6" t="n">
        <f aca="false">Sens!K5024</f>
        <v>47.25</v>
      </c>
    </row>
    <row r="5084" customFormat="false" ht="17.15" hidden="false" customHeight="false" outlineLevel="0" collapsed="false">
      <c r="A5084" s="1" t="s">
        <v>1008</v>
      </c>
      <c r="B5084" s="0" t="s">
        <v>98</v>
      </c>
      <c r="F5084" s="6" t="n">
        <f aca="false">MAX(0,((Sens!E4984+Sens!F4984)/2-(shadow_base*(Sens!$D$4984+Sens!$E$4984)/2+(1-shadow_base)*Sens!$E$4984))*Sens!F4993/1000-(Sens!F5083-Sens!$E$5083)*Sens!F5063)</f>
        <v>8.95726723390958</v>
      </c>
      <c r="G5084" s="6" t="n">
        <f aca="false">MAX(0,((Sens!F4984+Sens!G4984)/2-(shadow_base*(Sens!$D$4984+Sens!$E$4984)/2+(1-shadow_base)*Sens!$E$4984))*Sens!G4993/1000-(Sens!G5083-Sens!$E$5083)*Sens!G5063)</f>
        <v>22.8604660840941</v>
      </c>
      <c r="H5084" s="6" t="n">
        <f aca="false">MAX(0,((Sens!G4984+Sens!H4984)/2-(shadow_base*(Sens!$D$4984+Sens!$E$4984)/2+(1-shadow_base)*Sens!$E$4984))*Sens!H4993/1000-(Sens!H5083-Sens!$E$5083)*Sens!H5063)</f>
        <v>38.2368558837439</v>
      </c>
      <c r="I5084" s="6" t="n">
        <f aca="false">MAX(0,((Sens!H4984+Sens!I4984)/2-(shadow_base*(Sens!$D$4984+Sens!$E$4984)/2+(1-shadow_base)*Sens!$E$4984))*Sens!I4993/1000-(Sens!I5083-Sens!$E$5083)*Sens!I5063)</f>
        <v>51.9863600783443</v>
      </c>
      <c r="J5084" s="6" t="n">
        <f aca="false">MAX(0,((Sens!I4984+Sens!J4984)/2-(shadow_base*(Sens!$D$4984+Sens!$E$4984)/2+(1-shadow_base)*Sens!$E$4984))*Sens!J4993/1000-(Sens!J5083-Sens!$E$5083)*Sens!J5063)</f>
        <v>61.6748905186012</v>
      </c>
      <c r="K5084" s="6" t="n">
        <f aca="false">MAX(0,((Sens!J4984+Sens!K4984)/2-(shadow_base*(Sens!$D$4984+Sens!$E$4984)/2+(1-shadow_base)*Sens!$E$4984))*Sens!K4993/1000-(Sens!K5083-Sens!$E$5083)*Sens!K5063)</f>
        <v>65.9669779563659</v>
      </c>
      <c r="L5084" s="1" t="s">
        <v>1009</v>
      </c>
    </row>
    <row r="5085" customFormat="false" ht="17.15" hidden="false" customHeight="false" outlineLevel="0" collapsed="false">
      <c r="A5085" s="1" t="s">
        <v>1010</v>
      </c>
      <c r="B5085" s="0" t="s">
        <v>98</v>
      </c>
      <c r="F5085" s="6" t="n">
        <f aca="false">IF(internal_ai_reading=2,1,0)*Sens!F5084</f>
        <v>8.95726723390958</v>
      </c>
      <c r="G5085" s="6" t="n">
        <f aca="false">IF(internal_ai_reading=2,1,0)*Sens!G5084</f>
        <v>22.8604660840941</v>
      </c>
      <c r="H5085" s="6" t="n">
        <f aca="false">IF(internal_ai_reading=2,1,0)*Sens!H5084</f>
        <v>38.2368558837439</v>
      </c>
      <c r="I5085" s="6" t="n">
        <f aca="false">IF(internal_ai_reading=2,1,0)*Sens!I5084</f>
        <v>51.9863600783443</v>
      </c>
      <c r="J5085" s="6" t="n">
        <f aca="false">IF(internal_ai_reading=2,1,0)*Sens!J5084</f>
        <v>61.6748905186012</v>
      </c>
      <c r="K5085" s="6" t="n">
        <f aca="false">IF(internal_ai_reading=2,1,0)*Sens!K5084</f>
        <v>65.9669779563659</v>
      </c>
    </row>
    <row r="5086" customFormat="false" ht="17.15" hidden="false" customHeight="false" outlineLevel="0" collapsed="false">
      <c r="A5086" s="0" t="s">
        <v>1011</v>
      </c>
      <c r="B5086" s="0" t="s">
        <v>98</v>
      </c>
      <c r="F5086" s="6" t="n">
        <f aca="false">Sens!F5003+Sens!F5083*Sens!F5063+Sens!F5085-Sens!F5004-Sens!F5015</f>
        <v>23.0413635412354</v>
      </c>
      <c r="G5086" s="6" t="n">
        <f aca="false">Sens!G5003+Sens!G5083*Sens!G5063+Sens!G5085-Sens!G5004-Sens!G5015</f>
        <v>51.2319060368182</v>
      </c>
      <c r="H5086" s="6" t="n">
        <f aca="false">Sens!H5003+Sens!H5083*Sens!H5063+Sens!H5085-Sens!H5004-Sens!H5015</f>
        <v>85.3415950407983</v>
      </c>
      <c r="I5086" s="6" t="n">
        <f aca="false">Sens!I5003+Sens!I5083*Sens!I5063+Sens!I5085-Sens!I5004-Sens!I5015</f>
        <v>108.889482928218</v>
      </c>
      <c r="J5086" s="6" t="n">
        <f aca="false">Sens!J5003+Sens!J5083*Sens!J5063+Sens!J5085-Sens!J5004-Sens!J5015</f>
        <v>125.768538210713</v>
      </c>
      <c r="K5086" s="6" t="n">
        <f aca="false">Sens!K5003+Sens!K5083*Sens!K5063+Sens!K5085-Sens!K5004-Sens!K5015</f>
        <v>135.159060876644</v>
      </c>
    </row>
    <row r="5087" customFormat="false" ht="17.15" hidden="false" customHeight="false" outlineLevel="0" collapsed="false">
      <c r="A5087" s="0" t="s">
        <v>1012</v>
      </c>
      <c r="B5087" s="0" t="s">
        <v>98</v>
      </c>
      <c r="E5087" s="6" t="n">
        <f aca="false">Sens!E4983*(cxit_open+self_build*tk_cxfac)/1000*ai_net_open</f>
        <v>126.6980382</v>
      </c>
      <c r="F5087" s="6" t="n">
        <f aca="false">Sens!E5087+Sens!F5012-Sens!F5015</f>
        <v>265.154125618829</v>
      </c>
      <c r="G5087" s="6" t="n">
        <f aca="false">Sens!F5087+Sens!G5012-Sens!G5015</f>
        <v>404.444632283224</v>
      </c>
      <c r="H5087" s="6" t="n">
        <f aca="false">Sens!G5087+Sens!H5012-Sens!H5015</f>
        <v>524.036544500123</v>
      </c>
      <c r="I5087" s="6" t="n">
        <f aca="false">Sens!H5087+Sens!I5012-Sens!I5015</f>
        <v>564.998338555436</v>
      </c>
      <c r="J5087" s="6" t="n">
        <f aca="false">Sens!I5087+Sens!J5012-Sens!J5015</f>
        <v>565.888311674893</v>
      </c>
      <c r="K5087" s="6" t="n">
        <f aca="false">Sens!J5087+Sens!K5012-Sens!K5015</f>
        <v>519.693395517643</v>
      </c>
      <c r="L5087" s="1" t="s">
        <v>1013</v>
      </c>
    </row>
    <row r="5088" customFormat="false" ht="17.15" hidden="false" customHeight="false" outlineLevel="0" collapsed="false">
      <c r="A5088" s="0" t="s">
        <v>1014</v>
      </c>
      <c r="B5088" s="0" t="s">
        <v>168</v>
      </c>
      <c r="F5088" s="7" t="n">
        <f aca="false">Sens!F5086*(1-tax_f)/((Sens!E5087+Sens!F5087)/2)</f>
        <v>0.0940818631871114</v>
      </c>
      <c r="G5088" s="7" t="n">
        <f aca="false">Sens!G5086*(1-tax_f)/((Sens!F5087+Sens!G5087)/2)</f>
        <v>0.122418162655701</v>
      </c>
      <c r="H5088" s="7" t="n">
        <f aca="false">Sens!H5086*(1-tax_f)/((Sens!G5087+Sens!H5087)/2)</f>
        <v>0.147064426807588</v>
      </c>
      <c r="I5088" s="7" t="n">
        <f aca="false">Sens!I5086*(1-tax_f)/((Sens!H5087+Sens!I5087)/2)</f>
        <v>0.159979423428865</v>
      </c>
      <c r="J5088" s="7" t="n">
        <f aca="false">Sens!J5086*(1-tax_f)/((Sens!I5087+Sens!J5087)/2)</f>
        <v>0.177939726405078</v>
      </c>
      <c r="K5088" s="7" t="n">
        <f aca="false">Sens!K5086*(1-tax_f)/((Sens!J5087+Sens!K5087)/2)</f>
        <v>0.199206099338109</v>
      </c>
    </row>
    <row r="5089" customFormat="false" ht="17.15" hidden="false" customHeight="false" outlineLevel="0" collapsed="false">
      <c r="A5089" s="1" t="s">
        <v>1015</v>
      </c>
      <c r="B5089" s="0" t="s">
        <v>168</v>
      </c>
      <c r="F5089" s="7" t="n">
        <f aca="false">(Sens!F5086-Sens!F5085)*(1-tax_f)/((Sens!E5087+Sens!F5087)/2)</f>
        <v>0.0575077954708961</v>
      </c>
      <c r="G5089" s="7" t="n">
        <f aca="false">(Sens!G5086-Sens!G5085)*(1-tax_f)/((Sens!F5087+Sens!G5087)/2)</f>
        <v>0.0677932917118684</v>
      </c>
      <c r="H5089" s="7" t="n">
        <f aca="false">(Sens!H5086-Sens!H5085)*(1-tax_f)/((Sens!G5087+Sens!H5087)/2)</f>
        <v>0.0811729785544952</v>
      </c>
      <c r="I5089" s="7" t="n">
        <f aca="false">(Sens!I5086-Sens!I5085)*(1-tax_f)/((Sens!H5087+Sens!I5087)/2)</f>
        <v>0.0836015429591649</v>
      </c>
      <c r="J5089" s="7" t="n">
        <f aca="false">(Sens!J5086-Sens!J5085)*(1-tax_f)/((Sens!I5087+Sens!J5087)/2)</f>
        <v>0.0906809150912621</v>
      </c>
      <c r="K5089" s="7" t="n">
        <f aca="false">(Sens!K5086-Sens!K5085)*(1-tax_f)/((Sens!J5087+Sens!K5087)/2)</f>
        <v>0.101979733021431</v>
      </c>
    </row>
    <row r="5090" customFormat="false" ht="17.15" hidden="false" customHeight="false" outlineLevel="0" collapsed="false">
      <c r="A5090" s="1" t="s">
        <v>1016</v>
      </c>
      <c r="B5090" s="0" t="s">
        <v>168</v>
      </c>
      <c r="F5090" s="7" t="n">
        <f aca="false">(Sens!F5086-Sens!F5085+Sens!F5084)*(1-tax_f)/((Sens!E5087+Sens!F5087)/2)</f>
        <v>0.0940818631871114</v>
      </c>
      <c r="G5090" s="7" t="n">
        <f aca="false">(Sens!G5086-Sens!G5085+Sens!G5084)*(1-tax_f)/((Sens!F5087+Sens!G5087)/2)</f>
        <v>0.122418162655701</v>
      </c>
      <c r="H5090" s="7" t="n">
        <f aca="false">(Sens!H5086-Sens!H5085+Sens!H5084)*(1-tax_f)/((Sens!G5087+Sens!H5087)/2)</f>
        <v>0.147064426807588</v>
      </c>
      <c r="I5090" s="7" t="n">
        <f aca="false">(Sens!I5086-Sens!I5085+Sens!I5084)*(1-tax_f)/((Sens!H5087+Sens!I5087)/2)</f>
        <v>0.159979423428865</v>
      </c>
      <c r="J5090" s="7" t="n">
        <f aca="false">(Sens!J5086-Sens!J5085+Sens!J5084)*(1-tax_f)/((Sens!I5087+Sens!J5087)/2)</f>
        <v>0.177939726405078</v>
      </c>
      <c r="K5090" s="7" t="n">
        <f aca="false">(Sens!K5086-Sens!K5085+Sens!K5084)*(1-tax_f)/((Sens!J5087+Sens!K5087)/2)</f>
        <v>0.199206099338109</v>
      </c>
    </row>
    <row r="5091" customFormat="false" ht="17.15" hidden="false" customHeight="false" outlineLevel="0" collapsed="false">
      <c r="A5091" s="1" t="s">
        <v>1017</v>
      </c>
      <c r="B5091" s="0" t="s">
        <v>168</v>
      </c>
      <c r="F5091" s="7" t="n">
        <f aca="false">Sens!F5016*(1-tax_f)/(Sens!F5002*(Sens!E5087+Sens!F5087)/2)</f>
        <v>0.171612472031662</v>
      </c>
      <c r="G5091" s="7" t="n">
        <f aca="false">Sens!G5016*(1-tax_f)/(Sens!G5002*(Sens!F5087+Sens!G5087)/2)</f>
        <v>0.19166927576729</v>
      </c>
      <c r="H5091" s="7" t="n">
        <f aca="false">Sens!H5016*(1-tax_f)/(Sens!H5002*(Sens!G5087+Sens!H5087)/2)</f>
        <v>0.219654237150296</v>
      </c>
      <c r="I5091" s="7" t="n">
        <f aca="false">Sens!I5016*(1-tax_f)/(Sens!I5002*(Sens!H5087+Sens!I5087)/2)</f>
        <v>0.232955377936765</v>
      </c>
      <c r="J5091" s="7" t="n">
        <f aca="false">Sens!J5016*(1-tax_f)/(Sens!J5002*(Sens!I5087+Sens!J5087)/2)</f>
        <v>0.255823859040175</v>
      </c>
      <c r="K5091" s="7" t="n">
        <f aca="false">Sens!K5016*(1-tax_f)/(Sens!K5002*(Sens!J5087+Sens!K5087)/2)</f>
        <v>0.284962660081467</v>
      </c>
    </row>
    <row r="5092" customFormat="false" ht="17.15" hidden="false" customHeight="false" outlineLevel="0" collapsed="false">
      <c r="A5092" s="0" t="s">
        <v>1018</v>
      </c>
      <c r="B5092" s="0" t="s">
        <v>253</v>
      </c>
      <c r="F5092" s="7" t="n">
        <f aca="false">Sens!F5088-wacc</f>
        <v>-0.00885472775848589</v>
      </c>
      <c r="G5092" s="7" t="n">
        <f aca="false">Sens!G5088-wacc</f>
        <v>0.0194815717101041</v>
      </c>
      <c r="H5092" s="7" t="n">
        <f aca="false">Sens!H5088-wacc</f>
        <v>0.0441278358619902</v>
      </c>
      <c r="I5092" s="7" t="n">
        <f aca="false">Sens!I5088-wacc</f>
        <v>0.0570428324832674</v>
      </c>
      <c r="J5092" s="7" t="n">
        <f aca="false">Sens!J5088-wacc</f>
        <v>0.075003135459481</v>
      </c>
      <c r="K5092" s="7" t="n">
        <f aca="false">Sens!K5088-wacc</f>
        <v>0.0962695083925114</v>
      </c>
    </row>
    <row r="5093" customFormat="false" ht="17.15" hidden="false" customHeight="false" outlineLevel="0" collapsed="false">
      <c r="A5093" s="0" t="s">
        <v>1019</v>
      </c>
      <c r="B5093" s="0" t="s">
        <v>98</v>
      </c>
      <c r="F5093" s="6" t="n">
        <f aca="false">Sens!F5086*(1-tax_f)-wacc*(Sens!E5087+Sens!F5087)/2</f>
        <v>-1.73487211609467</v>
      </c>
      <c r="G5093" s="6" t="n">
        <f aca="false">Sens!G5086*(1-tax_f)-wacc*(Sens!F5087+Sens!G5087)/2</f>
        <v>6.52241810953274</v>
      </c>
      <c r="H5093" s="6" t="n">
        <f aca="false">Sens!H5086*(1-tax_f)-wacc*(Sens!G5087+Sens!H5087)/2</f>
        <v>20.4859324850215</v>
      </c>
      <c r="I5093" s="6" t="n">
        <f aca="false">Sens!I5086*(1-tax_f)-wacc*(Sens!H5087+Sens!I5087)/2</f>
        <v>31.0608172012864</v>
      </c>
      <c r="J5093" s="6" t="n">
        <f aca="false">Sens!J5086*(1-tax_f)-wacc*(Sens!I5087+Sens!J5087)/2</f>
        <v>42.410022308272</v>
      </c>
      <c r="K5093" s="6" t="n">
        <f aca="false">Sens!K5086*(1-tax_f)-wacc*(Sens!J5087+Sens!K5087)/2</f>
        <v>52.2542086356643</v>
      </c>
    </row>
    <row r="5094" customFormat="false" ht="17.15" hidden="false" customHeight="false" outlineLevel="0" collapsed="false">
      <c r="A5094" s="3" t="s">
        <v>1738</v>
      </c>
    </row>
    <row r="5095" customFormat="false" ht="15" hidden="false" customHeight="false" outlineLevel="0" collapsed="false">
      <c r="A5095" s="4" t="s">
        <v>43</v>
      </c>
      <c r="B5095" s="4" t="s">
        <v>65</v>
      </c>
      <c r="C5095" s="23" t="s">
        <v>942</v>
      </c>
      <c r="D5095" s="23" t="s">
        <v>943</v>
      </c>
      <c r="E5095" s="23" t="s">
        <v>944</v>
      </c>
      <c r="F5095" s="23" t="s">
        <v>945</v>
      </c>
      <c r="G5095" s="23" t="s">
        <v>946</v>
      </c>
      <c r="H5095" s="23" t="s">
        <v>947</v>
      </c>
      <c r="I5095" s="23" t="s">
        <v>948</v>
      </c>
      <c r="J5095" s="23" t="s">
        <v>949</v>
      </c>
      <c r="K5095" s="23" t="s">
        <v>950</v>
      </c>
      <c r="L5095" s="4" t="s">
        <v>47</v>
      </c>
    </row>
    <row r="5096" customFormat="false" ht="15" hidden="false" customHeight="false" outlineLevel="0" collapsed="false">
      <c r="A5096" s="1" t="s">
        <v>1080</v>
      </c>
      <c r="B5096" s="0" t="s">
        <v>98</v>
      </c>
      <c r="F5096" s="6" t="n">
        <f aca="false">Sens!F5077</f>
        <v>148.731446967462</v>
      </c>
      <c r="G5096" s="6" t="n">
        <f aca="false">Sens!G5077</f>
        <v>172.120553457207</v>
      </c>
      <c r="H5096" s="6" t="n">
        <f aca="false">Sens!H5077</f>
        <v>202.840361310328</v>
      </c>
      <c r="I5096" s="6" t="n">
        <f aca="false">Sens!I5077</f>
        <v>226.12149876165</v>
      </c>
      <c r="J5096" s="6" t="n">
        <f aca="false">Sens!J5077</f>
        <v>246.418962008543</v>
      </c>
      <c r="K5096" s="6" t="n">
        <f aca="false">Sens!K5077</f>
        <v>263.52109904082</v>
      </c>
    </row>
    <row r="5097" customFormat="false" ht="17.15" hidden="false" customHeight="false" outlineLevel="0" collapsed="false">
      <c r="A5097" s="1" t="s">
        <v>1102</v>
      </c>
      <c r="B5097" s="0" t="s">
        <v>98</v>
      </c>
      <c r="E5097" s="6" t="n">
        <f aca="false">Q!M38-Sens!E5015</f>
        <v>24.3801052339286</v>
      </c>
      <c r="F5097" s="6" t="n">
        <f aca="false">Sens!E5097*(1-1/life_nonai)+(Sens!F5105+Sens!F5106)/life_nonai</f>
        <v>25.5167043063238</v>
      </c>
      <c r="G5097" s="6" t="n">
        <f aca="false">Sens!F5097*(1-1/life_nonai)+(Sens!G5105)/life_nonai</f>
        <v>27.1228656574006</v>
      </c>
      <c r="H5097" s="6" t="n">
        <f aca="false">Sens!G5097*(1-1/life_nonai)+(Sens!H5105)/life_nonai</f>
        <v>29.1649156531034</v>
      </c>
      <c r="I5097" s="6" t="n">
        <f aca="false">Sens!H5097*(1-1/life_nonai)+(Sens!I5105)/life_nonai</f>
        <v>31.5645471177369</v>
      </c>
      <c r="J5097" s="6" t="n">
        <f aca="false">Sens!I5097*(1-1/life_nonai)+(Sens!J5105)/life_nonai</f>
        <v>34.2279480700297</v>
      </c>
      <c r="K5097" s="6" t="n">
        <f aca="false">Sens!J5097*(1-1/life_nonai)+(Sens!K5105)/life_nonai</f>
        <v>37.0690792492995</v>
      </c>
      <c r="L5097" s="12" t="s">
        <v>1103</v>
      </c>
    </row>
    <row r="5098" customFormat="false" ht="17.15" hidden="false" customHeight="false" outlineLevel="0" collapsed="false">
      <c r="A5098" s="1" t="s">
        <v>1104</v>
      </c>
      <c r="B5098" s="0" t="s">
        <v>98</v>
      </c>
      <c r="F5098" s="6" t="n">
        <f aca="false">Sens!$F$5106/life_nonai*(1-1/life_nonai)^(Sens!F4978-2027)</f>
        <v>0.00475774452575592</v>
      </c>
      <c r="G5098" s="6" t="n">
        <f aca="false">Sens!$F$5106/life_nonai*(1-1/life_nonai)^(Sens!G4978-2027)</f>
        <v>0.00428197007318033</v>
      </c>
      <c r="H5098" s="6" t="n">
        <f aca="false">Sens!$F$5106/life_nonai*(1-1/life_nonai)^(Sens!H4978-2027)</f>
        <v>0.0038537730658623</v>
      </c>
      <c r="I5098" s="6" t="n">
        <f aca="false">Sens!$F$5106/life_nonai*(1-1/life_nonai)^(Sens!I4978-2027)</f>
        <v>0.00346839575927607</v>
      </c>
      <c r="J5098" s="6" t="n">
        <f aca="false">Sens!$F$5106/life_nonai*(1-1/life_nonai)^(Sens!J4978-2027)</f>
        <v>0.00312155618334846</v>
      </c>
      <c r="K5098" s="6" t="n">
        <f aca="false">Sens!$F$5106/life_nonai*(1-1/life_nonai)^(Sens!K4978-2027)</f>
        <v>0.00280940056501362</v>
      </c>
      <c r="L5098" s="1" t="s">
        <v>1105</v>
      </c>
    </row>
    <row r="5099" customFormat="false" ht="17.15" hidden="false" customHeight="false" outlineLevel="0" collapsed="false">
      <c r="A5099" s="1" t="s">
        <v>1106</v>
      </c>
      <c r="B5099" s="0" t="s">
        <v>98</v>
      </c>
      <c r="E5099" s="6" t="n">
        <f aca="false">Sens!E5015+Sens!E5097</f>
        <v>38.534</v>
      </c>
      <c r="F5099" s="6" t="n">
        <f aca="false">Sens!F5015+Sens!F5097</f>
        <v>55.5145209296144</v>
      </c>
      <c r="G5099" s="6" t="n">
        <f aca="false">Sens!G5015+Sens!G5097</f>
        <v>79.7768346420532</v>
      </c>
      <c r="H5099" s="6" t="n">
        <f aca="false">Sens!H5015+Sens!H5097</f>
        <v>106.379007500718</v>
      </c>
      <c r="I5099" s="6" t="n">
        <f aca="false">Sens!I5015+Sens!I5097</f>
        <v>130.056841924034</v>
      </c>
      <c r="J5099" s="6" t="n">
        <f aca="false">Sens!J5015+Sens!J5097</f>
        <v>147.389975146514</v>
      </c>
      <c r="K5099" s="6" t="n">
        <f aca="false">Sens!K5015+Sens!K5097</f>
        <v>158.783289951282</v>
      </c>
    </row>
    <row r="5100" customFormat="false" ht="17.15" hidden="false" customHeight="false" outlineLevel="0" collapsed="false">
      <c r="A5100" s="1" t="s">
        <v>1107</v>
      </c>
      <c r="B5100" s="0" t="s">
        <v>98</v>
      </c>
      <c r="F5100" s="6" t="n">
        <f aca="false">Sens!F5042*sbc_r</f>
        <v>15.0680693022395</v>
      </c>
      <c r="G5100" s="6" t="n">
        <f aca="false">Sens!G5042*sbc_r</f>
        <v>18.3841476633065</v>
      </c>
      <c r="H5100" s="6" t="n">
        <f aca="false">Sens!H5042*sbc_r</f>
        <v>21.9545979838202</v>
      </c>
      <c r="I5100" s="6" t="n">
        <f aca="false">Sens!I5042*sbc_r</f>
        <v>24.9478131098445</v>
      </c>
      <c r="J5100" s="6" t="n">
        <f aca="false">Sens!J5042*sbc_r</f>
        <v>27.3679290395313</v>
      </c>
      <c r="K5100" s="6" t="n">
        <f aca="false">Sens!K5042*sbc_r</f>
        <v>29.2382164866161</v>
      </c>
    </row>
    <row r="5101" customFormat="false" ht="17.15" hidden="false" customHeight="false" outlineLevel="0" collapsed="false">
      <c r="A5101" s="1" t="s">
        <v>1108</v>
      </c>
      <c r="B5101" s="0" t="s">
        <v>98</v>
      </c>
      <c r="F5101" s="6" t="n">
        <f aca="false">wc27-wc26q1</f>
        <v>-4.677</v>
      </c>
      <c r="G5101" s="6" t="n">
        <f aca="false">wc_f</f>
        <v>0</v>
      </c>
      <c r="H5101" s="6" t="n">
        <f aca="false">wc_f</f>
        <v>0</v>
      </c>
      <c r="I5101" s="6" t="n">
        <f aca="false">wc_f</f>
        <v>0</v>
      </c>
      <c r="J5101" s="6" t="n">
        <f aca="false">wc_f</f>
        <v>0</v>
      </c>
      <c r="K5101" s="6" t="n">
        <f aca="false">wc_f</f>
        <v>0</v>
      </c>
      <c r="L5101" s="12" t="s">
        <v>1109</v>
      </c>
    </row>
    <row r="5102" customFormat="false" ht="17.15" hidden="false" customHeight="false" outlineLevel="0" collapsed="false">
      <c r="A5102" s="0" t="s">
        <v>1110</v>
      </c>
      <c r="B5102" s="0" t="s">
        <v>98</v>
      </c>
      <c r="F5102" s="6" t="n">
        <f aca="false">Q!$I$35-Q!$I$26-Q!$I$38-Q!$I$39</f>
        <v>6.493</v>
      </c>
      <c r="L5102" s="1" t="s">
        <v>1111</v>
      </c>
    </row>
    <row r="5103" customFormat="false" ht="15" hidden="false" customHeight="false" outlineLevel="0" collapsed="false">
      <c r="A5103" s="1" t="s">
        <v>908</v>
      </c>
      <c r="B5103" s="0" t="s">
        <v>98</v>
      </c>
      <c r="E5103" s="6" t="n">
        <f aca="false">Q!M35</f>
        <v>182.935</v>
      </c>
      <c r="F5103" s="6" t="n">
        <f aca="false">Sens!F5096+Sens!F5099+Sens!F5100+Sens!F5101+Sens!F5102</f>
        <v>221.130037199316</v>
      </c>
      <c r="G5103" s="6" t="n">
        <f aca="false">Sens!G5096+Sens!G5099+Sens!G5100+Sens!G5101</f>
        <v>270.281535762567</v>
      </c>
      <c r="H5103" s="6" t="n">
        <f aca="false">Sens!H5096+Sens!H5099+Sens!H5100+Sens!H5101</f>
        <v>331.173966794866</v>
      </c>
      <c r="I5103" s="6" t="n">
        <f aca="false">Sens!I5096+Sens!I5099+Sens!I5100+Sens!I5101</f>
        <v>381.126153795528</v>
      </c>
      <c r="J5103" s="6" t="n">
        <f aca="false">Sens!J5096+Sens!J5099+Sens!J5100+Sens!J5101</f>
        <v>421.176866194588</v>
      </c>
      <c r="K5103" s="6" t="n">
        <f aca="false">Sens!K5096+Sens!K5099+Sens!K5100+Sens!K5101</f>
        <v>451.542605478718</v>
      </c>
    </row>
    <row r="5104" customFormat="false" ht="17.15" hidden="false" customHeight="false" outlineLevel="0" collapsed="false">
      <c r="A5104" s="0" t="s">
        <v>1112</v>
      </c>
      <c r="B5104" s="0" t="s">
        <v>98</v>
      </c>
      <c r="F5104" s="6" t="n">
        <f aca="false">Sens!F5012</f>
        <v>168.45390404212</v>
      </c>
      <c r="G5104" s="6" t="n">
        <f aca="false">Sens!G5012</f>
        <v>191.944475649048</v>
      </c>
      <c r="H5104" s="6" t="n">
        <f aca="false">Sens!H5012</f>
        <v>196.806004064512</v>
      </c>
      <c r="I5104" s="6" t="n">
        <f aca="false">Sens!I5012</f>
        <v>139.45408886161</v>
      </c>
      <c r="J5104" s="6" t="n">
        <f aca="false">Sens!J5012</f>
        <v>114.05200019594</v>
      </c>
      <c r="K5104" s="6" t="n">
        <f aca="false">Sens!K5012</f>
        <v>75.5192945447327</v>
      </c>
    </row>
    <row r="5105" customFormat="false" ht="17.15" hidden="false" customHeight="false" outlineLevel="0" collapsed="false">
      <c r="A5105" s="1" t="s">
        <v>1113</v>
      </c>
      <c r="B5105" s="0" t="s">
        <v>98</v>
      </c>
      <c r="E5105" s="6" t="n">
        <f aca="false">Sens!E5020*cx_azo+Sens!E5027*cx_m365+Sens!E5028*cx_lic+(Sens!E5030+Sens!E5032)*cx_ind+Sens!E5035*cx_srch+(Sens!E5037+Sens!E5039)*cx_dev</f>
        <v>30.1846587067718</v>
      </c>
      <c r="F5105" s="6" t="n">
        <f aca="false">Sens!F5020*cx_azo+Sens!F5027*cx_m365+Sens!F5028*cx_lic+(Sens!F5030+Sens!F5032)*cx_ind+Sens!F5035*cx_srch+(Sens!F5037+Sens!F5039)*cx_dev</f>
        <v>35.6985185126228</v>
      </c>
      <c r="G5105" s="6" t="n">
        <f aca="false">Sens!G5020*cx_azo+Sens!G5027*cx_m365+Sens!G5028*cx_lic+(Sens!G5030+Sens!G5032)*cx_ind+Sens!G5035*cx_srch+(Sens!G5037+Sens!G5039)*cx_dev</f>
        <v>41.5783178170917</v>
      </c>
      <c r="H5105" s="6" t="n">
        <f aca="false">Sens!H5020*cx_azo+Sens!H5027*cx_m365+Sens!H5028*cx_lic+(Sens!H5030+Sens!H5032)*cx_ind+Sens!H5035*cx_srch+(Sens!H5037+Sens!H5039)*cx_dev</f>
        <v>47.5433656144293</v>
      </c>
      <c r="I5105" s="6" t="n">
        <f aca="false">Sens!I5020*cx_azo+Sens!I5027*cx_m365+Sens!I5028*cx_lic+(Sens!I5030+Sens!I5032)*cx_ind+Sens!I5035*cx_srch+(Sens!I5037+Sens!I5039)*cx_dev</f>
        <v>53.1612302994382</v>
      </c>
      <c r="J5105" s="6" t="n">
        <f aca="false">Sens!J5020*cx_azo+Sens!J5027*cx_m365+Sens!J5028*cx_lic+(Sens!J5030+Sens!J5032)*cx_ind+Sens!J5035*cx_srch+(Sens!J5037+Sens!J5039)*cx_dev</f>
        <v>58.1985566406647</v>
      </c>
      <c r="K5105" s="6" t="n">
        <f aca="false">Sens!K5020*cx_azo+Sens!K5027*cx_m365+Sens!K5028*cx_lic+(Sens!K5030+Sens!K5032)*cx_ind+Sens!K5035*cx_srch+(Sens!K5037+Sens!K5039)*cx_dev</f>
        <v>62.6392598627275</v>
      </c>
    </row>
    <row r="5106" customFormat="false" ht="17.15" hidden="false" customHeight="false" outlineLevel="0" collapsed="false">
      <c r="A5106" s="0" t="s">
        <v>1114</v>
      </c>
      <c r="B5106" s="0" t="s">
        <v>98</v>
      </c>
      <c r="F5106" s="6" t="n">
        <f aca="false">Sens!F5010</f>
        <v>0.0475774452575593</v>
      </c>
      <c r="L5106" s="1" t="s">
        <v>1115</v>
      </c>
    </row>
    <row r="5107" customFormat="false" ht="17.15" hidden="false" customHeight="false" outlineLevel="0" collapsed="false">
      <c r="A5107" s="1" t="s">
        <v>1116</v>
      </c>
      <c r="B5107" s="0" t="s">
        <v>98</v>
      </c>
      <c r="E5107" s="6" t="n">
        <f aca="false">Q!M43</f>
        <v>145.3</v>
      </c>
      <c r="F5107" s="6" t="n">
        <f aca="false">Sens!F5104+Sens!F5105+Sens!F5106</f>
        <v>204.2</v>
      </c>
      <c r="G5107" s="6" t="n">
        <f aca="false">Sens!G5104+Sens!G5105</f>
        <v>233.52279346614</v>
      </c>
      <c r="H5107" s="6" t="n">
        <f aca="false">Sens!H5104+Sens!H5105</f>
        <v>244.349369678942</v>
      </c>
      <c r="I5107" s="6" t="n">
        <f aca="false">Sens!I5104+Sens!I5105</f>
        <v>192.615319161049</v>
      </c>
      <c r="J5107" s="6" t="n">
        <f aca="false">Sens!J5104+Sens!J5105</f>
        <v>172.250556836605</v>
      </c>
      <c r="K5107" s="6" t="n">
        <f aca="false">Sens!K5104+Sens!K5105</f>
        <v>138.15855440746</v>
      </c>
      <c r="L5107" s="1" t="s">
        <v>1117</v>
      </c>
    </row>
    <row r="5108" customFormat="false" ht="15" hidden="false" customHeight="false" outlineLevel="0" collapsed="false">
      <c r="A5108" s="1" t="s">
        <v>1118</v>
      </c>
      <c r="B5108" s="0" t="s">
        <v>98</v>
      </c>
      <c r="E5108" s="6" t="n">
        <f aca="false">fl_liab</f>
        <v>66.594</v>
      </c>
      <c r="F5108" s="6" t="n">
        <f aca="false">Sens!E5108-Sens!F5109</f>
        <v>62.46973</v>
      </c>
      <c r="G5108" s="6" t="n">
        <f aca="false">Sens!F5108-Sens!G5109</f>
        <v>57.98686785</v>
      </c>
      <c r="H5108" s="6" t="n">
        <f aca="false">Sens!G5108-Sens!H5109</f>
        <v>53.92827690325</v>
      </c>
      <c r="I5108" s="6" t="n">
        <f aca="false">Sens!H5108-Sens!I5109</f>
        <v>49.7850493638962</v>
      </c>
      <c r="J5108" s="6" t="n">
        <f aca="false">Sens!I5108-Sens!J5109</f>
        <v>45.4823765852716</v>
      </c>
      <c r="K5108" s="6" t="n">
        <f aca="false">Sens!J5108-Sens!K5109</f>
        <v>40.9860835316088</v>
      </c>
    </row>
    <row r="5109" customFormat="false" ht="15" hidden="false" customHeight="false" outlineLevel="0" collapsed="false">
      <c r="A5109" s="1" t="s">
        <v>1119</v>
      </c>
      <c r="B5109" s="0" t="s">
        <v>98</v>
      </c>
      <c r="F5109" s="6" t="n">
        <f aca="false">fl_pay_27-Sens!E5108*fl_rate</f>
        <v>4.12427</v>
      </c>
      <c r="G5109" s="6" t="n">
        <f aca="false">fl_pay_28-Sens!F5108*fl_rate</f>
        <v>4.48286215</v>
      </c>
      <c r="H5109" s="6" t="n">
        <f aca="false">fl_pay_29-Sens!G5108*fl_rate</f>
        <v>4.05859094675</v>
      </c>
      <c r="I5109" s="6" t="n">
        <f aca="false">fl_pay_30-Sens!H5108*fl_rate</f>
        <v>4.14322753935375</v>
      </c>
      <c r="J5109" s="6" t="n">
        <f aca="false">fl_pay_31-Sens!I5108*fl_rate</f>
        <v>4.30267277862467</v>
      </c>
      <c r="K5109" s="6" t="n">
        <f aca="false">fl_pay_32-Sens!J5108*fl_rate</f>
        <v>4.49629305366278</v>
      </c>
    </row>
    <row r="5110" customFormat="false" ht="17.15" hidden="false" customHeight="false" outlineLevel="0" collapsed="false">
      <c r="A5110" s="1" t="s">
        <v>1120</v>
      </c>
      <c r="B5110" s="0" t="s">
        <v>98</v>
      </c>
      <c r="E5110" s="6" t="n">
        <f aca="false">Q!M35-Q!M36-Q!M44</f>
        <v>63.886</v>
      </c>
      <c r="F5110" s="6" t="n">
        <f aca="false">Sens!F5103-Sens!F5107-Sens!F5109</f>
        <v>12.8057671993156</v>
      </c>
      <c r="G5110" s="6" t="n">
        <f aca="false">Sens!G5103-Sens!G5107-Sens!G5109</f>
        <v>32.2758801464266</v>
      </c>
      <c r="H5110" s="6" t="n">
        <f aca="false">Sens!H5103-Sens!H5107-Sens!H5109</f>
        <v>82.7660061691744</v>
      </c>
      <c r="I5110" s="6" t="n">
        <f aca="false">Sens!I5103-Sens!I5107-Sens!I5109</f>
        <v>184.367607095126</v>
      </c>
      <c r="J5110" s="6" t="n">
        <f aca="false">Sens!J5103-Sens!J5107-Sens!J5109</f>
        <v>244.623636579358</v>
      </c>
      <c r="K5110" s="6" t="n">
        <f aca="false">Sens!K5103-Sens!K5107-Sens!K5109</f>
        <v>308.887758017595</v>
      </c>
      <c r="L5110" s="12" t="s">
        <v>1121</v>
      </c>
    </row>
    <row r="5111" customFormat="false" ht="15" hidden="false" customHeight="false" outlineLevel="0" collapsed="false">
      <c r="A5111" s="1" t="s">
        <v>1122</v>
      </c>
      <c r="B5111" s="0" t="s">
        <v>75</v>
      </c>
      <c r="F5111" s="8" t="n">
        <f aca="false">dps_27</f>
        <v>3.85</v>
      </c>
      <c r="G5111" s="8" t="n">
        <f aca="false">Sens!F5111*(1+dps_g)</f>
        <v>4.158</v>
      </c>
      <c r="H5111" s="8" t="n">
        <f aca="false">Sens!G5111*(1+dps_g)</f>
        <v>4.49064</v>
      </c>
      <c r="I5111" s="8" t="n">
        <f aca="false">Sens!H5111*(1+dps_g)</f>
        <v>4.8498912</v>
      </c>
      <c r="J5111" s="8" t="n">
        <f aca="false">Sens!I5111*(1+dps_g)</f>
        <v>5.237882496</v>
      </c>
      <c r="K5111" s="8" t="n">
        <f aca="false">Sens!J5111*(1+dps_g)</f>
        <v>5.65691309568</v>
      </c>
    </row>
    <row r="5112" customFormat="false" ht="17.15" hidden="false" customHeight="false" outlineLevel="0" collapsed="false">
      <c r="A5112" s="1" t="s">
        <v>1123</v>
      </c>
      <c r="B5112" s="0" t="s">
        <v>98</v>
      </c>
      <c r="E5112" s="6" t="n">
        <f aca="false">Q!M41</f>
        <v>26.445</v>
      </c>
      <c r="F5112" s="6" t="n">
        <f aca="false">Sens!F5111*Sens!E5121</f>
        <v>28.59395</v>
      </c>
      <c r="G5112" s="6" t="n">
        <f aca="false">Sens!G5111*Sens!F5121</f>
        <v>31.0549771204077</v>
      </c>
      <c r="H5112" s="6" t="n">
        <f aca="false">Sens!H5111*Sens!G5121</f>
        <v>33.7322548685063</v>
      </c>
      <c r="I5112" s="6" t="n">
        <f aca="false">Sens!I5111*Sens!H5121</f>
        <v>36.4812735350595</v>
      </c>
      <c r="J5112" s="6" t="n">
        <f aca="false">Sens!J5111*Sens!I5121</f>
        <v>39.4676733032569</v>
      </c>
      <c r="K5112" s="6" t="n">
        <f aca="false">Sens!K5111*Sens!J5121</f>
        <v>42.7118414298957</v>
      </c>
      <c r="L5112" s="1" t="s">
        <v>1124</v>
      </c>
    </row>
    <row r="5113" customFormat="false" ht="15" hidden="false" customHeight="false" outlineLevel="0" collapsed="false">
      <c r="A5113" s="1" t="s">
        <v>1125</v>
      </c>
      <c r="B5113" s="0" t="s">
        <v>98</v>
      </c>
      <c r="E5113" s="6" t="n">
        <f aca="false">Sens!E5110-Sens!E5112</f>
        <v>37.441</v>
      </c>
      <c r="F5113" s="6" t="n">
        <f aca="false">Sens!F5110-Sens!F5112</f>
        <v>-15.7881828006844</v>
      </c>
      <c r="G5113" s="6" t="n">
        <f aca="false">Sens!G5110-Sens!G5112</f>
        <v>1.22090302601893</v>
      </c>
      <c r="H5113" s="6" t="n">
        <f aca="false">Sens!H5110-Sens!H5112</f>
        <v>49.033751300668</v>
      </c>
      <c r="I5113" s="6" t="n">
        <f aca="false">Sens!I5110-Sens!I5112</f>
        <v>147.886333560067</v>
      </c>
      <c r="J5113" s="6" t="n">
        <f aca="false">Sens!J5110-Sens!J5112</f>
        <v>205.155963276102</v>
      </c>
      <c r="K5113" s="6" t="n">
        <f aca="false">Sens!K5110-Sens!K5112</f>
        <v>266.175916587699</v>
      </c>
    </row>
    <row r="5114" customFormat="false" ht="15" hidden="false" customHeight="false" outlineLevel="0" collapsed="false">
      <c r="A5114" s="1" t="s">
        <v>1126</v>
      </c>
      <c r="B5114" s="0" t="s">
        <v>98</v>
      </c>
      <c r="F5114" s="6" t="n">
        <f aca="false">debt_mat_27</f>
        <v>9.25</v>
      </c>
      <c r="G5114" s="6" t="n">
        <f aca="false">debt_mat_28</f>
        <v>0</v>
      </c>
      <c r="H5114" s="6" t="n">
        <f aca="false">debt_mat_29</f>
        <v>2.001</v>
      </c>
      <c r="I5114" s="6" t="n">
        <f aca="false">debt_mat_30</f>
        <v>0</v>
      </c>
      <c r="J5114" s="6" t="n">
        <f aca="false">debt_mat_31</f>
        <v>0.5</v>
      </c>
      <c r="K5114" s="6" t="n">
        <f aca="false">debt_mat_32</f>
        <v>0</v>
      </c>
    </row>
    <row r="5115" customFormat="false" ht="15" hidden="false" customHeight="false" outlineLevel="0" collapsed="false">
      <c r="A5115" s="1" t="s">
        <v>1127</v>
      </c>
      <c r="B5115" s="0" t="s">
        <v>98</v>
      </c>
      <c r="E5115" s="6" t="n">
        <f aca="false">Q!M40</f>
        <v>22.271</v>
      </c>
      <c r="F5115" s="6" t="n">
        <f aca="false">MAX(0,MIN(bb_target,Sens!E5117+Sens!F5113-Sens!F5114-min_cash))</f>
        <v>1.80481719931559</v>
      </c>
      <c r="G5115" s="6" t="n">
        <f aca="false">MAX(0,MIN(bb_target,Sens!F5117+Sens!G5113-Sens!G5114-min_cash))</f>
        <v>1.22090302601893</v>
      </c>
      <c r="H5115" s="6" t="n">
        <f aca="false">MAX(0,MIN(bb_target,Sens!G5117+Sens!H5113-Sens!H5114-min_cash))</f>
        <v>22.271</v>
      </c>
      <c r="I5115" s="6" t="n">
        <f aca="false">MAX(0,MIN(bb_target,Sens!H5117+Sens!I5113-Sens!I5114-min_cash))</f>
        <v>22.271</v>
      </c>
      <c r="J5115" s="6" t="n">
        <f aca="false">MAX(0,MIN(bb_target,Sens!I5117+Sens!J5113-Sens!J5114-min_cash))</f>
        <v>22.271</v>
      </c>
      <c r="K5115" s="6" t="n">
        <f aca="false">MAX(0,MIN(bb_target,Sens!J5117+Sens!K5113-Sens!K5114-min_cash))</f>
        <v>22.271</v>
      </c>
    </row>
    <row r="5116" customFormat="false" ht="15" hidden="false" customHeight="false" outlineLevel="0" collapsed="false">
      <c r="A5116" s="1" t="s">
        <v>1128</v>
      </c>
      <c r="B5116" s="0" t="s">
        <v>98</v>
      </c>
      <c r="F5116" s="6" t="n">
        <f aca="false">MAX(0,min_cash-(Sens!E5117+Sens!F5113-Sens!F5114-Sens!F5115))</f>
        <v>0</v>
      </c>
      <c r="G5116" s="6" t="n">
        <f aca="false">MAX(0,min_cash-(Sens!F5117+Sens!G5113-Sens!G5114-Sens!G5115))</f>
        <v>0</v>
      </c>
      <c r="H5116" s="6" t="n">
        <f aca="false">MAX(0,min_cash-(Sens!G5117+Sens!H5113-Sens!H5114-Sens!H5115))</f>
        <v>0</v>
      </c>
      <c r="I5116" s="6" t="n">
        <f aca="false">MAX(0,min_cash-(Sens!H5117+Sens!I5113-Sens!I5114-Sens!I5115))</f>
        <v>0</v>
      </c>
      <c r="J5116" s="6" t="n">
        <f aca="false">MAX(0,min_cash-(Sens!I5117+Sens!J5113-Sens!J5114-Sens!J5115))</f>
        <v>0</v>
      </c>
      <c r="K5116" s="6" t="n">
        <f aca="false">MAX(0,min_cash-(Sens!J5117+Sens!K5113-Sens!K5114-Sens!K5115))</f>
        <v>0</v>
      </c>
    </row>
    <row r="5117" customFormat="false" ht="15" hidden="false" customHeight="false" outlineLevel="0" collapsed="false">
      <c r="A5117" s="1" t="s">
        <v>1129</v>
      </c>
      <c r="B5117" s="0" t="s">
        <v>98</v>
      </c>
      <c r="E5117" s="6" t="n">
        <f aca="false">cash_open</f>
        <v>76.843</v>
      </c>
      <c r="F5117" s="6" t="n">
        <f aca="false">Sens!E5117+Sens!F5113-Sens!F5114-Sens!F5115+Sens!F5116</f>
        <v>50</v>
      </c>
      <c r="G5117" s="6" t="n">
        <f aca="false">Sens!F5117+Sens!G5113-Sens!G5114-Sens!G5115+Sens!G5116</f>
        <v>50</v>
      </c>
      <c r="H5117" s="6" t="n">
        <f aca="false">Sens!G5117+Sens!H5113-Sens!H5114-Sens!H5115+Sens!H5116</f>
        <v>74.761751300668</v>
      </c>
      <c r="I5117" s="6" t="n">
        <f aca="false">Sens!H5117+Sens!I5113-Sens!I5114-Sens!I5115+Sens!I5116</f>
        <v>200.377084860735</v>
      </c>
      <c r="J5117" s="6" t="n">
        <f aca="false">Sens!I5117+Sens!J5113-Sens!J5114-Sens!J5115+Sens!J5116</f>
        <v>382.762048136836</v>
      </c>
      <c r="K5117" s="6" t="n">
        <f aca="false">Sens!J5117+Sens!K5113-Sens!K5114-Sens!K5115+Sens!K5116</f>
        <v>626.666964724536</v>
      </c>
    </row>
    <row r="5118" customFormat="false" ht="15" hidden="false" customHeight="false" outlineLevel="0" collapsed="false">
      <c r="A5118" s="1" t="s">
        <v>1130</v>
      </c>
      <c r="B5118" s="0" t="s">
        <v>98</v>
      </c>
      <c r="E5118" s="6" t="n">
        <f aca="false">debt_face</f>
        <v>46.136</v>
      </c>
      <c r="F5118" s="6" t="n">
        <f aca="false">Sens!E5118-Sens!F5114+Sens!F5116</f>
        <v>36.886</v>
      </c>
      <c r="G5118" s="6" t="n">
        <f aca="false">Sens!F5118-Sens!G5114+Sens!G5116</f>
        <v>36.886</v>
      </c>
      <c r="H5118" s="6" t="n">
        <f aca="false">Sens!G5118-Sens!H5114+Sens!H5116</f>
        <v>34.885</v>
      </c>
      <c r="I5118" s="6" t="n">
        <f aca="false">Sens!H5118-Sens!I5114+Sens!I5116</f>
        <v>34.885</v>
      </c>
      <c r="J5118" s="6" t="n">
        <f aca="false">Sens!I5118-Sens!J5114+Sens!J5116</f>
        <v>34.385</v>
      </c>
      <c r="K5118" s="6" t="n">
        <f aca="false">Sens!J5118-Sens!K5114+Sens!K5116</f>
        <v>34.385</v>
      </c>
    </row>
    <row r="5119" customFormat="false" ht="15" hidden="false" customHeight="false" outlineLevel="0" collapsed="false">
      <c r="A5119" s="1" t="s">
        <v>1131</v>
      </c>
      <c r="B5119" s="0" t="s">
        <v>98</v>
      </c>
      <c r="E5119" s="6" t="n">
        <f aca="false">Sens!E5117-Sens!E5118</f>
        <v>30.707</v>
      </c>
      <c r="F5119" s="6" t="n">
        <f aca="false">Sens!F5117-Sens!F5118</f>
        <v>13.114</v>
      </c>
      <c r="G5119" s="6" t="n">
        <f aca="false">Sens!G5117-Sens!G5118</f>
        <v>13.114</v>
      </c>
      <c r="H5119" s="6" t="n">
        <f aca="false">Sens!H5117-Sens!H5118</f>
        <v>39.876751300668</v>
      </c>
      <c r="I5119" s="6" t="n">
        <f aca="false">Sens!I5117-Sens!I5118</f>
        <v>165.492084860735</v>
      </c>
      <c r="J5119" s="6" t="n">
        <f aca="false">Sens!J5117-Sens!J5118</f>
        <v>348.377048136836</v>
      </c>
      <c r="K5119" s="6" t="n">
        <f aca="false">Sens!K5117-Sens!K5118</f>
        <v>592.281964724536</v>
      </c>
    </row>
    <row r="5120" customFormat="false" ht="15" hidden="false" customHeight="false" outlineLevel="0" collapsed="false">
      <c r="A5120" s="1" t="s">
        <v>1132</v>
      </c>
      <c r="B5120" s="0" t="s">
        <v>75</v>
      </c>
      <c r="F5120" s="30" t="n">
        <f aca="false">px*(1+bb_g)^(Sens!F4978-base_fy-mid_yr)</f>
        <v>551.84177959629</v>
      </c>
      <c r="G5120" s="30" t="n">
        <f aca="false">px*(1+bb_g)^(Sens!G4978-base_fy-mid_yr)</f>
        <v>595.989121963993</v>
      </c>
      <c r="H5120" s="30" t="n">
        <f aca="false">px*(1+bb_g)^(Sens!H4978-base_fy-mid_yr)</f>
        <v>643.668251721112</v>
      </c>
      <c r="I5120" s="30" t="n">
        <f aca="false">px*(1+bb_g)^(Sens!I4978-base_fy-mid_yr)</f>
        <v>695.161711858801</v>
      </c>
      <c r="J5120" s="30" t="n">
        <f aca="false">px*(1+bb_g)^(Sens!J4978-base_fy-mid_yr)</f>
        <v>750.774648807506</v>
      </c>
      <c r="K5120" s="30" t="n">
        <f aca="false">px*(1+bb_g)^(Sens!K4978-base_fy-mid_yr)</f>
        <v>810.836620712106</v>
      </c>
    </row>
    <row r="5121" customFormat="false" ht="15" hidden="false" customHeight="false" outlineLevel="0" collapsed="false">
      <c r="A5121" s="1" t="s">
        <v>1133</v>
      </c>
      <c r="B5121" s="1" t="s">
        <v>81</v>
      </c>
      <c r="E5121" s="15" t="n">
        <f aca="false">sh_out26</f>
        <v>7.427</v>
      </c>
      <c r="F5121" s="15" t="n">
        <f aca="false">Sens!E5121+sh_iss-Sens!F5115/Sens!F5120</f>
        <v>7.46872946618751</v>
      </c>
      <c r="G5121" s="15" t="n">
        <f aca="false">Sens!F5121+sh_iss-Sens!G5115/Sens!G5120</f>
        <v>7.51168093378813</v>
      </c>
      <c r="H5121" s="15" t="n">
        <f aca="false">Sens!G5121+sh_iss-Sens!H5115/Sens!H5120</f>
        <v>7.52208081184573</v>
      </c>
      <c r="I5121" s="15" t="n">
        <f aca="false">Sens!H5121+sh_iss-Sens!I5115/Sens!I5120</f>
        <v>7.53504366189907</v>
      </c>
      <c r="J5121" s="15" t="n">
        <f aca="false">Sens!I5121+sh_iss-Sens!J5115/Sens!J5120</f>
        <v>7.55037963417068</v>
      </c>
      <c r="K5121" s="15" t="n">
        <f aca="false">Sens!J5121+sh_iss-Sens!K5115/Sens!K5120</f>
        <v>7.56791294182957</v>
      </c>
    </row>
    <row r="5122" customFormat="false" ht="15" hidden="false" customHeight="false" outlineLevel="0" collapsed="false">
      <c r="A5122" s="1" t="s">
        <v>1134</v>
      </c>
      <c r="B5122" s="1" t="s">
        <v>81</v>
      </c>
      <c r="E5122" s="15" t="n">
        <f aca="false">sh_dil26</f>
        <v>7.453</v>
      </c>
      <c r="F5122" s="15" t="n">
        <f aca="false">(Sens!E5121+Sens!F5121)/2+dil_gap</f>
        <v>7.47186473309375</v>
      </c>
      <c r="G5122" s="15" t="n">
        <f aca="false">(Sens!F5121+Sens!G5121)/2+dil_gap</f>
        <v>7.51420519998782</v>
      </c>
      <c r="H5122" s="15" t="n">
        <f aca="false">(Sens!G5121+Sens!H5121)/2+dil_gap</f>
        <v>7.54088087281693</v>
      </c>
      <c r="I5122" s="15" t="n">
        <f aca="false">(Sens!H5121+Sens!I5121)/2+dil_gap</f>
        <v>7.5525622368724</v>
      </c>
      <c r="J5122" s="15" t="n">
        <f aca="false">(Sens!I5121+Sens!J5121)/2+dil_gap</f>
        <v>7.56671164803487</v>
      </c>
      <c r="K5122" s="15" t="n">
        <f aca="false">(Sens!J5121+Sens!K5121)/2+dil_gap</f>
        <v>7.58314628800013</v>
      </c>
    </row>
    <row r="5123" customFormat="false" ht="17.15" hidden="false" customHeight="false" outlineLevel="0" collapsed="false">
      <c r="A5123" s="1" t="s">
        <v>1135</v>
      </c>
      <c r="B5123" s="0" t="s">
        <v>98</v>
      </c>
      <c r="C5123" s="6" t="n">
        <f aca="false">SUM(Sens!F5113:J5113)</f>
        <v>387.508768362171</v>
      </c>
    </row>
    <row r="5124" customFormat="false" ht="15" hidden="false" customHeight="false" outlineLevel="0" collapsed="false">
      <c r="A5124" s="26" t="s">
        <v>1100</v>
      </c>
      <c r="B5124" s="31" t="s">
        <v>98</v>
      </c>
      <c r="C5124" s="27" t="n">
        <f aca="false">Sens!$C$5123-(Sens!F5113+Sens!G5113+Sens!H5113+Sens!I5113+Sens!J5113)</f>
        <v>0</v>
      </c>
      <c r="D5124" s="31"/>
      <c r="E5124" s="31"/>
      <c r="F5124" s="31"/>
      <c r="G5124" s="31"/>
      <c r="H5124" s="31"/>
      <c r="I5124" s="31"/>
      <c r="J5124" s="31"/>
      <c r="K5124" s="31"/>
    </row>
    <row r="5125" customFormat="false" ht="17.15" hidden="false" customHeight="false" outlineLevel="0" collapsed="false">
      <c r="A5125" s="1" t="s">
        <v>1094</v>
      </c>
      <c r="B5125" s="1" t="s">
        <v>1136</v>
      </c>
      <c r="C5125" s="33" t="str">
        <f aca="false">IF(SUM(Sens!F5116:J5116)&gt;0.05,"需要舉債 "&amp;TEXT(SUM(Sens!F5116:J5116),"0.0")&amp;" 十億美元","不需舉債")&amp;"；"&amp;IF(SUM(Sens!F5115:J5115)&lt;COUNT(Sens!F5115:J5115)*bb_target-0.05,"回購較每年 "&amp;TEXT(bb_target,"0.0")&amp;" 的目標少 "&amp;TEXT(COUNT(Sens!F5115:J5115)*bb_target-SUM(Sens!F5115:J5115),"0.0")&amp;" 十億美元（"&amp;TEXT(COUNTIF(Sens!F5115:J5115,"&lt;"&amp;(bb_target-0.05)),"0")&amp;" 年減少）","回購不減")</f>
        <v>不需舉債；回購較每年 22.3 的目標少 41.5 十億美元（2 年減少）</v>
      </c>
    </row>
    <row r="5126" customFormat="false" ht="17.15" hidden="false" customHeight="false" outlineLevel="0" collapsed="false">
      <c r="A5126" s="3" t="s">
        <v>1739</v>
      </c>
    </row>
    <row r="5127" customFormat="false" ht="15" hidden="false" customHeight="false" outlineLevel="0" collapsed="false">
      <c r="A5127" s="4" t="s">
        <v>43</v>
      </c>
      <c r="B5127" s="4" t="s">
        <v>65</v>
      </c>
      <c r="C5127" s="23" t="s">
        <v>942</v>
      </c>
      <c r="D5127" s="23" t="s">
        <v>943</v>
      </c>
      <c r="E5127" s="23" t="s">
        <v>944</v>
      </c>
      <c r="F5127" s="23" t="s">
        <v>945</v>
      </c>
      <c r="G5127" s="23" t="s">
        <v>946</v>
      </c>
      <c r="H5127" s="23" t="s">
        <v>947</v>
      </c>
      <c r="I5127" s="23" t="s">
        <v>948</v>
      </c>
      <c r="J5127" s="23" t="s">
        <v>949</v>
      </c>
      <c r="K5127" s="23" t="s">
        <v>950</v>
      </c>
      <c r="L5127" s="4" t="s">
        <v>47</v>
      </c>
    </row>
    <row r="5128" customFormat="false" ht="17.15" hidden="false" customHeight="false" outlineLevel="0" collapsed="false">
      <c r="A5128" s="1" t="s">
        <v>1216</v>
      </c>
      <c r="B5128" s="1" t="s">
        <v>279</v>
      </c>
      <c r="F5128" s="8" t="n">
        <f aca="false">(1-v_off)*mid_yr</f>
        <v>0.373972602739726</v>
      </c>
      <c r="G5128" s="8" t="n">
        <f aca="false">Sens!G4978-base_fy-mid_yr-v_off</f>
        <v>1.24794520547945</v>
      </c>
      <c r="H5128" s="8" t="n">
        <f aca="false">Sens!H4978-base_fy-mid_yr-v_off</f>
        <v>2.24794520547945</v>
      </c>
      <c r="I5128" s="8" t="n">
        <f aca="false">Sens!I4978-base_fy-mid_yr-v_off</f>
        <v>3.24794520547945</v>
      </c>
      <c r="J5128" s="8" t="n">
        <f aca="false">Sens!J4978-base_fy-mid_yr-v_off</f>
        <v>4.24794520547945</v>
      </c>
      <c r="K5128" s="8" t="n">
        <f aca="false">Sens!K4978-base_fy-mid_yr-v_off</f>
        <v>5.24794520547945</v>
      </c>
      <c r="L5128" s="12" t="s">
        <v>1217</v>
      </c>
    </row>
    <row r="5129" customFormat="false" ht="15" hidden="false" customHeight="false" outlineLevel="0" collapsed="false">
      <c r="A5129" s="1" t="s">
        <v>1218</v>
      </c>
      <c r="B5129" s="1" t="s">
        <v>279</v>
      </c>
      <c r="F5129" s="8" t="n">
        <f aca="false">Sens!F4978-base_fy-v_off</f>
        <v>0.747945205479452</v>
      </c>
      <c r="G5129" s="8" t="n">
        <f aca="false">Sens!G4978-base_fy-v_off</f>
        <v>1.74794520547945</v>
      </c>
      <c r="H5129" s="8" t="n">
        <f aca="false">Sens!H4978-base_fy-v_off</f>
        <v>2.74794520547945</v>
      </c>
      <c r="I5129" s="8" t="n">
        <f aca="false">Sens!I4978-base_fy-v_off</f>
        <v>3.74794520547945</v>
      </c>
      <c r="J5129" s="8" t="n">
        <f aca="false">Sens!J4978-base_fy-v_off</f>
        <v>4.74794520547945</v>
      </c>
      <c r="K5129" s="8" t="n">
        <f aca="false">Sens!K4978-base_fy-v_off</f>
        <v>5.74794520547945</v>
      </c>
    </row>
    <row r="5130" customFormat="false" ht="15" hidden="false" customHeight="false" outlineLevel="0" collapsed="false">
      <c r="A5130" s="1" t="s">
        <v>1219</v>
      </c>
      <c r="B5130" s="0" t="s">
        <v>229</v>
      </c>
      <c r="F5130" s="15" t="n">
        <f aca="false">1/(1+wacc)^Sens!F5128</f>
        <v>0.964022703286649</v>
      </c>
      <c r="G5130" s="15" t="n">
        <f aca="false">1/(1+wacc)^Sens!G5128</f>
        <v>0.884910302296739</v>
      </c>
      <c r="H5130" s="15" t="n">
        <f aca="false">1/(1+wacc)^Sens!H5128</f>
        <v>0.802322009770358</v>
      </c>
      <c r="I5130" s="15" t="n">
        <f aca="false">1/(1+wacc)^Sens!I5128</f>
        <v>0.727441646561469</v>
      </c>
      <c r="J5130" s="15" t="n">
        <f aca="false">1/(1+wacc)^Sens!J5128</f>
        <v>0.659549834988973</v>
      </c>
      <c r="K5130" s="15" t="n">
        <f aca="false">1/(1+wacc)^Sens!K5128</f>
        <v>0.597994336576966</v>
      </c>
    </row>
    <row r="5131" customFormat="false" ht="17.15" hidden="false" customHeight="false" outlineLevel="0" collapsed="false">
      <c r="A5131" s="1" t="s">
        <v>1220</v>
      </c>
      <c r="B5131" s="0" t="s">
        <v>98</v>
      </c>
      <c r="F5131" s="6" t="n">
        <f aca="false">Q!$I$35-Q!$I$39-Q!$I$43</f>
        <v>9.666</v>
      </c>
      <c r="L5131" s="12" t="s">
        <v>1221</v>
      </c>
    </row>
    <row r="5132" customFormat="false" ht="17.15" hidden="false" customHeight="false" outlineLevel="0" collapsed="false">
      <c r="A5132" s="1" t="s">
        <v>1222</v>
      </c>
      <c r="B5132" s="0" t="s">
        <v>98</v>
      </c>
      <c r="F5132" s="6" t="n">
        <f aca="false">Sens!F5103-Sens!F5100-Sens!F5107+Sens!F5085*(1-tax_f)*(1-v_off)-Sens!F5131</f>
        <v>-2.44439603748316</v>
      </c>
      <c r="G5132" s="6" t="n">
        <f aca="false">Sens!G5103-Sens!G5100-Sens!G5107+Sens!G5085*(1-tax_f)</f>
        <v>36.6629675003954</v>
      </c>
      <c r="H5132" s="6" t="n">
        <f aca="false">Sens!H5103-Sens!H5100-Sens!H5107+Sens!H5085*(1-tax_f)</f>
        <v>95.4594838390992</v>
      </c>
      <c r="I5132" s="6" t="n">
        <f aca="false">Sens!I5103-Sens!I5100-Sens!I5107+Sens!I5085*(1-tax_f)</f>
        <v>205.152109587311</v>
      </c>
      <c r="J5132" s="6" t="n">
        <f aca="false">Sens!J5103-Sens!J5100-Sens!J5107+Sens!J5085*(1-tax_f)</f>
        <v>270.898292733333</v>
      </c>
      <c r="K5132" s="6" t="n">
        <f aca="false">Sens!K5103-Sens!K5100-Sens!K5107+Sens!K5085*(1-tax_f)</f>
        <v>336.919416949734</v>
      </c>
      <c r="L5132" s="1" t="s">
        <v>1223</v>
      </c>
    </row>
    <row r="5133" customFormat="false" ht="15" hidden="false" customHeight="false" outlineLevel="0" collapsed="false">
      <c r="A5133" s="1" t="s">
        <v>1224</v>
      </c>
      <c r="B5133" s="0" t="s">
        <v>98</v>
      </c>
      <c r="F5133" s="6" t="n">
        <f aca="false">Sens!F5132*Sens!F5130</f>
        <v>-2.35645327595769</v>
      </c>
      <c r="G5133" s="6" t="n">
        <f aca="false">Sens!G5132*Sens!G5130</f>
        <v>32.4434376538704</v>
      </c>
      <c r="H5133" s="6" t="n">
        <f aca="false">Sens!H5132*Sens!H5130</f>
        <v>76.5892449254271</v>
      </c>
      <c r="I5133" s="6" t="n">
        <f aca="false">Sens!I5132*Sens!I5130</f>
        <v>149.236188393752</v>
      </c>
      <c r="J5133" s="6" t="n">
        <f aca="false">Sens!J5132*Sens!J5130</f>
        <v>178.670924271064</v>
      </c>
      <c r="K5133" s="6" t="n">
        <f aca="false">Sens!K5132*Sens!K5130</f>
        <v>201.475903218755</v>
      </c>
    </row>
    <row r="5134" customFormat="false" ht="17.15" hidden="false" customHeight="false" outlineLevel="0" collapsed="false">
      <c r="A5134" s="1" t="s">
        <v>1225</v>
      </c>
      <c r="B5134" s="0" t="s">
        <v>98</v>
      </c>
      <c r="C5134" s="6" t="n">
        <f aca="false">SUM(Sens!F5133:K5133)</f>
        <v>636.05924518691</v>
      </c>
    </row>
    <row r="5135" customFormat="false" ht="17.15" hidden="false" customHeight="false" outlineLevel="0" collapsed="false">
      <c r="A5135" s="1" t="s">
        <v>1226</v>
      </c>
      <c r="B5135" s="0" t="s">
        <v>98</v>
      </c>
      <c r="C5135" s="6" t="n">
        <f aca="false">Sens!K5071*(1+g_tv)*(1-tax_f)</f>
        <v>326.77232184809</v>
      </c>
    </row>
    <row r="5136" customFormat="false" ht="17.15" hidden="false" customHeight="false" outlineLevel="0" collapsed="false">
      <c r="A5136" s="1" t="s">
        <v>1227</v>
      </c>
      <c r="B5136" s="0" t="s">
        <v>98</v>
      </c>
      <c r="C5136" s="6" t="n">
        <f aca="false">Sens!$C$5135*(1-g_tv/(wacc+ronic_prem))</f>
        <v>231.537288655435</v>
      </c>
    </row>
    <row r="5137" customFormat="false" ht="17.15" hidden="false" customHeight="false" outlineLevel="0" collapsed="false">
      <c r="A5137" s="1" t="s">
        <v>1228</v>
      </c>
      <c r="B5137" s="0" t="s">
        <v>98</v>
      </c>
      <c r="C5137" s="6" t="n">
        <f aca="false">Sens!$C$5136/(wacc-g_tv)</f>
        <v>3174.50110642183</v>
      </c>
    </row>
    <row r="5138" customFormat="false" ht="15" hidden="false" customHeight="false" outlineLevel="0" collapsed="false">
      <c r="A5138" s="1" t="s">
        <v>1229</v>
      </c>
      <c r="B5138" s="0" t="s">
        <v>98</v>
      </c>
      <c r="C5138" s="6" t="n">
        <f aca="false">Sens!$C$5137/(1+wacc)^Sens!K5129</f>
        <v>1807.57897505838</v>
      </c>
    </row>
    <row r="5139" customFormat="false" ht="17.15" hidden="false" customHeight="false" outlineLevel="0" collapsed="false">
      <c r="A5139" s="0" t="s">
        <v>1230</v>
      </c>
      <c r="B5139" s="0" t="s">
        <v>98</v>
      </c>
      <c r="C5139" s="6" t="n">
        <f aca="false">Sens!$C$5134+Sens!$C$5138</f>
        <v>2443.63822024529</v>
      </c>
    </row>
    <row r="5140" customFormat="false" ht="15" hidden="false" customHeight="false" outlineLevel="0" collapsed="false">
      <c r="A5140" s="1" t="s">
        <v>1145</v>
      </c>
      <c r="B5140" s="0" t="s">
        <v>168</v>
      </c>
      <c r="C5140" s="7" t="n">
        <f aca="false">Sens!$C$5138/Sens!$C$5139</f>
        <v>0.739708095937759</v>
      </c>
    </row>
    <row r="5141" customFormat="false" ht="17.15" hidden="false" customHeight="false" outlineLevel="0" collapsed="false">
      <c r="A5141" s="1" t="s">
        <v>1231</v>
      </c>
      <c r="B5141" s="0" t="s">
        <v>98</v>
      </c>
      <c r="C5141" s="6" t="n">
        <f aca="false">Sens!$C$5139+cash_val-debt_val-fl_val+oai_v</f>
        <v>2559.48922024529</v>
      </c>
    </row>
    <row r="5142" customFormat="false" ht="17.15" hidden="false" customHeight="false" outlineLevel="0" collapsed="false">
      <c r="A5142" s="0" t="s">
        <v>1153</v>
      </c>
      <c r="B5142" s="0" t="s">
        <v>75</v>
      </c>
      <c r="C5142" s="5" t="n">
        <f aca="false">Sens!$C$5141/shd_val</f>
        <v>343.740158507291</v>
      </c>
    </row>
    <row r="5143" customFormat="false" ht="15" hidden="false" customHeight="false" outlineLevel="0" collapsed="false">
      <c r="A5143" s="1" t="s">
        <v>1232</v>
      </c>
      <c r="B5143" s="0" t="s">
        <v>75</v>
      </c>
      <c r="C5143" s="8" t="n">
        <f aca="false">div_rem27+Sens!G5111*roll_div_q/q_per_yr</f>
        <v>3.9795</v>
      </c>
    </row>
    <row r="5144" customFormat="false" ht="17.15" hidden="false" customHeight="false" outlineLevel="0" collapsed="false">
      <c r="A5144" s="0" t="s">
        <v>1233</v>
      </c>
      <c r="B5144" s="0" t="s">
        <v>75</v>
      </c>
      <c r="C5144" s="5" t="n">
        <f aca="false">Sens!$C$5142*(1+wacc)^t_roll-Sens!$C$5143</f>
        <v>378.106870574781</v>
      </c>
    </row>
    <row r="5145" customFormat="false" ht="17.15" hidden="false" customHeight="false" outlineLevel="0" collapsed="false">
      <c r="A5145" s="1" t="s">
        <v>1234</v>
      </c>
      <c r="B5145" s="0" t="s">
        <v>168</v>
      </c>
      <c r="F5145" s="7" t="n">
        <f aca="false">Sens!F5097/(Sens!F5042-Sens!F4997)</f>
        <v>0.0741821128344769</v>
      </c>
      <c r="G5145" s="7" t="n">
        <f aca="false">Sens!G5097/(Sens!G5042-Sens!G4997)</f>
        <v>0.0698444873870262</v>
      </c>
      <c r="H5145" s="7" t="n">
        <f aca="false">Sens!H5097/(Sens!H5042-Sens!H4997)</f>
        <v>0.0672811794444221</v>
      </c>
      <c r="I5145" s="7" t="n">
        <f aca="false">Sens!I5097/(Sens!I5042-Sens!I4997)</f>
        <v>0.0663242111163057</v>
      </c>
      <c r="J5145" s="7" t="n">
        <f aca="false">Sens!J5097/(Sens!J5042-Sens!J4997)</f>
        <v>0.0665578366409808</v>
      </c>
      <c r="K5145" s="7" t="n">
        <f aca="false">Sens!K5097/(Sens!K5042-Sens!K4997)</f>
        <v>0.067477579470539</v>
      </c>
    </row>
    <row r="5146" customFormat="false" ht="17.15" hidden="false" customHeight="false" outlineLevel="0" collapsed="false">
      <c r="A5146" s="0" t="s">
        <v>1235</v>
      </c>
      <c r="B5146" s="0" t="s">
        <v>98</v>
      </c>
      <c r="F5146" s="6" t="n">
        <f aca="false">Sens!F5027*(al_m365+Sens!F5145+sbc_r)</f>
        <v>85.1953946408833</v>
      </c>
      <c r="G5146" s="6" t="n">
        <f aca="false">Sens!G5027*(al_m365+Sens!G5145+sbc_r)</f>
        <v>99.5818808370247</v>
      </c>
      <c r="H5146" s="6" t="n">
        <f aca="false">Sens!H5027*(al_m365+Sens!H5145+sbc_r)</f>
        <v>114.129765827134</v>
      </c>
      <c r="I5146" s="6" t="n">
        <f aca="false">Sens!I5027*(al_m365+Sens!I5145+sbc_r)</f>
        <v>127.156549363388</v>
      </c>
      <c r="J5146" s="6" t="n">
        <f aca="false">Sens!J5027*(al_m365+Sens!J5145+sbc_r)</f>
        <v>138.480650549095</v>
      </c>
      <c r="K5146" s="6" t="n">
        <f aca="false">Sens!K5027*(al_m365+Sens!K5145+sbc_r)</f>
        <v>149.430471907137</v>
      </c>
      <c r="L5146" s="12" t="s">
        <v>1236</v>
      </c>
    </row>
    <row r="5147" customFormat="false" ht="17.15" hidden="false" customHeight="false" outlineLevel="0" collapsed="false">
      <c r="A5147" s="0" t="s">
        <v>1237</v>
      </c>
      <c r="B5147" s="0" t="s">
        <v>98</v>
      </c>
      <c r="F5147" s="6" t="n">
        <f aca="false">Sens!F5028*(al_lic+Sens!F5145+sbc_r)</f>
        <v>33.0712848441709</v>
      </c>
      <c r="G5147" s="6" t="n">
        <f aca="false">Sens!G5028*(al_lic+Sens!G5145+sbc_r)</f>
        <v>34.298114109955</v>
      </c>
      <c r="H5147" s="6" t="n">
        <f aca="false">Sens!H5028*(al_lic+Sens!H5145+sbc_r)</f>
        <v>35.4525223543601</v>
      </c>
      <c r="I5147" s="6" t="n">
        <f aca="false">Sens!I5028*(al_lic+Sens!I5145+sbc_r)</f>
        <v>36.5167198107392</v>
      </c>
      <c r="J5147" s="6" t="n">
        <f aca="false">Sens!J5028*(al_lic+Sens!J5145+sbc_r)</f>
        <v>37.4612880820672</v>
      </c>
      <c r="K5147" s="6" t="n">
        <f aca="false">Sens!K5028*(al_lic+Sens!K5145+sbc_r)</f>
        <v>38.2516687594195</v>
      </c>
    </row>
    <row r="5148" customFormat="false" ht="17.15" hidden="false" customHeight="false" outlineLevel="0" collapsed="false">
      <c r="A5148" s="0" t="s">
        <v>1238</v>
      </c>
      <c r="B5148" s="0" t="s">
        <v>98</v>
      </c>
      <c r="F5148" s="6" t="n">
        <f aca="false">Sens!F5030*(al_ind+Sens!F5145+sbc_r)</f>
        <v>9.18455178586333</v>
      </c>
      <c r="G5148" s="6" t="n">
        <f aca="false">Sens!G5030*(al_ind+Sens!G5145+sbc_r)</f>
        <v>9.93403974763197</v>
      </c>
      <c r="H5148" s="6" t="n">
        <f aca="false">Sens!H5030*(al_ind+Sens!H5145+sbc_r)</f>
        <v>10.7337162196991</v>
      </c>
      <c r="I5148" s="6" t="n">
        <f aca="false">Sens!I5030*(al_ind+Sens!I5145+sbc_r)</f>
        <v>11.5817252363515</v>
      </c>
      <c r="J5148" s="6" t="n">
        <f aca="false">Sens!J5030*(al_ind+Sens!J5145+sbc_r)</f>
        <v>12.4666100073779</v>
      </c>
      <c r="K5148" s="6" t="n">
        <f aca="false">Sens!K5030*(al_ind+Sens!K5145+sbc_r)</f>
        <v>13.3696452572429</v>
      </c>
    </row>
    <row r="5149" customFormat="false" ht="17.15" hidden="false" customHeight="false" outlineLevel="0" collapsed="false">
      <c r="A5149" s="0" t="s">
        <v>1239</v>
      </c>
      <c r="B5149" s="0" t="s">
        <v>98</v>
      </c>
      <c r="F5149" s="6" t="n">
        <f aca="false">Sens!F5032*(al_fro+Sens!F5145+sbc_r)</f>
        <v>3.60272247608596</v>
      </c>
      <c r="G5149" s="6" t="n">
        <f aca="false">Sens!G5032*(al_fro+Sens!G5145+sbc_r)</f>
        <v>3.80105475400273</v>
      </c>
      <c r="H5149" s="6" t="n">
        <f aca="false">Sens!H5032*(al_fro+Sens!H5145+sbc_r)</f>
        <v>4.03101421718885</v>
      </c>
      <c r="I5149" s="6" t="n">
        <f aca="false">Sens!I5032*(al_fro+Sens!I5145+sbc_r)</f>
        <v>4.29552264167969</v>
      </c>
      <c r="J5149" s="6" t="n">
        <f aca="false">Sens!J5032*(al_fro+Sens!J5145+sbc_r)</f>
        <v>4.59488121453772</v>
      </c>
      <c r="K5149" s="6" t="n">
        <f aca="false">Sens!K5032*(al_fro+Sens!K5145+sbc_r)</f>
        <v>4.92771746298173</v>
      </c>
    </row>
    <row r="5150" customFormat="false" ht="17.15" hidden="false" customHeight="false" outlineLevel="0" collapsed="false">
      <c r="A5150" s="0" t="s">
        <v>1240</v>
      </c>
      <c r="B5150" s="0" t="s">
        <v>98</v>
      </c>
      <c r="F5150" s="6" t="n">
        <f aca="false">Sens!F5035*(al_srch+Sens!F5145+sbc_r)</f>
        <v>11.3423895575461</v>
      </c>
      <c r="G5150" s="6" t="n">
        <f aca="false">Sens!G5035*(al_srch+Sens!G5145+sbc_r)</f>
        <v>12.3837167931207</v>
      </c>
      <c r="H5150" s="6" t="n">
        <f aca="false">Sens!H5035*(al_srch+Sens!H5145+sbc_r)</f>
        <v>13.4757805963995</v>
      </c>
      <c r="I5150" s="6" t="n">
        <f aca="false">Sens!I5035*(al_srch+Sens!I5145+sbc_r)</f>
        <v>14.609754892734</v>
      </c>
      <c r="J5150" s="6" t="n">
        <f aca="false">Sens!J5035*(al_srch+Sens!J5145+sbc_r)</f>
        <v>15.7636850723184</v>
      </c>
      <c r="K5150" s="6" t="n">
        <f aca="false">Sens!K5035*(al_srch+Sens!K5145+sbc_r)</f>
        <v>16.9055482796899</v>
      </c>
    </row>
    <row r="5151" customFormat="false" ht="17.15" hidden="false" customHeight="false" outlineLevel="0" collapsed="false">
      <c r="A5151" s="0" t="s">
        <v>1241</v>
      </c>
      <c r="B5151" s="0" t="s">
        <v>98</v>
      </c>
      <c r="F5151" s="6" t="n">
        <f aca="false">Sens!F5003-Sens!F5004+Sens!F5085</f>
        <v>45.4521185453735</v>
      </c>
      <c r="G5151" s="6" t="n">
        <f aca="false">Sens!G5003-Sens!G5004+Sens!G5085</f>
        <v>91.2407723228832</v>
      </c>
      <c r="H5151" s="6" t="n">
        <f aca="false">Sens!H5003-Sens!H5004+Sens!H5085</f>
        <v>144.85254311039</v>
      </c>
      <c r="I5151" s="6" t="n">
        <f aca="false">Sens!I5003-Sens!I5004+Sens!I5085</f>
        <v>185.885103146916</v>
      </c>
      <c r="J5151" s="6" t="n">
        <f aca="false">Sens!J5003-Sens!J5004+Sens!J5085</f>
        <v>214.90487015988</v>
      </c>
      <c r="K5151" s="6" t="n">
        <f aca="false">Sens!K5003-Sens!K5004+Sens!K5085</f>
        <v>230.318555911592</v>
      </c>
    </row>
    <row r="5152" customFormat="false" ht="17.15" hidden="false" customHeight="false" outlineLevel="0" collapsed="false">
      <c r="A5152" s="0" t="s">
        <v>1242</v>
      </c>
      <c r="B5152" s="0" t="s">
        <v>98</v>
      </c>
      <c r="F5152" s="6" t="n">
        <f aca="false">Sens!F5064+Sens!F5085+Sens!F5015+Sens!F5145*(Sens!F5034-Sens!F4997)+sbc_r*Sens!F5034</f>
        <v>239.491593895548</v>
      </c>
      <c r="G5152" s="6" t="n">
        <f aca="false">Sens!G5064+Sens!G5085+Sens!G5015+Sens!G5145*(Sens!G5034-Sens!G4997)+sbc_r*Sens!G5034</f>
        <v>310.634213893855</v>
      </c>
      <c r="H5152" s="6" t="n">
        <f aca="false">Sens!H5064+Sens!H5085+Sens!H5015+Sens!H5145*(Sens!H5034-Sens!H4997)+sbc_r*Sens!H5034</f>
        <v>393.775425495953</v>
      </c>
      <c r="I5152" s="6" t="n">
        <f aca="false">Sens!I5064+Sens!I5085+Sens!I5015+Sens!I5145*(Sens!I5034-Sens!I4997)+sbc_r*Sens!I5034</f>
        <v>462.23113323609</v>
      </c>
      <c r="J5152" s="6" t="n">
        <f aca="false">Sens!J5064+Sens!J5085+Sens!J5015+Sens!J5145*(Sens!J5034-Sens!J4997)+sbc_r*Sens!J5034</f>
        <v>515.762599792382</v>
      </c>
      <c r="K5152" s="6" t="n">
        <f aca="false">Sens!K5064+Sens!K5085+Sens!K5015+Sens!K5145*(Sens!K5034-Sens!K4997)+sbc_r*Sens!K5034</f>
        <v>553.245417670592</v>
      </c>
    </row>
    <row r="5153" customFormat="false" ht="17.15" hidden="false" customHeight="false" outlineLevel="0" collapsed="false">
      <c r="A5153" s="0" t="s">
        <v>1243</v>
      </c>
      <c r="B5153" s="0" t="s">
        <v>98</v>
      </c>
      <c r="F5153" s="6" t="n">
        <f aca="false">Sens!F5152-Sens!F5146-Sens!F5147-Sens!F5148-Sens!F5149-Sens!F5151</f>
        <v>62.9855216031707</v>
      </c>
      <c r="G5153" s="6" t="n">
        <f aca="false">Sens!G5152-Sens!G5146-Sens!G5147-Sens!G5148-Sens!G5149-Sens!G5151</f>
        <v>71.7783521223569</v>
      </c>
      <c r="H5153" s="6" t="n">
        <f aca="false">Sens!H5152-Sens!H5146-Sens!H5147-Sens!H5148-Sens!H5149-Sens!H5151</f>
        <v>84.5758637671819</v>
      </c>
      <c r="I5153" s="6" t="n">
        <f aca="false">Sens!I5152-Sens!I5146-Sens!I5147-Sens!I5148-Sens!I5149-Sens!I5151</f>
        <v>96.7955130370162</v>
      </c>
      <c r="J5153" s="6" t="n">
        <f aca="false">Sens!J5152-Sens!J5146-Sens!J5147-Sens!J5148-Sens!J5149-Sens!J5151</f>
        <v>107.854299779424</v>
      </c>
      <c r="K5153" s="6" t="n">
        <f aca="false">Sens!K5152-Sens!K5146-Sens!K5147-Sens!K5148-Sens!K5149-Sens!K5151</f>
        <v>116.947358372219</v>
      </c>
    </row>
    <row r="5154" customFormat="false" ht="17.15" hidden="false" customHeight="false" outlineLevel="0" collapsed="false">
      <c r="A5154" s="0" t="s">
        <v>1244</v>
      </c>
      <c r="B5154" s="0" t="s">
        <v>98</v>
      </c>
      <c r="F5154" s="6" t="n">
        <f aca="false">Sens!F5066+Sens!F5145*Sens!F5041+sbc_r*Sens!F5041</f>
        <v>26.9913222795429</v>
      </c>
      <c r="G5154" s="6" t="n">
        <f aca="false">Sens!G5066+Sens!G5145*Sens!G5041+sbc_r*Sens!G5041</f>
        <v>26.7379263171077</v>
      </c>
      <c r="H5154" s="6" t="n">
        <f aca="false">Sens!H5066+Sens!H5145*Sens!H5041+sbc_r*Sens!H5041</f>
        <v>27.5454875102386</v>
      </c>
      <c r="I5154" s="6" t="n">
        <f aca="false">Sens!I5066+Sens!I5145*Sens!I5041+sbc_r*Sens!I5041</f>
        <v>28.6117553281948</v>
      </c>
      <c r="J5154" s="6" t="n">
        <f aca="false">Sens!J5066+Sens!J5145*Sens!J5041+sbc_r*Sens!J5041</f>
        <v>29.8938974229436</v>
      </c>
      <c r="K5154" s="6" t="n">
        <f aca="false">Sens!K5066+Sens!K5145*Sens!K5041+sbc_r*Sens!K5041</f>
        <v>31.3444405246972</v>
      </c>
    </row>
    <row r="5155" customFormat="false" ht="17.15" hidden="false" customHeight="false" outlineLevel="0" collapsed="false">
      <c r="A5155" s="0" t="s">
        <v>1245</v>
      </c>
      <c r="B5155" s="0" t="s">
        <v>98</v>
      </c>
      <c r="F5155" s="6" t="n">
        <f aca="false">(Sens!F5154-Sens!F5150)*Sens!F5037/(Sens!F5037+Sens!F5039)</f>
        <v>8.83829058145453</v>
      </c>
      <c r="G5155" s="6" t="n">
        <f aca="false">(Sens!G5154-Sens!G5150)*Sens!G5037/(Sens!G5037+Sens!G5039)</f>
        <v>7.96771958128193</v>
      </c>
      <c r="H5155" s="6" t="n">
        <f aca="false">(Sens!H5154-Sens!H5150)*Sens!H5037/(Sens!H5037+Sens!H5039)</f>
        <v>7.70805962388961</v>
      </c>
      <c r="I5155" s="6" t="n">
        <f aca="false">(Sens!I5154-Sens!I5150)*Sens!I5037/(Sens!I5037+Sens!I5039)</f>
        <v>7.60401109040486</v>
      </c>
      <c r="J5155" s="6" t="n">
        <f aca="false">(Sens!J5154-Sens!J5150)*Sens!J5037/(Sens!J5037+Sens!J5039)</f>
        <v>7.64015890671621</v>
      </c>
      <c r="K5155" s="6" t="n">
        <f aca="false">(Sens!K5154-Sens!K5150)*Sens!K5037/(Sens!K5037+Sens!K5039)</f>
        <v>7.80706110081402</v>
      </c>
    </row>
    <row r="5156" customFormat="false" ht="17.15" hidden="false" customHeight="false" outlineLevel="0" collapsed="false">
      <c r="A5156" s="0" t="s">
        <v>1246</v>
      </c>
      <c r="B5156" s="0" t="s">
        <v>98</v>
      </c>
      <c r="F5156" s="6" t="n">
        <f aca="false">Sens!F5154-Sens!F5150-Sens!F5155</f>
        <v>6.81064214054226</v>
      </c>
      <c r="G5156" s="6" t="n">
        <f aca="false">Sens!G5154-Sens!G5150-Sens!G5155</f>
        <v>6.38648994270508</v>
      </c>
      <c r="H5156" s="6" t="n">
        <f aca="false">Sens!H5154-Sens!H5150-Sens!H5155</f>
        <v>6.36164728994949</v>
      </c>
      <c r="I5156" s="6" t="n">
        <f aca="false">Sens!I5154-Sens!I5150-Sens!I5155</f>
        <v>6.39798934505586</v>
      </c>
      <c r="J5156" s="6" t="n">
        <f aca="false">Sens!J5154-Sens!J5150-Sens!J5155</f>
        <v>6.49005344390905</v>
      </c>
      <c r="K5156" s="6" t="n">
        <f aca="false">Sens!K5154-Sens!K5150-Sens!K5155</f>
        <v>6.6318311441933</v>
      </c>
    </row>
    <row r="5157" customFormat="false" ht="17.15" hidden="false" customHeight="false" outlineLevel="0" collapsed="false">
      <c r="A5157" s="0" t="s">
        <v>1247</v>
      </c>
      <c r="B5157" s="0" t="s">
        <v>98</v>
      </c>
      <c r="F5157" s="6" t="n">
        <f aca="false">Sens!F5151-tax_f*(Sens!F5151-Sens!F5015)-Sens!F5012</f>
        <v>-126.092645881163</v>
      </c>
      <c r="G5157" s="6" t="n">
        <f aca="false">Sens!G5151-tax_f*(Sens!G5151-Sens!G5015)-Sens!G5012</f>
        <v>-108.421063993811</v>
      </c>
      <c r="H5157" s="6" t="n">
        <f aca="false">Sens!H5151-tax_f*(Sens!H5151-Sens!H5015)-Sens!H5012</f>
        <v>-65.4811512066778</v>
      </c>
      <c r="I5157" s="6" t="n">
        <f aca="false">Sens!I5151-tax_f*(Sens!I5151-Sens!I5015)-Sens!I5012</f>
        <v>28.9524526171819</v>
      </c>
      <c r="J5157" s="6" t="n">
        <f aca="false">Sens!J5151-tax_f*(Sens!J5151-Sens!J5015)-Sens!J5012</f>
        <v>80.5043013472603</v>
      </c>
      <c r="K5157" s="6" t="n">
        <f aca="false">Sens!K5151-tax_f*(Sens!K5151-Sens!K5015)-Sens!K5012</f>
        <v>133.078392324938</v>
      </c>
    </row>
    <row r="5158" customFormat="false" ht="17.15" hidden="false" customHeight="false" outlineLevel="0" collapsed="false">
      <c r="A5158" s="0" t="s">
        <v>1248</v>
      </c>
      <c r="B5158" s="0" t="s">
        <v>98</v>
      </c>
      <c r="G5158" s="6" t="n">
        <f aca="false">Sens!G5157/(1+wacc)^(Sens!G5128-Sens!F5129)</f>
        <v>-103.237717095598</v>
      </c>
      <c r="H5158" s="6" t="n">
        <f aca="false">Sens!H5157/(1+wacc)^(Sens!H5128-Sens!F5129)</f>
        <v>-56.5314973011406</v>
      </c>
      <c r="I5158" s="6" t="n">
        <f aca="false">Sens!I5157/(1+wacc)^(Sens!I5128-Sens!F5129)</f>
        <v>22.6625615605204</v>
      </c>
      <c r="J5158" s="6" t="n">
        <f aca="false">Sens!J5157/(1+wacc)^(Sens!J5128-Sens!F5129)</f>
        <v>57.1336773087744</v>
      </c>
      <c r="K5158" s="6" t="n">
        <f aca="false">Sens!K5157/(1+wacc)^(Sens!K5128-Sens!F5129)</f>
        <v>85.6308180172952</v>
      </c>
      <c r="L5158" s="1" t="s">
        <v>1249</v>
      </c>
    </row>
    <row r="5159" customFormat="false" ht="17.15" hidden="false" customHeight="false" outlineLevel="0" collapsed="false">
      <c r="A5159" s="0" t="s">
        <v>1250</v>
      </c>
      <c r="B5159" s="0" t="s">
        <v>98</v>
      </c>
      <c r="C5159" s="6" t="n">
        <f aca="false">(Sens!K5151-Sens!K5015)*(1-tax_f)*(1+g_tv)*(1-g_tv/(wacc+ronic_prem))/(wacc-g_tv)/(1+wacc)^(Sens!K5129-Sens!F5129)</f>
        <v>532.662234512362</v>
      </c>
    </row>
    <row r="5160" customFormat="false" ht="17.15" hidden="false" customHeight="false" outlineLevel="0" collapsed="false">
      <c r="A5160" s="1" t="s">
        <v>1251</v>
      </c>
      <c r="B5160" s="0" t="s">
        <v>98</v>
      </c>
      <c r="C5160" s="6" t="n">
        <f aca="false">(SUM(Sens!G5158:K5158)+Sens!$C$5159)*(1+wacc)^(t_roll-Sens!F5129)</f>
        <v>556.091650744805</v>
      </c>
      <c r="L5160" s="12" t="s">
        <v>1252</v>
      </c>
    </row>
    <row r="5161" customFormat="false" ht="17.15" hidden="false" customHeight="false" outlineLevel="0" collapsed="false">
      <c r="A5161" s="1" t="s">
        <v>1253</v>
      </c>
      <c r="B5161" s="0" t="s">
        <v>98</v>
      </c>
      <c r="C5161" s="6" t="n">
        <f aca="false">(w_ntm28*Sens!G5003+(1-w_ntm28)*Sens!H5003)*m_ai</f>
        <v>563.316843258668</v>
      </c>
    </row>
    <row r="5162" customFormat="false" ht="17.15" hidden="false" customHeight="false" outlineLevel="0" collapsed="false">
      <c r="A5162" s="1" t="s">
        <v>1254</v>
      </c>
      <c r="B5162" s="0" t="s">
        <v>98</v>
      </c>
      <c r="C5162" s="6" t="n">
        <f aca="false">(w_ntm28*Sens!G5153+(1-w_ntm28)*Sens!H5153)*m_cloud</f>
        <v>1050.12310937694</v>
      </c>
    </row>
    <row r="5163" customFormat="false" ht="17.15" hidden="false" customHeight="false" outlineLevel="0" collapsed="false">
      <c r="A5163" s="1" t="s">
        <v>1255</v>
      </c>
      <c r="B5163" s="0" t="s">
        <v>98</v>
      </c>
      <c r="C5163" s="6" t="n">
        <f aca="false">(w_ntm28*Sens!G5146+(1-w_ntm28)*Sens!H5146)*m_sw</f>
        <v>1127.13926905954</v>
      </c>
    </row>
    <row r="5164" customFormat="false" ht="17.15" hidden="false" customHeight="false" outlineLevel="0" collapsed="false">
      <c r="A5164" s="1" t="s">
        <v>1256</v>
      </c>
      <c r="B5164" s="0" t="s">
        <v>98</v>
      </c>
      <c r="C5164" s="6" t="n">
        <f aca="false">(w_ntm28*Sens!G5147+(1-w_ntm28)*Sens!H5147)*m_sw</f>
        <v>374.518572345731</v>
      </c>
    </row>
    <row r="5165" customFormat="false" ht="17.15" hidden="false" customHeight="false" outlineLevel="0" collapsed="false">
      <c r="A5165" s="1" t="s">
        <v>1257</v>
      </c>
      <c r="B5165" s="0" t="s">
        <v>98</v>
      </c>
      <c r="C5165" s="6" t="n">
        <f aca="false">(w_ntm28*Sens!G5148+(1-w_ntm28)*Sens!H5148)*m_sw</f>
        <v>110.127028473875</v>
      </c>
    </row>
    <row r="5166" customFormat="false" ht="17.15" hidden="false" customHeight="false" outlineLevel="0" collapsed="false">
      <c r="A5166" s="1" t="s">
        <v>1258</v>
      </c>
      <c r="B5166" s="0" t="s">
        <v>98</v>
      </c>
      <c r="C5166" s="6" t="n">
        <f aca="false">(w_ntm28*Sens!G5149+(1-w_ntm28)*Sens!H5149)*m_sw</f>
        <v>41.8679049440219</v>
      </c>
    </row>
    <row r="5167" customFormat="false" ht="17.15" hidden="false" customHeight="false" outlineLevel="0" collapsed="false">
      <c r="A5167" s="1" t="s">
        <v>1259</v>
      </c>
      <c r="B5167" s="0" t="s">
        <v>98</v>
      </c>
      <c r="C5167" s="6" t="n">
        <f aca="false">(w_ntm28*Sens!G5150+(1-w_ntm28)*Sens!H5150)*m_ads</f>
        <v>116.08646587504</v>
      </c>
    </row>
    <row r="5168" customFormat="false" ht="17.15" hidden="false" customHeight="false" outlineLevel="0" collapsed="false">
      <c r="A5168" s="1" t="s">
        <v>1260</v>
      </c>
      <c r="B5168" s="0" t="s">
        <v>98</v>
      </c>
      <c r="C5168" s="6" t="n">
        <f aca="false">(w_ntm28*Sens!G5155+(1-w_ntm28)*Sens!H5155)*m_game</f>
        <v>99.5541048008407</v>
      </c>
    </row>
    <row r="5169" customFormat="false" ht="17.15" hidden="false" customHeight="false" outlineLevel="0" collapsed="false">
      <c r="A5169" s="1" t="s">
        <v>1261</v>
      </c>
      <c r="B5169" s="0" t="s">
        <v>98</v>
      </c>
      <c r="C5169" s="6" t="n">
        <f aca="false">(w_ntm28*Sens!G5156+(1-w_ntm28)*Sens!H5156)*m_pc</f>
        <v>92.2943265058882</v>
      </c>
    </row>
    <row r="5170" customFormat="false" ht="17.15" hidden="false" customHeight="false" outlineLevel="0" collapsed="false">
      <c r="A5170" s="1" t="s">
        <v>1262</v>
      </c>
      <c r="B5170" s="0" t="s">
        <v>98</v>
      </c>
      <c r="C5170" s="6" t="n">
        <f aca="false">Sens!$C$5160+Sens!$C$5162+Sens!$C$5163+Sens!$C$5164+Sens!$C$5165+Sens!$C$5166+Sens!$C$5167+Sens!$C$5168+Sens!$C$5169</f>
        <v>3567.80243212668</v>
      </c>
    </row>
    <row r="5171" customFormat="false" ht="17.15" hidden="false" customHeight="false" outlineLevel="0" collapsed="false">
      <c r="A5171" s="1" t="s">
        <v>1263</v>
      </c>
      <c r="B5171" s="0" t="s">
        <v>98</v>
      </c>
      <c r="C5171" s="6" t="n">
        <f aca="false">(Sens!G5132-Sens!G5157)*t_stub</f>
        <v>48.0963501665725</v>
      </c>
      <c r="L5171" s="1" t="s">
        <v>1264</v>
      </c>
    </row>
    <row r="5172" customFormat="false" ht="17.15" hidden="false" customHeight="false" outlineLevel="0" collapsed="false">
      <c r="A5172" s="1" t="s">
        <v>1173</v>
      </c>
      <c r="B5172" s="0" t="s">
        <v>98</v>
      </c>
      <c r="C5172" s="6" t="n">
        <f aca="false">Sens!F5119+oai_v-Sens!F5108+Sens!$C$5171</f>
        <v>162.324620166573</v>
      </c>
      <c r="L5172" s="1" t="s">
        <v>1265</v>
      </c>
    </row>
    <row r="5173" customFormat="false" ht="17.15" hidden="false" customHeight="false" outlineLevel="0" collapsed="false">
      <c r="A5173" s="1" t="s">
        <v>1266</v>
      </c>
      <c r="B5173" s="0" t="s">
        <v>75</v>
      </c>
      <c r="C5173" s="5" t="n">
        <f aca="false">(Sens!$C$5170+Sens!$C$5172)/(Sens!F5121+dil_gap)-Sens!G5111*roll_div_q/q_per_yr</f>
        <v>496.793375072592</v>
      </c>
      <c r="L5173" s="1" t="s">
        <v>1267</v>
      </c>
    </row>
    <row r="5174" customFormat="false" ht="17.15" hidden="false" customHeight="false" outlineLevel="0" collapsed="false">
      <c r="A5174" s="1" t="s">
        <v>1268</v>
      </c>
      <c r="B5174" s="0" t="s">
        <v>75</v>
      </c>
      <c r="C5174" s="5" t="n">
        <f aca="false">w_dcf*Sens!$C$5144+(1-w_dcf)*Sens!$C$5173</f>
        <v>437.450122823686</v>
      </c>
    </row>
    <row r="5175" customFormat="false" ht="17.15" hidden="false" customHeight="false" outlineLevel="0" collapsed="false">
      <c r="A5175" s="3" t="s">
        <v>1740</v>
      </c>
    </row>
    <row r="5176" customFormat="false" ht="15" hidden="false" customHeight="false" outlineLevel="0" collapsed="false">
      <c r="A5176" s="4" t="s">
        <v>43</v>
      </c>
      <c r="B5176" s="4" t="s">
        <v>65</v>
      </c>
      <c r="C5176" s="23" t="s">
        <v>942</v>
      </c>
      <c r="D5176" s="23" t="s">
        <v>943</v>
      </c>
      <c r="E5176" s="23" t="s">
        <v>944</v>
      </c>
      <c r="F5176" s="23" t="s">
        <v>945</v>
      </c>
      <c r="G5176" s="23" t="s">
        <v>946</v>
      </c>
      <c r="H5176" s="23" t="s">
        <v>947</v>
      </c>
      <c r="I5176" s="23" t="s">
        <v>948</v>
      </c>
      <c r="J5176" s="23" t="s">
        <v>949</v>
      </c>
      <c r="K5176" s="23" t="s">
        <v>950</v>
      </c>
      <c r="L5176" s="4" t="s">
        <v>47</v>
      </c>
    </row>
    <row r="5177" customFormat="false" ht="17.15" hidden="false" customHeight="false" outlineLevel="0" collapsed="false">
      <c r="A5177" s="1" t="s">
        <v>951</v>
      </c>
      <c r="B5177" s="1" t="s">
        <v>279</v>
      </c>
      <c r="C5177" s="21" t="n">
        <v>2024</v>
      </c>
      <c r="D5177" s="21" t="n">
        <v>2025</v>
      </c>
      <c r="E5177" s="21" t="n">
        <v>2026</v>
      </c>
      <c r="F5177" s="21" t="n">
        <v>2027</v>
      </c>
      <c r="G5177" s="21" t="n">
        <v>2028</v>
      </c>
      <c r="H5177" s="21" t="n">
        <v>2029</v>
      </c>
      <c r="I5177" s="21" t="n">
        <v>2030</v>
      </c>
      <c r="J5177" s="21" t="n">
        <v>2031</v>
      </c>
      <c r="K5177" s="21" t="n">
        <v>2032</v>
      </c>
    </row>
    <row r="5178" customFormat="false" ht="17.15" hidden="false" customHeight="false" outlineLevel="0" collapsed="false">
      <c r="A5178" s="1" t="s">
        <v>952</v>
      </c>
      <c r="B5178" s="0" t="s">
        <v>459</v>
      </c>
      <c r="F5178" s="30" t="n">
        <f aca="false">pace</f>
        <v>2726.5351</v>
      </c>
      <c r="G5178" s="30" t="n">
        <f aca="false">pace</f>
        <v>2726.5351</v>
      </c>
      <c r="H5178" s="30" t="n">
        <f aca="false">pace</f>
        <v>2726.5351</v>
      </c>
      <c r="I5178" s="30" t="n">
        <f aca="false">pace+(g_tv*Sens!H5179-pace)*MIN(1,(Sens!I5177-pace_y0)/(pace_y1-pace_y0))</f>
        <v>1931.98611966667</v>
      </c>
      <c r="J5178" s="30" t="n">
        <f aca="false">pace+(g_tv*Sens!I5179-pace)*MIN(1,(Sens!J5177-pace_y0)/(pace_y1-pace_y0))</f>
        <v>1176.07686172667</v>
      </c>
      <c r="K5178" s="30" t="n">
        <f aca="false">pace+(g_tv*Sens!J5179-pace)*MIN(1,(Sens!K5177-pace_y0)/(pace_y1-pace_y0))</f>
        <v>436.1300484418</v>
      </c>
      <c r="L5178" s="12" t="s">
        <v>953</v>
      </c>
    </row>
    <row r="5179" customFormat="false" ht="17.15" hidden="false" customHeight="false" outlineLevel="0" collapsed="false">
      <c r="A5179" s="1" t="s">
        <v>954</v>
      </c>
      <c r="B5179" s="0" t="s">
        <v>459</v>
      </c>
      <c r="C5179" s="30" t="n">
        <f aca="false">mw_ext_24</f>
        <v>640</v>
      </c>
      <c r="D5179" s="30" t="n">
        <f aca="false">mw_ext_25</f>
        <v>1630</v>
      </c>
      <c r="E5179" s="30" t="n">
        <f aca="false">mw_ext_26</f>
        <v>3250</v>
      </c>
      <c r="F5179" s="30" t="n">
        <f aca="false">Sens!E5179+Sens!F5178</f>
        <v>5976.5351</v>
      </c>
      <c r="G5179" s="30" t="n">
        <f aca="false">Sens!F5179+Sens!G5178</f>
        <v>8703.0702</v>
      </c>
      <c r="H5179" s="30" t="n">
        <f aca="false">Sens!G5179+Sens!H5178</f>
        <v>11429.6053</v>
      </c>
      <c r="I5179" s="30" t="n">
        <f aca="false">Sens!H5179+Sens!I5178</f>
        <v>13361.5914196667</v>
      </c>
      <c r="J5179" s="30" t="n">
        <f aca="false">Sens!I5179+Sens!J5178</f>
        <v>14537.6682813933</v>
      </c>
      <c r="K5179" s="30" t="n">
        <f aca="false">Sens!J5179+Sens!K5178</f>
        <v>14973.7983298351</v>
      </c>
      <c r="L5179" s="1" t="s">
        <v>955</v>
      </c>
    </row>
    <row r="5180" customFormat="false" ht="17.15" hidden="false" customHeight="false" outlineLevel="0" collapsed="false">
      <c r="A5180" s="1" t="s">
        <v>956</v>
      </c>
      <c r="B5180" s="0" t="s">
        <v>459</v>
      </c>
      <c r="C5180" s="30" t="n">
        <f aca="false">rent_ext_24</f>
        <v>150</v>
      </c>
      <c r="D5180" s="30" t="n">
        <f aca="false">rent_ext_25</f>
        <v>400</v>
      </c>
      <c r="E5180" s="30" t="n">
        <f aca="false">rent_ext_26</f>
        <v>550</v>
      </c>
      <c r="F5180" s="30" t="n">
        <f aca="false">rent_ext_f</f>
        <v>756</v>
      </c>
      <c r="G5180" s="30" t="n">
        <f aca="false">rent_ext_f</f>
        <v>756</v>
      </c>
      <c r="H5180" s="30" t="n">
        <f aca="false">rent_ext_f</f>
        <v>756</v>
      </c>
      <c r="I5180" s="30" t="n">
        <f aca="false">rent_ext_f</f>
        <v>756</v>
      </c>
      <c r="J5180" s="30" t="n">
        <f aca="false">rent_ext_f</f>
        <v>756</v>
      </c>
      <c r="K5180" s="30" t="n">
        <f aca="false">rent_ext_f</f>
        <v>756</v>
      </c>
      <c r="L5180" s="1" t="s">
        <v>957</v>
      </c>
    </row>
    <row r="5181" customFormat="false" ht="17.15" hidden="false" customHeight="false" outlineLevel="0" collapsed="false">
      <c r="A5181" s="1" t="s">
        <v>958</v>
      </c>
      <c r="B5181" s="0" t="s">
        <v>459</v>
      </c>
      <c r="C5181" s="30" t="n">
        <f aca="false">Sens!C5179-Sens!C5180</f>
        <v>490</v>
      </c>
      <c r="D5181" s="30" t="n">
        <f aca="false">Sens!D5179-Sens!D5180</f>
        <v>1230</v>
      </c>
      <c r="E5181" s="30" t="n">
        <f aca="false">Sens!E5179-Sens!E5180</f>
        <v>2700</v>
      </c>
      <c r="F5181" s="30" t="n">
        <f aca="false">Sens!F5179-Sens!F5180</f>
        <v>5220.5351</v>
      </c>
      <c r="G5181" s="30" t="n">
        <f aca="false">Sens!G5179-Sens!G5180</f>
        <v>7947.0702</v>
      </c>
      <c r="H5181" s="30" t="n">
        <f aca="false">Sens!H5179-Sens!H5180</f>
        <v>10673.6053</v>
      </c>
      <c r="I5181" s="30" t="n">
        <f aca="false">Sens!I5179-Sens!I5180</f>
        <v>12605.5914196667</v>
      </c>
      <c r="J5181" s="30" t="n">
        <f aca="false">Sens!J5179-Sens!J5180</f>
        <v>13781.6682813933</v>
      </c>
      <c r="K5181" s="30" t="n">
        <f aca="false">Sens!K5179-Sens!K5180</f>
        <v>14217.7983298351</v>
      </c>
    </row>
    <row r="5182" customFormat="false" ht="17.15" hidden="false" customHeight="false" outlineLevel="0" collapsed="false">
      <c r="A5182" s="1" t="s">
        <v>959</v>
      </c>
      <c r="B5182" s="0" t="s">
        <v>459</v>
      </c>
      <c r="C5182" s="30" t="n">
        <f aca="false">Sens!C5181/ext_sh</f>
        <v>816.666666666667</v>
      </c>
      <c r="D5182" s="30" t="n">
        <f aca="false">Sens!D5181/ext_sh</f>
        <v>2050</v>
      </c>
      <c r="E5182" s="30" t="n">
        <f aca="false">Sens!E5181/ext_sh</f>
        <v>4500</v>
      </c>
      <c r="F5182" s="30" t="n">
        <f aca="false">Sens!F5181/ext_sh</f>
        <v>8700.89183333333</v>
      </c>
      <c r="G5182" s="30" t="n">
        <f aca="false">Sens!G5181/ext_sh</f>
        <v>13245.117</v>
      </c>
      <c r="H5182" s="30" t="n">
        <f aca="false">Sens!H5181/ext_sh</f>
        <v>17789.3421666667</v>
      </c>
      <c r="I5182" s="30" t="n">
        <f aca="false">Sens!I5181/ext_sh</f>
        <v>21009.3190327778</v>
      </c>
      <c r="J5182" s="30" t="n">
        <f aca="false">Sens!J5181/ext_sh</f>
        <v>22969.4471356556</v>
      </c>
      <c r="K5182" s="30" t="n">
        <f aca="false">Sens!K5181/ext_sh</f>
        <v>23696.3305497252</v>
      </c>
      <c r="L5182" s="1" t="s">
        <v>960</v>
      </c>
    </row>
    <row r="5183" customFormat="false" ht="17.15" hidden="false" customHeight="false" outlineLevel="0" collapsed="false">
      <c r="A5183" s="1" t="s">
        <v>961</v>
      </c>
      <c r="B5183" s="0" t="s">
        <v>459</v>
      </c>
      <c r="C5183" s="30" t="n">
        <f aca="false">Sens!C5182-Sens!C5181</f>
        <v>326.666666666667</v>
      </c>
      <c r="D5183" s="30" t="n">
        <f aca="false">Sens!D5182-Sens!D5181</f>
        <v>820</v>
      </c>
      <c r="E5183" s="30" t="n">
        <f aca="false">Sens!E5182-Sens!E5181</f>
        <v>1800</v>
      </c>
      <c r="F5183" s="30" t="n">
        <f aca="false">Sens!F5182-Sens!F5181</f>
        <v>3480.35673333333</v>
      </c>
      <c r="G5183" s="30" t="n">
        <f aca="false">Sens!G5182-Sens!G5181</f>
        <v>5298.0468</v>
      </c>
      <c r="H5183" s="30" t="n">
        <f aca="false">Sens!H5182-Sens!H5181</f>
        <v>7115.73686666667</v>
      </c>
      <c r="I5183" s="30" t="n">
        <f aca="false">Sens!I5182-Sens!I5181</f>
        <v>8403.72761311111</v>
      </c>
      <c r="J5183" s="30" t="n">
        <f aca="false">Sens!J5182-Sens!J5181</f>
        <v>9187.77885426222</v>
      </c>
      <c r="K5183" s="30" t="n">
        <f aca="false">Sens!K5182-Sens!K5181</f>
        <v>9478.53221989009</v>
      </c>
    </row>
    <row r="5184" customFormat="false" ht="17.15" hidden="false" customHeight="false" outlineLevel="0" collapsed="false">
      <c r="A5184" s="1" t="s">
        <v>962</v>
      </c>
      <c r="B5184" s="0" t="s">
        <v>459</v>
      </c>
      <c r="C5184" s="30" t="n">
        <f aca="false">Sens!C5182</f>
        <v>816.666666666667</v>
      </c>
      <c r="D5184" s="30" t="n">
        <f aca="false">Sens!D5182-Sens!C5182</f>
        <v>1233.33333333333</v>
      </c>
      <c r="E5184" s="30" t="n">
        <f aca="false">Sens!E5182-Sens!D5182</f>
        <v>2450</v>
      </c>
      <c r="F5184" s="30" t="n">
        <f aca="false">Sens!F5182-Sens!E5182</f>
        <v>4200.89183333333</v>
      </c>
      <c r="G5184" s="30" t="n">
        <f aca="false">Sens!G5182-Sens!F5182</f>
        <v>4544.22516666667</v>
      </c>
      <c r="H5184" s="30" t="n">
        <f aca="false">Sens!H5182-Sens!G5182</f>
        <v>4544.22516666667</v>
      </c>
      <c r="I5184" s="30" t="n">
        <f aca="false">Sens!I5182-Sens!H5182</f>
        <v>3219.97686611111</v>
      </c>
      <c r="J5184" s="30" t="n">
        <f aca="false">Sens!J5182-Sens!I5182</f>
        <v>1960.12810287778</v>
      </c>
      <c r="K5184" s="30" t="n">
        <f aca="false">Sens!K5182-Sens!J5182</f>
        <v>726.883414069667</v>
      </c>
    </row>
    <row r="5185" customFormat="false" ht="17.15" hidden="false" customHeight="false" outlineLevel="0" collapsed="false">
      <c r="A5185" s="1" t="s">
        <v>963</v>
      </c>
      <c r="B5185" s="0" t="s">
        <v>459</v>
      </c>
      <c r="D5185" s="30" t="n">
        <f aca="false">Sens!D5179-Sens!C5179</f>
        <v>990</v>
      </c>
      <c r="E5185" s="30" t="n">
        <f aca="false">Sens!E5179-Sens!D5179</f>
        <v>1620</v>
      </c>
      <c r="F5185" s="30" t="n">
        <f aca="false">Sens!F5179-Sens!E5179</f>
        <v>2726.5351</v>
      </c>
      <c r="G5185" s="30" t="n">
        <f aca="false">Sens!G5179-Sens!F5179</f>
        <v>2726.5351</v>
      </c>
      <c r="H5185" s="30" t="n">
        <f aca="false">Sens!H5179-Sens!G5179</f>
        <v>2726.5351</v>
      </c>
      <c r="I5185" s="30" t="n">
        <f aca="false">Sens!I5179-Sens!H5179</f>
        <v>1931.98611966667</v>
      </c>
      <c r="J5185" s="30" t="n">
        <f aca="false">Sens!J5179-Sens!I5179</f>
        <v>1176.07686172667</v>
      </c>
      <c r="K5185" s="30" t="n">
        <f aca="false">Sens!K5179-Sens!J5179</f>
        <v>436.130048441799</v>
      </c>
    </row>
    <row r="5186" customFormat="false" ht="17.15" hidden="false" customHeight="false" outlineLevel="0" collapsed="false">
      <c r="A5186" s="1" t="s">
        <v>964</v>
      </c>
      <c r="B5186" s="0" t="s">
        <v>459</v>
      </c>
      <c r="F5186" s="30" t="n">
        <f aca="false">Sens!F5205*ext_sh</f>
        <v>0</v>
      </c>
      <c r="G5186" s="30" t="n">
        <f aca="false">Sens!G5205*ext_sh</f>
        <v>0</v>
      </c>
      <c r="H5186" s="30" t="n">
        <f aca="false">Sens!H5205*ext_sh</f>
        <v>0</v>
      </c>
      <c r="I5186" s="30" t="n">
        <f aca="false">Sens!I5205*ext_sh</f>
        <v>0</v>
      </c>
      <c r="J5186" s="30" t="n">
        <f aca="false">Sens!J5205*ext_sh</f>
        <v>490</v>
      </c>
      <c r="K5186" s="30" t="n">
        <f aca="false">Sens!K5205*ext_sh</f>
        <v>740</v>
      </c>
      <c r="L5186" s="1" t="s">
        <v>965</v>
      </c>
    </row>
    <row r="5187" customFormat="false" ht="17.15" hidden="false" customHeight="false" outlineLevel="0" collapsed="false">
      <c r="A5187" s="1" t="s">
        <v>966</v>
      </c>
      <c r="B5187" s="0" t="s">
        <v>459</v>
      </c>
      <c r="C5187" s="30" t="n">
        <f aca="false">mix_h*Sens!C5179</f>
        <v>128</v>
      </c>
      <c r="D5187" s="30" t="n">
        <f aca="false">mix_h*Sens!D5179</f>
        <v>326</v>
      </c>
      <c r="E5187" s="30" t="n">
        <f aca="false">mix_h*Sens!E5179</f>
        <v>650</v>
      </c>
      <c r="F5187" s="30" t="n">
        <f aca="false">Sens!E5187-Sens!F5186*mix_h</f>
        <v>650</v>
      </c>
      <c r="G5187" s="30" t="n">
        <f aca="false">Sens!F5187-Sens!G5186*mix_h</f>
        <v>650</v>
      </c>
      <c r="H5187" s="30" t="n">
        <f aca="false">Sens!G5187-Sens!H5186*mix_h</f>
        <v>650</v>
      </c>
      <c r="I5187" s="30" t="n">
        <f aca="false">Sens!H5187-Sens!I5186*mix_h</f>
        <v>650</v>
      </c>
      <c r="J5187" s="30" t="n">
        <f aca="false">Sens!I5187-Sens!J5186*mix_h</f>
        <v>552</v>
      </c>
      <c r="K5187" s="30" t="n">
        <f aca="false">Sens!J5187-Sens!K5186*mix_h</f>
        <v>404</v>
      </c>
    </row>
    <row r="5188" customFormat="false" ht="17.15" hidden="false" customHeight="false" outlineLevel="0" collapsed="false">
      <c r="A5188" s="1" t="s">
        <v>967</v>
      </c>
      <c r="B5188" s="0" t="s">
        <v>459</v>
      </c>
      <c r="C5188" s="30" t="n">
        <f aca="false">mix_g2*Sens!C5179</f>
        <v>288</v>
      </c>
      <c r="D5188" s="30" t="n">
        <f aca="false">mix_g2*Sens!D5179</f>
        <v>733.5</v>
      </c>
      <c r="E5188" s="30" t="n">
        <f aca="false">mix_g2*Sens!E5179</f>
        <v>1462.5</v>
      </c>
      <c r="F5188" s="30" t="n">
        <f aca="false">Sens!E5188-Sens!F5186*mix_g2</f>
        <v>1462.5</v>
      </c>
      <c r="G5188" s="30" t="n">
        <f aca="false">Sens!F5188-Sens!G5186*mix_g2</f>
        <v>1462.5</v>
      </c>
      <c r="H5188" s="30" t="n">
        <f aca="false">Sens!G5188-Sens!H5186*mix_g2</f>
        <v>1462.5</v>
      </c>
      <c r="I5188" s="30" t="n">
        <f aca="false">Sens!H5188-Sens!I5186*mix_g2</f>
        <v>1462.5</v>
      </c>
      <c r="J5188" s="30" t="n">
        <f aca="false">Sens!I5188-Sens!J5186*mix_g2</f>
        <v>1242</v>
      </c>
      <c r="K5188" s="30" t="n">
        <f aca="false">Sens!J5188-Sens!K5186*mix_g2</f>
        <v>909</v>
      </c>
    </row>
    <row r="5189" customFormat="false" ht="17.15" hidden="false" customHeight="false" outlineLevel="0" collapsed="false">
      <c r="A5189" s="1" t="s">
        <v>968</v>
      </c>
      <c r="B5189" s="0" t="s">
        <v>459</v>
      </c>
      <c r="C5189" s="30" t="n">
        <f aca="false">mix_g3*Sens!C5179</f>
        <v>224</v>
      </c>
      <c r="D5189" s="30" t="n">
        <f aca="false">mix_g3*Sens!D5179</f>
        <v>570.5</v>
      </c>
      <c r="E5189" s="30" t="n">
        <f aca="false">mix_g3*Sens!E5179</f>
        <v>1137.5</v>
      </c>
      <c r="F5189" s="30" t="n">
        <f aca="false">Sens!E5189+(Sens!F5185+Sens!F5186)*(a_g3_27-nonnv*a_mai)-Sens!F5186*mix_g3</f>
        <v>2773.42106</v>
      </c>
      <c r="G5189" s="30" t="n">
        <f aca="false">Sens!F5189+(Sens!G5185+Sens!G5186)*(a_g3_28-nonnv*a_mai)-Sens!G5186*mix_g3</f>
        <v>3318.72808</v>
      </c>
      <c r="H5189" s="30" t="n">
        <f aca="false">Sens!G5189+(Sens!H5185+Sens!H5186)*(a_g3_29-nonnv*a_mai)-Sens!H5186*mix_g3</f>
        <v>3318.72808</v>
      </c>
      <c r="I5189" s="30" t="n">
        <f aca="false">Sens!H5189+(Sens!I5185+Sens!I5186)*(a_g3_29-nonnv*a_mai)-Sens!I5186*mix_g3</f>
        <v>3318.72808</v>
      </c>
      <c r="J5189" s="30" t="n">
        <f aca="false">Sens!I5189+(Sens!J5185+Sens!J5186)*(a_g3_29-nonnv*a_mai)-Sens!J5186*mix_g3</f>
        <v>3147.22808</v>
      </c>
      <c r="K5189" s="30" t="n">
        <f aca="false">Sens!J5189+(Sens!K5185+Sens!K5186)*(a_g3_29-nonnv*a_mai)-Sens!K5186*mix_g3</f>
        <v>2888.22808</v>
      </c>
    </row>
    <row r="5190" customFormat="false" ht="17.15" hidden="false" customHeight="false" outlineLevel="0" collapsed="false">
      <c r="A5190" s="1" t="s">
        <v>969</v>
      </c>
      <c r="B5190" s="0" t="s">
        <v>459</v>
      </c>
      <c r="C5190" s="30" t="n">
        <v>0</v>
      </c>
      <c r="D5190" s="30" t="n">
        <v>0</v>
      </c>
      <c r="E5190" s="30" t="n">
        <v>0</v>
      </c>
      <c r="F5190" s="30" t="n">
        <f aca="false">Sens!E5190+(Sens!F5185+Sens!F5186)*nonnv*a_mai</f>
        <v>272.65351</v>
      </c>
      <c r="G5190" s="30" t="n">
        <f aca="false">Sens!F5190+(Sens!G5185+Sens!G5186)*nonnv*a_mai</f>
        <v>545.30702</v>
      </c>
      <c r="H5190" s="30" t="n">
        <f aca="false">Sens!G5190+(Sens!H5185+Sens!H5186)*nonnv*a_mai</f>
        <v>817.96053</v>
      </c>
      <c r="I5190" s="30" t="n">
        <f aca="false">Sens!H5190+(Sens!I5185+Sens!I5186)*nonnv*a_mai</f>
        <v>1011.15914196667</v>
      </c>
      <c r="J5190" s="30" t="n">
        <f aca="false">Sens!I5190+(Sens!J5185+Sens!J5186)*nonnv*a_mai</f>
        <v>1177.76682813933</v>
      </c>
      <c r="K5190" s="30" t="n">
        <f aca="false">Sens!J5190+(Sens!K5185+Sens!K5186)*nonnv*a_mai</f>
        <v>1295.37983298351</v>
      </c>
      <c r="L5190" s="12" t="s">
        <v>970</v>
      </c>
    </row>
    <row r="5191" customFormat="false" ht="17.15" hidden="false" customHeight="false" outlineLevel="0" collapsed="false">
      <c r="A5191" s="1" t="s">
        <v>971</v>
      </c>
      <c r="B5191" s="0" t="s">
        <v>459</v>
      </c>
      <c r="C5191" s="30" t="n">
        <v>0</v>
      </c>
      <c r="D5191" s="30" t="n">
        <v>0</v>
      </c>
      <c r="E5191" s="30" t="n">
        <v>0</v>
      </c>
      <c r="F5191" s="30" t="n">
        <f aca="false">Sens!E5191+(Sens!F5185+Sens!F5186)*(1-a_g3_27)</f>
        <v>817.96053</v>
      </c>
      <c r="G5191" s="30" t="n">
        <f aca="false">Sens!F5191+(Sens!G5185+Sens!G5186)*(1-a_g3_28)</f>
        <v>2726.5351</v>
      </c>
      <c r="H5191" s="30" t="n">
        <f aca="false">Sens!G5191+(Sens!H5185+Sens!H5186)*(1-a_g3_29)</f>
        <v>5180.41669</v>
      </c>
      <c r="I5191" s="30" t="n">
        <f aca="false">Sens!H5191+(Sens!I5185+Sens!I5186)*(1-a_g3_29)</f>
        <v>6919.2041977</v>
      </c>
      <c r="J5191" s="30" t="n">
        <f aca="false">Sens!I5191+(Sens!J5185+Sens!J5186)*(1-a_g3_29)</f>
        <v>8418.673373254</v>
      </c>
      <c r="K5191" s="30" t="n">
        <f aca="false">Sens!J5191+(Sens!K5185+Sens!K5186)*(1-a_g3_29)</f>
        <v>9477.19041685162</v>
      </c>
    </row>
    <row r="5192" customFormat="false" ht="17.15" hidden="false" customHeight="false" outlineLevel="0" collapsed="false">
      <c r="A5192" s="1" t="s">
        <v>972</v>
      </c>
      <c r="B5192" s="0" t="s">
        <v>403</v>
      </c>
      <c r="C5192" s="15" t="n">
        <f aca="false">(Sens!C5187*tk_hold_h100+Sens!C5188*tk_hold_gb200+Sens!C5189*tk_hold_gb300+Sens!C5191*tk_hold_vr200+Sens!C5190*nv_hold_mai*tk_hold_vr200)/Sens!C5179</f>
        <v>9.7235358126469</v>
      </c>
      <c r="D5192" s="15" t="n">
        <f aca="false">(Sens!D5187*tk_hold_h100+Sens!D5188*tk_hold_gb200+Sens!D5189*tk_hold_gb300+Sens!D5191*tk_hold_vr200+Sens!D5190*nv_hold_mai*tk_hold_vr200)/Sens!D5179</f>
        <v>9.7235358126469</v>
      </c>
      <c r="E5192" s="15" t="n">
        <f aca="false">(Sens!E5187*tk_hold_h100+Sens!E5188*tk_hold_gb200+Sens!E5189*tk_hold_gb300+Sens!E5191*tk_hold_vr200+Sens!E5190*nv_hold_mai*tk_hold_vr200)/Sens!E5179</f>
        <v>9.7235358126469</v>
      </c>
      <c r="F5192" s="15" t="n">
        <f aca="false">(Sens!F5187*tk_hold_h100+Sens!F5188*tk_hold_gb200+Sens!F5189*tk_hold_gb300+Sens!F5191*tk_hold_vr200+Sens!F5190*nv_hold_mai*tk_hold_vr200)/Sens!F5179</f>
        <v>10.2195353876665</v>
      </c>
      <c r="G5192" s="15" t="n">
        <f aca="false">(Sens!G5187*tk_hold_h100+Sens!G5188*tk_hold_gb200+Sens!G5189*tk_hold_gb300+Sens!G5191*tk_hold_vr200+Sens!G5190*nv_hold_mai*tk_hold_vr200)/Sens!G5179</f>
        <v>10.5725598017306</v>
      </c>
      <c r="H5192" s="15" t="n">
        <f aca="false">(Sens!H5187*tk_hold_h100+Sens!H5188*tk_hold_gb200+Sens!H5189*tk_hold_gb300+Sens!H5191*tk_hold_vr200+Sens!H5190*nv_hold_mai*tk_hold_vr200)/Sens!H5179</f>
        <v>10.8210427149036</v>
      </c>
      <c r="I5192" s="15" t="n">
        <f aca="false">(Sens!I5187*tk_hold_h100+Sens!I5188*tk_hold_gb200+Sens!I5189*tk_hold_gb300+Sens!I5191*tk_hold_vr200+Sens!I5190*nv_hold_mai*tk_hold_vr200)/Sens!I5179</f>
        <v>10.9357269541711</v>
      </c>
      <c r="J5192" s="15" t="n">
        <f aca="false">(Sens!J5187*tk_hold_h100+Sens!J5188*tk_hold_gb200+Sens!J5189*tk_hold_gb300+Sens!J5191*tk_hold_vr200+Sens!J5190*nv_hold_mai*tk_hold_vr200)/Sens!J5179</f>
        <v>11.0543400376237</v>
      </c>
      <c r="K5192" s="15" t="n">
        <f aca="false">(Sens!K5187*tk_hold_h100+Sens!K5188*tk_hold_gb200+Sens!K5189*tk_hold_gb300+Sens!K5191*tk_hold_vr200+Sens!K5190*nv_hold_mai*tk_hold_vr200)/Sens!K5179</f>
        <v>11.1640824170085</v>
      </c>
      <c r="L5192" s="1" t="s">
        <v>973</v>
      </c>
    </row>
    <row r="5193" customFormat="false" ht="17.15" hidden="false" customHeight="false" outlineLevel="0" collapsed="false">
      <c r="A5193" s="1" t="s">
        <v>974</v>
      </c>
      <c r="B5193" s="0" t="s">
        <v>403</v>
      </c>
      <c r="C5193" s="15" t="n">
        <f aca="false">(Sens!C5187*tk_hold_h100+Sens!C5188*tk_hold_gb200+Sens!C5189*tk_hold_gb300+Sens!C5191*tk_hold_vr200+Sens!C5190*nv_out_mai*tk_hold_vr200)/Sens!C5179</f>
        <v>9.7235358126469</v>
      </c>
      <c r="D5193" s="15" t="n">
        <f aca="false">(Sens!D5187*tk_hold_h100+Sens!D5188*tk_hold_gb200+Sens!D5189*tk_hold_gb300+Sens!D5191*tk_hold_vr200+Sens!D5190*nv_out_mai*tk_hold_vr200)/Sens!D5179</f>
        <v>9.7235358126469</v>
      </c>
      <c r="E5193" s="15" t="n">
        <f aca="false">(Sens!E5187*tk_hold_h100+Sens!E5188*tk_hold_gb200+Sens!E5189*tk_hold_gb300+Sens!E5191*tk_hold_vr200+Sens!E5190*nv_out_mai*tk_hold_vr200)/Sens!E5179</f>
        <v>9.7235358126469</v>
      </c>
      <c r="F5193" s="15" t="n">
        <f aca="false">(Sens!F5187*tk_hold_h100+Sens!F5188*tk_hold_gb200+Sens!F5189*tk_hold_gb300+Sens!F5191*tk_hold_vr200+Sens!F5190*nv_out_mai*tk_hold_vr200)/Sens!F5179</f>
        <v>10.247422093969</v>
      </c>
      <c r="G5193" s="15" t="n">
        <f aca="false">(Sens!G5187*tk_hold_h100+Sens!G5188*tk_hold_gb200+Sens!G5189*tk_hold_gb300+Sens!G5191*tk_hold_vr200+Sens!G5190*nv_out_mai*tk_hold_vr200)/Sens!G5179</f>
        <v>10.6108602808053</v>
      </c>
      <c r="H5193" s="15" t="n">
        <f aca="false">(Sens!H5187*tk_hold_h100+Sens!H5188*tk_hold_gb200+Sens!H5189*tk_hold_gb300+Sens!H5191*tk_hold_vr200+Sens!H5190*nv_out_mai*tk_hold_vr200)/Sens!H5179</f>
        <v>10.8647885507393</v>
      </c>
      <c r="I5193" s="15" t="n">
        <f aca="false">(Sens!I5187*tk_hold_h100+Sens!I5188*tk_hold_gb200+Sens!I5189*tk_hold_gb300+Sens!I5191*tk_hold_vr200+Sens!I5190*nv_out_mai*tk_hold_vr200)/Sens!I5179</f>
        <v>10.9819860275961</v>
      </c>
      <c r="J5193" s="15" t="n">
        <f aca="false">(Sens!J5187*tk_hold_h100+Sens!J5188*tk_hold_gb200+Sens!J5189*tk_hold_gb300+Sens!J5191*tk_hold_vr200+Sens!J5190*nv_out_mai*tk_hold_vr200)/Sens!J5179</f>
        <v>11.1038622647405</v>
      </c>
      <c r="K5193" s="15" t="n">
        <f aca="false">(Sens!K5187*tk_hold_h100+Sens!K5188*tk_hold_gb200+Sens!K5189*tk_hold_gb300+Sens!K5191*tk_hold_vr200+Sens!K5190*nv_out_mai*tk_hold_vr200)/Sens!K5179</f>
        <v>11.21696355057</v>
      </c>
      <c r="L5193" s="12" t="s">
        <v>975</v>
      </c>
    </row>
    <row r="5194" customFormat="false" ht="17.15" hidden="false" customHeight="false" outlineLevel="0" collapsed="false">
      <c r="A5194" s="0" t="s">
        <v>976</v>
      </c>
      <c r="B5194" s="0" t="s">
        <v>229</v>
      </c>
      <c r="C5194" s="15" t="n">
        <f aca="false">k_B</f>
        <v>1.17213932619116</v>
      </c>
      <c r="D5194" s="15" t="n">
        <f aca="false">k_B</f>
        <v>1.17213932619116</v>
      </c>
      <c r="E5194" s="15" t="n">
        <f aca="false">k_B</f>
        <v>1.17213932619116</v>
      </c>
      <c r="F5194" s="15" t="n">
        <f aca="false">(k_B+((ls_B*k_long+(1-ls_B)*k_spot)-k_B)*MIN(1,(Sens!F5177-base_fy)/k_ramp))</f>
        <v>1.17213932619116</v>
      </c>
      <c r="G5194" s="15" t="n">
        <f aca="false">(k_B+((ls_B*k_long+(1-ls_B)*k_spot)-k_B)*MIN(1,(Sens!G5177-base_fy)/k_ramp))</f>
        <v>1.17213932619116</v>
      </c>
      <c r="H5194" s="15" t="n">
        <f aca="false">(k_B+((ls_B*k_long+(1-ls_B)*k_spot)-k_B)*MIN(1,(Sens!H5177-base_fy)/k_ramp))</f>
        <v>1.17213932619116</v>
      </c>
      <c r="I5194" s="15" t="n">
        <f aca="false">(k_B+((ls_B*k_long+(1-ls_B)*k_spot)-k_B)*MIN(1,(Sens!I5177-base_fy)/k_ramp))</f>
        <v>1.17213932619116</v>
      </c>
      <c r="J5194" s="15" t="n">
        <f aca="false">(k_B+((ls_B*k_long+(1-ls_B)*k_spot)-k_B)*MIN(1,(Sens!J5177-base_fy)/k_ramp))</f>
        <v>1.17213932619116</v>
      </c>
      <c r="K5194" s="15" t="n">
        <f aca="false">(k_B+((ls_B*k_long+(1-ls_B)*k_spot)-k_B)*MIN(1,(Sens!K5177-base_fy)/k_ramp))</f>
        <v>1.17213932619116</v>
      </c>
      <c r="L5194" s="1" t="s">
        <v>977</v>
      </c>
    </row>
    <row r="5195" customFormat="false" ht="17.15" hidden="false" customHeight="false" outlineLevel="0" collapsed="false">
      <c r="A5195" s="1" t="s">
        <v>978</v>
      </c>
      <c r="B5195" s="0" t="s">
        <v>403</v>
      </c>
      <c r="C5195" s="15" t="n">
        <f aca="false">Sens!C5193*Sens!C5194*chip_f</f>
        <v>11.3973387156315</v>
      </c>
      <c r="D5195" s="15" t="n">
        <f aca="false">Sens!D5193*Sens!D5194*chip_f</f>
        <v>11.3973387156315</v>
      </c>
      <c r="E5195" s="15" t="n">
        <f aca="false">Sens!E5193*Sens!E5194*chip_f</f>
        <v>11.3973387156315</v>
      </c>
      <c r="F5195" s="15" t="n">
        <f aca="false">Sens!F5193*Sens!F5194*chip_f</f>
        <v>12.0114064284211</v>
      </c>
      <c r="G5195" s="15" t="n">
        <f aca="false">Sens!G5193*Sens!G5194*chip_f</f>
        <v>12.4374066198516</v>
      </c>
      <c r="H5195" s="15" t="n">
        <f aca="false">Sens!H5193*Sens!H5194*chip_f</f>
        <v>12.735045931073</v>
      </c>
      <c r="I5195" s="15" t="n">
        <f aca="false">Sens!I5193*Sens!I5194*chip_f</f>
        <v>12.8724177026272</v>
      </c>
      <c r="J5195" s="15" t="n">
        <f aca="false">Sens!J5193*Sens!J5194*chip_f</f>
        <v>13.0152736331123</v>
      </c>
      <c r="K5195" s="15" t="n">
        <f aca="false">Sens!K5193*Sens!K5194*chip_f</f>
        <v>13.1478440980759</v>
      </c>
      <c r="L5195" s="1" t="s">
        <v>979</v>
      </c>
    </row>
    <row r="5196" customFormat="false" ht="17.15" hidden="false" customHeight="false" outlineLevel="0" collapsed="false">
      <c r="A5196" s="0" t="s">
        <v>980</v>
      </c>
      <c r="B5196" s="0" t="s">
        <v>98</v>
      </c>
      <c r="D5196" s="6" t="n">
        <f aca="false">(Sens!C5179+Sens!D5179)/2*Sens!D5195/1000</f>
        <v>12.9359794422418</v>
      </c>
      <c r="E5196" s="6" t="n">
        <f aca="false">(Sens!D5179+Sens!E5179)/2*Sens!E5195/1000</f>
        <v>27.8095064661409</v>
      </c>
      <c r="F5196" s="6" t="n">
        <f aca="false">(Sens!E5179+Sens!F5179)/2*Sens!F5195/1000</f>
        <v>55.4118315060966</v>
      </c>
      <c r="G5196" s="6" t="n">
        <f aca="false">(Sens!F5179+Sens!G5179)/2*Sens!G5195/1000</f>
        <v>91.2881100675143</v>
      </c>
      <c r="H5196" s="6" t="n">
        <f aca="false">(Sens!G5179+Sens!H5179)/2*Sens!H5195/1000</f>
        <v>128.195273603944</v>
      </c>
      <c r="I5196" s="6" t="n">
        <f aca="false">(Sens!H5179+Sens!I5179)/2*Sens!I5195/1000</f>
        <v>159.561319761775</v>
      </c>
      <c r="J5196" s="6" t="n">
        <f aca="false">(Sens!I5179+Sens!J5179)/2*Sens!J5195/1000</f>
        <v>181.558249585279</v>
      </c>
      <c r="K5196" s="6" t="n">
        <f aca="false">(Sens!J5179+Sens!K5179)/2*Sens!K5195/1000</f>
        <v>194.006081055002</v>
      </c>
      <c r="L5196" s="12" t="s">
        <v>981</v>
      </c>
    </row>
    <row r="5197" customFormat="false" ht="17.15" hidden="false" customHeight="false" outlineLevel="0" collapsed="false">
      <c r="A5197" s="1" t="s">
        <v>982</v>
      </c>
      <c r="B5197" s="0" t="s">
        <v>403</v>
      </c>
      <c r="C5197" s="15" t="n">
        <f aca="false">(Sens!C5187*tk_opex_h100+Sens!C5188*tk_opex_gb200+Sens!C5189*tk_opex_gb300+(Sens!C5191+Sens!C5190)*tk_opex_vr200)/Sens!C5179</f>
        <v>1.88636041306092</v>
      </c>
      <c r="D5197" s="15" t="n">
        <f aca="false">(Sens!D5187*tk_opex_h100+Sens!D5188*tk_opex_gb200+Sens!D5189*tk_opex_gb300+(Sens!D5191+Sens!D5190)*tk_opex_vr200)/Sens!D5179</f>
        <v>1.88636041306092</v>
      </c>
      <c r="E5197" s="15" t="n">
        <f aca="false">(Sens!E5187*tk_opex_h100+Sens!E5188*tk_opex_gb200+Sens!E5189*tk_opex_gb300+(Sens!E5191+Sens!E5190)*tk_opex_vr200)/Sens!E5179</f>
        <v>1.88636041306092</v>
      </c>
      <c r="F5197" s="15" t="n">
        <f aca="false">(Sens!F5187*tk_opex_h100+Sens!F5188*tk_opex_gb200+Sens!F5189*tk_opex_gb300+(Sens!F5191+Sens!F5190)*tk_opex_vr200)/Sens!F5179</f>
        <v>1.95051159746876</v>
      </c>
      <c r="G5197" s="15" t="n">
        <f aca="false">(Sens!G5187*tk_opex_h100+Sens!G5188*tk_opex_gb200+Sens!G5189*tk_opex_gb300+(Sens!G5191+Sens!G5190)*tk_opex_vr200)/Sens!G5179</f>
        <v>1.98836003669956</v>
      </c>
      <c r="H5197" s="15" t="n">
        <f aca="false">(Sens!H5187*tk_opex_h100+Sens!H5188*tk_opex_gb200+Sens!H5189*tk_opex_gb300+(Sens!H5191+Sens!H5190)*tk_opex_vr200)/Sens!H5179</f>
        <v>2.01344013834343</v>
      </c>
      <c r="I5197" s="15" t="n">
        <f aca="false">(Sens!I5187*tk_opex_h100+Sens!I5188*tk_opex_gb200+Sens!I5189*tk_opex_gb300+(Sens!I5191+Sens!I5190)*tk_opex_vr200)/Sens!I5179</f>
        <v>2.0250155514817</v>
      </c>
      <c r="J5197" s="15" t="n">
        <f aca="false">(Sens!J5187*tk_opex_h100+Sens!J5188*tk_opex_gb200+Sens!J5189*tk_opex_gb300+(Sens!J5191+Sens!J5190)*tk_opex_vr200)/Sens!J5179</f>
        <v>2.03753708880915</v>
      </c>
      <c r="K5197" s="15" t="n">
        <f aca="false">(Sens!K5187*tk_opex_h100+Sens!K5188*tk_opex_gb200+Sens!K5189*tk_opex_gb300+(Sens!K5191+Sens!K5190)*tk_opex_vr200)/Sens!K5179</f>
        <v>2.04940349450181</v>
      </c>
      <c r="L5197" s="12" t="s">
        <v>983</v>
      </c>
    </row>
    <row r="5198" customFormat="false" ht="17.15" hidden="false" customHeight="false" outlineLevel="0" collapsed="false">
      <c r="A5198" s="0" t="s">
        <v>984</v>
      </c>
      <c r="B5198" s="0" t="s">
        <v>98</v>
      </c>
      <c r="D5198" s="6" t="n">
        <f aca="false">(Sens!C5182+Sens!D5182)/2*Sens!D5197/1000</f>
        <v>2.70378325872065</v>
      </c>
      <c r="E5198" s="6" t="n">
        <f aca="false">(Sens!D5182+Sens!E5182)/2*Sens!E5197/1000</f>
        <v>6.17783035277451</v>
      </c>
      <c r="F5198" s="6" t="n">
        <f aca="false">(Sens!E5182+Sens!F5182)/2*Sens!F5197/1000</f>
        <v>12.8742463089237</v>
      </c>
      <c r="G5198" s="6" t="n">
        <f aca="false">(Sens!F5182+Sens!G5182)/2*Sens!G5197/1000</f>
        <v>21.8182834646277</v>
      </c>
      <c r="H5198" s="6" t="n">
        <f aca="false">(Sens!G5182+Sens!H5182)/2*Sens!H5197/1000</f>
        <v>31.2430128789734</v>
      </c>
      <c r="I5198" s="6" t="n">
        <f aca="false">(Sens!H5182+Sens!I5182)/2*Sens!I5197/1000</f>
        <v>39.2839461527723</v>
      </c>
      <c r="J5198" s="6" t="n">
        <f aca="false">(Sens!I5182+Sens!J5182)/2*Sens!J5197/1000</f>
        <v>44.8041835941241</v>
      </c>
      <c r="K5198" s="6" t="n">
        <f aca="false">(Sens!J5182+Sens!K5182)/2*Sens!K5197/1000</f>
        <v>47.8185039310321</v>
      </c>
    </row>
    <row r="5199" customFormat="false" ht="17.15" hidden="false" customHeight="false" outlineLevel="0" collapsed="false">
      <c r="A5199" s="0" t="s">
        <v>985</v>
      </c>
      <c r="B5199" s="0" t="s">
        <v>98</v>
      </c>
      <c r="D5199" s="6" t="n">
        <f aca="false">(Sens!C5180+Sens!D5180)/2*rent_mw/1000</f>
        <v>2.44475</v>
      </c>
      <c r="E5199" s="6" t="n">
        <f aca="false">(Sens!D5180+Sens!E5180)/2*rent_mw/1000</f>
        <v>4.22275</v>
      </c>
      <c r="F5199" s="6" t="n">
        <f aca="false">(Sens!E5180+Sens!F5180)/2*rent_mw/1000</f>
        <v>5.80517</v>
      </c>
      <c r="G5199" s="6" t="n">
        <f aca="false">(Sens!F5180+Sens!G5180)/2*rent_mw/1000</f>
        <v>6.72084</v>
      </c>
      <c r="H5199" s="6" t="n">
        <f aca="false">(Sens!G5180+Sens!H5180)/2*rent_mw/1000</f>
        <v>6.72084</v>
      </c>
      <c r="I5199" s="6" t="n">
        <f aca="false">(Sens!H5180+Sens!I5180)/2*rent_mw/1000</f>
        <v>6.72084</v>
      </c>
      <c r="J5199" s="6" t="n">
        <f aca="false">(Sens!I5180+Sens!J5180)/2*rent_mw/1000</f>
        <v>6.72084</v>
      </c>
      <c r="K5199" s="6" t="n">
        <f aca="false">(Sens!J5180+Sens!K5180)/2*rent_mw/1000</f>
        <v>6.72084</v>
      </c>
    </row>
    <row r="5200" customFormat="false" ht="17.15" hidden="false" customHeight="false" outlineLevel="0" collapsed="false">
      <c r="A5200" s="0" t="s">
        <v>986</v>
      </c>
      <c r="B5200" s="0" t="s">
        <v>98</v>
      </c>
      <c r="D5200" s="6" t="n">
        <f aca="false">(Sens!C5182+Sens!D5182)/2*(1-self_build)*fac_rent/1000</f>
        <v>0.853242375631075</v>
      </c>
      <c r="E5200" s="6" t="n">
        <f aca="false">(Sens!D5182+Sens!E5182)/2*(1-self_build)*fac_rent/1000</f>
        <v>1.94955961408728</v>
      </c>
      <c r="F5200" s="6" t="n">
        <f aca="false">(Sens!E5182+Sens!F5182)/2*(1-self_build)*fac_rent/1000</f>
        <v>3.92914894476356</v>
      </c>
      <c r="G5200" s="6" t="n">
        <f aca="false">(Sens!F5182+Sens!G5182)/2*(1-self_build)*fac_rent/1000</f>
        <v>6.53206908578159</v>
      </c>
      <c r="H5200" s="6" t="n">
        <f aca="false">(Sens!G5182+Sens!H5182)/2*(1-self_build)*fac_rent/1000</f>
        <v>9.23717988341591</v>
      </c>
      <c r="I5200" s="6" t="n">
        <f aca="false">(Sens!H5182+Sens!I5182)/2*(1-self_build)*fac_rent/1000</f>
        <v>11.5481378557393</v>
      </c>
      <c r="J5200" s="6" t="n">
        <f aca="false">(Sens!I5182+Sens!J5182)/2*(1-self_build)*fac_rent/1000</f>
        <v>13.0899582289108</v>
      </c>
      <c r="K5200" s="6" t="n">
        <f aca="false">(Sens!J5182+Sens!K5182)/2*(1-self_build)*fac_rent/1000</f>
        <v>13.8897275626556</v>
      </c>
      <c r="L5200" s="12" t="s">
        <v>987</v>
      </c>
    </row>
    <row r="5201" customFormat="false" ht="17.15" hidden="false" customHeight="false" outlineLevel="0" collapsed="false">
      <c r="A5201" s="1" t="s">
        <v>988</v>
      </c>
      <c r="B5201" s="0" t="s">
        <v>168</v>
      </c>
      <c r="D5201" s="7" t="n">
        <f aca="false">(Sens!C5181+Sens!D5181)/(Sens!C5182+Sens!D5182)</f>
        <v>0.6</v>
      </c>
      <c r="E5201" s="7" t="n">
        <f aca="false">(Sens!D5181+Sens!E5181)/(Sens!D5182+Sens!E5182)</f>
        <v>0.6</v>
      </c>
      <c r="F5201" s="7" t="n">
        <f aca="false">(Sens!E5181+Sens!F5181)/(Sens!E5182+Sens!F5182)</f>
        <v>0.6</v>
      </c>
      <c r="G5201" s="7" t="n">
        <f aca="false">(Sens!F5181+Sens!G5181)/(Sens!F5182+Sens!G5182)</f>
        <v>0.6</v>
      </c>
      <c r="H5201" s="7" t="n">
        <f aca="false">(Sens!G5181+Sens!H5181)/(Sens!G5182+Sens!H5182)</f>
        <v>0.6</v>
      </c>
      <c r="I5201" s="7" t="n">
        <f aca="false">(Sens!H5181+Sens!I5181)/(Sens!H5182+Sens!I5182)</f>
        <v>0.6</v>
      </c>
      <c r="J5201" s="7" t="n">
        <f aca="false">(Sens!I5181+Sens!J5181)/(Sens!I5182+Sens!J5182)</f>
        <v>0.6</v>
      </c>
      <c r="K5201" s="7" t="n">
        <f aca="false">(Sens!J5181+Sens!K5181)/(Sens!J5182+Sens!K5182)</f>
        <v>0.6</v>
      </c>
    </row>
    <row r="5202" customFormat="false" ht="17.15" hidden="false" customHeight="false" outlineLevel="0" collapsed="false">
      <c r="A5202" s="0" t="s">
        <v>989</v>
      </c>
      <c r="B5202" s="0" t="s">
        <v>98</v>
      </c>
      <c r="D5202" s="6" t="n">
        <f aca="false">Sens!D5196-Sens!D5201*(Sens!D5198+Sens!D5200)-Sens!D5199</f>
        <v>8.35701406163072</v>
      </c>
      <c r="E5202" s="6" t="n">
        <f aca="false">Sens!E5196-Sens!E5201*(Sens!E5198+Sens!E5200)-Sens!E5199</f>
        <v>18.7103224860238</v>
      </c>
      <c r="F5202" s="6" t="n">
        <f aca="false">Sens!F5196-Sens!F5201*(Sens!F5198+Sens!F5200)-Sens!F5199</f>
        <v>39.5246243538843</v>
      </c>
      <c r="G5202" s="6" t="n">
        <f aca="false">Sens!G5196-Sens!G5201*(Sens!G5198+Sens!G5200)-Sens!G5199</f>
        <v>67.5570585372687</v>
      </c>
      <c r="H5202" s="6" t="n">
        <f aca="false">Sens!H5196-Sens!H5201*(Sens!H5198+Sens!H5200)-Sens!H5199</f>
        <v>97.1863179465102</v>
      </c>
      <c r="I5202" s="6" t="n">
        <f aca="false">Sens!I5196-Sens!I5201*(Sens!I5198+Sens!I5200)-Sens!I5199</f>
        <v>122.341229356668</v>
      </c>
      <c r="J5202" s="6" t="n">
        <f aca="false">Sens!J5196-Sens!J5201*(Sens!J5198+Sens!J5200)-Sens!J5199</f>
        <v>140.100924491458</v>
      </c>
      <c r="K5202" s="6" t="n">
        <f aca="false">Sens!K5196-Sens!K5201*(Sens!K5198+Sens!K5200)-Sens!K5199</f>
        <v>150.260302158789</v>
      </c>
    </row>
    <row r="5203" customFormat="false" ht="17.15" hidden="false" customHeight="false" outlineLevel="0" collapsed="false">
      <c r="A5203" s="1" t="s">
        <v>990</v>
      </c>
      <c r="B5203" s="0" t="s">
        <v>98</v>
      </c>
      <c r="D5203" s="6" t="n">
        <f aca="false">(1-Sens!D5201)*(Sens!D5198+Sens!D5200)</f>
        <v>1.42281025374069</v>
      </c>
      <c r="E5203" s="6" t="n">
        <f aca="false">(1-Sens!E5201)*(Sens!E5198+Sens!E5200)</f>
        <v>3.25095598674472</v>
      </c>
      <c r="F5203" s="6" t="n">
        <f aca="false">(1-Sens!F5201)*(Sens!F5198+Sens!F5200)</f>
        <v>6.72135810147489</v>
      </c>
      <c r="G5203" s="6" t="n">
        <f aca="false">(1-Sens!G5201)*(Sens!G5198+Sens!G5200)</f>
        <v>11.3401410201637</v>
      </c>
      <c r="H5203" s="6" t="n">
        <f aca="false">(1-Sens!H5201)*(Sens!H5198+Sens!H5200)</f>
        <v>16.1920771049557</v>
      </c>
      <c r="I5203" s="6" t="n">
        <f aca="false">(1-Sens!I5201)*(Sens!I5198+Sens!I5200)</f>
        <v>20.3328336034046</v>
      </c>
      <c r="J5203" s="6" t="n">
        <f aca="false">(1-Sens!J5201)*(Sens!J5198+Sens!J5200)</f>
        <v>23.157656729214</v>
      </c>
      <c r="K5203" s="6" t="n">
        <f aca="false">(1-Sens!K5201)*(Sens!K5198+Sens!K5200)</f>
        <v>24.6832925974751</v>
      </c>
    </row>
    <row r="5204" customFormat="false" ht="17.15" hidden="false" customHeight="false" outlineLevel="0" collapsed="false">
      <c r="A5204" s="1" t="s">
        <v>991</v>
      </c>
      <c r="B5204" s="0" t="s">
        <v>417</v>
      </c>
      <c r="C5204" s="8" t="n">
        <f aca="false">cxit_open</f>
        <v>27.5918995</v>
      </c>
      <c r="D5204" s="8" t="n">
        <f aca="false">cxit_open</f>
        <v>27.5918995</v>
      </c>
      <c r="E5204" s="8" t="n">
        <f aca="false">cxit_open</f>
        <v>27.5918995</v>
      </c>
      <c r="F5204" s="8" t="n">
        <f aca="false">((a_g3_27-nonnv*a_mai)*tk_cxit_gb300+nonnv*a_mai*nv_hold_mai*tk_cxit_vr200+(1-a_g3_27)*tk_cxit_vr200)</f>
        <v>32.4975576</v>
      </c>
      <c r="G5204" s="8" t="n">
        <f aca="false">((a_g3_28-nonnv*a_mai)*tk_cxit_gb300+nonnv*a_mai*nv_hold_mai*tk_cxit_vr200+(1-a_g3_28)*tk_cxit_vr200)</f>
        <v>34.6372088</v>
      </c>
      <c r="H5204" s="8" t="n">
        <f aca="false">((a_g3_29-nonnv*a_mai)*tk_cxit_gb300+nonnv*a_mai*nv_hold_mai*tk_cxit_vr200+(1-a_g3_29)*tk_cxit_vr200)</f>
        <v>35.7070344</v>
      </c>
      <c r="I5204" s="8" t="n">
        <f aca="false">((a_g3_29-nonnv*a_mai)*tk_cxit_gb300+nonnv*a_mai*nv_hold_mai*tk_cxit_vr200+(1-a_g3_29)*tk_cxit_vr200)</f>
        <v>35.7070344</v>
      </c>
      <c r="J5204" s="8" t="n">
        <f aca="false">((a_g3_29-nonnv*a_mai)*tk_cxit_gb300+nonnv*a_mai*nv_hold_mai*tk_cxit_vr200+(1-a_g3_29)*tk_cxit_vr200)</f>
        <v>35.7070344</v>
      </c>
      <c r="K5204" s="8" t="n">
        <f aca="false">((a_g3_29-nonnv*a_mai)*tk_cxit_gb300+nonnv*a_mai*nv_hold_mai*tk_cxit_vr200+(1-a_g3_29)*tk_cxit_vr200)</f>
        <v>35.7070344</v>
      </c>
      <c r="L5204" s="12" t="s">
        <v>992</v>
      </c>
    </row>
    <row r="5205" customFormat="false" ht="17.15" hidden="false" customHeight="false" outlineLevel="0" collapsed="false">
      <c r="A5205" s="0" t="s">
        <v>993</v>
      </c>
      <c r="B5205" s="0" t="s">
        <v>459</v>
      </c>
      <c r="F5205" s="30" t="n">
        <f aca="false">Sens!C5184*IF(Sens!F5177-Sens!C5177=life_it_hi,1,0)+Sens!D5184*IF(Sens!F5177-Sens!D5177=life_it_hi,1,0)+Sens!E5184*IF(Sens!F5177-Sens!E5177=life_it_hi,1,0)</f>
        <v>0</v>
      </c>
      <c r="G5205" s="30" t="n">
        <f aca="false">Sens!C5184*IF(Sens!G5177-Sens!C5177=life_it_hi,1,0)+Sens!D5184*IF(Sens!G5177-Sens!D5177=life_it_hi,1,0)+Sens!E5184*IF(Sens!G5177-Sens!E5177=life_it_hi,1,0)+Sens!F5184*IF(Sens!G5177-Sens!F5177=life_it_hi,1,0)</f>
        <v>0</v>
      </c>
      <c r="H5205" s="30" t="n">
        <f aca="false">Sens!C5184*IF(Sens!H5177-Sens!C5177=life_it_hi,1,0)+Sens!D5184*IF(Sens!H5177-Sens!D5177=life_it_hi,1,0)+Sens!E5184*IF(Sens!H5177-Sens!E5177=life_it_hi,1,0)+Sens!F5184*IF(Sens!H5177-Sens!F5177=life_it_hi,1,0)+Sens!G5184*IF(Sens!H5177-Sens!G5177=life_it_hi,1,0)</f>
        <v>0</v>
      </c>
      <c r="I5205" s="30" t="n">
        <f aca="false">Sens!C5184*IF(Sens!I5177-Sens!C5177=life_it_hi,1,0)+Sens!D5184*IF(Sens!I5177-Sens!D5177=life_it_hi,1,0)+Sens!E5184*IF(Sens!I5177-Sens!E5177=life_it_hi,1,0)+Sens!F5184*IF(Sens!I5177-Sens!F5177=life_it_hi,1,0)+Sens!G5184*IF(Sens!I5177-Sens!G5177=life_it_hi,1,0)+Sens!H5184*IF(Sens!I5177-Sens!H5177=life_it_hi,1,0)</f>
        <v>0</v>
      </c>
      <c r="J5205" s="30" t="n">
        <f aca="false">Sens!C5184*IF(Sens!J5177-Sens!C5177=life_it_hi,1,0)+Sens!D5184*IF(Sens!J5177-Sens!D5177=life_it_hi,1,0)+Sens!E5184*IF(Sens!J5177-Sens!E5177=life_it_hi,1,0)+Sens!F5184*IF(Sens!J5177-Sens!F5177=life_it_hi,1,0)+Sens!G5184*IF(Sens!J5177-Sens!G5177=life_it_hi,1,0)+Sens!H5184*IF(Sens!J5177-Sens!H5177=life_it_hi,1,0)+Sens!I5184*IF(Sens!J5177-Sens!I5177=life_it_hi,1,0)</f>
        <v>816.666666666667</v>
      </c>
      <c r="K5205" s="30" t="n">
        <f aca="false">Sens!C5184*IF(Sens!K5177-Sens!C5177=life_it_hi,1,0)+Sens!D5184*IF(Sens!K5177-Sens!D5177=life_it_hi,1,0)+Sens!E5184*IF(Sens!K5177-Sens!E5177=life_it_hi,1,0)+Sens!F5184*IF(Sens!K5177-Sens!F5177=life_it_hi,1,0)+Sens!G5184*IF(Sens!K5177-Sens!G5177=life_it_hi,1,0)+Sens!H5184*IF(Sens!K5177-Sens!H5177=life_it_hi,1,0)+Sens!I5184*IF(Sens!K5177-Sens!I5177=life_it_hi,1,0)+Sens!J5184*IF(Sens!K5177-Sens!J5177=life_it_hi,1,0)</f>
        <v>1233.33333333333</v>
      </c>
      <c r="L5205" s="1" t="s">
        <v>994</v>
      </c>
    </row>
    <row r="5206" customFormat="false" ht="17.15" hidden="false" customHeight="false" outlineLevel="0" collapsed="false">
      <c r="A5206" s="0" t="s">
        <v>995</v>
      </c>
      <c r="B5206" s="0" t="s">
        <v>98</v>
      </c>
      <c r="C5206" s="6" t="n">
        <f aca="false">Sens!C5184*Sens!C5204/1000</f>
        <v>22.5333845916667</v>
      </c>
      <c r="D5206" s="6" t="n">
        <f aca="false">Sens!D5184*Sens!D5204/1000</f>
        <v>34.0300093833333</v>
      </c>
      <c r="E5206" s="6" t="n">
        <f aca="false">Sens!E5184*Sens!E5204/1000</f>
        <v>67.600153775</v>
      </c>
      <c r="F5206" s="6" t="n">
        <f aca="false">(Sens!F5184+Sens!F5205)*Sens!F5204/1000</f>
        <v>136.51872432512</v>
      </c>
      <c r="G5206" s="6" t="n">
        <f aca="false">(Sens!G5184+Sens!G5205)*Sens!G5204/1000</f>
        <v>157.399275932048</v>
      </c>
      <c r="H5206" s="6" t="n">
        <f aca="false">(Sens!H5184+Sens!H5205)*Sens!H5204/1000</f>
        <v>162.260804347512</v>
      </c>
      <c r="I5206" s="6" t="n">
        <f aca="false">(Sens!I5184+Sens!I5205)*Sens!I5204/1000</f>
        <v>114.975824725434</v>
      </c>
      <c r="J5206" s="6" t="n">
        <f aca="false">(Sens!J5184+Sens!J5205)*Sens!J5204/1000</f>
        <v>99.1511063578636</v>
      </c>
      <c r="K5206" s="6" t="n">
        <f aca="false">(Sens!K5184+Sens!K5205)*Sens!K5204/1000</f>
        <v>69.993526830975</v>
      </c>
    </row>
    <row r="5207" customFormat="false" ht="17.15" hidden="false" customHeight="false" outlineLevel="0" collapsed="false">
      <c r="A5207" s="0" t="s">
        <v>996</v>
      </c>
      <c r="B5207" s="0" t="s">
        <v>98</v>
      </c>
      <c r="C5207" s="6" t="n">
        <f aca="false">Sens!C5184*self_build*tk_cxfac/1000</f>
        <v>6.2083</v>
      </c>
      <c r="D5207" s="6" t="n">
        <f aca="false">Sens!D5184*self_build*tk_cxfac/1000</f>
        <v>9.3758</v>
      </c>
      <c r="E5207" s="6" t="n">
        <f aca="false">Sens!E5184*self_build*tk_cxfac/1000</f>
        <v>18.6249</v>
      </c>
      <c r="F5207" s="6" t="n">
        <f aca="false">Sens!F5184*self_build*tk_cxfac/1000</f>
        <v>31.935179717</v>
      </c>
      <c r="G5207" s="6" t="n">
        <f aca="false">Sens!G5184*self_build*tk_cxfac/1000</f>
        <v>34.545199717</v>
      </c>
      <c r="H5207" s="6" t="n">
        <f aca="false">Sens!H5184*self_build*tk_cxfac/1000</f>
        <v>34.545199717</v>
      </c>
      <c r="I5207" s="6" t="n">
        <f aca="false">Sens!I5184*self_build*tk_cxfac/1000</f>
        <v>24.4782641361767</v>
      </c>
      <c r="J5207" s="6" t="n">
        <f aca="false">Sens!J5184*self_build*tk_cxfac/1000</f>
        <v>14.9008938380769</v>
      </c>
      <c r="K5207" s="6" t="n">
        <f aca="false">Sens!K5184*self_build*tk_cxfac/1000</f>
        <v>5.52576771375761</v>
      </c>
    </row>
    <row r="5208" customFormat="false" ht="17.15" hidden="false" customHeight="false" outlineLevel="0" collapsed="false">
      <c r="A5208" s="0" t="s">
        <v>997</v>
      </c>
      <c r="B5208" s="0" t="s">
        <v>98</v>
      </c>
      <c r="F5208" s="15" t="n">
        <f aca="false">capex_floor27-Sens!F5206-Sens!F5207-Sens!F5304</f>
        <v>1.94586576753863E-005</v>
      </c>
      <c r="L5208" s="12" t="s">
        <v>998</v>
      </c>
    </row>
    <row r="5209" customFormat="false" ht="17.15" hidden="false" customHeight="false" outlineLevel="0" collapsed="false">
      <c r="A5209" s="0" t="s">
        <v>999</v>
      </c>
      <c r="B5209" s="0" t="s">
        <v>98</v>
      </c>
      <c r="F5209" s="6" t="n">
        <f aca="false">MAX(0,Sens!F5208)</f>
        <v>1.94586576753863E-005</v>
      </c>
    </row>
    <row r="5210" customFormat="false" ht="17.15" hidden="false" customHeight="false" outlineLevel="0" collapsed="false">
      <c r="A5210" s="0" t="s">
        <v>1000</v>
      </c>
      <c r="B5210" s="0" t="s">
        <v>98</v>
      </c>
      <c r="C5210" s="6" t="n">
        <f aca="false">Sens!C5206</f>
        <v>22.5333845916667</v>
      </c>
      <c r="D5210" s="6" t="n">
        <f aca="false">Sens!D5206</f>
        <v>34.0300093833333</v>
      </c>
      <c r="E5210" s="6" t="n">
        <f aca="false">Sens!E5206</f>
        <v>67.600153775</v>
      </c>
      <c r="F5210" s="6" t="n">
        <f aca="false">Sens!F5206</f>
        <v>136.51872432512</v>
      </c>
      <c r="G5210" s="6" t="n">
        <f aca="false">Sens!G5206</f>
        <v>157.399275932048</v>
      </c>
      <c r="H5210" s="6" t="n">
        <f aca="false">Sens!H5206</f>
        <v>162.260804347512</v>
      </c>
      <c r="I5210" s="6" t="n">
        <f aca="false">Sens!I5206</f>
        <v>114.975824725434</v>
      </c>
      <c r="J5210" s="6" t="n">
        <f aca="false">Sens!J5206</f>
        <v>99.1511063578636</v>
      </c>
      <c r="K5210" s="6" t="n">
        <f aca="false">Sens!K5206</f>
        <v>69.993526830975</v>
      </c>
    </row>
    <row r="5211" customFormat="false" ht="17.15" hidden="false" customHeight="false" outlineLevel="0" collapsed="false">
      <c r="A5211" s="0" t="s">
        <v>1001</v>
      </c>
      <c r="B5211" s="0" t="s">
        <v>98</v>
      </c>
      <c r="C5211" s="6" t="n">
        <f aca="false">Sens!C5210+Sens!C5207</f>
        <v>28.7416845916667</v>
      </c>
      <c r="D5211" s="6" t="n">
        <f aca="false">Sens!D5210+Sens!D5207</f>
        <v>43.4058093833333</v>
      </c>
      <c r="E5211" s="6" t="n">
        <f aca="false">Sens!E5210+Sens!E5207</f>
        <v>86.225053775</v>
      </c>
      <c r="F5211" s="6" t="n">
        <f aca="false">Sens!F5210+Sens!F5207</f>
        <v>168.45390404212</v>
      </c>
      <c r="G5211" s="6" t="n">
        <f aca="false">Sens!G5210+Sens!G5207</f>
        <v>191.944475649048</v>
      </c>
      <c r="H5211" s="6" t="n">
        <f aca="false">Sens!H5210+Sens!H5207</f>
        <v>196.806004064512</v>
      </c>
      <c r="I5211" s="6" t="n">
        <f aca="false">Sens!I5210+Sens!I5207</f>
        <v>139.45408886161</v>
      </c>
      <c r="J5211" s="6" t="n">
        <f aca="false">Sens!J5210+Sens!J5207</f>
        <v>114.05200019594</v>
      </c>
      <c r="K5211" s="6" t="n">
        <f aca="false">Sens!K5210+Sens!K5207</f>
        <v>75.5192945447327</v>
      </c>
      <c r="L5211" s="12" t="s">
        <v>1002</v>
      </c>
    </row>
    <row r="5212" customFormat="false" ht="17.15" hidden="false" customHeight="false" outlineLevel="0" collapsed="false">
      <c r="A5212" s="0" t="s">
        <v>1003</v>
      </c>
      <c r="B5212" s="0" t="s">
        <v>98</v>
      </c>
      <c r="E5212" s="6" t="n">
        <f aca="false">(Sens!C5210*IF(2&lt;life_it_hi,1,IF(2=life_it_hi,0.5,0))+Sens!D5210*IF(1&lt;life_it_hi,1,IF(1=life_it_hi,0.5,0))+Sens!E5210*0.5)/life_it_hi</f>
        <v>12.9090672660714</v>
      </c>
      <c r="F5212" s="6" t="n">
        <f aca="false">(Sens!C5210*IF(3&lt;life_it_hi,1,IF(3=life_it_hi,0.5,0))+Sens!D5210*IF(2&lt;life_it_hi,1,IF(2=life_it_hi,0.5,0))+Sens!E5210*IF(1&lt;life_it_hi,1,IF(1=life_it_hi,0.5,0))+Sens!F5210*0.5)/life_it_hi</f>
        <v>27.4889871303657</v>
      </c>
      <c r="G5212" s="6" t="n">
        <f aca="false">(Sens!C5210*IF(4&lt;life_it_hi,1,IF(4=life_it_hi,0.5,0))+Sens!D5210*IF(3&lt;life_it_hi,1,IF(3=life_it_hi,0.5,0))+Sens!E5210*IF(2&lt;life_it_hi,1,IF(2=life_it_hi,0.5,0))+Sens!F5210*IF(1&lt;life_it_hi,1,IF(1=life_it_hi,0.5,0))+Sens!G5210*0.5)/life_it_hi</f>
        <v>48.4831300058777</v>
      </c>
      <c r="H5212" s="6" t="n">
        <f aca="false">(Sens!C5210*IF(5&lt;life_it_hi,1,IF(5=life_it_hi,0.5,0))+Sens!D5210*IF(4&lt;life_it_hi,1,IF(4=life_it_hi,0.5,0))+Sens!E5210*IF(3&lt;life_it_hi,1,IF(3=life_it_hi,0.5,0))+Sens!F5210*IF(2&lt;life_it_hi,1,IF(2=life_it_hi,0.5,0))+Sens!G5210*IF(1&lt;life_it_hi,1,IF(1=life_it_hi,0.5,0))+Sens!H5210*0.5)/life_it_hi</f>
        <v>71.3159928829891</v>
      </c>
      <c r="I5212" s="6" t="n">
        <f aca="false">(Sens!C5210*IF(6&lt;life_it_hi,1,IF(6=life_it_hi,0.5,0))+Sens!D5210*IF(5&lt;life_it_hi,1,IF(5=life_it_hi,0.5,0))+Sens!E5210*IF(4&lt;life_it_hi,1,IF(4=life_it_hi,0.5,0))+Sens!F5210*IF(3&lt;life_it_hi,1,IF(3=life_it_hi,0.5,0))+Sens!G5210*IF(2&lt;life_it_hi,1,IF(2=life_it_hi,0.5,0))+Sens!H5210*IF(1&lt;life_it_hi,1,IF(1=life_it_hi,0.5,0))+Sens!I5210*0.5)/life_it_hi</f>
        <v>91.1186092453424</v>
      </c>
      <c r="J5212" s="6" t="n">
        <f aca="false">(Sens!C5210*IF(7&lt;life_it_hi,1,IF(7=life_it_hi,0.5,0))+Sens!D5210*IF(6&lt;life_it_hi,1,IF(6=life_it_hi,0.5,0))+Sens!E5210*IF(5&lt;life_it_hi,1,IF(5=life_it_hi,0.5,0))+Sens!F5210*IF(4&lt;life_it_hi,1,IF(4=life_it_hi,0.5,0))+Sens!G5210*IF(3&lt;life_it_hi,1,IF(3=life_it_hi,0.5,0))+Sens!H5210*IF(2&lt;life_it_hi,1,IF(2=life_it_hi,0.5,0))+Sens!I5210*IF(1&lt;life_it_hi,1,IF(1=life_it_hi,0.5,0))+Sens!J5210*0.5)/life_it_hi</f>
        <v>104.803862566173</v>
      </c>
      <c r="K5212" s="6" t="n">
        <f aca="false">(Sens!C5210*IF(8&lt;life_it_hi,1,IF(8=life_it_hi,0.5,0))+Sens!D5210*IF(7&lt;life_it_hi,1,IF(7=life_it_hi,0.5,0))+Sens!E5210*IF(6&lt;life_it_hi,1,IF(6=life_it_hi,0.5,0))+Sens!F5210*IF(5&lt;life_it_hi,1,IF(5=life_it_hi,0.5,0))+Sens!G5210*IF(4&lt;life_it_hi,1,IF(4=life_it_hi,0.5,0))+Sens!H5210*IF(3&lt;life_it_hi,1,IF(3=life_it_hi,0.5,0))+Sens!I5210*IF(2&lt;life_it_hi,1,IF(2=life_it_hi,0.5,0))+Sens!J5210*IF(1&lt;life_it_hi,1,IF(1=life_it_hi,0.5,0))+Sens!K5210*0.5)/life_it_hi</f>
        <v>112.845379652876</v>
      </c>
    </row>
    <row r="5213" customFormat="false" ht="17.15" hidden="false" customHeight="false" outlineLevel="0" collapsed="false">
      <c r="A5213" s="0" t="s">
        <v>1004</v>
      </c>
      <c r="B5213" s="0" t="s">
        <v>98</v>
      </c>
      <c r="E5213" s="6" t="n">
        <f aca="false">(Sens!C5207*IF(2&lt;life_fac,1,IF(2=life_fac,0.5,0))+Sens!D5207*IF(1&lt;life_fac,1,IF(1=life_fac,0.5,0))+Sens!E5207*0.5)/life_fac</f>
        <v>1.2448275</v>
      </c>
      <c r="F5213" s="6" t="n">
        <f aca="false">(Sens!C5207*IF(3&lt;life_fac,1,IF(3=life_fac,0.5,0))+Sens!D5207*IF(2&lt;life_fac,1,IF(2=life_fac,0.5,0))+Sens!E5207*IF(1&lt;life_fac,1,IF(1=life_fac,0.5,0))+Sens!F5207*0.5)/life_fac</f>
        <v>2.508829492925</v>
      </c>
      <c r="G5213" s="6" t="n">
        <f aca="false">(Sens!C5207*IF(4&lt;life_fac,1,IF(4=life_fac,0.5,0))+Sens!D5207*IF(3&lt;life_fac,1,IF(3=life_fac,0.5,0))+Sens!E5207*IF(2&lt;life_fac,1,IF(2=life_fac,0.5,0))+Sens!F5207*IF(1&lt;life_fac,1,IF(1=life_fac,0.5,0))+Sens!G5207*0.5)/life_fac</f>
        <v>4.170838978775</v>
      </c>
      <c r="H5213" s="6" t="n">
        <f aca="false">(Sens!C5207*IF(5&lt;life_fac,1,IF(5=life_fac,0.5,0))+Sens!D5207*IF(4&lt;life_fac,1,IF(4=life_fac,0.5,0))+Sens!E5207*IF(3&lt;life_fac,1,IF(3=life_fac,0.5,0))+Sens!F5207*IF(2&lt;life_fac,1,IF(2=life_fac,0.5,0))+Sens!G5207*IF(1&lt;life_fac,1,IF(1=life_fac,0.5,0))+Sens!H5207*0.5)/life_fac</f>
        <v>5.898098964625</v>
      </c>
      <c r="I5213" s="6" t="n">
        <f aca="false">(Sens!C5207*IF(6&lt;life_fac,1,IF(6=life_fac,0.5,0))+Sens!D5207*IF(5&lt;life_fac,1,IF(5=life_fac,0.5,0))+Sens!E5207*IF(4&lt;life_fac,1,IF(4=life_fac,0.5,0))+Sens!F5207*IF(3&lt;life_fac,1,IF(3=life_fac,0.5,0))+Sens!G5207*IF(2&lt;life_fac,1,IF(2=life_fac,0.5,0))+Sens!H5207*IF(1&lt;life_fac,1,IF(1=life_fac,0.5,0))+Sens!I5207*0.5)/life_fac</f>
        <v>7.37368556095442</v>
      </c>
      <c r="J5213" s="6" t="n">
        <f aca="false">(Sens!C5207*IF(7&lt;life_fac,1,IF(7=life_fac,0.5,0))+Sens!D5207*IF(6&lt;life_fac,1,IF(6=life_fac,0.5,0))+Sens!E5207*IF(5&lt;life_fac,1,IF(5=life_fac,0.5,0))+Sens!F5207*IF(4&lt;life_fac,1,IF(4=life_fac,0.5,0))+Sens!G5207*IF(3&lt;life_fac,1,IF(3=life_fac,0.5,0))+Sens!H5207*IF(2&lt;life_fac,1,IF(2=life_fac,0.5,0))+Sens!I5207*IF(1&lt;life_fac,1,IF(1=life_fac,0.5,0))+Sens!J5207*0.5)/life_fac</f>
        <v>8.35816451031075</v>
      </c>
      <c r="K5213" s="6" t="n">
        <f aca="false">(Sens!C5207*IF(8&lt;life_fac,1,IF(8=life_fac,0.5,0))+Sens!D5207*IF(7&lt;life_fac,1,IF(7=life_fac,0.5,0))+Sens!E5207*IF(6&lt;life_fac,1,IF(6=life_fac,0.5,0))+Sens!F5207*IF(5&lt;life_fac,1,IF(5=life_fac,0.5,0))+Sens!G5207*IF(4&lt;life_fac,1,IF(4=life_fac,0.5,0))+Sens!H5207*IF(3&lt;life_fac,1,IF(3=life_fac,0.5,0))+Sens!I5207*IF(2&lt;life_fac,1,IF(2=life_fac,0.5,0))+Sens!J5207*IF(1&lt;life_fac,1,IF(1=life_fac,0.5,0))+Sens!K5207*0.5)/life_fac</f>
        <v>8.86883104910662</v>
      </c>
    </row>
    <row r="5214" customFormat="false" ht="17.15" hidden="false" customHeight="false" outlineLevel="0" collapsed="false">
      <c r="A5214" s="0" t="s">
        <v>1005</v>
      </c>
      <c r="B5214" s="0" t="s">
        <v>98</v>
      </c>
      <c r="E5214" s="6" t="n">
        <f aca="false">Sens!E5212+Sens!E5213</f>
        <v>14.1538947660714</v>
      </c>
      <c r="F5214" s="6" t="n">
        <f aca="false">Sens!F5212+Sens!F5213</f>
        <v>29.9978166232907</v>
      </c>
      <c r="G5214" s="6" t="n">
        <f aca="false">Sens!G5212+Sens!G5213</f>
        <v>52.6539689846527</v>
      </c>
      <c r="H5214" s="6" t="n">
        <f aca="false">Sens!H5212+Sens!H5213</f>
        <v>77.2140918476141</v>
      </c>
      <c r="I5214" s="6" t="n">
        <f aca="false">Sens!I5212+Sens!I5213</f>
        <v>98.4922948062968</v>
      </c>
      <c r="J5214" s="6" t="n">
        <f aca="false">Sens!J5212+Sens!J5213</f>
        <v>113.162027076484</v>
      </c>
      <c r="K5214" s="6" t="n">
        <f aca="false">Sens!K5212+Sens!K5213</f>
        <v>121.714210701983</v>
      </c>
    </row>
    <row r="5215" customFormat="false" ht="17.15" hidden="false" customHeight="false" outlineLevel="0" collapsed="false">
      <c r="A5215" s="0" t="s">
        <v>1006</v>
      </c>
      <c r="B5215" s="0" t="s">
        <v>98</v>
      </c>
      <c r="E5215" s="6" t="n">
        <f aca="false">Sens!E5202-Sens!E5201*Sens!E5214</f>
        <v>10.2179856263809</v>
      </c>
      <c r="F5215" s="6" t="n">
        <f aca="false">Sens!F5202-Sens!F5201*Sens!F5214</f>
        <v>21.5259343799099</v>
      </c>
      <c r="G5215" s="6" t="n">
        <f aca="false">Sens!G5202-Sens!G5201*Sens!G5214</f>
        <v>35.9646771464771</v>
      </c>
      <c r="H5215" s="6" t="n">
        <f aca="false">Sens!H5202-Sens!H5201*Sens!H5214</f>
        <v>50.8578628379417</v>
      </c>
      <c r="I5215" s="6" t="n">
        <f aca="false">Sens!I5202-Sens!I5201*Sens!I5214</f>
        <v>63.24585247289</v>
      </c>
      <c r="J5215" s="6" t="n">
        <f aca="false">Sens!J5202-Sens!J5201*Sens!J5214</f>
        <v>72.2037082455681</v>
      </c>
      <c r="K5215" s="6" t="n">
        <f aca="false">Sens!K5202-Sens!K5201*Sens!K5214</f>
        <v>77.2317757375995</v>
      </c>
    </row>
    <row r="5216" customFormat="false" ht="17.15" hidden="false" customHeight="false" outlineLevel="0" collapsed="false">
      <c r="A5216" s="3" t="s">
        <v>1741</v>
      </c>
    </row>
    <row r="5217" customFormat="false" ht="15" hidden="false" customHeight="false" outlineLevel="0" collapsed="false">
      <c r="A5217" s="4" t="s">
        <v>43</v>
      </c>
      <c r="B5217" s="4" t="s">
        <v>65</v>
      </c>
      <c r="C5217" s="23" t="s">
        <v>942</v>
      </c>
      <c r="D5217" s="23" t="s">
        <v>943</v>
      </c>
      <c r="E5217" s="23" t="s">
        <v>944</v>
      </c>
      <c r="F5217" s="23" t="s">
        <v>945</v>
      </c>
      <c r="G5217" s="23" t="s">
        <v>946</v>
      </c>
      <c r="H5217" s="23" t="s">
        <v>947</v>
      </c>
      <c r="I5217" s="23" t="s">
        <v>948</v>
      </c>
      <c r="J5217" s="23" t="s">
        <v>949</v>
      </c>
      <c r="K5217" s="23" t="s">
        <v>950</v>
      </c>
      <c r="L5217" s="4" t="s">
        <v>47</v>
      </c>
    </row>
    <row r="5218" customFormat="false" ht="17.15" hidden="false" customHeight="false" outlineLevel="0" collapsed="false">
      <c r="A5218" s="0" t="s">
        <v>1025</v>
      </c>
      <c r="B5218" s="0" t="s">
        <v>98</v>
      </c>
      <c r="D5218" s="6" t="n">
        <f aca="false">Sens!D5196</f>
        <v>12.9359794422418</v>
      </c>
      <c r="E5218" s="6" t="n">
        <f aca="false">Sens!E5196</f>
        <v>27.8095064661409</v>
      </c>
      <c r="F5218" s="6" t="n">
        <f aca="false">Sens!F5196</f>
        <v>55.4118315060966</v>
      </c>
      <c r="G5218" s="6" t="n">
        <f aca="false">Sens!G5196</f>
        <v>91.2881100675143</v>
      </c>
      <c r="H5218" s="6" t="n">
        <f aca="false">Sens!H5196</f>
        <v>128.195273603944</v>
      </c>
      <c r="I5218" s="6" t="n">
        <f aca="false">Sens!I5196</f>
        <v>159.561319761775</v>
      </c>
      <c r="J5218" s="6" t="n">
        <f aca="false">Sens!J5196</f>
        <v>181.558249585279</v>
      </c>
      <c r="K5218" s="6" t="n">
        <f aca="false">Sens!K5196</f>
        <v>194.006081055002</v>
      </c>
    </row>
    <row r="5219" customFormat="false" ht="17.15" hidden="false" customHeight="false" outlineLevel="0" collapsed="false">
      <c r="A5219" s="0" t="s">
        <v>1026</v>
      </c>
      <c r="B5219" s="0" t="s">
        <v>98</v>
      </c>
      <c r="D5219" s="6" t="n">
        <f aca="false">Q!L6-Sens!D5218</f>
        <v>59.6740205577583</v>
      </c>
      <c r="E5219" s="6" t="n">
        <f aca="false">Q!M6-Sens!E5218</f>
        <v>74.1284935338591</v>
      </c>
      <c r="F5219" s="6" t="n">
        <f aca="false">Q!$I$6+(Sens!F5218+Sens!E5219*(1+Sens!F5220))*(1-Q!$E$6/Q!M6)-Sens!F5218</f>
        <v>91.2972164940844</v>
      </c>
      <c r="G5219" s="6" t="n">
        <f aca="false">Sens!F5219*(1+Sens!G5220)</f>
        <v>108.474719793879</v>
      </c>
      <c r="H5219" s="6" t="n">
        <f aca="false">Sens!G5219*(1+Sens!H5220)</f>
        <v>125.951292505701</v>
      </c>
      <c r="I5219" s="6" t="n">
        <f aca="false">Sens!H5219*(1+Sens!I5220)</f>
        <v>142.838165154212</v>
      </c>
      <c r="J5219" s="6" t="n">
        <f aca="false">Sens!I5219*(1+Sens!J5220)</f>
        <v>158.12717866615</v>
      </c>
      <c r="K5219" s="6" t="n">
        <f aca="false">Sens!J5219*(1+Sens!K5220)</f>
        <v>170.777352959442</v>
      </c>
      <c r="L5219" s="12" t="s">
        <v>1027</v>
      </c>
    </row>
    <row r="5220" customFormat="false" ht="15" hidden="false" customHeight="false" outlineLevel="0" collapsed="false">
      <c r="A5220" s="1" t="s">
        <v>1028</v>
      </c>
      <c r="B5220" s="0" t="s">
        <v>168</v>
      </c>
      <c r="E5220" s="7" t="n">
        <f aca="false">Sens!E5219/Sens!D5219-1</f>
        <v>0.242223883039864</v>
      </c>
      <c r="F5220" s="7" t="n">
        <f aca="false">Sens!$E$5220+(glt_azo-Sens!$E$5220)*MIN(1,(Sens!F5177-base_fy)/n_conv)</f>
        <v>0.215186569199887</v>
      </c>
      <c r="G5220" s="7" t="n">
        <f aca="false">Sens!$E$5220+(glt_azo-Sens!$E$5220)*MIN(1,(Sens!G5177-base_fy)/n_conv)</f>
        <v>0.18814925535991</v>
      </c>
      <c r="H5220" s="7" t="n">
        <f aca="false">Sens!$E$5220+(glt_azo-Sens!$E$5220)*MIN(1,(Sens!H5177-base_fy)/n_conv)</f>
        <v>0.161111941519932</v>
      </c>
      <c r="I5220" s="7" t="n">
        <f aca="false">Sens!$E$5220+(glt_azo-Sens!$E$5220)*MIN(1,(Sens!I5177-base_fy)/n_conv)</f>
        <v>0.134074627679955</v>
      </c>
      <c r="J5220" s="7" t="n">
        <f aca="false">Sens!$E$5220+(glt_azo-Sens!$E$5220)*MIN(1,(Sens!J5177-base_fy)/n_conv)</f>
        <v>0.107037313839977</v>
      </c>
      <c r="K5220" s="7" t="n">
        <f aca="false">Sens!$E$5220+(glt_azo-Sens!$E$5220)*MIN(1,(Sens!K5177-base_fy)/n_conv)</f>
        <v>0.08</v>
      </c>
    </row>
    <row r="5221" customFormat="false" ht="15" hidden="false" customHeight="false" outlineLevel="0" collapsed="false">
      <c r="A5221" s="0" t="s">
        <v>1029</v>
      </c>
      <c r="B5221" s="0" t="s">
        <v>98</v>
      </c>
      <c r="D5221" s="6" t="n">
        <f aca="false">Sens!D5218+Sens!D5219</f>
        <v>72.61</v>
      </c>
      <c r="E5221" s="6" t="n">
        <f aca="false">Sens!E5218+Sens!E5219</f>
        <v>101.938</v>
      </c>
      <c r="F5221" s="6" t="n">
        <f aca="false">Sens!F5218+Sens!F5219</f>
        <v>146.709048000181</v>
      </c>
      <c r="G5221" s="6" t="n">
        <f aca="false">Sens!G5218+Sens!G5219</f>
        <v>199.762829861393</v>
      </c>
      <c r="H5221" s="6" t="n">
        <f aca="false">Sens!H5218+Sens!H5219</f>
        <v>254.146566109645</v>
      </c>
      <c r="I5221" s="6" t="n">
        <f aca="false">Sens!I5218+Sens!I5219</f>
        <v>302.399484915987</v>
      </c>
      <c r="J5221" s="6" t="n">
        <f aca="false">Sens!J5218+Sens!J5219</f>
        <v>339.685428251429</v>
      </c>
      <c r="K5221" s="6" t="n">
        <f aca="false">Sens!K5218+Sens!K5219</f>
        <v>364.783434014444</v>
      </c>
    </row>
    <row r="5222" customFormat="false" ht="17.15" hidden="false" customHeight="false" outlineLevel="0" collapsed="false">
      <c r="A5222" s="0" t="s">
        <v>1030</v>
      </c>
      <c r="B5222" s="1" t="s">
        <v>613</v>
      </c>
      <c r="C5222" s="30" t="n">
        <f aca="false">cop_s24</f>
        <v>1</v>
      </c>
      <c r="D5222" s="30" t="n">
        <f aca="false">cop_s25</f>
        <v>5</v>
      </c>
      <c r="E5222" s="30" t="n">
        <f aca="false">cop_s26</f>
        <v>30</v>
      </c>
      <c r="F5222" s="30" t="n">
        <f aca="false">Sens!E5222+cop_add_B</f>
        <v>50</v>
      </c>
      <c r="G5222" s="30" t="n">
        <f aca="false">Sens!F5222+cop_add_B</f>
        <v>70</v>
      </c>
      <c r="H5222" s="30" t="n">
        <f aca="false">Sens!G5222+cop_add_B</f>
        <v>90</v>
      </c>
      <c r="I5222" s="30" t="n">
        <f aca="false">Sens!H5222+cop_add_B*cop_tail</f>
        <v>100</v>
      </c>
      <c r="J5222" s="30" t="n">
        <f aca="false">Sens!I5222+cop_add_B*cop_tail</f>
        <v>110</v>
      </c>
      <c r="K5222" s="30" t="n">
        <f aca="false">Sens!J5222+cop_add_B*cop_tail</f>
        <v>120</v>
      </c>
      <c r="L5222" s="12" t="s">
        <v>1031</v>
      </c>
    </row>
    <row r="5223" customFormat="false" ht="17.15" hidden="false" customHeight="false" outlineLevel="0" collapsed="false">
      <c r="A5223" s="0" t="s">
        <v>1032</v>
      </c>
      <c r="B5223" s="0" t="s">
        <v>98</v>
      </c>
      <c r="D5223" s="6" t="n">
        <f aca="false">(Sens!C5222+Sens!D5222)/2*cop_px*12/1000</f>
        <v>0.9</v>
      </c>
      <c r="E5223" s="6" t="n">
        <f aca="false">(Sens!D5222+Sens!E5222)/2*cop_px*12/1000</f>
        <v>5.25</v>
      </c>
      <c r="F5223" s="6" t="n">
        <f aca="false">(Sens!E5222+Sens!F5222)/2*cop_px*12/1000</f>
        <v>12</v>
      </c>
      <c r="G5223" s="6" t="n">
        <f aca="false">(Sens!F5222+Sens!G5222)/2*cop_px*12/1000</f>
        <v>18</v>
      </c>
      <c r="H5223" s="6" t="n">
        <f aca="false">(Sens!G5222+Sens!H5222)/2*cop_px*12/1000</f>
        <v>24</v>
      </c>
      <c r="I5223" s="6" t="n">
        <f aca="false">(Sens!H5222+Sens!I5222)/2*cop_px*12/1000</f>
        <v>28.5</v>
      </c>
      <c r="J5223" s="6" t="n">
        <f aca="false">(Sens!I5222+Sens!J5222)/2*cop_px*12/1000</f>
        <v>31.5</v>
      </c>
      <c r="K5223" s="6" t="n">
        <f aca="false">(Sens!J5222+Sens!K5222)/2*cop_px*12/1000</f>
        <v>34.5</v>
      </c>
      <c r="L5223" s="1" t="s">
        <v>1033</v>
      </c>
    </row>
    <row r="5224" customFormat="false" ht="17.15" hidden="false" customHeight="false" outlineLevel="0" collapsed="false">
      <c r="A5224" s="0" t="s">
        <v>1034</v>
      </c>
      <c r="B5224" s="0" t="s">
        <v>98</v>
      </c>
      <c r="D5224" s="6" t="n">
        <f aca="false">Q!L7-Sens!D5223</f>
        <v>83.705</v>
      </c>
      <c r="E5224" s="6" t="n">
        <f aca="false">Q!M7-Sens!E5223</f>
        <v>95.049</v>
      </c>
      <c r="F5224" s="6" t="n">
        <f aca="false">Q!$I$7+(Sens!E5224*(1+Sens!F5225)+Sens!F5223)*(1-Q!$E$7/Q!M7)-Sens!F5223</f>
        <v>106.584003697747</v>
      </c>
      <c r="G5224" s="6" t="n">
        <f aca="false">Sens!F5224*(1+Sens!G5225)</f>
        <v>118.700726545688</v>
      </c>
      <c r="H5224" s="6" t="n">
        <f aca="false">Sens!G5224*(1+Sens!H5225)</f>
        <v>130.898624783666</v>
      </c>
      <c r="I5224" s="6" t="n">
        <f aca="false">Sens!H5224*(1+Sens!I5225)</f>
        <v>142.920510030657</v>
      </c>
      <c r="J5224" s="6" t="n">
        <f aca="false">Sens!I5224*(1+Sens!J5225)</f>
        <v>154.485722618572</v>
      </c>
      <c r="K5224" s="6" t="n">
        <f aca="false">Sens!J5224*(1+Sens!K5225)</f>
        <v>165.299723201872</v>
      </c>
      <c r="L5224" s="12" t="s">
        <v>1035</v>
      </c>
    </row>
    <row r="5225" customFormat="false" ht="15" hidden="false" customHeight="false" outlineLevel="0" collapsed="false">
      <c r="A5225" s="1" t="s">
        <v>1028</v>
      </c>
      <c r="B5225" s="0" t="s">
        <v>168</v>
      </c>
      <c r="E5225" s="7" t="n">
        <f aca="false">Sens!E5224/Sens!D5224-1</f>
        <v>0.135523564900544</v>
      </c>
      <c r="F5225" s="7" t="n">
        <f aca="false">Sens!$E$5225+(glt_m365b-Sens!$E$5225)*MIN(1,(Sens!F5177-base_fy)/n_conv)</f>
        <v>0.124602970750453</v>
      </c>
      <c r="G5225" s="7" t="n">
        <f aca="false">Sens!$E$5225+(glt_m365b-Sens!$E$5225)*MIN(1,(Sens!G5177-base_fy)/n_conv)</f>
        <v>0.113682376600363</v>
      </c>
      <c r="H5225" s="7" t="n">
        <f aca="false">Sens!$E$5225+(glt_m365b-Sens!$E$5225)*MIN(1,(Sens!H5177-base_fy)/n_conv)</f>
        <v>0.102761782450272</v>
      </c>
      <c r="I5225" s="7" t="n">
        <f aca="false">Sens!$E$5225+(glt_m365b-Sens!$E$5225)*MIN(1,(Sens!I5177-base_fy)/n_conv)</f>
        <v>0.0918411883001813</v>
      </c>
      <c r="J5225" s="7" t="n">
        <f aca="false">Sens!$E$5225+(glt_m365b-Sens!$E$5225)*MIN(1,(Sens!J5177-base_fy)/n_conv)</f>
        <v>0.0809205941500906</v>
      </c>
      <c r="K5225" s="7" t="n">
        <f aca="false">Sens!$E$5225+(glt_m365b-Sens!$E$5225)*MIN(1,(Sens!K5177-base_fy)/n_conv)</f>
        <v>0.07</v>
      </c>
    </row>
    <row r="5226" customFormat="false" ht="15" hidden="false" customHeight="false" outlineLevel="0" collapsed="false">
      <c r="A5226" s="0" t="s">
        <v>1036</v>
      </c>
      <c r="B5226" s="0" t="s">
        <v>98</v>
      </c>
      <c r="D5226" s="6" t="n">
        <f aca="false">Sens!D5224+Sens!D5223</f>
        <v>84.605</v>
      </c>
      <c r="E5226" s="6" t="n">
        <f aca="false">Sens!E5224+Sens!E5223</f>
        <v>100.299</v>
      </c>
      <c r="F5226" s="6" t="n">
        <f aca="false">Sens!F5224+Sens!F5223</f>
        <v>118.584003697747</v>
      </c>
      <c r="G5226" s="6" t="n">
        <f aca="false">Sens!G5224+Sens!G5223</f>
        <v>136.700726545688</v>
      </c>
      <c r="H5226" s="6" t="n">
        <f aca="false">Sens!H5224+Sens!H5223</f>
        <v>154.898624783666</v>
      </c>
      <c r="I5226" s="6" t="n">
        <f aca="false">Sens!I5224+Sens!I5223</f>
        <v>171.420510030657</v>
      </c>
      <c r="J5226" s="6" t="n">
        <f aca="false">Sens!J5224+Sens!J5223</f>
        <v>185.985722618572</v>
      </c>
      <c r="K5226" s="6" t="n">
        <f aca="false">Sens!K5224+Sens!K5223</f>
        <v>199.799723201872</v>
      </c>
    </row>
    <row r="5227" customFormat="false" ht="17.15" hidden="false" customHeight="false" outlineLevel="0" collapsed="false">
      <c r="A5227" s="0" t="s">
        <v>1037</v>
      </c>
      <c r="B5227" s="0" t="s">
        <v>98</v>
      </c>
      <c r="D5227" s="6" t="n">
        <f aca="false">Q!L8</f>
        <v>35.391</v>
      </c>
      <c r="E5227" s="6" t="n">
        <f aca="false">Q!M8</f>
        <v>37.285</v>
      </c>
      <c r="F5227" s="6" t="n">
        <f aca="false">Q!$I$8+(Q!M8-Q!$E$8)*(1+Sens!F5228)</f>
        <v>38.3851437782675</v>
      </c>
      <c r="G5227" s="6" t="n">
        <f aca="false">Sens!F5227*(1+Sens!G5228)</f>
        <v>40.0105353288615</v>
      </c>
      <c r="H5227" s="6" t="n">
        <f aca="false">Sens!G5227*(1+Sens!H5228)</f>
        <v>41.4812512033683</v>
      </c>
      <c r="I5227" s="6" t="n">
        <f aca="false">Sens!H5227*(1+Sens!I5228)</f>
        <v>42.7743107216329</v>
      </c>
      <c r="J5227" s="6" t="n">
        <f aca="false">Sens!I5227*(1+Sens!J5228)</f>
        <v>43.8687373064601</v>
      </c>
      <c r="K5227" s="6" t="n">
        <f aca="false">Sens!J5227*(1+Sens!K5228)</f>
        <v>44.7461120525893</v>
      </c>
      <c r="L5227" s="12" t="s">
        <v>1038</v>
      </c>
    </row>
    <row r="5228" customFormat="false" ht="15" hidden="false" customHeight="false" outlineLevel="0" collapsed="false">
      <c r="A5228" s="1" t="s">
        <v>1028</v>
      </c>
      <c r="B5228" s="0" t="s">
        <v>168</v>
      </c>
      <c r="E5228" s="7" t="n">
        <f aca="false">Sens!E5227/Sens!D5227-1</f>
        <v>0.0535164307309768</v>
      </c>
      <c r="F5228" s="7" t="n">
        <f aca="false">Sens!$E$5228+(glt_lic-Sens!$E$5228)*MIN(1,(Sens!F5177-base_fy)/n_conv)</f>
        <v>0.0479303589424807</v>
      </c>
      <c r="G5228" s="7" t="n">
        <f aca="false">Sens!$E$5228+(glt_lic-Sens!$E$5228)*MIN(1,(Sens!G5177-base_fy)/n_conv)</f>
        <v>0.0423442871539845</v>
      </c>
      <c r="H5228" s="7" t="n">
        <f aca="false">Sens!$E$5228+(glt_lic-Sens!$E$5228)*MIN(1,(Sens!H5177-base_fy)/n_conv)</f>
        <v>0.0367582153654884</v>
      </c>
      <c r="I5228" s="7" t="n">
        <f aca="false">Sens!$E$5228+(glt_lic-Sens!$E$5228)*MIN(1,(Sens!I5177-base_fy)/n_conv)</f>
        <v>0.0311721435769923</v>
      </c>
      <c r="J5228" s="7" t="n">
        <f aca="false">Sens!$E$5228+(glt_lic-Sens!$E$5228)*MIN(1,(Sens!J5177-base_fy)/n_conv)</f>
        <v>0.0255860717884961</v>
      </c>
      <c r="K5228" s="7" t="n">
        <f aca="false">Sens!$E$5228+(glt_lic-Sens!$E$5228)*MIN(1,(Sens!K5177-base_fy)/n_conv)</f>
        <v>0.02</v>
      </c>
    </row>
    <row r="5229" customFormat="false" ht="17.15" hidden="false" customHeight="false" outlineLevel="0" collapsed="false">
      <c r="A5229" s="0" t="s">
        <v>1039</v>
      </c>
      <c r="B5229" s="0" t="s">
        <v>98</v>
      </c>
      <c r="D5229" s="6" t="n">
        <f aca="false">Q!L9</f>
        <v>18.417</v>
      </c>
      <c r="E5229" s="6" t="n">
        <f aca="false">Q!M9</f>
        <v>20.345</v>
      </c>
      <c r="F5229" s="6" t="n">
        <f aca="false">Q!$I$9+(Q!M9-Q!$E$9)*(1+Sens!F5230)</f>
        <v>22.3161797133988</v>
      </c>
      <c r="G5229" s="6" t="n">
        <f aca="false">Sens!F5229*(1+Sens!G5230)</f>
        <v>24.3943499673233</v>
      </c>
      <c r="H5229" s="6" t="n">
        <f aca="false">Sens!G5229*(1+Sens!H5230)</f>
        <v>26.5250243109019</v>
      </c>
      <c r="I5229" s="6" t="n">
        <f aca="false">Sens!H5229*(1+Sens!I5230)</f>
        <v>28.6884573538181</v>
      </c>
      <c r="J5229" s="6" t="n">
        <f aca="false">Sens!I5229*(1+Sens!J5230)</f>
        <v>30.8624968052127</v>
      </c>
      <c r="K5229" s="6" t="n">
        <f aca="false">Sens!J5229*(1+Sens!K5230)</f>
        <v>33.0228715815776</v>
      </c>
      <c r="L5229" s="12" t="s">
        <v>1038</v>
      </c>
    </row>
    <row r="5230" customFormat="false" ht="15" hidden="false" customHeight="false" outlineLevel="0" collapsed="false">
      <c r="A5230" s="1" t="s">
        <v>1028</v>
      </c>
      <c r="B5230" s="0" t="s">
        <v>168</v>
      </c>
      <c r="E5230" s="7" t="n">
        <f aca="false">Sens!E5229/Sens!D5229-1</f>
        <v>0.104685888038225</v>
      </c>
      <c r="F5230" s="7" t="n">
        <f aca="false">Sens!$E$5230+(glt_ind-Sens!$E$5230)*MIN(1,(Sens!F5177-base_fy)/n_conv)</f>
        <v>0.0989049066985211</v>
      </c>
      <c r="G5230" s="7" t="n">
        <f aca="false">Sens!$E$5230+(glt_ind-Sens!$E$5230)*MIN(1,(Sens!G5177-base_fy)/n_conv)</f>
        <v>0.0931239253588169</v>
      </c>
      <c r="H5230" s="7" t="n">
        <f aca="false">Sens!$E$5230+(glt_ind-Sens!$E$5230)*MIN(1,(Sens!H5177-base_fy)/n_conv)</f>
        <v>0.0873429440191127</v>
      </c>
      <c r="I5230" s="7" t="n">
        <f aca="false">Sens!$E$5230+(glt_ind-Sens!$E$5230)*MIN(1,(Sens!I5177-base_fy)/n_conv)</f>
        <v>0.0815619626794085</v>
      </c>
      <c r="J5230" s="7" t="n">
        <f aca="false">Sens!$E$5230+(glt_ind-Sens!$E$5230)*MIN(1,(Sens!J5177-base_fy)/n_conv)</f>
        <v>0.0757809813397042</v>
      </c>
      <c r="K5230" s="7" t="n">
        <f aca="false">Sens!$E$5230+(glt_ind-Sens!$E$5230)*MIN(1,(Sens!K5177-base_fy)/n_conv)</f>
        <v>0.07</v>
      </c>
    </row>
    <row r="5231" customFormat="false" ht="17.15" hidden="false" customHeight="false" outlineLevel="0" collapsed="false">
      <c r="A5231" s="0" t="s">
        <v>1040</v>
      </c>
      <c r="B5231" s="0" t="s">
        <v>98</v>
      </c>
      <c r="D5231" s="6" t="n">
        <f aca="false">Q!L10</f>
        <v>7.76</v>
      </c>
      <c r="E5231" s="6" t="n">
        <f aca="false">Q!M10</f>
        <v>8.26</v>
      </c>
      <c r="F5231" s="6" t="n">
        <f aca="false">Q!$I$10+(Q!M10-Q!$E$10)*(1+Sens!F5232)</f>
        <v>8.75372082474227</v>
      </c>
      <c r="G5231" s="6" t="n">
        <f aca="false">Sens!F5231*(1+Sens!G5232)</f>
        <v>9.33399324642364</v>
      </c>
      <c r="H5231" s="6" t="n">
        <f aca="false">Sens!G5231*(1+Sens!H5232)</f>
        <v>9.96139155535851</v>
      </c>
      <c r="I5231" s="6" t="n">
        <f aca="false">Sens!H5231*(1+Sens!I5232)</f>
        <v>10.6402039077391</v>
      </c>
      <c r="J5231" s="6" t="n">
        <f aca="false">Sens!I5231*(1+Sens!J5232)</f>
        <v>11.3751458271397</v>
      </c>
      <c r="K5231" s="6" t="n">
        <f aca="false">Sens!J5231*(1+Sens!K5232)</f>
        <v>12.1714060350394</v>
      </c>
      <c r="L5231" s="12" t="s">
        <v>1038</v>
      </c>
    </row>
    <row r="5232" customFormat="false" ht="15" hidden="false" customHeight="false" outlineLevel="0" collapsed="false">
      <c r="A5232" s="1" t="s">
        <v>1028</v>
      </c>
      <c r="B5232" s="0" t="s">
        <v>168</v>
      </c>
      <c r="E5232" s="7" t="n">
        <f aca="false">Sens!E5231/Sens!D5231-1</f>
        <v>0.0644329896907216</v>
      </c>
      <c r="F5232" s="7" t="n">
        <f aca="false">Sens!$E$5232+(glt_fro-Sens!$E$5232)*MIN(1,(Sens!F5177-base_fy)/n_conv)</f>
        <v>0.065360824742268</v>
      </c>
      <c r="G5232" s="7" t="n">
        <f aca="false">Sens!$E$5232+(glt_fro-Sens!$E$5232)*MIN(1,(Sens!G5177-base_fy)/n_conv)</f>
        <v>0.0662886597938144</v>
      </c>
      <c r="H5232" s="7" t="n">
        <f aca="false">Sens!$E$5232+(glt_fro-Sens!$E$5232)*MIN(1,(Sens!H5177-base_fy)/n_conv)</f>
        <v>0.0672164948453608</v>
      </c>
      <c r="I5232" s="7" t="n">
        <f aca="false">Sens!$E$5232+(glt_fro-Sens!$E$5232)*MIN(1,(Sens!I5177-base_fy)/n_conv)</f>
        <v>0.0681443298969072</v>
      </c>
      <c r="J5232" s="7" t="n">
        <f aca="false">Sens!$E$5232+(glt_fro-Sens!$E$5232)*MIN(1,(Sens!J5177-base_fy)/n_conv)</f>
        <v>0.0690721649484536</v>
      </c>
      <c r="K5232" s="7" t="n">
        <f aca="false">Sens!$E$5232+(glt_fro-Sens!$E$5232)*MIN(1,(Sens!K5177-base_fy)/n_conv)</f>
        <v>0.07</v>
      </c>
    </row>
    <row r="5233" customFormat="false" ht="15" hidden="false" customHeight="false" outlineLevel="0" collapsed="false">
      <c r="A5233" s="0" t="s">
        <v>856</v>
      </c>
      <c r="B5233" s="0" t="s">
        <v>98</v>
      </c>
      <c r="D5233" s="6" t="n">
        <f aca="false">Sens!D5221+Sens!D5226+Sens!D5227+Sens!D5229+Sens!D5231</f>
        <v>218.783</v>
      </c>
      <c r="E5233" s="6" t="n">
        <f aca="false">Sens!E5221+Sens!E5226+Sens!E5227+Sens!E5229+Sens!E5231</f>
        <v>268.127</v>
      </c>
      <c r="F5233" s="6" t="n">
        <f aca="false">Sens!F5221+Sens!F5226+Sens!F5227+Sens!F5229+Sens!F5231</f>
        <v>334.748096014336</v>
      </c>
      <c r="G5233" s="6" t="n">
        <f aca="false">Sens!G5221+Sens!G5226+Sens!G5227+Sens!G5229+Sens!G5231</f>
        <v>410.20243494969</v>
      </c>
      <c r="H5233" s="6" t="n">
        <f aca="false">Sens!H5221+Sens!H5226+Sens!H5227+Sens!H5229+Sens!H5231</f>
        <v>487.012857962939</v>
      </c>
      <c r="I5233" s="6" t="n">
        <f aca="false">Sens!I5221+Sens!I5226+Sens!I5227+Sens!I5229+Sens!I5231</f>
        <v>555.922966929834</v>
      </c>
      <c r="J5233" s="6" t="n">
        <f aca="false">Sens!J5221+Sens!J5226+Sens!J5227+Sens!J5229+Sens!J5231</f>
        <v>611.777530808814</v>
      </c>
      <c r="K5233" s="6" t="n">
        <f aca="false">Sens!K5221+Sens!K5226+Sens!K5227+Sens!K5229+Sens!K5231</f>
        <v>654.523546885522</v>
      </c>
    </row>
    <row r="5234" customFormat="false" ht="17.15" hidden="false" customHeight="false" outlineLevel="0" collapsed="false">
      <c r="A5234" s="0" t="s">
        <v>1041</v>
      </c>
      <c r="B5234" s="0" t="s">
        <v>98</v>
      </c>
      <c r="D5234" s="6" t="n">
        <f aca="false">Q!L13</f>
        <v>22.171</v>
      </c>
      <c r="E5234" s="6" t="n">
        <f aca="false">Q!M13</f>
        <v>24.835</v>
      </c>
      <c r="F5234" s="6" t="n">
        <f aca="false">Q!$I$13+(Q!M13-Q!$E$13)*(1+Sens!F5235)</f>
        <v>27.5591895660247</v>
      </c>
      <c r="G5234" s="6" t="n">
        <f aca="false">Sens!F5234*(1+Sens!G5235)</f>
        <v>30.4098563144583</v>
      </c>
      <c r="H5234" s="6" t="n">
        <f aca="false">Sens!G5234*(1+Sens!H5235)</f>
        <v>33.3011792571777</v>
      </c>
      <c r="I5234" s="6" t="n">
        <f aca="false">Sens!H5234*(1+Sens!I5235)</f>
        <v>36.189023797112</v>
      </c>
      <c r="J5234" s="6" t="n">
        <f aca="false">Sens!I5234*(1+Sens!J5235)</f>
        <v>39.0247773769199</v>
      </c>
      <c r="K5234" s="6" t="n">
        <f aca="false">Sens!J5234*(1+Sens!K5235)</f>
        <v>41.7565117933043</v>
      </c>
      <c r="L5234" s="12" t="s">
        <v>1038</v>
      </c>
    </row>
    <row r="5235" customFormat="false" ht="15" hidden="false" customHeight="false" outlineLevel="0" collapsed="false">
      <c r="A5235" s="1" t="s">
        <v>1028</v>
      </c>
      <c r="B5235" s="0" t="s">
        <v>168</v>
      </c>
      <c r="E5235" s="7" t="n">
        <f aca="false">Sens!E5234/Sens!D5234-1</f>
        <v>0.120156961796942</v>
      </c>
      <c r="F5235" s="7" t="n">
        <f aca="false">Sens!$E$5235+(glt_srch-Sens!$E$5235)*MIN(1,(Sens!F5177-base_fy)/n_conv)</f>
        <v>0.111797468164118</v>
      </c>
      <c r="G5235" s="7" t="n">
        <f aca="false">Sens!$E$5235+(glt_srch-Sens!$E$5235)*MIN(1,(Sens!G5177-base_fy)/n_conv)</f>
        <v>0.103437974531295</v>
      </c>
      <c r="H5235" s="7" t="n">
        <f aca="false">Sens!$E$5235+(glt_srch-Sens!$E$5235)*MIN(1,(Sens!H5177-base_fy)/n_conv)</f>
        <v>0.095078480898471</v>
      </c>
      <c r="I5235" s="7" t="n">
        <f aca="false">Sens!$E$5235+(glt_srch-Sens!$E$5235)*MIN(1,(Sens!I5177-base_fy)/n_conv)</f>
        <v>0.0867189872656474</v>
      </c>
      <c r="J5235" s="7" t="n">
        <f aca="false">Sens!$E$5235+(glt_srch-Sens!$E$5235)*MIN(1,(Sens!J5177-base_fy)/n_conv)</f>
        <v>0.0783594936328237</v>
      </c>
      <c r="K5235" s="7" t="n">
        <f aca="false">Sens!$E$5235+(glt_srch-Sens!$E$5235)*MIN(1,(Sens!K5177-base_fy)/n_conv)</f>
        <v>0.07</v>
      </c>
    </row>
    <row r="5236" customFormat="false" ht="17.15" hidden="false" customHeight="false" outlineLevel="0" collapsed="false">
      <c r="A5236" s="0" t="s">
        <v>1042</v>
      </c>
      <c r="B5236" s="0" t="s">
        <v>98</v>
      </c>
      <c r="D5236" s="6" t="n">
        <f aca="false">Q!L14</f>
        <v>23.455</v>
      </c>
      <c r="E5236" s="6" t="n">
        <f aca="false">Q!M14</f>
        <v>21.79</v>
      </c>
      <c r="F5236" s="6" t="n">
        <f aca="false">Q!$I$14+(Q!M14-Q!$E$14)*(1+Sens!F5237)</f>
        <v>20.7520981041711</v>
      </c>
      <c r="G5236" s="6" t="n">
        <f aca="false">Sens!F5236*(1+Sens!G5237)</f>
        <v>19.9083593495882</v>
      </c>
      <c r="H5236" s="6" t="n">
        <f aca="false">Sens!G5236*(1+Sens!H5237)</f>
        <v>19.4008256265831</v>
      </c>
      <c r="I5236" s="6" t="n">
        <f aca="false">Sens!H5236*(1+Sens!I5237)</f>
        <v>19.200434522122</v>
      </c>
      <c r="J5236" s="6" t="n">
        <f aca="false">Sens!I5236*(1+Sens!J5237)</f>
        <v>19.2932782348507</v>
      </c>
      <c r="K5236" s="6" t="n">
        <f aca="false">Sens!J5236*(1+Sens!K5237)</f>
        <v>19.6791437995477</v>
      </c>
      <c r="L5236" s="12" t="s">
        <v>1038</v>
      </c>
    </row>
    <row r="5237" customFormat="false" ht="15" hidden="false" customHeight="false" outlineLevel="0" collapsed="false">
      <c r="A5237" s="1" t="s">
        <v>1028</v>
      </c>
      <c r="B5237" s="0" t="s">
        <v>168</v>
      </c>
      <c r="E5237" s="7" t="n">
        <f aca="false">Sens!E5236/Sens!D5236-1</f>
        <v>-0.0709869963760392</v>
      </c>
      <c r="F5237" s="7" t="n">
        <f aca="false">Sens!$E$5237+(glt_xbox-Sens!$E$5237)*MIN(1,(Sens!F5177-base_fy)/n_conv)</f>
        <v>-0.0558224969800327</v>
      </c>
      <c r="G5237" s="7" t="n">
        <f aca="false">Sens!$E$5237+(glt_xbox-Sens!$E$5237)*MIN(1,(Sens!G5177-base_fy)/n_conv)</f>
        <v>-0.0406579975840262</v>
      </c>
      <c r="H5237" s="7" t="n">
        <f aca="false">Sens!$E$5237+(glt_xbox-Sens!$E$5237)*MIN(1,(Sens!H5177-base_fy)/n_conv)</f>
        <v>-0.0254934981880196</v>
      </c>
      <c r="I5237" s="7" t="n">
        <f aca="false">Sens!$E$5237+(glt_xbox-Sens!$E$5237)*MIN(1,(Sens!I5177-base_fy)/n_conv)</f>
        <v>-0.0103289987920131</v>
      </c>
      <c r="J5237" s="7" t="n">
        <f aca="false">Sens!$E$5237+(glt_xbox-Sens!$E$5237)*MIN(1,(Sens!J5177-base_fy)/n_conv)</f>
        <v>0.00483550060399347</v>
      </c>
      <c r="K5237" s="7" t="n">
        <f aca="false">Sens!$E$5237+(glt_xbox-Sens!$E$5237)*MIN(1,(Sens!K5177-base_fy)/n_conv)</f>
        <v>0.02</v>
      </c>
    </row>
    <row r="5238" customFormat="false" ht="17.15" hidden="false" customHeight="false" outlineLevel="0" collapsed="false">
      <c r="A5238" s="0" t="s">
        <v>1043</v>
      </c>
      <c r="B5238" s="0" t="s">
        <v>98</v>
      </c>
      <c r="D5238" s="6" t="n">
        <f aca="false">Q!L15</f>
        <v>17.315</v>
      </c>
      <c r="E5238" s="6" t="n">
        <f aca="false">Q!M15</f>
        <v>17.087</v>
      </c>
      <c r="F5238" s="6" t="n">
        <f aca="false">Q!$I$15+(Q!M15-Q!$E$15)*(1+Sens!F5239)</f>
        <v>15.9912273250553</v>
      </c>
      <c r="G5238" s="6" t="n">
        <f aca="false">Sens!F5238*(1+Sens!G5239)</f>
        <v>15.9574562664827</v>
      </c>
      <c r="H5238" s="6" t="n">
        <f aca="false">Sens!G5238*(1+Sens!H5239)</f>
        <v>16.0119687434196</v>
      </c>
      <c r="I5238" s="6" t="n">
        <f aca="false">Sens!H5238*(1+Sens!I5239)</f>
        <v>16.1551810001948</v>
      </c>
      <c r="J5238" s="6" t="n">
        <f aca="false">Sens!I5238*(1+Sens!J5239)</f>
        <v>16.3889793892005</v>
      </c>
      <c r="K5238" s="6" t="n">
        <f aca="false">Sens!J5238*(1+Sens!K5239)</f>
        <v>16.7167589769845</v>
      </c>
      <c r="L5238" s="12" t="s">
        <v>1038</v>
      </c>
    </row>
    <row r="5239" customFormat="false" ht="15" hidden="false" customHeight="false" outlineLevel="0" collapsed="false">
      <c r="A5239" s="1" t="s">
        <v>1028</v>
      </c>
      <c r="B5239" s="0" t="s">
        <v>168</v>
      </c>
      <c r="E5239" s="7" t="n">
        <f aca="false">Sens!E5238/Sens!D5238-1</f>
        <v>-0.0131677736066995</v>
      </c>
      <c r="F5239" s="7" t="n">
        <f aca="false">Sens!$E$5239+(glt_win-Sens!$E$5239)*MIN(1,(Sens!F5177-base_fy)/n_conv)</f>
        <v>-0.00763981133891627</v>
      </c>
      <c r="G5239" s="7" t="n">
        <f aca="false">Sens!$E$5239+(glt_win-Sens!$E$5239)*MIN(1,(Sens!G5177-base_fy)/n_conv)</f>
        <v>-0.00211184907113301</v>
      </c>
      <c r="H5239" s="7" t="n">
        <f aca="false">Sens!$E$5239+(glt_win-Sens!$E$5239)*MIN(1,(Sens!H5177-base_fy)/n_conv)</f>
        <v>0.00341611319665024</v>
      </c>
      <c r="I5239" s="7" t="n">
        <f aca="false">Sens!$E$5239+(glt_win-Sens!$E$5239)*MIN(1,(Sens!I5177-base_fy)/n_conv)</f>
        <v>0.00894407546443349</v>
      </c>
      <c r="J5239" s="7" t="n">
        <f aca="false">Sens!$E$5239+(glt_win-Sens!$E$5239)*MIN(1,(Sens!J5177-base_fy)/n_conv)</f>
        <v>0.0144720377322168</v>
      </c>
      <c r="K5239" s="7" t="n">
        <f aca="false">Sens!$E$5239+(glt_win-Sens!$E$5239)*MIN(1,(Sens!K5177-base_fy)/n_conv)</f>
        <v>0.02</v>
      </c>
    </row>
    <row r="5240" customFormat="false" ht="15" hidden="false" customHeight="false" outlineLevel="0" collapsed="false">
      <c r="A5240" s="0" t="s">
        <v>870</v>
      </c>
      <c r="B5240" s="0" t="s">
        <v>98</v>
      </c>
      <c r="D5240" s="6" t="n">
        <f aca="false">Sens!D5234+Sens!D5236+Sens!D5238</f>
        <v>62.941</v>
      </c>
      <c r="E5240" s="6" t="n">
        <f aca="false">Sens!E5234+Sens!E5236+Sens!E5238</f>
        <v>63.712</v>
      </c>
      <c r="F5240" s="6" t="n">
        <f aca="false">Sens!F5234+Sens!F5236+Sens!F5238</f>
        <v>64.3025149952511</v>
      </c>
      <c r="G5240" s="6" t="n">
        <f aca="false">Sens!G5234+Sens!G5236+Sens!G5238</f>
        <v>66.2756719305292</v>
      </c>
      <c r="H5240" s="6" t="n">
        <f aca="false">Sens!H5234+Sens!H5236+Sens!H5238</f>
        <v>68.7139736271804</v>
      </c>
      <c r="I5240" s="6" t="n">
        <f aca="false">Sens!I5234+Sens!I5236+Sens!I5238</f>
        <v>71.5446393194289</v>
      </c>
      <c r="J5240" s="6" t="n">
        <f aca="false">Sens!J5234+Sens!J5236+Sens!J5238</f>
        <v>74.707035000971</v>
      </c>
      <c r="K5240" s="6" t="n">
        <f aca="false">Sens!K5234+Sens!K5236+Sens!K5238</f>
        <v>78.1524145698365</v>
      </c>
    </row>
    <row r="5241" customFormat="false" ht="15" hidden="false" customHeight="false" outlineLevel="0" collapsed="false">
      <c r="A5241" s="1" t="s">
        <v>1044</v>
      </c>
      <c r="B5241" s="0" t="s">
        <v>98</v>
      </c>
      <c r="D5241" s="6" t="n">
        <f aca="false">Sens!D5233+Sens!D5240</f>
        <v>281.724</v>
      </c>
      <c r="E5241" s="6" t="n">
        <f aca="false">Sens!E5233+Sens!E5240</f>
        <v>331.839</v>
      </c>
      <c r="F5241" s="6" t="n">
        <f aca="false">Sens!F5233+Sens!F5240</f>
        <v>399.050611009588</v>
      </c>
      <c r="G5241" s="6" t="n">
        <f aca="false">Sens!G5233+Sens!G5240</f>
        <v>476.478106880219</v>
      </c>
      <c r="H5241" s="6" t="n">
        <f aca="false">Sens!H5233+Sens!H5240</f>
        <v>555.72683159012</v>
      </c>
      <c r="I5241" s="6" t="n">
        <f aca="false">Sens!I5233+Sens!I5240</f>
        <v>627.467606249263</v>
      </c>
      <c r="J5241" s="6" t="n">
        <f aca="false">Sens!J5233+Sens!J5240</f>
        <v>686.484565809785</v>
      </c>
      <c r="K5241" s="6" t="n">
        <f aca="false">Sens!K5233+Sens!K5240</f>
        <v>732.675961455358</v>
      </c>
    </row>
    <row r="5242" customFormat="false" ht="15" hidden="false" customHeight="false" outlineLevel="0" collapsed="false">
      <c r="A5242" s="26" t="s">
        <v>1045</v>
      </c>
      <c r="B5242" s="31" t="s">
        <v>98</v>
      </c>
      <c r="C5242" s="31"/>
      <c r="D5242" s="27" t="n">
        <f aca="false">(Sens!D5221+Sens!D5226+Sens!D5227+Sens!D5229+Sens!D5231-Sens!D5233)+(Sens!D5234+Sens!D5236+Sens!D5238-Sens!D5240)+(Sens!D5233-Q!L5)+(Sens!D5240-Q!L12)+(Sens!D5221-Q!L6)+(Sens!D5226-Q!L7)</f>
        <v>0</v>
      </c>
      <c r="E5242" s="27" t="n">
        <f aca="false">(Sens!E5221+Sens!E5226+Sens!E5227+Sens!E5229+Sens!E5231-Sens!E5233)+(Sens!E5234+Sens!E5236+Sens!E5238-Sens!E5240)+(Sens!E5233-Q!M5)+(Sens!E5240-Q!M12)+(Sens!E5221-Q!M6)+(Sens!E5226-Q!M7)</f>
        <v>0</v>
      </c>
      <c r="F5242" s="27" t="n">
        <f aca="false">(Sens!F5221+Sens!F5226+Sens!F5227+Sens!F5229+Sens!F5231-Sens!F5233)+(Sens!F5234+Sens!F5236+Sens!F5238-Sens!F5240)</f>
        <v>0</v>
      </c>
      <c r="G5242" s="27" t="n">
        <f aca="false">(Sens!G5221+Sens!G5226+Sens!G5227+Sens!G5229+Sens!G5231-Sens!G5233)+(Sens!G5234+Sens!G5236+Sens!G5238-Sens!G5240)</f>
        <v>0</v>
      </c>
      <c r="H5242" s="27" t="n">
        <f aca="false">(Sens!H5221+Sens!H5226+Sens!H5227+Sens!H5229+Sens!H5231-Sens!H5233)+(Sens!H5234+Sens!H5236+Sens!H5238-Sens!H5240)</f>
        <v>0</v>
      </c>
      <c r="I5242" s="27" t="n">
        <f aca="false">(Sens!I5221+Sens!I5226+Sens!I5227+Sens!I5229+Sens!I5231-Sens!I5233)+(Sens!I5234+Sens!I5236+Sens!I5238-Sens!I5240)</f>
        <v>0</v>
      </c>
      <c r="J5242" s="27" t="n">
        <f aca="false">(Sens!J5221+Sens!J5226+Sens!J5227+Sens!J5229+Sens!J5231-Sens!J5233)+(Sens!J5234+Sens!J5236+Sens!J5238-Sens!J5240)</f>
        <v>0</v>
      </c>
      <c r="K5242" s="27" t="n">
        <f aca="false">(Sens!K5221+Sens!K5226+Sens!K5227+Sens!K5229+Sens!K5231-Sens!K5233)+(Sens!K5234+Sens!K5236+Sens!K5238-Sens!K5240)</f>
        <v>0</v>
      </c>
    </row>
    <row r="5243" customFormat="false" ht="17.15" hidden="false" customHeight="false" outlineLevel="0" collapsed="false">
      <c r="A5243" s="3" t="s">
        <v>1742</v>
      </c>
    </row>
    <row r="5244" customFormat="false" ht="15" hidden="false" customHeight="false" outlineLevel="0" collapsed="false">
      <c r="A5244" s="4" t="s">
        <v>43</v>
      </c>
      <c r="B5244" s="4" t="s">
        <v>65</v>
      </c>
      <c r="C5244" s="23" t="s">
        <v>942</v>
      </c>
      <c r="D5244" s="23" t="s">
        <v>943</v>
      </c>
      <c r="E5244" s="23" t="s">
        <v>944</v>
      </c>
      <c r="F5244" s="23" t="s">
        <v>945</v>
      </c>
      <c r="G5244" s="23" t="s">
        <v>946</v>
      </c>
      <c r="H5244" s="23" t="s">
        <v>947</v>
      </c>
      <c r="I5244" s="23" t="s">
        <v>948</v>
      </c>
      <c r="J5244" s="23" t="s">
        <v>949</v>
      </c>
      <c r="K5244" s="23" t="s">
        <v>950</v>
      </c>
      <c r="L5244" s="4" t="s">
        <v>47</v>
      </c>
    </row>
    <row r="5245" customFormat="false" ht="15" hidden="false" customHeight="false" outlineLevel="0" collapsed="false">
      <c r="A5245" s="0" t="s">
        <v>1029</v>
      </c>
      <c r="B5245" s="0" t="s">
        <v>98</v>
      </c>
      <c r="D5245" s="6" t="n">
        <f aca="false">Sens!D5221</f>
        <v>72.61</v>
      </c>
      <c r="E5245" s="6" t="n">
        <f aca="false">Sens!E5221</f>
        <v>101.938</v>
      </c>
      <c r="F5245" s="6" t="n">
        <f aca="false">Sens!F5221</f>
        <v>146.709048000181</v>
      </c>
      <c r="G5245" s="6" t="n">
        <f aca="false">Sens!G5221</f>
        <v>199.762829861393</v>
      </c>
      <c r="H5245" s="6" t="n">
        <f aca="false">Sens!H5221</f>
        <v>254.146566109645</v>
      </c>
      <c r="I5245" s="6" t="n">
        <f aca="false">Sens!I5221</f>
        <v>302.399484915987</v>
      </c>
      <c r="J5245" s="6" t="n">
        <f aca="false">Sens!J5221</f>
        <v>339.685428251429</v>
      </c>
      <c r="K5245" s="6" t="n">
        <f aca="false">Sens!K5221</f>
        <v>364.783434014444</v>
      </c>
    </row>
    <row r="5246" customFormat="false" ht="17.15" hidden="false" customHeight="false" outlineLevel="0" collapsed="false">
      <c r="A5246" s="0" t="s">
        <v>1025</v>
      </c>
      <c r="B5246" s="0" t="s">
        <v>98</v>
      </c>
      <c r="D5246" s="6" t="n">
        <f aca="false">Sens!D5218</f>
        <v>12.9359794422418</v>
      </c>
      <c r="E5246" s="6" t="n">
        <f aca="false">Sens!E5218</f>
        <v>27.8095064661409</v>
      </c>
      <c r="F5246" s="6" t="n">
        <f aca="false">Sens!F5218</f>
        <v>55.4118315060966</v>
      </c>
      <c r="G5246" s="6" t="n">
        <f aca="false">Sens!G5218</f>
        <v>91.2881100675143</v>
      </c>
      <c r="H5246" s="6" t="n">
        <f aca="false">Sens!H5218</f>
        <v>128.195273603944</v>
      </c>
      <c r="I5246" s="6" t="n">
        <f aca="false">Sens!I5218</f>
        <v>159.561319761775</v>
      </c>
      <c r="J5246" s="6" t="n">
        <f aca="false">Sens!J5218</f>
        <v>181.558249585279</v>
      </c>
      <c r="K5246" s="6" t="n">
        <f aca="false">Sens!K5218</f>
        <v>194.006081055002</v>
      </c>
    </row>
    <row r="5247" customFormat="false" ht="17.15" hidden="false" customHeight="false" outlineLevel="0" collapsed="false">
      <c r="A5247" s="0" t="s">
        <v>1056</v>
      </c>
      <c r="B5247" s="0" t="s">
        <v>98</v>
      </c>
      <c r="D5247" s="6" t="n">
        <f aca="false">Sens!D5219</f>
        <v>59.6740205577583</v>
      </c>
      <c r="E5247" s="6" t="n">
        <f aca="false">Sens!E5219</f>
        <v>74.1284935338591</v>
      </c>
      <c r="F5247" s="6" t="n">
        <f aca="false">Sens!F5219</f>
        <v>91.2972164940844</v>
      </c>
      <c r="G5247" s="6" t="n">
        <f aca="false">Sens!G5219</f>
        <v>108.474719793879</v>
      </c>
      <c r="H5247" s="6" t="n">
        <f aca="false">Sens!H5219</f>
        <v>125.951292505701</v>
      </c>
      <c r="I5247" s="6" t="n">
        <f aca="false">Sens!I5219</f>
        <v>142.838165154212</v>
      </c>
      <c r="J5247" s="6" t="n">
        <f aca="false">Sens!J5219</f>
        <v>158.12717866615</v>
      </c>
      <c r="K5247" s="6" t="n">
        <f aca="false">Sens!K5219</f>
        <v>170.777352959442</v>
      </c>
    </row>
    <row r="5248" customFormat="false" ht="15" hidden="false" customHeight="false" outlineLevel="0" collapsed="false">
      <c r="A5248" s="0" t="s">
        <v>1036</v>
      </c>
      <c r="B5248" s="0" t="s">
        <v>98</v>
      </c>
      <c r="D5248" s="6" t="n">
        <f aca="false">Sens!D5226</f>
        <v>84.605</v>
      </c>
      <c r="E5248" s="6" t="n">
        <f aca="false">Sens!E5226</f>
        <v>100.299</v>
      </c>
      <c r="F5248" s="6" t="n">
        <f aca="false">Sens!F5226</f>
        <v>118.584003697747</v>
      </c>
      <c r="G5248" s="6" t="n">
        <f aca="false">Sens!G5226</f>
        <v>136.700726545688</v>
      </c>
      <c r="H5248" s="6" t="n">
        <f aca="false">Sens!H5226</f>
        <v>154.898624783666</v>
      </c>
      <c r="I5248" s="6" t="n">
        <f aca="false">Sens!I5226</f>
        <v>171.420510030657</v>
      </c>
      <c r="J5248" s="6" t="n">
        <f aca="false">Sens!J5226</f>
        <v>185.985722618572</v>
      </c>
      <c r="K5248" s="6" t="n">
        <f aca="false">Sens!K5226</f>
        <v>199.799723201872</v>
      </c>
    </row>
    <row r="5249" customFormat="false" ht="17.15" hidden="false" customHeight="false" outlineLevel="0" collapsed="false">
      <c r="A5249" s="0" t="s">
        <v>1057</v>
      </c>
      <c r="B5249" s="0" t="s">
        <v>98</v>
      </c>
      <c r="D5249" s="6" t="n">
        <f aca="false">Sens!D5224</f>
        <v>83.705</v>
      </c>
      <c r="E5249" s="6" t="n">
        <f aca="false">Sens!E5224</f>
        <v>95.049</v>
      </c>
      <c r="F5249" s="6" t="n">
        <f aca="false">Sens!F5224</f>
        <v>106.584003697747</v>
      </c>
      <c r="G5249" s="6" t="n">
        <f aca="false">Sens!G5224</f>
        <v>118.700726545688</v>
      </c>
      <c r="H5249" s="6" t="n">
        <f aca="false">Sens!H5224</f>
        <v>130.898624783666</v>
      </c>
      <c r="I5249" s="6" t="n">
        <f aca="false">Sens!I5224</f>
        <v>142.920510030657</v>
      </c>
      <c r="J5249" s="6" t="n">
        <f aca="false">Sens!J5224</f>
        <v>154.485722618572</v>
      </c>
      <c r="K5249" s="6" t="n">
        <f aca="false">Sens!K5224</f>
        <v>165.299723201872</v>
      </c>
    </row>
    <row r="5250" customFormat="false" ht="17.15" hidden="false" customHeight="false" outlineLevel="0" collapsed="false">
      <c r="A5250" s="0" t="s">
        <v>1058</v>
      </c>
      <c r="B5250" s="0" t="s">
        <v>98</v>
      </c>
      <c r="D5250" s="6" t="n">
        <f aca="false">Sens!D5223</f>
        <v>0.9</v>
      </c>
      <c r="E5250" s="6" t="n">
        <f aca="false">Sens!E5223</f>
        <v>5.25</v>
      </c>
      <c r="F5250" s="6" t="n">
        <f aca="false">Sens!F5223</f>
        <v>12</v>
      </c>
      <c r="G5250" s="6" t="n">
        <f aca="false">Sens!G5223</f>
        <v>18</v>
      </c>
      <c r="H5250" s="6" t="n">
        <f aca="false">Sens!H5223</f>
        <v>24</v>
      </c>
      <c r="I5250" s="6" t="n">
        <f aca="false">Sens!I5223</f>
        <v>28.5</v>
      </c>
      <c r="J5250" s="6" t="n">
        <f aca="false">Sens!J5223</f>
        <v>31.5</v>
      </c>
      <c r="K5250" s="6" t="n">
        <f aca="false">Sens!K5223</f>
        <v>34.5</v>
      </c>
    </row>
    <row r="5251" customFormat="false" ht="15" hidden="false" customHeight="false" outlineLevel="0" collapsed="false">
      <c r="A5251" s="0" t="s">
        <v>1037</v>
      </c>
      <c r="B5251" s="0" t="s">
        <v>98</v>
      </c>
      <c r="D5251" s="6" t="n">
        <f aca="false">Sens!D5227</f>
        <v>35.391</v>
      </c>
      <c r="E5251" s="6" t="n">
        <f aca="false">Sens!E5227</f>
        <v>37.285</v>
      </c>
      <c r="F5251" s="6" t="n">
        <f aca="false">Sens!F5227</f>
        <v>38.3851437782675</v>
      </c>
      <c r="G5251" s="6" t="n">
        <f aca="false">Sens!G5227</f>
        <v>40.0105353288615</v>
      </c>
      <c r="H5251" s="6" t="n">
        <f aca="false">Sens!H5227</f>
        <v>41.4812512033683</v>
      </c>
      <c r="I5251" s="6" t="n">
        <f aca="false">Sens!I5227</f>
        <v>42.7743107216329</v>
      </c>
      <c r="J5251" s="6" t="n">
        <f aca="false">Sens!J5227</f>
        <v>43.8687373064601</v>
      </c>
      <c r="K5251" s="6" t="n">
        <f aca="false">Sens!K5227</f>
        <v>44.7461120525893</v>
      </c>
    </row>
    <row r="5252" customFormat="false" ht="15" hidden="false" customHeight="false" outlineLevel="0" collapsed="false">
      <c r="A5252" s="0" t="s">
        <v>1039</v>
      </c>
      <c r="B5252" s="0" t="s">
        <v>98</v>
      </c>
      <c r="D5252" s="6" t="n">
        <f aca="false">Sens!D5229</f>
        <v>18.417</v>
      </c>
      <c r="E5252" s="6" t="n">
        <f aca="false">Sens!E5229</f>
        <v>20.345</v>
      </c>
      <c r="F5252" s="6" t="n">
        <f aca="false">Sens!F5229</f>
        <v>22.3161797133988</v>
      </c>
      <c r="G5252" s="6" t="n">
        <f aca="false">Sens!G5229</f>
        <v>24.3943499673233</v>
      </c>
      <c r="H5252" s="6" t="n">
        <f aca="false">Sens!H5229</f>
        <v>26.5250243109019</v>
      </c>
      <c r="I5252" s="6" t="n">
        <f aca="false">Sens!I5229</f>
        <v>28.6884573538181</v>
      </c>
      <c r="J5252" s="6" t="n">
        <f aca="false">Sens!J5229</f>
        <v>30.8624968052127</v>
      </c>
      <c r="K5252" s="6" t="n">
        <f aca="false">Sens!K5229</f>
        <v>33.0228715815776</v>
      </c>
    </row>
    <row r="5253" customFormat="false" ht="15" hidden="false" customHeight="false" outlineLevel="0" collapsed="false">
      <c r="A5253" s="0" t="s">
        <v>1040</v>
      </c>
      <c r="B5253" s="0" t="s">
        <v>98</v>
      </c>
      <c r="D5253" s="6" t="n">
        <f aca="false">Sens!D5231</f>
        <v>7.76</v>
      </c>
      <c r="E5253" s="6" t="n">
        <f aca="false">Sens!E5231</f>
        <v>8.26</v>
      </c>
      <c r="F5253" s="6" t="n">
        <f aca="false">Sens!F5231</f>
        <v>8.75372082474227</v>
      </c>
      <c r="G5253" s="6" t="n">
        <f aca="false">Sens!G5231</f>
        <v>9.33399324642364</v>
      </c>
      <c r="H5253" s="6" t="n">
        <f aca="false">Sens!H5231</f>
        <v>9.96139155535851</v>
      </c>
      <c r="I5253" s="6" t="n">
        <f aca="false">Sens!I5231</f>
        <v>10.6402039077391</v>
      </c>
      <c r="J5253" s="6" t="n">
        <f aca="false">Sens!J5231</f>
        <v>11.3751458271397</v>
      </c>
      <c r="K5253" s="6" t="n">
        <f aca="false">Sens!K5231</f>
        <v>12.1714060350394</v>
      </c>
    </row>
    <row r="5254" customFormat="false" ht="15" hidden="false" customHeight="false" outlineLevel="0" collapsed="false">
      <c r="A5254" s="0" t="s">
        <v>856</v>
      </c>
      <c r="B5254" s="0" t="s">
        <v>98</v>
      </c>
      <c r="D5254" s="6" t="n">
        <f aca="false">Sens!D5233</f>
        <v>218.783</v>
      </c>
      <c r="E5254" s="6" t="n">
        <f aca="false">Sens!E5233</f>
        <v>268.127</v>
      </c>
      <c r="F5254" s="6" t="n">
        <f aca="false">Sens!F5233</f>
        <v>334.748096014336</v>
      </c>
      <c r="G5254" s="6" t="n">
        <f aca="false">Sens!G5233</f>
        <v>410.20243494969</v>
      </c>
      <c r="H5254" s="6" t="n">
        <f aca="false">Sens!H5233</f>
        <v>487.012857962939</v>
      </c>
      <c r="I5254" s="6" t="n">
        <f aca="false">Sens!I5233</f>
        <v>555.922966929834</v>
      </c>
      <c r="J5254" s="6" t="n">
        <f aca="false">Sens!J5233</f>
        <v>611.777530808814</v>
      </c>
      <c r="K5254" s="6" t="n">
        <f aca="false">Sens!K5233</f>
        <v>654.523546885522</v>
      </c>
    </row>
    <row r="5255" customFormat="false" ht="15" hidden="false" customHeight="false" outlineLevel="0" collapsed="false">
      <c r="A5255" s="0" t="s">
        <v>1041</v>
      </c>
      <c r="B5255" s="0" t="s">
        <v>98</v>
      </c>
      <c r="D5255" s="6" t="n">
        <f aca="false">Sens!D5234</f>
        <v>22.171</v>
      </c>
      <c r="E5255" s="6" t="n">
        <f aca="false">Sens!E5234</f>
        <v>24.835</v>
      </c>
      <c r="F5255" s="6" t="n">
        <f aca="false">Sens!F5234</f>
        <v>27.5591895660247</v>
      </c>
      <c r="G5255" s="6" t="n">
        <f aca="false">Sens!G5234</f>
        <v>30.4098563144583</v>
      </c>
      <c r="H5255" s="6" t="n">
        <f aca="false">Sens!H5234</f>
        <v>33.3011792571777</v>
      </c>
      <c r="I5255" s="6" t="n">
        <f aca="false">Sens!I5234</f>
        <v>36.189023797112</v>
      </c>
      <c r="J5255" s="6" t="n">
        <f aca="false">Sens!J5234</f>
        <v>39.0247773769199</v>
      </c>
      <c r="K5255" s="6" t="n">
        <f aca="false">Sens!K5234</f>
        <v>41.7565117933043</v>
      </c>
    </row>
    <row r="5256" customFormat="false" ht="15" hidden="false" customHeight="false" outlineLevel="0" collapsed="false">
      <c r="A5256" s="0" t="s">
        <v>1042</v>
      </c>
      <c r="B5256" s="0" t="s">
        <v>98</v>
      </c>
      <c r="D5256" s="6" t="n">
        <f aca="false">Sens!D5236</f>
        <v>23.455</v>
      </c>
      <c r="E5256" s="6" t="n">
        <f aca="false">Sens!E5236</f>
        <v>21.79</v>
      </c>
      <c r="F5256" s="6" t="n">
        <f aca="false">Sens!F5236</f>
        <v>20.7520981041711</v>
      </c>
      <c r="G5256" s="6" t="n">
        <f aca="false">Sens!G5236</f>
        <v>19.9083593495882</v>
      </c>
      <c r="H5256" s="6" t="n">
        <f aca="false">Sens!H5236</f>
        <v>19.4008256265831</v>
      </c>
      <c r="I5256" s="6" t="n">
        <f aca="false">Sens!I5236</f>
        <v>19.200434522122</v>
      </c>
      <c r="J5256" s="6" t="n">
        <f aca="false">Sens!J5236</f>
        <v>19.2932782348507</v>
      </c>
      <c r="K5256" s="6" t="n">
        <f aca="false">Sens!K5236</f>
        <v>19.6791437995477</v>
      </c>
    </row>
    <row r="5257" customFormat="false" ht="15" hidden="false" customHeight="false" outlineLevel="0" collapsed="false">
      <c r="A5257" s="0" t="s">
        <v>1043</v>
      </c>
      <c r="B5257" s="0" t="s">
        <v>98</v>
      </c>
      <c r="D5257" s="6" t="n">
        <f aca="false">Sens!D5238</f>
        <v>17.315</v>
      </c>
      <c r="E5257" s="6" t="n">
        <f aca="false">Sens!E5238</f>
        <v>17.087</v>
      </c>
      <c r="F5257" s="6" t="n">
        <f aca="false">Sens!F5238</f>
        <v>15.9912273250553</v>
      </c>
      <c r="G5257" s="6" t="n">
        <f aca="false">Sens!G5238</f>
        <v>15.9574562664827</v>
      </c>
      <c r="H5257" s="6" t="n">
        <f aca="false">Sens!H5238</f>
        <v>16.0119687434196</v>
      </c>
      <c r="I5257" s="6" t="n">
        <f aca="false">Sens!I5238</f>
        <v>16.1551810001948</v>
      </c>
      <c r="J5257" s="6" t="n">
        <f aca="false">Sens!J5238</f>
        <v>16.3889793892005</v>
      </c>
      <c r="K5257" s="6" t="n">
        <f aca="false">Sens!K5238</f>
        <v>16.7167589769845</v>
      </c>
    </row>
    <row r="5258" customFormat="false" ht="15" hidden="false" customHeight="false" outlineLevel="0" collapsed="false">
      <c r="A5258" s="0" t="s">
        <v>870</v>
      </c>
      <c r="B5258" s="0" t="s">
        <v>98</v>
      </c>
      <c r="D5258" s="6" t="n">
        <f aca="false">Sens!D5240</f>
        <v>62.941</v>
      </c>
      <c r="E5258" s="6" t="n">
        <f aca="false">Sens!E5240</f>
        <v>63.712</v>
      </c>
      <c r="F5258" s="6" t="n">
        <f aca="false">Sens!F5240</f>
        <v>64.3025149952511</v>
      </c>
      <c r="G5258" s="6" t="n">
        <f aca="false">Sens!G5240</f>
        <v>66.2756719305292</v>
      </c>
      <c r="H5258" s="6" t="n">
        <f aca="false">Sens!H5240</f>
        <v>68.7139736271804</v>
      </c>
      <c r="I5258" s="6" t="n">
        <f aca="false">Sens!I5240</f>
        <v>71.5446393194289</v>
      </c>
      <c r="J5258" s="6" t="n">
        <f aca="false">Sens!J5240</f>
        <v>74.707035000971</v>
      </c>
      <c r="K5258" s="6" t="n">
        <f aca="false">Sens!K5240</f>
        <v>78.1524145698365</v>
      </c>
    </row>
    <row r="5259" customFormat="false" ht="15" hidden="false" customHeight="false" outlineLevel="0" collapsed="false">
      <c r="A5259" s="1" t="s">
        <v>1059</v>
      </c>
      <c r="B5259" s="0" t="s">
        <v>98</v>
      </c>
      <c r="D5259" s="6" t="n">
        <f aca="false">Sens!D5241</f>
        <v>281.724</v>
      </c>
      <c r="E5259" s="6" t="n">
        <f aca="false">Sens!E5241</f>
        <v>331.839</v>
      </c>
      <c r="F5259" s="6" t="n">
        <f aca="false">Sens!F5241</f>
        <v>399.050611009588</v>
      </c>
      <c r="G5259" s="6" t="n">
        <f aca="false">Sens!G5241</f>
        <v>476.478106880219</v>
      </c>
      <c r="H5259" s="6" t="n">
        <f aca="false">Sens!H5241</f>
        <v>555.72683159012</v>
      </c>
      <c r="I5259" s="6" t="n">
        <f aca="false">Sens!I5241</f>
        <v>627.467606249263</v>
      </c>
      <c r="J5259" s="6" t="n">
        <f aca="false">Sens!J5241</f>
        <v>686.484565809785</v>
      </c>
      <c r="K5259" s="6" t="n">
        <f aca="false">Sens!K5241</f>
        <v>732.675961455358</v>
      </c>
    </row>
    <row r="5260" customFormat="false" ht="15" hidden="false" customHeight="false" outlineLevel="0" collapsed="false">
      <c r="A5260" s="1" t="s">
        <v>1060</v>
      </c>
      <c r="B5260" s="0" t="s">
        <v>168</v>
      </c>
      <c r="E5260" s="7" t="n">
        <f aca="false">Sens!E5259/Sens!D5259-1</f>
        <v>0.177886867998467</v>
      </c>
      <c r="F5260" s="7" t="n">
        <f aca="false">Sens!F5259/Sens!E5259-1</f>
        <v>0.202542832547071</v>
      </c>
      <c r="G5260" s="7" t="n">
        <f aca="false">Sens!G5259/Sens!F5259-1</f>
        <v>0.194029262791359</v>
      </c>
      <c r="H5260" s="7" t="n">
        <f aca="false">Sens!H5259/Sens!G5259-1</f>
        <v>0.166321859421387</v>
      </c>
      <c r="I5260" s="7" t="n">
        <f aca="false">Sens!I5259/Sens!H5259-1</f>
        <v>0.129093595236115</v>
      </c>
      <c r="J5260" s="7" t="n">
        <f aca="false">Sens!J5259/Sens!I5259-1</f>
        <v>0.0940557870601482</v>
      </c>
      <c r="K5260" s="7" t="n">
        <f aca="false">Sens!K5259/Sens!J5259-1</f>
        <v>0.0672868669539362</v>
      </c>
    </row>
    <row r="5261" customFormat="false" ht="17.15" hidden="false" customHeight="false" outlineLevel="0" collapsed="false">
      <c r="A5261" s="26" t="s">
        <v>1061</v>
      </c>
      <c r="B5261" s="31" t="s">
        <v>98</v>
      </c>
      <c r="C5261" s="31"/>
      <c r="D5261" s="27" t="n">
        <f aca="false">(Sens!D5254+Sens!D5258-Sens!D5259)+(Sens!D5246+Sens!D5247-Sens!D5245)+(Sens!D5249+Sens!D5250-Sens!D5248)+(Sens!D5259-Q!L18)</f>
        <v>0</v>
      </c>
      <c r="E5261" s="27" t="n">
        <f aca="false">(Sens!E5254+Sens!E5258-Sens!E5259)+(Sens!E5246+Sens!E5247-Sens!E5245)+(Sens!E5249+Sens!E5250-Sens!E5248)+(Sens!E5259-Q!M18)</f>
        <v>0</v>
      </c>
      <c r="F5261" s="27" t="n">
        <f aca="false">(Sens!F5254+Sens!F5258-Sens!F5259)+(Sens!F5246+Sens!F5247-Sens!F5245)+(Sens!F5249+Sens!F5250-Sens!F5248)</f>
        <v>0</v>
      </c>
      <c r="G5261" s="27" t="n">
        <f aca="false">(Sens!G5254+Sens!G5258-Sens!G5259)+(Sens!G5246+Sens!G5247-Sens!G5245)+(Sens!G5249+Sens!G5250-Sens!G5248)</f>
        <v>0</v>
      </c>
      <c r="H5261" s="27" t="n">
        <f aca="false">(Sens!H5254+Sens!H5258-Sens!H5259)+(Sens!H5246+Sens!H5247-Sens!H5245)+(Sens!H5249+Sens!H5250-Sens!H5248)</f>
        <v>0</v>
      </c>
      <c r="I5261" s="27" t="n">
        <f aca="false">(Sens!I5254+Sens!I5258-Sens!I5259)+(Sens!I5246+Sens!I5247-Sens!I5245)+(Sens!I5249+Sens!I5250-Sens!I5248)</f>
        <v>0</v>
      </c>
      <c r="J5261" s="27" t="n">
        <f aca="false">(Sens!J5254+Sens!J5258-Sens!J5259)+(Sens!J5246+Sens!J5247-Sens!J5245)+(Sens!J5249+Sens!J5250-Sens!J5248)</f>
        <v>0</v>
      </c>
      <c r="K5261" s="27" t="n">
        <f aca="false">(Sens!K5254+Sens!K5258-Sens!K5259)+(Sens!K5246+Sens!K5247-Sens!K5245)+(Sens!K5249+Sens!K5250-Sens!K5248)</f>
        <v>0</v>
      </c>
    </row>
    <row r="5262" customFormat="false" ht="17.15" hidden="false" customHeight="false" outlineLevel="0" collapsed="false">
      <c r="A5262" s="0" t="s">
        <v>1062</v>
      </c>
      <c r="B5262" s="0" t="s">
        <v>168</v>
      </c>
      <c r="E5262" s="7" t="n">
        <f aca="false">(Q!M21+Sens!E5198+Sens!E5199+Sens!E5200+Sens!E5214-Sens!E5196)/(Q!M5-Sens!E5196)</f>
        <v>0.562004564381674</v>
      </c>
      <c r="F5262" s="7" t="n">
        <f aca="false">Sens!$E$5262+dm_seg</f>
        <v>0.562004564381674</v>
      </c>
      <c r="G5262" s="7" t="n">
        <f aca="false">Sens!$E$5262+dm_seg</f>
        <v>0.562004564381674</v>
      </c>
      <c r="H5262" s="7" t="n">
        <f aca="false">Sens!$E$5262+dm_seg</f>
        <v>0.562004564381674</v>
      </c>
      <c r="I5262" s="7" t="n">
        <f aca="false">Sens!$E$5262+dm_seg</f>
        <v>0.562004564381674</v>
      </c>
      <c r="J5262" s="7" t="n">
        <f aca="false">Sens!$E$5262+dm_seg</f>
        <v>0.562004564381674</v>
      </c>
      <c r="K5262" s="7" t="n">
        <f aca="false">Sens!$E$5262+dm_seg</f>
        <v>0.562004564381674</v>
      </c>
      <c r="L5262" s="12" t="s">
        <v>1063</v>
      </c>
    </row>
    <row r="5263" customFormat="false" ht="17.15" hidden="false" customHeight="false" outlineLevel="0" collapsed="false">
      <c r="A5263" s="0" t="s">
        <v>884</v>
      </c>
      <c r="B5263" s="0" t="s">
        <v>98</v>
      </c>
      <c r="D5263" s="6" t="n">
        <f aca="false">Q!L21</f>
        <v>110.814</v>
      </c>
      <c r="E5263" s="6" t="n">
        <f aca="false">Q!M21</f>
        <v>136.365</v>
      </c>
      <c r="F5263" s="6" t="n">
        <f aca="false">Q!$I$21+(Sens!F5262*(Sens!F5233-Sens!F5196)+Sens!F5196-(Sens!F5198+Sens!F5199+Sens!F5200)-Sens!F5214-Sens!F5297)*(Sens!F5233-Q!$I$5)/Sens!F5233</f>
        <v>163.693220153398</v>
      </c>
      <c r="G5263" s="6" t="n">
        <f aca="false">(Sens!G5262*(Sens!G5233-Sens!G5196)+Sens!G5196-(Sens!G5198+Sens!G5199+Sens!G5200)-Sens!G5214-Sens!G5297)</f>
        <v>182.794253011656</v>
      </c>
      <c r="H5263" s="6" t="n">
        <f aca="false">(Sens!H5262*(Sens!H5233-Sens!H5196)+Sens!H5196-(Sens!H5198+Sens!H5199+Sens!H5200)-Sens!H5214-Sens!H5297)</f>
        <v>205.437267607951</v>
      </c>
      <c r="I5263" s="6" t="n">
        <f aca="false">(Sens!I5262*(Sens!I5233-Sens!I5196)+Sens!I5196-(Sens!I5198+Sens!I5199+Sens!I5200)-Sens!I5214-Sens!I5297)</f>
        <v>226.273154382719</v>
      </c>
      <c r="J5263" s="6" t="n">
        <f aca="false">(Sens!J5262*(Sens!J5233-Sens!J5196)+Sens!J5196-(Sens!J5198+Sens!J5199+Sens!J5200)-Sens!J5214-Sens!J5297)</f>
        <v>245.566439141708</v>
      </c>
      <c r="K5263" s="6" t="n">
        <f aca="false">(Sens!K5262*(Sens!K5233-Sens!K5196)+Sens!K5196-(Sens!K5198+Sens!K5199+Sens!K5200)-Sens!K5214-Sens!K5297)</f>
        <v>262.675715484551</v>
      </c>
      <c r="L5263" s="1" t="s">
        <v>1064</v>
      </c>
    </row>
    <row r="5264" customFormat="false" ht="17.15" hidden="false" customHeight="false" outlineLevel="0" collapsed="false">
      <c r="A5264" s="0" t="s">
        <v>1065</v>
      </c>
      <c r="B5264" s="0" t="s">
        <v>168</v>
      </c>
      <c r="E5264" s="7" t="n">
        <f aca="false">Q!M22/Q!M12</f>
        <v>0.296207935710698</v>
      </c>
      <c r="F5264" s="7" t="n">
        <f aca="false">Sens!$E$5264+dm_seg</f>
        <v>0.296207935710698</v>
      </c>
      <c r="G5264" s="7" t="n">
        <f aca="false">Sens!$E$5264+dm_seg</f>
        <v>0.296207935710698</v>
      </c>
      <c r="H5264" s="7" t="n">
        <f aca="false">Sens!$E$5264+dm_seg</f>
        <v>0.296207935710698</v>
      </c>
      <c r="I5264" s="7" t="n">
        <f aca="false">Sens!$E$5264+dm_seg</f>
        <v>0.296207935710698</v>
      </c>
      <c r="J5264" s="7" t="n">
        <f aca="false">Sens!$E$5264+dm_seg</f>
        <v>0.296207935710698</v>
      </c>
      <c r="K5264" s="7" t="n">
        <f aca="false">Sens!$E$5264+dm_seg</f>
        <v>0.296207935710698</v>
      </c>
      <c r="L5264" s="12" t="s">
        <v>1066</v>
      </c>
    </row>
    <row r="5265" customFormat="false" ht="17.15" hidden="false" customHeight="false" outlineLevel="0" collapsed="false">
      <c r="A5265" s="0" t="s">
        <v>886</v>
      </c>
      <c r="B5265" s="0" t="s">
        <v>98</v>
      </c>
      <c r="D5265" s="6" t="n">
        <f aca="false">Q!L22</f>
        <v>17.714</v>
      </c>
      <c r="E5265" s="6" t="n">
        <f aca="false">Q!M22</f>
        <v>18.872</v>
      </c>
      <c r="F5265" s="6" t="n">
        <f aca="false">Q!$I$22+(Sens!F5240-Q!$I$12)*Sens!F5264</f>
        <v>19.8174315512051</v>
      </c>
      <c r="G5265" s="6" t="n">
        <f aca="false">Sens!G5240*Sens!G5264</f>
        <v>19.6313799703815</v>
      </c>
      <c r="H5265" s="6" t="n">
        <f aca="false">Sens!H5240*Sens!H5264</f>
        <v>20.3536242825865</v>
      </c>
      <c r="I5265" s="6" t="n">
        <f aca="false">Sens!I5240*Sens!I5264</f>
        <v>21.1920899239745</v>
      </c>
      <c r="J5265" s="6" t="n">
        <f aca="false">Sens!J5240*Sens!J5264</f>
        <v>22.1288166207045</v>
      </c>
      <c r="K5265" s="6" t="n">
        <f aca="false">Sens!K5240*Sens!K5264</f>
        <v>23.1493653905379</v>
      </c>
      <c r="L5265" s="12" t="s">
        <v>1067</v>
      </c>
    </row>
    <row r="5266" customFormat="false" ht="15" hidden="false" customHeight="false" outlineLevel="0" collapsed="false">
      <c r="A5266" s="1" t="s">
        <v>1068</v>
      </c>
      <c r="B5266" s="0" t="s">
        <v>98</v>
      </c>
      <c r="D5266" s="6" t="n">
        <f aca="false">Sens!D5263+Sens!D5265</f>
        <v>128.528</v>
      </c>
      <c r="E5266" s="6" t="n">
        <f aca="false">Sens!E5263+Sens!E5265</f>
        <v>155.237</v>
      </c>
      <c r="F5266" s="6" t="n">
        <f aca="false">Sens!F5263+Sens!F5265</f>
        <v>183.510651704603</v>
      </c>
      <c r="G5266" s="6" t="n">
        <f aca="false">Sens!G5263+Sens!G5265</f>
        <v>202.425632982038</v>
      </c>
      <c r="H5266" s="6" t="n">
        <f aca="false">Sens!H5263+Sens!H5265</f>
        <v>225.790891890537</v>
      </c>
      <c r="I5266" s="6" t="n">
        <f aca="false">Sens!I5263+Sens!I5265</f>
        <v>247.465244306693</v>
      </c>
      <c r="J5266" s="6" t="n">
        <f aca="false">Sens!J5263+Sens!J5265</f>
        <v>267.695255762412</v>
      </c>
      <c r="K5266" s="6" t="n">
        <f aca="false">Sens!K5263+Sens!K5265</f>
        <v>285.825080875089</v>
      </c>
    </row>
    <row r="5267" customFormat="false" ht="15" hidden="false" customHeight="false" outlineLevel="0" collapsed="false">
      <c r="A5267" s="26" t="s">
        <v>1069</v>
      </c>
      <c r="B5267" s="31" t="s">
        <v>98</v>
      </c>
      <c r="C5267" s="31"/>
      <c r="D5267" s="27" t="n">
        <f aca="false">Sens!D5266-Q!L23</f>
        <v>0</v>
      </c>
      <c r="E5267" s="27" t="n">
        <f aca="false">Sens!E5266-Q!M23</f>
        <v>0</v>
      </c>
      <c r="F5267" s="31"/>
      <c r="G5267" s="31"/>
      <c r="H5267" s="31"/>
      <c r="I5267" s="31"/>
      <c r="J5267" s="31"/>
      <c r="K5267" s="31"/>
    </row>
    <row r="5268" customFormat="false" ht="15" hidden="false" customHeight="false" outlineLevel="0" collapsed="false">
      <c r="A5268" s="1" t="s">
        <v>1070</v>
      </c>
      <c r="B5268" s="0" t="s">
        <v>168</v>
      </c>
      <c r="D5268" s="7" t="n">
        <f aca="false">Sens!D5266/Sens!D5259</f>
        <v>0.456219562408598</v>
      </c>
      <c r="E5268" s="7" t="n">
        <f aca="false">Sens!E5266/Sens!E5259</f>
        <v>0.467808184089272</v>
      </c>
      <c r="F5268" s="7" t="n">
        <f aca="false">Sens!F5266/Sens!F5259</f>
        <v>0.459868113571673</v>
      </c>
      <c r="G5268" s="7" t="n">
        <f aca="false">Sens!G5266/Sens!G5259</f>
        <v>0.424837217196476</v>
      </c>
      <c r="H5268" s="7" t="n">
        <f aca="false">Sens!H5266/Sens!H5259</f>
        <v>0.406298344898112</v>
      </c>
      <c r="I5268" s="7" t="n">
        <f aca="false">Sens!I5266/Sens!I5259</f>
        <v>0.394387282852633</v>
      </c>
      <c r="J5268" s="7" t="n">
        <f aca="false">Sens!J5266/Sens!J5259</f>
        <v>0.389950873034758</v>
      </c>
      <c r="K5268" s="7" t="n">
        <f aca="false">Sens!K5266/Sens!K5259</f>
        <v>0.390111175897375</v>
      </c>
    </row>
    <row r="5269" customFormat="false" ht="17.15" hidden="false" customHeight="false" outlineLevel="0" collapsed="false">
      <c r="A5269" s="1" t="s">
        <v>1071</v>
      </c>
      <c r="B5269" s="0" t="s">
        <v>98</v>
      </c>
      <c r="F5269" s="6" t="n">
        <f aca="false">Sens!F5284</f>
        <v>9.80027408048209</v>
      </c>
      <c r="G5269" s="6" t="n">
        <f aca="false">Sens!G5284</f>
        <v>25.3894866238116</v>
      </c>
      <c r="H5269" s="6" t="n">
        <f aca="false">Sens!H5284</f>
        <v>42.4518901166064</v>
      </c>
      <c r="I5269" s="6" t="n">
        <f aca="false">Sens!I5284</f>
        <v>57.4659045810656</v>
      </c>
      <c r="J5269" s="6" t="n">
        <f aca="false">Sens!J5284</f>
        <v>67.997441867895</v>
      </c>
      <c r="K5269" s="6" t="n">
        <f aca="false">Sens!K5284</f>
        <v>73.1325361522323</v>
      </c>
      <c r="L5269" s="1" t="s">
        <v>1072</v>
      </c>
    </row>
    <row r="5270" customFormat="false" ht="17.15" hidden="false" customHeight="false" outlineLevel="0" collapsed="false">
      <c r="A5270" s="1" t="s">
        <v>1073</v>
      </c>
      <c r="B5270" s="0" t="s">
        <v>98</v>
      </c>
      <c r="D5270" s="6" t="n">
        <f aca="false">Sens!D5266</f>
        <v>128.528</v>
      </c>
      <c r="E5270" s="6" t="n">
        <f aca="false">Sens!E5266</f>
        <v>155.237</v>
      </c>
      <c r="F5270" s="6" t="n">
        <f aca="false">Sens!F5266+Sens!F5269</f>
        <v>193.310925785085</v>
      </c>
      <c r="G5270" s="6" t="n">
        <f aca="false">Sens!G5266+Sens!G5269</f>
        <v>227.815119605849</v>
      </c>
      <c r="H5270" s="6" t="n">
        <f aca="false">Sens!H5266+Sens!H5269</f>
        <v>268.242782007144</v>
      </c>
      <c r="I5270" s="6" t="n">
        <f aca="false">Sens!I5266+Sens!I5269</f>
        <v>304.931148887759</v>
      </c>
      <c r="J5270" s="6" t="n">
        <f aca="false">Sens!J5266+Sens!J5269</f>
        <v>335.692697630307</v>
      </c>
      <c r="K5270" s="6" t="n">
        <f aca="false">Sens!K5266+Sens!K5269</f>
        <v>358.957617027322</v>
      </c>
    </row>
    <row r="5271" customFormat="false" ht="17.15" hidden="false" customHeight="false" outlineLevel="0" collapsed="false">
      <c r="A5271" s="1" t="s">
        <v>1074</v>
      </c>
      <c r="B5271" s="0" t="s">
        <v>98</v>
      </c>
      <c r="E5271" s="6" t="n">
        <f aca="false">Sens!E5214</f>
        <v>14.1538947660714</v>
      </c>
      <c r="F5271" s="6" t="n">
        <f aca="false">Sens!F5214</f>
        <v>29.9978166232907</v>
      </c>
      <c r="G5271" s="6" t="n">
        <f aca="false">Sens!G5214</f>
        <v>52.6539689846527</v>
      </c>
      <c r="H5271" s="6" t="n">
        <f aca="false">Sens!H5214</f>
        <v>77.2140918476141</v>
      </c>
      <c r="I5271" s="6" t="n">
        <f aca="false">Sens!I5214</f>
        <v>98.4922948062968</v>
      </c>
      <c r="J5271" s="6" t="n">
        <f aca="false">Sens!J5214</f>
        <v>113.162027076484</v>
      </c>
      <c r="K5271" s="6" t="n">
        <f aca="false">Sens!K5214</f>
        <v>121.714210701983</v>
      </c>
    </row>
    <row r="5272" customFormat="false" ht="17.15" hidden="false" customHeight="false" outlineLevel="0" collapsed="false">
      <c r="A5272" s="1" t="s">
        <v>1075</v>
      </c>
      <c r="B5272" s="0" t="s">
        <v>98</v>
      </c>
      <c r="E5272" s="6" t="n">
        <f aca="false">Sens!E5296</f>
        <v>24.3801052339286</v>
      </c>
      <c r="F5272" s="6" t="n">
        <f aca="false">Sens!F5296</f>
        <v>25.5167043063238</v>
      </c>
      <c r="G5272" s="6" t="n">
        <f aca="false">Sens!G5296</f>
        <v>27.1010746211162</v>
      </c>
      <c r="H5272" s="6" t="n">
        <f aca="false">Sens!H5296</f>
        <v>29.0970216558607</v>
      </c>
      <c r="I5272" s="6" t="n">
        <f aca="false">Sens!I5296</f>
        <v>31.4360588583604</v>
      </c>
      <c r="J5272" s="6" t="n">
        <f aca="false">Sens!J5296</f>
        <v>34.0330244516952</v>
      </c>
      <c r="K5272" s="6" t="n">
        <f aca="false">Sens!K5296</f>
        <v>36.8019697125976</v>
      </c>
    </row>
    <row r="5273" customFormat="false" ht="17.15" hidden="false" customHeight="false" outlineLevel="0" collapsed="false">
      <c r="A5273" s="1" t="s">
        <v>1076</v>
      </c>
      <c r="B5273" s="0" t="s">
        <v>98</v>
      </c>
      <c r="D5273" s="6" t="n">
        <f aca="false">Q!L27</f>
        <v>-4.901</v>
      </c>
      <c r="E5273" s="6" t="n">
        <f aca="false">Q!M27</f>
        <v>10.697</v>
      </c>
      <c r="F5273" s="6" t="n">
        <f aca="false">Q!$I$27+oie_f*(q_per_yr-1)/q_per_yr</f>
        <v>-0.862</v>
      </c>
      <c r="G5273" s="6" t="n">
        <f aca="false">oie_f</f>
        <v>-1.2</v>
      </c>
      <c r="H5273" s="6" t="n">
        <f aca="false">oie_f</f>
        <v>-1.2</v>
      </c>
      <c r="I5273" s="6" t="n">
        <f aca="false">oie_f</f>
        <v>-1.2</v>
      </c>
      <c r="J5273" s="6" t="n">
        <f aca="false">oie_f</f>
        <v>-1.2</v>
      </c>
      <c r="K5273" s="6" t="n">
        <f aca="false">oie_f</f>
        <v>-1.2</v>
      </c>
      <c r="L5273" s="12" t="s">
        <v>1077</v>
      </c>
    </row>
    <row r="5274" customFormat="false" ht="15" hidden="false" customHeight="false" outlineLevel="0" collapsed="false">
      <c r="A5274" s="1" t="s">
        <v>1078</v>
      </c>
      <c r="B5274" s="0" t="s">
        <v>98</v>
      </c>
      <c r="D5274" s="6" t="n">
        <f aca="false">Sens!D5266+Sens!D5273</f>
        <v>123.627</v>
      </c>
      <c r="E5274" s="6" t="n">
        <f aca="false">Sens!E5266+Sens!E5273</f>
        <v>165.934</v>
      </c>
      <c r="F5274" s="6" t="n">
        <f aca="false">Sens!F5266+Sens!F5273</f>
        <v>182.648651704603</v>
      </c>
      <c r="G5274" s="6" t="n">
        <f aca="false">Sens!G5266+Sens!G5273</f>
        <v>201.225632982038</v>
      </c>
      <c r="H5274" s="6" t="n">
        <f aca="false">Sens!H5266+Sens!H5273</f>
        <v>224.590891890537</v>
      </c>
      <c r="I5274" s="6" t="n">
        <f aca="false">Sens!I5266+Sens!I5273</f>
        <v>246.265244306693</v>
      </c>
      <c r="J5274" s="6" t="n">
        <f aca="false">Sens!J5266+Sens!J5273</f>
        <v>266.495255762412</v>
      </c>
      <c r="K5274" s="6" t="n">
        <f aca="false">Sens!K5266+Sens!K5273</f>
        <v>284.625080875089</v>
      </c>
    </row>
    <row r="5275" customFormat="false" ht="15" hidden="false" customHeight="false" outlineLevel="0" collapsed="false">
      <c r="A5275" s="1" t="s">
        <v>1079</v>
      </c>
      <c r="B5275" s="0" t="s">
        <v>98</v>
      </c>
      <c r="D5275" s="6" t="n">
        <f aca="false">Q!L29</f>
        <v>21.795</v>
      </c>
      <c r="E5275" s="6" t="n">
        <f aca="false">Q!M29</f>
        <v>32.185</v>
      </c>
      <c r="F5275" s="6" t="n">
        <f aca="false">Q!$I$29+(Sens!F5274-Q!$I$28)*tax_f</f>
        <v>36.6631303409205</v>
      </c>
      <c r="G5275" s="6" t="n">
        <f aca="false">Sens!G5274*tax_f</f>
        <v>40.2451265964075</v>
      </c>
      <c r="H5275" s="6" t="n">
        <f aca="false">Sens!H5274*tax_f</f>
        <v>44.9181783781075</v>
      </c>
      <c r="I5275" s="6" t="n">
        <f aca="false">Sens!I5274*tax_f</f>
        <v>49.2530488613386</v>
      </c>
      <c r="J5275" s="6" t="n">
        <f aca="false">Sens!J5274*tax_f</f>
        <v>53.2990511524824</v>
      </c>
      <c r="K5275" s="6" t="n">
        <f aca="false">Sens!K5274*tax_f</f>
        <v>56.9250161750179</v>
      </c>
    </row>
    <row r="5276" customFormat="false" ht="15" hidden="false" customHeight="false" outlineLevel="0" collapsed="false">
      <c r="A5276" s="1" t="s">
        <v>1080</v>
      </c>
      <c r="B5276" s="0" t="s">
        <v>98</v>
      </c>
      <c r="D5276" s="6" t="n">
        <f aca="false">Sens!D5274-Sens!D5275</f>
        <v>101.832</v>
      </c>
      <c r="E5276" s="6" t="n">
        <f aca="false">Sens!E5274-Sens!E5275</f>
        <v>133.749</v>
      </c>
      <c r="F5276" s="6" t="n">
        <f aca="false">Sens!F5274-Sens!F5275</f>
        <v>145.985521363682</v>
      </c>
      <c r="G5276" s="6" t="n">
        <f aca="false">Sens!G5274-Sens!G5275</f>
        <v>160.98050638563</v>
      </c>
      <c r="H5276" s="6" t="n">
        <f aca="false">Sens!H5274-Sens!H5275</f>
        <v>179.67271351243</v>
      </c>
      <c r="I5276" s="6" t="n">
        <f aca="false">Sens!I5274-Sens!I5275</f>
        <v>197.012195445354</v>
      </c>
      <c r="J5276" s="6" t="n">
        <f aca="false">Sens!J5274-Sens!J5275</f>
        <v>213.19620460993</v>
      </c>
      <c r="K5276" s="6" t="n">
        <f aca="false">Sens!K5274-Sens!K5275</f>
        <v>227.700064700071</v>
      </c>
    </row>
    <row r="5277" customFormat="false" ht="17.15" hidden="false" customHeight="false" outlineLevel="0" collapsed="false">
      <c r="A5277" s="1" t="s">
        <v>1081</v>
      </c>
      <c r="B5277" s="1" t="s">
        <v>81</v>
      </c>
      <c r="D5277" s="15" t="n">
        <f aca="false">Q!L31</f>
        <v>7.465</v>
      </c>
      <c r="E5277" s="15" t="n">
        <f aca="false">Q!M31</f>
        <v>7.453</v>
      </c>
      <c r="F5277" s="15" t="n">
        <f aca="false">Sens!F5321</f>
        <v>7.4735</v>
      </c>
      <c r="G5277" s="15" t="n">
        <f aca="false">Sens!G5321</f>
        <v>7.5185</v>
      </c>
      <c r="H5277" s="15" t="n">
        <f aca="false">Sens!H5321</f>
        <v>7.5461999390288</v>
      </c>
      <c r="I5277" s="15" t="n">
        <f aca="false">Sens!I5321</f>
        <v>7.55788130308427</v>
      </c>
      <c r="J5277" s="15" t="n">
        <f aca="false">Sens!J5321</f>
        <v>7.57203071424674</v>
      </c>
      <c r="K5277" s="15" t="n">
        <f aca="false">Sens!K5321</f>
        <v>7.58846535421199</v>
      </c>
    </row>
    <row r="5278" customFormat="false" ht="17.15" hidden="false" customHeight="false" outlineLevel="0" collapsed="false">
      <c r="A5278" s="0" t="s">
        <v>1082</v>
      </c>
      <c r="B5278" s="0" t="s">
        <v>75</v>
      </c>
      <c r="D5278" s="8" t="n">
        <f aca="false">Sens!D5276/Sens!D5277</f>
        <v>13.641259209645</v>
      </c>
      <c r="E5278" s="8" t="n">
        <f aca="false">Sens!E5276/Sens!E5277</f>
        <v>17.9456594659869</v>
      </c>
      <c r="F5278" s="8" t="n">
        <f aca="false">Sens!F5276/Sens!F5277</f>
        <v>19.5337554510848</v>
      </c>
      <c r="G5278" s="8" t="n">
        <f aca="false">Sens!G5276/Sens!G5277</f>
        <v>21.411253093786</v>
      </c>
      <c r="H5278" s="8" t="n">
        <f aca="false">Sens!H5276/Sens!H5277</f>
        <v>23.8096942784628</v>
      </c>
      <c r="I5278" s="8" t="n">
        <f aca="false">Sens!I5276/Sens!I5277</f>
        <v>26.067119546447</v>
      </c>
      <c r="J5278" s="8" t="n">
        <f aca="false">Sens!J5276/Sens!J5277</f>
        <v>28.1557501092543</v>
      </c>
      <c r="K5278" s="8" t="n">
        <f aca="false">Sens!K5276/Sens!K5277</f>
        <v>30.0060755464458</v>
      </c>
      <c r="L5278" s="1" t="s">
        <v>1083</v>
      </c>
    </row>
    <row r="5279" customFormat="false" ht="17.15" hidden="false" customHeight="false" outlineLevel="0" collapsed="false">
      <c r="A5279" s="1" t="s">
        <v>1084</v>
      </c>
      <c r="B5279" s="0" t="s">
        <v>98</v>
      </c>
      <c r="D5279" s="6" t="n">
        <f aca="false">Sens!D5276</f>
        <v>101.832</v>
      </c>
      <c r="E5279" s="6" t="n">
        <f aca="false">Sens!E5276</f>
        <v>133.749</v>
      </c>
      <c r="F5279" s="6" t="n">
        <f aca="false">Sens!F5276+Sens!F5269*(1-tax_f)</f>
        <v>153.825740628068</v>
      </c>
      <c r="G5279" s="6" t="n">
        <f aca="false">Sens!G5276+Sens!G5269*(1-tax_f)</f>
        <v>181.292095684679</v>
      </c>
      <c r="H5279" s="6" t="n">
        <f aca="false">Sens!H5276+Sens!H5269*(1-tax_f)</f>
        <v>213.634225605715</v>
      </c>
      <c r="I5279" s="6" t="n">
        <f aca="false">Sens!I5276+Sens!I5269*(1-tax_f)</f>
        <v>242.984919110207</v>
      </c>
      <c r="J5279" s="6" t="n">
        <f aca="false">Sens!J5276+Sens!J5269*(1-tax_f)</f>
        <v>267.594158104246</v>
      </c>
      <c r="K5279" s="6" t="n">
        <f aca="false">Sens!K5276+Sens!K5269*(1-tax_f)</f>
        <v>286.206093621857</v>
      </c>
    </row>
    <row r="5280" customFormat="false" ht="17.15" hidden="false" customHeight="false" outlineLevel="0" collapsed="false">
      <c r="A5280" s="0" t="s">
        <v>1085</v>
      </c>
      <c r="B5280" s="0" t="s">
        <v>75</v>
      </c>
      <c r="D5280" s="8" t="n">
        <f aca="false">Sens!D5279/Sens!D5277</f>
        <v>13.641259209645</v>
      </c>
      <c r="E5280" s="8" t="n">
        <f aca="false">Sens!E5279/Sens!E5277</f>
        <v>17.9456594659869</v>
      </c>
      <c r="F5280" s="8" t="n">
        <f aca="false">Sens!F5279/Sens!F5277</f>
        <v>20.5828247311257</v>
      </c>
      <c r="G5280" s="8" t="n">
        <f aca="false">Sens!G5279/Sens!G5277</f>
        <v>24.112801181709</v>
      </c>
      <c r="H5280" s="8" t="n">
        <f aca="false">Sens!H5279/Sens!H5277</f>
        <v>28.310172978694</v>
      </c>
      <c r="I5280" s="8" t="n">
        <f aca="false">Sens!I5279/Sens!I5277</f>
        <v>32.1498723473003</v>
      </c>
      <c r="J5280" s="8" t="n">
        <f aca="false">Sens!J5279/Sens!J5277</f>
        <v>35.3398141400521</v>
      </c>
      <c r="K5280" s="8" t="n">
        <f aca="false">Sens!K5279/Sens!K5277</f>
        <v>37.7159386334943</v>
      </c>
      <c r="L5280" s="1" t="s">
        <v>1086</v>
      </c>
    </row>
    <row r="5281" customFormat="false" ht="17.15" hidden="false" customHeight="false" outlineLevel="0" collapsed="false">
      <c r="A5281" s="0" t="s">
        <v>1087</v>
      </c>
      <c r="B5281" s="0" t="s">
        <v>168</v>
      </c>
      <c r="E5281" s="7" t="n">
        <f aca="false">Sens!E5280/Sens!D5280-1</f>
        <v>0.315542736208578</v>
      </c>
      <c r="F5281" s="7" t="n">
        <f aca="false">Sens!F5280/Sens!E5280-1</f>
        <v>0.146952819991773</v>
      </c>
      <c r="G5281" s="7" t="n">
        <f aca="false">Sens!G5280/Sens!F5280-1</f>
        <v>0.171501069299067</v>
      </c>
      <c r="H5281" s="7" t="n">
        <f aca="false">Sens!H5280/Sens!G5280-1</f>
        <v>0.174072342958183</v>
      </c>
      <c r="I5281" s="7" t="n">
        <f aca="false">Sens!I5280/Sens!H5280-1</f>
        <v>0.135629668229017</v>
      </c>
      <c r="J5281" s="7" t="n">
        <f aca="false">Sens!J5280/Sens!I5280-1</f>
        <v>0.0992209784938585</v>
      </c>
      <c r="K5281" s="7" t="n">
        <f aca="false">Sens!K5280/Sens!J5280-1</f>
        <v>0.0672364739674531</v>
      </c>
    </row>
    <row r="5282" customFormat="false" ht="17.15" hidden="false" customHeight="false" outlineLevel="0" collapsed="false">
      <c r="A5282" s="0" t="s">
        <v>1007</v>
      </c>
      <c r="B5282" s="0" t="s">
        <v>98</v>
      </c>
      <c r="E5282" s="6" t="n">
        <f aca="false">Sens!E5223</f>
        <v>5.25</v>
      </c>
      <c r="F5282" s="6" t="n">
        <f aca="false">Sens!F5223</f>
        <v>12</v>
      </c>
      <c r="G5282" s="6" t="n">
        <f aca="false">Sens!G5223</f>
        <v>18</v>
      </c>
      <c r="H5282" s="6" t="n">
        <f aca="false">Sens!H5223</f>
        <v>24</v>
      </c>
      <c r="I5282" s="6" t="n">
        <f aca="false">Sens!I5223</f>
        <v>28.5</v>
      </c>
      <c r="J5282" s="6" t="n">
        <f aca="false">Sens!J5223</f>
        <v>31.5</v>
      </c>
      <c r="K5282" s="6" t="n">
        <f aca="false">Sens!K5223</f>
        <v>34.5</v>
      </c>
    </row>
    <row r="5283" customFormat="false" ht="17.15" hidden="false" customHeight="false" outlineLevel="0" collapsed="false">
      <c r="A5283" s="1" t="s">
        <v>1008</v>
      </c>
      <c r="B5283" s="0" t="s">
        <v>98</v>
      </c>
      <c r="F5283" s="6" t="n">
        <f aca="false">MAX(0,((Sens!E5183+Sens!F5183)/2-(shadow_base*(Sens!$D$5183+Sens!$E$5183)/2+(1-shadow_base)*Sens!$E$5183))*Sens!F5192/1000-(Sens!F5282-Sens!$E$5282)*Sens!F5262)</f>
        <v>9.80027408048209</v>
      </c>
      <c r="G5283" s="6" t="n">
        <f aca="false">MAX(0,((Sens!F5183+Sens!G5183)/2-(shadow_base*(Sens!$D$5183+Sens!$E$5183)/2+(1-shadow_base)*Sens!$E$5183))*Sens!G5192/1000-(Sens!G5282-Sens!$E$5282)*Sens!G5262)</f>
        <v>25.3894866238116</v>
      </c>
      <c r="H5283" s="6" t="n">
        <f aca="false">MAX(0,((Sens!G5183+Sens!H5183)/2-(shadow_base*(Sens!$D$5183+Sens!$E$5183)/2+(1-shadow_base)*Sens!$E$5183))*Sens!H5192/1000-(Sens!H5282-Sens!$E$5282)*Sens!H5262)</f>
        <v>42.4518901166064</v>
      </c>
      <c r="I5283" s="6" t="n">
        <f aca="false">MAX(0,((Sens!H5183+Sens!I5183)/2-(shadow_base*(Sens!$D$5183+Sens!$E$5183)/2+(1-shadow_base)*Sens!$E$5183))*Sens!I5192/1000-(Sens!I5282-Sens!$E$5282)*Sens!I5262)</f>
        <v>57.4659045810656</v>
      </c>
      <c r="J5283" s="6" t="n">
        <f aca="false">MAX(0,((Sens!I5183+Sens!J5183)/2-(shadow_base*(Sens!$D$5183+Sens!$E$5183)/2+(1-shadow_base)*Sens!$E$5183))*Sens!J5192/1000-(Sens!J5282-Sens!$E$5282)*Sens!J5262)</f>
        <v>67.997441867895</v>
      </c>
      <c r="K5283" s="6" t="n">
        <f aca="false">MAX(0,((Sens!J5183+Sens!K5183)/2-(shadow_base*(Sens!$D$5183+Sens!$E$5183)/2+(1-shadow_base)*Sens!$E$5183))*Sens!K5192/1000-(Sens!K5282-Sens!$E$5282)*Sens!K5262)</f>
        <v>73.1325361522323</v>
      </c>
      <c r="L5283" s="1" t="s">
        <v>1009</v>
      </c>
    </row>
    <row r="5284" customFormat="false" ht="17.15" hidden="false" customHeight="false" outlineLevel="0" collapsed="false">
      <c r="A5284" s="1" t="s">
        <v>1010</v>
      </c>
      <c r="B5284" s="0" t="s">
        <v>98</v>
      </c>
      <c r="F5284" s="6" t="n">
        <f aca="false">IF(internal_ai_reading=2,1,0)*Sens!F5283</f>
        <v>9.80027408048209</v>
      </c>
      <c r="G5284" s="6" t="n">
        <f aca="false">IF(internal_ai_reading=2,1,0)*Sens!G5283</f>
        <v>25.3894866238116</v>
      </c>
      <c r="H5284" s="6" t="n">
        <f aca="false">IF(internal_ai_reading=2,1,0)*Sens!H5283</f>
        <v>42.4518901166064</v>
      </c>
      <c r="I5284" s="6" t="n">
        <f aca="false">IF(internal_ai_reading=2,1,0)*Sens!I5283</f>
        <v>57.4659045810656</v>
      </c>
      <c r="J5284" s="6" t="n">
        <f aca="false">IF(internal_ai_reading=2,1,0)*Sens!J5283</f>
        <v>67.997441867895</v>
      </c>
      <c r="K5284" s="6" t="n">
        <f aca="false">IF(internal_ai_reading=2,1,0)*Sens!K5283</f>
        <v>73.1325361522323</v>
      </c>
    </row>
    <row r="5285" customFormat="false" ht="17.15" hidden="false" customHeight="false" outlineLevel="0" collapsed="false">
      <c r="A5285" s="0" t="s">
        <v>1011</v>
      </c>
      <c r="B5285" s="0" t="s">
        <v>98</v>
      </c>
      <c r="F5285" s="6" t="n">
        <f aca="false">Sens!F5202+Sens!F5282*Sens!F5262+Sens!F5284-Sens!F5203-Sens!F5214</f>
        <v>19.3497784821809</v>
      </c>
      <c r="G5285" s="6" t="n">
        <f aca="false">Sens!G5202+Sens!G5282*Sens!G5262+Sens!G5284-Sens!G5203-Sens!G5214</f>
        <v>39.0685173151341</v>
      </c>
      <c r="H5285" s="6" t="n">
        <f aca="false">Sens!H5202+Sens!H5282*Sens!H5262+Sens!H5284-Sens!H5203-Sens!H5214</f>
        <v>59.7201486557069</v>
      </c>
      <c r="I5285" s="6" t="n">
        <f aca="false">Sens!I5202+Sens!I5282*Sens!I5262+Sens!I5284-Sens!I5203-Sens!I5214</f>
        <v>76.99913561291</v>
      </c>
      <c r="J5285" s="6" t="n">
        <f aca="false">Sens!J5202+Sens!J5282*Sens!J5262+Sens!J5284-Sens!J5203-Sens!J5214</f>
        <v>89.4818263316784</v>
      </c>
      <c r="K5285" s="6" t="n">
        <f aca="false">Sens!K5202+Sens!K5282*Sens!K5262+Sens!K5284-Sens!K5203-Sens!K5214</f>
        <v>96.3844924827315</v>
      </c>
    </row>
    <row r="5286" customFormat="false" ht="17.15" hidden="false" customHeight="false" outlineLevel="0" collapsed="false">
      <c r="A5286" s="0" t="s">
        <v>1012</v>
      </c>
      <c r="B5286" s="0" t="s">
        <v>98</v>
      </c>
      <c r="E5286" s="6" t="n">
        <f aca="false">Sens!E5182*(cxit_open+self_build*tk_cxfac)/1000*ai_net_open</f>
        <v>126.6980382</v>
      </c>
      <c r="F5286" s="6" t="n">
        <f aca="false">Sens!E5286+Sens!F5211-Sens!F5214</f>
        <v>265.154125618829</v>
      </c>
      <c r="G5286" s="6" t="n">
        <f aca="false">Sens!F5286+Sens!G5211-Sens!G5214</f>
        <v>404.444632283224</v>
      </c>
      <c r="H5286" s="6" t="n">
        <f aca="false">Sens!G5286+Sens!H5211-Sens!H5214</f>
        <v>524.036544500123</v>
      </c>
      <c r="I5286" s="6" t="n">
        <f aca="false">Sens!H5286+Sens!I5211-Sens!I5214</f>
        <v>564.998338555436</v>
      </c>
      <c r="J5286" s="6" t="n">
        <f aca="false">Sens!I5286+Sens!J5211-Sens!J5214</f>
        <v>565.888311674893</v>
      </c>
      <c r="K5286" s="6" t="n">
        <f aca="false">Sens!J5286+Sens!K5211-Sens!K5214</f>
        <v>519.693395517643</v>
      </c>
      <c r="L5286" s="1" t="s">
        <v>1013</v>
      </c>
    </row>
    <row r="5287" customFormat="false" ht="17.15" hidden="false" customHeight="false" outlineLevel="0" collapsed="false">
      <c r="A5287" s="0" t="s">
        <v>1014</v>
      </c>
      <c r="B5287" s="0" t="s">
        <v>168</v>
      </c>
      <c r="F5287" s="7" t="n">
        <f aca="false">Sens!F5285*(1-tax_f)/((Sens!E5286+Sens!F5286)/2)</f>
        <v>0.0790084843982218</v>
      </c>
      <c r="G5287" s="7" t="n">
        <f aca="false">Sens!G5285*(1-tax_f)/((Sens!F5286+Sens!G5286)/2)</f>
        <v>0.0933538585108281</v>
      </c>
      <c r="H5287" s="7" t="n">
        <f aca="false">Sens!H5285*(1-tax_f)/((Sens!G5286+Sens!H5286)/2)</f>
        <v>0.102912412484402</v>
      </c>
      <c r="I5287" s="7" t="n">
        <f aca="false">Sens!I5285*(1-tax_f)/((Sens!H5286+Sens!I5286)/2)</f>
        <v>0.113126419454069</v>
      </c>
      <c r="J5287" s="7" t="n">
        <f aca="false">Sens!J5285*(1-tax_f)/((Sens!I5286+Sens!J5286)/2)</f>
        <v>0.126600594411054</v>
      </c>
      <c r="K5287" s="7" t="n">
        <f aca="false">Sens!K5285*(1-tax_f)/((Sens!J5286+Sens!K5286)/2)</f>
        <v>0.142057651626419</v>
      </c>
    </row>
    <row r="5288" customFormat="false" ht="17.15" hidden="false" customHeight="false" outlineLevel="0" collapsed="false">
      <c r="A5288" s="1" t="s">
        <v>1015</v>
      </c>
      <c r="B5288" s="0" t="s">
        <v>168</v>
      </c>
      <c r="F5288" s="7" t="n">
        <f aca="false">(Sens!F5285-Sens!F5284)*(1-tax_f)/((Sens!E5286+Sens!F5286)/2)</f>
        <v>0.038992274264389</v>
      </c>
      <c r="G5288" s="7" t="n">
        <f aca="false">(Sens!G5285-Sens!G5284)*(1-tax_f)/((Sens!F5286+Sens!G5286)/2)</f>
        <v>0.0326859165251281</v>
      </c>
      <c r="H5288" s="7" t="n">
        <f aca="false">(Sens!H5285-Sens!H5284)*(1-tax_f)/((Sens!G5286+Sens!H5286)/2)</f>
        <v>0.0297574300410485</v>
      </c>
      <c r="I5288" s="7" t="n">
        <f aca="false">(Sens!I5285-Sens!I5284)*(1-tax_f)/((Sens!H5286+Sens!I5286)/2)</f>
        <v>0.0286980427690823</v>
      </c>
      <c r="J5288" s="7" t="n">
        <f aca="false">(Sens!J5285-Sens!J5284)*(1-tax_f)/((Sens!I5286+Sens!J5286)/2)</f>
        <v>0.0303965168702382</v>
      </c>
      <c r="K5288" s="7" t="n">
        <f aca="false">(Sens!K5285-Sens!K5284)*(1-tax_f)/((Sens!J5286+Sens!K5286)/2)</f>
        <v>0.0342702257069265</v>
      </c>
    </row>
    <row r="5289" customFormat="false" ht="17.15" hidden="false" customHeight="false" outlineLevel="0" collapsed="false">
      <c r="A5289" s="1" t="s">
        <v>1016</v>
      </c>
      <c r="B5289" s="0" t="s">
        <v>168</v>
      </c>
      <c r="F5289" s="7" t="n">
        <f aca="false">(Sens!F5285-Sens!F5284+Sens!F5283)*(1-tax_f)/((Sens!E5286+Sens!F5286)/2)</f>
        <v>0.0790084843982218</v>
      </c>
      <c r="G5289" s="7" t="n">
        <f aca="false">(Sens!G5285-Sens!G5284+Sens!G5283)*(1-tax_f)/((Sens!F5286+Sens!G5286)/2)</f>
        <v>0.0933538585108281</v>
      </c>
      <c r="H5289" s="7" t="n">
        <f aca="false">(Sens!H5285-Sens!H5284+Sens!H5283)*(1-tax_f)/((Sens!G5286+Sens!H5286)/2)</f>
        <v>0.102912412484402</v>
      </c>
      <c r="I5289" s="7" t="n">
        <f aca="false">(Sens!I5285-Sens!I5284+Sens!I5283)*(1-tax_f)/((Sens!H5286+Sens!I5286)/2)</f>
        <v>0.113126419454069</v>
      </c>
      <c r="J5289" s="7" t="n">
        <f aca="false">(Sens!J5285-Sens!J5284+Sens!J5283)*(1-tax_f)/((Sens!I5286+Sens!J5286)/2)</f>
        <v>0.126600594411054</v>
      </c>
      <c r="K5289" s="7" t="n">
        <f aca="false">(Sens!K5285-Sens!K5284+Sens!K5283)*(1-tax_f)/((Sens!J5286+Sens!K5286)/2)</f>
        <v>0.142057651626419</v>
      </c>
    </row>
    <row r="5290" customFormat="false" ht="17.15" hidden="false" customHeight="false" outlineLevel="0" collapsed="false">
      <c r="A5290" s="1" t="s">
        <v>1017</v>
      </c>
      <c r="B5290" s="0" t="s">
        <v>168</v>
      </c>
      <c r="F5290" s="7" t="n">
        <f aca="false">Sens!F5215*(1-tax_f)/(Sens!F5201*(Sens!E5286+Sens!F5286)/2)</f>
        <v>0.146490174050179</v>
      </c>
      <c r="G5290" s="7" t="n">
        <f aca="false">Sens!G5215*(1-tax_f)/(Sens!G5201*(Sens!F5286+Sens!G5286)/2)</f>
        <v>0.143228768859168</v>
      </c>
      <c r="H5290" s="7" t="n">
        <f aca="false">Sens!H5215*(1-tax_f)/(Sens!H5201*(Sens!G5286+Sens!H5286)/2)</f>
        <v>0.146067546611654</v>
      </c>
      <c r="I5290" s="7" t="n">
        <f aca="false">Sens!I5215*(1-tax_f)/(Sens!I5201*(Sens!H5286+Sens!I5286)/2)</f>
        <v>0.154867037978773</v>
      </c>
      <c r="J5290" s="7" t="n">
        <f aca="false">Sens!J5215*(1-tax_f)/(Sens!J5201*(Sens!I5286+Sens!J5286)/2)</f>
        <v>0.170258639050135</v>
      </c>
      <c r="K5290" s="7" t="n">
        <f aca="false">Sens!K5215*(1-tax_f)/(Sens!K5201*(Sens!J5286+Sens!K5286)/2)</f>
        <v>0.18971524722865</v>
      </c>
    </row>
    <row r="5291" customFormat="false" ht="17.15" hidden="false" customHeight="false" outlineLevel="0" collapsed="false">
      <c r="A5291" s="0" t="s">
        <v>1018</v>
      </c>
      <c r="B5291" s="0" t="s">
        <v>253</v>
      </c>
      <c r="F5291" s="7" t="n">
        <f aca="false">Sens!F5287-wacc</f>
        <v>-0.0239281065473755</v>
      </c>
      <c r="G5291" s="7" t="n">
        <f aca="false">Sens!G5287-wacc</f>
        <v>-0.00958273243476919</v>
      </c>
      <c r="H5291" s="7" t="n">
        <f aca="false">Sens!H5287-wacc</f>
        <v>-2.41784611949708E-005</v>
      </c>
      <c r="I5291" s="7" t="n">
        <f aca="false">Sens!I5287-wacc</f>
        <v>0.0101898285084716</v>
      </c>
      <c r="J5291" s="7" t="n">
        <f aca="false">Sens!J5287-wacc</f>
        <v>0.0236640034654568</v>
      </c>
      <c r="K5291" s="7" t="n">
        <f aca="false">Sens!K5287-wacc</f>
        <v>0.0391210606808217</v>
      </c>
    </row>
    <row r="5292" customFormat="false" ht="17.15" hidden="false" customHeight="false" outlineLevel="0" collapsed="false">
      <c r="A5292" s="0" t="s">
        <v>1019</v>
      </c>
      <c r="B5292" s="0" t="s">
        <v>98</v>
      </c>
      <c r="F5292" s="6" t="n">
        <f aca="false">Sens!F5285*(1-tax_f)-wacc*(Sens!E5286+Sens!F5286)/2</f>
        <v>-4.68814016333828</v>
      </c>
      <c r="G5292" s="6" t="n">
        <f aca="false">Sens!G5285*(1-tax_f)-wacc*(Sens!F5286+Sens!G5286)/2</f>
        <v>-3.20829286781459</v>
      </c>
      <c r="H5292" s="6" t="n">
        <f aca="false">Sens!H5285*(1-tax_f)-wacc*(Sens!G5286+Sens!H5286)/2</f>
        <v>-0.0112246230515609</v>
      </c>
      <c r="I5292" s="6" t="n">
        <f aca="false">Sens!I5285*(1-tax_f)-wacc*(Sens!H5286+Sens!I5286)/2</f>
        <v>5.54853934903981</v>
      </c>
      <c r="J5292" s="6" t="n">
        <f aca="false">Sens!J5285*(1-tax_f)-wacc*(Sens!I5286+Sens!J5286)/2</f>
        <v>13.3806528050446</v>
      </c>
      <c r="K5292" s="6" t="n">
        <f aca="false">Sens!K5285*(1-tax_f)-wacc*(Sens!J5286+Sens!K5286)/2</f>
        <v>21.2345539205346</v>
      </c>
    </row>
    <row r="5293" customFormat="false" ht="17.15" hidden="false" customHeight="false" outlineLevel="0" collapsed="false">
      <c r="A5293" s="3" t="s">
        <v>1743</v>
      </c>
    </row>
    <row r="5294" customFormat="false" ht="15" hidden="false" customHeight="false" outlineLevel="0" collapsed="false">
      <c r="A5294" s="4" t="s">
        <v>43</v>
      </c>
      <c r="B5294" s="4" t="s">
        <v>65</v>
      </c>
      <c r="C5294" s="23" t="s">
        <v>942</v>
      </c>
      <c r="D5294" s="23" t="s">
        <v>943</v>
      </c>
      <c r="E5294" s="23" t="s">
        <v>944</v>
      </c>
      <c r="F5294" s="23" t="s">
        <v>945</v>
      </c>
      <c r="G5294" s="23" t="s">
        <v>946</v>
      </c>
      <c r="H5294" s="23" t="s">
        <v>947</v>
      </c>
      <c r="I5294" s="23" t="s">
        <v>948</v>
      </c>
      <c r="J5294" s="23" t="s">
        <v>949</v>
      </c>
      <c r="K5294" s="23" t="s">
        <v>950</v>
      </c>
      <c r="L5294" s="4" t="s">
        <v>47</v>
      </c>
    </row>
    <row r="5295" customFormat="false" ht="15" hidden="false" customHeight="false" outlineLevel="0" collapsed="false">
      <c r="A5295" s="1" t="s">
        <v>1080</v>
      </c>
      <c r="B5295" s="0" t="s">
        <v>98</v>
      </c>
      <c r="F5295" s="6" t="n">
        <f aca="false">Sens!F5276</f>
        <v>145.985521363682</v>
      </c>
      <c r="G5295" s="6" t="n">
        <f aca="false">Sens!G5276</f>
        <v>160.98050638563</v>
      </c>
      <c r="H5295" s="6" t="n">
        <f aca="false">Sens!H5276</f>
        <v>179.67271351243</v>
      </c>
      <c r="I5295" s="6" t="n">
        <f aca="false">Sens!I5276</f>
        <v>197.012195445354</v>
      </c>
      <c r="J5295" s="6" t="n">
        <f aca="false">Sens!J5276</f>
        <v>213.19620460993</v>
      </c>
      <c r="K5295" s="6" t="n">
        <f aca="false">Sens!K5276</f>
        <v>227.700064700071</v>
      </c>
    </row>
    <row r="5296" customFormat="false" ht="17.15" hidden="false" customHeight="false" outlineLevel="0" collapsed="false">
      <c r="A5296" s="1" t="s">
        <v>1102</v>
      </c>
      <c r="B5296" s="0" t="s">
        <v>98</v>
      </c>
      <c r="E5296" s="6" t="n">
        <f aca="false">Q!M38-Sens!E5214</f>
        <v>24.3801052339286</v>
      </c>
      <c r="F5296" s="6" t="n">
        <f aca="false">Sens!E5296*(1-1/life_nonai)+(Sens!F5304+Sens!F5305)/life_nonai</f>
        <v>25.5167043063238</v>
      </c>
      <c r="G5296" s="6" t="n">
        <f aca="false">Sens!F5296*(1-1/life_nonai)+(Sens!G5304)/life_nonai</f>
        <v>27.1010746211162</v>
      </c>
      <c r="H5296" s="6" t="n">
        <f aca="false">Sens!G5296*(1-1/life_nonai)+(Sens!H5304)/life_nonai</f>
        <v>29.0970216558607</v>
      </c>
      <c r="I5296" s="6" t="n">
        <f aca="false">Sens!H5296*(1-1/life_nonai)+(Sens!I5304)/life_nonai</f>
        <v>31.4360588583604</v>
      </c>
      <c r="J5296" s="6" t="n">
        <f aca="false">Sens!I5296*(1-1/life_nonai)+(Sens!J5304)/life_nonai</f>
        <v>34.0330244516952</v>
      </c>
      <c r="K5296" s="6" t="n">
        <f aca="false">Sens!J5296*(1-1/life_nonai)+(Sens!K5304)/life_nonai</f>
        <v>36.8019697125976</v>
      </c>
      <c r="L5296" s="12" t="s">
        <v>1103</v>
      </c>
    </row>
    <row r="5297" customFormat="false" ht="17.15" hidden="false" customHeight="false" outlineLevel="0" collapsed="false">
      <c r="A5297" s="1" t="s">
        <v>1104</v>
      </c>
      <c r="B5297" s="0" t="s">
        <v>98</v>
      </c>
      <c r="F5297" s="6" t="n">
        <f aca="false">Sens!$F$5305/life_nonai*(1-1/life_nonai)^(Sens!F5177-2027)</f>
        <v>1.94586576753864E-006</v>
      </c>
      <c r="G5297" s="6" t="n">
        <f aca="false">Sens!$F$5305/life_nonai*(1-1/life_nonai)^(Sens!G5177-2027)</f>
        <v>1.75127919078477E-006</v>
      </c>
      <c r="H5297" s="6" t="n">
        <f aca="false">Sens!$F$5305/life_nonai*(1-1/life_nonai)^(Sens!H5177-2027)</f>
        <v>1.57615127170629E-006</v>
      </c>
      <c r="I5297" s="6" t="n">
        <f aca="false">Sens!$F$5305/life_nonai*(1-1/life_nonai)^(Sens!I5177-2027)</f>
        <v>1.41853614453567E-006</v>
      </c>
      <c r="J5297" s="6" t="n">
        <f aca="false">Sens!$F$5305/life_nonai*(1-1/life_nonai)^(Sens!J5177-2027)</f>
        <v>1.2766825300821E-006</v>
      </c>
      <c r="K5297" s="6" t="n">
        <f aca="false">Sens!$F$5305/life_nonai*(1-1/life_nonai)^(Sens!K5177-2027)</f>
        <v>1.14901427707389E-006</v>
      </c>
      <c r="L5297" s="1" t="s">
        <v>1105</v>
      </c>
    </row>
    <row r="5298" customFormat="false" ht="17.15" hidden="false" customHeight="false" outlineLevel="0" collapsed="false">
      <c r="A5298" s="1" t="s">
        <v>1106</v>
      </c>
      <c r="B5298" s="0" t="s">
        <v>98</v>
      </c>
      <c r="E5298" s="6" t="n">
        <f aca="false">Sens!E5214+Sens!E5296</f>
        <v>38.534</v>
      </c>
      <c r="F5298" s="6" t="n">
        <f aca="false">Sens!F5214+Sens!F5296</f>
        <v>55.5145209296144</v>
      </c>
      <c r="G5298" s="6" t="n">
        <f aca="false">Sens!G5214+Sens!G5296</f>
        <v>79.7550436057689</v>
      </c>
      <c r="H5298" s="6" t="n">
        <f aca="false">Sens!H5214+Sens!H5296</f>
        <v>106.311113503475</v>
      </c>
      <c r="I5298" s="6" t="n">
        <f aca="false">Sens!I5214+Sens!I5296</f>
        <v>129.928353664657</v>
      </c>
      <c r="J5298" s="6" t="n">
        <f aca="false">Sens!J5214+Sens!J5296</f>
        <v>147.195051528179</v>
      </c>
      <c r="K5298" s="6" t="n">
        <f aca="false">Sens!K5214+Sens!K5296</f>
        <v>158.51618041458</v>
      </c>
    </row>
    <row r="5299" customFormat="false" ht="17.15" hidden="false" customHeight="false" outlineLevel="0" collapsed="false">
      <c r="A5299" s="1" t="s">
        <v>1107</v>
      </c>
      <c r="B5299" s="0" t="s">
        <v>98</v>
      </c>
      <c r="F5299" s="6" t="n">
        <f aca="false">Sens!F5241*sbc_r</f>
        <v>14.9175438377464</v>
      </c>
      <c r="G5299" s="6" t="n">
        <f aca="false">Sens!G5241*sbc_r</f>
        <v>17.8119838712421</v>
      </c>
      <c r="H5299" s="6" t="n">
        <f aca="false">Sens!H5241*sbc_r</f>
        <v>20.7745061486909</v>
      </c>
      <c r="I5299" s="6" t="n">
        <f aca="false">Sens!I5241*sbc_r</f>
        <v>23.4563618366802</v>
      </c>
      <c r="J5299" s="6" t="n">
        <f aca="false">Sens!J5241*sbc_r</f>
        <v>25.6625684107967</v>
      </c>
      <c r="K5299" s="6" t="n">
        <f aca="false">Sens!K5241*sbc_r</f>
        <v>27.3893222371503</v>
      </c>
    </row>
    <row r="5300" customFormat="false" ht="17.15" hidden="false" customHeight="false" outlineLevel="0" collapsed="false">
      <c r="A5300" s="1" t="s">
        <v>1108</v>
      </c>
      <c r="B5300" s="0" t="s">
        <v>98</v>
      </c>
      <c r="F5300" s="6" t="n">
        <f aca="false">wc27-wc26q1</f>
        <v>-4.677</v>
      </c>
      <c r="G5300" s="6" t="n">
        <f aca="false">wc_f</f>
        <v>0</v>
      </c>
      <c r="H5300" s="6" t="n">
        <f aca="false">wc_f</f>
        <v>0</v>
      </c>
      <c r="I5300" s="6" t="n">
        <f aca="false">wc_f</f>
        <v>0</v>
      </c>
      <c r="J5300" s="6" t="n">
        <f aca="false">wc_f</f>
        <v>0</v>
      </c>
      <c r="K5300" s="6" t="n">
        <f aca="false">wc_f</f>
        <v>0</v>
      </c>
      <c r="L5300" s="12" t="s">
        <v>1109</v>
      </c>
    </row>
    <row r="5301" customFormat="false" ht="17.15" hidden="false" customHeight="false" outlineLevel="0" collapsed="false">
      <c r="A5301" s="0" t="s">
        <v>1110</v>
      </c>
      <c r="B5301" s="0" t="s">
        <v>98</v>
      </c>
      <c r="F5301" s="6" t="n">
        <f aca="false">Q!$I$35-Q!$I$26-Q!$I$38-Q!$I$39</f>
        <v>6.493</v>
      </c>
      <c r="L5301" s="1" t="s">
        <v>1111</v>
      </c>
    </row>
    <row r="5302" customFormat="false" ht="15" hidden="false" customHeight="false" outlineLevel="0" collapsed="false">
      <c r="A5302" s="1" t="s">
        <v>908</v>
      </c>
      <c r="B5302" s="0" t="s">
        <v>98</v>
      </c>
      <c r="E5302" s="6" t="n">
        <f aca="false">Q!M35</f>
        <v>182.935</v>
      </c>
      <c r="F5302" s="6" t="n">
        <f aca="false">Sens!F5295+Sens!F5298+Sens!F5299+Sens!F5300+Sens!F5301</f>
        <v>218.233586131043</v>
      </c>
      <c r="G5302" s="6" t="n">
        <f aca="false">Sens!G5295+Sens!G5298+Sens!G5299+Sens!G5300</f>
        <v>258.547533862641</v>
      </c>
      <c r="H5302" s="6" t="n">
        <f aca="false">Sens!H5295+Sens!H5298+Sens!H5299+Sens!H5300</f>
        <v>306.758333164596</v>
      </c>
      <c r="I5302" s="6" t="n">
        <f aca="false">Sens!I5295+Sens!I5298+Sens!I5299+Sens!I5300</f>
        <v>350.396910946692</v>
      </c>
      <c r="J5302" s="6" t="n">
        <f aca="false">Sens!J5295+Sens!J5298+Sens!J5299+Sens!J5300</f>
        <v>386.053824548905</v>
      </c>
      <c r="K5302" s="6" t="n">
        <f aca="false">Sens!K5295+Sens!K5298+Sens!K5299+Sens!K5300</f>
        <v>413.605567351802</v>
      </c>
    </row>
    <row r="5303" customFormat="false" ht="17.15" hidden="false" customHeight="false" outlineLevel="0" collapsed="false">
      <c r="A5303" s="0" t="s">
        <v>1112</v>
      </c>
      <c r="B5303" s="0" t="s">
        <v>98</v>
      </c>
      <c r="F5303" s="6" t="n">
        <f aca="false">Sens!F5211</f>
        <v>168.45390404212</v>
      </c>
      <c r="G5303" s="6" t="n">
        <f aca="false">Sens!G5211</f>
        <v>191.944475649048</v>
      </c>
      <c r="H5303" s="6" t="n">
        <f aca="false">Sens!H5211</f>
        <v>196.806004064512</v>
      </c>
      <c r="I5303" s="6" t="n">
        <f aca="false">Sens!I5211</f>
        <v>139.45408886161</v>
      </c>
      <c r="J5303" s="6" t="n">
        <f aca="false">Sens!J5211</f>
        <v>114.05200019594</v>
      </c>
      <c r="K5303" s="6" t="n">
        <f aca="false">Sens!K5211</f>
        <v>75.5192945447327</v>
      </c>
    </row>
    <row r="5304" customFormat="false" ht="17.15" hidden="false" customHeight="false" outlineLevel="0" collapsed="false">
      <c r="A5304" s="1" t="s">
        <v>1113</v>
      </c>
      <c r="B5304" s="0" t="s">
        <v>98</v>
      </c>
      <c r="E5304" s="6" t="n">
        <f aca="false">Sens!E5219*cx_azo+Sens!E5226*cx_m365+Sens!E5227*cx_lic+(Sens!E5229+Sens!E5231)*cx_ind+Sens!E5234*cx_srch+(Sens!E5236+Sens!E5238)*cx_dev</f>
        <v>30.1846587067718</v>
      </c>
      <c r="F5304" s="6" t="n">
        <f aca="false">Sens!F5219*cx_azo+Sens!F5226*cx_m365+Sens!F5227*cx_lic+(Sens!F5229+Sens!F5231)*cx_ind+Sens!F5234*cx_srch+(Sens!F5236+Sens!F5238)*cx_dev</f>
        <v>35.7460764992227</v>
      </c>
      <c r="G5304" s="6" t="n">
        <f aca="false">Sens!G5219*cx_azo+Sens!G5226*cx_m365+Sens!G5227*cx_lic+(Sens!G5229+Sens!G5231)*cx_ind+Sens!G5234*cx_srch+(Sens!G5236+Sens!G5238)*cx_dev</f>
        <v>41.360407454248</v>
      </c>
      <c r="H5304" s="6" t="n">
        <f aca="false">Sens!H5219*cx_azo+Sens!H5226*cx_m365+Sens!H5227*cx_lic+(Sens!H5229+Sens!H5231)*cx_ind+Sens!H5234*cx_srch+(Sens!H5236+Sens!H5238)*cx_dev</f>
        <v>47.0605449685615</v>
      </c>
      <c r="I5304" s="6" t="n">
        <f aca="false">Sens!I5219*cx_azo+Sens!I5226*cx_m365+Sens!I5227*cx_lic+(Sens!I5229+Sens!I5231)*cx_ind+Sens!I5234*cx_srch+(Sens!I5236+Sens!I5238)*cx_dev</f>
        <v>52.4873936808571</v>
      </c>
      <c r="J5304" s="6" t="n">
        <f aca="false">Sens!J5219*cx_azo+Sens!J5226*cx_m365+Sens!J5227*cx_lic+(Sens!J5229+Sens!J5231)*cx_ind+Sens!J5234*cx_srch+(Sens!J5236+Sens!J5238)*cx_dev</f>
        <v>57.4057147917091</v>
      </c>
      <c r="K5304" s="6" t="n">
        <f aca="false">Sens!K5219*cx_azo+Sens!K5226*cx_m365+Sens!K5227*cx_lic+(Sens!K5229+Sens!K5231)*cx_ind+Sens!K5234*cx_srch+(Sens!K5236+Sens!K5238)*cx_dev</f>
        <v>61.7224770607185</v>
      </c>
    </row>
    <row r="5305" customFormat="false" ht="17.15" hidden="false" customHeight="false" outlineLevel="0" collapsed="false">
      <c r="A5305" s="0" t="s">
        <v>1114</v>
      </c>
      <c r="B5305" s="0" t="s">
        <v>98</v>
      </c>
      <c r="F5305" s="6" t="n">
        <f aca="false">Sens!F5209</f>
        <v>1.94586576753863E-005</v>
      </c>
      <c r="L5305" s="1" t="s">
        <v>1115</v>
      </c>
    </row>
    <row r="5306" customFormat="false" ht="17.15" hidden="false" customHeight="false" outlineLevel="0" collapsed="false">
      <c r="A5306" s="1" t="s">
        <v>1116</v>
      </c>
      <c r="B5306" s="0" t="s">
        <v>98</v>
      </c>
      <c r="E5306" s="6" t="n">
        <f aca="false">Q!M43</f>
        <v>145.3</v>
      </c>
      <c r="F5306" s="6" t="n">
        <f aca="false">Sens!F5303+Sens!F5304+Sens!F5305</f>
        <v>204.2</v>
      </c>
      <c r="G5306" s="6" t="n">
        <f aca="false">Sens!G5303+Sens!G5304</f>
        <v>233.304883103296</v>
      </c>
      <c r="H5306" s="6" t="n">
        <f aca="false">Sens!H5303+Sens!H5304</f>
        <v>243.866549033074</v>
      </c>
      <c r="I5306" s="6" t="n">
        <f aca="false">Sens!I5303+Sens!I5304</f>
        <v>191.941482542467</v>
      </c>
      <c r="J5306" s="6" t="n">
        <f aca="false">Sens!J5303+Sens!J5304</f>
        <v>171.45771498765</v>
      </c>
      <c r="K5306" s="6" t="n">
        <f aca="false">Sens!K5303+Sens!K5304</f>
        <v>137.241771605451</v>
      </c>
      <c r="L5306" s="1" t="s">
        <v>1117</v>
      </c>
    </row>
    <row r="5307" customFormat="false" ht="15" hidden="false" customHeight="false" outlineLevel="0" collapsed="false">
      <c r="A5307" s="1" t="s">
        <v>1118</v>
      </c>
      <c r="B5307" s="0" t="s">
        <v>98</v>
      </c>
      <c r="E5307" s="6" t="n">
        <f aca="false">fl_liab</f>
        <v>66.594</v>
      </c>
      <c r="F5307" s="6" t="n">
        <f aca="false">Sens!E5307-Sens!F5308</f>
        <v>62.46973</v>
      </c>
      <c r="G5307" s="6" t="n">
        <f aca="false">Sens!F5307-Sens!G5308</f>
        <v>57.98686785</v>
      </c>
      <c r="H5307" s="6" t="n">
        <f aca="false">Sens!G5307-Sens!H5308</f>
        <v>53.92827690325</v>
      </c>
      <c r="I5307" s="6" t="n">
        <f aca="false">Sens!H5307-Sens!I5308</f>
        <v>49.7850493638962</v>
      </c>
      <c r="J5307" s="6" t="n">
        <f aca="false">Sens!I5307-Sens!J5308</f>
        <v>45.4823765852716</v>
      </c>
      <c r="K5307" s="6" t="n">
        <f aca="false">Sens!J5307-Sens!K5308</f>
        <v>40.9860835316088</v>
      </c>
    </row>
    <row r="5308" customFormat="false" ht="15" hidden="false" customHeight="false" outlineLevel="0" collapsed="false">
      <c r="A5308" s="1" t="s">
        <v>1119</v>
      </c>
      <c r="B5308" s="0" t="s">
        <v>98</v>
      </c>
      <c r="F5308" s="6" t="n">
        <f aca="false">fl_pay_27-Sens!E5307*fl_rate</f>
        <v>4.12427</v>
      </c>
      <c r="G5308" s="6" t="n">
        <f aca="false">fl_pay_28-Sens!F5307*fl_rate</f>
        <v>4.48286215</v>
      </c>
      <c r="H5308" s="6" t="n">
        <f aca="false">fl_pay_29-Sens!G5307*fl_rate</f>
        <v>4.05859094675</v>
      </c>
      <c r="I5308" s="6" t="n">
        <f aca="false">fl_pay_30-Sens!H5307*fl_rate</f>
        <v>4.14322753935375</v>
      </c>
      <c r="J5308" s="6" t="n">
        <f aca="false">fl_pay_31-Sens!I5307*fl_rate</f>
        <v>4.30267277862467</v>
      </c>
      <c r="K5308" s="6" t="n">
        <f aca="false">fl_pay_32-Sens!J5307*fl_rate</f>
        <v>4.49629305366278</v>
      </c>
    </row>
    <row r="5309" customFormat="false" ht="17.15" hidden="false" customHeight="false" outlineLevel="0" collapsed="false">
      <c r="A5309" s="1" t="s">
        <v>1120</v>
      </c>
      <c r="B5309" s="0" t="s">
        <v>98</v>
      </c>
      <c r="E5309" s="6" t="n">
        <f aca="false">Q!M35-Q!M36-Q!M44</f>
        <v>63.886</v>
      </c>
      <c r="F5309" s="6" t="n">
        <f aca="false">Sens!F5302-Sens!F5306-Sens!F5308</f>
        <v>9.90931613104299</v>
      </c>
      <c r="G5309" s="6" t="n">
        <f aca="false">Sens!G5302-Sens!G5306-Sens!G5308</f>
        <v>20.7597886093449</v>
      </c>
      <c r="H5309" s="6" t="n">
        <f aca="false">Sens!H5302-Sens!H5306-Sens!H5308</f>
        <v>58.8331931847719</v>
      </c>
      <c r="I5309" s="6" t="n">
        <f aca="false">Sens!I5302-Sens!I5306-Sens!I5308</f>
        <v>154.312200864871</v>
      </c>
      <c r="J5309" s="6" t="n">
        <f aca="false">Sens!J5302-Sens!J5306-Sens!J5308</f>
        <v>210.293436782631</v>
      </c>
      <c r="K5309" s="6" t="n">
        <f aca="false">Sens!K5302-Sens!K5306-Sens!K5308</f>
        <v>271.867502692688</v>
      </c>
      <c r="L5309" s="12" t="s">
        <v>1121</v>
      </c>
    </row>
    <row r="5310" customFormat="false" ht="15" hidden="false" customHeight="false" outlineLevel="0" collapsed="false">
      <c r="A5310" s="1" t="s">
        <v>1122</v>
      </c>
      <c r="B5310" s="0" t="s">
        <v>75</v>
      </c>
      <c r="F5310" s="8" t="n">
        <f aca="false">dps_27</f>
        <v>3.85</v>
      </c>
      <c r="G5310" s="8" t="n">
        <f aca="false">Sens!F5310*(1+dps_g)</f>
        <v>4.158</v>
      </c>
      <c r="H5310" s="8" t="n">
        <f aca="false">Sens!G5310*(1+dps_g)</f>
        <v>4.49064</v>
      </c>
      <c r="I5310" s="8" t="n">
        <f aca="false">Sens!H5310*(1+dps_g)</f>
        <v>4.8498912</v>
      </c>
      <c r="J5310" s="8" t="n">
        <f aca="false">Sens!I5310*(1+dps_g)</f>
        <v>5.237882496</v>
      </c>
      <c r="K5310" s="8" t="n">
        <f aca="false">Sens!J5310*(1+dps_g)</f>
        <v>5.65691309568</v>
      </c>
    </row>
    <row r="5311" customFormat="false" ht="17.15" hidden="false" customHeight="false" outlineLevel="0" collapsed="false">
      <c r="A5311" s="1" t="s">
        <v>1123</v>
      </c>
      <c r="B5311" s="0" t="s">
        <v>98</v>
      </c>
      <c r="E5311" s="6" t="n">
        <f aca="false">Q!M41</f>
        <v>26.445</v>
      </c>
      <c r="F5311" s="6" t="n">
        <f aca="false">Sens!F5310*Sens!E5320</f>
        <v>28.59395</v>
      </c>
      <c r="G5311" s="6" t="n">
        <f aca="false">Sens!G5310*Sens!F5320</f>
        <v>31.068576</v>
      </c>
      <c r="H5311" s="6" t="n">
        <f aca="false">Sens!H5310*Sens!G5320</f>
        <v>33.75614088</v>
      </c>
      <c r="I5311" s="6" t="n">
        <f aca="false">Sens!I5310*Sens!H5320</f>
        <v>36.5070704274727</v>
      </c>
      <c r="J5311" s="6" t="n">
        <f aca="false">Sens!J5310*Sens!I5320</f>
        <v>39.4955339470631</v>
      </c>
      <c r="K5311" s="6" t="n">
        <f aca="false">Sens!K5310*Sens!J5320</f>
        <v>42.7419309252064</v>
      </c>
      <c r="L5311" s="1" t="s">
        <v>1124</v>
      </c>
    </row>
    <row r="5312" customFormat="false" ht="15" hidden="false" customHeight="false" outlineLevel="0" collapsed="false">
      <c r="A5312" s="1" t="s">
        <v>1125</v>
      </c>
      <c r="B5312" s="0" t="s">
        <v>98</v>
      </c>
      <c r="E5312" s="6" t="n">
        <f aca="false">Sens!E5309-Sens!E5311</f>
        <v>37.441</v>
      </c>
      <c r="F5312" s="6" t="n">
        <f aca="false">Sens!F5309-Sens!F5311</f>
        <v>-18.684633868957</v>
      </c>
      <c r="G5312" s="6" t="n">
        <f aca="false">Sens!G5309-Sens!G5311</f>
        <v>-10.3087873906551</v>
      </c>
      <c r="H5312" s="6" t="n">
        <f aca="false">Sens!H5309-Sens!H5311</f>
        <v>25.0770523047719</v>
      </c>
      <c r="I5312" s="6" t="n">
        <f aca="false">Sens!I5309-Sens!I5311</f>
        <v>117.805130437398</v>
      </c>
      <c r="J5312" s="6" t="n">
        <f aca="false">Sens!J5309-Sens!J5311</f>
        <v>170.797902835568</v>
      </c>
      <c r="K5312" s="6" t="n">
        <f aca="false">Sens!K5309-Sens!K5311</f>
        <v>229.125571767482</v>
      </c>
    </row>
    <row r="5313" customFormat="false" ht="15" hidden="false" customHeight="false" outlineLevel="0" collapsed="false">
      <c r="A5313" s="1" t="s">
        <v>1126</v>
      </c>
      <c r="B5313" s="0" t="s">
        <v>98</v>
      </c>
      <c r="F5313" s="6" t="n">
        <f aca="false">debt_mat_27</f>
        <v>9.25</v>
      </c>
      <c r="G5313" s="6" t="n">
        <f aca="false">debt_mat_28</f>
        <v>0</v>
      </c>
      <c r="H5313" s="6" t="n">
        <f aca="false">debt_mat_29</f>
        <v>2.001</v>
      </c>
      <c r="I5313" s="6" t="n">
        <f aca="false">debt_mat_30</f>
        <v>0</v>
      </c>
      <c r="J5313" s="6" t="n">
        <f aca="false">debt_mat_31</f>
        <v>0.5</v>
      </c>
      <c r="K5313" s="6" t="n">
        <f aca="false">debt_mat_32</f>
        <v>0</v>
      </c>
    </row>
    <row r="5314" customFormat="false" ht="15" hidden="false" customHeight="false" outlineLevel="0" collapsed="false">
      <c r="A5314" s="1" t="s">
        <v>1127</v>
      </c>
      <c r="B5314" s="0" t="s">
        <v>98</v>
      </c>
      <c r="E5314" s="6" t="n">
        <f aca="false">Q!M40</f>
        <v>22.271</v>
      </c>
      <c r="F5314" s="6" t="n">
        <f aca="false">MAX(0,MIN(bb_target,Sens!E5316+Sens!F5312-Sens!F5313-min_cash))</f>
        <v>0</v>
      </c>
      <c r="G5314" s="6" t="n">
        <f aca="false">MAX(0,MIN(bb_target,Sens!F5316+Sens!G5312-Sens!G5313-min_cash))</f>
        <v>0</v>
      </c>
      <c r="H5314" s="6" t="n">
        <f aca="false">MAX(0,MIN(bb_target,Sens!G5316+Sens!H5312-Sens!H5313-min_cash))</f>
        <v>22.271</v>
      </c>
      <c r="I5314" s="6" t="n">
        <f aca="false">MAX(0,MIN(bb_target,Sens!H5316+Sens!I5312-Sens!I5313-min_cash))</f>
        <v>22.271</v>
      </c>
      <c r="J5314" s="6" t="n">
        <f aca="false">MAX(0,MIN(bb_target,Sens!I5316+Sens!J5312-Sens!J5313-min_cash))</f>
        <v>22.271</v>
      </c>
      <c r="K5314" s="6" t="n">
        <f aca="false">MAX(0,MIN(bb_target,Sens!J5316+Sens!K5312-Sens!K5313-min_cash))</f>
        <v>22.271</v>
      </c>
    </row>
    <row r="5315" customFormat="false" ht="15" hidden="false" customHeight="false" outlineLevel="0" collapsed="false">
      <c r="A5315" s="1" t="s">
        <v>1128</v>
      </c>
      <c r="B5315" s="0" t="s">
        <v>98</v>
      </c>
      <c r="F5315" s="6" t="n">
        <f aca="false">MAX(0,min_cash-(Sens!E5316+Sens!F5312-Sens!F5313-Sens!F5314))</f>
        <v>1.091633868957</v>
      </c>
      <c r="G5315" s="6" t="n">
        <f aca="false">MAX(0,min_cash-(Sens!F5316+Sens!G5312-Sens!G5313-Sens!G5314))</f>
        <v>10.3087873906551</v>
      </c>
      <c r="H5315" s="6" t="n">
        <f aca="false">MAX(0,min_cash-(Sens!G5316+Sens!H5312-Sens!H5313-Sens!H5314))</f>
        <v>0</v>
      </c>
      <c r="I5315" s="6" t="n">
        <f aca="false">MAX(0,min_cash-(Sens!H5316+Sens!I5312-Sens!I5313-Sens!I5314))</f>
        <v>0</v>
      </c>
      <c r="J5315" s="6" t="n">
        <f aca="false">MAX(0,min_cash-(Sens!I5316+Sens!J5312-Sens!J5313-Sens!J5314))</f>
        <v>0</v>
      </c>
      <c r="K5315" s="6" t="n">
        <f aca="false">MAX(0,min_cash-(Sens!J5316+Sens!K5312-Sens!K5313-Sens!K5314))</f>
        <v>0</v>
      </c>
    </row>
    <row r="5316" customFormat="false" ht="15" hidden="false" customHeight="false" outlineLevel="0" collapsed="false">
      <c r="A5316" s="1" t="s">
        <v>1129</v>
      </c>
      <c r="B5316" s="0" t="s">
        <v>98</v>
      </c>
      <c r="E5316" s="6" t="n">
        <f aca="false">cash_open</f>
        <v>76.843</v>
      </c>
      <c r="F5316" s="6" t="n">
        <f aca="false">Sens!E5316+Sens!F5312-Sens!F5313-Sens!F5314+Sens!F5315</f>
        <v>50</v>
      </c>
      <c r="G5316" s="6" t="n">
        <f aca="false">Sens!F5316+Sens!G5312-Sens!G5313-Sens!G5314+Sens!G5315</f>
        <v>50</v>
      </c>
      <c r="H5316" s="6" t="n">
        <f aca="false">Sens!G5316+Sens!H5312-Sens!H5313-Sens!H5314+Sens!H5315</f>
        <v>50.8050523047719</v>
      </c>
      <c r="I5316" s="6" t="n">
        <f aca="false">Sens!H5316+Sens!I5312-Sens!I5313-Sens!I5314+Sens!I5315</f>
        <v>146.33918274217</v>
      </c>
      <c r="J5316" s="6" t="n">
        <f aca="false">Sens!I5316+Sens!J5312-Sens!J5313-Sens!J5314+Sens!J5315</f>
        <v>294.366085577738</v>
      </c>
      <c r="K5316" s="6" t="n">
        <f aca="false">Sens!J5316+Sens!K5312-Sens!K5313-Sens!K5314+Sens!K5315</f>
        <v>501.220657345219</v>
      </c>
    </row>
    <row r="5317" customFormat="false" ht="15" hidden="false" customHeight="false" outlineLevel="0" collapsed="false">
      <c r="A5317" s="1" t="s">
        <v>1130</v>
      </c>
      <c r="B5317" s="0" t="s">
        <v>98</v>
      </c>
      <c r="E5317" s="6" t="n">
        <f aca="false">debt_face</f>
        <v>46.136</v>
      </c>
      <c r="F5317" s="6" t="n">
        <f aca="false">Sens!E5317-Sens!F5313+Sens!F5315</f>
        <v>37.977633868957</v>
      </c>
      <c r="G5317" s="6" t="n">
        <f aca="false">Sens!F5317-Sens!G5313+Sens!G5315</f>
        <v>48.2864212596121</v>
      </c>
      <c r="H5317" s="6" t="n">
        <f aca="false">Sens!G5317-Sens!H5313+Sens!H5315</f>
        <v>46.2854212596121</v>
      </c>
      <c r="I5317" s="6" t="n">
        <f aca="false">Sens!H5317-Sens!I5313+Sens!I5315</f>
        <v>46.2854212596121</v>
      </c>
      <c r="J5317" s="6" t="n">
        <f aca="false">Sens!I5317-Sens!J5313+Sens!J5315</f>
        <v>45.7854212596121</v>
      </c>
      <c r="K5317" s="6" t="n">
        <f aca="false">Sens!J5317-Sens!K5313+Sens!K5315</f>
        <v>45.7854212596121</v>
      </c>
    </row>
    <row r="5318" customFormat="false" ht="15" hidden="false" customHeight="false" outlineLevel="0" collapsed="false">
      <c r="A5318" s="1" t="s">
        <v>1131</v>
      </c>
      <c r="B5318" s="0" t="s">
        <v>98</v>
      </c>
      <c r="E5318" s="6" t="n">
        <f aca="false">Sens!E5316-Sens!E5317</f>
        <v>30.707</v>
      </c>
      <c r="F5318" s="6" t="n">
        <f aca="false">Sens!F5316-Sens!F5317</f>
        <v>12.022366131043</v>
      </c>
      <c r="G5318" s="6" t="n">
        <f aca="false">Sens!G5316-Sens!G5317</f>
        <v>1.71357874038788</v>
      </c>
      <c r="H5318" s="6" t="n">
        <f aca="false">Sens!H5316-Sens!H5317</f>
        <v>4.51963104515976</v>
      </c>
      <c r="I5318" s="6" t="n">
        <f aca="false">Sens!I5316-Sens!I5317</f>
        <v>100.053761482558</v>
      </c>
      <c r="J5318" s="6" t="n">
        <f aca="false">Sens!J5316-Sens!J5317</f>
        <v>248.580664318126</v>
      </c>
      <c r="K5318" s="6" t="n">
        <f aca="false">Sens!K5316-Sens!K5317</f>
        <v>455.435236085607</v>
      </c>
    </row>
    <row r="5319" customFormat="false" ht="15" hidden="false" customHeight="false" outlineLevel="0" collapsed="false">
      <c r="A5319" s="1" t="s">
        <v>1132</v>
      </c>
      <c r="B5319" s="0" t="s">
        <v>75</v>
      </c>
      <c r="F5319" s="30" t="n">
        <f aca="false">px*(1+bb_g)^(Sens!F5177-base_fy-mid_yr)</f>
        <v>551.84177959629</v>
      </c>
      <c r="G5319" s="30" t="n">
        <f aca="false">px*(1+bb_g)^(Sens!G5177-base_fy-mid_yr)</f>
        <v>595.989121963993</v>
      </c>
      <c r="H5319" s="30" t="n">
        <f aca="false">px*(1+bb_g)^(Sens!H5177-base_fy-mid_yr)</f>
        <v>643.668251721112</v>
      </c>
      <c r="I5319" s="30" t="n">
        <f aca="false">px*(1+bb_g)^(Sens!I5177-base_fy-mid_yr)</f>
        <v>695.161711858801</v>
      </c>
      <c r="J5319" s="30" t="n">
        <f aca="false">px*(1+bb_g)^(Sens!J5177-base_fy-mid_yr)</f>
        <v>750.774648807506</v>
      </c>
      <c r="K5319" s="30" t="n">
        <f aca="false">px*(1+bb_g)^(Sens!K5177-base_fy-mid_yr)</f>
        <v>810.836620712106</v>
      </c>
    </row>
    <row r="5320" customFormat="false" ht="15" hidden="false" customHeight="false" outlineLevel="0" collapsed="false">
      <c r="A5320" s="1" t="s">
        <v>1133</v>
      </c>
      <c r="B5320" s="1" t="s">
        <v>81</v>
      </c>
      <c r="E5320" s="15" t="n">
        <f aca="false">sh_out26</f>
        <v>7.427</v>
      </c>
      <c r="F5320" s="15" t="n">
        <f aca="false">Sens!E5320+sh_iss-Sens!F5314/Sens!F5319</f>
        <v>7.472</v>
      </c>
      <c r="G5320" s="15" t="n">
        <f aca="false">Sens!F5320+sh_iss-Sens!G5314/Sens!G5319</f>
        <v>7.517</v>
      </c>
      <c r="H5320" s="15" t="n">
        <f aca="false">Sens!G5320+sh_iss-Sens!H5314/Sens!H5319</f>
        <v>7.5273998780576</v>
      </c>
      <c r="I5320" s="15" t="n">
        <f aca="false">Sens!H5320+sh_iss-Sens!I5314/Sens!I5319</f>
        <v>7.54036272811094</v>
      </c>
      <c r="J5320" s="15" t="n">
        <f aca="false">Sens!I5320+sh_iss-Sens!J5314/Sens!J5319</f>
        <v>7.55569870038255</v>
      </c>
      <c r="K5320" s="15" t="n">
        <f aca="false">Sens!J5320+sh_iss-Sens!K5314/Sens!K5319</f>
        <v>7.57323200804144</v>
      </c>
    </row>
    <row r="5321" customFormat="false" ht="15" hidden="false" customHeight="false" outlineLevel="0" collapsed="false">
      <c r="A5321" s="1" t="s">
        <v>1134</v>
      </c>
      <c r="B5321" s="1" t="s">
        <v>81</v>
      </c>
      <c r="E5321" s="15" t="n">
        <f aca="false">sh_dil26</f>
        <v>7.453</v>
      </c>
      <c r="F5321" s="15" t="n">
        <f aca="false">(Sens!E5320+Sens!F5320)/2+dil_gap</f>
        <v>7.4735</v>
      </c>
      <c r="G5321" s="15" t="n">
        <f aca="false">(Sens!F5320+Sens!G5320)/2+dil_gap</f>
        <v>7.5185</v>
      </c>
      <c r="H5321" s="15" t="n">
        <f aca="false">(Sens!G5320+Sens!H5320)/2+dil_gap</f>
        <v>7.5461999390288</v>
      </c>
      <c r="I5321" s="15" t="n">
        <f aca="false">(Sens!H5320+Sens!I5320)/2+dil_gap</f>
        <v>7.55788130308427</v>
      </c>
      <c r="J5321" s="15" t="n">
        <f aca="false">(Sens!I5320+Sens!J5320)/2+dil_gap</f>
        <v>7.57203071424674</v>
      </c>
      <c r="K5321" s="15" t="n">
        <f aca="false">(Sens!J5320+Sens!K5320)/2+dil_gap</f>
        <v>7.58846535421199</v>
      </c>
    </row>
    <row r="5322" customFormat="false" ht="17.15" hidden="false" customHeight="false" outlineLevel="0" collapsed="false">
      <c r="A5322" s="1" t="s">
        <v>1135</v>
      </c>
      <c r="B5322" s="0" t="s">
        <v>98</v>
      </c>
      <c r="C5322" s="6" t="n">
        <f aca="false">SUM(Sens!F5312:J5312)</f>
        <v>284.686664318126</v>
      </c>
    </row>
    <row r="5323" customFormat="false" ht="15" hidden="false" customHeight="false" outlineLevel="0" collapsed="false">
      <c r="A5323" s="26" t="s">
        <v>1100</v>
      </c>
      <c r="B5323" s="31" t="s">
        <v>98</v>
      </c>
      <c r="C5323" s="27" t="n">
        <f aca="false">Sens!$C$5322-(Sens!F5312+Sens!G5312+Sens!H5312+Sens!I5312+Sens!J5312)</f>
        <v>0</v>
      </c>
      <c r="D5323" s="31"/>
      <c r="E5323" s="31"/>
      <c r="F5323" s="31"/>
      <c r="G5323" s="31"/>
      <c r="H5323" s="31"/>
      <c r="I5323" s="31"/>
      <c r="J5323" s="31"/>
      <c r="K5323" s="31"/>
    </row>
    <row r="5324" customFormat="false" ht="17.15" hidden="false" customHeight="false" outlineLevel="0" collapsed="false">
      <c r="A5324" s="1" t="s">
        <v>1094</v>
      </c>
      <c r="B5324" s="1" t="s">
        <v>1136</v>
      </c>
      <c r="C5324" s="33" t="str">
        <f aca="false">IF(SUM(Sens!F5315:J5315)&gt;0.05,"需要舉債 "&amp;TEXT(SUM(Sens!F5315:J5315),"0.0")&amp;" 十億美元","不需舉債")&amp;"；"&amp;IF(SUM(Sens!F5314:J5314)&lt;COUNT(Sens!F5314:J5314)*bb_target-0.05,"回購較每年 "&amp;TEXT(bb_target,"0.0")&amp;" 的目標少 "&amp;TEXT(COUNT(Sens!F5314:J5314)*bb_target-SUM(Sens!F5314:J5314),"0.0")&amp;" 十億美元（"&amp;TEXT(COUNTIF(Sens!F5314:J5314,"&lt;"&amp;(bb_target-0.05)),"0")&amp;" 年減少）","回購不減")</f>
        <v>需要舉債 11.4 十億美元；回購較每年 22.3 的目標少 44.5 十億美元（2 年減少）</v>
      </c>
    </row>
    <row r="5325" customFormat="false" ht="17.15" hidden="false" customHeight="false" outlineLevel="0" collapsed="false">
      <c r="A5325" s="3" t="s">
        <v>1744</v>
      </c>
    </row>
    <row r="5326" customFormat="false" ht="15" hidden="false" customHeight="false" outlineLevel="0" collapsed="false">
      <c r="A5326" s="4" t="s">
        <v>43</v>
      </c>
      <c r="B5326" s="4" t="s">
        <v>65</v>
      </c>
      <c r="C5326" s="23" t="s">
        <v>942</v>
      </c>
      <c r="D5326" s="23" t="s">
        <v>943</v>
      </c>
      <c r="E5326" s="23" t="s">
        <v>944</v>
      </c>
      <c r="F5326" s="23" t="s">
        <v>945</v>
      </c>
      <c r="G5326" s="23" t="s">
        <v>946</v>
      </c>
      <c r="H5326" s="23" t="s">
        <v>947</v>
      </c>
      <c r="I5326" s="23" t="s">
        <v>948</v>
      </c>
      <c r="J5326" s="23" t="s">
        <v>949</v>
      </c>
      <c r="K5326" s="23" t="s">
        <v>950</v>
      </c>
      <c r="L5326" s="4" t="s">
        <v>47</v>
      </c>
    </row>
    <row r="5327" customFormat="false" ht="17.15" hidden="false" customHeight="false" outlineLevel="0" collapsed="false">
      <c r="A5327" s="1" t="s">
        <v>1216</v>
      </c>
      <c r="B5327" s="1" t="s">
        <v>279</v>
      </c>
      <c r="F5327" s="8" t="n">
        <f aca="false">(1-v_off)*mid_yr</f>
        <v>0.373972602739726</v>
      </c>
      <c r="G5327" s="8" t="n">
        <f aca="false">Sens!G5177-base_fy-mid_yr-v_off</f>
        <v>1.24794520547945</v>
      </c>
      <c r="H5327" s="8" t="n">
        <f aca="false">Sens!H5177-base_fy-mid_yr-v_off</f>
        <v>2.24794520547945</v>
      </c>
      <c r="I5327" s="8" t="n">
        <f aca="false">Sens!I5177-base_fy-mid_yr-v_off</f>
        <v>3.24794520547945</v>
      </c>
      <c r="J5327" s="8" t="n">
        <f aca="false">Sens!J5177-base_fy-mid_yr-v_off</f>
        <v>4.24794520547945</v>
      </c>
      <c r="K5327" s="8" t="n">
        <f aca="false">Sens!K5177-base_fy-mid_yr-v_off</f>
        <v>5.24794520547945</v>
      </c>
      <c r="L5327" s="12" t="s">
        <v>1217</v>
      </c>
    </row>
    <row r="5328" customFormat="false" ht="15" hidden="false" customHeight="false" outlineLevel="0" collapsed="false">
      <c r="A5328" s="1" t="s">
        <v>1218</v>
      </c>
      <c r="B5328" s="1" t="s">
        <v>279</v>
      </c>
      <c r="F5328" s="8" t="n">
        <f aca="false">Sens!F5177-base_fy-v_off</f>
        <v>0.747945205479452</v>
      </c>
      <c r="G5328" s="8" t="n">
        <f aca="false">Sens!G5177-base_fy-v_off</f>
        <v>1.74794520547945</v>
      </c>
      <c r="H5328" s="8" t="n">
        <f aca="false">Sens!H5177-base_fy-v_off</f>
        <v>2.74794520547945</v>
      </c>
      <c r="I5328" s="8" t="n">
        <f aca="false">Sens!I5177-base_fy-v_off</f>
        <v>3.74794520547945</v>
      </c>
      <c r="J5328" s="8" t="n">
        <f aca="false">Sens!J5177-base_fy-v_off</f>
        <v>4.74794520547945</v>
      </c>
      <c r="K5328" s="8" t="n">
        <f aca="false">Sens!K5177-base_fy-v_off</f>
        <v>5.74794520547945</v>
      </c>
    </row>
    <row r="5329" customFormat="false" ht="15" hidden="false" customHeight="false" outlineLevel="0" collapsed="false">
      <c r="A5329" s="1" t="s">
        <v>1219</v>
      </c>
      <c r="B5329" s="0" t="s">
        <v>229</v>
      </c>
      <c r="F5329" s="15" t="n">
        <f aca="false">1/(1+wacc)^Sens!F5327</f>
        <v>0.964022703286649</v>
      </c>
      <c r="G5329" s="15" t="n">
        <f aca="false">1/(1+wacc)^Sens!G5327</f>
        <v>0.884910302296739</v>
      </c>
      <c r="H5329" s="15" t="n">
        <f aca="false">1/(1+wacc)^Sens!H5327</f>
        <v>0.802322009770358</v>
      </c>
      <c r="I5329" s="15" t="n">
        <f aca="false">1/(1+wacc)^Sens!I5327</f>
        <v>0.727441646561469</v>
      </c>
      <c r="J5329" s="15" t="n">
        <f aca="false">1/(1+wacc)^Sens!J5327</f>
        <v>0.659549834988973</v>
      </c>
      <c r="K5329" s="15" t="n">
        <f aca="false">1/(1+wacc)^Sens!K5327</f>
        <v>0.597994336576966</v>
      </c>
    </row>
    <row r="5330" customFormat="false" ht="17.15" hidden="false" customHeight="false" outlineLevel="0" collapsed="false">
      <c r="A5330" s="1" t="s">
        <v>1220</v>
      </c>
      <c r="B5330" s="0" t="s">
        <v>98</v>
      </c>
      <c r="F5330" s="6" t="n">
        <f aca="false">Q!$I$35-Q!$I$39-Q!$I$43</f>
        <v>9.666</v>
      </c>
      <c r="L5330" s="12" t="s">
        <v>1221</v>
      </c>
    </row>
    <row r="5331" customFormat="false" ht="17.15" hidden="false" customHeight="false" outlineLevel="0" collapsed="false">
      <c r="A5331" s="1" t="s">
        <v>1222</v>
      </c>
      <c r="B5331" s="0" t="s">
        <v>98</v>
      </c>
      <c r="F5331" s="6" t="n">
        <f aca="false">Sens!F5302-Sens!F5299-Sens!F5306+Sens!F5284*(1-tax_f)*(1-v_off)-Sens!F5330</f>
        <v>-4.68590329799852</v>
      </c>
      <c r="G5331" s="6" t="n">
        <f aca="false">Sens!G5302-Sens!G5299-Sens!G5306+Sens!G5284*(1-tax_f)</f>
        <v>27.7422561871521</v>
      </c>
      <c r="H5331" s="6" t="n">
        <f aca="false">Sens!H5302-Sens!H5299-Sens!H5306+Sens!H5284*(1-tax_f)</f>
        <v>76.0787900761162</v>
      </c>
      <c r="I5331" s="6" t="n">
        <f aca="false">Sens!I5302-Sens!I5299-Sens!I5306+Sens!I5284*(1-tax_f)</f>
        <v>180.971790232397</v>
      </c>
      <c r="J5331" s="6" t="n">
        <f aca="false">Sens!J5302-Sens!J5299-Sens!J5306+Sens!J5284*(1-tax_f)</f>
        <v>243.331494644775</v>
      </c>
      <c r="K5331" s="6" t="n">
        <f aca="false">Sens!K5302-Sens!K5299-Sens!K5306+Sens!K5284*(1-tax_f)</f>
        <v>307.480502430986</v>
      </c>
      <c r="L5331" s="1" t="s">
        <v>1223</v>
      </c>
    </row>
    <row r="5332" customFormat="false" ht="15" hidden="false" customHeight="false" outlineLevel="0" collapsed="false">
      <c r="A5332" s="1" t="s">
        <v>1224</v>
      </c>
      <c r="B5332" s="0" t="s">
        <v>98</v>
      </c>
      <c r="F5332" s="6" t="n">
        <f aca="false">Sens!F5331*Sens!F5329</f>
        <v>-4.51731716467636</v>
      </c>
      <c r="G5332" s="6" t="n">
        <f aca="false">Sens!G5331*Sens!G5329</f>
        <v>24.5494083089663</v>
      </c>
      <c r="H5332" s="6" t="n">
        <f aca="false">Sens!H5331*Sens!H5329</f>
        <v>61.0396877547667</v>
      </c>
      <c r="I5332" s="6" t="n">
        <f aca="false">Sens!I5331*Sens!I5329</f>
        <v>131.646417067831</v>
      </c>
      <c r="J5332" s="6" t="n">
        <f aca="false">Sens!J5331*Sens!J5329</f>
        <v>160.489247140582</v>
      </c>
      <c r="K5332" s="6" t="n">
        <f aca="false">Sens!K5331*Sens!K5329</f>
        <v>183.87159906157</v>
      </c>
    </row>
    <row r="5333" customFormat="false" ht="17.15" hidden="false" customHeight="false" outlineLevel="0" collapsed="false">
      <c r="A5333" s="1" t="s">
        <v>1225</v>
      </c>
      <c r="B5333" s="0" t="s">
        <v>98</v>
      </c>
      <c r="C5333" s="6" t="n">
        <f aca="false">SUM(Sens!F5332:K5332)</f>
        <v>557.079042169039</v>
      </c>
    </row>
    <row r="5334" customFormat="false" ht="17.15" hidden="false" customHeight="false" outlineLevel="0" collapsed="false">
      <c r="A5334" s="1" t="s">
        <v>1226</v>
      </c>
      <c r="B5334" s="0" t="s">
        <v>98</v>
      </c>
      <c r="C5334" s="6" t="n">
        <f aca="false">Sens!K5270*(1+g_tv)*(1-tax_f)</f>
        <v>295.781076430513</v>
      </c>
    </row>
    <row r="5335" customFormat="false" ht="17.15" hidden="false" customHeight="false" outlineLevel="0" collapsed="false">
      <c r="A5335" s="1" t="s">
        <v>1227</v>
      </c>
      <c r="B5335" s="0" t="s">
        <v>98</v>
      </c>
      <c r="C5335" s="6" t="n">
        <f aca="false">Sens!$C$5334*(1-g_tv/(wacc+ronic_prem))</f>
        <v>209.578179954127</v>
      </c>
    </row>
    <row r="5336" customFormat="false" ht="17.15" hidden="false" customHeight="false" outlineLevel="0" collapsed="false">
      <c r="A5336" s="1" t="s">
        <v>1228</v>
      </c>
      <c r="B5336" s="0" t="s">
        <v>98</v>
      </c>
      <c r="C5336" s="6" t="n">
        <f aca="false">Sens!$C$5335/(wacc-g_tv)</f>
        <v>2873.42988254619</v>
      </c>
    </row>
    <row r="5337" customFormat="false" ht="15" hidden="false" customHeight="false" outlineLevel="0" collapsed="false">
      <c r="A5337" s="1" t="s">
        <v>1229</v>
      </c>
      <c r="B5337" s="0" t="s">
        <v>98</v>
      </c>
      <c r="C5337" s="6" t="n">
        <f aca="false">Sens!$C$5336/(1+wacc)^Sens!K5328</f>
        <v>1636.14730878118</v>
      </c>
    </row>
    <row r="5338" customFormat="false" ht="17.15" hidden="false" customHeight="false" outlineLevel="0" collapsed="false">
      <c r="A5338" s="0" t="s">
        <v>1230</v>
      </c>
      <c r="B5338" s="0" t="s">
        <v>98</v>
      </c>
      <c r="C5338" s="6" t="n">
        <f aca="false">Sens!$C$5333+Sens!$C$5337</f>
        <v>2193.22635095022</v>
      </c>
    </row>
    <row r="5339" customFormat="false" ht="15" hidden="false" customHeight="false" outlineLevel="0" collapsed="false">
      <c r="A5339" s="1" t="s">
        <v>1145</v>
      </c>
      <c r="B5339" s="0" t="s">
        <v>168</v>
      </c>
      <c r="C5339" s="7" t="n">
        <f aca="false">Sens!$C$5337/Sens!$C$5338</f>
        <v>0.746000205620508</v>
      </c>
    </row>
    <row r="5340" customFormat="false" ht="17.15" hidden="false" customHeight="false" outlineLevel="0" collapsed="false">
      <c r="A5340" s="1" t="s">
        <v>1231</v>
      </c>
      <c r="B5340" s="0" t="s">
        <v>98</v>
      </c>
      <c r="C5340" s="6" t="n">
        <f aca="false">Sens!$C$5338+cash_val-debt_val-fl_val+oai_v</f>
        <v>2309.07735095022</v>
      </c>
    </row>
    <row r="5341" customFormat="false" ht="17.15" hidden="false" customHeight="false" outlineLevel="0" collapsed="false">
      <c r="A5341" s="0" t="s">
        <v>1153</v>
      </c>
      <c r="B5341" s="0" t="s">
        <v>75</v>
      </c>
      <c r="C5341" s="5" t="n">
        <f aca="false">Sens!$C$5340/shd_val</f>
        <v>310.109770474109</v>
      </c>
    </row>
    <row r="5342" customFormat="false" ht="15" hidden="false" customHeight="false" outlineLevel="0" collapsed="false">
      <c r="A5342" s="1" t="s">
        <v>1232</v>
      </c>
      <c r="B5342" s="0" t="s">
        <v>75</v>
      </c>
      <c r="C5342" s="8" t="n">
        <f aca="false">div_rem27+Sens!G5310*roll_div_q/q_per_yr</f>
        <v>3.9795</v>
      </c>
    </row>
    <row r="5343" customFormat="false" ht="17.15" hidden="false" customHeight="false" outlineLevel="0" collapsed="false">
      <c r="A5343" s="0" t="s">
        <v>1233</v>
      </c>
      <c r="B5343" s="0" t="s">
        <v>75</v>
      </c>
      <c r="C5343" s="5" t="n">
        <f aca="false">Sens!$C$5341*(1+wacc)^t_roll-Sens!$C$5342</f>
        <v>340.724817338928</v>
      </c>
    </row>
    <row r="5344" customFormat="false" ht="17.15" hidden="false" customHeight="false" outlineLevel="0" collapsed="false">
      <c r="A5344" s="1" t="s">
        <v>1234</v>
      </c>
      <c r="B5344" s="0" t="s">
        <v>168</v>
      </c>
      <c r="F5344" s="7" t="n">
        <f aca="false">Sens!F5296/(Sens!F5241-Sens!F5196)</f>
        <v>0.074254437590518</v>
      </c>
      <c r="G5344" s="7" t="n">
        <f aca="false">Sens!G5296/(Sens!G5241-Sens!G5196)</f>
        <v>0.0703576802236997</v>
      </c>
      <c r="H5344" s="7" t="n">
        <f aca="false">Sens!H5296/(Sens!H5241-Sens!H5196)</f>
        <v>0.0680581845067015</v>
      </c>
      <c r="I5344" s="7" t="n">
        <f aca="false">Sens!I5296/(Sens!I5241-Sens!I5196)</f>
        <v>0.0671845191359723</v>
      </c>
      <c r="J5344" s="7" t="n">
        <f aca="false">Sens!J5296/(Sens!J5241-Sens!J5196)</f>
        <v>0.0674019621440431</v>
      </c>
      <c r="K5344" s="7" t="n">
        <f aca="false">Sens!K5296/(Sens!K5241-Sens!K5196)</f>
        <v>0.0683200807241072</v>
      </c>
    </row>
    <row r="5345" customFormat="false" ht="17.15" hidden="false" customHeight="false" outlineLevel="0" collapsed="false">
      <c r="A5345" s="0" t="s">
        <v>1235</v>
      </c>
      <c r="B5345" s="0" t="s">
        <v>98</v>
      </c>
      <c r="F5345" s="6" t="n">
        <f aca="false">Sens!F5226*(al_m365+Sens!F5344+sbc_r)</f>
        <v>84.3887674527587</v>
      </c>
      <c r="G5345" s="6" t="n">
        <f aca="false">Sens!G5226*(al_m365+Sens!G5344+sbc_r)</f>
        <v>96.748608616687</v>
      </c>
      <c r="H5345" s="6" t="n">
        <f aca="false">Sens!H5226*(al_m365+Sens!H5344+sbc_r)</f>
        <v>109.271805238518</v>
      </c>
      <c r="I5345" s="6" t="n">
        <f aca="false">Sens!I5226*(al_m365+Sens!I5344+sbc_r)</f>
        <v>120.77725253614</v>
      </c>
      <c r="J5345" s="6" t="n">
        <f aca="false">Sens!J5226*(al_m365+Sens!J5344+sbc_r)</f>
        <v>131.079863501828</v>
      </c>
      <c r="K5345" s="6" t="n">
        <f aca="false">Sens!K5226*(al_m365+Sens!K5344+sbc_r)</f>
        <v>140.999197501</v>
      </c>
      <c r="L5345" s="12" t="s">
        <v>1236</v>
      </c>
    </row>
    <row r="5346" customFormat="false" ht="17.15" hidden="false" customHeight="false" outlineLevel="0" collapsed="false">
      <c r="A5346" s="0" t="s">
        <v>1237</v>
      </c>
      <c r="B5346" s="0" t="s">
        <v>98</v>
      </c>
      <c r="F5346" s="6" t="n">
        <f aca="false">Sens!F5227*(al_lic+Sens!F5344+sbc_r)</f>
        <v>33.0740610403302</v>
      </c>
      <c r="G5346" s="6" t="n">
        <f aca="false">Sens!G5227*(al_lic+Sens!G5344+sbc_r)</f>
        <v>34.3186472300773</v>
      </c>
      <c r="H5346" s="6" t="n">
        <f aca="false">Sens!H5227*(al_lic+Sens!H5344+sbc_r)</f>
        <v>35.4847534965348</v>
      </c>
      <c r="I5346" s="6" t="n">
        <f aca="false">Sens!I5227*(al_lic+Sens!I5344+sbc_r)</f>
        <v>36.5535188932887</v>
      </c>
      <c r="J5346" s="6" t="n">
        <f aca="false">Sens!J5227*(al_lic+Sens!J5344+sbc_r)</f>
        <v>37.4983188020147</v>
      </c>
      <c r="K5346" s="6" t="n">
        <f aca="false">Sens!K5227*(al_lic+Sens!K5344+sbc_r)</f>
        <v>38.2893674149161</v>
      </c>
    </row>
    <row r="5347" customFormat="false" ht="17.15" hidden="false" customHeight="false" outlineLevel="0" collapsed="false">
      <c r="A5347" s="0" t="s">
        <v>1238</v>
      </c>
      <c r="B5347" s="0" t="s">
        <v>98</v>
      </c>
      <c r="F5347" s="6" t="n">
        <f aca="false">Sens!F5229*(al_ind+Sens!F5344+sbc_r)</f>
        <v>9.18616579811687</v>
      </c>
      <c r="G5347" s="6" t="n">
        <f aca="false">Sens!G5229*(al_ind+Sens!G5344+sbc_r)</f>
        <v>9.94655875329051</v>
      </c>
      <c r="H5347" s="6" t="n">
        <f aca="false">Sens!H5229*(al_ind+Sens!H5344+sbc_r)</f>
        <v>10.7543262978658</v>
      </c>
      <c r="I5347" s="6" t="n">
        <f aca="false">Sens!I5229*(al_ind+Sens!I5344+sbc_r)</f>
        <v>11.6064061462848</v>
      </c>
      <c r="J5347" s="6" t="n">
        <f aca="false">Sens!J5229*(al_ind+Sens!J5344+sbc_r)</f>
        <v>12.4926618280194</v>
      </c>
      <c r="K5347" s="6" t="n">
        <f aca="false">Sens!K5229*(al_ind+Sens!K5344+sbc_r)</f>
        <v>13.3974670679468</v>
      </c>
    </row>
    <row r="5348" customFormat="false" ht="17.15" hidden="false" customHeight="false" outlineLevel="0" collapsed="false">
      <c r="A5348" s="0" t="s">
        <v>1239</v>
      </c>
      <c r="B5348" s="0" t="s">
        <v>98</v>
      </c>
      <c r="F5348" s="6" t="n">
        <f aca="false">Sens!F5231*(al_fro+Sens!F5344+sbc_r)</f>
        <v>3.60335558680906</v>
      </c>
      <c r="G5348" s="6" t="n">
        <f aca="false">Sens!G5231*(al_fro+Sens!G5344+sbc_r)</f>
        <v>3.80584489247436</v>
      </c>
      <c r="H5348" s="6" t="n">
        <f aca="false">Sens!H5231*(al_fro+Sens!H5344+sbc_r)</f>
        <v>4.03875426885471</v>
      </c>
      <c r="I5348" s="6" t="n">
        <f aca="false">Sens!I5231*(al_fro+Sens!I5344+sbc_r)</f>
        <v>4.3046764944324</v>
      </c>
      <c r="J5348" s="6" t="n">
        <f aca="false">Sens!J5231*(al_fro+Sens!J5344+sbc_r)</f>
        <v>4.60448326523147</v>
      </c>
      <c r="K5348" s="6" t="n">
        <f aca="false">Sens!K5231*(al_fro+Sens!K5344+sbc_r)</f>
        <v>4.93797188782394</v>
      </c>
    </row>
    <row r="5349" customFormat="false" ht="17.15" hidden="false" customHeight="false" outlineLevel="0" collapsed="false">
      <c r="A5349" s="0" t="s">
        <v>1240</v>
      </c>
      <c r="B5349" s="0" t="s">
        <v>98</v>
      </c>
      <c r="F5349" s="6" t="n">
        <f aca="false">Sens!F5234*(al_srch+Sens!F5344+sbc_r)</f>
        <v>11.3443827692082</v>
      </c>
      <c r="G5349" s="6" t="n">
        <f aca="false">Sens!G5234*(al_srch+Sens!G5344+sbc_r)</f>
        <v>12.3993229135456</v>
      </c>
      <c r="H5349" s="6" t="n">
        <f aca="false">Sens!H5234*(al_srch+Sens!H5344+sbc_r)</f>
        <v>13.5016557812622</v>
      </c>
      <c r="I5349" s="6" t="n">
        <f aca="false">Sens!I5234*(al_srch+Sens!I5344+sbc_r)</f>
        <v>14.6408886001306</v>
      </c>
      <c r="J5349" s="6" t="n">
        <f aca="false">Sens!J5234*(al_srch+Sens!J5344+sbc_r)</f>
        <v>15.7966268821535</v>
      </c>
      <c r="K5349" s="6" t="n">
        <f aca="false">Sens!K5234*(al_srch+Sens!K5344+sbc_r)</f>
        <v>16.9407281932204</v>
      </c>
    </row>
    <row r="5350" customFormat="false" ht="17.15" hidden="false" customHeight="false" outlineLevel="0" collapsed="false">
      <c r="A5350" s="0" t="s">
        <v>1241</v>
      </c>
      <c r="B5350" s="0" t="s">
        <v>98</v>
      </c>
      <c r="F5350" s="6" t="n">
        <f aca="false">Sens!F5202-Sens!F5203+Sens!F5284</f>
        <v>42.6035403328915</v>
      </c>
      <c r="G5350" s="6" t="n">
        <f aca="false">Sens!G5202-Sens!G5203+Sens!G5284</f>
        <v>81.6064041409166</v>
      </c>
      <c r="H5350" s="6" t="n">
        <f aca="false">Sens!H5202-Sens!H5203+Sens!H5284</f>
        <v>123.446130958161</v>
      </c>
      <c r="I5350" s="6" t="n">
        <f aca="false">Sens!I5202-Sens!I5203+Sens!I5284</f>
        <v>159.474300334329</v>
      </c>
      <c r="J5350" s="6" t="n">
        <f aca="false">Sens!J5202-Sens!J5203+Sens!J5284</f>
        <v>184.94070963014</v>
      </c>
      <c r="K5350" s="6" t="n">
        <f aca="false">Sens!K5202-Sens!K5203+Sens!K5284</f>
        <v>198.709545713546</v>
      </c>
    </row>
    <row r="5351" customFormat="false" ht="17.15" hidden="false" customHeight="false" outlineLevel="0" collapsed="false">
      <c r="A5351" s="0" t="s">
        <v>1242</v>
      </c>
      <c r="B5351" s="0" t="s">
        <v>98</v>
      </c>
      <c r="F5351" s="6" t="n">
        <f aca="false">Sens!F5263+Sens!F5284+Sens!F5214+Sens!F5344*(Sens!F5233-Sens!F5196)+sbc_r*Sens!F5233</f>
        <v>236.747017609193</v>
      </c>
      <c r="G5351" s="6" t="n">
        <f aca="false">Sens!G5263+Sens!G5284+Sens!G5214+Sens!G5344*(Sens!G5233-Sens!G5196)+sbc_r*Sens!G5233</f>
        <v>298.610208565672</v>
      </c>
      <c r="H5351" s="6" t="n">
        <f aca="false">Sens!H5263+Sens!H5284+Sens!H5214+Sens!H5344*(Sens!H5233-Sens!H5196)+sbc_r*Sens!H5233</f>
        <v>367.729523043713</v>
      </c>
      <c r="I5351" s="6" t="n">
        <f aca="false">Sens!I5263+Sens!I5284+Sens!I5214+Sens!I5344*(Sens!I5233-Sens!I5196)+sbc_r*Sens!I5233</f>
        <v>429.642558633931</v>
      </c>
      <c r="J5351" s="6" t="n">
        <f aca="false">Sens!J5263+Sens!J5284+Sens!J5214+Sens!J5344*(Sens!J5233-Sens!J5196)+sbc_r*Sens!J5233</f>
        <v>478.593358032837</v>
      </c>
      <c r="K5351" s="6" t="n">
        <f aca="false">Sens!K5263+Sens!K5284+Sens!K5214+Sens!K5344*(Sens!K5233-Sens!K5196)+sbc_r*Sens!K5233</f>
        <v>513.45283564711</v>
      </c>
    </row>
    <row r="5352" customFormat="false" ht="17.15" hidden="false" customHeight="false" outlineLevel="0" collapsed="false">
      <c r="A5352" s="0" t="s">
        <v>1243</v>
      </c>
      <c r="B5352" s="0" t="s">
        <v>98</v>
      </c>
      <c r="F5352" s="6" t="n">
        <f aca="false">Sens!F5351-Sens!F5345-Sens!F5346-Sens!F5347-Sens!F5348-Sens!F5350</f>
        <v>63.8911273982865</v>
      </c>
      <c r="G5352" s="6" t="n">
        <f aca="false">Sens!G5351-Sens!G5345-Sens!G5346-Sens!G5347-Sens!G5348-Sens!G5350</f>
        <v>72.1841449322262</v>
      </c>
      <c r="H5352" s="6" t="n">
        <f aca="false">Sens!H5351-Sens!H5345-Sens!H5346-Sens!H5347-Sens!H5348-Sens!H5350</f>
        <v>84.7337527837794</v>
      </c>
      <c r="I5352" s="6" t="n">
        <f aca="false">Sens!I5351-Sens!I5345-Sens!I5346-Sens!I5347-Sens!I5348-Sens!I5350</f>
        <v>96.9264042294554</v>
      </c>
      <c r="J5352" s="6" t="n">
        <f aca="false">Sens!J5351-Sens!J5345-Sens!J5346-Sens!J5347-Sens!J5348-Sens!J5350</f>
        <v>107.977321005604</v>
      </c>
      <c r="K5352" s="6" t="n">
        <f aca="false">Sens!K5351-Sens!K5345-Sens!K5346-Sens!K5347-Sens!K5348-Sens!K5350</f>
        <v>117.119286061877</v>
      </c>
    </row>
    <row r="5353" customFormat="false" ht="17.15" hidden="false" customHeight="false" outlineLevel="0" collapsed="false">
      <c r="A5353" s="0" t="s">
        <v>1244</v>
      </c>
      <c r="B5353" s="0" t="s">
        <v>98</v>
      </c>
      <c r="F5353" s="6" t="n">
        <f aca="false">Sens!F5265+Sens!F5344*Sens!F5240+sbc_r*Sens!F5240</f>
        <v>26.9959729432528</v>
      </c>
      <c r="G5353" s="6" t="n">
        <f aca="false">Sens!G5265+Sens!G5344*Sens!G5240+sbc_r*Sens!G5240</f>
        <v>26.7719385171882</v>
      </c>
      <c r="H5353" s="6" t="n">
        <f aca="false">Sens!H5265+Sens!H5344*Sens!H5240+sbc_r*Sens!H5240</f>
        <v>27.5988786155963</v>
      </c>
      <c r="I5353" s="6" t="n">
        <f aca="false">Sens!I5265+Sens!I5344*Sens!I5240+sbc_r*Sens!I5240</f>
        <v>28.6733057551654</v>
      </c>
      <c r="J5353" s="6" t="n">
        <f aca="false">Sens!J5265+Sens!J5344*Sens!J5240+sbc_r*Sens!J5240</f>
        <v>29.9569595364461</v>
      </c>
      <c r="K5353" s="6" t="n">
        <f aca="false">Sens!K5265+Sens!K5344*Sens!K5240+sbc_r*Sens!K5240</f>
        <v>31.4102840319417</v>
      </c>
    </row>
    <row r="5354" customFormat="false" ht="17.15" hidden="false" customHeight="false" outlineLevel="0" collapsed="false">
      <c r="A5354" s="0" t="s">
        <v>1245</v>
      </c>
      <c r="B5354" s="0" t="s">
        <v>98</v>
      </c>
      <c r="F5354" s="6" t="n">
        <f aca="false">(Sens!F5353-Sens!F5349)*Sens!F5236/(Sens!F5236+Sens!F5238)</f>
        <v>8.83979147188726</v>
      </c>
      <c r="G5354" s="6" t="n">
        <f aca="false">(Sens!G5353-Sens!G5349)*Sens!G5236/(Sens!G5236+Sens!G5238)</f>
        <v>7.97793640869007</v>
      </c>
      <c r="H5354" s="6" t="n">
        <f aca="false">(Sens!H5353-Sens!H5349)*Sens!H5236/(Sens!H5236+Sens!H5238)</f>
        <v>7.72313416361387</v>
      </c>
      <c r="I5354" s="6" t="n">
        <f aca="false">(Sens!I5353-Sens!I5349)*Sens!I5236/(Sens!I5236+Sens!I5238)</f>
        <v>7.62052937820533</v>
      </c>
      <c r="J5354" s="6" t="n">
        <f aca="false">(Sens!J5353-Sens!J5349)*Sens!J5236/(Sens!J5236+Sens!J5238)</f>
        <v>7.65644485491192</v>
      </c>
      <c r="K5354" s="6" t="n">
        <f aca="false">(Sens!K5353-Sens!K5349)*Sens!K5236/(Sens!K5236+Sens!K5238)</f>
        <v>7.82364080413429</v>
      </c>
    </row>
    <row r="5355" customFormat="false" ht="17.15" hidden="false" customHeight="false" outlineLevel="0" collapsed="false">
      <c r="A5355" s="0" t="s">
        <v>1246</v>
      </c>
      <c r="B5355" s="0" t="s">
        <v>98</v>
      </c>
      <c r="F5355" s="6" t="n">
        <f aca="false">Sens!F5353-Sens!F5349-Sens!F5354</f>
        <v>6.81179870215735</v>
      </c>
      <c r="G5355" s="6" t="n">
        <f aca="false">Sens!G5353-Sens!G5349-Sens!G5354</f>
        <v>6.39467919495257</v>
      </c>
      <c r="H5355" s="6" t="n">
        <f aca="false">Sens!H5353-Sens!H5349-Sens!H5354</f>
        <v>6.37408867072018</v>
      </c>
      <c r="I5355" s="6" t="n">
        <f aca="false">Sens!I5353-Sens!I5349-Sens!I5354</f>
        <v>6.41188777682949</v>
      </c>
      <c r="J5355" s="6" t="n">
        <f aca="false">Sens!J5353-Sens!J5349-Sens!J5354</f>
        <v>6.50388779938063</v>
      </c>
      <c r="K5355" s="6" t="n">
        <f aca="false">Sens!K5353-Sens!K5349-Sens!K5354</f>
        <v>6.64591503458701</v>
      </c>
    </row>
    <row r="5356" customFormat="false" ht="17.15" hidden="false" customHeight="false" outlineLevel="0" collapsed="false">
      <c r="A5356" s="0" t="s">
        <v>1247</v>
      </c>
      <c r="B5356" s="0" t="s">
        <v>98</v>
      </c>
      <c r="F5356" s="6" t="n">
        <f aca="false">Sens!F5350-tax_f*(Sens!F5350-Sens!F5214)-Sens!F5211</f>
        <v>-128.371508451148</v>
      </c>
      <c r="G5356" s="6" t="n">
        <f aca="false">Sens!G5350-tax_f*(Sens!G5350-Sens!G5214)-Sens!G5211</f>
        <v>-116.128558539384</v>
      </c>
      <c r="H5356" s="6" t="n">
        <f aca="false">Sens!H5350-tax_f*(Sens!H5350-Sens!H5214)-Sens!H5211</f>
        <v>-82.6062809284608</v>
      </c>
      <c r="I5356" s="6" t="n">
        <f aca="false">Sens!I5350-tax_f*(Sens!I5350-Sens!I5214)-Sens!I5211</f>
        <v>7.82381036711234</v>
      </c>
      <c r="J5356" s="6" t="n">
        <f aca="false">Sens!J5350-tax_f*(Sens!J5350-Sens!J5214)-Sens!J5211</f>
        <v>56.532972923468</v>
      </c>
      <c r="K5356" s="6" t="n">
        <f aca="false">Sens!K5350-tax_f*(Sens!K5350-Sens!K5214)-Sens!K5211</f>
        <v>107.791184166501</v>
      </c>
    </row>
    <row r="5357" customFormat="false" ht="17.15" hidden="false" customHeight="false" outlineLevel="0" collapsed="false">
      <c r="A5357" s="0" t="s">
        <v>1248</v>
      </c>
      <c r="B5357" s="0" t="s">
        <v>98</v>
      </c>
      <c r="G5357" s="6" t="n">
        <f aca="false">Sens!G5356/(1+wacc)^(Sens!G5327-Sens!F5328)</f>
        <v>-110.5767351065</v>
      </c>
      <c r="H5357" s="6" t="n">
        <f aca="false">Sens!H5356/(1+wacc)^(Sens!H5327-Sens!F5328)</f>
        <v>-71.3160453246324</v>
      </c>
      <c r="I5357" s="6" t="n">
        <f aca="false">Sens!I5356/(1+wacc)^(Sens!I5327-Sens!F5328)</f>
        <v>6.12409547567302</v>
      </c>
      <c r="J5357" s="6" t="n">
        <f aca="false">Sens!J5356/(1+wacc)^(Sens!J5327-Sens!F5328)</f>
        <v>40.1212926298505</v>
      </c>
      <c r="K5357" s="6" t="n">
        <f aca="false">Sens!K5356/(1+wacc)^(Sens!K5327-Sens!F5328)</f>
        <v>69.359473870806</v>
      </c>
      <c r="L5357" s="1" t="s">
        <v>1249</v>
      </c>
    </row>
    <row r="5358" customFormat="false" ht="17.15" hidden="false" customHeight="false" outlineLevel="0" collapsed="false">
      <c r="A5358" s="0" t="s">
        <v>1250</v>
      </c>
      <c r="B5358" s="0" t="s">
        <v>98</v>
      </c>
      <c r="C5358" s="6" t="n">
        <f aca="false">(Sens!K5350-Sens!K5214)*(1-tax_f)*(1+g_tv)*(1-g_tv/(wacc+ronic_prem))/(wacc-g_tv)/(1+wacc)^(Sens!K5328-Sens!F5328)</f>
        <v>377.632286398229</v>
      </c>
    </row>
    <row r="5359" customFormat="false" ht="17.15" hidden="false" customHeight="false" outlineLevel="0" collapsed="false">
      <c r="A5359" s="1" t="s">
        <v>1251</v>
      </c>
      <c r="B5359" s="0" t="s">
        <v>98</v>
      </c>
      <c r="C5359" s="6" t="n">
        <f aca="false">(SUM(Sens!G5357:K5357)+Sens!$C$5358)*(1+wacc)^(t_roll-Sens!F5328)</f>
        <v>321.622787104494</v>
      </c>
      <c r="L5359" s="12" t="s">
        <v>1252</v>
      </c>
    </row>
    <row r="5360" customFormat="false" ht="17.15" hidden="false" customHeight="false" outlineLevel="0" collapsed="false">
      <c r="A5360" s="1" t="s">
        <v>1253</v>
      </c>
      <c r="B5360" s="0" t="s">
        <v>98</v>
      </c>
      <c r="C5360" s="6" t="n">
        <f aca="false">(w_ntm28*Sens!G5202+(1-w_ntm28)*Sens!H5202)*m_ai</f>
        <v>463.789109510335</v>
      </c>
    </row>
    <row r="5361" customFormat="false" ht="17.15" hidden="false" customHeight="false" outlineLevel="0" collapsed="false">
      <c r="A5361" s="1" t="s">
        <v>1254</v>
      </c>
      <c r="B5361" s="0" t="s">
        <v>98</v>
      </c>
      <c r="C5361" s="6" t="n">
        <f aca="false">(w_ntm28*Sens!G5352+(1-w_ntm28)*Sens!H5352)*m_cloud</f>
        <v>1054.60479984286</v>
      </c>
    </row>
    <row r="5362" customFormat="false" ht="17.15" hidden="false" customHeight="false" outlineLevel="0" collapsed="false">
      <c r="A5362" s="1" t="s">
        <v>1255</v>
      </c>
      <c r="B5362" s="0" t="s">
        <v>98</v>
      </c>
      <c r="C5362" s="6" t="n">
        <f aca="false">(w_ntm28*Sens!G5345+(1-w_ntm28)*Sens!H5345)*m_sw</f>
        <v>1089.35089859965</v>
      </c>
    </row>
    <row r="5363" customFormat="false" ht="17.15" hidden="false" customHeight="false" outlineLevel="0" collapsed="false">
      <c r="A5363" s="1" t="s">
        <v>1256</v>
      </c>
      <c r="B5363" s="0" t="s">
        <v>98</v>
      </c>
      <c r="C5363" s="6" t="n">
        <f aca="false">(w_ntm28*Sens!G5346+(1-w_ntm28)*Sens!H5346)*m_sw</f>
        <v>374.781866033681</v>
      </c>
    </row>
    <row r="5364" customFormat="false" ht="17.15" hidden="false" customHeight="false" outlineLevel="0" collapsed="false">
      <c r="A5364" s="1" t="s">
        <v>1257</v>
      </c>
      <c r="B5364" s="0" t="s">
        <v>98</v>
      </c>
      <c r="C5364" s="6" t="n">
        <f aca="false">(w_ntm28*Sens!G5347+(1-w_ntm28)*Sens!H5347)*m_sw</f>
        <v>110.290962584221</v>
      </c>
    </row>
    <row r="5365" customFormat="false" ht="17.15" hidden="false" customHeight="false" outlineLevel="0" collapsed="false">
      <c r="A5365" s="1" t="s">
        <v>1258</v>
      </c>
      <c r="B5365" s="0" t="s">
        <v>98</v>
      </c>
      <c r="C5365" s="6" t="n">
        <f aca="false">(w_ntm28*Sens!G5348+(1-w_ntm28)*Sens!H5348)*m_sw</f>
        <v>41.9301126518434</v>
      </c>
    </row>
    <row r="5366" customFormat="false" ht="17.15" hidden="false" customHeight="false" outlineLevel="0" collapsed="false">
      <c r="A5366" s="1" t="s">
        <v>1259</v>
      </c>
      <c r="B5366" s="0" t="s">
        <v>98</v>
      </c>
      <c r="C5366" s="6" t="n">
        <f aca="false">(w_ntm28*Sens!G5349+(1-w_ntm28)*Sens!H5349)*m_ads</f>
        <v>116.259394183463</v>
      </c>
    </row>
    <row r="5367" customFormat="false" ht="17.15" hidden="false" customHeight="false" outlineLevel="0" collapsed="false">
      <c r="A5367" s="1" t="s">
        <v>1260</v>
      </c>
      <c r="B5367" s="0" t="s">
        <v>98</v>
      </c>
      <c r="C5367" s="6" t="n">
        <f aca="false">(w_ntm28*Sens!G5354+(1-w_ntm28)*Sens!H5354)*m_game</f>
        <v>99.703314149598</v>
      </c>
    </row>
    <row r="5368" customFormat="false" ht="17.15" hidden="false" customHeight="false" outlineLevel="0" collapsed="false">
      <c r="A5368" s="1" t="s">
        <v>1261</v>
      </c>
      <c r="B5368" s="0" t="s">
        <v>98</v>
      </c>
      <c r="C5368" s="6" t="n">
        <f aca="false">(w_ntm28*Sens!G5355+(1-w_ntm28)*Sens!H5355)*m_pc</f>
        <v>92.4330534680127</v>
      </c>
    </row>
    <row r="5369" customFormat="false" ht="17.15" hidden="false" customHeight="false" outlineLevel="0" collapsed="false">
      <c r="A5369" s="1" t="s">
        <v>1262</v>
      </c>
      <c r="B5369" s="0" t="s">
        <v>98</v>
      </c>
      <c r="C5369" s="6" t="n">
        <f aca="false">Sens!$C$5359+Sens!$C$5361+Sens!$C$5362+Sens!$C$5363+Sens!$C$5364+Sens!$C$5365+Sens!$C$5366+Sens!$C$5367+Sens!$C$5368</f>
        <v>3300.97718861783</v>
      </c>
    </row>
    <row r="5370" customFormat="false" ht="17.15" hidden="false" customHeight="false" outlineLevel="0" collapsed="false">
      <c r="A5370" s="1" t="s">
        <v>1263</v>
      </c>
      <c r="B5370" s="0" t="s">
        <v>98</v>
      </c>
      <c r="C5370" s="6" t="n">
        <f aca="false">(Sens!G5331-Sens!G5356)*t_stub</f>
        <v>47.694160498386</v>
      </c>
      <c r="L5370" s="1" t="s">
        <v>1264</v>
      </c>
    </row>
    <row r="5371" customFormat="false" ht="17.15" hidden="false" customHeight="false" outlineLevel="0" collapsed="false">
      <c r="A5371" s="1" t="s">
        <v>1173</v>
      </c>
      <c r="B5371" s="0" t="s">
        <v>98</v>
      </c>
      <c r="C5371" s="6" t="n">
        <f aca="false">Sens!F5318+oai_v-Sens!F5307+Sens!$C$5370</f>
        <v>160.830796629429</v>
      </c>
      <c r="L5371" s="1" t="s">
        <v>1265</v>
      </c>
    </row>
    <row r="5372" customFormat="false" ht="17.15" hidden="false" customHeight="false" outlineLevel="0" collapsed="false">
      <c r="A5372" s="1" t="s">
        <v>1266</v>
      </c>
      <c r="B5372" s="0" t="s">
        <v>75</v>
      </c>
      <c r="C5372" s="5" t="n">
        <f aca="false">(Sens!$C$5369+Sens!$C$5371)/(Sens!F5320+dil_gap)-Sens!G5310*roll_div_q/q_per_yr</f>
        <v>460.781202407585</v>
      </c>
      <c r="L5372" s="1" t="s">
        <v>1267</v>
      </c>
    </row>
    <row r="5373" customFormat="false" ht="17.15" hidden="false" customHeight="false" outlineLevel="0" collapsed="false">
      <c r="A5373" s="1" t="s">
        <v>1268</v>
      </c>
      <c r="B5373" s="0" t="s">
        <v>75</v>
      </c>
      <c r="C5373" s="5" t="n">
        <f aca="false">w_dcf*Sens!$C$5343+(1-w_dcf)*Sens!$C$5372</f>
        <v>400.753009873257</v>
      </c>
    </row>
    <row r="5374" customFormat="false" ht="17.15" hidden="false" customHeight="false" outlineLevel="0" collapsed="false">
      <c r="A5374" s="3" t="s">
        <v>1745</v>
      </c>
    </row>
    <row r="5375" customFormat="false" ht="15" hidden="false" customHeight="false" outlineLevel="0" collapsed="false">
      <c r="A5375" s="4" t="s">
        <v>43</v>
      </c>
      <c r="B5375" s="4" t="s">
        <v>65</v>
      </c>
      <c r="C5375" s="23" t="s">
        <v>942</v>
      </c>
      <c r="D5375" s="23" t="s">
        <v>943</v>
      </c>
      <c r="E5375" s="23" t="s">
        <v>944</v>
      </c>
      <c r="F5375" s="23" t="s">
        <v>945</v>
      </c>
      <c r="G5375" s="23" t="s">
        <v>946</v>
      </c>
      <c r="H5375" s="23" t="s">
        <v>947</v>
      </c>
      <c r="I5375" s="23" t="s">
        <v>948</v>
      </c>
      <c r="J5375" s="23" t="s">
        <v>949</v>
      </c>
      <c r="K5375" s="23" t="s">
        <v>950</v>
      </c>
      <c r="L5375" s="4" t="s">
        <v>47</v>
      </c>
    </row>
    <row r="5376" customFormat="false" ht="17.15" hidden="false" customHeight="false" outlineLevel="0" collapsed="false">
      <c r="A5376" s="1" t="s">
        <v>951</v>
      </c>
      <c r="B5376" s="1" t="s">
        <v>279</v>
      </c>
      <c r="C5376" s="21" t="n">
        <v>2024</v>
      </c>
      <c r="D5376" s="21" t="n">
        <v>2025</v>
      </c>
      <c r="E5376" s="21" t="n">
        <v>2026</v>
      </c>
      <c r="F5376" s="21" t="n">
        <v>2027</v>
      </c>
      <c r="G5376" s="21" t="n">
        <v>2028</v>
      </c>
      <c r="H5376" s="21" t="n">
        <v>2029</v>
      </c>
      <c r="I5376" s="21" t="n">
        <v>2030</v>
      </c>
      <c r="J5376" s="21" t="n">
        <v>2031</v>
      </c>
      <c r="K5376" s="21" t="n">
        <v>2032</v>
      </c>
    </row>
    <row r="5377" customFormat="false" ht="17.15" hidden="false" customHeight="false" outlineLevel="0" collapsed="false">
      <c r="A5377" s="1" t="s">
        <v>952</v>
      </c>
      <c r="B5377" s="0" t="s">
        <v>459</v>
      </c>
      <c r="F5377" s="30" t="n">
        <f aca="false">pace</f>
        <v>2726.5351</v>
      </c>
      <c r="G5377" s="30" t="n">
        <f aca="false">pace</f>
        <v>2726.5351</v>
      </c>
      <c r="H5377" s="30" t="n">
        <f aca="false">pace</f>
        <v>2726.5351</v>
      </c>
      <c r="I5377" s="30" t="n">
        <f aca="false">pace+(g_tv*Sens!H5378-pace)*MIN(1,(Sens!I5376-pace_y0)/(pace_y1-pace_y0))</f>
        <v>1931.98611966667</v>
      </c>
      <c r="J5377" s="30" t="n">
        <f aca="false">pace+(g_tv*Sens!I5378-pace)*MIN(1,(Sens!J5376-pace_y0)/(pace_y1-pace_y0))</f>
        <v>1176.07686172667</v>
      </c>
      <c r="K5377" s="30" t="n">
        <f aca="false">pace+(g_tv*Sens!J5378-pace)*MIN(1,(Sens!K5376-pace_y0)/(pace_y1-pace_y0))</f>
        <v>436.1300484418</v>
      </c>
      <c r="L5377" s="12" t="s">
        <v>953</v>
      </c>
    </row>
    <row r="5378" customFormat="false" ht="17.15" hidden="false" customHeight="false" outlineLevel="0" collapsed="false">
      <c r="A5378" s="1" t="s">
        <v>954</v>
      </c>
      <c r="B5378" s="0" t="s">
        <v>459</v>
      </c>
      <c r="C5378" s="30" t="n">
        <f aca="false">mw_ext_24</f>
        <v>640</v>
      </c>
      <c r="D5378" s="30" t="n">
        <f aca="false">mw_ext_25</f>
        <v>1630</v>
      </c>
      <c r="E5378" s="30" t="n">
        <f aca="false">mw_ext_26</f>
        <v>3250</v>
      </c>
      <c r="F5378" s="30" t="n">
        <f aca="false">Sens!E5378+Sens!F5377</f>
        <v>5976.5351</v>
      </c>
      <c r="G5378" s="30" t="n">
        <f aca="false">Sens!F5378+Sens!G5377</f>
        <v>8703.0702</v>
      </c>
      <c r="H5378" s="30" t="n">
        <f aca="false">Sens!G5378+Sens!H5377</f>
        <v>11429.6053</v>
      </c>
      <c r="I5378" s="30" t="n">
        <f aca="false">Sens!H5378+Sens!I5377</f>
        <v>13361.5914196667</v>
      </c>
      <c r="J5378" s="30" t="n">
        <f aca="false">Sens!I5378+Sens!J5377</f>
        <v>14537.6682813933</v>
      </c>
      <c r="K5378" s="30" t="n">
        <f aca="false">Sens!J5378+Sens!K5377</f>
        <v>14973.7983298351</v>
      </c>
      <c r="L5378" s="1" t="s">
        <v>955</v>
      </c>
    </row>
    <row r="5379" customFormat="false" ht="17.15" hidden="false" customHeight="false" outlineLevel="0" collapsed="false">
      <c r="A5379" s="1" t="s">
        <v>956</v>
      </c>
      <c r="B5379" s="0" t="s">
        <v>459</v>
      </c>
      <c r="C5379" s="30" t="n">
        <f aca="false">rent_ext_24</f>
        <v>150</v>
      </c>
      <c r="D5379" s="30" t="n">
        <f aca="false">rent_ext_25</f>
        <v>400</v>
      </c>
      <c r="E5379" s="30" t="n">
        <f aca="false">rent_ext_26</f>
        <v>550</v>
      </c>
      <c r="F5379" s="30" t="n">
        <f aca="false">rent_ext_f</f>
        <v>756</v>
      </c>
      <c r="G5379" s="30" t="n">
        <f aca="false">rent_ext_f</f>
        <v>756</v>
      </c>
      <c r="H5379" s="30" t="n">
        <f aca="false">rent_ext_f</f>
        <v>756</v>
      </c>
      <c r="I5379" s="30" t="n">
        <f aca="false">rent_ext_f</f>
        <v>756</v>
      </c>
      <c r="J5379" s="30" t="n">
        <f aca="false">rent_ext_f</f>
        <v>756</v>
      </c>
      <c r="K5379" s="30" t="n">
        <f aca="false">rent_ext_f</f>
        <v>756</v>
      </c>
      <c r="L5379" s="1" t="s">
        <v>957</v>
      </c>
    </row>
    <row r="5380" customFormat="false" ht="17.15" hidden="false" customHeight="false" outlineLevel="0" collapsed="false">
      <c r="A5380" s="1" t="s">
        <v>958</v>
      </c>
      <c r="B5380" s="0" t="s">
        <v>459</v>
      </c>
      <c r="C5380" s="30" t="n">
        <f aca="false">Sens!C5378-Sens!C5379</f>
        <v>490</v>
      </c>
      <c r="D5380" s="30" t="n">
        <f aca="false">Sens!D5378-Sens!D5379</f>
        <v>1230</v>
      </c>
      <c r="E5380" s="30" t="n">
        <f aca="false">Sens!E5378-Sens!E5379</f>
        <v>2700</v>
      </c>
      <c r="F5380" s="30" t="n">
        <f aca="false">Sens!F5378-Sens!F5379</f>
        <v>5220.5351</v>
      </c>
      <c r="G5380" s="30" t="n">
        <f aca="false">Sens!G5378-Sens!G5379</f>
        <v>7947.0702</v>
      </c>
      <c r="H5380" s="30" t="n">
        <f aca="false">Sens!H5378-Sens!H5379</f>
        <v>10673.6053</v>
      </c>
      <c r="I5380" s="30" t="n">
        <f aca="false">Sens!I5378-Sens!I5379</f>
        <v>12605.5914196667</v>
      </c>
      <c r="J5380" s="30" t="n">
        <f aca="false">Sens!J5378-Sens!J5379</f>
        <v>13781.6682813933</v>
      </c>
      <c r="K5380" s="30" t="n">
        <f aca="false">Sens!K5378-Sens!K5379</f>
        <v>14217.7983298351</v>
      </c>
    </row>
    <row r="5381" customFormat="false" ht="17.15" hidden="false" customHeight="false" outlineLevel="0" collapsed="false">
      <c r="A5381" s="1" t="s">
        <v>959</v>
      </c>
      <c r="B5381" s="0" t="s">
        <v>459</v>
      </c>
      <c r="C5381" s="30" t="n">
        <f aca="false">Sens!C5380/ext_sh</f>
        <v>816.666666666667</v>
      </c>
      <c r="D5381" s="30" t="n">
        <f aca="false">Sens!D5380/ext_sh</f>
        <v>2050</v>
      </c>
      <c r="E5381" s="30" t="n">
        <f aca="false">Sens!E5380/ext_sh</f>
        <v>4500</v>
      </c>
      <c r="F5381" s="30" t="n">
        <f aca="false">Sens!F5380/ext_sh</f>
        <v>8700.89183333333</v>
      </c>
      <c r="G5381" s="30" t="n">
        <f aca="false">Sens!G5380/ext_sh</f>
        <v>13245.117</v>
      </c>
      <c r="H5381" s="30" t="n">
        <f aca="false">Sens!H5380/ext_sh</f>
        <v>17789.3421666667</v>
      </c>
      <c r="I5381" s="30" t="n">
        <f aca="false">Sens!I5380/ext_sh</f>
        <v>21009.3190327778</v>
      </c>
      <c r="J5381" s="30" t="n">
        <f aca="false">Sens!J5380/ext_sh</f>
        <v>22969.4471356556</v>
      </c>
      <c r="K5381" s="30" t="n">
        <f aca="false">Sens!K5380/ext_sh</f>
        <v>23696.3305497252</v>
      </c>
      <c r="L5381" s="1" t="s">
        <v>960</v>
      </c>
    </row>
    <row r="5382" customFormat="false" ht="17.15" hidden="false" customHeight="false" outlineLevel="0" collapsed="false">
      <c r="A5382" s="1" t="s">
        <v>961</v>
      </c>
      <c r="B5382" s="0" t="s">
        <v>459</v>
      </c>
      <c r="C5382" s="30" t="n">
        <f aca="false">Sens!C5381-Sens!C5380</f>
        <v>326.666666666667</v>
      </c>
      <c r="D5382" s="30" t="n">
        <f aca="false">Sens!D5381-Sens!D5380</f>
        <v>820</v>
      </c>
      <c r="E5382" s="30" t="n">
        <f aca="false">Sens!E5381-Sens!E5380</f>
        <v>1800</v>
      </c>
      <c r="F5382" s="30" t="n">
        <f aca="false">Sens!F5381-Sens!F5380</f>
        <v>3480.35673333333</v>
      </c>
      <c r="G5382" s="30" t="n">
        <f aca="false">Sens!G5381-Sens!G5380</f>
        <v>5298.0468</v>
      </c>
      <c r="H5382" s="30" t="n">
        <f aca="false">Sens!H5381-Sens!H5380</f>
        <v>7115.73686666667</v>
      </c>
      <c r="I5382" s="30" t="n">
        <f aca="false">Sens!I5381-Sens!I5380</f>
        <v>8403.72761311111</v>
      </c>
      <c r="J5382" s="30" t="n">
        <f aca="false">Sens!J5381-Sens!J5380</f>
        <v>9187.77885426222</v>
      </c>
      <c r="K5382" s="30" t="n">
        <f aca="false">Sens!K5381-Sens!K5380</f>
        <v>9478.53221989009</v>
      </c>
    </row>
    <row r="5383" customFormat="false" ht="17.15" hidden="false" customHeight="false" outlineLevel="0" collapsed="false">
      <c r="A5383" s="1" t="s">
        <v>962</v>
      </c>
      <c r="B5383" s="0" t="s">
        <v>459</v>
      </c>
      <c r="C5383" s="30" t="n">
        <f aca="false">Sens!C5381</f>
        <v>816.666666666667</v>
      </c>
      <c r="D5383" s="30" t="n">
        <f aca="false">Sens!D5381-Sens!C5381</f>
        <v>1233.33333333333</v>
      </c>
      <c r="E5383" s="30" t="n">
        <f aca="false">Sens!E5381-Sens!D5381</f>
        <v>2450</v>
      </c>
      <c r="F5383" s="30" t="n">
        <f aca="false">Sens!F5381-Sens!E5381</f>
        <v>4200.89183333333</v>
      </c>
      <c r="G5383" s="30" t="n">
        <f aca="false">Sens!G5381-Sens!F5381</f>
        <v>4544.22516666667</v>
      </c>
      <c r="H5383" s="30" t="n">
        <f aca="false">Sens!H5381-Sens!G5381</f>
        <v>4544.22516666667</v>
      </c>
      <c r="I5383" s="30" t="n">
        <f aca="false">Sens!I5381-Sens!H5381</f>
        <v>3219.97686611111</v>
      </c>
      <c r="J5383" s="30" t="n">
        <f aca="false">Sens!J5381-Sens!I5381</f>
        <v>1960.12810287778</v>
      </c>
      <c r="K5383" s="30" t="n">
        <f aca="false">Sens!K5381-Sens!J5381</f>
        <v>726.883414069667</v>
      </c>
    </row>
    <row r="5384" customFormat="false" ht="17.15" hidden="false" customHeight="false" outlineLevel="0" collapsed="false">
      <c r="A5384" s="1" t="s">
        <v>963</v>
      </c>
      <c r="B5384" s="0" t="s">
        <v>459</v>
      </c>
      <c r="D5384" s="30" t="n">
        <f aca="false">Sens!D5378-Sens!C5378</f>
        <v>990</v>
      </c>
      <c r="E5384" s="30" t="n">
        <f aca="false">Sens!E5378-Sens!D5378</f>
        <v>1620</v>
      </c>
      <c r="F5384" s="30" t="n">
        <f aca="false">Sens!F5378-Sens!E5378</f>
        <v>2726.5351</v>
      </c>
      <c r="G5384" s="30" t="n">
        <f aca="false">Sens!G5378-Sens!F5378</f>
        <v>2726.5351</v>
      </c>
      <c r="H5384" s="30" t="n">
        <f aca="false">Sens!H5378-Sens!G5378</f>
        <v>2726.5351</v>
      </c>
      <c r="I5384" s="30" t="n">
        <f aca="false">Sens!I5378-Sens!H5378</f>
        <v>1931.98611966667</v>
      </c>
      <c r="J5384" s="30" t="n">
        <f aca="false">Sens!J5378-Sens!I5378</f>
        <v>1176.07686172667</v>
      </c>
      <c r="K5384" s="30" t="n">
        <f aca="false">Sens!K5378-Sens!J5378</f>
        <v>436.130048441799</v>
      </c>
    </row>
    <row r="5385" customFormat="false" ht="17.15" hidden="false" customHeight="false" outlineLevel="0" collapsed="false">
      <c r="A5385" s="1" t="s">
        <v>964</v>
      </c>
      <c r="B5385" s="0" t="s">
        <v>459</v>
      </c>
      <c r="F5385" s="30" t="n">
        <f aca="false">Sens!F5404*ext_sh</f>
        <v>0</v>
      </c>
      <c r="G5385" s="30" t="n">
        <f aca="false">Sens!G5404*ext_sh</f>
        <v>0</v>
      </c>
      <c r="H5385" s="30" t="n">
        <f aca="false">Sens!H5404*ext_sh</f>
        <v>0</v>
      </c>
      <c r="I5385" s="30" t="n">
        <f aca="false">Sens!I5404*ext_sh</f>
        <v>0</v>
      </c>
      <c r="J5385" s="30" t="n">
        <f aca="false">Sens!J5404*ext_sh</f>
        <v>490</v>
      </c>
      <c r="K5385" s="30" t="n">
        <f aca="false">Sens!K5404*ext_sh</f>
        <v>740</v>
      </c>
      <c r="L5385" s="1" t="s">
        <v>965</v>
      </c>
    </row>
    <row r="5386" customFormat="false" ht="17.15" hidden="false" customHeight="false" outlineLevel="0" collapsed="false">
      <c r="A5386" s="1" t="s">
        <v>966</v>
      </c>
      <c r="B5386" s="0" t="s">
        <v>459</v>
      </c>
      <c r="C5386" s="30" t="n">
        <f aca="false">mix_h*Sens!C5378</f>
        <v>128</v>
      </c>
      <c r="D5386" s="30" t="n">
        <f aca="false">mix_h*Sens!D5378</f>
        <v>326</v>
      </c>
      <c r="E5386" s="30" t="n">
        <f aca="false">mix_h*Sens!E5378</f>
        <v>650</v>
      </c>
      <c r="F5386" s="30" t="n">
        <f aca="false">Sens!E5386-Sens!F5385*mix_h</f>
        <v>650</v>
      </c>
      <c r="G5386" s="30" t="n">
        <f aca="false">Sens!F5386-Sens!G5385*mix_h</f>
        <v>650</v>
      </c>
      <c r="H5386" s="30" t="n">
        <f aca="false">Sens!G5386-Sens!H5385*mix_h</f>
        <v>650</v>
      </c>
      <c r="I5386" s="30" t="n">
        <f aca="false">Sens!H5386-Sens!I5385*mix_h</f>
        <v>650</v>
      </c>
      <c r="J5386" s="30" t="n">
        <f aca="false">Sens!I5386-Sens!J5385*mix_h</f>
        <v>552</v>
      </c>
      <c r="K5386" s="30" t="n">
        <f aca="false">Sens!J5386-Sens!K5385*mix_h</f>
        <v>404</v>
      </c>
    </row>
    <row r="5387" customFormat="false" ht="17.15" hidden="false" customHeight="false" outlineLevel="0" collapsed="false">
      <c r="A5387" s="1" t="s">
        <v>967</v>
      </c>
      <c r="B5387" s="0" t="s">
        <v>459</v>
      </c>
      <c r="C5387" s="30" t="n">
        <f aca="false">mix_g2*Sens!C5378</f>
        <v>288</v>
      </c>
      <c r="D5387" s="30" t="n">
        <f aca="false">mix_g2*Sens!D5378</f>
        <v>733.5</v>
      </c>
      <c r="E5387" s="30" t="n">
        <f aca="false">mix_g2*Sens!E5378</f>
        <v>1462.5</v>
      </c>
      <c r="F5387" s="30" t="n">
        <f aca="false">Sens!E5387-Sens!F5385*mix_g2</f>
        <v>1462.5</v>
      </c>
      <c r="G5387" s="30" t="n">
        <f aca="false">Sens!F5387-Sens!G5385*mix_g2</f>
        <v>1462.5</v>
      </c>
      <c r="H5387" s="30" t="n">
        <f aca="false">Sens!G5387-Sens!H5385*mix_g2</f>
        <v>1462.5</v>
      </c>
      <c r="I5387" s="30" t="n">
        <f aca="false">Sens!H5387-Sens!I5385*mix_g2</f>
        <v>1462.5</v>
      </c>
      <c r="J5387" s="30" t="n">
        <f aca="false">Sens!I5387-Sens!J5385*mix_g2</f>
        <v>1242</v>
      </c>
      <c r="K5387" s="30" t="n">
        <f aca="false">Sens!J5387-Sens!K5385*mix_g2</f>
        <v>909</v>
      </c>
    </row>
    <row r="5388" customFormat="false" ht="17.15" hidden="false" customHeight="false" outlineLevel="0" collapsed="false">
      <c r="A5388" s="1" t="s">
        <v>968</v>
      </c>
      <c r="B5388" s="0" t="s">
        <v>459</v>
      </c>
      <c r="C5388" s="30" t="n">
        <f aca="false">mix_g3*Sens!C5378</f>
        <v>224</v>
      </c>
      <c r="D5388" s="30" t="n">
        <f aca="false">mix_g3*Sens!D5378</f>
        <v>570.5</v>
      </c>
      <c r="E5388" s="30" t="n">
        <f aca="false">mix_g3*Sens!E5378</f>
        <v>1137.5</v>
      </c>
      <c r="F5388" s="30" t="n">
        <f aca="false">Sens!E5388+(Sens!F5384+Sens!F5385)*(a_g3_27-nonnv*a_mai)-Sens!F5385*mix_g3</f>
        <v>2773.42106</v>
      </c>
      <c r="G5388" s="30" t="n">
        <f aca="false">Sens!F5388+(Sens!G5384+Sens!G5385)*(a_g3_28-nonnv*a_mai)-Sens!G5385*mix_g3</f>
        <v>3318.72808</v>
      </c>
      <c r="H5388" s="30" t="n">
        <f aca="false">Sens!G5388+(Sens!H5384+Sens!H5385)*(a_g3_29-nonnv*a_mai)-Sens!H5385*mix_g3</f>
        <v>3318.72808</v>
      </c>
      <c r="I5388" s="30" t="n">
        <f aca="false">Sens!H5388+(Sens!I5384+Sens!I5385)*(a_g3_29-nonnv*a_mai)-Sens!I5385*mix_g3</f>
        <v>3318.72808</v>
      </c>
      <c r="J5388" s="30" t="n">
        <f aca="false">Sens!I5388+(Sens!J5384+Sens!J5385)*(a_g3_29-nonnv*a_mai)-Sens!J5385*mix_g3</f>
        <v>3147.22808</v>
      </c>
      <c r="K5388" s="30" t="n">
        <f aca="false">Sens!J5388+(Sens!K5384+Sens!K5385)*(a_g3_29-nonnv*a_mai)-Sens!K5385*mix_g3</f>
        <v>2888.22808</v>
      </c>
    </row>
    <row r="5389" customFormat="false" ht="17.15" hidden="false" customHeight="false" outlineLevel="0" collapsed="false">
      <c r="A5389" s="1" t="s">
        <v>969</v>
      </c>
      <c r="B5389" s="0" t="s">
        <v>459</v>
      </c>
      <c r="C5389" s="30" t="n">
        <v>0</v>
      </c>
      <c r="D5389" s="30" t="n">
        <v>0</v>
      </c>
      <c r="E5389" s="30" t="n">
        <v>0</v>
      </c>
      <c r="F5389" s="30" t="n">
        <f aca="false">Sens!E5389+(Sens!F5384+Sens!F5385)*nonnv*a_mai</f>
        <v>272.65351</v>
      </c>
      <c r="G5389" s="30" t="n">
        <f aca="false">Sens!F5389+(Sens!G5384+Sens!G5385)*nonnv*a_mai</f>
        <v>545.30702</v>
      </c>
      <c r="H5389" s="30" t="n">
        <f aca="false">Sens!G5389+(Sens!H5384+Sens!H5385)*nonnv*a_mai</f>
        <v>817.96053</v>
      </c>
      <c r="I5389" s="30" t="n">
        <f aca="false">Sens!H5389+(Sens!I5384+Sens!I5385)*nonnv*a_mai</f>
        <v>1011.15914196667</v>
      </c>
      <c r="J5389" s="30" t="n">
        <f aca="false">Sens!I5389+(Sens!J5384+Sens!J5385)*nonnv*a_mai</f>
        <v>1177.76682813933</v>
      </c>
      <c r="K5389" s="30" t="n">
        <f aca="false">Sens!J5389+(Sens!K5384+Sens!K5385)*nonnv*a_mai</f>
        <v>1295.37983298351</v>
      </c>
      <c r="L5389" s="12" t="s">
        <v>970</v>
      </c>
    </row>
    <row r="5390" customFormat="false" ht="17.15" hidden="false" customHeight="false" outlineLevel="0" collapsed="false">
      <c r="A5390" s="1" t="s">
        <v>971</v>
      </c>
      <c r="B5390" s="0" t="s">
        <v>459</v>
      </c>
      <c r="C5390" s="30" t="n">
        <v>0</v>
      </c>
      <c r="D5390" s="30" t="n">
        <v>0</v>
      </c>
      <c r="E5390" s="30" t="n">
        <v>0</v>
      </c>
      <c r="F5390" s="30" t="n">
        <f aca="false">Sens!E5390+(Sens!F5384+Sens!F5385)*(1-a_g3_27)</f>
        <v>817.96053</v>
      </c>
      <c r="G5390" s="30" t="n">
        <f aca="false">Sens!F5390+(Sens!G5384+Sens!G5385)*(1-a_g3_28)</f>
        <v>2726.5351</v>
      </c>
      <c r="H5390" s="30" t="n">
        <f aca="false">Sens!G5390+(Sens!H5384+Sens!H5385)*(1-a_g3_29)</f>
        <v>5180.41669</v>
      </c>
      <c r="I5390" s="30" t="n">
        <f aca="false">Sens!H5390+(Sens!I5384+Sens!I5385)*(1-a_g3_29)</f>
        <v>6919.2041977</v>
      </c>
      <c r="J5390" s="30" t="n">
        <f aca="false">Sens!I5390+(Sens!J5384+Sens!J5385)*(1-a_g3_29)</f>
        <v>8418.673373254</v>
      </c>
      <c r="K5390" s="30" t="n">
        <f aca="false">Sens!J5390+(Sens!K5384+Sens!K5385)*(1-a_g3_29)</f>
        <v>9477.19041685162</v>
      </c>
    </row>
    <row r="5391" customFormat="false" ht="17.15" hidden="false" customHeight="false" outlineLevel="0" collapsed="false">
      <c r="A5391" s="1" t="s">
        <v>972</v>
      </c>
      <c r="B5391" s="0" t="s">
        <v>403</v>
      </c>
      <c r="C5391" s="15" t="n">
        <f aca="false">(Sens!C5386*tk_hold_h100+Sens!C5387*tk_hold_gb200+Sens!C5388*tk_hold_gb300+Sens!C5390*tk_hold_vr200+Sens!C5389*nv_hold_mai*tk_hold_vr200)/Sens!C5378</f>
        <v>9.7235358126469</v>
      </c>
      <c r="D5391" s="15" t="n">
        <f aca="false">(Sens!D5386*tk_hold_h100+Sens!D5387*tk_hold_gb200+Sens!D5388*tk_hold_gb300+Sens!D5390*tk_hold_vr200+Sens!D5389*nv_hold_mai*tk_hold_vr200)/Sens!D5378</f>
        <v>9.7235358126469</v>
      </c>
      <c r="E5391" s="15" t="n">
        <f aca="false">(Sens!E5386*tk_hold_h100+Sens!E5387*tk_hold_gb200+Sens!E5388*tk_hold_gb300+Sens!E5390*tk_hold_vr200+Sens!E5389*nv_hold_mai*tk_hold_vr200)/Sens!E5378</f>
        <v>9.7235358126469</v>
      </c>
      <c r="F5391" s="15" t="n">
        <f aca="false">(Sens!F5386*tk_hold_h100+Sens!F5387*tk_hold_gb200+Sens!F5388*tk_hold_gb300+Sens!F5390*tk_hold_vr200+Sens!F5389*nv_hold_mai*tk_hold_vr200)/Sens!F5378</f>
        <v>10.2195353876665</v>
      </c>
      <c r="G5391" s="15" t="n">
        <f aca="false">(Sens!G5386*tk_hold_h100+Sens!G5387*tk_hold_gb200+Sens!G5388*tk_hold_gb300+Sens!G5390*tk_hold_vr200+Sens!G5389*nv_hold_mai*tk_hold_vr200)/Sens!G5378</f>
        <v>10.5725598017306</v>
      </c>
      <c r="H5391" s="15" t="n">
        <f aca="false">(Sens!H5386*tk_hold_h100+Sens!H5387*tk_hold_gb200+Sens!H5388*tk_hold_gb300+Sens!H5390*tk_hold_vr200+Sens!H5389*nv_hold_mai*tk_hold_vr200)/Sens!H5378</f>
        <v>10.8210427149036</v>
      </c>
      <c r="I5391" s="15" t="n">
        <f aca="false">(Sens!I5386*tk_hold_h100+Sens!I5387*tk_hold_gb200+Sens!I5388*tk_hold_gb300+Sens!I5390*tk_hold_vr200+Sens!I5389*nv_hold_mai*tk_hold_vr200)/Sens!I5378</f>
        <v>10.9357269541711</v>
      </c>
      <c r="J5391" s="15" t="n">
        <f aca="false">(Sens!J5386*tk_hold_h100+Sens!J5387*tk_hold_gb200+Sens!J5388*tk_hold_gb300+Sens!J5390*tk_hold_vr200+Sens!J5389*nv_hold_mai*tk_hold_vr200)/Sens!J5378</f>
        <v>11.0543400376237</v>
      </c>
      <c r="K5391" s="15" t="n">
        <f aca="false">(Sens!K5386*tk_hold_h100+Sens!K5387*tk_hold_gb200+Sens!K5388*tk_hold_gb300+Sens!K5390*tk_hold_vr200+Sens!K5389*nv_hold_mai*tk_hold_vr200)/Sens!K5378</f>
        <v>11.1640824170085</v>
      </c>
      <c r="L5391" s="1" t="s">
        <v>973</v>
      </c>
    </row>
    <row r="5392" customFormat="false" ht="17.15" hidden="false" customHeight="false" outlineLevel="0" collapsed="false">
      <c r="A5392" s="1" t="s">
        <v>974</v>
      </c>
      <c r="B5392" s="0" t="s">
        <v>403</v>
      </c>
      <c r="C5392" s="15" t="n">
        <f aca="false">(Sens!C5386*tk_hold_h100+Sens!C5387*tk_hold_gb200+Sens!C5388*tk_hold_gb300+Sens!C5390*tk_hold_vr200+Sens!C5389*nv_out_mai*tk_hold_vr200)/Sens!C5378</f>
        <v>9.7235358126469</v>
      </c>
      <c r="D5392" s="15" t="n">
        <f aca="false">(Sens!D5386*tk_hold_h100+Sens!D5387*tk_hold_gb200+Sens!D5388*tk_hold_gb300+Sens!D5390*tk_hold_vr200+Sens!D5389*nv_out_mai*tk_hold_vr200)/Sens!D5378</f>
        <v>9.7235358126469</v>
      </c>
      <c r="E5392" s="15" t="n">
        <f aca="false">(Sens!E5386*tk_hold_h100+Sens!E5387*tk_hold_gb200+Sens!E5388*tk_hold_gb300+Sens!E5390*tk_hold_vr200+Sens!E5389*nv_out_mai*tk_hold_vr200)/Sens!E5378</f>
        <v>9.7235358126469</v>
      </c>
      <c r="F5392" s="15" t="n">
        <f aca="false">(Sens!F5386*tk_hold_h100+Sens!F5387*tk_hold_gb200+Sens!F5388*tk_hold_gb300+Sens!F5390*tk_hold_vr200+Sens!F5389*nv_out_mai*tk_hold_vr200)/Sens!F5378</f>
        <v>10.247422093969</v>
      </c>
      <c r="G5392" s="15" t="n">
        <f aca="false">(Sens!G5386*tk_hold_h100+Sens!G5387*tk_hold_gb200+Sens!G5388*tk_hold_gb300+Sens!G5390*tk_hold_vr200+Sens!G5389*nv_out_mai*tk_hold_vr200)/Sens!G5378</f>
        <v>10.6108602808053</v>
      </c>
      <c r="H5392" s="15" t="n">
        <f aca="false">(Sens!H5386*tk_hold_h100+Sens!H5387*tk_hold_gb200+Sens!H5388*tk_hold_gb300+Sens!H5390*tk_hold_vr200+Sens!H5389*nv_out_mai*tk_hold_vr200)/Sens!H5378</f>
        <v>10.8647885507393</v>
      </c>
      <c r="I5392" s="15" t="n">
        <f aca="false">(Sens!I5386*tk_hold_h100+Sens!I5387*tk_hold_gb200+Sens!I5388*tk_hold_gb300+Sens!I5390*tk_hold_vr200+Sens!I5389*nv_out_mai*tk_hold_vr200)/Sens!I5378</f>
        <v>10.9819860275961</v>
      </c>
      <c r="J5392" s="15" t="n">
        <f aca="false">(Sens!J5386*tk_hold_h100+Sens!J5387*tk_hold_gb200+Sens!J5388*tk_hold_gb300+Sens!J5390*tk_hold_vr200+Sens!J5389*nv_out_mai*tk_hold_vr200)/Sens!J5378</f>
        <v>11.1038622647405</v>
      </c>
      <c r="K5392" s="15" t="n">
        <f aca="false">(Sens!K5386*tk_hold_h100+Sens!K5387*tk_hold_gb200+Sens!K5388*tk_hold_gb300+Sens!K5390*tk_hold_vr200+Sens!K5389*nv_out_mai*tk_hold_vr200)/Sens!K5378</f>
        <v>11.21696355057</v>
      </c>
      <c r="L5392" s="12" t="s">
        <v>975</v>
      </c>
    </row>
    <row r="5393" customFormat="false" ht="17.15" hidden="false" customHeight="false" outlineLevel="0" collapsed="false">
      <c r="A5393" s="0" t="s">
        <v>976</v>
      </c>
      <c r="B5393" s="0" t="s">
        <v>229</v>
      </c>
      <c r="C5393" s="15" t="n">
        <f aca="false">k_B</f>
        <v>1.17213932619116</v>
      </c>
      <c r="D5393" s="15" t="n">
        <f aca="false">k_B</f>
        <v>1.17213932619116</v>
      </c>
      <c r="E5393" s="15" t="n">
        <f aca="false">k_B</f>
        <v>1.17213932619116</v>
      </c>
      <c r="F5393" s="15" t="n">
        <f aca="false">(k_B+((ls_C*k_long+(1-ls_C)*k_spot)-k_B)*MIN(1,(Sens!F5376-base_fy)/k_ramp))</f>
        <v>1.07843258004497</v>
      </c>
      <c r="G5393" s="15" t="n">
        <f aca="false">(k_B+((ls_C*k_long+(1-ls_C)*k_spot)-k_B)*MIN(1,(Sens!G5376-base_fy)/k_ramp))</f>
        <v>0.984725833898784</v>
      </c>
      <c r="H5393" s="15" t="n">
        <f aca="false">(k_B+((ls_C*k_long+(1-ls_C)*k_spot)-k_B)*MIN(1,(Sens!H5376-base_fy)/k_ramp))</f>
        <v>0.891019087752599</v>
      </c>
      <c r="I5393" s="15" t="n">
        <f aca="false">(k_B+((ls_C*k_long+(1-ls_C)*k_spot)-k_B)*MIN(1,(Sens!I5376-base_fy)/k_ramp))</f>
        <v>0.891019087752599</v>
      </c>
      <c r="J5393" s="15" t="n">
        <f aca="false">(k_B+((ls_C*k_long+(1-ls_C)*k_spot)-k_B)*MIN(1,(Sens!J5376-base_fy)/k_ramp))</f>
        <v>0.891019087752599</v>
      </c>
      <c r="K5393" s="15" t="n">
        <f aca="false">(k_B+((ls_C*k_long+(1-ls_C)*k_spot)-k_B)*MIN(1,(Sens!K5376-base_fy)/k_ramp))</f>
        <v>0.891019087752599</v>
      </c>
      <c r="L5393" s="1" t="s">
        <v>977</v>
      </c>
    </row>
    <row r="5394" customFormat="false" ht="17.15" hidden="false" customHeight="false" outlineLevel="0" collapsed="false">
      <c r="A5394" s="1" t="s">
        <v>978</v>
      </c>
      <c r="B5394" s="0" t="s">
        <v>403</v>
      </c>
      <c r="C5394" s="15" t="n">
        <f aca="false">Sens!C5392*Sens!C5393*chip_f</f>
        <v>11.3973387156315</v>
      </c>
      <c r="D5394" s="15" t="n">
        <f aca="false">Sens!D5392*Sens!D5393*chip_f</f>
        <v>11.3973387156315</v>
      </c>
      <c r="E5394" s="15" t="n">
        <f aca="false">Sens!E5392*Sens!E5393*chip_f</f>
        <v>11.3973387156315</v>
      </c>
      <c r="F5394" s="15" t="n">
        <f aca="false">Sens!F5392*Sens!F5393*chip_f</f>
        <v>11.0511538476088</v>
      </c>
      <c r="G5394" s="15" t="n">
        <f aca="false">Sens!G5392*Sens!G5393*chip_f</f>
        <v>10.4487882383995</v>
      </c>
      <c r="H5394" s="15" t="n">
        <f aca="false">Sens!H5392*Sens!H5393*chip_f</f>
        <v>9.68073398310464</v>
      </c>
      <c r="I5394" s="15" t="n">
        <f aca="false">Sens!I5392*Sens!I5393*chip_f</f>
        <v>9.78515917202047</v>
      </c>
      <c r="J5394" s="15" t="n">
        <f aca="false">Sens!J5392*Sens!J5393*chip_f</f>
        <v>9.89375322565957</v>
      </c>
      <c r="K5394" s="15" t="n">
        <f aca="false">Sens!K5392*Sens!K5393*chip_f</f>
        <v>9.99452863018304</v>
      </c>
      <c r="L5394" s="1" t="s">
        <v>979</v>
      </c>
    </row>
    <row r="5395" customFormat="false" ht="17.15" hidden="false" customHeight="false" outlineLevel="0" collapsed="false">
      <c r="A5395" s="0" t="s">
        <v>980</v>
      </c>
      <c r="B5395" s="0" t="s">
        <v>98</v>
      </c>
      <c r="D5395" s="6" t="n">
        <f aca="false">(Sens!C5378+Sens!D5378)/2*Sens!D5394/1000</f>
        <v>12.9359794422418</v>
      </c>
      <c r="E5395" s="6" t="n">
        <f aca="false">(Sens!D5378+Sens!E5378)/2*Sens!E5394/1000</f>
        <v>27.8095064661409</v>
      </c>
      <c r="F5395" s="6" t="n">
        <f aca="false">(Sens!E5378+Sens!F5378)/2*Sens!F5394/1000</f>
        <v>50.9819294352312</v>
      </c>
      <c r="G5395" s="6" t="n">
        <f aca="false">(Sens!F5378+Sens!G5378)/2*Sens!G5394/1000</f>
        <v>76.6920436014933</v>
      </c>
      <c r="H5395" s="6" t="n">
        <f aca="false">(Sens!G5378+Sens!H5378)/2*Sens!H5394/1000</f>
        <v>97.4495379418341</v>
      </c>
      <c r="I5395" s="6" t="n">
        <f aca="false">(Sens!H5378+Sens!I5378)/2*Sens!I5394/1000</f>
        <v>121.292902983405</v>
      </c>
      <c r="J5395" s="6" t="n">
        <f aca="false">(Sens!I5378+Sens!J5378)/2*Sens!J5394/1000</f>
        <v>138.014195330438</v>
      </c>
      <c r="K5395" s="6" t="n">
        <f aca="false">(Sens!J5378+Sens!K5378)/2*Sens!K5394/1000</f>
        <v>147.476598982307</v>
      </c>
      <c r="L5395" s="12" t="s">
        <v>981</v>
      </c>
    </row>
    <row r="5396" customFormat="false" ht="17.15" hidden="false" customHeight="false" outlineLevel="0" collapsed="false">
      <c r="A5396" s="1" t="s">
        <v>982</v>
      </c>
      <c r="B5396" s="0" t="s">
        <v>403</v>
      </c>
      <c r="C5396" s="15" t="n">
        <f aca="false">(Sens!C5386*tk_opex_h100+Sens!C5387*tk_opex_gb200+Sens!C5388*tk_opex_gb300+(Sens!C5390+Sens!C5389)*tk_opex_vr200)/Sens!C5378</f>
        <v>1.88636041306092</v>
      </c>
      <c r="D5396" s="15" t="n">
        <f aca="false">(Sens!D5386*tk_opex_h100+Sens!D5387*tk_opex_gb200+Sens!D5388*tk_opex_gb300+(Sens!D5390+Sens!D5389)*tk_opex_vr200)/Sens!D5378</f>
        <v>1.88636041306092</v>
      </c>
      <c r="E5396" s="15" t="n">
        <f aca="false">(Sens!E5386*tk_opex_h100+Sens!E5387*tk_opex_gb200+Sens!E5388*tk_opex_gb300+(Sens!E5390+Sens!E5389)*tk_opex_vr200)/Sens!E5378</f>
        <v>1.88636041306092</v>
      </c>
      <c r="F5396" s="15" t="n">
        <f aca="false">(Sens!F5386*tk_opex_h100+Sens!F5387*tk_opex_gb200+Sens!F5388*tk_opex_gb300+(Sens!F5390+Sens!F5389)*tk_opex_vr200)/Sens!F5378</f>
        <v>1.95051159746876</v>
      </c>
      <c r="G5396" s="15" t="n">
        <f aca="false">(Sens!G5386*tk_opex_h100+Sens!G5387*tk_opex_gb200+Sens!G5388*tk_opex_gb300+(Sens!G5390+Sens!G5389)*tk_opex_vr200)/Sens!G5378</f>
        <v>1.98836003669956</v>
      </c>
      <c r="H5396" s="15" t="n">
        <f aca="false">(Sens!H5386*tk_opex_h100+Sens!H5387*tk_opex_gb200+Sens!H5388*tk_opex_gb300+(Sens!H5390+Sens!H5389)*tk_opex_vr200)/Sens!H5378</f>
        <v>2.01344013834343</v>
      </c>
      <c r="I5396" s="15" t="n">
        <f aca="false">(Sens!I5386*tk_opex_h100+Sens!I5387*tk_opex_gb200+Sens!I5388*tk_opex_gb300+(Sens!I5390+Sens!I5389)*tk_opex_vr200)/Sens!I5378</f>
        <v>2.0250155514817</v>
      </c>
      <c r="J5396" s="15" t="n">
        <f aca="false">(Sens!J5386*tk_opex_h100+Sens!J5387*tk_opex_gb200+Sens!J5388*tk_opex_gb300+(Sens!J5390+Sens!J5389)*tk_opex_vr200)/Sens!J5378</f>
        <v>2.03753708880915</v>
      </c>
      <c r="K5396" s="15" t="n">
        <f aca="false">(Sens!K5386*tk_opex_h100+Sens!K5387*tk_opex_gb200+Sens!K5388*tk_opex_gb300+(Sens!K5390+Sens!K5389)*tk_opex_vr200)/Sens!K5378</f>
        <v>2.04940349450181</v>
      </c>
      <c r="L5396" s="12" t="s">
        <v>983</v>
      </c>
    </row>
    <row r="5397" customFormat="false" ht="17.15" hidden="false" customHeight="false" outlineLevel="0" collapsed="false">
      <c r="A5397" s="0" t="s">
        <v>984</v>
      </c>
      <c r="B5397" s="0" t="s">
        <v>98</v>
      </c>
      <c r="D5397" s="6" t="n">
        <f aca="false">(Sens!C5381+Sens!D5381)/2*Sens!D5396/1000</f>
        <v>2.70378325872065</v>
      </c>
      <c r="E5397" s="6" t="n">
        <f aca="false">(Sens!D5381+Sens!E5381)/2*Sens!E5396/1000</f>
        <v>6.17783035277451</v>
      </c>
      <c r="F5397" s="6" t="n">
        <f aca="false">(Sens!E5381+Sens!F5381)/2*Sens!F5396/1000</f>
        <v>12.8742463089237</v>
      </c>
      <c r="G5397" s="6" t="n">
        <f aca="false">(Sens!F5381+Sens!G5381)/2*Sens!G5396/1000</f>
        <v>21.8182834646277</v>
      </c>
      <c r="H5397" s="6" t="n">
        <f aca="false">(Sens!G5381+Sens!H5381)/2*Sens!H5396/1000</f>
        <v>31.2430128789734</v>
      </c>
      <c r="I5397" s="6" t="n">
        <f aca="false">(Sens!H5381+Sens!I5381)/2*Sens!I5396/1000</f>
        <v>39.2839461527723</v>
      </c>
      <c r="J5397" s="6" t="n">
        <f aca="false">(Sens!I5381+Sens!J5381)/2*Sens!J5396/1000</f>
        <v>44.8041835941241</v>
      </c>
      <c r="K5397" s="6" t="n">
        <f aca="false">(Sens!J5381+Sens!K5381)/2*Sens!K5396/1000</f>
        <v>47.8185039310321</v>
      </c>
    </row>
    <row r="5398" customFormat="false" ht="17.15" hidden="false" customHeight="false" outlineLevel="0" collapsed="false">
      <c r="A5398" s="0" t="s">
        <v>985</v>
      </c>
      <c r="B5398" s="0" t="s">
        <v>98</v>
      </c>
      <c r="D5398" s="6" t="n">
        <f aca="false">(Sens!C5379+Sens!D5379)/2*rent_mw/1000</f>
        <v>2.44475</v>
      </c>
      <c r="E5398" s="6" t="n">
        <f aca="false">(Sens!D5379+Sens!E5379)/2*rent_mw/1000</f>
        <v>4.22275</v>
      </c>
      <c r="F5398" s="6" t="n">
        <f aca="false">(Sens!E5379+Sens!F5379)/2*rent_mw/1000</f>
        <v>5.80517</v>
      </c>
      <c r="G5398" s="6" t="n">
        <f aca="false">(Sens!F5379+Sens!G5379)/2*rent_mw/1000</f>
        <v>6.72084</v>
      </c>
      <c r="H5398" s="6" t="n">
        <f aca="false">(Sens!G5379+Sens!H5379)/2*rent_mw/1000</f>
        <v>6.72084</v>
      </c>
      <c r="I5398" s="6" t="n">
        <f aca="false">(Sens!H5379+Sens!I5379)/2*rent_mw/1000</f>
        <v>6.72084</v>
      </c>
      <c r="J5398" s="6" t="n">
        <f aca="false">(Sens!I5379+Sens!J5379)/2*rent_mw/1000</f>
        <v>6.72084</v>
      </c>
      <c r="K5398" s="6" t="n">
        <f aca="false">(Sens!J5379+Sens!K5379)/2*rent_mw/1000</f>
        <v>6.72084</v>
      </c>
    </row>
    <row r="5399" customFormat="false" ht="17.15" hidden="false" customHeight="false" outlineLevel="0" collapsed="false">
      <c r="A5399" s="0" t="s">
        <v>986</v>
      </c>
      <c r="B5399" s="0" t="s">
        <v>98</v>
      </c>
      <c r="D5399" s="6" t="n">
        <f aca="false">(Sens!C5381+Sens!D5381)/2*(1-self_build)*fac_rent/1000</f>
        <v>0.853242375631075</v>
      </c>
      <c r="E5399" s="6" t="n">
        <f aca="false">(Sens!D5381+Sens!E5381)/2*(1-self_build)*fac_rent/1000</f>
        <v>1.94955961408728</v>
      </c>
      <c r="F5399" s="6" t="n">
        <f aca="false">(Sens!E5381+Sens!F5381)/2*(1-self_build)*fac_rent/1000</f>
        <v>3.92914894476356</v>
      </c>
      <c r="G5399" s="6" t="n">
        <f aca="false">(Sens!F5381+Sens!G5381)/2*(1-self_build)*fac_rent/1000</f>
        <v>6.53206908578159</v>
      </c>
      <c r="H5399" s="6" t="n">
        <f aca="false">(Sens!G5381+Sens!H5381)/2*(1-self_build)*fac_rent/1000</f>
        <v>9.23717988341591</v>
      </c>
      <c r="I5399" s="6" t="n">
        <f aca="false">(Sens!H5381+Sens!I5381)/2*(1-self_build)*fac_rent/1000</f>
        <v>11.5481378557393</v>
      </c>
      <c r="J5399" s="6" t="n">
        <f aca="false">(Sens!I5381+Sens!J5381)/2*(1-self_build)*fac_rent/1000</f>
        <v>13.0899582289108</v>
      </c>
      <c r="K5399" s="6" t="n">
        <f aca="false">(Sens!J5381+Sens!K5381)/2*(1-self_build)*fac_rent/1000</f>
        <v>13.8897275626556</v>
      </c>
      <c r="L5399" s="12" t="s">
        <v>987</v>
      </c>
    </row>
    <row r="5400" customFormat="false" ht="17.15" hidden="false" customHeight="false" outlineLevel="0" collapsed="false">
      <c r="A5400" s="1" t="s">
        <v>988</v>
      </c>
      <c r="B5400" s="0" t="s">
        <v>168</v>
      </c>
      <c r="D5400" s="7" t="n">
        <f aca="false">(Sens!C5380+Sens!D5380)/(Sens!C5381+Sens!D5381)</f>
        <v>0.6</v>
      </c>
      <c r="E5400" s="7" t="n">
        <f aca="false">(Sens!D5380+Sens!E5380)/(Sens!D5381+Sens!E5381)</f>
        <v>0.6</v>
      </c>
      <c r="F5400" s="7" t="n">
        <f aca="false">(Sens!E5380+Sens!F5380)/(Sens!E5381+Sens!F5381)</f>
        <v>0.6</v>
      </c>
      <c r="G5400" s="7" t="n">
        <f aca="false">(Sens!F5380+Sens!G5380)/(Sens!F5381+Sens!G5381)</f>
        <v>0.6</v>
      </c>
      <c r="H5400" s="7" t="n">
        <f aca="false">(Sens!G5380+Sens!H5380)/(Sens!G5381+Sens!H5381)</f>
        <v>0.6</v>
      </c>
      <c r="I5400" s="7" t="n">
        <f aca="false">(Sens!H5380+Sens!I5380)/(Sens!H5381+Sens!I5381)</f>
        <v>0.6</v>
      </c>
      <c r="J5400" s="7" t="n">
        <f aca="false">(Sens!I5380+Sens!J5380)/(Sens!I5381+Sens!J5381)</f>
        <v>0.6</v>
      </c>
      <c r="K5400" s="7" t="n">
        <f aca="false">(Sens!J5380+Sens!K5380)/(Sens!J5381+Sens!K5381)</f>
        <v>0.6</v>
      </c>
    </row>
    <row r="5401" customFormat="false" ht="17.15" hidden="false" customHeight="false" outlineLevel="0" collapsed="false">
      <c r="A5401" s="0" t="s">
        <v>989</v>
      </c>
      <c r="B5401" s="0" t="s">
        <v>98</v>
      </c>
      <c r="D5401" s="6" t="n">
        <f aca="false">Sens!D5395-Sens!D5400*(Sens!D5397+Sens!D5399)-Sens!D5398</f>
        <v>8.35701406163072</v>
      </c>
      <c r="E5401" s="6" t="n">
        <f aca="false">Sens!E5395-Sens!E5400*(Sens!E5397+Sens!E5399)-Sens!E5398</f>
        <v>18.7103224860238</v>
      </c>
      <c r="F5401" s="6" t="n">
        <f aca="false">Sens!F5395-Sens!F5400*(Sens!F5397+Sens!F5399)-Sens!F5398</f>
        <v>35.0947222830189</v>
      </c>
      <c r="G5401" s="6" t="n">
        <f aca="false">Sens!G5395-Sens!G5400*(Sens!G5397+Sens!G5399)-Sens!G5398</f>
        <v>52.9609920712477</v>
      </c>
      <c r="H5401" s="6" t="n">
        <f aca="false">Sens!H5395-Sens!H5400*(Sens!H5397+Sens!H5399)-Sens!H5398</f>
        <v>66.4405822844005</v>
      </c>
      <c r="I5401" s="6" t="n">
        <f aca="false">Sens!I5395-Sens!I5400*(Sens!I5397+Sens!I5399)-Sens!I5398</f>
        <v>84.0728125782981</v>
      </c>
      <c r="J5401" s="6" t="n">
        <f aca="false">Sens!J5395-Sens!J5400*(Sens!J5397+Sens!J5399)-Sens!J5398</f>
        <v>96.5568702366173</v>
      </c>
      <c r="K5401" s="6" t="n">
        <f aca="false">Sens!K5395-Sens!K5400*(Sens!K5397+Sens!K5399)-Sens!K5398</f>
        <v>103.730820086094</v>
      </c>
    </row>
    <row r="5402" customFormat="false" ht="17.15" hidden="false" customHeight="false" outlineLevel="0" collapsed="false">
      <c r="A5402" s="1" t="s">
        <v>990</v>
      </c>
      <c r="B5402" s="0" t="s">
        <v>98</v>
      </c>
      <c r="D5402" s="6" t="n">
        <f aca="false">(1-Sens!D5400)*(Sens!D5397+Sens!D5399)</f>
        <v>1.42281025374069</v>
      </c>
      <c r="E5402" s="6" t="n">
        <f aca="false">(1-Sens!E5400)*(Sens!E5397+Sens!E5399)</f>
        <v>3.25095598674472</v>
      </c>
      <c r="F5402" s="6" t="n">
        <f aca="false">(1-Sens!F5400)*(Sens!F5397+Sens!F5399)</f>
        <v>6.72135810147489</v>
      </c>
      <c r="G5402" s="6" t="n">
        <f aca="false">(1-Sens!G5400)*(Sens!G5397+Sens!G5399)</f>
        <v>11.3401410201637</v>
      </c>
      <c r="H5402" s="6" t="n">
        <f aca="false">(1-Sens!H5400)*(Sens!H5397+Sens!H5399)</f>
        <v>16.1920771049557</v>
      </c>
      <c r="I5402" s="6" t="n">
        <f aca="false">(1-Sens!I5400)*(Sens!I5397+Sens!I5399)</f>
        <v>20.3328336034046</v>
      </c>
      <c r="J5402" s="6" t="n">
        <f aca="false">(1-Sens!J5400)*(Sens!J5397+Sens!J5399)</f>
        <v>23.157656729214</v>
      </c>
      <c r="K5402" s="6" t="n">
        <f aca="false">(1-Sens!K5400)*(Sens!K5397+Sens!K5399)</f>
        <v>24.6832925974751</v>
      </c>
    </row>
    <row r="5403" customFormat="false" ht="17.15" hidden="false" customHeight="false" outlineLevel="0" collapsed="false">
      <c r="A5403" s="1" t="s">
        <v>991</v>
      </c>
      <c r="B5403" s="0" t="s">
        <v>417</v>
      </c>
      <c r="C5403" s="8" t="n">
        <f aca="false">cxit_open</f>
        <v>27.5918995</v>
      </c>
      <c r="D5403" s="8" t="n">
        <f aca="false">cxit_open</f>
        <v>27.5918995</v>
      </c>
      <c r="E5403" s="8" t="n">
        <f aca="false">cxit_open</f>
        <v>27.5918995</v>
      </c>
      <c r="F5403" s="8" t="n">
        <f aca="false">((a_g3_27-nonnv*a_mai)*tk_cxit_gb300+nonnv*a_mai*nv_hold_mai*tk_cxit_vr200+(1-a_g3_27)*tk_cxit_vr200)</f>
        <v>32.4975576</v>
      </c>
      <c r="G5403" s="8" t="n">
        <f aca="false">((a_g3_28-nonnv*a_mai)*tk_cxit_gb300+nonnv*a_mai*nv_hold_mai*tk_cxit_vr200+(1-a_g3_28)*tk_cxit_vr200)</f>
        <v>34.6372088</v>
      </c>
      <c r="H5403" s="8" t="n">
        <f aca="false">((a_g3_29-nonnv*a_mai)*tk_cxit_gb300+nonnv*a_mai*nv_hold_mai*tk_cxit_vr200+(1-a_g3_29)*tk_cxit_vr200)</f>
        <v>35.7070344</v>
      </c>
      <c r="I5403" s="8" t="n">
        <f aca="false">((a_g3_29-nonnv*a_mai)*tk_cxit_gb300+nonnv*a_mai*nv_hold_mai*tk_cxit_vr200+(1-a_g3_29)*tk_cxit_vr200)</f>
        <v>35.7070344</v>
      </c>
      <c r="J5403" s="8" t="n">
        <f aca="false">((a_g3_29-nonnv*a_mai)*tk_cxit_gb300+nonnv*a_mai*nv_hold_mai*tk_cxit_vr200+(1-a_g3_29)*tk_cxit_vr200)</f>
        <v>35.7070344</v>
      </c>
      <c r="K5403" s="8" t="n">
        <f aca="false">((a_g3_29-nonnv*a_mai)*tk_cxit_gb300+nonnv*a_mai*nv_hold_mai*tk_cxit_vr200+(1-a_g3_29)*tk_cxit_vr200)</f>
        <v>35.7070344</v>
      </c>
      <c r="L5403" s="12" t="s">
        <v>992</v>
      </c>
    </row>
    <row r="5404" customFormat="false" ht="17.15" hidden="false" customHeight="false" outlineLevel="0" collapsed="false">
      <c r="A5404" s="0" t="s">
        <v>993</v>
      </c>
      <c r="B5404" s="0" t="s">
        <v>459</v>
      </c>
      <c r="F5404" s="30" t="n">
        <f aca="false">Sens!C5383*IF(Sens!F5376-Sens!C5376=life_it_hi,1,0)+Sens!D5383*IF(Sens!F5376-Sens!D5376=life_it_hi,1,0)+Sens!E5383*IF(Sens!F5376-Sens!E5376=life_it_hi,1,0)</f>
        <v>0</v>
      </c>
      <c r="G5404" s="30" t="n">
        <f aca="false">Sens!C5383*IF(Sens!G5376-Sens!C5376=life_it_hi,1,0)+Sens!D5383*IF(Sens!G5376-Sens!D5376=life_it_hi,1,0)+Sens!E5383*IF(Sens!G5376-Sens!E5376=life_it_hi,1,0)+Sens!F5383*IF(Sens!G5376-Sens!F5376=life_it_hi,1,0)</f>
        <v>0</v>
      </c>
      <c r="H5404" s="30" t="n">
        <f aca="false">Sens!C5383*IF(Sens!H5376-Sens!C5376=life_it_hi,1,0)+Sens!D5383*IF(Sens!H5376-Sens!D5376=life_it_hi,1,0)+Sens!E5383*IF(Sens!H5376-Sens!E5376=life_it_hi,1,0)+Sens!F5383*IF(Sens!H5376-Sens!F5376=life_it_hi,1,0)+Sens!G5383*IF(Sens!H5376-Sens!G5376=life_it_hi,1,0)</f>
        <v>0</v>
      </c>
      <c r="I5404" s="30" t="n">
        <f aca="false">Sens!C5383*IF(Sens!I5376-Sens!C5376=life_it_hi,1,0)+Sens!D5383*IF(Sens!I5376-Sens!D5376=life_it_hi,1,0)+Sens!E5383*IF(Sens!I5376-Sens!E5376=life_it_hi,1,0)+Sens!F5383*IF(Sens!I5376-Sens!F5376=life_it_hi,1,0)+Sens!G5383*IF(Sens!I5376-Sens!G5376=life_it_hi,1,0)+Sens!H5383*IF(Sens!I5376-Sens!H5376=life_it_hi,1,0)</f>
        <v>0</v>
      </c>
      <c r="J5404" s="30" t="n">
        <f aca="false">Sens!C5383*IF(Sens!J5376-Sens!C5376=life_it_hi,1,0)+Sens!D5383*IF(Sens!J5376-Sens!D5376=life_it_hi,1,0)+Sens!E5383*IF(Sens!J5376-Sens!E5376=life_it_hi,1,0)+Sens!F5383*IF(Sens!J5376-Sens!F5376=life_it_hi,1,0)+Sens!G5383*IF(Sens!J5376-Sens!G5376=life_it_hi,1,0)+Sens!H5383*IF(Sens!J5376-Sens!H5376=life_it_hi,1,0)+Sens!I5383*IF(Sens!J5376-Sens!I5376=life_it_hi,1,0)</f>
        <v>816.666666666667</v>
      </c>
      <c r="K5404" s="30" t="n">
        <f aca="false">Sens!C5383*IF(Sens!K5376-Sens!C5376=life_it_hi,1,0)+Sens!D5383*IF(Sens!K5376-Sens!D5376=life_it_hi,1,0)+Sens!E5383*IF(Sens!K5376-Sens!E5376=life_it_hi,1,0)+Sens!F5383*IF(Sens!K5376-Sens!F5376=life_it_hi,1,0)+Sens!G5383*IF(Sens!K5376-Sens!G5376=life_it_hi,1,0)+Sens!H5383*IF(Sens!K5376-Sens!H5376=life_it_hi,1,0)+Sens!I5383*IF(Sens!K5376-Sens!I5376=life_it_hi,1,0)+Sens!J5383*IF(Sens!K5376-Sens!J5376=life_it_hi,1,0)</f>
        <v>1233.33333333333</v>
      </c>
      <c r="L5404" s="1" t="s">
        <v>994</v>
      </c>
    </row>
    <row r="5405" customFormat="false" ht="17.15" hidden="false" customHeight="false" outlineLevel="0" collapsed="false">
      <c r="A5405" s="0" t="s">
        <v>995</v>
      </c>
      <c r="B5405" s="0" t="s">
        <v>98</v>
      </c>
      <c r="C5405" s="6" t="n">
        <f aca="false">Sens!C5383*Sens!C5403/1000</f>
        <v>22.5333845916667</v>
      </c>
      <c r="D5405" s="6" t="n">
        <f aca="false">Sens!D5383*Sens!D5403/1000</f>
        <v>34.0300093833333</v>
      </c>
      <c r="E5405" s="6" t="n">
        <f aca="false">Sens!E5383*Sens!E5403/1000</f>
        <v>67.600153775</v>
      </c>
      <c r="F5405" s="6" t="n">
        <f aca="false">(Sens!F5383+Sens!F5404)*Sens!F5403/1000</f>
        <v>136.51872432512</v>
      </c>
      <c r="G5405" s="6" t="n">
        <f aca="false">(Sens!G5383+Sens!G5404)*Sens!G5403/1000</f>
        <v>157.399275932048</v>
      </c>
      <c r="H5405" s="6" t="n">
        <f aca="false">(Sens!H5383+Sens!H5404)*Sens!H5403/1000</f>
        <v>162.260804347512</v>
      </c>
      <c r="I5405" s="6" t="n">
        <f aca="false">(Sens!I5383+Sens!I5404)*Sens!I5403/1000</f>
        <v>114.975824725434</v>
      </c>
      <c r="J5405" s="6" t="n">
        <f aca="false">(Sens!J5383+Sens!J5404)*Sens!J5403/1000</f>
        <v>99.1511063578636</v>
      </c>
      <c r="K5405" s="6" t="n">
        <f aca="false">(Sens!K5383+Sens!K5404)*Sens!K5403/1000</f>
        <v>69.993526830975</v>
      </c>
    </row>
    <row r="5406" customFormat="false" ht="17.15" hidden="false" customHeight="false" outlineLevel="0" collapsed="false">
      <c r="A5406" s="0" t="s">
        <v>996</v>
      </c>
      <c r="B5406" s="0" t="s">
        <v>98</v>
      </c>
      <c r="C5406" s="6" t="n">
        <f aca="false">Sens!C5383*self_build*tk_cxfac/1000</f>
        <v>6.2083</v>
      </c>
      <c r="D5406" s="6" t="n">
        <f aca="false">Sens!D5383*self_build*tk_cxfac/1000</f>
        <v>9.3758</v>
      </c>
      <c r="E5406" s="6" t="n">
        <f aca="false">Sens!E5383*self_build*tk_cxfac/1000</f>
        <v>18.6249</v>
      </c>
      <c r="F5406" s="6" t="n">
        <f aca="false">Sens!F5383*self_build*tk_cxfac/1000</f>
        <v>31.935179717</v>
      </c>
      <c r="G5406" s="6" t="n">
        <f aca="false">Sens!G5383*self_build*tk_cxfac/1000</f>
        <v>34.545199717</v>
      </c>
      <c r="H5406" s="6" t="n">
        <f aca="false">Sens!H5383*self_build*tk_cxfac/1000</f>
        <v>34.545199717</v>
      </c>
      <c r="I5406" s="6" t="n">
        <f aca="false">Sens!I5383*self_build*tk_cxfac/1000</f>
        <v>24.4782641361767</v>
      </c>
      <c r="J5406" s="6" t="n">
        <f aca="false">Sens!J5383*self_build*tk_cxfac/1000</f>
        <v>14.9008938380769</v>
      </c>
      <c r="K5406" s="6" t="n">
        <f aca="false">Sens!K5383*self_build*tk_cxfac/1000</f>
        <v>5.52576771375761</v>
      </c>
    </row>
    <row r="5407" customFormat="false" ht="17.15" hidden="false" customHeight="false" outlineLevel="0" collapsed="false">
      <c r="A5407" s="0" t="s">
        <v>997</v>
      </c>
      <c r="B5407" s="0" t="s">
        <v>98</v>
      </c>
      <c r="F5407" s="15" t="n">
        <f aca="false">capex_floor27-Sens!F5405-Sens!F5406-Sens!F5503</f>
        <v>-0.0799631154216058</v>
      </c>
      <c r="L5407" s="12" t="s">
        <v>998</v>
      </c>
    </row>
    <row r="5408" customFormat="false" ht="17.15" hidden="false" customHeight="false" outlineLevel="0" collapsed="false">
      <c r="A5408" s="0" t="s">
        <v>999</v>
      </c>
      <c r="B5408" s="0" t="s">
        <v>98</v>
      </c>
      <c r="F5408" s="6" t="n">
        <f aca="false">MAX(0,Sens!F5407)</f>
        <v>0</v>
      </c>
    </row>
    <row r="5409" customFormat="false" ht="17.15" hidden="false" customHeight="false" outlineLevel="0" collapsed="false">
      <c r="A5409" s="0" t="s">
        <v>1000</v>
      </c>
      <c r="B5409" s="0" t="s">
        <v>98</v>
      </c>
      <c r="C5409" s="6" t="n">
        <f aca="false">Sens!C5405</f>
        <v>22.5333845916667</v>
      </c>
      <c r="D5409" s="6" t="n">
        <f aca="false">Sens!D5405</f>
        <v>34.0300093833333</v>
      </c>
      <c r="E5409" s="6" t="n">
        <f aca="false">Sens!E5405</f>
        <v>67.600153775</v>
      </c>
      <c r="F5409" s="6" t="n">
        <f aca="false">Sens!F5405</f>
        <v>136.51872432512</v>
      </c>
      <c r="G5409" s="6" t="n">
        <f aca="false">Sens!G5405</f>
        <v>157.399275932048</v>
      </c>
      <c r="H5409" s="6" t="n">
        <f aca="false">Sens!H5405</f>
        <v>162.260804347512</v>
      </c>
      <c r="I5409" s="6" t="n">
        <f aca="false">Sens!I5405</f>
        <v>114.975824725434</v>
      </c>
      <c r="J5409" s="6" t="n">
        <f aca="false">Sens!J5405</f>
        <v>99.1511063578636</v>
      </c>
      <c r="K5409" s="6" t="n">
        <f aca="false">Sens!K5405</f>
        <v>69.993526830975</v>
      </c>
    </row>
    <row r="5410" customFormat="false" ht="17.15" hidden="false" customHeight="false" outlineLevel="0" collapsed="false">
      <c r="A5410" s="0" t="s">
        <v>1001</v>
      </c>
      <c r="B5410" s="0" t="s">
        <v>98</v>
      </c>
      <c r="C5410" s="6" t="n">
        <f aca="false">Sens!C5409+Sens!C5406</f>
        <v>28.7416845916667</v>
      </c>
      <c r="D5410" s="6" t="n">
        <f aca="false">Sens!D5409+Sens!D5406</f>
        <v>43.4058093833333</v>
      </c>
      <c r="E5410" s="6" t="n">
        <f aca="false">Sens!E5409+Sens!E5406</f>
        <v>86.225053775</v>
      </c>
      <c r="F5410" s="6" t="n">
        <f aca="false">Sens!F5409+Sens!F5406</f>
        <v>168.45390404212</v>
      </c>
      <c r="G5410" s="6" t="n">
        <f aca="false">Sens!G5409+Sens!G5406</f>
        <v>191.944475649048</v>
      </c>
      <c r="H5410" s="6" t="n">
        <f aca="false">Sens!H5409+Sens!H5406</f>
        <v>196.806004064512</v>
      </c>
      <c r="I5410" s="6" t="n">
        <f aca="false">Sens!I5409+Sens!I5406</f>
        <v>139.45408886161</v>
      </c>
      <c r="J5410" s="6" t="n">
        <f aca="false">Sens!J5409+Sens!J5406</f>
        <v>114.05200019594</v>
      </c>
      <c r="K5410" s="6" t="n">
        <f aca="false">Sens!K5409+Sens!K5406</f>
        <v>75.5192945447327</v>
      </c>
      <c r="L5410" s="12" t="s">
        <v>1002</v>
      </c>
    </row>
    <row r="5411" customFormat="false" ht="17.15" hidden="false" customHeight="false" outlineLevel="0" collapsed="false">
      <c r="A5411" s="0" t="s">
        <v>1003</v>
      </c>
      <c r="B5411" s="0" t="s">
        <v>98</v>
      </c>
      <c r="E5411" s="6" t="n">
        <f aca="false">(Sens!C5409*IF(2&lt;life_it_hi,1,IF(2=life_it_hi,0.5,0))+Sens!D5409*IF(1&lt;life_it_hi,1,IF(1=life_it_hi,0.5,0))+Sens!E5409*0.5)/life_it_hi</f>
        <v>12.9090672660714</v>
      </c>
      <c r="F5411" s="6" t="n">
        <f aca="false">(Sens!C5409*IF(3&lt;life_it_hi,1,IF(3=life_it_hi,0.5,0))+Sens!D5409*IF(2&lt;life_it_hi,1,IF(2=life_it_hi,0.5,0))+Sens!E5409*IF(1&lt;life_it_hi,1,IF(1=life_it_hi,0.5,0))+Sens!F5409*0.5)/life_it_hi</f>
        <v>27.4889871303657</v>
      </c>
      <c r="G5411" s="6" t="n">
        <f aca="false">(Sens!C5409*IF(4&lt;life_it_hi,1,IF(4=life_it_hi,0.5,0))+Sens!D5409*IF(3&lt;life_it_hi,1,IF(3=life_it_hi,0.5,0))+Sens!E5409*IF(2&lt;life_it_hi,1,IF(2=life_it_hi,0.5,0))+Sens!F5409*IF(1&lt;life_it_hi,1,IF(1=life_it_hi,0.5,0))+Sens!G5409*0.5)/life_it_hi</f>
        <v>48.4831300058777</v>
      </c>
      <c r="H5411" s="6" t="n">
        <f aca="false">(Sens!C5409*IF(5&lt;life_it_hi,1,IF(5=life_it_hi,0.5,0))+Sens!D5409*IF(4&lt;life_it_hi,1,IF(4=life_it_hi,0.5,0))+Sens!E5409*IF(3&lt;life_it_hi,1,IF(3=life_it_hi,0.5,0))+Sens!F5409*IF(2&lt;life_it_hi,1,IF(2=life_it_hi,0.5,0))+Sens!G5409*IF(1&lt;life_it_hi,1,IF(1=life_it_hi,0.5,0))+Sens!H5409*0.5)/life_it_hi</f>
        <v>71.3159928829891</v>
      </c>
      <c r="I5411" s="6" t="n">
        <f aca="false">(Sens!C5409*IF(6&lt;life_it_hi,1,IF(6=life_it_hi,0.5,0))+Sens!D5409*IF(5&lt;life_it_hi,1,IF(5=life_it_hi,0.5,0))+Sens!E5409*IF(4&lt;life_it_hi,1,IF(4=life_it_hi,0.5,0))+Sens!F5409*IF(3&lt;life_it_hi,1,IF(3=life_it_hi,0.5,0))+Sens!G5409*IF(2&lt;life_it_hi,1,IF(2=life_it_hi,0.5,0))+Sens!H5409*IF(1&lt;life_it_hi,1,IF(1=life_it_hi,0.5,0))+Sens!I5409*0.5)/life_it_hi</f>
        <v>91.1186092453424</v>
      </c>
      <c r="J5411" s="6" t="n">
        <f aca="false">(Sens!C5409*IF(7&lt;life_it_hi,1,IF(7=life_it_hi,0.5,0))+Sens!D5409*IF(6&lt;life_it_hi,1,IF(6=life_it_hi,0.5,0))+Sens!E5409*IF(5&lt;life_it_hi,1,IF(5=life_it_hi,0.5,0))+Sens!F5409*IF(4&lt;life_it_hi,1,IF(4=life_it_hi,0.5,0))+Sens!G5409*IF(3&lt;life_it_hi,1,IF(3=life_it_hi,0.5,0))+Sens!H5409*IF(2&lt;life_it_hi,1,IF(2=life_it_hi,0.5,0))+Sens!I5409*IF(1&lt;life_it_hi,1,IF(1=life_it_hi,0.5,0))+Sens!J5409*0.5)/life_it_hi</f>
        <v>104.803862566173</v>
      </c>
      <c r="K5411" s="6" t="n">
        <f aca="false">(Sens!C5409*IF(8&lt;life_it_hi,1,IF(8=life_it_hi,0.5,0))+Sens!D5409*IF(7&lt;life_it_hi,1,IF(7=life_it_hi,0.5,0))+Sens!E5409*IF(6&lt;life_it_hi,1,IF(6=life_it_hi,0.5,0))+Sens!F5409*IF(5&lt;life_it_hi,1,IF(5=life_it_hi,0.5,0))+Sens!G5409*IF(4&lt;life_it_hi,1,IF(4=life_it_hi,0.5,0))+Sens!H5409*IF(3&lt;life_it_hi,1,IF(3=life_it_hi,0.5,0))+Sens!I5409*IF(2&lt;life_it_hi,1,IF(2=life_it_hi,0.5,0))+Sens!J5409*IF(1&lt;life_it_hi,1,IF(1=life_it_hi,0.5,0))+Sens!K5409*0.5)/life_it_hi</f>
        <v>112.845379652876</v>
      </c>
    </row>
    <row r="5412" customFormat="false" ht="17.15" hidden="false" customHeight="false" outlineLevel="0" collapsed="false">
      <c r="A5412" s="0" t="s">
        <v>1004</v>
      </c>
      <c r="B5412" s="0" t="s">
        <v>98</v>
      </c>
      <c r="E5412" s="6" t="n">
        <f aca="false">(Sens!C5406*IF(2&lt;life_fac,1,IF(2=life_fac,0.5,0))+Sens!D5406*IF(1&lt;life_fac,1,IF(1=life_fac,0.5,0))+Sens!E5406*0.5)/life_fac</f>
        <v>1.2448275</v>
      </c>
      <c r="F5412" s="6" t="n">
        <f aca="false">(Sens!C5406*IF(3&lt;life_fac,1,IF(3=life_fac,0.5,0))+Sens!D5406*IF(2&lt;life_fac,1,IF(2=life_fac,0.5,0))+Sens!E5406*IF(1&lt;life_fac,1,IF(1=life_fac,0.5,0))+Sens!F5406*0.5)/life_fac</f>
        <v>2.508829492925</v>
      </c>
      <c r="G5412" s="6" t="n">
        <f aca="false">(Sens!C5406*IF(4&lt;life_fac,1,IF(4=life_fac,0.5,0))+Sens!D5406*IF(3&lt;life_fac,1,IF(3=life_fac,0.5,0))+Sens!E5406*IF(2&lt;life_fac,1,IF(2=life_fac,0.5,0))+Sens!F5406*IF(1&lt;life_fac,1,IF(1=life_fac,0.5,0))+Sens!G5406*0.5)/life_fac</f>
        <v>4.170838978775</v>
      </c>
      <c r="H5412" s="6" t="n">
        <f aca="false">(Sens!C5406*IF(5&lt;life_fac,1,IF(5=life_fac,0.5,0))+Sens!D5406*IF(4&lt;life_fac,1,IF(4=life_fac,0.5,0))+Sens!E5406*IF(3&lt;life_fac,1,IF(3=life_fac,0.5,0))+Sens!F5406*IF(2&lt;life_fac,1,IF(2=life_fac,0.5,0))+Sens!G5406*IF(1&lt;life_fac,1,IF(1=life_fac,0.5,0))+Sens!H5406*0.5)/life_fac</f>
        <v>5.898098964625</v>
      </c>
      <c r="I5412" s="6" t="n">
        <f aca="false">(Sens!C5406*IF(6&lt;life_fac,1,IF(6=life_fac,0.5,0))+Sens!D5406*IF(5&lt;life_fac,1,IF(5=life_fac,0.5,0))+Sens!E5406*IF(4&lt;life_fac,1,IF(4=life_fac,0.5,0))+Sens!F5406*IF(3&lt;life_fac,1,IF(3=life_fac,0.5,0))+Sens!G5406*IF(2&lt;life_fac,1,IF(2=life_fac,0.5,0))+Sens!H5406*IF(1&lt;life_fac,1,IF(1=life_fac,0.5,0))+Sens!I5406*0.5)/life_fac</f>
        <v>7.37368556095442</v>
      </c>
      <c r="J5412" s="6" t="n">
        <f aca="false">(Sens!C5406*IF(7&lt;life_fac,1,IF(7=life_fac,0.5,0))+Sens!D5406*IF(6&lt;life_fac,1,IF(6=life_fac,0.5,0))+Sens!E5406*IF(5&lt;life_fac,1,IF(5=life_fac,0.5,0))+Sens!F5406*IF(4&lt;life_fac,1,IF(4=life_fac,0.5,0))+Sens!G5406*IF(3&lt;life_fac,1,IF(3=life_fac,0.5,0))+Sens!H5406*IF(2&lt;life_fac,1,IF(2=life_fac,0.5,0))+Sens!I5406*IF(1&lt;life_fac,1,IF(1=life_fac,0.5,0))+Sens!J5406*0.5)/life_fac</f>
        <v>8.35816451031075</v>
      </c>
      <c r="K5412" s="6" t="n">
        <f aca="false">(Sens!C5406*IF(8&lt;life_fac,1,IF(8=life_fac,0.5,0))+Sens!D5406*IF(7&lt;life_fac,1,IF(7=life_fac,0.5,0))+Sens!E5406*IF(6&lt;life_fac,1,IF(6=life_fac,0.5,0))+Sens!F5406*IF(5&lt;life_fac,1,IF(5=life_fac,0.5,0))+Sens!G5406*IF(4&lt;life_fac,1,IF(4=life_fac,0.5,0))+Sens!H5406*IF(3&lt;life_fac,1,IF(3=life_fac,0.5,0))+Sens!I5406*IF(2&lt;life_fac,1,IF(2=life_fac,0.5,0))+Sens!J5406*IF(1&lt;life_fac,1,IF(1=life_fac,0.5,0))+Sens!K5406*0.5)/life_fac</f>
        <v>8.86883104910662</v>
      </c>
    </row>
    <row r="5413" customFormat="false" ht="17.15" hidden="false" customHeight="false" outlineLevel="0" collapsed="false">
      <c r="A5413" s="0" t="s">
        <v>1005</v>
      </c>
      <c r="B5413" s="0" t="s">
        <v>98</v>
      </c>
      <c r="E5413" s="6" t="n">
        <f aca="false">Sens!E5411+Sens!E5412</f>
        <v>14.1538947660714</v>
      </c>
      <c r="F5413" s="6" t="n">
        <f aca="false">Sens!F5411+Sens!F5412</f>
        <v>29.9978166232907</v>
      </c>
      <c r="G5413" s="6" t="n">
        <f aca="false">Sens!G5411+Sens!G5412</f>
        <v>52.6539689846527</v>
      </c>
      <c r="H5413" s="6" t="n">
        <f aca="false">Sens!H5411+Sens!H5412</f>
        <v>77.2140918476141</v>
      </c>
      <c r="I5413" s="6" t="n">
        <f aca="false">Sens!I5411+Sens!I5412</f>
        <v>98.4922948062968</v>
      </c>
      <c r="J5413" s="6" t="n">
        <f aca="false">Sens!J5411+Sens!J5412</f>
        <v>113.162027076484</v>
      </c>
      <c r="K5413" s="6" t="n">
        <f aca="false">Sens!K5411+Sens!K5412</f>
        <v>121.714210701983</v>
      </c>
    </row>
    <row r="5414" customFormat="false" ht="17.15" hidden="false" customHeight="false" outlineLevel="0" collapsed="false">
      <c r="A5414" s="0" t="s">
        <v>1006</v>
      </c>
      <c r="B5414" s="0" t="s">
        <v>98</v>
      </c>
      <c r="E5414" s="6" t="n">
        <f aca="false">Sens!E5401-Sens!E5400*Sens!E5413</f>
        <v>10.2179856263809</v>
      </c>
      <c r="F5414" s="6" t="n">
        <f aca="false">Sens!F5401-Sens!F5400*Sens!F5413</f>
        <v>17.0960323090444</v>
      </c>
      <c r="G5414" s="6" t="n">
        <f aca="false">Sens!G5401-Sens!G5400*Sens!G5413</f>
        <v>21.3686106804561</v>
      </c>
      <c r="H5414" s="6" t="n">
        <f aca="false">Sens!H5401-Sens!H5400*Sens!H5413</f>
        <v>20.112127175832</v>
      </c>
      <c r="I5414" s="6" t="n">
        <f aca="false">Sens!I5401-Sens!I5400*Sens!I5413</f>
        <v>24.97743569452</v>
      </c>
      <c r="J5414" s="6" t="n">
        <f aca="false">Sens!J5401-Sens!J5400*Sens!J5413</f>
        <v>28.659653990727</v>
      </c>
      <c r="K5414" s="6" t="n">
        <f aca="false">Sens!K5401-Sens!K5400*Sens!K5413</f>
        <v>30.7022936649047</v>
      </c>
    </row>
    <row r="5415" customFormat="false" ht="17.15" hidden="false" customHeight="false" outlineLevel="0" collapsed="false">
      <c r="A5415" s="3" t="s">
        <v>1746</v>
      </c>
    </row>
    <row r="5416" customFormat="false" ht="15" hidden="false" customHeight="false" outlineLevel="0" collapsed="false">
      <c r="A5416" s="4" t="s">
        <v>43</v>
      </c>
      <c r="B5416" s="4" t="s">
        <v>65</v>
      </c>
      <c r="C5416" s="23" t="s">
        <v>942</v>
      </c>
      <c r="D5416" s="23" t="s">
        <v>943</v>
      </c>
      <c r="E5416" s="23" t="s">
        <v>944</v>
      </c>
      <c r="F5416" s="23" t="s">
        <v>945</v>
      </c>
      <c r="G5416" s="23" t="s">
        <v>946</v>
      </c>
      <c r="H5416" s="23" t="s">
        <v>947</v>
      </c>
      <c r="I5416" s="23" t="s">
        <v>948</v>
      </c>
      <c r="J5416" s="23" t="s">
        <v>949</v>
      </c>
      <c r="K5416" s="23" t="s">
        <v>950</v>
      </c>
      <c r="L5416" s="4" t="s">
        <v>47</v>
      </c>
    </row>
    <row r="5417" customFormat="false" ht="17.15" hidden="false" customHeight="false" outlineLevel="0" collapsed="false">
      <c r="A5417" s="0" t="s">
        <v>1025</v>
      </c>
      <c r="B5417" s="0" t="s">
        <v>98</v>
      </c>
      <c r="D5417" s="6" t="n">
        <f aca="false">Sens!D5395</f>
        <v>12.9359794422418</v>
      </c>
      <c r="E5417" s="6" t="n">
        <f aca="false">Sens!E5395</f>
        <v>27.8095064661409</v>
      </c>
      <c r="F5417" s="6" t="n">
        <f aca="false">Sens!F5395</f>
        <v>50.9819294352312</v>
      </c>
      <c r="G5417" s="6" t="n">
        <f aca="false">Sens!G5395</f>
        <v>76.6920436014933</v>
      </c>
      <c r="H5417" s="6" t="n">
        <f aca="false">Sens!H5395</f>
        <v>97.4495379418341</v>
      </c>
      <c r="I5417" s="6" t="n">
        <f aca="false">Sens!I5395</f>
        <v>121.292902983405</v>
      </c>
      <c r="J5417" s="6" t="n">
        <f aca="false">Sens!J5395</f>
        <v>138.014195330438</v>
      </c>
      <c r="K5417" s="6" t="n">
        <f aca="false">Sens!K5395</f>
        <v>147.476598982307</v>
      </c>
    </row>
    <row r="5418" customFormat="false" ht="17.15" hidden="false" customHeight="false" outlineLevel="0" collapsed="false">
      <c r="A5418" s="0" t="s">
        <v>1026</v>
      </c>
      <c r="B5418" s="0" t="s">
        <v>98</v>
      </c>
      <c r="D5418" s="6" t="n">
        <f aca="false">Q!L6-Sens!D5417</f>
        <v>59.6740205577583</v>
      </c>
      <c r="E5418" s="6" t="n">
        <f aca="false">Q!M6-Sens!E5417</f>
        <v>74.1284935338591</v>
      </c>
      <c r="F5418" s="6" t="n">
        <f aca="false">Q!$I$6+(Sens!F5417+Sens!E5418*(1+Sens!F5419))*(1-Q!$E$6/Q!M6)-Sens!F5417</f>
        <v>92.2699541184664</v>
      </c>
      <c r="G5418" s="6" t="n">
        <f aca="false">Sens!F5418*(1+Sens!G5419)</f>
        <v>109.630477277949</v>
      </c>
      <c r="H5418" s="6" t="n">
        <f aca="false">Sens!G5418*(1+Sens!H5419)</f>
        <v>127.293256321956</v>
      </c>
      <c r="I5418" s="6" t="n">
        <f aca="false">Sens!H5418*(1+Sens!I5419)</f>
        <v>144.360052269491</v>
      </c>
      <c r="J5418" s="6" t="n">
        <f aca="false">Sens!I5418*(1+Sens!J5419)</f>
        <v>159.811964490216</v>
      </c>
      <c r="K5418" s="6" t="n">
        <f aca="false">Sens!J5418*(1+Sens!K5419)</f>
        <v>172.596921649434</v>
      </c>
      <c r="L5418" s="12" t="s">
        <v>1027</v>
      </c>
    </row>
    <row r="5419" customFormat="false" ht="15" hidden="false" customHeight="false" outlineLevel="0" collapsed="false">
      <c r="A5419" s="1" t="s">
        <v>1028</v>
      </c>
      <c r="B5419" s="0" t="s">
        <v>168</v>
      </c>
      <c r="E5419" s="7" t="n">
        <f aca="false">Sens!E5418/Sens!D5418-1</f>
        <v>0.242223883039864</v>
      </c>
      <c r="F5419" s="7" t="n">
        <f aca="false">Sens!$E$5419+(glt_azo-Sens!$E$5419)*MIN(1,(Sens!F5376-base_fy)/n_conv)</f>
        <v>0.215186569199887</v>
      </c>
      <c r="G5419" s="7" t="n">
        <f aca="false">Sens!$E$5419+(glt_azo-Sens!$E$5419)*MIN(1,(Sens!G5376-base_fy)/n_conv)</f>
        <v>0.18814925535991</v>
      </c>
      <c r="H5419" s="7" t="n">
        <f aca="false">Sens!$E$5419+(glt_azo-Sens!$E$5419)*MIN(1,(Sens!H5376-base_fy)/n_conv)</f>
        <v>0.161111941519932</v>
      </c>
      <c r="I5419" s="7" t="n">
        <f aca="false">Sens!$E$5419+(glt_azo-Sens!$E$5419)*MIN(1,(Sens!I5376-base_fy)/n_conv)</f>
        <v>0.134074627679955</v>
      </c>
      <c r="J5419" s="7" t="n">
        <f aca="false">Sens!$E$5419+(glt_azo-Sens!$E$5419)*MIN(1,(Sens!J5376-base_fy)/n_conv)</f>
        <v>0.107037313839977</v>
      </c>
      <c r="K5419" s="7" t="n">
        <f aca="false">Sens!$E$5419+(glt_azo-Sens!$E$5419)*MIN(1,(Sens!K5376-base_fy)/n_conv)</f>
        <v>0.08</v>
      </c>
    </row>
    <row r="5420" customFormat="false" ht="15" hidden="false" customHeight="false" outlineLevel="0" collapsed="false">
      <c r="A5420" s="0" t="s">
        <v>1029</v>
      </c>
      <c r="B5420" s="0" t="s">
        <v>98</v>
      </c>
      <c r="D5420" s="6" t="n">
        <f aca="false">Sens!D5417+Sens!D5418</f>
        <v>72.61</v>
      </c>
      <c r="E5420" s="6" t="n">
        <f aca="false">Sens!E5417+Sens!E5418</f>
        <v>101.938</v>
      </c>
      <c r="F5420" s="6" t="n">
        <f aca="false">Sens!F5417+Sens!F5418</f>
        <v>143.251883553698</v>
      </c>
      <c r="G5420" s="6" t="n">
        <f aca="false">Sens!G5417+Sens!G5418</f>
        <v>186.322520879442</v>
      </c>
      <c r="H5420" s="6" t="n">
        <f aca="false">Sens!H5417+Sens!H5418</f>
        <v>224.74279426379</v>
      </c>
      <c r="I5420" s="6" t="n">
        <f aca="false">Sens!I5417+Sens!I5418</f>
        <v>265.652955252896</v>
      </c>
      <c r="J5420" s="6" t="n">
        <f aca="false">Sens!J5417+Sens!J5418</f>
        <v>297.826159820655</v>
      </c>
      <c r="K5420" s="6" t="n">
        <f aca="false">Sens!K5417+Sens!K5418</f>
        <v>320.073520631741</v>
      </c>
    </row>
    <row r="5421" customFormat="false" ht="17.15" hidden="false" customHeight="false" outlineLevel="0" collapsed="false">
      <c r="A5421" s="0" t="s">
        <v>1030</v>
      </c>
      <c r="B5421" s="1" t="s">
        <v>613</v>
      </c>
      <c r="C5421" s="30" t="n">
        <f aca="false">cop_s24</f>
        <v>1</v>
      </c>
      <c r="D5421" s="30" t="n">
        <f aca="false">cop_s25</f>
        <v>5</v>
      </c>
      <c r="E5421" s="30" t="n">
        <f aca="false">cop_s26</f>
        <v>30</v>
      </c>
      <c r="F5421" s="30" t="n">
        <f aca="false">Sens!E5421+cop_add_C</f>
        <v>40</v>
      </c>
      <c r="G5421" s="30" t="n">
        <f aca="false">Sens!F5421+cop_add_C</f>
        <v>50</v>
      </c>
      <c r="H5421" s="30" t="n">
        <f aca="false">Sens!G5421+cop_add_C</f>
        <v>60</v>
      </c>
      <c r="I5421" s="30" t="n">
        <f aca="false">Sens!H5421+cop_add_C*cop_tail</f>
        <v>65</v>
      </c>
      <c r="J5421" s="30" t="n">
        <f aca="false">Sens!I5421+cop_add_C*cop_tail</f>
        <v>70</v>
      </c>
      <c r="K5421" s="30" t="n">
        <f aca="false">Sens!J5421+cop_add_C*cop_tail</f>
        <v>75</v>
      </c>
      <c r="L5421" s="12" t="s">
        <v>1031</v>
      </c>
    </row>
    <row r="5422" customFormat="false" ht="17.15" hidden="false" customHeight="false" outlineLevel="0" collapsed="false">
      <c r="A5422" s="0" t="s">
        <v>1032</v>
      </c>
      <c r="B5422" s="0" t="s">
        <v>98</v>
      </c>
      <c r="D5422" s="6" t="n">
        <f aca="false">(Sens!C5421+Sens!D5421)/2*cop_px*12/1000</f>
        <v>0.9</v>
      </c>
      <c r="E5422" s="6" t="n">
        <f aca="false">(Sens!D5421+Sens!E5421)/2*cop_px*12/1000</f>
        <v>5.25</v>
      </c>
      <c r="F5422" s="6" t="n">
        <f aca="false">(Sens!E5421+Sens!F5421)/2*cop_px*12/1000</f>
        <v>10.5</v>
      </c>
      <c r="G5422" s="6" t="n">
        <f aca="false">(Sens!F5421+Sens!G5421)/2*cop_px*12/1000</f>
        <v>13.5</v>
      </c>
      <c r="H5422" s="6" t="n">
        <f aca="false">(Sens!G5421+Sens!H5421)/2*cop_px*12/1000</f>
        <v>16.5</v>
      </c>
      <c r="I5422" s="6" t="n">
        <f aca="false">(Sens!H5421+Sens!I5421)/2*cop_px*12/1000</f>
        <v>18.75</v>
      </c>
      <c r="J5422" s="6" t="n">
        <f aca="false">(Sens!I5421+Sens!J5421)/2*cop_px*12/1000</f>
        <v>20.25</v>
      </c>
      <c r="K5422" s="6" t="n">
        <f aca="false">(Sens!J5421+Sens!K5421)/2*cop_px*12/1000</f>
        <v>21.75</v>
      </c>
      <c r="L5422" s="1" t="s">
        <v>1033</v>
      </c>
    </row>
    <row r="5423" customFormat="false" ht="17.15" hidden="false" customHeight="false" outlineLevel="0" collapsed="false">
      <c r="A5423" s="0" t="s">
        <v>1034</v>
      </c>
      <c r="B5423" s="0" t="s">
        <v>98</v>
      </c>
      <c r="D5423" s="6" t="n">
        <f aca="false">Q!L7-Sens!D5422</f>
        <v>83.705</v>
      </c>
      <c r="E5423" s="6" t="n">
        <f aca="false">Q!M7-Sens!E5422</f>
        <v>95.049</v>
      </c>
      <c r="F5423" s="6" t="n">
        <f aca="false">Q!$I$7+(Sens!E5423*(1+Sens!F5424)+Sens!F5422)*(1-Q!$E$7/Q!M7)-Sens!F5422</f>
        <v>106.938354189776</v>
      </c>
      <c r="G5423" s="6" t="n">
        <f aca="false">Sens!F5423*(1+Sens!G5424)</f>
        <v>119.095360443801</v>
      </c>
      <c r="H5423" s="6" t="n">
        <f aca="false">Sens!G5423*(1+Sens!H5424)</f>
        <v>131.333811964563</v>
      </c>
      <c r="I5423" s="6" t="n">
        <f aca="false">Sens!H5423*(1+Sens!I5424)</f>
        <v>143.395665319381</v>
      </c>
      <c r="J5423" s="6" t="n">
        <f aca="false">Sens!I5423*(1+Sens!J5424)</f>
        <v>154.999327755573</v>
      </c>
      <c r="K5423" s="6" t="n">
        <f aca="false">Sens!J5423*(1+Sens!K5424)</f>
        <v>165.849280698463</v>
      </c>
      <c r="L5423" s="12" t="s">
        <v>1035</v>
      </c>
    </row>
    <row r="5424" customFormat="false" ht="15" hidden="false" customHeight="false" outlineLevel="0" collapsed="false">
      <c r="A5424" s="1" t="s">
        <v>1028</v>
      </c>
      <c r="B5424" s="0" t="s">
        <v>168</v>
      </c>
      <c r="E5424" s="7" t="n">
        <f aca="false">Sens!E5423/Sens!D5423-1</f>
        <v>0.135523564900544</v>
      </c>
      <c r="F5424" s="7" t="n">
        <f aca="false">Sens!$E$5424+(glt_m365b-Sens!$E$5424)*MIN(1,(Sens!F5376-base_fy)/n_conv)</f>
        <v>0.124602970750453</v>
      </c>
      <c r="G5424" s="7" t="n">
        <f aca="false">Sens!$E$5424+(glt_m365b-Sens!$E$5424)*MIN(1,(Sens!G5376-base_fy)/n_conv)</f>
        <v>0.113682376600363</v>
      </c>
      <c r="H5424" s="7" t="n">
        <f aca="false">Sens!$E$5424+(glt_m365b-Sens!$E$5424)*MIN(1,(Sens!H5376-base_fy)/n_conv)</f>
        <v>0.102761782450272</v>
      </c>
      <c r="I5424" s="7" t="n">
        <f aca="false">Sens!$E$5424+(glt_m365b-Sens!$E$5424)*MIN(1,(Sens!I5376-base_fy)/n_conv)</f>
        <v>0.0918411883001813</v>
      </c>
      <c r="J5424" s="7" t="n">
        <f aca="false">Sens!$E$5424+(glt_m365b-Sens!$E$5424)*MIN(1,(Sens!J5376-base_fy)/n_conv)</f>
        <v>0.0809205941500906</v>
      </c>
      <c r="K5424" s="7" t="n">
        <f aca="false">Sens!$E$5424+(glt_m365b-Sens!$E$5424)*MIN(1,(Sens!K5376-base_fy)/n_conv)</f>
        <v>0.07</v>
      </c>
    </row>
    <row r="5425" customFormat="false" ht="15" hidden="false" customHeight="false" outlineLevel="0" collapsed="false">
      <c r="A5425" s="0" t="s">
        <v>1036</v>
      </c>
      <c r="B5425" s="0" t="s">
        <v>98</v>
      </c>
      <c r="D5425" s="6" t="n">
        <f aca="false">Sens!D5423+Sens!D5422</f>
        <v>84.605</v>
      </c>
      <c r="E5425" s="6" t="n">
        <f aca="false">Sens!E5423+Sens!E5422</f>
        <v>100.299</v>
      </c>
      <c r="F5425" s="6" t="n">
        <f aca="false">Sens!F5423+Sens!F5422</f>
        <v>117.438354189776</v>
      </c>
      <c r="G5425" s="6" t="n">
        <f aca="false">Sens!G5423+Sens!G5422</f>
        <v>132.595360443801</v>
      </c>
      <c r="H5425" s="6" t="n">
        <f aca="false">Sens!H5423+Sens!H5422</f>
        <v>147.833811964563</v>
      </c>
      <c r="I5425" s="6" t="n">
        <f aca="false">Sens!I5423+Sens!I5422</f>
        <v>162.145665319381</v>
      </c>
      <c r="J5425" s="6" t="n">
        <f aca="false">Sens!J5423+Sens!J5422</f>
        <v>175.249327755573</v>
      </c>
      <c r="K5425" s="6" t="n">
        <f aca="false">Sens!K5423+Sens!K5422</f>
        <v>187.599280698463</v>
      </c>
    </row>
    <row r="5426" customFormat="false" ht="17.15" hidden="false" customHeight="false" outlineLevel="0" collapsed="false">
      <c r="A5426" s="0" t="s">
        <v>1037</v>
      </c>
      <c r="B5426" s="0" t="s">
        <v>98</v>
      </c>
      <c r="D5426" s="6" t="n">
        <f aca="false">Q!L8</f>
        <v>35.391</v>
      </c>
      <c r="E5426" s="6" t="n">
        <f aca="false">Q!M8</f>
        <v>37.285</v>
      </c>
      <c r="F5426" s="6" t="n">
        <f aca="false">Q!$I$8+(Q!M8-Q!$E$8)*(1+Sens!F5427)</f>
        <v>38.3851437782675</v>
      </c>
      <c r="G5426" s="6" t="n">
        <f aca="false">Sens!F5426*(1+Sens!G5427)</f>
        <v>40.0105353288615</v>
      </c>
      <c r="H5426" s="6" t="n">
        <f aca="false">Sens!G5426*(1+Sens!H5427)</f>
        <v>41.4812512033683</v>
      </c>
      <c r="I5426" s="6" t="n">
        <f aca="false">Sens!H5426*(1+Sens!I5427)</f>
        <v>42.7743107216329</v>
      </c>
      <c r="J5426" s="6" t="n">
        <f aca="false">Sens!I5426*(1+Sens!J5427)</f>
        <v>43.8687373064601</v>
      </c>
      <c r="K5426" s="6" t="n">
        <f aca="false">Sens!J5426*(1+Sens!K5427)</f>
        <v>44.7461120525893</v>
      </c>
      <c r="L5426" s="12" t="s">
        <v>1038</v>
      </c>
    </row>
    <row r="5427" customFormat="false" ht="15" hidden="false" customHeight="false" outlineLevel="0" collapsed="false">
      <c r="A5427" s="1" t="s">
        <v>1028</v>
      </c>
      <c r="B5427" s="0" t="s">
        <v>168</v>
      </c>
      <c r="E5427" s="7" t="n">
        <f aca="false">Sens!E5426/Sens!D5426-1</f>
        <v>0.0535164307309768</v>
      </c>
      <c r="F5427" s="7" t="n">
        <f aca="false">Sens!$E$5427+(glt_lic-Sens!$E$5427)*MIN(1,(Sens!F5376-base_fy)/n_conv)</f>
        <v>0.0479303589424807</v>
      </c>
      <c r="G5427" s="7" t="n">
        <f aca="false">Sens!$E$5427+(glt_lic-Sens!$E$5427)*MIN(1,(Sens!G5376-base_fy)/n_conv)</f>
        <v>0.0423442871539845</v>
      </c>
      <c r="H5427" s="7" t="n">
        <f aca="false">Sens!$E$5427+(glt_lic-Sens!$E$5427)*MIN(1,(Sens!H5376-base_fy)/n_conv)</f>
        <v>0.0367582153654884</v>
      </c>
      <c r="I5427" s="7" t="n">
        <f aca="false">Sens!$E$5427+(glt_lic-Sens!$E$5427)*MIN(1,(Sens!I5376-base_fy)/n_conv)</f>
        <v>0.0311721435769923</v>
      </c>
      <c r="J5427" s="7" t="n">
        <f aca="false">Sens!$E$5427+(glt_lic-Sens!$E$5427)*MIN(1,(Sens!J5376-base_fy)/n_conv)</f>
        <v>0.0255860717884961</v>
      </c>
      <c r="K5427" s="7" t="n">
        <f aca="false">Sens!$E$5427+(glt_lic-Sens!$E$5427)*MIN(1,(Sens!K5376-base_fy)/n_conv)</f>
        <v>0.02</v>
      </c>
    </row>
    <row r="5428" customFormat="false" ht="17.15" hidden="false" customHeight="false" outlineLevel="0" collapsed="false">
      <c r="A5428" s="0" t="s">
        <v>1039</v>
      </c>
      <c r="B5428" s="0" t="s">
        <v>98</v>
      </c>
      <c r="D5428" s="6" t="n">
        <f aca="false">Q!L9</f>
        <v>18.417</v>
      </c>
      <c r="E5428" s="6" t="n">
        <f aca="false">Q!M9</f>
        <v>20.345</v>
      </c>
      <c r="F5428" s="6" t="n">
        <f aca="false">Q!$I$9+(Q!M9-Q!$E$9)*(1+Sens!F5429)</f>
        <v>22.3161797133988</v>
      </c>
      <c r="G5428" s="6" t="n">
        <f aca="false">Sens!F5428*(1+Sens!G5429)</f>
        <v>24.3943499673233</v>
      </c>
      <c r="H5428" s="6" t="n">
        <f aca="false">Sens!G5428*(1+Sens!H5429)</f>
        <v>26.5250243109019</v>
      </c>
      <c r="I5428" s="6" t="n">
        <f aca="false">Sens!H5428*(1+Sens!I5429)</f>
        <v>28.6884573538181</v>
      </c>
      <c r="J5428" s="6" t="n">
        <f aca="false">Sens!I5428*(1+Sens!J5429)</f>
        <v>30.8624968052127</v>
      </c>
      <c r="K5428" s="6" t="n">
        <f aca="false">Sens!J5428*(1+Sens!K5429)</f>
        <v>33.0228715815776</v>
      </c>
      <c r="L5428" s="12" t="s">
        <v>1038</v>
      </c>
    </row>
    <row r="5429" customFormat="false" ht="15" hidden="false" customHeight="false" outlineLevel="0" collapsed="false">
      <c r="A5429" s="1" t="s">
        <v>1028</v>
      </c>
      <c r="B5429" s="0" t="s">
        <v>168</v>
      </c>
      <c r="E5429" s="7" t="n">
        <f aca="false">Sens!E5428/Sens!D5428-1</f>
        <v>0.104685888038225</v>
      </c>
      <c r="F5429" s="7" t="n">
        <f aca="false">Sens!$E$5429+(glt_ind-Sens!$E$5429)*MIN(1,(Sens!F5376-base_fy)/n_conv)</f>
        <v>0.0989049066985211</v>
      </c>
      <c r="G5429" s="7" t="n">
        <f aca="false">Sens!$E$5429+(glt_ind-Sens!$E$5429)*MIN(1,(Sens!G5376-base_fy)/n_conv)</f>
        <v>0.0931239253588169</v>
      </c>
      <c r="H5429" s="7" t="n">
        <f aca="false">Sens!$E$5429+(glt_ind-Sens!$E$5429)*MIN(1,(Sens!H5376-base_fy)/n_conv)</f>
        <v>0.0873429440191127</v>
      </c>
      <c r="I5429" s="7" t="n">
        <f aca="false">Sens!$E$5429+(glt_ind-Sens!$E$5429)*MIN(1,(Sens!I5376-base_fy)/n_conv)</f>
        <v>0.0815619626794085</v>
      </c>
      <c r="J5429" s="7" t="n">
        <f aca="false">Sens!$E$5429+(glt_ind-Sens!$E$5429)*MIN(1,(Sens!J5376-base_fy)/n_conv)</f>
        <v>0.0757809813397042</v>
      </c>
      <c r="K5429" s="7" t="n">
        <f aca="false">Sens!$E$5429+(glt_ind-Sens!$E$5429)*MIN(1,(Sens!K5376-base_fy)/n_conv)</f>
        <v>0.07</v>
      </c>
    </row>
    <row r="5430" customFormat="false" ht="17.15" hidden="false" customHeight="false" outlineLevel="0" collapsed="false">
      <c r="A5430" s="0" t="s">
        <v>1040</v>
      </c>
      <c r="B5430" s="0" t="s">
        <v>98</v>
      </c>
      <c r="D5430" s="6" t="n">
        <f aca="false">Q!L10</f>
        <v>7.76</v>
      </c>
      <c r="E5430" s="6" t="n">
        <f aca="false">Q!M10</f>
        <v>8.26</v>
      </c>
      <c r="F5430" s="6" t="n">
        <f aca="false">Q!$I$10+(Q!M10-Q!$E$10)*(1+Sens!F5431)</f>
        <v>8.75372082474227</v>
      </c>
      <c r="G5430" s="6" t="n">
        <f aca="false">Sens!F5430*(1+Sens!G5431)</f>
        <v>9.33399324642364</v>
      </c>
      <c r="H5430" s="6" t="n">
        <f aca="false">Sens!G5430*(1+Sens!H5431)</f>
        <v>9.96139155535851</v>
      </c>
      <c r="I5430" s="6" t="n">
        <f aca="false">Sens!H5430*(1+Sens!I5431)</f>
        <v>10.6402039077391</v>
      </c>
      <c r="J5430" s="6" t="n">
        <f aca="false">Sens!I5430*(1+Sens!J5431)</f>
        <v>11.3751458271397</v>
      </c>
      <c r="K5430" s="6" t="n">
        <f aca="false">Sens!J5430*(1+Sens!K5431)</f>
        <v>12.1714060350394</v>
      </c>
      <c r="L5430" s="12" t="s">
        <v>1038</v>
      </c>
    </row>
    <row r="5431" customFormat="false" ht="15" hidden="false" customHeight="false" outlineLevel="0" collapsed="false">
      <c r="A5431" s="1" t="s">
        <v>1028</v>
      </c>
      <c r="B5431" s="0" t="s">
        <v>168</v>
      </c>
      <c r="E5431" s="7" t="n">
        <f aca="false">Sens!E5430/Sens!D5430-1</f>
        <v>0.0644329896907216</v>
      </c>
      <c r="F5431" s="7" t="n">
        <f aca="false">Sens!$E$5431+(glt_fro-Sens!$E$5431)*MIN(1,(Sens!F5376-base_fy)/n_conv)</f>
        <v>0.065360824742268</v>
      </c>
      <c r="G5431" s="7" t="n">
        <f aca="false">Sens!$E$5431+(glt_fro-Sens!$E$5431)*MIN(1,(Sens!G5376-base_fy)/n_conv)</f>
        <v>0.0662886597938144</v>
      </c>
      <c r="H5431" s="7" t="n">
        <f aca="false">Sens!$E$5431+(glt_fro-Sens!$E$5431)*MIN(1,(Sens!H5376-base_fy)/n_conv)</f>
        <v>0.0672164948453608</v>
      </c>
      <c r="I5431" s="7" t="n">
        <f aca="false">Sens!$E$5431+(glt_fro-Sens!$E$5431)*MIN(1,(Sens!I5376-base_fy)/n_conv)</f>
        <v>0.0681443298969072</v>
      </c>
      <c r="J5431" s="7" t="n">
        <f aca="false">Sens!$E$5431+(glt_fro-Sens!$E$5431)*MIN(1,(Sens!J5376-base_fy)/n_conv)</f>
        <v>0.0690721649484536</v>
      </c>
      <c r="K5431" s="7" t="n">
        <f aca="false">Sens!$E$5431+(glt_fro-Sens!$E$5431)*MIN(1,(Sens!K5376-base_fy)/n_conv)</f>
        <v>0.07</v>
      </c>
    </row>
    <row r="5432" customFormat="false" ht="15" hidden="false" customHeight="false" outlineLevel="0" collapsed="false">
      <c r="A5432" s="0" t="s">
        <v>856</v>
      </c>
      <c r="B5432" s="0" t="s">
        <v>98</v>
      </c>
      <c r="D5432" s="6" t="n">
        <f aca="false">Sens!D5420+Sens!D5425+Sens!D5426+Sens!D5428+Sens!D5430</f>
        <v>218.783</v>
      </c>
      <c r="E5432" s="6" t="n">
        <f aca="false">Sens!E5420+Sens!E5425+Sens!E5426+Sens!E5428+Sens!E5430</f>
        <v>268.127</v>
      </c>
      <c r="F5432" s="6" t="n">
        <f aca="false">Sens!F5420+Sens!F5425+Sens!F5426+Sens!F5428+Sens!F5430</f>
        <v>330.145282059882</v>
      </c>
      <c r="G5432" s="6" t="n">
        <f aca="false">Sens!G5420+Sens!G5425+Sens!G5426+Sens!G5428+Sens!G5430</f>
        <v>392.656759865851</v>
      </c>
      <c r="H5432" s="6" t="n">
        <f aca="false">Sens!H5420+Sens!H5425+Sens!H5426+Sens!H5428+Sens!H5430</f>
        <v>450.544273297982</v>
      </c>
      <c r="I5432" s="6" t="n">
        <f aca="false">Sens!I5420+Sens!I5425+Sens!I5426+Sens!I5428+Sens!I5430</f>
        <v>509.901592555468</v>
      </c>
      <c r="J5432" s="6" t="n">
        <f aca="false">Sens!J5420+Sens!J5425+Sens!J5426+Sens!J5428+Sens!J5430</f>
        <v>559.18186751504</v>
      </c>
      <c r="K5432" s="6" t="n">
        <f aca="false">Sens!K5420+Sens!K5425+Sens!K5426+Sens!K5428+Sens!K5430</f>
        <v>597.61319099941</v>
      </c>
    </row>
    <row r="5433" customFormat="false" ht="17.15" hidden="false" customHeight="false" outlineLevel="0" collapsed="false">
      <c r="A5433" s="0" t="s">
        <v>1041</v>
      </c>
      <c r="B5433" s="0" t="s">
        <v>98</v>
      </c>
      <c r="D5433" s="6" t="n">
        <f aca="false">Q!L13</f>
        <v>22.171</v>
      </c>
      <c r="E5433" s="6" t="n">
        <f aca="false">Q!M13</f>
        <v>24.835</v>
      </c>
      <c r="F5433" s="6" t="n">
        <f aca="false">Q!$I$13+(Q!M13-Q!$E$13)*(1+Sens!F5434)</f>
        <v>27.5591895660247</v>
      </c>
      <c r="G5433" s="6" t="n">
        <f aca="false">Sens!F5433*(1+Sens!G5434)</f>
        <v>30.4098563144583</v>
      </c>
      <c r="H5433" s="6" t="n">
        <f aca="false">Sens!G5433*(1+Sens!H5434)</f>
        <v>33.3011792571777</v>
      </c>
      <c r="I5433" s="6" t="n">
        <f aca="false">Sens!H5433*(1+Sens!I5434)</f>
        <v>36.189023797112</v>
      </c>
      <c r="J5433" s="6" t="n">
        <f aca="false">Sens!I5433*(1+Sens!J5434)</f>
        <v>39.0247773769199</v>
      </c>
      <c r="K5433" s="6" t="n">
        <f aca="false">Sens!J5433*(1+Sens!K5434)</f>
        <v>41.7565117933043</v>
      </c>
      <c r="L5433" s="12" t="s">
        <v>1038</v>
      </c>
    </row>
    <row r="5434" customFormat="false" ht="15" hidden="false" customHeight="false" outlineLevel="0" collapsed="false">
      <c r="A5434" s="1" t="s">
        <v>1028</v>
      </c>
      <c r="B5434" s="0" t="s">
        <v>168</v>
      </c>
      <c r="E5434" s="7" t="n">
        <f aca="false">Sens!E5433/Sens!D5433-1</f>
        <v>0.120156961796942</v>
      </c>
      <c r="F5434" s="7" t="n">
        <f aca="false">Sens!$E$5434+(glt_srch-Sens!$E$5434)*MIN(1,(Sens!F5376-base_fy)/n_conv)</f>
        <v>0.111797468164118</v>
      </c>
      <c r="G5434" s="7" t="n">
        <f aca="false">Sens!$E$5434+(glt_srch-Sens!$E$5434)*MIN(1,(Sens!G5376-base_fy)/n_conv)</f>
        <v>0.103437974531295</v>
      </c>
      <c r="H5434" s="7" t="n">
        <f aca="false">Sens!$E$5434+(glt_srch-Sens!$E$5434)*MIN(1,(Sens!H5376-base_fy)/n_conv)</f>
        <v>0.095078480898471</v>
      </c>
      <c r="I5434" s="7" t="n">
        <f aca="false">Sens!$E$5434+(glt_srch-Sens!$E$5434)*MIN(1,(Sens!I5376-base_fy)/n_conv)</f>
        <v>0.0867189872656474</v>
      </c>
      <c r="J5434" s="7" t="n">
        <f aca="false">Sens!$E$5434+(glt_srch-Sens!$E$5434)*MIN(1,(Sens!J5376-base_fy)/n_conv)</f>
        <v>0.0783594936328237</v>
      </c>
      <c r="K5434" s="7" t="n">
        <f aca="false">Sens!$E$5434+(glt_srch-Sens!$E$5434)*MIN(1,(Sens!K5376-base_fy)/n_conv)</f>
        <v>0.07</v>
      </c>
    </row>
    <row r="5435" customFormat="false" ht="17.15" hidden="false" customHeight="false" outlineLevel="0" collapsed="false">
      <c r="A5435" s="0" t="s">
        <v>1042</v>
      </c>
      <c r="B5435" s="0" t="s">
        <v>98</v>
      </c>
      <c r="D5435" s="6" t="n">
        <f aca="false">Q!L14</f>
        <v>23.455</v>
      </c>
      <c r="E5435" s="6" t="n">
        <f aca="false">Q!M14</f>
        <v>21.79</v>
      </c>
      <c r="F5435" s="6" t="n">
        <f aca="false">Q!$I$14+(Q!M14-Q!$E$14)*(1+Sens!F5436)</f>
        <v>20.7520981041711</v>
      </c>
      <c r="G5435" s="6" t="n">
        <f aca="false">Sens!F5435*(1+Sens!G5436)</f>
        <v>19.9083593495882</v>
      </c>
      <c r="H5435" s="6" t="n">
        <f aca="false">Sens!G5435*(1+Sens!H5436)</f>
        <v>19.4008256265831</v>
      </c>
      <c r="I5435" s="6" t="n">
        <f aca="false">Sens!H5435*(1+Sens!I5436)</f>
        <v>19.200434522122</v>
      </c>
      <c r="J5435" s="6" t="n">
        <f aca="false">Sens!I5435*(1+Sens!J5436)</f>
        <v>19.2932782348507</v>
      </c>
      <c r="K5435" s="6" t="n">
        <f aca="false">Sens!J5435*(1+Sens!K5436)</f>
        <v>19.6791437995477</v>
      </c>
      <c r="L5435" s="12" t="s">
        <v>1038</v>
      </c>
    </row>
    <row r="5436" customFormat="false" ht="15" hidden="false" customHeight="false" outlineLevel="0" collapsed="false">
      <c r="A5436" s="1" t="s">
        <v>1028</v>
      </c>
      <c r="B5436" s="0" t="s">
        <v>168</v>
      </c>
      <c r="E5436" s="7" t="n">
        <f aca="false">Sens!E5435/Sens!D5435-1</f>
        <v>-0.0709869963760392</v>
      </c>
      <c r="F5436" s="7" t="n">
        <f aca="false">Sens!$E$5436+(glt_xbox-Sens!$E$5436)*MIN(1,(Sens!F5376-base_fy)/n_conv)</f>
        <v>-0.0558224969800327</v>
      </c>
      <c r="G5436" s="7" t="n">
        <f aca="false">Sens!$E$5436+(glt_xbox-Sens!$E$5436)*MIN(1,(Sens!G5376-base_fy)/n_conv)</f>
        <v>-0.0406579975840262</v>
      </c>
      <c r="H5436" s="7" t="n">
        <f aca="false">Sens!$E$5436+(glt_xbox-Sens!$E$5436)*MIN(1,(Sens!H5376-base_fy)/n_conv)</f>
        <v>-0.0254934981880196</v>
      </c>
      <c r="I5436" s="7" t="n">
        <f aca="false">Sens!$E$5436+(glt_xbox-Sens!$E$5436)*MIN(1,(Sens!I5376-base_fy)/n_conv)</f>
        <v>-0.0103289987920131</v>
      </c>
      <c r="J5436" s="7" t="n">
        <f aca="false">Sens!$E$5436+(glt_xbox-Sens!$E$5436)*MIN(1,(Sens!J5376-base_fy)/n_conv)</f>
        <v>0.00483550060399347</v>
      </c>
      <c r="K5436" s="7" t="n">
        <f aca="false">Sens!$E$5436+(glt_xbox-Sens!$E$5436)*MIN(1,(Sens!K5376-base_fy)/n_conv)</f>
        <v>0.02</v>
      </c>
    </row>
    <row r="5437" customFormat="false" ht="17.15" hidden="false" customHeight="false" outlineLevel="0" collapsed="false">
      <c r="A5437" s="0" t="s">
        <v>1043</v>
      </c>
      <c r="B5437" s="0" t="s">
        <v>98</v>
      </c>
      <c r="D5437" s="6" t="n">
        <f aca="false">Q!L15</f>
        <v>17.315</v>
      </c>
      <c r="E5437" s="6" t="n">
        <f aca="false">Q!M15</f>
        <v>17.087</v>
      </c>
      <c r="F5437" s="6" t="n">
        <f aca="false">Q!$I$15+(Q!M15-Q!$E$15)*(1+Sens!F5438)</f>
        <v>15.9912273250553</v>
      </c>
      <c r="G5437" s="6" t="n">
        <f aca="false">Sens!F5437*(1+Sens!G5438)</f>
        <v>15.9574562664827</v>
      </c>
      <c r="H5437" s="6" t="n">
        <f aca="false">Sens!G5437*(1+Sens!H5438)</f>
        <v>16.0119687434196</v>
      </c>
      <c r="I5437" s="6" t="n">
        <f aca="false">Sens!H5437*(1+Sens!I5438)</f>
        <v>16.1551810001948</v>
      </c>
      <c r="J5437" s="6" t="n">
        <f aca="false">Sens!I5437*(1+Sens!J5438)</f>
        <v>16.3889793892005</v>
      </c>
      <c r="K5437" s="6" t="n">
        <f aca="false">Sens!J5437*(1+Sens!K5438)</f>
        <v>16.7167589769845</v>
      </c>
      <c r="L5437" s="12" t="s">
        <v>1038</v>
      </c>
    </row>
    <row r="5438" customFormat="false" ht="15" hidden="false" customHeight="false" outlineLevel="0" collapsed="false">
      <c r="A5438" s="1" t="s">
        <v>1028</v>
      </c>
      <c r="B5438" s="0" t="s">
        <v>168</v>
      </c>
      <c r="E5438" s="7" t="n">
        <f aca="false">Sens!E5437/Sens!D5437-1</f>
        <v>-0.0131677736066995</v>
      </c>
      <c r="F5438" s="7" t="n">
        <f aca="false">Sens!$E$5438+(glt_win-Sens!$E$5438)*MIN(1,(Sens!F5376-base_fy)/n_conv)</f>
        <v>-0.00763981133891627</v>
      </c>
      <c r="G5438" s="7" t="n">
        <f aca="false">Sens!$E$5438+(glt_win-Sens!$E$5438)*MIN(1,(Sens!G5376-base_fy)/n_conv)</f>
        <v>-0.00211184907113301</v>
      </c>
      <c r="H5438" s="7" t="n">
        <f aca="false">Sens!$E$5438+(glt_win-Sens!$E$5438)*MIN(1,(Sens!H5376-base_fy)/n_conv)</f>
        <v>0.00341611319665024</v>
      </c>
      <c r="I5438" s="7" t="n">
        <f aca="false">Sens!$E$5438+(glt_win-Sens!$E$5438)*MIN(1,(Sens!I5376-base_fy)/n_conv)</f>
        <v>0.00894407546443349</v>
      </c>
      <c r="J5438" s="7" t="n">
        <f aca="false">Sens!$E$5438+(glt_win-Sens!$E$5438)*MIN(1,(Sens!J5376-base_fy)/n_conv)</f>
        <v>0.0144720377322168</v>
      </c>
      <c r="K5438" s="7" t="n">
        <f aca="false">Sens!$E$5438+(glt_win-Sens!$E$5438)*MIN(1,(Sens!K5376-base_fy)/n_conv)</f>
        <v>0.02</v>
      </c>
    </row>
    <row r="5439" customFormat="false" ht="15" hidden="false" customHeight="false" outlineLevel="0" collapsed="false">
      <c r="A5439" s="0" t="s">
        <v>870</v>
      </c>
      <c r="B5439" s="0" t="s">
        <v>98</v>
      </c>
      <c r="D5439" s="6" t="n">
        <f aca="false">Sens!D5433+Sens!D5435+Sens!D5437</f>
        <v>62.941</v>
      </c>
      <c r="E5439" s="6" t="n">
        <f aca="false">Sens!E5433+Sens!E5435+Sens!E5437</f>
        <v>63.712</v>
      </c>
      <c r="F5439" s="6" t="n">
        <f aca="false">Sens!F5433+Sens!F5435+Sens!F5437</f>
        <v>64.3025149952511</v>
      </c>
      <c r="G5439" s="6" t="n">
        <f aca="false">Sens!G5433+Sens!G5435+Sens!G5437</f>
        <v>66.2756719305292</v>
      </c>
      <c r="H5439" s="6" t="n">
        <f aca="false">Sens!H5433+Sens!H5435+Sens!H5437</f>
        <v>68.7139736271804</v>
      </c>
      <c r="I5439" s="6" t="n">
        <f aca="false">Sens!I5433+Sens!I5435+Sens!I5437</f>
        <v>71.5446393194289</v>
      </c>
      <c r="J5439" s="6" t="n">
        <f aca="false">Sens!J5433+Sens!J5435+Sens!J5437</f>
        <v>74.707035000971</v>
      </c>
      <c r="K5439" s="6" t="n">
        <f aca="false">Sens!K5433+Sens!K5435+Sens!K5437</f>
        <v>78.1524145698365</v>
      </c>
    </row>
    <row r="5440" customFormat="false" ht="15" hidden="false" customHeight="false" outlineLevel="0" collapsed="false">
      <c r="A5440" s="1" t="s">
        <v>1044</v>
      </c>
      <c r="B5440" s="0" t="s">
        <v>98</v>
      </c>
      <c r="D5440" s="6" t="n">
        <f aca="false">Sens!D5432+Sens!D5439</f>
        <v>281.724</v>
      </c>
      <c r="E5440" s="6" t="n">
        <f aca="false">Sens!E5432+Sens!E5439</f>
        <v>331.839</v>
      </c>
      <c r="F5440" s="6" t="n">
        <f aca="false">Sens!F5432+Sens!F5439</f>
        <v>394.447797055133</v>
      </c>
      <c r="G5440" s="6" t="n">
        <f aca="false">Sens!G5432+Sens!G5439</f>
        <v>458.93243179638</v>
      </c>
      <c r="H5440" s="6" t="n">
        <f aca="false">Sens!H5432+Sens!H5439</f>
        <v>519.258246925162</v>
      </c>
      <c r="I5440" s="6" t="n">
        <f aca="false">Sens!I5432+Sens!I5439</f>
        <v>581.446231874896</v>
      </c>
      <c r="J5440" s="6" t="n">
        <f aca="false">Sens!J5432+Sens!J5439</f>
        <v>633.888902516011</v>
      </c>
      <c r="K5440" s="6" t="n">
        <f aca="false">Sens!K5432+Sens!K5439</f>
        <v>675.765605569246</v>
      </c>
    </row>
    <row r="5441" customFormat="false" ht="15" hidden="false" customHeight="false" outlineLevel="0" collapsed="false">
      <c r="A5441" s="26" t="s">
        <v>1045</v>
      </c>
      <c r="B5441" s="31" t="s">
        <v>98</v>
      </c>
      <c r="C5441" s="31"/>
      <c r="D5441" s="27" t="n">
        <f aca="false">(Sens!D5420+Sens!D5425+Sens!D5426+Sens!D5428+Sens!D5430-Sens!D5432)+(Sens!D5433+Sens!D5435+Sens!D5437-Sens!D5439)+(Sens!D5432-Q!L5)+(Sens!D5439-Q!L12)+(Sens!D5420-Q!L6)+(Sens!D5425-Q!L7)</f>
        <v>0</v>
      </c>
      <c r="E5441" s="27" t="n">
        <f aca="false">(Sens!E5420+Sens!E5425+Sens!E5426+Sens!E5428+Sens!E5430-Sens!E5432)+(Sens!E5433+Sens!E5435+Sens!E5437-Sens!E5439)+(Sens!E5432-Q!M5)+(Sens!E5439-Q!M12)+(Sens!E5420-Q!M6)+(Sens!E5425-Q!M7)</f>
        <v>0</v>
      </c>
      <c r="F5441" s="27" t="n">
        <f aca="false">(Sens!F5420+Sens!F5425+Sens!F5426+Sens!F5428+Sens!F5430-Sens!F5432)+(Sens!F5433+Sens!F5435+Sens!F5437-Sens!F5439)</f>
        <v>0</v>
      </c>
      <c r="G5441" s="27" t="n">
        <f aca="false">(Sens!G5420+Sens!G5425+Sens!G5426+Sens!G5428+Sens!G5430-Sens!G5432)+(Sens!G5433+Sens!G5435+Sens!G5437-Sens!G5439)</f>
        <v>0</v>
      </c>
      <c r="H5441" s="27" t="n">
        <f aca="false">(Sens!H5420+Sens!H5425+Sens!H5426+Sens!H5428+Sens!H5430-Sens!H5432)+(Sens!H5433+Sens!H5435+Sens!H5437-Sens!H5439)</f>
        <v>0</v>
      </c>
      <c r="I5441" s="27" t="n">
        <f aca="false">(Sens!I5420+Sens!I5425+Sens!I5426+Sens!I5428+Sens!I5430-Sens!I5432)+(Sens!I5433+Sens!I5435+Sens!I5437-Sens!I5439)</f>
        <v>0</v>
      </c>
      <c r="J5441" s="27" t="n">
        <f aca="false">(Sens!J5420+Sens!J5425+Sens!J5426+Sens!J5428+Sens!J5430-Sens!J5432)+(Sens!J5433+Sens!J5435+Sens!J5437-Sens!J5439)</f>
        <v>0</v>
      </c>
      <c r="K5441" s="27" t="n">
        <f aca="false">(Sens!K5420+Sens!K5425+Sens!K5426+Sens!K5428+Sens!K5430-Sens!K5432)+(Sens!K5433+Sens!K5435+Sens!K5437-Sens!K5439)</f>
        <v>0</v>
      </c>
    </row>
    <row r="5442" customFormat="false" ht="17.15" hidden="false" customHeight="false" outlineLevel="0" collapsed="false">
      <c r="A5442" s="3" t="s">
        <v>1747</v>
      </c>
    </row>
    <row r="5443" customFormat="false" ht="15" hidden="false" customHeight="false" outlineLevel="0" collapsed="false">
      <c r="A5443" s="4" t="s">
        <v>43</v>
      </c>
      <c r="B5443" s="4" t="s">
        <v>65</v>
      </c>
      <c r="C5443" s="23" t="s">
        <v>942</v>
      </c>
      <c r="D5443" s="23" t="s">
        <v>943</v>
      </c>
      <c r="E5443" s="23" t="s">
        <v>944</v>
      </c>
      <c r="F5443" s="23" t="s">
        <v>945</v>
      </c>
      <c r="G5443" s="23" t="s">
        <v>946</v>
      </c>
      <c r="H5443" s="23" t="s">
        <v>947</v>
      </c>
      <c r="I5443" s="23" t="s">
        <v>948</v>
      </c>
      <c r="J5443" s="23" t="s">
        <v>949</v>
      </c>
      <c r="K5443" s="23" t="s">
        <v>950</v>
      </c>
      <c r="L5443" s="4" t="s">
        <v>47</v>
      </c>
    </row>
    <row r="5444" customFormat="false" ht="15" hidden="false" customHeight="false" outlineLevel="0" collapsed="false">
      <c r="A5444" s="0" t="s">
        <v>1029</v>
      </c>
      <c r="B5444" s="0" t="s">
        <v>98</v>
      </c>
      <c r="D5444" s="6" t="n">
        <f aca="false">Sens!D5420</f>
        <v>72.61</v>
      </c>
      <c r="E5444" s="6" t="n">
        <f aca="false">Sens!E5420</f>
        <v>101.938</v>
      </c>
      <c r="F5444" s="6" t="n">
        <f aca="false">Sens!F5420</f>
        <v>143.251883553698</v>
      </c>
      <c r="G5444" s="6" t="n">
        <f aca="false">Sens!G5420</f>
        <v>186.322520879442</v>
      </c>
      <c r="H5444" s="6" t="n">
        <f aca="false">Sens!H5420</f>
        <v>224.74279426379</v>
      </c>
      <c r="I5444" s="6" t="n">
        <f aca="false">Sens!I5420</f>
        <v>265.652955252896</v>
      </c>
      <c r="J5444" s="6" t="n">
        <f aca="false">Sens!J5420</f>
        <v>297.826159820655</v>
      </c>
      <c r="K5444" s="6" t="n">
        <f aca="false">Sens!K5420</f>
        <v>320.073520631741</v>
      </c>
    </row>
    <row r="5445" customFormat="false" ht="17.15" hidden="false" customHeight="false" outlineLevel="0" collapsed="false">
      <c r="A5445" s="0" t="s">
        <v>1025</v>
      </c>
      <c r="B5445" s="0" t="s">
        <v>98</v>
      </c>
      <c r="D5445" s="6" t="n">
        <f aca="false">Sens!D5417</f>
        <v>12.9359794422418</v>
      </c>
      <c r="E5445" s="6" t="n">
        <f aca="false">Sens!E5417</f>
        <v>27.8095064661409</v>
      </c>
      <c r="F5445" s="6" t="n">
        <f aca="false">Sens!F5417</f>
        <v>50.9819294352312</v>
      </c>
      <c r="G5445" s="6" t="n">
        <f aca="false">Sens!G5417</f>
        <v>76.6920436014933</v>
      </c>
      <c r="H5445" s="6" t="n">
        <f aca="false">Sens!H5417</f>
        <v>97.4495379418341</v>
      </c>
      <c r="I5445" s="6" t="n">
        <f aca="false">Sens!I5417</f>
        <v>121.292902983405</v>
      </c>
      <c r="J5445" s="6" t="n">
        <f aca="false">Sens!J5417</f>
        <v>138.014195330438</v>
      </c>
      <c r="K5445" s="6" t="n">
        <f aca="false">Sens!K5417</f>
        <v>147.476598982307</v>
      </c>
    </row>
    <row r="5446" customFormat="false" ht="17.15" hidden="false" customHeight="false" outlineLevel="0" collapsed="false">
      <c r="A5446" s="0" t="s">
        <v>1056</v>
      </c>
      <c r="B5446" s="0" t="s">
        <v>98</v>
      </c>
      <c r="D5446" s="6" t="n">
        <f aca="false">Sens!D5418</f>
        <v>59.6740205577583</v>
      </c>
      <c r="E5446" s="6" t="n">
        <f aca="false">Sens!E5418</f>
        <v>74.1284935338591</v>
      </c>
      <c r="F5446" s="6" t="n">
        <f aca="false">Sens!F5418</f>
        <v>92.2699541184664</v>
      </c>
      <c r="G5446" s="6" t="n">
        <f aca="false">Sens!G5418</f>
        <v>109.630477277949</v>
      </c>
      <c r="H5446" s="6" t="n">
        <f aca="false">Sens!H5418</f>
        <v>127.293256321956</v>
      </c>
      <c r="I5446" s="6" t="n">
        <f aca="false">Sens!I5418</f>
        <v>144.360052269491</v>
      </c>
      <c r="J5446" s="6" t="n">
        <f aca="false">Sens!J5418</f>
        <v>159.811964490216</v>
      </c>
      <c r="K5446" s="6" t="n">
        <f aca="false">Sens!K5418</f>
        <v>172.596921649434</v>
      </c>
    </row>
    <row r="5447" customFormat="false" ht="15" hidden="false" customHeight="false" outlineLevel="0" collapsed="false">
      <c r="A5447" s="0" t="s">
        <v>1036</v>
      </c>
      <c r="B5447" s="0" t="s">
        <v>98</v>
      </c>
      <c r="D5447" s="6" t="n">
        <f aca="false">Sens!D5425</f>
        <v>84.605</v>
      </c>
      <c r="E5447" s="6" t="n">
        <f aca="false">Sens!E5425</f>
        <v>100.299</v>
      </c>
      <c r="F5447" s="6" t="n">
        <f aca="false">Sens!F5425</f>
        <v>117.438354189776</v>
      </c>
      <c r="G5447" s="6" t="n">
        <f aca="false">Sens!G5425</f>
        <v>132.595360443801</v>
      </c>
      <c r="H5447" s="6" t="n">
        <f aca="false">Sens!H5425</f>
        <v>147.833811964563</v>
      </c>
      <c r="I5447" s="6" t="n">
        <f aca="false">Sens!I5425</f>
        <v>162.145665319381</v>
      </c>
      <c r="J5447" s="6" t="n">
        <f aca="false">Sens!J5425</f>
        <v>175.249327755573</v>
      </c>
      <c r="K5447" s="6" t="n">
        <f aca="false">Sens!K5425</f>
        <v>187.599280698463</v>
      </c>
    </row>
    <row r="5448" customFormat="false" ht="17.15" hidden="false" customHeight="false" outlineLevel="0" collapsed="false">
      <c r="A5448" s="0" t="s">
        <v>1057</v>
      </c>
      <c r="B5448" s="0" t="s">
        <v>98</v>
      </c>
      <c r="D5448" s="6" t="n">
        <f aca="false">Sens!D5423</f>
        <v>83.705</v>
      </c>
      <c r="E5448" s="6" t="n">
        <f aca="false">Sens!E5423</f>
        <v>95.049</v>
      </c>
      <c r="F5448" s="6" t="n">
        <f aca="false">Sens!F5423</f>
        <v>106.938354189776</v>
      </c>
      <c r="G5448" s="6" t="n">
        <f aca="false">Sens!G5423</f>
        <v>119.095360443801</v>
      </c>
      <c r="H5448" s="6" t="n">
        <f aca="false">Sens!H5423</f>
        <v>131.333811964563</v>
      </c>
      <c r="I5448" s="6" t="n">
        <f aca="false">Sens!I5423</f>
        <v>143.395665319381</v>
      </c>
      <c r="J5448" s="6" t="n">
        <f aca="false">Sens!J5423</f>
        <v>154.999327755573</v>
      </c>
      <c r="K5448" s="6" t="n">
        <f aca="false">Sens!K5423</f>
        <v>165.849280698463</v>
      </c>
    </row>
    <row r="5449" customFormat="false" ht="17.15" hidden="false" customHeight="false" outlineLevel="0" collapsed="false">
      <c r="A5449" s="0" t="s">
        <v>1058</v>
      </c>
      <c r="B5449" s="0" t="s">
        <v>98</v>
      </c>
      <c r="D5449" s="6" t="n">
        <f aca="false">Sens!D5422</f>
        <v>0.9</v>
      </c>
      <c r="E5449" s="6" t="n">
        <f aca="false">Sens!E5422</f>
        <v>5.25</v>
      </c>
      <c r="F5449" s="6" t="n">
        <f aca="false">Sens!F5422</f>
        <v>10.5</v>
      </c>
      <c r="G5449" s="6" t="n">
        <f aca="false">Sens!G5422</f>
        <v>13.5</v>
      </c>
      <c r="H5449" s="6" t="n">
        <f aca="false">Sens!H5422</f>
        <v>16.5</v>
      </c>
      <c r="I5449" s="6" t="n">
        <f aca="false">Sens!I5422</f>
        <v>18.75</v>
      </c>
      <c r="J5449" s="6" t="n">
        <f aca="false">Sens!J5422</f>
        <v>20.25</v>
      </c>
      <c r="K5449" s="6" t="n">
        <f aca="false">Sens!K5422</f>
        <v>21.75</v>
      </c>
    </row>
    <row r="5450" customFormat="false" ht="15" hidden="false" customHeight="false" outlineLevel="0" collapsed="false">
      <c r="A5450" s="0" t="s">
        <v>1037</v>
      </c>
      <c r="B5450" s="0" t="s">
        <v>98</v>
      </c>
      <c r="D5450" s="6" t="n">
        <f aca="false">Sens!D5426</f>
        <v>35.391</v>
      </c>
      <c r="E5450" s="6" t="n">
        <f aca="false">Sens!E5426</f>
        <v>37.285</v>
      </c>
      <c r="F5450" s="6" t="n">
        <f aca="false">Sens!F5426</f>
        <v>38.3851437782675</v>
      </c>
      <c r="G5450" s="6" t="n">
        <f aca="false">Sens!G5426</f>
        <v>40.0105353288615</v>
      </c>
      <c r="H5450" s="6" t="n">
        <f aca="false">Sens!H5426</f>
        <v>41.4812512033683</v>
      </c>
      <c r="I5450" s="6" t="n">
        <f aca="false">Sens!I5426</f>
        <v>42.7743107216329</v>
      </c>
      <c r="J5450" s="6" t="n">
        <f aca="false">Sens!J5426</f>
        <v>43.8687373064601</v>
      </c>
      <c r="K5450" s="6" t="n">
        <f aca="false">Sens!K5426</f>
        <v>44.7461120525893</v>
      </c>
    </row>
    <row r="5451" customFormat="false" ht="15" hidden="false" customHeight="false" outlineLevel="0" collapsed="false">
      <c r="A5451" s="0" t="s">
        <v>1039</v>
      </c>
      <c r="B5451" s="0" t="s">
        <v>98</v>
      </c>
      <c r="D5451" s="6" t="n">
        <f aca="false">Sens!D5428</f>
        <v>18.417</v>
      </c>
      <c r="E5451" s="6" t="n">
        <f aca="false">Sens!E5428</f>
        <v>20.345</v>
      </c>
      <c r="F5451" s="6" t="n">
        <f aca="false">Sens!F5428</f>
        <v>22.3161797133988</v>
      </c>
      <c r="G5451" s="6" t="n">
        <f aca="false">Sens!G5428</f>
        <v>24.3943499673233</v>
      </c>
      <c r="H5451" s="6" t="n">
        <f aca="false">Sens!H5428</f>
        <v>26.5250243109019</v>
      </c>
      <c r="I5451" s="6" t="n">
        <f aca="false">Sens!I5428</f>
        <v>28.6884573538181</v>
      </c>
      <c r="J5451" s="6" t="n">
        <f aca="false">Sens!J5428</f>
        <v>30.8624968052127</v>
      </c>
      <c r="K5451" s="6" t="n">
        <f aca="false">Sens!K5428</f>
        <v>33.0228715815776</v>
      </c>
    </row>
    <row r="5452" customFormat="false" ht="15" hidden="false" customHeight="false" outlineLevel="0" collapsed="false">
      <c r="A5452" s="0" t="s">
        <v>1040</v>
      </c>
      <c r="B5452" s="0" t="s">
        <v>98</v>
      </c>
      <c r="D5452" s="6" t="n">
        <f aca="false">Sens!D5430</f>
        <v>7.76</v>
      </c>
      <c r="E5452" s="6" t="n">
        <f aca="false">Sens!E5430</f>
        <v>8.26</v>
      </c>
      <c r="F5452" s="6" t="n">
        <f aca="false">Sens!F5430</f>
        <v>8.75372082474227</v>
      </c>
      <c r="G5452" s="6" t="n">
        <f aca="false">Sens!G5430</f>
        <v>9.33399324642364</v>
      </c>
      <c r="H5452" s="6" t="n">
        <f aca="false">Sens!H5430</f>
        <v>9.96139155535851</v>
      </c>
      <c r="I5452" s="6" t="n">
        <f aca="false">Sens!I5430</f>
        <v>10.6402039077391</v>
      </c>
      <c r="J5452" s="6" t="n">
        <f aca="false">Sens!J5430</f>
        <v>11.3751458271397</v>
      </c>
      <c r="K5452" s="6" t="n">
        <f aca="false">Sens!K5430</f>
        <v>12.1714060350394</v>
      </c>
    </row>
    <row r="5453" customFormat="false" ht="15" hidden="false" customHeight="false" outlineLevel="0" collapsed="false">
      <c r="A5453" s="0" t="s">
        <v>856</v>
      </c>
      <c r="B5453" s="0" t="s">
        <v>98</v>
      </c>
      <c r="D5453" s="6" t="n">
        <f aca="false">Sens!D5432</f>
        <v>218.783</v>
      </c>
      <c r="E5453" s="6" t="n">
        <f aca="false">Sens!E5432</f>
        <v>268.127</v>
      </c>
      <c r="F5453" s="6" t="n">
        <f aca="false">Sens!F5432</f>
        <v>330.145282059882</v>
      </c>
      <c r="G5453" s="6" t="n">
        <f aca="false">Sens!G5432</f>
        <v>392.656759865851</v>
      </c>
      <c r="H5453" s="6" t="n">
        <f aca="false">Sens!H5432</f>
        <v>450.544273297982</v>
      </c>
      <c r="I5453" s="6" t="n">
        <f aca="false">Sens!I5432</f>
        <v>509.901592555468</v>
      </c>
      <c r="J5453" s="6" t="n">
        <f aca="false">Sens!J5432</f>
        <v>559.18186751504</v>
      </c>
      <c r="K5453" s="6" t="n">
        <f aca="false">Sens!K5432</f>
        <v>597.61319099941</v>
      </c>
    </row>
    <row r="5454" customFormat="false" ht="15" hidden="false" customHeight="false" outlineLevel="0" collapsed="false">
      <c r="A5454" s="0" t="s">
        <v>1041</v>
      </c>
      <c r="B5454" s="0" t="s">
        <v>98</v>
      </c>
      <c r="D5454" s="6" t="n">
        <f aca="false">Sens!D5433</f>
        <v>22.171</v>
      </c>
      <c r="E5454" s="6" t="n">
        <f aca="false">Sens!E5433</f>
        <v>24.835</v>
      </c>
      <c r="F5454" s="6" t="n">
        <f aca="false">Sens!F5433</f>
        <v>27.5591895660247</v>
      </c>
      <c r="G5454" s="6" t="n">
        <f aca="false">Sens!G5433</f>
        <v>30.4098563144583</v>
      </c>
      <c r="H5454" s="6" t="n">
        <f aca="false">Sens!H5433</f>
        <v>33.3011792571777</v>
      </c>
      <c r="I5454" s="6" t="n">
        <f aca="false">Sens!I5433</f>
        <v>36.189023797112</v>
      </c>
      <c r="J5454" s="6" t="n">
        <f aca="false">Sens!J5433</f>
        <v>39.0247773769199</v>
      </c>
      <c r="K5454" s="6" t="n">
        <f aca="false">Sens!K5433</f>
        <v>41.7565117933043</v>
      </c>
    </row>
    <row r="5455" customFormat="false" ht="15" hidden="false" customHeight="false" outlineLevel="0" collapsed="false">
      <c r="A5455" s="0" t="s">
        <v>1042</v>
      </c>
      <c r="B5455" s="0" t="s">
        <v>98</v>
      </c>
      <c r="D5455" s="6" t="n">
        <f aca="false">Sens!D5435</f>
        <v>23.455</v>
      </c>
      <c r="E5455" s="6" t="n">
        <f aca="false">Sens!E5435</f>
        <v>21.79</v>
      </c>
      <c r="F5455" s="6" t="n">
        <f aca="false">Sens!F5435</f>
        <v>20.7520981041711</v>
      </c>
      <c r="G5455" s="6" t="n">
        <f aca="false">Sens!G5435</f>
        <v>19.9083593495882</v>
      </c>
      <c r="H5455" s="6" t="n">
        <f aca="false">Sens!H5435</f>
        <v>19.4008256265831</v>
      </c>
      <c r="I5455" s="6" t="n">
        <f aca="false">Sens!I5435</f>
        <v>19.200434522122</v>
      </c>
      <c r="J5455" s="6" t="n">
        <f aca="false">Sens!J5435</f>
        <v>19.2932782348507</v>
      </c>
      <c r="K5455" s="6" t="n">
        <f aca="false">Sens!K5435</f>
        <v>19.6791437995477</v>
      </c>
    </row>
    <row r="5456" customFormat="false" ht="15" hidden="false" customHeight="false" outlineLevel="0" collapsed="false">
      <c r="A5456" s="0" t="s">
        <v>1043</v>
      </c>
      <c r="B5456" s="0" t="s">
        <v>98</v>
      </c>
      <c r="D5456" s="6" t="n">
        <f aca="false">Sens!D5437</f>
        <v>17.315</v>
      </c>
      <c r="E5456" s="6" t="n">
        <f aca="false">Sens!E5437</f>
        <v>17.087</v>
      </c>
      <c r="F5456" s="6" t="n">
        <f aca="false">Sens!F5437</f>
        <v>15.9912273250553</v>
      </c>
      <c r="G5456" s="6" t="n">
        <f aca="false">Sens!G5437</f>
        <v>15.9574562664827</v>
      </c>
      <c r="H5456" s="6" t="n">
        <f aca="false">Sens!H5437</f>
        <v>16.0119687434196</v>
      </c>
      <c r="I5456" s="6" t="n">
        <f aca="false">Sens!I5437</f>
        <v>16.1551810001948</v>
      </c>
      <c r="J5456" s="6" t="n">
        <f aca="false">Sens!J5437</f>
        <v>16.3889793892005</v>
      </c>
      <c r="K5456" s="6" t="n">
        <f aca="false">Sens!K5437</f>
        <v>16.7167589769845</v>
      </c>
    </row>
    <row r="5457" customFormat="false" ht="15" hidden="false" customHeight="false" outlineLevel="0" collapsed="false">
      <c r="A5457" s="0" t="s">
        <v>870</v>
      </c>
      <c r="B5457" s="0" t="s">
        <v>98</v>
      </c>
      <c r="D5457" s="6" t="n">
        <f aca="false">Sens!D5439</f>
        <v>62.941</v>
      </c>
      <c r="E5457" s="6" t="n">
        <f aca="false">Sens!E5439</f>
        <v>63.712</v>
      </c>
      <c r="F5457" s="6" t="n">
        <f aca="false">Sens!F5439</f>
        <v>64.3025149952511</v>
      </c>
      <c r="G5457" s="6" t="n">
        <f aca="false">Sens!G5439</f>
        <v>66.2756719305292</v>
      </c>
      <c r="H5457" s="6" t="n">
        <f aca="false">Sens!H5439</f>
        <v>68.7139736271804</v>
      </c>
      <c r="I5457" s="6" t="n">
        <f aca="false">Sens!I5439</f>
        <v>71.5446393194289</v>
      </c>
      <c r="J5457" s="6" t="n">
        <f aca="false">Sens!J5439</f>
        <v>74.707035000971</v>
      </c>
      <c r="K5457" s="6" t="n">
        <f aca="false">Sens!K5439</f>
        <v>78.1524145698365</v>
      </c>
    </row>
    <row r="5458" customFormat="false" ht="15" hidden="false" customHeight="false" outlineLevel="0" collapsed="false">
      <c r="A5458" s="1" t="s">
        <v>1059</v>
      </c>
      <c r="B5458" s="0" t="s">
        <v>98</v>
      </c>
      <c r="D5458" s="6" t="n">
        <f aca="false">Sens!D5440</f>
        <v>281.724</v>
      </c>
      <c r="E5458" s="6" t="n">
        <f aca="false">Sens!E5440</f>
        <v>331.839</v>
      </c>
      <c r="F5458" s="6" t="n">
        <f aca="false">Sens!F5440</f>
        <v>394.447797055133</v>
      </c>
      <c r="G5458" s="6" t="n">
        <f aca="false">Sens!G5440</f>
        <v>458.93243179638</v>
      </c>
      <c r="H5458" s="6" t="n">
        <f aca="false">Sens!H5440</f>
        <v>519.258246925162</v>
      </c>
      <c r="I5458" s="6" t="n">
        <f aca="false">Sens!I5440</f>
        <v>581.446231874896</v>
      </c>
      <c r="J5458" s="6" t="n">
        <f aca="false">Sens!J5440</f>
        <v>633.888902516011</v>
      </c>
      <c r="K5458" s="6" t="n">
        <f aca="false">Sens!K5440</f>
        <v>675.765605569246</v>
      </c>
    </row>
    <row r="5459" customFormat="false" ht="15" hidden="false" customHeight="false" outlineLevel="0" collapsed="false">
      <c r="A5459" s="1" t="s">
        <v>1060</v>
      </c>
      <c r="B5459" s="0" t="s">
        <v>168</v>
      </c>
      <c r="E5459" s="7" t="n">
        <f aca="false">Sens!E5458/Sens!D5458-1</f>
        <v>0.177886867998467</v>
      </c>
      <c r="F5459" s="7" t="n">
        <f aca="false">Sens!F5458/Sens!E5458-1</f>
        <v>0.188672208676897</v>
      </c>
      <c r="G5459" s="7" t="n">
        <f aca="false">Sens!G5458/Sens!F5458-1</f>
        <v>0.16348078306604</v>
      </c>
      <c r="H5459" s="7" t="n">
        <f aca="false">Sens!H5458/Sens!G5458-1</f>
        <v>0.131448141271366</v>
      </c>
      <c r="I5459" s="7" t="n">
        <f aca="false">Sens!I5458/Sens!H5458-1</f>
        <v>0.119763114631277</v>
      </c>
      <c r="J5459" s="7" t="n">
        <f aca="false">Sens!J5458/Sens!I5458-1</f>
        <v>0.0901934998736018</v>
      </c>
      <c r="K5459" s="7" t="n">
        <f aca="false">Sens!K5458/Sens!J5458-1</f>
        <v>0.0660631585235514</v>
      </c>
    </row>
    <row r="5460" customFormat="false" ht="17.15" hidden="false" customHeight="false" outlineLevel="0" collapsed="false">
      <c r="A5460" s="26" t="s">
        <v>1061</v>
      </c>
      <c r="B5460" s="31" t="s">
        <v>98</v>
      </c>
      <c r="C5460" s="31"/>
      <c r="D5460" s="27" t="n">
        <f aca="false">(Sens!D5453+Sens!D5457-Sens!D5458)+(Sens!D5445+Sens!D5446-Sens!D5444)+(Sens!D5448+Sens!D5449-Sens!D5447)+(Sens!D5458-Q!L18)</f>
        <v>0</v>
      </c>
      <c r="E5460" s="27" t="n">
        <f aca="false">(Sens!E5453+Sens!E5457-Sens!E5458)+(Sens!E5445+Sens!E5446-Sens!E5444)+(Sens!E5448+Sens!E5449-Sens!E5447)+(Sens!E5458-Q!M18)</f>
        <v>0</v>
      </c>
      <c r="F5460" s="27" t="n">
        <f aca="false">(Sens!F5453+Sens!F5457-Sens!F5458)+(Sens!F5445+Sens!F5446-Sens!F5444)+(Sens!F5448+Sens!F5449-Sens!F5447)</f>
        <v>0</v>
      </c>
      <c r="G5460" s="27" t="n">
        <f aca="false">(Sens!G5453+Sens!G5457-Sens!G5458)+(Sens!G5445+Sens!G5446-Sens!G5444)+(Sens!G5448+Sens!G5449-Sens!G5447)</f>
        <v>0</v>
      </c>
      <c r="H5460" s="27" t="n">
        <f aca="false">(Sens!H5453+Sens!H5457-Sens!H5458)+(Sens!H5445+Sens!H5446-Sens!H5444)+(Sens!H5448+Sens!H5449-Sens!H5447)</f>
        <v>0</v>
      </c>
      <c r="I5460" s="27" t="n">
        <f aca="false">(Sens!I5453+Sens!I5457-Sens!I5458)+(Sens!I5445+Sens!I5446-Sens!I5444)+(Sens!I5448+Sens!I5449-Sens!I5447)</f>
        <v>0</v>
      </c>
      <c r="J5460" s="27" t="n">
        <f aca="false">(Sens!J5453+Sens!J5457-Sens!J5458)+(Sens!J5445+Sens!J5446-Sens!J5444)+(Sens!J5448+Sens!J5449-Sens!J5447)</f>
        <v>0</v>
      </c>
      <c r="K5460" s="27" t="n">
        <f aca="false">(Sens!K5453+Sens!K5457-Sens!K5458)+(Sens!K5445+Sens!K5446-Sens!K5444)+(Sens!K5448+Sens!K5449-Sens!K5447)</f>
        <v>0</v>
      </c>
    </row>
    <row r="5461" customFormat="false" ht="17.15" hidden="false" customHeight="false" outlineLevel="0" collapsed="false">
      <c r="A5461" s="0" t="s">
        <v>1062</v>
      </c>
      <c r="B5461" s="0" t="s">
        <v>168</v>
      </c>
      <c r="E5461" s="7" t="n">
        <f aca="false">(Q!M21+Sens!E5397+Sens!E5398+Sens!E5399+Sens!E5413-Sens!E5395)/(Q!M5-Sens!E5395)</f>
        <v>0.562004564381674</v>
      </c>
      <c r="F5461" s="7" t="n">
        <f aca="false">Sens!$E$5461+dm_seg</f>
        <v>0.562004564381674</v>
      </c>
      <c r="G5461" s="7" t="n">
        <f aca="false">Sens!$E$5461+dm_seg</f>
        <v>0.562004564381674</v>
      </c>
      <c r="H5461" s="7" t="n">
        <f aca="false">Sens!$E$5461+dm_seg</f>
        <v>0.562004564381674</v>
      </c>
      <c r="I5461" s="7" t="n">
        <f aca="false">Sens!$E$5461+dm_seg</f>
        <v>0.562004564381674</v>
      </c>
      <c r="J5461" s="7" t="n">
        <f aca="false">Sens!$E$5461+dm_seg</f>
        <v>0.562004564381674</v>
      </c>
      <c r="K5461" s="7" t="n">
        <f aca="false">Sens!$E$5461+dm_seg</f>
        <v>0.562004564381674</v>
      </c>
      <c r="L5461" s="12" t="s">
        <v>1063</v>
      </c>
    </row>
    <row r="5462" customFormat="false" ht="17.15" hidden="false" customHeight="false" outlineLevel="0" collapsed="false">
      <c r="A5462" s="0" t="s">
        <v>884</v>
      </c>
      <c r="B5462" s="0" t="s">
        <v>98</v>
      </c>
      <c r="D5462" s="6" t="n">
        <f aca="false">Q!L21</f>
        <v>110.814</v>
      </c>
      <c r="E5462" s="6" t="n">
        <f aca="false">Q!M21</f>
        <v>136.365</v>
      </c>
      <c r="F5462" s="6" t="n">
        <f aca="false">Q!$I$21+(Sens!F5461*(Sens!F5432-Sens!F5395)+Sens!F5395-(Sens!F5397+Sens!F5398+Sens!F5399)-Sens!F5413-Sens!F5496)*(Sens!F5432-Q!$I$5)/Sens!F5432</f>
        <v>159.708100317364</v>
      </c>
      <c r="G5462" s="6" t="n">
        <f aca="false">(Sens!G5461*(Sens!G5432-Sens!G5395)+Sens!G5395-(Sens!G5397+Sens!G5398+Sens!G5399)-Sens!G5413-Sens!G5496)</f>
        <v>166.540494790561</v>
      </c>
      <c r="H5462" s="6" t="n">
        <f aca="false">(Sens!H5461*(Sens!H5432-Sens!H5395)+Sens!H5395-(Sens!H5397+Sens!H5398+Sens!H5399)-Sens!H5413-Sens!H5496)</f>
        <v>171.475266261125</v>
      </c>
      <c r="I5462" s="6" t="n">
        <f aca="false">(Sens!I5461*(Sens!I5432-Sens!I5395)+Sens!I5395-(Sens!I5397+Sens!I5398+Sens!I5399)-Sens!I5413-Sens!I5496)</f>
        <v>183.647541466477</v>
      </c>
      <c r="J5462" s="6" t="n">
        <f aca="false">(Sens!J5461*(Sens!J5432-Sens!J5395)+Sens!J5395-(Sens!J5397+Sens!J5398+Sens!J5399)-Sens!J5413-Sens!J5496)</f>
        <v>196.93534056867</v>
      </c>
      <c r="K5462" s="6" t="n">
        <f aca="false">(Sens!K5461*(Sens!K5432-Sens!K5395)+Sens!K5395-(Sens!K5397+Sens!K5398+Sens!K5399)-Sens!K5413-Sens!K5496)</f>
        <v>210.31213609546</v>
      </c>
      <c r="L5462" s="1" t="s">
        <v>1064</v>
      </c>
    </row>
    <row r="5463" customFormat="false" ht="17.15" hidden="false" customHeight="false" outlineLevel="0" collapsed="false">
      <c r="A5463" s="0" t="s">
        <v>1065</v>
      </c>
      <c r="B5463" s="0" t="s">
        <v>168</v>
      </c>
      <c r="E5463" s="7" t="n">
        <f aca="false">Q!M22/Q!M12</f>
        <v>0.296207935710698</v>
      </c>
      <c r="F5463" s="7" t="n">
        <f aca="false">Sens!$E$5463+dm_seg</f>
        <v>0.296207935710698</v>
      </c>
      <c r="G5463" s="7" t="n">
        <f aca="false">Sens!$E$5463+dm_seg</f>
        <v>0.296207935710698</v>
      </c>
      <c r="H5463" s="7" t="n">
        <f aca="false">Sens!$E$5463+dm_seg</f>
        <v>0.296207935710698</v>
      </c>
      <c r="I5463" s="7" t="n">
        <f aca="false">Sens!$E$5463+dm_seg</f>
        <v>0.296207935710698</v>
      </c>
      <c r="J5463" s="7" t="n">
        <f aca="false">Sens!$E$5463+dm_seg</f>
        <v>0.296207935710698</v>
      </c>
      <c r="K5463" s="7" t="n">
        <f aca="false">Sens!$E$5463+dm_seg</f>
        <v>0.296207935710698</v>
      </c>
      <c r="L5463" s="12" t="s">
        <v>1066</v>
      </c>
    </row>
    <row r="5464" customFormat="false" ht="17.15" hidden="false" customHeight="false" outlineLevel="0" collapsed="false">
      <c r="A5464" s="0" t="s">
        <v>886</v>
      </c>
      <c r="B5464" s="0" t="s">
        <v>98</v>
      </c>
      <c r="D5464" s="6" t="n">
        <f aca="false">Q!L22</f>
        <v>17.714</v>
      </c>
      <c r="E5464" s="6" t="n">
        <f aca="false">Q!M22</f>
        <v>18.872</v>
      </c>
      <c r="F5464" s="6" t="n">
        <f aca="false">Q!$I$22+(Sens!F5439-Q!$I$12)*Sens!F5463</f>
        <v>19.8174315512051</v>
      </c>
      <c r="G5464" s="6" t="n">
        <f aca="false">Sens!G5439*Sens!G5463</f>
        <v>19.6313799703815</v>
      </c>
      <c r="H5464" s="6" t="n">
        <f aca="false">Sens!H5439*Sens!H5463</f>
        <v>20.3536242825865</v>
      </c>
      <c r="I5464" s="6" t="n">
        <f aca="false">Sens!I5439*Sens!I5463</f>
        <v>21.1920899239745</v>
      </c>
      <c r="J5464" s="6" t="n">
        <f aca="false">Sens!J5439*Sens!J5463</f>
        <v>22.1288166207045</v>
      </c>
      <c r="K5464" s="6" t="n">
        <f aca="false">Sens!K5439*Sens!K5463</f>
        <v>23.1493653905379</v>
      </c>
      <c r="L5464" s="12" t="s">
        <v>1067</v>
      </c>
    </row>
    <row r="5465" customFormat="false" ht="15" hidden="false" customHeight="false" outlineLevel="0" collapsed="false">
      <c r="A5465" s="1" t="s">
        <v>1068</v>
      </c>
      <c r="B5465" s="0" t="s">
        <v>98</v>
      </c>
      <c r="D5465" s="6" t="n">
        <f aca="false">Sens!D5462+Sens!D5464</f>
        <v>128.528</v>
      </c>
      <c r="E5465" s="6" t="n">
        <f aca="false">Sens!E5462+Sens!E5464</f>
        <v>155.237</v>
      </c>
      <c r="F5465" s="6" t="n">
        <f aca="false">Sens!F5462+Sens!F5464</f>
        <v>179.525531868569</v>
      </c>
      <c r="G5465" s="6" t="n">
        <f aca="false">Sens!G5462+Sens!G5464</f>
        <v>186.171874760943</v>
      </c>
      <c r="H5465" s="6" t="n">
        <f aca="false">Sens!H5462+Sens!H5464</f>
        <v>191.828890543712</v>
      </c>
      <c r="I5465" s="6" t="n">
        <f aca="false">Sens!I5462+Sens!I5464</f>
        <v>204.839631390451</v>
      </c>
      <c r="J5465" s="6" t="n">
        <f aca="false">Sens!J5462+Sens!J5464</f>
        <v>219.064157189375</v>
      </c>
      <c r="K5465" s="6" t="n">
        <f aca="false">Sens!K5462+Sens!K5464</f>
        <v>233.461501485998</v>
      </c>
    </row>
    <row r="5466" customFormat="false" ht="15" hidden="false" customHeight="false" outlineLevel="0" collapsed="false">
      <c r="A5466" s="26" t="s">
        <v>1069</v>
      </c>
      <c r="B5466" s="31" t="s">
        <v>98</v>
      </c>
      <c r="C5466" s="31"/>
      <c r="D5466" s="27" t="n">
        <f aca="false">Sens!D5465-Q!L23</f>
        <v>0</v>
      </c>
      <c r="E5466" s="27" t="n">
        <f aca="false">Sens!E5465-Q!M23</f>
        <v>0</v>
      </c>
      <c r="F5466" s="31"/>
      <c r="G5466" s="31"/>
      <c r="H5466" s="31"/>
      <c r="I5466" s="31"/>
      <c r="J5466" s="31"/>
      <c r="K5466" s="31"/>
    </row>
    <row r="5467" customFormat="false" ht="15" hidden="false" customHeight="false" outlineLevel="0" collapsed="false">
      <c r="A5467" s="1" t="s">
        <v>1070</v>
      </c>
      <c r="B5467" s="0" t="s">
        <v>168</v>
      </c>
      <c r="D5467" s="7" t="n">
        <f aca="false">Sens!D5465/Sens!D5458</f>
        <v>0.456219562408598</v>
      </c>
      <c r="E5467" s="7" t="n">
        <f aca="false">Sens!E5465/Sens!E5458</f>
        <v>0.467808184089272</v>
      </c>
      <c r="F5467" s="7" t="n">
        <f aca="false">Sens!F5465/Sens!F5458</f>
        <v>0.455131282792983</v>
      </c>
      <c r="G5467" s="7" t="n">
        <f aca="false">Sens!G5465/Sens!G5458</f>
        <v>0.405662929578147</v>
      </c>
      <c r="H5467" s="7" t="n">
        <f aca="false">Sens!H5465/Sens!H5458</f>
        <v>0.369428683472328</v>
      </c>
      <c r="I5467" s="7" t="n">
        <f aca="false">Sens!I5465/Sens!I5458</f>
        <v>0.352293333693019</v>
      </c>
      <c r="J5467" s="7" t="n">
        <f aca="false">Sens!J5465/Sens!J5458</f>
        <v>0.345587620038579</v>
      </c>
      <c r="K5467" s="7" t="n">
        <f aca="false">Sens!K5465/Sens!K5458</f>
        <v>0.345477040503321</v>
      </c>
    </row>
    <row r="5468" customFormat="false" ht="17.15" hidden="false" customHeight="false" outlineLevel="0" collapsed="false">
      <c r="A5468" s="1" t="s">
        <v>1071</v>
      </c>
      <c r="B5468" s="0" t="s">
        <v>98</v>
      </c>
      <c r="F5468" s="6" t="n">
        <f aca="false">Sens!F5483</f>
        <v>10.6432809270546</v>
      </c>
      <c r="G5468" s="6" t="n">
        <f aca="false">Sens!G5483</f>
        <v>27.9185071635291</v>
      </c>
      <c r="H5468" s="6" t="n">
        <f aca="false">Sens!H5483</f>
        <v>46.666924349469</v>
      </c>
      <c r="I5468" s="6" t="n">
        <f aca="false">Sens!I5483</f>
        <v>62.945449083787</v>
      </c>
      <c r="J5468" s="6" t="n">
        <f aca="false">Sens!J5483</f>
        <v>74.3199932171889</v>
      </c>
      <c r="K5468" s="6" t="n">
        <f aca="false">Sens!K5483</f>
        <v>80.2980943480986</v>
      </c>
      <c r="L5468" s="1" t="s">
        <v>1072</v>
      </c>
    </row>
    <row r="5469" customFormat="false" ht="17.15" hidden="false" customHeight="false" outlineLevel="0" collapsed="false">
      <c r="A5469" s="1" t="s">
        <v>1073</v>
      </c>
      <c r="B5469" s="0" t="s">
        <v>98</v>
      </c>
      <c r="D5469" s="6" t="n">
        <f aca="false">Sens!D5465</f>
        <v>128.528</v>
      </c>
      <c r="E5469" s="6" t="n">
        <f aca="false">Sens!E5465</f>
        <v>155.237</v>
      </c>
      <c r="F5469" s="6" t="n">
        <f aca="false">Sens!F5465+Sens!F5468</f>
        <v>190.168812795624</v>
      </c>
      <c r="G5469" s="6" t="n">
        <f aca="false">Sens!G5465+Sens!G5468</f>
        <v>214.090381924472</v>
      </c>
      <c r="H5469" s="6" t="n">
        <f aca="false">Sens!H5465+Sens!H5468</f>
        <v>238.495814893181</v>
      </c>
      <c r="I5469" s="6" t="n">
        <f aca="false">Sens!I5465+Sens!I5468</f>
        <v>267.785080474238</v>
      </c>
      <c r="J5469" s="6" t="n">
        <f aca="false">Sens!J5465+Sens!J5468</f>
        <v>293.384150406564</v>
      </c>
      <c r="K5469" s="6" t="n">
        <f aca="false">Sens!K5465+Sens!K5468</f>
        <v>313.759595834097</v>
      </c>
    </row>
    <row r="5470" customFormat="false" ht="17.15" hidden="false" customHeight="false" outlineLevel="0" collapsed="false">
      <c r="A5470" s="1" t="s">
        <v>1074</v>
      </c>
      <c r="B5470" s="0" t="s">
        <v>98</v>
      </c>
      <c r="E5470" s="6" t="n">
        <f aca="false">Sens!E5413</f>
        <v>14.1538947660714</v>
      </c>
      <c r="F5470" s="6" t="n">
        <f aca="false">Sens!F5413</f>
        <v>29.9978166232907</v>
      </c>
      <c r="G5470" s="6" t="n">
        <f aca="false">Sens!G5413</f>
        <v>52.6539689846527</v>
      </c>
      <c r="H5470" s="6" t="n">
        <f aca="false">Sens!H5413</f>
        <v>77.2140918476141</v>
      </c>
      <c r="I5470" s="6" t="n">
        <f aca="false">Sens!I5413</f>
        <v>98.4922948062968</v>
      </c>
      <c r="J5470" s="6" t="n">
        <f aca="false">Sens!J5413</f>
        <v>113.162027076484</v>
      </c>
      <c r="K5470" s="6" t="n">
        <f aca="false">Sens!K5413</f>
        <v>121.714210701983</v>
      </c>
    </row>
    <row r="5471" customFormat="false" ht="17.15" hidden="false" customHeight="false" outlineLevel="0" collapsed="false">
      <c r="A5471" s="1" t="s">
        <v>1075</v>
      </c>
      <c r="B5471" s="0" t="s">
        <v>98</v>
      </c>
      <c r="E5471" s="6" t="n">
        <f aca="false">Sens!E5495</f>
        <v>24.3801052339286</v>
      </c>
      <c r="F5471" s="6" t="n">
        <f aca="false">Sens!F5495</f>
        <v>25.5247006178659</v>
      </c>
      <c r="G5471" s="6" t="n">
        <f aca="false">Sens!G5495</f>
        <v>27.0903327901666</v>
      </c>
      <c r="H5471" s="6" t="n">
        <f aca="false">Sens!H5495</f>
        <v>29.0435451561402</v>
      </c>
      <c r="I5471" s="6" t="n">
        <f aca="false">Sens!I5495</f>
        <v>31.3256193038047</v>
      </c>
      <c r="J5471" s="6" t="n">
        <f aca="false">Sens!J5495</f>
        <v>33.8599606204465</v>
      </c>
      <c r="K5471" s="6" t="n">
        <f aca="false">Sens!K5495</f>
        <v>36.5605992132394</v>
      </c>
    </row>
    <row r="5472" customFormat="false" ht="17.15" hidden="false" customHeight="false" outlineLevel="0" collapsed="false">
      <c r="A5472" s="1" t="s">
        <v>1076</v>
      </c>
      <c r="B5472" s="0" t="s">
        <v>98</v>
      </c>
      <c r="D5472" s="6" t="n">
        <f aca="false">Q!L27</f>
        <v>-4.901</v>
      </c>
      <c r="E5472" s="6" t="n">
        <f aca="false">Q!M27</f>
        <v>10.697</v>
      </c>
      <c r="F5472" s="6" t="n">
        <f aca="false">Q!$I$27+oie_f*(q_per_yr-1)/q_per_yr</f>
        <v>-0.862</v>
      </c>
      <c r="G5472" s="6" t="n">
        <f aca="false">oie_f</f>
        <v>-1.2</v>
      </c>
      <c r="H5472" s="6" t="n">
        <f aca="false">oie_f</f>
        <v>-1.2</v>
      </c>
      <c r="I5472" s="6" t="n">
        <f aca="false">oie_f</f>
        <v>-1.2</v>
      </c>
      <c r="J5472" s="6" t="n">
        <f aca="false">oie_f</f>
        <v>-1.2</v>
      </c>
      <c r="K5472" s="6" t="n">
        <f aca="false">oie_f</f>
        <v>-1.2</v>
      </c>
      <c r="L5472" s="12" t="s">
        <v>1077</v>
      </c>
    </row>
    <row r="5473" customFormat="false" ht="15" hidden="false" customHeight="false" outlineLevel="0" collapsed="false">
      <c r="A5473" s="1" t="s">
        <v>1078</v>
      </c>
      <c r="B5473" s="0" t="s">
        <v>98</v>
      </c>
      <c r="D5473" s="6" t="n">
        <f aca="false">Sens!D5465+Sens!D5472</f>
        <v>123.627</v>
      </c>
      <c r="E5473" s="6" t="n">
        <f aca="false">Sens!E5465+Sens!E5472</f>
        <v>165.934</v>
      </c>
      <c r="F5473" s="6" t="n">
        <f aca="false">Sens!F5465+Sens!F5472</f>
        <v>178.663531868569</v>
      </c>
      <c r="G5473" s="6" t="n">
        <f aca="false">Sens!G5465+Sens!G5472</f>
        <v>184.971874760943</v>
      </c>
      <c r="H5473" s="6" t="n">
        <f aca="false">Sens!H5465+Sens!H5472</f>
        <v>190.628890543712</v>
      </c>
      <c r="I5473" s="6" t="n">
        <f aca="false">Sens!I5465+Sens!I5472</f>
        <v>203.639631390451</v>
      </c>
      <c r="J5473" s="6" t="n">
        <f aca="false">Sens!J5465+Sens!J5472</f>
        <v>217.864157189375</v>
      </c>
      <c r="K5473" s="6" t="n">
        <f aca="false">Sens!K5465+Sens!K5472</f>
        <v>232.261501485998</v>
      </c>
    </row>
    <row r="5474" customFormat="false" ht="15" hidden="false" customHeight="false" outlineLevel="0" collapsed="false">
      <c r="A5474" s="1" t="s">
        <v>1079</v>
      </c>
      <c r="B5474" s="0" t="s">
        <v>98</v>
      </c>
      <c r="D5474" s="6" t="n">
        <f aca="false">Q!L29</f>
        <v>21.795</v>
      </c>
      <c r="E5474" s="6" t="n">
        <f aca="false">Q!M29</f>
        <v>32.185</v>
      </c>
      <c r="F5474" s="6" t="n">
        <f aca="false">Q!$I$29+(Sens!F5473-Q!$I$28)*tax_f</f>
        <v>35.8661063737138</v>
      </c>
      <c r="G5474" s="6" t="n">
        <f aca="false">Sens!G5473*tax_f</f>
        <v>36.9943749521885</v>
      </c>
      <c r="H5474" s="6" t="n">
        <f aca="false">Sens!H5473*tax_f</f>
        <v>38.1257781087423</v>
      </c>
      <c r="I5474" s="6" t="n">
        <f aca="false">Sens!I5473*tax_f</f>
        <v>40.7279262780903</v>
      </c>
      <c r="J5474" s="6" t="n">
        <f aca="false">Sens!J5473*tax_f</f>
        <v>43.572831437875</v>
      </c>
      <c r="K5474" s="6" t="n">
        <f aca="false">Sens!K5473*tax_f</f>
        <v>46.4523002971996</v>
      </c>
    </row>
    <row r="5475" customFormat="false" ht="15" hidden="false" customHeight="false" outlineLevel="0" collapsed="false">
      <c r="A5475" s="1" t="s">
        <v>1080</v>
      </c>
      <c r="B5475" s="0" t="s">
        <v>98</v>
      </c>
      <c r="D5475" s="6" t="n">
        <f aca="false">Sens!D5473-Sens!D5474</f>
        <v>101.832</v>
      </c>
      <c r="E5475" s="6" t="n">
        <f aca="false">Sens!E5473-Sens!E5474</f>
        <v>133.749</v>
      </c>
      <c r="F5475" s="6" t="n">
        <f aca="false">Sens!F5473-Sens!F5474</f>
        <v>142.797425494855</v>
      </c>
      <c r="G5475" s="6" t="n">
        <f aca="false">Sens!G5473-Sens!G5474</f>
        <v>147.977499808754</v>
      </c>
      <c r="H5475" s="6" t="n">
        <f aca="false">Sens!H5473-Sens!H5474</f>
        <v>152.503112434969</v>
      </c>
      <c r="I5475" s="6" t="n">
        <f aca="false">Sens!I5473-Sens!I5474</f>
        <v>162.911705112361</v>
      </c>
      <c r="J5475" s="6" t="n">
        <f aca="false">Sens!J5473-Sens!J5474</f>
        <v>174.2913257515</v>
      </c>
      <c r="K5475" s="6" t="n">
        <f aca="false">Sens!K5473-Sens!K5474</f>
        <v>185.809201188798</v>
      </c>
    </row>
    <row r="5476" customFormat="false" ht="17.15" hidden="false" customHeight="false" outlineLevel="0" collapsed="false">
      <c r="A5476" s="1" t="s">
        <v>1081</v>
      </c>
      <c r="B5476" s="1" t="s">
        <v>81</v>
      </c>
      <c r="D5476" s="15" t="n">
        <f aca="false">Q!L31</f>
        <v>7.465</v>
      </c>
      <c r="E5476" s="15" t="n">
        <f aca="false">Q!M31</f>
        <v>7.453</v>
      </c>
      <c r="F5476" s="15" t="n">
        <f aca="false">Sens!F5520</f>
        <v>7.4735</v>
      </c>
      <c r="G5476" s="15" t="n">
        <f aca="false">Sens!G5520</f>
        <v>7.5185</v>
      </c>
      <c r="H5476" s="15" t="n">
        <f aca="false">Sens!H5520</f>
        <v>7.5635</v>
      </c>
      <c r="I5476" s="15" t="n">
        <f aca="false">Sens!I5520</f>
        <v>7.59248142502667</v>
      </c>
      <c r="J5476" s="15" t="n">
        <f aca="false">Sens!J5520</f>
        <v>7.60663083618914</v>
      </c>
      <c r="K5476" s="15" t="n">
        <f aca="false">Sens!K5520</f>
        <v>7.62306547615439</v>
      </c>
    </row>
    <row r="5477" customFormat="false" ht="17.15" hidden="false" customHeight="false" outlineLevel="0" collapsed="false">
      <c r="A5477" s="0" t="s">
        <v>1082</v>
      </c>
      <c r="B5477" s="0" t="s">
        <v>75</v>
      </c>
      <c r="D5477" s="8" t="n">
        <f aca="false">Sens!D5475/Sens!D5476</f>
        <v>13.641259209645</v>
      </c>
      <c r="E5477" s="8" t="n">
        <f aca="false">Sens!E5475/Sens!E5476</f>
        <v>17.9456594659869</v>
      </c>
      <c r="F5477" s="8" t="n">
        <f aca="false">Sens!F5475/Sens!F5476</f>
        <v>19.1071687288225</v>
      </c>
      <c r="G5477" s="8" t="n">
        <f aca="false">Sens!G5475/Sens!G5476</f>
        <v>19.681784905068</v>
      </c>
      <c r="H5477" s="8" t="n">
        <f aca="false">Sens!H5475/Sens!H5476</f>
        <v>20.1630346314496</v>
      </c>
      <c r="I5477" s="8" t="n">
        <f aca="false">Sens!I5475/Sens!I5476</f>
        <v>21.4569777642609</v>
      </c>
      <c r="J5477" s="8" t="n">
        <f aca="false">Sens!J5475/Sens!J5476</f>
        <v>22.9130780111341</v>
      </c>
      <c r="K5477" s="8" t="n">
        <f aca="false">Sens!K5475/Sens!K5476</f>
        <v>24.3746038611403</v>
      </c>
      <c r="L5477" s="1" t="s">
        <v>1083</v>
      </c>
    </row>
    <row r="5478" customFormat="false" ht="17.15" hidden="false" customHeight="false" outlineLevel="0" collapsed="false">
      <c r="A5478" s="1" t="s">
        <v>1084</v>
      </c>
      <c r="B5478" s="0" t="s">
        <v>98</v>
      </c>
      <c r="D5478" s="6" t="n">
        <f aca="false">Sens!D5475</f>
        <v>101.832</v>
      </c>
      <c r="E5478" s="6" t="n">
        <f aca="false">Sens!E5475</f>
        <v>133.749</v>
      </c>
      <c r="F5478" s="6" t="n">
        <f aca="false">Sens!F5475+Sens!F5468*(1-tax_f)</f>
        <v>151.312050236499</v>
      </c>
      <c r="G5478" s="6" t="n">
        <f aca="false">Sens!G5475+Sens!G5468*(1-tax_f)</f>
        <v>170.312305539577</v>
      </c>
      <c r="H5478" s="6" t="n">
        <f aca="false">Sens!H5475+Sens!H5468*(1-tax_f)</f>
        <v>189.836651914544</v>
      </c>
      <c r="I5478" s="6" t="n">
        <f aca="false">Sens!I5475+Sens!I5468*(1-tax_f)</f>
        <v>213.268064379391</v>
      </c>
      <c r="J5478" s="6" t="n">
        <f aca="false">Sens!J5475+Sens!J5468*(1-tax_f)</f>
        <v>233.747320325251</v>
      </c>
      <c r="K5478" s="6" t="n">
        <f aca="false">Sens!K5475+Sens!K5468*(1-tax_f)</f>
        <v>250.047676667277</v>
      </c>
    </row>
    <row r="5479" customFormat="false" ht="17.15" hidden="false" customHeight="false" outlineLevel="0" collapsed="false">
      <c r="A5479" s="0" t="s">
        <v>1085</v>
      </c>
      <c r="B5479" s="0" t="s">
        <v>75</v>
      </c>
      <c r="D5479" s="8" t="n">
        <f aca="false">Sens!D5478/Sens!D5476</f>
        <v>13.641259209645</v>
      </c>
      <c r="E5479" s="8" t="n">
        <f aca="false">Sens!E5478/Sens!E5476</f>
        <v>17.9456594659869</v>
      </c>
      <c r="F5479" s="8" t="n">
        <f aca="false">Sens!F5478/Sens!F5476</f>
        <v>20.2464775856692</v>
      </c>
      <c r="G5479" s="8" t="n">
        <f aca="false">Sens!G5478/Sens!G5476</f>
        <v>22.6524314078044</v>
      </c>
      <c r="H5479" s="8" t="n">
        <f aca="false">Sens!H5478/Sens!H5476</f>
        <v>25.0990483128901</v>
      </c>
      <c r="I5479" s="8" t="n">
        <f aca="false">Sens!I5478/Sens!I5476</f>
        <v>28.0893758496935</v>
      </c>
      <c r="J5479" s="8" t="n">
        <f aca="false">Sens!J5478/Sens!J5476</f>
        <v>30.7294156058133</v>
      </c>
      <c r="K5479" s="8" t="n">
        <f aca="false">Sens!K5478/Sens!K5476</f>
        <v>32.801459917857</v>
      </c>
      <c r="L5479" s="1" t="s">
        <v>1086</v>
      </c>
    </row>
    <row r="5480" customFormat="false" ht="17.15" hidden="false" customHeight="false" outlineLevel="0" collapsed="false">
      <c r="A5480" s="0" t="s">
        <v>1087</v>
      </c>
      <c r="B5480" s="0" t="s">
        <v>168</v>
      </c>
      <c r="E5480" s="7" t="n">
        <f aca="false">Sens!E5479/Sens!D5479-1</f>
        <v>0.315542736208578</v>
      </c>
      <c r="F5480" s="7" t="n">
        <f aca="false">Sens!F5479/Sens!E5479-1</f>
        <v>0.128210285280582</v>
      </c>
      <c r="G5480" s="7" t="n">
        <f aca="false">Sens!G5479/Sens!F5479-1</f>
        <v>0.118833205033066</v>
      </c>
      <c r="H5480" s="7" t="n">
        <f aca="false">Sens!H5479/Sens!G5479-1</f>
        <v>0.108006812206604</v>
      </c>
      <c r="I5480" s="7" t="n">
        <f aca="false">Sens!I5479/Sens!H5479-1</f>
        <v>0.119141072582727</v>
      </c>
      <c r="J5480" s="7" t="n">
        <f aca="false">Sens!J5479/Sens!I5479-1</f>
        <v>0.0939871277399196</v>
      </c>
      <c r="K5480" s="7" t="n">
        <f aca="false">Sens!K5479/Sens!J5479-1</f>
        <v>0.0674286923846248</v>
      </c>
    </row>
    <row r="5481" customFormat="false" ht="17.15" hidden="false" customHeight="false" outlineLevel="0" collapsed="false">
      <c r="A5481" s="0" t="s">
        <v>1007</v>
      </c>
      <c r="B5481" s="0" t="s">
        <v>98</v>
      </c>
      <c r="E5481" s="6" t="n">
        <f aca="false">Sens!E5422</f>
        <v>5.25</v>
      </c>
      <c r="F5481" s="6" t="n">
        <f aca="false">Sens!F5422</f>
        <v>10.5</v>
      </c>
      <c r="G5481" s="6" t="n">
        <f aca="false">Sens!G5422</f>
        <v>13.5</v>
      </c>
      <c r="H5481" s="6" t="n">
        <f aca="false">Sens!H5422</f>
        <v>16.5</v>
      </c>
      <c r="I5481" s="6" t="n">
        <f aca="false">Sens!I5422</f>
        <v>18.75</v>
      </c>
      <c r="J5481" s="6" t="n">
        <f aca="false">Sens!J5422</f>
        <v>20.25</v>
      </c>
      <c r="K5481" s="6" t="n">
        <f aca="false">Sens!K5422</f>
        <v>21.75</v>
      </c>
    </row>
    <row r="5482" customFormat="false" ht="17.15" hidden="false" customHeight="false" outlineLevel="0" collapsed="false">
      <c r="A5482" s="1" t="s">
        <v>1008</v>
      </c>
      <c r="B5482" s="0" t="s">
        <v>98</v>
      </c>
      <c r="F5482" s="6" t="n">
        <f aca="false">MAX(0,((Sens!E5382+Sens!F5382)/2-(shadow_base*(Sens!$D$5382+Sens!$E$5382)/2+(1-shadow_base)*Sens!$E$5382))*Sens!F5391/1000-(Sens!F5481-Sens!$E$5481)*Sens!F5461)</f>
        <v>10.6432809270546</v>
      </c>
      <c r="G5482" s="6" t="n">
        <f aca="false">MAX(0,((Sens!F5382+Sens!G5382)/2-(shadow_base*(Sens!$D$5382+Sens!$E$5382)/2+(1-shadow_base)*Sens!$E$5382))*Sens!G5391/1000-(Sens!G5481-Sens!$E$5481)*Sens!G5461)</f>
        <v>27.9185071635291</v>
      </c>
      <c r="H5482" s="6" t="n">
        <f aca="false">MAX(0,((Sens!G5382+Sens!H5382)/2-(shadow_base*(Sens!$D$5382+Sens!$E$5382)/2+(1-shadow_base)*Sens!$E$5382))*Sens!H5391/1000-(Sens!H5481-Sens!$E$5481)*Sens!H5461)</f>
        <v>46.666924349469</v>
      </c>
      <c r="I5482" s="6" t="n">
        <f aca="false">MAX(0,((Sens!H5382+Sens!I5382)/2-(shadow_base*(Sens!$D$5382+Sens!$E$5382)/2+(1-shadow_base)*Sens!$E$5382))*Sens!I5391/1000-(Sens!I5481-Sens!$E$5481)*Sens!I5461)</f>
        <v>62.945449083787</v>
      </c>
      <c r="J5482" s="6" t="n">
        <f aca="false">MAX(0,((Sens!I5382+Sens!J5382)/2-(shadow_base*(Sens!$D$5382+Sens!$E$5382)/2+(1-shadow_base)*Sens!$E$5382))*Sens!J5391/1000-(Sens!J5481-Sens!$E$5481)*Sens!J5461)</f>
        <v>74.3199932171889</v>
      </c>
      <c r="K5482" s="6" t="n">
        <f aca="false">MAX(0,((Sens!J5382+Sens!K5382)/2-(shadow_base*(Sens!$D$5382+Sens!$E$5382)/2+(1-shadow_base)*Sens!$E$5382))*Sens!K5391/1000-(Sens!K5481-Sens!$E$5481)*Sens!K5461)</f>
        <v>80.2980943480986</v>
      </c>
      <c r="L5482" s="1" t="s">
        <v>1009</v>
      </c>
    </row>
    <row r="5483" customFormat="false" ht="17.15" hidden="false" customHeight="false" outlineLevel="0" collapsed="false">
      <c r="A5483" s="1" t="s">
        <v>1010</v>
      </c>
      <c r="B5483" s="0" t="s">
        <v>98</v>
      </c>
      <c r="F5483" s="6" t="n">
        <f aca="false">IF(internal_ai_reading=2,1,0)*Sens!F5482</f>
        <v>10.6432809270546</v>
      </c>
      <c r="G5483" s="6" t="n">
        <f aca="false">IF(internal_ai_reading=2,1,0)*Sens!G5482</f>
        <v>27.9185071635291</v>
      </c>
      <c r="H5483" s="6" t="n">
        <f aca="false">IF(internal_ai_reading=2,1,0)*Sens!H5482</f>
        <v>46.666924349469</v>
      </c>
      <c r="I5483" s="6" t="n">
        <f aca="false">IF(internal_ai_reading=2,1,0)*Sens!I5482</f>
        <v>62.945449083787</v>
      </c>
      <c r="J5483" s="6" t="n">
        <f aca="false">IF(internal_ai_reading=2,1,0)*Sens!J5482</f>
        <v>74.3199932171889</v>
      </c>
      <c r="K5483" s="6" t="n">
        <f aca="false">IF(internal_ai_reading=2,1,0)*Sens!K5482</f>
        <v>80.2980943480986</v>
      </c>
    </row>
    <row r="5484" customFormat="false" ht="17.15" hidden="false" customHeight="false" outlineLevel="0" collapsed="false">
      <c r="A5484" s="0" t="s">
        <v>1011</v>
      </c>
      <c r="B5484" s="0" t="s">
        <v>98</v>
      </c>
      <c r="F5484" s="6" t="n">
        <f aca="false">Sens!F5401+Sens!F5481*Sens!F5461+Sens!F5483-Sens!F5402-Sens!F5413</f>
        <v>14.9198764113155</v>
      </c>
      <c r="G5484" s="6" t="n">
        <f aca="false">Sens!G5401+Sens!G5481*Sens!G5461+Sens!G5483-Sens!G5402-Sens!G5413</f>
        <v>24.4724508491131</v>
      </c>
      <c r="H5484" s="6" t="n">
        <f aca="false">Sens!H5401+Sens!H5481*Sens!H5461+Sens!H5483-Sens!H5402-Sens!H5413</f>
        <v>28.9744129935972</v>
      </c>
      <c r="I5484" s="6" t="n">
        <f aca="false">Sens!I5401+Sens!I5481*Sens!I5461+Sens!I5483-Sens!I5402-Sens!I5413</f>
        <v>38.7307188345401</v>
      </c>
      <c r="J5484" s="6" t="n">
        <f aca="false">Sens!J5401+Sens!J5481*Sens!J5461+Sens!J5483-Sens!J5402-Sens!J5413</f>
        <v>45.9377720768372</v>
      </c>
      <c r="K5484" s="6" t="n">
        <f aca="false">Sens!K5401+Sens!K5481*Sens!K5461+Sens!K5483-Sens!K5402-Sens!K5413</f>
        <v>49.8550104100367</v>
      </c>
    </row>
    <row r="5485" customFormat="false" ht="17.15" hidden="false" customHeight="false" outlineLevel="0" collapsed="false">
      <c r="A5485" s="0" t="s">
        <v>1012</v>
      </c>
      <c r="B5485" s="0" t="s">
        <v>98</v>
      </c>
      <c r="E5485" s="6" t="n">
        <f aca="false">Sens!E5381*(cxit_open+self_build*tk_cxfac)/1000*ai_net_open</f>
        <v>126.6980382</v>
      </c>
      <c r="F5485" s="6" t="n">
        <f aca="false">Sens!E5485+Sens!F5410-Sens!F5413</f>
        <v>265.154125618829</v>
      </c>
      <c r="G5485" s="6" t="n">
        <f aca="false">Sens!F5485+Sens!G5410-Sens!G5413</f>
        <v>404.444632283224</v>
      </c>
      <c r="H5485" s="6" t="n">
        <f aca="false">Sens!G5485+Sens!H5410-Sens!H5413</f>
        <v>524.036544500123</v>
      </c>
      <c r="I5485" s="6" t="n">
        <f aca="false">Sens!H5485+Sens!I5410-Sens!I5413</f>
        <v>564.998338555436</v>
      </c>
      <c r="J5485" s="6" t="n">
        <f aca="false">Sens!I5485+Sens!J5410-Sens!J5413</f>
        <v>565.888311674893</v>
      </c>
      <c r="K5485" s="6" t="n">
        <f aca="false">Sens!J5485+Sens!K5410-Sens!K5413</f>
        <v>519.693395517643</v>
      </c>
      <c r="L5485" s="1" t="s">
        <v>1013</v>
      </c>
    </row>
    <row r="5486" customFormat="false" ht="17.15" hidden="false" customHeight="false" outlineLevel="0" collapsed="false">
      <c r="A5486" s="0" t="s">
        <v>1014</v>
      </c>
      <c r="B5486" s="0" t="s">
        <v>168</v>
      </c>
      <c r="F5486" s="7" t="n">
        <f aca="false">Sens!F5484*(1-tax_f)/((Sens!E5485+Sens!F5485)/2)</f>
        <v>0.0609204298515543</v>
      </c>
      <c r="G5486" s="7" t="n">
        <f aca="false">Sens!G5484*(1-tax_f)/((Sens!F5485+Sens!G5485)/2)</f>
        <v>0.0584766935369801</v>
      </c>
      <c r="H5486" s="7" t="n">
        <f aca="false">Sens!H5484*(1-tax_f)/((Sens!G5485+Sens!H5485)/2)</f>
        <v>0.04992999529658</v>
      </c>
      <c r="I5486" s="7" t="n">
        <f aca="false">Sens!I5484*(1-tax_f)/((Sens!H5485+Sens!I5485)/2)</f>
        <v>0.0569028146843141</v>
      </c>
      <c r="J5486" s="7" t="n">
        <f aca="false">Sens!J5484*(1-tax_f)/((Sens!I5485+Sens!J5485)/2)</f>
        <v>0.0649936360182249</v>
      </c>
      <c r="K5486" s="7" t="n">
        <f aca="false">Sens!K5484*(1-tax_f)/((Sens!J5485+Sens!K5485)/2)</f>
        <v>0.073479514372391</v>
      </c>
    </row>
    <row r="5487" customFormat="false" ht="17.15" hidden="false" customHeight="false" outlineLevel="0" collapsed="false">
      <c r="A5487" s="1" t="s">
        <v>1015</v>
      </c>
      <c r="B5487" s="0" t="s">
        <v>168</v>
      </c>
      <c r="F5487" s="7" t="n">
        <f aca="false">(Sens!F5484-Sens!F5483)*(1-tax_f)/((Sens!E5485+Sens!F5485)/2)</f>
        <v>0.0174620773001039</v>
      </c>
      <c r="G5487" s="7" t="n">
        <f aca="false">(Sens!G5484-Sens!G5483)*(1-tax_f)/((Sens!F5485+Sens!G5485)/2)</f>
        <v>-0.00823431949058702</v>
      </c>
      <c r="H5487" s="7" t="n">
        <f aca="false">(Sens!H5484-Sens!H5483)*(1-tax_f)/((Sens!G5485+Sens!H5485)/2)</f>
        <v>-0.0304885213370354</v>
      </c>
      <c r="I5487" s="7" t="n">
        <f aca="false">(Sens!I5484-Sens!I5483)*(1-tax_f)/((Sens!H5485+Sens!I5485)/2)</f>
        <v>-0.0355760582159594</v>
      </c>
      <c r="J5487" s="7" t="n">
        <f aca="false">(Sens!J5484-Sens!J5483)*(1-tax_f)/((Sens!I5485+Sens!J5485)/2)</f>
        <v>-0.0401557077495907</v>
      </c>
      <c r="K5487" s="7" t="n">
        <f aca="false">(Sens!K5484-Sens!K5483)*(1-tax_f)/((Sens!J5485+Sens!K5485)/2)</f>
        <v>-0.0448689711499166</v>
      </c>
    </row>
    <row r="5488" customFormat="false" ht="17.15" hidden="false" customHeight="false" outlineLevel="0" collapsed="false">
      <c r="A5488" s="1" t="s">
        <v>1016</v>
      </c>
      <c r="B5488" s="0" t="s">
        <v>168</v>
      </c>
      <c r="F5488" s="7" t="n">
        <f aca="false">(Sens!F5484-Sens!F5483+Sens!F5482)*(1-tax_f)/((Sens!E5485+Sens!F5485)/2)</f>
        <v>0.0609204298515543</v>
      </c>
      <c r="G5488" s="7" t="n">
        <f aca="false">(Sens!G5484-Sens!G5483+Sens!G5482)*(1-tax_f)/((Sens!F5485+Sens!G5485)/2)</f>
        <v>0.0584766935369801</v>
      </c>
      <c r="H5488" s="7" t="n">
        <f aca="false">(Sens!H5484-Sens!H5483+Sens!H5482)*(1-tax_f)/((Sens!G5485+Sens!H5485)/2)</f>
        <v>0.04992999529658</v>
      </c>
      <c r="I5488" s="7" t="n">
        <f aca="false">(Sens!I5484-Sens!I5483+Sens!I5482)*(1-tax_f)/((Sens!H5485+Sens!I5485)/2)</f>
        <v>0.0569028146843141</v>
      </c>
      <c r="J5488" s="7" t="n">
        <f aca="false">(Sens!J5484-Sens!J5483+Sens!J5482)*(1-tax_f)/((Sens!I5485+Sens!J5485)/2)</f>
        <v>0.0649936360182249</v>
      </c>
      <c r="K5488" s="7" t="n">
        <f aca="false">(Sens!K5484-Sens!K5483+Sens!K5482)*(1-tax_f)/((Sens!J5485+Sens!K5485)/2)</f>
        <v>0.073479514372391</v>
      </c>
    </row>
    <row r="5489" customFormat="false" ht="17.15" hidden="false" customHeight="false" outlineLevel="0" collapsed="false">
      <c r="A5489" s="1" t="s">
        <v>1017</v>
      </c>
      <c r="B5489" s="0" t="s">
        <v>168</v>
      </c>
      <c r="F5489" s="7" t="n">
        <f aca="false">Sens!F5414*(1-tax_f)/(Sens!F5400*(Sens!E5485+Sens!F5485)/2)</f>
        <v>0.1163434164724</v>
      </c>
      <c r="G5489" s="7" t="n">
        <f aca="false">Sens!G5414*(1-tax_f)/(Sens!G5400*(Sens!F5485+Sens!G5485)/2)</f>
        <v>0.0851001605694211</v>
      </c>
      <c r="H5489" s="7" t="n">
        <f aca="false">Sens!H5414*(1-tax_f)/(Sens!H5400*(Sens!G5485+Sens!H5485)/2)</f>
        <v>0.0577635179652832</v>
      </c>
      <c r="I5489" s="7" t="n">
        <f aca="false">Sens!I5414*(1-tax_f)/(Sens!I5400*(Sens!H5485+Sens!I5485)/2)</f>
        <v>0.0611610300291811</v>
      </c>
      <c r="J5489" s="7" t="n">
        <f aca="false">Sens!J5414*(1-tax_f)/(Sens!J5400*(Sens!I5485+Sens!J5485)/2)</f>
        <v>0.0675803750620862</v>
      </c>
      <c r="K5489" s="7" t="n">
        <f aca="false">Sens!K5414*(1-tax_f)/(Sens!K5400*(Sens!J5485+Sens!K5485)/2)</f>
        <v>0.0754183518052703</v>
      </c>
    </row>
    <row r="5490" customFormat="false" ht="17.15" hidden="false" customHeight="false" outlineLevel="0" collapsed="false">
      <c r="A5490" s="0" t="s">
        <v>1018</v>
      </c>
      <c r="B5490" s="0" t="s">
        <v>253</v>
      </c>
      <c r="F5490" s="7" t="n">
        <f aca="false">Sens!F5486-wacc</f>
        <v>-0.0420161610940429</v>
      </c>
      <c r="G5490" s="7" t="n">
        <f aca="false">Sens!G5486-wacc</f>
        <v>-0.0444598974086172</v>
      </c>
      <c r="H5490" s="7" t="n">
        <f aca="false">Sens!H5486-wacc</f>
        <v>-0.0530065956490173</v>
      </c>
      <c r="I5490" s="7" t="n">
        <f aca="false">Sens!I5486-wacc</f>
        <v>-0.0460337762612832</v>
      </c>
      <c r="J5490" s="7" t="n">
        <f aca="false">Sens!J5486-wacc</f>
        <v>-0.0379429549273724</v>
      </c>
      <c r="K5490" s="7" t="n">
        <f aca="false">Sens!K5486-wacc</f>
        <v>-0.0294570765732063</v>
      </c>
    </row>
    <row r="5491" customFormat="false" ht="17.15" hidden="false" customHeight="false" outlineLevel="0" collapsed="false">
      <c r="A5491" s="0" t="s">
        <v>1019</v>
      </c>
      <c r="B5491" s="0" t="s">
        <v>98</v>
      </c>
      <c r="F5491" s="6" t="n">
        <f aca="false">Sens!F5484*(1-tax_f)-wacc*(Sens!E5485+Sens!F5485)/2</f>
        <v>-8.23206182003061</v>
      </c>
      <c r="G5491" s="6" t="n">
        <f aca="false">Sens!G5484*(1-tax_f)-wacc*(Sens!F5485+Sens!G5485)/2</f>
        <v>-14.8851460406314</v>
      </c>
      <c r="H5491" s="6" t="n">
        <f aca="false">Sens!H5484*(1-tax_f)-wacc*(Sens!G5485+Sens!H5485)/2</f>
        <v>-24.6078131527393</v>
      </c>
      <c r="I5491" s="6" t="n">
        <f aca="false">Sens!I5484*(1-tax_f)-wacc*(Sens!H5485+Sens!I5485)/2</f>
        <v>-25.0661940736562</v>
      </c>
      <c r="J5491" s="6" t="n">
        <f aca="false">Sens!J5484*(1-tax_f)-wacc*(Sens!I5485+Sens!J5485)/2</f>
        <v>-21.4545905988283</v>
      </c>
      <c r="K5491" s="6" t="n">
        <f aca="false">Sens!K5484*(1-tax_f)-wacc*(Sens!J5485+Sens!K5485)/2</f>
        <v>-15.9890317376213</v>
      </c>
    </row>
    <row r="5492" customFormat="false" ht="17.15" hidden="false" customHeight="false" outlineLevel="0" collapsed="false">
      <c r="A5492" s="3" t="s">
        <v>1748</v>
      </c>
    </row>
    <row r="5493" customFormat="false" ht="15" hidden="false" customHeight="false" outlineLevel="0" collapsed="false">
      <c r="A5493" s="4" t="s">
        <v>43</v>
      </c>
      <c r="B5493" s="4" t="s">
        <v>65</v>
      </c>
      <c r="C5493" s="23" t="s">
        <v>942</v>
      </c>
      <c r="D5493" s="23" t="s">
        <v>943</v>
      </c>
      <c r="E5493" s="23" t="s">
        <v>944</v>
      </c>
      <c r="F5493" s="23" t="s">
        <v>945</v>
      </c>
      <c r="G5493" s="23" t="s">
        <v>946</v>
      </c>
      <c r="H5493" s="23" t="s">
        <v>947</v>
      </c>
      <c r="I5493" s="23" t="s">
        <v>948</v>
      </c>
      <c r="J5493" s="23" t="s">
        <v>949</v>
      </c>
      <c r="K5493" s="23" t="s">
        <v>950</v>
      </c>
      <c r="L5493" s="4" t="s">
        <v>47</v>
      </c>
    </row>
    <row r="5494" customFormat="false" ht="15" hidden="false" customHeight="false" outlineLevel="0" collapsed="false">
      <c r="A5494" s="1" t="s">
        <v>1080</v>
      </c>
      <c r="B5494" s="0" t="s">
        <v>98</v>
      </c>
      <c r="F5494" s="6" t="n">
        <f aca="false">Sens!F5475</f>
        <v>142.797425494855</v>
      </c>
      <c r="G5494" s="6" t="n">
        <f aca="false">Sens!G5475</f>
        <v>147.977499808754</v>
      </c>
      <c r="H5494" s="6" t="n">
        <f aca="false">Sens!H5475</f>
        <v>152.503112434969</v>
      </c>
      <c r="I5494" s="6" t="n">
        <f aca="false">Sens!I5475</f>
        <v>162.911705112361</v>
      </c>
      <c r="J5494" s="6" t="n">
        <f aca="false">Sens!J5475</f>
        <v>174.2913257515</v>
      </c>
      <c r="K5494" s="6" t="n">
        <f aca="false">Sens!K5475</f>
        <v>185.809201188798</v>
      </c>
    </row>
    <row r="5495" customFormat="false" ht="17.15" hidden="false" customHeight="false" outlineLevel="0" collapsed="false">
      <c r="A5495" s="1" t="s">
        <v>1102</v>
      </c>
      <c r="B5495" s="0" t="s">
        <v>98</v>
      </c>
      <c r="E5495" s="6" t="n">
        <f aca="false">Q!M38-Sens!E5413</f>
        <v>24.3801052339286</v>
      </c>
      <c r="F5495" s="6" t="n">
        <f aca="false">Sens!E5495*(1-1/life_nonai)+(Sens!F5503+Sens!F5504)/life_nonai</f>
        <v>25.5247006178659</v>
      </c>
      <c r="G5495" s="6" t="n">
        <f aca="false">Sens!F5495*(1-1/life_nonai)+(Sens!G5503)/life_nonai</f>
        <v>27.0903327901666</v>
      </c>
      <c r="H5495" s="6" t="n">
        <f aca="false">Sens!G5495*(1-1/life_nonai)+(Sens!H5503)/life_nonai</f>
        <v>29.0435451561402</v>
      </c>
      <c r="I5495" s="6" t="n">
        <f aca="false">Sens!H5495*(1-1/life_nonai)+(Sens!I5503)/life_nonai</f>
        <v>31.3256193038047</v>
      </c>
      <c r="J5495" s="6" t="n">
        <f aca="false">Sens!I5495*(1-1/life_nonai)+(Sens!J5503)/life_nonai</f>
        <v>33.8599606204465</v>
      </c>
      <c r="K5495" s="6" t="n">
        <f aca="false">Sens!J5495*(1-1/life_nonai)+(Sens!K5503)/life_nonai</f>
        <v>36.5605992132394</v>
      </c>
      <c r="L5495" s="12" t="s">
        <v>1103</v>
      </c>
    </row>
    <row r="5496" customFormat="false" ht="17.15" hidden="false" customHeight="false" outlineLevel="0" collapsed="false">
      <c r="A5496" s="1" t="s">
        <v>1104</v>
      </c>
      <c r="B5496" s="0" t="s">
        <v>98</v>
      </c>
      <c r="F5496" s="6" t="n">
        <f aca="false">Sens!$F$5504/life_nonai*(1-1/life_nonai)^(Sens!F5376-2027)</f>
        <v>0</v>
      </c>
      <c r="G5496" s="6" t="n">
        <f aca="false">Sens!$F$5504/life_nonai*(1-1/life_nonai)^(Sens!G5376-2027)</f>
        <v>0</v>
      </c>
      <c r="H5496" s="6" t="n">
        <f aca="false">Sens!$F$5504/life_nonai*(1-1/life_nonai)^(Sens!H5376-2027)</f>
        <v>0</v>
      </c>
      <c r="I5496" s="6" t="n">
        <f aca="false">Sens!$F$5504/life_nonai*(1-1/life_nonai)^(Sens!I5376-2027)</f>
        <v>0</v>
      </c>
      <c r="J5496" s="6" t="n">
        <f aca="false">Sens!$F$5504/life_nonai*(1-1/life_nonai)^(Sens!J5376-2027)</f>
        <v>0</v>
      </c>
      <c r="K5496" s="6" t="n">
        <f aca="false">Sens!$F$5504/life_nonai*(1-1/life_nonai)^(Sens!K5376-2027)</f>
        <v>0</v>
      </c>
      <c r="L5496" s="1" t="s">
        <v>1105</v>
      </c>
    </row>
    <row r="5497" customFormat="false" ht="17.15" hidden="false" customHeight="false" outlineLevel="0" collapsed="false">
      <c r="A5497" s="1" t="s">
        <v>1106</v>
      </c>
      <c r="B5497" s="0" t="s">
        <v>98</v>
      </c>
      <c r="E5497" s="6" t="n">
        <f aca="false">Sens!E5413+Sens!E5495</f>
        <v>38.534</v>
      </c>
      <c r="F5497" s="6" t="n">
        <f aca="false">Sens!F5413+Sens!F5495</f>
        <v>55.5225172411566</v>
      </c>
      <c r="G5497" s="6" t="n">
        <f aca="false">Sens!G5413+Sens!G5495</f>
        <v>79.7443017748193</v>
      </c>
      <c r="H5497" s="6" t="n">
        <f aca="false">Sens!H5413+Sens!H5495</f>
        <v>106.257637003754</v>
      </c>
      <c r="I5497" s="6" t="n">
        <f aca="false">Sens!I5413+Sens!I5495</f>
        <v>129.817914110102</v>
      </c>
      <c r="J5497" s="6" t="n">
        <f aca="false">Sens!J5413+Sens!J5495</f>
        <v>147.02198769693</v>
      </c>
      <c r="K5497" s="6" t="n">
        <f aca="false">Sens!K5413+Sens!K5495</f>
        <v>158.274809915222</v>
      </c>
    </row>
    <row r="5498" customFormat="false" ht="17.15" hidden="false" customHeight="false" outlineLevel="0" collapsed="false">
      <c r="A5498" s="1" t="s">
        <v>1107</v>
      </c>
      <c r="B5498" s="0" t="s">
        <v>98</v>
      </c>
      <c r="F5498" s="6" t="n">
        <f aca="false">Sens!F5440*sbc_r</f>
        <v>14.7454787486369</v>
      </c>
      <c r="G5498" s="6" t="n">
        <f aca="false">Sens!G5440*sbc_r</f>
        <v>17.1560811611477</v>
      </c>
      <c r="H5498" s="6" t="n">
        <f aca="false">Sens!H5440*sbc_r</f>
        <v>19.4112161412813</v>
      </c>
      <c r="I5498" s="6" t="n">
        <f aca="false">Sens!I5440*sbc_r</f>
        <v>21.735963845142</v>
      </c>
      <c r="J5498" s="6" t="n">
        <f aca="false">Sens!J5440*sbc_r</f>
        <v>23.6964064974615</v>
      </c>
      <c r="K5498" s="6" t="n">
        <f aca="false">Sens!K5440*sbc_r</f>
        <v>25.2618659563418</v>
      </c>
    </row>
    <row r="5499" customFormat="false" ht="17.15" hidden="false" customHeight="false" outlineLevel="0" collapsed="false">
      <c r="A5499" s="1" t="s">
        <v>1108</v>
      </c>
      <c r="B5499" s="0" t="s">
        <v>98</v>
      </c>
      <c r="F5499" s="6" t="n">
        <f aca="false">wc27-wc26q1</f>
        <v>-4.677</v>
      </c>
      <c r="G5499" s="6" t="n">
        <f aca="false">wc_f</f>
        <v>0</v>
      </c>
      <c r="H5499" s="6" t="n">
        <f aca="false">wc_f</f>
        <v>0</v>
      </c>
      <c r="I5499" s="6" t="n">
        <f aca="false">wc_f</f>
        <v>0</v>
      </c>
      <c r="J5499" s="6" t="n">
        <f aca="false">wc_f</f>
        <v>0</v>
      </c>
      <c r="K5499" s="6" t="n">
        <f aca="false">wc_f</f>
        <v>0</v>
      </c>
      <c r="L5499" s="12" t="s">
        <v>1109</v>
      </c>
    </row>
    <row r="5500" customFormat="false" ht="17.15" hidden="false" customHeight="false" outlineLevel="0" collapsed="false">
      <c r="A5500" s="0" t="s">
        <v>1110</v>
      </c>
      <c r="B5500" s="0" t="s">
        <v>98</v>
      </c>
      <c r="F5500" s="6" t="n">
        <f aca="false">Q!$I$35-Q!$I$26-Q!$I$38-Q!$I$39</f>
        <v>6.493</v>
      </c>
      <c r="L5500" s="1" t="s">
        <v>1111</v>
      </c>
    </row>
    <row r="5501" customFormat="false" ht="15" hidden="false" customHeight="false" outlineLevel="0" collapsed="false">
      <c r="A5501" s="1" t="s">
        <v>908</v>
      </c>
      <c r="B5501" s="0" t="s">
        <v>98</v>
      </c>
      <c r="E5501" s="6" t="n">
        <f aca="false">Q!M35</f>
        <v>182.935</v>
      </c>
      <c r="F5501" s="6" t="n">
        <f aca="false">Sens!F5494+Sens!F5497+Sens!F5498+Sens!F5499+Sens!F5500</f>
        <v>214.881421484649</v>
      </c>
      <c r="G5501" s="6" t="n">
        <f aca="false">Sens!G5494+Sens!G5497+Sens!G5498+Sens!G5499</f>
        <v>244.877882744721</v>
      </c>
      <c r="H5501" s="6" t="n">
        <f aca="false">Sens!H5494+Sens!H5497+Sens!H5498+Sens!H5499</f>
        <v>278.171965580005</v>
      </c>
      <c r="I5501" s="6" t="n">
        <f aca="false">Sens!I5494+Sens!I5497+Sens!I5498+Sens!I5499</f>
        <v>314.465583067605</v>
      </c>
      <c r="J5501" s="6" t="n">
        <f aca="false">Sens!J5494+Sens!J5497+Sens!J5498+Sens!J5499</f>
        <v>345.009719945892</v>
      </c>
      <c r="K5501" s="6" t="n">
        <f aca="false">Sens!K5494+Sens!K5497+Sens!K5498+Sens!K5499</f>
        <v>369.345877060362</v>
      </c>
    </row>
    <row r="5502" customFormat="false" ht="17.15" hidden="false" customHeight="false" outlineLevel="0" collapsed="false">
      <c r="A5502" s="0" t="s">
        <v>1112</v>
      </c>
      <c r="B5502" s="0" t="s">
        <v>98</v>
      </c>
      <c r="F5502" s="6" t="n">
        <f aca="false">Sens!F5410</f>
        <v>168.45390404212</v>
      </c>
      <c r="G5502" s="6" t="n">
        <f aca="false">Sens!G5410</f>
        <v>191.944475649048</v>
      </c>
      <c r="H5502" s="6" t="n">
        <f aca="false">Sens!H5410</f>
        <v>196.806004064512</v>
      </c>
      <c r="I5502" s="6" t="n">
        <f aca="false">Sens!I5410</f>
        <v>139.45408886161</v>
      </c>
      <c r="J5502" s="6" t="n">
        <f aca="false">Sens!J5410</f>
        <v>114.05200019594</v>
      </c>
      <c r="K5502" s="6" t="n">
        <f aca="false">Sens!K5410</f>
        <v>75.5192945447327</v>
      </c>
    </row>
    <row r="5503" customFormat="false" ht="17.15" hidden="false" customHeight="false" outlineLevel="0" collapsed="false">
      <c r="A5503" s="1" t="s">
        <v>1113</v>
      </c>
      <c r="B5503" s="0" t="s">
        <v>98</v>
      </c>
      <c r="E5503" s="6" t="n">
        <f aca="false">Sens!E5418*cx_azo+Sens!E5425*cx_m365+Sens!E5426*cx_lic+(Sens!E5428+Sens!E5430)*cx_ind+Sens!E5433*cx_srch+(Sens!E5435+Sens!E5437)*cx_dev</f>
        <v>30.1846587067718</v>
      </c>
      <c r="F5503" s="6" t="n">
        <f aca="false">Sens!F5418*cx_azo+Sens!F5425*cx_m365+Sens!F5426*cx_lic+(Sens!F5428+Sens!F5430)*cx_ind+Sens!F5433*cx_srch+(Sens!F5435+Sens!F5437)*cx_dev</f>
        <v>35.826059073302</v>
      </c>
      <c r="G5503" s="6" t="n">
        <f aca="false">Sens!G5418*cx_azo+Sens!G5425*cx_m365+Sens!G5426*cx_lic+(Sens!G5428+Sens!G5430)*cx_ind+Sens!G5433*cx_srch+(Sens!G5435+Sens!G5437)*cx_dev</f>
        <v>41.1810223408732</v>
      </c>
      <c r="H5503" s="6" t="n">
        <f aca="false">Sens!H5418*cx_azo+Sens!H5425*cx_m365+Sens!H5426*cx_lic+(Sens!H5428+Sens!H5430)*cx_ind+Sens!H5433*cx_srch+(Sens!H5435+Sens!H5437)*cx_dev</f>
        <v>46.6224564499022</v>
      </c>
      <c r="I5503" s="6" t="n">
        <f aca="false">Sens!I5418*cx_azo+Sens!I5425*cx_m365+Sens!I5426*cx_lic+(Sens!I5428+Sens!I5430)*cx_ind+Sens!I5433*cx_srch+(Sens!I5435+Sens!I5437)*cx_dev</f>
        <v>51.8642866327854</v>
      </c>
      <c r="J5503" s="6" t="n">
        <f aca="false">Sens!J5418*cx_azo+Sens!J5425*cx_m365+Sens!J5426*cx_lic+(Sens!J5428+Sens!J5430)*cx_ind+Sens!J5433*cx_srch+(Sens!J5435+Sens!J5437)*cx_dev</f>
        <v>56.6690324702225</v>
      </c>
      <c r="K5503" s="6" t="n">
        <f aca="false">Sens!K5418*cx_azo+Sens!K5425*cx_m365+Sens!K5426*cx_lic+(Sens!K5428+Sens!K5430)*cx_ind+Sens!K5433*cx_srch+(Sens!K5435+Sens!K5437)*cx_dev</f>
        <v>60.866346548376</v>
      </c>
    </row>
    <row r="5504" customFormat="false" ht="17.15" hidden="false" customHeight="false" outlineLevel="0" collapsed="false">
      <c r="A5504" s="0" t="s">
        <v>1114</v>
      </c>
      <c r="B5504" s="0" t="s">
        <v>98</v>
      </c>
      <c r="F5504" s="6" t="n">
        <f aca="false">Sens!F5408</f>
        <v>0</v>
      </c>
      <c r="L5504" s="1" t="s">
        <v>1115</v>
      </c>
    </row>
    <row r="5505" customFormat="false" ht="17.15" hidden="false" customHeight="false" outlineLevel="0" collapsed="false">
      <c r="A5505" s="1" t="s">
        <v>1116</v>
      </c>
      <c r="B5505" s="0" t="s">
        <v>98</v>
      </c>
      <c r="E5505" s="6" t="n">
        <f aca="false">Q!M43</f>
        <v>145.3</v>
      </c>
      <c r="F5505" s="6" t="n">
        <f aca="false">Sens!F5502+Sens!F5503+Sens!F5504</f>
        <v>204.279963115422</v>
      </c>
      <c r="G5505" s="6" t="n">
        <f aca="false">Sens!G5502+Sens!G5503</f>
        <v>233.125497989921</v>
      </c>
      <c r="H5505" s="6" t="n">
        <f aca="false">Sens!H5502+Sens!H5503</f>
        <v>243.428460514415</v>
      </c>
      <c r="I5505" s="6" t="n">
        <f aca="false">Sens!I5502+Sens!I5503</f>
        <v>191.318375494396</v>
      </c>
      <c r="J5505" s="6" t="n">
        <f aca="false">Sens!J5502+Sens!J5503</f>
        <v>170.721032666163</v>
      </c>
      <c r="K5505" s="6" t="n">
        <f aca="false">Sens!K5502+Sens!K5503</f>
        <v>136.385641093109</v>
      </c>
      <c r="L5505" s="1" t="s">
        <v>1117</v>
      </c>
    </row>
    <row r="5506" customFormat="false" ht="15" hidden="false" customHeight="false" outlineLevel="0" collapsed="false">
      <c r="A5506" s="1" t="s">
        <v>1118</v>
      </c>
      <c r="B5506" s="0" t="s">
        <v>98</v>
      </c>
      <c r="E5506" s="6" t="n">
        <f aca="false">fl_liab</f>
        <v>66.594</v>
      </c>
      <c r="F5506" s="6" t="n">
        <f aca="false">Sens!E5506-Sens!F5507</f>
        <v>62.46973</v>
      </c>
      <c r="G5506" s="6" t="n">
        <f aca="false">Sens!F5506-Sens!G5507</f>
        <v>57.98686785</v>
      </c>
      <c r="H5506" s="6" t="n">
        <f aca="false">Sens!G5506-Sens!H5507</f>
        <v>53.92827690325</v>
      </c>
      <c r="I5506" s="6" t="n">
        <f aca="false">Sens!H5506-Sens!I5507</f>
        <v>49.7850493638962</v>
      </c>
      <c r="J5506" s="6" t="n">
        <f aca="false">Sens!I5506-Sens!J5507</f>
        <v>45.4823765852716</v>
      </c>
      <c r="K5506" s="6" t="n">
        <f aca="false">Sens!J5506-Sens!K5507</f>
        <v>40.9860835316088</v>
      </c>
    </row>
    <row r="5507" customFormat="false" ht="15" hidden="false" customHeight="false" outlineLevel="0" collapsed="false">
      <c r="A5507" s="1" t="s">
        <v>1119</v>
      </c>
      <c r="B5507" s="0" t="s">
        <v>98</v>
      </c>
      <c r="F5507" s="6" t="n">
        <f aca="false">fl_pay_27-Sens!E5506*fl_rate</f>
        <v>4.12427</v>
      </c>
      <c r="G5507" s="6" t="n">
        <f aca="false">fl_pay_28-Sens!F5506*fl_rate</f>
        <v>4.48286215</v>
      </c>
      <c r="H5507" s="6" t="n">
        <f aca="false">fl_pay_29-Sens!G5506*fl_rate</f>
        <v>4.05859094675</v>
      </c>
      <c r="I5507" s="6" t="n">
        <f aca="false">fl_pay_30-Sens!H5506*fl_rate</f>
        <v>4.14322753935375</v>
      </c>
      <c r="J5507" s="6" t="n">
        <f aca="false">fl_pay_31-Sens!I5506*fl_rate</f>
        <v>4.30267277862467</v>
      </c>
      <c r="K5507" s="6" t="n">
        <f aca="false">fl_pay_32-Sens!J5506*fl_rate</f>
        <v>4.49629305366278</v>
      </c>
    </row>
    <row r="5508" customFormat="false" ht="17.15" hidden="false" customHeight="false" outlineLevel="0" collapsed="false">
      <c r="A5508" s="1" t="s">
        <v>1120</v>
      </c>
      <c r="B5508" s="0" t="s">
        <v>98</v>
      </c>
      <c r="E5508" s="6" t="n">
        <f aca="false">Q!M35-Q!M36-Q!M44</f>
        <v>63.886</v>
      </c>
      <c r="F5508" s="6" t="n">
        <f aca="false">Sens!F5501-Sens!F5505-Sens!F5507</f>
        <v>6.47718836922706</v>
      </c>
      <c r="G5508" s="6" t="n">
        <f aca="false">Sens!G5501-Sens!G5505-Sens!G5507</f>
        <v>7.26952260479978</v>
      </c>
      <c r="H5508" s="6" t="n">
        <f aca="false">Sens!H5501-Sens!H5505-Sens!H5507</f>
        <v>30.6849141188403</v>
      </c>
      <c r="I5508" s="6" t="n">
        <f aca="false">Sens!I5501-Sens!I5505-Sens!I5507</f>
        <v>119.003980033855</v>
      </c>
      <c r="J5508" s="6" t="n">
        <f aca="false">Sens!J5501-Sens!J5505-Sens!J5507</f>
        <v>169.986014501104</v>
      </c>
      <c r="K5508" s="6" t="n">
        <f aca="false">Sens!K5501-Sens!K5505-Sens!K5507</f>
        <v>228.463942913591</v>
      </c>
      <c r="L5508" s="12" t="s">
        <v>1121</v>
      </c>
    </row>
    <row r="5509" customFormat="false" ht="15" hidden="false" customHeight="false" outlineLevel="0" collapsed="false">
      <c r="A5509" s="1" t="s">
        <v>1122</v>
      </c>
      <c r="B5509" s="0" t="s">
        <v>75</v>
      </c>
      <c r="F5509" s="8" t="n">
        <f aca="false">dps_27</f>
        <v>3.85</v>
      </c>
      <c r="G5509" s="8" t="n">
        <f aca="false">Sens!F5509*(1+dps_g)</f>
        <v>4.158</v>
      </c>
      <c r="H5509" s="8" t="n">
        <f aca="false">Sens!G5509*(1+dps_g)</f>
        <v>4.49064</v>
      </c>
      <c r="I5509" s="8" t="n">
        <f aca="false">Sens!H5509*(1+dps_g)</f>
        <v>4.8498912</v>
      </c>
      <c r="J5509" s="8" t="n">
        <f aca="false">Sens!I5509*(1+dps_g)</f>
        <v>5.237882496</v>
      </c>
      <c r="K5509" s="8" t="n">
        <f aca="false">Sens!J5509*(1+dps_g)</f>
        <v>5.65691309568</v>
      </c>
    </row>
    <row r="5510" customFormat="false" ht="17.15" hidden="false" customHeight="false" outlineLevel="0" collapsed="false">
      <c r="A5510" s="1" t="s">
        <v>1123</v>
      </c>
      <c r="B5510" s="0" t="s">
        <v>98</v>
      </c>
      <c r="E5510" s="6" t="n">
        <f aca="false">Q!M41</f>
        <v>26.445</v>
      </c>
      <c r="F5510" s="6" t="n">
        <f aca="false">Sens!F5509*Sens!E5519</f>
        <v>28.59395</v>
      </c>
      <c r="G5510" s="6" t="n">
        <f aca="false">Sens!G5509*Sens!F5519</f>
        <v>31.068576</v>
      </c>
      <c r="H5510" s="6" t="n">
        <f aca="false">Sens!H5509*Sens!G5519</f>
        <v>33.75614088</v>
      </c>
      <c r="I5510" s="6" t="n">
        <f aca="false">Sens!I5509*Sens!H5519</f>
        <v>36.6748772544</v>
      </c>
      <c r="J5510" s="6" t="n">
        <f aca="false">Sens!J5509*Sens!I5519</f>
        <v>39.6767653201446</v>
      </c>
      <c r="K5510" s="6" t="n">
        <f aca="false">Sens!K5509*Sens!J5519</f>
        <v>42.9376608081345</v>
      </c>
      <c r="L5510" s="1" t="s">
        <v>1124</v>
      </c>
    </row>
    <row r="5511" customFormat="false" ht="15" hidden="false" customHeight="false" outlineLevel="0" collapsed="false">
      <c r="A5511" s="1" t="s">
        <v>1125</v>
      </c>
      <c r="B5511" s="0" t="s">
        <v>98</v>
      </c>
      <c r="E5511" s="6" t="n">
        <f aca="false">Sens!E5508-Sens!E5510</f>
        <v>37.441</v>
      </c>
      <c r="F5511" s="6" t="n">
        <f aca="false">Sens!F5508-Sens!F5510</f>
        <v>-22.1167616307729</v>
      </c>
      <c r="G5511" s="6" t="n">
        <f aca="false">Sens!G5508-Sens!G5510</f>
        <v>-23.7990533952002</v>
      </c>
      <c r="H5511" s="6" t="n">
        <f aca="false">Sens!H5508-Sens!H5510</f>
        <v>-3.07122676115966</v>
      </c>
      <c r="I5511" s="6" t="n">
        <f aca="false">Sens!I5508-Sens!I5510</f>
        <v>82.3291027794553</v>
      </c>
      <c r="J5511" s="6" t="n">
        <f aca="false">Sens!J5508-Sens!J5510</f>
        <v>130.30924918096</v>
      </c>
      <c r="K5511" s="6" t="n">
        <f aca="false">Sens!K5508-Sens!K5510</f>
        <v>185.526282105456</v>
      </c>
    </row>
    <row r="5512" customFormat="false" ht="15" hidden="false" customHeight="false" outlineLevel="0" collapsed="false">
      <c r="A5512" s="1" t="s">
        <v>1126</v>
      </c>
      <c r="B5512" s="0" t="s">
        <v>98</v>
      </c>
      <c r="F5512" s="6" t="n">
        <f aca="false">debt_mat_27</f>
        <v>9.25</v>
      </c>
      <c r="G5512" s="6" t="n">
        <f aca="false">debt_mat_28</f>
        <v>0</v>
      </c>
      <c r="H5512" s="6" t="n">
        <f aca="false">debt_mat_29</f>
        <v>2.001</v>
      </c>
      <c r="I5512" s="6" t="n">
        <f aca="false">debt_mat_30</f>
        <v>0</v>
      </c>
      <c r="J5512" s="6" t="n">
        <f aca="false">debt_mat_31</f>
        <v>0.5</v>
      </c>
      <c r="K5512" s="6" t="n">
        <f aca="false">debt_mat_32</f>
        <v>0</v>
      </c>
    </row>
    <row r="5513" customFormat="false" ht="15" hidden="false" customHeight="false" outlineLevel="0" collapsed="false">
      <c r="A5513" s="1" t="s">
        <v>1127</v>
      </c>
      <c r="B5513" s="0" t="s">
        <v>98</v>
      </c>
      <c r="E5513" s="6" t="n">
        <f aca="false">Q!M40</f>
        <v>22.271</v>
      </c>
      <c r="F5513" s="6" t="n">
        <f aca="false">MAX(0,MIN(bb_target,Sens!E5515+Sens!F5511-Sens!F5512-min_cash))</f>
        <v>0</v>
      </c>
      <c r="G5513" s="6" t="n">
        <f aca="false">MAX(0,MIN(bb_target,Sens!F5515+Sens!G5511-Sens!G5512-min_cash))</f>
        <v>0</v>
      </c>
      <c r="H5513" s="6" t="n">
        <f aca="false">MAX(0,MIN(bb_target,Sens!G5515+Sens!H5511-Sens!H5512-min_cash))</f>
        <v>0</v>
      </c>
      <c r="I5513" s="6" t="n">
        <f aca="false">MAX(0,MIN(bb_target,Sens!H5515+Sens!I5511-Sens!I5512-min_cash))</f>
        <v>22.271</v>
      </c>
      <c r="J5513" s="6" t="n">
        <f aca="false">MAX(0,MIN(bb_target,Sens!I5515+Sens!J5511-Sens!J5512-min_cash))</f>
        <v>22.271</v>
      </c>
      <c r="K5513" s="6" t="n">
        <f aca="false">MAX(0,MIN(bb_target,Sens!J5515+Sens!K5511-Sens!K5512-min_cash))</f>
        <v>22.271</v>
      </c>
    </row>
    <row r="5514" customFormat="false" ht="15" hidden="false" customHeight="false" outlineLevel="0" collapsed="false">
      <c r="A5514" s="1" t="s">
        <v>1128</v>
      </c>
      <c r="B5514" s="0" t="s">
        <v>98</v>
      </c>
      <c r="F5514" s="6" t="n">
        <f aca="false">MAX(0,min_cash-(Sens!E5515+Sens!F5511-Sens!F5512-Sens!F5513))</f>
        <v>4.52376163077294</v>
      </c>
      <c r="G5514" s="6" t="n">
        <f aca="false">MAX(0,min_cash-(Sens!F5515+Sens!G5511-Sens!G5512-Sens!G5513))</f>
        <v>23.7990533952002</v>
      </c>
      <c r="H5514" s="6" t="n">
        <f aca="false">MAX(0,min_cash-(Sens!G5515+Sens!H5511-Sens!H5512-Sens!H5513))</f>
        <v>5.07222676115966</v>
      </c>
      <c r="I5514" s="6" t="n">
        <f aca="false">MAX(0,min_cash-(Sens!H5515+Sens!I5511-Sens!I5512-Sens!I5513))</f>
        <v>0</v>
      </c>
      <c r="J5514" s="6" t="n">
        <f aca="false">MAX(0,min_cash-(Sens!I5515+Sens!J5511-Sens!J5512-Sens!J5513))</f>
        <v>0</v>
      </c>
      <c r="K5514" s="6" t="n">
        <f aca="false">MAX(0,min_cash-(Sens!J5515+Sens!K5511-Sens!K5512-Sens!K5513))</f>
        <v>0</v>
      </c>
    </row>
    <row r="5515" customFormat="false" ht="15" hidden="false" customHeight="false" outlineLevel="0" collapsed="false">
      <c r="A5515" s="1" t="s">
        <v>1129</v>
      </c>
      <c r="B5515" s="0" t="s">
        <v>98</v>
      </c>
      <c r="E5515" s="6" t="n">
        <f aca="false">cash_open</f>
        <v>76.843</v>
      </c>
      <c r="F5515" s="6" t="n">
        <f aca="false">Sens!E5515+Sens!F5511-Sens!F5512-Sens!F5513+Sens!F5514</f>
        <v>50</v>
      </c>
      <c r="G5515" s="6" t="n">
        <f aca="false">Sens!F5515+Sens!G5511-Sens!G5512-Sens!G5513+Sens!G5514</f>
        <v>50</v>
      </c>
      <c r="H5515" s="6" t="n">
        <f aca="false">Sens!G5515+Sens!H5511-Sens!H5512-Sens!H5513+Sens!H5514</f>
        <v>50</v>
      </c>
      <c r="I5515" s="6" t="n">
        <f aca="false">Sens!H5515+Sens!I5511-Sens!I5512-Sens!I5513+Sens!I5514</f>
        <v>110.058102779455</v>
      </c>
      <c r="J5515" s="6" t="n">
        <f aca="false">Sens!I5515+Sens!J5511-Sens!J5512-Sens!J5513+Sens!J5514</f>
        <v>217.596351960415</v>
      </c>
      <c r="K5515" s="6" t="n">
        <f aca="false">Sens!J5515+Sens!K5511-Sens!K5512-Sens!K5513+Sens!K5514</f>
        <v>380.851634065871</v>
      </c>
    </row>
    <row r="5516" customFormat="false" ht="15" hidden="false" customHeight="false" outlineLevel="0" collapsed="false">
      <c r="A5516" s="1" t="s">
        <v>1130</v>
      </c>
      <c r="B5516" s="0" t="s">
        <v>98</v>
      </c>
      <c r="E5516" s="6" t="n">
        <f aca="false">debt_face</f>
        <v>46.136</v>
      </c>
      <c r="F5516" s="6" t="n">
        <f aca="false">Sens!E5516-Sens!F5512+Sens!F5514</f>
        <v>41.4097616307729</v>
      </c>
      <c r="G5516" s="6" t="n">
        <f aca="false">Sens!F5516-Sens!G5512+Sens!G5514</f>
        <v>65.2088150259732</v>
      </c>
      <c r="H5516" s="6" t="n">
        <f aca="false">Sens!G5516-Sens!H5512+Sens!H5514</f>
        <v>68.2800417871328</v>
      </c>
      <c r="I5516" s="6" t="n">
        <f aca="false">Sens!H5516-Sens!I5512+Sens!I5514</f>
        <v>68.2800417871328</v>
      </c>
      <c r="J5516" s="6" t="n">
        <f aca="false">Sens!I5516-Sens!J5512+Sens!J5514</f>
        <v>67.7800417871328</v>
      </c>
      <c r="K5516" s="6" t="n">
        <f aca="false">Sens!J5516-Sens!K5512+Sens!K5514</f>
        <v>67.7800417871328</v>
      </c>
    </row>
    <row r="5517" customFormat="false" ht="15" hidden="false" customHeight="false" outlineLevel="0" collapsed="false">
      <c r="A5517" s="1" t="s">
        <v>1131</v>
      </c>
      <c r="B5517" s="0" t="s">
        <v>98</v>
      </c>
      <c r="E5517" s="6" t="n">
        <f aca="false">Sens!E5515-Sens!E5516</f>
        <v>30.707</v>
      </c>
      <c r="F5517" s="6" t="n">
        <f aca="false">Sens!F5515-Sens!F5516</f>
        <v>8.59023836922706</v>
      </c>
      <c r="G5517" s="6" t="n">
        <f aca="false">Sens!G5515-Sens!G5516</f>
        <v>-15.2088150259732</v>
      </c>
      <c r="H5517" s="6" t="n">
        <f aca="false">Sens!H5515-Sens!H5516</f>
        <v>-18.2800417871328</v>
      </c>
      <c r="I5517" s="6" t="n">
        <f aca="false">Sens!I5515-Sens!I5516</f>
        <v>41.7780609923224</v>
      </c>
      <c r="J5517" s="6" t="n">
        <f aca="false">Sens!J5515-Sens!J5516</f>
        <v>149.816310173282</v>
      </c>
      <c r="K5517" s="6" t="n">
        <f aca="false">Sens!K5515-Sens!K5516</f>
        <v>313.071592278738</v>
      </c>
    </row>
    <row r="5518" customFormat="false" ht="15" hidden="false" customHeight="false" outlineLevel="0" collapsed="false">
      <c r="A5518" s="1" t="s">
        <v>1132</v>
      </c>
      <c r="B5518" s="0" t="s">
        <v>75</v>
      </c>
      <c r="F5518" s="30" t="n">
        <f aca="false">px*(1+bb_g)^(Sens!F5376-base_fy-mid_yr)</f>
        <v>551.84177959629</v>
      </c>
      <c r="G5518" s="30" t="n">
        <f aca="false">px*(1+bb_g)^(Sens!G5376-base_fy-mid_yr)</f>
        <v>595.989121963993</v>
      </c>
      <c r="H5518" s="30" t="n">
        <f aca="false">px*(1+bb_g)^(Sens!H5376-base_fy-mid_yr)</f>
        <v>643.668251721112</v>
      </c>
      <c r="I5518" s="30" t="n">
        <f aca="false">px*(1+bb_g)^(Sens!I5376-base_fy-mid_yr)</f>
        <v>695.161711858801</v>
      </c>
      <c r="J5518" s="30" t="n">
        <f aca="false">px*(1+bb_g)^(Sens!J5376-base_fy-mid_yr)</f>
        <v>750.774648807506</v>
      </c>
      <c r="K5518" s="30" t="n">
        <f aca="false">px*(1+bb_g)^(Sens!K5376-base_fy-mid_yr)</f>
        <v>810.836620712106</v>
      </c>
    </row>
    <row r="5519" customFormat="false" ht="15" hidden="false" customHeight="false" outlineLevel="0" collapsed="false">
      <c r="A5519" s="1" t="s">
        <v>1133</v>
      </c>
      <c r="B5519" s="1" t="s">
        <v>81</v>
      </c>
      <c r="E5519" s="15" t="n">
        <f aca="false">sh_out26</f>
        <v>7.427</v>
      </c>
      <c r="F5519" s="15" t="n">
        <f aca="false">Sens!E5519+sh_iss-Sens!F5513/Sens!F5518</f>
        <v>7.472</v>
      </c>
      <c r="G5519" s="15" t="n">
        <f aca="false">Sens!F5519+sh_iss-Sens!G5513/Sens!G5518</f>
        <v>7.517</v>
      </c>
      <c r="H5519" s="15" t="n">
        <f aca="false">Sens!G5519+sh_iss-Sens!H5513/Sens!H5518</f>
        <v>7.562</v>
      </c>
      <c r="I5519" s="15" t="n">
        <f aca="false">Sens!H5519+sh_iss-Sens!I5513/Sens!I5518</f>
        <v>7.57496285005334</v>
      </c>
      <c r="J5519" s="15" t="n">
        <f aca="false">Sens!I5519+sh_iss-Sens!J5513/Sens!J5518</f>
        <v>7.59029882232494</v>
      </c>
      <c r="K5519" s="15" t="n">
        <f aca="false">Sens!J5519+sh_iss-Sens!K5513/Sens!K5518</f>
        <v>7.60783212998384</v>
      </c>
    </row>
    <row r="5520" customFormat="false" ht="15" hidden="false" customHeight="false" outlineLevel="0" collapsed="false">
      <c r="A5520" s="1" t="s">
        <v>1134</v>
      </c>
      <c r="B5520" s="1" t="s">
        <v>81</v>
      </c>
      <c r="E5520" s="15" t="n">
        <f aca="false">sh_dil26</f>
        <v>7.453</v>
      </c>
      <c r="F5520" s="15" t="n">
        <f aca="false">(Sens!E5519+Sens!F5519)/2+dil_gap</f>
        <v>7.4735</v>
      </c>
      <c r="G5520" s="15" t="n">
        <f aca="false">(Sens!F5519+Sens!G5519)/2+dil_gap</f>
        <v>7.5185</v>
      </c>
      <c r="H5520" s="15" t="n">
        <f aca="false">(Sens!G5519+Sens!H5519)/2+dil_gap</f>
        <v>7.5635</v>
      </c>
      <c r="I5520" s="15" t="n">
        <f aca="false">(Sens!H5519+Sens!I5519)/2+dil_gap</f>
        <v>7.59248142502667</v>
      </c>
      <c r="J5520" s="15" t="n">
        <f aca="false">(Sens!I5519+Sens!J5519)/2+dil_gap</f>
        <v>7.60663083618914</v>
      </c>
      <c r="K5520" s="15" t="n">
        <f aca="false">(Sens!J5519+Sens!K5519)/2+dil_gap</f>
        <v>7.62306547615439</v>
      </c>
    </row>
    <row r="5521" customFormat="false" ht="17.15" hidden="false" customHeight="false" outlineLevel="0" collapsed="false">
      <c r="A5521" s="1" t="s">
        <v>1135</v>
      </c>
      <c r="B5521" s="0" t="s">
        <v>98</v>
      </c>
      <c r="C5521" s="6" t="n">
        <f aca="false">SUM(Sens!F5511:J5511)</f>
        <v>163.651310173282</v>
      </c>
    </row>
    <row r="5522" customFormat="false" ht="15" hidden="false" customHeight="false" outlineLevel="0" collapsed="false">
      <c r="A5522" s="26" t="s">
        <v>1100</v>
      </c>
      <c r="B5522" s="31" t="s">
        <v>98</v>
      </c>
      <c r="C5522" s="27" t="n">
        <f aca="false">Sens!$C$5521-(Sens!F5511+Sens!G5511+Sens!H5511+Sens!I5511+Sens!J5511)</f>
        <v>0</v>
      </c>
      <c r="D5522" s="31"/>
      <c r="E5522" s="31"/>
      <c r="F5522" s="31"/>
      <c r="G5522" s="31"/>
      <c r="H5522" s="31"/>
      <c r="I5522" s="31"/>
      <c r="J5522" s="31"/>
      <c r="K5522" s="31"/>
    </row>
    <row r="5523" customFormat="false" ht="17.15" hidden="false" customHeight="false" outlineLevel="0" collapsed="false">
      <c r="A5523" s="1" t="s">
        <v>1094</v>
      </c>
      <c r="B5523" s="1" t="s">
        <v>1136</v>
      </c>
      <c r="C5523" s="33" t="str">
        <f aca="false">IF(SUM(Sens!F5514:J5514)&gt;0.05,"需要舉債 "&amp;TEXT(SUM(Sens!F5514:J5514),"0.0")&amp;" 十億美元","不需舉債")&amp;"；"&amp;IF(SUM(Sens!F5513:J5513)&lt;COUNT(Sens!F5513:J5513)*bb_target-0.05,"回購較每年 "&amp;TEXT(bb_target,"0.0")&amp;" 的目標少 "&amp;TEXT(COUNT(Sens!F5513:J5513)*bb_target-SUM(Sens!F5513:J5513),"0.0")&amp;" 十億美元（"&amp;TEXT(COUNTIF(Sens!F5513:J5513,"&lt;"&amp;(bb_target-0.05)),"0")&amp;" 年減少）","回購不減")</f>
        <v>需要舉債 33.4 十億美元；回購較每年 22.3 的目標少 66.8 十億美元（3 年減少）</v>
      </c>
    </row>
    <row r="5524" customFormat="false" ht="17.15" hidden="false" customHeight="false" outlineLevel="0" collapsed="false">
      <c r="A5524" s="3" t="s">
        <v>1749</v>
      </c>
    </row>
    <row r="5525" customFormat="false" ht="15" hidden="false" customHeight="false" outlineLevel="0" collapsed="false">
      <c r="A5525" s="4" t="s">
        <v>43</v>
      </c>
      <c r="B5525" s="4" t="s">
        <v>65</v>
      </c>
      <c r="C5525" s="23" t="s">
        <v>942</v>
      </c>
      <c r="D5525" s="23" t="s">
        <v>943</v>
      </c>
      <c r="E5525" s="23" t="s">
        <v>944</v>
      </c>
      <c r="F5525" s="23" t="s">
        <v>945</v>
      </c>
      <c r="G5525" s="23" t="s">
        <v>946</v>
      </c>
      <c r="H5525" s="23" t="s">
        <v>947</v>
      </c>
      <c r="I5525" s="23" t="s">
        <v>948</v>
      </c>
      <c r="J5525" s="23" t="s">
        <v>949</v>
      </c>
      <c r="K5525" s="23" t="s">
        <v>950</v>
      </c>
      <c r="L5525" s="4" t="s">
        <v>47</v>
      </c>
    </row>
    <row r="5526" customFormat="false" ht="17.15" hidden="false" customHeight="false" outlineLevel="0" collapsed="false">
      <c r="A5526" s="1" t="s">
        <v>1216</v>
      </c>
      <c r="B5526" s="1" t="s">
        <v>279</v>
      </c>
      <c r="F5526" s="8" t="n">
        <f aca="false">(1-v_off)*mid_yr</f>
        <v>0.373972602739726</v>
      </c>
      <c r="G5526" s="8" t="n">
        <f aca="false">Sens!G5376-base_fy-mid_yr-v_off</f>
        <v>1.24794520547945</v>
      </c>
      <c r="H5526" s="8" t="n">
        <f aca="false">Sens!H5376-base_fy-mid_yr-v_off</f>
        <v>2.24794520547945</v>
      </c>
      <c r="I5526" s="8" t="n">
        <f aca="false">Sens!I5376-base_fy-mid_yr-v_off</f>
        <v>3.24794520547945</v>
      </c>
      <c r="J5526" s="8" t="n">
        <f aca="false">Sens!J5376-base_fy-mid_yr-v_off</f>
        <v>4.24794520547945</v>
      </c>
      <c r="K5526" s="8" t="n">
        <f aca="false">Sens!K5376-base_fy-mid_yr-v_off</f>
        <v>5.24794520547945</v>
      </c>
      <c r="L5526" s="12" t="s">
        <v>1217</v>
      </c>
    </row>
    <row r="5527" customFormat="false" ht="15" hidden="false" customHeight="false" outlineLevel="0" collapsed="false">
      <c r="A5527" s="1" t="s">
        <v>1218</v>
      </c>
      <c r="B5527" s="1" t="s">
        <v>279</v>
      </c>
      <c r="F5527" s="8" t="n">
        <f aca="false">Sens!F5376-base_fy-v_off</f>
        <v>0.747945205479452</v>
      </c>
      <c r="G5527" s="8" t="n">
        <f aca="false">Sens!G5376-base_fy-v_off</f>
        <v>1.74794520547945</v>
      </c>
      <c r="H5527" s="8" t="n">
        <f aca="false">Sens!H5376-base_fy-v_off</f>
        <v>2.74794520547945</v>
      </c>
      <c r="I5527" s="8" t="n">
        <f aca="false">Sens!I5376-base_fy-v_off</f>
        <v>3.74794520547945</v>
      </c>
      <c r="J5527" s="8" t="n">
        <f aca="false">Sens!J5376-base_fy-v_off</f>
        <v>4.74794520547945</v>
      </c>
      <c r="K5527" s="8" t="n">
        <f aca="false">Sens!K5376-base_fy-v_off</f>
        <v>5.74794520547945</v>
      </c>
    </row>
    <row r="5528" customFormat="false" ht="15" hidden="false" customHeight="false" outlineLevel="0" collapsed="false">
      <c r="A5528" s="1" t="s">
        <v>1219</v>
      </c>
      <c r="B5528" s="0" t="s">
        <v>229</v>
      </c>
      <c r="F5528" s="15" t="n">
        <f aca="false">1/(1+wacc)^Sens!F5526</f>
        <v>0.964022703286649</v>
      </c>
      <c r="G5528" s="15" t="n">
        <f aca="false">1/(1+wacc)^Sens!G5526</f>
        <v>0.884910302296739</v>
      </c>
      <c r="H5528" s="15" t="n">
        <f aca="false">1/(1+wacc)^Sens!H5526</f>
        <v>0.802322009770358</v>
      </c>
      <c r="I5528" s="15" t="n">
        <f aca="false">1/(1+wacc)^Sens!I5526</f>
        <v>0.727441646561469</v>
      </c>
      <c r="J5528" s="15" t="n">
        <f aca="false">1/(1+wacc)^Sens!J5526</f>
        <v>0.659549834988973</v>
      </c>
      <c r="K5528" s="15" t="n">
        <f aca="false">1/(1+wacc)^Sens!K5526</f>
        <v>0.597994336576966</v>
      </c>
    </row>
    <row r="5529" customFormat="false" ht="17.15" hidden="false" customHeight="false" outlineLevel="0" collapsed="false">
      <c r="A5529" s="1" t="s">
        <v>1220</v>
      </c>
      <c r="B5529" s="0" t="s">
        <v>98</v>
      </c>
      <c r="F5529" s="6" t="n">
        <f aca="false">Q!$I$35-Q!$I$39-Q!$I$43</f>
        <v>9.666</v>
      </c>
      <c r="L5529" s="12" t="s">
        <v>1221</v>
      </c>
    </row>
    <row r="5530" customFormat="false" ht="17.15" hidden="false" customHeight="false" outlineLevel="0" collapsed="false">
      <c r="A5530" s="1" t="s">
        <v>1222</v>
      </c>
      <c r="B5530" s="0" t="s">
        <v>98</v>
      </c>
      <c r="F5530" s="6" t="n">
        <f aca="false">Sens!F5501-Sens!F5498-Sens!F5505+Sens!F5483*(1-tax_f)*(1-v_off)-Sens!F5529</f>
        <v>-7.44154762744074</v>
      </c>
      <c r="G5530" s="6" t="n">
        <f aca="false">Sens!G5501-Sens!G5498-Sens!G5505+Sens!G5483*(1-tax_f)</f>
        <v>16.9311093244754</v>
      </c>
      <c r="H5530" s="6" t="n">
        <f aca="false">Sens!H5501-Sens!H5498-Sens!H5505+Sens!H5483*(1-tax_f)</f>
        <v>52.6658284038843</v>
      </c>
      <c r="I5530" s="6" t="n">
        <f aca="false">Sens!I5501-Sens!I5498-Sens!I5505+Sens!I5483*(1-tax_f)</f>
        <v>151.767602995097</v>
      </c>
      <c r="J5530" s="6" t="n">
        <f aca="false">Sens!J5501-Sens!J5498-Sens!J5505+Sens!J5483*(1-tax_f)</f>
        <v>210.048275356019</v>
      </c>
      <c r="K5530" s="6" t="n">
        <f aca="false">Sens!K5501-Sens!K5498-Sens!K5505+Sens!K5483*(1-tax_f)</f>
        <v>271.936845489391</v>
      </c>
      <c r="L5530" s="1" t="s">
        <v>1223</v>
      </c>
    </row>
    <row r="5531" customFormat="false" ht="15" hidden="false" customHeight="false" outlineLevel="0" collapsed="false">
      <c r="A5531" s="1" t="s">
        <v>1224</v>
      </c>
      <c r="B5531" s="0" t="s">
        <v>98</v>
      </c>
      <c r="F5531" s="6" t="n">
        <f aca="false">Sens!F5530*Sens!F5528</f>
        <v>-7.17382086044177</v>
      </c>
      <c r="G5531" s="6" t="n">
        <f aca="false">Sens!G5530*Sens!G5528</f>
        <v>14.9825130705406</v>
      </c>
      <c r="H5531" s="6" t="n">
        <f aca="false">Sens!H5530*Sens!H5528</f>
        <v>42.2549532912252</v>
      </c>
      <c r="I5531" s="6" t="n">
        <f aca="false">Sens!I5530*Sens!I5528</f>
        <v>110.40207501744</v>
      </c>
      <c r="J5531" s="6" t="n">
        <f aca="false">Sens!J5530*Sens!J5528</f>
        <v>138.53730535078</v>
      </c>
      <c r="K5531" s="6" t="n">
        <f aca="false">Sens!K5530*Sens!K5528</f>
        <v>162.616693509261</v>
      </c>
    </row>
    <row r="5532" customFormat="false" ht="17.15" hidden="false" customHeight="false" outlineLevel="0" collapsed="false">
      <c r="A5532" s="1" t="s">
        <v>1225</v>
      </c>
      <c r="B5532" s="0" t="s">
        <v>98</v>
      </c>
      <c r="C5532" s="6" t="n">
        <f aca="false">SUM(Sens!F5531:K5531)</f>
        <v>461.619719378806</v>
      </c>
    </row>
    <row r="5533" customFormat="false" ht="17.15" hidden="false" customHeight="false" outlineLevel="0" collapsed="false">
      <c r="A5533" s="1" t="s">
        <v>1226</v>
      </c>
      <c r="B5533" s="0" t="s">
        <v>98</v>
      </c>
      <c r="C5533" s="6" t="n">
        <f aca="false">Sens!K5469*(1+g_tv)*(1-tax_f)</f>
        <v>258.537906967296</v>
      </c>
    </row>
    <row r="5534" customFormat="false" ht="17.15" hidden="false" customHeight="false" outlineLevel="0" collapsed="false">
      <c r="A5534" s="1" t="s">
        <v>1227</v>
      </c>
      <c r="B5534" s="0" t="s">
        <v>98</v>
      </c>
      <c r="C5534" s="6" t="n">
        <f aca="false">Sens!$C$5533*(1-g_tv/(wacc+ronic_prem))</f>
        <v>183.189217664791</v>
      </c>
    </row>
    <row r="5535" customFormat="false" ht="17.15" hidden="false" customHeight="false" outlineLevel="0" collapsed="false">
      <c r="A5535" s="1" t="s">
        <v>1228</v>
      </c>
      <c r="B5535" s="0" t="s">
        <v>98</v>
      </c>
      <c r="C5535" s="6" t="n">
        <f aca="false">Sens!$C$5534/(wacc-g_tv)</f>
        <v>2511.62297675017</v>
      </c>
    </row>
    <row r="5536" customFormat="false" ht="15" hidden="false" customHeight="false" outlineLevel="0" collapsed="false">
      <c r="A5536" s="1" t="s">
        <v>1229</v>
      </c>
      <c r="B5536" s="0" t="s">
        <v>98</v>
      </c>
      <c r="C5536" s="6" t="n">
        <f aca="false">Sens!$C$5535/(1+wacc)^Sens!K5527</f>
        <v>1430.13239997399</v>
      </c>
    </row>
    <row r="5537" customFormat="false" ht="17.15" hidden="false" customHeight="false" outlineLevel="0" collapsed="false">
      <c r="A5537" s="0" t="s">
        <v>1230</v>
      </c>
      <c r="B5537" s="0" t="s">
        <v>98</v>
      </c>
      <c r="C5537" s="6" t="n">
        <f aca="false">Sens!$C$5532+Sens!$C$5536</f>
        <v>1891.7521193528</v>
      </c>
    </row>
    <row r="5538" customFormat="false" ht="15" hidden="false" customHeight="false" outlineLevel="0" collapsed="false">
      <c r="A5538" s="1" t="s">
        <v>1145</v>
      </c>
      <c r="B5538" s="0" t="s">
        <v>168</v>
      </c>
      <c r="C5538" s="7" t="n">
        <f aca="false">Sens!$C$5536/Sens!$C$5537</f>
        <v>0.755982977549546</v>
      </c>
    </row>
    <row r="5539" customFormat="false" ht="17.15" hidden="false" customHeight="false" outlineLevel="0" collapsed="false">
      <c r="A5539" s="1" t="s">
        <v>1231</v>
      </c>
      <c r="B5539" s="0" t="s">
        <v>98</v>
      </c>
      <c r="C5539" s="6" t="n">
        <f aca="false">Sens!$C$5537+cash_val-debt_val-fl_val+oai_v</f>
        <v>2007.6031193528</v>
      </c>
    </row>
    <row r="5540" customFormat="false" ht="17.15" hidden="false" customHeight="false" outlineLevel="0" collapsed="false">
      <c r="A5540" s="0" t="s">
        <v>1153</v>
      </c>
      <c r="B5540" s="0" t="s">
        <v>75</v>
      </c>
      <c r="C5540" s="5" t="n">
        <f aca="false">Sens!$C$5539/shd_val</f>
        <v>269.621692096803</v>
      </c>
    </row>
    <row r="5541" customFormat="false" ht="15" hidden="false" customHeight="false" outlineLevel="0" collapsed="false">
      <c r="A5541" s="1" t="s">
        <v>1232</v>
      </c>
      <c r="B5541" s="0" t="s">
        <v>75</v>
      </c>
      <c r="C5541" s="8" t="n">
        <f aca="false">div_rem27+Sens!G5509*roll_div_q/q_per_yr</f>
        <v>3.9795</v>
      </c>
    </row>
    <row r="5542" customFormat="false" ht="17.15" hidden="false" customHeight="false" outlineLevel="0" collapsed="false">
      <c r="A5542" s="0" t="s">
        <v>1233</v>
      </c>
      <c r="B5542" s="0" t="s">
        <v>75</v>
      </c>
      <c r="C5542" s="5" t="n">
        <f aca="false">Sens!$C$5540*(1+wacc)^t_roll-Sens!$C$5541</f>
        <v>295.720058552782</v>
      </c>
    </row>
    <row r="5543" customFormat="false" ht="17.15" hidden="false" customHeight="false" outlineLevel="0" collapsed="false">
      <c r="A5543" s="1" t="s">
        <v>1234</v>
      </c>
      <c r="B5543" s="0" t="s">
        <v>168</v>
      </c>
      <c r="F5543" s="7" t="n">
        <f aca="false">Sens!F5495/(Sens!F5440-Sens!F5395)</f>
        <v>0.0743151009290768</v>
      </c>
      <c r="G5543" s="7" t="n">
        <f aca="false">Sens!G5495/(Sens!G5440-Sens!G5395)</f>
        <v>0.0708725022965248</v>
      </c>
      <c r="H5543" s="7" t="n">
        <f aca="false">Sens!H5495/(Sens!H5440-Sens!H5395)</f>
        <v>0.0688547783333894</v>
      </c>
      <c r="I5543" s="7" t="n">
        <f aca="false">Sens!I5495/(Sens!I5440-Sens!I5395)</f>
        <v>0.0680764808966352</v>
      </c>
      <c r="J5543" s="7" t="n">
        <f aca="false">Sens!J5495/(Sens!J5440-Sens!J5395)</f>
        <v>0.0682832984417069</v>
      </c>
      <c r="K5543" s="7" t="n">
        <f aca="false">Sens!K5495/(Sens!K5440-Sens!K5395)</f>
        <v>0.069205678629284</v>
      </c>
    </row>
    <row r="5544" customFormat="false" ht="17.15" hidden="false" customHeight="false" outlineLevel="0" collapsed="false">
      <c r="A5544" s="0" t="s">
        <v>1235</v>
      </c>
      <c r="B5544" s="0" t="s">
        <v>98</v>
      </c>
      <c r="F5544" s="6" t="n">
        <f aca="false">Sens!F5425*(al_m365+Sens!F5543+sbc_r)</f>
        <v>83.580605049315</v>
      </c>
      <c r="G5544" s="6" t="n">
        <f aca="false">Sens!G5425*(al_m365+Sens!G5543+sbc_r)</f>
        <v>93.9113387365532</v>
      </c>
      <c r="H5544" s="6" t="n">
        <f aca="false">Sens!H5425*(al_m365+Sens!H5543+sbc_r)</f>
        <v>104.405761740967</v>
      </c>
      <c r="I5544" s="6" t="n">
        <f aca="false">Sens!I5425*(al_m365+Sens!I5543+sbc_r)</f>
        <v>114.387129779213</v>
      </c>
      <c r="J5544" s="6" t="n">
        <f aca="false">Sens!J5425*(al_m365+Sens!J5543+sbc_r)</f>
        <v>123.667471891871</v>
      </c>
      <c r="K5544" s="6" t="n">
        <f aca="false">Sens!K5425*(al_m365+Sens!K5543+sbc_r)</f>
        <v>132.555450219499</v>
      </c>
      <c r="L5544" s="12" t="s">
        <v>1236</v>
      </c>
    </row>
    <row r="5545" customFormat="false" ht="17.15" hidden="false" customHeight="false" outlineLevel="0" collapsed="false">
      <c r="A5545" s="0" t="s">
        <v>1237</v>
      </c>
      <c r="B5545" s="0" t="s">
        <v>98</v>
      </c>
      <c r="F5545" s="6" t="n">
        <f aca="false">Sens!F5426*(al_lic+Sens!F5543+sbc_r)</f>
        <v>33.0763896113029</v>
      </c>
      <c r="G5545" s="6" t="n">
        <f aca="false">Sens!G5426*(al_lic+Sens!G5543+sbc_r)</f>
        <v>34.3392455368101</v>
      </c>
      <c r="H5545" s="6" t="n">
        <f aca="false">Sens!H5426*(al_lic+Sens!H5543+sbc_r)</f>
        <v>35.5177972051667</v>
      </c>
      <c r="I5545" s="6" t="n">
        <f aca="false">Sens!I5426*(al_lic+Sens!I5543+sbc_r)</f>
        <v>36.5916719427911</v>
      </c>
      <c r="J5545" s="6" t="n">
        <f aca="false">Sens!J5426*(al_lic+Sens!J5543+sbc_r)</f>
        <v>37.5369819125356</v>
      </c>
      <c r="K5545" s="6" t="n">
        <f aca="false">Sens!K5426*(al_lic+Sens!K5543+sbc_r)</f>
        <v>38.3289944780147</v>
      </c>
    </row>
    <row r="5546" customFormat="false" ht="17.15" hidden="false" customHeight="false" outlineLevel="0" collapsed="false">
      <c r="A5546" s="0" t="s">
        <v>1238</v>
      </c>
      <c r="B5546" s="0" t="s">
        <v>98</v>
      </c>
      <c r="F5546" s="6" t="n">
        <f aca="false">Sens!F5428*(al_ind+Sens!F5543+sbc_r)</f>
        <v>9.18751957208216</v>
      </c>
      <c r="G5546" s="6" t="n">
        <f aca="false">Sens!G5428*(al_ind+Sens!G5543+sbc_r)</f>
        <v>9.95911750310591</v>
      </c>
      <c r="H5546" s="6" t="n">
        <f aca="false">Sens!H5428*(al_ind+Sens!H5543+sbc_r)</f>
        <v>10.7754559684846</v>
      </c>
      <c r="I5546" s="6" t="n">
        <f aca="false">Sens!I5428*(al_ind+Sens!I5543+sbc_r)</f>
        <v>11.6319951532168</v>
      </c>
      <c r="J5546" s="6" t="n">
        <f aca="false">Sens!J5428*(al_ind+Sens!J5543+sbc_r)</f>
        <v>12.5198620666903</v>
      </c>
      <c r="K5546" s="6" t="n">
        <f aca="false">Sens!K5428*(al_ind+Sens!K5543+sbc_r)</f>
        <v>13.4267120538424</v>
      </c>
    </row>
    <row r="5547" customFormat="false" ht="17.15" hidden="false" customHeight="false" outlineLevel="0" collapsed="false">
      <c r="A5547" s="0" t="s">
        <v>1239</v>
      </c>
      <c r="B5547" s="0" t="s">
        <v>98</v>
      </c>
      <c r="F5547" s="6" t="n">
        <f aca="false">Sens!F5430*(al_fro+Sens!F5543+sbc_r)</f>
        <v>3.6038866167391</v>
      </c>
      <c r="G5547" s="6" t="n">
        <f aca="false">Sens!G5430*(al_fro+Sens!G5543+sbc_r)</f>
        <v>3.81065023822522</v>
      </c>
      <c r="H5547" s="6" t="n">
        <f aca="false">Sens!H5430*(al_fro+Sens!H5543+sbc_r)</f>
        <v>4.04668945187293</v>
      </c>
      <c r="I5547" s="6" t="n">
        <f aca="false">Sens!I5430*(al_fro+Sens!I5543+sbc_r)</f>
        <v>4.31416714944376</v>
      </c>
      <c r="J5547" s="6" t="n">
        <f aca="false">Sens!J5430*(al_fro+Sens!J5543+sbc_r)</f>
        <v>4.61450859414014</v>
      </c>
      <c r="K5547" s="6" t="n">
        <f aca="false">Sens!K5430*(al_fro+Sens!K5543+sbc_r)</f>
        <v>4.94875085951163</v>
      </c>
    </row>
    <row r="5548" customFormat="false" ht="17.15" hidden="false" customHeight="false" outlineLevel="0" collapsed="false">
      <c r="A5548" s="0" t="s">
        <v>1240</v>
      </c>
      <c r="B5548" s="0" t="s">
        <v>98</v>
      </c>
      <c r="F5548" s="6" t="n">
        <f aca="false">Sens!F5433*(al_srch+Sens!F5543+sbc_r)</f>
        <v>11.3460546016552</v>
      </c>
      <c r="G5548" s="6" t="n">
        <f aca="false">Sens!G5433*(al_srch+Sens!G5543+sbc_r)</f>
        <v>12.4149785788077</v>
      </c>
      <c r="H5548" s="6" t="n">
        <f aca="false">Sens!H5433*(al_srch+Sens!H5543+sbc_r)</f>
        <v>13.5281832950799</v>
      </c>
      <c r="I5548" s="6" t="n">
        <f aca="false">Sens!I5433*(al_srch+Sens!I5543+sbc_r)</f>
        <v>14.6731678255133</v>
      </c>
      <c r="J5548" s="6" t="n">
        <f aca="false">Sens!J5433*(al_srch+Sens!J5543+sbc_r)</f>
        <v>15.8310208349641</v>
      </c>
      <c r="K5548" s="6" t="n">
        <f aca="false">Sens!K5433*(al_srch+Sens!K5543+sbc_r)</f>
        <v>16.977707672592</v>
      </c>
    </row>
    <row r="5549" customFormat="false" ht="17.15" hidden="false" customHeight="false" outlineLevel="0" collapsed="false">
      <c r="A5549" s="0" t="s">
        <v>1241</v>
      </c>
      <c r="B5549" s="0" t="s">
        <v>98</v>
      </c>
      <c r="F5549" s="6" t="n">
        <f aca="false">Sens!F5401-Sens!F5402+Sens!F5483</f>
        <v>39.0166451085986</v>
      </c>
      <c r="G5549" s="6" t="n">
        <f aca="false">Sens!G5401-Sens!G5402+Sens!G5483</f>
        <v>69.5393582146131</v>
      </c>
      <c r="H5549" s="6" t="n">
        <f aca="false">Sens!H5401-Sens!H5402+Sens!H5483</f>
        <v>96.9154295289138</v>
      </c>
      <c r="I5549" s="6" t="n">
        <f aca="false">Sens!I5401-Sens!I5402+Sens!I5483</f>
        <v>126.68542805868</v>
      </c>
      <c r="J5549" s="6" t="n">
        <f aca="false">Sens!J5401-Sens!J5402+Sens!J5483</f>
        <v>147.719206724592</v>
      </c>
      <c r="K5549" s="6" t="n">
        <f aca="false">Sens!K5401-Sens!K5402+Sens!K5483</f>
        <v>159.345621836718</v>
      </c>
    </row>
    <row r="5550" customFormat="false" ht="17.15" hidden="false" customHeight="false" outlineLevel="0" collapsed="false">
      <c r="A5550" s="0" t="s">
        <v>1242</v>
      </c>
      <c r="B5550" s="0" t="s">
        <v>98</v>
      </c>
      <c r="F5550" s="6" t="n">
        <f aca="false">Sens!F5462+Sens!F5483+Sens!F5413+Sens!F5543*(Sens!F5432-Sens!F5395)+sbc_r*Sens!F5432</f>
        <v>233.436935036927</v>
      </c>
      <c r="G5550" s="6" t="n">
        <f aca="false">Sens!G5462+Sens!G5483+Sens!G5413+Sens!G5543*(Sens!G5432-Sens!G5395)+sbc_r*Sens!G5432</f>
        <v>284.184706164449</v>
      </c>
      <c r="H5550" s="6" t="n">
        <f aca="false">Sens!H5462+Sens!H5483+Sens!H5413+Sens!H5543*(Sens!H5432-Sens!H5395)+sbc_r*Sens!H5432</f>
        <v>336.511052295421</v>
      </c>
      <c r="I5550" s="6" t="n">
        <f aca="false">Sens!I5462+Sens!I5483+Sens!I5413+Sens!I5543*(Sens!I5432-Sens!I5395)+sbc_r*Sens!I5432</f>
        <v>390.601837591863</v>
      </c>
      <c r="J5550" s="6" t="n">
        <f aca="false">Sens!J5462+Sens!J5483+Sens!J5413+Sens!J5543*(Sens!J5432-Sens!J5395)+sbc_r*Sens!J5432</f>
        <v>434.079743042872</v>
      </c>
      <c r="K5550" s="6" t="n">
        <f aca="false">Sens!K5462+Sens!K5483+Sens!K5413+Sens!K5543*(Sens!K5432-Sens!K5395)+sbc_r*Sens!K5432</f>
        <v>465.816776059091</v>
      </c>
    </row>
    <row r="5551" customFormat="false" ht="17.15" hidden="false" customHeight="false" outlineLevel="0" collapsed="false">
      <c r="A5551" s="0" t="s">
        <v>1243</v>
      </c>
      <c r="B5551" s="0" t="s">
        <v>98</v>
      </c>
      <c r="F5551" s="6" t="n">
        <f aca="false">Sens!F5550-Sens!F5544-Sens!F5545-Sens!F5546-Sens!F5547-Sens!F5549</f>
        <v>64.9718890788892</v>
      </c>
      <c r="G5551" s="6" t="n">
        <f aca="false">Sens!G5550-Sens!G5544-Sens!G5545-Sens!G5546-Sens!G5547-Sens!G5549</f>
        <v>72.6249959351419</v>
      </c>
      <c r="H5551" s="6" t="n">
        <f aca="false">Sens!H5550-Sens!H5544-Sens!H5545-Sens!H5546-Sens!H5547-Sens!H5549</f>
        <v>84.8499184000162</v>
      </c>
      <c r="I5551" s="6" t="n">
        <f aca="false">Sens!I5550-Sens!I5544-Sens!I5545-Sens!I5546-Sens!I5547-Sens!I5549</f>
        <v>96.9914455085177</v>
      </c>
      <c r="J5551" s="6" t="n">
        <f aca="false">Sens!J5550-Sens!J5544-Sens!J5545-Sens!J5546-Sens!J5547-Sens!J5549</f>
        <v>108.021711853043</v>
      </c>
      <c r="K5551" s="6" t="n">
        <f aca="false">Sens!K5550-Sens!K5544-Sens!K5545-Sens!K5546-Sens!K5547-Sens!K5549</f>
        <v>117.211246611506</v>
      </c>
    </row>
    <row r="5552" customFormat="false" ht="17.15" hidden="false" customHeight="false" outlineLevel="0" collapsed="false">
      <c r="A5552" s="0" t="s">
        <v>1244</v>
      </c>
      <c r="B5552" s="0" t="s">
        <v>98</v>
      </c>
      <c r="F5552" s="6" t="n">
        <f aca="false">Sens!F5464+Sens!F5543*Sens!F5439+sbc_r*Sens!F5439</f>
        <v>26.9998737484901</v>
      </c>
      <c r="G5552" s="6" t="n">
        <f aca="false">Sens!G5464+Sens!G5543*Sens!G5439+sbc_r*Sens!G5439</f>
        <v>26.8060586959893</v>
      </c>
      <c r="H5552" s="6" t="n">
        <f aca="false">Sens!H5464+Sens!H5543*Sens!H5439+sbc_r*Sens!H5439</f>
        <v>27.6536157427949</v>
      </c>
      <c r="I5552" s="6" t="n">
        <f aca="false">Sens!I5464+Sens!I5543*Sens!I5439+sbc_r*Sens!I5439</f>
        <v>28.7371208376188</v>
      </c>
      <c r="J5552" s="6" t="n">
        <f aca="false">Sens!J5464+Sens!J5543*Sens!J5439+sbc_r*Sens!J5439</f>
        <v>30.0228015580833</v>
      </c>
      <c r="K5552" s="6" t="n">
        <f aca="false">Sens!K5464+Sens!K5543*Sens!K5439+sbc_r*Sens!K5439</f>
        <v>31.4794956465692</v>
      </c>
    </row>
    <row r="5553" customFormat="false" ht="17.15" hidden="false" customHeight="false" outlineLevel="0" collapsed="false">
      <c r="A5553" s="0" t="s">
        <v>1245</v>
      </c>
      <c r="B5553" s="0" t="s">
        <v>98</v>
      </c>
      <c r="F5553" s="6" t="n">
        <f aca="false">(Sens!F5552-Sens!F5548)*Sens!F5435/(Sens!F5435+Sens!F5437)</f>
        <v>8.84105036344036</v>
      </c>
      <c r="G5553" s="6" t="n">
        <f aca="false">(Sens!G5552-Sens!G5548)*Sens!G5435/(Sens!G5435+Sens!G5437)</f>
        <v>7.98818567151697</v>
      </c>
      <c r="H5553" s="6" t="n">
        <f aca="false">(Sens!H5552-Sens!H5548)*Sens!H5435/(Sens!H5435+Sens!H5437)</f>
        <v>7.73858874154065</v>
      </c>
      <c r="I5553" s="6" t="n">
        <f aca="false">(Sens!I5552-Sens!I5548)*Sens!I5435/(Sens!I5435+Sens!I5437)</f>
        <v>7.63765543158718</v>
      </c>
      <c r="J5553" s="6" t="n">
        <f aca="false">(Sens!J5552-Sens!J5548)*Sens!J5435/(Sens!J5435+Sens!J5437)</f>
        <v>7.67344872132122</v>
      </c>
      <c r="K5553" s="6" t="n">
        <f aca="false">(Sens!K5552-Sens!K5548)*Sens!K5435/(Sens!K5435+Sens!K5437)</f>
        <v>7.84106861265884</v>
      </c>
    </row>
    <row r="5554" customFormat="false" ht="17.15" hidden="false" customHeight="false" outlineLevel="0" collapsed="false">
      <c r="A5554" s="0" t="s">
        <v>1246</v>
      </c>
      <c r="B5554" s="0" t="s">
        <v>98</v>
      </c>
      <c r="F5554" s="6" t="n">
        <f aca="false">Sens!F5552-Sens!F5548-Sens!F5553</f>
        <v>6.81276878339454</v>
      </c>
      <c r="G5554" s="6" t="n">
        <f aca="false">Sens!G5552-Sens!G5548-Sens!G5553</f>
        <v>6.40289444566469</v>
      </c>
      <c r="H5554" s="6" t="n">
        <f aca="false">Sens!H5552-Sens!H5548-Sens!H5553</f>
        <v>6.38684370617431</v>
      </c>
      <c r="I5554" s="6" t="n">
        <f aca="false">Sens!I5552-Sens!I5548-Sens!I5553</f>
        <v>6.42629758051826</v>
      </c>
      <c r="J5554" s="6" t="n">
        <f aca="false">Sens!J5552-Sens!J5548-Sens!J5553</f>
        <v>6.518332001798</v>
      </c>
      <c r="K5554" s="6" t="n">
        <f aca="false">Sens!K5552-Sens!K5548-Sens!K5553</f>
        <v>6.66071936131837</v>
      </c>
    </row>
    <row r="5555" customFormat="false" ht="17.15" hidden="false" customHeight="false" outlineLevel="0" collapsed="false">
      <c r="A5555" s="0" t="s">
        <v>1247</v>
      </c>
      <c r="B5555" s="0" t="s">
        <v>98</v>
      </c>
      <c r="F5555" s="6" t="n">
        <f aca="false">Sens!F5549-tax_f*(Sens!F5549-Sens!F5413)-Sens!F5410</f>
        <v>-131.241024630583</v>
      </c>
      <c r="G5555" s="6" t="n">
        <f aca="false">Sens!G5549-tax_f*(Sens!G5549-Sens!G5413)-Sens!G5410</f>
        <v>-125.782195280427</v>
      </c>
      <c r="H5555" s="6" t="n">
        <f aca="false">Sens!H5549-tax_f*(Sens!H5549-Sens!H5413)-Sens!H5410</f>
        <v>-103.830842071858</v>
      </c>
      <c r="I5555" s="6" t="n">
        <f aca="false">Sens!I5549-tax_f*(Sens!I5549-Sens!I5413)-Sens!I5410</f>
        <v>-18.4072874534066</v>
      </c>
      <c r="J5555" s="6" t="n">
        <f aca="false">Sens!J5549-tax_f*(Sens!J5549-Sens!J5413)-Sens!J5410</f>
        <v>26.7557705990302</v>
      </c>
      <c r="K5555" s="6" t="n">
        <f aca="false">Sens!K5549-tax_f*(Sens!K5549-Sens!K5413)-Sens!K5410</f>
        <v>76.3000450650381</v>
      </c>
    </row>
    <row r="5556" customFormat="false" ht="17.15" hidden="false" customHeight="false" outlineLevel="0" collapsed="false">
      <c r="A5556" s="0" t="s">
        <v>1248</v>
      </c>
      <c r="B5556" s="0" t="s">
        <v>98</v>
      </c>
      <c r="G5556" s="6" t="n">
        <f aca="false">Sens!G5555/(1+wacc)^(Sens!G5526-Sens!F5527)</f>
        <v>-119.768854996343</v>
      </c>
      <c r="H5556" s="6" t="n">
        <f aca="false">Sens!H5555/(1+wacc)^(Sens!H5526-Sens!F5527)</f>
        <v>-89.639733880577</v>
      </c>
      <c r="I5556" s="6" t="n">
        <f aca="false">Sens!I5555/(1+wacc)^(Sens!I5526-Sens!F5527)</f>
        <v>-14.4083228661415</v>
      </c>
      <c r="J5556" s="6" t="n">
        <f aca="false">Sens!J5555/(1+wacc)^(Sens!J5526-Sens!F5527)</f>
        <v>18.9884954961429</v>
      </c>
      <c r="K5556" s="6" t="n">
        <f aca="false">Sens!K5555/(1+wacc)^(Sens!K5526-Sens!F5527)</f>
        <v>49.0961391968316</v>
      </c>
      <c r="L5556" s="1" t="s">
        <v>1249</v>
      </c>
    </row>
    <row r="5557" customFormat="false" ht="17.15" hidden="false" customHeight="false" outlineLevel="0" collapsed="false">
      <c r="A5557" s="0" t="s">
        <v>1250</v>
      </c>
      <c r="B5557" s="0" t="s">
        <v>98</v>
      </c>
      <c r="C5557" s="6" t="n">
        <f aca="false">(Sens!K5549-Sens!K5413)*(1-tax_f)*(1+g_tv)*(1-g_tv/(wacc+ronic_prem))/(wacc-g_tv)/(1+wacc)^(Sens!K5527-Sens!F5527)</f>
        <v>184.56749133006</v>
      </c>
    </row>
    <row r="5558" customFormat="false" ht="17.15" hidden="false" customHeight="false" outlineLevel="0" collapsed="false">
      <c r="A5558" s="1" t="s">
        <v>1251</v>
      </c>
      <c r="B5558" s="0" t="s">
        <v>98</v>
      </c>
      <c r="C5558" s="6" t="n">
        <f aca="false">(SUM(Sens!G5556:K5556)+Sens!$C$5557)*(1+wacc)^(t_roll-Sens!F5527)</f>
        <v>29.7871519075152</v>
      </c>
      <c r="L5558" s="12" t="s">
        <v>1252</v>
      </c>
    </row>
    <row r="5559" customFormat="false" ht="17.15" hidden="false" customHeight="false" outlineLevel="0" collapsed="false">
      <c r="A5559" s="1" t="s">
        <v>1253</v>
      </c>
      <c r="B5559" s="0" t="s">
        <v>98</v>
      </c>
      <c r="C5559" s="6" t="n">
        <f aca="false">(w_ntm28*Sens!G5401+(1-w_ntm28)*Sens!H5401)*m_ai</f>
        <v>344.355829012336</v>
      </c>
    </row>
    <row r="5560" customFormat="false" ht="17.15" hidden="false" customHeight="false" outlineLevel="0" collapsed="false">
      <c r="A5560" s="1" t="s">
        <v>1254</v>
      </c>
      <c r="B5560" s="0" t="s">
        <v>98</v>
      </c>
      <c r="C5560" s="6" t="n">
        <f aca="false">(w_ntm28*Sens!G5551+(1-w_ntm28)*Sens!H5551)*m_cloud</f>
        <v>1059.22213263393</v>
      </c>
    </row>
    <row r="5561" customFormat="false" ht="17.15" hidden="false" customHeight="false" outlineLevel="0" collapsed="false">
      <c r="A5561" s="1" t="s">
        <v>1255</v>
      </c>
      <c r="B5561" s="0" t="s">
        <v>98</v>
      </c>
      <c r="C5561" s="6" t="n">
        <f aca="false">(w_ntm28*Sens!G5544+(1-w_ntm28)*Sens!H5544)*m_sw</f>
        <v>1051.50484798141</v>
      </c>
    </row>
    <row r="5562" customFormat="false" ht="17.15" hidden="false" customHeight="false" outlineLevel="0" collapsed="false">
      <c r="A5562" s="1" t="s">
        <v>1256</v>
      </c>
      <c r="B5562" s="0" t="s">
        <v>98</v>
      </c>
      <c r="C5562" s="6" t="n">
        <f aca="false">(w_ntm28*Sens!G5545+(1-w_ntm28)*Sens!H5545)*m_sw</f>
        <v>375.048517447385</v>
      </c>
    </row>
    <row r="5563" customFormat="false" ht="17.15" hidden="false" customHeight="false" outlineLevel="0" collapsed="false">
      <c r="A5563" s="1" t="s">
        <v>1257</v>
      </c>
      <c r="B5563" s="0" t="s">
        <v>98</v>
      </c>
      <c r="C5563" s="6" t="n">
        <f aca="false">(w_ntm28*Sens!G5546+(1-w_ntm28)*Sens!H5546)*m_sw</f>
        <v>110.457029721573</v>
      </c>
    </row>
    <row r="5564" customFormat="false" ht="17.15" hidden="false" customHeight="false" outlineLevel="0" collapsed="false">
      <c r="A5564" s="1" t="s">
        <v>1258</v>
      </c>
      <c r="B5564" s="0" t="s">
        <v>98</v>
      </c>
      <c r="C5564" s="6" t="n">
        <f aca="false">(w_ntm28*Sens!G5547+(1-w_ntm28)*Sens!H5547)*m_sw</f>
        <v>41.993123451976</v>
      </c>
    </row>
    <row r="5565" customFormat="false" ht="17.15" hidden="false" customHeight="false" outlineLevel="0" collapsed="false">
      <c r="A5565" s="1" t="s">
        <v>1259</v>
      </c>
      <c r="B5565" s="0" t="s">
        <v>98</v>
      </c>
      <c r="C5565" s="6" t="n">
        <f aca="false">(w_ntm28*Sens!G5548+(1-w_ntm28)*Sens!H5548)*m_ads</f>
        <v>116.434579225072</v>
      </c>
    </row>
    <row r="5566" customFormat="false" ht="17.15" hidden="false" customHeight="false" outlineLevel="0" collapsed="false">
      <c r="A5566" s="1" t="s">
        <v>1260</v>
      </c>
      <c r="B5566" s="0" t="s">
        <v>98</v>
      </c>
      <c r="C5566" s="6" t="n">
        <f aca="false">(w_ntm28*Sens!G5553+(1-w_ntm28)*Sens!H5553)*m_game</f>
        <v>99.854376518733</v>
      </c>
    </row>
    <row r="5567" customFormat="false" ht="17.15" hidden="false" customHeight="false" outlineLevel="0" collapsed="false">
      <c r="A5567" s="1" t="s">
        <v>1261</v>
      </c>
      <c r="B5567" s="0" t="s">
        <v>98</v>
      </c>
      <c r="C5567" s="6" t="n">
        <f aca="false">(w_ntm28*Sens!G5554+(1-w_ntm28)*Sens!H5554)*m_pc</f>
        <v>92.5735250834226</v>
      </c>
    </row>
    <row r="5568" customFormat="false" ht="17.15" hidden="false" customHeight="false" outlineLevel="0" collapsed="false">
      <c r="A5568" s="1" t="s">
        <v>1262</v>
      </c>
      <c r="B5568" s="0" t="s">
        <v>98</v>
      </c>
      <c r="C5568" s="6" t="n">
        <f aca="false">Sens!$C$5558+Sens!$C$5560+Sens!$C$5561+Sens!$C$5562+Sens!$C$5563+Sens!$C$5564+Sens!$C$5565+Sens!$C$5566+Sens!$C$5567</f>
        <v>2976.87528397101</v>
      </c>
    </row>
    <row r="5569" customFormat="false" ht="17.15" hidden="false" customHeight="false" outlineLevel="0" collapsed="false">
      <c r="A5569" s="1" t="s">
        <v>1263</v>
      </c>
      <c r="B5569" s="0" t="s">
        <v>98</v>
      </c>
      <c r="C5569" s="6" t="n">
        <f aca="false">(Sens!G5530-Sens!G5555)*t_stub</f>
        <v>47.3104379649129</v>
      </c>
      <c r="L5569" s="1" t="s">
        <v>1264</v>
      </c>
    </row>
    <row r="5570" customFormat="false" ht="17.15" hidden="false" customHeight="false" outlineLevel="0" collapsed="false">
      <c r="A5570" s="1" t="s">
        <v>1173</v>
      </c>
      <c r="B5570" s="0" t="s">
        <v>98</v>
      </c>
      <c r="C5570" s="6" t="n">
        <f aca="false">Sens!F5517+oai_v-Sens!F5506+Sens!$C$5569</f>
        <v>157.01494633414</v>
      </c>
      <c r="L5570" s="1" t="s">
        <v>1265</v>
      </c>
    </row>
    <row r="5571" customFormat="false" ht="17.15" hidden="false" customHeight="false" outlineLevel="0" collapsed="false">
      <c r="A5571" s="1" t="s">
        <v>1266</v>
      </c>
      <c r="B5571" s="0" t="s">
        <v>75</v>
      </c>
      <c r="C5571" s="5" t="n">
        <f aca="false">(Sens!$C$5568+Sens!$C$5570)/(Sens!F5519+dil_gap)-Sens!G5509*roll_div_q/q_per_yr</f>
        <v>417.035504042843</v>
      </c>
      <c r="L5571" s="1" t="s">
        <v>1267</v>
      </c>
    </row>
    <row r="5572" customFormat="false" ht="17.15" hidden="false" customHeight="false" outlineLevel="0" collapsed="false">
      <c r="A5572" s="1" t="s">
        <v>1268</v>
      </c>
      <c r="B5572" s="0" t="s">
        <v>75</v>
      </c>
      <c r="C5572" s="5" t="n">
        <f aca="false">w_dcf*Sens!$C$5542+(1-w_dcf)*Sens!$C$5571</f>
        <v>356.377781297813</v>
      </c>
    </row>
    <row r="5573" customFormat="false" ht="17.15" hidden="false" customHeight="false" outlineLevel="0" collapsed="false">
      <c r="A5573" s="3" t="s">
        <v>1750</v>
      </c>
    </row>
    <row r="5574" customFormat="false" ht="15" hidden="false" customHeight="false" outlineLevel="0" collapsed="false">
      <c r="A5574" s="4" t="s">
        <v>43</v>
      </c>
      <c r="B5574" s="4" t="s">
        <v>65</v>
      </c>
      <c r="C5574" s="23" t="s">
        <v>942</v>
      </c>
      <c r="D5574" s="23" t="s">
        <v>943</v>
      </c>
      <c r="E5574" s="23" t="s">
        <v>944</v>
      </c>
      <c r="F5574" s="23" t="s">
        <v>945</v>
      </c>
      <c r="G5574" s="23" t="s">
        <v>946</v>
      </c>
      <c r="H5574" s="23" t="s">
        <v>947</v>
      </c>
      <c r="I5574" s="23" t="s">
        <v>948</v>
      </c>
      <c r="J5574" s="23" t="s">
        <v>949</v>
      </c>
      <c r="K5574" s="23" t="s">
        <v>950</v>
      </c>
      <c r="L5574" s="4" t="s">
        <v>47</v>
      </c>
    </row>
    <row r="5575" customFormat="false" ht="17.15" hidden="false" customHeight="false" outlineLevel="0" collapsed="false">
      <c r="A5575" s="1" t="s">
        <v>951</v>
      </c>
      <c r="B5575" s="1" t="s">
        <v>279</v>
      </c>
      <c r="C5575" s="21" t="n">
        <v>2024</v>
      </c>
      <c r="D5575" s="21" t="n">
        <v>2025</v>
      </c>
      <c r="E5575" s="21" t="n">
        <v>2026</v>
      </c>
      <c r="F5575" s="21" t="n">
        <v>2027</v>
      </c>
      <c r="G5575" s="21" t="n">
        <v>2028</v>
      </c>
      <c r="H5575" s="21" t="n">
        <v>2029</v>
      </c>
      <c r="I5575" s="21" t="n">
        <v>2030</v>
      </c>
      <c r="J5575" s="21" t="n">
        <v>2031</v>
      </c>
      <c r="K5575" s="21" t="n">
        <v>2032</v>
      </c>
    </row>
    <row r="5576" customFormat="false" ht="17.15" hidden="false" customHeight="false" outlineLevel="0" collapsed="false">
      <c r="A5576" s="1" t="s">
        <v>952</v>
      </c>
      <c r="B5576" s="0" t="s">
        <v>459</v>
      </c>
      <c r="F5576" s="30" t="n">
        <f aca="false">pace</f>
        <v>2726.5351</v>
      </c>
      <c r="G5576" s="30" t="n">
        <f aca="false">pace</f>
        <v>2726.5351</v>
      </c>
      <c r="H5576" s="30" t="n">
        <f aca="false">pace</f>
        <v>2726.5351</v>
      </c>
      <c r="I5576" s="30" t="n">
        <f aca="false">pace+(g_tv*Sens!H5577-pace)*MIN(1,(Sens!I5575-pace_y0)/(pace_y1-pace_y0))</f>
        <v>1931.98611966667</v>
      </c>
      <c r="J5576" s="30" t="n">
        <f aca="false">pace+(g_tv*Sens!I5577-pace)*MIN(1,(Sens!J5575-pace_y0)/(pace_y1-pace_y0))</f>
        <v>1176.07686172667</v>
      </c>
      <c r="K5576" s="30" t="n">
        <f aca="false">pace+(g_tv*Sens!J5577-pace)*MIN(1,(Sens!K5575-pace_y0)/(pace_y1-pace_y0))</f>
        <v>436.1300484418</v>
      </c>
      <c r="L5576" s="12" t="s">
        <v>953</v>
      </c>
    </row>
    <row r="5577" customFormat="false" ht="17.15" hidden="false" customHeight="false" outlineLevel="0" collapsed="false">
      <c r="A5577" s="1" t="s">
        <v>954</v>
      </c>
      <c r="B5577" s="0" t="s">
        <v>459</v>
      </c>
      <c r="C5577" s="30" t="n">
        <f aca="false">mw_ext_24</f>
        <v>640</v>
      </c>
      <c r="D5577" s="30" t="n">
        <f aca="false">mw_ext_25</f>
        <v>1630</v>
      </c>
      <c r="E5577" s="30" t="n">
        <f aca="false">mw_ext_26</f>
        <v>3250</v>
      </c>
      <c r="F5577" s="30" t="n">
        <f aca="false">Sens!E5577+Sens!F5576</f>
        <v>5976.5351</v>
      </c>
      <c r="G5577" s="30" t="n">
        <f aca="false">Sens!F5577+Sens!G5576</f>
        <v>8703.0702</v>
      </c>
      <c r="H5577" s="30" t="n">
        <f aca="false">Sens!G5577+Sens!H5576</f>
        <v>11429.6053</v>
      </c>
      <c r="I5577" s="30" t="n">
        <f aca="false">Sens!H5577+Sens!I5576</f>
        <v>13361.5914196667</v>
      </c>
      <c r="J5577" s="30" t="n">
        <f aca="false">Sens!I5577+Sens!J5576</f>
        <v>14537.6682813933</v>
      </c>
      <c r="K5577" s="30" t="n">
        <f aca="false">Sens!J5577+Sens!K5576</f>
        <v>14973.7983298351</v>
      </c>
      <c r="L5577" s="1" t="s">
        <v>955</v>
      </c>
    </row>
    <row r="5578" customFormat="false" ht="17.15" hidden="false" customHeight="false" outlineLevel="0" collapsed="false">
      <c r="A5578" s="1" t="s">
        <v>956</v>
      </c>
      <c r="B5578" s="0" t="s">
        <v>459</v>
      </c>
      <c r="C5578" s="30" t="n">
        <f aca="false">rent_ext_24</f>
        <v>150</v>
      </c>
      <c r="D5578" s="30" t="n">
        <f aca="false">rent_ext_25</f>
        <v>400</v>
      </c>
      <c r="E5578" s="30" t="n">
        <f aca="false">rent_ext_26</f>
        <v>550</v>
      </c>
      <c r="F5578" s="30" t="n">
        <f aca="false">rent_ext_f</f>
        <v>756</v>
      </c>
      <c r="G5578" s="30" t="n">
        <f aca="false">rent_ext_f</f>
        <v>756</v>
      </c>
      <c r="H5578" s="30" t="n">
        <f aca="false">rent_ext_f</f>
        <v>756</v>
      </c>
      <c r="I5578" s="30" t="n">
        <f aca="false">rent_ext_f</f>
        <v>756</v>
      </c>
      <c r="J5578" s="30" t="n">
        <f aca="false">rent_ext_f</f>
        <v>756</v>
      </c>
      <c r="K5578" s="30" t="n">
        <f aca="false">rent_ext_f</f>
        <v>756</v>
      </c>
      <c r="L5578" s="1" t="s">
        <v>957</v>
      </c>
    </row>
    <row r="5579" customFormat="false" ht="17.15" hidden="false" customHeight="false" outlineLevel="0" collapsed="false">
      <c r="A5579" s="1" t="s">
        <v>958</v>
      </c>
      <c r="B5579" s="0" t="s">
        <v>459</v>
      </c>
      <c r="C5579" s="30" t="n">
        <f aca="false">Sens!C5577-Sens!C5578</f>
        <v>490</v>
      </c>
      <c r="D5579" s="30" t="n">
        <f aca="false">Sens!D5577-Sens!D5578</f>
        <v>1230</v>
      </c>
      <c r="E5579" s="30" t="n">
        <f aca="false">Sens!E5577-Sens!E5578</f>
        <v>2700</v>
      </c>
      <c r="F5579" s="30" t="n">
        <f aca="false">Sens!F5577-Sens!F5578</f>
        <v>5220.5351</v>
      </c>
      <c r="G5579" s="30" t="n">
        <f aca="false">Sens!G5577-Sens!G5578</f>
        <v>7947.0702</v>
      </c>
      <c r="H5579" s="30" t="n">
        <f aca="false">Sens!H5577-Sens!H5578</f>
        <v>10673.6053</v>
      </c>
      <c r="I5579" s="30" t="n">
        <f aca="false">Sens!I5577-Sens!I5578</f>
        <v>12605.5914196667</v>
      </c>
      <c r="J5579" s="30" t="n">
        <f aca="false">Sens!J5577-Sens!J5578</f>
        <v>13781.6682813933</v>
      </c>
      <c r="K5579" s="30" t="n">
        <f aca="false">Sens!K5577-Sens!K5578</f>
        <v>14217.7983298351</v>
      </c>
    </row>
    <row r="5580" customFormat="false" ht="17.15" hidden="false" customHeight="false" outlineLevel="0" collapsed="false">
      <c r="A5580" s="1" t="s">
        <v>959</v>
      </c>
      <c r="B5580" s="0" t="s">
        <v>459</v>
      </c>
      <c r="C5580" s="30" t="n">
        <f aca="false">Sens!C5579/ext_sh</f>
        <v>816.666666666667</v>
      </c>
      <c r="D5580" s="30" t="n">
        <f aca="false">Sens!D5579/ext_sh</f>
        <v>2050</v>
      </c>
      <c r="E5580" s="30" t="n">
        <f aca="false">Sens!E5579/ext_sh</f>
        <v>4500</v>
      </c>
      <c r="F5580" s="30" t="n">
        <f aca="false">Sens!F5579/ext_sh</f>
        <v>8700.89183333333</v>
      </c>
      <c r="G5580" s="30" t="n">
        <f aca="false">Sens!G5579/ext_sh</f>
        <v>13245.117</v>
      </c>
      <c r="H5580" s="30" t="n">
        <f aca="false">Sens!H5579/ext_sh</f>
        <v>17789.3421666667</v>
      </c>
      <c r="I5580" s="30" t="n">
        <f aca="false">Sens!I5579/ext_sh</f>
        <v>21009.3190327778</v>
      </c>
      <c r="J5580" s="30" t="n">
        <f aca="false">Sens!J5579/ext_sh</f>
        <v>22969.4471356556</v>
      </c>
      <c r="K5580" s="30" t="n">
        <f aca="false">Sens!K5579/ext_sh</f>
        <v>23696.3305497252</v>
      </c>
      <c r="L5580" s="1" t="s">
        <v>960</v>
      </c>
    </row>
    <row r="5581" customFormat="false" ht="17.15" hidden="false" customHeight="false" outlineLevel="0" collapsed="false">
      <c r="A5581" s="1" t="s">
        <v>961</v>
      </c>
      <c r="B5581" s="0" t="s">
        <v>459</v>
      </c>
      <c r="C5581" s="30" t="n">
        <f aca="false">Sens!C5580-Sens!C5579</f>
        <v>326.666666666667</v>
      </c>
      <c r="D5581" s="30" t="n">
        <f aca="false">Sens!D5580-Sens!D5579</f>
        <v>820</v>
      </c>
      <c r="E5581" s="30" t="n">
        <f aca="false">Sens!E5580-Sens!E5579</f>
        <v>1800</v>
      </c>
      <c r="F5581" s="30" t="n">
        <f aca="false">Sens!F5580-Sens!F5579</f>
        <v>3480.35673333333</v>
      </c>
      <c r="G5581" s="30" t="n">
        <f aca="false">Sens!G5580-Sens!G5579</f>
        <v>5298.0468</v>
      </c>
      <c r="H5581" s="30" t="n">
        <f aca="false">Sens!H5580-Sens!H5579</f>
        <v>7115.73686666667</v>
      </c>
      <c r="I5581" s="30" t="n">
        <f aca="false">Sens!I5580-Sens!I5579</f>
        <v>8403.72761311111</v>
      </c>
      <c r="J5581" s="30" t="n">
        <f aca="false">Sens!J5580-Sens!J5579</f>
        <v>9187.77885426222</v>
      </c>
      <c r="K5581" s="30" t="n">
        <f aca="false">Sens!K5580-Sens!K5579</f>
        <v>9478.53221989009</v>
      </c>
    </row>
    <row r="5582" customFormat="false" ht="17.15" hidden="false" customHeight="false" outlineLevel="0" collapsed="false">
      <c r="A5582" s="1" t="s">
        <v>962</v>
      </c>
      <c r="B5582" s="0" t="s">
        <v>459</v>
      </c>
      <c r="C5582" s="30" t="n">
        <f aca="false">Sens!C5580</f>
        <v>816.666666666667</v>
      </c>
      <c r="D5582" s="30" t="n">
        <f aca="false">Sens!D5580-Sens!C5580</f>
        <v>1233.33333333333</v>
      </c>
      <c r="E5582" s="30" t="n">
        <f aca="false">Sens!E5580-Sens!D5580</f>
        <v>2450</v>
      </c>
      <c r="F5582" s="30" t="n">
        <f aca="false">Sens!F5580-Sens!E5580</f>
        <v>4200.89183333333</v>
      </c>
      <c r="G5582" s="30" t="n">
        <f aca="false">Sens!G5580-Sens!F5580</f>
        <v>4544.22516666667</v>
      </c>
      <c r="H5582" s="30" t="n">
        <f aca="false">Sens!H5580-Sens!G5580</f>
        <v>4544.22516666667</v>
      </c>
      <c r="I5582" s="30" t="n">
        <f aca="false">Sens!I5580-Sens!H5580</f>
        <v>3219.97686611111</v>
      </c>
      <c r="J5582" s="30" t="n">
        <f aca="false">Sens!J5580-Sens!I5580</f>
        <v>1960.12810287778</v>
      </c>
      <c r="K5582" s="30" t="n">
        <f aca="false">Sens!K5580-Sens!J5580</f>
        <v>726.883414069667</v>
      </c>
    </row>
    <row r="5583" customFormat="false" ht="17.15" hidden="false" customHeight="false" outlineLevel="0" collapsed="false">
      <c r="A5583" s="1" t="s">
        <v>963</v>
      </c>
      <c r="B5583" s="0" t="s">
        <v>459</v>
      </c>
      <c r="D5583" s="30" t="n">
        <f aca="false">Sens!D5577-Sens!C5577</f>
        <v>990</v>
      </c>
      <c r="E5583" s="30" t="n">
        <f aca="false">Sens!E5577-Sens!D5577</f>
        <v>1620</v>
      </c>
      <c r="F5583" s="30" t="n">
        <f aca="false">Sens!F5577-Sens!E5577</f>
        <v>2726.5351</v>
      </c>
      <c r="G5583" s="30" t="n">
        <f aca="false">Sens!G5577-Sens!F5577</f>
        <v>2726.5351</v>
      </c>
      <c r="H5583" s="30" t="n">
        <f aca="false">Sens!H5577-Sens!G5577</f>
        <v>2726.5351</v>
      </c>
      <c r="I5583" s="30" t="n">
        <f aca="false">Sens!I5577-Sens!H5577</f>
        <v>1931.98611966667</v>
      </c>
      <c r="J5583" s="30" t="n">
        <f aca="false">Sens!J5577-Sens!I5577</f>
        <v>1176.07686172667</v>
      </c>
      <c r="K5583" s="30" t="n">
        <f aca="false">Sens!K5577-Sens!J5577</f>
        <v>436.130048441799</v>
      </c>
    </row>
    <row r="5584" customFormat="false" ht="17.15" hidden="false" customHeight="false" outlineLevel="0" collapsed="false">
      <c r="A5584" s="1" t="s">
        <v>964</v>
      </c>
      <c r="B5584" s="0" t="s">
        <v>459</v>
      </c>
      <c r="F5584" s="30" t="n">
        <f aca="false">Sens!F5603*ext_sh</f>
        <v>0</v>
      </c>
      <c r="G5584" s="30" t="n">
        <f aca="false">Sens!G5603*ext_sh</f>
        <v>0</v>
      </c>
      <c r="H5584" s="30" t="n">
        <f aca="false">Sens!H5603*ext_sh</f>
        <v>0</v>
      </c>
      <c r="I5584" s="30" t="n">
        <f aca="false">Sens!I5603*ext_sh</f>
        <v>490</v>
      </c>
      <c r="J5584" s="30" t="n">
        <f aca="false">Sens!J5603*ext_sh</f>
        <v>740</v>
      </c>
      <c r="K5584" s="30" t="n">
        <f aca="false">Sens!K5603*ext_sh</f>
        <v>1470</v>
      </c>
      <c r="L5584" s="1" t="s">
        <v>965</v>
      </c>
    </row>
    <row r="5585" customFormat="false" ht="17.15" hidden="false" customHeight="false" outlineLevel="0" collapsed="false">
      <c r="A5585" s="1" t="s">
        <v>966</v>
      </c>
      <c r="B5585" s="0" t="s">
        <v>459</v>
      </c>
      <c r="C5585" s="30" t="n">
        <f aca="false">mix_h*Sens!C5577</f>
        <v>128</v>
      </c>
      <c r="D5585" s="30" t="n">
        <f aca="false">mix_h*Sens!D5577</f>
        <v>326</v>
      </c>
      <c r="E5585" s="30" t="n">
        <f aca="false">mix_h*Sens!E5577</f>
        <v>650</v>
      </c>
      <c r="F5585" s="30" t="n">
        <f aca="false">Sens!E5585-Sens!F5584*mix_h</f>
        <v>650</v>
      </c>
      <c r="G5585" s="30" t="n">
        <f aca="false">Sens!F5585-Sens!G5584*mix_h</f>
        <v>650</v>
      </c>
      <c r="H5585" s="30" t="n">
        <f aca="false">Sens!G5585-Sens!H5584*mix_h</f>
        <v>650</v>
      </c>
      <c r="I5585" s="30" t="n">
        <f aca="false">Sens!H5585-Sens!I5584*mix_h</f>
        <v>552</v>
      </c>
      <c r="J5585" s="30" t="n">
        <f aca="false">Sens!I5585-Sens!J5584*mix_h</f>
        <v>404</v>
      </c>
      <c r="K5585" s="30" t="n">
        <f aca="false">Sens!J5585-Sens!K5584*mix_h</f>
        <v>110</v>
      </c>
    </row>
    <row r="5586" customFormat="false" ht="17.15" hidden="false" customHeight="false" outlineLevel="0" collapsed="false">
      <c r="A5586" s="1" t="s">
        <v>967</v>
      </c>
      <c r="B5586" s="0" t="s">
        <v>459</v>
      </c>
      <c r="C5586" s="30" t="n">
        <f aca="false">mix_g2*Sens!C5577</f>
        <v>288</v>
      </c>
      <c r="D5586" s="30" t="n">
        <f aca="false">mix_g2*Sens!D5577</f>
        <v>733.5</v>
      </c>
      <c r="E5586" s="30" t="n">
        <f aca="false">mix_g2*Sens!E5577</f>
        <v>1462.5</v>
      </c>
      <c r="F5586" s="30" t="n">
        <f aca="false">Sens!E5586-Sens!F5584*mix_g2</f>
        <v>1462.5</v>
      </c>
      <c r="G5586" s="30" t="n">
        <f aca="false">Sens!F5586-Sens!G5584*mix_g2</f>
        <v>1462.5</v>
      </c>
      <c r="H5586" s="30" t="n">
        <f aca="false">Sens!G5586-Sens!H5584*mix_g2</f>
        <v>1462.5</v>
      </c>
      <c r="I5586" s="30" t="n">
        <f aca="false">Sens!H5586-Sens!I5584*mix_g2</f>
        <v>1242</v>
      </c>
      <c r="J5586" s="30" t="n">
        <f aca="false">Sens!I5586-Sens!J5584*mix_g2</f>
        <v>909</v>
      </c>
      <c r="K5586" s="30" t="n">
        <f aca="false">Sens!J5586-Sens!K5584*mix_g2</f>
        <v>247.5</v>
      </c>
    </row>
    <row r="5587" customFormat="false" ht="17.15" hidden="false" customHeight="false" outlineLevel="0" collapsed="false">
      <c r="A5587" s="1" t="s">
        <v>968</v>
      </c>
      <c r="B5587" s="0" t="s">
        <v>459</v>
      </c>
      <c r="C5587" s="30" t="n">
        <f aca="false">mix_g3*Sens!C5577</f>
        <v>224</v>
      </c>
      <c r="D5587" s="30" t="n">
        <f aca="false">mix_g3*Sens!D5577</f>
        <v>570.5</v>
      </c>
      <c r="E5587" s="30" t="n">
        <f aca="false">mix_g3*Sens!E5577</f>
        <v>1137.5</v>
      </c>
      <c r="F5587" s="30" t="n">
        <f aca="false">Sens!E5587+(Sens!F5583+Sens!F5584)*(a_g3_27-nonnv*a_mai)-Sens!F5584*mix_g3</f>
        <v>2773.42106</v>
      </c>
      <c r="G5587" s="30" t="n">
        <f aca="false">Sens!F5587+(Sens!G5583+Sens!G5584)*(a_g3_28-nonnv*a_mai)-Sens!G5584*mix_g3</f>
        <v>3318.72808</v>
      </c>
      <c r="H5587" s="30" t="n">
        <f aca="false">Sens!G5587+(Sens!H5583+Sens!H5584)*(a_g3_29-nonnv*a_mai)-Sens!H5584*mix_g3</f>
        <v>3318.72808</v>
      </c>
      <c r="I5587" s="30" t="n">
        <f aca="false">Sens!H5587+(Sens!I5583+Sens!I5584)*(a_g3_29-nonnv*a_mai)-Sens!I5584*mix_g3</f>
        <v>3147.22808</v>
      </c>
      <c r="J5587" s="30" t="n">
        <f aca="false">Sens!I5587+(Sens!J5583+Sens!J5584)*(a_g3_29-nonnv*a_mai)-Sens!J5584*mix_g3</f>
        <v>2888.22808</v>
      </c>
      <c r="K5587" s="30" t="n">
        <f aca="false">Sens!J5587+(Sens!K5583+Sens!K5584)*(a_g3_29-nonnv*a_mai)-Sens!K5584*mix_g3</f>
        <v>2373.72808</v>
      </c>
    </row>
    <row r="5588" customFormat="false" ht="17.15" hidden="false" customHeight="false" outlineLevel="0" collapsed="false">
      <c r="A5588" s="1" t="s">
        <v>969</v>
      </c>
      <c r="B5588" s="0" t="s">
        <v>459</v>
      </c>
      <c r="C5588" s="30" t="n">
        <v>0</v>
      </c>
      <c r="D5588" s="30" t="n">
        <v>0</v>
      </c>
      <c r="E5588" s="30" t="n">
        <v>0</v>
      </c>
      <c r="F5588" s="30" t="n">
        <f aca="false">Sens!E5588+(Sens!F5583+Sens!F5584)*nonnv*a_mai</f>
        <v>272.65351</v>
      </c>
      <c r="G5588" s="30" t="n">
        <f aca="false">Sens!F5588+(Sens!G5583+Sens!G5584)*nonnv*a_mai</f>
        <v>545.30702</v>
      </c>
      <c r="H5588" s="30" t="n">
        <f aca="false">Sens!G5588+(Sens!H5583+Sens!H5584)*nonnv*a_mai</f>
        <v>817.96053</v>
      </c>
      <c r="I5588" s="30" t="n">
        <f aca="false">Sens!H5588+(Sens!I5583+Sens!I5584)*nonnv*a_mai</f>
        <v>1060.15914196667</v>
      </c>
      <c r="J5588" s="30" t="n">
        <f aca="false">Sens!I5588+(Sens!J5583+Sens!J5584)*nonnv*a_mai</f>
        <v>1251.76682813933</v>
      </c>
      <c r="K5588" s="30" t="n">
        <f aca="false">Sens!J5588+(Sens!K5583+Sens!K5584)*nonnv*a_mai</f>
        <v>1442.37983298351</v>
      </c>
      <c r="L5588" s="12" t="s">
        <v>970</v>
      </c>
    </row>
    <row r="5589" customFormat="false" ht="17.15" hidden="false" customHeight="false" outlineLevel="0" collapsed="false">
      <c r="A5589" s="1" t="s">
        <v>971</v>
      </c>
      <c r="B5589" s="0" t="s">
        <v>459</v>
      </c>
      <c r="C5589" s="30" t="n">
        <v>0</v>
      </c>
      <c r="D5589" s="30" t="n">
        <v>0</v>
      </c>
      <c r="E5589" s="30" t="n">
        <v>0</v>
      </c>
      <c r="F5589" s="30" t="n">
        <f aca="false">Sens!E5589+(Sens!F5583+Sens!F5584)*(1-a_g3_27)</f>
        <v>817.96053</v>
      </c>
      <c r="G5589" s="30" t="n">
        <f aca="false">Sens!F5589+(Sens!G5583+Sens!G5584)*(1-a_g3_28)</f>
        <v>2726.5351</v>
      </c>
      <c r="H5589" s="30" t="n">
        <f aca="false">Sens!G5589+(Sens!H5583+Sens!H5584)*(1-a_g3_29)</f>
        <v>5180.41669</v>
      </c>
      <c r="I5589" s="30" t="n">
        <f aca="false">Sens!H5589+(Sens!I5583+Sens!I5584)*(1-a_g3_29)</f>
        <v>7360.2041977</v>
      </c>
      <c r="J5589" s="30" t="n">
        <f aca="false">Sens!I5589+(Sens!J5583+Sens!J5584)*(1-a_g3_29)</f>
        <v>9084.673373254</v>
      </c>
      <c r="K5589" s="30" t="n">
        <f aca="false">Sens!J5589+(Sens!K5583+Sens!K5584)*(1-a_g3_29)</f>
        <v>10800.1904168516</v>
      </c>
    </row>
    <row r="5590" customFormat="false" ht="17.15" hidden="false" customHeight="false" outlineLevel="0" collapsed="false">
      <c r="A5590" s="1" t="s">
        <v>972</v>
      </c>
      <c r="B5590" s="0" t="s">
        <v>403</v>
      </c>
      <c r="C5590" s="15" t="n">
        <f aca="false">(Sens!C5585*tk_hold_h100+Sens!C5586*tk_hold_gb200+Sens!C5587*tk_hold_gb300+Sens!C5589*tk_hold_vr200+Sens!C5588*nv_hold_mai*tk_hold_vr200)/Sens!C5577</f>
        <v>9.7235358126469</v>
      </c>
      <c r="D5590" s="15" t="n">
        <f aca="false">(Sens!D5585*tk_hold_h100+Sens!D5586*tk_hold_gb200+Sens!D5587*tk_hold_gb300+Sens!D5589*tk_hold_vr200+Sens!D5588*nv_hold_mai*tk_hold_vr200)/Sens!D5577</f>
        <v>9.7235358126469</v>
      </c>
      <c r="E5590" s="15" t="n">
        <f aca="false">(Sens!E5585*tk_hold_h100+Sens!E5586*tk_hold_gb200+Sens!E5587*tk_hold_gb300+Sens!E5589*tk_hold_vr200+Sens!E5588*nv_hold_mai*tk_hold_vr200)/Sens!E5577</f>
        <v>9.7235358126469</v>
      </c>
      <c r="F5590" s="15" t="n">
        <f aca="false">(Sens!F5585*tk_hold_h100+Sens!F5586*tk_hold_gb200+Sens!F5587*tk_hold_gb300+Sens!F5589*tk_hold_vr200+Sens!F5588*nv_hold_mai*tk_hold_vr200)/Sens!F5577</f>
        <v>10.2195353876665</v>
      </c>
      <c r="G5590" s="15" t="n">
        <f aca="false">(Sens!G5585*tk_hold_h100+Sens!G5586*tk_hold_gb200+Sens!G5587*tk_hold_gb300+Sens!G5589*tk_hold_vr200+Sens!G5588*nv_hold_mai*tk_hold_vr200)/Sens!G5577</f>
        <v>10.5725598017306</v>
      </c>
      <c r="H5590" s="15" t="n">
        <f aca="false">(Sens!H5585*tk_hold_h100+Sens!H5586*tk_hold_gb200+Sens!H5587*tk_hold_gb300+Sens!H5589*tk_hold_vr200+Sens!H5588*nv_hold_mai*tk_hold_vr200)/Sens!H5577</f>
        <v>10.8210427149036</v>
      </c>
      <c r="I5590" s="15" t="n">
        <f aca="false">(Sens!I5585*tk_hold_h100+Sens!I5586*tk_hold_gb200+Sens!I5587*tk_hold_gb300+Sens!I5589*tk_hold_vr200+Sens!I5588*nv_hold_mai*tk_hold_vr200)/Sens!I5577</f>
        <v>11.0050618241982</v>
      </c>
      <c r="J5590" s="15" t="n">
        <f aca="false">(Sens!J5585*tk_hold_h100+Sens!J5586*tk_hold_gb200+Sens!J5587*tk_hold_gb300+Sens!J5589*tk_hold_vr200+Sens!J5588*nv_hold_mai*tk_hold_vr200)/Sens!J5577</f>
        <v>11.1505789658881</v>
      </c>
      <c r="K5590" s="15" t="n">
        <f aca="false">(Sens!K5585*tk_hold_h100+Sens!K5586*tk_hold_gb200+Sens!K5587*tk_hold_gb300+Sens!K5589*tk_hold_vr200+Sens!K5588*nv_hold_mai*tk_hold_vr200)/Sens!K5577</f>
        <v>11.3496914757183</v>
      </c>
      <c r="L5590" s="1" t="s">
        <v>973</v>
      </c>
    </row>
    <row r="5591" customFormat="false" ht="17.15" hidden="false" customHeight="false" outlineLevel="0" collapsed="false">
      <c r="A5591" s="1" t="s">
        <v>974</v>
      </c>
      <c r="B5591" s="0" t="s">
        <v>403</v>
      </c>
      <c r="C5591" s="15" t="n">
        <f aca="false">(Sens!C5585*tk_hold_h100+Sens!C5586*tk_hold_gb200+Sens!C5587*tk_hold_gb300+Sens!C5589*tk_hold_vr200+Sens!C5588*nv_out_mai_lo*tk_hold_vr200)/Sens!C5577</f>
        <v>9.7235358126469</v>
      </c>
      <c r="D5591" s="15" t="n">
        <f aca="false">(Sens!D5585*tk_hold_h100+Sens!D5586*tk_hold_gb200+Sens!D5587*tk_hold_gb300+Sens!D5589*tk_hold_vr200+Sens!D5588*nv_out_mai_lo*tk_hold_vr200)/Sens!D5577</f>
        <v>9.7235358126469</v>
      </c>
      <c r="E5591" s="15" t="n">
        <f aca="false">(Sens!E5585*tk_hold_h100+Sens!E5586*tk_hold_gb200+Sens!E5587*tk_hold_gb300+Sens!E5589*tk_hold_vr200+Sens!E5588*nv_out_mai_lo*tk_hold_vr200)/Sens!E5577</f>
        <v>9.7235358126469</v>
      </c>
      <c r="F5591" s="15" t="n">
        <f aca="false">(Sens!F5585*tk_hold_h100+Sens!F5586*tk_hold_gb200+Sens!F5587*tk_hold_gb300+Sens!F5589*tk_hold_vr200+Sens!F5588*nv_out_mai_lo*tk_hold_vr200)/Sens!F5577</f>
        <v>10.0801018561541</v>
      </c>
      <c r="G5591" s="15" t="n">
        <f aca="false">(Sens!G5585*tk_hold_h100+Sens!G5586*tk_hold_gb200+Sens!G5587*tk_hold_gb300+Sens!G5589*tk_hold_vr200+Sens!G5588*nv_out_mai_lo*tk_hold_vr200)/Sens!G5577</f>
        <v>10.3810574063574</v>
      </c>
      <c r="H5591" s="15" t="n">
        <f aca="false">(Sens!H5585*tk_hold_h100+Sens!H5586*tk_hold_gb200+Sens!H5587*tk_hold_gb300+Sens!H5589*tk_hold_vr200+Sens!H5588*nv_out_mai_lo*tk_hold_vr200)/Sens!H5577</f>
        <v>10.6023135357252</v>
      </c>
      <c r="I5591" s="15" t="n">
        <f aca="false">(Sens!I5585*tk_hold_h100+Sens!I5586*tk_hold_gb200+Sens!I5587*tk_hold_gb300+Sens!I5589*tk_hold_vr200+Sens!I5588*nv_out_mai_lo*tk_hold_vr200)/Sens!I5577</f>
        <v>10.7625580601765</v>
      </c>
      <c r="J5591" s="15" t="n">
        <f aca="false">(Sens!J5585*tk_hold_h100+Sens!J5586*tk_hold_gb200+Sens!J5587*tk_hold_gb300+Sens!J5589*tk_hold_vr200+Sens!J5588*nv_out_mai_lo*tk_hold_vr200)/Sens!J5577</f>
        <v>10.8874102312998</v>
      </c>
      <c r="K5591" s="15" t="n">
        <f aca="false">(Sens!K5585*tk_hold_h100+Sens!K5586*tk_hold_gb200+Sens!K5587*tk_hold_gb300+Sens!K5589*tk_hold_vr200+Sens!K5588*nv_out_mai_lo*tk_hold_vr200)/Sens!K5577</f>
        <v>11.0552809921972</v>
      </c>
      <c r="L5591" s="12" t="s">
        <v>975</v>
      </c>
    </row>
    <row r="5592" customFormat="false" ht="17.15" hidden="false" customHeight="false" outlineLevel="0" collapsed="false">
      <c r="A5592" s="0" t="s">
        <v>976</v>
      </c>
      <c r="B5592" s="0" t="s">
        <v>229</v>
      </c>
      <c r="C5592" s="15" t="n">
        <f aca="false">k_B</f>
        <v>1.17213932619116</v>
      </c>
      <c r="D5592" s="15" t="n">
        <f aca="false">k_B</f>
        <v>1.17213932619116</v>
      </c>
      <c r="E5592" s="15" t="n">
        <f aca="false">k_B</f>
        <v>1.17213932619116</v>
      </c>
      <c r="F5592" s="15" t="n">
        <f aca="false">(k_B+((ls_A*k_long+(1-ls_A)*k_spot)-k_B)*MIN(1,(Sens!F5575-base_fy)/k_ramp))</f>
        <v>1.25022828131298</v>
      </c>
      <c r="G5592" s="15" t="n">
        <f aca="false">(k_B+((ls_A*k_long+(1-ls_A)*k_spot)-k_B)*MIN(1,(Sens!G5575-base_fy)/k_ramp))</f>
        <v>1.3283172364348</v>
      </c>
      <c r="H5592" s="15" t="n">
        <f aca="false">(k_B+((ls_A*k_long+(1-ls_A)*k_spot)-k_B)*MIN(1,(Sens!H5575-base_fy)/k_ramp))</f>
        <v>1.40640619155662</v>
      </c>
      <c r="I5592" s="15" t="n">
        <f aca="false">(k_B+((ls_A*k_long+(1-ls_A)*k_spot)-k_B)*MIN(1,(Sens!I5575-base_fy)/k_ramp))</f>
        <v>1.40640619155662</v>
      </c>
      <c r="J5592" s="15" t="n">
        <f aca="false">(k_B+((ls_A*k_long+(1-ls_A)*k_spot)-k_B)*MIN(1,(Sens!J5575-base_fy)/k_ramp))</f>
        <v>1.40640619155662</v>
      </c>
      <c r="K5592" s="15" t="n">
        <f aca="false">(k_B+((ls_A*k_long+(1-ls_A)*k_spot)-k_B)*MIN(1,(Sens!K5575-base_fy)/k_ramp))</f>
        <v>1.40640619155662</v>
      </c>
      <c r="L5592" s="1" t="s">
        <v>977</v>
      </c>
    </row>
    <row r="5593" customFormat="false" ht="17.15" hidden="false" customHeight="false" outlineLevel="0" collapsed="false">
      <c r="A5593" s="1" t="s">
        <v>978</v>
      </c>
      <c r="B5593" s="0" t="s">
        <v>403</v>
      </c>
      <c r="C5593" s="15" t="n">
        <f aca="false">Sens!C5591*Sens!C5592*chip_f</f>
        <v>11.3973387156315</v>
      </c>
      <c r="D5593" s="15" t="n">
        <f aca="false">Sens!D5591*Sens!D5592*chip_f</f>
        <v>11.3973387156315</v>
      </c>
      <c r="E5593" s="15" t="n">
        <f aca="false">Sens!E5591*Sens!E5592*chip_f</f>
        <v>11.3973387156315</v>
      </c>
      <c r="F5593" s="15" t="n">
        <f aca="false">Sens!F5591*Sens!F5592*chip_f</f>
        <v>12.6024284190793</v>
      </c>
      <c r="G5593" s="15" t="n">
        <f aca="false">Sens!G5591*Sens!G5592*chip_f</f>
        <v>13.7893374852836</v>
      </c>
      <c r="H5593" s="15" t="n">
        <f aca="false">Sens!H5591*Sens!H5592*chip_f</f>
        <v>14.9111594014685</v>
      </c>
      <c r="I5593" s="15" t="n">
        <f aca="false">Sens!I5591*Sens!I5592*chip_f</f>
        <v>15.1365282928197</v>
      </c>
      <c r="J5593" s="15" t="n">
        <f aca="false">Sens!J5591*Sens!J5592*chip_f</f>
        <v>15.3121211593168</v>
      </c>
      <c r="K5593" s="15" t="n">
        <f aca="false">Sens!K5591*Sens!K5592*chip_f</f>
        <v>15.5482156368243</v>
      </c>
      <c r="L5593" s="1" t="s">
        <v>979</v>
      </c>
    </row>
    <row r="5594" customFormat="false" ht="17.15" hidden="false" customHeight="false" outlineLevel="0" collapsed="false">
      <c r="A5594" s="0" t="s">
        <v>980</v>
      </c>
      <c r="B5594" s="0" t="s">
        <v>98</v>
      </c>
      <c r="D5594" s="6" t="n">
        <f aca="false">(Sens!C5577+Sens!D5577)/2*Sens!D5593/1000</f>
        <v>12.9359794422418</v>
      </c>
      <c r="E5594" s="6" t="n">
        <f aca="false">(Sens!D5577+Sens!E5577)/2*Sens!E5593/1000</f>
        <v>27.8095064661409</v>
      </c>
      <c r="F5594" s="6" t="n">
        <f aca="false">(Sens!E5577+Sens!F5577)/2*Sens!F5593/1000</f>
        <v>58.1383740769362</v>
      </c>
      <c r="G5594" s="6" t="n">
        <f aca="false">(Sens!F5577+Sens!G5577)/2*Sens!G5593/1000</f>
        <v>101.211015816229</v>
      </c>
      <c r="H5594" s="6" t="n">
        <f aca="false">(Sens!G5577+Sens!H5577)/2*Sens!H5593/1000</f>
        <v>150.10076677927</v>
      </c>
      <c r="I5594" s="6" t="n">
        <f aca="false">(Sens!H5577+Sens!I5577)/2*Sens!I5593/1000</f>
        <v>187.626325280047</v>
      </c>
      <c r="J5594" s="6" t="n">
        <f aca="false">(Sens!I5577+Sens!J5577)/2*Sens!J5593/1000</f>
        <v>213.598422398938</v>
      </c>
      <c r="K5594" s="6" t="n">
        <f aca="false">(Sens!J5577+Sens!K5577)/2*Sens!K5593/1000</f>
        <v>229.42532331516</v>
      </c>
      <c r="L5594" s="12" t="s">
        <v>981</v>
      </c>
    </row>
    <row r="5595" customFormat="false" ht="17.15" hidden="false" customHeight="false" outlineLevel="0" collapsed="false">
      <c r="A5595" s="1" t="s">
        <v>982</v>
      </c>
      <c r="B5595" s="0" t="s">
        <v>403</v>
      </c>
      <c r="C5595" s="15" t="n">
        <f aca="false">(Sens!C5585*tk_opex_h100+Sens!C5586*tk_opex_gb200+Sens!C5587*tk_opex_gb300+(Sens!C5589+Sens!C5588)*tk_opex_vr200)/Sens!C5577</f>
        <v>1.88636041306092</v>
      </c>
      <c r="D5595" s="15" t="n">
        <f aca="false">(Sens!D5585*tk_opex_h100+Sens!D5586*tk_opex_gb200+Sens!D5587*tk_opex_gb300+(Sens!D5589+Sens!D5588)*tk_opex_vr200)/Sens!D5577</f>
        <v>1.88636041306092</v>
      </c>
      <c r="E5595" s="15" t="n">
        <f aca="false">(Sens!E5585*tk_opex_h100+Sens!E5586*tk_opex_gb200+Sens!E5587*tk_opex_gb300+(Sens!E5589+Sens!E5588)*tk_opex_vr200)/Sens!E5577</f>
        <v>1.88636041306092</v>
      </c>
      <c r="F5595" s="15" t="n">
        <f aca="false">(Sens!F5585*tk_opex_h100+Sens!F5586*tk_opex_gb200+Sens!F5587*tk_opex_gb300+(Sens!F5589+Sens!F5588)*tk_opex_vr200)/Sens!F5577</f>
        <v>1.95051159746876</v>
      </c>
      <c r="G5595" s="15" t="n">
        <f aca="false">(Sens!G5585*tk_opex_h100+Sens!G5586*tk_opex_gb200+Sens!G5587*tk_opex_gb300+(Sens!G5589+Sens!G5588)*tk_opex_vr200)/Sens!G5577</f>
        <v>1.98836003669956</v>
      </c>
      <c r="H5595" s="15" t="n">
        <f aca="false">(Sens!H5585*tk_opex_h100+Sens!H5586*tk_opex_gb200+Sens!H5587*tk_opex_gb300+(Sens!H5589+Sens!H5588)*tk_opex_vr200)/Sens!H5577</f>
        <v>2.01344013834343</v>
      </c>
      <c r="I5595" s="15" t="n">
        <f aca="false">(Sens!I5585*tk_opex_h100+Sens!I5586*tk_opex_gb200+Sens!I5587*tk_opex_gb300+(Sens!I5589+Sens!I5588)*tk_opex_vr200)/Sens!I5577</f>
        <v>2.03261166882178</v>
      </c>
      <c r="J5595" s="15" t="n">
        <f aca="false">(Sens!J5585*tk_opex_h100+Sens!J5586*tk_opex_gb200+Sens!J5587*tk_opex_gb300+(Sens!J5589+Sens!J5588)*tk_opex_vr200)/Sens!J5577</f>
        <v>2.04808073288745</v>
      </c>
      <c r="K5595" s="15" t="n">
        <f aca="false">(Sens!K5585*tk_opex_h100+Sens!K5586*tk_opex_gb200+Sens!K5587*tk_opex_gb300+(Sens!K5589+Sens!K5588)*tk_opex_vr200)/Sens!K5577</f>
        <v>2.06973825807449</v>
      </c>
      <c r="L5595" s="12" t="s">
        <v>983</v>
      </c>
    </row>
    <row r="5596" customFormat="false" ht="17.15" hidden="false" customHeight="false" outlineLevel="0" collapsed="false">
      <c r="A5596" s="0" t="s">
        <v>984</v>
      </c>
      <c r="B5596" s="0" t="s">
        <v>98</v>
      </c>
      <c r="D5596" s="6" t="n">
        <f aca="false">(Sens!C5580+Sens!D5580)/2*Sens!D5595/1000</f>
        <v>2.70378325872065</v>
      </c>
      <c r="E5596" s="6" t="n">
        <f aca="false">(Sens!D5580+Sens!E5580)/2*Sens!E5595/1000</f>
        <v>6.17783035277451</v>
      </c>
      <c r="F5596" s="6" t="n">
        <f aca="false">(Sens!E5580+Sens!F5580)/2*Sens!F5595/1000</f>
        <v>12.8742463089237</v>
      </c>
      <c r="G5596" s="6" t="n">
        <f aca="false">(Sens!F5580+Sens!G5580)/2*Sens!G5595/1000</f>
        <v>21.8182834646277</v>
      </c>
      <c r="H5596" s="6" t="n">
        <f aca="false">(Sens!G5580+Sens!H5580)/2*Sens!H5595/1000</f>
        <v>31.2430128789734</v>
      </c>
      <c r="I5596" s="6" t="n">
        <f aca="false">(Sens!H5580+Sens!I5580)/2*Sens!I5595/1000</f>
        <v>39.4313057443268</v>
      </c>
      <c r="J5596" s="6" t="n">
        <f aca="false">(Sens!I5580+Sens!J5580)/2*Sens!J5595/1000</f>
        <v>45.0360318228653</v>
      </c>
      <c r="K5596" s="6" t="n">
        <f aca="false">(Sens!J5580+Sens!K5580)/2*Sens!K5595/1000</f>
        <v>48.2929727091156</v>
      </c>
    </row>
    <row r="5597" customFormat="false" ht="17.15" hidden="false" customHeight="false" outlineLevel="0" collapsed="false">
      <c r="A5597" s="0" t="s">
        <v>985</v>
      </c>
      <c r="B5597" s="0" t="s">
        <v>98</v>
      </c>
      <c r="D5597" s="6" t="n">
        <f aca="false">(Sens!C5578+Sens!D5578)/2*rent_mw/1000</f>
        <v>2.44475</v>
      </c>
      <c r="E5597" s="6" t="n">
        <f aca="false">(Sens!D5578+Sens!E5578)/2*rent_mw/1000</f>
        <v>4.22275</v>
      </c>
      <c r="F5597" s="6" t="n">
        <f aca="false">(Sens!E5578+Sens!F5578)/2*rent_mw/1000</f>
        <v>5.80517</v>
      </c>
      <c r="G5597" s="6" t="n">
        <f aca="false">(Sens!F5578+Sens!G5578)/2*rent_mw/1000</f>
        <v>6.72084</v>
      </c>
      <c r="H5597" s="6" t="n">
        <f aca="false">(Sens!G5578+Sens!H5578)/2*rent_mw/1000</f>
        <v>6.72084</v>
      </c>
      <c r="I5597" s="6" t="n">
        <f aca="false">(Sens!H5578+Sens!I5578)/2*rent_mw/1000</f>
        <v>6.72084</v>
      </c>
      <c r="J5597" s="6" t="n">
        <f aca="false">(Sens!I5578+Sens!J5578)/2*rent_mw/1000</f>
        <v>6.72084</v>
      </c>
      <c r="K5597" s="6" t="n">
        <f aca="false">(Sens!J5578+Sens!K5578)/2*rent_mw/1000</f>
        <v>6.72084</v>
      </c>
    </row>
    <row r="5598" customFormat="false" ht="17.15" hidden="false" customHeight="false" outlineLevel="0" collapsed="false">
      <c r="A5598" s="0" t="s">
        <v>986</v>
      </c>
      <c r="B5598" s="0" t="s">
        <v>98</v>
      </c>
      <c r="D5598" s="6" t="n">
        <f aca="false">(Sens!C5580+Sens!D5580)/2*(1-self_build)*fac_rent/1000</f>
        <v>0.853242375631075</v>
      </c>
      <c r="E5598" s="6" t="n">
        <f aca="false">(Sens!D5580+Sens!E5580)/2*(1-self_build)*fac_rent/1000</f>
        <v>1.94955961408728</v>
      </c>
      <c r="F5598" s="6" t="n">
        <f aca="false">(Sens!E5580+Sens!F5580)/2*(1-self_build)*fac_rent/1000</f>
        <v>3.92914894476356</v>
      </c>
      <c r="G5598" s="6" t="n">
        <f aca="false">(Sens!F5580+Sens!G5580)/2*(1-self_build)*fac_rent/1000</f>
        <v>6.53206908578159</v>
      </c>
      <c r="H5598" s="6" t="n">
        <f aca="false">(Sens!G5580+Sens!H5580)/2*(1-self_build)*fac_rent/1000</f>
        <v>9.23717988341591</v>
      </c>
      <c r="I5598" s="6" t="n">
        <f aca="false">(Sens!H5580+Sens!I5580)/2*(1-self_build)*fac_rent/1000</f>
        <v>11.5481378557393</v>
      </c>
      <c r="J5598" s="6" t="n">
        <f aca="false">(Sens!I5580+Sens!J5580)/2*(1-self_build)*fac_rent/1000</f>
        <v>13.0899582289108</v>
      </c>
      <c r="K5598" s="6" t="n">
        <f aca="false">(Sens!J5580+Sens!K5580)/2*(1-self_build)*fac_rent/1000</f>
        <v>13.8897275626556</v>
      </c>
      <c r="L5598" s="12" t="s">
        <v>987</v>
      </c>
    </row>
    <row r="5599" customFormat="false" ht="17.15" hidden="false" customHeight="false" outlineLevel="0" collapsed="false">
      <c r="A5599" s="1" t="s">
        <v>988</v>
      </c>
      <c r="B5599" s="0" t="s">
        <v>168</v>
      </c>
      <c r="D5599" s="7" t="n">
        <f aca="false">(Sens!C5579+Sens!D5579)/(Sens!C5580+Sens!D5580)</f>
        <v>0.6</v>
      </c>
      <c r="E5599" s="7" t="n">
        <f aca="false">(Sens!D5579+Sens!E5579)/(Sens!D5580+Sens!E5580)</f>
        <v>0.6</v>
      </c>
      <c r="F5599" s="7" t="n">
        <f aca="false">(Sens!E5579+Sens!F5579)/(Sens!E5580+Sens!F5580)</f>
        <v>0.6</v>
      </c>
      <c r="G5599" s="7" t="n">
        <f aca="false">(Sens!F5579+Sens!G5579)/(Sens!F5580+Sens!G5580)</f>
        <v>0.6</v>
      </c>
      <c r="H5599" s="7" t="n">
        <f aca="false">(Sens!G5579+Sens!H5579)/(Sens!G5580+Sens!H5580)</f>
        <v>0.6</v>
      </c>
      <c r="I5599" s="7" t="n">
        <f aca="false">(Sens!H5579+Sens!I5579)/(Sens!H5580+Sens!I5580)</f>
        <v>0.6</v>
      </c>
      <c r="J5599" s="7" t="n">
        <f aca="false">(Sens!I5579+Sens!J5579)/(Sens!I5580+Sens!J5580)</f>
        <v>0.6</v>
      </c>
      <c r="K5599" s="7" t="n">
        <f aca="false">(Sens!J5579+Sens!K5579)/(Sens!J5580+Sens!K5580)</f>
        <v>0.6</v>
      </c>
    </row>
    <row r="5600" customFormat="false" ht="17.15" hidden="false" customHeight="false" outlineLevel="0" collapsed="false">
      <c r="A5600" s="0" t="s">
        <v>989</v>
      </c>
      <c r="B5600" s="0" t="s">
        <v>98</v>
      </c>
      <c r="D5600" s="6" t="n">
        <f aca="false">Sens!D5594-Sens!D5599*(Sens!D5596+Sens!D5598)-Sens!D5597</f>
        <v>8.35701406163072</v>
      </c>
      <c r="E5600" s="6" t="n">
        <f aca="false">Sens!E5594-Sens!E5599*(Sens!E5596+Sens!E5598)-Sens!E5597</f>
        <v>18.7103224860238</v>
      </c>
      <c r="F5600" s="6" t="n">
        <f aca="false">Sens!F5594-Sens!F5599*(Sens!F5596+Sens!F5598)-Sens!F5597</f>
        <v>42.2511669247238</v>
      </c>
      <c r="G5600" s="6" t="n">
        <f aca="false">Sens!G5594-Sens!G5599*(Sens!G5596+Sens!G5598)-Sens!G5597</f>
        <v>77.4799642859835</v>
      </c>
      <c r="H5600" s="6" t="n">
        <f aca="false">Sens!H5594-Sens!H5599*(Sens!H5596+Sens!H5598)-Sens!H5597</f>
        <v>119.091811121836</v>
      </c>
      <c r="I5600" s="6" t="n">
        <f aca="false">Sens!I5594-Sens!I5599*(Sens!I5596+Sens!I5598)-Sens!I5597</f>
        <v>150.317819120008</v>
      </c>
      <c r="J5600" s="6" t="n">
        <f aca="false">Sens!J5594-Sens!J5599*(Sens!J5596+Sens!J5598)-Sens!J5597</f>
        <v>172.001988367873</v>
      </c>
      <c r="K5600" s="6" t="n">
        <f aca="false">Sens!K5594-Sens!K5599*(Sens!K5596+Sens!K5598)-Sens!K5597</f>
        <v>185.394863152097</v>
      </c>
    </row>
    <row r="5601" customFormat="false" ht="17.15" hidden="false" customHeight="false" outlineLevel="0" collapsed="false">
      <c r="A5601" s="1" t="s">
        <v>990</v>
      </c>
      <c r="B5601" s="0" t="s">
        <v>98</v>
      </c>
      <c r="D5601" s="6" t="n">
        <f aca="false">(1-Sens!D5599)*(Sens!D5596+Sens!D5598)</f>
        <v>1.42281025374069</v>
      </c>
      <c r="E5601" s="6" t="n">
        <f aca="false">(1-Sens!E5599)*(Sens!E5596+Sens!E5598)</f>
        <v>3.25095598674472</v>
      </c>
      <c r="F5601" s="6" t="n">
        <f aca="false">(1-Sens!F5599)*(Sens!F5596+Sens!F5598)</f>
        <v>6.72135810147489</v>
      </c>
      <c r="G5601" s="6" t="n">
        <f aca="false">(1-Sens!G5599)*(Sens!G5596+Sens!G5598)</f>
        <v>11.3401410201637</v>
      </c>
      <c r="H5601" s="6" t="n">
        <f aca="false">(1-Sens!H5599)*(Sens!H5596+Sens!H5598)</f>
        <v>16.1920771049557</v>
      </c>
      <c r="I5601" s="6" t="n">
        <f aca="false">(1-Sens!I5599)*(Sens!I5596+Sens!I5598)</f>
        <v>20.3917774400264</v>
      </c>
      <c r="J5601" s="6" t="n">
        <f aca="false">(1-Sens!J5599)*(Sens!J5596+Sens!J5598)</f>
        <v>23.2503960207104</v>
      </c>
      <c r="K5601" s="6" t="n">
        <f aca="false">(1-Sens!K5599)*(Sens!K5596+Sens!K5598)</f>
        <v>24.8730801087085</v>
      </c>
    </row>
    <row r="5602" customFormat="false" ht="17.15" hidden="false" customHeight="false" outlineLevel="0" collapsed="false">
      <c r="A5602" s="1" t="s">
        <v>991</v>
      </c>
      <c r="B5602" s="0" t="s">
        <v>417</v>
      </c>
      <c r="C5602" s="8" t="n">
        <f aca="false">cxit_open</f>
        <v>27.5918995</v>
      </c>
      <c r="D5602" s="8" t="n">
        <f aca="false">cxit_open</f>
        <v>27.5918995</v>
      </c>
      <c r="E5602" s="8" t="n">
        <f aca="false">cxit_open</f>
        <v>27.5918995</v>
      </c>
      <c r="F5602" s="8" t="n">
        <f aca="false">((a_g3_27-nonnv*a_mai)*tk_cxit_gb300+nonnv*a_mai*nv_hold_mai*tk_cxit_vr200+(1-a_g3_27)*tk_cxit_vr200)</f>
        <v>32.4975576</v>
      </c>
      <c r="G5602" s="8" t="n">
        <f aca="false">((a_g3_28-nonnv*a_mai)*tk_cxit_gb300+nonnv*a_mai*nv_hold_mai*tk_cxit_vr200+(1-a_g3_28)*tk_cxit_vr200)</f>
        <v>34.6372088</v>
      </c>
      <c r="H5602" s="8" t="n">
        <f aca="false">((a_g3_29-nonnv*a_mai)*tk_cxit_gb300+nonnv*a_mai*nv_hold_mai*tk_cxit_vr200+(1-a_g3_29)*tk_cxit_vr200)</f>
        <v>35.7070344</v>
      </c>
      <c r="I5602" s="8" t="n">
        <f aca="false">((a_g3_29-nonnv*a_mai)*tk_cxit_gb300+nonnv*a_mai*nv_hold_mai*tk_cxit_vr200+(1-a_g3_29)*tk_cxit_vr200)</f>
        <v>35.7070344</v>
      </c>
      <c r="J5602" s="8" t="n">
        <f aca="false">((a_g3_29-nonnv*a_mai)*tk_cxit_gb300+nonnv*a_mai*nv_hold_mai*tk_cxit_vr200+(1-a_g3_29)*tk_cxit_vr200)</f>
        <v>35.7070344</v>
      </c>
      <c r="K5602" s="8" t="n">
        <f aca="false">((a_g3_29-nonnv*a_mai)*tk_cxit_gb300+nonnv*a_mai*nv_hold_mai*tk_cxit_vr200+(1-a_g3_29)*tk_cxit_vr200)</f>
        <v>35.7070344</v>
      </c>
      <c r="L5602" s="12" t="s">
        <v>992</v>
      </c>
    </row>
    <row r="5603" customFormat="false" ht="17.15" hidden="false" customHeight="false" outlineLevel="0" collapsed="false">
      <c r="A5603" s="0" t="s">
        <v>993</v>
      </c>
      <c r="B5603" s="0" t="s">
        <v>459</v>
      </c>
      <c r="F5603" s="30" t="n">
        <f aca="false">Sens!C5582*IF(Sens!F5575-Sens!C5575=life_it,1,0)+Sens!D5582*IF(Sens!F5575-Sens!D5575=life_it,1,0)+Sens!E5582*IF(Sens!F5575-Sens!E5575=life_it,1,0)</f>
        <v>0</v>
      </c>
      <c r="G5603" s="30" t="n">
        <f aca="false">Sens!C5582*IF(Sens!G5575-Sens!C5575=life_it,1,0)+Sens!D5582*IF(Sens!G5575-Sens!D5575=life_it,1,0)+Sens!E5582*IF(Sens!G5575-Sens!E5575=life_it,1,0)+Sens!F5582*IF(Sens!G5575-Sens!F5575=life_it,1,0)</f>
        <v>0</v>
      </c>
      <c r="H5603" s="30" t="n">
        <f aca="false">Sens!C5582*IF(Sens!H5575-Sens!C5575=life_it,1,0)+Sens!D5582*IF(Sens!H5575-Sens!D5575=life_it,1,0)+Sens!E5582*IF(Sens!H5575-Sens!E5575=life_it,1,0)+Sens!F5582*IF(Sens!H5575-Sens!F5575=life_it,1,0)+Sens!G5582*IF(Sens!H5575-Sens!G5575=life_it,1,0)</f>
        <v>0</v>
      </c>
      <c r="I5603" s="30" t="n">
        <f aca="false">Sens!C5582*IF(Sens!I5575-Sens!C5575=life_it,1,0)+Sens!D5582*IF(Sens!I5575-Sens!D5575=life_it,1,0)+Sens!E5582*IF(Sens!I5575-Sens!E5575=life_it,1,0)+Sens!F5582*IF(Sens!I5575-Sens!F5575=life_it,1,0)+Sens!G5582*IF(Sens!I5575-Sens!G5575=life_it,1,0)+Sens!H5582*IF(Sens!I5575-Sens!H5575=life_it,1,0)</f>
        <v>816.666666666667</v>
      </c>
      <c r="J5603" s="30" t="n">
        <f aca="false">Sens!C5582*IF(Sens!J5575-Sens!C5575=life_it,1,0)+Sens!D5582*IF(Sens!J5575-Sens!D5575=life_it,1,0)+Sens!E5582*IF(Sens!J5575-Sens!E5575=life_it,1,0)+Sens!F5582*IF(Sens!J5575-Sens!F5575=life_it,1,0)+Sens!G5582*IF(Sens!J5575-Sens!G5575=life_it,1,0)+Sens!H5582*IF(Sens!J5575-Sens!H5575=life_it,1,0)+Sens!I5582*IF(Sens!J5575-Sens!I5575=life_it,1,0)</f>
        <v>1233.33333333333</v>
      </c>
      <c r="K5603" s="30" t="n">
        <f aca="false">Sens!C5582*IF(Sens!K5575-Sens!C5575=life_it,1,0)+Sens!D5582*IF(Sens!K5575-Sens!D5575=life_it,1,0)+Sens!E5582*IF(Sens!K5575-Sens!E5575=life_it,1,0)+Sens!F5582*IF(Sens!K5575-Sens!F5575=life_it,1,0)+Sens!G5582*IF(Sens!K5575-Sens!G5575=life_it,1,0)+Sens!H5582*IF(Sens!K5575-Sens!H5575=life_it,1,0)+Sens!I5582*IF(Sens!K5575-Sens!I5575=life_it,1,0)+Sens!J5582*IF(Sens!K5575-Sens!J5575=life_it,1,0)</f>
        <v>2450</v>
      </c>
      <c r="L5603" s="1" t="s">
        <v>994</v>
      </c>
    </row>
    <row r="5604" customFormat="false" ht="17.15" hidden="false" customHeight="false" outlineLevel="0" collapsed="false">
      <c r="A5604" s="0" t="s">
        <v>995</v>
      </c>
      <c r="B5604" s="0" t="s">
        <v>98</v>
      </c>
      <c r="C5604" s="6" t="n">
        <f aca="false">Sens!C5582*Sens!C5602/1000</f>
        <v>22.5333845916667</v>
      </c>
      <c r="D5604" s="6" t="n">
        <f aca="false">Sens!D5582*Sens!D5602/1000</f>
        <v>34.0300093833333</v>
      </c>
      <c r="E5604" s="6" t="n">
        <f aca="false">Sens!E5582*Sens!E5602/1000</f>
        <v>67.600153775</v>
      </c>
      <c r="F5604" s="6" t="n">
        <f aca="false">(Sens!F5582+Sens!F5603)*Sens!F5602/1000</f>
        <v>136.51872432512</v>
      </c>
      <c r="G5604" s="6" t="n">
        <f aca="false">(Sens!G5582+Sens!G5603)*Sens!G5602/1000</f>
        <v>157.399275932048</v>
      </c>
      <c r="H5604" s="6" t="n">
        <f aca="false">(Sens!H5582+Sens!H5603)*Sens!H5602/1000</f>
        <v>162.260804347512</v>
      </c>
      <c r="I5604" s="6" t="n">
        <f aca="false">(Sens!I5582+Sens!I5603)*Sens!I5602/1000</f>
        <v>144.136569485434</v>
      </c>
      <c r="J5604" s="6" t="n">
        <f aca="false">(Sens!J5582+Sens!J5603)*Sens!J5602/1000</f>
        <v>114.029037357864</v>
      </c>
      <c r="K5604" s="6" t="n">
        <f aca="false">(Sens!K5582+Sens!K5603)*Sens!K5602/1000</f>
        <v>113.437085350975</v>
      </c>
    </row>
    <row r="5605" customFormat="false" ht="17.15" hidden="false" customHeight="false" outlineLevel="0" collapsed="false">
      <c r="A5605" s="0" t="s">
        <v>996</v>
      </c>
      <c r="B5605" s="0" t="s">
        <v>98</v>
      </c>
      <c r="C5605" s="6" t="n">
        <f aca="false">Sens!C5582*self_build*tk_cxfac/1000</f>
        <v>6.2083</v>
      </c>
      <c r="D5605" s="6" t="n">
        <f aca="false">Sens!D5582*self_build*tk_cxfac/1000</f>
        <v>9.3758</v>
      </c>
      <c r="E5605" s="6" t="n">
        <f aca="false">Sens!E5582*self_build*tk_cxfac/1000</f>
        <v>18.6249</v>
      </c>
      <c r="F5605" s="6" t="n">
        <f aca="false">Sens!F5582*self_build*tk_cxfac/1000</f>
        <v>31.935179717</v>
      </c>
      <c r="G5605" s="6" t="n">
        <f aca="false">Sens!G5582*self_build*tk_cxfac/1000</f>
        <v>34.545199717</v>
      </c>
      <c r="H5605" s="6" t="n">
        <f aca="false">Sens!H5582*self_build*tk_cxfac/1000</f>
        <v>34.545199717</v>
      </c>
      <c r="I5605" s="6" t="n">
        <f aca="false">Sens!I5582*self_build*tk_cxfac/1000</f>
        <v>24.4782641361767</v>
      </c>
      <c r="J5605" s="6" t="n">
        <f aca="false">Sens!J5582*self_build*tk_cxfac/1000</f>
        <v>14.9008938380769</v>
      </c>
      <c r="K5605" s="6" t="n">
        <f aca="false">Sens!K5582*self_build*tk_cxfac/1000</f>
        <v>5.52576771375761</v>
      </c>
    </row>
    <row r="5606" customFormat="false" ht="17.15" hidden="false" customHeight="false" outlineLevel="0" collapsed="false">
      <c r="A5606" s="0" t="s">
        <v>997</v>
      </c>
      <c r="B5606" s="0" t="s">
        <v>98</v>
      </c>
      <c r="F5606" s="15" t="n">
        <f aca="false">capex_floor27-Sens!F5604-Sens!F5605-Sens!F5702</f>
        <v>0.0051957798213067</v>
      </c>
      <c r="L5606" s="12" t="s">
        <v>998</v>
      </c>
    </row>
    <row r="5607" customFormat="false" ht="17.15" hidden="false" customHeight="false" outlineLevel="0" collapsed="false">
      <c r="A5607" s="0" t="s">
        <v>999</v>
      </c>
      <c r="B5607" s="0" t="s">
        <v>98</v>
      </c>
      <c r="F5607" s="6" t="n">
        <f aca="false">MAX(0,Sens!F5606)</f>
        <v>0.0051957798213067</v>
      </c>
    </row>
    <row r="5608" customFormat="false" ht="17.15" hidden="false" customHeight="false" outlineLevel="0" collapsed="false">
      <c r="A5608" s="0" t="s">
        <v>1000</v>
      </c>
      <c r="B5608" s="0" t="s">
        <v>98</v>
      </c>
      <c r="C5608" s="6" t="n">
        <f aca="false">Sens!C5604</f>
        <v>22.5333845916667</v>
      </c>
      <c r="D5608" s="6" t="n">
        <f aca="false">Sens!D5604</f>
        <v>34.0300093833333</v>
      </c>
      <c r="E5608" s="6" t="n">
        <f aca="false">Sens!E5604</f>
        <v>67.600153775</v>
      </c>
      <c r="F5608" s="6" t="n">
        <f aca="false">Sens!F5604</f>
        <v>136.51872432512</v>
      </c>
      <c r="G5608" s="6" t="n">
        <f aca="false">Sens!G5604</f>
        <v>157.399275932048</v>
      </c>
      <c r="H5608" s="6" t="n">
        <f aca="false">Sens!H5604</f>
        <v>162.260804347512</v>
      </c>
      <c r="I5608" s="6" t="n">
        <f aca="false">Sens!I5604</f>
        <v>144.136569485434</v>
      </c>
      <c r="J5608" s="6" t="n">
        <f aca="false">Sens!J5604</f>
        <v>114.029037357864</v>
      </c>
      <c r="K5608" s="6" t="n">
        <f aca="false">Sens!K5604</f>
        <v>113.437085350975</v>
      </c>
    </row>
    <row r="5609" customFormat="false" ht="17.15" hidden="false" customHeight="false" outlineLevel="0" collapsed="false">
      <c r="A5609" s="0" t="s">
        <v>1001</v>
      </c>
      <c r="B5609" s="0" t="s">
        <v>98</v>
      </c>
      <c r="C5609" s="6" t="n">
        <f aca="false">Sens!C5608+Sens!C5605</f>
        <v>28.7416845916667</v>
      </c>
      <c r="D5609" s="6" t="n">
        <f aca="false">Sens!D5608+Sens!D5605</f>
        <v>43.4058093833333</v>
      </c>
      <c r="E5609" s="6" t="n">
        <f aca="false">Sens!E5608+Sens!E5605</f>
        <v>86.225053775</v>
      </c>
      <c r="F5609" s="6" t="n">
        <f aca="false">Sens!F5608+Sens!F5605</f>
        <v>168.45390404212</v>
      </c>
      <c r="G5609" s="6" t="n">
        <f aca="false">Sens!G5608+Sens!G5605</f>
        <v>191.944475649048</v>
      </c>
      <c r="H5609" s="6" t="n">
        <f aca="false">Sens!H5608+Sens!H5605</f>
        <v>196.806004064512</v>
      </c>
      <c r="I5609" s="6" t="n">
        <f aca="false">Sens!I5608+Sens!I5605</f>
        <v>168.61483362161</v>
      </c>
      <c r="J5609" s="6" t="n">
        <f aca="false">Sens!J5608+Sens!J5605</f>
        <v>128.92993119594</v>
      </c>
      <c r="K5609" s="6" t="n">
        <f aca="false">Sens!K5608+Sens!K5605</f>
        <v>118.962853064733</v>
      </c>
      <c r="L5609" s="12" t="s">
        <v>1002</v>
      </c>
    </row>
    <row r="5610" customFormat="false" ht="17.15" hidden="false" customHeight="false" outlineLevel="0" collapsed="false">
      <c r="A5610" s="0" t="s">
        <v>1003</v>
      </c>
      <c r="B5610" s="0" t="s">
        <v>98</v>
      </c>
      <c r="E5610" s="6" t="n">
        <f aca="false">(Sens!C5608*IF(2&lt;life_it,1,IF(2=life_it,0.5,0))+Sens!D5608*IF(1&lt;life_it,1,IF(1=life_it,0.5,0))+Sens!E5608*0.5)/life_it</f>
        <v>15.0605784770833</v>
      </c>
      <c r="F5610" s="6" t="n">
        <f aca="false">(Sens!C5608*IF(3&lt;life_it,1,IF(3=life_it,0.5,0))+Sens!D5608*IF(2&lt;life_it,1,IF(2=life_it,0.5,0))+Sens!E5608*IF(1&lt;life_it,1,IF(1=life_it,0.5,0))+Sens!F5608*0.5)/life_it</f>
        <v>32.0704849854266</v>
      </c>
      <c r="G5610" s="6" t="n">
        <f aca="false">(Sens!C5608*IF(4&lt;life_it,1,IF(4=life_it,0.5,0))+Sens!D5608*IF(3&lt;life_it,1,IF(3=life_it,0.5,0))+Sens!E5608*IF(2&lt;life_it,1,IF(2=life_it,0.5,0))+Sens!F5608*IF(1&lt;life_it,1,IF(1=life_it,0.5,0))+Sens!G5608*0.5)/life_it</f>
        <v>56.5636516735239</v>
      </c>
      <c r="H5610" s="6" t="n">
        <f aca="false">(Sens!C5608*IF(5&lt;life_it,1,IF(5=life_it,0.5,0))+Sens!D5608*IF(4&lt;life_it,1,IF(4=life_it,0.5,0))+Sens!E5608*IF(3&lt;life_it,1,IF(3=life_it,0.5,0))+Sens!F5608*IF(2&lt;life_it,1,IF(2=life_it,0.5,0))+Sens!G5608*IF(1&lt;life_it,1,IF(1=life_it,0.5,0))+Sens!H5608*0.5)/life_it</f>
        <v>83.2019916968207</v>
      </c>
      <c r="I5610" s="6" t="n">
        <f aca="false">(Sens!C5608*IF(6&lt;life_it,1,IF(6=life_it,0.5,0))+Sens!D5608*IF(5&lt;life_it,1,IF(5=life_it,0.5,0))+Sens!E5608*IF(4&lt;life_it,1,IF(4=life_it,0.5,0))+Sens!F5608*IF(3&lt;life_it,1,IF(3=life_it,0.5,0))+Sens!G5608*IF(2&lt;life_it,1,IF(2=life_it,0.5,0))+Sens!H5608*IF(1&lt;life_it,1,IF(1=life_it,0.5,0))+Sens!I5608*0.5)/life_it</f>
        <v>106.857324133594</v>
      </c>
      <c r="J5610" s="6" t="n">
        <f aca="false">(Sens!C5608*IF(7&lt;life_it,1,IF(7=life_it,0.5,0))+Sens!D5608*IF(6&lt;life_it,1,IF(6=life_it,0.5,0))+Sens!E5608*IF(5&lt;life_it,1,IF(5=life_it,0.5,0))+Sens!F5608*IF(4&lt;life_it,1,IF(4=life_it,0.5,0))+Sens!G5608*IF(3&lt;life_it,1,IF(3=life_it,0.5,0))+Sens!H5608*IF(2&lt;life_it,1,IF(2=life_it,0.5,0))+Sens!I5608*IF(1&lt;life_it,1,IF(1=life_it,0.5,0))+Sens!J5608*0.5)/life_it</f>
        <v>123.657508539285</v>
      </c>
      <c r="K5610" s="6" t="n">
        <f aca="false">(Sens!C5608*IF(8&lt;life_it,1,IF(8=life_it,0.5,0))+Sens!D5608*IF(7&lt;life_it,1,IF(7=life_it,0.5,0))+Sens!E5608*IF(6&lt;life_it,1,IF(6=life_it,0.5,0))+Sens!F5608*IF(5&lt;life_it,1,IF(5=life_it,0.5,0))+Sens!G5608*IF(4&lt;life_it,1,IF(4=life_it,0.5,0))+Sens!H5608*IF(3&lt;life_it,1,IF(3=life_it,0.5,0))+Sens!I5608*IF(2&lt;life_it,1,IF(2=life_it,0.5,0))+Sens!J5608*IF(1&lt;life_it,1,IF(1=life_it,0.5,0))+Sens!K5608*0.5)/life_it</f>
        <v>134.143838501827</v>
      </c>
    </row>
    <row r="5611" customFormat="false" ht="17.15" hidden="false" customHeight="false" outlineLevel="0" collapsed="false">
      <c r="A5611" s="0" t="s">
        <v>1004</v>
      </c>
      <c r="B5611" s="0" t="s">
        <v>98</v>
      </c>
      <c r="E5611" s="6" t="n">
        <f aca="false">(Sens!C5605*IF(2&lt;life_fac,1,IF(2=life_fac,0.5,0))+Sens!D5605*IF(1&lt;life_fac,1,IF(1=life_fac,0.5,0))+Sens!E5605*0.5)/life_fac</f>
        <v>1.2448275</v>
      </c>
      <c r="F5611" s="6" t="n">
        <f aca="false">(Sens!C5605*IF(3&lt;life_fac,1,IF(3=life_fac,0.5,0))+Sens!D5605*IF(2&lt;life_fac,1,IF(2=life_fac,0.5,0))+Sens!E5605*IF(1&lt;life_fac,1,IF(1=life_fac,0.5,0))+Sens!F5605*0.5)/life_fac</f>
        <v>2.508829492925</v>
      </c>
      <c r="G5611" s="6" t="n">
        <f aca="false">(Sens!C5605*IF(4&lt;life_fac,1,IF(4=life_fac,0.5,0))+Sens!D5605*IF(3&lt;life_fac,1,IF(3=life_fac,0.5,0))+Sens!E5605*IF(2&lt;life_fac,1,IF(2=life_fac,0.5,0))+Sens!F5605*IF(1&lt;life_fac,1,IF(1=life_fac,0.5,0))+Sens!G5605*0.5)/life_fac</f>
        <v>4.170838978775</v>
      </c>
      <c r="H5611" s="6" t="n">
        <f aca="false">(Sens!C5605*IF(5&lt;life_fac,1,IF(5=life_fac,0.5,0))+Sens!D5605*IF(4&lt;life_fac,1,IF(4=life_fac,0.5,0))+Sens!E5605*IF(3&lt;life_fac,1,IF(3=life_fac,0.5,0))+Sens!F5605*IF(2&lt;life_fac,1,IF(2=life_fac,0.5,0))+Sens!G5605*IF(1&lt;life_fac,1,IF(1=life_fac,0.5,0))+Sens!H5605*0.5)/life_fac</f>
        <v>5.898098964625</v>
      </c>
      <c r="I5611" s="6" t="n">
        <f aca="false">(Sens!C5605*IF(6&lt;life_fac,1,IF(6=life_fac,0.5,0))+Sens!D5605*IF(5&lt;life_fac,1,IF(5=life_fac,0.5,0))+Sens!E5605*IF(4&lt;life_fac,1,IF(4=life_fac,0.5,0))+Sens!F5605*IF(3&lt;life_fac,1,IF(3=life_fac,0.5,0))+Sens!G5605*IF(2&lt;life_fac,1,IF(2=life_fac,0.5,0))+Sens!H5605*IF(1&lt;life_fac,1,IF(1=life_fac,0.5,0))+Sens!I5605*0.5)/life_fac</f>
        <v>7.37368556095442</v>
      </c>
      <c r="J5611" s="6" t="n">
        <f aca="false">(Sens!C5605*IF(7&lt;life_fac,1,IF(7=life_fac,0.5,0))+Sens!D5605*IF(6&lt;life_fac,1,IF(6=life_fac,0.5,0))+Sens!E5605*IF(5&lt;life_fac,1,IF(5=life_fac,0.5,0))+Sens!F5605*IF(4&lt;life_fac,1,IF(4=life_fac,0.5,0))+Sens!G5605*IF(3&lt;life_fac,1,IF(3=life_fac,0.5,0))+Sens!H5605*IF(2&lt;life_fac,1,IF(2=life_fac,0.5,0))+Sens!I5605*IF(1&lt;life_fac,1,IF(1=life_fac,0.5,0))+Sens!J5605*0.5)/life_fac</f>
        <v>8.35816451031075</v>
      </c>
      <c r="K5611" s="6" t="n">
        <f aca="false">(Sens!C5605*IF(8&lt;life_fac,1,IF(8=life_fac,0.5,0))+Sens!D5605*IF(7&lt;life_fac,1,IF(7=life_fac,0.5,0))+Sens!E5605*IF(6&lt;life_fac,1,IF(6=life_fac,0.5,0))+Sens!F5605*IF(5&lt;life_fac,1,IF(5=life_fac,0.5,0))+Sens!G5605*IF(4&lt;life_fac,1,IF(4=life_fac,0.5,0))+Sens!H5605*IF(3&lt;life_fac,1,IF(3=life_fac,0.5,0))+Sens!I5605*IF(2&lt;life_fac,1,IF(2=life_fac,0.5,0))+Sens!J5605*IF(1&lt;life_fac,1,IF(1=life_fac,0.5,0))+Sens!K5605*0.5)/life_fac</f>
        <v>8.86883104910662</v>
      </c>
    </row>
    <row r="5612" customFormat="false" ht="17.15" hidden="false" customHeight="false" outlineLevel="0" collapsed="false">
      <c r="A5612" s="0" t="s">
        <v>1005</v>
      </c>
      <c r="B5612" s="0" t="s">
        <v>98</v>
      </c>
      <c r="E5612" s="6" t="n">
        <f aca="false">Sens!E5610+Sens!E5611</f>
        <v>16.3054059770833</v>
      </c>
      <c r="F5612" s="6" t="n">
        <f aca="false">Sens!F5610+Sens!F5611</f>
        <v>34.5793144783516</v>
      </c>
      <c r="G5612" s="6" t="n">
        <f aca="false">Sens!G5610+Sens!G5611</f>
        <v>60.7344906522989</v>
      </c>
      <c r="H5612" s="6" t="n">
        <f aca="false">Sens!H5610+Sens!H5611</f>
        <v>89.1000906614457</v>
      </c>
      <c r="I5612" s="6" t="n">
        <f aca="false">Sens!I5610+Sens!I5611</f>
        <v>114.231009694548</v>
      </c>
      <c r="J5612" s="6" t="n">
        <f aca="false">Sens!J5610+Sens!J5611</f>
        <v>132.015673049596</v>
      </c>
      <c r="K5612" s="6" t="n">
        <f aca="false">Sens!K5610+Sens!K5611</f>
        <v>143.012669550934</v>
      </c>
    </row>
    <row r="5613" customFormat="false" ht="17.15" hidden="false" customHeight="false" outlineLevel="0" collapsed="false">
      <c r="A5613" s="0" t="s">
        <v>1006</v>
      </c>
      <c r="B5613" s="0" t="s">
        <v>98</v>
      </c>
      <c r="E5613" s="6" t="n">
        <f aca="false">Sens!E5600-Sens!E5599*Sens!E5612</f>
        <v>8.92707889977379</v>
      </c>
      <c r="F5613" s="6" t="n">
        <f aca="false">Sens!F5600-Sens!F5599*Sens!F5612</f>
        <v>21.5035782377129</v>
      </c>
      <c r="G5613" s="6" t="n">
        <f aca="false">Sens!G5600-Sens!G5599*Sens!G5612</f>
        <v>41.0392698946041</v>
      </c>
      <c r="H5613" s="6" t="n">
        <f aca="false">Sens!H5600-Sens!H5599*Sens!H5612</f>
        <v>65.6317567249687</v>
      </c>
      <c r="I5613" s="6" t="n">
        <f aca="false">Sens!I5600-Sens!I5599*Sens!I5612</f>
        <v>81.7792133032787</v>
      </c>
      <c r="J5613" s="6" t="n">
        <f aca="false">Sens!J5600-Sens!J5599*Sens!J5612</f>
        <v>92.7925845381148</v>
      </c>
      <c r="K5613" s="6" t="n">
        <f aca="false">Sens!K5600-Sens!K5599*Sens!K5612</f>
        <v>99.587261421537</v>
      </c>
    </row>
    <row r="5614" customFormat="false" ht="17.15" hidden="false" customHeight="false" outlineLevel="0" collapsed="false">
      <c r="A5614" s="3" t="s">
        <v>1751</v>
      </c>
    </row>
    <row r="5615" customFormat="false" ht="15" hidden="false" customHeight="false" outlineLevel="0" collapsed="false">
      <c r="A5615" s="4" t="s">
        <v>43</v>
      </c>
      <c r="B5615" s="4" t="s">
        <v>65</v>
      </c>
      <c r="C5615" s="23" t="s">
        <v>942</v>
      </c>
      <c r="D5615" s="23" t="s">
        <v>943</v>
      </c>
      <c r="E5615" s="23" t="s">
        <v>944</v>
      </c>
      <c r="F5615" s="23" t="s">
        <v>945</v>
      </c>
      <c r="G5615" s="23" t="s">
        <v>946</v>
      </c>
      <c r="H5615" s="23" t="s">
        <v>947</v>
      </c>
      <c r="I5615" s="23" t="s">
        <v>948</v>
      </c>
      <c r="J5615" s="23" t="s">
        <v>949</v>
      </c>
      <c r="K5615" s="23" t="s">
        <v>950</v>
      </c>
      <c r="L5615" s="4" t="s">
        <v>47</v>
      </c>
    </row>
    <row r="5616" customFormat="false" ht="17.15" hidden="false" customHeight="false" outlineLevel="0" collapsed="false">
      <c r="A5616" s="0" t="s">
        <v>1025</v>
      </c>
      <c r="B5616" s="0" t="s">
        <v>98</v>
      </c>
      <c r="D5616" s="6" t="n">
        <f aca="false">Sens!D5594</f>
        <v>12.9359794422418</v>
      </c>
      <c r="E5616" s="6" t="n">
        <f aca="false">Sens!E5594</f>
        <v>27.8095064661409</v>
      </c>
      <c r="F5616" s="6" t="n">
        <f aca="false">Sens!F5594</f>
        <v>58.1383740769362</v>
      </c>
      <c r="G5616" s="6" t="n">
        <f aca="false">Sens!G5594</f>
        <v>101.211015816229</v>
      </c>
      <c r="H5616" s="6" t="n">
        <f aca="false">Sens!H5594</f>
        <v>150.10076677927</v>
      </c>
      <c r="I5616" s="6" t="n">
        <f aca="false">Sens!I5594</f>
        <v>187.626325280047</v>
      </c>
      <c r="J5616" s="6" t="n">
        <f aca="false">Sens!J5594</f>
        <v>213.598422398938</v>
      </c>
      <c r="K5616" s="6" t="n">
        <f aca="false">Sens!K5594</f>
        <v>229.42532331516</v>
      </c>
    </row>
    <row r="5617" customFormat="false" ht="17.15" hidden="false" customHeight="false" outlineLevel="0" collapsed="false">
      <c r="A5617" s="0" t="s">
        <v>1026</v>
      </c>
      <c r="B5617" s="0" t="s">
        <v>98</v>
      </c>
      <c r="D5617" s="6" t="n">
        <f aca="false">Q!L6-Sens!D5616</f>
        <v>59.6740205577583</v>
      </c>
      <c r="E5617" s="6" t="n">
        <f aca="false">Q!M6-Sens!E5616</f>
        <v>74.1284935338591</v>
      </c>
      <c r="F5617" s="6" t="n">
        <f aca="false">Q!$I$6+(Sens!F5616+Sens!E5617*(1+Sens!F5618))*(1-Q!$E$6/Q!M6)-Sens!F5616</f>
        <v>90.6985101342806</v>
      </c>
      <c r="G5617" s="6" t="n">
        <f aca="false">Sens!F5617*(1+Sens!G5618)</f>
        <v>107.763367278299</v>
      </c>
      <c r="H5617" s="6" t="n">
        <f aca="false">Sens!G5617*(1+Sens!H5618)</f>
        <v>125.125332605231</v>
      </c>
      <c r="I5617" s="6" t="n">
        <f aca="false">Sens!H5617*(1+Sens!I5618)</f>
        <v>141.901464987608</v>
      </c>
      <c r="J5617" s="6" t="n">
        <f aca="false">Sens!I5617*(1+Sens!J5618)</f>
        <v>157.090216629839</v>
      </c>
      <c r="K5617" s="6" t="n">
        <f aca="false">Sens!J5617*(1+Sens!K5618)</f>
        <v>169.657433960226</v>
      </c>
      <c r="L5617" s="12" t="s">
        <v>1027</v>
      </c>
    </row>
    <row r="5618" customFormat="false" ht="15" hidden="false" customHeight="false" outlineLevel="0" collapsed="false">
      <c r="A5618" s="1" t="s">
        <v>1028</v>
      </c>
      <c r="B5618" s="0" t="s">
        <v>168</v>
      </c>
      <c r="E5618" s="7" t="n">
        <f aca="false">Sens!E5617/Sens!D5617-1</f>
        <v>0.242223883039864</v>
      </c>
      <c r="F5618" s="7" t="n">
        <f aca="false">Sens!$E$5618+(glt_azo-Sens!$E$5618)*MIN(1,(Sens!F5575-base_fy)/n_conv)</f>
        <v>0.215186569199887</v>
      </c>
      <c r="G5618" s="7" t="n">
        <f aca="false">Sens!$E$5618+(glt_azo-Sens!$E$5618)*MIN(1,(Sens!G5575-base_fy)/n_conv)</f>
        <v>0.18814925535991</v>
      </c>
      <c r="H5618" s="7" t="n">
        <f aca="false">Sens!$E$5618+(glt_azo-Sens!$E$5618)*MIN(1,(Sens!H5575-base_fy)/n_conv)</f>
        <v>0.161111941519932</v>
      </c>
      <c r="I5618" s="7" t="n">
        <f aca="false">Sens!$E$5618+(glt_azo-Sens!$E$5618)*MIN(1,(Sens!I5575-base_fy)/n_conv)</f>
        <v>0.134074627679955</v>
      </c>
      <c r="J5618" s="7" t="n">
        <f aca="false">Sens!$E$5618+(glt_azo-Sens!$E$5618)*MIN(1,(Sens!J5575-base_fy)/n_conv)</f>
        <v>0.107037313839977</v>
      </c>
      <c r="K5618" s="7" t="n">
        <f aca="false">Sens!$E$5618+(glt_azo-Sens!$E$5618)*MIN(1,(Sens!K5575-base_fy)/n_conv)</f>
        <v>0.08</v>
      </c>
    </row>
    <row r="5619" customFormat="false" ht="15" hidden="false" customHeight="false" outlineLevel="0" collapsed="false">
      <c r="A5619" s="0" t="s">
        <v>1029</v>
      </c>
      <c r="B5619" s="0" t="s">
        <v>98</v>
      </c>
      <c r="D5619" s="6" t="n">
        <f aca="false">Sens!D5616+Sens!D5617</f>
        <v>72.61</v>
      </c>
      <c r="E5619" s="6" t="n">
        <f aca="false">Sens!E5616+Sens!E5617</f>
        <v>101.938</v>
      </c>
      <c r="F5619" s="6" t="n">
        <f aca="false">Sens!F5616+Sens!F5617</f>
        <v>148.836884211217</v>
      </c>
      <c r="G5619" s="6" t="n">
        <f aca="false">Sens!G5616+Sens!G5617</f>
        <v>208.974383094528</v>
      </c>
      <c r="H5619" s="6" t="n">
        <f aca="false">Sens!H5616+Sens!H5617</f>
        <v>275.226099384501</v>
      </c>
      <c r="I5619" s="6" t="n">
        <f aca="false">Sens!I5616+Sens!I5617</f>
        <v>329.527790267655</v>
      </c>
      <c r="J5619" s="6" t="n">
        <f aca="false">Sens!J5616+Sens!J5617</f>
        <v>370.688639028777</v>
      </c>
      <c r="K5619" s="6" t="n">
        <f aca="false">Sens!K5616+Sens!K5617</f>
        <v>399.082757275386</v>
      </c>
    </row>
    <row r="5620" customFormat="false" ht="17.15" hidden="false" customHeight="false" outlineLevel="0" collapsed="false">
      <c r="A5620" s="0" t="s">
        <v>1030</v>
      </c>
      <c r="B5620" s="1" t="s">
        <v>613</v>
      </c>
      <c r="C5620" s="30" t="n">
        <f aca="false">cop_s24</f>
        <v>1</v>
      </c>
      <c r="D5620" s="30" t="n">
        <f aca="false">cop_s25</f>
        <v>5</v>
      </c>
      <c r="E5620" s="30" t="n">
        <f aca="false">cop_s26</f>
        <v>30</v>
      </c>
      <c r="F5620" s="30" t="n">
        <f aca="false">Sens!E5620+cop_add_A</f>
        <v>60</v>
      </c>
      <c r="G5620" s="30" t="n">
        <f aca="false">Sens!F5620+cop_add_A</f>
        <v>90</v>
      </c>
      <c r="H5620" s="30" t="n">
        <f aca="false">Sens!G5620+cop_add_A</f>
        <v>120</v>
      </c>
      <c r="I5620" s="30" t="n">
        <f aca="false">Sens!H5620+cop_add_A*cop_tail</f>
        <v>135</v>
      </c>
      <c r="J5620" s="30" t="n">
        <f aca="false">Sens!I5620+cop_add_A*cop_tail</f>
        <v>150</v>
      </c>
      <c r="K5620" s="30" t="n">
        <f aca="false">Sens!J5620+cop_add_A*cop_tail</f>
        <v>165</v>
      </c>
      <c r="L5620" s="12" t="s">
        <v>1031</v>
      </c>
    </row>
    <row r="5621" customFormat="false" ht="17.15" hidden="false" customHeight="false" outlineLevel="0" collapsed="false">
      <c r="A5621" s="0" t="s">
        <v>1032</v>
      </c>
      <c r="B5621" s="0" t="s">
        <v>98</v>
      </c>
      <c r="D5621" s="6" t="n">
        <f aca="false">(Sens!C5620+Sens!D5620)/2*cop_px*12/1000</f>
        <v>0.9</v>
      </c>
      <c r="E5621" s="6" t="n">
        <f aca="false">(Sens!D5620+Sens!E5620)/2*cop_px*12/1000</f>
        <v>5.25</v>
      </c>
      <c r="F5621" s="6" t="n">
        <f aca="false">(Sens!E5620+Sens!F5620)/2*cop_px*12/1000</f>
        <v>13.5</v>
      </c>
      <c r="G5621" s="6" t="n">
        <f aca="false">(Sens!F5620+Sens!G5620)/2*cop_px*12/1000</f>
        <v>22.5</v>
      </c>
      <c r="H5621" s="6" t="n">
        <f aca="false">(Sens!G5620+Sens!H5620)/2*cop_px*12/1000</f>
        <v>31.5</v>
      </c>
      <c r="I5621" s="6" t="n">
        <f aca="false">(Sens!H5620+Sens!I5620)/2*cop_px*12/1000</f>
        <v>38.25</v>
      </c>
      <c r="J5621" s="6" t="n">
        <f aca="false">(Sens!I5620+Sens!J5620)/2*cop_px*12/1000</f>
        <v>42.75</v>
      </c>
      <c r="K5621" s="6" t="n">
        <f aca="false">(Sens!J5620+Sens!K5620)/2*cop_px*12/1000</f>
        <v>47.25</v>
      </c>
      <c r="L5621" s="1" t="s">
        <v>1033</v>
      </c>
    </row>
    <row r="5622" customFormat="false" ht="17.15" hidden="false" customHeight="false" outlineLevel="0" collapsed="false">
      <c r="A5622" s="0" t="s">
        <v>1034</v>
      </c>
      <c r="B5622" s="0" t="s">
        <v>98</v>
      </c>
      <c r="D5622" s="6" t="n">
        <f aca="false">Q!L7-Sens!D5621</f>
        <v>83.705</v>
      </c>
      <c r="E5622" s="6" t="n">
        <f aca="false">Q!M7-Sens!E5621</f>
        <v>95.049</v>
      </c>
      <c r="F5622" s="6" t="n">
        <f aca="false">Q!$I$7+(Sens!E5622*(1+Sens!F5623)+Sens!F5621)*(1-Q!$E$7/Q!M7)-Sens!F5621</f>
        <v>106.229653205718</v>
      </c>
      <c r="G5622" s="6" t="n">
        <f aca="false">Sens!F5622*(1+Sens!G5623)</f>
        <v>118.306092647576</v>
      </c>
      <c r="H5622" s="6" t="n">
        <f aca="false">Sens!G5622*(1+Sens!H5623)</f>
        <v>130.463437602768</v>
      </c>
      <c r="I5622" s="6" t="n">
        <f aca="false">Sens!H5622*(1+Sens!I5623)</f>
        <v>142.445354741933</v>
      </c>
      <c r="J5622" s="6" t="n">
        <f aca="false">Sens!I5622*(1+Sens!J5623)</f>
        <v>153.972117481571</v>
      </c>
      <c r="K5622" s="6" t="n">
        <f aca="false">Sens!J5622*(1+Sens!K5623)</f>
        <v>164.75016570528</v>
      </c>
      <c r="L5622" s="12" t="s">
        <v>1035</v>
      </c>
    </row>
    <row r="5623" customFormat="false" ht="15" hidden="false" customHeight="false" outlineLevel="0" collapsed="false">
      <c r="A5623" s="1" t="s">
        <v>1028</v>
      </c>
      <c r="B5623" s="0" t="s">
        <v>168</v>
      </c>
      <c r="E5623" s="7" t="n">
        <f aca="false">Sens!E5622/Sens!D5622-1</f>
        <v>0.135523564900544</v>
      </c>
      <c r="F5623" s="7" t="n">
        <f aca="false">Sens!$E$5623+(glt_m365b-Sens!$E$5623)*MIN(1,(Sens!F5575-base_fy)/n_conv)</f>
        <v>0.124602970750453</v>
      </c>
      <c r="G5623" s="7" t="n">
        <f aca="false">Sens!$E$5623+(glt_m365b-Sens!$E$5623)*MIN(1,(Sens!G5575-base_fy)/n_conv)</f>
        <v>0.113682376600363</v>
      </c>
      <c r="H5623" s="7" t="n">
        <f aca="false">Sens!$E$5623+(glt_m365b-Sens!$E$5623)*MIN(1,(Sens!H5575-base_fy)/n_conv)</f>
        <v>0.102761782450272</v>
      </c>
      <c r="I5623" s="7" t="n">
        <f aca="false">Sens!$E$5623+(glt_m365b-Sens!$E$5623)*MIN(1,(Sens!I5575-base_fy)/n_conv)</f>
        <v>0.0918411883001813</v>
      </c>
      <c r="J5623" s="7" t="n">
        <f aca="false">Sens!$E$5623+(glt_m365b-Sens!$E$5623)*MIN(1,(Sens!J5575-base_fy)/n_conv)</f>
        <v>0.0809205941500906</v>
      </c>
      <c r="K5623" s="7" t="n">
        <f aca="false">Sens!$E$5623+(glt_m365b-Sens!$E$5623)*MIN(1,(Sens!K5575-base_fy)/n_conv)</f>
        <v>0.07</v>
      </c>
    </row>
    <row r="5624" customFormat="false" ht="15" hidden="false" customHeight="false" outlineLevel="0" collapsed="false">
      <c r="A5624" s="0" t="s">
        <v>1036</v>
      </c>
      <c r="B5624" s="0" t="s">
        <v>98</v>
      </c>
      <c r="D5624" s="6" t="n">
        <f aca="false">Sens!D5622+Sens!D5621</f>
        <v>84.605</v>
      </c>
      <c r="E5624" s="6" t="n">
        <f aca="false">Sens!E5622+Sens!E5621</f>
        <v>100.299</v>
      </c>
      <c r="F5624" s="6" t="n">
        <f aca="false">Sens!F5622+Sens!F5621</f>
        <v>119.729653205718</v>
      </c>
      <c r="G5624" s="6" t="n">
        <f aca="false">Sens!G5622+Sens!G5621</f>
        <v>140.806092647576</v>
      </c>
      <c r="H5624" s="6" t="n">
        <f aca="false">Sens!H5622+Sens!H5621</f>
        <v>161.963437602768</v>
      </c>
      <c r="I5624" s="6" t="n">
        <f aca="false">Sens!I5622+Sens!I5621</f>
        <v>180.695354741933</v>
      </c>
      <c r="J5624" s="6" t="n">
        <f aca="false">Sens!J5622+Sens!J5621</f>
        <v>196.722117481571</v>
      </c>
      <c r="K5624" s="6" t="n">
        <f aca="false">Sens!K5622+Sens!K5621</f>
        <v>212.00016570528</v>
      </c>
    </row>
    <row r="5625" customFormat="false" ht="17.15" hidden="false" customHeight="false" outlineLevel="0" collapsed="false">
      <c r="A5625" s="0" t="s">
        <v>1037</v>
      </c>
      <c r="B5625" s="0" t="s">
        <v>98</v>
      </c>
      <c r="D5625" s="6" t="n">
        <f aca="false">Q!L8</f>
        <v>35.391</v>
      </c>
      <c r="E5625" s="6" t="n">
        <f aca="false">Q!M8</f>
        <v>37.285</v>
      </c>
      <c r="F5625" s="6" t="n">
        <f aca="false">Q!$I$8+(Q!M8-Q!$E$8)*(1+Sens!F5626)</f>
        <v>38.3851437782675</v>
      </c>
      <c r="G5625" s="6" t="n">
        <f aca="false">Sens!F5625*(1+Sens!G5626)</f>
        <v>40.0105353288615</v>
      </c>
      <c r="H5625" s="6" t="n">
        <f aca="false">Sens!G5625*(1+Sens!H5626)</f>
        <v>41.4812512033683</v>
      </c>
      <c r="I5625" s="6" t="n">
        <f aca="false">Sens!H5625*(1+Sens!I5626)</f>
        <v>42.7743107216329</v>
      </c>
      <c r="J5625" s="6" t="n">
        <f aca="false">Sens!I5625*(1+Sens!J5626)</f>
        <v>43.8687373064601</v>
      </c>
      <c r="K5625" s="6" t="n">
        <f aca="false">Sens!J5625*(1+Sens!K5626)</f>
        <v>44.7461120525893</v>
      </c>
      <c r="L5625" s="12" t="s">
        <v>1038</v>
      </c>
    </row>
    <row r="5626" customFormat="false" ht="15" hidden="false" customHeight="false" outlineLevel="0" collapsed="false">
      <c r="A5626" s="1" t="s">
        <v>1028</v>
      </c>
      <c r="B5626" s="0" t="s">
        <v>168</v>
      </c>
      <c r="E5626" s="7" t="n">
        <f aca="false">Sens!E5625/Sens!D5625-1</f>
        <v>0.0535164307309768</v>
      </c>
      <c r="F5626" s="7" t="n">
        <f aca="false">Sens!$E$5626+(glt_lic-Sens!$E$5626)*MIN(1,(Sens!F5575-base_fy)/n_conv)</f>
        <v>0.0479303589424807</v>
      </c>
      <c r="G5626" s="7" t="n">
        <f aca="false">Sens!$E$5626+(glt_lic-Sens!$E$5626)*MIN(1,(Sens!G5575-base_fy)/n_conv)</f>
        <v>0.0423442871539845</v>
      </c>
      <c r="H5626" s="7" t="n">
        <f aca="false">Sens!$E$5626+(glt_lic-Sens!$E$5626)*MIN(1,(Sens!H5575-base_fy)/n_conv)</f>
        <v>0.0367582153654884</v>
      </c>
      <c r="I5626" s="7" t="n">
        <f aca="false">Sens!$E$5626+(glt_lic-Sens!$E$5626)*MIN(1,(Sens!I5575-base_fy)/n_conv)</f>
        <v>0.0311721435769923</v>
      </c>
      <c r="J5626" s="7" t="n">
        <f aca="false">Sens!$E$5626+(glt_lic-Sens!$E$5626)*MIN(1,(Sens!J5575-base_fy)/n_conv)</f>
        <v>0.0255860717884961</v>
      </c>
      <c r="K5626" s="7" t="n">
        <f aca="false">Sens!$E$5626+(glt_lic-Sens!$E$5626)*MIN(1,(Sens!K5575-base_fy)/n_conv)</f>
        <v>0.02</v>
      </c>
    </row>
    <row r="5627" customFormat="false" ht="17.15" hidden="false" customHeight="false" outlineLevel="0" collapsed="false">
      <c r="A5627" s="0" t="s">
        <v>1039</v>
      </c>
      <c r="B5627" s="0" t="s">
        <v>98</v>
      </c>
      <c r="D5627" s="6" t="n">
        <f aca="false">Q!L9</f>
        <v>18.417</v>
      </c>
      <c r="E5627" s="6" t="n">
        <f aca="false">Q!M9</f>
        <v>20.345</v>
      </c>
      <c r="F5627" s="6" t="n">
        <f aca="false">Q!$I$9+(Q!M9-Q!$E$9)*(1+Sens!F5628)</f>
        <v>22.3161797133988</v>
      </c>
      <c r="G5627" s="6" t="n">
        <f aca="false">Sens!F5627*(1+Sens!G5628)</f>
        <v>24.3943499673233</v>
      </c>
      <c r="H5627" s="6" t="n">
        <f aca="false">Sens!G5627*(1+Sens!H5628)</f>
        <v>26.5250243109019</v>
      </c>
      <c r="I5627" s="6" t="n">
        <f aca="false">Sens!H5627*(1+Sens!I5628)</f>
        <v>28.6884573538181</v>
      </c>
      <c r="J5627" s="6" t="n">
        <f aca="false">Sens!I5627*(1+Sens!J5628)</f>
        <v>30.8624968052127</v>
      </c>
      <c r="K5627" s="6" t="n">
        <f aca="false">Sens!J5627*(1+Sens!K5628)</f>
        <v>33.0228715815776</v>
      </c>
      <c r="L5627" s="12" t="s">
        <v>1038</v>
      </c>
    </row>
    <row r="5628" customFormat="false" ht="15" hidden="false" customHeight="false" outlineLevel="0" collapsed="false">
      <c r="A5628" s="1" t="s">
        <v>1028</v>
      </c>
      <c r="B5628" s="0" t="s">
        <v>168</v>
      </c>
      <c r="E5628" s="7" t="n">
        <f aca="false">Sens!E5627/Sens!D5627-1</f>
        <v>0.104685888038225</v>
      </c>
      <c r="F5628" s="7" t="n">
        <f aca="false">Sens!$E$5628+(glt_ind-Sens!$E$5628)*MIN(1,(Sens!F5575-base_fy)/n_conv)</f>
        <v>0.0989049066985211</v>
      </c>
      <c r="G5628" s="7" t="n">
        <f aca="false">Sens!$E$5628+(glt_ind-Sens!$E$5628)*MIN(1,(Sens!G5575-base_fy)/n_conv)</f>
        <v>0.0931239253588169</v>
      </c>
      <c r="H5628" s="7" t="n">
        <f aca="false">Sens!$E$5628+(glt_ind-Sens!$E$5628)*MIN(1,(Sens!H5575-base_fy)/n_conv)</f>
        <v>0.0873429440191127</v>
      </c>
      <c r="I5628" s="7" t="n">
        <f aca="false">Sens!$E$5628+(glt_ind-Sens!$E$5628)*MIN(1,(Sens!I5575-base_fy)/n_conv)</f>
        <v>0.0815619626794085</v>
      </c>
      <c r="J5628" s="7" t="n">
        <f aca="false">Sens!$E$5628+(glt_ind-Sens!$E$5628)*MIN(1,(Sens!J5575-base_fy)/n_conv)</f>
        <v>0.0757809813397042</v>
      </c>
      <c r="K5628" s="7" t="n">
        <f aca="false">Sens!$E$5628+(glt_ind-Sens!$E$5628)*MIN(1,(Sens!K5575-base_fy)/n_conv)</f>
        <v>0.07</v>
      </c>
    </row>
    <row r="5629" customFormat="false" ht="17.15" hidden="false" customHeight="false" outlineLevel="0" collapsed="false">
      <c r="A5629" s="0" t="s">
        <v>1040</v>
      </c>
      <c r="B5629" s="0" t="s">
        <v>98</v>
      </c>
      <c r="D5629" s="6" t="n">
        <f aca="false">Q!L10</f>
        <v>7.76</v>
      </c>
      <c r="E5629" s="6" t="n">
        <f aca="false">Q!M10</f>
        <v>8.26</v>
      </c>
      <c r="F5629" s="6" t="n">
        <f aca="false">Q!$I$10+(Q!M10-Q!$E$10)*(1+Sens!F5630)</f>
        <v>8.75372082474227</v>
      </c>
      <c r="G5629" s="6" t="n">
        <f aca="false">Sens!F5629*(1+Sens!G5630)</f>
        <v>9.33399324642364</v>
      </c>
      <c r="H5629" s="6" t="n">
        <f aca="false">Sens!G5629*(1+Sens!H5630)</f>
        <v>9.96139155535851</v>
      </c>
      <c r="I5629" s="6" t="n">
        <f aca="false">Sens!H5629*(1+Sens!I5630)</f>
        <v>10.6402039077391</v>
      </c>
      <c r="J5629" s="6" t="n">
        <f aca="false">Sens!I5629*(1+Sens!J5630)</f>
        <v>11.3751458271397</v>
      </c>
      <c r="K5629" s="6" t="n">
        <f aca="false">Sens!J5629*(1+Sens!K5630)</f>
        <v>12.1714060350394</v>
      </c>
      <c r="L5629" s="12" t="s">
        <v>1038</v>
      </c>
    </row>
    <row r="5630" customFormat="false" ht="15" hidden="false" customHeight="false" outlineLevel="0" collapsed="false">
      <c r="A5630" s="1" t="s">
        <v>1028</v>
      </c>
      <c r="B5630" s="0" t="s">
        <v>168</v>
      </c>
      <c r="E5630" s="7" t="n">
        <f aca="false">Sens!E5629/Sens!D5629-1</f>
        <v>0.0644329896907216</v>
      </c>
      <c r="F5630" s="7" t="n">
        <f aca="false">Sens!$E$5630+(glt_fro-Sens!$E$5630)*MIN(1,(Sens!F5575-base_fy)/n_conv)</f>
        <v>0.065360824742268</v>
      </c>
      <c r="G5630" s="7" t="n">
        <f aca="false">Sens!$E$5630+(glt_fro-Sens!$E$5630)*MIN(1,(Sens!G5575-base_fy)/n_conv)</f>
        <v>0.0662886597938144</v>
      </c>
      <c r="H5630" s="7" t="n">
        <f aca="false">Sens!$E$5630+(glt_fro-Sens!$E$5630)*MIN(1,(Sens!H5575-base_fy)/n_conv)</f>
        <v>0.0672164948453608</v>
      </c>
      <c r="I5630" s="7" t="n">
        <f aca="false">Sens!$E$5630+(glt_fro-Sens!$E$5630)*MIN(1,(Sens!I5575-base_fy)/n_conv)</f>
        <v>0.0681443298969072</v>
      </c>
      <c r="J5630" s="7" t="n">
        <f aca="false">Sens!$E$5630+(glt_fro-Sens!$E$5630)*MIN(1,(Sens!J5575-base_fy)/n_conv)</f>
        <v>0.0690721649484536</v>
      </c>
      <c r="K5630" s="7" t="n">
        <f aca="false">Sens!$E$5630+(glt_fro-Sens!$E$5630)*MIN(1,(Sens!K5575-base_fy)/n_conv)</f>
        <v>0.07</v>
      </c>
    </row>
    <row r="5631" customFormat="false" ht="15" hidden="false" customHeight="false" outlineLevel="0" collapsed="false">
      <c r="A5631" s="0" t="s">
        <v>856</v>
      </c>
      <c r="B5631" s="0" t="s">
        <v>98</v>
      </c>
      <c r="D5631" s="6" t="n">
        <f aca="false">Sens!D5619+Sens!D5624+Sens!D5625+Sens!D5627+Sens!D5629</f>
        <v>218.783</v>
      </c>
      <c r="E5631" s="6" t="n">
        <f aca="false">Sens!E5619+Sens!E5624+Sens!E5625+Sens!E5627+Sens!E5629</f>
        <v>268.127</v>
      </c>
      <c r="F5631" s="6" t="n">
        <f aca="false">Sens!F5619+Sens!F5624+Sens!F5625+Sens!F5627+Sens!F5629</f>
        <v>338.021581733343</v>
      </c>
      <c r="G5631" s="6" t="n">
        <f aca="false">Sens!G5619+Sens!G5624+Sens!G5625+Sens!G5627+Sens!G5629</f>
        <v>423.519354284713</v>
      </c>
      <c r="H5631" s="6" t="n">
        <f aca="false">Sens!H5619+Sens!H5624+Sens!H5625+Sens!H5627+Sens!H5629</f>
        <v>515.157204056898</v>
      </c>
      <c r="I5631" s="6" t="n">
        <f aca="false">Sens!I5619+Sens!I5624+Sens!I5625+Sens!I5627+Sens!I5629</f>
        <v>592.326116992778</v>
      </c>
      <c r="J5631" s="6" t="n">
        <f aca="false">Sens!J5619+Sens!J5624+Sens!J5625+Sens!J5627+Sens!J5629</f>
        <v>653.51713644916</v>
      </c>
      <c r="K5631" s="6" t="n">
        <f aca="false">Sens!K5619+Sens!K5624+Sens!K5625+Sens!K5627+Sens!K5629</f>
        <v>701.023312649873</v>
      </c>
    </row>
    <row r="5632" customFormat="false" ht="17.15" hidden="false" customHeight="false" outlineLevel="0" collapsed="false">
      <c r="A5632" s="0" t="s">
        <v>1041</v>
      </c>
      <c r="B5632" s="0" t="s">
        <v>98</v>
      </c>
      <c r="D5632" s="6" t="n">
        <f aca="false">Q!L13</f>
        <v>22.171</v>
      </c>
      <c r="E5632" s="6" t="n">
        <f aca="false">Q!M13</f>
        <v>24.835</v>
      </c>
      <c r="F5632" s="6" t="n">
        <f aca="false">Q!$I$13+(Q!M13-Q!$E$13)*(1+Sens!F5633)</f>
        <v>27.5591895660247</v>
      </c>
      <c r="G5632" s="6" t="n">
        <f aca="false">Sens!F5632*(1+Sens!G5633)</f>
        <v>30.4098563144583</v>
      </c>
      <c r="H5632" s="6" t="n">
        <f aca="false">Sens!G5632*(1+Sens!H5633)</f>
        <v>33.3011792571777</v>
      </c>
      <c r="I5632" s="6" t="n">
        <f aca="false">Sens!H5632*(1+Sens!I5633)</f>
        <v>36.189023797112</v>
      </c>
      <c r="J5632" s="6" t="n">
        <f aca="false">Sens!I5632*(1+Sens!J5633)</f>
        <v>39.0247773769199</v>
      </c>
      <c r="K5632" s="6" t="n">
        <f aca="false">Sens!J5632*(1+Sens!K5633)</f>
        <v>41.7565117933043</v>
      </c>
      <c r="L5632" s="12" t="s">
        <v>1038</v>
      </c>
    </row>
    <row r="5633" customFormat="false" ht="15" hidden="false" customHeight="false" outlineLevel="0" collapsed="false">
      <c r="A5633" s="1" t="s">
        <v>1028</v>
      </c>
      <c r="B5633" s="0" t="s">
        <v>168</v>
      </c>
      <c r="E5633" s="7" t="n">
        <f aca="false">Sens!E5632/Sens!D5632-1</f>
        <v>0.120156961796942</v>
      </c>
      <c r="F5633" s="7" t="n">
        <f aca="false">Sens!$E$5633+(glt_srch-Sens!$E$5633)*MIN(1,(Sens!F5575-base_fy)/n_conv)</f>
        <v>0.111797468164118</v>
      </c>
      <c r="G5633" s="7" t="n">
        <f aca="false">Sens!$E$5633+(glt_srch-Sens!$E$5633)*MIN(1,(Sens!G5575-base_fy)/n_conv)</f>
        <v>0.103437974531295</v>
      </c>
      <c r="H5633" s="7" t="n">
        <f aca="false">Sens!$E$5633+(glt_srch-Sens!$E$5633)*MIN(1,(Sens!H5575-base_fy)/n_conv)</f>
        <v>0.095078480898471</v>
      </c>
      <c r="I5633" s="7" t="n">
        <f aca="false">Sens!$E$5633+(glt_srch-Sens!$E$5633)*MIN(1,(Sens!I5575-base_fy)/n_conv)</f>
        <v>0.0867189872656474</v>
      </c>
      <c r="J5633" s="7" t="n">
        <f aca="false">Sens!$E$5633+(glt_srch-Sens!$E$5633)*MIN(1,(Sens!J5575-base_fy)/n_conv)</f>
        <v>0.0783594936328237</v>
      </c>
      <c r="K5633" s="7" t="n">
        <f aca="false">Sens!$E$5633+(glt_srch-Sens!$E$5633)*MIN(1,(Sens!K5575-base_fy)/n_conv)</f>
        <v>0.07</v>
      </c>
    </row>
    <row r="5634" customFormat="false" ht="17.15" hidden="false" customHeight="false" outlineLevel="0" collapsed="false">
      <c r="A5634" s="0" t="s">
        <v>1042</v>
      </c>
      <c r="B5634" s="0" t="s">
        <v>98</v>
      </c>
      <c r="D5634" s="6" t="n">
        <f aca="false">Q!L14</f>
        <v>23.455</v>
      </c>
      <c r="E5634" s="6" t="n">
        <f aca="false">Q!M14</f>
        <v>21.79</v>
      </c>
      <c r="F5634" s="6" t="n">
        <f aca="false">Q!$I$14+(Q!M14-Q!$E$14)*(1+Sens!F5635)</f>
        <v>20.7520981041711</v>
      </c>
      <c r="G5634" s="6" t="n">
        <f aca="false">Sens!F5634*(1+Sens!G5635)</f>
        <v>19.9083593495882</v>
      </c>
      <c r="H5634" s="6" t="n">
        <f aca="false">Sens!G5634*(1+Sens!H5635)</f>
        <v>19.4008256265831</v>
      </c>
      <c r="I5634" s="6" t="n">
        <f aca="false">Sens!H5634*(1+Sens!I5635)</f>
        <v>19.200434522122</v>
      </c>
      <c r="J5634" s="6" t="n">
        <f aca="false">Sens!I5634*(1+Sens!J5635)</f>
        <v>19.2932782348507</v>
      </c>
      <c r="K5634" s="6" t="n">
        <f aca="false">Sens!J5634*(1+Sens!K5635)</f>
        <v>19.6791437995477</v>
      </c>
      <c r="L5634" s="12" t="s">
        <v>1038</v>
      </c>
    </row>
    <row r="5635" customFormat="false" ht="15" hidden="false" customHeight="false" outlineLevel="0" collapsed="false">
      <c r="A5635" s="1" t="s">
        <v>1028</v>
      </c>
      <c r="B5635" s="0" t="s">
        <v>168</v>
      </c>
      <c r="E5635" s="7" t="n">
        <f aca="false">Sens!E5634/Sens!D5634-1</f>
        <v>-0.0709869963760392</v>
      </c>
      <c r="F5635" s="7" t="n">
        <f aca="false">Sens!$E$5635+(glt_xbox-Sens!$E$5635)*MIN(1,(Sens!F5575-base_fy)/n_conv)</f>
        <v>-0.0558224969800327</v>
      </c>
      <c r="G5635" s="7" t="n">
        <f aca="false">Sens!$E$5635+(glt_xbox-Sens!$E$5635)*MIN(1,(Sens!G5575-base_fy)/n_conv)</f>
        <v>-0.0406579975840262</v>
      </c>
      <c r="H5635" s="7" t="n">
        <f aca="false">Sens!$E$5635+(glt_xbox-Sens!$E$5635)*MIN(1,(Sens!H5575-base_fy)/n_conv)</f>
        <v>-0.0254934981880196</v>
      </c>
      <c r="I5635" s="7" t="n">
        <f aca="false">Sens!$E$5635+(glt_xbox-Sens!$E$5635)*MIN(1,(Sens!I5575-base_fy)/n_conv)</f>
        <v>-0.0103289987920131</v>
      </c>
      <c r="J5635" s="7" t="n">
        <f aca="false">Sens!$E$5635+(glt_xbox-Sens!$E$5635)*MIN(1,(Sens!J5575-base_fy)/n_conv)</f>
        <v>0.00483550060399347</v>
      </c>
      <c r="K5635" s="7" t="n">
        <f aca="false">Sens!$E$5635+(glt_xbox-Sens!$E$5635)*MIN(1,(Sens!K5575-base_fy)/n_conv)</f>
        <v>0.02</v>
      </c>
    </row>
    <row r="5636" customFormat="false" ht="17.15" hidden="false" customHeight="false" outlineLevel="0" collapsed="false">
      <c r="A5636" s="0" t="s">
        <v>1043</v>
      </c>
      <c r="B5636" s="0" t="s">
        <v>98</v>
      </c>
      <c r="D5636" s="6" t="n">
        <f aca="false">Q!L15</f>
        <v>17.315</v>
      </c>
      <c r="E5636" s="6" t="n">
        <f aca="false">Q!M15</f>
        <v>17.087</v>
      </c>
      <c r="F5636" s="6" t="n">
        <f aca="false">Q!$I$15+(Q!M15-Q!$E$15)*(1+Sens!F5637)</f>
        <v>15.9912273250553</v>
      </c>
      <c r="G5636" s="6" t="n">
        <f aca="false">Sens!F5636*(1+Sens!G5637)</f>
        <v>15.9574562664827</v>
      </c>
      <c r="H5636" s="6" t="n">
        <f aca="false">Sens!G5636*(1+Sens!H5637)</f>
        <v>16.0119687434196</v>
      </c>
      <c r="I5636" s="6" t="n">
        <f aca="false">Sens!H5636*(1+Sens!I5637)</f>
        <v>16.1551810001948</v>
      </c>
      <c r="J5636" s="6" t="n">
        <f aca="false">Sens!I5636*(1+Sens!J5637)</f>
        <v>16.3889793892005</v>
      </c>
      <c r="K5636" s="6" t="n">
        <f aca="false">Sens!J5636*(1+Sens!K5637)</f>
        <v>16.7167589769845</v>
      </c>
      <c r="L5636" s="12" t="s">
        <v>1038</v>
      </c>
    </row>
    <row r="5637" customFormat="false" ht="15" hidden="false" customHeight="false" outlineLevel="0" collapsed="false">
      <c r="A5637" s="1" t="s">
        <v>1028</v>
      </c>
      <c r="B5637" s="0" t="s">
        <v>168</v>
      </c>
      <c r="E5637" s="7" t="n">
        <f aca="false">Sens!E5636/Sens!D5636-1</f>
        <v>-0.0131677736066995</v>
      </c>
      <c r="F5637" s="7" t="n">
        <f aca="false">Sens!$E$5637+(glt_win-Sens!$E$5637)*MIN(1,(Sens!F5575-base_fy)/n_conv)</f>
        <v>-0.00763981133891627</v>
      </c>
      <c r="G5637" s="7" t="n">
        <f aca="false">Sens!$E$5637+(glt_win-Sens!$E$5637)*MIN(1,(Sens!G5575-base_fy)/n_conv)</f>
        <v>-0.00211184907113301</v>
      </c>
      <c r="H5637" s="7" t="n">
        <f aca="false">Sens!$E$5637+(glt_win-Sens!$E$5637)*MIN(1,(Sens!H5575-base_fy)/n_conv)</f>
        <v>0.00341611319665024</v>
      </c>
      <c r="I5637" s="7" t="n">
        <f aca="false">Sens!$E$5637+(glt_win-Sens!$E$5637)*MIN(1,(Sens!I5575-base_fy)/n_conv)</f>
        <v>0.00894407546443349</v>
      </c>
      <c r="J5637" s="7" t="n">
        <f aca="false">Sens!$E$5637+(glt_win-Sens!$E$5637)*MIN(1,(Sens!J5575-base_fy)/n_conv)</f>
        <v>0.0144720377322168</v>
      </c>
      <c r="K5637" s="7" t="n">
        <f aca="false">Sens!$E$5637+(glt_win-Sens!$E$5637)*MIN(1,(Sens!K5575-base_fy)/n_conv)</f>
        <v>0.02</v>
      </c>
    </row>
    <row r="5638" customFormat="false" ht="15" hidden="false" customHeight="false" outlineLevel="0" collapsed="false">
      <c r="A5638" s="0" t="s">
        <v>870</v>
      </c>
      <c r="B5638" s="0" t="s">
        <v>98</v>
      </c>
      <c r="D5638" s="6" t="n">
        <f aca="false">Sens!D5632+Sens!D5634+Sens!D5636</f>
        <v>62.941</v>
      </c>
      <c r="E5638" s="6" t="n">
        <f aca="false">Sens!E5632+Sens!E5634+Sens!E5636</f>
        <v>63.712</v>
      </c>
      <c r="F5638" s="6" t="n">
        <f aca="false">Sens!F5632+Sens!F5634+Sens!F5636</f>
        <v>64.3025149952511</v>
      </c>
      <c r="G5638" s="6" t="n">
        <f aca="false">Sens!G5632+Sens!G5634+Sens!G5636</f>
        <v>66.2756719305292</v>
      </c>
      <c r="H5638" s="6" t="n">
        <f aca="false">Sens!H5632+Sens!H5634+Sens!H5636</f>
        <v>68.7139736271804</v>
      </c>
      <c r="I5638" s="6" t="n">
        <f aca="false">Sens!I5632+Sens!I5634+Sens!I5636</f>
        <v>71.5446393194289</v>
      </c>
      <c r="J5638" s="6" t="n">
        <f aca="false">Sens!J5632+Sens!J5634+Sens!J5636</f>
        <v>74.707035000971</v>
      </c>
      <c r="K5638" s="6" t="n">
        <f aca="false">Sens!K5632+Sens!K5634+Sens!K5636</f>
        <v>78.1524145698365</v>
      </c>
    </row>
    <row r="5639" customFormat="false" ht="15" hidden="false" customHeight="false" outlineLevel="0" collapsed="false">
      <c r="A5639" s="1" t="s">
        <v>1044</v>
      </c>
      <c r="B5639" s="0" t="s">
        <v>98</v>
      </c>
      <c r="D5639" s="6" t="n">
        <f aca="false">Sens!D5631+Sens!D5638</f>
        <v>281.724</v>
      </c>
      <c r="E5639" s="6" t="n">
        <f aca="false">Sens!E5631+Sens!E5638</f>
        <v>331.839</v>
      </c>
      <c r="F5639" s="6" t="n">
        <f aca="false">Sens!F5631+Sens!F5638</f>
        <v>402.324096728595</v>
      </c>
      <c r="G5639" s="6" t="n">
        <f aca="false">Sens!G5631+Sens!G5638</f>
        <v>489.795026215242</v>
      </c>
      <c r="H5639" s="6" t="n">
        <f aca="false">Sens!H5631+Sens!H5638</f>
        <v>583.871177684078</v>
      </c>
      <c r="I5639" s="6" t="n">
        <f aca="false">Sens!I5631+Sens!I5638</f>
        <v>663.870756312207</v>
      </c>
      <c r="J5639" s="6" t="n">
        <f aca="false">Sens!J5631+Sens!J5638</f>
        <v>728.224171450131</v>
      </c>
      <c r="K5639" s="6" t="n">
        <f aca="false">Sens!K5631+Sens!K5638</f>
        <v>779.175727219709</v>
      </c>
    </row>
    <row r="5640" customFormat="false" ht="15" hidden="false" customHeight="false" outlineLevel="0" collapsed="false">
      <c r="A5640" s="26" t="s">
        <v>1045</v>
      </c>
      <c r="B5640" s="31" t="s">
        <v>98</v>
      </c>
      <c r="C5640" s="31"/>
      <c r="D5640" s="27" t="n">
        <f aca="false">(Sens!D5619+Sens!D5624+Sens!D5625+Sens!D5627+Sens!D5629-Sens!D5631)+(Sens!D5632+Sens!D5634+Sens!D5636-Sens!D5638)+(Sens!D5631-Q!L5)+(Sens!D5638-Q!L12)+(Sens!D5619-Q!L6)+(Sens!D5624-Q!L7)</f>
        <v>0</v>
      </c>
      <c r="E5640" s="27" t="n">
        <f aca="false">(Sens!E5619+Sens!E5624+Sens!E5625+Sens!E5627+Sens!E5629-Sens!E5631)+(Sens!E5632+Sens!E5634+Sens!E5636-Sens!E5638)+(Sens!E5631-Q!M5)+(Sens!E5638-Q!M12)+(Sens!E5619-Q!M6)+(Sens!E5624-Q!M7)</f>
        <v>0</v>
      </c>
      <c r="F5640" s="27" t="n">
        <f aca="false">(Sens!F5619+Sens!F5624+Sens!F5625+Sens!F5627+Sens!F5629-Sens!F5631)+(Sens!F5632+Sens!F5634+Sens!F5636-Sens!F5638)</f>
        <v>0</v>
      </c>
      <c r="G5640" s="27" t="n">
        <f aca="false">(Sens!G5619+Sens!G5624+Sens!G5625+Sens!G5627+Sens!G5629-Sens!G5631)+(Sens!G5632+Sens!G5634+Sens!G5636-Sens!G5638)</f>
        <v>0</v>
      </c>
      <c r="H5640" s="27" t="n">
        <f aca="false">(Sens!H5619+Sens!H5624+Sens!H5625+Sens!H5627+Sens!H5629-Sens!H5631)+(Sens!H5632+Sens!H5634+Sens!H5636-Sens!H5638)</f>
        <v>0</v>
      </c>
      <c r="I5640" s="27" t="n">
        <f aca="false">(Sens!I5619+Sens!I5624+Sens!I5625+Sens!I5627+Sens!I5629-Sens!I5631)+(Sens!I5632+Sens!I5634+Sens!I5636-Sens!I5638)</f>
        <v>0</v>
      </c>
      <c r="J5640" s="27" t="n">
        <f aca="false">(Sens!J5619+Sens!J5624+Sens!J5625+Sens!J5627+Sens!J5629-Sens!J5631)+(Sens!J5632+Sens!J5634+Sens!J5636-Sens!J5638)</f>
        <v>0</v>
      </c>
      <c r="K5640" s="27" t="n">
        <f aca="false">(Sens!K5619+Sens!K5624+Sens!K5625+Sens!K5627+Sens!K5629-Sens!K5631)+(Sens!K5632+Sens!K5634+Sens!K5636-Sens!K5638)</f>
        <v>0</v>
      </c>
    </row>
    <row r="5641" customFormat="false" ht="17.15" hidden="false" customHeight="false" outlineLevel="0" collapsed="false">
      <c r="A5641" s="3" t="s">
        <v>1752</v>
      </c>
    </row>
    <row r="5642" customFormat="false" ht="15" hidden="false" customHeight="false" outlineLevel="0" collapsed="false">
      <c r="A5642" s="4" t="s">
        <v>43</v>
      </c>
      <c r="B5642" s="4" t="s">
        <v>65</v>
      </c>
      <c r="C5642" s="23" t="s">
        <v>942</v>
      </c>
      <c r="D5642" s="23" t="s">
        <v>943</v>
      </c>
      <c r="E5642" s="23" t="s">
        <v>944</v>
      </c>
      <c r="F5642" s="23" t="s">
        <v>945</v>
      </c>
      <c r="G5642" s="23" t="s">
        <v>946</v>
      </c>
      <c r="H5642" s="23" t="s">
        <v>947</v>
      </c>
      <c r="I5642" s="23" t="s">
        <v>948</v>
      </c>
      <c r="J5642" s="23" t="s">
        <v>949</v>
      </c>
      <c r="K5642" s="23" t="s">
        <v>950</v>
      </c>
      <c r="L5642" s="4" t="s">
        <v>47</v>
      </c>
    </row>
    <row r="5643" customFormat="false" ht="15" hidden="false" customHeight="false" outlineLevel="0" collapsed="false">
      <c r="A5643" s="0" t="s">
        <v>1029</v>
      </c>
      <c r="B5643" s="0" t="s">
        <v>98</v>
      </c>
      <c r="D5643" s="6" t="n">
        <f aca="false">Sens!D5619</f>
        <v>72.61</v>
      </c>
      <c r="E5643" s="6" t="n">
        <f aca="false">Sens!E5619</f>
        <v>101.938</v>
      </c>
      <c r="F5643" s="6" t="n">
        <f aca="false">Sens!F5619</f>
        <v>148.836884211217</v>
      </c>
      <c r="G5643" s="6" t="n">
        <f aca="false">Sens!G5619</f>
        <v>208.974383094528</v>
      </c>
      <c r="H5643" s="6" t="n">
        <f aca="false">Sens!H5619</f>
        <v>275.226099384501</v>
      </c>
      <c r="I5643" s="6" t="n">
        <f aca="false">Sens!I5619</f>
        <v>329.527790267655</v>
      </c>
      <c r="J5643" s="6" t="n">
        <f aca="false">Sens!J5619</f>
        <v>370.688639028777</v>
      </c>
      <c r="K5643" s="6" t="n">
        <f aca="false">Sens!K5619</f>
        <v>399.082757275386</v>
      </c>
    </row>
    <row r="5644" customFormat="false" ht="17.15" hidden="false" customHeight="false" outlineLevel="0" collapsed="false">
      <c r="A5644" s="0" t="s">
        <v>1025</v>
      </c>
      <c r="B5644" s="0" t="s">
        <v>98</v>
      </c>
      <c r="D5644" s="6" t="n">
        <f aca="false">Sens!D5616</f>
        <v>12.9359794422418</v>
      </c>
      <c r="E5644" s="6" t="n">
        <f aca="false">Sens!E5616</f>
        <v>27.8095064661409</v>
      </c>
      <c r="F5644" s="6" t="n">
        <f aca="false">Sens!F5616</f>
        <v>58.1383740769362</v>
      </c>
      <c r="G5644" s="6" t="n">
        <f aca="false">Sens!G5616</f>
        <v>101.211015816229</v>
      </c>
      <c r="H5644" s="6" t="n">
        <f aca="false">Sens!H5616</f>
        <v>150.10076677927</v>
      </c>
      <c r="I5644" s="6" t="n">
        <f aca="false">Sens!I5616</f>
        <v>187.626325280047</v>
      </c>
      <c r="J5644" s="6" t="n">
        <f aca="false">Sens!J5616</f>
        <v>213.598422398938</v>
      </c>
      <c r="K5644" s="6" t="n">
        <f aca="false">Sens!K5616</f>
        <v>229.42532331516</v>
      </c>
    </row>
    <row r="5645" customFormat="false" ht="17.15" hidden="false" customHeight="false" outlineLevel="0" collapsed="false">
      <c r="A5645" s="0" t="s">
        <v>1056</v>
      </c>
      <c r="B5645" s="0" t="s">
        <v>98</v>
      </c>
      <c r="D5645" s="6" t="n">
        <f aca="false">Sens!D5617</f>
        <v>59.6740205577583</v>
      </c>
      <c r="E5645" s="6" t="n">
        <f aca="false">Sens!E5617</f>
        <v>74.1284935338591</v>
      </c>
      <c r="F5645" s="6" t="n">
        <f aca="false">Sens!F5617</f>
        <v>90.6985101342806</v>
      </c>
      <c r="G5645" s="6" t="n">
        <f aca="false">Sens!G5617</f>
        <v>107.763367278299</v>
      </c>
      <c r="H5645" s="6" t="n">
        <f aca="false">Sens!H5617</f>
        <v>125.125332605231</v>
      </c>
      <c r="I5645" s="6" t="n">
        <f aca="false">Sens!I5617</f>
        <v>141.901464987608</v>
      </c>
      <c r="J5645" s="6" t="n">
        <f aca="false">Sens!J5617</f>
        <v>157.090216629839</v>
      </c>
      <c r="K5645" s="6" t="n">
        <f aca="false">Sens!K5617</f>
        <v>169.657433960226</v>
      </c>
    </row>
    <row r="5646" customFormat="false" ht="15" hidden="false" customHeight="false" outlineLevel="0" collapsed="false">
      <c r="A5646" s="0" t="s">
        <v>1036</v>
      </c>
      <c r="B5646" s="0" t="s">
        <v>98</v>
      </c>
      <c r="D5646" s="6" t="n">
        <f aca="false">Sens!D5624</f>
        <v>84.605</v>
      </c>
      <c r="E5646" s="6" t="n">
        <f aca="false">Sens!E5624</f>
        <v>100.299</v>
      </c>
      <c r="F5646" s="6" t="n">
        <f aca="false">Sens!F5624</f>
        <v>119.729653205718</v>
      </c>
      <c r="G5646" s="6" t="n">
        <f aca="false">Sens!G5624</f>
        <v>140.806092647576</v>
      </c>
      <c r="H5646" s="6" t="n">
        <f aca="false">Sens!H5624</f>
        <v>161.963437602768</v>
      </c>
      <c r="I5646" s="6" t="n">
        <f aca="false">Sens!I5624</f>
        <v>180.695354741933</v>
      </c>
      <c r="J5646" s="6" t="n">
        <f aca="false">Sens!J5624</f>
        <v>196.722117481571</v>
      </c>
      <c r="K5646" s="6" t="n">
        <f aca="false">Sens!K5624</f>
        <v>212.00016570528</v>
      </c>
    </row>
    <row r="5647" customFormat="false" ht="17.15" hidden="false" customHeight="false" outlineLevel="0" collapsed="false">
      <c r="A5647" s="0" t="s">
        <v>1057</v>
      </c>
      <c r="B5647" s="0" t="s">
        <v>98</v>
      </c>
      <c r="D5647" s="6" t="n">
        <f aca="false">Sens!D5622</f>
        <v>83.705</v>
      </c>
      <c r="E5647" s="6" t="n">
        <f aca="false">Sens!E5622</f>
        <v>95.049</v>
      </c>
      <c r="F5647" s="6" t="n">
        <f aca="false">Sens!F5622</f>
        <v>106.229653205718</v>
      </c>
      <c r="G5647" s="6" t="n">
        <f aca="false">Sens!G5622</f>
        <v>118.306092647576</v>
      </c>
      <c r="H5647" s="6" t="n">
        <f aca="false">Sens!H5622</f>
        <v>130.463437602768</v>
      </c>
      <c r="I5647" s="6" t="n">
        <f aca="false">Sens!I5622</f>
        <v>142.445354741933</v>
      </c>
      <c r="J5647" s="6" t="n">
        <f aca="false">Sens!J5622</f>
        <v>153.972117481571</v>
      </c>
      <c r="K5647" s="6" t="n">
        <f aca="false">Sens!K5622</f>
        <v>164.75016570528</v>
      </c>
    </row>
    <row r="5648" customFormat="false" ht="17.15" hidden="false" customHeight="false" outlineLevel="0" collapsed="false">
      <c r="A5648" s="0" t="s">
        <v>1058</v>
      </c>
      <c r="B5648" s="0" t="s">
        <v>98</v>
      </c>
      <c r="D5648" s="6" t="n">
        <f aca="false">Sens!D5621</f>
        <v>0.9</v>
      </c>
      <c r="E5648" s="6" t="n">
        <f aca="false">Sens!E5621</f>
        <v>5.25</v>
      </c>
      <c r="F5648" s="6" t="n">
        <f aca="false">Sens!F5621</f>
        <v>13.5</v>
      </c>
      <c r="G5648" s="6" t="n">
        <f aca="false">Sens!G5621</f>
        <v>22.5</v>
      </c>
      <c r="H5648" s="6" t="n">
        <f aca="false">Sens!H5621</f>
        <v>31.5</v>
      </c>
      <c r="I5648" s="6" t="n">
        <f aca="false">Sens!I5621</f>
        <v>38.25</v>
      </c>
      <c r="J5648" s="6" t="n">
        <f aca="false">Sens!J5621</f>
        <v>42.75</v>
      </c>
      <c r="K5648" s="6" t="n">
        <f aca="false">Sens!K5621</f>
        <v>47.25</v>
      </c>
    </row>
    <row r="5649" customFormat="false" ht="15" hidden="false" customHeight="false" outlineLevel="0" collapsed="false">
      <c r="A5649" s="0" t="s">
        <v>1037</v>
      </c>
      <c r="B5649" s="0" t="s">
        <v>98</v>
      </c>
      <c r="D5649" s="6" t="n">
        <f aca="false">Sens!D5625</f>
        <v>35.391</v>
      </c>
      <c r="E5649" s="6" t="n">
        <f aca="false">Sens!E5625</f>
        <v>37.285</v>
      </c>
      <c r="F5649" s="6" t="n">
        <f aca="false">Sens!F5625</f>
        <v>38.3851437782675</v>
      </c>
      <c r="G5649" s="6" t="n">
        <f aca="false">Sens!G5625</f>
        <v>40.0105353288615</v>
      </c>
      <c r="H5649" s="6" t="n">
        <f aca="false">Sens!H5625</f>
        <v>41.4812512033683</v>
      </c>
      <c r="I5649" s="6" t="n">
        <f aca="false">Sens!I5625</f>
        <v>42.7743107216329</v>
      </c>
      <c r="J5649" s="6" t="n">
        <f aca="false">Sens!J5625</f>
        <v>43.8687373064601</v>
      </c>
      <c r="K5649" s="6" t="n">
        <f aca="false">Sens!K5625</f>
        <v>44.7461120525893</v>
      </c>
    </row>
    <row r="5650" customFormat="false" ht="15" hidden="false" customHeight="false" outlineLevel="0" collapsed="false">
      <c r="A5650" s="0" t="s">
        <v>1039</v>
      </c>
      <c r="B5650" s="0" t="s">
        <v>98</v>
      </c>
      <c r="D5650" s="6" t="n">
        <f aca="false">Sens!D5627</f>
        <v>18.417</v>
      </c>
      <c r="E5650" s="6" t="n">
        <f aca="false">Sens!E5627</f>
        <v>20.345</v>
      </c>
      <c r="F5650" s="6" t="n">
        <f aca="false">Sens!F5627</f>
        <v>22.3161797133988</v>
      </c>
      <c r="G5650" s="6" t="n">
        <f aca="false">Sens!G5627</f>
        <v>24.3943499673233</v>
      </c>
      <c r="H5650" s="6" t="n">
        <f aca="false">Sens!H5627</f>
        <v>26.5250243109019</v>
      </c>
      <c r="I5650" s="6" t="n">
        <f aca="false">Sens!I5627</f>
        <v>28.6884573538181</v>
      </c>
      <c r="J5650" s="6" t="n">
        <f aca="false">Sens!J5627</f>
        <v>30.8624968052127</v>
      </c>
      <c r="K5650" s="6" t="n">
        <f aca="false">Sens!K5627</f>
        <v>33.0228715815776</v>
      </c>
    </row>
    <row r="5651" customFormat="false" ht="15" hidden="false" customHeight="false" outlineLevel="0" collapsed="false">
      <c r="A5651" s="0" t="s">
        <v>1040</v>
      </c>
      <c r="B5651" s="0" t="s">
        <v>98</v>
      </c>
      <c r="D5651" s="6" t="n">
        <f aca="false">Sens!D5629</f>
        <v>7.76</v>
      </c>
      <c r="E5651" s="6" t="n">
        <f aca="false">Sens!E5629</f>
        <v>8.26</v>
      </c>
      <c r="F5651" s="6" t="n">
        <f aca="false">Sens!F5629</f>
        <v>8.75372082474227</v>
      </c>
      <c r="G5651" s="6" t="n">
        <f aca="false">Sens!G5629</f>
        <v>9.33399324642364</v>
      </c>
      <c r="H5651" s="6" t="n">
        <f aca="false">Sens!H5629</f>
        <v>9.96139155535851</v>
      </c>
      <c r="I5651" s="6" t="n">
        <f aca="false">Sens!I5629</f>
        <v>10.6402039077391</v>
      </c>
      <c r="J5651" s="6" t="n">
        <f aca="false">Sens!J5629</f>
        <v>11.3751458271397</v>
      </c>
      <c r="K5651" s="6" t="n">
        <f aca="false">Sens!K5629</f>
        <v>12.1714060350394</v>
      </c>
    </row>
    <row r="5652" customFormat="false" ht="15" hidden="false" customHeight="false" outlineLevel="0" collapsed="false">
      <c r="A5652" s="0" t="s">
        <v>856</v>
      </c>
      <c r="B5652" s="0" t="s">
        <v>98</v>
      </c>
      <c r="D5652" s="6" t="n">
        <f aca="false">Sens!D5631</f>
        <v>218.783</v>
      </c>
      <c r="E5652" s="6" t="n">
        <f aca="false">Sens!E5631</f>
        <v>268.127</v>
      </c>
      <c r="F5652" s="6" t="n">
        <f aca="false">Sens!F5631</f>
        <v>338.021581733343</v>
      </c>
      <c r="G5652" s="6" t="n">
        <f aca="false">Sens!G5631</f>
        <v>423.519354284713</v>
      </c>
      <c r="H5652" s="6" t="n">
        <f aca="false">Sens!H5631</f>
        <v>515.157204056898</v>
      </c>
      <c r="I5652" s="6" t="n">
        <f aca="false">Sens!I5631</f>
        <v>592.326116992778</v>
      </c>
      <c r="J5652" s="6" t="n">
        <f aca="false">Sens!J5631</f>
        <v>653.51713644916</v>
      </c>
      <c r="K5652" s="6" t="n">
        <f aca="false">Sens!K5631</f>
        <v>701.023312649873</v>
      </c>
    </row>
    <row r="5653" customFormat="false" ht="15" hidden="false" customHeight="false" outlineLevel="0" collapsed="false">
      <c r="A5653" s="0" t="s">
        <v>1041</v>
      </c>
      <c r="B5653" s="0" t="s">
        <v>98</v>
      </c>
      <c r="D5653" s="6" t="n">
        <f aca="false">Sens!D5632</f>
        <v>22.171</v>
      </c>
      <c r="E5653" s="6" t="n">
        <f aca="false">Sens!E5632</f>
        <v>24.835</v>
      </c>
      <c r="F5653" s="6" t="n">
        <f aca="false">Sens!F5632</f>
        <v>27.5591895660247</v>
      </c>
      <c r="G5653" s="6" t="n">
        <f aca="false">Sens!G5632</f>
        <v>30.4098563144583</v>
      </c>
      <c r="H5653" s="6" t="n">
        <f aca="false">Sens!H5632</f>
        <v>33.3011792571777</v>
      </c>
      <c r="I5653" s="6" t="n">
        <f aca="false">Sens!I5632</f>
        <v>36.189023797112</v>
      </c>
      <c r="J5653" s="6" t="n">
        <f aca="false">Sens!J5632</f>
        <v>39.0247773769199</v>
      </c>
      <c r="K5653" s="6" t="n">
        <f aca="false">Sens!K5632</f>
        <v>41.7565117933043</v>
      </c>
    </row>
    <row r="5654" customFormat="false" ht="15" hidden="false" customHeight="false" outlineLevel="0" collapsed="false">
      <c r="A5654" s="0" t="s">
        <v>1042</v>
      </c>
      <c r="B5654" s="0" t="s">
        <v>98</v>
      </c>
      <c r="D5654" s="6" t="n">
        <f aca="false">Sens!D5634</f>
        <v>23.455</v>
      </c>
      <c r="E5654" s="6" t="n">
        <f aca="false">Sens!E5634</f>
        <v>21.79</v>
      </c>
      <c r="F5654" s="6" t="n">
        <f aca="false">Sens!F5634</f>
        <v>20.7520981041711</v>
      </c>
      <c r="G5654" s="6" t="n">
        <f aca="false">Sens!G5634</f>
        <v>19.9083593495882</v>
      </c>
      <c r="H5654" s="6" t="n">
        <f aca="false">Sens!H5634</f>
        <v>19.4008256265831</v>
      </c>
      <c r="I5654" s="6" t="n">
        <f aca="false">Sens!I5634</f>
        <v>19.200434522122</v>
      </c>
      <c r="J5654" s="6" t="n">
        <f aca="false">Sens!J5634</f>
        <v>19.2932782348507</v>
      </c>
      <c r="K5654" s="6" t="n">
        <f aca="false">Sens!K5634</f>
        <v>19.6791437995477</v>
      </c>
    </row>
    <row r="5655" customFormat="false" ht="15" hidden="false" customHeight="false" outlineLevel="0" collapsed="false">
      <c r="A5655" s="0" t="s">
        <v>1043</v>
      </c>
      <c r="B5655" s="0" t="s">
        <v>98</v>
      </c>
      <c r="D5655" s="6" t="n">
        <f aca="false">Sens!D5636</f>
        <v>17.315</v>
      </c>
      <c r="E5655" s="6" t="n">
        <f aca="false">Sens!E5636</f>
        <v>17.087</v>
      </c>
      <c r="F5655" s="6" t="n">
        <f aca="false">Sens!F5636</f>
        <v>15.9912273250553</v>
      </c>
      <c r="G5655" s="6" t="n">
        <f aca="false">Sens!G5636</f>
        <v>15.9574562664827</v>
      </c>
      <c r="H5655" s="6" t="n">
        <f aca="false">Sens!H5636</f>
        <v>16.0119687434196</v>
      </c>
      <c r="I5655" s="6" t="n">
        <f aca="false">Sens!I5636</f>
        <v>16.1551810001948</v>
      </c>
      <c r="J5655" s="6" t="n">
        <f aca="false">Sens!J5636</f>
        <v>16.3889793892005</v>
      </c>
      <c r="K5655" s="6" t="n">
        <f aca="false">Sens!K5636</f>
        <v>16.7167589769845</v>
      </c>
    </row>
    <row r="5656" customFormat="false" ht="15" hidden="false" customHeight="false" outlineLevel="0" collapsed="false">
      <c r="A5656" s="0" t="s">
        <v>870</v>
      </c>
      <c r="B5656" s="0" t="s">
        <v>98</v>
      </c>
      <c r="D5656" s="6" t="n">
        <f aca="false">Sens!D5638</f>
        <v>62.941</v>
      </c>
      <c r="E5656" s="6" t="n">
        <f aca="false">Sens!E5638</f>
        <v>63.712</v>
      </c>
      <c r="F5656" s="6" t="n">
        <f aca="false">Sens!F5638</f>
        <v>64.3025149952511</v>
      </c>
      <c r="G5656" s="6" t="n">
        <f aca="false">Sens!G5638</f>
        <v>66.2756719305292</v>
      </c>
      <c r="H5656" s="6" t="n">
        <f aca="false">Sens!H5638</f>
        <v>68.7139736271804</v>
      </c>
      <c r="I5656" s="6" t="n">
        <f aca="false">Sens!I5638</f>
        <v>71.5446393194289</v>
      </c>
      <c r="J5656" s="6" t="n">
        <f aca="false">Sens!J5638</f>
        <v>74.707035000971</v>
      </c>
      <c r="K5656" s="6" t="n">
        <f aca="false">Sens!K5638</f>
        <v>78.1524145698365</v>
      </c>
    </row>
    <row r="5657" customFormat="false" ht="15" hidden="false" customHeight="false" outlineLevel="0" collapsed="false">
      <c r="A5657" s="1" t="s">
        <v>1059</v>
      </c>
      <c r="B5657" s="0" t="s">
        <v>98</v>
      </c>
      <c r="D5657" s="6" t="n">
        <f aca="false">Sens!D5639</f>
        <v>281.724</v>
      </c>
      <c r="E5657" s="6" t="n">
        <f aca="false">Sens!E5639</f>
        <v>331.839</v>
      </c>
      <c r="F5657" s="6" t="n">
        <f aca="false">Sens!F5639</f>
        <v>402.324096728595</v>
      </c>
      <c r="G5657" s="6" t="n">
        <f aca="false">Sens!G5639</f>
        <v>489.795026215242</v>
      </c>
      <c r="H5657" s="6" t="n">
        <f aca="false">Sens!H5639</f>
        <v>583.871177684078</v>
      </c>
      <c r="I5657" s="6" t="n">
        <f aca="false">Sens!I5639</f>
        <v>663.870756312207</v>
      </c>
      <c r="J5657" s="6" t="n">
        <f aca="false">Sens!J5639</f>
        <v>728.224171450131</v>
      </c>
      <c r="K5657" s="6" t="n">
        <f aca="false">Sens!K5639</f>
        <v>779.175727219709</v>
      </c>
    </row>
    <row r="5658" customFormat="false" ht="15" hidden="false" customHeight="false" outlineLevel="0" collapsed="false">
      <c r="A5658" s="1" t="s">
        <v>1060</v>
      </c>
      <c r="B5658" s="0" t="s">
        <v>168</v>
      </c>
      <c r="E5658" s="7" t="n">
        <f aca="false">Sens!E5657/Sens!D5657-1</f>
        <v>0.177886867998467</v>
      </c>
      <c r="F5658" s="7" t="n">
        <f aca="false">Sens!F5657/Sens!E5657-1</f>
        <v>0.212407513066862</v>
      </c>
      <c r="G5658" s="7" t="n">
        <f aca="false">Sens!G5657/Sens!F5657-1</f>
        <v>0.217414095247828</v>
      </c>
      <c r="H5658" s="7" t="n">
        <f aca="false">Sens!H5657/Sens!G5657-1</f>
        <v>0.192072492437876</v>
      </c>
      <c r="I5658" s="7" t="n">
        <f aca="false">Sens!I5657/Sens!H5657-1</f>
        <v>0.137015803632313</v>
      </c>
      <c r="J5658" s="7" t="n">
        <f aca="false">Sens!J5657/Sens!I5657-1</f>
        <v>0.0969366620325416</v>
      </c>
      <c r="K5658" s="7" t="n">
        <f aca="false">Sens!K5657/Sens!J5657-1</f>
        <v>0.0699668560412066</v>
      </c>
    </row>
    <row r="5659" customFormat="false" ht="17.15" hidden="false" customHeight="false" outlineLevel="0" collapsed="false">
      <c r="A5659" s="26" t="s">
        <v>1061</v>
      </c>
      <c r="B5659" s="31" t="s">
        <v>98</v>
      </c>
      <c r="C5659" s="31"/>
      <c r="D5659" s="27" t="n">
        <f aca="false">(Sens!D5652+Sens!D5656-Sens!D5657)+(Sens!D5644+Sens!D5645-Sens!D5643)+(Sens!D5647+Sens!D5648-Sens!D5646)+(Sens!D5657-Q!L18)</f>
        <v>0</v>
      </c>
      <c r="E5659" s="27" t="n">
        <f aca="false">(Sens!E5652+Sens!E5656-Sens!E5657)+(Sens!E5644+Sens!E5645-Sens!E5643)+(Sens!E5647+Sens!E5648-Sens!E5646)+(Sens!E5657-Q!M18)</f>
        <v>0</v>
      </c>
      <c r="F5659" s="27" t="n">
        <f aca="false">(Sens!F5652+Sens!F5656-Sens!F5657)+(Sens!F5644+Sens!F5645-Sens!F5643)+(Sens!F5647+Sens!F5648-Sens!F5646)</f>
        <v>0</v>
      </c>
      <c r="G5659" s="27" t="n">
        <f aca="false">(Sens!G5652+Sens!G5656-Sens!G5657)+(Sens!G5644+Sens!G5645-Sens!G5643)+(Sens!G5647+Sens!G5648-Sens!G5646)</f>
        <v>0</v>
      </c>
      <c r="H5659" s="27" t="n">
        <f aca="false">(Sens!H5652+Sens!H5656-Sens!H5657)+(Sens!H5644+Sens!H5645-Sens!H5643)+(Sens!H5647+Sens!H5648-Sens!H5646)</f>
        <v>0</v>
      </c>
      <c r="I5659" s="27" t="n">
        <f aca="false">(Sens!I5652+Sens!I5656-Sens!I5657)+(Sens!I5644+Sens!I5645-Sens!I5643)+(Sens!I5647+Sens!I5648-Sens!I5646)</f>
        <v>0</v>
      </c>
      <c r="J5659" s="27" t="n">
        <f aca="false">(Sens!J5652+Sens!J5656-Sens!J5657)+(Sens!J5644+Sens!J5645-Sens!J5643)+(Sens!J5647+Sens!J5648-Sens!J5646)</f>
        <v>0</v>
      </c>
      <c r="K5659" s="27" t="n">
        <f aca="false">(Sens!K5652+Sens!K5656-Sens!K5657)+(Sens!K5644+Sens!K5645-Sens!K5643)+(Sens!K5647+Sens!K5648-Sens!K5646)</f>
        <v>0</v>
      </c>
    </row>
    <row r="5660" customFormat="false" ht="17.15" hidden="false" customHeight="false" outlineLevel="0" collapsed="false">
      <c r="A5660" s="0" t="s">
        <v>1062</v>
      </c>
      <c r="B5660" s="0" t="s">
        <v>168</v>
      </c>
      <c r="E5660" s="7" t="n">
        <f aca="false">(Q!M21+Sens!E5596+Sens!E5597+Sens!E5598+Sens!E5612-Sens!E5594)/(Q!M5-Sens!E5594)</f>
        <v>0.570957350878296</v>
      </c>
      <c r="F5660" s="7" t="n">
        <f aca="false">Sens!$E$5660+dm_seg</f>
        <v>0.570957350878296</v>
      </c>
      <c r="G5660" s="7" t="n">
        <f aca="false">Sens!$E$5660+dm_seg</f>
        <v>0.570957350878296</v>
      </c>
      <c r="H5660" s="7" t="n">
        <f aca="false">Sens!$E$5660+dm_seg</f>
        <v>0.570957350878296</v>
      </c>
      <c r="I5660" s="7" t="n">
        <f aca="false">Sens!$E$5660+dm_seg</f>
        <v>0.570957350878296</v>
      </c>
      <c r="J5660" s="7" t="n">
        <f aca="false">Sens!$E$5660+dm_seg</f>
        <v>0.570957350878296</v>
      </c>
      <c r="K5660" s="7" t="n">
        <f aca="false">Sens!$E$5660+dm_seg</f>
        <v>0.570957350878296</v>
      </c>
      <c r="L5660" s="12" t="s">
        <v>1063</v>
      </c>
    </row>
    <row r="5661" customFormat="false" ht="17.15" hidden="false" customHeight="false" outlineLevel="0" collapsed="false">
      <c r="A5661" s="0" t="s">
        <v>884</v>
      </c>
      <c r="B5661" s="0" t="s">
        <v>98</v>
      </c>
      <c r="D5661" s="6" t="n">
        <f aca="false">Q!L21</f>
        <v>110.814</v>
      </c>
      <c r="E5661" s="6" t="n">
        <f aca="false">Q!M21</f>
        <v>136.365</v>
      </c>
      <c r="F5661" s="6" t="n">
        <f aca="false">Q!$I$21+(Sens!F5660*(Sens!F5631-Sens!F5594)+Sens!F5594-(Sens!F5596+Sens!F5597+Sens!F5598)-Sens!F5612-Sens!F5695)*(Sens!F5631-Q!$I$5)/Sens!F5631</f>
        <v>164.788309025671</v>
      </c>
      <c r="G5661" s="6" t="n">
        <f aca="false">(Sens!G5660*(Sens!G5631-Sens!G5594)+Sens!G5594-(Sens!G5596+Sens!G5597+Sens!G5598)-Sens!G5612-Sens!G5695)</f>
        <v>189.429180091287</v>
      </c>
      <c r="H5661" s="6" t="n">
        <f aca="false">(Sens!H5660*(Sens!H5631-Sens!H5594)+Sens!H5594-(Sens!H5596+Sens!H5597+Sens!H5598)-Sens!H5612-Sens!H5695)</f>
        <v>222.230878846372</v>
      </c>
      <c r="I5661" s="6" t="n">
        <f aca="false">(Sens!I5660*(Sens!I5631-Sens!I5594)+Sens!I5594-(Sens!I5596+Sens!I5597+Sens!I5598)-Sens!I5612-Sens!I5695)</f>
        <v>246.760974190383</v>
      </c>
      <c r="J5661" s="6" t="n">
        <f aca="false">(Sens!J5660*(Sens!J5631-Sens!J5594)+Sens!J5594-(Sens!J5596+Sens!J5597+Sens!J5598)-Sens!J5612-Sens!J5695)</f>
        <v>267.910401978353</v>
      </c>
      <c r="K5661" s="6" t="n">
        <f aca="false">(Sens!K5660*(Sens!K5631-Sens!K5594)+Sens!K5594-(Sens!K5596+Sens!K5597+Sens!K5598)-Sens!K5612-Sens!K5695)</f>
        <v>286.771145356931</v>
      </c>
      <c r="L5661" s="1" t="s">
        <v>1064</v>
      </c>
    </row>
    <row r="5662" customFormat="false" ht="17.15" hidden="false" customHeight="false" outlineLevel="0" collapsed="false">
      <c r="A5662" s="0" t="s">
        <v>1065</v>
      </c>
      <c r="B5662" s="0" t="s">
        <v>168</v>
      </c>
      <c r="E5662" s="7" t="n">
        <f aca="false">Q!M22/Q!M12</f>
        <v>0.296207935710698</v>
      </c>
      <c r="F5662" s="7" t="n">
        <f aca="false">Sens!$E$5662+dm_seg</f>
        <v>0.296207935710698</v>
      </c>
      <c r="G5662" s="7" t="n">
        <f aca="false">Sens!$E$5662+dm_seg</f>
        <v>0.296207935710698</v>
      </c>
      <c r="H5662" s="7" t="n">
        <f aca="false">Sens!$E$5662+dm_seg</f>
        <v>0.296207935710698</v>
      </c>
      <c r="I5662" s="7" t="n">
        <f aca="false">Sens!$E$5662+dm_seg</f>
        <v>0.296207935710698</v>
      </c>
      <c r="J5662" s="7" t="n">
        <f aca="false">Sens!$E$5662+dm_seg</f>
        <v>0.296207935710698</v>
      </c>
      <c r="K5662" s="7" t="n">
        <f aca="false">Sens!$E$5662+dm_seg</f>
        <v>0.296207935710698</v>
      </c>
      <c r="L5662" s="12" t="s">
        <v>1066</v>
      </c>
    </row>
    <row r="5663" customFormat="false" ht="17.15" hidden="false" customHeight="false" outlineLevel="0" collapsed="false">
      <c r="A5663" s="0" t="s">
        <v>886</v>
      </c>
      <c r="B5663" s="0" t="s">
        <v>98</v>
      </c>
      <c r="D5663" s="6" t="n">
        <f aca="false">Q!L22</f>
        <v>17.714</v>
      </c>
      <c r="E5663" s="6" t="n">
        <f aca="false">Q!M22</f>
        <v>18.872</v>
      </c>
      <c r="F5663" s="6" t="n">
        <f aca="false">Q!$I$22+(Sens!F5638-Q!$I$12)*Sens!F5662</f>
        <v>19.8174315512051</v>
      </c>
      <c r="G5663" s="6" t="n">
        <f aca="false">Sens!G5638*Sens!G5662</f>
        <v>19.6313799703815</v>
      </c>
      <c r="H5663" s="6" t="n">
        <f aca="false">Sens!H5638*Sens!H5662</f>
        <v>20.3536242825865</v>
      </c>
      <c r="I5663" s="6" t="n">
        <f aca="false">Sens!I5638*Sens!I5662</f>
        <v>21.1920899239745</v>
      </c>
      <c r="J5663" s="6" t="n">
        <f aca="false">Sens!J5638*Sens!J5662</f>
        <v>22.1288166207045</v>
      </c>
      <c r="K5663" s="6" t="n">
        <f aca="false">Sens!K5638*Sens!K5662</f>
        <v>23.1493653905379</v>
      </c>
      <c r="L5663" s="12" t="s">
        <v>1067</v>
      </c>
    </row>
    <row r="5664" customFormat="false" ht="15" hidden="false" customHeight="false" outlineLevel="0" collapsed="false">
      <c r="A5664" s="1" t="s">
        <v>1068</v>
      </c>
      <c r="B5664" s="0" t="s">
        <v>98</v>
      </c>
      <c r="D5664" s="6" t="n">
        <f aca="false">Sens!D5661+Sens!D5663</f>
        <v>128.528</v>
      </c>
      <c r="E5664" s="6" t="n">
        <f aca="false">Sens!E5661+Sens!E5663</f>
        <v>155.237</v>
      </c>
      <c r="F5664" s="6" t="n">
        <f aca="false">Sens!F5661+Sens!F5663</f>
        <v>184.605740576876</v>
      </c>
      <c r="G5664" s="6" t="n">
        <f aca="false">Sens!G5661+Sens!G5663</f>
        <v>209.060560061669</v>
      </c>
      <c r="H5664" s="6" t="n">
        <f aca="false">Sens!H5661+Sens!H5663</f>
        <v>242.584503128959</v>
      </c>
      <c r="I5664" s="6" t="n">
        <f aca="false">Sens!I5661+Sens!I5663</f>
        <v>267.953064114357</v>
      </c>
      <c r="J5664" s="6" t="n">
        <f aca="false">Sens!J5661+Sens!J5663</f>
        <v>290.039218599058</v>
      </c>
      <c r="K5664" s="6" t="n">
        <f aca="false">Sens!K5661+Sens!K5663</f>
        <v>309.920510747469</v>
      </c>
    </row>
    <row r="5665" customFormat="false" ht="15" hidden="false" customHeight="false" outlineLevel="0" collapsed="false">
      <c r="A5665" s="26" t="s">
        <v>1069</v>
      </c>
      <c r="B5665" s="31" t="s">
        <v>98</v>
      </c>
      <c r="C5665" s="31"/>
      <c r="D5665" s="27" t="n">
        <f aca="false">Sens!D5664-Q!L23</f>
        <v>0</v>
      </c>
      <c r="E5665" s="27" t="n">
        <f aca="false">Sens!E5664-Q!M23</f>
        <v>0</v>
      </c>
      <c r="F5665" s="31"/>
      <c r="G5665" s="31"/>
      <c r="H5665" s="31"/>
      <c r="I5665" s="31"/>
      <c r="J5665" s="31"/>
      <c r="K5665" s="31"/>
    </row>
    <row r="5666" customFormat="false" ht="15" hidden="false" customHeight="false" outlineLevel="0" collapsed="false">
      <c r="A5666" s="1" t="s">
        <v>1070</v>
      </c>
      <c r="B5666" s="0" t="s">
        <v>168</v>
      </c>
      <c r="D5666" s="7" t="n">
        <f aca="false">Sens!D5664/Sens!D5657</f>
        <v>0.456219562408598</v>
      </c>
      <c r="E5666" s="7" t="n">
        <f aca="false">Sens!E5664/Sens!E5657</f>
        <v>0.467808184089272</v>
      </c>
      <c r="F5666" s="7" t="n">
        <f aca="false">Sens!F5664/Sens!F5657</f>
        <v>0.458848331675769</v>
      </c>
      <c r="G5666" s="7" t="n">
        <f aca="false">Sens!G5664/Sens!G5657</f>
        <v>0.42683275425871</v>
      </c>
      <c r="H5666" s="7" t="n">
        <f aca="false">Sens!H5664/Sens!H5657</f>
        <v>0.415476071436116</v>
      </c>
      <c r="I5666" s="7" t="n">
        <f aca="false">Sens!I5664/Sens!I5657</f>
        <v>0.403622333965775</v>
      </c>
      <c r="J5666" s="7" t="n">
        <f aca="false">Sens!J5664/Sens!J5657</f>
        <v>0.398282877676932</v>
      </c>
      <c r="K5666" s="7" t="n">
        <f aca="false">Sens!K5664/Sens!K5657</f>
        <v>0.397754318981857</v>
      </c>
    </row>
    <row r="5667" customFormat="false" ht="17.15" hidden="false" customHeight="false" outlineLevel="0" collapsed="false">
      <c r="A5667" s="1" t="s">
        <v>1071</v>
      </c>
      <c r="B5667" s="0" t="s">
        <v>98</v>
      </c>
      <c r="F5667" s="6" t="n">
        <f aca="false">Sens!F5682</f>
        <v>8.88340674531245</v>
      </c>
      <c r="G5667" s="6" t="n">
        <f aca="false">Sens!G5682</f>
        <v>22.7060305170273</v>
      </c>
      <c r="H5667" s="6" t="n">
        <f aca="false">Sens!H5682</f>
        <v>38.0018452382075</v>
      </c>
      <c r="I5667" s="6" t="n">
        <f aca="false">Sens!I5682</f>
        <v>52.1381094705177</v>
      </c>
      <c r="J5667" s="6" t="n">
        <f aca="false">Sens!J5682</f>
        <v>62.0595818934393</v>
      </c>
      <c r="K5667" s="6" t="n">
        <f aca="false">Sens!K5682</f>
        <v>67.0801312706266</v>
      </c>
      <c r="L5667" s="1" t="s">
        <v>1072</v>
      </c>
    </row>
    <row r="5668" customFormat="false" ht="17.15" hidden="false" customHeight="false" outlineLevel="0" collapsed="false">
      <c r="A5668" s="1" t="s">
        <v>1073</v>
      </c>
      <c r="B5668" s="0" t="s">
        <v>98</v>
      </c>
      <c r="D5668" s="6" t="n">
        <f aca="false">Sens!D5664</f>
        <v>128.528</v>
      </c>
      <c r="E5668" s="6" t="n">
        <f aca="false">Sens!E5664</f>
        <v>155.237</v>
      </c>
      <c r="F5668" s="6" t="n">
        <f aca="false">Sens!F5664+Sens!F5667</f>
        <v>193.489147322189</v>
      </c>
      <c r="G5668" s="6" t="n">
        <f aca="false">Sens!G5664+Sens!G5667</f>
        <v>231.766590578696</v>
      </c>
      <c r="H5668" s="6" t="n">
        <f aca="false">Sens!H5664+Sens!H5667</f>
        <v>280.586348367166</v>
      </c>
      <c r="I5668" s="6" t="n">
        <f aca="false">Sens!I5664+Sens!I5667</f>
        <v>320.091173584875</v>
      </c>
      <c r="J5668" s="6" t="n">
        <f aca="false">Sens!J5664+Sens!J5667</f>
        <v>352.098800492497</v>
      </c>
      <c r="K5668" s="6" t="n">
        <f aca="false">Sens!K5664+Sens!K5667</f>
        <v>377.000642018095</v>
      </c>
    </row>
    <row r="5669" customFormat="false" ht="17.15" hidden="false" customHeight="false" outlineLevel="0" collapsed="false">
      <c r="A5669" s="1" t="s">
        <v>1074</v>
      </c>
      <c r="B5669" s="0" t="s">
        <v>98</v>
      </c>
      <c r="E5669" s="6" t="n">
        <f aca="false">Sens!E5612</f>
        <v>16.3054059770833</v>
      </c>
      <c r="F5669" s="6" t="n">
        <f aca="false">Sens!F5612</f>
        <v>34.5793144783516</v>
      </c>
      <c r="G5669" s="6" t="n">
        <f aca="false">Sens!G5612</f>
        <v>60.7344906522989</v>
      </c>
      <c r="H5669" s="6" t="n">
        <f aca="false">Sens!H5612</f>
        <v>89.1000906614457</v>
      </c>
      <c r="I5669" s="6" t="n">
        <f aca="false">Sens!I5612</f>
        <v>114.231009694548</v>
      </c>
      <c r="J5669" s="6" t="n">
        <f aca="false">Sens!J5612</f>
        <v>132.015673049596</v>
      </c>
      <c r="K5669" s="6" t="n">
        <f aca="false">Sens!K5612</f>
        <v>143.012669550934</v>
      </c>
    </row>
    <row r="5670" customFormat="false" ht="17.15" hidden="false" customHeight="false" outlineLevel="0" collapsed="false">
      <c r="A5670" s="1" t="s">
        <v>1075</v>
      </c>
      <c r="B5670" s="0" t="s">
        <v>98</v>
      </c>
      <c r="E5670" s="6" t="n">
        <f aca="false">Sens!E5694</f>
        <v>22.2285940229167</v>
      </c>
      <c r="F5670" s="6" t="n">
        <f aca="false">Sens!F5694</f>
        <v>23.580344216413</v>
      </c>
      <c r="G5670" s="6" t="n">
        <f aca="false">Sens!G5694</f>
        <v>25.3851771509038</v>
      </c>
      <c r="H5670" s="6" t="n">
        <f aca="false">Sens!H5694</f>
        <v>27.6068428628512</v>
      </c>
      <c r="I5670" s="6" t="n">
        <f aca="false">Sens!I5694</f>
        <v>30.1689123884325</v>
      </c>
      <c r="J5670" s="6" t="n">
        <f aca="false">Sens!J5694</f>
        <v>32.9792173366639</v>
      </c>
      <c r="K5670" s="6" t="n">
        <f aca="false">Sens!K5694</f>
        <v>35.9531493541191</v>
      </c>
    </row>
    <row r="5671" customFormat="false" ht="17.15" hidden="false" customHeight="false" outlineLevel="0" collapsed="false">
      <c r="A5671" s="1" t="s">
        <v>1076</v>
      </c>
      <c r="B5671" s="0" t="s">
        <v>98</v>
      </c>
      <c r="D5671" s="6" t="n">
        <f aca="false">Q!L27</f>
        <v>-4.901</v>
      </c>
      <c r="E5671" s="6" t="n">
        <f aca="false">Q!M27</f>
        <v>10.697</v>
      </c>
      <c r="F5671" s="6" t="n">
        <f aca="false">Q!$I$27+oie_f*(q_per_yr-1)/q_per_yr</f>
        <v>-0.862</v>
      </c>
      <c r="G5671" s="6" t="n">
        <f aca="false">oie_f</f>
        <v>-1.2</v>
      </c>
      <c r="H5671" s="6" t="n">
        <f aca="false">oie_f</f>
        <v>-1.2</v>
      </c>
      <c r="I5671" s="6" t="n">
        <f aca="false">oie_f</f>
        <v>-1.2</v>
      </c>
      <c r="J5671" s="6" t="n">
        <f aca="false">oie_f</f>
        <v>-1.2</v>
      </c>
      <c r="K5671" s="6" t="n">
        <f aca="false">oie_f</f>
        <v>-1.2</v>
      </c>
      <c r="L5671" s="12" t="s">
        <v>1077</v>
      </c>
    </row>
    <row r="5672" customFormat="false" ht="15" hidden="false" customHeight="false" outlineLevel="0" collapsed="false">
      <c r="A5672" s="1" t="s">
        <v>1078</v>
      </c>
      <c r="B5672" s="0" t="s">
        <v>98</v>
      </c>
      <c r="D5672" s="6" t="n">
        <f aca="false">Sens!D5664+Sens!D5671</f>
        <v>123.627</v>
      </c>
      <c r="E5672" s="6" t="n">
        <f aca="false">Sens!E5664+Sens!E5671</f>
        <v>165.934</v>
      </c>
      <c r="F5672" s="6" t="n">
        <f aca="false">Sens!F5664+Sens!F5671</f>
        <v>183.743740576876</v>
      </c>
      <c r="G5672" s="6" t="n">
        <f aca="false">Sens!G5664+Sens!G5671</f>
        <v>207.860560061669</v>
      </c>
      <c r="H5672" s="6" t="n">
        <f aca="false">Sens!H5664+Sens!H5671</f>
        <v>241.384503128959</v>
      </c>
      <c r="I5672" s="6" t="n">
        <f aca="false">Sens!I5664+Sens!I5671</f>
        <v>266.753064114357</v>
      </c>
      <c r="J5672" s="6" t="n">
        <f aca="false">Sens!J5664+Sens!J5671</f>
        <v>288.839218599058</v>
      </c>
      <c r="K5672" s="6" t="n">
        <f aca="false">Sens!K5664+Sens!K5671</f>
        <v>308.720510747469</v>
      </c>
    </row>
    <row r="5673" customFormat="false" ht="15" hidden="false" customHeight="false" outlineLevel="0" collapsed="false">
      <c r="A5673" s="1" t="s">
        <v>1079</v>
      </c>
      <c r="B5673" s="0" t="s">
        <v>98</v>
      </c>
      <c r="D5673" s="6" t="n">
        <f aca="false">Q!L29</f>
        <v>21.795</v>
      </c>
      <c r="E5673" s="6" t="n">
        <f aca="false">Q!M29</f>
        <v>32.185</v>
      </c>
      <c r="F5673" s="6" t="n">
        <f aca="false">Q!$I$29+(Sens!F5672-Q!$I$28)*tax_f</f>
        <v>36.8821481153752</v>
      </c>
      <c r="G5673" s="6" t="n">
        <f aca="false">Sens!G5672*tax_f</f>
        <v>41.5721120123338</v>
      </c>
      <c r="H5673" s="6" t="n">
        <f aca="false">Sens!H5672*tax_f</f>
        <v>48.2769006257918</v>
      </c>
      <c r="I5673" s="6" t="n">
        <f aca="false">Sens!I5672*tax_f</f>
        <v>53.3506128228715</v>
      </c>
      <c r="J5673" s="6" t="n">
        <f aca="false">Sens!J5672*tax_f</f>
        <v>57.7678437198116</v>
      </c>
      <c r="K5673" s="6" t="n">
        <f aca="false">Sens!K5672*tax_f</f>
        <v>61.7441021494938</v>
      </c>
    </row>
    <row r="5674" customFormat="false" ht="15" hidden="false" customHeight="false" outlineLevel="0" collapsed="false">
      <c r="A5674" s="1" t="s">
        <v>1080</v>
      </c>
      <c r="B5674" s="0" t="s">
        <v>98</v>
      </c>
      <c r="D5674" s="6" t="n">
        <f aca="false">Sens!D5672-Sens!D5673</f>
        <v>101.832</v>
      </c>
      <c r="E5674" s="6" t="n">
        <f aca="false">Sens!E5672-Sens!E5673</f>
        <v>133.749</v>
      </c>
      <c r="F5674" s="6" t="n">
        <f aca="false">Sens!F5672-Sens!F5673</f>
        <v>146.861592461501</v>
      </c>
      <c r="G5674" s="6" t="n">
        <f aca="false">Sens!G5672-Sens!G5673</f>
        <v>166.288448049335</v>
      </c>
      <c r="H5674" s="6" t="n">
        <f aca="false">Sens!H5672-Sens!H5673</f>
        <v>193.107602503167</v>
      </c>
      <c r="I5674" s="6" t="n">
        <f aca="false">Sens!I5672-Sens!I5673</f>
        <v>213.402451291486</v>
      </c>
      <c r="J5674" s="6" t="n">
        <f aca="false">Sens!J5672-Sens!J5673</f>
        <v>231.071374879246</v>
      </c>
      <c r="K5674" s="6" t="n">
        <f aca="false">Sens!K5672-Sens!K5673</f>
        <v>246.976408597975</v>
      </c>
    </row>
    <row r="5675" customFormat="false" ht="17.15" hidden="false" customHeight="false" outlineLevel="0" collapsed="false">
      <c r="A5675" s="1" t="s">
        <v>1081</v>
      </c>
      <c r="B5675" s="1" t="s">
        <v>81</v>
      </c>
      <c r="D5675" s="15" t="n">
        <f aca="false">Q!L31</f>
        <v>7.465</v>
      </c>
      <c r="E5675" s="15" t="n">
        <f aca="false">Q!M31</f>
        <v>7.453</v>
      </c>
      <c r="F5675" s="15" t="n">
        <f aca="false">Sens!F5719</f>
        <v>7.47118779163683</v>
      </c>
      <c r="G5675" s="15" t="n">
        <f aca="false">Sens!G5719</f>
        <v>7.51252273847095</v>
      </c>
      <c r="H5675" s="15" t="n">
        <f aca="false">Sens!H5719</f>
        <v>7.53886983269705</v>
      </c>
      <c r="I5675" s="15" t="n">
        <f aca="false">Sens!I5719</f>
        <v>7.55055119675252</v>
      </c>
      <c r="J5675" s="15" t="n">
        <f aca="false">Sens!J5719</f>
        <v>7.56470060791499</v>
      </c>
      <c r="K5675" s="15" t="n">
        <f aca="false">Sens!K5719</f>
        <v>7.58113524788024</v>
      </c>
    </row>
    <row r="5676" customFormat="false" ht="17.15" hidden="false" customHeight="false" outlineLevel="0" collapsed="false">
      <c r="A5676" s="0" t="s">
        <v>1082</v>
      </c>
      <c r="B5676" s="0" t="s">
        <v>75</v>
      </c>
      <c r="D5676" s="8" t="n">
        <f aca="false">Sens!D5674/Sens!D5675</f>
        <v>13.641259209645</v>
      </c>
      <c r="E5676" s="8" t="n">
        <f aca="false">Sens!E5674/Sens!E5675</f>
        <v>17.9456594659869</v>
      </c>
      <c r="F5676" s="8" t="n">
        <f aca="false">Sens!F5674/Sens!F5675</f>
        <v>19.657060772304</v>
      </c>
      <c r="G5676" s="8" t="n">
        <f aca="false">Sens!G5674/Sens!G5675</f>
        <v>22.1348345739823</v>
      </c>
      <c r="H5676" s="8" t="n">
        <f aca="false">Sens!H5674/Sens!H5675</f>
        <v>25.6149272753901</v>
      </c>
      <c r="I5676" s="8" t="n">
        <f aca="false">Sens!I5674/Sens!I5675</f>
        <v>28.2631619507818</v>
      </c>
      <c r="J5676" s="8" t="n">
        <f aca="false">Sens!J5674/Sens!J5675</f>
        <v>30.5460039803128</v>
      </c>
      <c r="K5676" s="8" t="n">
        <f aca="false">Sens!K5674/Sens!K5675</f>
        <v>32.5777605230077</v>
      </c>
      <c r="L5676" s="1" t="s">
        <v>1083</v>
      </c>
    </row>
    <row r="5677" customFormat="false" ht="17.15" hidden="false" customHeight="false" outlineLevel="0" collapsed="false">
      <c r="A5677" s="1" t="s">
        <v>1084</v>
      </c>
      <c r="B5677" s="0" t="s">
        <v>98</v>
      </c>
      <c r="D5677" s="6" t="n">
        <f aca="false">Sens!D5674</f>
        <v>101.832</v>
      </c>
      <c r="E5677" s="6" t="n">
        <f aca="false">Sens!E5674</f>
        <v>133.749</v>
      </c>
      <c r="F5677" s="6" t="n">
        <f aca="false">Sens!F5674+Sens!F5667*(1-tax_f)</f>
        <v>153.968317857751</v>
      </c>
      <c r="G5677" s="6" t="n">
        <f aca="false">Sens!G5674+Sens!G5667*(1-tax_f)</f>
        <v>184.453272462957</v>
      </c>
      <c r="H5677" s="6" t="n">
        <f aca="false">Sens!H5674+Sens!H5667*(1-tax_f)</f>
        <v>223.509078693733</v>
      </c>
      <c r="I5677" s="6" t="n">
        <f aca="false">Sens!I5674+Sens!I5667*(1-tax_f)</f>
        <v>255.1129388679</v>
      </c>
      <c r="J5677" s="6" t="n">
        <f aca="false">Sens!J5674+Sens!J5667*(1-tax_f)</f>
        <v>280.719040393998</v>
      </c>
      <c r="K5677" s="6" t="n">
        <f aca="false">Sens!K5674+Sens!K5667*(1-tax_f)</f>
        <v>300.640513614476</v>
      </c>
    </row>
    <row r="5678" customFormat="false" ht="17.15" hidden="false" customHeight="false" outlineLevel="0" collapsed="false">
      <c r="A5678" s="0" t="s">
        <v>1085</v>
      </c>
      <c r="B5678" s="0" t="s">
        <v>75</v>
      </c>
      <c r="D5678" s="8" t="n">
        <f aca="false">Sens!D5677/Sens!D5675</f>
        <v>13.641259209645</v>
      </c>
      <c r="E5678" s="8" t="n">
        <f aca="false">Sens!E5677/Sens!E5675</f>
        <v>17.9456594659869</v>
      </c>
      <c r="F5678" s="8" t="n">
        <f aca="false">Sens!F5677/Sens!F5675</f>
        <v>20.6082783824684</v>
      </c>
      <c r="G5678" s="8" t="n">
        <f aca="false">Sens!G5677/Sens!G5675</f>
        <v>24.5527739328346</v>
      </c>
      <c r="H5678" s="8" t="n">
        <f aca="false">Sens!H5677/Sens!H5675</f>
        <v>29.6475577445767</v>
      </c>
      <c r="I5678" s="8" t="n">
        <f aca="false">Sens!I5677/Sens!I5675</f>
        <v>33.7873265434746</v>
      </c>
      <c r="J5678" s="8" t="n">
        <f aca="false">Sens!J5677/Sens!J5675</f>
        <v>37.1090747597175</v>
      </c>
      <c r="K5678" s="8" t="n">
        <f aca="false">Sens!K5677/Sens!K5675</f>
        <v>39.6563975954048</v>
      </c>
      <c r="L5678" s="1" t="s">
        <v>1086</v>
      </c>
    </row>
    <row r="5679" customFormat="false" ht="17.15" hidden="false" customHeight="false" outlineLevel="0" collapsed="false">
      <c r="A5679" s="0" t="s">
        <v>1087</v>
      </c>
      <c r="B5679" s="0" t="s">
        <v>168</v>
      </c>
      <c r="E5679" s="7" t="n">
        <f aca="false">Sens!E5678/Sens!D5678-1</f>
        <v>0.315542736208578</v>
      </c>
      <c r="F5679" s="7" t="n">
        <f aca="false">Sens!F5678/Sens!E5678-1</f>
        <v>0.148371193687704</v>
      </c>
      <c r="G5679" s="7" t="n">
        <f aca="false">Sens!G5678/Sens!F5678-1</f>
        <v>0.191403448515227</v>
      </c>
      <c r="H5679" s="7" t="n">
        <f aca="false">Sens!H5678/Sens!G5678-1</f>
        <v>0.207503389461375</v>
      </c>
      <c r="I5679" s="7" t="n">
        <f aca="false">Sens!I5678/Sens!H5678-1</f>
        <v>0.139632708857953</v>
      </c>
      <c r="J5679" s="7" t="n">
        <f aca="false">Sens!J5678/Sens!I5678-1</f>
        <v>0.0983134374946415</v>
      </c>
      <c r="K5679" s="7" t="n">
        <f aca="false">Sens!K5678/Sens!J5678-1</f>
        <v>0.0686442023192782</v>
      </c>
    </row>
    <row r="5680" customFormat="false" ht="17.15" hidden="false" customHeight="false" outlineLevel="0" collapsed="false">
      <c r="A5680" s="0" t="s">
        <v>1007</v>
      </c>
      <c r="B5680" s="0" t="s">
        <v>98</v>
      </c>
      <c r="E5680" s="6" t="n">
        <f aca="false">Sens!E5621</f>
        <v>5.25</v>
      </c>
      <c r="F5680" s="6" t="n">
        <f aca="false">Sens!F5621</f>
        <v>13.5</v>
      </c>
      <c r="G5680" s="6" t="n">
        <f aca="false">Sens!G5621</f>
        <v>22.5</v>
      </c>
      <c r="H5680" s="6" t="n">
        <f aca="false">Sens!H5621</f>
        <v>31.5</v>
      </c>
      <c r="I5680" s="6" t="n">
        <f aca="false">Sens!I5621</f>
        <v>38.25</v>
      </c>
      <c r="J5680" s="6" t="n">
        <f aca="false">Sens!J5621</f>
        <v>42.75</v>
      </c>
      <c r="K5680" s="6" t="n">
        <f aca="false">Sens!K5621</f>
        <v>47.25</v>
      </c>
    </row>
    <row r="5681" customFormat="false" ht="17.15" hidden="false" customHeight="false" outlineLevel="0" collapsed="false">
      <c r="A5681" s="1" t="s">
        <v>1008</v>
      </c>
      <c r="B5681" s="0" t="s">
        <v>98</v>
      </c>
      <c r="F5681" s="6" t="n">
        <f aca="false">MAX(0,((Sens!E5581+Sens!F5581)/2-(shadow_base*(Sens!$D$5581+Sens!$E$5581)/2+(1-shadow_base)*Sens!$E$5581))*Sens!F5590/1000-(Sens!F5680-Sens!$E$5680)*Sens!F5660)</f>
        <v>8.88340674531245</v>
      </c>
      <c r="G5681" s="6" t="n">
        <f aca="false">MAX(0,((Sens!F5581+Sens!G5581)/2-(shadow_base*(Sens!$D$5581+Sens!$E$5581)/2+(1-shadow_base)*Sens!$E$5581))*Sens!G5590/1000-(Sens!G5680-Sens!$E$5680)*Sens!G5660)</f>
        <v>22.7060305170273</v>
      </c>
      <c r="H5681" s="6" t="n">
        <f aca="false">MAX(0,((Sens!G5581+Sens!H5581)/2-(shadow_base*(Sens!$D$5581+Sens!$E$5581)/2+(1-shadow_base)*Sens!$E$5581))*Sens!H5590/1000-(Sens!H5680-Sens!$E$5680)*Sens!H5660)</f>
        <v>38.0018452382075</v>
      </c>
      <c r="I5681" s="6" t="n">
        <f aca="false">MAX(0,((Sens!H5581+Sens!I5581)/2-(shadow_base*(Sens!$D$5581+Sens!$E$5581)/2+(1-shadow_base)*Sens!$E$5581))*Sens!I5590/1000-(Sens!I5680-Sens!$E$5680)*Sens!I5660)</f>
        <v>52.1381094705177</v>
      </c>
      <c r="J5681" s="6" t="n">
        <f aca="false">MAX(0,((Sens!I5581+Sens!J5581)/2-(shadow_base*(Sens!$D$5581+Sens!$E$5581)/2+(1-shadow_base)*Sens!$E$5581))*Sens!J5590/1000-(Sens!J5680-Sens!$E$5680)*Sens!J5660)</f>
        <v>62.0595818934393</v>
      </c>
      <c r="K5681" s="6" t="n">
        <f aca="false">MAX(0,((Sens!J5581+Sens!K5581)/2-(shadow_base*(Sens!$D$5581+Sens!$E$5581)/2+(1-shadow_base)*Sens!$E$5581))*Sens!K5590/1000-(Sens!K5680-Sens!$E$5680)*Sens!K5660)</f>
        <v>67.0801312706266</v>
      </c>
      <c r="L5681" s="1" t="s">
        <v>1009</v>
      </c>
    </row>
    <row r="5682" customFormat="false" ht="17.15" hidden="false" customHeight="false" outlineLevel="0" collapsed="false">
      <c r="A5682" s="1" t="s">
        <v>1010</v>
      </c>
      <c r="B5682" s="0" t="s">
        <v>98</v>
      </c>
      <c r="F5682" s="6" t="n">
        <f aca="false">IF(internal_ai_reading=2,1,0)*Sens!F5681</f>
        <v>8.88340674531245</v>
      </c>
      <c r="G5682" s="6" t="n">
        <f aca="false">IF(internal_ai_reading=2,1,0)*Sens!G5681</f>
        <v>22.7060305170273</v>
      </c>
      <c r="H5682" s="6" t="n">
        <f aca="false">IF(internal_ai_reading=2,1,0)*Sens!H5681</f>
        <v>38.0018452382075</v>
      </c>
      <c r="I5682" s="6" t="n">
        <f aca="false">IF(internal_ai_reading=2,1,0)*Sens!I5681</f>
        <v>52.1381094705177</v>
      </c>
      <c r="J5682" s="6" t="n">
        <f aca="false">IF(internal_ai_reading=2,1,0)*Sens!J5681</f>
        <v>62.0595818934393</v>
      </c>
      <c r="K5682" s="6" t="n">
        <f aca="false">IF(internal_ai_reading=2,1,0)*Sens!K5681</f>
        <v>67.0801312706266</v>
      </c>
    </row>
    <row r="5683" customFormat="false" ht="17.15" hidden="false" customHeight="false" outlineLevel="0" collapsed="false">
      <c r="A5683" s="0" t="s">
        <v>1011</v>
      </c>
      <c r="B5683" s="0" t="s">
        <v>98</v>
      </c>
      <c r="F5683" s="6" t="n">
        <f aca="false">Sens!F5600+Sens!F5680*Sens!F5660+Sens!F5682-Sens!F5601-Sens!F5612</f>
        <v>17.5418253270668</v>
      </c>
      <c r="G5683" s="6" t="n">
        <f aca="false">Sens!G5600+Sens!G5680*Sens!G5660+Sens!G5682-Sens!G5601-Sens!G5612</f>
        <v>40.9579035253098</v>
      </c>
      <c r="H5683" s="6" t="n">
        <f aca="false">Sens!H5600+Sens!H5680*Sens!H5660+Sens!H5682-Sens!H5601-Sens!H5612</f>
        <v>69.7866451463086</v>
      </c>
      <c r="I5683" s="6" t="n">
        <f aca="false">Sens!I5600+Sens!I5680*Sens!I5660+Sens!I5682-Sens!I5601-Sens!I5612</f>
        <v>89.6722601270454</v>
      </c>
      <c r="J5683" s="6" t="n">
        <f aca="false">Sens!J5600+Sens!J5680*Sens!J5660+Sens!J5682-Sens!J5601-Sens!J5612</f>
        <v>103.203927941052</v>
      </c>
      <c r="K5683" s="6" t="n">
        <f aca="false">Sens!K5600+Sens!K5680*Sens!K5660+Sens!K5682-Sens!K5601-Sens!K5612</f>
        <v>111.566979592081</v>
      </c>
    </row>
    <row r="5684" customFormat="false" ht="17.15" hidden="false" customHeight="false" outlineLevel="0" collapsed="false">
      <c r="A5684" s="0" t="s">
        <v>1012</v>
      </c>
      <c r="B5684" s="0" t="s">
        <v>98</v>
      </c>
      <c r="E5684" s="6" t="n">
        <f aca="false">Sens!E5580*(cxit_open+self_build*tk_cxfac)/1000*ai_net_open</f>
        <v>126.6980382</v>
      </c>
      <c r="F5684" s="6" t="n">
        <f aca="false">Sens!E5684+Sens!F5609-Sens!F5612</f>
        <v>260.572627763768</v>
      </c>
      <c r="G5684" s="6" t="n">
        <f aca="false">Sens!F5684+Sens!G5609-Sens!G5612</f>
        <v>391.782612760517</v>
      </c>
      <c r="H5684" s="6" t="n">
        <f aca="false">Sens!G5684+Sens!H5609-Sens!H5612</f>
        <v>499.488526163584</v>
      </c>
      <c r="I5684" s="6" t="n">
        <f aca="false">Sens!H5684+Sens!I5609-Sens!I5612</f>
        <v>553.872350090646</v>
      </c>
      <c r="J5684" s="6" t="n">
        <f aca="false">Sens!I5684+Sens!J5609-Sens!J5612</f>
        <v>550.78660823699</v>
      </c>
      <c r="K5684" s="6" t="n">
        <f aca="false">Sens!J5684+Sens!K5609-Sens!K5612</f>
        <v>526.736791750789</v>
      </c>
      <c r="L5684" s="1" t="s">
        <v>1013</v>
      </c>
    </row>
    <row r="5685" customFormat="false" ht="17.15" hidden="false" customHeight="false" outlineLevel="0" collapsed="false">
      <c r="A5685" s="0" t="s">
        <v>1014</v>
      </c>
      <c r="B5685" s="0" t="s">
        <v>168</v>
      </c>
      <c r="F5685" s="7" t="n">
        <f aca="false">Sens!F5683*(1-tax_f)/((Sens!E5684+Sens!F5684)/2)</f>
        <v>0.072473654707255</v>
      </c>
      <c r="G5685" s="7" t="n">
        <f aca="false">Sens!G5683*(1-tax_f)/((Sens!F5684+Sens!G5684)/2)</f>
        <v>0.100455459801056</v>
      </c>
      <c r="H5685" s="7" t="n">
        <f aca="false">Sens!H5683*(1-tax_f)/((Sens!G5684+Sens!H5684)/2)</f>
        <v>0.12528020639026</v>
      </c>
      <c r="I5685" s="7" t="n">
        <f aca="false">Sens!I5683*(1-tax_f)/((Sens!H5684+Sens!I5684)/2)</f>
        <v>0.136207466441581</v>
      </c>
      <c r="J5685" s="7" t="n">
        <f aca="false">Sens!J5683*(1-tax_f)/((Sens!I5684+Sens!J5684)/2)</f>
        <v>0.149481687049976</v>
      </c>
      <c r="K5685" s="7" t="n">
        <f aca="false">Sens!K5683*(1-tax_f)/((Sens!J5684+Sens!K5684)/2)</f>
        <v>0.165664307011202</v>
      </c>
    </row>
    <row r="5686" customFormat="false" ht="17.15" hidden="false" customHeight="false" outlineLevel="0" collapsed="false">
      <c r="A5686" s="1" t="s">
        <v>1015</v>
      </c>
      <c r="B5686" s="0" t="s">
        <v>168</v>
      </c>
      <c r="F5686" s="7" t="n">
        <f aca="false">(Sens!F5683-Sens!F5682)*(1-tax_f)/((Sens!E5684+Sens!F5684)/2)</f>
        <v>0.0357720605983181</v>
      </c>
      <c r="G5686" s="7" t="n">
        <f aca="false">(Sens!G5683-Sens!G5682)*(1-tax_f)/((Sens!F5684+Sens!G5684)/2)</f>
        <v>0.0447654820551179</v>
      </c>
      <c r="H5686" s="7" t="n">
        <f aca="false">(Sens!H5683-Sens!H5682)*(1-tax_f)/((Sens!G5684+Sens!H5684)/2)</f>
        <v>0.0570597180049521</v>
      </c>
      <c r="I5686" s="7" t="n">
        <f aca="false">(Sens!I5683-Sens!I5682)*(1-tax_f)/((Sens!H5684+Sens!I5684)/2)</f>
        <v>0.0570124089514315</v>
      </c>
      <c r="J5686" s="7" t="n">
        <f aca="false">(Sens!J5683-Sens!J5682)*(1-tax_f)/((Sens!I5684+Sens!J5684)/2)</f>
        <v>0.0595939164571152</v>
      </c>
      <c r="K5686" s="7" t="n">
        <f aca="false">(Sens!K5683-Sens!K5682)*(1-tax_f)/((Sens!J5684+Sens!K5684)/2)</f>
        <v>0.0660579225612495</v>
      </c>
    </row>
    <row r="5687" customFormat="false" ht="17.15" hidden="false" customHeight="false" outlineLevel="0" collapsed="false">
      <c r="A5687" s="1" t="s">
        <v>1016</v>
      </c>
      <c r="B5687" s="0" t="s">
        <v>168</v>
      </c>
      <c r="F5687" s="7" t="n">
        <f aca="false">(Sens!F5683-Sens!F5682+Sens!F5681)*(1-tax_f)/((Sens!E5684+Sens!F5684)/2)</f>
        <v>0.072473654707255</v>
      </c>
      <c r="G5687" s="7" t="n">
        <f aca="false">(Sens!G5683-Sens!G5682+Sens!G5681)*(1-tax_f)/((Sens!F5684+Sens!G5684)/2)</f>
        <v>0.100455459801056</v>
      </c>
      <c r="H5687" s="7" t="n">
        <f aca="false">(Sens!H5683-Sens!H5682+Sens!H5681)*(1-tax_f)/((Sens!G5684+Sens!H5684)/2)</f>
        <v>0.12528020639026</v>
      </c>
      <c r="I5687" s="7" t="n">
        <f aca="false">(Sens!I5683-Sens!I5682+Sens!I5681)*(1-tax_f)/((Sens!H5684+Sens!I5684)/2)</f>
        <v>0.136207466441581</v>
      </c>
      <c r="J5687" s="7" t="n">
        <f aca="false">(Sens!J5683-Sens!J5682+Sens!J5681)*(1-tax_f)/((Sens!I5684+Sens!J5684)/2)</f>
        <v>0.149481687049976</v>
      </c>
      <c r="K5687" s="7" t="n">
        <f aca="false">(Sens!K5683-Sens!K5682+Sens!K5681)*(1-tax_f)/((Sens!J5684+Sens!K5684)/2)</f>
        <v>0.165664307011202</v>
      </c>
    </row>
    <row r="5688" customFormat="false" ht="17.15" hidden="false" customHeight="false" outlineLevel="0" collapsed="false">
      <c r="A5688" s="1" t="s">
        <v>1017</v>
      </c>
      <c r="B5688" s="0" t="s">
        <v>168</v>
      </c>
      <c r="F5688" s="7" t="n">
        <f aca="false">Sens!F5613*(1-tax_f)/(Sens!F5599*(Sens!E5684+Sens!F5684)/2)</f>
        <v>0.148069245466509</v>
      </c>
      <c r="G5688" s="7" t="n">
        <f aca="false">Sens!G5613*(1-tax_f)/(Sens!G5599*(Sens!F5684+Sens!G5684)/2)</f>
        <v>0.167758371902285</v>
      </c>
      <c r="H5688" s="7" t="n">
        <f aca="false">Sens!H5613*(1-tax_f)/(Sens!H5599*(Sens!G5684+Sens!H5684)/2)</f>
        <v>0.196368995123665</v>
      </c>
      <c r="I5688" s="7" t="n">
        <f aca="false">Sens!I5613*(1-tax_f)/(Sens!I5599*(Sens!H5684+Sens!I5684)/2)</f>
        <v>0.207030569540009</v>
      </c>
      <c r="J5688" s="7" t="n">
        <f aca="false">Sens!J5613*(1-tax_f)/(Sens!J5599*(Sens!I5684+Sens!J5684)/2)</f>
        <v>0.224002974163405</v>
      </c>
      <c r="K5688" s="7" t="n">
        <f aca="false">Sens!K5613*(1-tax_f)/(Sens!K5599*(Sens!J5684+Sens!K5684)/2)</f>
        <v>0.246459641118183</v>
      </c>
    </row>
    <row r="5689" customFormat="false" ht="17.15" hidden="false" customHeight="false" outlineLevel="0" collapsed="false">
      <c r="A5689" s="0" t="s">
        <v>1018</v>
      </c>
      <c r="B5689" s="0" t="s">
        <v>253</v>
      </c>
      <c r="F5689" s="7" t="n">
        <f aca="false">Sens!F5685-wacc</f>
        <v>-0.0304629362383423</v>
      </c>
      <c r="G5689" s="7" t="n">
        <f aca="false">Sens!G5685-wacc</f>
        <v>-0.00248113114454092</v>
      </c>
      <c r="H5689" s="7" t="n">
        <f aca="false">Sens!H5685-wacc</f>
        <v>0.022343615444663</v>
      </c>
      <c r="I5689" s="7" t="n">
        <f aca="false">Sens!I5685-wacc</f>
        <v>0.033270875495984</v>
      </c>
      <c r="J5689" s="7" t="n">
        <f aca="false">Sens!J5685-wacc</f>
        <v>0.0465450961043785</v>
      </c>
      <c r="K5689" s="7" t="n">
        <f aca="false">Sens!K5685-wacc</f>
        <v>0.0627277160656047</v>
      </c>
    </row>
    <row r="5690" customFormat="false" ht="17.15" hidden="false" customHeight="false" outlineLevel="0" collapsed="false">
      <c r="A5690" s="0" t="s">
        <v>1019</v>
      </c>
      <c r="B5690" s="0" t="s">
        <v>98</v>
      </c>
      <c r="F5690" s="6" t="n">
        <f aca="false">Sens!F5683*(1-tax_f)-wacc*(Sens!E5684+Sens!F5684)/2</f>
        <v>-5.8987008021173</v>
      </c>
      <c r="G5690" s="6" t="n">
        <f aca="false">Sens!G5683*(1-tax_f)-wacc*(Sens!F5684+Sens!G5684)/2</f>
        <v>-0.809289452284645</v>
      </c>
      <c r="H5690" s="6" t="n">
        <f aca="false">Sens!H5683*(1-tax_f)-wacc*(Sens!G5684+Sens!H5684)/2</f>
        <v>9.95710979252348</v>
      </c>
      <c r="I5690" s="6" t="n">
        <f aca="false">Sens!I5683*(1-tax_f)-wacc*(Sens!H5684+Sens!I5684)/2</f>
        <v>17.5231192830976</v>
      </c>
      <c r="J5690" s="6" t="n">
        <f aca="false">Sens!J5683*(1-tax_f)-wacc*(Sens!I5684+Sens!J5684)/2</f>
        <v>25.7082286889612</v>
      </c>
      <c r="K5690" s="6" t="n">
        <f aca="false">Sens!K5683*(1-tax_f)-wacc*(Sens!J5684+Sens!K5684)/2</f>
        <v>33.7952909442392</v>
      </c>
    </row>
    <row r="5691" customFormat="false" ht="17.15" hidden="false" customHeight="false" outlineLevel="0" collapsed="false">
      <c r="A5691" s="3" t="s">
        <v>1753</v>
      </c>
    </row>
    <row r="5692" customFormat="false" ht="15" hidden="false" customHeight="false" outlineLevel="0" collapsed="false">
      <c r="A5692" s="4" t="s">
        <v>43</v>
      </c>
      <c r="B5692" s="4" t="s">
        <v>65</v>
      </c>
      <c r="C5692" s="23" t="s">
        <v>942</v>
      </c>
      <c r="D5692" s="23" t="s">
        <v>943</v>
      </c>
      <c r="E5692" s="23" t="s">
        <v>944</v>
      </c>
      <c r="F5692" s="23" t="s">
        <v>945</v>
      </c>
      <c r="G5692" s="23" t="s">
        <v>946</v>
      </c>
      <c r="H5692" s="23" t="s">
        <v>947</v>
      </c>
      <c r="I5692" s="23" t="s">
        <v>948</v>
      </c>
      <c r="J5692" s="23" t="s">
        <v>949</v>
      </c>
      <c r="K5692" s="23" t="s">
        <v>950</v>
      </c>
      <c r="L5692" s="4" t="s">
        <v>47</v>
      </c>
    </row>
    <row r="5693" customFormat="false" ht="15" hidden="false" customHeight="false" outlineLevel="0" collapsed="false">
      <c r="A5693" s="1" t="s">
        <v>1080</v>
      </c>
      <c r="B5693" s="0" t="s">
        <v>98</v>
      </c>
      <c r="F5693" s="6" t="n">
        <f aca="false">Sens!F5674</f>
        <v>146.861592461501</v>
      </c>
      <c r="G5693" s="6" t="n">
        <f aca="false">Sens!G5674</f>
        <v>166.288448049335</v>
      </c>
      <c r="H5693" s="6" t="n">
        <f aca="false">Sens!H5674</f>
        <v>193.107602503167</v>
      </c>
      <c r="I5693" s="6" t="n">
        <f aca="false">Sens!I5674</f>
        <v>213.402451291486</v>
      </c>
      <c r="J5693" s="6" t="n">
        <f aca="false">Sens!J5674</f>
        <v>231.071374879246</v>
      </c>
      <c r="K5693" s="6" t="n">
        <f aca="false">Sens!K5674</f>
        <v>246.976408597975</v>
      </c>
    </row>
    <row r="5694" customFormat="false" ht="17.15" hidden="false" customHeight="false" outlineLevel="0" collapsed="false">
      <c r="A5694" s="1" t="s">
        <v>1102</v>
      </c>
      <c r="B5694" s="0" t="s">
        <v>98</v>
      </c>
      <c r="E5694" s="6" t="n">
        <f aca="false">Q!M38-Sens!E5612</f>
        <v>22.2285940229167</v>
      </c>
      <c r="F5694" s="6" t="n">
        <f aca="false">Sens!E5694*(1-1/life_nonai)+(Sens!F5702+Sens!F5703)/life_nonai</f>
        <v>23.580344216413</v>
      </c>
      <c r="G5694" s="6" t="n">
        <f aca="false">Sens!F5694*(1-1/life_nonai)+(Sens!G5702)/life_nonai</f>
        <v>25.3851771509038</v>
      </c>
      <c r="H5694" s="6" t="n">
        <f aca="false">Sens!G5694*(1-1/life_nonai)+(Sens!H5702)/life_nonai</f>
        <v>27.6068428628512</v>
      </c>
      <c r="I5694" s="6" t="n">
        <f aca="false">Sens!H5694*(1-1/life_nonai)+(Sens!I5702)/life_nonai</f>
        <v>30.1689123884325</v>
      </c>
      <c r="J5694" s="6" t="n">
        <f aca="false">Sens!I5694*(1-1/life_nonai)+(Sens!J5702)/life_nonai</f>
        <v>32.9792173366639</v>
      </c>
      <c r="K5694" s="6" t="n">
        <f aca="false">Sens!J5694*(1-1/life_nonai)+(Sens!K5702)/life_nonai</f>
        <v>35.9531493541191</v>
      </c>
      <c r="L5694" s="12" t="s">
        <v>1103</v>
      </c>
    </row>
    <row r="5695" customFormat="false" ht="17.15" hidden="false" customHeight="false" outlineLevel="0" collapsed="false">
      <c r="A5695" s="1" t="s">
        <v>1104</v>
      </c>
      <c r="B5695" s="0" t="s">
        <v>98</v>
      </c>
      <c r="F5695" s="6" t="n">
        <f aca="false">Sens!$F$5703/life_nonai*(1-1/life_nonai)^(Sens!F5575-2027)</f>
        <v>0.00051957798213067</v>
      </c>
      <c r="G5695" s="6" t="n">
        <f aca="false">Sens!$F$5703/life_nonai*(1-1/life_nonai)^(Sens!G5575-2027)</f>
        <v>0.000467620183917603</v>
      </c>
      <c r="H5695" s="6" t="n">
        <f aca="false">Sens!$F$5703/life_nonai*(1-1/life_nonai)^(Sens!H5575-2027)</f>
        <v>0.000420858165525843</v>
      </c>
      <c r="I5695" s="6" t="n">
        <f aca="false">Sens!$F$5703/life_nonai*(1-1/life_nonai)^(Sens!I5575-2027)</f>
        <v>0.000378772348973259</v>
      </c>
      <c r="J5695" s="6" t="n">
        <f aca="false">Sens!$F$5703/life_nonai*(1-1/life_nonai)^(Sens!J5575-2027)</f>
        <v>0.000340895114075933</v>
      </c>
      <c r="K5695" s="6" t="n">
        <f aca="false">Sens!$F$5703/life_nonai*(1-1/life_nonai)^(Sens!K5575-2027)</f>
        <v>0.000306805602668339</v>
      </c>
      <c r="L5695" s="1" t="s">
        <v>1105</v>
      </c>
    </row>
    <row r="5696" customFormat="false" ht="17.15" hidden="false" customHeight="false" outlineLevel="0" collapsed="false">
      <c r="A5696" s="1" t="s">
        <v>1106</v>
      </c>
      <c r="B5696" s="0" t="s">
        <v>98</v>
      </c>
      <c r="E5696" s="6" t="n">
        <f aca="false">Sens!E5612+Sens!E5694</f>
        <v>38.534</v>
      </c>
      <c r="F5696" s="6" t="n">
        <f aca="false">Sens!F5612+Sens!F5694</f>
        <v>58.1596586947647</v>
      </c>
      <c r="G5696" s="6" t="n">
        <f aca="false">Sens!G5612+Sens!G5694</f>
        <v>86.1196678032028</v>
      </c>
      <c r="H5696" s="6" t="n">
        <f aca="false">Sens!H5612+Sens!H5694</f>
        <v>116.706933524297</v>
      </c>
      <c r="I5696" s="6" t="n">
        <f aca="false">Sens!I5612+Sens!I5694</f>
        <v>144.399922082981</v>
      </c>
      <c r="J5696" s="6" t="n">
        <f aca="false">Sens!J5612+Sens!J5694</f>
        <v>164.99489038626</v>
      </c>
      <c r="K5696" s="6" t="n">
        <f aca="false">Sens!K5612+Sens!K5694</f>
        <v>178.965818905053</v>
      </c>
    </row>
    <row r="5697" customFormat="false" ht="17.15" hidden="false" customHeight="false" outlineLevel="0" collapsed="false">
      <c r="A5697" s="1" t="s">
        <v>1107</v>
      </c>
      <c r="B5697" s="0" t="s">
        <v>98</v>
      </c>
      <c r="F5697" s="6" t="n">
        <f aca="false">Sens!F5639*sbc_r</f>
        <v>15.0399151995944</v>
      </c>
      <c r="G5697" s="6" t="n">
        <f aca="false">Sens!G5639*sbc_r</f>
        <v>18.3098047553183</v>
      </c>
      <c r="H5697" s="6" t="n">
        <f aca="false">Sens!H5639*sbc_r</f>
        <v>21.8266145907232</v>
      </c>
      <c r="I5697" s="6" t="n">
        <f aca="false">Sens!I5639*sbc_r</f>
        <v>24.8172057294439</v>
      </c>
      <c r="J5697" s="6" t="n">
        <f aca="false">Sens!J5639*sbc_r</f>
        <v>27.222902813831</v>
      </c>
      <c r="K5697" s="6" t="n">
        <f aca="false">Sens!K5639*sbc_r</f>
        <v>29.1276037360301</v>
      </c>
    </row>
    <row r="5698" customFormat="false" ht="17.15" hidden="false" customHeight="false" outlineLevel="0" collapsed="false">
      <c r="A5698" s="1" t="s">
        <v>1108</v>
      </c>
      <c r="B5698" s="0" t="s">
        <v>98</v>
      </c>
      <c r="F5698" s="6" t="n">
        <f aca="false">wc27-wc26q1</f>
        <v>-4.677</v>
      </c>
      <c r="G5698" s="6" t="n">
        <f aca="false">wc_f</f>
        <v>0</v>
      </c>
      <c r="H5698" s="6" t="n">
        <f aca="false">wc_f</f>
        <v>0</v>
      </c>
      <c r="I5698" s="6" t="n">
        <f aca="false">wc_f</f>
        <v>0</v>
      </c>
      <c r="J5698" s="6" t="n">
        <f aca="false">wc_f</f>
        <v>0</v>
      </c>
      <c r="K5698" s="6" t="n">
        <f aca="false">wc_f</f>
        <v>0</v>
      </c>
      <c r="L5698" s="12" t="s">
        <v>1109</v>
      </c>
    </row>
    <row r="5699" customFormat="false" ht="17.15" hidden="false" customHeight="false" outlineLevel="0" collapsed="false">
      <c r="A5699" s="0" t="s">
        <v>1110</v>
      </c>
      <c r="B5699" s="0" t="s">
        <v>98</v>
      </c>
      <c r="F5699" s="6" t="n">
        <f aca="false">Q!$I$35-Q!$I$26-Q!$I$38-Q!$I$39</f>
        <v>6.493</v>
      </c>
      <c r="L5699" s="1" t="s">
        <v>1111</v>
      </c>
    </row>
    <row r="5700" customFormat="false" ht="15" hidden="false" customHeight="false" outlineLevel="0" collapsed="false">
      <c r="A5700" s="1" t="s">
        <v>908</v>
      </c>
      <c r="B5700" s="0" t="s">
        <v>98</v>
      </c>
      <c r="E5700" s="6" t="n">
        <f aca="false">Q!M35</f>
        <v>182.935</v>
      </c>
      <c r="F5700" s="6" t="n">
        <f aca="false">Sens!F5693+Sens!F5696+Sens!F5697+Sens!F5698+Sens!F5699</f>
        <v>221.87716635586</v>
      </c>
      <c r="G5700" s="6" t="n">
        <f aca="false">Sens!G5693+Sens!G5696+Sens!G5697+Sens!G5698</f>
        <v>270.717920607856</v>
      </c>
      <c r="H5700" s="6" t="n">
        <f aca="false">Sens!H5693+Sens!H5696+Sens!H5697+Sens!H5698</f>
        <v>331.641150618187</v>
      </c>
      <c r="I5700" s="6" t="n">
        <f aca="false">Sens!I5693+Sens!I5696+Sens!I5697+Sens!I5698</f>
        <v>382.619579103911</v>
      </c>
      <c r="J5700" s="6" t="n">
        <f aca="false">Sens!J5693+Sens!J5696+Sens!J5697+Sens!J5698</f>
        <v>423.289168079337</v>
      </c>
      <c r="K5700" s="6" t="n">
        <f aca="false">Sens!K5693+Sens!K5696+Sens!K5697+Sens!K5698</f>
        <v>455.069831239058</v>
      </c>
    </row>
    <row r="5701" customFormat="false" ht="17.15" hidden="false" customHeight="false" outlineLevel="0" collapsed="false">
      <c r="A5701" s="0" t="s">
        <v>1112</v>
      </c>
      <c r="B5701" s="0" t="s">
        <v>98</v>
      </c>
      <c r="F5701" s="6" t="n">
        <f aca="false">Sens!F5609</f>
        <v>168.45390404212</v>
      </c>
      <c r="G5701" s="6" t="n">
        <f aca="false">Sens!G5609</f>
        <v>191.944475649048</v>
      </c>
      <c r="H5701" s="6" t="n">
        <f aca="false">Sens!H5609</f>
        <v>196.806004064512</v>
      </c>
      <c r="I5701" s="6" t="n">
        <f aca="false">Sens!I5609</f>
        <v>168.61483362161</v>
      </c>
      <c r="J5701" s="6" t="n">
        <f aca="false">Sens!J5609</f>
        <v>128.92993119594</v>
      </c>
      <c r="K5701" s="6" t="n">
        <f aca="false">Sens!K5609</f>
        <v>118.962853064733</v>
      </c>
    </row>
    <row r="5702" customFormat="false" ht="17.15" hidden="false" customHeight="false" outlineLevel="0" collapsed="false">
      <c r="A5702" s="1" t="s">
        <v>1113</v>
      </c>
      <c r="B5702" s="0" t="s">
        <v>98</v>
      </c>
      <c r="E5702" s="6" t="n">
        <f aca="false">Sens!E5617*cx_azo+Sens!E5624*cx_m365+Sens!E5625*cx_lic+(Sens!E5627+Sens!E5629)*cx_ind+Sens!E5632*cx_srch+(Sens!E5634+Sens!E5636)*cx_dev</f>
        <v>30.1846587067718</v>
      </c>
      <c r="F5702" s="6" t="n">
        <f aca="false">Sens!F5617*cx_azo+Sens!F5624*cx_m365+Sens!F5625*cx_lic+(Sens!F5627+Sens!F5629)*cx_ind+Sens!F5632*cx_srch+(Sens!F5634+Sens!F5636)*cx_dev</f>
        <v>35.7409001780591</v>
      </c>
      <c r="G5702" s="6" t="n">
        <f aca="false">Sens!G5617*cx_azo+Sens!G5624*cx_m365+Sens!G5625*cx_lic+(Sens!G5627+Sens!G5629)*cx_ind+Sens!G5632*cx_srch+(Sens!G5634+Sens!G5636)*cx_dev</f>
        <v>41.6286735613207</v>
      </c>
      <c r="H5702" s="6" t="n">
        <f aca="false">Sens!H5617*cx_azo+Sens!H5624*cx_m365+Sens!H5625*cx_lic+(Sens!H5627+Sens!H5629)*cx_ind+Sens!H5632*cx_srch+(Sens!H5634+Sens!H5636)*cx_dev</f>
        <v>47.6018342703777</v>
      </c>
      <c r="I5702" s="6" t="n">
        <f aca="false">Sens!I5617*cx_azo+Sens!I5624*cx_m365+Sens!I5625*cx_lic+(Sens!I5627+Sens!I5629)*cx_ind+Sens!I5632*cx_srch+(Sens!I5634+Sens!I5636)*cx_dev</f>
        <v>53.2275381186638</v>
      </c>
      <c r="J5702" s="6" t="n">
        <f aca="false">Sens!J5617*cx_azo+Sens!J5624*cx_m365+Sens!J5625*cx_lic+(Sens!J5627+Sens!J5629)*cx_ind+Sens!J5632*cx_srch+(Sens!J5634+Sens!J5636)*cx_dev</f>
        <v>58.2719618707468</v>
      </c>
      <c r="K5702" s="6" t="n">
        <f aca="false">Sens!K5617*cx_azo+Sens!K5624*cx_m365+Sens!K5625*cx_lic+(Sens!K5627+Sens!K5629)*cx_ind+Sens!K5632*cx_srch+(Sens!K5634+Sens!K5636)*cx_dev</f>
        <v>62.7185375112162</v>
      </c>
    </row>
    <row r="5703" customFormat="false" ht="17.15" hidden="false" customHeight="false" outlineLevel="0" collapsed="false">
      <c r="A5703" s="0" t="s">
        <v>1114</v>
      </c>
      <c r="B5703" s="0" t="s">
        <v>98</v>
      </c>
      <c r="F5703" s="6" t="n">
        <f aca="false">Sens!F5607</f>
        <v>0.0051957798213067</v>
      </c>
      <c r="L5703" s="1" t="s">
        <v>1115</v>
      </c>
    </row>
    <row r="5704" customFormat="false" ht="17.15" hidden="false" customHeight="false" outlineLevel="0" collapsed="false">
      <c r="A5704" s="1" t="s">
        <v>1116</v>
      </c>
      <c r="B5704" s="0" t="s">
        <v>98</v>
      </c>
      <c r="E5704" s="6" t="n">
        <f aca="false">Q!M43</f>
        <v>145.3</v>
      </c>
      <c r="F5704" s="6" t="n">
        <f aca="false">Sens!F5701+Sens!F5702+Sens!F5703</f>
        <v>204.2</v>
      </c>
      <c r="G5704" s="6" t="n">
        <f aca="false">Sens!G5701+Sens!G5702</f>
        <v>233.573149210369</v>
      </c>
      <c r="H5704" s="6" t="n">
        <f aca="false">Sens!H5701+Sens!H5702</f>
        <v>244.40783833489</v>
      </c>
      <c r="I5704" s="6" t="n">
        <f aca="false">Sens!I5701+Sens!I5702</f>
        <v>221.842371740274</v>
      </c>
      <c r="J5704" s="6" t="n">
        <f aca="false">Sens!J5701+Sens!J5702</f>
        <v>187.201893066687</v>
      </c>
      <c r="K5704" s="6" t="n">
        <f aca="false">Sens!K5701+Sens!K5702</f>
        <v>181.681390575949</v>
      </c>
      <c r="L5704" s="1" t="s">
        <v>1117</v>
      </c>
    </row>
    <row r="5705" customFormat="false" ht="15" hidden="false" customHeight="false" outlineLevel="0" collapsed="false">
      <c r="A5705" s="1" t="s">
        <v>1118</v>
      </c>
      <c r="B5705" s="0" t="s">
        <v>98</v>
      </c>
      <c r="E5705" s="6" t="n">
        <f aca="false">fl_liab</f>
        <v>66.594</v>
      </c>
      <c r="F5705" s="6" t="n">
        <f aca="false">Sens!E5705-Sens!F5706</f>
        <v>62.46973</v>
      </c>
      <c r="G5705" s="6" t="n">
        <f aca="false">Sens!F5705-Sens!G5706</f>
        <v>57.98686785</v>
      </c>
      <c r="H5705" s="6" t="n">
        <f aca="false">Sens!G5705-Sens!H5706</f>
        <v>53.92827690325</v>
      </c>
      <c r="I5705" s="6" t="n">
        <f aca="false">Sens!H5705-Sens!I5706</f>
        <v>49.7850493638962</v>
      </c>
      <c r="J5705" s="6" t="n">
        <f aca="false">Sens!I5705-Sens!J5706</f>
        <v>45.4823765852716</v>
      </c>
      <c r="K5705" s="6" t="n">
        <f aca="false">Sens!J5705-Sens!K5706</f>
        <v>40.9860835316088</v>
      </c>
    </row>
    <row r="5706" customFormat="false" ht="15" hidden="false" customHeight="false" outlineLevel="0" collapsed="false">
      <c r="A5706" s="1" t="s">
        <v>1119</v>
      </c>
      <c r="B5706" s="0" t="s">
        <v>98</v>
      </c>
      <c r="F5706" s="6" t="n">
        <f aca="false">fl_pay_27-Sens!E5705*fl_rate</f>
        <v>4.12427</v>
      </c>
      <c r="G5706" s="6" t="n">
        <f aca="false">fl_pay_28-Sens!F5705*fl_rate</f>
        <v>4.48286215</v>
      </c>
      <c r="H5706" s="6" t="n">
        <f aca="false">fl_pay_29-Sens!G5705*fl_rate</f>
        <v>4.05859094675</v>
      </c>
      <c r="I5706" s="6" t="n">
        <f aca="false">fl_pay_30-Sens!H5705*fl_rate</f>
        <v>4.14322753935375</v>
      </c>
      <c r="J5706" s="6" t="n">
        <f aca="false">fl_pay_31-Sens!I5705*fl_rate</f>
        <v>4.30267277862467</v>
      </c>
      <c r="K5706" s="6" t="n">
        <f aca="false">fl_pay_32-Sens!J5705*fl_rate</f>
        <v>4.49629305366278</v>
      </c>
    </row>
    <row r="5707" customFormat="false" ht="17.15" hidden="false" customHeight="false" outlineLevel="0" collapsed="false">
      <c r="A5707" s="1" t="s">
        <v>1120</v>
      </c>
      <c r="B5707" s="0" t="s">
        <v>98</v>
      </c>
      <c r="E5707" s="6" t="n">
        <f aca="false">Q!M35-Q!M36-Q!M44</f>
        <v>63.886</v>
      </c>
      <c r="F5707" s="6" t="n">
        <f aca="false">Sens!F5700-Sens!F5704-Sens!F5706</f>
        <v>13.55289635586</v>
      </c>
      <c r="G5707" s="6" t="n">
        <f aca="false">Sens!G5700-Sens!G5704-Sens!G5706</f>
        <v>32.6619092474873</v>
      </c>
      <c r="H5707" s="6" t="n">
        <f aca="false">Sens!H5700-Sens!H5704-Sens!H5706</f>
        <v>83.1747213365472</v>
      </c>
      <c r="I5707" s="6" t="n">
        <f aca="false">Sens!I5700-Sens!I5704-Sens!I5706</f>
        <v>156.633979824283</v>
      </c>
      <c r="J5707" s="6" t="n">
        <f aca="false">Sens!J5700-Sens!J5704-Sens!J5706</f>
        <v>231.784602234026</v>
      </c>
      <c r="K5707" s="6" t="n">
        <f aca="false">Sens!K5700-Sens!K5704-Sens!K5706</f>
        <v>268.892147609447</v>
      </c>
      <c r="L5707" s="12" t="s">
        <v>1121</v>
      </c>
    </row>
    <row r="5708" customFormat="false" ht="15" hidden="false" customHeight="false" outlineLevel="0" collapsed="false">
      <c r="A5708" s="1" t="s">
        <v>1122</v>
      </c>
      <c r="B5708" s="0" t="s">
        <v>75</v>
      </c>
      <c r="F5708" s="8" t="n">
        <f aca="false">dps_27</f>
        <v>3.85</v>
      </c>
      <c r="G5708" s="8" t="n">
        <f aca="false">Sens!F5708*(1+dps_g)</f>
        <v>4.158</v>
      </c>
      <c r="H5708" s="8" t="n">
        <f aca="false">Sens!G5708*(1+dps_g)</f>
        <v>4.49064</v>
      </c>
      <c r="I5708" s="8" t="n">
        <f aca="false">Sens!H5708*(1+dps_g)</f>
        <v>4.8498912</v>
      </c>
      <c r="J5708" s="8" t="n">
        <f aca="false">Sens!I5708*(1+dps_g)</f>
        <v>5.237882496</v>
      </c>
      <c r="K5708" s="8" t="n">
        <f aca="false">Sens!J5708*(1+dps_g)</f>
        <v>5.65691309568</v>
      </c>
    </row>
    <row r="5709" customFormat="false" ht="17.15" hidden="false" customHeight="false" outlineLevel="0" collapsed="false">
      <c r="A5709" s="1" t="s">
        <v>1123</v>
      </c>
      <c r="B5709" s="0" t="s">
        <v>98</v>
      </c>
      <c r="E5709" s="6" t="n">
        <f aca="false">Q!M41</f>
        <v>26.445</v>
      </c>
      <c r="F5709" s="6" t="n">
        <f aca="false">Sens!F5708*Sens!E5718</f>
        <v>28.59395</v>
      </c>
      <c r="G5709" s="6" t="n">
        <f aca="false">Sens!G5708*Sens!F5718</f>
        <v>31.0493476752519</v>
      </c>
      <c r="H5709" s="6" t="n">
        <f aca="false">Sens!H5708*Sens!G5718</f>
        <v>33.7232240113024</v>
      </c>
      <c r="I5709" s="6" t="n">
        <f aca="false">Sens!I5708*Sens!H5718</f>
        <v>36.4715202092792</v>
      </c>
      <c r="J5709" s="6" t="n">
        <f aca="false">Sens!J5708*Sens!I5718</f>
        <v>39.4571397114142</v>
      </c>
      <c r="K5709" s="6" t="n">
        <f aca="false">Sens!K5708*Sens!J5718</f>
        <v>42.7004651507056</v>
      </c>
      <c r="L5709" s="1" t="s">
        <v>1124</v>
      </c>
    </row>
    <row r="5710" customFormat="false" ht="15" hidden="false" customHeight="false" outlineLevel="0" collapsed="false">
      <c r="A5710" s="1" t="s">
        <v>1125</v>
      </c>
      <c r="B5710" s="0" t="s">
        <v>98</v>
      </c>
      <c r="E5710" s="6" t="n">
        <f aca="false">Sens!E5707-Sens!E5709</f>
        <v>37.441</v>
      </c>
      <c r="F5710" s="6" t="n">
        <f aca="false">Sens!F5707-Sens!F5709</f>
        <v>-15.04105364414</v>
      </c>
      <c r="G5710" s="6" t="n">
        <f aca="false">Sens!G5707-Sens!G5709</f>
        <v>1.61256157223542</v>
      </c>
      <c r="H5710" s="6" t="n">
        <f aca="false">Sens!H5707-Sens!H5709</f>
        <v>49.4514973252448</v>
      </c>
      <c r="I5710" s="6" t="n">
        <f aca="false">Sens!I5707-Sens!I5709</f>
        <v>120.162459615003</v>
      </c>
      <c r="J5710" s="6" t="n">
        <f aca="false">Sens!J5707-Sens!J5709</f>
        <v>192.327462522611</v>
      </c>
      <c r="K5710" s="6" t="n">
        <f aca="false">Sens!K5707-Sens!K5709</f>
        <v>226.191682458741</v>
      </c>
    </row>
    <row r="5711" customFormat="false" ht="15" hidden="false" customHeight="false" outlineLevel="0" collapsed="false">
      <c r="A5711" s="1" t="s">
        <v>1126</v>
      </c>
      <c r="B5711" s="0" t="s">
        <v>98</v>
      </c>
      <c r="F5711" s="6" t="n">
        <f aca="false">debt_mat_27</f>
        <v>9.25</v>
      </c>
      <c r="G5711" s="6" t="n">
        <f aca="false">debt_mat_28</f>
        <v>0</v>
      </c>
      <c r="H5711" s="6" t="n">
        <f aca="false">debt_mat_29</f>
        <v>2.001</v>
      </c>
      <c r="I5711" s="6" t="n">
        <f aca="false">debt_mat_30</f>
        <v>0</v>
      </c>
      <c r="J5711" s="6" t="n">
        <f aca="false">debt_mat_31</f>
        <v>0.5</v>
      </c>
      <c r="K5711" s="6" t="n">
        <f aca="false">debt_mat_32</f>
        <v>0</v>
      </c>
    </row>
    <row r="5712" customFormat="false" ht="15" hidden="false" customHeight="false" outlineLevel="0" collapsed="false">
      <c r="A5712" s="1" t="s">
        <v>1127</v>
      </c>
      <c r="B5712" s="0" t="s">
        <v>98</v>
      </c>
      <c r="E5712" s="6" t="n">
        <f aca="false">Q!M40</f>
        <v>22.271</v>
      </c>
      <c r="F5712" s="6" t="n">
        <f aca="false">MAX(0,MIN(bb_target,Sens!E5714+Sens!F5710-Sens!F5711-min_cash))</f>
        <v>2.55194635586001</v>
      </c>
      <c r="G5712" s="6" t="n">
        <f aca="false">MAX(0,MIN(bb_target,Sens!F5714+Sens!G5710-Sens!G5711-min_cash))</f>
        <v>1.61256157223542</v>
      </c>
      <c r="H5712" s="6" t="n">
        <f aca="false">MAX(0,MIN(bb_target,Sens!G5714+Sens!H5710-Sens!H5711-min_cash))</f>
        <v>22.271</v>
      </c>
      <c r="I5712" s="6" t="n">
        <f aca="false">MAX(0,MIN(bb_target,Sens!H5714+Sens!I5710-Sens!I5711-min_cash))</f>
        <v>22.271</v>
      </c>
      <c r="J5712" s="6" t="n">
        <f aca="false">MAX(0,MIN(bb_target,Sens!I5714+Sens!J5710-Sens!J5711-min_cash))</f>
        <v>22.271</v>
      </c>
      <c r="K5712" s="6" t="n">
        <f aca="false">MAX(0,MIN(bb_target,Sens!J5714+Sens!K5710-Sens!K5711-min_cash))</f>
        <v>22.271</v>
      </c>
    </row>
    <row r="5713" customFormat="false" ht="15" hidden="false" customHeight="false" outlineLevel="0" collapsed="false">
      <c r="A5713" s="1" t="s">
        <v>1128</v>
      </c>
      <c r="B5713" s="0" t="s">
        <v>98</v>
      </c>
      <c r="F5713" s="6" t="n">
        <f aca="false">MAX(0,min_cash-(Sens!E5714+Sens!F5710-Sens!F5711-Sens!F5712))</f>
        <v>0</v>
      </c>
      <c r="G5713" s="6" t="n">
        <f aca="false">MAX(0,min_cash-(Sens!F5714+Sens!G5710-Sens!G5711-Sens!G5712))</f>
        <v>0</v>
      </c>
      <c r="H5713" s="6" t="n">
        <f aca="false">MAX(0,min_cash-(Sens!G5714+Sens!H5710-Sens!H5711-Sens!H5712))</f>
        <v>0</v>
      </c>
      <c r="I5713" s="6" t="n">
        <f aca="false">MAX(0,min_cash-(Sens!H5714+Sens!I5710-Sens!I5711-Sens!I5712))</f>
        <v>0</v>
      </c>
      <c r="J5713" s="6" t="n">
        <f aca="false">MAX(0,min_cash-(Sens!I5714+Sens!J5710-Sens!J5711-Sens!J5712))</f>
        <v>0</v>
      </c>
      <c r="K5713" s="6" t="n">
        <f aca="false">MAX(0,min_cash-(Sens!J5714+Sens!K5710-Sens!K5711-Sens!K5712))</f>
        <v>0</v>
      </c>
    </row>
    <row r="5714" customFormat="false" ht="15" hidden="false" customHeight="false" outlineLevel="0" collapsed="false">
      <c r="A5714" s="1" t="s">
        <v>1129</v>
      </c>
      <c r="B5714" s="0" t="s">
        <v>98</v>
      </c>
      <c r="E5714" s="6" t="n">
        <f aca="false">cash_open</f>
        <v>76.843</v>
      </c>
      <c r="F5714" s="6" t="n">
        <f aca="false">Sens!E5714+Sens!F5710-Sens!F5711-Sens!F5712+Sens!F5713</f>
        <v>50</v>
      </c>
      <c r="G5714" s="6" t="n">
        <f aca="false">Sens!F5714+Sens!G5710-Sens!G5711-Sens!G5712+Sens!G5713</f>
        <v>50</v>
      </c>
      <c r="H5714" s="6" t="n">
        <f aca="false">Sens!G5714+Sens!H5710-Sens!H5711-Sens!H5712+Sens!H5713</f>
        <v>75.1794973252448</v>
      </c>
      <c r="I5714" s="6" t="n">
        <f aca="false">Sens!H5714+Sens!I5710-Sens!I5711-Sens!I5712+Sens!I5713</f>
        <v>173.070956940248</v>
      </c>
      <c r="J5714" s="6" t="n">
        <f aca="false">Sens!I5714+Sens!J5710-Sens!J5711-Sens!J5712+Sens!J5713</f>
        <v>342.627419462859</v>
      </c>
      <c r="K5714" s="6" t="n">
        <f aca="false">Sens!J5714+Sens!K5710-Sens!K5711-Sens!K5712+Sens!K5713</f>
        <v>546.548101921601</v>
      </c>
    </row>
    <row r="5715" customFormat="false" ht="15" hidden="false" customHeight="false" outlineLevel="0" collapsed="false">
      <c r="A5715" s="1" t="s">
        <v>1130</v>
      </c>
      <c r="B5715" s="0" t="s">
        <v>98</v>
      </c>
      <c r="E5715" s="6" t="n">
        <f aca="false">debt_face</f>
        <v>46.136</v>
      </c>
      <c r="F5715" s="6" t="n">
        <f aca="false">Sens!E5715-Sens!F5711+Sens!F5713</f>
        <v>36.886</v>
      </c>
      <c r="G5715" s="6" t="n">
        <f aca="false">Sens!F5715-Sens!G5711+Sens!G5713</f>
        <v>36.886</v>
      </c>
      <c r="H5715" s="6" t="n">
        <f aca="false">Sens!G5715-Sens!H5711+Sens!H5713</f>
        <v>34.885</v>
      </c>
      <c r="I5715" s="6" t="n">
        <f aca="false">Sens!H5715-Sens!I5711+Sens!I5713</f>
        <v>34.885</v>
      </c>
      <c r="J5715" s="6" t="n">
        <f aca="false">Sens!I5715-Sens!J5711+Sens!J5713</f>
        <v>34.385</v>
      </c>
      <c r="K5715" s="6" t="n">
        <f aca="false">Sens!J5715-Sens!K5711+Sens!K5713</f>
        <v>34.385</v>
      </c>
    </row>
    <row r="5716" customFormat="false" ht="15" hidden="false" customHeight="false" outlineLevel="0" collapsed="false">
      <c r="A5716" s="1" t="s">
        <v>1131</v>
      </c>
      <c r="B5716" s="0" t="s">
        <v>98</v>
      </c>
      <c r="E5716" s="6" t="n">
        <f aca="false">Sens!E5714-Sens!E5715</f>
        <v>30.707</v>
      </c>
      <c r="F5716" s="6" t="n">
        <f aca="false">Sens!F5714-Sens!F5715</f>
        <v>13.114</v>
      </c>
      <c r="G5716" s="6" t="n">
        <f aca="false">Sens!G5714-Sens!G5715</f>
        <v>13.114</v>
      </c>
      <c r="H5716" s="6" t="n">
        <f aca="false">Sens!H5714-Sens!H5715</f>
        <v>40.2944973252448</v>
      </c>
      <c r="I5716" s="6" t="n">
        <f aca="false">Sens!I5714-Sens!I5715</f>
        <v>138.185956940248</v>
      </c>
      <c r="J5716" s="6" t="n">
        <f aca="false">Sens!J5714-Sens!J5715</f>
        <v>308.242419462859</v>
      </c>
      <c r="K5716" s="6" t="n">
        <f aca="false">Sens!K5714-Sens!K5715</f>
        <v>512.163101921601</v>
      </c>
    </row>
    <row r="5717" customFormat="false" ht="15" hidden="false" customHeight="false" outlineLevel="0" collapsed="false">
      <c r="A5717" s="1" t="s">
        <v>1132</v>
      </c>
      <c r="B5717" s="0" t="s">
        <v>75</v>
      </c>
      <c r="F5717" s="30" t="n">
        <f aca="false">px*(1+bb_g)^(Sens!F5575-base_fy-mid_yr)</f>
        <v>551.84177959629</v>
      </c>
      <c r="G5717" s="30" t="n">
        <f aca="false">px*(1+bb_g)^(Sens!G5575-base_fy-mid_yr)</f>
        <v>595.989121963993</v>
      </c>
      <c r="H5717" s="30" t="n">
        <f aca="false">px*(1+bb_g)^(Sens!H5575-base_fy-mid_yr)</f>
        <v>643.668251721112</v>
      </c>
      <c r="I5717" s="30" t="n">
        <f aca="false">px*(1+bb_g)^(Sens!I5575-base_fy-mid_yr)</f>
        <v>695.161711858801</v>
      </c>
      <c r="J5717" s="30" t="n">
        <f aca="false">px*(1+bb_g)^(Sens!J5575-base_fy-mid_yr)</f>
        <v>750.774648807506</v>
      </c>
      <c r="K5717" s="30" t="n">
        <f aca="false">px*(1+bb_g)^(Sens!K5575-base_fy-mid_yr)</f>
        <v>810.836620712106</v>
      </c>
    </row>
    <row r="5718" customFormat="false" ht="15" hidden="false" customHeight="false" outlineLevel="0" collapsed="false">
      <c r="A5718" s="1" t="s">
        <v>1133</v>
      </c>
      <c r="B5718" s="1" t="s">
        <v>81</v>
      </c>
      <c r="E5718" s="15" t="n">
        <f aca="false">sh_out26</f>
        <v>7.427</v>
      </c>
      <c r="F5718" s="15" t="n">
        <f aca="false">Sens!E5718+sh_iss-Sens!F5712/Sens!F5717</f>
        <v>7.46737558327366</v>
      </c>
      <c r="G5718" s="15" t="n">
        <f aca="false">Sens!F5718+sh_iss-Sens!G5712/Sens!G5717</f>
        <v>7.50966989366825</v>
      </c>
      <c r="H5718" s="15" t="n">
        <f aca="false">Sens!G5718+sh_iss-Sens!H5712/Sens!H5717</f>
        <v>7.52006977172585</v>
      </c>
      <c r="I5718" s="15" t="n">
        <f aca="false">Sens!H5718+sh_iss-Sens!I5712/Sens!I5717</f>
        <v>7.53303262177919</v>
      </c>
      <c r="J5718" s="15" t="n">
        <f aca="false">Sens!I5718+sh_iss-Sens!J5712/Sens!J5717</f>
        <v>7.54836859405079</v>
      </c>
      <c r="K5718" s="15" t="n">
        <f aca="false">Sens!J5718+sh_iss-Sens!K5712/Sens!K5717</f>
        <v>7.56590190170969</v>
      </c>
    </row>
    <row r="5719" customFormat="false" ht="15" hidden="false" customHeight="false" outlineLevel="0" collapsed="false">
      <c r="A5719" s="1" t="s">
        <v>1134</v>
      </c>
      <c r="B5719" s="1" t="s">
        <v>81</v>
      </c>
      <c r="E5719" s="15" t="n">
        <f aca="false">sh_dil26</f>
        <v>7.453</v>
      </c>
      <c r="F5719" s="15" t="n">
        <f aca="false">(Sens!E5718+Sens!F5718)/2+dil_gap</f>
        <v>7.47118779163683</v>
      </c>
      <c r="G5719" s="15" t="n">
        <f aca="false">(Sens!F5718+Sens!G5718)/2+dil_gap</f>
        <v>7.51252273847095</v>
      </c>
      <c r="H5719" s="15" t="n">
        <f aca="false">(Sens!G5718+Sens!H5718)/2+dil_gap</f>
        <v>7.53886983269705</v>
      </c>
      <c r="I5719" s="15" t="n">
        <f aca="false">(Sens!H5718+Sens!I5718)/2+dil_gap</f>
        <v>7.55055119675252</v>
      </c>
      <c r="J5719" s="15" t="n">
        <f aca="false">(Sens!I5718+Sens!J5718)/2+dil_gap</f>
        <v>7.56470060791499</v>
      </c>
      <c r="K5719" s="15" t="n">
        <f aca="false">(Sens!J5718+Sens!K5718)/2+dil_gap</f>
        <v>7.58113524788024</v>
      </c>
    </row>
    <row r="5720" customFormat="false" ht="17.15" hidden="false" customHeight="false" outlineLevel="0" collapsed="false">
      <c r="A5720" s="1" t="s">
        <v>1135</v>
      </c>
      <c r="B5720" s="0" t="s">
        <v>98</v>
      </c>
      <c r="C5720" s="6" t="n">
        <f aca="false">SUM(Sens!F5710:J5710)</f>
        <v>348.512927390955</v>
      </c>
    </row>
    <row r="5721" customFormat="false" ht="15" hidden="false" customHeight="false" outlineLevel="0" collapsed="false">
      <c r="A5721" s="26" t="s">
        <v>1100</v>
      </c>
      <c r="B5721" s="31" t="s">
        <v>98</v>
      </c>
      <c r="C5721" s="27" t="n">
        <f aca="false">Sens!$C$5720-(Sens!F5710+Sens!G5710+Sens!H5710+Sens!I5710+Sens!J5710)</f>
        <v>0</v>
      </c>
      <c r="D5721" s="31"/>
      <c r="E5721" s="31"/>
      <c r="F5721" s="31"/>
      <c r="G5721" s="31"/>
      <c r="H5721" s="31"/>
      <c r="I5721" s="31"/>
      <c r="J5721" s="31"/>
      <c r="K5721" s="31"/>
    </row>
    <row r="5722" customFormat="false" ht="17.15" hidden="false" customHeight="false" outlineLevel="0" collapsed="false">
      <c r="A5722" s="1" t="s">
        <v>1094</v>
      </c>
      <c r="B5722" s="1" t="s">
        <v>1136</v>
      </c>
      <c r="C5722" s="33" t="str">
        <f aca="false">IF(SUM(Sens!F5713:J5713)&gt;0.05,"需要舉債 "&amp;TEXT(SUM(Sens!F5713:J5713),"0.0")&amp;" 十億美元","不需舉債")&amp;"；"&amp;IF(SUM(Sens!F5712:J5712)&lt;COUNT(Sens!F5712:J5712)*bb_target-0.05,"回購較每年 "&amp;TEXT(bb_target,"0.0")&amp;" 的目標少 "&amp;TEXT(COUNT(Sens!F5712:J5712)*bb_target-SUM(Sens!F5712:J5712),"0.0")&amp;" 十億美元（"&amp;TEXT(COUNTIF(Sens!F5712:J5712,"&lt;"&amp;(bb_target-0.05)),"0")&amp;" 年減少）","回購不減")</f>
        <v>不需舉債；回購較每年 22.3 的目標少 40.4 十億美元（2 年減少）</v>
      </c>
    </row>
    <row r="5723" customFormat="false" ht="17.15" hidden="false" customHeight="false" outlineLevel="0" collapsed="false">
      <c r="A5723" s="3" t="s">
        <v>1754</v>
      </c>
    </row>
    <row r="5724" customFormat="false" ht="15" hidden="false" customHeight="false" outlineLevel="0" collapsed="false">
      <c r="A5724" s="4" t="s">
        <v>43</v>
      </c>
      <c r="B5724" s="4" t="s">
        <v>65</v>
      </c>
      <c r="C5724" s="23" t="s">
        <v>942</v>
      </c>
      <c r="D5724" s="23" t="s">
        <v>943</v>
      </c>
      <c r="E5724" s="23" t="s">
        <v>944</v>
      </c>
      <c r="F5724" s="23" t="s">
        <v>945</v>
      </c>
      <c r="G5724" s="23" t="s">
        <v>946</v>
      </c>
      <c r="H5724" s="23" t="s">
        <v>947</v>
      </c>
      <c r="I5724" s="23" t="s">
        <v>948</v>
      </c>
      <c r="J5724" s="23" t="s">
        <v>949</v>
      </c>
      <c r="K5724" s="23" t="s">
        <v>950</v>
      </c>
      <c r="L5724" s="4" t="s">
        <v>47</v>
      </c>
    </row>
    <row r="5725" customFormat="false" ht="17.15" hidden="false" customHeight="false" outlineLevel="0" collapsed="false">
      <c r="A5725" s="1" t="s">
        <v>1216</v>
      </c>
      <c r="B5725" s="1" t="s">
        <v>279</v>
      </c>
      <c r="F5725" s="8" t="n">
        <f aca="false">(1-v_off)*mid_yr</f>
        <v>0.373972602739726</v>
      </c>
      <c r="G5725" s="8" t="n">
        <f aca="false">Sens!G5575-base_fy-mid_yr-v_off</f>
        <v>1.24794520547945</v>
      </c>
      <c r="H5725" s="8" t="n">
        <f aca="false">Sens!H5575-base_fy-mid_yr-v_off</f>
        <v>2.24794520547945</v>
      </c>
      <c r="I5725" s="8" t="n">
        <f aca="false">Sens!I5575-base_fy-mid_yr-v_off</f>
        <v>3.24794520547945</v>
      </c>
      <c r="J5725" s="8" t="n">
        <f aca="false">Sens!J5575-base_fy-mid_yr-v_off</f>
        <v>4.24794520547945</v>
      </c>
      <c r="K5725" s="8" t="n">
        <f aca="false">Sens!K5575-base_fy-mid_yr-v_off</f>
        <v>5.24794520547945</v>
      </c>
      <c r="L5725" s="12" t="s">
        <v>1217</v>
      </c>
    </row>
    <row r="5726" customFormat="false" ht="15" hidden="false" customHeight="false" outlineLevel="0" collapsed="false">
      <c r="A5726" s="1" t="s">
        <v>1218</v>
      </c>
      <c r="B5726" s="1" t="s">
        <v>279</v>
      </c>
      <c r="F5726" s="8" t="n">
        <f aca="false">Sens!F5575-base_fy-v_off</f>
        <v>0.747945205479452</v>
      </c>
      <c r="G5726" s="8" t="n">
        <f aca="false">Sens!G5575-base_fy-v_off</f>
        <v>1.74794520547945</v>
      </c>
      <c r="H5726" s="8" t="n">
        <f aca="false">Sens!H5575-base_fy-v_off</f>
        <v>2.74794520547945</v>
      </c>
      <c r="I5726" s="8" t="n">
        <f aca="false">Sens!I5575-base_fy-v_off</f>
        <v>3.74794520547945</v>
      </c>
      <c r="J5726" s="8" t="n">
        <f aca="false">Sens!J5575-base_fy-v_off</f>
        <v>4.74794520547945</v>
      </c>
      <c r="K5726" s="8" t="n">
        <f aca="false">Sens!K5575-base_fy-v_off</f>
        <v>5.74794520547945</v>
      </c>
    </row>
    <row r="5727" customFormat="false" ht="15" hidden="false" customHeight="false" outlineLevel="0" collapsed="false">
      <c r="A5727" s="1" t="s">
        <v>1219</v>
      </c>
      <c r="B5727" s="0" t="s">
        <v>229</v>
      </c>
      <c r="F5727" s="15" t="n">
        <f aca="false">1/(1+wacc)^Sens!F5725</f>
        <v>0.964022703286649</v>
      </c>
      <c r="G5727" s="15" t="n">
        <f aca="false">1/(1+wacc)^Sens!G5725</f>
        <v>0.884910302296739</v>
      </c>
      <c r="H5727" s="15" t="n">
        <f aca="false">1/(1+wacc)^Sens!H5725</f>
        <v>0.802322009770358</v>
      </c>
      <c r="I5727" s="15" t="n">
        <f aca="false">1/(1+wacc)^Sens!I5725</f>
        <v>0.727441646561469</v>
      </c>
      <c r="J5727" s="15" t="n">
        <f aca="false">1/(1+wacc)^Sens!J5725</f>
        <v>0.659549834988973</v>
      </c>
      <c r="K5727" s="15" t="n">
        <f aca="false">1/(1+wacc)^Sens!K5725</f>
        <v>0.597994336576966</v>
      </c>
    </row>
    <row r="5728" customFormat="false" ht="17.15" hidden="false" customHeight="false" outlineLevel="0" collapsed="false">
      <c r="A5728" s="1" t="s">
        <v>1220</v>
      </c>
      <c r="B5728" s="0" t="s">
        <v>98</v>
      </c>
      <c r="F5728" s="6" t="n">
        <f aca="false">Q!$I$35-Q!$I$39-Q!$I$43</f>
        <v>9.666</v>
      </c>
      <c r="L5728" s="12" t="s">
        <v>1221</v>
      </c>
    </row>
    <row r="5729" customFormat="false" ht="17.15" hidden="false" customHeight="false" outlineLevel="0" collapsed="false">
      <c r="A5729" s="1" t="s">
        <v>1222</v>
      </c>
      <c r="B5729" s="0" t="s">
        <v>98</v>
      </c>
      <c r="F5729" s="6" t="n">
        <f aca="false">Sens!F5700-Sens!F5697-Sens!F5704+Sens!F5682*(1-tax_f)*(1-v_off)-Sens!F5728</f>
        <v>-1.71330765695019</v>
      </c>
      <c r="G5729" s="6" t="n">
        <f aca="false">Sens!G5700-Sens!G5697-Sens!G5704+Sens!G5682*(1-tax_f)</f>
        <v>36.9997910557909</v>
      </c>
      <c r="H5729" s="6" t="n">
        <f aca="false">Sens!H5700-Sens!H5697-Sens!H5704+Sens!H5682*(1-tax_f)</f>
        <v>95.80817388314</v>
      </c>
      <c r="I5729" s="6" t="n">
        <f aca="false">Sens!I5700-Sens!I5697-Sens!I5704+Sens!I5682*(1-tax_f)</f>
        <v>177.670489210607</v>
      </c>
      <c r="J5729" s="6" t="n">
        <f aca="false">Sens!J5700-Sens!J5697-Sens!J5704+Sens!J5682*(1-tax_f)</f>
        <v>258.512037713571</v>
      </c>
      <c r="K5729" s="6" t="n">
        <f aca="false">Sens!K5700-Sens!K5697-Sens!K5704+Sens!K5682*(1-tax_f)</f>
        <v>297.924941943581</v>
      </c>
      <c r="L5729" s="1" t="s">
        <v>1223</v>
      </c>
    </row>
    <row r="5730" customFormat="false" ht="15" hidden="false" customHeight="false" outlineLevel="0" collapsed="false">
      <c r="A5730" s="1" t="s">
        <v>1224</v>
      </c>
      <c r="B5730" s="0" t="s">
        <v>98</v>
      </c>
      <c r="F5730" s="6" t="n">
        <f aca="false">Sens!F5729*Sens!F5727</f>
        <v>-1.65166747901483</v>
      </c>
      <c r="G5730" s="6" t="n">
        <f aca="false">Sens!G5729*Sens!G5727</f>
        <v>32.7414962880961</v>
      </c>
      <c r="H5730" s="6" t="n">
        <f aca="false">Sens!H5729*Sens!H5727</f>
        <v>76.8690066223488</v>
      </c>
      <c r="I5730" s="6" t="n">
        <f aca="false">Sens!I5729*Sens!I5727</f>
        <v>129.244913216745</v>
      </c>
      <c r="J5730" s="6" t="n">
        <f aca="false">Sens!J5729*Sens!J5727</f>
        <v>170.501571816649</v>
      </c>
      <c r="K5730" s="6" t="n">
        <f aca="false">Sens!K5729*Sens!K5727</f>
        <v>178.157428007282</v>
      </c>
    </row>
    <row r="5731" customFormat="false" ht="17.15" hidden="false" customHeight="false" outlineLevel="0" collapsed="false">
      <c r="A5731" s="1" t="s">
        <v>1225</v>
      </c>
      <c r="B5731" s="0" t="s">
        <v>98</v>
      </c>
      <c r="C5731" s="6" t="n">
        <f aca="false">SUM(Sens!F5730:K5730)</f>
        <v>585.862748472106</v>
      </c>
    </row>
    <row r="5732" customFormat="false" ht="17.15" hidden="false" customHeight="false" outlineLevel="0" collapsed="false">
      <c r="A5732" s="1" t="s">
        <v>1226</v>
      </c>
      <c r="B5732" s="0" t="s">
        <v>98</v>
      </c>
      <c r="C5732" s="6" t="n">
        <f aca="false">Sens!K5668*(1+g_tv)*(1-tax_f)</f>
        <v>310.648529022911</v>
      </c>
    </row>
    <row r="5733" customFormat="false" ht="17.15" hidden="false" customHeight="false" outlineLevel="0" collapsed="false">
      <c r="A5733" s="1" t="s">
        <v>1227</v>
      </c>
      <c r="B5733" s="0" t="s">
        <v>98</v>
      </c>
      <c r="C5733" s="6" t="n">
        <f aca="false">Sens!$C$5732*(1-g_tv/(wacc+ronic_prem))</f>
        <v>220.112639063113</v>
      </c>
    </row>
    <row r="5734" customFormat="false" ht="17.15" hidden="false" customHeight="false" outlineLevel="0" collapsed="false">
      <c r="A5734" s="1" t="s">
        <v>1228</v>
      </c>
      <c r="B5734" s="0" t="s">
        <v>98</v>
      </c>
      <c r="C5734" s="6" t="n">
        <f aca="false">Sens!$C$5733/(wacc-g_tv)</f>
        <v>3017.86299865993</v>
      </c>
    </row>
    <row r="5735" customFormat="false" ht="15" hidden="false" customHeight="false" outlineLevel="0" collapsed="false">
      <c r="A5735" s="1" t="s">
        <v>1229</v>
      </c>
      <c r="B5735" s="0" t="s">
        <v>98</v>
      </c>
      <c r="C5735" s="6" t="n">
        <f aca="false">Sens!$C$5734/(1+wacc)^Sens!K5726</f>
        <v>1718.38834610866</v>
      </c>
    </row>
    <row r="5736" customFormat="false" ht="17.15" hidden="false" customHeight="false" outlineLevel="0" collapsed="false">
      <c r="A5736" s="0" t="s">
        <v>1230</v>
      </c>
      <c r="B5736" s="0" t="s">
        <v>98</v>
      </c>
      <c r="C5736" s="6" t="n">
        <f aca="false">Sens!$C$5731+Sens!$C$5735</f>
        <v>2304.25109458076</v>
      </c>
    </row>
    <row r="5737" customFormat="false" ht="15" hidden="false" customHeight="false" outlineLevel="0" collapsed="false">
      <c r="A5737" s="1" t="s">
        <v>1145</v>
      </c>
      <c r="B5737" s="0" t="s">
        <v>168</v>
      </c>
      <c r="C5737" s="7" t="n">
        <f aca="false">Sens!$C$5735/Sens!$C$5736</f>
        <v>0.745747002203899</v>
      </c>
    </row>
    <row r="5738" customFormat="false" ht="17.15" hidden="false" customHeight="false" outlineLevel="0" collapsed="false">
      <c r="A5738" s="1" t="s">
        <v>1231</v>
      </c>
      <c r="B5738" s="0" t="s">
        <v>98</v>
      </c>
      <c r="C5738" s="6" t="n">
        <f aca="false">Sens!$C$5736+cash_val-debt_val-fl_val+oai_v</f>
        <v>2420.10209458076</v>
      </c>
    </row>
    <row r="5739" customFormat="false" ht="17.15" hidden="false" customHeight="false" outlineLevel="0" collapsed="false">
      <c r="A5739" s="0" t="s">
        <v>1153</v>
      </c>
      <c r="B5739" s="0" t="s">
        <v>75</v>
      </c>
      <c r="C5739" s="5" t="n">
        <f aca="false">Sens!$C$5738/shd_val</f>
        <v>325.020426347134</v>
      </c>
    </row>
    <row r="5740" customFormat="false" ht="15" hidden="false" customHeight="false" outlineLevel="0" collapsed="false">
      <c r="A5740" s="1" t="s">
        <v>1232</v>
      </c>
      <c r="B5740" s="0" t="s">
        <v>75</v>
      </c>
      <c r="C5740" s="8" t="n">
        <f aca="false">div_rem27+Sens!G5708*roll_div_q/q_per_yr</f>
        <v>3.9795</v>
      </c>
    </row>
    <row r="5741" customFormat="false" ht="17.15" hidden="false" customHeight="false" outlineLevel="0" collapsed="false">
      <c r="A5741" s="0" t="s">
        <v>1233</v>
      </c>
      <c r="B5741" s="0" t="s">
        <v>75</v>
      </c>
      <c r="C5741" s="5" t="n">
        <f aca="false">Sens!$C$5739*(1+wacc)^t_roll-Sens!$C$5740</f>
        <v>357.298843516591</v>
      </c>
    </row>
    <row r="5742" customFormat="false" ht="17.15" hidden="false" customHeight="false" outlineLevel="0" collapsed="false">
      <c r="A5742" s="1" t="s">
        <v>1234</v>
      </c>
      <c r="B5742" s="0" t="s">
        <v>168</v>
      </c>
      <c r="F5742" s="7" t="n">
        <f aca="false">Sens!F5694/(Sens!F5639-Sens!F5594)</f>
        <v>0.0685105240122877</v>
      </c>
      <c r="G5742" s="7" t="n">
        <f aca="false">Sens!G5694/(Sens!G5639-Sens!G5594)</f>
        <v>0.0653273847393704</v>
      </c>
      <c r="H5742" s="7" t="n">
        <f aca="false">Sens!H5694/(Sens!H5639-Sens!H5594)</f>
        <v>0.0636439050908652</v>
      </c>
      <c r="I5742" s="7" t="n">
        <f aca="false">Sens!I5694/(Sens!I5639-Sens!I5594)</f>
        <v>0.0633475384122555</v>
      </c>
      <c r="J5742" s="7" t="n">
        <f aca="false">Sens!J5694/(Sens!J5639-Sens!J5594)</f>
        <v>0.064083885031923</v>
      </c>
      <c r="K5742" s="7" t="n">
        <f aca="false">Sens!K5694/(Sens!K5639-Sens!K5594)</f>
        <v>0.0653990412717578</v>
      </c>
    </row>
    <row r="5743" customFormat="false" ht="17.15" hidden="false" customHeight="false" outlineLevel="0" collapsed="false">
      <c r="A5743" s="0" t="s">
        <v>1235</v>
      </c>
      <c r="B5743" s="0" t="s">
        <v>98</v>
      </c>
      <c r="F5743" s="6" t="n">
        <f aca="false">Sens!F5624*(al_m365+Sens!F5742+sbc_r)</f>
        <v>84.5163372780772</v>
      </c>
      <c r="G5743" s="6" t="n">
        <f aca="false">Sens!G5624*(al_m365+Sens!G5742+sbc_r)</f>
        <v>98.9458452631203</v>
      </c>
      <c r="H5743" s="6" t="n">
        <f aca="false">Sens!H5624*(al_m365+Sens!H5742+sbc_r)</f>
        <v>113.540660369327</v>
      </c>
      <c r="I5743" s="6" t="n">
        <f aca="false">Sens!I5624*(al_m365+Sens!I5742+sbc_r)</f>
        <v>126.618678433179</v>
      </c>
      <c r="J5743" s="6" t="n">
        <f aca="false">Sens!J5624*(al_m365+Sens!J5742+sbc_r)</f>
        <v>137.993969550014</v>
      </c>
      <c r="K5743" s="6" t="n">
        <f aca="false">Sens!K5624*(al_m365+Sens!K5742+sbc_r)</f>
        <v>148.98982146457</v>
      </c>
      <c r="L5743" s="12" t="s">
        <v>1236</v>
      </c>
    </row>
    <row r="5744" customFormat="false" ht="17.15" hidden="false" customHeight="false" outlineLevel="0" collapsed="false">
      <c r="A5744" s="0" t="s">
        <v>1237</v>
      </c>
      <c r="B5744" s="0" t="s">
        <v>98</v>
      </c>
      <c r="F5744" s="6" t="n">
        <f aca="false">Sens!F5625*(al_lic+Sens!F5742+sbc_r)</f>
        <v>32.8535800917799</v>
      </c>
      <c r="G5744" s="6" t="n">
        <f aca="false">Sens!G5625*(al_lic+Sens!G5742+sbc_r)</f>
        <v>34.1173824148869</v>
      </c>
      <c r="H5744" s="6" t="n">
        <f aca="false">Sens!H5625*(al_lic+Sens!H5742+sbc_r)</f>
        <v>35.3016436632047</v>
      </c>
      <c r="I5744" s="6" t="n">
        <f aca="false">Sens!I5625*(al_lic+Sens!I5742+sbc_r)</f>
        <v>36.3893946875795</v>
      </c>
      <c r="J5744" s="6" t="n">
        <f aca="false">Sens!J5625*(al_lic+Sens!J5742+sbc_r)</f>
        <v>37.3527589488205</v>
      </c>
      <c r="K5744" s="6" t="n">
        <f aca="false">Sens!K5625*(al_lic+Sens!K5742+sbc_r)</f>
        <v>38.1586622562712</v>
      </c>
    </row>
    <row r="5745" customFormat="false" ht="17.15" hidden="false" customHeight="false" outlineLevel="0" collapsed="false">
      <c r="A5745" s="0" t="s">
        <v>1238</v>
      </c>
      <c r="B5745" s="0" t="s">
        <v>98</v>
      </c>
      <c r="F5745" s="6" t="n">
        <f aca="false">Sens!F5627*(al_ind+Sens!F5742+sbc_r)</f>
        <v>9.05798359044685</v>
      </c>
      <c r="G5745" s="6" t="n">
        <f aca="false">Sens!G5627*(al_ind+Sens!G5742+sbc_r)</f>
        <v>9.82384796480674</v>
      </c>
      <c r="H5745" s="6" t="n">
        <f aca="false">Sens!H5627*(al_ind+Sens!H5742+sbc_r)</f>
        <v>10.6372374290456</v>
      </c>
      <c r="I5745" s="6" t="n">
        <f aca="false">Sens!I5627*(al_ind+Sens!I5742+sbc_r)</f>
        <v>11.4963290884251</v>
      </c>
      <c r="J5745" s="6" t="n">
        <f aca="false">Sens!J5627*(al_ind+Sens!J5742+sbc_r)</f>
        <v>12.3902576837471</v>
      </c>
      <c r="K5745" s="6" t="n">
        <f aca="false">Sens!K5627*(al_ind+Sens!K5742+sbc_r)</f>
        <v>13.3010059572272</v>
      </c>
    </row>
    <row r="5746" customFormat="false" ht="17.15" hidden="false" customHeight="false" outlineLevel="0" collapsed="false">
      <c r="A5746" s="0" t="s">
        <v>1239</v>
      </c>
      <c r="B5746" s="0" t="s">
        <v>98</v>
      </c>
      <c r="F5746" s="6" t="n">
        <f aca="false">Sens!F5629*(al_fro+Sens!F5742+sbc_r)</f>
        <v>3.55307497090379</v>
      </c>
      <c r="G5746" s="6" t="n">
        <f aca="false">Sens!G5629*(al_fro+Sens!G5742+sbc_r)</f>
        <v>3.75889214839611</v>
      </c>
      <c r="H5746" s="6" t="n">
        <f aca="false">Sens!H5629*(al_fro+Sens!H5742+sbc_r)</f>
        <v>3.99478190315881</v>
      </c>
      <c r="I5746" s="6" t="n">
        <f aca="false">Sens!I5629*(al_fro+Sens!I5742+sbc_r)</f>
        <v>4.26385023714199</v>
      </c>
      <c r="J5746" s="6" t="n">
        <f aca="false">Sens!J5629*(al_fro+Sens!J5742+sbc_r)</f>
        <v>4.56673965421541</v>
      </c>
      <c r="K5746" s="6" t="n">
        <f aca="false">Sens!K5629*(al_fro+Sens!K5742+sbc_r)</f>
        <v>4.90241873060503</v>
      </c>
    </row>
    <row r="5747" customFormat="false" ht="17.15" hidden="false" customHeight="false" outlineLevel="0" collapsed="false">
      <c r="A5747" s="0" t="s">
        <v>1240</v>
      </c>
      <c r="B5747" s="0" t="s">
        <v>98</v>
      </c>
      <c r="F5747" s="6" t="n">
        <f aca="false">Sens!F5632*(al_srch+Sens!F5742+sbc_r)</f>
        <v>11.1860851660549</v>
      </c>
      <c r="G5747" s="6" t="n">
        <f aca="false">Sens!G5632*(al_srch+Sens!G5742+sbc_r)</f>
        <v>12.2463523506478</v>
      </c>
      <c r="H5747" s="6" t="n">
        <f aca="false">Sens!H5632*(al_srch+Sens!H5742+sbc_r)</f>
        <v>13.3546550711442</v>
      </c>
      <c r="I5747" s="6" t="n">
        <f aca="false">Sens!I5632*(al_srch+Sens!I5742+sbc_r)</f>
        <v>14.502032013411</v>
      </c>
      <c r="J5747" s="6" t="n">
        <f aca="false">Sens!J5632*(al_srch+Sens!J5742+sbc_r)</f>
        <v>15.6671396615336</v>
      </c>
      <c r="K5747" s="6" t="n">
        <f aca="false">Sens!K5632*(al_srch+Sens!K5742+sbc_r)</f>
        <v>16.8187557748797</v>
      </c>
    </row>
    <row r="5748" customFormat="false" ht="17.15" hidden="false" customHeight="false" outlineLevel="0" collapsed="false">
      <c r="A5748" s="0" t="s">
        <v>1241</v>
      </c>
      <c r="B5748" s="0" t="s">
        <v>98</v>
      </c>
      <c r="F5748" s="6" t="n">
        <f aca="false">Sens!F5600-Sens!F5601+Sens!F5682</f>
        <v>44.4132155685614</v>
      </c>
      <c r="G5748" s="6" t="n">
        <f aca="false">Sens!G5600-Sens!G5601+Sens!G5682</f>
        <v>88.8458537828471</v>
      </c>
      <c r="H5748" s="6" t="n">
        <f aca="false">Sens!H5600-Sens!H5601+Sens!H5682</f>
        <v>140.901579255088</v>
      </c>
      <c r="I5748" s="6" t="n">
        <f aca="false">Sens!I5600-Sens!I5601+Sens!I5682</f>
        <v>182.064151150499</v>
      </c>
      <c r="J5748" s="6" t="n">
        <f aca="false">Sens!J5600-Sens!J5601+Sens!J5682</f>
        <v>210.811174240601</v>
      </c>
      <c r="K5748" s="6" t="n">
        <f aca="false">Sens!K5600-Sens!K5601+Sens!K5682</f>
        <v>227.601914314016</v>
      </c>
    </row>
    <row r="5749" customFormat="false" ht="17.15" hidden="false" customHeight="false" outlineLevel="0" collapsed="false">
      <c r="A5749" s="0" t="s">
        <v>1242</v>
      </c>
      <c r="B5749" s="0" t="s">
        <v>98</v>
      </c>
      <c r="F5749" s="6" t="n">
        <f aca="false">Sens!F5661+Sens!F5682+Sens!F5612+Sens!F5742*(Sens!F5631-Sens!F5594)+sbc_r*Sens!F5631</f>
        <v>240.062096362291</v>
      </c>
      <c r="G5749" s="6" t="n">
        <f aca="false">Sens!G5661+Sens!G5682+Sens!G5612+Sens!G5742*(Sens!G5631-Sens!G5594)+sbc_r*Sens!G5631</f>
        <v>309.757510833262</v>
      </c>
      <c r="H5749" s="6" t="n">
        <f aca="false">Sens!H5661+Sens!H5682+Sens!H5612+Sens!H5742*(Sens!H5631-Sens!H5594)+sbc_r*Sens!H5631</f>
        <v>391.824340545953</v>
      </c>
      <c r="I5749" s="6" t="n">
        <f aca="false">Sens!I5661+Sens!I5682+Sens!I5612+Sens!I5742*(Sens!I5631-Sens!I5594)+sbc_r*Sens!I5631</f>
        <v>460.909511044088</v>
      </c>
      <c r="J5749" s="6" t="n">
        <f aca="false">Sens!J5661+Sens!J5682+Sens!J5612+Sens!J5742*(Sens!J5631-Sens!J5594)+sbc_r*Sens!J5631</f>
        <v>514.607517859093</v>
      </c>
      <c r="K5749" s="6" t="n">
        <f aca="false">Sens!K5661+Sens!K5682+Sens!K5612+Sens!K5742*(Sens!K5631-Sens!K5594)+sbc_r*Sens!K5631</f>
        <v>553.912066913492</v>
      </c>
    </row>
    <row r="5750" customFormat="false" ht="17.15" hidden="false" customHeight="false" outlineLevel="0" collapsed="false">
      <c r="A5750" s="0" t="s">
        <v>1243</v>
      </c>
      <c r="B5750" s="0" t="s">
        <v>98</v>
      </c>
      <c r="F5750" s="6" t="n">
        <f aca="false">Sens!F5749-Sens!F5743-Sens!F5744-Sens!F5745-Sens!F5746-Sens!F5748</f>
        <v>65.6679048625214</v>
      </c>
      <c r="G5750" s="6" t="n">
        <f aca="false">Sens!G5749-Sens!G5743-Sens!G5744-Sens!G5745-Sens!G5746-Sens!G5748</f>
        <v>74.265689259205</v>
      </c>
      <c r="H5750" s="6" t="n">
        <f aca="false">Sens!H5749-Sens!H5743-Sens!H5744-Sens!H5745-Sens!H5746-Sens!H5748</f>
        <v>87.4484379261288</v>
      </c>
      <c r="I5750" s="6" t="n">
        <f aca="false">Sens!I5749-Sens!I5743-Sens!I5744-Sens!I5745-Sens!I5746-Sens!I5748</f>
        <v>100.077107447264</v>
      </c>
      <c r="J5750" s="6" t="n">
        <f aca="false">Sens!J5749-Sens!J5743-Sens!J5744-Sens!J5745-Sens!J5746-Sens!J5748</f>
        <v>111.492617781695</v>
      </c>
      <c r="K5750" s="6" t="n">
        <f aca="false">Sens!K5749-Sens!K5743-Sens!K5744-Sens!K5745-Sens!K5746-Sens!K5748</f>
        <v>120.958244190803</v>
      </c>
    </row>
    <row r="5751" customFormat="false" ht="17.15" hidden="false" customHeight="false" outlineLevel="0" collapsed="false">
      <c r="A5751" s="0" t="s">
        <v>1244</v>
      </c>
      <c r="B5751" s="0" t="s">
        <v>98</v>
      </c>
      <c r="F5751" s="6" t="n">
        <f aca="false">Sens!F5663+Sens!F5742*Sens!F5638+sbc_r*Sens!F5638</f>
        <v>26.6266248542572</v>
      </c>
      <c r="G5751" s="6" t="n">
        <f aca="false">Sens!G5663+Sens!G5742*Sens!G5638+sbc_r*Sens!G5638</f>
        <v>26.4385523039552</v>
      </c>
      <c r="H5751" s="6" t="n">
        <f aca="false">Sens!H5663+Sens!H5742*Sens!H5638+sbc_r*Sens!H5638</f>
        <v>27.2955559362335</v>
      </c>
      <c r="I5751" s="6" t="n">
        <f aca="false">Sens!I5663+Sens!I5742*Sens!I5638+sbc_r*Sens!I5638</f>
        <v>28.3987903532115</v>
      </c>
      <c r="J5751" s="6" t="n">
        <f aca="false">Sens!J5663+Sens!J5742*Sens!J5638+sbc_r*Sens!J5638</f>
        <v>29.709075833495</v>
      </c>
      <c r="K5751" s="6" t="n">
        <f aca="false">Sens!K5663+Sens!K5742*Sens!K5638+sbc_r*Sens!K5638</f>
        <v>31.1819977456868</v>
      </c>
    </row>
    <row r="5752" customFormat="false" ht="17.15" hidden="false" customHeight="false" outlineLevel="0" collapsed="false">
      <c r="A5752" s="0" t="s">
        <v>1245</v>
      </c>
      <c r="B5752" s="0" t="s">
        <v>98</v>
      </c>
      <c r="F5752" s="6" t="n">
        <f aca="false">(Sens!F5751-Sens!F5747)*Sens!F5634/(Sens!F5634+Sens!F5636)</f>
        <v>8.72059321380994</v>
      </c>
      <c r="G5752" s="6" t="n">
        <f aca="false">(Sens!G5751-Sens!G5747)*Sens!G5634/(Sens!G5634+Sens!G5636)</f>
        <v>7.87779147855343</v>
      </c>
      <c r="H5752" s="6" t="n">
        <f aca="false">(Sens!H5751-Sens!H5747)*Sens!H5634/(Sens!H5634+Sens!H5636)</f>
        <v>7.63749349840021</v>
      </c>
      <c r="I5752" s="6" t="n">
        <f aca="false">(Sens!I5751-Sens!I5747)*Sens!I5634/(Sens!I5634+Sens!I5636)</f>
        <v>7.54685768105696</v>
      </c>
      <c r="J5752" s="6" t="n">
        <f aca="false">(Sens!J5751-Sens!J5747)*Sens!J5634/(Sens!J5634+Sens!J5636)</f>
        <v>7.5924282699831</v>
      </c>
      <c r="K5752" s="6" t="n">
        <f aca="false">(Sens!K5751-Sens!K5747)*Sens!K5634/(Sens!K5634+Sens!K5636)</f>
        <v>7.76615724870735</v>
      </c>
    </row>
    <row r="5753" customFormat="false" ht="17.15" hidden="false" customHeight="false" outlineLevel="0" collapsed="false">
      <c r="A5753" s="0" t="s">
        <v>1246</v>
      </c>
      <c r="B5753" s="0" t="s">
        <v>98</v>
      </c>
      <c r="F5753" s="6" t="n">
        <f aca="false">Sens!F5751-Sens!F5747-Sens!F5752</f>
        <v>6.7199464743924</v>
      </c>
      <c r="G5753" s="6" t="n">
        <f aca="false">Sens!G5751-Sens!G5747-Sens!G5752</f>
        <v>6.3144084747539</v>
      </c>
      <c r="H5753" s="6" t="n">
        <f aca="false">Sens!H5751-Sens!H5747-Sens!H5752</f>
        <v>6.30340736668909</v>
      </c>
      <c r="I5753" s="6" t="n">
        <f aca="false">Sens!I5751-Sens!I5747-Sens!I5752</f>
        <v>6.34990065874359</v>
      </c>
      <c r="J5753" s="6" t="n">
        <f aca="false">Sens!J5751-Sens!J5747-Sens!J5752</f>
        <v>6.44950790197832</v>
      </c>
      <c r="K5753" s="6" t="n">
        <f aca="false">Sens!K5751-Sens!K5747-Sens!K5752</f>
        <v>6.59708472209982</v>
      </c>
    </row>
    <row r="5754" customFormat="false" ht="17.15" hidden="false" customHeight="false" outlineLevel="0" collapsed="false">
      <c r="A5754" s="0" t="s">
        <v>1247</v>
      </c>
      <c r="B5754" s="0" t="s">
        <v>98</v>
      </c>
      <c r="F5754" s="6" t="n">
        <f aca="false">Sens!F5748-tax_f*(Sens!F5748-Sens!F5612)-Sens!F5609</f>
        <v>-126.0074686916</v>
      </c>
      <c r="G5754" s="6" t="n">
        <f aca="false">Sens!G5748-tax_f*(Sens!G5748-Sens!G5612)-Sens!G5609</f>
        <v>-108.720894492311</v>
      </c>
      <c r="H5754" s="6" t="n">
        <f aca="false">Sens!H5748-tax_f*(Sens!H5748-Sens!H5612)-Sens!H5609</f>
        <v>-66.2647225281528</v>
      </c>
      <c r="I5754" s="6" t="n">
        <f aca="false">Sens!I5748-tax_f*(Sens!I5748-Sens!I5612)-Sens!I5609</f>
        <v>-0.117310762301543</v>
      </c>
      <c r="J5754" s="6" t="n">
        <f aca="false">Sens!J5748-tax_f*(Sens!J5748-Sens!J5612)-Sens!J5609</f>
        <v>66.1221428064599</v>
      </c>
      <c r="K5754" s="6" t="n">
        <f aca="false">Sens!K5748-tax_f*(Sens!K5748-Sens!K5612)-Sens!K5609</f>
        <v>91.7212122966666</v>
      </c>
    </row>
    <row r="5755" customFormat="false" ht="17.15" hidden="false" customHeight="false" outlineLevel="0" collapsed="false">
      <c r="A5755" s="0" t="s">
        <v>1248</v>
      </c>
      <c r="B5755" s="0" t="s">
        <v>98</v>
      </c>
      <c r="G5755" s="6" t="n">
        <f aca="false">Sens!G5754/(1+wacc)^(Sens!G5725-Sens!F5726)</f>
        <v>-103.523213428511</v>
      </c>
      <c r="H5755" s="6" t="n">
        <f aca="false">Sens!H5754/(1+wacc)^(Sens!H5725-Sens!F5726)</f>
        <v>-57.2079738020714</v>
      </c>
      <c r="I5755" s="6" t="n">
        <f aca="false">Sens!I5754/(1+wacc)^(Sens!I5725-Sens!F5726)</f>
        <v>-0.0918251178068608</v>
      </c>
      <c r="J5755" s="6" t="n">
        <f aca="false">Sens!J5754/(1+wacc)^(Sens!J5725-Sens!F5726)</f>
        <v>46.9266996526459</v>
      </c>
      <c r="K5755" s="6" t="n">
        <f aca="false">Sens!K5754/(1+wacc)^(Sens!K5725-Sens!F5726)</f>
        <v>59.019066140535</v>
      </c>
      <c r="L5755" s="1" t="s">
        <v>1249</v>
      </c>
    </row>
    <row r="5756" customFormat="false" ht="17.15" hidden="false" customHeight="false" outlineLevel="0" collapsed="false">
      <c r="A5756" s="0" t="s">
        <v>1250</v>
      </c>
      <c r="B5756" s="0" t="s">
        <v>98</v>
      </c>
      <c r="C5756" s="6" t="n">
        <f aca="false">(Sens!K5748-Sens!K5612)*(1-tax_f)*(1+g_tv)*(1-g_tv/(wacc+ronic_prem))/(wacc-g_tv)/(1+wacc)^(Sens!K5726-Sens!F5726)</f>
        <v>414.877471469984</v>
      </c>
    </row>
    <row r="5757" customFormat="false" ht="17.15" hidden="false" customHeight="false" outlineLevel="0" collapsed="false">
      <c r="A5757" s="1" t="s">
        <v>1251</v>
      </c>
      <c r="B5757" s="0" t="s">
        <v>98</v>
      </c>
      <c r="C5757" s="6" t="n">
        <f aca="false">(SUM(Sens!G5755:K5755)+Sens!$C$5756)*(1+wacc)^(t_roll-Sens!F5726)</f>
        <v>371.884921060702</v>
      </c>
      <c r="L5757" s="12" t="s">
        <v>1252</v>
      </c>
    </row>
    <row r="5758" customFormat="false" ht="17.15" hidden="false" customHeight="false" outlineLevel="0" collapsed="false">
      <c r="A5758" s="1" t="s">
        <v>1253</v>
      </c>
      <c r="B5758" s="0" t="s">
        <v>98</v>
      </c>
      <c r="C5758" s="6" t="n">
        <f aca="false">(w_ntm28*Sens!G5600+(1-w_ntm28)*Sens!H5600)*m_ai</f>
        <v>546.963428789364</v>
      </c>
    </row>
    <row r="5759" customFormat="false" ht="17.15" hidden="false" customHeight="false" outlineLevel="0" collapsed="false">
      <c r="A5759" s="1" t="s">
        <v>1254</v>
      </c>
      <c r="B5759" s="0" t="s">
        <v>98</v>
      </c>
      <c r="C5759" s="6" t="n">
        <f aca="false">(w_ntm28*Sens!G5750+(1-w_ntm28)*Sens!H5750)*m_cloud</f>
        <v>1086.24845676557</v>
      </c>
    </row>
    <row r="5760" customFormat="false" ht="17.15" hidden="false" customHeight="false" outlineLevel="0" collapsed="false">
      <c r="A5760" s="1" t="s">
        <v>1255</v>
      </c>
      <c r="B5760" s="0" t="s">
        <v>98</v>
      </c>
      <c r="C5760" s="6" t="n">
        <f aca="false">(w_ntm28*Sens!G5743+(1-w_ntm28)*Sens!H5743)*m_sw</f>
        <v>1120.43671891744</v>
      </c>
    </row>
    <row r="5761" customFormat="false" ht="17.15" hidden="false" customHeight="false" outlineLevel="0" collapsed="false">
      <c r="A5761" s="1" t="s">
        <v>1256</v>
      </c>
      <c r="B5761" s="0" t="s">
        <v>98</v>
      </c>
      <c r="C5761" s="6" t="n">
        <f aca="false">(w_ntm28*Sens!G5744+(1-w_ntm28)*Sens!H5744)*m_sw</f>
        <v>372.672668650148</v>
      </c>
    </row>
    <row r="5762" customFormat="false" ht="17.15" hidden="false" customHeight="false" outlineLevel="0" collapsed="false">
      <c r="A5762" s="1" t="s">
        <v>1257</v>
      </c>
      <c r="B5762" s="0" t="s">
        <v>98</v>
      </c>
      <c r="C5762" s="6" t="n">
        <f aca="false">(w_ntm28*Sens!G5745+(1-w_ntm28)*Sens!H5745)*m_sw</f>
        <v>108.985647734032</v>
      </c>
    </row>
    <row r="5763" customFormat="false" ht="17.15" hidden="false" customHeight="false" outlineLevel="0" collapsed="false">
      <c r="A5763" s="1" t="s">
        <v>1258</v>
      </c>
      <c r="B5763" s="0" t="s">
        <v>98</v>
      </c>
      <c r="C5763" s="6" t="n">
        <f aca="false">(w_ntm28*Sens!G5746+(1-w_ntm28)*Sens!H5746)*m_sw</f>
        <v>41.4336054004108</v>
      </c>
    </row>
    <row r="5764" customFormat="false" ht="17.15" hidden="false" customHeight="false" outlineLevel="0" collapsed="false">
      <c r="A5764" s="1" t="s">
        <v>1259</v>
      </c>
      <c r="B5764" s="0" t="s">
        <v>98</v>
      </c>
      <c r="C5764" s="6" t="n">
        <f aca="false">(w_ntm28*Sens!G5747+(1-w_ntm28)*Sens!H5747)*m_ads</f>
        <v>114.883712473434</v>
      </c>
    </row>
    <row r="5765" customFormat="false" ht="17.15" hidden="false" customHeight="false" outlineLevel="0" collapsed="false">
      <c r="A5765" s="1" t="s">
        <v>1260</v>
      </c>
      <c r="B5765" s="0" t="s">
        <v>98</v>
      </c>
      <c r="C5765" s="6" t="n">
        <f aca="false">(w_ntm28*Sens!G5752+(1-w_ntm28)*Sens!H5752)*m_game</f>
        <v>98.498710158458</v>
      </c>
    </row>
    <row r="5766" customFormat="false" ht="17.15" hidden="false" customHeight="false" outlineLevel="0" collapsed="false">
      <c r="A5766" s="1" t="s">
        <v>1261</v>
      </c>
      <c r="B5766" s="0" t="s">
        <v>98</v>
      </c>
      <c r="C5766" s="6" t="n">
        <f aca="false">(w_ntm28*Sens!G5753+(1-w_ntm28)*Sens!H5753)*m_pc</f>
        <v>91.3171554953225</v>
      </c>
    </row>
    <row r="5767" customFormat="false" ht="17.15" hidden="false" customHeight="false" outlineLevel="0" collapsed="false">
      <c r="A5767" s="1" t="s">
        <v>1262</v>
      </c>
      <c r="B5767" s="0" t="s">
        <v>98</v>
      </c>
      <c r="C5767" s="6" t="n">
        <f aca="false">Sens!$C$5757+Sens!$C$5759+Sens!$C$5760+Sens!$C$5761+Sens!$C$5762+Sens!$C$5763+Sens!$C$5764+Sens!$C$5765+Sens!$C$5766</f>
        <v>3406.36159665552</v>
      </c>
    </row>
    <row r="5768" customFormat="false" ht="17.15" hidden="false" customHeight="false" outlineLevel="0" collapsed="false">
      <c r="A5768" s="1" t="s">
        <v>1263</v>
      </c>
      <c r="B5768" s="0" t="s">
        <v>98</v>
      </c>
      <c r="C5768" s="6" t="n">
        <f aca="false">(Sens!G5729-Sens!G5754)*t_stub</f>
        <v>48.307405346083</v>
      </c>
      <c r="L5768" s="1" t="s">
        <v>1264</v>
      </c>
    </row>
    <row r="5769" customFormat="false" ht="17.15" hidden="false" customHeight="false" outlineLevel="0" collapsed="false">
      <c r="A5769" s="1" t="s">
        <v>1173</v>
      </c>
      <c r="B5769" s="0" t="s">
        <v>98</v>
      </c>
      <c r="C5769" s="6" t="n">
        <f aca="false">Sens!F5716+oai_v-Sens!F5705+Sens!$C$5768</f>
        <v>162.535675346083</v>
      </c>
      <c r="L5769" s="1" t="s">
        <v>1265</v>
      </c>
    </row>
    <row r="5770" customFormat="false" ht="17.15" hidden="false" customHeight="false" outlineLevel="0" collapsed="false">
      <c r="A5770" s="1" t="s">
        <v>1266</v>
      </c>
      <c r="B5770" s="0" t="s">
        <v>75</v>
      </c>
      <c r="C5770" s="5" t="n">
        <f aca="false">(Sens!$C$5767+Sens!$C$5769)/(Sens!F5718+dil_gap)-Sens!G5708*roll_div_q/q_per_yr</f>
        <v>475.361293463091</v>
      </c>
      <c r="L5770" s="1" t="s">
        <v>1267</v>
      </c>
    </row>
    <row r="5771" customFormat="false" ht="17.15" hidden="false" customHeight="false" outlineLevel="0" collapsed="false">
      <c r="A5771" s="1" t="s">
        <v>1268</v>
      </c>
      <c r="B5771" s="0" t="s">
        <v>75</v>
      </c>
      <c r="C5771" s="5" t="n">
        <f aca="false">w_dcf*Sens!$C$5741+(1-w_dcf)*Sens!$C$5770</f>
        <v>416.330068489841</v>
      </c>
    </row>
    <row r="5772" customFormat="false" ht="17.15" hidden="false" customHeight="false" outlineLevel="0" collapsed="false">
      <c r="A5772" s="3" t="s">
        <v>1755</v>
      </c>
    </row>
    <row r="5773" customFormat="false" ht="15" hidden="false" customHeight="false" outlineLevel="0" collapsed="false">
      <c r="A5773" s="4" t="s">
        <v>43</v>
      </c>
      <c r="B5773" s="4" t="s">
        <v>65</v>
      </c>
      <c r="C5773" s="23" t="s">
        <v>942</v>
      </c>
      <c r="D5773" s="23" t="s">
        <v>943</v>
      </c>
      <c r="E5773" s="23" t="s">
        <v>944</v>
      </c>
      <c r="F5773" s="23" t="s">
        <v>945</v>
      </c>
      <c r="G5773" s="23" t="s">
        <v>946</v>
      </c>
      <c r="H5773" s="23" t="s">
        <v>947</v>
      </c>
      <c r="I5773" s="23" t="s">
        <v>948</v>
      </c>
      <c r="J5773" s="23" t="s">
        <v>949</v>
      </c>
      <c r="K5773" s="23" t="s">
        <v>950</v>
      </c>
      <c r="L5773" s="4" t="s">
        <v>47</v>
      </c>
    </row>
    <row r="5774" customFormat="false" ht="17.15" hidden="false" customHeight="false" outlineLevel="0" collapsed="false">
      <c r="A5774" s="1" t="s">
        <v>951</v>
      </c>
      <c r="B5774" s="1" t="s">
        <v>279</v>
      </c>
      <c r="C5774" s="21" t="n">
        <v>2024</v>
      </c>
      <c r="D5774" s="21" t="n">
        <v>2025</v>
      </c>
      <c r="E5774" s="21" t="n">
        <v>2026</v>
      </c>
      <c r="F5774" s="21" t="n">
        <v>2027</v>
      </c>
      <c r="G5774" s="21" t="n">
        <v>2028</v>
      </c>
      <c r="H5774" s="21" t="n">
        <v>2029</v>
      </c>
      <c r="I5774" s="21" t="n">
        <v>2030</v>
      </c>
      <c r="J5774" s="21" t="n">
        <v>2031</v>
      </c>
      <c r="K5774" s="21" t="n">
        <v>2032</v>
      </c>
    </row>
    <row r="5775" customFormat="false" ht="17.15" hidden="false" customHeight="false" outlineLevel="0" collapsed="false">
      <c r="A5775" s="1" t="s">
        <v>952</v>
      </c>
      <c r="B5775" s="0" t="s">
        <v>459</v>
      </c>
      <c r="F5775" s="30" t="n">
        <f aca="false">pace</f>
        <v>2726.5351</v>
      </c>
      <c r="G5775" s="30" t="n">
        <f aca="false">pace</f>
        <v>2726.5351</v>
      </c>
      <c r="H5775" s="30" t="n">
        <f aca="false">pace</f>
        <v>2726.5351</v>
      </c>
      <c r="I5775" s="30" t="n">
        <f aca="false">pace+(g_tv*Sens!H5776-pace)*MIN(1,(Sens!I5774-pace_y0)/(pace_y1-pace_y0))</f>
        <v>1931.98611966667</v>
      </c>
      <c r="J5775" s="30" t="n">
        <f aca="false">pace+(g_tv*Sens!I5776-pace)*MIN(1,(Sens!J5774-pace_y0)/(pace_y1-pace_y0))</f>
        <v>1176.07686172667</v>
      </c>
      <c r="K5775" s="30" t="n">
        <f aca="false">pace+(g_tv*Sens!J5776-pace)*MIN(1,(Sens!K5774-pace_y0)/(pace_y1-pace_y0))</f>
        <v>436.1300484418</v>
      </c>
      <c r="L5775" s="12" t="s">
        <v>953</v>
      </c>
    </row>
    <row r="5776" customFormat="false" ht="17.15" hidden="false" customHeight="false" outlineLevel="0" collapsed="false">
      <c r="A5776" s="1" t="s">
        <v>954</v>
      </c>
      <c r="B5776" s="0" t="s">
        <v>459</v>
      </c>
      <c r="C5776" s="30" t="n">
        <f aca="false">mw_ext_24</f>
        <v>640</v>
      </c>
      <c r="D5776" s="30" t="n">
        <f aca="false">mw_ext_25</f>
        <v>1630</v>
      </c>
      <c r="E5776" s="30" t="n">
        <f aca="false">mw_ext_26</f>
        <v>3250</v>
      </c>
      <c r="F5776" s="30" t="n">
        <f aca="false">Sens!E5776+Sens!F5775</f>
        <v>5976.5351</v>
      </c>
      <c r="G5776" s="30" t="n">
        <f aca="false">Sens!F5776+Sens!G5775</f>
        <v>8703.0702</v>
      </c>
      <c r="H5776" s="30" t="n">
        <f aca="false">Sens!G5776+Sens!H5775</f>
        <v>11429.6053</v>
      </c>
      <c r="I5776" s="30" t="n">
        <f aca="false">Sens!H5776+Sens!I5775</f>
        <v>13361.5914196667</v>
      </c>
      <c r="J5776" s="30" t="n">
        <f aca="false">Sens!I5776+Sens!J5775</f>
        <v>14537.6682813933</v>
      </c>
      <c r="K5776" s="30" t="n">
        <f aca="false">Sens!J5776+Sens!K5775</f>
        <v>14973.7983298351</v>
      </c>
      <c r="L5776" s="1" t="s">
        <v>955</v>
      </c>
    </row>
    <row r="5777" customFormat="false" ht="17.15" hidden="false" customHeight="false" outlineLevel="0" collapsed="false">
      <c r="A5777" s="1" t="s">
        <v>956</v>
      </c>
      <c r="B5777" s="0" t="s">
        <v>459</v>
      </c>
      <c r="C5777" s="30" t="n">
        <f aca="false">rent_ext_24</f>
        <v>150</v>
      </c>
      <c r="D5777" s="30" t="n">
        <f aca="false">rent_ext_25</f>
        <v>400</v>
      </c>
      <c r="E5777" s="30" t="n">
        <f aca="false">rent_ext_26</f>
        <v>550</v>
      </c>
      <c r="F5777" s="30" t="n">
        <f aca="false">rent_ext_f</f>
        <v>756</v>
      </c>
      <c r="G5777" s="30" t="n">
        <f aca="false">rent_ext_f</f>
        <v>756</v>
      </c>
      <c r="H5777" s="30" t="n">
        <f aca="false">rent_ext_f</f>
        <v>756</v>
      </c>
      <c r="I5777" s="30" t="n">
        <f aca="false">rent_ext_f</f>
        <v>756</v>
      </c>
      <c r="J5777" s="30" t="n">
        <f aca="false">rent_ext_f</f>
        <v>756</v>
      </c>
      <c r="K5777" s="30" t="n">
        <f aca="false">rent_ext_f</f>
        <v>756</v>
      </c>
      <c r="L5777" s="1" t="s">
        <v>957</v>
      </c>
    </row>
    <row r="5778" customFormat="false" ht="17.15" hidden="false" customHeight="false" outlineLevel="0" collapsed="false">
      <c r="A5778" s="1" t="s">
        <v>958</v>
      </c>
      <c r="B5778" s="0" t="s">
        <v>459</v>
      </c>
      <c r="C5778" s="30" t="n">
        <f aca="false">Sens!C5776-Sens!C5777</f>
        <v>490</v>
      </c>
      <c r="D5778" s="30" t="n">
        <f aca="false">Sens!D5776-Sens!D5777</f>
        <v>1230</v>
      </c>
      <c r="E5778" s="30" t="n">
        <f aca="false">Sens!E5776-Sens!E5777</f>
        <v>2700</v>
      </c>
      <c r="F5778" s="30" t="n">
        <f aca="false">Sens!F5776-Sens!F5777</f>
        <v>5220.5351</v>
      </c>
      <c r="G5778" s="30" t="n">
        <f aca="false">Sens!G5776-Sens!G5777</f>
        <v>7947.0702</v>
      </c>
      <c r="H5778" s="30" t="n">
        <f aca="false">Sens!H5776-Sens!H5777</f>
        <v>10673.6053</v>
      </c>
      <c r="I5778" s="30" t="n">
        <f aca="false">Sens!I5776-Sens!I5777</f>
        <v>12605.5914196667</v>
      </c>
      <c r="J5778" s="30" t="n">
        <f aca="false">Sens!J5776-Sens!J5777</f>
        <v>13781.6682813933</v>
      </c>
      <c r="K5778" s="30" t="n">
        <f aca="false">Sens!K5776-Sens!K5777</f>
        <v>14217.7983298351</v>
      </c>
    </row>
    <row r="5779" customFormat="false" ht="17.15" hidden="false" customHeight="false" outlineLevel="0" collapsed="false">
      <c r="A5779" s="1" t="s">
        <v>959</v>
      </c>
      <c r="B5779" s="0" t="s">
        <v>459</v>
      </c>
      <c r="C5779" s="30" t="n">
        <f aca="false">Sens!C5778/ext_sh</f>
        <v>816.666666666667</v>
      </c>
      <c r="D5779" s="30" t="n">
        <f aca="false">Sens!D5778/ext_sh</f>
        <v>2050</v>
      </c>
      <c r="E5779" s="30" t="n">
        <f aca="false">Sens!E5778/ext_sh</f>
        <v>4500</v>
      </c>
      <c r="F5779" s="30" t="n">
        <f aca="false">Sens!F5778/ext_sh</f>
        <v>8700.89183333333</v>
      </c>
      <c r="G5779" s="30" t="n">
        <f aca="false">Sens!G5778/ext_sh</f>
        <v>13245.117</v>
      </c>
      <c r="H5779" s="30" t="n">
        <f aca="false">Sens!H5778/ext_sh</f>
        <v>17789.3421666667</v>
      </c>
      <c r="I5779" s="30" t="n">
        <f aca="false">Sens!I5778/ext_sh</f>
        <v>21009.3190327778</v>
      </c>
      <c r="J5779" s="30" t="n">
        <f aca="false">Sens!J5778/ext_sh</f>
        <v>22969.4471356556</v>
      </c>
      <c r="K5779" s="30" t="n">
        <f aca="false">Sens!K5778/ext_sh</f>
        <v>23696.3305497252</v>
      </c>
      <c r="L5779" s="1" t="s">
        <v>960</v>
      </c>
    </row>
    <row r="5780" customFormat="false" ht="17.15" hidden="false" customHeight="false" outlineLevel="0" collapsed="false">
      <c r="A5780" s="1" t="s">
        <v>961</v>
      </c>
      <c r="B5780" s="0" t="s">
        <v>459</v>
      </c>
      <c r="C5780" s="30" t="n">
        <f aca="false">Sens!C5779-Sens!C5778</f>
        <v>326.666666666667</v>
      </c>
      <c r="D5780" s="30" t="n">
        <f aca="false">Sens!D5779-Sens!D5778</f>
        <v>820</v>
      </c>
      <c r="E5780" s="30" t="n">
        <f aca="false">Sens!E5779-Sens!E5778</f>
        <v>1800</v>
      </c>
      <c r="F5780" s="30" t="n">
        <f aca="false">Sens!F5779-Sens!F5778</f>
        <v>3480.35673333333</v>
      </c>
      <c r="G5780" s="30" t="n">
        <f aca="false">Sens!G5779-Sens!G5778</f>
        <v>5298.0468</v>
      </c>
      <c r="H5780" s="30" t="n">
        <f aca="false">Sens!H5779-Sens!H5778</f>
        <v>7115.73686666667</v>
      </c>
      <c r="I5780" s="30" t="n">
        <f aca="false">Sens!I5779-Sens!I5778</f>
        <v>8403.72761311111</v>
      </c>
      <c r="J5780" s="30" t="n">
        <f aca="false">Sens!J5779-Sens!J5778</f>
        <v>9187.77885426222</v>
      </c>
      <c r="K5780" s="30" t="n">
        <f aca="false">Sens!K5779-Sens!K5778</f>
        <v>9478.53221989009</v>
      </c>
    </row>
    <row r="5781" customFormat="false" ht="17.15" hidden="false" customHeight="false" outlineLevel="0" collapsed="false">
      <c r="A5781" s="1" t="s">
        <v>962</v>
      </c>
      <c r="B5781" s="0" t="s">
        <v>459</v>
      </c>
      <c r="C5781" s="30" t="n">
        <f aca="false">Sens!C5779</f>
        <v>816.666666666667</v>
      </c>
      <c r="D5781" s="30" t="n">
        <f aca="false">Sens!D5779-Sens!C5779</f>
        <v>1233.33333333333</v>
      </c>
      <c r="E5781" s="30" t="n">
        <f aca="false">Sens!E5779-Sens!D5779</f>
        <v>2450</v>
      </c>
      <c r="F5781" s="30" t="n">
        <f aca="false">Sens!F5779-Sens!E5779</f>
        <v>4200.89183333333</v>
      </c>
      <c r="G5781" s="30" t="n">
        <f aca="false">Sens!G5779-Sens!F5779</f>
        <v>4544.22516666667</v>
      </c>
      <c r="H5781" s="30" t="n">
        <f aca="false">Sens!H5779-Sens!G5779</f>
        <v>4544.22516666667</v>
      </c>
      <c r="I5781" s="30" t="n">
        <f aca="false">Sens!I5779-Sens!H5779</f>
        <v>3219.97686611111</v>
      </c>
      <c r="J5781" s="30" t="n">
        <f aca="false">Sens!J5779-Sens!I5779</f>
        <v>1960.12810287778</v>
      </c>
      <c r="K5781" s="30" t="n">
        <f aca="false">Sens!K5779-Sens!J5779</f>
        <v>726.883414069667</v>
      </c>
    </row>
    <row r="5782" customFormat="false" ht="17.15" hidden="false" customHeight="false" outlineLevel="0" collapsed="false">
      <c r="A5782" s="1" t="s">
        <v>963</v>
      </c>
      <c r="B5782" s="0" t="s">
        <v>459</v>
      </c>
      <c r="D5782" s="30" t="n">
        <f aca="false">Sens!D5776-Sens!C5776</f>
        <v>990</v>
      </c>
      <c r="E5782" s="30" t="n">
        <f aca="false">Sens!E5776-Sens!D5776</f>
        <v>1620</v>
      </c>
      <c r="F5782" s="30" t="n">
        <f aca="false">Sens!F5776-Sens!E5776</f>
        <v>2726.5351</v>
      </c>
      <c r="G5782" s="30" t="n">
        <f aca="false">Sens!G5776-Sens!F5776</f>
        <v>2726.5351</v>
      </c>
      <c r="H5782" s="30" t="n">
        <f aca="false">Sens!H5776-Sens!G5776</f>
        <v>2726.5351</v>
      </c>
      <c r="I5782" s="30" t="n">
        <f aca="false">Sens!I5776-Sens!H5776</f>
        <v>1931.98611966667</v>
      </c>
      <c r="J5782" s="30" t="n">
        <f aca="false">Sens!J5776-Sens!I5776</f>
        <v>1176.07686172667</v>
      </c>
      <c r="K5782" s="30" t="n">
        <f aca="false">Sens!K5776-Sens!J5776</f>
        <v>436.130048441799</v>
      </c>
    </row>
    <row r="5783" customFormat="false" ht="17.15" hidden="false" customHeight="false" outlineLevel="0" collapsed="false">
      <c r="A5783" s="1" t="s">
        <v>964</v>
      </c>
      <c r="B5783" s="0" t="s">
        <v>459</v>
      </c>
      <c r="F5783" s="30" t="n">
        <f aca="false">Sens!F5802*ext_sh</f>
        <v>0</v>
      </c>
      <c r="G5783" s="30" t="n">
        <f aca="false">Sens!G5802*ext_sh</f>
        <v>0</v>
      </c>
      <c r="H5783" s="30" t="n">
        <f aca="false">Sens!H5802*ext_sh</f>
        <v>0</v>
      </c>
      <c r="I5783" s="30" t="n">
        <f aca="false">Sens!I5802*ext_sh</f>
        <v>490</v>
      </c>
      <c r="J5783" s="30" t="n">
        <f aca="false">Sens!J5802*ext_sh</f>
        <v>740</v>
      </c>
      <c r="K5783" s="30" t="n">
        <f aca="false">Sens!K5802*ext_sh</f>
        <v>1470</v>
      </c>
      <c r="L5783" s="1" t="s">
        <v>965</v>
      </c>
    </row>
    <row r="5784" customFormat="false" ht="17.15" hidden="false" customHeight="false" outlineLevel="0" collapsed="false">
      <c r="A5784" s="1" t="s">
        <v>966</v>
      </c>
      <c r="B5784" s="0" t="s">
        <v>459</v>
      </c>
      <c r="C5784" s="30" t="n">
        <f aca="false">mix_h*Sens!C5776</f>
        <v>128</v>
      </c>
      <c r="D5784" s="30" t="n">
        <f aca="false">mix_h*Sens!D5776</f>
        <v>326</v>
      </c>
      <c r="E5784" s="30" t="n">
        <f aca="false">mix_h*Sens!E5776</f>
        <v>650</v>
      </c>
      <c r="F5784" s="30" t="n">
        <f aca="false">Sens!E5784-Sens!F5783*mix_h</f>
        <v>650</v>
      </c>
      <c r="G5784" s="30" t="n">
        <f aca="false">Sens!F5784-Sens!G5783*mix_h</f>
        <v>650</v>
      </c>
      <c r="H5784" s="30" t="n">
        <f aca="false">Sens!G5784-Sens!H5783*mix_h</f>
        <v>650</v>
      </c>
      <c r="I5784" s="30" t="n">
        <f aca="false">Sens!H5784-Sens!I5783*mix_h</f>
        <v>552</v>
      </c>
      <c r="J5784" s="30" t="n">
        <f aca="false">Sens!I5784-Sens!J5783*mix_h</f>
        <v>404</v>
      </c>
      <c r="K5784" s="30" t="n">
        <f aca="false">Sens!J5784-Sens!K5783*mix_h</f>
        <v>110</v>
      </c>
    </row>
    <row r="5785" customFormat="false" ht="17.15" hidden="false" customHeight="false" outlineLevel="0" collapsed="false">
      <c r="A5785" s="1" t="s">
        <v>967</v>
      </c>
      <c r="B5785" s="0" t="s">
        <v>459</v>
      </c>
      <c r="C5785" s="30" t="n">
        <f aca="false">mix_g2*Sens!C5776</f>
        <v>288</v>
      </c>
      <c r="D5785" s="30" t="n">
        <f aca="false">mix_g2*Sens!D5776</f>
        <v>733.5</v>
      </c>
      <c r="E5785" s="30" t="n">
        <f aca="false">mix_g2*Sens!E5776</f>
        <v>1462.5</v>
      </c>
      <c r="F5785" s="30" t="n">
        <f aca="false">Sens!E5785-Sens!F5783*mix_g2</f>
        <v>1462.5</v>
      </c>
      <c r="G5785" s="30" t="n">
        <f aca="false">Sens!F5785-Sens!G5783*mix_g2</f>
        <v>1462.5</v>
      </c>
      <c r="H5785" s="30" t="n">
        <f aca="false">Sens!G5785-Sens!H5783*mix_g2</f>
        <v>1462.5</v>
      </c>
      <c r="I5785" s="30" t="n">
        <f aca="false">Sens!H5785-Sens!I5783*mix_g2</f>
        <v>1242</v>
      </c>
      <c r="J5785" s="30" t="n">
        <f aca="false">Sens!I5785-Sens!J5783*mix_g2</f>
        <v>909</v>
      </c>
      <c r="K5785" s="30" t="n">
        <f aca="false">Sens!J5785-Sens!K5783*mix_g2</f>
        <v>247.5</v>
      </c>
    </row>
    <row r="5786" customFormat="false" ht="17.15" hidden="false" customHeight="false" outlineLevel="0" collapsed="false">
      <c r="A5786" s="1" t="s">
        <v>968</v>
      </c>
      <c r="B5786" s="0" t="s">
        <v>459</v>
      </c>
      <c r="C5786" s="30" t="n">
        <f aca="false">mix_g3*Sens!C5776</f>
        <v>224</v>
      </c>
      <c r="D5786" s="30" t="n">
        <f aca="false">mix_g3*Sens!D5776</f>
        <v>570.5</v>
      </c>
      <c r="E5786" s="30" t="n">
        <f aca="false">mix_g3*Sens!E5776</f>
        <v>1137.5</v>
      </c>
      <c r="F5786" s="30" t="n">
        <f aca="false">Sens!E5786+(Sens!F5782+Sens!F5783)*(a_g3_27-nonnv*a_mai)-Sens!F5783*mix_g3</f>
        <v>2773.42106</v>
      </c>
      <c r="G5786" s="30" t="n">
        <f aca="false">Sens!F5786+(Sens!G5782+Sens!G5783)*(a_g3_28-nonnv*a_mai)-Sens!G5783*mix_g3</f>
        <v>3318.72808</v>
      </c>
      <c r="H5786" s="30" t="n">
        <f aca="false">Sens!G5786+(Sens!H5782+Sens!H5783)*(a_g3_29-nonnv*a_mai)-Sens!H5783*mix_g3</f>
        <v>3318.72808</v>
      </c>
      <c r="I5786" s="30" t="n">
        <f aca="false">Sens!H5786+(Sens!I5782+Sens!I5783)*(a_g3_29-nonnv*a_mai)-Sens!I5783*mix_g3</f>
        <v>3147.22808</v>
      </c>
      <c r="J5786" s="30" t="n">
        <f aca="false">Sens!I5786+(Sens!J5782+Sens!J5783)*(a_g3_29-nonnv*a_mai)-Sens!J5783*mix_g3</f>
        <v>2888.22808</v>
      </c>
      <c r="K5786" s="30" t="n">
        <f aca="false">Sens!J5786+(Sens!K5782+Sens!K5783)*(a_g3_29-nonnv*a_mai)-Sens!K5783*mix_g3</f>
        <v>2373.72808</v>
      </c>
    </row>
    <row r="5787" customFormat="false" ht="17.15" hidden="false" customHeight="false" outlineLevel="0" collapsed="false">
      <c r="A5787" s="1" t="s">
        <v>969</v>
      </c>
      <c r="B5787" s="0" t="s">
        <v>459</v>
      </c>
      <c r="C5787" s="30" t="n">
        <v>0</v>
      </c>
      <c r="D5787" s="30" t="n">
        <v>0</v>
      </c>
      <c r="E5787" s="30" t="n">
        <v>0</v>
      </c>
      <c r="F5787" s="30" t="n">
        <f aca="false">Sens!E5787+(Sens!F5782+Sens!F5783)*nonnv*a_mai</f>
        <v>272.65351</v>
      </c>
      <c r="G5787" s="30" t="n">
        <f aca="false">Sens!F5787+(Sens!G5782+Sens!G5783)*nonnv*a_mai</f>
        <v>545.30702</v>
      </c>
      <c r="H5787" s="30" t="n">
        <f aca="false">Sens!G5787+(Sens!H5782+Sens!H5783)*nonnv*a_mai</f>
        <v>817.96053</v>
      </c>
      <c r="I5787" s="30" t="n">
        <f aca="false">Sens!H5787+(Sens!I5782+Sens!I5783)*nonnv*a_mai</f>
        <v>1060.15914196667</v>
      </c>
      <c r="J5787" s="30" t="n">
        <f aca="false">Sens!I5787+(Sens!J5782+Sens!J5783)*nonnv*a_mai</f>
        <v>1251.76682813933</v>
      </c>
      <c r="K5787" s="30" t="n">
        <f aca="false">Sens!J5787+(Sens!K5782+Sens!K5783)*nonnv*a_mai</f>
        <v>1442.37983298351</v>
      </c>
      <c r="L5787" s="12" t="s">
        <v>970</v>
      </c>
    </row>
    <row r="5788" customFormat="false" ht="17.15" hidden="false" customHeight="false" outlineLevel="0" collapsed="false">
      <c r="A5788" s="1" t="s">
        <v>971</v>
      </c>
      <c r="B5788" s="0" t="s">
        <v>459</v>
      </c>
      <c r="C5788" s="30" t="n">
        <v>0</v>
      </c>
      <c r="D5788" s="30" t="n">
        <v>0</v>
      </c>
      <c r="E5788" s="30" t="n">
        <v>0</v>
      </c>
      <c r="F5788" s="30" t="n">
        <f aca="false">Sens!E5788+(Sens!F5782+Sens!F5783)*(1-a_g3_27)</f>
        <v>817.96053</v>
      </c>
      <c r="G5788" s="30" t="n">
        <f aca="false">Sens!F5788+(Sens!G5782+Sens!G5783)*(1-a_g3_28)</f>
        <v>2726.5351</v>
      </c>
      <c r="H5788" s="30" t="n">
        <f aca="false">Sens!G5788+(Sens!H5782+Sens!H5783)*(1-a_g3_29)</f>
        <v>5180.41669</v>
      </c>
      <c r="I5788" s="30" t="n">
        <f aca="false">Sens!H5788+(Sens!I5782+Sens!I5783)*(1-a_g3_29)</f>
        <v>7360.2041977</v>
      </c>
      <c r="J5788" s="30" t="n">
        <f aca="false">Sens!I5788+(Sens!J5782+Sens!J5783)*(1-a_g3_29)</f>
        <v>9084.673373254</v>
      </c>
      <c r="K5788" s="30" t="n">
        <f aca="false">Sens!J5788+(Sens!K5782+Sens!K5783)*(1-a_g3_29)</f>
        <v>10800.1904168516</v>
      </c>
    </row>
    <row r="5789" customFormat="false" ht="17.15" hidden="false" customHeight="false" outlineLevel="0" collapsed="false">
      <c r="A5789" s="1" t="s">
        <v>972</v>
      </c>
      <c r="B5789" s="0" t="s">
        <v>403</v>
      </c>
      <c r="C5789" s="15" t="n">
        <f aca="false">(Sens!C5784*tk_hold_h100+Sens!C5785*tk_hold_gb200+Sens!C5786*tk_hold_gb300+Sens!C5788*tk_hold_vr200+Sens!C5787*nv_hold_mai*tk_hold_vr200)/Sens!C5776</f>
        <v>9.7235358126469</v>
      </c>
      <c r="D5789" s="15" t="n">
        <f aca="false">(Sens!D5784*tk_hold_h100+Sens!D5785*tk_hold_gb200+Sens!D5786*tk_hold_gb300+Sens!D5788*tk_hold_vr200+Sens!D5787*nv_hold_mai*tk_hold_vr200)/Sens!D5776</f>
        <v>9.7235358126469</v>
      </c>
      <c r="E5789" s="15" t="n">
        <f aca="false">(Sens!E5784*tk_hold_h100+Sens!E5785*tk_hold_gb200+Sens!E5786*tk_hold_gb300+Sens!E5788*tk_hold_vr200+Sens!E5787*nv_hold_mai*tk_hold_vr200)/Sens!E5776</f>
        <v>9.7235358126469</v>
      </c>
      <c r="F5789" s="15" t="n">
        <f aca="false">(Sens!F5784*tk_hold_h100+Sens!F5785*tk_hold_gb200+Sens!F5786*tk_hold_gb300+Sens!F5788*tk_hold_vr200+Sens!F5787*nv_hold_mai*tk_hold_vr200)/Sens!F5776</f>
        <v>10.2195353876665</v>
      </c>
      <c r="G5789" s="15" t="n">
        <f aca="false">(Sens!G5784*tk_hold_h100+Sens!G5785*tk_hold_gb200+Sens!G5786*tk_hold_gb300+Sens!G5788*tk_hold_vr200+Sens!G5787*nv_hold_mai*tk_hold_vr200)/Sens!G5776</f>
        <v>10.5725598017306</v>
      </c>
      <c r="H5789" s="15" t="n">
        <f aca="false">(Sens!H5784*tk_hold_h100+Sens!H5785*tk_hold_gb200+Sens!H5786*tk_hold_gb300+Sens!H5788*tk_hold_vr200+Sens!H5787*nv_hold_mai*tk_hold_vr200)/Sens!H5776</f>
        <v>10.8210427149036</v>
      </c>
      <c r="I5789" s="15" t="n">
        <f aca="false">(Sens!I5784*tk_hold_h100+Sens!I5785*tk_hold_gb200+Sens!I5786*tk_hold_gb300+Sens!I5788*tk_hold_vr200+Sens!I5787*nv_hold_mai*tk_hold_vr200)/Sens!I5776</f>
        <v>11.0050618241982</v>
      </c>
      <c r="J5789" s="15" t="n">
        <f aca="false">(Sens!J5784*tk_hold_h100+Sens!J5785*tk_hold_gb200+Sens!J5786*tk_hold_gb300+Sens!J5788*tk_hold_vr200+Sens!J5787*nv_hold_mai*tk_hold_vr200)/Sens!J5776</f>
        <v>11.1505789658881</v>
      </c>
      <c r="K5789" s="15" t="n">
        <f aca="false">(Sens!K5784*tk_hold_h100+Sens!K5785*tk_hold_gb200+Sens!K5786*tk_hold_gb300+Sens!K5788*tk_hold_vr200+Sens!K5787*nv_hold_mai*tk_hold_vr200)/Sens!K5776</f>
        <v>11.3496914757183</v>
      </c>
      <c r="L5789" s="1" t="s">
        <v>973</v>
      </c>
    </row>
    <row r="5790" customFormat="false" ht="17.15" hidden="false" customHeight="false" outlineLevel="0" collapsed="false">
      <c r="A5790" s="1" t="s">
        <v>974</v>
      </c>
      <c r="B5790" s="0" t="s">
        <v>403</v>
      </c>
      <c r="C5790" s="15" t="n">
        <f aca="false">(Sens!C5784*tk_hold_h100+Sens!C5785*tk_hold_gb200+Sens!C5786*tk_hold_gb300+Sens!C5788*tk_hold_vr200+Sens!C5787*nv_out_mai_lo*tk_hold_vr200)/Sens!C5776</f>
        <v>9.7235358126469</v>
      </c>
      <c r="D5790" s="15" t="n">
        <f aca="false">(Sens!D5784*tk_hold_h100+Sens!D5785*tk_hold_gb200+Sens!D5786*tk_hold_gb300+Sens!D5788*tk_hold_vr200+Sens!D5787*nv_out_mai_lo*tk_hold_vr200)/Sens!D5776</f>
        <v>9.7235358126469</v>
      </c>
      <c r="E5790" s="15" t="n">
        <f aca="false">(Sens!E5784*tk_hold_h100+Sens!E5785*tk_hold_gb200+Sens!E5786*tk_hold_gb300+Sens!E5788*tk_hold_vr200+Sens!E5787*nv_out_mai_lo*tk_hold_vr200)/Sens!E5776</f>
        <v>9.7235358126469</v>
      </c>
      <c r="F5790" s="15" t="n">
        <f aca="false">(Sens!F5784*tk_hold_h100+Sens!F5785*tk_hold_gb200+Sens!F5786*tk_hold_gb300+Sens!F5788*tk_hold_vr200+Sens!F5787*nv_out_mai_lo*tk_hold_vr200)/Sens!F5776</f>
        <v>10.0801018561541</v>
      </c>
      <c r="G5790" s="15" t="n">
        <f aca="false">(Sens!G5784*tk_hold_h100+Sens!G5785*tk_hold_gb200+Sens!G5786*tk_hold_gb300+Sens!G5788*tk_hold_vr200+Sens!G5787*nv_out_mai_lo*tk_hold_vr200)/Sens!G5776</f>
        <v>10.3810574063574</v>
      </c>
      <c r="H5790" s="15" t="n">
        <f aca="false">(Sens!H5784*tk_hold_h100+Sens!H5785*tk_hold_gb200+Sens!H5786*tk_hold_gb300+Sens!H5788*tk_hold_vr200+Sens!H5787*nv_out_mai_lo*tk_hold_vr200)/Sens!H5776</f>
        <v>10.6023135357252</v>
      </c>
      <c r="I5790" s="15" t="n">
        <f aca="false">(Sens!I5784*tk_hold_h100+Sens!I5785*tk_hold_gb200+Sens!I5786*tk_hold_gb300+Sens!I5788*tk_hold_vr200+Sens!I5787*nv_out_mai_lo*tk_hold_vr200)/Sens!I5776</f>
        <v>10.7625580601765</v>
      </c>
      <c r="J5790" s="15" t="n">
        <f aca="false">(Sens!J5784*tk_hold_h100+Sens!J5785*tk_hold_gb200+Sens!J5786*tk_hold_gb300+Sens!J5788*tk_hold_vr200+Sens!J5787*nv_out_mai_lo*tk_hold_vr200)/Sens!J5776</f>
        <v>10.8874102312998</v>
      </c>
      <c r="K5790" s="15" t="n">
        <f aca="false">(Sens!K5784*tk_hold_h100+Sens!K5785*tk_hold_gb200+Sens!K5786*tk_hold_gb300+Sens!K5788*tk_hold_vr200+Sens!K5787*nv_out_mai_lo*tk_hold_vr200)/Sens!K5776</f>
        <v>11.0552809921972</v>
      </c>
      <c r="L5790" s="12" t="s">
        <v>975</v>
      </c>
    </row>
    <row r="5791" customFormat="false" ht="17.15" hidden="false" customHeight="false" outlineLevel="0" collapsed="false">
      <c r="A5791" s="0" t="s">
        <v>976</v>
      </c>
      <c r="B5791" s="0" t="s">
        <v>229</v>
      </c>
      <c r="C5791" s="15" t="n">
        <f aca="false">k_B</f>
        <v>1.17213932619116</v>
      </c>
      <c r="D5791" s="15" t="n">
        <f aca="false">k_B</f>
        <v>1.17213932619116</v>
      </c>
      <c r="E5791" s="15" t="n">
        <f aca="false">k_B</f>
        <v>1.17213932619116</v>
      </c>
      <c r="F5791" s="15" t="n">
        <f aca="false">(k_B+((ls_B*k_long+(1-ls_B)*k_spot)-k_B)*MIN(1,(Sens!F5774-base_fy)/k_ramp))</f>
        <v>1.17213932619116</v>
      </c>
      <c r="G5791" s="15" t="n">
        <f aca="false">(k_B+((ls_B*k_long+(1-ls_B)*k_spot)-k_B)*MIN(1,(Sens!G5774-base_fy)/k_ramp))</f>
        <v>1.17213932619116</v>
      </c>
      <c r="H5791" s="15" t="n">
        <f aca="false">(k_B+((ls_B*k_long+(1-ls_B)*k_spot)-k_B)*MIN(1,(Sens!H5774-base_fy)/k_ramp))</f>
        <v>1.17213932619116</v>
      </c>
      <c r="I5791" s="15" t="n">
        <f aca="false">(k_B+((ls_B*k_long+(1-ls_B)*k_spot)-k_B)*MIN(1,(Sens!I5774-base_fy)/k_ramp))</f>
        <v>1.17213932619116</v>
      </c>
      <c r="J5791" s="15" t="n">
        <f aca="false">(k_B+((ls_B*k_long+(1-ls_B)*k_spot)-k_B)*MIN(1,(Sens!J5774-base_fy)/k_ramp))</f>
        <v>1.17213932619116</v>
      </c>
      <c r="K5791" s="15" t="n">
        <f aca="false">(k_B+((ls_B*k_long+(1-ls_B)*k_spot)-k_B)*MIN(1,(Sens!K5774-base_fy)/k_ramp))</f>
        <v>1.17213932619116</v>
      </c>
      <c r="L5791" s="1" t="s">
        <v>977</v>
      </c>
    </row>
    <row r="5792" customFormat="false" ht="17.15" hidden="false" customHeight="false" outlineLevel="0" collapsed="false">
      <c r="A5792" s="1" t="s">
        <v>978</v>
      </c>
      <c r="B5792" s="0" t="s">
        <v>403</v>
      </c>
      <c r="C5792" s="15" t="n">
        <f aca="false">Sens!C5790*Sens!C5791*chip_f</f>
        <v>11.3973387156315</v>
      </c>
      <c r="D5792" s="15" t="n">
        <f aca="false">Sens!D5790*Sens!D5791*chip_f</f>
        <v>11.3973387156315</v>
      </c>
      <c r="E5792" s="15" t="n">
        <f aca="false">Sens!E5790*Sens!E5791*chip_f</f>
        <v>11.3973387156315</v>
      </c>
      <c r="F5792" s="15" t="n">
        <f aca="false">Sens!F5790*Sens!F5791*chip_f</f>
        <v>11.8152837976107</v>
      </c>
      <c r="G5792" s="15" t="n">
        <f aca="false">Sens!G5790*Sens!G5791*chip_f</f>
        <v>12.1680456334394</v>
      </c>
      <c r="H5792" s="15" t="n">
        <f aca="false">Sens!H5790*Sens!H5791*chip_f</f>
        <v>12.4273886438323</v>
      </c>
      <c r="I5792" s="15" t="n">
        <f aca="false">Sens!I5790*Sens!I5791*chip_f</f>
        <v>12.6152175527484</v>
      </c>
      <c r="J5792" s="15" t="n">
        <f aca="false">Sens!J5790*Sens!J5791*chip_f</f>
        <v>12.7615616924824</v>
      </c>
      <c r="K5792" s="15" t="n">
        <f aca="false">Sens!K5790*Sens!K5791*chip_f</f>
        <v>12.9583296130479</v>
      </c>
      <c r="L5792" s="1" t="s">
        <v>979</v>
      </c>
    </row>
    <row r="5793" customFormat="false" ht="17.15" hidden="false" customHeight="false" outlineLevel="0" collapsed="false">
      <c r="A5793" s="0" t="s">
        <v>980</v>
      </c>
      <c r="B5793" s="0" t="s">
        <v>98</v>
      </c>
      <c r="D5793" s="6" t="n">
        <f aca="false">(Sens!C5776+Sens!D5776)/2*Sens!D5792/1000</f>
        <v>12.9359794422418</v>
      </c>
      <c r="E5793" s="6" t="n">
        <f aca="false">(Sens!D5776+Sens!E5776)/2*Sens!E5792/1000</f>
        <v>27.8095064661409</v>
      </c>
      <c r="F5793" s="6" t="n">
        <f aca="false">(Sens!E5776+Sens!F5776)/2*Sens!F5792/1000</f>
        <v>54.507065337558</v>
      </c>
      <c r="G5793" s="6" t="n">
        <f aca="false">(Sens!F5776+Sens!G5776)/2*Sens!G5792/1000</f>
        <v>89.3110535856398</v>
      </c>
      <c r="H5793" s="6" t="n">
        <f aca="false">(Sens!G5776+Sens!H5776)/2*Sens!H5792/1000</f>
        <v>125.098291439331</v>
      </c>
      <c r="I5793" s="6" t="n">
        <f aca="false">(Sens!H5776+Sens!I5776)/2*Sens!I5792/1000</f>
        <v>156.373170005789</v>
      </c>
      <c r="J5793" s="6" t="n">
        <f aca="false">(Sens!I5776+Sens!J5776)/2*Sens!J5792/1000</f>
        <v>178.019061924832</v>
      </c>
      <c r="K5793" s="6" t="n">
        <f aca="false">(Sens!J5776+Sens!K5776)/2*Sens!K5792/1000</f>
        <v>191.209655856378</v>
      </c>
      <c r="L5793" s="12" t="s">
        <v>981</v>
      </c>
    </row>
    <row r="5794" customFormat="false" ht="17.15" hidden="false" customHeight="false" outlineLevel="0" collapsed="false">
      <c r="A5794" s="1" t="s">
        <v>982</v>
      </c>
      <c r="B5794" s="0" t="s">
        <v>403</v>
      </c>
      <c r="C5794" s="15" t="n">
        <f aca="false">(Sens!C5784*tk_opex_h100+Sens!C5785*tk_opex_gb200+Sens!C5786*tk_opex_gb300+(Sens!C5788+Sens!C5787)*tk_opex_vr200)/Sens!C5776</f>
        <v>1.88636041306092</v>
      </c>
      <c r="D5794" s="15" t="n">
        <f aca="false">(Sens!D5784*tk_opex_h100+Sens!D5785*tk_opex_gb200+Sens!D5786*tk_opex_gb300+(Sens!D5788+Sens!D5787)*tk_opex_vr200)/Sens!D5776</f>
        <v>1.88636041306092</v>
      </c>
      <c r="E5794" s="15" t="n">
        <f aca="false">(Sens!E5784*tk_opex_h100+Sens!E5785*tk_opex_gb200+Sens!E5786*tk_opex_gb300+(Sens!E5788+Sens!E5787)*tk_opex_vr200)/Sens!E5776</f>
        <v>1.88636041306092</v>
      </c>
      <c r="F5794" s="15" t="n">
        <f aca="false">(Sens!F5784*tk_opex_h100+Sens!F5785*tk_opex_gb200+Sens!F5786*tk_opex_gb300+(Sens!F5788+Sens!F5787)*tk_opex_vr200)/Sens!F5776</f>
        <v>1.95051159746876</v>
      </c>
      <c r="G5794" s="15" t="n">
        <f aca="false">(Sens!G5784*tk_opex_h100+Sens!G5785*tk_opex_gb200+Sens!G5786*tk_opex_gb300+(Sens!G5788+Sens!G5787)*tk_opex_vr200)/Sens!G5776</f>
        <v>1.98836003669956</v>
      </c>
      <c r="H5794" s="15" t="n">
        <f aca="false">(Sens!H5784*tk_opex_h100+Sens!H5785*tk_opex_gb200+Sens!H5786*tk_opex_gb300+(Sens!H5788+Sens!H5787)*tk_opex_vr200)/Sens!H5776</f>
        <v>2.01344013834343</v>
      </c>
      <c r="I5794" s="15" t="n">
        <f aca="false">(Sens!I5784*tk_opex_h100+Sens!I5785*tk_opex_gb200+Sens!I5786*tk_opex_gb300+(Sens!I5788+Sens!I5787)*tk_opex_vr200)/Sens!I5776</f>
        <v>2.03261166882178</v>
      </c>
      <c r="J5794" s="15" t="n">
        <f aca="false">(Sens!J5784*tk_opex_h100+Sens!J5785*tk_opex_gb200+Sens!J5786*tk_opex_gb300+(Sens!J5788+Sens!J5787)*tk_opex_vr200)/Sens!J5776</f>
        <v>2.04808073288745</v>
      </c>
      <c r="K5794" s="15" t="n">
        <f aca="false">(Sens!K5784*tk_opex_h100+Sens!K5785*tk_opex_gb200+Sens!K5786*tk_opex_gb300+(Sens!K5788+Sens!K5787)*tk_opex_vr200)/Sens!K5776</f>
        <v>2.06973825807449</v>
      </c>
      <c r="L5794" s="12" t="s">
        <v>983</v>
      </c>
    </row>
    <row r="5795" customFormat="false" ht="17.15" hidden="false" customHeight="false" outlineLevel="0" collapsed="false">
      <c r="A5795" s="0" t="s">
        <v>984</v>
      </c>
      <c r="B5795" s="0" t="s">
        <v>98</v>
      </c>
      <c r="D5795" s="6" t="n">
        <f aca="false">(Sens!C5779+Sens!D5779)/2*Sens!D5794/1000</f>
        <v>2.70378325872065</v>
      </c>
      <c r="E5795" s="6" t="n">
        <f aca="false">(Sens!D5779+Sens!E5779)/2*Sens!E5794/1000</f>
        <v>6.17783035277451</v>
      </c>
      <c r="F5795" s="6" t="n">
        <f aca="false">(Sens!E5779+Sens!F5779)/2*Sens!F5794/1000</f>
        <v>12.8742463089237</v>
      </c>
      <c r="G5795" s="6" t="n">
        <f aca="false">(Sens!F5779+Sens!G5779)/2*Sens!G5794/1000</f>
        <v>21.8182834646277</v>
      </c>
      <c r="H5795" s="6" t="n">
        <f aca="false">(Sens!G5779+Sens!H5779)/2*Sens!H5794/1000</f>
        <v>31.2430128789734</v>
      </c>
      <c r="I5795" s="6" t="n">
        <f aca="false">(Sens!H5779+Sens!I5779)/2*Sens!I5794/1000</f>
        <v>39.4313057443268</v>
      </c>
      <c r="J5795" s="6" t="n">
        <f aca="false">(Sens!I5779+Sens!J5779)/2*Sens!J5794/1000</f>
        <v>45.0360318228653</v>
      </c>
      <c r="K5795" s="6" t="n">
        <f aca="false">(Sens!J5779+Sens!K5779)/2*Sens!K5794/1000</f>
        <v>48.2929727091156</v>
      </c>
    </row>
    <row r="5796" customFormat="false" ht="17.15" hidden="false" customHeight="false" outlineLevel="0" collapsed="false">
      <c r="A5796" s="0" t="s">
        <v>985</v>
      </c>
      <c r="B5796" s="0" t="s">
        <v>98</v>
      </c>
      <c r="D5796" s="6" t="n">
        <f aca="false">(Sens!C5777+Sens!D5777)/2*rent_mw/1000</f>
        <v>2.44475</v>
      </c>
      <c r="E5796" s="6" t="n">
        <f aca="false">(Sens!D5777+Sens!E5777)/2*rent_mw/1000</f>
        <v>4.22275</v>
      </c>
      <c r="F5796" s="6" t="n">
        <f aca="false">(Sens!E5777+Sens!F5777)/2*rent_mw/1000</f>
        <v>5.80517</v>
      </c>
      <c r="G5796" s="6" t="n">
        <f aca="false">(Sens!F5777+Sens!G5777)/2*rent_mw/1000</f>
        <v>6.72084</v>
      </c>
      <c r="H5796" s="6" t="n">
        <f aca="false">(Sens!G5777+Sens!H5777)/2*rent_mw/1000</f>
        <v>6.72084</v>
      </c>
      <c r="I5796" s="6" t="n">
        <f aca="false">(Sens!H5777+Sens!I5777)/2*rent_mw/1000</f>
        <v>6.72084</v>
      </c>
      <c r="J5796" s="6" t="n">
        <f aca="false">(Sens!I5777+Sens!J5777)/2*rent_mw/1000</f>
        <v>6.72084</v>
      </c>
      <c r="K5796" s="6" t="n">
        <f aca="false">(Sens!J5777+Sens!K5777)/2*rent_mw/1000</f>
        <v>6.72084</v>
      </c>
    </row>
    <row r="5797" customFormat="false" ht="17.15" hidden="false" customHeight="false" outlineLevel="0" collapsed="false">
      <c r="A5797" s="0" t="s">
        <v>986</v>
      </c>
      <c r="B5797" s="0" t="s">
        <v>98</v>
      </c>
      <c r="D5797" s="6" t="n">
        <f aca="false">(Sens!C5779+Sens!D5779)/2*(1-self_build)*fac_rent/1000</f>
        <v>0.853242375631075</v>
      </c>
      <c r="E5797" s="6" t="n">
        <f aca="false">(Sens!D5779+Sens!E5779)/2*(1-self_build)*fac_rent/1000</f>
        <v>1.94955961408728</v>
      </c>
      <c r="F5797" s="6" t="n">
        <f aca="false">(Sens!E5779+Sens!F5779)/2*(1-self_build)*fac_rent/1000</f>
        <v>3.92914894476356</v>
      </c>
      <c r="G5797" s="6" t="n">
        <f aca="false">(Sens!F5779+Sens!G5779)/2*(1-self_build)*fac_rent/1000</f>
        <v>6.53206908578159</v>
      </c>
      <c r="H5797" s="6" t="n">
        <f aca="false">(Sens!G5779+Sens!H5779)/2*(1-self_build)*fac_rent/1000</f>
        <v>9.23717988341591</v>
      </c>
      <c r="I5797" s="6" t="n">
        <f aca="false">(Sens!H5779+Sens!I5779)/2*(1-self_build)*fac_rent/1000</f>
        <v>11.5481378557393</v>
      </c>
      <c r="J5797" s="6" t="n">
        <f aca="false">(Sens!I5779+Sens!J5779)/2*(1-self_build)*fac_rent/1000</f>
        <v>13.0899582289108</v>
      </c>
      <c r="K5797" s="6" t="n">
        <f aca="false">(Sens!J5779+Sens!K5779)/2*(1-self_build)*fac_rent/1000</f>
        <v>13.8897275626556</v>
      </c>
      <c r="L5797" s="12" t="s">
        <v>987</v>
      </c>
    </row>
    <row r="5798" customFormat="false" ht="17.15" hidden="false" customHeight="false" outlineLevel="0" collapsed="false">
      <c r="A5798" s="1" t="s">
        <v>988</v>
      </c>
      <c r="B5798" s="0" t="s">
        <v>168</v>
      </c>
      <c r="D5798" s="7" t="n">
        <f aca="false">(Sens!C5778+Sens!D5778)/(Sens!C5779+Sens!D5779)</f>
        <v>0.6</v>
      </c>
      <c r="E5798" s="7" t="n">
        <f aca="false">(Sens!D5778+Sens!E5778)/(Sens!D5779+Sens!E5779)</f>
        <v>0.6</v>
      </c>
      <c r="F5798" s="7" t="n">
        <f aca="false">(Sens!E5778+Sens!F5778)/(Sens!E5779+Sens!F5779)</f>
        <v>0.6</v>
      </c>
      <c r="G5798" s="7" t="n">
        <f aca="false">(Sens!F5778+Sens!G5778)/(Sens!F5779+Sens!G5779)</f>
        <v>0.6</v>
      </c>
      <c r="H5798" s="7" t="n">
        <f aca="false">(Sens!G5778+Sens!H5778)/(Sens!G5779+Sens!H5779)</f>
        <v>0.6</v>
      </c>
      <c r="I5798" s="7" t="n">
        <f aca="false">(Sens!H5778+Sens!I5778)/(Sens!H5779+Sens!I5779)</f>
        <v>0.6</v>
      </c>
      <c r="J5798" s="7" t="n">
        <f aca="false">(Sens!I5778+Sens!J5778)/(Sens!I5779+Sens!J5779)</f>
        <v>0.6</v>
      </c>
      <c r="K5798" s="7" t="n">
        <f aca="false">(Sens!J5778+Sens!K5778)/(Sens!J5779+Sens!K5779)</f>
        <v>0.6</v>
      </c>
    </row>
    <row r="5799" customFormat="false" ht="17.15" hidden="false" customHeight="false" outlineLevel="0" collapsed="false">
      <c r="A5799" s="0" t="s">
        <v>989</v>
      </c>
      <c r="B5799" s="0" t="s">
        <v>98</v>
      </c>
      <c r="D5799" s="6" t="n">
        <f aca="false">Sens!D5793-Sens!D5798*(Sens!D5795+Sens!D5797)-Sens!D5796</f>
        <v>8.35701406163072</v>
      </c>
      <c r="E5799" s="6" t="n">
        <f aca="false">Sens!E5793-Sens!E5798*(Sens!E5795+Sens!E5797)-Sens!E5796</f>
        <v>18.7103224860238</v>
      </c>
      <c r="F5799" s="6" t="n">
        <f aca="false">Sens!F5793-Sens!F5798*(Sens!F5795+Sens!F5797)-Sens!F5796</f>
        <v>38.6198581853457</v>
      </c>
      <c r="G5799" s="6" t="n">
        <f aca="false">Sens!G5793-Sens!G5798*(Sens!G5795+Sens!G5797)-Sens!G5796</f>
        <v>65.5800020553942</v>
      </c>
      <c r="H5799" s="6" t="n">
        <f aca="false">Sens!H5793-Sens!H5798*(Sens!H5795+Sens!H5797)-Sens!H5796</f>
        <v>94.0893357818971</v>
      </c>
      <c r="I5799" s="6" t="n">
        <f aca="false">Sens!I5793-Sens!I5798*(Sens!I5795+Sens!I5797)-Sens!I5796</f>
        <v>119.064663845749</v>
      </c>
      <c r="J5799" s="6" t="n">
        <f aca="false">Sens!J5793-Sens!J5798*(Sens!J5795+Sens!J5797)-Sens!J5796</f>
        <v>136.422627893767</v>
      </c>
      <c r="K5799" s="6" t="n">
        <f aca="false">Sens!K5793-Sens!K5798*(Sens!K5795+Sens!K5797)-Sens!K5796</f>
        <v>147.179195693315</v>
      </c>
    </row>
    <row r="5800" customFormat="false" ht="17.15" hidden="false" customHeight="false" outlineLevel="0" collapsed="false">
      <c r="A5800" s="1" t="s">
        <v>990</v>
      </c>
      <c r="B5800" s="0" t="s">
        <v>98</v>
      </c>
      <c r="D5800" s="6" t="n">
        <f aca="false">(1-Sens!D5798)*(Sens!D5795+Sens!D5797)</f>
        <v>1.42281025374069</v>
      </c>
      <c r="E5800" s="6" t="n">
        <f aca="false">(1-Sens!E5798)*(Sens!E5795+Sens!E5797)</f>
        <v>3.25095598674472</v>
      </c>
      <c r="F5800" s="6" t="n">
        <f aca="false">(1-Sens!F5798)*(Sens!F5795+Sens!F5797)</f>
        <v>6.72135810147489</v>
      </c>
      <c r="G5800" s="6" t="n">
        <f aca="false">(1-Sens!G5798)*(Sens!G5795+Sens!G5797)</f>
        <v>11.3401410201637</v>
      </c>
      <c r="H5800" s="6" t="n">
        <f aca="false">(1-Sens!H5798)*(Sens!H5795+Sens!H5797)</f>
        <v>16.1920771049557</v>
      </c>
      <c r="I5800" s="6" t="n">
        <f aca="false">(1-Sens!I5798)*(Sens!I5795+Sens!I5797)</f>
        <v>20.3917774400264</v>
      </c>
      <c r="J5800" s="6" t="n">
        <f aca="false">(1-Sens!J5798)*(Sens!J5795+Sens!J5797)</f>
        <v>23.2503960207104</v>
      </c>
      <c r="K5800" s="6" t="n">
        <f aca="false">(1-Sens!K5798)*(Sens!K5795+Sens!K5797)</f>
        <v>24.8730801087085</v>
      </c>
    </row>
    <row r="5801" customFormat="false" ht="17.15" hidden="false" customHeight="false" outlineLevel="0" collapsed="false">
      <c r="A5801" s="1" t="s">
        <v>991</v>
      </c>
      <c r="B5801" s="0" t="s">
        <v>417</v>
      </c>
      <c r="C5801" s="8" t="n">
        <f aca="false">cxit_open</f>
        <v>27.5918995</v>
      </c>
      <c r="D5801" s="8" t="n">
        <f aca="false">cxit_open</f>
        <v>27.5918995</v>
      </c>
      <c r="E5801" s="8" t="n">
        <f aca="false">cxit_open</f>
        <v>27.5918995</v>
      </c>
      <c r="F5801" s="8" t="n">
        <f aca="false">((a_g3_27-nonnv*a_mai)*tk_cxit_gb300+nonnv*a_mai*nv_hold_mai*tk_cxit_vr200+(1-a_g3_27)*tk_cxit_vr200)</f>
        <v>32.4975576</v>
      </c>
      <c r="G5801" s="8" t="n">
        <f aca="false">((a_g3_28-nonnv*a_mai)*tk_cxit_gb300+nonnv*a_mai*nv_hold_mai*tk_cxit_vr200+(1-a_g3_28)*tk_cxit_vr200)</f>
        <v>34.6372088</v>
      </c>
      <c r="H5801" s="8" t="n">
        <f aca="false">((a_g3_29-nonnv*a_mai)*tk_cxit_gb300+nonnv*a_mai*nv_hold_mai*tk_cxit_vr200+(1-a_g3_29)*tk_cxit_vr200)</f>
        <v>35.7070344</v>
      </c>
      <c r="I5801" s="8" t="n">
        <f aca="false">((a_g3_29-nonnv*a_mai)*tk_cxit_gb300+nonnv*a_mai*nv_hold_mai*tk_cxit_vr200+(1-a_g3_29)*tk_cxit_vr200)</f>
        <v>35.7070344</v>
      </c>
      <c r="J5801" s="8" t="n">
        <f aca="false">((a_g3_29-nonnv*a_mai)*tk_cxit_gb300+nonnv*a_mai*nv_hold_mai*tk_cxit_vr200+(1-a_g3_29)*tk_cxit_vr200)</f>
        <v>35.7070344</v>
      </c>
      <c r="K5801" s="8" t="n">
        <f aca="false">((a_g3_29-nonnv*a_mai)*tk_cxit_gb300+nonnv*a_mai*nv_hold_mai*tk_cxit_vr200+(1-a_g3_29)*tk_cxit_vr200)</f>
        <v>35.7070344</v>
      </c>
      <c r="L5801" s="12" t="s">
        <v>992</v>
      </c>
    </row>
    <row r="5802" customFormat="false" ht="17.15" hidden="false" customHeight="false" outlineLevel="0" collapsed="false">
      <c r="A5802" s="0" t="s">
        <v>993</v>
      </c>
      <c r="B5802" s="0" t="s">
        <v>459</v>
      </c>
      <c r="F5802" s="30" t="n">
        <f aca="false">Sens!C5781*IF(Sens!F5774-Sens!C5774=life_it,1,0)+Sens!D5781*IF(Sens!F5774-Sens!D5774=life_it,1,0)+Sens!E5781*IF(Sens!F5774-Sens!E5774=life_it,1,0)</f>
        <v>0</v>
      </c>
      <c r="G5802" s="30" t="n">
        <f aca="false">Sens!C5781*IF(Sens!G5774-Sens!C5774=life_it,1,0)+Sens!D5781*IF(Sens!G5774-Sens!D5774=life_it,1,0)+Sens!E5781*IF(Sens!G5774-Sens!E5774=life_it,1,0)+Sens!F5781*IF(Sens!G5774-Sens!F5774=life_it,1,0)</f>
        <v>0</v>
      </c>
      <c r="H5802" s="30" t="n">
        <f aca="false">Sens!C5781*IF(Sens!H5774-Sens!C5774=life_it,1,0)+Sens!D5781*IF(Sens!H5774-Sens!D5774=life_it,1,0)+Sens!E5781*IF(Sens!H5774-Sens!E5774=life_it,1,0)+Sens!F5781*IF(Sens!H5774-Sens!F5774=life_it,1,0)+Sens!G5781*IF(Sens!H5774-Sens!G5774=life_it,1,0)</f>
        <v>0</v>
      </c>
      <c r="I5802" s="30" t="n">
        <f aca="false">Sens!C5781*IF(Sens!I5774-Sens!C5774=life_it,1,0)+Sens!D5781*IF(Sens!I5774-Sens!D5774=life_it,1,0)+Sens!E5781*IF(Sens!I5774-Sens!E5774=life_it,1,0)+Sens!F5781*IF(Sens!I5774-Sens!F5774=life_it,1,0)+Sens!G5781*IF(Sens!I5774-Sens!G5774=life_it,1,0)+Sens!H5781*IF(Sens!I5774-Sens!H5774=life_it,1,0)</f>
        <v>816.666666666667</v>
      </c>
      <c r="J5802" s="30" t="n">
        <f aca="false">Sens!C5781*IF(Sens!J5774-Sens!C5774=life_it,1,0)+Sens!D5781*IF(Sens!J5774-Sens!D5774=life_it,1,0)+Sens!E5781*IF(Sens!J5774-Sens!E5774=life_it,1,0)+Sens!F5781*IF(Sens!J5774-Sens!F5774=life_it,1,0)+Sens!G5781*IF(Sens!J5774-Sens!G5774=life_it,1,0)+Sens!H5781*IF(Sens!J5774-Sens!H5774=life_it,1,0)+Sens!I5781*IF(Sens!J5774-Sens!I5774=life_it,1,0)</f>
        <v>1233.33333333333</v>
      </c>
      <c r="K5802" s="30" t="n">
        <f aca="false">Sens!C5781*IF(Sens!K5774-Sens!C5774=life_it,1,0)+Sens!D5781*IF(Sens!K5774-Sens!D5774=life_it,1,0)+Sens!E5781*IF(Sens!K5774-Sens!E5774=life_it,1,0)+Sens!F5781*IF(Sens!K5774-Sens!F5774=life_it,1,0)+Sens!G5781*IF(Sens!K5774-Sens!G5774=life_it,1,0)+Sens!H5781*IF(Sens!K5774-Sens!H5774=life_it,1,0)+Sens!I5781*IF(Sens!K5774-Sens!I5774=life_it,1,0)+Sens!J5781*IF(Sens!K5774-Sens!J5774=life_it,1,0)</f>
        <v>2450</v>
      </c>
      <c r="L5802" s="1" t="s">
        <v>994</v>
      </c>
    </row>
    <row r="5803" customFormat="false" ht="17.15" hidden="false" customHeight="false" outlineLevel="0" collapsed="false">
      <c r="A5803" s="0" t="s">
        <v>995</v>
      </c>
      <c r="B5803" s="0" t="s">
        <v>98</v>
      </c>
      <c r="C5803" s="6" t="n">
        <f aca="false">Sens!C5781*Sens!C5801/1000</f>
        <v>22.5333845916667</v>
      </c>
      <c r="D5803" s="6" t="n">
        <f aca="false">Sens!D5781*Sens!D5801/1000</f>
        <v>34.0300093833333</v>
      </c>
      <c r="E5803" s="6" t="n">
        <f aca="false">Sens!E5781*Sens!E5801/1000</f>
        <v>67.600153775</v>
      </c>
      <c r="F5803" s="6" t="n">
        <f aca="false">(Sens!F5781+Sens!F5802)*Sens!F5801/1000</f>
        <v>136.51872432512</v>
      </c>
      <c r="G5803" s="6" t="n">
        <f aca="false">(Sens!G5781+Sens!G5802)*Sens!G5801/1000</f>
        <v>157.399275932048</v>
      </c>
      <c r="H5803" s="6" t="n">
        <f aca="false">(Sens!H5781+Sens!H5802)*Sens!H5801/1000</f>
        <v>162.260804347512</v>
      </c>
      <c r="I5803" s="6" t="n">
        <f aca="false">(Sens!I5781+Sens!I5802)*Sens!I5801/1000</f>
        <v>144.136569485434</v>
      </c>
      <c r="J5803" s="6" t="n">
        <f aca="false">(Sens!J5781+Sens!J5802)*Sens!J5801/1000</f>
        <v>114.029037357864</v>
      </c>
      <c r="K5803" s="6" t="n">
        <f aca="false">(Sens!K5781+Sens!K5802)*Sens!K5801/1000</f>
        <v>113.437085350975</v>
      </c>
    </row>
    <row r="5804" customFormat="false" ht="17.15" hidden="false" customHeight="false" outlineLevel="0" collapsed="false">
      <c r="A5804" s="0" t="s">
        <v>996</v>
      </c>
      <c r="B5804" s="0" t="s">
        <v>98</v>
      </c>
      <c r="C5804" s="6" t="n">
        <f aca="false">Sens!C5781*self_build*tk_cxfac/1000</f>
        <v>6.2083</v>
      </c>
      <c r="D5804" s="6" t="n">
        <f aca="false">Sens!D5781*self_build*tk_cxfac/1000</f>
        <v>9.3758</v>
      </c>
      <c r="E5804" s="6" t="n">
        <f aca="false">Sens!E5781*self_build*tk_cxfac/1000</f>
        <v>18.6249</v>
      </c>
      <c r="F5804" s="6" t="n">
        <f aca="false">Sens!F5781*self_build*tk_cxfac/1000</f>
        <v>31.935179717</v>
      </c>
      <c r="G5804" s="6" t="n">
        <f aca="false">Sens!G5781*self_build*tk_cxfac/1000</f>
        <v>34.545199717</v>
      </c>
      <c r="H5804" s="6" t="n">
        <f aca="false">Sens!H5781*self_build*tk_cxfac/1000</f>
        <v>34.545199717</v>
      </c>
      <c r="I5804" s="6" t="n">
        <f aca="false">Sens!I5781*self_build*tk_cxfac/1000</f>
        <v>24.4782641361767</v>
      </c>
      <c r="J5804" s="6" t="n">
        <f aca="false">Sens!J5781*self_build*tk_cxfac/1000</f>
        <v>14.9008938380769</v>
      </c>
      <c r="K5804" s="6" t="n">
        <f aca="false">Sens!K5781*self_build*tk_cxfac/1000</f>
        <v>5.52576771375761</v>
      </c>
    </row>
    <row r="5805" customFormat="false" ht="17.15" hidden="false" customHeight="false" outlineLevel="0" collapsed="false">
      <c r="A5805" s="0" t="s">
        <v>997</v>
      </c>
      <c r="B5805" s="0" t="s">
        <v>98</v>
      </c>
      <c r="F5805" s="15" t="n">
        <f aca="false">capex_floor27-Sens!F5803-Sens!F5804-Sens!F5901</f>
        <v>-0.0397150582380235</v>
      </c>
      <c r="L5805" s="12" t="s">
        <v>998</v>
      </c>
    </row>
    <row r="5806" customFormat="false" ht="17.15" hidden="false" customHeight="false" outlineLevel="0" collapsed="false">
      <c r="A5806" s="0" t="s">
        <v>999</v>
      </c>
      <c r="B5806" s="0" t="s">
        <v>98</v>
      </c>
      <c r="F5806" s="6" t="n">
        <f aca="false">MAX(0,Sens!F5805)</f>
        <v>0</v>
      </c>
    </row>
    <row r="5807" customFormat="false" ht="17.15" hidden="false" customHeight="false" outlineLevel="0" collapsed="false">
      <c r="A5807" s="0" t="s">
        <v>1000</v>
      </c>
      <c r="B5807" s="0" t="s">
        <v>98</v>
      </c>
      <c r="C5807" s="6" t="n">
        <f aca="false">Sens!C5803</f>
        <v>22.5333845916667</v>
      </c>
      <c r="D5807" s="6" t="n">
        <f aca="false">Sens!D5803</f>
        <v>34.0300093833333</v>
      </c>
      <c r="E5807" s="6" t="n">
        <f aca="false">Sens!E5803</f>
        <v>67.600153775</v>
      </c>
      <c r="F5807" s="6" t="n">
        <f aca="false">Sens!F5803</f>
        <v>136.51872432512</v>
      </c>
      <c r="G5807" s="6" t="n">
        <f aca="false">Sens!G5803</f>
        <v>157.399275932048</v>
      </c>
      <c r="H5807" s="6" t="n">
        <f aca="false">Sens!H5803</f>
        <v>162.260804347512</v>
      </c>
      <c r="I5807" s="6" t="n">
        <f aca="false">Sens!I5803</f>
        <v>144.136569485434</v>
      </c>
      <c r="J5807" s="6" t="n">
        <f aca="false">Sens!J5803</f>
        <v>114.029037357864</v>
      </c>
      <c r="K5807" s="6" t="n">
        <f aca="false">Sens!K5803</f>
        <v>113.437085350975</v>
      </c>
    </row>
    <row r="5808" customFormat="false" ht="17.15" hidden="false" customHeight="false" outlineLevel="0" collapsed="false">
      <c r="A5808" s="0" t="s">
        <v>1001</v>
      </c>
      <c r="B5808" s="0" t="s">
        <v>98</v>
      </c>
      <c r="C5808" s="6" t="n">
        <f aca="false">Sens!C5807+Sens!C5804</f>
        <v>28.7416845916667</v>
      </c>
      <c r="D5808" s="6" t="n">
        <f aca="false">Sens!D5807+Sens!D5804</f>
        <v>43.4058093833333</v>
      </c>
      <c r="E5808" s="6" t="n">
        <f aca="false">Sens!E5807+Sens!E5804</f>
        <v>86.225053775</v>
      </c>
      <c r="F5808" s="6" t="n">
        <f aca="false">Sens!F5807+Sens!F5804</f>
        <v>168.45390404212</v>
      </c>
      <c r="G5808" s="6" t="n">
        <f aca="false">Sens!G5807+Sens!G5804</f>
        <v>191.944475649048</v>
      </c>
      <c r="H5808" s="6" t="n">
        <f aca="false">Sens!H5807+Sens!H5804</f>
        <v>196.806004064512</v>
      </c>
      <c r="I5808" s="6" t="n">
        <f aca="false">Sens!I5807+Sens!I5804</f>
        <v>168.61483362161</v>
      </c>
      <c r="J5808" s="6" t="n">
        <f aca="false">Sens!J5807+Sens!J5804</f>
        <v>128.92993119594</v>
      </c>
      <c r="K5808" s="6" t="n">
        <f aca="false">Sens!K5807+Sens!K5804</f>
        <v>118.962853064733</v>
      </c>
      <c r="L5808" s="12" t="s">
        <v>1002</v>
      </c>
    </row>
    <row r="5809" customFormat="false" ht="17.15" hidden="false" customHeight="false" outlineLevel="0" collapsed="false">
      <c r="A5809" s="0" t="s">
        <v>1003</v>
      </c>
      <c r="B5809" s="0" t="s">
        <v>98</v>
      </c>
      <c r="E5809" s="6" t="n">
        <f aca="false">(Sens!C5807*IF(2&lt;life_it,1,IF(2=life_it,0.5,0))+Sens!D5807*IF(1&lt;life_it,1,IF(1=life_it,0.5,0))+Sens!E5807*0.5)/life_it</f>
        <v>15.0605784770833</v>
      </c>
      <c r="F5809" s="6" t="n">
        <f aca="false">(Sens!C5807*IF(3&lt;life_it,1,IF(3=life_it,0.5,0))+Sens!D5807*IF(2&lt;life_it,1,IF(2=life_it,0.5,0))+Sens!E5807*IF(1&lt;life_it,1,IF(1=life_it,0.5,0))+Sens!F5807*0.5)/life_it</f>
        <v>32.0704849854266</v>
      </c>
      <c r="G5809" s="6" t="n">
        <f aca="false">(Sens!C5807*IF(4&lt;life_it,1,IF(4=life_it,0.5,0))+Sens!D5807*IF(3&lt;life_it,1,IF(3=life_it,0.5,0))+Sens!E5807*IF(2&lt;life_it,1,IF(2=life_it,0.5,0))+Sens!F5807*IF(1&lt;life_it,1,IF(1=life_it,0.5,0))+Sens!G5807*0.5)/life_it</f>
        <v>56.5636516735239</v>
      </c>
      <c r="H5809" s="6" t="n">
        <f aca="false">(Sens!C5807*IF(5&lt;life_it,1,IF(5=life_it,0.5,0))+Sens!D5807*IF(4&lt;life_it,1,IF(4=life_it,0.5,0))+Sens!E5807*IF(3&lt;life_it,1,IF(3=life_it,0.5,0))+Sens!F5807*IF(2&lt;life_it,1,IF(2=life_it,0.5,0))+Sens!G5807*IF(1&lt;life_it,1,IF(1=life_it,0.5,0))+Sens!H5807*0.5)/life_it</f>
        <v>83.2019916968207</v>
      </c>
      <c r="I5809" s="6" t="n">
        <f aca="false">(Sens!C5807*IF(6&lt;life_it,1,IF(6=life_it,0.5,0))+Sens!D5807*IF(5&lt;life_it,1,IF(5=life_it,0.5,0))+Sens!E5807*IF(4&lt;life_it,1,IF(4=life_it,0.5,0))+Sens!F5807*IF(3&lt;life_it,1,IF(3=life_it,0.5,0))+Sens!G5807*IF(2&lt;life_it,1,IF(2=life_it,0.5,0))+Sens!H5807*IF(1&lt;life_it,1,IF(1=life_it,0.5,0))+Sens!I5807*0.5)/life_it</f>
        <v>106.857324133594</v>
      </c>
      <c r="J5809" s="6" t="n">
        <f aca="false">(Sens!C5807*IF(7&lt;life_it,1,IF(7=life_it,0.5,0))+Sens!D5807*IF(6&lt;life_it,1,IF(6=life_it,0.5,0))+Sens!E5807*IF(5&lt;life_it,1,IF(5=life_it,0.5,0))+Sens!F5807*IF(4&lt;life_it,1,IF(4=life_it,0.5,0))+Sens!G5807*IF(3&lt;life_it,1,IF(3=life_it,0.5,0))+Sens!H5807*IF(2&lt;life_it,1,IF(2=life_it,0.5,0))+Sens!I5807*IF(1&lt;life_it,1,IF(1=life_it,0.5,0))+Sens!J5807*0.5)/life_it</f>
        <v>123.657508539285</v>
      </c>
      <c r="K5809" s="6" t="n">
        <f aca="false">(Sens!C5807*IF(8&lt;life_it,1,IF(8=life_it,0.5,0))+Sens!D5807*IF(7&lt;life_it,1,IF(7=life_it,0.5,0))+Sens!E5807*IF(6&lt;life_it,1,IF(6=life_it,0.5,0))+Sens!F5807*IF(5&lt;life_it,1,IF(5=life_it,0.5,0))+Sens!G5807*IF(4&lt;life_it,1,IF(4=life_it,0.5,0))+Sens!H5807*IF(3&lt;life_it,1,IF(3=life_it,0.5,0))+Sens!I5807*IF(2&lt;life_it,1,IF(2=life_it,0.5,0))+Sens!J5807*IF(1&lt;life_it,1,IF(1=life_it,0.5,0))+Sens!K5807*0.5)/life_it</f>
        <v>134.143838501827</v>
      </c>
    </row>
    <row r="5810" customFormat="false" ht="17.15" hidden="false" customHeight="false" outlineLevel="0" collapsed="false">
      <c r="A5810" s="0" t="s">
        <v>1004</v>
      </c>
      <c r="B5810" s="0" t="s">
        <v>98</v>
      </c>
      <c r="E5810" s="6" t="n">
        <f aca="false">(Sens!C5804*IF(2&lt;life_fac,1,IF(2=life_fac,0.5,0))+Sens!D5804*IF(1&lt;life_fac,1,IF(1=life_fac,0.5,0))+Sens!E5804*0.5)/life_fac</f>
        <v>1.2448275</v>
      </c>
      <c r="F5810" s="6" t="n">
        <f aca="false">(Sens!C5804*IF(3&lt;life_fac,1,IF(3=life_fac,0.5,0))+Sens!D5804*IF(2&lt;life_fac,1,IF(2=life_fac,0.5,0))+Sens!E5804*IF(1&lt;life_fac,1,IF(1=life_fac,0.5,0))+Sens!F5804*0.5)/life_fac</f>
        <v>2.508829492925</v>
      </c>
      <c r="G5810" s="6" t="n">
        <f aca="false">(Sens!C5804*IF(4&lt;life_fac,1,IF(4=life_fac,0.5,0))+Sens!D5804*IF(3&lt;life_fac,1,IF(3=life_fac,0.5,0))+Sens!E5804*IF(2&lt;life_fac,1,IF(2=life_fac,0.5,0))+Sens!F5804*IF(1&lt;life_fac,1,IF(1=life_fac,0.5,0))+Sens!G5804*0.5)/life_fac</f>
        <v>4.170838978775</v>
      </c>
      <c r="H5810" s="6" t="n">
        <f aca="false">(Sens!C5804*IF(5&lt;life_fac,1,IF(5=life_fac,0.5,0))+Sens!D5804*IF(4&lt;life_fac,1,IF(4=life_fac,0.5,0))+Sens!E5804*IF(3&lt;life_fac,1,IF(3=life_fac,0.5,0))+Sens!F5804*IF(2&lt;life_fac,1,IF(2=life_fac,0.5,0))+Sens!G5804*IF(1&lt;life_fac,1,IF(1=life_fac,0.5,0))+Sens!H5804*0.5)/life_fac</f>
        <v>5.898098964625</v>
      </c>
      <c r="I5810" s="6" t="n">
        <f aca="false">(Sens!C5804*IF(6&lt;life_fac,1,IF(6=life_fac,0.5,0))+Sens!D5804*IF(5&lt;life_fac,1,IF(5=life_fac,0.5,0))+Sens!E5804*IF(4&lt;life_fac,1,IF(4=life_fac,0.5,0))+Sens!F5804*IF(3&lt;life_fac,1,IF(3=life_fac,0.5,0))+Sens!G5804*IF(2&lt;life_fac,1,IF(2=life_fac,0.5,0))+Sens!H5804*IF(1&lt;life_fac,1,IF(1=life_fac,0.5,0))+Sens!I5804*0.5)/life_fac</f>
        <v>7.37368556095442</v>
      </c>
      <c r="J5810" s="6" t="n">
        <f aca="false">(Sens!C5804*IF(7&lt;life_fac,1,IF(7=life_fac,0.5,0))+Sens!D5804*IF(6&lt;life_fac,1,IF(6=life_fac,0.5,0))+Sens!E5804*IF(5&lt;life_fac,1,IF(5=life_fac,0.5,0))+Sens!F5804*IF(4&lt;life_fac,1,IF(4=life_fac,0.5,0))+Sens!G5804*IF(3&lt;life_fac,1,IF(3=life_fac,0.5,0))+Sens!H5804*IF(2&lt;life_fac,1,IF(2=life_fac,0.5,0))+Sens!I5804*IF(1&lt;life_fac,1,IF(1=life_fac,0.5,0))+Sens!J5804*0.5)/life_fac</f>
        <v>8.35816451031075</v>
      </c>
      <c r="K5810" s="6" t="n">
        <f aca="false">(Sens!C5804*IF(8&lt;life_fac,1,IF(8=life_fac,0.5,0))+Sens!D5804*IF(7&lt;life_fac,1,IF(7=life_fac,0.5,0))+Sens!E5804*IF(6&lt;life_fac,1,IF(6=life_fac,0.5,0))+Sens!F5804*IF(5&lt;life_fac,1,IF(5=life_fac,0.5,0))+Sens!G5804*IF(4&lt;life_fac,1,IF(4=life_fac,0.5,0))+Sens!H5804*IF(3&lt;life_fac,1,IF(3=life_fac,0.5,0))+Sens!I5804*IF(2&lt;life_fac,1,IF(2=life_fac,0.5,0))+Sens!J5804*IF(1&lt;life_fac,1,IF(1=life_fac,0.5,0))+Sens!K5804*0.5)/life_fac</f>
        <v>8.86883104910662</v>
      </c>
    </row>
    <row r="5811" customFormat="false" ht="17.15" hidden="false" customHeight="false" outlineLevel="0" collapsed="false">
      <c r="A5811" s="0" t="s">
        <v>1005</v>
      </c>
      <c r="B5811" s="0" t="s">
        <v>98</v>
      </c>
      <c r="E5811" s="6" t="n">
        <f aca="false">Sens!E5809+Sens!E5810</f>
        <v>16.3054059770833</v>
      </c>
      <c r="F5811" s="6" t="n">
        <f aca="false">Sens!F5809+Sens!F5810</f>
        <v>34.5793144783516</v>
      </c>
      <c r="G5811" s="6" t="n">
        <f aca="false">Sens!G5809+Sens!G5810</f>
        <v>60.7344906522989</v>
      </c>
      <c r="H5811" s="6" t="n">
        <f aca="false">Sens!H5809+Sens!H5810</f>
        <v>89.1000906614457</v>
      </c>
      <c r="I5811" s="6" t="n">
        <f aca="false">Sens!I5809+Sens!I5810</f>
        <v>114.231009694548</v>
      </c>
      <c r="J5811" s="6" t="n">
        <f aca="false">Sens!J5809+Sens!J5810</f>
        <v>132.015673049596</v>
      </c>
      <c r="K5811" s="6" t="n">
        <f aca="false">Sens!K5809+Sens!K5810</f>
        <v>143.012669550934</v>
      </c>
    </row>
    <row r="5812" customFormat="false" ht="17.15" hidden="false" customHeight="false" outlineLevel="0" collapsed="false">
      <c r="A5812" s="0" t="s">
        <v>1006</v>
      </c>
      <c r="B5812" s="0" t="s">
        <v>98</v>
      </c>
      <c r="E5812" s="6" t="n">
        <f aca="false">Sens!E5799-Sens!E5798*Sens!E5811</f>
        <v>8.92707889977379</v>
      </c>
      <c r="F5812" s="6" t="n">
        <f aca="false">Sens!F5799-Sens!F5798*Sens!F5811</f>
        <v>17.8722694983347</v>
      </c>
      <c r="G5812" s="6" t="n">
        <f aca="false">Sens!G5799-Sens!G5798*Sens!G5811</f>
        <v>29.1393076640148</v>
      </c>
      <c r="H5812" s="6" t="n">
        <f aca="false">Sens!H5799-Sens!H5798*Sens!H5811</f>
        <v>40.6292813850297</v>
      </c>
      <c r="I5812" s="6" t="n">
        <f aca="false">Sens!I5799-Sens!I5798*Sens!I5811</f>
        <v>50.5260580290203</v>
      </c>
      <c r="J5812" s="6" t="n">
        <f aca="false">Sens!J5799-Sens!J5798*Sens!J5811</f>
        <v>57.2132240640089</v>
      </c>
      <c r="K5812" s="6" t="n">
        <f aca="false">Sens!K5799-Sens!K5798*Sens!K5811</f>
        <v>61.3715939627545</v>
      </c>
    </row>
    <row r="5813" customFormat="false" ht="17.15" hidden="false" customHeight="false" outlineLevel="0" collapsed="false">
      <c r="A5813" s="3" t="s">
        <v>1756</v>
      </c>
    </row>
    <row r="5814" customFormat="false" ht="15" hidden="false" customHeight="false" outlineLevel="0" collapsed="false">
      <c r="A5814" s="4" t="s">
        <v>43</v>
      </c>
      <c r="B5814" s="4" t="s">
        <v>65</v>
      </c>
      <c r="C5814" s="23" t="s">
        <v>942</v>
      </c>
      <c r="D5814" s="23" t="s">
        <v>943</v>
      </c>
      <c r="E5814" s="23" t="s">
        <v>944</v>
      </c>
      <c r="F5814" s="23" t="s">
        <v>945</v>
      </c>
      <c r="G5814" s="23" t="s">
        <v>946</v>
      </c>
      <c r="H5814" s="23" t="s">
        <v>947</v>
      </c>
      <c r="I5814" s="23" t="s">
        <v>948</v>
      </c>
      <c r="J5814" s="23" t="s">
        <v>949</v>
      </c>
      <c r="K5814" s="23" t="s">
        <v>950</v>
      </c>
      <c r="L5814" s="4" t="s">
        <v>47</v>
      </c>
    </row>
    <row r="5815" customFormat="false" ht="17.15" hidden="false" customHeight="false" outlineLevel="0" collapsed="false">
      <c r="A5815" s="0" t="s">
        <v>1025</v>
      </c>
      <c r="B5815" s="0" t="s">
        <v>98</v>
      </c>
      <c r="D5815" s="6" t="n">
        <f aca="false">Sens!D5793</f>
        <v>12.9359794422418</v>
      </c>
      <c r="E5815" s="6" t="n">
        <f aca="false">Sens!E5793</f>
        <v>27.8095064661409</v>
      </c>
      <c r="F5815" s="6" t="n">
        <f aca="false">Sens!F5793</f>
        <v>54.507065337558</v>
      </c>
      <c r="G5815" s="6" t="n">
        <f aca="false">Sens!G5793</f>
        <v>89.3110535856398</v>
      </c>
      <c r="H5815" s="6" t="n">
        <f aca="false">Sens!H5793</f>
        <v>125.098291439331</v>
      </c>
      <c r="I5815" s="6" t="n">
        <f aca="false">Sens!I5793</f>
        <v>156.373170005789</v>
      </c>
      <c r="J5815" s="6" t="n">
        <f aca="false">Sens!J5793</f>
        <v>178.019061924832</v>
      </c>
      <c r="K5815" s="6" t="n">
        <f aca="false">Sens!K5793</f>
        <v>191.209655856378</v>
      </c>
    </row>
    <row r="5816" customFormat="false" ht="17.15" hidden="false" customHeight="false" outlineLevel="0" collapsed="false">
      <c r="A5816" s="0" t="s">
        <v>1026</v>
      </c>
      <c r="B5816" s="0" t="s">
        <v>98</v>
      </c>
      <c r="D5816" s="6" t="n">
        <f aca="false">Q!L6-Sens!D5815</f>
        <v>59.6740205577583</v>
      </c>
      <c r="E5816" s="6" t="n">
        <f aca="false">Q!M6-Sens!E5815</f>
        <v>74.1284935338591</v>
      </c>
      <c r="F5816" s="6" t="n">
        <f aca="false">Q!$I$6+(Sens!F5815+Sens!E5816*(1+Sens!F5817))*(1-Q!$E$6/Q!M6)-Sens!F5815</f>
        <v>91.4958890785629</v>
      </c>
      <c r="G5816" s="6" t="n">
        <f aca="false">Sens!F5816*(1+Sens!G5817)</f>
        <v>108.710772477187</v>
      </c>
      <c r="H5816" s="6" t="n">
        <f aca="false">Sens!G5816*(1+Sens!H5817)</f>
        <v>126.225376095119</v>
      </c>
      <c r="I5816" s="6" t="n">
        <f aca="false">Sens!H5816*(1+Sens!I5817)</f>
        <v>143.148996398834</v>
      </c>
      <c r="J5816" s="6" t="n">
        <f aca="false">Sens!I5816*(1+Sens!J5817)</f>
        <v>158.471280452254</v>
      </c>
      <c r="K5816" s="6" t="n">
        <f aca="false">Sens!J5816*(1+Sens!K5817)</f>
        <v>171.148982888434</v>
      </c>
      <c r="L5816" s="12" t="s">
        <v>1027</v>
      </c>
    </row>
    <row r="5817" customFormat="false" ht="15" hidden="false" customHeight="false" outlineLevel="0" collapsed="false">
      <c r="A5817" s="1" t="s">
        <v>1028</v>
      </c>
      <c r="B5817" s="0" t="s">
        <v>168</v>
      </c>
      <c r="E5817" s="7" t="n">
        <f aca="false">Sens!E5816/Sens!D5816-1</f>
        <v>0.242223883039864</v>
      </c>
      <c r="F5817" s="7" t="n">
        <f aca="false">Sens!$E$5817+(glt_azo-Sens!$E$5817)*MIN(1,(Sens!F5774-base_fy)/n_conv)</f>
        <v>0.215186569199887</v>
      </c>
      <c r="G5817" s="7" t="n">
        <f aca="false">Sens!$E$5817+(glt_azo-Sens!$E$5817)*MIN(1,(Sens!G5774-base_fy)/n_conv)</f>
        <v>0.18814925535991</v>
      </c>
      <c r="H5817" s="7" t="n">
        <f aca="false">Sens!$E$5817+(glt_azo-Sens!$E$5817)*MIN(1,(Sens!H5774-base_fy)/n_conv)</f>
        <v>0.161111941519932</v>
      </c>
      <c r="I5817" s="7" t="n">
        <f aca="false">Sens!$E$5817+(glt_azo-Sens!$E$5817)*MIN(1,(Sens!I5774-base_fy)/n_conv)</f>
        <v>0.134074627679955</v>
      </c>
      <c r="J5817" s="7" t="n">
        <f aca="false">Sens!$E$5817+(glt_azo-Sens!$E$5817)*MIN(1,(Sens!J5774-base_fy)/n_conv)</f>
        <v>0.107037313839977</v>
      </c>
      <c r="K5817" s="7" t="n">
        <f aca="false">Sens!$E$5817+(glt_azo-Sens!$E$5817)*MIN(1,(Sens!K5774-base_fy)/n_conv)</f>
        <v>0.08</v>
      </c>
    </row>
    <row r="5818" customFormat="false" ht="15" hidden="false" customHeight="false" outlineLevel="0" collapsed="false">
      <c r="A5818" s="0" t="s">
        <v>1029</v>
      </c>
      <c r="B5818" s="0" t="s">
        <v>98</v>
      </c>
      <c r="D5818" s="6" t="n">
        <f aca="false">Sens!D5815+Sens!D5816</f>
        <v>72.61</v>
      </c>
      <c r="E5818" s="6" t="n">
        <f aca="false">Sens!E5815+Sens!E5816</f>
        <v>101.938</v>
      </c>
      <c r="F5818" s="6" t="n">
        <f aca="false">Sens!F5815+Sens!F5816</f>
        <v>146.002954416121</v>
      </c>
      <c r="G5818" s="6" t="n">
        <f aca="false">Sens!G5815+Sens!G5816</f>
        <v>198.021826062827</v>
      </c>
      <c r="H5818" s="6" t="n">
        <f aca="false">Sens!H5815+Sens!H5816</f>
        <v>251.323667534449</v>
      </c>
      <c r="I5818" s="6" t="n">
        <f aca="false">Sens!I5815+Sens!I5816</f>
        <v>299.522166404623</v>
      </c>
      <c r="J5818" s="6" t="n">
        <f aca="false">Sens!J5815+Sens!J5816</f>
        <v>336.490342377086</v>
      </c>
      <c r="K5818" s="6" t="n">
        <f aca="false">Sens!K5815+Sens!K5816</f>
        <v>362.358638744812</v>
      </c>
    </row>
    <row r="5819" customFormat="false" ht="17.15" hidden="false" customHeight="false" outlineLevel="0" collapsed="false">
      <c r="A5819" s="0" t="s">
        <v>1030</v>
      </c>
      <c r="B5819" s="1" t="s">
        <v>613</v>
      </c>
      <c r="C5819" s="30" t="n">
        <f aca="false">cop_s24</f>
        <v>1</v>
      </c>
      <c r="D5819" s="30" t="n">
        <f aca="false">cop_s25</f>
        <v>5</v>
      </c>
      <c r="E5819" s="30" t="n">
        <f aca="false">cop_s26</f>
        <v>30</v>
      </c>
      <c r="F5819" s="30" t="n">
        <f aca="false">Sens!E5819+cop_add_B</f>
        <v>50</v>
      </c>
      <c r="G5819" s="30" t="n">
        <f aca="false">Sens!F5819+cop_add_B</f>
        <v>70</v>
      </c>
      <c r="H5819" s="30" t="n">
        <f aca="false">Sens!G5819+cop_add_B</f>
        <v>90</v>
      </c>
      <c r="I5819" s="30" t="n">
        <f aca="false">Sens!H5819+cop_add_B*cop_tail</f>
        <v>100</v>
      </c>
      <c r="J5819" s="30" t="n">
        <f aca="false">Sens!I5819+cop_add_B*cop_tail</f>
        <v>110</v>
      </c>
      <c r="K5819" s="30" t="n">
        <f aca="false">Sens!J5819+cop_add_B*cop_tail</f>
        <v>120</v>
      </c>
      <c r="L5819" s="12" t="s">
        <v>1031</v>
      </c>
    </row>
    <row r="5820" customFormat="false" ht="17.15" hidden="false" customHeight="false" outlineLevel="0" collapsed="false">
      <c r="A5820" s="0" t="s">
        <v>1032</v>
      </c>
      <c r="B5820" s="0" t="s">
        <v>98</v>
      </c>
      <c r="D5820" s="6" t="n">
        <f aca="false">(Sens!C5819+Sens!D5819)/2*cop_px*12/1000</f>
        <v>0.9</v>
      </c>
      <c r="E5820" s="6" t="n">
        <f aca="false">(Sens!D5819+Sens!E5819)/2*cop_px*12/1000</f>
        <v>5.25</v>
      </c>
      <c r="F5820" s="6" t="n">
        <f aca="false">(Sens!E5819+Sens!F5819)/2*cop_px*12/1000</f>
        <v>12</v>
      </c>
      <c r="G5820" s="6" t="n">
        <f aca="false">(Sens!F5819+Sens!G5819)/2*cop_px*12/1000</f>
        <v>18</v>
      </c>
      <c r="H5820" s="6" t="n">
        <f aca="false">(Sens!G5819+Sens!H5819)/2*cop_px*12/1000</f>
        <v>24</v>
      </c>
      <c r="I5820" s="6" t="n">
        <f aca="false">(Sens!H5819+Sens!I5819)/2*cop_px*12/1000</f>
        <v>28.5</v>
      </c>
      <c r="J5820" s="6" t="n">
        <f aca="false">(Sens!I5819+Sens!J5819)/2*cop_px*12/1000</f>
        <v>31.5</v>
      </c>
      <c r="K5820" s="6" t="n">
        <f aca="false">(Sens!J5819+Sens!K5819)/2*cop_px*12/1000</f>
        <v>34.5</v>
      </c>
      <c r="L5820" s="1" t="s">
        <v>1033</v>
      </c>
    </row>
    <row r="5821" customFormat="false" ht="17.15" hidden="false" customHeight="false" outlineLevel="0" collapsed="false">
      <c r="A5821" s="0" t="s">
        <v>1034</v>
      </c>
      <c r="B5821" s="0" t="s">
        <v>98</v>
      </c>
      <c r="D5821" s="6" t="n">
        <f aca="false">Q!L7-Sens!D5820</f>
        <v>83.705</v>
      </c>
      <c r="E5821" s="6" t="n">
        <f aca="false">Q!M7-Sens!E5820</f>
        <v>95.049</v>
      </c>
      <c r="F5821" s="6" t="n">
        <f aca="false">Q!$I$7+(Sens!E5821*(1+Sens!F5822)+Sens!F5820)*(1-Q!$E$7/Q!M7)-Sens!F5820</f>
        <v>106.584003697747</v>
      </c>
      <c r="G5821" s="6" t="n">
        <f aca="false">Sens!F5821*(1+Sens!G5822)</f>
        <v>118.700726545688</v>
      </c>
      <c r="H5821" s="6" t="n">
        <f aca="false">Sens!G5821*(1+Sens!H5822)</f>
        <v>130.898624783666</v>
      </c>
      <c r="I5821" s="6" t="n">
        <f aca="false">Sens!H5821*(1+Sens!I5822)</f>
        <v>142.920510030657</v>
      </c>
      <c r="J5821" s="6" t="n">
        <f aca="false">Sens!I5821*(1+Sens!J5822)</f>
        <v>154.485722618572</v>
      </c>
      <c r="K5821" s="6" t="n">
        <f aca="false">Sens!J5821*(1+Sens!K5822)</f>
        <v>165.299723201872</v>
      </c>
      <c r="L5821" s="12" t="s">
        <v>1035</v>
      </c>
    </row>
    <row r="5822" customFormat="false" ht="15" hidden="false" customHeight="false" outlineLevel="0" collapsed="false">
      <c r="A5822" s="1" t="s">
        <v>1028</v>
      </c>
      <c r="B5822" s="0" t="s">
        <v>168</v>
      </c>
      <c r="E5822" s="7" t="n">
        <f aca="false">Sens!E5821/Sens!D5821-1</f>
        <v>0.135523564900544</v>
      </c>
      <c r="F5822" s="7" t="n">
        <f aca="false">Sens!$E$5822+(glt_m365b-Sens!$E$5822)*MIN(1,(Sens!F5774-base_fy)/n_conv)</f>
        <v>0.124602970750453</v>
      </c>
      <c r="G5822" s="7" t="n">
        <f aca="false">Sens!$E$5822+(glt_m365b-Sens!$E$5822)*MIN(1,(Sens!G5774-base_fy)/n_conv)</f>
        <v>0.113682376600363</v>
      </c>
      <c r="H5822" s="7" t="n">
        <f aca="false">Sens!$E$5822+(glt_m365b-Sens!$E$5822)*MIN(1,(Sens!H5774-base_fy)/n_conv)</f>
        <v>0.102761782450272</v>
      </c>
      <c r="I5822" s="7" t="n">
        <f aca="false">Sens!$E$5822+(glt_m365b-Sens!$E$5822)*MIN(1,(Sens!I5774-base_fy)/n_conv)</f>
        <v>0.0918411883001813</v>
      </c>
      <c r="J5822" s="7" t="n">
        <f aca="false">Sens!$E$5822+(glt_m365b-Sens!$E$5822)*MIN(1,(Sens!J5774-base_fy)/n_conv)</f>
        <v>0.0809205941500906</v>
      </c>
      <c r="K5822" s="7" t="n">
        <f aca="false">Sens!$E$5822+(glt_m365b-Sens!$E$5822)*MIN(1,(Sens!K5774-base_fy)/n_conv)</f>
        <v>0.07</v>
      </c>
    </row>
    <row r="5823" customFormat="false" ht="15" hidden="false" customHeight="false" outlineLevel="0" collapsed="false">
      <c r="A5823" s="0" t="s">
        <v>1036</v>
      </c>
      <c r="B5823" s="0" t="s">
        <v>98</v>
      </c>
      <c r="D5823" s="6" t="n">
        <f aca="false">Sens!D5821+Sens!D5820</f>
        <v>84.605</v>
      </c>
      <c r="E5823" s="6" t="n">
        <f aca="false">Sens!E5821+Sens!E5820</f>
        <v>100.299</v>
      </c>
      <c r="F5823" s="6" t="n">
        <f aca="false">Sens!F5821+Sens!F5820</f>
        <v>118.584003697747</v>
      </c>
      <c r="G5823" s="6" t="n">
        <f aca="false">Sens!G5821+Sens!G5820</f>
        <v>136.700726545688</v>
      </c>
      <c r="H5823" s="6" t="n">
        <f aca="false">Sens!H5821+Sens!H5820</f>
        <v>154.898624783666</v>
      </c>
      <c r="I5823" s="6" t="n">
        <f aca="false">Sens!I5821+Sens!I5820</f>
        <v>171.420510030657</v>
      </c>
      <c r="J5823" s="6" t="n">
        <f aca="false">Sens!J5821+Sens!J5820</f>
        <v>185.985722618572</v>
      </c>
      <c r="K5823" s="6" t="n">
        <f aca="false">Sens!K5821+Sens!K5820</f>
        <v>199.799723201872</v>
      </c>
    </row>
    <row r="5824" customFormat="false" ht="17.15" hidden="false" customHeight="false" outlineLevel="0" collapsed="false">
      <c r="A5824" s="0" t="s">
        <v>1037</v>
      </c>
      <c r="B5824" s="0" t="s">
        <v>98</v>
      </c>
      <c r="D5824" s="6" t="n">
        <f aca="false">Q!L8</f>
        <v>35.391</v>
      </c>
      <c r="E5824" s="6" t="n">
        <f aca="false">Q!M8</f>
        <v>37.285</v>
      </c>
      <c r="F5824" s="6" t="n">
        <f aca="false">Q!$I$8+(Q!M8-Q!$E$8)*(1+Sens!F5825)</f>
        <v>38.3851437782675</v>
      </c>
      <c r="G5824" s="6" t="n">
        <f aca="false">Sens!F5824*(1+Sens!G5825)</f>
        <v>40.0105353288615</v>
      </c>
      <c r="H5824" s="6" t="n">
        <f aca="false">Sens!G5824*(1+Sens!H5825)</f>
        <v>41.4812512033683</v>
      </c>
      <c r="I5824" s="6" t="n">
        <f aca="false">Sens!H5824*(1+Sens!I5825)</f>
        <v>42.7743107216329</v>
      </c>
      <c r="J5824" s="6" t="n">
        <f aca="false">Sens!I5824*(1+Sens!J5825)</f>
        <v>43.8687373064601</v>
      </c>
      <c r="K5824" s="6" t="n">
        <f aca="false">Sens!J5824*(1+Sens!K5825)</f>
        <v>44.7461120525893</v>
      </c>
      <c r="L5824" s="12" t="s">
        <v>1038</v>
      </c>
    </row>
    <row r="5825" customFormat="false" ht="15" hidden="false" customHeight="false" outlineLevel="0" collapsed="false">
      <c r="A5825" s="1" t="s">
        <v>1028</v>
      </c>
      <c r="B5825" s="0" t="s">
        <v>168</v>
      </c>
      <c r="E5825" s="7" t="n">
        <f aca="false">Sens!E5824/Sens!D5824-1</f>
        <v>0.0535164307309768</v>
      </c>
      <c r="F5825" s="7" t="n">
        <f aca="false">Sens!$E$5825+(glt_lic-Sens!$E$5825)*MIN(1,(Sens!F5774-base_fy)/n_conv)</f>
        <v>0.0479303589424807</v>
      </c>
      <c r="G5825" s="7" t="n">
        <f aca="false">Sens!$E$5825+(glt_lic-Sens!$E$5825)*MIN(1,(Sens!G5774-base_fy)/n_conv)</f>
        <v>0.0423442871539845</v>
      </c>
      <c r="H5825" s="7" t="n">
        <f aca="false">Sens!$E$5825+(glt_lic-Sens!$E$5825)*MIN(1,(Sens!H5774-base_fy)/n_conv)</f>
        <v>0.0367582153654884</v>
      </c>
      <c r="I5825" s="7" t="n">
        <f aca="false">Sens!$E$5825+(glt_lic-Sens!$E$5825)*MIN(1,(Sens!I5774-base_fy)/n_conv)</f>
        <v>0.0311721435769923</v>
      </c>
      <c r="J5825" s="7" t="n">
        <f aca="false">Sens!$E$5825+(glt_lic-Sens!$E$5825)*MIN(1,(Sens!J5774-base_fy)/n_conv)</f>
        <v>0.0255860717884961</v>
      </c>
      <c r="K5825" s="7" t="n">
        <f aca="false">Sens!$E$5825+(glt_lic-Sens!$E$5825)*MIN(1,(Sens!K5774-base_fy)/n_conv)</f>
        <v>0.02</v>
      </c>
    </row>
    <row r="5826" customFormat="false" ht="17.15" hidden="false" customHeight="false" outlineLevel="0" collapsed="false">
      <c r="A5826" s="0" t="s">
        <v>1039</v>
      </c>
      <c r="B5826" s="0" t="s">
        <v>98</v>
      </c>
      <c r="D5826" s="6" t="n">
        <f aca="false">Q!L9</f>
        <v>18.417</v>
      </c>
      <c r="E5826" s="6" t="n">
        <f aca="false">Q!M9</f>
        <v>20.345</v>
      </c>
      <c r="F5826" s="6" t="n">
        <f aca="false">Q!$I$9+(Q!M9-Q!$E$9)*(1+Sens!F5827)</f>
        <v>22.3161797133988</v>
      </c>
      <c r="G5826" s="6" t="n">
        <f aca="false">Sens!F5826*(1+Sens!G5827)</f>
        <v>24.3943499673233</v>
      </c>
      <c r="H5826" s="6" t="n">
        <f aca="false">Sens!G5826*(1+Sens!H5827)</f>
        <v>26.5250243109019</v>
      </c>
      <c r="I5826" s="6" t="n">
        <f aca="false">Sens!H5826*(1+Sens!I5827)</f>
        <v>28.6884573538181</v>
      </c>
      <c r="J5826" s="6" t="n">
        <f aca="false">Sens!I5826*(1+Sens!J5827)</f>
        <v>30.8624968052127</v>
      </c>
      <c r="K5826" s="6" t="n">
        <f aca="false">Sens!J5826*(1+Sens!K5827)</f>
        <v>33.0228715815776</v>
      </c>
      <c r="L5826" s="12" t="s">
        <v>1038</v>
      </c>
    </row>
    <row r="5827" customFormat="false" ht="15" hidden="false" customHeight="false" outlineLevel="0" collapsed="false">
      <c r="A5827" s="1" t="s">
        <v>1028</v>
      </c>
      <c r="B5827" s="0" t="s">
        <v>168</v>
      </c>
      <c r="E5827" s="7" t="n">
        <f aca="false">Sens!E5826/Sens!D5826-1</f>
        <v>0.104685888038225</v>
      </c>
      <c r="F5827" s="7" t="n">
        <f aca="false">Sens!$E$5827+(glt_ind-Sens!$E$5827)*MIN(1,(Sens!F5774-base_fy)/n_conv)</f>
        <v>0.0989049066985211</v>
      </c>
      <c r="G5827" s="7" t="n">
        <f aca="false">Sens!$E$5827+(glt_ind-Sens!$E$5827)*MIN(1,(Sens!G5774-base_fy)/n_conv)</f>
        <v>0.0931239253588169</v>
      </c>
      <c r="H5827" s="7" t="n">
        <f aca="false">Sens!$E$5827+(glt_ind-Sens!$E$5827)*MIN(1,(Sens!H5774-base_fy)/n_conv)</f>
        <v>0.0873429440191127</v>
      </c>
      <c r="I5827" s="7" t="n">
        <f aca="false">Sens!$E$5827+(glt_ind-Sens!$E$5827)*MIN(1,(Sens!I5774-base_fy)/n_conv)</f>
        <v>0.0815619626794085</v>
      </c>
      <c r="J5827" s="7" t="n">
        <f aca="false">Sens!$E$5827+(glt_ind-Sens!$E$5827)*MIN(1,(Sens!J5774-base_fy)/n_conv)</f>
        <v>0.0757809813397042</v>
      </c>
      <c r="K5827" s="7" t="n">
        <f aca="false">Sens!$E$5827+(glt_ind-Sens!$E$5827)*MIN(1,(Sens!K5774-base_fy)/n_conv)</f>
        <v>0.07</v>
      </c>
    </row>
    <row r="5828" customFormat="false" ht="17.15" hidden="false" customHeight="false" outlineLevel="0" collapsed="false">
      <c r="A5828" s="0" t="s">
        <v>1040</v>
      </c>
      <c r="B5828" s="0" t="s">
        <v>98</v>
      </c>
      <c r="D5828" s="6" t="n">
        <f aca="false">Q!L10</f>
        <v>7.76</v>
      </c>
      <c r="E5828" s="6" t="n">
        <f aca="false">Q!M10</f>
        <v>8.26</v>
      </c>
      <c r="F5828" s="6" t="n">
        <f aca="false">Q!$I$10+(Q!M10-Q!$E$10)*(1+Sens!F5829)</f>
        <v>8.75372082474227</v>
      </c>
      <c r="G5828" s="6" t="n">
        <f aca="false">Sens!F5828*(1+Sens!G5829)</f>
        <v>9.33399324642364</v>
      </c>
      <c r="H5828" s="6" t="n">
        <f aca="false">Sens!G5828*(1+Sens!H5829)</f>
        <v>9.96139155535851</v>
      </c>
      <c r="I5828" s="6" t="n">
        <f aca="false">Sens!H5828*(1+Sens!I5829)</f>
        <v>10.6402039077391</v>
      </c>
      <c r="J5828" s="6" t="n">
        <f aca="false">Sens!I5828*(1+Sens!J5829)</f>
        <v>11.3751458271397</v>
      </c>
      <c r="K5828" s="6" t="n">
        <f aca="false">Sens!J5828*(1+Sens!K5829)</f>
        <v>12.1714060350394</v>
      </c>
      <c r="L5828" s="12" t="s">
        <v>1038</v>
      </c>
    </row>
    <row r="5829" customFormat="false" ht="15" hidden="false" customHeight="false" outlineLevel="0" collapsed="false">
      <c r="A5829" s="1" t="s">
        <v>1028</v>
      </c>
      <c r="B5829" s="0" t="s">
        <v>168</v>
      </c>
      <c r="E5829" s="7" t="n">
        <f aca="false">Sens!E5828/Sens!D5828-1</f>
        <v>0.0644329896907216</v>
      </c>
      <c r="F5829" s="7" t="n">
        <f aca="false">Sens!$E$5829+(glt_fro-Sens!$E$5829)*MIN(1,(Sens!F5774-base_fy)/n_conv)</f>
        <v>0.065360824742268</v>
      </c>
      <c r="G5829" s="7" t="n">
        <f aca="false">Sens!$E$5829+(glt_fro-Sens!$E$5829)*MIN(1,(Sens!G5774-base_fy)/n_conv)</f>
        <v>0.0662886597938144</v>
      </c>
      <c r="H5829" s="7" t="n">
        <f aca="false">Sens!$E$5829+(glt_fro-Sens!$E$5829)*MIN(1,(Sens!H5774-base_fy)/n_conv)</f>
        <v>0.0672164948453608</v>
      </c>
      <c r="I5829" s="7" t="n">
        <f aca="false">Sens!$E$5829+(glt_fro-Sens!$E$5829)*MIN(1,(Sens!I5774-base_fy)/n_conv)</f>
        <v>0.0681443298969072</v>
      </c>
      <c r="J5829" s="7" t="n">
        <f aca="false">Sens!$E$5829+(glt_fro-Sens!$E$5829)*MIN(1,(Sens!J5774-base_fy)/n_conv)</f>
        <v>0.0690721649484536</v>
      </c>
      <c r="K5829" s="7" t="n">
        <f aca="false">Sens!$E$5829+(glt_fro-Sens!$E$5829)*MIN(1,(Sens!K5774-base_fy)/n_conv)</f>
        <v>0.07</v>
      </c>
    </row>
    <row r="5830" customFormat="false" ht="15" hidden="false" customHeight="false" outlineLevel="0" collapsed="false">
      <c r="A5830" s="0" t="s">
        <v>856</v>
      </c>
      <c r="B5830" s="0" t="s">
        <v>98</v>
      </c>
      <c r="D5830" s="6" t="n">
        <f aca="false">Sens!D5818+Sens!D5823+Sens!D5824+Sens!D5826+Sens!D5828</f>
        <v>218.783</v>
      </c>
      <c r="E5830" s="6" t="n">
        <f aca="false">Sens!E5818+Sens!E5823+Sens!E5824+Sens!E5826+Sens!E5828</f>
        <v>268.127</v>
      </c>
      <c r="F5830" s="6" t="n">
        <f aca="false">Sens!F5818+Sens!F5823+Sens!F5824+Sens!F5826+Sens!F5828</f>
        <v>334.042002430276</v>
      </c>
      <c r="G5830" s="6" t="n">
        <f aca="false">Sens!G5818+Sens!G5823+Sens!G5824+Sens!G5826+Sens!G5828</f>
        <v>408.461431151124</v>
      </c>
      <c r="H5830" s="6" t="n">
        <f aca="false">Sens!H5818+Sens!H5823+Sens!H5824+Sens!H5826+Sens!H5828</f>
        <v>484.189959387744</v>
      </c>
      <c r="I5830" s="6" t="n">
        <f aca="false">Sens!I5818+Sens!I5823+Sens!I5824+Sens!I5826+Sens!I5828</f>
        <v>553.04564841847</v>
      </c>
      <c r="J5830" s="6" t="n">
        <f aca="false">Sens!J5818+Sens!J5823+Sens!J5824+Sens!J5826+Sens!J5828</f>
        <v>608.58244493447</v>
      </c>
      <c r="K5830" s="6" t="n">
        <f aca="false">Sens!K5818+Sens!K5823+Sens!K5824+Sens!K5826+Sens!K5828</f>
        <v>652.09875161589</v>
      </c>
    </row>
    <row r="5831" customFormat="false" ht="17.15" hidden="false" customHeight="false" outlineLevel="0" collapsed="false">
      <c r="A5831" s="0" t="s">
        <v>1041</v>
      </c>
      <c r="B5831" s="0" t="s">
        <v>98</v>
      </c>
      <c r="D5831" s="6" t="n">
        <f aca="false">Q!L13</f>
        <v>22.171</v>
      </c>
      <c r="E5831" s="6" t="n">
        <f aca="false">Q!M13</f>
        <v>24.835</v>
      </c>
      <c r="F5831" s="6" t="n">
        <f aca="false">Q!$I$13+(Q!M13-Q!$E$13)*(1+Sens!F5832)</f>
        <v>27.5591895660247</v>
      </c>
      <c r="G5831" s="6" t="n">
        <f aca="false">Sens!F5831*(1+Sens!G5832)</f>
        <v>30.4098563144583</v>
      </c>
      <c r="H5831" s="6" t="n">
        <f aca="false">Sens!G5831*(1+Sens!H5832)</f>
        <v>33.3011792571777</v>
      </c>
      <c r="I5831" s="6" t="n">
        <f aca="false">Sens!H5831*(1+Sens!I5832)</f>
        <v>36.189023797112</v>
      </c>
      <c r="J5831" s="6" t="n">
        <f aca="false">Sens!I5831*(1+Sens!J5832)</f>
        <v>39.0247773769199</v>
      </c>
      <c r="K5831" s="6" t="n">
        <f aca="false">Sens!J5831*(1+Sens!K5832)</f>
        <v>41.7565117933043</v>
      </c>
      <c r="L5831" s="12" t="s">
        <v>1038</v>
      </c>
    </row>
    <row r="5832" customFormat="false" ht="15" hidden="false" customHeight="false" outlineLevel="0" collapsed="false">
      <c r="A5832" s="1" t="s">
        <v>1028</v>
      </c>
      <c r="B5832" s="0" t="s">
        <v>168</v>
      </c>
      <c r="E5832" s="7" t="n">
        <f aca="false">Sens!E5831/Sens!D5831-1</f>
        <v>0.120156961796942</v>
      </c>
      <c r="F5832" s="7" t="n">
        <f aca="false">Sens!$E$5832+(glt_srch-Sens!$E$5832)*MIN(1,(Sens!F5774-base_fy)/n_conv)</f>
        <v>0.111797468164118</v>
      </c>
      <c r="G5832" s="7" t="n">
        <f aca="false">Sens!$E$5832+(glt_srch-Sens!$E$5832)*MIN(1,(Sens!G5774-base_fy)/n_conv)</f>
        <v>0.103437974531295</v>
      </c>
      <c r="H5832" s="7" t="n">
        <f aca="false">Sens!$E$5832+(glt_srch-Sens!$E$5832)*MIN(1,(Sens!H5774-base_fy)/n_conv)</f>
        <v>0.095078480898471</v>
      </c>
      <c r="I5832" s="7" t="n">
        <f aca="false">Sens!$E$5832+(glt_srch-Sens!$E$5832)*MIN(1,(Sens!I5774-base_fy)/n_conv)</f>
        <v>0.0867189872656474</v>
      </c>
      <c r="J5832" s="7" t="n">
        <f aca="false">Sens!$E$5832+(glt_srch-Sens!$E$5832)*MIN(1,(Sens!J5774-base_fy)/n_conv)</f>
        <v>0.0783594936328237</v>
      </c>
      <c r="K5832" s="7" t="n">
        <f aca="false">Sens!$E$5832+(glt_srch-Sens!$E$5832)*MIN(1,(Sens!K5774-base_fy)/n_conv)</f>
        <v>0.07</v>
      </c>
    </row>
    <row r="5833" customFormat="false" ht="17.15" hidden="false" customHeight="false" outlineLevel="0" collapsed="false">
      <c r="A5833" s="0" t="s">
        <v>1042</v>
      </c>
      <c r="B5833" s="0" t="s">
        <v>98</v>
      </c>
      <c r="D5833" s="6" t="n">
        <f aca="false">Q!L14</f>
        <v>23.455</v>
      </c>
      <c r="E5833" s="6" t="n">
        <f aca="false">Q!M14</f>
        <v>21.79</v>
      </c>
      <c r="F5833" s="6" t="n">
        <f aca="false">Q!$I$14+(Q!M14-Q!$E$14)*(1+Sens!F5834)</f>
        <v>20.7520981041711</v>
      </c>
      <c r="G5833" s="6" t="n">
        <f aca="false">Sens!F5833*(1+Sens!G5834)</f>
        <v>19.9083593495882</v>
      </c>
      <c r="H5833" s="6" t="n">
        <f aca="false">Sens!G5833*(1+Sens!H5834)</f>
        <v>19.4008256265831</v>
      </c>
      <c r="I5833" s="6" t="n">
        <f aca="false">Sens!H5833*(1+Sens!I5834)</f>
        <v>19.200434522122</v>
      </c>
      <c r="J5833" s="6" t="n">
        <f aca="false">Sens!I5833*(1+Sens!J5834)</f>
        <v>19.2932782348507</v>
      </c>
      <c r="K5833" s="6" t="n">
        <f aca="false">Sens!J5833*(1+Sens!K5834)</f>
        <v>19.6791437995477</v>
      </c>
      <c r="L5833" s="12" t="s">
        <v>1038</v>
      </c>
    </row>
    <row r="5834" customFormat="false" ht="15" hidden="false" customHeight="false" outlineLevel="0" collapsed="false">
      <c r="A5834" s="1" t="s">
        <v>1028</v>
      </c>
      <c r="B5834" s="0" t="s">
        <v>168</v>
      </c>
      <c r="E5834" s="7" t="n">
        <f aca="false">Sens!E5833/Sens!D5833-1</f>
        <v>-0.0709869963760392</v>
      </c>
      <c r="F5834" s="7" t="n">
        <f aca="false">Sens!$E$5834+(glt_xbox-Sens!$E$5834)*MIN(1,(Sens!F5774-base_fy)/n_conv)</f>
        <v>-0.0558224969800327</v>
      </c>
      <c r="G5834" s="7" t="n">
        <f aca="false">Sens!$E$5834+(glt_xbox-Sens!$E$5834)*MIN(1,(Sens!G5774-base_fy)/n_conv)</f>
        <v>-0.0406579975840262</v>
      </c>
      <c r="H5834" s="7" t="n">
        <f aca="false">Sens!$E$5834+(glt_xbox-Sens!$E$5834)*MIN(1,(Sens!H5774-base_fy)/n_conv)</f>
        <v>-0.0254934981880196</v>
      </c>
      <c r="I5834" s="7" t="n">
        <f aca="false">Sens!$E$5834+(glt_xbox-Sens!$E$5834)*MIN(1,(Sens!I5774-base_fy)/n_conv)</f>
        <v>-0.0103289987920131</v>
      </c>
      <c r="J5834" s="7" t="n">
        <f aca="false">Sens!$E$5834+(glt_xbox-Sens!$E$5834)*MIN(1,(Sens!J5774-base_fy)/n_conv)</f>
        <v>0.00483550060399347</v>
      </c>
      <c r="K5834" s="7" t="n">
        <f aca="false">Sens!$E$5834+(glt_xbox-Sens!$E$5834)*MIN(1,(Sens!K5774-base_fy)/n_conv)</f>
        <v>0.02</v>
      </c>
    </row>
    <row r="5835" customFormat="false" ht="17.15" hidden="false" customHeight="false" outlineLevel="0" collapsed="false">
      <c r="A5835" s="0" t="s">
        <v>1043</v>
      </c>
      <c r="B5835" s="0" t="s">
        <v>98</v>
      </c>
      <c r="D5835" s="6" t="n">
        <f aca="false">Q!L15</f>
        <v>17.315</v>
      </c>
      <c r="E5835" s="6" t="n">
        <f aca="false">Q!M15</f>
        <v>17.087</v>
      </c>
      <c r="F5835" s="6" t="n">
        <f aca="false">Q!$I$15+(Q!M15-Q!$E$15)*(1+Sens!F5836)</f>
        <v>15.9912273250553</v>
      </c>
      <c r="G5835" s="6" t="n">
        <f aca="false">Sens!F5835*(1+Sens!G5836)</f>
        <v>15.9574562664827</v>
      </c>
      <c r="H5835" s="6" t="n">
        <f aca="false">Sens!G5835*(1+Sens!H5836)</f>
        <v>16.0119687434196</v>
      </c>
      <c r="I5835" s="6" t="n">
        <f aca="false">Sens!H5835*(1+Sens!I5836)</f>
        <v>16.1551810001948</v>
      </c>
      <c r="J5835" s="6" t="n">
        <f aca="false">Sens!I5835*(1+Sens!J5836)</f>
        <v>16.3889793892005</v>
      </c>
      <c r="K5835" s="6" t="n">
        <f aca="false">Sens!J5835*(1+Sens!K5836)</f>
        <v>16.7167589769845</v>
      </c>
      <c r="L5835" s="12" t="s">
        <v>1038</v>
      </c>
    </row>
    <row r="5836" customFormat="false" ht="15" hidden="false" customHeight="false" outlineLevel="0" collapsed="false">
      <c r="A5836" s="1" t="s">
        <v>1028</v>
      </c>
      <c r="B5836" s="0" t="s">
        <v>168</v>
      </c>
      <c r="E5836" s="7" t="n">
        <f aca="false">Sens!E5835/Sens!D5835-1</f>
        <v>-0.0131677736066995</v>
      </c>
      <c r="F5836" s="7" t="n">
        <f aca="false">Sens!$E$5836+(glt_win-Sens!$E$5836)*MIN(1,(Sens!F5774-base_fy)/n_conv)</f>
        <v>-0.00763981133891627</v>
      </c>
      <c r="G5836" s="7" t="n">
        <f aca="false">Sens!$E$5836+(glt_win-Sens!$E$5836)*MIN(1,(Sens!G5774-base_fy)/n_conv)</f>
        <v>-0.00211184907113301</v>
      </c>
      <c r="H5836" s="7" t="n">
        <f aca="false">Sens!$E$5836+(glt_win-Sens!$E$5836)*MIN(1,(Sens!H5774-base_fy)/n_conv)</f>
        <v>0.00341611319665024</v>
      </c>
      <c r="I5836" s="7" t="n">
        <f aca="false">Sens!$E$5836+(glt_win-Sens!$E$5836)*MIN(1,(Sens!I5774-base_fy)/n_conv)</f>
        <v>0.00894407546443349</v>
      </c>
      <c r="J5836" s="7" t="n">
        <f aca="false">Sens!$E$5836+(glt_win-Sens!$E$5836)*MIN(1,(Sens!J5774-base_fy)/n_conv)</f>
        <v>0.0144720377322168</v>
      </c>
      <c r="K5836" s="7" t="n">
        <f aca="false">Sens!$E$5836+(glt_win-Sens!$E$5836)*MIN(1,(Sens!K5774-base_fy)/n_conv)</f>
        <v>0.02</v>
      </c>
    </row>
    <row r="5837" customFormat="false" ht="15" hidden="false" customHeight="false" outlineLevel="0" collapsed="false">
      <c r="A5837" s="0" t="s">
        <v>870</v>
      </c>
      <c r="B5837" s="0" t="s">
        <v>98</v>
      </c>
      <c r="D5837" s="6" t="n">
        <f aca="false">Sens!D5831+Sens!D5833+Sens!D5835</f>
        <v>62.941</v>
      </c>
      <c r="E5837" s="6" t="n">
        <f aca="false">Sens!E5831+Sens!E5833+Sens!E5835</f>
        <v>63.712</v>
      </c>
      <c r="F5837" s="6" t="n">
        <f aca="false">Sens!F5831+Sens!F5833+Sens!F5835</f>
        <v>64.3025149952511</v>
      </c>
      <c r="G5837" s="6" t="n">
        <f aca="false">Sens!G5831+Sens!G5833+Sens!G5835</f>
        <v>66.2756719305292</v>
      </c>
      <c r="H5837" s="6" t="n">
        <f aca="false">Sens!H5831+Sens!H5833+Sens!H5835</f>
        <v>68.7139736271804</v>
      </c>
      <c r="I5837" s="6" t="n">
        <f aca="false">Sens!I5831+Sens!I5833+Sens!I5835</f>
        <v>71.5446393194289</v>
      </c>
      <c r="J5837" s="6" t="n">
        <f aca="false">Sens!J5831+Sens!J5833+Sens!J5835</f>
        <v>74.707035000971</v>
      </c>
      <c r="K5837" s="6" t="n">
        <f aca="false">Sens!K5831+Sens!K5833+Sens!K5835</f>
        <v>78.1524145698365</v>
      </c>
    </row>
    <row r="5838" customFormat="false" ht="15" hidden="false" customHeight="false" outlineLevel="0" collapsed="false">
      <c r="A5838" s="1" t="s">
        <v>1044</v>
      </c>
      <c r="B5838" s="0" t="s">
        <v>98</v>
      </c>
      <c r="D5838" s="6" t="n">
        <f aca="false">Sens!D5830+Sens!D5837</f>
        <v>281.724</v>
      </c>
      <c r="E5838" s="6" t="n">
        <f aca="false">Sens!E5830+Sens!E5837</f>
        <v>331.839</v>
      </c>
      <c r="F5838" s="6" t="n">
        <f aca="false">Sens!F5830+Sens!F5837</f>
        <v>398.344517425527</v>
      </c>
      <c r="G5838" s="6" t="n">
        <f aca="false">Sens!G5830+Sens!G5837</f>
        <v>474.737103081653</v>
      </c>
      <c r="H5838" s="6" t="n">
        <f aca="false">Sens!H5830+Sens!H5837</f>
        <v>552.903933014924</v>
      </c>
      <c r="I5838" s="6" t="n">
        <f aca="false">Sens!I5830+Sens!I5837</f>
        <v>624.590287737899</v>
      </c>
      <c r="J5838" s="6" t="n">
        <f aca="false">Sens!J5830+Sens!J5837</f>
        <v>683.289479935441</v>
      </c>
      <c r="K5838" s="6" t="n">
        <f aca="false">Sens!K5830+Sens!K5837</f>
        <v>730.251166185726</v>
      </c>
    </row>
    <row r="5839" customFormat="false" ht="15" hidden="false" customHeight="false" outlineLevel="0" collapsed="false">
      <c r="A5839" s="26" t="s">
        <v>1045</v>
      </c>
      <c r="B5839" s="31" t="s">
        <v>98</v>
      </c>
      <c r="C5839" s="31"/>
      <c r="D5839" s="27" t="n">
        <f aca="false">(Sens!D5818+Sens!D5823+Sens!D5824+Sens!D5826+Sens!D5828-Sens!D5830)+(Sens!D5831+Sens!D5833+Sens!D5835-Sens!D5837)+(Sens!D5830-Q!L5)+(Sens!D5837-Q!L12)+(Sens!D5818-Q!L6)+(Sens!D5823-Q!L7)</f>
        <v>0</v>
      </c>
      <c r="E5839" s="27" t="n">
        <f aca="false">(Sens!E5818+Sens!E5823+Sens!E5824+Sens!E5826+Sens!E5828-Sens!E5830)+(Sens!E5831+Sens!E5833+Sens!E5835-Sens!E5837)+(Sens!E5830-Q!M5)+(Sens!E5837-Q!M12)+(Sens!E5818-Q!M6)+(Sens!E5823-Q!M7)</f>
        <v>0</v>
      </c>
      <c r="F5839" s="27" t="n">
        <f aca="false">(Sens!F5818+Sens!F5823+Sens!F5824+Sens!F5826+Sens!F5828-Sens!F5830)+(Sens!F5831+Sens!F5833+Sens!F5835-Sens!F5837)</f>
        <v>0</v>
      </c>
      <c r="G5839" s="27" t="n">
        <f aca="false">(Sens!G5818+Sens!G5823+Sens!G5824+Sens!G5826+Sens!G5828-Sens!G5830)+(Sens!G5831+Sens!G5833+Sens!G5835-Sens!G5837)</f>
        <v>0</v>
      </c>
      <c r="H5839" s="27" t="n">
        <f aca="false">(Sens!H5818+Sens!H5823+Sens!H5824+Sens!H5826+Sens!H5828-Sens!H5830)+(Sens!H5831+Sens!H5833+Sens!H5835-Sens!H5837)</f>
        <v>0</v>
      </c>
      <c r="I5839" s="27" t="n">
        <f aca="false">(Sens!I5818+Sens!I5823+Sens!I5824+Sens!I5826+Sens!I5828-Sens!I5830)+(Sens!I5831+Sens!I5833+Sens!I5835-Sens!I5837)</f>
        <v>0</v>
      </c>
      <c r="J5839" s="27" t="n">
        <f aca="false">(Sens!J5818+Sens!J5823+Sens!J5824+Sens!J5826+Sens!J5828-Sens!J5830)+(Sens!J5831+Sens!J5833+Sens!J5835-Sens!J5837)</f>
        <v>0</v>
      </c>
      <c r="K5839" s="27" t="n">
        <f aca="false">(Sens!K5818+Sens!K5823+Sens!K5824+Sens!K5826+Sens!K5828-Sens!K5830)+(Sens!K5831+Sens!K5833+Sens!K5835-Sens!K5837)</f>
        <v>0</v>
      </c>
    </row>
    <row r="5840" customFormat="false" ht="17.15" hidden="false" customHeight="false" outlineLevel="0" collapsed="false">
      <c r="A5840" s="3" t="s">
        <v>1757</v>
      </c>
    </row>
    <row r="5841" customFormat="false" ht="15" hidden="false" customHeight="false" outlineLevel="0" collapsed="false">
      <c r="A5841" s="4" t="s">
        <v>43</v>
      </c>
      <c r="B5841" s="4" t="s">
        <v>65</v>
      </c>
      <c r="C5841" s="23" t="s">
        <v>942</v>
      </c>
      <c r="D5841" s="23" t="s">
        <v>943</v>
      </c>
      <c r="E5841" s="23" t="s">
        <v>944</v>
      </c>
      <c r="F5841" s="23" t="s">
        <v>945</v>
      </c>
      <c r="G5841" s="23" t="s">
        <v>946</v>
      </c>
      <c r="H5841" s="23" t="s">
        <v>947</v>
      </c>
      <c r="I5841" s="23" t="s">
        <v>948</v>
      </c>
      <c r="J5841" s="23" t="s">
        <v>949</v>
      </c>
      <c r="K5841" s="23" t="s">
        <v>950</v>
      </c>
      <c r="L5841" s="4" t="s">
        <v>47</v>
      </c>
    </row>
    <row r="5842" customFormat="false" ht="15" hidden="false" customHeight="false" outlineLevel="0" collapsed="false">
      <c r="A5842" s="0" t="s">
        <v>1029</v>
      </c>
      <c r="B5842" s="0" t="s">
        <v>98</v>
      </c>
      <c r="D5842" s="6" t="n">
        <f aca="false">Sens!D5818</f>
        <v>72.61</v>
      </c>
      <c r="E5842" s="6" t="n">
        <f aca="false">Sens!E5818</f>
        <v>101.938</v>
      </c>
      <c r="F5842" s="6" t="n">
        <f aca="false">Sens!F5818</f>
        <v>146.002954416121</v>
      </c>
      <c r="G5842" s="6" t="n">
        <f aca="false">Sens!G5818</f>
        <v>198.021826062827</v>
      </c>
      <c r="H5842" s="6" t="n">
        <f aca="false">Sens!H5818</f>
        <v>251.323667534449</v>
      </c>
      <c r="I5842" s="6" t="n">
        <f aca="false">Sens!I5818</f>
        <v>299.522166404623</v>
      </c>
      <c r="J5842" s="6" t="n">
        <f aca="false">Sens!J5818</f>
        <v>336.490342377086</v>
      </c>
      <c r="K5842" s="6" t="n">
        <f aca="false">Sens!K5818</f>
        <v>362.358638744812</v>
      </c>
    </row>
    <row r="5843" customFormat="false" ht="17.15" hidden="false" customHeight="false" outlineLevel="0" collapsed="false">
      <c r="A5843" s="0" t="s">
        <v>1025</v>
      </c>
      <c r="B5843" s="0" t="s">
        <v>98</v>
      </c>
      <c r="D5843" s="6" t="n">
        <f aca="false">Sens!D5815</f>
        <v>12.9359794422418</v>
      </c>
      <c r="E5843" s="6" t="n">
        <f aca="false">Sens!E5815</f>
        <v>27.8095064661409</v>
      </c>
      <c r="F5843" s="6" t="n">
        <f aca="false">Sens!F5815</f>
        <v>54.507065337558</v>
      </c>
      <c r="G5843" s="6" t="n">
        <f aca="false">Sens!G5815</f>
        <v>89.3110535856398</v>
      </c>
      <c r="H5843" s="6" t="n">
        <f aca="false">Sens!H5815</f>
        <v>125.098291439331</v>
      </c>
      <c r="I5843" s="6" t="n">
        <f aca="false">Sens!I5815</f>
        <v>156.373170005789</v>
      </c>
      <c r="J5843" s="6" t="n">
        <f aca="false">Sens!J5815</f>
        <v>178.019061924832</v>
      </c>
      <c r="K5843" s="6" t="n">
        <f aca="false">Sens!K5815</f>
        <v>191.209655856378</v>
      </c>
    </row>
    <row r="5844" customFormat="false" ht="17.15" hidden="false" customHeight="false" outlineLevel="0" collapsed="false">
      <c r="A5844" s="0" t="s">
        <v>1056</v>
      </c>
      <c r="B5844" s="0" t="s">
        <v>98</v>
      </c>
      <c r="D5844" s="6" t="n">
        <f aca="false">Sens!D5816</f>
        <v>59.6740205577583</v>
      </c>
      <c r="E5844" s="6" t="n">
        <f aca="false">Sens!E5816</f>
        <v>74.1284935338591</v>
      </c>
      <c r="F5844" s="6" t="n">
        <f aca="false">Sens!F5816</f>
        <v>91.4958890785629</v>
      </c>
      <c r="G5844" s="6" t="n">
        <f aca="false">Sens!G5816</f>
        <v>108.710772477187</v>
      </c>
      <c r="H5844" s="6" t="n">
        <f aca="false">Sens!H5816</f>
        <v>126.225376095119</v>
      </c>
      <c r="I5844" s="6" t="n">
        <f aca="false">Sens!I5816</f>
        <v>143.148996398834</v>
      </c>
      <c r="J5844" s="6" t="n">
        <f aca="false">Sens!J5816</f>
        <v>158.471280452254</v>
      </c>
      <c r="K5844" s="6" t="n">
        <f aca="false">Sens!K5816</f>
        <v>171.148982888434</v>
      </c>
    </row>
    <row r="5845" customFormat="false" ht="15" hidden="false" customHeight="false" outlineLevel="0" collapsed="false">
      <c r="A5845" s="0" t="s">
        <v>1036</v>
      </c>
      <c r="B5845" s="0" t="s">
        <v>98</v>
      </c>
      <c r="D5845" s="6" t="n">
        <f aca="false">Sens!D5823</f>
        <v>84.605</v>
      </c>
      <c r="E5845" s="6" t="n">
        <f aca="false">Sens!E5823</f>
        <v>100.299</v>
      </c>
      <c r="F5845" s="6" t="n">
        <f aca="false">Sens!F5823</f>
        <v>118.584003697747</v>
      </c>
      <c r="G5845" s="6" t="n">
        <f aca="false">Sens!G5823</f>
        <v>136.700726545688</v>
      </c>
      <c r="H5845" s="6" t="n">
        <f aca="false">Sens!H5823</f>
        <v>154.898624783666</v>
      </c>
      <c r="I5845" s="6" t="n">
        <f aca="false">Sens!I5823</f>
        <v>171.420510030657</v>
      </c>
      <c r="J5845" s="6" t="n">
        <f aca="false">Sens!J5823</f>
        <v>185.985722618572</v>
      </c>
      <c r="K5845" s="6" t="n">
        <f aca="false">Sens!K5823</f>
        <v>199.799723201872</v>
      </c>
    </row>
    <row r="5846" customFormat="false" ht="17.15" hidden="false" customHeight="false" outlineLevel="0" collapsed="false">
      <c r="A5846" s="0" t="s">
        <v>1057</v>
      </c>
      <c r="B5846" s="0" t="s">
        <v>98</v>
      </c>
      <c r="D5846" s="6" t="n">
        <f aca="false">Sens!D5821</f>
        <v>83.705</v>
      </c>
      <c r="E5846" s="6" t="n">
        <f aca="false">Sens!E5821</f>
        <v>95.049</v>
      </c>
      <c r="F5846" s="6" t="n">
        <f aca="false">Sens!F5821</f>
        <v>106.584003697747</v>
      </c>
      <c r="G5846" s="6" t="n">
        <f aca="false">Sens!G5821</f>
        <v>118.700726545688</v>
      </c>
      <c r="H5846" s="6" t="n">
        <f aca="false">Sens!H5821</f>
        <v>130.898624783666</v>
      </c>
      <c r="I5846" s="6" t="n">
        <f aca="false">Sens!I5821</f>
        <v>142.920510030657</v>
      </c>
      <c r="J5846" s="6" t="n">
        <f aca="false">Sens!J5821</f>
        <v>154.485722618572</v>
      </c>
      <c r="K5846" s="6" t="n">
        <f aca="false">Sens!K5821</f>
        <v>165.299723201872</v>
      </c>
    </row>
    <row r="5847" customFormat="false" ht="17.15" hidden="false" customHeight="false" outlineLevel="0" collapsed="false">
      <c r="A5847" s="0" t="s">
        <v>1058</v>
      </c>
      <c r="B5847" s="0" t="s">
        <v>98</v>
      </c>
      <c r="D5847" s="6" t="n">
        <f aca="false">Sens!D5820</f>
        <v>0.9</v>
      </c>
      <c r="E5847" s="6" t="n">
        <f aca="false">Sens!E5820</f>
        <v>5.25</v>
      </c>
      <c r="F5847" s="6" t="n">
        <f aca="false">Sens!F5820</f>
        <v>12</v>
      </c>
      <c r="G5847" s="6" t="n">
        <f aca="false">Sens!G5820</f>
        <v>18</v>
      </c>
      <c r="H5847" s="6" t="n">
        <f aca="false">Sens!H5820</f>
        <v>24</v>
      </c>
      <c r="I5847" s="6" t="n">
        <f aca="false">Sens!I5820</f>
        <v>28.5</v>
      </c>
      <c r="J5847" s="6" t="n">
        <f aca="false">Sens!J5820</f>
        <v>31.5</v>
      </c>
      <c r="K5847" s="6" t="n">
        <f aca="false">Sens!K5820</f>
        <v>34.5</v>
      </c>
    </row>
    <row r="5848" customFormat="false" ht="15" hidden="false" customHeight="false" outlineLevel="0" collapsed="false">
      <c r="A5848" s="0" t="s">
        <v>1037</v>
      </c>
      <c r="B5848" s="0" t="s">
        <v>98</v>
      </c>
      <c r="D5848" s="6" t="n">
        <f aca="false">Sens!D5824</f>
        <v>35.391</v>
      </c>
      <c r="E5848" s="6" t="n">
        <f aca="false">Sens!E5824</f>
        <v>37.285</v>
      </c>
      <c r="F5848" s="6" t="n">
        <f aca="false">Sens!F5824</f>
        <v>38.3851437782675</v>
      </c>
      <c r="G5848" s="6" t="n">
        <f aca="false">Sens!G5824</f>
        <v>40.0105353288615</v>
      </c>
      <c r="H5848" s="6" t="n">
        <f aca="false">Sens!H5824</f>
        <v>41.4812512033683</v>
      </c>
      <c r="I5848" s="6" t="n">
        <f aca="false">Sens!I5824</f>
        <v>42.7743107216329</v>
      </c>
      <c r="J5848" s="6" t="n">
        <f aca="false">Sens!J5824</f>
        <v>43.8687373064601</v>
      </c>
      <c r="K5848" s="6" t="n">
        <f aca="false">Sens!K5824</f>
        <v>44.7461120525893</v>
      </c>
    </row>
    <row r="5849" customFormat="false" ht="15" hidden="false" customHeight="false" outlineLevel="0" collapsed="false">
      <c r="A5849" s="0" t="s">
        <v>1039</v>
      </c>
      <c r="B5849" s="0" t="s">
        <v>98</v>
      </c>
      <c r="D5849" s="6" t="n">
        <f aca="false">Sens!D5826</f>
        <v>18.417</v>
      </c>
      <c r="E5849" s="6" t="n">
        <f aca="false">Sens!E5826</f>
        <v>20.345</v>
      </c>
      <c r="F5849" s="6" t="n">
        <f aca="false">Sens!F5826</f>
        <v>22.3161797133988</v>
      </c>
      <c r="G5849" s="6" t="n">
        <f aca="false">Sens!G5826</f>
        <v>24.3943499673233</v>
      </c>
      <c r="H5849" s="6" t="n">
        <f aca="false">Sens!H5826</f>
        <v>26.5250243109019</v>
      </c>
      <c r="I5849" s="6" t="n">
        <f aca="false">Sens!I5826</f>
        <v>28.6884573538181</v>
      </c>
      <c r="J5849" s="6" t="n">
        <f aca="false">Sens!J5826</f>
        <v>30.8624968052127</v>
      </c>
      <c r="K5849" s="6" t="n">
        <f aca="false">Sens!K5826</f>
        <v>33.0228715815776</v>
      </c>
    </row>
    <row r="5850" customFormat="false" ht="15" hidden="false" customHeight="false" outlineLevel="0" collapsed="false">
      <c r="A5850" s="0" t="s">
        <v>1040</v>
      </c>
      <c r="B5850" s="0" t="s">
        <v>98</v>
      </c>
      <c r="D5850" s="6" t="n">
        <f aca="false">Sens!D5828</f>
        <v>7.76</v>
      </c>
      <c r="E5850" s="6" t="n">
        <f aca="false">Sens!E5828</f>
        <v>8.26</v>
      </c>
      <c r="F5850" s="6" t="n">
        <f aca="false">Sens!F5828</f>
        <v>8.75372082474227</v>
      </c>
      <c r="G5850" s="6" t="n">
        <f aca="false">Sens!G5828</f>
        <v>9.33399324642364</v>
      </c>
      <c r="H5850" s="6" t="n">
        <f aca="false">Sens!H5828</f>
        <v>9.96139155535851</v>
      </c>
      <c r="I5850" s="6" t="n">
        <f aca="false">Sens!I5828</f>
        <v>10.6402039077391</v>
      </c>
      <c r="J5850" s="6" t="n">
        <f aca="false">Sens!J5828</f>
        <v>11.3751458271397</v>
      </c>
      <c r="K5850" s="6" t="n">
        <f aca="false">Sens!K5828</f>
        <v>12.1714060350394</v>
      </c>
    </row>
    <row r="5851" customFormat="false" ht="15" hidden="false" customHeight="false" outlineLevel="0" collapsed="false">
      <c r="A5851" s="0" t="s">
        <v>856</v>
      </c>
      <c r="B5851" s="0" t="s">
        <v>98</v>
      </c>
      <c r="D5851" s="6" t="n">
        <f aca="false">Sens!D5830</f>
        <v>218.783</v>
      </c>
      <c r="E5851" s="6" t="n">
        <f aca="false">Sens!E5830</f>
        <v>268.127</v>
      </c>
      <c r="F5851" s="6" t="n">
        <f aca="false">Sens!F5830</f>
        <v>334.042002430276</v>
      </c>
      <c r="G5851" s="6" t="n">
        <f aca="false">Sens!G5830</f>
        <v>408.461431151124</v>
      </c>
      <c r="H5851" s="6" t="n">
        <f aca="false">Sens!H5830</f>
        <v>484.189959387744</v>
      </c>
      <c r="I5851" s="6" t="n">
        <f aca="false">Sens!I5830</f>
        <v>553.04564841847</v>
      </c>
      <c r="J5851" s="6" t="n">
        <f aca="false">Sens!J5830</f>
        <v>608.58244493447</v>
      </c>
      <c r="K5851" s="6" t="n">
        <f aca="false">Sens!K5830</f>
        <v>652.09875161589</v>
      </c>
    </row>
    <row r="5852" customFormat="false" ht="15" hidden="false" customHeight="false" outlineLevel="0" collapsed="false">
      <c r="A5852" s="0" t="s">
        <v>1041</v>
      </c>
      <c r="B5852" s="0" t="s">
        <v>98</v>
      </c>
      <c r="D5852" s="6" t="n">
        <f aca="false">Sens!D5831</f>
        <v>22.171</v>
      </c>
      <c r="E5852" s="6" t="n">
        <f aca="false">Sens!E5831</f>
        <v>24.835</v>
      </c>
      <c r="F5852" s="6" t="n">
        <f aca="false">Sens!F5831</f>
        <v>27.5591895660247</v>
      </c>
      <c r="G5852" s="6" t="n">
        <f aca="false">Sens!G5831</f>
        <v>30.4098563144583</v>
      </c>
      <c r="H5852" s="6" t="n">
        <f aca="false">Sens!H5831</f>
        <v>33.3011792571777</v>
      </c>
      <c r="I5852" s="6" t="n">
        <f aca="false">Sens!I5831</f>
        <v>36.189023797112</v>
      </c>
      <c r="J5852" s="6" t="n">
        <f aca="false">Sens!J5831</f>
        <v>39.0247773769199</v>
      </c>
      <c r="K5852" s="6" t="n">
        <f aca="false">Sens!K5831</f>
        <v>41.7565117933043</v>
      </c>
    </row>
    <row r="5853" customFormat="false" ht="15" hidden="false" customHeight="false" outlineLevel="0" collapsed="false">
      <c r="A5853" s="0" t="s">
        <v>1042</v>
      </c>
      <c r="B5853" s="0" t="s">
        <v>98</v>
      </c>
      <c r="D5853" s="6" t="n">
        <f aca="false">Sens!D5833</f>
        <v>23.455</v>
      </c>
      <c r="E5853" s="6" t="n">
        <f aca="false">Sens!E5833</f>
        <v>21.79</v>
      </c>
      <c r="F5853" s="6" t="n">
        <f aca="false">Sens!F5833</f>
        <v>20.7520981041711</v>
      </c>
      <c r="G5853" s="6" t="n">
        <f aca="false">Sens!G5833</f>
        <v>19.9083593495882</v>
      </c>
      <c r="H5853" s="6" t="n">
        <f aca="false">Sens!H5833</f>
        <v>19.4008256265831</v>
      </c>
      <c r="I5853" s="6" t="n">
        <f aca="false">Sens!I5833</f>
        <v>19.200434522122</v>
      </c>
      <c r="J5853" s="6" t="n">
        <f aca="false">Sens!J5833</f>
        <v>19.2932782348507</v>
      </c>
      <c r="K5853" s="6" t="n">
        <f aca="false">Sens!K5833</f>
        <v>19.6791437995477</v>
      </c>
    </row>
    <row r="5854" customFormat="false" ht="15" hidden="false" customHeight="false" outlineLevel="0" collapsed="false">
      <c r="A5854" s="0" t="s">
        <v>1043</v>
      </c>
      <c r="B5854" s="0" t="s">
        <v>98</v>
      </c>
      <c r="D5854" s="6" t="n">
        <f aca="false">Sens!D5835</f>
        <v>17.315</v>
      </c>
      <c r="E5854" s="6" t="n">
        <f aca="false">Sens!E5835</f>
        <v>17.087</v>
      </c>
      <c r="F5854" s="6" t="n">
        <f aca="false">Sens!F5835</f>
        <v>15.9912273250553</v>
      </c>
      <c r="G5854" s="6" t="n">
        <f aca="false">Sens!G5835</f>
        <v>15.9574562664827</v>
      </c>
      <c r="H5854" s="6" t="n">
        <f aca="false">Sens!H5835</f>
        <v>16.0119687434196</v>
      </c>
      <c r="I5854" s="6" t="n">
        <f aca="false">Sens!I5835</f>
        <v>16.1551810001948</v>
      </c>
      <c r="J5854" s="6" t="n">
        <f aca="false">Sens!J5835</f>
        <v>16.3889793892005</v>
      </c>
      <c r="K5854" s="6" t="n">
        <f aca="false">Sens!K5835</f>
        <v>16.7167589769845</v>
      </c>
    </row>
    <row r="5855" customFormat="false" ht="15" hidden="false" customHeight="false" outlineLevel="0" collapsed="false">
      <c r="A5855" s="0" t="s">
        <v>870</v>
      </c>
      <c r="B5855" s="0" t="s">
        <v>98</v>
      </c>
      <c r="D5855" s="6" t="n">
        <f aca="false">Sens!D5837</f>
        <v>62.941</v>
      </c>
      <c r="E5855" s="6" t="n">
        <f aca="false">Sens!E5837</f>
        <v>63.712</v>
      </c>
      <c r="F5855" s="6" t="n">
        <f aca="false">Sens!F5837</f>
        <v>64.3025149952511</v>
      </c>
      <c r="G5855" s="6" t="n">
        <f aca="false">Sens!G5837</f>
        <v>66.2756719305292</v>
      </c>
      <c r="H5855" s="6" t="n">
        <f aca="false">Sens!H5837</f>
        <v>68.7139736271804</v>
      </c>
      <c r="I5855" s="6" t="n">
        <f aca="false">Sens!I5837</f>
        <v>71.5446393194289</v>
      </c>
      <c r="J5855" s="6" t="n">
        <f aca="false">Sens!J5837</f>
        <v>74.707035000971</v>
      </c>
      <c r="K5855" s="6" t="n">
        <f aca="false">Sens!K5837</f>
        <v>78.1524145698365</v>
      </c>
    </row>
    <row r="5856" customFormat="false" ht="15" hidden="false" customHeight="false" outlineLevel="0" collapsed="false">
      <c r="A5856" s="1" t="s">
        <v>1059</v>
      </c>
      <c r="B5856" s="0" t="s">
        <v>98</v>
      </c>
      <c r="D5856" s="6" t="n">
        <f aca="false">Sens!D5838</f>
        <v>281.724</v>
      </c>
      <c r="E5856" s="6" t="n">
        <f aca="false">Sens!E5838</f>
        <v>331.839</v>
      </c>
      <c r="F5856" s="6" t="n">
        <f aca="false">Sens!F5838</f>
        <v>398.344517425527</v>
      </c>
      <c r="G5856" s="6" t="n">
        <f aca="false">Sens!G5838</f>
        <v>474.737103081653</v>
      </c>
      <c r="H5856" s="6" t="n">
        <f aca="false">Sens!H5838</f>
        <v>552.903933014924</v>
      </c>
      <c r="I5856" s="6" t="n">
        <f aca="false">Sens!I5838</f>
        <v>624.590287737899</v>
      </c>
      <c r="J5856" s="6" t="n">
        <f aca="false">Sens!J5838</f>
        <v>683.289479935441</v>
      </c>
      <c r="K5856" s="6" t="n">
        <f aca="false">Sens!K5838</f>
        <v>730.251166185726</v>
      </c>
    </row>
    <row r="5857" customFormat="false" ht="15" hidden="false" customHeight="false" outlineLevel="0" collapsed="false">
      <c r="A5857" s="1" t="s">
        <v>1060</v>
      </c>
      <c r="B5857" s="0" t="s">
        <v>168</v>
      </c>
      <c r="E5857" s="7" t="n">
        <f aca="false">Sens!E5856/Sens!D5856-1</f>
        <v>0.177886867998467</v>
      </c>
      <c r="F5857" s="7" t="n">
        <f aca="false">Sens!F5856/Sens!E5856-1</f>
        <v>0.20041501277887</v>
      </c>
      <c r="G5857" s="7" t="n">
        <f aca="false">Sens!G5856/Sens!F5856-1</f>
        <v>0.191775165251038</v>
      </c>
      <c r="H5857" s="7" t="n">
        <f aca="false">Sens!H5856/Sens!G5856-1</f>
        <v>0.164652877194278</v>
      </c>
      <c r="I5857" s="7" t="n">
        <f aca="false">Sens!I5856/Sens!H5856-1</f>
        <v>0.129654268024604</v>
      </c>
      <c r="J5857" s="7" t="n">
        <f aca="false">Sens!J5856/Sens!I5856-1</f>
        <v>0.0939803153362111</v>
      </c>
      <c r="K5857" s="7" t="n">
        <f aca="false">Sens!K5856/Sens!J5856-1</f>
        <v>0.0687288296238982</v>
      </c>
    </row>
    <row r="5858" customFormat="false" ht="17.15" hidden="false" customHeight="false" outlineLevel="0" collapsed="false">
      <c r="A5858" s="26" t="s">
        <v>1061</v>
      </c>
      <c r="B5858" s="31" t="s">
        <v>98</v>
      </c>
      <c r="C5858" s="31"/>
      <c r="D5858" s="27" t="n">
        <f aca="false">(Sens!D5851+Sens!D5855-Sens!D5856)+(Sens!D5843+Sens!D5844-Sens!D5842)+(Sens!D5846+Sens!D5847-Sens!D5845)+(Sens!D5856-Q!L18)</f>
        <v>0</v>
      </c>
      <c r="E5858" s="27" t="n">
        <f aca="false">(Sens!E5851+Sens!E5855-Sens!E5856)+(Sens!E5843+Sens!E5844-Sens!E5842)+(Sens!E5846+Sens!E5847-Sens!E5845)+(Sens!E5856-Q!M18)</f>
        <v>0</v>
      </c>
      <c r="F5858" s="27" t="n">
        <f aca="false">(Sens!F5851+Sens!F5855-Sens!F5856)+(Sens!F5843+Sens!F5844-Sens!F5842)+(Sens!F5846+Sens!F5847-Sens!F5845)</f>
        <v>0</v>
      </c>
      <c r="G5858" s="27" t="n">
        <f aca="false">(Sens!G5851+Sens!G5855-Sens!G5856)+(Sens!G5843+Sens!G5844-Sens!G5842)+(Sens!G5846+Sens!G5847-Sens!G5845)</f>
        <v>0</v>
      </c>
      <c r="H5858" s="27" t="n">
        <f aca="false">(Sens!H5851+Sens!H5855-Sens!H5856)+(Sens!H5843+Sens!H5844-Sens!H5842)+(Sens!H5846+Sens!H5847-Sens!H5845)</f>
        <v>0</v>
      </c>
      <c r="I5858" s="27" t="n">
        <f aca="false">(Sens!I5851+Sens!I5855-Sens!I5856)+(Sens!I5843+Sens!I5844-Sens!I5842)+(Sens!I5846+Sens!I5847-Sens!I5845)</f>
        <v>0</v>
      </c>
      <c r="J5858" s="27" t="n">
        <f aca="false">(Sens!J5851+Sens!J5855-Sens!J5856)+(Sens!J5843+Sens!J5844-Sens!J5842)+(Sens!J5846+Sens!J5847-Sens!J5845)</f>
        <v>0</v>
      </c>
      <c r="K5858" s="27" t="n">
        <f aca="false">(Sens!K5851+Sens!K5855-Sens!K5856)+(Sens!K5843+Sens!K5844-Sens!K5842)+(Sens!K5846+Sens!K5847-Sens!K5845)</f>
        <v>0</v>
      </c>
    </row>
    <row r="5859" customFormat="false" ht="17.15" hidden="false" customHeight="false" outlineLevel="0" collapsed="false">
      <c r="A5859" s="0" t="s">
        <v>1062</v>
      </c>
      <c r="B5859" s="0" t="s">
        <v>168</v>
      </c>
      <c r="E5859" s="7" t="n">
        <f aca="false">(Q!M21+Sens!E5795+Sens!E5796+Sens!E5797+Sens!E5811-Sens!E5793)/(Q!M5-Sens!E5793)</f>
        <v>0.570957350878296</v>
      </c>
      <c r="F5859" s="7" t="n">
        <f aca="false">Sens!$E$5859+dm_seg</f>
        <v>0.570957350878296</v>
      </c>
      <c r="G5859" s="7" t="n">
        <f aca="false">Sens!$E$5859+dm_seg</f>
        <v>0.570957350878296</v>
      </c>
      <c r="H5859" s="7" t="n">
        <f aca="false">Sens!$E$5859+dm_seg</f>
        <v>0.570957350878296</v>
      </c>
      <c r="I5859" s="7" t="n">
        <f aca="false">Sens!$E$5859+dm_seg</f>
        <v>0.570957350878296</v>
      </c>
      <c r="J5859" s="7" t="n">
        <f aca="false">Sens!$E$5859+dm_seg</f>
        <v>0.570957350878296</v>
      </c>
      <c r="K5859" s="7" t="n">
        <f aca="false">Sens!$E$5859+dm_seg</f>
        <v>0.570957350878296</v>
      </c>
      <c r="L5859" s="12" t="s">
        <v>1063</v>
      </c>
    </row>
    <row r="5860" customFormat="false" ht="17.15" hidden="false" customHeight="false" outlineLevel="0" collapsed="false">
      <c r="A5860" s="0" t="s">
        <v>884</v>
      </c>
      <c r="B5860" s="0" t="s">
        <v>98</v>
      </c>
      <c r="D5860" s="6" t="n">
        <f aca="false">Q!L21</f>
        <v>110.814</v>
      </c>
      <c r="E5860" s="6" t="n">
        <f aca="false">Q!M21</f>
        <v>136.365</v>
      </c>
      <c r="F5860" s="6" t="n">
        <f aca="false">Q!$I$21+(Sens!F5859*(Sens!F5830-Sens!F5793)+Sens!F5793-(Sens!F5795+Sens!F5796+Sens!F5797)-Sens!F5811-Sens!F5894)*(Sens!F5830-Q!$I$5)/Sens!F5830</f>
        <v>161.404001196154</v>
      </c>
      <c r="G5860" s="6" t="n">
        <f aca="false">(Sens!G5859*(Sens!G5830-Sens!G5793)+Sens!G5793-(Sens!G5795+Sens!G5796+Sens!G5797)-Sens!G5811-Sens!G5894)</f>
        <v>175.726624489528</v>
      </c>
      <c r="H5860" s="6" t="n">
        <f aca="false">(Sens!H5859*(Sens!H5830-Sens!H5793)+Sens!H5793-(Sens!H5795+Sens!H5796+Sens!H5797)-Sens!H5811-Sens!H5894)</f>
        <v>193.82319546979</v>
      </c>
      <c r="I5860" s="6" t="n">
        <f aca="false">(Sens!I5859*(Sens!I5830-Sens!I5793)+Sens!I5793-(Sens!I5795+Sens!I5796+Sens!I5797)-Sens!I5811-Sens!I5894)</f>
        <v>210.924944152007</v>
      </c>
      <c r="J5860" s="6" t="n">
        <f aca="false">(Sens!J5859*(Sens!J5830-Sens!J5793)+Sens!J5793-(Sens!J5795+Sens!J5796+Sens!J5797)-Sens!J5811-Sens!J5894)</f>
        <v>226.98988737184</v>
      </c>
      <c r="K5860" s="6" t="n">
        <f aca="false">(Sens!K5859*(Sens!K5830-Sens!K5793)+Sens!K5793-(Sens!K5795+Sens!K5796+Sens!K5797)-Sens!K5811-Sens!K5894)</f>
        <v>242.441463197217</v>
      </c>
      <c r="L5860" s="1" t="s">
        <v>1064</v>
      </c>
    </row>
    <row r="5861" customFormat="false" ht="17.15" hidden="false" customHeight="false" outlineLevel="0" collapsed="false">
      <c r="A5861" s="0" t="s">
        <v>1065</v>
      </c>
      <c r="B5861" s="0" t="s">
        <v>168</v>
      </c>
      <c r="E5861" s="7" t="n">
        <f aca="false">Q!M22/Q!M12</f>
        <v>0.296207935710698</v>
      </c>
      <c r="F5861" s="7" t="n">
        <f aca="false">Sens!$E$5861+dm_seg</f>
        <v>0.296207935710698</v>
      </c>
      <c r="G5861" s="7" t="n">
        <f aca="false">Sens!$E$5861+dm_seg</f>
        <v>0.296207935710698</v>
      </c>
      <c r="H5861" s="7" t="n">
        <f aca="false">Sens!$E$5861+dm_seg</f>
        <v>0.296207935710698</v>
      </c>
      <c r="I5861" s="7" t="n">
        <f aca="false">Sens!$E$5861+dm_seg</f>
        <v>0.296207935710698</v>
      </c>
      <c r="J5861" s="7" t="n">
        <f aca="false">Sens!$E$5861+dm_seg</f>
        <v>0.296207935710698</v>
      </c>
      <c r="K5861" s="7" t="n">
        <f aca="false">Sens!$E$5861+dm_seg</f>
        <v>0.296207935710698</v>
      </c>
      <c r="L5861" s="12" t="s">
        <v>1066</v>
      </c>
    </row>
    <row r="5862" customFormat="false" ht="17.15" hidden="false" customHeight="false" outlineLevel="0" collapsed="false">
      <c r="A5862" s="0" t="s">
        <v>886</v>
      </c>
      <c r="B5862" s="0" t="s">
        <v>98</v>
      </c>
      <c r="D5862" s="6" t="n">
        <f aca="false">Q!L22</f>
        <v>17.714</v>
      </c>
      <c r="E5862" s="6" t="n">
        <f aca="false">Q!M22</f>
        <v>18.872</v>
      </c>
      <c r="F5862" s="6" t="n">
        <f aca="false">Q!$I$22+(Sens!F5837-Q!$I$12)*Sens!F5861</f>
        <v>19.8174315512051</v>
      </c>
      <c r="G5862" s="6" t="n">
        <f aca="false">Sens!G5837*Sens!G5861</f>
        <v>19.6313799703815</v>
      </c>
      <c r="H5862" s="6" t="n">
        <f aca="false">Sens!H5837*Sens!H5861</f>
        <v>20.3536242825865</v>
      </c>
      <c r="I5862" s="6" t="n">
        <f aca="false">Sens!I5837*Sens!I5861</f>
        <v>21.1920899239745</v>
      </c>
      <c r="J5862" s="6" t="n">
        <f aca="false">Sens!J5837*Sens!J5861</f>
        <v>22.1288166207045</v>
      </c>
      <c r="K5862" s="6" t="n">
        <f aca="false">Sens!K5837*Sens!K5861</f>
        <v>23.1493653905379</v>
      </c>
      <c r="L5862" s="12" t="s">
        <v>1067</v>
      </c>
    </row>
    <row r="5863" customFormat="false" ht="15" hidden="false" customHeight="false" outlineLevel="0" collapsed="false">
      <c r="A5863" s="1" t="s">
        <v>1068</v>
      </c>
      <c r="B5863" s="0" t="s">
        <v>98</v>
      </c>
      <c r="D5863" s="6" t="n">
        <f aca="false">Sens!D5860+Sens!D5862</f>
        <v>128.528</v>
      </c>
      <c r="E5863" s="6" t="n">
        <f aca="false">Sens!E5860+Sens!E5862</f>
        <v>155.237</v>
      </c>
      <c r="F5863" s="6" t="n">
        <f aca="false">Sens!F5860+Sens!F5862</f>
        <v>181.221432747359</v>
      </c>
      <c r="G5863" s="6" t="n">
        <f aca="false">Sens!G5860+Sens!G5862</f>
        <v>195.35800445991</v>
      </c>
      <c r="H5863" s="6" t="n">
        <f aca="false">Sens!H5860+Sens!H5862</f>
        <v>214.176819752377</v>
      </c>
      <c r="I5863" s="6" t="n">
        <f aca="false">Sens!I5860+Sens!I5862</f>
        <v>232.117034075981</v>
      </c>
      <c r="J5863" s="6" t="n">
        <f aca="false">Sens!J5860+Sens!J5862</f>
        <v>249.118703992545</v>
      </c>
      <c r="K5863" s="6" t="n">
        <f aca="false">Sens!K5860+Sens!K5862</f>
        <v>265.590828587755</v>
      </c>
    </row>
    <row r="5864" customFormat="false" ht="15" hidden="false" customHeight="false" outlineLevel="0" collapsed="false">
      <c r="A5864" s="26" t="s">
        <v>1069</v>
      </c>
      <c r="B5864" s="31" t="s">
        <v>98</v>
      </c>
      <c r="C5864" s="31"/>
      <c r="D5864" s="27" t="n">
        <f aca="false">Sens!D5863-Q!L23</f>
        <v>0</v>
      </c>
      <c r="E5864" s="27" t="n">
        <f aca="false">Sens!E5863-Q!M23</f>
        <v>0</v>
      </c>
      <c r="F5864" s="31"/>
      <c r="G5864" s="31"/>
      <c r="H5864" s="31"/>
      <c r="I5864" s="31"/>
      <c r="J5864" s="31"/>
      <c r="K5864" s="31"/>
    </row>
    <row r="5865" customFormat="false" ht="15" hidden="false" customHeight="false" outlineLevel="0" collapsed="false">
      <c r="A5865" s="1" t="s">
        <v>1070</v>
      </c>
      <c r="B5865" s="0" t="s">
        <v>168</v>
      </c>
      <c r="D5865" s="7" t="n">
        <f aca="false">Sens!D5863/Sens!D5856</f>
        <v>0.456219562408598</v>
      </c>
      <c r="E5865" s="7" t="n">
        <f aca="false">Sens!E5863/Sens!E5856</f>
        <v>0.467808184089272</v>
      </c>
      <c r="F5865" s="7" t="n">
        <f aca="false">Sens!F5863/Sens!F5856</f>
        <v>0.45493643020012</v>
      </c>
      <c r="G5865" s="7" t="n">
        <f aca="false">Sens!G5863/Sens!G5856</f>
        <v>0.411507765438567</v>
      </c>
      <c r="H5865" s="7" t="n">
        <f aca="false">Sens!H5863/Sens!H5856</f>
        <v>0.387367148185209</v>
      </c>
      <c r="I5865" s="7" t="n">
        <f aca="false">Sens!I5863/Sens!I5856</f>
        <v>0.371630873282785</v>
      </c>
      <c r="J5865" s="7" t="n">
        <f aca="false">Sens!J5863/Sens!J5856</f>
        <v>0.364587354712503</v>
      </c>
      <c r="K5865" s="7" t="n">
        <f aca="false">Sens!K5863/Sens!K5856</f>
        <v>0.363697917765744</v>
      </c>
    </row>
    <row r="5866" customFormat="false" ht="17.15" hidden="false" customHeight="false" outlineLevel="0" collapsed="false">
      <c r="A5866" s="1" t="s">
        <v>1071</v>
      </c>
      <c r="B5866" s="0" t="s">
        <v>98</v>
      </c>
      <c r="F5866" s="6" t="n">
        <f aca="false">Sens!F5881</f>
        <v>9.7398427716299</v>
      </c>
      <c r="G5866" s="6" t="n">
        <f aca="false">Sens!G5881</f>
        <v>25.2753385959797</v>
      </c>
      <c r="H5866" s="6" t="n">
        <f aca="false">Sens!H5881</f>
        <v>42.2840253697948</v>
      </c>
      <c r="I5866" s="6" t="n">
        <f aca="false">Sens!I5881</f>
        <v>57.704943641581</v>
      </c>
      <c r="J5866" s="6" t="n">
        <f aca="false">Sens!J5881</f>
        <v>68.4828520908201</v>
      </c>
      <c r="K5866" s="6" t="n">
        <f aca="false">Sens!K5881</f>
        <v>74.3598374943249</v>
      </c>
      <c r="L5866" s="1" t="s">
        <v>1072</v>
      </c>
    </row>
    <row r="5867" customFormat="false" ht="17.15" hidden="false" customHeight="false" outlineLevel="0" collapsed="false">
      <c r="A5867" s="1" t="s">
        <v>1073</v>
      </c>
      <c r="B5867" s="0" t="s">
        <v>98</v>
      </c>
      <c r="D5867" s="6" t="n">
        <f aca="false">Sens!D5863</f>
        <v>128.528</v>
      </c>
      <c r="E5867" s="6" t="n">
        <f aca="false">Sens!E5863</f>
        <v>155.237</v>
      </c>
      <c r="F5867" s="6" t="n">
        <f aca="false">Sens!F5863+Sens!F5866</f>
        <v>190.961275518989</v>
      </c>
      <c r="G5867" s="6" t="n">
        <f aca="false">Sens!G5863+Sens!G5866</f>
        <v>220.63334305589</v>
      </c>
      <c r="H5867" s="6" t="n">
        <f aca="false">Sens!H5863+Sens!H5866</f>
        <v>256.460845122171</v>
      </c>
      <c r="I5867" s="6" t="n">
        <f aca="false">Sens!I5863+Sens!I5866</f>
        <v>289.821977717562</v>
      </c>
      <c r="J5867" s="6" t="n">
        <f aca="false">Sens!J5863+Sens!J5866</f>
        <v>317.601556083365</v>
      </c>
      <c r="K5867" s="6" t="n">
        <f aca="false">Sens!K5863+Sens!K5866</f>
        <v>339.95066608208</v>
      </c>
    </row>
    <row r="5868" customFormat="false" ht="17.15" hidden="false" customHeight="false" outlineLevel="0" collapsed="false">
      <c r="A5868" s="1" t="s">
        <v>1074</v>
      </c>
      <c r="B5868" s="0" t="s">
        <v>98</v>
      </c>
      <c r="E5868" s="6" t="n">
        <f aca="false">Sens!E5811</f>
        <v>16.3054059770833</v>
      </c>
      <c r="F5868" s="6" t="n">
        <f aca="false">Sens!F5811</f>
        <v>34.5793144783516</v>
      </c>
      <c r="G5868" s="6" t="n">
        <f aca="false">Sens!G5811</f>
        <v>60.7344906522989</v>
      </c>
      <c r="H5868" s="6" t="n">
        <f aca="false">Sens!H5811</f>
        <v>89.1000906614457</v>
      </c>
      <c r="I5868" s="6" t="n">
        <f aca="false">Sens!I5811</f>
        <v>114.231009694548</v>
      </c>
      <c r="J5868" s="6" t="n">
        <f aca="false">Sens!J5811</f>
        <v>132.015673049596</v>
      </c>
      <c r="K5868" s="6" t="n">
        <f aca="false">Sens!K5811</f>
        <v>143.012669550934</v>
      </c>
    </row>
    <row r="5869" customFormat="false" ht="17.15" hidden="false" customHeight="false" outlineLevel="0" collapsed="false">
      <c r="A5869" s="1" t="s">
        <v>1075</v>
      </c>
      <c r="B5869" s="0" t="s">
        <v>98</v>
      </c>
      <c r="E5869" s="6" t="n">
        <f aca="false">Sens!E5893</f>
        <v>22.2285940229167</v>
      </c>
      <c r="F5869" s="6" t="n">
        <f aca="false">Sens!F5893</f>
        <v>23.5843157222368</v>
      </c>
      <c r="G5869" s="6" t="n">
        <f aca="false">Sens!G5893</f>
        <v>25.3666459491041</v>
      </c>
      <c r="H5869" s="6" t="n">
        <f aca="false">Sens!H5893</f>
        <v>27.5415175228382</v>
      </c>
      <c r="I5869" s="6" t="n">
        <f aca="false">Sens!I5893</f>
        <v>30.0423217635325</v>
      </c>
      <c r="J5869" s="6" t="n">
        <f aca="false">Sens!J5893</f>
        <v>32.7855431020723</v>
      </c>
      <c r="K5869" s="6" t="n">
        <f aca="false">Sens!K5893</f>
        <v>35.6866690965167</v>
      </c>
    </row>
    <row r="5870" customFormat="false" ht="17.15" hidden="false" customHeight="false" outlineLevel="0" collapsed="false">
      <c r="A5870" s="1" t="s">
        <v>1076</v>
      </c>
      <c r="B5870" s="0" t="s">
        <v>98</v>
      </c>
      <c r="D5870" s="6" t="n">
        <f aca="false">Q!L27</f>
        <v>-4.901</v>
      </c>
      <c r="E5870" s="6" t="n">
        <f aca="false">Q!M27</f>
        <v>10.697</v>
      </c>
      <c r="F5870" s="6" t="n">
        <f aca="false">Q!$I$27+oie_f*(q_per_yr-1)/q_per_yr</f>
        <v>-0.862</v>
      </c>
      <c r="G5870" s="6" t="n">
        <f aca="false">oie_f</f>
        <v>-1.2</v>
      </c>
      <c r="H5870" s="6" t="n">
        <f aca="false">oie_f</f>
        <v>-1.2</v>
      </c>
      <c r="I5870" s="6" t="n">
        <f aca="false">oie_f</f>
        <v>-1.2</v>
      </c>
      <c r="J5870" s="6" t="n">
        <f aca="false">oie_f</f>
        <v>-1.2</v>
      </c>
      <c r="K5870" s="6" t="n">
        <f aca="false">oie_f</f>
        <v>-1.2</v>
      </c>
      <c r="L5870" s="12" t="s">
        <v>1077</v>
      </c>
    </row>
    <row r="5871" customFormat="false" ht="15" hidden="false" customHeight="false" outlineLevel="0" collapsed="false">
      <c r="A5871" s="1" t="s">
        <v>1078</v>
      </c>
      <c r="B5871" s="0" t="s">
        <v>98</v>
      </c>
      <c r="D5871" s="6" t="n">
        <f aca="false">Sens!D5863+Sens!D5870</f>
        <v>123.627</v>
      </c>
      <c r="E5871" s="6" t="n">
        <f aca="false">Sens!E5863+Sens!E5870</f>
        <v>165.934</v>
      </c>
      <c r="F5871" s="6" t="n">
        <f aca="false">Sens!F5863+Sens!F5870</f>
        <v>180.359432747359</v>
      </c>
      <c r="G5871" s="6" t="n">
        <f aca="false">Sens!G5863+Sens!G5870</f>
        <v>194.15800445991</v>
      </c>
      <c r="H5871" s="6" t="n">
        <f aca="false">Sens!H5863+Sens!H5870</f>
        <v>212.976819752377</v>
      </c>
      <c r="I5871" s="6" t="n">
        <f aca="false">Sens!I5863+Sens!I5870</f>
        <v>230.917034075981</v>
      </c>
      <c r="J5871" s="6" t="n">
        <f aca="false">Sens!J5863+Sens!J5870</f>
        <v>247.918703992545</v>
      </c>
      <c r="K5871" s="6" t="n">
        <f aca="false">Sens!K5863+Sens!K5870</f>
        <v>264.390828587755</v>
      </c>
    </row>
    <row r="5872" customFormat="false" ht="15" hidden="false" customHeight="false" outlineLevel="0" collapsed="false">
      <c r="A5872" s="1" t="s">
        <v>1079</v>
      </c>
      <c r="B5872" s="0" t="s">
        <v>98</v>
      </c>
      <c r="D5872" s="6" t="n">
        <f aca="false">Q!L29</f>
        <v>21.795</v>
      </c>
      <c r="E5872" s="6" t="n">
        <f aca="false">Q!M29</f>
        <v>32.185</v>
      </c>
      <c r="F5872" s="6" t="n">
        <f aca="false">Q!$I$29+(Sens!F5871-Q!$I$28)*tax_f</f>
        <v>36.2052865494718</v>
      </c>
      <c r="G5872" s="6" t="n">
        <f aca="false">Sens!G5871*tax_f</f>
        <v>38.831600891982</v>
      </c>
      <c r="H5872" s="6" t="n">
        <f aca="false">Sens!H5871*tax_f</f>
        <v>42.5953639504753</v>
      </c>
      <c r="I5872" s="6" t="n">
        <f aca="false">Sens!I5871*tax_f</f>
        <v>46.1834068151963</v>
      </c>
      <c r="J5872" s="6" t="n">
        <f aca="false">Sens!J5871*tax_f</f>
        <v>49.5837407985089</v>
      </c>
      <c r="K5872" s="6" t="n">
        <f aca="false">Sens!K5871*tax_f</f>
        <v>52.8781657175509</v>
      </c>
    </row>
    <row r="5873" customFormat="false" ht="15" hidden="false" customHeight="false" outlineLevel="0" collapsed="false">
      <c r="A5873" s="1" t="s">
        <v>1080</v>
      </c>
      <c r="B5873" s="0" t="s">
        <v>98</v>
      </c>
      <c r="D5873" s="6" t="n">
        <f aca="false">Sens!D5871-Sens!D5872</f>
        <v>101.832</v>
      </c>
      <c r="E5873" s="6" t="n">
        <f aca="false">Sens!E5871-Sens!E5872</f>
        <v>133.749</v>
      </c>
      <c r="F5873" s="6" t="n">
        <f aca="false">Sens!F5871-Sens!F5872</f>
        <v>144.154146197887</v>
      </c>
      <c r="G5873" s="6" t="n">
        <f aca="false">Sens!G5871-Sens!G5872</f>
        <v>155.326403567928</v>
      </c>
      <c r="H5873" s="6" t="n">
        <f aca="false">Sens!H5871-Sens!H5872</f>
        <v>170.381455801901</v>
      </c>
      <c r="I5873" s="6" t="n">
        <f aca="false">Sens!I5871-Sens!I5872</f>
        <v>184.733627260785</v>
      </c>
      <c r="J5873" s="6" t="n">
        <f aca="false">Sens!J5871-Sens!J5872</f>
        <v>198.334963194036</v>
      </c>
      <c r="K5873" s="6" t="n">
        <f aca="false">Sens!K5871-Sens!K5872</f>
        <v>211.512662870204</v>
      </c>
    </row>
    <row r="5874" customFormat="false" ht="17.15" hidden="false" customHeight="false" outlineLevel="0" collapsed="false">
      <c r="A5874" s="1" t="s">
        <v>1081</v>
      </c>
      <c r="B5874" s="1" t="s">
        <v>81</v>
      </c>
      <c r="D5874" s="15" t="n">
        <f aca="false">Q!L31</f>
        <v>7.465</v>
      </c>
      <c r="E5874" s="15" t="n">
        <f aca="false">Q!M31</f>
        <v>7.453</v>
      </c>
      <c r="F5874" s="15" t="n">
        <f aca="false">Sens!F5918</f>
        <v>7.4735</v>
      </c>
      <c r="G5874" s="15" t="n">
        <f aca="false">Sens!G5918</f>
        <v>7.5185</v>
      </c>
      <c r="H5874" s="15" t="n">
        <f aca="false">Sens!H5918</f>
        <v>7.5461999390288</v>
      </c>
      <c r="I5874" s="15" t="n">
        <f aca="false">Sens!I5918</f>
        <v>7.55788130308427</v>
      </c>
      <c r="J5874" s="15" t="n">
        <f aca="false">Sens!J5918</f>
        <v>7.57203071424674</v>
      </c>
      <c r="K5874" s="15" t="n">
        <f aca="false">Sens!K5918</f>
        <v>7.58846535421199</v>
      </c>
    </row>
    <row r="5875" customFormat="false" ht="17.15" hidden="false" customHeight="false" outlineLevel="0" collapsed="false">
      <c r="A5875" s="0" t="s">
        <v>1082</v>
      </c>
      <c r="B5875" s="0" t="s">
        <v>75</v>
      </c>
      <c r="D5875" s="8" t="n">
        <f aca="false">Sens!D5873/Sens!D5874</f>
        <v>13.641259209645</v>
      </c>
      <c r="E5875" s="8" t="n">
        <f aca="false">Sens!E5873/Sens!E5874</f>
        <v>17.9456594659869</v>
      </c>
      <c r="F5875" s="8" t="n">
        <f aca="false">Sens!F5873/Sens!F5874</f>
        <v>19.2887062551532</v>
      </c>
      <c r="G5875" s="8" t="n">
        <f aca="false">Sens!G5873/Sens!G5874</f>
        <v>20.6592277140291</v>
      </c>
      <c r="H5875" s="8" t="n">
        <f aca="false">Sens!H5873/Sens!H5874</f>
        <v>22.5784444062623</v>
      </c>
      <c r="I5875" s="8" t="n">
        <f aca="false">Sens!I5873/Sens!I5874</f>
        <v>24.4425150187788</v>
      </c>
      <c r="J5875" s="8" t="n">
        <f aca="false">Sens!J5873/Sens!J5874</f>
        <v>26.1931007253932</v>
      </c>
      <c r="K5875" s="8" t="n">
        <f aca="false">Sens!K5873/Sens!K5874</f>
        <v>27.8729167225891</v>
      </c>
      <c r="L5875" s="1" t="s">
        <v>1083</v>
      </c>
    </row>
    <row r="5876" customFormat="false" ht="17.15" hidden="false" customHeight="false" outlineLevel="0" collapsed="false">
      <c r="A5876" s="1" t="s">
        <v>1084</v>
      </c>
      <c r="B5876" s="0" t="s">
        <v>98</v>
      </c>
      <c r="D5876" s="6" t="n">
        <f aca="false">Sens!D5873</f>
        <v>101.832</v>
      </c>
      <c r="E5876" s="6" t="n">
        <f aca="false">Sens!E5873</f>
        <v>133.749</v>
      </c>
      <c r="F5876" s="6" t="n">
        <f aca="false">Sens!F5873+Sens!F5866*(1-tax_f)</f>
        <v>151.946020415191</v>
      </c>
      <c r="G5876" s="6" t="n">
        <f aca="false">Sens!G5873+Sens!G5866*(1-tax_f)</f>
        <v>175.546674444712</v>
      </c>
      <c r="H5876" s="6" t="n">
        <f aca="false">Sens!H5873+Sens!H5866*(1-tax_f)</f>
        <v>204.208676097737</v>
      </c>
      <c r="I5876" s="6" t="n">
        <f aca="false">Sens!I5873+Sens!I5866*(1-tax_f)</f>
        <v>230.89758217405</v>
      </c>
      <c r="J5876" s="6" t="n">
        <f aca="false">Sens!J5873+Sens!J5866*(1-tax_f)</f>
        <v>253.121244866692</v>
      </c>
      <c r="K5876" s="6" t="n">
        <f aca="false">Sens!K5873+Sens!K5866*(1-tax_f)</f>
        <v>271.000532865664</v>
      </c>
    </row>
    <row r="5877" customFormat="false" ht="17.15" hidden="false" customHeight="false" outlineLevel="0" collapsed="false">
      <c r="A5877" s="0" t="s">
        <v>1085</v>
      </c>
      <c r="B5877" s="0" t="s">
        <v>75</v>
      </c>
      <c r="D5877" s="8" t="n">
        <f aca="false">Sens!D5876/Sens!D5874</f>
        <v>13.641259209645</v>
      </c>
      <c r="E5877" s="8" t="n">
        <f aca="false">Sens!E5876/Sens!E5874</f>
        <v>17.9456594659869</v>
      </c>
      <c r="F5877" s="8" t="n">
        <f aca="false">Sens!F5876/Sens!F5874</f>
        <v>20.3313066722675</v>
      </c>
      <c r="G5877" s="8" t="n">
        <f aca="false">Sens!G5876/Sens!G5874</f>
        <v>23.3486299720305</v>
      </c>
      <c r="H5877" s="8" t="n">
        <f aca="false">Sens!H5876/Sens!H5874</f>
        <v>27.0611271564081</v>
      </c>
      <c r="I5877" s="8" t="n">
        <f aca="false">Sens!I5876/Sens!I5874</f>
        <v>30.550570049284</v>
      </c>
      <c r="J5877" s="8" t="n">
        <f aca="false">Sens!J5876/Sens!J5874</f>
        <v>33.4284493049461</v>
      </c>
      <c r="K5877" s="8" t="n">
        <f aca="false">Sens!K5876/Sens!K5874</f>
        <v>35.7121657958475</v>
      </c>
      <c r="L5877" s="1" t="s">
        <v>1086</v>
      </c>
    </row>
    <row r="5878" customFormat="false" ht="17.15" hidden="false" customHeight="false" outlineLevel="0" collapsed="false">
      <c r="A5878" s="0" t="s">
        <v>1087</v>
      </c>
      <c r="B5878" s="0" t="s">
        <v>168</v>
      </c>
      <c r="E5878" s="7" t="n">
        <f aca="false">Sens!E5877/Sens!D5877-1</f>
        <v>0.315542736208578</v>
      </c>
      <c r="F5878" s="7" t="n">
        <f aca="false">Sens!F5877/Sens!E5877-1</f>
        <v>0.132937282734149</v>
      </c>
      <c r="G5878" s="7" t="n">
        <f aca="false">Sens!G5877/Sens!F5877-1</f>
        <v>0.148407741243644</v>
      </c>
      <c r="H5878" s="7" t="n">
        <f aca="false">Sens!H5877/Sens!G5877-1</f>
        <v>0.159002784695494</v>
      </c>
      <c r="I5878" s="7" t="n">
        <f aca="false">Sens!I5877/Sens!H5877-1</f>
        <v>0.128946694374837</v>
      </c>
      <c r="J5878" s="7" t="n">
        <f aca="false">Sens!J5877/Sens!I5877-1</f>
        <v>0.0942005092219056</v>
      </c>
      <c r="K5878" s="7" t="n">
        <f aca="false">Sens!K5877/Sens!J5877-1</f>
        <v>0.0683165548622555</v>
      </c>
    </row>
    <row r="5879" customFormat="false" ht="17.15" hidden="false" customHeight="false" outlineLevel="0" collapsed="false">
      <c r="A5879" s="0" t="s">
        <v>1007</v>
      </c>
      <c r="B5879" s="0" t="s">
        <v>98</v>
      </c>
      <c r="E5879" s="6" t="n">
        <f aca="false">Sens!E5820</f>
        <v>5.25</v>
      </c>
      <c r="F5879" s="6" t="n">
        <f aca="false">Sens!F5820</f>
        <v>12</v>
      </c>
      <c r="G5879" s="6" t="n">
        <f aca="false">Sens!G5820</f>
        <v>18</v>
      </c>
      <c r="H5879" s="6" t="n">
        <f aca="false">Sens!H5820</f>
        <v>24</v>
      </c>
      <c r="I5879" s="6" t="n">
        <f aca="false">Sens!I5820</f>
        <v>28.5</v>
      </c>
      <c r="J5879" s="6" t="n">
        <f aca="false">Sens!J5820</f>
        <v>31.5</v>
      </c>
      <c r="K5879" s="6" t="n">
        <f aca="false">Sens!K5820</f>
        <v>34.5</v>
      </c>
    </row>
    <row r="5880" customFormat="false" ht="17.15" hidden="false" customHeight="false" outlineLevel="0" collapsed="false">
      <c r="A5880" s="1" t="s">
        <v>1008</v>
      </c>
      <c r="B5880" s="0" t="s">
        <v>98</v>
      </c>
      <c r="F5880" s="6" t="n">
        <f aca="false">MAX(0,((Sens!E5780+Sens!F5780)/2-(shadow_base*(Sens!$D$5780+Sens!$E$5780)/2+(1-shadow_base)*Sens!$E$5780))*Sens!F5789/1000-(Sens!F5879-Sens!$E$5879)*Sens!F5859)</f>
        <v>9.7398427716299</v>
      </c>
      <c r="G5880" s="6" t="n">
        <f aca="false">MAX(0,((Sens!F5780+Sens!G5780)/2-(shadow_base*(Sens!$D$5780+Sens!$E$5780)/2+(1-shadow_base)*Sens!$E$5780))*Sens!G5789/1000-(Sens!G5879-Sens!$E$5879)*Sens!G5859)</f>
        <v>25.2753385959797</v>
      </c>
      <c r="H5880" s="6" t="n">
        <f aca="false">MAX(0,((Sens!G5780+Sens!H5780)/2-(shadow_base*(Sens!$D$5780+Sens!$E$5780)/2+(1-shadow_base)*Sens!$E$5780))*Sens!H5789/1000-(Sens!H5879-Sens!$E$5879)*Sens!H5859)</f>
        <v>42.2840253697948</v>
      </c>
      <c r="I5880" s="6" t="n">
        <f aca="false">MAX(0,((Sens!H5780+Sens!I5780)/2-(shadow_base*(Sens!$D$5780+Sens!$E$5780)/2+(1-shadow_base)*Sens!$E$5780))*Sens!I5789/1000-(Sens!I5879-Sens!$E$5879)*Sens!I5859)</f>
        <v>57.704943641581</v>
      </c>
      <c r="J5880" s="6" t="n">
        <f aca="false">MAX(0,((Sens!I5780+Sens!J5780)/2-(shadow_base*(Sens!$D$5780+Sens!$E$5780)/2+(1-shadow_base)*Sens!$E$5780))*Sens!J5789/1000-(Sens!J5879-Sens!$E$5879)*Sens!J5859)</f>
        <v>68.4828520908201</v>
      </c>
      <c r="K5880" s="6" t="n">
        <f aca="false">MAX(0,((Sens!J5780+Sens!K5780)/2-(shadow_base*(Sens!$D$5780+Sens!$E$5780)/2+(1-shadow_base)*Sens!$E$5780))*Sens!K5789/1000-(Sens!K5879-Sens!$E$5879)*Sens!K5859)</f>
        <v>74.3598374943249</v>
      </c>
      <c r="L5880" s="1" t="s">
        <v>1009</v>
      </c>
    </row>
    <row r="5881" customFormat="false" ht="17.15" hidden="false" customHeight="false" outlineLevel="0" collapsed="false">
      <c r="A5881" s="1" t="s">
        <v>1010</v>
      </c>
      <c r="B5881" s="0" t="s">
        <v>98</v>
      </c>
      <c r="F5881" s="6" t="n">
        <f aca="false">IF(internal_ai_reading=2,1,0)*Sens!F5880</f>
        <v>9.7398427716299</v>
      </c>
      <c r="G5881" s="6" t="n">
        <f aca="false">IF(internal_ai_reading=2,1,0)*Sens!G5880</f>
        <v>25.2753385959797</v>
      </c>
      <c r="H5881" s="6" t="n">
        <f aca="false">IF(internal_ai_reading=2,1,0)*Sens!H5880</f>
        <v>42.2840253697948</v>
      </c>
      <c r="I5881" s="6" t="n">
        <f aca="false">IF(internal_ai_reading=2,1,0)*Sens!I5880</f>
        <v>57.704943641581</v>
      </c>
      <c r="J5881" s="6" t="n">
        <f aca="false">IF(internal_ai_reading=2,1,0)*Sens!J5880</f>
        <v>68.4828520908201</v>
      </c>
      <c r="K5881" s="6" t="n">
        <f aca="false">IF(internal_ai_reading=2,1,0)*Sens!K5880</f>
        <v>74.3598374943249</v>
      </c>
    </row>
    <row r="5882" customFormat="false" ht="17.15" hidden="false" customHeight="false" outlineLevel="0" collapsed="false">
      <c r="A5882" s="0" t="s">
        <v>1011</v>
      </c>
      <c r="B5882" s="0" t="s">
        <v>98</v>
      </c>
      <c r="F5882" s="6" t="n">
        <f aca="false">Sens!F5799+Sens!F5879*Sens!F5859+Sens!F5881-Sens!F5800-Sens!F5811</f>
        <v>13.9105165876886</v>
      </c>
      <c r="G5882" s="6" t="n">
        <f aca="false">Sens!G5799+Sens!G5879*Sens!G5859+Sens!G5881-Sens!G5800-Sens!G5811</f>
        <v>29.0579412947205</v>
      </c>
      <c r="H5882" s="6" t="n">
        <f aca="false">Sens!H5799+Sens!H5879*Sens!H5859+Sens!H5881-Sens!H5800-Sens!H5811</f>
        <v>44.7841698063696</v>
      </c>
      <c r="I5882" s="6" t="n">
        <f aca="false">Sens!I5799+Sens!I5879*Sens!I5859+Sens!I5881-Sens!I5800-Sens!I5811</f>
        <v>58.419104852787</v>
      </c>
      <c r="J5882" s="6" t="n">
        <f aca="false">Sens!J5799+Sens!J5879*Sens!J5859+Sens!J5881-Sens!J5800-Sens!J5811</f>
        <v>67.6245674669465</v>
      </c>
      <c r="K5882" s="6" t="n">
        <f aca="false">Sens!K5799+Sens!K5879*Sens!K5859+Sens!K5881-Sens!K5800-Sens!K5811</f>
        <v>73.3513121332985</v>
      </c>
    </row>
    <row r="5883" customFormat="false" ht="17.15" hidden="false" customHeight="false" outlineLevel="0" collapsed="false">
      <c r="A5883" s="0" t="s">
        <v>1012</v>
      </c>
      <c r="B5883" s="0" t="s">
        <v>98</v>
      </c>
      <c r="E5883" s="6" t="n">
        <f aca="false">Sens!E5779*(cxit_open+self_build*tk_cxfac)/1000*ai_net_open</f>
        <v>126.6980382</v>
      </c>
      <c r="F5883" s="6" t="n">
        <f aca="false">Sens!E5883+Sens!F5808-Sens!F5811</f>
        <v>260.572627763768</v>
      </c>
      <c r="G5883" s="6" t="n">
        <f aca="false">Sens!F5883+Sens!G5808-Sens!G5811</f>
        <v>391.782612760517</v>
      </c>
      <c r="H5883" s="6" t="n">
        <f aca="false">Sens!G5883+Sens!H5808-Sens!H5811</f>
        <v>499.488526163584</v>
      </c>
      <c r="I5883" s="6" t="n">
        <f aca="false">Sens!H5883+Sens!I5808-Sens!I5811</f>
        <v>553.872350090646</v>
      </c>
      <c r="J5883" s="6" t="n">
        <f aca="false">Sens!I5883+Sens!J5808-Sens!J5811</f>
        <v>550.78660823699</v>
      </c>
      <c r="K5883" s="6" t="n">
        <f aca="false">Sens!J5883+Sens!K5808-Sens!K5811</f>
        <v>526.736791750789</v>
      </c>
      <c r="L5883" s="1" t="s">
        <v>1013</v>
      </c>
    </row>
    <row r="5884" customFormat="false" ht="17.15" hidden="false" customHeight="false" outlineLevel="0" collapsed="false">
      <c r="A5884" s="0" t="s">
        <v>1014</v>
      </c>
      <c r="B5884" s="0" t="s">
        <v>168</v>
      </c>
      <c r="F5884" s="7" t="n">
        <f aca="false">Sens!F5882*(1-tax_f)/((Sens!E5883+Sens!F5883)/2)</f>
        <v>0.057470984756651</v>
      </c>
      <c r="G5884" s="7" t="n">
        <f aca="false">Sens!G5882*(1-tax_f)/((Sens!F5883+Sens!G5883)/2)</f>
        <v>0.0712690006662437</v>
      </c>
      <c r="H5884" s="7" t="n">
        <f aca="false">Sens!H5882*(1-tax_f)/((Sens!G5883+Sens!H5883)/2)</f>
        <v>0.0803960417440302</v>
      </c>
      <c r="I5884" s="7" t="n">
        <f aca="false">Sens!I5882*(1-tax_f)/((Sens!H5883+Sens!I5883)/2)</f>
        <v>0.0887355605012047</v>
      </c>
      <c r="J5884" s="7" t="n">
        <f aca="false">Sens!J5882*(1-tax_f)/((Sens!I5883+Sens!J5883)/2)</f>
        <v>0.09794815597288</v>
      </c>
      <c r="K5884" s="7" t="n">
        <f aca="false">Sens!K5882*(1-tax_f)/((Sens!J5883+Sens!K5883)/2)</f>
        <v>0.10891837654255</v>
      </c>
    </row>
    <row r="5885" customFormat="false" ht="17.15" hidden="false" customHeight="false" outlineLevel="0" collapsed="false">
      <c r="A5885" s="1" t="s">
        <v>1015</v>
      </c>
      <c r="B5885" s="0" t="s">
        <v>168</v>
      </c>
      <c r="F5885" s="7" t="n">
        <f aca="false">(Sens!F5882-Sens!F5881)*(1-tax_f)/((Sens!E5883+Sens!F5883)/2)</f>
        <v>0.0172310445695319</v>
      </c>
      <c r="G5885" s="7" t="n">
        <f aca="false">(Sens!G5882-Sens!G5881)*(1-tax_f)/((Sens!F5883+Sens!G5883)/2)</f>
        <v>0.00927740583967926</v>
      </c>
      <c r="H5885" s="7" t="n">
        <f aca="false">(Sens!H5882-Sens!H5881)*(1-tax_f)/((Sens!G5883+Sens!H5883)/2)</f>
        <v>0.00448823138528705</v>
      </c>
      <c r="I5885" s="7" t="n">
        <f aca="false">(Sens!I5882-Sens!I5881)*(1-tax_f)/((Sens!H5883+Sens!I5883)/2)</f>
        <v>0.00108477347477801</v>
      </c>
      <c r="J5885" s="7" t="n">
        <f aca="false">(Sens!J5882-Sens!J5881)*(1-tax_f)/((Sens!I5883+Sens!J5883)/2)</f>
        <v>-0.00124314874545241</v>
      </c>
      <c r="K5885" s="7" t="n">
        <f aca="false">(Sens!K5882-Sens!K5881)*(1-tax_f)/((Sens!J5883+Sens!K5883)/2)</f>
        <v>-0.00149754574022296</v>
      </c>
    </row>
    <row r="5886" customFormat="false" ht="17.15" hidden="false" customHeight="false" outlineLevel="0" collapsed="false">
      <c r="A5886" s="1" t="s">
        <v>1016</v>
      </c>
      <c r="B5886" s="0" t="s">
        <v>168</v>
      </c>
      <c r="F5886" s="7" t="n">
        <f aca="false">(Sens!F5882-Sens!F5881+Sens!F5880)*(1-tax_f)/((Sens!E5883+Sens!F5883)/2)</f>
        <v>0.057470984756651</v>
      </c>
      <c r="G5886" s="7" t="n">
        <f aca="false">(Sens!G5882-Sens!G5881+Sens!G5880)*(1-tax_f)/((Sens!F5883+Sens!G5883)/2)</f>
        <v>0.0712690006662437</v>
      </c>
      <c r="H5886" s="7" t="n">
        <f aca="false">(Sens!H5882-Sens!H5881+Sens!H5880)*(1-tax_f)/((Sens!G5883+Sens!H5883)/2)</f>
        <v>0.0803960417440302</v>
      </c>
      <c r="I5886" s="7" t="n">
        <f aca="false">(Sens!I5882-Sens!I5881+Sens!I5880)*(1-tax_f)/((Sens!H5883+Sens!I5883)/2)</f>
        <v>0.0887355605012047</v>
      </c>
      <c r="J5886" s="7" t="n">
        <f aca="false">(Sens!J5882-Sens!J5881+Sens!J5880)*(1-tax_f)/((Sens!I5883+Sens!J5883)/2)</f>
        <v>0.09794815597288</v>
      </c>
      <c r="K5886" s="7" t="n">
        <f aca="false">(Sens!K5882-Sens!K5881+Sens!K5880)*(1-tax_f)/((Sens!J5883+Sens!K5883)/2)</f>
        <v>0.10891837654255</v>
      </c>
    </row>
    <row r="5887" customFormat="false" ht="17.15" hidden="false" customHeight="false" outlineLevel="0" collapsed="false">
      <c r="A5887" s="1" t="s">
        <v>1017</v>
      </c>
      <c r="B5887" s="0" t="s">
        <v>168</v>
      </c>
      <c r="F5887" s="7" t="n">
        <f aca="false">Sens!F5812*(1-tax_f)/(Sens!F5798*(Sens!E5883+Sens!F5883)/2)</f>
        <v>0.123064795548836</v>
      </c>
      <c r="G5887" s="7" t="n">
        <f aca="false">Sens!G5812*(1-tax_f)/(Sens!G5798*(Sens!F5883+Sens!G5883)/2)</f>
        <v>0.119114273344264</v>
      </c>
      <c r="H5887" s="7" t="n">
        <f aca="false">Sens!H5812*(1-tax_f)/(Sens!H5798*(Sens!G5883+Sens!H5883)/2)</f>
        <v>0.121562054046615</v>
      </c>
      <c r="I5887" s="7" t="n">
        <f aca="false">Sens!I5812*(1-tax_f)/(Sens!I5798*(Sens!H5883+Sens!I5883)/2)</f>
        <v>0.127910726306048</v>
      </c>
      <c r="J5887" s="7" t="n">
        <f aca="false">Sens!J5812*(1-tax_f)/(Sens!J5798*(Sens!I5883+Sens!J5883)/2)</f>
        <v>0.138113755701579</v>
      </c>
      <c r="K5887" s="7" t="n">
        <f aca="false">Sens!K5812*(1-tax_f)/(Sens!K5798*(Sens!J5883+Sens!K5883)/2)</f>
        <v>0.151883090337096</v>
      </c>
    </row>
    <row r="5888" customFormat="false" ht="17.15" hidden="false" customHeight="false" outlineLevel="0" collapsed="false">
      <c r="A5888" s="0" t="s">
        <v>1018</v>
      </c>
      <c r="B5888" s="0" t="s">
        <v>253</v>
      </c>
      <c r="F5888" s="7" t="n">
        <f aca="false">Sens!F5884-wacc</f>
        <v>-0.0454656061889462</v>
      </c>
      <c r="G5888" s="7" t="n">
        <f aca="false">Sens!G5884-wacc</f>
        <v>-0.0316675902793536</v>
      </c>
      <c r="H5888" s="7" t="n">
        <f aca="false">Sens!H5884-wacc</f>
        <v>-0.0225405492015671</v>
      </c>
      <c r="I5888" s="7" t="n">
        <f aca="false">Sens!I5884-wacc</f>
        <v>-0.0142010304443926</v>
      </c>
      <c r="J5888" s="7" t="n">
        <f aca="false">Sens!J5884-wacc</f>
        <v>-0.0049884349727173</v>
      </c>
      <c r="K5888" s="7" t="n">
        <f aca="false">Sens!K5884-wacc</f>
        <v>0.00598178559695269</v>
      </c>
    </row>
    <row r="5889" customFormat="false" ht="17.15" hidden="false" customHeight="false" outlineLevel="0" collapsed="false">
      <c r="A5889" s="0" t="s">
        <v>1019</v>
      </c>
      <c r="B5889" s="0" t="s">
        <v>98</v>
      </c>
      <c r="F5889" s="6" t="n">
        <f aca="false">Sens!F5882*(1-tax_f)-wacc*(Sens!E5883+Sens!F5883)/2</f>
        <v>-8.80374779361981</v>
      </c>
      <c r="G5889" s="6" t="n">
        <f aca="false">Sens!G5882*(1-tax_f)-wacc*(Sens!F5883+Sens!G5883)/2</f>
        <v>-10.3292592367561</v>
      </c>
      <c r="H5889" s="6" t="n">
        <f aca="false">Sens!H5882*(1-tax_f)-wacc*(Sens!G5883+Sens!H5883)/2</f>
        <v>-10.0448704794277</v>
      </c>
      <c r="I5889" s="6" t="n">
        <f aca="false">Sens!I5882*(1-tax_f)-wacc*(Sens!H5883+Sens!I5883)/2</f>
        <v>-7.47940493630917</v>
      </c>
      <c r="J5889" s="6" t="n">
        <f aca="false">Sens!J5882*(1-tax_f)-wacc*(Sens!I5883+Sens!J5883)/2</f>
        <v>-2.75525969032351</v>
      </c>
      <c r="K5889" s="6" t="n">
        <f aca="false">Sens!K5882*(1-tax_f)-wacc*(Sens!J5883+Sens!K5883)/2</f>
        <v>3.22275697721319</v>
      </c>
    </row>
    <row r="5890" customFormat="false" ht="17.15" hidden="false" customHeight="false" outlineLevel="0" collapsed="false">
      <c r="A5890" s="3" t="s">
        <v>1758</v>
      </c>
    </row>
    <row r="5891" customFormat="false" ht="15" hidden="false" customHeight="false" outlineLevel="0" collapsed="false">
      <c r="A5891" s="4" t="s">
        <v>43</v>
      </c>
      <c r="B5891" s="4" t="s">
        <v>65</v>
      </c>
      <c r="C5891" s="23" t="s">
        <v>942</v>
      </c>
      <c r="D5891" s="23" t="s">
        <v>943</v>
      </c>
      <c r="E5891" s="23" t="s">
        <v>944</v>
      </c>
      <c r="F5891" s="23" t="s">
        <v>945</v>
      </c>
      <c r="G5891" s="23" t="s">
        <v>946</v>
      </c>
      <c r="H5891" s="23" t="s">
        <v>947</v>
      </c>
      <c r="I5891" s="23" t="s">
        <v>948</v>
      </c>
      <c r="J5891" s="23" t="s">
        <v>949</v>
      </c>
      <c r="K5891" s="23" t="s">
        <v>950</v>
      </c>
      <c r="L5891" s="4" t="s">
        <v>47</v>
      </c>
    </row>
    <row r="5892" customFormat="false" ht="15" hidden="false" customHeight="false" outlineLevel="0" collapsed="false">
      <c r="A5892" s="1" t="s">
        <v>1080</v>
      </c>
      <c r="B5892" s="0" t="s">
        <v>98</v>
      </c>
      <c r="F5892" s="6" t="n">
        <f aca="false">Sens!F5873</f>
        <v>144.154146197887</v>
      </c>
      <c r="G5892" s="6" t="n">
        <f aca="false">Sens!G5873</f>
        <v>155.326403567928</v>
      </c>
      <c r="H5892" s="6" t="n">
        <f aca="false">Sens!H5873</f>
        <v>170.381455801901</v>
      </c>
      <c r="I5892" s="6" t="n">
        <f aca="false">Sens!I5873</f>
        <v>184.733627260785</v>
      </c>
      <c r="J5892" s="6" t="n">
        <f aca="false">Sens!J5873</f>
        <v>198.334963194036</v>
      </c>
      <c r="K5892" s="6" t="n">
        <f aca="false">Sens!K5873</f>
        <v>211.512662870204</v>
      </c>
    </row>
    <row r="5893" customFormat="false" ht="17.15" hidden="false" customHeight="false" outlineLevel="0" collapsed="false">
      <c r="A5893" s="1" t="s">
        <v>1102</v>
      </c>
      <c r="B5893" s="0" t="s">
        <v>98</v>
      </c>
      <c r="E5893" s="6" t="n">
        <f aca="false">Q!M38-Sens!E5811</f>
        <v>22.2285940229167</v>
      </c>
      <c r="F5893" s="6" t="n">
        <f aca="false">Sens!E5893*(1-1/life_nonai)+(Sens!F5901+Sens!F5902)/life_nonai</f>
        <v>23.5843157222368</v>
      </c>
      <c r="G5893" s="6" t="n">
        <f aca="false">Sens!F5893*(1-1/life_nonai)+(Sens!G5901)/life_nonai</f>
        <v>25.3666459491041</v>
      </c>
      <c r="H5893" s="6" t="n">
        <f aca="false">Sens!G5893*(1-1/life_nonai)+(Sens!H5901)/life_nonai</f>
        <v>27.5415175228382</v>
      </c>
      <c r="I5893" s="6" t="n">
        <f aca="false">Sens!H5893*(1-1/life_nonai)+(Sens!I5901)/life_nonai</f>
        <v>30.0423217635325</v>
      </c>
      <c r="J5893" s="6" t="n">
        <f aca="false">Sens!I5893*(1-1/life_nonai)+(Sens!J5901)/life_nonai</f>
        <v>32.7855431020723</v>
      </c>
      <c r="K5893" s="6" t="n">
        <f aca="false">Sens!J5893*(1-1/life_nonai)+(Sens!K5901)/life_nonai</f>
        <v>35.6866690965167</v>
      </c>
      <c r="L5893" s="12" t="s">
        <v>1103</v>
      </c>
    </row>
    <row r="5894" customFormat="false" ht="17.15" hidden="false" customHeight="false" outlineLevel="0" collapsed="false">
      <c r="A5894" s="1" t="s">
        <v>1104</v>
      </c>
      <c r="B5894" s="0" t="s">
        <v>98</v>
      </c>
      <c r="F5894" s="6" t="n">
        <f aca="false">Sens!$F$5902/life_nonai*(1-1/life_nonai)^(Sens!F5774-2027)</f>
        <v>0</v>
      </c>
      <c r="G5894" s="6" t="n">
        <f aca="false">Sens!$F$5902/life_nonai*(1-1/life_nonai)^(Sens!G5774-2027)</f>
        <v>0</v>
      </c>
      <c r="H5894" s="6" t="n">
        <f aca="false">Sens!$F$5902/life_nonai*(1-1/life_nonai)^(Sens!H5774-2027)</f>
        <v>0</v>
      </c>
      <c r="I5894" s="6" t="n">
        <f aca="false">Sens!$F$5902/life_nonai*(1-1/life_nonai)^(Sens!I5774-2027)</f>
        <v>0</v>
      </c>
      <c r="J5894" s="6" t="n">
        <f aca="false">Sens!$F$5902/life_nonai*(1-1/life_nonai)^(Sens!J5774-2027)</f>
        <v>0</v>
      </c>
      <c r="K5894" s="6" t="n">
        <f aca="false">Sens!$F$5902/life_nonai*(1-1/life_nonai)^(Sens!K5774-2027)</f>
        <v>0</v>
      </c>
      <c r="L5894" s="1" t="s">
        <v>1105</v>
      </c>
    </row>
    <row r="5895" customFormat="false" ht="17.15" hidden="false" customHeight="false" outlineLevel="0" collapsed="false">
      <c r="A5895" s="1" t="s">
        <v>1106</v>
      </c>
      <c r="B5895" s="0" t="s">
        <v>98</v>
      </c>
      <c r="E5895" s="6" t="n">
        <f aca="false">Sens!E5811+Sens!E5893</f>
        <v>38.534</v>
      </c>
      <c r="F5895" s="6" t="n">
        <f aca="false">Sens!F5811+Sens!F5893</f>
        <v>58.1636302005885</v>
      </c>
      <c r="G5895" s="6" t="n">
        <f aca="false">Sens!G5811+Sens!G5893</f>
        <v>86.1011366014031</v>
      </c>
      <c r="H5895" s="6" t="n">
        <f aca="false">Sens!H5811+Sens!H5893</f>
        <v>116.641608184284</v>
      </c>
      <c r="I5895" s="6" t="n">
        <f aca="false">Sens!I5811+Sens!I5893</f>
        <v>144.273331458081</v>
      </c>
      <c r="J5895" s="6" t="n">
        <f aca="false">Sens!J5811+Sens!J5893</f>
        <v>164.801216151668</v>
      </c>
      <c r="K5895" s="6" t="n">
        <f aca="false">Sens!K5811+Sens!K5893</f>
        <v>178.699338647451</v>
      </c>
    </row>
    <row r="5896" customFormat="false" ht="17.15" hidden="false" customHeight="false" outlineLevel="0" collapsed="false">
      <c r="A5896" s="1" t="s">
        <v>1107</v>
      </c>
      <c r="B5896" s="0" t="s">
        <v>98</v>
      </c>
      <c r="F5896" s="6" t="n">
        <f aca="false">Sens!F5838*sbc_r</f>
        <v>14.8911482335219</v>
      </c>
      <c r="G5896" s="6" t="n">
        <f aca="false">Sens!G5838*sbc_r</f>
        <v>17.7469006467833</v>
      </c>
      <c r="H5896" s="6" t="n">
        <f aca="false">Sens!H5838*sbc_r</f>
        <v>20.6689788995571</v>
      </c>
      <c r="I5896" s="6" t="n">
        <f aca="false">Sens!I5838*sbc_r</f>
        <v>23.3488002295952</v>
      </c>
      <c r="J5896" s="6" t="n">
        <f aca="false">Sens!J5838*sbc_r</f>
        <v>25.5431278378947</v>
      </c>
      <c r="K5896" s="6" t="n">
        <f aca="false">Sens!K5838*sbc_r</f>
        <v>27.2986771191268</v>
      </c>
    </row>
    <row r="5897" customFormat="false" ht="17.15" hidden="false" customHeight="false" outlineLevel="0" collapsed="false">
      <c r="A5897" s="1" t="s">
        <v>1108</v>
      </c>
      <c r="B5897" s="0" t="s">
        <v>98</v>
      </c>
      <c r="F5897" s="6" t="n">
        <f aca="false">wc27-wc26q1</f>
        <v>-4.677</v>
      </c>
      <c r="G5897" s="6" t="n">
        <f aca="false">wc_f</f>
        <v>0</v>
      </c>
      <c r="H5897" s="6" t="n">
        <f aca="false">wc_f</f>
        <v>0</v>
      </c>
      <c r="I5897" s="6" t="n">
        <f aca="false">wc_f</f>
        <v>0</v>
      </c>
      <c r="J5897" s="6" t="n">
        <f aca="false">wc_f</f>
        <v>0</v>
      </c>
      <c r="K5897" s="6" t="n">
        <f aca="false">wc_f</f>
        <v>0</v>
      </c>
      <c r="L5897" s="12" t="s">
        <v>1109</v>
      </c>
    </row>
    <row r="5898" customFormat="false" ht="17.15" hidden="false" customHeight="false" outlineLevel="0" collapsed="false">
      <c r="A5898" s="0" t="s">
        <v>1110</v>
      </c>
      <c r="B5898" s="0" t="s">
        <v>98</v>
      </c>
      <c r="F5898" s="6" t="n">
        <f aca="false">Q!$I$35-Q!$I$26-Q!$I$38-Q!$I$39</f>
        <v>6.493</v>
      </c>
      <c r="L5898" s="1" t="s">
        <v>1111</v>
      </c>
    </row>
    <row r="5899" customFormat="false" ht="15" hidden="false" customHeight="false" outlineLevel="0" collapsed="false">
      <c r="A5899" s="1" t="s">
        <v>908</v>
      </c>
      <c r="B5899" s="0" t="s">
        <v>98</v>
      </c>
      <c r="E5899" s="6" t="n">
        <f aca="false">Q!M35</f>
        <v>182.935</v>
      </c>
      <c r="F5899" s="6" t="n">
        <f aca="false">Sens!F5892+Sens!F5895+Sens!F5896+Sens!F5897+Sens!F5898</f>
        <v>219.024924631998</v>
      </c>
      <c r="G5899" s="6" t="n">
        <f aca="false">Sens!G5892+Sens!G5895+Sens!G5896+Sens!G5897</f>
        <v>259.174440816114</v>
      </c>
      <c r="H5899" s="6" t="n">
        <f aca="false">Sens!H5892+Sens!H5895+Sens!H5896+Sens!H5897</f>
        <v>307.692042885742</v>
      </c>
      <c r="I5899" s="6" t="n">
        <f aca="false">Sens!I5892+Sens!I5895+Sens!I5896+Sens!I5897</f>
        <v>352.355758948461</v>
      </c>
      <c r="J5899" s="6" t="n">
        <f aca="false">Sens!J5892+Sens!J5895+Sens!J5896+Sens!J5897</f>
        <v>388.679307183599</v>
      </c>
      <c r="K5899" s="6" t="n">
        <f aca="false">Sens!K5892+Sens!K5895+Sens!K5896+Sens!K5897</f>
        <v>417.510678636781</v>
      </c>
    </row>
    <row r="5900" customFormat="false" ht="17.15" hidden="false" customHeight="false" outlineLevel="0" collapsed="false">
      <c r="A5900" s="0" t="s">
        <v>1112</v>
      </c>
      <c r="B5900" s="0" t="s">
        <v>98</v>
      </c>
      <c r="F5900" s="6" t="n">
        <f aca="false">Sens!F5808</f>
        <v>168.45390404212</v>
      </c>
      <c r="G5900" s="6" t="n">
        <f aca="false">Sens!G5808</f>
        <v>191.944475649048</v>
      </c>
      <c r="H5900" s="6" t="n">
        <f aca="false">Sens!H5808</f>
        <v>196.806004064512</v>
      </c>
      <c r="I5900" s="6" t="n">
        <f aca="false">Sens!I5808</f>
        <v>168.61483362161</v>
      </c>
      <c r="J5900" s="6" t="n">
        <f aca="false">Sens!J5808</f>
        <v>128.92993119594</v>
      </c>
      <c r="K5900" s="6" t="n">
        <f aca="false">Sens!K5808</f>
        <v>118.962853064733</v>
      </c>
    </row>
    <row r="5901" customFormat="false" ht="17.15" hidden="false" customHeight="false" outlineLevel="0" collapsed="false">
      <c r="A5901" s="1" t="s">
        <v>1113</v>
      </c>
      <c r="B5901" s="0" t="s">
        <v>98</v>
      </c>
      <c r="E5901" s="6" t="n">
        <f aca="false">Sens!E5816*cx_azo+Sens!E5823*cx_m365+Sens!E5824*cx_lic+(Sens!E5826+Sens!E5828)*cx_ind+Sens!E5831*cx_srch+(Sens!E5833+Sens!E5835)*cx_dev</f>
        <v>30.1846587067718</v>
      </c>
      <c r="F5901" s="6" t="n">
        <f aca="false">Sens!F5816*cx_azo+Sens!F5823*cx_m365+Sens!F5824*cx_lic+(Sens!F5826+Sens!F5828)*cx_ind+Sens!F5831*cx_srch+(Sens!F5833+Sens!F5835)*cx_dev</f>
        <v>35.7858110161184</v>
      </c>
      <c r="G5901" s="6" t="n">
        <f aca="false">Sens!G5816*cx_azo+Sens!G5823*cx_m365+Sens!G5824*cx_lic+(Sens!G5826+Sens!G5828)*cx_ind+Sens!G5831*cx_srch+(Sens!G5833+Sens!G5835)*cx_dev</f>
        <v>41.4076179909097</v>
      </c>
      <c r="H5901" s="6" t="n">
        <f aca="false">Sens!H5816*cx_azo+Sens!H5823*cx_m365+Sens!H5824*cx_lic+(Sens!H5826+Sens!H5828)*cx_ind+Sens!H5831*cx_srch+(Sens!H5833+Sens!H5835)*cx_dev</f>
        <v>47.115361686445</v>
      </c>
      <c r="I5901" s="6" t="n">
        <f aca="false">Sens!I5816*cx_azo+Sens!I5823*cx_m365+Sens!I5824*cx_lic+(Sens!I5826+Sens!I5828)*cx_ind+Sens!I5831*cx_srch+(Sens!I5833+Sens!I5835)*cx_dev</f>
        <v>52.5495599297815</v>
      </c>
      <c r="J5901" s="6" t="n">
        <f aca="false">Sens!J5816*cx_azo+Sens!J5823*cx_m365+Sens!J5824*cx_lic+(Sens!J5826+Sens!J5828)*cx_ind+Sens!J5831*cx_srch+(Sens!J5833+Sens!J5835)*cx_dev</f>
        <v>57.4745351489299</v>
      </c>
      <c r="K5901" s="6" t="n">
        <f aca="false">Sens!K5816*cx_azo+Sens!K5823*cx_m365+Sens!K5824*cx_lic+(Sens!K5826+Sens!K5828)*cx_ind+Sens!K5831*cx_srch+(Sens!K5833+Sens!K5835)*cx_dev</f>
        <v>61.7968030465169</v>
      </c>
    </row>
    <row r="5902" customFormat="false" ht="17.15" hidden="false" customHeight="false" outlineLevel="0" collapsed="false">
      <c r="A5902" s="0" t="s">
        <v>1114</v>
      </c>
      <c r="B5902" s="0" t="s">
        <v>98</v>
      </c>
      <c r="F5902" s="6" t="n">
        <f aca="false">Sens!F5806</f>
        <v>0</v>
      </c>
      <c r="L5902" s="1" t="s">
        <v>1115</v>
      </c>
    </row>
    <row r="5903" customFormat="false" ht="17.15" hidden="false" customHeight="false" outlineLevel="0" collapsed="false">
      <c r="A5903" s="1" t="s">
        <v>1116</v>
      </c>
      <c r="B5903" s="0" t="s">
        <v>98</v>
      </c>
      <c r="E5903" s="6" t="n">
        <f aca="false">Q!M43</f>
        <v>145.3</v>
      </c>
      <c r="F5903" s="6" t="n">
        <f aca="false">Sens!F5900+Sens!F5901+Sens!F5902</f>
        <v>204.239715058238</v>
      </c>
      <c r="G5903" s="6" t="n">
        <f aca="false">Sens!G5900+Sens!G5901</f>
        <v>233.352093639958</v>
      </c>
      <c r="H5903" s="6" t="n">
        <f aca="false">Sens!H5900+Sens!H5901</f>
        <v>243.921365750957</v>
      </c>
      <c r="I5903" s="6" t="n">
        <f aca="false">Sens!I5900+Sens!I5901</f>
        <v>221.164393551392</v>
      </c>
      <c r="J5903" s="6" t="n">
        <f aca="false">Sens!J5900+Sens!J5901</f>
        <v>186.40446634487</v>
      </c>
      <c r="K5903" s="6" t="n">
        <f aca="false">Sens!K5900+Sens!K5901</f>
        <v>180.75965611125</v>
      </c>
      <c r="L5903" s="1" t="s">
        <v>1117</v>
      </c>
    </row>
    <row r="5904" customFormat="false" ht="15" hidden="false" customHeight="false" outlineLevel="0" collapsed="false">
      <c r="A5904" s="1" t="s">
        <v>1118</v>
      </c>
      <c r="B5904" s="0" t="s">
        <v>98</v>
      </c>
      <c r="E5904" s="6" t="n">
        <f aca="false">fl_liab</f>
        <v>66.594</v>
      </c>
      <c r="F5904" s="6" t="n">
        <f aca="false">Sens!E5904-Sens!F5905</f>
        <v>62.46973</v>
      </c>
      <c r="G5904" s="6" t="n">
        <f aca="false">Sens!F5904-Sens!G5905</f>
        <v>57.98686785</v>
      </c>
      <c r="H5904" s="6" t="n">
        <f aca="false">Sens!G5904-Sens!H5905</f>
        <v>53.92827690325</v>
      </c>
      <c r="I5904" s="6" t="n">
        <f aca="false">Sens!H5904-Sens!I5905</f>
        <v>49.7850493638962</v>
      </c>
      <c r="J5904" s="6" t="n">
        <f aca="false">Sens!I5904-Sens!J5905</f>
        <v>45.4823765852716</v>
      </c>
      <c r="K5904" s="6" t="n">
        <f aca="false">Sens!J5904-Sens!K5905</f>
        <v>40.9860835316088</v>
      </c>
    </row>
    <row r="5905" customFormat="false" ht="15" hidden="false" customHeight="false" outlineLevel="0" collapsed="false">
      <c r="A5905" s="1" t="s">
        <v>1119</v>
      </c>
      <c r="B5905" s="0" t="s">
        <v>98</v>
      </c>
      <c r="F5905" s="6" t="n">
        <f aca="false">fl_pay_27-Sens!E5904*fl_rate</f>
        <v>4.12427</v>
      </c>
      <c r="G5905" s="6" t="n">
        <f aca="false">fl_pay_28-Sens!F5904*fl_rate</f>
        <v>4.48286215</v>
      </c>
      <c r="H5905" s="6" t="n">
        <f aca="false">fl_pay_29-Sens!G5904*fl_rate</f>
        <v>4.05859094675</v>
      </c>
      <c r="I5905" s="6" t="n">
        <f aca="false">fl_pay_30-Sens!H5904*fl_rate</f>
        <v>4.14322753935375</v>
      </c>
      <c r="J5905" s="6" t="n">
        <f aca="false">fl_pay_31-Sens!I5904*fl_rate</f>
        <v>4.30267277862467</v>
      </c>
      <c r="K5905" s="6" t="n">
        <f aca="false">fl_pay_32-Sens!J5904*fl_rate</f>
        <v>4.49629305366278</v>
      </c>
    </row>
    <row r="5906" customFormat="false" ht="17.15" hidden="false" customHeight="false" outlineLevel="0" collapsed="false">
      <c r="A5906" s="1" t="s">
        <v>1120</v>
      </c>
      <c r="B5906" s="0" t="s">
        <v>98</v>
      </c>
      <c r="E5906" s="6" t="n">
        <f aca="false">Q!M35-Q!M36-Q!M44</f>
        <v>63.886</v>
      </c>
      <c r="F5906" s="6" t="n">
        <f aca="false">Sens!F5899-Sens!F5903-Sens!F5905</f>
        <v>10.6609395737596</v>
      </c>
      <c r="G5906" s="6" t="n">
        <f aca="false">Sens!G5899-Sens!G5903-Sens!G5905</f>
        <v>21.3394850261564</v>
      </c>
      <c r="H5906" s="6" t="n">
        <f aca="false">Sens!H5899-Sens!H5903-Sens!H5905</f>
        <v>59.7120861880351</v>
      </c>
      <c r="I5906" s="6" t="n">
        <f aca="false">Sens!I5899-Sens!I5903-Sens!I5905</f>
        <v>127.048137857716</v>
      </c>
      <c r="J5906" s="6" t="n">
        <f aca="false">Sens!J5899-Sens!J5903-Sens!J5905</f>
        <v>197.972168060104</v>
      </c>
      <c r="K5906" s="6" t="n">
        <f aca="false">Sens!K5899-Sens!K5903-Sens!K5905</f>
        <v>232.254729471869</v>
      </c>
      <c r="L5906" s="12" t="s">
        <v>1121</v>
      </c>
    </row>
    <row r="5907" customFormat="false" ht="15" hidden="false" customHeight="false" outlineLevel="0" collapsed="false">
      <c r="A5907" s="1" t="s">
        <v>1122</v>
      </c>
      <c r="B5907" s="0" t="s">
        <v>75</v>
      </c>
      <c r="F5907" s="8" t="n">
        <f aca="false">dps_27</f>
        <v>3.85</v>
      </c>
      <c r="G5907" s="8" t="n">
        <f aca="false">Sens!F5907*(1+dps_g)</f>
        <v>4.158</v>
      </c>
      <c r="H5907" s="8" t="n">
        <f aca="false">Sens!G5907*(1+dps_g)</f>
        <v>4.49064</v>
      </c>
      <c r="I5907" s="8" t="n">
        <f aca="false">Sens!H5907*(1+dps_g)</f>
        <v>4.8498912</v>
      </c>
      <c r="J5907" s="8" t="n">
        <f aca="false">Sens!I5907*(1+dps_g)</f>
        <v>5.237882496</v>
      </c>
      <c r="K5907" s="8" t="n">
        <f aca="false">Sens!J5907*(1+dps_g)</f>
        <v>5.65691309568</v>
      </c>
    </row>
    <row r="5908" customFormat="false" ht="17.15" hidden="false" customHeight="false" outlineLevel="0" collapsed="false">
      <c r="A5908" s="1" t="s">
        <v>1123</v>
      </c>
      <c r="B5908" s="0" t="s">
        <v>98</v>
      </c>
      <c r="E5908" s="6" t="n">
        <f aca="false">Q!M41</f>
        <v>26.445</v>
      </c>
      <c r="F5908" s="6" t="n">
        <f aca="false">Sens!F5907*Sens!E5917</f>
        <v>28.59395</v>
      </c>
      <c r="G5908" s="6" t="n">
        <f aca="false">Sens!G5907*Sens!F5917</f>
        <v>31.068576</v>
      </c>
      <c r="H5908" s="6" t="n">
        <f aca="false">Sens!H5907*Sens!G5917</f>
        <v>33.75614088</v>
      </c>
      <c r="I5908" s="6" t="n">
        <f aca="false">Sens!I5907*Sens!H5917</f>
        <v>36.5070704274727</v>
      </c>
      <c r="J5908" s="6" t="n">
        <f aca="false">Sens!J5907*Sens!I5917</f>
        <v>39.4955339470631</v>
      </c>
      <c r="K5908" s="6" t="n">
        <f aca="false">Sens!K5907*Sens!J5917</f>
        <v>42.7419309252064</v>
      </c>
      <c r="L5908" s="1" t="s">
        <v>1124</v>
      </c>
    </row>
    <row r="5909" customFormat="false" ht="15" hidden="false" customHeight="false" outlineLevel="0" collapsed="false">
      <c r="A5909" s="1" t="s">
        <v>1125</v>
      </c>
      <c r="B5909" s="0" t="s">
        <v>98</v>
      </c>
      <c r="E5909" s="6" t="n">
        <f aca="false">Sens!E5906-Sens!E5908</f>
        <v>37.441</v>
      </c>
      <c r="F5909" s="6" t="n">
        <f aca="false">Sens!F5906-Sens!F5908</f>
        <v>-17.9330104262404</v>
      </c>
      <c r="G5909" s="6" t="n">
        <f aca="false">Sens!G5906-Sens!G5908</f>
        <v>-9.72909097384357</v>
      </c>
      <c r="H5909" s="6" t="n">
        <f aca="false">Sens!H5906-Sens!H5908</f>
        <v>25.9559453080351</v>
      </c>
      <c r="I5909" s="6" t="n">
        <f aca="false">Sens!I5906-Sens!I5908</f>
        <v>90.541067430243</v>
      </c>
      <c r="J5909" s="6" t="n">
        <f aca="false">Sens!J5906-Sens!J5908</f>
        <v>158.476634113041</v>
      </c>
      <c r="K5909" s="6" t="n">
        <f aca="false">Sens!K5906-Sens!K5908</f>
        <v>189.512798546663</v>
      </c>
    </row>
    <row r="5910" customFormat="false" ht="15" hidden="false" customHeight="false" outlineLevel="0" collapsed="false">
      <c r="A5910" s="1" t="s">
        <v>1126</v>
      </c>
      <c r="B5910" s="0" t="s">
        <v>98</v>
      </c>
      <c r="F5910" s="6" t="n">
        <f aca="false">debt_mat_27</f>
        <v>9.25</v>
      </c>
      <c r="G5910" s="6" t="n">
        <f aca="false">debt_mat_28</f>
        <v>0</v>
      </c>
      <c r="H5910" s="6" t="n">
        <f aca="false">debt_mat_29</f>
        <v>2.001</v>
      </c>
      <c r="I5910" s="6" t="n">
        <f aca="false">debt_mat_30</f>
        <v>0</v>
      </c>
      <c r="J5910" s="6" t="n">
        <f aca="false">debt_mat_31</f>
        <v>0.5</v>
      </c>
      <c r="K5910" s="6" t="n">
        <f aca="false">debt_mat_32</f>
        <v>0</v>
      </c>
    </row>
    <row r="5911" customFormat="false" ht="15" hidden="false" customHeight="false" outlineLevel="0" collapsed="false">
      <c r="A5911" s="1" t="s">
        <v>1127</v>
      </c>
      <c r="B5911" s="0" t="s">
        <v>98</v>
      </c>
      <c r="E5911" s="6" t="n">
        <f aca="false">Q!M40</f>
        <v>22.271</v>
      </c>
      <c r="F5911" s="6" t="n">
        <f aca="false">MAX(0,MIN(bb_target,Sens!E5913+Sens!F5909-Sens!F5910-min_cash))</f>
        <v>0</v>
      </c>
      <c r="G5911" s="6" t="n">
        <f aca="false">MAX(0,MIN(bb_target,Sens!F5913+Sens!G5909-Sens!G5910-min_cash))</f>
        <v>0</v>
      </c>
      <c r="H5911" s="6" t="n">
        <f aca="false">MAX(0,MIN(bb_target,Sens!G5913+Sens!H5909-Sens!H5910-min_cash))</f>
        <v>22.271</v>
      </c>
      <c r="I5911" s="6" t="n">
        <f aca="false">MAX(0,MIN(bb_target,Sens!H5913+Sens!I5909-Sens!I5910-min_cash))</f>
        <v>22.271</v>
      </c>
      <c r="J5911" s="6" t="n">
        <f aca="false">MAX(0,MIN(bb_target,Sens!I5913+Sens!J5909-Sens!J5910-min_cash))</f>
        <v>22.271</v>
      </c>
      <c r="K5911" s="6" t="n">
        <f aca="false">MAX(0,MIN(bb_target,Sens!J5913+Sens!K5909-Sens!K5910-min_cash))</f>
        <v>22.271</v>
      </c>
    </row>
    <row r="5912" customFormat="false" ht="15" hidden="false" customHeight="false" outlineLevel="0" collapsed="false">
      <c r="A5912" s="1" t="s">
        <v>1128</v>
      </c>
      <c r="B5912" s="0" t="s">
        <v>98</v>
      </c>
      <c r="F5912" s="6" t="n">
        <f aca="false">MAX(0,min_cash-(Sens!E5913+Sens!F5909-Sens!F5910-Sens!F5911))</f>
        <v>0.340010426240397</v>
      </c>
      <c r="G5912" s="6" t="n">
        <f aca="false">MAX(0,min_cash-(Sens!F5913+Sens!G5909-Sens!G5910-Sens!G5911))</f>
        <v>9.72909097384357</v>
      </c>
      <c r="H5912" s="6" t="n">
        <f aca="false">MAX(0,min_cash-(Sens!G5913+Sens!H5909-Sens!H5910-Sens!H5911))</f>
        <v>0</v>
      </c>
      <c r="I5912" s="6" t="n">
        <f aca="false">MAX(0,min_cash-(Sens!H5913+Sens!I5909-Sens!I5910-Sens!I5911))</f>
        <v>0</v>
      </c>
      <c r="J5912" s="6" t="n">
        <f aca="false">MAX(0,min_cash-(Sens!I5913+Sens!J5909-Sens!J5910-Sens!J5911))</f>
        <v>0</v>
      </c>
      <c r="K5912" s="6" t="n">
        <f aca="false">MAX(0,min_cash-(Sens!J5913+Sens!K5909-Sens!K5910-Sens!K5911))</f>
        <v>0</v>
      </c>
    </row>
    <row r="5913" customFormat="false" ht="15" hidden="false" customHeight="false" outlineLevel="0" collapsed="false">
      <c r="A5913" s="1" t="s">
        <v>1129</v>
      </c>
      <c r="B5913" s="0" t="s">
        <v>98</v>
      </c>
      <c r="E5913" s="6" t="n">
        <f aca="false">cash_open</f>
        <v>76.843</v>
      </c>
      <c r="F5913" s="6" t="n">
        <f aca="false">Sens!E5913+Sens!F5909-Sens!F5910-Sens!F5911+Sens!F5912</f>
        <v>50</v>
      </c>
      <c r="G5913" s="6" t="n">
        <f aca="false">Sens!F5913+Sens!G5909-Sens!G5910-Sens!G5911+Sens!G5912</f>
        <v>50</v>
      </c>
      <c r="H5913" s="6" t="n">
        <f aca="false">Sens!G5913+Sens!H5909-Sens!H5910-Sens!H5911+Sens!H5912</f>
        <v>51.6839453080351</v>
      </c>
      <c r="I5913" s="6" t="n">
        <f aca="false">Sens!H5913+Sens!I5909-Sens!I5910-Sens!I5911+Sens!I5912</f>
        <v>119.954012738278</v>
      </c>
      <c r="J5913" s="6" t="n">
        <f aca="false">Sens!I5913+Sens!J5909-Sens!J5910-Sens!J5911+Sens!J5912</f>
        <v>255.659646851319</v>
      </c>
      <c r="K5913" s="6" t="n">
        <f aca="false">Sens!J5913+Sens!K5909-Sens!K5910-Sens!K5911+Sens!K5912</f>
        <v>422.901445397982</v>
      </c>
    </row>
    <row r="5914" customFormat="false" ht="15" hidden="false" customHeight="false" outlineLevel="0" collapsed="false">
      <c r="A5914" s="1" t="s">
        <v>1130</v>
      </c>
      <c r="B5914" s="0" t="s">
        <v>98</v>
      </c>
      <c r="E5914" s="6" t="n">
        <f aca="false">debt_face</f>
        <v>46.136</v>
      </c>
      <c r="F5914" s="6" t="n">
        <f aca="false">Sens!E5914-Sens!F5910+Sens!F5912</f>
        <v>37.2260104262404</v>
      </c>
      <c r="G5914" s="6" t="n">
        <f aca="false">Sens!F5914-Sens!G5910+Sens!G5912</f>
        <v>46.955101400084</v>
      </c>
      <c r="H5914" s="6" t="n">
        <f aca="false">Sens!G5914-Sens!H5910+Sens!H5912</f>
        <v>44.954101400084</v>
      </c>
      <c r="I5914" s="6" t="n">
        <f aca="false">Sens!H5914-Sens!I5910+Sens!I5912</f>
        <v>44.954101400084</v>
      </c>
      <c r="J5914" s="6" t="n">
        <f aca="false">Sens!I5914-Sens!J5910+Sens!J5912</f>
        <v>44.454101400084</v>
      </c>
      <c r="K5914" s="6" t="n">
        <f aca="false">Sens!J5914-Sens!K5910+Sens!K5912</f>
        <v>44.454101400084</v>
      </c>
    </row>
    <row r="5915" customFormat="false" ht="15" hidden="false" customHeight="false" outlineLevel="0" collapsed="false">
      <c r="A5915" s="1" t="s">
        <v>1131</v>
      </c>
      <c r="B5915" s="0" t="s">
        <v>98</v>
      </c>
      <c r="E5915" s="6" t="n">
        <f aca="false">Sens!E5913-Sens!E5914</f>
        <v>30.707</v>
      </c>
      <c r="F5915" s="6" t="n">
        <f aca="false">Sens!F5913-Sens!F5914</f>
        <v>12.7739895737596</v>
      </c>
      <c r="G5915" s="6" t="n">
        <f aca="false">Sens!G5913-Sens!G5914</f>
        <v>3.04489859991603</v>
      </c>
      <c r="H5915" s="6" t="n">
        <f aca="false">Sens!H5913-Sens!H5914</f>
        <v>6.72984390795109</v>
      </c>
      <c r="I5915" s="6" t="n">
        <f aca="false">Sens!I5913-Sens!I5914</f>
        <v>74.9999113381941</v>
      </c>
      <c r="J5915" s="6" t="n">
        <f aca="false">Sens!J5913-Sens!J5914</f>
        <v>211.205545451235</v>
      </c>
      <c r="K5915" s="6" t="n">
        <f aca="false">Sens!K5913-Sens!K5914</f>
        <v>378.447343997898</v>
      </c>
    </row>
    <row r="5916" customFormat="false" ht="15" hidden="false" customHeight="false" outlineLevel="0" collapsed="false">
      <c r="A5916" s="1" t="s">
        <v>1132</v>
      </c>
      <c r="B5916" s="0" t="s">
        <v>75</v>
      </c>
      <c r="F5916" s="30" t="n">
        <f aca="false">px*(1+bb_g)^(Sens!F5774-base_fy-mid_yr)</f>
        <v>551.84177959629</v>
      </c>
      <c r="G5916" s="30" t="n">
        <f aca="false">px*(1+bb_g)^(Sens!G5774-base_fy-mid_yr)</f>
        <v>595.989121963993</v>
      </c>
      <c r="H5916" s="30" t="n">
        <f aca="false">px*(1+bb_g)^(Sens!H5774-base_fy-mid_yr)</f>
        <v>643.668251721112</v>
      </c>
      <c r="I5916" s="30" t="n">
        <f aca="false">px*(1+bb_g)^(Sens!I5774-base_fy-mid_yr)</f>
        <v>695.161711858801</v>
      </c>
      <c r="J5916" s="30" t="n">
        <f aca="false">px*(1+bb_g)^(Sens!J5774-base_fy-mid_yr)</f>
        <v>750.774648807506</v>
      </c>
      <c r="K5916" s="30" t="n">
        <f aca="false">px*(1+bb_g)^(Sens!K5774-base_fy-mid_yr)</f>
        <v>810.836620712106</v>
      </c>
    </row>
    <row r="5917" customFormat="false" ht="15" hidden="false" customHeight="false" outlineLevel="0" collapsed="false">
      <c r="A5917" s="1" t="s">
        <v>1133</v>
      </c>
      <c r="B5917" s="1" t="s">
        <v>81</v>
      </c>
      <c r="E5917" s="15" t="n">
        <f aca="false">sh_out26</f>
        <v>7.427</v>
      </c>
      <c r="F5917" s="15" t="n">
        <f aca="false">Sens!E5917+sh_iss-Sens!F5911/Sens!F5916</f>
        <v>7.472</v>
      </c>
      <c r="G5917" s="15" t="n">
        <f aca="false">Sens!F5917+sh_iss-Sens!G5911/Sens!G5916</f>
        <v>7.517</v>
      </c>
      <c r="H5917" s="15" t="n">
        <f aca="false">Sens!G5917+sh_iss-Sens!H5911/Sens!H5916</f>
        <v>7.5273998780576</v>
      </c>
      <c r="I5917" s="15" t="n">
        <f aca="false">Sens!H5917+sh_iss-Sens!I5911/Sens!I5916</f>
        <v>7.54036272811094</v>
      </c>
      <c r="J5917" s="15" t="n">
        <f aca="false">Sens!I5917+sh_iss-Sens!J5911/Sens!J5916</f>
        <v>7.55569870038255</v>
      </c>
      <c r="K5917" s="15" t="n">
        <f aca="false">Sens!J5917+sh_iss-Sens!K5911/Sens!K5916</f>
        <v>7.57323200804144</v>
      </c>
    </row>
    <row r="5918" customFormat="false" ht="15" hidden="false" customHeight="false" outlineLevel="0" collapsed="false">
      <c r="A5918" s="1" t="s">
        <v>1134</v>
      </c>
      <c r="B5918" s="1" t="s">
        <v>81</v>
      </c>
      <c r="E5918" s="15" t="n">
        <f aca="false">sh_dil26</f>
        <v>7.453</v>
      </c>
      <c r="F5918" s="15" t="n">
        <f aca="false">(Sens!E5917+Sens!F5917)/2+dil_gap</f>
        <v>7.4735</v>
      </c>
      <c r="G5918" s="15" t="n">
        <f aca="false">(Sens!F5917+Sens!G5917)/2+dil_gap</f>
        <v>7.5185</v>
      </c>
      <c r="H5918" s="15" t="n">
        <f aca="false">(Sens!G5917+Sens!H5917)/2+dil_gap</f>
        <v>7.5461999390288</v>
      </c>
      <c r="I5918" s="15" t="n">
        <f aca="false">(Sens!H5917+Sens!I5917)/2+dil_gap</f>
        <v>7.55788130308427</v>
      </c>
      <c r="J5918" s="15" t="n">
        <f aca="false">(Sens!I5917+Sens!J5917)/2+dil_gap</f>
        <v>7.57203071424674</v>
      </c>
      <c r="K5918" s="15" t="n">
        <f aca="false">(Sens!J5917+Sens!K5917)/2+dil_gap</f>
        <v>7.58846535421199</v>
      </c>
    </row>
    <row r="5919" customFormat="false" ht="17.15" hidden="false" customHeight="false" outlineLevel="0" collapsed="false">
      <c r="A5919" s="1" t="s">
        <v>1135</v>
      </c>
      <c r="B5919" s="0" t="s">
        <v>98</v>
      </c>
      <c r="C5919" s="6" t="n">
        <f aca="false">SUM(Sens!F5909:J5909)</f>
        <v>247.311545451235</v>
      </c>
    </row>
    <row r="5920" customFormat="false" ht="15" hidden="false" customHeight="false" outlineLevel="0" collapsed="false">
      <c r="A5920" s="26" t="s">
        <v>1100</v>
      </c>
      <c r="B5920" s="31" t="s">
        <v>98</v>
      </c>
      <c r="C5920" s="27" t="n">
        <f aca="false">Sens!$C$5919-(Sens!F5909+Sens!G5909+Sens!H5909+Sens!I5909+Sens!J5909)</f>
        <v>0</v>
      </c>
      <c r="D5920" s="31"/>
      <c r="E5920" s="31"/>
      <c r="F5920" s="31"/>
      <c r="G5920" s="31"/>
      <c r="H5920" s="31"/>
      <c r="I5920" s="31"/>
      <c r="J5920" s="31"/>
      <c r="K5920" s="31"/>
    </row>
    <row r="5921" customFormat="false" ht="17.15" hidden="false" customHeight="false" outlineLevel="0" collapsed="false">
      <c r="A5921" s="1" t="s">
        <v>1094</v>
      </c>
      <c r="B5921" s="1" t="s">
        <v>1136</v>
      </c>
      <c r="C5921" s="33" t="str">
        <f aca="false">IF(SUM(Sens!F5912:J5912)&gt;0.05,"需要舉債 "&amp;TEXT(SUM(Sens!F5912:J5912),"0.0")&amp;" 十億美元","不需舉債")&amp;"；"&amp;IF(SUM(Sens!F5911:J5911)&lt;COUNT(Sens!F5911:J5911)*bb_target-0.05,"回購較每年 "&amp;TEXT(bb_target,"0.0")&amp;" 的目標少 "&amp;TEXT(COUNT(Sens!F5911:J5911)*bb_target-SUM(Sens!F5911:J5911),"0.0")&amp;" 十億美元（"&amp;TEXT(COUNTIF(Sens!F5911:J5911,"&lt;"&amp;(bb_target-0.05)),"0")&amp;" 年減少）","回購不減")</f>
        <v>需要舉債 10.1 十億美元；回購較每年 22.3 的目標少 44.5 十億美元（2 年減少）</v>
      </c>
    </row>
    <row r="5922" customFormat="false" ht="17.15" hidden="false" customHeight="false" outlineLevel="0" collapsed="false">
      <c r="A5922" s="3" t="s">
        <v>1759</v>
      </c>
    </row>
    <row r="5923" customFormat="false" ht="15" hidden="false" customHeight="false" outlineLevel="0" collapsed="false">
      <c r="A5923" s="4" t="s">
        <v>43</v>
      </c>
      <c r="B5923" s="4" t="s">
        <v>65</v>
      </c>
      <c r="C5923" s="23" t="s">
        <v>942</v>
      </c>
      <c r="D5923" s="23" t="s">
        <v>943</v>
      </c>
      <c r="E5923" s="23" t="s">
        <v>944</v>
      </c>
      <c r="F5923" s="23" t="s">
        <v>945</v>
      </c>
      <c r="G5923" s="23" t="s">
        <v>946</v>
      </c>
      <c r="H5923" s="23" t="s">
        <v>947</v>
      </c>
      <c r="I5923" s="23" t="s">
        <v>948</v>
      </c>
      <c r="J5923" s="23" t="s">
        <v>949</v>
      </c>
      <c r="K5923" s="23" t="s">
        <v>950</v>
      </c>
      <c r="L5923" s="4" t="s">
        <v>47</v>
      </c>
    </row>
    <row r="5924" customFormat="false" ht="17.15" hidden="false" customHeight="false" outlineLevel="0" collapsed="false">
      <c r="A5924" s="1" t="s">
        <v>1216</v>
      </c>
      <c r="B5924" s="1" t="s">
        <v>279</v>
      </c>
      <c r="F5924" s="8" t="n">
        <f aca="false">(1-v_off)*mid_yr</f>
        <v>0.373972602739726</v>
      </c>
      <c r="G5924" s="8" t="n">
        <f aca="false">Sens!G5774-base_fy-mid_yr-v_off</f>
        <v>1.24794520547945</v>
      </c>
      <c r="H5924" s="8" t="n">
        <f aca="false">Sens!H5774-base_fy-mid_yr-v_off</f>
        <v>2.24794520547945</v>
      </c>
      <c r="I5924" s="8" t="n">
        <f aca="false">Sens!I5774-base_fy-mid_yr-v_off</f>
        <v>3.24794520547945</v>
      </c>
      <c r="J5924" s="8" t="n">
        <f aca="false">Sens!J5774-base_fy-mid_yr-v_off</f>
        <v>4.24794520547945</v>
      </c>
      <c r="K5924" s="8" t="n">
        <f aca="false">Sens!K5774-base_fy-mid_yr-v_off</f>
        <v>5.24794520547945</v>
      </c>
      <c r="L5924" s="12" t="s">
        <v>1217</v>
      </c>
    </row>
    <row r="5925" customFormat="false" ht="15" hidden="false" customHeight="false" outlineLevel="0" collapsed="false">
      <c r="A5925" s="1" t="s">
        <v>1218</v>
      </c>
      <c r="B5925" s="1" t="s">
        <v>279</v>
      </c>
      <c r="F5925" s="8" t="n">
        <f aca="false">Sens!F5774-base_fy-v_off</f>
        <v>0.747945205479452</v>
      </c>
      <c r="G5925" s="8" t="n">
        <f aca="false">Sens!G5774-base_fy-v_off</f>
        <v>1.74794520547945</v>
      </c>
      <c r="H5925" s="8" t="n">
        <f aca="false">Sens!H5774-base_fy-v_off</f>
        <v>2.74794520547945</v>
      </c>
      <c r="I5925" s="8" t="n">
        <f aca="false">Sens!I5774-base_fy-v_off</f>
        <v>3.74794520547945</v>
      </c>
      <c r="J5925" s="8" t="n">
        <f aca="false">Sens!J5774-base_fy-v_off</f>
        <v>4.74794520547945</v>
      </c>
      <c r="K5925" s="8" t="n">
        <f aca="false">Sens!K5774-base_fy-v_off</f>
        <v>5.74794520547945</v>
      </c>
    </row>
    <row r="5926" customFormat="false" ht="15" hidden="false" customHeight="false" outlineLevel="0" collapsed="false">
      <c r="A5926" s="1" t="s">
        <v>1219</v>
      </c>
      <c r="B5926" s="0" t="s">
        <v>229</v>
      </c>
      <c r="F5926" s="15" t="n">
        <f aca="false">1/(1+wacc)^Sens!F5924</f>
        <v>0.964022703286649</v>
      </c>
      <c r="G5926" s="15" t="n">
        <f aca="false">1/(1+wacc)^Sens!G5924</f>
        <v>0.884910302296739</v>
      </c>
      <c r="H5926" s="15" t="n">
        <f aca="false">1/(1+wacc)^Sens!H5924</f>
        <v>0.802322009770358</v>
      </c>
      <c r="I5926" s="15" t="n">
        <f aca="false">1/(1+wacc)^Sens!I5924</f>
        <v>0.727441646561469</v>
      </c>
      <c r="J5926" s="15" t="n">
        <f aca="false">1/(1+wacc)^Sens!J5924</f>
        <v>0.659549834988973</v>
      </c>
      <c r="K5926" s="15" t="n">
        <f aca="false">1/(1+wacc)^Sens!K5924</f>
        <v>0.597994336576966</v>
      </c>
    </row>
    <row r="5927" customFormat="false" ht="17.15" hidden="false" customHeight="false" outlineLevel="0" collapsed="false">
      <c r="A5927" s="1" t="s">
        <v>1220</v>
      </c>
      <c r="B5927" s="0" t="s">
        <v>98</v>
      </c>
      <c r="F5927" s="6" t="n">
        <f aca="false">Q!$I$35-Q!$I$39-Q!$I$43</f>
        <v>9.666</v>
      </c>
      <c r="L5927" s="12" t="s">
        <v>1221</v>
      </c>
    </row>
    <row r="5928" customFormat="false" ht="17.15" hidden="false" customHeight="false" outlineLevel="0" collapsed="false">
      <c r="A5928" s="1" t="s">
        <v>1222</v>
      </c>
      <c r="B5928" s="0" t="s">
        <v>98</v>
      </c>
      <c r="F5928" s="6" t="n">
        <f aca="false">Sens!F5899-Sens!F5896-Sens!F5903+Sens!F5881*(1-tax_f)*(1-v_off)-Sens!F5927</f>
        <v>-3.94404369723085</v>
      </c>
      <c r="G5928" s="6" t="n">
        <f aca="false">Sens!G5899-Sens!G5896-Sens!G5903+Sens!G5881*(1-tax_f)</f>
        <v>28.2957174061569</v>
      </c>
      <c r="H5928" s="6" t="n">
        <f aca="false">Sens!H5899-Sens!H5896-Sens!H5903+Sens!H5881*(1-tax_f)</f>
        <v>76.9289185310638</v>
      </c>
      <c r="I5928" s="6" t="n">
        <f aca="false">Sens!I5899-Sens!I5896-Sens!I5903+Sens!I5881*(1-tax_f)</f>
        <v>154.006520080739</v>
      </c>
      <c r="J5928" s="6" t="n">
        <f aca="false">Sens!J5899-Sens!J5896-Sens!J5903+Sens!J5881*(1-tax_f)</f>
        <v>231.51799467349</v>
      </c>
      <c r="K5928" s="6" t="n">
        <f aca="false">Sens!K5899-Sens!K5896-Sens!K5903+Sens!K5881*(1-tax_f)</f>
        <v>268.940215401865</v>
      </c>
      <c r="L5928" s="1" t="s">
        <v>1223</v>
      </c>
    </row>
    <row r="5929" customFormat="false" ht="15" hidden="false" customHeight="false" outlineLevel="0" collapsed="false">
      <c r="A5929" s="1" t="s">
        <v>1224</v>
      </c>
      <c r="B5929" s="0" t="s">
        <v>98</v>
      </c>
      <c r="F5929" s="6" t="n">
        <f aca="false">Sens!F5928*Sens!F5926</f>
        <v>-3.80214766688515</v>
      </c>
      <c r="G5929" s="6" t="n">
        <f aca="false">Sens!G5928*Sens!G5926</f>
        <v>25.0391718435854</v>
      </c>
      <c r="H5929" s="6" t="n">
        <f aca="false">Sens!H5928*Sens!H5926</f>
        <v>61.7217645253032</v>
      </c>
      <c r="I5929" s="6" t="n">
        <f aca="false">Sens!I5928*Sens!I5926</f>
        <v>112.030756548735</v>
      </c>
      <c r="J5929" s="6" t="n">
        <f aca="false">Sens!J5928*Sens!J5926</f>
        <v>152.697655183878</v>
      </c>
      <c r="K5929" s="6" t="n">
        <f aca="false">Sens!K5928*Sens!K5926</f>
        <v>160.824725688104</v>
      </c>
    </row>
    <row r="5930" customFormat="false" ht="17.15" hidden="false" customHeight="false" outlineLevel="0" collapsed="false">
      <c r="A5930" s="1" t="s">
        <v>1225</v>
      </c>
      <c r="B5930" s="0" t="s">
        <v>98</v>
      </c>
      <c r="C5930" s="6" t="n">
        <f aca="false">SUM(Sens!F5929:K5929)</f>
        <v>508.511926122721</v>
      </c>
    </row>
    <row r="5931" customFormat="false" ht="17.15" hidden="false" customHeight="false" outlineLevel="0" collapsed="false">
      <c r="A5931" s="1" t="s">
        <v>1226</v>
      </c>
      <c r="B5931" s="0" t="s">
        <v>98</v>
      </c>
      <c r="C5931" s="6" t="n">
        <f aca="false">Sens!K5867*(1+g_tv)*(1-tax_f)</f>
        <v>280.119348851634</v>
      </c>
    </row>
    <row r="5932" customFormat="false" ht="17.15" hidden="false" customHeight="false" outlineLevel="0" collapsed="false">
      <c r="A5932" s="1" t="s">
        <v>1227</v>
      </c>
      <c r="B5932" s="0" t="s">
        <v>98</v>
      </c>
      <c r="C5932" s="6" t="n">
        <f aca="false">Sens!$C$5931*(1-g_tv/(wacc+ronic_prem))</f>
        <v>198.480930594802</v>
      </c>
    </row>
    <row r="5933" customFormat="false" ht="17.15" hidden="false" customHeight="false" outlineLevel="0" collapsed="false">
      <c r="A5933" s="1" t="s">
        <v>1228</v>
      </c>
      <c r="B5933" s="0" t="s">
        <v>98</v>
      </c>
      <c r="C5933" s="6" t="n">
        <f aca="false">Sens!$C$5932/(wacc-g_tv)</f>
        <v>2721.28060856104</v>
      </c>
    </row>
    <row r="5934" customFormat="false" ht="15" hidden="false" customHeight="false" outlineLevel="0" collapsed="false">
      <c r="A5934" s="1" t="s">
        <v>1229</v>
      </c>
      <c r="B5934" s="0" t="s">
        <v>98</v>
      </c>
      <c r="C5934" s="6" t="n">
        <f aca="false">Sens!$C$5933/(1+wacc)^Sens!K5925</f>
        <v>1549.51264730016</v>
      </c>
    </row>
    <row r="5935" customFormat="false" ht="17.15" hidden="false" customHeight="false" outlineLevel="0" collapsed="false">
      <c r="A5935" s="0" t="s">
        <v>1230</v>
      </c>
      <c r="B5935" s="0" t="s">
        <v>98</v>
      </c>
      <c r="C5935" s="6" t="n">
        <f aca="false">Sens!$C$5930+Sens!$C$5934</f>
        <v>2058.02457342289</v>
      </c>
    </row>
    <row r="5936" customFormat="false" ht="15" hidden="false" customHeight="false" outlineLevel="0" collapsed="false">
      <c r="A5936" s="1" t="s">
        <v>1145</v>
      </c>
      <c r="B5936" s="0" t="s">
        <v>168</v>
      </c>
      <c r="C5936" s="7" t="n">
        <f aca="false">Sens!$C$5934/Sens!$C$5935</f>
        <v>0.752912607220735</v>
      </c>
    </row>
    <row r="5937" customFormat="false" ht="17.15" hidden="false" customHeight="false" outlineLevel="0" collapsed="false">
      <c r="A5937" s="1" t="s">
        <v>1231</v>
      </c>
      <c r="B5937" s="0" t="s">
        <v>98</v>
      </c>
      <c r="C5937" s="6" t="n">
        <f aca="false">Sens!$C$5935+cash_val-debt_val-fl_val+oai_v</f>
        <v>2173.87557342289</v>
      </c>
    </row>
    <row r="5938" customFormat="false" ht="17.15" hidden="false" customHeight="false" outlineLevel="0" collapsed="false">
      <c r="A5938" s="0" t="s">
        <v>1153</v>
      </c>
      <c r="B5938" s="0" t="s">
        <v>75</v>
      </c>
      <c r="C5938" s="5" t="n">
        <f aca="false">Sens!$C$5937/shd_val</f>
        <v>291.952131805384</v>
      </c>
    </row>
    <row r="5939" customFormat="false" ht="15" hidden="false" customHeight="false" outlineLevel="0" collapsed="false">
      <c r="A5939" s="1" t="s">
        <v>1232</v>
      </c>
      <c r="B5939" s="0" t="s">
        <v>75</v>
      </c>
      <c r="C5939" s="8" t="n">
        <f aca="false">div_rem27+Sens!G5907*roll_div_q/q_per_yr</f>
        <v>3.9795</v>
      </c>
    </row>
    <row r="5940" customFormat="false" ht="17.15" hidden="false" customHeight="false" outlineLevel="0" collapsed="false">
      <c r="A5940" s="0" t="s">
        <v>1233</v>
      </c>
      <c r="B5940" s="0" t="s">
        <v>75</v>
      </c>
      <c r="C5940" s="5" t="n">
        <f aca="false">Sens!$C$5938*(1+wacc)^t_roll-Sens!$C$5939</f>
        <v>320.54158856732</v>
      </c>
    </row>
    <row r="5941" customFormat="false" ht="17.15" hidden="false" customHeight="false" outlineLevel="0" collapsed="false">
      <c r="A5941" s="1" t="s">
        <v>1234</v>
      </c>
      <c r="B5941" s="0" t="s">
        <v>168</v>
      </c>
      <c r="F5941" s="7" t="n">
        <f aca="false">Sens!F5893/(Sens!F5838-Sens!F5793)</f>
        <v>0.0685914683785026</v>
      </c>
      <c r="G5941" s="7" t="n">
        <f aca="false">Sens!G5893/(Sens!G5838-Sens!G5793)</f>
        <v>0.0658145602308764</v>
      </c>
      <c r="H5941" s="7" t="n">
        <f aca="false">Sens!H5893/(Sens!H5838-Sens!H5793)</f>
        <v>0.0643785748626497</v>
      </c>
      <c r="I5941" s="7" t="n">
        <f aca="false">Sens!I5893/(Sens!I5838-Sens!I5793)</f>
        <v>0.0641632281815063</v>
      </c>
      <c r="J5941" s="7" t="n">
        <f aca="false">Sens!J5893/(Sens!J5838-Sens!J5793)</f>
        <v>0.0648871216944743</v>
      </c>
      <c r="K5941" s="7" t="n">
        <f aca="false">Sens!K5893/(Sens!K5838-Sens!K5793)</f>
        <v>0.0662039349710054</v>
      </c>
    </row>
    <row r="5942" customFormat="false" ht="17.15" hidden="false" customHeight="false" outlineLevel="0" collapsed="false">
      <c r="A5942" s="0" t="s">
        <v>1235</v>
      </c>
      <c r="B5942" s="0" t="s">
        <v>98</v>
      </c>
      <c r="F5942" s="6" t="n">
        <f aca="false">Sens!F5823*(al_m365+Sens!F5941+sbc_r)</f>
        <v>83.7172298907808</v>
      </c>
      <c r="G5942" s="6" t="n">
        <f aca="false">Sens!G5823*(al_m365+Sens!G5941+sbc_r)</f>
        <v>96.1275608128838</v>
      </c>
      <c r="H5942" s="6" t="n">
        <f aca="false">Sens!H5823*(al_m365+Sens!H5941+sbc_r)</f>
        <v>108.701838764913</v>
      </c>
      <c r="I5942" s="6" t="n">
        <f aca="false">Sens!I5823*(al_m365+Sens!I5941+sbc_r)</f>
        <v>120.259341299774</v>
      </c>
      <c r="J5942" s="6" t="n">
        <f aca="false">Sens!J5823*(al_m365+Sens!J5941+sbc_r)</f>
        <v>130.612139083545</v>
      </c>
      <c r="K5942" s="6" t="n">
        <f aca="false">Sens!K5823*(al_m365+Sens!K5941+sbc_r)</f>
        <v>140.576392165276</v>
      </c>
      <c r="L5942" s="12" t="s">
        <v>1236</v>
      </c>
    </row>
    <row r="5943" customFormat="false" ht="17.15" hidden="false" customHeight="false" outlineLevel="0" collapsed="false">
      <c r="A5943" s="0" t="s">
        <v>1237</v>
      </c>
      <c r="B5943" s="0" t="s">
        <v>98</v>
      </c>
      <c r="F5943" s="6" t="n">
        <f aca="false">Sens!F5824*(al_lic+Sens!F5941+sbc_r)</f>
        <v>32.8566871529151</v>
      </c>
      <c r="G5943" s="6" t="n">
        <f aca="false">Sens!G5824*(al_lic+Sens!G5941+sbc_r)</f>
        <v>34.1368745671012</v>
      </c>
      <c r="H5943" s="6" t="n">
        <f aca="false">Sens!H5824*(al_lic+Sens!H5941+sbc_r)</f>
        <v>35.3321186845596</v>
      </c>
      <c r="I5943" s="6" t="n">
        <f aca="false">Sens!I5824*(al_lic+Sens!I5941+sbc_r)</f>
        <v>36.4242852552219</v>
      </c>
      <c r="J5943" s="6" t="n">
        <f aca="false">Sens!J5824*(al_lic+Sens!J5941+sbc_r)</f>
        <v>37.3879959269649</v>
      </c>
      <c r="K5943" s="6" t="n">
        <f aca="false">Sens!K5824*(al_lic+Sens!K5941+sbc_r)</f>
        <v>38.1946781199282</v>
      </c>
    </row>
    <row r="5944" customFormat="false" ht="17.15" hidden="false" customHeight="false" outlineLevel="0" collapsed="false">
      <c r="A5944" s="0" t="s">
        <v>1238</v>
      </c>
      <c r="B5944" s="0" t="s">
        <v>98</v>
      </c>
      <c r="F5944" s="6" t="n">
        <f aca="false">Sens!F5826*(al_ind+Sens!F5941+sbc_r)</f>
        <v>9.05978995947009</v>
      </c>
      <c r="G5944" s="6" t="n">
        <f aca="false">Sens!G5826*(al_ind+Sens!G5941+sbc_r)</f>
        <v>9.83573229424204</v>
      </c>
      <c r="H5944" s="6" t="n">
        <f aca="false">Sens!H5826*(al_ind+Sens!H5941+sbc_r)</f>
        <v>10.6567245626027</v>
      </c>
      <c r="I5944" s="6" t="n">
        <f aca="false">Sens!I5826*(al_ind+Sens!I5941+sbc_r)</f>
        <v>11.5197299695842</v>
      </c>
      <c r="J5944" s="6" t="n">
        <f aca="false">Sens!J5826*(al_ind+Sens!J5941+sbc_r)</f>
        <v>12.4150475726789</v>
      </c>
      <c r="K5944" s="6" t="n">
        <f aca="false">Sens!K5826*(al_ind+Sens!K5941+sbc_r)</f>
        <v>13.3275858584943</v>
      </c>
    </row>
    <row r="5945" customFormat="false" ht="17.15" hidden="false" customHeight="false" outlineLevel="0" collapsed="false">
      <c r="A5945" s="0" t="s">
        <v>1239</v>
      </c>
      <c r="B5945" s="0" t="s">
        <v>98</v>
      </c>
      <c r="F5945" s="6" t="n">
        <f aca="false">Sens!F5828*(al_fro+Sens!F5941+sbc_r)</f>
        <v>3.55378353528797</v>
      </c>
      <c r="G5945" s="6" t="n">
        <f aca="false">Sens!G5828*(al_fro+Sens!G5941+sbc_r)</f>
        <v>3.76343944114365</v>
      </c>
      <c r="H5945" s="6" t="n">
        <f aca="false">Sens!H5828*(al_fro+Sens!H5941+sbc_r)</f>
        <v>4.00210023641944</v>
      </c>
      <c r="I5945" s="6" t="n">
        <f aca="false">Sens!I5828*(al_fro+Sens!I5941+sbc_r)</f>
        <v>4.27252934261228</v>
      </c>
      <c r="J5945" s="6" t="n">
        <f aca="false">Sens!J5828*(al_fro+Sens!J5941+sbc_r)</f>
        <v>4.57587658838563</v>
      </c>
      <c r="K5945" s="6" t="n">
        <f aca="false">Sens!K5828*(al_fro+Sens!K5941+sbc_r)</f>
        <v>4.91221541863362</v>
      </c>
    </row>
    <row r="5946" customFormat="false" ht="17.15" hidden="false" customHeight="false" outlineLevel="0" collapsed="false">
      <c r="A5946" s="0" t="s">
        <v>1240</v>
      </c>
      <c r="B5946" s="0" t="s">
        <v>98</v>
      </c>
      <c r="F5946" s="6" t="n">
        <f aca="false">Sens!F5831*(al_srch+Sens!F5941+sbc_r)</f>
        <v>11.1883159271877</v>
      </c>
      <c r="G5946" s="6" t="n">
        <f aca="false">Sens!G5831*(al_srch+Sens!G5941+sbc_r)</f>
        <v>12.2611672873445</v>
      </c>
      <c r="H5946" s="6" t="n">
        <f aca="false">Sens!H5831*(al_srch+Sens!H5941+sbc_r)</f>
        <v>13.3791204409092</v>
      </c>
      <c r="I5946" s="6" t="n">
        <f aca="false">Sens!I5831*(al_srch+Sens!I5941+sbc_r)</f>
        <v>14.5315510298814</v>
      </c>
      <c r="J5946" s="6" t="n">
        <f aca="false">Sens!J5831*(al_srch+Sens!J5941+sbc_r)</f>
        <v>15.6984857934706</v>
      </c>
      <c r="K5946" s="6" t="n">
        <f aca="false">Sens!K5831*(al_srch+Sens!K5941+sbc_r)</f>
        <v>16.8523653281246</v>
      </c>
    </row>
    <row r="5947" customFormat="false" ht="17.15" hidden="false" customHeight="false" outlineLevel="0" collapsed="false">
      <c r="A5947" s="0" t="s">
        <v>1241</v>
      </c>
      <c r="B5947" s="0" t="s">
        <v>98</v>
      </c>
      <c r="F5947" s="6" t="n">
        <f aca="false">Sens!F5799-Sens!F5800+Sens!F5881</f>
        <v>41.6383428555007</v>
      </c>
      <c r="G5947" s="6" t="n">
        <f aca="false">Sens!G5799-Sens!G5800+Sens!G5881</f>
        <v>79.5151996312102</v>
      </c>
      <c r="H5947" s="6" t="n">
        <f aca="false">Sens!H5799-Sens!H5800+Sens!H5881</f>
        <v>120.181284046736</v>
      </c>
      <c r="I5947" s="6" t="n">
        <f aca="false">Sens!I5799-Sens!I5800+Sens!I5881</f>
        <v>156.377830047304</v>
      </c>
      <c r="J5947" s="6" t="n">
        <f aca="false">Sens!J5799-Sens!J5800+Sens!J5881</f>
        <v>181.655083963876</v>
      </c>
      <c r="K5947" s="6" t="n">
        <f aca="false">Sens!K5799-Sens!K5800+Sens!K5881</f>
        <v>196.665953078931</v>
      </c>
    </row>
    <row r="5948" customFormat="false" ht="17.15" hidden="false" customHeight="false" outlineLevel="0" collapsed="false">
      <c r="A5948" s="0" t="s">
        <v>1242</v>
      </c>
      <c r="B5948" s="0" t="s">
        <v>98</v>
      </c>
      <c r="F5948" s="6" t="n">
        <f aca="false">Sens!F5860+Sens!F5881+Sens!F5811+Sens!F5941*(Sens!F5830-Sens!F5793)+sbc_r*Sens!F5830</f>
        <v>237.38422417252</v>
      </c>
      <c r="G5948" s="6" t="n">
        <f aca="false">Sens!G5860+Sens!G5881+Sens!G5811+Sens!G5941*(Sens!G5830-Sens!G5793)+sbc_r*Sens!G5830</f>
        <v>298.010540117073</v>
      </c>
      <c r="H5948" s="6" t="n">
        <f aca="false">Sens!H5860+Sens!H5881+Sens!H5811+Sens!H5941*(Sens!H5830-Sens!H5793)+sbc_r*Sens!H5830</f>
        <v>366.425394190456</v>
      </c>
      <c r="I5948" s="6" t="n">
        <f aca="false">Sens!I5860+Sens!I5881+Sens!I5811+Sens!I5941*(Sens!I5830-Sens!I5793)+sbc_r*Sens!I5830</f>
        <v>428.986960821689</v>
      </c>
      <c r="J5948" s="6" t="n">
        <f aca="false">Sens!J5860+Sens!J5881+Sens!J5811+Sens!J5941*(Sens!J5830-Sens!J5793)+sbc_r*Sens!J5830</f>
        <v>478.17681680997</v>
      </c>
      <c r="K5948" s="6" t="n">
        <f aca="false">Sens!K5860+Sens!K5881+Sens!K5811+Sens!K5941*(Sens!K5830-Sens!K5793)+sbc_r*Sens!K5830</f>
        <v>514.703779716902</v>
      </c>
    </row>
    <row r="5949" customFormat="false" ht="17.15" hidden="false" customHeight="false" outlineLevel="0" collapsed="false">
      <c r="A5949" s="0" t="s">
        <v>1243</v>
      </c>
      <c r="B5949" s="0" t="s">
        <v>98</v>
      </c>
      <c r="F5949" s="6" t="n">
        <f aca="false">Sens!F5948-Sens!F5942-Sens!F5943-Sens!F5944-Sens!F5945-Sens!F5947</f>
        <v>66.5583907785651</v>
      </c>
      <c r="G5949" s="6" t="n">
        <f aca="false">Sens!G5948-Sens!G5942-Sens!G5943-Sens!G5944-Sens!G5945-Sens!G5947</f>
        <v>74.6317333704923</v>
      </c>
      <c r="H5949" s="6" t="n">
        <f aca="false">Sens!H5948-Sens!H5942-Sens!H5943-Sens!H5944-Sens!H5945-Sens!H5947</f>
        <v>87.5513278952247</v>
      </c>
      <c r="I5949" s="6" t="n">
        <f aca="false">Sens!I5948-Sens!I5942-Sens!I5943-Sens!I5944-Sens!I5945-Sens!I5947</f>
        <v>100.133244907193</v>
      </c>
      <c r="J5949" s="6" t="n">
        <f aca="false">Sens!J5948-Sens!J5942-Sens!J5943-Sens!J5944-Sens!J5945-Sens!J5947</f>
        <v>111.530673674519</v>
      </c>
      <c r="K5949" s="6" t="n">
        <f aca="false">Sens!K5948-Sens!K5942-Sens!K5943-Sens!K5944-Sens!K5945-Sens!K5947</f>
        <v>121.026955075639</v>
      </c>
    </row>
    <row r="5950" customFormat="false" ht="17.15" hidden="false" customHeight="false" outlineLevel="0" collapsed="false">
      <c r="A5950" s="0" t="s">
        <v>1244</v>
      </c>
      <c r="B5950" s="0" t="s">
        <v>98</v>
      </c>
      <c r="F5950" s="6" t="n">
        <f aca="false">Sens!F5862+Sens!F5941*Sens!F5837+sbc_r*Sens!F5837</f>
        <v>26.6318297805795</v>
      </c>
      <c r="G5950" s="6" t="n">
        <f aca="false">Sens!G5862+Sens!G5941*Sens!G5837+sbc_r*Sens!G5837</f>
        <v>26.4708401870028</v>
      </c>
      <c r="H5950" s="6" t="n">
        <f aca="false">Sens!H5862+Sens!H5941*Sens!H5837+sbc_r*Sens!H5837</f>
        <v>27.3460380155566</v>
      </c>
      <c r="I5950" s="6" t="n">
        <f aca="false">Sens!I5862+Sens!I5941*Sens!I5837+sbc_r*Sens!I5837</f>
        <v>28.4571485835491</v>
      </c>
      <c r="J5950" s="6" t="n">
        <f aca="false">Sens!J5862+Sens!J5941*Sens!J5837+sbc_r*Sens!J5837</f>
        <v>29.7690832629583</v>
      </c>
      <c r="K5950" s="6" t="n">
        <f aca="false">Sens!K5862+Sens!K5941*Sens!K5837+sbc_r*Sens!K5837</f>
        <v>31.2449021317551</v>
      </c>
    </row>
    <row r="5951" customFormat="false" ht="17.15" hidden="false" customHeight="false" outlineLevel="0" collapsed="false">
      <c r="A5951" s="0" t="s">
        <v>1245</v>
      </c>
      <c r="B5951" s="0" t="s">
        <v>98</v>
      </c>
      <c r="F5951" s="6" t="n">
        <f aca="false">(Sens!F5950-Sens!F5946)*Sens!F5833/(Sens!F5833+Sens!F5835)</f>
        <v>8.72227297923861</v>
      </c>
      <c r="G5951" s="6" t="n">
        <f aca="false">(Sens!G5950-Sens!G5946)*Sens!G5833/(Sens!G5833+Sens!G5835)</f>
        <v>7.88749034330464</v>
      </c>
      <c r="H5951" s="6" t="n">
        <f aca="false">(Sens!H5950-Sens!H5946)*Sens!H5833/(Sens!H5833+Sens!H5835)</f>
        <v>7.65174669853572</v>
      </c>
      <c r="I5951" s="6" t="n">
        <f aca="false">(Sens!I5950-Sens!I5946)*Sens!I5833/(Sens!I5833+Sens!I5835)</f>
        <v>7.56251927906182</v>
      </c>
      <c r="J5951" s="6" t="n">
        <f aca="false">(Sens!J5950-Sens!J5946)*Sens!J5833/(Sens!J5833+Sens!J5835)</f>
        <v>7.60792533840213</v>
      </c>
      <c r="K5951" s="6" t="n">
        <f aca="false">(Sens!K5950-Sens!K5946)*Sens!K5833/(Sens!K5833+Sens!K5835)</f>
        <v>7.78199686755819</v>
      </c>
    </row>
    <row r="5952" customFormat="false" ht="17.15" hidden="false" customHeight="false" outlineLevel="0" collapsed="false">
      <c r="A5952" s="0" t="s">
        <v>1246</v>
      </c>
      <c r="B5952" s="0" t="s">
        <v>98</v>
      </c>
      <c r="F5952" s="6" t="n">
        <f aca="false">Sens!F5950-Sens!F5946-Sens!F5951</f>
        <v>6.72124087415322</v>
      </c>
      <c r="G5952" s="6" t="n">
        <f aca="false">Sens!G5950-Sens!G5946-Sens!G5951</f>
        <v>6.32218255635371</v>
      </c>
      <c r="H5952" s="6" t="n">
        <f aca="false">Sens!H5950-Sens!H5946-Sens!H5951</f>
        <v>6.31517087611164</v>
      </c>
      <c r="I5952" s="6" t="n">
        <f aca="false">Sens!I5950-Sens!I5946-Sens!I5951</f>
        <v>6.36307827460584</v>
      </c>
      <c r="J5952" s="6" t="n">
        <f aca="false">Sens!J5950-Sens!J5946-Sens!J5951</f>
        <v>6.46267213108552</v>
      </c>
      <c r="K5952" s="6" t="n">
        <f aca="false">Sens!K5950-Sens!K5946-Sens!K5951</f>
        <v>6.61053993607223</v>
      </c>
    </row>
    <row r="5953" customFormat="false" ht="17.15" hidden="false" customHeight="false" outlineLevel="0" collapsed="false">
      <c r="A5953" s="0" t="s">
        <v>1247</v>
      </c>
      <c r="B5953" s="0" t="s">
        <v>98</v>
      </c>
      <c r="F5953" s="6" t="n">
        <f aca="false">Sens!F5947-tax_f*(Sens!F5947-Sens!F5811)-Sens!F5808</f>
        <v>-128.227366862049</v>
      </c>
      <c r="G5953" s="6" t="n">
        <f aca="false">Sens!G5947-tax_f*(Sens!G5947-Sens!G5811)-Sens!G5808</f>
        <v>-116.18541781362</v>
      </c>
      <c r="H5953" s="6" t="n">
        <f aca="false">Sens!H5947-tax_f*(Sens!H5947-Sens!H5811)-Sens!H5808</f>
        <v>-82.8409586948343</v>
      </c>
      <c r="I5953" s="6" t="n">
        <f aca="false">Sens!I5947-tax_f*(Sens!I5947-Sens!I5811)-Sens!I5808</f>
        <v>-20.6663676448575</v>
      </c>
      <c r="J5953" s="6" t="n">
        <f aca="false">Sens!J5947-tax_f*(Sens!J5947-Sens!J5811)-Sens!J5808</f>
        <v>42.7972705850799</v>
      </c>
      <c r="K5953" s="6" t="n">
        <f aca="false">Sens!K5947-tax_f*(Sens!K5947-Sens!K5811)-Sens!K5808</f>
        <v>66.9724433085993</v>
      </c>
    </row>
    <row r="5954" customFormat="false" ht="17.15" hidden="false" customHeight="false" outlineLevel="0" collapsed="false">
      <c r="A5954" s="0" t="s">
        <v>1248</v>
      </c>
      <c r="B5954" s="0" t="s">
        <v>98</v>
      </c>
      <c r="G5954" s="6" t="n">
        <f aca="false">Sens!G5953/(1+wacc)^(Sens!G5924-Sens!F5925)</f>
        <v>-110.630876077375</v>
      </c>
      <c r="H5954" s="6" t="n">
        <f aca="false">Sens!H5953/(1+wacc)^(Sens!H5924-Sens!F5925)</f>
        <v>-71.5186484443379</v>
      </c>
      <c r="I5954" s="6" t="n">
        <f aca="false">Sens!I5953/(1+wacc)^(Sens!I5924-Sens!F5925)</f>
        <v>-16.1766201702023</v>
      </c>
      <c r="J5954" s="6" t="n">
        <f aca="false">Sens!J5953/(1+wacc)^(Sens!J5924-Sens!F5925)</f>
        <v>30.3731031309356</v>
      </c>
      <c r="K5954" s="6" t="n">
        <f aca="false">Sens!K5953/(1+wacc)^(Sens!K5924-Sens!F5925)</f>
        <v>43.094186854387</v>
      </c>
      <c r="L5954" s="1" t="s">
        <v>1249</v>
      </c>
    </row>
    <row r="5955" customFormat="false" ht="17.15" hidden="false" customHeight="false" outlineLevel="0" collapsed="false">
      <c r="A5955" s="0" t="s">
        <v>1250</v>
      </c>
      <c r="B5955" s="0" t="s">
        <v>98</v>
      </c>
      <c r="C5955" s="6" t="n">
        <f aca="false">(Sens!K5947-Sens!K5811)*(1-tax_f)*(1+g_tv)*(1-g_tv/(wacc+ronic_prem))/(wacc-g_tv)/(1+wacc)^(Sens!K5925-Sens!F5925)</f>
        <v>263.148567746437</v>
      </c>
    </row>
    <row r="5956" customFormat="false" ht="17.15" hidden="false" customHeight="false" outlineLevel="0" collapsed="false">
      <c r="A5956" s="1" t="s">
        <v>1251</v>
      </c>
      <c r="B5956" s="0" t="s">
        <v>98</v>
      </c>
      <c r="C5956" s="6" t="n">
        <f aca="false">(SUM(Sens!G5954:K5954)+Sens!$C$5955)*(1+wacc)^(t_roll-Sens!F5925)</f>
        <v>142.855074686424</v>
      </c>
      <c r="L5956" s="12" t="s">
        <v>1252</v>
      </c>
    </row>
    <row r="5957" customFormat="false" ht="17.15" hidden="false" customHeight="false" outlineLevel="0" collapsed="false">
      <c r="A5957" s="1" t="s">
        <v>1253</v>
      </c>
      <c r="B5957" s="0" t="s">
        <v>98</v>
      </c>
      <c r="C5957" s="6" t="n">
        <f aca="false">(w_ntm28*Sens!G5799+(1-w_ntm28)*Sens!H5799)*m_ai</f>
        <v>449.717602149028</v>
      </c>
    </row>
    <row r="5958" customFormat="false" ht="17.15" hidden="false" customHeight="false" outlineLevel="0" collapsed="false">
      <c r="A5958" s="1" t="s">
        <v>1254</v>
      </c>
      <c r="B5958" s="0" t="s">
        <v>98</v>
      </c>
      <c r="C5958" s="6" t="n">
        <f aca="false">(w_ntm28*Sens!G5949+(1-w_ntm28)*Sens!H5949)*m_cloud</f>
        <v>1090.11152931669</v>
      </c>
    </row>
    <row r="5959" customFormat="false" ht="17.15" hidden="false" customHeight="false" outlineLevel="0" collapsed="false">
      <c r="A5959" s="1" t="s">
        <v>1255</v>
      </c>
      <c r="B5959" s="0" t="s">
        <v>98</v>
      </c>
      <c r="C5959" s="6" t="n">
        <f aca="false">(w_ntm28*Sens!G5942+(1-w_ntm28)*Sens!H5942)*m_sw</f>
        <v>1082.824956028</v>
      </c>
    </row>
    <row r="5960" customFormat="false" ht="17.15" hidden="false" customHeight="false" outlineLevel="0" collapsed="false">
      <c r="A5960" s="1" t="s">
        <v>1256</v>
      </c>
      <c r="B5960" s="0" t="s">
        <v>98</v>
      </c>
      <c r="C5960" s="6" t="n">
        <f aca="false">(w_ntm28*Sens!G5943+(1-w_ntm28)*Sens!H5943)*m_sw</f>
        <v>372.922180602024</v>
      </c>
    </row>
    <row r="5961" customFormat="false" ht="17.15" hidden="false" customHeight="false" outlineLevel="0" collapsed="false">
      <c r="A5961" s="1" t="s">
        <v>1257</v>
      </c>
      <c r="B5961" s="0" t="s">
        <v>98</v>
      </c>
      <c r="C5961" s="6" t="n">
        <f aca="false">(w_ntm28*Sens!G5944+(1-w_ntm28)*Sens!H5944)*m_sw</f>
        <v>109.140993653966</v>
      </c>
    </row>
    <row r="5962" customFormat="false" ht="17.15" hidden="false" customHeight="false" outlineLevel="0" collapsed="false">
      <c r="A5962" s="1" t="s">
        <v>1258</v>
      </c>
      <c r="B5962" s="0" t="s">
        <v>98</v>
      </c>
      <c r="C5962" s="6" t="n">
        <f aca="false">(w_ntm28*Sens!G5945+(1-w_ntm28)*Sens!H5945)*m_sw</f>
        <v>41.4925552538786</v>
      </c>
    </row>
    <row r="5963" customFormat="false" ht="17.15" hidden="false" customHeight="false" outlineLevel="0" collapsed="false">
      <c r="A5963" s="1" t="s">
        <v>1259</v>
      </c>
      <c r="B5963" s="0" t="s">
        <v>98</v>
      </c>
      <c r="C5963" s="6" t="n">
        <f aca="false">(w_ntm28*Sens!G5946+(1-w_ntm28)*Sens!H5946)*m_ads</f>
        <v>115.047580254768</v>
      </c>
    </row>
    <row r="5964" customFormat="false" ht="17.15" hidden="false" customHeight="false" outlineLevel="0" collapsed="false">
      <c r="A5964" s="1" t="s">
        <v>1260</v>
      </c>
      <c r="B5964" s="0" t="s">
        <v>98</v>
      </c>
      <c r="C5964" s="6" t="n">
        <f aca="false">(w_ntm28*Sens!G5951+(1-w_ntm28)*Sens!H5951)*m_game</f>
        <v>98.6401179180972</v>
      </c>
    </row>
    <row r="5965" customFormat="false" ht="17.15" hidden="false" customHeight="false" outlineLevel="0" collapsed="false">
      <c r="A5965" s="1" t="s">
        <v>1261</v>
      </c>
      <c r="B5965" s="0" t="s">
        <v>98</v>
      </c>
      <c r="C5965" s="6" t="n">
        <f aca="false">(w_ntm28*Sens!G5952+(1-w_ntm28)*Sens!H5952)*m_pc</f>
        <v>91.4486252025687</v>
      </c>
    </row>
    <row r="5966" customFormat="false" ht="17.15" hidden="false" customHeight="false" outlineLevel="0" collapsed="false">
      <c r="A5966" s="1" t="s">
        <v>1262</v>
      </c>
      <c r="B5966" s="0" t="s">
        <v>98</v>
      </c>
      <c r="C5966" s="6" t="n">
        <f aca="false">Sens!$C$5956+Sens!$C$5958+Sens!$C$5959+Sens!$C$5960+Sens!$C$5961+Sens!$C$5962+Sens!$C$5963+Sens!$C$5964+Sens!$C$5965</f>
        <v>3144.48361291641</v>
      </c>
    </row>
    <row r="5967" customFormat="false" ht="17.15" hidden="false" customHeight="false" outlineLevel="0" collapsed="false">
      <c r="A5967" s="1" t="s">
        <v>1263</v>
      </c>
      <c r="B5967" s="0" t="s">
        <v>98</v>
      </c>
      <c r="C5967" s="6" t="n">
        <f aca="false">(Sens!G5928-Sens!G5953)*t_stub</f>
        <v>47.8964859221727</v>
      </c>
      <c r="L5967" s="1" t="s">
        <v>1264</v>
      </c>
    </row>
    <row r="5968" customFormat="false" ht="17.15" hidden="false" customHeight="false" outlineLevel="0" collapsed="false">
      <c r="A5968" s="1" t="s">
        <v>1173</v>
      </c>
      <c r="B5968" s="0" t="s">
        <v>98</v>
      </c>
      <c r="C5968" s="6" t="n">
        <f aca="false">Sens!F5915+oai_v-Sens!F5904+Sens!$C$5967</f>
        <v>161.784745495932</v>
      </c>
      <c r="L5968" s="1" t="s">
        <v>1265</v>
      </c>
    </row>
    <row r="5969" customFormat="false" ht="17.15" hidden="false" customHeight="false" outlineLevel="0" collapsed="false">
      <c r="A5969" s="1" t="s">
        <v>1266</v>
      </c>
      <c r="B5969" s="0" t="s">
        <v>75</v>
      </c>
      <c r="C5969" s="5" t="n">
        <f aca="false">(Sens!$C$5966+Sens!$C$5968)/(Sens!F5917+dil_gap)-Sens!G5907*roll_div_q/q_per_yr</f>
        <v>440.031518998445</v>
      </c>
      <c r="L5969" s="1" t="s">
        <v>1267</v>
      </c>
    </row>
    <row r="5970" customFormat="false" ht="17.15" hidden="false" customHeight="false" outlineLevel="0" collapsed="false">
      <c r="A5970" s="1" t="s">
        <v>1268</v>
      </c>
      <c r="B5970" s="0" t="s">
        <v>75</v>
      </c>
      <c r="C5970" s="5" t="n">
        <f aca="false">w_dcf*Sens!$C$5940+(1-w_dcf)*Sens!$C$5969</f>
        <v>380.286553782882</v>
      </c>
    </row>
    <row r="5971" customFormat="false" ht="17.15" hidden="false" customHeight="false" outlineLevel="0" collapsed="false">
      <c r="A5971" s="3" t="s">
        <v>1760</v>
      </c>
    </row>
    <row r="5972" customFormat="false" ht="15" hidden="false" customHeight="false" outlineLevel="0" collapsed="false">
      <c r="A5972" s="4" t="s">
        <v>43</v>
      </c>
      <c r="B5972" s="4" t="s">
        <v>65</v>
      </c>
      <c r="C5972" s="23" t="s">
        <v>942</v>
      </c>
      <c r="D5972" s="23" t="s">
        <v>943</v>
      </c>
      <c r="E5972" s="23" t="s">
        <v>944</v>
      </c>
      <c r="F5972" s="23" t="s">
        <v>945</v>
      </c>
      <c r="G5972" s="23" t="s">
        <v>946</v>
      </c>
      <c r="H5972" s="23" t="s">
        <v>947</v>
      </c>
      <c r="I5972" s="23" t="s">
        <v>948</v>
      </c>
      <c r="J5972" s="23" t="s">
        <v>949</v>
      </c>
      <c r="K5972" s="23" t="s">
        <v>950</v>
      </c>
      <c r="L5972" s="4" t="s">
        <v>47</v>
      </c>
    </row>
    <row r="5973" customFormat="false" ht="17.15" hidden="false" customHeight="false" outlineLevel="0" collapsed="false">
      <c r="A5973" s="1" t="s">
        <v>951</v>
      </c>
      <c r="B5973" s="1" t="s">
        <v>279</v>
      </c>
      <c r="C5973" s="21" t="n">
        <v>2024</v>
      </c>
      <c r="D5973" s="21" t="n">
        <v>2025</v>
      </c>
      <c r="E5973" s="21" t="n">
        <v>2026</v>
      </c>
      <c r="F5973" s="21" t="n">
        <v>2027</v>
      </c>
      <c r="G5973" s="21" t="n">
        <v>2028</v>
      </c>
      <c r="H5973" s="21" t="n">
        <v>2029</v>
      </c>
      <c r="I5973" s="21" t="n">
        <v>2030</v>
      </c>
      <c r="J5973" s="21" t="n">
        <v>2031</v>
      </c>
      <c r="K5973" s="21" t="n">
        <v>2032</v>
      </c>
    </row>
    <row r="5974" customFormat="false" ht="17.15" hidden="false" customHeight="false" outlineLevel="0" collapsed="false">
      <c r="A5974" s="1" t="s">
        <v>952</v>
      </c>
      <c r="B5974" s="0" t="s">
        <v>459</v>
      </c>
      <c r="F5974" s="30" t="n">
        <f aca="false">pace</f>
        <v>2726.5351</v>
      </c>
      <c r="G5974" s="30" t="n">
        <f aca="false">pace</f>
        <v>2726.5351</v>
      </c>
      <c r="H5974" s="30" t="n">
        <f aca="false">pace</f>
        <v>2726.5351</v>
      </c>
      <c r="I5974" s="30" t="n">
        <f aca="false">pace+(g_tv*Sens!H5975-pace)*MIN(1,(Sens!I5973-pace_y0)/(pace_y1-pace_y0))</f>
        <v>1931.98611966667</v>
      </c>
      <c r="J5974" s="30" t="n">
        <f aca="false">pace+(g_tv*Sens!I5975-pace)*MIN(1,(Sens!J5973-pace_y0)/(pace_y1-pace_y0))</f>
        <v>1176.07686172667</v>
      </c>
      <c r="K5974" s="30" t="n">
        <f aca="false">pace+(g_tv*Sens!J5975-pace)*MIN(1,(Sens!K5973-pace_y0)/(pace_y1-pace_y0))</f>
        <v>436.1300484418</v>
      </c>
      <c r="L5974" s="12" t="s">
        <v>953</v>
      </c>
    </row>
    <row r="5975" customFormat="false" ht="17.15" hidden="false" customHeight="false" outlineLevel="0" collapsed="false">
      <c r="A5975" s="1" t="s">
        <v>954</v>
      </c>
      <c r="B5975" s="0" t="s">
        <v>459</v>
      </c>
      <c r="C5975" s="30" t="n">
        <f aca="false">mw_ext_24</f>
        <v>640</v>
      </c>
      <c r="D5975" s="30" t="n">
        <f aca="false">mw_ext_25</f>
        <v>1630</v>
      </c>
      <c r="E5975" s="30" t="n">
        <f aca="false">mw_ext_26</f>
        <v>3250</v>
      </c>
      <c r="F5975" s="30" t="n">
        <f aca="false">Sens!E5975+Sens!F5974</f>
        <v>5976.5351</v>
      </c>
      <c r="G5975" s="30" t="n">
        <f aca="false">Sens!F5975+Sens!G5974</f>
        <v>8703.0702</v>
      </c>
      <c r="H5975" s="30" t="n">
        <f aca="false">Sens!G5975+Sens!H5974</f>
        <v>11429.6053</v>
      </c>
      <c r="I5975" s="30" t="n">
        <f aca="false">Sens!H5975+Sens!I5974</f>
        <v>13361.5914196667</v>
      </c>
      <c r="J5975" s="30" t="n">
        <f aca="false">Sens!I5975+Sens!J5974</f>
        <v>14537.6682813933</v>
      </c>
      <c r="K5975" s="30" t="n">
        <f aca="false">Sens!J5975+Sens!K5974</f>
        <v>14973.7983298351</v>
      </c>
      <c r="L5975" s="1" t="s">
        <v>955</v>
      </c>
    </row>
    <row r="5976" customFormat="false" ht="17.15" hidden="false" customHeight="false" outlineLevel="0" collapsed="false">
      <c r="A5976" s="1" t="s">
        <v>956</v>
      </c>
      <c r="B5976" s="0" t="s">
        <v>459</v>
      </c>
      <c r="C5976" s="30" t="n">
        <f aca="false">rent_ext_24</f>
        <v>150</v>
      </c>
      <c r="D5976" s="30" t="n">
        <f aca="false">rent_ext_25</f>
        <v>400</v>
      </c>
      <c r="E5976" s="30" t="n">
        <f aca="false">rent_ext_26</f>
        <v>550</v>
      </c>
      <c r="F5976" s="30" t="n">
        <f aca="false">rent_ext_f</f>
        <v>756</v>
      </c>
      <c r="G5976" s="30" t="n">
        <f aca="false">rent_ext_f</f>
        <v>756</v>
      </c>
      <c r="H5976" s="30" t="n">
        <f aca="false">rent_ext_f</f>
        <v>756</v>
      </c>
      <c r="I5976" s="30" t="n">
        <f aca="false">rent_ext_f</f>
        <v>756</v>
      </c>
      <c r="J5976" s="30" t="n">
        <f aca="false">rent_ext_f</f>
        <v>756</v>
      </c>
      <c r="K5976" s="30" t="n">
        <f aca="false">rent_ext_f</f>
        <v>756</v>
      </c>
      <c r="L5976" s="1" t="s">
        <v>957</v>
      </c>
    </row>
    <row r="5977" customFormat="false" ht="17.15" hidden="false" customHeight="false" outlineLevel="0" collapsed="false">
      <c r="A5977" s="1" t="s">
        <v>958</v>
      </c>
      <c r="B5977" s="0" t="s">
        <v>459</v>
      </c>
      <c r="C5977" s="30" t="n">
        <f aca="false">Sens!C5975-Sens!C5976</f>
        <v>490</v>
      </c>
      <c r="D5977" s="30" t="n">
        <f aca="false">Sens!D5975-Sens!D5976</f>
        <v>1230</v>
      </c>
      <c r="E5977" s="30" t="n">
        <f aca="false">Sens!E5975-Sens!E5976</f>
        <v>2700</v>
      </c>
      <c r="F5977" s="30" t="n">
        <f aca="false">Sens!F5975-Sens!F5976</f>
        <v>5220.5351</v>
      </c>
      <c r="G5977" s="30" t="n">
        <f aca="false">Sens!G5975-Sens!G5976</f>
        <v>7947.0702</v>
      </c>
      <c r="H5977" s="30" t="n">
        <f aca="false">Sens!H5975-Sens!H5976</f>
        <v>10673.6053</v>
      </c>
      <c r="I5977" s="30" t="n">
        <f aca="false">Sens!I5975-Sens!I5976</f>
        <v>12605.5914196667</v>
      </c>
      <c r="J5977" s="30" t="n">
        <f aca="false">Sens!J5975-Sens!J5976</f>
        <v>13781.6682813933</v>
      </c>
      <c r="K5977" s="30" t="n">
        <f aca="false">Sens!K5975-Sens!K5976</f>
        <v>14217.7983298351</v>
      </c>
    </row>
    <row r="5978" customFormat="false" ht="17.15" hidden="false" customHeight="false" outlineLevel="0" collapsed="false">
      <c r="A5978" s="1" t="s">
        <v>959</v>
      </c>
      <c r="B5978" s="0" t="s">
        <v>459</v>
      </c>
      <c r="C5978" s="30" t="n">
        <f aca="false">Sens!C5977/ext_sh</f>
        <v>816.666666666667</v>
      </c>
      <c r="D5978" s="30" t="n">
        <f aca="false">Sens!D5977/ext_sh</f>
        <v>2050</v>
      </c>
      <c r="E5978" s="30" t="n">
        <f aca="false">Sens!E5977/ext_sh</f>
        <v>4500</v>
      </c>
      <c r="F5978" s="30" t="n">
        <f aca="false">Sens!F5977/ext_sh</f>
        <v>8700.89183333333</v>
      </c>
      <c r="G5978" s="30" t="n">
        <f aca="false">Sens!G5977/ext_sh</f>
        <v>13245.117</v>
      </c>
      <c r="H5978" s="30" t="n">
        <f aca="false">Sens!H5977/ext_sh</f>
        <v>17789.3421666667</v>
      </c>
      <c r="I5978" s="30" t="n">
        <f aca="false">Sens!I5977/ext_sh</f>
        <v>21009.3190327778</v>
      </c>
      <c r="J5978" s="30" t="n">
        <f aca="false">Sens!J5977/ext_sh</f>
        <v>22969.4471356556</v>
      </c>
      <c r="K5978" s="30" t="n">
        <f aca="false">Sens!K5977/ext_sh</f>
        <v>23696.3305497252</v>
      </c>
      <c r="L5978" s="1" t="s">
        <v>960</v>
      </c>
    </row>
    <row r="5979" customFormat="false" ht="17.15" hidden="false" customHeight="false" outlineLevel="0" collapsed="false">
      <c r="A5979" s="1" t="s">
        <v>961</v>
      </c>
      <c r="B5979" s="0" t="s">
        <v>459</v>
      </c>
      <c r="C5979" s="30" t="n">
        <f aca="false">Sens!C5978-Sens!C5977</f>
        <v>326.666666666667</v>
      </c>
      <c r="D5979" s="30" t="n">
        <f aca="false">Sens!D5978-Sens!D5977</f>
        <v>820</v>
      </c>
      <c r="E5979" s="30" t="n">
        <f aca="false">Sens!E5978-Sens!E5977</f>
        <v>1800</v>
      </c>
      <c r="F5979" s="30" t="n">
        <f aca="false">Sens!F5978-Sens!F5977</f>
        <v>3480.35673333333</v>
      </c>
      <c r="G5979" s="30" t="n">
        <f aca="false">Sens!G5978-Sens!G5977</f>
        <v>5298.0468</v>
      </c>
      <c r="H5979" s="30" t="n">
        <f aca="false">Sens!H5978-Sens!H5977</f>
        <v>7115.73686666667</v>
      </c>
      <c r="I5979" s="30" t="n">
        <f aca="false">Sens!I5978-Sens!I5977</f>
        <v>8403.72761311111</v>
      </c>
      <c r="J5979" s="30" t="n">
        <f aca="false">Sens!J5978-Sens!J5977</f>
        <v>9187.77885426222</v>
      </c>
      <c r="K5979" s="30" t="n">
        <f aca="false">Sens!K5978-Sens!K5977</f>
        <v>9478.53221989009</v>
      </c>
    </row>
    <row r="5980" customFormat="false" ht="17.15" hidden="false" customHeight="false" outlineLevel="0" collapsed="false">
      <c r="A5980" s="1" t="s">
        <v>962</v>
      </c>
      <c r="B5980" s="0" t="s">
        <v>459</v>
      </c>
      <c r="C5980" s="30" t="n">
        <f aca="false">Sens!C5978</f>
        <v>816.666666666667</v>
      </c>
      <c r="D5980" s="30" t="n">
        <f aca="false">Sens!D5978-Sens!C5978</f>
        <v>1233.33333333333</v>
      </c>
      <c r="E5980" s="30" t="n">
        <f aca="false">Sens!E5978-Sens!D5978</f>
        <v>2450</v>
      </c>
      <c r="F5980" s="30" t="n">
        <f aca="false">Sens!F5978-Sens!E5978</f>
        <v>4200.89183333333</v>
      </c>
      <c r="G5980" s="30" t="n">
        <f aca="false">Sens!G5978-Sens!F5978</f>
        <v>4544.22516666667</v>
      </c>
      <c r="H5980" s="30" t="n">
        <f aca="false">Sens!H5978-Sens!G5978</f>
        <v>4544.22516666667</v>
      </c>
      <c r="I5980" s="30" t="n">
        <f aca="false">Sens!I5978-Sens!H5978</f>
        <v>3219.97686611111</v>
      </c>
      <c r="J5980" s="30" t="n">
        <f aca="false">Sens!J5978-Sens!I5978</f>
        <v>1960.12810287778</v>
      </c>
      <c r="K5980" s="30" t="n">
        <f aca="false">Sens!K5978-Sens!J5978</f>
        <v>726.883414069667</v>
      </c>
    </row>
    <row r="5981" customFormat="false" ht="17.15" hidden="false" customHeight="false" outlineLevel="0" collapsed="false">
      <c r="A5981" s="1" t="s">
        <v>963</v>
      </c>
      <c r="B5981" s="0" t="s">
        <v>459</v>
      </c>
      <c r="D5981" s="30" t="n">
        <f aca="false">Sens!D5975-Sens!C5975</f>
        <v>990</v>
      </c>
      <c r="E5981" s="30" t="n">
        <f aca="false">Sens!E5975-Sens!D5975</f>
        <v>1620</v>
      </c>
      <c r="F5981" s="30" t="n">
        <f aca="false">Sens!F5975-Sens!E5975</f>
        <v>2726.5351</v>
      </c>
      <c r="G5981" s="30" t="n">
        <f aca="false">Sens!G5975-Sens!F5975</f>
        <v>2726.5351</v>
      </c>
      <c r="H5981" s="30" t="n">
        <f aca="false">Sens!H5975-Sens!G5975</f>
        <v>2726.5351</v>
      </c>
      <c r="I5981" s="30" t="n">
        <f aca="false">Sens!I5975-Sens!H5975</f>
        <v>1931.98611966667</v>
      </c>
      <c r="J5981" s="30" t="n">
        <f aca="false">Sens!J5975-Sens!I5975</f>
        <v>1176.07686172667</v>
      </c>
      <c r="K5981" s="30" t="n">
        <f aca="false">Sens!K5975-Sens!J5975</f>
        <v>436.130048441799</v>
      </c>
    </row>
    <row r="5982" customFormat="false" ht="17.15" hidden="false" customHeight="false" outlineLevel="0" collapsed="false">
      <c r="A5982" s="1" t="s">
        <v>964</v>
      </c>
      <c r="B5982" s="0" t="s">
        <v>459</v>
      </c>
      <c r="F5982" s="30" t="n">
        <f aca="false">Sens!F6001*ext_sh</f>
        <v>0</v>
      </c>
      <c r="G5982" s="30" t="n">
        <f aca="false">Sens!G6001*ext_sh</f>
        <v>0</v>
      </c>
      <c r="H5982" s="30" t="n">
        <f aca="false">Sens!H6001*ext_sh</f>
        <v>0</v>
      </c>
      <c r="I5982" s="30" t="n">
        <f aca="false">Sens!I6001*ext_sh</f>
        <v>490</v>
      </c>
      <c r="J5982" s="30" t="n">
        <f aca="false">Sens!J6001*ext_sh</f>
        <v>740</v>
      </c>
      <c r="K5982" s="30" t="n">
        <f aca="false">Sens!K6001*ext_sh</f>
        <v>1470</v>
      </c>
      <c r="L5982" s="1" t="s">
        <v>965</v>
      </c>
    </row>
    <row r="5983" customFormat="false" ht="17.15" hidden="false" customHeight="false" outlineLevel="0" collapsed="false">
      <c r="A5983" s="1" t="s">
        <v>966</v>
      </c>
      <c r="B5983" s="0" t="s">
        <v>459</v>
      </c>
      <c r="C5983" s="30" t="n">
        <f aca="false">mix_h*Sens!C5975</f>
        <v>128</v>
      </c>
      <c r="D5983" s="30" t="n">
        <f aca="false">mix_h*Sens!D5975</f>
        <v>326</v>
      </c>
      <c r="E5983" s="30" t="n">
        <f aca="false">mix_h*Sens!E5975</f>
        <v>650</v>
      </c>
      <c r="F5983" s="30" t="n">
        <f aca="false">Sens!E5983-Sens!F5982*mix_h</f>
        <v>650</v>
      </c>
      <c r="G5983" s="30" t="n">
        <f aca="false">Sens!F5983-Sens!G5982*mix_h</f>
        <v>650</v>
      </c>
      <c r="H5983" s="30" t="n">
        <f aca="false">Sens!G5983-Sens!H5982*mix_h</f>
        <v>650</v>
      </c>
      <c r="I5983" s="30" t="n">
        <f aca="false">Sens!H5983-Sens!I5982*mix_h</f>
        <v>552</v>
      </c>
      <c r="J5983" s="30" t="n">
        <f aca="false">Sens!I5983-Sens!J5982*mix_h</f>
        <v>404</v>
      </c>
      <c r="K5983" s="30" t="n">
        <f aca="false">Sens!J5983-Sens!K5982*mix_h</f>
        <v>110</v>
      </c>
    </row>
    <row r="5984" customFormat="false" ht="17.15" hidden="false" customHeight="false" outlineLevel="0" collapsed="false">
      <c r="A5984" s="1" t="s">
        <v>967</v>
      </c>
      <c r="B5984" s="0" t="s">
        <v>459</v>
      </c>
      <c r="C5984" s="30" t="n">
        <f aca="false">mix_g2*Sens!C5975</f>
        <v>288</v>
      </c>
      <c r="D5984" s="30" t="n">
        <f aca="false">mix_g2*Sens!D5975</f>
        <v>733.5</v>
      </c>
      <c r="E5984" s="30" t="n">
        <f aca="false">mix_g2*Sens!E5975</f>
        <v>1462.5</v>
      </c>
      <c r="F5984" s="30" t="n">
        <f aca="false">Sens!E5984-Sens!F5982*mix_g2</f>
        <v>1462.5</v>
      </c>
      <c r="G5984" s="30" t="n">
        <f aca="false">Sens!F5984-Sens!G5982*mix_g2</f>
        <v>1462.5</v>
      </c>
      <c r="H5984" s="30" t="n">
        <f aca="false">Sens!G5984-Sens!H5982*mix_g2</f>
        <v>1462.5</v>
      </c>
      <c r="I5984" s="30" t="n">
        <f aca="false">Sens!H5984-Sens!I5982*mix_g2</f>
        <v>1242</v>
      </c>
      <c r="J5984" s="30" t="n">
        <f aca="false">Sens!I5984-Sens!J5982*mix_g2</f>
        <v>909</v>
      </c>
      <c r="K5984" s="30" t="n">
        <f aca="false">Sens!J5984-Sens!K5982*mix_g2</f>
        <v>247.5</v>
      </c>
    </row>
    <row r="5985" customFormat="false" ht="17.15" hidden="false" customHeight="false" outlineLevel="0" collapsed="false">
      <c r="A5985" s="1" t="s">
        <v>968</v>
      </c>
      <c r="B5985" s="0" t="s">
        <v>459</v>
      </c>
      <c r="C5985" s="30" t="n">
        <f aca="false">mix_g3*Sens!C5975</f>
        <v>224</v>
      </c>
      <c r="D5985" s="30" t="n">
        <f aca="false">mix_g3*Sens!D5975</f>
        <v>570.5</v>
      </c>
      <c r="E5985" s="30" t="n">
        <f aca="false">mix_g3*Sens!E5975</f>
        <v>1137.5</v>
      </c>
      <c r="F5985" s="30" t="n">
        <f aca="false">Sens!E5985+(Sens!F5981+Sens!F5982)*(a_g3_27-nonnv*a_mai)-Sens!F5982*mix_g3</f>
        <v>2773.42106</v>
      </c>
      <c r="G5985" s="30" t="n">
        <f aca="false">Sens!F5985+(Sens!G5981+Sens!G5982)*(a_g3_28-nonnv*a_mai)-Sens!G5982*mix_g3</f>
        <v>3318.72808</v>
      </c>
      <c r="H5985" s="30" t="n">
        <f aca="false">Sens!G5985+(Sens!H5981+Sens!H5982)*(a_g3_29-nonnv*a_mai)-Sens!H5982*mix_g3</f>
        <v>3318.72808</v>
      </c>
      <c r="I5985" s="30" t="n">
        <f aca="false">Sens!H5985+(Sens!I5981+Sens!I5982)*(a_g3_29-nonnv*a_mai)-Sens!I5982*mix_g3</f>
        <v>3147.22808</v>
      </c>
      <c r="J5985" s="30" t="n">
        <f aca="false">Sens!I5985+(Sens!J5981+Sens!J5982)*(a_g3_29-nonnv*a_mai)-Sens!J5982*mix_g3</f>
        <v>2888.22808</v>
      </c>
      <c r="K5985" s="30" t="n">
        <f aca="false">Sens!J5985+(Sens!K5981+Sens!K5982)*(a_g3_29-nonnv*a_mai)-Sens!K5982*mix_g3</f>
        <v>2373.72808</v>
      </c>
    </row>
    <row r="5986" customFormat="false" ht="17.15" hidden="false" customHeight="false" outlineLevel="0" collapsed="false">
      <c r="A5986" s="1" t="s">
        <v>969</v>
      </c>
      <c r="B5986" s="0" t="s">
        <v>459</v>
      </c>
      <c r="C5986" s="30" t="n">
        <v>0</v>
      </c>
      <c r="D5986" s="30" t="n">
        <v>0</v>
      </c>
      <c r="E5986" s="30" t="n">
        <v>0</v>
      </c>
      <c r="F5986" s="30" t="n">
        <f aca="false">Sens!E5986+(Sens!F5981+Sens!F5982)*nonnv*a_mai</f>
        <v>272.65351</v>
      </c>
      <c r="G5986" s="30" t="n">
        <f aca="false">Sens!F5986+(Sens!G5981+Sens!G5982)*nonnv*a_mai</f>
        <v>545.30702</v>
      </c>
      <c r="H5986" s="30" t="n">
        <f aca="false">Sens!G5986+(Sens!H5981+Sens!H5982)*nonnv*a_mai</f>
        <v>817.96053</v>
      </c>
      <c r="I5986" s="30" t="n">
        <f aca="false">Sens!H5986+(Sens!I5981+Sens!I5982)*nonnv*a_mai</f>
        <v>1060.15914196667</v>
      </c>
      <c r="J5986" s="30" t="n">
        <f aca="false">Sens!I5986+(Sens!J5981+Sens!J5982)*nonnv*a_mai</f>
        <v>1251.76682813933</v>
      </c>
      <c r="K5986" s="30" t="n">
        <f aca="false">Sens!J5986+(Sens!K5981+Sens!K5982)*nonnv*a_mai</f>
        <v>1442.37983298351</v>
      </c>
      <c r="L5986" s="12" t="s">
        <v>970</v>
      </c>
    </row>
    <row r="5987" customFormat="false" ht="17.15" hidden="false" customHeight="false" outlineLevel="0" collapsed="false">
      <c r="A5987" s="1" t="s">
        <v>971</v>
      </c>
      <c r="B5987" s="0" t="s">
        <v>459</v>
      </c>
      <c r="C5987" s="30" t="n">
        <v>0</v>
      </c>
      <c r="D5987" s="30" t="n">
        <v>0</v>
      </c>
      <c r="E5987" s="30" t="n">
        <v>0</v>
      </c>
      <c r="F5987" s="30" t="n">
        <f aca="false">Sens!E5987+(Sens!F5981+Sens!F5982)*(1-a_g3_27)</f>
        <v>817.96053</v>
      </c>
      <c r="G5987" s="30" t="n">
        <f aca="false">Sens!F5987+(Sens!G5981+Sens!G5982)*(1-a_g3_28)</f>
        <v>2726.5351</v>
      </c>
      <c r="H5987" s="30" t="n">
        <f aca="false">Sens!G5987+(Sens!H5981+Sens!H5982)*(1-a_g3_29)</f>
        <v>5180.41669</v>
      </c>
      <c r="I5987" s="30" t="n">
        <f aca="false">Sens!H5987+(Sens!I5981+Sens!I5982)*(1-a_g3_29)</f>
        <v>7360.2041977</v>
      </c>
      <c r="J5987" s="30" t="n">
        <f aca="false">Sens!I5987+(Sens!J5981+Sens!J5982)*(1-a_g3_29)</f>
        <v>9084.673373254</v>
      </c>
      <c r="K5987" s="30" t="n">
        <f aca="false">Sens!J5987+(Sens!K5981+Sens!K5982)*(1-a_g3_29)</f>
        <v>10800.1904168516</v>
      </c>
    </row>
    <row r="5988" customFormat="false" ht="17.15" hidden="false" customHeight="false" outlineLevel="0" collapsed="false">
      <c r="A5988" s="1" t="s">
        <v>972</v>
      </c>
      <c r="B5988" s="0" t="s">
        <v>403</v>
      </c>
      <c r="C5988" s="15" t="n">
        <f aca="false">(Sens!C5983*tk_hold_h100+Sens!C5984*tk_hold_gb200+Sens!C5985*tk_hold_gb300+Sens!C5987*tk_hold_vr200+Sens!C5986*nv_hold_mai*tk_hold_vr200)/Sens!C5975</f>
        <v>9.7235358126469</v>
      </c>
      <c r="D5988" s="15" t="n">
        <f aca="false">(Sens!D5983*tk_hold_h100+Sens!D5984*tk_hold_gb200+Sens!D5985*tk_hold_gb300+Sens!D5987*tk_hold_vr200+Sens!D5986*nv_hold_mai*tk_hold_vr200)/Sens!D5975</f>
        <v>9.7235358126469</v>
      </c>
      <c r="E5988" s="15" t="n">
        <f aca="false">(Sens!E5983*tk_hold_h100+Sens!E5984*tk_hold_gb200+Sens!E5985*tk_hold_gb300+Sens!E5987*tk_hold_vr200+Sens!E5986*nv_hold_mai*tk_hold_vr200)/Sens!E5975</f>
        <v>9.7235358126469</v>
      </c>
      <c r="F5988" s="15" t="n">
        <f aca="false">(Sens!F5983*tk_hold_h100+Sens!F5984*tk_hold_gb200+Sens!F5985*tk_hold_gb300+Sens!F5987*tk_hold_vr200+Sens!F5986*nv_hold_mai*tk_hold_vr200)/Sens!F5975</f>
        <v>10.2195353876665</v>
      </c>
      <c r="G5988" s="15" t="n">
        <f aca="false">(Sens!G5983*tk_hold_h100+Sens!G5984*tk_hold_gb200+Sens!G5985*tk_hold_gb300+Sens!G5987*tk_hold_vr200+Sens!G5986*nv_hold_mai*tk_hold_vr200)/Sens!G5975</f>
        <v>10.5725598017306</v>
      </c>
      <c r="H5988" s="15" t="n">
        <f aca="false">(Sens!H5983*tk_hold_h100+Sens!H5984*tk_hold_gb200+Sens!H5985*tk_hold_gb300+Sens!H5987*tk_hold_vr200+Sens!H5986*nv_hold_mai*tk_hold_vr200)/Sens!H5975</f>
        <v>10.8210427149036</v>
      </c>
      <c r="I5988" s="15" t="n">
        <f aca="false">(Sens!I5983*tk_hold_h100+Sens!I5984*tk_hold_gb200+Sens!I5985*tk_hold_gb300+Sens!I5987*tk_hold_vr200+Sens!I5986*nv_hold_mai*tk_hold_vr200)/Sens!I5975</f>
        <v>11.0050618241982</v>
      </c>
      <c r="J5988" s="15" t="n">
        <f aca="false">(Sens!J5983*tk_hold_h100+Sens!J5984*tk_hold_gb200+Sens!J5985*tk_hold_gb300+Sens!J5987*tk_hold_vr200+Sens!J5986*nv_hold_mai*tk_hold_vr200)/Sens!J5975</f>
        <v>11.1505789658881</v>
      </c>
      <c r="K5988" s="15" t="n">
        <f aca="false">(Sens!K5983*tk_hold_h100+Sens!K5984*tk_hold_gb200+Sens!K5985*tk_hold_gb300+Sens!K5987*tk_hold_vr200+Sens!K5986*nv_hold_mai*tk_hold_vr200)/Sens!K5975</f>
        <v>11.3496914757183</v>
      </c>
      <c r="L5988" s="1" t="s">
        <v>973</v>
      </c>
    </row>
    <row r="5989" customFormat="false" ht="17.15" hidden="false" customHeight="false" outlineLevel="0" collapsed="false">
      <c r="A5989" s="1" t="s">
        <v>974</v>
      </c>
      <c r="B5989" s="0" t="s">
        <v>403</v>
      </c>
      <c r="C5989" s="15" t="n">
        <f aca="false">(Sens!C5983*tk_hold_h100+Sens!C5984*tk_hold_gb200+Sens!C5985*tk_hold_gb300+Sens!C5987*tk_hold_vr200+Sens!C5986*nv_out_mai_lo*tk_hold_vr200)/Sens!C5975</f>
        <v>9.7235358126469</v>
      </c>
      <c r="D5989" s="15" t="n">
        <f aca="false">(Sens!D5983*tk_hold_h100+Sens!D5984*tk_hold_gb200+Sens!D5985*tk_hold_gb300+Sens!D5987*tk_hold_vr200+Sens!D5986*nv_out_mai_lo*tk_hold_vr200)/Sens!D5975</f>
        <v>9.7235358126469</v>
      </c>
      <c r="E5989" s="15" t="n">
        <f aca="false">(Sens!E5983*tk_hold_h100+Sens!E5984*tk_hold_gb200+Sens!E5985*tk_hold_gb300+Sens!E5987*tk_hold_vr200+Sens!E5986*nv_out_mai_lo*tk_hold_vr200)/Sens!E5975</f>
        <v>9.7235358126469</v>
      </c>
      <c r="F5989" s="15" t="n">
        <f aca="false">(Sens!F5983*tk_hold_h100+Sens!F5984*tk_hold_gb200+Sens!F5985*tk_hold_gb300+Sens!F5987*tk_hold_vr200+Sens!F5986*nv_out_mai_lo*tk_hold_vr200)/Sens!F5975</f>
        <v>10.0801018561541</v>
      </c>
      <c r="G5989" s="15" t="n">
        <f aca="false">(Sens!G5983*tk_hold_h100+Sens!G5984*tk_hold_gb200+Sens!G5985*tk_hold_gb300+Sens!G5987*tk_hold_vr200+Sens!G5986*nv_out_mai_lo*tk_hold_vr200)/Sens!G5975</f>
        <v>10.3810574063574</v>
      </c>
      <c r="H5989" s="15" t="n">
        <f aca="false">(Sens!H5983*tk_hold_h100+Sens!H5984*tk_hold_gb200+Sens!H5985*tk_hold_gb300+Sens!H5987*tk_hold_vr200+Sens!H5986*nv_out_mai_lo*tk_hold_vr200)/Sens!H5975</f>
        <v>10.6023135357252</v>
      </c>
      <c r="I5989" s="15" t="n">
        <f aca="false">(Sens!I5983*tk_hold_h100+Sens!I5984*tk_hold_gb200+Sens!I5985*tk_hold_gb300+Sens!I5987*tk_hold_vr200+Sens!I5986*nv_out_mai_lo*tk_hold_vr200)/Sens!I5975</f>
        <v>10.7625580601765</v>
      </c>
      <c r="J5989" s="15" t="n">
        <f aca="false">(Sens!J5983*tk_hold_h100+Sens!J5984*tk_hold_gb200+Sens!J5985*tk_hold_gb300+Sens!J5987*tk_hold_vr200+Sens!J5986*nv_out_mai_lo*tk_hold_vr200)/Sens!J5975</f>
        <v>10.8874102312998</v>
      </c>
      <c r="K5989" s="15" t="n">
        <f aca="false">(Sens!K5983*tk_hold_h100+Sens!K5984*tk_hold_gb200+Sens!K5985*tk_hold_gb300+Sens!K5987*tk_hold_vr200+Sens!K5986*nv_out_mai_lo*tk_hold_vr200)/Sens!K5975</f>
        <v>11.0552809921972</v>
      </c>
      <c r="L5989" s="12" t="s">
        <v>975</v>
      </c>
    </row>
    <row r="5990" customFormat="false" ht="17.15" hidden="false" customHeight="false" outlineLevel="0" collapsed="false">
      <c r="A5990" s="0" t="s">
        <v>976</v>
      </c>
      <c r="B5990" s="0" t="s">
        <v>229</v>
      </c>
      <c r="C5990" s="15" t="n">
        <f aca="false">k_B</f>
        <v>1.17213932619116</v>
      </c>
      <c r="D5990" s="15" t="n">
        <f aca="false">k_B</f>
        <v>1.17213932619116</v>
      </c>
      <c r="E5990" s="15" t="n">
        <f aca="false">k_B</f>
        <v>1.17213932619116</v>
      </c>
      <c r="F5990" s="15" t="n">
        <f aca="false">(k_B+((ls_C*k_long+(1-ls_C)*k_spot)-k_B)*MIN(1,(Sens!F5973-base_fy)/k_ramp))</f>
        <v>1.07843258004497</v>
      </c>
      <c r="G5990" s="15" t="n">
        <f aca="false">(k_B+((ls_C*k_long+(1-ls_C)*k_spot)-k_B)*MIN(1,(Sens!G5973-base_fy)/k_ramp))</f>
        <v>0.984725833898784</v>
      </c>
      <c r="H5990" s="15" t="n">
        <f aca="false">(k_B+((ls_C*k_long+(1-ls_C)*k_spot)-k_B)*MIN(1,(Sens!H5973-base_fy)/k_ramp))</f>
        <v>0.891019087752599</v>
      </c>
      <c r="I5990" s="15" t="n">
        <f aca="false">(k_B+((ls_C*k_long+(1-ls_C)*k_spot)-k_B)*MIN(1,(Sens!I5973-base_fy)/k_ramp))</f>
        <v>0.891019087752599</v>
      </c>
      <c r="J5990" s="15" t="n">
        <f aca="false">(k_B+((ls_C*k_long+(1-ls_C)*k_spot)-k_B)*MIN(1,(Sens!J5973-base_fy)/k_ramp))</f>
        <v>0.891019087752599</v>
      </c>
      <c r="K5990" s="15" t="n">
        <f aca="false">(k_B+((ls_C*k_long+(1-ls_C)*k_spot)-k_B)*MIN(1,(Sens!K5973-base_fy)/k_ramp))</f>
        <v>0.891019087752599</v>
      </c>
      <c r="L5990" s="1" t="s">
        <v>977</v>
      </c>
    </row>
    <row r="5991" customFormat="false" ht="17.15" hidden="false" customHeight="false" outlineLevel="0" collapsed="false">
      <c r="A5991" s="1" t="s">
        <v>978</v>
      </c>
      <c r="B5991" s="0" t="s">
        <v>403</v>
      </c>
      <c r="C5991" s="15" t="n">
        <f aca="false">Sens!C5989*Sens!C5990*chip_f</f>
        <v>11.3973387156315</v>
      </c>
      <c r="D5991" s="15" t="n">
        <f aca="false">Sens!D5989*Sens!D5990*chip_f</f>
        <v>11.3973387156315</v>
      </c>
      <c r="E5991" s="15" t="n">
        <f aca="false">Sens!E5989*Sens!E5990*chip_f</f>
        <v>11.3973387156315</v>
      </c>
      <c r="F5991" s="15" t="n">
        <f aca="false">Sens!F5989*Sens!F5990*chip_f</f>
        <v>10.8707102518483</v>
      </c>
      <c r="G5991" s="15" t="n">
        <f aca="false">Sens!G5989*Sens!G5990*chip_f</f>
        <v>10.2224954112264</v>
      </c>
      <c r="H5991" s="15" t="n">
        <f aca="false">Sens!H5989*Sens!H5990*chip_f</f>
        <v>9.44686373466892</v>
      </c>
      <c r="I5991" s="15" t="n">
        <f aca="false">Sens!I5989*Sens!I5990*chip_f</f>
        <v>9.58964466466281</v>
      </c>
      <c r="J5991" s="15" t="n">
        <f aca="false">Sens!J5989*Sens!J5990*chip_f</f>
        <v>9.70089033228102</v>
      </c>
      <c r="K5991" s="15" t="n">
        <f aca="false">Sens!K5989*Sens!K5990*chip_f</f>
        <v>9.85046638451617</v>
      </c>
      <c r="L5991" s="1" t="s">
        <v>979</v>
      </c>
    </row>
    <row r="5992" customFormat="false" ht="17.15" hidden="false" customHeight="false" outlineLevel="0" collapsed="false">
      <c r="A5992" s="0" t="s">
        <v>980</v>
      </c>
      <c r="B5992" s="0" t="s">
        <v>98</v>
      </c>
      <c r="D5992" s="6" t="n">
        <f aca="false">(Sens!C5975+Sens!D5975)/2*Sens!D5991/1000</f>
        <v>12.9359794422418</v>
      </c>
      <c r="E5992" s="6" t="n">
        <f aca="false">(Sens!D5975+Sens!E5975)/2*Sens!E5991/1000</f>
        <v>27.8095064661409</v>
      </c>
      <c r="F5992" s="6" t="n">
        <f aca="false">(Sens!E5975+Sens!F5975)/2*Sens!F5991/1000</f>
        <v>50.1494948503043</v>
      </c>
      <c r="G5992" s="6" t="n">
        <f aca="false">(Sens!F5975+Sens!G5975)/2*Sens!G5991/1000</f>
        <v>75.0310989089326</v>
      </c>
      <c r="H5992" s="6" t="n">
        <f aca="false">(Sens!G5975+Sens!H5975)/2*Sens!H5991/1000</f>
        <v>95.0953210314038</v>
      </c>
      <c r="I5992" s="6" t="n">
        <f aca="false">(Sens!H5975+Sens!I5975)/2*Sens!I5991/1000</f>
        <v>118.869383676679</v>
      </c>
      <c r="J5992" s="6" t="n">
        <f aca="false">(Sens!I5975+Sens!J5975)/2*Sens!J5991/1000</f>
        <v>135.323829355905</v>
      </c>
      <c r="K5992" s="6" t="n">
        <f aca="false">(Sens!J5975+Sens!K5975)/2*Sens!K5991/1000</f>
        <v>145.350854905839</v>
      </c>
      <c r="L5992" s="12" t="s">
        <v>981</v>
      </c>
    </row>
    <row r="5993" customFormat="false" ht="17.15" hidden="false" customHeight="false" outlineLevel="0" collapsed="false">
      <c r="A5993" s="1" t="s">
        <v>982</v>
      </c>
      <c r="B5993" s="0" t="s">
        <v>403</v>
      </c>
      <c r="C5993" s="15" t="n">
        <f aca="false">(Sens!C5983*tk_opex_h100+Sens!C5984*tk_opex_gb200+Sens!C5985*tk_opex_gb300+(Sens!C5987+Sens!C5986)*tk_opex_vr200)/Sens!C5975</f>
        <v>1.88636041306092</v>
      </c>
      <c r="D5993" s="15" t="n">
        <f aca="false">(Sens!D5983*tk_opex_h100+Sens!D5984*tk_opex_gb200+Sens!D5985*tk_opex_gb300+(Sens!D5987+Sens!D5986)*tk_opex_vr200)/Sens!D5975</f>
        <v>1.88636041306092</v>
      </c>
      <c r="E5993" s="15" t="n">
        <f aca="false">(Sens!E5983*tk_opex_h100+Sens!E5984*tk_opex_gb200+Sens!E5985*tk_opex_gb300+(Sens!E5987+Sens!E5986)*tk_opex_vr200)/Sens!E5975</f>
        <v>1.88636041306092</v>
      </c>
      <c r="F5993" s="15" t="n">
        <f aca="false">(Sens!F5983*tk_opex_h100+Sens!F5984*tk_opex_gb200+Sens!F5985*tk_opex_gb300+(Sens!F5987+Sens!F5986)*tk_opex_vr200)/Sens!F5975</f>
        <v>1.95051159746876</v>
      </c>
      <c r="G5993" s="15" t="n">
        <f aca="false">(Sens!G5983*tk_opex_h100+Sens!G5984*tk_opex_gb200+Sens!G5985*tk_opex_gb300+(Sens!G5987+Sens!G5986)*tk_opex_vr200)/Sens!G5975</f>
        <v>1.98836003669956</v>
      </c>
      <c r="H5993" s="15" t="n">
        <f aca="false">(Sens!H5983*tk_opex_h100+Sens!H5984*tk_opex_gb200+Sens!H5985*tk_opex_gb300+(Sens!H5987+Sens!H5986)*tk_opex_vr200)/Sens!H5975</f>
        <v>2.01344013834343</v>
      </c>
      <c r="I5993" s="15" t="n">
        <f aca="false">(Sens!I5983*tk_opex_h100+Sens!I5984*tk_opex_gb200+Sens!I5985*tk_opex_gb300+(Sens!I5987+Sens!I5986)*tk_opex_vr200)/Sens!I5975</f>
        <v>2.03261166882178</v>
      </c>
      <c r="J5993" s="15" t="n">
        <f aca="false">(Sens!J5983*tk_opex_h100+Sens!J5984*tk_opex_gb200+Sens!J5985*tk_opex_gb300+(Sens!J5987+Sens!J5986)*tk_opex_vr200)/Sens!J5975</f>
        <v>2.04808073288745</v>
      </c>
      <c r="K5993" s="15" t="n">
        <f aca="false">(Sens!K5983*tk_opex_h100+Sens!K5984*tk_opex_gb200+Sens!K5985*tk_opex_gb300+(Sens!K5987+Sens!K5986)*tk_opex_vr200)/Sens!K5975</f>
        <v>2.06973825807449</v>
      </c>
      <c r="L5993" s="12" t="s">
        <v>983</v>
      </c>
    </row>
    <row r="5994" customFormat="false" ht="17.15" hidden="false" customHeight="false" outlineLevel="0" collapsed="false">
      <c r="A5994" s="0" t="s">
        <v>984</v>
      </c>
      <c r="B5994" s="0" t="s">
        <v>98</v>
      </c>
      <c r="D5994" s="6" t="n">
        <f aca="false">(Sens!C5978+Sens!D5978)/2*Sens!D5993/1000</f>
        <v>2.70378325872065</v>
      </c>
      <c r="E5994" s="6" t="n">
        <f aca="false">(Sens!D5978+Sens!E5978)/2*Sens!E5993/1000</f>
        <v>6.17783035277451</v>
      </c>
      <c r="F5994" s="6" t="n">
        <f aca="false">(Sens!E5978+Sens!F5978)/2*Sens!F5993/1000</f>
        <v>12.8742463089237</v>
      </c>
      <c r="G5994" s="6" t="n">
        <f aca="false">(Sens!F5978+Sens!G5978)/2*Sens!G5993/1000</f>
        <v>21.8182834646277</v>
      </c>
      <c r="H5994" s="6" t="n">
        <f aca="false">(Sens!G5978+Sens!H5978)/2*Sens!H5993/1000</f>
        <v>31.2430128789734</v>
      </c>
      <c r="I5994" s="6" t="n">
        <f aca="false">(Sens!H5978+Sens!I5978)/2*Sens!I5993/1000</f>
        <v>39.4313057443268</v>
      </c>
      <c r="J5994" s="6" t="n">
        <f aca="false">(Sens!I5978+Sens!J5978)/2*Sens!J5993/1000</f>
        <v>45.0360318228653</v>
      </c>
      <c r="K5994" s="6" t="n">
        <f aca="false">(Sens!J5978+Sens!K5978)/2*Sens!K5993/1000</f>
        <v>48.2929727091156</v>
      </c>
    </row>
    <row r="5995" customFormat="false" ht="17.15" hidden="false" customHeight="false" outlineLevel="0" collapsed="false">
      <c r="A5995" s="0" t="s">
        <v>985</v>
      </c>
      <c r="B5995" s="0" t="s">
        <v>98</v>
      </c>
      <c r="D5995" s="6" t="n">
        <f aca="false">(Sens!C5976+Sens!D5976)/2*rent_mw/1000</f>
        <v>2.44475</v>
      </c>
      <c r="E5995" s="6" t="n">
        <f aca="false">(Sens!D5976+Sens!E5976)/2*rent_mw/1000</f>
        <v>4.22275</v>
      </c>
      <c r="F5995" s="6" t="n">
        <f aca="false">(Sens!E5976+Sens!F5976)/2*rent_mw/1000</f>
        <v>5.80517</v>
      </c>
      <c r="G5995" s="6" t="n">
        <f aca="false">(Sens!F5976+Sens!G5976)/2*rent_mw/1000</f>
        <v>6.72084</v>
      </c>
      <c r="H5995" s="6" t="n">
        <f aca="false">(Sens!G5976+Sens!H5976)/2*rent_mw/1000</f>
        <v>6.72084</v>
      </c>
      <c r="I5995" s="6" t="n">
        <f aca="false">(Sens!H5976+Sens!I5976)/2*rent_mw/1000</f>
        <v>6.72084</v>
      </c>
      <c r="J5995" s="6" t="n">
        <f aca="false">(Sens!I5976+Sens!J5976)/2*rent_mw/1000</f>
        <v>6.72084</v>
      </c>
      <c r="K5995" s="6" t="n">
        <f aca="false">(Sens!J5976+Sens!K5976)/2*rent_mw/1000</f>
        <v>6.72084</v>
      </c>
    </row>
    <row r="5996" customFormat="false" ht="17.15" hidden="false" customHeight="false" outlineLevel="0" collapsed="false">
      <c r="A5996" s="0" t="s">
        <v>986</v>
      </c>
      <c r="B5996" s="0" t="s">
        <v>98</v>
      </c>
      <c r="D5996" s="6" t="n">
        <f aca="false">(Sens!C5978+Sens!D5978)/2*(1-self_build)*fac_rent/1000</f>
        <v>0.853242375631075</v>
      </c>
      <c r="E5996" s="6" t="n">
        <f aca="false">(Sens!D5978+Sens!E5978)/2*(1-self_build)*fac_rent/1000</f>
        <v>1.94955961408728</v>
      </c>
      <c r="F5996" s="6" t="n">
        <f aca="false">(Sens!E5978+Sens!F5978)/2*(1-self_build)*fac_rent/1000</f>
        <v>3.92914894476356</v>
      </c>
      <c r="G5996" s="6" t="n">
        <f aca="false">(Sens!F5978+Sens!G5978)/2*(1-self_build)*fac_rent/1000</f>
        <v>6.53206908578159</v>
      </c>
      <c r="H5996" s="6" t="n">
        <f aca="false">(Sens!G5978+Sens!H5978)/2*(1-self_build)*fac_rent/1000</f>
        <v>9.23717988341591</v>
      </c>
      <c r="I5996" s="6" t="n">
        <f aca="false">(Sens!H5978+Sens!I5978)/2*(1-self_build)*fac_rent/1000</f>
        <v>11.5481378557393</v>
      </c>
      <c r="J5996" s="6" t="n">
        <f aca="false">(Sens!I5978+Sens!J5978)/2*(1-self_build)*fac_rent/1000</f>
        <v>13.0899582289108</v>
      </c>
      <c r="K5996" s="6" t="n">
        <f aca="false">(Sens!J5978+Sens!K5978)/2*(1-self_build)*fac_rent/1000</f>
        <v>13.8897275626556</v>
      </c>
      <c r="L5996" s="12" t="s">
        <v>987</v>
      </c>
    </row>
    <row r="5997" customFormat="false" ht="17.15" hidden="false" customHeight="false" outlineLevel="0" collapsed="false">
      <c r="A5997" s="1" t="s">
        <v>988</v>
      </c>
      <c r="B5997" s="0" t="s">
        <v>168</v>
      </c>
      <c r="D5997" s="7" t="n">
        <f aca="false">(Sens!C5977+Sens!D5977)/(Sens!C5978+Sens!D5978)</f>
        <v>0.6</v>
      </c>
      <c r="E5997" s="7" t="n">
        <f aca="false">(Sens!D5977+Sens!E5977)/(Sens!D5978+Sens!E5978)</f>
        <v>0.6</v>
      </c>
      <c r="F5997" s="7" t="n">
        <f aca="false">(Sens!E5977+Sens!F5977)/(Sens!E5978+Sens!F5978)</f>
        <v>0.6</v>
      </c>
      <c r="G5997" s="7" t="n">
        <f aca="false">(Sens!F5977+Sens!G5977)/(Sens!F5978+Sens!G5978)</f>
        <v>0.6</v>
      </c>
      <c r="H5997" s="7" t="n">
        <f aca="false">(Sens!G5977+Sens!H5977)/(Sens!G5978+Sens!H5978)</f>
        <v>0.6</v>
      </c>
      <c r="I5997" s="7" t="n">
        <f aca="false">(Sens!H5977+Sens!I5977)/(Sens!H5978+Sens!I5978)</f>
        <v>0.6</v>
      </c>
      <c r="J5997" s="7" t="n">
        <f aca="false">(Sens!I5977+Sens!J5977)/(Sens!I5978+Sens!J5978)</f>
        <v>0.6</v>
      </c>
      <c r="K5997" s="7" t="n">
        <f aca="false">(Sens!J5977+Sens!K5977)/(Sens!J5978+Sens!K5978)</f>
        <v>0.6</v>
      </c>
    </row>
    <row r="5998" customFormat="false" ht="17.15" hidden="false" customHeight="false" outlineLevel="0" collapsed="false">
      <c r="A5998" s="0" t="s">
        <v>989</v>
      </c>
      <c r="B5998" s="0" t="s">
        <v>98</v>
      </c>
      <c r="D5998" s="6" t="n">
        <f aca="false">Sens!D5992-Sens!D5997*(Sens!D5994+Sens!D5996)-Sens!D5995</f>
        <v>8.35701406163072</v>
      </c>
      <c r="E5998" s="6" t="n">
        <f aca="false">Sens!E5992-Sens!E5997*(Sens!E5994+Sens!E5996)-Sens!E5995</f>
        <v>18.7103224860238</v>
      </c>
      <c r="F5998" s="6" t="n">
        <f aca="false">Sens!F5992-Sens!F5997*(Sens!F5994+Sens!F5996)-Sens!F5995</f>
        <v>34.262287698092</v>
      </c>
      <c r="G5998" s="6" t="n">
        <f aca="false">Sens!G5992-Sens!G5997*(Sens!G5994+Sens!G5996)-Sens!G5995</f>
        <v>51.300047378687</v>
      </c>
      <c r="H5998" s="6" t="n">
        <f aca="false">Sens!H5992-Sens!H5997*(Sens!H5994+Sens!H5996)-Sens!H5995</f>
        <v>64.0863653739702</v>
      </c>
      <c r="I5998" s="6" t="n">
        <f aca="false">Sens!I5992-Sens!I5997*(Sens!I5994+Sens!I5996)-Sens!I5995</f>
        <v>81.5608775166391</v>
      </c>
      <c r="J5998" s="6" t="n">
        <f aca="false">Sens!J5992-Sens!J5997*(Sens!J5994+Sens!J5996)-Sens!J5995</f>
        <v>93.7273953248395</v>
      </c>
      <c r="K5998" s="6" t="n">
        <f aca="false">Sens!K5992-Sens!K5997*(Sens!K5994+Sens!K5996)-Sens!K5995</f>
        <v>101.320394742776</v>
      </c>
    </row>
    <row r="5999" customFormat="false" ht="17.15" hidden="false" customHeight="false" outlineLevel="0" collapsed="false">
      <c r="A5999" s="1" t="s">
        <v>990</v>
      </c>
      <c r="B5999" s="0" t="s">
        <v>98</v>
      </c>
      <c r="D5999" s="6" t="n">
        <f aca="false">(1-Sens!D5997)*(Sens!D5994+Sens!D5996)</f>
        <v>1.42281025374069</v>
      </c>
      <c r="E5999" s="6" t="n">
        <f aca="false">(1-Sens!E5997)*(Sens!E5994+Sens!E5996)</f>
        <v>3.25095598674472</v>
      </c>
      <c r="F5999" s="6" t="n">
        <f aca="false">(1-Sens!F5997)*(Sens!F5994+Sens!F5996)</f>
        <v>6.72135810147489</v>
      </c>
      <c r="G5999" s="6" t="n">
        <f aca="false">(1-Sens!G5997)*(Sens!G5994+Sens!G5996)</f>
        <v>11.3401410201637</v>
      </c>
      <c r="H5999" s="6" t="n">
        <f aca="false">(1-Sens!H5997)*(Sens!H5994+Sens!H5996)</f>
        <v>16.1920771049557</v>
      </c>
      <c r="I5999" s="6" t="n">
        <f aca="false">(1-Sens!I5997)*(Sens!I5994+Sens!I5996)</f>
        <v>20.3917774400264</v>
      </c>
      <c r="J5999" s="6" t="n">
        <f aca="false">(1-Sens!J5997)*(Sens!J5994+Sens!J5996)</f>
        <v>23.2503960207104</v>
      </c>
      <c r="K5999" s="6" t="n">
        <f aca="false">(1-Sens!K5997)*(Sens!K5994+Sens!K5996)</f>
        <v>24.8730801087085</v>
      </c>
    </row>
    <row r="6000" customFormat="false" ht="17.15" hidden="false" customHeight="false" outlineLevel="0" collapsed="false">
      <c r="A6000" s="1" t="s">
        <v>991</v>
      </c>
      <c r="B6000" s="0" t="s">
        <v>417</v>
      </c>
      <c r="C6000" s="8" t="n">
        <f aca="false">cxit_open</f>
        <v>27.5918995</v>
      </c>
      <c r="D6000" s="8" t="n">
        <f aca="false">cxit_open</f>
        <v>27.5918995</v>
      </c>
      <c r="E6000" s="8" t="n">
        <f aca="false">cxit_open</f>
        <v>27.5918995</v>
      </c>
      <c r="F6000" s="8" t="n">
        <f aca="false">((a_g3_27-nonnv*a_mai)*tk_cxit_gb300+nonnv*a_mai*nv_hold_mai*tk_cxit_vr200+(1-a_g3_27)*tk_cxit_vr200)</f>
        <v>32.4975576</v>
      </c>
      <c r="G6000" s="8" t="n">
        <f aca="false">((a_g3_28-nonnv*a_mai)*tk_cxit_gb300+nonnv*a_mai*nv_hold_mai*tk_cxit_vr200+(1-a_g3_28)*tk_cxit_vr200)</f>
        <v>34.6372088</v>
      </c>
      <c r="H6000" s="8" t="n">
        <f aca="false">((a_g3_29-nonnv*a_mai)*tk_cxit_gb300+nonnv*a_mai*nv_hold_mai*tk_cxit_vr200+(1-a_g3_29)*tk_cxit_vr200)</f>
        <v>35.7070344</v>
      </c>
      <c r="I6000" s="8" t="n">
        <f aca="false">((a_g3_29-nonnv*a_mai)*tk_cxit_gb300+nonnv*a_mai*nv_hold_mai*tk_cxit_vr200+(1-a_g3_29)*tk_cxit_vr200)</f>
        <v>35.7070344</v>
      </c>
      <c r="J6000" s="8" t="n">
        <f aca="false">((a_g3_29-nonnv*a_mai)*tk_cxit_gb300+nonnv*a_mai*nv_hold_mai*tk_cxit_vr200+(1-a_g3_29)*tk_cxit_vr200)</f>
        <v>35.7070344</v>
      </c>
      <c r="K6000" s="8" t="n">
        <f aca="false">((a_g3_29-nonnv*a_mai)*tk_cxit_gb300+nonnv*a_mai*nv_hold_mai*tk_cxit_vr200+(1-a_g3_29)*tk_cxit_vr200)</f>
        <v>35.7070344</v>
      </c>
      <c r="L6000" s="12" t="s">
        <v>992</v>
      </c>
    </row>
    <row r="6001" customFormat="false" ht="17.15" hidden="false" customHeight="false" outlineLevel="0" collapsed="false">
      <c r="A6001" s="0" t="s">
        <v>993</v>
      </c>
      <c r="B6001" s="0" t="s">
        <v>459</v>
      </c>
      <c r="F6001" s="30" t="n">
        <f aca="false">Sens!C5980*IF(Sens!F5973-Sens!C5973=life_it,1,0)+Sens!D5980*IF(Sens!F5973-Sens!D5973=life_it,1,0)+Sens!E5980*IF(Sens!F5973-Sens!E5973=life_it,1,0)</f>
        <v>0</v>
      </c>
      <c r="G6001" s="30" t="n">
        <f aca="false">Sens!C5980*IF(Sens!G5973-Sens!C5973=life_it,1,0)+Sens!D5980*IF(Sens!G5973-Sens!D5973=life_it,1,0)+Sens!E5980*IF(Sens!G5973-Sens!E5973=life_it,1,0)+Sens!F5980*IF(Sens!G5973-Sens!F5973=life_it,1,0)</f>
        <v>0</v>
      </c>
      <c r="H6001" s="30" t="n">
        <f aca="false">Sens!C5980*IF(Sens!H5973-Sens!C5973=life_it,1,0)+Sens!D5980*IF(Sens!H5973-Sens!D5973=life_it,1,0)+Sens!E5980*IF(Sens!H5973-Sens!E5973=life_it,1,0)+Sens!F5980*IF(Sens!H5973-Sens!F5973=life_it,1,0)+Sens!G5980*IF(Sens!H5973-Sens!G5973=life_it,1,0)</f>
        <v>0</v>
      </c>
      <c r="I6001" s="30" t="n">
        <f aca="false">Sens!C5980*IF(Sens!I5973-Sens!C5973=life_it,1,0)+Sens!D5980*IF(Sens!I5973-Sens!D5973=life_it,1,0)+Sens!E5980*IF(Sens!I5973-Sens!E5973=life_it,1,0)+Sens!F5980*IF(Sens!I5973-Sens!F5973=life_it,1,0)+Sens!G5980*IF(Sens!I5973-Sens!G5973=life_it,1,0)+Sens!H5980*IF(Sens!I5973-Sens!H5973=life_it,1,0)</f>
        <v>816.666666666667</v>
      </c>
      <c r="J6001" s="30" t="n">
        <f aca="false">Sens!C5980*IF(Sens!J5973-Sens!C5973=life_it,1,0)+Sens!D5980*IF(Sens!J5973-Sens!D5973=life_it,1,0)+Sens!E5980*IF(Sens!J5973-Sens!E5973=life_it,1,0)+Sens!F5980*IF(Sens!J5973-Sens!F5973=life_it,1,0)+Sens!G5980*IF(Sens!J5973-Sens!G5973=life_it,1,0)+Sens!H5980*IF(Sens!J5973-Sens!H5973=life_it,1,0)+Sens!I5980*IF(Sens!J5973-Sens!I5973=life_it,1,0)</f>
        <v>1233.33333333333</v>
      </c>
      <c r="K6001" s="30" t="n">
        <f aca="false">Sens!C5980*IF(Sens!K5973-Sens!C5973=life_it,1,0)+Sens!D5980*IF(Sens!K5973-Sens!D5973=life_it,1,0)+Sens!E5980*IF(Sens!K5973-Sens!E5973=life_it,1,0)+Sens!F5980*IF(Sens!K5973-Sens!F5973=life_it,1,0)+Sens!G5980*IF(Sens!K5973-Sens!G5973=life_it,1,0)+Sens!H5980*IF(Sens!K5973-Sens!H5973=life_it,1,0)+Sens!I5980*IF(Sens!K5973-Sens!I5973=life_it,1,0)+Sens!J5980*IF(Sens!K5973-Sens!J5973=life_it,1,0)</f>
        <v>2450</v>
      </c>
      <c r="L6001" s="1" t="s">
        <v>994</v>
      </c>
    </row>
    <row r="6002" customFormat="false" ht="17.15" hidden="false" customHeight="false" outlineLevel="0" collapsed="false">
      <c r="A6002" s="0" t="s">
        <v>995</v>
      </c>
      <c r="B6002" s="0" t="s">
        <v>98</v>
      </c>
      <c r="C6002" s="6" t="n">
        <f aca="false">Sens!C5980*Sens!C6000/1000</f>
        <v>22.5333845916667</v>
      </c>
      <c r="D6002" s="6" t="n">
        <f aca="false">Sens!D5980*Sens!D6000/1000</f>
        <v>34.0300093833333</v>
      </c>
      <c r="E6002" s="6" t="n">
        <f aca="false">Sens!E5980*Sens!E6000/1000</f>
        <v>67.600153775</v>
      </c>
      <c r="F6002" s="6" t="n">
        <f aca="false">(Sens!F5980+Sens!F6001)*Sens!F6000/1000</f>
        <v>136.51872432512</v>
      </c>
      <c r="G6002" s="6" t="n">
        <f aca="false">(Sens!G5980+Sens!G6001)*Sens!G6000/1000</f>
        <v>157.399275932048</v>
      </c>
      <c r="H6002" s="6" t="n">
        <f aca="false">(Sens!H5980+Sens!H6001)*Sens!H6000/1000</f>
        <v>162.260804347512</v>
      </c>
      <c r="I6002" s="6" t="n">
        <f aca="false">(Sens!I5980+Sens!I6001)*Sens!I6000/1000</f>
        <v>144.136569485434</v>
      </c>
      <c r="J6002" s="6" t="n">
        <f aca="false">(Sens!J5980+Sens!J6001)*Sens!J6000/1000</f>
        <v>114.029037357864</v>
      </c>
      <c r="K6002" s="6" t="n">
        <f aca="false">(Sens!K5980+Sens!K6001)*Sens!K6000/1000</f>
        <v>113.437085350975</v>
      </c>
    </row>
    <row r="6003" customFormat="false" ht="17.15" hidden="false" customHeight="false" outlineLevel="0" collapsed="false">
      <c r="A6003" s="0" t="s">
        <v>996</v>
      </c>
      <c r="B6003" s="0" t="s">
        <v>98</v>
      </c>
      <c r="C6003" s="6" t="n">
        <f aca="false">Sens!C5980*self_build*tk_cxfac/1000</f>
        <v>6.2083</v>
      </c>
      <c r="D6003" s="6" t="n">
        <f aca="false">Sens!D5980*self_build*tk_cxfac/1000</f>
        <v>9.3758</v>
      </c>
      <c r="E6003" s="6" t="n">
        <f aca="false">Sens!E5980*self_build*tk_cxfac/1000</f>
        <v>18.6249</v>
      </c>
      <c r="F6003" s="6" t="n">
        <f aca="false">Sens!F5980*self_build*tk_cxfac/1000</f>
        <v>31.935179717</v>
      </c>
      <c r="G6003" s="6" t="n">
        <f aca="false">Sens!G5980*self_build*tk_cxfac/1000</f>
        <v>34.545199717</v>
      </c>
      <c r="H6003" s="6" t="n">
        <f aca="false">Sens!H5980*self_build*tk_cxfac/1000</f>
        <v>34.545199717</v>
      </c>
      <c r="I6003" s="6" t="n">
        <f aca="false">Sens!I5980*self_build*tk_cxfac/1000</f>
        <v>24.4782641361767</v>
      </c>
      <c r="J6003" s="6" t="n">
        <f aca="false">Sens!J5980*self_build*tk_cxfac/1000</f>
        <v>14.9008938380769</v>
      </c>
      <c r="K6003" s="6" t="n">
        <f aca="false">Sens!K5980*self_build*tk_cxfac/1000</f>
        <v>5.52576771375761</v>
      </c>
    </row>
    <row r="6004" customFormat="false" ht="17.15" hidden="false" customHeight="false" outlineLevel="0" collapsed="false">
      <c r="A6004" s="0" t="s">
        <v>997</v>
      </c>
      <c r="B6004" s="0" t="s">
        <v>98</v>
      </c>
      <c r="F6004" s="15" t="n">
        <f aca="false">capex_floor27-Sens!F6002-Sens!F6003-Sens!F6100</f>
        <v>-0.116521054068635</v>
      </c>
      <c r="L6004" s="12" t="s">
        <v>998</v>
      </c>
    </row>
    <row r="6005" customFormat="false" ht="17.15" hidden="false" customHeight="false" outlineLevel="0" collapsed="false">
      <c r="A6005" s="0" t="s">
        <v>999</v>
      </c>
      <c r="B6005" s="0" t="s">
        <v>98</v>
      </c>
      <c r="F6005" s="6" t="n">
        <f aca="false">MAX(0,Sens!F6004)</f>
        <v>0</v>
      </c>
    </row>
    <row r="6006" customFormat="false" ht="17.15" hidden="false" customHeight="false" outlineLevel="0" collapsed="false">
      <c r="A6006" s="0" t="s">
        <v>1000</v>
      </c>
      <c r="B6006" s="0" t="s">
        <v>98</v>
      </c>
      <c r="C6006" s="6" t="n">
        <f aca="false">Sens!C6002</f>
        <v>22.5333845916667</v>
      </c>
      <c r="D6006" s="6" t="n">
        <f aca="false">Sens!D6002</f>
        <v>34.0300093833333</v>
      </c>
      <c r="E6006" s="6" t="n">
        <f aca="false">Sens!E6002</f>
        <v>67.600153775</v>
      </c>
      <c r="F6006" s="6" t="n">
        <f aca="false">Sens!F6002</f>
        <v>136.51872432512</v>
      </c>
      <c r="G6006" s="6" t="n">
        <f aca="false">Sens!G6002</f>
        <v>157.399275932048</v>
      </c>
      <c r="H6006" s="6" t="n">
        <f aca="false">Sens!H6002</f>
        <v>162.260804347512</v>
      </c>
      <c r="I6006" s="6" t="n">
        <f aca="false">Sens!I6002</f>
        <v>144.136569485434</v>
      </c>
      <c r="J6006" s="6" t="n">
        <f aca="false">Sens!J6002</f>
        <v>114.029037357864</v>
      </c>
      <c r="K6006" s="6" t="n">
        <f aca="false">Sens!K6002</f>
        <v>113.437085350975</v>
      </c>
    </row>
    <row r="6007" customFormat="false" ht="17.15" hidden="false" customHeight="false" outlineLevel="0" collapsed="false">
      <c r="A6007" s="0" t="s">
        <v>1001</v>
      </c>
      <c r="B6007" s="0" t="s">
        <v>98</v>
      </c>
      <c r="C6007" s="6" t="n">
        <f aca="false">Sens!C6006+Sens!C6003</f>
        <v>28.7416845916667</v>
      </c>
      <c r="D6007" s="6" t="n">
        <f aca="false">Sens!D6006+Sens!D6003</f>
        <v>43.4058093833333</v>
      </c>
      <c r="E6007" s="6" t="n">
        <f aca="false">Sens!E6006+Sens!E6003</f>
        <v>86.225053775</v>
      </c>
      <c r="F6007" s="6" t="n">
        <f aca="false">Sens!F6006+Sens!F6003</f>
        <v>168.45390404212</v>
      </c>
      <c r="G6007" s="6" t="n">
        <f aca="false">Sens!G6006+Sens!G6003</f>
        <v>191.944475649048</v>
      </c>
      <c r="H6007" s="6" t="n">
        <f aca="false">Sens!H6006+Sens!H6003</f>
        <v>196.806004064512</v>
      </c>
      <c r="I6007" s="6" t="n">
        <f aca="false">Sens!I6006+Sens!I6003</f>
        <v>168.61483362161</v>
      </c>
      <c r="J6007" s="6" t="n">
        <f aca="false">Sens!J6006+Sens!J6003</f>
        <v>128.92993119594</v>
      </c>
      <c r="K6007" s="6" t="n">
        <f aca="false">Sens!K6006+Sens!K6003</f>
        <v>118.962853064733</v>
      </c>
      <c r="L6007" s="12" t="s">
        <v>1002</v>
      </c>
    </row>
    <row r="6008" customFormat="false" ht="17.15" hidden="false" customHeight="false" outlineLevel="0" collapsed="false">
      <c r="A6008" s="0" t="s">
        <v>1003</v>
      </c>
      <c r="B6008" s="0" t="s">
        <v>98</v>
      </c>
      <c r="E6008" s="6" t="n">
        <f aca="false">(Sens!C6006*IF(2&lt;life_it,1,IF(2=life_it,0.5,0))+Sens!D6006*IF(1&lt;life_it,1,IF(1=life_it,0.5,0))+Sens!E6006*0.5)/life_it</f>
        <v>15.0605784770833</v>
      </c>
      <c r="F6008" s="6" t="n">
        <f aca="false">(Sens!C6006*IF(3&lt;life_it,1,IF(3=life_it,0.5,0))+Sens!D6006*IF(2&lt;life_it,1,IF(2=life_it,0.5,0))+Sens!E6006*IF(1&lt;life_it,1,IF(1=life_it,0.5,0))+Sens!F6006*0.5)/life_it</f>
        <v>32.0704849854266</v>
      </c>
      <c r="G6008" s="6" t="n">
        <f aca="false">(Sens!C6006*IF(4&lt;life_it,1,IF(4=life_it,0.5,0))+Sens!D6006*IF(3&lt;life_it,1,IF(3=life_it,0.5,0))+Sens!E6006*IF(2&lt;life_it,1,IF(2=life_it,0.5,0))+Sens!F6006*IF(1&lt;life_it,1,IF(1=life_it,0.5,0))+Sens!G6006*0.5)/life_it</f>
        <v>56.5636516735239</v>
      </c>
      <c r="H6008" s="6" t="n">
        <f aca="false">(Sens!C6006*IF(5&lt;life_it,1,IF(5=life_it,0.5,0))+Sens!D6006*IF(4&lt;life_it,1,IF(4=life_it,0.5,0))+Sens!E6006*IF(3&lt;life_it,1,IF(3=life_it,0.5,0))+Sens!F6006*IF(2&lt;life_it,1,IF(2=life_it,0.5,0))+Sens!G6006*IF(1&lt;life_it,1,IF(1=life_it,0.5,0))+Sens!H6006*0.5)/life_it</f>
        <v>83.2019916968207</v>
      </c>
      <c r="I6008" s="6" t="n">
        <f aca="false">(Sens!C6006*IF(6&lt;life_it,1,IF(6=life_it,0.5,0))+Sens!D6006*IF(5&lt;life_it,1,IF(5=life_it,0.5,0))+Sens!E6006*IF(4&lt;life_it,1,IF(4=life_it,0.5,0))+Sens!F6006*IF(3&lt;life_it,1,IF(3=life_it,0.5,0))+Sens!G6006*IF(2&lt;life_it,1,IF(2=life_it,0.5,0))+Sens!H6006*IF(1&lt;life_it,1,IF(1=life_it,0.5,0))+Sens!I6006*0.5)/life_it</f>
        <v>106.857324133594</v>
      </c>
      <c r="J6008" s="6" t="n">
        <f aca="false">(Sens!C6006*IF(7&lt;life_it,1,IF(7=life_it,0.5,0))+Sens!D6006*IF(6&lt;life_it,1,IF(6=life_it,0.5,0))+Sens!E6006*IF(5&lt;life_it,1,IF(5=life_it,0.5,0))+Sens!F6006*IF(4&lt;life_it,1,IF(4=life_it,0.5,0))+Sens!G6006*IF(3&lt;life_it,1,IF(3=life_it,0.5,0))+Sens!H6006*IF(2&lt;life_it,1,IF(2=life_it,0.5,0))+Sens!I6006*IF(1&lt;life_it,1,IF(1=life_it,0.5,0))+Sens!J6006*0.5)/life_it</f>
        <v>123.657508539285</v>
      </c>
      <c r="K6008" s="6" t="n">
        <f aca="false">(Sens!C6006*IF(8&lt;life_it,1,IF(8=life_it,0.5,0))+Sens!D6006*IF(7&lt;life_it,1,IF(7=life_it,0.5,0))+Sens!E6006*IF(6&lt;life_it,1,IF(6=life_it,0.5,0))+Sens!F6006*IF(5&lt;life_it,1,IF(5=life_it,0.5,0))+Sens!G6006*IF(4&lt;life_it,1,IF(4=life_it,0.5,0))+Sens!H6006*IF(3&lt;life_it,1,IF(3=life_it,0.5,0))+Sens!I6006*IF(2&lt;life_it,1,IF(2=life_it,0.5,0))+Sens!J6006*IF(1&lt;life_it,1,IF(1=life_it,0.5,0))+Sens!K6006*0.5)/life_it</f>
        <v>134.143838501827</v>
      </c>
    </row>
    <row r="6009" customFormat="false" ht="17.15" hidden="false" customHeight="false" outlineLevel="0" collapsed="false">
      <c r="A6009" s="0" t="s">
        <v>1004</v>
      </c>
      <c r="B6009" s="0" t="s">
        <v>98</v>
      </c>
      <c r="E6009" s="6" t="n">
        <f aca="false">(Sens!C6003*IF(2&lt;life_fac,1,IF(2=life_fac,0.5,0))+Sens!D6003*IF(1&lt;life_fac,1,IF(1=life_fac,0.5,0))+Sens!E6003*0.5)/life_fac</f>
        <v>1.2448275</v>
      </c>
      <c r="F6009" s="6" t="n">
        <f aca="false">(Sens!C6003*IF(3&lt;life_fac,1,IF(3=life_fac,0.5,0))+Sens!D6003*IF(2&lt;life_fac,1,IF(2=life_fac,0.5,0))+Sens!E6003*IF(1&lt;life_fac,1,IF(1=life_fac,0.5,0))+Sens!F6003*0.5)/life_fac</f>
        <v>2.508829492925</v>
      </c>
      <c r="G6009" s="6" t="n">
        <f aca="false">(Sens!C6003*IF(4&lt;life_fac,1,IF(4=life_fac,0.5,0))+Sens!D6003*IF(3&lt;life_fac,1,IF(3=life_fac,0.5,0))+Sens!E6003*IF(2&lt;life_fac,1,IF(2=life_fac,0.5,0))+Sens!F6003*IF(1&lt;life_fac,1,IF(1=life_fac,0.5,0))+Sens!G6003*0.5)/life_fac</f>
        <v>4.170838978775</v>
      </c>
      <c r="H6009" s="6" t="n">
        <f aca="false">(Sens!C6003*IF(5&lt;life_fac,1,IF(5=life_fac,0.5,0))+Sens!D6003*IF(4&lt;life_fac,1,IF(4=life_fac,0.5,0))+Sens!E6003*IF(3&lt;life_fac,1,IF(3=life_fac,0.5,0))+Sens!F6003*IF(2&lt;life_fac,1,IF(2=life_fac,0.5,0))+Sens!G6003*IF(1&lt;life_fac,1,IF(1=life_fac,0.5,0))+Sens!H6003*0.5)/life_fac</f>
        <v>5.898098964625</v>
      </c>
      <c r="I6009" s="6" t="n">
        <f aca="false">(Sens!C6003*IF(6&lt;life_fac,1,IF(6=life_fac,0.5,0))+Sens!D6003*IF(5&lt;life_fac,1,IF(5=life_fac,0.5,0))+Sens!E6003*IF(4&lt;life_fac,1,IF(4=life_fac,0.5,0))+Sens!F6003*IF(3&lt;life_fac,1,IF(3=life_fac,0.5,0))+Sens!G6003*IF(2&lt;life_fac,1,IF(2=life_fac,0.5,0))+Sens!H6003*IF(1&lt;life_fac,1,IF(1=life_fac,0.5,0))+Sens!I6003*0.5)/life_fac</f>
        <v>7.37368556095442</v>
      </c>
      <c r="J6009" s="6" t="n">
        <f aca="false">(Sens!C6003*IF(7&lt;life_fac,1,IF(7=life_fac,0.5,0))+Sens!D6003*IF(6&lt;life_fac,1,IF(6=life_fac,0.5,0))+Sens!E6003*IF(5&lt;life_fac,1,IF(5=life_fac,0.5,0))+Sens!F6003*IF(4&lt;life_fac,1,IF(4=life_fac,0.5,0))+Sens!G6003*IF(3&lt;life_fac,1,IF(3=life_fac,0.5,0))+Sens!H6003*IF(2&lt;life_fac,1,IF(2=life_fac,0.5,0))+Sens!I6003*IF(1&lt;life_fac,1,IF(1=life_fac,0.5,0))+Sens!J6003*0.5)/life_fac</f>
        <v>8.35816451031075</v>
      </c>
      <c r="K6009" s="6" t="n">
        <f aca="false">(Sens!C6003*IF(8&lt;life_fac,1,IF(8=life_fac,0.5,0))+Sens!D6003*IF(7&lt;life_fac,1,IF(7=life_fac,0.5,0))+Sens!E6003*IF(6&lt;life_fac,1,IF(6=life_fac,0.5,0))+Sens!F6003*IF(5&lt;life_fac,1,IF(5=life_fac,0.5,0))+Sens!G6003*IF(4&lt;life_fac,1,IF(4=life_fac,0.5,0))+Sens!H6003*IF(3&lt;life_fac,1,IF(3=life_fac,0.5,0))+Sens!I6003*IF(2&lt;life_fac,1,IF(2=life_fac,0.5,0))+Sens!J6003*IF(1&lt;life_fac,1,IF(1=life_fac,0.5,0))+Sens!K6003*0.5)/life_fac</f>
        <v>8.86883104910662</v>
      </c>
    </row>
    <row r="6010" customFormat="false" ht="17.15" hidden="false" customHeight="false" outlineLevel="0" collapsed="false">
      <c r="A6010" s="0" t="s">
        <v>1005</v>
      </c>
      <c r="B6010" s="0" t="s">
        <v>98</v>
      </c>
      <c r="E6010" s="6" t="n">
        <f aca="false">Sens!E6008+Sens!E6009</f>
        <v>16.3054059770833</v>
      </c>
      <c r="F6010" s="6" t="n">
        <f aca="false">Sens!F6008+Sens!F6009</f>
        <v>34.5793144783516</v>
      </c>
      <c r="G6010" s="6" t="n">
        <f aca="false">Sens!G6008+Sens!G6009</f>
        <v>60.7344906522989</v>
      </c>
      <c r="H6010" s="6" t="n">
        <f aca="false">Sens!H6008+Sens!H6009</f>
        <v>89.1000906614457</v>
      </c>
      <c r="I6010" s="6" t="n">
        <f aca="false">Sens!I6008+Sens!I6009</f>
        <v>114.231009694548</v>
      </c>
      <c r="J6010" s="6" t="n">
        <f aca="false">Sens!J6008+Sens!J6009</f>
        <v>132.015673049596</v>
      </c>
      <c r="K6010" s="6" t="n">
        <f aca="false">Sens!K6008+Sens!K6009</f>
        <v>143.012669550934</v>
      </c>
    </row>
    <row r="6011" customFormat="false" ht="17.15" hidden="false" customHeight="false" outlineLevel="0" collapsed="false">
      <c r="A6011" s="0" t="s">
        <v>1006</v>
      </c>
      <c r="B6011" s="0" t="s">
        <v>98</v>
      </c>
      <c r="E6011" s="6" t="n">
        <f aca="false">Sens!E5998-Sens!E5997*Sens!E6010</f>
        <v>8.92707889977379</v>
      </c>
      <c r="F6011" s="6" t="n">
        <f aca="false">Sens!F5998-Sens!F5997*Sens!F6010</f>
        <v>13.514699011081</v>
      </c>
      <c r="G6011" s="6" t="n">
        <f aca="false">Sens!G5998-Sens!G5997*Sens!G6010</f>
        <v>14.8593529873076</v>
      </c>
      <c r="H6011" s="6" t="n">
        <f aca="false">Sens!H5998-Sens!H5997*Sens!H6010</f>
        <v>10.6263109771028</v>
      </c>
      <c r="I6011" s="6" t="n">
        <f aca="false">Sens!I5998-Sens!I5997*Sens!I6010</f>
        <v>13.0222716999101</v>
      </c>
      <c r="J6011" s="6" t="n">
        <f aca="false">Sens!J5998-Sens!J5997*Sens!J6010</f>
        <v>14.5179914950818</v>
      </c>
      <c r="K6011" s="6" t="n">
        <f aca="false">Sens!K5998-Sens!K5997*Sens!K6010</f>
        <v>15.5127930122155</v>
      </c>
    </row>
    <row r="6012" customFormat="false" ht="17.15" hidden="false" customHeight="false" outlineLevel="0" collapsed="false">
      <c r="A6012" s="3" t="s">
        <v>1761</v>
      </c>
    </row>
    <row r="6013" customFormat="false" ht="15" hidden="false" customHeight="false" outlineLevel="0" collapsed="false">
      <c r="A6013" s="4" t="s">
        <v>43</v>
      </c>
      <c r="B6013" s="4" t="s">
        <v>65</v>
      </c>
      <c r="C6013" s="23" t="s">
        <v>942</v>
      </c>
      <c r="D6013" s="23" t="s">
        <v>943</v>
      </c>
      <c r="E6013" s="23" t="s">
        <v>944</v>
      </c>
      <c r="F6013" s="23" t="s">
        <v>945</v>
      </c>
      <c r="G6013" s="23" t="s">
        <v>946</v>
      </c>
      <c r="H6013" s="23" t="s">
        <v>947</v>
      </c>
      <c r="I6013" s="23" t="s">
        <v>948</v>
      </c>
      <c r="J6013" s="23" t="s">
        <v>949</v>
      </c>
      <c r="K6013" s="23" t="s">
        <v>950</v>
      </c>
      <c r="L6013" s="4" t="s">
        <v>47</v>
      </c>
    </row>
    <row r="6014" customFormat="false" ht="17.15" hidden="false" customHeight="false" outlineLevel="0" collapsed="false">
      <c r="A6014" s="0" t="s">
        <v>1025</v>
      </c>
      <c r="B6014" s="0" t="s">
        <v>98</v>
      </c>
      <c r="D6014" s="6" t="n">
        <f aca="false">Sens!D5992</f>
        <v>12.9359794422418</v>
      </c>
      <c r="E6014" s="6" t="n">
        <f aca="false">Sens!E5992</f>
        <v>27.8095064661409</v>
      </c>
      <c r="F6014" s="6" t="n">
        <f aca="false">Sens!F5992</f>
        <v>50.1494948503043</v>
      </c>
      <c r="G6014" s="6" t="n">
        <f aca="false">Sens!G5992</f>
        <v>75.0310989089326</v>
      </c>
      <c r="H6014" s="6" t="n">
        <f aca="false">Sens!H5992</f>
        <v>95.0953210314038</v>
      </c>
      <c r="I6014" s="6" t="n">
        <f aca="false">Sens!I5992</f>
        <v>118.869383676679</v>
      </c>
      <c r="J6014" s="6" t="n">
        <f aca="false">Sens!J5992</f>
        <v>135.323829355905</v>
      </c>
      <c r="K6014" s="6" t="n">
        <f aca="false">Sens!K5992</f>
        <v>145.350854905839</v>
      </c>
    </row>
    <row r="6015" customFormat="false" ht="17.15" hidden="false" customHeight="false" outlineLevel="0" collapsed="false">
      <c r="A6015" s="0" t="s">
        <v>1026</v>
      </c>
      <c r="B6015" s="0" t="s">
        <v>98</v>
      </c>
      <c r="D6015" s="6" t="n">
        <f aca="false">Q!L6-Sens!D6014</f>
        <v>59.6740205577583</v>
      </c>
      <c r="E6015" s="6" t="n">
        <f aca="false">Q!M6-Sens!E6014</f>
        <v>74.1284935338591</v>
      </c>
      <c r="F6015" s="6" t="n">
        <f aca="false">Q!$I$6+(Sens!F6014+Sens!E6015*(1+Sens!F6016))*(1-Q!$E$6/Q!M6)-Sens!F6014</f>
        <v>92.4527438117015</v>
      </c>
      <c r="G6015" s="6" t="n">
        <f aca="false">Sens!F6015*(1+Sens!G6016)</f>
        <v>109.847658715854</v>
      </c>
      <c r="H6015" s="6" t="n">
        <f aca="false">Sens!G6015*(1+Sens!H6016)</f>
        <v>127.545428282984</v>
      </c>
      <c r="I6015" s="6" t="n">
        <f aca="false">Sens!H6015*(1+Sens!I6016)</f>
        <v>144.646034092305</v>
      </c>
      <c r="J6015" s="6" t="n">
        <f aca="false">Sens!I6015*(1+Sens!J6016)</f>
        <v>160.128557039151</v>
      </c>
      <c r="K6015" s="6" t="n">
        <f aca="false">Sens!J6015*(1+Sens!K6016)</f>
        <v>172.938841602283</v>
      </c>
      <c r="L6015" s="12" t="s">
        <v>1027</v>
      </c>
    </row>
    <row r="6016" customFormat="false" ht="15" hidden="false" customHeight="false" outlineLevel="0" collapsed="false">
      <c r="A6016" s="1" t="s">
        <v>1028</v>
      </c>
      <c r="B6016" s="0" t="s">
        <v>168</v>
      </c>
      <c r="E6016" s="7" t="n">
        <f aca="false">Sens!E6015/Sens!D6015-1</f>
        <v>0.242223883039864</v>
      </c>
      <c r="F6016" s="7" t="n">
        <f aca="false">Sens!$E$6016+(glt_azo-Sens!$E$6016)*MIN(1,(Sens!F5973-base_fy)/n_conv)</f>
        <v>0.215186569199887</v>
      </c>
      <c r="G6016" s="7" t="n">
        <f aca="false">Sens!$E$6016+(glt_azo-Sens!$E$6016)*MIN(1,(Sens!G5973-base_fy)/n_conv)</f>
        <v>0.18814925535991</v>
      </c>
      <c r="H6016" s="7" t="n">
        <f aca="false">Sens!$E$6016+(glt_azo-Sens!$E$6016)*MIN(1,(Sens!H5973-base_fy)/n_conv)</f>
        <v>0.161111941519932</v>
      </c>
      <c r="I6016" s="7" t="n">
        <f aca="false">Sens!$E$6016+(glt_azo-Sens!$E$6016)*MIN(1,(Sens!I5973-base_fy)/n_conv)</f>
        <v>0.134074627679955</v>
      </c>
      <c r="J6016" s="7" t="n">
        <f aca="false">Sens!$E$6016+(glt_azo-Sens!$E$6016)*MIN(1,(Sens!J5973-base_fy)/n_conv)</f>
        <v>0.107037313839977</v>
      </c>
      <c r="K6016" s="7" t="n">
        <f aca="false">Sens!$E$6016+(glt_azo-Sens!$E$6016)*MIN(1,(Sens!K5973-base_fy)/n_conv)</f>
        <v>0.08</v>
      </c>
    </row>
    <row r="6017" customFormat="false" ht="15" hidden="false" customHeight="false" outlineLevel="0" collapsed="false">
      <c r="A6017" s="0" t="s">
        <v>1029</v>
      </c>
      <c r="B6017" s="0" t="s">
        <v>98</v>
      </c>
      <c r="D6017" s="6" t="n">
        <f aca="false">Sens!D6014+Sens!D6015</f>
        <v>72.61</v>
      </c>
      <c r="E6017" s="6" t="n">
        <f aca="false">Sens!E6014+Sens!E6015</f>
        <v>101.938</v>
      </c>
      <c r="F6017" s="6" t="n">
        <f aca="false">Sens!F6014+Sens!F6015</f>
        <v>142.602238662006</v>
      </c>
      <c r="G6017" s="6" t="n">
        <f aca="false">Sens!G6014+Sens!G6015</f>
        <v>184.878757624786</v>
      </c>
      <c r="H6017" s="6" t="n">
        <f aca="false">Sens!H6014+Sens!H6015</f>
        <v>222.640749314387</v>
      </c>
      <c r="I6017" s="6" t="n">
        <f aca="false">Sens!I6014+Sens!I6015</f>
        <v>263.515417768984</v>
      </c>
      <c r="J6017" s="6" t="n">
        <f aca="false">Sens!J6014+Sens!J6015</f>
        <v>295.452386395056</v>
      </c>
      <c r="K6017" s="6" t="n">
        <f aca="false">Sens!K6014+Sens!K6015</f>
        <v>318.289696508122</v>
      </c>
    </row>
    <row r="6018" customFormat="false" ht="17.15" hidden="false" customHeight="false" outlineLevel="0" collapsed="false">
      <c r="A6018" s="0" t="s">
        <v>1030</v>
      </c>
      <c r="B6018" s="1" t="s">
        <v>613</v>
      </c>
      <c r="C6018" s="30" t="n">
        <f aca="false">cop_s24</f>
        <v>1</v>
      </c>
      <c r="D6018" s="30" t="n">
        <f aca="false">cop_s25</f>
        <v>5</v>
      </c>
      <c r="E6018" s="30" t="n">
        <f aca="false">cop_s26</f>
        <v>30</v>
      </c>
      <c r="F6018" s="30" t="n">
        <f aca="false">Sens!E6018+cop_add_C</f>
        <v>40</v>
      </c>
      <c r="G6018" s="30" t="n">
        <f aca="false">Sens!F6018+cop_add_C</f>
        <v>50</v>
      </c>
      <c r="H6018" s="30" t="n">
        <f aca="false">Sens!G6018+cop_add_C</f>
        <v>60</v>
      </c>
      <c r="I6018" s="30" t="n">
        <f aca="false">Sens!H6018+cop_add_C*cop_tail</f>
        <v>65</v>
      </c>
      <c r="J6018" s="30" t="n">
        <f aca="false">Sens!I6018+cop_add_C*cop_tail</f>
        <v>70</v>
      </c>
      <c r="K6018" s="30" t="n">
        <f aca="false">Sens!J6018+cop_add_C*cop_tail</f>
        <v>75</v>
      </c>
      <c r="L6018" s="12" t="s">
        <v>1031</v>
      </c>
    </row>
    <row r="6019" customFormat="false" ht="17.15" hidden="false" customHeight="false" outlineLevel="0" collapsed="false">
      <c r="A6019" s="0" t="s">
        <v>1032</v>
      </c>
      <c r="B6019" s="0" t="s">
        <v>98</v>
      </c>
      <c r="D6019" s="6" t="n">
        <f aca="false">(Sens!C6018+Sens!D6018)/2*cop_px*12/1000</f>
        <v>0.9</v>
      </c>
      <c r="E6019" s="6" t="n">
        <f aca="false">(Sens!D6018+Sens!E6018)/2*cop_px*12/1000</f>
        <v>5.25</v>
      </c>
      <c r="F6019" s="6" t="n">
        <f aca="false">(Sens!E6018+Sens!F6018)/2*cop_px*12/1000</f>
        <v>10.5</v>
      </c>
      <c r="G6019" s="6" t="n">
        <f aca="false">(Sens!F6018+Sens!G6018)/2*cop_px*12/1000</f>
        <v>13.5</v>
      </c>
      <c r="H6019" s="6" t="n">
        <f aca="false">(Sens!G6018+Sens!H6018)/2*cop_px*12/1000</f>
        <v>16.5</v>
      </c>
      <c r="I6019" s="6" t="n">
        <f aca="false">(Sens!H6018+Sens!I6018)/2*cop_px*12/1000</f>
        <v>18.75</v>
      </c>
      <c r="J6019" s="6" t="n">
        <f aca="false">(Sens!I6018+Sens!J6018)/2*cop_px*12/1000</f>
        <v>20.25</v>
      </c>
      <c r="K6019" s="6" t="n">
        <f aca="false">(Sens!J6018+Sens!K6018)/2*cop_px*12/1000</f>
        <v>21.75</v>
      </c>
      <c r="L6019" s="1" t="s">
        <v>1033</v>
      </c>
    </row>
    <row r="6020" customFormat="false" ht="17.15" hidden="false" customHeight="false" outlineLevel="0" collapsed="false">
      <c r="A6020" s="0" t="s">
        <v>1034</v>
      </c>
      <c r="B6020" s="0" t="s">
        <v>98</v>
      </c>
      <c r="D6020" s="6" t="n">
        <f aca="false">Q!L7-Sens!D6019</f>
        <v>83.705</v>
      </c>
      <c r="E6020" s="6" t="n">
        <f aca="false">Q!M7-Sens!E6019</f>
        <v>95.049</v>
      </c>
      <c r="F6020" s="6" t="n">
        <f aca="false">Q!$I$7+(Sens!E6020*(1+Sens!F6021)+Sens!F6019)*(1-Q!$E$7/Q!M7)-Sens!F6019</f>
        <v>106.938354189776</v>
      </c>
      <c r="G6020" s="6" t="n">
        <f aca="false">Sens!F6020*(1+Sens!G6021)</f>
        <v>119.095360443801</v>
      </c>
      <c r="H6020" s="6" t="n">
        <f aca="false">Sens!G6020*(1+Sens!H6021)</f>
        <v>131.333811964563</v>
      </c>
      <c r="I6020" s="6" t="n">
        <f aca="false">Sens!H6020*(1+Sens!I6021)</f>
        <v>143.395665319381</v>
      </c>
      <c r="J6020" s="6" t="n">
        <f aca="false">Sens!I6020*(1+Sens!J6021)</f>
        <v>154.999327755573</v>
      </c>
      <c r="K6020" s="6" t="n">
        <f aca="false">Sens!J6020*(1+Sens!K6021)</f>
        <v>165.849280698463</v>
      </c>
      <c r="L6020" s="12" t="s">
        <v>1035</v>
      </c>
    </row>
    <row r="6021" customFormat="false" ht="15" hidden="false" customHeight="false" outlineLevel="0" collapsed="false">
      <c r="A6021" s="1" t="s">
        <v>1028</v>
      </c>
      <c r="B6021" s="0" t="s">
        <v>168</v>
      </c>
      <c r="E6021" s="7" t="n">
        <f aca="false">Sens!E6020/Sens!D6020-1</f>
        <v>0.135523564900544</v>
      </c>
      <c r="F6021" s="7" t="n">
        <f aca="false">Sens!$E$6021+(glt_m365b-Sens!$E$6021)*MIN(1,(Sens!F5973-base_fy)/n_conv)</f>
        <v>0.124602970750453</v>
      </c>
      <c r="G6021" s="7" t="n">
        <f aca="false">Sens!$E$6021+(glt_m365b-Sens!$E$6021)*MIN(1,(Sens!G5973-base_fy)/n_conv)</f>
        <v>0.113682376600363</v>
      </c>
      <c r="H6021" s="7" t="n">
        <f aca="false">Sens!$E$6021+(glt_m365b-Sens!$E$6021)*MIN(1,(Sens!H5973-base_fy)/n_conv)</f>
        <v>0.102761782450272</v>
      </c>
      <c r="I6021" s="7" t="n">
        <f aca="false">Sens!$E$6021+(glt_m365b-Sens!$E$6021)*MIN(1,(Sens!I5973-base_fy)/n_conv)</f>
        <v>0.0918411883001813</v>
      </c>
      <c r="J6021" s="7" t="n">
        <f aca="false">Sens!$E$6021+(glt_m365b-Sens!$E$6021)*MIN(1,(Sens!J5973-base_fy)/n_conv)</f>
        <v>0.0809205941500906</v>
      </c>
      <c r="K6021" s="7" t="n">
        <f aca="false">Sens!$E$6021+(glt_m365b-Sens!$E$6021)*MIN(1,(Sens!K5973-base_fy)/n_conv)</f>
        <v>0.07</v>
      </c>
    </row>
    <row r="6022" customFormat="false" ht="15" hidden="false" customHeight="false" outlineLevel="0" collapsed="false">
      <c r="A6022" s="0" t="s">
        <v>1036</v>
      </c>
      <c r="B6022" s="0" t="s">
        <v>98</v>
      </c>
      <c r="D6022" s="6" t="n">
        <f aca="false">Sens!D6020+Sens!D6019</f>
        <v>84.605</v>
      </c>
      <c r="E6022" s="6" t="n">
        <f aca="false">Sens!E6020+Sens!E6019</f>
        <v>100.299</v>
      </c>
      <c r="F6022" s="6" t="n">
        <f aca="false">Sens!F6020+Sens!F6019</f>
        <v>117.438354189776</v>
      </c>
      <c r="G6022" s="6" t="n">
        <f aca="false">Sens!G6020+Sens!G6019</f>
        <v>132.595360443801</v>
      </c>
      <c r="H6022" s="6" t="n">
        <f aca="false">Sens!H6020+Sens!H6019</f>
        <v>147.833811964563</v>
      </c>
      <c r="I6022" s="6" t="n">
        <f aca="false">Sens!I6020+Sens!I6019</f>
        <v>162.145665319381</v>
      </c>
      <c r="J6022" s="6" t="n">
        <f aca="false">Sens!J6020+Sens!J6019</f>
        <v>175.249327755573</v>
      </c>
      <c r="K6022" s="6" t="n">
        <f aca="false">Sens!K6020+Sens!K6019</f>
        <v>187.599280698463</v>
      </c>
    </row>
    <row r="6023" customFormat="false" ht="17.15" hidden="false" customHeight="false" outlineLevel="0" collapsed="false">
      <c r="A6023" s="0" t="s">
        <v>1037</v>
      </c>
      <c r="B6023" s="0" t="s">
        <v>98</v>
      </c>
      <c r="D6023" s="6" t="n">
        <f aca="false">Q!L8</f>
        <v>35.391</v>
      </c>
      <c r="E6023" s="6" t="n">
        <f aca="false">Q!M8</f>
        <v>37.285</v>
      </c>
      <c r="F6023" s="6" t="n">
        <f aca="false">Q!$I$8+(Q!M8-Q!$E$8)*(1+Sens!F6024)</f>
        <v>38.3851437782675</v>
      </c>
      <c r="G6023" s="6" t="n">
        <f aca="false">Sens!F6023*(1+Sens!G6024)</f>
        <v>40.0105353288615</v>
      </c>
      <c r="H6023" s="6" t="n">
        <f aca="false">Sens!G6023*(1+Sens!H6024)</f>
        <v>41.4812512033683</v>
      </c>
      <c r="I6023" s="6" t="n">
        <f aca="false">Sens!H6023*(1+Sens!I6024)</f>
        <v>42.7743107216329</v>
      </c>
      <c r="J6023" s="6" t="n">
        <f aca="false">Sens!I6023*(1+Sens!J6024)</f>
        <v>43.8687373064601</v>
      </c>
      <c r="K6023" s="6" t="n">
        <f aca="false">Sens!J6023*(1+Sens!K6024)</f>
        <v>44.7461120525893</v>
      </c>
      <c r="L6023" s="12" t="s">
        <v>1038</v>
      </c>
    </row>
    <row r="6024" customFormat="false" ht="15" hidden="false" customHeight="false" outlineLevel="0" collapsed="false">
      <c r="A6024" s="1" t="s">
        <v>1028</v>
      </c>
      <c r="B6024" s="0" t="s">
        <v>168</v>
      </c>
      <c r="E6024" s="7" t="n">
        <f aca="false">Sens!E6023/Sens!D6023-1</f>
        <v>0.0535164307309768</v>
      </c>
      <c r="F6024" s="7" t="n">
        <f aca="false">Sens!$E$6024+(glt_lic-Sens!$E$6024)*MIN(1,(Sens!F5973-base_fy)/n_conv)</f>
        <v>0.0479303589424807</v>
      </c>
      <c r="G6024" s="7" t="n">
        <f aca="false">Sens!$E$6024+(glt_lic-Sens!$E$6024)*MIN(1,(Sens!G5973-base_fy)/n_conv)</f>
        <v>0.0423442871539845</v>
      </c>
      <c r="H6024" s="7" t="n">
        <f aca="false">Sens!$E$6024+(glt_lic-Sens!$E$6024)*MIN(1,(Sens!H5973-base_fy)/n_conv)</f>
        <v>0.0367582153654884</v>
      </c>
      <c r="I6024" s="7" t="n">
        <f aca="false">Sens!$E$6024+(glt_lic-Sens!$E$6024)*MIN(1,(Sens!I5973-base_fy)/n_conv)</f>
        <v>0.0311721435769923</v>
      </c>
      <c r="J6024" s="7" t="n">
        <f aca="false">Sens!$E$6024+(glt_lic-Sens!$E$6024)*MIN(1,(Sens!J5973-base_fy)/n_conv)</f>
        <v>0.0255860717884961</v>
      </c>
      <c r="K6024" s="7" t="n">
        <f aca="false">Sens!$E$6024+(glt_lic-Sens!$E$6024)*MIN(1,(Sens!K5973-base_fy)/n_conv)</f>
        <v>0.02</v>
      </c>
    </row>
    <row r="6025" customFormat="false" ht="17.15" hidden="false" customHeight="false" outlineLevel="0" collapsed="false">
      <c r="A6025" s="0" t="s">
        <v>1039</v>
      </c>
      <c r="B6025" s="0" t="s">
        <v>98</v>
      </c>
      <c r="D6025" s="6" t="n">
        <f aca="false">Q!L9</f>
        <v>18.417</v>
      </c>
      <c r="E6025" s="6" t="n">
        <f aca="false">Q!M9</f>
        <v>20.345</v>
      </c>
      <c r="F6025" s="6" t="n">
        <f aca="false">Q!$I$9+(Q!M9-Q!$E$9)*(1+Sens!F6026)</f>
        <v>22.3161797133988</v>
      </c>
      <c r="G6025" s="6" t="n">
        <f aca="false">Sens!F6025*(1+Sens!G6026)</f>
        <v>24.3943499673233</v>
      </c>
      <c r="H6025" s="6" t="n">
        <f aca="false">Sens!G6025*(1+Sens!H6026)</f>
        <v>26.5250243109019</v>
      </c>
      <c r="I6025" s="6" t="n">
        <f aca="false">Sens!H6025*(1+Sens!I6026)</f>
        <v>28.6884573538181</v>
      </c>
      <c r="J6025" s="6" t="n">
        <f aca="false">Sens!I6025*(1+Sens!J6026)</f>
        <v>30.8624968052127</v>
      </c>
      <c r="K6025" s="6" t="n">
        <f aca="false">Sens!J6025*(1+Sens!K6026)</f>
        <v>33.0228715815776</v>
      </c>
      <c r="L6025" s="12" t="s">
        <v>1038</v>
      </c>
    </row>
    <row r="6026" customFormat="false" ht="15" hidden="false" customHeight="false" outlineLevel="0" collapsed="false">
      <c r="A6026" s="1" t="s">
        <v>1028</v>
      </c>
      <c r="B6026" s="0" t="s">
        <v>168</v>
      </c>
      <c r="E6026" s="7" t="n">
        <f aca="false">Sens!E6025/Sens!D6025-1</f>
        <v>0.104685888038225</v>
      </c>
      <c r="F6026" s="7" t="n">
        <f aca="false">Sens!$E$6026+(glt_ind-Sens!$E$6026)*MIN(1,(Sens!F5973-base_fy)/n_conv)</f>
        <v>0.0989049066985211</v>
      </c>
      <c r="G6026" s="7" t="n">
        <f aca="false">Sens!$E$6026+(glt_ind-Sens!$E$6026)*MIN(1,(Sens!G5973-base_fy)/n_conv)</f>
        <v>0.0931239253588169</v>
      </c>
      <c r="H6026" s="7" t="n">
        <f aca="false">Sens!$E$6026+(glt_ind-Sens!$E$6026)*MIN(1,(Sens!H5973-base_fy)/n_conv)</f>
        <v>0.0873429440191127</v>
      </c>
      <c r="I6026" s="7" t="n">
        <f aca="false">Sens!$E$6026+(glt_ind-Sens!$E$6026)*MIN(1,(Sens!I5973-base_fy)/n_conv)</f>
        <v>0.0815619626794085</v>
      </c>
      <c r="J6026" s="7" t="n">
        <f aca="false">Sens!$E$6026+(glt_ind-Sens!$E$6026)*MIN(1,(Sens!J5973-base_fy)/n_conv)</f>
        <v>0.0757809813397042</v>
      </c>
      <c r="K6026" s="7" t="n">
        <f aca="false">Sens!$E$6026+(glt_ind-Sens!$E$6026)*MIN(1,(Sens!K5973-base_fy)/n_conv)</f>
        <v>0.07</v>
      </c>
    </row>
    <row r="6027" customFormat="false" ht="17.15" hidden="false" customHeight="false" outlineLevel="0" collapsed="false">
      <c r="A6027" s="0" t="s">
        <v>1040</v>
      </c>
      <c r="B6027" s="0" t="s">
        <v>98</v>
      </c>
      <c r="D6027" s="6" t="n">
        <f aca="false">Q!L10</f>
        <v>7.76</v>
      </c>
      <c r="E6027" s="6" t="n">
        <f aca="false">Q!M10</f>
        <v>8.26</v>
      </c>
      <c r="F6027" s="6" t="n">
        <f aca="false">Q!$I$10+(Q!M10-Q!$E$10)*(1+Sens!F6028)</f>
        <v>8.75372082474227</v>
      </c>
      <c r="G6027" s="6" t="n">
        <f aca="false">Sens!F6027*(1+Sens!G6028)</f>
        <v>9.33399324642364</v>
      </c>
      <c r="H6027" s="6" t="n">
        <f aca="false">Sens!G6027*(1+Sens!H6028)</f>
        <v>9.96139155535851</v>
      </c>
      <c r="I6027" s="6" t="n">
        <f aca="false">Sens!H6027*(1+Sens!I6028)</f>
        <v>10.6402039077391</v>
      </c>
      <c r="J6027" s="6" t="n">
        <f aca="false">Sens!I6027*(1+Sens!J6028)</f>
        <v>11.3751458271397</v>
      </c>
      <c r="K6027" s="6" t="n">
        <f aca="false">Sens!J6027*(1+Sens!K6028)</f>
        <v>12.1714060350394</v>
      </c>
      <c r="L6027" s="12" t="s">
        <v>1038</v>
      </c>
    </row>
    <row r="6028" customFormat="false" ht="15" hidden="false" customHeight="false" outlineLevel="0" collapsed="false">
      <c r="A6028" s="1" t="s">
        <v>1028</v>
      </c>
      <c r="B6028" s="0" t="s">
        <v>168</v>
      </c>
      <c r="E6028" s="7" t="n">
        <f aca="false">Sens!E6027/Sens!D6027-1</f>
        <v>0.0644329896907216</v>
      </c>
      <c r="F6028" s="7" t="n">
        <f aca="false">Sens!$E$6028+(glt_fro-Sens!$E$6028)*MIN(1,(Sens!F5973-base_fy)/n_conv)</f>
        <v>0.065360824742268</v>
      </c>
      <c r="G6028" s="7" t="n">
        <f aca="false">Sens!$E$6028+(glt_fro-Sens!$E$6028)*MIN(1,(Sens!G5973-base_fy)/n_conv)</f>
        <v>0.0662886597938144</v>
      </c>
      <c r="H6028" s="7" t="n">
        <f aca="false">Sens!$E$6028+(glt_fro-Sens!$E$6028)*MIN(1,(Sens!H5973-base_fy)/n_conv)</f>
        <v>0.0672164948453608</v>
      </c>
      <c r="I6028" s="7" t="n">
        <f aca="false">Sens!$E$6028+(glt_fro-Sens!$E$6028)*MIN(1,(Sens!I5973-base_fy)/n_conv)</f>
        <v>0.0681443298969072</v>
      </c>
      <c r="J6028" s="7" t="n">
        <f aca="false">Sens!$E$6028+(glt_fro-Sens!$E$6028)*MIN(1,(Sens!J5973-base_fy)/n_conv)</f>
        <v>0.0690721649484536</v>
      </c>
      <c r="K6028" s="7" t="n">
        <f aca="false">Sens!$E$6028+(glt_fro-Sens!$E$6028)*MIN(1,(Sens!K5973-base_fy)/n_conv)</f>
        <v>0.07</v>
      </c>
    </row>
    <row r="6029" customFormat="false" ht="15" hidden="false" customHeight="false" outlineLevel="0" collapsed="false">
      <c r="A6029" s="0" t="s">
        <v>856</v>
      </c>
      <c r="B6029" s="0" t="s">
        <v>98</v>
      </c>
      <c r="D6029" s="6" t="n">
        <f aca="false">Sens!D6017+Sens!D6022+Sens!D6023+Sens!D6025+Sens!D6027</f>
        <v>218.783</v>
      </c>
      <c r="E6029" s="6" t="n">
        <f aca="false">Sens!E6017+Sens!E6022+Sens!E6023+Sens!E6025+Sens!E6027</f>
        <v>268.127</v>
      </c>
      <c r="F6029" s="6" t="n">
        <f aca="false">Sens!F6017+Sens!F6022+Sens!F6023+Sens!F6025+Sens!F6027</f>
        <v>329.49563716819</v>
      </c>
      <c r="G6029" s="6" t="n">
        <f aca="false">Sens!G6017+Sens!G6022+Sens!G6023+Sens!G6025+Sens!G6027</f>
        <v>391.212996611195</v>
      </c>
      <c r="H6029" s="6" t="n">
        <f aca="false">Sens!H6017+Sens!H6022+Sens!H6023+Sens!H6025+Sens!H6027</f>
        <v>448.442228348579</v>
      </c>
      <c r="I6029" s="6" t="n">
        <f aca="false">Sens!I6017+Sens!I6022+Sens!I6023+Sens!I6025+Sens!I6027</f>
        <v>507.764055071555</v>
      </c>
      <c r="J6029" s="6" t="n">
        <f aca="false">Sens!J6017+Sens!J6022+Sens!J6023+Sens!J6025+Sens!J6027</f>
        <v>556.808094089442</v>
      </c>
      <c r="K6029" s="6" t="n">
        <f aca="false">Sens!K6017+Sens!K6022+Sens!K6023+Sens!K6025+Sens!K6027</f>
        <v>595.829366875791</v>
      </c>
    </row>
    <row r="6030" customFormat="false" ht="17.15" hidden="false" customHeight="false" outlineLevel="0" collapsed="false">
      <c r="A6030" s="0" t="s">
        <v>1041</v>
      </c>
      <c r="B6030" s="0" t="s">
        <v>98</v>
      </c>
      <c r="D6030" s="6" t="n">
        <f aca="false">Q!L13</f>
        <v>22.171</v>
      </c>
      <c r="E6030" s="6" t="n">
        <f aca="false">Q!M13</f>
        <v>24.835</v>
      </c>
      <c r="F6030" s="6" t="n">
        <f aca="false">Q!$I$13+(Q!M13-Q!$E$13)*(1+Sens!F6031)</f>
        <v>27.5591895660247</v>
      </c>
      <c r="G6030" s="6" t="n">
        <f aca="false">Sens!F6030*(1+Sens!G6031)</f>
        <v>30.4098563144583</v>
      </c>
      <c r="H6030" s="6" t="n">
        <f aca="false">Sens!G6030*(1+Sens!H6031)</f>
        <v>33.3011792571777</v>
      </c>
      <c r="I6030" s="6" t="n">
        <f aca="false">Sens!H6030*(1+Sens!I6031)</f>
        <v>36.189023797112</v>
      </c>
      <c r="J6030" s="6" t="n">
        <f aca="false">Sens!I6030*(1+Sens!J6031)</f>
        <v>39.0247773769199</v>
      </c>
      <c r="K6030" s="6" t="n">
        <f aca="false">Sens!J6030*(1+Sens!K6031)</f>
        <v>41.7565117933043</v>
      </c>
      <c r="L6030" s="12" t="s">
        <v>1038</v>
      </c>
    </row>
    <row r="6031" customFormat="false" ht="15" hidden="false" customHeight="false" outlineLevel="0" collapsed="false">
      <c r="A6031" s="1" t="s">
        <v>1028</v>
      </c>
      <c r="B6031" s="0" t="s">
        <v>168</v>
      </c>
      <c r="E6031" s="7" t="n">
        <f aca="false">Sens!E6030/Sens!D6030-1</f>
        <v>0.120156961796942</v>
      </c>
      <c r="F6031" s="7" t="n">
        <f aca="false">Sens!$E$6031+(glt_srch-Sens!$E$6031)*MIN(1,(Sens!F5973-base_fy)/n_conv)</f>
        <v>0.111797468164118</v>
      </c>
      <c r="G6031" s="7" t="n">
        <f aca="false">Sens!$E$6031+(glt_srch-Sens!$E$6031)*MIN(1,(Sens!G5973-base_fy)/n_conv)</f>
        <v>0.103437974531295</v>
      </c>
      <c r="H6031" s="7" t="n">
        <f aca="false">Sens!$E$6031+(glt_srch-Sens!$E$6031)*MIN(1,(Sens!H5973-base_fy)/n_conv)</f>
        <v>0.095078480898471</v>
      </c>
      <c r="I6031" s="7" t="n">
        <f aca="false">Sens!$E$6031+(glt_srch-Sens!$E$6031)*MIN(1,(Sens!I5973-base_fy)/n_conv)</f>
        <v>0.0867189872656474</v>
      </c>
      <c r="J6031" s="7" t="n">
        <f aca="false">Sens!$E$6031+(glt_srch-Sens!$E$6031)*MIN(1,(Sens!J5973-base_fy)/n_conv)</f>
        <v>0.0783594936328237</v>
      </c>
      <c r="K6031" s="7" t="n">
        <f aca="false">Sens!$E$6031+(glt_srch-Sens!$E$6031)*MIN(1,(Sens!K5973-base_fy)/n_conv)</f>
        <v>0.07</v>
      </c>
    </row>
    <row r="6032" customFormat="false" ht="17.15" hidden="false" customHeight="false" outlineLevel="0" collapsed="false">
      <c r="A6032" s="0" t="s">
        <v>1042</v>
      </c>
      <c r="B6032" s="0" t="s">
        <v>98</v>
      </c>
      <c r="D6032" s="6" t="n">
        <f aca="false">Q!L14</f>
        <v>23.455</v>
      </c>
      <c r="E6032" s="6" t="n">
        <f aca="false">Q!M14</f>
        <v>21.79</v>
      </c>
      <c r="F6032" s="6" t="n">
        <f aca="false">Q!$I$14+(Q!M14-Q!$E$14)*(1+Sens!F6033)</f>
        <v>20.7520981041711</v>
      </c>
      <c r="G6032" s="6" t="n">
        <f aca="false">Sens!F6032*(1+Sens!G6033)</f>
        <v>19.9083593495882</v>
      </c>
      <c r="H6032" s="6" t="n">
        <f aca="false">Sens!G6032*(1+Sens!H6033)</f>
        <v>19.4008256265831</v>
      </c>
      <c r="I6032" s="6" t="n">
        <f aca="false">Sens!H6032*(1+Sens!I6033)</f>
        <v>19.200434522122</v>
      </c>
      <c r="J6032" s="6" t="n">
        <f aca="false">Sens!I6032*(1+Sens!J6033)</f>
        <v>19.2932782348507</v>
      </c>
      <c r="K6032" s="6" t="n">
        <f aca="false">Sens!J6032*(1+Sens!K6033)</f>
        <v>19.6791437995477</v>
      </c>
      <c r="L6032" s="12" t="s">
        <v>1038</v>
      </c>
    </row>
    <row r="6033" customFormat="false" ht="15" hidden="false" customHeight="false" outlineLevel="0" collapsed="false">
      <c r="A6033" s="1" t="s">
        <v>1028</v>
      </c>
      <c r="B6033" s="0" t="s">
        <v>168</v>
      </c>
      <c r="E6033" s="7" t="n">
        <f aca="false">Sens!E6032/Sens!D6032-1</f>
        <v>-0.0709869963760392</v>
      </c>
      <c r="F6033" s="7" t="n">
        <f aca="false">Sens!$E$6033+(glt_xbox-Sens!$E$6033)*MIN(1,(Sens!F5973-base_fy)/n_conv)</f>
        <v>-0.0558224969800327</v>
      </c>
      <c r="G6033" s="7" t="n">
        <f aca="false">Sens!$E$6033+(glt_xbox-Sens!$E$6033)*MIN(1,(Sens!G5973-base_fy)/n_conv)</f>
        <v>-0.0406579975840262</v>
      </c>
      <c r="H6033" s="7" t="n">
        <f aca="false">Sens!$E$6033+(glt_xbox-Sens!$E$6033)*MIN(1,(Sens!H5973-base_fy)/n_conv)</f>
        <v>-0.0254934981880196</v>
      </c>
      <c r="I6033" s="7" t="n">
        <f aca="false">Sens!$E$6033+(glt_xbox-Sens!$E$6033)*MIN(1,(Sens!I5973-base_fy)/n_conv)</f>
        <v>-0.0103289987920131</v>
      </c>
      <c r="J6033" s="7" t="n">
        <f aca="false">Sens!$E$6033+(glt_xbox-Sens!$E$6033)*MIN(1,(Sens!J5973-base_fy)/n_conv)</f>
        <v>0.00483550060399347</v>
      </c>
      <c r="K6033" s="7" t="n">
        <f aca="false">Sens!$E$6033+(glt_xbox-Sens!$E$6033)*MIN(1,(Sens!K5973-base_fy)/n_conv)</f>
        <v>0.02</v>
      </c>
    </row>
    <row r="6034" customFormat="false" ht="17.15" hidden="false" customHeight="false" outlineLevel="0" collapsed="false">
      <c r="A6034" s="0" t="s">
        <v>1043</v>
      </c>
      <c r="B6034" s="0" t="s">
        <v>98</v>
      </c>
      <c r="D6034" s="6" t="n">
        <f aca="false">Q!L15</f>
        <v>17.315</v>
      </c>
      <c r="E6034" s="6" t="n">
        <f aca="false">Q!M15</f>
        <v>17.087</v>
      </c>
      <c r="F6034" s="6" t="n">
        <f aca="false">Q!$I$15+(Q!M15-Q!$E$15)*(1+Sens!F6035)</f>
        <v>15.9912273250553</v>
      </c>
      <c r="G6034" s="6" t="n">
        <f aca="false">Sens!F6034*(1+Sens!G6035)</f>
        <v>15.9574562664827</v>
      </c>
      <c r="H6034" s="6" t="n">
        <f aca="false">Sens!G6034*(1+Sens!H6035)</f>
        <v>16.0119687434196</v>
      </c>
      <c r="I6034" s="6" t="n">
        <f aca="false">Sens!H6034*(1+Sens!I6035)</f>
        <v>16.1551810001948</v>
      </c>
      <c r="J6034" s="6" t="n">
        <f aca="false">Sens!I6034*(1+Sens!J6035)</f>
        <v>16.3889793892005</v>
      </c>
      <c r="K6034" s="6" t="n">
        <f aca="false">Sens!J6034*(1+Sens!K6035)</f>
        <v>16.7167589769845</v>
      </c>
      <c r="L6034" s="12" t="s">
        <v>1038</v>
      </c>
    </row>
    <row r="6035" customFormat="false" ht="15" hidden="false" customHeight="false" outlineLevel="0" collapsed="false">
      <c r="A6035" s="1" t="s">
        <v>1028</v>
      </c>
      <c r="B6035" s="0" t="s">
        <v>168</v>
      </c>
      <c r="E6035" s="7" t="n">
        <f aca="false">Sens!E6034/Sens!D6034-1</f>
        <v>-0.0131677736066995</v>
      </c>
      <c r="F6035" s="7" t="n">
        <f aca="false">Sens!$E$6035+(glt_win-Sens!$E$6035)*MIN(1,(Sens!F5973-base_fy)/n_conv)</f>
        <v>-0.00763981133891627</v>
      </c>
      <c r="G6035" s="7" t="n">
        <f aca="false">Sens!$E$6035+(glt_win-Sens!$E$6035)*MIN(1,(Sens!G5973-base_fy)/n_conv)</f>
        <v>-0.00211184907113301</v>
      </c>
      <c r="H6035" s="7" t="n">
        <f aca="false">Sens!$E$6035+(glt_win-Sens!$E$6035)*MIN(1,(Sens!H5973-base_fy)/n_conv)</f>
        <v>0.00341611319665024</v>
      </c>
      <c r="I6035" s="7" t="n">
        <f aca="false">Sens!$E$6035+(glt_win-Sens!$E$6035)*MIN(1,(Sens!I5973-base_fy)/n_conv)</f>
        <v>0.00894407546443349</v>
      </c>
      <c r="J6035" s="7" t="n">
        <f aca="false">Sens!$E$6035+(glt_win-Sens!$E$6035)*MIN(1,(Sens!J5973-base_fy)/n_conv)</f>
        <v>0.0144720377322168</v>
      </c>
      <c r="K6035" s="7" t="n">
        <f aca="false">Sens!$E$6035+(glt_win-Sens!$E$6035)*MIN(1,(Sens!K5973-base_fy)/n_conv)</f>
        <v>0.02</v>
      </c>
    </row>
    <row r="6036" customFormat="false" ht="15" hidden="false" customHeight="false" outlineLevel="0" collapsed="false">
      <c r="A6036" s="0" t="s">
        <v>870</v>
      </c>
      <c r="B6036" s="0" t="s">
        <v>98</v>
      </c>
      <c r="D6036" s="6" t="n">
        <f aca="false">Sens!D6030+Sens!D6032+Sens!D6034</f>
        <v>62.941</v>
      </c>
      <c r="E6036" s="6" t="n">
        <f aca="false">Sens!E6030+Sens!E6032+Sens!E6034</f>
        <v>63.712</v>
      </c>
      <c r="F6036" s="6" t="n">
        <f aca="false">Sens!F6030+Sens!F6032+Sens!F6034</f>
        <v>64.3025149952511</v>
      </c>
      <c r="G6036" s="6" t="n">
        <f aca="false">Sens!G6030+Sens!G6032+Sens!G6034</f>
        <v>66.2756719305292</v>
      </c>
      <c r="H6036" s="6" t="n">
        <f aca="false">Sens!H6030+Sens!H6032+Sens!H6034</f>
        <v>68.7139736271804</v>
      </c>
      <c r="I6036" s="6" t="n">
        <f aca="false">Sens!I6030+Sens!I6032+Sens!I6034</f>
        <v>71.5446393194289</v>
      </c>
      <c r="J6036" s="6" t="n">
        <f aca="false">Sens!J6030+Sens!J6032+Sens!J6034</f>
        <v>74.707035000971</v>
      </c>
      <c r="K6036" s="6" t="n">
        <f aca="false">Sens!K6030+Sens!K6032+Sens!K6034</f>
        <v>78.1524145698365</v>
      </c>
    </row>
    <row r="6037" customFormat="false" ht="15" hidden="false" customHeight="false" outlineLevel="0" collapsed="false">
      <c r="A6037" s="1" t="s">
        <v>1044</v>
      </c>
      <c r="B6037" s="0" t="s">
        <v>98</v>
      </c>
      <c r="D6037" s="6" t="n">
        <f aca="false">Sens!D6029+Sens!D6036</f>
        <v>281.724</v>
      </c>
      <c r="E6037" s="6" t="n">
        <f aca="false">Sens!E6029+Sens!E6036</f>
        <v>331.839</v>
      </c>
      <c r="F6037" s="6" t="n">
        <f aca="false">Sens!F6029+Sens!F6036</f>
        <v>393.798152163441</v>
      </c>
      <c r="G6037" s="6" t="n">
        <f aca="false">Sens!G6029+Sens!G6036</f>
        <v>457.488668541724</v>
      </c>
      <c r="H6037" s="6" t="n">
        <f aca="false">Sens!H6029+Sens!H6036</f>
        <v>517.15620197576</v>
      </c>
      <c r="I6037" s="6" t="n">
        <f aca="false">Sens!I6029+Sens!I6036</f>
        <v>579.308694390984</v>
      </c>
      <c r="J6037" s="6" t="n">
        <f aca="false">Sens!J6029+Sens!J6036</f>
        <v>631.515129090413</v>
      </c>
      <c r="K6037" s="6" t="n">
        <f aca="false">Sens!K6029+Sens!K6036</f>
        <v>673.981781445628</v>
      </c>
    </row>
    <row r="6038" customFormat="false" ht="15" hidden="false" customHeight="false" outlineLevel="0" collapsed="false">
      <c r="A6038" s="26" t="s">
        <v>1045</v>
      </c>
      <c r="B6038" s="31" t="s">
        <v>98</v>
      </c>
      <c r="C6038" s="31"/>
      <c r="D6038" s="27" t="n">
        <f aca="false">(Sens!D6017+Sens!D6022+Sens!D6023+Sens!D6025+Sens!D6027-Sens!D6029)+(Sens!D6030+Sens!D6032+Sens!D6034-Sens!D6036)+(Sens!D6029-Q!L5)+(Sens!D6036-Q!L12)+(Sens!D6017-Q!L6)+(Sens!D6022-Q!L7)</f>
        <v>0</v>
      </c>
      <c r="E6038" s="27" t="n">
        <f aca="false">(Sens!E6017+Sens!E6022+Sens!E6023+Sens!E6025+Sens!E6027-Sens!E6029)+(Sens!E6030+Sens!E6032+Sens!E6034-Sens!E6036)+(Sens!E6029-Q!M5)+(Sens!E6036-Q!M12)+(Sens!E6017-Q!M6)+(Sens!E6022-Q!M7)</f>
        <v>0</v>
      </c>
      <c r="F6038" s="27" t="n">
        <f aca="false">(Sens!F6017+Sens!F6022+Sens!F6023+Sens!F6025+Sens!F6027-Sens!F6029)+(Sens!F6030+Sens!F6032+Sens!F6034-Sens!F6036)</f>
        <v>0</v>
      </c>
      <c r="G6038" s="27" t="n">
        <f aca="false">(Sens!G6017+Sens!G6022+Sens!G6023+Sens!G6025+Sens!G6027-Sens!G6029)+(Sens!G6030+Sens!G6032+Sens!G6034-Sens!G6036)</f>
        <v>0</v>
      </c>
      <c r="H6038" s="27" t="n">
        <f aca="false">(Sens!H6017+Sens!H6022+Sens!H6023+Sens!H6025+Sens!H6027-Sens!H6029)+(Sens!H6030+Sens!H6032+Sens!H6034-Sens!H6036)</f>
        <v>0</v>
      </c>
      <c r="I6038" s="27" t="n">
        <f aca="false">(Sens!I6017+Sens!I6022+Sens!I6023+Sens!I6025+Sens!I6027-Sens!I6029)+(Sens!I6030+Sens!I6032+Sens!I6034-Sens!I6036)</f>
        <v>0</v>
      </c>
      <c r="J6038" s="27" t="n">
        <f aca="false">(Sens!J6017+Sens!J6022+Sens!J6023+Sens!J6025+Sens!J6027-Sens!J6029)+(Sens!J6030+Sens!J6032+Sens!J6034-Sens!J6036)</f>
        <v>0</v>
      </c>
      <c r="K6038" s="27" t="n">
        <f aca="false">(Sens!K6017+Sens!K6022+Sens!K6023+Sens!K6025+Sens!K6027-Sens!K6029)+(Sens!K6030+Sens!K6032+Sens!K6034-Sens!K6036)</f>
        <v>0</v>
      </c>
    </row>
    <row r="6039" customFormat="false" ht="17.15" hidden="false" customHeight="false" outlineLevel="0" collapsed="false">
      <c r="A6039" s="3" t="s">
        <v>1762</v>
      </c>
    </row>
    <row r="6040" customFormat="false" ht="15" hidden="false" customHeight="false" outlineLevel="0" collapsed="false">
      <c r="A6040" s="4" t="s">
        <v>43</v>
      </c>
      <c r="B6040" s="4" t="s">
        <v>65</v>
      </c>
      <c r="C6040" s="23" t="s">
        <v>942</v>
      </c>
      <c r="D6040" s="23" t="s">
        <v>943</v>
      </c>
      <c r="E6040" s="23" t="s">
        <v>944</v>
      </c>
      <c r="F6040" s="23" t="s">
        <v>945</v>
      </c>
      <c r="G6040" s="23" t="s">
        <v>946</v>
      </c>
      <c r="H6040" s="23" t="s">
        <v>947</v>
      </c>
      <c r="I6040" s="23" t="s">
        <v>948</v>
      </c>
      <c r="J6040" s="23" t="s">
        <v>949</v>
      </c>
      <c r="K6040" s="23" t="s">
        <v>950</v>
      </c>
      <c r="L6040" s="4" t="s">
        <v>47</v>
      </c>
    </row>
    <row r="6041" customFormat="false" ht="15" hidden="false" customHeight="false" outlineLevel="0" collapsed="false">
      <c r="A6041" s="0" t="s">
        <v>1029</v>
      </c>
      <c r="B6041" s="0" t="s">
        <v>98</v>
      </c>
      <c r="D6041" s="6" t="n">
        <f aca="false">Sens!D6017</f>
        <v>72.61</v>
      </c>
      <c r="E6041" s="6" t="n">
        <f aca="false">Sens!E6017</f>
        <v>101.938</v>
      </c>
      <c r="F6041" s="6" t="n">
        <f aca="false">Sens!F6017</f>
        <v>142.602238662006</v>
      </c>
      <c r="G6041" s="6" t="n">
        <f aca="false">Sens!G6017</f>
        <v>184.878757624786</v>
      </c>
      <c r="H6041" s="6" t="n">
        <f aca="false">Sens!H6017</f>
        <v>222.640749314387</v>
      </c>
      <c r="I6041" s="6" t="n">
        <f aca="false">Sens!I6017</f>
        <v>263.515417768984</v>
      </c>
      <c r="J6041" s="6" t="n">
        <f aca="false">Sens!J6017</f>
        <v>295.452386395056</v>
      </c>
      <c r="K6041" s="6" t="n">
        <f aca="false">Sens!K6017</f>
        <v>318.289696508122</v>
      </c>
    </row>
    <row r="6042" customFormat="false" ht="17.15" hidden="false" customHeight="false" outlineLevel="0" collapsed="false">
      <c r="A6042" s="0" t="s">
        <v>1025</v>
      </c>
      <c r="B6042" s="0" t="s">
        <v>98</v>
      </c>
      <c r="D6042" s="6" t="n">
        <f aca="false">Sens!D6014</f>
        <v>12.9359794422418</v>
      </c>
      <c r="E6042" s="6" t="n">
        <f aca="false">Sens!E6014</f>
        <v>27.8095064661409</v>
      </c>
      <c r="F6042" s="6" t="n">
        <f aca="false">Sens!F6014</f>
        <v>50.1494948503043</v>
      </c>
      <c r="G6042" s="6" t="n">
        <f aca="false">Sens!G6014</f>
        <v>75.0310989089326</v>
      </c>
      <c r="H6042" s="6" t="n">
        <f aca="false">Sens!H6014</f>
        <v>95.0953210314038</v>
      </c>
      <c r="I6042" s="6" t="n">
        <f aca="false">Sens!I6014</f>
        <v>118.869383676679</v>
      </c>
      <c r="J6042" s="6" t="n">
        <f aca="false">Sens!J6014</f>
        <v>135.323829355905</v>
      </c>
      <c r="K6042" s="6" t="n">
        <f aca="false">Sens!K6014</f>
        <v>145.350854905839</v>
      </c>
    </row>
    <row r="6043" customFormat="false" ht="17.15" hidden="false" customHeight="false" outlineLevel="0" collapsed="false">
      <c r="A6043" s="0" t="s">
        <v>1056</v>
      </c>
      <c r="B6043" s="0" t="s">
        <v>98</v>
      </c>
      <c r="D6043" s="6" t="n">
        <f aca="false">Sens!D6015</f>
        <v>59.6740205577583</v>
      </c>
      <c r="E6043" s="6" t="n">
        <f aca="false">Sens!E6015</f>
        <v>74.1284935338591</v>
      </c>
      <c r="F6043" s="6" t="n">
        <f aca="false">Sens!F6015</f>
        <v>92.4527438117015</v>
      </c>
      <c r="G6043" s="6" t="n">
        <f aca="false">Sens!G6015</f>
        <v>109.847658715854</v>
      </c>
      <c r="H6043" s="6" t="n">
        <f aca="false">Sens!H6015</f>
        <v>127.545428282984</v>
      </c>
      <c r="I6043" s="6" t="n">
        <f aca="false">Sens!I6015</f>
        <v>144.646034092305</v>
      </c>
      <c r="J6043" s="6" t="n">
        <f aca="false">Sens!J6015</f>
        <v>160.128557039151</v>
      </c>
      <c r="K6043" s="6" t="n">
        <f aca="false">Sens!K6015</f>
        <v>172.938841602283</v>
      </c>
    </row>
    <row r="6044" customFormat="false" ht="15" hidden="false" customHeight="false" outlineLevel="0" collapsed="false">
      <c r="A6044" s="0" t="s">
        <v>1036</v>
      </c>
      <c r="B6044" s="0" t="s">
        <v>98</v>
      </c>
      <c r="D6044" s="6" t="n">
        <f aca="false">Sens!D6022</f>
        <v>84.605</v>
      </c>
      <c r="E6044" s="6" t="n">
        <f aca="false">Sens!E6022</f>
        <v>100.299</v>
      </c>
      <c r="F6044" s="6" t="n">
        <f aca="false">Sens!F6022</f>
        <v>117.438354189776</v>
      </c>
      <c r="G6044" s="6" t="n">
        <f aca="false">Sens!G6022</f>
        <v>132.595360443801</v>
      </c>
      <c r="H6044" s="6" t="n">
        <f aca="false">Sens!H6022</f>
        <v>147.833811964563</v>
      </c>
      <c r="I6044" s="6" t="n">
        <f aca="false">Sens!I6022</f>
        <v>162.145665319381</v>
      </c>
      <c r="J6044" s="6" t="n">
        <f aca="false">Sens!J6022</f>
        <v>175.249327755573</v>
      </c>
      <c r="K6044" s="6" t="n">
        <f aca="false">Sens!K6022</f>
        <v>187.599280698463</v>
      </c>
    </row>
    <row r="6045" customFormat="false" ht="17.15" hidden="false" customHeight="false" outlineLevel="0" collapsed="false">
      <c r="A6045" s="0" t="s">
        <v>1057</v>
      </c>
      <c r="B6045" s="0" t="s">
        <v>98</v>
      </c>
      <c r="D6045" s="6" t="n">
        <f aca="false">Sens!D6020</f>
        <v>83.705</v>
      </c>
      <c r="E6045" s="6" t="n">
        <f aca="false">Sens!E6020</f>
        <v>95.049</v>
      </c>
      <c r="F6045" s="6" t="n">
        <f aca="false">Sens!F6020</f>
        <v>106.938354189776</v>
      </c>
      <c r="G6045" s="6" t="n">
        <f aca="false">Sens!G6020</f>
        <v>119.095360443801</v>
      </c>
      <c r="H6045" s="6" t="n">
        <f aca="false">Sens!H6020</f>
        <v>131.333811964563</v>
      </c>
      <c r="I6045" s="6" t="n">
        <f aca="false">Sens!I6020</f>
        <v>143.395665319381</v>
      </c>
      <c r="J6045" s="6" t="n">
        <f aca="false">Sens!J6020</f>
        <v>154.999327755573</v>
      </c>
      <c r="K6045" s="6" t="n">
        <f aca="false">Sens!K6020</f>
        <v>165.849280698463</v>
      </c>
    </row>
    <row r="6046" customFormat="false" ht="17.15" hidden="false" customHeight="false" outlineLevel="0" collapsed="false">
      <c r="A6046" s="0" t="s">
        <v>1058</v>
      </c>
      <c r="B6046" s="0" t="s">
        <v>98</v>
      </c>
      <c r="D6046" s="6" t="n">
        <f aca="false">Sens!D6019</f>
        <v>0.9</v>
      </c>
      <c r="E6046" s="6" t="n">
        <f aca="false">Sens!E6019</f>
        <v>5.25</v>
      </c>
      <c r="F6046" s="6" t="n">
        <f aca="false">Sens!F6019</f>
        <v>10.5</v>
      </c>
      <c r="G6046" s="6" t="n">
        <f aca="false">Sens!G6019</f>
        <v>13.5</v>
      </c>
      <c r="H6046" s="6" t="n">
        <f aca="false">Sens!H6019</f>
        <v>16.5</v>
      </c>
      <c r="I6046" s="6" t="n">
        <f aca="false">Sens!I6019</f>
        <v>18.75</v>
      </c>
      <c r="J6046" s="6" t="n">
        <f aca="false">Sens!J6019</f>
        <v>20.25</v>
      </c>
      <c r="K6046" s="6" t="n">
        <f aca="false">Sens!K6019</f>
        <v>21.75</v>
      </c>
    </row>
    <row r="6047" customFormat="false" ht="15" hidden="false" customHeight="false" outlineLevel="0" collapsed="false">
      <c r="A6047" s="0" t="s">
        <v>1037</v>
      </c>
      <c r="B6047" s="0" t="s">
        <v>98</v>
      </c>
      <c r="D6047" s="6" t="n">
        <f aca="false">Sens!D6023</f>
        <v>35.391</v>
      </c>
      <c r="E6047" s="6" t="n">
        <f aca="false">Sens!E6023</f>
        <v>37.285</v>
      </c>
      <c r="F6047" s="6" t="n">
        <f aca="false">Sens!F6023</f>
        <v>38.3851437782675</v>
      </c>
      <c r="G6047" s="6" t="n">
        <f aca="false">Sens!G6023</f>
        <v>40.0105353288615</v>
      </c>
      <c r="H6047" s="6" t="n">
        <f aca="false">Sens!H6023</f>
        <v>41.4812512033683</v>
      </c>
      <c r="I6047" s="6" t="n">
        <f aca="false">Sens!I6023</f>
        <v>42.7743107216329</v>
      </c>
      <c r="J6047" s="6" t="n">
        <f aca="false">Sens!J6023</f>
        <v>43.8687373064601</v>
      </c>
      <c r="K6047" s="6" t="n">
        <f aca="false">Sens!K6023</f>
        <v>44.7461120525893</v>
      </c>
    </row>
    <row r="6048" customFormat="false" ht="15" hidden="false" customHeight="false" outlineLevel="0" collapsed="false">
      <c r="A6048" s="0" t="s">
        <v>1039</v>
      </c>
      <c r="B6048" s="0" t="s">
        <v>98</v>
      </c>
      <c r="D6048" s="6" t="n">
        <f aca="false">Sens!D6025</f>
        <v>18.417</v>
      </c>
      <c r="E6048" s="6" t="n">
        <f aca="false">Sens!E6025</f>
        <v>20.345</v>
      </c>
      <c r="F6048" s="6" t="n">
        <f aca="false">Sens!F6025</f>
        <v>22.3161797133988</v>
      </c>
      <c r="G6048" s="6" t="n">
        <f aca="false">Sens!G6025</f>
        <v>24.3943499673233</v>
      </c>
      <c r="H6048" s="6" t="n">
        <f aca="false">Sens!H6025</f>
        <v>26.5250243109019</v>
      </c>
      <c r="I6048" s="6" t="n">
        <f aca="false">Sens!I6025</f>
        <v>28.6884573538181</v>
      </c>
      <c r="J6048" s="6" t="n">
        <f aca="false">Sens!J6025</f>
        <v>30.8624968052127</v>
      </c>
      <c r="K6048" s="6" t="n">
        <f aca="false">Sens!K6025</f>
        <v>33.0228715815776</v>
      </c>
    </row>
    <row r="6049" customFormat="false" ht="15" hidden="false" customHeight="false" outlineLevel="0" collapsed="false">
      <c r="A6049" s="0" t="s">
        <v>1040</v>
      </c>
      <c r="B6049" s="0" t="s">
        <v>98</v>
      </c>
      <c r="D6049" s="6" t="n">
        <f aca="false">Sens!D6027</f>
        <v>7.76</v>
      </c>
      <c r="E6049" s="6" t="n">
        <f aca="false">Sens!E6027</f>
        <v>8.26</v>
      </c>
      <c r="F6049" s="6" t="n">
        <f aca="false">Sens!F6027</f>
        <v>8.75372082474227</v>
      </c>
      <c r="G6049" s="6" t="n">
        <f aca="false">Sens!G6027</f>
        <v>9.33399324642364</v>
      </c>
      <c r="H6049" s="6" t="n">
        <f aca="false">Sens!H6027</f>
        <v>9.96139155535851</v>
      </c>
      <c r="I6049" s="6" t="n">
        <f aca="false">Sens!I6027</f>
        <v>10.6402039077391</v>
      </c>
      <c r="J6049" s="6" t="n">
        <f aca="false">Sens!J6027</f>
        <v>11.3751458271397</v>
      </c>
      <c r="K6049" s="6" t="n">
        <f aca="false">Sens!K6027</f>
        <v>12.1714060350394</v>
      </c>
    </row>
    <row r="6050" customFormat="false" ht="15" hidden="false" customHeight="false" outlineLevel="0" collapsed="false">
      <c r="A6050" s="0" t="s">
        <v>856</v>
      </c>
      <c r="B6050" s="0" t="s">
        <v>98</v>
      </c>
      <c r="D6050" s="6" t="n">
        <f aca="false">Sens!D6029</f>
        <v>218.783</v>
      </c>
      <c r="E6050" s="6" t="n">
        <f aca="false">Sens!E6029</f>
        <v>268.127</v>
      </c>
      <c r="F6050" s="6" t="n">
        <f aca="false">Sens!F6029</f>
        <v>329.49563716819</v>
      </c>
      <c r="G6050" s="6" t="n">
        <f aca="false">Sens!G6029</f>
        <v>391.212996611195</v>
      </c>
      <c r="H6050" s="6" t="n">
        <f aca="false">Sens!H6029</f>
        <v>448.442228348579</v>
      </c>
      <c r="I6050" s="6" t="n">
        <f aca="false">Sens!I6029</f>
        <v>507.764055071555</v>
      </c>
      <c r="J6050" s="6" t="n">
        <f aca="false">Sens!J6029</f>
        <v>556.808094089442</v>
      </c>
      <c r="K6050" s="6" t="n">
        <f aca="false">Sens!K6029</f>
        <v>595.829366875791</v>
      </c>
    </row>
    <row r="6051" customFormat="false" ht="15" hidden="false" customHeight="false" outlineLevel="0" collapsed="false">
      <c r="A6051" s="0" t="s">
        <v>1041</v>
      </c>
      <c r="B6051" s="0" t="s">
        <v>98</v>
      </c>
      <c r="D6051" s="6" t="n">
        <f aca="false">Sens!D6030</f>
        <v>22.171</v>
      </c>
      <c r="E6051" s="6" t="n">
        <f aca="false">Sens!E6030</f>
        <v>24.835</v>
      </c>
      <c r="F6051" s="6" t="n">
        <f aca="false">Sens!F6030</f>
        <v>27.5591895660247</v>
      </c>
      <c r="G6051" s="6" t="n">
        <f aca="false">Sens!G6030</f>
        <v>30.4098563144583</v>
      </c>
      <c r="H6051" s="6" t="n">
        <f aca="false">Sens!H6030</f>
        <v>33.3011792571777</v>
      </c>
      <c r="I6051" s="6" t="n">
        <f aca="false">Sens!I6030</f>
        <v>36.189023797112</v>
      </c>
      <c r="J6051" s="6" t="n">
        <f aca="false">Sens!J6030</f>
        <v>39.0247773769199</v>
      </c>
      <c r="K6051" s="6" t="n">
        <f aca="false">Sens!K6030</f>
        <v>41.7565117933043</v>
      </c>
    </row>
    <row r="6052" customFormat="false" ht="15" hidden="false" customHeight="false" outlineLevel="0" collapsed="false">
      <c r="A6052" s="0" t="s">
        <v>1042</v>
      </c>
      <c r="B6052" s="0" t="s">
        <v>98</v>
      </c>
      <c r="D6052" s="6" t="n">
        <f aca="false">Sens!D6032</f>
        <v>23.455</v>
      </c>
      <c r="E6052" s="6" t="n">
        <f aca="false">Sens!E6032</f>
        <v>21.79</v>
      </c>
      <c r="F6052" s="6" t="n">
        <f aca="false">Sens!F6032</f>
        <v>20.7520981041711</v>
      </c>
      <c r="G6052" s="6" t="n">
        <f aca="false">Sens!G6032</f>
        <v>19.9083593495882</v>
      </c>
      <c r="H6052" s="6" t="n">
        <f aca="false">Sens!H6032</f>
        <v>19.4008256265831</v>
      </c>
      <c r="I6052" s="6" t="n">
        <f aca="false">Sens!I6032</f>
        <v>19.200434522122</v>
      </c>
      <c r="J6052" s="6" t="n">
        <f aca="false">Sens!J6032</f>
        <v>19.2932782348507</v>
      </c>
      <c r="K6052" s="6" t="n">
        <f aca="false">Sens!K6032</f>
        <v>19.6791437995477</v>
      </c>
    </row>
    <row r="6053" customFormat="false" ht="15" hidden="false" customHeight="false" outlineLevel="0" collapsed="false">
      <c r="A6053" s="0" t="s">
        <v>1043</v>
      </c>
      <c r="B6053" s="0" t="s">
        <v>98</v>
      </c>
      <c r="D6053" s="6" t="n">
        <f aca="false">Sens!D6034</f>
        <v>17.315</v>
      </c>
      <c r="E6053" s="6" t="n">
        <f aca="false">Sens!E6034</f>
        <v>17.087</v>
      </c>
      <c r="F6053" s="6" t="n">
        <f aca="false">Sens!F6034</f>
        <v>15.9912273250553</v>
      </c>
      <c r="G6053" s="6" t="n">
        <f aca="false">Sens!G6034</f>
        <v>15.9574562664827</v>
      </c>
      <c r="H6053" s="6" t="n">
        <f aca="false">Sens!H6034</f>
        <v>16.0119687434196</v>
      </c>
      <c r="I6053" s="6" t="n">
        <f aca="false">Sens!I6034</f>
        <v>16.1551810001948</v>
      </c>
      <c r="J6053" s="6" t="n">
        <f aca="false">Sens!J6034</f>
        <v>16.3889793892005</v>
      </c>
      <c r="K6053" s="6" t="n">
        <f aca="false">Sens!K6034</f>
        <v>16.7167589769845</v>
      </c>
    </row>
    <row r="6054" customFormat="false" ht="15" hidden="false" customHeight="false" outlineLevel="0" collapsed="false">
      <c r="A6054" s="0" t="s">
        <v>870</v>
      </c>
      <c r="B6054" s="0" t="s">
        <v>98</v>
      </c>
      <c r="D6054" s="6" t="n">
        <f aca="false">Sens!D6036</f>
        <v>62.941</v>
      </c>
      <c r="E6054" s="6" t="n">
        <f aca="false">Sens!E6036</f>
        <v>63.712</v>
      </c>
      <c r="F6054" s="6" t="n">
        <f aca="false">Sens!F6036</f>
        <v>64.3025149952511</v>
      </c>
      <c r="G6054" s="6" t="n">
        <f aca="false">Sens!G6036</f>
        <v>66.2756719305292</v>
      </c>
      <c r="H6054" s="6" t="n">
        <f aca="false">Sens!H6036</f>
        <v>68.7139736271804</v>
      </c>
      <c r="I6054" s="6" t="n">
        <f aca="false">Sens!I6036</f>
        <v>71.5446393194289</v>
      </c>
      <c r="J6054" s="6" t="n">
        <f aca="false">Sens!J6036</f>
        <v>74.707035000971</v>
      </c>
      <c r="K6054" s="6" t="n">
        <f aca="false">Sens!K6036</f>
        <v>78.1524145698365</v>
      </c>
    </row>
    <row r="6055" customFormat="false" ht="15" hidden="false" customHeight="false" outlineLevel="0" collapsed="false">
      <c r="A6055" s="1" t="s">
        <v>1059</v>
      </c>
      <c r="B6055" s="0" t="s">
        <v>98</v>
      </c>
      <c r="D6055" s="6" t="n">
        <f aca="false">Sens!D6037</f>
        <v>281.724</v>
      </c>
      <c r="E6055" s="6" t="n">
        <f aca="false">Sens!E6037</f>
        <v>331.839</v>
      </c>
      <c r="F6055" s="6" t="n">
        <f aca="false">Sens!F6037</f>
        <v>393.798152163441</v>
      </c>
      <c r="G6055" s="6" t="n">
        <f aca="false">Sens!G6037</f>
        <v>457.488668541724</v>
      </c>
      <c r="H6055" s="6" t="n">
        <f aca="false">Sens!H6037</f>
        <v>517.15620197576</v>
      </c>
      <c r="I6055" s="6" t="n">
        <f aca="false">Sens!I6037</f>
        <v>579.308694390984</v>
      </c>
      <c r="J6055" s="6" t="n">
        <f aca="false">Sens!J6037</f>
        <v>631.515129090413</v>
      </c>
      <c r="K6055" s="6" t="n">
        <f aca="false">Sens!K6037</f>
        <v>673.981781445628</v>
      </c>
    </row>
    <row r="6056" customFormat="false" ht="15" hidden="false" customHeight="false" outlineLevel="0" collapsed="false">
      <c r="A6056" s="1" t="s">
        <v>1060</v>
      </c>
      <c r="B6056" s="0" t="s">
        <v>168</v>
      </c>
      <c r="E6056" s="7" t="n">
        <f aca="false">Sens!E6055/Sens!D6055-1</f>
        <v>0.177886867998467</v>
      </c>
      <c r="F6056" s="7" t="n">
        <f aca="false">Sens!F6055/Sens!E6055-1</f>
        <v>0.186714497582988</v>
      </c>
      <c r="G6056" s="7" t="n">
        <f aca="false">Sens!G6055/Sens!F6055-1</f>
        <v>0.161733913753484</v>
      </c>
      <c r="H6056" s="7" t="n">
        <f aca="false">Sens!H6055/Sens!G6055-1</f>
        <v>0.130424068478525</v>
      </c>
      <c r="I6056" s="7" t="n">
        <f aca="false">Sens!I6055/Sens!H6055-1</f>
        <v>0.120181276329618</v>
      </c>
      <c r="J6056" s="7" t="n">
        <f aca="false">Sens!J6055/Sens!I6055-1</f>
        <v>0.090118507118752</v>
      </c>
      <c r="K6056" s="7" t="n">
        <f aca="false">Sens!K6055/Sens!J6055-1</f>
        <v>0.0672456611077248</v>
      </c>
    </row>
    <row r="6057" customFormat="false" ht="17.15" hidden="false" customHeight="false" outlineLevel="0" collapsed="false">
      <c r="A6057" s="26" t="s">
        <v>1061</v>
      </c>
      <c r="B6057" s="31" t="s">
        <v>98</v>
      </c>
      <c r="C6057" s="31"/>
      <c r="D6057" s="27" t="n">
        <f aca="false">(Sens!D6050+Sens!D6054-Sens!D6055)+(Sens!D6042+Sens!D6043-Sens!D6041)+(Sens!D6045+Sens!D6046-Sens!D6044)+(Sens!D6055-Q!L18)</f>
        <v>0</v>
      </c>
      <c r="E6057" s="27" t="n">
        <f aca="false">(Sens!E6050+Sens!E6054-Sens!E6055)+(Sens!E6042+Sens!E6043-Sens!E6041)+(Sens!E6045+Sens!E6046-Sens!E6044)+(Sens!E6055-Q!M18)</f>
        <v>0</v>
      </c>
      <c r="F6057" s="27" t="n">
        <f aca="false">(Sens!F6050+Sens!F6054-Sens!F6055)+(Sens!F6042+Sens!F6043-Sens!F6041)+(Sens!F6045+Sens!F6046-Sens!F6044)</f>
        <v>0</v>
      </c>
      <c r="G6057" s="27" t="n">
        <f aca="false">(Sens!G6050+Sens!G6054-Sens!G6055)+(Sens!G6042+Sens!G6043-Sens!G6041)+(Sens!G6045+Sens!G6046-Sens!G6044)</f>
        <v>0</v>
      </c>
      <c r="H6057" s="27" t="n">
        <f aca="false">(Sens!H6050+Sens!H6054-Sens!H6055)+(Sens!H6042+Sens!H6043-Sens!H6041)+(Sens!H6045+Sens!H6046-Sens!H6044)</f>
        <v>0</v>
      </c>
      <c r="I6057" s="27" t="n">
        <f aca="false">(Sens!I6050+Sens!I6054-Sens!I6055)+(Sens!I6042+Sens!I6043-Sens!I6041)+(Sens!I6045+Sens!I6046-Sens!I6044)</f>
        <v>0</v>
      </c>
      <c r="J6057" s="27" t="n">
        <f aca="false">(Sens!J6050+Sens!J6054-Sens!J6055)+(Sens!J6042+Sens!J6043-Sens!J6041)+(Sens!J6045+Sens!J6046-Sens!J6044)</f>
        <v>0</v>
      </c>
      <c r="K6057" s="27" t="n">
        <f aca="false">(Sens!K6050+Sens!K6054-Sens!K6055)+(Sens!K6042+Sens!K6043-Sens!K6041)+(Sens!K6045+Sens!K6046-Sens!K6044)</f>
        <v>0</v>
      </c>
    </row>
    <row r="6058" customFormat="false" ht="17.15" hidden="false" customHeight="false" outlineLevel="0" collapsed="false">
      <c r="A6058" s="0" t="s">
        <v>1062</v>
      </c>
      <c r="B6058" s="0" t="s">
        <v>168</v>
      </c>
      <c r="E6058" s="7" t="n">
        <f aca="false">(Q!M21+Sens!E5994+Sens!E5995+Sens!E5996+Sens!E6010-Sens!E5992)/(Q!M5-Sens!E5992)</f>
        <v>0.570957350878296</v>
      </c>
      <c r="F6058" s="7" t="n">
        <f aca="false">Sens!$E$6058+dm_seg</f>
        <v>0.570957350878296</v>
      </c>
      <c r="G6058" s="7" t="n">
        <f aca="false">Sens!$E$6058+dm_seg</f>
        <v>0.570957350878296</v>
      </c>
      <c r="H6058" s="7" t="n">
        <f aca="false">Sens!$E$6058+dm_seg</f>
        <v>0.570957350878296</v>
      </c>
      <c r="I6058" s="7" t="n">
        <f aca="false">Sens!$E$6058+dm_seg</f>
        <v>0.570957350878296</v>
      </c>
      <c r="J6058" s="7" t="n">
        <f aca="false">Sens!$E$6058+dm_seg</f>
        <v>0.570957350878296</v>
      </c>
      <c r="K6058" s="7" t="n">
        <f aca="false">Sens!$E$6058+dm_seg</f>
        <v>0.570957350878296</v>
      </c>
      <c r="L6058" s="12" t="s">
        <v>1063</v>
      </c>
    </row>
    <row r="6059" customFormat="false" ht="17.15" hidden="false" customHeight="false" outlineLevel="0" collapsed="false">
      <c r="A6059" s="0" t="s">
        <v>884</v>
      </c>
      <c r="B6059" s="0" t="s">
        <v>98</v>
      </c>
      <c r="D6059" s="6" t="n">
        <f aca="false">Q!L21</f>
        <v>110.814</v>
      </c>
      <c r="E6059" s="6" t="n">
        <f aca="false">Q!M21</f>
        <v>136.365</v>
      </c>
      <c r="F6059" s="6" t="n">
        <f aca="false">Q!$I$21+(Sens!F6058*(Sens!F6029-Sens!F5992)+Sens!F5992-(Sens!F5994+Sens!F5995+Sens!F5996)-Sens!F6010-Sens!F6093)*(Sens!F6029-Q!$I$5)/Sens!F6029</f>
        <v>157.48160099505</v>
      </c>
      <c r="G6059" s="6" t="n">
        <f aca="false">(Sens!G6058*(Sens!G6029-Sens!G5992)+Sens!G5992-(Sens!G5994+Sens!G5995+Sens!G5996)-Sens!G6010-Sens!G6093)</f>
        <v>159.751794413981</v>
      </c>
      <c r="H6059" s="6" t="n">
        <f aca="false">(Sens!H6058*(Sens!H6029-Sens!H5992)+Sens!H5992-(Sens!H5994+Sens!H5995+Sens!H5996)-Sens!H6010-Sens!H6093)</f>
        <v>160.540211750422</v>
      </c>
      <c r="I6059" s="6" t="n">
        <f aca="false">(Sens!I6058*(Sens!I6029-Sens!I5992)+Sens!I5992-(Sens!I5994+Sens!I5995+Sens!I5996)-Sens!I6010-Sens!I6093)</f>
        <v>168.980361732368</v>
      </c>
      <c r="J6059" s="6" t="n">
        <f aca="false">(Sens!J6058*(Sens!J6029-Sens!J5992)+Sens!J5992-(Sens!J5994+Sens!J5995+Sens!J5996)-Sens!J6010-Sens!J6093)</f>
        <v>179.110865483679</v>
      </c>
      <c r="K6059" s="6" t="n">
        <f aca="false">(Sens!K6058*(Sens!K6029-Sens!K5992)+Sens!K5992-(Sens!K5994+Sens!K5995+Sens!K5996)-Sens!K6010-Sens!K6093)</f>
        <v>190.638662905094</v>
      </c>
      <c r="L6059" s="1" t="s">
        <v>1064</v>
      </c>
    </row>
    <row r="6060" customFormat="false" ht="17.15" hidden="false" customHeight="false" outlineLevel="0" collapsed="false">
      <c r="A6060" s="0" t="s">
        <v>1065</v>
      </c>
      <c r="B6060" s="0" t="s">
        <v>168</v>
      </c>
      <c r="E6060" s="7" t="n">
        <f aca="false">Q!M22/Q!M12</f>
        <v>0.296207935710698</v>
      </c>
      <c r="F6060" s="7" t="n">
        <f aca="false">Sens!$E$6060+dm_seg</f>
        <v>0.296207935710698</v>
      </c>
      <c r="G6060" s="7" t="n">
        <f aca="false">Sens!$E$6060+dm_seg</f>
        <v>0.296207935710698</v>
      </c>
      <c r="H6060" s="7" t="n">
        <f aca="false">Sens!$E$6060+dm_seg</f>
        <v>0.296207935710698</v>
      </c>
      <c r="I6060" s="7" t="n">
        <f aca="false">Sens!$E$6060+dm_seg</f>
        <v>0.296207935710698</v>
      </c>
      <c r="J6060" s="7" t="n">
        <f aca="false">Sens!$E$6060+dm_seg</f>
        <v>0.296207935710698</v>
      </c>
      <c r="K6060" s="7" t="n">
        <f aca="false">Sens!$E$6060+dm_seg</f>
        <v>0.296207935710698</v>
      </c>
      <c r="L6060" s="12" t="s">
        <v>1066</v>
      </c>
    </row>
    <row r="6061" customFormat="false" ht="17.15" hidden="false" customHeight="false" outlineLevel="0" collapsed="false">
      <c r="A6061" s="0" t="s">
        <v>886</v>
      </c>
      <c r="B6061" s="0" t="s">
        <v>98</v>
      </c>
      <c r="D6061" s="6" t="n">
        <f aca="false">Q!L22</f>
        <v>17.714</v>
      </c>
      <c r="E6061" s="6" t="n">
        <f aca="false">Q!M22</f>
        <v>18.872</v>
      </c>
      <c r="F6061" s="6" t="n">
        <f aca="false">Q!$I$22+(Sens!F6036-Q!$I$12)*Sens!F6060</f>
        <v>19.8174315512051</v>
      </c>
      <c r="G6061" s="6" t="n">
        <f aca="false">Sens!G6036*Sens!G6060</f>
        <v>19.6313799703815</v>
      </c>
      <c r="H6061" s="6" t="n">
        <f aca="false">Sens!H6036*Sens!H6060</f>
        <v>20.3536242825865</v>
      </c>
      <c r="I6061" s="6" t="n">
        <f aca="false">Sens!I6036*Sens!I6060</f>
        <v>21.1920899239745</v>
      </c>
      <c r="J6061" s="6" t="n">
        <f aca="false">Sens!J6036*Sens!J6060</f>
        <v>22.1288166207045</v>
      </c>
      <c r="K6061" s="6" t="n">
        <f aca="false">Sens!K6036*Sens!K6060</f>
        <v>23.1493653905379</v>
      </c>
      <c r="L6061" s="12" t="s">
        <v>1067</v>
      </c>
    </row>
    <row r="6062" customFormat="false" ht="15" hidden="false" customHeight="false" outlineLevel="0" collapsed="false">
      <c r="A6062" s="1" t="s">
        <v>1068</v>
      </c>
      <c r="B6062" s="0" t="s">
        <v>98</v>
      </c>
      <c r="D6062" s="6" t="n">
        <f aca="false">Sens!D6059+Sens!D6061</f>
        <v>128.528</v>
      </c>
      <c r="E6062" s="6" t="n">
        <f aca="false">Sens!E6059+Sens!E6061</f>
        <v>155.237</v>
      </c>
      <c r="F6062" s="6" t="n">
        <f aca="false">Sens!F6059+Sens!F6061</f>
        <v>177.299032546255</v>
      </c>
      <c r="G6062" s="6" t="n">
        <f aca="false">Sens!G6059+Sens!G6061</f>
        <v>179.383174384362</v>
      </c>
      <c r="H6062" s="6" t="n">
        <f aca="false">Sens!H6059+Sens!H6061</f>
        <v>180.893836033009</v>
      </c>
      <c r="I6062" s="6" t="n">
        <f aca="false">Sens!I6059+Sens!I6061</f>
        <v>190.172451656343</v>
      </c>
      <c r="J6062" s="6" t="n">
        <f aca="false">Sens!J6059+Sens!J6061</f>
        <v>201.239682104384</v>
      </c>
      <c r="K6062" s="6" t="n">
        <f aca="false">Sens!K6059+Sens!K6061</f>
        <v>213.788028295632</v>
      </c>
    </row>
    <row r="6063" customFormat="false" ht="15" hidden="false" customHeight="false" outlineLevel="0" collapsed="false">
      <c r="A6063" s="26" t="s">
        <v>1069</v>
      </c>
      <c r="B6063" s="31" t="s">
        <v>98</v>
      </c>
      <c r="C6063" s="31"/>
      <c r="D6063" s="27" t="n">
        <f aca="false">Sens!D6062-Q!L23</f>
        <v>0</v>
      </c>
      <c r="E6063" s="27" t="n">
        <f aca="false">Sens!E6062-Q!M23</f>
        <v>0</v>
      </c>
      <c r="F6063" s="31"/>
      <c r="G6063" s="31"/>
      <c r="H6063" s="31"/>
      <c r="I6063" s="31"/>
      <c r="J6063" s="31"/>
      <c r="K6063" s="31"/>
    </row>
    <row r="6064" customFormat="false" ht="15" hidden="false" customHeight="false" outlineLevel="0" collapsed="false">
      <c r="A6064" s="1" t="s">
        <v>1070</v>
      </c>
      <c r="B6064" s="0" t="s">
        <v>168</v>
      </c>
      <c r="D6064" s="7" t="n">
        <f aca="false">Sens!D6062/Sens!D6055</f>
        <v>0.456219562408598</v>
      </c>
      <c r="E6064" s="7" t="n">
        <f aca="false">Sens!E6062/Sens!E6055</f>
        <v>0.467808184089272</v>
      </c>
      <c r="F6064" s="7" t="n">
        <f aca="false">Sens!F6062/Sens!F6055</f>
        <v>0.450228198309749</v>
      </c>
      <c r="G6064" s="7" t="n">
        <f aca="false">Sens!G6062/Sens!G6055</f>
        <v>0.392104081957173</v>
      </c>
      <c r="H6064" s="7" t="n">
        <f aca="false">Sens!H6062/Sens!H6055</f>
        <v>0.34978568436754</v>
      </c>
      <c r="I6064" s="7" t="n">
        <f aca="false">Sens!I6062/Sens!I6055</f>
        <v>0.328274810127384</v>
      </c>
      <c r="J6064" s="7" t="n">
        <f aca="false">Sens!J6062/Sens!J6055</f>
        <v>0.318661696029729</v>
      </c>
      <c r="K6064" s="7" t="n">
        <f aca="false">Sens!K6062/Sens!K6055</f>
        <v>0.317201494433688</v>
      </c>
    </row>
    <row r="6065" customFormat="false" ht="17.15" hidden="false" customHeight="false" outlineLevel="0" collapsed="false">
      <c r="A6065" s="1" t="s">
        <v>1071</v>
      </c>
      <c r="B6065" s="0" t="s">
        <v>98</v>
      </c>
      <c r="F6065" s="6" t="n">
        <f aca="false">Sens!F6080</f>
        <v>10.5962787979473</v>
      </c>
      <c r="G6065" s="6" t="n">
        <f aca="false">Sens!G6080</f>
        <v>27.844646674932</v>
      </c>
      <c r="H6065" s="6" t="n">
        <f aca="false">Sens!H6080</f>
        <v>46.566205501382</v>
      </c>
      <c r="I6065" s="6" t="n">
        <f aca="false">Sens!I6080</f>
        <v>63.2717778126444</v>
      </c>
      <c r="J6065" s="6" t="n">
        <f aca="false">Sens!J6080</f>
        <v>74.9061222882009</v>
      </c>
      <c r="K6065" s="6" t="n">
        <f aca="false">Sens!K6080</f>
        <v>81.6395437180232</v>
      </c>
      <c r="L6065" s="1" t="s">
        <v>1072</v>
      </c>
    </row>
    <row r="6066" customFormat="false" ht="17.15" hidden="false" customHeight="false" outlineLevel="0" collapsed="false">
      <c r="A6066" s="1" t="s">
        <v>1073</v>
      </c>
      <c r="B6066" s="0" t="s">
        <v>98</v>
      </c>
      <c r="D6066" s="6" t="n">
        <f aca="false">Sens!D6062</f>
        <v>128.528</v>
      </c>
      <c r="E6066" s="6" t="n">
        <f aca="false">Sens!E6062</f>
        <v>155.237</v>
      </c>
      <c r="F6066" s="6" t="n">
        <f aca="false">Sens!F6062+Sens!F6065</f>
        <v>187.895311344202</v>
      </c>
      <c r="G6066" s="6" t="n">
        <f aca="false">Sens!G6062+Sens!G6065</f>
        <v>207.227821059294</v>
      </c>
      <c r="H6066" s="6" t="n">
        <f aca="false">Sens!H6062+Sens!H6065</f>
        <v>227.460041534391</v>
      </c>
      <c r="I6066" s="6" t="n">
        <f aca="false">Sens!I6062+Sens!I6065</f>
        <v>253.444229468987</v>
      </c>
      <c r="J6066" s="6" t="n">
        <f aca="false">Sens!J6062+Sens!J6065</f>
        <v>276.145804392585</v>
      </c>
      <c r="K6066" s="6" t="n">
        <f aca="false">Sens!K6062+Sens!K6065</f>
        <v>295.427572013655</v>
      </c>
    </row>
    <row r="6067" customFormat="false" ht="17.15" hidden="false" customHeight="false" outlineLevel="0" collapsed="false">
      <c r="A6067" s="1" t="s">
        <v>1074</v>
      </c>
      <c r="B6067" s="0" t="s">
        <v>98</v>
      </c>
      <c r="E6067" s="6" t="n">
        <f aca="false">Sens!E6010</f>
        <v>16.3054059770833</v>
      </c>
      <c r="F6067" s="6" t="n">
        <f aca="false">Sens!F6010</f>
        <v>34.5793144783516</v>
      </c>
      <c r="G6067" s="6" t="n">
        <f aca="false">Sens!G6010</f>
        <v>60.7344906522989</v>
      </c>
      <c r="H6067" s="6" t="n">
        <f aca="false">Sens!H6010</f>
        <v>89.1000906614457</v>
      </c>
      <c r="I6067" s="6" t="n">
        <f aca="false">Sens!I6010</f>
        <v>114.231009694548</v>
      </c>
      <c r="J6067" s="6" t="n">
        <f aca="false">Sens!J6010</f>
        <v>132.015673049596</v>
      </c>
      <c r="K6067" s="6" t="n">
        <f aca="false">Sens!K6010</f>
        <v>143.012669550934</v>
      </c>
    </row>
    <row r="6068" customFormat="false" ht="17.15" hidden="false" customHeight="false" outlineLevel="0" collapsed="false">
      <c r="A6068" s="1" t="s">
        <v>1075</v>
      </c>
      <c r="B6068" s="0" t="s">
        <v>98</v>
      </c>
      <c r="E6068" s="6" t="n">
        <f aca="false">Sens!E6092</f>
        <v>22.2285940229167</v>
      </c>
      <c r="F6068" s="6" t="n">
        <f aca="false">Sens!F6092</f>
        <v>23.5919963218199</v>
      </c>
      <c r="G6068" s="6" t="n">
        <f aca="false">Sens!G6092</f>
        <v>25.3552425524833</v>
      </c>
      <c r="H6068" s="6" t="n">
        <f aca="false">Sens!H6092</f>
        <v>27.4870073814458</v>
      </c>
      <c r="I6068" s="6" t="n">
        <f aca="false">Sens!I6092</f>
        <v>29.930454943036</v>
      </c>
      <c r="J6068" s="6" t="n">
        <f aca="false">Sens!J6092</f>
        <v>32.6106445467334</v>
      </c>
      <c r="K6068" s="6" t="n">
        <f aca="false">Sens!K6092</f>
        <v>35.4430531459546</v>
      </c>
    </row>
    <row r="6069" customFormat="false" ht="17.15" hidden="false" customHeight="false" outlineLevel="0" collapsed="false">
      <c r="A6069" s="1" t="s">
        <v>1076</v>
      </c>
      <c r="B6069" s="0" t="s">
        <v>98</v>
      </c>
      <c r="D6069" s="6" t="n">
        <f aca="false">Q!L27</f>
        <v>-4.901</v>
      </c>
      <c r="E6069" s="6" t="n">
        <f aca="false">Q!M27</f>
        <v>10.697</v>
      </c>
      <c r="F6069" s="6" t="n">
        <f aca="false">Q!$I$27+oie_f*(q_per_yr-1)/q_per_yr</f>
        <v>-0.862</v>
      </c>
      <c r="G6069" s="6" t="n">
        <f aca="false">oie_f</f>
        <v>-1.2</v>
      </c>
      <c r="H6069" s="6" t="n">
        <f aca="false">oie_f</f>
        <v>-1.2</v>
      </c>
      <c r="I6069" s="6" t="n">
        <f aca="false">oie_f</f>
        <v>-1.2</v>
      </c>
      <c r="J6069" s="6" t="n">
        <f aca="false">oie_f</f>
        <v>-1.2</v>
      </c>
      <c r="K6069" s="6" t="n">
        <f aca="false">oie_f</f>
        <v>-1.2</v>
      </c>
      <c r="L6069" s="12" t="s">
        <v>1077</v>
      </c>
    </row>
    <row r="6070" customFormat="false" ht="15" hidden="false" customHeight="false" outlineLevel="0" collapsed="false">
      <c r="A6070" s="1" t="s">
        <v>1078</v>
      </c>
      <c r="B6070" s="0" t="s">
        <v>98</v>
      </c>
      <c r="D6070" s="6" t="n">
        <f aca="false">Sens!D6062+Sens!D6069</f>
        <v>123.627</v>
      </c>
      <c r="E6070" s="6" t="n">
        <f aca="false">Sens!E6062+Sens!E6069</f>
        <v>165.934</v>
      </c>
      <c r="F6070" s="6" t="n">
        <f aca="false">Sens!F6062+Sens!F6069</f>
        <v>176.437032546255</v>
      </c>
      <c r="G6070" s="6" t="n">
        <f aca="false">Sens!G6062+Sens!G6069</f>
        <v>178.183174384362</v>
      </c>
      <c r="H6070" s="6" t="n">
        <f aca="false">Sens!H6062+Sens!H6069</f>
        <v>179.693836033009</v>
      </c>
      <c r="I6070" s="6" t="n">
        <f aca="false">Sens!I6062+Sens!I6069</f>
        <v>188.972451656343</v>
      </c>
      <c r="J6070" s="6" t="n">
        <f aca="false">Sens!J6062+Sens!J6069</f>
        <v>200.039682104384</v>
      </c>
      <c r="K6070" s="6" t="n">
        <f aca="false">Sens!K6062+Sens!K6069</f>
        <v>212.588028295632</v>
      </c>
    </row>
    <row r="6071" customFormat="false" ht="15" hidden="false" customHeight="false" outlineLevel="0" collapsed="false">
      <c r="A6071" s="1" t="s">
        <v>1079</v>
      </c>
      <c r="B6071" s="0" t="s">
        <v>98</v>
      </c>
      <c r="D6071" s="6" t="n">
        <f aca="false">Q!L29</f>
        <v>21.795</v>
      </c>
      <c r="E6071" s="6" t="n">
        <f aca="false">Q!M29</f>
        <v>32.185</v>
      </c>
      <c r="F6071" s="6" t="n">
        <f aca="false">Q!$I$29+(Sens!F6070-Q!$I$28)*tax_f</f>
        <v>35.4208065092509</v>
      </c>
      <c r="G6071" s="6" t="n">
        <f aca="false">Sens!G6070*tax_f</f>
        <v>35.6366348768724</v>
      </c>
      <c r="H6071" s="6" t="n">
        <f aca="false">Sens!H6070*tax_f</f>
        <v>35.9387672066017</v>
      </c>
      <c r="I6071" s="6" t="n">
        <f aca="false">Sens!I6070*tax_f</f>
        <v>37.7944903312686</v>
      </c>
      <c r="J6071" s="6" t="n">
        <f aca="false">Sens!J6070*tax_f</f>
        <v>40.0079364208768</v>
      </c>
      <c r="K6071" s="6" t="n">
        <f aca="false">Sens!K6070*tax_f</f>
        <v>42.5176056591265</v>
      </c>
    </row>
    <row r="6072" customFormat="false" ht="15" hidden="false" customHeight="false" outlineLevel="0" collapsed="false">
      <c r="A6072" s="1" t="s">
        <v>1080</v>
      </c>
      <c r="B6072" s="0" t="s">
        <v>98</v>
      </c>
      <c r="D6072" s="6" t="n">
        <f aca="false">Sens!D6070-Sens!D6071</f>
        <v>101.832</v>
      </c>
      <c r="E6072" s="6" t="n">
        <f aca="false">Sens!E6070-Sens!E6071</f>
        <v>133.749</v>
      </c>
      <c r="F6072" s="6" t="n">
        <f aca="false">Sens!F6070-Sens!F6071</f>
        <v>141.016226037004</v>
      </c>
      <c r="G6072" s="6" t="n">
        <f aca="false">Sens!G6070-Sens!G6071</f>
        <v>142.54653950749</v>
      </c>
      <c r="H6072" s="6" t="n">
        <f aca="false">Sens!H6070-Sens!H6071</f>
        <v>143.755068826407</v>
      </c>
      <c r="I6072" s="6" t="n">
        <f aca="false">Sens!I6070-Sens!I6071</f>
        <v>151.177961325074</v>
      </c>
      <c r="J6072" s="6" t="n">
        <f aca="false">Sens!J6070-Sens!J6071</f>
        <v>160.031745683507</v>
      </c>
      <c r="K6072" s="6" t="n">
        <f aca="false">Sens!K6070-Sens!K6071</f>
        <v>170.070422636506</v>
      </c>
    </row>
    <row r="6073" customFormat="false" ht="17.15" hidden="false" customHeight="false" outlineLevel="0" collapsed="false">
      <c r="A6073" s="1" t="s">
        <v>1081</v>
      </c>
      <c r="B6073" s="1" t="s">
        <v>81</v>
      </c>
      <c r="D6073" s="15" t="n">
        <f aca="false">Q!L31</f>
        <v>7.465</v>
      </c>
      <c r="E6073" s="15" t="n">
        <f aca="false">Q!M31</f>
        <v>7.453</v>
      </c>
      <c r="F6073" s="15" t="n">
        <f aca="false">Sens!F6117</f>
        <v>7.4735</v>
      </c>
      <c r="G6073" s="15" t="n">
        <f aca="false">Sens!G6117</f>
        <v>7.5185</v>
      </c>
      <c r="H6073" s="15" t="n">
        <f aca="false">Sens!H6117</f>
        <v>7.5635</v>
      </c>
      <c r="I6073" s="15" t="n">
        <f aca="false">Sens!I6117</f>
        <v>7.59248142502667</v>
      </c>
      <c r="J6073" s="15" t="n">
        <f aca="false">Sens!J6117</f>
        <v>7.60663083618914</v>
      </c>
      <c r="K6073" s="15" t="n">
        <f aca="false">Sens!K6117</f>
        <v>7.62306547615439</v>
      </c>
    </row>
    <row r="6074" customFormat="false" ht="17.15" hidden="false" customHeight="false" outlineLevel="0" collapsed="false">
      <c r="A6074" s="0" t="s">
        <v>1082</v>
      </c>
      <c r="B6074" s="0" t="s">
        <v>75</v>
      </c>
      <c r="D6074" s="8" t="n">
        <f aca="false">Sens!D6072/Sens!D6073</f>
        <v>13.641259209645</v>
      </c>
      <c r="E6074" s="8" t="n">
        <f aca="false">Sens!E6072/Sens!E6073</f>
        <v>17.9456594659869</v>
      </c>
      <c r="F6074" s="8" t="n">
        <f aca="false">Sens!F6072/Sens!F6073</f>
        <v>18.8688333494352</v>
      </c>
      <c r="G6074" s="8" t="n">
        <f aca="false">Sens!G6072/Sens!G6073</f>
        <v>18.9594386523229</v>
      </c>
      <c r="H6074" s="8" t="n">
        <f aca="false">Sens!H6072/Sens!H6073</f>
        <v>19.0064214750323</v>
      </c>
      <c r="I6074" s="8" t="n">
        <f aca="false">Sens!I6072/Sens!I6073</f>
        <v>19.9115352230899</v>
      </c>
      <c r="J6074" s="8" t="n">
        <f aca="false">Sens!J6072/Sens!J6073</f>
        <v>21.0384530457484</v>
      </c>
      <c r="K6074" s="8" t="n">
        <f aca="false">Sens!K6072/Sens!K6073</f>
        <v>22.3099779437158</v>
      </c>
      <c r="L6074" s="1" t="s">
        <v>1083</v>
      </c>
    </row>
    <row r="6075" customFormat="false" ht="17.15" hidden="false" customHeight="false" outlineLevel="0" collapsed="false">
      <c r="A6075" s="1" t="s">
        <v>1084</v>
      </c>
      <c r="B6075" s="0" t="s">
        <v>98</v>
      </c>
      <c r="D6075" s="6" t="n">
        <f aca="false">Sens!D6072</f>
        <v>101.832</v>
      </c>
      <c r="E6075" s="6" t="n">
        <f aca="false">Sens!E6072</f>
        <v>133.749</v>
      </c>
      <c r="F6075" s="6" t="n">
        <f aca="false">Sens!F6072+Sens!F6065*(1-tax_f)</f>
        <v>149.493249075362</v>
      </c>
      <c r="G6075" s="6" t="n">
        <f aca="false">Sens!G6072+Sens!G6065*(1-tax_f)</f>
        <v>164.822256847435</v>
      </c>
      <c r="H6075" s="6" t="n">
        <f aca="false">Sens!H6072+Sens!H6065*(1-tax_f)</f>
        <v>181.008033227512</v>
      </c>
      <c r="I6075" s="6" t="n">
        <f aca="false">Sens!I6072+Sens!I6065*(1-tax_f)</f>
        <v>201.79538357519</v>
      </c>
      <c r="J6075" s="6" t="n">
        <f aca="false">Sens!J6072+Sens!J6065*(1-tax_f)</f>
        <v>219.956643514068</v>
      </c>
      <c r="K6075" s="6" t="n">
        <f aca="false">Sens!K6072+Sens!K6065*(1-tax_f)</f>
        <v>235.382057610924</v>
      </c>
    </row>
    <row r="6076" customFormat="false" ht="17.15" hidden="false" customHeight="false" outlineLevel="0" collapsed="false">
      <c r="A6076" s="0" t="s">
        <v>1085</v>
      </c>
      <c r="B6076" s="0" t="s">
        <v>75</v>
      </c>
      <c r="D6076" s="8" t="n">
        <f aca="false">Sens!D6075/Sens!D6073</f>
        <v>13.641259209645</v>
      </c>
      <c r="E6076" s="8" t="n">
        <f aca="false">Sens!E6075/Sens!E6073</f>
        <v>17.9456594659869</v>
      </c>
      <c r="F6076" s="8" t="n">
        <f aca="false">Sens!F6075/Sens!F6073</f>
        <v>20.0031108684501</v>
      </c>
      <c r="G6076" s="8" t="n">
        <f aca="false">Sens!G6075/Sens!G6073</f>
        <v>21.9222260886394</v>
      </c>
      <c r="H6076" s="8" t="n">
        <f aca="false">Sens!H6075/Sens!H6073</f>
        <v>23.9317820093227</v>
      </c>
      <c r="I6076" s="8" t="n">
        <f aca="false">Sens!I6075/Sens!I6073</f>
        <v>26.578317717054</v>
      </c>
      <c r="J6076" s="8" t="n">
        <f aca="false">Sens!J6075/Sens!J6073</f>
        <v>28.9164346543028</v>
      </c>
      <c r="K6076" s="8" t="n">
        <f aca="false">Sens!K6075/Sens!K6073</f>
        <v>30.8776119459055</v>
      </c>
      <c r="L6076" s="1" t="s">
        <v>1086</v>
      </c>
    </row>
    <row r="6077" customFormat="false" ht="17.15" hidden="false" customHeight="false" outlineLevel="0" collapsed="false">
      <c r="A6077" s="0" t="s">
        <v>1087</v>
      </c>
      <c r="B6077" s="0" t="s">
        <v>168</v>
      </c>
      <c r="E6077" s="7" t="n">
        <f aca="false">Sens!E6076/Sens!D6076-1</f>
        <v>0.315542736208578</v>
      </c>
      <c r="F6077" s="7" t="n">
        <f aca="false">Sens!F6076/Sens!E6076-1</f>
        <v>0.114648971600224</v>
      </c>
      <c r="G6077" s="7" t="n">
        <f aca="false">Sens!G6076/Sens!F6076-1</f>
        <v>0.0959408380431588</v>
      </c>
      <c r="H6077" s="7" t="n">
        <f aca="false">Sens!H6076/Sens!G6076-1</f>
        <v>0.0916675118921764</v>
      </c>
      <c r="I6077" s="7" t="n">
        <f aca="false">Sens!I6076/Sens!H6076-1</f>
        <v>0.110586654462268</v>
      </c>
      <c r="J6077" s="7" t="n">
        <f aca="false">Sens!J6076/Sens!I6076-1</f>
        <v>0.0879708400712105</v>
      </c>
      <c r="K6077" s="7" t="n">
        <f aca="false">Sens!K6076/Sens!J6076-1</f>
        <v>0.0678222372518822</v>
      </c>
    </row>
    <row r="6078" customFormat="false" ht="17.15" hidden="false" customHeight="false" outlineLevel="0" collapsed="false">
      <c r="A6078" s="0" t="s">
        <v>1007</v>
      </c>
      <c r="B6078" s="0" t="s">
        <v>98</v>
      </c>
      <c r="E6078" s="6" t="n">
        <f aca="false">Sens!E6019</f>
        <v>5.25</v>
      </c>
      <c r="F6078" s="6" t="n">
        <f aca="false">Sens!F6019</f>
        <v>10.5</v>
      </c>
      <c r="G6078" s="6" t="n">
        <f aca="false">Sens!G6019</f>
        <v>13.5</v>
      </c>
      <c r="H6078" s="6" t="n">
        <f aca="false">Sens!H6019</f>
        <v>16.5</v>
      </c>
      <c r="I6078" s="6" t="n">
        <f aca="false">Sens!I6019</f>
        <v>18.75</v>
      </c>
      <c r="J6078" s="6" t="n">
        <f aca="false">Sens!J6019</f>
        <v>20.25</v>
      </c>
      <c r="K6078" s="6" t="n">
        <f aca="false">Sens!K6019</f>
        <v>21.75</v>
      </c>
    </row>
    <row r="6079" customFormat="false" ht="17.15" hidden="false" customHeight="false" outlineLevel="0" collapsed="false">
      <c r="A6079" s="1" t="s">
        <v>1008</v>
      </c>
      <c r="B6079" s="0" t="s">
        <v>98</v>
      </c>
      <c r="F6079" s="6" t="n">
        <f aca="false">MAX(0,((Sens!E5979+Sens!F5979)/2-(shadow_base*(Sens!$D$5979+Sens!$E$5979)/2+(1-shadow_base)*Sens!$E$5979))*Sens!F5988/1000-(Sens!F6078-Sens!$E$6078)*Sens!F6058)</f>
        <v>10.5962787979473</v>
      </c>
      <c r="G6079" s="6" t="n">
        <f aca="false">MAX(0,((Sens!F5979+Sens!G5979)/2-(shadow_base*(Sens!$D$5979+Sens!$E$5979)/2+(1-shadow_base)*Sens!$E$5979))*Sens!G5988/1000-(Sens!G6078-Sens!$E$6078)*Sens!G6058)</f>
        <v>27.844646674932</v>
      </c>
      <c r="H6079" s="6" t="n">
        <f aca="false">MAX(0,((Sens!G5979+Sens!H5979)/2-(shadow_base*(Sens!$D$5979+Sens!$E$5979)/2+(1-shadow_base)*Sens!$E$5979))*Sens!H5988/1000-(Sens!H6078-Sens!$E$6078)*Sens!H6058)</f>
        <v>46.566205501382</v>
      </c>
      <c r="I6079" s="6" t="n">
        <f aca="false">MAX(0,((Sens!H5979+Sens!I5979)/2-(shadow_base*(Sens!$D$5979+Sens!$E$5979)/2+(1-shadow_base)*Sens!$E$5979))*Sens!I5988/1000-(Sens!I6078-Sens!$E$6078)*Sens!I6058)</f>
        <v>63.2717778126444</v>
      </c>
      <c r="J6079" s="6" t="n">
        <f aca="false">MAX(0,((Sens!I5979+Sens!J5979)/2-(shadow_base*(Sens!$D$5979+Sens!$E$5979)/2+(1-shadow_base)*Sens!$E$5979))*Sens!J5988/1000-(Sens!J6078-Sens!$E$6078)*Sens!J6058)</f>
        <v>74.9061222882009</v>
      </c>
      <c r="K6079" s="6" t="n">
        <f aca="false">MAX(0,((Sens!J5979+Sens!K5979)/2-(shadow_base*(Sens!$D$5979+Sens!$E$5979)/2+(1-shadow_base)*Sens!$E$5979))*Sens!K5988/1000-(Sens!K6078-Sens!$E$6078)*Sens!K6058)</f>
        <v>81.6395437180232</v>
      </c>
      <c r="L6079" s="1" t="s">
        <v>1009</v>
      </c>
    </row>
    <row r="6080" customFormat="false" ht="17.15" hidden="false" customHeight="false" outlineLevel="0" collapsed="false">
      <c r="A6080" s="1" t="s">
        <v>1010</v>
      </c>
      <c r="B6080" s="0" t="s">
        <v>98</v>
      </c>
      <c r="F6080" s="6" t="n">
        <f aca="false">IF(internal_ai_reading=2,1,0)*Sens!F6079</f>
        <v>10.5962787979473</v>
      </c>
      <c r="G6080" s="6" t="n">
        <f aca="false">IF(internal_ai_reading=2,1,0)*Sens!G6079</f>
        <v>27.844646674932</v>
      </c>
      <c r="H6080" s="6" t="n">
        <f aca="false">IF(internal_ai_reading=2,1,0)*Sens!H6079</f>
        <v>46.566205501382</v>
      </c>
      <c r="I6080" s="6" t="n">
        <f aca="false">IF(internal_ai_reading=2,1,0)*Sens!I6079</f>
        <v>63.2717778126444</v>
      </c>
      <c r="J6080" s="6" t="n">
        <f aca="false">IF(internal_ai_reading=2,1,0)*Sens!J6079</f>
        <v>74.9061222882009</v>
      </c>
      <c r="K6080" s="6" t="n">
        <f aca="false">IF(internal_ai_reading=2,1,0)*Sens!K6079</f>
        <v>81.6395437180232</v>
      </c>
    </row>
    <row r="6081" customFormat="false" ht="17.15" hidden="false" customHeight="false" outlineLevel="0" collapsed="false">
      <c r="A6081" s="0" t="s">
        <v>1011</v>
      </c>
      <c r="B6081" s="0" t="s">
        <v>98</v>
      </c>
      <c r="F6081" s="6" t="n">
        <f aca="false">Sens!F5998+Sens!F6078*Sens!F6058+Sens!F6080-Sens!F5999-Sens!F6010</f>
        <v>9.55294610043488</v>
      </c>
      <c r="G6081" s="6" t="n">
        <f aca="false">Sens!G5998+Sens!G6078*Sens!G6058+Sens!G6080-Sens!G5999-Sens!G6010</f>
        <v>14.7779866180133</v>
      </c>
      <c r="H6081" s="6" t="n">
        <f aca="false">Sens!H5998+Sens!H6078*Sens!H6058+Sens!H6080-Sens!H5999-Sens!H6010</f>
        <v>14.7811993984427</v>
      </c>
      <c r="I6081" s="6" t="n">
        <f aca="false">Sens!I5998+Sens!I6078*Sens!I6058+Sens!I6080-Sens!I5999-Sens!I6010</f>
        <v>20.9153185236768</v>
      </c>
      <c r="J6081" s="6" t="n">
        <f aca="false">Sens!J5998+Sens!J6078*Sens!J6058+Sens!J6080-Sens!J5999-Sens!J6010</f>
        <v>24.9293348980194</v>
      </c>
      <c r="K6081" s="6" t="n">
        <f aca="false">Sens!K5998+Sens!K6078*Sens!K6058+Sens!K6080-Sens!K5999-Sens!K6010</f>
        <v>27.4925111827595</v>
      </c>
    </row>
    <row r="6082" customFormat="false" ht="17.15" hidden="false" customHeight="false" outlineLevel="0" collapsed="false">
      <c r="A6082" s="0" t="s">
        <v>1012</v>
      </c>
      <c r="B6082" s="0" t="s">
        <v>98</v>
      </c>
      <c r="E6082" s="6" t="n">
        <f aca="false">Sens!E5978*(cxit_open+self_build*tk_cxfac)/1000*ai_net_open</f>
        <v>126.6980382</v>
      </c>
      <c r="F6082" s="6" t="n">
        <f aca="false">Sens!E6082+Sens!F6007-Sens!F6010</f>
        <v>260.572627763768</v>
      </c>
      <c r="G6082" s="6" t="n">
        <f aca="false">Sens!F6082+Sens!G6007-Sens!G6010</f>
        <v>391.782612760517</v>
      </c>
      <c r="H6082" s="6" t="n">
        <f aca="false">Sens!G6082+Sens!H6007-Sens!H6010</f>
        <v>499.488526163584</v>
      </c>
      <c r="I6082" s="6" t="n">
        <f aca="false">Sens!H6082+Sens!I6007-Sens!I6010</f>
        <v>553.872350090646</v>
      </c>
      <c r="J6082" s="6" t="n">
        <f aca="false">Sens!I6082+Sens!J6007-Sens!J6010</f>
        <v>550.78660823699</v>
      </c>
      <c r="K6082" s="6" t="n">
        <f aca="false">Sens!J6082+Sens!K6007-Sens!K6010</f>
        <v>526.736791750789</v>
      </c>
      <c r="L6082" s="1" t="s">
        <v>1013</v>
      </c>
    </row>
    <row r="6083" customFormat="false" ht="17.15" hidden="false" customHeight="false" outlineLevel="0" collapsed="false">
      <c r="A6083" s="0" t="s">
        <v>1014</v>
      </c>
      <c r="B6083" s="0" t="s">
        <v>168</v>
      </c>
      <c r="F6083" s="7" t="n">
        <f aca="false">Sens!F6081*(1-tax_f)/((Sens!E6082+Sens!F6082)/2)</f>
        <v>0.0394677808159263</v>
      </c>
      <c r="G6083" s="7" t="n">
        <f aca="false">Sens!G6081*(1-tax_f)/((Sens!F6082+Sens!G6082)/2)</f>
        <v>0.0362452497044686</v>
      </c>
      <c r="H6083" s="7" t="n">
        <f aca="false">Sens!H6081*(1-tax_f)/((Sens!G6082+Sens!H6082)/2)</f>
        <v>0.0265350441685538</v>
      </c>
      <c r="I6083" s="7" t="n">
        <f aca="false">Sens!I6081*(1-tax_f)/((Sens!H6082+Sens!I6082)/2)</f>
        <v>0.0317692733727527</v>
      </c>
      <c r="J6083" s="7" t="n">
        <f aca="false">Sens!J6081*(1-tax_f)/((Sens!I6082+Sens!J6082)/2)</f>
        <v>0.036107918680365</v>
      </c>
      <c r="K6083" s="7" t="n">
        <f aca="false">Sens!K6081*(1-tax_f)/((Sens!J6082+Sens!K6082)/2)</f>
        <v>0.0408232599801676</v>
      </c>
    </row>
    <row r="6084" customFormat="false" ht="17.15" hidden="false" customHeight="false" outlineLevel="0" collapsed="false">
      <c r="A6084" s="1" t="s">
        <v>1015</v>
      </c>
      <c r="B6084" s="0" t="s">
        <v>168</v>
      </c>
      <c r="F6084" s="7" t="n">
        <f aca="false">(Sens!F6081-Sens!F6080)*(1-tax_f)/((Sens!E6082+Sens!F6082)/2)</f>
        <v>-0.00431050544937508</v>
      </c>
      <c r="G6084" s="7" t="n">
        <f aca="false">(Sens!G6081-Sens!G6080)*(1-tax_f)/((Sens!F6082+Sens!G6082)/2)</f>
        <v>-0.032047962202722</v>
      </c>
      <c r="H6084" s="7" t="n">
        <f aca="false">(Sens!H6081-Sens!H6080)*(1-tax_f)/((Sens!G6082+Sens!H6082)/2)</f>
        <v>-0.0570600881636241</v>
      </c>
      <c r="I6084" s="7" t="n">
        <f aca="false">(Sens!I6081-Sens!I6080)*(1-tax_f)/((Sens!H6082+Sens!I6082)/2)</f>
        <v>-0.064337243189951</v>
      </c>
      <c r="J6084" s="7" t="n">
        <f aca="false">(Sens!J6081-Sens!J6080)*(1-tax_f)/((Sens!I6082+Sens!J6082)/2)</f>
        <v>-0.0723869201634392</v>
      </c>
      <c r="K6084" s="7" t="n">
        <f aca="false">(Sens!K6081-Sens!K6080)*(1-tax_f)/((Sens!J6082+Sens!K6082)/2)</f>
        <v>-0.0804022001354259</v>
      </c>
    </row>
    <row r="6085" customFormat="false" ht="17.15" hidden="false" customHeight="false" outlineLevel="0" collapsed="false">
      <c r="A6085" s="1" t="s">
        <v>1016</v>
      </c>
      <c r="B6085" s="0" t="s">
        <v>168</v>
      </c>
      <c r="F6085" s="7" t="n">
        <f aca="false">(Sens!F6081-Sens!F6080+Sens!F6079)*(1-tax_f)/((Sens!E6082+Sens!F6082)/2)</f>
        <v>0.0394677808159263</v>
      </c>
      <c r="G6085" s="7" t="n">
        <f aca="false">(Sens!G6081-Sens!G6080+Sens!G6079)*(1-tax_f)/((Sens!F6082+Sens!G6082)/2)</f>
        <v>0.0362452497044686</v>
      </c>
      <c r="H6085" s="7" t="n">
        <f aca="false">(Sens!H6081-Sens!H6080+Sens!H6079)*(1-tax_f)/((Sens!G6082+Sens!H6082)/2)</f>
        <v>0.0265350441685538</v>
      </c>
      <c r="I6085" s="7" t="n">
        <f aca="false">(Sens!I6081-Sens!I6080+Sens!I6079)*(1-tax_f)/((Sens!H6082+Sens!I6082)/2)</f>
        <v>0.0317692733727527</v>
      </c>
      <c r="J6085" s="7" t="n">
        <f aca="false">(Sens!J6081-Sens!J6080+Sens!J6079)*(1-tax_f)/((Sens!I6082+Sens!J6082)/2)</f>
        <v>0.036107918680365</v>
      </c>
      <c r="K6085" s="7" t="n">
        <f aca="false">(Sens!K6081-Sens!K6080+Sens!K6079)*(1-tax_f)/((Sens!J6082+Sens!K6082)/2)</f>
        <v>0.0408232599801676</v>
      </c>
    </row>
    <row r="6086" customFormat="false" ht="17.15" hidden="false" customHeight="false" outlineLevel="0" collapsed="false">
      <c r="A6086" s="1" t="s">
        <v>1017</v>
      </c>
      <c r="B6086" s="0" t="s">
        <v>168</v>
      </c>
      <c r="F6086" s="7" t="n">
        <f aca="false">Sens!F6011*(1-tax_f)/(Sens!F5997*(Sens!E6082+Sens!F6082)/2)</f>
        <v>0.093059455647628</v>
      </c>
      <c r="G6086" s="7" t="n">
        <f aca="false">Sens!G6011*(1-tax_f)/(Sens!G5997*(Sens!F6082+Sens!G6082)/2)</f>
        <v>0.0607413550746389</v>
      </c>
      <c r="H6086" s="7" t="n">
        <f aca="false">Sens!H6011*(1-tax_f)/(Sens!H5997*(Sens!G6082+Sens!H6082)/2)</f>
        <v>0.031793724754154</v>
      </c>
      <c r="I6086" s="7" t="n">
        <f aca="false">Sens!I6011*(1-tax_f)/(Sens!I5997*(Sens!H6082+Sens!I6082)/2)</f>
        <v>0.032966914425295</v>
      </c>
      <c r="J6086" s="7" t="n">
        <f aca="false">Sens!J6011*(1-tax_f)/(Sens!J5997*(Sens!I6082+Sens!J6082)/2)</f>
        <v>0.0350466935473874</v>
      </c>
      <c r="K6086" s="7" t="n">
        <f aca="false">Sens!K6011*(1-tax_f)/(Sens!K5997*(Sens!J6082+Sens!K6082)/2)</f>
        <v>0.0383912293997919</v>
      </c>
    </row>
    <row r="6087" customFormat="false" ht="17.15" hidden="false" customHeight="false" outlineLevel="0" collapsed="false">
      <c r="A6087" s="0" t="s">
        <v>1018</v>
      </c>
      <c r="B6087" s="0" t="s">
        <v>253</v>
      </c>
      <c r="F6087" s="7" t="n">
        <f aca="false">Sens!F6083-wacc</f>
        <v>-0.063468810129671</v>
      </c>
      <c r="G6087" s="7" t="n">
        <f aca="false">Sens!G6083-wacc</f>
        <v>-0.0666913412411287</v>
      </c>
      <c r="H6087" s="7" t="n">
        <f aca="false">Sens!H6083-wacc</f>
        <v>-0.0764015467770435</v>
      </c>
      <c r="I6087" s="7" t="n">
        <f aca="false">Sens!I6083-wacc</f>
        <v>-0.0711673175728446</v>
      </c>
      <c r="J6087" s="7" t="n">
        <f aca="false">Sens!J6083-wacc</f>
        <v>-0.0668286722652322</v>
      </c>
      <c r="K6087" s="7" t="n">
        <f aca="false">Sens!K6083-wacc</f>
        <v>-0.0621133309654297</v>
      </c>
    </row>
    <row r="6088" customFormat="false" ht="17.15" hidden="false" customHeight="false" outlineLevel="0" collapsed="false">
      <c r="A6088" s="0" t="s">
        <v>1019</v>
      </c>
      <c r="B6088" s="0" t="s">
        <v>98</v>
      </c>
      <c r="F6088" s="6" t="n">
        <f aca="false">Sens!F6081*(1-tax_f)-wacc*(Sens!E6082+Sens!F6082)/2</f>
        <v>-12.2898041834228</v>
      </c>
      <c r="G6088" s="6" t="n">
        <f aca="false">Sens!G6081*(1-tax_f)-wacc*(Sens!F6082+Sens!G6082)/2</f>
        <v>-21.7532229781218</v>
      </c>
      <c r="H6088" s="6" t="n">
        <f aca="false">Sens!H6081*(1-tax_f)-wacc*(Sens!G6082+Sens!H6082)/2</f>
        <v>-34.0472468057693</v>
      </c>
      <c r="I6088" s="6" t="n">
        <f aca="false">Sens!I6081*(1-tax_f)-wacc*(Sens!H6082+Sens!I6082)/2</f>
        <v>-37.4824339995973</v>
      </c>
      <c r="J6088" s="6" t="n">
        <f aca="false">Sens!J6081*(1-tax_f)-wacc*(Sens!I6082+Sens!J6082)/2</f>
        <v>-36.9114457454652</v>
      </c>
      <c r="K6088" s="6" t="n">
        <f aca="false">Sens!K6081*(1-tax_f)-wacc*(Sens!J6082+Sens!K6082)/2</f>
        <v>-33.464283783218</v>
      </c>
    </row>
    <row r="6089" customFormat="false" ht="17.15" hidden="false" customHeight="false" outlineLevel="0" collapsed="false">
      <c r="A6089" s="3" t="s">
        <v>1763</v>
      </c>
    </row>
    <row r="6090" customFormat="false" ht="15" hidden="false" customHeight="false" outlineLevel="0" collapsed="false">
      <c r="A6090" s="4" t="s">
        <v>43</v>
      </c>
      <c r="B6090" s="4" t="s">
        <v>65</v>
      </c>
      <c r="C6090" s="23" t="s">
        <v>942</v>
      </c>
      <c r="D6090" s="23" t="s">
        <v>943</v>
      </c>
      <c r="E6090" s="23" t="s">
        <v>944</v>
      </c>
      <c r="F6090" s="23" t="s">
        <v>945</v>
      </c>
      <c r="G6090" s="23" t="s">
        <v>946</v>
      </c>
      <c r="H6090" s="23" t="s">
        <v>947</v>
      </c>
      <c r="I6090" s="23" t="s">
        <v>948</v>
      </c>
      <c r="J6090" s="23" t="s">
        <v>949</v>
      </c>
      <c r="K6090" s="23" t="s">
        <v>950</v>
      </c>
      <c r="L6090" s="4" t="s">
        <v>47</v>
      </c>
    </row>
    <row r="6091" customFormat="false" ht="15" hidden="false" customHeight="false" outlineLevel="0" collapsed="false">
      <c r="A6091" s="1" t="s">
        <v>1080</v>
      </c>
      <c r="B6091" s="0" t="s">
        <v>98</v>
      </c>
      <c r="F6091" s="6" t="n">
        <f aca="false">Sens!F6072</f>
        <v>141.016226037004</v>
      </c>
      <c r="G6091" s="6" t="n">
        <f aca="false">Sens!G6072</f>
        <v>142.54653950749</v>
      </c>
      <c r="H6091" s="6" t="n">
        <f aca="false">Sens!H6072</f>
        <v>143.755068826407</v>
      </c>
      <c r="I6091" s="6" t="n">
        <f aca="false">Sens!I6072</f>
        <v>151.177961325074</v>
      </c>
      <c r="J6091" s="6" t="n">
        <f aca="false">Sens!J6072</f>
        <v>160.031745683507</v>
      </c>
      <c r="K6091" s="6" t="n">
        <f aca="false">Sens!K6072</f>
        <v>170.070422636506</v>
      </c>
    </row>
    <row r="6092" customFormat="false" ht="17.15" hidden="false" customHeight="false" outlineLevel="0" collapsed="false">
      <c r="A6092" s="1" t="s">
        <v>1102</v>
      </c>
      <c r="B6092" s="0" t="s">
        <v>98</v>
      </c>
      <c r="E6092" s="6" t="n">
        <f aca="false">Q!M38-Sens!E6010</f>
        <v>22.2285940229167</v>
      </c>
      <c r="F6092" s="6" t="n">
        <f aca="false">Sens!E6092*(1-1/life_nonai)+(Sens!F6100+Sens!F6101)/life_nonai</f>
        <v>23.5919963218199</v>
      </c>
      <c r="G6092" s="6" t="n">
        <f aca="false">Sens!F6092*(1-1/life_nonai)+(Sens!G6100)/life_nonai</f>
        <v>25.3552425524833</v>
      </c>
      <c r="H6092" s="6" t="n">
        <f aca="false">Sens!G6092*(1-1/life_nonai)+(Sens!H6100)/life_nonai</f>
        <v>27.4870073814458</v>
      </c>
      <c r="I6092" s="6" t="n">
        <f aca="false">Sens!H6092*(1-1/life_nonai)+(Sens!I6100)/life_nonai</f>
        <v>29.930454943036</v>
      </c>
      <c r="J6092" s="6" t="n">
        <f aca="false">Sens!I6092*(1-1/life_nonai)+(Sens!J6100)/life_nonai</f>
        <v>32.6106445467334</v>
      </c>
      <c r="K6092" s="6" t="n">
        <f aca="false">Sens!J6092*(1-1/life_nonai)+(Sens!K6100)/life_nonai</f>
        <v>35.4430531459546</v>
      </c>
      <c r="L6092" s="12" t="s">
        <v>1103</v>
      </c>
    </row>
    <row r="6093" customFormat="false" ht="17.15" hidden="false" customHeight="false" outlineLevel="0" collapsed="false">
      <c r="A6093" s="1" t="s">
        <v>1104</v>
      </c>
      <c r="B6093" s="0" t="s">
        <v>98</v>
      </c>
      <c r="F6093" s="6" t="n">
        <f aca="false">Sens!$F$6101/life_nonai*(1-1/life_nonai)^(Sens!F5973-2027)</f>
        <v>0</v>
      </c>
      <c r="G6093" s="6" t="n">
        <f aca="false">Sens!$F$6101/life_nonai*(1-1/life_nonai)^(Sens!G5973-2027)</f>
        <v>0</v>
      </c>
      <c r="H6093" s="6" t="n">
        <f aca="false">Sens!$F$6101/life_nonai*(1-1/life_nonai)^(Sens!H5973-2027)</f>
        <v>0</v>
      </c>
      <c r="I6093" s="6" t="n">
        <f aca="false">Sens!$F$6101/life_nonai*(1-1/life_nonai)^(Sens!I5973-2027)</f>
        <v>0</v>
      </c>
      <c r="J6093" s="6" t="n">
        <f aca="false">Sens!$F$6101/life_nonai*(1-1/life_nonai)^(Sens!J5973-2027)</f>
        <v>0</v>
      </c>
      <c r="K6093" s="6" t="n">
        <f aca="false">Sens!$F$6101/life_nonai*(1-1/life_nonai)^(Sens!K5973-2027)</f>
        <v>0</v>
      </c>
      <c r="L6093" s="1" t="s">
        <v>1105</v>
      </c>
    </row>
    <row r="6094" customFormat="false" ht="17.15" hidden="false" customHeight="false" outlineLevel="0" collapsed="false">
      <c r="A6094" s="1" t="s">
        <v>1106</v>
      </c>
      <c r="B6094" s="0" t="s">
        <v>98</v>
      </c>
      <c r="E6094" s="6" t="n">
        <f aca="false">Sens!E6010+Sens!E6092</f>
        <v>38.534</v>
      </c>
      <c r="F6094" s="6" t="n">
        <f aca="false">Sens!F6010+Sens!F6092</f>
        <v>58.1713108001715</v>
      </c>
      <c r="G6094" s="6" t="n">
        <f aca="false">Sens!G6010+Sens!G6092</f>
        <v>86.0897332047823</v>
      </c>
      <c r="H6094" s="6" t="n">
        <f aca="false">Sens!H6010+Sens!H6092</f>
        <v>116.587098042891</v>
      </c>
      <c r="I6094" s="6" t="n">
        <f aca="false">Sens!I6010+Sens!I6092</f>
        <v>144.161464637584</v>
      </c>
      <c r="J6094" s="6" t="n">
        <f aca="false">Sens!J6010+Sens!J6092</f>
        <v>164.626317596329</v>
      </c>
      <c r="K6094" s="6" t="n">
        <f aca="false">Sens!K6010+Sens!K6092</f>
        <v>178.455722696889</v>
      </c>
    </row>
    <row r="6095" customFormat="false" ht="17.15" hidden="false" customHeight="false" outlineLevel="0" collapsed="false">
      <c r="A6095" s="1" t="s">
        <v>1107</v>
      </c>
      <c r="B6095" s="0" t="s">
        <v>98</v>
      </c>
      <c r="F6095" s="6" t="n">
        <f aca="false">Sens!F6037*sbc_r</f>
        <v>14.721193342517</v>
      </c>
      <c r="G6095" s="6" t="n">
        <f aca="false">Sens!G6037*sbc_r</f>
        <v>17.102109556924</v>
      </c>
      <c r="H6095" s="6" t="n">
        <f aca="false">Sens!H6037*sbc_r</f>
        <v>19.3326362649035</v>
      </c>
      <c r="I6095" s="6" t="n">
        <f aca="false">Sens!I6037*sbc_r</f>
        <v>21.6560571660358</v>
      </c>
      <c r="J6095" s="6" t="n">
        <f aca="false">Sens!J6037*sbc_r</f>
        <v>23.6076687079173</v>
      </c>
      <c r="K6095" s="6" t="n">
        <f aca="false">Sens!K6037*sbc_r</f>
        <v>25.1951819973933</v>
      </c>
    </row>
    <row r="6096" customFormat="false" ht="17.15" hidden="false" customHeight="false" outlineLevel="0" collapsed="false">
      <c r="A6096" s="1" t="s">
        <v>1108</v>
      </c>
      <c r="B6096" s="0" t="s">
        <v>98</v>
      </c>
      <c r="F6096" s="6" t="n">
        <f aca="false">wc27-wc26q1</f>
        <v>-4.677</v>
      </c>
      <c r="G6096" s="6" t="n">
        <f aca="false">wc_f</f>
        <v>0</v>
      </c>
      <c r="H6096" s="6" t="n">
        <f aca="false">wc_f</f>
        <v>0</v>
      </c>
      <c r="I6096" s="6" t="n">
        <f aca="false">wc_f</f>
        <v>0</v>
      </c>
      <c r="J6096" s="6" t="n">
        <f aca="false">wc_f</f>
        <v>0</v>
      </c>
      <c r="K6096" s="6" t="n">
        <f aca="false">wc_f</f>
        <v>0</v>
      </c>
      <c r="L6096" s="12" t="s">
        <v>1109</v>
      </c>
    </row>
    <row r="6097" customFormat="false" ht="17.15" hidden="false" customHeight="false" outlineLevel="0" collapsed="false">
      <c r="A6097" s="0" t="s">
        <v>1110</v>
      </c>
      <c r="B6097" s="0" t="s">
        <v>98</v>
      </c>
      <c r="F6097" s="6" t="n">
        <f aca="false">Q!$I$35-Q!$I$26-Q!$I$38-Q!$I$39</f>
        <v>6.493</v>
      </c>
      <c r="L6097" s="1" t="s">
        <v>1111</v>
      </c>
    </row>
    <row r="6098" customFormat="false" ht="15" hidden="false" customHeight="false" outlineLevel="0" collapsed="false">
      <c r="A6098" s="1" t="s">
        <v>908</v>
      </c>
      <c r="B6098" s="0" t="s">
        <v>98</v>
      </c>
      <c r="E6098" s="6" t="n">
        <f aca="false">Q!M35</f>
        <v>182.935</v>
      </c>
      <c r="F6098" s="6" t="n">
        <f aca="false">Sens!F6091+Sens!F6094+Sens!F6095+Sens!F6096+Sens!F6097</f>
        <v>215.724730179692</v>
      </c>
      <c r="G6098" s="6" t="n">
        <f aca="false">Sens!G6091+Sens!G6094+Sens!G6095+Sens!G6096</f>
        <v>245.738382269196</v>
      </c>
      <c r="H6098" s="6" t="n">
        <f aca="false">Sens!H6091+Sens!H6094+Sens!H6095+Sens!H6096</f>
        <v>279.674803134202</v>
      </c>
      <c r="I6098" s="6" t="n">
        <f aca="false">Sens!I6091+Sens!I6094+Sens!I6095+Sens!I6096</f>
        <v>316.995483128694</v>
      </c>
      <c r="J6098" s="6" t="n">
        <f aca="false">Sens!J6091+Sens!J6094+Sens!J6095+Sens!J6096</f>
        <v>348.265731987754</v>
      </c>
      <c r="K6098" s="6" t="n">
        <f aca="false">Sens!K6091+Sens!K6094+Sens!K6095+Sens!K6096</f>
        <v>373.721327330788</v>
      </c>
    </row>
    <row r="6099" customFormat="false" ht="17.15" hidden="false" customHeight="false" outlineLevel="0" collapsed="false">
      <c r="A6099" s="0" t="s">
        <v>1112</v>
      </c>
      <c r="B6099" s="0" t="s">
        <v>98</v>
      </c>
      <c r="F6099" s="6" t="n">
        <f aca="false">Sens!F6007</f>
        <v>168.45390404212</v>
      </c>
      <c r="G6099" s="6" t="n">
        <f aca="false">Sens!G6007</f>
        <v>191.944475649048</v>
      </c>
      <c r="H6099" s="6" t="n">
        <f aca="false">Sens!H6007</f>
        <v>196.806004064512</v>
      </c>
      <c r="I6099" s="6" t="n">
        <f aca="false">Sens!I6007</f>
        <v>168.61483362161</v>
      </c>
      <c r="J6099" s="6" t="n">
        <f aca="false">Sens!J6007</f>
        <v>128.92993119594</v>
      </c>
      <c r="K6099" s="6" t="n">
        <f aca="false">Sens!K6007</f>
        <v>118.962853064733</v>
      </c>
    </row>
    <row r="6100" customFormat="false" ht="17.15" hidden="false" customHeight="false" outlineLevel="0" collapsed="false">
      <c r="A6100" s="1" t="s">
        <v>1113</v>
      </c>
      <c r="B6100" s="0" t="s">
        <v>98</v>
      </c>
      <c r="E6100" s="6" t="n">
        <f aca="false">Sens!E6015*cx_azo+Sens!E6022*cx_m365+Sens!E6023*cx_lic+(Sens!E6025+Sens!E6027)*cx_ind+Sens!E6030*cx_srch+(Sens!E6032+Sens!E6034)*cx_dev</f>
        <v>30.1846587067718</v>
      </c>
      <c r="F6100" s="6" t="n">
        <f aca="false">Sens!F6015*cx_azo+Sens!F6022*cx_m365+Sens!F6023*cx_lic+(Sens!F6025+Sens!F6027)*cx_ind+Sens!F6030*cx_srch+(Sens!F6032+Sens!F6034)*cx_dev</f>
        <v>35.862617011949</v>
      </c>
      <c r="G6100" s="6" t="n">
        <f aca="false">Sens!G6015*cx_azo+Sens!G6022*cx_m365+Sens!G6023*cx_lic+(Sens!G6025+Sens!G6027)*cx_ind+Sens!G6030*cx_srch+(Sens!G6032+Sens!G6034)*cx_dev</f>
        <v>41.2244586284542</v>
      </c>
      <c r="H6100" s="6" t="n">
        <f aca="false">Sens!H6015*cx_azo+Sens!H6022*cx_m365+Sens!H6023*cx_lic+(Sens!H6025+Sens!H6027)*cx_ind+Sens!H6030*cx_srch+(Sens!H6032+Sens!H6034)*cx_dev</f>
        <v>46.6728908421077</v>
      </c>
      <c r="I6100" s="6" t="n">
        <f aca="false">Sens!I6015*cx_azo+Sens!I6022*cx_m365+Sens!I6023*cx_lic+(Sens!I6025+Sens!I6027)*cx_ind+Sens!I6030*cx_srch+(Sens!I6032+Sens!I6034)*cx_dev</f>
        <v>51.9214829973481</v>
      </c>
      <c r="J6100" s="6" t="n">
        <f aca="false">Sens!J6015*cx_azo+Sens!J6022*cx_m365+Sens!J6023*cx_lic+(Sens!J6025+Sens!J6027)*cx_ind+Sens!J6030*cx_srch+(Sens!J6032+Sens!J6034)*cx_dev</f>
        <v>56.7323509800095</v>
      </c>
      <c r="K6100" s="6" t="n">
        <f aca="false">Sens!K6015*cx_azo+Sens!K6022*cx_m365+Sens!K6023*cx_lic+(Sens!K6025+Sens!K6027)*cx_ind+Sens!K6030*cx_srch+(Sens!K6032+Sens!K6034)*cx_dev</f>
        <v>60.9347305389459</v>
      </c>
    </row>
    <row r="6101" customFormat="false" ht="17.15" hidden="false" customHeight="false" outlineLevel="0" collapsed="false">
      <c r="A6101" s="0" t="s">
        <v>1114</v>
      </c>
      <c r="B6101" s="0" t="s">
        <v>98</v>
      </c>
      <c r="F6101" s="6" t="n">
        <f aca="false">Sens!F6005</f>
        <v>0</v>
      </c>
      <c r="L6101" s="1" t="s">
        <v>1115</v>
      </c>
    </row>
    <row r="6102" customFormat="false" ht="17.15" hidden="false" customHeight="false" outlineLevel="0" collapsed="false">
      <c r="A6102" s="1" t="s">
        <v>1116</v>
      </c>
      <c r="B6102" s="0" t="s">
        <v>98</v>
      </c>
      <c r="E6102" s="6" t="n">
        <f aca="false">Q!M43</f>
        <v>145.3</v>
      </c>
      <c r="F6102" s="6" t="n">
        <f aca="false">Sens!F6099+Sens!F6100+Sens!F6101</f>
        <v>204.316521054069</v>
      </c>
      <c r="G6102" s="6" t="n">
        <f aca="false">Sens!G6099+Sens!G6100</f>
        <v>233.168934277502</v>
      </c>
      <c r="H6102" s="6" t="n">
        <f aca="false">Sens!H6099+Sens!H6100</f>
        <v>243.47889490662</v>
      </c>
      <c r="I6102" s="6" t="n">
        <f aca="false">Sens!I6099+Sens!I6100</f>
        <v>220.536316618958</v>
      </c>
      <c r="J6102" s="6" t="n">
        <f aca="false">Sens!J6099+Sens!J6100</f>
        <v>185.66228217595</v>
      </c>
      <c r="K6102" s="6" t="n">
        <f aca="false">Sens!K6099+Sens!K6100</f>
        <v>179.897583603679</v>
      </c>
      <c r="L6102" s="1" t="s">
        <v>1117</v>
      </c>
    </row>
    <row r="6103" customFormat="false" ht="15" hidden="false" customHeight="false" outlineLevel="0" collapsed="false">
      <c r="A6103" s="1" t="s">
        <v>1118</v>
      </c>
      <c r="B6103" s="0" t="s">
        <v>98</v>
      </c>
      <c r="E6103" s="6" t="n">
        <f aca="false">fl_liab</f>
        <v>66.594</v>
      </c>
      <c r="F6103" s="6" t="n">
        <f aca="false">Sens!E6103-Sens!F6104</f>
        <v>62.46973</v>
      </c>
      <c r="G6103" s="6" t="n">
        <f aca="false">Sens!F6103-Sens!G6104</f>
        <v>57.98686785</v>
      </c>
      <c r="H6103" s="6" t="n">
        <f aca="false">Sens!G6103-Sens!H6104</f>
        <v>53.92827690325</v>
      </c>
      <c r="I6103" s="6" t="n">
        <f aca="false">Sens!H6103-Sens!I6104</f>
        <v>49.7850493638962</v>
      </c>
      <c r="J6103" s="6" t="n">
        <f aca="false">Sens!I6103-Sens!J6104</f>
        <v>45.4823765852716</v>
      </c>
      <c r="K6103" s="6" t="n">
        <f aca="false">Sens!J6103-Sens!K6104</f>
        <v>40.9860835316088</v>
      </c>
    </row>
    <row r="6104" customFormat="false" ht="15" hidden="false" customHeight="false" outlineLevel="0" collapsed="false">
      <c r="A6104" s="1" t="s">
        <v>1119</v>
      </c>
      <c r="B6104" s="0" t="s">
        <v>98</v>
      </c>
      <c r="F6104" s="6" t="n">
        <f aca="false">fl_pay_27-Sens!E6103*fl_rate</f>
        <v>4.12427</v>
      </c>
      <c r="G6104" s="6" t="n">
        <f aca="false">fl_pay_28-Sens!F6103*fl_rate</f>
        <v>4.48286215</v>
      </c>
      <c r="H6104" s="6" t="n">
        <f aca="false">fl_pay_29-Sens!G6103*fl_rate</f>
        <v>4.05859094675</v>
      </c>
      <c r="I6104" s="6" t="n">
        <f aca="false">fl_pay_30-Sens!H6103*fl_rate</f>
        <v>4.14322753935375</v>
      </c>
      <c r="J6104" s="6" t="n">
        <f aca="false">fl_pay_31-Sens!I6103*fl_rate</f>
        <v>4.30267277862467</v>
      </c>
      <c r="K6104" s="6" t="n">
        <f aca="false">fl_pay_32-Sens!J6103*fl_rate</f>
        <v>4.49629305366278</v>
      </c>
    </row>
    <row r="6105" customFormat="false" ht="17.15" hidden="false" customHeight="false" outlineLevel="0" collapsed="false">
      <c r="A6105" s="1" t="s">
        <v>1120</v>
      </c>
      <c r="B6105" s="0" t="s">
        <v>98</v>
      </c>
      <c r="E6105" s="6" t="n">
        <f aca="false">Q!M35-Q!M36-Q!M44</f>
        <v>63.886</v>
      </c>
      <c r="F6105" s="6" t="n">
        <f aca="false">Sens!F6098-Sens!F6102-Sens!F6104</f>
        <v>7.28393912562367</v>
      </c>
      <c r="G6105" s="6" t="n">
        <f aca="false">Sens!G6098-Sens!G6102-Sens!G6104</f>
        <v>8.08658584169364</v>
      </c>
      <c r="H6105" s="6" t="n">
        <f aca="false">Sens!H6098-Sens!H6102-Sens!H6104</f>
        <v>32.1373172808317</v>
      </c>
      <c r="I6105" s="6" t="n">
        <f aca="false">Sens!I6098-Sens!I6102-Sens!I6104</f>
        <v>92.3159389703822</v>
      </c>
      <c r="J6105" s="6" t="n">
        <f aca="false">Sens!J6098-Sens!J6102-Sens!J6104</f>
        <v>158.300777033179</v>
      </c>
      <c r="K6105" s="6" t="n">
        <f aca="false">Sens!K6098-Sens!K6102-Sens!K6104</f>
        <v>189.327450673447</v>
      </c>
      <c r="L6105" s="12" t="s">
        <v>1121</v>
      </c>
    </row>
    <row r="6106" customFormat="false" ht="15" hidden="false" customHeight="false" outlineLevel="0" collapsed="false">
      <c r="A6106" s="1" t="s">
        <v>1122</v>
      </c>
      <c r="B6106" s="0" t="s">
        <v>75</v>
      </c>
      <c r="F6106" s="8" t="n">
        <f aca="false">dps_27</f>
        <v>3.85</v>
      </c>
      <c r="G6106" s="8" t="n">
        <f aca="false">Sens!F6106*(1+dps_g)</f>
        <v>4.158</v>
      </c>
      <c r="H6106" s="8" t="n">
        <f aca="false">Sens!G6106*(1+dps_g)</f>
        <v>4.49064</v>
      </c>
      <c r="I6106" s="8" t="n">
        <f aca="false">Sens!H6106*(1+dps_g)</f>
        <v>4.8498912</v>
      </c>
      <c r="J6106" s="8" t="n">
        <f aca="false">Sens!I6106*(1+dps_g)</f>
        <v>5.237882496</v>
      </c>
      <c r="K6106" s="8" t="n">
        <f aca="false">Sens!J6106*(1+dps_g)</f>
        <v>5.65691309568</v>
      </c>
    </row>
    <row r="6107" customFormat="false" ht="17.15" hidden="false" customHeight="false" outlineLevel="0" collapsed="false">
      <c r="A6107" s="1" t="s">
        <v>1123</v>
      </c>
      <c r="B6107" s="0" t="s">
        <v>98</v>
      </c>
      <c r="E6107" s="6" t="n">
        <f aca="false">Q!M41</f>
        <v>26.445</v>
      </c>
      <c r="F6107" s="6" t="n">
        <f aca="false">Sens!F6106*Sens!E6116</f>
        <v>28.59395</v>
      </c>
      <c r="G6107" s="6" t="n">
        <f aca="false">Sens!G6106*Sens!F6116</f>
        <v>31.068576</v>
      </c>
      <c r="H6107" s="6" t="n">
        <f aca="false">Sens!H6106*Sens!G6116</f>
        <v>33.75614088</v>
      </c>
      <c r="I6107" s="6" t="n">
        <f aca="false">Sens!I6106*Sens!H6116</f>
        <v>36.6748772544</v>
      </c>
      <c r="J6107" s="6" t="n">
        <f aca="false">Sens!J6106*Sens!I6116</f>
        <v>39.6767653201446</v>
      </c>
      <c r="K6107" s="6" t="n">
        <f aca="false">Sens!K6106*Sens!J6116</f>
        <v>42.9376608081345</v>
      </c>
      <c r="L6107" s="1" t="s">
        <v>1124</v>
      </c>
    </row>
    <row r="6108" customFormat="false" ht="15" hidden="false" customHeight="false" outlineLevel="0" collapsed="false">
      <c r="A6108" s="1" t="s">
        <v>1125</v>
      </c>
      <c r="B6108" s="0" t="s">
        <v>98</v>
      </c>
      <c r="E6108" s="6" t="n">
        <f aca="false">Sens!E6105-Sens!E6107</f>
        <v>37.441</v>
      </c>
      <c r="F6108" s="6" t="n">
        <f aca="false">Sens!F6105-Sens!F6107</f>
        <v>-21.3100108743763</v>
      </c>
      <c r="G6108" s="6" t="n">
        <f aca="false">Sens!G6105-Sens!G6107</f>
        <v>-22.9819901583064</v>
      </c>
      <c r="H6108" s="6" t="n">
        <f aca="false">Sens!H6105-Sens!H6107</f>
        <v>-1.61882359916831</v>
      </c>
      <c r="I6108" s="6" t="n">
        <f aca="false">Sens!I6105-Sens!I6107</f>
        <v>55.6410617159822</v>
      </c>
      <c r="J6108" s="6" t="n">
        <f aca="false">Sens!J6105-Sens!J6107</f>
        <v>118.624011713035</v>
      </c>
      <c r="K6108" s="6" t="n">
        <f aca="false">Sens!K6105-Sens!K6107</f>
        <v>146.389789865312</v>
      </c>
    </row>
    <row r="6109" customFormat="false" ht="15" hidden="false" customHeight="false" outlineLevel="0" collapsed="false">
      <c r="A6109" s="1" t="s">
        <v>1126</v>
      </c>
      <c r="B6109" s="0" t="s">
        <v>98</v>
      </c>
      <c r="F6109" s="6" t="n">
        <f aca="false">debt_mat_27</f>
        <v>9.25</v>
      </c>
      <c r="G6109" s="6" t="n">
        <f aca="false">debt_mat_28</f>
        <v>0</v>
      </c>
      <c r="H6109" s="6" t="n">
        <f aca="false">debt_mat_29</f>
        <v>2.001</v>
      </c>
      <c r="I6109" s="6" t="n">
        <f aca="false">debt_mat_30</f>
        <v>0</v>
      </c>
      <c r="J6109" s="6" t="n">
        <f aca="false">debt_mat_31</f>
        <v>0.5</v>
      </c>
      <c r="K6109" s="6" t="n">
        <f aca="false">debt_mat_32</f>
        <v>0</v>
      </c>
    </row>
    <row r="6110" customFormat="false" ht="15" hidden="false" customHeight="false" outlineLevel="0" collapsed="false">
      <c r="A6110" s="1" t="s">
        <v>1127</v>
      </c>
      <c r="B6110" s="0" t="s">
        <v>98</v>
      </c>
      <c r="E6110" s="6" t="n">
        <f aca="false">Q!M40</f>
        <v>22.271</v>
      </c>
      <c r="F6110" s="6" t="n">
        <f aca="false">MAX(0,MIN(bb_target,Sens!E6112+Sens!F6108-Sens!F6109-min_cash))</f>
        <v>0</v>
      </c>
      <c r="G6110" s="6" t="n">
        <f aca="false">MAX(0,MIN(bb_target,Sens!F6112+Sens!G6108-Sens!G6109-min_cash))</f>
        <v>0</v>
      </c>
      <c r="H6110" s="6" t="n">
        <f aca="false">MAX(0,MIN(bb_target,Sens!G6112+Sens!H6108-Sens!H6109-min_cash))</f>
        <v>0</v>
      </c>
      <c r="I6110" s="6" t="n">
        <f aca="false">MAX(0,MIN(bb_target,Sens!H6112+Sens!I6108-Sens!I6109-min_cash))</f>
        <v>22.271</v>
      </c>
      <c r="J6110" s="6" t="n">
        <f aca="false">MAX(0,MIN(bb_target,Sens!I6112+Sens!J6108-Sens!J6109-min_cash))</f>
        <v>22.271</v>
      </c>
      <c r="K6110" s="6" t="n">
        <f aca="false">MAX(0,MIN(bb_target,Sens!J6112+Sens!K6108-Sens!K6109-min_cash))</f>
        <v>22.271</v>
      </c>
    </row>
    <row r="6111" customFormat="false" ht="15" hidden="false" customHeight="false" outlineLevel="0" collapsed="false">
      <c r="A6111" s="1" t="s">
        <v>1128</v>
      </c>
      <c r="B6111" s="0" t="s">
        <v>98</v>
      </c>
      <c r="F6111" s="6" t="n">
        <f aca="false">MAX(0,min_cash-(Sens!E6112+Sens!F6108-Sens!F6109-Sens!F6110))</f>
        <v>3.71701087437633</v>
      </c>
      <c r="G6111" s="6" t="n">
        <f aca="false">MAX(0,min_cash-(Sens!F6112+Sens!G6108-Sens!G6109-Sens!G6110))</f>
        <v>22.9819901583064</v>
      </c>
      <c r="H6111" s="6" t="n">
        <f aca="false">MAX(0,min_cash-(Sens!G6112+Sens!H6108-Sens!H6109-Sens!H6110))</f>
        <v>3.61982359916831</v>
      </c>
      <c r="I6111" s="6" t="n">
        <f aca="false">MAX(0,min_cash-(Sens!H6112+Sens!I6108-Sens!I6109-Sens!I6110))</f>
        <v>0</v>
      </c>
      <c r="J6111" s="6" t="n">
        <f aca="false">MAX(0,min_cash-(Sens!I6112+Sens!J6108-Sens!J6109-Sens!J6110))</f>
        <v>0</v>
      </c>
      <c r="K6111" s="6" t="n">
        <f aca="false">MAX(0,min_cash-(Sens!J6112+Sens!K6108-Sens!K6109-Sens!K6110))</f>
        <v>0</v>
      </c>
    </row>
    <row r="6112" customFormat="false" ht="15" hidden="false" customHeight="false" outlineLevel="0" collapsed="false">
      <c r="A6112" s="1" t="s">
        <v>1129</v>
      </c>
      <c r="B6112" s="0" t="s">
        <v>98</v>
      </c>
      <c r="E6112" s="6" t="n">
        <f aca="false">cash_open</f>
        <v>76.843</v>
      </c>
      <c r="F6112" s="6" t="n">
        <f aca="false">Sens!E6112+Sens!F6108-Sens!F6109-Sens!F6110+Sens!F6111</f>
        <v>50</v>
      </c>
      <c r="G6112" s="6" t="n">
        <f aca="false">Sens!F6112+Sens!G6108-Sens!G6109-Sens!G6110+Sens!G6111</f>
        <v>50</v>
      </c>
      <c r="H6112" s="6" t="n">
        <f aca="false">Sens!G6112+Sens!H6108-Sens!H6109-Sens!H6110+Sens!H6111</f>
        <v>50</v>
      </c>
      <c r="I6112" s="6" t="n">
        <f aca="false">Sens!H6112+Sens!I6108-Sens!I6109-Sens!I6110+Sens!I6111</f>
        <v>83.3700617159822</v>
      </c>
      <c r="J6112" s="6" t="n">
        <f aca="false">Sens!I6112+Sens!J6108-Sens!J6109-Sens!J6110+Sens!J6111</f>
        <v>179.223073429017</v>
      </c>
      <c r="K6112" s="6" t="n">
        <f aca="false">Sens!J6112+Sens!K6108-Sens!K6109-Sens!K6110+Sens!K6111</f>
        <v>303.341863294329</v>
      </c>
    </row>
    <row r="6113" customFormat="false" ht="15" hidden="false" customHeight="false" outlineLevel="0" collapsed="false">
      <c r="A6113" s="1" t="s">
        <v>1130</v>
      </c>
      <c r="B6113" s="0" t="s">
        <v>98</v>
      </c>
      <c r="E6113" s="6" t="n">
        <f aca="false">debt_face</f>
        <v>46.136</v>
      </c>
      <c r="F6113" s="6" t="n">
        <f aca="false">Sens!E6113-Sens!F6109+Sens!F6111</f>
        <v>40.6030108743763</v>
      </c>
      <c r="G6113" s="6" t="n">
        <f aca="false">Sens!F6113-Sens!G6109+Sens!G6111</f>
        <v>63.5850010326827</v>
      </c>
      <c r="H6113" s="6" t="n">
        <f aca="false">Sens!G6113-Sens!H6109+Sens!H6111</f>
        <v>65.203824631851</v>
      </c>
      <c r="I6113" s="6" t="n">
        <f aca="false">Sens!H6113-Sens!I6109+Sens!I6111</f>
        <v>65.203824631851</v>
      </c>
      <c r="J6113" s="6" t="n">
        <f aca="false">Sens!I6113-Sens!J6109+Sens!J6111</f>
        <v>64.703824631851</v>
      </c>
      <c r="K6113" s="6" t="n">
        <f aca="false">Sens!J6113-Sens!K6109+Sens!K6111</f>
        <v>64.703824631851</v>
      </c>
    </row>
    <row r="6114" customFormat="false" ht="15" hidden="false" customHeight="false" outlineLevel="0" collapsed="false">
      <c r="A6114" s="1" t="s">
        <v>1131</v>
      </c>
      <c r="B6114" s="0" t="s">
        <v>98</v>
      </c>
      <c r="E6114" s="6" t="n">
        <f aca="false">Sens!E6112-Sens!E6113</f>
        <v>30.707</v>
      </c>
      <c r="F6114" s="6" t="n">
        <f aca="false">Sens!F6112-Sens!F6113</f>
        <v>9.39698912562367</v>
      </c>
      <c r="G6114" s="6" t="n">
        <f aca="false">Sens!G6112-Sens!G6113</f>
        <v>-13.5850010326827</v>
      </c>
      <c r="H6114" s="6" t="n">
        <f aca="false">Sens!H6112-Sens!H6113</f>
        <v>-15.203824631851</v>
      </c>
      <c r="I6114" s="6" t="n">
        <f aca="false">Sens!I6112-Sens!I6113</f>
        <v>18.1662370841312</v>
      </c>
      <c r="J6114" s="6" t="n">
        <f aca="false">Sens!J6112-Sens!J6113</f>
        <v>114.519248797166</v>
      </c>
      <c r="K6114" s="6" t="n">
        <f aca="false">Sens!K6112-Sens!K6113</f>
        <v>238.638038662478</v>
      </c>
    </row>
    <row r="6115" customFormat="false" ht="15" hidden="false" customHeight="false" outlineLevel="0" collapsed="false">
      <c r="A6115" s="1" t="s">
        <v>1132</v>
      </c>
      <c r="B6115" s="0" t="s">
        <v>75</v>
      </c>
      <c r="F6115" s="30" t="n">
        <f aca="false">px*(1+bb_g)^(Sens!F5973-base_fy-mid_yr)</f>
        <v>551.84177959629</v>
      </c>
      <c r="G6115" s="30" t="n">
        <f aca="false">px*(1+bb_g)^(Sens!G5973-base_fy-mid_yr)</f>
        <v>595.989121963993</v>
      </c>
      <c r="H6115" s="30" t="n">
        <f aca="false">px*(1+bb_g)^(Sens!H5973-base_fy-mid_yr)</f>
        <v>643.668251721112</v>
      </c>
      <c r="I6115" s="30" t="n">
        <f aca="false">px*(1+bb_g)^(Sens!I5973-base_fy-mid_yr)</f>
        <v>695.161711858801</v>
      </c>
      <c r="J6115" s="30" t="n">
        <f aca="false">px*(1+bb_g)^(Sens!J5973-base_fy-mid_yr)</f>
        <v>750.774648807506</v>
      </c>
      <c r="K6115" s="30" t="n">
        <f aca="false">px*(1+bb_g)^(Sens!K5973-base_fy-mid_yr)</f>
        <v>810.836620712106</v>
      </c>
    </row>
    <row r="6116" customFormat="false" ht="15" hidden="false" customHeight="false" outlineLevel="0" collapsed="false">
      <c r="A6116" s="1" t="s">
        <v>1133</v>
      </c>
      <c r="B6116" s="1" t="s">
        <v>81</v>
      </c>
      <c r="E6116" s="15" t="n">
        <f aca="false">sh_out26</f>
        <v>7.427</v>
      </c>
      <c r="F6116" s="15" t="n">
        <f aca="false">Sens!E6116+sh_iss-Sens!F6110/Sens!F6115</f>
        <v>7.472</v>
      </c>
      <c r="G6116" s="15" t="n">
        <f aca="false">Sens!F6116+sh_iss-Sens!G6110/Sens!G6115</f>
        <v>7.517</v>
      </c>
      <c r="H6116" s="15" t="n">
        <f aca="false">Sens!G6116+sh_iss-Sens!H6110/Sens!H6115</f>
        <v>7.562</v>
      </c>
      <c r="I6116" s="15" t="n">
        <f aca="false">Sens!H6116+sh_iss-Sens!I6110/Sens!I6115</f>
        <v>7.57496285005334</v>
      </c>
      <c r="J6116" s="15" t="n">
        <f aca="false">Sens!I6116+sh_iss-Sens!J6110/Sens!J6115</f>
        <v>7.59029882232494</v>
      </c>
      <c r="K6116" s="15" t="n">
        <f aca="false">Sens!J6116+sh_iss-Sens!K6110/Sens!K6115</f>
        <v>7.60783212998384</v>
      </c>
    </row>
    <row r="6117" customFormat="false" ht="15" hidden="false" customHeight="false" outlineLevel="0" collapsed="false">
      <c r="A6117" s="1" t="s">
        <v>1134</v>
      </c>
      <c r="B6117" s="1" t="s">
        <v>81</v>
      </c>
      <c r="E6117" s="15" t="n">
        <f aca="false">sh_dil26</f>
        <v>7.453</v>
      </c>
      <c r="F6117" s="15" t="n">
        <f aca="false">(Sens!E6116+Sens!F6116)/2+dil_gap</f>
        <v>7.4735</v>
      </c>
      <c r="G6117" s="15" t="n">
        <f aca="false">(Sens!F6116+Sens!G6116)/2+dil_gap</f>
        <v>7.5185</v>
      </c>
      <c r="H6117" s="15" t="n">
        <f aca="false">(Sens!G6116+Sens!H6116)/2+dil_gap</f>
        <v>7.5635</v>
      </c>
      <c r="I6117" s="15" t="n">
        <f aca="false">(Sens!H6116+Sens!I6116)/2+dil_gap</f>
        <v>7.59248142502667</v>
      </c>
      <c r="J6117" s="15" t="n">
        <f aca="false">(Sens!I6116+Sens!J6116)/2+dil_gap</f>
        <v>7.60663083618914</v>
      </c>
      <c r="K6117" s="15" t="n">
        <f aca="false">(Sens!J6116+Sens!K6116)/2+dil_gap</f>
        <v>7.62306547615439</v>
      </c>
    </row>
    <row r="6118" customFormat="false" ht="17.15" hidden="false" customHeight="false" outlineLevel="0" collapsed="false">
      <c r="A6118" s="1" t="s">
        <v>1135</v>
      </c>
      <c r="B6118" s="0" t="s">
        <v>98</v>
      </c>
      <c r="C6118" s="6" t="n">
        <f aca="false">SUM(Sens!F6108:J6108)</f>
        <v>128.354248797166</v>
      </c>
    </row>
    <row r="6119" customFormat="false" ht="15" hidden="false" customHeight="false" outlineLevel="0" collapsed="false">
      <c r="A6119" s="26" t="s">
        <v>1100</v>
      </c>
      <c r="B6119" s="31" t="s">
        <v>98</v>
      </c>
      <c r="C6119" s="27" t="n">
        <f aca="false">Sens!$C$6118-(Sens!F6108+Sens!G6108+Sens!H6108+Sens!I6108+Sens!J6108)</f>
        <v>0</v>
      </c>
      <c r="D6119" s="31"/>
      <c r="E6119" s="31"/>
      <c r="F6119" s="31"/>
      <c r="G6119" s="31"/>
      <c r="H6119" s="31"/>
      <c r="I6119" s="31"/>
      <c r="J6119" s="31"/>
      <c r="K6119" s="31"/>
    </row>
    <row r="6120" customFormat="false" ht="17.15" hidden="false" customHeight="false" outlineLevel="0" collapsed="false">
      <c r="A6120" s="1" t="s">
        <v>1094</v>
      </c>
      <c r="B6120" s="1" t="s">
        <v>1136</v>
      </c>
      <c r="C6120" s="33" t="str">
        <f aca="false">IF(SUM(Sens!F6111:J6111)&gt;0.05,"需要舉債 "&amp;TEXT(SUM(Sens!F6111:J6111),"0.0")&amp;" 十億美元","不需舉債")&amp;"；"&amp;IF(SUM(Sens!F6110:J6110)&lt;COUNT(Sens!F6110:J6110)*bb_target-0.05,"回購較每年 "&amp;TEXT(bb_target,"0.0")&amp;" 的目標少 "&amp;TEXT(COUNT(Sens!F6110:J6110)*bb_target-SUM(Sens!F6110:J6110),"0.0")&amp;" 十億美元（"&amp;TEXT(COUNTIF(Sens!F6110:J6110,"&lt;"&amp;(bb_target-0.05)),"0")&amp;" 年減少）","回購不減")</f>
        <v>需要舉債 30.3 十億美元；回購較每年 22.3 的目標少 66.8 十億美元（3 年減少）</v>
      </c>
    </row>
    <row r="6121" customFormat="false" ht="17.15" hidden="false" customHeight="false" outlineLevel="0" collapsed="false">
      <c r="A6121" s="3" t="s">
        <v>1764</v>
      </c>
    </row>
    <row r="6122" customFormat="false" ht="15" hidden="false" customHeight="false" outlineLevel="0" collapsed="false">
      <c r="A6122" s="4" t="s">
        <v>43</v>
      </c>
      <c r="B6122" s="4" t="s">
        <v>65</v>
      </c>
      <c r="C6122" s="23" t="s">
        <v>942</v>
      </c>
      <c r="D6122" s="23" t="s">
        <v>943</v>
      </c>
      <c r="E6122" s="23" t="s">
        <v>944</v>
      </c>
      <c r="F6122" s="23" t="s">
        <v>945</v>
      </c>
      <c r="G6122" s="23" t="s">
        <v>946</v>
      </c>
      <c r="H6122" s="23" t="s">
        <v>947</v>
      </c>
      <c r="I6122" s="23" t="s">
        <v>948</v>
      </c>
      <c r="J6122" s="23" t="s">
        <v>949</v>
      </c>
      <c r="K6122" s="23" t="s">
        <v>950</v>
      </c>
      <c r="L6122" s="4" t="s">
        <v>47</v>
      </c>
    </row>
    <row r="6123" customFormat="false" ht="17.15" hidden="false" customHeight="false" outlineLevel="0" collapsed="false">
      <c r="A6123" s="1" t="s">
        <v>1216</v>
      </c>
      <c r="B6123" s="1" t="s">
        <v>279</v>
      </c>
      <c r="F6123" s="8" t="n">
        <f aca="false">(1-v_off)*mid_yr</f>
        <v>0.373972602739726</v>
      </c>
      <c r="G6123" s="8" t="n">
        <f aca="false">Sens!G5973-base_fy-mid_yr-v_off</f>
        <v>1.24794520547945</v>
      </c>
      <c r="H6123" s="8" t="n">
        <f aca="false">Sens!H5973-base_fy-mid_yr-v_off</f>
        <v>2.24794520547945</v>
      </c>
      <c r="I6123" s="8" t="n">
        <f aca="false">Sens!I5973-base_fy-mid_yr-v_off</f>
        <v>3.24794520547945</v>
      </c>
      <c r="J6123" s="8" t="n">
        <f aca="false">Sens!J5973-base_fy-mid_yr-v_off</f>
        <v>4.24794520547945</v>
      </c>
      <c r="K6123" s="8" t="n">
        <f aca="false">Sens!K5973-base_fy-mid_yr-v_off</f>
        <v>5.24794520547945</v>
      </c>
      <c r="L6123" s="12" t="s">
        <v>1217</v>
      </c>
    </row>
    <row r="6124" customFormat="false" ht="15" hidden="false" customHeight="false" outlineLevel="0" collapsed="false">
      <c r="A6124" s="1" t="s">
        <v>1218</v>
      </c>
      <c r="B6124" s="1" t="s">
        <v>279</v>
      </c>
      <c r="F6124" s="8" t="n">
        <f aca="false">Sens!F5973-base_fy-v_off</f>
        <v>0.747945205479452</v>
      </c>
      <c r="G6124" s="8" t="n">
        <f aca="false">Sens!G5973-base_fy-v_off</f>
        <v>1.74794520547945</v>
      </c>
      <c r="H6124" s="8" t="n">
        <f aca="false">Sens!H5973-base_fy-v_off</f>
        <v>2.74794520547945</v>
      </c>
      <c r="I6124" s="8" t="n">
        <f aca="false">Sens!I5973-base_fy-v_off</f>
        <v>3.74794520547945</v>
      </c>
      <c r="J6124" s="8" t="n">
        <f aca="false">Sens!J5973-base_fy-v_off</f>
        <v>4.74794520547945</v>
      </c>
      <c r="K6124" s="8" t="n">
        <f aca="false">Sens!K5973-base_fy-v_off</f>
        <v>5.74794520547945</v>
      </c>
    </row>
    <row r="6125" customFormat="false" ht="15" hidden="false" customHeight="false" outlineLevel="0" collapsed="false">
      <c r="A6125" s="1" t="s">
        <v>1219</v>
      </c>
      <c r="B6125" s="0" t="s">
        <v>229</v>
      </c>
      <c r="F6125" s="15" t="n">
        <f aca="false">1/(1+wacc)^Sens!F6123</f>
        <v>0.964022703286649</v>
      </c>
      <c r="G6125" s="15" t="n">
        <f aca="false">1/(1+wacc)^Sens!G6123</f>
        <v>0.884910302296739</v>
      </c>
      <c r="H6125" s="15" t="n">
        <f aca="false">1/(1+wacc)^Sens!H6123</f>
        <v>0.802322009770358</v>
      </c>
      <c r="I6125" s="15" t="n">
        <f aca="false">1/(1+wacc)^Sens!I6123</f>
        <v>0.727441646561469</v>
      </c>
      <c r="J6125" s="15" t="n">
        <f aca="false">1/(1+wacc)^Sens!J6123</f>
        <v>0.659549834988973</v>
      </c>
      <c r="K6125" s="15" t="n">
        <f aca="false">1/(1+wacc)^Sens!K6123</f>
        <v>0.597994336576966</v>
      </c>
    </row>
    <row r="6126" customFormat="false" ht="17.15" hidden="false" customHeight="false" outlineLevel="0" collapsed="false">
      <c r="A6126" s="1" t="s">
        <v>1220</v>
      </c>
      <c r="B6126" s="0" t="s">
        <v>98</v>
      </c>
      <c r="F6126" s="6" t="n">
        <f aca="false">Q!$I$35-Q!$I$39-Q!$I$43</f>
        <v>9.666</v>
      </c>
      <c r="L6126" s="12" t="s">
        <v>1221</v>
      </c>
    </row>
    <row r="6127" customFormat="false" ht="17.15" hidden="false" customHeight="false" outlineLevel="0" collapsed="false">
      <c r="A6127" s="1" t="s">
        <v>1222</v>
      </c>
      <c r="B6127" s="0" t="s">
        <v>98</v>
      </c>
      <c r="F6127" s="6" t="n">
        <f aca="false">Sens!F6098-Sens!F6095-Sens!F6102+Sens!F6080*(1-tax_f)*(1-v_off)-Sens!F6126</f>
        <v>-6.63863547861465</v>
      </c>
      <c r="G6127" s="6" t="n">
        <f aca="false">Sens!G6098-Sens!G6095-Sens!G6102+Sens!G6080*(1-tax_f)</f>
        <v>17.7430557747153</v>
      </c>
      <c r="H6127" s="6" t="n">
        <f aca="false">Sens!H6098-Sens!H6095-Sens!H6102+Sens!H6080*(1-tax_f)</f>
        <v>54.1162363637838</v>
      </c>
      <c r="I6127" s="6" t="n">
        <f aca="false">Sens!I6098-Sens!I6095-Sens!I6102+Sens!I6080*(1-tax_f)</f>
        <v>125.420531593816</v>
      </c>
      <c r="J6127" s="6" t="n">
        <f aca="false">Sens!J6098-Sens!J6095-Sens!J6102+Sens!J6080*(1-tax_f)</f>
        <v>198.920678934447</v>
      </c>
      <c r="K6127" s="6" t="n">
        <f aca="false">Sens!K6098-Sens!K6095-Sens!K6102+Sens!K6080*(1-tax_f)</f>
        <v>233.940196704135</v>
      </c>
      <c r="L6127" s="1" t="s">
        <v>1223</v>
      </c>
    </row>
    <row r="6128" customFormat="false" ht="15" hidden="false" customHeight="false" outlineLevel="0" collapsed="false">
      <c r="A6128" s="1" t="s">
        <v>1224</v>
      </c>
      <c r="B6128" s="0" t="s">
        <v>98</v>
      </c>
      <c r="F6128" s="6" t="n">
        <f aca="false">Sens!F6127*Sens!F6125</f>
        <v>-6.39979532022875</v>
      </c>
      <c r="G6128" s="6" t="n">
        <f aca="false">Sens!G6127*Sens!G6125</f>
        <v>15.7010128492712</v>
      </c>
      <c r="H6128" s="6" t="n">
        <f aca="false">Sens!H6127*Sens!H6125</f>
        <v>43.4186475205988</v>
      </c>
      <c r="I6128" s="6" t="n">
        <f aca="false">Sens!I6127*Sens!I6125</f>
        <v>91.23611801522</v>
      </c>
      <c r="J6128" s="6" t="n">
        <f aca="false">Sens!J6127*Sens!J6125</f>
        <v>131.198100967109</v>
      </c>
      <c r="K6128" s="6" t="n">
        <f aca="false">Sens!K6127*Sens!K6125</f>
        <v>139.894912726774</v>
      </c>
    </row>
    <row r="6129" customFormat="false" ht="17.15" hidden="false" customHeight="false" outlineLevel="0" collapsed="false">
      <c r="A6129" s="1" t="s">
        <v>1225</v>
      </c>
      <c r="B6129" s="0" t="s">
        <v>98</v>
      </c>
      <c r="C6129" s="6" t="n">
        <f aca="false">SUM(Sens!F6128:K6128)</f>
        <v>415.048996758744</v>
      </c>
    </row>
    <row r="6130" customFormat="false" ht="17.15" hidden="false" customHeight="false" outlineLevel="0" collapsed="false">
      <c r="A6130" s="1" t="s">
        <v>1226</v>
      </c>
      <c r="B6130" s="0" t="s">
        <v>98</v>
      </c>
      <c r="C6130" s="6" t="n">
        <f aca="false">Sens!K6066*(1+g_tv)*(1-tax_f)</f>
        <v>243.432319339252</v>
      </c>
    </row>
    <row r="6131" customFormat="false" ht="17.15" hidden="false" customHeight="false" outlineLevel="0" collapsed="false">
      <c r="A6131" s="1" t="s">
        <v>1227</v>
      </c>
      <c r="B6131" s="0" t="s">
        <v>98</v>
      </c>
      <c r="C6131" s="6" t="n">
        <f aca="false">Sens!$C$6130*(1-g_tv/(wacc+ronic_prem))</f>
        <v>172.486025964943</v>
      </c>
    </row>
    <row r="6132" customFormat="false" ht="17.15" hidden="false" customHeight="false" outlineLevel="0" collapsed="false">
      <c r="A6132" s="1" t="s">
        <v>1228</v>
      </c>
      <c r="B6132" s="0" t="s">
        <v>98</v>
      </c>
      <c r="C6132" s="6" t="n">
        <f aca="false">Sens!$C$6131/(wacc-g_tv)</f>
        <v>2364.87644581029</v>
      </c>
    </row>
    <row r="6133" customFormat="false" ht="15" hidden="false" customHeight="false" outlineLevel="0" collapsed="false">
      <c r="A6133" s="1" t="s">
        <v>1229</v>
      </c>
      <c r="B6133" s="0" t="s">
        <v>98</v>
      </c>
      <c r="C6133" s="6" t="n">
        <f aca="false">Sens!$C$6132/(1+wacc)^Sens!K6124</f>
        <v>1346.57409109419</v>
      </c>
    </row>
    <row r="6134" customFormat="false" ht="17.15" hidden="false" customHeight="false" outlineLevel="0" collapsed="false">
      <c r="A6134" s="0" t="s">
        <v>1230</v>
      </c>
      <c r="B6134" s="0" t="s">
        <v>98</v>
      </c>
      <c r="C6134" s="6" t="n">
        <f aca="false">Sens!$C$6129+Sens!$C$6133</f>
        <v>1761.62308785293</v>
      </c>
    </row>
    <row r="6135" customFormat="false" ht="15" hidden="false" customHeight="false" outlineLevel="0" collapsed="false">
      <c r="A6135" s="1" t="s">
        <v>1145</v>
      </c>
      <c r="B6135" s="0" t="s">
        <v>168</v>
      </c>
      <c r="C6135" s="7" t="n">
        <f aca="false">Sens!$C$6133/Sens!$C$6134</f>
        <v>0.76439398437687</v>
      </c>
    </row>
    <row r="6136" customFormat="false" ht="17.15" hidden="false" customHeight="false" outlineLevel="0" collapsed="false">
      <c r="A6136" s="1" t="s">
        <v>1231</v>
      </c>
      <c r="B6136" s="0" t="s">
        <v>98</v>
      </c>
      <c r="C6136" s="6" t="n">
        <f aca="false">Sens!$C$6134+cash_val-debt_val-fl_val+oai_v</f>
        <v>1877.47408785293</v>
      </c>
    </row>
    <row r="6137" customFormat="false" ht="17.15" hidden="false" customHeight="false" outlineLevel="0" collapsed="false">
      <c r="A6137" s="0" t="s">
        <v>1153</v>
      </c>
      <c r="B6137" s="0" t="s">
        <v>75</v>
      </c>
      <c r="C6137" s="5" t="n">
        <f aca="false">Sens!$C$6136/shd_val</f>
        <v>252.145324718363</v>
      </c>
    </row>
    <row r="6138" customFormat="false" ht="15" hidden="false" customHeight="false" outlineLevel="0" collapsed="false">
      <c r="A6138" s="1" t="s">
        <v>1232</v>
      </c>
      <c r="B6138" s="0" t="s">
        <v>75</v>
      </c>
      <c r="C6138" s="8" t="n">
        <f aca="false">div_rem27+Sens!G6106*roll_div_q/q_per_yr</f>
        <v>3.9795</v>
      </c>
    </row>
    <row r="6139" customFormat="false" ht="17.15" hidden="false" customHeight="false" outlineLevel="0" collapsed="false">
      <c r="A6139" s="0" t="s">
        <v>1233</v>
      </c>
      <c r="B6139" s="0" t="s">
        <v>75</v>
      </c>
      <c r="C6139" s="5" t="n">
        <f aca="false">Sens!$C$6137*(1+wacc)^t_roll-Sens!$C$6138</f>
        <v>276.294100842584</v>
      </c>
    </row>
    <row r="6140" customFormat="false" ht="17.15" hidden="false" customHeight="false" outlineLevel="0" collapsed="false">
      <c r="A6140" s="1" t="s">
        <v>1234</v>
      </c>
      <c r="B6140" s="0" t="s">
        <v>168</v>
      </c>
      <c r="F6140" s="7" t="n">
        <f aca="false">Sens!F6092/(Sens!F6037-Sens!F5992)</f>
        <v>0.0686515015256486</v>
      </c>
      <c r="G6140" s="7" t="n">
        <f aca="false">Sens!G6092/(Sens!G6037-Sens!G5992)</f>
        <v>0.066295569929045</v>
      </c>
      <c r="H6140" s="7" t="n">
        <f aca="false">Sens!H6092/(Sens!H6037-Sens!H5992)</f>
        <v>0.0651256930515426</v>
      </c>
      <c r="I6140" s="7" t="n">
        <f aca="false">Sens!I6092/(Sens!I6037-Sens!I5992)</f>
        <v>0.0650041259435542</v>
      </c>
      <c r="J6140" s="7" t="n">
        <f aca="false">Sens!J6092/(Sens!J6037-Sens!J5992)</f>
        <v>0.065721919276259</v>
      </c>
      <c r="K6140" s="7" t="n">
        <f aca="false">Sens!K6092/(Sens!K6037-Sens!K5992)</f>
        <v>0.0670468778244794</v>
      </c>
    </row>
    <row r="6141" customFormat="false" ht="17.15" hidden="false" customHeight="false" outlineLevel="0" collapsed="false">
      <c r="A6141" s="0" t="s">
        <v>1235</v>
      </c>
      <c r="B6141" s="0" t="s">
        <v>98</v>
      </c>
      <c r="F6141" s="6" t="n">
        <f aca="false">Sens!F6022*(al_m365+Sens!F6140+sbc_r)</f>
        <v>82.9154812565862</v>
      </c>
      <c r="G6141" s="6" t="n">
        <f aca="false">Sens!G6022*(al_m365+Sens!G6140+sbc_r)</f>
        <v>93.3044587395603</v>
      </c>
      <c r="H6141" s="6" t="n">
        <f aca="false">Sens!H6022*(al_m365+Sens!H6140+sbc_r)</f>
        <v>103.854476848611</v>
      </c>
      <c r="I6141" s="6" t="n">
        <f aca="false">Sens!I6022*(al_m365+Sens!I6140+sbc_r)</f>
        <v>113.888960741249</v>
      </c>
      <c r="J6141" s="6" t="n">
        <f aca="false">Sens!J6022*(al_m365+Sens!J6140+sbc_r)</f>
        <v>123.218591914999</v>
      </c>
      <c r="K6141" s="6" t="n">
        <f aca="false">Sens!K6022*(al_m365+Sens!K6140+sbc_r)</f>
        <v>132.150460741347</v>
      </c>
      <c r="L6141" s="12" t="s">
        <v>1236</v>
      </c>
    </row>
    <row r="6142" customFormat="false" ht="17.15" hidden="false" customHeight="false" outlineLevel="0" collapsed="false">
      <c r="A6142" s="0" t="s">
        <v>1237</v>
      </c>
      <c r="B6142" s="0" t="s">
        <v>98</v>
      </c>
      <c r="F6142" s="6" t="n">
        <f aca="false">Sens!F6023*(al_lic+Sens!F6140+sbc_r)</f>
        <v>32.8589915338998</v>
      </c>
      <c r="G6142" s="6" t="n">
        <f aca="false">Sens!G6023*(al_lic+Sens!G6140+sbc_r)</f>
        <v>34.1561200226233</v>
      </c>
      <c r="H6142" s="6" t="n">
        <f aca="false">Sens!H6023*(al_lic+Sens!H6140+sbc_r)</f>
        <v>35.3631100818316</v>
      </c>
      <c r="I6142" s="6" t="n">
        <f aca="false">Sens!I6023*(al_lic+Sens!I6140+sbc_r)</f>
        <v>36.4602540773809</v>
      </c>
      <c r="J6142" s="6" t="n">
        <f aca="false">Sens!J6023*(al_lic+Sens!J6140+sbc_r)</f>
        <v>37.4246174427843</v>
      </c>
      <c r="K6142" s="6" t="n">
        <f aca="false">Sens!K6023*(al_lic+Sens!K6140+sbc_r)</f>
        <v>38.2323965353037</v>
      </c>
    </row>
    <row r="6143" customFormat="false" ht="17.15" hidden="false" customHeight="false" outlineLevel="0" collapsed="false">
      <c r="A6143" s="0" t="s">
        <v>1238</v>
      </c>
      <c r="B6143" s="0" t="s">
        <v>98</v>
      </c>
      <c r="F6143" s="6" t="n">
        <f aca="false">Sens!F6025*(al_ind+Sens!F6140+sbc_r)</f>
        <v>9.06112966997056</v>
      </c>
      <c r="G6143" s="6" t="n">
        <f aca="false">Sens!G6025*(al_ind+Sens!G6140+sbc_r)</f>
        <v>9.84746621315684</v>
      </c>
      <c r="H6143" s="6" t="n">
        <f aca="false">Sens!H6025*(al_ind+Sens!H6140+sbc_r)</f>
        <v>10.6765418907262</v>
      </c>
      <c r="I6143" s="6" t="n">
        <f aca="false">Sens!I6025*(al_ind+Sens!I6140+sbc_r)</f>
        <v>11.5438540291696</v>
      </c>
      <c r="J6143" s="6" t="n">
        <f aca="false">Sens!J6025*(al_ind+Sens!J6140+sbc_r)</f>
        <v>12.4408115103798</v>
      </c>
      <c r="K6143" s="6" t="n">
        <f aca="false">Sens!K6025*(al_ind+Sens!K6140+sbc_r)</f>
        <v>13.3554222520951</v>
      </c>
    </row>
    <row r="6144" customFormat="false" ht="17.15" hidden="false" customHeight="false" outlineLevel="0" collapsed="false">
      <c r="A6144" s="0" t="s">
        <v>1239</v>
      </c>
      <c r="B6144" s="0" t="s">
        <v>98</v>
      </c>
      <c r="F6144" s="6" t="n">
        <f aca="false">Sens!F6027*(al_fro+Sens!F6140+sbc_r)</f>
        <v>3.55430904869832</v>
      </c>
      <c r="G6144" s="6" t="n">
        <f aca="false">Sens!G6027*(al_fro+Sens!G6140+sbc_r)</f>
        <v>3.76792918241782</v>
      </c>
      <c r="H6144" s="6" t="n">
        <f aca="false">Sens!H6027*(al_fro+Sens!H6140+sbc_r)</f>
        <v>4.00954257323713</v>
      </c>
      <c r="I6144" s="6" t="n">
        <f aca="false">Sens!I6027*(al_fro+Sens!I6140+sbc_r)</f>
        <v>4.28147666626603</v>
      </c>
      <c r="J6144" s="6" t="n">
        <f aca="false">Sens!J6027*(al_fro+Sens!J6140+sbc_r)</f>
        <v>4.58537253261458</v>
      </c>
      <c r="K6144" s="6" t="n">
        <f aca="false">Sens!K6027*(al_fro+Sens!K6140+sbc_r)</f>
        <v>4.92247521836758</v>
      </c>
    </row>
    <row r="6145" customFormat="false" ht="17.15" hidden="false" customHeight="false" outlineLevel="0" collapsed="false">
      <c r="A6145" s="0" t="s">
        <v>1240</v>
      </c>
      <c r="B6145" s="0" t="s">
        <v>98</v>
      </c>
      <c r="F6145" s="6" t="n">
        <f aca="false">Sens!F6030*(al_srch+Sens!F6140+sbc_r)</f>
        <v>11.1899703920701</v>
      </c>
      <c r="G6145" s="6" t="n">
        <f aca="false">Sens!G6030*(al_srch+Sens!G6140+sbc_r)</f>
        <v>12.2757947231516</v>
      </c>
      <c r="H6145" s="6" t="n">
        <f aca="false">Sens!H6030*(al_srch+Sens!H6140+sbc_r)</f>
        <v>13.4040003576438</v>
      </c>
      <c r="I6145" s="6" t="n">
        <f aca="false">Sens!I6030*(al_srch+Sens!I6140+sbc_r)</f>
        <v>14.5619822990031</v>
      </c>
      <c r="J6145" s="6" t="n">
        <f aca="false">Sens!J6030*(al_srch+Sens!J6140+sbc_r)</f>
        <v>15.7310635832546</v>
      </c>
      <c r="K6145" s="6" t="n">
        <f aca="false">Sens!K6030*(al_srch+Sens!K6140+sbc_r)</f>
        <v>16.8875636813268</v>
      </c>
    </row>
    <row r="6146" customFormat="false" ht="17.15" hidden="false" customHeight="false" outlineLevel="0" collapsed="false">
      <c r="A6146" s="0" t="s">
        <v>1241</v>
      </c>
      <c r="B6146" s="0" t="s">
        <v>98</v>
      </c>
      <c r="F6146" s="6" t="n">
        <f aca="false">Sens!F5998-Sens!F5999+Sens!F6080</f>
        <v>38.1372083945644</v>
      </c>
      <c r="G6146" s="6" t="n">
        <f aca="false">Sens!G5998-Sens!G5999+Sens!G6080</f>
        <v>67.8045530334553</v>
      </c>
      <c r="H6146" s="6" t="n">
        <f aca="false">Sens!H5998-Sens!H5999+Sens!H6080</f>
        <v>94.4604937703965</v>
      </c>
      <c r="I6146" s="6" t="n">
        <f aca="false">Sens!I5998-Sens!I5999+Sens!I6080</f>
        <v>124.440877889257</v>
      </c>
      <c r="J6146" s="6" t="n">
        <f aca="false">Sens!J5998-Sens!J5999+Sens!J6080</f>
        <v>145.38312159233</v>
      </c>
      <c r="K6146" s="6" t="n">
        <f aca="false">Sens!K5998-Sens!K5999+Sens!K6080</f>
        <v>158.086858352091</v>
      </c>
    </row>
    <row r="6147" customFormat="false" ht="17.15" hidden="false" customHeight="false" outlineLevel="0" collapsed="false">
      <c r="A6147" s="0" t="s">
        <v>1242</v>
      </c>
      <c r="B6147" s="0" t="s">
        <v>98</v>
      </c>
      <c r="F6147" s="6" t="n">
        <f aca="false">Sens!F6059+Sens!F6080+Sens!F6010+Sens!F6140*(Sens!F6029-Sens!F5992)+sbc_r*Sens!F6029</f>
        <v>234.152125423966</v>
      </c>
      <c r="G6147" s="6" t="n">
        <f aca="false">Sens!G6059+Sens!G6080+Sens!G6010+Sens!G6140*(Sens!G6029-Sens!G5992)+sbc_r*Sens!G6029</f>
        <v>283.916944393046</v>
      </c>
      <c r="H6147" s="6" t="n">
        <f aca="false">Sens!H6059+Sens!H6080+Sens!H6010+Sens!H6140*(Sens!H6029-Sens!H5992)+sbc_r*Sens!H6029</f>
        <v>335.982400367101</v>
      </c>
      <c r="I6147" s="6" t="n">
        <f aca="false">Sens!I6059+Sens!I6080+Sens!I6010+Sens!I6140*(Sens!I6029-Sens!I5992)+sbc_r*Sens!I6029</f>
        <v>390.744440961968</v>
      </c>
      <c r="J6147" s="6" t="n">
        <f aca="false">Sens!J6059+Sens!J6080+Sens!J6010+Sens!J6140*(Sens!J6029-Sens!J5992)+sbc_r*Sens!J6029</f>
        <v>434.548342181712</v>
      </c>
      <c r="K6147" s="6" t="n">
        <f aca="false">Sens!K6059+Sens!K6080+Sens!K6010+Sens!K6140*(Sens!K6029-Sens!K5992)+sbc_r*Sens!K6029</f>
        <v>467.767696556839</v>
      </c>
    </row>
    <row r="6148" customFormat="false" ht="17.15" hidden="false" customHeight="false" outlineLevel="0" collapsed="false">
      <c r="A6148" s="0" t="s">
        <v>1243</v>
      </c>
      <c r="B6148" s="0" t="s">
        <v>98</v>
      </c>
      <c r="F6148" s="6" t="n">
        <f aca="false">Sens!F6147-Sens!F6141-Sens!F6142-Sens!F6143-Sens!F6144-Sens!F6146</f>
        <v>67.6250055202472</v>
      </c>
      <c r="G6148" s="6" t="n">
        <f aca="false">Sens!G6147-Sens!G6141-Sens!G6142-Sens!G6143-Sens!G6144-Sens!G6146</f>
        <v>75.0364172018328</v>
      </c>
      <c r="H6148" s="6" t="n">
        <f aca="false">Sens!H6147-Sens!H6141-Sens!H6142-Sens!H6143-Sens!H6144-Sens!H6146</f>
        <v>87.6182352022989</v>
      </c>
      <c r="I6148" s="6" t="n">
        <f aca="false">Sens!I6147-Sens!I6141-Sens!I6142-Sens!I6143-Sens!I6144-Sens!I6146</f>
        <v>100.129017558646</v>
      </c>
      <c r="J6148" s="6" t="n">
        <f aca="false">Sens!J6147-Sens!J6141-Sens!J6142-Sens!J6143-Sens!J6144-Sens!J6146</f>
        <v>111.495827188605</v>
      </c>
      <c r="K6148" s="6" t="n">
        <f aca="false">Sens!K6147-Sens!K6141-Sens!K6142-Sens!K6143-Sens!K6144-Sens!K6146</f>
        <v>121.020083457635</v>
      </c>
    </row>
    <row r="6149" customFormat="false" ht="17.15" hidden="false" customHeight="false" outlineLevel="0" collapsed="false">
      <c r="A6149" s="0" t="s">
        <v>1244</v>
      </c>
      <c r="B6149" s="0" t="s">
        <v>98</v>
      </c>
      <c r="F6149" s="6" t="n">
        <f aca="false">Sens!F6061+Sens!F6140*Sens!F6036+sbc_r*Sens!F6036</f>
        <v>26.6356900629241</v>
      </c>
      <c r="G6149" s="6" t="n">
        <f aca="false">Sens!G6061+Sens!G6140*Sens!G6036+sbc_r*Sens!G6036</f>
        <v>26.502719427954</v>
      </c>
      <c r="H6149" s="6" t="n">
        <f aca="false">Sens!H6061+Sens!H6140*Sens!H6036+sbc_r*Sens!H6036</f>
        <v>27.3973754750845</v>
      </c>
      <c r="I6149" s="6" t="n">
        <f aca="false">Sens!I6061+Sens!I6140*Sens!I6036+sbc_r*Sens!I6036</f>
        <v>28.5173103106393</v>
      </c>
      <c r="J6149" s="6" t="n">
        <f aca="false">Sens!J6061+Sens!J6140*Sens!J6036+sbc_r*Sens!J6036</f>
        <v>29.8314485151194</v>
      </c>
      <c r="K6149" s="6" t="n">
        <f aca="false">Sens!K6061+Sens!K6140*Sens!K6036+sbc_r*Sens!K6036</f>
        <v>31.3107801510985</v>
      </c>
    </row>
    <row r="6150" customFormat="false" ht="17.15" hidden="false" customHeight="false" outlineLevel="0" collapsed="false">
      <c r="A6150" s="0" t="s">
        <v>1245</v>
      </c>
      <c r="B6150" s="0" t="s">
        <v>98</v>
      </c>
      <c r="F6150" s="6" t="n">
        <f aca="false">(Sens!F6149-Sens!F6145)*Sens!F6032/(Sens!F6032+Sens!F6034)</f>
        <v>8.72351879299769</v>
      </c>
      <c r="G6150" s="6" t="n">
        <f aca="false">(Sens!G6149-Sens!G6145)*Sens!G6032/(Sens!G6032+Sens!G6034)</f>
        <v>7.89706645722642</v>
      </c>
      <c r="H6150" s="6" t="n">
        <f aca="false">(Sens!H6149-Sens!H6145)*Sens!H6032/(Sens!H6032+Sens!H6034)</f>
        <v>7.66624140824088</v>
      </c>
      <c r="I6150" s="6" t="n">
        <f aca="false">(Sens!I6149-Sens!I6145)*Sens!I6032/(Sens!I6032+Sens!I6034)</f>
        <v>7.57866488148183</v>
      </c>
      <c r="J6150" s="6" t="n">
        <f aca="false">(Sens!J6149-Sens!J6145)*Sens!J6032/(Sens!J6032+Sens!J6034)</f>
        <v>7.62403132041729</v>
      </c>
      <c r="K6150" s="6" t="n">
        <f aca="false">(Sens!K6149-Sens!K6145)*Sens!K6032/(Sens!K6032+Sens!K6034)</f>
        <v>7.79858526118651</v>
      </c>
    </row>
    <row r="6151" customFormat="false" ht="17.15" hidden="false" customHeight="false" outlineLevel="0" collapsed="false">
      <c r="A6151" s="0" t="s">
        <v>1246</v>
      </c>
      <c r="B6151" s="0" t="s">
        <v>98</v>
      </c>
      <c r="F6151" s="6" t="n">
        <f aca="false">Sens!F6149-Sens!F6145-Sens!F6150</f>
        <v>6.72220087785627</v>
      </c>
      <c r="G6151" s="6" t="n">
        <f aca="false">Sens!G6149-Sens!G6145-Sens!G6150</f>
        <v>6.32985824757598</v>
      </c>
      <c r="H6151" s="6" t="n">
        <f aca="false">Sens!H6149-Sens!H6145-Sens!H6150</f>
        <v>6.32713370919983</v>
      </c>
      <c r="I6151" s="6" t="n">
        <f aca="false">Sens!I6149-Sens!I6145-Sens!I6150</f>
        <v>6.37666313015439</v>
      </c>
      <c r="J6151" s="6" t="n">
        <f aca="false">Sens!J6149-Sens!J6145-Sens!J6150</f>
        <v>6.47635361144754</v>
      </c>
      <c r="K6151" s="6" t="n">
        <f aca="false">Sens!K6149-Sens!K6145-Sens!K6150</f>
        <v>6.62463120858513</v>
      </c>
    </row>
    <row r="6152" customFormat="false" ht="17.15" hidden="false" customHeight="false" outlineLevel="0" collapsed="false">
      <c r="A6152" s="0" t="s">
        <v>1247</v>
      </c>
      <c r="B6152" s="0" t="s">
        <v>98</v>
      </c>
      <c r="F6152" s="6" t="n">
        <f aca="false">Sens!F6146-tax_f*(Sens!F6146-Sens!F6010)-Sens!F6007</f>
        <v>-131.028274430798</v>
      </c>
      <c r="G6152" s="6" t="n">
        <f aca="false">Sens!G6146-tax_f*(Sens!G6146-Sens!G6010)-Sens!G6007</f>
        <v>-125.553935091824</v>
      </c>
      <c r="H6152" s="6" t="n">
        <f aca="false">Sens!H6146-tax_f*(Sens!H6146-Sens!H6010)-Sens!H6007</f>
        <v>-103.417590915906</v>
      </c>
      <c r="I6152" s="6" t="n">
        <f aca="false">Sens!I6146-tax_f*(Sens!I6146-Sens!I6010)-Sens!I6007</f>
        <v>-46.215929371295</v>
      </c>
      <c r="J6152" s="6" t="n">
        <f aca="false">Sens!J6146-tax_f*(Sens!J6146-Sens!J6010)-Sens!J6007</f>
        <v>13.7797006878428</v>
      </c>
      <c r="K6152" s="6" t="n">
        <f aca="false">Sens!K6146-tax_f*(Sens!K6146-Sens!K6010)-Sens!K6007</f>
        <v>36.1091675271266</v>
      </c>
    </row>
    <row r="6153" customFormat="false" ht="17.15" hidden="false" customHeight="false" outlineLevel="0" collapsed="false">
      <c r="A6153" s="0" t="s">
        <v>1248</v>
      </c>
      <c r="B6153" s="0" t="s">
        <v>98</v>
      </c>
      <c r="G6153" s="6" t="n">
        <f aca="false">Sens!G6152/(1+wacc)^(Sens!G6123-Sens!F6124)</f>
        <v>-119.551507371194</v>
      </c>
      <c r="H6153" s="6" t="n">
        <f aca="false">Sens!H6152/(1+wacc)^(Sens!H6123-Sens!F6124)</f>
        <v>-89.282963937213</v>
      </c>
      <c r="I6153" s="6" t="n">
        <f aca="false">Sens!I6152/(1+wacc)^(Sens!I6123-Sens!F6124)</f>
        <v>-36.1755654452594</v>
      </c>
      <c r="J6153" s="6" t="n">
        <f aca="false">Sens!J6152/(1+wacc)^(Sens!J6123-Sens!F6124)</f>
        <v>9.77941500435742</v>
      </c>
      <c r="K6153" s="6" t="n">
        <f aca="false">Sens!K6152/(1+wacc)^(Sens!K6123-Sens!F6124)</f>
        <v>23.2348580355669</v>
      </c>
      <c r="L6153" s="1" t="s">
        <v>1249</v>
      </c>
    </row>
    <row r="6154" customFormat="false" ht="17.15" hidden="false" customHeight="false" outlineLevel="0" collapsed="false">
      <c r="A6154" s="0" t="s">
        <v>1250</v>
      </c>
      <c r="B6154" s="0" t="s">
        <v>98</v>
      </c>
      <c r="C6154" s="6" t="n">
        <f aca="false">(Sens!K6146-Sens!K6010)*(1-tax_f)*(1+g_tv)*(1-g_tv/(wacc+ronic_prem))/(wacc-g_tv)/(1+wacc)^(Sens!K6124-Sens!F6124)</f>
        <v>73.9330555769953</v>
      </c>
    </row>
    <row r="6155" customFormat="false" ht="17.15" hidden="false" customHeight="false" outlineLevel="0" collapsed="false">
      <c r="A6155" s="1" t="s">
        <v>1251</v>
      </c>
      <c r="B6155" s="0" t="s">
        <v>98</v>
      </c>
      <c r="C6155" s="6" t="n">
        <f aca="false">(SUM(Sens!G6153:K6153)+Sens!$C$6154)*(1+wacc)^(t_roll-Sens!F6124)</f>
        <v>-142.620575664961</v>
      </c>
      <c r="L6155" s="12" t="s">
        <v>1252</v>
      </c>
    </row>
    <row r="6156" customFormat="false" ht="17.15" hidden="false" customHeight="false" outlineLevel="0" collapsed="false">
      <c r="A6156" s="1" t="s">
        <v>1253</v>
      </c>
      <c r="B6156" s="0" t="s">
        <v>98</v>
      </c>
      <c r="C6156" s="6" t="n">
        <f aca="false">(w_ntm28*Sens!G5998+(1-w_ntm28)*Sens!H5998)*m_ai</f>
        <v>333.022610180626</v>
      </c>
    </row>
    <row r="6157" customFormat="false" ht="17.15" hidden="false" customHeight="false" outlineLevel="0" collapsed="false">
      <c r="A6157" s="1" t="s">
        <v>1254</v>
      </c>
      <c r="B6157" s="0" t="s">
        <v>98</v>
      </c>
      <c r="C6157" s="6" t="n">
        <f aca="false">(w_ntm28*Sens!G6148+(1-w_ntm28)*Sens!H6148)*m_cloud</f>
        <v>1094.16955140597</v>
      </c>
    </row>
    <row r="6158" customFormat="false" ht="17.15" hidden="false" customHeight="false" outlineLevel="0" collapsed="false">
      <c r="A6158" s="1" t="s">
        <v>1255</v>
      </c>
      <c r="B6158" s="0" t="s">
        <v>98</v>
      </c>
      <c r="C6158" s="6" t="n">
        <f aca="false">(w_ntm28*Sens!G6141+(1-w_ntm28)*Sens!H6141)*m_sw</f>
        <v>1045.14794471418</v>
      </c>
    </row>
    <row r="6159" customFormat="false" ht="17.15" hidden="false" customHeight="false" outlineLevel="0" collapsed="false">
      <c r="A6159" s="1" t="s">
        <v>1256</v>
      </c>
      <c r="B6159" s="0" t="s">
        <v>98</v>
      </c>
      <c r="C6159" s="6" t="n">
        <f aca="false">(w_ntm28*Sens!G6142+(1-w_ntm28)*Sens!H6142)*m_sw</f>
        <v>373.171737660041</v>
      </c>
    </row>
    <row r="6160" customFormat="false" ht="17.15" hidden="false" customHeight="false" outlineLevel="0" collapsed="false">
      <c r="A6160" s="1" t="s">
        <v>1257</v>
      </c>
      <c r="B6160" s="0" t="s">
        <v>98</v>
      </c>
      <c r="C6160" s="6" t="n">
        <f aca="false">(w_ntm28*Sens!G6143+(1-w_ntm28)*Sens!H6143)*m_sw</f>
        <v>109.296421617518</v>
      </c>
    </row>
    <row r="6161" customFormat="false" ht="17.15" hidden="false" customHeight="false" outlineLevel="0" collapsed="false">
      <c r="A6161" s="1" t="s">
        <v>1258</v>
      </c>
      <c r="B6161" s="0" t="s">
        <v>98</v>
      </c>
      <c r="C6161" s="6" t="n">
        <f aca="false">(w_ntm28*Sens!G6144+(1-w_ntm28)*Sens!H6144)*m_sw</f>
        <v>41.5515281961449</v>
      </c>
    </row>
    <row r="6162" customFormat="false" ht="17.15" hidden="false" customHeight="false" outlineLevel="0" collapsed="false">
      <c r="A6162" s="1" t="s">
        <v>1259</v>
      </c>
      <c r="B6162" s="0" t="s">
        <v>98</v>
      </c>
      <c r="C6162" s="6" t="n">
        <f aca="false">(w_ntm28*Sens!G6145+(1-w_ntm28)*Sens!H6145)*m_ads</f>
        <v>115.211543077574</v>
      </c>
    </row>
    <row r="6163" customFormat="false" ht="17.15" hidden="false" customHeight="false" outlineLevel="0" collapsed="false">
      <c r="A6163" s="1" t="s">
        <v>1260</v>
      </c>
      <c r="B6163" s="0" t="s">
        <v>98</v>
      </c>
      <c r="C6163" s="6" t="n">
        <f aca="false">(w_ntm28*Sens!G6150+(1-w_ntm28)*Sens!H6150)*m_game</f>
        <v>98.7814878636944</v>
      </c>
    </row>
    <row r="6164" customFormat="false" ht="17.15" hidden="false" customHeight="false" outlineLevel="0" collapsed="false">
      <c r="A6164" s="1" t="s">
        <v>1261</v>
      </c>
      <c r="B6164" s="0" t="s">
        <v>98</v>
      </c>
      <c r="C6164" s="6" t="n">
        <f aca="false">(w_ntm28*Sens!G6151+(1-w_ntm28)*Sens!H6151)*m_pc</f>
        <v>91.5800875042427</v>
      </c>
    </row>
    <row r="6165" customFormat="false" ht="17.15" hidden="false" customHeight="false" outlineLevel="0" collapsed="false">
      <c r="A6165" s="1" t="s">
        <v>1262</v>
      </c>
      <c r="B6165" s="0" t="s">
        <v>98</v>
      </c>
      <c r="C6165" s="6" t="n">
        <f aca="false">Sens!$C$6155+Sens!$C$6157+Sens!$C$6158+Sens!$C$6159+Sens!$C$6160+Sens!$C$6161+Sens!$C$6162+Sens!$C$6163+Sens!$C$6164</f>
        <v>2826.2897263744</v>
      </c>
    </row>
    <row r="6166" customFormat="false" ht="17.15" hidden="false" customHeight="false" outlineLevel="0" collapsed="false">
      <c r="A6166" s="1" t="s">
        <v>1263</v>
      </c>
      <c r="B6166" s="0" t="s">
        <v>98</v>
      </c>
      <c r="C6166" s="6" t="n">
        <f aca="false">(Sens!G6127-Sens!G6152)*t_stub</f>
        <v>47.5039339584966</v>
      </c>
      <c r="L6166" s="1" t="s">
        <v>1264</v>
      </c>
    </row>
    <row r="6167" customFormat="false" ht="17.15" hidden="false" customHeight="false" outlineLevel="0" collapsed="false">
      <c r="A6167" s="1" t="s">
        <v>1173</v>
      </c>
      <c r="B6167" s="0" t="s">
        <v>98</v>
      </c>
      <c r="C6167" s="6" t="n">
        <f aca="false">Sens!F6114+oai_v-Sens!F6103+Sens!$C$6166</f>
        <v>158.01519308412</v>
      </c>
      <c r="L6167" s="1" t="s">
        <v>1265</v>
      </c>
    </row>
    <row r="6168" customFormat="false" ht="17.15" hidden="false" customHeight="false" outlineLevel="0" collapsed="false">
      <c r="A6168" s="1" t="s">
        <v>1266</v>
      </c>
      <c r="B6168" s="0" t="s">
        <v>75</v>
      </c>
      <c r="C6168" s="5" t="n">
        <f aca="false">(Sens!$C$6165+Sens!$C$6167)/(Sens!F6116+dil_gap)-Sens!G6106*roll_div_q/q_per_yr</f>
        <v>397.08015307611</v>
      </c>
      <c r="L6168" s="1" t="s">
        <v>1267</v>
      </c>
    </row>
    <row r="6169" customFormat="false" ht="17.15" hidden="false" customHeight="false" outlineLevel="0" collapsed="false">
      <c r="A6169" s="1" t="s">
        <v>1268</v>
      </c>
      <c r="B6169" s="0" t="s">
        <v>75</v>
      </c>
      <c r="C6169" s="5" t="n">
        <f aca="false">w_dcf*Sens!$C$6139+(1-w_dcf)*Sens!$C$6168</f>
        <v>336.687126959347</v>
      </c>
    </row>
    <row r="6170" customFormat="false" ht="17.15" hidden="false" customHeight="false" outlineLevel="0" collapsed="false">
      <c r="A6170" s="3" t="s">
        <v>1765</v>
      </c>
    </row>
    <row r="6171" customFormat="false" ht="15" hidden="false" customHeight="false" outlineLevel="0" collapsed="false">
      <c r="A6171" s="4" t="s">
        <v>43</v>
      </c>
      <c r="B6171" s="4" t="s">
        <v>65</v>
      </c>
      <c r="C6171" s="23" t="s">
        <v>942</v>
      </c>
      <c r="D6171" s="23" t="s">
        <v>943</v>
      </c>
      <c r="E6171" s="23" t="s">
        <v>944</v>
      </c>
      <c r="F6171" s="23" t="s">
        <v>945</v>
      </c>
      <c r="G6171" s="23" t="s">
        <v>946</v>
      </c>
      <c r="H6171" s="23" t="s">
        <v>947</v>
      </c>
      <c r="I6171" s="23" t="s">
        <v>948</v>
      </c>
      <c r="J6171" s="23" t="s">
        <v>949</v>
      </c>
      <c r="K6171" s="23" t="s">
        <v>950</v>
      </c>
      <c r="L6171" s="4" t="s">
        <v>47</v>
      </c>
    </row>
    <row r="6172" customFormat="false" ht="17.15" hidden="false" customHeight="false" outlineLevel="0" collapsed="false">
      <c r="A6172" s="1" t="s">
        <v>951</v>
      </c>
      <c r="B6172" s="1" t="s">
        <v>279</v>
      </c>
      <c r="C6172" s="21" t="n">
        <v>2024</v>
      </c>
      <c r="D6172" s="21" t="n">
        <v>2025</v>
      </c>
      <c r="E6172" s="21" t="n">
        <v>2026</v>
      </c>
      <c r="F6172" s="21" t="n">
        <v>2027</v>
      </c>
      <c r="G6172" s="21" t="n">
        <v>2028</v>
      </c>
      <c r="H6172" s="21" t="n">
        <v>2029</v>
      </c>
      <c r="I6172" s="21" t="n">
        <v>2030</v>
      </c>
      <c r="J6172" s="21" t="n">
        <v>2031</v>
      </c>
      <c r="K6172" s="21" t="n">
        <v>2032</v>
      </c>
    </row>
    <row r="6173" customFormat="false" ht="17.15" hidden="false" customHeight="false" outlineLevel="0" collapsed="false">
      <c r="A6173" s="1" t="s">
        <v>952</v>
      </c>
      <c r="B6173" s="0" t="s">
        <v>459</v>
      </c>
      <c r="F6173" s="30" t="n">
        <f aca="false">pace</f>
        <v>2726.5351</v>
      </c>
      <c r="G6173" s="30" t="n">
        <f aca="false">pace</f>
        <v>2726.5351</v>
      </c>
      <c r="H6173" s="30" t="n">
        <f aca="false">pace</f>
        <v>2726.5351</v>
      </c>
      <c r="I6173" s="30" t="n">
        <f aca="false">pace+(g_tv*Sens!H6174-pace)*MIN(1,(Sens!I6172-pace_y0)/(pace_y1-pace_y0))</f>
        <v>1931.98611966667</v>
      </c>
      <c r="J6173" s="30" t="n">
        <f aca="false">pace+(g_tv*Sens!I6174-pace)*MIN(1,(Sens!J6172-pace_y0)/(pace_y1-pace_y0))</f>
        <v>1176.07686172667</v>
      </c>
      <c r="K6173" s="30" t="n">
        <f aca="false">pace+(g_tv*Sens!J6174-pace)*MIN(1,(Sens!K6172-pace_y0)/(pace_y1-pace_y0))</f>
        <v>436.1300484418</v>
      </c>
      <c r="L6173" s="12" t="s">
        <v>953</v>
      </c>
    </row>
    <row r="6174" customFormat="false" ht="17.15" hidden="false" customHeight="false" outlineLevel="0" collapsed="false">
      <c r="A6174" s="1" t="s">
        <v>954</v>
      </c>
      <c r="B6174" s="0" t="s">
        <v>459</v>
      </c>
      <c r="C6174" s="30" t="n">
        <f aca="false">mw_ext_24</f>
        <v>640</v>
      </c>
      <c r="D6174" s="30" t="n">
        <f aca="false">mw_ext_25</f>
        <v>1630</v>
      </c>
      <c r="E6174" s="30" t="n">
        <f aca="false">mw_ext_26</f>
        <v>3250</v>
      </c>
      <c r="F6174" s="30" t="n">
        <f aca="false">Sens!E6174+Sens!F6173</f>
        <v>5976.5351</v>
      </c>
      <c r="G6174" s="30" t="n">
        <f aca="false">Sens!F6174+Sens!G6173</f>
        <v>8703.0702</v>
      </c>
      <c r="H6174" s="30" t="n">
        <f aca="false">Sens!G6174+Sens!H6173</f>
        <v>11429.6053</v>
      </c>
      <c r="I6174" s="30" t="n">
        <f aca="false">Sens!H6174+Sens!I6173</f>
        <v>13361.5914196667</v>
      </c>
      <c r="J6174" s="30" t="n">
        <f aca="false">Sens!I6174+Sens!J6173</f>
        <v>14537.6682813933</v>
      </c>
      <c r="K6174" s="30" t="n">
        <f aca="false">Sens!J6174+Sens!K6173</f>
        <v>14973.7983298351</v>
      </c>
      <c r="L6174" s="1" t="s">
        <v>955</v>
      </c>
    </row>
    <row r="6175" customFormat="false" ht="17.15" hidden="false" customHeight="false" outlineLevel="0" collapsed="false">
      <c r="A6175" s="1" t="s">
        <v>956</v>
      </c>
      <c r="B6175" s="0" t="s">
        <v>459</v>
      </c>
      <c r="C6175" s="30" t="n">
        <f aca="false">rent_ext_24</f>
        <v>150</v>
      </c>
      <c r="D6175" s="30" t="n">
        <f aca="false">rent_ext_25</f>
        <v>400</v>
      </c>
      <c r="E6175" s="30" t="n">
        <f aca="false">rent_ext_26</f>
        <v>550</v>
      </c>
      <c r="F6175" s="30" t="n">
        <f aca="false">rent_ext_f</f>
        <v>756</v>
      </c>
      <c r="G6175" s="30" t="n">
        <f aca="false">rent_ext_f</f>
        <v>756</v>
      </c>
      <c r="H6175" s="30" t="n">
        <f aca="false">rent_ext_f</f>
        <v>756</v>
      </c>
      <c r="I6175" s="30" t="n">
        <f aca="false">rent_ext_f</f>
        <v>756</v>
      </c>
      <c r="J6175" s="30" t="n">
        <f aca="false">rent_ext_f</f>
        <v>756</v>
      </c>
      <c r="K6175" s="30" t="n">
        <f aca="false">rent_ext_f</f>
        <v>756</v>
      </c>
      <c r="L6175" s="1" t="s">
        <v>957</v>
      </c>
    </row>
    <row r="6176" customFormat="false" ht="17.15" hidden="false" customHeight="false" outlineLevel="0" collapsed="false">
      <c r="A6176" s="1" t="s">
        <v>958</v>
      </c>
      <c r="B6176" s="0" t="s">
        <v>459</v>
      </c>
      <c r="C6176" s="30" t="n">
        <f aca="false">Sens!C6174-Sens!C6175</f>
        <v>490</v>
      </c>
      <c r="D6176" s="30" t="n">
        <f aca="false">Sens!D6174-Sens!D6175</f>
        <v>1230</v>
      </c>
      <c r="E6176" s="30" t="n">
        <f aca="false">Sens!E6174-Sens!E6175</f>
        <v>2700</v>
      </c>
      <c r="F6176" s="30" t="n">
        <f aca="false">Sens!F6174-Sens!F6175</f>
        <v>5220.5351</v>
      </c>
      <c r="G6176" s="30" t="n">
        <f aca="false">Sens!G6174-Sens!G6175</f>
        <v>7947.0702</v>
      </c>
      <c r="H6176" s="30" t="n">
        <f aca="false">Sens!H6174-Sens!H6175</f>
        <v>10673.6053</v>
      </c>
      <c r="I6176" s="30" t="n">
        <f aca="false">Sens!I6174-Sens!I6175</f>
        <v>12605.5914196667</v>
      </c>
      <c r="J6176" s="30" t="n">
        <f aca="false">Sens!J6174-Sens!J6175</f>
        <v>13781.6682813933</v>
      </c>
      <c r="K6176" s="30" t="n">
        <f aca="false">Sens!K6174-Sens!K6175</f>
        <v>14217.7983298351</v>
      </c>
    </row>
    <row r="6177" customFormat="false" ht="17.15" hidden="false" customHeight="false" outlineLevel="0" collapsed="false">
      <c r="A6177" s="1" t="s">
        <v>959</v>
      </c>
      <c r="B6177" s="0" t="s">
        <v>459</v>
      </c>
      <c r="C6177" s="30" t="n">
        <f aca="false">Sens!C6176/ext_sh</f>
        <v>816.666666666667</v>
      </c>
      <c r="D6177" s="30" t="n">
        <f aca="false">Sens!D6176/ext_sh</f>
        <v>2050</v>
      </c>
      <c r="E6177" s="30" t="n">
        <f aca="false">Sens!E6176/ext_sh</f>
        <v>4500</v>
      </c>
      <c r="F6177" s="30" t="n">
        <f aca="false">Sens!F6176/ext_sh</f>
        <v>8700.89183333333</v>
      </c>
      <c r="G6177" s="30" t="n">
        <f aca="false">Sens!G6176/ext_sh</f>
        <v>13245.117</v>
      </c>
      <c r="H6177" s="30" t="n">
        <f aca="false">Sens!H6176/ext_sh</f>
        <v>17789.3421666667</v>
      </c>
      <c r="I6177" s="30" t="n">
        <f aca="false">Sens!I6176/ext_sh</f>
        <v>21009.3190327778</v>
      </c>
      <c r="J6177" s="30" t="n">
        <f aca="false">Sens!J6176/ext_sh</f>
        <v>22969.4471356556</v>
      </c>
      <c r="K6177" s="30" t="n">
        <f aca="false">Sens!K6176/ext_sh</f>
        <v>23696.3305497252</v>
      </c>
      <c r="L6177" s="1" t="s">
        <v>960</v>
      </c>
    </row>
    <row r="6178" customFormat="false" ht="17.15" hidden="false" customHeight="false" outlineLevel="0" collapsed="false">
      <c r="A6178" s="1" t="s">
        <v>961</v>
      </c>
      <c r="B6178" s="0" t="s">
        <v>459</v>
      </c>
      <c r="C6178" s="30" t="n">
        <f aca="false">Sens!C6177-Sens!C6176</f>
        <v>326.666666666667</v>
      </c>
      <c r="D6178" s="30" t="n">
        <f aca="false">Sens!D6177-Sens!D6176</f>
        <v>820</v>
      </c>
      <c r="E6178" s="30" t="n">
        <f aca="false">Sens!E6177-Sens!E6176</f>
        <v>1800</v>
      </c>
      <c r="F6178" s="30" t="n">
        <f aca="false">Sens!F6177-Sens!F6176</f>
        <v>3480.35673333333</v>
      </c>
      <c r="G6178" s="30" t="n">
        <f aca="false">Sens!G6177-Sens!G6176</f>
        <v>5298.0468</v>
      </c>
      <c r="H6178" s="30" t="n">
        <f aca="false">Sens!H6177-Sens!H6176</f>
        <v>7115.73686666667</v>
      </c>
      <c r="I6178" s="30" t="n">
        <f aca="false">Sens!I6177-Sens!I6176</f>
        <v>8403.72761311111</v>
      </c>
      <c r="J6178" s="30" t="n">
        <f aca="false">Sens!J6177-Sens!J6176</f>
        <v>9187.77885426222</v>
      </c>
      <c r="K6178" s="30" t="n">
        <f aca="false">Sens!K6177-Sens!K6176</f>
        <v>9478.53221989009</v>
      </c>
    </row>
    <row r="6179" customFormat="false" ht="17.15" hidden="false" customHeight="false" outlineLevel="0" collapsed="false">
      <c r="A6179" s="1" t="s">
        <v>962</v>
      </c>
      <c r="B6179" s="0" t="s">
        <v>459</v>
      </c>
      <c r="C6179" s="30" t="n">
        <f aca="false">Sens!C6177</f>
        <v>816.666666666667</v>
      </c>
      <c r="D6179" s="30" t="n">
        <f aca="false">Sens!D6177-Sens!C6177</f>
        <v>1233.33333333333</v>
      </c>
      <c r="E6179" s="30" t="n">
        <f aca="false">Sens!E6177-Sens!D6177</f>
        <v>2450</v>
      </c>
      <c r="F6179" s="30" t="n">
        <f aca="false">Sens!F6177-Sens!E6177</f>
        <v>4200.89183333333</v>
      </c>
      <c r="G6179" s="30" t="n">
        <f aca="false">Sens!G6177-Sens!F6177</f>
        <v>4544.22516666667</v>
      </c>
      <c r="H6179" s="30" t="n">
        <f aca="false">Sens!H6177-Sens!G6177</f>
        <v>4544.22516666667</v>
      </c>
      <c r="I6179" s="30" t="n">
        <f aca="false">Sens!I6177-Sens!H6177</f>
        <v>3219.97686611111</v>
      </c>
      <c r="J6179" s="30" t="n">
        <f aca="false">Sens!J6177-Sens!I6177</f>
        <v>1960.12810287778</v>
      </c>
      <c r="K6179" s="30" t="n">
        <f aca="false">Sens!K6177-Sens!J6177</f>
        <v>726.883414069667</v>
      </c>
    </row>
    <row r="6180" customFormat="false" ht="17.15" hidden="false" customHeight="false" outlineLevel="0" collapsed="false">
      <c r="A6180" s="1" t="s">
        <v>963</v>
      </c>
      <c r="B6180" s="0" t="s">
        <v>459</v>
      </c>
      <c r="D6180" s="30" t="n">
        <f aca="false">Sens!D6174-Sens!C6174</f>
        <v>990</v>
      </c>
      <c r="E6180" s="30" t="n">
        <f aca="false">Sens!E6174-Sens!D6174</f>
        <v>1620</v>
      </c>
      <c r="F6180" s="30" t="n">
        <f aca="false">Sens!F6174-Sens!E6174</f>
        <v>2726.5351</v>
      </c>
      <c r="G6180" s="30" t="n">
        <f aca="false">Sens!G6174-Sens!F6174</f>
        <v>2726.5351</v>
      </c>
      <c r="H6180" s="30" t="n">
        <f aca="false">Sens!H6174-Sens!G6174</f>
        <v>2726.5351</v>
      </c>
      <c r="I6180" s="30" t="n">
        <f aca="false">Sens!I6174-Sens!H6174</f>
        <v>1931.98611966667</v>
      </c>
      <c r="J6180" s="30" t="n">
        <f aca="false">Sens!J6174-Sens!I6174</f>
        <v>1176.07686172667</v>
      </c>
      <c r="K6180" s="30" t="n">
        <f aca="false">Sens!K6174-Sens!J6174</f>
        <v>436.130048441799</v>
      </c>
    </row>
    <row r="6181" customFormat="false" ht="17.15" hidden="false" customHeight="false" outlineLevel="0" collapsed="false">
      <c r="A6181" s="1" t="s">
        <v>964</v>
      </c>
      <c r="B6181" s="0" t="s">
        <v>459</v>
      </c>
      <c r="F6181" s="30" t="n">
        <f aca="false">Sens!F6200*ext_sh</f>
        <v>0</v>
      </c>
      <c r="G6181" s="30" t="n">
        <f aca="false">Sens!G6200*ext_sh</f>
        <v>0</v>
      </c>
      <c r="H6181" s="30" t="n">
        <f aca="false">Sens!H6200*ext_sh</f>
        <v>0</v>
      </c>
      <c r="I6181" s="30" t="n">
        <f aca="false">Sens!I6200*ext_sh</f>
        <v>490</v>
      </c>
      <c r="J6181" s="30" t="n">
        <f aca="false">Sens!J6200*ext_sh</f>
        <v>740</v>
      </c>
      <c r="K6181" s="30" t="n">
        <f aca="false">Sens!K6200*ext_sh</f>
        <v>1470</v>
      </c>
      <c r="L6181" s="1" t="s">
        <v>965</v>
      </c>
    </row>
    <row r="6182" customFormat="false" ht="17.15" hidden="false" customHeight="false" outlineLevel="0" collapsed="false">
      <c r="A6182" s="1" t="s">
        <v>966</v>
      </c>
      <c r="B6182" s="0" t="s">
        <v>459</v>
      </c>
      <c r="C6182" s="30" t="n">
        <f aca="false">mix_h*Sens!C6174</f>
        <v>128</v>
      </c>
      <c r="D6182" s="30" t="n">
        <f aca="false">mix_h*Sens!D6174</f>
        <v>326</v>
      </c>
      <c r="E6182" s="30" t="n">
        <f aca="false">mix_h*Sens!E6174</f>
        <v>650</v>
      </c>
      <c r="F6182" s="30" t="n">
        <f aca="false">Sens!E6182-Sens!F6181*mix_h</f>
        <v>650</v>
      </c>
      <c r="G6182" s="30" t="n">
        <f aca="false">Sens!F6182-Sens!G6181*mix_h</f>
        <v>650</v>
      </c>
      <c r="H6182" s="30" t="n">
        <f aca="false">Sens!G6182-Sens!H6181*mix_h</f>
        <v>650</v>
      </c>
      <c r="I6182" s="30" t="n">
        <f aca="false">Sens!H6182-Sens!I6181*mix_h</f>
        <v>552</v>
      </c>
      <c r="J6182" s="30" t="n">
        <f aca="false">Sens!I6182-Sens!J6181*mix_h</f>
        <v>404</v>
      </c>
      <c r="K6182" s="30" t="n">
        <f aca="false">Sens!J6182-Sens!K6181*mix_h</f>
        <v>110</v>
      </c>
    </row>
    <row r="6183" customFormat="false" ht="17.15" hidden="false" customHeight="false" outlineLevel="0" collapsed="false">
      <c r="A6183" s="1" t="s">
        <v>967</v>
      </c>
      <c r="B6183" s="0" t="s">
        <v>459</v>
      </c>
      <c r="C6183" s="30" t="n">
        <f aca="false">mix_g2*Sens!C6174</f>
        <v>288</v>
      </c>
      <c r="D6183" s="30" t="n">
        <f aca="false">mix_g2*Sens!D6174</f>
        <v>733.5</v>
      </c>
      <c r="E6183" s="30" t="n">
        <f aca="false">mix_g2*Sens!E6174</f>
        <v>1462.5</v>
      </c>
      <c r="F6183" s="30" t="n">
        <f aca="false">Sens!E6183-Sens!F6181*mix_g2</f>
        <v>1462.5</v>
      </c>
      <c r="G6183" s="30" t="n">
        <f aca="false">Sens!F6183-Sens!G6181*mix_g2</f>
        <v>1462.5</v>
      </c>
      <c r="H6183" s="30" t="n">
        <f aca="false">Sens!G6183-Sens!H6181*mix_g2</f>
        <v>1462.5</v>
      </c>
      <c r="I6183" s="30" t="n">
        <f aca="false">Sens!H6183-Sens!I6181*mix_g2</f>
        <v>1242</v>
      </c>
      <c r="J6183" s="30" t="n">
        <f aca="false">Sens!I6183-Sens!J6181*mix_g2</f>
        <v>909</v>
      </c>
      <c r="K6183" s="30" t="n">
        <f aca="false">Sens!J6183-Sens!K6181*mix_g2</f>
        <v>247.5</v>
      </c>
    </row>
    <row r="6184" customFormat="false" ht="17.15" hidden="false" customHeight="false" outlineLevel="0" collapsed="false">
      <c r="A6184" s="1" t="s">
        <v>968</v>
      </c>
      <c r="B6184" s="0" t="s">
        <v>459</v>
      </c>
      <c r="C6184" s="30" t="n">
        <f aca="false">mix_g3*Sens!C6174</f>
        <v>224</v>
      </c>
      <c r="D6184" s="30" t="n">
        <f aca="false">mix_g3*Sens!D6174</f>
        <v>570.5</v>
      </c>
      <c r="E6184" s="30" t="n">
        <f aca="false">mix_g3*Sens!E6174</f>
        <v>1137.5</v>
      </c>
      <c r="F6184" s="30" t="n">
        <f aca="false">Sens!E6184+(Sens!F6180+Sens!F6181)*(a_g3_27-nonnv*a_mai)-Sens!F6181*mix_g3</f>
        <v>2773.42106</v>
      </c>
      <c r="G6184" s="30" t="n">
        <f aca="false">Sens!F6184+(Sens!G6180+Sens!G6181)*(a_g3_28-nonnv*a_mai)-Sens!G6181*mix_g3</f>
        <v>3318.72808</v>
      </c>
      <c r="H6184" s="30" t="n">
        <f aca="false">Sens!G6184+(Sens!H6180+Sens!H6181)*(a_g3_29-nonnv*a_mai)-Sens!H6181*mix_g3</f>
        <v>3318.72808</v>
      </c>
      <c r="I6184" s="30" t="n">
        <f aca="false">Sens!H6184+(Sens!I6180+Sens!I6181)*(a_g3_29-nonnv*a_mai)-Sens!I6181*mix_g3</f>
        <v>3147.22808</v>
      </c>
      <c r="J6184" s="30" t="n">
        <f aca="false">Sens!I6184+(Sens!J6180+Sens!J6181)*(a_g3_29-nonnv*a_mai)-Sens!J6181*mix_g3</f>
        <v>2888.22808</v>
      </c>
      <c r="K6184" s="30" t="n">
        <f aca="false">Sens!J6184+(Sens!K6180+Sens!K6181)*(a_g3_29-nonnv*a_mai)-Sens!K6181*mix_g3</f>
        <v>2373.72808</v>
      </c>
    </row>
    <row r="6185" customFormat="false" ht="17.15" hidden="false" customHeight="false" outlineLevel="0" collapsed="false">
      <c r="A6185" s="1" t="s">
        <v>969</v>
      </c>
      <c r="B6185" s="0" t="s">
        <v>459</v>
      </c>
      <c r="C6185" s="30" t="n">
        <v>0</v>
      </c>
      <c r="D6185" s="30" t="n">
        <v>0</v>
      </c>
      <c r="E6185" s="30" t="n">
        <v>0</v>
      </c>
      <c r="F6185" s="30" t="n">
        <f aca="false">Sens!E6185+(Sens!F6180+Sens!F6181)*nonnv*a_mai</f>
        <v>272.65351</v>
      </c>
      <c r="G6185" s="30" t="n">
        <f aca="false">Sens!F6185+(Sens!G6180+Sens!G6181)*nonnv*a_mai</f>
        <v>545.30702</v>
      </c>
      <c r="H6185" s="30" t="n">
        <f aca="false">Sens!G6185+(Sens!H6180+Sens!H6181)*nonnv*a_mai</f>
        <v>817.96053</v>
      </c>
      <c r="I6185" s="30" t="n">
        <f aca="false">Sens!H6185+(Sens!I6180+Sens!I6181)*nonnv*a_mai</f>
        <v>1060.15914196667</v>
      </c>
      <c r="J6185" s="30" t="n">
        <f aca="false">Sens!I6185+(Sens!J6180+Sens!J6181)*nonnv*a_mai</f>
        <v>1251.76682813933</v>
      </c>
      <c r="K6185" s="30" t="n">
        <f aca="false">Sens!J6185+(Sens!K6180+Sens!K6181)*nonnv*a_mai</f>
        <v>1442.37983298351</v>
      </c>
      <c r="L6185" s="12" t="s">
        <v>970</v>
      </c>
    </row>
    <row r="6186" customFormat="false" ht="17.15" hidden="false" customHeight="false" outlineLevel="0" collapsed="false">
      <c r="A6186" s="1" t="s">
        <v>971</v>
      </c>
      <c r="B6186" s="0" t="s">
        <v>459</v>
      </c>
      <c r="C6186" s="30" t="n">
        <v>0</v>
      </c>
      <c r="D6186" s="30" t="n">
        <v>0</v>
      </c>
      <c r="E6186" s="30" t="n">
        <v>0</v>
      </c>
      <c r="F6186" s="30" t="n">
        <f aca="false">Sens!E6186+(Sens!F6180+Sens!F6181)*(1-a_g3_27)</f>
        <v>817.96053</v>
      </c>
      <c r="G6186" s="30" t="n">
        <f aca="false">Sens!F6186+(Sens!G6180+Sens!G6181)*(1-a_g3_28)</f>
        <v>2726.5351</v>
      </c>
      <c r="H6186" s="30" t="n">
        <f aca="false">Sens!G6186+(Sens!H6180+Sens!H6181)*(1-a_g3_29)</f>
        <v>5180.41669</v>
      </c>
      <c r="I6186" s="30" t="n">
        <f aca="false">Sens!H6186+(Sens!I6180+Sens!I6181)*(1-a_g3_29)</f>
        <v>7360.2041977</v>
      </c>
      <c r="J6186" s="30" t="n">
        <f aca="false">Sens!I6186+(Sens!J6180+Sens!J6181)*(1-a_g3_29)</f>
        <v>9084.673373254</v>
      </c>
      <c r="K6186" s="30" t="n">
        <f aca="false">Sens!J6186+(Sens!K6180+Sens!K6181)*(1-a_g3_29)</f>
        <v>10800.1904168516</v>
      </c>
    </row>
    <row r="6187" customFormat="false" ht="17.15" hidden="false" customHeight="false" outlineLevel="0" collapsed="false">
      <c r="A6187" s="1" t="s">
        <v>972</v>
      </c>
      <c r="B6187" s="0" t="s">
        <v>403</v>
      </c>
      <c r="C6187" s="15" t="n">
        <f aca="false">(Sens!C6182*tk_hold_h100+Sens!C6183*tk_hold_gb200+Sens!C6184*tk_hold_gb300+Sens!C6186*tk_hold_vr200+Sens!C6185*nv_hold_mai*tk_hold_vr200)/Sens!C6174</f>
        <v>9.7235358126469</v>
      </c>
      <c r="D6187" s="15" t="n">
        <f aca="false">(Sens!D6182*tk_hold_h100+Sens!D6183*tk_hold_gb200+Sens!D6184*tk_hold_gb300+Sens!D6186*tk_hold_vr200+Sens!D6185*nv_hold_mai*tk_hold_vr200)/Sens!D6174</f>
        <v>9.7235358126469</v>
      </c>
      <c r="E6187" s="15" t="n">
        <f aca="false">(Sens!E6182*tk_hold_h100+Sens!E6183*tk_hold_gb200+Sens!E6184*tk_hold_gb300+Sens!E6186*tk_hold_vr200+Sens!E6185*nv_hold_mai*tk_hold_vr200)/Sens!E6174</f>
        <v>9.7235358126469</v>
      </c>
      <c r="F6187" s="15" t="n">
        <f aca="false">(Sens!F6182*tk_hold_h100+Sens!F6183*tk_hold_gb200+Sens!F6184*tk_hold_gb300+Sens!F6186*tk_hold_vr200+Sens!F6185*nv_hold_mai*tk_hold_vr200)/Sens!F6174</f>
        <v>10.2195353876665</v>
      </c>
      <c r="G6187" s="15" t="n">
        <f aca="false">(Sens!G6182*tk_hold_h100+Sens!G6183*tk_hold_gb200+Sens!G6184*tk_hold_gb300+Sens!G6186*tk_hold_vr200+Sens!G6185*nv_hold_mai*tk_hold_vr200)/Sens!G6174</f>
        <v>10.5725598017306</v>
      </c>
      <c r="H6187" s="15" t="n">
        <f aca="false">(Sens!H6182*tk_hold_h100+Sens!H6183*tk_hold_gb200+Sens!H6184*tk_hold_gb300+Sens!H6186*tk_hold_vr200+Sens!H6185*nv_hold_mai*tk_hold_vr200)/Sens!H6174</f>
        <v>10.8210427149036</v>
      </c>
      <c r="I6187" s="15" t="n">
        <f aca="false">(Sens!I6182*tk_hold_h100+Sens!I6183*tk_hold_gb200+Sens!I6184*tk_hold_gb300+Sens!I6186*tk_hold_vr200+Sens!I6185*nv_hold_mai*tk_hold_vr200)/Sens!I6174</f>
        <v>11.0050618241982</v>
      </c>
      <c r="J6187" s="15" t="n">
        <f aca="false">(Sens!J6182*tk_hold_h100+Sens!J6183*tk_hold_gb200+Sens!J6184*tk_hold_gb300+Sens!J6186*tk_hold_vr200+Sens!J6185*nv_hold_mai*tk_hold_vr200)/Sens!J6174</f>
        <v>11.1505789658881</v>
      </c>
      <c r="K6187" s="15" t="n">
        <f aca="false">(Sens!K6182*tk_hold_h100+Sens!K6183*tk_hold_gb200+Sens!K6184*tk_hold_gb300+Sens!K6186*tk_hold_vr200+Sens!K6185*nv_hold_mai*tk_hold_vr200)/Sens!K6174</f>
        <v>11.3496914757183</v>
      </c>
      <c r="L6187" s="1" t="s">
        <v>973</v>
      </c>
    </row>
    <row r="6188" customFormat="false" ht="17.15" hidden="false" customHeight="false" outlineLevel="0" collapsed="false">
      <c r="A6188" s="1" t="s">
        <v>974</v>
      </c>
      <c r="B6188" s="0" t="s">
        <v>403</v>
      </c>
      <c r="C6188" s="15" t="n">
        <f aca="false">(Sens!C6182*tk_hold_h100+Sens!C6183*tk_hold_gb200+Sens!C6184*tk_hold_gb300+Sens!C6186*tk_hold_vr200+Sens!C6185*nv_out_mai_hi*tk_hold_vr200)/Sens!C6174</f>
        <v>9.7235358126469</v>
      </c>
      <c r="D6188" s="15" t="n">
        <f aca="false">(Sens!D6182*tk_hold_h100+Sens!D6183*tk_hold_gb200+Sens!D6184*tk_hold_gb300+Sens!D6186*tk_hold_vr200+Sens!D6185*nv_out_mai_hi*tk_hold_vr200)/Sens!D6174</f>
        <v>9.7235358126469</v>
      </c>
      <c r="E6188" s="15" t="n">
        <f aca="false">(Sens!E6182*tk_hold_h100+Sens!E6183*tk_hold_gb200+Sens!E6184*tk_hold_gb300+Sens!E6186*tk_hold_vr200+Sens!E6185*nv_out_mai_hi*tk_hold_vr200)/Sens!E6174</f>
        <v>9.7235358126469</v>
      </c>
      <c r="F6188" s="15" t="n">
        <f aca="false">(Sens!F6182*tk_hold_h100+Sens!F6183*tk_hold_gb200+Sens!F6184*tk_hold_gb300+Sens!F6186*tk_hold_vr200+Sens!F6185*nv_out_mai_hi*tk_hold_vr200)/Sens!F6174</f>
        <v>10.3589689191789</v>
      </c>
      <c r="G6188" s="15" t="n">
        <f aca="false">(Sens!G6182*tk_hold_h100+Sens!G6183*tk_hold_gb200+Sens!G6184*tk_hold_gb300+Sens!G6186*tk_hold_vr200+Sens!G6185*nv_out_mai_hi*tk_hold_vr200)/Sens!G6174</f>
        <v>10.7640621971039</v>
      </c>
      <c r="H6188" s="15" t="n">
        <f aca="false">(Sens!H6182*tk_hold_h100+Sens!H6183*tk_hold_gb200+Sens!H6184*tk_hold_gb300+Sens!H6186*tk_hold_vr200+Sens!H6185*nv_out_mai_hi*tk_hold_vr200)/Sens!H6174</f>
        <v>11.0397718940821</v>
      </c>
      <c r="I6188" s="15" t="n">
        <f aca="false">(Sens!I6182*tk_hold_h100+Sens!I6183*tk_hold_gb200+Sens!I6184*tk_hold_gb300+Sens!I6186*tk_hold_vr200+Sens!I6185*nv_out_mai_hi*tk_hold_vr200)/Sens!I6174</f>
        <v>11.2475655882199</v>
      </c>
      <c r="J6188" s="15" t="n">
        <f aca="false">(Sens!J6182*tk_hold_h100+Sens!J6183*tk_hold_gb200+Sens!J6184*tk_hold_gb300+Sens!J6186*tk_hold_vr200+Sens!J6185*nv_out_mai_hi*tk_hold_vr200)/Sens!J6174</f>
        <v>11.4137477004764</v>
      </c>
      <c r="K6188" s="15" t="n">
        <f aca="false">(Sens!K6182*tk_hold_h100+Sens!K6183*tk_hold_gb200+Sens!K6184*tk_hold_gb300+Sens!K6186*tk_hold_vr200+Sens!K6185*nv_out_mai_hi*tk_hold_vr200)/Sens!K6174</f>
        <v>11.6441019592394</v>
      </c>
      <c r="L6188" s="12" t="s">
        <v>975</v>
      </c>
    </row>
    <row r="6189" customFormat="false" ht="17.15" hidden="false" customHeight="false" outlineLevel="0" collapsed="false">
      <c r="A6189" s="0" t="s">
        <v>976</v>
      </c>
      <c r="B6189" s="0" t="s">
        <v>229</v>
      </c>
      <c r="C6189" s="15" t="n">
        <f aca="false">k_B</f>
        <v>1.17213932619116</v>
      </c>
      <c r="D6189" s="15" t="n">
        <f aca="false">k_B</f>
        <v>1.17213932619116</v>
      </c>
      <c r="E6189" s="15" t="n">
        <f aca="false">k_B</f>
        <v>1.17213932619116</v>
      </c>
      <c r="F6189" s="15" t="n">
        <f aca="false">(k_B+((ls_A*k_long+(1-ls_A)*k_spot)-k_B)*MIN(1,(Sens!F6172-base_fy)/k_ramp))</f>
        <v>1.25022828131298</v>
      </c>
      <c r="G6189" s="15" t="n">
        <f aca="false">(k_B+((ls_A*k_long+(1-ls_A)*k_spot)-k_B)*MIN(1,(Sens!G6172-base_fy)/k_ramp))</f>
        <v>1.3283172364348</v>
      </c>
      <c r="H6189" s="15" t="n">
        <f aca="false">(k_B+((ls_A*k_long+(1-ls_A)*k_spot)-k_B)*MIN(1,(Sens!H6172-base_fy)/k_ramp))</f>
        <v>1.40640619155662</v>
      </c>
      <c r="I6189" s="15" t="n">
        <f aca="false">(k_B+((ls_A*k_long+(1-ls_A)*k_spot)-k_B)*MIN(1,(Sens!I6172-base_fy)/k_ramp))</f>
        <v>1.40640619155662</v>
      </c>
      <c r="J6189" s="15" t="n">
        <f aca="false">(k_B+((ls_A*k_long+(1-ls_A)*k_spot)-k_B)*MIN(1,(Sens!J6172-base_fy)/k_ramp))</f>
        <v>1.40640619155662</v>
      </c>
      <c r="K6189" s="15" t="n">
        <f aca="false">(k_B+((ls_A*k_long+(1-ls_A)*k_spot)-k_B)*MIN(1,(Sens!K6172-base_fy)/k_ramp))</f>
        <v>1.40640619155662</v>
      </c>
      <c r="L6189" s="1" t="s">
        <v>977</v>
      </c>
    </row>
    <row r="6190" customFormat="false" ht="17.15" hidden="false" customHeight="false" outlineLevel="0" collapsed="false">
      <c r="A6190" s="1" t="s">
        <v>978</v>
      </c>
      <c r="B6190" s="0" t="s">
        <v>403</v>
      </c>
      <c r="C6190" s="15" t="n">
        <f aca="false">Sens!C6188*Sens!C6189*chip_f</f>
        <v>11.3973387156315</v>
      </c>
      <c r="D6190" s="15" t="n">
        <f aca="false">Sens!D6188*Sens!D6189*chip_f</f>
        <v>11.3973387156315</v>
      </c>
      <c r="E6190" s="15" t="n">
        <f aca="false">Sens!E6188*Sens!E6189*chip_f</f>
        <v>11.3973387156315</v>
      </c>
      <c r="F6190" s="15" t="n">
        <f aca="false">Sens!F6188*Sens!F6189*chip_f</f>
        <v>12.9510759079995</v>
      </c>
      <c r="G6190" s="15" t="n">
        <f aca="false">Sens!G6188*Sens!G6189*chip_f</f>
        <v>14.2980893504693</v>
      </c>
      <c r="H6190" s="15" t="n">
        <f aca="false">Sens!H6188*Sens!H6189*chip_f</f>
        <v>15.5264035452097</v>
      </c>
      <c r="I6190" s="15" t="n">
        <f aca="false">Sens!I6188*Sens!I6189*chip_f</f>
        <v>15.8186458832116</v>
      </c>
      <c r="J6190" s="15" t="n">
        <f aca="false">Sens!J6188*Sens!J6189*chip_f</f>
        <v>16.0523654348152</v>
      </c>
      <c r="K6190" s="15" t="n">
        <f aca="false">Sens!K6188*Sens!K6189*chip_f</f>
        <v>16.3763370905908</v>
      </c>
      <c r="L6190" s="1" t="s">
        <v>979</v>
      </c>
    </row>
    <row r="6191" customFormat="false" ht="17.15" hidden="false" customHeight="false" outlineLevel="0" collapsed="false">
      <c r="A6191" s="0" t="s">
        <v>980</v>
      </c>
      <c r="B6191" s="0" t="s">
        <v>98</v>
      </c>
      <c r="D6191" s="6" t="n">
        <f aca="false">(Sens!C6174+Sens!D6174)/2*Sens!D6190/1000</f>
        <v>12.9359794422418</v>
      </c>
      <c r="E6191" s="6" t="n">
        <f aca="false">(Sens!D6174+Sens!E6174)/2*Sens!E6190/1000</f>
        <v>27.8095064661409</v>
      </c>
      <c r="F6191" s="6" t="n">
        <f aca="false">(Sens!E6174+Sens!F6174)/2*Sens!F6190/1000</f>
        <v>59.746778223961</v>
      </c>
      <c r="G6191" s="6" t="n">
        <f aca="false">(Sens!F6174+Sens!G6174)/2*Sens!G6190/1000</f>
        <v>104.945154104511</v>
      </c>
      <c r="H6191" s="6" t="n">
        <f aca="false">(Sens!G6174+Sens!H6174)/2*Sens!H6190/1000</f>
        <v>156.294022128879</v>
      </c>
      <c r="I6191" s="6" t="n">
        <f aca="false">(Sens!H6174+Sens!I6174)/2*Sens!I6190/1000</f>
        <v>196.081580964722</v>
      </c>
      <c r="J6191" s="6" t="n">
        <f aca="false">(Sens!I6174+Sens!J6174)/2*Sens!J6190/1000</f>
        <v>223.924556041114</v>
      </c>
      <c r="K6191" s="6" t="n">
        <f aca="false">(Sens!J6174+Sens!K6174)/2*Sens!K6190/1000</f>
        <v>241.644862631596</v>
      </c>
      <c r="L6191" s="12" t="s">
        <v>981</v>
      </c>
    </row>
    <row r="6192" customFormat="false" ht="17.15" hidden="false" customHeight="false" outlineLevel="0" collapsed="false">
      <c r="A6192" s="1" t="s">
        <v>982</v>
      </c>
      <c r="B6192" s="0" t="s">
        <v>403</v>
      </c>
      <c r="C6192" s="15" t="n">
        <f aca="false">(Sens!C6182*tk_opex_h100+Sens!C6183*tk_opex_gb200+Sens!C6184*tk_opex_gb300+(Sens!C6186+Sens!C6185)*tk_opex_vr200)/Sens!C6174</f>
        <v>1.88636041306092</v>
      </c>
      <c r="D6192" s="15" t="n">
        <f aca="false">(Sens!D6182*tk_opex_h100+Sens!D6183*tk_opex_gb200+Sens!D6184*tk_opex_gb300+(Sens!D6186+Sens!D6185)*tk_opex_vr200)/Sens!D6174</f>
        <v>1.88636041306092</v>
      </c>
      <c r="E6192" s="15" t="n">
        <f aca="false">(Sens!E6182*tk_opex_h100+Sens!E6183*tk_opex_gb200+Sens!E6184*tk_opex_gb300+(Sens!E6186+Sens!E6185)*tk_opex_vr200)/Sens!E6174</f>
        <v>1.88636041306092</v>
      </c>
      <c r="F6192" s="15" t="n">
        <f aca="false">(Sens!F6182*tk_opex_h100+Sens!F6183*tk_opex_gb200+Sens!F6184*tk_opex_gb300+(Sens!F6186+Sens!F6185)*tk_opex_vr200)/Sens!F6174</f>
        <v>1.95051159746876</v>
      </c>
      <c r="G6192" s="15" t="n">
        <f aca="false">(Sens!G6182*tk_opex_h100+Sens!G6183*tk_opex_gb200+Sens!G6184*tk_opex_gb300+(Sens!G6186+Sens!G6185)*tk_opex_vr200)/Sens!G6174</f>
        <v>1.98836003669956</v>
      </c>
      <c r="H6192" s="15" t="n">
        <f aca="false">(Sens!H6182*tk_opex_h100+Sens!H6183*tk_opex_gb200+Sens!H6184*tk_opex_gb300+(Sens!H6186+Sens!H6185)*tk_opex_vr200)/Sens!H6174</f>
        <v>2.01344013834343</v>
      </c>
      <c r="I6192" s="15" t="n">
        <f aca="false">(Sens!I6182*tk_opex_h100+Sens!I6183*tk_opex_gb200+Sens!I6184*tk_opex_gb300+(Sens!I6186+Sens!I6185)*tk_opex_vr200)/Sens!I6174</f>
        <v>2.03261166882178</v>
      </c>
      <c r="J6192" s="15" t="n">
        <f aca="false">(Sens!J6182*tk_opex_h100+Sens!J6183*tk_opex_gb200+Sens!J6184*tk_opex_gb300+(Sens!J6186+Sens!J6185)*tk_opex_vr200)/Sens!J6174</f>
        <v>2.04808073288745</v>
      </c>
      <c r="K6192" s="15" t="n">
        <f aca="false">(Sens!K6182*tk_opex_h100+Sens!K6183*tk_opex_gb200+Sens!K6184*tk_opex_gb300+(Sens!K6186+Sens!K6185)*tk_opex_vr200)/Sens!K6174</f>
        <v>2.06973825807449</v>
      </c>
      <c r="L6192" s="12" t="s">
        <v>983</v>
      </c>
    </row>
    <row r="6193" customFormat="false" ht="17.15" hidden="false" customHeight="false" outlineLevel="0" collapsed="false">
      <c r="A6193" s="0" t="s">
        <v>984</v>
      </c>
      <c r="B6193" s="0" t="s">
        <v>98</v>
      </c>
      <c r="D6193" s="6" t="n">
        <f aca="false">(Sens!C6177+Sens!D6177)/2*Sens!D6192/1000</f>
        <v>2.70378325872065</v>
      </c>
      <c r="E6193" s="6" t="n">
        <f aca="false">(Sens!D6177+Sens!E6177)/2*Sens!E6192/1000</f>
        <v>6.17783035277451</v>
      </c>
      <c r="F6193" s="6" t="n">
        <f aca="false">(Sens!E6177+Sens!F6177)/2*Sens!F6192/1000</f>
        <v>12.8742463089237</v>
      </c>
      <c r="G6193" s="6" t="n">
        <f aca="false">(Sens!F6177+Sens!G6177)/2*Sens!G6192/1000</f>
        <v>21.8182834646277</v>
      </c>
      <c r="H6193" s="6" t="n">
        <f aca="false">(Sens!G6177+Sens!H6177)/2*Sens!H6192/1000</f>
        <v>31.2430128789734</v>
      </c>
      <c r="I6193" s="6" t="n">
        <f aca="false">(Sens!H6177+Sens!I6177)/2*Sens!I6192/1000</f>
        <v>39.4313057443268</v>
      </c>
      <c r="J6193" s="6" t="n">
        <f aca="false">(Sens!I6177+Sens!J6177)/2*Sens!J6192/1000</f>
        <v>45.0360318228653</v>
      </c>
      <c r="K6193" s="6" t="n">
        <f aca="false">(Sens!J6177+Sens!K6177)/2*Sens!K6192/1000</f>
        <v>48.2929727091156</v>
      </c>
    </row>
    <row r="6194" customFormat="false" ht="17.15" hidden="false" customHeight="false" outlineLevel="0" collapsed="false">
      <c r="A6194" s="0" t="s">
        <v>985</v>
      </c>
      <c r="B6194" s="0" t="s">
        <v>98</v>
      </c>
      <c r="D6194" s="6" t="n">
        <f aca="false">(Sens!C6175+Sens!D6175)/2*rent_mw/1000</f>
        <v>2.44475</v>
      </c>
      <c r="E6194" s="6" t="n">
        <f aca="false">(Sens!D6175+Sens!E6175)/2*rent_mw/1000</f>
        <v>4.22275</v>
      </c>
      <c r="F6194" s="6" t="n">
        <f aca="false">(Sens!E6175+Sens!F6175)/2*rent_mw/1000</f>
        <v>5.80517</v>
      </c>
      <c r="G6194" s="6" t="n">
        <f aca="false">(Sens!F6175+Sens!G6175)/2*rent_mw/1000</f>
        <v>6.72084</v>
      </c>
      <c r="H6194" s="6" t="n">
        <f aca="false">(Sens!G6175+Sens!H6175)/2*rent_mw/1000</f>
        <v>6.72084</v>
      </c>
      <c r="I6194" s="6" t="n">
        <f aca="false">(Sens!H6175+Sens!I6175)/2*rent_mw/1000</f>
        <v>6.72084</v>
      </c>
      <c r="J6194" s="6" t="n">
        <f aca="false">(Sens!I6175+Sens!J6175)/2*rent_mw/1000</f>
        <v>6.72084</v>
      </c>
      <c r="K6194" s="6" t="n">
        <f aca="false">(Sens!J6175+Sens!K6175)/2*rent_mw/1000</f>
        <v>6.72084</v>
      </c>
    </row>
    <row r="6195" customFormat="false" ht="17.15" hidden="false" customHeight="false" outlineLevel="0" collapsed="false">
      <c r="A6195" s="0" t="s">
        <v>986</v>
      </c>
      <c r="B6195" s="0" t="s">
        <v>98</v>
      </c>
      <c r="D6195" s="6" t="n">
        <f aca="false">(Sens!C6177+Sens!D6177)/2*(1-self_build)*fac_rent/1000</f>
        <v>0.853242375631075</v>
      </c>
      <c r="E6195" s="6" t="n">
        <f aca="false">(Sens!D6177+Sens!E6177)/2*(1-self_build)*fac_rent/1000</f>
        <v>1.94955961408728</v>
      </c>
      <c r="F6195" s="6" t="n">
        <f aca="false">(Sens!E6177+Sens!F6177)/2*(1-self_build)*fac_rent/1000</f>
        <v>3.92914894476356</v>
      </c>
      <c r="G6195" s="6" t="n">
        <f aca="false">(Sens!F6177+Sens!G6177)/2*(1-self_build)*fac_rent/1000</f>
        <v>6.53206908578159</v>
      </c>
      <c r="H6195" s="6" t="n">
        <f aca="false">(Sens!G6177+Sens!H6177)/2*(1-self_build)*fac_rent/1000</f>
        <v>9.23717988341591</v>
      </c>
      <c r="I6195" s="6" t="n">
        <f aca="false">(Sens!H6177+Sens!I6177)/2*(1-self_build)*fac_rent/1000</f>
        <v>11.5481378557393</v>
      </c>
      <c r="J6195" s="6" t="n">
        <f aca="false">(Sens!I6177+Sens!J6177)/2*(1-self_build)*fac_rent/1000</f>
        <v>13.0899582289108</v>
      </c>
      <c r="K6195" s="6" t="n">
        <f aca="false">(Sens!J6177+Sens!K6177)/2*(1-self_build)*fac_rent/1000</f>
        <v>13.8897275626556</v>
      </c>
      <c r="L6195" s="12" t="s">
        <v>987</v>
      </c>
    </row>
    <row r="6196" customFormat="false" ht="17.15" hidden="false" customHeight="false" outlineLevel="0" collapsed="false">
      <c r="A6196" s="1" t="s">
        <v>988</v>
      </c>
      <c r="B6196" s="0" t="s">
        <v>168</v>
      </c>
      <c r="D6196" s="7" t="n">
        <f aca="false">(Sens!C6176+Sens!D6176)/(Sens!C6177+Sens!D6177)</f>
        <v>0.6</v>
      </c>
      <c r="E6196" s="7" t="n">
        <f aca="false">(Sens!D6176+Sens!E6176)/(Sens!D6177+Sens!E6177)</f>
        <v>0.6</v>
      </c>
      <c r="F6196" s="7" t="n">
        <f aca="false">(Sens!E6176+Sens!F6176)/(Sens!E6177+Sens!F6177)</f>
        <v>0.6</v>
      </c>
      <c r="G6196" s="7" t="n">
        <f aca="false">(Sens!F6176+Sens!G6176)/(Sens!F6177+Sens!G6177)</f>
        <v>0.6</v>
      </c>
      <c r="H6196" s="7" t="n">
        <f aca="false">(Sens!G6176+Sens!H6176)/(Sens!G6177+Sens!H6177)</f>
        <v>0.6</v>
      </c>
      <c r="I6196" s="7" t="n">
        <f aca="false">(Sens!H6176+Sens!I6176)/(Sens!H6177+Sens!I6177)</f>
        <v>0.6</v>
      </c>
      <c r="J6196" s="7" t="n">
        <f aca="false">(Sens!I6176+Sens!J6176)/(Sens!I6177+Sens!J6177)</f>
        <v>0.6</v>
      </c>
      <c r="K6196" s="7" t="n">
        <f aca="false">(Sens!J6176+Sens!K6176)/(Sens!J6177+Sens!K6177)</f>
        <v>0.6</v>
      </c>
    </row>
    <row r="6197" customFormat="false" ht="17.15" hidden="false" customHeight="false" outlineLevel="0" collapsed="false">
      <c r="A6197" s="0" t="s">
        <v>989</v>
      </c>
      <c r="B6197" s="0" t="s">
        <v>98</v>
      </c>
      <c r="D6197" s="6" t="n">
        <f aca="false">Sens!D6191-Sens!D6196*(Sens!D6193+Sens!D6195)-Sens!D6194</f>
        <v>8.35701406163072</v>
      </c>
      <c r="E6197" s="6" t="n">
        <f aca="false">Sens!E6191-Sens!E6196*(Sens!E6193+Sens!E6195)-Sens!E6194</f>
        <v>18.7103224860238</v>
      </c>
      <c r="F6197" s="6" t="n">
        <f aca="false">Sens!F6191-Sens!F6196*(Sens!F6193+Sens!F6195)-Sens!F6194</f>
        <v>43.8595710717487</v>
      </c>
      <c r="G6197" s="6" t="n">
        <f aca="false">Sens!G6191-Sens!G6196*(Sens!G6193+Sens!G6195)-Sens!G6194</f>
        <v>81.2141025742658</v>
      </c>
      <c r="H6197" s="6" t="n">
        <f aca="false">Sens!H6191-Sens!H6196*(Sens!H6193+Sens!H6195)-Sens!H6194</f>
        <v>125.285066471445</v>
      </c>
      <c r="I6197" s="6" t="n">
        <f aca="false">Sens!I6191-Sens!I6196*(Sens!I6193+Sens!I6195)-Sens!I6194</f>
        <v>158.773074804683</v>
      </c>
      <c r="J6197" s="6" t="n">
        <f aca="false">Sens!J6191-Sens!J6196*(Sens!J6193+Sens!J6195)-Sens!J6194</f>
        <v>182.328122010048</v>
      </c>
      <c r="K6197" s="6" t="n">
        <f aca="false">Sens!K6191-Sens!K6196*(Sens!K6193+Sens!K6195)-Sens!K6194</f>
        <v>197.614402468534</v>
      </c>
    </row>
    <row r="6198" customFormat="false" ht="17.15" hidden="false" customHeight="false" outlineLevel="0" collapsed="false">
      <c r="A6198" s="1" t="s">
        <v>990</v>
      </c>
      <c r="B6198" s="0" t="s">
        <v>98</v>
      </c>
      <c r="D6198" s="6" t="n">
        <f aca="false">(1-Sens!D6196)*(Sens!D6193+Sens!D6195)</f>
        <v>1.42281025374069</v>
      </c>
      <c r="E6198" s="6" t="n">
        <f aca="false">(1-Sens!E6196)*(Sens!E6193+Sens!E6195)</f>
        <v>3.25095598674472</v>
      </c>
      <c r="F6198" s="6" t="n">
        <f aca="false">(1-Sens!F6196)*(Sens!F6193+Sens!F6195)</f>
        <v>6.72135810147489</v>
      </c>
      <c r="G6198" s="6" t="n">
        <f aca="false">(1-Sens!G6196)*(Sens!G6193+Sens!G6195)</f>
        <v>11.3401410201637</v>
      </c>
      <c r="H6198" s="6" t="n">
        <f aca="false">(1-Sens!H6196)*(Sens!H6193+Sens!H6195)</f>
        <v>16.1920771049557</v>
      </c>
      <c r="I6198" s="6" t="n">
        <f aca="false">(1-Sens!I6196)*(Sens!I6193+Sens!I6195)</f>
        <v>20.3917774400264</v>
      </c>
      <c r="J6198" s="6" t="n">
        <f aca="false">(1-Sens!J6196)*(Sens!J6193+Sens!J6195)</f>
        <v>23.2503960207104</v>
      </c>
      <c r="K6198" s="6" t="n">
        <f aca="false">(1-Sens!K6196)*(Sens!K6193+Sens!K6195)</f>
        <v>24.8730801087085</v>
      </c>
    </row>
    <row r="6199" customFormat="false" ht="17.15" hidden="false" customHeight="false" outlineLevel="0" collapsed="false">
      <c r="A6199" s="1" t="s">
        <v>991</v>
      </c>
      <c r="B6199" s="0" t="s">
        <v>417</v>
      </c>
      <c r="C6199" s="8" t="n">
        <f aca="false">cxit_open</f>
        <v>27.5918995</v>
      </c>
      <c r="D6199" s="8" t="n">
        <f aca="false">cxit_open</f>
        <v>27.5918995</v>
      </c>
      <c r="E6199" s="8" t="n">
        <f aca="false">cxit_open</f>
        <v>27.5918995</v>
      </c>
      <c r="F6199" s="8" t="n">
        <f aca="false">((a_g3_27-nonnv*a_mai)*tk_cxit_gb300+nonnv*a_mai*nv_hold_mai*tk_cxit_vr200+(1-a_g3_27)*tk_cxit_vr200)</f>
        <v>32.4975576</v>
      </c>
      <c r="G6199" s="8" t="n">
        <f aca="false">((a_g3_28-nonnv*a_mai)*tk_cxit_gb300+nonnv*a_mai*nv_hold_mai*tk_cxit_vr200+(1-a_g3_28)*tk_cxit_vr200)</f>
        <v>34.6372088</v>
      </c>
      <c r="H6199" s="8" t="n">
        <f aca="false">((a_g3_29-nonnv*a_mai)*tk_cxit_gb300+nonnv*a_mai*nv_hold_mai*tk_cxit_vr200+(1-a_g3_29)*tk_cxit_vr200)</f>
        <v>35.7070344</v>
      </c>
      <c r="I6199" s="8" t="n">
        <f aca="false">((a_g3_29-nonnv*a_mai)*tk_cxit_gb300+nonnv*a_mai*nv_hold_mai*tk_cxit_vr200+(1-a_g3_29)*tk_cxit_vr200)</f>
        <v>35.7070344</v>
      </c>
      <c r="J6199" s="8" t="n">
        <f aca="false">((a_g3_29-nonnv*a_mai)*tk_cxit_gb300+nonnv*a_mai*nv_hold_mai*tk_cxit_vr200+(1-a_g3_29)*tk_cxit_vr200)</f>
        <v>35.7070344</v>
      </c>
      <c r="K6199" s="8" t="n">
        <f aca="false">((a_g3_29-nonnv*a_mai)*tk_cxit_gb300+nonnv*a_mai*nv_hold_mai*tk_cxit_vr200+(1-a_g3_29)*tk_cxit_vr200)</f>
        <v>35.7070344</v>
      </c>
      <c r="L6199" s="12" t="s">
        <v>992</v>
      </c>
    </row>
    <row r="6200" customFormat="false" ht="17.15" hidden="false" customHeight="false" outlineLevel="0" collapsed="false">
      <c r="A6200" s="0" t="s">
        <v>993</v>
      </c>
      <c r="B6200" s="0" t="s">
        <v>459</v>
      </c>
      <c r="F6200" s="30" t="n">
        <f aca="false">Sens!C6179*IF(Sens!F6172-Sens!C6172=life_it,1,0)+Sens!D6179*IF(Sens!F6172-Sens!D6172=life_it,1,0)+Sens!E6179*IF(Sens!F6172-Sens!E6172=life_it,1,0)</f>
        <v>0</v>
      </c>
      <c r="G6200" s="30" t="n">
        <f aca="false">Sens!C6179*IF(Sens!G6172-Sens!C6172=life_it,1,0)+Sens!D6179*IF(Sens!G6172-Sens!D6172=life_it,1,0)+Sens!E6179*IF(Sens!G6172-Sens!E6172=life_it,1,0)+Sens!F6179*IF(Sens!G6172-Sens!F6172=life_it,1,0)</f>
        <v>0</v>
      </c>
      <c r="H6200" s="30" t="n">
        <f aca="false">Sens!C6179*IF(Sens!H6172-Sens!C6172=life_it,1,0)+Sens!D6179*IF(Sens!H6172-Sens!D6172=life_it,1,0)+Sens!E6179*IF(Sens!H6172-Sens!E6172=life_it,1,0)+Sens!F6179*IF(Sens!H6172-Sens!F6172=life_it,1,0)+Sens!G6179*IF(Sens!H6172-Sens!G6172=life_it,1,0)</f>
        <v>0</v>
      </c>
      <c r="I6200" s="30" t="n">
        <f aca="false">Sens!C6179*IF(Sens!I6172-Sens!C6172=life_it,1,0)+Sens!D6179*IF(Sens!I6172-Sens!D6172=life_it,1,0)+Sens!E6179*IF(Sens!I6172-Sens!E6172=life_it,1,0)+Sens!F6179*IF(Sens!I6172-Sens!F6172=life_it,1,0)+Sens!G6179*IF(Sens!I6172-Sens!G6172=life_it,1,0)+Sens!H6179*IF(Sens!I6172-Sens!H6172=life_it,1,0)</f>
        <v>816.666666666667</v>
      </c>
      <c r="J6200" s="30" t="n">
        <f aca="false">Sens!C6179*IF(Sens!J6172-Sens!C6172=life_it,1,0)+Sens!D6179*IF(Sens!J6172-Sens!D6172=life_it,1,0)+Sens!E6179*IF(Sens!J6172-Sens!E6172=life_it,1,0)+Sens!F6179*IF(Sens!J6172-Sens!F6172=life_it,1,0)+Sens!G6179*IF(Sens!J6172-Sens!G6172=life_it,1,0)+Sens!H6179*IF(Sens!J6172-Sens!H6172=life_it,1,0)+Sens!I6179*IF(Sens!J6172-Sens!I6172=life_it,1,0)</f>
        <v>1233.33333333333</v>
      </c>
      <c r="K6200" s="30" t="n">
        <f aca="false">Sens!C6179*IF(Sens!K6172-Sens!C6172=life_it,1,0)+Sens!D6179*IF(Sens!K6172-Sens!D6172=life_it,1,0)+Sens!E6179*IF(Sens!K6172-Sens!E6172=life_it,1,0)+Sens!F6179*IF(Sens!K6172-Sens!F6172=life_it,1,0)+Sens!G6179*IF(Sens!K6172-Sens!G6172=life_it,1,0)+Sens!H6179*IF(Sens!K6172-Sens!H6172=life_it,1,0)+Sens!I6179*IF(Sens!K6172-Sens!I6172=life_it,1,0)+Sens!J6179*IF(Sens!K6172-Sens!J6172=life_it,1,0)</f>
        <v>2450</v>
      </c>
      <c r="L6200" s="1" t="s">
        <v>994</v>
      </c>
    </row>
    <row r="6201" customFormat="false" ht="17.15" hidden="false" customHeight="false" outlineLevel="0" collapsed="false">
      <c r="A6201" s="0" t="s">
        <v>995</v>
      </c>
      <c r="B6201" s="0" t="s">
        <v>98</v>
      </c>
      <c r="C6201" s="6" t="n">
        <f aca="false">Sens!C6179*Sens!C6199/1000</f>
        <v>22.5333845916667</v>
      </c>
      <c r="D6201" s="6" t="n">
        <f aca="false">Sens!D6179*Sens!D6199/1000</f>
        <v>34.0300093833333</v>
      </c>
      <c r="E6201" s="6" t="n">
        <f aca="false">Sens!E6179*Sens!E6199/1000</f>
        <v>67.600153775</v>
      </c>
      <c r="F6201" s="6" t="n">
        <f aca="false">(Sens!F6179+Sens!F6200)*Sens!F6199/1000</f>
        <v>136.51872432512</v>
      </c>
      <c r="G6201" s="6" t="n">
        <f aca="false">(Sens!G6179+Sens!G6200)*Sens!G6199/1000</f>
        <v>157.399275932048</v>
      </c>
      <c r="H6201" s="6" t="n">
        <f aca="false">(Sens!H6179+Sens!H6200)*Sens!H6199/1000</f>
        <v>162.260804347512</v>
      </c>
      <c r="I6201" s="6" t="n">
        <f aca="false">(Sens!I6179+Sens!I6200)*Sens!I6199/1000</f>
        <v>144.136569485434</v>
      </c>
      <c r="J6201" s="6" t="n">
        <f aca="false">(Sens!J6179+Sens!J6200)*Sens!J6199/1000</f>
        <v>114.029037357864</v>
      </c>
      <c r="K6201" s="6" t="n">
        <f aca="false">(Sens!K6179+Sens!K6200)*Sens!K6199/1000</f>
        <v>113.437085350975</v>
      </c>
    </row>
    <row r="6202" customFormat="false" ht="17.15" hidden="false" customHeight="false" outlineLevel="0" collapsed="false">
      <c r="A6202" s="0" t="s">
        <v>996</v>
      </c>
      <c r="B6202" s="0" t="s">
        <v>98</v>
      </c>
      <c r="C6202" s="6" t="n">
        <f aca="false">Sens!C6179*self_build*tk_cxfac/1000</f>
        <v>6.2083</v>
      </c>
      <c r="D6202" s="6" t="n">
        <f aca="false">Sens!D6179*self_build*tk_cxfac/1000</f>
        <v>9.3758</v>
      </c>
      <c r="E6202" s="6" t="n">
        <f aca="false">Sens!E6179*self_build*tk_cxfac/1000</f>
        <v>18.6249</v>
      </c>
      <c r="F6202" s="6" t="n">
        <f aca="false">Sens!F6179*self_build*tk_cxfac/1000</f>
        <v>31.935179717</v>
      </c>
      <c r="G6202" s="6" t="n">
        <f aca="false">Sens!G6179*self_build*tk_cxfac/1000</f>
        <v>34.545199717</v>
      </c>
      <c r="H6202" s="6" t="n">
        <f aca="false">Sens!H6179*self_build*tk_cxfac/1000</f>
        <v>34.545199717</v>
      </c>
      <c r="I6202" s="6" t="n">
        <f aca="false">Sens!I6179*self_build*tk_cxfac/1000</f>
        <v>24.4782641361767</v>
      </c>
      <c r="J6202" s="6" t="n">
        <f aca="false">Sens!J6179*self_build*tk_cxfac/1000</f>
        <v>14.9008938380769</v>
      </c>
      <c r="K6202" s="6" t="n">
        <f aca="false">Sens!K6179*self_build*tk_cxfac/1000</f>
        <v>5.52576771375761</v>
      </c>
    </row>
    <row r="6203" customFormat="false" ht="17.15" hidden="false" customHeight="false" outlineLevel="0" collapsed="false">
      <c r="A6203" s="0" t="s">
        <v>997</v>
      </c>
      <c r="B6203" s="0" t="s">
        <v>98</v>
      </c>
      <c r="F6203" s="15" t="n">
        <f aca="false">capex_floor27-Sens!F6201-Sens!F6202-Sens!F6299</f>
        <v>0.07583188888173</v>
      </c>
      <c r="L6203" s="12" t="s">
        <v>998</v>
      </c>
    </row>
    <row r="6204" customFormat="false" ht="17.15" hidden="false" customHeight="false" outlineLevel="0" collapsed="false">
      <c r="A6204" s="0" t="s">
        <v>999</v>
      </c>
      <c r="B6204" s="0" t="s">
        <v>98</v>
      </c>
      <c r="F6204" s="6" t="n">
        <f aca="false">MAX(0,Sens!F6203)</f>
        <v>0.07583188888173</v>
      </c>
    </row>
    <row r="6205" customFormat="false" ht="17.15" hidden="false" customHeight="false" outlineLevel="0" collapsed="false">
      <c r="A6205" s="0" t="s">
        <v>1000</v>
      </c>
      <c r="B6205" s="0" t="s">
        <v>98</v>
      </c>
      <c r="C6205" s="6" t="n">
        <f aca="false">Sens!C6201</f>
        <v>22.5333845916667</v>
      </c>
      <c r="D6205" s="6" t="n">
        <f aca="false">Sens!D6201</f>
        <v>34.0300093833333</v>
      </c>
      <c r="E6205" s="6" t="n">
        <f aca="false">Sens!E6201</f>
        <v>67.600153775</v>
      </c>
      <c r="F6205" s="6" t="n">
        <f aca="false">Sens!F6201</f>
        <v>136.51872432512</v>
      </c>
      <c r="G6205" s="6" t="n">
        <f aca="false">Sens!G6201</f>
        <v>157.399275932048</v>
      </c>
      <c r="H6205" s="6" t="n">
        <f aca="false">Sens!H6201</f>
        <v>162.260804347512</v>
      </c>
      <c r="I6205" s="6" t="n">
        <f aca="false">Sens!I6201</f>
        <v>144.136569485434</v>
      </c>
      <c r="J6205" s="6" t="n">
        <f aca="false">Sens!J6201</f>
        <v>114.029037357864</v>
      </c>
      <c r="K6205" s="6" t="n">
        <f aca="false">Sens!K6201</f>
        <v>113.437085350975</v>
      </c>
    </row>
    <row r="6206" customFormat="false" ht="17.15" hidden="false" customHeight="false" outlineLevel="0" collapsed="false">
      <c r="A6206" s="0" t="s">
        <v>1001</v>
      </c>
      <c r="B6206" s="0" t="s">
        <v>98</v>
      </c>
      <c r="C6206" s="6" t="n">
        <f aca="false">Sens!C6205+Sens!C6202</f>
        <v>28.7416845916667</v>
      </c>
      <c r="D6206" s="6" t="n">
        <f aca="false">Sens!D6205+Sens!D6202</f>
        <v>43.4058093833333</v>
      </c>
      <c r="E6206" s="6" t="n">
        <f aca="false">Sens!E6205+Sens!E6202</f>
        <v>86.225053775</v>
      </c>
      <c r="F6206" s="6" t="n">
        <f aca="false">Sens!F6205+Sens!F6202</f>
        <v>168.45390404212</v>
      </c>
      <c r="G6206" s="6" t="n">
        <f aca="false">Sens!G6205+Sens!G6202</f>
        <v>191.944475649048</v>
      </c>
      <c r="H6206" s="6" t="n">
        <f aca="false">Sens!H6205+Sens!H6202</f>
        <v>196.806004064512</v>
      </c>
      <c r="I6206" s="6" t="n">
        <f aca="false">Sens!I6205+Sens!I6202</f>
        <v>168.61483362161</v>
      </c>
      <c r="J6206" s="6" t="n">
        <f aca="false">Sens!J6205+Sens!J6202</f>
        <v>128.92993119594</v>
      </c>
      <c r="K6206" s="6" t="n">
        <f aca="false">Sens!K6205+Sens!K6202</f>
        <v>118.962853064733</v>
      </c>
      <c r="L6206" s="12" t="s">
        <v>1002</v>
      </c>
    </row>
    <row r="6207" customFormat="false" ht="17.15" hidden="false" customHeight="false" outlineLevel="0" collapsed="false">
      <c r="A6207" s="0" t="s">
        <v>1003</v>
      </c>
      <c r="B6207" s="0" t="s">
        <v>98</v>
      </c>
      <c r="E6207" s="6" t="n">
        <f aca="false">(Sens!C6205*IF(2&lt;life_it,1,IF(2=life_it,0.5,0))+Sens!D6205*IF(1&lt;life_it,1,IF(1=life_it,0.5,0))+Sens!E6205*0.5)/life_it</f>
        <v>15.0605784770833</v>
      </c>
      <c r="F6207" s="6" t="n">
        <f aca="false">(Sens!C6205*IF(3&lt;life_it,1,IF(3=life_it,0.5,0))+Sens!D6205*IF(2&lt;life_it,1,IF(2=life_it,0.5,0))+Sens!E6205*IF(1&lt;life_it,1,IF(1=life_it,0.5,0))+Sens!F6205*0.5)/life_it</f>
        <v>32.0704849854266</v>
      </c>
      <c r="G6207" s="6" t="n">
        <f aca="false">(Sens!C6205*IF(4&lt;life_it,1,IF(4=life_it,0.5,0))+Sens!D6205*IF(3&lt;life_it,1,IF(3=life_it,0.5,0))+Sens!E6205*IF(2&lt;life_it,1,IF(2=life_it,0.5,0))+Sens!F6205*IF(1&lt;life_it,1,IF(1=life_it,0.5,0))+Sens!G6205*0.5)/life_it</f>
        <v>56.5636516735239</v>
      </c>
      <c r="H6207" s="6" t="n">
        <f aca="false">(Sens!C6205*IF(5&lt;life_it,1,IF(5=life_it,0.5,0))+Sens!D6205*IF(4&lt;life_it,1,IF(4=life_it,0.5,0))+Sens!E6205*IF(3&lt;life_it,1,IF(3=life_it,0.5,0))+Sens!F6205*IF(2&lt;life_it,1,IF(2=life_it,0.5,0))+Sens!G6205*IF(1&lt;life_it,1,IF(1=life_it,0.5,0))+Sens!H6205*0.5)/life_it</f>
        <v>83.2019916968207</v>
      </c>
      <c r="I6207" s="6" t="n">
        <f aca="false">(Sens!C6205*IF(6&lt;life_it,1,IF(6=life_it,0.5,0))+Sens!D6205*IF(5&lt;life_it,1,IF(5=life_it,0.5,0))+Sens!E6205*IF(4&lt;life_it,1,IF(4=life_it,0.5,0))+Sens!F6205*IF(3&lt;life_it,1,IF(3=life_it,0.5,0))+Sens!G6205*IF(2&lt;life_it,1,IF(2=life_it,0.5,0))+Sens!H6205*IF(1&lt;life_it,1,IF(1=life_it,0.5,0))+Sens!I6205*0.5)/life_it</f>
        <v>106.857324133594</v>
      </c>
      <c r="J6207" s="6" t="n">
        <f aca="false">(Sens!C6205*IF(7&lt;life_it,1,IF(7=life_it,0.5,0))+Sens!D6205*IF(6&lt;life_it,1,IF(6=life_it,0.5,0))+Sens!E6205*IF(5&lt;life_it,1,IF(5=life_it,0.5,0))+Sens!F6205*IF(4&lt;life_it,1,IF(4=life_it,0.5,0))+Sens!G6205*IF(3&lt;life_it,1,IF(3=life_it,0.5,0))+Sens!H6205*IF(2&lt;life_it,1,IF(2=life_it,0.5,0))+Sens!I6205*IF(1&lt;life_it,1,IF(1=life_it,0.5,0))+Sens!J6205*0.5)/life_it</f>
        <v>123.657508539285</v>
      </c>
      <c r="K6207" s="6" t="n">
        <f aca="false">(Sens!C6205*IF(8&lt;life_it,1,IF(8=life_it,0.5,0))+Sens!D6205*IF(7&lt;life_it,1,IF(7=life_it,0.5,0))+Sens!E6205*IF(6&lt;life_it,1,IF(6=life_it,0.5,0))+Sens!F6205*IF(5&lt;life_it,1,IF(5=life_it,0.5,0))+Sens!G6205*IF(4&lt;life_it,1,IF(4=life_it,0.5,0))+Sens!H6205*IF(3&lt;life_it,1,IF(3=life_it,0.5,0))+Sens!I6205*IF(2&lt;life_it,1,IF(2=life_it,0.5,0))+Sens!J6205*IF(1&lt;life_it,1,IF(1=life_it,0.5,0))+Sens!K6205*0.5)/life_it</f>
        <v>134.143838501827</v>
      </c>
    </row>
    <row r="6208" customFormat="false" ht="17.15" hidden="false" customHeight="false" outlineLevel="0" collapsed="false">
      <c r="A6208" s="0" t="s">
        <v>1004</v>
      </c>
      <c r="B6208" s="0" t="s">
        <v>98</v>
      </c>
      <c r="E6208" s="6" t="n">
        <f aca="false">(Sens!C6202*IF(2&lt;life_fac,1,IF(2=life_fac,0.5,0))+Sens!D6202*IF(1&lt;life_fac,1,IF(1=life_fac,0.5,0))+Sens!E6202*0.5)/life_fac</f>
        <v>1.2448275</v>
      </c>
      <c r="F6208" s="6" t="n">
        <f aca="false">(Sens!C6202*IF(3&lt;life_fac,1,IF(3=life_fac,0.5,0))+Sens!D6202*IF(2&lt;life_fac,1,IF(2=life_fac,0.5,0))+Sens!E6202*IF(1&lt;life_fac,1,IF(1=life_fac,0.5,0))+Sens!F6202*0.5)/life_fac</f>
        <v>2.508829492925</v>
      </c>
      <c r="G6208" s="6" t="n">
        <f aca="false">(Sens!C6202*IF(4&lt;life_fac,1,IF(4=life_fac,0.5,0))+Sens!D6202*IF(3&lt;life_fac,1,IF(3=life_fac,0.5,0))+Sens!E6202*IF(2&lt;life_fac,1,IF(2=life_fac,0.5,0))+Sens!F6202*IF(1&lt;life_fac,1,IF(1=life_fac,0.5,0))+Sens!G6202*0.5)/life_fac</f>
        <v>4.170838978775</v>
      </c>
      <c r="H6208" s="6" t="n">
        <f aca="false">(Sens!C6202*IF(5&lt;life_fac,1,IF(5=life_fac,0.5,0))+Sens!D6202*IF(4&lt;life_fac,1,IF(4=life_fac,0.5,0))+Sens!E6202*IF(3&lt;life_fac,1,IF(3=life_fac,0.5,0))+Sens!F6202*IF(2&lt;life_fac,1,IF(2=life_fac,0.5,0))+Sens!G6202*IF(1&lt;life_fac,1,IF(1=life_fac,0.5,0))+Sens!H6202*0.5)/life_fac</f>
        <v>5.898098964625</v>
      </c>
      <c r="I6208" s="6" t="n">
        <f aca="false">(Sens!C6202*IF(6&lt;life_fac,1,IF(6=life_fac,0.5,0))+Sens!D6202*IF(5&lt;life_fac,1,IF(5=life_fac,0.5,0))+Sens!E6202*IF(4&lt;life_fac,1,IF(4=life_fac,0.5,0))+Sens!F6202*IF(3&lt;life_fac,1,IF(3=life_fac,0.5,0))+Sens!G6202*IF(2&lt;life_fac,1,IF(2=life_fac,0.5,0))+Sens!H6202*IF(1&lt;life_fac,1,IF(1=life_fac,0.5,0))+Sens!I6202*0.5)/life_fac</f>
        <v>7.37368556095442</v>
      </c>
      <c r="J6208" s="6" t="n">
        <f aca="false">(Sens!C6202*IF(7&lt;life_fac,1,IF(7=life_fac,0.5,0))+Sens!D6202*IF(6&lt;life_fac,1,IF(6=life_fac,0.5,0))+Sens!E6202*IF(5&lt;life_fac,1,IF(5=life_fac,0.5,0))+Sens!F6202*IF(4&lt;life_fac,1,IF(4=life_fac,0.5,0))+Sens!G6202*IF(3&lt;life_fac,1,IF(3=life_fac,0.5,0))+Sens!H6202*IF(2&lt;life_fac,1,IF(2=life_fac,0.5,0))+Sens!I6202*IF(1&lt;life_fac,1,IF(1=life_fac,0.5,0))+Sens!J6202*0.5)/life_fac</f>
        <v>8.35816451031075</v>
      </c>
      <c r="K6208" s="6" t="n">
        <f aca="false">(Sens!C6202*IF(8&lt;life_fac,1,IF(8=life_fac,0.5,0))+Sens!D6202*IF(7&lt;life_fac,1,IF(7=life_fac,0.5,0))+Sens!E6202*IF(6&lt;life_fac,1,IF(6=life_fac,0.5,0))+Sens!F6202*IF(5&lt;life_fac,1,IF(5=life_fac,0.5,0))+Sens!G6202*IF(4&lt;life_fac,1,IF(4=life_fac,0.5,0))+Sens!H6202*IF(3&lt;life_fac,1,IF(3=life_fac,0.5,0))+Sens!I6202*IF(2&lt;life_fac,1,IF(2=life_fac,0.5,0))+Sens!J6202*IF(1&lt;life_fac,1,IF(1=life_fac,0.5,0))+Sens!K6202*0.5)/life_fac</f>
        <v>8.86883104910662</v>
      </c>
    </row>
    <row r="6209" customFormat="false" ht="17.15" hidden="false" customHeight="false" outlineLevel="0" collapsed="false">
      <c r="A6209" s="0" t="s">
        <v>1005</v>
      </c>
      <c r="B6209" s="0" t="s">
        <v>98</v>
      </c>
      <c r="E6209" s="6" t="n">
        <f aca="false">Sens!E6207+Sens!E6208</f>
        <v>16.3054059770833</v>
      </c>
      <c r="F6209" s="6" t="n">
        <f aca="false">Sens!F6207+Sens!F6208</f>
        <v>34.5793144783516</v>
      </c>
      <c r="G6209" s="6" t="n">
        <f aca="false">Sens!G6207+Sens!G6208</f>
        <v>60.7344906522989</v>
      </c>
      <c r="H6209" s="6" t="n">
        <f aca="false">Sens!H6207+Sens!H6208</f>
        <v>89.1000906614457</v>
      </c>
      <c r="I6209" s="6" t="n">
        <f aca="false">Sens!I6207+Sens!I6208</f>
        <v>114.231009694548</v>
      </c>
      <c r="J6209" s="6" t="n">
        <f aca="false">Sens!J6207+Sens!J6208</f>
        <v>132.015673049596</v>
      </c>
      <c r="K6209" s="6" t="n">
        <f aca="false">Sens!K6207+Sens!K6208</f>
        <v>143.012669550934</v>
      </c>
    </row>
    <row r="6210" customFormat="false" ht="17.15" hidden="false" customHeight="false" outlineLevel="0" collapsed="false">
      <c r="A6210" s="0" t="s">
        <v>1006</v>
      </c>
      <c r="B6210" s="0" t="s">
        <v>98</v>
      </c>
      <c r="E6210" s="6" t="n">
        <f aca="false">Sens!E6197-Sens!E6196*Sens!E6209</f>
        <v>8.92707889977379</v>
      </c>
      <c r="F6210" s="6" t="n">
        <f aca="false">Sens!F6197-Sens!F6196*Sens!F6209</f>
        <v>23.1119823847377</v>
      </c>
      <c r="G6210" s="6" t="n">
        <f aca="false">Sens!G6197-Sens!G6196*Sens!G6209</f>
        <v>44.7734081828864</v>
      </c>
      <c r="H6210" s="6" t="n">
        <f aca="false">Sens!H6197-Sens!H6196*Sens!H6209</f>
        <v>71.8250120745777</v>
      </c>
      <c r="I6210" s="6" t="n">
        <f aca="false">Sens!I6197-Sens!I6196*Sens!I6209</f>
        <v>90.2344689879537</v>
      </c>
      <c r="J6210" s="6" t="n">
        <f aca="false">Sens!J6197-Sens!J6196*Sens!J6209</f>
        <v>103.11871818029</v>
      </c>
      <c r="K6210" s="6" t="n">
        <f aca="false">Sens!K6197-Sens!K6196*Sens!K6209</f>
        <v>111.806800737973</v>
      </c>
    </row>
    <row r="6211" customFormat="false" ht="17.15" hidden="false" customHeight="false" outlineLevel="0" collapsed="false">
      <c r="A6211" s="3" t="s">
        <v>1766</v>
      </c>
    </row>
    <row r="6212" customFormat="false" ht="15" hidden="false" customHeight="false" outlineLevel="0" collapsed="false">
      <c r="A6212" s="4" t="s">
        <v>43</v>
      </c>
      <c r="B6212" s="4" t="s">
        <v>65</v>
      </c>
      <c r="C6212" s="23" t="s">
        <v>942</v>
      </c>
      <c r="D6212" s="23" t="s">
        <v>943</v>
      </c>
      <c r="E6212" s="23" t="s">
        <v>944</v>
      </c>
      <c r="F6212" s="23" t="s">
        <v>945</v>
      </c>
      <c r="G6212" s="23" t="s">
        <v>946</v>
      </c>
      <c r="H6212" s="23" t="s">
        <v>947</v>
      </c>
      <c r="I6212" s="23" t="s">
        <v>948</v>
      </c>
      <c r="J6212" s="23" t="s">
        <v>949</v>
      </c>
      <c r="K6212" s="23" t="s">
        <v>950</v>
      </c>
      <c r="L6212" s="4" t="s">
        <v>47</v>
      </c>
    </row>
    <row r="6213" customFormat="false" ht="17.15" hidden="false" customHeight="false" outlineLevel="0" collapsed="false">
      <c r="A6213" s="0" t="s">
        <v>1025</v>
      </c>
      <c r="B6213" s="0" t="s">
        <v>98</v>
      </c>
      <c r="D6213" s="6" t="n">
        <f aca="false">Sens!D6191</f>
        <v>12.9359794422418</v>
      </c>
      <c r="E6213" s="6" t="n">
        <f aca="false">Sens!E6191</f>
        <v>27.8095064661409</v>
      </c>
      <c r="F6213" s="6" t="n">
        <f aca="false">Sens!F6191</f>
        <v>59.746778223961</v>
      </c>
      <c r="G6213" s="6" t="n">
        <f aca="false">Sens!G6191</f>
        <v>104.945154104511</v>
      </c>
      <c r="H6213" s="6" t="n">
        <f aca="false">Sens!H6191</f>
        <v>156.294022128879</v>
      </c>
      <c r="I6213" s="6" t="n">
        <f aca="false">Sens!I6191</f>
        <v>196.081580964722</v>
      </c>
      <c r="J6213" s="6" t="n">
        <f aca="false">Sens!J6191</f>
        <v>223.924556041114</v>
      </c>
      <c r="K6213" s="6" t="n">
        <f aca="false">Sens!K6191</f>
        <v>241.644862631596</v>
      </c>
    </row>
    <row r="6214" customFormat="false" ht="17.15" hidden="false" customHeight="false" outlineLevel="0" collapsed="false">
      <c r="A6214" s="0" t="s">
        <v>1026</v>
      </c>
      <c r="B6214" s="0" t="s">
        <v>98</v>
      </c>
      <c r="D6214" s="6" t="n">
        <f aca="false">Q!L6-Sens!D6213</f>
        <v>59.6740205577583</v>
      </c>
      <c r="E6214" s="6" t="n">
        <f aca="false">Q!M6-Sens!E6213</f>
        <v>74.1284935338591</v>
      </c>
      <c r="F6214" s="6" t="n">
        <f aca="false">Q!$I$6+(Sens!F6213+Sens!E6214*(1+Sens!F6215))*(1-Q!$E$6/Q!M6)-Sens!F6213</f>
        <v>90.3453295889785</v>
      </c>
      <c r="G6214" s="6" t="n">
        <f aca="false">Sens!F6214*(1+Sens!G6215)</f>
        <v>107.34373607639</v>
      </c>
      <c r="H6214" s="6" t="n">
        <f aca="false">Sens!G6214*(1+Sens!H6215)</f>
        <v>124.638093805661</v>
      </c>
      <c r="I6214" s="6" t="n">
        <f aca="false">Sens!H6214*(1+Sens!I6215)</f>
        <v>141.348899827394</v>
      </c>
      <c r="J6214" s="6" t="n">
        <f aca="false">Sens!I6214*(1+Sens!J6215)</f>
        <v>156.478506379154</v>
      </c>
      <c r="K6214" s="6" t="n">
        <f aca="false">Sens!J6214*(1+Sens!K6215)</f>
        <v>168.996786889487</v>
      </c>
      <c r="L6214" s="12" t="s">
        <v>1027</v>
      </c>
    </row>
    <row r="6215" customFormat="false" ht="15" hidden="false" customHeight="false" outlineLevel="0" collapsed="false">
      <c r="A6215" s="1" t="s">
        <v>1028</v>
      </c>
      <c r="B6215" s="0" t="s">
        <v>168</v>
      </c>
      <c r="E6215" s="7" t="n">
        <f aca="false">Sens!E6214/Sens!D6214-1</f>
        <v>0.242223883039864</v>
      </c>
      <c r="F6215" s="7" t="n">
        <f aca="false">Sens!$E$6215+(glt_azo-Sens!$E$6215)*MIN(1,(Sens!F6172-base_fy)/n_conv)</f>
        <v>0.215186569199887</v>
      </c>
      <c r="G6215" s="7" t="n">
        <f aca="false">Sens!$E$6215+(glt_azo-Sens!$E$6215)*MIN(1,(Sens!G6172-base_fy)/n_conv)</f>
        <v>0.18814925535991</v>
      </c>
      <c r="H6215" s="7" t="n">
        <f aca="false">Sens!$E$6215+(glt_azo-Sens!$E$6215)*MIN(1,(Sens!H6172-base_fy)/n_conv)</f>
        <v>0.161111941519932</v>
      </c>
      <c r="I6215" s="7" t="n">
        <f aca="false">Sens!$E$6215+(glt_azo-Sens!$E$6215)*MIN(1,(Sens!I6172-base_fy)/n_conv)</f>
        <v>0.134074627679955</v>
      </c>
      <c r="J6215" s="7" t="n">
        <f aca="false">Sens!$E$6215+(glt_azo-Sens!$E$6215)*MIN(1,(Sens!J6172-base_fy)/n_conv)</f>
        <v>0.107037313839977</v>
      </c>
      <c r="K6215" s="7" t="n">
        <f aca="false">Sens!$E$6215+(glt_azo-Sens!$E$6215)*MIN(1,(Sens!K6172-base_fy)/n_conv)</f>
        <v>0.08</v>
      </c>
    </row>
    <row r="6216" customFormat="false" ht="15" hidden="false" customHeight="false" outlineLevel="0" collapsed="false">
      <c r="A6216" s="0" t="s">
        <v>1029</v>
      </c>
      <c r="B6216" s="0" t="s">
        <v>98</v>
      </c>
      <c r="D6216" s="6" t="n">
        <f aca="false">Sens!D6213+Sens!D6214</f>
        <v>72.61</v>
      </c>
      <c r="E6216" s="6" t="n">
        <f aca="false">Sens!E6213+Sens!E6214</f>
        <v>101.938</v>
      </c>
      <c r="F6216" s="6" t="n">
        <f aca="false">Sens!F6213+Sens!F6214</f>
        <v>150.09210781294</v>
      </c>
      <c r="G6216" s="6" t="n">
        <f aca="false">Sens!G6213+Sens!G6214</f>
        <v>212.288890180902</v>
      </c>
      <c r="H6216" s="6" t="n">
        <f aca="false">Sens!H6213+Sens!H6214</f>
        <v>280.93211593454</v>
      </c>
      <c r="I6216" s="6" t="n">
        <f aca="false">Sens!I6213+Sens!I6214</f>
        <v>337.430480792117</v>
      </c>
      <c r="J6216" s="6" t="n">
        <f aca="false">Sens!J6213+Sens!J6214</f>
        <v>380.403062420268</v>
      </c>
      <c r="K6216" s="6" t="n">
        <f aca="false">Sens!K6213+Sens!K6214</f>
        <v>410.641649521083</v>
      </c>
    </row>
    <row r="6217" customFormat="false" ht="17.15" hidden="false" customHeight="false" outlineLevel="0" collapsed="false">
      <c r="A6217" s="0" t="s">
        <v>1030</v>
      </c>
      <c r="B6217" s="1" t="s">
        <v>613</v>
      </c>
      <c r="C6217" s="30" t="n">
        <f aca="false">cop_s24</f>
        <v>1</v>
      </c>
      <c r="D6217" s="30" t="n">
        <f aca="false">cop_s25</f>
        <v>5</v>
      </c>
      <c r="E6217" s="30" t="n">
        <f aca="false">cop_s26</f>
        <v>30</v>
      </c>
      <c r="F6217" s="30" t="n">
        <f aca="false">Sens!E6217+cop_add_A</f>
        <v>60</v>
      </c>
      <c r="G6217" s="30" t="n">
        <f aca="false">Sens!F6217+cop_add_A</f>
        <v>90</v>
      </c>
      <c r="H6217" s="30" t="n">
        <f aca="false">Sens!G6217+cop_add_A</f>
        <v>120</v>
      </c>
      <c r="I6217" s="30" t="n">
        <f aca="false">Sens!H6217+cop_add_A*cop_tail</f>
        <v>135</v>
      </c>
      <c r="J6217" s="30" t="n">
        <f aca="false">Sens!I6217+cop_add_A*cop_tail</f>
        <v>150</v>
      </c>
      <c r="K6217" s="30" t="n">
        <f aca="false">Sens!J6217+cop_add_A*cop_tail</f>
        <v>165</v>
      </c>
      <c r="L6217" s="12" t="s">
        <v>1031</v>
      </c>
    </row>
    <row r="6218" customFormat="false" ht="17.15" hidden="false" customHeight="false" outlineLevel="0" collapsed="false">
      <c r="A6218" s="0" t="s">
        <v>1032</v>
      </c>
      <c r="B6218" s="0" t="s">
        <v>98</v>
      </c>
      <c r="D6218" s="6" t="n">
        <f aca="false">(Sens!C6217+Sens!D6217)/2*cop_px*12/1000</f>
        <v>0.9</v>
      </c>
      <c r="E6218" s="6" t="n">
        <f aca="false">(Sens!D6217+Sens!E6217)/2*cop_px*12/1000</f>
        <v>5.25</v>
      </c>
      <c r="F6218" s="6" t="n">
        <f aca="false">(Sens!E6217+Sens!F6217)/2*cop_px*12/1000</f>
        <v>13.5</v>
      </c>
      <c r="G6218" s="6" t="n">
        <f aca="false">(Sens!F6217+Sens!G6217)/2*cop_px*12/1000</f>
        <v>22.5</v>
      </c>
      <c r="H6218" s="6" t="n">
        <f aca="false">(Sens!G6217+Sens!H6217)/2*cop_px*12/1000</f>
        <v>31.5</v>
      </c>
      <c r="I6218" s="6" t="n">
        <f aca="false">(Sens!H6217+Sens!I6217)/2*cop_px*12/1000</f>
        <v>38.25</v>
      </c>
      <c r="J6218" s="6" t="n">
        <f aca="false">(Sens!I6217+Sens!J6217)/2*cop_px*12/1000</f>
        <v>42.75</v>
      </c>
      <c r="K6218" s="6" t="n">
        <f aca="false">(Sens!J6217+Sens!K6217)/2*cop_px*12/1000</f>
        <v>47.25</v>
      </c>
      <c r="L6218" s="1" t="s">
        <v>1033</v>
      </c>
    </row>
    <row r="6219" customFormat="false" ht="17.15" hidden="false" customHeight="false" outlineLevel="0" collapsed="false">
      <c r="A6219" s="0" t="s">
        <v>1034</v>
      </c>
      <c r="B6219" s="0" t="s">
        <v>98</v>
      </c>
      <c r="D6219" s="6" t="n">
        <f aca="false">Q!L7-Sens!D6218</f>
        <v>83.705</v>
      </c>
      <c r="E6219" s="6" t="n">
        <f aca="false">Q!M7-Sens!E6218</f>
        <v>95.049</v>
      </c>
      <c r="F6219" s="6" t="n">
        <f aca="false">Q!$I$7+(Sens!E6219*(1+Sens!F6220)+Sens!F6218)*(1-Q!$E$7/Q!M7)-Sens!F6218</f>
        <v>106.229653205718</v>
      </c>
      <c r="G6219" s="6" t="n">
        <f aca="false">Sens!F6219*(1+Sens!G6220)</f>
        <v>118.306092647576</v>
      </c>
      <c r="H6219" s="6" t="n">
        <f aca="false">Sens!G6219*(1+Sens!H6220)</f>
        <v>130.463437602768</v>
      </c>
      <c r="I6219" s="6" t="n">
        <f aca="false">Sens!H6219*(1+Sens!I6220)</f>
        <v>142.445354741933</v>
      </c>
      <c r="J6219" s="6" t="n">
        <f aca="false">Sens!I6219*(1+Sens!J6220)</f>
        <v>153.972117481571</v>
      </c>
      <c r="K6219" s="6" t="n">
        <f aca="false">Sens!J6219*(1+Sens!K6220)</f>
        <v>164.75016570528</v>
      </c>
      <c r="L6219" s="12" t="s">
        <v>1035</v>
      </c>
    </row>
    <row r="6220" customFormat="false" ht="15" hidden="false" customHeight="false" outlineLevel="0" collapsed="false">
      <c r="A6220" s="1" t="s">
        <v>1028</v>
      </c>
      <c r="B6220" s="0" t="s">
        <v>168</v>
      </c>
      <c r="E6220" s="7" t="n">
        <f aca="false">Sens!E6219/Sens!D6219-1</f>
        <v>0.135523564900544</v>
      </c>
      <c r="F6220" s="7" t="n">
        <f aca="false">Sens!$E$6220+(glt_m365b-Sens!$E$6220)*MIN(1,(Sens!F6172-base_fy)/n_conv)</f>
        <v>0.124602970750453</v>
      </c>
      <c r="G6220" s="7" t="n">
        <f aca="false">Sens!$E$6220+(glt_m365b-Sens!$E$6220)*MIN(1,(Sens!G6172-base_fy)/n_conv)</f>
        <v>0.113682376600363</v>
      </c>
      <c r="H6220" s="7" t="n">
        <f aca="false">Sens!$E$6220+(glt_m365b-Sens!$E$6220)*MIN(1,(Sens!H6172-base_fy)/n_conv)</f>
        <v>0.102761782450272</v>
      </c>
      <c r="I6220" s="7" t="n">
        <f aca="false">Sens!$E$6220+(glt_m365b-Sens!$E$6220)*MIN(1,(Sens!I6172-base_fy)/n_conv)</f>
        <v>0.0918411883001813</v>
      </c>
      <c r="J6220" s="7" t="n">
        <f aca="false">Sens!$E$6220+(glt_m365b-Sens!$E$6220)*MIN(1,(Sens!J6172-base_fy)/n_conv)</f>
        <v>0.0809205941500906</v>
      </c>
      <c r="K6220" s="7" t="n">
        <f aca="false">Sens!$E$6220+(glt_m365b-Sens!$E$6220)*MIN(1,(Sens!K6172-base_fy)/n_conv)</f>
        <v>0.07</v>
      </c>
    </row>
    <row r="6221" customFormat="false" ht="15" hidden="false" customHeight="false" outlineLevel="0" collapsed="false">
      <c r="A6221" s="0" t="s">
        <v>1036</v>
      </c>
      <c r="B6221" s="0" t="s">
        <v>98</v>
      </c>
      <c r="D6221" s="6" t="n">
        <f aca="false">Sens!D6219+Sens!D6218</f>
        <v>84.605</v>
      </c>
      <c r="E6221" s="6" t="n">
        <f aca="false">Sens!E6219+Sens!E6218</f>
        <v>100.299</v>
      </c>
      <c r="F6221" s="6" t="n">
        <f aca="false">Sens!F6219+Sens!F6218</f>
        <v>119.729653205718</v>
      </c>
      <c r="G6221" s="6" t="n">
        <f aca="false">Sens!G6219+Sens!G6218</f>
        <v>140.806092647576</v>
      </c>
      <c r="H6221" s="6" t="n">
        <f aca="false">Sens!H6219+Sens!H6218</f>
        <v>161.963437602768</v>
      </c>
      <c r="I6221" s="6" t="n">
        <f aca="false">Sens!I6219+Sens!I6218</f>
        <v>180.695354741933</v>
      </c>
      <c r="J6221" s="6" t="n">
        <f aca="false">Sens!J6219+Sens!J6218</f>
        <v>196.722117481571</v>
      </c>
      <c r="K6221" s="6" t="n">
        <f aca="false">Sens!K6219+Sens!K6218</f>
        <v>212.00016570528</v>
      </c>
    </row>
    <row r="6222" customFormat="false" ht="17.15" hidden="false" customHeight="false" outlineLevel="0" collapsed="false">
      <c r="A6222" s="0" t="s">
        <v>1037</v>
      </c>
      <c r="B6222" s="0" t="s">
        <v>98</v>
      </c>
      <c r="D6222" s="6" t="n">
        <f aca="false">Q!L8</f>
        <v>35.391</v>
      </c>
      <c r="E6222" s="6" t="n">
        <f aca="false">Q!M8</f>
        <v>37.285</v>
      </c>
      <c r="F6222" s="6" t="n">
        <f aca="false">Q!$I$8+(Q!M8-Q!$E$8)*(1+Sens!F6223)</f>
        <v>38.3851437782675</v>
      </c>
      <c r="G6222" s="6" t="n">
        <f aca="false">Sens!F6222*(1+Sens!G6223)</f>
        <v>40.0105353288615</v>
      </c>
      <c r="H6222" s="6" t="n">
        <f aca="false">Sens!G6222*(1+Sens!H6223)</f>
        <v>41.4812512033683</v>
      </c>
      <c r="I6222" s="6" t="n">
        <f aca="false">Sens!H6222*(1+Sens!I6223)</f>
        <v>42.7743107216329</v>
      </c>
      <c r="J6222" s="6" t="n">
        <f aca="false">Sens!I6222*(1+Sens!J6223)</f>
        <v>43.8687373064601</v>
      </c>
      <c r="K6222" s="6" t="n">
        <f aca="false">Sens!J6222*(1+Sens!K6223)</f>
        <v>44.7461120525893</v>
      </c>
      <c r="L6222" s="12" t="s">
        <v>1038</v>
      </c>
    </row>
    <row r="6223" customFormat="false" ht="15" hidden="false" customHeight="false" outlineLevel="0" collapsed="false">
      <c r="A6223" s="1" t="s">
        <v>1028</v>
      </c>
      <c r="B6223" s="0" t="s">
        <v>168</v>
      </c>
      <c r="E6223" s="7" t="n">
        <f aca="false">Sens!E6222/Sens!D6222-1</f>
        <v>0.0535164307309768</v>
      </c>
      <c r="F6223" s="7" t="n">
        <f aca="false">Sens!$E$6223+(glt_lic-Sens!$E$6223)*MIN(1,(Sens!F6172-base_fy)/n_conv)</f>
        <v>0.0479303589424807</v>
      </c>
      <c r="G6223" s="7" t="n">
        <f aca="false">Sens!$E$6223+(glt_lic-Sens!$E$6223)*MIN(1,(Sens!G6172-base_fy)/n_conv)</f>
        <v>0.0423442871539845</v>
      </c>
      <c r="H6223" s="7" t="n">
        <f aca="false">Sens!$E$6223+(glt_lic-Sens!$E$6223)*MIN(1,(Sens!H6172-base_fy)/n_conv)</f>
        <v>0.0367582153654884</v>
      </c>
      <c r="I6223" s="7" t="n">
        <f aca="false">Sens!$E$6223+(glt_lic-Sens!$E$6223)*MIN(1,(Sens!I6172-base_fy)/n_conv)</f>
        <v>0.0311721435769923</v>
      </c>
      <c r="J6223" s="7" t="n">
        <f aca="false">Sens!$E$6223+(glt_lic-Sens!$E$6223)*MIN(1,(Sens!J6172-base_fy)/n_conv)</f>
        <v>0.0255860717884961</v>
      </c>
      <c r="K6223" s="7" t="n">
        <f aca="false">Sens!$E$6223+(glt_lic-Sens!$E$6223)*MIN(1,(Sens!K6172-base_fy)/n_conv)</f>
        <v>0.02</v>
      </c>
    </row>
    <row r="6224" customFormat="false" ht="17.15" hidden="false" customHeight="false" outlineLevel="0" collapsed="false">
      <c r="A6224" s="0" t="s">
        <v>1039</v>
      </c>
      <c r="B6224" s="0" t="s">
        <v>98</v>
      </c>
      <c r="D6224" s="6" t="n">
        <f aca="false">Q!L9</f>
        <v>18.417</v>
      </c>
      <c r="E6224" s="6" t="n">
        <f aca="false">Q!M9</f>
        <v>20.345</v>
      </c>
      <c r="F6224" s="6" t="n">
        <f aca="false">Q!$I$9+(Q!M9-Q!$E$9)*(1+Sens!F6225)</f>
        <v>22.3161797133988</v>
      </c>
      <c r="G6224" s="6" t="n">
        <f aca="false">Sens!F6224*(1+Sens!G6225)</f>
        <v>24.3943499673233</v>
      </c>
      <c r="H6224" s="6" t="n">
        <f aca="false">Sens!G6224*(1+Sens!H6225)</f>
        <v>26.5250243109019</v>
      </c>
      <c r="I6224" s="6" t="n">
        <f aca="false">Sens!H6224*(1+Sens!I6225)</f>
        <v>28.6884573538181</v>
      </c>
      <c r="J6224" s="6" t="n">
        <f aca="false">Sens!I6224*(1+Sens!J6225)</f>
        <v>30.8624968052127</v>
      </c>
      <c r="K6224" s="6" t="n">
        <f aca="false">Sens!J6224*(1+Sens!K6225)</f>
        <v>33.0228715815776</v>
      </c>
      <c r="L6224" s="12" t="s">
        <v>1038</v>
      </c>
    </row>
    <row r="6225" customFormat="false" ht="15" hidden="false" customHeight="false" outlineLevel="0" collapsed="false">
      <c r="A6225" s="1" t="s">
        <v>1028</v>
      </c>
      <c r="B6225" s="0" t="s">
        <v>168</v>
      </c>
      <c r="E6225" s="7" t="n">
        <f aca="false">Sens!E6224/Sens!D6224-1</f>
        <v>0.104685888038225</v>
      </c>
      <c r="F6225" s="7" t="n">
        <f aca="false">Sens!$E$6225+(glt_ind-Sens!$E$6225)*MIN(1,(Sens!F6172-base_fy)/n_conv)</f>
        <v>0.0989049066985211</v>
      </c>
      <c r="G6225" s="7" t="n">
        <f aca="false">Sens!$E$6225+(glt_ind-Sens!$E$6225)*MIN(1,(Sens!G6172-base_fy)/n_conv)</f>
        <v>0.0931239253588169</v>
      </c>
      <c r="H6225" s="7" t="n">
        <f aca="false">Sens!$E$6225+(glt_ind-Sens!$E$6225)*MIN(1,(Sens!H6172-base_fy)/n_conv)</f>
        <v>0.0873429440191127</v>
      </c>
      <c r="I6225" s="7" t="n">
        <f aca="false">Sens!$E$6225+(glt_ind-Sens!$E$6225)*MIN(1,(Sens!I6172-base_fy)/n_conv)</f>
        <v>0.0815619626794085</v>
      </c>
      <c r="J6225" s="7" t="n">
        <f aca="false">Sens!$E$6225+(glt_ind-Sens!$E$6225)*MIN(1,(Sens!J6172-base_fy)/n_conv)</f>
        <v>0.0757809813397042</v>
      </c>
      <c r="K6225" s="7" t="n">
        <f aca="false">Sens!$E$6225+(glt_ind-Sens!$E$6225)*MIN(1,(Sens!K6172-base_fy)/n_conv)</f>
        <v>0.07</v>
      </c>
    </row>
    <row r="6226" customFormat="false" ht="17.15" hidden="false" customHeight="false" outlineLevel="0" collapsed="false">
      <c r="A6226" s="0" t="s">
        <v>1040</v>
      </c>
      <c r="B6226" s="0" t="s">
        <v>98</v>
      </c>
      <c r="D6226" s="6" t="n">
        <f aca="false">Q!L10</f>
        <v>7.76</v>
      </c>
      <c r="E6226" s="6" t="n">
        <f aca="false">Q!M10</f>
        <v>8.26</v>
      </c>
      <c r="F6226" s="6" t="n">
        <f aca="false">Q!$I$10+(Q!M10-Q!$E$10)*(1+Sens!F6227)</f>
        <v>8.75372082474227</v>
      </c>
      <c r="G6226" s="6" t="n">
        <f aca="false">Sens!F6226*(1+Sens!G6227)</f>
        <v>9.33399324642364</v>
      </c>
      <c r="H6226" s="6" t="n">
        <f aca="false">Sens!G6226*(1+Sens!H6227)</f>
        <v>9.96139155535851</v>
      </c>
      <c r="I6226" s="6" t="n">
        <f aca="false">Sens!H6226*(1+Sens!I6227)</f>
        <v>10.6402039077391</v>
      </c>
      <c r="J6226" s="6" t="n">
        <f aca="false">Sens!I6226*(1+Sens!J6227)</f>
        <v>11.3751458271397</v>
      </c>
      <c r="K6226" s="6" t="n">
        <f aca="false">Sens!J6226*(1+Sens!K6227)</f>
        <v>12.1714060350394</v>
      </c>
      <c r="L6226" s="12" t="s">
        <v>1038</v>
      </c>
    </row>
    <row r="6227" customFormat="false" ht="15" hidden="false" customHeight="false" outlineLevel="0" collapsed="false">
      <c r="A6227" s="1" t="s">
        <v>1028</v>
      </c>
      <c r="B6227" s="0" t="s">
        <v>168</v>
      </c>
      <c r="E6227" s="7" t="n">
        <f aca="false">Sens!E6226/Sens!D6226-1</f>
        <v>0.0644329896907216</v>
      </c>
      <c r="F6227" s="7" t="n">
        <f aca="false">Sens!$E$6227+(glt_fro-Sens!$E$6227)*MIN(1,(Sens!F6172-base_fy)/n_conv)</f>
        <v>0.065360824742268</v>
      </c>
      <c r="G6227" s="7" t="n">
        <f aca="false">Sens!$E$6227+(glt_fro-Sens!$E$6227)*MIN(1,(Sens!G6172-base_fy)/n_conv)</f>
        <v>0.0662886597938144</v>
      </c>
      <c r="H6227" s="7" t="n">
        <f aca="false">Sens!$E$6227+(glt_fro-Sens!$E$6227)*MIN(1,(Sens!H6172-base_fy)/n_conv)</f>
        <v>0.0672164948453608</v>
      </c>
      <c r="I6227" s="7" t="n">
        <f aca="false">Sens!$E$6227+(glt_fro-Sens!$E$6227)*MIN(1,(Sens!I6172-base_fy)/n_conv)</f>
        <v>0.0681443298969072</v>
      </c>
      <c r="J6227" s="7" t="n">
        <f aca="false">Sens!$E$6227+(glt_fro-Sens!$E$6227)*MIN(1,(Sens!J6172-base_fy)/n_conv)</f>
        <v>0.0690721649484536</v>
      </c>
      <c r="K6227" s="7" t="n">
        <f aca="false">Sens!$E$6227+(glt_fro-Sens!$E$6227)*MIN(1,(Sens!K6172-base_fy)/n_conv)</f>
        <v>0.07</v>
      </c>
    </row>
    <row r="6228" customFormat="false" ht="15" hidden="false" customHeight="false" outlineLevel="0" collapsed="false">
      <c r="A6228" s="0" t="s">
        <v>856</v>
      </c>
      <c r="B6228" s="0" t="s">
        <v>98</v>
      </c>
      <c r="D6228" s="6" t="n">
        <f aca="false">Sens!D6216+Sens!D6221+Sens!D6222+Sens!D6224+Sens!D6226</f>
        <v>218.783</v>
      </c>
      <c r="E6228" s="6" t="n">
        <f aca="false">Sens!E6216+Sens!E6221+Sens!E6222+Sens!E6224+Sens!E6226</f>
        <v>268.127</v>
      </c>
      <c r="F6228" s="6" t="n">
        <f aca="false">Sens!F6216+Sens!F6221+Sens!F6222+Sens!F6224+Sens!F6226</f>
        <v>339.276805335066</v>
      </c>
      <c r="G6228" s="6" t="n">
        <f aca="false">Sens!G6216+Sens!G6221+Sens!G6222+Sens!G6224+Sens!G6226</f>
        <v>426.833861371086</v>
      </c>
      <c r="H6228" s="6" t="n">
        <f aca="false">Sens!H6216+Sens!H6221+Sens!H6222+Sens!H6224+Sens!H6226</f>
        <v>520.863220606937</v>
      </c>
      <c r="I6228" s="6" t="n">
        <f aca="false">Sens!I6216+Sens!I6221+Sens!I6222+Sens!I6224+Sens!I6226</f>
        <v>600.22880751724</v>
      </c>
      <c r="J6228" s="6" t="n">
        <f aca="false">Sens!J6216+Sens!J6221+Sens!J6222+Sens!J6224+Sens!J6226</f>
        <v>663.231559840651</v>
      </c>
      <c r="K6228" s="6" t="n">
        <f aca="false">Sens!K6216+Sens!K6221+Sens!K6222+Sens!K6224+Sens!K6226</f>
        <v>712.58220489557</v>
      </c>
    </row>
    <row r="6229" customFormat="false" ht="17.15" hidden="false" customHeight="false" outlineLevel="0" collapsed="false">
      <c r="A6229" s="0" t="s">
        <v>1041</v>
      </c>
      <c r="B6229" s="0" t="s">
        <v>98</v>
      </c>
      <c r="D6229" s="6" t="n">
        <f aca="false">Q!L13</f>
        <v>22.171</v>
      </c>
      <c r="E6229" s="6" t="n">
        <f aca="false">Q!M13</f>
        <v>24.835</v>
      </c>
      <c r="F6229" s="6" t="n">
        <f aca="false">Q!$I$13+(Q!M13-Q!$E$13)*(1+Sens!F6230)</f>
        <v>27.5591895660247</v>
      </c>
      <c r="G6229" s="6" t="n">
        <f aca="false">Sens!F6229*(1+Sens!G6230)</f>
        <v>30.4098563144583</v>
      </c>
      <c r="H6229" s="6" t="n">
        <f aca="false">Sens!G6229*(1+Sens!H6230)</f>
        <v>33.3011792571777</v>
      </c>
      <c r="I6229" s="6" t="n">
        <f aca="false">Sens!H6229*(1+Sens!I6230)</f>
        <v>36.189023797112</v>
      </c>
      <c r="J6229" s="6" t="n">
        <f aca="false">Sens!I6229*(1+Sens!J6230)</f>
        <v>39.0247773769199</v>
      </c>
      <c r="K6229" s="6" t="n">
        <f aca="false">Sens!J6229*(1+Sens!K6230)</f>
        <v>41.7565117933043</v>
      </c>
      <c r="L6229" s="12" t="s">
        <v>1038</v>
      </c>
    </row>
    <row r="6230" customFormat="false" ht="15" hidden="false" customHeight="false" outlineLevel="0" collapsed="false">
      <c r="A6230" s="1" t="s">
        <v>1028</v>
      </c>
      <c r="B6230" s="0" t="s">
        <v>168</v>
      </c>
      <c r="E6230" s="7" t="n">
        <f aca="false">Sens!E6229/Sens!D6229-1</f>
        <v>0.120156961796942</v>
      </c>
      <c r="F6230" s="7" t="n">
        <f aca="false">Sens!$E$6230+(glt_srch-Sens!$E$6230)*MIN(1,(Sens!F6172-base_fy)/n_conv)</f>
        <v>0.111797468164118</v>
      </c>
      <c r="G6230" s="7" t="n">
        <f aca="false">Sens!$E$6230+(glt_srch-Sens!$E$6230)*MIN(1,(Sens!G6172-base_fy)/n_conv)</f>
        <v>0.103437974531295</v>
      </c>
      <c r="H6230" s="7" t="n">
        <f aca="false">Sens!$E$6230+(glt_srch-Sens!$E$6230)*MIN(1,(Sens!H6172-base_fy)/n_conv)</f>
        <v>0.095078480898471</v>
      </c>
      <c r="I6230" s="7" t="n">
        <f aca="false">Sens!$E$6230+(glt_srch-Sens!$E$6230)*MIN(1,(Sens!I6172-base_fy)/n_conv)</f>
        <v>0.0867189872656474</v>
      </c>
      <c r="J6230" s="7" t="n">
        <f aca="false">Sens!$E$6230+(glt_srch-Sens!$E$6230)*MIN(1,(Sens!J6172-base_fy)/n_conv)</f>
        <v>0.0783594936328237</v>
      </c>
      <c r="K6230" s="7" t="n">
        <f aca="false">Sens!$E$6230+(glt_srch-Sens!$E$6230)*MIN(1,(Sens!K6172-base_fy)/n_conv)</f>
        <v>0.07</v>
      </c>
    </row>
    <row r="6231" customFormat="false" ht="17.15" hidden="false" customHeight="false" outlineLevel="0" collapsed="false">
      <c r="A6231" s="0" t="s">
        <v>1042</v>
      </c>
      <c r="B6231" s="0" t="s">
        <v>98</v>
      </c>
      <c r="D6231" s="6" t="n">
        <f aca="false">Q!L14</f>
        <v>23.455</v>
      </c>
      <c r="E6231" s="6" t="n">
        <f aca="false">Q!M14</f>
        <v>21.79</v>
      </c>
      <c r="F6231" s="6" t="n">
        <f aca="false">Q!$I$14+(Q!M14-Q!$E$14)*(1+Sens!F6232)</f>
        <v>20.7520981041711</v>
      </c>
      <c r="G6231" s="6" t="n">
        <f aca="false">Sens!F6231*(1+Sens!G6232)</f>
        <v>19.9083593495882</v>
      </c>
      <c r="H6231" s="6" t="n">
        <f aca="false">Sens!G6231*(1+Sens!H6232)</f>
        <v>19.4008256265831</v>
      </c>
      <c r="I6231" s="6" t="n">
        <f aca="false">Sens!H6231*(1+Sens!I6232)</f>
        <v>19.200434522122</v>
      </c>
      <c r="J6231" s="6" t="n">
        <f aca="false">Sens!I6231*(1+Sens!J6232)</f>
        <v>19.2932782348507</v>
      </c>
      <c r="K6231" s="6" t="n">
        <f aca="false">Sens!J6231*(1+Sens!K6232)</f>
        <v>19.6791437995477</v>
      </c>
      <c r="L6231" s="12" t="s">
        <v>1038</v>
      </c>
    </row>
    <row r="6232" customFormat="false" ht="15" hidden="false" customHeight="false" outlineLevel="0" collapsed="false">
      <c r="A6232" s="1" t="s">
        <v>1028</v>
      </c>
      <c r="B6232" s="0" t="s">
        <v>168</v>
      </c>
      <c r="E6232" s="7" t="n">
        <f aca="false">Sens!E6231/Sens!D6231-1</f>
        <v>-0.0709869963760392</v>
      </c>
      <c r="F6232" s="7" t="n">
        <f aca="false">Sens!$E$6232+(glt_xbox-Sens!$E$6232)*MIN(1,(Sens!F6172-base_fy)/n_conv)</f>
        <v>-0.0558224969800327</v>
      </c>
      <c r="G6232" s="7" t="n">
        <f aca="false">Sens!$E$6232+(glt_xbox-Sens!$E$6232)*MIN(1,(Sens!G6172-base_fy)/n_conv)</f>
        <v>-0.0406579975840262</v>
      </c>
      <c r="H6232" s="7" t="n">
        <f aca="false">Sens!$E$6232+(glt_xbox-Sens!$E$6232)*MIN(1,(Sens!H6172-base_fy)/n_conv)</f>
        <v>-0.0254934981880196</v>
      </c>
      <c r="I6232" s="7" t="n">
        <f aca="false">Sens!$E$6232+(glt_xbox-Sens!$E$6232)*MIN(1,(Sens!I6172-base_fy)/n_conv)</f>
        <v>-0.0103289987920131</v>
      </c>
      <c r="J6232" s="7" t="n">
        <f aca="false">Sens!$E$6232+(glt_xbox-Sens!$E$6232)*MIN(1,(Sens!J6172-base_fy)/n_conv)</f>
        <v>0.00483550060399347</v>
      </c>
      <c r="K6232" s="7" t="n">
        <f aca="false">Sens!$E$6232+(glt_xbox-Sens!$E$6232)*MIN(1,(Sens!K6172-base_fy)/n_conv)</f>
        <v>0.02</v>
      </c>
    </row>
    <row r="6233" customFormat="false" ht="17.15" hidden="false" customHeight="false" outlineLevel="0" collapsed="false">
      <c r="A6233" s="0" t="s">
        <v>1043</v>
      </c>
      <c r="B6233" s="0" t="s">
        <v>98</v>
      </c>
      <c r="D6233" s="6" t="n">
        <f aca="false">Q!L15</f>
        <v>17.315</v>
      </c>
      <c r="E6233" s="6" t="n">
        <f aca="false">Q!M15</f>
        <v>17.087</v>
      </c>
      <c r="F6233" s="6" t="n">
        <f aca="false">Q!$I$15+(Q!M15-Q!$E$15)*(1+Sens!F6234)</f>
        <v>15.9912273250553</v>
      </c>
      <c r="G6233" s="6" t="n">
        <f aca="false">Sens!F6233*(1+Sens!G6234)</f>
        <v>15.9574562664827</v>
      </c>
      <c r="H6233" s="6" t="n">
        <f aca="false">Sens!G6233*(1+Sens!H6234)</f>
        <v>16.0119687434196</v>
      </c>
      <c r="I6233" s="6" t="n">
        <f aca="false">Sens!H6233*(1+Sens!I6234)</f>
        <v>16.1551810001948</v>
      </c>
      <c r="J6233" s="6" t="n">
        <f aca="false">Sens!I6233*(1+Sens!J6234)</f>
        <v>16.3889793892005</v>
      </c>
      <c r="K6233" s="6" t="n">
        <f aca="false">Sens!J6233*(1+Sens!K6234)</f>
        <v>16.7167589769845</v>
      </c>
      <c r="L6233" s="12" t="s">
        <v>1038</v>
      </c>
    </row>
    <row r="6234" customFormat="false" ht="15" hidden="false" customHeight="false" outlineLevel="0" collapsed="false">
      <c r="A6234" s="1" t="s">
        <v>1028</v>
      </c>
      <c r="B6234" s="0" t="s">
        <v>168</v>
      </c>
      <c r="E6234" s="7" t="n">
        <f aca="false">Sens!E6233/Sens!D6233-1</f>
        <v>-0.0131677736066995</v>
      </c>
      <c r="F6234" s="7" t="n">
        <f aca="false">Sens!$E$6234+(glt_win-Sens!$E$6234)*MIN(1,(Sens!F6172-base_fy)/n_conv)</f>
        <v>-0.00763981133891627</v>
      </c>
      <c r="G6234" s="7" t="n">
        <f aca="false">Sens!$E$6234+(glt_win-Sens!$E$6234)*MIN(1,(Sens!G6172-base_fy)/n_conv)</f>
        <v>-0.00211184907113301</v>
      </c>
      <c r="H6234" s="7" t="n">
        <f aca="false">Sens!$E$6234+(glt_win-Sens!$E$6234)*MIN(1,(Sens!H6172-base_fy)/n_conv)</f>
        <v>0.00341611319665024</v>
      </c>
      <c r="I6234" s="7" t="n">
        <f aca="false">Sens!$E$6234+(glt_win-Sens!$E$6234)*MIN(1,(Sens!I6172-base_fy)/n_conv)</f>
        <v>0.00894407546443349</v>
      </c>
      <c r="J6234" s="7" t="n">
        <f aca="false">Sens!$E$6234+(glt_win-Sens!$E$6234)*MIN(1,(Sens!J6172-base_fy)/n_conv)</f>
        <v>0.0144720377322168</v>
      </c>
      <c r="K6234" s="7" t="n">
        <f aca="false">Sens!$E$6234+(glt_win-Sens!$E$6234)*MIN(1,(Sens!K6172-base_fy)/n_conv)</f>
        <v>0.02</v>
      </c>
    </row>
    <row r="6235" customFormat="false" ht="15" hidden="false" customHeight="false" outlineLevel="0" collapsed="false">
      <c r="A6235" s="0" t="s">
        <v>870</v>
      </c>
      <c r="B6235" s="0" t="s">
        <v>98</v>
      </c>
      <c r="D6235" s="6" t="n">
        <f aca="false">Sens!D6229+Sens!D6231+Sens!D6233</f>
        <v>62.941</v>
      </c>
      <c r="E6235" s="6" t="n">
        <f aca="false">Sens!E6229+Sens!E6231+Sens!E6233</f>
        <v>63.712</v>
      </c>
      <c r="F6235" s="6" t="n">
        <f aca="false">Sens!F6229+Sens!F6231+Sens!F6233</f>
        <v>64.3025149952511</v>
      </c>
      <c r="G6235" s="6" t="n">
        <f aca="false">Sens!G6229+Sens!G6231+Sens!G6233</f>
        <v>66.2756719305292</v>
      </c>
      <c r="H6235" s="6" t="n">
        <f aca="false">Sens!H6229+Sens!H6231+Sens!H6233</f>
        <v>68.7139736271804</v>
      </c>
      <c r="I6235" s="6" t="n">
        <f aca="false">Sens!I6229+Sens!I6231+Sens!I6233</f>
        <v>71.5446393194289</v>
      </c>
      <c r="J6235" s="6" t="n">
        <f aca="false">Sens!J6229+Sens!J6231+Sens!J6233</f>
        <v>74.707035000971</v>
      </c>
      <c r="K6235" s="6" t="n">
        <f aca="false">Sens!K6229+Sens!K6231+Sens!K6233</f>
        <v>78.1524145698365</v>
      </c>
    </row>
    <row r="6236" customFormat="false" ht="15" hidden="false" customHeight="false" outlineLevel="0" collapsed="false">
      <c r="A6236" s="1" t="s">
        <v>1044</v>
      </c>
      <c r="B6236" s="0" t="s">
        <v>98</v>
      </c>
      <c r="D6236" s="6" t="n">
        <f aca="false">Sens!D6228+Sens!D6235</f>
        <v>281.724</v>
      </c>
      <c r="E6236" s="6" t="n">
        <f aca="false">Sens!E6228+Sens!E6235</f>
        <v>331.839</v>
      </c>
      <c r="F6236" s="6" t="n">
        <f aca="false">Sens!F6228+Sens!F6235</f>
        <v>403.579320330317</v>
      </c>
      <c r="G6236" s="6" t="n">
        <f aca="false">Sens!G6228+Sens!G6235</f>
        <v>493.109533301616</v>
      </c>
      <c r="H6236" s="6" t="n">
        <f aca="false">Sens!H6228+Sens!H6235</f>
        <v>589.577194234117</v>
      </c>
      <c r="I6236" s="6" t="n">
        <f aca="false">Sens!I6228+Sens!I6235</f>
        <v>671.773446836668</v>
      </c>
      <c r="J6236" s="6" t="n">
        <f aca="false">Sens!J6228+Sens!J6235</f>
        <v>737.938594841622</v>
      </c>
      <c r="K6236" s="6" t="n">
        <f aca="false">Sens!K6228+Sens!K6235</f>
        <v>790.734619465406</v>
      </c>
    </row>
    <row r="6237" customFormat="false" ht="15" hidden="false" customHeight="false" outlineLevel="0" collapsed="false">
      <c r="A6237" s="26" t="s">
        <v>1045</v>
      </c>
      <c r="B6237" s="31" t="s">
        <v>98</v>
      </c>
      <c r="C6237" s="31"/>
      <c r="D6237" s="27" t="n">
        <f aca="false">(Sens!D6216+Sens!D6221+Sens!D6222+Sens!D6224+Sens!D6226-Sens!D6228)+(Sens!D6229+Sens!D6231+Sens!D6233-Sens!D6235)+(Sens!D6228-Q!L5)+(Sens!D6235-Q!L12)+(Sens!D6216-Q!L6)+(Sens!D6221-Q!L7)</f>
        <v>0</v>
      </c>
      <c r="E6237" s="27" t="n">
        <f aca="false">(Sens!E6216+Sens!E6221+Sens!E6222+Sens!E6224+Sens!E6226-Sens!E6228)+(Sens!E6229+Sens!E6231+Sens!E6233-Sens!E6235)+(Sens!E6228-Q!M5)+(Sens!E6235-Q!M12)+(Sens!E6216-Q!M6)+(Sens!E6221-Q!M7)</f>
        <v>0</v>
      </c>
      <c r="F6237" s="27" t="n">
        <f aca="false">(Sens!F6216+Sens!F6221+Sens!F6222+Sens!F6224+Sens!F6226-Sens!F6228)+(Sens!F6229+Sens!F6231+Sens!F6233-Sens!F6235)</f>
        <v>0</v>
      </c>
      <c r="G6237" s="27" t="n">
        <f aca="false">(Sens!G6216+Sens!G6221+Sens!G6222+Sens!G6224+Sens!G6226-Sens!G6228)+(Sens!G6229+Sens!G6231+Sens!G6233-Sens!G6235)</f>
        <v>0</v>
      </c>
      <c r="H6237" s="27" t="n">
        <f aca="false">(Sens!H6216+Sens!H6221+Sens!H6222+Sens!H6224+Sens!H6226-Sens!H6228)+(Sens!H6229+Sens!H6231+Sens!H6233-Sens!H6235)</f>
        <v>0</v>
      </c>
      <c r="I6237" s="27" t="n">
        <f aca="false">(Sens!I6216+Sens!I6221+Sens!I6222+Sens!I6224+Sens!I6226-Sens!I6228)+(Sens!I6229+Sens!I6231+Sens!I6233-Sens!I6235)</f>
        <v>0</v>
      </c>
      <c r="J6237" s="27" t="n">
        <f aca="false">(Sens!J6216+Sens!J6221+Sens!J6222+Sens!J6224+Sens!J6226-Sens!J6228)+(Sens!J6229+Sens!J6231+Sens!J6233-Sens!J6235)</f>
        <v>0</v>
      </c>
      <c r="K6237" s="27" t="n">
        <f aca="false">(Sens!K6216+Sens!K6221+Sens!K6222+Sens!K6224+Sens!K6226-Sens!K6228)+(Sens!K6229+Sens!K6231+Sens!K6233-Sens!K6235)</f>
        <v>0</v>
      </c>
    </row>
    <row r="6238" customFormat="false" ht="17.15" hidden="false" customHeight="false" outlineLevel="0" collapsed="false">
      <c r="A6238" s="3" t="s">
        <v>1767</v>
      </c>
    </row>
    <row r="6239" customFormat="false" ht="15" hidden="false" customHeight="false" outlineLevel="0" collapsed="false">
      <c r="A6239" s="4" t="s">
        <v>43</v>
      </c>
      <c r="B6239" s="4" t="s">
        <v>65</v>
      </c>
      <c r="C6239" s="23" t="s">
        <v>942</v>
      </c>
      <c r="D6239" s="23" t="s">
        <v>943</v>
      </c>
      <c r="E6239" s="23" t="s">
        <v>944</v>
      </c>
      <c r="F6239" s="23" t="s">
        <v>945</v>
      </c>
      <c r="G6239" s="23" t="s">
        <v>946</v>
      </c>
      <c r="H6239" s="23" t="s">
        <v>947</v>
      </c>
      <c r="I6239" s="23" t="s">
        <v>948</v>
      </c>
      <c r="J6239" s="23" t="s">
        <v>949</v>
      </c>
      <c r="K6239" s="23" t="s">
        <v>950</v>
      </c>
      <c r="L6239" s="4" t="s">
        <v>47</v>
      </c>
    </row>
    <row r="6240" customFormat="false" ht="15" hidden="false" customHeight="false" outlineLevel="0" collapsed="false">
      <c r="A6240" s="0" t="s">
        <v>1029</v>
      </c>
      <c r="B6240" s="0" t="s">
        <v>98</v>
      </c>
      <c r="D6240" s="6" t="n">
        <f aca="false">Sens!D6216</f>
        <v>72.61</v>
      </c>
      <c r="E6240" s="6" t="n">
        <f aca="false">Sens!E6216</f>
        <v>101.938</v>
      </c>
      <c r="F6240" s="6" t="n">
        <f aca="false">Sens!F6216</f>
        <v>150.09210781294</v>
      </c>
      <c r="G6240" s="6" t="n">
        <f aca="false">Sens!G6216</f>
        <v>212.288890180902</v>
      </c>
      <c r="H6240" s="6" t="n">
        <f aca="false">Sens!H6216</f>
        <v>280.93211593454</v>
      </c>
      <c r="I6240" s="6" t="n">
        <f aca="false">Sens!I6216</f>
        <v>337.430480792117</v>
      </c>
      <c r="J6240" s="6" t="n">
        <f aca="false">Sens!J6216</f>
        <v>380.403062420268</v>
      </c>
      <c r="K6240" s="6" t="n">
        <f aca="false">Sens!K6216</f>
        <v>410.641649521083</v>
      </c>
    </row>
    <row r="6241" customFormat="false" ht="17.15" hidden="false" customHeight="false" outlineLevel="0" collapsed="false">
      <c r="A6241" s="0" t="s">
        <v>1025</v>
      </c>
      <c r="B6241" s="0" t="s">
        <v>98</v>
      </c>
      <c r="D6241" s="6" t="n">
        <f aca="false">Sens!D6213</f>
        <v>12.9359794422418</v>
      </c>
      <c r="E6241" s="6" t="n">
        <f aca="false">Sens!E6213</f>
        <v>27.8095064661409</v>
      </c>
      <c r="F6241" s="6" t="n">
        <f aca="false">Sens!F6213</f>
        <v>59.746778223961</v>
      </c>
      <c r="G6241" s="6" t="n">
        <f aca="false">Sens!G6213</f>
        <v>104.945154104511</v>
      </c>
      <c r="H6241" s="6" t="n">
        <f aca="false">Sens!H6213</f>
        <v>156.294022128879</v>
      </c>
      <c r="I6241" s="6" t="n">
        <f aca="false">Sens!I6213</f>
        <v>196.081580964722</v>
      </c>
      <c r="J6241" s="6" t="n">
        <f aca="false">Sens!J6213</f>
        <v>223.924556041114</v>
      </c>
      <c r="K6241" s="6" t="n">
        <f aca="false">Sens!K6213</f>
        <v>241.644862631596</v>
      </c>
    </row>
    <row r="6242" customFormat="false" ht="17.15" hidden="false" customHeight="false" outlineLevel="0" collapsed="false">
      <c r="A6242" s="0" t="s">
        <v>1056</v>
      </c>
      <c r="B6242" s="0" t="s">
        <v>98</v>
      </c>
      <c r="D6242" s="6" t="n">
        <f aca="false">Sens!D6214</f>
        <v>59.6740205577583</v>
      </c>
      <c r="E6242" s="6" t="n">
        <f aca="false">Sens!E6214</f>
        <v>74.1284935338591</v>
      </c>
      <c r="F6242" s="6" t="n">
        <f aca="false">Sens!F6214</f>
        <v>90.3453295889785</v>
      </c>
      <c r="G6242" s="6" t="n">
        <f aca="false">Sens!G6214</f>
        <v>107.34373607639</v>
      </c>
      <c r="H6242" s="6" t="n">
        <f aca="false">Sens!H6214</f>
        <v>124.638093805661</v>
      </c>
      <c r="I6242" s="6" t="n">
        <f aca="false">Sens!I6214</f>
        <v>141.348899827394</v>
      </c>
      <c r="J6242" s="6" t="n">
        <f aca="false">Sens!J6214</f>
        <v>156.478506379154</v>
      </c>
      <c r="K6242" s="6" t="n">
        <f aca="false">Sens!K6214</f>
        <v>168.996786889487</v>
      </c>
    </row>
    <row r="6243" customFormat="false" ht="15" hidden="false" customHeight="false" outlineLevel="0" collapsed="false">
      <c r="A6243" s="0" t="s">
        <v>1036</v>
      </c>
      <c r="B6243" s="0" t="s">
        <v>98</v>
      </c>
      <c r="D6243" s="6" t="n">
        <f aca="false">Sens!D6221</f>
        <v>84.605</v>
      </c>
      <c r="E6243" s="6" t="n">
        <f aca="false">Sens!E6221</f>
        <v>100.299</v>
      </c>
      <c r="F6243" s="6" t="n">
        <f aca="false">Sens!F6221</f>
        <v>119.729653205718</v>
      </c>
      <c r="G6243" s="6" t="n">
        <f aca="false">Sens!G6221</f>
        <v>140.806092647576</v>
      </c>
      <c r="H6243" s="6" t="n">
        <f aca="false">Sens!H6221</f>
        <v>161.963437602768</v>
      </c>
      <c r="I6243" s="6" t="n">
        <f aca="false">Sens!I6221</f>
        <v>180.695354741933</v>
      </c>
      <c r="J6243" s="6" t="n">
        <f aca="false">Sens!J6221</f>
        <v>196.722117481571</v>
      </c>
      <c r="K6243" s="6" t="n">
        <f aca="false">Sens!K6221</f>
        <v>212.00016570528</v>
      </c>
    </row>
    <row r="6244" customFormat="false" ht="17.15" hidden="false" customHeight="false" outlineLevel="0" collapsed="false">
      <c r="A6244" s="0" t="s">
        <v>1057</v>
      </c>
      <c r="B6244" s="0" t="s">
        <v>98</v>
      </c>
      <c r="D6244" s="6" t="n">
        <f aca="false">Sens!D6219</f>
        <v>83.705</v>
      </c>
      <c r="E6244" s="6" t="n">
        <f aca="false">Sens!E6219</f>
        <v>95.049</v>
      </c>
      <c r="F6244" s="6" t="n">
        <f aca="false">Sens!F6219</f>
        <v>106.229653205718</v>
      </c>
      <c r="G6244" s="6" t="n">
        <f aca="false">Sens!G6219</f>
        <v>118.306092647576</v>
      </c>
      <c r="H6244" s="6" t="n">
        <f aca="false">Sens!H6219</f>
        <v>130.463437602768</v>
      </c>
      <c r="I6244" s="6" t="n">
        <f aca="false">Sens!I6219</f>
        <v>142.445354741933</v>
      </c>
      <c r="J6244" s="6" t="n">
        <f aca="false">Sens!J6219</f>
        <v>153.972117481571</v>
      </c>
      <c r="K6244" s="6" t="n">
        <f aca="false">Sens!K6219</f>
        <v>164.75016570528</v>
      </c>
    </row>
    <row r="6245" customFormat="false" ht="17.15" hidden="false" customHeight="false" outlineLevel="0" collapsed="false">
      <c r="A6245" s="0" t="s">
        <v>1058</v>
      </c>
      <c r="B6245" s="0" t="s">
        <v>98</v>
      </c>
      <c r="D6245" s="6" t="n">
        <f aca="false">Sens!D6218</f>
        <v>0.9</v>
      </c>
      <c r="E6245" s="6" t="n">
        <f aca="false">Sens!E6218</f>
        <v>5.25</v>
      </c>
      <c r="F6245" s="6" t="n">
        <f aca="false">Sens!F6218</f>
        <v>13.5</v>
      </c>
      <c r="G6245" s="6" t="n">
        <f aca="false">Sens!G6218</f>
        <v>22.5</v>
      </c>
      <c r="H6245" s="6" t="n">
        <f aca="false">Sens!H6218</f>
        <v>31.5</v>
      </c>
      <c r="I6245" s="6" t="n">
        <f aca="false">Sens!I6218</f>
        <v>38.25</v>
      </c>
      <c r="J6245" s="6" t="n">
        <f aca="false">Sens!J6218</f>
        <v>42.75</v>
      </c>
      <c r="K6245" s="6" t="n">
        <f aca="false">Sens!K6218</f>
        <v>47.25</v>
      </c>
    </row>
    <row r="6246" customFormat="false" ht="15" hidden="false" customHeight="false" outlineLevel="0" collapsed="false">
      <c r="A6246" s="0" t="s">
        <v>1037</v>
      </c>
      <c r="B6246" s="0" t="s">
        <v>98</v>
      </c>
      <c r="D6246" s="6" t="n">
        <f aca="false">Sens!D6222</f>
        <v>35.391</v>
      </c>
      <c r="E6246" s="6" t="n">
        <f aca="false">Sens!E6222</f>
        <v>37.285</v>
      </c>
      <c r="F6246" s="6" t="n">
        <f aca="false">Sens!F6222</f>
        <v>38.3851437782675</v>
      </c>
      <c r="G6246" s="6" t="n">
        <f aca="false">Sens!G6222</f>
        <v>40.0105353288615</v>
      </c>
      <c r="H6246" s="6" t="n">
        <f aca="false">Sens!H6222</f>
        <v>41.4812512033683</v>
      </c>
      <c r="I6246" s="6" t="n">
        <f aca="false">Sens!I6222</f>
        <v>42.7743107216329</v>
      </c>
      <c r="J6246" s="6" t="n">
        <f aca="false">Sens!J6222</f>
        <v>43.8687373064601</v>
      </c>
      <c r="K6246" s="6" t="n">
        <f aca="false">Sens!K6222</f>
        <v>44.7461120525893</v>
      </c>
    </row>
    <row r="6247" customFormat="false" ht="15" hidden="false" customHeight="false" outlineLevel="0" collapsed="false">
      <c r="A6247" s="0" t="s">
        <v>1039</v>
      </c>
      <c r="B6247" s="0" t="s">
        <v>98</v>
      </c>
      <c r="D6247" s="6" t="n">
        <f aca="false">Sens!D6224</f>
        <v>18.417</v>
      </c>
      <c r="E6247" s="6" t="n">
        <f aca="false">Sens!E6224</f>
        <v>20.345</v>
      </c>
      <c r="F6247" s="6" t="n">
        <f aca="false">Sens!F6224</f>
        <v>22.3161797133988</v>
      </c>
      <c r="G6247" s="6" t="n">
        <f aca="false">Sens!G6224</f>
        <v>24.3943499673233</v>
      </c>
      <c r="H6247" s="6" t="n">
        <f aca="false">Sens!H6224</f>
        <v>26.5250243109019</v>
      </c>
      <c r="I6247" s="6" t="n">
        <f aca="false">Sens!I6224</f>
        <v>28.6884573538181</v>
      </c>
      <c r="J6247" s="6" t="n">
        <f aca="false">Sens!J6224</f>
        <v>30.8624968052127</v>
      </c>
      <c r="K6247" s="6" t="n">
        <f aca="false">Sens!K6224</f>
        <v>33.0228715815776</v>
      </c>
    </row>
    <row r="6248" customFormat="false" ht="15" hidden="false" customHeight="false" outlineLevel="0" collapsed="false">
      <c r="A6248" s="0" t="s">
        <v>1040</v>
      </c>
      <c r="B6248" s="0" t="s">
        <v>98</v>
      </c>
      <c r="D6248" s="6" t="n">
        <f aca="false">Sens!D6226</f>
        <v>7.76</v>
      </c>
      <c r="E6248" s="6" t="n">
        <f aca="false">Sens!E6226</f>
        <v>8.26</v>
      </c>
      <c r="F6248" s="6" t="n">
        <f aca="false">Sens!F6226</f>
        <v>8.75372082474227</v>
      </c>
      <c r="G6248" s="6" t="n">
        <f aca="false">Sens!G6226</f>
        <v>9.33399324642364</v>
      </c>
      <c r="H6248" s="6" t="n">
        <f aca="false">Sens!H6226</f>
        <v>9.96139155535851</v>
      </c>
      <c r="I6248" s="6" t="n">
        <f aca="false">Sens!I6226</f>
        <v>10.6402039077391</v>
      </c>
      <c r="J6248" s="6" t="n">
        <f aca="false">Sens!J6226</f>
        <v>11.3751458271397</v>
      </c>
      <c r="K6248" s="6" t="n">
        <f aca="false">Sens!K6226</f>
        <v>12.1714060350394</v>
      </c>
    </row>
    <row r="6249" customFormat="false" ht="15" hidden="false" customHeight="false" outlineLevel="0" collapsed="false">
      <c r="A6249" s="0" t="s">
        <v>856</v>
      </c>
      <c r="B6249" s="0" t="s">
        <v>98</v>
      </c>
      <c r="D6249" s="6" t="n">
        <f aca="false">Sens!D6228</f>
        <v>218.783</v>
      </c>
      <c r="E6249" s="6" t="n">
        <f aca="false">Sens!E6228</f>
        <v>268.127</v>
      </c>
      <c r="F6249" s="6" t="n">
        <f aca="false">Sens!F6228</f>
        <v>339.276805335066</v>
      </c>
      <c r="G6249" s="6" t="n">
        <f aca="false">Sens!G6228</f>
        <v>426.833861371086</v>
      </c>
      <c r="H6249" s="6" t="n">
        <f aca="false">Sens!H6228</f>
        <v>520.863220606937</v>
      </c>
      <c r="I6249" s="6" t="n">
        <f aca="false">Sens!I6228</f>
        <v>600.22880751724</v>
      </c>
      <c r="J6249" s="6" t="n">
        <f aca="false">Sens!J6228</f>
        <v>663.231559840651</v>
      </c>
      <c r="K6249" s="6" t="n">
        <f aca="false">Sens!K6228</f>
        <v>712.58220489557</v>
      </c>
    </row>
    <row r="6250" customFormat="false" ht="15" hidden="false" customHeight="false" outlineLevel="0" collapsed="false">
      <c r="A6250" s="0" t="s">
        <v>1041</v>
      </c>
      <c r="B6250" s="0" t="s">
        <v>98</v>
      </c>
      <c r="D6250" s="6" t="n">
        <f aca="false">Sens!D6229</f>
        <v>22.171</v>
      </c>
      <c r="E6250" s="6" t="n">
        <f aca="false">Sens!E6229</f>
        <v>24.835</v>
      </c>
      <c r="F6250" s="6" t="n">
        <f aca="false">Sens!F6229</f>
        <v>27.5591895660247</v>
      </c>
      <c r="G6250" s="6" t="n">
        <f aca="false">Sens!G6229</f>
        <v>30.4098563144583</v>
      </c>
      <c r="H6250" s="6" t="n">
        <f aca="false">Sens!H6229</f>
        <v>33.3011792571777</v>
      </c>
      <c r="I6250" s="6" t="n">
        <f aca="false">Sens!I6229</f>
        <v>36.189023797112</v>
      </c>
      <c r="J6250" s="6" t="n">
        <f aca="false">Sens!J6229</f>
        <v>39.0247773769199</v>
      </c>
      <c r="K6250" s="6" t="n">
        <f aca="false">Sens!K6229</f>
        <v>41.7565117933043</v>
      </c>
    </row>
    <row r="6251" customFormat="false" ht="15" hidden="false" customHeight="false" outlineLevel="0" collapsed="false">
      <c r="A6251" s="0" t="s">
        <v>1042</v>
      </c>
      <c r="B6251" s="0" t="s">
        <v>98</v>
      </c>
      <c r="D6251" s="6" t="n">
        <f aca="false">Sens!D6231</f>
        <v>23.455</v>
      </c>
      <c r="E6251" s="6" t="n">
        <f aca="false">Sens!E6231</f>
        <v>21.79</v>
      </c>
      <c r="F6251" s="6" t="n">
        <f aca="false">Sens!F6231</f>
        <v>20.7520981041711</v>
      </c>
      <c r="G6251" s="6" t="n">
        <f aca="false">Sens!G6231</f>
        <v>19.9083593495882</v>
      </c>
      <c r="H6251" s="6" t="n">
        <f aca="false">Sens!H6231</f>
        <v>19.4008256265831</v>
      </c>
      <c r="I6251" s="6" t="n">
        <f aca="false">Sens!I6231</f>
        <v>19.200434522122</v>
      </c>
      <c r="J6251" s="6" t="n">
        <f aca="false">Sens!J6231</f>
        <v>19.2932782348507</v>
      </c>
      <c r="K6251" s="6" t="n">
        <f aca="false">Sens!K6231</f>
        <v>19.6791437995477</v>
      </c>
    </row>
    <row r="6252" customFormat="false" ht="15" hidden="false" customHeight="false" outlineLevel="0" collapsed="false">
      <c r="A6252" s="0" t="s">
        <v>1043</v>
      </c>
      <c r="B6252" s="0" t="s">
        <v>98</v>
      </c>
      <c r="D6252" s="6" t="n">
        <f aca="false">Sens!D6233</f>
        <v>17.315</v>
      </c>
      <c r="E6252" s="6" t="n">
        <f aca="false">Sens!E6233</f>
        <v>17.087</v>
      </c>
      <c r="F6252" s="6" t="n">
        <f aca="false">Sens!F6233</f>
        <v>15.9912273250553</v>
      </c>
      <c r="G6252" s="6" t="n">
        <f aca="false">Sens!G6233</f>
        <v>15.9574562664827</v>
      </c>
      <c r="H6252" s="6" t="n">
        <f aca="false">Sens!H6233</f>
        <v>16.0119687434196</v>
      </c>
      <c r="I6252" s="6" t="n">
        <f aca="false">Sens!I6233</f>
        <v>16.1551810001948</v>
      </c>
      <c r="J6252" s="6" t="n">
        <f aca="false">Sens!J6233</f>
        <v>16.3889793892005</v>
      </c>
      <c r="K6252" s="6" t="n">
        <f aca="false">Sens!K6233</f>
        <v>16.7167589769845</v>
      </c>
    </row>
    <row r="6253" customFormat="false" ht="15" hidden="false" customHeight="false" outlineLevel="0" collapsed="false">
      <c r="A6253" s="0" t="s">
        <v>870</v>
      </c>
      <c r="B6253" s="0" t="s">
        <v>98</v>
      </c>
      <c r="D6253" s="6" t="n">
        <f aca="false">Sens!D6235</f>
        <v>62.941</v>
      </c>
      <c r="E6253" s="6" t="n">
        <f aca="false">Sens!E6235</f>
        <v>63.712</v>
      </c>
      <c r="F6253" s="6" t="n">
        <f aca="false">Sens!F6235</f>
        <v>64.3025149952511</v>
      </c>
      <c r="G6253" s="6" t="n">
        <f aca="false">Sens!G6235</f>
        <v>66.2756719305292</v>
      </c>
      <c r="H6253" s="6" t="n">
        <f aca="false">Sens!H6235</f>
        <v>68.7139736271804</v>
      </c>
      <c r="I6253" s="6" t="n">
        <f aca="false">Sens!I6235</f>
        <v>71.5446393194289</v>
      </c>
      <c r="J6253" s="6" t="n">
        <f aca="false">Sens!J6235</f>
        <v>74.707035000971</v>
      </c>
      <c r="K6253" s="6" t="n">
        <f aca="false">Sens!K6235</f>
        <v>78.1524145698365</v>
      </c>
    </row>
    <row r="6254" customFormat="false" ht="15" hidden="false" customHeight="false" outlineLevel="0" collapsed="false">
      <c r="A6254" s="1" t="s">
        <v>1059</v>
      </c>
      <c r="B6254" s="0" t="s">
        <v>98</v>
      </c>
      <c r="D6254" s="6" t="n">
        <f aca="false">Sens!D6236</f>
        <v>281.724</v>
      </c>
      <c r="E6254" s="6" t="n">
        <f aca="false">Sens!E6236</f>
        <v>331.839</v>
      </c>
      <c r="F6254" s="6" t="n">
        <f aca="false">Sens!F6236</f>
        <v>403.579320330317</v>
      </c>
      <c r="G6254" s="6" t="n">
        <f aca="false">Sens!G6236</f>
        <v>493.109533301616</v>
      </c>
      <c r="H6254" s="6" t="n">
        <f aca="false">Sens!H6236</f>
        <v>589.577194234117</v>
      </c>
      <c r="I6254" s="6" t="n">
        <f aca="false">Sens!I6236</f>
        <v>671.773446836668</v>
      </c>
      <c r="J6254" s="6" t="n">
        <f aca="false">Sens!J6236</f>
        <v>737.938594841622</v>
      </c>
      <c r="K6254" s="6" t="n">
        <f aca="false">Sens!K6236</f>
        <v>790.734619465406</v>
      </c>
    </row>
    <row r="6255" customFormat="false" ht="15" hidden="false" customHeight="false" outlineLevel="0" collapsed="false">
      <c r="A6255" s="1" t="s">
        <v>1060</v>
      </c>
      <c r="B6255" s="0" t="s">
        <v>168</v>
      </c>
      <c r="E6255" s="7" t="n">
        <f aca="false">Sens!E6254/Sens!D6254-1</f>
        <v>0.177886867998467</v>
      </c>
      <c r="F6255" s="7" t="n">
        <f aca="false">Sens!F6254/Sens!E6254-1</f>
        <v>0.216190141394825</v>
      </c>
      <c r="G6255" s="7" t="n">
        <f aca="false">Sens!G6254/Sens!F6254-1</f>
        <v>0.221840437458541</v>
      </c>
      <c r="H6255" s="7" t="n">
        <f aca="false">Sens!H6254/Sens!G6254-1</f>
        <v>0.195631303833454</v>
      </c>
      <c r="I6255" s="7" t="n">
        <f aca="false">Sens!I6254/Sens!H6254-1</f>
        <v>0.139415590369515</v>
      </c>
      <c r="J6255" s="7" t="n">
        <f aca="false">Sens!J6254/Sens!I6254-1</f>
        <v>0.0984932469666979</v>
      </c>
      <c r="K6255" s="7" t="n">
        <f aca="false">Sens!K6254/Sens!J6254-1</f>
        <v>0.0715452816709161</v>
      </c>
    </row>
    <row r="6256" customFormat="false" ht="17.15" hidden="false" customHeight="false" outlineLevel="0" collapsed="false">
      <c r="A6256" s="26" t="s">
        <v>1061</v>
      </c>
      <c r="B6256" s="31" t="s">
        <v>98</v>
      </c>
      <c r="C6256" s="31"/>
      <c r="D6256" s="27" t="n">
        <f aca="false">(Sens!D6249+Sens!D6253-Sens!D6254)+(Sens!D6241+Sens!D6242-Sens!D6240)+(Sens!D6244+Sens!D6245-Sens!D6243)+(Sens!D6254-Q!L18)</f>
        <v>0</v>
      </c>
      <c r="E6256" s="27" t="n">
        <f aca="false">(Sens!E6249+Sens!E6253-Sens!E6254)+(Sens!E6241+Sens!E6242-Sens!E6240)+(Sens!E6244+Sens!E6245-Sens!E6243)+(Sens!E6254-Q!M18)</f>
        <v>0</v>
      </c>
      <c r="F6256" s="27" t="n">
        <f aca="false">(Sens!F6249+Sens!F6253-Sens!F6254)+(Sens!F6241+Sens!F6242-Sens!F6240)+(Sens!F6244+Sens!F6245-Sens!F6243)</f>
        <v>0</v>
      </c>
      <c r="G6256" s="27" t="n">
        <f aca="false">(Sens!G6249+Sens!G6253-Sens!G6254)+(Sens!G6241+Sens!G6242-Sens!G6240)+(Sens!G6244+Sens!G6245-Sens!G6243)</f>
        <v>0</v>
      </c>
      <c r="H6256" s="27" t="n">
        <f aca="false">(Sens!H6249+Sens!H6253-Sens!H6254)+(Sens!H6241+Sens!H6242-Sens!H6240)+(Sens!H6244+Sens!H6245-Sens!H6243)</f>
        <v>0</v>
      </c>
      <c r="I6256" s="27" t="n">
        <f aca="false">(Sens!I6249+Sens!I6253-Sens!I6254)+(Sens!I6241+Sens!I6242-Sens!I6240)+(Sens!I6244+Sens!I6245-Sens!I6243)</f>
        <v>0</v>
      </c>
      <c r="J6256" s="27" t="n">
        <f aca="false">(Sens!J6249+Sens!J6253-Sens!J6254)+(Sens!J6241+Sens!J6242-Sens!J6240)+(Sens!J6244+Sens!J6245-Sens!J6243)</f>
        <v>0</v>
      </c>
      <c r="K6256" s="27" t="n">
        <f aca="false">(Sens!K6249+Sens!K6253-Sens!K6254)+(Sens!K6241+Sens!K6242-Sens!K6240)+(Sens!K6244+Sens!K6245-Sens!K6243)</f>
        <v>0</v>
      </c>
    </row>
    <row r="6257" customFormat="false" ht="17.15" hidden="false" customHeight="false" outlineLevel="0" collapsed="false">
      <c r="A6257" s="0" t="s">
        <v>1062</v>
      </c>
      <c r="B6257" s="0" t="s">
        <v>168</v>
      </c>
      <c r="E6257" s="7" t="n">
        <f aca="false">(Q!M21+Sens!E6193+Sens!E6194+Sens!E6195+Sens!E6209-Sens!E6191)/(Q!M5-Sens!E6191)</f>
        <v>0.570957350878296</v>
      </c>
      <c r="F6257" s="7" t="n">
        <f aca="false">Sens!$E$6257+dm_seg</f>
        <v>0.570957350878296</v>
      </c>
      <c r="G6257" s="7" t="n">
        <f aca="false">Sens!$E$6257+dm_seg</f>
        <v>0.570957350878296</v>
      </c>
      <c r="H6257" s="7" t="n">
        <f aca="false">Sens!$E$6257+dm_seg</f>
        <v>0.570957350878296</v>
      </c>
      <c r="I6257" s="7" t="n">
        <f aca="false">Sens!$E$6257+dm_seg</f>
        <v>0.570957350878296</v>
      </c>
      <c r="J6257" s="7" t="n">
        <f aca="false">Sens!$E$6257+dm_seg</f>
        <v>0.570957350878296</v>
      </c>
      <c r="K6257" s="7" t="n">
        <f aca="false">Sens!$E$6257+dm_seg</f>
        <v>0.570957350878296</v>
      </c>
      <c r="L6257" s="12" t="s">
        <v>1063</v>
      </c>
    </row>
    <row r="6258" customFormat="false" ht="17.15" hidden="false" customHeight="false" outlineLevel="0" collapsed="false">
      <c r="A6258" s="0" t="s">
        <v>884</v>
      </c>
      <c r="B6258" s="0" t="s">
        <v>98</v>
      </c>
      <c r="D6258" s="6" t="n">
        <f aca="false">Q!L21</f>
        <v>110.814</v>
      </c>
      <c r="E6258" s="6" t="n">
        <f aca="false">Q!M21</f>
        <v>136.365</v>
      </c>
      <c r="F6258" s="6" t="n">
        <f aca="false">Q!$I$21+(Sens!F6257*(Sens!F6228-Sens!F6191)+Sens!F6191-(Sens!F6193+Sens!F6194+Sens!F6195)-Sens!F6209-Sens!F6292)*(Sens!F6228-Q!$I$5)/Sens!F6228</f>
        <v>166.006297094435</v>
      </c>
      <c r="G6258" s="6" t="n">
        <f aca="false">(Sens!G6257*(Sens!G6228-Sens!G6191)+Sens!G6191-(Sens!G6193+Sens!G6194+Sens!G6195)-Sens!G6209-Sens!G6292)</f>
        <v>192.917369610367</v>
      </c>
      <c r="H6258" s="6" t="n">
        <f aca="false">(Sens!H6257*(Sens!H6228-Sens!H6191)+Sens!H6191-(Sens!H6193+Sens!H6194+Sens!H6195)-Sens!H6209-Sens!H6292)</f>
        <v>228.1402200969</v>
      </c>
      <c r="I6258" s="6" t="n">
        <f aca="false">(Sens!I6257*(Sens!I6228-Sens!I6191)+Sens!I6191-(Sens!I6193+Sens!I6194+Sens!I6195)-Sens!I6209-Sens!I6292)</f>
        <v>254.895589362644</v>
      </c>
      <c r="J6258" s="6" t="n">
        <f aca="false">(Sens!J6257*(Sens!J6228-Sens!J6191)+Sens!J6191-(Sens!J6193+Sens!J6194+Sens!J6195)-Sens!J6209-Sens!J6292)</f>
        <v>277.882640721178</v>
      </c>
      <c r="K6258" s="6" t="n">
        <f aca="false">(Sens!K6257*(Sens!K6228-Sens!K6191)+Sens!K6191-(Sens!K6193+Sens!K6194+Sens!K6195)-Sens!K6209-Sens!K6292)</f>
        <v>298.609312380388</v>
      </c>
      <c r="L6258" s="1" t="s">
        <v>1064</v>
      </c>
    </row>
    <row r="6259" customFormat="false" ht="17.15" hidden="false" customHeight="false" outlineLevel="0" collapsed="false">
      <c r="A6259" s="0" t="s">
        <v>1065</v>
      </c>
      <c r="B6259" s="0" t="s">
        <v>168</v>
      </c>
      <c r="E6259" s="7" t="n">
        <f aca="false">Q!M22/Q!M12</f>
        <v>0.296207935710698</v>
      </c>
      <c r="F6259" s="7" t="n">
        <f aca="false">Sens!$E$6259+dm_seg</f>
        <v>0.296207935710698</v>
      </c>
      <c r="G6259" s="7" t="n">
        <f aca="false">Sens!$E$6259+dm_seg</f>
        <v>0.296207935710698</v>
      </c>
      <c r="H6259" s="7" t="n">
        <f aca="false">Sens!$E$6259+dm_seg</f>
        <v>0.296207935710698</v>
      </c>
      <c r="I6259" s="7" t="n">
        <f aca="false">Sens!$E$6259+dm_seg</f>
        <v>0.296207935710698</v>
      </c>
      <c r="J6259" s="7" t="n">
        <f aca="false">Sens!$E$6259+dm_seg</f>
        <v>0.296207935710698</v>
      </c>
      <c r="K6259" s="7" t="n">
        <f aca="false">Sens!$E$6259+dm_seg</f>
        <v>0.296207935710698</v>
      </c>
      <c r="L6259" s="12" t="s">
        <v>1066</v>
      </c>
    </row>
    <row r="6260" customFormat="false" ht="17.15" hidden="false" customHeight="false" outlineLevel="0" collapsed="false">
      <c r="A6260" s="0" t="s">
        <v>886</v>
      </c>
      <c r="B6260" s="0" t="s">
        <v>98</v>
      </c>
      <c r="D6260" s="6" t="n">
        <f aca="false">Q!L22</f>
        <v>17.714</v>
      </c>
      <c r="E6260" s="6" t="n">
        <f aca="false">Q!M22</f>
        <v>18.872</v>
      </c>
      <c r="F6260" s="6" t="n">
        <f aca="false">Q!$I$22+(Sens!F6235-Q!$I$12)*Sens!F6259</f>
        <v>19.8174315512051</v>
      </c>
      <c r="G6260" s="6" t="n">
        <f aca="false">Sens!G6235*Sens!G6259</f>
        <v>19.6313799703815</v>
      </c>
      <c r="H6260" s="6" t="n">
        <f aca="false">Sens!H6235*Sens!H6259</f>
        <v>20.3536242825865</v>
      </c>
      <c r="I6260" s="6" t="n">
        <f aca="false">Sens!I6235*Sens!I6259</f>
        <v>21.1920899239745</v>
      </c>
      <c r="J6260" s="6" t="n">
        <f aca="false">Sens!J6235*Sens!J6259</f>
        <v>22.1288166207045</v>
      </c>
      <c r="K6260" s="6" t="n">
        <f aca="false">Sens!K6235*Sens!K6259</f>
        <v>23.1493653905379</v>
      </c>
      <c r="L6260" s="12" t="s">
        <v>1067</v>
      </c>
    </row>
    <row r="6261" customFormat="false" ht="15" hidden="false" customHeight="false" outlineLevel="0" collapsed="false">
      <c r="A6261" s="1" t="s">
        <v>1068</v>
      </c>
      <c r="B6261" s="0" t="s">
        <v>98</v>
      </c>
      <c r="D6261" s="6" t="n">
        <f aca="false">Sens!D6258+Sens!D6260</f>
        <v>128.528</v>
      </c>
      <c r="E6261" s="6" t="n">
        <f aca="false">Sens!E6258+Sens!E6260</f>
        <v>155.237</v>
      </c>
      <c r="F6261" s="6" t="n">
        <f aca="false">Sens!F6258+Sens!F6260</f>
        <v>185.82372864564</v>
      </c>
      <c r="G6261" s="6" t="n">
        <f aca="false">Sens!G6258+Sens!G6260</f>
        <v>212.548749580748</v>
      </c>
      <c r="H6261" s="6" t="n">
        <f aca="false">Sens!H6258+Sens!H6260</f>
        <v>248.493844379486</v>
      </c>
      <c r="I6261" s="6" t="n">
        <f aca="false">Sens!I6258+Sens!I6260</f>
        <v>276.087679286619</v>
      </c>
      <c r="J6261" s="6" t="n">
        <f aca="false">Sens!J6258+Sens!J6260</f>
        <v>300.011457341882</v>
      </c>
      <c r="K6261" s="6" t="n">
        <f aca="false">Sens!K6258+Sens!K6260</f>
        <v>321.758677770926</v>
      </c>
    </row>
    <row r="6262" customFormat="false" ht="15" hidden="false" customHeight="false" outlineLevel="0" collapsed="false">
      <c r="A6262" s="26" t="s">
        <v>1069</v>
      </c>
      <c r="B6262" s="31" t="s">
        <v>98</v>
      </c>
      <c r="C6262" s="31"/>
      <c r="D6262" s="27" t="n">
        <f aca="false">Sens!D6261-Q!L23</f>
        <v>0</v>
      </c>
      <c r="E6262" s="27" t="n">
        <f aca="false">Sens!E6261-Q!M23</f>
        <v>0</v>
      </c>
      <c r="F6262" s="31"/>
      <c r="G6262" s="31"/>
      <c r="H6262" s="31"/>
      <c r="I6262" s="31"/>
      <c r="J6262" s="31"/>
      <c r="K6262" s="31"/>
    </row>
    <row r="6263" customFormat="false" ht="15" hidden="false" customHeight="false" outlineLevel="0" collapsed="false">
      <c r="A6263" s="1" t="s">
        <v>1070</v>
      </c>
      <c r="B6263" s="0" t="s">
        <v>168</v>
      </c>
      <c r="D6263" s="7" t="n">
        <f aca="false">Sens!D6261/Sens!D6254</f>
        <v>0.456219562408598</v>
      </c>
      <c r="E6263" s="7" t="n">
        <f aca="false">Sens!E6261/Sens!E6254</f>
        <v>0.467808184089272</v>
      </c>
      <c r="F6263" s="7" t="n">
        <f aca="false">Sens!F6261/Sens!F6254</f>
        <v>0.460439173378728</v>
      </c>
      <c r="G6263" s="7" t="n">
        <f aca="false">Sens!G6261/Sens!G6254</f>
        <v>0.43103759961327</v>
      </c>
      <c r="H6263" s="7" t="n">
        <f aca="false">Sens!H6261/Sens!H6254</f>
        <v>0.421478046996525</v>
      </c>
      <c r="I6263" s="7" t="n">
        <f aca="false">Sens!I6261/Sens!I6254</f>
        <v>0.410983316751645</v>
      </c>
      <c r="J6263" s="7" t="n">
        <f aca="false">Sens!J6261/Sens!J6254</f>
        <v>0.40655341709871</v>
      </c>
      <c r="K6263" s="7" t="n">
        <f aca="false">Sens!K6261/Sens!K6254</f>
        <v>0.40691107971023</v>
      </c>
    </row>
    <row r="6264" customFormat="false" ht="17.15" hidden="false" customHeight="false" outlineLevel="0" collapsed="false">
      <c r="A6264" s="1" t="s">
        <v>1071</v>
      </c>
      <c r="B6264" s="0" t="s">
        <v>98</v>
      </c>
      <c r="F6264" s="6" t="n">
        <f aca="false">Sens!F6279</f>
        <v>8.88340674531245</v>
      </c>
      <c r="G6264" s="6" t="n">
        <f aca="false">Sens!G6279</f>
        <v>22.7060305170273</v>
      </c>
      <c r="H6264" s="6" t="n">
        <f aca="false">Sens!H6279</f>
        <v>38.0018452382075</v>
      </c>
      <c r="I6264" s="6" t="n">
        <f aca="false">Sens!I6279</f>
        <v>52.1381094705177</v>
      </c>
      <c r="J6264" s="6" t="n">
        <f aca="false">Sens!J6279</f>
        <v>62.0595818934393</v>
      </c>
      <c r="K6264" s="6" t="n">
        <f aca="false">Sens!K6279</f>
        <v>67.0801312706266</v>
      </c>
      <c r="L6264" s="1" t="s">
        <v>1072</v>
      </c>
    </row>
    <row r="6265" customFormat="false" ht="17.15" hidden="false" customHeight="false" outlineLevel="0" collapsed="false">
      <c r="A6265" s="1" t="s">
        <v>1073</v>
      </c>
      <c r="B6265" s="0" t="s">
        <v>98</v>
      </c>
      <c r="D6265" s="6" t="n">
        <f aca="false">Sens!D6261</f>
        <v>128.528</v>
      </c>
      <c r="E6265" s="6" t="n">
        <f aca="false">Sens!E6261</f>
        <v>155.237</v>
      </c>
      <c r="F6265" s="6" t="n">
        <f aca="false">Sens!F6261+Sens!F6264</f>
        <v>194.707135390953</v>
      </c>
      <c r="G6265" s="6" t="n">
        <f aca="false">Sens!G6261+Sens!G6264</f>
        <v>235.254780097776</v>
      </c>
      <c r="H6265" s="6" t="n">
        <f aca="false">Sens!H6261+Sens!H6264</f>
        <v>286.495689617694</v>
      </c>
      <c r="I6265" s="6" t="n">
        <f aca="false">Sens!I6261+Sens!I6264</f>
        <v>328.225788757136</v>
      </c>
      <c r="J6265" s="6" t="n">
        <f aca="false">Sens!J6261+Sens!J6264</f>
        <v>362.071039235321</v>
      </c>
      <c r="K6265" s="6" t="n">
        <f aca="false">Sens!K6261+Sens!K6264</f>
        <v>388.838809041553</v>
      </c>
    </row>
    <row r="6266" customFormat="false" ht="17.15" hidden="false" customHeight="false" outlineLevel="0" collapsed="false">
      <c r="A6266" s="1" t="s">
        <v>1074</v>
      </c>
      <c r="B6266" s="0" t="s">
        <v>98</v>
      </c>
      <c r="E6266" s="6" t="n">
        <f aca="false">Sens!E6209</f>
        <v>16.3054059770833</v>
      </c>
      <c r="F6266" s="6" t="n">
        <f aca="false">Sens!F6209</f>
        <v>34.5793144783516</v>
      </c>
      <c r="G6266" s="6" t="n">
        <f aca="false">Sens!G6209</f>
        <v>60.7344906522989</v>
      </c>
      <c r="H6266" s="6" t="n">
        <f aca="false">Sens!H6209</f>
        <v>89.1000906614457</v>
      </c>
      <c r="I6266" s="6" t="n">
        <f aca="false">Sens!I6209</f>
        <v>114.231009694548</v>
      </c>
      <c r="J6266" s="6" t="n">
        <f aca="false">Sens!J6209</f>
        <v>132.015673049596</v>
      </c>
      <c r="K6266" s="6" t="n">
        <f aca="false">Sens!K6209</f>
        <v>143.012669550934</v>
      </c>
    </row>
    <row r="6267" customFormat="false" ht="17.15" hidden="false" customHeight="false" outlineLevel="0" collapsed="false">
      <c r="A6267" s="1" t="s">
        <v>1075</v>
      </c>
      <c r="B6267" s="0" t="s">
        <v>98</v>
      </c>
      <c r="E6267" s="6" t="n">
        <f aca="false">Sens!E6291</f>
        <v>22.2285940229167</v>
      </c>
      <c r="F6267" s="6" t="n">
        <f aca="false">Sens!F6291</f>
        <v>23.580344216413</v>
      </c>
      <c r="G6267" s="6" t="n">
        <f aca="false">Sens!G6291</f>
        <v>25.3767845268657</v>
      </c>
      <c r="H6267" s="6" t="n">
        <f aca="false">Sens!H6291</f>
        <v>27.5895447252255</v>
      </c>
      <c r="I6267" s="6" t="n">
        <f aca="false">Sens!I6291</f>
        <v>30.142292761365</v>
      </c>
      <c r="J6267" s="6" t="n">
        <f aca="false">Sens!J6291</f>
        <v>32.9430254672895</v>
      </c>
      <c r="K6267" s="6" t="n">
        <f aca="false">Sens!K6291</f>
        <v>35.9073637302674</v>
      </c>
    </row>
    <row r="6268" customFormat="false" ht="17.15" hidden="false" customHeight="false" outlineLevel="0" collapsed="false">
      <c r="A6268" s="1" t="s">
        <v>1076</v>
      </c>
      <c r="B6268" s="0" t="s">
        <v>98</v>
      </c>
      <c r="D6268" s="6" t="n">
        <f aca="false">Q!L27</f>
        <v>-4.901</v>
      </c>
      <c r="E6268" s="6" t="n">
        <f aca="false">Q!M27</f>
        <v>10.697</v>
      </c>
      <c r="F6268" s="6" t="n">
        <f aca="false">Q!$I$27+oie_f*(q_per_yr-1)/q_per_yr</f>
        <v>-0.862</v>
      </c>
      <c r="G6268" s="6" t="n">
        <f aca="false">oie_f</f>
        <v>-1.2</v>
      </c>
      <c r="H6268" s="6" t="n">
        <f aca="false">oie_f</f>
        <v>-1.2</v>
      </c>
      <c r="I6268" s="6" t="n">
        <f aca="false">oie_f</f>
        <v>-1.2</v>
      </c>
      <c r="J6268" s="6" t="n">
        <f aca="false">oie_f</f>
        <v>-1.2</v>
      </c>
      <c r="K6268" s="6" t="n">
        <f aca="false">oie_f</f>
        <v>-1.2</v>
      </c>
      <c r="L6268" s="12" t="s">
        <v>1077</v>
      </c>
    </row>
    <row r="6269" customFormat="false" ht="15" hidden="false" customHeight="false" outlineLevel="0" collapsed="false">
      <c r="A6269" s="1" t="s">
        <v>1078</v>
      </c>
      <c r="B6269" s="0" t="s">
        <v>98</v>
      </c>
      <c r="D6269" s="6" t="n">
        <f aca="false">Sens!D6261+Sens!D6268</f>
        <v>123.627</v>
      </c>
      <c r="E6269" s="6" t="n">
        <f aca="false">Sens!E6261+Sens!E6268</f>
        <v>165.934</v>
      </c>
      <c r="F6269" s="6" t="n">
        <f aca="false">Sens!F6261+Sens!F6268</f>
        <v>184.96172864564</v>
      </c>
      <c r="G6269" s="6" t="n">
        <f aca="false">Sens!G6261+Sens!G6268</f>
        <v>211.348749580748</v>
      </c>
      <c r="H6269" s="6" t="n">
        <f aca="false">Sens!H6261+Sens!H6268</f>
        <v>247.293844379486</v>
      </c>
      <c r="I6269" s="6" t="n">
        <f aca="false">Sens!I6261+Sens!I6268</f>
        <v>274.887679286619</v>
      </c>
      <c r="J6269" s="6" t="n">
        <f aca="false">Sens!J6261+Sens!J6268</f>
        <v>298.811457341882</v>
      </c>
      <c r="K6269" s="6" t="n">
        <f aca="false">Sens!K6261+Sens!K6268</f>
        <v>320.558677770926</v>
      </c>
    </row>
    <row r="6270" customFormat="false" ht="15" hidden="false" customHeight="false" outlineLevel="0" collapsed="false">
      <c r="A6270" s="1" t="s">
        <v>1079</v>
      </c>
      <c r="B6270" s="0" t="s">
        <v>98</v>
      </c>
      <c r="D6270" s="6" t="n">
        <f aca="false">Q!L29</f>
        <v>21.795</v>
      </c>
      <c r="E6270" s="6" t="n">
        <f aca="false">Q!M29</f>
        <v>32.185</v>
      </c>
      <c r="F6270" s="6" t="n">
        <f aca="false">Q!$I$29+(Sens!F6269-Q!$I$28)*tax_f</f>
        <v>37.125745729128</v>
      </c>
      <c r="G6270" s="6" t="n">
        <f aca="false">Sens!G6269*tax_f</f>
        <v>42.2697499161497</v>
      </c>
      <c r="H6270" s="6" t="n">
        <f aca="false">Sens!H6269*tax_f</f>
        <v>49.4587688758973</v>
      </c>
      <c r="I6270" s="6" t="n">
        <f aca="false">Sens!I6269*tax_f</f>
        <v>54.9775358573237</v>
      </c>
      <c r="J6270" s="6" t="n">
        <f aca="false">Sens!J6269*tax_f</f>
        <v>59.7622914683764</v>
      </c>
      <c r="K6270" s="6" t="n">
        <f aca="false">Sens!K6269*tax_f</f>
        <v>64.1117355541852</v>
      </c>
    </row>
    <row r="6271" customFormat="false" ht="15" hidden="false" customHeight="false" outlineLevel="0" collapsed="false">
      <c r="A6271" s="1" t="s">
        <v>1080</v>
      </c>
      <c r="B6271" s="0" t="s">
        <v>98</v>
      </c>
      <c r="D6271" s="6" t="n">
        <f aca="false">Sens!D6269-Sens!D6270</f>
        <v>101.832</v>
      </c>
      <c r="E6271" s="6" t="n">
        <f aca="false">Sens!E6269-Sens!E6270</f>
        <v>133.749</v>
      </c>
      <c r="F6271" s="6" t="n">
        <f aca="false">Sens!F6269-Sens!F6270</f>
        <v>147.835982916512</v>
      </c>
      <c r="G6271" s="6" t="n">
        <f aca="false">Sens!G6269-Sens!G6270</f>
        <v>169.078999664599</v>
      </c>
      <c r="H6271" s="6" t="n">
        <f aca="false">Sens!H6269-Sens!H6270</f>
        <v>197.835075503589</v>
      </c>
      <c r="I6271" s="6" t="n">
        <f aca="false">Sens!I6269-Sens!I6270</f>
        <v>219.910143429295</v>
      </c>
      <c r="J6271" s="6" t="n">
        <f aca="false">Sens!J6269-Sens!J6270</f>
        <v>239.049165873506</v>
      </c>
      <c r="K6271" s="6" t="n">
        <f aca="false">Sens!K6269-Sens!K6270</f>
        <v>256.446942216741</v>
      </c>
    </row>
    <row r="6272" customFormat="false" ht="17.15" hidden="false" customHeight="false" outlineLevel="0" collapsed="false">
      <c r="A6272" s="1" t="s">
        <v>1081</v>
      </c>
      <c r="B6272" s="1" t="s">
        <v>81</v>
      </c>
      <c r="D6272" s="15" t="n">
        <f aca="false">Q!L31</f>
        <v>7.465</v>
      </c>
      <c r="E6272" s="15" t="n">
        <f aca="false">Q!M31</f>
        <v>7.453</v>
      </c>
      <c r="F6272" s="15" t="n">
        <f aca="false">Sens!F6316</f>
        <v>7.47026242317327</v>
      </c>
      <c r="G6272" s="15" t="n">
        <f aca="false">Sens!G6316</f>
        <v>7.50815711886233</v>
      </c>
      <c r="H6272" s="15" t="n">
        <f aca="false">Sens!H6316</f>
        <v>7.53198933040691</v>
      </c>
      <c r="I6272" s="15" t="n">
        <f aca="false">Sens!I6316</f>
        <v>7.54367069446238</v>
      </c>
      <c r="J6272" s="15" t="n">
        <f aca="false">Sens!J6316</f>
        <v>7.55782010562485</v>
      </c>
      <c r="K6272" s="15" t="n">
        <f aca="false">Sens!K6316</f>
        <v>7.5742547455901</v>
      </c>
    </row>
    <row r="6273" customFormat="false" ht="17.15" hidden="false" customHeight="false" outlineLevel="0" collapsed="false">
      <c r="A6273" s="0" t="s">
        <v>1082</v>
      </c>
      <c r="B6273" s="0" t="s">
        <v>75</v>
      </c>
      <c r="D6273" s="8" t="n">
        <f aca="false">Sens!D6271/Sens!D6272</f>
        <v>13.641259209645</v>
      </c>
      <c r="E6273" s="8" t="n">
        <f aca="false">Sens!E6271/Sens!E6272</f>
        <v>17.9456594659869</v>
      </c>
      <c r="F6273" s="8" t="n">
        <f aca="false">Sens!F6271/Sens!F6272</f>
        <v>19.7899316706619</v>
      </c>
      <c r="G6273" s="8" t="n">
        <f aca="false">Sens!G6271/Sens!G6272</f>
        <v>22.5193741936794</v>
      </c>
      <c r="H6273" s="8" t="n">
        <f aca="false">Sens!H6271/Sens!H6272</f>
        <v>26.2659792552974</v>
      </c>
      <c r="I6273" s="8" t="n">
        <f aca="false">Sens!I6271/Sens!I6272</f>
        <v>29.1516096521453</v>
      </c>
      <c r="J6273" s="8" t="n">
        <f aca="false">Sens!J6271/Sens!J6272</f>
        <v>31.6293802356575</v>
      </c>
      <c r="K6273" s="8" t="n">
        <f aca="false">Sens!K6271/Sens!K6272</f>
        <v>33.8577128483895</v>
      </c>
      <c r="L6273" s="1" t="s">
        <v>1083</v>
      </c>
    </row>
    <row r="6274" customFormat="false" ht="17.15" hidden="false" customHeight="false" outlineLevel="0" collapsed="false">
      <c r="A6274" s="1" t="s">
        <v>1084</v>
      </c>
      <c r="B6274" s="0" t="s">
        <v>98</v>
      </c>
      <c r="D6274" s="6" t="n">
        <f aca="false">Sens!D6271</f>
        <v>101.832</v>
      </c>
      <c r="E6274" s="6" t="n">
        <f aca="false">Sens!E6271</f>
        <v>133.749</v>
      </c>
      <c r="F6274" s="6" t="n">
        <f aca="false">Sens!F6271+Sens!F6264*(1-tax_f)</f>
        <v>154.942708312762</v>
      </c>
      <c r="G6274" s="6" t="n">
        <f aca="false">Sens!G6271+Sens!G6264*(1-tax_f)</f>
        <v>187.243824078221</v>
      </c>
      <c r="H6274" s="6" t="n">
        <f aca="false">Sens!H6271+Sens!H6264*(1-tax_f)</f>
        <v>228.236551694155</v>
      </c>
      <c r="I6274" s="6" t="n">
        <f aca="false">Sens!I6271+Sens!I6264*(1-tax_f)</f>
        <v>261.620631005709</v>
      </c>
      <c r="J6274" s="6" t="n">
        <f aca="false">Sens!J6271+Sens!J6264*(1-tax_f)</f>
        <v>288.696831388257</v>
      </c>
      <c r="K6274" s="6" t="n">
        <f aca="false">Sens!K6271+Sens!K6264*(1-tax_f)</f>
        <v>310.111047233242</v>
      </c>
    </row>
    <row r="6275" customFormat="false" ht="17.15" hidden="false" customHeight="false" outlineLevel="0" collapsed="false">
      <c r="A6275" s="0" t="s">
        <v>1085</v>
      </c>
      <c r="B6275" s="0" t="s">
        <v>75</v>
      </c>
      <c r="D6275" s="8" t="n">
        <f aca="false">Sens!D6274/Sens!D6272</f>
        <v>13.641259209645</v>
      </c>
      <c r="E6275" s="8" t="n">
        <f aca="false">Sens!E6274/Sens!E6272</f>
        <v>17.9456594659869</v>
      </c>
      <c r="F6275" s="8" t="n">
        <f aca="false">Sens!F6274/Sens!F6272</f>
        <v>20.7412671115969</v>
      </c>
      <c r="G6275" s="8" t="n">
        <f aca="false">Sens!G6274/Sens!G6272</f>
        <v>24.9387194639039</v>
      </c>
      <c r="H6275" s="8" t="n">
        <f aca="false">Sens!H6274/Sens!H6272</f>
        <v>30.3022935484993</v>
      </c>
      <c r="I6275" s="8" t="n">
        <f aca="false">Sens!I6274/Sens!I6272</f>
        <v>34.6808127769626</v>
      </c>
      <c r="J6275" s="8" t="n">
        <f aca="false">Sens!J6274/Sens!J6272</f>
        <v>38.1984259156151</v>
      </c>
      <c r="K6275" s="8" t="n">
        <f aca="false">Sens!K6274/Sens!K6272</f>
        <v>40.9427802007578</v>
      </c>
      <c r="L6275" s="1" t="s">
        <v>1086</v>
      </c>
    </row>
    <row r="6276" customFormat="false" ht="17.15" hidden="false" customHeight="false" outlineLevel="0" collapsed="false">
      <c r="A6276" s="0" t="s">
        <v>1087</v>
      </c>
      <c r="B6276" s="0" t="s">
        <v>168</v>
      </c>
      <c r="E6276" s="7" t="n">
        <f aca="false">Sens!E6275/Sens!D6275-1</f>
        <v>0.315542736208578</v>
      </c>
      <c r="F6276" s="7" t="n">
        <f aca="false">Sens!F6275/Sens!E6275-1</f>
        <v>0.155781828520077</v>
      </c>
      <c r="G6276" s="7" t="n">
        <f aca="false">Sens!G6275/Sens!F6275-1</f>
        <v>0.202372031068443</v>
      </c>
      <c r="H6276" s="7" t="n">
        <f aca="false">Sens!H6275/Sens!G6275-1</f>
        <v>0.215070147942385</v>
      </c>
      <c r="I6276" s="7" t="n">
        <f aca="false">Sens!I6275/Sens!H6275-1</f>
        <v>0.144494647623136</v>
      </c>
      <c r="J6276" s="7" t="n">
        <f aca="false">Sens!J6275/Sens!I6275-1</f>
        <v>0.101428220880369</v>
      </c>
      <c r="K6276" s="7" t="n">
        <f aca="false">Sens!K6275/Sens!J6275-1</f>
        <v>0.0718446956742491</v>
      </c>
    </row>
    <row r="6277" customFormat="false" ht="17.15" hidden="false" customHeight="false" outlineLevel="0" collapsed="false">
      <c r="A6277" s="0" t="s">
        <v>1007</v>
      </c>
      <c r="B6277" s="0" t="s">
        <v>98</v>
      </c>
      <c r="E6277" s="6" t="n">
        <f aca="false">Sens!E6218</f>
        <v>5.25</v>
      </c>
      <c r="F6277" s="6" t="n">
        <f aca="false">Sens!F6218</f>
        <v>13.5</v>
      </c>
      <c r="G6277" s="6" t="n">
        <f aca="false">Sens!G6218</f>
        <v>22.5</v>
      </c>
      <c r="H6277" s="6" t="n">
        <f aca="false">Sens!H6218</f>
        <v>31.5</v>
      </c>
      <c r="I6277" s="6" t="n">
        <f aca="false">Sens!I6218</f>
        <v>38.25</v>
      </c>
      <c r="J6277" s="6" t="n">
        <f aca="false">Sens!J6218</f>
        <v>42.75</v>
      </c>
      <c r="K6277" s="6" t="n">
        <f aca="false">Sens!K6218</f>
        <v>47.25</v>
      </c>
    </row>
    <row r="6278" customFormat="false" ht="17.15" hidden="false" customHeight="false" outlineLevel="0" collapsed="false">
      <c r="A6278" s="1" t="s">
        <v>1008</v>
      </c>
      <c r="B6278" s="0" t="s">
        <v>98</v>
      </c>
      <c r="F6278" s="6" t="n">
        <f aca="false">MAX(0,((Sens!E6178+Sens!F6178)/2-(shadow_base*(Sens!$D$6178+Sens!$E$6178)/2+(1-shadow_base)*Sens!$E$6178))*Sens!F6187/1000-(Sens!F6277-Sens!$E$6277)*Sens!F6257)</f>
        <v>8.88340674531245</v>
      </c>
      <c r="G6278" s="6" t="n">
        <f aca="false">MAX(0,((Sens!F6178+Sens!G6178)/2-(shadow_base*(Sens!$D$6178+Sens!$E$6178)/2+(1-shadow_base)*Sens!$E$6178))*Sens!G6187/1000-(Sens!G6277-Sens!$E$6277)*Sens!G6257)</f>
        <v>22.7060305170273</v>
      </c>
      <c r="H6278" s="6" t="n">
        <f aca="false">MAX(0,((Sens!G6178+Sens!H6178)/2-(shadow_base*(Sens!$D$6178+Sens!$E$6178)/2+(1-shadow_base)*Sens!$E$6178))*Sens!H6187/1000-(Sens!H6277-Sens!$E$6277)*Sens!H6257)</f>
        <v>38.0018452382075</v>
      </c>
      <c r="I6278" s="6" t="n">
        <f aca="false">MAX(0,((Sens!H6178+Sens!I6178)/2-(shadow_base*(Sens!$D$6178+Sens!$E$6178)/2+(1-shadow_base)*Sens!$E$6178))*Sens!I6187/1000-(Sens!I6277-Sens!$E$6277)*Sens!I6257)</f>
        <v>52.1381094705177</v>
      </c>
      <c r="J6278" s="6" t="n">
        <f aca="false">MAX(0,((Sens!I6178+Sens!J6178)/2-(shadow_base*(Sens!$D$6178+Sens!$E$6178)/2+(1-shadow_base)*Sens!$E$6178))*Sens!J6187/1000-(Sens!J6277-Sens!$E$6277)*Sens!J6257)</f>
        <v>62.0595818934393</v>
      </c>
      <c r="K6278" s="6" t="n">
        <f aca="false">MAX(0,((Sens!J6178+Sens!K6178)/2-(shadow_base*(Sens!$D$6178+Sens!$E$6178)/2+(1-shadow_base)*Sens!$E$6178))*Sens!K6187/1000-(Sens!K6277-Sens!$E$6277)*Sens!K6257)</f>
        <v>67.0801312706266</v>
      </c>
      <c r="L6278" s="1" t="s">
        <v>1009</v>
      </c>
    </row>
    <row r="6279" customFormat="false" ht="17.15" hidden="false" customHeight="false" outlineLevel="0" collapsed="false">
      <c r="A6279" s="1" t="s">
        <v>1010</v>
      </c>
      <c r="B6279" s="0" t="s">
        <v>98</v>
      </c>
      <c r="F6279" s="6" t="n">
        <f aca="false">IF(internal_ai_reading=2,1,0)*Sens!F6278</f>
        <v>8.88340674531245</v>
      </c>
      <c r="G6279" s="6" t="n">
        <f aca="false">IF(internal_ai_reading=2,1,0)*Sens!G6278</f>
        <v>22.7060305170273</v>
      </c>
      <c r="H6279" s="6" t="n">
        <f aca="false">IF(internal_ai_reading=2,1,0)*Sens!H6278</f>
        <v>38.0018452382075</v>
      </c>
      <c r="I6279" s="6" t="n">
        <f aca="false">IF(internal_ai_reading=2,1,0)*Sens!I6278</f>
        <v>52.1381094705177</v>
      </c>
      <c r="J6279" s="6" t="n">
        <f aca="false">IF(internal_ai_reading=2,1,0)*Sens!J6278</f>
        <v>62.0595818934393</v>
      </c>
      <c r="K6279" s="6" t="n">
        <f aca="false">IF(internal_ai_reading=2,1,0)*Sens!K6278</f>
        <v>67.0801312706266</v>
      </c>
    </row>
    <row r="6280" customFormat="false" ht="17.15" hidden="false" customHeight="false" outlineLevel="0" collapsed="false">
      <c r="A6280" s="0" t="s">
        <v>1011</v>
      </c>
      <c r="B6280" s="0" t="s">
        <v>98</v>
      </c>
      <c r="F6280" s="6" t="n">
        <f aca="false">Sens!F6197+Sens!F6277*Sens!F6257+Sens!F6279-Sens!F6198-Sens!F6209</f>
        <v>19.1502294740916</v>
      </c>
      <c r="G6280" s="6" t="n">
        <f aca="false">Sens!G6197+Sens!G6277*Sens!G6257+Sens!G6279-Sens!G6198-Sens!G6209</f>
        <v>44.6920418135921</v>
      </c>
      <c r="H6280" s="6" t="n">
        <f aca="false">Sens!H6197+Sens!H6277*Sens!H6257+Sens!H6279-Sens!H6198-Sens!H6209</f>
        <v>75.9799004959176</v>
      </c>
      <c r="I6280" s="6" t="n">
        <f aca="false">Sens!I6197+Sens!I6277*Sens!I6257+Sens!I6279-Sens!I6198-Sens!I6209</f>
        <v>98.1275158117204</v>
      </c>
      <c r="J6280" s="6" t="n">
        <f aca="false">Sens!J6197+Sens!J6277*Sens!J6257+Sens!J6279-Sens!J6198-Sens!J6209</f>
        <v>113.530061583228</v>
      </c>
      <c r="K6280" s="6" t="n">
        <f aca="false">Sens!K6197+Sens!K6277*Sens!K6257+Sens!K6279-Sens!K6198-Sens!K6209</f>
        <v>123.786518908517</v>
      </c>
    </row>
    <row r="6281" customFormat="false" ht="17.15" hidden="false" customHeight="false" outlineLevel="0" collapsed="false">
      <c r="A6281" s="0" t="s">
        <v>1012</v>
      </c>
      <c r="B6281" s="0" t="s">
        <v>98</v>
      </c>
      <c r="E6281" s="6" t="n">
        <f aca="false">Sens!E6177*(cxit_open+self_build*tk_cxfac)/1000*ai_net_open</f>
        <v>126.6980382</v>
      </c>
      <c r="F6281" s="6" t="n">
        <f aca="false">Sens!E6281+Sens!F6206-Sens!F6209</f>
        <v>260.572627763768</v>
      </c>
      <c r="G6281" s="6" t="n">
        <f aca="false">Sens!F6281+Sens!G6206-Sens!G6209</f>
        <v>391.782612760517</v>
      </c>
      <c r="H6281" s="6" t="n">
        <f aca="false">Sens!G6281+Sens!H6206-Sens!H6209</f>
        <v>499.488526163584</v>
      </c>
      <c r="I6281" s="6" t="n">
        <f aca="false">Sens!H6281+Sens!I6206-Sens!I6209</f>
        <v>553.872350090646</v>
      </c>
      <c r="J6281" s="6" t="n">
        <f aca="false">Sens!I6281+Sens!J6206-Sens!J6209</f>
        <v>550.78660823699</v>
      </c>
      <c r="K6281" s="6" t="n">
        <f aca="false">Sens!J6281+Sens!K6206-Sens!K6209</f>
        <v>526.736791750789</v>
      </c>
      <c r="L6281" s="1" t="s">
        <v>1013</v>
      </c>
    </row>
    <row r="6282" customFormat="false" ht="17.15" hidden="false" customHeight="false" outlineLevel="0" collapsed="false">
      <c r="A6282" s="0" t="s">
        <v>1014</v>
      </c>
      <c r="B6282" s="0" t="s">
        <v>168</v>
      </c>
      <c r="F6282" s="7" t="n">
        <f aca="false">Sens!F6280*(1-tax_f)/((Sens!E6281+Sens!F6281)/2)</f>
        <v>0.0791187400736756</v>
      </c>
      <c r="G6282" s="7" t="n">
        <f aca="false">Sens!G6280*(1-tax_f)/((Sens!F6281+Sens!G6281)/2)</f>
        <v>0.109613999336126</v>
      </c>
      <c r="H6282" s="7" t="n">
        <f aca="false">Sens!H6280*(1-tax_f)/((Sens!G6281+Sens!H6281)/2)</f>
        <v>0.136398269263177</v>
      </c>
      <c r="I6282" s="7" t="n">
        <f aca="false">Sens!I6280*(1-tax_f)/((Sens!H6281+Sens!I6281)/2)</f>
        <v>0.149050556972518</v>
      </c>
      <c r="J6282" s="7" t="n">
        <f aca="false">Sens!J6280*(1-tax_f)/((Sens!I6281+Sens!J6281)/2)</f>
        <v>0.164438170861499</v>
      </c>
      <c r="K6282" s="7" t="n">
        <f aca="false">Sens!K6280*(1-tax_f)/((Sens!J6281+Sens!K6281)/2)</f>
        <v>0.183808936544556</v>
      </c>
    </row>
    <row r="6283" customFormat="false" ht="17.15" hidden="false" customHeight="false" outlineLevel="0" collapsed="false">
      <c r="A6283" s="1" t="s">
        <v>1015</v>
      </c>
      <c r="B6283" s="0" t="s">
        <v>168</v>
      </c>
      <c r="F6283" s="7" t="n">
        <f aca="false">(Sens!F6280-Sens!F6279)*(1-tax_f)/((Sens!E6281+Sens!F6281)/2)</f>
        <v>0.0424171459647386</v>
      </c>
      <c r="G6283" s="7" t="n">
        <f aca="false">(Sens!G6280-Sens!G6279)*(1-tax_f)/((Sens!F6281+Sens!G6281)/2)</f>
        <v>0.0539240215901877</v>
      </c>
      <c r="H6283" s="7" t="n">
        <f aca="false">(Sens!H6280-Sens!H6279)*(1-tax_f)/((Sens!G6281+Sens!H6281)/2)</f>
        <v>0.068177780877869</v>
      </c>
      <c r="I6283" s="7" t="n">
        <f aca="false">(Sens!I6280-Sens!I6279)*(1-tax_f)/((Sens!H6281+Sens!I6281)/2)</f>
        <v>0.0698554994823684</v>
      </c>
      <c r="J6283" s="7" t="n">
        <f aca="false">(Sens!J6280-Sens!J6279)*(1-tax_f)/((Sens!I6281+Sens!J6281)/2)</f>
        <v>0.074550400268638</v>
      </c>
      <c r="K6283" s="7" t="n">
        <f aca="false">(Sens!K6280-Sens!K6279)*(1-tax_f)/((Sens!J6281+Sens!K6281)/2)</f>
        <v>0.0842025520946031</v>
      </c>
    </row>
    <row r="6284" customFormat="false" ht="17.15" hidden="false" customHeight="false" outlineLevel="0" collapsed="false">
      <c r="A6284" s="1" t="s">
        <v>1016</v>
      </c>
      <c r="B6284" s="0" t="s">
        <v>168</v>
      </c>
      <c r="F6284" s="7" t="n">
        <f aca="false">(Sens!F6280-Sens!F6279+Sens!F6278)*(1-tax_f)/((Sens!E6281+Sens!F6281)/2)</f>
        <v>0.0791187400736756</v>
      </c>
      <c r="G6284" s="7" t="n">
        <f aca="false">(Sens!G6280-Sens!G6279+Sens!G6278)*(1-tax_f)/((Sens!F6281+Sens!G6281)/2)</f>
        <v>0.109613999336126</v>
      </c>
      <c r="H6284" s="7" t="n">
        <f aca="false">(Sens!H6280-Sens!H6279+Sens!H6278)*(1-tax_f)/((Sens!G6281+Sens!H6281)/2)</f>
        <v>0.136398269263177</v>
      </c>
      <c r="I6284" s="7" t="n">
        <f aca="false">(Sens!I6280-Sens!I6279+Sens!I6278)*(1-tax_f)/((Sens!H6281+Sens!I6281)/2)</f>
        <v>0.149050556972518</v>
      </c>
      <c r="J6284" s="7" t="n">
        <f aca="false">(Sens!J6280-Sens!J6279+Sens!J6278)*(1-tax_f)/((Sens!I6281+Sens!J6281)/2)</f>
        <v>0.164438170861499</v>
      </c>
      <c r="K6284" s="7" t="n">
        <f aca="false">(Sens!K6280-Sens!K6279+Sens!K6278)*(1-tax_f)/((Sens!J6281+Sens!K6281)/2)</f>
        <v>0.183808936544556</v>
      </c>
    </row>
    <row r="6285" customFormat="false" ht="17.15" hidden="false" customHeight="false" outlineLevel="0" collapsed="false">
      <c r="A6285" s="1" t="s">
        <v>1017</v>
      </c>
      <c r="B6285" s="0" t="s">
        <v>168</v>
      </c>
      <c r="F6285" s="7" t="n">
        <f aca="false">Sens!F6210*(1-tax_f)/(Sens!F6196*(Sens!E6281+Sens!F6281)/2)</f>
        <v>0.159144387743877</v>
      </c>
      <c r="G6285" s="7" t="n">
        <f aca="false">Sens!G6210*(1-tax_f)/(Sens!G6196*(Sens!F6281+Sens!G6281)/2)</f>
        <v>0.183022604460735</v>
      </c>
      <c r="H6285" s="7" t="n">
        <f aca="false">Sens!H6210*(1-tax_f)/(Sens!H6196*(Sens!G6281+Sens!H6281)/2)</f>
        <v>0.21489909991186</v>
      </c>
      <c r="I6285" s="7" t="n">
        <f aca="false">Sens!I6210*(1-tax_f)/(Sens!I6196*(Sens!H6281+Sens!I6281)/2)</f>
        <v>0.228435720424904</v>
      </c>
      <c r="J6285" s="7" t="n">
        <f aca="false">Sens!J6210*(1-tax_f)/(Sens!J6196*(Sens!I6281+Sens!J6281)/2)</f>
        <v>0.24893044718261</v>
      </c>
      <c r="K6285" s="7" t="n">
        <f aca="false">Sens!K6210*(1-tax_f)/(Sens!K6196*(Sens!J6281+Sens!K6281)/2)</f>
        <v>0.276700690340439</v>
      </c>
    </row>
    <row r="6286" customFormat="false" ht="17.15" hidden="false" customHeight="false" outlineLevel="0" collapsed="false">
      <c r="A6286" s="0" t="s">
        <v>1018</v>
      </c>
      <c r="B6286" s="0" t="s">
        <v>253</v>
      </c>
      <c r="F6286" s="7" t="n">
        <f aca="false">Sens!F6282-wacc</f>
        <v>-0.0238178508719217</v>
      </c>
      <c r="G6286" s="7" t="n">
        <f aca="false">Sens!G6282-wacc</f>
        <v>0.00667740839052883</v>
      </c>
      <c r="H6286" s="7" t="n">
        <f aca="false">Sens!H6282-wacc</f>
        <v>0.0334616783175799</v>
      </c>
      <c r="I6286" s="7" t="n">
        <f aca="false">Sens!I6282-wacc</f>
        <v>0.0461139660269209</v>
      </c>
      <c r="J6286" s="7" t="n">
        <f aca="false">Sens!J6282-wacc</f>
        <v>0.0615015799159013</v>
      </c>
      <c r="K6286" s="7" t="n">
        <f aca="false">Sens!K6282-wacc</f>
        <v>0.0808723455989582</v>
      </c>
    </row>
    <row r="6287" customFormat="false" ht="17.15" hidden="false" customHeight="false" outlineLevel="0" collapsed="false">
      <c r="A6287" s="0" t="s">
        <v>1019</v>
      </c>
      <c r="B6287" s="0" t="s">
        <v>98</v>
      </c>
      <c r="F6287" s="6" t="n">
        <f aca="false">Sens!F6280*(1-tax_f)-wacc*(Sens!E6281+Sens!F6281)/2</f>
        <v>-4.61197748449741</v>
      </c>
      <c r="G6287" s="6" t="n">
        <f aca="false">Sens!G6280*(1-tax_f)-wacc*(Sens!F6281+Sens!G6281)/2</f>
        <v>2.17802117834115</v>
      </c>
      <c r="H6287" s="6" t="n">
        <f aca="false">Sens!H6280*(1-tax_f)-wacc*(Sens!G6281+Sens!H6281)/2</f>
        <v>14.9117140722107</v>
      </c>
      <c r="I6287" s="6" t="n">
        <f aca="false">Sens!I6280*(1-tax_f)-wacc*(Sens!H6281+Sens!I6281)/2</f>
        <v>24.2873238308376</v>
      </c>
      <c r="J6287" s="6" t="n">
        <f aca="false">Sens!J6280*(1-tax_f)-wacc*(Sens!I6281+Sens!J6281)/2</f>
        <v>33.9691356027017</v>
      </c>
      <c r="K6287" s="6" t="n">
        <f aca="false">Sens!K6280*(1-tax_f)-wacc*(Sens!J6281+Sens!K6281)/2</f>
        <v>43.5709223973881</v>
      </c>
    </row>
    <row r="6288" customFormat="false" ht="17.15" hidden="false" customHeight="false" outlineLevel="0" collapsed="false">
      <c r="A6288" s="3" t="s">
        <v>1768</v>
      </c>
    </row>
    <row r="6289" customFormat="false" ht="15" hidden="false" customHeight="false" outlineLevel="0" collapsed="false">
      <c r="A6289" s="4" t="s">
        <v>43</v>
      </c>
      <c r="B6289" s="4" t="s">
        <v>65</v>
      </c>
      <c r="C6289" s="23" t="s">
        <v>942</v>
      </c>
      <c r="D6289" s="23" t="s">
        <v>943</v>
      </c>
      <c r="E6289" s="23" t="s">
        <v>944</v>
      </c>
      <c r="F6289" s="23" t="s">
        <v>945</v>
      </c>
      <c r="G6289" s="23" t="s">
        <v>946</v>
      </c>
      <c r="H6289" s="23" t="s">
        <v>947</v>
      </c>
      <c r="I6289" s="23" t="s">
        <v>948</v>
      </c>
      <c r="J6289" s="23" t="s">
        <v>949</v>
      </c>
      <c r="K6289" s="23" t="s">
        <v>950</v>
      </c>
      <c r="L6289" s="4" t="s">
        <v>47</v>
      </c>
    </row>
    <row r="6290" customFormat="false" ht="15" hidden="false" customHeight="false" outlineLevel="0" collapsed="false">
      <c r="A6290" s="1" t="s">
        <v>1080</v>
      </c>
      <c r="B6290" s="0" t="s">
        <v>98</v>
      </c>
      <c r="F6290" s="6" t="n">
        <f aca="false">Sens!F6271</f>
        <v>147.835982916512</v>
      </c>
      <c r="G6290" s="6" t="n">
        <f aca="false">Sens!G6271</f>
        <v>169.078999664599</v>
      </c>
      <c r="H6290" s="6" t="n">
        <f aca="false">Sens!H6271</f>
        <v>197.835075503589</v>
      </c>
      <c r="I6290" s="6" t="n">
        <f aca="false">Sens!I6271</f>
        <v>219.910143429295</v>
      </c>
      <c r="J6290" s="6" t="n">
        <f aca="false">Sens!J6271</f>
        <v>239.049165873506</v>
      </c>
      <c r="K6290" s="6" t="n">
        <f aca="false">Sens!K6271</f>
        <v>256.446942216741</v>
      </c>
    </row>
    <row r="6291" customFormat="false" ht="17.15" hidden="false" customHeight="false" outlineLevel="0" collapsed="false">
      <c r="A6291" s="1" t="s">
        <v>1102</v>
      </c>
      <c r="B6291" s="0" t="s">
        <v>98</v>
      </c>
      <c r="E6291" s="6" t="n">
        <f aca="false">Q!M38-Sens!E6209</f>
        <v>22.2285940229167</v>
      </c>
      <c r="F6291" s="6" t="n">
        <f aca="false">Sens!E6291*(1-1/life_nonai)+(Sens!F6299+Sens!F6300)/life_nonai</f>
        <v>23.580344216413</v>
      </c>
      <c r="G6291" s="6" t="n">
        <f aca="false">Sens!F6291*(1-1/life_nonai)+(Sens!G6299)/life_nonai</f>
        <v>25.3767845268657</v>
      </c>
      <c r="H6291" s="6" t="n">
        <f aca="false">Sens!G6291*(1-1/life_nonai)+(Sens!H6299)/life_nonai</f>
        <v>27.5895447252255</v>
      </c>
      <c r="I6291" s="6" t="n">
        <f aca="false">Sens!H6291*(1-1/life_nonai)+(Sens!I6299)/life_nonai</f>
        <v>30.142292761365</v>
      </c>
      <c r="J6291" s="6" t="n">
        <f aca="false">Sens!I6291*(1-1/life_nonai)+(Sens!J6299)/life_nonai</f>
        <v>32.9430254672895</v>
      </c>
      <c r="K6291" s="6" t="n">
        <f aca="false">Sens!J6291*(1-1/life_nonai)+(Sens!K6299)/life_nonai</f>
        <v>35.9073637302674</v>
      </c>
      <c r="L6291" s="12" t="s">
        <v>1103</v>
      </c>
    </row>
    <row r="6292" customFormat="false" ht="17.15" hidden="false" customHeight="false" outlineLevel="0" collapsed="false">
      <c r="A6292" s="1" t="s">
        <v>1104</v>
      </c>
      <c r="B6292" s="0" t="s">
        <v>98</v>
      </c>
      <c r="F6292" s="6" t="n">
        <f aca="false">Sens!$F$6300/life_nonai*(1-1/life_nonai)^(Sens!F6172-2027)</f>
        <v>0.007583188888173</v>
      </c>
      <c r="G6292" s="6" t="n">
        <f aca="false">Sens!$F$6300/life_nonai*(1-1/life_nonai)^(Sens!G6172-2027)</f>
        <v>0.0068248699993557</v>
      </c>
      <c r="H6292" s="6" t="n">
        <f aca="false">Sens!$F$6300/life_nonai*(1-1/life_nonai)^(Sens!H6172-2027)</f>
        <v>0.00614238299942013</v>
      </c>
      <c r="I6292" s="6" t="n">
        <f aca="false">Sens!$F$6300/life_nonai*(1-1/life_nonai)^(Sens!I6172-2027)</f>
        <v>0.00552814469947812</v>
      </c>
      <c r="J6292" s="6" t="n">
        <f aca="false">Sens!$F$6300/life_nonai*(1-1/life_nonai)^(Sens!J6172-2027)</f>
        <v>0.0049753302295303</v>
      </c>
      <c r="K6292" s="6" t="n">
        <f aca="false">Sens!$F$6300/life_nonai*(1-1/life_nonai)^(Sens!K6172-2027)</f>
        <v>0.00447779720657727</v>
      </c>
      <c r="L6292" s="1" t="s">
        <v>1105</v>
      </c>
    </row>
    <row r="6293" customFormat="false" ht="17.15" hidden="false" customHeight="false" outlineLevel="0" collapsed="false">
      <c r="A6293" s="1" t="s">
        <v>1106</v>
      </c>
      <c r="B6293" s="0" t="s">
        <v>98</v>
      </c>
      <c r="E6293" s="6" t="n">
        <f aca="false">Sens!E6209+Sens!E6291</f>
        <v>38.534</v>
      </c>
      <c r="F6293" s="6" t="n">
        <f aca="false">Sens!F6209+Sens!F6291</f>
        <v>58.1596586947647</v>
      </c>
      <c r="G6293" s="6" t="n">
        <f aca="false">Sens!G6209+Sens!G6291</f>
        <v>86.1112751791646</v>
      </c>
      <c r="H6293" s="6" t="n">
        <f aca="false">Sens!H6209+Sens!H6291</f>
        <v>116.689635386671</v>
      </c>
      <c r="I6293" s="6" t="n">
        <f aca="false">Sens!I6209+Sens!I6291</f>
        <v>144.373302455913</v>
      </c>
      <c r="J6293" s="6" t="n">
        <f aca="false">Sens!J6209+Sens!J6291</f>
        <v>164.958698516886</v>
      </c>
      <c r="K6293" s="6" t="n">
        <f aca="false">Sens!K6209+Sens!K6291</f>
        <v>178.920033281201</v>
      </c>
    </row>
    <row r="6294" customFormat="false" ht="17.15" hidden="false" customHeight="false" outlineLevel="0" collapsed="false">
      <c r="A6294" s="1" t="s">
        <v>1107</v>
      </c>
      <c r="B6294" s="0" t="s">
        <v>98</v>
      </c>
      <c r="F6294" s="6" t="n">
        <f aca="false">Sens!F6236*sbc_r</f>
        <v>15.0868387040028</v>
      </c>
      <c r="G6294" s="6" t="n">
        <f aca="false">Sens!G6236*sbc_r</f>
        <v>18.4337096019652</v>
      </c>
      <c r="H6294" s="6" t="n">
        <f aca="false">Sens!H6236*sbc_r</f>
        <v>22.039920245885</v>
      </c>
      <c r="I6294" s="6" t="n">
        <f aca="false">Sens!I6236*sbc_r</f>
        <v>25.112628738662</v>
      </c>
      <c r="J6294" s="6" t="n">
        <f aca="false">Sens!J6236*sbc_r</f>
        <v>27.5860530830021</v>
      </c>
      <c r="K6294" s="6" t="n">
        <f aca="false">Sens!K6236*sbc_r</f>
        <v>29.5597050210143</v>
      </c>
    </row>
    <row r="6295" customFormat="false" ht="17.15" hidden="false" customHeight="false" outlineLevel="0" collapsed="false">
      <c r="A6295" s="1" t="s">
        <v>1108</v>
      </c>
      <c r="B6295" s="0" t="s">
        <v>98</v>
      </c>
      <c r="F6295" s="6" t="n">
        <f aca="false">wc27-wc26q1</f>
        <v>-4.677</v>
      </c>
      <c r="G6295" s="6" t="n">
        <f aca="false">wc_f</f>
        <v>0</v>
      </c>
      <c r="H6295" s="6" t="n">
        <f aca="false">wc_f</f>
        <v>0</v>
      </c>
      <c r="I6295" s="6" t="n">
        <f aca="false">wc_f</f>
        <v>0</v>
      </c>
      <c r="J6295" s="6" t="n">
        <f aca="false">wc_f</f>
        <v>0</v>
      </c>
      <c r="K6295" s="6" t="n">
        <f aca="false">wc_f</f>
        <v>0</v>
      </c>
      <c r="L6295" s="12" t="s">
        <v>1109</v>
      </c>
    </row>
    <row r="6296" customFormat="false" ht="17.15" hidden="false" customHeight="false" outlineLevel="0" collapsed="false">
      <c r="A6296" s="0" t="s">
        <v>1110</v>
      </c>
      <c r="B6296" s="0" t="s">
        <v>98</v>
      </c>
      <c r="F6296" s="6" t="n">
        <f aca="false">Q!$I$35-Q!$I$26-Q!$I$38-Q!$I$39</f>
        <v>6.493</v>
      </c>
      <c r="L6296" s="1" t="s">
        <v>1111</v>
      </c>
    </row>
    <row r="6297" customFormat="false" ht="15" hidden="false" customHeight="false" outlineLevel="0" collapsed="false">
      <c r="A6297" s="1" t="s">
        <v>908</v>
      </c>
      <c r="B6297" s="0" t="s">
        <v>98</v>
      </c>
      <c r="E6297" s="6" t="n">
        <f aca="false">Q!M35</f>
        <v>182.935</v>
      </c>
      <c r="F6297" s="6" t="n">
        <f aca="false">Sens!F6290+Sens!F6293+Sens!F6294+Sens!F6295+Sens!F6296</f>
        <v>222.89848031528</v>
      </c>
      <c r="G6297" s="6" t="n">
        <f aca="false">Sens!G6290+Sens!G6293+Sens!G6294+Sens!G6295</f>
        <v>273.623984445728</v>
      </c>
      <c r="H6297" s="6" t="n">
        <f aca="false">Sens!H6290+Sens!H6293+Sens!H6294+Sens!H6295</f>
        <v>336.564631136145</v>
      </c>
      <c r="I6297" s="6" t="n">
        <f aca="false">Sens!I6290+Sens!I6293+Sens!I6294+Sens!I6295</f>
        <v>389.39607462387</v>
      </c>
      <c r="J6297" s="6" t="n">
        <f aca="false">Sens!J6290+Sens!J6293+Sens!J6294+Sens!J6295</f>
        <v>431.593917473393</v>
      </c>
      <c r="K6297" s="6" t="n">
        <f aca="false">Sens!K6290+Sens!K6293+Sens!K6294+Sens!K6295</f>
        <v>464.926680518957</v>
      </c>
    </row>
    <row r="6298" customFormat="false" ht="17.15" hidden="false" customHeight="false" outlineLevel="0" collapsed="false">
      <c r="A6298" s="0" t="s">
        <v>1112</v>
      </c>
      <c r="B6298" s="0" t="s">
        <v>98</v>
      </c>
      <c r="F6298" s="6" t="n">
        <f aca="false">Sens!F6206</f>
        <v>168.45390404212</v>
      </c>
      <c r="G6298" s="6" t="n">
        <f aca="false">Sens!G6206</f>
        <v>191.944475649048</v>
      </c>
      <c r="H6298" s="6" t="n">
        <f aca="false">Sens!H6206</f>
        <v>196.806004064512</v>
      </c>
      <c r="I6298" s="6" t="n">
        <f aca="false">Sens!I6206</f>
        <v>168.61483362161</v>
      </c>
      <c r="J6298" s="6" t="n">
        <f aca="false">Sens!J6206</f>
        <v>128.92993119594</v>
      </c>
      <c r="K6298" s="6" t="n">
        <f aca="false">Sens!K6206</f>
        <v>118.962853064733</v>
      </c>
    </row>
    <row r="6299" customFormat="false" ht="17.15" hidden="false" customHeight="false" outlineLevel="0" collapsed="false">
      <c r="A6299" s="1" t="s">
        <v>1113</v>
      </c>
      <c r="B6299" s="0" t="s">
        <v>98</v>
      </c>
      <c r="E6299" s="6" t="n">
        <f aca="false">Sens!E6214*cx_azo+Sens!E6221*cx_m365+Sens!E6222*cx_lic+(Sens!E6224+Sens!E6226)*cx_ind+Sens!E6229*cx_srch+(Sens!E6231+Sens!E6233)*cx_dev</f>
        <v>30.1846587067718</v>
      </c>
      <c r="F6299" s="6" t="n">
        <f aca="false">Sens!F6214*cx_azo+Sens!F6221*cx_m365+Sens!F6222*cx_lic+(Sens!F6224+Sens!F6226)*cx_ind+Sens!F6229*cx_srch+(Sens!F6231+Sens!F6233)*cx_dev</f>
        <v>35.6702640689987</v>
      </c>
      <c r="G6299" s="6" t="n">
        <f aca="false">Sens!G6214*cx_azo+Sens!G6221*cx_m365+Sens!G6222*cx_lic+(Sens!G6224+Sens!G6226)*cx_ind+Sens!G6229*cx_srch+(Sens!G6231+Sens!G6233)*cx_dev</f>
        <v>41.5447473209391</v>
      </c>
      <c r="H6299" s="6" t="n">
        <f aca="false">Sens!H6214*cx_azo+Sens!H6221*cx_m365+Sens!H6222*cx_lic+(Sens!H6224+Sens!H6226)*cx_ind+Sens!H6229*cx_srch+(Sens!H6231+Sens!H6233)*cx_dev</f>
        <v>47.5043865104637</v>
      </c>
      <c r="I6299" s="6" t="n">
        <f aca="false">Sens!I6214*cx_azo+Sens!I6221*cx_m365+Sens!I6222*cx_lic+(Sens!I6224+Sens!I6226)*cx_ind+Sens!I6229*cx_srch+(Sens!I6231+Sens!I6233)*cx_dev</f>
        <v>53.1170250866211</v>
      </c>
      <c r="J6299" s="6" t="n">
        <f aca="false">Sens!J6214*cx_azo+Sens!J6221*cx_m365+Sens!J6222*cx_lic+(Sens!J6224+Sens!J6226)*cx_ind+Sens!J6229*cx_srch+(Sens!J6231+Sens!J6233)*cx_dev</f>
        <v>58.1496198206099</v>
      </c>
      <c r="K6299" s="6" t="n">
        <f aca="false">Sens!K6214*cx_azo+Sens!K6221*cx_m365+Sens!K6222*cx_lic+(Sens!K6224+Sens!K6226)*cx_ind+Sens!K6229*cx_srch+(Sens!K6231+Sens!K6233)*cx_dev</f>
        <v>62.5864080970684</v>
      </c>
    </row>
    <row r="6300" customFormat="false" ht="17.15" hidden="false" customHeight="false" outlineLevel="0" collapsed="false">
      <c r="A6300" s="0" t="s">
        <v>1114</v>
      </c>
      <c r="B6300" s="0" t="s">
        <v>98</v>
      </c>
      <c r="F6300" s="6" t="n">
        <f aca="false">Sens!F6204</f>
        <v>0.07583188888173</v>
      </c>
      <c r="L6300" s="1" t="s">
        <v>1115</v>
      </c>
    </row>
    <row r="6301" customFormat="false" ht="17.15" hidden="false" customHeight="false" outlineLevel="0" collapsed="false">
      <c r="A6301" s="1" t="s">
        <v>1116</v>
      </c>
      <c r="B6301" s="0" t="s">
        <v>98</v>
      </c>
      <c r="E6301" s="6" t="n">
        <f aca="false">Q!M43</f>
        <v>145.3</v>
      </c>
      <c r="F6301" s="6" t="n">
        <f aca="false">Sens!F6298+Sens!F6299+Sens!F6300</f>
        <v>204.2</v>
      </c>
      <c r="G6301" s="6" t="n">
        <f aca="false">Sens!G6298+Sens!G6299</f>
        <v>233.489222969987</v>
      </c>
      <c r="H6301" s="6" t="n">
        <f aca="false">Sens!H6298+Sens!H6299</f>
        <v>244.310390574976</v>
      </c>
      <c r="I6301" s="6" t="n">
        <f aca="false">Sens!I6298+Sens!I6299</f>
        <v>221.731858708231</v>
      </c>
      <c r="J6301" s="6" t="n">
        <f aca="false">Sens!J6298+Sens!J6299</f>
        <v>187.07955101655</v>
      </c>
      <c r="K6301" s="6" t="n">
        <f aca="false">Sens!K6298+Sens!K6299</f>
        <v>181.549261161801</v>
      </c>
      <c r="L6301" s="1" t="s">
        <v>1117</v>
      </c>
    </row>
    <row r="6302" customFormat="false" ht="15" hidden="false" customHeight="false" outlineLevel="0" collapsed="false">
      <c r="A6302" s="1" t="s">
        <v>1118</v>
      </c>
      <c r="B6302" s="0" t="s">
        <v>98</v>
      </c>
      <c r="E6302" s="6" t="n">
        <f aca="false">fl_liab</f>
        <v>66.594</v>
      </c>
      <c r="F6302" s="6" t="n">
        <f aca="false">Sens!E6302-Sens!F6303</f>
        <v>62.46973</v>
      </c>
      <c r="G6302" s="6" t="n">
        <f aca="false">Sens!F6302-Sens!G6303</f>
        <v>57.98686785</v>
      </c>
      <c r="H6302" s="6" t="n">
        <f aca="false">Sens!G6302-Sens!H6303</f>
        <v>53.92827690325</v>
      </c>
      <c r="I6302" s="6" t="n">
        <f aca="false">Sens!H6302-Sens!I6303</f>
        <v>49.7850493638962</v>
      </c>
      <c r="J6302" s="6" t="n">
        <f aca="false">Sens!I6302-Sens!J6303</f>
        <v>45.4823765852716</v>
      </c>
      <c r="K6302" s="6" t="n">
        <f aca="false">Sens!J6302-Sens!K6303</f>
        <v>40.9860835316088</v>
      </c>
    </row>
    <row r="6303" customFormat="false" ht="15" hidden="false" customHeight="false" outlineLevel="0" collapsed="false">
      <c r="A6303" s="1" t="s">
        <v>1119</v>
      </c>
      <c r="B6303" s="0" t="s">
        <v>98</v>
      </c>
      <c r="F6303" s="6" t="n">
        <f aca="false">fl_pay_27-Sens!E6302*fl_rate</f>
        <v>4.12427</v>
      </c>
      <c r="G6303" s="6" t="n">
        <f aca="false">fl_pay_28-Sens!F6302*fl_rate</f>
        <v>4.48286215</v>
      </c>
      <c r="H6303" s="6" t="n">
        <f aca="false">fl_pay_29-Sens!G6302*fl_rate</f>
        <v>4.05859094675</v>
      </c>
      <c r="I6303" s="6" t="n">
        <f aca="false">fl_pay_30-Sens!H6302*fl_rate</f>
        <v>4.14322753935375</v>
      </c>
      <c r="J6303" s="6" t="n">
        <f aca="false">fl_pay_31-Sens!I6302*fl_rate</f>
        <v>4.30267277862467</v>
      </c>
      <c r="K6303" s="6" t="n">
        <f aca="false">fl_pay_32-Sens!J6302*fl_rate</f>
        <v>4.49629305366278</v>
      </c>
    </row>
    <row r="6304" customFormat="false" ht="17.15" hidden="false" customHeight="false" outlineLevel="0" collapsed="false">
      <c r="A6304" s="1" t="s">
        <v>1120</v>
      </c>
      <c r="B6304" s="0" t="s">
        <v>98</v>
      </c>
      <c r="E6304" s="6" t="n">
        <f aca="false">Q!M35-Q!M36-Q!M44</f>
        <v>63.886</v>
      </c>
      <c r="F6304" s="6" t="n">
        <f aca="false">Sens!F6297-Sens!F6301-Sens!F6303</f>
        <v>14.5742103152796</v>
      </c>
      <c r="G6304" s="6" t="n">
        <f aca="false">Sens!G6297-Sens!G6301-Sens!G6303</f>
        <v>35.6518993257412</v>
      </c>
      <c r="H6304" s="6" t="n">
        <f aca="false">Sens!H6297-Sens!H6301-Sens!H6303</f>
        <v>88.1956496144192</v>
      </c>
      <c r="I6304" s="6" t="n">
        <f aca="false">Sens!I6297-Sens!I6301-Sens!I6303</f>
        <v>163.520988376285</v>
      </c>
      <c r="J6304" s="6" t="n">
        <f aca="false">Sens!J6297-Sens!J6301-Sens!J6303</f>
        <v>240.211693678218</v>
      </c>
      <c r="K6304" s="6" t="n">
        <f aca="false">Sens!K6297-Sens!K6301-Sens!K6303</f>
        <v>278.881126303493</v>
      </c>
      <c r="L6304" s="12" t="s">
        <v>1121</v>
      </c>
    </row>
    <row r="6305" customFormat="false" ht="15" hidden="false" customHeight="false" outlineLevel="0" collapsed="false">
      <c r="A6305" s="1" t="s">
        <v>1122</v>
      </c>
      <c r="B6305" s="0" t="s">
        <v>75</v>
      </c>
      <c r="F6305" s="8" t="n">
        <f aca="false">dps_27</f>
        <v>3.85</v>
      </c>
      <c r="G6305" s="8" t="n">
        <f aca="false">Sens!F6305*(1+dps_g)</f>
        <v>4.158</v>
      </c>
      <c r="H6305" s="8" t="n">
        <f aca="false">Sens!G6305*(1+dps_g)</f>
        <v>4.49064</v>
      </c>
      <c r="I6305" s="8" t="n">
        <f aca="false">Sens!H6305*(1+dps_g)</f>
        <v>4.8498912</v>
      </c>
      <c r="J6305" s="8" t="n">
        <f aca="false">Sens!I6305*(1+dps_g)</f>
        <v>5.237882496</v>
      </c>
      <c r="K6305" s="8" t="n">
        <f aca="false">Sens!J6305*(1+dps_g)</f>
        <v>5.65691309568</v>
      </c>
    </row>
    <row r="6306" customFormat="false" ht="17.15" hidden="false" customHeight="false" outlineLevel="0" collapsed="false">
      <c r="A6306" s="1" t="s">
        <v>1123</v>
      </c>
      <c r="B6306" s="0" t="s">
        <v>98</v>
      </c>
      <c r="E6306" s="6" t="n">
        <f aca="false">Q!M41</f>
        <v>26.445</v>
      </c>
      <c r="F6306" s="6" t="n">
        <f aca="false">Sens!F6305*Sens!E6315</f>
        <v>28.59395</v>
      </c>
      <c r="G6306" s="6" t="n">
        <f aca="false">Sens!G6305*Sens!F6315</f>
        <v>31.041652311109</v>
      </c>
      <c r="H6306" s="6" t="n">
        <f aca="false">Sens!H6305*Sens!G6315</f>
        <v>33.6923261524982</v>
      </c>
      <c r="I6306" s="6" t="n">
        <f aca="false">Sens!I6305*Sens!H6315</f>
        <v>36.4381505217707</v>
      </c>
      <c r="J6306" s="6" t="n">
        <f aca="false">Sens!J6305*Sens!I6315</f>
        <v>39.421100448905</v>
      </c>
      <c r="K6306" s="6" t="n">
        <f aca="false">Sens!K6305*Sens!J6315</f>
        <v>42.6615427471956</v>
      </c>
      <c r="L6306" s="1" t="s">
        <v>1124</v>
      </c>
    </row>
    <row r="6307" customFormat="false" ht="15" hidden="false" customHeight="false" outlineLevel="0" collapsed="false">
      <c r="A6307" s="1" t="s">
        <v>1125</v>
      </c>
      <c r="B6307" s="0" t="s">
        <v>98</v>
      </c>
      <c r="E6307" s="6" t="n">
        <f aca="false">Sens!E6304-Sens!E6306</f>
        <v>37.441</v>
      </c>
      <c r="F6307" s="6" t="n">
        <f aca="false">Sens!F6304-Sens!F6306</f>
        <v>-14.0197396847204</v>
      </c>
      <c r="G6307" s="6" t="n">
        <f aca="false">Sens!G6304-Sens!G6306</f>
        <v>4.61024701463229</v>
      </c>
      <c r="H6307" s="6" t="n">
        <f aca="false">Sens!H6304-Sens!H6306</f>
        <v>54.503323461921</v>
      </c>
      <c r="I6307" s="6" t="n">
        <f aca="false">Sens!I6304-Sens!I6306</f>
        <v>127.082837854514</v>
      </c>
      <c r="J6307" s="6" t="n">
        <f aca="false">Sens!J6304-Sens!J6306</f>
        <v>200.790593229313</v>
      </c>
      <c r="K6307" s="6" t="n">
        <f aca="false">Sens!K6304-Sens!K6306</f>
        <v>236.219583556297</v>
      </c>
    </row>
    <row r="6308" customFormat="false" ht="15" hidden="false" customHeight="false" outlineLevel="0" collapsed="false">
      <c r="A6308" s="1" t="s">
        <v>1126</v>
      </c>
      <c r="B6308" s="0" t="s">
        <v>98</v>
      </c>
      <c r="F6308" s="6" t="n">
        <f aca="false">debt_mat_27</f>
        <v>9.25</v>
      </c>
      <c r="G6308" s="6" t="n">
        <f aca="false">debt_mat_28</f>
        <v>0</v>
      </c>
      <c r="H6308" s="6" t="n">
        <f aca="false">debt_mat_29</f>
        <v>2.001</v>
      </c>
      <c r="I6308" s="6" t="n">
        <f aca="false">debt_mat_30</f>
        <v>0</v>
      </c>
      <c r="J6308" s="6" t="n">
        <f aca="false">debt_mat_31</f>
        <v>0.5</v>
      </c>
      <c r="K6308" s="6" t="n">
        <f aca="false">debt_mat_32</f>
        <v>0</v>
      </c>
    </row>
    <row r="6309" customFormat="false" ht="15" hidden="false" customHeight="false" outlineLevel="0" collapsed="false">
      <c r="A6309" s="1" t="s">
        <v>1127</v>
      </c>
      <c r="B6309" s="0" t="s">
        <v>98</v>
      </c>
      <c r="E6309" s="6" t="n">
        <f aca="false">Q!M40</f>
        <v>22.271</v>
      </c>
      <c r="F6309" s="6" t="n">
        <f aca="false">MAX(0,MIN(bb_target,Sens!E6311+Sens!F6307-Sens!F6308-min_cash))</f>
        <v>3.57326031527963</v>
      </c>
      <c r="G6309" s="6" t="n">
        <f aca="false">MAX(0,MIN(bb_target,Sens!F6311+Sens!G6307-Sens!G6308-min_cash))</f>
        <v>4.61024701463229</v>
      </c>
      <c r="H6309" s="6" t="n">
        <f aca="false">MAX(0,MIN(bb_target,Sens!G6311+Sens!H6307-Sens!H6308-min_cash))</f>
        <v>22.271</v>
      </c>
      <c r="I6309" s="6" t="n">
        <f aca="false">MAX(0,MIN(bb_target,Sens!H6311+Sens!I6307-Sens!I6308-min_cash))</f>
        <v>22.271</v>
      </c>
      <c r="J6309" s="6" t="n">
        <f aca="false">MAX(0,MIN(bb_target,Sens!I6311+Sens!J6307-Sens!J6308-min_cash))</f>
        <v>22.271</v>
      </c>
      <c r="K6309" s="6" t="n">
        <f aca="false">MAX(0,MIN(bb_target,Sens!J6311+Sens!K6307-Sens!K6308-min_cash))</f>
        <v>22.271</v>
      </c>
    </row>
    <row r="6310" customFormat="false" ht="15" hidden="false" customHeight="false" outlineLevel="0" collapsed="false">
      <c r="A6310" s="1" t="s">
        <v>1128</v>
      </c>
      <c r="B6310" s="0" t="s">
        <v>98</v>
      </c>
      <c r="F6310" s="6" t="n">
        <f aca="false">MAX(0,min_cash-(Sens!E6311+Sens!F6307-Sens!F6308-Sens!F6309))</f>
        <v>0</v>
      </c>
      <c r="G6310" s="6" t="n">
        <f aca="false">MAX(0,min_cash-(Sens!F6311+Sens!G6307-Sens!G6308-Sens!G6309))</f>
        <v>0</v>
      </c>
      <c r="H6310" s="6" t="n">
        <f aca="false">MAX(0,min_cash-(Sens!G6311+Sens!H6307-Sens!H6308-Sens!H6309))</f>
        <v>0</v>
      </c>
      <c r="I6310" s="6" t="n">
        <f aca="false">MAX(0,min_cash-(Sens!H6311+Sens!I6307-Sens!I6308-Sens!I6309))</f>
        <v>0</v>
      </c>
      <c r="J6310" s="6" t="n">
        <f aca="false">MAX(0,min_cash-(Sens!I6311+Sens!J6307-Sens!J6308-Sens!J6309))</f>
        <v>0</v>
      </c>
      <c r="K6310" s="6" t="n">
        <f aca="false">MAX(0,min_cash-(Sens!J6311+Sens!K6307-Sens!K6308-Sens!K6309))</f>
        <v>0</v>
      </c>
    </row>
    <row r="6311" customFormat="false" ht="15" hidden="false" customHeight="false" outlineLevel="0" collapsed="false">
      <c r="A6311" s="1" t="s">
        <v>1129</v>
      </c>
      <c r="B6311" s="0" t="s">
        <v>98</v>
      </c>
      <c r="E6311" s="6" t="n">
        <f aca="false">cash_open</f>
        <v>76.843</v>
      </c>
      <c r="F6311" s="6" t="n">
        <f aca="false">Sens!E6311+Sens!F6307-Sens!F6308-Sens!F6309+Sens!F6310</f>
        <v>50</v>
      </c>
      <c r="G6311" s="6" t="n">
        <f aca="false">Sens!F6311+Sens!G6307-Sens!G6308-Sens!G6309+Sens!G6310</f>
        <v>50</v>
      </c>
      <c r="H6311" s="6" t="n">
        <f aca="false">Sens!G6311+Sens!H6307-Sens!H6308-Sens!H6309+Sens!H6310</f>
        <v>80.231323461921</v>
      </c>
      <c r="I6311" s="6" t="n">
        <f aca="false">Sens!H6311+Sens!I6307-Sens!I6308-Sens!I6309+Sens!I6310</f>
        <v>185.043161316435</v>
      </c>
      <c r="J6311" s="6" t="n">
        <f aca="false">Sens!I6311+Sens!J6307-Sens!J6308-Sens!J6309+Sens!J6310</f>
        <v>363.062754545749</v>
      </c>
      <c r="K6311" s="6" t="n">
        <f aca="false">Sens!J6311+Sens!K6307-Sens!K6308-Sens!K6309+Sens!K6310</f>
        <v>577.011338102046</v>
      </c>
    </row>
    <row r="6312" customFormat="false" ht="15" hidden="false" customHeight="false" outlineLevel="0" collapsed="false">
      <c r="A6312" s="1" t="s">
        <v>1130</v>
      </c>
      <c r="B6312" s="0" t="s">
        <v>98</v>
      </c>
      <c r="E6312" s="6" t="n">
        <f aca="false">debt_face</f>
        <v>46.136</v>
      </c>
      <c r="F6312" s="6" t="n">
        <f aca="false">Sens!E6312-Sens!F6308+Sens!F6310</f>
        <v>36.886</v>
      </c>
      <c r="G6312" s="6" t="n">
        <f aca="false">Sens!F6312-Sens!G6308+Sens!G6310</f>
        <v>36.886</v>
      </c>
      <c r="H6312" s="6" t="n">
        <f aca="false">Sens!G6312-Sens!H6308+Sens!H6310</f>
        <v>34.885</v>
      </c>
      <c r="I6312" s="6" t="n">
        <f aca="false">Sens!H6312-Sens!I6308+Sens!I6310</f>
        <v>34.885</v>
      </c>
      <c r="J6312" s="6" t="n">
        <f aca="false">Sens!I6312-Sens!J6308+Sens!J6310</f>
        <v>34.385</v>
      </c>
      <c r="K6312" s="6" t="n">
        <f aca="false">Sens!J6312-Sens!K6308+Sens!K6310</f>
        <v>34.385</v>
      </c>
    </row>
    <row r="6313" customFormat="false" ht="15" hidden="false" customHeight="false" outlineLevel="0" collapsed="false">
      <c r="A6313" s="1" t="s">
        <v>1131</v>
      </c>
      <c r="B6313" s="0" t="s">
        <v>98</v>
      </c>
      <c r="E6313" s="6" t="n">
        <f aca="false">Sens!E6311-Sens!E6312</f>
        <v>30.707</v>
      </c>
      <c r="F6313" s="6" t="n">
        <f aca="false">Sens!F6311-Sens!F6312</f>
        <v>13.114</v>
      </c>
      <c r="G6313" s="6" t="n">
        <f aca="false">Sens!G6311-Sens!G6312</f>
        <v>13.114</v>
      </c>
      <c r="H6313" s="6" t="n">
        <f aca="false">Sens!H6311-Sens!H6312</f>
        <v>45.346323461921</v>
      </c>
      <c r="I6313" s="6" t="n">
        <f aca="false">Sens!I6311-Sens!I6312</f>
        <v>150.158161316435</v>
      </c>
      <c r="J6313" s="6" t="n">
        <f aca="false">Sens!J6311-Sens!J6312</f>
        <v>328.677754545749</v>
      </c>
      <c r="K6313" s="6" t="n">
        <f aca="false">Sens!K6311-Sens!K6312</f>
        <v>542.626338102046</v>
      </c>
    </row>
    <row r="6314" customFormat="false" ht="15" hidden="false" customHeight="false" outlineLevel="0" collapsed="false">
      <c r="A6314" s="1" t="s">
        <v>1132</v>
      </c>
      <c r="B6314" s="0" t="s">
        <v>75</v>
      </c>
      <c r="F6314" s="30" t="n">
        <f aca="false">px*(1+bb_g)^(Sens!F6172-base_fy-mid_yr)</f>
        <v>551.84177959629</v>
      </c>
      <c r="G6314" s="30" t="n">
        <f aca="false">px*(1+bb_g)^(Sens!G6172-base_fy-mid_yr)</f>
        <v>595.989121963993</v>
      </c>
      <c r="H6314" s="30" t="n">
        <f aca="false">px*(1+bb_g)^(Sens!H6172-base_fy-mid_yr)</f>
        <v>643.668251721112</v>
      </c>
      <c r="I6314" s="30" t="n">
        <f aca="false">px*(1+bb_g)^(Sens!I6172-base_fy-mid_yr)</f>
        <v>695.161711858801</v>
      </c>
      <c r="J6314" s="30" t="n">
        <f aca="false">px*(1+bb_g)^(Sens!J6172-base_fy-mid_yr)</f>
        <v>750.774648807506</v>
      </c>
      <c r="K6314" s="30" t="n">
        <f aca="false">px*(1+bb_g)^(Sens!K6172-base_fy-mid_yr)</f>
        <v>810.836620712106</v>
      </c>
    </row>
    <row r="6315" customFormat="false" ht="15" hidden="false" customHeight="false" outlineLevel="0" collapsed="false">
      <c r="A6315" s="1" t="s">
        <v>1133</v>
      </c>
      <c r="B6315" s="1" t="s">
        <v>81</v>
      </c>
      <c r="E6315" s="15" t="n">
        <f aca="false">sh_out26</f>
        <v>7.427</v>
      </c>
      <c r="F6315" s="15" t="n">
        <f aca="false">Sens!E6315+sh_iss-Sens!F6309/Sens!F6314</f>
        <v>7.46552484634655</v>
      </c>
      <c r="G6315" s="15" t="n">
        <f aca="false">Sens!F6315+sh_iss-Sens!G6309/Sens!G6314</f>
        <v>7.50278939137811</v>
      </c>
      <c r="H6315" s="15" t="n">
        <f aca="false">Sens!G6315+sh_iss-Sens!H6309/Sens!H6314</f>
        <v>7.51318926943571</v>
      </c>
      <c r="I6315" s="15" t="n">
        <f aca="false">Sens!H6315+sh_iss-Sens!I6309/Sens!I6314</f>
        <v>7.52615211948905</v>
      </c>
      <c r="J6315" s="15" t="n">
        <f aca="false">Sens!I6315+sh_iss-Sens!J6309/Sens!J6314</f>
        <v>7.54148809176066</v>
      </c>
      <c r="K6315" s="15" t="n">
        <f aca="false">Sens!J6315+sh_iss-Sens!K6309/Sens!K6314</f>
        <v>7.55902139941955</v>
      </c>
    </row>
    <row r="6316" customFormat="false" ht="15" hidden="false" customHeight="false" outlineLevel="0" collapsed="false">
      <c r="A6316" s="1" t="s">
        <v>1134</v>
      </c>
      <c r="B6316" s="1" t="s">
        <v>81</v>
      </c>
      <c r="E6316" s="15" t="n">
        <f aca="false">sh_dil26</f>
        <v>7.453</v>
      </c>
      <c r="F6316" s="15" t="n">
        <f aca="false">(Sens!E6315+Sens!F6315)/2+dil_gap</f>
        <v>7.47026242317327</v>
      </c>
      <c r="G6316" s="15" t="n">
        <f aca="false">(Sens!F6315+Sens!G6315)/2+dil_gap</f>
        <v>7.50815711886233</v>
      </c>
      <c r="H6316" s="15" t="n">
        <f aca="false">(Sens!G6315+Sens!H6315)/2+dil_gap</f>
        <v>7.53198933040691</v>
      </c>
      <c r="I6316" s="15" t="n">
        <f aca="false">(Sens!H6315+Sens!I6315)/2+dil_gap</f>
        <v>7.54367069446238</v>
      </c>
      <c r="J6316" s="15" t="n">
        <f aca="false">(Sens!I6315+Sens!J6315)/2+dil_gap</f>
        <v>7.55782010562485</v>
      </c>
      <c r="K6316" s="15" t="n">
        <f aca="false">(Sens!J6315+Sens!K6315)/2+dil_gap</f>
        <v>7.5742547455901</v>
      </c>
    </row>
    <row r="6317" customFormat="false" ht="17.15" hidden="false" customHeight="false" outlineLevel="0" collapsed="false">
      <c r="A6317" s="1" t="s">
        <v>1135</v>
      </c>
      <c r="B6317" s="0" t="s">
        <v>98</v>
      </c>
      <c r="C6317" s="6" t="n">
        <f aca="false">SUM(Sens!F6307:J6307)</f>
        <v>372.967261875661</v>
      </c>
    </row>
    <row r="6318" customFormat="false" ht="15" hidden="false" customHeight="false" outlineLevel="0" collapsed="false">
      <c r="A6318" s="26" t="s">
        <v>1100</v>
      </c>
      <c r="B6318" s="31" t="s">
        <v>98</v>
      </c>
      <c r="C6318" s="27" t="n">
        <f aca="false">Sens!$C$6317-(Sens!F6307+Sens!G6307+Sens!H6307+Sens!I6307+Sens!J6307)</f>
        <v>0</v>
      </c>
      <c r="D6318" s="31"/>
      <c r="E6318" s="31"/>
      <c r="F6318" s="31"/>
      <c r="G6318" s="31"/>
      <c r="H6318" s="31"/>
      <c r="I6318" s="31"/>
      <c r="J6318" s="31"/>
      <c r="K6318" s="31"/>
    </row>
    <row r="6319" customFormat="false" ht="17.15" hidden="false" customHeight="false" outlineLevel="0" collapsed="false">
      <c r="A6319" s="1" t="s">
        <v>1094</v>
      </c>
      <c r="B6319" s="1" t="s">
        <v>1136</v>
      </c>
      <c r="C6319" s="33" t="str">
        <f aca="false">IF(SUM(Sens!F6310:J6310)&gt;0.05,"需要舉債 "&amp;TEXT(SUM(Sens!F6310:J6310),"0.0")&amp;" 十億美元","不需舉債")&amp;"；"&amp;IF(SUM(Sens!F6309:J6309)&lt;COUNT(Sens!F6309:J6309)*bb_target-0.05,"回購較每年 "&amp;TEXT(bb_target,"0.0")&amp;" 的目標少 "&amp;TEXT(COUNT(Sens!F6309:J6309)*bb_target-SUM(Sens!F6309:J6309),"0.0")&amp;" 十億美元（"&amp;TEXT(COUNTIF(Sens!F6309:J6309,"&lt;"&amp;(bb_target-0.05)),"0")&amp;" 年減少）","回購不減")</f>
        <v>不需舉債；回購較每年 22.3 的目標少 36.4 十億美元（2 年減少）</v>
      </c>
    </row>
    <row r="6320" customFormat="false" ht="17.15" hidden="false" customHeight="false" outlineLevel="0" collapsed="false">
      <c r="A6320" s="3" t="s">
        <v>1769</v>
      </c>
    </row>
    <row r="6321" customFormat="false" ht="15" hidden="false" customHeight="false" outlineLevel="0" collapsed="false">
      <c r="A6321" s="4" t="s">
        <v>43</v>
      </c>
      <c r="B6321" s="4" t="s">
        <v>65</v>
      </c>
      <c r="C6321" s="23" t="s">
        <v>942</v>
      </c>
      <c r="D6321" s="23" t="s">
        <v>943</v>
      </c>
      <c r="E6321" s="23" t="s">
        <v>944</v>
      </c>
      <c r="F6321" s="23" t="s">
        <v>945</v>
      </c>
      <c r="G6321" s="23" t="s">
        <v>946</v>
      </c>
      <c r="H6321" s="23" t="s">
        <v>947</v>
      </c>
      <c r="I6321" s="23" t="s">
        <v>948</v>
      </c>
      <c r="J6321" s="23" t="s">
        <v>949</v>
      </c>
      <c r="K6321" s="23" t="s">
        <v>950</v>
      </c>
      <c r="L6321" s="4" t="s">
        <v>47</v>
      </c>
    </row>
    <row r="6322" customFormat="false" ht="17.15" hidden="false" customHeight="false" outlineLevel="0" collapsed="false">
      <c r="A6322" s="1" t="s">
        <v>1216</v>
      </c>
      <c r="B6322" s="1" t="s">
        <v>279</v>
      </c>
      <c r="F6322" s="8" t="n">
        <f aca="false">(1-v_off)*mid_yr</f>
        <v>0.373972602739726</v>
      </c>
      <c r="G6322" s="8" t="n">
        <f aca="false">Sens!G6172-base_fy-mid_yr-v_off</f>
        <v>1.24794520547945</v>
      </c>
      <c r="H6322" s="8" t="n">
        <f aca="false">Sens!H6172-base_fy-mid_yr-v_off</f>
        <v>2.24794520547945</v>
      </c>
      <c r="I6322" s="8" t="n">
        <f aca="false">Sens!I6172-base_fy-mid_yr-v_off</f>
        <v>3.24794520547945</v>
      </c>
      <c r="J6322" s="8" t="n">
        <f aca="false">Sens!J6172-base_fy-mid_yr-v_off</f>
        <v>4.24794520547945</v>
      </c>
      <c r="K6322" s="8" t="n">
        <f aca="false">Sens!K6172-base_fy-mid_yr-v_off</f>
        <v>5.24794520547945</v>
      </c>
      <c r="L6322" s="12" t="s">
        <v>1217</v>
      </c>
    </row>
    <row r="6323" customFormat="false" ht="15" hidden="false" customHeight="false" outlineLevel="0" collapsed="false">
      <c r="A6323" s="1" t="s">
        <v>1218</v>
      </c>
      <c r="B6323" s="1" t="s">
        <v>279</v>
      </c>
      <c r="F6323" s="8" t="n">
        <f aca="false">Sens!F6172-base_fy-v_off</f>
        <v>0.747945205479452</v>
      </c>
      <c r="G6323" s="8" t="n">
        <f aca="false">Sens!G6172-base_fy-v_off</f>
        <v>1.74794520547945</v>
      </c>
      <c r="H6323" s="8" t="n">
        <f aca="false">Sens!H6172-base_fy-v_off</f>
        <v>2.74794520547945</v>
      </c>
      <c r="I6323" s="8" t="n">
        <f aca="false">Sens!I6172-base_fy-v_off</f>
        <v>3.74794520547945</v>
      </c>
      <c r="J6323" s="8" t="n">
        <f aca="false">Sens!J6172-base_fy-v_off</f>
        <v>4.74794520547945</v>
      </c>
      <c r="K6323" s="8" t="n">
        <f aca="false">Sens!K6172-base_fy-v_off</f>
        <v>5.74794520547945</v>
      </c>
    </row>
    <row r="6324" customFormat="false" ht="15" hidden="false" customHeight="false" outlineLevel="0" collapsed="false">
      <c r="A6324" s="1" t="s">
        <v>1219</v>
      </c>
      <c r="B6324" s="0" t="s">
        <v>229</v>
      </c>
      <c r="F6324" s="15" t="n">
        <f aca="false">1/(1+wacc)^Sens!F6322</f>
        <v>0.964022703286649</v>
      </c>
      <c r="G6324" s="15" t="n">
        <f aca="false">1/(1+wacc)^Sens!G6322</f>
        <v>0.884910302296739</v>
      </c>
      <c r="H6324" s="15" t="n">
        <f aca="false">1/(1+wacc)^Sens!H6322</f>
        <v>0.802322009770358</v>
      </c>
      <c r="I6324" s="15" t="n">
        <f aca="false">1/(1+wacc)^Sens!I6322</f>
        <v>0.727441646561469</v>
      </c>
      <c r="J6324" s="15" t="n">
        <f aca="false">1/(1+wacc)^Sens!J6322</f>
        <v>0.659549834988973</v>
      </c>
      <c r="K6324" s="15" t="n">
        <f aca="false">1/(1+wacc)^Sens!K6322</f>
        <v>0.597994336576966</v>
      </c>
    </row>
    <row r="6325" customFormat="false" ht="17.15" hidden="false" customHeight="false" outlineLevel="0" collapsed="false">
      <c r="A6325" s="1" t="s">
        <v>1220</v>
      </c>
      <c r="B6325" s="0" t="s">
        <v>98</v>
      </c>
      <c r="F6325" s="6" t="n">
        <f aca="false">Q!$I$35-Q!$I$39-Q!$I$43</f>
        <v>9.666</v>
      </c>
      <c r="L6325" s="12" t="s">
        <v>1221</v>
      </c>
    </row>
    <row r="6326" customFormat="false" ht="17.15" hidden="false" customHeight="false" outlineLevel="0" collapsed="false">
      <c r="A6326" s="1" t="s">
        <v>1222</v>
      </c>
      <c r="B6326" s="0" t="s">
        <v>98</v>
      </c>
      <c r="F6326" s="6" t="n">
        <f aca="false">Sens!F6297-Sens!F6294-Sens!F6301+Sens!F6279*(1-tax_f)*(1-v_off)-Sens!F6325</f>
        <v>-0.738917201938941</v>
      </c>
      <c r="G6326" s="6" t="n">
        <f aca="false">Sens!G6297-Sens!G6294-Sens!G6301+Sens!G6279*(1-tax_f)</f>
        <v>39.8658762873979</v>
      </c>
      <c r="H6326" s="6" t="n">
        <f aca="false">Sens!H6297-Sens!H6294-Sens!H6301+Sens!H6279*(1-tax_f)</f>
        <v>100.61579650585</v>
      </c>
      <c r="I6326" s="6" t="n">
        <f aca="false">Sens!I6297-Sens!I6294-Sens!I6301+Sens!I6279*(1-tax_f)</f>
        <v>184.262074753391</v>
      </c>
      <c r="J6326" s="6" t="n">
        <f aca="false">Sens!J6297-Sens!J6294-Sens!J6301+Sens!J6279*(1-tax_f)</f>
        <v>266.575978888592</v>
      </c>
      <c r="K6326" s="6" t="n">
        <f aca="false">Sens!K6297-Sens!K6294-Sens!K6301+Sens!K6279*(1-tax_f)</f>
        <v>307.481819352643</v>
      </c>
      <c r="L6326" s="1" t="s">
        <v>1223</v>
      </c>
    </row>
    <row r="6327" customFormat="false" ht="15" hidden="false" customHeight="false" outlineLevel="0" collapsed="false">
      <c r="A6327" s="1" t="s">
        <v>1224</v>
      </c>
      <c r="B6327" s="0" t="s">
        <v>98</v>
      </c>
      <c r="F6327" s="6" t="n">
        <f aca="false">Sens!F6326*Sens!F6324</f>
        <v>-0.712332958518185</v>
      </c>
      <c r="G6327" s="6" t="n">
        <f aca="false">Sens!G6326*Sens!G6324</f>
        <v>35.2777246368057</v>
      </c>
      <c r="H6327" s="6" t="n">
        <f aca="false">Sens!H6326*Sens!H6324</f>
        <v>80.7262680672191</v>
      </c>
      <c r="I6327" s="6" t="n">
        <f aca="false">Sens!I6326*Sens!I6324</f>
        <v>134.039907057439</v>
      </c>
      <c r="J6327" s="6" t="n">
        <f aca="false">Sens!J6326*Sens!J6324</f>
        <v>175.820142887995</v>
      </c>
      <c r="K6327" s="6" t="n">
        <f aca="false">Sens!K6326*Sens!K6324</f>
        <v>183.872386573262</v>
      </c>
    </row>
    <row r="6328" customFormat="false" ht="17.15" hidden="false" customHeight="false" outlineLevel="0" collapsed="false">
      <c r="A6328" s="1" t="s">
        <v>1225</v>
      </c>
      <c r="B6328" s="0" t="s">
        <v>98</v>
      </c>
      <c r="C6328" s="6" t="n">
        <f aca="false">SUM(Sens!F6327:K6327)</f>
        <v>609.024096264203</v>
      </c>
    </row>
    <row r="6329" customFormat="false" ht="17.15" hidden="false" customHeight="false" outlineLevel="0" collapsed="false">
      <c r="A6329" s="1" t="s">
        <v>1226</v>
      </c>
      <c r="B6329" s="0" t="s">
        <v>98</v>
      </c>
      <c r="C6329" s="6" t="n">
        <f aca="false">Sens!K6265*(1+g_tv)*(1-tax_f)</f>
        <v>320.403178650239</v>
      </c>
    </row>
    <row r="6330" customFormat="false" ht="17.15" hidden="false" customHeight="false" outlineLevel="0" collapsed="false">
      <c r="A6330" s="1" t="s">
        <v>1227</v>
      </c>
      <c r="B6330" s="0" t="s">
        <v>98</v>
      </c>
      <c r="C6330" s="6" t="n">
        <f aca="false">Sens!$C$6329*(1-g_tv/(wacc+ronic_prem))</f>
        <v>227.024378447042</v>
      </c>
    </row>
    <row r="6331" customFormat="false" ht="17.15" hidden="false" customHeight="false" outlineLevel="0" collapsed="false">
      <c r="A6331" s="1" t="s">
        <v>1228</v>
      </c>
      <c r="B6331" s="0" t="s">
        <v>98</v>
      </c>
      <c r="C6331" s="6" t="n">
        <f aca="false">Sens!$C$6330/(wacc-g_tv)</f>
        <v>3112.62667343991</v>
      </c>
    </row>
    <row r="6332" customFormat="false" ht="15" hidden="false" customHeight="false" outlineLevel="0" collapsed="false">
      <c r="A6332" s="1" t="s">
        <v>1229</v>
      </c>
      <c r="B6332" s="0" t="s">
        <v>98</v>
      </c>
      <c r="C6332" s="6" t="n">
        <f aca="false">Sens!$C$6331/(1+wacc)^Sens!K6323</f>
        <v>1772.34732120085</v>
      </c>
    </row>
    <row r="6333" customFormat="false" ht="17.15" hidden="false" customHeight="false" outlineLevel="0" collapsed="false">
      <c r="A6333" s="0" t="s">
        <v>1230</v>
      </c>
      <c r="B6333" s="0" t="s">
        <v>98</v>
      </c>
      <c r="C6333" s="6" t="n">
        <f aca="false">Sens!$C$6328+Sens!$C$6332</f>
        <v>2381.37141746506</v>
      </c>
    </row>
    <row r="6334" customFormat="false" ht="15" hidden="false" customHeight="false" outlineLevel="0" collapsed="false">
      <c r="A6334" s="1" t="s">
        <v>1145</v>
      </c>
      <c r="B6334" s="0" t="s">
        <v>168</v>
      </c>
      <c r="C6334" s="7" t="n">
        <f aca="false">Sens!$C$6332/Sens!$C$6333</f>
        <v>0.744254889515512</v>
      </c>
    </row>
    <row r="6335" customFormat="false" ht="17.15" hidden="false" customHeight="false" outlineLevel="0" collapsed="false">
      <c r="A6335" s="1" t="s">
        <v>1231</v>
      </c>
      <c r="B6335" s="0" t="s">
        <v>98</v>
      </c>
      <c r="C6335" s="6" t="n">
        <f aca="false">Sens!$C$6333+cash_val-debt_val-fl_val+oai_v</f>
        <v>2497.22241746506</v>
      </c>
    </row>
    <row r="6336" customFormat="false" ht="17.15" hidden="false" customHeight="false" outlineLevel="0" collapsed="false">
      <c r="A6336" s="0" t="s">
        <v>1153</v>
      </c>
      <c r="B6336" s="0" t="s">
        <v>75</v>
      </c>
      <c r="C6336" s="5" t="n">
        <f aca="false">Sens!$C$6335/shd_val</f>
        <v>335.377708496516</v>
      </c>
    </row>
    <row r="6337" customFormat="false" ht="15" hidden="false" customHeight="false" outlineLevel="0" collapsed="false">
      <c r="A6337" s="1" t="s">
        <v>1232</v>
      </c>
      <c r="B6337" s="0" t="s">
        <v>75</v>
      </c>
      <c r="C6337" s="8" t="n">
        <f aca="false">div_rem27+Sens!G6305*roll_div_q/q_per_yr</f>
        <v>3.9795</v>
      </c>
    </row>
    <row r="6338" customFormat="false" ht="17.15" hidden="false" customHeight="false" outlineLevel="0" collapsed="false">
      <c r="A6338" s="0" t="s">
        <v>1233</v>
      </c>
      <c r="B6338" s="0" t="s">
        <v>75</v>
      </c>
      <c r="C6338" s="5" t="n">
        <f aca="false">Sens!$C$6336*(1+wacc)^t_roll-Sens!$C$6337</f>
        <v>368.811540673249</v>
      </c>
    </row>
    <row r="6339" customFormat="false" ht="17.15" hidden="false" customHeight="false" outlineLevel="0" collapsed="false">
      <c r="A6339" s="1" t="s">
        <v>1234</v>
      </c>
      <c r="B6339" s="0" t="s">
        <v>168</v>
      </c>
      <c r="F6339" s="7" t="n">
        <f aca="false">Sens!F6291/(Sens!F6236-Sens!F6191)</f>
        <v>0.0685808971773214</v>
      </c>
      <c r="G6339" s="7" t="n">
        <f aca="false">Sens!G6291/(Sens!G6236-Sens!G6191)</f>
        <v>0.0653763866209364</v>
      </c>
      <c r="H6339" s="7" t="n">
        <f aca="false">Sens!H6291/(Sens!H6236-Sens!H6191)</f>
        <v>0.0636755510055312</v>
      </c>
      <c r="I6339" s="7" t="n">
        <f aca="false">Sens!I6291/(Sens!I6236-Sens!I6191)</f>
        <v>0.0633651632998055</v>
      </c>
      <c r="J6339" s="7" t="n">
        <f aca="false">Sens!J6291/(Sens!J6236-Sens!J6191)</f>
        <v>0.064089738763098</v>
      </c>
      <c r="K6339" s="7" t="n">
        <f aca="false">Sens!K6291/(Sens!K6236-Sens!K6191)</f>
        <v>0.0653943426978465</v>
      </c>
    </row>
    <row r="6340" customFormat="false" ht="17.15" hidden="false" customHeight="false" outlineLevel="0" collapsed="false">
      <c r="A6340" s="0" t="s">
        <v>1235</v>
      </c>
      <c r="B6340" s="0" t="s">
        <v>98</v>
      </c>
      <c r="F6340" s="6" t="n">
        <f aca="false">Sens!F6221*(al_m365+Sens!F6339+sbc_r)</f>
        <v>84.5247630327216</v>
      </c>
      <c r="G6340" s="6" t="n">
        <f aca="false">Sens!G6221*(al_m365+Sens!G6339+sbc_r)</f>
        <v>98.9527450265959</v>
      </c>
      <c r="H6340" s="6" t="n">
        <f aca="false">Sens!H6221*(al_m365+Sens!H6339+sbc_r)</f>
        <v>113.545785850453</v>
      </c>
      <c r="I6340" s="6" t="n">
        <f aca="false">Sens!I6221*(al_m365+Sens!I6339+sbc_r)</f>
        <v>126.621863168487</v>
      </c>
      <c r="J6340" s="6" t="n">
        <f aca="false">Sens!J6221*(al_m365+Sens!J6339+sbc_r)</f>
        <v>137.995121108406</v>
      </c>
      <c r="K6340" s="6" t="n">
        <f aca="false">Sens!K6221*(al_m365+Sens!K6339+sbc_r)</f>
        <v>148.988825366123</v>
      </c>
      <c r="L6340" s="12" t="s">
        <v>1236</v>
      </c>
    </row>
    <row r="6341" customFormat="false" ht="17.15" hidden="false" customHeight="false" outlineLevel="0" collapsed="false">
      <c r="A6341" s="0" t="s">
        <v>1237</v>
      </c>
      <c r="B6341" s="0" t="s">
        <v>98</v>
      </c>
      <c r="F6341" s="6" t="n">
        <f aca="false">Sens!F6222*(al_lic+Sens!F6339+sbc_r)</f>
        <v>32.8562813758379</v>
      </c>
      <c r="G6341" s="6" t="n">
        <f aca="false">Sens!G6222*(al_lic+Sens!G6339+sbc_r)</f>
        <v>34.1193430064005</v>
      </c>
      <c r="H6341" s="6" t="n">
        <f aca="false">Sens!H6222*(al_lic+Sens!H6339+sbc_r)</f>
        <v>35.3029563753405</v>
      </c>
      <c r="I6341" s="6" t="n">
        <f aca="false">Sens!I6222*(al_lic+Sens!I6339+sbc_r)</f>
        <v>36.390148579996</v>
      </c>
      <c r="J6341" s="6" t="n">
        <f aca="false">Sens!J6222*(al_lic+Sens!J6339+sbc_r)</f>
        <v>37.3530157446157</v>
      </c>
      <c r="K6341" s="6" t="n">
        <f aca="false">Sens!K6222*(al_lic+Sens!K6339+sbc_r)</f>
        <v>38.1584520133565</v>
      </c>
    </row>
    <row r="6342" customFormat="false" ht="17.15" hidden="false" customHeight="false" outlineLevel="0" collapsed="false">
      <c r="A6342" s="0" t="s">
        <v>1238</v>
      </c>
      <c r="B6342" s="0" t="s">
        <v>98</v>
      </c>
      <c r="F6342" s="6" t="n">
        <f aca="false">Sens!F6224*(al_ind+Sens!F6339+sbc_r)</f>
        <v>9.05955405064474</v>
      </c>
      <c r="G6342" s="6" t="n">
        <f aca="false">Sens!G6224*(al_ind+Sens!G6339+sbc_r)</f>
        <v>9.82504333385471</v>
      </c>
      <c r="H6342" s="6" t="n">
        <f aca="false">Sens!H6224*(al_ind+Sens!H6339+sbc_r)</f>
        <v>10.6380768377015</v>
      </c>
      <c r="I6342" s="6" t="n">
        <f aca="false">Sens!I6224*(al_ind+Sens!I6339+sbc_r)</f>
        <v>11.4968347192599</v>
      </c>
      <c r="J6342" s="6" t="n">
        <f aca="false">Sens!J6224*(al_ind+Sens!J6339+sbc_r)</f>
        <v>12.3904383445068</v>
      </c>
      <c r="K6342" s="6" t="n">
        <f aca="false">Sens!K6224*(al_ind+Sens!K6339+sbc_r)</f>
        <v>13.3008507968243</v>
      </c>
    </row>
    <row r="6343" customFormat="false" ht="17.15" hidden="false" customHeight="false" outlineLevel="0" collapsed="false">
      <c r="A6343" s="0" t="s">
        <v>1239</v>
      </c>
      <c r="B6343" s="0" t="s">
        <v>98</v>
      </c>
      <c r="F6343" s="6" t="n">
        <f aca="false">Sens!F6226*(al_fro+Sens!F6339+sbc_r)</f>
        <v>3.55369099794405</v>
      </c>
      <c r="G6343" s="6" t="n">
        <f aca="false">Sens!G6226*(al_fro+Sens!G6339+sbc_r)</f>
        <v>3.75934953162771</v>
      </c>
      <c r="H6343" s="6" t="n">
        <f aca="false">Sens!H6226*(al_fro+Sens!H6339+sbc_r)</f>
        <v>3.99509714050592</v>
      </c>
      <c r="I6343" s="6" t="n">
        <f aca="false">Sens!I6226*(al_fro+Sens!I6339+sbc_r)</f>
        <v>4.26403776953937</v>
      </c>
      <c r="J6343" s="6" t="n">
        <f aca="false">Sens!J6226*(al_fro+Sens!J6339+sbc_r)</f>
        <v>4.56680624126115</v>
      </c>
      <c r="K6343" s="6" t="n">
        <f aca="false">Sens!K6226*(al_fro+Sens!K6339+sbc_r)</f>
        <v>4.90236154235417</v>
      </c>
    </row>
    <row r="6344" customFormat="false" ht="17.15" hidden="false" customHeight="false" outlineLevel="0" collapsed="false">
      <c r="A6344" s="0" t="s">
        <v>1240</v>
      </c>
      <c r="B6344" s="0" t="s">
        <v>98</v>
      </c>
      <c r="F6344" s="6" t="n">
        <f aca="false">Sens!F6229*(al_srch+Sens!F6339+sbc_r)</f>
        <v>11.1880245934504</v>
      </c>
      <c r="G6344" s="6" t="n">
        <f aca="false">Sens!G6229*(al_srch+Sens!G6339+sbc_r)</f>
        <v>12.2478424908254</v>
      </c>
      <c r="H6344" s="6" t="n">
        <f aca="false">Sens!H6229*(al_srch+Sens!H6339+sbc_r)</f>
        <v>13.3557089174212</v>
      </c>
      <c r="I6344" s="6" t="n">
        <f aca="false">Sens!I6229*(al_srch+Sens!I6339+sbc_r)</f>
        <v>14.5026698408859</v>
      </c>
      <c r="J6344" s="6" t="n">
        <f aca="false">Sens!J6229*(al_srch+Sens!J6339+sbc_r)</f>
        <v>15.6673681020895</v>
      </c>
      <c r="K6344" s="6" t="n">
        <f aca="false">Sens!K6229*(al_srch+Sens!K6339+sbc_r)</f>
        <v>16.8185595788227</v>
      </c>
    </row>
    <row r="6345" customFormat="false" ht="17.15" hidden="false" customHeight="false" outlineLevel="0" collapsed="false">
      <c r="A6345" s="0" t="s">
        <v>1241</v>
      </c>
      <c r="B6345" s="0" t="s">
        <v>98</v>
      </c>
      <c r="F6345" s="6" t="n">
        <f aca="false">Sens!F6197-Sens!F6198+Sens!F6279</f>
        <v>46.0216197155863</v>
      </c>
      <c r="G6345" s="6" t="n">
        <f aca="false">Sens!G6197-Sens!G6198+Sens!G6279</f>
        <v>92.5799920711294</v>
      </c>
      <c r="H6345" s="6" t="n">
        <f aca="false">Sens!H6197-Sens!H6198+Sens!H6279</f>
        <v>147.094834604697</v>
      </c>
      <c r="I6345" s="6" t="n">
        <f aca="false">Sens!I6197-Sens!I6198+Sens!I6279</f>
        <v>190.519406835174</v>
      </c>
      <c r="J6345" s="6" t="n">
        <f aca="false">Sens!J6197-Sens!J6198+Sens!J6279</f>
        <v>221.137307882777</v>
      </c>
      <c r="K6345" s="6" t="n">
        <f aca="false">Sens!K6197-Sens!K6198+Sens!K6279</f>
        <v>239.821453630452</v>
      </c>
    </row>
    <row r="6346" customFormat="false" ht="17.15" hidden="false" customHeight="false" outlineLevel="0" collapsed="false">
      <c r="A6346" s="0" t="s">
        <v>1242</v>
      </c>
      <c r="B6346" s="0" t="s">
        <v>98</v>
      </c>
      <c r="F6346" s="6" t="n">
        <f aca="false">Sens!F6258+Sens!F6279+Sens!F6209+Sens!F6339*(Sens!F6228-Sens!F6191)+sbc_r*Sens!F6228</f>
        <v>241.322482763963</v>
      </c>
      <c r="G6346" s="6" t="n">
        <f aca="false">Sens!G6258+Sens!G6279+Sens!G6209+Sens!G6339*(Sens!G6228-Sens!G6191)+sbc_r*Sens!G6228</f>
        <v>313.357964942324</v>
      </c>
      <c r="H6346" s="6" t="n">
        <f aca="false">Sens!H6258+Sens!H6279+Sens!H6209+Sens!H6339*(Sens!H6228-Sens!H6191)+sbc_r*Sens!H6228</f>
        <v>397.927514797471</v>
      </c>
      <c r="I6346" s="6" t="n">
        <f aca="false">Sens!I6258+Sens!I6279+Sens!I6209+Sens!I6339*(Sens!I6228-Sens!I6191)+sbc_r*Sens!I6228</f>
        <v>469.311668632277</v>
      </c>
      <c r="J6346" s="6" t="n">
        <f aca="false">Sens!J6258+Sens!J6279+Sens!J6209+Sens!J6339*(Sens!J6228-Sens!J6191)+sbc_r*Sens!J6228</f>
        <v>524.906277686814</v>
      </c>
      <c r="K6346" s="6" t="n">
        <f aca="false">Sens!K6258+Sens!K6279+Sens!K6209+Sens!K6339*(Sens!K6228-Sens!K6191)+sbc_r*Sens!K6228</f>
        <v>566.136916802978</v>
      </c>
    </row>
    <row r="6347" customFormat="false" ht="17.15" hidden="false" customHeight="false" outlineLevel="0" collapsed="false">
      <c r="A6347" s="0" t="s">
        <v>1243</v>
      </c>
      <c r="B6347" s="0" t="s">
        <v>98</v>
      </c>
      <c r="F6347" s="6" t="n">
        <f aca="false">Sens!F6346-Sens!F6340-Sens!F6341-Sens!F6342-Sens!F6343-Sens!F6345</f>
        <v>65.3065735912284</v>
      </c>
      <c r="G6347" s="6" t="n">
        <f aca="false">Sens!G6346-Sens!G6340-Sens!G6341-Sens!G6342-Sens!G6343-Sens!G6345</f>
        <v>74.1214919727154</v>
      </c>
      <c r="H6347" s="6" t="n">
        <f aca="false">Sens!H6346-Sens!H6340-Sens!H6341-Sens!H6342-Sens!H6343-Sens!H6345</f>
        <v>87.3507639887734</v>
      </c>
      <c r="I6347" s="6" t="n">
        <f aca="false">Sens!I6346-Sens!I6340-Sens!I6341-Sens!I6342-Sens!I6343-Sens!I6345</f>
        <v>100.019377559821</v>
      </c>
      <c r="J6347" s="6" t="n">
        <f aca="false">Sens!J6346-Sens!J6340-Sens!J6341-Sens!J6342-Sens!J6343-Sens!J6345</f>
        <v>111.463588365248</v>
      </c>
      <c r="K6347" s="6" t="n">
        <f aca="false">Sens!K6346-Sens!K6340-Sens!K6341-Sens!K6342-Sens!K6343-Sens!K6345</f>
        <v>120.964973453869</v>
      </c>
    </row>
    <row r="6348" customFormat="false" ht="17.15" hidden="false" customHeight="false" outlineLevel="0" collapsed="false">
      <c r="A6348" s="0" t="s">
        <v>1244</v>
      </c>
      <c r="B6348" s="0" t="s">
        <v>98</v>
      </c>
      <c r="F6348" s="6" t="n">
        <f aca="false">Sens!F6260+Sens!F6339*Sens!F6235+sbc_r*Sens!F6235</f>
        <v>26.6311500257571</v>
      </c>
      <c r="G6348" s="6" t="n">
        <f aca="false">Sens!G6260+Sens!G6339*Sens!G6235+sbc_r*Sens!G6235</f>
        <v>26.4417999365818</v>
      </c>
      <c r="H6348" s="6" t="n">
        <f aca="false">Sens!H6260+Sens!H6339*Sens!H6235+sbc_r*Sens!H6235</f>
        <v>27.2977304527792</v>
      </c>
      <c r="I6348" s="6" t="n">
        <f aca="false">Sens!I6260+Sens!I6339*Sens!I6235+sbc_r*Sens!I6235</f>
        <v>28.4000513194343</v>
      </c>
      <c r="J6348" s="6" t="n">
        <f aca="false">Sens!J6260+Sens!J6339*Sens!J6235+sbc_r*Sens!J6235</f>
        <v>29.7095131483948</v>
      </c>
      <c r="K6348" s="6" t="n">
        <f aca="false">Sens!K6260+Sens!K6339*Sens!K6235+sbc_r*Sens!K6235</f>
        <v>31.1816305407906</v>
      </c>
    </row>
    <row r="6349" customFormat="false" ht="17.15" hidden="false" customHeight="false" outlineLevel="0" collapsed="false">
      <c r="A6349" s="0" t="s">
        <v>1245</v>
      </c>
      <c r="B6349" s="0" t="s">
        <v>98</v>
      </c>
      <c r="F6349" s="6" t="n">
        <f aca="false">(Sens!F6348-Sens!F6344)*Sens!F6231/(Sens!F6231+Sens!F6233)</f>
        <v>8.72205360463462</v>
      </c>
      <c r="G6349" s="6" t="n">
        <f aca="false">(Sens!G6348-Sens!G6344)*Sens!G6231/(Sens!G6231+Sens!G6233)</f>
        <v>7.87876702562045</v>
      </c>
      <c r="H6349" s="6" t="n">
        <f aca="false">(Sens!H6348-Sens!H6344)*Sens!H6231/(Sens!H6231+Sens!H6233)</f>
        <v>7.63810745527244</v>
      </c>
      <c r="I6349" s="6" t="n">
        <f aca="false">(Sens!I6348-Sens!I6344)*Sens!I6231/(Sens!I6231+Sens!I6233)</f>
        <v>7.54719608655632</v>
      </c>
      <c r="J6349" s="6" t="n">
        <f aca="false">(Sens!J6348-Sens!J6344)*Sens!J6231/(Sens!J6231+Sens!J6233)</f>
        <v>7.59254120764737</v>
      </c>
      <c r="K6349" s="6" t="n">
        <f aca="false">(Sens!K6348-Sens!K6344)*Sens!K6231/(Sens!K6231+Sens!K6233)</f>
        <v>7.7660647847957</v>
      </c>
    </row>
    <row r="6350" customFormat="false" ht="17.15" hidden="false" customHeight="false" outlineLevel="0" collapsed="false">
      <c r="A6350" s="0" t="s">
        <v>1246</v>
      </c>
      <c r="B6350" s="0" t="s">
        <v>98</v>
      </c>
      <c r="F6350" s="6" t="n">
        <f aca="false">Sens!F6348-Sens!F6344-Sens!F6349</f>
        <v>6.72107182767203</v>
      </c>
      <c r="G6350" s="6" t="n">
        <f aca="false">Sens!G6348-Sens!G6344-Sens!G6349</f>
        <v>6.31519042013596</v>
      </c>
      <c r="H6350" s="6" t="n">
        <f aca="false">Sens!H6348-Sens!H6344-Sens!H6349</f>
        <v>6.30391408008558</v>
      </c>
      <c r="I6350" s="6" t="n">
        <f aca="false">Sens!I6348-Sens!I6344-Sens!I6349</f>
        <v>6.35018539199207</v>
      </c>
      <c r="J6350" s="6" t="n">
        <f aca="false">Sens!J6348-Sens!J6344-Sens!J6349</f>
        <v>6.44960383865789</v>
      </c>
      <c r="K6350" s="6" t="n">
        <f aca="false">Sens!K6348-Sens!K6344-Sens!K6349</f>
        <v>6.59700617717221</v>
      </c>
    </row>
    <row r="6351" customFormat="false" ht="17.15" hidden="false" customHeight="false" outlineLevel="0" collapsed="false">
      <c r="A6351" s="0" t="s">
        <v>1247</v>
      </c>
      <c r="B6351" s="0" t="s">
        <v>98</v>
      </c>
      <c r="F6351" s="6" t="n">
        <f aca="false">Sens!F6345-tax_f*(Sens!F6345-Sens!F6209)-Sens!F6206</f>
        <v>-124.72074537398</v>
      </c>
      <c r="G6351" s="6" t="n">
        <f aca="false">Sens!G6345-tax_f*(Sens!G6345-Sens!G6209)-Sens!G6206</f>
        <v>-105.733583861685</v>
      </c>
      <c r="H6351" s="6" t="n">
        <f aca="false">Sens!H6345-tax_f*(Sens!H6345-Sens!H6209)-Sens!H6206</f>
        <v>-61.3101182484656</v>
      </c>
      <c r="I6351" s="6" t="n">
        <f aca="false">Sens!I6345-tax_f*(Sens!I6345-Sens!I6209)-Sens!I6206</f>
        <v>6.64689378543849</v>
      </c>
      <c r="J6351" s="6" t="n">
        <f aca="false">Sens!J6345-tax_f*(Sens!J6345-Sens!J6209)-Sens!J6206</f>
        <v>74.3830497202004</v>
      </c>
      <c r="K6351" s="6" t="n">
        <f aca="false">Sens!K6345-tax_f*(Sens!K6345-Sens!K6209)-Sens!K6206</f>
        <v>101.496843749815</v>
      </c>
    </row>
    <row r="6352" customFormat="false" ht="17.15" hidden="false" customHeight="false" outlineLevel="0" collapsed="false">
      <c r="A6352" s="0" t="s">
        <v>1248</v>
      </c>
      <c r="B6352" s="0" t="s">
        <v>98</v>
      </c>
      <c r="G6352" s="6" t="n">
        <f aca="false">Sens!G6351/(1+wacc)^(Sens!G6322-Sens!F6323)</f>
        <v>-100.678718840459</v>
      </c>
      <c r="H6352" s="6" t="n">
        <f aca="false">Sens!H6351/(1+wacc)^(Sens!H6322-Sens!F6323)</f>
        <v>-52.9305413913109</v>
      </c>
      <c r="I6352" s="6" t="n">
        <f aca="false">Sens!I6351/(1+wacc)^(Sens!I6322-Sens!F6323)</f>
        <v>5.20286283136321</v>
      </c>
      <c r="J6352" s="6" t="n">
        <f aca="false">Sens!J6351/(1+wacc)^(Sens!J6322-Sens!F6323)</f>
        <v>52.7894421643978</v>
      </c>
      <c r="K6352" s="6" t="n">
        <f aca="false">Sens!K6351/(1+wacc)^(Sens!K6322-Sens!F6323)</f>
        <v>65.3093083304527</v>
      </c>
      <c r="L6352" s="1" t="s">
        <v>1249</v>
      </c>
    </row>
    <row r="6353" customFormat="false" ht="17.15" hidden="false" customHeight="false" outlineLevel="0" collapsed="false">
      <c r="A6353" s="0" t="s">
        <v>1250</v>
      </c>
      <c r="B6353" s="0" t="s">
        <v>98</v>
      </c>
      <c r="C6353" s="6" t="n">
        <f aca="false">(Sens!K6345-Sens!K6209)*(1-tax_f)*(1+g_tv)*(1-g_tv/(wacc+ronic_prem))/(wacc-g_tv)/(1+wacc)^(Sens!K6323-Sens!F6323)</f>
        <v>474.809577358033</v>
      </c>
    </row>
    <row r="6354" customFormat="false" ht="17.15" hidden="false" customHeight="false" outlineLevel="0" collapsed="false">
      <c r="A6354" s="1" t="s">
        <v>1251</v>
      </c>
      <c r="B6354" s="0" t="s">
        <v>98</v>
      </c>
      <c r="C6354" s="6" t="n">
        <f aca="false">(SUM(Sens!G6352:K6352)+Sens!$C$6353)*(1+wacc)^(t_roll-Sens!F6323)</f>
        <v>459.176283450328</v>
      </c>
      <c r="L6354" s="12" t="s">
        <v>1252</v>
      </c>
    </row>
    <row r="6355" customFormat="false" ht="17.15" hidden="false" customHeight="false" outlineLevel="0" collapsed="false">
      <c r="A6355" s="1" t="s">
        <v>1253</v>
      </c>
      <c r="B6355" s="0" t="s">
        <v>98</v>
      </c>
      <c r="C6355" s="6" t="n">
        <f aca="false">(w_ntm28*Sens!G6197+(1-w_ntm28)*Sens!H6197)*m_ai</f>
        <v>574.219119571538</v>
      </c>
    </row>
    <row r="6356" customFormat="false" ht="17.15" hidden="false" customHeight="false" outlineLevel="0" collapsed="false">
      <c r="A6356" s="1" t="s">
        <v>1254</v>
      </c>
      <c r="B6356" s="0" t="s">
        <v>98</v>
      </c>
      <c r="C6356" s="6" t="n">
        <f aca="false">(w_ntm28*Sens!G6347+(1-w_ntm28)*Sens!H6347)*m_cloud</f>
        <v>1084.46703197096</v>
      </c>
    </row>
    <row r="6357" customFormat="false" ht="17.15" hidden="false" customHeight="false" outlineLevel="0" collapsed="false">
      <c r="A6357" s="1" t="s">
        <v>1255</v>
      </c>
      <c r="B6357" s="0" t="s">
        <v>98</v>
      </c>
      <c r="C6357" s="6" t="n">
        <f aca="false">(w_ntm28*Sens!G6340+(1-w_ntm28)*Sens!H6340)*m_sw</f>
        <v>1120.50493644537</v>
      </c>
    </row>
    <row r="6358" customFormat="false" ht="17.15" hidden="false" customHeight="false" outlineLevel="0" collapsed="false">
      <c r="A6358" s="1" t="s">
        <v>1256</v>
      </c>
      <c r="B6358" s="0" t="s">
        <v>98</v>
      </c>
      <c r="C6358" s="6" t="n">
        <f aca="false">(w_ntm28*Sens!G6341+(1-w_ntm28)*Sens!H6341)*m_sw</f>
        <v>372.691542622951</v>
      </c>
    </row>
    <row r="6359" customFormat="false" ht="17.15" hidden="false" customHeight="false" outlineLevel="0" collapsed="false">
      <c r="A6359" s="1" t="s">
        <v>1257</v>
      </c>
      <c r="B6359" s="0" t="s">
        <v>98</v>
      </c>
      <c r="C6359" s="6" t="n">
        <f aca="false">(w_ntm28*Sens!G6342+(1-w_ntm28)*Sens!H6342)*m_sw</f>
        <v>108.99729381655</v>
      </c>
    </row>
    <row r="6360" customFormat="false" ht="17.15" hidden="false" customHeight="false" outlineLevel="0" collapsed="false">
      <c r="A6360" s="1" t="s">
        <v>1258</v>
      </c>
      <c r="B6360" s="0" t="s">
        <v>98</v>
      </c>
      <c r="C6360" s="6" t="n">
        <f aca="false">(w_ntm28*Sens!G6343+(1-w_ntm28)*Sens!H6343)*m_sw</f>
        <v>41.4380404240619</v>
      </c>
    </row>
    <row r="6361" customFormat="false" ht="17.15" hidden="false" customHeight="false" outlineLevel="0" collapsed="false">
      <c r="A6361" s="1" t="s">
        <v>1259</v>
      </c>
      <c r="B6361" s="0" t="s">
        <v>98</v>
      </c>
      <c r="C6361" s="6" t="n">
        <f aca="false">(w_ntm28*Sens!G6344+(1-w_ntm28)*Sens!H6344)*m_ads</f>
        <v>114.895980920336</v>
      </c>
    </row>
    <row r="6362" customFormat="false" ht="17.15" hidden="false" customHeight="false" outlineLevel="0" collapsed="false">
      <c r="A6362" s="1" t="s">
        <v>1260</v>
      </c>
      <c r="B6362" s="0" t="s">
        <v>98</v>
      </c>
      <c r="C6362" s="6" t="n">
        <f aca="false">(w_ntm28*Sens!G6349+(1-w_ntm28)*Sens!H6349)*m_game</f>
        <v>98.5095298765467</v>
      </c>
    </row>
    <row r="6363" customFormat="false" ht="17.15" hidden="false" customHeight="false" outlineLevel="0" collapsed="false">
      <c r="A6363" s="1" t="s">
        <v>1261</v>
      </c>
      <c r="B6363" s="0" t="s">
        <v>98</v>
      </c>
      <c r="C6363" s="6" t="n">
        <f aca="false">(w_ntm28*Sens!G6350+(1-w_ntm28)*Sens!H6350)*m_pc</f>
        <v>91.3271608948099</v>
      </c>
    </row>
    <row r="6364" customFormat="false" ht="17.15" hidden="false" customHeight="false" outlineLevel="0" collapsed="false">
      <c r="A6364" s="1" t="s">
        <v>1262</v>
      </c>
      <c r="B6364" s="0" t="s">
        <v>98</v>
      </c>
      <c r="C6364" s="6" t="n">
        <f aca="false">Sens!$C$6354+Sens!$C$6356+Sens!$C$6357+Sens!$C$6358+Sens!$C$6359+Sens!$C$6360+Sens!$C$6361+Sens!$C$6362+Sens!$C$6363</f>
        <v>3492.00780042191</v>
      </c>
    </row>
    <row r="6365" customFormat="false" ht="17.15" hidden="false" customHeight="false" outlineLevel="0" collapsed="false">
      <c r="A6365" s="1" t="s">
        <v>1263</v>
      </c>
      <c r="B6365" s="0" t="s">
        <v>98</v>
      </c>
      <c r="C6365" s="6" t="n">
        <f aca="false">(Sens!G6326-Sens!G6351)*t_stub</f>
        <v>48.2672182959973</v>
      </c>
      <c r="L6365" s="1" t="s">
        <v>1264</v>
      </c>
    </row>
    <row r="6366" customFormat="false" ht="17.15" hidden="false" customHeight="false" outlineLevel="0" collapsed="false">
      <c r="A6366" s="1" t="s">
        <v>1173</v>
      </c>
      <c r="B6366" s="0" t="s">
        <v>98</v>
      </c>
      <c r="C6366" s="6" t="n">
        <f aca="false">Sens!F6313+oai_v-Sens!F6302+Sens!$C$6365</f>
        <v>162.495488295997</v>
      </c>
      <c r="L6366" s="1" t="s">
        <v>1265</v>
      </c>
    </row>
    <row r="6367" customFormat="false" ht="17.15" hidden="false" customHeight="false" outlineLevel="0" collapsed="false">
      <c r="A6367" s="1" t="s">
        <v>1266</v>
      </c>
      <c r="B6367" s="0" t="s">
        <v>75</v>
      </c>
      <c r="C6367" s="5" t="n">
        <f aca="false">(Sens!$C$6364+Sens!$C$6366)/(Sens!F6315+dil_gap)-Sens!G6305*roll_div_q/q_per_yr</f>
        <v>486.909116727081</v>
      </c>
      <c r="L6367" s="1" t="s">
        <v>1267</v>
      </c>
    </row>
    <row r="6368" customFormat="false" ht="17.15" hidden="false" customHeight="false" outlineLevel="0" collapsed="false">
      <c r="A6368" s="1" t="s">
        <v>1268</v>
      </c>
      <c r="B6368" s="0" t="s">
        <v>75</v>
      </c>
      <c r="C6368" s="5" t="n">
        <f aca="false">w_dcf*Sens!$C$6338+(1-w_dcf)*Sens!$C$6367</f>
        <v>427.860328700165</v>
      </c>
    </row>
    <row r="6369" customFormat="false" ht="17.15" hidden="false" customHeight="false" outlineLevel="0" collapsed="false">
      <c r="A6369" s="3" t="s">
        <v>1770</v>
      </c>
    </row>
    <row r="6370" customFormat="false" ht="15" hidden="false" customHeight="false" outlineLevel="0" collapsed="false">
      <c r="A6370" s="4" t="s">
        <v>43</v>
      </c>
      <c r="B6370" s="4" t="s">
        <v>65</v>
      </c>
      <c r="C6370" s="23" t="s">
        <v>942</v>
      </c>
      <c r="D6370" s="23" t="s">
        <v>943</v>
      </c>
      <c r="E6370" s="23" t="s">
        <v>944</v>
      </c>
      <c r="F6370" s="23" t="s">
        <v>945</v>
      </c>
      <c r="G6370" s="23" t="s">
        <v>946</v>
      </c>
      <c r="H6370" s="23" t="s">
        <v>947</v>
      </c>
      <c r="I6370" s="23" t="s">
        <v>948</v>
      </c>
      <c r="J6370" s="23" t="s">
        <v>949</v>
      </c>
      <c r="K6370" s="23" t="s">
        <v>950</v>
      </c>
      <c r="L6370" s="4" t="s">
        <v>47</v>
      </c>
    </row>
    <row r="6371" customFormat="false" ht="17.15" hidden="false" customHeight="false" outlineLevel="0" collapsed="false">
      <c r="A6371" s="1" t="s">
        <v>951</v>
      </c>
      <c r="B6371" s="1" t="s">
        <v>279</v>
      </c>
      <c r="C6371" s="21" t="n">
        <v>2024</v>
      </c>
      <c r="D6371" s="21" t="n">
        <v>2025</v>
      </c>
      <c r="E6371" s="21" t="n">
        <v>2026</v>
      </c>
      <c r="F6371" s="21" t="n">
        <v>2027</v>
      </c>
      <c r="G6371" s="21" t="n">
        <v>2028</v>
      </c>
      <c r="H6371" s="21" t="n">
        <v>2029</v>
      </c>
      <c r="I6371" s="21" t="n">
        <v>2030</v>
      </c>
      <c r="J6371" s="21" t="n">
        <v>2031</v>
      </c>
      <c r="K6371" s="21" t="n">
        <v>2032</v>
      </c>
    </row>
    <row r="6372" customFormat="false" ht="17.15" hidden="false" customHeight="false" outlineLevel="0" collapsed="false">
      <c r="A6372" s="1" t="s">
        <v>952</v>
      </c>
      <c r="B6372" s="0" t="s">
        <v>459</v>
      </c>
      <c r="F6372" s="30" t="n">
        <f aca="false">pace</f>
        <v>2726.5351</v>
      </c>
      <c r="G6372" s="30" t="n">
        <f aca="false">pace</f>
        <v>2726.5351</v>
      </c>
      <c r="H6372" s="30" t="n">
        <f aca="false">pace</f>
        <v>2726.5351</v>
      </c>
      <c r="I6372" s="30" t="n">
        <f aca="false">pace+(g_tv*Sens!H6373-pace)*MIN(1,(Sens!I6371-pace_y0)/(pace_y1-pace_y0))</f>
        <v>1931.98611966667</v>
      </c>
      <c r="J6372" s="30" t="n">
        <f aca="false">pace+(g_tv*Sens!I6373-pace)*MIN(1,(Sens!J6371-pace_y0)/(pace_y1-pace_y0))</f>
        <v>1176.07686172667</v>
      </c>
      <c r="K6372" s="30" t="n">
        <f aca="false">pace+(g_tv*Sens!J6373-pace)*MIN(1,(Sens!K6371-pace_y0)/(pace_y1-pace_y0))</f>
        <v>436.1300484418</v>
      </c>
      <c r="L6372" s="12" t="s">
        <v>953</v>
      </c>
    </row>
    <row r="6373" customFormat="false" ht="17.15" hidden="false" customHeight="false" outlineLevel="0" collapsed="false">
      <c r="A6373" s="1" t="s">
        <v>954</v>
      </c>
      <c r="B6373" s="0" t="s">
        <v>459</v>
      </c>
      <c r="C6373" s="30" t="n">
        <f aca="false">mw_ext_24</f>
        <v>640</v>
      </c>
      <c r="D6373" s="30" t="n">
        <f aca="false">mw_ext_25</f>
        <v>1630</v>
      </c>
      <c r="E6373" s="30" t="n">
        <f aca="false">mw_ext_26</f>
        <v>3250</v>
      </c>
      <c r="F6373" s="30" t="n">
        <f aca="false">Sens!E6373+Sens!F6372</f>
        <v>5976.5351</v>
      </c>
      <c r="G6373" s="30" t="n">
        <f aca="false">Sens!F6373+Sens!G6372</f>
        <v>8703.0702</v>
      </c>
      <c r="H6373" s="30" t="n">
        <f aca="false">Sens!G6373+Sens!H6372</f>
        <v>11429.6053</v>
      </c>
      <c r="I6373" s="30" t="n">
        <f aca="false">Sens!H6373+Sens!I6372</f>
        <v>13361.5914196667</v>
      </c>
      <c r="J6373" s="30" t="n">
        <f aca="false">Sens!I6373+Sens!J6372</f>
        <v>14537.6682813933</v>
      </c>
      <c r="K6373" s="30" t="n">
        <f aca="false">Sens!J6373+Sens!K6372</f>
        <v>14973.7983298351</v>
      </c>
      <c r="L6373" s="1" t="s">
        <v>955</v>
      </c>
    </row>
    <row r="6374" customFormat="false" ht="17.15" hidden="false" customHeight="false" outlineLevel="0" collapsed="false">
      <c r="A6374" s="1" t="s">
        <v>956</v>
      </c>
      <c r="B6374" s="0" t="s">
        <v>459</v>
      </c>
      <c r="C6374" s="30" t="n">
        <f aca="false">rent_ext_24</f>
        <v>150</v>
      </c>
      <c r="D6374" s="30" t="n">
        <f aca="false">rent_ext_25</f>
        <v>400</v>
      </c>
      <c r="E6374" s="30" t="n">
        <f aca="false">rent_ext_26</f>
        <v>550</v>
      </c>
      <c r="F6374" s="30" t="n">
        <f aca="false">rent_ext_f</f>
        <v>756</v>
      </c>
      <c r="G6374" s="30" t="n">
        <f aca="false">rent_ext_f</f>
        <v>756</v>
      </c>
      <c r="H6374" s="30" t="n">
        <f aca="false">rent_ext_f</f>
        <v>756</v>
      </c>
      <c r="I6374" s="30" t="n">
        <f aca="false">rent_ext_f</f>
        <v>756</v>
      </c>
      <c r="J6374" s="30" t="n">
        <f aca="false">rent_ext_f</f>
        <v>756</v>
      </c>
      <c r="K6374" s="30" t="n">
        <f aca="false">rent_ext_f</f>
        <v>756</v>
      </c>
      <c r="L6374" s="1" t="s">
        <v>957</v>
      </c>
    </row>
    <row r="6375" customFormat="false" ht="17.15" hidden="false" customHeight="false" outlineLevel="0" collapsed="false">
      <c r="A6375" s="1" t="s">
        <v>958</v>
      </c>
      <c r="B6375" s="0" t="s">
        <v>459</v>
      </c>
      <c r="C6375" s="30" t="n">
        <f aca="false">Sens!C6373-Sens!C6374</f>
        <v>490</v>
      </c>
      <c r="D6375" s="30" t="n">
        <f aca="false">Sens!D6373-Sens!D6374</f>
        <v>1230</v>
      </c>
      <c r="E6375" s="30" t="n">
        <f aca="false">Sens!E6373-Sens!E6374</f>
        <v>2700</v>
      </c>
      <c r="F6375" s="30" t="n">
        <f aca="false">Sens!F6373-Sens!F6374</f>
        <v>5220.5351</v>
      </c>
      <c r="G6375" s="30" t="n">
        <f aca="false">Sens!G6373-Sens!G6374</f>
        <v>7947.0702</v>
      </c>
      <c r="H6375" s="30" t="n">
        <f aca="false">Sens!H6373-Sens!H6374</f>
        <v>10673.6053</v>
      </c>
      <c r="I6375" s="30" t="n">
        <f aca="false">Sens!I6373-Sens!I6374</f>
        <v>12605.5914196667</v>
      </c>
      <c r="J6375" s="30" t="n">
        <f aca="false">Sens!J6373-Sens!J6374</f>
        <v>13781.6682813933</v>
      </c>
      <c r="K6375" s="30" t="n">
        <f aca="false">Sens!K6373-Sens!K6374</f>
        <v>14217.7983298351</v>
      </c>
    </row>
    <row r="6376" customFormat="false" ht="17.15" hidden="false" customHeight="false" outlineLevel="0" collapsed="false">
      <c r="A6376" s="1" t="s">
        <v>959</v>
      </c>
      <c r="B6376" s="0" t="s">
        <v>459</v>
      </c>
      <c r="C6376" s="30" t="n">
        <f aca="false">Sens!C6375/ext_sh</f>
        <v>816.666666666667</v>
      </c>
      <c r="D6376" s="30" t="n">
        <f aca="false">Sens!D6375/ext_sh</f>
        <v>2050</v>
      </c>
      <c r="E6376" s="30" t="n">
        <f aca="false">Sens!E6375/ext_sh</f>
        <v>4500</v>
      </c>
      <c r="F6376" s="30" t="n">
        <f aca="false">Sens!F6375/ext_sh</f>
        <v>8700.89183333333</v>
      </c>
      <c r="G6376" s="30" t="n">
        <f aca="false">Sens!G6375/ext_sh</f>
        <v>13245.117</v>
      </c>
      <c r="H6376" s="30" t="n">
        <f aca="false">Sens!H6375/ext_sh</f>
        <v>17789.3421666667</v>
      </c>
      <c r="I6376" s="30" t="n">
        <f aca="false">Sens!I6375/ext_sh</f>
        <v>21009.3190327778</v>
      </c>
      <c r="J6376" s="30" t="n">
        <f aca="false">Sens!J6375/ext_sh</f>
        <v>22969.4471356556</v>
      </c>
      <c r="K6376" s="30" t="n">
        <f aca="false">Sens!K6375/ext_sh</f>
        <v>23696.3305497252</v>
      </c>
      <c r="L6376" s="1" t="s">
        <v>960</v>
      </c>
    </row>
    <row r="6377" customFormat="false" ht="17.15" hidden="false" customHeight="false" outlineLevel="0" collapsed="false">
      <c r="A6377" s="1" t="s">
        <v>961</v>
      </c>
      <c r="B6377" s="0" t="s">
        <v>459</v>
      </c>
      <c r="C6377" s="30" t="n">
        <f aca="false">Sens!C6376-Sens!C6375</f>
        <v>326.666666666667</v>
      </c>
      <c r="D6377" s="30" t="n">
        <f aca="false">Sens!D6376-Sens!D6375</f>
        <v>820</v>
      </c>
      <c r="E6377" s="30" t="n">
        <f aca="false">Sens!E6376-Sens!E6375</f>
        <v>1800</v>
      </c>
      <c r="F6377" s="30" t="n">
        <f aca="false">Sens!F6376-Sens!F6375</f>
        <v>3480.35673333333</v>
      </c>
      <c r="G6377" s="30" t="n">
        <f aca="false">Sens!G6376-Sens!G6375</f>
        <v>5298.0468</v>
      </c>
      <c r="H6377" s="30" t="n">
        <f aca="false">Sens!H6376-Sens!H6375</f>
        <v>7115.73686666667</v>
      </c>
      <c r="I6377" s="30" t="n">
        <f aca="false">Sens!I6376-Sens!I6375</f>
        <v>8403.72761311111</v>
      </c>
      <c r="J6377" s="30" t="n">
        <f aca="false">Sens!J6376-Sens!J6375</f>
        <v>9187.77885426222</v>
      </c>
      <c r="K6377" s="30" t="n">
        <f aca="false">Sens!K6376-Sens!K6375</f>
        <v>9478.53221989009</v>
      </c>
    </row>
    <row r="6378" customFormat="false" ht="17.15" hidden="false" customHeight="false" outlineLevel="0" collapsed="false">
      <c r="A6378" s="1" t="s">
        <v>962</v>
      </c>
      <c r="B6378" s="0" t="s">
        <v>459</v>
      </c>
      <c r="C6378" s="30" t="n">
        <f aca="false">Sens!C6376</f>
        <v>816.666666666667</v>
      </c>
      <c r="D6378" s="30" t="n">
        <f aca="false">Sens!D6376-Sens!C6376</f>
        <v>1233.33333333333</v>
      </c>
      <c r="E6378" s="30" t="n">
        <f aca="false">Sens!E6376-Sens!D6376</f>
        <v>2450</v>
      </c>
      <c r="F6378" s="30" t="n">
        <f aca="false">Sens!F6376-Sens!E6376</f>
        <v>4200.89183333333</v>
      </c>
      <c r="G6378" s="30" t="n">
        <f aca="false">Sens!G6376-Sens!F6376</f>
        <v>4544.22516666667</v>
      </c>
      <c r="H6378" s="30" t="n">
        <f aca="false">Sens!H6376-Sens!G6376</f>
        <v>4544.22516666667</v>
      </c>
      <c r="I6378" s="30" t="n">
        <f aca="false">Sens!I6376-Sens!H6376</f>
        <v>3219.97686611111</v>
      </c>
      <c r="J6378" s="30" t="n">
        <f aca="false">Sens!J6376-Sens!I6376</f>
        <v>1960.12810287778</v>
      </c>
      <c r="K6378" s="30" t="n">
        <f aca="false">Sens!K6376-Sens!J6376</f>
        <v>726.883414069667</v>
      </c>
    </row>
    <row r="6379" customFormat="false" ht="17.15" hidden="false" customHeight="false" outlineLevel="0" collapsed="false">
      <c r="A6379" s="1" t="s">
        <v>963</v>
      </c>
      <c r="B6379" s="0" t="s">
        <v>459</v>
      </c>
      <c r="D6379" s="30" t="n">
        <f aca="false">Sens!D6373-Sens!C6373</f>
        <v>990</v>
      </c>
      <c r="E6379" s="30" t="n">
        <f aca="false">Sens!E6373-Sens!D6373</f>
        <v>1620</v>
      </c>
      <c r="F6379" s="30" t="n">
        <f aca="false">Sens!F6373-Sens!E6373</f>
        <v>2726.5351</v>
      </c>
      <c r="G6379" s="30" t="n">
        <f aca="false">Sens!G6373-Sens!F6373</f>
        <v>2726.5351</v>
      </c>
      <c r="H6379" s="30" t="n">
        <f aca="false">Sens!H6373-Sens!G6373</f>
        <v>2726.5351</v>
      </c>
      <c r="I6379" s="30" t="n">
        <f aca="false">Sens!I6373-Sens!H6373</f>
        <v>1931.98611966667</v>
      </c>
      <c r="J6379" s="30" t="n">
        <f aca="false">Sens!J6373-Sens!I6373</f>
        <v>1176.07686172667</v>
      </c>
      <c r="K6379" s="30" t="n">
        <f aca="false">Sens!K6373-Sens!J6373</f>
        <v>436.130048441799</v>
      </c>
    </row>
    <row r="6380" customFormat="false" ht="17.15" hidden="false" customHeight="false" outlineLevel="0" collapsed="false">
      <c r="A6380" s="1" t="s">
        <v>964</v>
      </c>
      <c r="B6380" s="0" t="s">
        <v>459</v>
      </c>
      <c r="F6380" s="30" t="n">
        <f aca="false">Sens!F6399*ext_sh</f>
        <v>0</v>
      </c>
      <c r="G6380" s="30" t="n">
        <f aca="false">Sens!G6399*ext_sh</f>
        <v>0</v>
      </c>
      <c r="H6380" s="30" t="n">
        <f aca="false">Sens!H6399*ext_sh</f>
        <v>0</v>
      </c>
      <c r="I6380" s="30" t="n">
        <f aca="false">Sens!I6399*ext_sh</f>
        <v>490</v>
      </c>
      <c r="J6380" s="30" t="n">
        <f aca="false">Sens!J6399*ext_sh</f>
        <v>740</v>
      </c>
      <c r="K6380" s="30" t="n">
        <f aca="false">Sens!K6399*ext_sh</f>
        <v>1470</v>
      </c>
      <c r="L6380" s="1" t="s">
        <v>965</v>
      </c>
    </row>
    <row r="6381" customFormat="false" ht="17.15" hidden="false" customHeight="false" outlineLevel="0" collapsed="false">
      <c r="A6381" s="1" t="s">
        <v>966</v>
      </c>
      <c r="B6381" s="0" t="s">
        <v>459</v>
      </c>
      <c r="C6381" s="30" t="n">
        <f aca="false">mix_h*Sens!C6373</f>
        <v>128</v>
      </c>
      <c r="D6381" s="30" t="n">
        <f aca="false">mix_h*Sens!D6373</f>
        <v>326</v>
      </c>
      <c r="E6381" s="30" t="n">
        <f aca="false">mix_h*Sens!E6373</f>
        <v>650</v>
      </c>
      <c r="F6381" s="30" t="n">
        <f aca="false">Sens!E6381-Sens!F6380*mix_h</f>
        <v>650</v>
      </c>
      <c r="G6381" s="30" t="n">
        <f aca="false">Sens!F6381-Sens!G6380*mix_h</f>
        <v>650</v>
      </c>
      <c r="H6381" s="30" t="n">
        <f aca="false">Sens!G6381-Sens!H6380*mix_h</f>
        <v>650</v>
      </c>
      <c r="I6381" s="30" t="n">
        <f aca="false">Sens!H6381-Sens!I6380*mix_h</f>
        <v>552</v>
      </c>
      <c r="J6381" s="30" t="n">
        <f aca="false">Sens!I6381-Sens!J6380*mix_h</f>
        <v>404</v>
      </c>
      <c r="K6381" s="30" t="n">
        <f aca="false">Sens!J6381-Sens!K6380*mix_h</f>
        <v>110</v>
      </c>
    </row>
    <row r="6382" customFormat="false" ht="17.15" hidden="false" customHeight="false" outlineLevel="0" collapsed="false">
      <c r="A6382" s="1" t="s">
        <v>967</v>
      </c>
      <c r="B6382" s="0" t="s">
        <v>459</v>
      </c>
      <c r="C6382" s="30" t="n">
        <f aca="false">mix_g2*Sens!C6373</f>
        <v>288</v>
      </c>
      <c r="D6382" s="30" t="n">
        <f aca="false">mix_g2*Sens!D6373</f>
        <v>733.5</v>
      </c>
      <c r="E6382" s="30" t="n">
        <f aca="false">mix_g2*Sens!E6373</f>
        <v>1462.5</v>
      </c>
      <c r="F6382" s="30" t="n">
        <f aca="false">Sens!E6382-Sens!F6380*mix_g2</f>
        <v>1462.5</v>
      </c>
      <c r="G6382" s="30" t="n">
        <f aca="false">Sens!F6382-Sens!G6380*mix_g2</f>
        <v>1462.5</v>
      </c>
      <c r="H6382" s="30" t="n">
        <f aca="false">Sens!G6382-Sens!H6380*mix_g2</f>
        <v>1462.5</v>
      </c>
      <c r="I6382" s="30" t="n">
        <f aca="false">Sens!H6382-Sens!I6380*mix_g2</f>
        <v>1242</v>
      </c>
      <c r="J6382" s="30" t="n">
        <f aca="false">Sens!I6382-Sens!J6380*mix_g2</f>
        <v>909</v>
      </c>
      <c r="K6382" s="30" t="n">
        <f aca="false">Sens!J6382-Sens!K6380*mix_g2</f>
        <v>247.5</v>
      </c>
    </row>
    <row r="6383" customFormat="false" ht="17.15" hidden="false" customHeight="false" outlineLevel="0" collapsed="false">
      <c r="A6383" s="1" t="s">
        <v>968</v>
      </c>
      <c r="B6383" s="0" t="s">
        <v>459</v>
      </c>
      <c r="C6383" s="30" t="n">
        <f aca="false">mix_g3*Sens!C6373</f>
        <v>224</v>
      </c>
      <c r="D6383" s="30" t="n">
        <f aca="false">mix_g3*Sens!D6373</f>
        <v>570.5</v>
      </c>
      <c r="E6383" s="30" t="n">
        <f aca="false">mix_g3*Sens!E6373</f>
        <v>1137.5</v>
      </c>
      <c r="F6383" s="30" t="n">
        <f aca="false">Sens!E6383+(Sens!F6379+Sens!F6380)*(a_g3_27-nonnv*a_mai)-Sens!F6380*mix_g3</f>
        <v>2773.42106</v>
      </c>
      <c r="G6383" s="30" t="n">
        <f aca="false">Sens!F6383+(Sens!G6379+Sens!G6380)*(a_g3_28-nonnv*a_mai)-Sens!G6380*mix_g3</f>
        <v>3318.72808</v>
      </c>
      <c r="H6383" s="30" t="n">
        <f aca="false">Sens!G6383+(Sens!H6379+Sens!H6380)*(a_g3_29-nonnv*a_mai)-Sens!H6380*mix_g3</f>
        <v>3318.72808</v>
      </c>
      <c r="I6383" s="30" t="n">
        <f aca="false">Sens!H6383+(Sens!I6379+Sens!I6380)*(a_g3_29-nonnv*a_mai)-Sens!I6380*mix_g3</f>
        <v>3147.22808</v>
      </c>
      <c r="J6383" s="30" t="n">
        <f aca="false">Sens!I6383+(Sens!J6379+Sens!J6380)*(a_g3_29-nonnv*a_mai)-Sens!J6380*mix_g3</f>
        <v>2888.22808</v>
      </c>
      <c r="K6383" s="30" t="n">
        <f aca="false">Sens!J6383+(Sens!K6379+Sens!K6380)*(a_g3_29-nonnv*a_mai)-Sens!K6380*mix_g3</f>
        <v>2373.72808</v>
      </c>
    </row>
    <row r="6384" customFormat="false" ht="17.15" hidden="false" customHeight="false" outlineLevel="0" collapsed="false">
      <c r="A6384" s="1" t="s">
        <v>969</v>
      </c>
      <c r="B6384" s="0" t="s">
        <v>459</v>
      </c>
      <c r="C6384" s="30" t="n">
        <v>0</v>
      </c>
      <c r="D6384" s="30" t="n">
        <v>0</v>
      </c>
      <c r="E6384" s="30" t="n">
        <v>0</v>
      </c>
      <c r="F6384" s="30" t="n">
        <f aca="false">Sens!E6384+(Sens!F6379+Sens!F6380)*nonnv*a_mai</f>
        <v>272.65351</v>
      </c>
      <c r="G6384" s="30" t="n">
        <f aca="false">Sens!F6384+(Sens!G6379+Sens!G6380)*nonnv*a_mai</f>
        <v>545.30702</v>
      </c>
      <c r="H6384" s="30" t="n">
        <f aca="false">Sens!G6384+(Sens!H6379+Sens!H6380)*nonnv*a_mai</f>
        <v>817.96053</v>
      </c>
      <c r="I6384" s="30" t="n">
        <f aca="false">Sens!H6384+(Sens!I6379+Sens!I6380)*nonnv*a_mai</f>
        <v>1060.15914196667</v>
      </c>
      <c r="J6384" s="30" t="n">
        <f aca="false">Sens!I6384+(Sens!J6379+Sens!J6380)*nonnv*a_mai</f>
        <v>1251.76682813933</v>
      </c>
      <c r="K6384" s="30" t="n">
        <f aca="false">Sens!J6384+(Sens!K6379+Sens!K6380)*nonnv*a_mai</f>
        <v>1442.37983298351</v>
      </c>
      <c r="L6384" s="12" t="s">
        <v>970</v>
      </c>
    </row>
    <row r="6385" customFormat="false" ht="17.15" hidden="false" customHeight="false" outlineLevel="0" collapsed="false">
      <c r="A6385" s="1" t="s">
        <v>971</v>
      </c>
      <c r="B6385" s="0" t="s">
        <v>459</v>
      </c>
      <c r="C6385" s="30" t="n">
        <v>0</v>
      </c>
      <c r="D6385" s="30" t="n">
        <v>0</v>
      </c>
      <c r="E6385" s="30" t="n">
        <v>0</v>
      </c>
      <c r="F6385" s="30" t="n">
        <f aca="false">Sens!E6385+(Sens!F6379+Sens!F6380)*(1-a_g3_27)</f>
        <v>817.96053</v>
      </c>
      <c r="G6385" s="30" t="n">
        <f aca="false">Sens!F6385+(Sens!G6379+Sens!G6380)*(1-a_g3_28)</f>
        <v>2726.5351</v>
      </c>
      <c r="H6385" s="30" t="n">
        <f aca="false">Sens!G6385+(Sens!H6379+Sens!H6380)*(1-a_g3_29)</f>
        <v>5180.41669</v>
      </c>
      <c r="I6385" s="30" t="n">
        <f aca="false">Sens!H6385+(Sens!I6379+Sens!I6380)*(1-a_g3_29)</f>
        <v>7360.2041977</v>
      </c>
      <c r="J6385" s="30" t="n">
        <f aca="false">Sens!I6385+(Sens!J6379+Sens!J6380)*(1-a_g3_29)</f>
        <v>9084.673373254</v>
      </c>
      <c r="K6385" s="30" t="n">
        <f aca="false">Sens!J6385+(Sens!K6379+Sens!K6380)*(1-a_g3_29)</f>
        <v>10800.1904168516</v>
      </c>
    </row>
    <row r="6386" customFormat="false" ht="17.15" hidden="false" customHeight="false" outlineLevel="0" collapsed="false">
      <c r="A6386" s="1" t="s">
        <v>972</v>
      </c>
      <c r="B6386" s="0" t="s">
        <v>403</v>
      </c>
      <c r="C6386" s="15" t="n">
        <f aca="false">(Sens!C6381*tk_hold_h100+Sens!C6382*tk_hold_gb200+Sens!C6383*tk_hold_gb300+Sens!C6385*tk_hold_vr200+Sens!C6384*nv_hold_mai*tk_hold_vr200)/Sens!C6373</f>
        <v>9.7235358126469</v>
      </c>
      <c r="D6386" s="15" t="n">
        <f aca="false">(Sens!D6381*tk_hold_h100+Sens!D6382*tk_hold_gb200+Sens!D6383*tk_hold_gb300+Sens!D6385*tk_hold_vr200+Sens!D6384*nv_hold_mai*tk_hold_vr200)/Sens!D6373</f>
        <v>9.7235358126469</v>
      </c>
      <c r="E6386" s="15" t="n">
        <f aca="false">(Sens!E6381*tk_hold_h100+Sens!E6382*tk_hold_gb200+Sens!E6383*tk_hold_gb300+Sens!E6385*tk_hold_vr200+Sens!E6384*nv_hold_mai*tk_hold_vr200)/Sens!E6373</f>
        <v>9.7235358126469</v>
      </c>
      <c r="F6386" s="15" t="n">
        <f aca="false">(Sens!F6381*tk_hold_h100+Sens!F6382*tk_hold_gb200+Sens!F6383*tk_hold_gb300+Sens!F6385*tk_hold_vr200+Sens!F6384*nv_hold_mai*tk_hold_vr200)/Sens!F6373</f>
        <v>10.2195353876665</v>
      </c>
      <c r="G6386" s="15" t="n">
        <f aca="false">(Sens!G6381*tk_hold_h100+Sens!G6382*tk_hold_gb200+Sens!G6383*tk_hold_gb300+Sens!G6385*tk_hold_vr200+Sens!G6384*nv_hold_mai*tk_hold_vr200)/Sens!G6373</f>
        <v>10.5725598017306</v>
      </c>
      <c r="H6386" s="15" t="n">
        <f aca="false">(Sens!H6381*tk_hold_h100+Sens!H6382*tk_hold_gb200+Sens!H6383*tk_hold_gb300+Sens!H6385*tk_hold_vr200+Sens!H6384*nv_hold_mai*tk_hold_vr200)/Sens!H6373</f>
        <v>10.8210427149036</v>
      </c>
      <c r="I6386" s="15" t="n">
        <f aca="false">(Sens!I6381*tk_hold_h100+Sens!I6382*tk_hold_gb200+Sens!I6383*tk_hold_gb300+Sens!I6385*tk_hold_vr200+Sens!I6384*nv_hold_mai*tk_hold_vr200)/Sens!I6373</f>
        <v>11.0050618241982</v>
      </c>
      <c r="J6386" s="15" t="n">
        <f aca="false">(Sens!J6381*tk_hold_h100+Sens!J6382*tk_hold_gb200+Sens!J6383*tk_hold_gb300+Sens!J6385*tk_hold_vr200+Sens!J6384*nv_hold_mai*tk_hold_vr200)/Sens!J6373</f>
        <v>11.1505789658881</v>
      </c>
      <c r="K6386" s="15" t="n">
        <f aca="false">(Sens!K6381*tk_hold_h100+Sens!K6382*tk_hold_gb200+Sens!K6383*tk_hold_gb300+Sens!K6385*tk_hold_vr200+Sens!K6384*nv_hold_mai*tk_hold_vr200)/Sens!K6373</f>
        <v>11.3496914757183</v>
      </c>
      <c r="L6386" s="1" t="s">
        <v>973</v>
      </c>
    </row>
    <row r="6387" customFormat="false" ht="17.15" hidden="false" customHeight="false" outlineLevel="0" collapsed="false">
      <c r="A6387" s="1" t="s">
        <v>974</v>
      </c>
      <c r="B6387" s="0" t="s">
        <v>403</v>
      </c>
      <c r="C6387" s="15" t="n">
        <f aca="false">(Sens!C6381*tk_hold_h100+Sens!C6382*tk_hold_gb200+Sens!C6383*tk_hold_gb300+Sens!C6385*tk_hold_vr200+Sens!C6384*nv_out_mai_hi*tk_hold_vr200)/Sens!C6373</f>
        <v>9.7235358126469</v>
      </c>
      <c r="D6387" s="15" t="n">
        <f aca="false">(Sens!D6381*tk_hold_h100+Sens!D6382*tk_hold_gb200+Sens!D6383*tk_hold_gb300+Sens!D6385*tk_hold_vr200+Sens!D6384*nv_out_mai_hi*tk_hold_vr200)/Sens!D6373</f>
        <v>9.7235358126469</v>
      </c>
      <c r="E6387" s="15" t="n">
        <f aca="false">(Sens!E6381*tk_hold_h100+Sens!E6382*tk_hold_gb200+Sens!E6383*tk_hold_gb300+Sens!E6385*tk_hold_vr200+Sens!E6384*nv_out_mai_hi*tk_hold_vr200)/Sens!E6373</f>
        <v>9.7235358126469</v>
      </c>
      <c r="F6387" s="15" t="n">
        <f aca="false">(Sens!F6381*tk_hold_h100+Sens!F6382*tk_hold_gb200+Sens!F6383*tk_hold_gb300+Sens!F6385*tk_hold_vr200+Sens!F6384*nv_out_mai_hi*tk_hold_vr200)/Sens!F6373</f>
        <v>10.3589689191789</v>
      </c>
      <c r="G6387" s="15" t="n">
        <f aca="false">(Sens!G6381*tk_hold_h100+Sens!G6382*tk_hold_gb200+Sens!G6383*tk_hold_gb300+Sens!G6385*tk_hold_vr200+Sens!G6384*nv_out_mai_hi*tk_hold_vr200)/Sens!G6373</f>
        <v>10.7640621971039</v>
      </c>
      <c r="H6387" s="15" t="n">
        <f aca="false">(Sens!H6381*tk_hold_h100+Sens!H6382*tk_hold_gb200+Sens!H6383*tk_hold_gb300+Sens!H6385*tk_hold_vr200+Sens!H6384*nv_out_mai_hi*tk_hold_vr200)/Sens!H6373</f>
        <v>11.0397718940821</v>
      </c>
      <c r="I6387" s="15" t="n">
        <f aca="false">(Sens!I6381*tk_hold_h100+Sens!I6382*tk_hold_gb200+Sens!I6383*tk_hold_gb300+Sens!I6385*tk_hold_vr200+Sens!I6384*nv_out_mai_hi*tk_hold_vr200)/Sens!I6373</f>
        <v>11.2475655882199</v>
      </c>
      <c r="J6387" s="15" t="n">
        <f aca="false">(Sens!J6381*tk_hold_h100+Sens!J6382*tk_hold_gb200+Sens!J6383*tk_hold_gb300+Sens!J6385*tk_hold_vr200+Sens!J6384*nv_out_mai_hi*tk_hold_vr200)/Sens!J6373</f>
        <v>11.4137477004764</v>
      </c>
      <c r="K6387" s="15" t="n">
        <f aca="false">(Sens!K6381*tk_hold_h100+Sens!K6382*tk_hold_gb200+Sens!K6383*tk_hold_gb300+Sens!K6385*tk_hold_vr200+Sens!K6384*nv_out_mai_hi*tk_hold_vr200)/Sens!K6373</f>
        <v>11.6441019592394</v>
      </c>
      <c r="L6387" s="12" t="s">
        <v>975</v>
      </c>
    </row>
    <row r="6388" customFormat="false" ht="17.15" hidden="false" customHeight="false" outlineLevel="0" collapsed="false">
      <c r="A6388" s="0" t="s">
        <v>976</v>
      </c>
      <c r="B6388" s="0" t="s">
        <v>229</v>
      </c>
      <c r="C6388" s="15" t="n">
        <f aca="false">k_B</f>
        <v>1.17213932619116</v>
      </c>
      <c r="D6388" s="15" t="n">
        <f aca="false">k_B</f>
        <v>1.17213932619116</v>
      </c>
      <c r="E6388" s="15" t="n">
        <f aca="false">k_B</f>
        <v>1.17213932619116</v>
      </c>
      <c r="F6388" s="15" t="n">
        <f aca="false">(k_B+((ls_B*k_long+(1-ls_B)*k_spot)-k_B)*MIN(1,(Sens!F6371-base_fy)/k_ramp))</f>
        <v>1.17213932619116</v>
      </c>
      <c r="G6388" s="15" t="n">
        <f aca="false">(k_B+((ls_B*k_long+(1-ls_B)*k_spot)-k_B)*MIN(1,(Sens!G6371-base_fy)/k_ramp))</f>
        <v>1.17213932619116</v>
      </c>
      <c r="H6388" s="15" t="n">
        <f aca="false">(k_B+((ls_B*k_long+(1-ls_B)*k_spot)-k_B)*MIN(1,(Sens!H6371-base_fy)/k_ramp))</f>
        <v>1.17213932619116</v>
      </c>
      <c r="I6388" s="15" t="n">
        <f aca="false">(k_B+((ls_B*k_long+(1-ls_B)*k_spot)-k_B)*MIN(1,(Sens!I6371-base_fy)/k_ramp))</f>
        <v>1.17213932619116</v>
      </c>
      <c r="J6388" s="15" t="n">
        <f aca="false">(k_B+((ls_B*k_long+(1-ls_B)*k_spot)-k_B)*MIN(1,(Sens!J6371-base_fy)/k_ramp))</f>
        <v>1.17213932619116</v>
      </c>
      <c r="K6388" s="15" t="n">
        <f aca="false">(k_B+((ls_B*k_long+(1-ls_B)*k_spot)-k_B)*MIN(1,(Sens!K6371-base_fy)/k_ramp))</f>
        <v>1.17213932619116</v>
      </c>
      <c r="L6388" s="1" t="s">
        <v>977</v>
      </c>
    </row>
    <row r="6389" customFormat="false" ht="17.15" hidden="false" customHeight="false" outlineLevel="0" collapsed="false">
      <c r="A6389" s="1" t="s">
        <v>978</v>
      </c>
      <c r="B6389" s="0" t="s">
        <v>403</v>
      </c>
      <c r="C6389" s="15" t="n">
        <f aca="false">Sens!C6387*Sens!C6388*chip_f</f>
        <v>11.3973387156315</v>
      </c>
      <c r="D6389" s="15" t="n">
        <f aca="false">Sens!D6387*Sens!D6388*chip_f</f>
        <v>11.3973387156315</v>
      </c>
      <c r="E6389" s="15" t="n">
        <f aca="false">Sens!E6387*Sens!E6388*chip_f</f>
        <v>11.3973387156315</v>
      </c>
      <c r="F6389" s="15" t="n">
        <f aca="false">Sens!F6387*Sens!F6388*chip_f</f>
        <v>12.1421548489614</v>
      </c>
      <c r="G6389" s="15" t="n">
        <f aca="false">Sens!G6387*Sens!G6388*chip_f</f>
        <v>12.616980610793</v>
      </c>
      <c r="H6389" s="15" t="n">
        <f aca="false">Sens!H6387*Sens!H6388*chip_f</f>
        <v>12.9401507892334</v>
      </c>
      <c r="I6389" s="15" t="n">
        <f aca="false">Sens!I6387*Sens!I6388*chip_f</f>
        <v>13.1837139498669</v>
      </c>
      <c r="J6389" s="15" t="n">
        <f aca="false">Sens!J6387*Sens!J6388*chip_f</f>
        <v>13.3785025389523</v>
      </c>
      <c r="K6389" s="15" t="n">
        <f aca="false">Sens!K6387*Sens!K6388*chip_f</f>
        <v>13.6485098246039</v>
      </c>
      <c r="L6389" s="1" t="s">
        <v>979</v>
      </c>
    </row>
    <row r="6390" customFormat="false" ht="17.15" hidden="false" customHeight="false" outlineLevel="0" collapsed="false">
      <c r="A6390" s="0" t="s">
        <v>980</v>
      </c>
      <c r="B6390" s="0" t="s">
        <v>98</v>
      </c>
      <c r="D6390" s="6" t="n">
        <f aca="false">(Sens!C6373+Sens!D6373)/2*Sens!D6389/1000</f>
        <v>12.9359794422418</v>
      </c>
      <c r="E6390" s="6" t="n">
        <f aca="false">(Sens!D6373+Sens!E6373)/2*Sens!E6389/1000</f>
        <v>27.8095064661409</v>
      </c>
      <c r="F6390" s="6" t="n">
        <f aca="false">(Sens!E6373+Sens!F6373)/2*Sens!F6389/1000</f>
        <v>56.015008951789</v>
      </c>
      <c r="G6390" s="6" t="n">
        <f aca="false">(Sens!F6373+Sens!G6373)/2*Sens!G6389/1000</f>
        <v>92.6061477220973</v>
      </c>
      <c r="H6390" s="6" t="n">
        <f aca="false">(Sens!G6373+Sens!H6373)/2*Sens!H6389/1000</f>
        <v>130.259928380352</v>
      </c>
      <c r="I6390" s="6" t="n">
        <f aca="false">(Sens!H6373+Sens!I6373)/2*Sens!I6389/1000</f>
        <v>163.420023013482</v>
      </c>
      <c r="J6390" s="6" t="n">
        <f aca="false">(Sens!I6373+Sens!J6373)/2*Sens!J6389/1000</f>
        <v>186.62515837276</v>
      </c>
      <c r="K6390" s="6" t="n">
        <f aca="false">(Sens!J6373+Sens!K6373)/2*Sens!K6389/1000</f>
        <v>201.393770990911</v>
      </c>
      <c r="L6390" s="12" t="s">
        <v>981</v>
      </c>
    </row>
    <row r="6391" customFormat="false" ht="17.15" hidden="false" customHeight="false" outlineLevel="0" collapsed="false">
      <c r="A6391" s="1" t="s">
        <v>982</v>
      </c>
      <c r="B6391" s="0" t="s">
        <v>403</v>
      </c>
      <c r="C6391" s="15" t="n">
        <f aca="false">(Sens!C6381*tk_opex_h100+Sens!C6382*tk_opex_gb200+Sens!C6383*tk_opex_gb300+(Sens!C6385+Sens!C6384)*tk_opex_vr200)/Sens!C6373</f>
        <v>1.88636041306092</v>
      </c>
      <c r="D6391" s="15" t="n">
        <f aca="false">(Sens!D6381*tk_opex_h100+Sens!D6382*tk_opex_gb200+Sens!D6383*tk_opex_gb300+(Sens!D6385+Sens!D6384)*tk_opex_vr200)/Sens!D6373</f>
        <v>1.88636041306092</v>
      </c>
      <c r="E6391" s="15" t="n">
        <f aca="false">(Sens!E6381*tk_opex_h100+Sens!E6382*tk_opex_gb200+Sens!E6383*tk_opex_gb300+(Sens!E6385+Sens!E6384)*tk_opex_vr200)/Sens!E6373</f>
        <v>1.88636041306092</v>
      </c>
      <c r="F6391" s="15" t="n">
        <f aca="false">(Sens!F6381*tk_opex_h100+Sens!F6382*tk_opex_gb200+Sens!F6383*tk_opex_gb300+(Sens!F6385+Sens!F6384)*tk_opex_vr200)/Sens!F6373</f>
        <v>1.95051159746876</v>
      </c>
      <c r="G6391" s="15" t="n">
        <f aca="false">(Sens!G6381*tk_opex_h100+Sens!G6382*tk_opex_gb200+Sens!G6383*tk_opex_gb300+(Sens!G6385+Sens!G6384)*tk_opex_vr200)/Sens!G6373</f>
        <v>1.98836003669956</v>
      </c>
      <c r="H6391" s="15" t="n">
        <f aca="false">(Sens!H6381*tk_opex_h100+Sens!H6382*tk_opex_gb200+Sens!H6383*tk_opex_gb300+(Sens!H6385+Sens!H6384)*tk_opex_vr200)/Sens!H6373</f>
        <v>2.01344013834343</v>
      </c>
      <c r="I6391" s="15" t="n">
        <f aca="false">(Sens!I6381*tk_opex_h100+Sens!I6382*tk_opex_gb200+Sens!I6383*tk_opex_gb300+(Sens!I6385+Sens!I6384)*tk_opex_vr200)/Sens!I6373</f>
        <v>2.03261166882178</v>
      </c>
      <c r="J6391" s="15" t="n">
        <f aca="false">(Sens!J6381*tk_opex_h100+Sens!J6382*tk_opex_gb200+Sens!J6383*tk_opex_gb300+(Sens!J6385+Sens!J6384)*tk_opex_vr200)/Sens!J6373</f>
        <v>2.04808073288745</v>
      </c>
      <c r="K6391" s="15" t="n">
        <f aca="false">(Sens!K6381*tk_opex_h100+Sens!K6382*tk_opex_gb200+Sens!K6383*tk_opex_gb300+(Sens!K6385+Sens!K6384)*tk_opex_vr200)/Sens!K6373</f>
        <v>2.06973825807449</v>
      </c>
      <c r="L6391" s="12" t="s">
        <v>983</v>
      </c>
    </row>
    <row r="6392" customFormat="false" ht="17.15" hidden="false" customHeight="false" outlineLevel="0" collapsed="false">
      <c r="A6392" s="0" t="s">
        <v>984</v>
      </c>
      <c r="B6392" s="0" t="s">
        <v>98</v>
      </c>
      <c r="D6392" s="6" t="n">
        <f aca="false">(Sens!C6376+Sens!D6376)/2*Sens!D6391/1000</f>
        <v>2.70378325872065</v>
      </c>
      <c r="E6392" s="6" t="n">
        <f aca="false">(Sens!D6376+Sens!E6376)/2*Sens!E6391/1000</f>
        <v>6.17783035277451</v>
      </c>
      <c r="F6392" s="6" t="n">
        <f aca="false">(Sens!E6376+Sens!F6376)/2*Sens!F6391/1000</f>
        <v>12.8742463089237</v>
      </c>
      <c r="G6392" s="6" t="n">
        <f aca="false">(Sens!F6376+Sens!G6376)/2*Sens!G6391/1000</f>
        <v>21.8182834646277</v>
      </c>
      <c r="H6392" s="6" t="n">
        <f aca="false">(Sens!G6376+Sens!H6376)/2*Sens!H6391/1000</f>
        <v>31.2430128789734</v>
      </c>
      <c r="I6392" s="6" t="n">
        <f aca="false">(Sens!H6376+Sens!I6376)/2*Sens!I6391/1000</f>
        <v>39.4313057443268</v>
      </c>
      <c r="J6392" s="6" t="n">
        <f aca="false">(Sens!I6376+Sens!J6376)/2*Sens!J6391/1000</f>
        <v>45.0360318228653</v>
      </c>
      <c r="K6392" s="6" t="n">
        <f aca="false">(Sens!J6376+Sens!K6376)/2*Sens!K6391/1000</f>
        <v>48.2929727091156</v>
      </c>
    </row>
    <row r="6393" customFormat="false" ht="17.15" hidden="false" customHeight="false" outlineLevel="0" collapsed="false">
      <c r="A6393" s="0" t="s">
        <v>985</v>
      </c>
      <c r="B6393" s="0" t="s">
        <v>98</v>
      </c>
      <c r="D6393" s="6" t="n">
        <f aca="false">(Sens!C6374+Sens!D6374)/2*rent_mw/1000</f>
        <v>2.44475</v>
      </c>
      <c r="E6393" s="6" t="n">
        <f aca="false">(Sens!D6374+Sens!E6374)/2*rent_mw/1000</f>
        <v>4.22275</v>
      </c>
      <c r="F6393" s="6" t="n">
        <f aca="false">(Sens!E6374+Sens!F6374)/2*rent_mw/1000</f>
        <v>5.80517</v>
      </c>
      <c r="G6393" s="6" t="n">
        <f aca="false">(Sens!F6374+Sens!G6374)/2*rent_mw/1000</f>
        <v>6.72084</v>
      </c>
      <c r="H6393" s="6" t="n">
        <f aca="false">(Sens!G6374+Sens!H6374)/2*rent_mw/1000</f>
        <v>6.72084</v>
      </c>
      <c r="I6393" s="6" t="n">
        <f aca="false">(Sens!H6374+Sens!I6374)/2*rent_mw/1000</f>
        <v>6.72084</v>
      </c>
      <c r="J6393" s="6" t="n">
        <f aca="false">(Sens!I6374+Sens!J6374)/2*rent_mw/1000</f>
        <v>6.72084</v>
      </c>
      <c r="K6393" s="6" t="n">
        <f aca="false">(Sens!J6374+Sens!K6374)/2*rent_mw/1000</f>
        <v>6.72084</v>
      </c>
    </row>
    <row r="6394" customFormat="false" ht="17.15" hidden="false" customHeight="false" outlineLevel="0" collapsed="false">
      <c r="A6394" s="0" t="s">
        <v>986</v>
      </c>
      <c r="B6394" s="0" t="s">
        <v>98</v>
      </c>
      <c r="D6394" s="6" t="n">
        <f aca="false">(Sens!C6376+Sens!D6376)/2*(1-self_build)*fac_rent/1000</f>
        <v>0.853242375631075</v>
      </c>
      <c r="E6394" s="6" t="n">
        <f aca="false">(Sens!D6376+Sens!E6376)/2*(1-self_build)*fac_rent/1000</f>
        <v>1.94955961408728</v>
      </c>
      <c r="F6394" s="6" t="n">
        <f aca="false">(Sens!E6376+Sens!F6376)/2*(1-self_build)*fac_rent/1000</f>
        <v>3.92914894476356</v>
      </c>
      <c r="G6394" s="6" t="n">
        <f aca="false">(Sens!F6376+Sens!G6376)/2*(1-self_build)*fac_rent/1000</f>
        <v>6.53206908578159</v>
      </c>
      <c r="H6394" s="6" t="n">
        <f aca="false">(Sens!G6376+Sens!H6376)/2*(1-self_build)*fac_rent/1000</f>
        <v>9.23717988341591</v>
      </c>
      <c r="I6394" s="6" t="n">
        <f aca="false">(Sens!H6376+Sens!I6376)/2*(1-self_build)*fac_rent/1000</f>
        <v>11.5481378557393</v>
      </c>
      <c r="J6394" s="6" t="n">
        <f aca="false">(Sens!I6376+Sens!J6376)/2*(1-self_build)*fac_rent/1000</f>
        <v>13.0899582289108</v>
      </c>
      <c r="K6394" s="6" t="n">
        <f aca="false">(Sens!J6376+Sens!K6376)/2*(1-self_build)*fac_rent/1000</f>
        <v>13.8897275626556</v>
      </c>
      <c r="L6394" s="12" t="s">
        <v>987</v>
      </c>
    </row>
    <row r="6395" customFormat="false" ht="17.15" hidden="false" customHeight="false" outlineLevel="0" collapsed="false">
      <c r="A6395" s="1" t="s">
        <v>988</v>
      </c>
      <c r="B6395" s="0" t="s">
        <v>168</v>
      </c>
      <c r="D6395" s="7" t="n">
        <f aca="false">(Sens!C6375+Sens!D6375)/(Sens!C6376+Sens!D6376)</f>
        <v>0.6</v>
      </c>
      <c r="E6395" s="7" t="n">
        <f aca="false">(Sens!D6375+Sens!E6375)/(Sens!D6376+Sens!E6376)</f>
        <v>0.6</v>
      </c>
      <c r="F6395" s="7" t="n">
        <f aca="false">(Sens!E6375+Sens!F6375)/(Sens!E6376+Sens!F6376)</f>
        <v>0.6</v>
      </c>
      <c r="G6395" s="7" t="n">
        <f aca="false">(Sens!F6375+Sens!G6375)/(Sens!F6376+Sens!G6376)</f>
        <v>0.6</v>
      </c>
      <c r="H6395" s="7" t="n">
        <f aca="false">(Sens!G6375+Sens!H6375)/(Sens!G6376+Sens!H6376)</f>
        <v>0.6</v>
      </c>
      <c r="I6395" s="7" t="n">
        <f aca="false">(Sens!H6375+Sens!I6375)/(Sens!H6376+Sens!I6376)</f>
        <v>0.6</v>
      </c>
      <c r="J6395" s="7" t="n">
        <f aca="false">(Sens!I6375+Sens!J6375)/(Sens!I6376+Sens!J6376)</f>
        <v>0.6</v>
      </c>
      <c r="K6395" s="7" t="n">
        <f aca="false">(Sens!J6375+Sens!K6375)/(Sens!J6376+Sens!K6376)</f>
        <v>0.6</v>
      </c>
    </row>
    <row r="6396" customFormat="false" ht="17.15" hidden="false" customHeight="false" outlineLevel="0" collapsed="false">
      <c r="A6396" s="0" t="s">
        <v>989</v>
      </c>
      <c r="B6396" s="0" t="s">
        <v>98</v>
      </c>
      <c r="D6396" s="6" t="n">
        <f aca="false">Sens!D6390-Sens!D6395*(Sens!D6392+Sens!D6394)-Sens!D6393</f>
        <v>8.35701406163072</v>
      </c>
      <c r="E6396" s="6" t="n">
        <f aca="false">Sens!E6390-Sens!E6395*(Sens!E6392+Sens!E6394)-Sens!E6393</f>
        <v>18.7103224860238</v>
      </c>
      <c r="F6396" s="6" t="n">
        <f aca="false">Sens!F6390-Sens!F6395*(Sens!F6392+Sens!F6394)-Sens!F6393</f>
        <v>40.1278017995766</v>
      </c>
      <c r="G6396" s="6" t="n">
        <f aca="false">Sens!G6390-Sens!G6395*(Sens!G6392+Sens!G6394)-Sens!G6393</f>
        <v>68.8750961918517</v>
      </c>
      <c r="H6396" s="6" t="n">
        <f aca="false">Sens!H6390-Sens!H6395*(Sens!H6392+Sens!H6394)-Sens!H6393</f>
        <v>99.2509727229189</v>
      </c>
      <c r="I6396" s="6" t="n">
        <f aca="false">Sens!I6390-Sens!I6395*(Sens!I6392+Sens!I6394)-Sens!I6393</f>
        <v>126.111516853442</v>
      </c>
      <c r="J6396" s="6" t="n">
        <f aca="false">Sens!J6390-Sens!J6395*(Sens!J6392+Sens!J6394)-Sens!J6393</f>
        <v>145.028724341695</v>
      </c>
      <c r="K6396" s="6" t="n">
        <f aca="false">Sens!K6390-Sens!K6395*(Sens!K6392+Sens!K6394)-Sens!K6393</f>
        <v>157.363310827849</v>
      </c>
    </row>
    <row r="6397" customFormat="false" ht="17.15" hidden="false" customHeight="false" outlineLevel="0" collapsed="false">
      <c r="A6397" s="1" t="s">
        <v>990</v>
      </c>
      <c r="B6397" s="0" t="s">
        <v>98</v>
      </c>
      <c r="D6397" s="6" t="n">
        <f aca="false">(1-Sens!D6395)*(Sens!D6392+Sens!D6394)</f>
        <v>1.42281025374069</v>
      </c>
      <c r="E6397" s="6" t="n">
        <f aca="false">(1-Sens!E6395)*(Sens!E6392+Sens!E6394)</f>
        <v>3.25095598674472</v>
      </c>
      <c r="F6397" s="6" t="n">
        <f aca="false">(1-Sens!F6395)*(Sens!F6392+Sens!F6394)</f>
        <v>6.72135810147489</v>
      </c>
      <c r="G6397" s="6" t="n">
        <f aca="false">(1-Sens!G6395)*(Sens!G6392+Sens!G6394)</f>
        <v>11.3401410201637</v>
      </c>
      <c r="H6397" s="6" t="n">
        <f aca="false">(1-Sens!H6395)*(Sens!H6392+Sens!H6394)</f>
        <v>16.1920771049557</v>
      </c>
      <c r="I6397" s="6" t="n">
        <f aca="false">(1-Sens!I6395)*(Sens!I6392+Sens!I6394)</f>
        <v>20.3917774400264</v>
      </c>
      <c r="J6397" s="6" t="n">
        <f aca="false">(1-Sens!J6395)*(Sens!J6392+Sens!J6394)</f>
        <v>23.2503960207104</v>
      </c>
      <c r="K6397" s="6" t="n">
        <f aca="false">(1-Sens!K6395)*(Sens!K6392+Sens!K6394)</f>
        <v>24.8730801087085</v>
      </c>
    </row>
    <row r="6398" customFormat="false" ht="17.15" hidden="false" customHeight="false" outlineLevel="0" collapsed="false">
      <c r="A6398" s="1" t="s">
        <v>991</v>
      </c>
      <c r="B6398" s="0" t="s">
        <v>417</v>
      </c>
      <c r="C6398" s="8" t="n">
        <f aca="false">cxit_open</f>
        <v>27.5918995</v>
      </c>
      <c r="D6398" s="8" t="n">
        <f aca="false">cxit_open</f>
        <v>27.5918995</v>
      </c>
      <c r="E6398" s="8" t="n">
        <f aca="false">cxit_open</f>
        <v>27.5918995</v>
      </c>
      <c r="F6398" s="8" t="n">
        <f aca="false">((a_g3_27-nonnv*a_mai)*tk_cxit_gb300+nonnv*a_mai*nv_hold_mai*tk_cxit_vr200+(1-a_g3_27)*tk_cxit_vr200)</f>
        <v>32.4975576</v>
      </c>
      <c r="G6398" s="8" t="n">
        <f aca="false">((a_g3_28-nonnv*a_mai)*tk_cxit_gb300+nonnv*a_mai*nv_hold_mai*tk_cxit_vr200+(1-a_g3_28)*tk_cxit_vr200)</f>
        <v>34.6372088</v>
      </c>
      <c r="H6398" s="8" t="n">
        <f aca="false">((a_g3_29-nonnv*a_mai)*tk_cxit_gb300+nonnv*a_mai*nv_hold_mai*tk_cxit_vr200+(1-a_g3_29)*tk_cxit_vr200)</f>
        <v>35.7070344</v>
      </c>
      <c r="I6398" s="8" t="n">
        <f aca="false">((a_g3_29-nonnv*a_mai)*tk_cxit_gb300+nonnv*a_mai*nv_hold_mai*tk_cxit_vr200+(1-a_g3_29)*tk_cxit_vr200)</f>
        <v>35.7070344</v>
      </c>
      <c r="J6398" s="8" t="n">
        <f aca="false">((a_g3_29-nonnv*a_mai)*tk_cxit_gb300+nonnv*a_mai*nv_hold_mai*tk_cxit_vr200+(1-a_g3_29)*tk_cxit_vr200)</f>
        <v>35.7070344</v>
      </c>
      <c r="K6398" s="8" t="n">
        <f aca="false">((a_g3_29-nonnv*a_mai)*tk_cxit_gb300+nonnv*a_mai*nv_hold_mai*tk_cxit_vr200+(1-a_g3_29)*tk_cxit_vr200)</f>
        <v>35.7070344</v>
      </c>
      <c r="L6398" s="12" t="s">
        <v>992</v>
      </c>
    </row>
    <row r="6399" customFormat="false" ht="17.15" hidden="false" customHeight="false" outlineLevel="0" collapsed="false">
      <c r="A6399" s="0" t="s">
        <v>993</v>
      </c>
      <c r="B6399" s="0" t="s">
        <v>459</v>
      </c>
      <c r="F6399" s="30" t="n">
        <f aca="false">Sens!C6378*IF(Sens!F6371-Sens!C6371=life_it,1,0)+Sens!D6378*IF(Sens!F6371-Sens!D6371=life_it,1,0)+Sens!E6378*IF(Sens!F6371-Sens!E6371=life_it,1,0)</f>
        <v>0</v>
      </c>
      <c r="G6399" s="30" t="n">
        <f aca="false">Sens!C6378*IF(Sens!G6371-Sens!C6371=life_it,1,0)+Sens!D6378*IF(Sens!G6371-Sens!D6371=life_it,1,0)+Sens!E6378*IF(Sens!G6371-Sens!E6371=life_it,1,0)+Sens!F6378*IF(Sens!G6371-Sens!F6371=life_it,1,0)</f>
        <v>0</v>
      </c>
      <c r="H6399" s="30" t="n">
        <f aca="false">Sens!C6378*IF(Sens!H6371-Sens!C6371=life_it,1,0)+Sens!D6378*IF(Sens!H6371-Sens!D6371=life_it,1,0)+Sens!E6378*IF(Sens!H6371-Sens!E6371=life_it,1,0)+Sens!F6378*IF(Sens!H6371-Sens!F6371=life_it,1,0)+Sens!G6378*IF(Sens!H6371-Sens!G6371=life_it,1,0)</f>
        <v>0</v>
      </c>
      <c r="I6399" s="30" t="n">
        <f aca="false">Sens!C6378*IF(Sens!I6371-Sens!C6371=life_it,1,0)+Sens!D6378*IF(Sens!I6371-Sens!D6371=life_it,1,0)+Sens!E6378*IF(Sens!I6371-Sens!E6371=life_it,1,0)+Sens!F6378*IF(Sens!I6371-Sens!F6371=life_it,1,0)+Sens!G6378*IF(Sens!I6371-Sens!G6371=life_it,1,0)+Sens!H6378*IF(Sens!I6371-Sens!H6371=life_it,1,0)</f>
        <v>816.666666666667</v>
      </c>
      <c r="J6399" s="30" t="n">
        <f aca="false">Sens!C6378*IF(Sens!J6371-Sens!C6371=life_it,1,0)+Sens!D6378*IF(Sens!J6371-Sens!D6371=life_it,1,0)+Sens!E6378*IF(Sens!J6371-Sens!E6371=life_it,1,0)+Sens!F6378*IF(Sens!J6371-Sens!F6371=life_it,1,0)+Sens!G6378*IF(Sens!J6371-Sens!G6371=life_it,1,0)+Sens!H6378*IF(Sens!J6371-Sens!H6371=life_it,1,0)+Sens!I6378*IF(Sens!J6371-Sens!I6371=life_it,1,0)</f>
        <v>1233.33333333333</v>
      </c>
      <c r="K6399" s="30" t="n">
        <f aca="false">Sens!C6378*IF(Sens!K6371-Sens!C6371=life_it,1,0)+Sens!D6378*IF(Sens!K6371-Sens!D6371=life_it,1,0)+Sens!E6378*IF(Sens!K6371-Sens!E6371=life_it,1,0)+Sens!F6378*IF(Sens!K6371-Sens!F6371=life_it,1,0)+Sens!G6378*IF(Sens!K6371-Sens!G6371=life_it,1,0)+Sens!H6378*IF(Sens!K6371-Sens!H6371=life_it,1,0)+Sens!I6378*IF(Sens!K6371-Sens!I6371=life_it,1,0)+Sens!J6378*IF(Sens!K6371-Sens!J6371=life_it,1,0)</f>
        <v>2450</v>
      </c>
      <c r="L6399" s="1" t="s">
        <v>994</v>
      </c>
    </row>
    <row r="6400" customFormat="false" ht="17.15" hidden="false" customHeight="false" outlineLevel="0" collapsed="false">
      <c r="A6400" s="0" t="s">
        <v>995</v>
      </c>
      <c r="B6400" s="0" t="s">
        <v>98</v>
      </c>
      <c r="C6400" s="6" t="n">
        <f aca="false">Sens!C6378*Sens!C6398/1000</f>
        <v>22.5333845916667</v>
      </c>
      <c r="D6400" s="6" t="n">
        <f aca="false">Sens!D6378*Sens!D6398/1000</f>
        <v>34.0300093833333</v>
      </c>
      <c r="E6400" s="6" t="n">
        <f aca="false">Sens!E6378*Sens!E6398/1000</f>
        <v>67.600153775</v>
      </c>
      <c r="F6400" s="6" t="n">
        <f aca="false">(Sens!F6378+Sens!F6399)*Sens!F6398/1000</f>
        <v>136.51872432512</v>
      </c>
      <c r="G6400" s="6" t="n">
        <f aca="false">(Sens!G6378+Sens!G6399)*Sens!G6398/1000</f>
        <v>157.399275932048</v>
      </c>
      <c r="H6400" s="6" t="n">
        <f aca="false">(Sens!H6378+Sens!H6399)*Sens!H6398/1000</f>
        <v>162.260804347512</v>
      </c>
      <c r="I6400" s="6" t="n">
        <f aca="false">(Sens!I6378+Sens!I6399)*Sens!I6398/1000</f>
        <v>144.136569485434</v>
      </c>
      <c r="J6400" s="6" t="n">
        <f aca="false">(Sens!J6378+Sens!J6399)*Sens!J6398/1000</f>
        <v>114.029037357864</v>
      </c>
      <c r="K6400" s="6" t="n">
        <f aca="false">(Sens!K6378+Sens!K6399)*Sens!K6398/1000</f>
        <v>113.437085350975</v>
      </c>
    </row>
    <row r="6401" customFormat="false" ht="17.15" hidden="false" customHeight="false" outlineLevel="0" collapsed="false">
      <c r="A6401" s="0" t="s">
        <v>996</v>
      </c>
      <c r="B6401" s="0" t="s">
        <v>98</v>
      </c>
      <c r="C6401" s="6" t="n">
        <f aca="false">Sens!C6378*self_build*tk_cxfac/1000</f>
        <v>6.2083</v>
      </c>
      <c r="D6401" s="6" t="n">
        <f aca="false">Sens!D6378*self_build*tk_cxfac/1000</f>
        <v>9.3758</v>
      </c>
      <c r="E6401" s="6" t="n">
        <f aca="false">Sens!E6378*self_build*tk_cxfac/1000</f>
        <v>18.6249</v>
      </c>
      <c r="F6401" s="6" t="n">
        <f aca="false">Sens!F6378*self_build*tk_cxfac/1000</f>
        <v>31.935179717</v>
      </c>
      <c r="G6401" s="6" t="n">
        <f aca="false">Sens!G6378*self_build*tk_cxfac/1000</f>
        <v>34.545199717</v>
      </c>
      <c r="H6401" s="6" t="n">
        <f aca="false">Sens!H6378*self_build*tk_cxfac/1000</f>
        <v>34.545199717</v>
      </c>
      <c r="I6401" s="6" t="n">
        <f aca="false">Sens!I6378*self_build*tk_cxfac/1000</f>
        <v>24.4782641361767</v>
      </c>
      <c r="J6401" s="6" t="n">
        <f aca="false">Sens!J6378*self_build*tk_cxfac/1000</f>
        <v>14.9008938380769</v>
      </c>
      <c r="K6401" s="6" t="n">
        <f aca="false">Sens!K6378*self_build*tk_cxfac/1000</f>
        <v>5.52576771375761</v>
      </c>
    </row>
    <row r="6402" customFormat="false" ht="17.15" hidden="false" customHeight="false" outlineLevel="0" collapsed="false">
      <c r="A6402" s="0" t="s">
        <v>997</v>
      </c>
      <c r="B6402" s="0" t="s">
        <v>98</v>
      </c>
      <c r="F6402" s="15" t="n">
        <f aca="false">capex_floor27-Sens!F6400-Sens!F6401-Sens!F6498</f>
        <v>0.0265091365881389</v>
      </c>
      <c r="L6402" s="12" t="s">
        <v>998</v>
      </c>
    </row>
    <row r="6403" customFormat="false" ht="17.15" hidden="false" customHeight="false" outlineLevel="0" collapsed="false">
      <c r="A6403" s="0" t="s">
        <v>999</v>
      </c>
      <c r="B6403" s="0" t="s">
        <v>98</v>
      </c>
      <c r="F6403" s="6" t="n">
        <f aca="false">MAX(0,Sens!F6402)</f>
        <v>0.0265091365881389</v>
      </c>
    </row>
    <row r="6404" customFormat="false" ht="17.15" hidden="false" customHeight="false" outlineLevel="0" collapsed="false">
      <c r="A6404" s="0" t="s">
        <v>1000</v>
      </c>
      <c r="B6404" s="0" t="s">
        <v>98</v>
      </c>
      <c r="C6404" s="6" t="n">
        <f aca="false">Sens!C6400</f>
        <v>22.5333845916667</v>
      </c>
      <c r="D6404" s="6" t="n">
        <f aca="false">Sens!D6400</f>
        <v>34.0300093833333</v>
      </c>
      <c r="E6404" s="6" t="n">
        <f aca="false">Sens!E6400</f>
        <v>67.600153775</v>
      </c>
      <c r="F6404" s="6" t="n">
        <f aca="false">Sens!F6400</f>
        <v>136.51872432512</v>
      </c>
      <c r="G6404" s="6" t="n">
        <f aca="false">Sens!G6400</f>
        <v>157.399275932048</v>
      </c>
      <c r="H6404" s="6" t="n">
        <f aca="false">Sens!H6400</f>
        <v>162.260804347512</v>
      </c>
      <c r="I6404" s="6" t="n">
        <f aca="false">Sens!I6400</f>
        <v>144.136569485434</v>
      </c>
      <c r="J6404" s="6" t="n">
        <f aca="false">Sens!J6400</f>
        <v>114.029037357864</v>
      </c>
      <c r="K6404" s="6" t="n">
        <f aca="false">Sens!K6400</f>
        <v>113.437085350975</v>
      </c>
    </row>
    <row r="6405" customFormat="false" ht="17.15" hidden="false" customHeight="false" outlineLevel="0" collapsed="false">
      <c r="A6405" s="0" t="s">
        <v>1001</v>
      </c>
      <c r="B6405" s="0" t="s">
        <v>98</v>
      </c>
      <c r="C6405" s="6" t="n">
        <f aca="false">Sens!C6404+Sens!C6401</f>
        <v>28.7416845916667</v>
      </c>
      <c r="D6405" s="6" t="n">
        <f aca="false">Sens!D6404+Sens!D6401</f>
        <v>43.4058093833333</v>
      </c>
      <c r="E6405" s="6" t="n">
        <f aca="false">Sens!E6404+Sens!E6401</f>
        <v>86.225053775</v>
      </c>
      <c r="F6405" s="6" t="n">
        <f aca="false">Sens!F6404+Sens!F6401</f>
        <v>168.45390404212</v>
      </c>
      <c r="G6405" s="6" t="n">
        <f aca="false">Sens!G6404+Sens!G6401</f>
        <v>191.944475649048</v>
      </c>
      <c r="H6405" s="6" t="n">
        <f aca="false">Sens!H6404+Sens!H6401</f>
        <v>196.806004064512</v>
      </c>
      <c r="I6405" s="6" t="n">
        <f aca="false">Sens!I6404+Sens!I6401</f>
        <v>168.61483362161</v>
      </c>
      <c r="J6405" s="6" t="n">
        <f aca="false">Sens!J6404+Sens!J6401</f>
        <v>128.92993119594</v>
      </c>
      <c r="K6405" s="6" t="n">
        <f aca="false">Sens!K6404+Sens!K6401</f>
        <v>118.962853064733</v>
      </c>
      <c r="L6405" s="12" t="s">
        <v>1002</v>
      </c>
    </row>
    <row r="6406" customFormat="false" ht="17.15" hidden="false" customHeight="false" outlineLevel="0" collapsed="false">
      <c r="A6406" s="0" t="s">
        <v>1003</v>
      </c>
      <c r="B6406" s="0" t="s">
        <v>98</v>
      </c>
      <c r="E6406" s="6" t="n">
        <f aca="false">(Sens!C6404*IF(2&lt;life_it,1,IF(2=life_it,0.5,0))+Sens!D6404*IF(1&lt;life_it,1,IF(1=life_it,0.5,0))+Sens!E6404*0.5)/life_it</f>
        <v>15.0605784770833</v>
      </c>
      <c r="F6406" s="6" t="n">
        <f aca="false">(Sens!C6404*IF(3&lt;life_it,1,IF(3=life_it,0.5,0))+Sens!D6404*IF(2&lt;life_it,1,IF(2=life_it,0.5,0))+Sens!E6404*IF(1&lt;life_it,1,IF(1=life_it,0.5,0))+Sens!F6404*0.5)/life_it</f>
        <v>32.0704849854266</v>
      </c>
      <c r="G6406" s="6" t="n">
        <f aca="false">(Sens!C6404*IF(4&lt;life_it,1,IF(4=life_it,0.5,0))+Sens!D6404*IF(3&lt;life_it,1,IF(3=life_it,0.5,0))+Sens!E6404*IF(2&lt;life_it,1,IF(2=life_it,0.5,0))+Sens!F6404*IF(1&lt;life_it,1,IF(1=life_it,0.5,0))+Sens!G6404*0.5)/life_it</f>
        <v>56.5636516735239</v>
      </c>
      <c r="H6406" s="6" t="n">
        <f aca="false">(Sens!C6404*IF(5&lt;life_it,1,IF(5=life_it,0.5,0))+Sens!D6404*IF(4&lt;life_it,1,IF(4=life_it,0.5,0))+Sens!E6404*IF(3&lt;life_it,1,IF(3=life_it,0.5,0))+Sens!F6404*IF(2&lt;life_it,1,IF(2=life_it,0.5,0))+Sens!G6404*IF(1&lt;life_it,1,IF(1=life_it,0.5,0))+Sens!H6404*0.5)/life_it</f>
        <v>83.2019916968207</v>
      </c>
      <c r="I6406" s="6" t="n">
        <f aca="false">(Sens!C6404*IF(6&lt;life_it,1,IF(6=life_it,0.5,0))+Sens!D6404*IF(5&lt;life_it,1,IF(5=life_it,0.5,0))+Sens!E6404*IF(4&lt;life_it,1,IF(4=life_it,0.5,0))+Sens!F6404*IF(3&lt;life_it,1,IF(3=life_it,0.5,0))+Sens!G6404*IF(2&lt;life_it,1,IF(2=life_it,0.5,0))+Sens!H6404*IF(1&lt;life_it,1,IF(1=life_it,0.5,0))+Sens!I6404*0.5)/life_it</f>
        <v>106.857324133594</v>
      </c>
      <c r="J6406" s="6" t="n">
        <f aca="false">(Sens!C6404*IF(7&lt;life_it,1,IF(7=life_it,0.5,0))+Sens!D6404*IF(6&lt;life_it,1,IF(6=life_it,0.5,0))+Sens!E6404*IF(5&lt;life_it,1,IF(5=life_it,0.5,0))+Sens!F6404*IF(4&lt;life_it,1,IF(4=life_it,0.5,0))+Sens!G6404*IF(3&lt;life_it,1,IF(3=life_it,0.5,0))+Sens!H6404*IF(2&lt;life_it,1,IF(2=life_it,0.5,0))+Sens!I6404*IF(1&lt;life_it,1,IF(1=life_it,0.5,0))+Sens!J6404*0.5)/life_it</f>
        <v>123.657508539285</v>
      </c>
      <c r="K6406" s="6" t="n">
        <f aca="false">(Sens!C6404*IF(8&lt;life_it,1,IF(8=life_it,0.5,0))+Sens!D6404*IF(7&lt;life_it,1,IF(7=life_it,0.5,0))+Sens!E6404*IF(6&lt;life_it,1,IF(6=life_it,0.5,0))+Sens!F6404*IF(5&lt;life_it,1,IF(5=life_it,0.5,0))+Sens!G6404*IF(4&lt;life_it,1,IF(4=life_it,0.5,0))+Sens!H6404*IF(3&lt;life_it,1,IF(3=life_it,0.5,0))+Sens!I6404*IF(2&lt;life_it,1,IF(2=life_it,0.5,0))+Sens!J6404*IF(1&lt;life_it,1,IF(1=life_it,0.5,0))+Sens!K6404*0.5)/life_it</f>
        <v>134.143838501827</v>
      </c>
    </row>
    <row r="6407" customFormat="false" ht="17.15" hidden="false" customHeight="false" outlineLevel="0" collapsed="false">
      <c r="A6407" s="0" t="s">
        <v>1004</v>
      </c>
      <c r="B6407" s="0" t="s">
        <v>98</v>
      </c>
      <c r="E6407" s="6" t="n">
        <f aca="false">(Sens!C6401*IF(2&lt;life_fac,1,IF(2=life_fac,0.5,0))+Sens!D6401*IF(1&lt;life_fac,1,IF(1=life_fac,0.5,0))+Sens!E6401*0.5)/life_fac</f>
        <v>1.2448275</v>
      </c>
      <c r="F6407" s="6" t="n">
        <f aca="false">(Sens!C6401*IF(3&lt;life_fac,1,IF(3=life_fac,0.5,0))+Sens!D6401*IF(2&lt;life_fac,1,IF(2=life_fac,0.5,0))+Sens!E6401*IF(1&lt;life_fac,1,IF(1=life_fac,0.5,0))+Sens!F6401*0.5)/life_fac</f>
        <v>2.508829492925</v>
      </c>
      <c r="G6407" s="6" t="n">
        <f aca="false">(Sens!C6401*IF(4&lt;life_fac,1,IF(4=life_fac,0.5,0))+Sens!D6401*IF(3&lt;life_fac,1,IF(3=life_fac,0.5,0))+Sens!E6401*IF(2&lt;life_fac,1,IF(2=life_fac,0.5,0))+Sens!F6401*IF(1&lt;life_fac,1,IF(1=life_fac,0.5,0))+Sens!G6401*0.5)/life_fac</f>
        <v>4.170838978775</v>
      </c>
      <c r="H6407" s="6" t="n">
        <f aca="false">(Sens!C6401*IF(5&lt;life_fac,1,IF(5=life_fac,0.5,0))+Sens!D6401*IF(4&lt;life_fac,1,IF(4=life_fac,0.5,0))+Sens!E6401*IF(3&lt;life_fac,1,IF(3=life_fac,0.5,0))+Sens!F6401*IF(2&lt;life_fac,1,IF(2=life_fac,0.5,0))+Sens!G6401*IF(1&lt;life_fac,1,IF(1=life_fac,0.5,0))+Sens!H6401*0.5)/life_fac</f>
        <v>5.898098964625</v>
      </c>
      <c r="I6407" s="6" t="n">
        <f aca="false">(Sens!C6401*IF(6&lt;life_fac,1,IF(6=life_fac,0.5,0))+Sens!D6401*IF(5&lt;life_fac,1,IF(5=life_fac,0.5,0))+Sens!E6401*IF(4&lt;life_fac,1,IF(4=life_fac,0.5,0))+Sens!F6401*IF(3&lt;life_fac,1,IF(3=life_fac,0.5,0))+Sens!G6401*IF(2&lt;life_fac,1,IF(2=life_fac,0.5,0))+Sens!H6401*IF(1&lt;life_fac,1,IF(1=life_fac,0.5,0))+Sens!I6401*0.5)/life_fac</f>
        <v>7.37368556095442</v>
      </c>
      <c r="J6407" s="6" t="n">
        <f aca="false">(Sens!C6401*IF(7&lt;life_fac,1,IF(7=life_fac,0.5,0))+Sens!D6401*IF(6&lt;life_fac,1,IF(6=life_fac,0.5,0))+Sens!E6401*IF(5&lt;life_fac,1,IF(5=life_fac,0.5,0))+Sens!F6401*IF(4&lt;life_fac,1,IF(4=life_fac,0.5,0))+Sens!G6401*IF(3&lt;life_fac,1,IF(3=life_fac,0.5,0))+Sens!H6401*IF(2&lt;life_fac,1,IF(2=life_fac,0.5,0))+Sens!I6401*IF(1&lt;life_fac,1,IF(1=life_fac,0.5,0))+Sens!J6401*0.5)/life_fac</f>
        <v>8.35816451031075</v>
      </c>
      <c r="K6407" s="6" t="n">
        <f aca="false">(Sens!C6401*IF(8&lt;life_fac,1,IF(8=life_fac,0.5,0))+Sens!D6401*IF(7&lt;life_fac,1,IF(7=life_fac,0.5,0))+Sens!E6401*IF(6&lt;life_fac,1,IF(6=life_fac,0.5,0))+Sens!F6401*IF(5&lt;life_fac,1,IF(5=life_fac,0.5,0))+Sens!G6401*IF(4&lt;life_fac,1,IF(4=life_fac,0.5,0))+Sens!H6401*IF(3&lt;life_fac,1,IF(3=life_fac,0.5,0))+Sens!I6401*IF(2&lt;life_fac,1,IF(2=life_fac,0.5,0))+Sens!J6401*IF(1&lt;life_fac,1,IF(1=life_fac,0.5,0))+Sens!K6401*0.5)/life_fac</f>
        <v>8.86883104910662</v>
      </c>
    </row>
    <row r="6408" customFormat="false" ht="17.15" hidden="false" customHeight="false" outlineLevel="0" collapsed="false">
      <c r="A6408" s="0" t="s">
        <v>1005</v>
      </c>
      <c r="B6408" s="0" t="s">
        <v>98</v>
      </c>
      <c r="E6408" s="6" t="n">
        <f aca="false">Sens!E6406+Sens!E6407</f>
        <v>16.3054059770833</v>
      </c>
      <c r="F6408" s="6" t="n">
        <f aca="false">Sens!F6406+Sens!F6407</f>
        <v>34.5793144783516</v>
      </c>
      <c r="G6408" s="6" t="n">
        <f aca="false">Sens!G6406+Sens!G6407</f>
        <v>60.7344906522989</v>
      </c>
      <c r="H6408" s="6" t="n">
        <f aca="false">Sens!H6406+Sens!H6407</f>
        <v>89.1000906614457</v>
      </c>
      <c r="I6408" s="6" t="n">
        <f aca="false">Sens!I6406+Sens!I6407</f>
        <v>114.231009694548</v>
      </c>
      <c r="J6408" s="6" t="n">
        <f aca="false">Sens!J6406+Sens!J6407</f>
        <v>132.015673049596</v>
      </c>
      <c r="K6408" s="6" t="n">
        <f aca="false">Sens!K6406+Sens!K6407</f>
        <v>143.012669550934</v>
      </c>
    </row>
    <row r="6409" customFormat="false" ht="17.15" hidden="false" customHeight="false" outlineLevel="0" collapsed="false">
      <c r="A6409" s="0" t="s">
        <v>1006</v>
      </c>
      <c r="B6409" s="0" t="s">
        <v>98</v>
      </c>
      <c r="E6409" s="6" t="n">
        <f aca="false">Sens!E6396-Sens!E6395*Sens!E6408</f>
        <v>8.92707889977379</v>
      </c>
      <c r="F6409" s="6" t="n">
        <f aca="false">Sens!F6396-Sens!F6395*Sens!F6408</f>
        <v>19.3802131125657</v>
      </c>
      <c r="G6409" s="6" t="n">
        <f aca="false">Sens!G6396-Sens!G6395*Sens!G6408</f>
        <v>32.4344018004724</v>
      </c>
      <c r="H6409" s="6" t="n">
        <f aca="false">Sens!H6396-Sens!H6395*Sens!H6408</f>
        <v>45.7909183260515</v>
      </c>
      <c r="I6409" s="6" t="n">
        <f aca="false">Sens!I6396-Sens!I6395*Sens!I6408</f>
        <v>57.5729110367134</v>
      </c>
      <c r="J6409" s="6" t="n">
        <f aca="false">Sens!J6396-Sens!J6395*Sens!J6408</f>
        <v>65.8193205119371</v>
      </c>
      <c r="K6409" s="6" t="n">
        <f aca="false">Sens!K6396-Sens!K6395*Sens!K6408</f>
        <v>71.5557090972883</v>
      </c>
    </row>
    <row r="6410" customFormat="false" ht="17.15" hidden="false" customHeight="false" outlineLevel="0" collapsed="false">
      <c r="A6410" s="3" t="s">
        <v>1771</v>
      </c>
    </row>
    <row r="6411" customFormat="false" ht="15" hidden="false" customHeight="false" outlineLevel="0" collapsed="false">
      <c r="A6411" s="4" t="s">
        <v>43</v>
      </c>
      <c r="B6411" s="4" t="s">
        <v>65</v>
      </c>
      <c r="C6411" s="23" t="s">
        <v>942</v>
      </c>
      <c r="D6411" s="23" t="s">
        <v>943</v>
      </c>
      <c r="E6411" s="23" t="s">
        <v>944</v>
      </c>
      <c r="F6411" s="23" t="s">
        <v>945</v>
      </c>
      <c r="G6411" s="23" t="s">
        <v>946</v>
      </c>
      <c r="H6411" s="23" t="s">
        <v>947</v>
      </c>
      <c r="I6411" s="23" t="s">
        <v>948</v>
      </c>
      <c r="J6411" s="23" t="s">
        <v>949</v>
      </c>
      <c r="K6411" s="23" t="s">
        <v>950</v>
      </c>
      <c r="L6411" s="4" t="s">
        <v>47</v>
      </c>
    </row>
    <row r="6412" customFormat="false" ht="17.15" hidden="false" customHeight="false" outlineLevel="0" collapsed="false">
      <c r="A6412" s="0" t="s">
        <v>1025</v>
      </c>
      <c r="B6412" s="0" t="s">
        <v>98</v>
      </c>
      <c r="D6412" s="6" t="n">
        <f aca="false">Sens!D6390</f>
        <v>12.9359794422418</v>
      </c>
      <c r="E6412" s="6" t="n">
        <f aca="false">Sens!E6390</f>
        <v>27.8095064661409</v>
      </c>
      <c r="F6412" s="6" t="n">
        <f aca="false">Sens!F6390</f>
        <v>56.015008951789</v>
      </c>
      <c r="G6412" s="6" t="n">
        <f aca="false">Sens!G6390</f>
        <v>92.6061477220973</v>
      </c>
      <c r="H6412" s="6" t="n">
        <f aca="false">Sens!H6390</f>
        <v>130.259928380352</v>
      </c>
      <c r="I6412" s="6" t="n">
        <f aca="false">Sens!I6390</f>
        <v>163.420023013482</v>
      </c>
      <c r="J6412" s="6" t="n">
        <f aca="false">Sens!J6390</f>
        <v>186.62515837276</v>
      </c>
      <c r="K6412" s="6" t="n">
        <f aca="false">Sens!K6390</f>
        <v>201.393770990911</v>
      </c>
    </row>
    <row r="6413" customFormat="false" ht="17.15" hidden="false" customHeight="false" outlineLevel="0" collapsed="false">
      <c r="A6413" s="0" t="s">
        <v>1026</v>
      </c>
      <c r="B6413" s="0" t="s">
        <v>98</v>
      </c>
      <c r="D6413" s="6" t="n">
        <f aca="false">Q!L6-Sens!D6412</f>
        <v>59.6740205577583</v>
      </c>
      <c r="E6413" s="6" t="n">
        <f aca="false">Q!M6-Sens!E6412</f>
        <v>74.1284935338591</v>
      </c>
      <c r="F6413" s="6" t="n">
        <f aca="false">Q!$I$6+(Sens!F6412+Sens!E6413*(1+Sens!F6414))*(1-Q!$E$6/Q!M6)-Sens!F6412</f>
        <v>91.1647681044321</v>
      </c>
      <c r="G6413" s="6" t="n">
        <f aca="false">Sens!F6413*(1+Sens!G6414)</f>
        <v>108.31735133834</v>
      </c>
      <c r="H6413" s="6" t="n">
        <f aca="false">Sens!G6413*(1+Sens!H6414)</f>
        <v>125.768570112756</v>
      </c>
      <c r="I6413" s="6" t="n">
        <f aca="false">Sens!H6413*(1+Sens!I6414)</f>
        <v>142.630944324464</v>
      </c>
      <c r="J6413" s="6" t="n">
        <f aca="false">Sens!I6413*(1+Sens!J6414)</f>
        <v>157.897777475414</v>
      </c>
      <c r="K6413" s="6" t="n">
        <f aca="false">Sens!J6413*(1+Sens!K6414)</f>
        <v>170.529599673448</v>
      </c>
      <c r="L6413" s="12" t="s">
        <v>1027</v>
      </c>
    </row>
    <row r="6414" customFormat="false" ht="15" hidden="false" customHeight="false" outlineLevel="0" collapsed="false">
      <c r="A6414" s="1" t="s">
        <v>1028</v>
      </c>
      <c r="B6414" s="0" t="s">
        <v>168</v>
      </c>
      <c r="E6414" s="7" t="n">
        <f aca="false">Sens!E6413/Sens!D6413-1</f>
        <v>0.242223883039864</v>
      </c>
      <c r="F6414" s="7" t="n">
        <f aca="false">Sens!$E$6414+(glt_azo-Sens!$E$6414)*MIN(1,(Sens!F6371-base_fy)/n_conv)</f>
        <v>0.215186569199887</v>
      </c>
      <c r="G6414" s="7" t="n">
        <f aca="false">Sens!$E$6414+(glt_azo-Sens!$E$6414)*MIN(1,(Sens!G6371-base_fy)/n_conv)</f>
        <v>0.18814925535991</v>
      </c>
      <c r="H6414" s="7" t="n">
        <f aca="false">Sens!$E$6414+(glt_azo-Sens!$E$6414)*MIN(1,(Sens!H6371-base_fy)/n_conv)</f>
        <v>0.161111941519932</v>
      </c>
      <c r="I6414" s="7" t="n">
        <f aca="false">Sens!$E$6414+(glt_azo-Sens!$E$6414)*MIN(1,(Sens!I6371-base_fy)/n_conv)</f>
        <v>0.134074627679955</v>
      </c>
      <c r="J6414" s="7" t="n">
        <f aca="false">Sens!$E$6414+(glt_azo-Sens!$E$6414)*MIN(1,(Sens!J6371-base_fy)/n_conv)</f>
        <v>0.107037313839977</v>
      </c>
      <c r="K6414" s="7" t="n">
        <f aca="false">Sens!$E$6414+(glt_azo-Sens!$E$6414)*MIN(1,(Sens!K6371-base_fy)/n_conv)</f>
        <v>0.08</v>
      </c>
    </row>
    <row r="6415" customFormat="false" ht="15" hidden="false" customHeight="false" outlineLevel="0" collapsed="false">
      <c r="A6415" s="0" t="s">
        <v>1029</v>
      </c>
      <c r="B6415" s="0" t="s">
        <v>98</v>
      </c>
      <c r="D6415" s="6" t="n">
        <f aca="false">Sens!D6412+Sens!D6413</f>
        <v>72.61</v>
      </c>
      <c r="E6415" s="6" t="n">
        <f aca="false">Sens!E6412+Sens!E6413</f>
        <v>101.938</v>
      </c>
      <c r="F6415" s="6" t="n">
        <f aca="false">Sens!F6412+Sens!F6413</f>
        <v>147.179777056221</v>
      </c>
      <c r="G6415" s="6" t="n">
        <f aca="false">Sens!G6412+Sens!G6413</f>
        <v>200.923499060437</v>
      </c>
      <c r="H6415" s="6" t="n">
        <f aca="false">Sens!H6412+Sens!H6413</f>
        <v>256.028498493109</v>
      </c>
      <c r="I6415" s="6" t="n">
        <f aca="false">Sens!I6412+Sens!I6413</f>
        <v>306.050967337946</v>
      </c>
      <c r="J6415" s="6" t="n">
        <f aca="false">Sens!J6412+Sens!J6413</f>
        <v>344.522935848175</v>
      </c>
      <c r="K6415" s="6" t="n">
        <f aca="false">Sens!K6412+Sens!K6413</f>
        <v>371.923370664359</v>
      </c>
    </row>
    <row r="6416" customFormat="false" ht="17.15" hidden="false" customHeight="false" outlineLevel="0" collapsed="false">
      <c r="A6416" s="0" t="s">
        <v>1030</v>
      </c>
      <c r="B6416" s="1" t="s">
        <v>613</v>
      </c>
      <c r="C6416" s="30" t="n">
        <f aca="false">cop_s24</f>
        <v>1</v>
      </c>
      <c r="D6416" s="30" t="n">
        <f aca="false">cop_s25</f>
        <v>5</v>
      </c>
      <c r="E6416" s="30" t="n">
        <f aca="false">cop_s26</f>
        <v>30</v>
      </c>
      <c r="F6416" s="30" t="n">
        <f aca="false">Sens!E6416+cop_add_B</f>
        <v>50</v>
      </c>
      <c r="G6416" s="30" t="n">
        <f aca="false">Sens!F6416+cop_add_B</f>
        <v>70</v>
      </c>
      <c r="H6416" s="30" t="n">
        <f aca="false">Sens!G6416+cop_add_B</f>
        <v>90</v>
      </c>
      <c r="I6416" s="30" t="n">
        <f aca="false">Sens!H6416+cop_add_B*cop_tail</f>
        <v>100</v>
      </c>
      <c r="J6416" s="30" t="n">
        <f aca="false">Sens!I6416+cop_add_B*cop_tail</f>
        <v>110</v>
      </c>
      <c r="K6416" s="30" t="n">
        <f aca="false">Sens!J6416+cop_add_B*cop_tail</f>
        <v>120</v>
      </c>
      <c r="L6416" s="12" t="s">
        <v>1031</v>
      </c>
    </row>
    <row r="6417" customFormat="false" ht="17.15" hidden="false" customHeight="false" outlineLevel="0" collapsed="false">
      <c r="A6417" s="0" t="s">
        <v>1032</v>
      </c>
      <c r="B6417" s="0" t="s">
        <v>98</v>
      </c>
      <c r="D6417" s="6" t="n">
        <f aca="false">(Sens!C6416+Sens!D6416)/2*cop_px*12/1000</f>
        <v>0.9</v>
      </c>
      <c r="E6417" s="6" t="n">
        <f aca="false">(Sens!D6416+Sens!E6416)/2*cop_px*12/1000</f>
        <v>5.25</v>
      </c>
      <c r="F6417" s="6" t="n">
        <f aca="false">(Sens!E6416+Sens!F6416)/2*cop_px*12/1000</f>
        <v>12</v>
      </c>
      <c r="G6417" s="6" t="n">
        <f aca="false">(Sens!F6416+Sens!G6416)/2*cop_px*12/1000</f>
        <v>18</v>
      </c>
      <c r="H6417" s="6" t="n">
        <f aca="false">(Sens!G6416+Sens!H6416)/2*cop_px*12/1000</f>
        <v>24</v>
      </c>
      <c r="I6417" s="6" t="n">
        <f aca="false">(Sens!H6416+Sens!I6416)/2*cop_px*12/1000</f>
        <v>28.5</v>
      </c>
      <c r="J6417" s="6" t="n">
        <f aca="false">(Sens!I6416+Sens!J6416)/2*cop_px*12/1000</f>
        <v>31.5</v>
      </c>
      <c r="K6417" s="6" t="n">
        <f aca="false">(Sens!J6416+Sens!K6416)/2*cop_px*12/1000</f>
        <v>34.5</v>
      </c>
      <c r="L6417" s="1" t="s">
        <v>1033</v>
      </c>
    </row>
    <row r="6418" customFormat="false" ht="17.15" hidden="false" customHeight="false" outlineLevel="0" collapsed="false">
      <c r="A6418" s="0" t="s">
        <v>1034</v>
      </c>
      <c r="B6418" s="0" t="s">
        <v>98</v>
      </c>
      <c r="D6418" s="6" t="n">
        <f aca="false">Q!L7-Sens!D6417</f>
        <v>83.705</v>
      </c>
      <c r="E6418" s="6" t="n">
        <f aca="false">Q!M7-Sens!E6417</f>
        <v>95.049</v>
      </c>
      <c r="F6418" s="6" t="n">
        <f aca="false">Q!$I$7+(Sens!E6418*(1+Sens!F6419)+Sens!F6417)*(1-Q!$E$7/Q!M7)-Sens!F6417</f>
        <v>106.584003697747</v>
      </c>
      <c r="G6418" s="6" t="n">
        <f aca="false">Sens!F6418*(1+Sens!G6419)</f>
        <v>118.700726545688</v>
      </c>
      <c r="H6418" s="6" t="n">
        <f aca="false">Sens!G6418*(1+Sens!H6419)</f>
        <v>130.898624783666</v>
      </c>
      <c r="I6418" s="6" t="n">
        <f aca="false">Sens!H6418*(1+Sens!I6419)</f>
        <v>142.920510030657</v>
      </c>
      <c r="J6418" s="6" t="n">
        <f aca="false">Sens!I6418*(1+Sens!J6419)</f>
        <v>154.485722618572</v>
      </c>
      <c r="K6418" s="6" t="n">
        <f aca="false">Sens!J6418*(1+Sens!K6419)</f>
        <v>165.299723201872</v>
      </c>
      <c r="L6418" s="12" t="s">
        <v>1035</v>
      </c>
    </row>
    <row r="6419" customFormat="false" ht="15" hidden="false" customHeight="false" outlineLevel="0" collapsed="false">
      <c r="A6419" s="1" t="s">
        <v>1028</v>
      </c>
      <c r="B6419" s="0" t="s">
        <v>168</v>
      </c>
      <c r="E6419" s="7" t="n">
        <f aca="false">Sens!E6418/Sens!D6418-1</f>
        <v>0.135523564900544</v>
      </c>
      <c r="F6419" s="7" t="n">
        <f aca="false">Sens!$E$6419+(glt_m365b-Sens!$E$6419)*MIN(1,(Sens!F6371-base_fy)/n_conv)</f>
        <v>0.124602970750453</v>
      </c>
      <c r="G6419" s="7" t="n">
        <f aca="false">Sens!$E$6419+(glt_m365b-Sens!$E$6419)*MIN(1,(Sens!G6371-base_fy)/n_conv)</f>
        <v>0.113682376600363</v>
      </c>
      <c r="H6419" s="7" t="n">
        <f aca="false">Sens!$E$6419+(glt_m365b-Sens!$E$6419)*MIN(1,(Sens!H6371-base_fy)/n_conv)</f>
        <v>0.102761782450272</v>
      </c>
      <c r="I6419" s="7" t="n">
        <f aca="false">Sens!$E$6419+(glt_m365b-Sens!$E$6419)*MIN(1,(Sens!I6371-base_fy)/n_conv)</f>
        <v>0.0918411883001813</v>
      </c>
      <c r="J6419" s="7" t="n">
        <f aca="false">Sens!$E$6419+(glt_m365b-Sens!$E$6419)*MIN(1,(Sens!J6371-base_fy)/n_conv)</f>
        <v>0.0809205941500906</v>
      </c>
      <c r="K6419" s="7" t="n">
        <f aca="false">Sens!$E$6419+(glt_m365b-Sens!$E$6419)*MIN(1,(Sens!K6371-base_fy)/n_conv)</f>
        <v>0.07</v>
      </c>
    </row>
    <row r="6420" customFormat="false" ht="15" hidden="false" customHeight="false" outlineLevel="0" collapsed="false">
      <c r="A6420" s="0" t="s">
        <v>1036</v>
      </c>
      <c r="B6420" s="0" t="s">
        <v>98</v>
      </c>
      <c r="D6420" s="6" t="n">
        <f aca="false">Sens!D6418+Sens!D6417</f>
        <v>84.605</v>
      </c>
      <c r="E6420" s="6" t="n">
        <f aca="false">Sens!E6418+Sens!E6417</f>
        <v>100.299</v>
      </c>
      <c r="F6420" s="6" t="n">
        <f aca="false">Sens!F6418+Sens!F6417</f>
        <v>118.584003697747</v>
      </c>
      <c r="G6420" s="6" t="n">
        <f aca="false">Sens!G6418+Sens!G6417</f>
        <v>136.700726545688</v>
      </c>
      <c r="H6420" s="6" t="n">
        <f aca="false">Sens!H6418+Sens!H6417</f>
        <v>154.898624783666</v>
      </c>
      <c r="I6420" s="6" t="n">
        <f aca="false">Sens!I6418+Sens!I6417</f>
        <v>171.420510030657</v>
      </c>
      <c r="J6420" s="6" t="n">
        <f aca="false">Sens!J6418+Sens!J6417</f>
        <v>185.985722618572</v>
      </c>
      <c r="K6420" s="6" t="n">
        <f aca="false">Sens!K6418+Sens!K6417</f>
        <v>199.799723201872</v>
      </c>
    </row>
    <row r="6421" customFormat="false" ht="17.15" hidden="false" customHeight="false" outlineLevel="0" collapsed="false">
      <c r="A6421" s="0" t="s">
        <v>1037</v>
      </c>
      <c r="B6421" s="0" t="s">
        <v>98</v>
      </c>
      <c r="D6421" s="6" t="n">
        <f aca="false">Q!L8</f>
        <v>35.391</v>
      </c>
      <c r="E6421" s="6" t="n">
        <f aca="false">Q!M8</f>
        <v>37.285</v>
      </c>
      <c r="F6421" s="6" t="n">
        <f aca="false">Q!$I$8+(Q!M8-Q!$E$8)*(1+Sens!F6422)</f>
        <v>38.3851437782675</v>
      </c>
      <c r="G6421" s="6" t="n">
        <f aca="false">Sens!F6421*(1+Sens!G6422)</f>
        <v>40.0105353288615</v>
      </c>
      <c r="H6421" s="6" t="n">
        <f aca="false">Sens!G6421*(1+Sens!H6422)</f>
        <v>41.4812512033683</v>
      </c>
      <c r="I6421" s="6" t="n">
        <f aca="false">Sens!H6421*(1+Sens!I6422)</f>
        <v>42.7743107216329</v>
      </c>
      <c r="J6421" s="6" t="n">
        <f aca="false">Sens!I6421*(1+Sens!J6422)</f>
        <v>43.8687373064601</v>
      </c>
      <c r="K6421" s="6" t="n">
        <f aca="false">Sens!J6421*(1+Sens!K6422)</f>
        <v>44.7461120525893</v>
      </c>
      <c r="L6421" s="12" t="s">
        <v>1038</v>
      </c>
    </row>
    <row r="6422" customFormat="false" ht="15" hidden="false" customHeight="false" outlineLevel="0" collapsed="false">
      <c r="A6422" s="1" t="s">
        <v>1028</v>
      </c>
      <c r="B6422" s="0" t="s">
        <v>168</v>
      </c>
      <c r="E6422" s="7" t="n">
        <f aca="false">Sens!E6421/Sens!D6421-1</f>
        <v>0.0535164307309768</v>
      </c>
      <c r="F6422" s="7" t="n">
        <f aca="false">Sens!$E$6422+(glt_lic-Sens!$E$6422)*MIN(1,(Sens!F6371-base_fy)/n_conv)</f>
        <v>0.0479303589424807</v>
      </c>
      <c r="G6422" s="7" t="n">
        <f aca="false">Sens!$E$6422+(glt_lic-Sens!$E$6422)*MIN(1,(Sens!G6371-base_fy)/n_conv)</f>
        <v>0.0423442871539845</v>
      </c>
      <c r="H6422" s="7" t="n">
        <f aca="false">Sens!$E$6422+(glt_lic-Sens!$E$6422)*MIN(1,(Sens!H6371-base_fy)/n_conv)</f>
        <v>0.0367582153654884</v>
      </c>
      <c r="I6422" s="7" t="n">
        <f aca="false">Sens!$E$6422+(glt_lic-Sens!$E$6422)*MIN(1,(Sens!I6371-base_fy)/n_conv)</f>
        <v>0.0311721435769923</v>
      </c>
      <c r="J6422" s="7" t="n">
        <f aca="false">Sens!$E$6422+(glt_lic-Sens!$E$6422)*MIN(1,(Sens!J6371-base_fy)/n_conv)</f>
        <v>0.0255860717884961</v>
      </c>
      <c r="K6422" s="7" t="n">
        <f aca="false">Sens!$E$6422+(glt_lic-Sens!$E$6422)*MIN(1,(Sens!K6371-base_fy)/n_conv)</f>
        <v>0.02</v>
      </c>
    </row>
    <row r="6423" customFormat="false" ht="17.15" hidden="false" customHeight="false" outlineLevel="0" collapsed="false">
      <c r="A6423" s="0" t="s">
        <v>1039</v>
      </c>
      <c r="B6423" s="0" t="s">
        <v>98</v>
      </c>
      <c r="D6423" s="6" t="n">
        <f aca="false">Q!L9</f>
        <v>18.417</v>
      </c>
      <c r="E6423" s="6" t="n">
        <f aca="false">Q!M9</f>
        <v>20.345</v>
      </c>
      <c r="F6423" s="6" t="n">
        <f aca="false">Q!$I$9+(Q!M9-Q!$E$9)*(1+Sens!F6424)</f>
        <v>22.3161797133988</v>
      </c>
      <c r="G6423" s="6" t="n">
        <f aca="false">Sens!F6423*(1+Sens!G6424)</f>
        <v>24.3943499673233</v>
      </c>
      <c r="H6423" s="6" t="n">
        <f aca="false">Sens!G6423*(1+Sens!H6424)</f>
        <v>26.5250243109019</v>
      </c>
      <c r="I6423" s="6" t="n">
        <f aca="false">Sens!H6423*(1+Sens!I6424)</f>
        <v>28.6884573538181</v>
      </c>
      <c r="J6423" s="6" t="n">
        <f aca="false">Sens!I6423*(1+Sens!J6424)</f>
        <v>30.8624968052127</v>
      </c>
      <c r="K6423" s="6" t="n">
        <f aca="false">Sens!J6423*(1+Sens!K6424)</f>
        <v>33.0228715815776</v>
      </c>
      <c r="L6423" s="12" t="s">
        <v>1038</v>
      </c>
    </row>
    <row r="6424" customFormat="false" ht="15" hidden="false" customHeight="false" outlineLevel="0" collapsed="false">
      <c r="A6424" s="1" t="s">
        <v>1028</v>
      </c>
      <c r="B6424" s="0" t="s">
        <v>168</v>
      </c>
      <c r="E6424" s="7" t="n">
        <f aca="false">Sens!E6423/Sens!D6423-1</f>
        <v>0.104685888038225</v>
      </c>
      <c r="F6424" s="7" t="n">
        <f aca="false">Sens!$E$6424+(glt_ind-Sens!$E$6424)*MIN(1,(Sens!F6371-base_fy)/n_conv)</f>
        <v>0.0989049066985211</v>
      </c>
      <c r="G6424" s="7" t="n">
        <f aca="false">Sens!$E$6424+(glt_ind-Sens!$E$6424)*MIN(1,(Sens!G6371-base_fy)/n_conv)</f>
        <v>0.0931239253588169</v>
      </c>
      <c r="H6424" s="7" t="n">
        <f aca="false">Sens!$E$6424+(glt_ind-Sens!$E$6424)*MIN(1,(Sens!H6371-base_fy)/n_conv)</f>
        <v>0.0873429440191127</v>
      </c>
      <c r="I6424" s="7" t="n">
        <f aca="false">Sens!$E$6424+(glt_ind-Sens!$E$6424)*MIN(1,(Sens!I6371-base_fy)/n_conv)</f>
        <v>0.0815619626794085</v>
      </c>
      <c r="J6424" s="7" t="n">
        <f aca="false">Sens!$E$6424+(glt_ind-Sens!$E$6424)*MIN(1,(Sens!J6371-base_fy)/n_conv)</f>
        <v>0.0757809813397042</v>
      </c>
      <c r="K6424" s="7" t="n">
        <f aca="false">Sens!$E$6424+(glt_ind-Sens!$E$6424)*MIN(1,(Sens!K6371-base_fy)/n_conv)</f>
        <v>0.07</v>
      </c>
    </row>
    <row r="6425" customFormat="false" ht="17.15" hidden="false" customHeight="false" outlineLevel="0" collapsed="false">
      <c r="A6425" s="0" t="s">
        <v>1040</v>
      </c>
      <c r="B6425" s="0" t="s">
        <v>98</v>
      </c>
      <c r="D6425" s="6" t="n">
        <f aca="false">Q!L10</f>
        <v>7.76</v>
      </c>
      <c r="E6425" s="6" t="n">
        <f aca="false">Q!M10</f>
        <v>8.26</v>
      </c>
      <c r="F6425" s="6" t="n">
        <f aca="false">Q!$I$10+(Q!M10-Q!$E$10)*(1+Sens!F6426)</f>
        <v>8.75372082474227</v>
      </c>
      <c r="G6425" s="6" t="n">
        <f aca="false">Sens!F6425*(1+Sens!G6426)</f>
        <v>9.33399324642364</v>
      </c>
      <c r="H6425" s="6" t="n">
        <f aca="false">Sens!G6425*(1+Sens!H6426)</f>
        <v>9.96139155535851</v>
      </c>
      <c r="I6425" s="6" t="n">
        <f aca="false">Sens!H6425*(1+Sens!I6426)</f>
        <v>10.6402039077391</v>
      </c>
      <c r="J6425" s="6" t="n">
        <f aca="false">Sens!I6425*(1+Sens!J6426)</f>
        <v>11.3751458271397</v>
      </c>
      <c r="K6425" s="6" t="n">
        <f aca="false">Sens!J6425*(1+Sens!K6426)</f>
        <v>12.1714060350394</v>
      </c>
      <c r="L6425" s="12" t="s">
        <v>1038</v>
      </c>
    </row>
    <row r="6426" customFormat="false" ht="15" hidden="false" customHeight="false" outlineLevel="0" collapsed="false">
      <c r="A6426" s="1" t="s">
        <v>1028</v>
      </c>
      <c r="B6426" s="0" t="s">
        <v>168</v>
      </c>
      <c r="E6426" s="7" t="n">
        <f aca="false">Sens!E6425/Sens!D6425-1</f>
        <v>0.0644329896907216</v>
      </c>
      <c r="F6426" s="7" t="n">
        <f aca="false">Sens!$E$6426+(glt_fro-Sens!$E$6426)*MIN(1,(Sens!F6371-base_fy)/n_conv)</f>
        <v>0.065360824742268</v>
      </c>
      <c r="G6426" s="7" t="n">
        <f aca="false">Sens!$E$6426+(glt_fro-Sens!$E$6426)*MIN(1,(Sens!G6371-base_fy)/n_conv)</f>
        <v>0.0662886597938144</v>
      </c>
      <c r="H6426" s="7" t="n">
        <f aca="false">Sens!$E$6426+(glt_fro-Sens!$E$6426)*MIN(1,(Sens!H6371-base_fy)/n_conv)</f>
        <v>0.0672164948453608</v>
      </c>
      <c r="I6426" s="7" t="n">
        <f aca="false">Sens!$E$6426+(glt_fro-Sens!$E$6426)*MIN(1,(Sens!I6371-base_fy)/n_conv)</f>
        <v>0.0681443298969072</v>
      </c>
      <c r="J6426" s="7" t="n">
        <f aca="false">Sens!$E$6426+(glt_fro-Sens!$E$6426)*MIN(1,(Sens!J6371-base_fy)/n_conv)</f>
        <v>0.0690721649484536</v>
      </c>
      <c r="K6426" s="7" t="n">
        <f aca="false">Sens!$E$6426+(glt_fro-Sens!$E$6426)*MIN(1,(Sens!K6371-base_fy)/n_conv)</f>
        <v>0.07</v>
      </c>
    </row>
    <row r="6427" customFormat="false" ht="15" hidden="false" customHeight="false" outlineLevel="0" collapsed="false">
      <c r="A6427" s="0" t="s">
        <v>856</v>
      </c>
      <c r="B6427" s="0" t="s">
        <v>98</v>
      </c>
      <c r="D6427" s="6" t="n">
        <f aca="false">Sens!D6415+Sens!D6420+Sens!D6421+Sens!D6423+Sens!D6425</f>
        <v>218.783</v>
      </c>
      <c r="E6427" s="6" t="n">
        <f aca="false">Sens!E6415+Sens!E6420+Sens!E6421+Sens!E6423+Sens!E6425</f>
        <v>268.127</v>
      </c>
      <c r="F6427" s="6" t="n">
        <f aca="false">Sens!F6415+Sens!F6420+Sens!F6421+Sens!F6423+Sens!F6425</f>
        <v>335.218825070376</v>
      </c>
      <c r="G6427" s="6" t="n">
        <f aca="false">Sens!G6415+Sens!G6420+Sens!G6421+Sens!G6423+Sens!G6425</f>
        <v>411.363104148734</v>
      </c>
      <c r="H6427" s="6" t="n">
        <f aca="false">Sens!H6415+Sens!H6420+Sens!H6421+Sens!H6423+Sens!H6425</f>
        <v>488.894790346403</v>
      </c>
      <c r="I6427" s="6" t="n">
        <f aca="false">Sens!I6415+Sens!I6420+Sens!I6421+Sens!I6423+Sens!I6425</f>
        <v>559.574449351794</v>
      </c>
      <c r="J6427" s="6" t="n">
        <f aca="false">Sens!J6415+Sens!J6420+Sens!J6421+Sens!J6423+Sens!J6425</f>
        <v>616.615038405559</v>
      </c>
      <c r="K6427" s="6" t="n">
        <f aca="false">Sens!K6415+Sens!K6420+Sens!K6421+Sens!K6423+Sens!K6425</f>
        <v>661.663483535437</v>
      </c>
    </row>
    <row r="6428" customFormat="false" ht="17.15" hidden="false" customHeight="false" outlineLevel="0" collapsed="false">
      <c r="A6428" s="0" t="s">
        <v>1041</v>
      </c>
      <c r="B6428" s="0" t="s">
        <v>98</v>
      </c>
      <c r="D6428" s="6" t="n">
        <f aca="false">Q!L13</f>
        <v>22.171</v>
      </c>
      <c r="E6428" s="6" t="n">
        <f aca="false">Q!M13</f>
        <v>24.835</v>
      </c>
      <c r="F6428" s="6" t="n">
        <f aca="false">Q!$I$13+(Q!M13-Q!$E$13)*(1+Sens!F6429)</f>
        <v>27.5591895660247</v>
      </c>
      <c r="G6428" s="6" t="n">
        <f aca="false">Sens!F6428*(1+Sens!G6429)</f>
        <v>30.4098563144583</v>
      </c>
      <c r="H6428" s="6" t="n">
        <f aca="false">Sens!G6428*(1+Sens!H6429)</f>
        <v>33.3011792571777</v>
      </c>
      <c r="I6428" s="6" t="n">
        <f aca="false">Sens!H6428*(1+Sens!I6429)</f>
        <v>36.189023797112</v>
      </c>
      <c r="J6428" s="6" t="n">
        <f aca="false">Sens!I6428*(1+Sens!J6429)</f>
        <v>39.0247773769199</v>
      </c>
      <c r="K6428" s="6" t="n">
        <f aca="false">Sens!J6428*(1+Sens!K6429)</f>
        <v>41.7565117933043</v>
      </c>
      <c r="L6428" s="12" t="s">
        <v>1038</v>
      </c>
    </row>
    <row r="6429" customFormat="false" ht="15" hidden="false" customHeight="false" outlineLevel="0" collapsed="false">
      <c r="A6429" s="1" t="s">
        <v>1028</v>
      </c>
      <c r="B6429" s="0" t="s">
        <v>168</v>
      </c>
      <c r="E6429" s="7" t="n">
        <f aca="false">Sens!E6428/Sens!D6428-1</f>
        <v>0.120156961796942</v>
      </c>
      <c r="F6429" s="7" t="n">
        <f aca="false">Sens!$E$6429+(glt_srch-Sens!$E$6429)*MIN(1,(Sens!F6371-base_fy)/n_conv)</f>
        <v>0.111797468164118</v>
      </c>
      <c r="G6429" s="7" t="n">
        <f aca="false">Sens!$E$6429+(glt_srch-Sens!$E$6429)*MIN(1,(Sens!G6371-base_fy)/n_conv)</f>
        <v>0.103437974531295</v>
      </c>
      <c r="H6429" s="7" t="n">
        <f aca="false">Sens!$E$6429+(glt_srch-Sens!$E$6429)*MIN(1,(Sens!H6371-base_fy)/n_conv)</f>
        <v>0.095078480898471</v>
      </c>
      <c r="I6429" s="7" t="n">
        <f aca="false">Sens!$E$6429+(glt_srch-Sens!$E$6429)*MIN(1,(Sens!I6371-base_fy)/n_conv)</f>
        <v>0.0867189872656474</v>
      </c>
      <c r="J6429" s="7" t="n">
        <f aca="false">Sens!$E$6429+(glt_srch-Sens!$E$6429)*MIN(1,(Sens!J6371-base_fy)/n_conv)</f>
        <v>0.0783594936328237</v>
      </c>
      <c r="K6429" s="7" t="n">
        <f aca="false">Sens!$E$6429+(glt_srch-Sens!$E$6429)*MIN(1,(Sens!K6371-base_fy)/n_conv)</f>
        <v>0.07</v>
      </c>
    </row>
    <row r="6430" customFormat="false" ht="17.15" hidden="false" customHeight="false" outlineLevel="0" collapsed="false">
      <c r="A6430" s="0" t="s">
        <v>1042</v>
      </c>
      <c r="B6430" s="0" t="s">
        <v>98</v>
      </c>
      <c r="D6430" s="6" t="n">
        <f aca="false">Q!L14</f>
        <v>23.455</v>
      </c>
      <c r="E6430" s="6" t="n">
        <f aca="false">Q!M14</f>
        <v>21.79</v>
      </c>
      <c r="F6430" s="6" t="n">
        <f aca="false">Q!$I$14+(Q!M14-Q!$E$14)*(1+Sens!F6431)</f>
        <v>20.7520981041711</v>
      </c>
      <c r="G6430" s="6" t="n">
        <f aca="false">Sens!F6430*(1+Sens!G6431)</f>
        <v>19.9083593495882</v>
      </c>
      <c r="H6430" s="6" t="n">
        <f aca="false">Sens!G6430*(1+Sens!H6431)</f>
        <v>19.4008256265831</v>
      </c>
      <c r="I6430" s="6" t="n">
        <f aca="false">Sens!H6430*(1+Sens!I6431)</f>
        <v>19.200434522122</v>
      </c>
      <c r="J6430" s="6" t="n">
        <f aca="false">Sens!I6430*(1+Sens!J6431)</f>
        <v>19.2932782348507</v>
      </c>
      <c r="K6430" s="6" t="n">
        <f aca="false">Sens!J6430*(1+Sens!K6431)</f>
        <v>19.6791437995477</v>
      </c>
      <c r="L6430" s="12" t="s">
        <v>1038</v>
      </c>
    </row>
    <row r="6431" customFormat="false" ht="15" hidden="false" customHeight="false" outlineLevel="0" collapsed="false">
      <c r="A6431" s="1" t="s">
        <v>1028</v>
      </c>
      <c r="B6431" s="0" t="s">
        <v>168</v>
      </c>
      <c r="E6431" s="7" t="n">
        <f aca="false">Sens!E6430/Sens!D6430-1</f>
        <v>-0.0709869963760392</v>
      </c>
      <c r="F6431" s="7" t="n">
        <f aca="false">Sens!$E$6431+(glt_xbox-Sens!$E$6431)*MIN(1,(Sens!F6371-base_fy)/n_conv)</f>
        <v>-0.0558224969800327</v>
      </c>
      <c r="G6431" s="7" t="n">
        <f aca="false">Sens!$E$6431+(glt_xbox-Sens!$E$6431)*MIN(1,(Sens!G6371-base_fy)/n_conv)</f>
        <v>-0.0406579975840262</v>
      </c>
      <c r="H6431" s="7" t="n">
        <f aca="false">Sens!$E$6431+(glt_xbox-Sens!$E$6431)*MIN(1,(Sens!H6371-base_fy)/n_conv)</f>
        <v>-0.0254934981880196</v>
      </c>
      <c r="I6431" s="7" t="n">
        <f aca="false">Sens!$E$6431+(glt_xbox-Sens!$E$6431)*MIN(1,(Sens!I6371-base_fy)/n_conv)</f>
        <v>-0.0103289987920131</v>
      </c>
      <c r="J6431" s="7" t="n">
        <f aca="false">Sens!$E$6431+(glt_xbox-Sens!$E$6431)*MIN(1,(Sens!J6371-base_fy)/n_conv)</f>
        <v>0.00483550060399347</v>
      </c>
      <c r="K6431" s="7" t="n">
        <f aca="false">Sens!$E$6431+(glt_xbox-Sens!$E$6431)*MIN(1,(Sens!K6371-base_fy)/n_conv)</f>
        <v>0.02</v>
      </c>
    </row>
    <row r="6432" customFormat="false" ht="17.15" hidden="false" customHeight="false" outlineLevel="0" collapsed="false">
      <c r="A6432" s="0" t="s">
        <v>1043</v>
      </c>
      <c r="B6432" s="0" t="s">
        <v>98</v>
      </c>
      <c r="D6432" s="6" t="n">
        <f aca="false">Q!L15</f>
        <v>17.315</v>
      </c>
      <c r="E6432" s="6" t="n">
        <f aca="false">Q!M15</f>
        <v>17.087</v>
      </c>
      <c r="F6432" s="6" t="n">
        <f aca="false">Q!$I$15+(Q!M15-Q!$E$15)*(1+Sens!F6433)</f>
        <v>15.9912273250553</v>
      </c>
      <c r="G6432" s="6" t="n">
        <f aca="false">Sens!F6432*(1+Sens!G6433)</f>
        <v>15.9574562664827</v>
      </c>
      <c r="H6432" s="6" t="n">
        <f aca="false">Sens!G6432*(1+Sens!H6433)</f>
        <v>16.0119687434196</v>
      </c>
      <c r="I6432" s="6" t="n">
        <f aca="false">Sens!H6432*(1+Sens!I6433)</f>
        <v>16.1551810001948</v>
      </c>
      <c r="J6432" s="6" t="n">
        <f aca="false">Sens!I6432*(1+Sens!J6433)</f>
        <v>16.3889793892005</v>
      </c>
      <c r="K6432" s="6" t="n">
        <f aca="false">Sens!J6432*(1+Sens!K6433)</f>
        <v>16.7167589769845</v>
      </c>
      <c r="L6432" s="12" t="s">
        <v>1038</v>
      </c>
    </row>
    <row r="6433" customFormat="false" ht="15" hidden="false" customHeight="false" outlineLevel="0" collapsed="false">
      <c r="A6433" s="1" t="s">
        <v>1028</v>
      </c>
      <c r="B6433" s="0" t="s">
        <v>168</v>
      </c>
      <c r="E6433" s="7" t="n">
        <f aca="false">Sens!E6432/Sens!D6432-1</f>
        <v>-0.0131677736066995</v>
      </c>
      <c r="F6433" s="7" t="n">
        <f aca="false">Sens!$E$6433+(glt_win-Sens!$E$6433)*MIN(1,(Sens!F6371-base_fy)/n_conv)</f>
        <v>-0.00763981133891627</v>
      </c>
      <c r="G6433" s="7" t="n">
        <f aca="false">Sens!$E$6433+(glt_win-Sens!$E$6433)*MIN(1,(Sens!G6371-base_fy)/n_conv)</f>
        <v>-0.00211184907113301</v>
      </c>
      <c r="H6433" s="7" t="n">
        <f aca="false">Sens!$E$6433+(glt_win-Sens!$E$6433)*MIN(1,(Sens!H6371-base_fy)/n_conv)</f>
        <v>0.00341611319665024</v>
      </c>
      <c r="I6433" s="7" t="n">
        <f aca="false">Sens!$E$6433+(glt_win-Sens!$E$6433)*MIN(1,(Sens!I6371-base_fy)/n_conv)</f>
        <v>0.00894407546443349</v>
      </c>
      <c r="J6433" s="7" t="n">
        <f aca="false">Sens!$E$6433+(glt_win-Sens!$E$6433)*MIN(1,(Sens!J6371-base_fy)/n_conv)</f>
        <v>0.0144720377322168</v>
      </c>
      <c r="K6433" s="7" t="n">
        <f aca="false">Sens!$E$6433+(glt_win-Sens!$E$6433)*MIN(1,(Sens!K6371-base_fy)/n_conv)</f>
        <v>0.02</v>
      </c>
    </row>
    <row r="6434" customFormat="false" ht="15" hidden="false" customHeight="false" outlineLevel="0" collapsed="false">
      <c r="A6434" s="0" t="s">
        <v>870</v>
      </c>
      <c r="B6434" s="0" t="s">
        <v>98</v>
      </c>
      <c r="D6434" s="6" t="n">
        <f aca="false">Sens!D6428+Sens!D6430+Sens!D6432</f>
        <v>62.941</v>
      </c>
      <c r="E6434" s="6" t="n">
        <f aca="false">Sens!E6428+Sens!E6430+Sens!E6432</f>
        <v>63.712</v>
      </c>
      <c r="F6434" s="6" t="n">
        <f aca="false">Sens!F6428+Sens!F6430+Sens!F6432</f>
        <v>64.3025149952511</v>
      </c>
      <c r="G6434" s="6" t="n">
        <f aca="false">Sens!G6428+Sens!G6430+Sens!G6432</f>
        <v>66.2756719305292</v>
      </c>
      <c r="H6434" s="6" t="n">
        <f aca="false">Sens!H6428+Sens!H6430+Sens!H6432</f>
        <v>68.7139736271804</v>
      </c>
      <c r="I6434" s="6" t="n">
        <f aca="false">Sens!I6428+Sens!I6430+Sens!I6432</f>
        <v>71.5446393194289</v>
      </c>
      <c r="J6434" s="6" t="n">
        <f aca="false">Sens!J6428+Sens!J6430+Sens!J6432</f>
        <v>74.707035000971</v>
      </c>
      <c r="K6434" s="6" t="n">
        <f aca="false">Sens!K6428+Sens!K6430+Sens!K6432</f>
        <v>78.1524145698365</v>
      </c>
    </row>
    <row r="6435" customFormat="false" ht="15" hidden="false" customHeight="false" outlineLevel="0" collapsed="false">
      <c r="A6435" s="1" t="s">
        <v>1044</v>
      </c>
      <c r="B6435" s="0" t="s">
        <v>98</v>
      </c>
      <c r="D6435" s="6" t="n">
        <f aca="false">Sens!D6427+Sens!D6434</f>
        <v>281.724</v>
      </c>
      <c r="E6435" s="6" t="n">
        <f aca="false">Sens!E6427+Sens!E6434</f>
        <v>331.839</v>
      </c>
      <c r="F6435" s="6" t="n">
        <f aca="false">Sens!F6427+Sens!F6434</f>
        <v>399.521340065628</v>
      </c>
      <c r="G6435" s="6" t="n">
        <f aca="false">Sens!G6427+Sens!G6434</f>
        <v>477.638776079263</v>
      </c>
      <c r="H6435" s="6" t="n">
        <f aca="false">Sens!H6427+Sens!H6434</f>
        <v>557.608763973584</v>
      </c>
      <c r="I6435" s="6" t="n">
        <f aca="false">Sens!I6427+Sens!I6434</f>
        <v>631.119088671222</v>
      </c>
      <c r="J6435" s="6" t="n">
        <f aca="false">Sens!J6427+Sens!J6434</f>
        <v>691.32207340653</v>
      </c>
      <c r="K6435" s="6" t="n">
        <f aca="false">Sens!K6427+Sens!K6434</f>
        <v>739.815898105274</v>
      </c>
    </row>
    <row r="6436" customFormat="false" ht="15" hidden="false" customHeight="false" outlineLevel="0" collapsed="false">
      <c r="A6436" s="26" t="s">
        <v>1045</v>
      </c>
      <c r="B6436" s="31" t="s">
        <v>98</v>
      </c>
      <c r="C6436" s="31"/>
      <c r="D6436" s="27" t="n">
        <f aca="false">(Sens!D6415+Sens!D6420+Sens!D6421+Sens!D6423+Sens!D6425-Sens!D6427)+(Sens!D6428+Sens!D6430+Sens!D6432-Sens!D6434)+(Sens!D6427-Q!L5)+(Sens!D6434-Q!L12)+(Sens!D6415-Q!L6)+(Sens!D6420-Q!L7)</f>
        <v>0</v>
      </c>
      <c r="E6436" s="27" t="n">
        <f aca="false">(Sens!E6415+Sens!E6420+Sens!E6421+Sens!E6423+Sens!E6425-Sens!E6427)+(Sens!E6428+Sens!E6430+Sens!E6432-Sens!E6434)+(Sens!E6427-Q!M5)+(Sens!E6434-Q!M12)+(Sens!E6415-Q!M6)+(Sens!E6420-Q!M7)</f>
        <v>0</v>
      </c>
      <c r="F6436" s="27" t="n">
        <f aca="false">(Sens!F6415+Sens!F6420+Sens!F6421+Sens!F6423+Sens!F6425-Sens!F6427)+(Sens!F6428+Sens!F6430+Sens!F6432-Sens!F6434)</f>
        <v>0</v>
      </c>
      <c r="G6436" s="27" t="n">
        <f aca="false">(Sens!G6415+Sens!G6420+Sens!G6421+Sens!G6423+Sens!G6425-Sens!G6427)+(Sens!G6428+Sens!G6430+Sens!G6432-Sens!G6434)</f>
        <v>0</v>
      </c>
      <c r="H6436" s="27" t="n">
        <f aca="false">(Sens!H6415+Sens!H6420+Sens!H6421+Sens!H6423+Sens!H6425-Sens!H6427)+(Sens!H6428+Sens!H6430+Sens!H6432-Sens!H6434)</f>
        <v>0</v>
      </c>
      <c r="I6436" s="27" t="n">
        <f aca="false">(Sens!I6415+Sens!I6420+Sens!I6421+Sens!I6423+Sens!I6425-Sens!I6427)+(Sens!I6428+Sens!I6430+Sens!I6432-Sens!I6434)</f>
        <v>0</v>
      </c>
      <c r="J6436" s="27" t="n">
        <f aca="false">(Sens!J6415+Sens!J6420+Sens!J6421+Sens!J6423+Sens!J6425-Sens!J6427)+(Sens!J6428+Sens!J6430+Sens!J6432-Sens!J6434)</f>
        <v>0</v>
      </c>
      <c r="K6436" s="27" t="n">
        <f aca="false">(Sens!K6415+Sens!K6420+Sens!K6421+Sens!K6423+Sens!K6425-Sens!K6427)+(Sens!K6428+Sens!K6430+Sens!K6432-Sens!K6434)</f>
        <v>0</v>
      </c>
    </row>
    <row r="6437" customFormat="false" ht="17.15" hidden="false" customHeight="false" outlineLevel="0" collapsed="false">
      <c r="A6437" s="3" t="s">
        <v>1772</v>
      </c>
    </row>
    <row r="6438" customFormat="false" ht="15" hidden="false" customHeight="false" outlineLevel="0" collapsed="false">
      <c r="A6438" s="4" t="s">
        <v>43</v>
      </c>
      <c r="B6438" s="4" t="s">
        <v>65</v>
      </c>
      <c r="C6438" s="23" t="s">
        <v>942</v>
      </c>
      <c r="D6438" s="23" t="s">
        <v>943</v>
      </c>
      <c r="E6438" s="23" t="s">
        <v>944</v>
      </c>
      <c r="F6438" s="23" t="s">
        <v>945</v>
      </c>
      <c r="G6438" s="23" t="s">
        <v>946</v>
      </c>
      <c r="H6438" s="23" t="s">
        <v>947</v>
      </c>
      <c r="I6438" s="23" t="s">
        <v>948</v>
      </c>
      <c r="J6438" s="23" t="s">
        <v>949</v>
      </c>
      <c r="K6438" s="23" t="s">
        <v>950</v>
      </c>
      <c r="L6438" s="4" t="s">
        <v>47</v>
      </c>
    </row>
    <row r="6439" customFormat="false" ht="15" hidden="false" customHeight="false" outlineLevel="0" collapsed="false">
      <c r="A6439" s="0" t="s">
        <v>1029</v>
      </c>
      <c r="B6439" s="0" t="s">
        <v>98</v>
      </c>
      <c r="D6439" s="6" t="n">
        <f aca="false">Sens!D6415</f>
        <v>72.61</v>
      </c>
      <c r="E6439" s="6" t="n">
        <f aca="false">Sens!E6415</f>
        <v>101.938</v>
      </c>
      <c r="F6439" s="6" t="n">
        <f aca="false">Sens!F6415</f>
        <v>147.179777056221</v>
      </c>
      <c r="G6439" s="6" t="n">
        <f aca="false">Sens!G6415</f>
        <v>200.923499060437</v>
      </c>
      <c r="H6439" s="6" t="n">
        <f aca="false">Sens!H6415</f>
        <v>256.028498493109</v>
      </c>
      <c r="I6439" s="6" t="n">
        <f aca="false">Sens!I6415</f>
        <v>306.050967337946</v>
      </c>
      <c r="J6439" s="6" t="n">
        <f aca="false">Sens!J6415</f>
        <v>344.522935848175</v>
      </c>
      <c r="K6439" s="6" t="n">
        <f aca="false">Sens!K6415</f>
        <v>371.923370664359</v>
      </c>
    </row>
    <row r="6440" customFormat="false" ht="17.15" hidden="false" customHeight="false" outlineLevel="0" collapsed="false">
      <c r="A6440" s="0" t="s">
        <v>1025</v>
      </c>
      <c r="B6440" s="0" t="s">
        <v>98</v>
      </c>
      <c r="D6440" s="6" t="n">
        <f aca="false">Sens!D6412</f>
        <v>12.9359794422418</v>
      </c>
      <c r="E6440" s="6" t="n">
        <f aca="false">Sens!E6412</f>
        <v>27.8095064661409</v>
      </c>
      <c r="F6440" s="6" t="n">
        <f aca="false">Sens!F6412</f>
        <v>56.015008951789</v>
      </c>
      <c r="G6440" s="6" t="n">
        <f aca="false">Sens!G6412</f>
        <v>92.6061477220973</v>
      </c>
      <c r="H6440" s="6" t="n">
        <f aca="false">Sens!H6412</f>
        <v>130.259928380352</v>
      </c>
      <c r="I6440" s="6" t="n">
        <f aca="false">Sens!I6412</f>
        <v>163.420023013482</v>
      </c>
      <c r="J6440" s="6" t="n">
        <f aca="false">Sens!J6412</f>
        <v>186.62515837276</v>
      </c>
      <c r="K6440" s="6" t="n">
        <f aca="false">Sens!K6412</f>
        <v>201.393770990911</v>
      </c>
    </row>
    <row r="6441" customFormat="false" ht="17.15" hidden="false" customHeight="false" outlineLevel="0" collapsed="false">
      <c r="A6441" s="0" t="s">
        <v>1056</v>
      </c>
      <c r="B6441" s="0" t="s">
        <v>98</v>
      </c>
      <c r="D6441" s="6" t="n">
        <f aca="false">Sens!D6413</f>
        <v>59.6740205577583</v>
      </c>
      <c r="E6441" s="6" t="n">
        <f aca="false">Sens!E6413</f>
        <v>74.1284935338591</v>
      </c>
      <c r="F6441" s="6" t="n">
        <f aca="false">Sens!F6413</f>
        <v>91.1647681044321</v>
      </c>
      <c r="G6441" s="6" t="n">
        <f aca="false">Sens!G6413</f>
        <v>108.31735133834</v>
      </c>
      <c r="H6441" s="6" t="n">
        <f aca="false">Sens!H6413</f>
        <v>125.768570112756</v>
      </c>
      <c r="I6441" s="6" t="n">
        <f aca="false">Sens!I6413</f>
        <v>142.630944324464</v>
      </c>
      <c r="J6441" s="6" t="n">
        <f aca="false">Sens!J6413</f>
        <v>157.897777475414</v>
      </c>
      <c r="K6441" s="6" t="n">
        <f aca="false">Sens!K6413</f>
        <v>170.529599673448</v>
      </c>
    </row>
    <row r="6442" customFormat="false" ht="15" hidden="false" customHeight="false" outlineLevel="0" collapsed="false">
      <c r="A6442" s="0" t="s">
        <v>1036</v>
      </c>
      <c r="B6442" s="0" t="s">
        <v>98</v>
      </c>
      <c r="D6442" s="6" t="n">
        <f aca="false">Sens!D6420</f>
        <v>84.605</v>
      </c>
      <c r="E6442" s="6" t="n">
        <f aca="false">Sens!E6420</f>
        <v>100.299</v>
      </c>
      <c r="F6442" s="6" t="n">
        <f aca="false">Sens!F6420</f>
        <v>118.584003697747</v>
      </c>
      <c r="G6442" s="6" t="n">
        <f aca="false">Sens!G6420</f>
        <v>136.700726545688</v>
      </c>
      <c r="H6442" s="6" t="n">
        <f aca="false">Sens!H6420</f>
        <v>154.898624783666</v>
      </c>
      <c r="I6442" s="6" t="n">
        <f aca="false">Sens!I6420</f>
        <v>171.420510030657</v>
      </c>
      <c r="J6442" s="6" t="n">
        <f aca="false">Sens!J6420</f>
        <v>185.985722618572</v>
      </c>
      <c r="K6442" s="6" t="n">
        <f aca="false">Sens!K6420</f>
        <v>199.799723201872</v>
      </c>
    </row>
    <row r="6443" customFormat="false" ht="17.15" hidden="false" customHeight="false" outlineLevel="0" collapsed="false">
      <c r="A6443" s="0" t="s">
        <v>1057</v>
      </c>
      <c r="B6443" s="0" t="s">
        <v>98</v>
      </c>
      <c r="D6443" s="6" t="n">
        <f aca="false">Sens!D6418</f>
        <v>83.705</v>
      </c>
      <c r="E6443" s="6" t="n">
        <f aca="false">Sens!E6418</f>
        <v>95.049</v>
      </c>
      <c r="F6443" s="6" t="n">
        <f aca="false">Sens!F6418</f>
        <v>106.584003697747</v>
      </c>
      <c r="G6443" s="6" t="n">
        <f aca="false">Sens!G6418</f>
        <v>118.700726545688</v>
      </c>
      <c r="H6443" s="6" t="n">
        <f aca="false">Sens!H6418</f>
        <v>130.898624783666</v>
      </c>
      <c r="I6443" s="6" t="n">
        <f aca="false">Sens!I6418</f>
        <v>142.920510030657</v>
      </c>
      <c r="J6443" s="6" t="n">
        <f aca="false">Sens!J6418</f>
        <v>154.485722618572</v>
      </c>
      <c r="K6443" s="6" t="n">
        <f aca="false">Sens!K6418</f>
        <v>165.299723201872</v>
      </c>
    </row>
    <row r="6444" customFormat="false" ht="17.15" hidden="false" customHeight="false" outlineLevel="0" collapsed="false">
      <c r="A6444" s="0" t="s">
        <v>1058</v>
      </c>
      <c r="B6444" s="0" t="s">
        <v>98</v>
      </c>
      <c r="D6444" s="6" t="n">
        <f aca="false">Sens!D6417</f>
        <v>0.9</v>
      </c>
      <c r="E6444" s="6" t="n">
        <f aca="false">Sens!E6417</f>
        <v>5.25</v>
      </c>
      <c r="F6444" s="6" t="n">
        <f aca="false">Sens!F6417</f>
        <v>12</v>
      </c>
      <c r="G6444" s="6" t="n">
        <f aca="false">Sens!G6417</f>
        <v>18</v>
      </c>
      <c r="H6444" s="6" t="n">
        <f aca="false">Sens!H6417</f>
        <v>24</v>
      </c>
      <c r="I6444" s="6" t="n">
        <f aca="false">Sens!I6417</f>
        <v>28.5</v>
      </c>
      <c r="J6444" s="6" t="n">
        <f aca="false">Sens!J6417</f>
        <v>31.5</v>
      </c>
      <c r="K6444" s="6" t="n">
        <f aca="false">Sens!K6417</f>
        <v>34.5</v>
      </c>
    </row>
    <row r="6445" customFormat="false" ht="15" hidden="false" customHeight="false" outlineLevel="0" collapsed="false">
      <c r="A6445" s="0" t="s">
        <v>1037</v>
      </c>
      <c r="B6445" s="0" t="s">
        <v>98</v>
      </c>
      <c r="D6445" s="6" t="n">
        <f aca="false">Sens!D6421</f>
        <v>35.391</v>
      </c>
      <c r="E6445" s="6" t="n">
        <f aca="false">Sens!E6421</f>
        <v>37.285</v>
      </c>
      <c r="F6445" s="6" t="n">
        <f aca="false">Sens!F6421</f>
        <v>38.3851437782675</v>
      </c>
      <c r="G6445" s="6" t="n">
        <f aca="false">Sens!G6421</f>
        <v>40.0105353288615</v>
      </c>
      <c r="H6445" s="6" t="n">
        <f aca="false">Sens!H6421</f>
        <v>41.4812512033683</v>
      </c>
      <c r="I6445" s="6" t="n">
        <f aca="false">Sens!I6421</f>
        <v>42.7743107216329</v>
      </c>
      <c r="J6445" s="6" t="n">
        <f aca="false">Sens!J6421</f>
        <v>43.8687373064601</v>
      </c>
      <c r="K6445" s="6" t="n">
        <f aca="false">Sens!K6421</f>
        <v>44.7461120525893</v>
      </c>
    </row>
    <row r="6446" customFormat="false" ht="15" hidden="false" customHeight="false" outlineLevel="0" collapsed="false">
      <c r="A6446" s="0" t="s">
        <v>1039</v>
      </c>
      <c r="B6446" s="0" t="s">
        <v>98</v>
      </c>
      <c r="D6446" s="6" t="n">
        <f aca="false">Sens!D6423</f>
        <v>18.417</v>
      </c>
      <c r="E6446" s="6" t="n">
        <f aca="false">Sens!E6423</f>
        <v>20.345</v>
      </c>
      <c r="F6446" s="6" t="n">
        <f aca="false">Sens!F6423</f>
        <v>22.3161797133988</v>
      </c>
      <c r="G6446" s="6" t="n">
        <f aca="false">Sens!G6423</f>
        <v>24.3943499673233</v>
      </c>
      <c r="H6446" s="6" t="n">
        <f aca="false">Sens!H6423</f>
        <v>26.5250243109019</v>
      </c>
      <c r="I6446" s="6" t="n">
        <f aca="false">Sens!I6423</f>
        <v>28.6884573538181</v>
      </c>
      <c r="J6446" s="6" t="n">
        <f aca="false">Sens!J6423</f>
        <v>30.8624968052127</v>
      </c>
      <c r="K6446" s="6" t="n">
        <f aca="false">Sens!K6423</f>
        <v>33.0228715815776</v>
      </c>
    </row>
    <row r="6447" customFormat="false" ht="15" hidden="false" customHeight="false" outlineLevel="0" collapsed="false">
      <c r="A6447" s="0" t="s">
        <v>1040</v>
      </c>
      <c r="B6447" s="0" t="s">
        <v>98</v>
      </c>
      <c r="D6447" s="6" t="n">
        <f aca="false">Sens!D6425</f>
        <v>7.76</v>
      </c>
      <c r="E6447" s="6" t="n">
        <f aca="false">Sens!E6425</f>
        <v>8.26</v>
      </c>
      <c r="F6447" s="6" t="n">
        <f aca="false">Sens!F6425</f>
        <v>8.75372082474227</v>
      </c>
      <c r="G6447" s="6" t="n">
        <f aca="false">Sens!G6425</f>
        <v>9.33399324642364</v>
      </c>
      <c r="H6447" s="6" t="n">
        <f aca="false">Sens!H6425</f>
        <v>9.96139155535851</v>
      </c>
      <c r="I6447" s="6" t="n">
        <f aca="false">Sens!I6425</f>
        <v>10.6402039077391</v>
      </c>
      <c r="J6447" s="6" t="n">
        <f aca="false">Sens!J6425</f>
        <v>11.3751458271397</v>
      </c>
      <c r="K6447" s="6" t="n">
        <f aca="false">Sens!K6425</f>
        <v>12.1714060350394</v>
      </c>
    </row>
    <row r="6448" customFormat="false" ht="15" hidden="false" customHeight="false" outlineLevel="0" collapsed="false">
      <c r="A6448" s="0" t="s">
        <v>856</v>
      </c>
      <c r="B6448" s="0" t="s">
        <v>98</v>
      </c>
      <c r="D6448" s="6" t="n">
        <f aca="false">Sens!D6427</f>
        <v>218.783</v>
      </c>
      <c r="E6448" s="6" t="n">
        <f aca="false">Sens!E6427</f>
        <v>268.127</v>
      </c>
      <c r="F6448" s="6" t="n">
        <f aca="false">Sens!F6427</f>
        <v>335.218825070376</v>
      </c>
      <c r="G6448" s="6" t="n">
        <f aca="false">Sens!G6427</f>
        <v>411.363104148734</v>
      </c>
      <c r="H6448" s="6" t="n">
        <f aca="false">Sens!H6427</f>
        <v>488.894790346403</v>
      </c>
      <c r="I6448" s="6" t="n">
        <f aca="false">Sens!I6427</f>
        <v>559.574449351794</v>
      </c>
      <c r="J6448" s="6" t="n">
        <f aca="false">Sens!J6427</f>
        <v>616.615038405559</v>
      </c>
      <c r="K6448" s="6" t="n">
        <f aca="false">Sens!K6427</f>
        <v>661.663483535437</v>
      </c>
    </row>
    <row r="6449" customFormat="false" ht="15" hidden="false" customHeight="false" outlineLevel="0" collapsed="false">
      <c r="A6449" s="0" t="s">
        <v>1041</v>
      </c>
      <c r="B6449" s="0" t="s">
        <v>98</v>
      </c>
      <c r="D6449" s="6" t="n">
        <f aca="false">Sens!D6428</f>
        <v>22.171</v>
      </c>
      <c r="E6449" s="6" t="n">
        <f aca="false">Sens!E6428</f>
        <v>24.835</v>
      </c>
      <c r="F6449" s="6" t="n">
        <f aca="false">Sens!F6428</f>
        <v>27.5591895660247</v>
      </c>
      <c r="G6449" s="6" t="n">
        <f aca="false">Sens!G6428</f>
        <v>30.4098563144583</v>
      </c>
      <c r="H6449" s="6" t="n">
        <f aca="false">Sens!H6428</f>
        <v>33.3011792571777</v>
      </c>
      <c r="I6449" s="6" t="n">
        <f aca="false">Sens!I6428</f>
        <v>36.189023797112</v>
      </c>
      <c r="J6449" s="6" t="n">
        <f aca="false">Sens!J6428</f>
        <v>39.0247773769199</v>
      </c>
      <c r="K6449" s="6" t="n">
        <f aca="false">Sens!K6428</f>
        <v>41.7565117933043</v>
      </c>
    </row>
    <row r="6450" customFormat="false" ht="15" hidden="false" customHeight="false" outlineLevel="0" collapsed="false">
      <c r="A6450" s="0" t="s">
        <v>1042</v>
      </c>
      <c r="B6450" s="0" t="s">
        <v>98</v>
      </c>
      <c r="D6450" s="6" t="n">
        <f aca="false">Sens!D6430</f>
        <v>23.455</v>
      </c>
      <c r="E6450" s="6" t="n">
        <f aca="false">Sens!E6430</f>
        <v>21.79</v>
      </c>
      <c r="F6450" s="6" t="n">
        <f aca="false">Sens!F6430</f>
        <v>20.7520981041711</v>
      </c>
      <c r="G6450" s="6" t="n">
        <f aca="false">Sens!G6430</f>
        <v>19.9083593495882</v>
      </c>
      <c r="H6450" s="6" t="n">
        <f aca="false">Sens!H6430</f>
        <v>19.4008256265831</v>
      </c>
      <c r="I6450" s="6" t="n">
        <f aca="false">Sens!I6430</f>
        <v>19.200434522122</v>
      </c>
      <c r="J6450" s="6" t="n">
        <f aca="false">Sens!J6430</f>
        <v>19.2932782348507</v>
      </c>
      <c r="K6450" s="6" t="n">
        <f aca="false">Sens!K6430</f>
        <v>19.6791437995477</v>
      </c>
    </row>
    <row r="6451" customFormat="false" ht="15" hidden="false" customHeight="false" outlineLevel="0" collapsed="false">
      <c r="A6451" s="0" t="s">
        <v>1043</v>
      </c>
      <c r="B6451" s="0" t="s">
        <v>98</v>
      </c>
      <c r="D6451" s="6" t="n">
        <f aca="false">Sens!D6432</f>
        <v>17.315</v>
      </c>
      <c r="E6451" s="6" t="n">
        <f aca="false">Sens!E6432</f>
        <v>17.087</v>
      </c>
      <c r="F6451" s="6" t="n">
        <f aca="false">Sens!F6432</f>
        <v>15.9912273250553</v>
      </c>
      <c r="G6451" s="6" t="n">
        <f aca="false">Sens!G6432</f>
        <v>15.9574562664827</v>
      </c>
      <c r="H6451" s="6" t="n">
        <f aca="false">Sens!H6432</f>
        <v>16.0119687434196</v>
      </c>
      <c r="I6451" s="6" t="n">
        <f aca="false">Sens!I6432</f>
        <v>16.1551810001948</v>
      </c>
      <c r="J6451" s="6" t="n">
        <f aca="false">Sens!J6432</f>
        <v>16.3889793892005</v>
      </c>
      <c r="K6451" s="6" t="n">
        <f aca="false">Sens!K6432</f>
        <v>16.7167589769845</v>
      </c>
    </row>
    <row r="6452" customFormat="false" ht="15" hidden="false" customHeight="false" outlineLevel="0" collapsed="false">
      <c r="A6452" s="0" t="s">
        <v>870</v>
      </c>
      <c r="B6452" s="0" t="s">
        <v>98</v>
      </c>
      <c r="D6452" s="6" t="n">
        <f aca="false">Sens!D6434</f>
        <v>62.941</v>
      </c>
      <c r="E6452" s="6" t="n">
        <f aca="false">Sens!E6434</f>
        <v>63.712</v>
      </c>
      <c r="F6452" s="6" t="n">
        <f aca="false">Sens!F6434</f>
        <v>64.3025149952511</v>
      </c>
      <c r="G6452" s="6" t="n">
        <f aca="false">Sens!G6434</f>
        <v>66.2756719305292</v>
      </c>
      <c r="H6452" s="6" t="n">
        <f aca="false">Sens!H6434</f>
        <v>68.7139736271804</v>
      </c>
      <c r="I6452" s="6" t="n">
        <f aca="false">Sens!I6434</f>
        <v>71.5446393194289</v>
      </c>
      <c r="J6452" s="6" t="n">
        <f aca="false">Sens!J6434</f>
        <v>74.707035000971</v>
      </c>
      <c r="K6452" s="6" t="n">
        <f aca="false">Sens!K6434</f>
        <v>78.1524145698365</v>
      </c>
    </row>
    <row r="6453" customFormat="false" ht="15" hidden="false" customHeight="false" outlineLevel="0" collapsed="false">
      <c r="A6453" s="1" t="s">
        <v>1059</v>
      </c>
      <c r="B6453" s="0" t="s">
        <v>98</v>
      </c>
      <c r="D6453" s="6" t="n">
        <f aca="false">Sens!D6435</f>
        <v>281.724</v>
      </c>
      <c r="E6453" s="6" t="n">
        <f aca="false">Sens!E6435</f>
        <v>331.839</v>
      </c>
      <c r="F6453" s="6" t="n">
        <f aca="false">Sens!F6435</f>
        <v>399.521340065628</v>
      </c>
      <c r="G6453" s="6" t="n">
        <f aca="false">Sens!G6435</f>
        <v>477.638776079263</v>
      </c>
      <c r="H6453" s="6" t="n">
        <f aca="false">Sens!H6435</f>
        <v>557.608763973584</v>
      </c>
      <c r="I6453" s="6" t="n">
        <f aca="false">Sens!I6435</f>
        <v>631.119088671222</v>
      </c>
      <c r="J6453" s="6" t="n">
        <f aca="false">Sens!J6435</f>
        <v>691.32207340653</v>
      </c>
      <c r="K6453" s="6" t="n">
        <f aca="false">Sens!K6435</f>
        <v>739.815898105274</v>
      </c>
    </row>
    <row r="6454" customFormat="false" ht="15" hidden="false" customHeight="false" outlineLevel="0" collapsed="false">
      <c r="A6454" s="1" t="s">
        <v>1060</v>
      </c>
      <c r="B6454" s="0" t="s">
        <v>168</v>
      </c>
      <c r="E6454" s="7" t="n">
        <f aca="false">Sens!E6453/Sens!D6453-1</f>
        <v>0.177886867998467</v>
      </c>
      <c r="F6454" s="7" t="n">
        <f aca="false">Sens!F6453/Sens!E6453-1</f>
        <v>0.203961379059205</v>
      </c>
      <c r="G6454" s="7" t="n">
        <f aca="false">Sens!G6453/Sens!F6453-1</f>
        <v>0.195527568066336</v>
      </c>
      <c r="H6454" s="7" t="n">
        <f aca="false">Sens!H6453/Sens!G6453-1</f>
        <v>0.16742775482083</v>
      </c>
      <c r="I6454" s="7" t="n">
        <f aca="false">Sens!I6453/Sens!H6453-1</f>
        <v>0.131831365371297</v>
      </c>
      <c r="J6454" s="7" t="n">
        <f aca="false">Sens!J6453/Sens!I6453-1</f>
        <v>0.0953908474897518</v>
      </c>
      <c r="K6454" s="7" t="n">
        <f aca="false">Sens!K6453/Sens!J6453-1</f>
        <v>0.0701465012679072</v>
      </c>
    </row>
    <row r="6455" customFormat="false" ht="17.15" hidden="false" customHeight="false" outlineLevel="0" collapsed="false">
      <c r="A6455" s="26" t="s">
        <v>1061</v>
      </c>
      <c r="B6455" s="31" t="s">
        <v>98</v>
      </c>
      <c r="C6455" s="31"/>
      <c r="D6455" s="27" t="n">
        <f aca="false">(Sens!D6448+Sens!D6452-Sens!D6453)+(Sens!D6440+Sens!D6441-Sens!D6439)+(Sens!D6443+Sens!D6444-Sens!D6442)+(Sens!D6453-Q!L18)</f>
        <v>0</v>
      </c>
      <c r="E6455" s="27" t="n">
        <f aca="false">(Sens!E6448+Sens!E6452-Sens!E6453)+(Sens!E6440+Sens!E6441-Sens!E6439)+(Sens!E6443+Sens!E6444-Sens!E6442)+(Sens!E6453-Q!M18)</f>
        <v>0</v>
      </c>
      <c r="F6455" s="27" t="n">
        <f aca="false">(Sens!F6448+Sens!F6452-Sens!F6453)+(Sens!F6440+Sens!F6441-Sens!F6439)+(Sens!F6443+Sens!F6444-Sens!F6442)</f>
        <v>0</v>
      </c>
      <c r="G6455" s="27" t="n">
        <f aca="false">(Sens!G6448+Sens!G6452-Sens!G6453)+(Sens!G6440+Sens!G6441-Sens!G6439)+(Sens!G6443+Sens!G6444-Sens!G6442)</f>
        <v>0</v>
      </c>
      <c r="H6455" s="27" t="n">
        <f aca="false">(Sens!H6448+Sens!H6452-Sens!H6453)+(Sens!H6440+Sens!H6441-Sens!H6439)+(Sens!H6443+Sens!H6444-Sens!H6442)</f>
        <v>0</v>
      </c>
      <c r="I6455" s="27" t="n">
        <f aca="false">(Sens!I6448+Sens!I6452-Sens!I6453)+(Sens!I6440+Sens!I6441-Sens!I6439)+(Sens!I6443+Sens!I6444-Sens!I6442)</f>
        <v>0</v>
      </c>
      <c r="J6455" s="27" t="n">
        <f aca="false">(Sens!J6448+Sens!J6452-Sens!J6453)+(Sens!J6440+Sens!J6441-Sens!J6439)+(Sens!J6443+Sens!J6444-Sens!J6442)</f>
        <v>0</v>
      </c>
      <c r="K6455" s="27" t="n">
        <f aca="false">(Sens!K6448+Sens!K6452-Sens!K6453)+(Sens!K6440+Sens!K6441-Sens!K6439)+(Sens!K6443+Sens!K6444-Sens!K6442)</f>
        <v>0</v>
      </c>
    </row>
    <row r="6456" customFormat="false" ht="17.15" hidden="false" customHeight="false" outlineLevel="0" collapsed="false">
      <c r="A6456" s="0" t="s">
        <v>1062</v>
      </c>
      <c r="B6456" s="0" t="s">
        <v>168</v>
      </c>
      <c r="E6456" s="7" t="n">
        <f aca="false">(Q!M21+Sens!E6392+Sens!E6393+Sens!E6394+Sens!E6408-Sens!E6390)/(Q!M5-Sens!E6390)</f>
        <v>0.570957350878296</v>
      </c>
      <c r="F6456" s="7" t="n">
        <f aca="false">Sens!$E$6456+dm_seg</f>
        <v>0.570957350878296</v>
      </c>
      <c r="G6456" s="7" t="n">
        <f aca="false">Sens!$E$6456+dm_seg</f>
        <v>0.570957350878296</v>
      </c>
      <c r="H6456" s="7" t="n">
        <f aca="false">Sens!$E$6456+dm_seg</f>
        <v>0.570957350878296</v>
      </c>
      <c r="I6456" s="7" t="n">
        <f aca="false">Sens!$E$6456+dm_seg</f>
        <v>0.570957350878296</v>
      </c>
      <c r="J6456" s="7" t="n">
        <f aca="false">Sens!$E$6456+dm_seg</f>
        <v>0.570957350878296</v>
      </c>
      <c r="K6456" s="7" t="n">
        <f aca="false">Sens!$E$6456+dm_seg</f>
        <v>0.570957350878296</v>
      </c>
      <c r="L6456" s="12" t="s">
        <v>1063</v>
      </c>
    </row>
    <row r="6457" customFormat="false" ht="17.15" hidden="false" customHeight="false" outlineLevel="0" collapsed="false">
      <c r="A6457" s="0" t="s">
        <v>884</v>
      </c>
      <c r="B6457" s="0" t="s">
        <v>98</v>
      </c>
      <c r="D6457" s="6" t="n">
        <f aca="false">Q!L21</f>
        <v>110.814</v>
      </c>
      <c r="E6457" s="6" t="n">
        <f aca="false">Q!M21</f>
        <v>136.365</v>
      </c>
      <c r="F6457" s="6" t="n">
        <f aca="false">Q!$I$21+(Sens!F6456*(Sens!F6427-Sens!F6390)+Sens!F6390-(Sens!F6392+Sens!F6393+Sens!F6394)-Sens!F6408-Sens!F6491)*(Sens!F6427-Q!$I$5)/Sens!F6427</f>
        <v>162.545350130677</v>
      </c>
      <c r="G6457" s="6" t="n">
        <f aca="false">(Sens!G6456*(Sens!G6427-Sens!G6390)+Sens!G6390-(Sens!G6392+Sens!G6393+Sens!G6394)-Sens!G6408-Sens!G6491)</f>
        <v>178.794706112477</v>
      </c>
      <c r="H6457" s="6" t="n">
        <f aca="false">(Sens!H6456*(Sens!H6427-Sens!H6390)+Sens!H6390-(Sens!H6392+Sens!H6393+Sens!H6394)-Sens!H6408-Sens!H6491)</f>
        <v>198.721868437194</v>
      </c>
      <c r="I6457" s="6" t="n">
        <f aca="false">(Sens!I6456*(Sens!I6427-Sens!I6390)+Sens!I6390-(Sens!I6392+Sens!I6393+Sens!I6394)-Sens!I6408-Sens!I6491)</f>
        <v>217.674079003644</v>
      </c>
      <c r="J6457" s="6" t="n">
        <f aca="false">(Sens!J6456*(Sens!J6427-Sens!J6390)+Sens!J6390-(Sens!J6392+Sens!J6393+Sens!J6394)-Sens!J6408-Sens!J6491)</f>
        <v>235.26679881494</v>
      </c>
      <c r="K6457" s="6" t="n">
        <f aca="false">(Sens!K6456*(Sens!K6427-Sens!K6390)+Sens!K6390-(Sens!K6392+Sens!K6393+Sens!K6394)-Sens!K6408-Sens!K6491)</f>
        <v>252.270371594137</v>
      </c>
      <c r="L6457" s="1" t="s">
        <v>1064</v>
      </c>
    </row>
    <row r="6458" customFormat="false" ht="17.15" hidden="false" customHeight="false" outlineLevel="0" collapsed="false">
      <c r="A6458" s="0" t="s">
        <v>1065</v>
      </c>
      <c r="B6458" s="0" t="s">
        <v>168</v>
      </c>
      <c r="E6458" s="7" t="n">
        <f aca="false">Q!M22/Q!M12</f>
        <v>0.296207935710698</v>
      </c>
      <c r="F6458" s="7" t="n">
        <f aca="false">Sens!$E$6458+dm_seg</f>
        <v>0.296207935710698</v>
      </c>
      <c r="G6458" s="7" t="n">
        <f aca="false">Sens!$E$6458+dm_seg</f>
        <v>0.296207935710698</v>
      </c>
      <c r="H6458" s="7" t="n">
        <f aca="false">Sens!$E$6458+dm_seg</f>
        <v>0.296207935710698</v>
      </c>
      <c r="I6458" s="7" t="n">
        <f aca="false">Sens!$E$6458+dm_seg</f>
        <v>0.296207935710698</v>
      </c>
      <c r="J6458" s="7" t="n">
        <f aca="false">Sens!$E$6458+dm_seg</f>
        <v>0.296207935710698</v>
      </c>
      <c r="K6458" s="7" t="n">
        <f aca="false">Sens!$E$6458+dm_seg</f>
        <v>0.296207935710698</v>
      </c>
      <c r="L6458" s="12" t="s">
        <v>1066</v>
      </c>
    </row>
    <row r="6459" customFormat="false" ht="17.15" hidden="false" customHeight="false" outlineLevel="0" collapsed="false">
      <c r="A6459" s="0" t="s">
        <v>886</v>
      </c>
      <c r="B6459" s="0" t="s">
        <v>98</v>
      </c>
      <c r="D6459" s="6" t="n">
        <f aca="false">Q!L22</f>
        <v>17.714</v>
      </c>
      <c r="E6459" s="6" t="n">
        <f aca="false">Q!M22</f>
        <v>18.872</v>
      </c>
      <c r="F6459" s="6" t="n">
        <f aca="false">Q!$I$22+(Sens!F6434-Q!$I$12)*Sens!F6458</f>
        <v>19.8174315512051</v>
      </c>
      <c r="G6459" s="6" t="n">
        <f aca="false">Sens!G6434*Sens!G6458</f>
        <v>19.6313799703815</v>
      </c>
      <c r="H6459" s="6" t="n">
        <f aca="false">Sens!H6434*Sens!H6458</f>
        <v>20.3536242825865</v>
      </c>
      <c r="I6459" s="6" t="n">
        <f aca="false">Sens!I6434*Sens!I6458</f>
        <v>21.1920899239745</v>
      </c>
      <c r="J6459" s="6" t="n">
        <f aca="false">Sens!J6434*Sens!J6458</f>
        <v>22.1288166207045</v>
      </c>
      <c r="K6459" s="6" t="n">
        <f aca="false">Sens!K6434*Sens!K6458</f>
        <v>23.1493653905379</v>
      </c>
      <c r="L6459" s="12" t="s">
        <v>1067</v>
      </c>
    </row>
    <row r="6460" customFormat="false" ht="15" hidden="false" customHeight="false" outlineLevel="0" collapsed="false">
      <c r="A6460" s="1" t="s">
        <v>1068</v>
      </c>
      <c r="B6460" s="0" t="s">
        <v>98</v>
      </c>
      <c r="D6460" s="6" t="n">
        <f aca="false">Sens!D6457+Sens!D6459</f>
        <v>128.528</v>
      </c>
      <c r="E6460" s="6" t="n">
        <f aca="false">Sens!E6457+Sens!E6459</f>
        <v>155.237</v>
      </c>
      <c r="F6460" s="6" t="n">
        <f aca="false">Sens!F6457+Sens!F6459</f>
        <v>182.362781681882</v>
      </c>
      <c r="G6460" s="6" t="n">
        <f aca="false">Sens!G6457+Sens!G6459</f>
        <v>198.426086082859</v>
      </c>
      <c r="H6460" s="6" t="n">
        <f aca="false">Sens!H6457+Sens!H6459</f>
        <v>219.07549271978</v>
      </c>
      <c r="I6460" s="6" t="n">
        <f aca="false">Sens!I6457+Sens!I6459</f>
        <v>238.866168927618</v>
      </c>
      <c r="J6460" s="6" t="n">
        <f aca="false">Sens!J6457+Sens!J6459</f>
        <v>257.395615435644</v>
      </c>
      <c r="K6460" s="6" t="n">
        <f aca="false">Sens!K6457+Sens!K6459</f>
        <v>275.419736984675</v>
      </c>
    </row>
    <row r="6461" customFormat="false" ht="15" hidden="false" customHeight="false" outlineLevel="0" collapsed="false">
      <c r="A6461" s="26" t="s">
        <v>1069</v>
      </c>
      <c r="B6461" s="31" t="s">
        <v>98</v>
      </c>
      <c r="C6461" s="31"/>
      <c r="D6461" s="27" t="n">
        <f aca="false">Sens!D6460-Q!L23</f>
        <v>0</v>
      </c>
      <c r="E6461" s="27" t="n">
        <f aca="false">Sens!E6460-Q!M23</f>
        <v>0</v>
      </c>
      <c r="F6461" s="31"/>
      <c r="G6461" s="31"/>
      <c r="H6461" s="31"/>
      <c r="I6461" s="31"/>
      <c r="J6461" s="31"/>
      <c r="K6461" s="31"/>
    </row>
    <row r="6462" customFormat="false" ht="15" hidden="false" customHeight="false" outlineLevel="0" collapsed="false">
      <c r="A6462" s="1" t="s">
        <v>1070</v>
      </c>
      <c r="B6462" s="0" t="s">
        <v>168</v>
      </c>
      <c r="D6462" s="7" t="n">
        <f aca="false">Sens!D6460/Sens!D6453</f>
        <v>0.456219562408598</v>
      </c>
      <c r="E6462" s="7" t="n">
        <f aca="false">Sens!E6460/Sens!E6453</f>
        <v>0.467808184089272</v>
      </c>
      <c r="F6462" s="7" t="n">
        <f aca="false">Sens!F6460/Sens!F6453</f>
        <v>0.456453168814277</v>
      </c>
      <c r="G6462" s="7" t="n">
        <f aca="false">Sens!G6460/Sens!G6453</f>
        <v>0.415431275726094</v>
      </c>
      <c r="H6462" s="7" t="n">
        <f aca="false">Sens!H6460/Sens!H6453</f>
        <v>0.392883876427306</v>
      </c>
      <c r="I6462" s="7" t="n">
        <f aca="false">Sens!I6460/Sens!I6453</f>
        <v>0.378480342641092</v>
      </c>
      <c r="J6462" s="7" t="n">
        <f aca="false">Sens!J6460/Sens!J6453</f>
        <v>0.372323733520199</v>
      </c>
      <c r="K6462" s="7" t="n">
        <f aca="false">Sens!K6460/Sens!K6453</f>
        <v>0.372281452304616</v>
      </c>
    </row>
    <row r="6463" customFormat="false" ht="17.15" hidden="false" customHeight="false" outlineLevel="0" collapsed="false">
      <c r="A6463" s="1" t="s">
        <v>1071</v>
      </c>
      <c r="B6463" s="0" t="s">
        <v>98</v>
      </c>
      <c r="F6463" s="6" t="n">
        <f aca="false">Sens!F6478</f>
        <v>9.7398427716299</v>
      </c>
      <c r="G6463" s="6" t="n">
        <f aca="false">Sens!G6478</f>
        <v>25.2753385959797</v>
      </c>
      <c r="H6463" s="6" t="n">
        <f aca="false">Sens!H6478</f>
        <v>42.2840253697948</v>
      </c>
      <c r="I6463" s="6" t="n">
        <f aca="false">Sens!I6478</f>
        <v>57.704943641581</v>
      </c>
      <c r="J6463" s="6" t="n">
        <f aca="false">Sens!J6478</f>
        <v>68.4828520908201</v>
      </c>
      <c r="K6463" s="6" t="n">
        <f aca="false">Sens!K6478</f>
        <v>74.3598374943249</v>
      </c>
      <c r="L6463" s="1" t="s">
        <v>1072</v>
      </c>
    </row>
    <row r="6464" customFormat="false" ht="17.15" hidden="false" customHeight="false" outlineLevel="0" collapsed="false">
      <c r="A6464" s="1" t="s">
        <v>1073</v>
      </c>
      <c r="B6464" s="0" t="s">
        <v>98</v>
      </c>
      <c r="D6464" s="6" t="n">
        <f aca="false">Sens!D6460</f>
        <v>128.528</v>
      </c>
      <c r="E6464" s="6" t="n">
        <f aca="false">Sens!E6460</f>
        <v>155.237</v>
      </c>
      <c r="F6464" s="6" t="n">
        <f aca="false">Sens!F6460+Sens!F6463</f>
        <v>192.102624453512</v>
      </c>
      <c r="G6464" s="6" t="n">
        <f aca="false">Sens!G6460+Sens!G6463</f>
        <v>223.701424678838</v>
      </c>
      <c r="H6464" s="6" t="n">
        <f aca="false">Sens!H6460+Sens!H6463</f>
        <v>261.359518089575</v>
      </c>
      <c r="I6464" s="6" t="n">
        <f aca="false">Sens!I6460+Sens!I6463</f>
        <v>296.571112569199</v>
      </c>
      <c r="J6464" s="6" t="n">
        <f aca="false">Sens!J6460+Sens!J6463</f>
        <v>325.878467526464</v>
      </c>
      <c r="K6464" s="6" t="n">
        <f aca="false">Sens!K6460+Sens!K6463</f>
        <v>349.779574479</v>
      </c>
    </row>
    <row r="6465" customFormat="false" ht="17.15" hidden="false" customHeight="false" outlineLevel="0" collapsed="false">
      <c r="A6465" s="1" t="s">
        <v>1074</v>
      </c>
      <c r="B6465" s="0" t="s">
        <v>98</v>
      </c>
      <c r="E6465" s="6" t="n">
        <f aca="false">Sens!E6408</f>
        <v>16.3054059770833</v>
      </c>
      <c r="F6465" s="6" t="n">
        <f aca="false">Sens!F6408</f>
        <v>34.5793144783516</v>
      </c>
      <c r="G6465" s="6" t="n">
        <f aca="false">Sens!G6408</f>
        <v>60.7344906522989</v>
      </c>
      <c r="H6465" s="6" t="n">
        <f aca="false">Sens!H6408</f>
        <v>89.1000906614457</v>
      </c>
      <c r="I6465" s="6" t="n">
        <f aca="false">Sens!I6408</f>
        <v>114.231009694548</v>
      </c>
      <c r="J6465" s="6" t="n">
        <f aca="false">Sens!J6408</f>
        <v>132.015673049596</v>
      </c>
      <c r="K6465" s="6" t="n">
        <f aca="false">Sens!K6408</f>
        <v>143.012669550934</v>
      </c>
    </row>
    <row r="6466" customFormat="false" ht="17.15" hidden="false" customHeight="false" outlineLevel="0" collapsed="false">
      <c r="A6466" s="1" t="s">
        <v>1075</v>
      </c>
      <c r="B6466" s="0" t="s">
        <v>98</v>
      </c>
      <c r="E6466" s="6" t="n">
        <f aca="false">Sens!E6490</f>
        <v>22.2285940229167</v>
      </c>
      <c r="F6466" s="6" t="n">
        <f aca="false">Sens!F6490</f>
        <v>23.580344216413</v>
      </c>
      <c r="G6466" s="6" t="n">
        <f aca="false">Sens!G6490</f>
        <v>25.3552031710858</v>
      </c>
      <c r="H6466" s="6" t="n">
        <f aca="false">Sens!H6490</f>
        <v>27.5220829029744</v>
      </c>
      <c r="I6466" s="6" t="n">
        <f aca="false">Sens!I6490</f>
        <v>30.0144695641677</v>
      </c>
      <c r="J6466" s="6" t="n">
        <f aca="false">Sens!J6490</f>
        <v>32.7490060631072</v>
      </c>
      <c r="K6466" s="6" t="n">
        <f aca="false">Sens!K6490</f>
        <v>35.6413980971484</v>
      </c>
    </row>
    <row r="6467" customFormat="false" ht="17.15" hidden="false" customHeight="false" outlineLevel="0" collapsed="false">
      <c r="A6467" s="1" t="s">
        <v>1076</v>
      </c>
      <c r="B6467" s="0" t="s">
        <v>98</v>
      </c>
      <c r="D6467" s="6" t="n">
        <f aca="false">Q!L27</f>
        <v>-4.901</v>
      </c>
      <c r="E6467" s="6" t="n">
        <f aca="false">Q!M27</f>
        <v>10.697</v>
      </c>
      <c r="F6467" s="6" t="n">
        <f aca="false">Q!$I$27+oie_f*(q_per_yr-1)/q_per_yr</f>
        <v>-0.862</v>
      </c>
      <c r="G6467" s="6" t="n">
        <f aca="false">oie_f</f>
        <v>-1.2</v>
      </c>
      <c r="H6467" s="6" t="n">
        <f aca="false">oie_f</f>
        <v>-1.2</v>
      </c>
      <c r="I6467" s="6" t="n">
        <f aca="false">oie_f</f>
        <v>-1.2</v>
      </c>
      <c r="J6467" s="6" t="n">
        <f aca="false">oie_f</f>
        <v>-1.2</v>
      </c>
      <c r="K6467" s="6" t="n">
        <f aca="false">oie_f</f>
        <v>-1.2</v>
      </c>
      <c r="L6467" s="12" t="s">
        <v>1077</v>
      </c>
    </row>
    <row r="6468" customFormat="false" ht="15" hidden="false" customHeight="false" outlineLevel="0" collapsed="false">
      <c r="A6468" s="1" t="s">
        <v>1078</v>
      </c>
      <c r="B6468" s="0" t="s">
        <v>98</v>
      </c>
      <c r="D6468" s="6" t="n">
        <f aca="false">Sens!D6460+Sens!D6467</f>
        <v>123.627</v>
      </c>
      <c r="E6468" s="6" t="n">
        <f aca="false">Sens!E6460+Sens!E6467</f>
        <v>165.934</v>
      </c>
      <c r="F6468" s="6" t="n">
        <f aca="false">Sens!F6460+Sens!F6467</f>
        <v>181.500781681882</v>
      </c>
      <c r="G6468" s="6" t="n">
        <f aca="false">Sens!G6460+Sens!G6467</f>
        <v>197.226086082859</v>
      </c>
      <c r="H6468" s="6" t="n">
        <f aca="false">Sens!H6460+Sens!H6467</f>
        <v>217.87549271978</v>
      </c>
      <c r="I6468" s="6" t="n">
        <f aca="false">Sens!I6460+Sens!I6467</f>
        <v>237.666168927618</v>
      </c>
      <c r="J6468" s="6" t="n">
        <f aca="false">Sens!J6460+Sens!J6467</f>
        <v>256.195615435644</v>
      </c>
      <c r="K6468" s="6" t="n">
        <f aca="false">Sens!K6460+Sens!K6467</f>
        <v>274.219736984675</v>
      </c>
    </row>
    <row r="6469" customFormat="false" ht="15" hidden="false" customHeight="false" outlineLevel="0" collapsed="false">
      <c r="A6469" s="1" t="s">
        <v>1079</v>
      </c>
      <c r="B6469" s="0" t="s">
        <v>98</v>
      </c>
      <c r="D6469" s="6" t="n">
        <f aca="false">Q!L29</f>
        <v>21.795</v>
      </c>
      <c r="E6469" s="6" t="n">
        <f aca="false">Q!M29</f>
        <v>32.185</v>
      </c>
      <c r="F6469" s="6" t="n">
        <f aca="false">Q!$I$29+(Sens!F6468-Q!$I$28)*tax_f</f>
        <v>36.4335563363764</v>
      </c>
      <c r="G6469" s="6" t="n">
        <f aca="false">Sens!G6468*tax_f</f>
        <v>39.4452172165717</v>
      </c>
      <c r="H6469" s="6" t="n">
        <f aca="false">Sens!H6468*tax_f</f>
        <v>43.575098543956</v>
      </c>
      <c r="I6469" s="6" t="n">
        <f aca="false">Sens!I6468*tax_f</f>
        <v>47.5332337855236</v>
      </c>
      <c r="J6469" s="6" t="n">
        <f aca="false">Sens!J6468*tax_f</f>
        <v>51.2391230871288</v>
      </c>
      <c r="K6469" s="6" t="n">
        <f aca="false">Sens!K6468*tax_f</f>
        <v>54.843947396935</v>
      </c>
    </row>
    <row r="6470" customFormat="false" ht="15" hidden="false" customHeight="false" outlineLevel="0" collapsed="false">
      <c r="A6470" s="1" t="s">
        <v>1080</v>
      </c>
      <c r="B6470" s="0" t="s">
        <v>98</v>
      </c>
      <c r="D6470" s="6" t="n">
        <f aca="false">Sens!D6468-Sens!D6469</f>
        <v>101.832</v>
      </c>
      <c r="E6470" s="6" t="n">
        <f aca="false">Sens!E6468-Sens!E6469</f>
        <v>133.749</v>
      </c>
      <c r="F6470" s="6" t="n">
        <f aca="false">Sens!F6468-Sens!F6469</f>
        <v>145.067225345506</v>
      </c>
      <c r="G6470" s="6" t="n">
        <f aca="false">Sens!G6468-Sens!G6469</f>
        <v>157.780868866287</v>
      </c>
      <c r="H6470" s="6" t="n">
        <f aca="false">Sens!H6468-Sens!H6469</f>
        <v>174.300394175824</v>
      </c>
      <c r="I6470" s="6" t="n">
        <f aca="false">Sens!I6468-Sens!I6469</f>
        <v>190.132935142095</v>
      </c>
      <c r="J6470" s="6" t="n">
        <f aca="false">Sens!J6468-Sens!J6469</f>
        <v>204.956492348515</v>
      </c>
      <c r="K6470" s="6" t="n">
        <f aca="false">Sens!K6468-Sens!K6469</f>
        <v>219.37578958774</v>
      </c>
    </row>
    <row r="6471" customFormat="false" ht="17.15" hidden="false" customHeight="false" outlineLevel="0" collapsed="false">
      <c r="A6471" s="1" t="s">
        <v>1081</v>
      </c>
      <c r="B6471" s="1" t="s">
        <v>81</v>
      </c>
      <c r="D6471" s="15" t="n">
        <f aca="false">Q!L31</f>
        <v>7.465</v>
      </c>
      <c r="E6471" s="15" t="n">
        <f aca="false">Q!M31</f>
        <v>7.453</v>
      </c>
      <c r="F6471" s="15" t="n">
        <f aca="false">Sens!F6515</f>
        <v>7.47290852163461</v>
      </c>
      <c r="G6471" s="15" t="n">
        <f aca="false">Sens!G6515</f>
        <v>7.51731704326922</v>
      </c>
      <c r="H6471" s="15" t="n">
        <f aca="false">Sens!H6515</f>
        <v>7.54501698229802</v>
      </c>
      <c r="I6471" s="15" t="n">
        <f aca="false">Sens!I6515</f>
        <v>7.55669834635349</v>
      </c>
      <c r="J6471" s="15" t="n">
        <f aca="false">Sens!J6515</f>
        <v>7.57084775751596</v>
      </c>
      <c r="K6471" s="15" t="n">
        <f aca="false">Sens!K6515</f>
        <v>7.58728239748121</v>
      </c>
    </row>
    <row r="6472" customFormat="false" ht="17.15" hidden="false" customHeight="false" outlineLevel="0" collapsed="false">
      <c r="A6472" s="0" t="s">
        <v>1082</v>
      </c>
      <c r="B6472" s="0" t="s">
        <v>75</v>
      </c>
      <c r="D6472" s="8" t="n">
        <f aca="false">Sens!D6470/Sens!D6471</f>
        <v>13.641259209645</v>
      </c>
      <c r="E6472" s="8" t="n">
        <f aca="false">Sens!E6470/Sens!E6471</f>
        <v>17.9456594659869</v>
      </c>
      <c r="F6472" s="8" t="n">
        <f aca="false">Sens!F6470/Sens!F6471</f>
        <v>19.4124181937362</v>
      </c>
      <c r="G6472" s="8" t="n">
        <f aca="false">Sens!G6470/Sens!G6471</f>
        <v>20.988986889619</v>
      </c>
      <c r="H6472" s="8" t="n">
        <f aca="false">Sens!H6470/Sens!H6471</f>
        <v>23.1013918967664</v>
      </c>
      <c r="I6472" s="8" t="n">
        <f aca="false">Sens!I6470/Sens!I6471</f>
        <v>25.1608475590195</v>
      </c>
      <c r="J6472" s="8" t="n">
        <f aca="false">Sens!J6470/Sens!J6471</f>
        <v>27.0718021168825</v>
      </c>
      <c r="K6472" s="8" t="n">
        <f aca="false">Sens!K6470/Sens!K6471</f>
        <v>28.9136186179873</v>
      </c>
      <c r="L6472" s="1" t="s">
        <v>1083</v>
      </c>
    </row>
    <row r="6473" customFormat="false" ht="17.15" hidden="false" customHeight="false" outlineLevel="0" collapsed="false">
      <c r="A6473" s="1" t="s">
        <v>1084</v>
      </c>
      <c r="B6473" s="0" t="s">
        <v>98</v>
      </c>
      <c r="D6473" s="6" t="n">
        <f aca="false">Sens!D6470</f>
        <v>101.832</v>
      </c>
      <c r="E6473" s="6" t="n">
        <f aca="false">Sens!E6470</f>
        <v>133.749</v>
      </c>
      <c r="F6473" s="6" t="n">
        <f aca="false">Sens!F6470+Sens!F6463*(1-tax_f)</f>
        <v>152.85909956281</v>
      </c>
      <c r="G6473" s="6" t="n">
        <f aca="false">Sens!G6470+Sens!G6463*(1-tax_f)</f>
        <v>178.001139743071</v>
      </c>
      <c r="H6473" s="6" t="n">
        <f aca="false">Sens!H6470+Sens!H6463*(1-tax_f)</f>
        <v>208.12761447166</v>
      </c>
      <c r="I6473" s="6" t="n">
        <f aca="false">Sens!I6470+Sens!I6463*(1-tax_f)</f>
        <v>236.296890055359</v>
      </c>
      <c r="J6473" s="6" t="n">
        <f aca="false">Sens!J6470+Sens!J6463*(1-tax_f)</f>
        <v>259.742774021171</v>
      </c>
      <c r="K6473" s="6" t="n">
        <f aca="false">Sens!K6470+Sens!K6463*(1-tax_f)</f>
        <v>278.8636595832</v>
      </c>
    </row>
    <row r="6474" customFormat="false" ht="17.15" hidden="false" customHeight="false" outlineLevel="0" collapsed="false">
      <c r="A6474" s="0" t="s">
        <v>1085</v>
      </c>
      <c r="B6474" s="0" t="s">
        <v>75</v>
      </c>
      <c r="D6474" s="8" t="n">
        <f aca="false">Sens!D6473/Sens!D6471</f>
        <v>13.641259209645</v>
      </c>
      <c r="E6474" s="8" t="n">
        <f aca="false">Sens!E6473/Sens!E6471</f>
        <v>17.9456594659869</v>
      </c>
      <c r="F6474" s="8" t="n">
        <f aca="false">Sens!F6473/Sens!F6471</f>
        <v>20.4551011323465</v>
      </c>
      <c r="G6474" s="8" t="n">
        <f aca="false">Sens!G6473/Sens!G6471</f>
        <v>23.6788123633082</v>
      </c>
      <c r="H6474" s="8" t="n">
        <f aca="false">Sens!H6473/Sens!H6471</f>
        <v>27.584777471007</v>
      </c>
      <c r="I6474" s="8" t="n">
        <f aca="false">Sens!I6473/Sens!I6471</f>
        <v>31.269858769655</v>
      </c>
      <c r="J6474" s="8" t="n">
        <f aca="false">Sens!J6473/Sens!J6471</f>
        <v>34.3082812308981</v>
      </c>
      <c r="K6474" s="8" t="n">
        <f aca="false">Sens!K6473/Sens!K6471</f>
        <v>36.7540899328824</v>
      </c>
      <c r="L6474" s="1" t="s">
        <v>1086</v>
      </c>
    </row>
    <row r="6475" customFormat="false" ht="17.15" hidden="false" customHeight="false" outlineLevel="0" collapsed="false">
      <c r="A6475" s="0" t="s">
        <v>1087</v>
      </c>
      <c r="B6475" s="0" t="s">
        <v>168</v>
      </c>
      <c r="E6475" s="7" t="n">
        <f aca="false">Sens!E6474/Sens!D6474-1</f>
        <v>0.315542736208578</v>
      </c>
      <c r="F6475" s="7" t="n">
        <f aca="false">Sens!F6474/Sens!E6474-1</f>
        <v>0.139835578130514</v>
      </c>
      <c r="G6475" s="7" t="n">
        <f aca="false">Sens!G6474/Sens!F6474-1</f>
        <v>0.157599378761514</v>
      </c>
      <c r="H6475" s="7" t="n">
        <f aca="false">Sens!H6474/Sens!G6474-1</f>
        <v>0.164956123971461</v>
      </c>
      <c r="I6475" s="7" t="n">
        <f aca="false">Sens!I6474/Sens!H6474-1</f>
        <v>0.133591119323736</v>
      </c>
      <c r="J6475" s="7" t="n">
        <f aca="false">Sens!J6474/Sens!I6474-1</f>
        <v>0.0971677705238492</v>
      </c>
      <c r="K6475" s="7" t="n">
        <f aca="false">Sens!K6474/Sens!J6474-1</f>
        <v>0.0712891644301208</v>
      </c>
    </row>
    <row r="6476" customFormat="false" ht="17.15" hidden="false" customHeight="false" outlineLevel="0" collapsed="false">
      <c r="A6476" s="0" t="s">
        <v>1007</v>
      </c>
      <c r="B6476" s="0" t="s">
        <v>98</v>
      </c>
      <c r="E6476" s="6" t="n">
        <f aca="false">Sens!E6417</f>
        <v>5.25</v>
      </c>
      <c r="F6476" s="6" t="n">
        <f aca="false">Sens!F6417</f>
        <v>12</v>
      </c>
      <c r="G6476" s="6" t="n">
        <f aca="false">Sens!G6417</f>
        <v>18</v>
      </c>
      <c r="H6476" s="6" t="n">
        <f aca="false">Sens!H6417</f>
        <v>24</v>
      </c>
      <c r="I6476" s="6" t="n">
        <f aca="false">Sens!I6417</f>
        <v>28.5</v>
      </c>
      <c r="J6476" s="6" t="n">
        <f aca="false">Sens!J6417</f>
        <v>31.5</v>
      </c>
      <c r="K6476" s="6" t="n">
        <f aca="false">Sens!K6417</f>
        <v>34.5</v>
      </c>
    </row>
    <row r="6477" customFormat="false" ht="17.15" hidden="false" customHeight="false" outlineLevel="0" collapsed="false">
      <c r="A6477" s="1" t="s">
        <v>1008</v>
      </c>
      <c r="B6477" s="0" t="s">
        <v>98</v>
      </c>
      <c r="F6477" s="6" t="n">
        <f aca="false">MAX(0,((Sens!E6377+Sens!F6377)/2-(shadow_base*(Sens!$D$6377+Sens!$E$6377)/2+(1-shadow_base)*Sens!$E$6377))*Sens!F6386/1000-(Sens!F6476-Sens!$E$6476)*Sens!F6456)</f>
        <v>9.7398427716299</v>
      </c>
      <c r="G6477" s="6" t="n">
        <f aca="false">MAX(0,((Sens!F6377+Sens!G6377)/2-(shadow_base*(Sens!$D$6377+Sens!$E$6377)/2+(1-shadow_base)*Sens!$E$6377))*Sens!G6386/1000-(Sens!G6476-Sens!$E$6476)*Sens!G6456)</f>
        <v>25.2753385959797</v>
      </c>
      <c r="H6477" s="6" t="n">
        <f aca="false">MAX(0,((Sens!G6377+Sens!H6377)/2-(shadow_base*(Sens!$D$6377+Sens!$E$6377)/2+(1-shadow_base)*Sens!$E$6377))*Sens!H6386/1000-(Sens!H6476-Sens!$E$6476)*Sens!H6456)</f>
        <v>42.2840253697948</v>
      </c>
      <c r="I6477" s="6" t="n">
        <f aca="false">MAX(0,((Sens!H6377+Sens!I6377)/2-(shadow_base*(Sens!$D$6377+Sens!$E$6377)/2+(1-shadow_base)*Sens!$E$6377))*Sens!I6386/1000-(Sens!I6476-Sens!$E$6476)*Sens!I6456)</f>
        <v>57.704943641581</v>
      </c>
      <c r="J6477" s="6" t="n">
        <f aca="false">MAX(0,((Sens!I6377+Sens!J6377)/2-(shadow_base*(Sens!$D$6377+Sens!$E$6377)/2+(1-shadow_base)*Sens!$E$6377))*Sens!J6386/1000-(Sens!J6476-Sens!$E$6476)*Sens!J6456)</f>
        <v>68.4828520908201</v>
      </c>
      <c r="K6477" s="6" t="n">
        <f aca="false">MAX(0,((Sens!J6377+Sens!K6377)/2-(shadow_base*(Sens!$D$6377+Sens!$E$6377)/2+(1-shadow_base)*Sens!$E$6377))*Sens!K6386/1000-(Sens!K6476-Sens!$E$6476)*Sens!K6456)</f>
        <v>74.3598374943249</v>
      </c>
      <c r="L6477" s="1" t="s">
        <v>1009</v>
      </c>
    </row>
    <row r="6478" customFormat="false" ht="17.15" hidden="false" customHeight="false" outlineLevel="0" collapsed="false">
      <c r="A6478" s="1" t="s">
        <v>1010</v>
      </c>
      <c r="B6478" s="0" t="s">
        <v>98</v>
      </c>
      <c r="F6478" s="6" t="n">
        <f aca="false">IF(internal_ai_reading=2,1,0)*Sens!F6477</f>
        <v>9.7398427716299</v>
      </c>
      <c r="G6478" s="6" t="n">
        <f aca="false">IF(internal_ai_reading=2,1,0)*Sens!G6477</f>
        <v>25.2753385959797</v>
      </c>
      <c r="H6478" s="6" t="n">
        <f aca="false">IF(internal_ai_reading=2,1,0)*Sens!H6477</f>
        <v>42.2840253697948</v>
      </c>
      <c r="I6478" s="6" t="n">
        <f aca="false">IF(internal_ai_reading=2,1,0)*Sens!I6477</f>
        <v>57.704943641581</v>
      </c>
      <c r="J6478" s="6" t="n">
        <f aca="false">IF(internal_ai_reading=2,1,0)*Sens!J6477</f>
        <v>68.4828520908201</v>
      </c>
      <c r="K6478" s="6" t="n">
        <f aca="false">IF(internal_ai_reading=2,1,0)*Sens!K6477</f>
        <v>74.3598374943249</v>
      </c>
    </row>
    <row r="6479" customFormat="false" ht="17.15" hidden="false" customHeight="false" outlineLevel="0" collapsed="false">
      <c r="A6479" s="0" t="s">
        <v>1011</v>
      </c>
      <c r="B6479" s="0" t="s">
        <v>98</v>
      </c>
      <c r="F6479" s="6" t="n">
        <f aca="false">Sens!F6396+Sens!F6476*Sens!F6456+Sens!F6478-Sens!F6397-Sens!F6408</f>
        <v>15.4184602019196</v>
      </c>
      <c r="G6479" s="6" t="n">
        <f aca="false">Sens!G6396+Sens!G6476*Sens!G6456+Sens!G6478-Sens!G6397-Sens!G6408</f>
        <v>32.3530354311781</v>
      </c>
      <c r="H6479" s="6" t="n">
        <f aca="false">Sens!H6396+Sens!H6476*Sens!H6456+Sens!H6478-Sens!H6397-Sens!H6408</f>
        <v>49.9458067473914</v>
      </c>
      <c r="I6479" s="6" t="n">
        <f aca="false">Sens!I6396+Sens!I6476*Sens!I6456+Sens!I6478-Sens!I6397-Sens!I6408</f>
        <v>65.4659578604801</v>
      </c>
      <c r="J6479" s="6" t="n">
        <f aca="false">Sens!J6396+Sens!J6476*Sens!J6456+Sens!J6478-Sens!J6397-Sens!J6408</f>
        <v>76.2306639148746</v>
      </c>
      <c r="K6479" s="6" t="n">
        <f aca="false">Sens!K6396+Sens!K6476*Sens!K6456+Sens!K6478-Sens!K6397-Sens!K6408</f>
        <v>83.5354272678323</v>
      </c>
    </row>
    <row r="6480" customFormat="false" ht="17.15" hidden="false" customHeight="false" outlineLevel="0" collapsed="false">
      <c r="A6480" s="0" t="s">
        <v>1012</v>
      </c>
      <c r="B6480" s="0" t="s">
        <v>98</v>
      </c>
      <c r="E6480" s="6" t="n">
        <f aca="false">Sens!E6376*(cxit_open+self_build*tk_cxfac)/1000*ai_net_open</f>
        <v>126.6980382</v>
      </c>
      <c r="F6480" s="6" t="n">
        <f aca="false">Sens!E6480+Sens!F6405-Sens!F6408</f>
        <v>260.572627763768</v>
      </c>
      <c r="G6480" s="6" t="n">
        <f aca="false">Sens!F6480+Sens!G6405-Sens!G6408</f>
        <v>391.782612760517</v>
      </c>
      <c r="H6480" s="6" t="n">
        <f aca="false">Sens!G6480+Sens!H6405-Sens!H6408</f>
        <v>499.488526163584</v>
      </c>
      <c r="I6480" s="6" t="n">
        <f aca="false">Sens!H6480+Sens!I6405-Sens!I6408</f>
        <v>553.872350090646</v>
      </c>
      <c r="J6480" s="6" t="n">
        <f aca="false">Sens!I6480+Sens!J6405-Sens!J6408</f>
        <v>550.78660823699</v>
      </c>
      <c r="K6480" s="6" t="n">
        <f aca="false">Sens!J6480+Sens!K6405-Sens!K6408</f>
        <v>526.736791750789</v>
      </c>
      <c r="L6480" s="1" t="s">
        <v>1013</v>
      </c>
    </row>
    <row r="6481" customFormat="false" ht="17.15" hidden="false" customHeight="false" outlineLevel="0" collapsed="false">
      <c r="A6481" s="0" t="s">
        <v>1014</v>
      </c>
      <c r="B6481" s="0" t="s">
        <v>168</v>
      </c>
      <c r="F6481" s="7" t="n">
        <f aca="false">Sens!F6479*(1-tax_f)/((Sens!E6480+Sens!F6480)/2)</f>
        <v>0.0637010197033082</v>
      </c>
      <c r="G6481" s="7" t="n">
        <f aca="false">Sens!G6479*(1-tax_f)/((Sens!F6480+Sens!G6480)/2)</f>
        <v>0.07935071794362</v>
      </c>
      <c r="H6481" s="7" t="n">
        <f aca="false">Sens!H6479*(1-tax_f)/((Sens!G6480+Sens!H6480)/2)</f>
        <v>0.08966215476504</v>
      </c>
      <c r="I6481" s="7" t="n">
        <f aca="false">Sens!I6479*(1-tax_f)/((Sens!H6480+Sens!I6480)/2)</f>
        <v>0.0994393611325733</v>
      </c>
      <c r="J6481" s="7" t="n">
        <f aca="false">Sens!J6479*(1-tax_f)/((Sens!I6480+Sens!J6480)/2)</f>
        <v>0.110413319282225</v>
      </c>
      <c r="K6481" s="7" t="n">
        <f aca="false">Sens!K6479*(1-tax_f)/((Sens!J6480+Sens!K6480)/2)</f>
        <v>0.124040632092118</v>
      </c>
    </row>
    <row r="6482" customFormat="false" ht="17.15" hidden="false" customHeight="false" outlineLevel="0" collapsed="false">
      <c r="A6482" s="1" t="s">
        <v>1015</v>
      </c>
      <c r="B6482" s="0" t="s">
        <v>168</v>
      </c>
      <c r="F6482" s="7" t="n">
        <f aca="false">(Sens!F6479-Sens!F6478)*(1-tax_f)/((Sens!E6480+Sens!F6480)/2)</f>
        <v>0.0234610795161891</v>
      </c>
      <c r="G6482" s="7" t="n">
        <f aca="false">(Sens!G6479-Sens!G6478)*(1-tax_f)/((Sens!F6480+Sens!G6480)/2)</f>
        <v>0.0173591231170555</v>
      </c>
      <c r="H6482" s="7" t="n">
        <f aca="false">(Sens!H6479-Sens!H6478)*(1-tax_f)/((Sens!G6480+Sens!H6480)/2)</f>
        <v>0.0137543444062969</v>
      </c>
      <c r="I6482" s="7" t="n">
        <f aca="false">(Sens!I6479-Sens!I6478)*(1-tax_f)/((Sens!H6480+Sens!I6480)/2)</f>
        <v>0.0117885741061466</v>
      </c>
      <c r="J6482" s="7" t="n">
        <f aca="false">(Sens!J6479-Sens!J6478)*(1-tax_f)/((Sens!I6480+Sens!J6480)/2)</f>
        <v>0.0112220145638927</v>
      </c>
      <c r="K6482" s="7" t="n">
        <f aca="false">(Sens!K6479-Sens!K6478)*(1-tax_f)/((Sens!J6480+Sens!K6480)/2)</f>
        <v>0.0136247098093446</v>
      </c>
    </row>
    <row r="6483" customFormat="false" ht="17.15" hidden="false" customHeight="false" outlineLevel="0" collapsed="false">
      <c r="A6483" s="1" t="s">
        <v>1016</v>
      </c>
      <c r="B6483" s="0" t="s">
        <v>168</v>
      </c>
      <c r="F6483" s="7" t="n">
        <f aca="false">(Sens!F6479-Sens!F6478+Sens!F6477)*(1-tax_f)/((Sens!E6480+Sens!F6480)/2)</f>
        <v>0.0637010197033082</v>
      </c>
      <c r="G6483" s="7" t="n">
        <f aca="false">(Sens!G6479-Sens!G6478+Sens!G6477)*(1-tax_f)/((Sens!F6480+Sens!G6480)/2)</f>
        <v>0.07935071794362</v>
      </c>
      <c r="H6483" s="7" t="n">
        <f aca="false">(Sens!H6479-Sens!H6478+Sens!H6477)*(1-tax_f)/((Sens!G6480+Sens!H6480)/2)</f>
        <v>0.08966215476504</v>
      </c>
      <c r="I6483" s="7" t="n">
        <f aca="false">(Sens!I6479-Sens!I6478+Sens!I6477)*(1-tax_f)/((Sens!H6480+Sens!I6480)/2)</f>
        <v>0.0994393611325733</v>
      </c>
      <c r="J6483" s="7" t="n">
        <f aca="false">(Sens!J6479-Sens!J6478+Sens!J6477)*(1-tax_f)/((Sens!I6480+Sens!J6480)/2)</f>
        <v>0.110413319282225</v>
      </c>
      <c r="K6483" s="7" t="n">
        <f aca="false">(Sens!K6479-Sens!K6478+Sens!K6477)*(1-tax_f)/((Sens!J6480+Sens!K6480)/2)</f>
        <v>0.124040632092118</v>
      </c>
    </row>
    <row r="6484" customFormat="false" ht="17.15" hidden="false" customHeight="false" outlineLevel="0" collapsed="false">
      <c r="A6484" s="1" t="s">
        <v>1017</v>
      </c>
      <c r="B6484" s="0" t="s">
        <v>168</v>
      </c>
      <c r="F6484" s="7" t="n">
        <f aca="false">Sens!F6409*(1-tax_f)/(Sens!F6395*(Sens!E6480+Sens!F6480)/2)</f>
        <v>0.133448187126598</v>
      </c>
      <c r="G6484" s="7" t="n">
        <f aca="false">Sens!G6409*(1-tax_f)/(Sens!G6395*(Sens!F6480+Sens!G6480)/2)</f>
        <v>0.132583802139891</v>
      </c>
      <c r="H6484" s="7" t="n">
        <f aca="false">Sens!H6409*(1-tax_f)/(Sens!H6395*(Sens!G6480+Sens!H6480)/2)</f>
        <v>0.137005575748298</v>
      </c>
      <c r="I6484" s="7" t="n">
        <f aca="false">Sens!I6409*(1-tax_f)/(Sens!I6395*(Sens!H6480+Sens!I6480)/2)</f>
        <v>0.145750394024996</v>
      </c>
      <c r="J6484" s="7" t="n">
        <f aca="false">Sens!J6409*(1-tax_f)/(Sens!J6395*(Sens!I6480+Sens!J6480)/2)</f>
        <v>0.158889027883821</v>
      </c>
      <c r="K6484" s="7" t="n">
        <f aca="false">Sens!K6409*(1-tax_f)/(Sens!K6395*(Sens!J6480+Sens!K6480)/2)</f>
        <v>0.177086849586375</v>
      </c>
    </row>
    <row r="6485" customFormat="false" ht="17.15" hidden="false" customHeight="false" outlineLevel="0" collapsed="false">
      <c r="A6485" s="0" t="s">
        <v>1018</v>
      </c>
      <c r="B6485" s="0" t="s">
        <v>253</v>
      </c>
      <c r="F6485" s="7" t="n">
        <f aca="false">Sens!F6481-wacc</f>
        <v>-0.0392355712422891</v>
      </c>
      <c r="G6485" s="7" t="n">
        <f aca="false">Sens!G6481-wacc</f>
        <v>-0.0235858730019773</v>
      </c>
      <c r="H6485" s="7" t="n">
        <f aca="false">Sens!H6481-wacc</f>
        <v>-0.0132744361805573</v>
      </c>
      <c r="I6485" s="7" t="n">
        <f aca="false">Sens!I6481-wacc</f>
        <v>-0.00349722981302403</v>
      </c>
      <c r="J6485" s="7" t="n">
        <f aca="false">Sens!J6481-wacc</f>
        <v>0.00747672833662781</v>
      </c>
      <c r="K6485" s="7" t="n">
        <f aca="false">Sens!K6481-wacc</f>
        <v>0.0211040411465202</v>
      </c>
    </row>
    <row r="6486" customFormat="false" ht="17.15" hidden="false" customHeight="false" outlineLevel="0" collapsed="false">
      <c r="A6486" s="0" t="s">
        <v>1019</v>
      </c>
      <c r="B6486" s="0" t="s">
        <v>98</v>
      </c>
      <c r="F6486" s="6" t="n">
        <f aca="false">Sens!F6479*(1-tax_f)-wacc*(Sens!E6480+Sens!F6480)/2</f>
        <v>-7.59739290223507</v>
      </c>
      <c r="G6486" s="6" t="n">
        <f aca="false">Sens!G6479*(1-tax_f)-wacc*(Sens!F6480+Sens!G6480)/2</f>
        <v>-7.69318392759008</v>
      </c>
      <c r="H6486" s="6" t="n">
        <f aca="false">Sens!H6479*(1-tax_f)-wacc*(Sens!G6480+Sens!H6480)/2</f>
        <v>-5.91556092661029</v>
      </c>
      <c r="I6486" s="6" t="n">
        <f aca="false">Sens!I6479*(1-tax_f)-wacc*(Sens!H6480+Sens!I6480)/2</f>
        <v>-1.8419225301547</v>
      </c>
      <c r="J6486" s="6" t="n">
        <f aca="false">Sens!J6479*(1-tax_f)-wacc*(Sens!I6480+Sens!J6480)/2</f>
        <v>4.129617468019</v>
      </c>
      <c r="K6486" s="6" t="n">
        <f aca="false">Sens!K6479*(1-tax_f)-wacc*(Sens!J6480+Sens!K6480)/2</f>
        <v>11.3700490848402</v>
      </c>
    </row>
    <row r="6487" customFormat="false" ht="17.15" hidden="false" customHeight="false" outlineLevel="0" collapsed="false">
      <c r="A6487" s="3" t="s">
        <v>1773</v>
      </c>
    </row>
    <row r="6488" customFormat="false" ht="15" hidden="false" customHeight="false" outlineLevel="0" collapsed="false">
      <c r="A6488" s="4" t="s">
        <v>43</v>
      </c>
      <c r="B6488" s="4" t="s">
        <v>65</v>
      </c>
      <c r="C6488" s="23" t="s">
        <v>942</v>
      </c>
      <c r="D6488" s="23" t="s">
        <v>943</v>
      </c>
      <c r="E6488" s="23" t="s">
        <v>944</v>
      </c>
      <c r="F6488" s="23" t="s">
        <v>945</v>
      </c>
      <c r="G6488" s="23" t="s">
        <v>946</v>
      </c>
      <c r="H6488" s="23" t="s">
        <v>947</v>
      </c>
      <c r="I6488" s="23" t="s">
        <v>948</v>
      </c>
      <c r="J6488" s="23" t="s">
        <v>949</v>
      </c>
      <c r="K6488" s="23" t="s">
        <v>950</v>
      </c>
      <c r="L6488" s="4" t="s">
        <v>47</v>
      </c>
    </row>
    <row r="6489" customFormat="false" ht="15" hidden="false" customHeight="false" outlineLevel="0" collapsed="false">
      <c r="A6489" s="1" t="s">
        <v>1080</v>
      </c>
      <c r="B6489" s="0" t="s">
        <v>98</v>
      </c>
      <c r="F6489" s="6" t="n">
        <f aca="false">Sens!F6470</f>
        <v>145.067225345506</v>
      </c>
      <c r="G6489" s="6" t="n">
        <f aca="false">Sens!G6470</f>
        <v>157.780868866287</v>
      </c>
      <c r="H6489" s="6" t="n">
        <f aca="false">Sens!H6470</f>
        <v>174.300394175824</v>
      </c>
      <c r="I6489" s="6" t="n">
        <f aca="false">Sens!I6470</f>
        <v>190.132935142095</v>
      </c>
      <c r="J6489" s="6" t="n">
        <f aca="false">Sens!J6470</f>
        <v>204.956492348515</v>
      </c>
      <c r="K6489" s="6" t="n">
        <f aca="false">Sens!K6470</f>
        <v>219.37578958774</v>
      </c>
    </row>
    <row r="6490" customFormat="false" ht="17.15" hidden="false" customHeight="false" outlineLevel="0" collapsed="false">
      <c r="A6490" s="1" t="s">
        <v>1102</v>
      </c>
      <c r="B6490" s="0" t="s">
        <v>98</v>
      </c>
      <c r="E6490" s="6" t="n">
        <f aca="false">Q!M38-Sens!E6408</f>
        <v>22.2285940229167</v>
      </c>
      <c r="F6490" s="6" t="n">
        <f aca="false">Sens!E6490*(1-1/life_nonai)+(Sens!F6498+Sens!F6499)/life_nonai</f>
        <v>23.580344216413</v>
      </c>
      <c r="G6490" s="6" t="n">
        <f aca="false">Sens!F6490*(1-1/life_nonai)+(Sens!G6498)/life_nonai</f>
        <v>25.3552031710858</v>
      </c>
      <c r="H6490" s="6" t="n">
        <f aca="false">Sens!G6490*(1-1/life_nonai)+(Sens!H6498)/life_nonai</f>
        <v>27.5220829029744</v>
      </c>
      <c r="I6490" s="6" t="n">
        <f aca="false">Sens!H6490*(1-1/life_nonai)+(Sens!I6498)/life_nonai</f>
        <v>30.0144695641677</v>
      </c>
      <c r="J6490" s="6" t="n">
        <f aca="false">Sens!I6490*(1-1/life_nonai)+(Sens!J6498)/life_nonai</f>
        <v>32.7490060631072</v>
      </c>
      <c r="K6490" s="6" t="n">
        <f aca="false">Sens!J6490*(1-1/life_nonai)+(Sens!K6498)/life_nonai</f>
        <v>35.6413980971484</v>
      </c>
      <c r="L6490" s="12" t="s">
        <v>1103</v>
      </c>
    </row>
    <row r="6491" customFormat="false" ht="17.15" hidden="false" customHeight="false" outlineLevel="0" collapsed="false">
      <c r="A6491" s="1" t="s">
        <v>1104</v>
      </c>
      <c r="B6491" s="0" t="s">
        <v>98</v>
      </c>
      <c r="F6491" s="6" t="n">
        <f aca="false">Sens!$F$6499/life_nonai*(1-1/life_nonai)^(Sens!F6371-2027)</f>
        <v>0.00265091365881389</v>
      </c>
      <c r="G6491" s="6" t="n">
        <f aca="false">Sens!$F$6499/life_nonai*(1-1/life_nonai)^(Sens!G6371-2027)</f>
        <v>0.0023858222929325</v>
      </c>
      <c r="H6491" s="6" t="n">
        <f aca="false">Sens!$F$6499/life_nonai*(1-1/life_nonai)^(Sens!H6371-2027)</f>
        <v>0.00214724006363925</v>
      </c>
      <c r="I6491" s="6" t="n">
        <f aca="false">Sens!$F$6499/life_nonai*(1-1/life_nonai)^(Sens!I6371-2027)</f>
        <v>0.00193251605727533</v>
      </c>
      <c r="J6491" s="6" t="n">
        <f aca="false">Sens!$F$6499/life_nonai*(1-1/life_nonai)^(Sens!J6371-2027)</f>
        <v>0.00173926445154779</v>
      </c>
      <c r="K6491" s="6" t="n">
        <f aca="false">Sens!$F$6499/life_nonai*(1-1/life_nonai)^(Sens!K6371-2027)</f>
        <v>0.00156533800639302</v>
      </c>
      <c r="L6491" s="1" t="s">
        <v>1105</v>
      </c>
    </row>
    <row r="6492" customFormat="false" ht="17.15" hidden="false" customHeight="false" outlineLevel="0" collapsed="false">
      <c r="A6492" s="1" t="s">
        <v>1106</v>
      </c>
      <c r="B6492" s="0" t="s">
        <v>98</v>
      </c>
      <c r="E6492" s="6" t="n">
        <f aca="false">Sens!E6408+Sens!E6490</f>
        <v>38.534</v>
      </c>
      <c r="F6492" s="6" t="n">
        <f aca="false">Sens!F6408+Sens!F6490</f>
        <v>58.1596586947647</v>
      </c>
      <c r="G6492" s="6" t="n">
        <f aca="false">Sens!G6408+Sens!G6490</f>
        <v>86.0896938233847</v>
      </c>
      <c r="H6492" s="6" t="n">
        <f aca="false">Sens!H6408+Sens!H6490</f>
        <v>116.62217356442</v>
      </c>
      <c r="I6492" s="6" t="n">
        <f aca="false">Sens!I6408+Sens!I6490</f>
        <v>144.245479258716</v>
      </c>
      <c r="J6492" s="6" t="n">
        <f aca="false">Sens!J6408+Sens!J6490</f>
        <v>164.764679112703</v>
      </c>
      <c r="K6492" s="6" t="n">
        <f aca="false">Sens!K6408+Sens!K6490</f>
        <v>178.654067648083</v>
      </c>
    </row>
    <row r="6493" customFormat="false" ht="17.15" hidden="false" customHeight="false" outlineLevel="0" collapsed="false">
      <c r="A6493" s="1" t="s">
        <v>1107</v>
      </c>
      <c r="B6493" s="0" t="s">
        <v>98</v>
      </c>
      <c r="F6493" s="6" t="n">
        <f aca="false">Sens!F6435*sbc_r</f>
        <v>14.9351409072294</v>
      </c>
      <c r="G6493" s="6" t="n">
        <f aca="false">Sens!G6435*sbc_r</f>
        <v>17.8553726875481</v>
      </c>
      <c r="H6493" s="6" t="n">
        <f aca="false">Sens!H6435*sbc_r</f>
        <v>20.8448576481134</v>
      </c>
      <c r="I6493" s="6" t="n">
        <f aca="false">Sens!I6435*sbc_r</f>
        <v>23.5928636928345</v>
      </c>
      <c r="J6493" s="6" t="n">
        <f aca="false">Sens!J6435*sbc_r</f>
        <v>25.8434069552042</v>
      </c>
      <c r="K6493" s="6" t="n">
        <f aca="false">Sens!K6435*sbc_r</f>
        <v>27.6562315339545</v>
      </c>
    </row>
    <row r="6494" customFormat="false" ht="17.15" hidden="false" customHeight="false" outlineLevel="0" collapsed="false">
      <c r="A6494" s="1" t="s">
        <v>1108</v>
      </c>
      <c r="B6494" s="0" t="s">
        <v>98</v>
      </c>
      <c r="F6494" s="6" t="n">
        <f aca="false">wc27-wc26q1</f>
        <v>-4.677</v>
      </c>
      <c r="G6494" s="6" t="n">
        <f aca="false">wc_f</f>
        <v>0</v>
      </c>
      <c r="H6494" s="6" t="n">
        <f aca="false">wc_f</f>
        <v>0</v>
      </c>
      <c r="I6494" s="6" t="n">
        <f aca="false">wc_f</f>
        <v>0</v>
      </c>
      <c r="J6494" s="6" t="n">
        <f aca="false">wc_f</f>
        <v>0</v>
      </c>
      <c r="K6494" s="6" t="n">
        <f aca="false">wc_f</f>
        <v>0</v>
      </c>
      <c r="L6494" s="12" t="s">
        <v>1109</v>
      </c>
    </row>
    <row r="6495" customFormat="false" ht="17.15" hidden="false" customHeight="false" outlineLevel="0" collapsed="false">
      <c r="A6495" s="0" t="s">
        <v>1110</v>
      </c>
      <c r="B6495" s="0" t="s">
        <v>98</v>
      </c>
      <c r="F6495" s="6" t="n">
        <f aca="false">Q!$I$35-Q!$I$26-Q!$I$38-Q!$I$39</f>
        <v>6.493</v>
      </c>
      <c r="L6495" s="1" t="s">
        <v>1111</v>
      </c>
    </row>
    <row r="6496" customFormat="false" ht="15" hidden="false" customHeight="false" outlineLevel="0" collapsed="false">
      <c r="A6496" s="1" t="s">
        <v>908</v>
      </c>
      <c r="B6496" s="0" t="s">
        <v>98</v>
      </c>
      <c r="E6496" s="6" t="n">
        <f aca="false">Q!M35</f>
        <v>182.935</v>
      </c>
      <c r="F6496" s="6" t="n">
        <f aca="false">Sens!F6489+Sens!F6492+Sens!F6493+Sens!F6494+Sens!F6495</f>
        <v>219.9780249475</v>
      </c>
      <c r="G6496" s="6" t="n">
        <f aca="false">Sens!G6489+Sens!G6492+Sens!G6493+Sens!G6494</f>
        <v>261.72593537722</v>
      </c>
      <c r="H6496" s="6" t="n">
        <f aca="false">Sens!H6489+Sens!H6492+Sens!H6493+Sens!H6494</f>
        <v>311.767425388358</v>
      </c>
      <c r="I6496" s="6" t="n">
        <f aca="false">Sens!I6489+Sens!I6492+Sens!I6493+Sens!I6494</f>
        <v>357.971278093645</v>
      </c>
      <c r="J6496" s="6" t="n">
        <f aca="false">Sens!J6489+Sens!J6492+Sens!J6493+Sens!J6494</f>
        <v>395.564578416423</v>
      </c>
      <c r="K6496" s="6" t="n">
        <f aca="false">Sens!K6489+Sens!K6492+Sens!K6493+Sens!K6494</f>
        <v>425.686088769777</v>
      </c>
    </row>
    <row r="6497" customFormat="false" ht="17.15" hidden="false" customHeight="false" outlineLevel="0" collapsed="false">
      <c r="A6497" s="0" t="s">
        <v>1112</v>
      </c>
      <c r="B6497" s="0" t="s">
        <v>98</v>
      </c>
      <c r="F6497" s="6" t="n">
        <f aca="false">Sens!F6405</f>
        <v>168.45390404212</v>
      </c>
      <c r="G6497" s="6" t="n">
        <f aca="false">Sens!G6405</f>
        <v>191.944475649048</v>
      </c>
      <c r="H6497" s="6" t="n">
        <f aca="false">Sens!H6405</f>
        <v>196.806004064512</v>
      </c>
      <c r="I6497" s="6" t="n">
        <f aca="false">Sens!I6405</f>
        <v>168.61483362161</v>
      </c>
      <c r="J6497" s="6" t="n">
        <f aca="false">Sens!J6405</f>
        <v>128.92993119594</v>
      </c>
      <c r="K6497" s="6" t="n">
        <f aca="false">Sens!K6405</f>
        <v>118.962853064733</v>
      </c>
    </row>
    <row r="6498" customFormat="false" ht="17.15" hidden="false" customHeight="false" outlineLevel="0" collapsed="false">
      <c r="A6498" s="1" t="s">
        <v>1113</v>
      </c>
      <c r="B6498" s="0" t="s">
        <v>98</v>
      </c>
      <c r="E6498" s="6" t="n">
        <f aca="false">Sens!E6413*cx_azo+Sens!E6420*cx_m365+Sens!E6421*cx_lic+(Sens!E6423+Sens!E6425)*cx_ind+Sens!E6428*cx_srch+(Sens!E6430+Sens!E6432)*cx_dev</f>
        <v>30.1846587067718</v>
      </c>
      <c r="F6498" s="6" t="n">
        <f aca="false">Sens!F6413*cx_azo+Sens!F6420*cx_m365+Sens!F6421*cx_lic+(Sens!F6423+Sens!F6425)*cx_ind+Sens!F6428*cx_srch+(Sens!F6430+Sens!F6432)*cx_dev</f>
        <v>35.7195868212923</v>
      </c>
      <c r="G6498" s="6" t="n">
        <f aca="false">Sens!G6413*cx_azo+Sens!G6420*cx_m365+Sens!G6421*cx_lic+(Sens!G6423+Sens!G6425)*cx_ind+Sens!G6428*cx_srch+(Sens!G6430+Sens!G6432)*cx_dev</f>
        <v>41.3289337631402</v>
      </c>
      <c r="H6498" s="6" t="n">
        <f aca="false">Sens!H6413*cx_azo+Sens!H6420*cx_m365+Sens!H6421*cx_lic+(Sens!H6423+Sens!H6425)*cx_ind+Sens!H6428*cx_srch+(Sens!H6430+Sens!H6432)*cx_dev</f>
        <v>47.0240004899725</v>
      </c>
      <c r="I6498" s="6" t="n">
        <f aca="false">Sens!I6413*cx_azo+Sens!I6420*cx_m365+Sens!I6421*cx_lic+(Sens!I6423+Sens!I6425)*cx_ind+Sens!I6428*cx_srch+(Sens!I6430+Sens!I6432)*cx_dev</f>
        <v>52.4459495149076</v>
      </c>
      <c r="J6498" s="6" t="n">
        <f aca="false">Sens!J6413*cx_azo+Sens!J6420*cx_m365+Sens!J6421*cx_lic+(Sens!J6423+Sens!J6425)*cx_ind+Sens!J6428*cx_srch+(Sens!J6430+Sens!J6432)*cx_dev</f>
        <v>57.359834553562</v>
      </c>
      <c r="K6498" s="6" t="n">
        <f aca="false">Sens!K6413*cx_azo+Sens!K6420*cx_m365+Sens!K6421*cx_lic+(Sens!K6423+Sens!K6425)*cx_ind+Sens!K6428*cx_srch+(Sens!K6430+Sens!K6432)*cx_dev</f>
        <v>61.6729264035197</v>
      </c>
    </row>
    <row r="6499" customFormat="false" ht="17.15" hidden="false" customHeight="false" outlineLevel="0" collapsed="false">
      <c r="A6499" s="0" t="s">
        <v>1114</v>
      </c>
      <c r="B6499" s="0" t="s">
        <v>98</v>
      </c>
      <c r="F6499" s="6" t="n">
        <f aca="false">Sens!F6403</f>
        <v>0.0265091365881389</v>
      </c>
      <c r="L6499" s="1" t="s">
        <v>1115</v>
      </c>
    </row>
    <row r="6500" customFormat="false" ht="17.15" hidden="false" customHeight="false" outlineLevel="0" collapsed="false">
      <c r="A6500" s="1" t="s">
        <v>1116</v>
      </c>
      <c r="B6500" s="0" t="s">
        <v>98</v>
      </c>
      <c r="E6500" s="6" t="n">
        <f aca="false">Q!M43</f>
        <v>145.3</v>
      </c>
      <c r="F6500" s="6" t="n">
        <f aca="false">Sens!F6497+Sens!F6498+Sens!F6499</f>
        <v>204.2</v>
      </c>
      <c r="G6500" s="6" t="n">
        <f aca="false">Sens!G6497+Sens!G6498</f>
        <v>233.273409412188</v>
      </c>
      <c r="H6500" s="6" t="n">
        <f aca="false">Sens!H6497+Sens!H6498</f>
        <v>243.830004554485</v>
      </c>
      <c r="I6500" s="6" t="n">
        <f aca="false">Sens!I6497+Sens!I6498</f>
        <v>221.060783136518</v>
      </c>
      <c r="J6500" s="6" t="n">
        <f aca="false">Sens!J6497+Sens!J6498</f>
        <v>186.289765749502</v>
      </c>
      <c r="K6500" s="6" t="n">
        <f aca="false">Sens!K6497+Sens!K6498</f>
        <v>180.635779468252</v>
      </c>
      <c r="L6500" s="1" t="s">
        <v>1117</v>
      </c>
    </row>
    <row r="6501" customFormat="false" ht="15" hidden="false" customHeight="false" outlineLevel="0" collapsed="false">
      <c r="A6501" s="1" t="s">
        <v>1118</v>
      </c>
      <c r="B6501" s="0" t="s">
        <v>98</v>
      </c>
      <c r="E6501" s="6" t="n">
        <f aca="false">fl_liab</f>
        <v>66.594</v>
      </c>
      <c r="F6501" s="6" t="n">
        <f aca="false">Sens!E6501-Sens!F6502</f>
        <v>62.46973</v>
      </c>
      <c r="G6501" s="6" t="n">
        <f aca="false">Sens!F6501-Sens!G6502</f>
        <v>57.98686785</v>
      </c>
      <c r="H6501" s="6" t="n">
        <f aca="false">Sens!G6501-Sens!H6502</f>
        <v>53.92827690325</v>
      </c>
      <c r="I6501" s="6" t="n">
        <f aca="false">Sens!H6501-Sens!I6502</f>
        <v>49.7850493638962</v>
      </c>
      <c r="J6501" s="6" t="n">
        <f aca="false">Sens!I6501-Sens!J6502</f>
        <v>45.4823765852716</v>
      </c>
      <c r="K6501" s="6" t="n">
        <f aca="false">Sens!J6501-Sens!K6502</f>
        <v>40.9860835316088</v>
      </c>
    </row>
    <row r="6502" customFormat="false" ht="15" hidden="false" customHeight="false" outlineLevel="0" collapsed="false">
      <c r="A6502" s="1" t="s">
        <v>1119</v>
      </c>
      <c r="B6502" s="0" t="s">
        <v>98</v>
      </c>
      <c r="F6502" s="6" t="n">
        <f aca="false">fl_pay_27-Sens!E6501*fl_rate</f>
        <v>4.12427</v>
      </c>
      <c r="G6502" s="6" t="n">
        <f aca="false">fl_pay_28-Sens!F6501*fl_rate</f>
        <v>4.48286215</v>
      </c>
      <c r="H6502" s="6" t="n">
        <f aca="false">fl_pay_29-Sens!G6501*fl_rate</f>
        <v>4.05859094675</v>
      </c>
      <c r="I6502" s="6" t="n">
        <f aca="false">fl_pay_30-Sens!H6501*fl_rate</f>
        <v>4.14322753935375</v>
      </c>
      <c r="J6502" s="6" t="n">
        <f aca="false">fl_pay_31-Sens!I6501*fl_rate</f>
        <v>4.30267277862467</v>
      </c>
      <c r="K6502" s="6" t="n">
        <f aca="false">fl_pay_32-Sens!J6501*fl_rate</f>
        <v>4.49629305366278</v>
      </c>
    </row>
    <row r="6503" customFormat="false" ht="17.15" hidden="false" customHeight="false" outlineLevel="0" collapsed="false">
      <c r="A6503" s="1" t="s">
        <v>1120</v>
      </c>
      <c r="B6503" s="0" t="s">
        <v>98</v>
      </c>
      <c r="E6503" s="6" t="n">
        <f aca="false">Q!M35-Q!M36-Q!M44</f>
        <v>63.886</v>
      </c>
      <c r="F6503" s="6" t="n">
        <f aca="false">Sens!F6496-Sens!F6500-Sens!F6502</f>
        <v>11.6537549474997</v>
      </c>
      <c r="G6503" s="6" t="n">
        <f aca="false">Sens!G6496-Sens!G6500-Sens!G6502</f>
        <v>23.9696638150313</v>
      </c>
      <c r="H6503" s="6" t="n">
        <f aca="false">Sens!H6496-Sens!H6500-Sens!H6502</f>
        <v>63.8788298871227</v>
      </c>
      <c r="I6503" s="6" t="n">
        <f aca="false">Sens!I6496-Sens!I6500-Sens!I6502</f>
        <v>132.767267417774</v>
      </c>
      <c r="J6503" s="6" t="n">
        <f aca="false">Sens!J6496-Sens!J6500-Sens!J6502</f>
        <v>204.972139888296</v>
      </c>
      <c r="K6503" s="6" t="n">
        <f aca="false">Sens!K6496-Sens!K6500-Sens!K6502</f>
        <v>240.554016247862</v>
      </c>
      <c r="L6503" s="12" t="s">
        <v>1121</v>
      </c>
    </row>
    <row r="6504" customFormat="false" ht="15" hidden="false" customHeight="false" outlineLevel="0" collapsed="false">
      <c r="A6504" s="1" t="s">
        <v>1122</v>
      </c>
      <c r="B6504" s="0" t="s">
        <v>75</v>
      </c>
      <c r="F6504" s="8" t="n">
        <f aca="false">dps_27</f>
        <v>3.85</v>
      </c>
      <c r="G6504" s="8" t="n">
        <f aca="false">Sens!F6504*(1+dps_g)</f>
        <v>4.158</v>
      </c>
      <c r="H6504" s="8" t="n">
        <f aca="false">Sens!G6504*(1+dps_g)</f>
        <v>4.49064</v>
      </c>
      <c r="I6504" s="8" t="n">
        <f aca="false">Sens!H6504*(1+dps_g)</f>
        <v>4.8498912</v>
      </c>
      <c r="J6504" s="8" t="n">
        <f aca="false">Sens!I6504*(1+dps_g)</f>
        <v>5.237882496</v>
      </c>
      <c r="K6504" s="8" t="n">
        <f aca="false">Sens!J6504*(1+dps_g)</f>
        <v>5.65691309568</v>
      </c>
    </row>
    <row r="6505" customFormat="false" ht="17.15" hidden="false" customHeight="false" outlineLevel="0" collapsed="false">
      <c r="A6505" s="1" t="s">
        <v>1123</v>
      </c>
      <c r="B6505" s="0" t="s">
        <v>98</v>
      </c>
      <c r="E6505" s="6" t="n">
        <f aca="false">Q!M41</f>
        <v>26.445</v>
      </c>
      <c r="F6505" s="6" t="n">
        <f aca="false">Sens!F6504*Sens!E6514</f>
        <v>28.59395</v>
      </c>
      <c r="G6505" s="6" t="n">
        <f aca="false">Sens!G6504*Sens!F6514</f>
        <v>31.0636572659134</v>
      </c>
      <c r="H6505" s="6" t="n">
        <f aca="false">Sens!H6504*Sens!G6514</f>
        <v>33.7508286471865</v>
      </c>
      <c r="I6505" s="6" t="n">
        <f aca="false">Sens!I6504*Sens!H6514</f>
        <v>36.5013332160341</v>
      </c>
      <c r="J6505" s="6" t="n">
        <f aca="false">Sens!J6504*Sens!I6514</f>
        <v>39.4893377587094</v>
      </c>
      <c r="K6505" s="6" t="n">
        <f aca="false">Sens!K6504*Sens!J6514</f>
        <v>42.7352390417844</v>
      </c>
      <c r="L6505" s="1" t="s">
        <v>1124</v>
      </c>
    </row>
    <row r="6506" customFormat="false" ht="15" hidden="false" customHeight="false" outlineLevel="0" collapsed="false">
      <c r="A6506" s="1" t="s">
        <v>1125</v>
      </c>
      <c r="B6506" s="0" t="s">
        <v>98</v>
      </c>
      <c r="E6506" s="6" t="n">
        <f aca="false">Sens!E6503-Sens!E6505</f>
        <v>37.441</v>
      </c>
      <c r="F6506" s="6" t="n">
        <f aca="false">Sens!F6503-Sens!F6505</f>
        <v>-16.9401950525003</v>
      </c>
      <c r="G6506" s="6" t="n">
        <f aca="false">Sens!G6503-Sens!G6505</f>
        <v>-7.09399345088214</v>
      </c>
      <c r="H6506" s="6" t="n">
        <f aca="false">Sens!H6503-Sens!H6505</f>
        <v>30.1280012399362</v>
      </c>
      <c r="I6506" s="6" t="n">
        <f aca="false">Sens!I6503-Sens!I6505</f>
        <v>96.2659342017394</v>
      </c>
      <c r="J6506" s="6" t="n">
        <f aca="false">Sens!J6503-Sens!J6505</f>
        <v>165.482802129586</v>
      </c>
      <c r="K6506" s="6" t="n">
        <f aca="false">Sens!K6503-Sens!K6505</f>
        <v>197.818777206077</v>
      </c>
    </row>
    <row r="6507" customFormat="false" ht="15" hidden="false" customHeight="false" outlineLevel="0" collapsed="false">
      <c r="A6507" s="1" t="s">
        <v>1126</v>
      </c>
      <c r="B6507" s="0" t="s">
        <v>98</v>
      </c>
      <c r="F6507" s="6" t="n">
        <f aca="false">debt_mat_27</f>
        <v>9.25</v>
      </c>
      <c r="G6507" s="6" t="n">
        <f aca="false">debt_mat_28</f>
        <v>0</v>
      </c>
      <c r="H6507" s="6" t="n">
        <f aca="false">debt_mat_29</f>
        <v>2.001</v>
      </c>
      <c r="I6507" s="6" t="n">
        <f aca="false">debt_mat_30</f>
        <v>0</v>
      </c>
      <c r="J6507" s="6" t="n">
        <f aca="false">debt_mat_31</f>
        <v>0.5</v>
      </c>
      <c r="K6507" s="6" t="n">
        <f aca="false">debt_mat_32</f>
        <v>0</v>
      </c>
    </row>
    <row r="6508" customFormat="false" ht="15" hidden="false" customHeight="false" outlineLevel="0" collapsed="false">
      <c r="A6508" s="1" t="s">
        <v>1127</v>
      </c>
      <c r="B6508" s="0" t="s">
        <v>98</v>
      </c>
      <c r="E6508" s="6" t="n">
        <f aca="false">Q!M40</f>
        <v>22.271</v>
      </c>
      <c r="F6508" s="6" t="n">
        <f aca="false">MAX(0,MIN(bb_target,Sens!E6510+Sens!F6506-Sens!F6507-min_cash))</f>
        <v>0.652804947499689</v>
      </c>
      <c r="G6508" s="6" t="n">
        <f aca="false">MAX(0,MIN(bb_target,Sens!F6510+Sens!G6506-Sens!G6507-min_cash))</f>
        <v>0</v>
      </c>
      <c r="H6508" s="6" t="n">
        <f aca="false">MAX(0,MIN(bb_target,Sens!G6510+Sens!H6506-Sens!H6507-min_cash))</f>
        <v>22.271</v>
      </c>
      <c r="I6508" s="6" t="n">
        <f aca="false">MAX(0,MIN(bb_target,Sens!H6510+Sens!I6506-Sens!I6507-min_cash))</f>
        <v>22.271</v>
      </c>
      <c r="J6508" s="6" t="n">
        <f aca="false">MAX(0,MIN(bb_target,Sens!I6510+Sens!J6506-Sens!J6507-min_cash))</f>
        <v>22.271</v>
      </c>
      <c r="K6508" s="6" t="n">
        <f aca="false">MAX(0,MIN(bb_target,Sens!J6510+Sens!K6506-Sens!K6507-min_cash))</f>
        <v>22.271</v>
      </c>
    </row>
    <row r="6509" customFormat="false" ht="15" hidden="false" customHeight="false" outlineLevel="0" collapsed="false">
      <c r="A6509" s="1" t="s">
        <v>1128</v>
      </c>
      <c r="B6509" s="0" t="s">
        <v>98</v>
      </c>
      <c r="F6509" s="6" t="n">
        <f aca="false">MAX(0,min_cash-(Sens!E6510+Sens!F6506-Sens!F6507-Sens!F6508))</f>
        <v>0</v>
      </c>
      <c r="G6509" s="6" t="n">
        <f aca="false">MAX(0,min_cash-(Sens!F6510+Sens!G6506-Sens!G6507-Sens!G6508))</f>
        <v>7.09399345088214</v>
      </c>
      <c r="H6509" s="6" t="n">
        <f aca="false">MAX(0,min_cash-(Sens!G6510+Sens!H6506-Sens!H6507-Sens!H6508))</f>
        <v>0</v>
      </c>
      <c r="I6509" s="6" t="n">
        <f aca="false">MAX(0,min_cash-(Sens!H6510+Sens!I6506-Sens!I6507-Sens!I6508))</f>
        <v>0</v>
      </c>
      <c r="J6509" s="6" t="n">
        <f aca="false">MAX(0,min_cash-(Sens!I6510+Sens!J6506-Sens!J6507-Sens!J6508))</f>
        <v>0</v>
      </c>
      <c r="K6509" s="6" t="n">
        <f aca="false">MAX(0,min_cash-(Sens!J6510+Sens!K6506-Sens!K6507-Sens!K6508))</f>
        <v>0</v>
      </c>
    </row>
    <row r="6510" customFormat="false" ht="15" hidden="false" customHeight="false" outlineLevel="0" collapsed="false">
      <c r="A6510" s="1" t="s">
        <v>1129</v>
      </c>
      <c r="B6510" s="0" t="s">
        <v>98</v>
      </c>
      <c r="E6510" s="6" t="n">
        <f aca="false">cash_open</f>
        <v>76.843</v>
      </c>
      <c r="F6510" s="6" t="n">
        <f aca="false">Sens!E6510+Sens!F6506-Sens!F6507-Sens!F6508+Sens!F6509</f>
        <v>50</v>
      </c>
      <c r="G6510" s="6" t="n">
        <f aca="false">Sens!F6510+Sens!G6506-Sens!G6507-Sens!G6508+Sens!G6509</f>
        <v>50</v>
      </c>
      <c r="H6510" s="6" t="n">
        <f aca="false">Sens!G6510+Sens!H6506-Sens!H6507-Sens!H6508+Sens!H6509</f>
        <v>55.8560012399362</v>
      </c>
      <c r="I6510" s="6" t="n">
        <f aca="false">Sens!H6510+Sens!I6506-Sens!I6507-Sens!I6508+Sens!I6509</f>
        <v>129.850935441676</v>
      </c>
      <c r="J6510" s="6" t="n">
        <f aca="false">Sens!I6510+Sens!J6506-Sens!J6507-Sens!J6508+Sens!J6509</f>
        <v>272.562737571262</v>
      </c>
      <c r="K6510" s="6" t="n">
        <f aca="false">Sens!J6510+Sens!K6506-Sens!K6507-Sens!K6508+Sens!K6509</f>
        <v>448.110514777339</v>
      </c>
    </row>
    <row r="6511" customFormat="false" ht="15" hidden="false" customHeight="false" outlineLevel="0" collapsed="false">
      <c r="A6511" s="1" t="s">
        <v>1130</v>
      </c>
      <c r="B6511" s="0" t="s">
        <v>98</v>
      </c>
      <c r="E6511" s="6" t="n">
        <f aca="false">debt_face</f>
        <v>46.136</v>
      </c>
      <c r="F6511" s="6" t="n">
        <f aca="false">Sens!E6511-Sens!F6507+Sens!F6509</f>
        <v>36.886</v>
      </c>
      <c r="G6511" s="6" t="n">
        <f aca="false">Sens!F6511-Sens!G6507+Sens!G6509</f>
        <v>43.9799934508821</v>
      </c>
      <c r="H6511" s="6" t="n">
        <f aca="false">Sens!G6511-Sens!H6507+Sens!H6509</f>
        <v>41.9789934508821</v>
      </c>
      <c r="I6511" s="6" t="n">
        <f aca="false">Sens!H6511-Sens!I6507+Sens!I6509</f>
        <v>41.9789934508821</v>
      </c>
      <c r="J6511" s="6" t="n">
        <f aca="false">Sens!I6511-Sens!J6507+Sens!J6509</f>
        <v>41.4789934508821</v>
      </c>
      <c r="K6511" s="6" t="n">
        <f aca="false">Sens!J6511-Sens!K6507+Sens!K6509</f>
        <v>41.4789934508821</v>
      </c>
    </row>
    <row r="6512" customFormat="false" ht="15" hidden="false" customHeight="false" outlineLevel="0" collapsed="false">
      <c r="A6512" s="1" t="s">
        <v>1131</v>
      </c>
      <c r="B6512" s="0" t="s">
        <v>98</v>
      </c>
      <c r="E6512" s="6" t="n">
        <f aca="false">Sens!E6510-Sens!E6511</f>
        <v>30.707</v>
      </c>
      <c r="F6512" s="6" t="n">
        <f aca="false">Sens!F6510-Sens!F6511</f>
        <v>13.114</v>
      </c>
      <c r="G6512" s="6" t="n">
        <f aca="false">Sens!G6510-Sens!G6511</f>
        <v>6.02000654911786</v>
      </c>
      <c r="H6512" s="6" t="n">
        <f aca="false">Sens!H6510-Sens!H6511</f>
        <v>13.877007789054</v>
      </c>
      <c r="I6512" s="6" t="n">
        <f aca="false">Sens!I6510-Sens!I6511</f>
        <v>87.8719419907934</v>
      </c>
      <c r="J6512" s="6" t="n">
        <f aca="false">Sens!J6510-Sens!J6511</f>
        <v>231.08374412038</v>
      </c>
      <c r="K6512" s="6" t="n">
        <f aca="false">Sens!K6510-Sens!K6511</f>
        <v>406.631521326457</v>
      </c>
    </row>
    <row r="6513" customFormat="false" ht="15" hidden="false" customHeight="false" outlineLevel="0" collapsed="false">
      <c r="A6513" s="1" t="s">
        <v>1132</v>
      </c>
      <c r="B6513" s="0" t="s">
        <v>75</v>
      </c>
      <c r="F6513" s="30" t="n">
        <f aca="false">px*(1+bb_g)^(Sens!F6371-base_fy-mid_yr)</f>
        <v>551.84177959629</v>
      </c>
      <c r="G6513" s="30" t="n">
        <f aca="false">px*(1+bb_g)^(Sens!G6371-base_fy-mid_yr)</f>
        <v>595.989121963993</v>
      </c>
      <c r="H6513" s="30" t="n">
        <f aca="false">px*(1+bb_g)^(Sens!H6371-base_fy-mid_yr)</f>
        <v>643.668251721112</v>
      </c>
      <c r="I6513" s="30" t="n">
        <f aca="false">px*(1+bb_g)^(Sens!I6371-base_fy-mid_yr)</f>
        <v>695.161711858801</v>
      </c>
      <c r="J6513" s="30" t="n">
        <f aca="false">px*(1+bb_g)^(Sens!J6371-base_fy-mid_yr)</f>
        <v>750.774648807506</v>
      </c>
      <c r="K6513" s="30" t="n">
        <f aca="false">px*(1+bb_g)^(Sens!K6371-base_fy-mid_yr)</f>
        <v>810.836620712106</v>
      </c>
    </row>
    <row r="6514" customFormat="false" ht="15" hidden="false" customHeight="false" outlineLevel="0" collapsed="false">
      <c r="A6514" s="1" t="s">
        <v>1133</v>
      </c>
      <c r="B6514" s="1" t="s">
        <v>81</v>
      </c>
      <c r="E6514" s="15" t="n">
        <f aca="false">sh_out26</f>
        <v>7.427</v>
      </c>
      <c r="F6514" s="15" t="n">
        <f aca="false">Sens!E6514+sh_iss-Sens!F6508/Sens!F6513</f>
        <v>7.47081704326922</v>
      </c>
      <c r="G6514" s="15" t="n">
        <f aca="false">Sens!F6514+sh_iss-Sens!G6508/Sens!G6513</f>
        <v>7.51581704326922</v>
      </c>
      <c r="H6514" s="15" t="n">
        <f aca="false">Sens!G6514+sh_iss-Sens!H6508/Sens!H6513</f>
        <v>7.52621692132682</v>
      </c>
      <c r="I6514" s="15" t="n">
        <f aca="false">Sens!H6514+sh_iss-Sens!I6508/Sens!I6513</f>
        <v>7.53917977138016</v>
      </c>
      <c r="J6514" s="15" t="n">
        <f aca="false">Sens!I6514+sh_iss-Sens!J6508/Sens!J6513</f>
        <v>7.55451574365177</v>
      </c>
      <c r="K6514" s="15" t="n">
        <f aca="false">Sens!J6514+sh_iss-Sens!K6508/Sens!K6513</f>
        <v>7.57204905131066</v>
      </c>
    </row>
    <row r="6515" customFormat="false" ht="15" hidden="false" customHeight="false" outlineLevel="0" collapsed="false">
      <c r="A6515" s="1" t="s">
        <v>1134</v>
      </c>
      <c r="B6515" s="1" t="s">
        <v>81</v>
      </c>
      <c r="E6515" s="15" t="n">
        <f aca="false">sh_dil26</f>
        <v>7.453</v>
      </c>
      <c r="F6515" s="15" t="n">
        <f aca="false">(Sens!E6514+Sens!F6514)/2+dil_gap</f>
        <v>7.47290852163461</v>
      </c>
      <c r="G6515" s="15" t="n">
        <f aca="false">(Sens!F6514+Sens!G6514)/2+dil_gap</f>
        <v>7.51731704326922</v>
      </c>
      <c r="H6515" s="15" t="n">
        <f aca="false">(Sens!G6514+Sens!H6514)/2+dil_gap</f>
        <v>7.54501698229802</v>
      </c>
      <c r="I6515" s="15" t="n">
        <f aca="false">(Sens!H6514+Sens!I6514)/2+dil_gap</f>
        <v>7.55669834635349</v>
      </c>
      <c r="J6515" s="15" t="n">
        <f aca="false">(Sens!I6514+Sens!J6514)/2+dil_gap</f>
        <v>7.57084775751596</v>
      </c>
      <c r="K6515" s="15" t="n">
        <f aca="false">(Sens!J6514+Sens!K6514)/2+dil_gap</f>
        <v>7.58728239748121</v>
      </c>
    </row>
    <row r="6516" customFormat="false" ht="17.15" hidden="false" customHeight="false" outlineLevel="0" collapsed="false">
      <c r="A6516" s="1" t="s">
        <v>1135</v>
      </c>
      <c r="B6516" s="0" t="s">
        <v>98</v>
      </c>
      <c r="C6516" s="6" t="n">
        <f aca="false">SUM(Sens!F6506:J6506)</f>
        <v>267.84254906788</v>
      </c>
    </row>
    <row r="6517" customFormat="false" ht="15" hidden="false" customHeight="false" outlineLevel="0" collapsed="false">
      <c r="A6517" s="26" t="s">
        <v>1100</v>
      </c>
      <c r="B6517" s="31" t="s">
        <v>98</v>
      </c>
      <c r="C6517" s="27" t="n">
        <f aca="false">Sens!$C$6516-(Sens!F6506+Sens!G6506+Sens!H6506+Sens!I6506+Sens!J6506)</f>
        <v>0</v>
      </c>
      <c r="D6517" s="31"/>
      <c r="E6517" s="31"/>
      <c r="F6517" s="31"/>
      <c r="G6517" s="31"/>
      <c r="H6517" s="31"/>
      <c r="I6517" s="31"/>
      <c r="J6517" s="31"/>
      <c r="K6517" s="31"/>
    </row>
    <row r="6518" customFormat="false" ht="17.15" hidden="false" customHeight="false" outlineLevel="0" collapsed="false">
      <c r="A6518" s="1" t="s">
        <v>1094</v>
      </c>
      <c r="B6518" s="1" t="s">
        <v>1136</v>
      </c>
      <c r="C6518" s="33" t="str">
        <f aca="false">IF(SUM(Sens!F6509:J6509)&gt;0.05,"需要舉債 "&amp;TEXT(SUM(Sens!F6509:J6509),"0.0")&amp;" 十億美元","不需舉債")&amp;"；"&amp;IF(SUM(Sens!F6508:J6508)&lt;COUNT(Sens!F6508:J6508)*bb_target-0.05,"回購較每年 "&amp;TEXT(bb_target,"0.0")&amp;" 的目標少 "&amp;TEXT(COUNT(Sens!F6508:J6508)*bb_target-SUM(Sens!F6508:J6508),"0.0")&amp;" 十億美元（"&amp;TEXT(COUNTIF(Sens!F6508:J6508,"&lt;"&amp;(bb_target-0.05)),"0")&amp;" 年減少）","回購不減")</f>
        <v>需要舉債 7.1 十億美元；回購較每年 22.3 的目標少 43.9 十億美元（2 年減少）</v>
      </c>
    </row>
    <row r="6519" customFormat="false" ht="17.15" hidden="false" customHeight="false" outlineLevel="0" collapsed="false">
      <c r="A6519" s="3" t="s">
        <v>1774</v>
      </c>
    </row>
    <row r="6520" customFormat="false" ht="15" hidden="false" customHeight="false" outlineLevel="0" collapsed="false">
      <c r="A6520" s="4" t="s">
        <v>43</v>
      </c>
      <c r="B6520" s="4" t="s">
        <v>65</v>
      </c>
      <c r="C6520" s="23" t="s">
        <v>942</v>
      </c>
      <c r="D6520" s="23" t="s">
        <v>943</v>
      </c>
      <c r="E6520" s="23" t="s">
        <v>944</v>
      </c>
      <c r="F6520" s="23" t="s">
        <v>945</v>
      </c>
      <c r="G6520" s="23" t="s">
        <v>946</v>
      </c>
      <c r="H6520" s="23" t="s">
        <v>947</v>
      </c>
      <c r="I6520" s="23" t="s">
        <v>948</v>
      </c>
      <c r="J6520" s="23" t="s">
        <v>949</v>
      </c>
      <c r="K6520" s="23" t="s">
        <v>950</v>
      </c>
      <c r="L6520" s="4" t="s">
        <v>47</v>
      </c>
    </row>
    <row r="6521" customFormat="false" ht="17.15" hidden="false" customHeight="false" outlineLevel="0" collapsed="false">
      <c r="A6521" s="1" t="s">
        <v>1216</v>
      </c>
      <c r="B6521" s="1" t="s">
        <v>279</v>
      </c>
      <c r="F6521" s="8" t="n">
        <f aca="false">(1-v_off)*mid_yr</f>
        <v>0.373972602739726</v>
      </c>
      <c r="G6521" s="8" t="n">
        <f aca="false">Sens!G6371-base_fy-mid_yr-v_off</f>
        <v>1.24794520547945</v>
      </c>
      <c r="H6521" s="8" t="n">
        <f aca="false">Sens!H6371-base_fy-mid_yr-v_off</f>
        <v>2.24794520547945</v>
      </c>
      <c r="I6521" s="8" t="n">
        <f aca="false">Sens!I6371-base_fy-mid_yr-v_off</f>
        <v>3.24794520547945</v>
      </c>
      <c r="J6521" s="8" t="n">
        <f aca="false">Sens!J6371-base_fy-mid_yr-v_off</f>
        <v>4.24794520547945</v>
      </c>
      <c r="K6521" s="8" t="n">
        <f aca="false">Sens!K6371-base_fy-mid_yr-v_off</f>
        <v>5.24794520547945</v>
      </c>
      <c r="L6521" s="12" t="s">
        <v>1217</v>
      </c>
    </row>
    <row r="6522" customFormat="false" ht="15" hidden="false" customHeight="false" outlineLevel="0" collapsed="false">
      <c r="A6522" s="1" t="s">
        <v>1218</v>
      </c>
      <c r="B6522" s="1" t="s">
        <v>279</v>
      </c>
      <c r="F6522" s="8" t="n">
        <f aca="false">Sens!F6371-base_fy-v_off</f>
        <v>0.747945205479452</v>
      </c>
      <c r="G6522" s="8" t="n">
        <f aca="false">Sens!G6371-base_fy-v_off</f>
        <v>1.74794520547945</v>
      </c>
      <c r="H6522" s="8" t="n">
        <f aca="false">Sens!H6371-base_fy-v_off</f>
        <v>2.74794520547945</v>
      </c>
      <c r="I6522" s="8" t="n">
        <f aca="false">Sens!I6371-base_fy-v_off</f>
        <v>3.74794520547945</v>
      </c>
      <c r="J6522" s="8" t="n">
        <f aca="false">Sens!J6371-base_fy-v_off</f>
        <v>4.74794520547945</v>
      </c>
      <c r="K6522" s="8" t="n">
        <f aca="false">Sens!K6371-base_fy-v_off</f>
        <v>5.74794520547945</v>
      </c>
    </row>
    <row r="6523" customFormat="false" ht="15" hidden="false" customHeight="false" outlineLevel="0" collapsed="false">
      <c r="A6523" s="1" t="s">
        <v>1219</v>
      </c>
      <c r="B6523" s="0" t="s">
        <v>229</v>
      </c>
      <c r="F6523" s="15" t="n">
        <f aca="false">1/(1+wacc)^Sens!F6521</f>
        <v>0.964022703286649</v>
      </c>
      <c r="G6523" s="15" t="n">
        <f aca="false">1/(1+wacc)^Sens!G6521</f>
        <v>0.884910302296739</v>
      </c>
      <c r="H6523" s="15" t="n">
        <f aca="false">1/(1+wacc)^Sens!H6521</f>
        <v>0.802322009770358</v>
      </c>
      <c r="I6523" s="15" t="n">
        <f aca="false">1/(1+wacc)^Sens!I6521</f>
        <v>0.727441646561469</v>
      </c>
      <c r="J6523" s="15" t="n">
        <f aca="false">1/(1+wacc)^Sens!J6521</f>
        <v>0.659549834988973</v>
      </c>
      <c r="K6523" s="15" t="n">
        <f aca="false">1/(1+wacc)^Sens!K6521</f>
        <v>0.597994336576966</v>
      </c>
    </row>
    <row r="6524" customFormat="false" ht="17.15" hidden="false" customHeight="false" outlineLevel="0" collapsed="false">
      <c r="A6524" s="1" t="s">
        <v>1220</v>
      </c>
      <c r="B6524" s="0" t="s">
        <v>98</v>
      </c>
      <c r="F6524" s="6" t="n">
        <f aca="false">Q!$I$35-Q!$I$39-Q!$I$43</f>
        <v>9.666</v>
      </c>
      <c r="L6524" s="12" t="s">
        <v>1221</v>
      </c>
    </row>
    <row r="6525" customFormat="false" ht="17.15" hidden="false" customHeight="false" outlineLevel="0" collapsed="false">
      <c r="A6525" s="1" t="s">
        <v>1222</v>
      </c>
      <c r="B6525" s="0" t="s">
        <v>98</v>
      </c>
      <c r="F6525" s="6" t="n">
        <f aca="false">Sens!F6496-Sens!F6493-Sens!F6500+Sens!F6478*(1-tax_f)*(1-v_off)-Sens!F6524</f>
        <v>-2.99522099719831</v>
      </c>
      <c r="G6525" s="6" t="n">
        <f aca="false">Sens!G6496-Sens!G6493-Sens!G6500+Sens!G6478*(1-tax_f)</f>
        <v>30.817424154267</v>
      </c>
      <c r="H6525" s="6" t="n">
        <f aca="false">Sens!H6496-Sens!H6493-Sens!H6500+Sens!H6478*(1-tax_f)</f>
        <v>80.9197834815951</v>
      </c>
      <c r="I6525" s="6" t="n">
        <f aca="false">Sens!I6496-Sens!I6493-Sens!I6500+Sens!I6478*(1-tax_f)</f>
        <v>159.481586177558</v>
      </c>
      <c r="J6525" s="6" t="n">
        <f aca="false">Sens!J6496-Sens!J6493-Sens!J6500+Sens!J6478*(1-tax_f)</f>
        <v>238.217687384372</v>
      </c>
      <c r="K6525" s="6" t="n">
        <f aca="false">Sens!K6496-Sens!K6493-Sens!K6500+Sens!K6478*(1-tax_f)</f>
        <v>276.88194776303</v>
      </c>
      <c r="L6525" s="1" t="s">
        <v>1223</v>
      </c>
    </row>
    <row r="6526" customFormat="false" ht="15" hidden="false" customHeight="false" outlineLevel="0" collapsed="false">
      <c r="A6526" s="1" t="s">
        <v>1224</v>
      </c>
      <c r="B6526" s="0" t="s">
        <v>98</v>
      </c>
      <c r="F6526" s="6" t="n">
        <f aca="false">Sens!F6525*Sens!F6523</f>
        <v>-2.88746104266005</v>
      </c>
      <c r="G6526" s="6" t="n">
        <f aca="false">Sens!G6525*Sens!G6523</f>
        <v>27.2706561243592</v>
      </c>
      <c r="H6526" s="6" t="n">
        <f aca="false">Sens!H6525*Sens!H6523</f>
        <v>64.9237233131356</v>
      </c>
      <c r="I6526" s="6" t="n">
        <f aca="false">Sens!I6525*Sens!I6523</f>
        <v>116.013547645237</v>
      </c>
      <c r="J6526" s="6" t="n">
        <f aca="false">Sens!J6525*Sens!J6523</f>
        <v>157.116436405817</v>
      </c>
      <c r="K6526" s="6" t="n">
        <f aca="false">Sens!K6525*Sens!K6523</f>
        <v>165.573836662691</v>
      </c>
    </row>
    <row r="6527" customFormat="false" ht="17.15" hidden="false" customHeight="false" outlineLevel="0" collapsed="false">
      <c r="A6527" s="1" t="s">
        <v>1225</v>
      </c>
      <c r="B6527" s="0" t="s">
        <v>98</v>
      </c>
      <c r="C6527" s="6" t="n">
        <f aca="false">SUM(Sens!F6526:K6526)</f>
        <v>528.010739108581</v>
      </c>
    </row>
    <row r="6528" customFormat="false" ht="17.15" hidden="false" customHeight="false" outlineLevel="0" collapsed="false">
      <c r="A6528" s="1" t="s">
        <v>1226</v>
      </c>
      <c r="B6528" s="0" t="s">
        <v>98</v>
      </c>
      <c r="C6528" s="6" t="n">
        <f aca="false">Sens!K6464*(1+g_tv)*(1-tax_f)</f>
        <v>288.218369370696</v>
      </c>
    </row>
    <row r="6529" customFormat="false" ht="17.15" hidden="false" customHeight="false" outlineLevel="0" collapsed="false">
      <c r="A6529" s="1" t="s">
        <v>1227</v>
      </c>
      <c r="B6529" s="0" t="s">
        <v>98</v>
      </c>
      <c r="C6529" s="6" t="n">
        <f aca="false">Sens!$C$6528*(1-g_tv/(wacc+ronic_prem))</f>
        <v>204.219559990165</v>
      </c>
    </row>
    <row r="6530" customFormat="false" ht="17.15" hidden="false" customHeight="false" outlineLevel="0" collapsed="false">
      <c r="A6530" s="1" t="s">
        <v>1228</v>
      </c>
      <c r="B6530" s="0" t="s">
        <v>98</v>
      </c>
      <c r="C6530" s="6" t="n">
        <f aca="false">Sens!$C$6529/(wacc-g_tv)</f>
        <v>2799.96031268435</v>
      </c>
    </row>
    <row r="6531" customFormat="false" ht="15" hidden="false" customHeight="false" outlineLevel="0" collapsed="false">
      <c r="A6531" s="1" t="s">
        <v>1229</v>
      </c>
      <c r="B6531" s="0" t="s">
        <v>98</v>
      </c>
      <c r="C6531" s="6" t="n">
        <f aca="false">Sens!$C$6530/(1+wacc)^Sens!K6522</f>
        <v>1594.3133180731</v>
      </c>
    </row>
    <row r="6532" customFormat="false" ht="17.15" hidden="false" customHeight="false" outlineLevel="0" collapsed="false">
      <c r="A6532" s="0" t="s">
        <v>1230</v>
      </c>
      <c r="B6532" s="0" t="s">
        <v>98</v>
      </c>
      <c r="C6532" s="6" t="n">
        <f aca="false">Sens!$C$6527+Sens!$C$6531</f>
        <v>2122.32405718168</v>
      </c>
    </row>
    <row r="6533" customFormat="false" ht="15" hidden="false" customHeight="false" outlineLevel="0" collapsed="false">
      <c r="A6533" s="1" t="s">
        <v>1145</v>
      </c>
      <c r="B6533" s="0" t="s">
        <v>168</v>
      </c>
      <c r="C6533" s="7" t="n">
        <f aca="false">Sens!$C$6531/Sens!$C$6532</f>
        <v>0.7512110663205</v>
      </c>
    </row>
    <row r="6534" customFormat="false" ht="17.15" hidden="false" customHeight="false" outlineLevel="0" collapsed="false">
      <c r="A6534" s="1" t="s">
        <v>1231</v>
      </c>
      <c r="B6534" s="0" t="s">
        <v>98</v>
      </c>
      <c r="C6534" s="6" t="n">
        <f aca="false">Sens!$C$6532+cash_val-debt_val-fl_val+oai_v</f>
        <v>2238.17505718168</v>
      </c>
    </row>
    <row r="6535" customFormat="false" ht="17.15" hidden="false" customHeight="false" outlineLevel="0" collapsed="false">
      <c r="A6535" s="0" t="s">
        <v>1153</v>
      </c>
      <c r="B6535" s="0" t="s">
        <v>75</v>
      </c>
      <c r="C6535" s="5" t="n">
        <f aca="false">Sens!$C$6534/shd_val</f>
        <v>300.587571472157</v>
      </c>
    </row>
    <row r="6536" customFormat="false" ht="15" hidden="false" customHeight="false" outlineLevel="0" collapsed="false">
      <c r="A6536" s="1" t="s">
        <v>1232</v>
      </c>
      <c r="B6536" s="0" t="s">
        <v>75</v>
      </c>
      <c r="C6536" s="8" t="n">
        <f aca="false">div_rem27+Sens!G6504*roll_div_q/q_per_yr</f>
        <v>3.9795</v>
      </c>
    </row>
    <row r="6537" customFormat="false" ht="17.15" hidden="false" customHeight="false" outlineLevel="0" collapsed="false">
      <c r="A6537" s="0" t="s">
        <v>1233</v>
      </c>
      <c r="B6537" s="0" t="s">
        <v>75</v>
      </c>
      <c r="C6537" s="5" t="n">
        <f aca="false">Sens!$C$6535*(1+wacc)^t_roll-Sens!$C$6536</f>
        <v>330.140361707249</v>
      </c>
    </row>
    <row r="6538" customFormat="false" ht="17.15" hidden="false" customHeight="false" outlineLevel="0" collapsed="false">
      <c r="A6538" s="1" t="s">
        <v>1234</v>
      </c>
      <c r="B6538" s="0" t="s">
        <v>168</v>
      </c>
      <c r="F6538" s="7" t="n">
        <f aca="false">Sens!F6490/(Sens!F6435-Sens!F6390)</f>
        <v>0.068646025067289</v>
      </c>
      <c r="G6538" s="7" t="n">
        <f aca="false">Sens!G6490/(Sens!G6435-Sens!G6390)</f>
        <v>0.0658520896768407</v>
      </c>
      <c r="H6538" s="7" t="n">
        <f aca="false">Sens!H6490/(Sens!H6435-Sens!H6390)</f>
        <v>0.0644019138715313</v>
      </c>
      <c r="I6538" s="7" t="n">
        <f aca="false">Sens!I6490/(Sens!I6435-Sens!I6390)</f>
        <v>0.0641747477557122</v>
      </c>
      <c r="J6538" s="7" t="n">
        <f aca="false">Sens!J6490/(Sens!J6435-Sens!J6390)</f>
        <v>0.0648884609506993</v>
      </c>
      <c r="K6538" s="7" t="n">
        <f aca="false">Sens!K6490/(Sens!K6435-Sens!K6390)</f>
        <v>0.0661960129465075</v>
      </c>
    </row>
    <row r="6539" customFormat="false" ht="17.15" hidden="false" customHeight="false" outlineLevel="0" collapsed="false">
      <c r="A6539" s="0" t="s">
        <v>1235</v>
      </c>
      <c r="B6539" s="0" t="s">
        <v>98</v>
      </c>
      <c r="F6539" s="6" t="n">
        <f aca="false">Sens!F6420*(al_m365+Sens!F6538+sbc_r)</f>
        <v>83.7236994413656</v>
      </c>
      <c r="G6539" s="6" t="n">
        <f aca="false">Sens!G6420*(al_m365+Sens!G6538+sbc_r)</f>
        <v>96.1326911154139</v>
      </c>
      <c r="H6539" s="6" t="n">
        <f aca="false">Sens!H6420*(al_m365+Sens!H6538+sbc_r)</f>
        <v>108.705453945293</v>
      </c>
      <c r="I6539" s="6" t="n">
        <f aca="false">Sens!I6420*(al_m365+Sens!I6538+sbc_r)</f>
        <v>120.26131599106</v>
      </c>
      <c r="J6539" s="6" t="n">
        <f aca="false">Sens!J6420*(al_m365+Sens!J6538+sbc_r)</f>
        <v>130.612388166081</v>
      </c>
      <c r="K6539" s="6" t="n">
        <f aca="false">Sens!K6420*(al_m365+Sens!K6538+sbc_r)</f>
        <v>140.574809346974</v>
      </c>
      <c r="L6539" s="12" t="s">
        <v>1236</v>
      </c>
    </row>
    <row r="6540" customFormat="false" ht="17.15" hidden="false" customHeight="false" outlineLevel="0" collapsed="false">
      <c r="A6540" s="0" t="s">
        <v>1237</v>
      </c>
      <c r="B6540" s="0" t="s">
        <v>98</v>
      </c>
      <c r="F6540" s="6" t="n">
        <f aca="false">Sens!F6421*(al_lic+Sens!F6538+sbc_r)</f>
        <v>32.8587813192582</v>
      </c>
      <c r="G6540" s="6" t="n">
        <f aca="false">Sens!G6421*(al_lic+Sens!G6538+sbc_r)</f>
        <v>34.1383761403248</v>
      </c>
      <c r="H6540" s="6" t="n">
        <f aca="false">Sens!H6421*(al_lic+Sens!H6538+sbc_r)</f>
        <v>35.3330868158498</v>
      </c>
      <c r="I6540" s="6" t="n">
        <f aca="false">Sens!I6421*(al_lic+Sens!I6538+sbc_r)</f>
        <v>36.4247779970684</v>
      </c>
      <c r="J6540" s="6" t="n">
        <f aca="false">Sens!J6421*(al_lic+Sens!J6538+sbc_r)</f>
        <v>37.3880546784444</v>
      </c>
      <c r="K6540" s="6" t="n">
        <f aca="false">Sens!K6421*(al_lic+Sens!K6538+sbc_r)</f>
        <v>38.1943236401323</v>
      </c>
    </row>
    <row r="6541" customFormat="false" ht="17.15" hidden="false" customHeight="false" outlineLevel="0" collapsed="false">
      <c r="A6541" s="0" t="s">
        <v>1238</v>
      </c>
      <c r="B6541" s="0" t="s">
        <v>98</v>
      </c>
      <c r="F6541" s="6" t="n">
        <f aca="false">Sens!F6423*(al_ind+Sens!F6538+sbc_r)</f>
        <v>9.06100745634161</v>
      </c>
      <c r="G6541" s="6" t="n">
        <f aca="false">Sens!G6423*(al_ind+Sens!G6538+sbc_r)</f>
        <v>9.83664780068097</v>
      </c>
      <c r="H6541" s="6" t="n">
        <f aca="false">Sens!H6423*(al_ind+Sens!H6538+sbc_r)</f>
        <v>10.6573436303807</v>
      </c>
      <c r="I6541" s="6" t="n">
        <f aca="false">Sens!I6423*(al_ind+Sens!I6538+sbc_r)</f>
        <v>11.5200604483975</v>
      </c>
      <c r="J6541" s="6" t="n">
        <f aca="false">Sens!J6423*(al_ind+Sens!J6538+sbc_r)</f>
        <v>12.4150889054699</v>
      </c>
      <c r="K6541" s="6" t="n">
        <f aca="false">Sens!K6423*(al_ind+Sens!K6538+sbc_r)</f>
        <v>13.3273242504966</v>
      </c>
    </row>
    <row r="6542" customFormat="false" ht="17.15" hidden="false" customHeight="false" outlineLevel="0" collapsed="false">
      <c r="A6542" s="0" t="s">
        <v>1239</v>
      </c>
      <c r="B6542" s="0" t="s">
        <v>98</v>
      </c>
      <c r="F6542" s="6" t="n">
        <f aca="false">Sens!F6425*(al_fro+Sens!F6538+sbc_r)</f>
        <v>3.55426110931073</v>
      </c>
      <c r="G6542" s="6" t="n">
        <f aca="false">Sens!G6425*(al_fro+Sens!G6538+sbc_r)</f>
        <v>3.76378974073882</v>
      </c>
      <c r="H6542" s="6" t="n">
        <f aca="false">Sens!H6425*(al_fro+Sens!H6538+sbc_r)</f>
        <v>4.00233272542542</v>
      </c>
      <c r="I6542" s="6" t="n">
        <f aca="false">Sens!I6425*(al_fro+Sens!I6538+sbc_r)</f>
        <v>4.27265191323076</v>
      </c>
      <c r="J6542" s="6" t="n">
        <f aca="false">Sens!J6425*(al_fro+Sens!J6538+sbc_r)</f>
        <v>4.57589182262049</v>
      </c>
      <c r="K6542" s="6" t="n">
        <f aca="false">Sens!K6425*(al_fro+Sens!K6538+sbc_r)</f>
        <v>4.91211899645683</v>
      </c>
    </row>
    <row r="6543" customFormat="false" ht="17.15" hidden="false" customHeight="false" outlineLevel="0" collapsed="false">
      <c r="A6543" s="0" t="s">
        <v>1240</v>
      </c>
      <c r="B6543" s="0" t="s">
        <v>98</v>
      </c>
      <c r="F6543" s="6" t="n">
        <f aca="false">Sens!F6428*(al_srch+Sens!F6538+sbc_r)</f>
        <v>11.1898194653161</v>
      </c>
      <c r="G6543" s="6" t="n">
        <f aca="false">Sens!G6428*(al_srch+Sens!G6538+sbc_r)</f>
        <v>12.2623085524038</v>
      </c>
      <c r="H6543" s="6" t="n">
        <f aca="false">Sens!H6428*(al_srch+Sens!H6538+sbc_r)</f>
        <v>13.3798976574276</v>
      </c>
      <c r="I6543" s="6" t="n">
        <f aca="false">Sens!I6428*(al_srch+Sens!I6538+sbc_r)</f>
        <v>14.5319679120265</v>
      </c>
      <c r="J6543" s="6" t="n">
        <f aca="false">Sens!J6428*(al_srch+Sens!J6538+sbc_r)</f>
        <v>15.6985380576467</v>
      </c>
      <c r="K6543" s="6" t="n">
        <f aca="false">Sens!K6428*(al_srch+Sens!K6538+sbc_r)</f>
        <v>16.8520345320153</v>
      </c>
    </row>
    <row r="6544" customFormat="false" ht="17.15" hidden="false" customHeight="false" outlineLevel="0" collapsed="false">
      <c r="A6544" s="0" t="s">
        <v>1241</v>
      </c>
      <c r="B6544" s="0" t="s">
        <v>98</v>
      </c>
      <c r="F6544" s="6" t="n">
        <f aca="false">Sens!F6396-Sens!F6397+Sens!F6478</f>
        <v>43.1462864697316</v>
      </c>
      <c r="G6544" s="6" t="n">
        <f aca="false">Sens!G6396-Sens!G6397+Sens!G6478</f>
        <v>82.8102937676677</v>
      </c>
      <c r="H6544" s="6" t="n">
        <f aca="false">Sens!H6396-Sens!H6397+Sens!H6478</f>
        <v>125.342920987758</v>
      </c>
      <c r="I6544" s="6" t="n">
        <f aca="false">Sens!I6396-Sens!I6397+Sens!I6478</f>
        <v>163.424683054997</v>
      </c>
      <c r="J6544" s="6" t="n">
        <f aca="false">Sens!J6396-Sens!J6397+Sens!J6478</f>
        <v>190.261180411804</v>
      </c>
      <c r="K6544" s="6" t="n">
        <f aca="false">Sens!K6396-Sens!K6397+Sens!K6478</f>
        <v>206.850068213465</v>
      </c>
    </row>
    <row r="6545" customFormat="false" ht="17.15" hidden="false" customHeight="false" outlineLevel="0" collapsed="false">
      <c r="A6545" s="0" t="s">
        <v>1242</v>
      </c>
      <c r="B6545" s="0" t="s">
        <v>98</v>
      </c>
      <c r="F6545" s="6" t="n">
        <f aca="false">Sens!F6457+Sens!F6478+Sens!F6408+Sens!F6538*(Sens!F6427-Sens!F6390)+sbc_r*Sens!F6427</f>
        <v>238.562086142628</v>
      </c>
      <c r="G6545" s="6" t="n">
        <f aca="false">Sens!G6457+Sens!G6478+Sens!G6408+Sens!G6538*(Sens!G6427-Sens!G6390)+sbc_r*Sens!G6427</f>
        <v>301.17316371352</v>
      </c>
      <c r="H6545" s="6" t="n">
        <f aca="false">Sens!H6457+Sens!H6478+Sens!H6408+Sens!H6538*(Sens!H6427-Sens!H6390)+sbc_r*Sens!H6427</f>
        <v>371.478907570511</v>
      </c>
      <c r="I6545" s="6" t="n">
        <f aca="false">Sens!I6457+Sens!I6478+Sens!I6408+Sens!I6538*(Sens!I6427-Sens!I6390)+sbc_r*Sens!I6427</f>
        <v>435.951482773419</v>
      </c>
      <c r="J6545" s="6" t="n">
        <f aca="false">Sens!J6457+Sens!J6478+Sens!J6408+Sens!J6538*(Sens!J6427-Sens!J6390)+sbc_r*Sens!J6427</f>
        <v>486.717370279552</v>
      </c>
      <c r="K6545" s="6" t="n">
        <f aca="false">Sens!K6457+Sens!K6478+Sens!K6408+Sens!K6538*(Sens!K6427-Sens!K6390)+sbc_r*Sens!K6427</f>
        <v>524.845590654625</v>
      </c>
    </row>
    <row r="6546" customFormat="false" ht="17.15" hidden="false" customHeight="false" outlineLevel="0" collapsed="false">
      <c r="A6546" s="0" t="s">
        <v>1243</v>
      </c>
      <c r="B6546" s="0" t="s">
        <v>98</v>
      </c>
      <c r="F6546" s="6" t="n">
        <f aca="false">Sens!F6545-Sens!F6539-Sens!F6540-Sens!F6541-Sens!F6542-Sens!F6544</f>
        <v>66.2180503466198</v>
      </c>
      <c r="G6546" s="6" t="n">
        <f aca="false">Sens!G6545-Sens!G6539-Sens!G6540-Sens!G6541-Sens!G6542-Sens!G6544</f>
        <v>74.4913651486935</v>
      </c>
      <c r="H6546" s="6" t="n">
        <f aca="false">Sens!H6545-Sens!H6539-Sens!H6540-Sens!H6541-Sens!H6542-Sens!H6544</f>
        <v>87.4377694658042</v>
      </c>
      <c r="I6546" s="6" t="n">
        <f aca="false">Sens!I6545-Sens!I6539-Sens!I6540-Sens!I6541-Sens!I6542-Sens!I6544</f>
        <v>100.047993368665</v>
      </c>
      <c r="J6546" s="6" t="n">
        <f aca="false">Sens!J6545-Sens!J6539-Sens!J6540-Sens!J6541-Sens!J6542-Sens!J6544</f>
        <v>111.464766295131</v>
      </c>
      <c r="K6546" s="6" t="n">
        <f aca="false">Sens!K6545-Sens!K6539-Sens!K6540-Sens!K6541-Sens!K6542-Sens!K6544</f>
        <v>120.9869462071</v>
      </c>
    </row>
    <row r="6547" customFormat="false" ht="17.15" hidden="false" customHeight="false" outlineLevel="0" collapsed="false">
      <c r="A6547" s="0" t="s">
        <v>1244</v>
      </c>
      <c r="B6547" s="0" t="s">
        <v>98</v>
      </c>
      <c r="F6547" s="6" t="n">
        <f aca="false">Sens!F6459+Sens!F6538*Sens!F6434+sbc_r*Sens!F6434</f>
        <v>26.6353379128783</v>
      </c>
      <c r="G6547" s="6" t="n">
        <f aca="false">Sens!G6459+Sens!G6538*Sens!G6434+sbc_r*Sens!G6434</f>
        <v>26.4733274762513</v>
      </c>
      <c r="H6547" s="6" t="n">
        <f aca="false">Sens!H6459+Sens!H6538*Sens!H6434+sbc_r*Sens!H6434</f>
        <v>27.3476417315973</v>
      </c>
      <c r="I6547" s="6" t="n">
        <f aca="false">Sens!I6459+Sens!I6538*Sens!I6434+sbc_r*Sens!I6434</f>
        <v>28.4579727473308</v>
      </c>
      <c r="J6547" s="6" t="n">
        <f aca="false">Sens!J6459+Sens!J6538*Sens!J6434+sbc_r*Sens!J6434</f>
        <v>29.76918331482</v>
      </c>
      <c r="K6547" s="6" t="n">
        <f aca="false">Sens!K6459+Sens!K6538*Sens!K6434+sbc_r*Sens!K6434</f>
        <v>31.2442830064123</v>
      </c>
    </row>
    <row r="6548" customFormat="false" ht="17.15" hidden="false" customHeight="false" outlineLevel="0" collapsed="false">
      <c r="A6548" s="0" t="s">
        <v>1245</v>
      </c>
      <c r="B6548" s="0" t="s">
        <v>98</v>
      </c>
      <c r="F6548" s="6" t="n">
        <f aca="false">(Sens!F6547-Sens!F6543)*Sens!F6430/(Sens!F6430+Sens!F6432)</f>
        <v>8.72340514499654</v>
      </c>
      <c r="G6548" s="6" t="n">
        <f aca="false">(Sens!G6547-Sens!G6543)*Sens!G6430/(Sens!G6430+Sens!G6432)</f>
        <v>7.88823749300109</v>
      </c>
      <c r="H6548" s="6" t="n">
        <f aca="false">(Sens!H6547-Sens!H6543)*Sens!H6430/(Sens!H6430+Sens!H6432)</f>
        <v>7.65219949457733</v>
      </c>
      <c r="I6548" s="6" t="n">
        <f aca="false">(Sens!I6547-Sens!I6543)*Sens!I6430/(Sens!I6430+Sens!I6432)</f>
        <v>7.56274045989209</v>
      </c>
      <c r="J6548" s="6" t="n">
        <f aca="false">(Sens!J6547-Sens!J6543)*Sens!J6430/(Sens!J6430+Sens!J6432)</f>
        <v>7.60795117704511</v>
      </c>
      <c r="K6548" s="6" t="n">
        <f aca="false">(Sens!K6547-Sens!K6543)*Sens!K6430/(Sens!K6430+Sens!K6432)</f>
        <v>7.78184096889892</v>
      </c>
    </row>
    <row r="6549" customFormat="false" ht="17.15" hidden="false" customHeight="false" outlineLevel="0" collapsed="false">
      <c r="A6549" s="0" t="s">
        <v>1246</v>
      </c>
      <c r="B6549" s="0" t="s">
        <v>98</v>
      </c>
      <c r="F6549" s="6" t="n">
        <f aca="false">Sens!F6547-Sens!F6543-Sens!F6548</f>
        <v>6.72211330256571</v>
      </c>
      <c r="G6549" s="6" t="n">
        <f aca="false">Sens!G6547-Sens!G6543-Sens!G6548</f>
        <v>6.32278143084639</v>
      </c>
      <c r="H6549" s="6" t="n">
        <f aca="false">Sens!H6547-Sens!H6543-Sens!H6548</f>
        <v>6.31554457959235</v>
      </c>
      <c r="I6549" s="6" t="n">
        <f aca="false">Sens!I6547-Sens!I6543-Sens!I6548</f>
        <v>6.36326437541218</v>
      </c>
      <c r="J6549" s="6" t="n">
        <f aca="false">Sens!J6547-Sens!J6543-Sens!J6548</f>
        <v>6.46269408012819</v>
      </c>
      <c r="K6549" s="6" t="n">
        <f aca="false">Sens!K6547-Sens!K6543-Sens!K6548</f>
        <v>6.61040750549809</v>
      </c>
    </row>
    <row r="6550" customFormat="false" ht="17.15" hidden="false" customHeight="false" outlineLevel="0" collapsed="false">
      <c r="A6550" s="0" t="s">
        <v>1247</v>
      </c>
      <c r="B6550" s="0" t="s">
        <v>98</v>
      </c>
      <c r="F6550" s="6" t="n">
        <f aca="false">Sens!F6544-tax_f*(Sens!F6544-Sens!F6408)-Sens!F6405</f>
        <v>-127.021011970664</v>
      </c>
      <c r="G6550" s="6" t="n">
        <f aca="false">Sens!G6544-tax_f*(Sens!G6544-Sens!G6408)-Sens!G6405</f>
        <v>-113.549342504454</v>
      </c>
      <c r="H6550" s="6" t="n">
        <f aca="false">Sens!H6544-tax_f*(Sens!H6544-Sens!H6408)-Sens!H6405</f>
        <v>-78.7116491420168</v>
      </c>
      <c r="I6550" s="6" t="n">
        <f aca="false">Sens!I6544-tax_f*(Sens!I6544-Sens!I6408)-Sens!I6405</f>
        <v>-15.0288852387031</v>
      </c>
      <c r="J6550" s="6" t="n">
        <f aca="false">Sens!J6544-tax_f*(Sens!J6544-Sens!J6408)-Sens!J6405</f>
        <v>49.6821477434224</v>
      </c>
      <c r="K6550" s="6" t="n">
        <f aca="false">Sens!K6544-tax_f*(Sens!K6544-Sens!K6408)-Sens!K6405</f>
        <v>75.1197354162263</v>
      </c>
    </row>
    <row r="6551" customFormat="false" ht="17.15" hidden="false" customHeight="false" outlineLevel="0" collapsed="false">
      <c r="A6551" s="0" t="s">
        <v>1248</v>
      </c>
      <c r="B6551" s="0" t="s">
        <v>98</v>
      </c>
      <c r="G6551" s="6" t="n">
        <f aca="false">Sens!G6550/(1+wacc)^(Sens!G6521-Sens!F6522)</f>
        <v>-108.120825105859</v>
      </c>
      <c r="H6551" s="6" t="n">
        <f aca="false">Sens!H6550/(1+wacc)^(Sens!H6521-Sens!F6522)</f>
        <v>-67.9537133822789</v>
      </c>
      <c r="I6551" s="6" t="n">
        <f aca="false">Sens!I6550/(1+wacc)^(Sens!I6521-Sens!F6522)</f>
        <v>-11.7638751166103</v>
      </c>
      <c r="J6551" s="6" t="n">
        <f aca="false">Sens!J6550/(1+wacc)^(Sens!J6521-Sens!F6522)</f>
        <v>35.2592811772305</v>
      </c>
      <c r="K6551" s="6" t="n">
        <f aca="false">Sens!K6550/(1+wacc)^(Sens!K6521-Sens!F6522)</f>
        <v>48.3366554145608</v>
      </c>
      <c r="L6551" s="1" t="s">
        <v>1249</v>
      </c>
    </row>
    <row r="6552" customFormat="false" ht="17.15" hidden="false" customHeight="false" outlineLevel="0" collapsed="false">
      <c r="A6552" s="0" t="s">
        <v>1250</v>
      </c>
      <c r="B6552" s="0" t="s">
        <v>98</v>
      </c>
      <c r="C6552" s="6" t="n">
        <f aca="false">(Sens!K6544-Sens!K6408)*(1-tax_f)*(1+g_tv)*(1-g_tv/(wacc+ronic_prem))/(wacc-g_tv)/(1+wacc)^(Sens!K6522-Sens!F6522)</f>
        <v>313.097706647114</v>
      </c>
    </row>
    <row r="6553" customFormat="false" ht="17.15" hidden="false" customHeight="false" outlineLevel="0" collapsed="false">
      <c r="A6553" s="1" t="s">
        <v>1251</v>
      </c>
      <c r="B6553" s="0" t="s">
        <v>98</v>
      </c>
      <c r="C6553" s="6" t="n">
        <f aca="false">(SUM(Sens!G6551:K6551)+Sens!$C$6552)*(1+wacc)^(t_roll-Sens!F6522)</f>
        <v>215.750172389477</v>
      </c>
      <c r="L6553" s="12" t="s">
        <v>1252</v>
      </c>
    </row>
    <row r="6554" customFormat="false" ht="17.15" hidden="false" customHeight="false" outlineLevel="0" collapsed="false">
      <c r="A6554" s="1" t="s">
        <v>1253</v>
      </c>
      <c r="B6554" s="0" t="s">
        <v>98</v>
      </c>
      <c r="C6554" s="6" t="n">
        <f aca="false">(w_ntm28*Sens!G6396+(1-w_ntm28)*Sens!H6396)*m_ai</f>
        <v>473.170114417873</v>
      </c>
    </row>
    <row r="6555" customFormat="false" ht="17.15" hidden="false" customHeight="false" outlineLevel="0" collapsed="false">
      <c r="A6555" s="1" t="s">
        <v>1254</v>
      </c>
      <c r="B6555" s="0" t="s">
        <v>98</v>
      </c>
      <c r="C6555" s="6" t="n">
        <f aca="false">(w_ntm28*Sens!G6546+(1-w_ntm28)*Sens!H6546)*m_cloud</f>
        <v>1088.29345243576</v>
      </c>
    </row>
    <row r="6556" customFormat="false" ht="17.15" hidden="false" customHeight="false" outlineLevel="0" collapsed="false">
      <c r="A6556" s="1" t="s">
        <v>1255</v>
      </c>
      <c r="B6556" s="0" t="s">
        <v>98</v>
      </c>
      <c r="C6556" s="6" t="n">
        <f aca="false">(w_ntm28*Sens!G6539+(1-w_ntm28)*Sens!H6539)*m_sw</f>
        <v>1082.87498357393</v>
      </c>
    </row>
    <row r="6557" customFormat="false" ht="17.15" hidden="false" customHeight="false" outlineLevel="0" collapsed="false">
      <c r="A6557" s="1" t="s">
        <v>1256</v>
      </c>
      <c r="B6557" s="0" t="s">
        <v>98</v>
      </c>
      <c r="C6557" s="6" t="n">
        <f aca="false">(w_ntm28*Sens!G6540+(1-w_ntm28)*Sens!H6540)*m_sw</f>
        <v>372.936503508605</v>
      </c>
    </row>
    <row r="6558" customFormat="false" ht="17.15" hidden="false" customHeight="false" outlineLevel="0" collapsed="false">
      <c r="A6558" s="1" t="s">
        <v>1257</v>
      </c>
      <c r="B6558" s="0" t="s">
        <v>98</v>
      </c>
      <c r="C6558" s="6" t="n">
        <f aca="false">(w_ntm28*Sens!G6541+(1-w_ntm28)*Sens!H6541)*m_sw</f>
        <v>109.14982856322</v>
      </c>
    </row>
    <row r="6559" customFormat="false" ht="17.15" hidden="false" customHeight="false" outlineLevel="0" collapsed="false">
      <c r="A6559" s="1" t="s">
        <v>1258</v>
      </c>
      <c r="B6559" s="0" t="s">
        <v>98</v>
      </c>
      <c r="C6559" s="6" t="n">
        <f aca="false">(w_ntm28*Sens!G6542+(1-w_ntm28)*Sens!H6542)*m_sw</f>
        <v>41.4959201812227</v>
      </c>
    </row>
    <row r="6560" customFormat="false" ht="17.15" hidden="false" customHeight="false" outlineLevel="0" collapsed="false">
      <c r="A6560" s="1" t="s">
        <v>1259</v>
      </c>
      <c r="B6560" s="0" t="s">
        <v>98</v>
      </c>
      <c r="C6560" s="6" t="n">
        <f aca="false">(w_ntm28*Sens!G6543+(1-w_ntm28)*Sens!H6543)*m_ads</f>
        <v>115.056886829144</v>
      </c>
    </row>
    <row r="6561" customFormat="false" ht="17.15" hidden="false" customHeight="false" outlineLevel="0" collapsed="false">
      <c r="A6561" s="1" t="s">
        <v>1260</v>
      </c>
      <c r="B6561" s="0" t="s">
        <v>98</v>
      </c>
      <c r="C6561" s="6" t="n">
        <f aca="false">(w_ntm28*Sens!G6548+(1-w_ntm28)*Sens!H6548)*m_game</f>
        <v>98.6483321656146</v>
      </c>
    </row>
    <row r="6562" customFormat="false" ht="17.15" hidden="false" customHeight="false" outlineLevel="0" collapsed="false">
      <c r="A6562" s="1" t="s">
        <v>1261</v>
      </c>
      <c r="B6562" s="0" t="s">
        <v>98</v>
      </c>
      <c r="C6562" s="6" t="n">
        <f aca="false">(w_ntm28*Sens!G6549+(1-w_ntm28)*Sens!H6549)*m_pc</f>
        <v>91.4562197193678</v>
      </c>
    </row>
    <row r="6563" customFormat="false" ht="17.15" hidden="false" customHeight="false" outlineLevel="0" collapsed="false">
      <c r="A6563" s="1" t="s">
        <v>1262</v>
      </c>
      <c r="B6563" s="0" t="s">
        <v>98</v>
      </c>
      <c r="C6563" s="6" t="n">
        <f aca="false">Sens!$C$6553+Sens!$C$6555+Sens!$C$6556+Sens!$C$6557+Sens!$C$6558+Sens!$C$6559+Sens!$C$6560+Sens!$C$6561+Sens!$C$6562</f>
        <v>3215.66229936634</v>
      </c>
    </row>
    <row r="6564" customFormat="false" ht="17.15" hidden="false" customHeight="false" outlineLevel="0" collapsed="false">
      <c r="A6564" s="1" t="s">
        <v>1263</v>
      </c>
      <c r="B6564" s="0" t="s">
        <v>98</v>
      </c>
      <c r="C6564" s="6" t="n">
        <f aca="false">(Sens!G6525-Sens!G6550)*t_stub</f>
        <v>47.8585719608363</v>
      </c>
      <c r="L6564" s="1" t="s">
        <v>1264</v>
      </c>
    </row>
    <row r="6565" customFormat="false" ht="17.15" hidden="false" customHeight="false" outlineLevel="0" collapsed="false">
      <c r="A6565" s="1" t="s">
        <v>1173</v>
      </c>
      <c r="B6565" s="0" t="s">
        <v>98</v>
      </c>
      <c r="C6565" s="6" t="n">
        <f aca="false">Sens!F6512+oai_v-Sens!F6501+Sens!$C$6564</f>
        <v>162.086841960836</v>
      </c>
      <c r="L6565" s="1" t="s">
        <v>1265</v>
      </c>
    </row>
    <row r="6566" customFormat="false" ht="17.15" hidden="false" customHeight="false" outlineLevel="0" collapsed="false">
      <c r="A6566" s="1" t="s">
        <v>1266</v>
      </c>
      <c r="B6566" s="0" t="s">
        <v>75</v>
      </c>
      <c r="C6566" s="5" t="n">
        <f aca="false">(Sens!$C$6563+Sens!$C$6565)/(Sens!F6514+dil_gap)-Sens!G6504*roll_div_q/q_per_yr</f>
        <v>449.638498118792</v>
      </c>
      <c r="L6566" s="1" t="s">
        <v>1267</v>
      </c>
    </row>
    <row r="6567" customFormat="false" ht="17.15" hidden="false" customHeight="false" outlineLevel="0" collapsed="false">
      <c r="A6567" s="1" t="s">
        <v>1268</v>
      </c>
      <c r="B6567" s="0" t="s">
        <v>75</v>
      </c>
      <c r="C6567" s="5" t="n">
        <f aca="false">w_dcf*Sens!$C$6537+(1-w_dcf)*Sens!$C$6566</f>
        <v>389.88942991302</v>
      </c>
    </row>
    <row r="6568" customFormat="false" ht="17.15" hidden="false" customHeight="false" outlineLevel="0" collapsed="false">
      <c r="A6568" s="3" t="s">
        <v>1775</v>
      </c>
    </row>
    <row r="6569" customFormat="false" ht="15" hidden="false" customHeight="false" outlineLevel="0" collapsed="false">
      <c r="A6569" s="4" t="s">
        <v>43</v>
      </c>
      <c r="B6569" s="4" t="s">
        <v>65</v>
      </c>
      <c r="C6569" s="23" t="s">
        <v>942</v>
      </c>
      <c r="D6569" s="23" t="s">
        <v>943</v>
      </c>
      <c r="E6569" s="23" t="s">
        <v>944</v>
      </c>
      <c r="F6569" s="23" t="s">
        <v>945</v>
      </c>
      <c r="G6569" s="23" t="s">
        <v>946</v>
      </c>
      <c r="H6569" s="23" t="s">
        <v>947</v>
      </c>
      <c r="I6569" s="23" t="s">
        <v>948</v>
      </c>
      <c r="J6569" s="23" t="s">
        <v>949</v>
      </c>
      <c r="K6569" s="23" t="s">
        <v>950</v>
      </c>
      <c r="L6569" s="4" t="s">
        <v>47</v>
      </c>
    </row>
    <row r="6570" customFormat="false" ht="17.15" hidden="false" customHeight="false" outlineLevel="0" collapsed="false">
      <c r="A6570" s="1" t="s">
        <v>951</v>
      </c>
      <c r="B6570" s="1" t="s">
        <v>279</v>
      </c>
      <c r="C6570" s="21" t="n">
        <v>2024</v>
      </c>
      <c r="D6570" s="21" t="n">
        <v>2025</v>
      </c>
      <c r="E6570" s="21" t="n">
        <v>2026</v>
      </c>
      <c r="F6570" s="21" t="n">
        <v>2027</v>
      </c>
      <c r="G6570" s="21" t="n">
        <v>2028</v>
      </c>
      <c r="H6570" s="21" t="n">
        <v>2029</v>
      </c>
      <c r="I6570" s="21" t="n">
        <v>2030</v>
      </c>
      <c r="J6570" s="21" t="n">
        <v>2031</v>
      </c>
      <c r="K6570" s="21" t="n">
        <v>2032</v>
      </c>
    </row>
    <row r="6571" customFormat="false" ht="17.15" hidden="false" customHeight="false" outlineLevel="0" collapsed="false">
      <c r="A6571" s="1" t="s">
        <v>952</v>
      </c>
      <c r="B6571" s="0" t="s">
        <v>459</v>
      </c>
      <c r="F6571" s="30" t="n">
        <f aca="false">pace</f>
        <v>2726.5351</v>
      </c>
      <c r="G6571" s="30" t="n">
        <f aca="false">pace</f>
        <v>2726.5351</v>
      </c>
      <c r="H6571" s="30" t="n">
        <f aca="false">pace</f>
        <v>2726.5351</v>
      </c>
      <c r="I6571" s="30" t="n">
        <f aca="false">pace+(g_tv*Sens!H6572-pace)*MIN(1,(Sens!I6570-pace_y0)/(pace_y1-pace_y0))</f>
        <v>1931.98611966667</v>
      </c>
      <c r="J6571" s="30" t="n">
        <f aca="false">pace+(g_tv*Sens!I6572-pace)*MIN(1,(Sens!J6570-pace_y0)/(pace_y1-pace_y0))</f>
        <v>1176.07686172667</v>
      </c>
      <c r="K6571" s="30" t="n">
        <f aca="false">pace+(g_tv*Sens!J6572-pace)*MIN(1,(Sens!K6570-pace_y0)/(pace_y1-pace_y0))</f>
        <v>436.1300484418</v>
      </c>
      <c r="L6571" s="12" t="s">
        <v>953</v>
      </c>
    </row>
    <row r="6572" customFormat="false" ht="17.15" hidden="false" customHeight="false" outlineLevel="0" collapsed="false">
      <c r="A6572" s="1" t="s">
        <v>954</v>
      </c>
      <c r="B6572" s="0" t="s">
        <v>459</v>
      </c>
      <c r="C6572" s="30" t="n">
        <f aca="false">mw_ext_24</f>
        <v>640</v>
      </c>
      <c r="D6572" s="30" t="n">
        <f aca="false">mw_ext_25</f>
        <v>1630</v>
      </c>
      <c r="E6572" s="30" t="n">
        <f aca="false">mw_ext_26</f>
        <v>3250</v>
      </c>
      <c r="F6572" s="30" t="n">
        <f aca="false">Sens!E6572+Sens!F6571</f>
        <v>5976.5351</v>
      </c>
      <c r="G6572" s="30" t="n">
        <f aca="false">Sens!F6572+Sens!G6571</f>
        <v>8703.0702</v>
      </c>
      <c r="H6572" s="30" t="n">
        <f aca="false">Sens!G6572+Sens!H6571</f>
        <v>11429.6053</v>
      </c>
      <c r="I6572" s="30" t="n">
        <f aca="false">Sens!H6572+Sens!I6571</f>
        <v>13361.5914196667</v>
      </c>
      <c r="J6572" s="30" t="n">
        <f aca="false">Sens!I6572+Sens!J6571</f>
        <v>14537.6682813933</v>
      </c>
      <c r="K6572" s="30" t="n">
        <f aca="false">Sens!J6572+Sens!K6571</f>
        <v>14973.7983298351</v>
      </c>
      <c r="L6572" s="1" t="s">
        <v>955</v>
      </c>
    </row>
    <row r="6573" customFormat="false" ht="17.15" hidden="false" customHeight="false" outlineLevel="0" collapsed="false">
      <c r="A6573" s="1" t="s">
        <v>956</v>
      </c>
      <c r="B6573" s="0" t="s">
        <v>459</v>
      </c>
      <c r="C6573" s="30" t="n">
        <f aca="false">rent_ext_24</f>
        <v>150</v>
      </c>
      <c r="D6573" s="30" t="n">
        <f aca="false">rent_ext_25</f>
        <v>400</v>
      </c>
      <c r="E6573" s="30" t="n">
        <f aca="false">rent_ext_26</f>
        <v>550</v>
      </c>
      <c r="F6573" s="30" t="n">
        <f aca="false">rent_ext_f</f>
        <v>756</v>
      </c>
      <c r="G6573" s="30" t="n">
        <f aca="false">rent_ext_f</f>
        <v>756</v>
      </c>
      <c r="H6573" s="30" t="n">
        <f aca="false">rent_ext_f</f>
        <v>756</v>
      </c>
      <c r="I6573" s="30" t="n">
        <f aca="false">rent_ext_f</f>
        <v>756</v>
      </c>
      <c r="J6573" s="30" t="n">
        <f aca="false">rent_ext_f</f>
        <v>756</v>
      </c>
      <c r="K6573" s="30" t="n">
        <f aca="false">rent_ext_f</f>
        <v>756</v>
      </c>
      <c r="L6573" s="1" t="s">
        <v>957</v>
      </c>
    </row>
    <row r="6574" customFormat="false" ht="17.15" hidden="false" customHeight="false" outlineLevel="0" collapsed="false">
      <c r="A6574" s="1" t="s">
        <v>958</v>
      </c>
      <c r="B6574" s="0" t="s">
        <v>459</v>
      </c>
      <c r="C6574" s="30" t="n">
        <f aca="false">Sens!C6572-Sens!C6573</f>
        <v>490</v>
      </c>
      <c r="D6574" s="30" t="n">
        <f aca="false">Sens!D6572-Sens!D6573</f>
        <v>1230</v>
      </c>
      <c r="E6574" s="30" t="n">
        <f aca="false">Sens!E6572-Sens!E6573</f>
        <v>2700</v>
      </c>
      <c r="F6574" s="30" t="n">
        <f aca="false">Sens!F6572-Sens!F6573</f>
        <v>5220.5351</v>
      </c>
      <c r="G6574" s="30" t="n">
        <f aca="false">Sens!G6572-Sens!G6573</f>
        <v>7947.0702</v>
      </c>
      <c r="H6574" s="30" t="n">
        <f aca="false">Sens!H6572-Sens!H6573</f>
        <v>10673.6053</v>
      </c>
      <c r="I6574" s="30" t="n">
        <f aca="false">Sens!I6572-Sens!I6573</f>
        <v>12605.5914196667</v>
      </c>
      <c r="J6574" s="30" t="n">
        <f aca="false">Sens!J6572-Sens!J6573</f>
        <v>13781.6682813933</v>
      </c>
      <c r="K6574" s="30" t="n">
        <f aca="false">Sens!K6572-Sens!K6573</f>
        <v>14217.7983298351</v>
      </c>
    </row>
    <row r="6575" customFormat="false" ht="17.15" hidden="false" customHeight="false" outlineLevel="0" collapsed="false">
      <c r="A6575" s="1" t="s">
        <v>959</v>
      </c>
      <c r="B6575" s="0" t="s">
        <v>459</v>
      </c>
      <c r="C6575" s="30" t="n">
        <f aca="false">Sens!C6574/ext_sh</f>
        <v>816.666666666667</v>
      </c>
      <c r="D6575" s="30" t="n">
        <f aca="false">Sens!D6574/ext_sh</f>
        <v>2050</v>
      </c>
      <c r="E6575" s="30" t="n">
        <f aca="false">Sens!E6574/ext_sh</f>
        <v>4500</v>
      </c>
      <c r="F6575" s="30" t="n">
        <f aca="false">Sens!F6574/ext_sh</f>
        <v>8700.89183333333</v>
      </c>
      <c r="G6575" s="30" t="n">
        <f aca="false">Sens!G6574/ext_sh</f>
        <v>13245.117</v>
      </c>
      <c r="H6575" s="30" t="n">
        <f aca="false">Sens!H6574/ext_sh</f>
        <v>17789.3421666667</v>
      </c>
      <c r="I6575" s="30" t="n">
        <f aca="false">Sens!I6574/ext_sh</f>
        <v>21009.3190327778</v>
      </c>
      <c r="J6575" s="30" t="n">
        <f aca="false">Sens!J6574/ext_sh</f>
        <v>22969.4471356556</v>
      </c>
      <c r="K6575" s="30" t="n">
        <f aca="false">Sens!K6574/ext_sh</f>
        <v>23696.3305497252</v>
      </c>
      <c r="L6575" s="1" t="s">
        <v>960</v>
      </c>
    </row>
    <row r="6576" customFormat="false" ht="17.15" hidden="false" customHeight="false" outlineLevel="0" collapsed="false">
      <c r="A6576" s="1" t="s">
        <v>961</v>
      </c>
      <c r="B6576" s="0" t="s">
        <v>459</v>
      </c>
      <c r="C6576" s="30" t="n">
        <f aca="false">Sens!C6575-Sens!C6574</f>
        <v>326.666666666667</v>
      </c>
      <c r="D6576" s="30" t="n">
        <f aca="false">Sens!D6575-Sens!D6574</f>
        <v>820</v>
      </c>
      <c r="E6576" s="30" t="n">
        <f aca="false">Sens!E6575-Sens!E6574</f>
        <v>1800</v>
      </c>
      <c r="F6576" s="30" t="n">
        <f aca="false">Sens!F6575-Sens!F6574</f>
        <v>3480.35673333333</v>
      </c>
      <c r="G6576" s="30" t="n">
        <f aca="false">Sens!G6575-Sens!G6574</f>
        <v>5298.0468</v>
      </c>
      <c r="H6576" s="30" t="n">
        <f aca="false">Sens!H6575-Sens!H6574</f>
        <v>7115.73686666667</v>
      </c>
      <c r="I6576" s="30" t="n">
        <f aca="false">Sens!I6575-Sens!I6574</f>
        <v>8403.72761311111</v>
      </c>
      <c r="J6576" s="30" t="n">
        <f aca="false">Sens!J6575-Sens!J6574</f>
        <v>9187.77885426222</v>
      </c>
      <c r="K6576" s="30" t="n">
        <f aca="false">Sens!K6575-Sens!K6574</f>
        <v>9478.53221989009</v>
      </c>
    </row>
    <row r="6577" customFormat="false" ht="17.15" hidden="false" customHeight="false" outlineLevel="0" collapsed="false">
      <c r="A6577" s="1" t="s">
        <v>962</v>
      </c>
      <c r="B6577" s="0" t="s">
        <v>459</v>
      </c>
      <c r="C6577" s="30" t="n">
        <f aca="false">Sens!C6575</f>
        <v>816.666666666667</v>
      </c>
      <c r="D6577" s="30" t="n">
        <f aca="false">Sens!D6575-Sens!C6575</f>
        <v>1233.33333333333</v>
      </c>
      <c r="E6577" s="30" t="n">
        <f aca="false">Sens!E6575-Sens!D6575</f>
        <v>2450</v>
      </c>
      <c r="F6577" s="30" t="n">
        <f aca="false">Sens!F6575-Sens!E6575</f>
        <v>4200.89183333333</v>
      </c>
      <c r="G6577" s="30" t="n">
        <f aca="false">Sens!G6575-Sens!F6575</f>
        <v>4544.22516666667</v>
      </c>
      <c r="H6577" s="30" t="n">
        <f aca="false">Sens!H6575-Sens!G6575</f>
        <v>4544.22516666667</v>
      </c>
      <c r="I6577" s="30" t="n">
        <f aca="false">Sens!I6575-Sens!H6575</f>
        <v>3219.97686611111</v>
      </c>
      <c r="J6577" s="30" t="n">
        <f aca="false">Sens!J6575-Sens!I6575</f>
        <v>1960.12810287778</v>
      </c>
      <c r="K6577" s="30" t="n">
        <f aca="false">Sens!K6575-Sens!J6575</f>
        <v>726.883414069667</v>
      </c>
    </row>
    <row r="6578" customFormat="false" ht="17.15" hidden="false" customHeight="false" outlineLevel="0" collapsed="false">
      <c r="A6578" s="1" t="s">
        <v>963</v>
      </c>
      <c r="B6578" s="0" t="s">
        <v>459</v>
      </c>
      <c r="D6578" s="30" t="n">
        <f aca="false">Sens!D6572-Sens!C6572</f>
        <v>990</v>
      </c>
      <c r="E6578" s="30" t="n">
        <f aca="false">Sens!E6572-Sens!D6572</f>
        <v>1620</v>
      </c>
      <c r="F6578" s="30" t="n">
        <f aca="false">Sens!F6572-Sens!E6572</f>
        <v>2726.5351</v>
      </c>
      <c r="G6578" s="30" t="n">
        <f aca="false">Sens!G6572-Sens!F6572</f>
        <v>2726.5351</v>
      </c>
      <c r="H6578" s="30" t="n">
        <f aca="false">Sens!H6572-Sens!G6572</f>
        <v>2726.5351</v>
      </c>
      <c r="I6578" s="30" t="n">
        <f aca="false">Sens!I6572-Sens!H6572</f>
        <v>1931.98611966667</v>
      </c>
      <c r="J6578" s="30" t="n">
        <f aca="false">Sens!J6572-Sens!I6572</f>
        <v>1176.07686172667</v>
      </c>
      <c r="K6578" s="30" t="n">
        <f aca="false">Sens!K6572-Sens!J6572</f>
        <v>436.130048441799</v>
      </c>
    </row>
    <row r="6579" customFormat="false" ht="17.15" hidden="false" customHeight="false" outlineLevel="0" collapsed="false">
      <c r="A6579" s="1" t="s">
        <v>964</v>
      </c>
      <c r="B6579" s="0" t="s">
        <v>459</v>
      </c>
      <c r="F6579" s="30" t="n">
        <f aca="false">Sens!F6598*ext_sh</f>
        <v>0</v>
      </c>
      <c r="G6579" s="30" t="n">
        <f aca="false">Sens!G6598*ext_sh</f>
        <v>0</v>
      </c>
      <c r="H6579" s="30" t="n">
        <f aca="false">Sens!H6598*ext_sh</f>
        <v>0</v>
      </c>
      <c r="I6579" s="30" t="n">
        <f aca="false">Sens!I6598*ext_sh</f>
        <v>490</v>
      </c>
      <c r="J6579" s="30" t="n">
        <f aca="false">Sens!J6598*ext_sh</f>
        <v>740</v>
      </c>
      <c r="K6579" s="30" t="n">
        <f aca="false">Sens!K6598*ext_sh</f>
        <v>1470</v>
      </c>
      <c r="L6579" s="1" t="s">
        <v>965</v>
      </c>
    </row>
    <row r="6580" customFormat="false" ht="17.15" hidden="false" customHeight="false" outlineLevel="0" collapsed="false">
      <c r="A6580" s="1" t="s">
        <v>966</v>
      </c>
      <c r="B6580" s="0" t="s">
        <v>459</v>
      </c>
      <c r="C6580" s="30" t="n">
        <f aca="false">mix_h*Sens!C6572</f>
        <v>128</v>
      </c>
      <c r="D6580" s="30" t="n">
        <f aca="false">mix_h*Sens!D6572</f>
        <v>326</v>
      </c>
      <c r="E6580" s="30" t="n">
        <f aca="false">mix_h*Sens!E6572</f>
        <v>650</v>
      </c>
      <c r="F6580" s="30" t="n">
        <f aca="false">Sens!E6580-Sens!F6579*mix_h</f>
        <v>650</v>
      </c>
      <c r="G6580" s="30" t="n">
        <f aca="false">Sens!F6580-Sens!G6579*mix_h</f>
        <v>650</v>
      </c>
      <c r="H6580" s="30" t="n">
        <f aca="false">Sens!G6580-Sens!H6579*mix_h</f>
        <v>650</v>
      </c>
      <c r="I6580" s="30" t="n">
        <f aca="false">Sens!H6580-Sens!I6579*mix_h</f>
        <v>552</v>
      </c>
      <c r="J6580" s="30" t="n">
        <f aca="false">Sens!I6580-Sens!J6579*mix_h</f>
        <v>404</v>
      </c>
      <c r="K6580" s="30" t="n">
        <f aca="false">Sens!J6580-Sens!K6579*mix_h</f>
        <v>110</v>
      </c>
    </row>
    <row r="6581" customFormat="false" ht="17.15" hidden="false" customHeight="false" outlineLevel="0" collapsed="false">
      <c r="A6581" s="1" t="s">
        <v>967</v>
      </c>
      <c r="B6581" s="0" t="s">
        <v>459</v>
      </c>
      <c r="C6581" s="30" t="n">
        <f aca="false">mix_g2*Sens!C6572</f>
        <v>288</v>
      </c>
      <c r="D6581" s="30" t="n">
        <f aca="false">mix_g2*Sens!D6572</f>
        <v>733.5</v>
      </c>
      <c r="E6581" s="30" t="n">
        <f aca="false">mix_g2*Sens!E6572</f>
        <v>1462.5</v>
      </c>
      <c r="F6581" s="30" t="n">
        <f aca="false">Sens!E6581-Sens!F6579*mix_g2</f>
        <v>1462.5</v>
      </c>
      <c r="G6581" s="30" t="n">
        <f aca="false">Sens!F6581-Sens!G6579*mix_g2</f>
        <v>1462.5</v>
      </c>
      <c r="H6581" s="30" t="n">
        <f aca="false">Sens!G6581-Sens!H6579*mix_g2</f>
        <v>1462.5</v>
      </c>
      <c r="I6581" s="30" t="n">
        <f aca="false">Sens!H6581-Sens!I6579*mix_g2</f>
        <v>1242</v>
      </c>
      <c r="J6581" s="30" t="n">
        <f aca="false">Sens!I6581-Sens!J6579*mix_g2</f>
        <v>909</v>
      </c>
      <c r="K6581" s="30" t="n">
        <f aca="false">Sens!J6581-Sens!K6579*mix_g2</f>
        <v>247.5</v>
      </c>
    </row>
    <row r="6582" customFormat="false" ht="17.15" hidden="false" customHeight="false" outlineLevel="0" collapsed="false">
      <c r="A6582" s="1" t="s">
        <v>968</v>
      </c>
      <c r="B6582" s="0" t="s">
        <v>459</v>
      </c>
      <c r="C6582" s="30" t="n">
        <f aca="false">mix_g3*Sens!C6572</f>
        <v>224</v>
      </c>
      <c r="D6582" s="30" t="n">
        <f aca="false">mix_g3*Sens!D6572</f>
        <v>570.5</v>
      </c>
      <c r="E6582" s="30" t="n">
        <f aca="false">mix_g3*Sens!E6572</f>
        <v>1137.5</v>
      </c>
      <c r="F6582" s="30" t="n">
        <f aca="false">Sens!E6582+(Sens!F6578+Sens!F6579)*(a_g3_27-nonnv*a_mai)-Sens!F6579*mix_g3</f>
        <v>2773.42106</v>
      </c>
      <c r="G6582" s="30" t="n">
        <f aca="false">Sens!F6582+(Sens!G6578+Sens!G6579)*(a_g3_28-nonnv*a_mai)-Sens!G6579*mix_g3</f>
        <v>3318.72808</v>
      </c>
      <c r="H6582" s="30" t="n">
        <f aca="false">Sens!G6582+(Sens!H6578+Sens!H6579)*(a_g3_29-nonnv*a_mai)-Sens!H6579*mix_g3</f>
        <v>3318.72808</v>
      </c>
      <c r="I6582" s="30" t="n">
        <f aca="false">Sens!H6582+(Sens!I6578+Sens!I6579)*(a_g3_29-nonnv*a_mai)-Sens!I6579*mix_g3</f>
        <v>3147.22808</v>
      </c>
      <c r="J6582" s="30" t="n">
        <f aca="false">Sens!I6582+(Sens!J6578+Sens!J6579)*(a_g3_29-nonnv*a_mai)-Sens!J6579*mix_g3</f>
        <v>2888.22808</v>
      </c>
      <c r="K6582" s="30" t="n">
        <f aca="false">Sens!J6582+(Sens!K6578+Sens!K6579)*(a_g3_29-nonnv*a_mai)-Sens!K6579*mix_g3</f>
        <v>2373.72808</v>
      </c>
    </row>
    <row r="6583" customFormat="false" ht="17.15" hidden="false" customHeight="false" outlineLevel="0" collapsed="false">
      <c r="A6583" s="1" t="s">
        <v>969</v>
      </c>
      <c r="B6583" s="0" t="s">
        <v>459</v>
      </c>
      <c r="C6583" s="30" t="n">
        <v>0</v>
      </c>
      <c r="D6583" s="30" t="n">
        <v>0</v>
      </c>
      <c r="E6583" s="30" t="n">
        <v>0</v>
      </c>
      <c r="F6583" s="30" t="n">
        <f aca="false">Sens!E6583+(Sens!F6578+Sens!F6579)*nonnv*a_mai</f>
        <v>272.65351</v>
      </c>
      <c r="G6583" s="30" t="n">
        <f aca="false">Sens!F6583+(Sens!G6578+Sens!G6579)*nonnv*a_mai</f>
        <v>545.30702</v>
      </c>
      <c r="H6583" s="30" t="n">
        <f aca="false">Sens!G6583+(Sens!H6578+Sens!H6579)*nonnv*a_mai</f>
        <v>817.96053</v>
      </c>
      <c r="I6583" s="30" t="n">
        <f aca="false">Sens!H6583+(Sens!I6578+Sens!I6579)*nonnv*a_mai</f>
        <v>1060.15914196667</v>
      </c>
      <c r="J6583" s="30" t="n">
        <f aca="false">Sens!I6583+(Sens!J6578+Sens!J6579)*nonnv*a_mai</f>
        <v>1251.76682813933</v>
      </c>
      <c r="K6583" s="30" t="n">
        <f aca="false">Sens!J6583+(Sens!K6578+Sens!K6579)*nonnv*a_mai</f>
        <v>1442.37983298351</v>
      </c>
      <c r="L6583" s="12" t="s">
        <v>970</v>
      </c>
    </row>
    <row r="6584" customFormat="false" ht="17.15" hidden="false" customHeight="false" outlineLevel="0" collapsed="false">
      <c r="A6584" s="1" t="s">
        <v>971</v>
      </c>
      <c r="B6584" s="0" t="s">
        <v>459</v>
      </c>
      <c r="C6584" s="30" t="n">
        <v>0</v>
      </c>
      <c r="D6584" s="30" t="n">
        <v>0</v>
      </c>
      <c r="E6584" s="30" t="n">
        <v>0</v>
      </c>
      <c r="F6584" s="30" t="n">
        <f aca="false">Sens!E6584+(Sens!F6578+Sens!F6579)*(1-a_g3_27)</f>
        <v>817.96053</v>
      </c>
      <c r="G6584" s="30" t="n">
        <f aca="false">Sens!F6584+(Sens!G6578+Sens!G6579)*(1-a_g3_28)</f>
        <v>2726.5351</v>
      </c>
      <c r="H6584" s="30" t="n">
        <f aca="false">Sens!G6584+(Sens!H6578+Sens!H6579)*(1-a_g3_29)</f>
        <v>5180.41669</v>
      </c>
      <c r="I6584" s="30" t="n">
        <f aca="false">Sens!H6584+(Sens!I6578+Sens!I6579)*(1-a_g3_29)</f>
        <v>7360.2041977</v>
      </c>
      <c r="J6584" s="30" t="n">
        <f aca="false">Sens!I6584+(Sens!J6578+Sens!J6579)*(1-a_g3_29)</f>
        <v>9084.673373254</v>
      </c>
      <c r="K6584" s="30" t="n">
        <f aca="false">Sens!J6584+(Sens!K6578+Sens!K6579)*(1-a_g3_29)</f>
        <v>10800.1904168516</v>
      </c>
    </row>
    <row r="6585" customFormat="false" ht="17.15" hidden="false" customHeight="false" outlineLevel="0" collapsed="false">
      <c r="A6585" s="1" t="s">
        <v>972</v>
      </c>
      <c r="B6585" s="0" t="s">
        <v>403</v>
      </c>
      <c r="C6585" s="15" t="n">
        <f aca="false">(Sens!C6580*tk_hold_h100+Sens!C6581*tk_hold_gb200+Sens!C6582*tk_hold_gb300+Sens!C6584*tk_hold_vr200+Sens!C6583*nv_hold_mai*tk_hold_vr200)/Sens!C6572</f>
        <v>9.7235358126469</v>
      </c>
      <c r="D6585" s="15" t="n">
        <f aca="false">(Sens!D6580*tk_hold_h100+Sens!D6581*tk_hold_gb200+Sens!D6582*tk_hold_gb300+Sens!D6584*tk_hold_vr200+Sens!D6583*nv_hold_mai*tk_hold_vr200)/Sens!D6572</f>
        <v>9.7235358126469</v>
      </c>
      <c r="E6585" s="15" t="n">
        <f aca="false">(Sens!E6580*tk_hold_h100+Sens!E6581*tk_hold_gb200+Sens!E6582*tk_hold_gb300+Sens!E6584*tk_hold_vr200+Sens!E6583*nv_hold_mai*tk_hold_vr200)/Sens!E6572</f>
        <v>9.7235358126469</v>
      </c>
      <c r="F6585" s="15" t="n">
        <f aca="false">(Sens!F6580*tk_hold_h100+Sens!F6581*tk_hold_gb200+Sens!F6582*tk_hold_gb300+Sens!F6584*tk_hold_vr200+Sens!F6583*nv_hold_mai*tk_hold_vr200)/Sens!F6572</f>
        <v>10.2195353876665</v>
      </c>
      <c r="G6585" s="15" t="n">
        <f aca="false">(Sens!G6580*tk_hold_h100+Sens!G6581*tk_hold_gb200+Sens!G6582*tk_hold_gb300+Sens!G6584*tk_hold_vr200+Sens!G6583*nv_hold_mai*tk_hold_vr200)/Sens!G6572</f>
        <v>10.5725598017306</v>
      </c>
      <c r="H6585" s="15" t="n">
        <f aca="false">(Sens!H6580*tk_hold_h100+Sens!H6581*tk_hold_gb200+Sens!H6582*tk_hold_gb300+Sens!H6584*tk_hold_vr200+Sens!H6583*nv_hold_mai*tk_hold_vr200)/Sens!H6572</f>
        <v>10.8210427149036</v>
      </c>
      <c r="I6585" s="15" t="n">
        <f aca="false">(Sens!I6580*tk_hold_h100+Sens!I6581*tk_hold_gb200+Sens!I6582*tk_hold_gb300+Sens!I6584*tk_hold_vr200+Sens!I6583*nv_hold_mai*tk_hold_vr200)/Sens!I6572</f>
        <v>11.0050618241982</v>
      </c>
      <c r="J6585" s="15" t="n">
        <f aca="false">(Sens!J6580*tk_hold_h100+Sens!J6581*tk_hold_gb200+Sens!J6582*tk_hold_gb300+Sens!J6584*tk_hold_vr200+Sens!J6583*nv_hold_mai*tk_hold_vr200)/Sens!J6572</f>
        <v>11.1505789658881</v>
      </c>
      <c r="K6585" s="15" t="n">
        <f aca="false">(Sens!K6580*tk_hold_h100+Sens!K6581*tk_hold_gb200+Sens!K6582*tk_hold_gb300+Sens!K6584*tk_hold_vr200+Sens!K6583*nv_hold_mai*tk_hold_vr200)/Sens!K6572</f>
        <v>11.3496914757183</v>
      </c>
      <c r="L6585" s="1" t="s">
        <v>973</v>
      </c>
    </row>
    <row r="6586" customFormat="false" ht="17.15" hidden="false" customHeight="false" outlineLevel="0" collapsed="false">
      <c r="A6586" s="1" t="s">
        <v>974</v>
      </c>
      <c r="B6586" s="0" t="s">
        <v>403</v>
      </c>
      <c r="C6586" s="15" t="n">
        <f aca="false">(Sens!C6580*tk_hold_h100+Sens!C6581*tk_hold_gb200+Sens!C6582*tk_hold_gb300+Sens!C6584*tk_hold_vr200+Sens!C6583*nv_out_mai_hi*tk_hold_vr200)/Sens!C6572</f>
        <v>9.7235358126469</v>
      </c>
      <c r="D6586" s="15" t="n">
        <f aca="false">(Sens!D6580*tk_hold_h100+Sens!D6581*tk_hold_gb200+Sens!D6582*tk_hold_gb300+Sens!D6584*tk_hold_vr200+Sens!D6583*nv_out_mai_hi*tk_hold_vr200)/Sens!D6572</f>
        <v>9.7235358126469</v>
      </c>
      <c r="E6586" s="15" t="n">
        <f aca="false">(Sens!E6580*tk_hold_h100+Sens!E6581*tk_hold_gb200+Sens!E6582*tk_hold_gb300+Sens!E6584*tk_hold_vr200+Sens!E6583*nv_out_mai_hi*tk_hold_vr200)/Sens!E6572</f>
        <v>9.7235358126469</v>
      </c>
      <c r="F6586" s="15" t="n">
        <f aca="false">(Sens!F6580*tk_hold_h100+Sens!F6581*tk_hold_gb200+Sens!F6582*tk_hold_gb300+Sens!F6584*tk_hold_vr200+Sens!F6583*nv_out_mai_hi*tk_hold_vr200)/Sens!F6572</f>
        <v>10.3589689191789</v>
      </c>
      <c r="G6586" s="15" t="n">
        <f aca="false">(Sens!G6580*tk_hold_h100+Sens!G6581*tk_hold_gb200+Sens!G6582*tk_hold_gb300+Sens!G6584*tk_hold_vr200+Sens!G6583*nv_out_mai_hi*tk_hold_vr200)/Sens!G6572</f>
        <v>10.7640621971039</v>
      </c>
      <c r="H6586" s="15" t="n">
        <f aca="false">(Sens!H6580*tk_hold_h100+Sens!H6581*tk_hold_gb200+Sens!H6582*tk_hold_gb300+Sens!H6584*tk_hold_vr200+Sens!H6583*nv_out_mai_hi*tk_hold_vr200)/Sens!H6572</f>
        <v>11.0397718940821</v>
      </c>
      <c r="I6586" s="15" t="n">
        <f aca="false">(Sens!I6580*tk_hold_h100+Sens!I6581*tk_hold_gb200+Sens!I6582*tk_hold_gb300+Sens!I6584*tk_hold_vr200+Sens!I6583*nv_out_mai_hi*tk_hold_vr200)/Sens!I6572</f>
        <v>11.2475655882199</v>
      </c>
      <c r="J6586" s="15" t="n">
        <f aca="false">(Sens!J6580*tk_hold_h100+Sens!J6581*tk_hold_gb200+Sens!J6582*tk_hold_gb300+Sens!J6584*tk_hold_vr200+Sens!J6583*nv_out_mai_hi*tk_hold_vr200)/Sens!J6572</f>
        <v>11.4137477004764</v>
      </c>
      <c r="K6586" s="15" t="n">
        <f aca="false">(Sens!K6580*tk_hold_h100+Sens!K6581*tk_hold_gb200+Sens!K6582*tk_hold_gb300+Sens!K6584*tk_hold_vr200+Sens!K6583*nv_out_mai_hi*tk_hold_vr200)/Sens!K6572</f>
        <v>11.6441019592394</v>
      </c>
      <c r="L6586" s="12" t="s">
        <v>975</v>
      </c>
    </row>
    <row r="6587" customFormat="false" ht="17.15" hidden="false" customHeight="false" outlineLevel="0" collapsed="false">
      <c r="A6587" s="0" t="s">
        <v>976</v>
      </c>
      <c r="B6587" s="0" t="s">
        <v>229</v>
      </c>
      <c r="C6587" s="15" t="n">
        <f aca="false">k_B</f>
        <v>1.17213932619116</v>
      </c>
      <c r="D6587" s="15" t="n">
        <f aca="false">k_B</f>
        <v>1.17213932619116</v>
      </c>
      <c r="E6587" s="15" t="n">
        <f aca="false">k_B</f>
        <v>1.17213932619116</v>
      </c>
      <c r="F6587" s="15" t="n">
        <f aca="false">(k_B+((ls_C*k_long+(1-ls_C)*k_spot)-k_B)*MIN(1,(Sens!F6570-base_fy)/k_ramp))</f>
        <v>1.07843258004497</v>
      </c>
      <c r="G6587" s="15" t="n">
        <f aca="false">(k_B+((ls_C*k_long+(1-ls_C)*k_spot)-k_B)*MIN(1,(Sens!G6570-base_fy)/k_ramp))</f>
        <v>0.984725833898784</v>
      </c>
      <c r="H6587" s="15" t="n">
        <f aca="false">(k_B+((ls_C*k_long+(1-ls_C)*k_spot)-k_B)*MIN(1,(Sens!H6570-base_fy)/k_ramp))</f>
        <v>0.891019087752599</v>
      </c>
      <c r="I6587" s="15" t="n">
        <f aca="false">(k_B+((ls_C*k_long+(1-ls_C)*k_spot)-k_B)*MIN(1,(Sens!I6570-base_fy)/k_ramp))</f>
        <v>0.891019087752599</v>
      </c>
      <c r="J6587" s="15" t="n">
        <f aca="false">(k_B+((ls_C*k_long+(1-ls_C)*k_spot)-k_B)*MIN(1,(Sens!J6570-base_fy)/k_ramp))</f>
        <v>0.891019087752599</v>
      </c>
      <c r="K6587" s="15" t="n">
        <f aca="false">(k_B+((ls_C*k_long+(1-ls_C)*k_spot)-k_B)*MIN(1,(Sens!K6570-base_fy)/k_ramp))</f>
        <v>0.891019087752599</v>
      </c>
      <c r="L6587" s="1" t="s">
        <v>977</v>
      </c>
    </row>
    <row r="6588" customFormat="false" ht="17.15" hidden="false" customHeight="false" outlineLevel="0" collapsed="false">
      <c r="A6588" s="1" t="s">
        <v>978</v>
      </c>
      <c r="B6588" s="0" t="s">
        <v>403</v>
      </c>
      <c r="C6588" s="15" t="n">
        <f aca="false">Sens!C6586*Sens!C6587*chip_f</f>
        <v>11.3973387156315</v>
      </c>
      <c r="D6588" s="15" t="n">
        <f aca="false">Sens!D6586*Sens!D6587*chip_f</f>
        <v>11.3973387156315</v>
      </c>
      <c r="E6588" s="15" t="n">
        <f aca="false">Sens!E6586*Sens!E6587*chip_f</f>
        <v>11.3973387156315</v>
      </c>
      <c r="F6588" s="15" t="n">
        <f aca="false">Sens!F6586*Sens!F6587*chip_f</f>
        <v>11.1714495781157</v>
      </c>
      <c r="G6588" s="15" t="n">
        <f aca="false">Sens!G6586*Sens!G6587*chip_f</f>
        <v>10.5996501231815</v>
      </c>
      <c r="H6588" s="15" t="n">
        <f aca="false">Sens!H6586*Sens!H6587*chip_f</f>
        <v>9.83664748206178</v>
      </c>
      <c r="I6588" s="15" t="n">
        <f aca="false">Sens!I6586*Sens!I6587*chip_f</f>
        <v>10.0217956298532</v>
      </c>
      <c r="J6588" s="15" t="n">
        <f aca="false">Sens!J6586*Sens!J6587*chip_f</f>
        <v>10.1698670639168</v>
      </c>
      <c r="K6588" s="15" t="n">
        <f aca="false">Sens!K6586*Sens!K6587*chip_f</f>
        <v>10.3751171054197</v>
      </c>
      <c r="L6588" s="1" t="s">
        <v>979</v>
      </c>
    </row>
    <row r="6589" customFormat="false" ht="17.15" hidden="false" customHeight="false" outlineLevel="0" collapsed="false">
      <c r="A6589" s="0" t="s">
        <v>980</v>
      </c>
      <c r="B6589" s="0" t="s">
        <v>98</v>
      </c>
      <c r="D6589" s="6" t="n">
        <f aca="false">(Sens!C6572+Sens!D6572)/2*Sens!D6588/1000</f>
        <v>12.9359794422418</v>
      </c>
      <c r="E6589" s="6" t="n">
        <f aca="false">(Sens!D6572+Sens!E6572)/2*Sens!E6588/1000</f>
        <v>27.8095064661409</v>
      </c>
      <c r="F6589" s="6" t="n">
        <f aca="false">(Sens!E6572+Sens!F6572)/2*Sens!F6588/1000</f>
        <v>51.5368858251824</v>
      </c>
      <c r="G6589" s="6" t="n">
        <f aca="false">(Sens!F6572+Sens!G6572)/2*Sens!G6588/1000</f>
        <v>77.7993400632004</v>
      </c>
      <c r="H6589" s="6" t="n">
        <f aca="false">(Sens!G6572+Sens!H6572)/2*Sens!H6588/1000</f>
        <v>99.019015882121</v>
      </c>
      <c r="I6589" s="6" t="n">
        <f aca="false">(Sens!H6572+Sens!I6572)/2*Sens!I6588/1000</f>
        <v>124.226153471994</v>
      </c>
      <c r="J6589" s="6" t="n">
        <f aca="false">(Sens!I6572+Sens!J6572)/2*Sens!J6588/1000</f>
        <v>141.865881170736</v>
      </c>
      <c r="K6589" s="6" t="n">
        <f aca="false">(Sens!J6572+Sens!K6572)/2*Sens!K6588/1000</f>
        <v>153.09246102209</v>
      </c>
      <c r="L6589" s="12" t="s">
        <v>981</v>
      </c>
    </row>
    <row r="6590" customFormat="false" ht="17.15" hidden="false" customHeight="false" outlineLevel="0" collapsed="false">
      <c r="A6590" s="1" t="s">
        <v>982</v>
      </c>
      <c r="B6590" s="0" t="s">
        <v>403</v>
      </c>
      <c r="C6590" s="15" t="n">
        <f aca="false">(Sens!C6580*tk_opex_h100+Sens!C6581*tk_opex_gb200+Sens!C6582*tk_opex_gb300+(Sens!C6584+Sens!C6583)*tk_opex_vr200)/Sens!C6572</f>
        <v>1.88636041306092</v>
      </c>
      <c r="D6590" s="15" t="n">
        <f aca="false">(Sens!D6580*tk_opex_h100+Sens!D6581*tk_opex_gb200+Sens!D6582*tk_opex_gb300+(Sens!D6584+Sens!D6583)*tk_opex_vr200)/Sens!D6572</f>
        <v>1.88636041306092</v>
      </c>
      <c r="E6590" s="15" t="n">
        <f aca="false">(Sens!E6580*tk_opex_h100+Sens!E6581*tk_opex_gb200+Sens!E6582*tk_opex_gb300+(Sens!E6584+Sens!E6583)*tk_opex_vr200)/Sens!E6572</f>
        <v>1.88636041306092</v>
      </c>
      <c r="F6590" s="15" t="n">
        <f aca="false">(Sens!F6580*tk_opex_h100+Sens!F6581*tk_opex_gb200+Sens!F6582*tk_opex_gb300+(Sens!F6584+Sens!F6583)*tk_opex_vr200)/Sens!F6572</f>
        <v>1.95051159746876</v>
      </c>
      <c r="G6590" s="15" t="n">
        <f aca="false">(Sens!G6580*tk_opex_h100+Sens!G6581*tk_opex_gb200+Sens!G6582*tk_opex_gb300+(Sens!G6584+Sens!G6583)*tk_opex_vr200)/Sens!G6572</f>
        <v>1.98836003669956</v>
      </c>
      <c r="H6590" s="15" t="n">
        <f aca="false">(Sens!H6580*tk_opex_h100+Sens!H6581*tk_opex_gb200+Sens!H6582*tk_opex_gb300+(Sens!H6584+Sens!H6583)*tk_opex_vr200)/Sens!H6572</f>
        <v>2.01344013834343</v>
      </c>
      <c r="I6590" s="15" t="n">
        <f aca="false">(Sens!I6580*tk_opex_h100+Sens!I6581*tk_opex_gb200+Sens!I6582*tk_opex_gb300+(Sens!I6584+Sens!I6583)*tk_opex_vr200)/Sens!I6572</f>
        <v>2.03261166882178</v>
      </c>
      <c r="J6590" s="15" t="n">
        <f aca="false">(Sens!J6580*tk_opex_h100+Sens!J6581*tk_opex_gb200+Sens!J6582*tk_opex_gb300+(Sens!J6584+Sens!J6583)*tk_opex_vr200)/Sens!J6572</f>
        <v>2.04808073288745</v>
      </c>
      <c r="K6590" s="15" t="n">
        <f aca="false">(Sens!K6580*tk_opex_h100+Sens!K6581*tk_opex_gb200+Sens!K6582*tk_opex_gb300+(Sens!K6584+Sens!K6583)*tk_opex_vr200)/Sens!K6572</f>
        <v>2.06973825807449</v>
      </c>
      <c r="L6590" s="12" t="s">
        <v>983</v>
      </c>
    </row>
    <row r="6591" customFormat="false" ht="17.15" hidden="false" customHeight="false" outlineLevel="0" collapsed="false">
      <c r="A6591" s="0" t="s">
        <v>984</v>
      </c>
      <c r="B6591" s="0" t="s">
        <v>98</v>
      </c>
      <c r="D6591" s="6" t="n">
        <f aca="false">(Sens!C6575+Sens!D6575)/2*Sens!D6590/1000</f>
        <v>2.70378325872065</v>
      </c>
      <c r="E6591" s="6" t="n">
        <f aca="false">(Sens!D6575+Sens!E6575)/2*Sens!E6590/1000</f>
        <v>6.17783035277451</v>
      </c>
      <c r="F6591" s="6" t="n">
        <f aca="false">(Sens!E6575+Sens!F6575)/2*Sens!F6590/1000</f>
        <v>12.8742463089237</v>
      </c>
      <c r="G6591" s="6" t="n">
        <f aca="false">(Sens!F6575+Sens!G6575)/2*Sens!G6590/1000</f>
        <v>21.8182834646277</v>
      </c>
      <c r="H6591" s="6" t="n">
        <f aca="false">(Sens!G6575+Sens!H6575)/2*Sens!H6590/1000</f>
        <v>31.2430128789734</v>
      </c>
      <c r="I6591" s="6" t="n">
        <f aca="false">(Sens!H6575+Sens!I6575)/2*Sens!I6590/1000</f>
        <v>39.4313057443268</v>
      </c>
      <c r="J6591" s="6" t="n">
        <f aca="false">(Sens!I6575+Sens!J6575)/2*Sens!J6590/1000</f>
        <v>45.0360318228653</v>
      </c>
      <c r="K6591" s="6" t="n">
        <f aca="false">(Sens!J6575+Sens!K6575)/2*Sens!K6590/1000</f>
        <v>48.2929727091156</v>
      </c>
    </row>
    <row r="6592" customFormat="false" ht="17.15" hidden="false" customHeight="false" outlineLevel="0" collapsed="false">
      <c r="A6592" s="0" t="s">
        <v>985</v>
      </c>
      <c r="B6592" s="0" t="s">
        <v>98</v>
      </c>
      <c r="D6592" s="6" t="n">
        <f aca="false">(Sens!C6573+Sens!D6573)/2*rent_mw/1000</f>
        <v>2.44475</v>
      </c>
      <c r="E6592" s="6" t="n">
        <f aca="false">(Sens!D6573+Sens!E6573)/2*rent_mw/1000</f>
        <v>4.22275</v>
      </c>
      <c r="F6592" s="6" t="n">
        <f aca="false">(Sens!E6573+Sens!F6573)/2*rent_mw/1000</f>
        <v>5.80517</v>
      </c>
      <c r="G6592" s="6" t="n">
        <f aca="false">(Sens!F6573+Sens!G6573)/2*rent_mw/1000</f>
        <v>6.72084</v>
      </c>
      <c r="H6592" s="6" t="n">
        <f aca="false">(Sens!G6573+Sens!H6573)/2*rent_mw/1000</f>
        <v>6.72084</v>
      </c>
      <c r="I6592" s="6" t="n">
        <f aca="false">(Sens!H6573+Sens!I6573)/2*rent_mw/1000</f>
        <v>6.72084</v>
      </c>
      <c r="J6592" s="6" t="n">
        <f aca="false">(Sens!I6573+Sens!J6573)/2*rent_mw/1000</f>
        <v>6.72084</v>
      </c>
      <c r="K6592" s="6" t="n">
        <f aca="false">(Sens!J6573+Sens!K6573)/2*rent_mw/1000</f>
        <v>6.72084</v>
      </c>
    </row>
    <row r="6593" customFormat="false" ht="17.15" hidden="false" customHeight="false" outlineLevel="0" collapsed="false">
      <c r="A6593" s="0" t="s">
        <v>986</v>
      </c>
      <c r="B6593" s="0" t="s">
        <v>98</v>
      </c>
      <c r="D6593" s="6" t="n">
        <f aca="false">(Sens!C6575+Sens!D6575)/2*(1-self_build)*fac_rent/1000</f>
        <v>0.853242375631075</v>
      </c>
      <c r="E6593" s="6" t="n">
        <f aca="false">(Sens!D6575+Sens!E6575)/2*(1-self_build)*fac_rent/1000</f>
        <v>1.94955961408728</v>
      </c>
      <c r="F6593" s="6" t="n">
        <f aca="false">(Sens!E6575+Sens!F6575)/2*(1-self_build)*fac_rent/1000</f>
        <v>3.92914894476356</v>
      </c>
      <c r="G6593" s="6" t="n">
        <f aca="false">(Sens!F6575+Sens!G6575)/2*(1-self_build)*fac_rent/1000</f>
        <v>6.53206908578159</v>
      </c>
      <c r="H6593" s="6" t="n">
        <f aca="false">(Sens!G6575+Sens!H6575)/2*(1-self_build)*fac_rent/1000</f>
        <v>9.23717988341591</v>
      </c>
      <c r="I6593" s="6" t="n">
        <f aca="false">(Sens!H6575+Sens!I6575)/2*(1-self_build)*fac_rent/1000</f>
        <v>11.5481378557393</v>
      </c>
      <c r="J6593" s="6" t="n">
        <f aca="false">(Sens!I6575+Sens!J6575)/2*(1-self_build)*fac_rent/1000</f>
        <v>13.0899582289108</v>
      </c>
      <c r="K6593" s="6" t="n">
        <f aca="false">(Sens!J6575+Sens!K6575)/2*(1-self_build)*fac_rent/1000</f>
        <v>13.8897275626556</v>
      </c>
      <c r="L6593" s="12" t="s">
        <v>987</v>
      </c>
    </row>
    <row r="6594" customFormat="false" ht="17.15" hidden="false" customHeight="false" outlineLevel="0" collapsed="false">
      <c r="A6594" s="1" t="s">
        <v>988</v>
      </c>
      <c r="B6594" s="0" t="s">
        <v>168</v>
      </c>
      <c r="D6594" s="7" t="n">
        <f aca="false">(Sens!C6574+Sens!D6574)/(Sens!C6575+Sens!D6575)</f>
        <v>0.6</v>
      </c>
      <c r="E6594" s="7" t="n">
        <f aca="false">(Sens!D6574+Sens!E6574)/(Sens!D6575+Sens!E6575)</f>
        <v>0.6</v>
      </c>
      <c r="F6594" s="7" t="n">
        <f aca="false">(Sens!E6574+Sens!F6574)/(Sens!E6575+Sens!F6575)</f>
        <v>0.6</v>
      </c>
      <c r="G6594" s="7" t="n">
        <f aca="false">(Sens!F6574+Sens!G6574)/(Sens!F6575+Sens!G6575)</f>
        <v>0.6</v>
      </c>
      <c r="H6594" s="7" t="n">
        <f aca="false">(Sens!G6574+Sens!H6574)/(Sens!G6575+Sens!H6575)</f>
        <v>0.6</v>
      </c>
      <c r="I6594" s="7" t="n">
        <f aca="false">(Sens!H6574+Sens!I6574)/(Sens!H6575+Sens!I6575)</f>
        <v>0.6</v>
      </c>
      <c r="J6594" s="7" t="n">
        <f aca="false">(Sens!I6574+Sens!J6574)/(Sens!I6575+Sens!J6575)</f>
        <v>0.6</v>
      </c>
      <c r="K6594" s="7" t="n">
        <f aca="false">(Sens!J6574+Sens!K6574)/(Sens!J6575+Sens!K6575)</f>
        <v>0.6</v>
      </c>
    </row>
    <row r="6595" customFormat="false" ht="17.15" hidden="false" customHeight="false" outlineLevel="0" collapsed="false">
      <c r="A6595" s="0" t="s">
        <v>989</v>
      </c>
      <c r="B6595" s="0" t="s">
        <v>98</v>
      </c>
      <c r="D6595" s="6" t="n">
        <f aca="false">Sens!D6589-Sens!D6594*(Sens!D6591+Sens!D6593)-Sens!D6592</f>
        <v>8.35701406163072</v>
      </c>
      <c r="E6595" s="6" t="n">
        <f aca="false">Sens!E6589-Sens!E6594*(Sens!E6591+Sens!E6593)-Sens!E6592</f>
        <v>18.7103224860238</v>
      </c>
      <c r="F6595" s="6" t="n">
        <f aca="false">Sens!F6589-Sens!F6594*(Sens!F6591+Sens!F6593)-Sens!F6592</f>
        <v>35.6496786729701</v>
      </c>
      <c r="G6595" s="6" t="n">
        <f aca="false">Sens!G6589-Sens!G6594*(Sens!G6591+Sens!G6593)-Sens!G6592</f>
        <v>54.0682885329548</v>
      </c>
      <c r="H6595" s="6" t="n">
        <f aca="false">Sens!H6589-Sens!H6594*(Sens!H6591+Sens!H6593)-Sens!H6592</f>
        <v>68.0100602246874</v>
      </c>
      <c r="I6595" s="6" t="n">
        <f aca="false">Sens!I6589-Sens!I6594*(Sens!I6591+Sens!I6593)-Sens!I6592</f>
        <v>86.9176473119539</v>
      </c>
      <c r="J6595" s="6" t="n">
        <f aca="false">Sens!J6589-Sens!J6594*(Sens!J6591+Sens!J6593)-Sens!J6592</f>
        <v>100.269447139671</v>
      </c>
      <c r="K6595" s="6" t="n">
        <f aca="false">Sens!K6589-Sens!K6594*(Sens!K6591+Sens!K6593)-Sens!K6592</f>
        <v>109.062000859027</v>
      </c>
    </row>
    <row r="6596" customFormat="false" ht="17.15" hidden="false" customHeight="false" outlineLevel="0" collapsed="false">
      <c r="A6596" s="1" t="s">
        <v>990</v>
      </c>
      <c r="B6596" s="0" t="s">
        <v>98</v>
      </c>
      <c r="D6596" s="6" t="n">
        <f aca="false">(1-Sens!D6594)*(Sens!D6591+Sens!D6593)</f>
        <v>1.42281025374069</v>
      </c>
      <c r="E6596" s="6" t="n">
        <f aca="false">(1-Sens!E6594)*(Sens!E6591+Sens!E6593)</f>
        <v>3.25095598674472</v>
      </c>
      <c r="F6596" s="6" t="n">
        <f aca="false">(1-Sens!F6594)*(Sens!F6591+Sens!F6593)</f>
        <v>6.72135810147489</v>
      </c>
      <c r="G6596" s="6" t="n">
        <f aca="false">(1-Sens!G6594)*(Sens!G6591+Sens!G6593)</f>
        <v>11.3401410201637</v>
      </c>
      <c r="H6596" s="6" t="n">
        <f aca="false">(1-Sens!H6594)*(Sens!H6591+Sens!H6593)</f>
        <v>16.1920771049557</v>
      </c>
      <c r="I6596" s="6" t="n">
        <f aca="false">(1-Sens!I6594)*(Sens!I6591+Sens!I6593)</f>
        <v>20.3917774400264</v>
      </c>
      <c r="J6596" s="6" t="n">
        <f aca="false">(1-Sens!J6594)*(Sens!J6591+Sens!J6593)</f>
        <v>23.2503960207104</v>
      </c>
      <c r="K6596" s="6" t="n">
        <f aca="false">(1-Sens!K6594)*(Sens!K6591+Sens!K6593)</f>
        <v>24.8730801087085</v>
      </c>
    </row>
    <row r="6597" customFormat="false" ht="17.15" hidden="false" customHeight="false" outlineLevel="0" collapsed="false">
      <c r="A6597" s="1" t="s">
        <v>991</v>
      </c>
      <c r="B6597" s="0" t="s">
        <v>417</v>
      </c>
      <c r="C6597" s="8" t="n">
        <f aca="false">cxit_open</f>
        <v>27.5918995</v>
      </c>
      <c r="D6597" s="8" t="n">
        <f aca="false">cxit_open</f>
        <v>27.5918995</v>
      </c>
      <c r="E6597" s="8" t="n">
        <f aca="false">cxit_open</f>
        <v>27.5918995</v>
      </c>
      <c r="F6597" s="8" t="n">
        <f aca="false">((a_g3_27-nonnv*a_mai)*tk_cxit_gb300+nonnv*a_mai*nv_hold_mai*tk_cxit_vr200+(1-a_g3_27)*tk_cxit_vr200)</f>
        <v>32.4975576</v>
      </c>
      <c r="G6597" s="8" t="n">
        <f aca="false">((a_g3_28-nonnv*a_mai)*tk_cxit_gb300+nonnv*a_mai*nv_hold_mai*tk_cxit_vr200+(1-a_g3_28)*tk_cxit_vr200)</f>
        <v>34.6372088</v>
      </c>
      <c r="H6597" s="8" t="n">
        <f aca="false">((a_g3_29-nonnv*a_mai)*tk_cxit_gb300+nonnv*a_mai*nv_hold_mai*tk_cxit_vr200+(1-a_g3_29)*tk_cxit_vr200)</f>
        <v>35.7070344</v>
      </c>
      <c r="I6597" s="8" t="n">
        <f aca="false">((a_g3_29-nonnv*a_mai)*tk_cxit_gb300+nonnv*a_mai*nv_hold_mai*tk_cxit_vr200+(1-a_g3_29)*tk_cxit_vr200)</f>
        <v>35.7070344</v>
      </c>
      <c r="J6597" s="8" t="n">
        <f aca="false">((a_g3_29-nonnv*a_mai)*tk_cxit_gb300+nonnv*a_mai*nv_hold_mai*tk_cxit_vr200+(1-a_g3_29)*tk_cxit_vr200)</f>
        <v>35.7070344</v>
      </c>
      <c r="K6597" s="8" t="n">
        <f aca="false">((a_g3_29-nonnv*a_mai)*tk_cxit_gb300+nonnv*a_mai*nv_hold_mai*tk_cxit_vr200+(1-a_g3_29)*tk_cxit_vr200)</f>
        <v>35.7070344</v>
      </c>
      <c r="L6597" s="12" t="s">
        <v>992</v>
      </c>
    </row>
    <row r="6598" customFormat="false" ht="17.15" hidden="false" customHeight="false" outlineLevel="0" collapsed="false">
      <c r="A6598" s="0" t="s">
        <v>993</v>
      </c>
      <c r="B6598" s="0" t="s">
        <v>459</v>
      </c>
      <c r="F6598" s="30" t="n">
        <f aca="false">Sens!C6577*IF(Sens!F6570-Sens!C6570=life_it,1,0)+Sens!D6577*IF(Sens!F6570-Sens!D6570=life_it,1,0)+Sens!E6577*IF(Sens!F6570-Sens!E6570=life_it,1,0)</f>
        <v>0</v>
      </c>
      <c r="G6598" s="30" t="n">
        <f aca="false">Sens!C6577*IF(Sens!G6570-Sens!C6570=life_it,1,0)+Sens!D6577*IF(Sens!G6570-Sens!D6570=life_it,1,0)+Sens!E6577*IF(Sens!G6570-Sens!E6570=life_it,1,0)+Sens!F6577*IF(Sens!G6570-Sens!F6570=life_it,1,0)</f>
        <v>0</v>
      </c>
      <c r="H6598" s="30" t="n">
        <f aca="false">Sens!C6577*IF(Sens!H6570-Sens!C6570=life_it,1,0)+Sens!D6577*IF(Sens!H6570-Sens!D6570=life_it,1,0)+Sens!E6577*IF(Sens!H6570-Sens!E6570=life_it,1,0)+Sens!F6577*IF(Sens!H6570-Sens!F6570=life_it,1,0)+Sens!G6577*IF(Sens!H6570-Sens!G6570=life_it,1,0)</f>
        <v>0</v>
      </c>
      <c r="I6598" s="30" t="n">
        <f aca="false">Sens!C6577*IF(Sens!I6570-Sens!C6570=life_it,1,0)+Sens!D6577*IF(Sens!I6570-Sens!D6570=life_it,1,0)+Sens!E6577*IF(Sens!I6570-Sens!E6570=life_it,1,0)+Sens!F6577*IF(Sens!I6570-Sens!F6570=life_it,1,0)+Sens!G6577*IF(Sens!I6570-Sens!G6570=life_it,1,0)+Sens!H6577*IF(Sens!I6570-Sens!H6570=life_it,1,0)</f>
        <v>816.666666666667</v>
      </c>
      <c r="J6598" s="30" t="n">
        <f aca="false">Sens!C6577*IF(Sens!J6570-Sens!C6570=life_it,1,0)+Sens!D6577*IF(Sens!J6570-Sens!D6570=life_it,1,0)+Sens!E6577*IF(Sens!J6570-Sens!E6570=life_it,1,0)+Sens!F6577*IF(Sens!J6570-Sens!F6570=life_it,1,0)+Sens!G6577*IF(Sens!J6570-Sens!G6570=life_it,1,0)+Sens!H6577*IF(Sens!J6570-Sens!H6570=life_it,1,0)+Sens!I6577*IF(Sens!J6570-Sens!I6570=life_it,1,0)</f>
        <v>1233.33333333333</v>
      </c>
      <c r="K6598" s="30" t="n">
        <f aca="false">Sens!C6577*IF(Sens!K6570-Sens!C6570=life_it,1,0)+Sens!D6577*IF(Sens!K6570-Sens!D6570=life_it,1,0)+Sens!E6577*IF(Sens!K6570-Sens!E6570=life_it,1,0)+Sens!F6577*IF(Sens!K6570-Sens!F6570=life_it,1,0)+Sens!G6577*IF(Sens!K6570-Sens!G6570=life_it,1,0)+Sens!H6577*IF(Sens!K6570-Sens!H6570=life_it,1,0)+Sens!I6577*IF(Sens!K6570-Sens!I6570=life_it,1,0)+Sens!J6577*IF(Sens!K6570-Sens!J6570=life_it,1,0)</f>
        <v>2450</v>
      </c>
      <c r="L6598" s="1" t="s">
        <v>994</v>
      </c>
    </row>
    <row r="6599" customFormat="false" ht="17.15" hidden="false" customHeight="false" outlineLevel="0" collapsed="false">
      <c r="A6599" s="0" t="s">
        <v>995</v>
      </c>
      <c r="B6599" s="0" t="s">
        <v>98</v>
      </c>
      <c r="C6599" s="6" t="n">
        <f aca="false">Sens!C6577*Sens!C6597/1000</f>
        <v>22.5333845916667</v>
      </c>
      <c r="D6599" s="6" t="n">
        <f aca="false">Sens!D6577*Sens!D6597/1000</f>
        <v>34.0300093833333</v>
      </c>
      <c r="E6599" s="6" t="n">
        <f aca="false">Sens!E6577*Sens!E6597/1000</f>
        <v>67.600153775</v>
      </c>
      <c r="F6599" s="6" t="n">
        <f aca="false">(Sens!F6577+Sens!F6598)*Sens!F6597/1000</f>
        <v>136.51872432512</v>
      </c>
      <c r="G6599" s="6" t="n">
        <f aca="false">(Sens!G6577+Sens!G6598)*Sens!G6597/1000</f>
        <v>157.399275932048</v>
      </c>
      <c r="H6599" s="6" t="n">
        <f aca="false">(Sens!H6577+Sens!H6598)*Sens!H6597/1000</f>
        <v>162.260804347512</v>
      </c>
      <c r="I6599" s="6" t="n">
        <f aca="false">(Sens!I6577+Sens!I6598)*Sens!I6597/1000</f>
        <v>144.136569485434</v>
      </c>
      <c r="J6599" s="6" t="n">
        <f aca="false">(Sens!J6577+Sens!J6598)*Sens!J6597/1000</f>
        <v>114.029037357864</v>
      </c>
      <c r="K6599" s="6" t="n">
        <f aca="false">(Sens!K6577+Sens!K6598)*Sens!K6597/1000</f>
        <v>113.437085350975</v>
      </c>
    </row>
    <row r="6600" customFormat="false" ht="17.15" hidden="false" customHeight="false" outlineLevel="0" collapsed="false">
      <c r="A6600" s="0" t="s">
        <v>996</v>
      </c>
      <c r="B6600" s="0" t="s">
        <v>98</v>
      </c>
      <c r="C6600" s="6" t="n">
        <f aca="false">Sens!C6577*self_build*tk_cxfac/1000</f>
        <v>6.2083</v>
      </c>
      <c r="D6600" s="6" t="n">
        <f aca="false">Sens!D6577*self_build*tk_cxfac/1000</f>
        <v>9.3758</v>
      </c>
      <c r="E6600" s="6" t="n">
        <f aca="false">Sens!E6577*self_build*tk_cxfac/1000</f>
        <v>18.6249</v>
      </c>
      <c r="F6600" s="6" t="n">
        <f aca="false">Sens!F6577*self_build*tk_cxfac/1000</f>
        <v>31.935179717</v>
      </c>
      <c r="G6600" s="6" t="n">
        <f aca="false">Sens!G6577*self_build*tk_cxfac/1000</f>
        <v>34.545199717</v>
      </c>
      <c r="H6600" s="6" t="n">
        <f aca="false">Sens!H6577*self_build*tk_cxfac/1000</f>
        <v>34.545199717</v>
      </c>
      <c r="I6600" s="6" t="n">
        <f aca="false">Sens!I6577*self_build*tk_cxfac/1000</f>
        <v>24.4782641361767</v>
      </c>
      <c r="J6600" s="6" t="n">
        <f aca="false">Sens!J6577*self_build*tk_cxfac/1000</f>
        <v>14.9008938380769</v>
      </c>
      <c r="K6600" s="6" t="n">
        <f aca="false">Sens!K6577*self_build*tk_cxfac/1000</f>
        <v>5.52576771375761</v>
      </c>
    </row>
    <row r="6601" customFormat="false" ht="17.15" hidden="false" customHeight="false" outlineLevel="0" collapsed="false">
      <c r="A6601" s="0" t="s">
        <v>997</v>
      </c>
      <c r="B6601" s="0" t="s">
        <v>98</v>
      </c>
      <c r="F6601" s="15" t="n">
        <f aca="false">capex_floor27-Sens!F6599-Sens!F6600-Sens!F6697</f>
        <v>-0.0555911563235867</v>
      </c>
      <c r="L6601" s="12" t="s">
        <v>998</v>
      </c>
    </row>
    <row r="6602" customFormat="false" ht="17.15" hidden="false" customHeight="false" outlineLevel="0" collapsed="false">
      <c r="A6602" s="0" t="s">
        <v>999</v>
      </c>
      <c r="B6602" s="0" t="s">
        <v>98</v>
      </c>
      <c r="F6602" s="6" t="n">
        <f aca="false">MAX(0,Sens!F6601)</f>
        <v>0</v>
      </c>
    </row>
    <row r="6603" customFormat="false" ht="17.15" hidden="false" customHeight="false" outlineLevel="0" collapsed="false">
      <c r="A6603" s="0" t="s">
        <v>1000</v>
      </c>
      <c r="B6603" s="0" t="s">
        <v>98</v>
      </c>
      <c r="C6603" s="6" t="n">
        <f aca="false">Sens!C6599</f>
        <v>22.5333845916667</v>
      </c>
      <c r="D6603" s="6" t="n">
        <f aca="false">Sens!D6599</f>
        <v>34.0300093833333</v>
      </c>
      <c r="E6603" s="6" t="n">
        <f aca="false">Sens!E6599</f>
        <v>67.600153775</v>
      </c>
      <c r="F6603" s="6" t="n">
        <f aca="false">Sens!F6599</f>
        <v>136.51872432512</v>
      </c>
      <c r="G6603" s="6" t="n">
        <f aca="false">Sens!G6599</f>
        <v>157.399275932048</v>
      </c>
      <c r="H6603" s="6" t="n">
        <f aca="false">Sens!H6599</f>
        <v>162.260804347512</v>
      </c>
      <c r="I6603" s="6" t="n">
        <f aca="false">Sens!I6599</f>
        <v>144.136569485434</v>
      </c>
      <c r="J6603" s="6" t="n">
        <f aca="false">Sens!J6599</f>
        <v>114.029037357864</v>
      </c>
      <c r="K6603" s="6" t="n">
        <f aca="false">Sens!K6599</f>
        <v>113.437085350975</v>
      </c>
    </row>
    <row r="6604" customFormat="false" ht="17.15" hidden="false" customHeight="false" outlineLevel="0" collapsed="false">
      <c r="A6604" s="0" t="s">
        <v>1001</v>
      </c>
      <c r="B6604" s="0" t="s">
        <v>98</v>
      </c>
      <c r="C6604" s="6" t="n">
        <f aca="false">Sens!C6603+Sens!C6600</f>
        <v>28.7416845916667</v>
      </c>
      <c r="D6604" s="6" t="n">
        <f aca="false">Sens!D6603+Sens!D6600</f>
        <v>43.4058093833333</v>
      </c>
      <c r="E6604" s="6" t="n">
        <f aca="false">Sens!E6603+Sens!E6600</f>
        <v>86.225053775</v>
      </c>
      <c r="F6604" s="6" t="n">
        <f aca="false">Sens!F6603+Sens!F6600</f>
        <v>168.45390404212</v>
      </c>
      <c r="G6604" s="6" t="n">
        <f aca="false">Sens!G6603+Sens!G6600</f>
        <v>191.944475649048</v>
      </c>
      <c r="H6604" s="6" t="n">
        <f aca="false">Sens!H6603+Sens!H6600</f>
        <v>196.806004064512</v>
      </c>
      <c r="I6604" s="6" t="n">
        <f aca="false">Sens!I6603+Sens!I6600</f>
        <v>168.61483362161</v>
      </c>
      <c r="J6604" s="6" t="n">
        <f aca="false">Sens!J6603+Sens!J6600</f>
        <v>128.92993119594</v>
      </c>
      <c r="K6604" s="6" t="n">
        <f aca="false">Sens!K6603+Sens!K6600</f>
        <v>118.962853064733</v>
      </c>
      <c r="L6604" s="12" t="s">
        <v>1002</v>
      </c>
    </row>
    <row r="6605" customFormat="false" ht="17.15" hidden="false" customHeight="false" outlineLevel="0" collapsed="false">
      <c r="A6605" s="0" t="s">
        <v>1003</v>
      </c>
      <c r="B6605" s="0" t="s">
        <v>98</v>
      </c>
      <c r="E6605" s="6" t="n">
        <f aca="false">(Sens!C6603*IF(2&lt;life_it,1,IF(2=life_it,0.5,0))+Sens!D6603*IF(1&lt;life_it,1,IF(1=life_it,0.5,0))+Sens!E6603*0.5)/life_it</f>
        <v>15.0605784770833</v>
      </c>
      <c r="F6605" s="6" t="n">
        <f aca="false">(Sens!C6603*IF(3&lt;life_it,1,IF(3=life_it,0.5,0))+Sens!D6603*IF(2&lt;life_it,1,IF(2=life_it,0.5,0))+Sens!E6603*IF(1&lt;life_it,1,IF(1=life_it,0.5,0))+Sens!F6603*0.5)/life_it</f>
        <v>32.0704849854266</v>
      </c>
      <c r="G6605" s="6" t="n">
        <f aca="false">(Sens!C6603*IF(4&lt;life_it,1,IF(4=life_it,0.5,0))+Sens!D6603*IF(3&lt;life_it,1,IF(3=life_it,0.5,0))+Sens!E6603*IF(2&lt;life_it,1,IF(2=life_it,0.5,0))+Sens!F6603*IF(1&lt;life_it,1,IF(1=life_it,0.5,0))+Sens!G6603*0.5)/life_it</f>
        <v>56.5636516735239</v>
      </c>
      <c r="H6605" s="6" t="n">
        <f aca="false">(Sens!C6603*IF(5&lt;life_it,1,IF(5=life_it,0.5,0))+Sens!D6603*IF(4&lt;life_it,1,IF(4=life_it,0.5,0))+Sens!E6603*IF(3&lt;life_it,1,IF(3=life_it,0.5,0))+Sens!F6603*IF(2&lt;life_it,1,IF(2=life_it,0.5,0))+Sens!G6603*IF(1&lt;life_it,1,IF(1=life_it,0.5,0))+Sens!H6603*0.5)/life_it</f>
        <v>83.2019916968207</v>
      </c>
      <c r="I6605" s="6" t="n">
        <f aca="false">(Sens!C6603*IF(6&lt;life_it,1,IF(6=life_it,0.5,0))+Sens!D6603*IF(5&lt;life_it,1,IF(5=life_it,0.5,0))+Sens!E6603*IF(4&lt;life_it,1,IF(4=life_it,0.5,0))+Sens!F6603*IF(3&lt;life_it,1,IF(3=life_it,0.5,0))+Sens!G6603*IF(2&lt;life_it,1,IF(2=life_it,0.5,0))+Sens!H6603*IF(1&lt;life_it,1,IF(1=life_it,0.5,0))+Sens!I6603*0.5)/life_it</f>
        <v>106.857324133594</v>
      </c>
      <c r="J6605" s="6" t="n">
        <f aca="false">(Sens!C6603*IF(7&lt;life_it,1,IF(7=life_it,0.5,0))+Sens!D6603*IF(6&lt;life_it,1,IF(6=life_it,0.5,0))+Sens!E6603*IF(5&lt;life_it,1,IF(5=life_it,0.5,0))+Sens!F6603*IF(4&lt;life_it,1,IF(4=life_it,0.5,0))+Sens!G6603*IF(3&lt;life_it,1,IF(3=life_it,0.5,0))+Sens!H6603*IF(2&lt;life_it,1,IF(2=life_it,0.5,0))+Sens!I6603*IF(1&lt;life_it,1,IF(1=life_it,0.5,0))+Sens!J6603*0.5)/life_it</f>
        <v>123.657508539285</v>
      </c>
      <c r="K6605" s="6" t="n">
        <f aca="false">(Sens!C6603*IF(8&lt;life_it,1,IF(8=life_it,0.5,0))+Sens!D6603*IF(7&lt;life_it,1,IF(7=life_it,0.5,0))+Sens!E6603*IF(6&lt;life_it,1,IF(6=life_it,0.5,0))+Sens!F6603*IF(5&lt;life_it,1,IF(5=life_it,0.5,0))+Sens!G6603*IF(4&lt;life_it,1,IF(4=life_it,0.5,0))+Sens!H6603*IF(3&lt;life_it,1,IF(3=life_it,0.5,0))+Sens!I6603*IF(2&lt;life_it,1,IF(2=life_it,0.5,0))+Sens!J6603*IF(1&lt;life_it,1,IF(1=life_it,0.5,0))+Sens!K6603*0.5)/life_it</f>
        <v>134.143838501827</v>
      </c>
    </row>
    <row r="6606" customFormat="false" ht="17.15" hidden="false" customHeight="false" outlineLevel="0" collapsed="false">
      <c r="A6606" s="0" t="s">
        <v>1004</v>
      </c>
      <c r="B6606" s="0" t="s">
        <v>98</v>
      </c>
      <c r="E6606" s="6" t="n">
        <f aca="false">(Sens!C6600*IF(2&lt;life_fac,1,IF(2=life_fac,0.5,0))+Sens!D6600*IF(1&lt;life_fac,1,IF(1=life_fac,0.5,0))+Sens!E6600*0.5)/life_fac</f>
        <v>1.2448275</v>
      </c>
      <c r="F6606" s="6" t="n">
        <f aca="false">(Sens!C6600*IF(3&lt;life_fac,1,IF(3=life_fac,0.5,0))+Sens!D6600*IF(2&lt;life_fac,1,IF(2=life_fac,0.5,0))+Sens!E6600*IF(1&lt;life_fac,1,IF(1=life_fac,0.5,0))+Sens!F6600*0.5)/life_fac</f>
        <v>2.508829492925</v>
      </c>
      <c r="G6606" s="6" t="n">
        <f aca="false">(Sens!C6600*IF(4&lt;life_fac,1,IF(4=life_fac,0.5,0))+Sens!D6600*IF(3&lt;life_fac,1,IF(3=life_fac,0.5,0))+Sens!E6600*IF(2&lt;life_fac,1,IF(2=life_fac,0.5,0))+Sens!F6600*IF(1&lt;life_fac,1,IF(1=life_fac,0.5,0))+Sens!G6600*0.5)/life_fac</f>
        <v>4.170838978775</v>
      </c>
      <c r="H6606" s="6" t="n">
        <f aca="false">(Sens!C6600*IF(5&lt;life_fac,1,IF(5=life_fac,0.5,0))+Sens!D6600*IF(4&lt;life_fac,1,IF(4=life_fac,0.5,0))+Sens!E6600*IF(3&lt;life_fac,1,IF(3=life_fac,0.5,0))+Sens!F6600*IF(2&lt;life_fac,1,IF(2=life_fac,0.5,0))+Sens!G6600*IF(1&lt;life_fac,1,IF(1=life_fac,0.5,0))+Sens!H6600*0.5)/life_fac</f>
        <v>5.898098964625</v>
      </c>
      <c r="I6606" s="6" t="n">
        <f aca="false">(Sens!C6600*IF(6&lt;life_fac,1,IF(6=life_fac,0.5,0))+Sens!D6600*IF(5&lt;life_fac,1,IF(5=life_fac,0.5,0))+Sens!E6600*IF(4&lt;life_fac,1,IF(4=life_fac,0.5,0))+Sens!F6600*IF(3&lt;life_fac,1,IF(3=life_fac,0.5,0))+Sens!G6600*IF(2&lt;life_fac,1,IF(2=life_fac,0.5,0))+Sens!H6600*IF(1&lt;life_fac,1,IF(1=life_fac,0.5,0))+Sens!I6600*0.5)/life_fac</f>
        <v>7.37368556095442</v>
      </c>
      <c r="J6606" s="6" t="n">
        <f aca="false">(Sens!C6600*IF(7&lt;life_fac,1,IF(7=life_fac,0.5,0))+Sens!D6600*IF(6&lt;life_fac,1,IF(6=life_fac,0.5,0))+Sens!E6600*IF(5&lt;life_fac,1,IF(5=life_fac,0.5,0))+Sens!F6600*IF(4&lt;life_fac,1,IF(4=life_fac,0.5,0))+Sens!G6600*IF(3&lt;life_fac,1,IF(3=life_fac,0.5,0))+Sens!H6600*IF(2&lt;life_fac,1,IF(2=life_fac,0.5,0))+Sens!I6600*IF(1&lt;life_fac,1,IF(1=life_fac,0.5,0))+Sens!J6600*0.5)/life_fac</f>
        <v>8.35816451031075</v>
      </c>
      <c r="K6606" s="6" t="n">
        <f aca="false">(Sens!C6600*IF(8&lt;life_fac,1,IF(8=life_fac,0.5,0))+Sens!D6600*IF(7&lt;life_fac,1,IF(7=life_fac,0.5,0))+Sens!E6600*IF(6&lt;life_fac,1,IF(6=life_fac,0.5,0))+Sens!F6600*IF(5&lt;life_fac,1,IF(5=life_fac,0.5,0))+Sens!G6600*IF(4&lt;life_fac,1,IF(4=life_fac,0.5,0))+Sens!H6600*IF(3&lt;life_fac,1,IF(3=life_fac,0.5,0))+Sens!I6600*IF(2&lt;life_fac,1,IF(2=life_fac,0.5,0))+Sens!J6600*IF(1&lt;life_fac,1,IF(1=life_fac,0.5,0))+Sens!K6600*0.5)/life_fac</f>
        <v>8.86883104910662</v>
      </c>
    </row>
    <row r="6607" customFormat="false" ht="17.15" hidden="false" customHeight="false" outlineLevel="0" collapsed="false">
      <c r="A6607" s="0" t="s">
        <v>1005</v>
      </c>
      <c r="B6607" s="0" t="s">
        <v>98</v>
      </c>
      <c r="E6607" s="6" t="n">
        <f aca="false">Sens!E6605+Sens!E6606</f>
        <v>16.3054059770833</v>
      </c>
      <c r="F6607" s="6" t="n">
        <f aca="false">Sens!F6605+Sens!F6606</f>
        <v>34.5793144783516</v>
      </c>
      <c r="G6607" s="6" t="n">
        <f aca="false">Sens!G6605+Sens!G6606</f>
        <v>60.7344906522989</v>
      </c>
      <c r="H6607" s="6" t="n">
        <f aca="false">Sens!H6605+Sens!H6606</f>
        <v>89.1000906614457</v>
      </c>
      <c r="I6607" s="6" t="n">
        <f aca="false">Sens!I6605+Sens!I6606</f>
        <v>114.231009694548</v>
      </c>
      <c r="J6607" s="6" t="n">
        <f aca="false">Sens!J6605+Sens!J6606</f>
        <v>132.015673049596</v>
      </c>
      <c r="K6607" s="6" t="n">
        <f aca="false">Sens!K6605+Sens!K6606</f>
        <v>143.012669550934</v>
      </c>
    </row>
    <row r="6608" customFormat="false" ht="17.15" hidden="false" customHeight="false" outlineLevel="0" collapsed="false">
      <c r="A6608" s="0" t="s">
        <v>1006</v>
      </c>
      <c r="B6608" s="0" t="s">
        <v>98</v>
      </c>
      <c r="E6608" s="6" t="n">
        <f aca="false">Sens!E6595-Sens!E6594*Sens!E6607</f>
        <v>8.92707889977379</v>
      </c>
      <c r="F6608" s="6" t="n">
        <f aca="false">Sens!F6595-Sens!F6594*Sens!F6607</f>
        <v>14.9020899859591</v>
      </c>
      <c r="G6608" s="6" t="n">
        <f aca="false">Sens!G6595-Sens!G6594*Sens!G6607</f>
        <v>17.6275941415755</v>
      </c>
      <c r="H6608" s="6" t="n">
        <f aca="false">Sens!H6595-Sens!H6594*Sens!H6607</f>
        <v>14.55000582782</v>
      </c>
      <c r="I6608" s="6" t="n">
        <f aca="false">Sens!I6595-Sens!I6594*Sens!I6607</f>
        <v>18.3790414952249</v>
      </c>
      <c r="J6608" s="6" t="n">
        <f aca="false">Sens!J6595-Sens!J6594*Sens!J6607</f>
        <v>21.060043309913</v>
      </c>
      <c r="K6608" s="6" t="n">
        <f aca="false">Sens!K6595-Sens!K6594*Sens!K6607</f>
        <v>23.2543991284664</v>
      </c>
    </row>
    <row r="6609" customFormat="false" ht="17.15" hidden="false" customHeight="false" outlineLevel="0" collapsed="false">
      <c r="A6609" s="3" t="s">
        <v>1776</v>
      </c>
    </row>
    <row r="6610" customFormat="false" ht="15" hidden="false" customHeight="false" outlineLevel="0" collapsed="false">
      <c r="A6610" s="4" t="s">
        <v>43</v>
      </c>
      <c r="B6610" s="4" t="s">
        <v>65</v>
      </c>
      <c r="C6610" s="23" t="s">
        <v>942</v>
      </c>
      <c r="D6610" s="23" t="s">
        <v>943</v>
      </c>
      <c r="E6610" s="23" t="s">
        <v>944</v>
      </c>
      <c r="F6610" s="23" t="s">
        <v>945</v>
      </c>
      <c r="G6610" s="23" t="s">
        <v>946</v>
      </c>
      <c r="H6610" s="23" t="s">
        <v>947</v>
      </c>
      <c r="I6610" s="23" t="s">
        <v>948</v>
      </c>
      <c r="J6610" s="23" t="s">
        <v>949</v>
      </c>
      <c r="K6610" s="23" t="s">
        <v>950</v>
      </c>
      <c r="L6610" s="4" t="s">
        <v>47</v>
      </c>
    </row>
    <row r="6611" customFormat="false" ht="17.15" hidden="false" customHeight="false" outlineLevel="0" collapsed="false">
      <c r="A6611" s="0" t="s">
        <v>1025</v>
      </c>
      <c r="B6611" s="0" t="s">
        <v>98</v>
      </c>
      <c r="D6611" s="6" t="n">
        <f aca="false">Sens!D6589</f>
        <v>12.9359794422418</v>
      </c>
      <c r="E6611" s="6" t="n">
        <f aca="false">Sens!E6589</f>
        <v>27.8095064661409</v>
      </c>
      <c r="F6611" s="6" t="n">
        <f aca="false">Sens!F6589</f>
        <v>51.5368858251824</v>
      </c>
      <c r="G6611" s="6" t="n">
        <f aca="false">Sens!G6589</f>
        <v>77.7993400632004</v>
      </c>
      <c r="H6611" s="6" t="n">
        <f aca="false">Sens!H6589</f>
        <v>99.019015882121</v>
      </c>
      <c r="I6611" s="6" t="n">
        <f aca="false">Sens!I6589</f>
        <v>124.226153471994</v>
      </c>
      <c r="J6611" s="6" t="n">
        <f aca="false">Sens!J6589</f>
        <v>141.865881170736</v>
      </c>
      <c r="K6611" s="6" t="n">
        <f aca="false">Sens!K6589</f>
        <v>153.09246102209</v>
      </c>
    </row>
    <row r="6612" customFormat="false" ht="17.15" hidden="false" customHeight="false" outlineLevel="0" collapsed="false">
      <c r="A6612" s="0" t="s">
        <v>1026</v>
      </c>
      <c r="B6612" s="0" t="s">
        <v>98</v>
      </c>
      <c r="D6612" s="6" t="n">
        <f aca="false">Q!L6-Sens!D6611</f>
        <v>59.6740205577583</v>
      </c>
      <c r="E6612" s="6" t="n">
        <f aca="false">Q!M6-Sens!E6611</f>
        <v>74.1284935338591</v>
      </c>
      <c r="F6612" s="6" t="n">
        <f aca="false">Q!$I$6+(Sens!F6611+Sens!E6612*(1+Sens!F6613))*(1-Q!$E$6/Q!M6)-Sens!F6611</f>
        <v>92.1480943229763</v>
      </c>
      <c r="G6612" s="6" t="n">
        <f aca="false">Sens!F6612*(1+Sens!G6613)</f>
        <v>109.485689652679</v>
      </c>
      <c r="H6612" s="6" t="n">
        <f aca="false">Sens!G6612*(1+Sens!H6613)</f>
        <v>127.125141681271</v>
      </c>
      <c r="I6612" s="6" t="n">
        <f aca="false">Sens!H6612*(1+Sens!I6613)</f>
        <v>144.169397720949</v>
      </c>
      <c r="J6612" s="6" t="n">
        <f aca="false">Sens!I6612*(1+Sens!J6613)</f>
        <v>159.600902790926</v>
      </c>
      <c r="K6612" s="6" t="n">
        <f aca="false">Sens!J6612*(1+Sens!K6613)</f>
        <v>172.368975014201</v>
      </c>
      <c r="L6612" s="12" t="s">
        <v>1027</v>
      </c>
    </row>
    <row r="6613" customFormat="false" ht="15" hidden="false" customHeight="false" outlineLevel="0" collapsed="false">
      <c r="A6613" s="1" t="s">
        <v>1028</v>
      </c>
      <c r="B6613" s="0" t="s">
        <v>168</v>
      </c>
      <c r="E6613" s="7" t="n">
        <f aca="false">Sens!E6612/Sens!D6612-1</f>
        <v>0.242223883039864</v>
      </c>
      <c r="F6613" s="7" t="n">
        <f aca="false">Sens!$E$6613+(glt_azo-Sens!$E$6613)*MIN(1,(Sens!F6570-base_fy)/n_conv)</f>
        <v>0.215186569199887</v>
      </c>
      <c r="G6613" s="7" t="n">
        <f aca="false">Sens!$E$6613+(glt_azo-Sens!$E$6613)*MIN(1,(Sens!G6570-base_fy)/n_conv)</f>
        <v>0.18814925535991</v>
      </c>
      <c r="H6613" s="7" t="n">
        <f aca="false">Sens!$E$6613+(glt_azo-Sens!$E$6613)*MIN(1,(Sens!H6570-base_fy)/n_conv)</f>
        <v>0.161111941519932</v>
      </c>
      <c r="I6613" s="7" t="n">
        <f aca="false">Sens!$E$6613+(glt_azo-Sens!$E$6613)*MIN(1,(Sens!I6570-base_fy)/n_conv)</f>
        <v>0.134074627679955</v>
      </c>
      <c r="J6613" s="7" t="n">
        <f aca="false">Sens!$E$6613+(glt_azo-Sens!$E$6613)*MIN(1,(Sens!J6570-base_fy)/n_conv)</f>
        <v>0.107037313839977</v>
      </c>
      <c r="K6613" s="7" t="n">
        <f aca="false">Sens!$E$6613+(glt_azo-Sens!$E$6613)*MIN(1,(Sens!K6570-base_fy)/n_conv)</f>
        <v>0.08</v>
      </c>
    </row>
    <row r="6614" customFormat="false" ht="15" hidden="false" customHeight="false" outlineLevel="0" collapsed="false">
      <c r="A6614" s="0" t="s">
        <v>1029</v>
      </c>
      <c r="B6614" s="0" t="s">
        <v>98</v>
      </c>
      <c r="D6614" s="6" t="n">
        <f aca="false">Sens!D6611+Sens!D6612</f>
        <v>72.61</v>
      </c>
      <c r="E6614" s="6" t="n">
        <f aca="false">Sens!E6611+Sens!E6612</f>
        <v>101.938</v>
      </c>
      <c r="F6614" s="6" t="n">
        <f aca="false">Sens!F6611+Sens!F6612</f>
        <v>143.684980148159</v>
      </c>
      <c r="G6614" s="6" t="n">
        <f aca="false">Sens!G6611+Sens!G6612</f>
        <v>187.285029715879</v>
      </c>
      <c r="H6614" s="6" t="n">
        <f aca="false">Sens!H6611+Sens!H6612</f>
        <v>226.144157563392</v>
      </c>
      <c r="I6614" s="6" t="n">
        <f aca="false">Sens!I6611+Sens!I6612</f>
        <v>268.395551192942</v>
      </c>
      <c r="J6614" s="6" t="n">
        <f aca="false">Sens!J6611+Sens!J6612</f>
        <v>301.466783961663</v>
      </c>
      <c r="K6614" s="6" t="n">
        <f aca="false">Sens!K6611+Sens!K6612</f>
        <v>325.46143603629</v>
      </c>
    </row>
    <row r="6615" customFormat="false" ht="17.15" hidden="false" customHeight="false" outlineLevel="0" collapsed="false">
      <c r="A6615" s="0" t="s">
        <v>1030</v>
      </c>
      <c r="B6615" s="1" t="s">
        <v>613</v>
      </c>
      <c r="C6615" s="30" t="n">
        <f aca="false">cop_s24</f>
        <v>1</v>
      </c>
      <c r="D6615" s="30" t="n">
        <f aca="false">cop_s25</f>
        <v>5</v>
      </c>
      <c r="E6615" s="30" t="n">
        <f aca="false">cop_s26</f>
        <v>30</v>
      </c>
      <c r="F6615" s="30" t="n">
        <f aca="false">Sens!E6615+cop_add_C</f>
        <v>40</v>
      </c>
      <c r="G6615" s="30" t="n">
        <f aca="false">Sens!F6615+cop_add_C</f>
        <v>50</v>
      </c>
      <c r="H6615" s="30" t="n">
        <f aca="false">Sens!G6615+cop_add_C</f>
        <v>60</v>
      </c>
      <c r="I6615" s="30" t="n">
        <f aca="false">Sens!H6615+cop_add_C*cop_tail</f>
        <v>65</v>
      </c>
      <c r="J6615" s="30" t="n">
        <f aca="false">Sens!I6615+cop_add_C*cop_tail</f>
        <v>70</v>
      </c>
      <c r="K6615" s="30" t="n">
        <f aca="false">Sens!J6615+cop_add_C*cop_tail</f>
        <v>75</v>
      </c>
      <c r="L6615" s="12" t="s">
        <v>1031</v>
      </c>
    </row>
    <row r="6616" customFormat="false" ht="17.15" hidden="false" customHeight="false" outlineLevel="0" collapsed="false">
      <c r="A6616" s="0" t="s">
        <v>1032</v>
      </c>
      <c r="B6616" s="0" t="s">
        <v>98</v>
      </c>
      <c r="D6616" s="6" t="n">
        <f aca="false">(Sens!C6615+Sens!D6615)/2*cop_px*12/1000</f>
        <v>0.9</v>
      </c>
      <c r="E6616" s="6" t="n">
        <f aca="false">(Sens!D6615+Sens!E6615)/2*cop_px*12/1000</f>
        <v>5.25</v>
      </c>
      <c r="F6616" s="6" t="n">
        <f aca="false">(Sens!E6615+Sens!F6615)/2*cop_px*12/1000</f>
        <v>10.5</v>
      </c>
      <c r="G6616" s="6" t="n">
        <f aca="false">(Sens!F6615+Sens!G6615)/2*cop_px*12/1000</f>
        <v>13.5</v>
      </c>
      <c r="H6616" s="6" t="n">
        <f aca="false">(Sens!G6615+Sens!H6615)/2*cop_px*12/1000</f>
        <v>16.5</v>
      </c>
      <c r="I6616" s="6" t="n">
        <f aca="false">(Sens!H6615+Sens!I6615)/2*cop_px*12/1000</f>
        <v>18.75</v>
      </c>
      <c r="J6616" s="6" t="n">
        <f aca="false">(Sens!I6615+Sens!J6615)/2*cop_px*12/1000</f>
        <v>20.25</v>
      </c>
      <c r="K6616" s="6" t="n">
        <f aca="false">(Sens!J6615+Sens!K6615)/2*cop_px*12/1000</f>
        <v>21.75</v>
      </c>
      <c r="L6616" s="1" t="s">
        <v>1033</v>
      </c>
    </row>
    <row r="6617" customFormat="false" ht="17.15" hidden="false" customHeight="false" outlineLevel="0" collapsed="false">
      <c r="A6617" s="0" t="s">
        <v>1034</v>
      </c>
      <c r="B6617" s="0" t="s">
        <v>98</v>
      </c>
      <c r="D6617" s="6" t="n">
        <f aca="false">Q!L7-Sens!D6616</f>
        <v>83.705</v>
      </c>
      <c r="E6617" s="6" t="n">
        <f aca="false">Q!M7-Sens!E6616</f>
        <v>95.049</v>
      </c>
      <c r="F6617" s="6" t="n">
        <f aca="false">Q!$I$7+(Sens!E6617*(1+Sens!F6618)+Sens!F6616)*(1-Q!$E$7/Q!M7)-Sens!F6616</f>
        <v>106.938354189776</v>
      </c>
      <c r="G6617" s="6" t="n">
        <f aca="false">Sens!F6617*(1+Sens!G6618)</f>
        <v>119.095360443801</v>
      </c>
      <c r="H6617" s="6" t="n">
        <f aca="false">Sens!G6617*(1+Sens!H6618)</f>
        <v>131.333811964563</v>
      </c>
      <c r="I6617" s="6" t="n">
        <f aca="false">Sens!H6617*(1+Sens!I6618)</f>
        <v>143.395665319381</v>
      </c>
      <c r="J6617" s="6" t="n">
        <f aca="false">Sens!I6617*(1+Sens!J6618)</f>
        <v>154.999327755573</v>
      </c>
      <c r="K6617" s="6" t="n">
        <f aca="false">Sens!J6617*(1+Sens!K6618)</f>
        <v>165.849280698463</v>
      </c>
      <c r="L6617" s="12" t="s">
        <v>1035</v>
      </c>
    </row>
    <row r="6618" customFormat="false" ht="15" hidden="false" customHeight="false" outlineLevel="0" collapsed="false">
      <c r="A6618" s="1" t="s">
        <v>1028</v>
      </c>
      <c r="B6618" s="0" t="s">
        <v>168</v>
      </c>
      <c r="E6618" s="7" t="n">
        <f aca="false">Sens!E6617/Sens!D6617-1</f>
        <v>0.135523564900544</v>
      </c>
      <c r="F6618" s="7" t="n">
        <f aca="false">Sens!$E$6618+(glt_m365b-Sens!$E$6618)*MIN(1,(Sens!F6570-base_fy)/n_conv)</f>
        <v>0.124602970750453</v>
      </c>
      <c r="G6618" s="7" t="n">
        <f aca="false">Sens!$E$6618+(glt_m365b-Sens!$E$6618)*MIN(1,(Sens!G6570-base_fy)/n_conv)</f>
        <v>0.113682376600363</v>
      </c>
      <c r="H6618" s="7" t="n">
        <f aca="false">Sens!$E$6618+(glt_m365b-Sens!$E$6618)*MIN(1,(Sens!H6570-base_fy)/n_conv)</f>
        <v>0.102761782450272</v>
      </c>
      <c r="I6618" s="7" t="n">
        <f aca="false">Sens!$E$6618+(glt_m365b-Sens!$E$6618)*MIN(1,(Sens!I6570-base_fy)/n_conv)</f>
        <v>0.0918411883001813</v>
      </c>
      <c r="J6618" s="7" t="n">
        <f aca="false">Sens!$E$6618+(glt_m365b-Sens!$E$6618)*MIN(1,(Sens!J6570-base_fy)/n_conv)</f>
        <v>0.0809205941500906</v>
      </c>
      <c r="K6618" s="7" t="n">
        <f aca="false">Sens!$E$6618+(glt_m365b-Sens!$E$6618)*MIN(1,(Sens!K6570-base_fy)/n_conv)</f>
        <v>0.07</v>
      </c>
    </row>
    <row r="6619" customFormat="false" ht="15" hidden="false" customHeight="false" outlineLevel="0" collapsed="false">
      <c r="A6619" s="0" t="s">
        <v>1036</v>
      </c>
      <c r="B6619" s="0" t="s">
        <v>98</v>
      </c>
      <c r="D6619" s="6" t="n">
        <f aca="false">Sens!D6617+Sens!D6616</f>
        <v>84.605</v>
      </c>
      <c r="E6619" s="6" t="n">
        <f aca="false">Sens!E6617+Sens!E6616</f>
        <v>100.299</v>
      </c>
      <c r="F6619" s="6" t="n">
        <f aca="false">Sens!F6617+Sens!F6616</f>
        <v>117.438354189776</v>
      </c>
      <c r="G6619" s="6" t="n">
        <f aca="false">Sens!G6617+Sens!G6616</f>
        <v>132.595360443801</v>
      </c>
      <c r="H6619" s="6" t="n">
        <f aca="false">Sens!H6617+Sens!H6616</f>
        <v>147.833811964563</v>
      </c>
      <c r="I6619" s="6" t="n">
        <f aca="false">Sens!I6617+Sens!I6616</f>
        <v>162.145665319381</v>
      </c>
      <c r="J6619" s="6" t="n">
        <f aca="false">Sens!J6617+Sens!J6616</f>
        <v>175.249327755573</v>
      </c>
      <c r="K6619" s="6" t="n">
        <f aca="false">Sens!K6617+Sens!K6616</f>
        <v>187.599280698463</v>
      </c>
    </row>
    <row r="6620" customFormat="false" ht="17.15" hidden="false" customHeight="false" outlineLevel="0" collapsed="false">
      <c r="A6620" s="0" t="s">
        <v>1037</v>
      </c>
      <c r="B6620" s="0" t="s">
        <v>98</v>
      </c>
      <c r="D6620" s="6" t="n">
        <f aca="false">Q!L8</f>
        <v>35.391</v>
      </c>
      <c r="E6620" s="6" t="n">
        <f aca="false">Q!M8</f>
        <v>37.285</v>
      </c>
      <c r="F6620" s="6" t="n">
        <f aca="false">Q!$I$8+(Q!M8-Q!$E$8)*(1+Sens!F6621)</f>
        <v>38.3851437782675</v>
      </c>
      <c r="G6620" s="6" t="n">
        <f aca="false">Sens!F6620*(1+Sens!G6621)</f>
        <v>40.0105353288615</v>
      </c>
      <c r="H6620" s="6" t="n">
        <f aca="false">Sens!G6620*(1+Sens!H6621)</f>
        <v>41.4812512033683</v>
      </c>
      <c r="I6620" s="6" t="n">
        <f aca="false">Sens!H6620*(1+Sens!I6621)</f>
        <v>42.7743107216329</v>
      </c>
      <c r="J6620" s="6" t="n">
        <f aca="false">Sens!I6620*(1+Sens!J6621)</f>
        <v>43.8687373064601</v>
      </c>
      <c r="K6620" s="6" t="n">
        <f aca="false">Sens!J6620*(1+Sens!K6621)</f>
        <v>44.7461120525893</v>
      </c>
      <c r="L6620" s="12" t="s">
        <v>1038</v>
      </c>
    </row>
    <row r="6621" customFormat="false" ht="15" hidden="false" customHeight="false" outlineLevel="0" collapsed="false">
      <c r="A6621" s="1" t="s">
        <v>1028</v>
      </c>
      <c r="B6621" s="0" t="s">
        <v>168</v>
      </c>
      <c r="E6621" s="7" t="n">
        <f aca="false">Sens!E6620/Sens!D6620-1</f>
        <v>0.0535164307309768</v>
      </c>
      <c r="F6621" s="7" t="n">
        <f aca="false">Sens!$E$6621+(glt_lic-Sens!$E$6621)*MIN(1,(Sens!F6570-base_fy)/n_conv)</f>
        <v>0.0479303589424807</v>
      </c>
      <c r="G6621" s="7" t="n">
        <f aca="false">Sens!$E$6621+(glt_lic-Sens!$E$6621)*MIN(1,(Sens!G6570-base_fy)/n_conv)</f>
        <v>0.0423442871539845</v>
      </c>
      <c r="H6621" s="7" t="n">
        <f aca="false">Sens!$E$6621+(glt_lic-Sens!$E$6621)*MIN(1,(Sens!H6570-base_fy)/n_conv)</f>
        <v>0.0367582153654884</v>
      </c>
      <c r="I6621" s="7" t="n">
        <f aca="false">Sens!$E$6621+(glt_lic-Sens!$E$6621)*MIN(1,(Sens!I6570-base_fy)/n_conv)</f>
        <v>0.0311721435769923</v>
      </c>
      <c r="J6621" s="7" t="n">
        <f aca="false">Sens!$E$6621+(glt_lic-Sens!$E$6621)*MIN(1,(Sens!J6570-base_fy)/n_conv)</f>
        <v>0.0255860717884961</v>
      </c>
      <c r="K6621" s="7" t="n">
        <f aca="false">Sens!$E$6621+(glt_lic-Sens!$E$6621)*MIN(1,(Sens!K6570-base_fy)/n_conv)</f>
        <v>0.02</v>
      </c>
    </row>
    <row r="6622" customFormat="false" ht="17.15" hidden="false" customHeight="false" outlineLevel="0" collapsed="false">
      <c r="A6622" s="0" t="s">
        <v>1039</v>
      </c>
      <c r="B6622" s="0" t="s">
        <v>98</v>
      </c>
      <c r="D6622" s="6" t="n">
        <f aca="false">Q!L9</f>
        <v>18.417</v>
      </c>
      <c r="E6622" s="6" t="n">
        <f aca="false">Q!M9</f>
        <v>20.345</v>
      </c>
      <c r="F6622" s="6" t="n">
        <f aca="false">Q!$I$9+(Q!M9-Q!$E$9)*(1+Sens!F6623)</f>
        <v>22.3161797133988</v>
      </c>
      <c r="G6622" s="6" t="n">
        <f aca="false">Sens!F6622*(1+Sens!G6623)</f>
        <v>24.3943499673233</v>
      </c>
      <c r="H6622" s="6" t="n">
        <f aca="false">Sens!G6622*(1+Sens!H6623)</f>
        <v>26.5250243109019</v>
      </c>
      <c r="I6622" s="6" t="n">
        <f aca="false">Sens!H6622*(1+Sens!I6623)</f>
        <v>28.6884573538181</v>
      </c>
      <c r="J6622" s="6" t="n">
        <f aca="false">Sens!I6622*(1+Sens!J6623)</f>
        <v>30.8624968052127</v>
      </c>
      <c r="K6622" s="6" t="n">
        <f aca="false">Sens!J6622*(1+Sens!K6623)</f>
        <v>33.0228715815776</v>
      </c>
      <c r="L6622" s="12" t="s">
        <v>1038</v>
      </c>
    </row>
    <row r="6623" customFormat="false" ht="15" hidden="false" customHeight="false" outlineLevel="0" collapsed="false">
      <c r="A6623" s="1" t="s">
        <v>1028</v>
      </c>
      <c r="B6623" s="0" t="s">
        <v>168</v>
      </c>
      <c r="E6623" s="7" t="n">
        <f aca="false">Sens!E6622/Sens!D6622-1</f>
        <v>0.104685888038225</v>
      </c>
      <c r="F6623" s="7" t="n">
        <f aca="false">Sens!$E$6623+(glt_ind-Sens!$E$6623)*MIN(1,(Sens!F6570-base_fy)/n_conv)</f>
        <v>0.0989049066985211</v>
      </c>
      <c r="G6623" s="7" t="n">
        <f aca="false">Sens!$E$6623+(glt_ind-Sens!$E$6623)*MIN(1,(Sens!G6570-base_fy)/n_conv)</f>
        <v>0.0931239253588169</v>
      </c>
      <c r="H6623" s="7" t="n">
        <f aca="false">Sens!$E$6623+(glt_ind-Sens!$E$6623)*MIN(1,(Sens!H6570-base_fy)/n_conv)</f>
        <v>0.0873429440191127</v>
      </c>
      <c r="I6623" s="7" t="n">
        <f aca="false">Sens!$E$6623+(glt_ind-Sens!$E$6623)*MIN(1,(Sens!I6570-base_fy)/n_conv)</f>
        <v>0.0815619626794085</v>
      </c>
      <c r="J6623" s="7" t="n">
        <f aca="false">Sens!$E$6623+(glt_ind-Sens!$E$6623)*MIN(1,(Sens!J6570-base_fy)/n_conv)</f>
        <v>0.0757809813397042</v>
      </c>
      <c r="K6623" s="7" t="n">
        <f aca="false">Sens!$E$6623+(glt_ind-Sens!$E$6623)*MIN(1,(Sens!K6570-base_fy)/n_conv)</f>
        <v>0.07</v>
      </c>
    </row>
    <row r="6624" customFormat="false" ht="17.15" hidden="false" customHeight="false" outlineLevel="0" collapsed="false">
      <c r="A6624" s="0" t="s">
        <v>1040</v>
      </c>
      <c r="B6624" s="0" t="s">
        <v>98</v>
      </c>
      <c r="D6624" s="6" t="n">
        <f aca="false">Q!L10</f>
        <v>7.76</v>
      </c>
      <c r="E6624" s="6" t="n">
        <f aca="false">Q!M10</f>
        <v>8.26</v>
      </c>
      <c r="F6624" s="6" t="n">
        <f aca="false">Q!$I$10+(Q!M10-Q!$E$10)*(1+Sens!F6625)</f>
        <v>8.75372082474227</v>
      </c>
      <c r="G6624" s="6" t="n">
        <f aca="false">Sens!F6624*(1+Sens!G6625)</f>
        <v>9.33399324642364</v>
      </c>
      <c r="H6624" s="6" t="n">
        <f aca="false">Sens!G6624*(1+Sens!H6625)</f>
        <v>9.96139155535851</v>
      </c>
      <c r="I6624" s="6" t="n">
        <f aca="false">Sens!H6624*(1+Sens!I6625)</f>
        <v>10.6402039077391</v>
      </c>
      <c r="J6624" s="6" t="n">
        <f aca="false">Sens!I6624*(1+Sens!J6625)</f>
        <v>11.3751458271397</v>
      </c>
      <c r="K6624" s="6" t="n">
        <f aca="false">Sens!J6624*(1+Sens!K6625)</f>
        <v>12.1714060350394</v>
      </c>
      <c r="L6624" s="12" t="s">
        <v>1038</v>
      </c>
    </row>
    <row r="6625" customFormat="false" ht="15" hidden="false" customHeight="false" outlineLevel="0" collapsed="false">
      <c r="A6625" s="1" t="s">
        <v>1028</v>
      </c>
      <c r="B6625" s="0" t="s">
        <v>168</v>
      </c>
      <c r="E6625" s="7" t="n">
        <f aca="false">Sens!E6624/Sens!D6624-1</f>
        <v>0.0644329896907216</v>
      </c>
      <c r="F6625" s="7" t="n">
        <f aca="false">Sens!$E$6625+(glt_fro-Sens!$E$6625)*MIN(1,(Sens!F6570-base_fy)/n_conv)</f>
        <v>0.065360824742268</v>
      </c>
      <c r="G6625" s="7" t="n">
        <f aca="false">Sens!$E$6625+(glt_fro-Sens!$E$6625)*MIN(1,(Sens!G6570-base_fy)/n_conv)</f>
        <v>0.0662886597938144</v>
      </c>
      <c r="H6625" s="7" t="n">
        <f aca="false">Sens!$E$6625+(glt_fro-Sens!$E$6625)*MIN(1,(Sens!H6570-base_fy)/n_conv)</f>
        <v>0.0672164948453608</v>
      </c>
      <c r="I6625" s="7" t="n">
        <f aca="false">Sens!$E$6625+(glt_fro-Sens!$E$6625)*MIN(1,(Sens!I6570-base_fy)/n_conv)</f>
        <v>0.0681443298969072</v>
      </c>
      <c r="J6625" s="7" t="n">
        <f aca="false">Sens!$E$6625+(glt_fro-Sens!$E$6625)*MIN(1,(Sens!J6570-base_fy)/n_conv)</f>
        <v>0.0690721649484536</v>
      </c>
      <c r="K6625" s="7" t="n">
        <f aca="false">Sens!$E$6625+(glt_fro-Sens!$E$6625)*MIN(1,(Sens!K6570-base_fy)/n_conv)</f>
        <v>0.07</v>
      </c>
    </row>
    <row r="6626" customFormat="false" ht="15" hidden="false" customHeight="false" outlineLevel="0" collapsed="false">
      <c r="A6626" s="0" t="s">
        <v>856</v>
      </c>
      <c r="B6626" s="0" t="s">
        <v>98</v>
      </c>
      <c r="D6626" s="6" t="n">
        <f aca="false">Sens!D6614+Sens!D6619+Sens!D6620+Sens!D6622+Sens!D6624</f>
        <v>218.783</v>
      </c>
      <c r="E6626" s="6" t="n">
        <f aca="false">Sens!E6614+Sens!E6619+Sens!E6620+Sens!E6622+Sens!E6624</f>
        <v>268.127</v>
      </c>
      <c r="F6626" s="6" t="n">
        <f aca="false">Sens!F6614+Sens!F6619+Sens!F6620+Sens!F6622+Sens!F6624</f>
        <v>330.578378654343</v>
      </c>
      <c r="G6626" s="6" t="n">
        <f aca="false">Sens!G6614+Sens!G6619+Sens!G6620+Sens!G6622+Sens!G6624</f>
        <v>393.619268702288</v>
      </c>
      <c r="H6626" s="6" t="n">
        <f aca="false">Sens!H6614+Sens!H6619+Sens!H6620+Sens!H6622+Sens!H6624</f>
        <v>451.945636597584</v>
      </c>
      <c r="I6626" s="6" t="n">
        <f aca="false">Sens!I6614+Sens!I6619+Sens!I6620+Sens!I6622+Sens!I6624</f>
        <v>512.644188495514</v>
      </c>
      <c r="J6626" s="6" t="n">
        <f aca="false">Sens!J6614+Sens!J6619+Sens!J6620+Sens!J6622+Sens!J6624</f>
        <v>562.822491656048</v>
      </c>
      <c r="K6626" s="6" t="n">
        <f aca="false">Sens!K6614+Sens!K6619+Sens!K6620+Sens!K6622+Sens!K6624</f>
        <v>603.00110640396</v>
      </c>
    </row>
    <row r="6627" customFormat="false" ht="17.15" hidden="false" customHeight="false" outlineLevel="0" collapsed="false">
      <c r="A6627" s="0" t="s">
        <v>1041</v>
      </c>
      <c r="B6627" s="0" t="s">
        <v>98</v>
      </c>
      <c r="D6627" s="6" t="n">
        <f aca="false">Q!L13</f>
        <v>22.171</v>
      </c>
      <c r="E6627" s="6" t="n">
        <f aca="false">Q!M13</f>
        <v>24.835</v>
      </c>
      <c r="F6627" s="6" t="n">
        <f aca="false">Q!$I$13+(Q!M13-Q!$E$13)*(1+Sens!F6628)</f>
        <v>27.5591895660247</v>
      </c>
      <c r="G6627" s="6" t="n">
        <f aca="false">Sens!F6627*(1+Sens!G6628)</f>
        <v>30.4098563144583</v>
      </c>
      <c r="H6627" s="6" t="n">
        <f aca="false">Sens!G6627*(1+Sens!H6628)</f>
        <v>33.3011792571777</v>
      </c>
      <c r="I6627" s="6" t="n">
        <f aca="false">Sens!H6627*(1+Sens!I6628)</f>
        <v>36.189023797112</v>
      </c>
      <c r="J6627" s="6" t="n">
        <f aca="false">Sens!I6627*(1+Sens!J6628)</f>
        <v>39.0247773769199</v>
      </c>
      <c r="K6627" s="6" t="n">
        <f aca="false">Sens!J6627*(1+Sens!K6628)</f>
        <v>41.7565117933043</v>
      </c>
      <c r="L6627" s="12" t="s">
        <v>1038</v>
      </c>
    </row>
    <row r="6628" customFormat="false" ht="15" hidden="false" customHeight="false" outlineLevel="0" collapsed="false">
      <c r="A6628" s="1" t="s">
        <v>1028</v>
      </c>
      <c r="B6628" s="0" t="s">
        <v>168</v>
      </c>
      <c r="E6628" s="7" t="n">
        <f aca="false">Sens!E6627/Sens!D6627-1</f>
        <v>0.120156961796942</v>
      </c>
      <c r="F6628" s="7" t="n">
        <f aca="false">Sens!$E$6628+(glt_srch-Sens!$E$6628)*MIN(1,(Sens!F6570-base_fy)/n_conv)</f>
        <v>0.111797468164118</v>
      </c>
      <c r="G6628" s="7" t="n">
        <f aca="false">Sens!$E$6628+(glt_srch-Sens!$E$6628)*MIN(1,(Sens!G6570-base_fy)/n_conv)</f>
        <v>0.103437974531295</v>
      </c>
      <c r="H6628" s="7" t="n">
        <f aca="false">Sens!$E$6628+(glt_srch-Sens!$E$6628)*MIN(1,(Sens!H6570-base_fy)/n_conv)</f>
        <v>0.095078480898471</v>
      </c>
      <c r="I6628" s="7" t="n">
        <f aca="false">Sens!$E$6628+(glt_srch-Sens!$E$6628)*MIN(1,(Sens!I6570-base_fy)/n_conv)</f>
        <v>0.0867189872656474</v>
      </c>
      <c r="J6628" s="7" t="n">
        <f aca="false">Sens!$E$6628+(glt_srch-Sens!$E$6628)*MIN(1,(Sens!J6570-base_fy)/n_conv)</f>
        <v>0.0783594936328237</v>
      </c>
      <c r="K6628" s="7" t="n">
        <f aca="false">Sens!$E$6628+(glt_srch-Sens!$E$6628)*MIN(1,(Sens!K6570-base_fy)/n_conv)</f>
        <v>0.07</v>
      </c>
    </row>
    <row r="6629" customFormat="false" ht="17.15" hidden="false" customHeight="false" outlineLevel="0" collapsed="false">
      <c r="A6629" s="0" t="s">
        <v>1042</v>
      </c>
      <c r="B6629" s="0" t="s">
        <v>98</v>
      </c>
      <c r="D6629" s="6" t="n">
        <f aca="false">Q!L14</f>
        <v>23.455</v>
      </c>
      <c r="E6629" s="6" t="n">
        <f aca="false">Q!M14</f>
        <v>21.79</v>
      </c>
      <c r="F6629" s="6" t="n">
        <f aca="false">Q!$I$14+(Q!M14-Q!$E$14)*(1+Sens!F6630)</f>
        <v>20.7520981041711</v>
      </c>
      <c r="G6629" s="6" t="n">
        <f aca="false">Sens!F6629*(1+Sens!G6630)</f>
        <v>19.9083593495882</v>
      </c>
      <c r="H6629" s="6" t="n">
        <f aca="false">Sens!G6629*(1+Sens!H6630)</f>
        <v>19.4008256265831</v>
      </c>
      <c r="I6629" s="6" t="n">
        <f aca="false">Sens!H6629*(1+Sens!I6630)</f>
        <v>19.200434522122</v>
      </c>
      <c r="J6629" s="6" t="n">
        <f aca="false">Sens!I6629*(1+Sens!J6630)</f>
        <v>19.2932782348507</v>
      </c>
      <c r="K6629" s="6" t="n">
        <f aca="false">Sens!J6629*(1+Sens!K6630)</f>
        <v>19.6791437995477</v>
      </c>
      <c r="L6629" s="12" t="s">
        <v>1038</v>
      </c>
    </row>
    <row r="6630" customFormat="false" ht="15" hidden="false" customHeight="false" outlineLevel="0" collapsed="false">
      <c r="A6630" s="1" t="s">
        <v>1028</v>
      </c>
      <c r="B6630" s="0" t="s">
        <v>168</v>
      </c>
      <c r="E6630" s="7" t="n">
        <f aca="false">Sens!E6629/Sens!D6629-1</f>
        <v>-0.0709869963760392</v>
      </c>
      <c r="F6630" s="7" t="n">
        <f aca="false">Sens!$E$6630+(glt_xbox-Sens!$E$6630)*MIN(1,(Sens!F6570-base_fy)/n_conv)</f>
        <v>-0.0558224969800327</v>
      </c>
      <c r="G6630" s="7" t="n">
        <f aca="false">Sens!$E$6630+(glt_xbox-Sens!$E$6630)*MIN(1,(Sens!G6570-base_fy)/n_conv)</f>
        <v>-0.0406579975840262</v>
      </c>
      <c r="H6630" s="7" t="n">
        <f aca="false">Sens!$E$6630+(glt_xbox-Sens!$E$6630)*MIN(1,(Sens!H6570-base_fy)/n_conv)</f>
        <v>-0.0254934981880196</v>
      </c>
      <c r="I6630" s="7" t="n">
        <f aca="false">Sens!$E$6630+(glt_xbox-Sens!$E$6630)*MIN(1,(Sens!I6570-base_fy)/n_conv)</f>
        <v>-0.0103289987920131</v>
      </c>
      <c r="J6630" s="7" t="n">
        <f aca="false">Sens!$E$6630+(glt_xbox-Sens!$E$6630)*MIN(1,(Sens!J6570-base_fy)/n_conv)</f>
        <v>0.00483550060399347</v>
      </c>
      <c r="K6630" s="7" t="n">
        <f aca="false">Sens!$E$6630+(glt_xbox-Sens!$E$6630)*MIN(1,(Sens!K6570-base_fy)/n_conv)</f>
        <v>0.02</v>
      </c>
    </row>
    <row r="6631" customFormat="false" ht="17.15" hidden="false" customHeight="false" outlineLevel="0" collapsed="false">
      <c r="A6631" s="0" t="s">
        <v>1043</v>
      </c>
      <c r="B6631" s="0" t="s">
        <v>98</v>
      </c>
      <c r="D6631" s="6" t="n">
        <f aca="false">Q!L15</f>
        <v>17.315</v>
      </c>
      <c r="E6631" s="6" t="n">
        <f aca="false">Q!M15</f>
        <v>17.087</v>
      </c>
      <c r="F6631" s="6" t="n">
        <f aca="false">Q!$I$15+(Q!M15-Q!$E$15)*(1+Sens!F6632)</f>
        <v>15.9912273250553</v>
      </c>
      <c r="G6631" s="6" t="n">
        <f aca="false">Sens!F6631*(1+Sens!G6632)</f>
        <v>15.9574562664827</v>
      </c>
      <c r="H6631" s="6" t="n">
        <f aca="false">Sens!G6631*(1+Sens!H6632)</f>
        <v>16.0119687434196</v>
      </c>
      <c r="I6631" s="6" t="n">
        <f aca="false">Sens!H6631*(1+Sens!I6632)</f>
        <v>16.1551810001948</v>
      </c>
      <c r="J6631" s="6" t="n">
        <f aca="false">Sens!I6631*(1+Sens!J6632)</f>
        <v>16.3889793892005</v>
      </c>
      <c r="K6631" s="6" t="n">
        <f aca="false">Sens!J6631*(1+Sens!K6632)</f>
        <v>16.7167589769845</v>
      </c>
      <c r="L6631" s="12" t="s">
        <v>1038</v>
      </c>
    </row>
    <row r="6632" customFormat="false" ht="15" hidden="false" customHeight="false" outlineLevel="0" collapsed="false">
      <c r="A6632" s="1" t="s">
        <v>1028</v>
      </c>
      <c r="B6632" s="0" t="s">
        <v>168</v>
      </c>
      <c r="E6632" s="7" t="n">
        <f aca="false">Sens!E6631/Sens!D6631-1</f>
        <v>-0.0131677736066995</v>
      </c>
      <c r="F6632" s="7" t="n">
        <f aca="false">Sens!$E$6632+(glt_win-Sens!$E$6632)*MIN(1,(Sens!F6570-base_fy)/n_conv)</f>
        <v>-0.00763981133891627</v>
      </c>
      <c r="G6632" s="7" t="n">
        <f aca="false">Sens!$E$6632+(glt_win-Sens!$E$6632)*MIN(1,(Sens!G6570-base_fy)/n_conv)</f>
        <v>-0.00211184907113301</v>
      </c>
      <c r="H6632" s="7" t="n">
        <f aca="false">Sens!$E$6632+(glt_win-Sens!$E$6632)*MIN(1,(Sens!H6570-base_fy)/n_conv)</f>
        <v>0.00341611319665024</v>
      </c>
      <c r="I6632" s="7" t="n">
        <f aca="false">Sens!$E$6632+(glt_win-Sens!$E$6632)*MIN(1,(Sens!I6570-base_fy)/n_conv)</f>
        <v>0.00894407546443349</v>
      </c>
      <c r="J6632" s="7" t="n">
        <f aca="false">Sens!$E$6632+(glt_win-Sens!$E$6632)*MIN(1,(Sens!J6570-base_fy)/n_conv)</f>
        <v>0.0144720377322168</v>
      </c>
      <c r="K6632" s="7" t="n">
        <f aca="false">Sens!$E$6632+(glt_win-Sens!$E$6632)*MIN(1,(Sens!K6570-base_fy)/n_conv)</f>
        <v>0.02</v>
      </c>
    </row>
    <row r="6633" customFormat="false" ht="15" hidden="false" customHeight="false" outlineLevel="0" collapsed="false">
      <c r="A6633" s="0" t="s">
        <v>870</v>
      </c>
      <c r="B6633" s="0" t="s">
        <v>98</v>
      </c>
      <c r="D6633" s="6" t="n">
        <f aca="false">Sens!D6627+Sens!D6629+Sens!D6631</f>
        <v>62.941</v>
      </c>
      <c r="E6633" s="6" t="n">
        <f aca="false">Sens!E6627+Sens!E6629+Sens!E6631</f>
        <v>63.712</v>
      </c>
      <c r="F6633" s="6" t="n">
        <f aca="false">Sens!F6627+Sens!F6629+Sens!F6631</f>
        <v>64.3025149952511</v>
      </c>
      <c r="G6633" s="6" t="n">
        <f aca="false">Sens!G6627+Sens!G6629+Sens!G6631</f>
        <v>66.2756719305292</v>
      </c>
      <c r="H6633" s="6" t="n">
        <f aca="false">Sens!H6627+Sens!H6629+Sens!H6631</f>
        <v>68.7139736271804</v>
      </c>
      <c r="I6633" s="6" t="n">
        <f aca="false">Sens!I6627+Sens!I6629+Sens!I6631</f>
        <v>71.5446393194289</v>
      </c>
      <c r="J6633" s="6" t="n">
        <f aca="false">Sens!J6627+Sens!J6629+Sens!J6631</f>
        <v>74.707035000971</v>
      </c>
      <c r="K6633" s="6" t="n">
        <f aca="false">Sens!K6627+Sens!K6629+Sens!K6631</f>
        <v>78.1524145698365</v>
      </c>
    </row>
    <row r="6634" customFormat="false" ht="15" hidden="false" customHeight="false" outlineLevel="0" collapsed="false">
      <c r="A6634" s="1" t="s">
        <v>1044</v>
      </c>
      <c r="B6634" s="0" t="s">
        <v>98</v>
      </c>
      <c r="D6634" s="6" t="n">
        <f aca="false">Sens!D6626+Sens!D6633</f>
        <v>281.724</v>
      </c>
      <c r="E6634" s="6" t="n">
        <f aca="false">Sens!E6626+Sens!E6633</f>
        <v>331.839</v>
      </c>
      <c r="F6634" s="6" t="n">
        <f aca="false">Sens!F6626+Sens!F6633</f>
        <v>394.880893649594</v>
      </c>
      <c r="G6634" s="6" t="n">
        <f aca="false">Sens!G6626+Sens!G6633</f>
        <v>459.894940632818</v>
      </c>
      <c r="H6634" s="6" t="n">
        <f aca="false">Sens!H6626+Sens!H6633</f>
        <v>520.659610224764</v>
      </c>
      <c r="I6634" s="6" t="n">
        <f aca="false">Sens!I6626+Sens!I6633</f>
        <v>584.188827814942</v>
      </c>
      <c r="J6634" s="6" t="n">
        <f aca="false">Sens!J6626+Sens!J6633</f>
        <v>637.529526657019</v>
      </c>
      <c r="K6634" s="6" t="n">
        <f aca="false">Sens!K6626+Sens!K6633</f>
        <v>681.153520973796</v>
      </c>
    </row>
    <row r="6635" customFormat="false" ht="15" hidden="false" customHeight="false" outlineLevel="0" collapsed="false">
      <c r="A6635" s="26" t="s">
        <v>1045</v>
      </c>
      <c r="B6635" s="31" t="s">
        <v>98</v>
      </c>
      <c r="C6635" s="31"/>
      <c r="D6635" s="27" t="n">
        <f aca="false">(Sens!D6614+Sens!D6619+Sens!D6620+Sens!D6622+Sens!D6624-Sens!D6626)+(Sens!D6627+Sens!D6629+Sens!D6631-Sens!D6633)+(Sens!D6626-Q!L5)+(Sens!D6633-Q!L12)+(Sens!D6614-Q!L6)+(Sens!D6619-Q!L7)</f>
        <v>0</v>
      </c>
      <c r="E6635" s="27" t="n">
        <f aca="false">(Sens!E6614+Sens!E6619+Sens!E6620+Sens!E6622+Sens!E6624-Sens!E6626)+(Sens!E6627+Sens!E6629+Sens!E6631-Sens!E6633)+(Sens!E6626-Q!M5)+(Sens!E6633-Q!M12)+(Sens!E6614-Q!M6)+(Sens!E6619-Q!M7)</f>
        <v>0</v>
      </c>
      <c r="F6635" s="27" t="n">
        <f aca="false">(Sens!F6614+Sens!F6619+Sens!F6620+Sens!F6622+Sens!F6624-Sens!F6626)+(Sens!F6627+Sens!F6629+Sens!F6631-Sens!F6633)</f>
        <v>0</v>
      </c>
      <c r="G6635" s="27" t="n">
        <f aca="false">(Sens!G6614+Sens!G6619+Sens!G6620+Sens!G6622+Sens!G6624-Sens!G6626)+(Sens!G6627+Sens!G6629+Sens!G6631-Sens!G6633)</f>
        <v>0</v>
      </c>
      <c r="H6635" s="27" t="n">
        <f aca="false">(Sens!H6614+Sens!H6619+Sens!H6620+Sens!H6622+Sens!H6624-Sens!H6626)+(Sens!H6627+Sens!H6629+Sens!H6631-Sens!H6633)</f>
        <v>0</v>
      </c>
      <c r="I6635" s="27" t="n">
        <f aca="false">(Sens!I6614+Sens!I6619+Sens!I6620+Sens!I6622+Sens!I6624-Sens!I6626)+(Sens!I6627+Sens!I6629+Sens!I6631-Sens!I6633)</f>
        <v>0</v>
      </c>
      <c r="J6635" s="27" t="n">
        <f aca="false">(Sens!J6614+Sens!J6619+Sens!J6620+Sens!J6622+Sens!J6624-Sens!J6626)+(Sens!J6627+Sens!J6629+Sens!J6631-Sens!J6633)</f>
        <v>0</v>
      </c>
      <c r="K6635" s="27" t="n">
        <f aca="false">(Sens!K6614+Sens!K6619+Sens!K6620+Sens!K6622+Sens!K6624-Sens!K6626)+(Sens!K6627+Sens!K6629+Sens!K6631-Sens!K6633)</f>
        <v>0</v>
      </c>
    </row>
    <row r="6636" customFormat="false" ht="17.15" hidden="false" customHeight="false" outlineLevel="0" collapsed="false">
      <c r="A6636" s="3" t="s">
        <v>1777</v>
      </c>
    </row>
    <row r="6637" customFormat="false" ht="15" hidden="false" customHeight="false" outlineLevel="0" collapsed="false">
      <c r="A6637" s="4" t="s">
        <v>43</v>
      </c>
      <c r="B6637" s="4" t="s">
        <v>65</v>
      </c>
      <c r="C6637" s="23" t="s">
        <v>942</v>
      </c>
      <c r="D6637" s="23" t="s">
        <v>943</v>
      </c>
      <c r="E6637" s="23" t="s">
        <v>944</v>
      </c>
      <c r="F6637" s="23" t="s">
        <v>945</v>
      </c>
      <c r="G6637" s="23" t="s">
        <v>946</v>
      </c>
      <c r="H6637" s="23" t="s">
        <v>947</v>
      </c>
      <c r="I6637" s="23" t="s">
        <v>948</v>
      </c>
      <c r="J6637" s="23" t="s">
        <v>949</v>
      </c>
      <c r="K6637" s="23" t="s">
        <v>950</v>
      </c>
      <c r="L6637" s="4" t="s">
        <v>47</v>
      </c>
    </row>
    <row r="6638" customFormat="false" ht="15" hidden="false" customHeight="false" outlineLevel="0" collapsed="false">
      <c r="A6638" s="0" t="s">
        <v>1029</v>
      </c>
      <c r="B6638" s="0" t="s">
        <v>98</v>
      </c>
      <c r="D6638" s="6" t="n">
        <f aca="false">Sens!D6614</f>
        <v>72.61</v>
      </c>
      <c r="E6638" s="6" t="n">
        <f aca="false">Sens!E6614</f>
        <v>101.938</v>
      </c>
      <c r="F6638" s="6" t="n">
        <f aca="false">Sens!F6614</f>
        <v>143.684980148159</v>
      </c>
      <c r="G6638" s="6" t="n">
        <f aca="false">Sens!G6614</f>
        <v>187.285029715879</v>
      </c>
      <c r="H6638" s="6" t="n">
        <f aca="false">Sens!H6614</f>
        <v>226.144157563392</v>
      </c>
      <c r="I6638" s="6" t="n">
        <f aca="false">Sens!I6614</f>
        <v>268.395551192942</v>
      </c>
      <c r="J6638" s="6" t="n">
        <f aca="false">Sens!J6614</f>
        <v>301.466783961663</v>
      </c>
      <c r="K6638" s="6" t="n">
        <f aca="false">Sens!K6614</f>
        <v>325.46143603629</v>
      </c>
    </row>
    <row r="6639" customFormat="false" ht="17.15" hidden="false" customHeight="false" outlineLevel="0" collapsed="false">
      <c r="A6639" s="0" t="s">
        <v>1025</v>
      </c>
      <c r="B6639" s="0" t="s">
        <v>98</v>
      </c>
      <c r="D6639" s="6" t="n">
        <f aca="false">Sens!D6611</f>
        <v>12.9359794422418</v>
      </c>
      <c r="E6639" s="6" t="n">
        <f aca="false">Sens!E6611</f>
        <v>27.8095064661409</v>
      </c>
      <c r="F6639" s="6" t="n">
        <f aca="false">Sens!F6611</f>
        <v>51.5368858251824</v>
      </c>
      <c r="G6639" s="6" t="n">
        <f aca="false">Sens!G6611</f>
        <v>77.7993400632004</v>
      </c>
      <c r="H6639" s="6" t="n">
        <f aca="false">Sens!H6611</f>
        <v>99.019015882121</v>
      </c>
      <c r="I6639" s="6" t="n">
        <f aca="false">Sens!I6611</f>
        <v>124.226153471994</v>
      </c>
      <c r="J6639" s="6" t="n">
        <f aca="false">Sens!J6611</f>
        <v>141.865881170736</v>
      </c>
      <c r="K6639" s="6" t="n">
        <f aca="false">Sens!K6611</f>
        <v>153.09246102209</v>
      </c>
    </row>
    <row r="6640" customFormat="false" ht="17.15" hidden="false" customHeight="false" outlineLevel="0" collapsed="false">
      <c r="A6640" s="0" t="s">
        <v>1056</v>
      </c>
      <c r="B6640" s="0" t="s">
        <v>98</v>
      </c>
      <c r="D6640" s="6" t="n">
        <f aca="false">Sens!D6612</f>
        <v>59.6740205577583</v>
      </c>
      <c r="E6640" s="6" t="n">
        <f aca="false">Sens!E6612</f>
        <v>74.1284935338591</v>
      </c>
      <c r="F6640" s="6" t="n">
        <f aca="false">Sens!F6612</f>
        <v>92.1480943229763</v>
      </c>
      <c r="G6640" s="6" t="n">
        <f aca="false">Sens!G6612</f>
        <v>109.485689652679</v>
      </c>
      <c r="H6640" s="6" t="n">
        <f aca="false">Sens!H6612</f>
        <v>127.125141681271</v>
      </c>
      <c r="I6640" s="6" t="n">
        <f aca="false">Sens!I6612</f>
        <v>144.169397720949</v>
      </c>
      <c r="J6640" s="6" t="n">
        <f aca="false">Sens!J6612</f>
        <v>159.600902790926</v>
      </c>
      <c r="K6640" s="6" t="n">
        <f aca="false">Sens!K6612</f>
        <v>172.368975014201</v>
      </c>
    </row>
    <row r="6641" customFormat="false" ht="15" hidden="false" customHeight="false" outlineLevel="0" collapsed="false">
      <c r="A6641" s="0" t="s">
        <v>1036</v>
      </c>
      <c r="B6641" s="0" t="s">
        <v>98</v>
      </c>
      <c r="D6641" s="6" t="n">
        <f aca="false">Sens!D6619</f>
        <v>84.605</v>
      </c>
      <c r="E6641" s="6" t="n">
        <f aca="false">Sens!E6619</f>
        <v>100.299</v>
      </c>
      <c r="F6641" s="6" t="n">
        <f aca="false">Sens!F6619</f>
        <v>117.438354189776</v>
      </c>
      <c r="G6641" s="6" t="n">
        <f aca="false">Sens!G6619</f>
        <v>132.595360443801</v>
      </c>
      <c r="H6641" s="6" t="n">
        <f aca="false">Sens!H6619</f>
        <v>147.833811964563</v>
      </c>
      <c r="I6641" s="6" t="n">
        <f aca="false">Sens!I6619</f>
        <v>162.145665319381</v>
      </c>
      <c r="J6641" s="6" t="n">
        <f aca="false">Sens!J6619</f>
        <v>175.249327755573</v>
      </c>
      <c r="K6641" s="6" t="n">
        <f aca="false">Sens!K6619</f>
        <v>187.599280698463</v>
      </c>
    </row>
    <row r="6642" customFormat="false" ht="17.15" hidden="false" customHeight="false" outlineLevel="0" collapsed="false">
      <c r="A6642" s="0" t="s">
        <v>1057</v>
      </c>
      <c r="B6642" s="0" t="s">
        <v>98</v>
      </c>
      <c r="D6642" s="6" t="n">
        <f aca="false">Sens!D6617</f>
        <v>83.705</v>
      </c>
      <c r="E6642" s="6" t="n">
        <f aca="false">Sens!E6617</f>
        <v>95.049</v>
      </c>
      <c r="F6642" s="6" t="n">
        <f aca="false">Sens!F6617</f>
        <v>106.938354189776</v>
      </c>
      <c r="G6642" s="6" t="n">
        <f aca="false">Sens!G6617</f>
        <v>119.095360443801</v>
      </c>
      <c r="H6642" s="6" t="n">
        <f aca="false">Sens!H6617</f>
        <v>131.333811964563</v>
      </c>
      <c r="I6642" s="6" t="n">
        <f aca="false">Sens!I6617</f>
        <v>143.395665319381</v>
      </c>
      <c r="J6642" s="6" t="n">
        <f aca="false">Sens!J6617</f>
        <v>154.999327755573</v>
      </c>
      <c r="K6642" s="6" t="n">
        <f aca="false">Sens!K6617</f>
        <v>165.849280698463</v>
      </c>
    </row>
    <row r="6643" customFormat="false" ht="17.15" hidden="false" customHeight="false" outlineLevel="0" collapsed="false">
      <c r="A6643" s="0" t="s">
        <v>1058</v>
      </c>
      <c r="B6643" s="0" t="s">
        <v>98</v>
      </c>
      <c r="D6643" s="6" t="n">
        <f aca="false">Sens!D6616</f>
        <v>0.9</v>
      </c>
      <c r="E6643" s="6" t="n">
        <f aca="false">Sens!E6616</f>
        <v>5.25</v>
      </c>
      <c r="F6643" s="6" t="n">
        <f aca="false">Sens!F6616</f>
        <v>10.5</v>
      </c>
      <c r="G6643" s="6" t="n">
        <f aca="false">Sens!G6616</f>
        <v>13.5</v>
      </c>
      <c r="H6643" s="6" t="n">
        <f aca="false">Sens!H6616</f>
        <v>16.5</v>
      </c>
      <c r="I6643" s="6" t="n">
        <f aca="false">Sens!I6616</f>
        <v>18.75</v>
      </c>
      <c r="J6643" s="6" t="n">
        <f aca="false">Sens!J6616</f>
        <v>20.25</v>
      </c>
      <c r="K6643" s="6" t="n">
        <f aca="false">Sens!K6616</f>
        <v>21.75</v>
      </c>
    </row>
    <row r="6644" customFormat="false" ht="15" hidden="false" customHeight="false" outlineLevel="0" collapsed="false">
      <c r="A6644" s="0" t="s">
        <v>1037</v>
      </c>
      <c r="B6644" s="0" t="s">
        <v>98</v>
      </c>
      <c r="D6644" s="6" t="n">
        <f aca="false">Sens!D6620</f>
        <v>35.391</v>
      </c>
      <c r="E6644" s="6" t="n">
        <f aca="false">Sens!E6620</f>
        <v>37.285</v>
      </c>
      <c r="F6644" s="6" t="n">
        <f aca="false">Sens!F6620</f>
        <v>38.3851437782675</v>
      </c>
      <c r="G6644" s="6" t="n">
        <f aca="false">Sens!G6620</f>
        <v>40.0105353288615</v>
      </c>
      <c r="H6644" s="6" t="n">
        <f aca="false">Sens!H6620</f>
        <v>41.4812512033683</v>
      </c>
      <c r="I6644" s="6" t="n">
        <f aca="false">Sens!I6620</f>
        <v>42.7743107216329</v>
      </c>
      <c r="J6644" s="6" t="n">
        <f aca="false">Sens!J6620</f>
        <v>43.8687373064601</v>
      </c>
      <c r="K6644" s="6" t="n">
        <f aca="false">Sens!K6620</f>
        <v>44.7461120525893</v>
      </c>
    </row>
    <row r="6645" customFormat="false" ht="15" hidden="false" customHeight="false" outlineLevel="0" collapsed="false">
      <c r="A6645" s="0" t="s">
        <v>1039</v>
      </c>
      <c r="B6645" s="0" t="s">
        <v>98</v>
      </c>
      <c r="D6645" s="6" t="n">
        <f aca="false">Sens!D6622</f>
        <v>18.417</v>
      </c>
      <c r="E6645" s="6" t="n">
        <f aca="false">Sens!E6622</f>
        <v>20.345</v>
      </c>
      <c r="F6645" s="6" t="n">
        <f aca="false">Sens!F6622</f>
        <v>22.3161797133988</v>
      </c>
      <c r="G6645" s="6" t="n">
        <f aca="false">Sens!G6622</f>
        <v>24.3943499673233</v>
      </c>
      <c r="H6645" s="6" t="n">
        <f aca="false">Sens!H6622</f>
        <v>26.5250243109019</v>
      </c>
      <c r="I6645" s="6" t="n">
        <f aca="false">Sens!I6622</f>
        <v>28.6884573538181</v>
      </c>
      <c r="J6645" s="6" t="n">
        <f aca="false">Sens!J6622</f>
        <v>30.8624968052127</v>
      </c>
      <c r="K6645" s="6" t="n">
        <f aca="false">Sens!K6622</f>
        <v>33.0228715815776</v>
      </c>
    </row>
    <row r="6646" customFormat="false" ht="15" hidden="false" customHeight="false" outlineLevel="0" collapsed="false">
      <c r="A6646" s="0" t="s">
        <v>1040</v>
      </c>
      <c r="B6646" s="0" t="s">
        <v>98</v>
      </c>
      <c r="D6646" s="6" t="n">
        <f aca="false">Sens!D6624</f>
        <v>7.76</v>
      </c>
      <c r="E6646" s="6" t="n">
        <f aca="false">Sens!E6624</f>
        <v>8.26</v>
      </c>
      <c r="F6646" s="6" t="n">
        <f aca="false">Sens!F6624</f>
        <v>8.75372082474227</v>
      </c>
      <c r="G6646" s="6" t="n">
        <f aca="false">Sens!G6624</f>
        <v>9.33399324642364</v>
      </c>
      <c r="H6646" s="6" t="n">
        <f aca="false">Sens!H6624</f>
        <v>9.96139155535851</v>
      </c>
      <c r="I6646" s="6" t="n">
        <f aca="false">Sens!I6624</f>
        <v>10.6402039077391</v>
      </c>
      <c r="J6646" s="6" t="n">
        <f aca="false">Sens!J6624</f>
        <v>11.3751458271397</v>
      </c>
      <c r="K6646" s="6" t="n">
        <f aca="false">Sens!K6624</f>
        <v>12.1714060350394</v>
      </c>
    </row>
    <row r="6647" customFormat="false" ht="15" hidden="false" customHeight="false" outlineLevel="0" collapsed="false">
      <c r="A6647" s="0" t="s">
        <v>856</v>
      </c>
      <c r="B6647" s="0" t="s">
        <v>98</v>
      </c>
      <c r="D6647" s="6" t="n">
        <f aca="false">Sens!D6626</f>
        <v>218.783</v>
      </c>
      <c r="E6647" s="6" t="n">
        <f aca="false">Sens!E6626</f>
        <v>268.127</v>
      </c>
      <c r="F6647" s="6" t="n">
        <f aca="false">Sens!F6626</f>
        <v>330.578378654343</v>
      </c>
      <c r="G6647" s="6" t="n">
        <f aca="false">Sens!G6626</f>
        <v>393.619268702288</v>
      </c>
      <c r="H6647" s="6" t="n">
        <f aca="false">Sens!H6626</f>
        <v>451.945636597584</v>
      </c>
      <c r="I6647" s="6" t="n">
        <f aca="false">Sens!I6626</f>
        <v>512.644188495514</v>
      </c>
      <c r="J6647" s="6" t="n">
        <f aca="false">Sens!J6626</f>
        <v>562.822491656048</v>
      </c>
      <c r="K6647" s="6" t="n">
        <f aca="false">Sens!K6626</f>
        <v>603.00110640396</v>
      </c>
    </row>
    <row r="6648" customFormat="false" ht="15" hidden="false" customHeight="false" outlineLevel="0" collapsed="false">
      <c r="A6648" s="0" t="s">
        <v>1041</v>
      </c>
      <c r="B6648" s="0" t="s">
        <v>98</v>
      </c>
      <c r="D6648" s="6" t="n">
        <f aca="false">Sens!D6627</f>
        <v>22.171</v>
      </c>
      <c r="E6648" s="6" t="n">
        <f aca="false">Sens!E6627</f>
        <v>24.835</v>
      </c>
      <c r="F6648" s="6" t="n">
        <f aca="false">Sens!F6627</f>
        <v>27.5591895660247</v>
      </c>
      <c r="G6648" s="6" t="n">
        <f aca="false">Sens!G6627</f>
        <v>30.4098563144583</v>
      </c>
      <c r="H6648" s="6" t="n">
        <f aca="false">Sens!H6627</f>
        <v>33.3011792571777</v>
      </c>
      <c r="I6648" s="6" t="n">
        <f aca="false">Sens!I6627</f>
        <v>36.189023797112</v>
      </c>
      <c r="J6648" s="6" t="n">
        <f aca="false">Sens!J6627</f>
        <v>39.0247773769199</v>
      </c>
      <c r="K6648" s="6" t="n">
        <f aca="false">Sens!K6627</f>
        <v>41.7565117933043</v>
      </c>
    </row>
    <row r="6649" customFormat="false" ht="15" hidden="false" customHeight="false" outlineLevel="0" collapsed="false">
      <c r="A6649" s="0" t="s">
        <v>1042</v>
      </c>
      <c r="B6649" s="0" t="s">
        <v>98</v>
      </c>
      <c r="D6649" s="6" t="n">
        <f aca="false">Sens!D6629</f>
        <v>23.455</v>
      </c>
      <c r="E6649" s="6" t="n">
        <f aca="false">Sens!E6629</f>
        <v>21.79</v>
      </c>
      <c r="F6649" s="6" t="n">
        <f aca="false">Sens!F6629</f>
        <v>20.7520981041711</v>
      </c>
      <c r="G6649" s="6" t="n">
        <f aca="false">Sens!G6629</f>
        <v>19.9083593495882</v>
      </c>
      <c r="H6649" s="6" t="n">
        <f aca="false">Sens!H6629</f>
        <v>19.4008256265831</v>
      </c>
      <c r="I6649" s="6" t="n">
        <f aca="false">Sens!I6629</f>
        <v>19.200434522122</v>
      </c>
      <c r="J6649" s="6" t="n">
        <f aca="false">Sens!J6629</f>
        <v>19.2932782348507</v>
      </c>
      <c r="K6649" s="6" t="n">
        <f aca="false">Sens!K6629</f>
        <v>19.6791437995477</v>
      </c>
    </row>
    <row r="6650" customFormat="false" ht="15" hidden="false" customHeight="false" outlineLevel="0" collapsed="false">
      <c r="A6650" s="0" t="s">
        <v>1043</v>
      </c>
      <c r="B6650" s="0" t="s">
        <v>98</v>
      </c>
      <c r="D6650" s="6" t="n">
        <f aca="false">Sens!D6631</f>
        <v>17.315</v>
      </c>
      <c r="E6650" s="6" t="n">
        <f aca="false">Sens!E6631</f>
        <v>17.087</v>
      </c>
      <c r="F6650" s="6" t="n">
        <f aca="false">Sens!F6631</f>
        <v>15.9912273250553</v>
      </c>
      <c r="G6650" s="6" t="n">
        <f aca="false">Sens!G6631</f>
        <v>15.9574562664827</v>
      </c>
      <c r="H6650" s="6" t="n">
        <f aca="false">Sens!H6631</f>
        <v>16.0119687434196</v>
      </c>
      <c r="I6650" s="6" t="n">
        <f aca="false">Sens!I6631</f>
        <v>16.1551810001948</v>
      </c>
      <c r="J6650" s="6" t="n">
        <f aca="false">Sens!J6631</f>
        <v>16.3889793892005</v>
      </c>
      <c r="K6650" s="6" t="n">
        <f aca="false">Sens!K6631</f>
        <v>16.7167589769845</v>
      </c>
    </row>
    <row r="6651" customFormat="false" ht="15" hidden="false" customHeight="false" outlineLevel="0" collapsed="false">
      <c r="A6651" s="0" t="s">
        <v>870</v>
      </c>
      <c r="B6651" s="0" t="s">
        <v>98</v>
      </c>
      <c r="D6651" s="6" t="n">
        <f aca="false">Sens!D6633</f>
        <v>62.941</v>
      </c>
      <c r="E6651" s="6" t="n">
        <f aca="false">Sens!E6633</f>
        <v>63.712</v>
      </c>
      <c r="F6651" s="6" t="n">
        <f aca="false">Sens!F6633</f>
        <v>64.3025149952511</v>
      </c>
      <c r="G6651" s="6" t="n">
        <f aca="false">Sens!G6633</f>
        <v>66.2756719305292</v>
      </c>
      <c r="H6651" s="6" t="n">
        <f aca="false">Sens!H6633</f>
        <v>68.7139736271804</v>
      </c>
      <c r="I6651" s="6" t="n">
        <f aca="false">Sens!I6633</f>
        <v>71.5446393194289</v>
      </c>
      <c r="J6651" s="6" t="n">
        <f aca="false">Sens!J6633</f>
        <v>74.707035000971</v>
      </c>
      <c r="K6651" s="6" t="n">
        <f aca="false">Sens!K6633</f>
        <v>78.1524145698365</v>
      </c>
    </row>
    <row r="6652" customFormat="false" ht="15" hidden="false" customHeight="false" outlineLevel="0" collapsed="false">
      <c r="A6652" s="1" t="s">
        <v>1059</v>
      </c>
      <c r="B6652" s="0" t="s">
        <v>98</v>
      </c>
      <c r="D6652" s="6" t="n">
        <f aca="false">Sens!D6634</f>
        <v>281.724</v>
      </c>
      <c r="E6652" s="6" t="n">
        <f aca="false">Sens!E6634</f>
        <v>331.839</v>
      </c>
      <c r="F6652" s="6" t="n">
        <f aca="false">Sens!F6634</f>
        <v>394.880893649594</v>
      </c>
      <c r="G6652" s="6" t="n">
        <f aca="false">Sens!G6634</f>
        <v>459.894940632818</v>
      </c>
      <c r="H6652" s="6" t="n">
        <f aca="false">Sens!H6634</f>
        <v>520.659610224764</v>
      </c>
      <c r="I6652" s="6" t="n">
        <f aca="false">Sens!I6634</f>
        <v>584.188827814942</v>
      </c>
      <c r="J6652" s="6" t="n">
        <f aca="false">Sens!J6634</f>
        <v>637.529526657019</v>
      </c>
      <c r="K6652" s="6" t="n">
        <f aca="false">Sens!K6634</f>
        <v>681.153520973796</v>
      </c>
    </row>
    <row r="6653" customFormat="false" ht="15" hidden="false" customHeight="false" outlineLevel="0" collapsed="false">
      <c r="A6653" s="1" t="s">
        <v>1060</v>
      </c>
      <c r="B6653" s="0" t="s">
        <v>168</v>
      </c>
      <c r="E6653" s="7" t="n">
        <f aca="false">Sens!E6652/Sens!D6652-1</f>
        <v>0.177886867998467</v>
      </c>
      <c r="F6653" s="7" t="n">
        <f aca="false">Sens!F6652/Sens!E6652-1</f>
        <v>0.18997734940617</v>
      </c>
      <c r="G6653" s="7" t="n">
        <f aca="false">Sens!G6652/Sens!F6652-1</f>
        <v>0.164642169395299</v>
      </c>
      <c r="H6653" s="7" t="n">
        <f aca="false">Sens!H6652/Sens!G6652-1</f>
        <v>0.132127284349625</v>
      </c>
      <c r="I6653" s="7" t="n">
        <f aca="false">Sens!I6652/Sens!H6652-1</f>
        <v>0.122016796276464</v>
      </c>
      <c r="J6653" s="7" t="n">
        <f aca="false">Sens!J6652/Sens!I6652-1</f>
        <v>0.0913072902157144</v>
      </c>
      <c r="K6653" s="7" t="n">
        <f aca="false">Sens!K6652/Sens!J6652-1</f>
        <v>0.0684266257368904</v>
      </c>
    </row>
    <row r="6654" customFormat="false" ht="17.15" hidden="false" customHeight="false" outlineLevel="0" collapsed="false">
      <c r="A6654" s="26" t="s">
        <v>1061</v>
      </c>
      <c r="B6654" s="31" t="s">
        <v>98</v>
      </c>
      <c r="C6654" s="31"/>
      <c r="D6654" s="27" t="n">
        <f aca="false">(Sens!D6647+Sens!D6651-Sens!D6652)+(Sens!D6639+Sens!D6640-Sens!D6638)+(Sens!D6642+Sens!D6643-Sens!D6641)+(Sens!D6652-Q!L18)</f>
        <v>0</v>
      </c>
      <c r="E6654" s="27" t="n">
        <f aca="false">(Sens!E6647+Sens!E6651-Sens!E6652)+(Sens!E6639+Sens!E6640-Sens!E6638)+(Sens!E6642+Sens!E6643-Sens!E6641)+(Sens!E6652-Q!M18)</f>
        <v>0</v>
      </c>
      <c r="F6654" s="27" t="n">
        <f aca="false">(Sens!F6647+Sens!F6651-Sens!F6652)+(Sens!F6639+Sens!F6640-Sens!F6638)+(Sens!F6642+Sens!F6643-Sens!F6641)</f>
        <v>0</v>
      </c>
      <c r="G6654" s="27" t="n">
        <f aca="false">(Sens!G6647+Sens!G6651-Sens!G6652)+(Sens!G6639+Sens!G6640-Sens!G6638)+(Sens!G6642+Sens!G6643-Sens!G6641)</f>
        <v>0</v>
      </c>
      <c r="H6654" s="27" t="n">
        <f aca="false">(Sens!H6647+Sens!H6651-Sens!H6652)+(Sens!H6639+Sens!H6640-Sens!H6638)+(Sens!H6642+Sens!H6643-Sens!H6641)</f>
        <v>0</v>
      </c>
      <c r="I6654" s="27" t="n">
        <f aca="false">(Sens!I6647+Sens!I6651-Sens!I6652)+(Sens!I6639+Sens!I6640-Sens!I6638)+(Sens!I6642+Sens!I6643-Sens!I6641)</f>
        <v>0</v>
      </c>
      <c r="J6654" s="27" t="n">
        <f aca="false">(Sens!J6647+Sens!J6651-Sens!J6652)+(Sens!J6639+Sens!J6640-Sens!J6638)+(Sens!J6642+Sens!J6643-Sens!J6641)</f>
        <v>0</v>
      </c>
      <c r="K6654" s="27" t="n">
        <f aca="false">(Sens!K6647+Sens!K6651-Sens!K6652)+(Sens!K6639+Sens!K6640-Sens!K6638)+(Sens!K6642+Sens!K6643-Sens!K6641)</f>
        <v>0</v>
      </c>
    </row>
    <row r="6655" customFormat="false" ht="17.15" hidden="false" customHeight="false" outlineLevel="0" collapsed="false">
      <c r="A6655" s="0" t="s">
        <v>1062</v>
      </c>
      <c r="B6655" s="0" t="s">
        <v>168</v>
      </c>
      <c r="E6655" s="7" t="n">
        <f aca="false">(Q!M21+Sens!E6591+Sens!E6592+Sens!E6593+Sens!E6607-Sens!E6589)/(Q!M5-Sens!E6589)</f>
        <v>0.570957350878296</v>
      </c>
      <c r="F6655" s="7" t="n">
        <f aca="false">Sens!$E$6655+dm_seg</f>
        <v>0.570957350878296</v>
      </c>
      <c r="G6655" s="7" t="n">
        <f aca="false">Sens!$E$6655+dm_seg</f>
        <v>0.570957350878296</v>
      </c>
      <c r="H6655" s="7" t="n">
        <f aca="false">Sens!$E$6655+dm_seg</f>
        <v>0.570957350878296</v>
      </c>
      <c r="I6655" s="7" t="n">
        <f aca="false">Sens!$E$6655+dm_seg</f>
        <v>0.570957350878296</v>
      </c>
      <c r="J6655" s="7" t="n">
        <f aca="false">Sens!$E$6655+dm_seg</f>
        <v>0.570957350878296</v>
      </c>
      <c r="K6655" s="7" t="n">
        <f aca="false">Sens!$E$6655+dm_seg</f>
        <v>0.570957350878296</v>
      </c>
      <c r="L6655" s="12" t="s">
        <v>1063</v>
      </c>
    </row>
    <row r="6656" customFormat="false" ht="17.15" hidden="false" customHeight="false" outlineLevel="0" collapsed="false">
      <c r="A6656" s="0" t="s">
        <v>884</v>
      </c>
      <c r="B6656" s="0" t="s">
        <v>98</v>
      </c>
      <c r="D6656" s="6" t="n">
        <f aca="false">Q!L21</f>
        <v>110.814</v>
      </c>
      <c r="E6656" s="6" t="n">
        <f aca="false">Q!M21</f>
        <v>136.365</v>
      </c>
      <c r="F6656" s="6" t="n">
        <f aca="false">Q!$I$21+(Sens!F6655*(Sens!F6626-Sens!F6589)+Sens!F6589-(Sens!F6591+Sens!F6592+Sens!F6593)-Sens!F6607-Sens!F6690)*(Sens!F6626-Q!$I$5)/Sens!F6626</f>
        <v>158.52954005322</v>
      </c>
      <c r="G6656" s="6" t="n">
        <f aca="false">(Sens!G6655*(Sens!G6626-Sens!G6589)+Sens!G6589-(Sens!G6591+Sens!G6592+Sens!G6593)-Sens!G6607-Sens!G6690)</f>
        <v>162.313366670838</v>
      </c>
      <c r="H6656" s="6" t="n">
        <f aca="false">(Sens!H6655*(Sens!H6626-Sens!H6589)+Sens!H6589-(Sens!H6591+Sens!H6592+Sens!H6593)-Sens!H6607-Sens!H6690)</f>
        <v>164.223940876416</v>
      </c>
      <c r="I6656" s="6" t="n">
        <f aca="false">(Sens!I6655*(Sens!I6626-Sens!I6589)+Sens!I6589-(Sens!I6591+Sens!I6592+Sens!I6593)-Sens!I6607-Sens!I6690)</f>
        <v>174.064992487761</v>
      </c>
      <c r="J6656" s="6" t="n">
        <f aca="false">(Sens!J6655*(Sens!J6626-Sens!J6589)+Sens!J6589-(Sens!J6591+Sens!J6592+Sens!J6593)-Sens!J6607-Sens!J6690)</f>
        <v>185.351649226765</v>
      </c>
      <c r="K6656" s="6" t="n">
        <f aca="false">(Sens!K6655*(Sens!K6626-Sens!K6589)+Sens!K6589-(Sens!K6591+Sens!K6592+Sens!K6593)-Sens!K6607-Sens!K6690)</f>
        <v>198.05489950386</v>
      </c>
      <c r="L6656" s="1" t="s">
        <v>1064</v>
      </c>
    </row>
    <row r="6657" customFormat="false" ht="17.15" hidden="false" customHeight="false" outlineLevel="0" collapsed="false">
      <c r="A6657" s="0" t="s">
        <v>1065</v>
      </c>
      <c r="B6657" s="0" t="s">
        <v>168</v>
      </c>
      <c r="E6657" s="7" t="n">
        <f aca="false">Q!M22/Q!M12</f>
        <v>0.296207935710698</v>
      </c>
      <c r="F6657" s="7" t="n">
        <f aca="false">Sens!$E$6657+dm_seg</f>
        <v>0.296207935710698</v>
      </c>
      <c r="G6657" s="7" t="n">
        <f aca="false">Sens!$E$6657+dm_seg</f>
        <v>0.296207935710698</v>
      </c>
      <c r="H6657" s="7" t="n">
        <f aca="false">Sens!$E$6657+dm_seg</f>
        <v>0.296207935710698</v>
      </c>
      <c r="I6657" s="7" t="n">
        <f aca="false">Sens!$E$6657+dm_seg</f>
        <v>0.296207935710698</v>
      </c>
      <c r="J6657" s="7" t="n">
        <f aca="false">Sens!$E$6657+dm_seg</f>
        <v>0.296207935710698</v>
      </c>
      <c r="K6657" s="7" t="n">
        <f aca="false">Sens!$E$6657+dm_seg</f>
        <v>0.296207935710698</v>
      </c>
      <c r="L6657" s="12" t="s">
        <v>1066</v>
      </c>
    </row>
    <row r="6658" customFormat="false" ht="17.15" hidden="false" customHeight="false" outlineLevel="0" collapsed="false">
      <c r="A6658" s="0" t="s">
        <v>886</v>
      </c>
      <c r="B6658" s="0" t="s">
        <v>98</v>
      </c>
      <c r="D6658" s="6" t="n">
        <f aca="false">Q!L22</f>
        <v>17.714</v>
      </c>
      <c r="E6658" s="6" t="n">
        <f aca="false">Q!M22</f>
        <v>18.872</v>
      </c>
      <c r="F6658" s="6" t="n">
        <f aca="false">Q!$I$22+(Sens!F6633-Q!$I$12)*Sens!F6657</f>
        <v>19.8174315512051</v>
      </c>
      <c r="G6658" s="6" t="n">
        <f aca="false">Sens!G6633*Sens!G6657</f>
        <v>19.6313799703815</v>
      </c>
      <c r="H6658" s="6" t="n">
        <f aca="false">Sens!H6633*Sens!H6657</f>
        <v>20.3536242825865</v>
      </c>
      <c r="I6658" s="6" t="n">
        <f aca="false">Sens!I6633*Sens!I6657</f>
        <v>21.1920899239745</v>
      </c>
      <c r="J6658" s="6" t="n">
        <f aca="false">Sens!J6633*Sens!J6657</f>
        <v>22.1288166207045</v>
      </c>
      <c r="K6658" s="6" t="n">
        <f aca="false">Sens!K6633*Sens!K6657</f>
        <v>23.1493653905379</v>
      </c>
      <c r="L6658" s="12" t="s">
        <v>1067</v>
      </c>
    </row>
    <row r="6659" customFormat="false" ht="15" hidden="false" customHeight="false" outlineLevel="0" collapsed="false">
      <c r="A6659" s="1" t="s">
        <v>1068</v>
      </c>
      <c r="B6659" s="0" t="s">
        <v>98</v>
      </c>
      <c r="D6659" s="6" t="n">
        <f aca="false">Sens!D6656+Sens!D6658</f>
        <v>128.528</v>
      </c>
      <c r="E6659" s="6" t="n">
        <f aca="false">Sens!E6656+Sens!E6658</f>
        <v>155.237</v>
      </c>
      <c r="F6659" s="6" t="n">
        <f aca="false">Sens!F6656+Sens!F6658</f>
        <v>178.346971604425</v>
      </c>
      <c r="G6659" s="6" t="n">
        <f aca="false">Sens!G6656+Sens!G6658</f>
        <v>181.94474664122</v>
      </c>
      <c r="H6659" s="6" t="n">
        <f aca="false">Sens!H6656+Sens!H6658</f>
        <v>184.577565159002</v>
      </c>
      <c r="I6659" s="6" t="n">
        <f aca="false">Sens!I6656+Sens!I6658</f>
        <v>195.257082411736</v>
      </c>
      <c r="J6659" s="6" t="n">
        <f aca="false">Sens!J6656+Sens!J6658</f>
        <v>207.480465847469</v>
      </c>
      <c r="K6659" s="6" t="n">
        <f aca="false">Sens!K6656+Sens!K6658</f>
        <v>221.204264894397</v>
      </c>
    </row>
    <row r="6660" customFormat="false" ht="15" hidden="false" customHeight="false" outlineLevel="0" collapsed="false">
      <c r="A6660" s="26" t="s">
        <v>1069</v>
      </c>
      <c r="B6660" s="31" t="s">
        <v>98</v>
      </c>
      <c r="C6660" s="31"/>
      <c r="D6660" s="27" t="n">
        <f aca="false">Sens!D6659-Q!L23</f>
        <v>0</v>
      </c>
      <c r="E6660" s="27" t="n">
        <f aca="false">Sens!E6659-Q!M23</f>
        <v>0</v>
      </c>
      <c r="F6660" s="31"/>
      <c r="G6660" s="31"/>
      <c r="H6660" s="31"/>
      <c r="I6660" s="31"/>
      <c r="J6660" s="31"/>
      <c r="K6660" s="31"/>
    </row>
    <row r="6661" customFormat="false" ht="15" hidden="false" customHeight="false" outlineLevel="0" collapsed="false">
      <c r="A6661" s="1" t="s">
        <v>1070</v>
      </c>
      <c r="B6661" s="0" t="s">
        <v>168</v>
      </c>
      <c r="D6661" s="7" t="n">
        <f aca="false">Sens!D6659/Sens!D6652</f>
        <v>0.456219562408598</v>
      </c>
      <c r="E6661" s="7" t="n">
        <f aca="false">Sens!E6659/Sens!E6652</f>
        <v>0.467808184089272</v>
      </c>
      <c r="F6661" s="7" t="n">
        <f aca="false">Sens!F6659/Sens!F6652</f>
        <v>0.45164750807793</v>
      </c>
      <c r="G6661" s="7" t="n">
        <f aca="false">Sens!G6659/Sens!G6652</f>
        <v>0.395622414090625</v>
      </c>
      <c r="H6661" s="7" t="n">
        <f aca="false">Sens!H6659/Sens!H6652</f>
        <v>0.354507170393574</v>
      </c>
      <c r="I6661" s="7" t="n">
        <f aca="false">Sens!I6659/Sens!I6652</f>
        <v>0.334236248820542</v>
      </c>
      <c r="J6661" s="7" t="n">
        <f aca="false">Sens!J6659/Sens!J6652</f>
        <v>0.32544448087828</v>
      </c>
      <c r="K6661" s="7" t="n">
        <f aca="false">Sens!K6659/Sens!K6652</f>
        <v>0.324749499317214</v>
      </c>
    </row>
    <row r="6662" customFormat="false" ht="17.15" hidden="false" customHeight="false" outlineLevel="0" collapsed="false">
      <c r="A6662" s="1" t="s">
        <v>1071</v>
      </c>
      <c r="B6662" s="0" t="s">
        <v>98</v>
      </c>
      <c r="F6662" s="6" t="n">
        <f aca="false">Sens!F6677</f>
        <v>10.5962787979473</v>
      </c>
      <c r="G6662" s="6" t="n">
        <f aca="false">Sens!G6677</f>
        <v>27.844646674932</v>
      </c>
      <c r="H6662" s="6" t="n">
        <f aca="false">Sens!H6677</f>
        <v>46.566205501382</v>
      </c>
      <c r="I6662" s="6" t="n">
        <f aca="false">Sens!I6677</f>
        <v>63.2717778126444</v>
      </c>
      <c r="J6662" s="6" t="n">
        <f aca="false">Sens!J6677</f>
        <v>74.9061222882009</v>
      </c>
      <c r="K6662" s="6" t="n">
        <f aca="false">Sens!K6677</f>
        <v>81.6395437180232</v>
      </c>
      <c r="L6662" s="1" t="s">
        <v>1072</v>
      </c>
    </row>
    <row r="6663" customFormat="false" ht="17.15" hidden="false" customHeight="false" outlineLevel="0" collapsed="false">
      <c r="A6663" s="1" t="s">
        <v>1073</v>
      </c>
      <c r="B6663" s="0" t="s">
        <v>98</v>
      </c>
      <c r="D6663" s="6" t="n">
        <f aca="false">Sens!D6659</f>
        <v>128.528</v>
      </c>
      <c r="E6663" s="6" t="n">
        <f aca="false">Sens!E6659</f>
        <v>155.237</v>
      </c>
      <c r="F6663" s="6" t="n">
        <f aca="false">Sens!F6659+Sens!F6662</f>
        <v>188.943250402373</v>
      </c>
      <c r="G6663" s="6" t="n">
        <f aca="false">Sens!G6659+Sens!G6662</f>
        <v>209.789393316152</v>
      </c>
      <c r="H6663" s="6" t="n">
        <f aca="false">Sens!H6659+Sens!H6662</f>
        <v>231.143770660384</v>
      </c>
      <c r="I6663" s="6" t="n">
        <f aca="false">Sens!I6659+Sens!I6662</f>
        <v>258.52886022438</v>
      </c>
      <c r="J6663" s="6" t="n">
        <f aca="false">Sens!J6659+Sens!J6662</f>
        <v>282.38658813567</v>
      </c>
      <c r="K6663" s="6" t="n">
        <f aca="false">Sens!K6659+Sens!K6662</f>
        <v>302.843808612421</v>
      </c>
    </row>
    <row r="6664" customFormat="false" ht="17.15" hidden="false" customHeight="false" outlineLevel="0" collapsed="false">
      <c r="A6664" s="1" t="s">
        <v>1074</v>
      </c>
      <c r="B6664" s="0" t="s">
        <v>98</v>
      </c>
      <c r="E6664" s="6" t="n">
        <f aca="false">Sens!E6607</f>
        <v>16.3054059770833</v>
      </c>
      <c r="F6664" s="6" t="n">
        <f aca="false">Sens!F6607</f>
        <v>34.5793144783516</v>
      </c>
      <c r="G6664" s="6" t="n">
        <f aca="false">Sens!G6607</f>
        <v>60.7344906522989</v>
      </c>
      <c r="H6664" s="6" t="n">
        <f aca="false">Sens!H6607</f>
        <v>89.1000906614457</v>
      </c>
      <c r="I6664" s="6" t="n">
        <f aca="false">Sens!I6607</f>
        <v>114.231009694548</v>
      </c>
      <c r="J6664" s="6" t="n">
        <f aca="false">Sens!J6607</f>
        <v>132.015673049596</v>
      </c>
      <c r="K6664" s="6" t="n">
        <f aca="false">Sens!K6607</f>
        <v>143.012669550934</v>
      </c>
    </row>
    <row r="6665" customFormat="false" ht="17.15" hidden="false" customHeight="false" outlineLevel="0" collapsed="false">
      <c r="A6665" s="1" t="s">
        <v>1075</v>
      </c>
      <c r="B6665" s="0" t="s">
        <v>98</v>
      </c>
      <c r="E6665" s="6" t="n">
        <f aca="false">Sens!E6689</f>
        <v>22.2285940229167</v>
      </c>
      <c r="F6665" s="6" t="n">
        <f aca="false">Sens!F6689</f>
        <v>23.5859033320454</v>
      </c>
      <c r="G6665" s="6" t="n">
        <f aca="false">Sens!G6689</f>
        <v>25.3425194804228</v>
      </c>
      <c r="H6665" s="6" t="n">
        <f aca="false">Sens!H6689</f>
        <v>27.467150884557</v>
      </c>
      <c r="I6665" s="6" t="n">
        <f aca="false">Sens!I6689</f>
        <v>29.903051368409</v>
      </c>
      <c r="J6665" s="6" t="n">
        <f aca="false">Sens!J6689</f>
        <v>32.5754282446046</v>
      </c>
      <c r="K6665" s="6" t="n">
        <f aca="false">Sens!K6689</f>
        <v>35.399961142277</v>
      </c>
    </row>
    <row r="6666" customFormat="false" ht="17.15" hidden="false" customHeight="false" outlineLevel="0" collapsed="false">
      <c r="A6666" s="1" t="s">
        <v>1076</v>
      </c>
      <c r="B6666" s="0" t="s">
        <v>98</v>
      </c>
      <c r="D6666" s="6" t="n">
        <f aca="false">Q!L27</f>
        <v>-4.901</v>
      </c>
      <c r="E6666" s="6" t="n">
        <f aca="false">Q!M27</f>
        <v>10.697</v>
      </c>
      <c r="F6666" s="6" t="n">
        <f aca="false">Q!$I$27+oie_f*(q_per_yr-1)/q_per_yr</f>
        <v>-0.862</v>
      </c>
      <c r="G6666" s="6" t="n">
        <f aca="false">oie_f</f>
        <v>-1.2</v>
      </c>
      <c r="H6666" s="6" t="n">
        <f aca="false">oie_f</f>
        <v>-1.2</v>
      </c>
      <c r="I6666" s="6" t="n">
        <f aca="false">oie_f</f>
        <v>-1.2</v>
      </c>
      <c r="J6666" s="6" t="n">
        <f aca="false">oie_f</f>
        <v>-1.2</v>
      </c>
      <c r="K6666" s="6" t="n">
        <f aca="false">oie_f</f>
        <v>-1.2</v>
      </c>
      <c r="L6666" s="12" t="s">
        <v>1077</v>
      </c>
    </row>
    <row r="6667" customFormat="false" ht="15" hidden="false" customHeight="false" outlineLevel="0" collapsed="false">
      <c r="A6667" s="1" t="s">
        <v>1078</v>
      </c>
      <c r="B6667" s="0" t="s">
        <v>98</v>
      </c>
      <c r="D6667" s="6" t="n">
        <f aca="false">Sens!D6659+Sens!D6666</f>
        <v>123.627</v>
      </c>
      <c r="E6667" s="6" t="n">
        <f aca="false">Sens!E6659+Sens!E6666</f>
        <v>165.934</v>
      </c>
      <c r="F6667" s="6" t="n">
        <f aca="false">Sens!F6659+Sens!F6666</f>
        <v>177.484971604425</v>
      </c>
      <c r="G6667" s="6" t="n">
        <f aca="false">Sens!G6659+Sens!G6666</f>
        <v>180.74474664122</v>
      </c>
      <c r="H6667" s="6" t="n">
        <f aca="false">Sens!H6659+Sens!H6666</f>
        <v>183.377565159002</v>
      </c>
      <c r="I6667" s="6" t="n">
        <f aca="false">Sens!I6659+Sens!I6666</f>
        <v>194.057082411736</v>
      </c>
      <c r="J6667" s="6" t="n">
        <f aca="false">Sens!J6659+Sens!J6666</f>
        <v>206.280465847469</v>
      </c>
      <c r="K6667" s="6" t="n">
        <f aca="false">Sens!K6659+Sens!K6666</f>
        <v>220.004264894397</v>
      </c>
    </row>
    <row r="6668" customFormat="false" ht="15" hidden="false" customHeight="false" outlineLevel="0" collapsed="false">
      <c r="A6668" s="1" t="s">
        <v>1079</v>
      </c>
      <c r="B6668" s="0" t="s">
        <v>98</v>
      </c>
      <c r="D6668" s="6" t="n">
        <f aca="false">Q!L29</f>
        <v>21.795</v>
      </c>
      <c r="E6668" s="6" t="n">
        <f aca="false">Q!M29</f>
        <v>32.185</v>
      </c>
      <c r="F6668" s="6" t="n">
        <f aca="false">Q!$I$29+(Sens!F6667-Q!$I$28)*tax_f</f>
        <v>35.630394320885</v>
      </c>
      <c r="G6668" s="6" t="n">
        <f aca="false">Sens!G6667*tax_f</f>
        <v>36.148949328244</v>
      </c>
      <c r="H6668" s="6" t="n">
        <f aca="false">Sens!H6667*tax_f</f>
        <v>36.6755130318004</v>
      </c>
      <c r="I6668" s="6" t="n">
        <f aca="false">Sens!I6667*tax_f</f>
        <v>38.8114164823472</v>
      </c>
      <c r="J6668" s="6" t="n">
        <f aca="false">Sens!J6667*tax_f</f>
        <v>41.2560931694938</v>
      </c>
      <c r="K6668" s="6" t="n">
        <f aca="false">Sens!K6667*tax_f</f>
        <v>44.0008529788795</v>
      </c>
    </row>
    <row r="6669" customFormat="false" ht="15" hidden="false" customHeight="false" outlineLevel="0" collapsed="false">
      <c r="A6669" s="1" t="s">
        <v>1080</v>
      </c>
      <c r="B6669" s="0" t="s">
        <v>98</v>
      </c>
      <c r="D6669" s="6" t="n">
        <f aca="false">Sens!D6667-Sens!D6668</f>
        <v>101.832</v>
      </c>
      <c r="E6669" s="6" t="n">
        <f aca="false">Sens!E6667-Sens!E6668</f>
        <v>133.749</v>
      </c>
      <c r="F6669" s="6" t="n">
        <f aca="false">Sens!F6667-Sens!F6668</f>
        <v>141.85457728354</v>
      </c>
      <c r="G6669" s="6" t="n">
        <f aca="false">Sens!G6667-Sens!G6668</f>
        <v>144.595797312976</v>
      </c>
      <c r="H6669" s="6" t="n">
        <f aca="false">Sens!H6667-Sens!H6668</f>
        <v>146.702052127202</v>
      </c>
      <c r="I6669" s="6" t="n">
        <f aca="false">Sens!I6667-Sens!I6668</f>
        <v>155.245665929389</v>
      </c>
      <c r="J6669" s="6" t="n">
        <f aca="false">Sens!J6667-Sens!J6668</f>
        <v>165.024372677975</v>
      </c>
      <c r="K6669" s="6" t="n">
        <f aca="false">Sens!K6667-Sens!K6668</f>
        <v>176.003411915518</v>
      </c>
    </row>
    <row r="6670" customFormat="false" ht="17.15" hidden="false" customHeight="false" outlineLevel="0" collapsed="false">
      <c r="A6670" s="1" t="s">
        <v>1081</v>
      </c>
      <c r="B6670" s="1" t="s">
        <v>81</v>
      </c>
      <c r="D6670" s="15" t="n">
        <f aca="false">Q!L31</f>
        <v>7.465</v>
      </c>
      <c r="E6670" s="15" t="n">
        <f aca="false">Q!M31</f>
        <v>7.453</v>
      </c>
      <c r="F6670" s="15" t="n">
        <f aca="false">Sens!F6714</f>
        <v>7.4735</v>
      </c>
      <c r="G6670" s="15" t="n">
        <f aca="false">Sens!G6714</f>
        <v>7.5185</v>
      </c>
      <c r="H6670" s="15" t="n">
        <f aca="false">Sens!H6714</f>
        <v>7.5635</v>
      </c>
      <c r="I6670" s="15" t="n">
        <f aca="false">Sens!I6714</f>
        <v>7.59248142502667</v>
      </c>
      <c r="J6670" s="15" t="n">
        <f aca="false">Sens!J6714</f>
        <v>7.60663083618914</v>
      </c>
      <c r="K6670" s="15" t="n">
        <f aca="false">Sens!K6714</f>
        <v>7.62306547615439</v>
      </c>
    </row>
    <row r="6671" customFormat="false" ht="17.15" hidden="false" customHeight="false" outlineLevel="0" collapsed="false">
      <c r="A6671" s="0" t="s">
        <v>1082</v>
      </c>
      <c r="B6671" s="0" t="s">
        <v>75</v>
      </c>
      <c r="D6671" s="8" t="n">
        <f aca="false">Sens!D6669/Sens!D6670</f>
        <v>13.641259209645</v>
      </c>
      <c r="E6671" s="8" t="n">
        <f aca="false">Sens!E6669/Sens!E6670</f>
        <v>17.9456594659869</v>
      </c>
      <c r="F6671" s="8" t="n">
        <f aca="false">Sens!F6669/Sens!F6670</f>
        <v>18.9810098726889</v>
      </c>
      <c r="G6671" s="8" t="n">
        <f aca="false">Sens!G6669/Sens!G6670</f>
        <v>19.2320007066537</v>
      </c>
      <c r="H6671" s="8" t="n">
        <f aca="false">Sens!H6669/Sens!H6670</f>
        <v>19.3960536956702</v>
      </c>
      <c r="I6671" s="8" t="n">
        <f aca="false">Sens!I6669/Sens!I6670</f>
        <v>20.4472895274608</v>
      </c>
      <c r="J6671" s="8" t="n">
        <f aca="false">Sens!J6669/Sens!J6670</f>
        <v>21.694804997353</v>
      </c>
      <c r="K6671" s="8" t="n">
        <f aca="false">Sens!K6669/Sens!K6670</f>
        <v>23.0882723578949</v>
      </c>
      <c r="L6671" s="1" t="s">
        <v>1083</v>
      </c>
    </row>
    <row r="6672" customFormat="false" ht="17.15" hidden="false" customHeight="false" outlineLevel="0" collapsed="false">
      <c r="A6672" s="1" t="s">
        <v>1084</v>
      </c>
      <c r="B6672" s="0" t="s">
        <v>98</v>
      </c>
      <c r="D6672" s="6" t="n">
        <f aca="false">Sens!D6669</f>
        <v>101.832</v>
      </c>
      <c r="E6672" s="6" t="n">
        <f aca="false">Sens!E6669</f>
        <v>133.749</v>
      </c>
      <c r="F6672" s="6" t="n">
        <f aca="false">Sens!F6669+Sens!F6662*(1-tax_f)</f>
        <v>150.331600321898</v>
      </c>
      <c r="G6672" s="6" t="n">
        <f aca="false">Sens!G6669+Sens!G6662*(1-tax_f)</f>
        <v>166.871514652922</v>
      </c>
      <c r="H6672" s="6" t="n">
        <f aca="false">Sens!H6669+Sens!H6662*(1-tax_f)</f>
        <v>183.955016528307</v>
      </c>
      <c r="I6672" s="6" t="n">
        <f aca="false">Sens!I6669+Sens!I6662*(1-tax_f)</f>
        <v>205.863088179504</v>
      </c>
      <c r="J6672" s="6" t="n">
        <f aca="false">Sens!J6669+Sens!J6662*(1-tax_f)</f>
        <v>224.949270508536</v>
      </c>
      <c r="K6672" s="6" t="n">
        <f aca="false">Sens!K6669+Sens!K6662*(1-tax_f)</f>
        <v>241.315046889937</v>
      </c>
    </row>
    <row r="6673" customFormat="false" ht="17.15" hidden="false" customHeight="false" outlineLevel="0" collapsed="false">
      <c r="A6673" s="0" t="s">
        <v>1085</v>
      </c>
      <c r="B6673" s="0" t="s">
        <v>75</v>
      </c>
      <c r="D6673" s="8" t="n">
        <f aca="false">Sens!D6672/Sens!D6670</f>
        <v>13.641259209645</v>
      </c>
      <c r="E6673" s="8" t="n">
        <f aca="false">Sens!E6672/Sens!E6670</f>
        <v>17.9456594659869</v>
      </c>
      <c r="F6673" s="8" t="n">
        <f aca="false">Sens!F6672/Sens!F6670</f>
        <v>20.1152873917038</v>
      </c>
      <c r="G6673" s="8" t="n">
        <f aca="false">Sens!G6672/Sens!G6670</f>
        <v>22.1947881429702</v>
      </c>
      <c r="H6673" s="8" t="n">
        <f aca="false">Sens!H6672/Sens!H6670</f>
        <v>24.3214142299607</v>
      </c>
      <c r="I6673" s="8" t="n">
        <f aca="false">Sens!I6672/Sens!I6670</f>
        <v>27.1140720214249</v>
      </c>
      <c r="J6673" s="8" t="n">
        <f aca="false">Sens!J6672/Sens!J6670</f>
        <v>29.5727866059073</v>
      </c>
      <c r="K6673" s="8" t="n">
        <f aca="false">Sens!K6672/Sens!K6670</f>
        <v>31.6559063600845</v>
      </c>
      <c r="L6673" s="1" t="s">
        <v>1086</v>
      </c>
    </row>
    <row r="6674" customFormat="false" ht="17.15" hidden="false" customHeight="false" outlineLevel="0" collapsed="false">
      <c r="A6674" s="0" t="s">
        <v>1087</v>
      </c>
      <c r="B6674" s="0" t="s">
        <v>168</v>
      </c>
      <c r="E6674" s="7" t="n">
        <f aca="false">Sens!E6673/Sens!D6673-1</f>
        <v>0.315542736208578</v>
      </c>
      <c r="F6674" s="7" t="n">
        <f aca="false">Sens!F6673/Sens!E6673-1</f>
        <v>0.120899871627961</v>
      </c>
      <c r="G6674" s="7" t="n">
        <f aca="false">Sens!G6673/Sens!F6673-1</f>
        <v>0.103379122096168</v>
      </c>
      <c r="H6674" s="7" t="n">
        <f aca="false">Sens!H6673/Sens!G6673-1</f>
        <v>0.0958164625538005</v>
      </c>
      <c r="I6674" s="7" t="n">
        <f aca="false">Sens!I6673/Sens!H6673-1</f>
        <v>0.114823001864099</v>
      </c>
      <c r="J6674" s="7" t="n">
        <f aca="false">Sens!J6673/Sens!I6673-1</f>
        <v>0.0906803884912446</v>
      </c>
      <c r="K6674" s="7" t="n">
        <f aca="false">Sens!K6673/Sens!J6673-1</f>
        <v>0.0704404282875752</v>
      </c>
    </row>
    <row r="6675" customFormat="false" ht="17.15" hidden="false" customHeight="false" outlineLevel="0" collapsed="false">
      <c r="A6675" s="0" t="s">
        <v>1007</v>
      </c>
      <c r="B6675" s="0" t="s">
        <v>98</v>
      </c>
      <c r="E6675" s="6" t="n">
        <f aca="false">Sens!E6616</f>
        <v>5.25</v>
      </c>
      <c r="F6675" s="6" t="n">
        <f aca="false">Sens!F6616</f>
        <v>10.5</v>
      </c>
      <c r="G6675" s="6" t="n">
        <f aca="false">Sens!G6616</f>
        <v>13.5</v>
      </c>
      <c r="H6675" s="6" t="n">
        <f aca="false">Sens!H6616</f>
        <v>16.5</v>
      </c>
      <c r="I6675" s="6" t="n">
        <f aca="false">Sens!I6616</f>
        <v>18.75</v>
      </c>
      <c r="J6675" s="6" t="n">
        <f aca="false">Sens!J6616</f>
        <v>20.25</v>
      </c>
      <c r="K6675" s="6" t="n">
        <f aca="false">Sens!K6616</f>
        <v>21.75</v>
      </c>
    </row>
    <row r="6676" customFormat="false" ht="17.15" hidden="false" customHeight="false" outlineLevel="0" collapsed="false">
      <c r="A6676" s="1" t="s">
        <v>1008</v>
      </c>
      <c r="B6676" s="0" t="s">
        <v>98</v>
      </c>
      <c r="F6676" s="6" t="n">
        <f aca="false">MAX(0,((Sens!E6576+Sens!F6576)/2-(shadow_base*(Sens!$D$6576+Sens!$E$6576)/2+(1-shadow_base)*Sens!$E$6576))*Sens!F6585/1000-(Sens!F6675-Sens!$E$6675)*Sens!F6655)</f>
        <v>10.5962787979473</v>
      </c>
      <c r="G6676" s="6" t="n">
        <f aca="false">MAX(0,((Sens!F6576+Sens!G6576)/2-(shadow_base*(Sens!$D$6576+Sens!$E$6576)/2+(1-shadow_base)*Sens!$E$6576))*Sens!G6585/1000-(Sens!G6675-Sens!$E$6675)*Sens!G6655)</f>
        <v>27.844646674932</v>
      </c>
      <c r="H6676" s="6" t="n">
        <f aca="false">MAX(0,((Sens!G6576+Sens!H6576)/2-(shadow_base*(Sens!$D$6576+Sens!$E$6576)/2+(1-shadow_base)*Sens!$E$6576))*Sens!H6585/1000-(Sens!H6675-Sens!$E$6675)*Sens!H6655)</f>
        <v>46.566205501382</v>
      </c>
      <c r="I6676" s="6" t="n">
        <f aca="false">MAX(0,((Sens!H6576+Sens!I6576)/2-(shadow_base*(Sens!$D$6576+Sens!$E$6576)/2+(1-shadow_base)*Sens!$E$6576))*Sens!I6585/1000-(Sens!I6675-Sens!$E$6675)*Sens!I6655)</f>
        <v>63.2717778126444</v>
      </c>
      <c r="J6676" s="6" t="n">
        <f aca="false">MAX(0,((Sens!I6576+Sens!J6576)/2-(shadow_base*(Sens!$D$6576+Sens!$E$6576)/2+(1-shadow_base)*Sens!$E$6576))*Sens!J6585/1000-(Sens!J6675-Sens!$E$6675)*Sens!J6655)</f>
        <v>74.9061222882009</v>
      </c>
      <c r="K6676" s="6" t="n">
        <f aca="false">MAX(0,((Sens!J6576+Sens!K6576)/2-(shadow_base*(Sens!$D$6576+Sens!$E$6576)/2+(1-shadow_base)*Sens!$E$6576))*Sens!K6585/1000-(Sens!K6675-Sens!$E$6675)*Sens!K6655)</f>
        <v>81.6395437180232</v>
      </c>
      <c r="L6676" s="1" t="s">
        <v>1009</v>
      </c>
    </row>
    <row r="6677" customFormat="false" ht="17.15" hidden="false" customHeight="false" outlineLevel="0" collapsed="false">
      <c r="A6677" s="1" t="s">
        <v>1010</v>
      </c>
      <c r="B6677" s="0" t="s">
        <v>98</v>
      </c>
      <c r="F6677" s="6" t="n">
        <f aca="false">IF(internal_ai_reading=2,1,0)*Sens!F6676</f>
        <v>10.5962787979473</v>
      </c>
      <c r="G6677" s="6" t="n">
        <f aca="false">IF(internal_ai_reading=2,1,0)*Sens!G6676</f>
        <v>27.844646674932</v>
      </c>
      <c r="H6677" s="6" t="n">
        <f aca="false">IF(internal_ai_reading=2,1,0)*Sens!H6676</f>
        <v>46.566205501382</v>
      </c>
      <c r="I6677" s="6" t="n">
        <f aca="false">IF(internal_ai_reading=2,1,0)*Sens!I6676</f>
        <v>63.2717778126444</v>
      </c>
      <c r="J6677" s="6" t="n">
        <f aca="false">IF(internal_ai_reading=2,1,0)*Sens!J6676</f>
        <v>74.9061222882009</v>
      </c>
      <c r="K6677" s="6" t="n">
        <f aca="false">IF(internal_ai_reading=2,1,0)*Sens!K6676</f>
        <v>81.6395437180232</v>
      </c>
    </row>
    <row r="6678" customFormat="false" ht="17.15" hidden="false" customHeight="false" outlineLevel="0" collapsed="false">
      <c r="A6678" s="0" t="s">
        <v>1011</v>
      </c>
      <c r="B6678" s="0" t="s">
        <v>98</v>
      </c>
      <c r="F6678" s="6" t="n">
        <f aca="false">Sens!F6595+Sens!F6675*Sens!F6655+Sens!F6677-Sens!F6596-Sens!F6607</f>
        <v>10.940337075313</v>
      </c>
      <c r="G6678" s="6" t="n">
        <f aca="false">Sens!G6595+Sens!G6675*Sens!G6655+Sens!G6677-Sens!G6596-Sens!G6607</f>
        <v>17.5462277722812</v>
      </c>
      <c r="H6678" s="6" t="n">
        <f aca="false">Sens!H6595+Sens!H6675*Sens!H6655+Sens!H6677-Sens!H6596-Sens!H6607</f>
        <v>18.7048942491599</v>
      </c>
      <c r="I6678" s="6" t="n">
        <f aca="false">Sens!I6595+Sens!I6675*Sens!I6655+Sens!I6677-Sens!I6596-Sens!I6607</f>
        <v>26.2720883189916</v>
      </c>
      <c r="J6678" s="6" t="n">
        <f aca="false">Sens!J6595+Sens!J6675*Sens!J6655+Sens!J6677-Sens!J6596-Sens!J6607</f>
        <v>31.4713867128505</v>
      </c>
      <c r="K6678" s="6" t="n">
        <f aca="false">Sens!K6595+Sens!K6675*Sens!K6655+Sens!K6677-Sens!K6596-Sens!K6607</f>
        <v>35.2341172990105</v>
      </c>
    </row>
    <row r="6679" customFormat="false" ht="17.15" hidden="false" customHeight="false" outlineLevel="0" collapsed="false">
      <c r="A6679" s="0" t="s">
        <v>1012</v>
      </c>
      <c r="B6679" s="0" t="s">
        <v>98</v>
      </c>
      <c r="E6679" s="6" t="n">
        <f aca="false">Sens!E6575*(cxit_open+self_build*tk_cxfac)/1000*ai_net_open</f>
        <v>126.6980382</v>
      </c>
      <c r="F6679" s="6" t="n">
        <f aca="false">Sens!E6679+Sens!F6604-Sens!F6607</f>
        <v>260.572627763768</v>
      </c>
      <c r="G6679" s="6" t="n">
        <f aca="false">Sens!F6679+Sens!G6604-Sens!G6607</f>
        <v>391.782612760517</v>
      </c>
      <c r="H6679" s="6" t="n">
        <f aca="false">Sens!G6679+Sens!H6604-Sens!H6607</f>
        <v>499.488526163584</v>
      </c>
      <c r="I6679" s="6" t="n">
        <f aca="false">Sens!H6679+Sens!I6604-Sens!I6607</f>
        <v>553.872350090646</v>
      </c>
      <c r="J6679" s="6" t="n">
        <f aca="false">Sens!I6679+Sens!J6604-Sens!J6607</f>
        <v>550.78660823699</v>
      </c>
      <c r="K6679" s="6" t="n">
        <f aca="false">Sens!J6679+Sens!K6604-Sens!K6607</f>
        <v>526.736791750789</v>
      </c>
      <c r="L6679" s="1" t="s">
        <v>1013</v>
      </c>
    </row>
    <row r="6680" customFormat="false" ht="17.15" hidden="false" customHeight="false" outlineLevel="0" collapsed="false">
      <c r="A6680" s="0" t="s">
        <v>1014</v>
      </c>
      <c r="B6680" s="0" t="s">
        <v>168</v>
      </c>
      <c r="F6680" s="7" t="n">
        <f aca="false">Sens!F6678*(1-tax_f)/((Sens!E6679+Sens!F6679)/2)</f>
        <v>0.0451997552588673</v>
      </c>
      <c r="G6680" s="7" t="n">
        <f aca="false">Sens!G6678*(1-tax_f)/((Sens!F6679+Sens!G6679)/2)</f>
        <v>0.0430347802726125</v>
      </c>
      <c r="H6680" s="7" t="n">
        <f aca="false">Sens!H6678*(1-tax_f)/((Sens!G6679+Sens!H6679)/2)</f>
        <v>0.0335788173672753</v>
      </c>
      <c r="I6680" s="7" t="n">
        <f aca="false">Sens!I6678*(1-tax_f)/((Sens!H6679+Sens!I6679)/2)</f>
        <v>0.0399059261246392</v>
      </c>
      <c r="J6680" s="7" t="n">
        <f aca="false">Sens!J6678*(1-tax_f)/((Sens!I6679+Sens!J6679)/2)</f>
        <v>0.0455834973870968</v>
      </c>
      <c r="K6680" s="7" t="n">
        <f aca="false">Sens!K6678*(1-tax_f)/((Sens!J6679+Sens!K6679)/2)</f>
        <v>0.0523186667491918</v>
      </c>
    </row>
    <row r="6681" customFormat="false" ht="17.15" hidden="false" customHeight="false" outlineLevel="0" collapsed="false">
      <c r="A6681" s="1" t="s">
        <v>1015</v>
      </c>
      <c r="B6681" s="0" t="s">
        <v>168</v>
      </c>
      <c r="F6681" s="7" t="n">
        <f aca="false">(Sens!F6678-Sens!F6677)*(1-tax_f)/((Sens!E6679+Sens!F6679)/2)</f>
        <v>0.00142146899356591</v>
      </c>
      <c r="G6681" s="7" t="n">
        <f aca="false">(Sens!G6678-Sens!G6677)*(1-tax_f)/((Sens!F6679+Sens!G6679)/2)</f>
        <v>-0.025258431634578</v>
      </c>
      <c r="H6681" s="7" t="n">
        <f aca="false">(Sens!H6678-Sens!H6677)*(1-tax_f)/((Sens!G6679+Sens!H6679)/2)</f>
        <v>-0.0500163149649026</v>
      </c>
      <c r="I6681" s="7" t="n">
        <f aca="false">(Sens!I6678-Sens!I6677)*(1-tax_f)/((Sens!H6679+Sens!I6679)/2)</f>
        <v>-0.0562005904380644</v>
      </c>
      <c r="J6681" s="7" t="n">
        <f aca="false">(Sens!J6678-Sens!J6677)*(1-tax_f)/((Sens!I6679+Sens!J6679)/2)</f>
        <v>-0.0629113414567074</v>
      </c>
      <c r="K6681" s="7" t="n">
        <f aca="false">(Sens!K6678-Sens!K6677)*(1-tax_f)/((Sens!J6679+Sens!K6679)/2)</f>
        <v>-0.0689067933664016</v>
      </c>
    </row>
    <row r="6682" customFormat="false" ht="17.15" hidden="false" customHeight="false" outlineLevel="0" collapsed="false">
      <c r="A6682" s="1" t="s">
        <v>1016</v>
      </c>
      <c r="B6682" s="0" t="s">
        <v>168</v>
      </c>
      <c r="F6682" s="7" t="n">
        <f aca="false">(Sens!F6678-Sens!F6677+Sens!F6676)*(1-tax_f)/((Sens!E6679+Sens!F6679)/2)</f>
        <v>0.0451997552588673</v>
      </c>
      <c r="G6682" s="7" t="n">
        <f aca="false">(Sens!G6678-Sens!G6677+Sens!G6676)*(1-tax_f)/((Sens!F6679+Sens!G6679)/2)</f>
        <v>0.0430347802726125</v>
      </c>
      <c r="H6682" s="7" t="n">
        <f aca="false">(Sens!H6678-Sens!H6677+Sens!H6676)*(1-tax_f)/((Sens!G6679+Sens!H6679)/2)</f>
        <v>0.0335788173672753</v>
      </c>
      <c r="I6682" s="7" t="n">
        <f aca="false">(Sens!I6678-Sens!I6677+Sens!I6676)*(1-tax_f)/((Sens!H6679+Sens!I6679)/2)</f>
        <v>0.0399059261246392</v>
      </c>
      <c r="J6682" s="7" t="n">
        <f aca="false">(Sens!J6678-Sens!J6677+Sens!J6676)*(1-tax_f)/((Sens!I6679+Sens!J6679)/2)</f>
        <v>0.0455834973870968</v>
      </c>
      <c r="K6682" s="7" t="n">
        <f aca="false">(Sens!K6678-Sens!K6677+Sens!K6676)*(1-tax_f)/((Sens!J6679+Sens!K6679)/2)</f>
        <v>0.0523186667491918</v>
      </c>
    </row>
    <row r="6683" customFormat="false" ht="17.15" hidden="false" customHeight="false" outlineLevel="0" collapsed="false">
      <c r="A6683" s="1" t="s">
        <v>1017</v>
      </c>
      <c r="B6683" s="0" t="s">
        <v>168</v>
      </c>
      <c r="F6683" s="7" t="n">
        <f aca="false">Sens!F6608*(1-tax_f)/(Sens!F6594*(Sens!E6679+Sens!F6679)/2)</f>
        <v>0.102612746385863</v>
      </c>
      <c r="G6683" s="7" t="n">
        <f aca="false">Sens!G6608*(1-tax_f)/(Sens!G6594*(Sens!F6679+Sens!G6679)/2)</f>
        <v>0.0720572393548788</v>
      </c>
      <c r="H6683" s="7" t="n">
        <f aca="false">Sens!H6608*(1-tax_f)/(Sens!H6594*(Sens!G6679+Sens!H6679)/2)</f>
        <v>0.0435333467520231</v>
      </c>
      <c r="I6683" s="7" t="n">
        <f aca="false">Sens!I6608*(1-tax_f)/(Sens!I6594*(Sens!H6679+Sens!I6679)/2)</f>
        <v>0.0465280023451059</v>
      </c>
      <c r="J6683" s="7" t="n">
        <f aca="false">Sens!J6608*(1-tax_f)/(Sens!J6594*(Sens!I6679+Sens!J6679)/2)</f>
        <v>0.0508393247252737</v>
      </c>
      <c r="K6683" s="7" t="n">
        <f aca="false">Sens!K6608*(1-tax_f)/(Sens!K6594*(Sens!J6679+Sens!K6679)/2)</f>
        <v>0.0575502406814991</v>
      </c>
    </row>
    <row r="6684" customFormat="false" ht="17.15" hidden="false" customHeight="false" outlineLevel="0" collapsed="false">
      <c r="A6684" s="0" t="s">
        <v>1018</v>
      </c>
      <c r="B6684" s="0" t="s">
        <v>253</v>
      </c>
      <c r="F6684" s="7" t="n">
        <f aca="false">Sens!F6680-wacc</f>
        <v>-0.05773683568673</v>
      </c>
      <c r="G6684" s="7" t="n">
        <f aca="false">Sens!G6680-wacc</f>
        <v>-0.0599018106729848</v>
      </c>
      <c r="H6684" s="7" t="n">
        <f aca="false">Sens!H6680-wacc</f>
        <v>-0.069357773578322</v>
      </c>
      <c r="I6684" s="7" t="n">
        <f aca="false">Sens!I6680-wacc</f>
        <v>-0.0630306648209581</v>
      </c>
      <c r="J6684" s="7" t="n">
        <f aca="false">Sens!J6680-wacc</f>
        <v>-0.0573530935585005</v>
      </c>
      <c r="K6684" s="7" t="n">
        <f aca="false">Sens!K6680-wacc</f>
        <v>-0.0506179241964055</v>
      </c>
    </row>
    <row r="6685" customFormat="false" ht="17.15" hidden="false" customHeight="false" outlineLevel="0" collapsed="false">
      <c r="A6685" s="0" t="s">
        <v>1019</v>
      </c>
      <c r="B6685" s="0" t="s">
        <v>98</v>
      </c>
      <c r="F6685" s="6" t="n">
        <f aca="false">Sens!F6678*(1-tax_f)-wacc*(Sens!E6679+Sens!F6679)/2</f>
        <v>-11.1798914035203</v>
      </c>
      <c r="G6685" s="6" t="n">
        <f aca="false">Sens!G6678*(1-tax_f)-wacc*(Sens!F6679+Sens!G6679)/2</f>
        <v>-19.5386300547076</v>
      </c>
      <c r="H6685" s="6" t="n">
        <f aca="false">Sens!H6678*(1-tax_f)-wacc*(Sens!G6679+Sens!H6679)/2</f>
        <v>-30.9082909251955</v>
      </c>
      <c r="I6685" s="6" t="n">
        <f aca="false">Sens!I6678*(1-tax_f)-wacc*(Sens!H6679+Sens!I6679)/2</f>
        <v>-33.1970181633455</v>
      </c>
      <c r="J6685" s="6" t="n">
        <f aca="false">Sens!J6678*(1-tax_f)-wacc*(Sens!I6679+Sens!J6679)/2</f>
        <v>-31.6778042936003</v>
      </c>
      <c r="K6685" s="6" t="n">
        <f aca="false">Sens!K6678*(1-tax_f)-wacc*(Sens!J6679+Sens!K6679)/2</f>
        <v>-27.2709988902172</v>
      </c>
    </row>
    <row r="6686" customFormat="false" ht="17.15" hidden="false" customHeight="false" outlineLevel="0" collapsed="false">
      <c r="A6686" s="3" t="s">
        <v>1778</v>
      </c>
    </row>
    <row r="6687" customFormat="false" ht="15" hidden="false" customHeight="false" outlineLevel="0" collapsed="false">
      <c r="A6687" s="4" t="s">
        <v>43</v>
      </c>
      <c r="B6687" s="4" t="s">
        <v>65</v>
      </c>
      <c r="C6687" s="23" t="s">
        <v>942</v>
      </c>
      <c r="D6687" s="23" t="s">
        <v>943</v>
      </c>
      <c r="E6687" s="23" t="s">
        <v>944</v>
      </c>
      <c r="F6687" s="23" t="s">
        <v>945</v>
      </c>
      <c r="G6687" s="23" t="s">
        <v>946</v>
      </c>
      <c r="H6687" s="23" t="s">
        <v>947</v>
      </c>
      <c r="I6687" s="23" t="s">
        <v>948</v>
      </c>
      <c r="J6687" s="23" t="s">
        <v>949</v>
      </c>
      <c r="K6687" s="23" t="s">
        <v>950</v>
      </c>
      <c r="L6687" s="4" t="s">
        <v>47</v>
      </c>
    </row>
    <row r="6688" customFormat="false" ht="15" hidden="false" customHeight="false" outlineLevel="0" collapsed="false">
      <c r="A6688" s="1" t="s">
        <v>1080</v>
      </c>
      <c r="B6688" s="0" t="s">
        <v>98</v>
      </c>
      <c r="F6688" s="6" t="n">
        <f aca="false">Sens!F6669</f>
        <v>141.85457728354</v>
      </c>
      <c r="G6688" s="6" t="n">
        <f aca="false">Sens!G6669</f>
        <v>144.595797312976</v>
      </c>
      <c r="H6688" s="6" t="n">
        <f aca="false">Sens!H6669</f>
        <v>146.702052127202</v>
      </c>
      <c r="I6688" s="6" t="n">
        <f aca="false">Sens!I6669</f>
        <v>155.245665929389</v>
      </c>
      <c r="J6688" s="6" t="n">
        <f aca="false">Sens!J6669</f>
        <v>165.024372677975</v>
      </c>
      <c r="K6688" s="6" t="n">
        <f aca="false">Sens!K6669</f>
        <v>176.003411915518</v>
      </c>
    </row>
    <row r="6689" customFormat="false" ht="17.15" hidden="false" customHeight="false" outlineLevel="0" collapsed="false">
      <c r="A6689" s="1" t="s">
        <v>1102</v>
      </c>
      <c r="B6689" s="0" t="s">
        <v>98</v>
      </c>
      <c r="E6689" s="6" t="n">
        <f aca="false">Q!M38-Sens!E6607</f>
        <v>22.2285940229167</v>
      </c>
      <c r="F6689" s="6" t="n">
        <f aca="false">Sens!E6689*(1-1/life_nonai)+(Sens!F6697+Sens!F6698)/life_nonai</f>
        <v>23.5859033320454</v>
      </c>
      <c r="G6689" s="6" t="n">
        <f aca="false">Sens!F6689*(1-1/life_nonai)+(Sens!G6697)/life_nonai</f>
        <v>25.3425194804228</v>
      </c>
      <c r="H6689" s="6" t="n">
        <f aca="false">Sens!G6689*(1-1/life_nonai)+(Sens!H6697)/life_nonai</f>
        <v>27.467150884557</v>
      </c>
      <c r="I6689" s="6" t="n">
        <f aca="false">Sens!H6689*(1-1/life_nonai)+(Sens!I6697)/life_nonai</f>
        <v>29.903051368409</v>
      </c>
      <c r="J6689" s="6" t="n">
        <f aca="false">Sens!I6689*(1-1/life_nonai)+(Sens!J6697)/life_nonai</f>
        <v>32.5754282446046</v>
      </c>
      <c r="K6689" s="6" t="n">
        <f aca="false">Sens!J6689*(1-1/life_nonai)+(Sens!K6697)/life_nonai</f>
        <v>35.399961142277</v>
      </c>
      <c r="L6689" s="12" t="s">
        <v>1103</v>
      </c>
    </row>
    <row r="6690" customFormat="false" ht="17.15" hidden="false" customHeight="false" outlineLevel="0" collapsed="false">
      <c r="A6690" s="1" t="s">
        <v>1104</v>
      </c>
      <c r="B6690" s="0" t="s">
        <v>98</v>
      </c>
      <c r="F6690" s="6" t="n">
        <f aca="false">Sens!$F$6698/life_nonai*(1-1/life_nonai)^(Sens!F6570-2027)</f>
        <v>0</v>
      </c>
      <c r="G6690" s="6" t="n">
        <f aca="false">Sens!$F$6698/life_nonai*(1-1/life_nonai)^(Sens!G6570-2027)</f>
        <v>0</v>
      </c>
      <c r="H6690" s="6" t="n">
        <f aca="false">Sens!$F$6698/life_nonai*(1-1/life_nonai)^(Sens!H6570-2027)</f>
        <v>0</v>
      </c>
      <c r="I6690" s="6" t="n">
        <f aca="false">Sens!$F$6698/life_nonai*(1-1/life_nonai)^(Sens!I6570-2027)</f>
        <v>0</v>
      </c>
      <c r="J6690" s="6" t="n">
        <f aca="false">Sens!$F$6698/life_nonai*(1-1/life_nonai)^(Sens!J6570-2027)</f>
        <v>0</v>
      </c>
      <c r="K6690" s="6" t="n">
        <f aca="false">Sens!$F$6698/life_nonai*(1-1/life_nonai)^(Sens!K6570-2027)</f>
        <v>0</v>
      </c>
      <c r="L6690" s="1" t="s">
        <v>1105</v>
      </c>
    </row>
    <row r="6691" customFormat="false" ht="17.15" hidden="false" customHeight="false" outlineLevel="0" collapsed="false">
      <c r="A6691" s="1" t="s">
        <v>1106</v>
      </c>
      <c r="B6691" s="0" t="s">
        <v>98</v>
      </c>
      <c r="E6691" s="6" t="n">
        <f aca="false">Sens!E6607+Sens!E6689</f>
        <v>38.534</v>
      </c>
      <c r="F6691" s="6" t="n">
        <f aca="false">Sens!F6607+Sens!F6689</f>
        <v>58.165217810397</v>
      </c>
      <c r="G6691" s="6" t="n">
        <f aca="false">Sens!G6607+Sens!G6689</f>
        <v>86.0770101327217</v>
      </c>
      <c r="H6691" s="6" t="n">
        <f aca="false">Sens!H6607+Sens!H6689</f>
        <v>116.567241546003</v>
      </c>
      <c r="I6691" s="6" t="n">
        <f aca="false">Sens!I6607+Sens!I6689</f>
        <v>144.134061062957</v>
      </c>
      <c r="J6691" s="6" t="n">
        <f aca="false">Sens!J6607+Sens!J6689</f>
        <v>164.591101294201</v>
      </c>
      <c r="K6691" s="6" t="n">
        <f aca="false">Sens!K6607+Sens!K6689</f>
        <v>178.412630693211</v>
      </c>
    </row>
    <row r="6692" customFormat="false" ht="17.15" hidden="false" customHeight="false" outlineLevel="0" collapsed="false">
      <c r="A6692" s="1" t="s">
        <v>1107</v>
      </c>
      <c r="B6692" s="0" t="s">
        <v>98</v>
      </c>
      <c r="F6692" s="6" t="n">
        <f aca="false">Sens!F6634*sbc_r</f>
        <v>14.7616690193835</v>
      </c>
      <c r="G6692" s="6" t="n">
        <f aca="false">Sens!G6634*sbc_r</f>
        <v>17.1920622306302</v>
      </c>
      <c r="H6692" s="6" t="n">
        <f aca="false">Sens!H6634*sbc_r</f>
        <v>19.4636027255332</v>
      </c>
      <c r="I6692" s="6" t="n">
        <f aca="false">Sens!I6634*sbc_r</f>
        <v>21.8384891741006</v>
      </c>
      <c r="J6692" s="6" t="n">
        <f aca="false">Sens!J6634*sbc_r</f>
        <v>23.8325024429929</v>
      </c>
      <c r="K6692" s="6" t="n">
        <f aca="false">Sens!K6634*sbc_r</f>
        <v>25.4632801680331</v>
      </c>
    </row>
    <row r="6693" customFormat="false" ht="17.15" hidden="false" customHeight="false" outlineLevel="0" collapsed="false">
      <c r="A6693" s="1" t="s">
        <v>1108</v>
      </c>
      <c r="B6693" s="0" t="s">
        <v>98</v>
      </c>
      <c r="F6693" s="6" t="n">
        <f aca="false">wc27-wc26q1</f>
        <v>-4.677</v>
      </c>
      <c r="G6693" s="6" t="n">
        <f aca="false">wc_f</f>
        <v>0</v>
      </c>
      <c r="H6693" s="6" t="n">
        <f aca="false">wc_f</f>
        <v>0</v>
      </c>
      <c r="I6693" s="6" t="n">
        <f aca="false">wc_f</f>
        <v>0</v>
      </c>
      <c r="J6693" s="6" t="n">
        <f aca="false">wc_f</f>
        <v>0</v>
      </c>
      <c r="K6693" s="6" t="n">
        <f aca="false">wc_f</f>
        <v>0</v>
      </c>
      <c r="L6693" s="12" t="s">
        <v>1109</v>
      </c>
    </row>
    <row r="6694" customFormat="false" ht="17.15" hidden="false" customHeight="false" outlineLevel="0" collapsed="false">
      <c r="A6694" s="0" t="s">
        <v>1110</v>
      </c>
      <c r="B6694" s="0" t="s">
        <v>98</v>
      </c>
      <c r="F6694" s="6" t="n">
        <f aca="false">Q!$I$35-Q!$I$26-Q!$I$38-Q!$I$39</f>
        <v>6.493</v>
      </c>
      <c r="L6694" s="1" t="s">
        <v>1111</v>
      </c>
    </row>
    <row r="6695" customFormat="false" ht="15" hidden="false" customHeight="false" outlineLevel="0" collapsed="false">
      <c r="A6695" s="1" t="s">
        <v>908</v>
      </c>
      <c r="B6695" s="0" t="s">
        <v>98</v>
      </c>
      <c r="E6695" s="6" t="n">
        <f aca="false">Q!M35</f>
        <v>182.935</v>
      </c>
      <c r="F6695" s="6" t="n">
        <f aca="false">Sens!F6688+Sens!F6691+Sens!F6692+Sens!F6693+Sens!F6694</f>
        <v>216.597464113321</v>
      </c>
      <c r="G6695" s="6" t="n">
        <f aca="false">Sens!G6688+Sens!G6691+Sens!G6692+Sens!G6693</f>
        <v>247.864869676328</v>
      </c>
      <c r="H6695" s="6" t="n">
        <f aca="false">Sens!H6688+Sens!H6691+Sens!H6692+Sens!H6693</f>
        <v>282.732896398738</v>
      </c>
      <c r="I6695" s="6" t="n">
        <f aca="false">Sens!I6688+Sens!I6691+Sens!I6692+Sens!I6693</f>
        <v>321.218216166447</v>
      </c>
      <c r="J6695" s="6" t="n">
        <f aca="false">Sens!J6688+Sens!J6691+Sens!J6692+Sens!J6693</f>
        <v>353.447976415169</v>
      </c>
      <c r="K6695" s="6" t="n">
        <f aca="false">Sens!K6688+Sens!K6691+Sens!K6692+Sens!K6693</f>
        <v>379.879322776762</v>
      </c>
    </row>
    <row r="6696" customFormat="false" ht="17.15" hidden="false" customHeight="false" outlineLevel="0" collapsed="false">
      <c r="A6696" s="0" t="s">
        <v>1112</v>
      </c>
      <c r="B6696" s="0" t="s">
        <v>98</v>
      </c>
      <c r="F6696" s="6" t="n">
        <f aca="false">Sens!F6604</f>
        <v>168.45390404212</v>
      </c>
      <c r="G6696" s="6" t="n">
        <f aca="false">Sens!G6604</f>
        <v>191.944475649048</v>
      </c>
      <c r="H6696" s="6" t="n">
        <f aca="false">Sens!H6604</f>
        <v>196.806004064512</v>
      </c>
      <c r="I6696" s="6" t="n">
        <f aca="false">Sens!I6604</f>
        <v>168.61483362161</v>
      </c>
      <c r="J6696" s="6" t="n">
        <f aca="false">Sens!J6604</f>
        <v>128.92993119594</v>
      </c>
      <c r="K6696" s="6" t="n">
        <f aca="false">Sens!K6604</f>
        <v>118.962853064733</v>
      </c>
    </row>
    <row r="6697" customFormat="false" ht="17.15" hidden="false" customHeight="false" outlineLevel="0" collapsed="false">
      <c r="A6697" s="1" t="s">
        <v>1113</v>
      </c>
      <c r="B6697" s="0" t="s">
        <v>98</v>
      </c>
      <c r="E6697" s="6" t="n">
        <f aca="false">Sens!E6612*cx_azo+Sens!E6619*cx_m365+Sens!E6620*cx_lic+(Sens!E6622+Sens!E6624)*cx_ind+Sens!E6627*cx_srch+(Sens!E6629+Sens!E6631)*cx_dev</f>
        <v>30.1846587067718</v>
      </c>
      <c r="F6697" s="6" t="n">
        <f aca="false">Sens!F6612*cx_azo+Sens!F6619*cx_m365+Sens!F6620*cx_lic+(Sens!F6622+Sens!F6624)*cx_ind+Sens!F6627*cx_srch+(Sens!F6629+Sens!F6631)*cx_dev</f>
        <v>35.801687114204</v>
      </c>
      <c r="G6697" s="6" t="n">
        <f aca="false">Sens!G6612*cx_azo+Sens!G6619*cx_m365+Sens!G6620*cx_lic+(Sens!G6622+Sens!G6624)*cx_ind+Sens!G6627*cx_srch+(Sens!G6629+Sens!G6631)*cx_dev</f>
        <v>41.1520648158192</v>
      </c>
      <c r="H6697" s="6" t="n">
        <f aca="false">Sens!H6612*cx_azo+Sens!H6619*cx_m365+Sens!H6620*cx_lic+(Sens!H6622+Sens!H6624)*cx_ind+Sens!H6627*cx_srch+(Sens!H6629+Sens!H6631)*cx_dev</f>
        <v>46.5888335217652</v>
      </c>
      <c r="I6697" s="6" t="n">
        <f aca="false">Sens!I6612*cx_azo+Sens!I6619*cx_m365+Sens!I6620*cx_lic+(Sens!I6622+Sens!I6624)*cx_ind+Sens!I6627*cx_srch+(Sens!I6629+Sens!I6631)*cx_dev</f>
        <v>51.8261557230768</v>
      </c>
      <c r="J6697" s="6" t="n">
        <f aca="false">Sens!J6612*cx_azo+Sens!J6619*cx_m365+Sens!J6620*cx_lic+(Sens!J6622+Sens!J6624)*cx_ind+Sens!J6627*cx_srch+(Sens!J6629+Sens!J6631)*cx_dev</f>
        <v>56.6268201303645</v>
      </c>
      <c r="K6697" s="6" t="n">
        <f aca="false">Sens!K6612*cx_azo+Sens!K6619*cx_m365+Sens!K6620*cx_lic+(Sens!K6622+Sens!K6624)*cx_ind+Sens!K6627*cx_srch+(Sens!K6629+Sens!K6631)*cx_dev</f>
        <v>60.8207572213294</v>
      </c>
    </row>
    <row r="6698" customFormat="false" ht="17.15" hidden="false" customHeight="false" outlineLevel="0" collapsed="false">
      <c r="A6698" s="0" t="s">
        <v>1114</v>
      </c>
      <c r="B6698" s="0" t="s">
        <v>98</v>
      </c>
      <c r="F6698" s="6" t="n">
        <f aca="false">Sens!F6602</f>
        <v>0</v>
      </c>
      <c r="L6698" s="1" t="s">
        <v>1115</v>
      </c>
    </row>
    <row r="6699" customFormat="false" ht="17.15" hidden="false" customHeight="false" outlineLevel="0" collapsed="false">
      <c r="A6699" s="1" t="s">
        <v>1116</v>
      </c>
      <c r="B6699" s="0" t="s">
        <v>98</v>
      </c>
      <c r="E6699" s="6" t="n">
        <f aca="false">Q!M43</f>
        <v>145.3</v>
      </c>
      <c r="F6699" s="6" t="n">
        <f aca="false">Sens!F6696+Sens!F6697+Sens!F6698</f>
        <v>204.255591156324</v>
      </c>
      <c r="G6699" s="6" t="n">
        <f aca="false">Sens!G6696+Sens!G6697</f>
        <v>233.096540464867</v>
      </c>
      <c r="H6699" s="6" t="n">
        <f aca="false">Sens!H6696+Sens!H6697</f>
        <v>243.394837586277</v>
      </c>
      <c r="I6699" s="6" t="n">
        <f aca="false">Sens!I6696+Sens!I6697</f>
        <v>220.440989344687</v>
      </c>
      <c r="J6699" s="6" t="n">
        <f aca="false">Sens!J6696+Sens!J6697</f>
        <v>185.556751326305</v>
      </c>
      <c r="K6699" s="6" t="n">
        <f aca="false">Sens!K6696+Sens!K6697</f>
        <v>179.783610286062</v>
      </c>
      <c r="L6699" s="1" t="s">
        <v>1117</v>
      </c>
    </row>
    <row r="6700" customFormat="false" ht="15" hidden="false" customHeight="false" outlineLevel="0" collapsed="false">
      <c r="A6700" s="1" t="s">
        <v>1118</v>
      </c>
      <c r="B6700" s="0" t="s">
        <v>98</v>
      </c>
      <c r="E6700" s="6" t="n">
        <f aca="false">fl_liab</f>
        <v>66.594</v>
      </c>
      <c r="F6700" s="6" t="n">
        <f aca="false">Sens!E6700-Sens!F6701</f>
        <v>62.46973</v>
      </c>
      <c r="G6700" s="6" t="n">
        <f aca="false">Sens!F6700-Sens!G6701</f>
        <v>57.98686785</v>
      </c>
      <c r="H6700" s="6" t="n">
        <f aca="false">Sens!G6700-Sens!H6701</f>
        <v>53.92827690325</v>
      </c>
      <c r="I6700" s="6" t="n">
        <f aca="false">Sens!H6700-Sens!I6701</f>
        <v>49.7850493638962</v>
      </c>
      <c r="J6700" s="6" t="n">
        <f aca="false">Sens!I6700-Sens!J6701</f>
        <v>45.4823765852716</v>
      </c>
      <c r="K6700" s="6" t="n">
        <f aca="false">Sens!J6700-Sens!K6701</f>
        <v>40.9860835316088</v>
      </c>
    </row>
    <row r="6701" customFormat="false" ht="15" hidden="false" customHeight="false" outlineLevel="0" collapsed="false">
      <c r="A6701" s="1" t="s">
        <v>1119</v>
      </c>
      <c r="B6701" s="0" t="s">
        <v>98</v>
      </c>
      <c r="F6701" s="6" t="n">
        <f aca="false">fl_pay_27-Sens!E6700*fl_rate</f>
        <v>4.12427</v>
      </c>
      <c r="G6701" s="6" t="n">
        <f aca="false">fl_pay_28-Sens!F6700*fl_rate</f>
        <v>4.48286215</v>
      </c>
      <c r="H6701" s="6" t="n">
        <f aca="false">fl_pay_29-Sens!G6700*fl_rate</f>
        <v>4.05859094675</v>
      </c>
      <c r="I6701" s="6" t="n">
        <f aca="false">fl_pay_30-Sens!H6700*fl_rate</f>
        <v>4.14322753935375</v>
      </c>
      <c r="J6701" s="6" t="n">
        <f aca="false">fl_pay_31-Sens!I6700*fl_rate</f>
        <v>4.30267277862467</v>
      </c>
      <c r="K6701" s="6" t="n">
        <f aca="false">fl_pay_32-Sens!J6700*fl_rate</f>
        <v>4.49629305366278</v>
      </c>
    </row>
    <row r="6702" customFormat="false" ht="17.15" hidden="false" customHeight="false" outlineLevel="0" collapsed="false">
      <c r="A6702" s="1" t="s">
        <v>1120</v>
      </c>
      <c r="B6702" s="0" t="s">
        <v>98</v>
      </c>
      <c r="E6702" s="6" t="n">
        <f aca="false">Q!M35-Q!M36-Q!M44</f>
        <v>63.886</v>
      </c>
      <c r="F6702" s="6" t="n">
        <f aca="false">Sens!F6695-Sens!F6699-Sens!F6701</f>
        <v>8.21760295699718</v>
      </c>
      <c r="G6702" s="6" t="n">
        <f aca="false">Sens!G6695-Sens!G6699-Sens!G6701</f>
        <v>10.2854670614605</v>
      </c>
      <c r="H6702" s="6" t="n">
        <f aca="false">Sens!H6695-Sens!H6699-Sens!H6701</f>
        <v>35.2794678657101</v>
      </c>
      <c r="I6702" s="6" t="n">
        <f aca="false">Sens!I6695-Sens!I6699-Sens!I6701</f>
        <v>96.6339992824057</v>
      </c>
      <c r="J6702" s="6" t="n">
        <f aca="false">Sens!J6695-Sens!J6699-Sens!J6701</f>
        <v>163.588552310239</v>
      </c>
      <c r="K6702" s="6" t="n">
        <f aca="false">Sens!K6695-Sens!K6699-Sens!K6701</f>
        <v>195.599419437037</v>
      </c>
      <c r="L6702" s="12" t="s">
        <v>1121</v>
      </c>
    </row>
    <row r="6703" customFormat="false" ht="15" hidden="false" customHeight="false" outlineLevel="0" collapsed="false">
      <c r="A6703" s="1" t="s">
        <v>1122</v>
      </c>
      <c r="B6703" s="0" t="s">
        <v>75</v>
      </c>
      <c r="F6703" s="8" t="n">
        <f aca="false">dps_27</f>
        <v>3.85</v>
      </c>
      <c r="G6703" s="8" t="n">
        <f aca="false">Sens!F6703*(1+dps_g)</f>
        <v>4.158</v>
      </c>
      <c r="H6703" s="8" t="n">
        <f aca="false">Sens!G6703*(1+dps_g)</f>
        <v>4.49064</v>
      </c>
      <c r="I6703" s="8" t="n">
        <f aca="false">Sens!H6703*(1+dps_g)</f>
        <v>4.8498912</v>
      </c>
      <c r="J6703" s="8" t="n">
        <f aca="false">Sens!I6703*(1+dps_g)</f>
        <v>5.237882496</v>
      </c>
      <c r="K6703" s="8" t="n">
        <f aca="false">Sens!J6703*(1+dps_g)</f>
        <v>5.65691309568</v>
      </c>
    </row>
    <row r="6704" customFormat="false" ht="17.15" hidden="false" customHeight="false" outlineLevel="0" collapsed="false">
      <c r="A6704" s="1" t="s">
        <v>1123</v>
      </c>
      <c r="B6704" s="0" t="s">
        <v>98</v>
      </c>
      <c r="E6704" s="6" t="n">
        <f aca="false">Q!M41</f>
        <v>26.445</v>
      </c>
      <c r="F6704" s="6" t="n">
        <f aca="false">Sens!F6703*Sens!E6713</f>
        <v>28.59395</v>
      </c>
      <c r="G6704" s="6" t="n">
        <f aca="false">Sens!G6703*Sens!F6713</f>
        <v>31.068576</v>
      </c>
      <c r="H6704" s="6" t="n">
        <f aca="false">Sens!H6703*Sens!G6713</f>
        <v>33.75614088</v>
      </c>
      <c r="I6704" s="6" t="n">
        <f aca="false">Sens!I6703*Sens!H6713</f>
        <v>36.6748772544</v>
      </c>
      <c r="J6704" s="6" t="n">
        <f aca="false">Sens!J6703*Sens!I6713</f>
        <v>39.6767653201446</v>
      </c>
      <c r="K6704" s="6" t="n">
        <f aca="false">Sens!K6703*Sens!J6713</f>
        <v>42.9376608081345</v>
      </c>
      <c r="L6704" s="1" t="s">
        <v>1124</v>
      </c>
    </row>
    <row r="6705" customFormat="false" ht="15" hidden="false" customHeight="false" outlineLevel="0" collapsed="false">
      <c r="A6705" s="1" t="s">
        <v>1125</v>
      </c>
      <c r="B6705" s="0" t="s">
        <v>98</v>
      </c>
      <c r="E6705" s="6" t="n">
        <f aca="false">Sens!E6702-Sens!E6704</f>
        <v>37.441</v>
      </c>
      <c r="F6705" s="6" t="n">
        <f aca="false">Sens!F6702-Sens!F6704</f>
        <v>-20.3763470430028</v>
      </c>
      <c r="G6705" s="6" t="n">
        <f aca="false">Sens!G6702-Sens!G6704</f>
        <v>-20.7831089385395</v>
      </c>
      <c r="H6705" s="6" t="n">
        <f aca="false">Sens!H6702-Sens!H6704</f>
        <v>1.5233269857101</v>
      </c>
      <c r="I6705" s="6" t="n">
        <f aca="false">Sens!I6702-Sens!I6704</f>
        <v>59.9591220280057</v>
      </c>
      <c r="J6705" s="6" t="n">
        <f aca="false">Sens!J6702-Sens!J6704</f>
        <v>123.911786990095</v>
      </c>
      <c r="K6705" s="6" t="n">
        <f aca="false">Sens!K6702-Sens!K6704</f>
        <v>152.661758628903</v>
      </c>
    </row>
    <row r="6706" customFormat="false" ht="15" hidden="false" customHeight="false" outlineLevel="0" collapsed="false">
      <c r="A6706" s="1" t="s">
        <v>1126</v>
      </c>
      <c r="B6706" s="0" t="s">
        <v>98</v>
      </c>
      <c r="F6706" s="6" t="n">
        <f aca="false">debt_mat_27</f>
        <v>9.25</v>
      </c>
      <c r="G6706" s="6" t="n">
        <f aca="false">debt_mat_28</f>
        <v>0</v>
      </c>
      <c r="H6706" s="6" t="n">
        <f aca="false">debt_mat_29</f>
        <v>2.001</v>
      </c>
      <c r="I6706" s="6" t="n">
        <f aca="false">debt_mat_30</f>
        <v>0</v>
      </c>
      <c r="J6706" s="6" t="n">
        <f aca="false">debt_mat_31</f>
        <v>0.5</v>
      </c>
      <c r="K6706" s="6" t="n">
        <f aca="false">debt_mat_32</f>
        <v>0</v>
      </c>
    </row>
    <row r="6707" customFormat="false" ht="15" hidden="false" customHeight="false" outlineLevel="0" collapsed="false">
      <c r="A6707" s="1" t="s">
        <v>1127</v>
      </c>
      <c r="B6707" s="0" t="s">
        <v>98</v>
      </c>
      <c r="E6707" s="6" t="n">
        <f aca="false">Q!M40</f>
        <v>22.271</v>
      </c>
      <c r="F6707" s="6" t="n">
        <f aca="false">MAX(0,MIN(bb_target,Sens!E6709+Sens!F6705-Sens!F6706-min_cash))</f>
        <v>0</v>
      </c>
      <c r="G6707" s="6" t="n">
        <f aca="false">MAX(0,MIN(bb_target,Sens!F6709+Sens!G6705-Sens!G6706-min_cash))</f>
        <v>0</v>
      </c>
      <c r="H6707" s="6" t="n">
        <f aca="false">MAX(0,MIN(bb_target,Sens!G6709+Sens!H6705-Sens!H6706-min_cash))</f>
        <v>0</v>
      </c>
      <c r="I6707" s="6" t="n">
        <f aca="false">MAX(0,MIN(bb_target,Sens!H6709+Sens!I6705-Sens!I6706-min_cash))</f>
        <v>22.271</v>
      </c>
      <c r="J6707" s="6" t="n">
        <f aca="false">MAX(0,MIN(bb_target,Sens!I6709+Sens!J6705-Sens!J6706-min_cash))</f>
        <v>22.271</v>
      </c>
      <c r="K6707" s="6" t="n">
        <f aca="false">MAX(0,MIN(bb_target,Sens!J6709+Sens!K6705-Sens!K6706-min_cash))</f>
        <v>22.271</v>
      </c>
    </row>
    <row r="6708" customFormat="false" ht="15" hidden="false" customHeight="false" outlineLevel="0" collapsed="false">
      <c r="A6708" s="1" t="s">
        <v>1128</v>
      </c>
      <c r="B6708" s="0" t="s">
        <v>98</v>
      </c>
      <c r="F6708" s="6" t="n">
        <f aca="false">MAX(0,min_cash-(Sens!E6709+Sens!F6705-Sens!F6706-Sens!F6707))</f>
        <v>2.78334704300282</v>
      </c>
      <c r="G6708" s="6" t="n">
        <f aca="false">MAX(0,min_cash-(Sens!F6709+Sens!G6705-Sens!G6706-Sens!G6707))</f>
        <v>20.7831089385395</v>
      </c>
      <c r="H6708" s="6" t="n">
        <f aca="false">MAX(0,min_cash-(Sens!G6709+Sens!H6705-Sens!H6706-Sens!H6707))</f>
        <v>0.477673014289898</v>
      </c>
      <c r="I6708" s="6" t="n">
        <f aca="false">MAX(0,min_cash-(Sens!H6709+Sens!I6705-Sens!I6706-Sens!I6707))</f>
        <v>0</v>
      </c>
      <c r="J6708" s="6" t="n">
        <f aca="false">MAX(0,min_cash-(Sens!I6709+Sens!J6705-Sens!J6706-Sens!J6707))</f>
        <v>0</v>
      </c>
      <c r="K6708" s="6" t="n">
        <f aca="false">MAX(0,min_cash-(Sens!J6709+Sens!K6705-Sens!K6706-Sens!K6707))</f>
        <v>0</v>
      </c>
    </row>
    <row r="6709" customFormat="false" ht="15" hidden="false" customHeight="false" outlineLevel="0" collapsed="false">
      <c r="A6709" s="1" t="s">
        <v>1129</v>
      </c>
      <c r="B6709" s="0" t="s">
        <v>98</v>
      </c>
      <c r="E6709" s="6" t="n">
        <f aca="false">cash_open</f>
        <v>76.843</v>
      </c>
      <c r="F6709" s="6" t="n">
        <f aca="false">Sens!E6709+Sens!F6705-Sens!F6706-Sens!F6707+Sens!F6708</f>
        <v>50</v>
      </c>
      <c r="G6709" s="6" t="n">
        <f aca="false">Sens!F6709+Sens!G6705-Sens!G6706-Sens!G6707+Sens!G6708</f>
        <v>50</v>
      </c>
      <c r="H6709" s="6" t="n">
        <f aca="false">Sens!G6709+Sens!H6705-Sens!H6706-Sens!H6707+Sens!H6708</f>
        <v>50</v>
      </c>
      <c r="I6709" s="6" t="n">
        <f aca="false">Sens!H6709+Sens!I6705-Sens!I6706-Sens!I6707+Sens!I6708</f>
        <v>87.6881220280057</v>
      </c>
      <c r="J6709" s="6" t="n">
        <f aca="false">Sens!I6709+Sens!J6705-Sens!J6706-Sens!J6707+Sens!J6708</f>
        <v>188.8289090181</v>
      </c>
      <c r="K6709" s="6" t="n">
        <f aca="false">Sens!J6709+Sens!K6705-Sens!K6706-Sens!K6707+Sens!K6708</f>
        <v>319.219667647003</v>
      </c>
    </row>
    <row r="6710" customFormat="false" ht="15" hidden="false" customHeight="false" outlineLevel="0" collapsed="false">
      <c r="A6710" s="1" t="s">
        <v>1130</v>
      </c>
      <c r="B6710" s="0" t="s">
        <v>98</v>
      </c>
      <c r="E6710" s="6" t="n">
        <f aca="false">debt_face</f>
        <v>46.136</v>
      </c>
      <c r="F6710" s="6" t="n">
        <f aca="false">Sens!E6710-Sens!F6706+Sens!F6708</f>
        <v>39.6693470430028</v>
      </c>
      <c r="G6710" s="6" t="n">
        <f aca="false">Sens!F6710-Sens!G6706+Sens!G6708</f>
        <v>60.4524559815423</v>
      </c>
      <c r="H6710" s="6" t="n">
        <f aca="false">Sens!G6710-Sens!H6706+Sens!H6708</f>
        <v>58.9291289958322</v>
      </c>
      <c r="I6710" s="6" t="n">
        <f aca="false">Sens!H6710-Sens!I6706+Sens!I6708</f>
        <v>58.9291289958322</v>
      </c>
      <c r="J6710" s="6" t="n">
        <f aca="false">Sens!I6710-Sens!J6706+Sens!J6708</f>
        <v>58.4291289958322</v>
      </c>
      <c r="K6710" s="6" t="n">
        <f aca="false">Sens!J6710-Sens!K6706+Sens!K6708</f>
        <v>58.4291289958322</v>
      </c>
    </row>
    <row r="6711" customFormat="false" ht="15" hidden="false" customHeight="false" outlineLevel="0" collapsed="false">
      <c r="A6711" s="1" t="s">
        <v>1131</v>
      </c>
      <c r="B6711" s="0" t="s">
        <v>98</v>
      </c>
      <c r="E6711" s="6" t="n">
        <f aca="false">Sens!E6709-Sens!E6710</f>
        <v>30.707</v>
      </c>
      <c r="F6711" s="6" t="n">
        <f aca="false">Sens!F6709-Sens!F6710</f>
        <v>10.3306529569972</v>
      </c>
      <c r="G6711" s="6" t="n">
        <f aca="false">Sens!G6709-Sens!G6710</f>
        <v>-10.4524559815423</v>
      </c>
      <c r="H6711" s="6" t="n">
        <f aca="false">Sens!H6709-Sens!H6710</f>
        <v>-8.92912899583223</v>
      </c>
      <c r="I6711" s="6" t="n">
        <f aca="false">Sens!I6709-Sens!I6710</f>
        <v>28.7589930321734</v>
      </c>
      <c r="J6711" s="6" t="n">
        <f aca="false">Sens!J6709-Sens!J6710</f>
        <v>130.399780022268</v>
      </c>
      <c r="K6711" s="6" t="n">
        <f aca="false">Sens!K6709-Sens!K6710</f>
        <v>260.790538651171</v>
      </c>
    </row>
    <row r="6712" customFormat="false" ht="15" hidden="false" customHeight="false" outlineLevel="0" collapsed="false">
      <c r="A6712" s="1" t="s">
        <v>1132</v>
      </c>
      <c r="B6712" s="0" t="s">
        <v>75</v>
      </c>
      <c r="F6712" s="30" t="n">
        <f aca="false">px*(1+bb_g)^(Sens!F6570-base_fy-mid_yr)</f>
        <v>551.84177959629</v>
      </c>
      <c r="G6712" s="30" t="n">
        <f aca="false">px*(1+bb_g)^(Sens!G6570-base_fy-mid_yr)</f>
        <v>595.989121963993</v>
      </c>
      <c r="H6712" s="30" t="n">
        <f aca="false">px*(1+bb_g)^(Sens!H6570-base_fy-mid_yr)</f>
        <v>643.668251721112</v>
      </c>
      <c r="I6712" s="30" t="n">
        <f aca="false">px*(1+bb_g)^(Sens!I6570-base_fy-mid_yr)</f>
        <v>695.161711858801</v>
      </c>
      <c r="J6712" s="30" t="n">
        <f aca="false">px*(1+bb_g)^(Sens!J6570-base_fy-mid_yr)</f>
        <v>750.774648807506</v>
      </c>
      <c r="K6712" s="30" t="n">
        <f aca="false">px*(1+bb_g)^(Sens!K6570-base_fy-mid_yr)</f>
        <v>810.836620712106</v>
      </c>
    </row>
    <row r="6713" customFormat="false" ht="15" hidden="false" customHeight="false" outlineLevel="0" collapsed="false">
      <c r="A6713" s="1" t="s">
        <v>1133</v>
      </c>
      <c r="B6713" s="1" t="s">
        <v>81</v>
      </c>
      <c r="E6713" s="15" t="n">
        <f aca="false">sh_out26</f>
        <v>7.427</v>
      </c>
      <c r="F6713" s="15" t="n">
        <f aca="false">Sens!E6713+sh_iss-Sens!F6707/Sens!F6712</f>
        <v>7.472</v>
      </c>
      <c r="G6713" s="15" t="n">
        <f aca="false">Sens!F6713+sh_iss-Sens!G6707/Sens!G6712</f>
        <v>7.517</v>
      </c>
      <c r="H6713" s="15" t="n">
        <f aca="false">Sens!G6713+sh_iss-Sens!H6707/Sens!H6712</f>
        <v>7.562</v>
      </c>
      <c r="I6713" s="15" t="n">
        <f aca="false">Sens!H6713+sh_iss-Sens!I6707/Sens!I6712</f>
        <v>7.57496285005334</v>
      </c>
      <c r="J6713" s="15" t="n">
        <f aca="false">Sens!I6713+sh_iss-Sens!J6707/Sens!J6712</f>
        <v>7.59029882232494</v>
      </c>
      <c r="K6713" s="15" t="n">
        <f aca="false">Sens!J6713+sh_iss-Sens!K6707/Sens!K6712</f>
        <v>7.60783212998384</v>
      </c>
    </row>
    <row r="6714" customFormat="false" ht="15" hidden="false" customHeight="false" outlineLevel="0" collapsed="false">
      <c r="A6714" s="1" t="s">
        <v>1134</v>
      </c>
      <c r="B6714" s="1" t="s">
        <v>81</v>
      </c>
      <c r="E6714" s="15" t="n">
        <f aca="false">sh_dil26</f>
        <v>7.453</v>
      </c>
      <c r="F6714" s="15" t="n">
        <f aca="false">(Sens!E6713+Sens!F6713)/2+dil_gap</f>
        <v>7.4735</v>
      </c>
      <c r="G6714" s="15" t="n">
        <f aca="false">(Sens!F6713+Sens!G6713)/2+dil_gap</f>
        <v>7.5185</v>
      </c>
      <c r="H6714" s="15" t="n">
        <f aca="false">(Sens!G6713+Sens!H6713)/2+dil_gap</f>
        <v>7.5635</v>
      </c>
      <c r="I6714" s="15" t="n">
        <f aca="false">(Sens!H6713+Sens!I6713)/2+dil_gap</f>
        <v>7.59248142502667</v>
      </c>
      <c r="J6714" s="15" t="n">
        <f aca="false">(Sens!I6713+Sens!J6713)/2+dil_gap</f>
        <v>7.60663083618914</v>
      </c>
      <c r="K6714" s="15" t="n">
        <f aca="false">(Sens!J6713+Sens!K6713)/2+dil_gap</f>
        <v>7.62306547615439</v>
      </c>
    </row>
    <row r="6715" customFormat="false" ht="17.15" hidden="false" customHeight="false" outlineLevel="0" collapsed="false">
      <c r="A6715" s="1" t="s">
        <v>1135</v>
      </c>
      <c r="B6715" s="0" t="s">
        <v>98</v>
      </c>
      <c r="C6715" s="6" t="n">
        <f aca="false">SUM(Sens!F6705:J6705)</f>
        <v>144.234780022268</v>
      </c>
    </row>
    <row r="6716" customFormat="false" ht="15" hidden="false" customHeight="false" outlineLevel="0" collapsed="false">
      <c r="A6716" s="26" t="s">
        <v>1100</v>
      </c>
      <c r="B6716" s="31" t="s">
        <v>98</v>
      </c>
      <c r="C6716" s="27" t="n">
        <f aca="false">Sens!$C$6715-(Sens!F6705+Sens!G6705+Sens!H6705+Sens!I6705+Sens!J6705)</f>
        <v>0</v>
      </c>
      <c r="D6716" s="31"/>
      <c r="E6716" s="31"/>
      <c r="F6716" s="31"/>
      <c r="G6716" s="31"/>
      <c r="H6716" s="31"/>
      <c r="I6716" s="31"/>
      <c r="J6716" s="31"/>
      <c r="K6716" s="31"/>
    </row>
    <row r="6717" customFormat="false" ht="17.15" hidden="false" customHeight="false" outlineLevel="0" collapsed="false">
      <c r="A6717" s="1" t="s">
        <v>1094</v>
      </c>
      <c r="B6717" s="1" t="s">
        <v>1136</v>
      </c>
      <c r="C6717" s="33" t="str">
        <f aca="false">IF(SUM(Sens!F6708:J6708)&gt;0.05,"需要舉債 "&amp;TEXT(SUM(Sens!F6708:J6708),"0.0")&amp;" 十億美元","不需舉債")&amp;"；"&amp;IF(SUM(Sens!F6707:J6707)&lt;COUNT(Sens!F6707:J6707)*bb_target-0.05,"回購較每年 "&amp;TEXT(bb_target,"0.0")&amp;" 的目標少 "&amp;TEXT(COUNT(Sens!F6707:J6707)*bb_target-SUM(Sens!F6707:J6707),"0.0")&amp;" 十億美元（"&amp;TEXT(COUNTIF(Sens!F6707:J6707,"&lt;"&amp;(bb_target-0.05)),"0")&amp;" 年減少）","回購不減")</f>
        <v>需要舉債 24.0 十億美元；回購較每年 22.3 的目標少 66.8 十億美元（3 年減少）</v>
      </c>
    </row>
    <row r="6718" customFormat="false" ht="17.15" hidden="false" customHeight="false" outlineLevel="0" collapsed="false">
      <c r="A6718" s="3" t="s">
        <v>1779</v>
      </c>
    </row>
    <row r="6719" customFormat="false" ht="15" hidden="false" customHeight="false" outlineLevel="0" collapsed="false">
      <c r="A6719" s="4" t="s">
        <v>43</v>
      </c>
      <c r="B6719" s="4" t="s">
        <v>65</v>
      </c>
      <c r="C6719" s="23" t="s">
        <v>942</v>
      </c>
      <c r="D6719" s="23" t="s">
        <v>943</v>
      </c>
      <c r="E6719" s="23" t="s">
        <v>944</v>
      </c>
      <c r="F6719" s="23" t="s">
        <v>945</v>
      </c>
      <c r="G6719" s="23" t="s">
        <v>946</v>
      </c>
      <c r="H6719" s="23" t="s">
        <v>947</v>
      </c>
      <c r="I6719" s="23" t="s">
        <v>948</v>
      </c>
      <c r="J6719" s="23" t="s">
        <v>949</v>
      </c>
      <c r="K6719" s="23" t="s">
        <v>950</v>
      </c>
      <c r="L6719" s="4" t="s">
        <v>47</v>
      </c>
    </row>
    <row r="6720" customFormat="false" ht="17.15" hidden="false" customHeight="false" outlineLevel="0" collapsed="false">
      <c r="A6720" s="1" t="s">
        <v>1216</v>
      </c>
      <c r="B6720" s="1" t="s">
        <v>279</v>
      </c>
      <c r="F6720" s="8" t="n">
        <f aca="false">(1-v_off)*mid_yr</f>
        <v>0.373972602739726</v>
      </c>
      <c r="G6720" s="8" t="n">
        <f aca="false">Sens!G6570-base_fy-mid_yr-v_off</f>
        <v>1.24794520547945</v>
      </c>
      <c r="H6720" s="8" t="n">
        <f aca="false">Sens!H6570-base_fy-mid_yr-v_off</f>
        <v>2.24794520547945</v>
      </c>
      <c r="I6720" s="8" t="n">
        <f aca="false">Sens!I6570-base_fy-mid_yr-v_off</f>
        <v>3.24794520547945</v>
      </c>
      <c r="J6720" s="8" t="n">
        <f aca="false">Sens!J6570-base_fy-mid_yr-v_off</f>
        <v>4.24794520547945</v>
      </c>
      <c r="K6720" s="8" t="n">
        <f aca="false">Sens!K6570-base_fy-mid_yr-v_off</f>
        <v>5.24794520547945</v>
      </c>
      <c r="L6720" s="12" t="s">
        <v>1217</v>
      </c>
    </row>
    <row r="6721" customFormat="false" ht="15" hidden="false" customHeight="false" outlineLevel="0" collapsed="false">
      <c r="A6721" s="1" t="s">
        <v>1218</v>
      </c>
      <c r="B6721" s="1" t="s">
        <v>279</v>
      </c>
      <c r="F6721" s="8" t="n">
        <f aca="false">Sens!F6570-base_fy-v_off</f>
        <v>0.747945205479452</v>
      </c>
      <c r="G6721" s="8" t="n">
        <f aca="false">Sens!G6570-base_fy-v_off</f>
        <v>1.74794520547945</v>
      </c>
      <c r="H6721" s="8" t="n">
        <f aca="false">Sens!H6570-base_fy-v_off</f>
        <v>2.74794520547945</v>
      </c>
      <c r="I6721" s="8" t="n">
        <f aca="false">Sens!I6570-base_fy-v_off</f>
        <v>3.74794520547945</v>
      </c>
      <c r="J6721" s="8" t="n">
        <f aca="false">Sens!J6570-base_fy-v_off</f>
        <v>4.74794520547945</v>
      </c>
      <c r="K6721" s="8" t="n">
        <f aca="false">Sens!K6570-base_fy-v_off</f>
        <v>5.74794520547945</v>
      </c>
    </row>
    <row r="6722" customFormat="false" ht="15" hidden="false" customHeight="false" outlineLevel="0" collapsed="false">
      <c r="A6722" s="1" t="s">
        <v>1219</v>
      </c>
      <c r="B6722" s="0" t="s">
        <v>229</v>
      </c>
      <c r="F6722" s="15" t="n">
        <f aca="false">1/(1+wacc)^Sens!F6720</f>
        <v>0.964022703286649</v>
      </c>
      <c r="G6722" s="15" t="n">
        <f aca="false">1/(1+wacc)^Sens!G6720</f>
        <v>0.884910302296739</v>
      </c>
      <c r="H6722" s="15" t="n">
        <f aca="false">1/(1+wacc)^Sens!H6720</f>
        <v>0.802322009770358</v>
      </c>
      <c r="I6722" s="15" t="n">
        <f aca="false">1/(1+wacc)^Sens!I6720</f>
        <v>0.727441646561469</v>
      </c>
      <c r="J6722" s="15" t="n">
        <f aca="false">1/(1+wacc)^Sens!J6720</f>
        <v>0.659549834988973</v>
      </c>
      <c r="K6722" s="15" t="n">
        <f aca="false">1/(1+wacc)^Sens!K6720</f>
        <v>0.597994336576966</v>
      </c>
    </row>
    <row r="6723" customFormat="false" ht="17.15" hidden="false" customHeight="false" outlineLevel="0" collapsed="false">
      <c r="A6723" s="1" t="s">
        <v>1220</v>
      </c>
      <c r="B6723" s="0" t="s">
        <v>98</v>
      </c>
      <c r="F6723" s="6" t="n">
        <f aca="false">Q!$I$35-Q!$I$39-Q!$I$43</f>
        <v>9.666</v>
      </c>
      <c r="L6723" s="12" t="s">
        <v>1221</v>
      </c>
    </row>
    <row r="6724" customFormat="false" ht="17.15" hidden="false" customHeight="false" outlineLevel="0" collapsed="false">
      <c r="A6724" s="1" t="s">
        <v>1222</v>
      </c>
      <c r="B6724" s="0" t="s">
        <v>98</v>
      </c>
      <c r="F6724" s="6" t="n">
        <f aca="false">Sens!F6695-Sens!F6692-Sens!F6699+Sens!F6677*(1-tax_f)*(1-v_off)-Sens!F6723</f>
        <v>-5.74544732410772</v>
      </c>
      <c r="G6724" s="6" t="n">
        <f aca="false">Sens!G6695-Sens!G6692-Sens!G6699+Sens!G6677*(1-tax_f)</f>
        <v>19.8519843207759</v>
      </c>
      <c r="H6724" s="6" t="n">
        <f aca="false">Sens!H6695-Sens!H6692-Sens!H6699+Sens!H6677*(1-tax_f)</f>
        <v>57.1274204880325</v>
      </c>
      <c r="I6724" s="6" t="n">
        <f aca="false">Sens!I6695-Sens!I6692-Sens!I6699+Sens!I6677*(1-tax_f)</f>
        <v>129.556159897774</v>
      </c>
      <c r="J6724" s="6" t="n">
        <f aca="false">Sens!J6695-Sens!J6692-Sens!J6699+Sens!J6677*(1-tax_f)</f>
        <v>203.983620476432</v>
      </c>
      <c r="K6724" s="6" t="n">
        <f aca="false">Sens!K6695-Sens!K6692-Sens!K6699+Sens!K6677*(1-tax_f)</f>
        <v>239.944067297086</v>
      </c>
      <c r="L6724" s="1" t="s">
        <v>1223</v>
      </c>
    </row>
    <row r="6725" customFormat="false" ht="15" hidden="false" customHeight="false" outlineLevel="0" collapsed="false">
      <c r="A6725" s="1" t="s">
        <v>1224</v>
      </c>
      <c r="B6725" s="0" t="s">
        <v>98</v>
      </c>
      <c r="F6725" s="6" t="n">
        <f aca="false">Sens!F6724*Sens!F6722</f>
        <v>-5.53874166097737</v>
      </c>
      <c r="G6725" s="6" t="n">
        <f aca="false">Sens!G6724*Sens!G6722</f>
        <v>17.5672254464879</v>
      </c>
      <c r="H6725" s="6" t="n">
        <f aca="false">Sens!H6724*Sens!H6722</f>
        <v>45.8345868189546</v>
      </c>
      <c r="I6725" s="6" t="n">
        <f aca="false">Sens!I6724*Sens!I6722</f>
        <v>94.2445462782179</v>
      </c>
      <c r="J6725" s="6" t="n">
        <f aca="false">Sens!J6724*Sens!J6722</f>
        <v>134.537363225684</v>
      </c>
      <c r="K6725" s="6" t="n">
        <f aca="false">Sens!K6724*Sens!K6722</f>
        <v>143.485193338899</v>
      </c>
    </row>
    <row r="6726" customFormat="false" ht="17.15" hidden="false" customHeight="false" outlineLevel="0" collapsed="false">
      <c r="A6726" s="1" t="s">
        <v>1225</v>
      </c>
      <c r="B6726" s="0" t="s">
        <v>98</v>
      </c>
      <c r="C6726" s="6" t="n">
        <f aca="false">SUM(Sens!F6725:K6725)</f>
        <v>430.130173447266</v>
      </c>
    </row>
    <row r="6727" customFormat="false" ht="17.15" hidden="false" customHeight="false" outlineLevel="0" collapsed="false">
      <c r="A6727" s="1" t="s">
        <v>1226</v>
      </c>
      <c r="B6727" s="0" t="s">
        <v>98</v>
      </c>
      <c r="C6727" s="6" t="n">
        <f aca="false">Sens!K6663*(1+g_tv)*(1-tax_f)</f>
        <v>249.543298296635</v>
      </c>
    </row>
    <row r="6728" customFormat="false" ht="17.15" hidden="false" customHeight="false" outlineLevel="0" collapsed="false">
      <c r="A6728" s="1" t="s">
        <v>1227</v>
      </c>
      <c r="B6728" s="0" t="s">
        <v>98</v>
      </c>
      <c r="C6728" s="6" t="n">
        <f aca="false">Sens!$C$6727*(1-g_tv/(wacc+ronic_prem))</f>
        <v>176.816011720226</v>
      </c>
    </row>
    <row r="6729" customFormat="false" ht="17.15" hidden="false" customHeight="false" outlineLevel="0" collapsed="false">
      <c r="A6729" s="1" t="s">
        <v>1228</v>
      </c>
      <c r="B6729" s="0" t="s">
        <v>98</v>
      </c>
      <c r="C6729" s="6" t="n">
        <f aca="false">Sens!$C$6728/(wacc-g_tv)</f>
        <v>2424.2428858803</v>
      </c>
    </row>
    <row r="6730" customFormat="false" ht="15" hidden="false" customHeight="false" outlineLevel="0" collapsed="false">
      <c r="A6730" s="1" t="s">
        <v>1229</v>
      </c>
      <c r="B6730" s="0" t="s">
        <v>98</v>
      </c>
      <c r="C6730" s="6" t="n">
        <f aca="false">Sens!$C$6729/(1+wacc)^Sens!K6721</f>
        <v>1380.37767953129</v>
      </c>
    </row>
    <row r="6731" customFormat="false" ht="17.15" hidden="false" customHeight="false" outlineLevel="0" collapsed="false">
      <c r="A6731" s="0" t="s">
        <v>1230</v>
      </c>
      <c r="B6731" s="0" t="s">
        <v>98</v>
      </c>
      <c r="C6731" s="6" t="n">
        <f aca="false">Sens!$C$6726+Sens!$C$6730</f>
        <v>1810.50785297855</v>
      </c>
    </row>
    <row r="6732" customFormat="false" ht="15" hidden="false" customHeight="false" outlineLevel="0" collapsed="false">
      <c r="A6732" s="1" t="s">
        <v>1145</v>
      </c>
      <c r="B6732" s="0" t="s">
        <v>168</v>
      </c>
      <c r="C6732" s="7" t="n">
        <f aca="false">Sens!$C$6730/Sens!$C$6731</f>
        <v>0.762425679215012</v>
      </c>
    </row>
    <row r="6733" customFormat="false" ht="17.15" hidden="false" customHeight="false" outlineLevel="0" collapsed="false">
      <c r="A6733" s="1" t="s">
        <v>1231</v>
      </c>
      <c r="B6733" s="0" t="s">
        <v>98</v>
      </c>
      <c r="C6733" s="6" t="n">
        <f aca="false">Sens!$C$6731+cash_val-debt_val-fl_val+oai_v</f>
        <v>1926.35885297855</v>
      </c>
    </row>
    <row r="6734" customFormat="false" ht="17.15" hidden="false" customHeight="false" outlineLevel="0" collapsed="false">
      <c r="A6734" s="0" t="s">
        <v>1153</v>
      </c>
      <c r="B6734" s="0" t="s">
        <v>75</v>
      </c>
      <c r="C6734" s="5" t="n">
        <f aca="false">Sens!$C$6733/shd_val</f>
        <v>258.710563118259</v>
      </c>
    </row>
    <row r="6735" customFormat="false" ht="15" hidden="false" customHeight="false" outlineLevel="0" collapsed="false">
      <c r="A6735" s="1" t="s">
        <v>1232</v>
      </c>
      <c r="B6735" s="0" t="s">
        <v>75</v>
      </c>
      <c r="C6735" s="8" t="n">
        <f aca="false">div_rem27+Sens!G6703*roll_div_q/q_per_yr</f>
        <v>3.9795</v>
      </c>
    </row>
    <row r="6736" customFormat="false" ht="17.15" hidden="false" customHeight="false" outlineLevel="0" collapsed="false">
      <c r="A6736" s="0" t="s">
        <v>1233</v>
      </c>
      <c r="B6736" s="0" t="s">
        <v>75</v>
      </c>
      <c r="C6736" s="5" t="n">
        <f aca="false">Sens!$C$6734*(1+wacc)^t_roll-Sens!$C$6735</f>
        <v>283.591729734906</v>
      </c>
    </row>
    <row r="6737" customFormat="false" ht="17.15" hidden="false" customHeight="false" outlineLevel="0" collapsed="false">
      <c r="A6737" s="1" t="s">
        <v>1234</v>
      </c>
      <c r="B6737" s="0" t="s">
        <v>168</v>
      </c>
      <c r="F6737" s="7" t="n">
        <f aca="false">Sens!F6689/(Sens!F6634-Sens!F6589)</f>
        <v>0.0686946700526295</v>
      </c>
      <c r="G6737" s="7" t="n">
        <f aca="false">Sens!G6689/(Sens!G6634-Sens!G6589)</f>
        <v>0.0663250753022094</v>
      </c>
      <c r="H6737" s="7" t="n">
        <f aca="false">Sens!H6689/(Sens!H6634-Sens!H6589)</f>
        <v>0.065143516191508</v>
      </c>
      <c r="I6737" s="7" t="n">
        <f aca="false">Sens!I6689/(Sens!I6634-Sens!I6589)</f>
        <v>0.0650119086535123</v>
      </c>
      <c r="J6737" s="7" t="n">
        <f aca="false">Sens!J6689/(Sens!J6634-Sens!J6589)</f>
        <v>0.0657208341609271</v>
      </c>
      <c r="K6737" s="7" t="n">
        <f aca="false">Sens!K6689/(Sens!K6634-Sens!K6589)</f>
        <v>0.0670376284619709</v>
      </c>
    </row>
    <row r="6738" customFormat="false" ht="17.15" hidden="false" customHeight="false" outlineLevel="0" collapsed="false">
      <c r="A6738" s="0" t="s">
        <v>1235</v>
      </c>
      <c r="B6738" s="0" t="s">
        <v>98</v>
      </c>
      <c r="F6738" s="6" t="n">
        <f aca="false">Sens!F6619*(al_m365+Sens!F6737+sbc_r)</f>
        <v>82.9205508973477</v>
      </c>
      <c r="G6738" s="6" t="n">
        <f aca="false">Sens!G6619*(al_m365+Sens!G6737+sbc_r)</f>
        <v>93.30837101515</v>
      </c>
      <c r="H6738" s="6" t="n">
        <f aca="false">Sens!H6619*(al_m365+Sens!H6737+sbc_r)</f>
        <v>103.857111711333</v>
      </c>
      <c r="I6738" s="6" t="n">
        <f aca="false">Sens!I6619*(al_m365+Sens!I6737+sbc_r)</f>
        <v>113.890222673933</v>
      </c>
      <c r="J6738" s="6" t="n">
        <f aca="false">Sens!J6619*(al_m365+Sens!J6737+sbc_r)</f>
        <v>123.218401749266</v>
      </c>
      <c r="K6738" s="6" t="n">
        <f aca="false">Sens!K6619*(al_m365+Sens!K6737+sbc_r)</f>
        <v>132.148725567593</v>
      </c>
      <c r="L6738" s="12" t="s">
        <v>1236</v>
      </c>
    </row>
    <row r="6739" customFormat="false" ht="17.15" hidden="false" customHeight="false" outlineLevel="0" collapsed="false">
      <c r="A6739" s="0" t="s">
        <v>1237</v>
      </c>
      <c r="B6739" s="0" t="s">
        <v>98</v>
      </c>
      <c r="F6739" s="6" t="n">
        <f aca="false">Sens!F6620*(al_lic+Sens!F6737+sbc_r)</f>
        <v>32.8606485640146</v>
      </c>
      <c r="G6739" s="6" t="n">
        <f aca="false">Sens!G6620*(al_lic+Sens!G6737+sbc_r)</f>
        <v>34.1573005483987</v>
      </c>
      <c r="H6739" s="6" t="n">
        <f aca="false">Sens!H6620*(al_lic+Sens!H6737+sbc_r)</f>
        <v>35.3638494079778</v>
      </c>
      <c r="I6739" s="6" t="n">
        <f aca="false">Sens!I6620*(al_lic+Sens!I6737+sbc_r)</f>
        <v>36.4605869774349</v>
      </c>
      <c r="J6739" s="6" t="n">
        <f aca="false">Sens!J6620*(al_lic+Sens!J6737+sbc_r)</f>
        <v>37.4245698401448</v>
      </c>
      <c r="K6739" s="6" t="n">
        <f aca="false">Sens!K6620*(al_lic+Sens!K6737+sbc_r)</f>
        <v>38.2319826622925</v>
      </c>
    </row>
    <row r="6740" customFormat="false" ht="17.15" hidden="false" customHeight="false" outlineLevel="0" collapsed="false">
      <c r="A6740" s="0" t="s">
        <v>1238</v>
      </c>
      <c r="B6740" s="0" t="s">
        <v>98</v>
      </c>
      <c r="F6740" s="6" t="n">
        <f aca="false">Sens!F6622*(al_ind+Sens!F6737+sbc_r)</f>
        <v>9.06209302657663</v>
      </c>
      <c r="G6740" s="6" t="n">
        <f aca="false">Sens!G6622*(al_ind+Sens!G6737+sbc_r)</f>
        <v>9.84818597755573</v>
      </c>
      <c r="H6740" s="6" t="n">
        <f aca="false">Sens!H6622*(al_ind+Sens!H6737+sbc_r)</f>
        <v>10.6770146499471</v>
      </c>
      <c r="I6740" s="6" t="n">
        <f aca="false">Sens!I6622*(al_ind+Sens!I6737+sbc_r)</f>
        <v>11.5440773031123</v>
      </c>
      <c r="J6740" s="6" t="n">
        <f aca="false">Sens!J6622*(al_ind+Sens!J6737+sbc_r)</f>
        <v>12.4407780210113</v>
      </c>
      <c r="K6740" s="6" t="n">
        <f aca="false">Sens!K6622*(al_ind+Sens!K6737+sbc_r)</f>
        <v>13.3551168115848</v>
      </c>
    </row>
    <row r="6741" customFormat="false" ht="17.15" hidden="false" customHeight="false" outlineLevel="0" collapsed="false">
      <c r="A6741" s="0" t="s">
        <v>1239</v>
      </c>
      <c r="B6741" s="0" t="s">
        <v>98</v>
      </c>
      <c r="F6741" s="6" t="n">
        <f aca="false">Sens!F6624*(al_fro+Sens!F6737+sbc_r)</f>
        <v>3.55468693393192</v>
      </c>
      <c r="G6741" s="6" t="n">
        <f aca="false">Sens!G6624*(al_fro+Sens!G6737+sbc_r)</f>
        <v>3.76820458537167</v>
      </c>
      <c r="H6741" s="6" t="n">
        <f aca="false">Sens!H6624*(al_fro+Sens!H6737+sbc_r)</f>
        <v>4.00972011651307</v>
      </c>
      <c r="I6741" s="6" t="n">
        <f aca="false">Sens!I6624*(al_fro+Sens!I6737+sbc_r)</f>
        <v>4.28155947588694</v>
      </c>
      <c r="J6741" s="6" t="n">
        <f aca="false">Sens!J6624*(al_fro+Sens!J6737+sbc_r)</f>
        <v>4.58536018926944</v>
      </c>
      <c r="K6741" s="6" t="n">
        <f aca="false">Sens!K6624*(al_fro+Sens!K6737+sbc_r)</f>
        <v>4.92236264062093</v>
      </c>
    </row>
    <row r="6742" customFormat="false" ht="17.15" hidden="false" customHeight="false" outlineLevel="0" collapsed="false">
      <c r="A6742" s="0" t="s">
        <v>1240</v>
      </c>
      <c r="B6742" s="0" t="s">
        <v>98</v>
      </c>
      <c r="F6742" s="6" t="n">
        <f aca="false">Sens!F6627*(al_srch+Sens!F6737+sbc_r)</f>
        <v>11.1911600816885</v>
      </c>
      <c r="G6742" s="6" t="n">
        <f aca="false">Sens!G6627*(al_srch+Sens!G6737+sbc_r)</f>
        <v>12.2766919773101</v>
      </c>
      <c r="H6742" s="6" t="n">
        <f aca="false">Sens!H6627*(al_srch+Sens!H6737+sbc_r)</f>
        <v>13.4045938892227</v>
      </c>
      <c r="I6742" s="6" t="n">
        <f aca="false">Sens!I6627*(al_srch+Sens!I6737+sbc_r)</f>
        <v>14.562263947679</v>
      </c>
      <c r="J6742" s="6" t="n">
        <f aca="false">Sens!J6627*(al_srch+Sens!J6737+sbc_r)</f>
        <v>15.7310212368703</v>
      </c>
      <c r="K6742" s="6" t="n">
        <f aca="false">Sens!K6627*(al_srch+Sens!K6737+sbc_r)</f>
        <v>16.8871774602122</v>
      </c>
    </row>
    <row r="6743" customFormat="false" ht="17.15" hidden="false" customHeight="false" outlineLevel="0" collapsed="false">
      <c r="A6743" s="0" t="s">
        <v>1241</v>
      </c>
      <c r="B6743" s="0" t="s">
        <v>98</v>
      </c>
      <c r="F6743" s="6" t="n">
        <f aca="false">Sens!F6595-Sens!F6596+Sens!F6677</f>
        <v>39.5245993694426</v>
      </c>
      <c r="G6743" s="6" t="n">
        <f aca="false">Sens!G6595-Sens!G6596+Sens!G6677</f>
        <v>70.5727941877231</v>
      </c>
      <c r="H6743" s="6" t="n">
        <f aca="false">Sens!H6595-Sens!H6596+Sens!H6677</f>
        <v>98.3841886211137</v>
      </c>
      <c r="I6743" s="6" t="n">
        <f aca="false">Sens!I6595-Sens!I6596+Sens!I6677</f>
        <v>129.797647684572</v>
      </c>
      <c r="J6743" s="6" t="n">
        <f aca="false">Sens!J6595-Sens!J6596+Sens!J6677</f>
        <v>151.925173407161</v>
      </c>
      <c r="K6743" s="6" t="n">
        <f aca="false">Sens!K6595-Sens!K6596+Sens!K6677</f>
        <v>165.828464468342</v>
      </c>
    </row>
    <row r="6744" customFormat="false" ht="17.15" hidden="false" customHeight="false" outlineLevel="0" collapsed="false">
      <c r="A6744" s="0" t="s">
        <v>1242</v>
      </c>
      <c r="B6744" s="0" t="s">
        <v>98</v>
      </c>
      <c r="F6744" s="6" t="n">
        <f aca="false">Sens!F6656+Sens!F6677+Sens!F6607+Sens!F6737*(Sens!F6626-Sens!F6589)+sbc_r*Sens!F6626</f>
        <v>235.231671324376</v>
      </c>
      <c r="G6744" s="6" t="n">
        <f aca="false">Sens!G6656+Sens!G6677+Sens!G6607+Sens!G6737*(Sens!G6626-Sens!G6589)+sbc_r*Sens!G6626</f>
        <v>286.553790763118</v>
      </c>
      <c r="H6744" s="6" t="n">
        <f aca="false">Sens!H6656+Sens!H6677+Sens!H6607+Sens!H6737*(Sens!H6626-Sens!H6589)+sbc_r*Sens!H6626</f>
        <v>339.776014758066</v>
      </c>
      <c r="I6744" s="6" t="n">
        <f aca="false">Sens!I6656+Sens!I6677+Sens!I6607+Sens!I6737*(Sens!I6626-Sens!I6589)+sbc_r*Sens!I6626</f>
        <v>395.983543339622</v>
      </c>
      <c r="J6744" s="6" t="n">
        <f aca="false">Sens!J6656+Sens!J6677+Sens!J6607+Sens!J6737*(Sens!J6626-Sens!J6589)+sbc_r*Sens!J6626</f>
        <v>440.978824423493</v>
      </c>
      <c r="K6744" s="6" t="n">
        <f aca="false">Sens!K6656+Sens!K6677+Sens!K6607+Sens!K6737*(Sens!K6626-Sens!K6589)+sbc_r*Sens!K6626</f>
        <v>475.40966218258</v>
      </c>
    </row>
    <row r="6745" customFormat="false" ht="17.15" hidden="false" customHeight="false" outlineLevel="0" collapsed="false">
      <c r="A6745" s="0" t="s">
        <v>1243</v>
      </c>
      <c r="B6745" s="0" t="s">
        <v>98</v>
      </c>
      <c r="F6745" s="6" t="n">
        <f aca="false">Sens!F6744-Sens!F6738-Sens!F6739-Sens!F6740-Sens!F6741-Sens!F6743</f>
        <v>67.3090925330621</v>
      </c>
      <c r="G6745" s="6" t="n">
        <f aca="false">Sens!G6744-Sens!G6738-Sens!G6739-Sens!G6740-Sens!G6741-Sens!G6743</f>
        <v>74.8989344489185</v>
      </c>
      <c r="H6745" s="6" t="n">
        <f aca="false">Sens!H6744-Sens!H6738-Sens!H6739-Sens!H6740-Sens!H6741-Sens!H6743</f>
        <v>87.4841302511814</v>
      </c>
      <c r="I6745" s="6" t="n">
        <f aca="false">Sens!I6744-Sens!I6738-Sens!I6739-Sens!I6740-Sens!I6741-Sens!I6743</f>
        <v>100.009449224683</v>
      </c>
      <c r="J6745" s="6" t="n">
        <f aca="false">Sens!J6744-Sens!J6738-Sens!J6739-Sens!J6740-Sens!J6741-Sens!J6743</f>
        <v>111.38454121664</v>
      </c>
      <c r="K6745" s="6" t="n">
        <f aca="false">Sens!K6744-Sens!K6738-Sens!K6739-Sens!K6740-Sens!K6741-Sens!K6743</f>
        <v>120.923010032147</v>
      </c>
    </row>
    <row r="6746" customFormat="false" ht="17.15" hidden="false" customHeight="false" outlineLevel="0" collapsed="false">
      <c r="A6746" s="0" t="s">
        <v>1244</v>
      </c>
      <c r="B6746" s="0" t="s">
        <v>98</v>
      </c>
      <c r="F6746" s="6" t="n">
        <f aca="false">Sens!F6658+Sens!F6737*Sens!F6633+sbc_r*Sens!F6633</f>
        <v>26.6384659077776</v>
      </c>
      <c r="G6746" s="6" t="n">
        <f aca="false">Sens!G6658+Sens!G6737*Sens!G6633+sbc_r*Sens!G6633</f>
        <v>26.5046749163861</v>
      </c>
      <c r="H6746" s="6" t="n">
        <f aca="false">Sens!H6658+Sens!H6737*Sens!H6633+sbc_r*Sens!H6633</f>
        <v>27.3986001738541</v>
      </c>
      <c r="I6746" s="6" t="n">
        <f aca="false">Sens!I6658+Sens!I6737*Sens!I6633+sbc_r*Sens!I6633</f>
        <v>28.5178671218162</v>
      </c>
      <c r="J6746" s="6" t="n">
        <f aca="false">Sens!J6658+Sens!J6737*Sens!J6633+sbc_r*Sens!J6633</f>
        <v>29.8313674493703</v>
      </c>
      <c r="K6746" s="6" t="n">
        <f aca="false">Sens!K6658+Sens!K6737*Sens!K6633+sbc_r*Sens!K6633</f>
        <v>31.3100572910852</v>
      </c>
    </row>
    <row r="6747" customFormat="false" ht="17.15" hidden="false" customHeight="false" outlineLevel="0" collapsed="false">
      <c r="A6747" s="0" t="s">
        <v>1245</v>
      </c>
      <c r="B6747" s="0" t="s">
        <v>98</v>
      </c>
      <c r="F6747" s="6" t="n">
        <f aca="false">(Sens!F6746-Sens!F6742)*Sens!F6629/(Sens!F6629+Sens!F6631)</f>
        <v>8.72441463050461</v>
      </c>
      <c r="G6747" s="6" t="n">
        <f aca="false">(Sens!G6746-Sens!G6742)*Sens!G6629/(Sens!G6629+Sens!G6631)</f>
        <v>7.89765386079812</v>
      </c>
      <c r="H6747" s="6" t="n">
        <f aca="false">(Sens!H6746-Sens!H6742)*Sens!H6629/(Sens!H6629+Sens!H6631)</f>
        <v>7.66658719187147</v>
      </c>
      <c r="I6747" s="6" t="n">
        <f aca="false">(Sens!I6746-Sens!I6742)*Sens!I6629/(Sens!I6629+Sens!I6631)</f>
        <v>7.57881431289478</v>
      </c>
      <c r="J6747" s="6" t="n">
        <f aca="false">(Sens!J6746-Sens!J6742)*Sens!J6629/(Sens!J6629+Sens!J6631)</f>
        <v>7.62401038498527</v>
      </c>
      <c r="K6747" s="6" t="n">
        <f aca="false">(Sens!K6746-Sens!K6742)*Sens!K6629/(Sens!K6629+Sens!K6631)</f>
        <v>7.79840324165165</v>
      </c>
    </row>
    <row r="6748" customFormat="false" ht="17.15" hidden="false" customHeight="false" outlineLevel="0" collapsed="false">
      <c r="A6748" s="0" t="s">
        <v>1246</v>
      </c>
      <c r="B6748" s="0" t="s">
        <v>98</v>
      </c>
      <c r="F6748" s="6" t="n">
        <f aca="false">Sens!F6746-Sens!F6742-Sens!F6747</f>
        <v>6.72289119558451</v>
      </c>
      <c r="G6748" s="6" t="n">
        <f aca="false">Sens!G6746-Sens!G6742-Sens!G6747</f>
        <v>6.33032907827789</v>
      </c>
      <c r="H6748" s="6" t="n">
        <f aca="false">Sens!H6746-Sens!H6742-Sens!H6747</f>
        <v>6.32741909275987</v>
      </c>
      <c r="I6748" s="6" t="n">
        <f aca="false">Sens!I6746-Sens!I6742-Sens!I6747</f>
        <v>6.37678886124243</v>
      </c>
      <c r="J6748" s="6" t="n">
        <f aca="false">Sens!J6746-Sens!J6742-Sens!J6747</f>
        <v>6.47633582751473</v>
      </c>
      <c r="K6748" s="6" t="n">
        <f aca="false">Sens!K6746-Sens!K6742-Sens!K6747</f>
        <v>6.62447658922138</v>
      </c>
    </row>
    <row r="6749" customFormat="false" ht="17.15" hidden="false" customHeight="false" outlineLevel="0" collapsed="false">
      <c r="A6749" s="0" t="s">
        <v>1247</v>
      </c>
      <c r="B6749" s="0" t="s">
        <v>98</v>
      </c>
      <c r="F6749" s="6" t="n">
        <f aca="false">Sens!F6743-tax_f*(Sens!F6743-Sens!F6607)-Sens!F6604</f>
        <v>-129.918361650895</v>
      </c>
      <c r="G6749" s="6" t="n">
        <f aca="false">Sens!G6743-tax_f*(Sens!G6743-Sens!G6607)-Sens!G6604</f>
        <v>-123.33934216841</v>
      </c>
      <c r="H6749" s="6" t="n">
        <f aca="false">Sens!H6743-tax_f*(Sens!H6743-Sens!H6607)-Sens!H6604</f>
        <v>-100.278635035332</v>
      </c>
      <c r="I6749" s="6" t="n">
        <f aca="false">Sens!I6743-tax_f*(Sens!I6743-Sens!I6607)-Sens!I6604</f>
        <v>-41.9305135350432</v>
      </c>
      <c r="J6749" s="6" t="n">
        <f aca="false">Sens!J6743-tax_f*(Sens!J6743-Sens!J6607)-Sens!J6604</f>
        <v>19.0133421397078</v>
      </c>
      <c r="K6749" s="6" t="n">
        <f aca="false">Sens!K6743-tax_f*(Sens!K6743-Sens!K6607)-Sens!K6604</f>
        <v>42.3024524201274</v>
      </c>
    </row>
    <row r="6750" customFormat="false" ht="17.15" hidden="false" customHeight="false" outlineLevel="0" collapsed="false">
      <c r="A6750" s="0" t="s">
        <v>1248</v>
      </c>
      <c r="B6750" s="0" t="s">
        <v>98</v>
      </c>
      <c r="G6750" s="6" t="n">
        <f aca="false">Sens!G6749/(1+wacc)^(Sens!G6720-Sens!F6721)</f>
        <v>-117.442788739523</v>
      </c>
      <c r="H6750" s="6" t="n">
        <f aca="false">Sens!H6749/(1+wacc)^(Sens!H6720-Sens!F6721)</f>
        <v>-86.5730256935958</v>
      </c>
      <c r="I6750" s="6" t="n">
        <f aca="false">Sens!I6749/(1+wacc)^(Sens!I6720-Sens!F6721)</f>
        <v>-32.821151866361</v>
      </c>
      <c r="J6750" s="6" t="n">
        <f aca="false">Sens!J6749/(1+wacc)^(Sens!J6720-Sens!F6721)</f>
        <v>13.4937156921039</v>
      </c>
      <c r="K6750" s="6" t="n">
        <f aca="false">Sens!K6749/(1+wacc)^(Sens!K6720-Sens!F6721)</f>
        <v>27.219998240048</v>
      </c>
      <c r="L6750" s="1" t="s">
        <v>1249</v>
      </c>
    </row>
    <row r="6751" customFormat="false" ht="17.15" hidden="false" customHeight="false" outlineLevel="0" collapsed="false">
      <c r="A6751" s="0" t="s">
        <v>1250</v>
      </c>
      <c r="B6751" s="0" t="s">
        <v>98</v>
      </c>
      <c r="C6751" s="6" t="n">
        <f aca="false">(Sens!K6743-Sens!K6607)*(1-tax_f)*(1+g_tv)*(1-g_tv/(wacc+ronic_prem))/(wacc-g_tv)/(1+wacc)^(Sens!K6721-Sens!F6721)</f>
        <v>111.902634092828</v>
      </c>
    </row>
    <row r="6752" customFormat="false" ht="17.15" hidden="false" customHeight="false" outlineLevel="0" collapsed="false">
      <c r="A6752" s="1" t="s">
        <v>1251</v>
      </c>
      <c r="B6752" s="0" t="s">
        <v>98</v>
      </c>
      <c r="C6752" s="6" t="n">
        <f aca="false">(SUM(Sens!G6750:K6750)+Sens!$C$6751)*(1+wacc)^(t_roll-Sens!F6721)</f>
        <v>-87.0009955857965</v>
      </c>
      <c r="L6752" s="12" t="s">
        <v>1252</v>
      </c>
    </row>
    <row r="6753" customFormat="false" ht="17.15" hidden="false" customHeight="false" outlineLevel="0" collapsed="false">
      <c r="A6753" s="1" t="s">
        <v>1253</v>
      </c>
      <c r="B6753" s="0" t="s">
        <v>98</v>
      </c>
      <c r="C6753" s="6" t="n">
        <f aca="false">(w_ntm28*Sens!G6595+(1-w_ntm28)*Sens!H6595)*m_ai</f>
        <v>351.911308233476</v>
      </c>
    </row>
    <row r="6754" customFormat="false" ht="17.15" hidden="false" customHeight="false" outlineLevel="0" collapsed="false">
      <c r="A6754" s="1" t="s">
        <v>1254</v>
      </c>
      <c r="B6754" s="0" t="s">
        <v>98</v>
      </c>
      <c r="C6754" s="6" t="n">
        <f aca="false">(w_ntm28*Sens!G6745+(1-w_ntm28)*Sens!H6745)*m_cloud</f>
        <v>1092.28488701138</v>
      </c>
    </row>
    <row r="6755" customFormat="false" ht="17.15" hidden="false" customHeight="false" outlineLevel="0" collapsed="false">
      <c r="A6755" s="1" t="s">
        <v>1255</v>
      </c>
      <c r="B6755" s="0" t="s">
        <v>98</v>
      </c>
      <c r="C6755" s="6" t="n">
        <f aca="false">(w_ntm28*Sens!G6738+(1-w_ntm28)*Sens!H6738)*m_sw</f>
        <v>1045.18566159993</v>
      </c>
    </row>
    <row r="6756" customFormat="false" ht="17.15" hidden="false" customHeight="false" outlineLevel="0" collapsed="false">
      <c r="A6756" s="1" t="s">
        <v>1256</v>
      </c>
      <c r="B6756" s="0" t="s">
        <v>98</v>
      </c>
      <c r="C6756" s="6" t="n">
        <f aca="false">(w_ntm28*Sens!G6739+(1-w_ntm28)*Sens!H6739)*m_sw</f>
        <v>373.18292077754</v>
      </c>
    </row>
    <row r="6757" customFormat="false" ht="17.15" hidden="false" customHeight="false" outlineLevel="0" collapsed="false">
      <c r="A6757" s="1" t="s">
        <v>1257</v>
      </c>
      <c r="B6757" s="0" t="s">
        <v>98</v>
      </c>
      <c r="C6757" s="6" t="n">
        <f aca="false">(w_ntm28*Sens!G6740+(1-w_ntm28)*Sens!H6740)*m_sw</f>
        <v>109.303318035463</v>
      </c>
    </row>
    <row r="6758" customFormat="false" ht="17.15" hidden="false" customHeight="false" outlineLevel="0" collapsed="false">
      <c r="A6758" s="1" t="s">
        <v>1258</v>
      </c>
      <c r="B6758" s="0" t="s">
        <v>98</v>
      </c>
      <c r="C6758" s="6" t="n">
        <f aca="false">(w_ntm28*Sens!G6741+(1-w_ntm28)*Sens!H6741)*m_sw</f>
        <v>41.5541550791627</v>
      </c>
    </row>
    <row r="6759" customFormat="false" ht="17.15" hidden="false" customHeight="false" outlineLevel="0" collapsed="false">
      <c r="A6759" s="1" t="s">
        <v>1259</v>
      </c>
      <c r="B6759" s="0" t="s">
        <v>98</v>
      </c>
      <c r="C6759" s="6" t="n">
        <f aca="false">(w_ntm28*Sens!G6742+(1-w_ntm28)*Sens!H6742)*m_ads</f>
        <v>115.218807393029</v>
      </c>
    </row>
    <row r="6760" customFormat="false" ht="17.15" hidden="false" customHeight="false" outlineLevel="0" collapsed="false">
      <c r="A6760" s="1" t="s">
        <v>1260</v>
      </c>
      <c r="B6760" s="0" t="s">
        <v>98</v>
      </c>
      <c r="C6760" s="6" t="n">
        <f aca="false">(w_ntm28*Sens!G6747+(1-w_ntm28)*Sens!H6747)*m_game</f>
        <v>98.7879034853728</v>
      </c>
    </row>
    <row r="6761" customFormat="false" ht="17.15" hidden="false" customHeight="false" outlineLevel="0" collapsed="false">
      <c r="A6761" s="1" t="s">
        <v>1261</v>
      </c>
      <c r="B6761" s="0" t="s">
        <v>98</v>
      </c>
      <c r="C6761" s="6" t="n">
        <f aca="false">(w_ntm28*Sens!G6748+(1-w_ntm28)*Sens!H6748)*m_pc</f>
        <v>91.5860182041783</v>
      </c>
    </row>
    <row r="6762" customFormat="false" ht="17.15" hidden="false" customHeight="false" outlineLevel="0" collapsed="false">
      <c r="A6762" s="1" t="s">
        <v>1262</v>
      </c>
      <c r="B6762" s="0" t="s">
        <v>98</v>
      </c>
      <c r="C6762" s="6" t="n">
        <f aca="false">Sens!$C$6752+Sens!$C$6754+Sens!$C$6755+Sens!$C$6756+Sens!$C$6757+Sens!$C$6758+Sens!$C$6759+Sens!$C$6760+Sens!$C$6761</f>
        <v>2880.10267600025</v>
      </c>
    </row>
    <row r="6763" customFormat="false" ht="17.15" hidden="false" customHeight="false" outlineLevel="0" collapsed="false">
      <c r="A6763" s="1" t="s">
        <v>1263</v>
      </c>
      <c r="B6763" s="0" t="s">
        <v>98</v>
      </c>
      <c r="C6763" s="6" t="n">
        <f aca="false">(Sens!G6724-Sens!G6749)*t_stub</f>
        <v>47.4689054936753</v>
      </c>
      <c r="L6763" s="1" t="s">
        <v>1264</v>
      </c>
    </row>
    <row r="6764" customFormat="false" ht="17.15" hidden="false" customHeight="false" outlineLevel="0" collapsed="false">
      <c r="A6764" s="1" t="s">
        <v>1173</v>
      </c>
      <c r="B6764" s="0" t="s">
        <v>98</v>
      </c>
      <c r="C6764" s="6" t="n">
        <f aca="false">Sens!F6711+oai_v-Sens!F6700+Sens!$C$6763</f>
        <v>158.913828450672</v>
      </c>
      <c r="L6764" s="1" t="s">
        <v>1265</v>
      </c>
    </row>
    <row r="6765" customFormat="false" ht="17.15" hidden="false" customHeight="false" outlineLevel="0" collapsed="false">
      <c r="A6765" s="1" t="s">
        <v>1266</v>
      </c>
      <c r="B6765" s="0" t="s">
        <v>75</v>
      </c>
      <c r="C6765" s="5" t="n">
        <f aca="false">(Sens!$C$6762+Sens!$C$6764)/(Sens!F6713+dil_gap)-Sens!G6703*roll_div_q/q_per_yr</f>
        <v>404.378923752792</v>
      </c>
      <c r="L6765" s="1" t="s">
        <v>1267</v>
      </c>
    </row>
    <row r="6766" customFormat="false" ht="17.15" hidden="false" customHeight="false" outlineLevel="0" collapsed="false">
      <c r="A6766" s="1" t="s">
        <v>1268</v>
      </c>
      <c r="B6766" s="0" t="s">
        <v>75</v>
      </c>
      <c r="C6766" s="5" t="n">
        <f aca="false">w_dcf*Sens!$C$6736+(1-w_dcf)*Sens!$C$6765</f>
        <v>343.985326743849</v>
      </c>
    </row>
    <row r="6767" customFormat="false" ht="17.15" hidden="false" customHeight="false" outlineLevel="0" collapsed="false">
      <c r="A6767" s="3" t="s">
        <v>1780</v>
      </c>
    </row>
    <row r="6768" customFormat="false" ht="15" hidden="false" customHeight="false" outlineLevel="0" collapsed="false">
      <c r="A6768" s="4" t="s">
        <v>43</v>
      </c>
      <c r="B6768" s="4" t="s">
        <v>65</v>
      </c>
      <c r="C6768" s="23" t="s">
        <v>942</v>
      </c>
      <c r="D6768" s="23" t="s">
        <v>943</v>
      </c>
      <c r="E6768" s="23" t="s">
        <v>944</v>
      </c>
      <c r="F6768" s="23" t="s">
        <v>945</v>
      </c>
      <c r="G6768" s="23" t="s">
        <v>946</v>
      </c>
      <c r="H6768" s="23" t="s">
        <v>947</v>
      </c>
      <c r="I6768" s="23" t="s">
        <v>948</v>
      </c>
      <c r="J6768" s="23" t="s">
        <v>949</v>
      </c>
      <c r="K6768" s="23" t="s">
        <v>950</v>
      </c>
      <c r="L6768" s="4" t="s">
        <v>47</v>
      </c>
    </row>
    <row r="6769" customFormat="false" ht="17.15" hidden="false" customHeight="false" outlineLevel="0" collapsed="false">
      <c r="A6769" s="1" t="s">
        <v>951</v>
      </c>
      <c r="B6769" s="1" t="s">
        <v>279</v>
      </c>
      <c r="C6769" s="21" t="n">
        <v>2024</v>
      </c>
      <c r="D6769" s="21" t="n">
        <v>2025</v>
      </c>
      <c r="E6769" s="21" t="n">
        <v>2026</v>
      </c>
      <c r="F6769" s="21" t="n">
        <v>2027</v>
      </c>
      <c r="G6769" s="21" t="n">
        <v>2028</v>
      </c>
      <c r="H6769" s="21" t="n">
        <v>2029</v>
      </c>
      <c r="I6769" s="21" t="n">
        <v>2030</v>
      </c>
      <c r="J6769" s="21" t="n">
        <v>2031</v>
      </c>
      <c r="K6769" s="21" t="n">
        <v>2032</v>
      </c>
    </row>
    <row r="6770" customFormat="false" ht="17.15" hidden="false" customHeight="false" outlineLevel="0" collapsed="false">
      <c r="A6770" s="1" t="s">
        <v>952</v>
      </c>
      <c r="B6770" s="0" t="s">
        <v>459</v>
      </c>
      <c r="F6770" s="30" t="n">
        <f aca="false">pace</f>
        <v>2726.5351</v>
      </c>
      <c r="G6770" s="30" t="n">
        <f aca="false">pace</f>
        <v>2726.5351</v>
      </c>
      <c r="H6770" s="30" t="n">
        <f aca="false">pace</f>
        <v>2726.5351</v>
      </c>
      <c r="I6770" s="30" t="n">
        <f aca="false">pace+(g_tv*Sens!H6771-pace)*MIN(1,(Sens!I6769-pace_y0)/(pace_y1-pace_y0))</f>
        <v>1931.98611966667</v>
      </c>
      <c r="J6770" s="30" t="n">
        <f aca="false">pace+(g_tv*Sens!I6771-pace)*MIN(1,(Sens!J6769-pace_y0)/(pace_y1-pace_y0))</f>
        <v>1176.07686172667</v>
      </c>
      <c r="K6770" s="30" t="n">
        <f aca="false">pace+(g_tv*Sens!J6771-pace)*MIN(1,(Sens!K6769-pace_y0)/(pace_y1-pace_y0))</f>
        <v>436.1300484418</v>
      </c>
      <c r="L6770" s="12" t="s">
        <v>953</v>
      </c>
    </row>
    <row r="6771" customFormat="false" ht="17.15" hidden="false" customHeight="false" outlineLevel="0" collapsed="false">
      <c r="A6771" s="1" t="s">
        <v>954</v>
      </c>
      <c r="B6771" s="0" t="s">
        <v>459</v>
      </c>
      <c r="C6771" s="30" t="n">
        <f aca="false">mw_ext_24</f>
        <v>640</v>
      </c>
      <c r="D6771" s="30" t="n">
        <f aca="false">mw_ext_25</f>
        <v>1630</v>
      </c>
      <c r="E6771" s="30" t="n">
        <f aca="false">mw_ext_26</f>
        <v>3250</v>
      </c>
      <c r="F6771" s="30" t="n">
        <f aca="false">Sens!E6771+Sens!F6770</f>
        <v>5976.5351</v>
      </c>
      <c r="G6771" s="30" t="n">
        <f aca="false">Sens!F6771+Sens!G6770</f>
        <v>8703.0702</v>
      </c>
      <c r="H6771" s="30" t="n">
        <f aca="false">Sens!G6771+Sens!H6770</f>
        <v>11429.6053</v>
      </c>
      <c r="I6771" s="30" t="n">
        <f aca="false">Sens!H6771+Sens!I6770</f>
        <v>13361.5914196667</v>
      </c>
      <c r="J6771" s="30" t="n">
        <f aca="false">Sens!I6771+Sens!J6770</f>
        <v>14537.6682813933</v>
      </c>
      <c r="K6771" s="30" t="n">
        <f aca="false">Sens!J6771+Sens!K6770</f>
        <v>14973.7983298351</v>
      </c>
      <c r="L6771" s="1" t="s">
        <v>955</v>
      </c>
    </row>
    <row r="6772" customFormat="false" ht="17.15" hidden="false" customHeight="false" outlineLevel="0" collapsed="false">
      <c r="A6772" s="1" t="s">
        <v>956</v>
      </c>
      <c r="B6772" s="0" t="s">
        <v>459</v>
      </c>
      <c r="C6772" s="30" t="n">
        <f aca="false">rent_ext_24</f>
        <v>150</v>
      </c>
      <c r="D6772" s="30" t="n">
        <f aca="false">rent_ext_25</f>
        <v>400</v>
      </c>
      <c r="E6772" s="30" t="n">
        <f aca="false">rent_ext_26</f>
        <v>550</v>
      </c>
      <c r="F6772" s="30" t="n">
        <f aca="false">rent_ext_f</f>
        <v>756</v>
      </c>
      <c r="G6772" s="30" t="n">
        <f aca="false">rent_ext_f</f>
        <v>756</v>
      </c>
      <c r="H6772" s="30" t="n">
        <f aca="false">rent_ext_f</f>
        <v>756</v>
      </c>
      <c r="I6772" s="30" t="n">
        <f aca="false">rent_ext_f</f>
        <v>756</v>
      </c>
      <c r="J6772" s="30" t="n">
        <f aca="false">rent_ext_f</f>
        <v>756</v>
      </c>
      <c r="K6772" s="30" t="n">
        <f aca="false">rent_ext_f</f>
        <v>756</v>
      </c>
      <c r="L6772" s="1" t="s">
        <v>957</v>
      </c>
    </row>
    <row r="6773" customFormat="false" ht="17.15" hidden="false" customHeight="false" outlineLevel="0" collapsed="false">
      <c r="A6773" s="1" t="s">
        <v>958</v>
      </c>
      <c r="B6773" s="0" t="s">
        <v>459</v>
      </c>
      <c r="C6773" s="30" t="n">
        <f aca="false">Sens!C6771-Sens!C6772</f>
        <v>490</v>
      </c>
      <c r="D6773" s="30" t="n">
        <f aca="false">Sens!D6771-Sens!D6772</f>
        <v>1230</v>
      </c>
      <c r="E6773" s="30" t="n">
        <f aca="false">Sens!E6771-Sens!E6772</f>
        <v>2700</v>
      </c>
      <c r="F6773" s="30" t="n">
        <f aca="false">Sens!F6771-Sens!F6772</f>
        <v>5220.5351</v>
      </c>
      <c r="G6773" s="30" t="n">
        <f aca="false">Sens!G6771-Sens!G6772</f>
        <v>7947.0702</v>
      </c>
      <c r="H6773" s="30" t="n">
        <f aca="false">Sens!H6771-Sens!H6772</f>
        <v>10673.6053</v>
      </c>
      <c r="I6773" s="30" t="n">
        <f aca="false">Sens!I6771-Sens!I6772</f>
        <v>12605.5914196667</v>
      </c>
      <c r="J6773" s="30" t="n">
        <f aca="false">Sens!J6771-Sens!J6772</f>
        <v>13781.6682813933</v>
      </c>
      <c r="K6773" s="30" t="n">
        <f aca="false">Sens!K6771-Sens!K6772</f>
        <v>14217.7983298351</v>
      </c>
    </row>
    <row r="6774" customFormat="false" ht="17.15" hidden="false" customHeight="false" outlineLevel="0" collapsed="false">
      <c r="A6774" s="1" t="s">
        <v>959</v>
      </c>
      <c r="B6774" s="0" t="s">
        <v>459</v>
      </c>
      <c r="C6774" s="30" t="n">
        <f aca="false">Sens!C6773/ext_sh</f>
        <v>816.666666666667</v>
      </c>
      <c r="D6774" s="30" t="n">
        <f aca="false">Sens!D6773/ext_sh</f>
        <v>2050</v>
      </c>
      <c r="E6774" s="30" t="n">
        <f aca="false">Sens!E6773/ext_sh</f>
        <v>4500</v>
      </c>
      <c r="F6774" s="30" t="n">
        <f aca="false">Sens!F6773/ext_sh</f>
        <v>8700.89183333333</v>
      </c>
      <c r="G6774" s="30" t="n">
        <f aca="false">Sens!G6773/ext_sh</f>
        <v>13245.117</v>
      </c>
      <c r="H6774" s="30" t="n">
        <f aca="false">Sens!H6773/ext_sh</f>
        <v>17789.3421666667</v>
      </c>
      <c r="I6774" s="30" t="n">
        <f aca="false">Sens!I6773/ext_sh</f>
        <v>21009.3190327778</v>
      </c>
      <c r="J6774" s="30" t="n">
        <f aca="false">Sens!J6773/ext_sh</f>
        <v>22969.4471356556</v>
      </c>
      <c r="K6774" s="30" t="n">
        <f aca="false">Sens!K6773/ext_sh</f>
        <v>23696.3305497252</v>
      </c>
      <c r="L6774" s="1" t="s">
        <v>960</v>
      </c>
    </row>
    <row r="6775" customFormat="false" ht="17.15" hidden="false" customHeight="false" outlineLevel="0" collapsed="false">
      <c r="A6775" s="1" t="s">
        <v>961</v>
      </c>
      <c r="B6775" s="0" t="s">
        <v>459</v>
      </c>
      <c r="C6775" s="30" t="n">
        <f aca="false">Sens!C6774-Sens!C6773</f>
        <v>326.666666666667</v>
      </c>
      <c r="D6775" s="30" t="n">
        <f aca="false">Sens!D6774-Sens!D6773</f>
        <v>820</v>
      </c>
      <c r="E6775" s="30" t="n">
        <f aca="false">Sens!E6774-Sens!E6773</f>
        <v>1800</v>
      </c>
      <c r="F6775" s="30" t="n">
        <f aca="false">Sens!F6774-Sens!F6773</f>
        <v>3480.35673333333</v>
      </c>
      <c r="G6775" s="30" t="n">
        <f aca="false">Sens!G6774-Sens!G6773</f>
        <v>5298.0468</v>
      </c>
      <c r="H6775" s="30" t="n">
        <f aca="false">Sens!H6774-Sens!H6773</f>
        <v>7115.73686666667</v>
      </c>
      <c r="I6775" s="30" t="n">
        <f aca="false">Sens!I6774-Sens!I6773</f>
        <v>8403.72761311111</v>
      </c>
      <c r="J6775" s="30" t="n">
        <f aca="false">Sens!J6774-Sens!J6773</f>
        <v>9187.77885426222</v>
      </c>
      <c r="K6775" s="30" t="n">
        <f aca="false">Sens!K6774-Sens!K6773</f>
        <v>9478.53221989009</v>
      </c>
    </row>
    <row r="6776" customFormat="false" ht="17.15" hidden="false" customHeight="false" outlineLevel="0" collapsed="false">
      <c r="A6776" s="1" t="s">
        <v>962</v>
      </c>
      <c r="B6776" s="0" t="s">
        <v>459</v>
      </c>
      <c r="C6776" s="30" t="n">
        <f aca="false">Sens!C6774</f>
        <v>816.666666666667</v>
      </c>
      <c r="D6776" s="30" t="n">
        <f aca="false">Sens!D6774-Sens!C6774</f>
        <v>1233.33333333333</v>
      </c>
      <c r="E6776" s="30" t="n">
        <f aca="false">Sens!E6774-Sens!D6774</f>
        <v>2450</v>
      </c>
      <c r="F6776" s="30" t="n">
        <f aca="false">Sens!F6774-Sens!E6774</f>
        <v>4200.89183333333</v>
      </c>
      <c r="G6776" s="30" t="n">
        <f aca="false">Sens!G6774-Sens!F6774</f>
        <v>4544.22516666667</v>
      </c>
      <c r="H6776" s="30" t="n">
        <f aca="false">Sens!H6774-Sens!G6774</f>
        <v>4544.22516666667</v>
      </c>
      <c r="I6776" s="30" t="n">
        <f aca="false">Sens!I6774-Sens!H6774</f>
        <v>3219.97686611111</v>
      </c>
      <c r="J6776" s="30" t="n">
        <f aca="false">Sens!J6774-Sens!I6774</f>
        <v>1960.12810287778</v>
      </c>
      <c r="K6776" s="30" t="n">
        <f aca="false">Sens!K6774-Sens!J6774</f>
        <v>726.883414069667</v>
      </c>
    </row>
    <row r="6777" customFormat="false" ht="17.15" hidden="false" customHeight="false" outlineLevel="0" collapsed="false">
      <c r="A6777" s="1" t="s">
        <v>963</v>
      </c>
      <c r="B6777" s="0" t="s">
        <v>459</v>
      </c>
      <c r="D6777" s="30" t="n">
        <f aca="false">Sens!D6771-Sens!C6771</f>
        <v>990</v>
      </c>
      <c r="E6777" s="30" t="n">
        <f aca="false">Sens!E6771-Sens!D6771</f>
        <v>1620</v>
      </c>
      <c r="F6777" s="30" t="n">
        <f aca="false">Sens!F6771-Sens!E6771</f>
        <v>2726.5351</v>
      </c>
      <c r="G6777" s="30" t="n">
        <f aca="false">Sens!G6771-Sens!F6771</f>
        <v>2726.5351</v>
      </c>
      <c r="H6777" s="30" t="n">
        <f aca="false">Sens!H6771-Sens!G6771</f>
        <v>2726.5351</v>
      </c>
      <c r="I6777" s="30" t="n">
        <f aca="false">Sens!I6771-Sens!H6771</f>
        <v>1931.98611966667</v>
      </c>
      <c r="J6777" s="30" t="n">
        <f aca="false">Sens!J6771-Sens!I6771</f>
        <v>1176.07686172667</v>
      </c>
      <c r="K6777" s="30" t="n">
        <f aca="false">Sens!K6771-Sens!J6771</f>
        <v>436.130048441799</v>
      </c>
    </row>
    <row r="6778" customFormat="false" ht="17.15" hidden="false" customHeight="false" outlineLevel="0" collapsed="false">
      <c r="A6778" s="1" t="s">
        <v>964</v>
      </c>
      <c r="B6778" s="0" t="s">
        <v>459</v>
      </c>
      <c r="F6778" s="30" t="n">
        <f aca="false">Sens!F6797*ext_sh</f>
        <v>0</v>
      </c>
      <c r="G6778" s="30" t="n">
        <f aca="false">Sens!G6797*ext_sh</f>
        <v>0</v>
      </c>
      <c r="H6778" s="30" t="n">
        <f aca="false">Sens!H6797*ext_sh</f>
        <v>0</v>
      </c>
      <c r="I6778" s="30" t="n">
        <f aca="false">Sens!I6797*ext_sh</f>
        <v>490</v>
      </c>
      <c r="J6778" s="30" t="n">
        <f aca="false">Sens!J6797*ext_sh</f>
        <v>740</v>
      </c>
      <c r="K6778" s="30" t="n">
        <f aca="false">Sens!K6797*ext_sh</f>
        <v>1470</v>
      </c>
      <c r="L6778" s="1" t="s">
        <v>965</v>
      </c>
    </row>
    <row r="6779" customFormat="false" ht="17.15" hidden="false" customHeight="false" outlineLevel="0" collapsed="false">
      <c r="A6779" s="1" t="s">
        <v>966</v>
      </c>
      <c r="B6779" s="0" t="s">
        <v>459</v>
      </c>
      <c r="C6779" s="30" t="n">
        <f aca="false">mix_h*Sens!C6771</f>
        <v>128</v>
      </c>
      <c r="D6779" s="30" t="n">
        <f aca="false">mix_h*Sens!D6771</f>
        <v>326</v>
      </c>
      <c r="E6779" s="30" t="n">
        <f aca="false">mix_h*Sens!E6771</f>
        <v>650</v>
      </c>
      <c r="F6779" s="30" t="n">
        <f aca="false">Sens!E6779-Sens!F6778*mix_h</f>
        <v>650</v>
      </c>
      <c r="G6779" s="30" t="n">
        <f aca="false">Sens!F6779-Sens!G6778*mix_h</f>
        <v>650</v>
      </c>
      <c r="H6779" s="30" t="n">
        <f aca="false">Sens!G6779-Sens!H6778*mix_h</f>
        <v>650</v>
      </c>
      <c r="I6779" s="30" t="n">
        <f aca="false">Sens!H6779-Sens!I6778*mix_h</f>
        <v>552</v>
      </c>
      <c r="J6779" s="30" t="n">
        <f aca="false">Sens!I6779-Sens!J6778*mix_h</f>
        <v>404</v>
      </c>
      <c r="K6779" s="30" t="n">
        <f aca="false">Sens!J6779-Sens!K6778*mix_h</f>
        <v>110</v>
      </c>
    </row>
    <row r="6780" customFormat="false" ht="17.15" hidden="false" customHeight="false" outlineLevel="0" collapsed="false">
      <c r="A6780" s="1" t="s">
        <v>967</v>
      </c>
      <c r="B6780" s="0" t="s">
        <v>459</v>
      </c>
      <c r="C6780" s="30" t="n">
        <f aca="false">mix_g2*Sens!C6771</f>
        <v>288</v>
      </c>
      <c r="D6780" s="30" t="n">
        <f aca="false">mix_g2*Sens!D6771</f>
        <v>733.5</v>
      </c>
      <c r="E6780" s="30" t="n">
        <f aca="false">mix_g2*Sens!E6771</f>
        <v>1462.5</v>
      </c>
      <c r="F6780" s="30" t="n">
        <f aca="false">Sens!E6780-Sens!F6778*mix_g2</f>
        <v>1462.5</v>
      </c>
      <c r="G6780" s="30" t="n">
        <f aca="false">Sens!F6780-Sens!G6778*mix_g2</f>
        <v>1462.5</v>
      </c>
      <c r="H6780" s="30" t="n">
        <f aca="false">Sens!G6780-Sens!H6778*mix_g2</f>
        <v>1462.5</v>
      </c>
      <c r="I6780" s="30" t="n">
        <f aca="false">Sens!H6780-Sens!I6778*mix_g2</f>
        <v>1242</v>
      </c>
      <c r="J6780" s="30" t="n">
        <f aca="false">Sens!I6780-Sens!J6778*mix_g2</f>
        <v>909</v>
      </c>
      <c r="K6780" s="30" t="n">
        <f aca="false">Sens!J6780-Sens!K6778*mix_g2</f>
        <v>247.5</v>
      </c>
    </row>
    <row r="6781" customFormat="false" ht="17.15" hidden="false" customHeight="false" outlineLevel="0" collapsed="false">
      <c r="A6781" s="1" t="s">
        <v>968</v>
      </c>
      <c r="B6781" s="0" t="s">
        <v>459</v>
      </c>
      <c r="C6781" s="30" t="n">
        <f aca="false">mix_g3*Sens!C6771</f>
        <v>224</v>
      </c>
      <c r="D6781" s="30" t="n">
        <f aca="false">mix_g3*Sens!D6771</f>
        <v>570.5</v>
      </c>
      <c r="E6781" s="30" t="n">
        <f aca="false">mix_g3*Sens!E6771</f>
        <v>1137.5</v>
      </c>
      <c r="F6781" s="30" t="n">
        <f aca="false">Sens!E6781+(Sens!F6777+Sens!F6778)*(a_g3_27-nonnv*a_mai)-Sens!F6778*mix_g3</f>
        <v>2773.42106</v>
      </c>
      <c r="G6781" s="30" t="n">
        <f aca="false">Sens!F6781+(Sens!G6777+Sens!G6778)*(a_g3_28-nonnv*a_mai)-Sens!G6778*mix_g3</f>
        <v>3318.72808</v>
      </c>
      <c r="H6781" s="30" t="n">
        <f aca="false">Sens!G6781+(Sens!H6777+Sens!H6778)*(a_g3_29-nonnv*a_mai)-Sens!H6778*mix_g3</f>
        <v>3318.72808</v>
      </c>
      <c r="I6781" s="30" t="n">
        <f aca="false">Sens!H6781+(Sens!I6777+Sens!I6778)*(a_g3_29-nonnv*a_mai)-Sens!I6778*mix_g3</f>
        <v>3147.22808</v>
      </c>
      <c r="J6781" s="30" t="n">
        <f aca="false">Sens!I6781+(Sens!J6777+Sens!J6778)*(a_g3_29-nonnv*a_mai)-Sens!J6778*mix_g3</f>
        <v>2888.22808</v>
      </c>
      <c r="K6781" s="30" t="n">
        <f aca="false">Sens!J6781+(Sens!K6777+Sens!K6778)*(a_g3_29-nonnv*a_mai)-Sens!K6778*mix_g3</f>
        <v>2373.72808</v>
      </c>
    </row>
    <row r="6782" customFormat="false" ht="17.15" hidden="false" customHeight="false" outlineLevel="0" collapsed="false">
      <c r="A6782" s="1" t="s">
        <v>969</v>
      </c>
      <c r="B6782" s="0" t="s">
        <v>459</v>
      </c>
      <c r="C6782" s="30" t="n">
        <v>0</v>
      </c>
      <c r="D6782" s="30" t="n">
        <v>0</v>
      </c>
      <c r="E6782" s="30" t="n">
        <v>0</v>
      </c>
      <c r="F6782" s="30" t="n">
        <f aca="false">Sens!E6782+(Sens!F6777+Sens!F6778)*nonnv*a_mai</f>
        <v>272.65351</v>
      </c>
      <c r="G6782" s="30" t="n">
        <f aca="false">Sens!F6782+(Sens!G6777+Sens!G6778)*nonnv*a_mai</f>
        <v>545.30702</v>
      </c>
      <c r="H6782" s="30" t="n">
        <f aca="false">Sens!G6782+(Sens!H6777+Sens!H6778)*nonnv*a_mai</f>
        <v>817.96053</v>
      </c>
      <c r="I6782" s="30" t="n">
        <f aca="false">Sens!H6782+(Sens!I6777+Sens!I6778)*nonnv*a_mai</f>
        <v>1060.15914196667</v>
      </c>
      <c r="J6782" s="30" t="n">
        <f aca="false">Sens!I6782+(Sens!J6777+Sens!J6778)*nonnv*a_mai</f>
        <v>1251.76682813933</v>
      </c>
      <c r="K6782" s="30" t="n">
        <f aca="false">Sens!J6782+(Sens!K6777+Sens!K6778)*nonnv*a_mai</f>
        <v>1442.37983298351</v>
      </c>
      <c r="L6782" s="12" t="s">
        <v>970</v>
      </c>
    </row>
    <row r="6783" customFormat="false" ht="17.15" hidden="false" customHeight="false" outlineLevel="0" collapsed="false">
      <c r="A6783" s="1" t="s">
        <v>971</v>
      </c>
      <c r="B6783" s="0" t="s">
        <v>459</v>
      </c>
      <c r="C6783" s="30" t="n">
        <v>0</v>
      </c>
      <c r="D6783" s="30" t="n">
        <v>0</v>
      </c>
      <c r="E6783" s="30" t="n">
        <v>0</v>
      </c>
      <c r="F6783" s="30" t="n">
        <f aca="false">Sens!E6783+(Sens!F6777+Sens!F6778)*(1-a_g3_27)</f>
        <v>817.96053</v>
      </c>
      <c r="G6783" s="30" t="n">
        <f aca="false">Sens!F6783+(Sens!G6777+Sens!G6778)*(1-a_g3_28)</f>
        <v>2726.5351</v>
      </c>
      <c r="H6783" s="30" t="n">
        <f aca="false">Sens!G6783+(Sens!H6777+Sens!H6778)*(1-a_g3_29)</f>
        <v>5180.41669</v>
      </c>
      <c r="I6783" s="30" t="n">
        <f aca="false">Sens!H6783+(Sens!I6777+Sens!I6778)*(1-a_g3_29)</f>
        <v>7360.2041977</v>
      </c>
      <c r="J6783" s="30" t="n">
        <f aca="false">Sens!I6783+(Sens!J6777+Sens!J6778)*(1-a_g3_29)</f>
        <v>9084.673373254</v>
      </c>
      <c r="K6783" s="30" t="n">
        <f aca="false">Sens!J6783+(Sens!K6777+Sens!K6778)*(1-a_g3_29)</f>
        <v>10800.1904168516</v>
      </c>
    </row>
    <row r="6784" customFormat="false" ht="17.15" hidden="false" customHeight="false" outlineLevel="0" collapsed="false">
      <c r="A6784" s="1" t="s">
        <v>972</v>
      </c>
      <c r="B6784" s="0" t="s">
        <v>403</v>
      </c>
      <c r="C6784" s="15" t="n">
        <f aca="false">(Sens!C6779*tk_hold_h100+Sens!C6780*tk_hold_gb200+Sens!C6781*tk_hold_gb300+Sens!C6783*tk_hold_vr200+Sens!C6782*nv_hold_mai*tk_hold_vr200)/Sens!C6771</f>
        <v>9.7235358126469</v>
      </c>
      <c r="D6784" s="15" t="n">
        <f aca="false">(Sens!D6779*tk_hold_h100+Sens!D6780*tk_hold_gb200+Sens!D6781*tk_hold_gb300+Sens!D6783*tk_hold_vr200+Sens!D6782*nv_hold_mai*tk_hold_vr200)/Sens!D6771</f>
        <v>9.7235358126469</v>
      </c>
      <c r="E6784" s="15" t="n">
        <f aca="false">(Sens!E6779*tk_hold_h100+Sens!E6780*tk_hold_gb200+Sens!E6781*tk_hold_gb300+Sens!E6783*tk_hold_vr200+Sens!E6782*nv_hold_mai*tk_hold_vr200)/Sens!E6771</f>
        <v>9.7235358126469</v>
      </c>
      <c r="F6784" s="15" t="n">
        <f aca="false">(Sens!F6779*tk_hold_h100+Sens!F6780*tk_hold_gb200+Sens!F6781*tk_hold_gb300+Sens!F6783*tk_hold_vr200+Sens!F6782*nv_hold_mai*tk_hold_vr200)/Sens!F6771</f>
        <v>10.2195353876665</v>
      </c>
      <c r="G6784" s="15" t="n">
        <f aca="false">(Sens!G6779*tk_hold_h100+Sens!G6780*tk_hold_gb200+Sens!G6781*tk_hold_gb300+Sens!G6783*tk_hold_vr200+Sens!G6782*nv_hold_mai*tk_hold_vr200)/Sens!G6771</f>
        <v>10.5725598017306</v>
      </c>
      <c r="H6784" s="15" t="n">
        <f aca="false">(Sens!H6779*tk_hold_h100+Sens!H6780*tk_hold_gb200+Sens!H6781*tk_hold_gb300+Sens!H6783*tk_hold_vr200+Sens!H6782*nv_hold_mai*tk_hold_vr200)/Sens!H6771</f>
        <v>10.8210427149036</v>
      </c>
      <c r="I6784" s="15" t="n">
        <f aca="false">(Sens!I6779*tk_hold_h100+Sens!I6780*tk_hold_gb200+Sens!I6781*tk_hold_gb300+Sens!I6783*tk_hold_vr200+Sens!I6782*nv_hold_mai*tk_hold_vr200)/Sens!I6771</f>
        <v>11.0050618241982</v>
      </c>
      <c r="J6784" s="15" t="n">
        <f aca="false">(Sens!J6779*tk_hold_h100+Sens!J6780*tk_hold_gb200+Sens!J6781*tk_hold_gb300+Sens!J6783*tk_hold_vr200+Sens!J6782*nv_hold_mai*tk_hold_vr200)/Sens!J6771</f>
        <v>11.1505789658881</v>
      </c>
      <c r="K6784" s="15" t="n">
        <f aca="false">(Sens!K6779*tk_hold_h100+Sens!K6780*tk_hold_gb200+Sens!K6781*tk_hold_gb300+Sens!K6783*tk_hold_vr200+Sens!K6782*nv_hold_mai*tk_hold_vr200)/Sens!K6771</f>
        <v>11.3496914757183</v>
      </c>
      <c r="L6784" s="1" t="s">
        <v>973</v>
      </c>
    </row>
    <row r="6785" customFormat="false" ht="17.15" hidden="false" customHeight="false" outlineLevel="0" collapsed="false">
      <c r="A6785" s="1" t="s">
        <v>974</v>
      </c>
      <c r="B6785" s="0" t="s">
        <v>403</v>
      </c>
      <c r="C6785" s="15" t="n">
        <f aca="false">(Sens!C6779*tk_hold_h100+Sens!C6780*tk_hold_gb200+Sens!C6781*tk_hold_gb300+Sens!C6783*tk_hold_vr200+Sens!C6782*nv_out_mai*tk_hold_vr200)/Sens!C6771</f>
        <v>9.7235358126469</v>
      </c>
      <c r="D6785" s="15" t="n">
        <f aca="false">(Sens!D6779*tk_hold_h100+Sens!D6780*tk_hold_gb200+Sens!D6781*tk_hold_gb300+Sens!D6783*tk_hold_vr200+Sens!D6782*nv_out_mai*tk_hold_vr200)/Sens!D6771</f>
        <v>9.7235358126469</v>
      </c>
      <c r="E6785" s="15" t="n">
        <f aca="false">(Sens!E6779*tk_hold_h100+Sens!E6780*tk_hold_gb200+Sens!E6781*tk_hold_gb300+Sens!E6783*tk_hold_vr200+Sens!E6782*nv_out_mai*tk_hold_vr200)/Sens!E6771</f>
        <v>9.7235358126469</v>
      </c>
      <c r="F6785" s="15" t="n">
        <f aca="false">(Sens!F6779*tk_hold_h100+Sens!F6780*tk_hold_gb200+Sens!F6781*tk_hold_gb300+Sens!F6783*tk_hold_vr200+Sens!F6782*nv_out_mai*tk_hold_vr200)/Sens!F6771</f>
        <v>10.247422093969</v>
      </c>
      <c r="G6785" s="15" t="n">
        <f aca="false">(Sens!G6779*tk_hold_h100+Sens!G6780*tk_hold_gb200+Sens!G6781*tk_hold_gb300+Sens!G6783*tk_hold_vr200+Sens!G6782*nv_out_mai*tk_hold_vr200)/Sens!G6771</f>
        <v>10.6108602808053</v>
      </c>
      <c r="H6785" s="15" t="n">
        <f aca="false">(Sens!H6779*tk_hold_h100+Sens!H6780*tk_hold_gb200+Sens!H6781*tk_hold_gb300+Sens!H6783*tk_hold_vr200+Sens!H6782*nv_out_mai*tk_hold_vr200)/Sens!H6771</f>
        <v>10.8647885507393</v>
      </c>
      <c r="I6785" s="15" t="n">
        <f aca="false">(Sens!I6779*tk_hold_h100+Sens!I6780*tk_hold_gb200+Sens!I6781*tk_hold_gb300+Sens!I6783*tk_hold_vr200+Sens!I6782*nv_out_mai*tk_hold_vr200)/Sens!I6771</f>
        <v>11.0535625770025</v>
      </c>
      <c r="J6785" s="15" t="n">
        <f aca="false">(Sens!J6779*tk_hold_h100+Sens!J6780*tk_hold_gb200+Sens!J6781*tk_hold_gb300+Sens!J6783*tk_hold_vr200+Sens!J6782*nv_out_mai*tk_hold_vr200)/Sens!J6771</f>
        <v>11.2032127128058</v>
      </c>
      <c r="K6785" s="15" t="n">
        <f aca="false">(Sens!K6779*tk_hold_h100+Sens!K6780*tk_hold_gb200+Sens!K6781*tk_hold_gb300+Sens!K6783*tk_hold_vr200+Sens!K6782*nv_out_mai*tk_hold_vr200)/Sens!K6771</f>
        <v>11.4085735724225</v>
      </c>
      <c r="L6785" s="12" t="s">
        <v>975</v>
      </c>
    </row>
    <row r="6786" customFormat="false" ht="17.15" hidden="false" customHeight="false" outlineLevel="0" collapsed="false">
      <c r="A6786" s="0" t="s">
        <v>976</v>
      </c>
      <c r="B6786" s="0" t="s">
        <v>229</v>
      </c>
      <c r="C6786" s="15" t="n">
        <f aca="false">k_B</f>
        <v>1.17213932619116</v>
      </c>
      <c r="D6786" s="15" t="n">
        <f aca="false">k_B</f>
        <v>1.17213932619116</v>
      </c>
      <c r="E6786" s="15" t="n">
        <f aca="false">k_B</f>
        <v>1.17213932619116</v>
      </c>
      <c r="F6786" s="15" t="n">
        <f aca="false">(k_B+((ls_A*k_long+(1-ls_A)*k_spot)-k_B)*MIN(1,(Sens!F6769-base_fy)/k_ramp))</f>
        <v>1.25022828131298</v>
      </c>
      <c r="G6786" s="15" t="n">
        <f aca="false">(k_B+((ls_A*k_long+(1-ls_A)*k_spot)-k_B)*MIN(1,(Sens!G6769-base_fy)/k_ramp))</f>
        <v>1.3283172364348</v>
      </c>
      <c r="H6786" s="15" t="n">
        <f aca="false">(k_B+((ls_A*k_long+(1-ls_A)*k_spot)-k_B)*MIN(1,(Sens!H6769-base_fy)/k_ramp))</f>
        <v>1.40640619155662</v>
      </c>
      <c r="I6786" s="15" t="n">
        <f aca="false">(k_B+((ls_A*k_long+(1-ls_A)*k_spot)-k_B)*MIN(1,(Sens!I6769-base_fy)/k_ramp))</f>
        <v>1.40640619155662</v>
      </c>
      <c r="J6786" s="15" t="n">
        <f aca="false">(k_B+((ls_A*k_long+(1-ls_A)*k_spot)-k_B)*MIN(1,(Sens!J6769-base_fy)/k_ramp))</f>
        <v>1.40640619155662</v>
      </c>
      <c r="K6786" s="15" t="n">
        <f aca="false">(k_B+((ls_A*k_long+(1-ls_A)*k_spot)-k_B)*MIN(1,(Sens!K6769-base_fy)/k_ramp))</f>
        <v>1.40640619155662</v>
      </c>
      <c r="L6786" s="1" t="s">
        <v>977</v>
      </c>
    </row>
    <row r="6787" customFormat="false" ht="17.15" hidden="false" customHeight="false" outlineLevel="0" collapsed="false">
      <c r="A6787" s="1" t="s">
        <v>978</v>
      </c>
      <c r="B6787" s="0" t="s">
        <v>403</v>
      </c>
      <c r="C6787" s="15" t="n">
        <f aca="false">Sens!C6785*Sens!C6786*chip_f</f>
        <v>11.3973387156315</v>
      </c>
      <c r="D6787" s="15" t="n">
        <f aca="false">Sens!D6785*Sens!D6786*chip_f</f>
        <v>11.3973387156315</v>
      </c>
      <c r="E6787" s="15" t="n">
        <f aca="false">Sens!E6785*Sens!E6786*chip_f</f>
        <v>11.3973387156315</v>
      </c>
      <c r="F6787" s="15" t="n">
        <f aca="false">Sens!F6785*Sens!F6786*chip_f</f>
        <v>12.8116169124314</v>
      </c>
      <c r="G6787" s="15" t="n">
        <f aca="false">Sens!G6785*Sens!G6786*chip_f</f>
        <v>14.094588604395</v>
      </c>
      <c r="H6787" s="15" t="n">
        <f aca="false">Sens!H6785*Sens!H6786*chip_f</f>
        <v>15.2803058877132</v>
      </c>
      <c r="I6787" s="15" t="n">
        <f aca="false">Sens!I6785*Sens!I6786*chip_f</f>
        <v>15.5457988470549</v>
      </c>
      <c r="J6787" s="15" t="n">
        <f aca="false">Sens!J6785*Sens!J6786*chip_f</f>
        <v>15.7562677246158</v>
      </c>
      <c r="K6787" s="15" t="n">
        <f aca="false">Sens!K6785*Sens!K6786*chip_f</f>
        <v>16.0450885090842</v>
      </c>
      <c r="L6787" s="1" t="s">
        <v>979</v>
      </c>
    </row>
    <row r="6788" customFormat="false" ht="17.15" hidden="false" customHeight="false" outlineLevel="0" collapsed="false">
      <c r="A6788" s="0" t="s">
        <v>980</v>
      </c>
      <c r="B6788" s="0" t="s">
        <v>98</v>
      </c>
      <c r="D6788" s="6" t="n">
        <f aca="false">(Sens!C6771+Sens!D6771)/2*Sens!D6787/1000</f>
        <v>12.9359794422418</v>
      </c>
      <c r="E6788" s="6" t="n">
        <f aca="false">(Sens!D6771+Sens!E6771)/2*Sens!E6787/1000</f>
        <v>27.8095064661409</v>
      </c>
      <c r="F6788" s="6" t="n">
        <f aca="false">(Sens!E6771+Sens!F6771)/2*Sens!F6787/1000</f>
        <v>59.1034165651511</v>
      </c>
      <c r="G6788" s="6" t="n">
        <f aca="false">(Sens!F6771+Sens!G6771)/2*Sens!G6787/1000</f>
        <v>103.451498789198</v>
      </c>
      <c r="H6788" s="6" t="n">
        <f aca="false">(Sens!G6771+Sens!H6771)/2*Sens!H6787/1000</f>
        <v>153.816719989035</v>
      </c>
      <c r="I6788" s="6" t="n">
        <f aca="false">(Sens!H6771+Sens!I6771)/2*Sens!I6787/1000</f>
        <v>192.699478690852</v>
      </c>
      <c r="J6788" s="6" t="n">
        <f aca="false">(Sens!I6771+Sens!J6771)/2*Sens!J6787/1000</f>
        <v>219.794102584244</v>
      </c>
      <c r="K6788" s="6" t="n">
        <f aca="false">(Sens!J6771+Sens!K6771)/2*Sens!K6787/1000</f>
        <v>236.757046905022</v>
      </c>
      <c r="L6788" s="12" t="s">
        <v>981</v>
      </c>
    </row>
    <row r="6789" customFormat="false" ht="17.15" hidden="false" customHeight="false" outlineLevel="0" collapsed="false">
      <c r="A6789" s="1" t="s">
        <v>982</v>
      </c>
      <c r="B6789" s="0" t="s">
        <v>403</v>
      </c>
      <c r="C6789" s="15" t="n">
        <f aca="false">(Sens!C6779*tk_opex_h100+Sens!C6780*tk_opex_gb200+Sens!C6781*tk_opex_gb300+(Sens!C6783+Sens!C6782)*tk_opex_vr200)/Sens!C6771</f>
        <v>1.88636041306092</v>
      </c>
      <c r="D6789" s="15" t="n">
        <f aca="false">(Sens!D6779*tk_opex_h100+Sens!D6780*tk_opex_gb200+Sens!D6781*tk_opex_gb300+(Sens!D6783+Sens!D6782)*tk_opex_vr200)/Sens!D6771</f>
        <v>1.88636041306092</v>
      </c>
      <c r="E6789" s="15" t="n">
        <f aca="false">(Sens!E6779*tk_opex_h100+Sens!E6780*tk_opex_gb200+Sens!E6781*tk_opex_gb300+(Sens!E6783+Sens!E6782)*tk_opex_vr200)/Sens!E6771</f>
        <v>1.88636041306092</v>
      </c>
      <c r="F6789" s="15" t="n">
        <f aca="false">(Sens!F6779*tk_opex_h100+Sens!F6780*tk_opex_gb200+Sens!F6781*tk_opex_gb300+(Sens!F6783+Sens!F6782)*tk_opex_vr200)/Sens!F6771</f>
        <v>1.95051159746876</v>
      </c>
      <c r="G6789" s="15" t="n">
        <f aca="false">(Sens!G6779*tk_opex_h100+Sens!G6780*tk_opex_gb200+Sens!G6781*tk_opex_gb300+(Sens!G6783+Sens!G6782)*tk_opex_vr200)/Sens!G6771</f>
        <v>1.98836003669956</v>
      </c>
      <c r="H6789" s="15" t="n">
        <f aca="false">(Sens!H6779*tk_opex_h100+Sens!H6780*tk_opex_gb200+Sens!H6781*tk_opex_gb300+(Sens!H6783+Sens!H6782)*tk_opex_vr200)/Sens!H6771</f>
        <v>2.01344013834343</v>
      </c>
      <c r="I6789" s="15" t="n">
        <f aca="false">(Sens!I6779*tk_opex_h100+Sens!I6780*tk_opex_gb200+Sens!I6781*tk_opex_gb300+(Sens!I6783+Sens!I6782)*tk_opex_vr200)/Sens!I6771</f>
        <v>2.03261166882178</v>
      </c>
      <c r="J6789" s="15" t="n">
        <f aca="false">(Sens!J6779*tk_opex_h100+Sens!J6780*tk_opex_gb200+Sens!J6781*tk_opex_gb300+(Sens!J6783+Sens!J6782)*tk_opex_vr200)/Sens!J6771</f>
        <v>2.04808073288745</v>
      </c>
      <c r="K6789" s="15" t="n">
        <f aca="false">(Sens!K6779*tk_opex_h100+Sens!K6780*tk_opex_gb200+Sens!K6781*tk_opex_gb300+(Sens!K6783+Sens!K6782)*tk_opex_vr200)/Sens!K6771</f>
        <v>2.06973825807449</v>
      </c>
      <c r="L6789" s="12" t="s">
        <v>983</v>
      </c>
    </row>
    <row r="6790" customFormat="false" ht="17.15" hidden="false" customHeight="false" outlineLevel="0" collapsed="false">
      <c r="A6790" s="0" t="s">
        <v>984</v>
      </c>
      <c r="B6790" s="0" t="s">
        <v>98</v>
      </c>
      <c r="D6790" s="6" t="n">
        <f aca="false">(Sens!C6774+Sens!D6774)/2*Sens!D6789/1000</f>
        <v>2.70378325872065</v>
      </c>
      <c r="E6790" s="6" t="n">
        <f aca="false">(Sens!D6774+Sens!E6774)/2*Sens!E6789/1000</f>
        <v>6.17783035277451</v>
      </c>
      <c r="F6790" s="6" t="n">
        <f aca="false">(Sens!E6774+Sens!F6774)/2*Sens!F6789/1000</f>
        <v>12.8742463089237</v>
      </c>
      <c r="G6790" s="6" t="n">
        <f aca="false">(Sens!F6774+Sens!G6774)/2*Sens!G6789/1000</f>
        <v>21.8182834646277</v>
      </c>
      <c r="H6790" s="6" t="n">
        <f aca="false">(Sens!G6774+Sens!H6774)/2*Sens!H6789/1000</f>
        <v>31.2430128789734</v>
      </c>
      <c r="I6790" s="6" t="n">
        <f aca="false">(Sens!H6774+Sens!I6774)/2*Sens!I6789/1000</f>
        <v>39.4313057443268</v>
      </c>
      <c r="J6790" s="6" t="n">
        <f aca="false">(Sens!I6774+Sens!J6774)/2*Sens!J6789/1000</f>
        <v>45.0360318228653</v>
      </c>
      <c r="K6790" s="6" t="n">
        <f aca="false">(Sens!J6774+Sens!K6774)/2*Sens!K6789/1000</f>
        <v>48.2929727091156</v>
      </c>
    </row>
    <row r="6791" customFormat="false" ht="17.15" hidden="false" customHeight="false" outlineLevel="0" collapsed="false">
      <c r="A6791" s="0" t="s">
        <v>985</v>
      </c>
      <c r="B6791" s="0" t="s">
        <v>98</v>
      </c>
      <c r="D6791" s="6" t="n">
        <f aca="false">(Sens!C6772+Sens!D6772)/2*rent_mw/1000</f>
        <v>2.44475</v>
      </c>
      <c r="E6791" s="6" t="n">
        <f aca="false">(Sens!D6772+Sens!E6772)/2*rent_mw/1000</f>
        <v>4.22275</v>
      </c>
      <c r="F6791" s="6" t="n">
        <f aca="false">(Sens!E6772+Sens!F6772)/2*rent_mw/1000</f>
        <v>5.80517</v>
      </c>
      <c r="G6791" s="6" t="n">
        <f aca="false">(Sens!F6772+Sens!G6772)/2*rent_mw/1000</f>
        <v>6.72084</v>
      </c>
      <c r="H6791" s="6" t="n">
        <f aca="false">(Sens!G6772+Sens!H6772)/2*rent_mw/1000</f>
        <v>6.72084</v>
      </c>
      <c r="I6791" s="6" t="n">
        <f aca="false">(Sens!H6772+Sens!I6772)/2*rent_mw/1000</f>
        <v>6.72084</v>
      </c>
      <c r="J6791" s="6" t="n">
        <f aca="false">(Sens!I6772+Sens!J6772)/2*rent_mw/1000</f>
        <v>6.72084</v>
      </c>
      <c r="K6791" s="6" t="n">
        <f aca="false">(Sens!J6772+Sens!K6772)/2*rent_mw/1000</f>
        <v>6.72084</v>
      </c>
    </row>
    <row r="6792" customFormat="false" ht="17.15" hidden="false" customHeight="false" outlineLevel="0" collapsed="false">
      <c r="A6792" s="0" t="s">
        <v>986</v>
      </c>
      <c r="B6792" s="0" t="s">
        <v>98</v>
      </c>
      <c r="D6792" s="6" t="n">
        <f aca="false">(Sens!C6774+Sens!D6774)/2*(1-self_build)*fac_rent/1000</f>
        <v>0.853242375631075</v>
      </c>
      <c r="E6792" s="6" t="n">
        <f aca="false">(Sens!D6774+Sens!E6774)/2*(1-self_build)*fac_rent/1000</f>
        <v>1.94955961408728</v>
      </c>
      <c r="F6792" s="6" t="n">
        <f aca="false">(Sens!E6774+Sens!F6774)/2*(1-self_build)*fac_rent/1000</f>
        <v>3.92914894476356</v>
      </c>
      <c r="G6792" s="6" t="n">
        <f aca="false">(Sens!F6774+Sens!G6774)/2*(1-self_build)*fac_rent/1000</f>
        <v>6.53206908578159</v>
      </c>
      <c r="H6792" s="6" t="n">
        <f aca="false">(Sens!G6774+Sens!H6774)/2*(1-self_build)*fac_rent/1000</f>
        <v>9.23717988341591</v>
      </c>
      <c r="I6792" s="6" t="n">
        <f aca="false">(Sens!H6774+Sens!I6774)/2*(1-self_build)*fac_rent/1000</f>
        <v>11.5481378557393</v>
      </c>
      <c r="J6792" s="6" t="n">
        <f aca="false">(Sens!I6774+Sens!J6774)/2*(1-self_build)*fac_rent/1000</f>
        <v>13.0899582289108</v>
      </c>
      <c r="K6792" s="6" t="n">
        <f aca="false">(Sens!J6774+Sens!K6774)/2*(1-self_build)*fac_rent/1000</f>
        <v>13.8897275626556</v>
      </c>
      <c r="L6792" s="12" t="s">
        <v>987</v>
      </c>
    </row>
    <row r="6793" customFormat="false" ht="17.15" hidden="false" customHeight="false" outlineLevel="0" collapsed="false">
      <c r="A6793" s="1" t="s">
        <v>988</v>
      </c>
      <c r="B6793" s="0" t="s">
        <v>168</v>
      </c>
      <c r="D6793" s="7" t="n">
        <f aca="false">(Sens!C6773+Sens!D6773)/(Sens!C6774+Sens!D6774)</f>
        <v>0.6</v>
      </c>
      <c r="E6793" s="7" t="n">
        <f aca="false">(Sens!D6773+Sens!E6773)/(Sens!D6774+Sens!E6774)</f>
        <v>0.6</v>
      </c>
      <c r="F6793" s="7" t="n">
        <f aca="false">(Sens!E6773+Sens!F6773)/(Sens!E6774+Sens!F6774)</f>
        <v>0.6</v>
      </c>
      <c r="G6793" s="7" t="n">
        <f aca="false">(Sens!F6773+Sens!G6773)/(Sens!F6774+Sens!G6774)</f>
        <v>0.6</v>
      </c>
      <c r="H6793" s="7" t="n">
        <f aca="false">(Sens!G6773+Sens!H6773)/(Sens!G6774+Sens!H6774)</f>
        <v>0.6</v>
      </c>
      <c r="I6793" s="7" t="n">
        <f aca="false">(Sens!H6773+Sens!I6773)/(Sens!H6774+Sens!I6774)</f>
        <v>0.6</v>
      </c>
      <c r="J6793" s="7" t="n">
        <f aca="false">(Sens!I6773+Sens!J6773)/(Sens!I6774+Sens!J6774)</f>
        <v>0.6</v>
      </c>
      <c r="K6793" s="7" t="n">
        <f aca="false">(Sens!J6773+Sens!K6773)/(Sens!J6774+Sens!K6774)</f>
        <v>0.6</v>
      </c>
    </row>
    <row r="6794" customFormat="false" ht="17.15" hidden="false" customHeight="false" outlineLevel="0" collapsed="false">
      <c r="A6794" s="0" t="s">
        <v>989</v>
      </c>
      <c r="B6794" s="0" t="s">
        <v>98</v>
      </c>
      <c r="D6794" s="6" t="n">
        <f aca="false">Sens!D6788-Sens!D6793*(Sens!D6790+Sens!D6792)-Sens!D6791</f>
        <v>8.35701406163072</v>
      </c>
      <c r="E6794" s="6" t="n">
        <f aca="false">Sens!E6788-Sens!E6793*(Sens!E6790+Sens!E6792)-Sens!E6791</f>
        <v>18.7103224860238</v>
      </c>
      <c r="F6794" s="6" t="n">
        <f aca="false">Sens!F6788-Sens!F6793*(Sens!F6790+Sens!F6792)-Sens!F6791</f>
        <v>43.2162094129388</v>
      </c>
      <c r="G6794" s="6" t="n">
        <f aca="false">Sens!G6788-Sens!G6793*(Sens!G6790+Sens!G6792)-Sens!G6791</f>
        <v>79.7204472589529</v>
      </c>
      <c r="H6794" s="6" t="n">
        <f aca="false">Sens!H6788-Sens!H6793*(Sens!H6790+Sens!H6792)-Sens!H6791</f>
        <v>122.807764331602</v>
      </c>
      <c r="I6794" s="6" t="n">
        <f aca="false">Sens!I6788-Sens!I6793*(Sens!I6790+Sens!I6792)-Sens!I6791</f>
        <v>155.390972530813</v>
      </c>
      <c r="J6794" s="6" t="n">
        <f aca="false">Sens!J6788-Sens!J6793*(Sens!J6790+Sens!J6792)-Sens!J6791</f>
        <v>178.197668553178</v>
      </c>
      <c r="K6794" s="6" t="n">
        <f aca="false">Sens!K6788-Sens!K6793*(Sens!K6790+Sens!K6792)-Sens!K6791</f>
        <v>192.726586741959</v>
      </c>
    </row>
    <row r="6795" customFormat="false" ht="17.15" hidden="false" customHeight="false" outlineLevel="0" collapsed="false">
      <c r="A6795" s="1" t="s">
        <v>990</v>
      </c>
      <c r="B6795" s="0" t="s">
        <v>98</v>
      </c>
      <c r="D6795" s="6" t="n">
        <f aca="false">(1-Sens!D6793)*(Sens!D6790+Sens!D6792)</f>
        <v>1.42281025374069</v>
      </c>
      <c r="E6795" s="6" t="n">
        <f aca="false">(1-Sens!E6793)*(Sens!E6790+Sens!E6792)</f>
        <v>3.25095598674472</v>
      </c>
      <c r="F6795" s="6" t="n">
        <f aca="false">(1-Sens!F6793)*(Sens!F6790+Sens!F6792)</f>
        <v>6.72135810147489</v>
      </c>
      <c r="G6795" s="6" t="n">
        <f aca="false">(1-Sens!G6793)*(Sens!G6790+Sens!G6792)</f>
        <v>11.3401410201637</v>
      </c>
      <c r="H6795" s="6" t="n">
        <f aca="false">(1-Sens!H6793)*(Sens!H6790+Sens!H6792)</f>
        <v>16.1920771049557</v>
      </c>
      <c r="I6795" s="6" t="n">
        <f aca="false">(1-Sens!I6793)*(Sens!I6790+Sens!I6792)</f>
        <v>20.3917774400264</v>
      </c>
      <c r="J6795" s="6" t="n">
        <f aca="false">(1-Sens!J6793)*(Sens!J6790+Sens!J6792)</f>
        <v>23.2503960207104</v>
      </c>
      <c r="K6795" s="6" t="n">
        <f aca="false">(1-Sens!K6793)*(Sens!K6790+Sens!K6792)</f>
        <v>24.8730801087085</v>
      </c>
    </row>
    <row r="6796" customFormat="false" ht="17.15" hidden="false" customHeight="false" outlineLevel="0" collapsed="false">
      <c r="A6796" s="1" t="s">
        <v>991</v>
      </c>
      <c r="B6796" s="0" t="s">
        <v>417</v>
      </c>
      <c r="C6796" s="8" t="n">
        <f aca="false">cxit_open</f>
        <v>27.5918995</v>
      </c>
      <c r="D6796" s="8" t="n">
        <f aca="false">cxit_open</f>
        <v>27.5918995</v>
      </c>
      <c r="E6796" s="8" t="n">
        <f aca="false">cxit_open</f>
        <v>27.5918995</v>
      </c>
      <c r="F6796" s="8" t="n">
        <f aca="false">((a_g3_27-nonnv*a_mai)*tk_cxit_gb300+nonnv*a_mai*nv_hold_mai*tk_cxit_vr200+(1-a_g3_27)*tk_cxit_vr200)</f>
        <v>32.4975576</v>
      </c>
      <c r="G6796" s="8" t="n">
        <f aca="false">((a_g3_28-nonnv*a_mai)*tk_cxit_gb300+nonnv*a_mai*nv_hold_mai*tk_cxit_vr200+(1-a_g3_28)*tk_cxit_vr200)</f>
        <v>34.6372088</v>
      </c>
      <c r="H6796" s="8" t="n">
        <f aca="false">((a_g3_29-nonnv*a_mai)*tk_cxit_gb300+nonnv*a_mai*nv_hold_mai*tk_cxit_vr200+(1-a_g3_29)*tk_cxit_vr200)</f>
        <v>35.7070344</v>
      </c>
      <c r="I6796" s="8" t="n">
        <f aca="false">((a_g3_29-nonnv*a_mai)*tk_cxit_gb300+nonnv*a_mai*nv_hold_mai*tk_cxit_vr200+(1-a_g3_29)*tk_cxit_vr200)</f>
        <v>35.7070344</v>
      </c>
      <c r="J6796" s="8" t="n">
        <f aca="false">((a_g3_29-nonnv*a_mai)*tk_cxit_gb300+nonnv*a_mai*nv_hold_mai*tk_cxit_vr200+(1-a_g3_29)*tk_cxit_vr200)</f>
        <v>35.7070344</v>
      </c>
      <c r="K6796" s="8" t="n">
        <f aca="false">((a_g3_29-nonnv*a_mai)*tk_cxit_gb300+nonnv*a_mai*nv_hold_mai*tk_cxit_vr200+(1-a_g3_29)*tk_cxit_vr200)</f>
        <v>35.7070344</v>
      </c>
      <c r="L6796" s="12" t="s">
        <v>992</v>
      </c>
    </row>
    <row r="6797" customFormat="false" ht="17.15" hidden="false" customHeight="false" outlineLevel="0" collapsed="false">
      <c r="A6797" s="0" t="s">
        <v>993</v>
      </c>
      <c r="B6797" s="0" t="s">
        <v>459</v>
      </c>
      <c r="F6797" s="30" t="n">
        <f aca="false">Sens!C6776*IF(Sens!F6769-Sens!C6769=life_it,1,0)+Sens!D6776*IF(Sens!F6769-Sens!D6769=life_it,1,0)+Sens!E6776*IF(Sens!F6769-Sens!E6769=life_it,1,0)</f>
        <v>0</v>
      </c>
      <c r="G6797" s="30" t="n">
        <f aca="false">Sens!C6776*IF(Sens!G6769-Sens!C6769=life_it,1,0)+Sens!D6776*IF(Sens!G6769-Sens!D6769=life_it,1,0)+Sens!E6776*IF(Sens!G6769-Sens!E6769=life_it,1,0)+Sens!F6776*IF(Sens!G6769-Sens!F6769=life_it,1,0)</f>
        <v>0</v>
      </c>
      <c r="H6797" s="30" t="n">
        <f aca="false">Sens!C6776*IF(Sens!H6769-Sens!C6769=life_it,1,0)+Sens!D6776*IF(Sens!H6769-Sens!D6769=life_it,1,0)+Sens!E6776*IF(Sens!H6769-Sens!E6769=life_it,1,0)+Sens!F6776*IF(Sens!H6769-Sens!F6769=life_it,1,0)+Sens!G6776*IF(Sens!H6769-Sens!G6769=life_it,1,0)</f>
        <v>0</v>
      </c>
      <c r="I6797" s="30" t="n">
        <f aca="false">Sens!C6776*IF(Sens!I6769-Sens!C6769=life_it,1,0)+Sens!D6776*IF(Sens!I6769-Sens!D6769=life_it,1,0)+Sens!E6776*IF(Sens!I6769-Sens!E6769=life_it,1,0)+Sens!F6776*IF(Sens!I6769-Sens!F6769=life_it,1,0)+Sens!G6776*IF(Sens!I6769-Sens!G6769=life_it,1,0)+Sens!H6776*IF(Sens!I6769-Sens!H6769=life_it,1,0)</f>
        <v>816.666666666667</v>
      </c>
      <c r="J6797" s="30" t="n">
        <f aca="false">Sens!C6776*IF(Sens!J6769-Sens!C6769=life_it,1,0)+Sens!D6776*IF(Sens!J6769-Sens!D6769=life_it,1,0)+Sens!E6776*IF(Sens!J6769-Sens!E6769=life_it,1,0)+Sens!F6776*IF(Sens!J6769-Sens!F6769=life_it,1,0)+Sens!G6776*IF(Sens!J6769-Sens!G6769=life_it,1,0)+Sens!H6776*IF(Sens!J6769-Sens!H6769=life_it,1,0)+Sens!I6776*IF(Sens!J6769-Sens!I6769=life_it,1,0)</f>
        <v>1233.33333333333</v>
      </c>
      <c r="K6797" s="30" t="n">
        <f aca="false">Sens!C6776*IF(Sens!K6769-Sens!C6769=life_it,1,0)+Sens!D6776*IF(Sens!K6769-Sens!D6769=life_it,1,0)+Sens!E6776*IF(Sens!K6769-Sens!E6769=life_it,1,0)+Sens!F6776*IF(Sens!K6769-Sens!F6769=life_it,1,0)+Sens!G6776*IF(Sens!K6769-Sens!G6769=life_it,1,0)+Sens!H6776*IF(Sens!K6769-Sens!H6769=life_it,1,0)+Sens!I6776*IF(Sens!K6769-Sens!I6769=life_it,1,0)+Sens!J6776*IF(Sens!K6769-Sens!J6769=life_it,1,0)</f>
        <v>2450</v>
      </c>
      <c r="L6797" s="1" t="s">
        <v>994</v>
      </c>
    </row>
    <row r="6798" customFormat="false" ht="17.15" hidden="false" customHeight="false" outlineLevel="0" collapsed="false">
      <c r="A6798" s="0" t="s">
        <v>995</v>
      </c>
      <c r="B6798" s="0" t="s">
        <v>98</v>
      </c>
      <c r="C6798" s="6" t="n">
        <f aca="false">Sens!C6776*Sens!C6796/1000</f>
        <v>22.5333845916667</v>
      </c>
      <c r="D6798" s="6" t="n">
        <f aca="false">Sens!D6776*Sens!D6796/1000</f>
        <v>34.0300093833333</v>
      </c>
      <c r="E6798" s="6" t="n">
        <f aca="false">Sens!E6776*Sens!E6796/1000</f>
        <v>67.600153775</v>
      </c>
      <c r="F6798" s="6" t="n">
        <f aca="false">(Sens!F6776+Sens!F6797)*Sens!F6796/1000</f>
        <v>136.51872432512</v>
      </c>
      <c r="G6798" s="6" t="n">
        <f aca="false">(Sens!G6776+Sens!G6797)*Sens!G6796/1000</f>
        <v>157.399275932048</v>
      </c>
      <c r="H6798" s="6" t="n">
        <f aca="false">(Sens!H6776+Sens!H6797)*Sens!H6796/1000</f>
        <v>162.260804347512</v>
      </c>
      <c r="I6798" s="6" t="n">
        <f aca="false">(Sens!I6776+Sens!I6797)*Sens!I6796/1000</f>
        <v>144.136569485434</v>
      </c>
      <c r="J6798" s="6" t="n">
        <f aca="false">(Sens!J6776+Sens!J6797)*Sens!J6796/1000</f>
        <v>114.029037357864</v>
      </c>
      <c r="K6798" s="6" t="n">
        <f aca="false">(Sens!K6776+Sens!K6797)*Sens!K6796/1000</f>
        <v>113.437085350975</v>
      </c>
    </row>
    <row r="6799" customFormat="false" ht="17.15" hidden="false" customHeight="false" outlineLevel="0" collapsed="false">
      <c r="A6799" s="0" t="s">
        <v>996</v>
      </c>
      <c r="B6799" s="0" t="s">
        <v>98</v>
      </c>
      <c r="C6799" s="6" t="n">
        <f aca="false">Sens!C6776*self_build*tk_cxfac/1000</f>
        <v>6.2083</v>
      </c>
      <c r="D6799" s="6" t="n">
        <f aca="false">Sens!D6776*self_build*tk_cxfac/1000</f>
        <v>9.3758</v>
      </c>
      <c r="E6799" s="6" t="n">
        <f aca="false">Sens!E6776*self_build*tk_cxfac/1000</f>
        <v>18.6249</v>
      </c>
      <c r="F6799" s="6" t="n">
        <f aca="false">Sens!F6776*self_build*tk_cxfac/1000</f>
        <v>31.935179717</v>
      </c>
      <c r="G6799" s="6" t="n">
        <f aca="false">Sens!G6776*self_build*tk_cxfac/1000</f>
        <v>34.545199717</v>
      </c>
      <c r="H6799" s="6" t="n">
        <f aca="false">Sens!H6776*self_build*tk_cxfac/1000</f>
        <v>34.545199717</v>
      </c>
      <c r="I6799" s="6" t="n">
        <f aca="false">Sens!I6776*self_build*tk_cxfac/1000</f>
        <v>24.4782641361767</v>
      </c>
      <c r="J6799" s="6" t="n">
        <f aca="false">Sens!J6776*self_build*tk_cxfac/1000</f>
        <v>14.9008938380769</v>
      </c>
      <c r="K6799" s="6" t="n">
        <f aca="false">Sens!K6776*self_build*tk_cxfac/1000</f>
        <v>5.52576771375761</v>
      </c>
    </row>
    <row r="6800" customFormat="false" ht="17.15" hidden="false" customHeight="false" outlineLevel="0" collapsed="false">
      <c r="A6800" s="0" t="s">
        <v>997</v>
      </c>
      <c r="B6800" s="0" t="s">
        <v>98</v>
      </c>
      <c r="F6800" s="15" t="n">
        <f aca="false">capex_floor27-Sens!F6798-Sens!F6799-Sens!F6896</f>
        <v>0.219424871453228</v>
      </c>
      <c r="L6800" s="12" t="s">
        <v>998</v>
      </c>
    </row>
    <row r="6801" customFormat="false" ht="17.15" hidden="false" customHeight="false" outlineLevel="0" collapsed="false">
      <c r="A6801" s="0" t="s">
        <v>999</v>
      </c>
      <c r="B6801" s="0" t="s">
        <v>98</v>
      </c>
      <c r="F6801" s="6" t="n">
        <f aca="false">MAX(0,Sens!F6800)</f>
        <v>0.219424871453228</v>
      </c>
    </row>
    <row r="6802" customFormat="false" ht="17.15" hidden="false" customHeight="false" outlineLevel="0" collapsed="false">
      <c r="A6802" s="0" t="s">
        <v>1000</v>
      </c>
      <c r="B6802" s="0" t="s">
        <v>98</v>
      </c>
      <c r="C6802" s="6" t="n">
        <f aca="false">Sens!C6798</f>
        <v>22.5333845916667</v>
      </c>
      <c r="D6802" s="6" t="n">
        <f aca="false">Sens!D6798</f>
        <v>34.0300093833333</v>
      </c>
      <c r="E6802" s="6" t="n">
        <f aca="false">Sens!E6798</f>
        <v>67.600153775</v>
      </c>
      <c r="F6802" s="6" t="n">
        <f aca="false">Sens!F6798</f>
        <v>136.51872432512</v>
      </c>
      <c r="G6802" s="6" t="n">
        <f aca="false">Sens!G6798</f>
        <v>157.399275932048</v>
      </c>
      <c r="H6802" s="6" t="n">
        <f aca="false">Sens!H6798</f>
        <v>162.260804347512</v>
      </c>
      <c r="I6802" s="6" t="n">
        <f aca="false">Sens!I6798</f>
        <v>144.136569485434</v>
      </c>
      <c r="J6802" s="6" t="n">
        <f aca="false">Sens!J6798</f>
        <v>114.029037357864</v>
      </c>
      <c r="K6802" s="6" t="n">
        <f aca="false">Sens!K6798</f>
        <v>113.437085350975</v>
      </c>
    </row>
    <row r="6803" customFormat="false" ht="17.15" hidden="false" customHeight="false" outlineLevel="0" collapsed="false">
      <c r="A6803" s="0" t="s">
        <v>1001</v>
      </c>
      <c r="B6803" s="0" t="s">
        <v>98</v>
      </c>
      <c r="C6803" s="6" t="n">
        <f aca="false">Sens!C6802+Sens!C6799</f>
        <v>28.7416845916667</v>
      </c>
      <c r="D6803" s="6" t="n">
        <f aca="false">Sens!D6802+Sens!D6799</f>
        <v>43.4058093833333</v>
      </c>
      <c r="E6803" s="6" t="n">
        <f aca="false">Sens!E6802+Sens!E6799</f>
        <v>86.225053775</v>
      </c>
      <c r="F6803" s="6" t="n">
        <f aca="false">Sens!F6802+Sens!F6799</f>
        <v>168.45390404212</v>
      </c>
      <c r="G6803" s="6" t="n">
        <f aca="false">Sens!G6802+Sens!G6799</f>
        <v>191.944475649048</v>
      </c>
      <c r="H6803" s="6" t="n">
        <f aca="false">Sens!H6802+Sens!H6799</f>
        <v>196.806004064512</v>
      </c>
      <c r="I6803" s="6" t="n">
        <f aca="false">Sens!I6802+Sens!I6799</f>
        <v>168.61483362161</v>
      </c>
      <c r="J6803" s="6" t="n">
        <f aca="false">Sens!J6802+Sens!J6799</f>
        <v>128.92993119594</v>
      </c>
      <c r="K6803" s="6" t="n">
        <f aca="false">Sens!K6802+Sens!K6799</f>
        <v>118.962853064733</v>
      </c>
      <c r="L6803" s="12" t="s">
        <v>1002</v>
      </c>
    </row>
    <row r="6804" customFormat="false" ht="17.15" hidden="false" customHeight="false" outlineLevel="0" collapsed="false">
      <c r="A6804" s="0" t="s">
        <v>1003</v>
      </c>
      <c r="B6804" s="0" t="s">
        <v>98</v>
      </c>
      <c r="E6804" s="6" t="n">
        <f aca="false">(Sens!C6802*IF(2&lt;life_it,1,IF(2=life_it,0.5,0))+Sens!D6802*IF(1&lt;life_it,1,IF(1=life_it,0.5,0))+Sens!E6802*0.5)/life_it</f>
        <v>15.0605784770833</v>
      </c>
      <c r="F6804" s="6" t="n">
        <f aca="false">(Sens!C6802*IF(3&lt;life_it,1,IF(3=life_it,0.5,0))+Sens!D6802*IF(2&lt;life_it,1,IF(2=life_it,0.5,0))+Sens!E6802*IF(1&lt;life_it,1,IF(1=life_it,0.5,0))+Sens!F6802*0.5)/life_it</f>
        <v>32.0704849854266</v>
      </c>
      <c r="G6804" s="6" t="n">
        <f aca="false">(Sens!C6802*IF(4&lt;life_it,1,IF(4=life_it,0.5,0))+Sens!D6802*IF(3&lt;life_it,1,IF(3=life_it,0.5,0))+Sens!E6802*IF(2&lt;life_it,1,IF(2=life_it,0.5,0))+Sens!F6802*IF(1&lt;life_it,1,IF(1=life_it,0.5,0))+Sens!G6802*0.5)/life_it</f>
        <v>56.5636516735239</v>
      </c>
      <c r="H6804" s="6" t="n">
        <f aca="false">(Sens!C6802*IF(5&lt;life_it,1,IF(5=life_it,0.5,0))+Sens!D6802*IF(4&lt;life_it,1,IF(4=life_it,0.5,0))+Sens!E6802*IF(3&lt;life_it,1,IF(3=life_it,0.5,0))+Sens!F6802*IF(2&lt;life_it,1,IF(2=life_it,0.5,0))+Sens!G6802*IF(1&lt;life_it,1,IF(1=life_it,0.5,0))+Sens!H6802*0.5)/life_it</f>
        <v>83.2019916968207</v>
      </c>
      <c r="I6804" s="6" t="n">
        <f aca="false">(Sens!C6802*IF(6&lt;life_it,1,IF(6=life_it,0.5,0))+Sens!D6802*IF(5&lt;life_it,1,IF(5=life_it,0.5,0))+Sens!E6802*IF(4&lt;life_it,1,IF(4=life_it,0.5,0))+Sens!F6802*IF(3&lt;life_it,1,IF(3=life_it,0.5,0))+Sens!G6802*IF(2&lt;life_it,1,IF(2=life_it,0.5,0))+Sens!H6802*IF(1&lt;life_it,1,IF(1=life_it,0.5,0))+Sens!I6802*0.5)/life_it</f>
        <v>106.857324133594</v>
      </c>
      <c r="J6804" s="6" t="n">
        <f aca="false">(Sens!C6802*IF(7&lt;life_it,1,IF(7=life_it,0.5,0))+Sens!D6802*IF(6&lt;life_it,1,IF(6=life_it,0.5,0))+Sens!E6802*IF(5&lt;life_it,1,IF(5=life_it,0.5,0))+Sens!F6802*IF(4&lt;life_it,1,IF(4=life_it,0.5,0))+Sens!G6802*IF(3&lt;life_it,1,IF(3=life_it,0.5,0))+Sens!H6802*IF(2&lt;life_it,1,IF(2=life_it,0.5,0))+Sens!I6802*IF(1&lt;life_it,1,IF(1=life_it,0.5,0))+Sens!J6802*0.5)/life_it</f>
        <v>123.657508539285</v>
      </c>
      <c r="K6804" s="6" t="n">
        <f aca="false">(Sens!C6802*IF(8&lt;life_it,1,IF(8=life_it,0.5,0))+Sens!D6802*IF(7&lt;life_it,1,IF(7=life_it,0.5,0))+Sens!E6802*IF(6&lt;life_it,1,IF(6=life_it,0.5,0))+Sens!F6802*IF(5&lt;life_it,1,IF(5=life_it,0.5,0))+Sens!G6802*IF(4&lt;life_it,1,IF(4=life_it,0.5,0))+Sens!H6802*IF(3&lt;life_it,1,IF(3=life_it,0.5,0))+Sens!I6802*IF(2&lt;life_it,1,IF(2=life_it,0.5,0))+Sens!J6802*IF(1&lt;life_it,1,IF(1=life_it,0.5,0))+Sens!K6802*0.5)/life_it</f>
        <v>134.143838501827</v>
      </c>
    </row>
    <row r="6805" customFormat="false" ht="17.15" hidden="false" customHeight="false" outlineLevel="0" collapsed="false">
      <c r="A6805" s="0" t="s">
        <v>1004</v>
      </c>
      <c r="B6805" s="0" t="s">
        <v>98</v>
      </c>
      <c r="E6805" s="6" t="n">
        <f aca="false">(Sens!C6799*IF(2&lt;life_fac,1,IF(2=life_fac,0.5,0))+Sens!D6799*IF(1&lt;life_fac,1,IF(1=life_fac,0.5,0))+Sens!E6799*0.5)/life_fac</f>
        <v>1.2448275</v>
      </c>
      <c r="F6805" s="6" t="n">
        <f aca="false">(Sens!C6799*IF(3&lt;life_fac,1,IF(3=life_fac,0.5,0))+Sens!D6799*IF(2&lt;life_fac,1,IF(2=life_fac,0.5,0))+Sens!E6799*IF(1&lt;life_fac,1,IF(1=life_fac,0.5,0))+Sens!F6799*0.5)/life_fac</f>
        <v>2.508829492925</v>
      </c>
      <c r="G6805" s="6" t="n">
        <f aca="false">(Sens!C6799*IF(4&lt;life_fac,1,IF(4=life_fac,0.5,0))+Sens!D6799*IF(3&lt;life_fac,1,IF(3=life_fac,0.5,0))+Sens!E6799*IF(2&lt;life_fac,1,IF(2=life_fac,0.5,0))+Sens!F6799*IF(1&lt;life_fac,1,IF(1=life_fac,0.5,0))+Sens!G6799*0.5)/life_fac</f>
        <v>4.170838978775</v>
      </c>
      <c r="H6805" s="6" t="n">
        <f aca="false">(Sens!C6799*IF(5&lt;life_fac,1,IF(5=life_fac,0.5,0))+Sens!D6799*IF(4&lt;life_fac,1,IF(4=life_fac,0.5,0))+Sens!E6799*IF(3&lt;life_fac,1,IF(3=life_fac,0.5,0))+Sens!F6799*IF(2&lt;life_fac,1,IF(2=life_fac,0.5,0))+Sens!G6799*IF(1&lt;life_fac,1,IF(1=life_fac,0.5,0))+Sens!H6799*0.5)/life_fac</f>
        <v>5.898098964625</v>
      </c>
      <c r="I6805" s="6" t="n">
        <f aca="false">(Sens!C6799*IF(6&lt;life_fac,1,IF(6=life_fac,0.5,0))+Sens!D6799*IF(5&lt;life_fac,1,IF(5=life_fac,0.5,0))+Sens!E6799*IF(4&lt;life_fac,1,IF(4=life_fac,0.5,0))+Sens!F6799*IF(3&lt;life_fac,1,IF(3=life_fac,0.5,0))+Sens!G6799*IF(2&lt;life_fac,1,IF(2=life_fac,0.5,0))+Sens!H6799*IF(1&lt;life_fac,1,IF(1=life_fac,0.5,0))+Sens!I6799*0.5)/life_fac</f>
        <v>7.37368556095442</v>
      </c>
      <c r="J6805" s="6" t="n">
        <f aca="false">(Sens!C6799*IF(7&lt;life_fac,1,IF(7=life_fac,0.5,0))+Sens!D6799*IF(6&lt;life_fac,1,IF(6=life_fac,0.5,0))+Sens!E6799*IF(5&lt;life_fac,1,IF(5=life_fac,0.5,0))+Sens!F6799*IF(4&lt;life_fac,1,IF(4=life_fac,0.5,0))+Sens!G6799*IF(3&lt;life_fac,1,IF(3=life_fac,0.5,0))+Sens!H6799*IF(2&lt;life_fac,1,IF(2=life_fac,0.5,0))+Sens!I6799*IF(1&lt;life_fac,1,IF(1=life_fac,0.5,0))+Sens!J6799*0.5)/life_fac</f>
        <v>8.35816451031075</v>
      </c>
      <c r="K6805" s="6" t="n">
        <f aca="false">(Sens!C6799*IF(8&lt;life_fac,1,IF(8=life_fac,0.5,0))+Sens!D6799*IF(7&lt;life_fac,1,IF(7=life_fac,0.5,0))+Sens!E6799*IF(6&lt;life_fac,1,IF(6=life_fac,0.5,0))+Sens!F6799*IF(5&lt;life_fac,1,IF(5=life_fac,0.5,0))+Sens!G6799*IF(4&lt;life_fac,1,IF(4=life_fac,0.5,0))+Sens!H6799*IF(3&lt;life_fac,1,IF(3=life_fac,0.5,0))+Sens!I6799*IF(2&lt;life_fac,1,IF(2=life_fac,0.5,0))+Sens!J6799*IF(1&lt;life_fac,1,IF(1=life_fac,0.5,0))+Sens!K6799*0.5)/life_fac</f>
        <v>8.86883104910662</v>
      </c>
    </row>
    <row r="6806" customFormat="false" ht="17.15" hidden="false" customHeight="false" outlineLevel="0" collapsed="false">
      <c r="A6806" s="0" t="s">
        <v>1005</v>
      </c>
      <c r="B6806" s="0" t="s">
        <v>98</v>
      </c>
      <c r="E6806" s="6" t="n">
        <f aca="false">Sens!E6804+Sens!E6805</f>
        <v>16.3054059770833</v>
      </c>
      <c r="F6806" s="6" t="n">
        <f aca="false">Sens!F6804+Sens!F6805</f>
        <v>34.5793144783516</v>
      </c>
      <c r="G6806" s="6" t="n">
        <f aca="false">Sens!G6804+Sens!G6805</f>
        <v>60.7344906522989</v>
      </c>
      <c r="H6806" s="6" t="n">
        <f aca="false">Sens!H6804+Sens!H6805</f>
        <v>89.1000906614457</v>
      </c>
      <c r="I6806" s="6" t="n">
        <f aca="false">Sens!I6804+Sens!I6805</f>
        <v>114.231009694548</v>
      </c>
      <c r="J6806" s="6" t="n">
        <f aca="false">Sens!J6804+Sens!J6805</f>
        <v>132.015673049596</v>
      </c>
      <c r="K6806" s="6" t="n">
        <f aca="false">Sens!K6804+Sens!K6805</f>
        <v>143.012669550934</v>
      </c>
    </row>
    <row r="6807" customFormat="false" ht="17.15" hidden="false" customHeight="false" outlineLevel="0" collapsed="false">
      <c r="A6807" s="0" t="s">
        <v>1006</v>
      </c>
      <c r="B6807" s="0" t="s">
        <v>98</v>
      </c>
      <c r="E6807" s="6" t="n">
        <f aca="false">Sens!E6794-Sens!E6793*Sens!E6806</f>
        <v>8.92707889977379</v>
      </c>
      <c r="F6807" s="6" t="n">
        <f aca="false">Sens!F6794-Sens!F6793*Sens!F6806</f>
        <v>22.4686207259278</v>
      </c>
      <c r="G6807" s="6" t="n">
        <f aca="false">Sens!G6794-Sens!G6793*Sens!G6806</f>
        <v>43.2797528675735</v>
      </c>
      <c r="H6807" s="6" t="n">
        <f aca="false">Sens!H6794-Sens!H6793*Sens!H6806</f>
        <v>69.3477099347341</v>
      </c>
      <c r="I6807" s="6" t="n">
        <f aca="false">Sens!I6794-Sens!I6793*Sens!I6806</f>
        <v>86.8523667140836</v>
      </c>
      <c r="J6807" s="6" t="n">
        <f aca="false">Sens!J6794-Sens!J6793*Sens!J6806</f>
        <v>98.9882647234202</v>
      </c>
      <c r="K6807" s="6" t="n">
        <f aca="false">Sens!K6794-Sens!K6793*Sens!K6806</f>
        <v>106.918985011399</v>
      </c>
    </row>
    <row r="6808" customFormat="false" ht="17.15" hidden="false" customHeight="false" outlineLevel="0" collapsed="false">
      <c r="A6808" s="3" t="s">
        <v>1781</v>
      </c>
    </row>
    <row r="6809" customFormat="false" ht="15" hidden="false" customHeight="false" outlineLevel="0" collapsed="false">
      <c r="A6809" s="4" t="s">
        <v>43</v>
      </c>
      <c r="B6809" s="4" t="s">
        <v>65</v>
      </c>
      <c r="C6809" s="23" t="s">
        <v>942</v>
      </c>
      <c r="D6809" s="23" t="s">
        <v>943</v>
      </c>
      <c r="E6809" s="23" t="s">
        <v>944</v>
      </c>
      <c r="F6809" s="23" t="s">
        <v>945</v>
      </c>
      <c r="G6809" s="23" t="s">
        <v>946</v>
      </c>
      <c r="H6809" s="23" t="s">
        <v>947</v>
      </c>
      <c r="I6809" s="23" t="s">
        <v>948</v>
      </c>
      <c r="J6809" s="23" t="s">
        <v>949</v>
      </c>
      <c r="K6809" s="23" t="s">
        <v>950</v>
      </c>
      <c r="L6809" s="4" t="s">
        <v>47</v>
      </c>
    </row>
    <row r="6810" customFormat="false" ht="17.15" hidden="false" customHeight="false" outlineLevel="0" collapsed="false">
      <c r="A6810" s="0" t="s">
        <v>1025</v>
      </c>
      <c r="B6810" s="0" t="s">
        <v>98</v>
      </c>
      <c r="D6810" s="6" t="n">
        <f aca="false">Sens!D6788</f>
        <v>12.9359794422418</v>
      </c>
      <c r="E6810" s="6" t="n">
        <f aca="false">Sens!E6788</f>
        <v>27.8095064661409</v>
      </c>
      <c r="F6810" s="6" t="n">
        <f aca="false">Sens!F6788</f>
        <v>59.1034165651511</v>
      </c>
      <c r="G6810" s="6" t="n">
        <f aca="false">Sens!G6788</f>
        <v>103.451498789198</v>
      </c>
      <c r="H6810" s="6" t="n">
        <f aca="false">Sens!H6788</f>
        <v>153.816719989035</v>
      </c>
      <c r="I6810" s="6" t="n">
        <f aca="false">Sens!I6788</f>
        <v>192.699478690852</v>
      </c>
      <c r="J6810" s="6" t="n">
        <f aca="false">Sens!J6788</f>
        <v>219.794102584244</v>
      </c>
      <c r="K6810" s="6" t="n">
        <f aca="false">Sens!K6788</f>
        <v>236.757046905022</v>
      </c>
    </row>
    <row r="6811" customFormat="false" ht="17.15" hidden="false" customHeight="false" outlineLevel="0" collapsed="false">
      <c r="A6811" s="0" t="s">
        <v>1026</v>
      </c>
      <c r="B6811" s="0" t="s">
        <v>98</v>
      </c>
      <c r="D6811" s="6" t="n">
        <f aca="false">Q!L6-Sens!D6810</f>
        <v>59.6740205577583</v>
      </c>
      <c r="E6811" s="6" t="n">
        <f aca="false">Q!M6-Sens!E6810</f>
        <v>74.1284935338591</v>
      </c>
      <c r="F6811" s="6" t="n">
        <f aca="false">Q!$I$6+(Sens!F6810+Sens!E6811*(1+Sens!F6812))*(1-Q!$E$6/Q!M6)-Sens!F6810</f>
        <v>90.4866018070994</v>
      </c>
      <c r="G6811" s="6" t="n">
        <f aca="false">Sens!F6811*(1+Sens!G6812)</f>
        <v>107.511588557154</v>
      </c>
      <c r="H6811" s="6" t="n">
        <f aca="false">Sens!G6811*(1+Sens!H6812)</f>
        <v>124.832989325489</v>
      </c>
      <c r="I6811" s="6" t="n">
        <f aca="false">Sens!H6811*(1+Sens!I6812)</f>
        <v>141.56992589148</v>
      </c>
      <c r="J6811" s="6" t="n">
        <f aca="false">Sens!I6811*(1+Sens!J6812)</f>
        <v>156.723190479428</v>
      </c>
      <c r="K6811" s="6" t="n">
        <f aca="false">Sens!J6811*(1+Sens!K6812)</f>
        <v>169.261045717783</v>
      </c>
      <c r="L6811" s="12" t="s">
        <v>1027</v>
      </c>
    </row>
    <row r="6812" customFormat="false" ht="15" hidden="false" customHeight="false" outlineLevel="0" collapsed="false">
      <c r="A6812" s="1" t="s">
        <v>1028</v>
      </c>
      <c r="B6812" s="0" t="s">
        <v>168</v>
      </c>
      <c r="E6812" s="7" t="n">
        <f aca="false">Sens!E6811/Sens!D6811-1</f>
        <v>0.242223883039864</v>
      </c>
      <c r="F6812" s="7" t="n">
        <f aca="false">Sens!$E$6812+(glt_azo-Sens!$E$6812)*MIN(1,(Sens!F6769-base_fy)/n_conv)</f>
        <v>0.215186569199887</v>
      </c>
      <c r="G6812" s="7" t="n">
        <f aca="false">Sens!$E$6812+(glt_azo-Sens!$E$6812)*MIN(1,(Sens!G6769-base_fy)/n_conv)</f>
        <v>0.18814925535991</v>
      </c>
      <c r="H6812" s="7" t="n">
        <f aca="false">Sens!$E$6812+(glt_azo-Sens!$E$6812)*MIN(1,(Sens!H6769-base_fy)/n_conv)</f>
        <v>0.161111941519932</v>
      </c>
      <c r="I6812" s="7" t="n">
        <f aca="false">Sens!$E$6812+(glt_azo-Sens!$E$6812)*MIN(1,(Sens!I6769-base_fy)/n_conv)</f>
        <v>0.134074627679955</v>
      </c>
      <c r="J6812" s="7" t="n">
        <f aca="false">Sens!$E$6812+(glt_azo-Sens!$E$6812)*MIN(1,(Sens!J6769-base_fy)/n_conv)</f>
        <v>0.107037313839977</v>
      </c>
      <c r="K6812" s="7" t="n">
        <f aca="false">Sens!$E$6812+(glt_azo-Sens!$E$6812)*MIN(1,(Sens!K6769-base_fy)/n_conv)</f>
        <v>0.08</v>
      </c>
    </row>
    <row r="6813" customFormat="false" ht="15" hidden="false" customHeight="false" outlineLevel="0" collapsed="false">
      <c r="A6813" s="0" t="s">
        <v>1029</v>
      </c>
      <c r="B6813" s="0" t="s">
        <v>98</v>
      </c>
      <c r="D6813" s="6" t="n">
        <f aca="false">Sens!D6810+Sens!D6811</f>
        <v>72.61</v>
      </c>
      <c r="E6813" s="6" t="n">
        <f aca="false">Sens!E6810+Sens!E6811</f>
        <v>101.938</v>
      </c>
      <c r="F6813" s="6" t="n">
        <f aca="false">Sens!F6810+Sens!F6811</f>
        <v>149.59001837225</v>
      </c>
      <c r="G6813" s="6" t="n">
        <f aca="false">Sens!G6810+Sens!G6811</f>
        <v>210.963087346352</v>
      </c>
      <c r="H6813" s="6" t="n">
        <f aca="false">Sens!H6810+Sens!H6811</f>
        <v>278.649709314524</v>
      </c>
      <c r="I6813" s="6" t="n">
        <f aca="false">Sens!I6810+Sens!I6811</f>
        <v>334.269404582332</v>
      </c>
      <c r="J6813" s="6" t="n">
        <f aca="false">Sens!J6810+Sens!J6811</f>
        <v>376.517293063672</v>
      </c>
      <c r="K6813" s="6" t="n">
        <f aca="false">Sens!K6810+Sens!K6811</f>
        <v>406.018092622804</v>
      </c>
    </row>
    <row r="6814" customFormat="false" ht="17.15" hidden="false" customHeight="false" outlineLevel="0" collapsed="false">
      <c r="A6814" s="0" t="s">
        <v>1030</v>
      </c>
      <c r="B6814" s="1" t="s">
        <v>613</v>
      </c>
      <c r="C6814" s="30" t="n">
        <f aca="false">cop_s24</f>
        <v>1</v>
      </c>
      <c r="D6814" s="30" t="n">
        <f aca="false">cop_s25</f>
        <v>5</v>
      </c>
      <c r="E6814" s="30" t="n">
        <f aca="false">cop_s26</f>
        <v>30</v>
      </c>
      <c r="F6814" s="30" t="n">
        <f aca="false">Sens!E6814+cop_add_A*0.5</f>
        <v>45</v>
      </c>
      <c r="G6814" s="30" t="n">
        <f aca="false">Sens!F6814+cop_add_A*0.5</f>
        <v>60</v>
      </c>
      <c r="H6814" s="30" t="n">
        <f aca="false">Sens!G6814+cop_add_A*0.5</f>
        <v>75</v>
      </c>
      <c r="I6814" s="30" t="n">
        <f aca="false">Sens!H6814+cop_add_A*0.5*cop_tail</f>
        <v>82.5</v>
      </c>
      <c r="J6814" s="30" t="n">
        <f aca="false">Sens!I6814+cop_add_A*0.5*cop_tail</f>
        <v>90</v>
      </c>
      <c r="K6814" s="30" t="n">
        <f aca="false">Sens!J6814+cop_add_A*0.5*cop_tail</f>
        <v>97.5</v>
      </c>
      <c r="L6814" s="12" t="s">
        <v>1031</v>
      </c>
    </row>
    <row r="6815" customFormat="false" ht="17.15" hidden="false" customHeight="false" outlineLevel="0" collapsed="false">
      <c r="A6815" s="0" t="s">
        <v>1032</v>
      </c>
      <c r="B6815" s="0" t="s">
        <v>98</v>
      </c>
      <c r="D6815" s="6" t="n">
        <f aca="false">(Sens!C6814+Sens!D6814)/2*cop_px*12/1000</f>
        <v>0.9</v>
      </c>
      <c r="E6815" s="6" t="n">
        <f aca="false">(Sens!D6814+Sens!E6814)/2*cop_px*12/1000</f>
        <v>5.25</v>
      </c>
      <c r="F6815" s="6" t="n">
        <f aca="false">(Sens!E6814+Sens!F6814)/2*cop_px*12/1000</f>
        <v>11.25</v>
      </c>
      <c r="G6815" s="6" t="n">
        <f aca="false">(Sens!F6814+Sens!G6814)/2*cop_px*12/1000</f>
        <v>15.75</v>
      </c>
      <c r="H6815" s="6" t="n">
        <f aca="false">(Sens!G6814+Sens!H6814)/2*cop_px*12/1000</f>
        <v>20.25</v>
      </c>
      <c r="I6815" s="6" t="n">
        <f aca="false">(Sens!H6814+Sens!I6814)/2*cop_px*12/1000</f>
        <v>23.625</v>
      </c>
      <c r="J6815" s="6" t="n">
        <f aca="false">(Sens!I6814+Sens!J6814)/2*cop_px*12/1000</f>
        <v>25.875</v>
      </c>
      <c r="K6815" s="6" t="n">
        <f aca="false">(Sens!J6814+Sens!K6814)/2*cop_px*12/1000</f>
        <v>28.125</v>
      </c>
      <c r="L6815" s="1" t="s">
        <v>1033</v>
      </c>
    </row>
    <row r="6816" customFormat="false" ht="17.15" hidden="false" customHeight="false" outlineLevel="0" collapsed="false">
      <c r="A6816" s="0" t="s">
        <v>1034</v>
      </c>
      <c r="B6816" s="0" t="s">
        <v>98</v>
      </c>
      <c r="D6816" s="6" t="n">
        <f aca="false">Q!L7-Sens!D6815</f>
        <v>83.705</v>
      </c>
      <c r="E6816" s="6" t="n">
        <f aca="false">Q!M7-Sens!E6815</f>
        <v>95.049</v>
      </c>
      <c r="F6816" s="6" t="n">
        <f aca="false">Q!$I$7+(Sens!E6816*(1+Sens!F6817)+Sens!F6815)*(1-Q!$E$7/Q!M7)-Sens!F6815</f>
        <v>106.761178943761</v>
      </c>
      <c r="G6816" s="6" t="n">
        <f aca="false">Sens!F6816*(1+Sens!G6817)</f>
        <v>118.898043494744</v>
      </c>
      <c r="H6816" s="6" t="n">
        <f aca="false">Sens!G6816*(1+Sens!H6817)</f>
        <v>131.116218374114</v>
      </c>
      <c r="I6816" s="6" t="n">
        <f aca="false">Sens!H6816*(1+Sens!I6817)</f>
        <v>143.158087675019</v>
      </c>
      <c r="J6816" s="6" t="n">
        <f aca="false">Sens!I6816*(1+Sens!J6817)</f>
        <v>154.742525187072</v>
      </c>
      <c r="K6816" s="6" t="n">
        <f aca="false">Sens!J6816*(1+Sens!K6817)</f>
        <v>165.574501950167</v>
      </c>
      <c r="L6816" s="12" t="s">
        <v>1035</v>
      </c>
    </row>
    <row r="6817" customFormat="false" ht="15" hidden="false" customHeight="false" outlineLevel="0" collapsed="false">
      <c r="A6817" s="1" t="s">
        <v>1028</v>
      </c>
      <c r="B6817" s="0" t="s">
        <v>168</v>
      </c>
      <c r="E6817" s="7" t="n">
        <f aca="false">Sens!E6816/Sens!D6816-1</f>
        <v>0.135523564900544</v>
      </c>
      <c r="F6817" s="7" t="n">
        <f aca="false">Sens!$E$6817+(glt_m365b-Sens!$E$6817)*MIN(1,(Sens!F6769-base_fy)/n_conv)</f>
        <v>0.124602970750453</v>
      </c>
      <c r="G6817" s="7" t="n">
        <f aca="false">Sens!$E$6817+(glt_m365b-Sens!$E$6817)*MIN(1,(Sens!G6769-base_fy)/n_conv)</f>
        <v>0.113682376600363</v>
      </c>
      <c r="H6817" s="7" t="n">
        <f aca="false">Sens!$E$6817+(glt_m365b-Sens!$E$6817)*MIN(1,(Sens!H6769-base_fy)/n_conv)</f>
        <v>0.102761782450272</v>
      </c>
      <c r="I6817" s="7" t="n">
        <f aca="false">Sens!$E$6817+(glt_m365b-Sens!$E$6817)*MIN(1,(Sens!I6769-base_fy)/n_conv)</f>
        <v>0.0918411883001813</v>
      </c>
      <c r="J6817" s="7" t="n">
        <f aca="false">Sens!$E$6817+(glt_m365b-Sens!$E$6817)*MIN(1,(Sens!J6769-base_fy)/n_conv)</f>
        <v>0.0809205941500906</v>
      </c>
      <c r="K6817" s="7" t="n">
        <f aca="false">Sens!$E$6817+(glt_m365b-Sens!$E$6817)*MIN(1,(Sens!K6769-base_fy)/n_conv)</f>
        <v>0.07</v>
      </c>
    </row>
    <row r="6818" customFormat="false" ht="15" hidden="false" customHeight="false" outlineLevel="0" collapsed="false">
      <c r="A6818" s="0" t="s">
        <v>1036</v>
      </c>
      <c r="B6818" s="0" t="s">
        <v>98</v>
      </c>
      <c r="D6818" s="6" t="n">
        <f aca="false">Sens!D6816+Sens!D6815</f>
        <v>84.605</v>
      </c>
      <c r="E6818" s="6" t="n">
        <f aca="false">Sens!E6816+Sens!E6815</f>
        <v>100.299</v>
      </c>
      <c r="F6818" s="6" t="n">
        <f aca="false">Sens!F6816+Sens!F6815</f>
        <v>118.011178943761</v>
      </c>
      <c r="G6818" s="6" t="n">
        <f aca="false">Sens!G6816+Sens!G6815</f>
        <v>134.648043494744</v>
      </c>
      <c r="H6818" s="6" t="n">
        <f aca="false">Sens!H6816+Sens!H6815</f>
        <v>151.366218374114</v>
      </c>
      <c r="I6818" s="6" t="n">
        <f aca="false">Sens!I6816+Sens!I6815</f>
        <v>166.783087675019</v>
      </c>
      <c r="J6818" s="6" t="n">
        <f aca="false">Sens!J6816+Sens!J6815</f>
        <v>180.617525187072</v>
      </c>
      <c r="K6818" s="6" t="n">
        <f aca="false">Sens!K6816+Sens!K6815</f>
        <v>193.699501950167</v>
      </c>
    </row>
    <row r="6819" customFormat="false" ht="17.15" hidden="false" customHeight="false" outlineLevel="0" collapsed="false">
      <c r="A6819" s="0" t="s">
        <v>1037</v>
      </c>
      <c r="B6819" s="0" t="s">
        <v>98</v>
      </c>
      <c r="D6819" s="6" t="n">
        <f aca="false">Q!L8</f>
        <v>35.391</v>
      </c>
      <c r="E6819" s="6" t="n">
        <f aca="false">Q!M8</f>
        <v>37.285</v>
      </c>
      <c r="F6819" s="6" t="n">
        <f aca="false">Q!$I$8+(Q!M8-Q!$E$8)*(1+Sens!F6820)</f>
        <v>38.3851437782675</v>
      </c>
      <c r="G6819" s="6" t="n">
        <f aca="false">Sens!F6819*(1+Sens!G6820)</f>
        <v>40.0105353288615</v>
      </c>
      <c r="H6819" s="6" t="n">
        <f aca="false">Sens!G6819*(1+Sens!H6820)</f>
        <v>41.4812512033683</v>
      </c>
      <c r="I6819" s="6" t="n">
        <f aca="false">Sens!H6819*(1+Sens!I6820)</f>
        <v>42.7743107216329</v>
      </c>
      <c r="J6819" s="6" t="n">
        <f aca="false">Sens!I6819*(1+Sens!J6820)</f>
        <v>43.8687373064601</v>
      </c>
      <c r="K6819" s="6" t="n">
        <f aca="false">Sens!J6819*(1+Sens!K6820)</f>
        <v>44.7461120525893</v>
      </c>
      <c r="L6819" s="12" t="s">
        <v>1038</v>
      </c>
    </row>
    <row r="6820" customFormat="false" ht="15" hidden="false" customHeight="false" outlineLevel="0" collapsed="false">
      <c r="A6820" s="1" t="s">
        <v>1028</v>
      </c>
      <c r="B6820" s="0" t="s">
        <v>168</v>
      </c>
      <c r="E6820" s="7" t="n">
        <f aca="false">Sens!E6819/Sens!D6819-1</f>
        <v>0.0535164307309768</v>
      </c>
      <c r="F6820" s="7" t="n">
        <f aca="false">Sens!$E$6820+(glt_lic-Sens!$E$6820)*MIN(1,(Sens!F6769-base_fy)/n_conv)</f>
        <v>0.0479303589424807</v>
      </c>
      <c r="G6820" s="7" t="n">
        <f aca="false">Sens!$E$6820+(glt_lic-Sens!$E$6820)*MIN(1,(Sens!G6769-base_fy)/n_conv)</f>
        <v>0.0423442871539845</v>
      </c>
      <c r="H6820" s="7" t="n">
        <f aca="false">Sens!$E$6820+(glt_lic-Sens!$E$6820)*MIN(1,(Sens!H6769-base_fy)/n_conv)</f>
        <v>0.0367582153654884</v>
      </c>
      <c r="I6820" s="7" t="n">
        <f aca="false">Sens!$E$6820+(glt_lic-Sens!$E$6820)*MIN(1,(Sens!I6769-base_fy)/n_conv)</f>
        <v>0.0311721435769923</v>
      </c>
      <c r="J6820" s="7" t="n">
        <f aca="false">Sens!$E$6820+(glt_lic-Sens!$E$6820)*MIN(1,(Sens!J6769-base_fy)/n_conv)</f>
        <v>0.0255860717884961</v>
      </c>
      <c r="K6820" s="7" t="n">
        <f aca="false">Sens!$E$6820+(glt_lic-Sens!$E$6820)*MIN(1,(Sens!K6769-base_fy)/n_conv)</f>
        <v>0.02</v>
      </c>
    </row>
    <row r="6821" customFormat="false" ht="17.15" hidden="false" customHeight="false" outlineLevel="0" collapsed="false">
      <c r="A6821" s="0" t="s">
        <v>1039</v>
      </c>
      <c r="B6821" s="0" t="s">
        <v>98</v>
      </c>
      <c r="D6821" s="6" t="n">
        <f aca="false">Q!L9</f>
        <v>18.417</v>
      </c>
      <c r="E6821" s="6" t="n">
        <f aca="false">Q!M9</f>
        <v>20.345</v>
      </c>
      <c r="F6821" s="6" t="n">
        <f aca="false">Q!$I$9+(Q!M9-Q!$E$9)*(1+Sens!F6822)</f>
        <v>22.3161797133988</v>
      </c>
      <c r="G6821" s="6" t="n">
        <f aca="false">Sens!F6821*(1+Sens!G6822)</f>
        <v>24.3943499673233</v>
      </c>
      <c r="H6821" s="6" t="n">
        <f aca="false">Sens!G6821*(1+Sens!H6822)</f>
        <v>26.5250243109019</v>
      </c>
      <c r="I6821" s="6" t="n">
        <f aca="false">Sens!H6821*(1+Sens!I6822)</f>
        <v>28.6884573538181</v>
      </c>
      <c r="J6821" s="6" t="n">
        <f aca="false">Sens!I6821*(1+Sens!J6822)</f>
        <v>30.8624968052127</v>
      </c>
      <c r="K6821" s="6" t="n">
        <f aca="false">Sens!J6821*(1+Sens!K6822)</f>
        <v>33.0228715815776</v>
      </c>
      <c r="L6821" s="12" t="s">
        <v>1038</v>
      </c>
    </row>
    <row r="6822" customFormat="false" ht="15" hidden="false" customHeight="false" outlineLevel="0" collapsed="false">
      <c r="A6822" s="1" t="s">
        <v>1028</v>
      </c>
      <c r="B6822" s="0" t="s">
        <v>168</v>
      </c>
      <c r="E6822" s="7" t="n">
        <f aca="false">Sens!E6821/Sens!D6821-1</f>
        <v>0.104685888038225</v>
      </c>
      <c r="F6822" s="7" t="n">
        <f aca="false">Sens!$E$6822+(glt_ind-Sens!$E$6822)*MIN(1,(Sens!F6769-base_fy)/n_conv)</f>
        <v>0.0989049066985211</v>
      </c>
      <c r="G6822" s="7" t="n">
        <f aca="false">Sens!$E$6822+(glt_ind-Sens!$E$6822)*MIN(1,(Sens!G6769-base_fy)/n_conv)</f>
        <v>0.0931239253588169</v>
      </c>
      <c r="H6822" s="7" t="n">
        <f aca="false">Sens!$E$6822+(glt_ind-Sens!$E$6822)*MIN(1,(Sens!H6769-base_fy)/n_conv)</f>
        <v>0.0873429440191127</v>
      </c>
      <c r="I6822" s="7" t="n">
        <f aca="false">Sens!$E$6822+(glt_ind-Sens!$E$6822)*MIN(1,(Sens!I6769-base_fy)/n_conv)</f>
        <v>0.0815619626794085</v>
      </c>
      <c r="J6822" s="7" t="n">
        <f aca="false">Sens!$E$6822+(glt_ind-Sens!$E$6822)*MIN(1,(Sens!J6769-base_fy)/n_conv)</f>
        <v>0.0757809813397042</v>
      </c>
      <c r="K6822" s="7" t="n">
        <f aca="false">Sens!$E$6822+(glt_ind-Sens!$E$6822)*MIN(1,(Sens!K6769-base_fy)/n_conv)</f>
        <v>0.07</v>
      </c>
    </row>
    <row r="6823" customFormat="false" ht="17.15" hidden="false" customHeight="false" outlineLevel="0" collapsed="false">
      <c r="A6823" s="0" t="s">
        <v>1040</v>
      </c>
      <c r="B6823" s="0" t="s">
        <v>98</v>
      </c>
      <c r="D6823" s="6" t="n">
        <f aca="false">Q!L10</f>
        <v>7.76</v>
      </c>
      <c r="E6823" s="6" t="n">
        <f aca="false">Q!M10</f>
        <v>8.26</v>
      </c>
      <c r="F6823" s="6" t="n">
        <f aca="false">Q!$I$10+(Q!M10-Q!$E$10)*(1+Sens!F6824)</f>
        <v>8.75372082474227</v>
      </c>
      <c r="G6823" s="6" t="n">
        <f aca="false">Sens!F6823*(1+Sens!G6824)</f>
        <v>9.33399324642364</v>
      </c>
      <c r="H6823" s="6" t="n">
        <f aca="false">Sens!G6823*(1+Sens!H6824)</f>
        <v>9.96139155535851</v>
      </c>
      <c r="I6823" s="6" t="n">
        <f aca="false">Sens!H6823*(1+Sens!I6824)</f>
        <v>10.6402039077391</v>
      </c>
      <c r="J6823" s="6" t="n">
        <f aca="false">Sens!I6823*(1+Sens!J6824)</f>
        <v>11.3751458271397</v>
      </c>
      <c r="K6823" s="6" t="n">
        <f aca="false">Sens!J6823*(1+Sens!K6824)</f>
        <v>12.1714060350394</v>
      </c>
      <c r="L6823" s="12" t="s">
        <v>1038</v>
      </c>
    </row>
    <row r="6824" customFormat="false" ht="15" hidden="false" customHeight="false" outlineLevel="0" collapsed="false">
      <c r="A6824" s="1" t="s">
        <v>1028</v>
      </c>
      <c r="B6824" s="0" t="s">
        <v>168</v>
      </c>
      <c r="E6824" s="7" t="n">
        <f aca="false">Sens!E6823/Sens!D6823-1</f>
        <v>0.0644329896907216</v>
      </c>
      <c r="F6824" s="7" t="n">
        <f aca="false">Sens!$E$6824+(glt_fro-Sens!$E$6824)*MIN(1,(Sens!F6769-base_fy)/n_conv)</f>
        <v>0.065360824742268</v>
      </c>
      <c r="G6824" s="7" t="n">
        <f aca="false">Sens!$E$6824+(glt_fro-Sens!$E$6824)*MIN(1,(Sens!G6769-base_fy)/n_conv)</f>
        <v>0.0662886597938144</v>
      </c>
      <c r="H6824" s="7" t="n">
        <f aca="false">Sens!$E$6824+(glt_fro-Sens!$E$6824)*MIN(1,(Sens!H6769-base_fy)/n_conv)</f>
        <v>0.0672164948453608</v>
      </c>
      <c r="I6824" s="7" t="n">
        <f aca="false">Sens!$E$6824+(glt_fro-Sens!$E$6824)*MIN(1,(Sens!I6769-base_fy)/n_conv)</f>
        <v>0.0681443298969072</v>
      </c>
      <c r="J6824" s="7" t="n">
        <f aca="false">Sens!$E$6824+(glt_fro-Sens!$E$6824)*MIN(1,(Sens!J6769-base_fy)/n_conv)</f>
        <v>0.0690721649484536</v>
      </c>
      <c r="K6824" s="7" t="n">
        <f aca="false">Sens!$E$6824+(glt_fro-Sens!$E$6824)*MIN(1,(Sens!K6769-base_fy)/n_conv)</f>
        <v>0.07</v>
      </c>
    </row>
    <row r="6825" customFormat="false" ht="15" hidden="false" customHeight="false" outlineLevel="0" collapsed="false">
      <c r="A6825" s="0" t="s">
        <v>856</v>
      </c>
      <c r="B6825" s="0" t="s">
        <v>98</v>
      </c>
      <c r="D6825" s="6" t="n">
        <f aca="false">Sens!D6813+Sens!D6818+Sens!D6819+Sens!D6821+Sens!D6823</f>
        <v>218.783</v>
      </c>
      <c r="E6825" s="6" t="n">
        <f aca="false">Sens!E6813+Sens!E6818+Sens!E6819+Sens!E6821+Sens!E6823</f>
        <v>268.127</v>
      </c>
      <c r="F6825" s="6" t="n">
        <f aca="false">Sens!F6813+Sens!F6818+Sens!F6819+Sens!F6821+Sens!F6823</f>
        <v>337.05624163242</v>
      </c>
      <c r="G6825" s="6" t="n">
        <f aca="false">Sens!G6813+Sens!G6818+Sens!G6819+Sens!G6821+Sens!G6823</f>
        <v>419.350009383705</v>
      </c>
      <c r="H6825" s="6" t="n">
        <f aca="false">Sens!H6813+Sens!H6818+Sens!H6819+Sens!H6821+Sens!H6823</f>
        <v>507.983594758267</v>
      </c>
      <c r="I6825" s="6" t="n">
        <f aca="false">Sens!I6813+Sens!I6818+Sens!I6819+Sens!I6821+Sens!I6823</f>
        <v>583.155464240541</v>
      </c>
      <c r="J6825" s="6" t="n">
        <f aca="false">Sens!J6813+Sens!J6818+Sens!J6819+Sens!J6821+Sens!J6823</f>
        <v>643.241198189557</v>
      </c>
      <c r="K6825" s="6" t="n">
        <f aca="false">Sens!K6813+Sens!K6818+Sens!K6819+Sens!K6821+Sens!K6823</f>
        <v>689.657984242178</v>
      </c>
    </row>
    <row r="6826" customFormat="false" ht="17.15" hidden="false" customHeight="false" outlineLevel="0" collapsed="false">
      <c r="A6826" s="0" t="s">
        <v>1041</v>
      </c>
      <c r="B6826" s="0" t="s">
        <v>98</v>
      </c>
      <c r="D6826" s="6" t="n">
        <f aca="false">Q!L13</f>
        <v>22.171</v>
      </c>
      <c r="E6826" s="6" t="n">
        <f aca="false">Q!M13</f>
        <v>24.835</v>
      </c>
      <c r="F6826" s="6" t="n">
        <f aca="false">Q!$I$13+(Q!M13-Q!$E$13)*(1+Sens!F6827)</f>
        <v>27.5591895660247</v>
      </c>
      <c r="G6826" s="6" t="n">
        <f aca="false">Sens!F6826*(1+Sens!G6827)</f>
        <v>30.4098563144583</v>
      </c>
      <c r="H6826" s="6" t="n">
        <f aca="false">Sens!G6826*(1+Sens!H6827)</f>
        <v>33.3011792571777</v>
      </c>
      <c r="I6826" s="6" t="n">
        <f aca="false">Sens!H6826*(1+Sens!I6827)</f>
        <v>36.189023797112</v>
      </c>
      <c r="J6826" s="6" t="n">
        <f aca="false">Sens!I6826*(1+Sens!J6827)</f>
        <v>39.0247773769199</v>
      </c>
      <c r="K6826" s="6" t="n">
        <f aca="false">Sens!J6826*(1+Sens!K6827)</f>
        <v>41.7565117933043</v>
      </c>
      <c r="L6826" s="12" t="s">
        <v>1038</v>
      </c>
    </row>
    <row r="6827" customFormat="false" ht="15" hidden="false" customHeight="false" outlineLevel="0" collapsed="false">
      <c r="A6827" s="1" t="s">
        <v>1028</v>
      </c>
      <c r="B6827" s="0" t="s">
        <v>168</v>
      </c>
      <c r="E6827" s="7" t="n">
        <f aca="false">Sens!E6826/Sens!D6826-1</f>
        <v>0.120156961796942</v>
      </c>
      <c r="F6827" s="7" t="n">
        <f aca="false">Sens!$E$6827+(glt_srch-Sens!$E$6827)*MIN(1,(Sens!F6769-base_fy)/n_conv)</f>
        <v>0.111797468164118</v>
      </c>
      <c r="G6827" s="7" t="n">
        <f aca="false">Sens!$E$6827+(glt_srch-Sens!$E$6827)*MIN(1,(Sens!G6769-base_fy)/n_conv)</f>
        <v>0.103437974531295</v>
      </c>
      <c r="H6827" s="7" t="n">
        <f aca="false">Sens!$E$6827+(glt_srch-Sens!$E$6827)*MIN(1,(Sens!H6769-base_fy)/n_conv)</f>
        <v>0.095078480898471</v>
      </c>
      <c r="I6827" s="7" t="n">
        <f aca="false">Sens!$E$6827+(glt_srch-Sens!$E$6827)*MIN(1,(Sens!I6769-base_fy)/n_conv)</f>
        <v>0.0867189872656474</v>
      </c>
      <c r="J6827" s="7" t="n">
        <f aca="false">Sens!$E$6827+(glt_srch-Sens!$E$6827)*MIN(1,(Sens!J6769-base_fy)/n_conv)</f>
        <v>0.0783594936328237</v>
      </c>
      <c r="K6827" s="7" t="n">
        <f aca="false">Sens!$E$6827+(glt_srch-Sens!$E$6827)*MIN(1,(Sens!K6769-base_fy)/n_conv)</f>
        <v>0.07</v>
      </c>
    </row>
    <row r="6828" customFormat="false" ht="17.15" hidden="false" customHeight="false" outlineLevel="0" collapsed="false">
      <c r="A6828" s="0" t="s">
        <v>1042</v>
      </c>
      <c r="B6828" s="0" t="s">
        <v>98</v>
      </c>
      <c r="D6828" s="6" t="n">
        <f aca="false">Q!L14</f>
        <v>23.455</v>
      </c>
      <c r="E6828" s="6" t="n">
        <f aca="false">Q!M14</f>
        <v>21.79</v>
      </c>
      <c r="F6828" s="6" t="n">
        <f aca="false">Q!$I$14+(Q!M14-Q!$E$14)*(1+Sens!F6829)</f>
        <v>20.7520981041711</v>
      </c>
      <c r="G6828" s="6" t="n">
        <f aca="false">Sens!F6828*(1+Sens!G6829)</f>
        <v>19.9083593495882</v>
      </c>
      <c r="H6828" s="6" t="n">
        <f aca="false">Sens!G6828*(1+Sens!H6829)</f>
        <v>19.4008256265831</v>
      </c>
      <c r="I6828" s="6" t="n">
        <f aca="false">Sens!H6828*(1+Sens!I6829)</f>
        <v>19.200434522122</v>
      </c>
      <c r="J6828" s="6" t="n">
        <f aca="false">Sens!I6828*(1+Sens!J6829)</f>
        <v>19.2932782348507</v>
      </c>
      <c r="K6828" s="6" t="n">
        <f aca="false">Sens!J6828*(1+Sens!K6829)</f>
        <v>19.6791437995477</v>
      </c>
      <c r="L6828" s="12" t="s">
        <v>1038</v>
      </c>
    </row>
    <row r="6829" customFormat="false" ht="15" hidden="false" customHeight="false" outlineLevel="0" collapsed="false">
      <c r="A6829" s="1" t="s">
        <v>1028</v>
      </c>
      <c r="B6829" s="0" t="s">
        <v>168</v>
      </c>
      <c r="E6829" s="7" t="n">
        <f aca="false">Sens!E6828/Sens!D6828-1</f>
        <v>-0.0709869963760392</v>
      </c>
      <c r="F6829" s="7" t="n">
        <f aca="false">Sens!$E$6829+(glt_xbox-Sens!$E$6829)*MIN(1,(Sens!F6769-base_fy)/n_conv)</f>
        <v>-0.0558224969800327</v>
      </c>
      <c r="G6829" s="7" t="n">
        <f aca="false">Sens!$E$6829+(glt_xbox-Sens!$E$6829)*MIN(1,(Sens!G6769-base_fy)/n_conv)</f>
        <v>-0.0406579975840262</v>
      </c>
      <c r="H6829" s="7" t="n">
        <f aca="false">Sens!$E$6829+(glt_xbox-Sens!$E$6829)*MIN(1,(Sens!H6769-base_fy)/n_conv)</f>
        <v>-0.0254934981880196</v>
      </c>
      <c r="I6829" s="7" t="n">
        <f aca="false">Sens!$E$6829+(glt_xbox-Sens!$E$6829)*MIN(1,(Sens!I6769-base_fy)/n_conv)</f>
        <v>-0.0103289987920131</v>
      </c>
      <c r="J6829" s="7" t="n">
        <f aca="false">Sens!$E$6829+(glt_xbox-Sens!$E$6829)*MIN(1,(Sens!J6769-base_fy)/n_conv)</f>
        <v>0.00483550060399347</v>
      </c>
      <c r="K6829" s="7" t="n">
        <f aca="false">Sens!$E$6829+(glt_xbox-Sens!$E$6829)*MIN(1,(Sens!K6769-base_fy)/n_conv)</f>
        <v>0.02</v>
      </c>
    </row>
    <row r="6830" customFormat="false" ht="17.15" hidden="false" customHeight="false" outlineLevel="0" collapsed="false">
      <c r="A6830" s="0" t="s">
        <v>1043</v>
      </c>
      <c r="B6830" s="0" t="s">
        <v>98</v>
      </c>
      <c r="D6830" s="6" t="n">
        <f aca="false">Q!L15</f>
        <v>17.315</v>
      </c>
      <c r="E6830" s="6" t="n">
        <f aca="false">Q!M15</f>
        <v>17.087</v>
      </c>
      <c r="F6830" s="6" t="n">
        <f aca="false">Q!$I$15+(Q!M15-Q!$E$15)*(1+Sens!F6831)</f>
        <v>15.9912273250553</v>
      </c>
      <c r="G6830" s="6" t="n">
        <f aca="false">Sens!F6830*(1+Sens!G6831)</f>
        <v>15.9574562664827</v>
      </c>
      <c r="H6830" s="6" t="n">
        <f aca="false">Sens!G6830*(1+Sens!H6831)</f>
        <v>16.0119687434196</v>
      </c>
      <c r="I6830" s="6" t="n">
        <f aca="false">Sens!H6830*(1+Sens!I6831)</f>
        <v>16.1551810001948</v>
      </c>
      <c r="J6830" s="6" t="n">
        <f aca="false">Sens!I6830*(1+Sens!J6831)</f>
        <v>16.3889793892005</v>
      </c>
      <c r="K6830" s="6" t="n">
        <f aca="false">Sens!J6830*(1+Sens!K6831)</f>
        <v>16.7167589769845</v>
      </c>
      <c r="L6830" s="12" t="s">
        <v>1038</v>
      </c>
    </row>
    <row r="6831" customFormat="false" ht="15" hidden="false" customHeight="false" outlineLevel="0" collapsed="false">
      <c r="A6831" s="1" t="s">
        <v>1028</v>
      </c>
      <c r="B6831" s="0" t="s">
        <v>168</v>
      </c>
      <c r="E6831" s="7" t="n">
        <f aca="false">Sens!E6830/Sens!D6830-1</f>
        <v>-0.0131677736066995</v>
      </c>
      <c r="F6831" s="7" t="n">
        <f aca="false">Sens!$E$6831+(glt_win-Sens!$E$6831)*MIN(1,(Sens!F6769-base_fy)/n_conv)</f>
        <v>-0.00763981133891627</v>
      </c>
      <c r="G6831" s="7" t="n">
        <f aca="false">Sens!$E$6831+(glt_win-Sens!$E$6831)*MIN(1,(Sens!G6769-base_fy)/n_conv)</f>
        <v>-0.00211184907113301</v>
      </c>
      <c r="H6831" s="7" t="n">
        <f aca="false">Sens!$E$6831+(glt_win-Sens!$E$6831)*MIN(1,(Sens!H6769-base_fy)/n_conv)</f>
        <v>0.00341611319665024</v>
      </c>
      <c r="I6831" s="7" t="n">
        <f aca="false">Sens!$E$6831+(glt_win-Sens!$E$6831)*MIN(1,(Sens!I6769-base_fy)/n_conv)</f>
        <v>0.00894407546443349</v>
      </c>
      <c r="J6831" s="7" t="n">
        <f aca="false">Sens!$E$6831+(glt_win-Sens!$E$6831)*MIN(1,(Sens!J6769-base_fy)/n_conv)</f>
        <v>0.0144720377322168</v>
      </c>
      <c r="K6831" s="7" t="n">
        <f aca="false">Sens!$E$6831+(glt_win-Sens!$E$6831)*MIN(1,(Sens!K6769-base_fy)/n_conv)</f>
        <v>0.02</v>
      </c>
    </row>
    <row r="6832" customFormat="false" ht="15" hidden="false" customHeight="false" outlineLevel="0" collapsed="false">
      <c r="A6832" s="0" t="s">
        <v>870</v>
      </c>
      <c r="B6832" s="0" t="s">
        <v>98</v>
      </c>
      <c r="D6832" s="6" t="n">
        <f aca="false">Sens!D6826+Sens!D6828+Sens!D6830</f>
        <v>62.941</v>
      </c>
      <c r="E6832" s="6" t="n">
        <f aca="false">Sens!E6826+Sens!E6828+Sens!E6830</f>
        <v>63.712</v>
      </c>
      <c r="F6832" s="6" t="n">
        <f aca="false">Sens!F6826+Sens!F6828+Sens!F6830</f>
        <v>64.3025149952511</v>
      </c>
      <c r="G6832" s="6" t="n">
        <f aca="false">Sens!G6826+Sens!G6828+Sens!G6830</f>
        <v>66.2756719305292</v>
      </c>
      <c r="H6832" s="6" t="n">
        <f aca="false">Sens!H6826+Sens!H6828+Sens!H6830</f>
        <v>68.7139736271804</v>
      </c>
      <c r="I6832" s="6" t="n">
        <f aca="false">Sens!I6826+Sens!I6828+Sens!I6830</f>
        <v>71.5446393194289</v>
      </c>
      <c r="J6832" s="6" t="n">
        <f aca="false">Sens!J6826+Sens!J6828+Sens!J6830</f>
        <v>74.707035000971</v>
      </c>
      <c r="K6832" s="6" t="n">
        <f aca="false">Sens!K6826+Sens!K6828+Sens!K6830</f>
        <v>78.1524145698365</v>
      </c>
    </row>
    <row r="6833" customFormat="false" ht="15" hidden="false" customHeight="false" outlineLevel="0" collapsed="false">
      <c r="A6833" s="1" t="s">
        <v>1044</v>
      </c>
      <c r="B6833" s="0" t="s">
        <v>98</v>
      </c>
      <c r="D6833" s="6" t="n">
        <f aca="false">Sens!D6825+Sens!D6832</f>
        <v>281.724</v>
      </c>
      <c r="E6833" s="6" t="n">
        <f aca="false">Sens!E6825+Sens!E6832</f>
        <v>331.839</v>
      </c>
      <c r="F6833" s="6" t="n">
        <f aca="false">Sens!F6825+Sens!F6832</f>
        <v>401.358756627672</v>
      </c>
      <c r="G6833" s="6" t="n">
        <f aca="false">Sens!G6825+Sens!G6832</f>
        <v>485.625681314234</v>
      </c>
      <c r="H6833" s="6" t="n">
        <f aca="false">Sens!H6825+Sens!H6832</f>
        <v>576.697568385447</v>
      </c>
      <c r="I6833" s="6" t="n">
        <f aca="false">Sens!I6825+Sens!I6832</f>
        <v>654.70010355997</v>
      </c>
      <c r="J6833" s="6" t="n">
        <f aca="false">Sens!J6825+Sens!J6832</f>
        <v>717.948233190528</v>
      </c>
      <c r="K6833" s="6" t="n">
        <f aca="false">Sens!K6825+Sens!K6832</f>
        <v>767.810398812015</v>
      </c>
    </row>
    <row r="6834" customFormat="false" ht="15" hidden="false" customHeight="false" outlineLevel="0" collapsed="false">
      <c r="A6834" s="26" t="s">
        <v>1045</v>
      </c>
      <c r="B6834" s="31" t="s">
        <v>98</v>
      </c>
      <c r="C6834" s="31"/>
      <c r="D6834" s="27" t="n">
        <f aca="false">(Sens!D6813+Sens!D6818+Sens!D6819+Sens!D6821+Sens!D6823-Sens!D6825)+(Sens!D6826+Sens!D6828+Sens!D6830-Sens!D6832)+(Sens!D6825-Q!L5)+(Sens!D6832-Q!L12)+(Sens!D6813-Q!L6)+(Sens!D6818-Q!L7)</f>
        <v>0</v>
      </c>
      <c r="E6834" s="27" t="n">
        <f aca="false">(Sens!E6813+Sens!E6818+Sens!E6819+Sens!E6821+Sens!E6823-Sens!E6825)+(Sens!E6826+Sens!E6828+Sens!E6830-Sens!E6832)+(Sens!E6825-Q!M5)+(Sens!E6832-Q!M12)+(Sens!E6813-Q!M6)+(Sens!E6818-Q!M7)</f>
        <v>0</v>
      </c>
      <c r="F6834" s="27" t="n">
        <f aca="false">(Sens!F6813+Sens!F6818+Sens!F6819+Sens!F6821+Sens!F6823-Sens!F6825)+(Sens!F6826+Sens!F6828+Sens!F6830-Sens!F6832)</f>
        <v>0</v>
      </c>
      <c r="G6834" s="27" t="n">
        <f aca="false">(Sens!G6813+Sens!G6818+Sens!G6819+Sens!G6821+Sens!G6823-Sens!G6825)+(Sens!G6826+Sens!G6828+Sens!G6830-Sens!G6832)</f>
        <v>0</v>
      </c>
      <c r="H6834" s="27" t="n">
        <f aca="false">(Sens!H6813+Sens!H6818+Sens!H6819+Sens!H6821+Sens!H6823-Sens!H6825)+(Sens!H6826+Sens!H6828+Sens!H6830-Sens!H6832)</f>
        <v>0</v>
      </c>
      <c r="I6834" s="27" t="n">
        <f aca="false">(Sens!I6813+Sens!I6818+Sens!I6819+Sens!I6821+Sens!I6823-Sens!I6825)+(Sens!I6826+Sens!I6828+Sens!I6830-Sens!I6832)</f>
        <v>0</v>
      </c>
      <c r="J6834" s="27" t="n">
        <f aca="false">(Sens!J6813+Sens!J6818+Sens!J6819+Sens!J6821+Sens!J6823-Sens!J6825)+(Sens!J6826+Sens!J6828+Sens!J6830-Sens!J6832)</f>
        <v>0</v>
      </c>
      <c r="K6834" s="27" t="n">
        <f aca="false">(Sens!K6813+Sens!K6818+Sens!K6819+Sens!K6821+Sens!K6823-Sens!K6825)+(Sens!K6826+Sens!K6828+Sens!K6830-Sens!K6832)</f>
        <v>0</v>
      </c>
    </row>
    <row r="6835" customFormat="false" ht="17.15" hidden="false" customHeight="false" outlineLevel="0" collapsed="false">
      <c r="A6835" s="3" t="s">
        <v>1782</v>
      </c>
    </row>
    <row r="6836" customFormat="false" ht="15" hidden="false" customHeight="false" outlineLevel="0" collapsed="false">
      <c r="A6836" s="4" t="s">
        <v>43</v>
      </c>
      <c r="B6836" s="4" t="s">
        <v>65</v>
      </c>
      <c r="C6836" s="23" t="s">
        <v>942</v>
      </c>
      <c r="D6836" s="23" t="s">
        <v>943</v>
      </c>
      <c r="E6836" s="23" t="s">
        <v>944</v>
      </c>
      <c r="F6836" s="23" t="s">
        <v>945</v>
      </c>
      <c r="G6836" s="23" t="s">
        <v>946</v>
      </c>
      <c r="H6836" s="23" t="s">
        <v>947</v>
      </c>
      <c r="I6836" s="23" t="s">
        <v>948</v>
      </c>
      <c r="J6836" s="23" t="s">
        <v>949</v>
      </c>
      <c r="K6836" s="23" t="s">
        <v>950</v>
      </c>
      <c r="L6836" s="4" t="s">
        <v>47</v>
      </c>
    </row>
    <row r="6837" customFormat="false" ht="15" hidden="false" customHeight="false" outlineLevel="0" collapsed="false">
      <c r="A6837" s="0" t="s">
        <v>1029</v>
      </c>
      <c r="B6837" s="0" t="s">
        <v>98</v>
      </c>
      <c r="D6837" s="6" t="n">
        <f aca="false">Sens!D6813</f>
        <v>72.61</v>
      </c>
      <c r="E6837" s="6" t="n">
        <f aca="false">Sens!E6813</f>
        <v>101.938</v>
      </c>
      <c r="F6837" s="6" t="n">
        <f aca="false">Sens!F6813</f>
        <v>149.59001837225</v>
      </c>
      <c r="G6837" s="6" t="n">
        <f aca="false">Sens!G6813</f>
        <v>210.963087346352</v>
      </c>
      <c r="H6837" s="6" t="n">
        <f aca="false">Sens!H6813</f>
        <v>278.649709314524</v>
      </c>
      <c r="I6837" s="6" t="n">
        <f aca="false">Sens!I6813</f>
        <v>334.269404582332</v>
      </c>
      <c r="J6837" s="6" t="n">
        <f aca="false">Sens!J6813</f>
        <v>376.517293063672</v>
      </c>
      <c r="K6837" s="6" t="n">
        <f aca="false">Sens!K6813</f>
        <v>406.018092622804</v>
      </c>
    </row>
    <row r="6838" customFormat="false" ht="17.15" hidden="false" customHeight="false" outlineLevel="0" collapsed="false">
      <c r="A6838" s="0" t="s">
        <v>1025</v>
      </c>
      <c r="B6838" s="0" t="s">
        <v>98</v>
      </c>
      <c r="D6838" s="6" t="n">
        <f aca="false">Sens!D6810</f>
        <v>12.9359794422418</v>
      </c>
      <c r="E6838" s="6" t="n">
        <f aca="false">Sens!E6810</f>
        <v>27.8095064661409</v>
      </c>
      <c r="F6838" s="6" t="n">
        <f aca="false">Sens!F6810</f>
        <v>59.1034165651511</v>
      </c>
      <c r="G6838" s="6" t="n">
        <f aca="false">Sens!G6810</f>
        <v>103.451498789198</v>
      </c>
      <c r="H6838" s="6" t="n">
        <f aca="false">Sens!H6810</f>
        <v>153.816719989035</v>
      </c>
      <c r="I6838" s="6" t="n">
        <f aca="false">Sens!I6810</f>
        <v>192.699478690852</v>
      </c>
      <c r="J6838" s="6" t="n">
        <f aca="false">Sens!J6810</f>
        <v>219.794102584244</v>
      </c>
      <c r="K6838" s="6" t="n">
        <f aca="false">Sens!K6810</f>
        <v>236.757046905022</v>
      </c>
    </row>
    <row r="6839" customFormat="false" ht="17.15" hidden="false" customHeight="false" outlineLevel="0" collapsed="false">
      <c r="A6839" s="0" t="s">
        <v>1056</v>
      </c>
      <c r="B6839" s="0" t="s">
        <v>98</v>
      </c>
      <c r="D6839" s="6" t="n">
        <f aca="false">Sens!D6811</f>
        <v>59.6740205577583</v>
      </c>
      <c r="E6839" s="6" t="n">
        <f aca="false">Sens!E6811</f>
        <v>74.1284935338591</v>
      </c>
      <c r="F6839" s="6" t="n">
        <f aca="false">Sens!F6811</f>
        <v>90.4866018070994</v>
      </c>
      <c r="G6839" s="6" t="n">
        <f aca="false">Sens!G6811</f>
        <v>107.511588557154</v>
      </c>
      <c r="H6839" s="6" t="n">
        <f aca="false">Sens!H6811</f>
        <v>124.832989325489</v>
      </c>
      <c r="I6839" s="6" t="n">
        <f aca="false">Sens!I6811</f>
        <v>141.56992589148</v>
      </c>
      <c r="J6839" s="6" t="n">
        <f aca="false">Sens!J6811</f>
        <v>156.723190479428</v>
      </c>
      <c r="K6839" s="6" t="n">
        <f aca="false">Sens!K6811</f>
        <v>169.261045717783</v>
      </c>
    </row>
    <row r="6840" customFormat="false" ht="15" hidden="false" customHeight="false" outlineLevel="0" collapsed="false">
      <c r="A6840" s="0" t="s">
        <v>1036</v>
      </c>
      <c r="B6840" s="0" t="s">
        <v>98</v>
      </c>
      <c r="D6840" s="6" t="n">
        <f aca="false">Sens!D6818</f>
        <v>84.605</v>
      </c>
      <c r="E6840" s="6" t="n">
        <f aca="false">Sens!E6818</f>
        <v>100.299</v>
      </c>
      <c r="F6840" s="6" t="n">
        <f aca="false">Sens!F6818</f>
        <v>118.011178943761</v>
      </c>
      <c r="G6840" s="6" t="n">
        <f aca="false">Sens!G6818</f>
        <v>134.648043494744</v>
      </c>
      <c r="H6840" s="6" t="n">
        <f aca="false">Sens!H6818</f>
        <v>151.366218374114</v>
      </c>
      <c r="I6840" s="6" t="n">
        <f aca="false">Sens!I6818</f>
        <v>166.783087675019</v>
      </c>
      <c r="J6840" s="6" t="n">
        <f aca="false">Sens!J6818</f>
        <v>180.617525187072</v>
      </c>
      <c r="K6840" s="6" t="n">
        <f aca="false">Sens!K6818</f>
        <v>193.699501950167</v>
      </c>
    </row>
    <row r="6841" customFormat="false" ht="17.15" hidden="false" customHeight="false" outlineLevel="0" collapsed="false">
      <c r="A6841" s="0" t="s">
        <v>1057</v>
      </c>
      <c r="B6841" s="0" t="s">
        <v>98</v>
      </c>
      <c r="D6841" s="6" t="n">
        <f aca="false">Sens!D6816</f>
        <v>83.705</v>
      </c>
      <c r="E6841" s="6" t="n">
        <f aca="false">Sens!E6816</f>
        <v>95.049</v>
      </c>
      <c r="F6841" s="6" t="n">
        <f aca="false">Sens!F6816</f>
        <v>106.761178943761</v>
      </c>
      <c r="G6841" s="6" t="n">
        <f aca="false">Sens!G6816</f>
        <v>118.898043494744</v>
      </c>
      <c r="H6841" s="6" t="n">
        <f aca="false">Sens!H6816</f>
        <v>131.116218374114</v>
      </c>
      <c r="I6841" s="6" t="n">
        <f aca="false">Sens!I6816</f>
        <v>143.158087675019</v>
      </c>
      <c r="J6841" s="6" t="n">
        <f aca="false">Sens!J6816</f>
        <v>154.742525187072</v>
      </c>
      <c r="K6841" s="6" t="n">
        <f aca="false">Sens!K6816</f>
        <v>165.574501950167</v>
      </c>
    </row>
    <row r="6842" customFormat="false" ht="17.15" hidden="false" customHeight="false" outlineLevel="0" collapsed="false">
      <c r="A6842" s="0" t="s">
        <v>1058</v>
      </c>
      <c r="B6842" s="0" t="s">
        <v>98</v>
      </c>
      <c r="D6842" s="6" t="n">
        <f aca="false">Sens!D6815</f>
        <v>0.9</v>
      </c>
      <c r="E6842" s="6" t="n">
        <f aca="false">Sens!E6815</f>
        <v>5.25</v>
      </c>
      <c r="F6842" s="6" t="n">
        <f aca="false">Sens!F6815</f>
        <v>11.25</v>
      </c>
      <c r="G6842" s="6" t="n">
        <f aca="false">Sens!G6815</f>
        <v>15.75</v>
      </c>
      <c r="H6842" s="6" t="n">
        <f aca="false">Sens!H6815</f>
        <v>20.25</v>
      </c>
      <c r="I6842" s="6" t="n">
        <f aca="false">Sens!I6815</f>
        <v>23.625</v>
      </c>
      <c r="J6842" s="6" t="n">
        <f aca="false">Sens!J6815</f>
        <v>25.875</v>
      </c>
      <c r="K6842" s="6" t="n">
        <f aca="false">Sens!K6815</f>
        <v>28.125</v>
      </c>
    </row>
    <row r="6843" customFormat="false" ht="15" hidden="false" customHeight="false" outlineLevel="0" collapsed="false">
      <c r="A6843" s="0" t="s">
        <v>1037</v>
      </c>
      <c r="B6843" s="0" t="s">
        <v>98</v>
      </c>
      <c r="D6843" s="6" t="n">
        <f aca="false">Sens!D6819</f>
        <v>35.391</v>
      </c>
      <c r="E6843" s="6" t="n">
        <f aca="false">Sens!E6819</f>
        <v>37.285</v>
      </c>
      <c r="F6843" s="6" t="n">
        <f aca="false">Sens!F6819</f>
        <v>38.3851437782675</v>
      </c>
      <c r="G6843" s="6" t="n">
        <f aca="false">Sens!G6819</f>
        <v>40.0105353288615</v>
      </c>
      <c r="H6843" s="6" t="n">
        <f aca="false">Sens!H6819</f>
        <v>41.4812512033683</v>
      </c>
      <c r="I6843" s="6" t="n">
        <f aca="false">Sens!I6819</f>
        <v>42.7743107216329</v>
      </c>
      <c r="J6843" s="6" t="n">
        <f aca="false">Sens!J6819</f>
        <v>43.8687373064601</v>
      </c>
      <c r="K6843" s="6" t="n">
        <f aca="false">Sens!K6819</f>
        <v>44.7461120525893</v>
      </c>
    </row>
    <row r="6844" customFormat="false" ht="15" hidden="false" customHeight="false" outlineLevel="0" collapsed="false">
      <c r="A6844" s="0" t="s">
        <v>1039</v>
      </c>
      <c r="B6844" s="0" t="s">
        <v>98</v>
      </c>
      <c r="D6844" s="6" t="n">
        <f aca="false">Sens!D6821</f>
        <v>18.417</v>
      </c>
      <c r="E6844" s="6" t="n">
        <f aca="false">Sens!E6821</f>
        <v>20.345</v>
      </c>
      <c r="F6844" s="6" t="n">
        <f aca="false">Sens!F6821</f>
        <v>22.3161797133988</v>
      </c>
      <c r="G6844" s="6" t="n">
        <f aca="false">Sens!G6821</f>
        <v>24.3943499673233</v>
      </c>
      <c r="H6844" s="6" t="n">
        <f aca="false">Sens!H6821</f>
        <v>26.5250243109019</v>
      </c>
      <c r="I6844" s="6" t="n">
        <f aca="false">Sens!I6821</f>
        <v>28.6884573538181</v>
      </c>
      <c r="J6844" s="6" t="n">
        <f aca="false">Sens!J6821</f>
        <v>30.8624968052127</v>
      </c>
      <c r="K6844" s="6" t="n">
        <f aca="false">Sens!K6821</f>
        <v>33.0228715815776</v>
      </c>
    </row>
    <row r="6845" customFormat="false" ht="15" hidden="false" customHeight="false" outlineLevel="0" collapsed="false">
      <c r="A6845" s="0" t="s">
        <v>1040</v>
      </c>
      <c r="B6845" s="0" t="s">
        <v>98</v>
      </c>
      <c r="D6845" s="6" t="n">
        <f aca="false">Sens!D6823</f>
        <v>7.76</v>
      </c>
      <c r="E6845" s="6" t="n">
        <f aca="false">Sens!E6823</f>
        <v>8.26</v>
      </c>
      <c r="F6845" s="6" t="n">
        <f aca="false">Sens!F6823</f>
        <v>8.75372082474227</v>
      </c>
      <c r="G6845" s="6" t="n">
        <f aca="false">Sens!G6823</f>
        <v>9.33399324642364</v>
      </c>
      <c r="H6845" s="6" t="n">
        <f aca="false">Sens!H6823</f>
        <v>9.96139155535851</v>
      </c>
      <c r="I6845" s="6" t="n">
        <f aca="false">Sens!I6823</f>
        <v>10.6402039077391</v>
      </c>
      <c r="J6845" s="6" t="n">
        <f aca="false">Sens!J6823</f>
        <v>11.3751458271397</v>
      </c>
      <c r="K6845" s="6" t="n">
        <f aca="false">Sens!K6823</f>
        <v>12.1714060350394</v>
      </c>
    </row>
    <row r="6846" customFormat="false" ht="15" hidden="false" customHeight="false" outlineLevel="0" collapsed="false">
      <c r="A6846" s="0" t="s">
        <v>856</v>
      </c>
      <c r="B6846" s="0" t="s">
        <v>98</v>
      </c>
      <c r="D6846" s="6" t="n">
        <f aca="false">Sens!D6825</f>
        <v>218.783</v>
      </c>
      <c r="E6846" s="6" t="n">
        <f aca="false">Sens!E6825</f>
        <v>268.127</v>
      </c>
      <c r="F6846" s="6" t="n">
        <f aca="false">Sens!F6825</f>
        <v>337.05624163242</v>
      </c>
      <c r="G6846" s="6" t="n">
        <f aca="false">Sens!G6825</f>
        <v>419.350009383705</v>
      </c>
      <c r="H6846" s="6" t="n">
        <f aca="false">Sens!H6825</f>
        <v>507.983594758267</v>
      </c>
      <c r="I6846" s="6" t="n">
        <f aca="false">Sens!I6825</f>
        <v>583.155464240541</v>
      </c>
      <c r="J6846" s="6" t="n">
        <f aca="false">Sens!J6825</f>
        <v>643.241198189557</v>
      </c>
      <c r="K6846" s="6" t="n">
        <f aca="false">Sens!K6825</f>
        <v>689.657984242178</v>
      </c>
    </row>
    <row r="6847" customFormat="false" ht="15" hidden="false" customHeight="false" outlineLevel="0" collapsed="false">
      <c r="A6847" s="0" t="s">
        <v>1041</v>
      </c>
      <c r="B6847" s="0" t="s">
        <v>98</v>
      </c>
      <c r="D6847" s="6" t="n">
        <f aca="false">Sens!D6826</f>
        <v>22.171</v>
      </c>
      <c r="E6847" s="6" t="n">
        <f aca="false">Sens!E6826</f>
        <v>24.835</v>
      </c>
      <c r="F6847" s="6" t="n">
        <f aca="false">Sens!F6826</f>
        <v>27.5591895660247</v>
      </c>
      <c r="G6847" s="6" t="n">
        <f aca="false">Sens!G6826</f>
        <v>30.4098563144583</v>
      </c>
      <c r="H6847" s="6" t="n">
        <f aca="false">Sens!H6826</f>
        <v>33.3011792571777</v>
      </c>
      <c r="I6847" s="6" t="n">
        <f aca="false">Sens!I6826</f>
        <v>36.189023797112</v>
      </c>
      <c r="J6847" s="6" t="n">
        <f aca="false">Sens!J6826</f>
        <v>39.0247773769199</v>
      </c>
      <c r="K6847" s="6" t="n">
        <f aca="false">Sens!K6826</f>
        <v>41.7565117933043</v>
      </c>
    </row>
    <row r="6848" customFormat="false" ht="15" hidden="false" customHeight="false" outlineLevel="0" collapsed="false">
      <c r="A6848" s="0" t="s">
        <v>1042</v>
      </c>
      <c r="B6848" s="0" t="s">
        <v>98</v>
      </c>
      <c r="D6848" s="6" t="n">
        <f aca="false">Sens!D6828</f>
        <v>23.455</v>
      </c>
      <c r="E6848" s="6" t="n">
        <f aca="false">Sens!E6828</f>
        <v>21.79</v>
      </c>
      <c r="F6848" s="6" t="n">
        <f aca="false">Sens!F6828</f>
        <v>20.7520981041711</v>
      </c>
      <c r="G6848" s="6" t="n">
        <f aca="false">Sens!G6828</f>
        <v>19.9083593495882</v>
      </c>
      <c r="H6848" s="6" t="n">
        <f aca="false">Sens!H6828</f>
        <v>19.4008256265831</v>
      </c>
      <c r="I6848" s="6" t="n">
        <f aca="false">Sens!I6828</f>
        <v>19.200434522122</v>
      </c>
      <c r="J6848" s="6" t="n">
        <f aca="false">Sens!J6828</f>
        <v>19.2932782348507</v>
      </c>
      <c r="K6848" s="6" t="n">
        <f aca="false">Sens!K6828</f>
        <v>19.6791437995477</v>
      </c>
    </row>
    <row r="6849" customFormat="false" ht="15" hidden="false" customHeight="false" outlineLevel="0" collapsed="false">
      <c r="A6849" s="0" t="s">
        <v>1043</v>
      </c>
      <c r="B6849" s="0" t="s">
        <v>98</v>
      </c>
      <c r="D6849" s="6" t="n">
        <f aca="false">Sens!D6830</f>
        <v>17.315</v>
      </c>
      <c r="E6849" s="6" t="n">
        <f aca="false">Sens!E6830</f>
        <v>17.087</v>
      </c>
      <c r="F6849" s="6" t="n">
        <f aca="false">Sens!F6830</f>
        <v>15.9912273250553</v>
      </c>
      <c r="G6849" s="6" t="n">
        <f aca="false">Sens!G6830</f>
        <v>15.9574562664827</v>
      </c>
      <c r="H6849" s="6" t="n">
        <f aca="false">Sens!H6830</f>
        <v>16.0119687434196</v>
      </c>
      <c r="I6849" s="6" t="n">
        <f aca="false">Sens!I6830</f>
        <v>16.1551810001948</v>
      </c>
      <c r="J6849" s="6" t="n">
        <f aca="false">Sens!J6830</f>
        <v>16.3889793892005</v>
      </c>
      <c r="K6849" s="6" t="n">
        <f aca="false">Sens!K6830</f>
        <v>16.7167589769845</v>
      </c>
    </row>
    <row r="6850" customFormat="false" ht="15" hidden="false" customHeight="false" outlineLevel="0" collapsed="false">
      <c r="A6850" s="0" t="s">
        <v>870</v>
      </c>
      <c r="B6850" s="0" t="s">
        <v>98</v>
      </c>
      <c r="D6850" s="6" t="n">
        <f aca="false">Sens!D6832</f>
        <v>62.941</v>
      </c>
      <c r="E6850" s="6" t="n">
        <f aca="false">Sens!E6832</f>
        <v>63.712</v>
      </c>
      <c r="F6850" s="6" t="n">
        <f aca="false">Sens!F6832</f>
        <v>64.3025149952511</v>
      </c>
      <c r="G6850" s="6" t="n">
        <f aca="false">Sens!G6832</f>
        <v>66.2756719305292</v>
      </c>
      <c r="H6850" s="6" t="n">
        <f aca="false">Sens!H6832</f>
        <v>68.7139736271804</v>
      </c>
      <c r="I6850" s="6" t="n">
        <f aca="false">Sens!I6832</f>
        <v>71.5446393194289</v>
      </c>
      <c r="J6850" s="6" t="n">
        <f aca="false">Sens!J6832</f>
        <v>74.707035000971</v>
      </c>
      <c r="K6850" s="6" t="n">
        <f aca="false">Sens!K6832</f>
        <v>78.1524145698365</v>
      </c>
    </row>
    <row r="6851" customFormat="false" ht="15" hidden="false" customHeight="false" outlineLevel="0" collapsed="false">
      <c r="A6851" s="1" t="s">
        <v>1059</v>
      </c>
      <c r="B6851" s="0" t="s">
        <v>98</v>
      </c>
      <c r="D6851" s="6" t="n">
        <f aca="false">Sens!D6833</f>
        <v>281.724</v>
      </c>
      <c r="E6851" s="6" t="n">
        <f aca="false">Sens!E6833</f>
        <v>331.839</v>
      </c>
      <c r="F6851" s="6" t="n">
        <f aca="false">Sens!F6833</f>
        <v>401.358756627672</v>
      </c>
      <c r="G6851" s="6" t="n">
        <f aca="false">Sens!G6833</f>
        <v>485.625681314234</v>
      </c>
      <c r="H6851" s="6" t="n">
        <f aca="false">Sens!H6833</f>
        <v>576.697568385447</v>
      </c>
      <c r="I6851" s="6" t="n">
        <f aca="false">Sens!I6833</f>
        <v>654.70010355997</v>
      </c>
      <c r="J6851" s="6" t="n">
        <f aca="false">Sens!J6833</f>
        <v>717.948233190528</v>
      </c>
      <c r="K6851" s="6" t="n">
        <f aca="false">Sens!K6833</f>
        <v>767.810398812015</v>
      </c>
    </row>
    <row r="6852" customFormat="false" ht="15" hidden="false" customHeight="false" outlineLevel="0" collapsed="false">
      <c r="A6852" s="1" t="s">
        <v>1060</v>
      </c>
      <c r="B6852" s="0" t="s">
        <v>168</v>
      </c>
      <c r="E6852" s="7" t="n">
        <f aca="false">Sens!E6851/Sens!D6851-1</f>
        <v>0.177886867998467</v>
      </c>
      <c r="F6852" s="7" t="n">
        <f aca="false">Sens!F6851/Sens!E6851-1</f>
        <v>0.209498451440824</v>
      </c>
      <c r="G6852" s="7" t="n">
        <f aca="false">Sens!G6851/Sens!F6851-1</f>
        <v>0.209954120335127</v>
      </c>
      <c r="H6852" s="7" t="n">
        <f aca="false">Sens!H6851/Sens!G6851-1</f>
        <v>0.18753515428745</v>
      </c>
      <c r="I6852" s="7" t="n">
        <f aca="false">Sens!I6851/Sens!H6851-1</f>
        <v>0.135257263859985</v>
      </c>
      <c r="J6852" s="7" t="n">
        <f aca="false">Sens!J6851/Sens!I6851-1</f>
        <v>0.0966062618390351</v>
      </c>
      <c r="K6852" s="7" t="n">
        <f aca="false">Sens!K6851/Sens!J6851-1</f>
        <v>0.0694509204373994</v>
      </c>
    </row>
    <row r="6853" customFormat="false" ht="17.15" hidden="false" customHeight="false" outlineLevel="0" collapsed="false">
      <c r="A6853" s="26" t="s">
        <v>1061</v>
      </c>
      <c r="B6853" s="31" t="s">
        <v>98</v>
      </c>
      <c r="C6853" s="31"/>
      <c r="D6853" s="27" t="n">
        <f aca="false">(Sens!D6846+Sens!D6850-Sens!D6851)+(Sens!D6838+Sens!D6839-Sens!D6837)+(Sens!D6841+Sens!D6842-Sens!D6840)+(Sens!D6851-Q!L18)</f>
        <v>0</v>
      </c>
      <c r="E6853" s="27" t="n">
        <f aca="false">(Sens!E6846+Sens!E6850-Sens!E6851)+(Sens!E6838+Sens!E6839-Sens!E6837)+(Sens!E6841+Sens!E6842-Sens!E6840)+(Sens!E6851-Q!M18)</f>
        <v>0</v>
      </c>
      <c r="F6853" s="27" t="n">
        <f aca="false">(Sens!F6846+Sens!F6850-Sens!F6851)+(Sens!F6838+Sens!F6839-Sens!F6837)+(Sens!F6841+Sens!F6842-Sens!F6840)</f>
        <v>0</v>
      </c>
      <c r="G6853" s="27" t="n">
        <f aca="false">(Sens!G6846+Sens!G6850-Sens!G6851)+(Sens!G6838+Sens!G6839-Sens!G6837)+(Sens!G6841+Sens!G6842-Sens!G6840)</f>
        <v>0</v>
      </c>
      <c r="H6853" s="27" t="n">
        <f aca="false">(Sens!H6846+Sens!H6850-Sens!H6851)+(Sens!H6838+Sens!H6839-Sens!H6837)+(Sens!H6841+Sens!H6842-Sens!H6840)</f>
        <v>0</v>
      </c>
      <c r="I6853" s="27" t="n">
        <f aca="false">(Sens!I6846+Sens!I6850-Sens!I6851)+(Sens!I6838+Sens!I6839-Sens!I6837)+(Sens!I6841+Sens!I6842-Sens!I6840)</f>
        <v>0</v>
      </c>
      <c r="J6853" s="27" t="n">
        <f aca="false">(Sens!J6846+Sens!J6850-Sens!J6851)+(Sens!J6838+Sens!J6839-Sens!J6837)+(Sens!J6841+Sens!J6842-Sens!J6840)</f>
        <v>0</v>
      </c>
      <c r="K6853" s="27" t="n">
        <f aca="false">(Sens!K6846+Sens!K6850-Sens!K6851)+(Sens!K6838+Sens!K6839-Sens!K6837)+(Sens!K6841+Sens!K6842-Sens!K6840)</f>
        <v>0</v>
      </c>
    </row>
    <row r="6854" customFormat="false" ht="17.15" hidden="false" customHeight="false" outlineLevel="0" collapsed="false">
      <c r="A6854" s="0" t="s">
        <v>1062</v>
      </c>
      <c r="B6854" s="0" t="s">
        <v>168</v>
      </c>
      <c r="E6854" s="7" t="n">
        <f aca="false">(Q!M21+Sens!E6790+Sens!E6791+Sens!E6792+Sens!E6806-Sens!E6788)/(Q!M5-Sens!E6788)</f>
        <v>0.570957350878296</v>
      </c>
      <c r="F6854" s="7" t="n">
        <f aca="false">Sens!$E$6854+dm_seg</f>
        <v>0.570957350878296</v>
      </c>
      <c r="G6854" s="7" t="n">
        <f aca="false">Sens!$E$6854+dm_seg</f>
        <v>0.570957350878296</v>
      </c>
      <c r="H6854" s="7" t="n">
        <f aca="false">Sens!$E$6854+dm_seg</f>
        <v>0.570957350878296</v>
      </c>
      <c r="I6854" s="7" t="n">
        <f aca="false">Sens!$E$6854+dm_seg</f>
        <v>0.570957350878296</v>
      </c>
      <c r="J6854" s="7" t="n">
        <f aca="false">Sens!$E$6854+dm_seg</f>
        <v>0.570957350878296</v>
      </c>
      <c r="K6854" s="7" t="n">
        <f aca="false">Sens!$E$6854+dm_seg</f>
        <v>0.570957350878296</v>
      </c>
      <c r="L6854" s="12" t="s">
        <v>1063</v>
      </c>
    </row>
    <row r="6855" customFormat="false" ht="17.15" hidden="false" customHeight="false" outlineLevel="0" collapsed="false">
      <c r="A6855" s="0" t="s">
        <v>884</v>
      </c>
      <c r="B6855" s="0" t="s">
        <v>98</v>
      </c>
      <c r="D6855" s="6" t="n">
        <f aca="false">Q!L21</f>
        <v>110.814</v>
      </c>
      <c r="E6855" s="6" t="n">
        <f aca="false">Q!M21</f>
        <v>136.365</v>
      </c>
      <c r="F6855" s="6" t="n">
        <f aca="false">Q!$I$21+(Sens!F6854*(Sens!F6825-Sens!F6788)+Sens!F6788-(Sens!F6790+Sens!F6791+Sens!F6792)-Sens!F6806-Sens!F6889)*(Sens!F6825-Q!$I$5)/Sens!F6825</f>
        <v>164.561288316581</v>
      </c>
      <c r="G6855" s="6" t="n">
        <f aca="false">(Sens!G6854*(Sens!G6825-Sens!G6788)+Sens!G6788-(Sens!G6790+Sens!G6791+Sens!G6792)-Sens!G6806-Sens!G6889)</f>
        <v>187.990644103498</v>
      </c>
      <c r="H6855" s="6" t="n">
        <f aca="false">(Sens!H6854*(Sens!H6825-Sens!H6788)+Sens!H6788-(Sens!H6790+Sens!H6791+Sens!H6792)-Sens!H6806-Sens!H6889)</f>
        <v>219.712003737698</v>
      </c>
      <c r="I6855" s="6" t="n">
        <f aca="false">(Sens!I6854*(Sens!I6825-Sens!I6788)+Sens!I6788-(Sens!I6790+Sens!I6791+Sens!I6792)-Sens!I6806-Sens!I6889)</f>
        <v>243.685904467133</v>
      </c>
      <c r="J6855" s="6" t="n">
        <f aca="false">(Sens!J6854*(Sens!J6825-Sens!J6788)+Sens!J6788-(Sens!J6790+Sens!J6791+Sens!J6792)-Sens!J6806-Sens!J6889)</f>
        <v>264.687434960973</v>
      </c>
      <c r="K6855" s="6" t="n">
        <f aca="false">(Sens!K6854*(Sens!K6825-Sens!K6788)+Sens!K6788-(Sens!K6790+Sens!K6791+Sens!K6792)-Sens!K6806-Sens!K6889)</f>
        <v>283.414999655402</v>
      </c>
      <c r="L6855" s="1" t="s">
        <v>1064</v>
      </c>
    </row>
    <row r="6856" customFormat="false" ht="17.15" hidden="false" customHeight="false" outlineLevel="0" collapsed="false">
      <c r="A6856" s="0" t="s">
        <v>1065</v>
      </c>
      <c r="B6856" s="0" t="s">
        <v>168</v>
      </c>
      <c r="E6856" s="7" t="n">
        <f aca="false">Q!M22/Q!M12</f>
        <v>0.296207935710698</v>
      </c>
      <c r="F6856" s="7" t="n">
        <f aca="false">Sens!$E$6856+dm_seg</f>
        <v>0.296207935710698</v>
      </c>
      <c r="G6856" s="7" t="n">
        <f aca="false">Sens!$E$6856+dm_seg</f>
        <v>0.296207935710698</v>
      </c>
      <c r="H6856" s="7" t="n">
        <f aca="false">Sens!$E$6856+dm_seg</f>
        <v>0.296207935710698</v>
      </c>
      <c r="I6856" s="7" t="n">
        <f aca="false">Sens!$E$6856+dm_seg</f>
        <v>0.296207935710698</v>
      </c>
      <c r="J6856" s="7" t="n">
        <f aca="false">Sens!$E$6856+dm_seg</f>
        <v>0.296207935710698</v>
      </c>
      <c r="K6856" s="7" t="n">
        <f aca="false">Sens!$E$6856+dm_seg</f>
        <v>0.296207935710698</v>
      </c>
      <c r="L6856" s="12" t="s">
        <v>1066</v>
      </c>
    </row>
    <row r="6857" customFormat="false" ht="17.15" hidden="false" customHeight="false" outlineLevel="0" collapsed="false">
      <c r="A6857" s="0" t="s">
        <v>886</v>
      </c>
      <c r="B6857" s="0" t="s">
        <v>98</v>
      </c>
      <c r="D6857" s="6" t="n">
        <f aca="false">Q!L22</f>
        <v>17.714</v>
      </c>
      <c r="E6857" s="6" t="n">
        <f aca="false">Q!M22</f>
        <v>18.872</v>
      </c>
      <c r="F6857" s="6" t="n">
        <f aca="false">Q!$I$22+(Sens!F6832-Q!$I$12)*Sens!F6856</f>
        <v>19.8174315512051</v>
      </c>
      <c r="G6857" s="6" t="n">
        <f aca="false">Sens!G6832*Sens!G6856</f>
        <v>19.6313799703815</v>
      </c>
      <c r="H6857" s="6" t="n">
        <f aca="false">Sens!H6832*Sens!H6856</f>
        <v>20.3536242825865</v>
      </c>
      <c r="I6857" s="6" t="n">
        <f aca="false">Sens!I6832*Sens!I6856</f>
        <v>21.1920899239745</v>
      </c>
      <c r="J6857" s="6" t="n">
        <f aca="false">Sens!J6832*Sens!J6856</f>
        <v>22.1288166207045</v>
      </c>
      <c r="K6857" s="6" t="n">
        <f aca="false">Sens!K6832*Sens!K6856</f>
        <v>23.1493653905379</v>
      </c>
      <c r="L6857" s="12" t="s">
        <v>1067</v>
      </c>
    </row>
    <row r="6858" customFormat="false" ht="15" hidden="false" customHeight="false" outlineLevel="0" collapsed="false">
      <c r="A6858" s="1" t="s">
        <v>1068</v>
      </c>
      <c r="B6858" s="0" t="s">
        <v>98</v>
      </c>
      <c r="D6858" s="6" t="n">
        <f aca="false">Sens!D6855+Sens!D6857</f>
        <v>128.528</v>
      </c>
      <c r="E6858" s="6" t="n">
        <f aca="false">Sens!E6855+Sens!E6857</f>
        <v>155.237</v>
      </c>
      <c r="F6858" s="6" t="n">
        <f aca="false">Sens!F6855+Sens!F6857</f>
        <v>184.378719867786</v>
      </c>
      <c r="G6858" s="6" t="n">
        <f aca="false">Sens!G6855+Sens!G6857</f>
        <v>207.62202407388</v>
      </c>
      <c r="H6858" s="6" t="n">
        <f aca="false">Sens!H6855+Sens!H6857</f>
        <v>240.065628020285</v>
      </c>
      <c r="I6858" s="6" t="n">
        <f aca="false">Sens!I6855+Sens!I6857</f>
        <v>264.877994391108</v>
      </c>
      <c r="J6858" s="6" t="n">
        <f aca="false">Sens!J6855+Sens!J6857</f>
        <v>286.816251581678</v>
      </c>
      <c r="K6858" s="6" t="n">
        <f aca="false">Sens!K6855+Sens!K6857</f>
        <v>306.56436504594</v>
      </c>
    </row>
    <row r="6859" customFormat="false" ht="15" hidden="false" customHeight="false" outlineLevel="0" collapsed="false">
      <c r="A6859" s="26" t="s">
        <v>1069</v>
      </c>
      <c r="B6859" s="31" t="s">
        <v>98</v>
      </c>
      <c r="C6859" s="31"/>
      <c r="D6859" s="27" t="n">
        <f aca="false">Sens!D6858-Q!L23</f>
        <v>0</v>
      </c>
      <c r="E6859" s="27" t="n">
        <f aca="false">Sens!E6858-Q!M23</f>
        <v>0</v>
      </c>
      <c r="F6859" s="31"/>
      <c r="G6859" s="31"/>
      <c r="H6859" s="31"/>
      <c r="I6859" s="31"/>
      <c r="J6859" s="31"/>
      <c r="K6859" s="31"/>
    </row>
    <row r="6860" customFormat="false" ht="15" hidden="false" customHeight="false" outlineLevel="0" collapsed="false">
      <c r="A6860" s="1" t="s">
        <v>1070</v>
      </c>
      <c r="B6860" s="0" t="s">
        <v>168</v>
      </c>
      <c r="D6860" s="7" t="n">
        <f aca="false">Sens!D6858/Sens!D6851</f>
        <v>0.456219562408598</v>
      </c>
      <c r="E6860" s="7" t="n">
        <f aca="false">Sens!E6858/Sens!E6851</f>
        <v>0.467808184089272</v>
      </c>
      <c r="F6860" s="7" t="n">
        <f aca="false">Sens!F6858/Sens!F6851</f>
        <v>0.459386314171859</v>
      </c>
      <c r="G6860" s="7" t="n">
        <f aca="false">Sens!G6858/Sens!G6851</f>
        <v>0.427535099692418</v>
      </c>
      <c r="H6860" s="7" t="n">
        <f aca="false">Sens!H6858/Sens!H6851</f>
        <v>0.416276469991689</v>
      </c>
      <c r="I6860" s="7" t="n">
        <f aca="false">Sens!I6858/Sens!I6851</f>
        <v>0.404579124015436</v>
      </c>
      <c r="J6860" s="7" t="n">
        <f aca="false">Sens!J6858/Sens!J6851</f>
        <v>0.39949433444119</v>
      </c>
      <c r="K6860" s="7" t="n">
        <f aca="false">Sens!K6858/Sens!K6851</f>
        <v>0.399270920946458</v>
      </c>
    </row>
    <row r="6861" customFormat="false" ht="17.15" hidden="false" customHeight="false" outlineLevel="0" collapsed="false">
      <c r="A6861" s="1" t="s">
        <v>1071</v>
      </c>
      <c r="B6861" s="0" t="s">
        <v>98</v>
      </c>
      <c r="F6861" s="6" t="n">
        <f aca="false">Sens!F6876</f>
        <v>10.1680607847886</v>
      </c>
      <c r="G6861" s="6" t="n">
        <f aca="false">Sens!G6876</f>
        <v>26.5599926354558</v>
      </c>
      <c r="H6861" s="6" t="n">
        <f aca="false">Sens!H6876</f>
        <v>44.4251154355884</v>
      </c>
      <c r="I6861" s="6" t="n">
        <f aca="false">Sens!I6876</f>
        <v>60.4883607271127</v>
      </c>
      <c r="J6861" s="6" t="n">
        <f aca="false">Sens!J6876</f>
        <v>71.6944871895105</v>
      </c>
      <c r="K6861" s="6" t="n">
        <f aca="false">Sens!K6876</f>
        <v>77.999690606174</v>
      </c>
      <c r="L6861" s="1" t="s">
        <v>1072</v>
      </c>
    </row>
    <row r="6862" customFormat="false" ht="17.15" hidden="false" customHeight="false" outlineLevel="0" collapsed="false">
      <c r="A6862" s="1" t="s">
        <v>1073</v>
      </c>
      <c r="B6862" s="0" t="s">
        <v>98</v>
      </c>
      <c r="D6862" s="6" t="n">
        <f aca="false">Sens!D6858</f>
        <v>128.528</v>
      </c>
      <c r="E6862" s="6" t="n">
        <f aca="false">Sens!E6858</f>
        <v>155.237</v>
      </c>
      <c r="F6862" s="6" t="n">
        <f aca="false">Sens!F6858+Sens!F6861</f>
        <v>194.546780652575</v>
      </c>
      <c r="G6862" s="6" t="n">
        <f aca="false">Sens!G6858+Sens!G6861</f>
        <v>234.182016709336</v>
      </c>
      <c r="H6862" s="6" t="n">
        <f aca="false">Sens!H6858+Sens!H6861</f>
        <v>284.490743455873</v>
      </c>
      <c r="I6862" s="6" t="n">
        <f aca="false">Sens!I6858+Sens!I6861</f>
        <v>325.366355118221</v>
      </c>
      <c r="J6862" s="6" t="n">
        <f aca="false">Sens!J6858+Sens!J6861</f>
        <v>358.510738771188</v>
      </c>
      <c r="K6862" s="6" t="n">
        <f aca="false">Sens!K6858+Sens!K6861</f>
        <v>384.564055652114</v>
      </c>
    </row>
    <row r="6863" customFormat="false" ht="17.15" hidden="false" customHeight="false" outlineLevel="0" collapsed="false">
      <c r="A6863" s="1" t="s">
        <v>1074</v>
      </c>
      <c r="B6863" s="0" t="s">
        <v>98</v>
      </c>
      <c r="E6863" s="6" t="n">
        <f aca="false">Sens!E6806</f>
        <v>16.3054059770833</v>
      </c>
      <c r="F6863" s="6" t="n">
        <f aca="false">Sens!F6806</f>
        <v>34.5793144783516</v>
      </c>
      <c r="G6863" s="6" t="n">
        <f aca="false">Sens!G6806</f>
        <v>60.7344906522989</v>
      </c>
      <c r="H6863" s="6" t="n">
        <f aca="false">Sens!H6806</f>
        <v>89.1000906614457</v>
      </c>
      <c r="I6863" s="6" t="n">
        <f aca="false">Sens!I6806</f>
        <v>114.231009694548</v>
      </c>
      <c r="J6863" s="6" t="n">
        <f aca="false">Sens!J6806</f>
        <v>132.015673049596</v>
      </c>
      <c r="K6863" s="6" t="n">
        <f aca="false">Sens!K6806</f>
        <v>143.012669550934</v>
      </c>
    </row>
    <row r="6864" customFormat="false" ht="17.15" hidden="false" customHeight="false" outlineLevel="0" collapsed="false">
      <c r="A6864" s="1" t="s">
        <v>1075</v>
      </c>
      <c r="B6864" s="0" t="s">
        <v>98</v>
      </c>
      <c r="E6864" s="6" t="n">
        <f aca="false">Sens!E6888</f>
        <v>22.2285940229167</v>
      </c>
      <c r="F6864" s="6" t="n">
        <f aca="false">Sens!F6888</f>
        <v>23.580344216413</v>
      </c>
      <c r="G6864" s="6" t="n">
        <f aca="false">Sens!G6888</f>
        <v>25.3185610849526</v>
      </c>
      <c r="H6864" s="6" t="n">
        <f aca="false">Sens!H6888</f>
        <v>27.4350693456137</v>
      </c>
      <c r="I6864" s="6" t="n">
        <f aca="false">Sens!I6888</f>
        <v>29.868562770327</v>
      </c>
      <c r="J6864" s="6" t="n">
        <f aca="false">Sens!J6888</f>
        <v>32.5405162344158</v>
      </c>
      <c r="K6864" s="6" t="n">
        <f aca="false">Sens!K6888</f>
        <v>35.3673839596959</v>
      </c>
    </row>
    <row r="6865" customFormat="false" ht="17.15" hidden="false" customHeight="false" outlineLevel="0" collapsed="false">
      <c r="A6865" s="1" t="s">
        <v>1076</v>
      </c>
      <c r="B6865" s="0" t="s">
        <v>98</v>
      </c>
      <c r="D6865" s="6" t="n">
        <f aca="false">Q!L27</f>
        <v>-4.901</v>
      </c>
      <c r="E6865" s="6" t="n">
        <f aca="false">Q!M27</f>
        <v>10.697</v>
      </c>
      <c r="F6865" s="6" t="n">
        <f aca="false">Q!$I$27+oie_f*(q_per_yr-1)/q_per_yr</f>
        <v>-0.862</v>
      </c>
      <c r="G6865" s="6" t="n">
        <f aca="false">oie_f</f>
        <v>-1.2</v>
      </c>
      <c r="H6865" s="6" t="n">
        <f aca="false">oie_f</f>
        <v>-1.2</v>
      </c>
      <c r="I6865" s="6" t="n">
        <f aca="false">oie_f</f>
        <v>-1.2</v>
      </c>
      <c r="J6865" s="6" t="n">
        <f aca="false">oie_f</f>
        <v>-1.2</v>
      </c>
      <c r="K6865" s="6" t="n">
        <f aca="false">oie_f</f>
        <v>-1.2</v>
      </c>
      <c r="L6865" s="12" t="s">
        <v>1077</v>
      </c>
    </row>
    <row r="6866" customFormat="false" ht="15" hidden="false" customHeight="false" outlineLevel="0" collapsed="false">
      <c r="A6866" s="1" t="s">
        <v>1078</v>
      </c>
      <c r="B6866" s="0" t="s">
        <v>98</v>
      </c>
      <c r="D6866" s="6" t="n">
        <f aca="false">Sens!D6858+Sens!D6865</f>
        <v>123.627</v>
      </c>
      <c r="E6866" s="6" t="n">
        <f aca="false">Sens!E6858+Sens!E6865</f>
        <v>165.934</v>
      </c>
      <c r="F6866" s="6" t="n">
        <f aca="false">Sens!F6858+Sens!F6865</f>
        <v>183.516719867786</v>
      </c>
      <c r="G6866" s="6" t="n">
        <f aca="false">Sens!G6858+Sens!G6865</f>
        <v>206.42202407388</v>
      </c>
      <c r="H6866" s="6" t="n">
        <f aca="false">Sens!H6858+Sens!H6865</f>
        <v>238.865628020285</v>
      </c>
      <c r="I6866" s="6" t="n">
        <f aca="false">Sens!I6858+Sens!I6865</f>
        <v>263.677994391108</v>
      </c>
      <c r="J6866" s="6" t="n">
        <f aca="false">Sens!J6858+Sens!J6865</f>
        <v>285.616251581678</v>
      </c>
      <c r="K6866" s="6" t="n">
        <f aca="false">Sens!K6858+Sens!K6865</f>
        <v>305.36436504594</v>
      </c>
    </row>
    <row r="6867" customFormat="false" ht="15" hidden="false" customHeight="false" outlineLevel="0" collapsed="false">
      <c r="A6867" s="1" t="s">
        <v>1079</v>
      </c>
      <c r="B6867" s="0" t="s">
        <v>98</v>
      </c>
      <c r="D6867" s="6" t="n">
        <f aca="false">Q!L29</f>
        <v>21.795</v>
      </c>
      <c r="E6867" s="6" t="n">
        <f aca="false">Q!M29</f>
        <v>32.185</v>
      </c>
      <c r="F6867" s="6" t="n">
        <f aca="false">Q!$I$29+(Sens!F6866-Q!$I$28)*tax_f</f>
        <v>36.8367439735572</v>
      </c>
      <c r="G6867" s="6" t="n">
        <f aca="false">Sens!G6866*tax_f</f>
        <v>41.284404814776</v>
      </c>
      <c r="H6867" s="6" t="n">
        <f aca="false">Sens!H6866*tax_f</f>
        <v>47.773125604057</v>
      </c>
      <c r="I6867" s="6" t="n">
        <f aca="false">Sens!I6866*tax_f</f>
        <v>52.7355988782216</v>
      </c>
      <c r="J6867" s="6" t="n">
        <f aca="false">Sens!J6866*tax_f</f>
        <v>57.1232503163356</v>
      </c>
      <c r="K6867" s="6" t="n">
        <f aca="false">Sens!K6866*tax_f</f>
        <v>61.072873009188</v>
      </c>
    </row>
    <row r="6868" customFormat="false" ht="15" hidden="false" customHeight="false" outlineLevel="0" collapsed="false">
      <c r="A6868" s="1" t="s">
        <v>1080</v>
      </c>
      <c r="B6868" s="0" t="s">
        <v>98</v>
      </c>
      <c r="D6868" s="6" t="n">
        <f aca="false">Sens!D6866-Sens!D6867</f>
        <v>101.832</v>
      </c>
      <c r="E6868" s="6" t="n">
        <f aca="false">Sens!E6866-Sens!E6867</f>
        <v>133.749</v>
      </c>
      <c r="F6868" s="6" t="n">
        <f aca="false">Sens!F6866-Sens!F6867</f>
        <v>146.679975894229</v>
      </c>
      <c r="G6868" s="6" t="n">
        <f aca="false">Sens!G6866-Sens!G6867</f>
        <v>165.137619259104</v>
      </c>
      <c r="H6868" s="6" t="n">
        <f aca="false">Sens!H6866-Sens!H6867</f>
        <v>191.092502416228</v>
      </c>
      <c r="I6868" s="6" t="n">
        <f aca="false">Sens!I6866-Sens!I6867</f>
        <v>210.942395512886</v>
      </c>
      <c r="J6868" s="6" t="n">
        <f aca="false">Sens!J6866-Sens!J6867</f>
        <v>228.493001265342</v>
      </c>
      <c r="K6868" s="6" t="n">
        <f aca="false">Sens!K6866-Sens!K6867</f>
        <v>244.291492036752</v>
      </c>
    </row>
    <row r="6869" customFormat="false" ht="17.15" hidden="false" customHeight="false" outlineLevel="0" collapsed="false">
      <c r="A6869" s="1" t="s">
        <v>1081</v>
      </c>
      <c r="B6869" s="1" t="s">
        <v>81</v>
      </c>
      <c r="D6869" s="15" t="n">
        <f aca="false">Q!L31</f>
        <v>7.465</v>
      </c>
      <c r="E6869" s="15" t="n">
        <f aca="false">Q!M31</f>
        <v>7.453</v>
      </c>
      <c r="F6869" s="15" t="n">
        <f aca="false">Sens!F6913</f>
        <v>7.47138504335353</v>
      </c>
      <c r="G6869" s="15" t="n">
        <f aca="false">Sens!G6913</f>
        <v>7.51351187141243</v>
      </c>
      <c r="H6869" s="15" t="n">
        <f aca="false">Sens!H6913</f>
        <v>7.54045359514661</v>
      </c>
      <c r="I6869" s="15" t="n">
        <f aca="false">Sens!I6913</f>
        <v>7.55213495920208</v>
      </c>
      <c r="J6869" s="15" t="n">
        <f aca="false">Sens!J6913</f>
        <v>7.56628437036455</v>
      </c>
      <c r="K6869" s="15" t="n">
        <f aca="false">Sens!K6913</f>
        <v>7.5827190103298</v>
      </c>
    </row>
    <row r="6870" customFormat="false" ht="17.15" hidden="false" customHeight="false" outlineLevel="0" collapsed="false">
      <c r="A6870" s="0" t="s">
        <v>1082</v>
      </c>
      <c r="B6870" s="0" t="s">
        <v>75</v>
      </c>
      <c r="D6870" s="8" t="n">
        <f aca="false">Sens!D6868/Sens!D6869</f>
        <v>13.641259209645</v>
      </c>
      <c r="E6870" s="8" t="n">
        <f aca="false">Sens!E6868/Sens!E6869</f>
        <v>17.9456594659869</v>
      </c>
      <c r="F6870" s="8" t="n">
        <f aca="false">Sens!F6868/Sens!F6869</f>
        <v>19.6322335207063</v>
      </c>
      <c r="G6870" s="8" t="n">
        <f aca="false">Sens!G6868/Sens!G6869</f>
        <v>21.9787526905259</v>
      </c>
      <c r="H6870" s="8" t="n">
        <f aca="false">Sens!H6868/Sens!H6869</f>
        <v>25.3423086562358</v>
      </c>
      <c r="I6870" s="8" t="n">
        <f aca="false">Sens!I6868/Sens!I6869</f>
        <v>27.9314917771509</v>
      </c>
      <c r="J6870" s="8" t="n">
        <f aca="false">Sens!J6868/Sens!J6869</f>
        <v>30.1988387008422</v>
      </c>
      <c r="K6870" s="8" t="n">
        <f aca="false">Sens!K6868/Sens!K6869</f>
        <v>32.2168725629894</v>
      </c>
      <c r="L6870" s="1" t="s">
        <v>1083</v>
      </c>
    </row>
    <row r="6871" customFormat="false" ht="17.15" hidden="false" customHeight="false" outlineLevel="0" collapsed="false">
      <c r="A6871" s="1" t="s">
        <v>1084</v>
      </c>
      <c r="B6871" s="0" t="s">
        <v>98</v>
      </c>
      <c r="D6871" s="6" t="n">
        <f aca="false">Sens!D6868</f>
        <v>101.832</v>
      </c>
      <c r="E6871" s="6" t="n">
        <f aca="false">Sens!E6868</f>
        <v>133.749</v>
      </c>
      <c r="F6871" s="6" t="n">
        <f aca="false">Sens!F6868+Sens!F6861*(1-tax_f)</f>
        <v>154.81442452206</v>
      </c>
      <c r="G6871" s="6" t="n">
        <f aca="false">Sens!G6868+Sens!G6861*(1-tax_f)</f>
        <v>186.385613367469</v>
      </c>
      <c r="H6871" s="6" t="n">
        <f aca="false">Sens!H6868+Sens!H6861*(1-tax_f)</f>
        <v>226.632594764699</v>
      </c>
      <c r="I6871" s="6" t="n">
        <f aca="false">Sens!I6868+Sens!I6861*(1-tax_f)</f>
        <v>259.333084094577</v>
      </c>
      <c r="J6871" s="6" t="n">
        <f aca="false">Sens!J6868+Sens!J6861*(1-tax_f)</f>
        <v>285.848591016951</v>
      </c>
      <c r="K6871" s="6" t="n">
        <f aca="false">Sens!K6868+Sens!K6861*(1-tax_f)</f>
        <v>306.691244521691</v>
      </c>
    </row>
    <row r="6872" customFormat="false" ht="17.15" hidden="false" customHeight="false" outlineLevel="0" collapsed="false">
      <c r="A6872" s="0" t="s">
        <v>1085</v>
      </c>
      <c r="B6872" s="0" t="s">
        <v>75</v>
      </c>
      <c r="D6872" s="8" t="n">
        <f aca="false">Sens!D6871/Sens!D6869</f>
        <v>13.641259209645</v>
      </c>
      <c r="E6872" s="8" t="n">
        <f aca="false">Sens!E6871/Sens!E6869</f>
        <v>17.9456594659869</v>
      </c>
      <c r="F6872" s="8" t="n">
        <f aca="false">Sens!F6871/Sens!F6869</f>
        <v>20.7209805978051</v>
      </c>
      <c r="G6872" s="8" t="n">
        <f aca="false">Sens!G6871/Sens!G6869</f>
        <v>24.8067237474705</v>
      </c>
      <c r="H6872" s="8" t="n">
        <f aca="false">Sens!H6871/Sens!H6869</f>
        <v>30.0555652130225</v>
      </c>
      <c r="I6872" s="8" t="n">
        <f aca="false">Sens!I6871/Sens!I6869</f>
        <v>34.3390426012695</v>
      </c>
      <c r="J6872" s="8" t="n">
        <f aca="false">Sens!J6871/Sens!J6869</f>
        <v>37.7792555797342</v>
      </c>
      <c r="K6872" s="8" t="n">
        <f aca="false">Sens!K6871/Sens!K6869</f>
        <v>40.4460779970735</v>
      </c>
      <c r="L6872" s="1" t="s">
        <v>1086</v>
      </c>
    </row>
    <row r="6873" customFormat="false" ht="17.15" hidden="false" customHeight="false" outlineLevel="0" collapsed="false">
      <c r="A6873" s="0" t="s">
        <v>1087</v>
      </c>
      <c r="B6873" s="0" t="s">
        <v>168</v>
      </c>
      <c r="E6873" s="7" t="n">
        <f aca="false">Sens!E6872/Sens!D6872-1</f>
        <v>0.315542736208578</v>
      </c>
      <c r="F6873" s="7" t="n">
        <f aca="false">Sens!F6872/Sens!E6872-1</f>
        <v>0.15465138726601</v>
      </c>
      <c r="G6873" s="7" t="n">
        <f aca="false">Sens!G6872/Sens!F6872-1</f>
        <v>0.197179044224297</v>
      </c>
      <c r="H6873" s="7" t="n">
        <f aca="false">Sens!H6872/Sens!G6872-1</f>
        <v>0.211589467395393</v>
      </c>
      <c r="I6873" s="7" t="n">
        <f aca="false">Sens!I6872/Sens!H6872-1</f>
        <v>0.142518610376725</v>
      </c>
      <c r="J6873" s="7" t="n">
        <f aca="false">Sens!J6872/Sens!I6872-1</f>
        <v>0.100183718527365</v>
      </c>
      <c r="K6873" s="7" t="n">
        <f aca="false">Sens!K6872/Sens!J6872-1</f>
        <v>0.0705895967619286</v>
      </c>
    </row>
    <row r="6874" customFormat="false" ht="17.15" hidden="false" customHeight="false" outlineLevel="0" collapsed="false">
      <c r="A6874" s="0" t="s">
        <v>1007</v>
      </c>
      <c r="B6874" s="0" t="s">
        <v>98</v>
      </c>
      <c r="E6874" s="6" t="n">
        <f aca="false">Sens!E6815</f>
        <v>5.25</v>
      </c>
      <c r="F6874" s="6" t="n">
        <f aca="false">Sens!F6815</f>
        <v>11.25</v>
      </c>
      <c r="G6874" s="6" t="n">
        <f aca="false">Sens!G6815</f>
        <v>15.75</v>
      </c>
      <c r="H6874" s="6" t="n">
        <f aca="false">Sens!H6815</f>
        <v>20.25</v>
      </c>
      <c r="I6874" s="6" t="n">
        <f aca="false">Sens!I6815</f>
        <v>23.625</v>
      </c>
      <c r="J6874" s="6" t="n">
        <f aca="false">Sens!J6815</f>
        <v>25.875</v>
      </c>
      <c r="K6874" s="6" t="n">
        <f aca="false">Sens!K6815</f>
        <v>28.125</v>
      </c>
    </row>
    <row r="6875" customFormat="false" ht="17.15" hidden="false" customHeight="false" outlineLevel="0" collapsed="false">
      <c r="A6875" s="1" t="s">
        <v>1008</v>
      </c>
      <c r="B6875" s="0" t="s">
        <v>98</v>
      </c>
      <c r="F6875" s="6" t="n">
        <f aca="false">MAX(0,((Sens!E6775+Sens!F6775)/2-(shadow_base*(Sens!$D$6775+Sens!$E$6775)/2+(1-shadow_base)*Sens!$E$6775))*Sens!F6784/1000-(Sens!F6874-Sens!$E$6874)*Sens!F6854)</f>
        <v>10.1680607847886</v>
      </c>
      <c r="G6875" s="6" t="n">
        <f aca="false">MAX(0,((Sens!F6775+Sens!G6775)/2-(shadow_base*(Sens!$D$6775+Sens!$E$6775)/2+(1-shadow_base)*Sens!$E$6775))*Sens!G6784/1000-(Sens!G6874-Sens!$E$6874)*Sens!G6854)</f>
        <v>26.5599926354558</v>
      </c>
      <c r="H6875" s="6" t="n">
        <f aca="false">MAX(0,((Sens!G6775+Sens!H6775)/2-(shadow_base*(Sens!$D$6775+Sens!$E$6775)/2+(1-shadow_base)*Sens!$E$6775))*Sens!H6784/1000-(Sens!H6874-Sens!$E$6874)*Sens!H6854)</f>
        <v>44.4251154355884</v>
      </c>
      <c r="I6875" s="6" t="n">
        <f aca="false">MAX(0,((Sens!H6775+Sens!I6775)/2-(shadow_base*(Sens!$D$6775+Sens!$E$6775)/2+(1-shadow_base)*Sens!$E$6775))*Sens!I6784/1000-(Sens!I6874-Sens!$E$6874)*Sens!I6854)</f>
        <v>60.4883607271127</v>
      </c>
      <c r="J6875" s="6" t="n">
        <f aca="false">MAX(0,((Sens!I6775+Sens!J6775)/2-(shadow_base*(Sens!$D$6775+Sens!$E$6775)/2+(1-shadow_base)*Sens!$E$6775))*Sens!J6784/1000-(Sens!J6874-Sens!$E$6874)*Sens!J6854)</f>
        <v>71.6944871895105</v>
      </c>
      <c r="K6875" s="6" t="n">
        <f aca="false">MAX(0,((Sens!J6775+Sens!K6775)/2-(shadow_base*(Sens!$D$6775+Sens!$E$6775)/2+(1-shadow_base)*Sens!$E$6775))*Sens!K6784/1000-(Sens!K6874-Sens!$E$6874)*Sens!K6854)</f>
        <v>77.999690606174</v>
      </c>
      <c r="L6875" s="1" t="s">
        <v>1009</v>
      </c>
    </row>
    <row r="6876" customFormat="false" ht="17.15" hidden="false" customHeight="false" outlineLevel="0" collapsed="false">
      <c r="A6876" s="1" t="s">
        <v>1010</v>
      </c>
      <c r="B6876" s="0" t="s">
        <v>98</v>
      </c>
      <c r="F6876" s="6" t="n">
        <f aca="false">IF(internal_ai_reading=2,1,0)*Sens!F6875</f>
        <v>10.1680607847886</v>
      </c>
      <c r="G6876" s="6" t="n">
        <f aca="false">IF(internal_ai_reading=2,1,0)*Sens!G6875</f>
        <v>26.5599926354558</v>
      </c>
      <c r="H6876" s="6" t="n">
        <f aca="false">IF(internal_ai_reading=2,1,0)*Sens!H6875</f>
        <v>44.4251154355884</v>
      </c>
      <c r="I6876" s="6" t="n">
        <f aca="false">IF(internal_ai_reading=2,1,0)*Sens!I6875</f>
        <v>60.4883607271127</v>
      </c>
      <c r="J6876" s="6" t="n">
        <f aca="false">IF(internal_ai_reading=2,1,0)*Sens!J6875</f>
        <v>71.6944871895105</v>
      </c>
      <c r="K6876" s="6" t="n">
        <f aca="false">IF(internal_ai_reading=2,1,0)*Sens!K6875</f>
        <v>77.999690606174</v>
      </c>
    </row>
    <row r="6877" customFormat="false" ht="17.15" hidden="false" customHeight="false" outlineLevel="0" collapsed="false">
      <c r="A6877" s="0" t="s">
        <v>1011</v>
      </c>
      <c r="B6877" s="0" t="s">
        <v>98</v>
      </c>
      <c r="F6877" s="6" t="n">
        <f aca="false">Sens!F6794+Sens!F6874*Sens!F6854+Sens!F6876-Sens!F6795-Sens!F6806</f>
        <v>18.5068678152817</v>
      </c>
      <c r="G6877" s="6" t="n">
        <f aca="false">Sens!G6794+Sens!G6874*Sens!G6854+Sens!G6876-Sens!G6795-Sens!G6806</f>
        <v>43.1983864982792</v>
      </c>
      <c r="H6877" s="6" t="n">
        <f aca="false">Sens!H6794+Sens!H6874*Sens!H6854+Sens!H6876-Sens!H6795-Sens!H6806</f>
        <v>73.502598356074</v>
      </c>
      <c r="I6877" s="6" t="n">
        <f aca="false">Sens!I6794+Sens!I6874*Sens!I6854+Sens!I6876-Sens!I6795-Sens!I6806</f>
        <v>94.7454135378504</v>
      </c>
      <c r="J6877" s="6" t="n">
        <f aca="false">Sens!J6794+Sens!J6874*Sens!J6854+Sens!J6876-Sens!J6795-Sens!J6806</f>
        <v>109.399608126358</v>
      </c>
      <c r="K6877" s="6" t="n">
        <f aca="false">Sens!K6794+Sens!K6874*Sens!K6854+Sens!K6876-Sens!K6795-Sens!K6806</f>
        <v>118.898703181943</v>
      </c>
    </row>
    <row r="6878" customFormat="false" ht="17.15" hidden="false" customHeight="false" outlineLevel="0" collapsed="false">
      <c r="A6878" s="0" t="s">
        <v>1012</v>
      </c>
      <c r="B6878" s="0" t="s">
        <v>98</v>
      </c>
      <c r="E6878" s="6" t="n">
        <f aca="false">Sens!E6774*(cxit_open+self_build*tk_cxfac)/1000*ai_net_open</f>
        <v>126.6980382</v>
      </c>
      <c r="F6878" s="6" t="n">
        <f aca="false">Sens!E6878+Sens!F6803-Sens!F6806</f>
        <v>260.572627763768</v>
      </c>
      <c r="G6878" s="6" t="n">
        <f aca="false">Sens!F6878+Sens!G6803-Sens!G6806</f>
        <v>391.782612760517</v>
      </c>
      <c r="H6878" s="6" t="n">
        <f aca="false">Sens!G6878+Sens!H6803-Sens!H6806</f>
        <v>499.488526163584</v>
      </c>
      <c r="I6878" s="6" t="n">
        <f aca="false">Sens!H6878+Sens!I6803-Sens!I6806</f>
        <v>553.872350090646</v>
      </c>
      <c r="J6878" s="6" t="n">
        <f aca="false">Sens!I6878+Sens!J6803-Sens!J6806</f>
        <v>550.78660823699</v>
      </c>
      <c r="K6878" s="6" t="n">
        <f aca="false">Sens!J6878+Sens!K6803-Sens!K6806</f>
        <v>526.736791750789</v>
      </c>
      <c r="L6878" s="1" t="s">
        <v>1013</v>
      </c>
    </row>
    <row r="6879" customFormat="false" ht="17.15" hidden="false" customHeight="false" outlineLevel="0" collapsed="false">
      <c r="A6879" s="0" t="s">
        <v>1014</v>
      </c>
      <c r="B6879" s="0" t="s">
        <v>168</v>
      </c>
      <c r="F6879" s="7" t="n">
        <f aca="false">Sens!F6877*(1-tax_f)/((Sens!E6878+Sens!F6878)/2)</f>
        <v>0.0764607059271074</v>
      </c>
      <c r="G6879" s="7" t="n">
        <f aca="false">Sens!G6877*(1-tax_f)/((Sens!F6878+Sens!G6878)/2)</f>
        <v>0.105950583522098</v>
      </c>
      <c r="H6879" s="7" t="n">
        <f aca="false">Sens!H6877*(1-tax_f)/((Sens!G6878+Sens!H6878)/2)</f>
        <v>0.131951044114011</v>
      </c>
      <c r="I6879" s="7" t="n">
        <f aca="false">Sens!I6877*(1-tax_f)/((Sens!H6878+Sens!I6878)/2)</f>
        <v>0.143913320760143</v>
      </c>
      <c r="J6879" s="7" t="n">
        <f aca="false">Sens!J6877*(1-tax_f)/((Sens!I6878+Sens!J6878)/2)</f>
        <v>0.158455577336889</v>
      </c>
      <c r="K6879" s="7" t="n">
        <f aca="false">Sens!K6877*(1-tax_f)/((Sens!J6878+Sens!K6878)/2)</f>
        <v>0.176551084731214</v>
      </c>
    </row>
    <row r="6880" customFormat="false" ht="17.15" hidden="false" customHeight="false" outlineLevel="0" collapsed="false">
      <c r="A6880" s="1" t="s">
        <v>1015</v>
      </c>
      <c r="B6880" s="0" t="s">
        <v>168</v>
      </c>
      <c r="F6880" s="7" t="n">
        <f aca="false">(Sens!F6877-Sens!F6876)*(1-tax_f)/((Sens!E6878+Sens!F6878)/2)</f>
        <v>0.0344515927008971</v>
      </c>
      <c r="G6880" s="7" t="n">
        <f aca="false">(Sens!G6877-Sens!G6876)*(1-tax_f)/((Sens!F6878+Sens!G6878)/2)</f>
        <v>0.0408081801552207</v>
      </c>
      <c r="H6880" s="7" t="n">
        <f aca="false">(Sens!H6877-Sens!H6876)*(1-tax_f)/((Sens!G6878+Sens!H6878)/2)</f>
        <v>0.05219957276855</v>
      </c>
      <c r="I6880" s="7" t="n">
        <f aca="false">(Sens!I6877-Sens!I6876)*(1-tax_f)/((Sens!H6878+Sens!I6878)/2)</f>
        <v>0.0520346689655782</v>
      </c>
      <c r="J6880" s="7" t="n">
        <f aca="false">(Sens!J6877-Sens!J6876)*(1-tax_f)/((Sens!I6878+Sens!J6878)/2)</f>
        <v>0.0546125055558212</v>
      </c>
      <c r="K6880" s="7" t="n">
        <f aca="false">(Sens!K6877-Sens!K6876)*(1-tax_f)/((Sens!J6878+Sens!K6878)/2)</f>
        <v>0.0607303935320308</v>
      </c>
    </row>
    <row r="6881" customFormat="false" ht="17.15" hidden="false" customHeight="false" outlineLevel="0" collapsed="false">
      <c r="A6881" s="1" t="s">
        <v>1016</v>
      </c>
      <c r="B6881" s="0" t="s">
        <v>168</v>
      </c>
      <c r="F6881" s="7" t="n">
        <f aca="false">(Sens!F6877-Sens!F6876+Sens!F6875)*(1-tax_f)/((Sens!E6878+Sens!F6878)/2)</f>
        <v>0.0764607059271074</v>
      </c>
      <c r="G6881" s="7" t="n">
        <f aca="false">(Sens!G6877-Sens!G6876+Sens!G6875)*(1-tax_f)/((Sens!F6878+Sens!G6878)/2)</f>
        <v>0.105950583522098</v>
      </c>
      <c r="H6881" s="7" t="n">
        <f aca="false">(Sens!H6877-Sens!H6876+Sens!H6875)*(1-tax_f)/((Sens!G6878+Sens!H6878)/2)</f>
        <v>0.131951044114011</v>
      </c>
      <c r="I6881" s="7" t="n">
        <f aca="false">(Sens!I6877-Sens!I6876+Sens!I6875)*(1-tax_f)/((Sens!H6878+Sens!I6878)/2)</f>
        <v>0.143913320760143</v>
      </c>
      <c r="J6881" s="7" t="n">
        <f aca="false">(Sens!J6877-Sens!J6876+Sens!J6875)*(1-tax_f)/((Sens!I6878+Sens!J6878)/2)</f>
        <v>0.158455577336889</v>
      </c>
      <c r="K6881" s="7" t="n">
        <f aca="false">(Sens!K6877-Sens!K6876+Sens!K6875)*(1-tax_f)/((Sens!J6878+Sens!K6878)/2)</f>
        <v>0.176551084731214</v>
      </c>
    </row>
    <row r="6882" customFormat="false" ht="17.15" hidden="false" customHeight="false" outlineLevel="0" collapsed="false">
      <c r="A6882" s="1" t="s">
        <v>1017</v>
      </c>
      <c r="B6882" s="0" t="s">
        <v>168</v>
      </c>
      <c r="F6882" s="7" t="n">
        <f aca="false">Sens!F6807*(1-tax_f)/(Sens!F6793*(Sens!E6878+Sens!F6878)/2)</f>
        <v>0.15471433083293</v>
      </c>
      <c r="G6882" s="7" t="n">
        <f aca="false">Sens!G6807*(1-tax_f)/(Sens!G6793*(Sens!F6878+Sens!G6878)/2)</f>
        <v>0.176916911437355</v>
      </c>
      <c r="H6882" s="7" t="n">
        <f aca="false">Sens!H6807*(1-tax_f)/(Sens!H6793*(Sens!G6878+Sens!H6878)/2)</f>
        <v>0.207487057996582</v>
      </c>
      <c r="I6882" s="7" t="n">
        <f aca="false">Sens!I6807*(1-tax_f)/(Sens!I6793*(Sens!H6878+Sens!I6878)/2)</f>
        <v>0.219873660070946</v>
      </c>
      <c r="J6882" s="7" t="n">
        <f aca="false">Sens!J6807*(1-tax_f)/(Sens!J6793*(Sens!I6878+Sens!J6878)/2)</f>
        <v>0.238959457974928</v>
      </c>
      <c r="K6882" s="7" t="n">
        <f aca="false">Sens!K6807*(1-tax_f)/(Sens!K6793*(Sens!J6878+Sens!K6878)/2)</f>
        <v>0.264604270651536</v>
      </c>
    </row>
    <row r="6883" customFormat="false" ht="17.15" hidden="false" customHeight="false" outlineLevel="0" collapsed="false">
      <c r="A6883" s="0" t="s">
        <v>1018</v>
      </c>
      <c r="B6883" s="0" t="s">
        <v>253</v>
      </c>
      <c r="F6883" s="7" t="n">
        <f aca="false">Sens!F6879-wacc</f>
        <v>-0.0264758850184899</v>
      </c>
      <c r="G6883" s="7" t="n">
        <f aca="false">Sens!G6879-wacc</f>
        <v>0.00301399257650095</v>
      </c>
      <c r="H6883" s="7" t="n">
        <f aca="false">Sens!H6879-wacc</f>
        <v>0.0290144531684132</v>
      </c>
      <c r="I6883" s="7" t="n">
        <f aca="false">Sens!I6879-wacc</f>
        <v>0.040976729814546</v>
      </c>
      <c r="J6883" s="7" t="n">
        <f aca="false">Sens!J6879-wacc</f>
        <v>0.0555189863912922</v>
      </c>
      <c r="K6883" s="7" t="n">
        <f aca="false">Sens!K6879-wacc</f>
        <v>0.0736144937856167</v>
      </c>
    </row>
    <row r="6884" customFormat="false" ht="17.15" hidden="false" customHeight="false" outlineLevel="0" collapsed="false">
      <c r="A6884" s="0" t="s">
        <v>1019</v>
      </c>
      <c r="B6884" s="0" t="s">
        <v>98</v>
      </c>
      <c r="F6884" s="6" t="n">
        <f aca="false">Sens!F6877*(1-tax_f)-wacc*(Sens!E6878+Sens!F6878)/2</f>
        <v>-5.12666681154535</v>
      </c>
      <c r="G6884" s="6" t="n">
        <f aca="false">Sens!G6877*(1-tax_f)-wacc*(Sens!F6878+Sens!G6878)/2</f>
        <v>0.983096926090845</v>
      </c>
      <c r="H6884" s="6" t="n">
        <f aca="false">Sens!H6877*(1-tax_f)-wacc*(Sens!G6878+Sens!H6878)/2</f>
        <v>12.9298723603358</v>
      </c>
      <c r="I6884" s="6" t="n">
        <f aca="false">Sens!I6877*(1-tax_f)-wacc*(Sens!H6878+Sens!I6878)/2</f>
        <v>21.5816420117415</v>
      </c>
      <c r="J6884" s="6" t="n">
        <f aca="false">Sens!J6877*(1-tax_f)-wacc*(Sens!I6878+Sens!J6878)/2</f>
        <v>30.6647728372055</v>
      </c>
      <c r="K6884" s="6" t="n">
        <f aca="false">Sens!K6877*(1-tax_f)-wacc*(Sens!J6878+Sens!K6878)/2</f>
        <v>39.6606698161285</v>
      </c>
    </row>
    <row r="6885" customFormat="false" ht="17.15" hidden="false" customHeight="false" outlineLevel="0" collapsed="false">
      <c r="A6885" s="3" t="s">
        <v>1783</v>
      </c>
    </row>
    <row r="6886" customFormat="false" ht="15" hidden="false" customHeight="false" outlineLevel="0" collapsed="false">
      <c r="A6886" s="4" t="s">
        <v>43</v>
      </c>
      <c r="B6886" s="4" t="s">
        <v>65</v>
      </c>
      <c r="C6886" s="23" t="s">
        <v>942</v>
      </c>
      <c r="D6886" s="23" t="s">
        <v>943</v>
      </c>
      <c r="E6886" s="23" t="s">
        <v>944</v>
      </c>
      <c r="F6886" s="23" t="s">
        <v>945</v>
      </c>
      <c r="G6886" s="23" t="s">
        <v>946</v>
      </c>
      <c r="H6886" s="23" t="s">
        <v>947</v>
      </c>
      <c r="I6886" s="23" t="s">
        <v>948</v>
      </c>
      <c r="J6886" s="23" t="s">
        <v>949</v>
      </c>
      <c r="K6886" s="23" t="s">
        <v>950</v>
      </c>
      <c r="L6886" s="4" t="s">
        <v>47</v>
      </c>
    </row>
    <row r="6887" customFormat="false" ht="15" hidden="false" customHeight="false" outlineLevel="0" collapsed="false">
      <c r="A6887" s="1" t="s">
        <v>1080</v>
      </c>
      <c r="B6887" s="0" t="s">
        <v>98</v>
      </c>
      <c r="F6887" s="6" t="n">
        <f aca="false">Sens!F6868</f>
        <v>146.679975894229</v>
      </c>
      <c r="G6887" s="6" t="n">
        <f aca="false">Sens!G6868</f>
        <v>165.137619259104</v>
      </c>
      <c r="H6887" s="6" t="n">
        <f aca="false">Sens!H6868</f>
        <v>191.092502416228</v>
      </c>
      <c r="I6887" s="6" t="n">
        <f aca="false">Sens!I6868</f>
        <v>210.942395512886</v>
      </c>
      <c r="J6887" s="6" t="n">
        <f aca="false">Sens!J6868</f>
        <v>228.493001265342</v>
      </c>
      <c r="K6887" s="6" t="n">
        <f aca="false">Sens!K6868</f>
        <v>244.291492036752</v>
      </c>
    </row>
    <row r="6888" customFormat="false" ht="17.15" hidden="false" customHeight="false" outlineLevel="0" collapsed="false">
      <c r="A6888" s="1" t="s">
        <v>1102</v>
      </c>
      <c r="B6888" s="0" t="s">
        <v>98</v>
      </c>
      <c r="E6888" s="6" t="n">
        <f aca="false">Q!M38-Sens!E6806</f>
        <v>22.2285940229167</v>
      </c>
      <c r="F6888" s="6" t="n">
        <f aca="false">Sens!E6888*(1-1/life_nonai)+(Sens!F6896+Sens!F6897)/life_nonai</f>
        <v>23.580344216413</v>
      </c>
      <c r="G6888" s="6" t="n">
        <f aca="false">Sens!F6888*(1-1/life_nonai)+(Sens!G6896)/life_nonai</f>
        <v>25.3185610849526</v>
      </c>
      <c r="H6888" s="6" t="n">
        <f aca="false">Sens!G6888*(1-1/life_nonai)+(Sens!H6896)/life_nonai</f>
        <v>27.4350693456137</v>
      </c>
      <c r="I6888" s="6" t="n">
        <f aca="false">Sens!H6888*(1-1/life_nonai)+(Sens!I6896)/life_nonai</f>
        <v>29.868562770327</v>
      </c>
      <c r="J6888" s="6" t="n">
        <f aca="false">Sens!I6888*(1-1/life_nonai)+(Sens!J6896)/life_nonai</f>
        <v>32.5405162344158</v>
      </c>
      <c r="K6888" s="6" t="n">
        <f aca="false">Sens!J6888*(1-1/life_nonai)+(Sens!K6896)/life_nonai</f>
        <v>35.3673839596959</v>
      </c>
      <c r="L6888" s="12" t="s">
        <v>1103</v>
      </c>
    </row>
    <row r="6889" customFormat="false" ht="17.15" hidden="false" customHeight="false" outlineLevel="0" collapsed="false">
      <c r="A6889" s="1" t="s">
        <v>1104</v>
      </c>
      <c r="B6889" s="0" t="s">
        <v>98</v>
      </c>
      <c r="F6889" s="6" t="n">
        <f aca="false">Sens!$F$6897/life_nonai*(1-1/life_nonai)^(Sens!F6769-2027)</f>
        <v>0.0219424871453228</v>
      </c>
      <c r="G6889" s="6" t="n">
        <f aca="false">Sens!$F$6897/life_nonai*(1-1/life_nonai)^(Sens!G6769-2027)</f>
        <v>0.0197482384307905</v>
      </c>
      <c r="H6889" s="6" t="n">
        <f aca="false">Sens!$F$6897/life_nonai*(1-1/life_nonai)^(Sens!H6769-2027)</f>
        <v>0.0177734145877115</v>
      </c>
      <c r="I6889" s="6" t="n">
        <f aca="false">Sens!$F$6897/life_nonai*(1-1/life_nonai)^(Sens!I6769-2027)</f>
        <v>0.0159960731289403</v>
      </c>
      <c r="J6889" s="6" t="n">
        <f aca="false">Sens!$F$6897/life_nonai*(1-1/life_nonai)^(Sens!J6769-2027)</f>
        <v>0.0143964658160463</v>
      </c>
      <c r="K6889" s="6" t="n">
        <f aca="false">Sens!$F$6897/life_nonai*(1-1/life_nonai)^(Sens!K6769-2027)</f>
        <v>0.0129568192344417</v>
      </c>
      <c r="L6889" s="1" t="s">
        <v>1105</v>
      </c>
    </row>
    <row r="6890" customFormat="false" ht="17.15" hidden="false" customHeight="false" outlineLevel="0" collapsed="false">
      <c r="A6890" s="1" t="s">
        <v>1106</v>
      </c>
      <c r="B6890" s="0" t="s">
        <v>98</v>
      </c>
      <c r="E6890" s="6" t="n">
        <f aca="false">Sens!E6806+Sens!E6888</f>
        <v>38.534</v>
      </c>
      <c r="F6890" s="6" t="n">
        <f aca="false">Sens!F6806+Sens!F6888</f>
        <v>58.1596586947647</v>
      </c>
      <c r="G6890" s="6" t="n">
        <f aca="false">Sens!G6806+Sens!G6888</f>
        <v>86.0530517372515</v>
      </c>
      <c r="H6890" s="6" t="n">
        <f aca="false">Sens!H6806+Sens!H6888</f>
        <v>116.535160007059</v>
      </c>
      <c r="I6890" s="6" t="n">
        <f aca="false">Sens!I6806+Sens!I6888</f>
        <v>144.099572464875</v>
      </c>
      <c r="J6890" s="6" t="n">
        <f aca="false">Sens!J6806+Sens!J6888</f>
        <v>164.556189284012</v>
      </c>
      <c r="K6890" s="6" t="n">
        <f aca="false">Sens!K6806+Sens!K6888</f>
        <v>178.38005351063</v>
      </c>
    </row>
    <row r="6891" customFormat="false" ht="17.15" hidden="false" customHeight="false" outlineLevel="0" collapsed="false">
      <c r="A6891" s="1" t="s">
        <v>1107</v>
      </c>
      <c r="B6891" s="0" t="s">
        <v>98</v>
      </c>
      <c r="F6891" s="6" t="n">
        <f aca="false">Sens!F6833*sbc_r</f>
        <v>15.0038282901234</v>
      </c>
      <c r="G6891" s="6" t="n">
        <f aca="false">Sens!G6833*sbc_r</f>
        <v>18.1539438604356</v>
      </c>
      <c r="H6891" s="6" t="n">
        <f aca="false">Sens!H6833*sbc_r</f>
        <v>21.5584465232281</v>
      </c>
      <c r="I6891" s="6" t="n">
        <f aca="false">Sens!I6833*sbc_r</f>
        <v>24.4743830130317</v>
      </c>
      <c r="J6891" s="6" t="n">
        <f aca="false">Sens!J6833*sbc_r</f>
        <v>26.8387616667375</v>
      </c>
      <c r="K6891" s="6" t="n">
        <f aca="false">Sens!K6833*sbc_r</f>
        <v>28.7027383678924</v>
      </c>
    </row>
    <row r="6892" customFormat="false" ht="17.15" hidden="false" customHeight="false" outlineLevel="0" collapsed="false">
      <c r="A6892" s="1" t="s">
        <v>1108</v>
      </c>
      <c r="B6892" s="0" t="s">
        <v>98</v>
      </c>
      <c r="F6892" s="6" t="n">
        <f aca="false">wc27-wc26q1</f>
        <v>-4.677</v>
      </c>
      <c r="G6892" s="6" t="n">
        <f aca="false">wc_f</f>
        <v>0</v>
      </c>
      <c r="H6892" s="6" t="n">
        <f aca="false">wc_f</f>
        <v>0</v>
      </c>
      <c r="I6892" s="6" t="n">
        <f aca="false">wc_f</f>
        <v>0</v>
      </c>
      <c r="J6892" s="6" t="n">
        <f aca="false">wc_f</f>
        <v>0</v>
      </c>
      <c r="K6892" s="6" t="n">
        <f aca="false">wc_f</f>
        <v>0</v>
      </c>
      <c r="L6892" s="12" t="s">
        <v>1109</v>
      </c>
    </row>
    <row r="6893" customFormat="false" ht="17.15" hidden="false" customHeight="false" outlineLevel="0" collapsed="false">
      <c r="A6893" s="0" t="s">
        <v>1110</v>
      </c>
      <c r="B6893" s="0" t="s">
        <v>98</v>
      </c>
      <c r="F6893" s="6" t="n">
        <f aca="false">Q!$I$35-Q!$I$26-Q!$I$38-Q!$I$39</f>
        <v>6.493</v>
      </c>
      <c r="L6893" s="1" t="s">
        <v>1111</v>
      </c>
    </row>
    <row r="6894" customFormat="false" ht="15" hidden="false" customHeight="false" outlineLevel="0" collapsed="false">
      <c r="A6894" s="1" t="s">
        <v>908</v>
      </c>
      <c r="B6894" s="0" t="s">
        <v>98</v>
      </c>
      <c r="E6894" s="6" t="n">
        <f aca="false">Q!M35</f>
        <v>182.935</v>
      </c>
      <c r="F6894" s="6" t="n">
        <f aca="false">Sens!F6887+Sens!F6890+Sens!F6891+Sens!F6892+Sens!F6893</f>
        <v>221.659462879117</v>
      </c>
      <c r="G6894" s="6" t="n">
        <f aca="false">Sens!G6887+Sens!G6890+Sens!G6891+Sens!G6892</f>
        <v>269.344614856791</v>
      </c>
      <c r="H6894" s="6" t="n">
        <f aca="false">Sens!H6887+Sens!H6890+Sens!H6891+Sens!H6892</f>
        <v>329.186108946515</v>
      </c>
      <c r="I6894" s="6" t="n">
        <f aca="false">Sens!I6887+Sens!I6890+Sens!I6891+Sens!I6892</f>
        <v>379.516350990793</v>
      </c>
      <c r="J6894" s="6" t="n">
        <f aca="false">Sens!J6887+Sens!J6890+Sens!J6891+Sens!J6892</f>
        <v>419.887952216092</v>
      </c>
      <c r="K6894" s="6" t="n">
        <f aca="false">Sens!K6887+Sens!K6890+Sens!K6891+Sens!K6892</f>
        <v>451.374283915274</v>
      </c>
    </row>
    <row r="6895" customFormat="false" ht="17.15" hidden="false" customHeight="false" outlineLevel="0" collapsed="false">
      <c r="A6895" s="0" t="s">
        <v>1112</v>
      </c>
      <c r="B6895" s="0" t="s">
        <v>98</v>
      </c>
      <c r="F6895" s="6" t="n">
        <f aca="false">Sens!F6803</f>
        <v>168.45390404212</v>
      </c>
      <c r="G6895" s="6" t="n">
        <f aca="false">Sens!G6803</f>
        <v>191.944475649048</v>
      </c>
      <c r="H6895" s="6" t="n">
        <f aca="false">Sens!H6803</f>
        <v>196.806004064512</v>
      </c>
      <c r="I6895" s="6" t="n">
        <f aca="false">Sens!I6803</f>
        <v>168.61483362161</v>
      </c>
      <c r="J6895" s="6" t="n">
        <f aca="false">Sens!J6803</f>
        <v>128.92993119594</v>
      </c>
      <c r="K6895" s="6" t="n">
        <f aca="false">Sens!K6803</f>
        <v>118.962853064733</v>
      </c>
    </row>
    <row r="6896" customFormat="false" ht="17.15" hidden="false" customHeight="false" outlineLevel="0" collapsed="false">
      <c r="A6896" s="1" t="s">
        <v>1113</v>
      </c>
      <c r="B6896" s="0" t="s">
        <v>98</v>
      </c>
      <c r="E6896" s="6" t="n">
        <f aca="false">Sens!E6811*cx_azo+Sens!E6818*cx_m365+Sens!E6819*cx_lic+(Sens!E6821+Sens!E6823)*cx_ind+Sens!E6826*cx_srch+(Sens!E6828+Sens!E6830)*cx_dev</f>
        <v>30.1846587067718</v>
      </c>
      <c r="F6896" s="6" t="n">
        <f aca="false">Sens!F6811*cx_azo+Sens!F6818*cx_m365+Sens!F6819*cx_lic+(Sens!F6821+Sens!F6823)*cx_ind+Sens!F6826*cx_srch+(Sens!F6828+Sens!F6830)*cx_dev</f>
        <v>35.5266710864272</v>
      </c>
      <c r="G6896" s="6" t="n">
        <f aca="false">Sens!G6811*cx_azo+Sens!G6818*cx_m365+Sens!G6819*cx_lic+(Sens!G6821+Sens!G6823)*cx_ind+Sens!G6826*cx_srch+(Sens!G6828+Sens!G6830)*cx_dev</f>
        <v>40.9625129018086</v>
      </c>
      <c r="H6896" s="6" t="n">
        <f aca="false">Sens!H6811*cx_azo+Sens!H6818*cx_m365+Sens!H6819*cx_lic+(Sens!H6821+Sens!H6823)*cx_ind+Sens!H6826*cx_srch+(Sens!H6828+Sens!H6830)*cx_dev</f>
        <v>46.4836436915639</v>
      </c>
      <c r="I6896" s="6" t="n">
        <f aca="false">Sens!I6811*cx_azo+Sens!I6818*cx_m365+Sens!I6819*cx_lic+(Sens!I6821+Sens!I6823)*cx_ind+Sens!I6826*cx_srch+(Sens!I6828+Sens!I6830)*cx_dev</f>
        <v>51.7700035927468</v>
      </c>
      <c r="J6896" s="6" t="n">
        <f aca="false">Sens!J6811*cx_azo+Sens!J6818*cx_m365+Sens!J6819*cx_lic+(Sens!J6821+Sens!J6823)*cx_ind+Sens!J6826*cx_srch+(Sens!J6828+Sens!J6830)*cx_dev</f>
        <v>56.5880974112149</v>
      </c>
      <c r="K6896" s="6" t="n">
        <f aca="false">Sens!K6811*cx_azo+Sens!K6818*cx_m365+Sens!K6819*cx_lic+(Sens!K6821+Sens!K6823)*cx_ind+Sens!K6826*cx_srch+(Sens!K6828+Sens!K6830)*cx_dev</f>
        <v>60.8091934872162</v>
      </c>
    </row>
    <row r="6897" customFormat="false" ht="17.15" hidden="false" customHeight="false" outlineLevel="0" collapsed="false">
      <c r="A6897" s="0" t="s">
        <v>1114</v>
      </c>
      <c r="B6897" s="0" t="s">
        <v>98</v>
      </c>
      <c r="F6897" s="6" t="n">
        <f aca="false">Sens!F6801</f>
        <v>0.219424871453228</v>
      </c>
      <c r="L6897" s="1" t="s">
        <v>1115</v>
      </c>
    </row>
    <row r="6898" customFormat="false" ht="17.15" hidden="false" customHeight="false" outlineLevel="0" collapsed="false">
      <c r="A6898" s="1" t="s">
        <v>1116</v>
      </c>
      <c r="B6898" s="0" t="s">
        <v>98</v>
      </c>
      <c r="E6898" s="6" t="n">
        <f aca="false">Q!M43</f>
        <v>145.3</v>
      </c>
      <c r="F6898" s="6" t="n">
        <f aca="false">Sens!F6895+Sens!F6896+Sens!F6897</f>
        <v>204.2</v>
      </c>
      <c r="G6898" s="6" t="n">
        <f aca="false">Sens!G6895+Sens!G6896</f>
        <v>232.906988550857</v>
      </c>
      <c r="H6898" s="6" t="n">
        <f aca="false">Sens!H6895+Sens!H6896</f>
        <v>243.289647756076</v>
      </c>
      <c r="I6898" s="6" t="n">
        <f aca="false">Sens!I6895+Sens!I6896</f>
        <v>220.384837214357</v>
      </c>
      <c r="J6898" s="6" t="n">
        <f aca="false">Sens!J6895+Sens!J6896</f>
        <v>185.518028607155</v>
      </c>
      <c r="K6898" s="6" t="n">
        <f aca="false">Sens!K6895+Sens!K6896</f>
        <v>179.772046551949</v>
      </c>
      <c r="L6898" s="1" t="s">
        <v>1117</v>
      </c>
    </row>
    <row r="6899" customFormat="false" ht="15" hidden="false" customHeight="false" outlineLevel="0" collapsed="false">
      <c r="A6899" s="1" t="s">
        <v>1118</v>
      </c>
      <c r="B6899" s="0" t="s">
        <v>98</v>
      </c>
      <c r="E6899" s="6" t="n">
        <f aca="false">fl_liab</f>
        <v>66.594</v>
      </c>
      <c r="F6899" s="6" t="n">
        <f aca="false">Sens!E6899-Sens!F6900</f>
        <v>62.46973</v>
      </c>
      <c r="G6899" s="6" t="n">
        <f aca="false">Sens!F6899-Sens!G6900</f>
        <v>57.98686785</v>
      </c>
      <c r="H6899" s="6" t="n">
        <f aca="false">Sens!G6899-Sens!H6900</f>
        <v>53.92827690325</v>
      </c>
      <c r="I6899" s="6" t="n">
        <f aca="false">Sens!H6899-Sens!I6900</f>
        <v>49.7850493638962</v>
      </c>
      <c r="J6899" s="6" t="n">
        <f aca="false">Sens!I6899-Sens!J6900</f>
        <v>45.4823765852716</v>
      </c>
      <c r="K6899" s="6" t="n">
        <f aca="false">Sens!J6899-Sens!K6900</f>
        <v>40.9860835316088</v>
      </c>
    </row>
    <row r="6900" customFormat="false" ht="15" hidden="false" customHeight="false" outlineLevel="0" collapsed="false">
      <c r="A6900" s="1" t="s">
        <v>1119</v>
      </c>
      <c r="B6900" s="0" t="s">
        <v>98</v>
      </c>
      <c r="F6900" s="6" t="n">
        <f aca="false">fl_pay_27-Sens!E6899*fl_rate</f>
        <v>4.12427</v>
      </c>
      <c r="G6900" s="6" t="n">
        <f aca="false">fl_pay_28-Sens!F6899*fl_rate</f>
        <v>4.48286215</v>
      </c>
      <c r="H6900" s="6" t="n">
        <f aca="false">fl_pay_29-Sens!G6899*fl_rate</f>
        <v>4.05859094675</v>
      </c>
      <c r="I6900" s="6" t="n">
        <f aca="false">fl_pay_30-Sens!H6899*fl_rate</f>
        <v>4.14322753935375</v>
      </c>
      <c r="J6900" s="6" t="n">
        <f aca="false">fl_pay_31-Sens!I6899*fl_rate</f>
        <v>4.30267277862467</v>
      </c>
      <c r="K6900" s="6" t="n">
        <f aca="false">fl_pay_32-Sens!J6899*fl_rate</f>
        <v>4.49629305366278</v>
      </c>
    </row>
    <row r="6901" customFormat="false" ht="17.15" hidden="false" customHeight="false" outlineLevel="0" collapsed="false">
      <c r="A6901" s="1" t="s">
        <v>1120</v>
      </c>
      <c r="B6901" s="0" t="s">
        <v>98</v>
      </c>
      <c r="E6901" s="6" t="n">
        <f aca="false">Q!M35-Q!M36-Q!M44</f>
        <v>63.886</v>
      </c>
      <c r="F6901" s="6" t="n">
        <f aca="false">Sens!F6894-Sens!F6898-Sens!F6900</f>
        <v>13.335192879117</v>
      </c>
      <c r="G6901" s="6" t="n">
        <f aca="false">Sens!G6894-Sens!G6898-Sens!G6900</f>
        <v>31.9547641559342</v>
      </c>
      <c r="H6901" s="6" t="n">
        <f aca="false">Sens!H6894-Sens!H6898-Sens!H6900</f>
        <v>81.8378702436891</v>
      </c>
      <c r="I6901" s="6" t="n">
        <f aca="false">Sens!I6894-Sens!I6898-Sens!I6900</f>
        <v>154.988286237083</v>
      </c>
      <c r="J6901" s="6" t="n">
        <f aca="false">Sens!J6894-Sens!J6898-Sens!J6900</f>
        <v>230.067250830312</v>
      </c>
      <c r="K6901" s="6" t="n">
        <f aca="false">Sens!K6894-Sens!K6898-Sens!K6900</f>
        <v>267.105944309663</v>
      </c>
      <c r="L6901" s="12" t="s">
        <v>1121</v>
      </c>
    </row>
    <row r="6902" customFormat="false" ht="15" hidden="false" customHeight="false" outlineLevel="0" collapsed="false">
      <c r="A6902" s="1" t="s">
        <v>1122</v>
      </c>
      <c r="B6902" s="0" t="s">
        <v>75</v>
      </c>
      <c r="F6902" s="8" t="n">
        <f aca="false">dps_27</f>
        <v>3.85</v>
      </c>
      <c r="G6902" s="8" t="n">
        <f aca="false">Sens!F6902*(1+dps_g)</f>
        <v>4.158</v>
      </c>
      <c r="H6902" s="8" t="n">
        <f aca="false">Sens!G6902*(1+dps_g)</f>
        <v>4.49064</v>
      </c>
      <c r="I6902" s="8" t="n">
        <f aca="false">Sens!H6902*(1+dps_g)</f>
        <v>4.8498912</v>
      </c>
      <c r="J6902" s="8" t="n">
        <f aca="false">Sens!I6902*(1+dps_g)</f>
        <v>5.237882496</v>
      </c>
      <c r="K6902" s="8" t="n">
        <f aca="false">Sens!J6902*(1+dps_g)</f>
        <v>5.65691309568</v>
      </c>
    </row>
    <row r="6903" customFormat="false" ht="17.15" hidden="false" customHeight="false" outlineLevel="0" collapsed="false">
      <c r="A6903" s="1" t="s">
        <v>1123</v>
      </c>
      <c r="B6903" s="0" t="s">
        <v>98</v>
      </c>
      <c r="E6903" s="6" t="n">
        <f aca="false">Q!M41</f>
        <v>26.445</v>
      </c>
      <c r="F6903" s="6" t="n">
        <f aca="false">Sens!F6902*Sens!E6912</f>
        <v>28.59395</v>
      </c>
      <c r="G6903" s="6" t="n">
        <f aca="false">Sens!G6902*Sens!F6912</f>
        <v>31.0509880205279</v>
      </c>
      <c r="H6903" s="6" t="n">
        <f aca="false">Sens!H6902*Sens!G6912</f>
        <v>33.7303361183089</v>
      </c>
      <c r="I6903" s="6" t="n">
        <f aca="false">Sens!I6902*Sens!H6912</f>
        <v>36.4792012848462</v>
      </c>
      <c r="J6903" s="6" t="n">
        <f aca="false">Sens!J6902*Sens!I6912</f>
        <v>39.4654352730266</v>
      </c>
      <c r="K6903" s="6" t="n">
        <f aca="false">Sens!K6902*Sens!J6912</f>
        <v>42.7094243572469</v>
      </c>
      <c r="L6903" s="1" t="s">
        <v>1124</v>
      </c>
    </row>
    <row r="6904" customFormat="false" ht="15" hidden="false" customHeight="false" outlineLevel="0" collapsed="false">
      <c r="A6904" s="1" t="s">
        <v>1125</v>
      </c>
      <c r="B6904" s="0" t="s">
        <v>98</v>
      </c>
      <c r="E6904" s="6" t="n">
        <f aca="false">Sens!E6901-Sens!E6903</f>
        <v>37.441</v>
      </c>
      <c r="F6904" s="6" t="n">
        <f aca="false">Sens!F6901-Sens!F6903</f>
        <v>-15.258757120883</v>
      </c>
      <c r="G6904" s="6" t="n">
        <f aca="false">Sens!G6901-Sens!G6903</f>
        <v>0.903776135406272</v>
      </c>
      <c r="H6904" s="6" t="n">
        <f aca="false">Sens!H6901-Sens!H6903</f>
        <v>48.1075341253802</v>
      </c>
      <c r="I6904" s="6" t="n">
        <f aca="false">Sens!I6901-Sens!I6903</f>
        <v>118.509084952236</v>
      </c>
      <c r="J6904" s="6" t="n">
        <f aca="false">Sens!J6901-Sens!J6903</f>
        <v>190.601815557285</v>
      </c>
      <c r="K6904" s="6" t="n">
        <f aca="false">Sens!K6901-Sens!K6903</f>
        <v>224.396519952416</v>
      </c>
    </row>
    <row r="6905" customFormat="false" ht="15" hidden="false" customHeight="false" outlineLevel="0" collapsed="false">
      <c r="A6905" s="1" t="s">
        <v>1126</v>
      </c>
      <c r="B6905" s="0" t="s">
        <v>98</v>
      </c>
      <c r="F6905" s="6" t="n">
        <f aca="false">debt_mat_27</f>
        <v>9.25</v>
      </c>
      <c r="G6905" s="6" t="n">
        <f aca="false">debt_mat_28</f>
        <v>0</v>
      </c>
      <c r="H6905" s="6" t="n">
        <f aca="false">debt_mat_29</f>
        <v>2.001</v>
      </c>
      <c r="I6905" s="6" t="n">
        <f aca="false">debt_mat_30</f>
        <v>0</v>
      </c>
      <c r="J6905" s="6" t="n">
        <f aca="false">debt_mat_31</f>
        <v>0.5</v>
      </c>
      <c r="K6905" s="6" t="n">
        <f aca="false">debt_mat_32</f>
        <v>0</v>
      </c>
    </row>
    <row r="6906" customFormat="false" ht="15" hidden="false" customHeight="false" outlineLevel="0" collapsed="false">
      <c r="A6906" s="1" t="s">
        <v>1127</v>
      </c>
      <c r="B6906" s="0" t="s">
        <v>98</v>
      </c>
      <c r="E6906" s="6" t="n">
        <f aca="false">Q!M40</f>
        <v>22.271</v>
      </c>
      <c r="F6906" s="6" t="n">
        <f aca="false">MAX(0,MIN(bb_target,Sens!E6908+Sens!F6904-Sens!F6905-min_cash))</f>
        <v>2.33424287911701</v>
      </c>
      <c r="G6906" s="6" t="n">
        <f aca="false">MAX(0,MIN(bb_target,Sens!F6908+Sens!G6904-Sens!G6905-min_cash))</f>
        <v>0.903776135406275</v>
      </c>
      <c r="H6906" s="6" t="n">
        <f aca="false">MAX(0,MIN(bb_target,Sens!G6908+Sens!H6904-Sens!H6905-min_cash))</f>
        <v>22.271</v>
      </c>
      <c r="I6906" s="6" t="n">
        <f aca="false">MAX(0,MIN(bb_target,Sens!H6908+Sens!I6904-Sens!I6905-min_cash))</f>
        <v>22.271</v>
      </c>
      <c r="J6906" s="6" t="n">
        <f aca="false">MAX(0,MIN(bb_target,Sens!I6908+Sens!J6904-Sens!J6905-min_cash))</f>
        <v>22.271</v>
      </c>
      <c r="K6906" s="6" t="n">
        <f aca="false">MAX(0,MIN(bb_target,Sens!J6908+Sens!K6904-Sens!K6905-min_cash))</f>
        <v>22.271</v>
      </c>
    </row>
    <row r="6907" customFormat="false" ht="15" hidden="false" customHeight="false" outlineLevel="0" collapsed="false">
      <c r="A6907" s="1" t="s">
        <v>1128</v>
      </c>
      <c r="B6907" s="0" t="s">
        <v>98</v>
      </c>
      <c r="F6907" s="6" t="n">
        <f aca="false">MAX(0,min_cash-(Sens!E6908+Sens!F6904-Sens!F6905-Sens!F6906))</f>
        <v>0</v>
      </c>
      <c r="G6907" s="6" t="n">
        <f aca="false">MAX(0,min_cash-(Sens!F6908+Sens!G6904-Sens!G6905-Sens!G6906))</f>
        <v>0</v>
      </c>
      <c r="H6907" s="6" t="n">
        <f aca="false">MAX(0,min_cash-(Sens!G6908+Sens!H6904-Sens!H6905-Sens!H6906))</f>
        <v>0</v>
      </c>
      <c r="I6907" s="6" t="n">
        <f aca="false">MAX(0,min_cash-(Sens!H6908+Sens!I6904-Sens!I6905-Sens!I6906))</f>
        <v>0</v>
      </c>
      <c r="J6907" s="6" t="n">
        <f aca="false">MAX(0,min_cash-(Sens!I6908+Sens!J6904-Sens!J6905-Sens!J6906))</f>
        <v>0</v>
      </c>
      <c r="K6907" s="6" t="n">
        <f aca="false">MAX(0,min_cash-(Sens!J6908+Sens!K6904-Sens!K6905-Sens!K6906))</f>
        <v>0</v>
      </c>
    </row>
    <row r="6908" customFormat="false" ht="15" hidden="false" customHeight="false" outlineLevel="0" collapsed="false">
      <c r="A6908" s="1" t="s">
        <v>1129</v>
      </c>
      <c r="B6908" s="0" t="s">
        <v>98</v>
      </c>
      <c r="E6908" s="6" t="n">
        <f aca="false">cash_open</f>
        <v>76.843</v>
      </c>
      <c r="F6908" s="6" t="n">
        <f aca="false">Sens!E6908+Sens!F6904-Sens!F6905-Sens!F6906+Sens!F6907</f>
        <v>50</v>
      </c>
      <c r="G6908" s="6" t="n">
        <f aca="false">Sens!F6908+Sens!G6904-Sens!G6905-Sens!G6906+Sens!G6907</f>
        <v>50</v>
      </c>
      <c r="H6908" s="6" t="n">
        <f aca="false">Sens!G6908+Sens!H6904-Sens!H6905-Sens!H6906+Sens!H6907</f>
        <v>73.8355341253802</v>
      </c>
      <c r="I6908" s="6" t="n">
        <f aca="false">Sens!H6908+Sens!I6904-Sens!I6905-Sens!I6906+Sens!I6907</f>
        <v>170.073619077616</v>
      </c>
      <c r="J6908" s="6" t="n">
        <f aca="false">Sens!I6908+Sens!J6904-Sens!J6905-Sens!J6906+Sens!J6907</f>
        <v>337.904434634902</v>
      </c>
      <c r="K6908" s="6" t="n">
        <f aca="false">Sens!J6908+Sens!K6904-Sens!K6905-Sens!K6906+Sens!K6907</f>
        <v>540.029954587317</v>
      </c>
    </row>
    <row r="6909" customFormat="false" ht="15" hidden="false" customHeight="false" outlineLevel="0" collapsed="false">
      <c r="A6909" s="1" t="s">
        <v>1130</v>
      </c>
      <c r="B6909" s="0" t="s">
        <v>98</v>
      </c>
      <c r="E6909" s="6" t="n">
        <f aca="false">debt_face</f>
        <v>46.136</v>
      </c>
      <c r="F6909" s="6" t="n">
        <f aca="false">Sens!E6909-Sens!F6905+Sens!F6907</f>
        <v>36.886</v>
      </c>
      <c r="G6909" s="6" t="n">
        <f aca="false">Sens!F6909-Sens!G6905+Sens!G6907</f>
        <v>36.886</v>
      </c>
      <c r="H6909" s="6" t="n">
        <f aca="false">Sens!G6909-Sens!H6905+Sens!H6907</f>
        <v>34.885</v>
      </c>
      <c r="I6909" s="6" t="n">
        <f aca="false">Sens!H6909-Sens!I6905+Sens!I6907</f>
        <v>34.885</v>
      </c>
      <c r="J6909" s="6" t="n">
        <f aca="false">Sens!I6909-Sens!J6905+Sens!J6907</f>
        <v>34.385</v>
      </c>
      <c r="K6909" s="6" t="n">
        <f aca="false">Sens!J6909-Sens!K6905+Sens!K6907</f>
        <v>34.385</v>
      </c>
    </row>
    <row r="6910" customFormat="false" ht="15" hidden="false" customHeight="false" outlineLevel="0" collapsed="false">
      <c r="A6910" s="1" t="s">
        <v>1131</v>
      </c>
      <c r="B6910" s="0" t="s">
        <v>98</v>
      </c>
      <c r="E6910" s="6" t="n">
        <f aca="false">Sens!E6908-Sens!E6909</f>
        <v>30.707</v>
      </c>
      <c r="F6910" s="6" t="n">
        <f aca="false">Sens!F6908-Sens!F6909</f>
        <v>13.114</v>
      </c>
      <c r="G6910" s="6" t="n">
        <f aca="false">Sens!G6908-Sens!G6909</f>
        <v>13.114</v>
      </c>
      <c r="H6910" s="6" t="n">
        <f aca="false">Sens!H6908-Sens!H6909</f>
        <v>38.9505341253802</v>
      </c>
      <c r="I6910" s="6" t="n">
        <f aca="false">Sens!I6908-Sens!I6909</f>
        <v>135.188619077616</v>
      </c>
      <c r="J6910" s="6" t="n">
        <f aca="false">Sens!J6908-Sens!J6909</f>
        <v>303.519434634902</v>
      </c>
      <c r="K6910" s="6" t="n">
        <f aca="false">Sens!K6908-Sens!K6909</f>
        <v>505.644954587317</v>
      </c>
    </row>
    <row r="6911" customFormat="false" ht="15" hidden="false" customHeight="false" outlineLevel="0" collapsed="false">
      <c r="A6911" s="1" t="s">
        <v>1132</v>
      </c>
      <c r="B6911" s="0" t="s">
        <v>75</v>
      </c>
      <c r="F6911" s="30" t="n">
        <f aca="false">px*(1+bb_g)^(Sens!F6769-base_fy-mid_yr)</f>
        <v>551.84177959629</v>
      </c>
      <c r="G6911" s="30" t="n">
        <f aca="false">px*(1+bb_g)^(Sens!G6769-base_fy-mid_yr)</f>
        <v>595.989121963993</v>
      </c>
      <c r="H6911" s="30" t="n">
        <f aca="false">px*(1+bb_g)^(Sens!H6769-base_fy-mid_yr)</f>
        <v>643.668251721112</v>
      </c>
      <c r="I6911" s="30" t="n">
        <f aca="false">px*(1+bb_g)^(Sens!I6769-base_fy-mid_yr)</f>
        <v>695.161711858801</v>
      </c>
      <c r="J6911" s="30" t="n">
        <f aca="false">px*(1+bb_g)^(Sens!J6769-base_fy-mid_yr)</f>
        <v>750.774648807506</v>
      </c>
      <c r="K6911" s="30" t="n">
        <f aca="false">px*(1+bb_g)^(Sens!K6769-base_fy-mid_yr)</f>
        <v>810.836620712106</v>
      </c>
    </row>
    <row r="6912" customFormat="false" ht="15" hidden="false" customHeight="false" outlineLevel="0" collapsed="false">
      <c r="A6912" s="1" t="s">
        <v>1133</v>
      </c>
      <c r="B6912" s="1" t="s">
        <v>81</v>
      </c>
      <c r="E6912" s="15" t="n">
        <f aca="false">sh_out26</f>
        <v>7.427</v>
      </c>
      <c r="F6912" s="15" t="n">
        <f aca="false">Sens!E6912+sh_iss-Sens!F6906/Sens!F6911</f>
        <v>7.46777008670705</v>
      </c>
      <c r="G6912" s="15" t="n">
        <f aca="false">Sens!F6912+sh_iss-Sens!G6906/Sens!G6911</f>
        <v>7.5112536561178</v>
      </c>
      <c r="H6912" s="15" t="n">
        <f aca="false">Sens!G6912+sh_iss-Sens!H6906/Sens!H6911</f>
        <v>7.52165353417541</v>
      </c>
      <c r="I6912" s="15" t="n">
        <f aca="false">Sens!H6912+sh_iss-Sens!I6906/Sens!I6911</f>
        <v>7.53461638422874</v>
      </c>
      <c r="J6912" s="15" t="n">
        <f aca="false">Sens!I6912+sh_iss-Sens!J6906/Sens!J6911</f>
        <v>7.54995235650035</v>
      </c>
      <c r="K6912" s="15" t="n">
        <f aca="false">Sens!J6912+sh_iss-Sens!K6906/Sens!K6911</f>
        <v>7.56748566415925</v>
      </c>
    </row>
    <row r="6913" customFormat="false" ht="15" hidden="false" customHeight="false" outlineLevel="0" collapsed="false">
      <c r="A6913" s="1" t="s">
        <v>1134</v>
      </c>
      <c r="B6913" s="1" t="s">
        <v>81</v>
      </c>
      <c r="E6913" s="15" t="n">
        <f aca="false">sh_dil26</f>
        <v>7.453</v>
      </c>
      <c r="F6913" s="15" t="n">
        <f aca="false">(Sens!E6912+Sens!F6912)/2+dil_gap</f>
        <v>7.47138504335353</v>
      </c>
      <c r="G6913" s="15" t="n">
        <f aca="false">(Sens!F6912+Sens!G6912)/2+dil_gap</f>
        <v>7.51351187141243</v>
      </c>
      <c r="H6913" s="15" t="n">
        <f aca="false">(Sens!G6912+Sens!H6912)/2+dil_gap</f>
        <v>7.54045359514661</v>
      </c>
      <c r="I6913" s="15" t="n">
        <f aca="false">(Sens!H6912+Sens!I6912)/2+dil_gap</f>
        <v>7.55213495920208</v>
      </c>
      <c r="J6913" s="15" t="n">
        <f aca="false">(Sens!I6912+Sens!J6912)/2+dil_gap</f>
        <v>7.56628437036455</v>
      </c>
      <c r="K6913" s="15" t="n">
        <f aca="false">(Sens!J6912+Sens!K6912)/2+dil_gap</f>
        <v>7.5827190103298</v>
      </c>
    </row>
    <row r="6914" customFormat="false" ht="17.15" hidden="false" customHeight="false" outlineLevel="0" collapsed="false">
      <c r="A6914" s="1" t="s">
        <v>1135</v>
      </c>
      <c r="B6914" s="0" t="s">
        <v>98</v>
      </c>
      <c r="C6914" s="6" t="n">
        <f aca="false">SUM(Sens!F6904:J6904)</f>
        <v>342.863453649425</v>
      </c>
    </row>
    <row r="6915" customFormat="false" ht="15" hidden="false" customHeight="false" outlineLevel="0" collapsed="false">
      <c r="A6915" s="26" t="s">
        <v>1100</v>
      </c>
      <c r="B6915" s="31" t="s">
        <v>98</v>
      </c>
      <c r="C6915" s="27" t="n">
        <f aca="false">Sens!$C$6914-(Sens!F6904+Sens!G6904+Sens!H6904+Sens!I6904+Sens!J6904)</f>
        <v>0</v>
      </c>
      <c r="D6915" s="31"/>
      <c r="E6915" s="31"/>
      <c r="F6915" s="31"/>
      <c r="G6915" s="31"/>
      <c r="H6915" s="31"/>
      <c r="I6915" s="31"/>
      <c r="J6915" s="31"/>
      <c r="K6915" s="31"/>
    </row>
    <row r="6916" customFormat="false" ht="17.15" hidden="false" customHeight="false" outlineLevel="0" collapsed="false">
      <c r="A6916" s="1" t="s">
        <v>1094</v>
      </c>
      <c r="B6916" s="1" t="s">
        <v>1136</v>
      </c>
      <c r="C6916" s="33" t="str">
        <f aca="false">IF(SUM(Sens!F6907:J6907)&gt;0.05,"需要舉債 "&amp;TEXT(SUM(Sens!F6907:J6907),"0.0")&amp;" 十億美元","不需舉債")&amp;"；"&amp;IF(SUM(Sens!F6906:J6906)&lt;COUNT(Sens!F6906:J6906)*bb_target-0.05,"回購較每年 "&amp;TEXT(bb_target,"0.0")&amp;" 的目標少 "&amp;TEXT(COUNT(Sens!F6906:J6906)*bb_target-SUM(Sens!F6906:J6906),"0.0")&amp;" 十億美元（"&amp;TEXT(COUNTIF(Sens!F6906:J6906,"&lt;"&amp;(bb_target-0.05)),"0")&amp;" 年減少）","回購不減")</f>
        <v>不需舉債；回購較每年 22.3 的目標少 41.3 十億美元（2 年減少）</v>
      </c>
    </row>
    <row r="6917" customFormat="false" ht="17.15" hidden="false" customHeight="false" outlineLevel="0" collapsed="false">
      <c r="A6917" s="3" t="s">
        <v>1784</v>
      </c>
    </row>
    <row r="6918" customFormat="false" ht="15" hidden="false" customHeight="false" outlineLevel="0" collapsed="false">
      <c r="A6918" s="4" t="s">
        <v>43</v>
      </c>
      <c r="B6918" s="4" t="s">
        <v>65</v>
      </c>
      <c r="C6918" s="23" t="s">
        <v>942</v>
      </c>
      <c r="D6918" s="23" t="s">
        <v>943</v>
      </c>
      <c r="E6918" s="23" t="s">
        <v>944</v>
      </c>
      <c r="F6918" s="23" t="s">
        <v>945</v>
      </c>
      <c r="G6918" s="23" t="s">
        <v>946</v>
      </c>
      <c r="H6918" s="23" t="s">
        <v>947</v>
      </c>
      <c r="I6918" s="23" t="s">
        <v>948</v>
      </c>
      <c r="J6918" s="23" t="s">
        <v>949</v>
      </c>
      <c r="K6918" s="23" t="s">
        <v>950</v>
      </c>
      <c r="L6918" s="4" t="s">
        <v>47</v>
      </c>
    </row>
    <row r="6919" customFormat="false" ht="17.15" hidden="false" customHeight="false" outlineLevel="0" collapsed="false">
      <c r="A6919" s="1" t="s">
        <v>1216</v>
      </c>
      <c r="B6919" s="1" t="s">
        <v>279</v>
      </c>
      <c r="F6919" s="8" t="n">
        <f aca="false">(1-v_off)*mid_yr</f>
        <v>0.373972602739726</v>
      </c>
      <c r="G6919" s="8" t="n">
        <f aca="false">Sens!G6769-base_fy-mid_yr-v_off</f>
        <v>1.24794520547945</v>
      </c>
      <c r="H6919" s="8" t="n">
        <f aca="false">Sens!H6769-base_fy-mid_yr-v_off</f>
        <v>2.24794520547945</v>
      </c>
      <c r="I6919" s="8" t="n">
        <f aca="false">Sens!I6769-base_fy-mid_yr-v_off</f>
        <v>3.24794520547945</v>
      </c>
      <c r="J6919" s="8" t="n">
        <f aca="false">Sens!J6769-base_fy-mid_yr-v_off</f>
        <v>4.24794520547945</v>
      </c>
      <c r="K6919" s="8" t="n">
        <f aca="false">Sens!K6769-base_fy-mid_yr-v_off</f>
        <v>5.24794520547945</v>
      </c>
      <c r="L6919" s="12" t="s">
        <v>1217</v>
      </c>
    </row>
    <row r="6920" customFormat="false" ht="15" hidden="false" customHeight="false" outlineLevel="0" collapsed="false">
      <c r="A6920" s="1" t="s">
        <v>1218</v>
      </c>
      <c r="B6920" s="1" t="s">
        <v>279</v>
      </c>
      <c r="F6920" s="8" t="n">
        <f aca="false">Sens!F6769-base_fy-v_off</f>
        <v>0.747945205479452</v>
      </c>
      <c r="G6920" s="8" t="n">
        <f aca="false">Sens!G6769-base_fy-v_off</f>
        <v>1.74794520547945</v>
      </c>
      <c r="H6920" s="8" t="n">
        <f aca="false">Sens!H6769-base_fy-v_off</f>
        <v>2.74794520547945</v>
      </c>
      <c r="I6920" s="8" t="n">
        <f aca="false">Sens!I6769-base_fy-v_off</f>
        <v>3.74794520547945</v>
      </c>
      <c r="J6920" s="8" t="n">
        <f aca="false">Sens!J6769-base_fy-v_off</f>
        <v>4.74794520547945</v>
      </c>
      <c r="K6920" s="8" t="n">
        <f aca="false">Sens!K6769-base_fy-v_off</f>
        <v>5.74794520547945</v>
      </c>
    </row>
    <row r="6921" customFormat="false" ht="15" hidden="false" customHeight="false" outlineLevel="0" collapsed="false">
      <c r="A6921" s="1" t="s">
        <v>1219</v>
      </c>
      <c r="B6921" s="0" t="s">
        <v>229</v>
      </c>
      <c r="F6921" s="15" t="n">
        <f aca="false">1/(1+wacc)^Sens!F6919</f>
        <v>0.964022703286649</v>
      </c>
      <c r="G6921" s="15" t="n">
        <f aca="false">1/(1+wacc)^Sens!G6919</f>
        <v>0.884910302296739</v>
      </c>
      <c r="H6921" s="15" t="n">
        <f aca="false">1/(1+wacc)^Sens!H6919</f>
        <v>0.802322009770358</v>
      </c>
      <c r="I6921" s="15" t="n">
        <f aca="false">1/(1+wacc)^Sens!I6919</f>
        <v>0.727441646561469</v>
      </c>
      <c r="J6921" s="15" t="n">
        <f aca="false">1/(1+wacc)^Sens!J6919</f>
        <v>0.659549834988973</v>
      </c>
      <c r="K6921" s="15" t="n">
        <f aca="false">1/(1+wacc)^Sens!K6919</f>
        <v>0.597994336576966</v>
      </c>
    </row>
    <row r="6922" customFormat="false" ht="17.15" hidden="false" customHeight="false" outlineLevel="0" collapsed="false">
      <c r="A6922" s="1" t="s">
        <v>1220</v>
      </c>
      <c r="B6922" s="0" t="s">
        <v>98</v>
      </c>
      <c r="F6922" s="6" t="n">
        <f aca="false">Q!$I$35-Q!$I$39-Q!$I$43</f>
        <v>9.666</v>
      </c>
      <c r="L6922" s="12" t="s">
        <v>1221</v>
      </c>
    </row>
    <row r="6923" customFormat="false" ht="17.15" hidden="false" customHeight="false" outlineLevel="0" collapsed="false">
      <c r="A6923" s="1" t="s">
        <v>1222</v>
      </c>
      <c r="B6923" s="0" t="s">
        <v>98</v>
      </c>
      <c r="F6923" s="6" t="n">
        <f aca="false">Sens!F6894-Sens!F6891-Sens!F6898+Sens!F6876*(1-tax_f)*(1-v_off)-Sens!F6922</f>
        <v>-1.12624356060137</v>
      </c>
      <c r="G6923" s="6" t="n">
        <f aca="false">Sens!G6894-Sens!G6891-Sens!G6898+Sens!G6876*(1-tax_f)</f>
        <v>39.5316765538633</v>
      </c>
      <c r="H6923" s="6" t="n">
        <f aca="false">Sens!H6894-Sens!H6891-Sens!H6898+Sens!H6876*(1-tax_f)</f>
        <v>99.8781070156817</v>
      </c>
      <c r="I6923" s="6" t="n">
        <f aca="false">Sens!I6894-Sens!I6891-Sens!I6898+Sens!I6876*(1-tax_f)</f>
        <v>183.047819345095</v>
      </c>
      <c r="J6923" s="6" t="n">
        <f aca="false">Sens!J6894-Sens!J6891-Sens!J6898+Sens!J6876*(1-tax_f)</f>
        <v>264.886751693807</v>
      </c>
      <c r="K6923" s="6" t="n">
        <f aca="false">Sens!K6894-Sens!K6891-Sens!K6898+Sens!K6876*(1-tax_f)</f>
        <v>305.299251480372</v>
      </c>
      <c r="L6923" s="1" t="s">
        <v>1223</v>
      </c>
    </row>
    <row r="6924" customFormat="false" ht="15" hidden="false" customHeight="false" outlineLevel="0" collapsed="false">
      <c r="A6924" s="1" t="s">
        <v>1224</v>
      </c>
      <c r="B6924" s="0" t="s">
        <v>98</v>
      </c>
      <c r="F6924" s="6" t="n">
        <f aca="false">Sens!F6923*Sens!F6921</f>
        <v>-1.08572436185011</v>
      </c>
      <c r="G6924" s="6" t="n">
        <f aca="false">Sens!G6923*Sens!G6921</f>
        <v>34.9819878495761</v>
      </c>
      <c r="H6924" s="6" t="n">
        <f aca="false">Sens!H6923*Sens!H6921</f>
        <v>80.1344035528806</v>
      </c>
      <c r="I6924" s="6" t="n">
        <f aca="false">Sens!I6923*Sens!I6921</f>
        <v>133.156607103882</v>
      </c>
      <c r="J6924" s="6" t="n">
        <f aca="false">Sens!J6923*Sens!J6921</f>
        <v>174.706013370416</v>
      </c>
      <c r="K6924" s="6" t="n">
        <f aca="false">Sens!K6923*Sens!K6921</f>
        <v>182.567223346449</v>
      </c>
    </row>
    <row r="6925" customFormat="false" ht="17.15" hidden="false" customHeight="false" outlineLevel="0" collapsed="false">
      <c r="A6925" s="1" t="s">
        <v>1225</v>
      </c>
      <c r="B6925" s="0" t="s">
        <v>98</v>
      </c>
      <c r="C6925" s="6" t="n">
        <f aca="false">SUM(Sens!F6924:K6924)</f>
        <v>604.460510861354</v>
      </c>
    </row>
    <row r="6926" customFormat="false" ht="17.15" hidden="false" customHeight="false" outlineLevel="0" collapsed="false">
      <c r="A6926" s="1" t="s">
        <v>1226</v>
      </c>
      <c r="B6926" s="0" t="s">
        <v>98</v>
      </c>
      <c r="C6926" s="6" t="n">
        <f aca="false">Sens!K6862*(1+g_tv)*(1-tax_f)</f>
        <v>316.880781857342</v>
      </c>
    </row>
    <row r="6927" customFormat="false" ht="17.15" hidden="false" customHeight="false" outlineLevel="0" collapsed="false">
      <c r="A6927" s="1" t="s">
        <v>1227</v>
      </c>
      <c r="B6927" s="0" t="s">
        <v>98</v>
      </c>
      <c r="C6927" s="6" t="n">
        <f aca="false">Sens!$C$6926*(1-g_tv/(wacc+ronic_prem))</f>
        <v>224.528554448291</v>
      </c>
    </row>
    <row r="6928" customFormat="false" ht="17.15" hidden="false" customHeight="false" outlineLevel="0" collapsed="false">
      <c r="A6928" s="1" t="s">
        <v>1228</v>
      </c>
      <c r="B6928" s="0" t="s">
        <v>98</v>
      </c>
      <c r="C6928" s="6" t="n">
        <f aca="false">Sens!$C$6927/(wacc-g_tv)</f>
        <v>3078.4075803017</v>
      </c>
    </row>
    <row r="6929" customFormat="false" ht="15" hidden="false" customHeight="false" outlineLevel="0" collapsed="false">
      <c r="A6929" s="1" t="s">
        <v>1229</v>
      </c>
      <c r="B6929" s="0" t="s">
        <v>98</v>
      </c>
      <c r="C6929" s="6" t="n">
        <f aca="false">Sens!$C$6928/(1+wacc)^Sens!K6920</f>
        <v>1752.86277505372</v>
      </c>
    </row>
    <row r="6930" customFormat="false" ht="17.15" hidden="false" customHeight="false" outlineLevel="0" collapsed="false">
      <c r="A6930" s="0" t="s">
        <v>1230</v>
      </c>
      <c r="B6930" s="0" t="s">
        <v>98</v>
      </c>
      <c r="C6930" s="6" t="n">
        <f aca="false">Sens!$C$6925+Sens!$C$6929</f>
        <v>2357.32328591507</v>
      </c>
    </row>
    <row r="6931" customFormat="false" ht="15" hidden="false" customHeight="false" outlineLevel="0" collapsed="false">
      <c r="A6931" s="1" t="s">
        <v>1145</v>
      </c>
      <c r="B6931" s="0" t="s">
        <v>168</v>
      </c>
      <c r="C6931" s="7" t="n">
        <f aca="false">Sens!$C$6929/Sens!$C$6930</f>
        <v>0.743581835180187</v>
      </c>
    </row>
    <row r="6932" customFormat="false" ht="17.15" hidden="false" customHeight="false" outlineLevel="0" collapsed="false">
      <c r="A6932" s="1" t="s">
        <v>1231</v>
      </c>
      <c r="B6932" s="0" t="s">
        <v>98</v>
      </c>
      <c r="C6932" s="6" t="n">
        <f aca="false">Sens!$C$6930+cash_val-debt_val-fl_val+oai_v</f>
        <v>2473.17428591507</v>
      </c>
    </row>
    <row r="6933" customFormat="false" ht="17.15" hidden="false" customHeight="false" outlineLevel="0" collapsed="false">
      <c r="A6933" s="0" t="s">
        <v>1153</v>
      </c>
      <c r="B6933" s="0" t="s">
        <v>75</v>
      </c>
      <c r="C6933" s="5" t="n">
        <f aca="false">Sens!$C$6932/shd_val</f>
        <v>332.148037324077</v>
      </c>
    </row>
    <row r="6934" customFormat="false" ht="15" hidden="false" customHeight="false" outlineLevel="0" collapsed="false">
      <c r="A6934" s="1" t="s">
        <v>1232</v>
      </c>
      <c r="B6934" s="0" t="s">
        <v>75</v>
      </c>
      <c r="C6934" s="8" t="n">
        <f aca="false">div_rem27+Sens!G6902*roll_div_q/q_per_yr</f>
        <v>3.9795</v>
      </c>
    </row>
    <row r="6935" customFormat="false" ht="17.15" hidden="false" customHeight="false" outlineLevel="0" collapsed="false">
      <c r="A6935" s="0" t="s">
        <v>1233</v>
      </c>
      <c r="B6935" s="0" t="s">
        <v>75</v>
      </c>
      <c r="C6935" s="5" t="n">
        <f aca="false">Sens!$C$6933*(1+wacc)^t_roll-Sens!$C$6934</f>
        <v>365.221580914732</v>
      </c>
    </row>
    <row r="6936" customFormat="false" ht="17.15" hidden="false" customHeight="false" outlineLevel="0" collapsed="false">
      <c r="A6936" s="1" t="s">
        <v>1234</v>
      </c>
      <c r="B6936" s="0" t="s">
        <v>168</v>
      </c>
      <c r="F6936" s="7" t="n">
        <f aca="false">Sens!F6888/(Sens!F6833-Sens!F6788)</f>
        <v>0.0688969358728065</v>
      </c>
      <c r="G6936" s="7" t="n">
        <f aca="false">Sens!G6888/(Sens!G6833-Sens!G6788)</f>
        <v>0.0662487479339189</v>
      </c>
      <c r="H6936" s="7" t="n">
        <f aca="false">Sens!H6888/(Sens!H6833-Sens!H6788)</f>
        <v>0.0648765945529315</v>
      </c>
      <c r="I6936" s="7" t="n">
        <f aca="false">Sens!I6888/(Sens!I6833-Sens!I6788)</f>
        <v>0.0646504813251901</v>
      </c>
      <c r="J6936" s="7" t="n">
        <f aca="false">Sens!J6888/(Sens!J6833-Sens!J6788)</f>
        <v>0.0653221849125531</v>
      </c>
      <c r="K6936" s="7" t="n">
        <f aca="false">Sens!K6888/(Sens!K6833-Sens!K6788)</f>
        <v>0.0665985514123824</v>
      </c>
    </row>
    <row r="6937" customFormat="false" ht="17.15" hidden="false" customHeight="false" outlineLevel="0" collapsed="false">
      <c r="A6937" s="0" t="s">
        <v>1235</v>
      </c>
      <c r="B6937" s="0" t="s">
        <v>98</v>
      </c>
      <c r="F6937" s="6" t="n">
        <f aca="false">Sens!F6818*(al_m365+Sens!F6936+sbc_r)</f>
        <v>83.3488790558165</v>
      </c>
      <c r="G6937" s="6" t="n">
        <f aca="false">Sens!G6818*(al_m365+Sens!G6936+sbc_r)</f>
        <v>94.7425824737934</v>
      </c>
      <c r="H6937" s="6" t="n">
        <f aca="false">Sens!H6818*(al_m365+Sens!H6936+sbc_r)</f>
        <v>106.29831649903</v>
      </c>
      <c r="I6937" s="6" t="n">
        <f aca="false">Sens!I6818*(al_m365+Sens!I6936+sbc_r)</f>
        <v>117.087242640748</v>
      </c>
      <c r="J6937" s="6" t="n">
        <f aca="false">Sens!J6818*(al_m365+Sens!J6936+sbc_r)</f>
        <v>126.920796683511</v>
      </c>
      <c r="K6937" s="6" t="n">
        <f aca="false">Sens!K6818*(al_m365+Sens!K6936+sbc_r)</f>
        <v>136.360795724976</v>
      </c>
      <c r="L6937" s="12" t="s">
        <v>1236</v>
      </c>
    </row>
    <row r="6938" customFormat="false" ht="17.15" hidden="false" customHeight="false" outlineLevel="0" collapsed="false">
      <c r="A6938" s="0" t="s">
        <v>1237</v>
      </c>
      <c r="B6938" s="0" t="s">
        <v>98</v>
      </c>
      <c r="F6938" s="6" t="n">
        <f aca="false">Sens!F6819*(al_lic+Sens!F6936+sbc_r)</f>
        <v>32.8684125666035</v>
      </c>
      <c r="G6938" s="6" t="n">
        <f aca="false">Sens!G6819*(al_lic+Sens!G6936+sbc_r)</f>
        <v>34.1542466495331</v>
      </c>
      <c r="H6938" s="6" t="n">
        <f aca="false">Sens!H6819*(al_lic+Sens!H6936+sbc_r)</f>
        <v>35.3527771644364</v>
      </c>
      <c r="I6938" s="6" t="n">
        <f aca="false">Sens!I6819*(al_lic+Sens!I6936+sbc_r)</f>
        <v>36.4451271725899</v>
      </c>
      <c r="J6938" s="6" t="n">
        <f aca="false">Sens!J6819*(al_lic+Sens!J6936+sbc_r)</f>
        <v>37.4070816009905</v>
      </c>
      <c r="K6938" s="6" t="n">
        <f aca="false">Sens!K6819*(al_lic+Sens!K6936+sbc_r)</f>
        <v>38.2123356714318</v>
      </c>
    </row>
    <row r="6939" customFormat="false" ht="17.15" hidden="false" customHeight="false" outlineLevel="0" collapsed="false">
      <c r="A6939" s="0" t="s">
        <v>1238</v>
      </c>
      <c r="B6939" s="0" t="s">
        <v>98</v>
      </c>
      <c r="F6939" s="6" t="n">
        <f aca="false">Sens!F6821*(al_ind+Sens!F6936+sbc_r)</f>
        <v>9.06660682696958</v>
      </c>
      <c r="G6939" s="6" t="n">
        <f aca="false">Sens!G6821*(al_ind+Sens!G6936+sbc_r)</f>
        <v>9.84632402102156</v>
      </c>
      <c r="H6939" s="6" t="n">
        <f aca="false">Sens!H6821*(al_ind+Sens!H6936+sbc_r)</f>
        <v>10.6699345469947</v>
      </c>
      <c r="I6939" s="6" t="n">
        <f aca="false">Sens!I6821*(al_ind+Sens!I6936+sbc_r)</f>
        <v>11.5337085106172</v>
      </c>
      <c r="J6939" s="6" t="n">
        <f aca="false">Sens!J6821*(al_ind+Sens!J6936+sbc_r)</f>
        <v>12.428474709857</v>
      </c>
      <c r="K6939" s="6" t="n">
        <f aca="false">Sens!K6821*(al_ind+Sens!K6936+sbc_r)</f>
        <v>13.3406172265618</v>
      </c>
    </row>
    <row r="6940" customFormat="false" ht="17.15" hidden="false" customHeight="false" outlineLevel="0" collapsed="false">
      <c r="A6940" s="0" t="s">
        <v>1239</v>
      </c>
      <c r="B6940" s="0" t="s">
        <v>98</v>
      </c>
      <c r="F6940" s="6" t="n">
        <f aca="false">Sens!F6823*(al_fro+Sens!F6936+sbc_r)</f>
        <v>3.55645751245414</v>
      </c>
      <c r="G6940" s="6" t="n">
        <f aca="false">Sens!G6823*(al_fro+Sens!G6936+sbc_r)</f>
        <v>3.76749214623153</v>
      </c>
      <c r="H6940" s="6" t="n">
        <f aca="false">Sens!H6823*(al_fro+Sens!H6936+sbc_r)</f>
        <v>4.00706120555662</v>
      </c>
      <c r="I6940" s="6" t="n">
        <f aca="false">Sens!I6823*(al_fro+Sens!I6936+sbc_r)</f>
        <v>4.27771381541576</v>
      </c>
      <c r="J6940" s="6" t="n">
        <f aca="false">Sens!J6823*(al_fro+Sens!J6936+sbc_r)</f>
        <v>4.5808254959353</v>
      </c>
      <c r="K6940" s="6" t="n">
        <f aca="false">Sens!K6823*(al_fro+Sens!K6936+sbc_r)</f>
        <v>4.91701845556972</v>
      </c>
    </row>
    <row r="6941" customFormat="false" ht="17.15" hidden="false" customHeight="false" outlineLevel="0" collapsed="false">
      <c r="A6941" s="0" t="s">
        <v>1240</v>
      </c>
      <c r="B6941" s="0" t="s">
        <v>98</v>
      </c>
      <c r="F6941" s="6" t="n">
        <f aca="false">Sens!F6826*(al_srch+Sens!F6936+sbc_r)</f>
        <v>11.1967343637695</v>
      </c>
      <c r="G6941" s="6" t="n">
        <f aca="false">Sens!G6826*(al_srch+Sens!G6936+sbc_r)</f>
        <v>12.2743708730075</v>
      </c>
      <c r="H6941" s="6" t="n">
        <f aca="false">Sens!H6826*(al_srch+Sens!H6936+sbc_r)</f>
        <v>13.3957050838889</v>
      </c>
      <c r="I6941" s="6" t="n">
        <f aca="false">Sens!I6826*(al_srch+Sens!I6936+sbc_r)</f>
        <v>14.5491842454934</v>
      </c>
      <c r="J6941" s="6" t="n">
        <f aca="false">Sens!J6826*(al_srch+Sens!J6936+sbc_r)</f>
        <v>15.7154640387011</v>
      </c>
      <c r="K6941" s="6" t="n">
        <f aca="false">Sens!K6826*(al_srch+Sens!K6936+sbc_r)</f>
        <v>16.8688431342128</v>
      </c>
    </row>
    <row r="6942" customFormat="false" ht="17.15" hidden="false" customHeight="false" outlineLevel="0" collapsed="false">
      <c r="A6942" s="0" t="s">
        <v>1241</v>
      </c>
      <c r="B6942" s="0" t="s">
        <v>98</v>
      </c>
      <c r="F6942" s="6" t="n">
        <f aca="false">Sens!F6794-Sens!F6795+Sens!F6876</f>
        <v>46.6629120962525</v>
      </c>
      <c r="G6942" s="6" t="n">
        <f aca="false">Sens!G6794-Sens!G6795+Sens!G6876</f>
        <v>94.940298874245</v>
      </c>
      <c r="H6942" s="6" t="n">
        <f aca="false">Sens!H6794-Sens!H6795+Sens!H6876</f>
        <v>151.040802662234</v>
      </c>
      <c r="I6942" s="6" t="n">
        <f aca="false">Sens!I6794-Sens!I6795+Sens!I6876</f>
        <v>195.487555817899</v>
      </c>
      <c r="J6942" s="6" t="n">
        <f aca="false">Sens!J6794-Sens!J6795+Sens!J6876</f>
        <v>226.641759721978</v>
      </c>
      <c r="K6942" s="6" t="n">
        <f aca="false">Sens!K6794-Sens!K6795+Sens!K6876</f>
        <v>245.853197239425</v>
      </c>
    </row>
    <row r="6943" customFormat="false" ht="17.15" hidden="false" customHeight="false" outlineLevel="0" collapsed="false">
      <c r="A6943" s="0" t="s">
        <v>1242</v>
      </c>
      <c r="B6943" s="0" t="s">
        <v>98</v>
      </c>
      <c r="F6943" s="6" t="n">
        <f aca="false">Sens!F6855+Sens!F6876+Sens!F6806+Sens!F6936*(Sens!F6825-Sens!F6788)+sbc_r*Sens!F6825</f>
        <v>241.05879552875</v>
      </c>
      <c r="G6943" s="6" t="n">
        <f aca="false">Sens!G6855+Sens!G6876+Sens!G6806+Sens!G6936*(Sens!G6825-Sens!G6788)+sbc_r*Sens!G6825</f>
        <v>311.889396038257</v>
      </c>
      <c r="H6943" s="6" t="n">
        <f aca="false">Sens!H6855+Sens!H6876+Sens!H6806+Sens!H6936*(Sens!H6825-Sens!H6788)+sbc_r*Sens!H6825</f>
        <v>395.20409105874</v>
      </c>
      <c r="I6943" s="6" t="n">
        <f aca="false">Sens!I6855+Sens!I6876+Sens!I6806+Sens!I6936*(Sens!I6825-Sens!I6788)+sbc_r*Sens!I6825</f>
        <v>465.448301662157</v>
      </c>
      <c r="J6943" s="6" t="n">
        <f aca="false">Sens!J6855+Sens!J6876+Sens!J6806+Sens!J6936*(Sens!J6825-Sens!J6788)+sbc_r*Sens!J6825</f>
        <v>520.104104175919</v>
      </c>
      <c r="K6943" s="6" t="n">
        <f aca="false">Sens!K6855+Sens!K6876+Sens!K6806+Sens!K6936*(Sens!K6825-Sens!K6788)+sbc_r*Sens!K6825</f>
        <v>560.371105171159</v>
      </c>
    </row>
    <row r="6944" customFormat="false" ht="17.15" hidden="false" customHeight="false" outlineLevel="0" collapsed="false">
      <c r="A6944" s="0" t="s">
        <v>1243</v>
      </c>
      <c r="B6944" s="0" t="s">
        <v>98</v>
      </c>
      <c r="F6944" s="6" t="n">
        <f aca="false">Sens!F6943-Sens!F6937-Sens!F6938-Sens!F6939-Sens!F6940-Sens!F6942</f>
        <v>65.555527470654</v>
      </c>
      <c r="G6944" s="6" t="n">
        <f aca="false">Sens!G6943-Sens!G6937-Sens!G6938-Sens!G6939-Sens!G6940-Sens!G6942</f>
        <v>74.4384518734324</v>
      </c>
      <c r="H6944" s="6" t="n">
        <f aca="false">Sens!H6943-Sens!H6937-Sens!H6938-Sens!H6939-Sens!H6940-Sens!H6942</f>
        <v>87.8351989804886</v>
      </c>
      <c r="I6944" s="6" t="n">
        <f aca="false">Sens!I6943-Sens!I6937-Sens!I6938-Sens!I6939-Sens!I6940-Sens!I6942</f>
        <v>100.616953704886</v>
      </c>
      <c r="J6944" s="6" t="n">
        <f aca="false">Sens!J6943-Sens!J6937-Sens!J6938-Sens!J6939-Sens!J6940-Sens!J6942</f>
        <v>112.125165963647</v>
      </c>
      <c r="K6944" s="6" t="n">
        <f aca="false">Sens!K6943-Sens!K6937-Sens!K6938-Sens!K6939-Sens!K6940-Sens!K6942</f>
        <v>121.687140853194</v>
      </c>
    </row>
    <row r="6945" customFormat="false" ht="17.15" hidden="false" customHeight="false" outlineLevel="0" collapsed="false">
      <c r="A6945" s="0" t="s">
        <v>1244</v>
      </c>
      <c r="B6945" s="0" t="s">
        <v>98</v>
      </c>
      <c r="F6945" s="6" t="n">
        <f aca="false">Sens!F6857+Sens!F6936*Sens!F6832+sbc_r*Sens!F6832</f>
        <v>26.6514721087126</v>
      </c>
      <c r="G6945" s="6" t="n">
        <f aca="false">Sens!G6857+Sens!G6936*Sens!G6832+sbc_r*Sens!G6832</f>
        <v>26.4996162687659</v>
      </c>
      <c r="H6945" s="6" t="n">
        <f aca="false">Sens!H6857+Sens!H6936*Sens!H6832+sbc_r*Sens!H6832</f>
        <v>27.3802589274204</v>
      </c>
      <c r="I6945" s="6" t="n">
        <f aca="false">Sens!I6857+Sens!I6936*Sens!I6832+sbc_r*Sens!I6832</f>
        <v>28.4920089339712</v>
      </c>
      <c r="J6945" s="6" t="n">
        <f aca="false">Sens!J6857+Sens!J6936*Sens!J6832+sbc_r*Sens!J6832</f>
        <v>29.801585546019</v>
      </c>
      <c r="K6945" s="6" t="n">
        <f aca="false">Sens!K6857+Sens!K6936*Sens!K6832+sbc_r*Sens!K6832</f>
        <v>31.2757423594776</v>
      </c>
    </row>
    <row r="6946" customFormat="false" ht="17.15" hidden="false" customHeight="false" outlineLevel="0" collapsed="false">
      <c r="A6946" s="0" t="s">
        <v>1245</v>
      </c>
      <c r="B6946" s="0" t="s">
        <v>98</v>
      </c>
      <c r="F6946" s="6" t="n">
        <f aca="false">(Sens!F6945-Sens!F6941)*Sens!F6828/(Sens!F6828+Sens!F6830)</f>
        <v>8.72861207064804</v>
      </c>
      <c r="G6946" s="6" t="n">
        <f aca="false">(Sens!G6945-Sens!G6941)*Sens!G6828/(Sens!G6828+Sens!G6830)</f>
        <v>7.89613430812198</v>
      </c>
      <c r="H6946" s="6" t="n">
        <f aca="false">(Sens!H6945-Sens!H6941)*Sens!H6828/(Sens!H6828+Sens!H6830)</f>
        <v>7.66140869170549</v>
      </c>
      <c r="I6946" s="6" t="n">
        <f aca="false">(Sens!I6945-Sens!I6941)*Sens!I6828/(Sens!I6828+Sens!I6830)</f>
        <v>7.57187475114282</v>
      </c>
      <c r="J6946" s="6" t="n">
        <f aca="false">(Sens!J6945-Sens!J6941)*Sens!J6828/(Sens!J6828+Sens!J6830)</f>
        <v>7.61631913411828</v>
      </c>
      <c r="K6946" s="6" t="n">
        <f aca="false">(Sens!K6945-Sens!K6941)*Sens!K6828/(Sens!K6828+Sens!K6830)</f>
        <v>7.78976258125372</v>
      </c>
    </row>
    <row r="6947" customFormat="false" ht="17.15" hidden="false" customHeight="false" outlineLevel="0" collapsed="false">
      <c r="A6947" s="0" t="s">
        <v>1246</v>
      </c>
      <c r="B6947" s="0" t="s">
        <v>98</v>
      </c>
      <c r="F6947" s="6" t="n">
        <f aca="false">Sens!F6945-Sens!F6941-Sens!F6946</f>
        <v>6.72612567429505</v>
      </c>
      <c r="G6947" s="6" t="n">
        <f aca="false">Sens!G6945-Sens!G6941-Sens!G6946</f>
        <v>6.32911108763645</v>
      </c>
      <c r="H6947" s="6" t="n">
        <f aca="false">Sens!H6945-Sens!H6941-Sens!H6946</f>
        <v>6.32314515182604</v>
      </c>
      <c r="I6947" s="6" t="n">
        <f aca="false">Sens!I6945-Sens!I6941-Sens!I6946</f>
        <v>6.37094993733497</v>
      </c>
      <c r="J6947" s="6" t="n">
        <f aca="false">Sens!J6945-Sens!J6941-Sens!J6946</f>
        <v>6.46980237319961</v>
      </c>
      <c r="K6947" s="6" t="n">
        <f aca="false">Sens!K6945-Sens!K6941-Sens!K6946</f>
        <v>6.61713664401109</v>
      </c>
    </row>
    <row r="6948" customFormat="false" ht="17.15" hidden="false" customHeight="false" outlineLevel="0" collapsed="false">
      <c r="A6948" s="0" t="s">
        <v>1247</v>
      </c>
      <c r="B6948" s="0" t="s">
        <v>98</v>
      </c>
      <c r="F6948" s="6" t="n">
        <f aca="false">Sens!F6942-tax_f*(Sens!F6942-Sens!F6806)-Sens!F6803</f>
        <v>-124.207711469447</v>
      </c>
      <c r="G6948" s="6" t="n">
        <f aca="false">Sens!G6942-tax_f*(Sens!G6942-Sens!G6806)-Sens!G6803</f>
        <v>-103.845338419192</v>
      </c>
      <c r="H6948" s="6" t="n">
        <f aca="false">Sens!H6942-tax_f*(Sens!H6942-Sens!H6806)-Sens!H6803</f>
        <v>-58.1533438024358</v>
      </c>
      <c r="I6948" s="6" t="n">
        <f aca="false">Sens!I6942-tax_f*(Sens!I6942-Sens!I6806)-Sens!I6803</f>
        <v>10.6214129716185</v>
      </c>
      <c r="J6948" s="6" t="n">
        <f aca="false">Sens!J6942-tax_f*(Sens!J6942-Sens!J6806)-Sens!J6803</f>
        <v>78.7866111915612</v>
      </c>
      <c r="K6948" s="6" t="n">
        <f aca="false">Sens!K6942-tax_f*(Sens!K6942-Sens!K6806)-Sens!K6803</f>
        <v>106.322238636994</v>
      </c>
    </row>
    <row r="6949" customFormat="false" ht="17.15" hidden="false" customHeight="false" outlineLevel="0" collapsed="false">
      <c r="A6949" s="0" t="s">
        <v>1248</v>
      </c>
      <c r="B6949" s="0" t="s">
        <v>98</v>
      </c>
      <c r="G6949" s="6" t="n">
        <f aca="false">Sens!G6948/(1+wacc)^(Sens!G6919-Sens!F6920)</f>
        <v>-98.8807458118028</v>
      </c>
      <c r="H6949" s="6" t="n">
        <f aca="false">Sens!H6948/(1+wacc)^(Sens!H6919-Sens!F6920)</f>
        <v>-50.205219939451</v>
      </c>
      <c r="I6949" s="6" t="n">
        <f aca="false">Sens!I6948/(1+wacc)^(Sens!I6919-Sens!F6920)</f>
        <v>8.31392174306383</v>
      </c>
      <c r="J6949" s="6" t="n">
        <f aca="false">Sens!J6948/(1+wacc)^(Sens!J6919-Sens!F6920)</f>
        <v>55.9146374136408</v>
      </c>
      <c r="K6949" s="6" t="n">
        <f aca="false">Sens!K6948/(1+wacc)^(Sens!K6919-Sens!F6920)</f>
        <v>68.4142640203038</v>
      </c>
      <c r="L6949" s="1" t="s">
        <v>1249</v>
      </c>
    </row>
    <row r="6950" customFormat="false" ht="17.15" hidden="false" customHeight="false" outlineLevel="0" collapsed="false">
      <c r="A6950" s="0" t="s">
        <v>1250</v>
      </c>
      <c r="B6950" s="0" t="s">
        <v>98</v>
      </c>
      <c r="C6950" s="6" t="n">
        <f aca="false">(Sens!K6942-Sens!K6806)*(1-tax_f)*(1+g_tv)*(1-g_tv/(wacc+ronic_prem))/(wacc-g_tv)/(1+wacc)^(Sens!K6920-Sens!F6920)</f>
        <v>504.392942761694</v>
      </c>
    </row>
    <row r="6951" customFormat="false" ht="17.15" hidden="false" customHeight="false" outlineLevel="0" collapsed="false">
      <c r="A6951" s="1" t="s">
        <v>1251</v>
      </c>
      <c r="B6951" s="0" t="s">
        <v>98</v>
      </c>
      <c r="C6951" s="6" t="n">
        <f aca="false">(SUM(Sens!G6949:K6949)+Sens!$C$6950)*(1+wacc)^(t_roll-Sens!F6920)</f>
        <v>504.058498761361</v>
      </c>
      <c r="L6951" s="12" t="s">
        <v>1252</v>
      </c>
    </row>
    <row r="6952" customFormat="false" ht="17.15" hidden="false" customHeight="false" outlineLevel="0" collapsed="false">
      <c r="A6952" s="1" t="s">
        <v>1253</v>
      </c>
      <c r="B6952" s="0" t="s">
        <v>98</v>
      </c>
      <c r="C6952" s="6" t="n">
        <f aca="false">(w_ntm28*Sens!G6794+(1-w_ntm28)*Sens!H6794)*m_ai</f>
        <v>563.316843258668</v>
      </c>
    </row>
    <row r="6953" customFormat="false" ht="17.15" hidden="false" customHeight="false" outlineLevel="0" collapsed="false">
      <c r="A6953" s="1" t="s">
        <v>1254</v>
      </c>
      <c r="B6953" s="0" t="s">
        <v>98</v>
      </c>
      <c r="C6953" s="6" t="n">
        <f aca="false">(w_ntm28*Sens!G6944+(1-w_ntm28)*Sens!H6944)*m_cloud</f>
        <v>1089.60835119862</v>
      </c>
    </row>
    <row r="6954" customFormat="false" ht="17.15" hidden="false" customHeight="false" outlineLevel="0" collapsed="false">
      <c r="A6954" s="1" t="s">
        <v>1255</v>
      </c>
      <c r="B6954" s="0" t="s">
        <v>98</v>
      </c>
      <c r="C6954" s="6" t="n">
        <f aca="false">(w_ntm28*Sens!G6937+(1-w_ntm28)*Sens!H6937)*m_sw</f>
        <v>1064.25066139288</v>
      </c>
    </row>
    <row r="6955" customFormat="false" ht="17.15" hidden="false" customHeight="false" outlineLevel="0" collapsed="false">
      <c r="A6955" s="1" t="s">
        <v>1256</v>
      </c>
      <c r="B6955" s="0" t="s">
        <v>98</v>
      </c>
      <c r="C6955" s="6" t="n">
        <f aca="false">(w_ntm28*Sens!G6938+(1-w_ntm28)*Sens!H6938)*m_sw</f>
        <v>373.121468054176</v>
      </c>
    </row>
    <row r="6956" customFormat="false" ht="17.15" hidden="false" customHeight="false" outlineLevel="0" collapsed="false">
      <c r="A6956" s="1" t="s">
        <v>1257</v>
      </c>
      <c r="B6956" s="0" t="s">
        <v>98</v>
      </c>
      <c r="C6956" s="6" t="n">
        <f aca="false">(w_ntm28*Sens!G6939+(1-w_ntm28)*Sens!H6939)*m_sw</f>
        <v>109.264680911036</v>
      </c>
    </row>
    <row r="6957" customFormat="false" ht="17.15" hidden="false" customHeight="false" outlineLevel="0" collapsed="false">
      <c r="A6957" s="1" t="s">
        <v>1258</v>
      </c>
      <c r="B6957" s="0" t="s">
        <v>98</v>
      </c>
      <c r="C6957" s="6" t="n">
        <f aca="false">(w_ntm28*Sens!G6940+(1-w_ntm28)*Sens!H6940)*m_sw</f>
        <v>41.5395494283014</v>
      </c>
    </row>
    <row r="6958" customFormat="false" ht="17.15" hidden="false" customHeight="false" outlineLevel="0" collapsed="false">
      <c r="A6958" s="1" t="s">
        <v>1259</v>
      </c>
      <c r="B6958" s="0" t="s">
        <v>98</v>
      </c>
      <c r="C6958" s="6" t="n">
        <f aca="false">(w_ntm28*Sens!G6941+(1-w_ntm28)*Sens!H6941)*m_ads</f>
        <v>115.177991418401</v>
      </c>
    </row>
    <row r="6959" customFormat="false" ht="17.15" hidden="false" customHeight="false" outlineLevel="0" collapsed="false">
      <c r="A6959" s="1" t="s">
        <v>1260</v>
      </c>
      <c r="B6959" s="0" t="s">
        <v>98</v>
      </c>
      <c r="C6959" s="6" t="n">
        <f aca="false">(w_ntm28*Sens!G6946+(1-w_ntm28)*Sens!H6946)*m_game</f>
        <v>98.7535183821537</v>
      </c>
    </row>
    <row r="6960" customFormat="false" ht="17.15" hidden="false" customHeight="false" outlineLevel="0" collapsed="false">
      <c r="A6960" s="1" t="s">
        <v>1261</v>
      </c>
      <c r="B6960" s="0" t="s">
        <v>98</v>
      </c>
      <c r="C6960" s="6" t="n">
        <f aca="false">(w_ntm28*Sens!G6947+(1-w_ntm28)*Sens!H6947)*m_pc</f>
        <v>91.5538559286715</v>
      </c>
    </row>
    <row r="6961" customFormat="false" ht="17.15" hidden="false" customHeight="false" outlineLevel="0" collapsed="false">
      <c r="A6961" s="1" t="s">
        <v>1262</v>
      </c>
      <c r="B6961" s="0" t="s">
        <v>98</v>
      </c>
      <c r="C6961" s="6" t="n">
        <f aca="false">Sens!$C$6951+Sens!$C$6953+Sens!$C$6954+Sens!$C$6955+Sens!$C$6956+Sens!$C$6957+Sens!$C$6958+Sens!$C$6959+Sens!$C$6960</f>
        <v>3487.3285754756</v>
      </c>
    </row>
    <row r="6962" customFormat="false" ht="17.15" hidden="false" customHeight="false" outlineLevel="0" collapsed="false">
      <c r="A6962" s="1" t="s">
        <v>1263</v>
      </c>
      <c r="B6962" s="0" t="s">
        <v>98</v>
      </c>
      <c r="C6962" s="6" t="n">
        <f aca="false">(Sens!G6923-Sens!G6948)*t_stub</f>
        <v>47.5304624979171</v>
      </c>
      <c r="L6962" s="1" t="s">
        <v>1264</v>
      </c>
    </row>
    <row r="6963" customFormat="false" ht="17.15" hidden="false" customHeight="false" outlineLevel="0" collapsed="false">
      <c r="A6963" s="1" t="s">
        <v>1173</v>
      </c>
      <c r="B6963" s="0" t="s">
        <v>98</v>
      </c>
      <c r="C6963" s="6" t="n">
        <f aca="false">Sens!F6910+oai_v-Sens!F6899+Sens!$C$6962</f>
        <v>161.758732497917</v>
      </c>
      <c r="L6963" s="1" t="s">
        <v>1265</v>
      </c>
    </row>
    <row r="6964" customFormat="false" ht="17.15" hidden="false" customHeight="false" outlineLevel="0" collapsed="false">
      <c r="A6964" s="1" t="s">
        <v>1266</v>
      </c>
      <c r="B6964" s="0" t="s">
        <v>75</v>
      </c>
      <c r="C6964" s="5" t="n">
        <f aca="false">(Sens!$C$6961+Sens!$C$6963)/(Sens!F6912+dil_gap)-Sens!G6902*roll_div_q/q_per_yr</f>
        <v>486.039957289838</v>
      </c>
      <c r="L6964" s="1" t="s">
        <v>1267</v>
      </c>
    </row>
    <row r="6965" customFormat="false" ht="17.15" hidden="false" customHeight="false" outlineLevel="0" collapsed="false">
      <c r="A6965" s="1" t="s">
        <v>1268</v>
      </c>
      <c r="B6965" s="0" t="s">
        <v>75</v>
      </c>
      <c r="C6965" s="5" t="n">
        <f aca="false">w_dcf*Sens!$C$6935+(1-w_dcf)*Sens!$C$6964</f>
        <v>425.630769102285</v>
      </c>
    </row>
    <row r="6966" customFormat="false" ht="17.15" hidden="false" customHeight="false" outlineLevel="0" collapsed="false">
      <c r="A6966" s="3" t="s">
        <v>1785</v>
      </c>
    </row>
    <row r="6967" customFormat="false" ht="15" hidden="false" customHeight="false" outlineLevel="0" collapsed="false">
      <c r="A6967" s="4" t="s">
        <v>43</v>
      </c>
      <c r="B6967" s="4" t="s">
        <v>65</v>
      </c>
      <c r="C6967" s="23" t="s">
        <v>942</v>
      </c>
      <c r="D6967" s="23" t="s">
        <v>943</v>
      </c>
      <c r="E6967" s="23" t="s">
        <v>944</v>
      </c>
      <c r="F6967" s="23" t="s">
        <v>945</v>
      </c>
      <c r="G6967" s="23" t="s">
        <v>946</v>
      </c>
      <c r="H6967" s="23" t="s">
        <v>947</v>
      </c>
      <c r="I6967" s="23" t="s">
        <v>948</v>
      </c>
      <c r="J6967" s="23" t="s">
        <v>949</v>
      </c>
      <c r="K6967" s="23" t="s">
        <v>950</v>
      </c>
      <c r="L6967" s="4" t="s">
        <v>47</v>
      </c>
    </row>
    <row r="6968" customFormat="false" ht="17.15" hidden="false" customHeight="false" outlineLevel="0" collapsed="false">
      <c r="A6968" s="1" t="s">
        <v>951</v>
      </c>
      <c r="B6968" s="1" t="s">
        <v>279</v>
      </c>
      <c r="C6968" s="21" t="n">
        <v>2024</v>
      </c>
      <c r="D6968" s="21" t="n">
        <v>2025</v>
      </c>
      <c r="E6968" s="21" t="n">
        <v>2026</v>
      </c>
      <c r="F6968" s="21" t="n">
        <v>2027</v>
      </c>
      <c r="G6968" s="21" t="n">
        <v>2028</v>
      </c>
      <c r="H6968" s="21" t="n">
        <v>2029</v>
      </c>
      <c r="I6968" s="21" t="n">
        <v>2030</v>
      </c>
      <c r="J6968" s="21" t="n">
        <v>2031</v>
      </c>
      <c r="K6968" s="21" t="n">
        <v>2032</v>
      </c>
    </row>
    <row r="6969" customFormat="false" ht="17.15" hidden="false" customHeight="false" outlineLevel="0" collapsed="false">
      <c r="A6969" s="1" t="s">
        <v>952</v>
      </c>
      <c r="B6969" s="0" t="s">
        <v>459</v>
      </c>
      <c r="F6969" s="30" t="n">
        <f aca="false">pace</f>
        <v>2726.5351</v>
      </c>
      <c r="G6969" s="30" t="n">
        <f aca="false">pace</f>
        <v>2726.5351</v>
      </c>
      <c r="H6969" s="30" t="n">
        <f aca="false">pace</f>
        <v>2726.5351</v>
      </c>
      <c r="I6969" s="30" t="n">
        <f aca="false">pace+(g_tv*Sens!H6970-pace)*MIN(1,(Sens!I6968-pace_y0)/(pace_y1-pace_y0))</f>
        <v>1931.98611966667</v>
      </c>
      <c r="J6969" s="30" t="n">
        <f aca="false">pace+(g_tv*Sens!I6970-pace)*MIN(1,(Sens!J6968-pace_y0)/(pace_y1-pace_y0))</f>
        <v>1176.07686172667</v>
      </c>
      <c r="K6969" s="30" t="n">
        <f aca="false">pace+(g_tv*Sens!J6970-pace)*MIN(1,(Sens!K6968-pace_y0)/(pace_y1-pace_y0))</f>
        <v>436.1300484418</v>
      </c>
      <c r="L6969" s="12" t="s">
        <v>953</v>
      </c>
    </row>
    <row r="6970" customFormat="false" ht="17.15" hidden="false" customHeight="false" outlineLevel="0" collapsed="false">
      <c r="A6970" s="1" t="s">
        <v>954</v>
      </c>
      <c r="B6970" s="0" t="s">
        <v>459</v>
      </c>
      <c r="C6970" s="30" t="n">
        <f aca="false">mw_ext_24</f>
        <v>640</v>
      </c>
      <c r="D6970" s="30" t="n">
        <f aca="false">mw_ext_25</f>
        <v>1630</v>
      </c>
      <c r="E6970" s="30" t="n">
        <f aca="false">mw_ext_26</f>
        <v>3250</v>
      </c>
      <c r="F6970" s="30" t="n">
        <f aca="false">Sens!E6970+Sens!F6969</f>
        <v>5976.5351</v>
      </c>
      <c r="G6970" s="30" t="n">
        <f aca="false">Sens!F6970+Sens!G6969</f>
        <v>8703.0702</v>
      </c>
      <c r="H6970" s="30" t="n">
        <f aca="false">Sens!G6970+Sens!H6969</f>
        <v>11429.6053</v>
      </c>
      <c r="I6970" s="30" t="n">
        <f aca="false">Sens!H6970+Sens!I6969</f>
        <v>13361.5914196667</v>
      </c>
      <c r="J6970" s="30" t="n">
        <f aca="false">Sens!I6970+Sens!J6969</f>
        <v>14537.6682813933</v>
      </c>
      <c r="K6970" s="30" t="n">
        <f aca="false">Sens!J6970+Sens!K6969</f>
        <v>14973.7983298351</v>
      </c>
      <c r="L6970" s="1" t="s">
        <v>955</v>
      </c>
    </row>
    <row r="6971" customFormat="false" ht="17.15" hidden="false" customHeight="false" outlineLevel="0" collapsed="false">
      <c r="A6971" s="1" t="s">
        <v>956</v>
      </c>
      <c r="B6971" s="0" t="s">
        <v>459</v>
      </c>
      <c r="C6971" s="30" t="n">
        <f aca="false">rent_ext_24</f>
        <v>150</v>
      </c>
      <c r="D6971" s="30" t="n">
        <f aca="false">rent_ext_25</f>
        <v>400</v>
      </c>
      <c r="E6971" s="30" t="n">
        <f aca="false">rent_ext_26</f>
        <v>550</v>
      </c>
      <c r="F6971" s="30" t="n">
        <f aca="false">rent_ext_f</f>
        <v>756</v>
      </c>
      <c r="G6971" s="30" t="n">
        <f aca="false">rent_ext_f</f>
        <v>756</v>
      </c>
      <c r="H6971" s="30" t="n">
        <f aca="false">rent_ext_f</f>
        <v>756</v>
      </c>
      <c r="I6971" s="30" t="n">
        <f aca="false">rent_ext_f</f>
        <v>756</v>
      </c>
      <c r="J6971" s="30" t="n">
        <f aca="false">rent_ext_f</f>
        <v>756</v>
      </c>
      <c r="K6971" s="30" t="n">
        <f aca="false">rent_ext_f</f>
        <v>756</v>
      </c>
      <c r="L6971" s="1" t="s">
        <v>957</v>
      </c>
    </row>
    <row r="6972" customFormat="false" ht="17.15" hidden="false" customHeight="false" outlineLevel="0" collapsed="false">
      <c r="A6972" s="1" t="s">
        <v>958</v>
      </c>
      <c r="B6972" s="0" t="s">
        <v>459</v>
      </c>
      <c r="C6972" s="30" t="n">
        <f aca="false">Sens!C6970-Sens!C6971</f>
        <v>490</v>
      </c>
      <c r="D6972" s="30" t="n">
        <f aca="false">Sens!D6970-Sens!D6971</f>
        <v>1230</v>
      </c>
      <c r="E6972" s="30" t="n">
        <f aca="false">Sens!E6970-Sens!E6971</f>
        <v>2700</v>
      </c>
      <c r="F6972" s="30" t="n">
        <f aca="false">Sens!F6970-Sens!F6971</f>
        <v>5220.5351</v>
      </c>
      <c r="G6972" s="30" t="n">
        <f aca="false">Sens!G6970-Sens!G6971</f>
        <v>7947.0702</v>
      </c>
      <c r="H6972" s="30" t="n">
        <f aca="false">Sens!H6970-Sens!H6971</f>
        <v>10673.6053</v>
      </c>
      <c r="I6972" s="30" t="n">
        <f aca="false">Sens!I6970-Sens!I6971</f>
        <v>12605.5914196667</v>
      </c>
      <c r="J6972" s="30" t="n">
        <f aca="false">Sens!J6970-Sens!J6971</f>
        <v>13781.6682813933</v>
      </c>
      <c r="K6972" s="30" t="n">
        <f aca="false">Sens!K6970-Sens!K6971</f>
        <v>14217.7983298351</v>
      </c>
    </row>
    <row r="6973" customFormat="false" ht="17.15" hidden="false" customHeight="false" outlineLevel="0" collapsed="false">
      <c r="A6973" s="1" t="s">
        <v>959</v>
      </c>
      <c r="B6973" s="0" t="s">
        <v>459</v>
      </c>
      <c r="C6973" s="30" t="n">
        <f aca="false">Sens!C6972/ext_sh</f>
        <v>816.666666666667</v>
      </c>
      <c r="D6973" s="30" t="n">
        <f aca="false">Sens!D6972/ext_sh</f>
        <v>2050</v>
      </c>
      <c r="E6973" s="30" t="n">
        <f aca="false">Sens!E6972/ext_sh</f>
        <v>4500</v>
      </c>
      <c r="F6973" s="30" t="n">
        <f aca="false">Sens!F6972/ext_sh</f>
        <v>8700.89183333333</v>
      </c>
      <c r="G6973" s="30" t="n">
        <f aca="false">Sens!G6972/ext_sh</f>
        <v>13245.117</v>
      </c>
      <c r="H6973" s="30" t="n">
        <f aca="false">Sens!H6972/ext_sh</f>
        <v>17789.3421666667</v>
      </c>
      <c r="I6973" s="30" t="n">
        <f aca="false">Sens!I6972/ext_sh</f>
        <v>21009.3190327778</v>
      </c>
      <c r="J6973" s="30" t="n">
        <f aca="false">Sens!J6972/ext_sh</f>
        <v>22969.4471356556</v>
      </c>
      <c r="K6973" s="30" t="n">
        <f aca="false">Sens!K6972/ext_sh</f>
        <v>23696.3305497252</v>
      </c>
      <c r="L6973" s="1" t="s">
        <v>960</v>
      </c>
    </row>
    <row r="6974" customFormat="false" ht="17.15" hidden="false" customHeight="false" outlineLevel="0" collapsed="false">
      <c r="A6974" s="1" t="s">
        <v>961</v>
      </c>
      <c r="B6974" s="0" t="s">
        <v>459</v>
      </c>
      <c r="C6974" s="30" t="n">
        <f aca="false">Sens!C6973-Sens!C6972</f>
        <v>326.666666666667</v>
      </c>
      <c r="D6974" s="30" t="n">
        <f aca="false">Sens!D6973-Sens!D6972</f>
        <v>820</v>
      </c>
      <c r="E6974" s="30" t="n">
        <f aca="false">Sens!E6973-Sens!E6972</f>
        <v>1800</v>
      </c>
      <c r="F6974" s="30" t="n">
        <f aca="false">Sens!F6973-Sens!F6972</f>
        <v>3480.35673333333</v>
      </c>
      <c r="G6974" s="30" t="n">
        <f aca="false">Sens!G6973-Sens!G6972</f>
        <v>5298.0468</v>
      </c>
      <c r="H6974" s="30" t="n">
        <f aca="false">Sens!H6973-Sens!H6972</f>
        <v>7115.73686666667</v>
      </c>
      <c r="I6974" s="30" t="n">
        <f aca="false">Sens!I6973-Sens!I6972</f>
        <v>8403.72761311111</v>
      </c>
      <c r="J6974" s="30" t="n">
        <f aca="false">Sens!J6973-Sens!J6972</f>
        <v>9187.77885426222</v>
      </c>
      <c r="K6974" s="30" t="n">
        <f aca="false">Sens!K6973-Sens!K6972</f>
        <v>9478.53221989009</v>
      </c>
    </row>
    <row r="6975" customFormat="false" ht="17.15" hidden="false" customHeight="false" outlineLevel="0" collapsed="false">
      <c r="A6975" s="1" t="s">
        <v>962</v>
      </c>
      <c r="B6975" s="0" t="s">
        <v>459</v>
      </c>
      <c r="C6975" s="30" t="n">
        <f aca="false">Sens!C6973</f>
        <v>816.666666666667</v>
      </c>
      <c r="D6975" s="30" t="n">
        <f aca="false">Sens!D6973-Sens!C6973</f>
        <v>1233.33333333333</v>
      </c>
      <c r="E6975" s="30" t="n">
        <f aca="false">Sens!E6973-Sens!D6973</f>
        <v>2450</v>
      </c>
      <c r="F6975" s="30" t="n">
        <f aca="false">Sens!F6973-Sens!E6973</f>
        <v>4200.89183333333</v>
      </c>
      <c r="G6975" s="30" t="n">
        <f aca="false">Sens!G6973-Sens!F6973</f>
        <v>4544.22516666667</v>
      </c>
      <c r="H6975" s="30" t="n">
        <f aca="false">Sens!H6973-Sens!G6973</f>
        <v>4544.22516666667</v>
      </c>
      <c r="I6975" s="30" t="n">
        <f aca="false">Sens!I6973-Sens!H6973</f>
        <v>3219.97686611111</v>
      </c>
      <c r="J6975" s="30" t="n">
        <f aca="false">Sens!J6973-Sens!I6973</f>
        <v>1960.12810287778</v>
      </c>
      <c r="K6975" s="30" t="n">
        <f aca="false">Sens!K6973-Sens!J6973</f>
        <v>726.883414069667</v>
      </c>
    </row>
    <row r="6976" customFormat="false" ht="17.15" hidden="false" customHeight="false" outlineLevel="0" collapsed="false">
      <c r="A6976" s="1" t="s">
        <v>963</v>
      </c>
      <c r="B6976" s="0" t="s">
        <v>459</v>
      </c>
      <c r="D6976" s="30" t="n">
        <f aca="false">Sens!D6970-Sens!C6970</f>
        <v>990</v>
      </c>
      <c r="E6976" s="30" t="n">
        <f aca="false">Sens!E6970-Sens!D6970</f>
        <v>1620</v>
      </c>
      <c r="F6976" s="30" t="n">
        <f aca="false">Sens!F6970-Sens!E6970</f>
        <v>2726.5351</v>
      </c>
      <c r="G6976" s="30" t="n">
        <f aca="false">Sens!G6970-Sens!F6970</f>
        <v>2726.5351</v>
      </c>
      <c r="H6976" s="30" t="n">
        <f aca="false">Sens!H6970-Sens!G6970</f>
        <v>2726.5351</v>
      </c>
      <c r="I6976" s="30" t="n">
        <f aca="false">Sens!I6970-Sens!H6970</f>
        <v>1931.98611966667</v>
      </c>
      <c r="J6976" s="30" t="n">
        <f aca="false">Sens!J6970-Sens!I6970</f>
        <v>1176.07686172667</v>
      </c>
      <c r="K6976" s="30" t="n">
        <f aca="false">Sens!K6970-Sens!J6970</f>
        <v>436.130048441799</v>
      </c>
    </row>
    <row r="6977" customFormat="false" ht="17.15" hidden="false" customHeight="false" outlineLevel="0" collapsed="false">
      <c r="A6977" s="1" t="s">
        <v>964</v>
      </c>
      <c r="B6977" s="0" t="s">
        <v>459</v>
      </c>
      <c r="F6977" s="30" t="n">
        <f aca="false">Sens!F6996*ext_sh</f>
        <v>0</v>
      </c>
      <c r="G6977" s="30" t="n">
        <f aca="false">Sens!G6996*ext_sh</f>
        <v>0</v>
      </c>
      <c r="H6977" s="30" t="n">
        <f aca="false">Sens!H6996*ext_sh</f>
        <v>0</v>
      </c>
      <c r="I6977" s="30" t="n">
        <f aca="false">Sens!I6996*ext_sh</f>
        <v>490</v>
      </c>
      <c r="J6977" s="30" t="n">
        <f aca="false">Sens!J6996*ext_sh</f>
        <v>740</v>
      </c>
      <c r="K6977" s="30" t="n">
        <f aca="false">Sens!K6996*ext_sh</f>
        <v>1470</v>
      </c>
      <c r="L6977" s="1" t="s">
        <v>965</v>
      </c>
    </row>
    <row r="6978" customFormat="false" ht="17.15" hidden="false" customHeight="false" outlineLevel="0" collapsed="false">
      <c r="A6978" s="1" t="s">
        <v>966</v>
      </c>
      <c r="B6978" s="0" t="s">
        <v>459</v>
      </c>
      <c r="C6978" s="30" t="n">
        <f aca="false">mix_h*Sens!C6970</f>
        <v>128</v>
      </c>
      <c r="D6978" s="30" t="n">
        <f aca="false">mix_h*Sens!D6970</f>
        <v>326</v>
      </c>
      <c r="E6978" s="30" t="n">
        <f aca="false">mix_h*Sens!E6970</f>
        <v>650</v>
      </c>
      <c r="F6978" s="30" t="n">
        <f aca="false">Sens!E6978-Sens!F6977*mix_h</f>
        <v>650</v>
      </c>
      <c r="G6978" s="30" t="n">
        <f aca="false">Sens!F6978-Sens!G6977*mix_h</f>
        <v>650</v>
      </c>
      <c r="H6978" s="30" t="n">
        <f aca="false">Sens!G6978-Sens!H6977*mix_h</f>
        <v>650</v>
      </c>
      <c r="I6978" s="30" t="n">
        <f aca="false">Sens!H6978-Sens!I6977*mix_h</f>
        <v>552</v>
      </c>
      <c r="J6978" s="30" t="n">
        <f aca="false">Sens!I6978-Sens!J6977*mix_h</f>
        <v>404</v>
      </c>
      <c r="K6978" s="30" t="n">
        <f aca="false">Sens!J6978-Sens!K6977*mix_h</f>
        <v>110</v>
      </c>
    </row>
    <row r="6979" customFormat="false" ht="17.15" hidden="false" customHeight="false" outlineLevel="0" collapsed="false">
      <c r="A6979" s="1" t="s">
        <v>967</v>
      </c>
      <c r="B6979" s="0" t="s">
        <v>459</v>
      </c>
      <c r="C6979" s="30" t="n">
        <f aca="false">mix_g2*Sens!C6970</f>
        <v>288</v>
      </c>
      <c r="D6979" s="30" t="n">
        <f aca="false">mix_g2*Sens!D6970</f>
        <v>733.5</v>
      </c>
      <c r="E6979" s="30" t="n">
        <f aca="false">mix_g2*Sens!E6970</f>
        <v>1462.5</v>
      </c>
      <c r="F6979" s="30" t="n">
        <f aca="false">Sens!E6979-Sens!F6977*mix_g2</f>
        <v>1462.5</v>
      </c>
      <c r="G6979" s="30" t="n">
        <f aca="false">Sens!F6979-Sens!G6977*mix_g2</f>
        <v>1462.5</v>
      </c>
      <c r="H6979" s="30" t="n">
        <f aca="false">Sens!G6979-Sens!H6977*mix_g2</f>
        <v>1462.5</v>
      </c>
      <c r="I6979" s="30" t="n">
        <f aca="false">Sens!H6979-Sens!I6977*mix_g2</f>
        <v>1242</v>
      </c>
      <c r="J6979" s="30" t="n">
        <f aca="false">Sens!I6979-Sens!J6977*mix_g2</f>
        <v>909</v>
      </c>
      <c r="K6979" s="30" t="n">
        <f aca="false">Sens!J6979-Sens!K6977*mix_g2</f>
        <v>247.5</v>
      </c>
    </row>
    <row r="6980" customFormat="false" ht="17.15" hidden="false" customHeight="false" outlineLevel="0" collapsed="false">
      <c r="A6980" s="1" t="s">
        <v>968</v>
      </c>
      <c r="B6980" s="0" t="s">
        <v>459</v>
      </c>
      <c r="C6980" s="30" t="n">
        <f aca="false">mix_g3*Sens!C6970</f>
        <v>224</v>
      </c>
      <c r="D6980" s="30" t="n">
        <f aca="false">mix_g3*Sens!D6970</f>
        <v>570.5</v>
      </c>
      <c r="E6980" s="30" t="n">
        <f aca="false">mix_g3*Sens!E6970</f>
        <v>1137.5</v>
      </c>
      <c r="F6980" s="30" t="n">
        <f aca="false">Sens!E6980+(Sens!F6976+Sens!F6977)*(a_g3_27-nonnv*a_mai)-Sens!F6977*mix_g3</f>
        <v>2773.42106</v>
      </c>
      <c r="G6980" s="30" t="n">
        <f aca="false">Sens!F6980+(Sens!G6976+Sens!G6977)*(a_g3_28-nonnv*a_mai)-Sens!G6977*mix_g3</f>
        <v>3318.72808</v>
      </c>
      <c r="H6980" s="30" t="n">
        <f aca="false">Sens!G6980+(Sens!H6976+Sens!H6977)*(a_g3_29-nonnv*a_mai)-Sens!H6977*mix_g3</f>
        <v>3318.72808</v>
      </c>
      <c r="I6980" s="30" t="n">
        <f aca="false">Sens!H6980+(Sens!I6976+Sens!I6977)*(a_g3_29-nonnv*a_mai)-Sens!I6977*mix_g3</f>
        <v>3147.22808</v>
      </c>
      <c r="J6980" s="30" t="n">
        <f aca="false">Sens!I6980+(Sens!J6976+Sens!J6977)*(a_g3_29-nonnv*a_mai)-Sens!J6977*mix_g3</f>
        <v>2888.22808</v>
      </c>
      <c r="K6980" s="30" t="n">
        <f aca="false">Sens!J6980+(Sens!K6976+Sens!K6977)*(a_g3_29-nonnv*a_mai)-Sens!K6977*mix_g3</f>
        <v>2373.72808</v>
      </c>
    </row>
    <row r="6981" customFormat="false" ht="17.15" hidden="false" customHeight="false" outlineLevel="0" collapsed="false">
      <c r="A6981" s="1" t="s">
        <v>969</v>
      </c>
      <c r="B6981" s="0" t="s">
        <v>459</v>
      </c>
      <c r="C6981" s="30" t="n">
        <v>0</v>
      </c>
      <c r="D6981" s="30" t="n">
        <v>0</v>
      </c>
      <c r="E6981" s="30" t="n">
        <v>0</v>
      </c>
      <c r="F6981" s="30" t="n">
        <f aca="false">Sens!E6981+(Sens!F6976+Sens!F6977)*nonnv*a_mai</f>
        <v>272.65351</v>
      </c>
      <c r="G6981" s="30" t="n">
        <f aca="false">Sens!F6981+(Sens!G6976+Sens!G6977)*nonnv*a_mai</f>
        <v>545.30702</v>
      </c>
      <c r="H6981" s="30" t="n">
        <f aca="false">Sens!G6981+(Sens!H6976+Sens!H6977)*nonnv*a_mai</f>
        <v>817.96053</v>
      </c>
      <c r="I6981" s="30" t="n">
        <f aca="false">Sens!H6981+(Sens!I6976+Sens!I6977)*nonnv*a_mai</f>
        <v>1060.15914196667</v>
      </c>
      <c r="J6981" s="30" t="n">
        <f aca="false">Sens!I6981+(Sens!J6976+Sens!J6977)*nonnv*a_mai</f>
        <v>1251.76682813933</v>
      </c>
      <c r="K6981" s="30" t="n">
        <f aca="false">Sens!J6981+(Sens!K6976+Sens!K6977)*nonnv*a_mai</f>
        <v>1442.37983298351</v>
      </c>
      <c r="L6981" s="12" t="s">
        <v>970</v>
      </c>
    </row>
    <row r="6982" customFormat="false" ht="17.15" hidden="false" customHeight="false" outlineLevel="0" collapsed="false">
      <c r="A6982" s="1" t="s">
        <v>971</v>
      </c>
      <c r="B6982" s="0" t="s">
        <v>459</v>
      </c>
      <c r="C6982" s="30" t="n">
        <v>0</v>
      </c>
      <c r="D6982" s="30" t="n">
        <v>0</v>
      </c>
      <c r="E6982" s="30" t="n">
        <v>0</v>
      </c>
      <c r="F6982" s="30" t="n">
        <f aca="false">Sens!E6982+(Sens!F6976+Sens!F6977)*(1-a_g3_27)</f>
        <v>817.96053</v>
      </c>
      <c r="G6982" s="30" t="n">
        <f aca="false">Sens!F6982+(Sens!G6976+Sens!G6977)*(1-a_g3_28)</f>
        <v>2726.5351</v>
      </c>
      <c r="H6982" s="30" t="n">
        <f aca="false">Sens!G6982+(Sens!H6976+Sens!H6977)*(1-a_g3_29)</f>
        <v>5180.41669</v>
      </c>
      <c r="I6982" s="30" t="n">
        <f aca="false">Sens!H6982+(Sens!I6976+Sens!I6977)*(1-a_g3_29)</f>
        <v>7360.2041977</v>
      </c>
      <c r="J6982" s="30" t="n">
        <f aca="false">Sens!I6982+(Sens!J6976+Sens!J6977)*(1-a_g3_29)</f>
        <v>9084.673373254</v>
      </c>
      <c r="K6982" s="30" t="n">
        <f aca="false">Sens!J6982+(Sens!K6976+Sens!K6977)*(1-a_g3_29)</f>
        <v>10800.1904168516</v>
      </c>
    </row>
    <row r="6983" customFormat="false" ht="17.15" hidden="false" customHeight="false" outlineLevel="0" collapsed="false">
      <c r="A6983" s="1" t="s">
        <v>972</v>
      </c>
      <c r="B6983" s="0" t="s">
        <v>403</v>
      </c>
      <c r="C6983" s="15" t="n">
        <f aca="false">(Sens!C6978*tk_hold_h100+Sens!C6979*tk_hold_gb200+Sens!C6980*tk_hold_gb300+Sens!C6982*tk_hold_vr200+Sens!C6981*nv_hold_mai*tk_hold_vr200)/Sens!C6970</f>
        <v>9.7235358126469</v>
      </c>
      <c r="D6983" s="15" t="n">
        <f aca="false">(Sens!D6978*tk_hold_h100+Sens!D6979*tk_hold_gb200+Sens!D6980*tk_hold_gb300+Sens!D6982*tk_hold_vr200+Sens!D6981*nv_hold_mai*tk_hold_vr200)/Sens!D6970</f>
        <v>9.7235358126469</v>
      </c>
      <c r="E6983" s="15" t="n">
        <f aca="false">(Sens!E6978*tk_hold_h100+Sens!E6979*tk_hold_gb200+Sens!E6980*tk_hold_gb300+Sens!E6982*tk_hold_vr200+Sens!E6981*nv_hold_mai*tk_hold_vr200)/Sens!E6970</f>
        <v>9.7235358126469</v>
      </c>
      <c r="F6983" s="15" t="n">
        <f aca="false">(Sens!F6978*tk_hold_h100+Sens!F6979*tk_hold_gb200+Sens!F6980*tk_hold_gb300+Sens!F6982*tk_hold_vr200+Sens!F6981*nv_hold_mai*tk_hold_vr200)/Sens!F6970</f>
        <v>10.2195353876665</v>
      </c>
      <c r="G6983" s="15" t="n">
        <f aca="false">(Sens!G6978*tk_hold_h100+Sens!G6979*tk_hold_gb200+Sens!G6980*tk_hold_gb300+Sens!G6982*tk_hold_vr200+Sens!G6981*nv_hold_mai*tk_hold_vr200)/Sens!G6970</f>
        <v>10.5725598017306</v>
      </c>
      <c r="H6983" s="15" t="n">
        <f aca="false">(Sens!H6978*tk_hold_h100+Sens!H6979*tk_hold_gb200+Sens!H6980*tk_hold_gb300+Sens!H6982*tk_hold_vr200+Sens!H6981*nv_hold_mai*tk_hold_vr200)/Sens!H6970</f>
        <v>10.8210427149036</v>
      </c>
      <c r="I6983" s="15" t="n">
        <f aca="false">(Sens!I6978*tk_hold_h100+Sens!I6979*tk_hold_gb200+Sens!I6980*tk_hold_gb300+Sens!I6982*tk_hold_vr200+Sens!I6981*nv_hold_mai*tk_hold_vr200)/Sens!I6970</f>
        <v>11.0050618241982</v>
      </c>
      <c r="J6983" s="15" t="n">
        <f aca="false">(Sens!J6978*tk_hold_h100+Sens!J6979*tk_hold_gb200+Sens!J6980*tk_hold_gb300+Sens!J6982*tk_hold_vr200+Sens!J6981*nv_hold_mai*tk_hold_vr200)/Sens!J6970</f>
        <v>11.1505789658881</v>
      </c>
      <c r="K6983" s="15" t="n">
        <f aca="false">(Sens!K6978*tk_hold_h100+Sens!K6979*tk_hold_gb200+Sens!K6980*tk_hold_gb300+Sens!K6982*tk_hold_vr200+Sens!K6981*nv_hold_mai*tk_hold_vr200)/Sens!K6970</f>
        <v>11.3496914757183</v>
      </c>
      <c r="L6983" s="1" t="s">
        <v>973</v>
      </c>
    </row>
    <row r="6984" customFormat="false" ht="17.15" hidden="false" customHeight="false" outlineLevel="0" collapsed="false">
      <c r="A6984" s="1" t="s">
        <v>974</v>
      </c>
      <c r="B6984" s="0" t="s">
        <v>403</v>
      </c>
      <c r="C6984" s="15" t="n">
        <f aca="false">(Sens!C6978*tk_hold_h100+Sens!C6979*tk_hold_gb200+Sens!C6980*tk_hold_gb300+Sens!C6982*tk_hold_vr200+Sens!C6981*nv_out_mai*tk_hold_vr200)/Sens!C6970</f>
        <v>9.7235358126469</v>
      </c>
      <c r="D6984" s="15" t="n">
        <f aca="false">(Sens!D6978*tk_hold_h100+Sens!D6979*tk_hold_gb200+Sens!D6980*tk_hold_gb300+Sens!D6982*tk_hold_vr200+Sens!D6981*nv_out_mai*tk_hold_vr200)/Sens!D6970</f>
        <v>9.7235358126469</v>
      </c>
      <c r="E6984" s="15" t="n">
        <f aca="false">(Sens!E6978*tk_hold_h100+Sens!E6979*tk_hold_gb200+Sens!E6980*tk_hold_gb300+Sens!E6982*tk_hold_vr200+Sens!E6981*nv_out_mai*tk_hold_vr200)/Sens!E6970</f>
        <v>9.7235358126469</v>
      </c>
      <c r="F6984" s="15" t="n">
        <f aca="false">(Sens!F6978*tk_hold_h100+Sens!F6979*tk_hold_gb200+Sens!F6980*tk_hold_gb300+Sens!F6982*tk_hold_vr200+Sens!F6981*nv_out_mai*tk_hold_vr200)/Sens!F6970</f>
        <v>10.247422093969</v>
      </c>
      <c r="G6984" s="15" t="n">
        <f aca="false">(Sens!G6978*tk_hold_h100+Sens!G6979*tk_hold_gb200+Sens!G6980*tk_hold_gb300+Sens!G6982*tk_hold_vr200+Sens!G6981*nv_out_mai*tk_hold_vr200)/Sens!G6970</f>
        <v>10.6108602808053</v>
      </c>
      <c r="H6984" s="15" t="n">
        <f aca="false">(Sens!H6978*tk_hold_h100+Sens!H6979*tk_hold_gb200+Sens!H6980*tk_hold_gb300+Sens!H6982*tk_hold_vr200+Sens!H6981*nv_out_mai*tk_hold_vr200)/Sens!H6970</f>
        <v>10.8647885507393</v>
      </c>
      <c r="I6984" s="15" t="n">
        <f aca="false">(Sens!I6978*tk_hold_h100+Sens!I6979*tk_hold_gb200+Sens!I6980*tk_hold_gb300+Sens!I6982*tk_hold_vr200+Sens!I6981*nv_out_mai*tk_hold_vr200)/Sens!I6970</f>
        <v>11.0535625770025</v>
      </c>
      <c r="J6984" s="15" t="n">
        <f aca="false">(Sens!J6978*tk_hold_h100+Sens!J6979*tk_hold_gb200+Sens!J6980*tk_hold_gb300+Sens!J6982*tk_hold_vr200+Sens!J6981*nv_out_mai*tk_hold_vr200)/Sens!J6970</f>
        <v>11.2032127128058</v>
      </c>
      <c r="K6984" s="15" t="n">
        <f aca="false">(Sens!K6978*tk_hold_h100+Sens!K6979*tk_hold_gb200+Sens!K6980*tk_hold_gb300+Sens!K6982*tk_hold_vr200+Sens!K6981*nv_out_mai*tk_hold_vr200)/Sens!K6970</f>
        <v>11.4085735724225</v>
      </c>
      <c r="L6984" s="12" t="s">
        <v>975</v>
      </c>
    </row>
    <row r="6985" customFormat="false" ht="17.15" hidden="false" customHeight="false" outlineLevel="0" collapsed="false">
      <c r="A6985" s="0" t="s">
        <v>976</v>
      </c>
      <c r="B6985" s="0" t="s">
        <v>229</v>
      </c>
      <c r="C6985" s="15" t="n">
        <f aca="false">k_B</f>
        <v>1.17213932619116</v>
      </c>
      <c r="D6985" s="15" t="n">
        <f aca="false">k_B</f>
        <v>1.17213932619116</v>
      </c>
      <c r="E6985" s="15" t="n">
        <f aca="false">k_B</f>
        <v>1.17213932619116</v>
      </c>
      <c r="F6985" s="15" t="n">
        <f aca="false">(k_B+((ls_B*k_long+(1-ls_B)*k_spot)-k_B)*MIN(1,(Sens!F6968-base_fy)/k_ramp))</f>
        <v>1.17213932619116</v>
      </c>
      <c r="G6985" s="15" t="n">
        <f aca="false">(k_B+((ls_B*k_long+(1-ls_B)*k_spot)-k_B)*MIN(1,(Sens!G6968-base_fy)/k_ramp))</f>
        <v>1.17213932619116</v>
      </c>
      <c r="H6985" s="15" t="n">
        <f aca="false">(k_B+((ls_B*k_long+(1-ls_B)*k_spot)-k_B)*MIN(1,(Sens!H6968-base_fy)/k_ramp))</f>
        <v>1.17213932619116</v>
      </c>
      <c r="I6985" s="15" t="n">
        <f aca="false">(k_B+((ls_B*k_long+(1-ls_B)*k_spot)-k_B)*MIN(1,(Sens!I6968-base_fy)/k_ramp))</f>
        <v>1.17213932619116</v>
      </c>
      <c r="J6985" s="15" t="n">
        <f aca="false">(k_B+((ls_B*k_long+(1-ls_B)*k_spot)-k_B)*MIN(1,(Sens!J6968-base_fy)/k_ramp))</f>
        <v>1.17213932619116</v>
      </c>
      <c r="K6985" s="15" t="n">
        <f aca="false">(k_B+((ls_B*k_long+(1-ls_B)*k_spot)-k_B)*MIN(1,(Sens!K6968-base_fy)/k_ramp))</f>
        <v>1.17213932619116</v>
      </c>
      <c r="L6985" s="1" t="s">
        <v>977</v>
      </c>
    </row>
    <row r="6986" customFormat="false" ht="17.15" hidden="false" customHeight="false" outlineLevel="0" collapsed="false">
      <c r="A6986" s="1" t="s">
        <v>978</v>
      </c>
      <c r="B6986" s="0" t="s">
        <v>403</v>
      </c>
      <c r="C6986" s="15" t="n">
        <f aca="false">Sens!C6984*Sens!C6985*chip_f</f>
        <v>11.3973387156315</v>
      </c>
      <c r="D6986" s="15" t="n">
        <f aca="false">Sens!D6984*Sens!D6985*chip_f</f>
        <v>11.3973387156315</v>
      </c>
      <c r="E6986" s="15" t="n">
        <f aca="false">Sens!E6984*Sens!E6985*chip_f</f>
        <v>11.3973387156315</v>
      </c>
      <c r="F6986" s="15" t="n">
        <f aca="false">Sens!F6984*Sens!F6985*chip_f</f>
        <v>12.0114064284211</v>
      </c>
      <c r="G6986" s="15" t="n">
        <f aca="false">Sens!G6984*Sens!G6985*chip_f</f>
        <v>12.4374066198516</v>
      </c>
      <c r="H6986" s="15" t="n">
        <f aca="false">Sens!H6984*Sens!H6985*chip_f</f>
        <v>12.735045931073</v>
      </c>
      <c r="I6986" s="15" t="n">
        <f aca="false">Sens!I6984*Sens!I6985*chip_f</f>
        <v>12.9563153910195</v>
      </c>
      <c r="J6986" s="15" t="n">
        <f aca="false">Sens!J6984*Sens!J6985*chip_f</f>
        <v>13.1317262003643</v>
      </c>
      <c r="K6986" s="15" t="n">
        <f aca="false">Sens!K6984*Sens!K6985*chip_f</f>
        <v>13.3724377399815</v>
      </c>
      <c r="L6986" s="1" t="s">
        <v>979</v>
      </c>
    </row>
    <row r="6987" customFormat="false" ht="17.15" hidden="false" customHeight="false" outlineLevel="0" collapsed="false">
      <c r="A6987" s="0" t="s">
        <v>980</v>
      </c>
      <c r="B6987" s="0" t="s">
        <v>98</v>
      </c>
      <c r="D6987" s="6" t="n">
        <f aca="false">(Sens!C6970+Sens!D6970)/2*Sens!D6986/1000</f>
        <v>12.9359794422418</v>
      </c>
      <c r="E6987" s="6" t="n">
        <f aca="false">(Sens!D6970+Sens!E6970)/2*Sens!E6986/1000</f>
        <v>27.8095064661409</v>
      </c>
      <c r="F6987" s="6" t="n">
        <f aca="false">(Sens!E6970+Sens!F6970)/2*Sens!F6986/1000</f>
        <v>55.4118315060966</v>
      </c>
      <c r="G6987" s="6" t="n">
        <f aca="false">(Sens!F6970+Sens!G6970)/2*Sens!G6986/1000</f>
        <v>91.2881100675143</v>
      </c>
      <c r="H6987" s="6" t="n">
        <f aca="false">(Sens!G6970+Sens!H6970)/2*Sens!H6986/1000</f>
        <v>128.195273603944</v>
      </c>
      <c r="I6987" s="6" t="n">
        <f aca="false">(Sens!H6970+Sens!I6970)/2*Sens!I6986/1000</f>
        <v>160.601281810405</v>
      </c>
      <c r="J6987" s="6" t="n">
        <f aca="false">(Sens!I6970+Sens!J6970)/2*Sens!J6986/1000</f>
        <v>183.182719793589</v>
      </c>
      <c r="K6987" s="6" t="n">
        <f aca="false">(Sens!J6970+Sens!K6970)/2*Sens!K6986/1000</f>
        <v>197.320124937098</v>
      </c>
      <c r="L6987" s="12" t="s">
        <v>981</v>
      </c>
    </row>
    <row r="6988" customFormat="false" ht="17.15" hidden="false" customHeight="false" outlineLevel="0" collapsed="false">
      <c r="A6988" s="1" t="s">
        <v>982</v>
      </c>
      <c r="B6988" s="0" t="s">
        <v>403</v>
      </c>
      <c r="C6988" s="15" t="n">
        <f aca="false">(Sens!C6978*tk_opex_h100+Sens!C6979*tk_opex_gb200+Sens!C6980*tk_opex_gb300+(Sens!C6982+Sens!C6981)*tk_opex_vr200)/Sens!C6970</f>
        <v>1.88636041306092</v>
      </c>
      <c r="D6988" s="15" t="n">
        <f aca="false">(Sens!D6978*tk_opex_h100+Sens!D6979*tk_opex_gb200+Sens!D6980*tk_opex_gb300+(Sens!D6982+Sens!D6981)*tk_opex_vr200)/Sens!D6970</f>
        <v>1.88636041306092</v>
      </c>
      <c r="E6988" s="15" t="n">
        <f aca="false">(Sens!E6978*tk_opex_h100+Sens!E6979*tk_opex_gb200+Sens!E6980*tk_opex_gb300+(Sens!E6982+Sens!E6981)*tk_opex_vr200)/Sens!E6970</f>
        <v>1.88636041306092</v>
      </c>
      <c r="F6988" s="15" t="n">
        <f aca="false">(Sens!F6978*tk_opex_h100+Sens!F6979*tk_opex_gb200+Sens!F6980*tk_opex_gb300+(Sens!F6982+Sens!F6981)*tk_opex_vr200)/Sens!F6970</f>
        <v>1.95051159746876</v>
      </c>
      <c r="G6988" s="15" t="n">
        <f aca="false">(Sens!G6978*tk_opex_h100+Sens!G6979*tk_opex_gb200+Sens!G6980*tk_opex_gb300+(Sens!G6982+Sens!G6981)*tk_opex_vr200)/Sens!G6970</f>
        <v>1.98836003669956</v>
      </c>
      <c r="H6988" s="15" t="n">
        <f aca="false">(Sens!H6978*tk_opex_h100+Sens!H6979*tk_opex_gb200+Sens!H6980*tk_opex_gb300+(Sens!H6982+Sens!H6981)*tk_opex_vr200)/Sens!H6970</f>
        <v>2.01344013834343</v>
      </c>
      <c r="I6988" s="15" t="n">
        <f aca="false">(Sens!I6978*tk_opex_h100+Sens!I6979*tk_opex_gb200+Sens!I6980*tk_opex_gb300+(Sens!I6982+Sens!I6981)*tk_opex_vr200)/Sens!I6970</f>
        <v>2.03261166882178</v>
      </c>
      <c r="J6988" s="15" t="n">
        <f aca="false">(Sens!J6978*tk_opex_h100+Sens!J6979*tk_opex_gb200+Sens!J6980*tk_opex_gb300+(Sens!J6982+Sens!J6981)*tk_opex_vr200)/Sens!J6970</f>
        <v>2.04808073288745</v>
      </c>
      <c r="K6988" s="15" t="n">
        <f aca="false">(Sens!K6978*tk_opex_h100+Sens!K6979*tk_opex_gb200+Sens!K6980*tk_opex_gb300+(Sens!K6982+Sens!K6981)*tk_opex_vr200)/Sens!K6970</f>
        <v>2.06973825807449</v>
      </c>
      <c r="L6988" s="12" t="s">
        <v>983</v>
      </c>
    </row>
    <row r="6989" customFormat="false" ht="17.15" hidden="false" customHeight="false" outlineLevel="0" collapsed="false">
      <c r="A6989" s="0" t="s">
        <v>984</v>
      </c>
      <c r="B6989" s="0" t="s">
        <v>98</v>
      </c>
      <c r="D6989" s="6" t="n">
        <f aca="false">(Sens!C6973+Sens!D6973)/2*Sens!D6988/1000</f>
        <v>2.70378325872065</v>
      </c>
      <c r="E6989" s="6" t="n">
        <f aca="false">(Sens!D6973+Sens!E6973)/2*Sens!E6988/1000</f>
        <v>6.17783035277451</v>
      </c>
      <c r="F6989" s="6" t="n">
        <f aca="false">(Sens!E6973+Sens!F6973)/2*Sens!F6988/1000</f>
        <v>12.8742463089237</v>
      </c>
      <c r="G6989" s="6" t="n">
        <f aca="false">(Sens!F6973+Sens!G6973)/2*Sens!G6988/1000</f>
        <v>21.8182834646277</v>
      </c>
      <c r="H6989" s="6" t="n">
        <f aca="false">(Sens!G6973+Sens!H6973)/2*Sens!H6988/1000</f>
        <v>31.2430128789734</v>
      </c>
      <c r="I6989" s="6" t="n">
        <f aca="false">(Sens!H6973+Sens!I6973)/2*Sens!I6988/1000</f>
        <v>39.4313057443268</v>
      </c>
      <c r="J6989" s="6" t="n">
        <f aca="false">(Sens!I6973+Sens!J6973)/2*Sens!J6988/1000</f>
        <v>45.0360318228653</v>
      </c>
      <c r="K6989" s="6" t="n">
        <f aca="false">(Sens!J6973+Sens!K6973)/2*Sens!K6988/1000</f>
        <v>48.2929727091156</v>
      </c>
    </row>
    <row r="6990" customFormat="false" ht="17.15" hidden="false" customHeight="false" outlineLevel="0" collapsed="false">
      <c r="A6990" s="0" t="s">
        <v>985</v>
      </c>
      <c r="B6990" s="0" t="s">
        <v>98</v>
      </c>
      <c r="D6990" s="6" t="n">
        <f aca="false">(Sens!C6971+Sens!D6971)/2*rent_mw/1000</f>
        <v>2.44475</v>
      </c>
      <c r="E6990" s="6" t="n">
        <f aca="false">(Sens!D6971+Sens!E6971)/2*rent_mw/1000</f>
        <v>4.22275</v>
      </c>
      <c r="F6990" s="6" t="n">
        <f aca="false">(Sens!E6971+Sens!F6971)/2*rent_mw/1000</f>
        <v>5.80517</v>
      </c>
      <c r="G6990" s="6" t="n">
        <f aca="false">(Sens!F6971+Sens!G6971)/2*rent_mw/1000</f>
        <v>6.72084</v>
      </c>
      <c r="H6990" s="6" t="n">
        <f aca="false">(Sens!G6971+Sens!H6971)/2*rent_mw/1000</f>
        <v>6.72084</v>
      </c>
      <c r="I6990" s="6" t="n">
        <f aca="false">(Sens!H6971+Sens!I6971)/2*rent_mw/1000</f>
        <v>6.72084</v>
      </c>
      <c r="J6990" s="6" t="n">
        <f aca="false">(Sens!I6971+Sens!J6971)/2*rent_mw/1000</f>
        <v>6.72084</v>
      </c>
      <c r="K6990" s="6" t="n">
        <f aca="false">(Sens!J6971+Sens!K6971)/2*rent_mw/1000</f>
        <v>6.72084</v>
      </c>
    </row>
    <row r="6991" customFormat="false" ht="17.15" hidden="false" customHeight="false" outlineLevel="0" collapsed="false">
      <c r="A6991" s="0" t="s">
        <v>986</v>
      </c>
      <c r="B6991" s="0" t="s">
        <v>98</v>
      </c>
      <c r="D6991" s="6" t="n">
        <f aca="false">(Sens!C6973+Sens!D6973)/2*(1-self_build)*fac_rent/1000</f>
        <v>0.853242375631075</v>
      </c>
      <c r="E6991" s="6" t="n">
        <f aca="false">(Sens!D6973+Sens!E6973)/2*(1-self_build)*fac_rent/1000</f>
        <v>1.94955961408728</v>
      </c>
      <c r="F6991" s="6" t="n">
        <f aca="false">(Sens!E6973+Sens!F6973)/2*(1-self_build)*fac_rent/1000</f>
        <v>3.92914894476356</v>
      </c>
      <c r="G6991" s="6" t="n">
        <f aca="false">(Sens!F6973+Sens!G6973)/2*(1-self_build)*fac_rent/1000</f>
        <v>6.53206908578159</v>
      </c>
      <c r="H6991" s="6" t="n">
        <f aca="false">(Sens!G6973+Sens!H6973)/2*(1-self_build)*fac_rent/1000</f>
        <v>9.23717988341591</v>
      </c>
      <c r="I6991" s="6" t="n">
        <f aca="false">(Sens!H6973+Sens!I6973)/2*(1-self_build)*fac_rent/1000</f>
        <v>11.5481378557393</v>
      </c>
      <c r="J6991" s="6" t="n">
        <f aca="false">(Sens!I6973+Sens!J6973)/2*(1-self_build)*fac_rent/1000</f>
        <v>13.0899582289108</v>
      </c>
      <c r="K6991" s="6" t="n">
        <f aca="false">(Sens!J6973+Sens!K6973)/2*(1-self_build)*fac_rent/1000</f>
        <v>13.8897275626556</v>
      </c>
      <c r="L6991" s="12" t="s">
        <v>987</v>
      </c>
    </row>
    <row r="6992" customFormat="false" ht="17.15" hidden="false" customHeight="false" outlineLevel="0" collapsed="false">
      <c r="A6992" s="1" t="s">
        <v>988</v>
      </c>
      <c r="B6992" s="0" t="s">
        <v>168</v>
      </c>
      <c r="D6992" s="7" t="n">
        <f aca="false">(Sens!C6972+Sens!D6972)/(Sens!C6973+Sens!D6973)</f>
        <v>0.6</v>
      </c>
      <c r="E6992" s="7" t="n">
        <f aca="false">(Sens!D6972+Sens!E6972)/(Sens!D6973+Sens!E6973)</f>
        <v>0.6</v>
      </c>
      <c r="F6992" s="7" t="n">
        <f aca="false">(Sens!E6972+Sens!F6972)/(Sens!E6973+Sens!F6973)</f>
        <v>0.6</v>
      </c>
      <c r="G6992" s="7" t="n">
        <f aca="false">(Sens!F6972+Sens!G6972)/(Sens!F6973+Sens!G6973)</f>
        <v>0.6</v>
      </c>
      <c r="H6992" s="7" t="n">
        <f aca="false">(Sens!G6972+Sens!H6972)/(Sens!G6973+Sens!H6973)</f>
        <v>0.6</v>
      </c>
      <c r="I6992" s="7" t="n">
        <f aca="false">(Sens!H6972+Sens!I6972)/(Sens!H6973+Sens!I6973)</f>
        <v>0.6</v>
      </c>
      <c r="J6992" s="7" t="n">
        <f aca="false">(Sens!I6972+Sens!J6972)/(Sens!I6973+Sens!J6973)</f>
        <v>0.6</v>
      </c>
      <c r="K6992" s="7" t="n">
        <f aca="false">(Sens!J6972+Sens!K6972)/(Sens!J6973+Sens!K6973)</f>
        <v>0.6</v>
      </c>
    </row>
    <row r="6993" customFormat="false" ht="17.15" hidden="false" customHeight="false" outlineLevel="0" collapsed="false">
      <c r="A6993" s="0" t="s">
        <v>989</v>
      </c>
      <c r="B6993" s="0" t="s">
        <v>98</v>
      </c>
      <c r="D6993" s="6" t="n">
        <f aca="false">Sens!D6987-Sens!D6992*(Sens!D6989+Sens!D6991)-Sens!D6990</f>
        <v>8.35701406163072</v>
      </c>
      <c r="E6993" s="6" t="n">
        <f aca="false">Sens!E6987-Sens!E6992*(Sens!E6989+Sens!E6991)-Sens!E6990</f>
        <v>18.7103224860238</v>
      </c>
      <c r="F6993" s="6" t="n">
        <f aca="false">Sens!F6987-Sens!F6992*(Sens!F6989+Sens!F6991)-Sens!F6990</f>
        <v>39.5246243538843</v>
      </c>
      <c r="G6993" s="6" t="n">
        <f aca="false">Sens!G6987-Sens!G6992*(Sens!G6989+Sens!G6991)-Sens!G6990</f>
        <v>67.5570585372687</v>
      </c>
      <c r="H6993" s="6" t="n">
        <f aca="false">Sens!H6987-Sens!H6992*(Sens!H6989+Sens!H6991)-Sens!H6990</f>
        <v>97.1863179465102</v>
      </c>
      <c r="I6993" s="6" t="n">
        <f aca="false">Sens!I6987-Sens!I6992*(Sens!I6989+Sens!I6991)-Sens!I6990</f>
        <v>123.292775650365</v>
      </c>
      <c r="J6993" s="6" t="n">
        <f aca="false">Sens!J6987-Sens!J6992*(Sens!J6989+Sens!J6991)-Sens!J6990</f>
        <v>141.586285762524</v>
      </c>
      <c r="K6993" s="6" t="n">
        <f aca="false">Sens!K6987-Sens!K6992*(Sens!K6989+Sens!K6991)-Sens!K6990</f>
        <v>153.289664774035</v>
      </c>
    </row>
    <row r="6994" customFormat="false" ht="17.15" hidden="false" customHeight="false" outlineLevel="0" collapsed="false">
      <c r="A6994" s="1" t="s">
        <v>990</v>
      </c>
      <c r="B6994" s="0" t="s">
        <v>98</v>
      </c>
      <c r="D6994" s="6" t="n">
        <f aca="false">(1-Sens!D6992)*(Sens!D6989+Sens!D6991)</f>
        <v>1.42281025374069</v>
      </c>
      <c r="E6994" s="6" t="n">
        <f aca="false">(1-Sens!E6992)*(Sens!E6989+Sens!E6991)</f>
        <v>3.25095598674472</v>
      </c>
      <c r="F6994" s="6" t="n">
        <f aca="false">(1-Sens!F6992)*(Sens!F6989+Sens!F6991)</f>
        <v>6.72135810147489</v>
      </c>
      <c r="G6994" s="6" t="n">
        <f aca="false">(1-Sens!G6992)*(Sens!G6989+Sens!G6991)</f>
        <v>11.3401410201637</v>
      </c>
      <c r="H6994" s="6" t="n">
        <f aca="false">(1-Sens!H6992)*(Sens!H6989+Sens!H6991)</f>
        <v>16.1920771049557</v>
      </c>
      <c r="I6994" s="6" t="n">
        <f aca="false">(1-Sens!I6992)*(Sens!I6989+Sens!I6991)</f>
        <v>20.3917774400264</v>
      </c>
      <c r="J6994" s="6" t="n">
        <f aca="false">(1-Sens!J6992)*(Sens!J6989+Sens!J6991)</f>
        <v>23.2503960207104</v>
      </c>
      <c r="K6994" s="6" t="n">
        <f aca="false">(1-Sens!K6992)*(Sens!K6989+Sens!K6991)</f>
        <v>24.8730801087085</v>
      </c>
    </row>
    <row r="6995" customFormat="false" ht="17.15" hidden="false" customHeight="false" outlineLevel="0" collapsed="false">
      <c r="A6995" s="1" t="s">
        <v>991</v>
      </c>
      <c r="B6995" s="0" t="s">
        <v>417</v>
      </c>
      <c r="C6995" s="8" t="n">
        <f aca="false">cxit_open</f>
        <v>27.5918995</v>
      </c>
      <c r="D6995" s="8" t="n">
        <f aca="false">cxit_open</f>
        <v>27.5918995</v>
      </c>
      <c r="E6995" s="8" t="n">
        <f aca="false">cxit_open</f>
        <v>27.5918995</v>
      </c>
      <c r="F6995" s="8" t="n">
        <f aca="false">((a_g3_27-nonnv*a_mai)*tk_cxit_gb300+nonnv*a_mai*nv_hold_mai*tk_cxit_vr200+(1-a_g3_27)*tk_cxit_vr200)</f>
        <v>32.4975576</v>
      </c>
      <c r="G6995" s="8" t="n">
        <f aca="false">((a_g3_28-nonnv*a_mai)*tk_cxit_gb300+nonnv*a_mai*nv_hold_mai*tk_cxit_vr200+(1-a_g3_28)*tk_cxit_vr200)</f>
        <v>34.6372088</v>
      </c>
      <c r="H6995" s="8" t="n">
        <f aca="false">((a_g3_29-nonnv*a_mai)*tk_cxit_gb300+nonnv*a_mai*nv_hold_mai*tk_cxit_vr200+(1-a_g3_29)*tk_cxit_vr200)</f>
        <v>35.7070344</v>
      </c>
      <c r="I6995" s="8" t="n">
        <f aca="false">((a_g3_29-nonnv*a_mai)*tk_cxit_gb300+nonnv*a_mai*nv_hold_mai*tk_cxit_vr200+(1-a_g3_29)*tk_cxit_vr200)</f>
        <v>35.7070344</v>
      </c>
      <c r="J6995" s="8" t="n">
        <f aca="false">((a_g3_29-nonnv*a_mai)*tk_cxit_gb300+nonnv*a_mai*nv_hold_mai*tk_cxit_vr200+(1-a_g3_29)*tk_cxit_vr200)</f>
        <v>35.7070344</v>
      </c>
      <c r="K6995" s="8" t="n">
        <f aca="false">((a_g3_29-nonnv*a_mai)*tk_cxit_gb300+nonnv*a_mai*nv_hold_mai*tk_cxit_vr200+(1-a_g3_29)*tk_cxit_vr200)</f>
        <v>35.7070344</v>
      </c>
      <c r="L6995" s="12" t="s">
        <v>992</v>
      </c>
    </row>
    <row r="6996" customFormat="false" ht="17.15" hidden="false" customHeight="false" outlineLevel="0" collapsed="false">
      <c r="A6996" s="0" t="s">
        <v>993</v>
      </c>
      <c r="B6996" s="0" t="s">
        <v>459</v>
      </c>
      <c r="F6996" s="30" t="n">
        <f aca="false">Sens!C6975*IF(Sens!F6968-Sens!C6968=life_it,1,0)+Sens!D6975*IF(Sens!F6968-Sens!D6968=life_it,1,0)+Sens!E6975*IF(Sens!F6968-Sens!E6968=life_it,1,0)</f>
        <v>0</v>
      </c>
      <c r="G6996" s="30" t="n">
        <f aca="false">Sens!C6975*IF(Sens!G6968-Sens!C6968=life_it,1,0)+Sens!D6975*IF(Sens!G6968-Sens!D6968=life_it,1,0)+Sens!E6975*IF(Sens!G6968-Sens!E6968=life_it,1,0)+Sens!F6975*IF(Sens!G6968-Sens!F6968=life_it,1,0)</f>
        <v>0</v>
      </c>
      <c r="H6996" s="30" t="n">
        <f aca="false">Sens!C6975*IF(Sens!H6968-Sens!C6968=life_it,1,0)+Sens!D6975*IF(Sens!H6968-Sens!D6968=life_it,1,0)+Sens!E6975*IF(Sens!H6968-Sens!E6968=life_it,1,0)+Sens!F6975*IF(Sens!H6968-Sens!F6968=life_it,1,0)+Sens!G6975*IF(Sens!H6968-Sens!G6968=life_it,1,0)</f>
        <v>0</v>
      </c>
      <c r="I6996" s="30" t="n">
        <f aca="false">Sens!C6975*IF(Sens!I6968-Sens!C6968=life_it,1,0)+Sens!D6975*IF(Sens!I6968-Sens!D6968=life_it,1,0)+Sens!E6975*IF(Sens!I6968-Sens!E6968=life_it,1,0)+Sens!F6975*IF(Sens!I6968-Sens!F6968=life_it,1,0)+Sens!G6975*IF(Sens!I6968-Sens!G6968=life_it,1,0)+Sens!H6975*IF(Sens!I6968-Sens!H6968=life_it,1,0)</f>
        <v>816.666666666667</v>
      </c>
      <c r="J6996" s="30" t="n">
        <f aca="false">Sens!C6975*IF(Sens!J6968-Sens!C6968=life_it,1,0)+Sens!D6975*IF(Sens!J6968-Sens!D6968=life_it,1,0)+Sens!E6975*IF(Sens!J6968-Sens!E6968=life_it,1,0)+Sens!F6975*IF(Sens!J6968-Sens!F6968=life_it,1,0)+Sens!G6975*IF(Sens!J6968-Sens!G6968=life_it,1,0)+Sens!H6975*IF(Sens!J6968-Sens!H6968=life_it,1,0)+Sens!I6975*IF(Sens!J6968-Sens!I6968=life_it,1,0)</f>
        <v>1233.33333333333</v>
      </c>
      <c r="K6996" s="30" t="n">
        <f aca="false">Sens!C6975*IF(Sens!K6968-Sens!C6968=life_it,1,0)+Sens!D6975*IF(Sens!K6968-Sens!D6968=life_it,1,0)+Sens!E6975*IF(Sens!K6968-Sens!E6968=life_it,1,0)+Sens!F6975*IF(Sens!K6968-Sens!F6968=life_it,1,0)+Sens!G6975*IF(Sens!K6968-Sens!G6968=life_it,1,0)+Sens!H6975*IF(Sens!K6968-Sens!H6968=life_it,1,0)+Sens!I6975*IF(Sens!K6968-Sens!I6968=life_it,1,0)+Sens!J6975*IF(Sens!K6968-Sens!J6968=life_it,1,0)</f>
        <v>2450</v>
      </c>
      <c r="L6996" s="1" t="s">
        <v>994</v>
      </c>
    </row>
    <row r="6997" customFormat="false" ht="17.15" hidden="false" customHeight="false" outlineLevel="0" collapsed="false">
      <c r="A6997" s="0" t="s">
        <v>995</v>
      </c>
      <c r="B6997" s="0" t="s">
        <v>98</v>
      </c>
      <c r="C6997" s="6" t="n">
        <f aca="false">Sens!C6975*Sens!C6995/1000</f>
        <v>22.5333845916667</v>
      </c>
      <c r="D6997" s="6" t="n">
        <f aca="false">Sens!D6975*Sens!D6995/1000</f>
        <v>34.0300093833333</v>
      </c>
      <c r="E6997" s="6" t="n">
        <f aca="false">Sens!E6975*Sens!E6995/1000</f>
        <v>67.600153775</v>
      </c>
      <c r="F6997" s="6" t="n">
        <f aca="false">(Sens!F6975+Sens!F6996)*Sens!F6995/1000</f>
        <v>136.51872432512</v>
      </c>
      <c r="G6997" s="6" t="n">
        <f aca="false">(Sens!G6975+Sens!G6996)*Sens!G6995/1000</f>
        <v>157.399275932048</v>
      </c>
      <c r="H6997" s="6" t="n">
        <f aca="false">(Sens!H6975+Sens!H6996)*Sens!H6995/1000</f>
        <v>162.260804347512</v>
      </c>
      <c r="I6997" s="6" t="n">
        <f aca="false">(Sens!I6975+Sens!I6996)*Sens!I6995/1000</f>
        <v>144.136569485434</v>
      </c>
      <c r="J6997" s="6" t="n">
        <f aca="false">(Sens!J6975+Sens!J6996)*Sens!J6995/1000</f>
        <v>114.029037357864</v>
      </c>
      <c r="K6997" s="6" t="n">
        <f aca="false">(Sens!K6975+Sens!K6996)*Sens!K6995/1000</f>
        <v>113.437085350975</v>
      </c>
    </row>
    <row r="6998" customFormat="false" ht="17.15" hidden="false" customHeight="false" outlineLevel="0" collapsed="false">
      <c r="A6998" s="0" t="s">
        <v>996</v>
      </c>
      <c r="B6998" s="0" t="s">
        <v>98</v>
      </c>
      <c r="C6998" s="6" t="n">
        <f aca="false">Sens!C6975*self_build*tk_cxfac/1000</f>
        <v>6.2083</v>
      </c>
      <c r="D6998" s="6" t="n">
        <f aca="false">Sens!D6975*self_build*tk_cxfac/1000</f>
        <v>9.3758</v>
      </c>
      <c r="E6998" s="6" t="n">
        <f aca="false">Sens!E6975*self_build*tk_cxfac/1000</f>
        <v>18.6249</v>
      </c>
      <c r="F6998" s="6" t="n">
        <f aca="false">Sens!F6975*self_build*tk_cxfac/1000</f>
        <v>31.935179717</v>
      </c>
      <c r="G6998" s="6" t="n">
        <f aca="false">Sens!G6975*self_build*tk_cxfac/1000</f>
        <v>34.545199717</v>
      </c>
      <c r="H6998" s="6" t="n">
        <f aca="false">Sens!H6975*self_build*tk_cxfac/1000</f>
        <v>34.545199717</v>
      </c>
      <c r="I6998" s="6" t="n">
        <f aca="false">Sens!I6975*self_build*tk_cxfac/1000</f>
        <v>24.4782641361767</v>
      </c>
      <c r="J6998" s="6" t="n">
        <f aca="false">Sens!J6975*self_build*tk_cxfac/1000</f>
        <v>14.9008938380769</v>
      </c>
      <c r="K6998" s="6" t="n">
        <f aca="false">Sens!K6975*self_build*tk_cxfac/1000</f>
        <v>5.52576771375761</v>
      </c>
    </row>
    <row r="6999" customFormat="false" ht="17.15" hidden="false" customHeight="false" outlineLevel="0" collapsed="false">
      <c r="A6999" s="0" t="s">
        <v>997</v>
      </c>
      <c r="B6999" s="0" t="s">
        <v>98</v>
      </c>
      <c r="F6999" s="15" t="n">
        <f aca="false">capex_floor27-Sens!F6997-Sens!F6998-Sens!F7095</f>
        <v>0.114584409454793</v>
      </c>
      <c r="L6999" s="12" t="s">
        <v>998</v>
      </c>
    </row>
    <row r="7000" customFormat="false" ht="17.15" hidden="false" customHeight="false" outlineLevel="0" collapsed="false">
      <c r="A7000" s="0" t="s">
        <v>999</v>
      </c>
      <c r="B7000" s="0" t="s">
        <v>98</v>
      </c>
      <c r="F7000" s="6" t="n">
        <f aca="false">MAX(0,Sens!F6999)</f>
        <v>0.114584409454793</v>
      </c>
    </row>
    <row r="7001" customFormat="false" ht="17.15" hidden="false" customHeight="false" outlineLevel="0" collapsed="false">
      <c r="A7001" s="0" t="s">
        <v>1000</v>
      </c>
      <c r="B7001" s="0" t="s">
        <v>98</v>
      </c>
      <c r="C7001" s="6" t="n">
        <f aca="false">Sens!C6997</f>
        <v>22.5333845916667</v>
      </c>
      <c r="D7001" s="6" t="n">
        <f aca="false">Sens!D6997</f>
        <v>34.0300093833333</v>
      </c>
      <c r="E7001" s="6" t="n">
        <f aca="false">Sens!E6997</f>
        <v>67.600153775</v>
      </c>
      <c r="F7001" s="6" t="n">
        <f aca="false">Sens!F6997</f>
        <v>136.51872432512</v>
      </c>
      <c r="G7001" s="6" t="n">
        <f aca="false">Sens!G6997</f>
        <v>157.399275932048</v>
      </c>
      <c r="H7001" s="6" t="n">
        <f aca="false">Sens!H6997</f>
        <v>162.260804347512</v>
      </c>
      <c r="I7001" s="6" t="n">
        <f aca="false">Sens!I6997</f>
        <v>144.136569485434</v>
      </c>
      <c r="J7001" s="6" t="n">
        <f aca="false">Sens!J6997</f>
        <v>114.029037357864</v>
      </c>
      <c r="K7001" s="6" t="n">
        <f aca="false">Sens!K6997</f>
        <v>113.437085350975</v>
      </c>
    </row>
    <row r="7002" customFormat="false" ht="17.15" hidden="false" customHeight="false" outlineLevel="0" collapsed="false">
      <c r="A7002" s="0" t="s">
        <v>1001</v>
      </c>
      <c r="B7002" s="0" t="s">
        <v>98</v>
      </c>
      <c r="C7002" s="6" t="n">
        <f aca="false">Sens!C7001+Sens!C6998</f>
        <v>28.7416845916667</v>
      </c>
      <c r="D7002" s="6" t="n">
        <f aca="false">Sens!D7001+Sens!D6998</f>
        <v>43.4058093833333</v>
      </c>
      <c r="E7002" s="6" t="n">
        <f aca="false">Sens!E7001+Sens!E6998</f>
        <v>86.225053775</v>
      </c>
      <c r="F7002" s="6" t="n">
        <f aca="false">Sens!F7001+Sens!F6998</f>
        <v>168.45390404212</v>
      </c>
      <c r="G7002" s="6" t="n">
        <f aca="false">Sens!G7001+Sens!G6998</f>
        <v>191.944475649048</v>
      </c>
      <c r="H7002" s="6" t="n">
        <f aca="false">Sens!H7001+Sens!H6998</f>
        <v>196.806004064512</v>
      </c>
      <c r="I7002" s="6" t="n">
        <f aca="false">Sens!I7001+Sens!I6998</f>
        <v>168.61483362161</v>
      </c>
      <c r="J7002" s="6" t="n">
        <f aca="false">Sens!J7001+Sens!J6998</f>
        <v>128.92993119594</v>
      </c>
      <c r="K7002" s="6" t="n">
        <f aca="false">Sens!K7001+Sens!K6998</f>
        <v>118.962853064733</v>
      </c>
      <c r="L7002" s="12" t="s">
        <v>1002</v>
      </c>
    </row>
    <row r="7003" customFormat="false" ht="17.15" hidden="false" customHeight="false" outlineLevel="0" collapsed="false">
      <c r="A7003" s="0" t="s">
        <v>1003</v>
      </c>
      <c r="B7003" s="0" t="s">
        <v>98</v>
      </c>
      <c r="E7003" s="6" t="n">
        <f aca="false">(Sens!C7001*IF(2&lt;life_it,1,IF(2=life_it,0.5,0))+Sens!D7001*IF(1&lt;life_it,1,IF(1=life_it,0.5,0))+Sens!E7001*0.5)/life_it</f>
        <v>15.0605784770833</v>
      </c>
      <c r="F7003" s="6" t="n">
        <f aca="false">(Sens!C7001*IF(3&lt;life_it,1,IF(3=life_it,0.5,0))+Sens!D7001*IF(2&lt;life_it,1,IF(2=life_it,0.5,0))+Sens!E7001*IF(1&lt;life_it,1,IF(1=life_it,0.5,0))+Sens!F7001*0.5)/life_it</f>
        <v>32.0704849854266</v>
      </c>
      <c r="G7003" s="6" t="n">
        <f aca="false">(Sens!C7001*IF(4&lt;life_it,1,IF(4=life_it,0.5,0))+Sens!D7001*IF(3&lt;life_it,1,IF(3=life_it,0.5,0))+Sens!E7001*IF(2&lt;life_it,1,IF(2=life_it,0.5,0))+Sens!F7001*IF(1&lt;life_it,1,IF(1=life_it,0.5,0))+Sens!G7001*0.5)/life_it</f>
        <v>56.5636516735239</v>
      </c>
      <c r="H7003" s="6" t="n">
        <f aca="false">(Sens!C7001*IF(5&lt;life_it,1,IF(5=life_it,0.5,0))+Sens!D7001*IF(4&lt;life_it,1,IF(4=life_it,0.5,0))+Sens!E7001*IF(3&lt;life_it,1,IF(3=life_it,0.5,0))+Sens!F7001*IF(2&lt;life_it,1,IF(2=life_it,0.5,0))+Sens!G7001*IF(1&lt;life_it,1,IF(1=life_it,0.5,0))+Sens!H7001*0.5)/life_it</f>
        <v>83.2019916968207</v>
      </c>
      <c r="I7003" s="6" t="n">
        <f aca="false">(Sens!C7001*IF(6&lt;life_it,1,IF(6=life_it,0.5,0))+Sens!D7001*IF(5&lt;life_it,1,IF(5=life_it,0.5,0))+Sens!E7001*IF(4&lt;life_it,1,IF(4=life_it,0.5,0))+Sens!F7001*IF(3&lt;life_it,1,IF(3=life_it,0.5,0))+Sens!G7001*IF(2&lt;life_it,1,IF(2=life_it,0.5,0))+Sens!H7001*IF(1&lt;life_it,1,IF(1=life_it,0.5,0))+Sens!I7001*0.5)/life_it</f>
        <v>106.857324133594</v>
      </c>
      <c r="J7003" s="6" t="n">
        <f aca="false">(Sens!C7001*IF(7&lt;life_it,1,IF(7=life_it,0.5,0))+Sens!D7001*IF(6&lt;life_it,1,IF(6=life_it,0.5,0))+Sens!E7001*IF(5&lt;life_it,1,IF(5=life_it,0.5,0))+Sens!F7001*IF(4&lt;life_it,1,IF(4=life_it,0.5,0))+Sens!G7001*IF(3&lt;life_it,1,IF(3=life_it,0.5,0))+Sens!H7001*IF(2&lt;life_it,1,IF(2=life_it,0.5,0))+Sens!I7001*IF(1&lt;life_it,1,IF(1=life_it,0.5,0))+Sens!J7001*0.5)/life_it</f>
        <v>123.657508539285</v>
      </c>
      <c r="K7003" s="6" t="n">
        <f aca="false">(Sens!C7001*IF(8&lt;life_it,1,IF(8=life_it,0.5,0))+Sens!D7001*IF(7&lt;life_it,1,IF(7=life_it,0.5,0))+Sens!E7001*IF(6&lt;life_it,1,IF(6=life_it,0.5,0))+Sens!F7001*IF(5&lt;life_it,1,IF(5=life_it,0.5,0))+Sens!G7001*IF(4&lt;life_it,1,IF(4=life_it,0.5,0))+Sens!H7001*IF(3&lt;life_it,1,IF(3=life_it,0.5,0))+Sens!I7001*IF(2&lt;life_it,1,IF(2=life_it,0.5,0))+Sens!J7001*IF(1&lt;life_it,1,IF(1=life_it,0.5,0))+Sens!K7001*0.5)/life_it</f>
        <v>134.143838501827</v>
      </c>
    </row>
    <row r="7004" customFormat="false" ht="17.15" hidden="false" customHeight="false" outlineLevel="0" collapsed="false">
      <c r="A7004" s="0" t="s">
        <v>1004</v>
      </c>
      <c r="B7004" s="0" t="s">
        <v>98</v>
      </c>
      <c r="E7004" s="6" t="n">
        <f aca="false">(Sens!C6998*IF(2&lt;life_fac,1,IF(2=life_fac,0.5,0))+Sens!D6998*IF(1&lt;life_fac,1,IF(1=life_fac,0.5,0))+Sens!E6998*0.5)/life_fac</f>
        <v>1.2448275</v>
      </c>
      <c r="F7004" s="6" t="n">
        <f aca="false">(Sens!C6998*IF(3&lt;life_fac,1,IF(3=life_fac,0.5,0))+Sens!D6998*IF(2&lt;life_fac,1,IF(2=life_fac,0.5,0))+Sens!E6998*IF(1&lt;life_fac,1,IF(1=life_fac,0.5,0))+Sens!F6998*0.5)/life_fac</f>
        <v>2.508829492925</v>
      </c>
      <c r="G7004" s="6" t="n">
        <f aca="false">(Sens!C6998*IF(4&lt;life_fac,1,IF(4=life_fac,0.5,0))+Sens!D6998*IF(3&lt;life_fac,1,IF(3=life_fac,0.5,0))+Sens!E6998*IF(2&lt;life_fac,1,IF(2=life_fac,0.5,0))+Sens!F6998*IF(1&lt;life_fac,1,IF(1=life_fac,0.5,0))+Sens!G6998*0.5)/life_fac</f>
        <v>4.170838978775</v>
      </c>
      <c r="H7004" s="6" t="n">
        <f aca="false">(Sens!C6998*IF(5&lt;life_fac,1,IF(5=life_fac,0.5,0))+Sens!D6998*IF(4&lt;life_fac,1,IF(4=life_fac,0.5,0))+Sens!E6998*IF(3&lt;life_fac,1,IF(3=life_fac,0.5,0))+Sens!F6998*IF(2&lt;life_fac,1,IF(2=life_fac,0.5,0))+Sens!G6998*IF(1&lt;life_fac,1,IF(1=life_fac,0.5,0))+Sens!H6998*0.5)/life_fac</f>
        <v>5.898098964625</v>
      </c>
      <c r="I7004" s="6" t="n">
        <f aca="false">(Sens!C6998*IF(6&lt;life_fac,1,IF(6=life_fac,0.5,0))+Sens!D6998*IF(5&lt;life_fac,1,IF(5=life_fac,0.5,0))+Sens!E6998*IF(4&lt;life_fac,1,IF(4=life_fac,0.5,0))+Sens!F6998*IF(3&lt;life_fac,1,IF(3=life_fac,0.5,0))+Sens!G6998*IF(2&lt;life_fac,1,IF(2=life_fac,0.5,0))+Sens!H6998*IF(1&lt;life_fac,1,IF(1=life_fac,0.5,0))+Sens!I6998*0.5)/life_fac</f>
        <v>7.37368556095442</v>
      </c>
      <c r="J7004" s="6" t="n">
        <f aca="false">(Sens!C6998*IF(7&lt;life_fac,1,IF(7=life_fac,0.5,0))+Sens!D6998*IF(6&lt;life_fac,1,IF(6=life_fac,0.5,0))+Sens!E6998*IF(5&lt;life_fac,1,IF(5=life_fac,0.5,0))+Sens!F6998*IF(4&lt;life_fac,1,IF(4=life_fac,0.5,0))+Sens!G6998*IF(3&lt;life_fac,1,IF(3=life_fac,0.5,0))+Sens!H6998*IF(2&lt;life_fac,1,IF(2=life_fac,0.5,0))+Sens!I6998*IF(1&lt;life_fac,1,IF(1=life_fac,0.5,0))+Sens!J6998*0.5)/life_fac</f>
        <v>8.35816451031075</v>
      </c>
      <c r="K7004" s="6" t="n">
        <f aca="false">(Sens!C6998*IF(8&lt;life_fac,1,IF(8=life_fac,0.5,0))+Sens!D6998*IF(7&lt;life_fac,1,IF(7=life_fac,0.5,0))+Sens!E6998*IF(6&lt;life_fac,1,IF(6=life_fac,0.5,0))+Sens!F6998*IF(5&lt;life_fac,1,IF(5=life_fac,0.5,0))+Sens!G6998*IF(4&lt;life_fac,1,IF(4=life_fac,0.5,0))+Sens!H6998*IF(3&lt;life_fac,1,IF(3=life_fac,0.5,0))+Sens!I6998*IF(2&lt;life_fac,1,IF(2=life_fac,0.5,0))+Sens!J6998*IF(1&lt;life_fac,1,IF(1=life_fac,0.5,0))+Sens!K6998*0.5)/life_fac</f>
        <v>8.86883104910662</v>
      </c>
    </row>
    <row r="7005" customFormat="false" ht="17.15" hidden="false" customHeight="false" outlineLevel="0" collapsed="false">
      <c r="A7005" s="0" t="s">
        <v>1005</v>
      </c>
      <c r="B7005" s="0" t="s">
        <v>98</v>
      </c>
      <c r="E7005" s="6" t="n">
        <f aca="false">Sens!E7003+Sens!E7004</f>
        <v>16.3054059770833</v>
      </c>
      <c r="F7005" s="6" t="n">
        <f aca="false">Sens!F7003+Sens!F7004</f>
        <v>34.5793144783516</v>
      </c>
      <c r="G7005" s="6" t="n">
        <f aca="false">Sens!G7003+Sens!G7004</f>
        <v>60.7344906522989</v>
      </c>
      <c r="H7005" s="6" t="n">
        <f aca="false">Sens!H7003+Sens!H7004</f>
        <v>89.1000906614457</v>
      </c>
      <c r="I7005" s="6" t="n">
        <f aca="false">Sens!I7003+Sens!I7004</f>
        <v>114.231009694548</v>
      </c>
      <c r="J7005" s="6" t="n">
        <f aca="false">Sens!J7003+Sens!J7004</f>
        <v>132.015673049596</v>
      </c>
      <c r="K7005" s="6" t="n">
        <f aca="false">Sens!K7003+Sens!K7004</f>
        <v>143.012669550934</v>
      </c>
    </row>
    <row r="7006" customFormat="false" ht="17.15" hidden="false" customHeight="false" outlineLevel="0" collapsed="false">
      <c r="A7006" s="0" t="s">
        <v>1006</v>
      </c>
      <c r="B7006" s="0" t="s">
        <v>98</v>
      </c>
      <c r="E7006" s="6" t="n">
        <f aca="false">Sens!E6993-Sens!E6992*Sens!E7005</f>
        <v>8.92707889977379</v>
      </c>
      <c r="F7006" s="6" t="n">
        <f aca="false">Sens!F6993-Sens!F6992*Sens!F7005</f>
        <v>18.7770356668733</v>
      </c>
      <c r="G7006" s="6" t="n">
        <f aca="false">Sens!G6993-Sens!G6992*Sens!G7005</f>
        <v>31.1163641458894</v>
      </c>
      <c r="H7006" s="6" t="n">
        <f aca="false">Sens!H6993-Sens!H6992*Sens!H7005</f>
        <v>43.7262635496428</v>
      </c>
      <c r="I7006" s="6" t="n">
        <f aca="false">Sens!I6993-Sens!I6992*Sens!I7005</f>
        <v>54.7541698336361</v>
      </c>
      <c r="J7006" s="6" t="n">
        <f aca="false">Sens!J6993-Sens!J6992*Sens!J7005</f>
        <v>62.3768819327658</v>
      </c>
      <c r="K7006" s="6" t="n">
        <f aca="false">Sens!K6993-Sens!K6992*Sens!K7005</f>
        <v>67.4820630434748</v>
      </c>
    </row>
    <row r="7007" customFormat="false" ht="17.15" hidden="false" customHeight="false" outlineLevel="0" collapsed="false">
      <c r="A7007" s="3" t="s">
        <v>1786</v>
      </c>
    </row>
    <row r="7008" customFormat="false" ht="15" hidden="false" customHeight="false" outlineLevel="0" collapsed="false">
      <c r="A7008" s="4" t="s">
        <v>43</v>
      </c>
      <c r="B7008" s="4" t="s">
        <v>65</v>
      </c>
      <c r="C7008" s="23" t="s">
        <v>942</v>
      </c>
      <c r="D7008" s="23" t="s">
        <v>943</v>
      </c>
      <c r="E7008" s="23" t="s">
        <v>944</v>
      </c>
      <c r="F7008" s="23" t="s">
        <v>945</v>
      </c>
      <c r="G7008" s="23" t="s">
        <v>946</v>
      </c>
      <c r="H7008" s="23" t="s">
        <v>947</v>
      </c>
      <c r="I7008" s="23" t="s">
        <v>948</v>
      </c>
      <c r="J7008" s="23" t="s">
        <v>949</v>
      </c>
      <c r="K7008" s="23" t="s">
        <v>950</v>
      </c>
      <c r="L7008" s="4" t="s">
        <v>47</v>
      </c>
    </row>
    <row r="7009" customFormat="false" ht="17.15" hidden="false" customHeight="false" outlineLevel="0" collapsed="false">
      <c r="A7009" s="0" t="s">
        <v>1025</v>
      </c>
      <c r="B7009" s="0" t="s">
        <v>98</v>
      </c>
      <c r="D7009" s="6" t="n">
        <f aca="false">Sens!D6987</f>
        <v>12.9359794422418</v>
      </c>
      <c r="E7009" s="6" t="n">
        <f aca="false">Sens!E6987</f>
        <v>27.8095064661409</v>
      </c>
      <c r="F7009" s="6" t="n">
        <f aca="false">Sens!F6987</f>
        <v>55.4118315060966</v>
      </c>
      <c r="G7009" s="6" t="n">
        <f aca="false">Sens!G6987</f>
        <v>91.2881100675143</v>
      </c>
      <c r="H7009" s="6" t="n">
        <f aca="false">Sens!H6987</f>
        <v>128.195273603944</v>
      </c>
      <c r="I7009" s="6" t="n">
        <f aca="false">Sens!I6987</f>
        <v>160.601281810405</v>
      </c>
      <c r="J7009" s="6" t="n">
        <f aca="false">Sens!J6987</f>
        <v>183.182719793589</v>
      </c>
      <c r="K7009" s="6" t="n">
        <f aca="false">Sens!K6987</f>
        <v>197.320124937098</v>
      </c>
    </row>
    <row r="7010" customFormat="false" ht="17.15" hidden="false" customHeight="false" outlineLevel="0" collapsed="false">
      <c r="A7010" s="0" t="s">
        <v>1026</v>
      </c>
      <c r="B7010" s="0" t="s">
        <v>98</v>
      </c>
      <c r="D7010" s="6" t="n">
        <f aca="false">Q!L6-Sens!D7009</f>
        <v>59.6740205577583</v>
      </c>
      <c r="E7010" s="6" t="n">
        <f aca="false">Q!M6-Sens!E7009</f>
        <v>74.1284935338591</v>
      </c>
      <c r="F7010" s="6" t="n">
        <f aca="false">Q!$I$6+(Sens!F7009+Sens!E7010*(1+Sens!F7011))*(1-Q!$E$6/Q!M6)-Sens!F7009</f>
        <v>91.2972164940844</v>
      </c>
      <c r="G7010" s="6" t="n">
        <f aca="false">Sens!F7010*(1+Sens!G7011)</f>
        <v>108.474719793879</v>
      </c>
      <c r="H7010" s="6" t="n">
        <f aca="false">Sens!G7010*(1+Sens!H7011)</f>
        <v>125.951292505701</v>
      </c>
      <c r="I7010" s="6" t="n">
        <f aca="false">Sens!H7010*(1+Sens!I7011)</f>
        <v>142.838165154212</v>
      </c>
      <c r="J7010" s="6" t="n">
        <f aca="false">Sens!I7010*(1+Sens!J7011)</f>
        <v>158.12717866615</v>
      </c>
      <c r="K7010" s="6" t="n">
        <f aca="false">Sens!J7010*(1+Sens!K7011)</f>
        <v>170.777352959442</v>
      </c>
      <c r="L7010" s="12" t="s">
        <v>1027</v>
      </c>
    </row>
    <row r="7011" customFormat="false" ht="15" hidden="false" customHeight="false" outlineLevel="0" collapsed="false">
      <c r="A7011" s="1" t="s">
        <v>1028</v>
      </c>
      <c r="B7011" s="0" t="s">
        <v>168</v>
      </c>
      <c r="E7011" s="7" t="n">
        <f aca="false">Sens!E7010/Sens!D7010-1</f>
        <v>0.242223883039864</v>
      </c>
      <c r="F7011" s="7" t="n">
        <f aca="false">Sens!$E$7011+(glt_azo-Sens!$E$7011)*MIN(1,(Sens!F6968-base_fy)/n_conv)</f>
        <v>0.215186569199887</v>
      </c>
      <c r="G7011" s="7" t="n">
        <f aca="false">Sens!$E$7011+(glt_azo-Sens!$E$7011)*MIN(1,(Sens!G6968-base_fy)/n_conv)</f>
        <v>0.18814925535991</v>
      </c>
      <c r="H7011" s="7" t="n">
        <f aca="false">Sens!$E$7011+(glt_azo-Sens!$E$7011)*MIN(1,(Sens!H6968-base_fy)/n_conv)</f>
        <v>0.161111941519932</v>
      </c>
      <c r="I7011" s="7" t="n">
        <f aca="false">Sens!$E$7011+(glt_azo-Sens!$E$7011)*MIN(1,(Sens!I6968-base_fy)/n_conv)</f>
        <v>0.134074627679955</v>
      </c>
      <c r="J7011" s="7" t="n">
        <f aca="false">Sens!$E$7011+(glt_azo-Sens!$E$7011)*MIN(1,(Sens!J6968-base_fy)/n_conv)</f>
        <v>0.107037313839977</v>
      </c>
      <c r="K7011" s="7" t="n">
        <f aca="false">Sens!$E$7011+(glt_azo-Sens!$E$7011)*MIN(1,(Sens!K6968-base_fy)/n_conv)</f>
        <v>0.08</v>
      </c>
    </row>
    <row r="7012" customFormat="false" ht="15" hidden="false" customHeight="false" outlineLevel="0" collapsed="false">
      <c r="A7012" s="0" t="s">
        <v>1029</v>
      </c>
      <c r="B7012" s="0" t="s">
        <v>98</v>
      </c>
      <c r="D7012" s="6" t="n">
        <f aca="false">Sens!D7009+Sens!D7010</f>
        <v>72.61</v>
      </c>
      <c r="E7012" s="6" t="n">
        <f aca="false">Sens!E7009+Sens!E7010</f>
        <v>101.938</v>
      </c>
      <c r="F7012" s="6" t="n">
        <f aca="false">Sens!F7009+Sens!F7010</f>
        <v>146.709048000181</v>
      </c>
      <c r="G7012" s="6" t="n">
        <f aca="false">Sens!G7009+Sens!G7010</f>
        <v>199.762829861393</v>
      </c>
      <c r="H7012" s="6" t="n">
        <f aca="false">Sens!H7009+Sens!H7010</f>
        <v>254.146566109645</v>
      </c>
      <c r="I7012" s="6" t="n">
        <f aca="false">Sens!I7009+Sens!I7010</f>
        <v>303.439446964617</v>
      </c>
      <c r="J7012" s="6" t="n">
        <f aca="false">Sens!J7009+Sens!J7010</f>
        <v>341.309898459739</v>
      </c>
      <c r="K7012" s="6" t="n">
        <f aca="false">Sens!K7009+Sens!K7010</f>
        <v>368.09747789654</v>
      </c>
    </row>
    <row r="7013" customFormat="false" ht="17.15" hidden="false" customHeight="false" outlineLevel="0" collapsed="false">
      <c r="A7013" s="0" t="s">
        <v>1030</v>
      </c>
      <c r="B7013" s="1" t="s">
        <v>613</v>
      </c>
      <c r="C7013" s="30" t="n">
        <f aca="false">cop_s24</f>
        <v>1</v>
      </c>
      <c r="D7013" s="30" t="n">
        <f aca="false">cop_s25</f>
        <v>5</v>
      </c>
      <c r="E7013" s="30" t="n">
        <f aca="false">cop_s26</f>
        <v>30</v>
      </c>
      <c r="F7013" s="30" t="n">
        <f aca="false">Sens!E7013+cop_add_B*0.5</f>
        <v>40</v>
      </c>
      <c r="G7013" s="30" t="n">
        <f aca="false">Sens!F7013+cop_add_B*0.5</f>
        <v>50</v>
      </c>
      <c r="H7013" s="30" t="n">
        <f aca="false">Sens!G7013+cop_add_B*0.5</f>
        <v>60</v>
      </c>
      <c r="I7013" s="30" t="n">
        <f aca="false">Sens!H7013+cop_add_B*0.5*cop_tail</f>
        <v>65</v>
      </c>
      <c r="J7013" s="30" t="n">
        <f aca="false">Sens!I7013+cop_add_B*0.5*cop_tail</f>
        <v>70</v>
      </c>
      <c r="K7013" s="30" t="n">
        <f aca="false">Sens!J7013+cop_add_B*0.5*cop_tail</f>
        <v>75</v>
      </c>
      <c r="L7013" s="12" t="s">
        <v>1031</v>
      </c>
    </row>
    <row r="7014" customFormat="false" ht="17.15" hidden="false" customHeight="false" outlineLevel="0" collapsed="false">
      <c r="A7014" s="0" t="s">
        <v>1032</v>
      </c>
      <c r="B7014" s="0" t="s">
        <v>98</v>
      </c>
      <c r="D7014" s="6" t="n">
        <f aca="false">(Sens!C7013+Sens!D7013)/2*cop_px*12/1000</f>
        <v>0.9</v>
      </c>
      <c r="E7014" s="6" t="n">
        <f aca="false">(Sens!D7013+Sens!E7013)/2*cop_px*12/1000</f>
        <v>5.25</v>
      </c>
      <c r="F7014" s="6" t="n">
        <f aca="false">(Sens!E7013+Sens!F7013)/2*cop_px*12/1000</f>
        <v>10.5</v>
      </c>
      <c r="G7014" s="6" t="n">
        <f aca="false">(Sens!F7013+Sens!G7013)/2*cop_px*12/1000</f>
        <v>13.5</v>
      </c>
      <c r="H7014" s="6" t="n">
        <f aca="false">(Sens!G7013+Sens!H7013)/2*cop_px*12/1000</f>
        <v>16.5</v>
      </c>
      <c r="I7014" s="6" t="n">
        <f aca="false">(Sens!H7013+Sens!I7013)/2*cop_px*12/1000</f>
        <v>18.75</v>
      </c>
      <c r="J7014" s="6" t="n">
        <f aca="false">(Sens!I7013+Sens!J7013)/2*cop_px*12/1000</f>
        <v>20.25</v>
      </c>
      <c r="K7014" s="6" t="n">
        <f aca="false">(Sens!J7013+Sens!K7013)/2*cop_px*12/1000</f>
        <v>21.75</v>
      </c>
      <c r="L7014" s="1" t="s">
        <v>1033</v>
      </c>
    </row>
    <row r="7015" customFormat="false" ht="17.15" hidden="false" customHeight="false" outlineLevel="0" collapsed="false">
      <c r="A7015" s="0" t="s">
        <v>1034</v>
      </c>
      <c r="B7015" s="0" t="s">
        <v>98</v>
      </c>
      <c r="D7015" s="6" t="n">
        <f aca="false">Q!L7-Sens!D7014</f>
        <v>83.705</v>
      </c>
      <c r="E7015" s="6" t="n">
        <f aca="false">Q!M7-Sens!E7014</f>
        <v>95.049</v>
      </c>
      <c r="F7015" s="6" t="n">
        <f aca="false">Q!$I$7+(Sens!E7015*(1+Sens!F7016)+Sens!F7014)*(1-Q!$E$7/Q!M7)-Sens!F7014</f>
        <v>106.938354189776</v>
      </c>
      <c r="G7015" s="6" t="n">
        <f aca="false">Sens!F7015*(1+Sens!G7016)</f>
        <v>119.095360443801</v>
      </c>
      <c r="H7015" s="6" t="n">
        <f aca="false">Sens!G7015*(1+Sens!H7016)</f>
        <v>131.333811964563</v>
      </c>
      <c r="I7015" s="6" t="n">
        <f aca="false">Sens!H7015*(1+Sens!I7016)</f>
        <v>143.395665319381</v>
      </c>
      <c r="J7015" s="6" t="n">
        <f aca="false">Sens!I7015*(1+Sens!J7016)</f>
        <v>154.999327755573</v>
      </c>
      <c r="K7015" s="6" t="n">
        <f aca="false">Sens!J7015*(1+Sens!K7016)</f>
        <v>165.849280698463</v>
      </c>
      <c r="L7015" s="12" t="s">
        <v>1035</v>
      </c>
    </row>
    <row r="7016" customFormat="false" ht="15" hidden="false" customHeight="false" outlineLevel="0" collapsed="false">
      <c r="A7016" s="1" t="s">
        <v>1028</v>
      </c>
      <c r="B7016" s="0" t="s">
        <v>168</v>
      </c>
      <c r="E7016" s="7" t="n">
        <f aca="false">Sens!E7015/Sens!D7015-1</f>
        <v>0.135523564900544</v>
      </c>
      <c r="F7016" s="7" t="n">
        <f aca="false">Sens!$E$7016+(glt_m365b-Sens!$E$7016)*MIN(1,(Sens!F6968-base_fy)/n_conv)</f>
        <v>0.124602970750453</v>
      </c>
      <c r="G7016" s="7" t="n">
        <f aca="false">Sens!$E$7016+(glt_m365b-Sens!$E$7016)*MIN(1,(Sens!G6968-base_fy)/n_conv)</f>
        <v>0.113682376600363</v>
      </c>
      <c r="H7016" s="7" t="n">
        <f aca="false">Sens!$E$7016+(glt_m365b-Sens!$E$7016)*MIN(1,(Sens!H6968-base_fy)/n_conv)</f>
        <v>0.102761782450272</v>
      </c>
      <c r="I7016" s="7" t="n">
        <f aca="false">Sens!$E$7016+(glt_m365b-Sens!$E$7016)*MIN(1,(Sens!I6968-base_fy)/n_conv)</f>
        <v>0.0918411883001813</v>
      </c>
      <c r="J7016" s="7" t="n">
        <f aca="false">Sens!$E$7016+(glt_m365b-Sens!$E$7016)*MIN(1,(Sens!J6968-base_fy)/n_conv)</f>
        <v>0.0809205941500906</v>
      </c>
      <c r="K7016" s="7" t="n">
        <f aca="false">Sens!$E$7016+(glt_m365b-Sens!$E$7016)*MIN(1,(Sens!K6968-base_fy)/n_conv)</f>
        <v>0.07</v>
      </c>
    </row>
    <row r="7017" customFormat="false" ht="15" hidden="false" customHeight="false" outlineLevel="0" collapsed="false">
      <c r="A7017" s="0" t="s">
        <v>1036</v>
      </c>
      <c r="B7017" s="0" t="s">
        <v>98</v>
      </c>
      <c r="D7017" s="6" t="n">
        <f aca="false">Sens!D7015+Sens!D7014</f>
        <v>84.605</v>
      </c>
      <c r="E7017" s="6" t="n">
        <f aca="false">Sens!E7015+Sens!E7014</f>
        <v>100.299</v>
      </c>
      <c r="F7017" s="6" t="n">
        <f aca="false">Sens!F7015+Sens!F7014</f>
        <v>117.438354189776</v>
      </c>
      <c r="G7017" s="6" t="n">
        <f aca="false">Sens!G7015+Sens!G7014</f>
        <v>132.595360443801</v>
      </c>
      <c r="H7017" s="6" t="n">
        <f aca="false">Sens!H7015+Sens!H7014</f>
        <v>147.833811964563</v>
      </c>
      <c r="I7017" s="6" t="n">
        <f aca="false">Sens!I7015+Sens!I7014</f>
        <v>162.145665319381</v>
      </c>
      <c r="J7017" s="6" t="n">
        <f aca="false">Sens!J7015+Sens!J7014</f>
        <v>175.249327755573</v>
      </c>
      <c r="K7017" s="6" t="n">
        <f aca="false">Sens!K7015+Sens!K7014</f>
        <v>187.599280698463</v>
      </c>
    </row>
    <row r="7018" customFormat="false" ht="17.15" hidden="false" customHeight="false" outlineLevel="0" collapsed="false">
      <c r="A7018" s="0" t="s">
        <v>1037</v>
      </c>
      <c r="B7018" s="0" t="s">
        <v>98</v>
      </c>
      <c r="D7018" s="6" t="n">
        <f aca="false">Q!L8</f>
        <v>35.391</v>
      </c>
      <c r="E7018" s="6" t="n">
        <f aca="false">Q!M8</f>
        <v>37.285</v>
      </c>
      <c r="F7018" s="6" t="n">
        <f aca="false">Q!$I$8+(Q!M8-Q!$E$8)*(1+Sens!F7019)</f>
        <v>38.3851437782675</v>
      </c>
      <c r="G7018" s="6" t="n">
        <f aca="false">Sens!F7018*(1+Sens!G7019)</f>
        <v>40.0105353288615</v>
      </c>
      <c r="H7018" s="6" t="n">
        <f aca="false">Sens!G7018*(1+Sens!H7019)</f>
        <v>41.4812512033683</v>
      </c>
      <c r="I7018" s="6" t="n">
        <f aca="false">Sens!H7018*(1+Sens!I7019)</f>
        <v>42.7743107216329</v>
      </c>
      <c r="J7018" s="6" t="n">
        <f aca="false">Sens!I7018*(1+Sens!J7019)</f>
        <v>43.8687373064601</v>
      </c>
      <c r="K7018" s="6" t="n">
        <f aca="false">Sens!J7018*(1+Sens!K7019)</f>
        <v>44.7461120525893</v>
      </c>
      <c r="L7018" s="12" t="s">
        <v>1038</v>
      </c>
    </row>
    <row r="7019" customFormat="false" ht="15" hidden="false" customHeight="false" outlineLevel="0" collapsed="false">
      <c r="A7019" s="1" t="s">
        <v>1028</v>
      </c>
      <c r="B7019" s="0" t="s">
        <v>168</v>
      </c>
      <c r="E7019" s="7" t="n">
        <f aca="false">Sens!E7018/Sens!D7018-1</f>
        <v>0.0535164307309768</v>
      </c>
      <c r="F7019" s="7" t="n">
        <f aca="false">Sens!$E$7019+(glt_lic-Sens!$E$7019)*MIN(1,(Sens!F6968-base_fy)/n_conv)</f>
        <v>0.0479303589424807</v>
      </c>
      <c r="G7019" s="7" t="n">
        <f aca="false">Sens!$E$7019+(glt_lic-Sens!$E$7019)*MIN(1,(Sens!G6968-base_fy)/n_conv)</f>
        <v>0.0423442871539845</v>
      </c>
      <c r="H7019" s="7" t="n">
        <f aca="false">Sens!$E$7019+(glt_lic-Sens!$E$7019)*MIN(1,(Sens!H6968-base_fy)/n_conv)</f>
        <v>0.0367582153654884</v>
      </c>
      <c r="I7019" s="7" t="n">
        <f aca="false">Sens!$E$7019+(glt_lic-Sens!$E$7019)*MIN(1,(Sens!I6968-base_fy)/n_conv)</f>
        <v>0.0311721435769923</v>
      </c>
      <c r="J7019" s="7" t="n">
        <f aca="false">Sens!$E$7019+(glt_lic-Sens!$E$7019)*MIN(1,(Sens!J6968-base_fy)/n_conv)</f>
        <v>0.0255860717884961</v>
      </c>
      <c r="K7019" s="7" t="n">
        <f aca="false">Sens!$E$7019+(glt_lic-Sens!$E$7019)*MIN(1,(Sens!K6968-base_fy)/n_conv)</f>
        <v>0.02</v>
      </c>
    </row>
    <row r="7020" customFormat="false" ht="17.15" hidden="false" customHeight="false" outlineLevel="0" collapsed="false">
      <c r="A7020" s="0" t="s">
        <v>1039</v>
      </c>
      <c r="B7020" s="0" t="s">
        <v>98</v>
      </c>
      <c r="D7020" s="6" t="n">
        <f aca="false">Q!L9</f>
        <v>18.417</v>
      </c>
      <c r="E7020" s="6" t="n">
        <f aca="false">Q!M9</f>
        <v>20.345</v>
      </c>
      <c r="F7020" s="6" t="n">
        <f aca="false">Q!$I$9+(Q!M9-Q!$E$9)*(1+Sens!F7021)</f>
        <v>22.3161797133988</v>
      </c>
      <c r="G7020" s="6" t="n">
        <f aca="false">Sens!F7020*(1+Sens!G7021)</f>
        <v>24.3943499673233</v>
      </c>
      <c r="H7020" s="6" t="n">
        <f aca="false">Sens!G7020*(1+Sens!H7021)</f>
        <v>26.5250243109019</v>
      </c>
      <c r="I7020" s="6" t="n">
        <f aca="false">Sens!H7020*(1+Sens!I7021)</f>
        <v>28.6884573538181</v>
      </c>
      <c r="J7020" s="6" t="n">
        <f aca="false">Sens!I7020*(1+Sens!J7021)</f>
        <v>30.8624968052127</v>
      </c>
      <c r="K7020" s="6" t="n">
        <f aca="false">Sens!J7020*(1+Sens!K7021)</f>
        <v>33.0228715815776</v>
      </c>
      <c r="L7020" s="12" t="s">
        <v>1038</v>
      </c>
    </row>
    <row r="7021" customFormat="false" ht="15" hidden="false" customHeight="false" outlineLevel="0" collapsed="false">
      <c r="A7021" s="1" t="s">
        <v>1028</v>
      </c>
      <c r="B7021" s="0" t="s">
        <v>168</v>
      </c>
      <c r="E7021" s="7" t="n">
        <f aca="false">Sens!E7020/Sens!D7020-1</f>
        <v>0.104685888038225</v>
      </c>
      <c r="F7021" s="7" t="n">
        <f aca="false">Sens!$E$7021+(glt_ind-Sens!$E$7021)*MIN(1,(Sens!F6968-base_fy)/n_conv)</f>
        <v>0.0989049066985211</v>
      </c>
      <c r="G7021" s="7" t="n">
        <f aca="false">Sens!$E$7021+(glt_ind-Sens!$E$7021)*MIN(1,(Sens!G6968-base_fy)/n_conv)</f>
        <v>0.0931239253588169</v>
      </c>
      <c r="H7021" s="7" t="n">
        <f aca="false">Sens!$E$7021+(glt_ind-Sens!$E$7021)*MIN(1,(Sens!H6968-base_fy)/n_conv)</f>
        <v>0.0873429440191127</v>
      </c>
      <c r="I7021" s="7" t="n">
        <f aca="false">Sens!$E$7021+(glt_ind-Sens!$E$7021)*MIN(1,(Sens!I6968-base_fy)/n_conv)</f>
        <v>0.0815619626794085</v>
      </c>
      <c r="J7021" s="7" t="n">
        <f aca="false">Sens!$E$7021+(glt_ind-Sens!$E$7021)*MIN(1,(Sens!J6968-base_fy)/n_conv)</f>
        <v>0.0757809813397042</v>
      </c>
      <c r="K7021" s="7" t="n">
        <f aca="false">Sens!$E$7021+(glt_ind-Sens!$E$7021)*MIN(1,(Sens!K6968-base_fy)/n_conv)</f>
        <v>0.07</v>
      </c>
    </row>
    <row r="7022" customFormat="false" ht="17.15" hidden="false" customHeight="false" outlineLevel="0" collapsed="false">
      <c r="A7022" s="0" t="s">
        <v>1040</v>
      </c>
      <c r="B7022" s="0" t="s">
        <v>98</v>
      </c>
      <c r="D7022" s="6" t="n">
        <f aca="false">Q!L10</f>
        <v>7.76</v>
      </c>
      <c r="E7022" s="6" t="n">
        <f aca="false">Q!M10</f>
        <v>8.26</v>
      </c>
      <c r="F7022" s="6" t="n">
        <f aca="false">Q!$I$10+(Q!M10-Q!$E$10)*(1+Sens!F7023)</f>
        <v>8.75372082474227</v>
      </c>
      <c r="G7022" s="6" t="n">
        <f aca="false">Sens!F7022*(1+Sens!G7023)</f>
        <v>9.33399324642364</v>
      </c>
      <c r="H7022" s="6" t="n">
        <f aca="false">Sens!G7022*(1+Sens!H7023)</f>
        <v>9.96139155535851</v>
      </c>
      <c r="I7022" s="6" t="n">
        <f aca="false">Sens!H7022*(1+Sens!I7023)</f>
        <v>10.6402039077391</v>
      </c>
      <c r="J7022" s="6" t="n">
        <f aca="false">Sens!I7022*(1+Sens!J7023)</f>
        <v>11.3751458271397</v>
      </c>
      <c r="K7022" s="6" t="n">
        <f aca="false">Sens!J7022*(1+Sens!K7023)</f>
        <v>12.1714060350394</v>
      </c>
      <c r="L7022" s="12" t="s">
        <v>1038</v>
      </c>
    </row>
    <row r="7023" customFormat="false" ht="15" hidden="false" customHeight="false" outlineLevel="0" collapsed="false">
      <c r="A7023" s="1" t="s">
        <v>1028</v>
      </c>
      <c r="B7023" s="0" t="s">
        <v>168</v>
      </c>
      <c r="E7023" s="7" t="n">
        <f aca="false">Sens!E7022/Sens!D7022-1</f>
        <v>0.0644329896907216</v>
      </c>
      <c r="F7023" s="7" t="n">
        <f aca="false">Sens!$E$7023+(glt_fro-Sens!$E$7023)*MIN(1,(Sens!F6968-base_fy)/n_conv)</f>
        <v>0.065360824742268</v>
      </c>
      <c r="G7023" s="7" t="n">
        <f aca="false">Sens!$E$7023+(glt_fro-Sens!$E$7023)*MIN(1,(Sens!G6968-base_fy)/n_conv)</f>
        <v>0.0662886597938144</v>
      </c>
      <c r="H7023" s="7" t="n">
        <f aca="false">Sens!$E$7023+(glt_fro-Sens!$E$7023)*MIN(1,(Sens!H6968-base_fy)/n_conv)</f>
        <v>0.0672164948453608</v>
      </c>
      <c r="I7023" s="7" t="n">
        <f aca="false">Sens!$E$7023+(glt_fro-Sens!$E$7023)*MIN(1,(Sens!I6968-base_fy)/n_conv)</f>
        <v>0.0681443298969072</v>
      </c>
      <c r="J7023" s="7" t="n">
        <f aca="false">Sens!$E$7023+(glt_fro-Sens!$E$7023)*MIN(1,(Sens!J6968-base_fy)/n_conv)</f>
        <v>0.0690721649484536</v>
      </c>
      <c r="K7023" s="7" t="n">
        <f aca="false">Sens!$E$7023+(glt_fro-Sens!$E$7023)*MIN(1,(Sens!K6968-base_fy)/n_conv)</f>
        <v>0.07</v>
      </c>
    </row>
    <row r="7024" customFormat="false" ht="15" hidden="false" customHeight="false" outlineLevel="0" collapsed="false">
      <c r="A7024" s="0" t="s">
        <v>856</v>
      </c>
      <c r="B7024" s="0" t="s">
        <v>98</v>
      </c>
      <c r="D7024" s="6" t="n">
        <f aca="false">Sens!D7012+Sens!D7017+Sens!D7018+Sens!D7020+Sens!D7022</f>
        <v>218.783</v>
      </c>
      <c r="E7024" s="6" t="n">
        <f aca="false">Sens!E7012+Sens!E7017+Sens!E7018+Sens!E7020+Sens!E7022</f>
        <v>268.127</v>
      </c>
      <c r="F7024" s="6" t="n">
        <f aca="false">Sens!F7012+Sens!F7017+Sens!F7018+Sens!F7020+Sens!F7022</f>
        <v>333.602446506365</v>
      </c>
      <c r="G7024" s="6" t="n">
        <f aca="false">Sens!G7012+Sens!G7017+Sens!G7018+Sens!G7020+Sens!G7022</f>
        <v>406.097068847802</v>
      </c>
      <c r="H7024" s="6" t="n">
        <f aca="false">Sens!H7012+Sens!H7017+Sens!H7018+Sens!H7020+Sens!H7022</f>
        <v>479.948045143837</v>
      </c>
      <c r="I7024" s="6" t="n">
        <f aca="false">Sens!I7012+Sens!I7017+Sens!I7018+Sens!I7020+Sens!I7022</f>
        <v>547.688084267188</v>
      </c>
      <c r="J7024" s="6" t="n">
        <f aca="false">Sens!J7012+Sens!J7017+Sens!J7018+Sens!J7020+Sens!J7022</f>
        <v>602.665606154125</v>
      </c>
      <c r="K7024" s="6" t="n">
        <f aca="false">Sens!K7012+Sens!K7017+Sens!K7018+Sens!K7020+Sens!K7022</f>
        <v>645.637148264209</v>
      </c>
    </row>
    <row r="7025" customFormat="false" ht="17.15" hidden="false" customHeight="false" outlineLevel="0" collapsed="false">
      <c r="A7025" s="0" t="s">
        <v>1041</v>
      </c>
      <c r="B7025" s="0" t="s">
        <v>98</v>
      </c>
      <c r="D7025" s="6" t="n">
        <f aca="false">Q!L13</f>
        <v>22.171</v>
      </c>
      <c r="E7025" s="6" t="n">
        <f aca="false">Q!M13</f>
        <v>24.835</v>
      </c>
      <c r="F7025" s="6" t="n">
        <f aca="false">Q!$I$13+(Q!M13-Q!$E$13)*(1+Sens!F7026)</f>
        <v>27.5591895660247</v>
      </c>
      <c r="G7025" s="6" t="n">
        <f aca="false">Sens!F7025*(1+Sens!G7026)</f>
        <v>30.4098563144583</v>
      </c>
      <c r="H7025" s="6" t="n">
        <f aca="false">Sens!G7025*(1+Sens!H7026)</f>
        <v>33.3011792571777</v>
      </c>
      <c r="I7025" s="6" t="n">
        <f aca="false">Sens!H7025*(1+Sens!I7026)</f>
        <v>36.189023797112</v>
      </c>
      <c r="J7025" s="6" t="n">
        <f aca="false">Sens!I7025*(1+Sens!J7026)</f>
        <v>39.0247773769199</v>
      </c>
      <c r="K7025" s="6" t="n">
        <f aca="false">Sens!J7025*(1+Sens!K7026)</f>
        <v>41.7565117933043</v>
      </c>
      <c r="L7025" s="12" t="s">
        <v>1038</v>
      </c>
    </row>
    <row r="7026" customFormat="false" ht="15" hidden="false" customHeight="false" outlineLevel="0" collapsed="false">
      <c r="A7026" s="1" t="s">
        <v>1028</v>
      </c>
      <c r="B7026" s="0" t="s">
        <v>168</v>
      </c>
      <c r="E7026" s="7" t="n">
        <f aca="false">Sens!E7025/Sens!D7025-1</f>
        <v>0.120156961796942</v>
      </c>
      <c r="F7026" s="7" t="n">
        <f aca="false">Sens!$E$7026+(glt_srch-Sens!$E$7026)*MIN(1,(Sens!F6968-base_fy)/n_conv)</f>
        <v>0.111797468164118</v>
      </c>
      <c r="G7026" s="7" t="n">
        <f aca="false">Sens!$E$7026+(glt_srch-Sens!$E$7026)*MIN(1,(Sens!G6968-base_fy)/n_conv)</f>
        <v>0.103437974531295</v>
      </c>
      <c r="H7026" s="7" t="n">
        <f aca="false">Sens!$E$7026+(glt_srch-Sens!$E$7026)*MIN(1,(Sens!H6968-base_fy)/n_conv)</f>
        <v>0.095078480898471</v>
      </c>
      <c r="I7026" s="7" t="n">
        <f aca="false">Sens!$E$7026+(glt_srch-Sens!$E$7026)*MIN(1,(Sens!I6968-base_fy)/n_conv)</f>
        <v>0.0867189872656474</v>
      </c>
      <c r="J7026" s="7" t="n">
        <f aca="false">Sens!$E$7026+(glt_srch-Sens!$E$7026)*MIN(1,(Sens!J6968-base_fy)/n_conv)</f>
        <v>0.0783594936328237</v>
      </c>
      <c r="K7026" s="7" t="n">
        <f aca="false">Sens!$E$7026+(glt_srch-Sens!$E$7026)*MIN(1,(Sens!K6968-base_fy)/n_conv)</f>
        <v>0.07</v>
      </c>
    </row>
    <row r="7027" customFormat="false" ht="17.15" hidden="false" customHeight="false" outlineLevel="0" collapsed="false">
      <c r="A7027" s="0" t="s">
        <v>1042</v>
      </c>
      <c r="B7027" s="0" t="s">
        <v>98</v>
      </c>
      <c r="D7027" s="6" t="n">
        <f aca="false">Q!L14</f>
        <v>23.455</v>
      </c>
      <c r="E7027" s="6" t="n">
        <f aca="false">Q!M14</f>
        <v>21.79</v>
      </c>
      <c r="F7027" s="6" t="n">
        <f aca="false">Q!$I$14+(Q!M14-Q!$E$14)*(1+Sens!F7028)</f>
        <v>20.7520981041711</v>
      </c>
      <c r="G7027" s="6" t="n">
        <f aca="false">Sens!F7027*(1+Sens!G7028)</f>
        <v>19.9083593495882</v>
      </c>
      <c r="H7027" s="6" t="n">
        <f aca="false">Sens!G7027*(1+Sens!H7028)</f>
        <v>19.4008256265831</v>
      </c>
      <c r="I7027" s="6" t="n">
        <f aca="false">Sens!H7027*(1+Sens!I7028)</f>
        <v>19.200434522122</v>
      </c>
      <c r="J7027" s="6" t="n">
        <f aca="false">Sens!I7027*(1+Sens!J7028)</f>
        <v>19.2932782348507</v>
      </c>
      <c r="K7027" s="6" t="n">
        <f aca="false">Sens!J7027*(1+Sens!K7028)</f>
        <v>19.6791437995477</v>
      </c>
      <c r="L7027" s="12" t="s">
        <v>1038</v>
      </c>
    </row>
    <row r="7028" customFormat="false" ht="15" hidden="false" customHeight="false" outlineLevel="0" collapsed="false">
      <c r="A7028" s="1" t="s">
        <v>1028</v>
      </c>
      <c r="B7028" s="0" t="s">
        <v>168</v>
      </c>
      <c r="E7028" s="7" t="n">
        <f aca="false">Sens!E7027/Sens!D7027-1</f>
        <v>-0.0709869963760392</v>
      </c>
      <c r="F7028" s="7" t="n">
        <f aca="false">Sens!$E$7028+(glt_xbox-Sens!$E$7028)*MIN(1,(Sens!F6968-base_fy)/n_conv)</f>
        <v>-0.0558224969800327</v>
      </c>
      <c r="G7028" s="7" t="n">
        <f aca="false">Sens!$E$7028+(glt_xbox-Sens!$E$7028)*MIN(1,(Sens!G6968-base_fy)/n_conv)</f>
        <v>-0.0406579975840262</v>
      </c>
      <c r="H7028" s="7" t="n">
        <f aca="false">Sens!$E$7028+(glt_xbox-Sens!$E$7028)*MIN(1,(Sens!H6968-base_fy)/n_conv)</f>
        <v>-0.0254934981880196</v>
      </c>
      <c r="I7028" s="7" t="n">
        <f aca="false">Sens!$E$7028+(glt_xbox-Sens!$E$7028)*MIN(1,(Sens!I6968-base_fy)/n_conv)</f>
        <v>-0.0103289987920131</v>
      </c>
      <c r="J7028" s="7" t="n">
        <f aca="false">Sens!$E$7028+(glt_xbox-Sens!$E$7028)*MIN(1,(Sens!J6968-base_fy)/n_conv)</f>
        <v>0.00483550060399347</v>
      </c>
      <c r="K7028" s="7" t="n">
        <f aca="false">Sens!$E$7028+(glt_xbox-Sens!$E$7028)*MIN(1,(Sens!K6968-base_fy)/n_conv)</f>
        <v>0.02</v>
      </c>
    </row>
    <row r="7029" customFormat="false" ht="17.15" hidden="false" customHeight="false" outlineLevel="0" collapsed="false">
      <c r="A7029" s="0" t="s">
        <v>1043</v>
      </c>
      <c r="B7029" s="0" t="s">
        <v>98</v>
      </c>
      <c r="D7029" s="6" t="n">
        <f aca="false">Q!L15</f>
        <v>17.315</v>
      </c>
      <c r="E7029" s="6" t="n">
        <f aca="false">Q!M15</f>
        <v>17.087</v>
      </c>
      <c r="F7029" s="6" t="n">
        <f aca="false">Q!$I$15+(Q!M15-Q!$E$15)*(1+Sens!F7030)</f>
        <v>15.9912273250553</v>
      </c>
      <c r="G7029" s="6" t="n">
        <f aca="false">Sens!F7029*(1+Sens!G7030)</f>
        <v>15.9574562664827</v>
      </c>
      <c r="H7029" s="6" t="n">
        <f aca="false">Sens!G7029*(1+Sens!H7030)</f>
        <v>16.0119687434196</v>
      </c>
      <c r="I7029" s="6" t="n">
        <f aca="false">Sens!H7029*(1+Sens!I7030)</f>
        <v>16.1551810001948</v>
      </c>
      <c r="J7029" s="6" t="n">
        <f aca="false">Sens!I7029*(1+Sens!J7030)</f>
        <v>16.3889793892005</v>
      </c>
      <c r="K7029" s="6" t="n">
        <f aca="false">Sens!J7029*(1+Sens!K7030)</f>
        <v>16.7167589769845</v>
      </c>
      <c r="L7029" s="12" t="s">
        <v>1038</v>
      </c>
    </row>
    <row r="7030" customFormat="false" ht="15" hidden="false" customHeight="false" outlineLevel="0" collapsed="false">
      <c r="A7030" s="1" t="s">
        <v>1028</v>
      </c>
      <c r="B7030" s="0" t="s">
        <v>168</v>
      </c>
      <c r="E7030" s="7" t="n">
        <f aca="false">Sens!E7029/Sens!D7029-1</f>
        <v>-0.0131677736066995</v>
      </c>
      <c r="F7030" s="7" t="n">
        <f aca="false">Sens!$E$7030+(glt_win-Sens!$E$7030)*MIN(1,(Sens!F6968-base_fy)/n_conv)</f>
        <v>-0.00763981133891627</v>
      </c>
      <c r="G7030" s="7" t="n">
        <f aca="false">Sens!$E$7030+(glt_win-Sens!$E$7030)*MIN(1,(Sens!G6968-base_fy)/n_conv)</f>
        <v>-0.00211184907113301</v>
      </c>
      <c r="H7030" s="7" t="n">
        <f aca="false">Sens!$E$7030+(glt_win-Sens!$E$7030)*MIN(1,(Sens!H6968-base_fy)/n_conv)</f>
        <v>0.00341611319665024</v>
      </c>
      <c r="I7030" s="7" t="n">
        <f aca="false">Sens!$E$7030+(glt_win-Sens!$E$7030)*MIN(1,(Sens!I6968-base_fy)/n_conv)</f>
        <v>0.00894407546443349</v>
      </c>
      <c r="J7030" s="7" t="n">
        <f aca="false">Sens!$E$7030+(glt_win-Sens!$E$7030)*MIN(1,(Sens!J6968-base_fy)/n_conv)</f>
        <v>0.0144720377322168</v>
      </c>
      <c r="K7030" s="7" t="n">
        <f aca="false">Sens!$E$7030+(glt_win-Sens!$E$7030)*MIN(1,(Sens!K6968-base_fy)/n_conv)</f>
        <v>0.02</v>
      </c>
    </row>
    <row r="7031" customFormat="false" ht="15" hidden="false" customHeight="false" outlineLevel="0" collapsed="false">
      <c r="A7031" s="0" t="s">
        <v>870</v>
      </c>
      <c r="B7031" s="0" t="s">
        <v>98</v>
      </c>
      <c r="D7031" s="6" t="n">
        <f aca="false">Sens!D7025+Sens!D7027+Sens!D7029</f>
        <v>62.941</v>
      </c>
      <c r="E7031" s="6" t="n">
        <f aca="false">Sens!E7025+Sens!E7027+Sens!E7029</f>
        <v>63.712</v>
      </c>
      <c r="F7031" s="6" t="n">
        <f aca="false">Sens!F7025+Sens!F7027+Sens!F7029</f>
        <v>64.3025149952511</v>
      </c>
      <c r="G7031" s="6" t="n">
        <f aca="false">Sens!G7025+Sens!G7027+Sens!G7029</f>
        <v>66.2756719305292</v>
      </c>
      <c r="H7031" s="6" t="n">
        <f aca="false">Sens!H7025+Sens!H7027+Sens!H7029</f>
        <v>68.7139736271804</v>
      </c>
      <c r="I7031" s="6" t="n">
        <f aca="false">Sens!I7025+Sens!I7027+Sens!I7029</f>
        <v>71.5446393194289</v>
      </c>
      <c r="J7031" s="6" t="n">
        <f aca="false">Sens!J7025+Sens!J7027+Sens!J7029</f>
        <v>74.707035000971</v>
      </c>
      <c r="K7031" s="6" t="n">
        <f aca="false">Sens!K7025+Sens!K7027+Sens!K7029</f>
        <v>78.1524145698365</v>
      </c>
    </row>
    <row r="7032" customFormat="false" ht="15" hidden="false" customHeight="false" outlineLevel="0" collapsed="false">
      <c r="A7032" s="1" t="s">
        <v>1044</v>
      </c>
      <c r="B7032" s="0" t="s">
        <v>98</v>
      </c>
      <c r="D7032" s="6" t="n">
        <f aca="false">Sens!D7024+Sens!D7031</f>
        <v>281.724</v>
      </c>
      <c r="E7032" s="6" t="n">
        <f aca="false">Sens!E7024+Sens!E7031</f>
        <v>331.839</v>
      </c>
      <c r="F7032" s="6" t="n">
        <f aca="false">Sens!F7024+Sens!F7031</f>
        <v>397.904961501616</v>
      </c>
      <c r="G7032" s="6" t="n">
        <f aca="false">Sens!G7024+Sens!G7031</f>
        <v>472.372740778331</v>
      </c>
      <c r="H7032" s="6" t="n">
        <f aca="false">Sens!H7024+Sens!H7031</f>
        <v>548.662018771017</v>
      </c>
      <c r="I7032" s="6" t="n">
        <f aca="false">Sens!I7024+Sens!I7031</f>
        <v>619.232723586617</v>
      </c>
      <c r="J7032" s="6" t="n">
        <f aca="false">Sens!J7024+Sens!J7031</f>
        <v>677.372641155096</v>
      </c>
      <c r="K7032" s="6" t="n">
        <f aca="false">Sens!K7024+Sens!K7031</f>
        <v>723.789562834046</v>
      </c>
    </row>
    <row r="7033" customFormat="false" ht="15" hidden="false" customHeight="false" outlineLevel="0" collapsed="false">
      <c r="A7033" s="26" t="s">
        <v>1045</v>
      </c>
      <c r="B7033" s="31" t="s">
        <v>98</v>
      </c>
      <c r="C7033" s="31"/>
      <c r="D7033" s="27" t="n">
        <f aca="false">(Sens!D7012+Sens!D7017+Sens!D7018+Sens!D7020+Sens!D7022-Sens!D7024)+(Sens!D7025+Sens!D7027+Sens!D7029-Sens!D7031)+(Sens!D7024-Q!L5)+(Sens!D7031-Q!L12)+(Sens!D7012-Q!L6)+(Sens!D7017-Q!L7)</f>
        <v>0</v>
      </c>
      <c r="E7033" s="27" t="n">
        <f aca="false">(Sens!E7012+Sens!E7017+Sens!E7018+Sens!E7020+Sens!E7022-Sens!E7024)+(Sens!E7025+Sens!E7027+Sens!E7029-Sens!E7031)+(Sens!E7024-Q!M5)+(Sens!E7031-Q!M12)+(Sens!E7012-Q!M6)+(Sens!E7017-Q!M7)</f>
        <v>0</v>
      </c>
      <c r="F7033" s="27" t="n">
        <f aca="false">(Sens!F7012+Sens!F7017+Sens!F7018+Sens!F7020+Sens!F7022-Sens!F7024)+(Sens!F7025+Sens!F7027+Sens!F7029-Sens!F7031)</f>
        <v>0</v>
      </c>
      <c r="G7033" s="27" t="n">
        <f aca="false">(Sens!G7012+Sens!G7017+Sens!G7018+Sens!G7020+Sens!G7022-Sens!G7024)+(Sens!G7025+Sens!G7027+Sens!G7029-Sens!G7031)</f>
        <v>0</v>
      </c>
      <c r="H7033" s="27" t="n">
        <f aca="false">(Sens!H7012+Sens!H7017+Sens!H7018+Sens!H7020+Sens!H7022-Sens!H7024)+(Sens!H7025+Sens!H7027+Sens!H7029-Sens!H7031)</f>
        <v>0</v>
      </c>
      <c r="I7033" s="27" t="n">
        <f aca="false">(Sens!I7012+Sens!I7017+Sens!I7018+Sens!I7020+Sens!I7022-Sens!I7024)+(Sens!I7025+Sens!I7027+Sens!I7029-Sens!I7031)</f>
        <v>0</v>
      </c>
      <c r="J7033" s="27" t="n">
        <f aca="false">(Sens!J7012+Sens!J7017+Sens!J7018+Sens!J7020+Sens!J7022-Sens!J7024)+(Sens!J7025+Sens!J7027+Sens!J7029-Sens!J7031)</f>
        <v>0</v>
      </c>
      <c r="K7033" s="27" t="n">
        <f aca="false">(Sens!K7012+Sens!K7017+Sens!K7018+Sens!K7020+Sens!K7022-Sens!K7024)+(Sens!K7025+Sens!K7027+Sens!K7029-Sens!K7031)</f>
        <v>0</v>
      </c>
    </row>
    <row r="7034" customFormat="false" ht="17.15" hidden="false" customHeight="false" outlineLevel="0" collapsed="false">
      <c r="A7034" s="3" t="s">
        <v>1787</v>
      </c>
    </row>
    <row r="7035" customFormat="false" ht="15" hidden="false" customHeight="false" outlineLevel="0" collapsed="false">
      <c r="A7035" s="4" t="s">
        <v>43</v>
      </c>
      <c r="B7035" s="4" t="s">
        <v>65</v>
      </c>
      <c r="C7035" s="23" t="s">
        <v>942</v>
      </c>
      <c r="D7035" s="23" t="s">
        <v>943</v>
      </c>
      <c r="E7035" s="23" t="s">
        <v>944</v>
      </c>
      <c r="F7035" s="23" t="s">
        <v>945</v>
      </c>
      <c r="G7035" s="23" t="s">
        <v>946</v>
      </c>
      <c r="H7035" s="23" t="s">
        <v>947</v>
      </c>
      <c r="I7035" s="23" t="s">
        <v>948</v>
      </c>
      <c r="J7035" s="23" t="s">
        <v>949</v>
      </c>
      <c r="K7035" s="23" t="s">
        <v>950</v>
      </c>
      <c r="L7035" s="4" t="s">
        <v>47</v>
      </c>
    </row>
    <row r="7036" customFormat="false" ht="15" hidden="false" customHeight="false" outlineLevel="0" collapsed="false">
      <c r="A7036" s="0" t="s">
        <v>1029</v>
      </c>
      <c r="B7036" s="0" t="s">
        <v>98</v>
      </c>
      <c r="D7036" s="6" t="n">
        <f aca="false">Sens!D7012</f>
        <v>72.61</v>
      </c>
      <c r="E7036" s="6" t="n">
        <f aca="false">Sens!E7012</f>
        <v>101.938</v>
      </c>
      <c r="F7036" s="6" t="n">
        <f aca="false">Sens!F7012</f>
        <v>146.709048000181</v>
      </c>
      <c r="G7036" s="6" t="n">
        <f aca="false">Sens!G7012</f>
        <v>199.762829861393</v>
      </c>
      <c r="H7036" s="6" t="n">
        <f aca="false">Sens!H7012</f>
        <v>254.146566109645</v>
      </c>
      <c r="I7036" s="6" t="n">
        <f aca="false">Sens!I7012</f>
        <v>303.439446964617</v>
      </c>
      <c r="J7036" s="6" t="n">
        <f aca="false">Sens!J7012</f>
        <v>341.309898459739</v>
      </c>
      <c r="K7036" s="6" t="n">
        <f aca="false">Sens!K7012</f>
        <v>368.09747789654</v>
      </c>
    </row>
    <row r="7037" customFormat="false" ht="17.15" hidden="false" customHeight="false" outlineLevel="0" collapsed="false">
      <c r="A7037" s="0" t="s">
        <v>1025</v>
      </c>
      <c r="B7037" s="0" t="s">
        <v>98</v>
      </c>
      <c r="D7037" s="6" t="n">
        <f aca="false">Sens!D7009</f>
        <v>12.9359794422418</v>
      </c>
      <c r="E7037" s="6" t="n">
        <f aca="false">Sens!E7009</f>
        <v>27.8095064661409</v>
      </c>
      <c r="F7037" s="6" t="n">
        <f aca="false">Sens!F7009</f>
        <v>55.4118315060966</v>
      </c>
      <c r="G7037" s="6" t="n">
        <f aca="false">Sens!G7009</f>
        <v>91.2881100675143</v>
      </c>
      <c r="H7037" s="6" t="n">
        <f aca="false">Sens!H7009</f>
        <v>128.195273603944</v>
      </c>
      <c r="I7037" s="6" t="n">
        <f aca="false">Sens!I7009</f>
        <v>160.601281810405</v>
      </c>
      <c r="J7037" s="6" t="n">
        <f aca="false">Sens!J7009</f>
        <v>183.182719793589</v>
      </c>
      <c r="K7037" s="6" t="n">
        <f aca="false">Sens!K7009</f>
        <v>197.320124937098</v>
      </c>
    </row>
    <row r="7038" customFormat="false" ht="17.15" hidden="false" customHeight="false" outlineLevel="0" collapsed="false">
      <c r="A7038" s="0" t="s">
        <v>1056</v>
      </c>
      <c r="B7038" s="0" t="s">
        <v>98</v>
      </c>
      <c r="D7038" s="6" t="n">
        <f aca="false">Sens!D7010</f>
        <v>59.6740205577583</v>
      </c>
      <c r="E7038" s="6" t="n">
        <f aca="false">Sens!E7010</f>
        <v>74.1284935338591</v>
      </c>
      <c r="F7038" s="6" t="n">
        <f aca="false">Sens!F7010</f>
        <v>91.2972164940844</v>
      </c>
      <c r="G7038" s="6" t="n">
        <f aca="false">Sens!G7010</f>
        <v>108.474719793879</v>
      </c>
      <c r="H7038" s="6" t="n">
        <f aca="false">Sens!H7010</f>
        <v>125.951292505701</v>
      </c>
      <c r="I7038" s="6" t="n">
        <f aca="false">Sens!I7010</f>
        <v>142.838165154212</v>
      </c>
      <c r="J7038" s="6" t="n">
        <f aca="false">Sens!J7010</f>
        <v>158.12717866615</v>
      </c>
      <c r="K7038" s="6" t="n">
        <f aca="false">Sens!K7010</f>
        <v>170.777352959442</v>
      </c>
    </row>
    <row r="7039" customFormat="false" ht="15" hidden="false" customHeight="false" outlineLevel="0" collapsed="false">
      <c r="A7039" s="0" t="s">
        <v>1036</v>
      </c>
      <c r="B7039" s="0" t="s">
        <v>98</v>
      </c>
      <c r="D7039" s="6" t="n">
        <f aca="false">Sens!D7017</f>
        <v>84.605</v>
      </c>
      <c r="E7039" s="6" t="n">
        <f aca="false">Sens!E7017</f>
        <v>100.299</v>
      </c>
      <c r="F7039" s="6" t="n">
        <f aca="false">Sens!F7017</f>
        <v>117.438354189776</v>
      </c>
      <c r="G7039" s="6" t="n">
        <f aca="false">Sens!G7017</f>
        <v>132.595360443801</v>
      </c>
      <c r="H7039" s="6" t="n">
        <f aca="false">Sens!H7017</f>
        <v>147.833811964563</v>
      </c>
      <c r="I7039" s="6" t="n">
        <f aca="false">Sens!I7017</f>
        <v>162.145665319381</v>
      </c>
      <c r="J7039" s="6" t="n">
        <f aca="false">Sens!J7017</f>
        <v>175.249327755573</v>
      </c>
      <c r="K7039" s="6" t="n">
        <f aca="false">Sens!K7017</f>
        <v>187.599280698463</v>
      </c>
    </row>
    <row r="7040" customFormat="false" ht="17.15" hidden="false" customHeight="false" outlineLevel="0" collapsed="false">
      <c r="A7040" s="0" t="s">
        <v>1057</v>
      </c>
      <c r="B7040" s="0" t="s">
        <v>98</v>
      </c>
      <c r="D7040" s="6" t="n">
        <f aca="false">Sens!D7015</f>
        <v>83.705</v>
      </c>
      <c r="E7040" s="6" t="n">
        <f aca="false">Sens!E7015</f>
        <v>95.049</v>
      </c>
      <c r="F7040" s="6" t="n">
        <f aca="false">Sens!F7015</f>
        <v>106.938354189776</v>
      </c>
      <c r="G7040" s="6" t="n">
        <f aca="false">Sens!G7015</f>
        <v>119.095360443801</v>
      </c>
      <c r="H7040" s="6" t="n">
        <f aca="false">Sens!H7015</f>
        <v>131.333811964563</v>
      </c>
      <c r="I7040" s="6" t="n">
        <f aca="false">Sens!I7015</f>
        <v>143.395665319381</v>
      </c>
      <c r="J7040" s="6" t="n">
        <f aca="false">Sens!J7015</f>
        <v>154.999327755573</v>
      </c>
      <c r="K7040" s="6" t="n">
        <f aca="false">Sens!K7015</f>
        <v>165.849280698463</v>
      </c>
    </row>
    <row r="7041" customFormat="false" ht="17.15" hidden="false" customHeight="false" outlineLevel="0" collapsed="false">
      <c r="A7041" s="0" t="s">
        <v>1058</v>
      </c>
      <c r="B7041" s="0" t="s">
        <v>98</v>
      </c>
      <c r="D7041" s="6" t="n">
        <f aca="false">Sens!D7014</f>
        <v>0.9</v>
      </c>
      <c r="E7041" s="6" t="n">
        <f aca="false">Sens!E7014</f>
        <v>5.25</v>
      </c>
      <c r="F7041" s="6" t="n">
        <f aca="false">Sens!F7014</f>
        <v>10.5</v>
      </c>
      <c r="G7041" s="6" t="n">
        <f aca="false">Sens!G7014</f>
        <v>13.5</v>
      </c>
      <c r="H7041" s="6" t="n">
        <f aca="false">Sens!H7014</f>
        <v>16.5</v>
      </c>
      <c r="I7041" s="6" t="n">
        <f aca="false">Sens!I7014</f>
        <v>18.75</v>
      </c>
      <c r="J7041" s="6" t="n">
        <f aca="false">Sens!J7014</f>
        <v>20.25</v>
      </c>
      <c r="K7041" s="6" t="n">
        <f aca="false">Sens!K7014</f>
        <v>21.75</v>
      </c>
    </row>
    <row r="7042" customFormat="false" ht="15" hidden="false" customHeight="false" outlineLevel="0" collapsed="false">
      <c r="A7042" s="0" t="s">
        <v>1037</v>
      </c>
      <c r="B7042" s="0" t="s">
        <v>98</v>
      </c>
      <c r="D7042" s="6" t="n">
        <f aca="false">Sens!D7018</f>
        <v>35.391</v>
      </c>
      <c r="E7042" s="6" t="n">
        <f aca="false">Sens!E7018</f>
        <v>37.285</v>
      </c>
      <c r="F7042" s="6" t="n">
        <f aca="false">Sens!F7018</f>
        <v>38.3851437782675</v>
      </c>
      <c r="G7042" s="6" t="n">
        <f aca="false">Sens!G7018</f>
        <v>40.0105353288615</v>
      </c>
      <c r="H7042" s="6" t="n">
        <f aca="false">Sens!H7018</f>
        <v>41.4812512033683</v>
      </c>
      <c r="I7042" s="6" t="n">
        <f aca="false">Sens!I7018</f>
        <v>42.7743107216329</v>
      </c>
      <c r="J7042" s="6" t="n">
        <f aca="false">Sens!J7018</f>
        <v>43.8687373064601</v>
      </c>
      <c r="K7042" s="6" t="n">
        <f aca="false">Sens!K7018</f>
        <v>44.7461120525893</v>
      </c>
    </row>
    <row r="7043" customFormat="false" ht="15" hidden="false" customHeight="false" outlineLevel="0" collapsed="false">
      <c r="A7043" s="0" t="s">
        <v>1039</v>
      </c>
      <c r="B7043" s="0" t="s">
        <v>98</v>
      </c>
      <c r="D7043" s="6" t="n">
        <f aca="false">Sens!D7020</f>
        <v>18.417</v>
      </c>
      <c r="E7043" s="6" t="n">
        <f aca="false">Sens!E7020</f>
        <v>20.345</v>
      </c>
      <c r="F7043" s="6" t="n">
        <f aca="false">Sens!F7020</f>
        <v>22.3161797133988</v>
      </c>
      <c r="G7043" s="6" t="n">
        <f aca="false">Sens!G7020</f>
        <v>24.3943499673233</v>
      </c>
      <c r="H7043" s="6" t="n">
        <f aca="false">Sens!H7020</f>
        <v>26.5250243109019</v>
      </c>
      <c r="I7043" s="6" t="n">
        <f aca="false">Sens!I7020</f>
        <v>28.6884573538181</v>
      </c>
      <c r="J7043" s="6" t="n">
        <f aca="false">Sens!J7020</f>
        <v>30.8624968052127</v>
      </c>
      <c r="K7043" s="6" t="n">
        <f aca="false">Sens!K7020</f>
        <v>33.0228715815776</v>
      </c>
    </row>
    <row r="7044" customFormat="false" ht="15" hidden="false" customHeight="false" outlineLevel="0" collapsed="false">
      <c r="A7044" s="0" t="s">
        <v>1040</v>
      </c>
      <c r="B7044" s="0" t="s">
        <v>98</v>
      </c>
      <c r="D7044" s="6" t="n">
        <f aca="false">Sens!D7022</f>
        <v>7.76</v>
      </c>
      <c r="E7044" s="6" t="n">
        <f aca="false">Sens!E7022</f>
        <v>8.26</v>
      </c>
      <c r="F7044" s="6" t="n">
        <f aca="false">Sens!F7022</f>
        <v>8.75372082474227</v>
      </c>
      <c r="G7044" s="6" t="n">
        <f aca="false">Sens!G7022</f>
        <v>9.33399324642364</v>
      </c>
      <c r="H7044" s="6" t="n">
        <f aca="false">Sens!H7022</f>
        <v>9.96139155535851</v>
      </c>
      <c r="I7044" s="6" t="n">
        <f aca="false">Sens!I7022</f>
        <v>10.6402039077391</v>
      </c>
      <c r="J7044" s="6" t="n">
        <f aca="false">Sens!J7022</f>
        <v>11.3751458271397</v>
      </c>
      <c r="K7044" s="6" t="n">
        <f aca="false">Sens!K7022</f>
        <v>12.1714060350394</v>
      </c>
    </row>
    <row r="7045" customFormat="false" ht="15" hidden="false" customHeight="false" outlineLevel="0" collapsed="false">
      <c r="A7045" s="0" t="s">
        <v>856</v>
      </c>
      <c r="B7045" s="0" t="s">
        <v>98</v>
      </c>
      <c r="D7045" s="6" t="n">
        <f aca="false">Sens!D7024</f>
        <v>218.783</v>
      </c>
      <c r="E7045" s="6" t="n">
        <f aca="false">Sens!E7024</f>
        <v>268.127</v>
      </c>
      <c r="F7045" s="6" t="n">
        <f aca="false">Sens!F7024</f>
        <v>333.602446506365</v>
      </c>
      <c r="G7045" s="6" t="n">
        <f aca="false">Sens!G7024</f>
        <v>406.097068847802</v>
      </c>
      <c r="H7045" s="6" t="n">
        <f aca="false">Sens!H7024</f>
        <v>479.948045143837</v>
      </c>
      <c r="I7045" s="6" t="n">
        <f aca="false">Sens!I7024</f>
        <v>547.688084267188</v>
      </c>
      <c r="J7045" s="6" t="n">
        <f aca="false">Sens!J7024</f>
        <v>602.665606154125</v>
      </c>
      <c r="K7045" s="6" t="n">
        <f aca="false">Sens!K7024</f>
        <v>645.637148264209</v>
      </c>
    </row>
    <row r="7046" customFormat="false" ht="15" hidden="false" customHeight="false" outlineLevel="0" collapsed="false">
      <c r="A7046" s="0" t="s">
        <v>1041</v>
      </c>
      <c r="B7046" s="0" t="s">
        <v>98</v>
      </c>
      <c r="D7046" s="6" t="n">
        <f aca="false">Sens!D7025</f>
        <v>22.171</v>
      </c>
      <c r="E7046" s="6" t="n">
        <f aca="false">Sens!E7025</f>
        <v>24.835</v>
      </c>
      <c r="F7046" s="6" t="n">
        <f aca="false">Sens!F7025</f>
        <v>27.5591895660247</v>
      </c>
      <c r="G7046" s="6" t="n">
        <f aca="false">Sens!G7025</f>
        <v>30.4098563144583</v>
      </c>
      <c r="H7046" s="6" t="n">
        <f aca="false">Sens!H7025</f>
        <v>33.3011792571777</v>
      </c>
      <c r="I7046" s="6" t="n">
        <f aca="false">Sens!I7025</f>
        <v>36.189023797112</v>
      </c>
      <c r="J7046" s="6" t="n">
        <f aca="false">Sens!J7025</f>
        <v>39.0247773769199</v>
      </c>
      <c r="K7046" s="6" t="n">
        <f aca="false">Sens!K7025</f>
        <v>41.7565117933043</v>
      </c>
    </row>
    <row r="7047" customFormat="false" ht="15" hidden="false" customHeight="false" outlineLevel="0" collapsed="false">
      <c r="A7047" s="0" t="s">
        <v>1042</v>
      </c>
      <c r="B7047" s="0" t="s">
        <v>98</v>
      </c>
      <c r="D7047" s="6" t="n">
        <f aca="false">Sens!D7027</f>
        <v>23.455</v>
      </c>
      <c r="E7047" s="6" t="n">
        <f aca="false">Sens!E7027</f>
        <v>21.79</v>
      </c>
      <c r="F7047" s="6" t="n">
        <f aca="false">Sens!F7027</f>
        <v>20.7520981041711</v>
      </c>
      <c r="G7047" s="6" t="n">
        <f aca="false">Sens!G7027</f>
        <v>19.9083593495882</v>
      </c>
      <c r="H7047" s="6" t="n">
        <f aca="false">Sens!H7027</f>
        <v>19.4008256265831</v>
      </c>
      <c r="I7047" s="6" t="n">
        <f aca="false">Sens!I7027</f>
        <v>19.200434522122</v>
      </c>
      <c r="J7047" s="6" t="n">
        <f aca="false">Sens!J7027</f>
        <v>19.2932782348507</v>
      </c>
      <c r="K7047" s="6" t="n">
        <f aca="false">Sens!K7027</f>
        <v>19.6791437995477</v>
      </c>
    </row>
    <row r="7048" customFormat="false" ht="15" hidden="false" customHeight="false" outlineLevel="0" collapsed="false">
      <c r="A7048" s="0" t="s">
        <v>1043</v>
      </c>
      <c r="B7048" s="0" t="s">
        <v>98</v>
      </c>
      <c r="D7048" s="6" t="n">
        <f aca="false">Sens!D7029</f>
        <v>17.315</v>
      </c>
      <c r="E7048" s="6" t="n">
        <f aca="false">Sens!E7029</f>
        <v>17.087</v>
      </c>
      <c r="F7048" s="6" t="n">
        <f aca="false">Sens!F7029</f>
        <v>15.9912273250553</v>
      </c>
      <c r="G7048" s="6" t="n">
        <f aca="false">Sens!G7029</f>
        <v>15.9574562664827</v>
      </c>
      <c r="H7048" s="6" t="n">
        <f aca="false">Sens!H7029</f>
        <v>16.0119687434196</v>
      </c>
      <c r="I7048" s="6" t="n">
        <f aca="false">Sens!I7029</f>
        <v>16.1551810001948</v>
      </c>
      <c r="J7048" s="6" t="n">
        <f aca="false">Sens!J7029</f>
        <v>16.3889793892005</v>
      </c>
      <c r="K7048" s="6" t="n">
        <f aca="false">Sens!K7029</f>
        <v>16.7167589769845</v>
      </c>
    </row>
    <row r="7049" customFormat="false" ht="15" hidden="false" customHeight="false" outlineLevel="0" collapsed="false">
      <c r="A7049" s="0" t="s">
        <v>870</v>
      </c>
      <c r="B7049" s="0" t="s">
        <v>98</v>
      </c>
      <c r="D7049" s="6" t="n">
        <f aca="false">Sens!D7031</f>
        <v>62.941</v>
      </c>
      <c r="E7049" s="6" t="n">
        <f aca="false">Sens!E7031</f>
        <v>63.712</v>
      </c>
      <c r="F7049" s="6" t="n">
        <f aca="false">Sens!F7031</f>
        <v>64.3025149952511</v>
      </c>
      <c r="G7049" s="6" t="n">
        <f aca="false">Sens!G7031</f>
        <v>66.2756719305292</v>
      </c>
      <c r="H7049" s="6" t="n">
        <f aca="false">Sens!H7031</f>
        <v>68.7139736271804</v>
      </c>
      <c r="I7049" s="6" t="n">
        <f aca="false">Sens!I7031</f>
        <v>71.5446393194289</v>
      </c>
      <c r="J7049" s="6" t="n">
        <f aca="false">Sens!J7031</f>
        <v>74.707035000971</v>
      </c>
      <c r="K7049" s="6" t="n">
        <f aca="false">Sens!K7031</f>
        <v>78.1524145698365</v>
      </c>
    </row>
    <row r="7050" customFormat="false" ht="15" hidden="false" customHeight="false" outlineLevel="0" collapsed="false">
      <c r="A7050" s="1" t="s">
        <v>1059</v>
      </c>
      <c r="B7050" s="0" t="s">
        <v>98</v>
      </c>
      <c r="D7050" s="6" t="n">
        <f aca="false">Sens!D7032</f>
        <v>281.724</v>
      </c>
      <c r="E7050" s="6" t="n">
        <f aca="false">Sens!E7032</f>
        <v>331.839</v>
      </c>
      <c r="F7050" s="6" t="n">
        <f aca="false">Sens!F7032</f>
        <v>397.904961501616</v>
      </c>
      <c r="G7050" s="6" t="n">
        <f aca="false">Sens!G7032</f>
        <v>472.372740778331</v>
      </c>
      <c r="H7050" s="6" t="n">
        <f aca="false">Sens!H7032</f>
        <v>548.662018771017</v>
      </c>
      <c r="I7050" s="6" t="n">
        <f aca="false">Sens!I7032</f>
        <v>619.232723586617</v>
      </c>
      <c r="J7050" s="6" t="n">
        <f aca="false">Sens!J7032</f>
        <v>677.372641155096</v>
      </c>
      <c r="K7050" s="6" t="n">
        <f aca="false">Sens!K7032</f>
        <v>723.789562834046</v>
      </c>
    </row>
    <row r="7051" customFormat="false" ht="15" hidden="false" customHeight="false" outlineLevel="0" collapsed="false">
      <c r="A7051" s="1" t="s">
        <v>1060</v>
      </c>
      <c r="B7051" s="0" t="s">
        <v>168</v>
      </c>
      <c r="E7051" s="7" t="n">
        <f aca="false">Sens!E7050/Sens!D7050-1</f>
        <v>0.177886867998467</v>
      </c>
      <c r="F7051" s="7" t="n">
        <f aca="false">Sens!F7050/Sens!E7050-1</f>
        <v>0.199090406798527</v>
      </c>
      <c r="G7051" s="7" t="n">
        <f aca="false">Sens!G7050/Sens!F7050-1</f>
        <v>0.187149662561854</v>
      </c>
      <c r="H7051" s="7" t="n">
        <f aca="false">Sens!H7050/Sens!G7050-1</f>
        <v>0.161502287085795</v>
      </c>
      <c r="I7051" s="7" t="n">
        <f aca="false">Sens!I7050/Sens!H7050-1</f>
        <v>0.12862327334718</v>
      </c>
      <c r="J7051" s="7" t="n">
        <f aca="false">Sens!J7050/Sens!I7050-1</f>
        <v>0.0938902537833115</v>
      </c>
      <c r="K7051" s="7" t="n">
        <f aca="false">Sens!K7050/Sens!J7050-1</f>
        <v>0.0685249430797754</v>
      </c>
    </row>
    <row r="7052" customFormat="false" ht="17.15" hidden="false" customHeight="false" outlineLevel="0" collapsed="false">
      <c r="A7052" s="26" t="s">
        <v>1061</v>
      </c>
      <c r="B7052" s="31" t="s">
        <v>98</v>
      </c>
      <c r="C7052" s="31"/>
      <c r="D7052" s="27" t="n">
        <f aca="false">(Sens!D7045+Sens!D7049-Sens!D7050)+(Sens!D7037+Sens!D7038-Sens!D7036)+(Sens!D7040+Sens!D7041-Sens!D7039)+(Sens!D7050-Q!L18)</f>
        <v>0</v>
      </c>
      <c r="E7052" s="27" t="n">
        <f aca="false">(Sens!E7045+Sens!E7049-Sens!E7050)+(Sens!E7037+Sens!E7038-Sens!E7036)+(Sens!E7040+Sens!E7041-Sens!E7039)+(Sens!E7050-Q!M18)</f>
        <v>0</v>
      </c>
      <c r="F7052" s="27" t="n">
        <f aca="false">(Sens!F7045+Sens!F7049-Sens!F7050)+(Sens!F7037+Sens!F7038-Sens!F7036)+(Sens!F7040+Sens!F7041-Sens!F7039)</f>
        <v>0</v>
      </c>
      <c r="G7052" s="27" t="n">
        <f aca="false">(Sens!G7045+Sens!G7049-Sens!G7050)+(Sens!G7037+Sens!G7038-Sens!G7036)+(Sens!G7040+Sens!G7041-Sens!G7039)</f>
        <v>0</v>
      </c>
      <c r="H7052" s="27" t="n">
        <f aca="false">(Sens!H7045+Sens!H7049-Sens!H7050)+(Sens!H7037+Sens!H7038-Sens!H7036)+(Sens!H7040+Sens!H7041-Sens!H7039)</f>
        <v>0</v>
      </c>
      <c r="I7052" s="27" t="n">
        <f aca="false">(Sens!I7045+Sens!I7049-Sens!I7050)+(Sens!I7037+Sens!I7038-Sens!I7036)+(Sens!I7040+Sens!I7041-Sens!I7039)</f>
        <v>0</v>
      </c>
      <c r="J7052" s="27" t="n">
        <f aca="false">(Sens!J7045+Sens!J7049-Sens!J7050)+(Sens!J7037+Sens!J7038-Sens!J7036)+(Sens!J7040+Sens!J7041-Sens!J7039)</f>
        <v>0</v>
      </c>
      <c r="K7052" s="27" t="n">
        <f aca="false">(Sens!K7045+Sens!K7049-Sens!K7050)+(Sens!K7037+Sens!K7038-Sens!K7036)+(Sens!K7040+Sens!K7041-Sens!K7039)</f>
        <v>0</v>
      </c>
    </row>
    <row r="7053" customFormat="false" ht="17.15" hidden="false" customHeight="false" outlineLevel="0" collapsed="false">
      <c r="A7053" s="0" t="s">
        <v>1062</v>
      </c>
      <c r="B7053" s="0" t="s">
        <v>168</v>
      </c>
      <c r="E7053" s="7" t="n">
        <f aca="false">(Q!M21+Sens!E6989+Sens!E6990+Sens!E6991+Sens!E7005-Sens!E6987)/(Q!M5-Sens!E6987)</f>
        <v>0.570957350878296</v>
      </c>
      <c r="F7053" s="7" t="n">
        <f aca="false">Sens!$E$7053+dm_seg</f>
        <v>0.570957350878296</v>
      </c>
      <c r="G7053" s="7" t="n">
        <f aca="false">Sens!$E$7053+dm_seg</f>
        <v>0.570957350878296</v>
      </c>
      <c r="H7053" s="7" t="n">
        <f aca="false">Sens!$E$7053+dm_seg</f>
        <v>0.570957350878296</v>
      </c>
      <c r="I7053" s="7" t="n">
        <f aca="false">Sens!$E$7053+dm_seg</f>
        <v>0.570957350878296</v>
      </c>
      <c r="J7053" s="7" t="n">
        <f aca="false">Sens!$E$7053+dm_seg</f>
        <v>0.570957350878296</v>
      </c>
      <c r="K7053" s="7" t="n">
        <f aca="false">Sens!$E$7053+dm_seg</f>
        <v>0.570957350878296</v>
      </c>
      <c r="L7053" s="12" t="s">
        <v>1063</v>
      </c>
    </row>
    <row r="7054" customFormat="false" ht="17.15" hidden="false" customHeight="false" outlineLevel="0" collapsed="false">
      <c r="A7054" s="0" t="s">
        <v>884</v>
      </c>
      <c r="B7054" s="0" t="s">
        <v>98</v>
      </c>
      <c r="D7054" s="6" t="n">
        <f aca="false">Q!L21</f>
        <v>110.814</v>
      </c>
      <c r="E7054" s="6" t="n">
        <f aca="false">Q!M21</f>
        <v>136.365</v>
      </c>
      <c r="F7054" s="6" t="n">
        <f aca="false">Q!$I$21+(Sens!F7053*(Sens!F7024-Sens!F6987)+Sens!F6987-(Sens!F6989+Sens!F6990+Sens!F6991)-Sens!F7005-Sens!F7088)*(Sens!F7024-Q!$I$5)/Sens!F7024</f>
        <v>161.453275652122</v>
      </c>
      <c r="G7054" s="6" t="n">
        <f aca="false">(Sens!G7053*(Sens!G7024-Sens!G6987)+Sens!G6987-(Sens!G6989+Sens!G6990+Sens!G6991)-Sens!G7005-Sens!G7088)</f>
        <v>175.214603405903</v>
      </c>
      <c r="H7054" s="6" t="n">
        <f aca="false">(Sens!H7053*(Sens!H7024-Sens!H6987)+Sens!H6987-(Sens!H6989+Sens!H6990+Sens!H6991)-Sens!H7005-Sens!H7088)</f>
        <v>192.720699445459</v>
      </c>
      <c r="I7054" s="6" t="n">
        <f aca="false">(Sens!I7053*(Sens!I7024-Sens!I6987)+Sens!I6987-(Sens!I6989+Sens!I6990+Sens!I6991)-Sens!I7005-Sens!I7088)</f>
        <v>209.671690603016</v>
      </c>
      <c r="J7054" s="6" t="n">
        <f aca="false">(Sens!J7053*(Sens!J7024-Sens!J6987)+Sens!J6987-(Sens!J6989+Sens!J6990+Sens!J6991)-Sens!J7005-Sens!J7088)</f>
        <v>225.819536344305</v>
      </c>
      <c r="K7054" s="6" t="n">
        <f aca="false">(Sens!K7053*(Sens!K7024-Sens!K6987)+Sens!K6987-(Sens!K6989+Sens!K6990+Sens!K6991)-Sens!K7005-Sens!K7088)</f>
        <v>241.36704901209</v>
      </c>
      <c r="L7054" s="1" t="s">
        <v>1064</v>
      </c>
    </row>
    <row r="7055" customFormat="false" ht="17.15" hidden="false" customHeight="false" outlineLevel="0" collapsed="false">
      <c r="A7055" s="0" t="s">
        <v>1065</v>
      </c>
      <c r="B7055" s="0" t="s">
        <v>168</v>
      </c>
      <c r="E7055" s="7" t="n">
        <f aca="false">Q!M22/Q!M12</f>
        <v>0.296207935710698</v>
      </c>
      <c r="F7055" s="7" t="n">
        <f aca="false">Sens!$E$7055+dm_seg</f>
        <v>0.296207935710698</v>
      </c>
      <c r="G7055" s="7" t="n">
        <f aca="false">Sens!$E$7055+dm_seg</f>
        <v>0.296207935710698</v>
      </c>
      <c r="H7055" s="7" t="n">
        <f aca="false">Sens!$E$7055+dm_seg</f>
        <v>0.296207935710698</v>
      </c>
      <c r="I7055" s="7" t="n">
        <f aca="false">Sens!$E$7055+dm_seg</f>
        <v>0.296207935710698</v>
      </c>
      <c r="J7055" s="7" t="n">
        <f aca="false">Sens!$E$7055+dm_seg</f>
        <v>0.296207935710698</v>
      </c>
      <c r="K7055" s="7" t="n">
        <f aca="false">Sens!$E$7055+dm_seg</f>
        <v>0.296207935710698</v>
      </c>
      <c r="L7055" s="12" t="s">
        <v>1066</v>
      </c>
    </row>
    <row r="7056" customFormat="false" ht="17.15" hidden="false" customHeight="false" outlineLevel="0" collapsed="false">
      <c r="A7056" s="0" t="s">
        <v>886</v>
      </c>
      <c r="B7056" s="0" t="s">
        <v>98</v>
      </c>
      <c r="D7056" s="6" t="n">
        <f aca="false">Q!L22</f>
        <v>17.714</v>
      </c>
      <c r="E7056" s="6" t="n">
        <f aca="false">Q!M22</f>
        <v>18.872</v>
      </c>
      <c r="F7056" s="6" t="n">
        <f aca="false">Q!$I$22+(Sens!F7031-Q!$I$12)*Sens!F7055</f>
        <v>19.8174315512051</v>
      </c>
      <c r="G7056" s="6" t="n">
        <f aca="false">Sens!G7031*Sens!G7055</f>
        <v>19.6313799703815</v>
      </c>
      <c r="H7056" s="6" t="n">
        <f aca="false">Sens!H7031*Sens!H7055</f>
        <v>20.3536242825865</v>
      </c>
      <c r="I7056" s="6" t="n">
        <f aca="false">Sens!I7031*Sens!I7055</f>
        <v>21.1920899239745</v>
      </c>
      <c r="J7056" s="6" t="n">
        <f aca="false">Sens!J7031*Sens!J7055</f>
        <v>22.1288166207045</v>
      </c>
      <c r="K7056" s="6" t="n">
        <f aca="false">Sens!K7031*Sens!K7055</f>
        <v>23.1493653905379</v>
      </c>
      <c r="L7056" s="12" t="s">
        <v>1067</v>
      </c>
    </row>
    <row r="7057" customFormat="false" ht="15" hidden="false" customHeight="false" outlineLevel="0" collapsed="false">
      <c r="A7057" s="1" t="s">
        <v>1068</v>
      </c>
      <c r="B7057" s="0" t="s">
        <v>98</v>
      </c>
      <c r="D7057" s="6" t="n">
        <f aca="false">Sens!D7054+Sens!D7056</f>
        <v>128.528</v>
      </c>
      <c r="E7057" s="6" t="n">
        <f aca="false">Sens!E7054+Sens!E7056</f>
        <v>155.237</v>
      </c>
      <c r="F7057" s="6" t="n">
        <f aca="false">Sens!F7054+Sens!F7056</f>
        <v>181.270707203327</v>
      </c>
      <c r="G7057" s="6" t="n">
        <f aca="false">Sens!G7054+Sens!G7056</f>
        <v>194.845983376284</v>
      </c>
      <c r="H7057" s="6" t="n">
        <f aca="false">Sens!H7054+Sens!H7056</f>
        <v>213.074323728045</v>
      </c>
      <c r="I7057" s="6" t="n">
        <f aca="false">Sens!I7054+Sens!I7056</f>
        <v>230.863780526991</v>
      </c>
      <c r="J7057" s="6" t="n">
        <f aca="false">Sens!J7054+Sens!J7056</f>
        <v>247.94835296501</v>
      </c>
      <c r="K7057" s="6" t="n">
        <f aca="false">Sens!K7054+Sens!K7056</f>
        <v>264.516414402627</v>
      </c>
    </row>
    <row r="7058" customFormat="false" ht="15" hidden="false" customHeight="false" outlineLevel="0" collapsed="false">
      <c r="A7058" s="26" t="s">
        <v>1069</v>
      </c>
      <c r="B7058" s="31" t="s">
        <v>98</v>
      </c>
      <c r="C7058" s="31"/>
      <c r="D7058" s="27" t="n">
        <f aca="false">Sens!D7057-Q!L23</f>
        <v>0</v>
      </c>
      <c r="E7058" s="27" t="n">
        <f aca="false">Sens!E7057-Q!M23</f>
        <v>0</v>
      </c>
      <c r="F7058" s="31"/>
      <c r="G7058" s="31"/>
      <c r="H7058" s="31"/>
      <c r="I7058" s="31"/>
      <c r="J7058" s="31"/>
      <c r="K7058" s="31"/>
    </row>
    <row r="7059" customFormat="false" ht="15" hidden="false" customHeight="false" outlineLevel="0" collapsed="false">
      <c r="A7059" s="1" t="s">
        <v>1070</v>
      </c>
      <c r="B7059" s="0" t="s">
        <v>168</v>
      </c>
      <c r="D7059" s="7" t="n">
        <f aca="false">Sens!D7057/Sens!D7050</f>
        <v>0.456219562408598</v>
      </c>
      <c r="E7059" s="7" t="n">
        <f aca="false">Sens!E7057/Sens!E7050</f>
        <v>0.467808184089272</v>
      </c>
      <c r="F7059" s="7" t="n">
        <f aca="false">Sens!F7057/Sens!F7050</f>
        <v>0.455562822135332</v>
      </c>
      <c r="G7059" s="7" t="n">
        <f aca="false">Sens!G7057/Sens!G7050</f>
        <v>0.41248354647907</v>
      </c>
      <c r="H7059" s="7" t="n">
        <f aca="false">Sens!H7057/Sens!H7050</f>
        <v>0.38835260404087</v>
      </c>
      <c r="I7059" s="7" t="n">
        <f aca="false">Sens!I7057/Sens!I7050</f>
        <v>0.372822319837718</v>
      </c>
      <c r="J7059" s="7" t="n">
        <f aca="false">Sens!J7057/Sens!J7050</f>
        <v>0.366044239020628</v>
      </c>
      <c r="K7059" s="7" t="n">
        <f aca="false">Sens!K7057/Sens!K7050</f>
        <v>0.365460387915648</v>
      </c>
    </row>
    <row r="7060" customFormat="false" ht="17.15" hidden="false" customHeight="false" outlineLevel="0" collapsed="false">
      <c r="A7060" s="1" t="s">
        <v>1071</v>
      </c>
      <c r="B7060" s="0" t="s">
        <v>98</v>
      </c>
      <c r="F7060" s="6" t="n">
        <f aca="false">Sens!F7075</f>
        <v>10.5962787979473</v>
      </c>
      <c r="G7060" s="6" t="n">
        <f aca="false">Sens!G7075</f>
        <v>27.844646674932</v>
      </c>
      <c r="H7060" s="6" t="n">
        <f aca="false">Sens!H7075</f>
        <v>46.566205501382</v>
      </c>
      <c r="I7060" s="6" t="n">
        <f aca="false">Sens!I7075</f>
        <v>63.2717778126444</v>
      </c>
      <c r="J7060" s="6" t="n">
        <f aca="false">Sens!J7075</f>
        <v>74.9061222882009</v>
      </c>
      <c r="K7060" s="6" t="n">
        <f aca="false">Sens!K7075</f>
        <v>81.6395437180232</v>
      </c>
      <c r="L7060" s="1" t="s">
        <v>1072</v>
      </c>
    </row>
    <row r="7061" customFormat="false" ht="17.15" hidden="false" customHeight="false" outlineLevel="0" collapsed="false">
      <c r="A7061" s="1" t="s">
        <v>1073</v>
      </c>
      <c r="B7061" s="0" t="s">
        <v>98</v>
      </c>
      <c r="D7061" s="6" t="n">
        <f aca="false">Sens!D7057</f>
        <v>128.528</v>
      </c>
      <c r="E7061" s="6" t="n">
        <f aca="false">Sens!E7057</f>
        <v>155.237</v>
      </c>
      <c r="F7061" s="6" t="n">
        <f aca="false">Sens!F7057+Sens!F7060</f>
        <v>191.866986001274</v>
      </c>
      <c r="G7061" s="6" t="n">
        <f aca="false">Sens!G7057+Sens!G7060</f>
        <v>222.690630051216</v>
      </c>
      <c r="H7061" s="6" t="n">
        <f aca="false">Sens!H7057+Sens!H7060</f>
        <v>259.640529229427</v>
      </c>
      <c r="I7061" s="6" t="n">
        <f aca="false">Sens!I7057+Sens!I7060</f>
        <v>294.135558339635</v>
      </c>
      <c r="J7061" s="6" t="n">
        <f aca="false">Sens!J7057+Sens!J7060</f>
        <v>322.854475253211</v>
      </c>
      <c r="K7061" s="6" t="n">
        <f aca="false">Sens!K7057+Sens!K7060</f>
        <v>346.155958120651</v>
      </c>
    </row>
    <row r="7062" customFormat="false" ht="17.15" hidden="false" customHeight="false" outlineLevel="0" collapsed="false">
      <c r="A7062" s="1" t="s">
        <v>1074</v>
      </c>
      <c r="B7062" s="0" t="s">
        <v>98</v>
      </c>
      <c r="E7062" s="6" t="n">
        <f aca="false">Sens!E7005</f>
        <v>16.3054059770833</v>
      </c>
      <c r="F7062" s="6" t="n">
        <f aca="false">Sens!F7005</f>
        <v>34.5793144783516</v>
      </c>
      <c r="G7062" s="6" t="n">
        <f aca="false">Sens!G7005</f>
        <v>60.7344906522989</v>
      </c>
      <c r="H7062" s="6" t="n">
        <f aca="false">Sens!H7005</f>
        <v>89.1000906614457</v>
      </c>
      <c r="I7062" s="6" t="n">
        <f aca="false">Sens!I7005</f>
        <v>114.231009694548</v>
      </c>
      <c r="J7062" s="6" t="n">
        <f aca="false">Sens!J7005</f>
        <v>132.015673049596</v>
      </c>
      <c r="K7062" s="6" t="n">
        <f aca="false">Sens!K7005</f>
        <v>143.012669550934</v>
      </c>
    </row>
    <row r="7063" customFormat="false" ht="17.15" hidden="false" customHeight="false" outlineLevel="0" collapsed="false">
      <c r="A7063" s="1" t="s">
        <v>1075</v>
      </c>
      <c r="B7063" s="0" t="s">
        <v>98</v>
      </c>
      <c r="E7063" s="6" t="n">
        <f aca="false">Sens!E7087</f>
        <v>22.2285940229167</v>
      </c>
      <c r="F7063" s="6" t="n">
        <f aca="false">Sens!F7087</f>
        <v>23.580344216413</v>
      </c>
      <c r="G7063" s="6" t="n">
        <f aca="false">Sens!G7087</f>
        <v>25.3172968791777</v>
      </c>
      <c r="H7063" s="6" t="n">
        <f aca="false">Sens!H7087</f>
        <v>27.420973559925</v>
      </c>
      <c r="I7063" s="6" t="n">
        <f aca="false">Sens!I7087</f>
        <v>29.8348671249055</v>
      </c>
      <c r="J7063" s="6" t="n">
        <f aca="false">Sens!J7087</f>
        <v>32.4845879429559</v>
      </c>
      <c r="K7063" s="6" t="n">
        <f aca="false">Sens!K7087</f>
        <v>35.286372429698</v>
      </c>
    </row>
    <row r="7064" customFormat="false" ht="17.15" hidden="false" customHeight="false" outlineLevel="0" collapsed="false">
      <c r="A7064" s="1" t="s">
        <v>1076</v>
      </c>
      <c r="B7064" s="0" t="s">
        <v>98</v>
      </c>
      <c r="D7064" s="6" t="n">
        <f aca="false">Q!L27</f>
        <v>-4.901</v>
      </c>
      <c r="E7064" s="6" t="n">
        <f aca="false">Q!M27</f>
        <v>10.697</v>
      </c>
      <c r="F7064" s="6" t="n">
        <f aca="false">Q!$I$27+oie_f*(q_per_yr-1)/q_per_yr</f>
        <v>-0.862</v>
      </c>
      <c r="G7064" s="6" t="n">
        <f aca="false">oie_f</f>
        <v>-1.2</v>
      </c>
      <c r="H7064" s="6" t="n">
        <f aca="false">oie_f</f>
        <v>-1.2</v>
      </c>
      <c r="I7064" s="6" t="n">
        <f aca="false">oie_f</f>
        <v>-1.2</v>
      </c>
      <c r="J7064" s="6" t="n">
        <f aca="false">oie_f</f>
        <v>-1.2</v>
      </c>
      <c r="K7064" s="6" t="n">
        <f aca="false">oie_f</f>
        <v>-1.2</v>
      </c>
      <c r="L7064" s="12" t="s">
        <v>1077</v>
      </c>
    </row>
    <row r="7065" customFormat="false" ht="15" hidden="false" customHeight="false" outlineLevel="0" collapsed="false">
      <c r="A7065" s="1" t="s">
        <v>1078</v>
      </c>
      <c r="B7065" s="0" t="s">
        <v>98</v>
      </c>
      <c r="D7065" s="6" t="n">
        <f aca="false">Sens!D7057+Sens!D7064</f>
        <v>123.627</v>
      </c>
      <c r="E7065" s="6" t="n">
        <f aca="false">Sens!E7057+Sens!E7064</f>
        <v>165.934</v>
      </c>
      <c r="F7065" s="6" t="n">
        <f aca="false">Sens!F7057+Sens!F7064</f>
        <v>180.408707203327</v>
      </c>
      <c r="G7065" s="6" t="n">
        <f aca="false">Sens!G7057+Sens!G7064</f>
        <v>193.645983376284</v>
      </c>
      <c r="H7065" s="6" t="n">
        <f aca="false">Sens!H7057+Sens!H7064</f>
        <v>211.874323728045</v>
      </c>
      <c r="I7065" s="6" t="n">
        <f aca="false">Sens!I7057+Sens!I7064</f>
        <v>229.663780526991</v>
      </c>
      <c r="J7065" s="6" t="n">
        <f aca="false">Sens!J7057+Sens!J7064</f>
        <v>246.74835296501</v>
      </c>
      <c r="K7065" s="6" t="n">
        <f aca="false">Sens!K7057+Sens!K7064</f>
        <v>263.316414402627</v>
      </c>
    </row>
    <row r="7066" customFormat="false" ht="15" hidden="false" customHeight="false" outlineLevel="0" collapsed="false">
      <c r="A7066" s="1" t="s">
        <v>1079</v>
      </c>
      <c r="B7066" s="0" t="s">
        <v>98</v>
      </c>
      <c r="D7066" s="6" t="n">
        <f aca="false">Q!L29</f>
        <v>21.795</v>
      </c>
      <c r="E7066" s="6" t="n">
        <f aca="false">Q!M29</f>
        <v>32.185</v>
      </c>
      <c r="F7066" s="6" t="n">
        <f aca="false">Q!$I$29+(Sens!F7065-Q!$I$28)*tax_f</f>
        <v>36.2151414406654</v>
      </c>
      <c r="G7066" s="6" t="n">
        <f aca="false">Sens!G7065*tax_f</f>
        <v>38.7291966752569</v>
      </c>
      <c r="H7066" s="6" t="n">
        <f aca="false">Sens!H7065*tax_f</f>
        <v>42.374864745609</v>
      </c>
      <c r="I7066" s="6" t="n">
        <f aca="false">Sens!I7065*tax_f</f>
        <v>45.9327561053982</v>
      </c>
      <c r="J7066" s="6" t="n">
        <f aca="false">Sens!J7065*tax_f</f>
        <v>49.349670593002</v>
      </c>
      <c r="K7066" s="6" t="n">
        <f aca="false">Sens!K7065*tax_f</f>
        <v>52.6632828805255</v>
      </c>
    </row>
    <row r="7067" customFormat="false" ht="15" hidden="false" customHeight="false" outlineLevel="0" collapsed="false">
      <c r="A7067" s="1" t="s">
        <v>1080</v>
      </c>
      <c r="B7067" s="0" t="s">
        <v>98</v>
      </c>
      <c r="D7067" s="6" t="n">
        <f aca="false">Sens!D7065-Sens!D7066</f>
        <v>101.832</v>
      </c>
      <c r="E7067" s="6" t="n">
        <f aca="false">Sens!E7065-Sens!E7066</f>
        <v>133.749</v>
      </c>
      <c r="F7067" s="6" t="n">
        <f aca="false">Sens!F7065-Sens!F7066</f>
        <v>144.193565762662</v>
      </c>
      <c r="G7067" s="6" t="n">
        <f aca="false">Sens!G7065-Sens!G7066</f>
        <v>154.916786701028</v>
      </c>
      <c r="H7067" s="6" t="n">
        <f aca="false">Sens!H7065-Sens!H7066</f>
        <v>169.499458982436</v>
      </c>
      <c r="I7067" s="6" t="n">
        <f aca="false">Sens!I7065-Sens!I7066</f>
        <v>183.731024421593</v>
      </c>
      <c r="J7067" s="6" t="n">
        <f aca="false">Sens!J7065-Sens!J7066</f>
        <v>197.398682372008</v>
      </c>
      <c r="K7067" s="6" t="n">
        <f aca="false">Sens!K7065-Sens!K7066</f>
        <v>210.653131522102</v>
      </c>
    </row>
    <row r="7068" customFormat="false" ht="17.15" hidden="false" customHeight="false" outlineLevel="0" collapsed="false">
      <c r="A7068" s="1" t="s">
        <v>1081</v>
      </c>
      <c r="B7068" s="1" t="s">
        <v>81</v>
      </c>
      <c r="D7068" s="15" t="n">
        <f aca="false">Q!L31</f>
        <v>7.465</v>
      </c>
      <c r="E7068" s="15" t="n">
        <f aca="false">Q!M31</f>
        <v>7.453</v>
      </c>
      <c r="F7068" s="15" t="n">
        <f aca="false">Sens!F7112</f>
        <v>7.4735</v>
      </c>
      <c r="G7068" s="15" t="n">
        <f aca="false">Sens!G7112</f>
        <v>7.5185</v>
      </c>
      <c r="H7068" s="15" t="n">
        <f aca="false">Sens!H7112</f>
        <v>7.5461999390288</v>
      </c>
      <c r="I7068" s="15" t="n">
        <f aca="false">Sens!I7112</f>
        <v>7.55788130308427</v>
      </c>
      <c r="J7068" s="15" t="n">
        <f aca="false">Sens!J7112</f>
        <v>7.57203071424674</v>
      </c>
      <c r="K7068" s="15" t="n">
        <f aca="false">Sens!K7112</f>
        <v>7.58846535421199</v>
      </c>
    </row>
    <row r="7069" customFormat="false" ht="17.15" hidden="false" customHeight="false" outlineLevel="0" collapsed="false">
      <c r="A7069" s="0" t="s">
        <v>1082</v>
      </c>
      <c r="B7069" s="0" t="s">
        <v>75</v>
      </c>
      <c r="D7069" s="8" t="n">
        <f aca="false">Sens!D7067/Sens!D7068</f>
        <v>13.641259209645</v>
      </c>
      <c r="E7069" s="8" t="n">
        <f aca="false">Sens!E7067/Sens!E7068</f>
        <v>17.9456594659869</v>
      </c>
      <c r="F7069" s="8" t="n">
        <f aca="false">Sens!F7067/Sens!F7068</f>
        <v>19.2939808339682</v>
      </c>
      <c r="G7069" s="8" t="n">
        <f aca="false">Sens!G7067/Sens!G7068</f>
        <v>20.6047465187242</v>
      </c>
      <c r="H7069" s="8" t="n">
        <f aca="false">Sens!H7067/Sens!H7068</f>
        <v>22.4615648077105</v>
      </c>
      <c r="I7069" s="8" t="n">
        <f aca="false">Sens!I7067/Sens!I7068</f>
        <v>24.3098584184717</v>
      </c>
      <c r="J7069" s="8" t="n">
        <f aca="false">Sens!J7067/Sens!J7068</f>
        <v>26.0694508278477</v>
      </c>
      <c r="K7069" s="8" t="n">
        <f aca="false">Sens!K7067/Sens!K7068</f>
        <v>27.7596485836466</v>
      </c>
      <c r="L7069" s="1" t="s">
        <v>1083</v>
      </c>
    </row>
    <row r="7070" customFormat="false" ht="17.15" hidden="false" customHeight="false" outlineLevel="0" collapsed="false">
      <c r="A7070" s="1" t="s">
        <v>1084</v>
      </c>
      <c r="B7070" s="0" t="s">
        <v>98</v>
      </c>
      <c r="D7070" s="6" t="n">
        <f aca="false">Sens!D7067</f>
        <v>101.832</v>
      </c>
      <c r="E7070" s="6" t="n">
        <f aca="false">Sens!E7067</f>
        <v>133.749</v>
      </c>
      <c r="F7070" s="6" t="n">
        <f aca="false">Sens!F7067+Sens!F7060*(1-tax_f)</f>
        <v>152.670588801019</v>
      </c>
      <c r="G7070" s="6" t="n">
        <f aca="false">Sens!G7067+Sens!G7060*(1-tax_f)</f>
        <v>177.192504040973</v>
      </c>
      <c r="H7070" s="6" t="n">
        <f aca="false">Sens!H7067+Sens!H7060*(1-tax_f)</f>
        <v>206.752423383542</v>
      </c>
      <c r="I7070" s="6" t="n">
        <f aca="false">Sens!I7067+Sens!I7060*(1-tax_f)</f>
        <v>234.348446671708</v>
      </c>
      <c r="J7070" s="6" t="n">
        <f aca="false">Sens!J7067+Sens!J7060*(1-tax_f)</f>
        <v>257.323580202569</v>
      </c>
      <c r="K7070" s="6" t="n">
        <f aca="false">Sens!K7067+Sens!K7060*(1-tax_f)</f>
        <v>275.964766496521</v>
      </c>
    </row>
    <row r="7071" customFormat="false" ht="17.15" hidden="false" customHeight="false" outlineLevel="0" collapsed="false">
      <c r="A7071" s="0" t="s">
        <v>1085</v>
      </c>
      <c r="B7071" s="0" t="s">
        <v>75</v>
      </c>
      <c r="D7071" s="8" t="n">
        <f aca="false">Sens!D7070/Sens!D7068</f>
        <v>13.641259209645</v>
      </c>
      <c r="E7071" s="8" t="n">
        <f aca="false">Sens!E7070/Sens!E7068</f>
        <v>17.9456594659869</v>
      </c>
      <c r="F7071" s="8" t="n">
        <f aca="false">Sens!F7070/Sens!F7068</f>
        <v>20.4282583529831</v>
      </c>
      <c r="G7071" s="8" t="n">
        <f aca="false">Sens!G7070/Sens!G7068</f>
        <v>23.5675339550407</v>
      </c>
      <c r="H7071" s="8" t="n">
        <f aca="false">Sens!H7070/Sens!H7068</f>
        <v>27.3982169905441</v>
      </c>
      <c r="I7071" s="8" t="n">
        <f aca="false">Sens!I7070/Sens!I7068</f>
        <v>31.0071615673659</v>
      </c>
      <c r="J7071" s="8" t="n">
        <f aca="false">Sens!J7070/Sens!J7068</f>
        <v>33.9834305899493</v>
      </c>
      <c r="K7071" s="8" t="n">
        <f aca="false">Sens!K7070/Sens!K7068</f>
        <v>36.3663472935731</v>
      </c>
      <c r="L7071" s="1" t="s">
        <v>1086</v>
      </c>
    </row>
    <row r="7072" customFormat="false" ht="17.15" hidden="false" customHeight="false" outlineLevel="0" collapsed="false">
      <c r="A7072" s="0" t="s">
        <v>1087</v>
      </c>
      <c r="B7072" s="0" t="s">
        <v>168</v>
      </c>
      <c r="E7072" s="7" t="n">
        <f aca="false">Sens!E7071/Sens!D7071-1</f>
        <v>0.315542736208578</v>
      </c>
      <c r="F7072" s="7" t="n">
        <f aca="false">Sens!F7071/Sens!E7071-1</f>
        <v>0.138339796968824</v>
      </c>
      <c r="G7072" s="7" t="n">
        <f aca="false">Sens!G7071/Sens!F7071-1</f>
        <v>0.153673188766927</v>
      </c>
      <c r="H7072" s="7" t="n">
        <f aca="false">Sens!H7071/Sens!G7071-1</f>
        <v>0.162540681719656</v>
      </c>
      <c r="I7072" s="7" t="n">
        <f aca="false">Sens!I7071/Sens!H7071-1</f>
        <v>0.131721877305643</v>
      </c>
      <c r="J7072" s="7" t="n">
        <f aca="false">Sens!J7071/Sens!I7071-1</f>
        <v>0.095986503508783</v>
      </c>
      <c r="K7072" s="7" t="n">
        <f aca="false">Sens!K7071/Sens!J7071-1</f>
        <v>0.0701199573514664</v>
      </c>
    </row>
    <row r="7073" customFormat="false" ht="17.15" hidden="false" customHeight="false" outlineLevel="0" collapsed="false">
      <c r="A7073" s="0" t="s">
        <v>1007</v>
      </c>
      <c r="B7073" s="0" t="s">
        <v>98</v>
      </c>
      <c r="E7073" s="6" t="n">
        <f aca="false">Sens!E7014</f>
        <v>5.25</v>
      </c>
      <c r="F7073" s="6" t="n">
        <f aca="false">Sens!F7014</f>
        <v>10.5</v>
      </c>
      <c r="G7073" s="6" t="n">
        <f aca="false">Sens!G7014</f>
        <v>13.5</v>
      </c>
      <c r="H7073" s="6" t="n">
        <f aca="false">Sens!H7014</f>
        <v>16.5</v>
      </c>
      <c r="I7073" s="6" t="n">
        <f aca="false">Sens!I7014</f>
        <v>18.75</v>
      </c>
      <c r="J7073" s="6" t="n">
        <f aca="false">Sens!J7014</f>
        <v>20.25</v>
      </c>
      <c r="K7073" s="6" t="n">
        <f aca="false">Sens!K7014</f>
        <v>21.75</v>
      </c>
    </row>
    <row r="7074" customFormat="false" ht="17.15" hidden="false" customHeight="false" outlineLevel="0" collapsed="false">
      <c r="A7074" s="1" t="s">
        <v>1008</v>
      </c>
      <c r="B7074" s="0" t="s">
        <v>98</v>
      </c>
      <c r="F7074" s="6" t="n">
        <f aca="false">MAX(0,((Sens!E6974+Sens!F6974)/2-(shadow_base*(Sens!$D$6974+Sens!$E$6974)/2+(1-shadow_base)*Sens!$E$6974))*Sens!F6983/1000-(Sens!F7073-Sens!$E$7073)*Sens!F7053)</f>
        <v>10.5962787979473</v>
      </c>
      <c r="G7074" s="6" t="n">
        <f aca="false">MAX(0,((Sens!F6974+Sens!G6974)/2-(shadow_base*(Sens!$D$6974+Sens!$E$6974)/2+(1-shadow_base)*Sens!$E$6974))*Sens!G6983/1000-(Sens!G7073-Sens!$E$7073)*Sens!G7053)</f>
        <v>27.844646674932</v>
      </c>
      <c r="H7074" s="6" t="n">
        <f aca="false">MAX(0,((Sens!G6974+Sens!H6974)/2-(shadow_base*(Sens!$D$6974+Sens!$E$6974)/2+(1-shadow_base)*Sens!$E$6974))*Sens!H6983/1000-(Sens!H7073-Sens!$E$7073)*Sens!H7053)</f>
        <v>46.566205501382</v>
      </c>
      <c r="I7074" s="6" t="n">
        <f aca="false">MAX(0,((Sens!H6974+Sens!I6974)/2-(shadow_base*(Sens!$D$6974+Sens!$E$6974)/2+(1-shadow_base)*Sens!$E$6974))*Sens!I6983/1000-(Sens!I7073-Sens!$E$7073)*Sens!I7053)</f>
        <v>63.2717778126444</v>
      </c>
      <c r="J7074" s="6" t="n">
        <f aca="false">MAX(0,((Sens!I6974+Sens!J6974)/2-(shadow_base*(Sens!$D$6974+Sens!$E$6974)/2+(1-shadow_base)*Sens!$E$6974))*Sens!J6983/1000-(Sens!J7073-Sens!$E$7073)*Sens!J7053)</f>
        <v>74.9061222882009</v>
      </c>
      <c r="K7074" s="6" t="n">
        <f aca="false">MAX(0,((Sens!J6974+Sens!K6974)/2-(shadow_base*(Sens!$D$6974+Sens!$E$6974)/2+(1-shadow_base)*Sens!$E$6974))*Sens!K6983/1000-(Sens!K7073-Sens!$E$7073)*Sens!K7053)</f>
        <v>81.6395437180232</v>
      </c>
      <c r="L7074" s="1" t="s">
        <v>1009</v>
      </c>
    </row>
    <row r="7075" customFormat="false" ht="17.15" hidden="false" customHeight="false" outlineLevel="0" collapsed="false">
      <c r="A7075" s="1" t="s">
        <v>1010</v>
      </c>
      <c r="B7075" s="0" t="s">
        <v>98</v>
      </c>
      <c r="F7075" s="6" t="n">
        <f aca="false">IF(internal_ai_reading=2,1,0)*Sens!F7074</f>
        <v>10.5962787979473</v>
      </c>
      <c r="G7075" s="6" t="n">
        <f aca="false">IF(internal_ai_reading=2,1,0)*Sens!G7074</f>
        <v>27.844646674932</v>
      </c>
      <c r="H7075" s="6" t="n">
        <f aca="false">IF(internal_ai_reading=2,1,0)*Sens!H7074</f>
        <v>46.566205501382</v>
      </c>
      <c r="I7075" s="6" t="n">
        <f aca="false">IF(internal_ai_reading=2,1,0)*Sens!I7074</f>
        <v>63.2717778126444</v>
      </c>
      <c r="J7075" s="6" t="n">
        <f aca="false">IF(internal_ai_reading=2,1,0)*Sens!J7074</f>
        <v>74.9061222882009</v>
      </c>
      <c r="K7075" s="6" t="n">
        <f aca="false">IF(internal_ai_reading=2,1,0)*Sens!K7074</f>
        <v>81.6395437180232</v>
      </c>
    </row>
    <row r="7076" customFormat="false" ht="17.15" hidden="false" customHeight="false" outlineLevel="0" collapsed="false">
      <c r="A7076" s="0" t="s">
        <v>1011</v>
      </c>
      <c r="B7076" s="0" t="s">
        <v>98</v>
      </c>
      <c r="F7076" s="6" t="n">
        <f aca="false">Sens!F6993+Sens!F7073*Sens!F7053+Sens!F7075-Sens!F6994-Sens!F7005</f>
        <v>14.8152827562272</v>
      </c>
      <c r="G7076" s="6" t="n">
        <f aca="false">Sens!G6993+Sens!G7073*Sens!G7053+Sens!G7075-Sens!G6994-Sens!G7005</f>
        <v>31.0349977765951</v>
      </c>
      <c r="H7076" s="6" t="n">
        <f aca="false">Sens!H6993+Sens!H7073*Sens!H7053+Sens!H7075-Sens!H6994-Sens!H7005</f>
        <v>47.8811519709826</v>
      </c>
      <c r="I7076" s="6" t="n">
        <f aca="false">Sens!I6993+Sens!I7073*Sens!I7053+Sens!I7075-Sens!I6994-Sens!I7005</f>
        <v>62.6472166574028</v>
      </c>
      <c r="J7076" s="6" t="n">
        <f aca="false">Sens!J6993+Sens!J7073*Sens!J7053+Sens!J7075-Sens!J6994-Sens!J7005</f>
        <v>72.7882253357034</v>
      </c>
      <c r="K7076" s="6" t="n">
        <f aca="false">Sens!K6993+Sens!K7073*Sens!K7053+Sens!K7075-Sens!K6994-Sens!K7005</f>
        <v>79.4617812140187</v>
      </c>
    </row>
    <row r="7077" customFormat="false" ht="17.15" hidden="false" customHeight="false" outlineLevel="0" collapsed="false">
      <c r="A7077" s="0" t="s">
        <v>1012</v>
      </c>
      <c r="B7077" s="0" t="s">
        <v>98</v>
      </c>
      <c r="E7077" s="6" t="n">
        <f aca="false">Sens!E6973*(cxit_open+self_build*tk_cxfac)/1000*ai_net_open</f>
        <v>126.6980382</v>
      </c>
      <c r="F7077" s="6" t="n">
        <f aca="false">Sens!E7077+Sens!F7002-Sens!F7005</f>
        <v>260.572627763768</v>
      </c>
      <c r="G7077" s="6" t="n">
        <f aca="false">Sens!F7077+Sens!G7002-Sens!G7005</f>
        <v>391.782612760517</v>
      </c>
      <c r="H7077" s="6" t="n">
        <f aca="false">Sens!G7077+Sens!H7002-Sens!H7005</f>
        <v>499.488526163584</v>
      </c>
      <c r="I7077" s="6" t="n">
        <f aca="false">Sens!H7077+Sens!I7002-Sens!I7005</f>
        <v>553.872350090646</v>
      </c>
      <c r="J7077" s="6" t="n">
        <f aca="false">Sens!I7077+Sens!J7002-Sens!J7005</f>
        <v>550.78660823699</v>
      </c>
      <c r="K7077" s="6" t="n">
        <f aca="false">Sens!J7077+Sens!K7002-Sens!K7005</f>
        <v>526.736791750789</v>
      </c>
      <c r="L7077" s="1" t="s">
        <v>1013</v>
      </c>
    </row>
    <row r="7078" customFormat="false" ht="17.15" hidden="false" customHeight="false" outlineLevel="0" collapsed="false">
      <c r="A7078" s="0" t="s">
        <v>1014</v>
      </c>
      <c r="B7078" s="0" t="s">
        <v>168</v>
      </c>
      <c r="F7078" s="7" t="n">
        <f aca="false">Sens!F7076*(1-tax_f)/((Sens!E7077+Sens!F7077)/2)</f>
        <v>0.0612090057246454</v>
      </c>
      <c r="G7078" s="7" t="n">
        <f aca="false">Sens!G7076*(1-tax_f)/((Sens!F7077+Sens!G7077)/2)</f>
        <v>0.0761180310326695</v>
      </c>
      <c r="H7078" s="7" t="n">
        <f aca="false">Sens!H7076*(1-tax_f)/((Sens!G7077+Sens!H7077)/2)</f>
        <v>0.0859557095566361</v>
      </c>
      <c r="I7078" s="7" t="n">
        <f aca="false">Sens!I7076*(1-tax_f)/((Sens!H7077+Sens!I7077)/2)</f>
        <v>0.0951578408800258</v>
      </c>
      <c r="J7078" s="7" t="n">
        <f aca="false">Sens!J7076*(1-tax_f)/((Sens!I7077+Sens!J7077)/2)</f>
        <v>0.105427253958487</v>
      </c>
      <c r="K7078" s="7" t="n">
        <f aca="false">Sens!K7076*(1-tax_f)/((Sens!J7077+Sens!K7077)/2)</f>
        <v>0.117991729872291</v>
      </c>
    </row>
    <row r="7079" customFormat="false" ht="17.15" hidden="false" customHeight="false" outlineLevel="0" collapsed="false">
      <c r="A7079" s="1" t="s">
        <v>1015</v>
      </c>
      <c r="B7079" s="0" t="s">
        <v>168</v>
      </c>
      <c r="F7079" s="7" t="n">
        <f aca="false">(Sens!F7076-Sens!F7075)*(1-tax_f)/((Sens!E7077+Sens!F7077)/2)</f>
        <v>0.017430719459344</v>
      </c>
      <c r="G7079" s="7" t="n">
        <f aca="false">(Sens!G7076-Sens!G7075)*(1-tax_f)/((Sens!F7077+Sens!G7077)/2)</f>
        <v>0.00782481912547897</v>
      </c>
      <c r="H7079" s="7" t="n">
        <f aca="false">(Sens!H7076-Sens!H7075)*(1-tax_f)/((Sens!G7077+Sens!H7077)/2)</f>
        <v>0.0023605772244581</v>
      </c>
      <c r="I7079" s="7" t="n">
        <f aca="false">(Sens!I7076-Sens!I7075)*(1-tax_f)/((Sens!H7077+Sens!I7077)/2)</f>
        <v>-0.000948675682677871</v>
      </c>
      <c r="J7079" s="7" t="n">
        <f aca="false">(Sens!J7076-Sens!J7075)*(1-tax_f)/((Sens!I7077+Sens!J7077)/2)</f>
        <v>-0.00306758488531716</v>
      </c>
      <c r="K7079" s="7" t="n">
        <f aca="false">(Sens!K7076-Sens!K7075)*(1-tax_f)/((Sens!J7077+Sens!K7077)/2)</f>
        <v>-0.00323373024330292</v>
      </c>
    </row>
    <row r="7080" customFormat="false" ht="17.15" hidden="false" customHeight="false" outlineLevel="0" collapsed="false">
      <c r="A7080" s="1" t="s">
        <v>1016</v>
      </c>
      <c r="B7080" s="0" t="s">
        <v>168</v>
      </c>
      <c r="F7080" s="7" t="n">
        <f aca="false">(Sens!F7076-Sens!F7075+Sens!F7074)*(1-tax_f)/((Sens!E7077+Sens!F7077)/2)</f>
        <v>0.0612090057246454</v>
      </c>
      <c r="G7080" s="7" t="n">
        <f aca="false">(Sens!G7076-Sens!G7075+Sens!G7074)*(1-tax_f)/((Sens!F7077+Sens!G7077)/2)</f>
        <v>0.0761180310326695</v>
      </c>
      <c r="H7080" s="7" t="n">
        <f aca="false">(Sens!H7076-Sens!H7075+Sens!H7074)*(1-tax_f)/((Sens!G7077+Sens!H7077)/2)</f>
        <v>0.0859557095566361</v>
      </c>
      <c r="I7080" s="7" t="n">
        <f aca="false">(Sens!I7076-Sens!I7075+Sens!I7074)*(1-tax_f)/((Sens!H7077+Sens!I7077)/2)</f>
        <v>0.0951578408800258</v>
      </c>
      <c r="J7080" s="7" t="n">
        <f aca="false">(Sens!J7076-Sens!J7075+Sens!J7074)*(1-tax_f)/((Sens!I7077+Sens!J7077)/2)</f>
        <v>0.105427253958487</v>
      </c>
      <c r="K7080" s="7" t="n">
        <f aca="false">(Sens!K7076-Sens!K7075+Sens!K7074)*(1-tax_f)/((Sens!J7077+Sens!K7077)/2)</f>
        <v>0.117991729872291</v>
      </c>
    </row>
    <row r="7081" customFormat="false" ht="17.15" hidden="false" customHeight="false" outlineLevel="0" collapsed="false">
      <c r="A7081" s="1" t="s">
        <v>1017</v>
      </c>
      <c r="B7081" s="0" t="s">
        <v>168</v>
      </c>
      <c r="F7081" s="7" t="n">
        <f aca="false">Sens!F7006*(1-tax_f)/(Sens!F6992*(Sens!E7077+Sens!F7077)/2)</f>
        <v>0.129294830495493</v>
      </c>
      <c r="G7081" s="7" t="n">
        <f aca="false">Sens!G7006*(1-tax_f)/(Sens!G6992*(Sens!F7077+Sens!G7077)/2)</f>
        <v>0.12719599062164</v>
      </c>
      <c r="H7081" s="7" t="n">
        <f aca="false">Sens!H7006*(1-tax_f)/(Sens!H6992*(Sens!G7077+Sens!H7077)/2)</f>
        <v>0.130828167067624</v>
      </c>
      <c r="I7081" s="7" t="n">
        <f aca="false">Sens!I7006*(1-tax_f)/(Sens!I6992*(Sens!H7077+Sens!I7077)/2)</f>
        <v>0.138614526937417</v>
      </c>
      <c r="J7081" s="7" t="n">
        <f aca="false">Sens!J7006*(1-tax_f)/(Sens!J6992*(Sens!I7077+Sens!J7077)/2)</f>
        <v>0.150578919010924</v>
      </c>
      <c r="K7081" s="7" t="n">
        <f aca="false">Sens!K7006*(1-tax_f)/(Sens!K6992*(Sens!J7077+Sens!K7077)/2)</f>
        <v>0.167005345886664</v>
      </c>
    </row>
    <row r="7082" customFormat="false" ht="17.15" hidden="false" customHeight="false" outlineLevel="0" collapsed="false">
      <c r="A7082" s="0" t="s">
        <v>1018</v>
      </c>
      <c r="B7082" s="0" t="s">
        <v>253</v>
      </c>
      <c r="F7082" s="7" t="n">
        <f aca="false">Sens!F7078-wacc</f>
        <v>-0.0417275852209519</v>
      </c>
      <c r="G7082" s="7" t="n">
        <f aca="false">Sens!G7078-wacc</f>
        <v>-0.0268185599129278</v>
      </c>
      <c r="H7082" s="7" t="n">
        <f aca="false">Sens!H7078-wacc</f>
        <v>-0.0169808813889612</v>
      </c>
      <c r="I7082" s="7" t="n">
        <f aca="false">Sens!I7078-wacc</f>
        <v>-0.00777875006557154</v>
      </c>
      <c r="J7082" s="7" t="n">
        <f aca="false">Sens!J7078-wacc</f>
        <v>0.0024906630128898</v>
      </c>
      <c r="K7082" s="7" t="n">
        <f aca="false">Sens!K7078-wacc</f>
        <v>0.0150551389266932</v>
      </c>
    </row>
    <row r="7083" customFormat="false" ht="17.15" hidden="false" customHeight="false" outlineLevel="0" collapsed="false">
      <c r="A7083" s="0" t="s">
        <v>1019</v>
      </c>
      <c r="B7083" s="0" t="s">
        <v>98</v>
      </c>
      <c r="F7083" s="6" t="n">
        <f aca="false">Sens!F7076*(1-tax_f)-wacc*(Sens!E7077+Sens!F7077)/2</f>
        <v>-8.07993485878896</v>
      </c>
      <c r="G7083" s="6" t="n">
        <f aca="false">Sens!G7076*(1-tax_f)-wacc*(Sens!F7077+Sens!G7077)/2</f>
        <v>-8.74761405125648</v>
      </c>
      <c r="H7083" s="6" t="n">
        <f aca="false">Sens!H7076*(1-tax_f)-wacc*(Sens!G7077+Sens!H7077)/2</f>
        <v>-7.56728474773728</v>
      </c>
      <c r="I7083" s="6" t="n">
        <f aca="false">Sens!I7076*(1-tax_f)-wacc*(Sens!H7077+Sens!I7077)/2</f>
        <v>-4.09691549261654</v>
      </c>
      <c r="J7083" s="6" t="n">
        <f aca="false">Sens!J7076*(1-tax_f)-wacc*(Sens!I7077+Sens!J7077)/2</f>
        <v>1.37566660468201</v>
      </c>
      <c r="K7083" s="6" t="n">
        <f aca="false">Sens!K7076*(1-tax_f)-wacc*(Sens!J7077+Sens!K7077)/2</f>
        <v>8.11113224178941</v>
      </c>
    </row>
    <row r="7084" customFormat="false" ht="17.15" hidden="false" customHeight="false" outlineLevel="0" collapsed="false">
      <c r="A7084" s="3" t="s">
        <v>1788</v>
      </c>
    </row>
    <row r="7085" customFormat="false" ht="15" hidden="false" customHeight="false" outlineLevel="0" collapsed="false">
      <c r="A7085" s="4" t="s">
        <v>43</v>
      </c>
      <c r="B7085" s="4" t="s">
        <v>65</v>
      </c>
      <c r="C7085" s="23" t="s">
        <v>942</v>
      </c>
      <c r="D7085" s="23" t="s">
        <v>943</v>
      </c>
      <c r="E7085" s="23" t="s">
        <v>944</v>
      </c>
      <c r="F7085" s="23" t="s">
        <v>945</v>
      </c>
      <c r="G7085" s="23" t="s">
        <v>946</v>
      </c>
      <c r="H7085" s="23" t="s">
        <v>947</v>
      </c>
      <c r="I7085" s="23" t="s">
        <v>948</v>
      </c>
      <c r="J7085" s="23" t="s">
        <v>949</v>
      </c>
      <c r="K7085" s="23" t="s">
        <v>950</v>
      </c>
      <c r="L7085" s="4" t="s">
        <v>47</v>
      </c>
    </row>
    <row r="7086" customFormat="false" ht="15" hidden="false" customHeight="false" outlineLevel="0" collapsed="false">
      <c r="A7086" s="1" t="s">
        <v>1080</v>
      </c>
      <c r="B7086" s="0" t="s">
        <v>98</v>
      </c>
      <c r="F7086" s="6" t="n">
        <f aca="false">Sens!F7067</f>
        <v>144.193565762662</v>
      </c>
      <c r="G7086" s="6" t="n">
        <f aca="false">Sens!G7067</f>
        <v>154.916786701028</v>
      </c>
      <c r="H7086" s="6" t="n">
        <f aca="false">Sens!H7067</f>
        <v>169.499458982436</v>
      </c>
      <c r="I7086" s="6" t="n">
        <f aca="false">Sens!I7067</f>
        <v>183.731024421593</v>
      </c>
      <c r="J7086" s="6" t="n">
        <f aca="false">Sens!J7067</f>
        <v>197.398682372008</v>
      </c>
      <c r="K7086" s="6" t="n">
        <f aca="false">Sens!K7067</f>
        <v>210.653131522102</v>
      </c>
    </row>
    <row r="7087" customFormat="false" ht="17.15" hidden="false" customHeight="false" outlineLevel="0" collapsed="false">
      <c r="A7087" s="1" t="s">
        <v>1102</v>
      </c>
      <c r="B7087" s="0" t="s">
        <v>98</v>
      </c>
      <c r="E7087" s="6" t="n">
        <f aca="false">Q!M38-Sens!E7005</f>
        <v>22.2285940229167</v>
      </c>
      <c r="F7087" s="6" t="n">
        <f aca="false">Sens!E7087*(1-1/life_nonai)+(Sens!F7095+Sens!F7096)/life_nonai</f>
        <v>23.580344216413</v>
      </c>
      <c r="G7087" s="6" t="n">
        <f aca="false">Sens!F7087*(1-1/life_nonai)+(Sens!G7095)/life_nonai</f>
        <v>25.3172968791777</v>
      </c>
      <c r="H7087" s="6" t="n">
        <f aca="false">Sens!G7087*(1-1/life_nonai)+(Sens!H7095)/life_nonai</f>
        <v>27.420973559925</v>
      </c>
      <c r="I7087" s="6" t="n">
        <f aca="false">Sens!H7087*(1-1/life_nonai)+(Sens!I7095)/life_nonai</f>
        <v>29.8348671249055</v>
      </c>
      <c r="J7087" s="6" t="n">
        <f aca="false">Sens!I7087*(1-1/life_nonai)+(Sens!J7095)/life_nonai</f>
        <v>32.4845879429559</v>
      </c>
      <c r="K7087" s="6" t="n">
        <f aca="false">Sens!J7087*(1-1/life_nonai)+(Sens!K7095)/life_nonai</f>
        <v>35.286372429698</v>
      </c>
      <c r="L7087" s="12" t="s">
        <v>1103</v>
      </c>
    </row>
    <row r="7088" customFormat="false" ht="17.15" hidden="false" customHeight="false" outlineLevel="0" collapsed="false">
      <c r="A7088" s="1" t="s">
        <v>1104</v>
      </c>
      <c r="B7088" s="0" t="s">
        <v>98</v>
      </c>
      <c r="F7088" s="6" t="n">
        <f aca="false">Sens!$F$7096/life_nonai*(1-1/life_nonai)^(Sens!F6968-2027)</f>
        <v>0.0114584409454793</v>
      </c>
      <c r="G7088" s="6" t="n">
        <f aca="false">Sens!$F$7096/life_nonai*(1-1/life_nonai)^(Sens!G6968-2027)</f>
        <v>0.0103125968509313</v>
      </c>
      <c r="H7088" s="6" t="n">
        <f aca="false">Sens!$F$7096/life_nonai*(1-1/life_nonai)^(Sens!H6968-2027)</f>
        <v>0.0092813371658382</v>
      </c>
      <c r="I7088" s="6" t="n">
        <f aca="false">Sens!$F$7096/life_nonai*(1-1/life_nonai)^(Sens!I6968-2027)</f>
        <v>0.00835320344925438</v>
      </c>
      <c r="J7088" s="6" t="n">
        <f aca="false">Sens!$F$7096/life_nonai*(1-1/life_nonai)^(Sens!J6968-2027)</f>
        <v>0.00751788310432894</v>
      </c>
      <c r="K7088" s="6" t="n">
        <f aca="false">Sens!$F$7096/life_nonai*(1-1/life_nonai)^(Sens!K6968-2027)</f>
        <v>0.00676609479389605</v>
      </c>
      <c r="L7088" s="1" t="s">
        <v>1105</v>
      </c>
    </row>
    <row r="7089" customFormat="false" ht="17.15" hidden="false" customHeight="false" outlineLevel="0" collapsed="false">
      <c r="A7089" s="1" t="s">
        <v>1106</v>
      </c>
      <c r="B7089" s="0" t="s">
        <v>98</v>
      </c>
      <c r="E7089" s="6" t="n">
        <f aca="false">Sens!E7005+Sens!E7087</f>
        <v>38.534</v>
      </c>
      <c r="F7089" s="6" t="n">
        <f aca="false">Sens!F7005+Sens!F7087</f>
        <v>58.1596586947647</v>
      </c>
      <c r="G7089" s="6" t="n">
        <f aca="false">Sens!G7005+Sens!G7087</f>
        <v>86.0517875314766</v>
      </c>
      <c r="H7089" s="6" t="n">
        <f aca="false">Sens!H7005+Sens!H7087</f>
        <v>116.521064221371</v>
      </c>
      <c r="I7089" s="6" t="n">
        <f aca="false">Sens!I7005+Sens!I7087</f>
        <v>144.065876819454</v>
      </c>
      <c r="J7089" s="6" t="n">
        <f aca="false">Sens!J7005+Sens!J7087</f>
        <v>164.500260992552</v>
      </c>
      <c r="K7089" s="6" t="n">
        <f aca="false">Sens!K7005+Sens!K7087</f>
        <v>178.299041980632</v>
      </c>
    </row>
    <row r="7090" customFormat="false" ht="17.15" hidden="false" customHeight="false" outlineLevel="0" collapsed="false">
      <c r="A7090" s="1" t="s">
        <v>1107</v>
      </c>
      <c r="B7090" s="0" t="s">
        <v>98</v>
      </c>
      <c r="F7090" s="6" t="n">
        <f aca="false">Sens!F7032*sbc_r</f>
        <v>14.8747164963357</v>
      </c>
      <c r="G7090" s="6" t="n">
        <f aca="false">Sens!G7032*sbc_r</f>
        <v>17.6585146693282</v>
      </c>
      <c r="H7090" s="6" t="n">
        <f aca="false">Sens!H7032*sbc_r</f>
        <v>20.5104051749628</v>
      </c>
      <c r="I7090" s="6" t="n">
        <f aca="false">Sens!I7032*sbc_r</f>
        <v>23.1485206262434</v>
      </c>
      <c r="J7090" s="6" t="n">
        <f aca="false">Sens!J7032*sbc_r</f>
        <v>25.3219411025496</v>
      </c>
      <c r="K7090" s="6" t="n">
        <f aca="false">Sens!K7032*sbc_r</f>
        <v>27.0571256752713</v>
      </c>
    </row>
    <row r="7091" customFormat="false" ht="17.15" hidden="false" customHeight="false" outlineLevel="0" collapsed="false">
      <c r="A7091" s="1" t="s">
        <v>1108</v>
      </c>
      <c r="B7091" s="0" t="s">
        <v>98</v>
      </c>
      <c r="F7091" s="6" t="n">
        <f aca="false">wc27-wc26q1</f>
        <v>-4.677</v>
      </c>
      <c r="G7091" s="6" t="n">
        <f aca="false">wc_f</f>
        <v>0</v>
      </c>
      <c r="H7091" s="6" t="n">
        <f aca="false">wc_f</f>
        <v>0</v>
      </c>
      <c r="I7091" s="6" t="n">
        <f aca="false">wc_f</f>
        <v>0</v>
      </c>
      <c r="J7091" s="6" t="n">
        <f aca="false">wc_f</f>
        <v>0</v>
      </c>
      <c r="K7091" s="6" t="n">
        <f aca="false">wc_f</f>
        <v>0</v>
      </c>
      <c r="L7091" s="12" t="s">
        <v>1109</v>
      </c>
    </row>
    <row r="7092" customFormat="false" ht="17.15" hidden="false" customHeight="false" outlineLevel="0" collapsed="false">
      <c r="A7092" s="0" t="s">
        <v>1110</v>
      </c>
      <c r="B7092" s="0" t="s">
        <v>98</v>
      </c>
      <c r="F7092" s="6" t="n">
        <f aca="false">Q!$I$35-Q!$I$26-Q!$I$38-Q!$I$39</f>
        <v>6.493</v>
      </c>
      <c r="L7092" s="1" t="s">
        <v>1111</v>
      </c>
    </row>
    <row r="7093" customFormat="false" ht="15" hidden="false" customHeight="false" outlineLevel="0" collapsed="false">
      <c r="A7093" s="1" t="s">
        <v>908</v>
      </c>
      <c r="B7093" s="0" t="s">
        <v>98</v>
      </c>
      <c r="E7093" s="6" t="n">
        <f aca="false">Q!M35</f>
        <v>182.935</v>
      </c>
      <c r="F7093" s="6" t="n">
        <f aca="false">Sens!F7086+Sens!F7089+Sens!F7090+Sens!F7091+Sens!F7092</f>
        <v>219.043940953762</v>
      </c>
      <c r="G7093" s="6" t="n">
        <f aca="false">Sens!G7086+Sens!G7089+Sens!G7090+Sens!G7091</f>
        <v>258.627088901832</v>
      </c>
      <c r="H7093" s="6" t="n">
        <f aca="false">Sens!H7086+Sens!H7089+Sens!H7090+Sens!H7091</f>
        <v>306.53092837877</v>
      </c>
      <c r="I7093" s="6" t="n">
        <f aca="false">Sens!I7086+Sens!I7089+Sens!I7090+Sens!I7091</f>
        <v>350.94542186729</v>
      </c>
      <c r="J7093" s="6" t="n">
        <f aca="false">Sens!J7086+Sens!J7089+Sens!J7090+Sens!J7091</f>
        <v>387.220884467109</v>
      </c>
      <c r="K7093" s="6" t="n">
        <f aca="false">Sens!K7086+Sens!K7089+Sens!K7090+Sens!K7091</f>
        <v>416.009299178005</v>
      </c>
    </row>
    <row r="7094" customFormat="false" ht="17.15" hidden="false" customHeight="false" outlineLevel="0" collapsed="false">
      <c r="A7094" s="0" t="s">
        <v>1112</v>
      </c>
      <c r="B7094" s="0" t="s">
        <v>98</v>
      </c>
      <c r="F7094" s="6" t="n">
        <f aca="false">Sens!F7002</f>
        <v>168.45390404212</v>
      </c>
      <c r="G7094" s="6" t="n">
        <f aca="false">Sens!G7002</f>
        <v>191.944475649048</v>
      </c>
      <c r="H7094" s="6" t="n">
        <f aca="false">Sens!H7002</f>
        <v>196.806004064512</v>
      </c>
      <c r="I7094" s="6" t="n">
        <f aca="false">Sens!I7002</f>
        <v>168.61483362161</v>
      </c>
      <c r="J7094" s="6" t="n">
        <f aca="false">Sens!J7002</f>
        <v>128.92993119594</v>
      </c>
      <c r="K7094" s="6" t="n">
        <f aca="false">Sens!K7002</f>
        <v>118.962853064733</v>
      </c>
    </row>
    <row r="7095" customFormat="false" ht="17.15" hidden="false" customHeight="false" outlineLevel="0" collapsed="false">
      <c r="A7095" s="1" t="s">
        <v>1113</v>
      </c>
      <c r="B7095" s="0" t="s">
        <v>98</v>
      </c>
      <c r="E7095" s="6" t="n">
        <f aca="false">Sens!E7010*cx_azo+Sens!E7017*cx_m365+Sens!E7018*cx_lic+(Sens!E7020+Sens!E7022)*cx_ind+Sens!E7025*cx_srch+(Sens!E7027+Sens!E7029)*cx_dev</f>
        <v>30.1846587067718</v>
      </c>
      <c r="F7095" s="6" t="n">
        <f aca="false">Sens!F7010*cx_azo+Sens!F7017*cx_m365+Sens!F7018*cx_lic+(Sens!F7020+Sens!F7022)*cx_ind+Sens!F7025*cx_srch+(Sens!F7027+Sens!F7029)*cx_dev</f>
        <v>35.6315115484256</v>
      </c>
      <c r="G7095" s="6" t="n">
        <f aca="false">Sens!G7010*cx_azo+Sens!G7017*cx_m365+Sens!G7018*cx_lic+(Sens!G7020+Sens!G7022)*cx_ind+Sens!G7025*cx_srch+(Sens!G7027+Sens!G7029)*cx_dev</f>
        <v>40.9498708440592</v>
      </c>
      <c r="H7095" s="6" t="n">
        <f aca="false">Sens!H7010*cx_azo+Sens!H7017*cx_m365+Sens!H7018*cx_lic+(Sens!H7020+Sens!H7022)*cx_ind+Sens!H7025*cx_srch+(Sens!H7027+Sens!H7029)*cx_dev</f>
        <v>46.3540636866512</v>
      </c>
      <c r="I7095" s="6" t="n">
        <f aca="false">Sens!I7010*cx_azo+Sens!I7017*cx_m365+Sens!I7018*cx_lic+(Sens!I7020+Sens!I7022)*cx_ind+Sens!I7025*cx_srch+(Sens!I7027+Sens!I7029)*cx_dev</f>
        <v>51.5599092097295</v>
      </c>
      <c r="J7095" s="6" t="n">
        <f aca="false">Sens!J7010*cx_azo+Sens!J7017*cx_m365+Sens!J7018*cx_lic+(Sens!J7020+Sens!J7022)*cx_ind+Sens!J7025*cx_srch+(Sens!J7027+Sens!J7029)*cx_dev</f>
        <v>56.3320753054093</v>
      </c>
      <c r="K7095" s="6" t="n">
        <f aca="false">Sens!K7010*cx_azo+Sens!K7017*cx_m365+Sens!K7018*cx_lic+(Sens!K7020+Sens!K7022)*cx_ind+Sens!K7025*cx_srch+(Sens!K7027+Sens!K7029)*cx_dev</f>
        <v>60.5024328103777</v>
      </c>
    </row>
    <row r="7096" customFormat="false" ht="17.15" hidden="false" customHeight="false" outlineLevel="0" collapsed="false">
      <c r="A7096" s="0" t="s">
        <v>1114</v>
      </c>
      <c r="B7096" s="0" t="s">
        <v>98</v>
      </c>
      <c r="F7096" s="6" t="n">
        <f aca="false">Sens!F7000</f>
        <v>0.114584409454793</v>
      </c>
      <c r="L7096" s="1" t="s">
        <v>1115</v>
      </c>
    </row>
    <row r="7097" customFormat="false" ht="17.15" hidden="false" customHeight="false" outlineLevel="0" collapsed="false">
      <c r="A7097" s="1" t="s">
        <v>1116</v>
      </c>
      <c r="B7097" s="0" t="s">
        <v>98</v>
      </c>
      <c r="E7097" s="6" t="n">
        <f aca="false">Q!M43</f>
        <v>145.3</v>
      </c>
      <c r="F7097" s="6" t="n">
        <f aca="false">Sens!F7094+Sens!F7095+Sens!F7096</f>
        <v>204.2</v>
      </c>
      <c r="G7097" s="6" t="n">
        <f aca="false">Sens!G7094+Sens!G7095</f>
        <v>232.894346493107</v>
      </c>
      <c r="H7097" s="6" t="n">
        <f aca="false">Sens!H7094+Sens!H7095</f>
        <v>243.160067751164</v>
      </c>
      <c r="I7097" s="6" t="n">
        <f aca="false">Sens!I7094+Sens!I7095</f>
        <v>220.17474283134</v>
      </c>
      <c r="J7097" s="6" t="n">
        <f aca="false">Sens!J7094+Sens!J7095</f>
        <v>185.26200650135</v>
      </c>
      <c r="K7097" s="6" t="n">
        <f aca="false">Sens!K7094+Sens!K7095</f>
        <v>179.46528587511</v>
      </c>
      <c r="L7097" s="1" t="s">
        <v>1117</v>
      </c>
    </row>
    <row r="7098" customFormat="false" ht="15" hidden="false" customHeight="false" outlineLevel="0" collapsed="false">
      <c r="A7098" s="1" t="s">
        <v>1118</v>
      </c>
      <c r="B7098" s="0" t="s">
        <v>98</v>
      </c>
      <c r="E7098" s="6" t="n">
        <f aca="false">fl_liab</f>
        <v>66.594</v>
      </c>
      <c r="F7098" s="6" t="n">
        <f aca="false">Sens!E7098-Sens!F7099</f>
        <v>62.46973</v>
      </c>
      <c r="G7098" s="6" t="n">
        <f aca="false">Sens!F7098-Sens!G7099</f>
        <v>57.98686785</v>
      </c>
      <c r="H7098" s="6" t="n">
        <f aca="false">Sens!G7098-Sens!H7099</f>
        <v>53.92827690325</v>
      </c>
      <c r="I7098" s="6" t="n">
        <f aca="false">Sens!H7098-Sens!I7099</f>
        <v>49.7850493638962</v>
      </c>
      <c r="J7098" s="6" t="n">
        <f aca="false">Sens!I7098-Sens!J7099</f>
        <v>45.4823765852716</v>
      </c>
      <c r="K7098" s="6" t="n">
        <f aca="false">Sens!J7098-Sens!K7099</f>
        <v>40.9860835316088</v>
      </c>
    </row>
    <row r="7099" customFormat="false" ht="15" hidden="false" customHeight="false" outlineLevel="0" collapsed="false">
      <c r="A7099" s="1" t="s">
        <v>1119</v>
      </c>
      <c r="B7099" s="0" t="s">
        <v>98</v>
      </c>
      <c r="F7099" s="6" t="n">
        <f aca="false">fl_pay_27-Sens!E7098*fl_rate</f>
        <v>4.12427</v>
      </c>
      <c r="G7099" s="6" t="n">
        <f aca="false">fl_pay_28-Sens!F7098*fl_rate</f>
        <v>4.48286215</v>
      </c>
      <c r="H7099" s="6" t="n">
        <f aca="false">fl_pay_29-Sens!G7098*fl_rate</f>
        <v>4.05859094675</v>
      </c>
      <c r="I7099" s="6" t="n">
        <f aca="false">fl_pay_30-Sens!H7098*fl_rate</f>
        <v>4.14322753935375</v>
      </c>
      <c r="J7099" s="6" t="n">
        <f aca="false">fl_pay_31-Sens!I7098*fl_rate</f>
        <v>4.30267277862467</v>
      </c>
      <c r="K7099" s="6" t="n">
        <f aca="false">fl_pay_32-Sens!J7098*fl_rate</f>
        <v>4.49629305366278</v>
      </c>
    </row>
    <row r="7100" customFormat="false" ht="17.15" hidden="false" customHeight="false" outlineLevel="0" collapsed="false">
      <c r="A7100" s="1" t="s">
        <v>1120</v>
      </c>
      <c r="B7100" s="0" t="s">
        <v>98</v>
      </c>
      <c r="E7100" s="6" t="n">
        <f aca="false">Q!M35-Q!M36-Q!M44</f>
        <v>63.886</v>
      </c>
      <c r="F7100" s="6" t="n">
        <f aca="false">Sens!F7093-Sens!F7097-Sens!F7099</f>
        <v>10.719670953762</v>
      </c>
      <c r="G7100" s="6" t="n">
        <f aca="false">Sens!G7093-Sens!G7097-Sens!G7099</f>
        <v>21.249880258725</v>
      </c>
      <c r="H7100" s="6" t="n">
        <f aca="false">Sens!H7093-Sens!H7097-Sens!H7099</f>
        <v>59.3122696808561</v>
      </c>
      <c r="I7100" s="6" t="n">
        <f aca="false">Sens!I7093-Sens!I7097-Sens!I7099</f>
        <v>126.627451496596</v>
      </c>
      <c r="J7100" s="6" t="n">
        <f aca="false">Sens!J7093-Sens!J7097-Sens!J7099</f>
        <v>197.656205187135</v>
      </c>
      <c r="K7100" s="6" t="n">
        <f aca="false">Sens!K7093-Sens!K7097-Sens!K7099</f>
        <v>232.047720249232</v>
      </c>
      <c r="L7100" s="12" t="s">
        <v>1121</v>
      </c>
    </row>
    <row r="7101" customFormat="false" ht="15" hidden="false" customHeight="false" outlineLevel="0" collapsed="false">
      <c r="A7101" s="1" t="s">
        <v>1122</v>
      </c>
      <c r="B7101" s="0" t="s">
        <v>75</v>
      </c>
      <c r="F7101" s="8" t="n">
        <f aca="false">dps_27</f>
        <v>3.85</v>
      </c>
      <c r="G7101" s="8" t="n">
        <f aca="false">Sens!F7101*(1+dps_g)</f>
        <v>4.158</v>
      </c>
      <c r="H7101" s="8" t="n">
        <f aca="false">Sens!G7101*(1+dps_g)</f>
        <v>4.49064</v>
      </c>
      <c r="I7101" s="8" t="n">
        <f aca="false">Sens!H7101*(1+dps_g)</f>
        <v>4.8498912</v>
      </c>
      <c r="J7101" s="8" t="n">
        <f aca="false">Sens!I7101*(1+dps_g)</f>
        <v>5.237882496</v>
      </c>
      <c r="K7101" s="8" t="n">
        <f aca="false">Sens!J7101*(1+dps_g)</f>
        <v>5.65691309568</v>
      </c>
    </row>
    <row r="7102" customFormat="false" ht="17.15" hidden="false" customHeight="false" outlineLevel="0" collapsed="false">
      <c r="A7102" s="1" t="s">
        <v>1123</v>
      </c>
      <c r="B7102" s="0" t="s">
        <v>98</v>
      </c>
      <c r="E7102" s="6" t="n">
        <f aca="false">Q!M41</f>
        <v>26.445</v>
      </c>
      <c r="F7102" s="6" t="n">
        <f aca="false">Sens!F7101*Sens!E7111</f>
        <v>28.59395</v>
      </c>
      <c r="G7102" s="6" t="n">
        <f aca="false">Sens!G7101*Sens!F7111</f>
        <v>31.068576</v>
      </c>
      <c r="H7102" s="6" t="n">
        <f aca="false">Sens!H7101*Sens!G7111</f>
        <v>33.75614088</v>
      </c>
      <c r="I7102" s="6" t="n">
        <f aca="false">Sens!I7101*Sens!H7111</f>
        <v>36.5070704274727</v>
      </c>
      <c r="J7102" s="6" t="n">
        <f aca="false">Sens!J7101*Sens!I7111</f>
        <v>39.4955339470631</v>
      </c>
      <c r="K7102" s="6" t="n">
        <f aca="false">Sens!K7101*Sens!J7111</f>
        <v>42.7419309252064</v>
      </c>
      <c r="L7102" s="1" t="s">
        <v>1124</v>
      </c>
    </row>
    <row r="7103" customFormat="false" ht="15" hidden="false" customHeight="false" outlineLevel="0" collapsed="false">
      <c r="A7103" s="1" t="s">
        <v>1125</v>
      </c>
      <c r="B7103" s="0" t="s">
        <v>98</v>
      </c>
      <c r="E7103" s="6" t="n">
        <f aca="false">Sens!E7100-Sens!E7102</f>
        <v>37.441</v>
      </c>
      <c r="F7103" s="6" t="n">
        <f aca="false">Sens!F7100-Sens!F7102</f>
        <v>-17.874279046238</v>
      </c>
      <c r="G7103" s="6" t="n">
        <f aca="false">Sens!G7100-Sens!G7102</f>
        <v>-9.81869574127498</v>
      </c>
      <c r="H7103" s="6" t="n">
        <f aca="false">Sens!H7100-Sens!H7102</f>
        <v>25.5561288008561</v>
      </c>
      <c r="I7103" s="6" t="n">
        <f aca="false">Sens!I7100-Sens!I7102</f>
        <v>90.1203810691237</v>
      </c>
      <c r="J7103" s="6" t="n">
        <f aca="false">Sens!J7100-Sens!J7102</f>
        <v>158.160671240072</v>
      </c>
      <c r="K7103" s="6" t="n">
        <f aca="false">Sens!K7100-Sens!K7102</f>
        <v>189.305789324026</v>
      </c>
    </row>
    <row r="7104" customFormat="false" ht="15" hidden="false" customHeight="false" outlineLevel="0" collapsed="false">
      <c r="A7104" s="1" t="s">
        <v>1126</v>
      </c>
      <c r="B7104" s="0" t="s">
        <v>98</v>
      </c>
      <c r="F7104" s="6" t="n">
        <f aca="false">debt_mat_27</f>
        <v>9.25</v>
      </c>
      <c r="G7104" s="6" t="n">
        <f aca="false">debt_mat_28</f>
        <v>0</v>
      </c>
      <c r="H7104" s="6" t="n">
        <f aca="false">debt_mat_29</f>
        <v>2.001</v>
      </c>
      <c r="I7104" s="6" t="n">
        <f aca="false">debt_mat_30</f>
        <v>0</v>
      </c>
      <c r="J7104" s="6" t="n">
        <f aca="false">debt_mat_31</f>
        <v>0.5</v>
      </c>
      <c r="K7104" s="6" t="n">
        <f aca="false">debt_mat_32</f>
        <v>0</v>
      </c>
    </row>
    <row r="7105" customFormat="false" ht="15" hidden="false" customHeight="false" outlineLevel="0" collapsed="false">
      <c r="A7105" s="1" t="s">
        <v>1127</v>
      </c>
      <c r="B7105" s="0" t="s">
        <v>98</v>
      </c>
      <c r="E7105" s="6" t="n">
        <f aca="false">Q!M40</f>
        <v>22.271</v>
      </c>
      <c r="F7105" s="6" t="n">
        <f aca="false">MAX(0,MIN(bb_target,Sens!E7107+Sens!F7103-Sens!F7104-min_cash))</f>
        <v>0</v>
      </c>
      <c r="G7105" s="6" t="n">
        <f aca="false">MAX(0,MIN(bb_target,Sens!F7107+Sens!G7103-Sens!G7104-min_cash))</f>
        <v>0</v>
      </c>
      <c r="H7105" s="6" t="n">
        <f aca="false">MAX(0,MIN(bb_target,Sens!G7107+Sens!H7103-Sens!H7104-min_cash))</f>
        <v>22.271</v>
      </c>
      <c r="I7105" s="6" t="n">
        <f aca="false">MAX(0,MIN(bb_target,Sens!H7107+Sens!I7103-Sens!I7104-min_cash))</f>
        <v>22.271</v>
      </c>
      <c r="J7105" s="6" t="n">
        <f aca="false">MAX(0,MIN(bb_target,Sens!I7107+Sens!J7103-Sens!J7104-min_cash))</f>
        <v>22.271</v>
      </c>
      <c r="K7105" s="6" t="n">
        <f aca="false">MAX(0,MIN(bb_target,Sens!J7107+Sens!K7103-Sens!K7104-min_cash))</f>
        <v>22.271</v>
      </c>
    </row>
    <row r="7106" customFormat="false" ht="15" hidden="false" customHeight="false" outlineLevel="0" collapsed="false">
      <c r="A7106" s="1" t="s">
        <v>1128</v>
      </c>
      <c r="B7106" s="0" t="s">
        <v>98</v>
      </c>
      <c r="F7106" s="6" t="n">
        <f aca="false">MAX(0,min_cash-(Sens!E7107+Sens!F7103-Sens!F7104-Sens!F7105))</f>
        <v>0.281279046238026</v>
      </c>
      <c r="G7106" s="6" t="n">
        <f aca="false">MAX(0,min_cash-(Sens!F7107+Sens!G7103-Sens!G7104-Sens!G7105))</f>
        <v>9.81869574127498</v>
      </c>
      <c r="H7106" s="6" t="n">
        <f aca="false">MAX(0,min_cash-(Sens!G7107+Sens!H7103-Sens!H7104-Sens!H7105))</f>
        <v>0</v>
      </c>
      <c r="I7106" s="6" t="n">
        <f aca="false">MAX(0,min_cash-(Sens!H7107+Sens!I7103-Sens!I7104-Sens!I7105))</f>
        <v>0</v>
      </c>
      <c r="J7106" s="6" t="n">
        <f aca="false">MAX(0,min_cash-(Sens!I7107+Sens!J7103-Sens!J7104-Sens!J7105))</f>
        <v>0</v>
      </c>
      <c r="K7106" s="6" t="n">
        <f aca="false">MAX(0,min_cash-(Sens!J7107+Sens!K7103-Sens!K7104-Sens!K7105))</f>
        <v>0</v>
      </c>
    </row>
    <row r="7107" customFormat="false" ht="15" hidden="false" customHeight="false" outlineLevel="0" collapsed="false">
      <c r="A7107" s="1" t="s">
        <v>1129</v>
      </c>
      <c r="B7107" s="0" t="s">
        <v>98</v>
      </c>
      <c r="E7107" s="6" t="n">
        <f aca="false">cash_open</f>
        <v>76.843</v>
      </c>
      <c r="F7107" s="6" t="n">
        <f aca="false">Sens!E7107+Sens!F7103-Sens!F7104-Sens!F7105+Sens!F7106</f>
        <v>50</v>
      </c>
      <c r="G7107" s="6" t="n">
        <f aca="false">Sens!F7107+Sens!G7103-Sens!G7104-Sens!G7105+Sens!G7106</f>
        <v>50</v>
      </c>
      <c r="H7107" s="6" t="n">
        <f aca="false">Sens!G7107+Sens!H7103-Sens!H7104-Sens!H7105+Sens!H7106</f>
        <v>51.2841288008561</v>
      </c>
      <c r="I7107" s="6" t="n">
        <f aca="false">Sens!H7107+Sens!I7103-Sens!I7104-Sens!I7105+Sens!I7106</f>
        <v>119.13350986998</v>
      </c>
      <c r="J7107" s="6" t="n">
        <f aca="false">Sens!I7107+Sens!J7103-Sens!J7104-Sens!J7105+Sens!J7106</f>
        <v>254.523181110052</v>
      </c>
      <c r="K7107" s="6" t="n">
        <f aca="false">Sens!J7107+Sens!K7103-Sens!K7104-Sens!K7105+Sens!K7106</f>
        <v>421.557970434078</v>
      </c>
    </row>
    <row r="7108" customFormat="false" ht="15" hidden="false" customHeight="false" outlineLevel="0" collapsed="false">
      <c r="A7108" s="1" t="s">
        <v>1130</v>
      </c>
      <c r="B7108" s="0" t="s">
        <v>98</v>
      </c>
      <c r="E7108" s="6" t="n">
        <f aca="false">debt_face</f>
        <v>46.136</v>
      </c>
      <c r="F7108" s="6" t="n">
        <f aca="false">Sens!E7108-Sens!F7104+Sens!F7106</f>
        <v>37.167279046238</v>
      </c>
      <c r="G7108" s="6" t="n">
        <f aca="false">Sens!F7108-Sens!G7104+Sens!G7106</f>
        <v>46.985974787513</v>
      </c>
      <c r="H7108" s="6" t="n">
        <f aca="false">Sens!G7108-Sens!H7104+Sens!H7106</f>
        <v>44.984974787513</v>
      </c>
      <c r="I7108" s="6" t="n">
        <f aca="false">Sens!H7108-Sens!I7104+Sens!I7106</f>
        <v>44.984974787513</v>
      </c>
      <c r="J7108" s="6" t="n">
        <f aca="false">Sens!I7108-Sens!J7104+Sens!J7106</f>
        <v>44.484974787513</v>
      </c>
      <c r="K7108" s="6" t="n">
        <f aca="false">Sens!J7108-Sens!K7104+Sens!K7106</f>
        <v>44.484974787513</v>
      </c>
    </row>
    <row r="7109" customFormat="false" ht="15" hidden="false" customHeight="false" outlineLevel="0" collapsed="false">
      <c r="A7109" s="1" t="s">
        <v>1131</v>
      </c>
      <c r="B7109" s="0" t="s">
        <v>98</v>
      </c>
      <c r="E7109" s="6" t="n">
        <f aca="false">Sens!E7107-Sens!E7108</f>
        <v>30.707</v>
      </c>
      <c r="F7109" s="6" t="n">
        <f aca="false">Sens!F7107-Sens!F7108</f>
        <v>12.832720953762</v>
      </c>
      <c r="G7109" s="6" t="n">
        <f aca="false">Sens!G7107-Sens!G7108</f>
        <v>3.01402521248699</v>
      </c>
      <c r="H7109" s="6" t="n">
        <f aca="false">Sens!H7107-Sens!H7108</f>
        <v>6.29915401334309</v>
      </c>
      <c r="I7109" s="6" t="n">
        <f aca="false">Sens!I7107-Sens!I7108</f>
        <v>74.1485350824668</v>
      </c>
      <c r="J7109" s="6" t="n">
        <f aca="false">Sens!J7107-Sens!J7108</f>
        <v>210.038206322539</v>
      </c>
      <c r="K7109" s="6" t="n">
        <f aca="false">Sens!K7107-Sens!K7108</f>
        <v>377.072995646565</v>
      </c>
    </row>
    <row r="7110" customFormat="false" ht="15" hidden="false" customHeight="false" outlineLevel="0" collapsed="false">
      <c r="A7110" s="1" t="s">
        <v>1132</v>
      </c>
      <c r="B7110" s="0" t="s">
        <v>75</v>
      </c>
      <c r="F7110" s="30" t="n">
        <f aca="false">px*(1+bb_g)^(Sens!F6968-base_fy-mid_yr)</f>
        <v>551.84177959629</v>
      </c>
      <c r="G7110" s="30" t="n">
        <f aca="false">px*(1+bb_g)^(Sens!G6968-base_fy-mid_yr)</f>
        <v>595.989121963993</v>
      </c>
      <c r="H7110" s="30" t="n">
        <f aca="false">px*(1+bb_g)^(Sens!H6968-base_fy-mid_yr)</f>
        <v>643.668251721112</v>
      </c>
      <c r="I7110" s="30" t="n">
        <f aca="false">px*(1+bb_g)^(Sens!I6968-base_fy-mid_yr)</f>
        <v>695.161711858801</v>
      </c>
      <c r="J7110" s="30" t="n">
        <f aca="false">px*(1+bb_g)^(Sens!J6968-base_fy-mid_yr)</f>
        <v>750.774648807506</v>
      </c>
      <c r="K7110" s="30" t="n">
        <f aca="false">px*(1+bb_g)^(Sens!K6968-base_fy-mid_yr)</f>
        <v>810.836620712106</v>
      </c>
    </row>
    <row r="7111" customFormat="false" ht="15" hidden="false" customHeight="false" outlineLevel="0" collapsed="false">
      <c r="A7111" s="1" t="s">
        <v>1133</v>
      </c>
      <c r="B7111" s="1" t="s">
        <v>81</v>
      </c>
      <c r="E7111" s="15" t="n">
        <f aca="false">sh_out26</f>
        <v>7.427</v>
      </c>
      <c r="F7111" s="15" t="n">
        <f aca="false">Sens!E7111+sh_iss-Sens!F7105/Sens!F7110</f>
        <v>7.472</v>
      </c>
      <c r="G7111" s="15" t="n">
        <f aca="false">Sens!F7111+sh_iss-Sens!G7105/Sens!G7110</f>
        <v>7.517</v>
      </c>
      <c r="H7111" s="15" t="n">
        <f aca="false">Sens!G7111+sh_iss-Sens!H7105/Sens!H7110</f>
        <v>7.5273998780576</v>
      </c>
      <c r="I7111" s="15" t="n">
        <f aca="false">Sens!H7111+sh_iss-Sens!I7105/Sens!I7110</f>
        <v>7.54036272811094</v>
      </c>
      <c r="J7111" s="15" t="n">
        <f aca="false">Sens!I7111+sh_iss-Sens!J7105/Sens!J7110</f>
        <v>7.55569870038255</v>
      </c>
      <c r="K7111" s="15" t="n">
        <f aca="false">Sens!J7111+sh_iss-Sens!K7105/Sens!K7110</f>
        <v>7.57323200804144</v>
      </c>
    </row>
    <row r="7112" customFormat="false" ht="15" hidden="false" customHeight="false" outlineLevel="0" collapsed="false">
      <c r="A7112" s="1" t="s">
        <v>1134</v>
      </c>
      <c r="B7112" s="1" t="s">
        <v>81</v>
      </c>
      <c r="E7112" s="15" t="n">
        <f aca="false">sh_dil26</f>
        <v>7.453</v>
      </c>
      <c r="F7112" s="15" t="n">
        <f aca="false">(Sens!E7111+Sens!F7111)/2+dil_gap</f>
        <v>7.4735</v>
      </c>
      <c r="G7112" s="15" t="n">
        <f aca="false">(Sens!F7111+Sens!G7111)/2+dil_gap</f>
        <v>7.5185</v>
      </c>
      <c r="H7112" s="15" t="n">
        <f aca="false">(Sens!G7111+Sens!H7111)/2+dil_gap</f>
        <v>7.5461999390288</v>
      </c>
      <c r="I7112" s="15" t="n">
        <f aca="false">(Sens!H7111+Sens!I7111)/2+dil_gap</f>
        <v>7.55788130308427</v>
      </c>
      <c r="J7112" s="15" t="n">
        <f aca="false">(Sens!I7111+Sens!J7111)/2+dil_gap</f>
        <v>7.57203071424674</v>
      </c>
      <c r="K7112" s="15" t="n">
        <f aca="false">(Sens!J7111+Sens!K7111)/2+dil_gap</f>
        <v>7.58846535421199</v>
      </c>
    </row>
    <row r="7113" customFormat="false" ht="17.15" hidden="false" customHeight="false" outlineLevel="0" collapsed="false">
      <c r="A7113" s="1" t="s">
        <v>1135</v>
      </c>
      <c r="B7113" s="0" t="s">
        <v>98</v>
      </c>
      <c r="C7113" s="6" t="n">
        <f aca="false">SUM(Sens!F7103:J7103)</f>
        <v>246.144206322539</v>
      </c>
    </row>
    <row r="7114" customFormat="false" ht="15" hidden="false" customHeight="false" outlineLevel="0" collapsed="false">
      <c r="A7114" s="26" t="s">
        <v>1100</v>
      </c>
      <c r="B7114" s="31" t="s">
        <v>98</v>
      </c>
      <c r="C7114" s="27" t="n">
        <f aca="false">Sens!$C$7113-(Sens!F7103+Sens!G7103+Sens!H7103+Sens!I7103+Sens!J7103)</f>
        <v>0</v>
      </c>
      <c r="D7114" s="31"/>
      <c r="E7114" s="31"/>
      <c r="F7114" s="31"/>
      <c r="G7114" s="31"/>
      <c r="H7114" s="31"/>
      <c r="I7114" s="31"/>
      <c r="J7114" s="31"/>
      <c r="K7114" s="31"/>
    </row>
    <row r="7115" customFormat="false" ht="17.15" hidden="false" customHeight="false" outlineLevel="0" collapsed="false">
      <c r="A7115" s="1" t="s">
        <v>1094</v>
      </c>
      <c r="B7115" s="1" t="s">
        <v>1136</v>
      </c>
      <c r="C7115" s="33" t="str">
        <f aca="false">IF(SUM(Sens!F7106:J7106)&gt;0.05,"需要舉債 "&amp;TEXT(SUM(Sens!F7106:J7106),"0.0")&amp;" 十億美元","不需舉債")&amp;"；"&amp;IF(SUM(Sens!F7105:J7105)&lt;COUNT(Sens!F7105:J7105)*bb_target-0.05,"回購較每年 "&amp;TEXT(bb_target,"0.0")&amp;" 的目標少 "&amp;TEXT(COUNT(Sens!F7105:J7105)*bb_target-SUM(Sens!F7105:J7105),"0.0")&amp;" 十億美元（"&amp;TEXT(COUNTIF(Sens!F7105:J7105,"&lt;"&amp;(bb_target-0.05)),"0")&amp;" 年減少）","回購不減")</f>
        <v>需要舉債 10.1 十億美元；回購較每年 22.3 的目標少 44.5 十億美元（2 年減少）</v>
      </c>
    </row>
    <row r="7116" customFormat="false" ht="17.15" hidden="false" customHeight="false" outlineLevel="0" collapsed="false">
      <c r="A7116" s="3" t="s">
        <v>1789</v>
      </c>
    </row>
    <row r="7117" customFormat="false" ht="15" hidden="false" customHeight="false" outlineLevel="0" collapsed="false">
      <c r="A7117" s="4" t="s">
        <v>43</v>
      </c>
      <c r="B7117" s="4" t="s">
        <v>65</v>
      </c>
      <c r="C7117" s="23" t="s">
        <v>942</v>
      </c>
      <c r="D7117" s="23" t="s">
        <v>943</v>
      </c>
      <c r="E7117" s="23" t="s">
        <v>944</v>
      </c>
      <c r="F7117" s="23" t="s">
        <v>945</v>
      </c>
      <c r="G7117" s="23" t="s">
        <v>946</v>
      </c>
      <c r="H7117" s="23" t="s">
        <v>947</v>
      </c>
      <c r="I7117" s="23" t="s">
        <v>948</v>
      </c>
      <c r="J7117" s="23" t="s">
        <v>949</v>
      </c>
      <c r="K7117" s="23" t="s">
        <v>950</v>
      </c>
      <c r="L7117" s="4" t="s">
        <v>47</v>
      </c>
    </row>
    <row r="7118" customFormat="false" ht="17.15" hidden="false" customHeight="false" outlineLevel="0" collapsed="false">
      <c r="A7118" s="1" t="s">
        <v>1216</v>
      </c>
      <c r="B7118" s="1" t="s">
        <v>279</v>
      </c>
      <c r="F7118" s="8" t="n">
        <f aca="false">(1-v_off)*mid_yr</f>
        <v>0.373972602739726</v>
      </c>
      <c r="G7118" s="8" t="n">
        <f aca="false">Sens!G6968-base_fy-mid_yr-v_off</f>
        <v>1.24794520547945</v>
      </c>
      <c r="H7118" s="8" t="n">
        <f aca="false">Sens!H6968-base_fy-mid_yr-v_off</f>
        <v>2.24794520547945</v>
      </c>
      <c r="I7118" s="8" t="n">
        <f aca="false">Sens!I6968-base_fy-mid_yr-v_off</f>
        <v>3.24794520547945</v>
      </c>
      <c r="J7118" s="8" t="n">
        <f aca="false">Sens!J6968-base_fy-mid_yr-v_off</f>
        <v>4.24794520547945</v>
      </c>
      <c r="K7118" s="8" t="n">
        <f aca="false">Sens!K6968-base_fy-mid_yr-v_off</f>
        <v>5.24794520547945</v>
      </c>
      <c r="L7118" s="12" t="s">
        <v>1217</v>
      </c>
    </row>
    <row r="7119" customFormat="false" ht="15" hidden="false" customHeight="false" outlineLevel="0" collapsed="false">
      <c r="A7119" s="1" t="s">
        <v>1218</v>
      </c>
      <c r="B7119" s="1" t="s">
        <v>279</v>
      </c>
      <c r="F7119" s="8" t="n">
        <f aca="false">Sens!F6968-base_fy-v_off</f>
        <v>0.747945205479452</v>
      </c>
      <c r="G7119" s="8" t="n">
        <f aca="false">Sens!G6968-base_fy-v_off</f>
        <v>1.74794520547945</v>
      </c>
      <c r="H7119" s="8" t="n">
        <f aca="false">Sens!H6968-base_fy-v_off</f>
        <v>2.74794520547945</v>
      </c>
      <c r="I7119" s="8" t="n">
        <f aca="false">Sens!I6968-base_fy-v_off</f>
        <v>3.74794520547945</v>
      </c>
      <c r="J7119" s="8" t="n">
        <f aca="false">Sens!J6968-base_fy-v_off</f>
        <v>4.74794520547945</v>
      </c>
      <c r="K7119" s="8" t="n">
        <f aca="false">Sens!K6968-base_fy-v_off</f>
        <v>5.74794520547945</v>
      </c>
    </row>
    <row r="7120" customFormat="false" ht="15" hidden="false" customHeight="false" outlineLevel="0" collapsed="false">
      <c r="A7120" s="1" t="s">
        <v>1219</v>
      </c>
      <c r="B7120" s="0" t="s">
        <v>229</v>
      </c>
      <c r="F7120" s="15" t="n">
        <f aca="false">1/(1+wacc)^Sens!F7118</f>
        <v>0.964022703286649</v>
      </c>
      <c r="G7120" s="15" t="n">
        <f aca="false">1/(1+wacc)^Sens!G7118</f>
        <v>0.884910302296739</v>
      </c>
      <c r="H7120" s="15" t="n">
        <f aca="false">1/(1+wacc)^Sens!H7118</f>
        <v>0.802322009770358</v>
      </c>
      <c r="I7120" s="15" t="n">
        <f aca="false">1/(1+wacc)^Sens!I7118</f>
        <v>0.727441646561469</v>
      </c>
      <c r="J7120" s="15" t="n">
        <f aca="false">1/(1+wacc)^Sens!J7118</f>
        <v>0.659549834988973</v>
      </c>
      <c r="K7120" s="15" t="n">
        <f aca="false">1/(1+wacc)^Sens!K7118</f>
        <v>0.597994336576966</v>
      </c>
    </row>
    <row r="7121" customFormat="false" ht="17.15" hidden="false" customHeight="false" outlineLevel="0" collapsed="false">
      <c r="A7121" s="1" t="s">
        <v>1220</v>
      </c>
      <c r="B7121" s="0" t="s">
        <v>98</v>
      </c>
      <c r="F7121" s="6" t="n">
        <f aca="false">Q!$I$35-Q!$I$39-Q!$I$43</f>
        <v>9.666</v>
      </c>
      <c r="L7121" s="12" t="s">
        <v>1221</v>
      </c>
    </row>
    <row r="7122" customFormat="false" ht="17.15" hidden="false" customHeight="false" outlineLevel="0" collapsed="false">
      <c r="A7122" s="1" t="s">
        <v>1222</v>
      </c>
      <c r="B7122" s="0" t="s">
        <v>98</v>
      </c>
      <c r="F7122" s="6" t="n">
        <f aca="false">Sens!F7093-Sens!F7090-Sens!F7097+Sens!F7075*(1-tax_f)*(1-v_off)-Sens!F7121</f>
        <v>-3.35642680429513</v>
      </c>
      <c r="G7122" s="6" t="n">
        <f aca="false">Sens!G7093-Sens!G7090-Sens!G7097+Sens!G7075*(1-tax_f)</f>
        <v>30.3499450793424</v>
      </c>
      <c r="H7122" s="6" t="n">
        <f aca="false">Sens!H7093-Sens!H7090-Sens!H7097+Sens!H7075*(1-tax_f)</f>
        <v>80.1134198537489</v>
      </c>
      <c r="I7122" s="6" t="n">
        <f aca="false">Sens!I7093-Sens!I7090-Sens!I7097+Sens!I7075*(1-tax_f)</f>
        <v>158.239580659822</v>
      </c>
      <c r="J7122" s="6" t="n">
        <f aca="false">Sens!J7093-Sens!J7090-Sens!J7097+Sens!J7075*(1-tax_f)</f>
        <v>236.561834693771</v>
      </c>
      <c r="K7122" s="6" t="n">
        <f aca="false">Sens!K7093-Sens!K7090-Sens!K7097+Sens!K7075*(1-tax_f)</f>
        <v>274.798522602042</v>
      </c>
      <c r="L7122" s="1" t="s">
        <v>1223</v>
      </c>
    </row>
    <row r="7123" customFormat="false" ht="15" hidden="false" customHeight="false" outlineLevel="0" collapsed="false">
      <c r="A7123" s="1" t="s">
        <v>1224</v>
      </c>
      <c r="B7123" s="0" t="s">
        <v>98</v>
      </c>
      <c r="F7123" s="6" t="n">
        <f aca="false">Sens!F7122*Sens!F7120</f>
        <v>-3.23567164126036</v>
      </c>
      <c r="G7123" s="6" t="n">
        <f aca="false">Sens!G7122*Sens!G7120</f>
        <v>26.8569790748503</v>
      </c>
      <c r="H7123" s="6" t="n">
        <f aca="false">Sens!H7122*Sens!H7120</f>
        <v>64.2767600266363</v>
      </c>
      <c r="I7123" s="6" t="n">
        <f aca="false">Sens!I7122*Sens!I7120</f>
        <v>115.110061106377</v>
      </c>
      <c r="J7123" s="6" t="n">
        <f aca="false">Sens!J7122*Sens!J7120</f>
        <v>156.024319036965</v>
      </c>
      <c r="K7123" s="6" t="n">
        <f aca="false">Sens!K7122*Sens!K7120</f>
        <v>164.327960215739</v>
      </c>
    </row>
    <row r="7124" customFormat="false" ht="17.15" hidden="false" customHeight="false" outlineLevel="0" collapsed="false">
      <c r="A7124" s="1" t="s">
        <v>1225</v>
      </c>
      <c r="B7124" s="0" t="s">
        <v>98</v>
      </c>
      <c r="C7124" s="6" t="n">
        <f aca="false">SUM(Sens!F7123:K7123)</f>
        <v>523.360407819308</v>
      </c>
    </row>
    <row r="7125" customFormat="false" ht="17.15" hidden="false" customHeight="false" outlineLevel="0" collapsed="false">
      <c r="A7125" s="1" t="s">
        <v>1226</v>
      </c>
      <c r="B7125" s="0" t="s">
        <v>98</v>
      </c>
      <c r="C7125" s="6" t="n">
        <f aca="false">Sens!K7061*(1+g_tv)*(1-tax_f)</f>
        <v>285.232509491416</v>
      </c>
    </row>
    <row r="7126" customFormat="false" ht="17.15" hidden="false" customHeight="false" outlineLevel="0" collapsed="false">
      <c r="A7126" s="1" t="s">
        <v>1227</v>
      </c>
      <c r="B7126" s="0" t="s">
        <v>98</v>
      </c>
      <c r="C7126" s="6" t="n">
        <f aca="false">Sens!$C$7125*(1-g_tv/(wacc+ronic_prem))</f>
        <v>202.103903753298</v>
      </c>
    </row>
    <row r="7127" customFormat="false" ht="17.15" hidden="false" customHeight="false" outlineLevel="0" collapsed="false">
      <c r="A7127" s="1" t="s">
        <v>1228</v>
      </c>
      <c r="B7127" s="0" t="s">
        <v>98</v>
      </c>
      <c r="C7127" s="6" t="n">
        <f aca="false">Sens!$C$7126/(wacc-g_tv)</f>
        <v>2770.95352460393</v>
      </c>
    </row>
    <row r="7128" customFormat="false" ht="15" hidden="false" customHeight="false" outlineLevel="0" collapsed="false">
      <c r="A7128" s="1" t="s">
        <v>1229</v>
      </c>
      <c r="B7128" s="0" t="s">
        <v>98</v>
      </c>
      <c r="C7128" s="6" t="n">
        <f aca="false">Sens!$C$7127/(1+wacc)^Sens!K7119</f>
        <v>1577.79668805458</v>
      </c>
    </row>
    <row r="7129" customFormat="false" ht="17.15" hidden="false" customHeight="false" outlineLevel="0" collapsed="false">
      <c r="A7129" s="0" t="s">
        <v>1230</v>
      </c>
      <c r="B7129" s="0" t="s">
        <v>98</v>
      </c>
      <c r="C7129" s="6" t="n">
        <f aca="false">Sens!$C$7124+Sens!$C$7128</f>
        <v>2101.15709587389</v>
      </c>
    </row>
    <row r="7130" customFormat="false" ht="15" hidden="false" customHeight="false" outlineLevel="0" collapsed="false">
      <c r="A7130" s="1" t="s">
        <v>1145</v>
      </c>
      <c r="B7130" s="0" t="s">
        <v>168</v>
      </c>
      <c r="C7130" s="7" t="n">
        <f aca="false">Sens!$C$7128/Sens!$C$7129</f>
        <v>0.75091800187285</v>
      </c>
    </row>
    <row r="7131" customFormat="false" ht="17.15" hidden="false" customHeight="false" outlineLevel="0" collapsed="false">
      <c r="A7131" s="1" t="s">
        <v>1231</v>
      </c>
      <c r="B7131" s="0" t="s">
        <v>98</v>
      </c>
      <c r="C7131" s="6" t="n">
        <f aca="false">Sens!$C$7129+cash_val-debt_val-fl_val+oai_v</f>
        <v>2217.00809587389</v>
      </c>
    </row>
    <row r="7132" customFormat="false" ht="17.15" hidden="false" customHeight="false" outlineLevel="0" collapsed="false">
      <c r="A7132" s="0" t="s">
        <v>1153</v>
      </c>
      <c r="B7132" s="0" t="s">
        <v>75</v>
      </c>
      <c r="C7132" s="5" t="n">
        <f aca="false">Sens!$C$7131/shd_val</f>
        <v>297.744842314516</v>
      </c>
    </row>
    <row r="7133" customFormat="false" ht="15" hidden="false" customHeight="false" outlineLevel="0" collapsed="false">
      <c r="A7133" s="1" t="s">
        <v>1232</v>
      </c>
      <c r="B7133" s="0" t="s">
        <v>75</v>
      </c>
      <c r="C7133" s="8" t="n">
        <f aca="false">div_rem27+Sens!G7101*roll_div_q/q_per_yr</f>
        <v>3.9795</v>
      </c>
    </row>
    <row r="7134" customFormat="false" ht="17.15" hidden="false" customHeight="false" outlineLevel="0" collapsed="false">
      <c r="A7134" s="0" t="s">
        <v>1233</v>
      </c>
      <c r="B7134" s="0" t="s">
        <v>75</v>
      </c>
      <c r="C7134" s="5" t="n">
        <f aca="false">Sens!$C$7132*(1+wacc)^t_roll-Sens!$C$7133</f>
        <v>326.980509593703</v>
      </c>
    </row>
    <row r="7135" customFormat="false" ht="17.15" hidden="false" customHeight="false" outlineLevel="0" collapsed="false">
      <c r="A7135" s="1" t="s">
        <v>1234</v>
      </c>
      <c r="B7135" s="0" t="s">
        <v>168</v>
      </c>
      <c r="F7135" s="7" t="n">
        <f aca="false">Sens!F7087/(Sens!F7032-Sens!F6987)</f>
        <v>0.068849101343205</v>
      </c>
      <c r="G7135" s="7" t="n">
        <f aca="false">Sens!G7087/(Sens!G7032-Sens!G6987)</f>
        <v>0.0664348410796695</v>
      </c>
      <c r="H7135" s="7" t="n">
        <f aca="false">Sens!H7087/(Sens!H7032-Sens!H6987)</f>
        <v>0.0652155583648577</v>
      </c>
      <c r="I7135" s="7" t="n">
        <f aca="false">Sens!I7087/(Sens!I7032-Sens!I6987)</f>
        <v>0.0650519445621944</v>
      </c>
      <c r="J7135" s="7" t="n">
        <f aca="false">Sens!J7087/(Sens!J7032-Sens!J6987)</f>
        <v>0.0657330037275142</v>
      </c>
      <c r="K7135" s="7" t="n">
        <f aca="false">Sens!K7087/(Sens!K7032-Sens!K6987)</f>
        <v>0.0670245410078392</v>
      </c>
    </row>
    <row r="7136" customFormat="false" ht="17.15" hidden="false" customHeight="false" outlineLevel="0" collapsed="false">
      <c r="A7136" s="0" t="s">
        <v>1235</v>
      </c>
      <c r="B7136" s="0" t="s">
        <v>98</v>
      </c>
      <c r="F7136" s="6" t="n">
        <f aca="false">Sens!F7017*(al_m365+Sens!F7135+sbc_r)</f>
        <v>82.9386870539482</v>
      </c>
      <c r="G7136" s="6" t="n">
        <f aca="false">Sens!G7017*(al_m365+Sens!G7135+sbc_r)</f>
        <v>93.3229254479767</v>
      </c>
      <c r="H7136" s="6" t="n">
        <f aca="false">Sens!H7017*(al_m365+Sens!H7135+sbc_r)</f>
        <v>103.867761980441</v>
      </c>
      <c r="I7136" s="6" t="n">
        <f aca="false">Sens!I7017*(al_m365+Sens!I7135+sbc_r)</f>
        <v>113.896714322983</v>
      </c>
      <c r="J7136" s="6" t="n">
        <f aca="false">Sens!J7017*(al_m365+Sens!J7135+sbc_r)</f>
        <v>123.22053445763</v>
      </c>
      <c r="K7136" s="6" t="n">
        <f aca="false">Sens!K7017*(al_m365+Sens!K7135+sbc_r)</f>
        <v>132.146270370612</v>
      </c>
      <c r="L7136" s="12" t="s">
        <v>1236</v>
      </c>
    </row>
    <row r="7137" customFormat="false" ht="17.15" hidden="false" customHeight="false" outlineLevel="0" collapsed="false">
      <c r="A7137" s="0" t="s">
        <v>1237</v>
      </c>
      <c r="B7137" s="0" t="s">
        <v>98</v>
      </c>
      <c r="F7137" s="6" t="n">
        <f aca="false">Sens!F7018*(al_lic+Sens!F7135+sbc_r)</f>
        <v>32.8665764313072</v>
      </c>
      <c r="G7137" s="6" t="n">
        <f aca="false">Sens!G7018*(al_lic+Sens!G7135+sbc_r)</f>
        <v>34.1616923359156</v>
      </c>
      <c r="H7137" s="6" t="n">
        <f aca="false">Sens!H7018*(al_lic+Sens!H7135+sbc_r)</f>
        <v>35.3668378074677</v>
      </c>
      <c r="I7137" s="6" t="n">
        <f aca="false">Sens!I7018*(al_lic+Sens!I7135+sbc_r)</f>
        <v>36.4622994858328</v>
      </c>
      <c r="J7137" s="6" t="n">
        <f aca="false">Sens!J7018*(al_lic+Sens!J7135+sbc_r)</f>
        <v>37.4251037036646</v>
      </c>
      <c r="K7137" s="6" t="n">
        <f aca="false">Sens!K7018*(al_lic+Sens!K7135+sbc_r)</f>
        <v>38.2313970496034</v>
      </c>
    </row>
    <row r="7138" customFormat="false" ht="17.15" hidden="false" customHeight="false" outlineLevel="0" collapsed="false">
      <c r="A7138" s="0" t="s">
        <v>1238</v>
      </c>
      <c r="B7138" s="0" t="s">
        <v>98</v>
      </c>
      <c r="F7138" s="6" t="n">
        <f aca="false">Sens!F7020*(al_ind+Sens!F7135+sbc_r)</f>
        <v>9.06553934301049</v>
      </c>
      <c r="G7138" s="6" t="n">
        <f aca="false">Sens!G7020*(al_ind+Sens!G7135+sbc_r)</f>
        <v>9.85086364234553</v>
      </c>
      <c r="H7138" s="6" t="n">
        <f aca="false">Sens!H7020*(al_ind+Sens!H7135+sbc_r)</f>
        <v>10.6789255703466</v>
      </c>
      <c r="I7138" s="6" t="n">
        <f aca="false">Sens!I7020*(al_ind+Sens!I7135+sbc_r)</f>
        <v>11.5452258715712</v>
      </c>
      <c r="J7138" s="6" t="n">
        <f aca="false">Sens!J7020*(al_ind+Sens!J7135+sbc_r)</f>
        <v>12.4411536042212</v>
      </c>
      <c r="K7138" s="6" t="n">
        <f aca="false">Sens!K7020*(al_ind+Sens!K7135+sbc_r)</f>
        <v>13.3546846262677</v>
      </c>
    </row>
    <row r="7139" customFormat="false" ht="17.15" hidden="false" customHeight="false" outlineLevel="0" collapsed="false">
      <c r="A7139" s="0" t="s">
        <v>1239</v>
      </c>
      <c r="B7139" s="0" t="s">
        <v>98</v>
      </c>
      <c r="F7139" s="6" t="n">
        <f aca="false">Sens!F7022*(al_fro+Sens!F7135+sbc_r)</f>
        <v>3.55603878233623</v>
      </c>
      <c r="G7139" s="6" t="n">
        <f aca="false">Sens!G7022*(al_fro+Sens!G7135+sbc_r)</f>
        <v>3.76922913839717</v>
      </c>
      <c r="H7139" s="6" t="n">
        <f aca="false">Sens!H7022*(al_fro+Sens!H7135+sbc_r)</f>
        <v>4.01043775681031</v>
      </c>
      <c r="I7139" s="6" t="n">
        <f aca="false">Sens!I7022*(al_fro+Sens!I7135+sbc_r)</f>
        <v>4.28198546611895</v>
      </c>
      <c r="J7139" s="6" t="n">
        <f aca="false">Sens!J7022*(al_fro+Sens!J7135+sbc_r)</f>
        <v>4.58549861986402</v>
      </c>
      <c r="K7139" s="6" t="n">
        <f aca="false">Sens!K7022*(al_fro+Sens!K7135+sbc_r)</f>
        <v>4.92220334790273</v>
      </c>
    </row>
    <row r="7140" customFormat="false" ht="17.15" hidden="false" customHeight="false" outlineLevel="0" collapsed="false">
      <c r="A7140" s="0" t="s">
        <v>1240</v>
      </c>
      <c r="B7140" s="0" t="s">
        <v>98</v>
      </c>
      <c r="F7140" s="6" t="n">
        <f aca="false">Sens!F7025*(al_srch+Sens!F7135+sbc_r)</f>
        <v>11.1954160829004</v>
      </c>
      <c r="G7140" s="6" t="n">
        <f aca="false">Sens!G7025*(al_srch+Sens!G7135+sbc_r)</f>
        <v>12.2800299388309</v>
      </c>
      <c r="H7140" s="6" t="n">
        <f aca="false">Sens!H7025*(al_srch+Sens!H7135+sbc_r)</f>
        <v>13.4069929785515</v>
      </c>
      <c r="I7140" s="6" t="n">
        <f aca="false">Sens!I7025*(al_srch+Sens!I7135+sbc_r)</f>
        <v>14.563712808131</v>
      </c>
      <c r="J7140" s="6" t="n">
        <f aca="false">Sens!J7025*(al_srch+Sens!J7135+sbc_r)</f>
        <v>15.7314961514972</v>
      </c>
      <c r="K7140" s="6" t="n">
        <f aca="false">Sens!K7025*(al_srch+Sens!K7135+sbc_r)</f>
        <v>16.8866309737794</v>
      </c>
    </row>
    <row r="7141" customFormat="false" ht="17.15" hidden="false" customHeight="false" outlineLevel="0" collapsed="false">
      <c r="A7141" s="0" t="s">
        <v>1241</v>
      </c>
      <c r="B7141" s="0" t="s">
        <v>98</v>
      </c>
      <c r="F7141" s="6" t="n">
        <f aca="false">Sens!F6993-Sens!F6994+Sens!F7075</f>
        <v>43.3995450503567</v>
      </c>
      <c r="G7141" s="6" t="n">
        <f aca="false">Sens!G6993-Sens!G6994+Sens!G7075</f>
        <v>84.061564192037</v>
      </c>
      <c r="H7141" s="6" t="n">
        <f aca="false">Sens!H6993-Sens!H6994+Sens!H7075</f>
        <v>127.560446342936</v>
      </c>
      <c r="I7141" s="6" t="n">
        <f aca="false">Sens!I6993-Sens!I6994+Sens!I7075</f>
        <v>166.172776022983</v>
      </c>
      <c r="J7141" s="6" t="n">
        <f aca="false">Sens!J6993-Sens!J6994+Sens!J7075</f>
        <v>193.242012030014</v>
      </c>
      <c r="K7141" s="6" t="n">
        <f aca="false">Sens!K6993-Sens!K6994+Sens!K7075</f>
        <v>210.05612838335</v>
      </c>
    </row>
    <row r="7142" customFormat="false" ht="17.15" hidden="false" customHeight="false" outlineLevel="0" collapsed="false">
      <c r="A7142" s="0" t="s">
        <v>1242</v>
      </c>
      <c r="B7142" s="0" t="s">
        <v>98</v>
      </c>
      <c r="F7142" s="6" t="n">
        <f aca="false">Sens!F7054+Sens!F7075+Sens!F7005+Sens!F7135*(Sens!F7024-Sens!F6987)+sbc_r*Sens!F7024</f>
        <v>238.252964964219</v>
      </c>
      <c r="G7142" s="6" t="n">
        <f aca="false">Sens!G7054+Sens!G7075+Sens!G7005+Sens!G7135*(Sens!G7024-Sens!G6987)+sbc_r*Sens!G7024</f>
        <v>299.888982534979</v>
      </c>
      <c r="H7142" s="6" t="n">
        <f aca="false">Sens!H7054+Sens!H7075+Sens!H7005+Sens!H7135*(Sens!H7024-Sens!H6987)+sbc_r*Sens!H7024</f>
        <v>369.268448147907</v>
      </c>
      <c r="I7142" s="6" t="n">
        <f aca="false">Sens!I7054+Sens!I7075+Sens!I7005+Sens!I7135*(Sens!I7024-Sens!I6987)+sbc_r*Sens!I7024</f>
        <v>432.82922430887</v>
      </c>
      <c r="J7142" s="6" t="n">
        <f aca="false">Sens!J7054+Sens!J7075+Sens!J7005+Sens!J7135*(Sens!J7024-Sens!J6987)+sbc_r*Sens!J7024</f>
        <v>482.844400746705</v>
      </c>
      <c r="K7142" s="6" t="n">
        <f aca="false">Sens!K7054+Sens!K7075+Sens!K7005+Sens!K7135*(Sens!K7024-Sens!K6987)+sbc_r*Sens!K7024</f>
        <v>520.20309130161</v>
      </c>
    </row>
    <row r="7143" customFormat="false" ht="17.15" hidden="false" customHeight="false" outlineLevel="0" collapsed="false">
      <c r="A7143" s="0" t="s">
        <v>1243</v>
      </c>
      <c r="B7143" s="0" t="s">
        <v>98</v>
      </c>
      <c r="F7143" s="6" t="n">
        <f aca="false">Sens!F7142-Sens!F7136-Sens!F7137-Sens!F7138-Sens!F7139-Sens!F7141</f>
        <v>66.4265783032602</v>
      </c>
      <c r="G7143" s="6" t="n">
        <f aca="false">Sens!G7142-Sens!G7136-Sens!G7137-Sens!G7138-Sens!G7139-Sens!G7141</f>
        <v>74.722707778307</v>
      </c>
      <c r="H7143" s="6" t="n">
        <f aca="false">Sens!H7142-Sens!H7136-Sens!H7137-Sens!H7138-Sens!H7139-Sens!H7141</f>
        <v>87.7840386899045</v>
      </c>
      <c r="I7143" s="6" t="n">
        <f aca="false">Sens!I7142-Sens!I7136-Sens!I7137-Sens!I7138-Sens!I7139-Sens!I7141</f>
        <v>100.470223139381</v>
      </c>
      <c r="J7143" s="6" t="n">
        <f aca="false">Sens!J7142-Sens!J7136-Sens!J7137-Sens!J7138-Sens!J7139-Sens!J7141</f>
        <v>111.930098331311</v>
      </c>
      <c r="K7143" s="6" t="n">
        <f aca="false">Sens!K7142-Sens!K7136-Sens!K7137-Sens!K7138-Sens!K7139-Sens!K7141</f>
        <v>121.492407523874</v>
      </c>
    </row>
    <row r="7144" customFormat="false" ht="17.15" hidden="false" customHeight="false" outlineLevel="0" collapsed="false">
      <c r="A7144" s="0" t="s">
        <v>1244</v>
      </c>
      <c r="B7144" s="0" t="s">
        <v>98</v>
      </c>
      <c r="F7144" s="6" t="n">
        <f aca="false">Sens!F7056+Sens!F7135*Sens!F7031+sbc_r*Sens!F7031</f>
        <v>26.6483962281556</v>
      </c>
      <c r="G7144" s="6" t="n">
        <f aca="false">Sens!G7056+Sens!G7135*Sens!G7031+sbc_r*Sens!G7031</f>
        <v>26.5119497170422</v>
      </c>
      <c r="H7144" s="6" t="n">
        <f aca="false">Sens!H7056+Sens!H7135*Sens!H7031+sbc_r*Sens!H7031</f>
        <v>27.4035504778537</v>
      </c>
      <c r="I7144" s="6" t="n">
        <f aca="false">Sens!I7056+Sens!I7135*Sens!I7031+sbc_r*Sens!I7031</f>
        <v>28.5207314764627</v>
      </c>
      <c r="J7144" s="6" t="n">
        <f aca="false">Sens!J7056+Sens!J7135*Sens!J7031+sbc_r*Sens!J7031</f>
        <v>29.8322766016073</v>
      </c>
      <c r="K7144" s="6" t="n">
        <f aca="false">Sens!K7056+Sens!K7135*Sens!K7031+sbc_r*Sens!K7031</f>
        <v>31.3090344749442</v>
      </c>
    </row>
    <row r="7145" customFormat="false" ht="17.15" hidden="false" customHeight="false" outlineLevel="0" collapsed="false">
      <c r="A7145" s="0" t="s">
        <v>1245</v>
      </c>
      <c r="B7145" s="0" t="s">
        <v>98</v>
      </c>
      <c r="F7145" s="6" t="n">
        <f aca="false">(Sens!F7144-Sens!F7140)*Sens!F7027/(Sens!F7027+Sens!F7029)</f>
        <v>8.72761940379699</v>
      </c>
      <c r="G7145" s="6" t="n">
        <f aca="false">(Sens!G7144-Sens!G7140)*Sens!G7027/(Sens!G7027+Sens!G7029)</f>
        <v>7.89983911734008</v>
      </c>
      <c r="H7145" s="6" t="n">
        <f aca="false">(Sens!H7144-Sens!H7140)*Sens!H7027/(Sens!H7027+Sens!H7029)</f>
        <v>7.66798486951439</v>
      </c>
      <c r="I7145" s="6" t="n">
        <f aca="false">(Sens!I7144-Sens!I7140)*Sens!I7027/(Sens!I7027+Sens!I7029)</f>
        <v>7.57958301973797</v>
      </c>
      <c r="J7145" s="6" t="n">
        <f aca="false">(Sens!J7144-Sens!J7140)*Sens!J7027/(Sens!J7027+Sens!J7029)</f>
        <v>7.62424517581943</v>
      </c>
      <c r="K7145" s="6" t="n">
        <f aca="false">(Sens!K7144-Sens!K7140)*Sens!K7027/(Sens!K7027+Sens!K7029)</f>
        <v>7.79814569175982</v>
      </c>
    </row>
    <row r="7146" customFormat="false" ht="17.15" hidden="false" customHeight="false" outlineLevel="0" collapsed="false">
      <c r="A7146" s="0" t="s">
        <v>1246</v>
      </c>
      <c r="B7146" s="0" t="s">
        <v>98</v>
      </c>
      <c r="F7146" s="6" t="n">
        <f aca="false">Sens!F7144-Sens!F7140-Sens!F7145</f>
        <v>6.72536074145821</v>
      </c>
      <c r="G7146" s="6" t="n">
        <f aca="false">Sens!G7144-Sens!G7140-Sens!G7145</f>
        <v>6.33208066087126</v>
      </c>
      <c r="H7146" s="6" t="n">
        <f aca="false">Sens!H7144-Sens!H7140-Sens!H7145</f>
        <v>6.32857262978775</v>
      </c>
      <c r="I7146" s="6" t="n">
        <f aca="false">Sens!I7144-Sens!I7140-Sens!I7145</f>
        <v>6.3774356485937</v>
      </c>
      <c r="J7146" s="6" t="n">
        <f aca="false">Sens!J7144-Sens!J7140-Sens!J7145</f>
        <v>6.47653527429071</v>
      </c>
      <c r="K7146" s="6" t="n">
        <f aca="false">Sens!K7144-Sens!K7140-Sens!K7145</f>
        <v>6.62425780940504</v>
      </c>
    </row>
    <row r="7147" customFormat="false" ht="17.15" hidden="false" customHeight="false" outlineLevel="0" collapsed="false">
      <c r="A7147" s="0" t="s">
        <v>1247</v>
      </c>
      <c r="B7147" s="0" t="s">
        <v>98</v>
      </c>
      <c r="F7147" s="6" t="n">
        <f aca="false">Sens!F7141-tax_f*(Sens!F7141-Sens!F7005)-Sens!F7002</f>
        <v>-126.818405106164</v>
      </c>
      <c r="G7147" s="6" t="n">
        <f aca="false">Sens!G7141-tax_f*(Sens!G7141-Sens!G7005)-Sens!G7002</f>
        <v>-112.548326164959</v>
      </c>
      <c r="H7147" s="6" t="n">
        <f aca="false">Sens!H7141-tax_f*(Sens!H7141-Sens!H7005)-Sens!H7002</f>
        <v>-76.9376288578741</v>
      </c>
      <c r="I7147" s="6" t="n">
        <f aca="false">Sens!I7141-tax_f*(Sens!I7141-Sens!I7005)-Sens!I7002</f>
        <v>-12.8304108643142</v>
      </c>
      <c r="J7147" s="6" t="n">
        <f aca="false">Sens!J7141-tax_f*(Sens!J7141-Sens!J7005)-Sens!J7002</f>
        <v>52.06681303799</v>
      </c>
      <c r="K7147" s="6" t="n">
        <f aca="false">Sens!K7141-tax_f*(Sens!K7141-Sens!K7005)-Sens!K7002</f>
        <v>77.6845835521341</v>
      </c>
    </row>
    <row r="7148" customFormat="false" ht="17.15" hidden="false" customHeight="false" outlineLevel="0" collapsed="false">
      <c r="A7148" s="0" t="s">
        <v>1248</v>
      </c>
      <c r="B7148" s="0" t="s">
        <v>98</v>
      </c>
      <c r="G7148" s="6" t="n">
        <f aca="false">Sens!G7147/(1+wacc)^(Sens!G7118-Sens!F7119)</f>
        <v>-107.167664918547</v>
      </c>
      <c r="H7148" s="6" t="n">
        <f aca="false">Sens!H7147/(1+wacc)^(Sens!H7118-Sens!F7119)</f>
        <v>-66.4221577963264</v>
      </c>
      <c r="I7148" s="6" t="n">
        <f aca="false">Sens!I7147/(1+wacc)^(Sens!I7118-Sens!F7119)</f>
        <v>-10.0430170771347</v>
      </c>
      <c r="J7148" s="6" t="n">
        <f aca="false">Sens!J7147/(1+wacc)^(Sens!J7118-Sens!F7119)</f>
        <v>36.9516714613417</v>
      </c>
      <c r="K7148" s="6" t="n">
        <f aca="false">Sens!K7147/(1+wacc)^(Sens!K7118-Sens!F7119)</f>
        <v>49.9870363677034</v>
      </c>
      <c r="L7148" s="1" t="s">
        <v>1249</v>
      </c>
    </row>
    <row r="7149" customFormat="false" ht="17.15" hidden="false" customHeight="false" outlineLevel="0" collapsed="false">
      <c r="A7149" s="0" t="s">
        <v>1250</v>
      </c>
      <c r="B7149" s="0" t="s">
        <v>98</v>
      </c>
      <c r="C7149" s="6" t="n">
        <f aca="false">(Sens!K7141-Sens!K7005)*(1-tax_f)*(1+g_tv)*(1-g_tv/(wacc+ronic_prem))/(wacc-g_tv)/(1+wacc)^(Sens!K7119-Sens!F7119)</f>
        <v>328.822189592764</v>
      </c>
    </row>
    <row r="7150" customFormat="false" ht="17.15" hidden="false" customHeight="false" outlineLevel="0" collapsed="false">
      <c r="A7150" s="1" t="s">
        <v>1251</v>
      </c>
      <c r="B7150" s="0" t="s">
        <v>98</v>
      </c>
      <c r="C7150" s="6" t="n">
        <f aca="false">(SUM(Sens!G7148:K7148)+Sens!$C$7149)*(1+wacc)^(t_roll-Sens!F7119)</f>
        <v>239.791306819512</v>
      </c>
      <c r="L7150" s="12" t="s">
        <v>1252</v>
      </c>
    </row>
    <row r="7151" customFormat="false" ht="17.15" hidden="false" customHeight="false" outlineLevel="0" collapsed="false">
      <c r="A7151" s="1" t="s">
        <v>1253</v>
      </c>
      <c r="B7151" s="0" t="s">
        <v>98</v>
      </c>
      <c r="C7151" s="6" t="n">
        <f aca="false">(w_ntm28*Sens!G6993+(1-w_ntm28)*Sens!H6993)*m_ai</f>
        <v>463.789109510335</v>
      </c>
    </row>
    <row r="7152" customFormat="false" ht="17.15" hidden="false" customHeight="false" outlineLevel="0" collapsed="false">
      <c r="A7152" s="1" t="s">
        <v>1254</v>
      </c>
      <c r="B7152" s="0" t="s">
        <v>98</v>
      </c>
      <c r="C7152" s="6" t="n">
        <f aca="false">(w_ntm28*Sens!G7143+(1-w_ntm28)*Sens!H7143)*m_cloud</f>
        <v>1092.01278364358</v>
      </c>
    </row>
    <row r="7153" customFormat="false" ht="17.15" hidden="false" customHeight="false" outlineLevel="0" collapsed="false">
      <c r="A7153" s="1" t="s">
        <v>1255</v>
      </c>
      <c r="B7153" s="0" t="s">
        <v>98</v>
      </c>
      <c r="C7153" s="6" t="n">
        <f aca="false">(w_ntm28*Sens!G7136+(1-w_ntm28)*Sens!H7136)*m_sw</f>
        <v>1045.32898701917</v>
      </c>
    </row>
    <row r="7154" customFormat="false" ht="17.15" hidden="false" customHeight="false" outlineLevel="0" collapsed="false">
      <c r="A7154" s="1" t="s">
        <v>1256</v>
      </c>
      <c r="B7154" s="0" t="s">
        <v>98</v>
      </c>
      <c r="C7154" s="6" t="n">
        <f aca="false">(w_ntm28*Sens!G7137+(1-w_ntm28)*Sens!H7137)*m_sw</f>
        <v>373.225369094003</v>
      </c>
    </row>
    <row r="7155" customFormat="false" ht="17.15" hidden="false" customHeight="false" outlineLevel="0" collapsed="false">
      <c r="A7155" s="1" t="s">
        <v>1257</v>
      </c>
      <c r="B7155" s="0" t="s">
        <v>98</v>
      </c>
      <c r="C7155" s="6" t="n">
        <f aca="false">(w_ntm28*Sens!G7138+(1-w_ntm28)*Sens!H7138)*m_sw</f>
        <v>109.32951434744</v>
      </c>
    </row>
    <row r="7156" customFormat="false" ht="17.15" hidden="false" customHeight="false" outlineLevel="0" collapsed="false">
      <c r="A7156" s="1" t="s">
        <v>1258</v>
      </c>
      <c r="B7156" s="0" t="s">
        <v>98</v>
      </c>
      <c r="C7156" s="6" t="n">
        <f aca="false">(w_ntm28*Sens!G7139+(1-w_ntm28)*Sens!H7139)*m_sw</f>
        <v>41.5641305014386</v>
      </c>
    </row>
    <row r="7157" customFormat="false" ht="17.15" hidden="false" customHeight="false" outlineLevel="0" collapsed="false">
      <c r="A7157" s="1" t="s">
        <v>1259</v>
      </c>
      <c r="B7157" s="0" t="s">
        <v>98</v>
      </c>
      <c r="C7157" s="6" t="n">
        <f aca="false">(w_ntm28*Sens!G7140+(1-w_ntm28)*Sens!H7140)*m_ads</f>
        <v>115.246404235962</v>
      </c>
    </row>
    <row r="7158" customFormat="false" ht="17.15" hidden="false" customHeight="false" outlineLevel="0" collapsed="false">
      <c r="A7158" s="1" t="s">
        <v>1260</v>
      </c>
      <c r="B7158" s="0" t="s">
        <v>98</v>
      </c>
      <c r="C7158" s="6" t="n">
        <f aca="false">(w_ntm28*Sens!G7145+(1-w_ntm28)*Sens!H7145)*m_game</f>
        <v>98.8122329889789</v>
      </c>
    </row>
    <row r="7159" customFormat="false" ht="17.15" hidden="false" customHeight="false" outlineLevel="0" collapsed="false">
      <c r="A7159" s="1" t="s">
        <v>1261</v>
      </c>
      <c r="B7159" s="0" t="s">
        <v>98</v>
      </c>
      <c r="C7159" s="6" t="n">
        <f aca="false">(w_ntm28*Sens!G7146+(1-w_ntm28)*Sens!H7146)*m_pc</f>
        <v>91.6085185458937</v>
      </c>
    </row>
    <row r="7160" customFormat="false" ht="17.15" hidden="false" customHeight="false" outlineLevel="0" collapsed="false">
      <c r="A7160" s="1" t="s">
        <v>1262</v>
      </c>
      <c r="B7160" s="0" t="s">
        <v>98</v>
      </c>
      <c r="C7160" s="6" t="n">
        <f aca="false">Sens!$C$7150+Sens!$C$7152+Sens!$C$7153+Sens!$C$7154+Sens!$C$7155+Sens!$C$7156+Sens!$C$7157+Sens!$C$7158+Sens!$C$7159</f>
        <v>3206.91924719598</v>
      </c>
    </row>
    <row r="7161" customFormat="false" ht="17.15" hidden="false" customHeight="false" outlineLevel="0" collapsed="false">
      <c r="A7161" s="1" t="s">
        <v>1263</v>
      </c>
      <c r="B7161" s="0" t="s">
        <v>98</v>
      </c>
      <c r="C7161" s="6" t="n">
        <f aca="false">(Sens!G7122-Sens!G7147)*t_stub</f>
        <v>47.3717556727683</v>
      </c>
      <c r="L7161" s="1" t="s">
        <v>1264</v>
      </c>
    </row>
    <row r="7162" customFormat="false" ht="17.15" hidden="false" customHeight="false" outlineLevel="0" collapsed="false">
      <c r="A7162" s="1" t="s">
        <v>1173</v>
      </c>
      <c r="B7162" s="0" t="s">
        <v>98</v>
      </c>
      <c r="C7162" s="6" t="n">
        <f aca="false">Sens!F7109+oai_v-Sens!F7098+Sens!$C$7161</f>
        <v>161.31874662653</v>
      </c>
      <c r="L7162" s="1" t="s">
        <v>1265</v>
      </c>
    </row>
    <row r="7163" customFormat="false" ht="17.15" hidden="false" customHeight="false" outlineLevel="0" collapsed="false">
      <c r="A7163" s="1" t="s">
        <v>1266</v>
      </c>
      <c r="B7163" s="0" t="s">
        <v>75</v>
      </c>
      <c r="C7163" s="5" t="n">
        <f aca="false">(Sens!$C$7160+Sens!$C$7162)/(Sens!F7111+dil_gap)-Sens!G7101*roll_div_q/q_per_yr</f>
        <v>448.298546134273</v>
      </c>
      <c r="L7163" s="1" t="s">
        <v>1267</v>
      </c>
    </row>
    <row r="7164" customFormat="false" ht="17.15" hidden="false" customHeight="false" outlineLevel="0" collapsed="false">
      <c r="A7164" s="1" t="s">
        <v>1268</v>
      </c>
      <c r="B7164" s="0" t="s">
        <v>75</v>
      </c>
      <c r="C7164" s="5" t="n">
        <f aca="false">w_dcf*Sens!$C$7134+(1-w_dcf)*Sens!$C$7163</f>
        <v>387.639527863988</v>
      </c>
    </row>
    <row r="7165" customFormat="false" ht="17.15" hidden="false" customHeight="false" outlineLevel="0" collapsed="false">
      <c r="A7165" s="3" t="s">
        <v>1790</v>
      </c>
    </row>
    <row r="7166" customFormat="false" ht="15" hidden="false" customHeight="false" outlineLevel="0" collapsed="false">
      <c r="A7166" s="4" t="s">
        <v>43</v>
      </c>
      <c r="B7166" s="4" t="s">
        <v>65</v>
      </c>
      <c r="C7166" s="23" t="s">
        <v>942</v>
      </c>
      <c r="D7166" s="23" t="s">
        <v>943</v>
      </c>
      <c r="E7166" s="23" t="s">
        <v>944</v>
      </c>
      <c r="F7166" s="23" t="s">
        <v>945</v>
      </c>
      <c r="G7166" s="23" t="s">
        <v>946</v>
      </c>
      <c r="H7166" s="23" t="s">
        <v>947</v>
      </c>
      <c r="I7166" s="23" t="s">
        <v>948</v>
      </c>
      <c r="J7166" s="23" t="s">
        <v>949</v>
      </c>
      <c r="K7166" s="23" t="s">
        <v>950</v>
      </c>
      <c r="L7166" s="4" t="s">
        <v>47</v>
      </c>
    </row>
    <row r="7167" customFormat="false" ht="17.15" hidden="false" customHeight="false" outlineLevel="0" collapsed="false">
      <c r="A7167" s="1" t="s">
        <v>951</v>
      </c>
      <c r="B7167" s="1" t="s">
        <v>279</v>
      </c>
      <c r="C7167" s="21" t="n">
        <v>2024</v>
      </c>
      <c r="D7167" s="21" t="n">
        <v>2025</v>
      </c>
      <c r="E7167" s="21" t="n">
        <v>2026</v>
      </c>
      <c r="F7167" s="21" t="n">
        <v>2027</v>
      </c>
      <c r="G7167" s="21" t="n">
        <v>2028</v>
      </c>
      <c r="H7167" s="21" t="n">
        <v>2029</v>
      </c>
      <c r="I7167" s="21" t="n">
        <v>2030</v>
      </c>
      <c r="J7167" s="21" t="n">
        <v>2031</v>
      </c>
      <c r="K7167" s="21" t="n">
        <v>2032</v>
      </c>
    </row>
    <row r="7168" customFormat="false" ht="17.15" hidden="false" customHeight="false" outlineLevel="0" collapsed="false">
      <c r="A7168" s="1" t="s">
        <v>952</v>
      </c>
      <c r="B7168" s="0" t="s">
        <v>459</v>
      </c>
      <c r="F7168" s="30" t="n">
        <f aca="false">pace</f>
        <v>2726.5351</v>
      </c>
      <c r="G7168" s="30" t="n">
        <f aca="false">pace</f>
        <v>2726.5351</v>
      </c>
      <c r="H7168" s="30" t="n">
        <f aca="false">pace</f>
        <v>2726.5351</v>
      </c>
      <c r="I7168" s="30" t="n">
        <f aca="false">pace+(g_tv*Sens!H7169-pace)*MIN(1,(Sens!I7167-pace_y0)/(pace_y1-pace_y0))</f>
        <v>1931.98611966667</v>
      </c>
      <c r="J7168" s="30" t="n">
        <f aca="false">pace+(g_tv*Sens!I7169-pace)*MIN(1,(Sens!J7167-pace_y0)/(pace_y1-pace_y0))</f>
        <v>1176.07686172667</v>
      </c>
      <c r="K7168" s="30" t="n">
        <f aca="false">pace+(g_tv*Sens!J7169-pace)*MIN(1,(Sens!K7167-pace_y0)/(pace_y1-pace_y0))</f>
        <v>436.1300484418</v>
      </c>
      <c r="L7168" s="12" t="s">
        <v>953</v>
      </c>
    </row>
    <row r="7169" customFormat="false" ht="17.15" hidden="false" customHeight="false" outlineLevel="0" collapsed="false">
      <c r="A7169" s="1" t="s">
        <v>954</v>
      </c>
      <c r="B7169" s="0" t="s">
        <v>459</v>
      </c>
      <c r="C7169" s="30" t="n">
        <f aca="false">mw_ext_24</f>
        <v>640</v>
      </c>
      <c r="D7169" s="30" t="n">
        <f aca="false">mw_ext_25</f>
        <v>1630</v>
      </c>
      <c r="E7169" s="30" t="n">
        <f aca="false">mw_ext_26</f>
        <v>3250</v>
      </c>
      <c r="F7169" s="30" t="n">
        <f aca="false">Sens!E7169+Sens!F7168</f>
        <v>5976.5351</v>
      </c>
      <c r="G7169" s="30" t="n">
        <f aca="false">Sens!F7169+Sens!G7168</f>
        <v>8703.0702</v>
      </c>
      <c r="H7169" s="30" t="n">
        <f aca="false">Sens!G7169+Sens!H7168</f>
        <v>11429.6053</v>
      </c>
      <c r="I7169" s="30" t="n">
        <f aca="false">Sens!H7169+Sens!I7168</f>
        <v>13361.5914196667</v>
      </c>
      <c r="J7169" s="30" t="n">
        <f aca="false">Sens!I7169+Sens!J7168</f>
        <v>14537.6682813933</v>
      </c>
      <c r="K7169" s="30" t="n">
        <f aca="false">Sens!J7169+Sens!K7168</f>
        <v>14973.7983298351</v>
      </c>
      <c r="L7169" s="1" t="s">
        <v>955</v>
      </c>
    </row>
    <row r="7170" customFormat="false" ht="17.15" hidden="false" customHeight="false" outlineLevel="0" collapsed="false">
      <c r="A7170" s="1" t="s">
        <v>956</v>
      </c>
      <c r="B7170" s="0" t="s">
        <v>459</v>
      </c>
      <c r="C7170" s="30" t="n">
        <f aca="false">rent_ext_24</f>
        <v>150</v>
      </c>
      <c r="D7170" s="30" t="n">
        <f aca="false">rent_ext_25</f>
        <v>400</v>
      </c>
      <c r="E7170" s="30" t="n">
        <f aca="false">rent_ext_26</f>
        <v>550</v>
      </c>
      <c r="F7170" s="30" t="n">
        <f aca="false">rent_ext_f</f>
        <v>756</v>
      </c>
      <c r="G7170" s="30" t="n">
        <f aca="false">rent_ext_f</f>
        <v>756</v>
      </c>
      <c r="H7170" s="30" t="n">
        <f aca="false">rent_ext_f</f>
        <v>756</v>
      </c>
      <c r="I7170" s="30" t="n">
        <f aca="false">rent_ext_f</f>
        <v>756</v>
      </c>
      <c r="J7170" s="30" t="n">
        <f aca="false">rent_ext_f</f>
        <v>756</v>
      </c>
      <c r="K7170" s="30" t="n">
        <f aca="false">rent_ext_f</f>
        <v>756</v>
      </c>
      <c r="L7170" s="1" t="s">
        <v>957</v>
      </c>
    </row>
    <row r="7171" customFormat="false" ht="17.15" hidden="false" customHeight="false" outlineLevel="0" collapsed="false">
      <c r="A7171" s="1" t="s">
        <v>958</v>
      </c>
      <c r="B7171" s="0" t="s">
        <v>459</v>
      </c>
      <c r="C7171" s="30" t="n">
        <f aca="false">Sens!C7169-Sens!C7170</f>
        <v>490</v>
      </c>
      <c r="D7171" s="30" t="n">
        <f aca="false">Sens!D7169-Sens!D7170</f>
        <v>1230</v>
      </c>
      <c r="E7171" s="30" t="n">
        <f aca="false">Sens!E7169-Sens!E7170</f>
        <v>2700</v>
      </c>
      <c r="F7171" s="30" t="n">
        <f aca="false">Sens!F7169-Sens!F7170</f>
        <v>5220.5351</v>
      </c>
      <c r="G7171" s="30" t="n">
        <f aca="false">Sens!G7169-Sens!G7170</f>
        <v>7947.0702</v>
      </c>
      <c r="H7171" s="30" t="n">
        <f aca="false">Sens!H7169-Sens!H7170</f>
        <v>10673.6053</v>
      </c>
      <c r="I7171" s="30" t="n">
        <f aca="false">Sens!I7169-Sens!I7170</f>
        <v>12605.5914196667</v>
      </c>
      <c r="J7171" s="30" t="n">
        <f aca="false">Sens!J7169-Sens!J7170</f>
        <v>13781.6682813933</v>
      </c>
      <c r="K7171" s="30" t="n">
        <f aca="false">Sens!K7169-Sens!K7170</f>
        <v>14217.7983298351</v>
      </c>
    </row>
    <row r="7172" customFormat="false" ht="17.15" hidden="false" customHeight="false" outlineLevel="0" collapsed="false">
      <c r="A7172" s="1" t="s">
        <v>959</v>
      </c>
      <c r="B7172" s="0" t="s">
        <v>459</v>
      </c>
      <c r="C7172" s="30" t="n">
        <f aca="false">Sens!C7171/ext_sh</f>
        <v>816.666666666667</v>
      </c>
      <c r="D7172" s="30" t="n">
        <f aca="false">Sens!D7171/ext_sh</f>
        <v>2050</v>
      </c>
      <c r="E7172" s="30" t="n">
        <f aca="false">Sens!E7171/ext_sh</f>
        <v>4500</v>
      </c>
      <c r="F7172" s="30" t="n">
        <f aca="false">Sens!F7171/ext_sh</f>
        <v>8700.89183333333</v>
      </c>
      <c r="G7172" s="30" t="n">
        <f aca="false">Sens!G7171/ext_sh</f>
        <v>13245.117</v>
      </c>
      <c r="H7172" s="30" t="n">
        <f aca="false">Sens!H7171/ext_sh</f>
        <v>17789.3421666667</v>
      </c>
      <c r="I7172" s="30" t="n">
        <f aca="false">Sens!I7171/ext_sh</f>
        <v>21009.3190327778</v>
      </c>
      <c r="J7172" s="30" t="n">
        <f aca="false">Sens!J7171/ext_sh</f>
        <v>22969.4471356556</v>
      </c>
      <c r="K7172" s="30" t="n">
        <f aca="false">Sens!K7171/ext_sh</f>
        <v>23696.3305497252</v>
      </c>
      <c r="L7172" s="1" t="s">
        <v>960</v>
      </c>
    </row>
    <row r="7173" customFormat="false" ht="17.15" hidden="false" customHeight="false" outlineLevel="0" collapsed="false">
      <c r="A7173" s="1" t="s">
        <v>961</v>
      </c>
      <c r="B7173" s="0" t="s">
        <v>459</v>
      </c>
      <c r="C7173" s="30" t="n">
        <f aca="false">Sens!C7172-Sens!C7171</f>
        <v>326.666666666667</v>
      </c>
      <c r="D7173" s="30" t="n">
        <f aca="false">Sens!D7172-Sens!D7171</f>
        <v>820</v>
      </c>
      <c r="E7173" s="30" t="n">
        <f aca="false">Sens!E7172-Sens!E7171</f>
        <v>1800</v>
      </c>
      <c r="F7173" s="30" t="n">
        <f aca="false">Sens!F7172-Sens!F7171</f>
        <v>3480.35673333333</v>
      </c>
      <c r="G7173" s="30" t="n">
        <f aca="false">Sens!G7172-Sens!G7171</f>
        <v>5298.0468</v>
      </c>
      <c r="H7173" s="30" t="n">
        <f aca="false">Sens!H7172-Sens!H7171</f>
        <v>7115.73686666667</v>
      </c>
      <c r="I7173" s="30" t="n">
        <f aca="false">Sens!I7172-Sens!I7171</f>
        <v>8403.72761311111</v>
      </c>
      <c r="J7173" s="30" t="n">
        <f aca="false">Sens!J7172-Sens!J7171</f>
        <v>9187.77885426222</v>
      </c>
      <c r="K7173" s="30" t="n">
        <f aca="false">Sens!K7172-Sens!K7171</f>
        <v>9478.53221989009</v>
      </c>
    </row>
    <row r="7174" customFormat="false" ht="17.15" hidden="false" customHeight="false" outlineLevel="0" collapsed="false">
      <c r="A7174" s="1" t="s">
        <v>962</v>
      </c>
      <c r="B7174" s="0" t="s">
        <v>459</v>
      </c>
      <c r="C7174" s="30" t="n">
        <f aca="false">Sens!C7172</f>
        <v>816.666666666667</v>
      </c>
      <c r="D7174" s="30" t="n">
        <f aca="false">Sens!D7172-Sens!C7172</f>
        <v>1233.33333333333</v>
      </c>
      <c r="E7174" s="30" t="n">
        <f aca="false">Sens!E7172-Sens!D7172</f>
        <v>2450</v>
      </c>
      <c r="F7174" s="30" t="n">
        <f aca="false">Sens!F7172-Sens!E7172</f>
        <v>4200.89183333333</v>
      </c>
      <c r="G7174" s="30" t="n">
        <f aca="false">Sens!G7172-Sens!F7172</f>
        <v>4544.22516666667</v>
      </c>
      <c r="H7174" s="30" t="n">
        <f aca="false">Sens!H7172-Sens!G7172</f>
        <v>4544.22516666667</v>
      </c>
      <c r="I7174" s="30" t="n">
        <f aca="false">Sens!I7172-Sens!H7172</f>
        <v>3219.97686611111</v>
      </c>
      <c r="J7174" s="30" t="n">
        <f aca="false">Sens!J7172-Sens!I7172</f>
        <v>1960.12810287778</v>
      </c>
      <c r="K7174" s="30" t="n">
        <f aca="false">Sens!K7172-Sens!J7172</f>
        <v>726.883414069667</v>
      </c>
    </row>
    <row r="7175" customFormat="false" ht="17.15" hidden="false" customHeight="false" outlineLevel="0" collapsed="false">
      <c r="A7175" s="1" t="s">
        <v>963</v>
      </c>
      <c r="B7175" s="0" t="s">
        <v>459</v>
      </c>
      <c r="D7175" s="30" t="n">
        <f aca="false">Sens!D7169-Sens!C7169</f>
        <v>990</v>
      </c>
      <c r="E7175" s="30" t="n">
        <f aca="false">Sens!E7169-Sens!D7169</f>
        <v>1620</v>
      </c>
      <c r="F7175" s="30" t="n">
        <f aca="false">Sens!F7169-Sens!E7169</f>
        <v>2726.5351</v>
      </c>
      <c r="G7175" s="30" t="n">
        <f aca="false">Sens!G7169-Sens!F7169</f>
        <v>2726.5351</v>
      </c>
      <c r="H7175" s="30" t="n">
        <f aca="false">Sens!H7169-Sens!G7169</f>
        <v>2726.5351</v>
      </c>
      <c r="I7175" s="30" t="n">
        <f aca="false">Sens!I7169-Sens!H7169</f>
        <v>1931.98611966667</v>
      </c>
      <c r="J7175" s="30" t="n">
        <f aca="false">Sens!J7169-Sens!I7169</f>
        <v>1176.07686172667</v>
      </c>
      <c r="K7175" s="30" t="n">
        <f aca="false">Sens!K7169-Sens!J7169</f>
        <v>436.130048441799</v>
      </c>
    </row>
    <row r="7176" customFormat="false" ht="17.15" hidden="false" customHeight="false" outlineLevel="0" collapsed="false">
      <c r="A7176" s="1" t="s">
        <v>964</v>
      </c>
      <c r="B7176" s="0" t="s">
        <v>459</v>
      </c>
      <c r="F7176" s="30" t="n">
        <f aca="false">Sens!F7195*ext_sh</f>
        <v>0</v>
      </c>
      <c r="G7176" s="30" t="n">
        <f aca="false">Sens!G7195*ext_sh</f>
        <v>0</v>
      </c>
      <c r="H7176" s="30" t="n">
        <f aca="false">Sens!H7195*ext_sh</f>
        <v>0</v>
      </c>
      <c r="I7176" s="30" t="n">
        <f aca="false">Sens!I7195*ext_sh</f>
        <v>490</v>
      </c>
      <c r="J7176" s="30" t="n">
        <f aca="false">Sens!J7195*ext_sh</f>
        <v>740</v>
      </c>
      <c r="K7176" s="30" t="n">
        <f aca="false">Sens!K7195*ext_sh</f>
        <v>1470</v>
      </c>
      <c r="L7176" s="1" t="s">
        <v>965</v>
      </c>
    </row>
    <row r="7177" customFormat="false" ht="17.15" hidden="false" customHeight="false" outlineLevel="0" collapsed="false">
      <c r="A7177" s="1" t="s">
        <v>966</v>
      </c>
      <c r="B7177" s="0" t="s">
        <v>459</v>
      </c>
      <c r="C7177" s="30" t="n">
        <f aca="false">mix_h*Sens!C7169</f>
        <v>128</v>
      </c>
      <c r="D7177" s="30" t="n">
        <f aca="false">mix_h*Sens!D7169</f>
        <v>326</v>
      </c>
      <c r="E7177" s="30" t="n">
        <f aca="false">mix_h*Sens!E7169</f>
        <v>650</v>
      </c>
      <c r="F7177" s="30" t="n">
        <f aca="false">Sens!E7177-Sens!F7176*mix_h</f>
        <v>650</v>
      </c>
      <c r="G7177" s="30" t="n">
        <f aca="false">Sens!F7177-Sens!G7176*mix_h</f>
        <v>650</v>
      </c>
      <c r="H7177" s="30" t="n">
        <f aca="false">Sens!G7177-Sens!H7176*mix_h</f>
        <v>650</v>
      </c>
      <c r="I7177" s="30" t="n">
        <f aca="false">Sens!H7177-Sens!I7176*mix_h</f>
        <v>552</v>
      </c>
      <c r="J7177" s="30" t="n">
        <f aca="false">Sens!I7177-Sens!J7176*mix_h</f>
        <v>404</v>
      </c>
      <c r="K7177" s="30" t="n">
        <f aca="false">Sens!J7177-Sens!K7176*mix_h</f>
        <v>110</v>
      </c>
    </row>
    <row r="7178" customFormat="false" ht="17.15" hidden="false" customHeight="false" outlineLevel="0" collapsed="false">
      <c r="A7178" s="1" t="s">
        <v>967</v>
      </c>
      <c r="B7178" s="0" t="s">
        <v>459</v>
      </c>
      <c r="C7178" s="30" t="n">
        <f aca="false">mix_g2*Sens!C7169</f>
        <v>288</v>
      </c>
      <c r="D7178" s="30" t="n">
        <f aca="false">mix_g2*Sens!D7169</f>
        <v>733.5</v>
      </c>
      <c r="E7178" s="30" t="n">
        <f aca="false">mix_g2*Sens!E7169</f>
        <v>1462.5</v>
      </c>
      <c r="F7178" s="30" t="n">
        <f aca="false">Sens!E7178-Sens!F7176*mix_g2</f>
        <v>1462.5</v>
      </c>
      <c r="G7178" s="30" t="n">
        <f aca="false">Sens!F7178-Sens!G7176*mix_g2</f>
        <v>1462.5</v>
      </c>
      <c r="H7178" s="30" t="n">
        <f aca="false">Sens!G7178-Sens!H7176*mix_g2</f>
        <v>1462.5</v>
      </c>
      <c r="I7178" s="30" t="n">
        <f aca="false">Sens!H7178-Sens!I7176*mix_g2</f>
        <v>1242</v>
      </c>
      <c r="J7178" s="30" t="n">
        <f aca="false">Sens!I7178-Sens!J7176*mix_g2</f>
        <v>909</v>
      </c>
      <c r="K7178" s="30" t="n">
        <f aca="false">Sens!J7178-Sens!K7176*mix_g2</f>
        <v>247.5</v>
      </c>
    </row>
    <row r="7179" customFormat="false" ht="17.15" hidden="false" customHeight="false" outlineLevel="0" collapsed="false">
      <c r="A7179" s="1" t="s">
        <v>968</v>
      </c>
      <c r="B7179" s="0" t="s">
        <v>459</v>
      </c>
      <c r="C7179" s="30" t="n">
        <f aca="false">mix_g3*Sens!C7169</f>
        <v>224</v>
      </c>
      <c r="D7179" s="30" t="n">
        <f aca="false">mix_g3*Sens!D7169</f>
        <v>570.5</v>
      </c>
      <c r="E7179" s="30" t="n">
        <f aca="false">mix_g3*Sens!E7169</f>
        <v>1137.5</v>
      </c>
      <c r="F7179" s="30" t="n">
        <f aca="false">Sens!E7179+(Sens!F7175+Sens!F7176)*(a_g3_27-nonnv*a_mai)-Sens!F7176*mix_g3</f>
        <v>2773.42106</v>
      </c>
      <c r="G7179" s="30" t="n">
        <f aca="false">Sens!F7179+(Sens!G7175+Sens!G7176)*(a_g3_28-nonnv*a_mai)-Sens!G7176*mix_g3</f>
        <v>3318.72808</v>
      </c>
      <c r="H7179" s="30" t="n">
        <f aca="false">Sens!G7179+(Sens!H7175+Sens!H7176)*(a_g3_29-nonnv*a_mai)-Sens!H7176*mix_g3</f>
        <v>3318.72808</v>
      </c>
      <c r="I7179" s="30" t="n">
        <f aca="false">Sens!H7179+(Sens!I7175+Sens!I7176)*(a_g3_29-nonnv*a_mai)-Sens!I7176*mix_g3</f>
        <v>3147.22808</v>
      </c>
      <c r="J7179" s="30" t="n">
        <f aca="false">Sens!I7179+(Sens!J7175+Sens!J7176)*(a_g3_29-nonnv*a_mai)-Sens!J7176*mix_g3</f>
        <v>2888.22808</v>
      </c>
      <c r="K7179" s="30" t="n">
        <f aca="false">Sens!J7179+(Sens!K7175+Sens!K7176)*(a_g3_29-nonnv*a_mai)-Sens!K7176*mix_g3</f>
        <v>2373.72808</v>
      </c>
    </row>
    <row r="7180" customFormat="false" ht="17.15" hidden="false" customHeight="false" outlineLevel="0" collapsed="false">
      <c r="A7180" s="1" t="s">
        <v>969</v>
      </c>
      <c r="B7180" s="0" t="s">
        <v>459</v>
      </c>
      <c r="C7180" s="30" t="n">
        <v>0</v>
      </c>
      <c r="D7180" s="30" t="n">
        <v>0</v>
      </c>
      <c r="E7180" s="30" t="n">
        <v>0</v>
      </c>
      <c r="F7180" s="30" t="n">
        <f aca="false">Sens!E7180+(Sens!F7175+Sens!F7176)*nonnv*a_mai</f>
        <v>272.65351</v>
      </c>
      <c r="G7180" s="30" t="n">
        <f aca="false">Sens!F7180+(Sens!G7175+Sens!G7176)*nonnv*a_mai</f>
        <v>545.30702</v>
      </c>
      <c r="H7180" s="30" t="n">
        <f aca="false">Sens!G7180+(Sens!H7175+Sens!H7176)*nonnv*a_mai</f>
        <v>817.96053</v>
      </c>
      <c r="I7180" s="30" t="n">
        <f aca="false">Sens!H7180+(Sens!I7175+Sens!I7176)*nonnv*a_mai</f>
        <v>1060.15914196667</v>
      </c>
      <c r="J7180" s="30" t="n">
        <f aca="false">Sens!I7180+(Sens!J7175+Sens!J7176)*nonnv*a_mai</f>
        <v>1251.76682813933</v>
      </c>
      <c r="K7180" s="30" t="n">
        <f aca="false">Sens!J7180+(Sens!K7175+Sens!K7176)*nonnv*a_mai</f>
        <v>1442.37983298351</v>
      </c>
      <c r="L7180" s="12" t="s">
        <v>970</v>
      </c>
    </row>
    <row r="7181" customFormat="false" ht="17.15" hidden="false" customHeight="false" outlineLevel="0" collapsed="false">
      <c r="A7181" s="1" t="s">
        <v>971</v>
      </c>
      <c r="B7181" s="0" t="s">
        <v>459</v>
      </c>
      <c r="C7181" s="30" t="n">
        <v>0</v>
      </c>
      <c r="D7181" s="30" t="n">
        <v>0</v>
      </c>
      <c r="E7181" s="30" t="n">
        <v>0</v>
      </c>
      <c r="F7181" s="30" t="n">
        <f aca="false">Sens!E7181+(Sens!F7175+Sens!F7176)*(1-a_g3_27)</f>
        <v>817.96053</v>
      </c>
      <c r="G7181" s="30" t="n">
        <f aca="false">Sens!F7181+(Sens!G7175+Sens!G7176)*(1-a_g3_28)</f>
        <v>2726.5351</v>
      </c>
      <c r="H7181" s="30" t="n">
        <f aca="false">Sens!G7181+(Sens!H7175+Sens!H7176)*(1-a_g3_29)</f>
        <v>5180.41669</v>
      </c>
      <c r="I7181" s="30" t="n">
        <f aca="false">Sens!H7181+(Sens!I7175+Sens!I7176)*(1-a_g3_29)</f>
        <v>7360.2041977</v>
      </c>
      <c r="J7181" s="30" t="n">
        <f aca="false">Sens!I7181+(Sens!J7175+Sens!J7176)*(1-a_g3_29)</f>
        <v>9084.673373254</v>
      </c>
      <c r="K7181" s="30" t="n">
        <f aca="false">Sens!J7181+(Sens!K7175+Sens!K7176)*(1-a_g3_29)</f>
        <v>10800.1904168516</v>
      </c>
    </row>
    <row r="7182" customFormat="false" ht="17.15" hidden="false" customHeight="false" outlineLevel="0" collapsed="false">
      <c r="A7182" s="1" t="s">
        <v>972</v>
      </c>
      <c r="B7182" s="0" t="s">
        <v>403</v>
      </c>
      <c r="C7182" s="15" t="n">
        <f aca="false">(Sens!C7177*tk_hold_h100+Sens!C7178*tk_hold_gb200+Sens!C7179*tk_hold_gb300+Sens!C7181*tk_hold_vr200+Sens!C7180*nv_hold_mai*tk_hold_vr200)/Sens!C7169</f>
        <v>9.7235358126469</v>
      </c>
      <c r="D7182" s="15" t="n">
        <f aca="false">(Sens!D7177*tk_hold_h100+Sens!D7178*tk_hold_gb200+Sens!D7179*tk_hold_gb300+Sens!D7181*tk_hold_vr200+Sens!D7180*nv_hold_mai*tk_hold_vr200)/Sens!D7169</f>
        <v>9.7235358126469</v>
      </c>
      <c r="E7182" s="15" t="n">
        <f aca="false">(Sens!E7177*tk_hold_h100+Sens!E7178*tk_hold_gb200+Sens!E7179*tk_hold_gb300+Sens!E7181*tk_hold_vr200+Sens!E7180*nv_hold_mai*tk_hold_vr200)/Sens!E7169</f>
        <v>9.7235358126469</v>
      </c>
      <c r="F7182" s="15" t="n">
        <f aca="false">(Sens!F7177*tk_hold_h100+Sens!F7178*tk_hold_gb200+Sens!F7179*tk_hold_gb300+Sens!F7181*tk_hold_vr200+Sens!F7180*nv_hold_mai*tk_hold_vr200)/Sens!F7169</f>
        <v>10.2195353876665</v>
      </c>
      <c r="G7182" s="15" t="n">
        <f aca="false">(Sens!G7177*tk_hold_h100+Sens!G7178*tk_hold_gb200+Sens!G7179*tk_hold_gb300+Sens!G7181*tk_hold_vr200+Sens!G7180*nv_hold_mai*tk_hold_vr200)/Sens!G7169</f>
        <v>10.5725598017306</v>
      </c>
      <c r="H7182" s="15" t="n">
        <f aca="false">(Sens!H7177*tk_hold_h100+Sens!H7178*tk_hold_gb200+Sens!H7179*tk_hold_gb300+Sens!H7181*tk_hold_vr200+Sens!H7180*nv_hold_mai*tk_hold_vr200)/Sens!H7169</f>
        <v>10.8210427149036</v>
      </c>
      <c r="I7182" s="15" t="n">
        <f aca="false">(Sens!I7177*tk_hold_h100+Sens!I7178*tk_hold_gb200+Sens!I7179*tk_hold_gb300+Sens!I7181*tk_hold_vr200+Sens!I7180*nv_hold_mai*tk_hold_vr200)/Sens!I7169</f>
        <v>11.0050618241982</v>
      </c>
      <c r="J7182" s="15" t="n">
        <f aca="false">(Sens!J7177*tk_hold_h100+Sens!J7178*tk_hold_gb200+Sens!J7179*tk_hold_gb300+Sens!J7181*tk_hold_vr200+Sens!J7180*nv_hold_mai*tk_hold_vr200)/Sens!J7169</f>
        <v>11.1505789658881</v>
      </c>
      <c r="K7182" s="15" t="n">
        <f aca="false">(Sens!K7177*tk_hold_h100+Sens!K7178*tk_hold_gb200+Sens!K7179*tk_hold_gb300+Sens!K7181*tk_hold_vr200+Sens!K7180*nv_hold_mai*tk_hold_vr200)/Sens!K7169</f>
        <v>11.3496914757183</v>
      </c>
      <c r="L7182" s="1" t="s">
        <v>973</v>
      </c>
    </row>
    <row r="7183" customFormat="false" ht="17.15" hidden="false" customHeight="false" outlineLevel="0" collapsed="false">
      <c r="A7183" s="1" t="s">
        <v>974</v>
      </c>
      <c r="B7183" s="0" t="s">
        <v>403</v>
      </c>
      <c r="C7183" s="15" t="n">
        <f aca="false">(Sens!C7177*tk_hold_h100+Sens!C7178*tk_hold_gb200+Sens!C7179*tk_hold_gb300+Sens!C7181*tk_hold_vr200+Sens!C7180*nv_out_mai*tk_hold_vr200)/Sens!C7169</f>
        <v>9.7235358126469</v>
      </c>
      <c r="D7183" s="15" t="n">
        <f aca="false">(Sens!D7177*tk_hold_h100+Sens!D7178*tk_hold_gb200+Sens!D7179*tk_hold_gb300+Sens!D7181*tk_hold_vr200+Sens!D7180*nv_out_mai*tk_hold_vr200)/Sens!D7169</f>
        <v>9.7235358126469</v>
      </c>
      <c r="E7183" s="15" t="n">
        <f aca="false">(Sens!E7177*tk_hold_h100+Sens!E7178*tk_hold_gb200+Sens!E7179*tk_hold_gb300+Sens!E7181*tk_hold_vr200+Sens!E7180*nv_out_mai*tk_hold_vr200)/Sens!E7169</f>
        <v>9.7235358126469</v>
      </c>
      <c r="F7183" s="15" t="n">
        <f aca="false">(Sens!F7177*tk_hold_h100+Sens!F7178*tk_hold_gb200+Sens!F7179*tk_hold_gb300+Sens!F7181*tk_hold_vr200+Sens!F7180*nv_out_mai*tk_hold_vr200)/Sens!F7169</f>
        <v>10.247422093969</v>
      </c>
      <c r="G7183" s="15" t="n">
        <f aca="false">(Sens!G7177*tk_hold_h100+Sens!G7178*tk_hold_gb200+Sens!G7179*tk_hold_gb300+Sens!G7181*tk_hold_vr200+Sens!G7180*nv_out_mai*tk_hold_vr200)/Sens!G7169</f>
        <v>10.6108602808053</v>
      </c>
      <c r="H7183" s="15" t="n">
        <f aca="false">(Sens!H7177*tk_hold_h100+Sens!H7178*tk_hold_gb200+Sens!H7179*tk_hold_gb300+Sens!H7181*tk_hold_vr200+Sens!H7180*nv_out_mai*tk_hold_vr200)/Sens!H7169</f>
        <v>10.8647885507393</v>
      </c>
      <c r="I7183" s="15" t="n">
        <f aca="false">(Sens!I7177*tk_hold_h100+Sens!I7178*tk_hold_gb200+Sens!I7179*tk_hold_gb300+Sens!I7181*tk_hold_vr200+Sens!I7180*nv_out_mai*tk_hold_vr200)/Sens!I7169</f>
        <v>11.0535625770025</v>
      </c>
      <c r="J7183" s="15" t="n">
        <f aca="false">(Sens!J7177*tk_hold_h100+Sens!J7178*tk_hold_gb200+Sens!J7179*tk_hold_gb300+Sens!J7181*tk_hold_vr200+Sens!J7180*nv_out_mai*tk_hold_vr200)/Sens!J7169</f>
        <v>11.2032127128058</v>
      </c>
      <c r="K7183" s="15" t="n">
        <f aca="false">(Sens!K7177*tk_hold_h100+Sens!K7178*tk_hold_gb200+Sens!K7179*tk_hold_gb300+Sens!K7181*tk_hold_vr200+Sens!K7180*nv_out_mai*tk_hold_vr200)/Sens!K7169</f>
        <v>11.4085735724225</v>
      </c>
      <c r="L7183" s="12" t="s">
        <v>975</v>
      </c>
    </row>
    <row r="7184" customFormat="false" ht="17.15" hidden="false" customHeight="false" outlineLevel="0" collapsed="false">
      <c r="A7184" s="0" t="s">
        <v>976</v>
      </c>
      <c r="B7184" s="0" t="s">
        <v>229</v>
      </c>
      <c r="C7184" s="15" t="n">
        <f aca="false">k_B</f>
        <v>1.17213932619116</v>
      </c>
      <c r="D7184" s="15" t="n">
        <f aca="false">k_B</f>
        <v>1.17213932619116</v>
      </c>
      <c r="E7184" s="15" t="n">
        <f aca="false">k_B</f>
        <v>1.17213932619116</v>
      </c>
      <c r="F7184" s="15" t="n">
        <f aca="false">(k_B+((ls_C*k_long+(1-ls_C)*k_spot)-k_B)*MIN(1,(Sens!F7167-base_fy)/k_ramp))</f>
        <v>1.07843258004497</v>
      </c>
      <c r="G7184" s="15" t="n">
        <f aca="false">(k_B+((ls_C*k_long+(1-ls_C)*k_spot)-k_B)*MIN(1,(Sens!G7167-base_fy)/k_ramp))</f>
        <v>0.984725833898784</v>
      </c>
      <c r="H7184" s="15" t="n">
        <f aca="false">(k_B+((ls_C*k_long+(1-ls_C)*k_spot)-k_B)*MIN(1,(Sens!H7167-base_fy)/k_ramp))</f>
        <v>0.891019087752599</v>
      </c>
      <c r="I7184" s="15" t="n">
        <f aca="false">(k_B+((ls_C*k_long+(1-ls_C)*k_spot)-k_B)*MIN(1,(Sens!I7167-base_fy)/k_ramp))</f>
        <v>0.891019087752599</v>
      </c>
      <c r="J7184" s="15" t="n">
        <f aca="false">(k_B+((ls_C*k_long+(1-ls_C)*k_spot)-k_B)*MIN(1,(Sens!J7167-base_fy)/k_ramp))</f>
        <v>0.891019087752599</v>
      </c>
      <c r="K7184" s="15" t="n">
        <f aca="false">(k_B+((ls_C*k_long+(1-ls_C)*k_spot)-k_B)*MIN(1,(Sens!K7167-base_fy)/k_ramp))</f>
        <v>0.891019087752599</v>
      </c>
      <c r="L7184" s="1" t="s">
        <v>977</v>
      </c>
    </row>
    <row r="7185" customFormat="false" ht="17.15" hidden="false" customHeight="false" outlineLevel="0" collapsed="false">
      <c r="A7185" s="1" t="s">
        <v>978</v>
      </c>
      <c r="B7185" s="0" t="s">
        <v>403</v>
      </c>
      <c r="C7185" s="15" t="n">
        <f aca="false">Sens!C7183*Sens!C7184*chip_f</f>
        <v>11.3973387156315</v>
      </c>
      <c r="D7185" s="15" t="n">
        <f aca="false">Sens!D7183*Sens!D7184*chip_f</f>
        <v>11.3973387156315</v>
      </c>
      <c r="E7185" s="15" t="n">
        <f aca="false">Sens!E7183*Sens!E7184*chip_f</f>
        <v>11.3973387156315</v>
      </c>
      <c r="F7185" s="15" t="n">
        <f aca="false">Sens!F7183*Sens!F7184*chip_f</f>
        <v>11.0511538476088</v>
      </c>
      <c r="G7185" s="15" t="n">
        <f aca="false">Sens!G7183*Sens!G7184*chip_f</f>
        <v>10.4487882383995</v>
      </c>
      <c r="H7185" s="15" t="n">
        <f aca="false">Sens!H7183*Sens!H7184*chip_f</f>
        <v>9.68073398310464</v>
      </c>
      <c r="I7185" s="15" t="n">
        <f aca="false">Sens!I7183*Sens!I7184*chip_f</f>
        <v>9.84893524377706</v>
      </c>
      <c r="J7185" s="15" t="n">
        <f aca="false">Sens!J7183*Sens!J7184*chip_f</f>
        <v>9.98227637126252</v>
      </c>
      <c r="K7185" s="15" t="n">
        <f aca="false">Sens!K7183*Sens!K7184*chip_f</f>
        <v>10.1652568170583</v>
      </c>
      <c r="L7185" s="1" t="s">
        <v>979</v>
      </c>
    </row>
    <row r="7186" customFormat="false" ht="17.15" hidden="false" customHeight="false" outlineLevel="0" collapsed="false">
      <c r="A7186" s="0" t="s">
        <v>980</v>
      </c>
      <c r="B7186" s="0" t="s">
        <v>98</v>
      </c>
      <c r="D7186" s="6" t="n">
        <f aca="false">(Sens!C7169+Sens!D7169)/2*Sens!D7185/1000</f>
        <v>12.9359794422418</v>
      </c>
      <c r="E7186" s="6" t="n">
        <f aca="false">(Sens!D7169+Sens!E7169)/2*Sens!E7185/1000</f>
        <v>27.8095064661409</v>
      </c>
      <c r="F7186" s="6" t="n">
        <f aca="false">(Sens!E7169+Sens!F7169)/2*Sens!F7185/1000</f>
        <v>50.9819294352312</v>
      </c>
      <c r="G7186" s="6" t="n">
        <f aca="false">(Sens!F7169+Sens!G7169)/2*Sens!G7185/1000</f>
        <v>76.6920436014933</v>
      </c>
      <c r="H7186" s="6" t="n">
        <f aca="false">(Sens!G7169+Sens!H7169)/2*Sens!H7185/1000</f>
        <v>97.4495379418341</v>
      </c>
      <c r="I7186" s="6" t="n">
        <f aca="false">(Sens!H7169+Sens!I7169)/2*Sens!I7185/1000</f>
        <v>122.083445553868</v>
      </c>
      <c r="J7186" s="6" t="n">
        <f aca="false">(Sens!I7169+Sens!J7169)/2*Sens!J7185/1000</f>
        <v>139.249060444804</v>
      </c>
      <c r="K7186" s="6" t="n">
        <f aca="false">(Sens!J7169+Sens!K7169)/2*Sens!K7185/1000</f>
        <v>149.995818575589</v>
      </c>
      <c r="L7186" s="12" t="s">
        <v>981</v>
      </c>
    </row>
    <row r="7187" customFormat="false" ht="17.15" hidden="false" customHeight="false" outlineLevel="0" collapsed="false">
      <c r="A7187" s="1" t="s">
        <v>982</v>
      </c>
      <c r="B7187" s="0" t="s">
        <v>403</v>
      </c>
      <c r="C7187" s="15" t="n">
        <f aca="false">(Sens!C7177*tk_opex_h100+Sens!C7178*tk_opex_gb200+Sens!C7179*tk_opex_gb300+(Sens!C7181+Sens!C7180)*tk_opex_vr200)/Sens!C7169</f>
        <v>1.88636041306092</v>
      </c>
      <c r="D7187" s="15" t="n">
        <f aca="false">(Sens!D7177*tk_opex_h100+Sens!D7178*tk_opex_gb200+Sens!D7179*tk_opex_gb300+(Sens!D7181+Sens!D7180)*tk_opex_vr200)/Sens!D7169</f>
        <v>1.88636041306092</v>
      </c>
      <c r="E7187" s="15" t="n">
        <f aca="false">(Sens!E7177*tk_opex_h100+Sens!E7178*tk_opex_gb200+Sens!E7179*tk_opex_gb300+(Sens!E7181+Sens!E7180)*tk_opex_vr200)/Sens!E7169</f>
        <v>1.88636041306092</v>
      </c>
      <c r="F7187" s="15" t="n">
        <f aca="false">(Sens!F7177*tk_opex_h100+Sens!F7178*tk_opex_gb200+Sens!F7179*tk_opex_gb300+(Sens!F7181+Sens!F7180)*tk_opex_vr200)/Sens!F7169</f>
        <v>1.95051159746876</v>
      </c>
      <c r="G7187" s="15" t="n">
        <f aca="false">(Sens!G7177*tk_opex_h100+Sens!G7178*tk_opex_gb200+Sens!G7179*tk_opex_gb300+(Sens!G7181+Sens!G7180)*tk_opex_vr200)/Sens!G7169</f>
        <v>1.98836003669956</v>
      </c>
      <c r="H7187" s="15" t="n">
        <f aca="false">(Sens!H7177*tk_opex_h100+Sens!H7178*tk_opex_gb200+Sens!H7179*tk_opex_gb300+(Sens!H7181+Sens!H7180)*tk_opex_vr200)/Sens!H7169</f>
        <v>2.01344013834343</v>
      </c>
      <c r="I7187" s="15" t="n">
        <f aca="false">(Sens!I7177*tk_opex_h100+Sens!I7178*tk_opex_gb200+Sens!I7179*tk_opex_gb300+(Sens!I7181+Sens!I7180)*tk_opex_vr200)/Sens!I7169</f>
        <v>2.03261166882178</v>
      </c>
      <c r="J7187" s="15" t="n">
        <f aca="false">(Sens!J7177*tk_opex_h100+Sens!J7178*tk_opex_gb200+Sens!J7179*tk_opex_gb300+(Sens!J7181+Sens!J7180)*tk_opex_vr200)/Sens!J7169</f>
        <v>2.04808073288745</v>
      </c>
      <c r="K7187" s="15" t="n">
        <f aca="false">(Sens!K7177*tk_opex_h100+Sens!K7178*tk_opex_gb200+Sens!K7179*tk_opex_gb300+(Sens!K7181+Sens!K7180)*tk_opex_vr200)/Sens!K7169</f>
        <v>2.06973825807449</v>
      </c>
      <c r="L7187" s="12" t="s">
        <v>983</v>
      </c>
    </row>
    <row r="7188" customFormat="false" ht="17.15" hidden="false" customHeight="false" outlineLevel="0" collapsed="false">
      <c r="A7188" s="0" t="s">
        <v>984</v>
      </c>
      <c r="B7188" s="0" t="s">
        <v>98</v>
      </c>
      <c r="D7188" s="6" t="n">
        <f aca="false">(Sens!C7172+Sens!D7172)/2*Sens!D7187/1000</f>
        <v>2.70378325872065</v>
      </c>
      <c r="E7188" s="6" t="n">
        <f aca="false">(Sens!D7172+Sens!E7172)/2*Sens!E7187/1000</f>
        <v>6.17783035277451</v>
      </c>
      <c r="F7188" s="6" t="n">
        <f aca="false">(Sens!E7172+Sens!F7172)/2*Sens!F7187/1000</f>
        <v>12.8742463089237</v>
      </c>
      <c r="G7188" s="6" t="n">
        <f aca="false">(Sens!F7172+Sens!G7172)/2*Sens!G7187/1000</f>
        <v>21.8182834646277</v>
      </c>
      <c r="H7188" s="6" t="n">
        <f aca="false">(Sens!G7172+Sens!H7172)/2*Sens!H7187/1000</f>
        <v>31.2430128789734</v>
      </c>
      <c r="I7188" s="6" t="n">
        <f aca="false">(Sens!H7172+Sens!I7172)/2*Sens!I7187/1000</f>
        <v>39.4313057443268</v>
      </c>
      <c r="J7188" s="6" t="n">
        <f aca="false">(Sens!I7172+Sens!J7172)/2*Sens!J7187/1000</f>
        <v>45.0360318228653</v>
      </c>
      <c r="K7188" s="6" t="n">
        <f aca="false">(Sens!J7172+Sens!K7172)/2*Sens!K7187/1000</f>
        <v>48.2929727091156</v>
      </c>
    </row>
    <row r="7189" customFormat="false" ht="17.15" hidden="false" customHeight="false" outlineLevel="0" collapsed="false">
      <c r="A7189" s="0" t="s">
        <v>985</v>
      </c>
      <c r="B7189" s="0" t="s">
        <v>98</v>
      </c>
      <c r="D7189" s="6" t="n">
        <f aca="false">(Sens!C7170+Sens!D7170)/2*rent_mw/1000</f>
        <v>2.44475</v>
      </c>
      <c r="E7189" s="6" t="n">
        <f aca="false">(Sens!D7170+Sens!E7170)/2*rent_mw/1000</f>
        <v>4.22275</v>
      </c>
      <c r="F7189" s="6" t="n">
        <f aca="false">(Sens!E7170+Sens!F7170)/2*rent_mw/1000</f>
        <v>5.80517</v>
      </c>
      <c r="G7189" s="6" t="n">
        <f aca="false">(Sens!F7170+Sens!G7170)/2*rent_mw/1000</f>
        <v>6.72084</v>
      </c>
      <c r="H7189" s="6" t="n">
        <f aca="false">(Sens!G7170+Sens!H7170)/2*rent_mw/1000</f>
        <v>6.72084</v>
      </c>
      <c r="I7189" s="6" t="n">
        <f aca="false">(Sens!H7170+Sens!I7170)/2*rent_mw/1000</f>
        <v>6.72084</v>
      </c>
      <c r="J7189" s="6" t="n">
        <f aca="false">(Sens!I7170+Sens!J7170)/2*rent_mw/1000</f>
        <v>6.72084</v>
      </c>
      <c r="K7189" s="6" t="n">
        <f aca="false">(Sens!J7170+Sens!K7170)/2*rent_mw/1000</f>
        <v>6.72084</v>
      </c>
    </row>
    <row r="7190" customFormat="false" ht="17.15" hidden="false" customHeight="false" outlineLevel="0" collapsed="false">
      <c r="A7190" s="0" t="s">
        <v>986</v>
      </c>
      <c r="B7190" s="0" t="s">
        <v>98</v>
      </c>
      <c r="D7190" s="6" t="n">
        <f aca="false">(Sens!C7172+Sens!D7172)/2*(1-self_build)*fac_rent/1000</f>
        <v>0.853242375631075</v>
      </c>
      <c r="E7190" s="6" t="n">
        <f aca="false">(Sens!D7172+Sens!E7172)/2*(1-self_build)*fac_rent/1000</f>
        <v>1.94955961408728</v>
      </c>
      <c r="F7190" s="6" t="n">
        <f aca="false">(Sens!E7172+Sens!F7172)/2*(1-self_build)*fac_rent/1000</f>
        <v>3.92914894476356</v>
      </c>
      <c r="G7190" s="6" t="n">
        <f aca="false">(Sens!F7172+Sens!G7172)/2*(1-self_build)*fac_rent/1000</f>
        <v>6.53206908578159</v>
      </c>
      <c r="H7190" s="6" t="n">
        <f aca="false">(Sens!G7172+Sens!H7172)/2*(1-self_build)*fac_rent/1000</f>
        <v>9.23717988341591</v>
      </c>
      <c r="I7190" s="6" t="n">
        <f aca="false">(Sens!H7172+Sens!I7172)/2*(1-self_build)*fac_rent/1000</f>
        <v>11.5481378557393</v>
      </c>
      <c r="J7190" s="6" t="n">
        <f aca="false">(Sens!I7172+Sens!J7172)/2*(1-self_build)*fac_rent/1000</f>
        <v>13.0899582289108</v>
      </c>
      <c r="K7190" s="6" t="n">
        <f aca="false">(Sens!J7172+Sens!K7172)/2*(1-self_build)*fac_rent/1000</f>
        <v>13.8897275626556</v>
      </c>
      <c r="L7190" s="12" t="s">
        <v>987</v>
      </c>
    </row>
    <row r="7191" customFormat="false" ht="17.15" hidden="false" customHeight="false" outlineLevel="0" collapsed="false">
      <c r="A7191" s="1" t="s">
        <v>988</v>
      </c>
      <c r="B7191" s="0" t="s">
        <v>168</v>
      </c>
      <c r="D7191" s="7" t="n">
        <f aca="false">(Sens!C7171+Sens!D7171)/(Sens!C7172+Sens!D7172)</f>
        <v>0.6</v>
      </c>
      <c r="E7191" s="7" t="n">
        <f aca="false">(Sens!D7171+Sens!E7171)/(Sens!D7172+Sens!E7172)</f>
        <v>0.6</v>
      </c>
      <c r="F7191" s="7" t="n">
        <f aca="false">(Sens!E7171+Sens!F7171)/(Sens!E7172+Sens!F7172)</f>
        <v>0.6</v>
      </c>
      <c r="G7191" s="7" t="n">
        <f aca="false">(Sens!F7171+Sens!G7171)/(Sens!F7172+Sens!G7172)</f>
        <v>0.6</v>
      </c>
      <c r="H7191" s="7" t="n">
        <f aca="false">(Sens!G7171+Sens!H7171)/(Sens!G7172+Sens!H7172)</f>
        <v>0.6</v>
      </c>
      <c r="I7191" s="7" t="n">
        <f aca="false">(Sens!H7171+Sens!I7171)/(Sens!H7172+Sens!I7172)</f>
        <v>0.6</v>
      </c>
      <c r="J7191" s="7" t="n">
        <f aca="false">(Sens!I7171+Sens!J7171)/(Sens!I7172+Sens!J7172)</f>
        <v>0.6</v>
      </c>
      <c r="K7191" s="7" t="n">
        <f aca="false">(Sens!J7171+Sens!K7171)/(Sens!J7172+Sens!K7172)</f>
        <v>0.6</v>
      </c>
    </row>
    <row r="7192" customFormat="false" ht="17.15" hidden="false" customHeight="false" outlineLevel="0" collapsed="false">
      <c r="A7192" s="0" t="s">
        <v>989</v>
      </c>
      <c r="B7192" s="0" t="s">
        <v>98</v>
      </c>
      <c r="D7192" s="6" t="n">
        <f aca="false">Sens!D7186-Sens!D7191*(Sens!D7188+Sens!D7190)-Sens!D7189</f>
        <v>8.35701406163072</v>
      </c>
      <c r="E7192" s="6" t="n">
        <f aca="false">Sens!E7186-Sens!E7191*(Sens!E7188+Sens!E7190)-Sens!E7189</f>
        <v>18.7103224860238</v>
      </c>
      <c r="F7192" s="6" t="n">
        <f aca="false">Sens!F7186-Sens!F7191*(Sens!F7188+Sens!F7190)-Sens!F7189</f>
        <v>35.0947222830189</v>
      </c>
      <c r="G7192" s="6" t="n">
        <f aca="false">Sens!G7186-Sens!G7191*(Sens!G7188+Sens!G7190)-Sens!G7189</f>
        <v>52.9609920712477</v>
      </c>
      <c r="H7192" s="6" t="n">
        <f aca="false">Sens!H7186-Sens!H7191*(Sens!H7188+Sens!H7190)-Sens!H7189</f>
        <v>66.4405822844005</v>
      </c>
      <c r="I7192" s="6" t="n">
        <f aca="false">Sens!I7186-Sens!I7191*(Sens!I7188+Sens!I7190)-Sens!I7189</f>
        <v>84.7749393938279</v>
      </c>
      <c r="J7192" s="6" t="n">
        <f aca="false">Sens!J7186-Sens!J7191*(Sens!J7188+Sens!J7190)-Sens!J7189</f>
        <v>97.6526264137382</v>
      </c>
      <c r="K7192" s="6" t="n">
        <f aca="false">Sens!K7186-Sens!K7191*(Sens!K7188+Sens!K7190)-Sens!K7189</f>
        <v>105.965358412527</v>
      </c>
    </row>
    <row r="7193" customFormat="false" ht="17.15" hidden="false" customHeight="false" outlineLevel="0" collapsed="false">
      <c r="A7193" s="1" t="s">
        <v>990</v>
      </c>
      <c r="B7193" s="0" t="s">
        <v>98</v>
      </c>
      <c r="D7193" s="6" t="n">
        <f aca="false">(1-Sens!D7191)*(Sens!D7188+Sens!D7190)</f>
        <v>1.42281025374069</v>
      </c>
      <c r="E7193" s="6" t="n">
        <f aca="false">(1-Sens!E7191)*(Sens!E7188+Sens!E7190)</f>
        <v>3.25095598674472</v>
      </c>
      <c r="F7193" s="6" t="n">
        <f aca="false">(1-Sens!F7191)*(Sens!F7188+Sens!F7190)</f>
        <v>6.72135810147489</v>
      </c>
      <c r="G7193" s="6" t="n">
        <f aca="false">(1-Sens!G7191)*(Sens!G7188+Sens!G7190)</f>
        <v>11.3401410201637</v>
      </c>
      <c r="H7193" s="6" t="n">
        <f aca="false">(1-Sens!H7191)*(Sens!H7188+Sens!H7190)</f>
        <v>16.1920771049557</v>
      </c>
      <c r="I7193" s="6" t="n">
        <f aca="false">(1-Sens!I7191)*(Sens!I7188+Sens!I7190)</f>
        <v>20.3917774400264</v>
      </c>
      <c r="J7193" s="6" t="n">
        <f aca="false">(1-Sens!J7191)*(Sens!J7188+Sens!J7190)</f>
        <v>23.2503960207104</v>
      </c>
      <c r="K7193" s="6" t="n">
        <f aca="false">(1-Sens!K7191)*(Sens!K7188+Sens!K7190)</f>
        <v>24.8730801087085</v>
      </c>
    </row>
    <row r="7194" customFormat="false" ht="17.15" hidden="false" customHeight="false" outlineLevel="0" collapsed="false">
      <c r="A7194" s="1" t="s">
        <v>991</v>
      </c>
      <c r="B7194" s="0" t="s">
        <v>417</v>
      </c>
      <c r="C7194" s="8" t="n">
        <f aca="false">cxit_open</f>
        <v>27.5918995</v>
      </c>
      <c r="D7194" s="8" t="n">
        <f aca="false">cxit_open</f>
        <v>27.5918995</v>
      </c>
      <c r="E7194" s="8" t="n">
        <f aca="false">cxit_open</f>
        <v>27.5918995</v>
      </c>
      <c r="F7194" s="8" t="n">
        <f aca="false">((a_g3_27-nonnv*a_mai)*tk_cxit_gb300+nonnv*a_mai*nv_hold_mai*tk_cxit_vr200+(1-a_g3_27)*tk_cxit_vr200)</f>
        <v>32.4975576</v>
      </c>
      <c r="G7194" s="8" t="n">
        <f aca="false">((a_g3_28-nonnv*a_mai)*tk_cxit_gb300+nonnv*a_mai*nv_hold_mai*tk_cxit_vr200+(1-a_g3_28)*tk_cxit_vr200)</f>
        <v>34.6372088</v>
      </c>
      <c r="H7194" s="8" t="n">
        <f aca="false">((a_g3_29-nonnv*a_mai)*tk_cxit_gb300+nonnv*a_mai*nv_hold_mai*tk_cxit_vr200+(1-a_g3_29)*tk_cxit_vr200)</f>
        <v>35.7070344</v>
      </c>
      <c r="I7194" s="8" t="n">
        <f aca="false">((a_g3_29-nonnv*a_mai)*tk_cxit_gb300+nonnv*a_mai*nv_hold_mai*tk_cxit_vr200+(1-a_g3_29)*tk_cxit_vr200)</f>
        <v>35.7070344</v>
      </c>
      <c r="J7194" s="8" t="n">
        <f aca="false">((a_g3_29-nonnv*a_mai)*tk_cxit_gb300+nonnv*a_mai*nv_hold_mai*tk_cxit_vr200+(1-a_g3_29)*tk_cxit_vr200)</f>
        <v>35.7070344</v>
      </c>
      <c r="K7194" s="8" t="n">
        <f aca="false">((a_g3_29-nonnv*a_mai)*tk_cxit_gb300+nonnv*a_mai*nv_hold_mai*tk_cxit_vr200+(1-a_g3_29)*tk_cxit_vr200)</f>
        <v>35.7070344</v>
      </c>
      <c r="L7194" s="12" t="s">
        <v>992</v>
      </c>
    </row>
    <row r="7195" customFormat="false" ht="17.15" hidden="false" customHeight="false" outlineLevel="0" collapsed="false">
      <c r="A7195" s="0" t="s">
        <v>993</v>
      </c>
      <c r="B7195" s="0" t="s">
        <v>459</v>
      </c>
      <c r="F7195" s="30" t="n">
        <f aca="false">Sens!C7174*IF(Sens!F7167-Sens!C7167=life_it,1,0)+Sens!D7174*IF(Sens!F7167-Sens!D7167=life_it,1,0)+Sens!E7174*IF(Sens!F7167-Sens!E7167=life_it,1,0)</f>
        <v>0</v>
      </c>
      <c r="G7195" s="30" t="n">
        <f aca="false">Sens!C7174*IF(Sens!G7167-Sens!C7167=life_it,1,0)+Sens!D7174*IF(Sens!G7167-Sens!D7167=life_it,1,0)+Sens!E7174*IF(Sens!G7167-Sens!E7167=life_it,1,0)+Sens!F7174*IF(Sens!G7167-Sens!F7167=life_it,1,0)</f>
        <v>0</v>
      </c>
      <c r="H7195" s="30" t="n">
        <f aca="false">Sens!C7174*IF(Sens!H7167-Sens!C7167=life_it,1,0)+Sens!D7174*IF(Sens!H7167-Sens!D7167=life_it,1,0)+Sens!E7174*IF(Sens!H7167-Sens!E7167=life_it,1,0)+Sens!F7174*IF(Sens!H7167-Sens!F7167=life_it,1,0)+Sens!G7174*IF(Sens!H7167-Sens!G7167=life_it,1,0)</f>
        <v>0</v>
      </c>
      <c r="I7195" s="30" t="n">
        <f aca="false">Sens!C7174*IF(Sens!I7167-Sens!C7167=life_it,1,0)+Sens!D7174*IF(Sens!I7167-Sens!D7167=life_it,1,0)+Sens!E7174*IF(Sens!I7167-Sens!E7167=life_it,1,0)+Sens!F7174*IF(Sens!I7167-Sens!F7167=life_it,1,0)+Sens!G7174*IF(Sens!I7167-Sens!G7167=life_it,1,0)+Sens!H7174*IF(Sens!I7167-Sens!H7167=life_it,1,0)</f>
        <v>816.666666666667</v>
      </c>
      <c r="J7195" s="30" t="n">
        <f aca="false">Sens!C7174*IF(Sens!J7167-Sens!C7167=life_it,1,0)+Sens!D7174*IF(Sens!J7167-Sens!D7167=life_it,1,0)+Sens!E7174*IF(Sens!J7167-Sens!E7167=life_it,1,0)+Sens!F7174*IF(Sens!J7167-Sens!F7167=life_it,1,0)+Sens!G7174*IF(Sens!J7167-Sens!G7167=life_it,1,0)+Sens!H7174*IF(Sens!J7167-Sens!H7167=life_it,1,0)+Sens!I7174*IF(Sens!J7167-Sens!I7167=life_it,1,0)</f>
        <v>1233.33333333333</v>
      </c>
      <c r="K7195" s="30" t="n">
        <f aca="false">Sens!C7174*IF(Sens!K7167-Sens!C7167=life_it,1,0)+Sens!D7174*IF(Sens!K7167-Sens!D7167=life_it,1,0)+Sens!E7174*IF(Sens!K7167-Sens!E7167=life_it,1,0)+Sens!F7174*IF(Sens!K7167-Sens!F7167=life_it,1,0)+Sens!G7174*IF(Sens!K7167-Sens!G7167=life_it,1,0)+Sens!H7174*IF(Sens!K7167-Sens!H7167=life_it,1,0)+Sens!I7174*IF(Sens!K7167-Sens!I7167=life_it,1,0)+Sens!J7174*IF(Sens!K7167-Sens!J7167=life_it,1,0)</f>
        <v>2450</v>
      </c>
      <c r="L7195" s="1" t="s">
        <v>994</v>
      </c>
    </row>
    <row r="7196" customFormat="false" ht="17.15" hidden="false" customHeight="false" outlineLevel="0" collapsed="false">
      <c r="A7196" s="0" t="s">
        <v>995</v>
      </c>
      <c r="B7196" s="0" t="s">
        <v>98</v>
      </c>
      <c r="C7196" s="6" t="n">
        <f aca="false">Sens!C7174*Sens!C7194/1000</f>
        <v>22.5333845916667</v>
      </c>
      <c r="D7196" s="6" t="n">
        <f aca="false">Sens!D7174*Sens!D7194/1000</f>
        <v>34.0300093833333</v>
      </c>
      <c r="E7196" s="6" t="n">
        <f aca="false">Sens!E7174*Sens!E7194/1000</f>
        <v>67.600153775</v>
      </c>
      <c r="F7196" s="6" t="n">
        <f aca="false">(Sens!F7174+Sens!F7195)*Sens!F7194/1000</f>
        <v>136.51872432512</v>
      </c>
      <c r="G7196" s="6" t="n">
        <f aca="false">(Sens!G7174+Sens!G7195)*Sens!G7194/1000</f>
        <v>157.399275932048</v>
      </c>
      <c r="H7196" s="6" t="n">
        <f aca="false">(Sens!H7174+Sens!H7195)*Sens!H7194/1000</f>
        <v>162.260804347512</v>
      </c>
      <c r="I7196" s="6" t="n">
        <f aca="false">(Sens!I7174+Sens!I7195)*Sens!I7194/1000</f>
        <v>144.136569485434</v>
      </c>
      <c r="J7196" s="6" t="n">
        <f aca="false">(Sens!J7174+Sens!J7195)*Sens!J7194/1000</f>
        <v>114.029037357864</v>
      </c>
      <c r="K7196" s="6" t="n">
        <f aca="false">(Sens!K7174+Sens!K7195)*Sens!K7194/1000</f>
        <v>113.437085350975</v>
      </c>
    </row>
    <row r="7197" customFormat="false" ht="17.15" hidden="false" customHeight="false" outlineLevel="0" collapsed="false">
      <c r="A7197" s="0" t="s">
        <v>996</v>
      </c>
      <c r="B7197" s="0" t="s">
        <v>98</v>
      </c>
      <c r="C7197" s="6" t="n">
        <f aca="false">Sens!C7174*self_build*tk_cxfac/1000</f>
        <v>6.2083</v>
      </c>
      <c r="D7197" s="6" t="n">
        <f aca="false">Sens!D7174*self_build*tk_cxfac/1000</f>
        <v>9.3758</v>
      </c>
      <c r="E7197" s="6" t="n">
        <f aca="false">Sens!E7174*self_build*tk_cxfac/1000</f>
        <v>18.6249</v>
      </c>
      <c r="F7197" s="6" t="n">
        <f aca="false">Sens!F7174*self_build*tk_cxfac/1000</f>
        <v>31.935179717</v>
      </c>
      <c r="G7197" s="6" t="n">
        <f aca="false">Sens!G7174*self_build*tk_cxfac/1000</f>
        <v>34.545199717</v>
      </c>
      <c r="H7197" s="6" t="n">
        <f aca="false">Sens!H7174*self_build*tk_cxfac/1000</f>
        <v>34.545199717</v>
      </c>
      <c r="I7197" s="6" t="n">
        <f aca="false">Sens!I7174*self_build*tk_cxfac/1000</f>
        <v>24.4782641361767</v>
      </c>
      <c r="J7197" s="6" t="n">
        <f aca="false">Sens!J7174*self_build*tk_cxfac/1000</f>
        <v>14.9008938380769</v>
      </c>
      <c r="K7197" s="6" t="n">
        <f aca="false">Sens!K7174*self_build*tk_cxfac/1000</f>
        <v>5.52576771375761</v>
      </c>
    </row>
    <row r="7198" customFormat="false" ht="17.15" hidden="false" customHeight="false" outlineLevel="0" collapsed="false">
      <c r="A7198" s="0" t="s">
        <v>997</v>
      </c>
      <c r="B7198" s="0" t="s">
        <v>98</v>
      </c>
      <c r="F7198" s="15" t="n">
        <f aca="false">capex_floor27-Sens!F7196-Sens!F7197-Sens!F7294</f>
        <v>-0.0226806400230473</v>
      </c>
      <c r="L7198" s="12" t="s">
        <v>998</v>
      </c>
    </row>
    <row r="7199" customFormat="false" ht="17.15" hidden="false" customHeight="false" outlineLevel="0" collapsed="false">
      <c r="A7199" s="0" t="s">
        <v>999</v>
      </c>
      <c r="B7199" s="0" t="s">
        <v>98</v>
      </c>
      <c r="F7199" s="6" t="n">
        <f aca="false">MAX(0,Sens!F7198)</f>
        <v>0</v>
      </c>
    </row>
    <row r="7200" customFormat="false" ht="17.15" hidden="false" customHeight="false" outlineLevel="0" collapsed="false">
      <c r="A7200" s="0" t="s">
        <v>1000</v>
      </c>
      <c r="B7200" s="0" t="s">
        <v>98</v>
      </c>
      <c r="C7200" s="6" t="n">
        <f aca="false">Sens!C7196</f>
        <v>22.5333845916667</v>
      </c>
      <c r="D7200" s="6" t="n">
        <f aca="false">Sens!D7196</f>
        <v>34.0300093833333</v>
      </c>
      <c r="E7200" s="6" t="n">
        <f aca="false">Sens!E7196</f>
        <v>67.600153775</v>
      </c>
      <c r="F7200" s="6" t="n">
        <f aca="false">Sens!F7196</f>
        <v>136.51872432512</v>
      </c>
      <c r="G7200" s="6" t="n">
        <f aca="false">Sens!G7196</f>
        <v>157.399275932048</v>
      </c>
      <c r="H7200" s="6" t="n">
        <f aca="false">Sens!H7196</f>
        <v>162.260804347512</v>
      </c>
      <c r="I7200" s="6" t="n">
        <f aca="false">Sens!I7196</f>
        <v>144.136569485434</v>
      </c>
      <c r="J7200" s="6" t="n">
        <f aca="false">Sens!J7196</f>
        <v>114.029037357864</v>
      </c>
      <c r="K7200" s="6" t="n">
        <f aca="false">Sens!K7196</f>
        <v>113.437085350975</v>
      </c>
    </row>
    <row r="7201" customFormat="false" ht="17.15" hidden="false" customHeight="false" outlineLevel="0" collapsed="false">
      <c r="A7201" s="0" t="s">
        <v>1001</v>
      </c>
      <c r="B7201" s="0" t="s">
        <v>98</v>
      </c>
      <c r="C7201" s="6" t="n">
        <f aca="false">Sens!C7200+Sens!C7197</f>
        <v>28.7416845916667</v>
      </c>
      <c r="D7201" s="6" t="n">
        <f aca="false">Sens!D7200+Sens!D7197</f>
        <v>43.4058093833333</v>
      </c>
      <c r="E7201" s="6" t="n">
        <f aca="false">Sens!E7200+Sens!E7197</f>
        <v>86.225053775</v>
      </c>
      <c r="F7201" s="6" t="n">
        <f aca="false">Sens!F7200+Sens!F7197</f>
        <v>168.45390404212</v>
      </c>
      <c r="G7201" s="6" t="n">
        <f aca="false">Sens!G7200+Sens!G7197</f>
        <v>191.944475649048</v>
      </c>
      <c r="H7201" s="6" t="n">
        <f aca="false">Sens!H7200+Sens!H7197</f>
        <v>196.806004064512</v>
      </c>
      <c r="I7201" s="6" t="n">
        <f aca="false">Sens!I7200+Sens!I7197</f>
        <v>168.61483362161</v>
      </c>
      <c r="J7201" s="6" t="n">
        <f aca="false">Sens!J7200+Sens!J7197</f>
        <v>128.92993119594</v>
      </c>
      <c r="K7201" s="6" t="n">
        <f aca="false">Sens!K7200+Sens!K7197</f>
        <v>118.962853064733</v>
      </c>
      <c r="L7201" s="12" t="s">
        <v>1002</v>
      </c>
    </row>
    <row r="7202" customFormat="false" ht="17.15" hidden="false" customHeight="false" outlineLevel="0" collapsed="false">
      <c r="A7202" s="0" t="s">
        <v>1003</v>
      </c>
      <c r="B7202" s="0" t="s">
        <v>98</v>
      </c>
      <c r="E7202" s="6" t="n">
        <f aca="false">(Sens!C7200*IF(2&lt;life_it,1,IF(2=life_it,0.5,0))+Sens!D7200*IF(1&lt;life_it,1,IF(1=life_it,0.5,0))+Sens!E7200*0.5)/life_it</f>
        <v>15.0605784770833</v>
      </c>
      <c r="F7202" s="6" t="n">
        <f aca="false">(Sens!C7200*IF(3&lt;life_it,1,IF(3=life_it,0.5,0))+Sens!D7200*IF(2&lt;life_it,1,IF(2=life_it,0.5,0))+Sens!E7200*IF(1&lt;life_it,1,IF(1=life_it,0.5,0))+Sens!F7200*0.5)/life_it</f>
        <v>32.0704849854266</v>
      </c>
      <c r="G7202" s="6" t="n">
        <f aca="false">(Sens!C7200*IF(4&lt;life_it,1,IF(4=life_it,0.5,0))+Sens!D7200*IF(3&lt;life_it,1,IF(3=life_it,0.5,0))+Sens!E7200*IF(2&lt;life_it,1,IF(2=life_it,0.5,0))+Sens!F7200*IF(1&lt;life_it,1,IF(1=life_it,0.5,0))+Sens!G7200*0.5)/life_it</f>
        <v>56.5636516735239</v>
      </c>
      <c r="H7202" s="6" t="n">
        <f aca="false">(Sens!C7200*IF(5&lt;life_it,1,IF(5=life_it,0.5,0))+Sens!D7200*IF(4&lt;life_it,1,IF(4=life_it,0.5,0))+Sens!E7200*IF(3&lt;life_it,1,IF(3=life_it,0.5,0))+Sens!F7200*IF(2&lt;life_it,1,IF(2=life_it,0.5,0))+Sens!G7200*IF(1&lt;life_it,1,IF(1=life_it,0.5,0))+Sens!H7200*0.5)/life_it</f>
        <v>83.2019916968207</v>
      </c>
      <c r="I7202" s="6" t="n">
        <f aca="false">(Sens!C7200*IF(6&lt;life_it,1,IF(6=life_it,0.5,0))+Sens!D7200*IF(5&lt;life_it,1,IF(5=life_it,0.5,0))+Sens!E7200*IF(4&lt;life_it,1,IF(4=life_it,0.5,0))+Sens!F7200*IF(3&lt;life_it,1,IF(3=life_it,0.5,0))+Sens!G7200*IF(2&lt;life_it,1,IF(2=life_it,0.5,0))+Sens!H7200*IF(1&lt;life_it,1,IF(1=life_it,0.5,0))+Sens!I7200*0.5)/life_it</f>
        <v>106.857324133594</v>
      </c>
      <c r="J7202" s="6" t="n">
        <f aca="false">(Sens!C7200*IF(7&lt;life_it,1,IF(7=life_it,0.5,0))+Sens!D7200*IF(6&lt;life_it,1,IF(6=life_it,0.5,0))+Sens!E7200*IF(5&lt;life_it,1,IF(5=life_it,0.5,0))+Sens!F7200*IF(4&lt;life_it,1,IF(4=life_it,0.5,0))+Sens!G7200*IF(3&lt;life_it,1,IF(3=life_it,0.5,0))+Sens!H7200*IF(2&lt;life_it,1,IF(2=life_it,0.5,0))+Sens!I7200*IF(1&lt;life_it,1,IF(1=life_it,0.5,0))+Sens!J7200*0.5)/life_it</f>
        <v>123.657508539285</v>
      </c>
      <c r="K7202" s="6" t="n">
        <f aca="false">(Sens!C7200*IF(8&lt;life_it,1,IF(8=life_it,0.5,0))+Sens!D7200*IF(7&lt;life_it,1,IF(7=life_it,0.5,0))+Sens!E7200*IF(6&lt;life_it,1,IF(6=life_it,0.5,0))+Sens!F7200*IF(5&lt;life_it,1,IF(5=life_it,0.5,0))+Sens!G7200*IF(4&lt;life_it,1,IF(4=life_it,0.5,0))+Sens!H7200*IF(3&lt;life_it,1,IF(3=life_it,0.5,0))+Sens!I7200*IF(2&lt;life_it,1,IF(2=life_it,0.5,0))+Sens!J7200*IF(1&lt;life_it,1,IF(1=life_it,0.5,0))+Sens!K7200*0.5)/life_it</f>
        <v>134.143838501827</v>
      </c>
    </row>
    <row r="7203" customFormat="false" ht="17.15" hidden="false" customHeight="false" outlineLevel="0" collapsed="false">
      <c r="A7203" s="0" t="s">
        <v>1004</v>
      </c>
      <c r="B7203" s="0" t="s">
        <v>98</v>
      </c>
      <c r="E7203" s="6" t="n">
        <f aca="false">(Sens!C7197*IF(2&lt;life_fac,1,IF(2=life_fac,0.5,0))+Sens!D7197*IF(1&lt;life_fac,1,IF(1=life_fac,0.5,0))+Sens!E7197*0.5)/life_fac</f>
        <v>1.2448275</v>
      </c>
      <c r="F7203" s="6" t="n">
        <f aca="false">(Sens!C7197*IF(3&lt;life_fac,1,IF(3=life_fac,0.5,0))+Sens!D7197*IF(2&lt;life_fac,1,IF(2=life_fac,0.5,0))+Sens!E7197*IF(1&lt;life_fac,1,IF(1=life_fac,0.5,0))+Sens!F7197*0.5)/life_fac</f>
        <v>2.508829492925</v>
      </c>
      <c r="G7203" s="6" t="n">
        <f aca="false">(Sens!C7197*IF(4&lt;life_fac,1,IF(4=life_fac,0.5,0))+Sens!D7197*IF(3&lt;life_fac,1,IF(3=life_fac,0.5,0))+Sens!E7197*IF(2&lt;life_fac,1,IF(2=life_fac,0.5,0))+Sens!F7197*IF(1&lt;life_fac,1,IF(1=life_fac,0.5,0))+Sens!G7197*0.5)/life_fac</f>
        <v>4.170838978775</v>
      </c>
      <c r="H7203" s="6" t="n">
        <f aca="false">(Sens!C7197*IF(5&lt;life_fac,1,IF(5=life_fac,0.5,0))+Sens!D7197*IF(4&lt;life_fac,1,IF(4=life_fac,0.5,0))+Sens!E7197*IF(3&lt;life_fac,1,IF(3=life_fac,0.5,0))+Sens!F7197*IF(2&lt;life_fac,1,IF(2=life_fac,0.5,0))+Sens!G7197*IF(1&lt;life_fac,1,IF(1=life_fac,0.5,0))+Sens!H7197*0.5)/life_fac</f>
        <v>5.898098964625</v>
      </c>
      <c r="I7203" s="6" t="n">
        <f aca="false">(Sens!C7197*IF(6&lt;life_fac,1,IF(6=life_fac,0.5,0))+Sens!D7197*IF(5&lt;life_fac,1,IF(5=life_fac,0.5,0))+Sens!E7197*IF(4&lt;life_fac,1,IF(4=life_fac,0.5,0))+Sens!F7197*IF(3&lt;life_fac,1,IF(3=life_fac,0.5,0))+Sens!G7197*IF(2&lt;life_fac,1,IF(2=life_fac,0.5,0))+Sens!H7197*IF(1&lt;life_fac,1,IF(1=life_fac,0.5,0))+Sens!I7197*0.5)/life_fac</f>
        <v>7.37368556095442</v>
      </c>
      <c r="J7203" s="6" t="n">
        <f aca="false">(Sens!C7197*IF(7&lt;life_fac,1,IF(7=life_fac,0.5,0))+Sens!D7197*IF(6&lt;life_fac,1,IF(6=life_fac,0.5,0))+Sens!E7197*IF(5&lt;life_fac,1,IF(5=life_fac,0.5,0))+Sens!F7197*IF(4&lt;life_fac,1,IF(4=life_fac,0.5,0))+Sens!G7197*IF(3&lt;life_fac,1,IF(3=life_fac,0.5,0))+Sens!H7197*IF(2&lt;life_fac,1,IF(2=life_fac,0.5,0))+Sens!I7197*IF(1&lt;life_fac,1,IF(1=life_fac,0.5,0))+Sens!J7197*0.5)/life_fac</f>
        <v>8.35816451031075</v>
      </c>
      <c r="K7203" s="6" t="n">
        <f aca="false">(Sens!C7197*IF(8&lt;life_fac,1,IF(8=life_fac,0.5,0))+Sens!D7197*IF(7&lt;life_fac,1,IF(7=life_fac,0.5,0))+Sens!E7197*IF(6&lt;life_fac,1,IF(6=life_fac,0.5,0))+Sens!F7197*IF(5&lt;life_fac,1,IF(5=life_fac,0.5,0))+Sens!G7197*IF(4&lt;life_fac,1,IF(4=life_fac,0.5,0))+Sens!H7197*IF(3&lt;life_fac,1,IF(3=life_fac,0.5,0))+Sens!I7197*IF(2&lt;life_fac,1,IF(2=life_fac,0.5,0))+Sens!J7197*IF(1&lt;life_fac,1,IF(1=life_fac,0.5,0))+Sens!K7197*0.5)/life_fac</f>
        <v>8.86883104910662</v>
      </c>
    </row>
    <row r="7204" customFormat="false" ht="17.15" hidden="false" customHeight="false" outlineLevel="0" collapsed="false">
      <c r="A7204" s="0" t="s">
        <v>1005</v>
      </c>
      <c r="B7204" s="0" t="s">
        <v>98</v>
      </c>
      <c r="E7204" s="6" t="n">
        <f aca="false">Sens!E7202+Sens!E7203</f>
        <v>16.3054059770833</v>
      </c>
      <c r="F7204" s="6" t="n">
        <f aca="false">Sens!F7202+Sens!F7203</f>
        <v>34.5793144783516</v>
      </c>
      <c r="G7204" s="6" t="n">
        <f aca="false">Sens!G7202+Sens!G7203</f>
        <v>60.7344906522989</v>
      </c>
      <c r="H7204" s="6" t="n">
        <f aca="false">Sens!H7202+Sens!H7203</f>
        <v>89.1000906614457</v>
      </c>
      <c r="I7204" s="6" t="n">
        <f aca="false">Sens!I7202+Sens!I7203</f>
        <v>114.231009694548</v>
      </c>
      <c r="J7204" s="6" t="n">
        <f aca="false">Sens!J7202+Sens!J7203</f>
        <v>132.015673049596</v>
      </c>
      <c r="K7204" s="6" t="n">
        <f aca="false">Sens!K7202+Sens!K7203</f>
        <v>143.012669550934</v>
      </c>
    </row>
    <row r="7205" customFormat="false" ht="17.15" hidden="false" customHeight="false" outlineLevel="0" collapsed="false">
      <c r="A7205" s="0" t="s">
        <v>1006</v>
      </c>
      <c r="B7205" s="0" t="s">
        <v>98</v>
      </c>
      <c r="E7205" s="6" t="n">
        <f aca="false">Sens!E7192-Sens!E7191*Sens!E7204</f>
        <v>8.92707889977379</v>
      </c>
      <c r="F7205" s="6" t="n">
        <f aca="false">Sens!F7192-Sens!F7191*Sens!F7204</f>
        <v>14.3471335960079</v>
      </c>
      <c r="G7205" s="6" t="n">
        <f aca="false">Sens!G7192-Sens!G7191*Sens!G7204</f>
        <v>16.5202976798683</v>
      </c>
      <c r="H7205" s="6" t="n">
        <f aca="false">Sens!H7192-Sens!H7191*Sens!H7204</f>
        <v>12.9805278875331</v>
      </c>
      <c r="I7205" s="6" t="n">
        <f aca="false">Sens!I7192-Sens!I7191*Sens!I7204</f>
        <v>16.2363335770989</v>
      </c>
      <c r="J7205" s="6" t="n">
        <f aca="false">Sens!J7192-Sens!J7191*Sens!J7204</f>
        <v>18.4432225839805</v>
      </c>
      <c r="K7205" s="6" t="n">
        <f aca="false">Sens!K7192-Sens!K7191*Sens!K7204</f>
        <v>20.1577566819661</v>
      </c>
    </row>
    <row r="7206" customFormat="false" ht="17.15" hidden="false" customHeight="false" outlineLevel="0" collapsed="false">
      <c r="A7206" s="3" t="s">
        <v>1791</v>
      </c>
    </row>
    <row r="7207" customFormat="false" ht="15" hidden="false" customHeight="false" outlineLevel="0" collapsed="false">
      <c r="A7207" s="4" t="s">
        <v>43</v>
      </c>
      <c r="B7207" s="4" t="s">
        <v>65</v>
      </c>
      <c r="C7207" s="23" t="s">
        <v>942</v>
      </c>
      <c r="D7207" s="23" t="s">
        <v>943</v>
      </c>
      <c r="E7207" s="23" t="s">
        <v>944</v>
      </c>
      <c r="F7207" s="23" t="s">
        <v>945</v>
      </c>
      <c r="G7207" s="23" t="s">
        <v>946</v>
      </c>
      <c r="H7207" s="23" t="s">
        <v>947</v>
      </c>
      <c r="I7207" s="23" t="s">
        <v>948</v>
      </c>
      <c r="J7207" s="23" t="s">
        <v>949</v>
      </c>
      <c r="K7207" s="23" t="s">
        <v>950</v>
      </c>
      <c r="L7207" s="4" t="s">
        <v>47</v>
      </c>
    </row>
    <row r="7208" customFormat="false" ht="17.15" hidden="false" customHeight="false" outlineLevel="0" collapsed="false">
      <c r="A7208" s="0" t="s">
        <v>1025</v>
      </c>
      <c r="B7208" s="0" t="s">
        <v>98</v>
      </c>
      <c r="D7208" s="6" t="n">
        <f aca="false">Sens!D7186</f>
        <v>12.9359794422418</v>
      </c>
      <c r="E7208" s="6" t="n">
        <f aca="false">Sens!E7186</f>
        <v>27.8095064661409</v>
      </c>
      <c r="F7208" s="6" t="n">
        <f aca="false">Sens!F7186</f>
        <v>50.9819294352312</v>
      </c>
      <c r="G7208" s="6" t="n">
        <f aca="false">Sens!G7186</f>
        <v>76.6920436014933</v>
      </c>
      <c r="H7208" s="6" t="n">
        <f aca="false">Sens!H7186</f>
        <v>97.4495379418341</v>
      </c>
      <c r="I7208" s="6" t="n">
        <f aca="false">Sens!I7186</f>
        <v>122.083445553868</v>
      </c>
      <c r="J7208" s="6" t="n">
        <f aca="false">Sens!J7186</f>
        <v>139.249060444804</v>
      </c>
      <c r="K7208" s="6" t="n">
        <f aca="false">Sens!K7186</f>
        <v>149.995818575589</v>
      </c>
    </row>
    <row r="7209" customFormat="false" ht="17.15" hidden="false" customHeight="false" outlineLevel="0" collapsed="false">
      <c r="A7209" s="0" t="s">
        <v>1026</v>
      </c>
      <c r="B7209" s="0" t="s">
        <v>98</v>
      </c>
      <c r="D7209" s="6" t="n">
        <f aca="false">Q!L6-Sens!D7208</f>
        <v>59.6740205577583</v>
      </c>
      <c r="E7209" s="6" t="n">
        <f aca="false">Q!M6-Sens!E7208</f>
        <v>74.1284935338591</v>
      </c>
      <c r="F7209" s="6" t="n">
        <f aca="false">Q!$I$6+(Sens!F7208+Sens!E7209*(1+Sens!F7210))*(1-Q!$E$6/Q!M6)-Sens!F7208</f>
        <v>92.2699541184664</v>
      </c>
      <c r="G7209" s="6" t="n">
        <f aca="false">Sens!F7209*(1+Sens!G7210)</f>
        <v>109.630477277949</v>
      </c>
      <c r="H7209" s="6" t="n">
        <f aca="false">Sens!G7209*(1+Sens!H7210)</f>
        <v>127.293256321956</v>
      </c>
      <c r="I7209" s="6" t="n">
        <f aca="false">Sens!H7209*(1+Sens!I7210)</f>
        <v>144.360052269491</v>
      </c>
      <c r="J7209" s="6" t="n">
        <f aca="false">Sens!I7209*(1+Sens!J7210)</f>
        <v>159.811964490216</v>
      </c>
      <c r="K7209" s="6" t="n">
        <f aca="false">Sens!J7209*(1+Sens!K7210)</f>
        <v>172.596921649434</v>
      </c>
      <c r="L7209" s="12" t="s">
        <v>1027</v>
      </c>
    </row>
    <row r="7210" customFormat="false" ht="15" hidden="false" customHeight="false" outlineLevel="0" collapsed="false">
      <c r="A7210" s="1" t="s">
        <v>1028</v>
      </c>
      <c r="B7210" s="0" t="s">
        <v>168</v>
      </c>
      <c r="E7210" s="7" t="n">
        <f aca="false">Sens!E7209/Sens!D7209-1</f>
        <v>0.242223883039864</v>
      </c>
      <c r="F7210" s="7" t="n">
        <f aca="false">Sens!$E$7210+(glt_azo-Sens!$E$7210)*MIN(1,(Sens!F7167-base_fy)/n_conv)</f>
        <v>0.215186569199887</v>
      </c>
      <c r="G7210" s="7" t="n">
        <f aca="false">Sens!$E$7210+(glt_azo-Sens!$E$7210)*MIN(1,(Sens!G7167-base_fy)/n_conv)</f>
        <v>0.18814925535991</v>
      </c>
      <c r="H7210" s="7" t="n">
        <f aca="false">Sens!$E$7210+(glt_azo-Sens!$E$7210)*MIN(1,(Sens!H7167-base_fy)/n_conv)</f>
        <v>0.161111941519932</v>
      </c>
      <c r="I7210" s="7" t="n">
        <f aca="false">Sens!$E$7210+(glt_azo-Sens!$E$7210)*MIN(1,(Sens!I7167-base_fy)/n_conv)</f>
        <v>0.134074627679955</v>
      </c>
      <c r="J7210" s="7" t="n">
        <f aca="false">Sens!$E$7210+(glt_azo-Sens!$E$7210)*MIN(1,(Sens!J7167-base_fy)/n_conv)</f>
        <v>0.107037313839977</v>
      </c>
      <c r="K7210" s="7" t="n">
        <f aca="false">Sens!$E$7210+(glt_azo-Sens!$E$7210)*MIN(1,(Sens!K7167-base_fy)/n_conv)</f>
        <v>0.08</v>
      </c>
    </row>
    <row r="7211" customFormat="false" ht="15" hidden="false" customHeight="false" outlineLevel="0" collapsed="false">
      <c r="A7211" s="0" t="s">
        <v>1029</v>
      </c>
      <c r="B7211" s="0" t="s">
        <v>98</v>
      </c>
      <c r="D7211" s="6" t="n">
        <f aca="false">Sens!D7208+Sens!D7209</f>
        <v>72.61</v>
      </c>
      <c r="E7211" s="6" t="n">
        <f aca="false">Sens!E7208+Sens!E7209</f>
        <v>101.938</v>
      </c>
      <c r="F7211" s="6" t="n">
        <f aca="false">Sens!F7208+Sens!F7209</f>
        <v>143.251883553698</v>
      </c>
      <c r="G7211" s="6" t="n">
        <f aca="false">Sens!G7208+Sens!G7209</f>
        <v>186.322520879442</v>
      </c>
      <c r="H7211" s="6" t="n">
        <f aca="false">Sens!H7208+Sens!H7209</f>
        <v>224.74279426379</v>
      </c>
      <c r="I7211" s="6" t="n">
        <f aca="false">Sens!I7208+Sens!I7209</f>
        <v>266.443497823359</v>
      </c>
      <c r="J7211" s="6" t="n">
        <f aca="false">Sens!J7208+Sens!J7209</f>
        <v>299.06102493502</v>
      </c>
      <c r="K7211" s="6" t="n">
        <f aca="false">Sens!K7208+Sens!K7209</f>
        <v>322.592740225023</v>
      </c>
    </row>
    <row r="7212" customFormat="false" ht="17.15" hidden="false" customHeight="false" outlineLevel="0" collapsed="false">
      <c r="A7212" s="0" t="s">
        <v>1030</v>
      </c>
      <c r="B7212" s="1" t="s">
        <v>613</v>
      </c>
      <c r="C7212" s="30" t="n">
        <f aca="false">cop_s24</f>
        <v>1</v>
      </c>
      <c r="D7212" s="30" t="n">
        <f aca="false">cop_s25</f>
        <v>5</v>
      </c>
      <c r="E7212" s="30" t="n">
        <f aca="false">cop_s26</f>
        <v>30</v>
      </c>
      <c r="F7212" s="30" t="n">
        <f aca="false">Sens!E7212+cop_add_C*0.5</f>
        <v>35</v>
      </c>
      <c r="G7212" s="30" t="n">
        <f aca="false">Sens!F7212+cop_add_C*0.5</f>
        <v>40</v>
      </c>
      <c r="H7212" s="30" t="n">
        <f aca="false">Sens!G7212+cop_add_C*0.5</f>
        <v>45</v>
      </c>
      <c r="I7212" s="30" t="n">
        <f aca="false">Sens!H7212+cop_add_C*0.5*cop_tail</f>
        <v>47.5</v>
      </c>
      <c r="J7212" s="30" t="n">
        <f aca="false">Sens!I7212+cop_add_C*0.5*cop_tail</f>
        <v>50</v>
      </c>
      <c r="K7212" s="30" t="n">
        <f aca="false">Sens!J7212+cop_add_C*0.5*cop_tail</f>
        <v>52.5</v>
      </c>
      <c r="L7212" s="12" t="s">
        <v>1031</v>
      </c>
    </row>
    <row r="7213" customFormat="false" ht="17.15" hidden="false" customHeight="false" outlineLevel="0" collapsed="false">
      <c r="A7213" s="0" t="s">
        <v>1032</v>
      </c>
      <c r="B7213" s="0" t="s">
        <v>98</v>
      </c>
      <c r="D7213" s="6" t="n">
        <f aca="false">(Sens!C7212+Sens!D7212)/2*cop_px*12/1000</f>
        <v>0.9</v>
      </c>
      <c r="E7213" s="6" t="n">
        <f aca="false">(Sens!D7212+Sens!E7212)/2*cop_px*12/1000</f>
        <v>5.25</v>
      </c>
      <c r="F7213" s="6" t="n">
        <f aca="false">(Sens!E7212+Sens!F7212)/2*cop_px*12/1000</f>
        <v>9.75</v>
      </c>
      <c r="G7213" s="6" t="n">
        <f aca="false">(Sens!F7212+Sens!G7212)/2*cop_px*12/1000</f>
        <v>11.25</v>
      </c>
      <c r="H7213" s="6" t="n">
        <f aca="false">(Sens!G7212+Sens!H7212)/2*cop_px*12/1000</f>
        <v>12.75</v>
      </c>
      <c r="I7213" s="6" t="n">
        <f aca="false">(Sens!H7212+Sens!I7212)/2*cop_px*12/1000</f>
        <v>13.875</v>
      </c>
      <c r="J7213" s="6" t="n">
        <f aca="false">(Sens!I7212+Sens!J7212)/2*cop_px*12/1000</f>
        <v>14.625</v>
      </c>
      <c r="K7213" s="6" t="n">
        <f aca="false">(Sens!J7212+Sens!K7212)/2*cop_px*12/1000</f>
        <v>15.375</v>
      </c>
      <c r="L7213" s="1" t="s">
        <v>1033</v>
      </c>
    </row>
    <row r="7214" customFormat="false" ht="17.15" hidden="false" customHeight="false" outlineLevel="0" collapsed="false">
      <c r="A7214" s="0" t="s">
        <v>1034</v>
      </c>
      <c r="B7214" s="0" t="s">
        <v>98</v>
      </c>
      <c r="D7214" s="6" t="n">
        <f aca="false">Q!L7-Sens!D7213</f>
        <v>83.705</v>
      </c>
      <c r="E7214" s="6" t="n">
        <f aca="false">Q!M7-Sens!E7213</f>
        <v>95.049</v>
      </c>
      <c r="F7214" s="6" t="n">
        <f aca="false">Q!$I$7+(Sens!E7214*(1+Sens!F7215)+Sens!F7213)*(1-Q!$E$7/Q!M7)-Sens!F7213</f>
        <v>107.11552943579</v>
      </c>
      <c r="G7214" s="6" t="n">
        <f aca="false">Sens!F7214*(1+Sens!G7215)</f>
        <v>119.292677392857</v>
      </c>
      <c r="H7214" s="6" t="n">
        <f aca="false">Sens!G7214*(1+Sens!H7215)</f>
        <v>131.551405555012</v>
      </c>
      <c r="I7214" s="6" t="n">
        <f aca="false">Sens!H7214*(1+Sens!I7215)</f>
        <v>143.633242963743</v>
      </c>
      <c r="J7214" s="6" t="n">
        <f aca="false">Sens!I7214*(1+Sens!J7215)</f>
        <v>155.256130324074</v>
      </c>
      <c r="K7214" s="6" t="n">
        <f aca="false">Sens!J7214*(1+Sens!K7215)</f>
        <v>166.124059446759</v>
      </c>
      <c r="L7214" s="12" t="s">
        <v>1035</v>
      </c>
    </row>
    <row r="7215" customFormat="false" ht="15" hidden="false" customHeight="false" outlineLevel="0" collapsed="false">
      <c r="A7215" s="1" t="s">
        <v>1028</v>
      </c>
      <c r="B7215" s="0" t="s">
        <v>168</v>
      </c>
      <c r="E7215" s="7" t="n">
        <f aca="false">Sens!E7214/Sens!D7214-1</f>
        <v>0.135523564900544</v>
      </c>
      <c r="F7215" s="7" t="n">
        <f aca="false">Sens!$E$7215+(glt_m365b-Sens!$E$7215)*MIN(1,(Sens!F7167-base_fy)/n_conv)</f>
        <v>0.124602970750453</v>
      </c>
      <c r="G7215" s="7" t="n">
        <f aca="false">Sens!$E$7215+(glt_m365b-Sens!$E$7215)*MIN(1,(Sens!G7167-base_fy)/n_conv)</f>
        <v>0.113682376600363</v>
      </c>
      <c r="H7215" s="7" t="n">
        <f aca="false">Sens!$E$7215+(glt_m365b-Sens!$E$7215)*MIN(1,(Sens!H7167-base_fy)/n_conv)</f>
        <v>0.102761782450272</v>
      </c>
      <c r="I7215" s="7" t="n">
        <f aca="false">Sens!$E$7215+(glt_m365b-Sens!$E$7215)*MIN(1,(Sens!I7167-base_fy)/n_conv)</f>
        <v>0.0918411883001813</v>
      </c>
      <c r="J7215" s="7" t="n">
        <f aca="false">Sens!$E$7215+(glt_m365b-Sens!$E$7215)*MIN(1,(Sens!J7167-base_fy)/n_conv)</f>
        <v>0.0809205941500906</v>
      </c>
      <c r="K7215" s="7" t="n">
        <f aca="false">Sens!$E$7215+(glt_m365b-Sens!$E$7215)*MIN(1,(Sens!K7167-base_fy)/n_conv)</f>
        <v>0.07</v>
      </c>
    </row>
    <row r="7216" customFormat="false" ht="15" hidden="false" customHeight="false" outlineLevel="0" collapsed="false">
      <c r="A7216" s="0" t="s">
        <v>1036</v>
      </c>
      <c r="B7216" s="0" t="s">
        <v>98</v>
      </c>
      <c r="D7216" s="6" t="n">
        <f aca="false">Sens!D7214+Sens!D7213</f>
        <v>84.605</v>
      </c>
      <c r="E7216" s="6" t="n">
        <f aca="false">Sens!E7214+Sens!E7213</f>
        <v>100.299</v>
      </c>
      <c r="F7216" s="6" t="n">
        <f aca="false">Sens!F7214+Sens!F7213</f>
        <v>116.86552943579</v>
      </c>
      <c r="G7216" s="6" t="n">
        <f aca="false">Sens!G7214+Sens!G7213</f>
        <v>130.542677392857</v>
      </c>
      <c r="H7216" s="6" t="n">
        <f aca="false">Sens!H7214+Sens!H7213</f>
        <v>144.301405555012</v>
      </c>
      <c r="I7216" s="6" t="n">
        <f aca="false">Sens!I7214+Sens!I7213</f>
        <v>157.508242963743</v>
      </c>
      <c r="J7216" s="6" t="n">
        <f aca="false">Sens!J7214+Sens!J7213</f>
        <v>169.881130324074</v>
      </c>
      <c r="K7216" s="6" t="n">
        <f aca="false">Sens!K7214+Sens!K7213</f>
        <v>181.499059446759</v>
      </c>
    </row>
    <row r="7217" customFormat="false" ht="17.15" hidden="false" customHeight="false" outlineLevel="0" collapsed="false">
      <c r="A7217" s="0" t="s">
        <v>1037</v>
      </c>
      <c r="B7217" s="0" t="s">
        <v>98</v>
      </c>
      <c r="D7217" s="6" t="n">
        <f aca="false">Q!L8</f>
        <v>35.391</v>
      </c>
      <c r="E7217" s="6" t="n">
        <f aca="false">Q!M8</f>
        <v>37.285</v>
      </c>
      <c r="F7217" s="6" t="n">
        <f aca="false">Q!$I$8+(Q!M8-Q!$E$8)*(1+Sens!F7218)</f>
        <v>38.3851437782675</v>
      </c>
      <c r="G7217" s="6" t="n">
        <f aca="false">Sens!F7217*(1+Sens!G7218)</f>
        <v>40.0105353288615</v>
      </c>
      <c r="H7217" s="6" t="n">
        <f aca="false">Sens!G7217*(1+Sens!H7218)</f>
        <v>41.4812512033683</v>
      </c>
      <c r="I7217" s="6" t="n">
        <f aca="false">Sens!H7217*(1+Sens!I7218)</f>
        <v>42.7743107216329</v>
      </c>
      <c r="J7217" s="6" t="n">
        <f aca="false">Sens!I7217*(1+Sens!J7218)</f>
        <v>43.8687373064601</v>
      </c>
      <c r="K7217" s="6" t="n">
        <f aca="false">Sens!J7217*(1+Sens!K7218)</f>
        <v>44.7461120525893</v>
      </c>
      <c r="L7217" s="12" t="s">
        <v>1038</v>
      </c>
    </row>
    <row r="7218" customFormat="false" ht="15" hidden="false" customHeight="false" outlineLevel="0" collapsed="false">
      <c r="A7218" s="1" t="s">
        <v>1028</v>
      </c>
      <c r="B7218" s="0" t="s">
        <v>168</v>
      </c>
      <c r="E7218" s="7" t="n">
        <f aca="false">Sens!E7217/Sens!D7217-1</f>
        <v>0.0535164307309768</v>
      </c>
      <c r="F7218" s="7" t="n">
        <f aca="false">Sens!$E$7218+(glt_lic-Sens!$E$7218)*MIN(1,(Sens!F7167-base_fy)/n_conv)</f>
        <v>0.0479303589424807</v>
      </c>
      <c r="G7218" s="7" t="n">
        <f aca="false">Sens!$E$7218+(glt_lic-Sens!$E$7218)*MIN(1,(Sens!G7167-base_fy)/n_conv)</f>
        <v>0.0423442871539845</v>
      </c>
      <c r="H7218" s="7" t="n">
        <f aca="false">Sens!$E$7218+(glt_lic-Sens!$E$7218)*MIN(1,(Sens!H7167-base_fy)/n_conv)</f>
        <v>0.0367582153654884</v>
      </c>
      <c r="I7218" s="7" t="n">
        <f aca="false">Sens!$E$7218+(glt_lic-Sens!$E$7218)*MIN(1,(Sens!I7167-base_fy)/n_conv)</f>
        <v>0.0311721435769923</v>
      </c>
      <c r="J7218" s="7" t="n">
        <f aca="false">Sens!$E$7218+(glt_lic-Sens!$E$7218)*MIN(1,(Sens!J7167-base_fy)/n_conv)</f>
        <v>0.0255860717884961</v>
      </c>
      <c r="K7218" s="7" t="n">
        <f aca="false">Sens!$E$7218+(glt_lic-Sens!$E$7218)*MIN(1,(Sens!K7167-base_fy)/n_conv)</f>
        <v>0.02</v>
      </c>
    </row>
    <row r="7219" customFormat="false" ht="17.15" hidden="false" customHeight="false" outlineLevel="0" collapsed="false">
      <c r="A7219" s="0" t="s">
        <v>1039</v>
      </c>
      <c r="B7219" s="0" t="s">
        <v>98</v>
      </c>
      <c r="D7219" s="6" t="n">
        <f aca="false">Q!L9</f>
        <v>18.417</v>
      </c>
      <c r="E7219" s="6" t="n">
        <f aca="false">Q!M9</f>
        <v>20.345</v>
      </c>
      <c r="F7219" s="6" t="n">
        <f aca="false">Q!$I$9+(Q!M9-Q!$E$9)*(1+Sens!F7220)</f>
        <v>22.3161797133988</v>
      </c>
      <c r="G7219" s="6" t="n">
        <f aca="false">Sens!F7219*(1+Sens!G7220)</f>
        <v>24.3943499673233</v>
      </c>
      <c r="H7219" s="6" t="n">
        <f aca="false">Sens!G7219*(1+Sens!H7220)</f>
        <v>26.5250243109019</v>
      </c>
      <c r="I7219" s="6" t="n">
        <f aca="false">Sens!H7219*(1+Sens!I7220)</f>
        <v>28.6884573538181</v>
      </c>
      <c r="J7219" s="6" t="n">
        <f aca="false">Sens!I7219*(1+Sens!J7220)</f>
        <v>30.8624968052127</v>
      </c>
      <c r="K7219" s="6" t="n">
        <f aca="false">Sens!J7219*(1+Sens!K7220)</f>
        <v>33.0228715815776</v>
      </c>
      <c r="L7219" s="12" t="s">
        <v>1038</v>
      </c>
    </row>
    <row r="7220" customFormat="false" ht="15" hidden="false" customHeight="false" outlineLevel="0" collapsed="false">
      <c r="A7220" s="1" t="s">
        <v>1028</v>
      </c>
      <c r="B7220" s="0" t="s">
        <v>168</v>
      </c>
      <c r="E7220" s="7" t="n">
        <f aca="false">Sens!E7219/Sens!D7219-1</f>
        <v>0.104685888038225</v>
      </c>
      <c r="F7220" s="7" t="n">
        <f aca="false">Sens!$E$7220+(glt_ind-Sens!$E$7220)*MIN(1,(Sens!F7167-base_fy)/n_conv)</f>
        <v>0.0989049066985211</v>
      </c>
      <c r="G7220" s="7" t="n">
        <f aca="false">Sens!$E$7220+(glt_ind-Sens!$E$7220)*MIN(1,(Sens!G7167-base_fy)/n_conv)</f>
        <v>0.0931239253588169</v>
      </c>
      <c r="H7220" s="7" t="n">
        <f aca="false">Sens!$E$7220+(glt_ind-Sens!$E$7220)*MIN(1,(Sens!H7167-base_fy)/n_conv)</f>
        <v>0.0873429440191127</v>
      </c>
      <c r="I7220" s="7" t="n">
        <f aca="false">Sens!$E$7220+(glt_ind-Sens!$E$7220)*MIN(1,(Sens!I7167-base_fy)/n_conv)</f>
        <v>0.0815619626794085</v>
      </c>
      <c r="J7220" s="7" t="n">
        <f aca="false">Sens!$E$7220+(glt_ind-Sens!$E$7220)*MIN(1,(Sens!J7167-base_fy)/n_conv)</f>
        <v>0.0757809813397042</v>
      </c>
      <c r="K7220" s="7" t="n">
        <f aca="false">Sens!$E$7220+(glt_ind-Sens!$E$7220)*MIN(1,(Sens!K7167-base_fy)/n_conv)</f>
        <v>0.07</v>
      </c>
    </row>
    <row r="7221" customFormat="false" ht="17.15" hidden="false" customHeight="false" outlineLevel="0" collapsed="false">
      <c r="A7221" s="0" t="s">
        <v>1040</v>
      </c>
      <c r="B7221" s="0" t="s">
        <v>98</v>
      </c>
      <c r="D7221" s="6" t="n">
        <f aca="false">Q!L10</f>
        <v>7.76</v>
      </c>
      <c r="E7221" s="6" t="n">
        <f aca="false">Q!M10</f>
        <v>8.26</v>
      </c>
      <c r="F7221" s="6" t="n">
        <f aca="false">Q!$I$10+(Q!M10-Q!$E$10)*(1+Sens!F7222)</f>
        <v>8.75372082474227</v>
      </c>
      <c r="G7221" s="6" t="n">
        <f aca="false">Sens!F7221*(1+Sens!G7222)</f>
        <v>9.33399324642364</v>
      </c>
      <c r="H7221" s="6" t="n">
        <f aca="false">Sens!G7221*(1+Sens!H7222)</f>
        <v>9.96139155535851</v>
      </c>
      <c r="I7221" s="6" t="n">
        <f aca="false">Sens!H7221*(1+Sens!I7222)</f>
        <v>10.6402039077391</v>
      </c>
      <c r="J7221" s="6" t="n">
        <f aca="false">Sens!I7221*(1+Sens!J7222)</f>
        <v>11.3751458271397</v>
      </c>
      <c r="K7221" s="6" t="n">
        <f aca="false">Sens!J7221*(1+Sens!K7222)</f>
        <v>12.1714060350394</v>
      </c>
      <c r="L7221" s="12" t="s">
        <v>1038</v>
      </c>
    </row>
    <row r="7222" customFormat="false" ht="15" hidden="false" customHeight="false" outlineLevel="0" collapsed="false">
      <c r="A7222" s="1" t="s">
        <v>1028</v>
      </c>
      <c r="B7222" s="0" t="s">
        <v>168</v>
      </c>
      <c r="E7222" s="7" t="n">
        <f aca="false">Sens!E7221/Sens!D7221-1</f>
        <v>0.0644329896907216</v>
      </c>
      <c r="F7222" s="7" t="n">
        <f aca="false">Sens!$E$7222+(glt_fro-Sens!$E$7222)*MIN(1,(Sens!F7167-base_fy)/n_conv)</f>
        <v>0.065360824742268</v>
      </c>
      <c r="G7222" s="7" t="n">
        <f aca="false">Sens!$E$7222+(glt_fro-Sens!$E$7222)*MIN(1,(Sens!G7167-base_fy)/n_conv)</f>
        <v>0.0662886597938144</v>
      </c>
      <c r="H7222" s="7" t="n">
        <f aca="false">Sens!$E$7222+(glt_fro-Sens!$E$7222)*MIN(1,(Sens!H7167-base_fy)/n_conv)</f>
        <v>0.0672164948453608</v>
      </c>
      <c r="I7222" s="7" t="n">
        <f aca="false">Sens!$E$7222+(glt_fro-Sens!$E$7222)*MIN(1,(Sens!I7167-base_fy)/n_conv)</f>
        <v>0.0681443298969072</v>
      </c>
      <c r="J7222" s="7" t="n">
        <f aca="false">Sens!$E$7222+(glt_fro-Sens!$E$7222)*MIN(1,(Sens!J7167-base_fy)/n_conv)</f>
        <v>0.0690721649484536</v>
      </c>
      <c r="K7222" s="7" t="n">
        <f aca="false">Sens!$E$7222+(glt_fro-Sens!$E$7222)*MIN(1,(Sens!K7167-base_fy)/n_conv)</f>
        <v>0.07</v>
      </c>
    </row>
    <row r="7223" customFormat="false" ht="15" hidden="false" customHeight="false" outlineLevel="0" collapsed="false">
      <c r="A7223" s="0" t="s">
        <v>856</v>
      </c>
      <c r="B7223" s="0" t="s">
        <v>98</v>
      </c>
      <c r="D7223" s="6" t="n">
        <f aca="false">Sens!D7211+Sens!D7216+Sens!D7217+Sens!D7219+Sens!D7221</f>
        <v>218.783</v>
      </c>
      <c r="E7223" s="6" t="n">
        <f aca="false">Sens!E7211+Sens!E7216+Sens!E7217+Sens!E7219+Sens!E7221</f>
        <v>268.127</v>
      </c>
      <c r="F7223" s="6" t="n">
        <f aca="false">Sens!F7211+Sens!F7216+Sens!F7217+Sens!F7219+Sens!F7221</f>
        <v>329.572457305896</v>
      </c>
      <c r="G7223" s="6" t="n">
        <f aca="false">Sens!G7211+Sens!G7216+Sens!G7217+Sens!G7219+Sens!G7221</f>
        <v>390.604076814907</v>
      </c>
      <c r="H7223" s="6" t="n">
        <f aca="false">Sens!H7211+Sens!H7216+Sens!H7217+Sens!H7219+Sens!H7221</f>
        <v>447.011866888431</v>
      </c>
      <c r="I7223" s="6" t="n">
        <f aca="false">Sens!I7211+Sens!I7216+Sens!I7217+Sens!I7219+Sens!I7221</f>
        <v>506.054712770292</v>
      </c>
      <c r="J7223" s="6" t="n">
        <f aca="false">Sens!J7211+Sens!J7216+Sens!J7217+Sens!J7219+Sens!J7221</f>
        <v>555.048535197906</v>
      </c>
      <c r="K7223" s="6" t="n">
        <f aca="false">Sens!K7211+Sens!K7216+Sens!K7217+Sens!K7219+Sens!K7221</f>
        <v>594.032189340988</v>
      </c>
    </row>
    <row r="7224" customFormat="false" ht="17.15" hidden="false" customHeight="false" outlineLevel="0" collapsed="false">
      <c r="A7224" s="0" t="s">
        <v>1041</v>
      </c>
      <c r="B7224" s="0" t="s">
        <v>98</v>
      </c>
      <c r="D7224" s="6" t="n">
        <f aca="false">Q!L13</f>
        <v>22.171</v>
      </c>
      <c r="E7224" s="6" t="n">
        <f aca="false">Q!M13</f>
        <v>24.835</v>
      </c>
      <c r="F7224" s="6" t="n">
        <f aca="false">Q!$I$13+(Q!M13-Q!$E$13)*(1+Sens!F7225)</f>
        <v>27.5591895660247</v>
      </c>
      <c r="G7224" s="6" t="n">
        <f aca="false">Sens!F7224*(1+Sens!G7225)</f>
        <v>30.4098563144583</v>
      </c>
      <c r="H7224" s="6" t="n">
        <f aca="false">Sens!G7224*(1+Sens!H7225)</f>
        <v>33.3011792571777</v>
      </c>
      <c r="I7224" s="6" t="n">
        <f aca="false">Sens!H7224*(1+Sens!I7225)</f>
        <v>36.189023797112</v>
      </c>
      <c r="J7224" s="6" t="n">
        <f aca="false">Sens!I7224*(1+Sens!J7225)</f>
        <v>39.0247773769199</v>
      </c>
      <c r="K7224" s="6" t="n">
        <f aca="false">Sens!J7224*(1+Sens!K7225)</f>
        <v>41.7565117933043</v>
      </c>
      <c r="L7224" s="12" t="s">
        <v>1038</v>
      </c>
    </row>
    <row r="7225" customFormat="false" ht="15" hidden="false" customHeight="false" outlineLevel="0" collapsed="false">
      <c r="A7225" s="1" t="s">
        <v>1028</v>
      </c>
      <c r="B7225" s="0" t="s">
        <v>168</v>
      </c>
      <c r="E7225" s="7" t="n">
        <f aca="false">Sens!E7224/Sens!D7224-1</f>
        <v>0.120156961796942</v>
      </c>
      <c r="F7225" s="7" t="n">
        <f aca="false">Sens!$E$7225+(glt_srch-Sens!$E$7225)*MIN(1,(Sens!F7167-base_fy)/n_conv)</f>
        <v>0.111797468164118</v>
      </c>
      <c r="G7225" s="7" t="n">
        <f aca="false">Sens!$E$7225+(glt_srch-Sens!$E$7225)*MIN(1,(Sens!G7167-base_fy)/n_conv)</f>
        <v>0.103437974531295</v>
      </c>
      <c r="H7225" s="7" t="n">
        <f aca="false">Sens!$E$7225+(glt_srch-Sens!$E$7225)*MIN(1,(Sens!H7167-base_fy)/n_conv)</f>
        <v>0.095078480898471</v>
      </c>
      <c r="I7225" s="7" t="n">
        <f aca="false">Sens!$E$7225+(glt_srch-Sens!$E$7225)*MIN(1,(Sens!I7167-base_fy)/n_conv)</f>
        <v>0.0867189872656474</v>
      </c>
      <c r="J7225" s="7" t="n">
        <f aca="false">Sens!$E$7225+(glt_srch-Sens!$E$7225)*MIN(1,(Sens!J7167-base_fy)/n_conv)</f>
        <v>0.0783594936328237</v>
      </c>
      <c r="K7225" s="7" t="n">
        <f aca="false">Sens!$E$7225+(glt_srch-Sens!$E$7225)*MIN(1,(Sens!K7167-base_fy)/n_conv)</f>
        <v>0.07</v>
      </c>
    </row>
    <row r="7226" customFormat="false" ht="17.15" hidden="false" customHeight="false" outlineLevel="0" collapsed="false">
      <c r="A7226" s="0" t="s">
        <v>1042</v>
      </c>
      <c r="B7226" s="0" t="s">
        <v>98</v>
      </c>
      <c r="D7226" s="6" t="n">
        <f aca="false">Q!L14</f>
        <v>23.455</v>
      </c>
      <c r="E7226" s="6" t="n">
        <f aca="false">Q!M14</f>
        <v>21.79</v>
      </c>
      <c r="F7226" s="6" t="n">
        <f aca="false">Q!$I$14+(Q!M14-Q!$E$14)*(1+Sens!F7227)</f>
        <v>20.7520981041711</v>
      </c>
      <c r="G7226" s="6" t="n">
        <f aca="false">Sens!F7226*(1+Sens!G7227)</f>
        <v>19.9083593495882</v>
      </c>
      <c r="H7226" s="6" t="n">
        <f aca="false">Sens!G7226*(1+Sens!H7227)</f>
        <v>19.4008256265831</v>
      </c>
      <c r="I7226" s="6" t="n">
        <f aca="false">Sens!H7226*(1+Sens!I7227)</f>
        <v>19.200434522122</v>
      </c>
      <c r="J7226" s="6" t="n">
        <f aca="false">Sens!I7226*(1+Sens!J7227)</f>
        <v>19.2932782348507</v>
      </c>
      <c r="K7226" s="6" t="n">
        <f aca="false">Sens!J7226*(1+Sens!K7227)</f>
        <v>19.6791437995477</v>
      </c>
      <c r="L7226" s="12" t="s">
        <v>1038</v>
      </c>
    </row>
    <row r="7227" customFormat="false" ht="15" hidden="false" customHeight="false" outlineLevel="0" collapsed="false">
      <c r="A7227" s="1" t="s">
        <v>1028</v>
      </c>
      <c r="B7227" s="0" t="s">
        <v>168</v>
      </c>
      <c r="E7227" s="7" t="n">
        <f aca="false">Sens!E7226/Sens!D7226-1</f>
        <v>-0.0709869963760392</v>
      </c>
      <c r="F7227" s="7" t="n">
        <f aca="false">Sens!$E$7227+(glt_xbox-Sens!$E$7227)*MIN(1,(Sens!F7167-base_fy)/n_conv)</f>
        <v>-0.0558224969800327</v>
      </c>
      <c r="G7227" s="7" t="n">
        <f aca="false">Sens!$E$7227+(glt_xbox-Sens!$E$7227)*MIN(1,(Sens!G7167-base_fy)/n_conv)</f>
        <v>-0.0406579975840262</v>
      </c>
      <c r="H7227" s="7" t="n">
        <f aca="false">Sens!$E$7227+(glt_xbox-Sens!$E$7227)*MIN(1,(Sens!H7167-base_fy)/n_conv)</f>
        <v>-0.0254934981880196</v>
      </c>
      <c r="I7227" s="7" t="n">
        <f aca="false">Sens!$E$7227+(glt_xbox-Sens!$E$7227)*MIN(1,(Sens!I7167-base_fy)/n_conv)</f>
        <v>-0.0103289987920131</v>
      </c>
      <c r="J7227" s="7" t="n">
        <f aca="false">Sens!$E$7227+(glt_xbox-Sens!$E$7227)*MIN(1,(Sens!J7167-base_fy)/n_conv)</f>
        <v>0.00483550060399347</v>
      </c>
      <c r="K7227" s="7" t="n">
        <f aca="false">Sens!$E$7227+(glt_xbox-Sens!$E$7227)*MIN(1,(Sens!K7167-base_fy)/n_conv)</f>
        <v>0.02</v>
      </c>
    </row>
    <row r="7228" customFormat="false" ht="17.15" hidden="false" customHeight="false" outlineLevel="0" collapsed="false">
      <c r="A7228" s="0" t="s">
        <v>1043</v>
      </c>
      <c r="B7228" s="0" t="s">
        <v>98</v>
      </c>
      <c r="D7228" s="6" t="n">
        <f aca="false">Q!L15</f>
        <v>17.315</v>
      </c>
      <c r="E7228" s="6" t="n">
        <f aca="false">Q!M15</f>
        <v>17.087</v>
      </c>
      <c r="F7228" s="6" t="n">
        <f aca="false">Q!$I$15+(Q!M15-Q!$E$15)*(1+Sens!F7229)</f>
        <v>15.9912273250553</v>
      </c>
      <c r="G7228" s="6" t="n">
        <f aca="false">Sens!F7228*(1+Sens!G7229)</f>
        <v>15.9574562664827</v>
      </c>
      <c r="H7228" s="6" t="n">
        <f aca="false">Sens!G7228*(1+Sens!H7229)</f>
        <v>16.0119687434196</v>
      </c>
      <c r="I7228" s="6" t="n">
        <f aca="false">Sens!H7228*(1+Sens!I7229)</f>
        <v>16.1551810001948</v>
      </c>
      <c r="J7228" s="6" t="n">
        <f aca="false">Sens!I7228*(1+Sens!J7229)</f>
        <v>16.3889793892005</v>
      </c>
      <c r="K7228" s="6" t="n">
        <f aca="false">Sens!J7228*(1+Sens!K7229)</f>
        <v>16.7167589769845</v>
      </c>
      <c r="L7228" s="12" t="s">
        <v>1038</v>
      </c>
    </row>
    <row r="7229" customFormat="false" ht="15" hidden="false" customHeight="false" outlineLevel="0" collapsed="false">
      <c r="A7229" s="1" t="s">
        <v>1028</v>
      </c>
      <c r="B7229" s="0" t="s">
        <v>168</v>
      </c>
      <c r="E7229" s="7" t="n">
        <f aca="false">Sens!E7228/Sens!D7228-1</f>
        <v>-0.0131677736066995</v>
      </c>
      <c r="F7229" s="7" t="n">
        <f aca="false">Sens!$E$7229+(glt_win-Sens!$E$7229)*MIN(1,(Sens!F7167-base_fy)/n_conv)</f>
        <v>-0.00763981133891627</v>
      </c>
      <c r="G7229" s="7" t="n">
        <f aca="false">Sens!$E$7229+(glt_win-Sens!$E$7229)*MIN(1,(Sens!G7167-base_fy)/n_conv)</f>
        <v>-0.00211184907113301</v>
      </c>
      <c r="H7229" s="7" t="n">
        <f aca="false">Sens!$E$7229+(glt_win-Sens!$E$7229)*MIN(1,(Sens!H7167-base_fy)/n_conv)</f>
        <v>0.00341611319665024</v>
      </c>
      <c r="I7229" s="7" t="n">
        <f aca="false">Sens!$E$7229+(glt_win-Sens!$E$7229)*MIN(1,(Sens!I7167-base_fy)/n_conv)</f>
        <v>0.00894407546443349</v>
      </c>
      <c r="J7229" s="7" t="n">
        <f aca="false">Sens!$E$7229+(glt_win-Sens!$E$7229)*MIN(1,(Sens!J7167-base_fy)/n_conv)</f>
        <v>0.0144720377322168</v>
      </c>
      <c r="K7229" s="7" t="n">
        <f aca="false">Sens!$E$7229+(glt_win-Sens!$E$7229)*MIN(1,(Sens!K7167-base_fy)/n_conv)</f>
        <v>0.02</v>
      </c>
    </row>
    <row r="7230" customFormat="false" ht="15" hidden="false" customHeight="false" outlineLevel="0" collapsed="false">
      <c r="A7230" s="0" t="s">
        <v>870</v>
      </c>
      <c r="B7230" s="0" t="s">
        <v>98</v>
      </c>
      <c r="D7230" s="6" t="n">
        <f aca="false">Sens!D7224+Sens!D7226+Sens!D7228</f>
        <v>62.941</v>
      </c>
      <c r="E7230" s="6" t="n">
        <f aca="false">Sens!E7224+Sens!E7226+Sens!E7228</f>
        <v>63.712</v>
      </c>
      <c r="F7230" s="6" t="n">
        <f aca="false">Sens!F7224+Sens!F7226+Sens!F7228</f>
        <v>64.3025149952511</v>
      </c>
      <c r="G7230" s="6" t="n">
        <f aca="false">Sens!G7224+Sens!G7226+Sens!G7228</f>
        <v>66.2756719305292</v>
      </c>
      <c r="H7230" s="6" t="n">
        <f aca="false">Sens!H7224+Sens!H7226+Sens!H7228</f>
        <v>68.7139736271804</v>
      </c>
      <c r="I7230" s="6" t="n">
        <f aca="false">Sens!I7224+Sens!I7226+Sens!I7228</f>
        <v>71.5446393194289</v>
      </c>
      <c r="J7230" s="6" t="n">
        <f aca="false">Sens!J7224+Sens!J7226+Sens!J7228</f>
        <v>74.707035000971</v>
      </c>
      <c r="K7230" s="6" t="n">
        <f aca="false">Sens!K7224+Sens!K7226+Sens!K7228</f>
        <v>78.1524145698365</v>
      </c>
    </row>
    <row r="7231" customFormat="false" ht="15" hidden="false" customHeight="false" outlineLevel="0" collapsed="false">
      <c r="A7231" s="1" t="s">
        <v>1044</v>
      </c>
      <c r="B7231" s="0" t="s">
        <v>98</v>
      </c>
      <c r="D7231" s="6" t="n">
        <f aca="false">Sens!D7223+Sens!D7230</f>
        <v>281.724</v>
      </c>
      <c r="E7231" s="6" t="n">
        <f aca="false">Sens!E7223+Sens!E7230</f>
        <v>331.839</v>
      </c>
      <c r="F7231" s="6" t="n">
        <f aca="false">Sens!F7223+Sens!F7230</f>
        <v>393.874972301147</v>
      </c>
      <c r="G7231" s="6" t="n">
        <f aca="false">Sens!G7223+Sens!G7230</f>
        <v>456.879748745436</v>
      </c>
      <c r="H7231" s="6" t="n">
        <f aca="false">Sens!H7223+Sens!H7230</f>
        <v>515.725840515611</v>
      </c>
      <c r="I7231" s="6" t="n">
        <f aca="false">Sens!I7223+Sens!I7230</f>
        <v>577.599352089721</v>
      </c>
      <c r="J7231" s="6" t="n">
        <f aca="false">Sens!J7223+Sens!J7230</f>
        <v>629.755570198877</v>
      </c>
      <c r="K7231" s="6" t="n">
        <f aca="false">Sens!K7223+Sens!K7230</f>
        <v>672.184603910824</v>
      </c>
    </row>
    <row r="7232" customFormat="false" ht="15" hidden="false" customHeight="false" outlineLevel="0" collapsed="false">
      <c r="A7232" s="26" t="s">
        <v>1045</v>
      </c>
      <c r="B7232" s="31" t="s">
        <v>98</v>
      </c>
      <c r="C7232" s="31"/>
      <c r="D7232" s="27" t="n">
        <f aca="false">(Sens!D7211+Sens!D7216+Sens!D7217+Sens!D7219+Sens!D7221-Sens!D7223)+(Sens!D7224+Sens!D7226+Sens!D7228-Sens!D7230)+(Sens!D7223-Q!L5)+(Sens!D7230-Q!L12)+(Sens!D7211-Q!L6)+(Sens!D7216-Q!L7)</f>
        <v>0</v>
      </c>
      <c r="E7232" s="27" t="n">
        <f aca="false">(Sens!E7211+Sens!E7216+Sens!E7217+Sens!E7219+Sens!E7221-Sens!E7223)+(Sens!E7224+Sens!E7226+Sens!E7228-Sens!E7230)+(Sens!E7223-Q!M5)+(Sens!E7230-Q!M12)+(Sens!E7211-Q!M6)+(Sens!E7216-Q!M7)</f>
        <v>0</v>
      </c>
      <c r="F7232" s="27" t="n">
        <f aca="false">(Sens!F7211+Sens!F7216+Sens!F7217+Sens!F7219+Sens!F7221-Sens!F7223)+(Sens!F7224+Sens!F7226+Sens!F7228-Sens!F7230)</f>
        <v>0</v>
      </c>
      <c r="G7232" s="27" t="n">
        <f aca="false">(Sens!G7211+Sens!G7216+Sens!G7217+Sens!G7219+Sens!G7221-Sens!G7223)+(Sens!G7224+Sens!G7226+Sens!G7228-Sens!G7230)</f>
        <v>0</v>
      </c>
      <c r="H7232" s="27" t="n">
        <f aca="false">(Sens!H7211+Sens!H7216+Sens!H7217+Sens!H7219+Sens!H7221-Sens!H7223)+(Sens!H7224+Sens!H7226+Sens!H7228-Sens!H7230)</f>
        <v>0</v>
      </c>
      <c r="I7232" s="27" t="n">
        <f aca="false">(Sens!I7211+Sens!I7216+Sens!I7217+Sens!I7219+Sens!I7221-Sens!I7223)+(Sens!I7224+Sens!I7226+Sens!I7228-Sens!I7230)</f>
        <v>0</v>
      </c>
      <c r="J7232" s="27" t="n">
        <f aca="false">(Sens!J7211+Sens!J7216+Sens!J7217+Sens!J7219+Sens!J7221-Sens!J7223)+(Sens!J7224+Sens!J7226+Sens!J7228-Sens!J7230)</f>
        <v>0</v>
      </c>
      <c r="K7232" s="27" t="n">
        <f aca="false">(Sens!K7211+Sens!K7216+Sens!K7217+Sens!K7219+Sens!K7221-Sens!K7223)+(Sens!K7224+Sens!K7226+Sens!K7228-Sens!K7230)</f>
        <v>0</v>
      </c>
    </row>
    <row r="7233" customFormat="false" ht="17.15" hidden="false" customHeight="false" outlineLevel="0" collapsed="false">
      <c r="A7233" s="3" t="s">
        <v>1792</v>
      </c>
    </row>
    <row r="7234" customFormat="false" ht="15" hidden="false" customHeight="false" outlineLevel="0" collapsed="false">
      <c r="A7234" s="4" t="s">
        <v>43</v>
      </c>
      <c r="B7234" s="4" t="s">
        <v>65</v>
      </c>
      <c r="C7234" s="23" t="s">
        <v>942</v>
      </c>
      <c r="D7234" s="23" t="s">
        <v>943</v>
      </c>
      <c r="E7234" s="23" t="s">
        <v>944</v>
      </c>
      <c r="F7234" s="23" t="s">
        <v>945</v>
      </c>
      <c r="G7234" s="23" t="s">
        <v>946</v>
      </c>
      <c r="H7234" s="23" t="s">
        <v>947</v>
      </c>
      <c r="I7234" s="23" t="s">
        <v>948</v>
      </c>
      <c r="J7234" s="23" t="s">
        <v>949</v>
      </c>
      <c r="K7234" s="23" t="s">
        <v>950</v>
      </c>
      <c r="L7234" s="4" t="s">
        <v>47</v>
      </c>
    </row>
    <row r="7235" customFormat="false" ht="15" hidden="false" customHeight="false" outlineLevel="0" collapsed="false">
      <c r="A7235" s="0" t="s">
        <v>1029</v>
      </c>
      <c r="B7235" s="0" t="s">
        <v>98</v>
      </c>
      <c r="D7235" s="6" t="n">
        <f aca="false">Sens!D7211</f>
        <v>72.61</v>
      </c>
      <c r="E7235" s="6" t="n">
        <f aca="false">Sens!E7211</f>
        <v>101.938</v>
      </c>
      <c r="F7235" s="6" t="n">
        <f aca="false">Sens!F7211</f>
        <v>143.251883553698</v>
      </c>
      <c r="G7235" s="6" t="n">
        <f aca="false">Sens!G7211</f>
        <v>186.322520879442</v>
      </c>
      <c r="H7235" s="6" t="n">
        <f aca="false">Sens!H7211</f>
        <v>224.74279426379</v>
      </c>
      <c r="I7235" s="6" t="n">
        <f aca="false">Sens!I7211</f>
        <v>266.443497823359</v>
      </c>
      <c r="J7235" s="6" t="n">
        <f aca="false">Sens!J7211</f>
        <v>299.06102493502</v>
      </c>
      <c r="K7235" s="6" t="n">
        <f aca="false">Sens!K7211</f>
        <v>322.592740225023</v>
      </c>
    </row>
    <row r="7236" customFormat="false" ht="17.15" hidden="false" customHeight="false" outlineLevel="0" collapsed="false">
      <c r="A7236" s="0" t="s">
        <v>1025</v>
      </c>
      <c r="B7236" s="0" t="s">
        <v>98</v>
      </c>
      <c r="D7236" s="6" t="n">
        <f aca="false">Sens!D7208</f>
        <v>12.9359794422418</v>
      </c>
      <c r="E7236" s="6" t="n">
        <f aca="false">Sens!E7208</f>
        <v>27.8095064661409</v>
      </c>
      <c r="F7236" s="6" t="n">
        <f aca="false">Sens!F7208</f>
        <v>50.9819294352312</v>
      </c>
      <c r="G7236" s="6" t="n">
        <f aca="false">Sens!G7208</f>
        <v>76.6920436014933</v>
      </c>
      <c r="H7236" s="6" t="n">
        <f aca="false">Sens!H7208</f>
        <v>97.4495379418341</v>
      </c>
      <c r="I7236" s="6" t="n">
        <f aca="false">Sens!I7208</f>
        <v>122.083445553868</v>
      </c>
      <c r="J7236" s="6" t="n">
        <f aca="false">Sens!J7208</f>
        <v>139.249060444804</v>
      </c>
      <c r="K7236" s="6" t="n">
        <f aca="false">Sens!K7208</f>
        <v>149.995818575589</v>
      </c>
    </row>
    <row r="7237" customFormat="false" ht="17.15" hidden="false" customHeight="false" outlineLevel="0" collapsed="false">
      <c r="A7237" s="0" t="s">
        <v>1056</v>
      </c>
      <c r="B7237" s="0" t="s">
        <v>98</v>
      </c>
      <c r="D7237" s="6" t="n">
        <f aca="false">Sens!D7209</f>
        <v>59.6740205577583</v>
      </c>
      <c r="E7237" s="6" t="n">
        <f aca="false">Sens!E7209</f>
        <v>74.1284935338591</v>
      </c>
      <c r="F7237" s="6" t="n">
        <f aca="false">Sens!F7209</f>
        <v>92.2699541184664</v>
      </c>
      <c r="G7237" s="6" t="n">
        <f aca="false">Sens!G7209</f>
        <v>109.630477277949</v>
      </c>
      <c r="H7237" s="6" t="n">
        <f aca="false">Sens!H7209</f>
        <v>127.293256321956</v>
      </c>
      <c r="I7237" s="6" t="n">
        <f aca="false">Sens!I7209</f>
        <v>144.360052269491</v>
      </c>
      <c r="J7237" s="6" t="n">
        <f aca="false">Sens!J7209</f>
        <v>159.811964490216</v>
      </c>
      <c r="K7237" s="6" t="n">
        <f aca="false">Sens!K7209</f>
        <v>172.596921649434</v>
      </c>
    </row>
    <row r="7238" customFormat="false" ht="15" hidden="false" customHeight="false" outlineLevel="0" collapsed="false">
      <c r="A7238" s="0" t="s">
        <v>1036</v>
      </c>
      <c r="B7238" s="0" t="s">
        <v>98</v>
      </c>
      <c r="D7238" s="6" t="n">
        <f aca="false">Sens!D7216</f>
        <v>84.605</v>
      </c>
      <c r="E7238" s="6" t="n">
        <f aca="false">Sens!E7216</f>
        <v>100.299</v>
      </c>
      <c r="F7238" s="6" t="n">
        <f aca="false">Sens!F7216</f>
        <v>116.86552943579</v>
      </c>
      <c r="G7238" s="6" t="n">
        <f aca="false">Sens!G7216</f>
        <v>130.542677392857</v>
      </c>
      <c r="H7238" s="6" t="n">
        <f aca="false">Sens!H7216</f>
        <v>144.301405555012</v>
      </c>
      <c r="I7238" s="6" t="n">
        <f aca="false">Sens!I7216</f>
        <v>157.508242963743</v>
      </c>
      <c r="J7238" s="6" t="n">
        <f aca="false">Sens!J7216</f>
        <v>169.881130324074</v>
      </c>
      <c r="K7238" s="6" t="n">
        <f aca="false">Sens!K7216</f>
        <v>181.499059446759</v>
      </c>
    </row>
    <row r="7239" customFormat="false" ht="17.15" hidden="false" customHeight="false" outlineLevel="0" collapsed="false">
      <c r="A7239" s="0" t="s">
        <v>1057</v>
      </c>
      <c r="B7239" s="0" t="s">
        <v>98</v>
      </c>
      <c r="D7239" s="6" t="n">
        <f aca="false">Sens!D7214</f>
        <v>83.705</v>
      </c>
      <c r="E7239" s="6" t="n">
        <f aca="false">Sens!E7214</f>
        <v>95.049</v>
      </c>
      <c r="F7239" s="6" t="n">
        <f aca="false">Sens!F7214</f>
        <v>107.11552943579</v>
      </c>
      <c r="G7239" s="6" t="n">
        <f aca="false">Sens!G7214</f>
        <v>119.292677392857</v>
      </c>
      <c r="H7239" s="6" t="n">
        <f aca="false">Sens!H7214</f>
        <v>131.551405555012</v>
      </c>
      <c r="I7239" s="6" t="n">
        <f aca="false">Sens!I7214</f>
        <v>143.633242963743</v>
      </c>
      <c r="J7239" s="6" t="n">
        <f aca="false">Sens!J7214</f>
        <v>155.256130324074</v>
      </c>
      <c r="K7239" s="6" t="n">
        <f aca="false">Sens!K7214</f>
        <v>166.124059446759</v>
      </c>
    </row>
    <row r="7240" customFormat="false" ht="17.15" hidden="false" customHeight="false" outlineLevel="0" collapsed="false">
      <c r="A7240" s="0" t="s">
        <v>1058</v>
      </c>
      <c r="B7240" s="0" t="s">
        <v>98</v>
      </c>
      <c r="D7240" s="6" t="n">
        <f aca="false">Sens!D7213</f>
        <v>0.9</v>
      </c>
      <c r="E7240" s="6" t="n">
        <f aca="false">Sens!E7213</f>
        <v>5.25</v>
      </c>
      <c r="F7240" s="6" t="n">
        <f aca="false">Sens!F7213</f>
        <v>9.75</v>
      </c>
      <c r="G7240" s="6" t="n">
        <f aca="false">Sens!G7213</f>
        <v>11.25</v>
      </c>
      <c r="H7240" s="6" t="n">
        <f aca="false">Sens!H7213</f>
        <v>12.75</v>
      </c>
      <c r="I7240" s="6" t="n">
        <f aca="false">Sens!I7213</f>
        <v>13.875</v>
      </c>
      <c r="J7240" s="6" t="n">
        <f aca="false">Sens!J7213</f>
        <v>14.625</v>
      </c>
      <c r="K7240" s="6" t="n">
        <f aca="false">Sens!K7213</f>
        <v>15.375</v>
      </c>
    </row>
    <row r="7241" customFormat="false" ht="15" hidden="false" customHeight="false" outlineLevel="0" collapsed="false">
      <c r="A7241" s="0" t="s">
        <v>1037</v>
      </c>
      <c r="B7241" s="0" t="s">
        <v>98</v>
      </c>
      <c r="D7241" s="6" t="n">
        <f aca="false">Sens!D7217</f>
        <v>35.391</v>
      </c>
      <c r="E7241" s="6" t="n">
        <f aca="false">Sens!E7217</f>
        <v>37.285</v>
      </c>
      <c r="F7241" s="6" t="n">
        <f aca="false">Sens!F7217</f>
        <v>38.3851437782675</v>
      </c>
      <c r="G7241" s="6" t="n">
        <f aca="false">Sens!G7217</f>
        <v>40.0105353288615</v>
      </c>
      <c r="H7241" s="6" t="n">
        <f aca="false">Sens!H7217</f>
        <v>41.4812512033683</v>
      </c>
      <c r="I7241" s="6" t="n">
        <f aca="false">Sens!I7217</f>
        <v>42.7743107216329</v>
      </c>
      <c r="J7241" s="6" t="n">
        <f aca="false">Sens!J7217</f>
        <v>43.8687373064601</v>
      </c>
      <c r="K7241" s="6" t="n">
        <f aca="false">Sens!K7217</f>
        <v>44.7461120525893</v>
      </c>
    </row>
    <row r="7242" customFormat="false" ht="15" hidden="false" customHeight="false" outlineLevel="0" collapsed="false">
      <c r="A7242" s="0" t="s">
        <v>1039</v>
      </c>
      <c r="B7242" s="0" t="s">
        <v>98</v>
      </c>
      <c r="D7242" s="6" t="n">
        <f aca="false">Sens!D7219</f>
        <v>18.417</v>
      </c>
      <c r="E7242" s="6" t="n">
        <f aca="false">Sens!E7219</f>
        <v>20.345</v>
      </c>
      <c r="F7242" s="6" t="n">
        <f aca="false">Sens!F7219</f>
        <v>22.3161797133988</v>
      </c>
      <c r="G7242" s="6" t="n">
        <f aca="false">Sens!G7219</f>
        <v>24.3943499673233</v>
      </c>
      <c r="H7242" s="6" t="n">
        <f aca="false">Sens!H7219</f>
        <v>26.5250243109019</v>
      </c>
      <c r="I7242" s="6" t="n">
        <f aca="false">Sens!I7219</f>
        <v>28.6884573538181</v>
      </c>
      <c r="J7242" s="6" t="n">
        <f aca="false">Sens!J7219</f>
        <v>30.8624968052127</v>
      </c>
      <c r="K7242" s="6" t="n">
        <f aca="false">Sens!K7219</f>
        <v>33.0228715815776</v>
      </c>
    </row>
    <row r="7243" customFormat="false" ht="15" hidden="false" customHeight="false" outlineLevel="0" collapsed="false">
      <c r="A7243" s="0" t="s">
        <v>1040</v>
      </c>
      <c r="B7243" s="0" t="s">
        <v>98</v>
      </c>
      <c r="D7243" s="6" t="n">
        <f aca="false">Sens!D7221</f>
        <v>7.76</v>
      </c>
      <c r="E7243" s="6" t="n">
        <f aca="false">Sens!E7221</f>
        <v>8.26</v>
      </c>
      <c r="F7243" s="6" t="n">
        <f aca="false">Sens!F7221</f>
        <v>8.75372082474227</v>
      </c>
      <c r="G7243" s="6" t="n">
        <f aca="false">Sens!G7221</f>
        <v>9.33399324642364</v>
      </c>
      <c r="H7243" s="6" t="n">
        <f aca="false">Sens!H7221</f>
        <v>9.96139155535851</v>
      </c>
      <c r="I7243" s="6" t="n">
        <f aca="false">Sens!I7221</f>
        <v>10.6402039077391</v>
      </c>
      <c r="J7243" s="6" t="n">
        <f aca="false">Sens!J7221</f>
        <v>11.3751458271397</v>
      </c>
      <c r="K7243" s="6" t="n">
        <f aca="false">Sens!K7221</f>
        <v>12.1714060350394</v>
      </c>
    </row>
    <row r="7244" customFormat="false" ht="15" hidden="false" customHeight="false" outlineLevel="0" collapsed="false">
      <c r="A7244" s="0" t="s">
        <v>856</v>
      </c>
      <c r="B7244" s="0" t="s">
        <v>98</v>
      </c>
      <c r="D7244" s="6" t="n">
        <f aca="false">Sens!D7223</f>
        <v>218.783</v>
      </c>
      <c r="E7244" s="6" t="n">
        <f aca="false">Sens!E7223</f>
        <v>268.127</v>
      </c>
      <c r="F7244" s="6" t="n">
        <f aca="false">Sens!F7223</f>
        <v>329.572457305896</v>
      </c>
      <c r="G7244" s="6" t="n">
        <f aca="false">Sens!G7223</f>
        <v>390.604076814907</v>
      </c>
      <c r="H7244" s="6" t="n">
        <f aca="false">Sens!H7223</f>
        <v>447.011866888431</v>
      </c>
      <c r="I7244" s="6" t="n">
        <f aca="false">Sens!I7223</f>
        <v>506.054712770292</v>
      </c>
      <c r="J7244" s="6" t="n">
        <f aca="false">Sens!J7223</f>
        <v>555.048535197906</v>
      </c>
      <c r="K7244" s="6" t="n">
        <f aca="false">Sens!K7223</f>
        <v>594.032189340988</v>
      </c>
    </row>
    <row r="7245" customFormat="false" ht="15" hidden="false" customHeight="false" outlineLevel="0" collapsed="false">
      <c r="A7245" s="0" t="s">
        <v>1041</v>
      </c>
      <c r="B7245" s="0" t="s">
        <v>98</v>
      </c>
      <c r="D7245" s="6" t="n">
        <f aca="false">Sens!D7224</f>
        <v>22.171</v>
      </c>
      <c r="E7245" s="6" t="n">
        <f aca="false">Sens!E7224</f>
        <v>24.835</v>
      </c>
      <c r="F7245" s="6" t="n">
        <f aca="false">Sens!F7224</f>
        <v>27.5591895660247</v>
      </c>
      <c r="G7245" s="6" t="n">
        <f aca="false">Sens!G7224</f>
        <v>30.4098563144583</v>
      </c>
      <c r="H7245" s="6" t="n">
        <f aca="false">Sens!H7224</f>
        <v>33.3011792571777</v>
      </c>
      <c r="I7245" s="6" t="n">
        <f aca="false">Sens!I7224</f>
        <v>36.189023797112</v>
      </c>
      <c r="J7245" s="6" t="n">
        <f aca="false">Sens!J7224</f>
        <v>39.0247773769199</v>
      </c>
      <c r="K7245" s="6" t="n">
        <f aca="false">Sens!K7224</f>
        <v>41.7565117933043</v>
      </c>
    </row>
    <row r="7246" customFormat="false" ht="15" hidden="false" customHeight="false" outlineLevel="0" collapsed="false">
      <c r="A7246" s="0" t="s">
        <v>1042</v>
      </c>
      <c r="B7246" s="0" t="s">
        <v>98</v>
      </c>
      <c r="D7246" s="6" t="n">
        <f aca="false">Sens!D7226</f>
        <v>23.455</v>
      </c>
      <c r="E7246" s="6" t="n">
        <f aca="false">Sens!E7226</f>
        <v>21.79</v>
      </c>
      <c r="F7246" s="6" t="n">
        <f aca="false">Sens!F7226</f>
        <v>20.7520981041711</v>
      </c>
      <c r="G7246" s="6" t="n">
        <f aca="false">Sens!G7226</f>
        <v>19.9083593495882</v>
      </c>
      <c r="H7246" s="6" t="n">
        <f aca="false">Sens!H7226</f>
        <v>19.4008256265831</v>
      </c>
      <c r="I7246" s="6" t="n">
        <f aca="false">Sens!I7226</f>
        <v>19.200434522122</v>
      </c>
      <c r="J7246" s="6" t="n">
        <f aca="false">Sens!J7226</f>
        <v>19.2932782348507</v>
      </c>
      <c r="K7246" s="6" t="n">
        <f aca="false">Sens!K7226</f>
        <v>19.6791437995477</v>
      </c>
    </row>
    <row r="7247" customFormat="false" ht="15" hidden="false" customHeight="false" outlineLevel="0" collapsed="false">
      <c r="A7247" s="0" t="s">
        <v>1043</v>
      </c>
      <c r="B7247" s="0" t="s">
        <v>98</v>
      </c>
      <c r="D7247" s="6" t="n">
        <f aca="false">Sens!D7228</f>
        <v>17.315</v>
      </c>
      <c r="E7247" s="6" t="n">
        <f aca="false">Sens!E7228</f>
        <v>17.087</v>
      </c>
      <c r="F7247" s="6" t="n">
        <f aca="false">Sens!F7228</f>
        <v>15.9912273250553</v>
      </c>
      <c r="G7247" s="6" t="n">
        <f aca="false">Sens!G7228</f>
        <v>15.9574562664827</v>
      </c>
      <c r="H7247" s="6" t="n">
        <f aca="false">Sens!H7228</f>
        <v>16.0119687434196</v>
      </c>
      <c r="I7247" s="6" t="n">
        <f aca="false">Sens!I7228</f>
        <v>16.1551810001948</v>
      </c>
      <c r="J7247" s="6" t="n">
        <f aca="false">Sens!J7228</f>
        <v>16.3889793892005</v>
      </c>
      <c r="K7247" s="6" t="n">
        <f aca="false">Sens!K7228</f>
        <v>16.7167589769845</v>
      </c>
    </row>
    <row r="7248" customFormat="false" ht="15" hidden="false" customHeight="false" outlineLevel="0" collapsed="false">
      <c r="A7248" s="0" t="s">
        <v>870</v>
      </c>
      <c r="B7248" s="0" t="s">
        <v>98</v>
      </c>
      <c r="D7248" s="6" t="n">
        <f aca="false">Sens!D7230</f>
        <v>62.941</v>
      </c>
      <c r="E7248" s="6" t="n">
        <f aca="false">Sens!E7230</f>
        <v>63.712</v>
      </c>
      <c r="F7248" s="6" t="n">
        <f aca="false">Sens!F7230</f>
        <v>64.3025149952511</v>
      </c>
      <c r="G7248" s="6" t="n">
        <f aca="false">Sens!G7230</f>
        <v>66.2756719305292</v>
      </c>
      <c r="H7248" s="6" t="n">
        <f aca="false">Sens!H7230</f>
        <v>68.7139736271804</v>
      </c>
      <c r="I7248" s="6" t="n">
        <f aca="false">Sens!I7230</f>
        <v>71.5446393194289</v>
      </c>
      <c r="J7248" s="6" t="n">
        <f aca="false">Sens!J7230</f>
        <v>74.707035000971</v>
      </c>
      <c r="K7248" s="6" t="n">
        <f aca="false">Sens!K7230</f>
        <v>78.1524145698365</v>
      </c>
    </row>
    <row r="7249" customFormat="false" ht="15" hidden="false" customHeight="false" outlineLevel="0" collapsed="false">
      <c r="A7249" s="1" t="s">
        <v>1059</v>
      </c>
      <c r="B7249" s="0" t="s">
        <v>98</v>
      </c>
      <c r="D7249" s="6" t="n">
        <f aca="false">Sens!D7231</f>
        <v>281.724</v>
      </c>
      <c r="E7249" s="6" t="n">
        <f aca="false">Sens!E7231</f>
        <v>331.839</v>
      </c>
      <c r="F7249" s="6" t="n">
        <f aca="false">Sens!F7231</f>
        <v>393.874972301147</v>
      </c>
      <c r="G7249" s="6" t="n">
        <f aca="false">Sens!G7231</f>
        <v>456.879748745436</v>
      </c>
      <c r="H7249" s="6" t="n">
        <f aca="false">Sens!H7231</f>
        <v>515.725840515611</v>
      </c>
      <c r="I7249" s="6" t="n">
        <f aca="false">Sens!I7231</f>
        <v>577.599352089721</v>
      </c>
      <c r="J7249" s="6" t="n">
        <f aca="false">Sens!J7231</f>
        <v>629.755570198877</v>
      </c>
      <c r="K7249" s="6" t="n">
        <f aca="false">Sens!K7231</f>
        <v>672.184603910824</v>
      </c>
    </row>
    <row r="7250" customFormat="false" ht="15" hidden="false" customHeight="false" outlineLevel="0" collapsed="false">
      <c r="A7250" s="1" t="s">
        <v>1060</v>
      </c>
      <c r="B7250" s="0" t="s">
        <v>168</v>
      </c>
      <c r="E7250" s="7" t="n">
        <f aca="false">Sens!E7249/Sens!D7249-1</f>
        <v>0.177886867998467</v>
      </c>
      <c r="F7250" s="7" t="n">
        <f aca="false">Sens!F7249/Sens!E7249-1</f>
        <v>0.186945995802625</v>
      </c>
      <c r="G7250" s="7" t="n">
        <f aca="false">Sens!G7249/Sens!F7249-1</f>
        <v>0.159961360520559</v>
      </c>
      <c r="H7250" s="7" t="n">
        <f aca="false">Sens!H7249/Sens!G7249-1</f>
        <v>0.128799956513201</v>
      </c>
      <c r="I7250" s="7" t="n">
        <f aca="false">Sens!I7249/Sens!H7249-1</f>
        <v>0.119973650170894</v>
      </c>
      <c r="J7250" s="7" t="n">
        <f aca="false">Sens!J7249/Sens!I7249-1</f>
        <v>0.0902982628364422</v>
      </c>
      <c r="K7250" s="7" t="n">
        <f aca="false">Sens!K7249/Sens!J7249-1</f>
        <v>0.0673738125072048</v>
      </c>
    </row>
    <row r="7251" customFormat="false" ht="17.15" hidden="false" customHeight="false" outlineLevel="0" collapsed="false">
      <c r="A7251" s="26" t="s">
        <v>1061</v>
      </c>
      <c r="B7251" s="31" t="s">
        <v>98</v>
      </c>
      <c r="C7251" s="31"/>
      <c r="D7251" s="27" t="n">
        <f aca="false">(Sens!D7244+Sens!D7248-Sens!D7249)+(Sens!D7236+Sens!D7237-Sens!D7235)+(Sens!D7239+Sens!D7240-Sens!D7238)+(Sens!D7249-Q!L18)</f>
        <v>0</v>
      </c>
      <c r="E7251" s="27" t="n">
        <f aca="false">(Sens!E7244+Sens!E7248-Sens!E7249)+(Sens!E7236+Sens!E7237-Sens!E7235)+(Sens!E7239+Sens!E7240-Sens!E7238)+(Sens!E7249-Q!M18)</f>
        <v>0</v>
      </c>
      <c r="F7251" s="27" t="n">
        <f aca="false">(Sens!F7244+Sens!F7248-Sens!F7249)+(Sens!F7236+Sens!F7237-Sens!F7235)+(Sens!F7239+Sens!F7240-Sens!F7238)</f>
        <v>0</v>
      </c>
      <c r="G7251" s="27" t="n">
        <f aca="false">(Sens!G7244+Sens!G7248-Sens!G7249)+(Sens!G7236+Sens!G7237-Sens!G7235)+(Sens!G7239+Sens!G7240-Sens!G7238)</f>
        <v>0</v>
      </c>
      <c r="H7251" s="27" t="n">
        <f aca="false">(Sens!H7244+Sens!H7248-Sens!H7249)+(Sens!H7236+Sens!H7237-Sens!H7235)+(Sens!H7239+Sens!H7240-Sens!H7238)</f>
        <v>0</v>
      </c>
      <c r="I7251" s="27" t="n">
        <f aca="false">(Sens!I7244+Sens!I7248-Sens!I7249)+(Sens!I7236+Sens!I7237-Sens!I7235)+(Sens!I7239+Sens!I7240-Sens!I7238)</f>
        <v>0</v>
      </c>
      <c r="J7251" s="27" t="n">
        <f aca="false">(Sens!J7244+Sens!J7248-Sens!J7249)+(Sens!J7236+Sens!J7237-Sens!J7235)+(Sens!J7239+Sens!J7240-Sens!J7238)</f>
        <v>0</v>
      </c>
      <c r="K7251" s="27" t="n">
        <f aca="false">(Sens!K7244+Sens!K7248-Sens!K7249)+(Sens!K7236+Sens!K7237-Sens!K7235)+(Sens!K7239+Sens!K7240-Sens!K7238)</f>
        <v>0</v>
      </c>
    </row>
    <row r="7252" customFormat="false" ht="17.15" hidden="false" customHeight="false" outlineLevel="0" collapsed="false">
      <c r="A7252" s="0" t="s">
        <v>1062</v>
      </c>
      <c r="B7252" s="0" t="s">
        <v>168</v>
      </c>
      <c r="E7252" s="7" t="n">
        <f aca="false">(Q!M21+Sens!E7188+Sens!E7189+Sens!E7190+Sens!E7204-Sens!E7186)/(Q!M5-Sens!E7186)</f>
        <v>0.570957350878296</v>
      </c>
      <c r="F7252" s="7" t="n">
        <f aca="false">Sens!$E$7252+dm_seg</f>
        <v>0.570957350878296</v>
      </c>
      <c r="G7252" s="7" t="n">
        <f aca="false">Sens!$E$7252+dm_seg</f>
        <v>0.570957350878296</v>
      </c>
      <c r="H7252" s="7" t="n">
        <f aca="false">Sens!$E$7252+dm_seg</f>
        <v>0.570957350878296</v>
      </c>
      <c r="I7252" s="7" t="n">
        <f aca="false">Sens!$E$7252+dm_seg</f>
        <v>0.570957350878296</v>
      </c>
      <c r="J7252" s="7" t="n">
        <f aca="false">Sens!$E$7252+dm_seg</f>
        <v>0.570957350878296</v>
      </c>
      <c r="K7252" s="7" t="n">
        <f aca="false">Sens!$E$7252+dm_seg</f>
        <v>0.570957350878296</v>
      </c>
      <c r="L7252" s="12" t="s">
        <v>1063</v>
      </c>
    </row>
    <row r="7253" customFormat="false" ht="17.15" hidden="false" customHeight="false" outlineLevel="0" collapsed="false">
      <c r="A7253" s="0" t="s">
        <v>884</v>
      </c>
      <c r="B7253" s="0" t="s">
        <v>98</v>
      </c>
      <c r="D7253" s="6" t="n">
        <f aca="false">Q!L21</f>
        <v>110.814</v>
      </c>
      <c r="E7253" s="6" t="n">
        <f aca="false">Q!M21</f>
        <v>136.365</v>
      </c>
      <c r="F7253" s="6" t="n">
        <f aca="false">Q!$I$21+(Sens!F7252*(Sens!F7223-Sens!F7186)+Sens!F7186-(Sens!F7188+Sens!F7189+Sens!F7190)-Sens!F7204-Sens!F7287)*(Sens!F7223-Q!$I$5)/Sens!F7223</f>
        <v>157.797453122677</v>
      </c>
      <c r="G7253" s="6" t="n">
        <f aca="false">(Sens!G7252*(Sens!G7223-Sens!G7186)+Sens!G7186-(Sens!G7188+Sens!G7189+Sens!G7190)-Sens!G7204-Sens!G7287)</f>
        <v>160.116743291136</v>
      </c>
      <c r="H7253" s="6" t="n">
        <f aca="false">(Sens!H7252*(Sens!H7223-Sens!H7186)+Sens!H7186-(Sens!H7188+Sens!H7189+Sens!H7190)-Sens!H7204-Sens!H7287)</f>
        <v>160.733595820195</v>
      </c>
      <c r="I7253" s="6" t="n">
        <f aca="false">(Sens!I7252*(Sens!I7223-Sens!I7186)+Sens!I7186-(Sens!I7188+Sens!I7189+Sens!I7190)-Sens!I7204-Sens!I7287)</f>
        <v>169.383369802525</v>
      </c>
      <c r="J7253" s="6" t="n">
        <f aca="false">(Sens!J7252*(Sens!J7223-Sens!J7186)+Sens!J7186-(Sens!J7188+Sens!J7189+Sens!J7190)-Sens!J7204-Sens!J7287)</f>
        <v>179.79032394505</v>
      </c>
      <c r="K7253" s="6" t="n">
        <f aca="false">(Sens!K7252*(Sens!K7223-Sens!K7186)+Sens!K7186-(Sens!K7188+Sens!K7189+Sens!K7190)-Sens!K7204-Sens!K7287)</f>
        <v>191.605438698709</v>
      </c>
      <c r="L7253" s="1" t="s">
        <v>1064</v>
      </c>
    </row>
    <row r="7254" customFormat="false" ht="17.15" hidden="false" customHeight="false" outlineLevel="0" collapsed="false">
      <c r="A7254" s="0" t="s">
        <v>1065</v>
      </c>
      <c r="B7254" s="0" t="s">
        <v>168</v>
      </c>
      <c r="E7254" s="7" t="n">
        <f aca="false">Q!M22/Q!M12</f>
        <v>0.296207935710698</v>
      </c>
      <c r="F7254" s="7" t="n">
        <f aca="false">Sens!$E$7254+dm_seg</f>
        <v>0.296207935710698</v>
      </c>
      <c r="G7254" s="7" t="n">
        <f aca="false">Sens!$E$7254+dm_seg</f>
        <v>0.296207935710698</v>
      </c>
      <c r="H7254" s="7" t="n">
        <f aca="false">Sens!$E$7254+dm_seg</f>
        <v>0.296207935710698</v>
      </c>
      <c r="I7254" s="7" t="n">
        <f aca="false">Sens!$E$7254+dm_seg</f>
        <v>0.296207935710698</v>
      </c>
      <c r="J7254" s="7" t="n">
        <f aca="false">Sens!$E$7254+dm_seg</f>
        <v>0.296207935710698</v>
      </c>
      <c r="K7254" s="7" t="n">
        <f aca="false">Sens!$E$7254+dm_seg</f>
        <v>0.296207935710698</v>
      </c>
      <c r="L7254" s="12" t="s">
        <v>1066</v>
      </c>
    </row>
    <row r="7255" customFormat="false" ht="17.15" hidden="false" customHeight="false" outlineLevel="0" collapsed="false">
      <c r="A7255" s="0" t="s">
        <v>886</v>
      </c>
      <c r="B7255" s="0" t="s">
        <v>98</v>
      </c>
      <c r="D7255" s="6" t="n">
        <f aca="false">Q!L22</f>
        <v>17.714</v>
      </c>
      <c r="E7255" s="6" t="n">
        <f aca="false">Q!M22</f>
        <v>18.872</v>
      </c>
      <c r="F7255" s="6" t="n">
        <f aca="false">Q!$I$22+(Sens!F7230-Q!$I$12)*Sens!F7254</f>
        <v>19.8174315512051</v>
      </c>
      <c r="G7255" s="6" t="n">
        <f aca="false">Sens!G7230*Sens!G7254</f>
        <v>19.6313799703815</v>
      </c>
      <c r="H7255" s="6" t="n">
        <f aca="false">Sens!H7230*Sens!H7254</f>
        <v>20.3536242825865</v>
      </c>
      <c r="I7255" s="6" t="n">
        <f aca="false">Sens!I7230*Sens!I7254</f>
        <v>21.1920899239745</v>
      </c>
      <c r="J7255" s="6" t="n">
        <f aca="false">Sens!J7230*Sens!J7254</f>
        <v>22.1288166207045</v>
      </c>
      <c r="K7255" s="6" t="n">
        <f aca="false">Sens!K7230*Sens!K7254</f>
        <v>23.1493653905379</v>
      </c>
      <c r="L7255" s="12" t="s">
        <v>1067</v>
      </c>
    </row>
    <row r="7256" customFormat="false" ht="15" hidden="false" customHeight="false" outlineLevel="0" collapsed="false">
      <c r="A7256" s="1" t="s">
        <v>1068</v>
      </c>
      <c r="B7256" s="0" t="s">
        <v>98</v>
      </c>
      <c r="D7256" s="6" t="n">
        <f aca="false">Sens!D7253+Sens!D7255</f>
        <v>128.528</v>
      </c>
      <c r="E7256" s="6" t="n">
        <f aca="false">Sens!E7253+Sens!E7255</f>
        <v>155.237</v>
      </c>
      <c r="F7256" s="6" t="n">
        <f aca="false">Sens!F7253+Sens!F7255</f>
        <v>177.614884673882</v>
      </c>
      <c r="G7256" s="6" t="n">
        <f aca="false">Sens!G7253+Sens!G7255</f>
        <v>179.748123261517</v>
      </c>
      <c r="H7256" s="6" t="n">
        <f aca="false">Sens!H7253+Sens!H7255</f>
        <v>181.087220102782</v>
      </c>
      <c r="I7256" s="6" t="n">
        <f aca="false">Sens!I7253+Sens!I7255</f>
        <v>190.5754597265</v>
      </c>
      <c r="J7256" s="6" t="n">
        <f aca="false">Sens!J7253+Sens!J7255</f>
        <v>201.919140565754</v>
      </c>
      <c r="K7256" s="6" t="n">
        <f aca="false">Sens!K7253+Sens!K7255</f>
        <v>214.754804089247</v>
      </c>
    </row>
    <row r="7257" customFormat="false" ht="15" hidden="false" customHeight="false" outlineLevel="0" collapsed="false">
      <c r="A7257" s="26" t="s">
        <v>1069</v>
      </c>
      <c r="B7257" s="31" t="s">
        <v>98</v>
      </c>
      <c r="C7257" s="31"/>
      <c r="D7257" s="27" t="n">
        <f aca="false">Sens!D7256-Q!L23</f>
        <v>0</v>
      </c>
      <c r="E7257" s="27" t="n">
        <f aca="false">Sens!E7256-Q!M23</f>
        <v>0</v>
      </c>
      <c r="F7257" s="31"/>
      <c r="G7257" s="31"/>
      <c r="H7257" s="31"/>
      <c r="I7257" s="31"/>
      <c r="J7257" s="31"/>
      <c r="K7257" s="31"/>
    </row>
    <row r="7258" customFormat="false" ht="15" hidden="false" customHeight="false" outlineLevel="0" collapsed="false">
      <c r="A7258" s="1" t="s">
        <v>1070</v>
      </c>
      <c r="B7258" s="0" t="s">
        <v>168</v>
      </c>
      <c r="D7258" s="7" t="n">
        <f aca="false">Sens!D7256/Sens!D7249</f>
        <v>0.456219562408598</v>
      </c>
      <c r="E7258" s="7" t="n">
        <f aca="false">Sens!E7256/Sens!E7249</f>
        <v>0.467808184089272</v>
      </c>
      <c r="F7258" s="7" t="n">
        <f aca="false">Sens!F7256/Sens!F7249</f>
        <v>0.450942296831396</v>
      </c>
      <c r="G7258" s="7" t="n">
        <f aca="false">Sens!G7256/Sens!G7249</f>
        <v>0.393425455505731</v>
      </c>
      <c r="H7258" s="7" t="n">
        <f aca="false">Sens!H7256/Sens!H7249</f>
        <v>0.351130786701971</v>
      </c>
      <c r="I7258" s="7" t="n">
        <f aca="false">Sens!I7256/Sens!I7249</f>
        <v>0.329944033068958</v>
      </c>
      <c r="J7258" s="7" t="n">
        <f aca="false">Sens!J7256/Sens!J7249</f>
        <v>0.320630971953115</v>
      </c>
      <c r="K7258" s="7" t="n">
        <f aca="false">Sens!K7256/Sens!K7249</f>
        <v>0.319487835394899</v>
      </c>
    </row>
    <row r="7259" customFormat="false" ht="17.15" hidden="false" customHeight="false" outlineLevel="0" collapsed="false">
      <c r="A7259" s="1" t="s">
        <v>1071</v>
      </c>
      <c r="B7259" s="0" t="s">
        <v>98</v>
      </c>
      <c r="F7259" s="6" t="n">
        <f aca="false">Sens!F7274</f>
        <v>11.0244968111061</v>
      </c>
      <c r="G7259" s="6" t="n">
        <f aca="false">Sens!G7274</f>
        <v>29.1293007144082</v>
      </c>
      <c r="H7259" s="6" t="n">
        <f aca="false">Sens!H7274</f>
        <v>48.7072955671756</v>
      </c>
      <c r="I7259" s="6" t="n">
        <f aca="false">Sens!I7274</f>
        <v>66.0551948981761</v>
      </c>
      <c r="J7259" s="6" t="n">
        <f aca="false">Sens!J7274</f>
        <v>78.1177573868913</v>
      </c>
      <c r="K7259" s="6" t="n">
        <f aca="false">Sens!K7274</f>
        <v>85.2793968298723</v>
      </c>
      <c r="L7259" s="1" t="s">
        <v>1072</v>
      </c>
    </row>
    <row r="7260" customFormat="false" ht="17.15" hidden="false" customHeight="false" outlineLevel="0" collapsed="false">
      <c r="A7260" s="1" t="s">
        <v>1073</v>
      </c>
      <c r="B7260" s="0" t="s">
        <v>98</v>
      </c>
      <c r="D7260" s="6" t="n">
        <f aca="false">Sens!D7256</f>
        <v>128.528</v>
      </c>
      <c r="E7260" s="6" t="n">
        <f aca="false">Sens!E7256</f>
        <v>155.237</v>
      </c>
      <c r="F7260" s="6" t="n">
        <f aca="false">Sens!F7256+Sens!F7259</f>
        <v>188.639381484988</v>
      </c>
      <c r="G7260" s="6" t="n">
        <f aca="false">Sens!G7256+Sens!G7259</f>
        <v>208.877423975925</v>
      </c>
      <c r="H7260" s="6" t="n">
        <f aca="false">Sens!H7256+Sens!H7259</f>
        <v>229.794515669957</v>
      </c>
      <c r="I7260" s="6" t="n">
        <f aca="false">Sens!I7256+Sens!I7259</f>
        <v>256.630654624676</v>
      </c>
      <c r="J7260" s="6" t="n">
        <f aca="false">Sens!J7256+Sens!J7259</f>
        <v>280.036897952646</v>
      </c>
      <c r="K7260" s="6" t="n">
        <f aca="false">Sens!K7256+Sens!K7259</f>
        <v>300.034200919119</v>
      </c>
    </row>
    <row r="7261" customFormat="false" ht="17.15" hidden="false" customHeight="false" outlineLevel="0" collapsed="false">
      <c r="A7261" s="1" t="s">
        <v>1074</v>
      </c>
      <c r="B7261" s="0" t="s">
        <v>98</v>
      </c>
      <c r="E7261" s="6" t="n">
        <f aca="false">Sens!E7204</f>
        <v>16.3054059770833</v>
      </c>
      <c r="F7261" s="6" t="n">
        <f aca="false">Sens!F7204</f>
        <v>34.5793144783516</v>
      </c>
      <c r="G7261" s="6" t="n">
        <f aca="false">Sens!G7204</f>
        <v>60.7344906522989</v>
      </c>
      <c r="H7261" s="6" t="n">
        <f aca="false">Sens!H7204</f>
        <v>89.1000906614457</v>
      </c>
      <c r="I7261" s="6" t="n">
        <f aca="false">Sens!I7204</f>
        <v>114.231009694548</v>
      </c>
      <c r="J7261" s="6" t="n">
        <f aca="false">Sens!J7204</f>
        <v>132.015673049596</v>
      </c>
      <c r="K7261" s="6" t="n">
        <f aca="false">Sens!K7204</f>
        <v>143.012669550934</v>
      </c>
    </row>
    <row r="7262" customFormat="false" ht="17.15" hidden="false" customHeight="false" outlineLevel="0" collapsed="false">
      <c r="A7262" s="1" t="s">
        <v>1075</v>
      </c>
      <c r="B7262" s="0" t="s">
        <v>98</v>
      </c>
      <c r="E7262" s="6" t="n">
        <f aca="false">Sens!E7286</f>
        <v>22.2285940229167</v>
      </c>
      <c r="F7262" s="6" t="n">
        <f aca="false">Sens!F7286</f>
        <v>23.5826122804153</v>
      </c>
      <c r="G7262" s="6" t="n">
        <f aca="false">Sens!G7286</f>
        <v>25.3219264559517</v>
      </c>
      <c r="H7262" s="6" t="n">
        <f aca="false">Sens!H7286</f>
        <v>27.4166553912512</v>
      </c>
      <c r="I7262" s="6" t="n">
        <f aca="false">Sens!I7286</f>
        <v>29.8150442918483</v>
      </c>
      <c r="J7262" s="6" t="n">
        <f aca="false">Sens!J7286</f>
        <v>32.4467611353707</v>
      </c>
      <c r="K7262" s="6" t="n">
        <f aca="false">Sens!K7286</f>
        <v>35.2277174641542</v>
      </c>
    </row>
    <row r="7263" customFormat="false" ht="17.15" hidden="false" customHeight="false" outlineLevel="0" collapsed="false">
      <c r="A7263" s="1" t="s">
        <v>1076</v>
      </c>
      <c r="B7263" s="0" t="s">
        <v>98</v>
      </c>
      <c r="D7263" s="6" t="n">
        <f aca="false">Q!L27</f>
        <v>-4.901</v>
      </c>
      <c r="E7263" s="6" t="n">
        <f aca="false">Q!M27</f>
        <v>10.697</v>
      </c>
      <c r="F7263" s="6" t="n">
        <f aca="false">Q!$I$27+oie_f*(q_per_yr-1)/q_per_yr</f>
        <v>-0.862</v>
      </c>
      <c r="G7263" s="6" t="n">
        <f aca="false">oie_f</f>
        <v>-1.2</v>
      </c>
      <c r="H7263" s="6" t="n">
        <f aca="false">oie_f</f>
        <v>-1.2</v>
      </c>
      <c r="I7263" s="6" t="n">
        <f aca="false">oie_f</f>
        <v>-1.2</v>
      </c>
      <c r="J7263" s="6" t="n">
        <f aca="false">oie_f</f>
        <v>-1.2</v>
      </c>
      <c r="K7263" s="6" t="n">
        <f aca="false">oie_f</f>
        <v>-1.2</v>
      </c>
      <c r="L7263" s="12" t="s">
        <v>1077</v>
      </c>
    </row>
    <row r="7264" customFormat="false" ht="15" hidden="false" customHeight="false" outlineLevel="0" collapsed="false">
      <c r="A7264" s="1" t="s">
        <v>1078</v>
      </c>
      <c r="B7264" s="0" t="s">
        <v>98</v>
      </c>
      <c r="D7264" s="6" t="n">
        <f aca="false">Sens!D7256+Sens!D7263</f>
        <v>123.627</v>
      </c>
      <c r="E7264" s="6" t="n">
        <f aca="false">Sens!E7256+Sens!E7263</f>
        <v>165.934</v>
      </c>
      <c r="F7264" s="6" t="n">
        <f aca="false">Sens!F7256+Sens!F7263</f>
        <v>176.752884673882</v>
      </c>
      <c r="G7264" s="6" t="n">
        <f aca="false">Sens!G7256+Sens!G7263</f>
        <v>178.548123261517</v>
      </c>
      <c r="H7264" s="6" t="n">
        <f aca="false">Sens!H7256+Sens!H7263</f>
        <v>179.887220102782</v>
      </c>
      <c r="I7264" s="6" t="n">
        <f aca="false">Sens!I7256+Sens!I7263</f>
        <v>189.3754597265</v>
      </c>
      <c r="J7264" s="6" t="n">
        <f aca="false">Sens!J7256+Sens!J7263</f>
        <v>200.719140565755</v>
      </c>
      <c r="K7264" s="6" t="n">
        <f aca="false">Sens!K7256+Sens!K7263</f>
        <v>213.554804089247</v>
      </c>
    </row>
    <row r="7265" customFormat="false" ht="15" hidden="false" customHeight="false" outlineLevel="0" collapsed="false">
      <c r="A7265" s="1" t="s">
        <v>1079</v>
      </c>
      <c r="B7265" s="0" t="s">
        <v>98</v>
      </c>
      <c r="D7265" s="6" t="n">
        <f aca="false">Q!L29</f>
        <v>21.795</v>
      </c>
      <c r="E7265" s="6" t="n">
        <f aca="false">Q!M29</f>
        <v>32.185</v>
      </c>
      <c r="F7265" s="6" t="n">
        <f aca="false">Q!$I$29+(Sens!F7264-Q!$I$28)*tax_f</f>
        <v>35.4839769347764</v>
      </c>
      <c r="G7265" s="6" t="n">
        <f aca="false">Sens!G7264*tax_f</f>
        <v>35.7096246523034</v>
      </c>
      <c r="H7265" s="6" t="n">
        <f aca="false">Sens!H7264*tax_f</f>
        <v>35.9774440205564</v>
      </c>
      <c r="I7265" s="6" t="n">
        <f aca="false">Sens!I7264*tax_f</f>
        <v>37.8750919453</v>
      </c>
      <c r="J7265" s="6" t="n">
        <f aca="false">Sens!J7264*tax_f</f>
        <v>40.1438281131509</v>
      </c>
      <c r="K7265" s="6" t="n">
        <f aca="false">Sens!K7264*tax_f</f>
        <v>42.7109608178494</v>
      </c>
    </row>
    <row r="7266" customFormat="false" ht="15" hidden="false" customHeight="false" outlineLevel="0" collapsed="false">
      <c r="A7266" s="1" t="s">
        <v>1080</v>
      </c>
      <c r="B7266" s="0" t="s">
        <v>98</v>
      </c>
      <c r="D7266" s="6" t="n">
        <f aca="false">Sens!D7264-Sens!D7265</f>
        <v>101.832</v>
      </c>
      <c r="E7266" s="6" t="n">
        <f aca="false">Sens!E7264-Sens!E7265</f>
        <v>133.749</v>
      </c>
      <c r="F7266" s="6" t="n">
        <f aca="false">Sens!F7264-Sens!F7265</f>
        <v>141.268907739105</v>
      </c>
      <c r="G7266" s="6" t="n">
        <f aca="false">Sens!G7264-Sens!G7265</f>
        <v>142.838498609214</v>
      </c>
      <c r="H7266" s="6" t="n">
        <f aca="false">Sens!H7264-Sens!H7265</f>
        <v>143.909776082225</v>
      </c>
      <c r="I7266" s="6" t="n">
        <f aca="false">Sens!I7264-Sens!I7265</f>
        <v>151.5003677812</v>
      </c>
      <c r="J7266" s="6" t="n">
        <f aca="false">Sens!J7264-Sens!J7265</f>
        <v>160.575312452604</v>
      </c>
      <c r="K7266" s="6" t="n">
        <f aca="false">Sens!K7264-Sens!K7265</f>
        <v>170.843843271397</v>
      </c>
    </row>
    <row r="7267" customFormat="false" ht="17.15" hidden="false" customHeight="false" outlineLevel="0" collapsed="false">
      <c r="A7267" s="1" t="s">
        <v>1081</v>
      </c>
      <c r="B7267" s="1" t="s">
        <v>81</v>
      </c>
      <c r="D7267" s="15" t="n">
        <f aca="false">Q!L31</f>
        <v>7.465</v>
      </c>
      <c r="E7267" s="15" t="n">
        <f aca="false">Q!M31</f>
        <v>7.453</v>
      </c>
      <c r="F7267" s="15" t="n">
        <f aca="false">Sens!F7311</f>
        <v>7.4735</v>
      </c>
      <c r="G7267" s="15" t="n">
        <f aca="false">Sens!G7311</f>
        <v>7.5185</v>
      </c>
      <c r="H7267" s="15" t="n">
        <f aca="false">Sens!H7311</f>
        <v>7.5635</v>
      </c>
      <c r="I7267" s="15" t="n">
        <f aca="false">Sens!I7311</f>
        <v>7.59248142502667</v>
      </c>
      <c r="J7267" s="15" t="n">
        <f aca="false">Sens!J7311</f>
        <v>7.60663083618914</v>
      </c>
      <c r="K7267" s="15" t="n">
        <f aca="false">Sens!K7311</f>
        <v>7.62306547615439</v>
      </c>
    </row>
    <row r="7268" customFormat="false" ht="17.15" hidden="false" customHeight="false" outlineLevel="0" collapsed="false">
      <c r="A7268" s="0" t="s">
        <v>1082</v>
      </c>
      <c r="B7268" s="0" t="s">
        <v>75</v>
      </c>
      <c r="D7268" s="8" t="n">
        <f aca="false">Sens!D7266/Sens!D7267</f>
        <v>13.641259209645</v>
      </c>
      <c r="E7268" s="8" t="n">
        <f aca="false">Sens!E7266/Sens!E7267</f>
        <v>17.9456594659869</v>
      </c>
      <c r="F7268" s="8" t="n">
        <f aca="false">Sens!F7266/Sens!F7267</f>
        <v>18.9026437063097</v>
      </c>
      <c r="G7268" s="8" t="n">
        <f aca="false">Sens!G7266/Sens!G7267</f>
        <v>18.9982707467199</v>
      </c>
      <c r="H7268" s="8" t="n">
        <f aca="false">Sens!H7266/Sens!H7267</f>
        <v>19.0268759281054</v>
      </c>
      <c r="I7268" s="8" t="n">
        <f aca="false">Sens!I7266/Sens!I7267</f>
        <v>19.9539991341721</v>
      </c>
      <c r="J7268" s="8" t="n">
        <f aca="false">Sens!J7266/Sens!J7267</f>
        <v>21.109912642093</v>
      </c>
      <c r="K7268" s="8" t="n">
        <f aca="false">Sens!K7266/Sens!K7267</f>
        <v>22.4114358988273</v>
      </c>
      <c r="L7268" s="1" t="s">
        <v>1083</v>
      </c>
    </row>
    <row r="7269" customFormat="false" ht="17.15" hidden="false" customHeight="false" outlineLevel="0" collapsed="false">
      <c r="A7269" s="1" t="s">
        <v>1084</v>
      </c>
      <c r="B7269" s="0" t="s">
        <v>98</v>
      </c>
      <c r="D7269" s="6" t="n">
        <f aca="false">Sens!D7266</f>
        <v>101.832</v>
      </c>
      <c r="E7269" s="6" t="n">
        <f aca="false">Sens!E7266</f>
        <v>133.749</v>
      </c>
      <c r="F7269" s="6" t="n">
        <f aca="false">Sens!F7266+Sens!F7259*(1-tax_f)</f>
        <v>150.08850518799</v>
      </c>
      <c r="G7269" s="6" t="n">
        <f aca="false">Sens!G7266+Sens!G7259*(1-tax_f)</f>
        <v>166.14193918074</v>
      </c>
      <c r="H7269" s="6" t="n">
        <f aca="false">Sens!H7266+Sens!H7259*(1-tax_f)</f>
        <v>182.875612535966</v>
      </c>
      <c r="I7269" s="6" t="n">
        <f aca="false">Sens!I7266+Sens!I7259*(1-tax_f)</f>
        <v>204.344523699741</v>
      </c>
      <c r="J7269" s="6" t="n">
        <f aca="false">Sens!J7266+Sens!J7259*(1-tax_f)</f>
        <v>223.069518362117</v>
      </c>
      <c r="K7269" s="6" t="n">
        <f aca="false">Sens!K7266+Sens!K7259*(1-tax_f)</f>
        <v>239.067360735295</v>
      </c>
    </row>
    <row r="7270" customFormat="false" ht="17.15" hidden="false" customHeight="false" outlineLevel="0" collapsed="false">
      <c r="A7270" s="0" t="s">
        <v>1085</v>
      </c>
      <c r="B7270" s="0" t="s">
        <v>75</v>
      </c>
      <c r="D7270" s="8" t="n">
        <f aca="false">Sens!D7269/Sens!D7267</f>
        <v>13.641259209645</v>
      </c>
      <c r="E7270" s="8" t="n">
        <f aca="false">Sens!E7269/Sens!E7267</f>
        <v>17.9456594659869</v>
      </c>
      <c r="F7270" s="8" t="n">
        <f aca="false">Sens!F7269/Sens!F7267</f>
        <v>20.0827597762749</v>
      </c>
      <c r="G7270" s="8" t="n">
        <f aca="false">Sens!G7269/Sens!G7267</f>
        <v>22.0977507721939</v>
      </c>
      <c r="H7270" s="8" t="n">
        <f aca="false">Sens!H7269/Sens!H7267</f>
        <v>24.1787019945747</v>
      </c>
      <c r="I7270" s="8" t="n">
        <f aca="false">Sens!I7269/Sens!I7267</f>
        <v>26.9140630395448</v>
      </c>
      <c r="J7270" s="8" t="n">
        <f aca="false">Sens!J7269/Sens!J7267</f>
        <v>29.3256664042175</v>
      </c>
      <c r="K7270" s="8" t="n">
        <f aca="false">Sens!K7269/Sens!K7267</f>
        <v>31.3610530413413</v>
      </c>
      <c r="L7270" s="1" t="s">
        <v>1086</v>
      </c>
    </row>
    <row r="7271" customFormat="false" ht="17.15" hidden="false" customHeight="false" outlineLevel="0" collapsed="false">
      <c r="A7271" s="0" t="s">
        <v>1087</v>
      </c>
      <c r="B7271" s="0" t="s">
        <v>168</v>
      </c>
      <c r="E7271" s="7" t="n">
        <f aca="false">Sens!E7270/Sens!D7270-1</f>
        <v>0.315542736208578</v>
      </c>
      <c r="F7271" s="7" t="n">
        <f aca="false">Sens!F7270/Sens!E7270-1</f>
        <v>0.119087309905694</v>
      </c>
      <c r="G7271" s="7" t="n">
        <f aca="false">Sens!G7270/Sens!F7270-1</f>
        <v>0.100334367306406</v>
      </c>
      <c r="H7271" s="7" t="n">
        <f aca="false">Sens!H7270/Sens!G7270-1</f>
        <v>0.0941702729763467</v>
      </c>
      <c r="I7271" s="7" t="n">
        <f aca="false">Sens!I7270/Sens!H7270-1</f>
        <v>0.113131012805561</v>
      </c>
      <c r="J7271" s="7" t="n">
        <f aca="false">Sens!J7270/Sens!I7270-1</f>
        <v>0.0896038387488845</v>
      </c>
      <c r="K7271" s="7" t="n">
        <f aca="false">Sens!K7270/Sens!J7270-1</f>
        <v>0.0694063217206569</v>
      </c>
    </row>
    <row r="7272" customFormat="false" ht="17.15" hidden="false" customHeight="false" outlineLevel="0" collapsed="false">
      <c r="A7272" s="0" t="s">
        <v>1007</v>
      </c>
      <c r="B7272" s="0" t="s">
        <v>98</v>
      </c>
      <c r="E7272" s="6" t="n">
        <f aca="false">Sens!E7213</f>
        <v>5.25</v>
      </c>
      <c r="F7272" s="6" t="n">
        <f aca="false">Sens!F7213</f>
        <v>9.75</v>
      </c>
      <c r="G7272" s="6" t="n">
        <f aca="false">Sens!G7213</f>
        <v>11.25</v>
      </c>
      <c r="H7272" s="6" t="n">
        <f aca="false">Sens!H7213</f>
        <v>12.75</v>
      </c>
      <c r="I7272" s="6" t="n">
        <f aca="false">Sens!I7213</f>
        <v>13.875</v>
      </c>
      <c r="J7272" s="6" t="n">
        <f aca="false">Sens!J7213</f>
        <v>14.625</v>
      </c>
      <c r="K7272" s="6" t="n">
        <f aca="false">Sens!K7213</f>
        <v>15.375</v>
      </c>
    </row>
    <row r="7273" customFormat="false" ht="17.15" hidden="false" customHeight="false" outlineLevel="0" collapsed="false">
      <c r="A7273" s="1" t="s">
        <v>1008</v>
      </c>
      <c r="B7273" s="0" t="s">
        <v>98</v>
      </c>
      <c r="F7273" s="6" t="n">
        <f aca="false">MAX(0,((Sens!E7173+Sens!F7173)/2-(shadow_base*(Sens!$D$7173+Sens!$E$7173)/2+(1-shadow_base)*Sens!$E$7173))*Sens!F7182/1000-(Sens!F7272-Sens!$E$7272)*Sens!F7252)</f>
        <v>11.0244968111061</v>
      </c>
      <c r="G7273" s="6" t="n">
        <f aca="false">MAX(0,((Sens!F7173+Sens!G7173)/2-(shadow_base*(Sens!$D$7173+Sens!$E$7173)/2+(1-shadow_base)*Sens!$E$7173))*Sens!G7182/1000-(Sens!G7272-Sens!$E$7272)*Sens!G7252)</f>
        <v>29.1293007144082</v>
      </c>
      <c r="H7273" s="6" t="n">
        <f aca="false">MAX(0,((Sens!G7173+Sens!H7173)/2-(shadow_base*(Sens!$D$7173+Sens!$E$7173)/2+(1-shadow_base)*Sens!$E$7173))*Sens!H7182/1000-(Sens!H7272-Sens!$E$7272)*Sens!H7252)</f>
        <v>48.7072955671756</v>
      </c>
      <c r="I7273" s="6" t="n">
        <f aca="false">MAX(0,((Sens!H7173+Sens!I7173)/2-(shadow_base*(Sens!$D$7173+Sens!$E$7173)/2+(1-shadow_base)*Sens!$E$7173))*Sens!I7182/1000-(Sens!I7272-Sens!$E$7272)*Sens!I7252)</f>
        <v>66.0551948981761</v>
      </c>
      <c r="J7273" s="6" t="n">
        <f aca="false">MAX(0,((Sens!I7173+Sens!J7173)/2-(shadow_base*(Sens!$D$7173+Sens!$E$7173)/2+(1-shadow_base)*Sens!$E$7173))*Sens!J7182/1000-(Sens!J7272-Sens!$E$7272)*Sens!J7252)</f>
        <v>78.1177573868913</v>
      </c>
      <c r="K7273" s="6" t="n">
        <f aca="false">MAX(0,((Sens!J7173+Sens!K7173)/2-(shadow_base*(Sens!$D$7173+Sens!$E$7173)/2+(1-shadow_base)*Sens!$E$7173))*Sens!K7182/1000-(Sens!K7272-Sens!$E$7272)*Sens!K7252)</f>
        <v>85.2793968298723</v>
      </c>
      <c r="L7273" s="1" t="s">
        <v>1009</v>
      </c>
    </row>
    <row r="7274" customFormat="false" ht="17.15" hidden="false" customHeight="false" outlineLevel="0" collapsed="false">
      <c r="A7274" s="1" t="s">
        <v>1010</v>
      </c>
      <c r="B7274" s="0" t="s">
        <v>98</v>
      </c>
      <c r="F7274" s="6" t="n">
        <f aca="false">IF(internal_ai_reading=2,1,0)*Sens!F7273</f>
        <v>11.0244968111061</v>
      </c>
      <c r="G7274" s="6" t="n">
        <f aca="false">IF(internal_ai_reading=2,1,0)*Sens!G7273</f>
        <v>29.1293007144082</v>
      </c>
      <c r="H7274" s="6" t="n">
        <f aca="false">IF(internal_ai_reading=2,1,0)*Sens!H7273</f>
        <v>48.7072955671756</v>
      </c>
      <c r="I7274" s="6" t="n">
        <f aca="false">IF(internal_ai_reading=2,1,0)*Sens!I7273</f>
        <v>66.0551948981761</v>
      </c>
      <c r="J7274" s="6" t="n">
        <f aca="false">IF(internal_ai_reading=2,1,0)*Sens!J7273</f>
        <v>78.1177573868913</v>
      </c>
      <c r="K7274" s="6" t="n">
        <f aca="false">IF(internal_ai_reading=2,1,0)*Sens!K7273</f>
        <v>85.2793968298723</v>
      </c>
    </row>
    <row r="7275" customFormat="false" ht="17.15" hidden="false" customHeight="false" outlineLevel="0" collapsed="false">
      <c r="A7275" s="0" t="s">
        <v>1011</v>
      </c>
      <c r="B7275" s="0" t="s">
        <v>98</v>
      </c>
      <c r="F7275" s="6" t="n">
        <f aca="false">Sens!F7192+Sens!F7272*Sens!F7252+Sens!F7274-Sens!F7193-Sens!F7204</f>
        <v>10.3853806853618</v>
      </c>
      <c r="G7275" s="6" t="n">
        <f aca="false">Sens!G7192+Sens!G7272*Sens!G7252+Sens!G7274-Sens!G7193-Sens!G7204</f>
        <v>16.4389313105741</v>
      </c>
      <c r="H7275" s="6" t="n">
        <f aca="false">Sens!H7192+Sens!H7272*Sens!H7252+Sens!H7274-Sens!H7193-Sens!H7204</f>
        <v>17.135416308873</v>
      </c>
      <c r="I7275" s="6" t="n">
        <f aca="false">Sens!I7192+Sens!I7272*Sens!I7252+Sens!I7274-Sens!I7193-Sens!I7204</f>
        <v>24.1293804008657</v>
      </c>
      <c r="J7275" s="6" t="n">
        <f aca="false">Sens!J7192+Sens!J7272*Sens!J7252+Sens!J7274-Sens!J7193-Sens!J7204</f>
        <v>28.8545659869181</v>
      </c>
      <c r="K7275" s="6" t="n">
        <f aca="false">Sens!K7192+Sens!K7272*Sens!K7252+Sens!K7274-Sens!K7193-Sens!K7204</f>
        <v>32.13747485251</v>
      </c>
    </row>
    <row r="7276" customFormat="false" ht="17.15" hidden="false" customHeight="false" outlineLevel="0" collapsed="false">
      <c r="A7276" s="0" t="s">
        <v>1012</v>
      </c>
      <c r="B7276" s="0" t="s">
        <v>98</v>
      </c>
      <c r="E7276" s="6" t="n">
        <f aca="false">Sens!E7172*(cxit_open+self_build*tk_cxfac)/1000*ai_net_open</f>
        <v>126.6980382</v>
      </c>
      <c r="F7276" s="6" t="n">
        <f aca="false">Sens!E7276+Sens!F7201-Sens!F7204</f>
        <v>260.572627763768</v>
      </c>
      <c r="G7276" s="6" t="n">
        <f aca="false">Sens!F7276+Sens!G7201-Sens!G7204</f>
        <v>391.782612760517</v>
      </c>
      <c r="H7276" s="6" t="n">
        <f aca="false">Sens!G7276+Sens!H7201-Sens!H7204</f>
        <v>499.488526163584</v>
      </c>
      <c r="I7276" s="6" t="n">
        <f aca="false">Sens!H7276+Sens!I7201-Sens!I7204</f>
        <v>553.872350090646</v>
      </c>
      <c r="J7276" s="6" t="n">
        <f aca="false">Sens!I7276+Sens!J7201-Sens!J7204</f>
        <v>550.78660823699</v>
      </c>
      <c r="K7276" s="6" t="n">
        <f aca="false">Sens!J7276+Sens!K7201-Sens!K7204</f>
        <v>526.736791750789</v>
      </c>
      <c r="L7276" s="1" t="s">
        <v>1013</v>
      </c>
    </row>
    <row r="7277" customFormat="false" ht="17.15" hidden="false" customHeight="false" outlineLevel="0" collapsed="false">
      <c r="A7277" s="0" t="s">
        <v>1014</v>
      </c>
      <c r="B7277" s="0" t="s">
        <v>168</v>
      </c>
      <c r="F7277" s="7" t="n">
        <f aca="false">Sens!F7275*(1-tax_f)/((Sens!E7276+Sens!F7276)/2)</f>
        <v>0.0429069654816909</v>
      </c>
      <c r="G7277" s="7" t="n">
        <f aca="false">Sens!G7275*(1-tax_f)/((Sens!F7276+Sens!G7276)/2)</f>
        <v>0.0403189680453549</v>
      </c>
      <c r="H7277" s="7" t="n">
        <f aca="false">Sens!H7275*(1-tax_f)/((Sens!G7276+Sens!H7276)/2)</f>
        <v>0.0307613080877867</v>
      </c>
      <c r="I7277" s="7" t="n">
        <f aca="false">Sens!I7275*(1-tax_f)/((Sens!H7276+Sens!I7276)/2)</f>
        <v>0.0366512650238846</v>
      </c>
      <c r="J7277" s="7" t="n">
        <f aca="false">Sens!J7275*(1-tax_f)/((Sens!I7276+Sens!J7276)/2)</f>
        <v>0.0417932659044041</v>
      </c>
      <c r="K7277" s="7" t="n">
        <f aca="false">Sens!K7275*(1-tax_f)/((Sens!J7276+Sens!K7276)/2)</f>
        <v>0.0477205040415821</v>
      </c>
    </row>
    <row r="7278" customFormat="false" ht="17.15" hidden="false" customHeight="false" outlineLevel="0" collapsed="false">
      <c r="A7278" s="1" t="s">
        <v>1015</v>
      </c>
      <c r="B7278" s="0" t="s">
        <v>168</v>
      </c>
      <c r="F7278" s="7" t="n">
        <f aca="false">(Sens!F7275-Sens!F7274)*(1-tax_f)/((Sens!E7276+Sens!F7276)/2)</f>
        <v>-0.0026404938227016</v>
      </c>
      <c r="G7278" s="7" t="n">
        <f aca="false">(Sens!G7275-Sens!G7274)*(1-tax_f)/((Sens!F7276+Sens!G7276)/2)</f>
        <v>-0.0311250524021486</v>
      </c>
      <c r="H7278" s="7" t="n">
        <f aca="false">(Sens!H7275-Sens!H7274)*(1-tax_f)/((Sens!G7276+Sens!H7276)/2)</f>
        <v>-0.0566774852311087</v>
      </c>
      <c r="I7278" s="7" t="n">
        <f aca="false">(Sens!I7275-Sens!I7274)*(1-tax_f)/((Sens!H7276+Sens!I7276)/2)</f>
        <v>-0.0636831163069575</v>
      </c>
      <c r="J7278" s="7" t="n">
        <f aca="false">(Sens!J7275-Sens!J7274)*(1-tax_f)/((Sens!I7276+Sens!J7276)/2)</f>
        <v>-0.0713533400021361</v>
      </c>
      <c r="K7278" s="7" t="n">
        <f aca="false">(Sens!K7275-Sens!K7274)*(1-tax_f)/((Sens!J7276+Sens!K7276)/2)</f>
        <v>-0.0789097249904216</v>
      </c>
    </row>
    <row r="7279" customFormat="false" ht="17.15" hidden="false" customHeight="false" outlineLevel="0" collapsed="false">
      <c r="A7279" s="1" t="s">
        <v>1016</v>
      </c>
      <c r="B7279" s="0" t="s">
        <v>168</v>
      </c>
      <c r="F7279" s="7" t="n">
        <f aca="false">(Sens!F7275-Sens!F7274+Sens!F7273)*(1-tax_f)/((Sens!E7276+Sens!F7276)/2)</f>
        <v>0.0429069654816909</v>
      </c>
      <c r="G7279" s="7" t="n">
        <f aca="false">(Sens!G7275-Sens!G7274+Sens!G7273)*(1-tax_f)/((Sens!F7276+Sens!G7276)/2)</f>
        <v>0.0403189680453549</v>
      </c>
      <c r="H7279" s="7" t="n">
        <f aca="false">(Sens!H7275-Sens!H7274+Sens!H7273)*(1-tax_f)/((Sens!G7276+Sens!H7276)/2)</f>
        <v>0.0307613080877867</v>
      </c>
      <c r="I7279" s="7" t="n">
        <f aca="false">(Sens!I7275-Sens!I7274+Sens!I7273)*(1-tax_f)/((Sens!H7276+Sens!I7276)/2)</f>
        <v>0.0366512650238846</v>
      </c>
      <c r="J7279" s="7" t="n">
        <f aca="false">(Sens!J7275-Sens!J7274+Sens!J7273)*(1-tax_f)/((Sens!I7276+Sens!J7276)/2)</f>
        <v>0.0417932659044041</v>
      </c>
      <c r="K7279" s="7" t="n">
        <f aca="false">(Sens!K7275-Sens!K7274+Sens!K7273)*(1-tax_f)/((Sens!J7276+Sens!K7276)/2)</f>
        <v>0.0477205040415821</v>
      </c>
    </row>
    <row r="7280" customFormat="false" ht="17.15" hidden="false" customHeight="false" outlineLevel="0" collapsed="false">
      <c r="A7280" s="1" t="s">
        <v>1017</v>
      </c>
      <c r="B7280" s="0" t="s">
        <v>168</v>
      </c>
      <c r="F7280" s="7" t="n">
        <f aca="false">Sens!F7205*(1-tax_f)/(Sens!F7191*(Sens!E7276+Sens!F7276)/2)</f>
        <v>0.098791430090569</v>
      </c>
      <c r="G7280" s="7" t="n">
        <f aca="false">Sens!G7205*(1-tax_f)/(Sens!G7191*(Sens!F7276+Sens!G7276)/2)</f>
        <v>0.0675308856427828</v>
      </c>
      <c r="H7280" s="7" t="n">
        <f aca="false">Sens!H7205*(1-tax_f)/(Sens!H7191*(Sens!G7276+Sens!H7276)/2)</f>
        <v>0.0388374979528754</v>
      </c>
      <c r="I7280" s="7" t="n">
        <f aca="false">Sens!I7205*(1-tax_f)/(Sens!I7191*(Sens!H7276+Sens!I7276)/2)</f>
        <v>0.0411035671771815</v>
      </c>
      <c r="J7280" s="7" t="n">
        <f aca="false">Sens!J7205*(1-tax_f)/(Sens!J7191*(Sens!I7276+Sens!J7276)/2)</f>
        <v>0.0445222722541192</v>
      </c>
      <c r="K7280" s="7" t="n">
        <f aca="false">Sens!K7205*(1-tax_f)/(Sens!K7191*(Sens!J7276+Sens!K7276)/2)</f>
        <v>0.0498866361688162</v>
      </c>
    </row>
    <row r="7281" customFormat="false" ht="17.15" hidden="false" customHeight="false" outlineLevel="0" collapsed="false">
      <c r="A7281" s="0" t="s">
        <v>1018</v>
      </c>
      <c r="B7281" s="0" t="s">
        <v>253</v>
      </c>
      <c r="F7281" s="7" t="n">
        <f aca="false">Sens!F7277-wacc</f>
        <v>-0.0600296254639064</v>
      </c>
      <c r="G7281" s="7" t="n">
        <f aca="false">Sens!G7277-wacc</f>
        <v>-0.0626176229002424</v>
      </c>
      <c r="H7281" s="7" t="n">
        <f aca="false">Sens!H7277-wacc</f>
        <v>-0.0721752828578106</v>
      </c>
      <c r="I7281" s="7" t="n">
        <f aca="false">Sens!I7277-wacc</f>
        <v>-0.0662853259217127</v>
      </c>
      <c r="J7281" s="7" t="n">
        <f aca="false">Sens!J7277-wacc</f>
        <v>-0.0611433250411932</v>
      </c>
      <c r="K7281" s="7" t="n">
        <f aca="false">Sens!K7277-wacc</f>
        <v>-0.0552160869040152</v>
      </c>
    </row>
    <row r="7282" customFormat="false" ht="17.15" hidden="false" customHeight="false" outlineLevel="0" collapsed="false">
      <c r="A7282" s="0" t="s">
        <v>1019</v>
      </c>
      <c r="B7282" s="0" t="s">
        <v>98</v>
      </c>
      <c r="F7282" s="6" t="n">
        <f aca="false">Sens!F7275*(1-tax_f)-wacc*(Sens!E7276+Sens!F7276)/2</f>
        <v>-11.6238565154813</v>
      </c>
      <c r="G7282" s="6" t="n">
        <f aca="false">Sens!G7275*(1-tax_f)-wacc*(Sens!F7276+Sens!G7276)/2</f>
        <v>-20.4244672240733</v>
      </c>
      <c r="H7282" s="6" t="n">
        <f aca="false">Sens!H7275*(1-tax_f)-wacc*(Sens!G7276+Sens!H7276)/2</f>
        <v>-32.163873277425</v>
      </c>
      <c r="I7282" s="6" t="n">
        <f aca="false">Sens!I7275*(1-tax_f)-wacc*(Sens!H7276+Sens!I7276)/2</f>
        <v>-34.9111844978462</v>
      </c>
      <c r="J7282" s="6" t="n">
        <f aca="false">Sens!J7275*(1-tax_f)-wacc*(Sens!I7276+Sens!J7276)/2</f>
        <v>-33.7712608743463</v>
      </c>
      <c r="K7282" s="6" t="n">
        <f aca="false">Sens!K7275*(1-tax_f)-wacc*(Sens!J7276+Sens!K7276)/2</f>
        <v>-29.7483128474176</v>
      </c>
    </row>
    <row r="7283" customFormat="false" ht="17.15" hidden="false" customHeight="false" outlineLevel="0" collapsed="false">
      <c r="A7283" s="3" t="s">
        <v>1793</v>
      </c>
    </row>
    <row r="7284" customFormat="false" ht="15" hidden="false" customHeight="false" outlineLevel="0" collapsed="false">
      <c r="A7284" s="4" t="s">
        <v>43</v>
      </c>
      <c r="B7284" s="4" t="s">
        <v>65</v>
      </c>
      <c r="C7284" s="23" t="s">
        <v>942</v>
      </c>
      <c r="D7284" s="23" t="s">
        <v>943</v>
      </c>
      <c r="E7284" s="23" t="s">
        <v>944</v>
      </c>
      <c r="F7284" s="23" t="s">
        <v>945</v>
      </c>
      <c r="G7284" s="23" t="s">
        <v>946</v>
      </c>
      <c r="H7284" s="23" t="s">
        <v>947</v>
      </c>
      <c r="I7284" s="23" t="s">
        <v>948</v>
      </c>
      <c r="J7284" s="23" t="s">
        <v>949</v>
      </c>
      <c r="K7284" s="23" t="s">
        <v>950</v>
      </c>
      <c r="L7284" s="4" t="s">
        <v>47</v>
      </c>
    </row>
    <row r="7285" customFormat="false" ht="15" hidden="false" customHeight="false" outlineLevel="0" collapsed="false">
      <c r="A7285" s="1" t="s">
        <v>1080</v>
      </c>
      <c r="B7285" s="0" t="s">
        <v>98</v>
      </c>
      <c r="F7285" s="6" t="n">
        <f aca="false">Sens!F7266</f>
        <v>141.268907739105</v>
      </c>
      <c r="G7285" s="6" t="n">
        <f aca="false">Sens!G7266</f>
        <v>142.838498609214</v>
      </c>
      <c r="H7285" s="6" t="n">
        <f aca="false">Sens!H7266</f>
        <v>143.909776082225</v>
      </c>
      <c r="I7285" s="6" t="n">
        <f aca="false">Sens!I7266</f>
        <v>151.5003677812</v>
      </c>
      <c r="J7285" s="6" t="n">
        <f aca="false">Sens!J7266</f>
        <v>160.575312452604</v>
      </c>
      <c r="K7285" s="6" t="n">
        <f aca="false">Sens!K7266</f>
        <v>170.843843271397</v>
      </c>
    </row>
    <row r="7286" customFormat="false" ht="17.15" hidden="false" customHeight="false" outlineLevel="0" collapsed="false">
      <c r="A7286" s="1" t="s">
        <v>1102</v>
      </c>
      <c r="B7286" s="0" t="s">
        <v>98</v>
      </c>
      <c r="E7286" s="6" t="n">
        <f aca="false">Q!M38-Sens!E7204</f>
        <v>22.2285940229167</v>
      </c>
      <c r="F7286" s="6" t="n">
        <f aca="false">Sens!E7286*(1-1/life_nonai)+(Sens!F7294+Sens!F7295)/life_nonai</f>
        <v>23.5826122804153</v>
      </c>
      <c r="G7286" s="6" t="n">
        <f aca="false">Sens!F7286*(1-1/life_nonai)+(Sens!G7294)/life_nonai</f>
        <v>25.3219264559517</v>
      </c>
      <c r="H7286" s="6" t="n">
        <f aca="false">Sens!G7286*(1-1/life_nonai)+(Sens!H7294)/life_nonai</f>
        <v>27.4166553912512</v>
      </c>
      <c r="I7286" s="6" t="n">
        <f aca="false">Sens!H7286*(1-1/life_nonai)+(Sens!I7294)/life_nonai</f>
        <v>29.8150442918483</v>
      </c>
      <c r="J7286" s="6" t="n">
        <f aca="false">Sens!I7286*(1-1/life_nonai)+(Sens!J7294)/life_nonai</f>
        <v>32.4467611353707</v>
      </c>
      <c r="K7286" s="6" t="n">
        <f aca="false">Sens!J7286*(1-1/life_nonai)+(Sens!K7294)/life_nonai</f>
        <v>35.2277174641542</v>
      </c>
      <c r="L7286" s="12" t="s">
        <v>1103</v>
      </c>
    </row>
    <row r="7287" customFormat="false" ht="17.15" hidden="false" customHeight="false" outlineLevel="0" collapsed="false">
      <c r="A7287" s="1" t="s">
        <v>1104</v>
      </c>
      <c r="B7287" s="0" t="s">
        <v>98</v>
      </c>
      <c r="F7287" s="6" t="n">
        <f aca="false">Sens!$F$7295/life_nonai*(1-1/life_nonai)^(Sens!F7167-2027)</f>
        <v>0</v>
      </c>
      <c r="G7287" s="6" t="n">
        <f aca="false">Sens!$F$7295/life_nonai*(1-1/life_nonai)^(Sens!G7167-2027)</f>
        <v>0</v>
      </c>
      <c r="H7287" s="6" t="n">
        <f aca="false">Sens!$F$7295/life_nonai*(1-1/life_nonai)^(Sens!H7167-2027)</f>
        <v>0</v>
      </c>
      <c r="I7287" s="6" t="n">
        <f aca="false">Sens!$F$7295/life_nonai*(1-1/life_nonai)^(Sens!I7167-2027)</f>
        <v>0</v>
      </c>
      <c r="J7287" s="6" t="n">
        <f aca="false">Sens!$F$7295/life_nonai*(1-1/life_nonai)^(Sens!J7167-2027)</f>
        <v>0</v>
      </c>
      <c r="K7287" s="6" t="n">
        <f aca="false">Sens!$F$7295/life_nonai*(1-1/life_nonai)^(Sens!K7167-2027)</f>
        <v>0</v>
      </c>
      <c r="L7287" s="1" t="s">
        <v>1105</v>
      </c>
    </row>
    <row r="7288" customFormat="false" ht="17.15" hidden="false" customHeight="false" outlineLevel="0" collapsed="false">
      <c r="A7288" s="1" t="s">
        <v>1106</v>
      </c>
      <c r="B7288" s="0" t="s">
        <v>98</v>
      </c>
      <c r="E7288" s="6" t="n">
        <f aca="false">Sens!E7204+Sens!E7286</f>
        <v>38.534</v>
      </c>
      <c r="F7288" s="6" t="n">
        <f aca="false">Sens!F7204+Sens!F7286</f>
        <v>58.161926758767</v>
      </c>
      <c r="G7288" s="6" t="n">
        <f aca="false">Sens!G7204+Sens!G7286</f>
        <v>86.0564171082506</v>
      </c>
      <c r="H7288" s="6" t="n">
        <f aca="false">Sens!H7204+Sens!H7286</f>
        <v>116.516746052697</v>
      </c>
      <c r="I7288" s="6" t="n">
        <f aca="false">Sens!I7204+Sens!I7286</f>
        <v>144.046053986397</v>
      </c>
      <c r="J7288" s="6" t="n">
        <f aca="false">Sens!J7204+Sens!J7286</f>
        <v>164.462434184967</v>
      </c>
      <c r="K7288" s="6" t="n">
        <f aca="false">Sens!K7204+Sens!K7286</f>
        <v>178.240387015088</v>
      </c>
    </row>
    <row r="7289" customFormat="false" ht="17.15" hidden="false" customHeight="false" outlineLevel="0" collapsed="false">
      <c r="A7289" s="1" t="s">
        <v>1107</v>
      </c>
      <c r="B7289" s="0" t="s">
        <v>98</v>
      </c>
      <c r="F7289" s="6" t="n">
        <f aca="false">Sens!F7231*sbc_r</f>
        <v>14.7240650779316</v>
      </c>
      <c r="G7289" s="6" t="n">
        <f aca="false">Sens!G7231*sbc_r</f>
        <v>17.0793465601907</v>
      </c>
      <c r="H7289" s="6" t="n">
        <f aca="false">Sens!H7231*sbc_r</f>
        <v>19.2791656544172</v>
      </c>
      <c r="I7289" s="6" t="n">
        <f aca="false">Sens!I7231*sbc_r</f>
        <v>21.592157530227</v>
      </c>
      <c r="J7289" s="6" t="n">
        <f aca="false">Sens!J7231*sbc_r</f>
        <v>23.5418918460973</v>
      </c>
      <c r="K7289" s="6" t="n">
        <f aca="false">Sens!K7231*sbc_r</f>
        <v>25.1279988534011</v>
      </c>
    </row>
    <row r="7290" customFormat="false" ht="17.15" hidden="false" customHeight="false" outlineLevel="0" collapsed="false">
      <c r="A7290" s="1" t="s">
        <v>1108</v>
      </c>
      <c r="B7290" s="0" t="s">
        <v>98</v>
      </c>
      <c r="F7290" s="6" t="n">
        <f aca="false">wc27-wc26q1</f>
        <v>-4.677</v>
      </c>
      <c r="G7290" s="6" t="n">
        <f aca="false">wc_f</f>
        <v>0</v>
      </c>
      <c r="H7290" s="6" t="n">
        <f aca="false">wc_f</f>
        <v>0</v>
      </c>
      <c r="I7290" s="6" t="n">
        <f aca="false">wc_f</f>
        <v>0</v>
      </c>
      <c r="J7290" s="6" t="n">
        <f aca="false">wc_f</f>
        <v>0</v>
      </c>
      <c r="K7290" s="6" t="n">
        <f aca="false">wc_f</f>
        <v>0</v>
      </c>
      <c r="L7290" s="12" t="s">
        <v>1109</v>
      </c>
    </row>
    <row r="7291" customFormat="false" ht="17.15" hidden="false" customHeight="false" outlineLevel="0" collapsed="false">
      <c r="A7291" s="0" t="s">
        <v>1110</v>
      </c>
      <c r="B7291" s="0" t="s">
        <v>98</v>
      </c>
      <c r="F7291" s="6" t="n">
        <f aca="false">Q!$I$35-Q!$I$26-Q!$I$38-Q!$I$39</f>
        <v>6.493</v>
      </c>
      <c r="L7291" s="1" t="s">
        <v>1111</v>
      </c>
    </row>
    <row r="7292" customFormat="false" ht="15" hidden="false" customHeight="false" outlineLevel="0" collapsed="false">
      <c r="A7292" s="1" t="s">
        <v>908</v>
      </c>
      <c r="B7292" s="0" t="s">
        <v>98</v>
      </c>
      <c r="E7292" s="6" t="n">
        <f aca="false">Q!M35</f>
        <v>182.935</v>
      </c>
      <c r="F7292" s="6" t="n">
        <f aca="false">Sens!F7285+Sens!F7288+Sens!F7289+Sens!F7290+Sens!F7291</f>
        <v>215.970899575804</v>
      </c>
      <c r="G7292" s="6" t="n">
        <f aca="false">Sens!G7285+Sens!G7288+Sens!G7289+Sens!G7290</f>
        <v>245.974262277655</v>
      </c>
      <c r="H7292" s="6" t="n">
        <f aca="false">Sens!H7285+Sens!H7288+Sens!H7289+Sens!H7290</f>
        <v>279.70568778934</v>
      </c>
      <c r="I7292" s="6" t="n">
        <f aca="false">Sens!I7285+Sens!I7288+Sens!I7289+Sens!I7290</f>
        <v>317.138579297823</v>
      </c>
      <c r="J7292" s="6" t="n">
        <f aca="false">Sens!J7285+Sens!J7288+Sens!J7289+Sens!J7290</f>
        <v>348.579638483668</v>
      </c>
      <c r="K7292" s="6" t="n">
        <f aca="false">Sens!K7285+Sens!K7288+Sens!K7289+Sens!K7290</f>
        <v>374.212229139887</v>
      </c>
    </row>
    <row r="7293" customFormat="false" ht="17.15" hidden="false" customHeight="false" outlineLevel="0" collapsed="false">
      <c r="A7293" s="0" t="s">
        <v>1112</v>
      </c>
      <c r="B7293" s="0" t="s">
        <v>98</v>
      </c>
      <c r="F7293" s="6" t="n">
        <f aca="false">Sens!F7201</f>
        <v>168.45390404212</v>
      </c>
      <c r="G7293" s="6" t="n">
        <f aca="false">Sens!G7201</f>
        <v>191.944475649048</v>
      </c>
      <c r="H7293" s="6" t="n">
        <f aca="false">Sens!H7201</f>
        <v>196.806004064512</v>
      </c>
      <c r="I7293" s="6" t="n">
        <f aca="false">Sens!I7201</f>
        <v>168.61483362161</v>
      </c>
      <c r="J7293" s="6" t="n">
        <f aca="false">Sens!J7201</f>
        <v>128.92993119594</v>
      </c>
      <c r="K7293" s="6" t="n">
        <f aca="false">Sens!K7201</f>
        <v>118.962853064733</v>
      </c>
    </row>
    <row r="7294" customFormat="false" ht="17.15" hidden="false" customHeight="false" outlineLevel="0" collapsed="false">
      <c r="A7294" s="1" t="s">
        <v>1113</v>
      </c>
      <c r="B7294" s="0" t="s">
        <v>98</v>
      </c>
      <c r="E7294" s="6" t="n">
        <f aca="false">Sens!E7209*cx_azo+Sens!E7216*cx_m365+Sens!E7217*cx_lic+(Sens!E7219+Sens!E7221)*cx_ind+Sens!E7224*cx_srch+(Sens!E7226+Sens!E7228)*cx_dev</f>
        <v>30.1846587067718</v>
      </c>
      <c r="F7294" s="6" t="n">
        <f aca="false">Sens!F7209*cx_azo+Sens!F7216*cx_m365+Sens!F7217*cx_lic+(Sens!F7219+Sens!F7221)*cx_ind+Sens!F7224*cx_srch+(Sens!F7226+Sens!F7228)*cx_dev</f>
        <v>35.7687765979035</v>
      </c>
      <c r="G7294" s="6" t="n">
        <f aca="false">Sens!G7209*cx_azo+Sens!G7216*cx_m365+Sens!G7217*cx_lic+(Sens!G7219+Sens!G7221)*cx_ind+Sens!G7224*cx_srch+(Sens!G7226+Sens!G7228)*cx_dev</f>
        <v>40.9757540357788</v>
      </c>
      <c r="H7294" s="6" t="n">
        <f aca="false">Sens!H7209*cx_azo+Sens!H7216*cx_m365+Sens!H7217*cx_lic+(Sens!H7219+Sens!H7221)*cx_ind+Sens!H7224*cx_srch+(Sens!H7226+Sens!H7228)*cx_dev</f>
        <v>46.2692158089471</v>
      </c>
      <c r="I7294" s="6" t="n">
        <f aca="false">Sens!I7209*cx_azo+Sens!I7216*cx_m365+Sens!I7217*cx_lic+(Sens!I7219+Sens!I7221)*cx_ind+Sens!I7224*cx_srch+(Sens!I7226+Sens!I7228)*cx_dev</f>
        <v>51.4005443972216</v>
      </c>
      <c r="J7294" s="6" t="n">
        <f aca="false">Sens!J7209*cx_azo+Sens!J7216*cx_m365+Sens!J7217*cx_lic+(Sens!J7219+Sens!J7221)*cx_ind+Sens!J7224*cx_srch+(Sens!J7226+Sens!J7228)*cx_dev</f>
        <v>56.1322127270726</v>
      </c>
      <c r="K7294" s="6" t="n">
        <f aca="false">Sens!K7209*cx_azo+Sens!K7216*cx_m365+Sens!K7217*cx_lic+(Sens!K7219+Sens!K7221)*cx_ind+Sens!K7224*cx_srch+(Sens!K7226+Sens!K7228)*cx_dev</f>
        <v>60.2563244232056</v>
      </c>
    </row>
    <row r="7295" customFormat="false" ht="17.15" hidden="false" customHeight="false" outlineLevel="0" collapsed="false">
      <c r="A7295" s="0" t="s">
        <v>1114</v>
      </c>
      <c r="B7295" s="0" t="s">
        <v>98</v>
      </c>
      <c r="F7295" s="6" t="n">
        <f aca="false">Sens!F7199</f>
        <v>0</v>
      </c>
      <c r="L7295" s="1" t="s">
        <v>1115</v>
      </c>
    </row>
    <row r="7296" customFormat="false" ht="17.15" hidden="false" customHeight="false" outlineLevel="0" collapsed="false">
      <c r="A7296" s="1" t="s">
        <v>1116</v>
      </c>
      <c r="B7296" s="0" t="s">
        <v>98</v>
      </c>
      <c r="E7296" s="6" t="n">
        <f aca="false">Q!M43</f>
        <v>145.3</v>
      </c>
      <c r="F7296" s="6" t="n">
        <f aca="false">Sens!F7293+Sens!F7294+Sens!F7295</f>
        <v>204.222680640023</v>
      </c>
      <c r="G7296" s="6" t="n">
        <f aca="false">Sens!G7293+Sens!G7294</f>
        <v>232.920229684827</v>
      </c>
      <c r="H7296" s="6" t="n">
        <f aca="false">Sens!H7293+Sens!H7294</f>
        <v>243.075219873459</v>
      </c>
      <c r="I7296" s="6" t="n">
        <f aca="false">Sens!I7293+Sens!I7294</f>
        <v>220.015378018832</v>
      </c>
      <c r="J7296" s="6" t="n">
        <f aca="false">Sens!J7293+Sens!J7294</f>
        <v>185.062143923013</v>
      </c>
      <c r="K7296" s="6" t="n">
        <f aca="false">Sens!K7293+Sens!K7294</f>
        <v>179.219177487938</v>
      </c>
      <c r="L7296" s="1" t="s">
        <v>1117</v>
      </c>
    </row>
    <row r="7297" customFormat="false" ht="15" hidden="false" customHeight="false" outlineLevel="0" collapsed="false">
      <c r="A7297" s="1" t="s">
        <v>1118</v>
      </c>
      <c r="B7297" s="0" t="s">
        <v>98</v>
      </c>
      <c r="E7297" s="6" t="n">
        <f aca="false">fl_liab</f>
        <v>66.594</v>
      </c>
      <c r="F7297" s="6" t="n">
        <f aca="false">Sens!E7297-Sens!F7298</f>
        <v>62.46973</v>
      </c>
      <c r="G7297" s="6" t="n">
        <f aca="false">Sens!F7297-Sens!G7298</f>
        <v>57.98686785</v>
      </c>
      <c r="H7297" s="6" t="n">
        <f aca="false">Sens!G7297-Sens!H7298</f>
        <v>53.92827690325</v>
      </c>
      <c r="I7297" s="6" t="n">
        <f aca="false">Sens!H7297-Sens!I7298</f>
        <v>49.7850493638962</v>
      </c>
      <c r="J7297" s="6" t="n">
        <f aca="false">Sens!I7297-Sens!J7298</f>
        <v>45.4823765852716</v>
      </c>
      <c r="K7297" s="6" t="n">
        <f aca="false">Sens!J7297-Sens!K7298</f>
        <v>40.9860835316088</v>
      </c>
    </row>
    <row r="7298" customFormat="false" ht="15" hidden="false" customHeight="false" outlineLevel="0" collapsed="false">
      <c r="A7298" s="1" t="s">
        <v>1119</v>
      </c>
      <c r="B7298" s="0" t="s">
        <v>98</v>
      </c>
      <c r="F7298" s="6" t="n">
        <f aca="false">fl_pay_27-Sens!E7297*fl_rate</f>
        <v>4.12427</v>
      </c>
      <c r="G7298" s="6" t="n">
        <f aca="false">fl_pay_28-Sens!F7297*fl_rate</f>
        <v>4.48286215</v>
      </c>
      <c r="H7298" s="6" t="n">
        <f aca="false">fl_pay_29-Sens!G7297*fl_rate</f>
        <v>4.05859094675</v>
      </c>
      <c r="I7298" s="6" t="n">
        <f aca="false">fl_pay_30-Sens!H7297*fl_rate</f>
        <v>4.14322753935375</v>
      </c>
      <c r="J7298" s="6" t="n">
        <f aca="false">fl_pay_31-Sens!I7297*fl_rate</f>
        <v>4.30267277862467</v>
      </c>
      <c r="K7298" s="6" t="n">
        <f aca="false">fl_pay_32-Sens!J7297*fl_rate</f>
        <v>4.49629305366278</v>
      </c>
    </row>
    <row r="7299" customFormat="false" ht="17.15" hidden="false" customHeight="false" outlineLevel="0" collapsed="false">
      <c r="A7299" s="1" t="s">
        <v>1120</v>
      </c>
      <c r="B7299" s="0" t="s">
        <v>98</v>
      </c>
      <c r="E7299" s="6" t="n">
        <f aca="false">Q!M35-Q!M36-Q!M44</f>
        <v>63.886</v>
      </c>
      <c r="F7299" s="6" t="n">
        <f aca="false">Sens!F7292-Sens!F7296-Sens!F7298</f>
        <v>7.62394893578095</v>
      </c>
      <c r="G7299" s="6" t="n">
        <f aca="false">Sens!G7292-Sens!G7296-Sens!G7298</f>
        <v>8.5711704428281</v>
      </c>
      <c r="H7299" s="6" t="n">
        <f aca="false">Sens!H7292-Sens!H7296-Sens!H7298</f>
        <v>32.5718769691302</v>
      </c>
      <c r="I7299" s="6" t="n">
        <f aca="false">Sens!I7292-Sens!I7296-Sens!I7298</f>
        <v>92.9799737396378</v>
      </c>
      <c r="J7299" s="6" t="n">
        <f aca="false">Sens!J7292-Sens!J7296-Sens!J7298</f>
        <v>159.21482178203</v>
      </c>
      <c r="K7299" s="6" t="n">
        <f aca="false">Sens!K7292-Sens!K7296-Sens!K7298</f>
        <v>190.496758598286</v>
      </c>
      <c r="L7299" s="12" t="s">
        <v>1121</v>
      </c>
    </row>
    <row r="7300" customFormat="false" ht="15" hidden="false" customHeight="false" outlineLevel="0" collapsed="false">
      <c r="A7300" s="1" t="s">
        <v>1122</v>
      </c>
      <c r="B7300" s="0" t="s">
        <v>75</v>
      </c>
      <c r="F7300" s="8" t="n">
        <f aca="false">dps_27</f>
        <v>3.85</v>
      </c>
      <c r="G7300" s="8" t="n">
        <f aca="false">Sens!F7300*(1+dps_g)</f>
        <v>4.158</v>
      </c>
      <c r="H7300" s="8" t="n">
        <f aca="false">Sens!G7300*(1+dps_g)</f>
        <v>4.49064</v>
      </c>
      <c r="I7300" s="8" t="n">
        <f aca="false">Sens!H7300*(1+dps_g)</f>
        <v>4.8498912</v>
      </c>
      <c r="J7300" s="8" t="n">
        <f aca="false">Sens!I7300*(1+dps_g)</f>
        <v>5.237882496</v>
      </c>
      <c r="K7300" s="8" t="n">
        <f aca="false">Sens!J7300*(1+dps_g)</f>
        <v>5.65691309568</v>
      </c>
    </row>
    <row r="7301" customFormat="false" ht="17.15" hidden="false" customHeight="false" outlineLevel="0" collapsed="false">
      <c r="A7301" s="1" t="s">
        <v>1123</v>
      </c>
      <c r="B7301" s="0" t="s">
        <v>98</v>
      </c>
      <c r="E7301" s="6" t="n">
        <f aca="false">Q!M41</f>
        <v>26.445</v>
      </c>
      <c r="F7301" s="6" t="n">
        <f aca="false">Sens!F7300*Sens!E7310</f>
        <v>28.59395</v>
      </c>
      <c r="G7301" s="6" t="n">
        <f aca="false">Sens!G7300*Sens!F7310</f>
        <v>31.068576</v>
      </c>
      <c r="H7301" s="6" t="n">
        <f aca="false">Sens!H7300*Sens!G7310</f>
        <v>33.75614088</v>
      </c>
      <c r="I7301" s="6" t="n">
        <f aca="false">Sens!I7300*Sens!H7310</f>
        <v>36.6748772544</v>
      </c>
      <c r="J7301" s="6" t="n">
        <f aca="false">Sens!J7300*Sens!I7310</f>
        <v>39.6767653201446</v>
      </c>
      <c r="K7301" s="6" t="n">
        <f aca="false">Sens!K7300*Sens!J7310</f>
        <v>42.9376608081345</v>
      </c>
      <c r="L7301" s="1" t="s">
        <v>1124</v>
      </c>
    </row>
    <row r="7302" customFormat="false" ht="15" hidden="false" customHeight="false" outlineLevel="0" collapsed="false">
      <c r="A7302" s="1" t="s">
        <v>1125</v>
      </c>
      <c r="B7302" s="0" t="s">
        <v>98</v>
      </c>
      <c r="E7302" s="6" t="n">
        <f aca="false">Sens!E7299-Sens!E7301</f>
        <v>37.441</v>
      </c>
      <c r="F7302" s="6" t="n">
        <f aca="false">Sens!F7299-Sens!F7301</f>
        <v>-20.970001064219</v>
      </c>
      <c r="G7302" s="6" t="n">
        <f aca="false">Sens!G7299-Sens!G7301</f>
        <v>-22.4974055571719</v>
      </c>
      <c r="H7302" s="6" t="n">
        <f aca="false">Sens!H7299-Sens!H7301</f>
        <v>-1.18426391086982</v>
      </c>
      <c r="I7302" s="6" t="n">
        <f aca="false">Sens!I7299-Sens!I7301</f>
        <v>56.3050964852378</v>
      </c>
      <c r="J7302" s="6" t="n">
        <f aca="false">Sens!J7299-Sens!J7301</f>
        <v>119.538056461885</v>
      </c>
      <c r="K7302" s="6" t="n">
        <f aca="false">Sens!K7299-Sens!K7301</f>
        <v>147.559097790151</v>
      </c>
    </row>
    <row r="7303" customFormat="false" ht="15" hidden="false" customHeight="false" outlineLevel="0" collapsed="false">
      <c r="A7303" s="1" t="s">
        <v>1126</v>
      </c>
      <c r="B7303" s="0" t="s">
        <v>98</v>
      </c>
      <c r="F7303" s="6" t="n">
        <f aca="false">debt_mat_27</f>
        <v>9.25</v>
      </c>
      <c r="G7303" s="6" t="n">
        <f aca="false">debt_mat_28</f>
        <v>0</v>
      </c>
      <c r="H7303" s="6" t="n">
        <f aca="false">debt_mat_29</f>
        <v>2.001</v>
      </c>
      <c r="I7303" s="6" t="n">
        <f aca="false">debt_mat_30</f>
        <v>0</v>
      </c>
      <c r="J7303" s="6" t="n">
        <f aca="false">debt_mat_31</f>
        <v>0.5</v>
      </c>
      <c r="K7303" s="6" t="n">
        <f aca="false">debt_mat_32</f>
        <v>0</v>
      </c>
    </row>
    <row r="7304" customFormat="false" ht="15" hidden="false" customHeight="false" outlineLevel="0" collapsed="false">
      <c r="A7304" s="1" t="s">
        <v>1127</v>
      </c>
      <c r="B7304" s="0" t="s">
        <v>98</v>
      </c>
      <c r="E7304" s="6" t="n">
        <f aca="false">Q!M40</f>
        <v>22.271</v>
      </c>
      <c r="F7304" s="6" t="n">
        <f aca="false">MAX(0,MIN(bb_target,Sens!E7306+Sens!F7302-Sens!F7303-min_cash))</f>
        <v>0</v>
      </c>
      <c r="G7304" s="6" t="n">
        <f aca="false">MAX(0,MIN(bb_target,Sens!F7306+Sens!G7302-Sens!G7303-min_cash))</f>
        <v>0</v>
      </c>
      <c r="H7304" s="6" t="n">
        <f aca="false">MAX(0,MIN(bb_target,Sens!G7306+Sens!H7302-Sens!H7303-min_cash))</f>
        <v>0</v>
      </c>
      <c r="I7304" s="6" t="n">
        <f aca="false">MAX(0,MIN(bb_target,Sens!H7306+Sens!I7302-Sens!I7303-min_cash))</f>
        <v>22.271</v>
      </c>
      <c r="J7304" s="6" t="n">
        <f aca="false">MAX(0,MIN(bb_target,Sens!I7306+Sens!J7302-Sens!J7303-min_cash))</f>
        <v>22.271</v>
      </c>
      <c r="K7304" s="6" t="n">
        <f aca="false">MAX(0,MIN(bb_target,Sens!J7306+Sens!K7302-Sens!K7303-min_cash))</f>
        <v>22.271</v>
      </c>
    </row>
    <row r="7305" customFormat="false" ht="15" hidden="false" customHeight="false" outlineLevel="0" collapsed="false">
      <c r="A7305" s="1" t="s">
        <v>1128</v>
      </c>
      <c r="B7305" s="0" t="s">
        <v>98</v>
      </c>
      <c r="F7305" s="6" t="n">
        <f aca="false">MAX(0,min_cash-(Sens!E7306+Sens!F7302-Sens!F7303-Sens!F7304))</f>
        <v>3.37700106421904</v>
      </c>
      <c r="G7305" s="6" t="n">
        <f aca="false">MAX(0,min_cash-(Sens!F7306+Sens!G7302-Sens!G7303-Sens!G7304))</f>
        <v>22.4974055571719</v>
      </c>
      <c r="H7305" s="6" t="n">
        <f aca="false">MAX(0,min_cash-(Sens!G7306+Sens!H7302-Sens!H7303-Sens!H7304))</f>
        <v>3.18526391086981</v>
      </c>
      <c r="I7305" s="6" t="n">
        <f aca="false">MAX(0,min_cash-(Sens!H7306+Sens!I7302-Sens!I7303-Sens!I7304))</f>
        <v>0</v>
      </c>
      <c r="J7305" s="6" t="n">
        <f aca="false">MAX(0,min_cash-(Sens!I7306+Sens!J7302-Sens!J7303-Sens!J7304))</f>
        <v>0</v>
      </c>
      <c r="K7305" s="6" t="n">
        <f aca="false">MAX(0,min_cash-(Sens!J7306+Sens!K7302-Sens!K7303-Sens!K7304))</f>
        <v>0</v>
      </c>
    </row>
    <row r="7306" customFormat="false" ht="15" hidden="false" customHeight="false" outlineLevel="0" collapsed="false">
      <c r="A7306" s="1" t="s">
        <v>1129</v>
      </c>
      <c r="B7306" s="0" t="s">
        <v>98</v>
      </c>
      <c r="E7306" s="6" t="n">
        <f aca="false">cash_open</f>
        <v>76.843</v>
      </c>
      <c r="F7306" s="6" t="n">
        <f aca="false">Sens!E7306+Sens!F7302-Sens!F7303-Sens!F7304+Sens!F7305</f>
        <v>50</v>
      </c>
      <c r="G7306" s="6" t="n">
        <f aca="false">Sens!F7306+Sens!G7302-Sens!G7303-Sens!G7304+Sens!G7305</f>
        <v>50</v>
      </c>
      <c r="H7306" s="6" t="n">
        <f aca="false">Sens!G7306+Sens!H7302-Sens!H7303-Sens!H7304+Sens!H7305</f>
        <v>50</v>
      </c>
      <c r="I7306" s="6" t="n">
        <f aca="false">Sens!H7306+Sens!I7302-Sens!I7303-Sens!I7304+Sens!I7305</f>
        <v>84.0340964852378</v>
      </c>
      <c r="J7306" s="6" t="n">
        <f aca="false">Sens!I7306+Sens!J7302-Sens!J7303-Sens!J7304+Sens!J7305</f>
        <v>180.801152947123</v>
      </c>
      <c r="K7306" s="6" t="n">
        <f aca="false">Sens!J7306+Sens!K7302-Sens!K7303-Sens!K7304+Sens!K7305</f>
        <v>306.089250737275</v>
      </c>
    </row>
    <row r="7307" customFormat="false" ht="15" hidden="false" customHeight="false" outlineLevel="0" collapsed="false">
      <c r="A7307" s="1" t="s">
        <v>1130</v>
      </c>
      <c r="B7307" s="0" t="s">
        <v>98</v>
      </c>
      <c r="E7307" s="6" t="n">
        <f aca="false">debt_face</f>
        <v>46.136</v>
      </c>
      <c r="F7307" s="6" t="n">
        <f aca="false">Sens!E7307-Sens!F7303+Sens!F7305</f>
        <v>40.2630010642191</v>
      </c>
      <c r="G7307" s="6" t="n">
        <f aca="false">Sens!F7307-Sens!G7303+Sens!G7305</f>
        <v>62.760406621391</v>
      </c>
      <c r="H7307" s="6" t="n">
        <f aca="false">Sens!G7307-Sens!H7303+Sens!H7305</f>
        <v>63.9446705322608</v>
      </c>
      <c r="I7307" s="6" t="n">
        <f aca="false">Sens!H7307-Sens!I7303+Sens!I7305</f>
        <v>63.9446705322608</v>
      </c>
      <c r="J7307" s="6" t="n">
        <f aca="false">Sens!I7307-Sens!J7303+Sens!J7305</f>
        <v>63.4446705322608</v>
      </c>
      <c r="K7307" s="6" t="n">
        <f aca="false">Sens!J7307-Sens!K7303+Sens!K7305</f>
        <v>63.4446705322608</v>
      </c>
    </row>
    <row r="7308" customFormat="false" ht="15" hidden="false" customHeight="false" outlineLevel="0" collapsed="false">
      <c r="A7308" s="1" t="s">
        <v>1131</v>
      </c>
      <c r="B7308" s="0" t="s">
        <v>98</v>
      </c>
      <c r="E7308" s="6" t="n">
        <f aca="false">Sens!E7306-Sens!E7307</f>
        <v>30.707</v>
      </c>
      <c r="F7308" s="6" t="n">
        <f aca="false">Sens!F7306-Sens!F7307</f>
        <v>9.73699893578095</v>
      </c>
      <c r="G7308" s="6" t="n">
        <f aca="false">Sens!G7306-Sens!G7307</f>
        <v>-12.760406621391</v>
      </c>
      <c r="H7308" s="6" t="n">
        <f aca="false">Sens!H7306-Sens!H7307</f>
        <v>-13.9446705322608</v>
      </c>
      <c r="I7308" s="6" t="n">
        <f aca="false">Sens!I7306-Sens!I7307</f>
        <v>20.089425952977</v>
      </c>
      <c r="J7308" s="6" t="n">
        <f aca="false">Sens!J7306-Sens!J7307</f>
        <v>117.356482414862</v>
      </c>
      <c r="K7308" s="6" t="n">
        <f aca="false">Sens!K7306-Sens!K7307</f>
        <v>242.644580205014</v>
      </c>
    </row>
    <row r="7309" customFormat="false" ht="15" hidden="false" customHeight="false" outlineLevel="0" collapsed="false">
      <c r="A7309" s="1" t="s">
        <v>1132</v>
      </c>
      <c r="B7309" s="0" t="s">
        <v>75</v>
      </c>
      <c r="F7309" s="30" t="n">
        <f aca="false">px*(1+bb_g)^(Sens!F7167-base_fy-mid_yr)</f>
        <v>551.84177959629</v>
      </c>
      <c r="G7309" s="30" t="n">
        <f aca="false">px*(1+bb_g)^(Sens!G7167-base_fy-mid_yr)</f>
        <v>595.989121963993</v>
      </c>
      <c r="H7309" s="30" t="n">
        <f aca="false">px*(1+bb_g)^(Sens!H7167-base_fy-mid_yr)</f>
        <v>643.668251721112</v>
      </c>
      <c r="I7309" s="30" t="n">
        <f aca="false">px*(1+bb_g)^(Sens!I7167-base_fy-mid_yr)</f>
        <v>695.161711858801</v>
      </c>
      <c r="J7309" s="30" t="n">
        <f aca="false">px*(1+bb_g)^(Sens!J7167-base_fy-mid_yr)</f>
        <v>750.774648807506</v>
      </c>
      <c r="K7309" s="30" t="n">
        <f aca="false">px*(1+bb_g)^(Sens!K7167-base_fy-mid_yr)</f>
        <v>810.836620712106</v>
      </c>
    </row>
    <row r="7310" customFormat="false" ht="15" hidden="false" customHeight="false" outlineLevel="0" collapsed="false">
      <c r="A7310" s="1" t="s">
        <v>1133</v>
      </c>
      <c r="B7310" s="1" t="s">
        <v>81</v>
      </c>
      <c r="E7310" s="15" t="n">
        <f aca="false">sh_out26</f>
        <v>7.427</v>
      </c>
      <c r="F7310" s="15" t="n">
        <f aca="false">Sens!E7310+sh_iss-Sens!F7304/Sens!F7309</f>
        <v>7.472</v>
      </c>
      <c r="G7310" s="15" t="n">
        <f aca="false">Sens!F7310+sh_iss-Sens!G7304/Sens!G7309</f>
        <v>7.517</v>
      </c>
      <c r="H7310" s="15" t="n">
        <f aca="false">Sens!G7310+sh_iss-Sens!H7304/Sens!H7309</f>
        <v>7.562</v>
      </c>
      <c r="I7310" s="15" t="n">
        <f aca="false">Sens!H7310+sh_iss-Sens!I7304/Sens!I7309</f>
        <v>7.57496285005334</v>
      </c>
      <c r="J7310" s="15" t="n">
        <f aca="false">Sens!I7310+sh_iss-Sens!J7304/Sens!J7309</f>
        <v>7.59029882232494</v>
      </c>
      <c r="K7310" s="15" t="n">
        <f aca="false">Sens!J7310+sh_iss-Sens!K7304/Sens!K7309</f>
        <v>7.60783212998384</v>
      </c>
    </row>
    <row r="7311" customFormat="false" ht="15" hidden="false" customHeight="false" outlineLevel="0" collapsed="false">
      <c r="A7311" s="1" t="s">
        <v>1134</v>
      </c>
      <c r="B7311" s="1" t="s">
        <v>81</v>
      </c>
      <c r="E7311" s="15" t="n">
        <f aca="false">sh_dil26</f>
        <v>7.453</v>
      </c>
      <c r="F7311" s="15" t="n">
        <f aca="false">(Sens!E7310+Sens!F7310)/2+dil_gap</f>
        <v>7.4735</v>
      </c>
      <c r="G7311" s="15" t="n">
        <f aca="false">(Sens!F7310+Sens!G7310)/2+dil_gap</f>
        <v>7.5185</v>
      </c>
      <c r="H7311" s="15" t="n">
        <f aca="false">(Sens!G7310+Sens!H7310)/2+dil_gap</f>
        <v>7.5635</v>
      </c>
      <c r="I7311" s="15" t="n">
        <f aca="false">(Sens!H7310+Sens!I7310)/2+dil_gap</f>
        <v>7.59248142502667</v>
      </c>
      <c r="J7311" s="15" t="n">
        <f aca="false">(Sens!I7310+Sens!J7310)/2+dil_gap</f>
        <v>7.60663083618914</v>
      </c>
      <c r="K7311" s="15" t="n">
        <f aca="false">(Sens!J7310+Sens!K7310)/2+dil_gap</f>
        <v>7.62306547615439</v>
      </c>
    </row>
    <row r="7312" customFormat="false" ht="17.15" hidden="false" customHeight="false" outlineLevel="0" collapsed="false">
      <c r="A7312" s="1" t="s">
        <v>1135</v>
      </c>
      <c r="B7312" s="0" t="s">
        <v>98</v>
      </c>
      <c r="C7312" s="6" t="n">
        <f aca="false">SUM(Sens!F7302:J7302)</f>
        <v>131.191482414862</v>
      </c>
    </row>
    <row r="7313" customFormat="false" ht="15" hidden="false" customHeight="false" outlineLevel="0" collapsed="false">
      <c r="A7313" s="26" t="s">
        <v>1100</v>
      </c>
      <c r="B7313" s="31" t="s">
        <v>98</v>
      </c>
      <c r="C7313" s="27" t="n">
        <f aca="false">Sens!$C$7312-(Sens!F7302+Sens!G7302+Sens!H7302+Sens!I7302+Sens!J7302)</f>
        <v>0</v>
      </c>
      <c r="D7313" s="31"/>
      <c r="E7313" s="31"/>
      <c r="F7313" s="31"/>
      <c r="G7313" s="31"/>
      <c r="H7313" s="31"/>
      <c r="I7313" s="31"/>
      <c r="J7313" s="31"/>
      <c r="K7313" s="31"/>
    </row>
    <row r="7314" customFormat="false" ht="17.15" hidden="false" customHeight="false" outlineLevel="0" collapsed="false">
      <c r="A7314" s="1" t="s">
        <v>1094</v>
      </c>
      <c r="B7314" s="1" t="s">
        <v>1136</v>
      </c>
      <c r="C7314" s="33" t="str">
        <f aca="false">IF(SUM(Sens!F7305:J7305)&gt;0.05,"需要舉債 "&amp;TEXT(SUM(Sens!F7305:J7305),"0.0")&amp;" 十億美元","不需舉債")&amp;"；"&amp;IF(SUM(Sens!F7304:J7304)&lt;COUNT(Sens!F7304:J7304)*bb_target-0.05,"回購較每年 "&amp;TEXT(bb_target,"0.0")&amp;" 的目標少 "&amp;TEXT(COUNT(Sens!F7304:J7304)*bb_target-SUM(Sens!F7304:J7304),"0.0")&amp;" 十億美元（"&amp;TEXT(COUNTIF(Sens!F7304:J7304,"&lt;"&amp;(bb_target-0.05)),"0")&amp;" 年減少）","回購不減")</f>
        <v>需要舉債 29.1 十億美元；回購較每年 22.3 的目標少 66.8 十億美元（3 年減少）</v>
      </c>
    </row>
    <row r="7315" customFormat="false" ht="17.15" hidden="false" customHeight="false" outlineLevel="0" collapsed="false">
      <c r="A7315" s="3" t="s">
        <v>1794</v>
      </c>
    </row>
    <row r="7316" customFormat="false" ht="15" hidden="false" customHeight="false" outlineLevel="0" collapsed="false">
      <c r="A7316" s="4" t="s">
        <v>43</v>
      </c>
      <c r="B7316" s="4" t="s">
        <v>65</v>
      </c>
      <c r="C7316" s="23" t="s">
        <v>942</v>
      </c>
      <c r="D7316" s="23" t="s">
        <v>943</v>
      </c>
      <c r="E7316" s="23" t="s">
        <v>944</v>
      </c>
      <c r="F7316" s="23" t="s">
        <v>945</v>
      </c>
      <c r="G7316" s="23" t="s">
        <v>946</v>
      </c>
      <c r="H7316" s="23" t="s">
        <v>947</v>
      </c>
      <c r="I7316" s="23" t="s">
        <v>948</v>
      </c>
      <c r="J7316" s="23" t="s">
        <v>949</v>
      </c>
      <c r="K7316" s="23" t="s">
        <v>950</v>
      </c>
      <c r="L7316" s="4" t="s">
        <v>47</v>
      </c>
    </row>
    <row r="7317" customFormat="false" ht="17.15" hidden="false" customHeight="false" outlineLevel="0" collapsed="false">
      <c r="A7317" s="1" t="s">
        <v>1216</v>
      </c>
      <c r="B7317" s="1" t="s">
        <v>279</v>
      </c>
      <c r="F7317" s="8" t="n">
        <f aca="false">(1-v_off)*mid_yr</f>
        <v>0.373972602739726</v>
      </c>
      <c r="G7317" s="8" t="n">
        <f aca="false">Sens!G7167-base_fy-mid_yr-v_off</f>
        <v>1.24794520547945</v>
      </c>
      <c r="H7317" s="8" t="n">
        <f aca="false">Sens!H7167-base_fy-mid_yr-v_off</f>
        <v>2.24794520547945</v>
      </c>
      <c r="I7317" s="8" t="n">
        <f aca="false">Sens!I7167-base_fy-mid_yr-v_off</f>
        <v>3.24794520547945</v>
      </c>
      <c r="J7317" s="8" t="n">
        <f aca="false">Sens!J7167-base_fy-mid_yr-v_off</f>
        <v>4.24794520547945</v>
      </c>
      <c r="K7317" s="8" t="n">
        <f aca="false">Sens!K7167-base_fy-mid_yr-v_off</f>
        <v>5.24794520547945</v>
      </c>
      <c r="L7317" s="12" t="s">
        <v>1217</v>
      </c>
    </row>
    <row r="7318" customFormat="false" ht="15" hidden="false" customHeight="false" outlineLevel="0" collapsed="false">
      <c r="A7318" s="1" t="s">
        <v>1218</v>
      </c>
      <c r="B7318" s="1" t="s">
        <v>279</v>
      </c>
      <c r="F7318" s="8" t="n">
        <f aca="false">Sens!F7167-base_fy-v_off</f>
        <v>0.747945205479452</v>
      </c>
      <c r="G7318" s="8" t="n">
        <f aca="false">Sens!G7167-base_fy-v_off</f>
        <v>1.74794520547945</v>
      </c>
      <c r="H7318" s="8" t="n">
        <f aca="false">Sens!H7167-base_fy-v_off</f>
        <v>2.74794520547945</v>
      </c>
      <c r="I7318" s="8" t="n">
        <f aca="false">Sens!I7167-base_fy-v_off</f>
        <v>3.74794520547945</v>
      </c>
      <c r="J7318" s="8" t="n">
        <f aca="false">Sens!J7167-base_fy-v_off</f>
        <v>4.74794520547945</v>
      </c>
      <c r="K7318" s="8" t="n">
        <f aca="false">Sens!K7167-base_fy-v_off</f>
        <v>5.74794520547945</v>
      </c>
    </row>
    <row r="7319" customFormat="false" ht="15" hidden="false" customHeight="false" outlineLevel="0" collapsed="false">
      <c r="A7319" s="1" t="s">
        <v>1219</v>
      </c>
      <c r="B7319" s="0" t="s">
        <v>229</v>
      </c>
      <c r="F7319" s="15" t="n">
        <f aca="false">1/(1+wacc)^Sens!F7317</f>
        <v>0.964022703286649</v>
      </c>
      <c r="G7319" s="15" t="n">
        <f aca="false">1/(1+wacc)^Sens!G7317</f>
        <v>0.884910302296739</v>
      </c>
      <c r="H7319" s="15" t="n">
        <f aca="false">1/(1+wacc)^Sens!H7317</f>
        <v>0.802322009770358</v>
      </c>
      <c r="I7319" s="15" t="n">
        <f aca="false">1/(1+wacc)^Sens!I7317</f>
        <v>0.727441646561469</v>
      </c>
      <c r="J7319" s="15" t="n">
        <f aca="false">1/(1+wacc)^Sens!J7317</f>
        <v>0.659549834988973</v>
      </c>
      <c r="K7319" s="15" t="n">
        <f aca="false">1/(1+wacc)^Sens!K7317</f>
        <v>0.597994336576966</v>
      </c>
    </row>
    <row r="7320" customFormat="false" ht="17.15" hidden="false" customHeight="false" outlineLevel="0" collapsed="false">
      <c r="A7320" s="1" t="s">
        <v>1220</v>
      </c>
      <c r="B7320" s="0" t="s">
        <v>98</v>
      </c>
      <c r="F7320" s="6" t="n">
        <f aca="false">Q!$I$35-Q!$I$39-Q!$I$43</f>
        <v>9.666</v>
      </c>
      <c r="L7320" s="12" t="s">
        <v>1221</v>
      </c>
    </row>
    <row r="7321" customFormat="false" ht="17.15" hidden="false" customHeight="false" outlineLevel="0" collapsed="false">
      <c r="A7321" s="1" t="s">
        <v>1222</v>
      </c>
      <c r="B7321" s="0" t="s">
        <v>98</v>
      </c>
      <c r="F7321" s="6" t="n">
        <f aca="false">Sens!F7292-Sens!F7289-Sens!F7296+Sens!F7274*(1-tax_f)*(1-v_off)-Sens!F7320</f>
        <v>-6.04527051599837</v>
      </c>
      <c r="G7321" s="6" t="n">
        <f aca="false">Sens!G7292-Sens!G7289-Sens!G7296+Sens!G7274*(1-tax_f)</f>
        <v>19.2781266041639</v>
      </c>
      <c r="H7321" s="6" t="n">
        <f aca="false">Sens!H7292-Sens!H7289-Sens!H7296+Sens!H7274*(1-tax_f)</f>
        <v>56.3171387152034</v>
      </c>
      <c r="I7321" s="6" t="n">
        <f aca="false">Sens!I7292-Sens!I7289-Sens!I7296+Sens!I7274*(1-tax_f)</f>
        <v>128.375199667305</v>
      </c>
      <c r="J7321" s="6" t="n">
        <f aca="false">Sens!J7292-Sens!J7289-Sens!J7296+Sens!J7274*(1-tax_f)</f>
        <v>202.469808624071</v>
      </c>
      <c r="K7321" s="6" t="n">
        <f aca="false">Sens!K7292-Sens!K7289-Sens!K7296+Sens!K7274*(1-tax_f)</f>
        <v>238.088570262445</v>
      </c>
      <c r="L7321" s="1" t="s">
        <v>1223</v>
      </c>
    </row>
    <row r="7322" customFormat="false" ht="15" hidden="false" customHeight="false" outlineLevel="0" collapsed="false">
      <c r="A7322" s="1" t="s">
        <v>1224</v>
      </c>
      <c r="B7322" s="0" t="s">
        <v>98</v>
      </c>
      <c r="F7322" s="6" t="n">
        <f aca="false">Sens!F7321*Sens!F7319</f>
        <v>-5.82777802493182</v>
      </c>
      <c r="G7322" s="6" t="n">
        <f aca="false">Sens!G7321*Sens!G7319</f>
        <v>17.0594128410055</v>
      </c>
      <c r="H7322" s="6" t="n">
        <f aca="false">Sens!H7321*Sens!H7319</f>
        <v>45.1844799184981</v>
      </c>
      <c r="I7322" s="6" t="n">
        <f aca="false">Sens!I7321*Sens!I7319</f>
        <v>93.385466623642</v>
      </c>
      <c r="J7322" s="6" t="n">
        <f aca="false">Sens!J7321*Sens!J7319</f>
        <v>133.538928868255</v>
      </c>
      <c r="K7322" s="6" t="n">
        <f aca="false">Sens!K7321*Sens!K7319</f>
        <v>142.375616620649</v>
      </c>
    </row>
    <row r="7323" customFormat="false" ht="17.15" hidden="false" customHeight="false" outlineLevel="0" collapsed="false">
      <c r="A7323" s="1" t="s">
        <v>1225</v>
      </c>
      <c r="B7323" s="0" t="s">
        <v>98</v>
      </c>
      <c r="C7323" s="6" t="n">
        <f aca="false">SUM(Sens!F7322:K7322)</f>
        <v>425.716126847118</v>
      </c>
    </row>
    <row r="7324" customFormat="false" ht="17.15" hidden="false" customHeight="false" outlineLevel="0" collapsed="false">
      <c r="A7324" s="1" t="s">
        <v>1226</v>
      </c>
      <c r="B7324" s="0" t="s">
        <v>98</v>
      </c>
      <c r="C7324" s="6" t="n">
        <f aca="false">Sens!K7260*(1+g_tv)*(1-tax_f)</f>
        <v>247.228181557354</v>
      </c>
    </row>
    <row r="7325" customFormat="false" ht="17.15" hidden="false" customHeight="false" outlineLevel="0" collapsed="false">
      <c r="A7325" s="1" t="s">
        <v>1227</v>
      </c>
      <c r="B7325" s="0" t="s">
        <v>98</v>
      </c>
      <c r="C7325" s="6" t="n">
        <f aca="false">Sens!$C$7324*(1-g_tv/(wacc+ronic_prem))</f>
        <v>175.175616200488</v>
      </c>
    </row>
    <row r="7326" customFormat="false" ht="17.15" hidden="false" customHeight="false" outlineLevel="0" collapsed="false">
      <c r="A7326" s="1" t="s">
        <v>1228</v>
      </c>
      <c r="B7326" s="0" t="s">
        <v>98</v>
      </c>
      <c r="C7326" s="6" t="n">
        <f aca="false">Sens!$C$7325/(wacc-g_tv)</f>
        <v>2401.7521785622</v>
      </c>
    </row>
    <row r="7327" customFormat="false" ht="15" hidden="false" customHeight="false" outlineLevel="0" collapsed="false">
      <c r="A7327" s="1" t="s">
        <v>1229</v>
      </c>
      <c r="B7327" s="0" t="s">
        <v>98</v>
      </c>
      <c r="C7327" s="6" t="n">
        <f aca="false">Sens!$C$7326/(1+wacc)^Sens!K7318</f>
        <v>1367.5713429387</v>
      </c>
    </row>
    <row r="7328" customFormat="false" ht="17.15" hidden="false" customHeight="false" outlineLevel="0" collapsed="false">
      <c r="A7328" s="0" t="s">
        <v>1230</v>
      </c>
      <c r="B7328" s="0" t="s">
        <v>98</v>
      </c>
      <c r="C7328" s="6" t="n">
        <f aca="false">Sens!$C$7323+Sens!$C$7327</f>
        <v>1793.28746978581</v>
      </c>
    </row>
    <row r="7329" customFormat="false" ht="15" hidden="false" customHeight="false" outlineLevel="0" collapsed="false">
      <c r="A7329" s="1" t="s">
        <v>1145</v>
      </c>
      <c r="B7329" s="0" t="s">
        <v>168</v>
      </c>
      <c r="C7329" s="7" t="n">
        <f aca="false">Sens!$C$7327/Sens!$C$7328</f>
        <v>0.76260575394643</v>
      </c>
    </row>
    <row r="7330" customFormat="false" ht="17.15" hidden="false" customHeight="false" outlineLevel="0" collapsed="false">
      <c r="A7330" s="1" t="s">
        <v>1231</v>
      </c>
      <c r="B7330" s="0" t="s">
        <v>98</v>
      </c>
      <c r="C7330" s="6" t="n">
        <f aca="false">Sens!$C$7328+cash_val-debt_val-fl_val+oai_v</f>
        <v>1909.13846978581</v>
      </c>
    </row>
    <row r="7331" customFormat="false" ht="17.15" hidden="false" customHeight="false" outlineLevel="0" collapsed="false">
      <c r="A7331" s="0" t="s">
        <v>1153</v>
      </c>
      <c r="B7331" s="0" t="s">
        <v>75</v>
      </c>
      <c r="C7331" s="5" t="n">
        <f aca="false">Sens!$C$7330/shd_val</f>
        <v>256.397860567528</v>
      </c>
    </row>
    <row r="7332" customFormat="false" ht="15" hidden="false" customHeight="false" outlineLevel="0" collapsed="false">
      <c r="A7332" s="1" t="s">
        <v>1232</v>
      </c>
      <c r="B7332" s="0" t="s">
        <v>75</v>
      </c>
      <c r="C7332" s="8" t="n">
        <f aca="false">div_rem27+Sens!G7300*roll_div_q/q_per_yr</f>
        <v>3.9795</v>
      </c>
    </row>
    <row r="7333" customFormat="false" ht="17.15" hidden="false" customHeight="false" outlineLevel="0" collapsed="false">
      <c r="A7333" s="0" t="s">
        <v>1233</v>
      </c>
      <c r="B7333" s="0" t="s">
        <v>75</v>
      </c>
      <c r="C7333" s="5" t="n">
        <f aca="false">Sens!$C$7331*(1+wacc)^t_roll-Sens!$C$7332</f>
        <v>281.021031776119</v>
      </c>
    </row>
    <row r="7334" customFormat="false" ht="17.15" hidden="false" customHeight="false" outlineLevel="0" collapsed="false">
      <c r="A7334" s="1" t="s">
        <v>1234</v>
      </c>
      <c r="B7334" s="0" t="s">
        <v>168</v>
      </c>
      <c r="F7334" s="7" t="n">
        <f aca="false">Sens!F7286/(Sens!F7231-Sens!F7186)</f>
        <v>0.0687754177900804</v>
      </c>
      <c r="G7334" s="7" t="n">
        <f aca="false">Sens!G7286/(Sens!G7231-Sens!G7186)</f>
        <v>0.0666037489201934</v>
      </c>
      <c r="H7334" s="7" t="n">
        <f aca="false">Sens!H7286/(Sens!H7231-Sens!H7186)</f>
        <v>0.0655467575441126</v>
      </c>
      <c r="I7334" s="7" t="n">
        <f aca="false">Sens!I7286/(Sens!I7231-Sens!I7186)</f>
        <v>0.0654533548972818</v>
      </c>
      <c r="J7334" s="7" t="n">
        <f aca="false">Sens!J7286/(Sens!J7231-Sens!J7186)</f>
        <v>0.0661495015665309</v>
      </c>
      <c r="K7334" s="7" t="n">
        <f aca="false">Sens!K7286/(Sens!K7231-Sens!K7186)</f>
        <v>0.067461650754408</v>
      </c>
    </row>
    <row r="7335" customFormat="false" ht="17.15" hidden="false" customHeight="false" outlineLevel="0" collapsed="false">
      <c r="A7335" s="0" t="s">
        <v>1235</v>
      </c>
      <c r="B7335" s="0" t="s">
        <v>98</v>
      </c>
      <c r="F7335" s="6" t="n">
        <f aca="false">Sens!F7216*(al_m365+Sens!F7334+sbc_r)</f>
        <v>82.5255289938659</v>
      </c>
      <c r="G7335" s="6" t="n">
        <f aca="false">Sens!G7216*(al_m365+Sens!G7334+sbc_r)</f>
        <v>91.9002610259117</v>
      </c>
      <c r="H7335" s="6" t="n">
        <f aca="false">Sens!H7216*(al_m365+Sens!H7334+sbc_r)</f>
        <v>101.433692298561</v>
      </c>
      <c r="I7335" s="6" t="n">
        <f aca="false">Sens!I7216*(al_m365+Sens!I7334+sbc_r)</f>
        <v>110.702454163549</v>
      </c>
      <c r="J7335" s="6" t="n">
        <f aca="false">Sens!J7216*(al_m365+Sens!J7334+sbc_r)</f>
        <v>119.51682627776</v>
      </c>
      <c r="K7335" s="6" t="n">
        <f aca="false">Sens!K7216*(al_m365+Sens!K7334+sbc_r)</f>
        <v>127.928566051649</v>
      </c>
      <c r="L7335" s="12" t="s">
        <v>1236</v>
      </c>
    </row>
    <row r="7336" customFormat="false" ht="17.15" hidden="false" customHeight="false" outlineLevel="0" collapsed="false">
      <c r="A7336" s="0" t="s">
        <v>1237</v>
      </c>
      <c r="B7336" s="0" t="s">
        <v>98</v>
      </c>
      <c r="F7336" s="6" t="n">
        <f aca="false">Sens!F7217*(al_lic+Sens!F7334+sbc_r)</f>
        <v>32.8637480775264</v>
      </c>
      <c r="G7336" s="6" t="n">
        <f aca="false">Sens!G7217*(al_lic+Sens!G7334+sbc_r)</f>
        <v>34.1684504290362</v>
      </c>
      <c r="H7336" s="6" t="n">
        <f aca="false">Sens!H7217*(al_lic+Sens!H7334+sbc_r)</f>
        <v>35.3805763638208</v>
      </c>
      <c r="I7336" s="6" t="n">
        <f aca="false">Sens!I7217*(al_lic+Sens!I7334+sbc_r)</f>
        <v>36.4794695362328</v>
      </c>
      <c r="J7336" s="6" t="n">
        <f aca="false">Sens!J7217*(al_lic+Sens!J7334+sbc_r)</f>
        <v>37.4433749379531</v>
      </c>
      <c r="K7336" s="6" t="n">
        <f aca="false">Sens!K7217*(al_lic+Sens!K7334+sbc_r)</f>
        <v>38.2509560113026</v>
      </c>
    </row>
    <row r="7337" customFormat="false" ht="17.15" hidden="false" customHeight="false" outlineLevel="0" collapsed="false">
      <c r="A7337" s="0" t="s">
        <v>1238</v>
      </c>
      <c r="B7337" s="0" t="s">
        <v>98</v>
      </c>
      <c r="F7337" s="6" t="n">
        <f aca="false">Sens!F7219*(al_ind+Sens!F7334+sbc_r)</f>
        <v>9.06389500759704</v>
      </c>
      <c r="G7337" s="6" t="n">
        <f aca="false">Sens!G7219*(al_ind+Sens!G7334+sbc_r)</f>
        <v>9.85498403931949</v>
      </c>
      <c r="H7337" s="6" t="n">
        <f aca="false">Sens!H7219*(al_ind+Sens!H7334+sbc_r)</f>
        <v>10.6877106366281</v>
      </c>
      <c r="I7337" s="6" t="n">
        <f aca="false">Sens!I7219*(al_ind+Sens!I7334+sbc_r)</f>
        <v>11.5567417148507</v>
      </c>
      <c r="J7337" s="6" t="n">
        <f aca="false">Sens!J7219*(al_ind+Sens!J7334+sbc_r)</f>
        <v>12.4540077674472</v>
      </c>
      <c r="K7337" s="6" t="n">
        <f aca="false">Sens!K7219*(al_ind+Sens!K7334+sbc_r)</f>
        <v>13.3691192452957</v>
      </c>
    </row>
    <row r="7338" customFormat="false" ht="17.15" hidden="false" customHeight="false" outlineLevel="0" collapsed="false">
      <c r="A7338" s="0" t="s">
        <v>1239</v>
      </c>
      <c r="B7338" s="0" t="s">
        <v>98</v>
      </c>
      <c r="F7338" s="6" t="n">
        <f aca="false">Sens!F7221*(al_fro+Sens!F7334+sbc_r)</f>
        <v>3.5553937770828</v>
      </c>
      <c r="G7338" s="6" t="n">
        <f aca="false">Sens!G7221*(al_fro+Sens!G7334+sbc_r)</f>
        <v>3.77080572303989</v>
      </c>
      <c r="H7338" s="6" t="n">
        <f aca="false">Sens!H7221*(al_fro+Sens!H7334+sbc_r)</f>
        <v>4.01373696151768</v>
      </c>
      <c r="I7338" s="6" t="n">
        <f aca="false">Sens!I7221*(al_fro+Sens!I7334+sbc_r)</f>
        <v>4.28625655393495</v>
      </c>
      <c r="J7338" s="6" t="n">
        <f aca="false">Sens!J7221*(al_fro+Sens!J7334+sbc_r)</f>
        <v>4.59023634351952</v>
      </c>
      <c r="K7338" s="6" t="n">
        <f aca="false">Sens!K7221*(al_fro+Sens!K7334+sbc_r)</f>
        <v>4.92752358811009</v>
      </c>
    </row>
    <row r="7339" customFormat="false" ht="17.15" hidden="false" customHeight="false" outlineLevel="0" collapsed="false">
      <c r="A7339" s="0" t="s">
        <v>1240</v>
      </c>
      <c r="B7339" s="0" t="s">
        <v>98</v>
      </c>
      <c r="F7339" s="6" t="n">
        <f aca="false">Sens!F7224*(al_srch+Sens!F7334+sbc_r)</f>
        <v>11.1933854238919</v>
      </c>
      <c r="G7339" s="6" t="n">
        <f aca="false">Sens!G7224*(al_srch+Sens!G7334+sbc_r)</f>
        <v>12.2851664019916</v>
      </c>
      <c r="H7339" s="6" t="n">
        <f aca="false">Sens!H7224*(al_srch+Sens!H7334+sbc_r)</f>
        <v>13.4180223017897</v>
      </c>
      <c r="I7339" s="6" t="n">
        <f aca="false">Sens!I7224*(al_srch+Sens!I7334+sbc_r)</f>
        <v>14.5782394562999</v>
      </c>
      <c r="J7339" s="6" t="n">
        <f aca="false">Sens!J7224*(al_srch+Sens!J7334+sbc_r)</f>
        <v>15.7477498869428</v>
      </c>
      <c r="K7339" s="6" t="n">
        <f aca="false">Sens!K7224*(al_srch+Sens!K7334+sbc_r)</f>
        <v>16.9048831520669</v>
      </c>
    </row>
    <row r="7340" customFormat="false" ht="17.15" hidden="false" customHeight="false" outlineLevel="0" collapsed="false">
      <c r="A7340" s="0" t="s">
        <v>1241</v>
      </c>
      <c r="B7340" s="0" t="s">
        <v>98</v>
      </c>
      <c r="F7340" s="6" t="n">
        <f aca="false">Sens!F7192-Sens!F7193+Sens!F7274</f>
        <v>39.39786099265</v>
      </c>
      <c r="G7340" s="6" t="n">
        <f aca="false">Sens!G7192-Sens!G7193+Sens!G7274</f>
        <v>70.7501517654922</v>
      </c>
      <c r="H7340" s="6" t="n">
        <f aca="false">Sens!H7192-Sens!H7193+Sens!H7274</f>
        <v>98.9558007466204</v>
      </c>
      <c r="I7340" s="6" t="n">
        <f aca="false">Sens!I7192-Sens!I7193+Sens!I7274</f>
        <v>130.438356851978</v>
      </c>
      <c r="J7340" s="6" t="n">
        <f aca="false">Sens!J7192-Sens!J7193+Sens!J7274</f>
        <v>152.519987779919</v>
      </c>
      <c r="K7340" s="6" t="n">
        <f aca="false">Sens!K7192-Sens!K7193+Sens!K7274</f>
        <v>166.37167513369</v>
      </c>
    </row>
    <row r="7341" customFormat="false" ht="17.15" hidden="false" customHeight="false" outlineLevel="0" collapsed="false">
      <c r="A7341" s="0" t="s">
        <v>1242</v>
      </c>
      <c r="B7341" s="0" t="s">
        <v>98</v>
      </c>
      <c r="F7341" s="6" t="n">
        <f aca="false">Sens!F7253+Sens!F7274+Sens!F7204+Sens!F7334*(Sens!F7223-Sens!F7186)+sbc_r*Sens!F7223</f>
        <v>234.881715131311</v>
      </c>
      <c r="G7341" s="6" t="n">
        <f aca="false">Sens!G7253+Sens!G7274+Sens!G7204+Sens!G7334*(Sens!G7223-Sens!G7186)+sbc_r*Sens!G7223</f>
        <v>285.490043446699</v>
      </c>
      <c r="H7341" s="6" t="n">
        <f aca="false">Sens!H7253+Sens!H7274+Sens!H7204+Sens!H7334*(Sens!H7223-Sens!H7186)+sbc_r*Sens!H7223</f>
        <v>338.164118887549</v>
      </c>
      <c r="I7341" s="6" t="n">
        <f aca="false">Sens!I7253+Sens!I7274+Sens!I7204+Sens!I7334*(Sens!I7223-Sens!I7186)+sbc_r*Sens!I7223</f>
        <v>393.719415907194</v>
      </c>
      <c r="J7341" s="6" t="n">
        <f aca="false">Sens!J7253+Sens!J7274+Sens!J7204+Sens!J7334*(Sens!J7223-Sens!J7186)+sbc_r*Sens!J7223</f>
        <v>438.177832063465</v>
      </c>
      <c r="K7341" s="6" t="n">
        <f aca="false">Sens!K7253+Sens!K7274+Sens!K7204+Sens!K7334*(Sens!K7223-Sens!K7186)+sbc_r*Sens!K7223</f>
        <v>472.059391130538</v>
      </c>
    </row>
    <row r="7342" customFormat="false" ht="17.15" hidden="false" customHeight="false" outlineLevel="0" collapsed="false">
      <c r="A7342" s="0" t="s">
        <v>1243</v>
      </c>
      <c r="B7342" s="0" t="s">
        <v>98</v>
      </c>
      <c r="F7342" s="6" t="n">
        <f aca="false">Sens!F7341-Sens!F7335-Sens!F7336-Sens!F7337-Sens!F7338-Sens!F7340</f>
        <v>67.4752882825883</v>
      </c>
      <c r="G7342" s="6" t="n">
        <f aca="false">Sens!G7341-Sens!G7335-Sens!G7336-Sens!G7337-Sens!G7338-Sens!G7340</f>
        <v>75.0453904638999</v>
      </c>
      <c r="H7342" s="6" t="n">
        <f aca="false">Sens!H7341-Sens!H7335-Sens!H7336-Sens!H7337-Sens!H7338-Sens!H7340</f>
        <v>87.692601880401</v>
      </c>
      <c r="I7342" s="6" t="n">
        <f aca="false">Sens!I7341-Sens!I7335-Sens!I7336-Sens!I7337-Sens!I7338-Sens!I7340</f>
        <v>100.256137086649</v>
      </c>
      <c r="J7342" s="6" t="n">
        <f aca="false">Sens!J7341-Sens!J7335-Sens!J7336-Sens!J7337-Sens!J7338-Sens!J7340</f>
        <v>111.653398956867</v>
      </c>
      <c r="K7342" s="6" t="n">
        <f aca="false">Sens!K7341-Sens!K7335-Sens!K7336-Sens!K7337-Sens!K7338-Sens!K7340</f>
        <v>121.211551100491</v>
      </c>
    </row>
    <row r="7343" customFormat="false" ht="17.15" hidden="false" customHeight="false" outlineLevel="0" collapsed="false">
      <c r="A7343" s="0" t="s">
        <v>1244</v>
      </c>
      <c r="B7343" s="0" t="s">
        <v>98</v>
      </c>
      <c r="F7343" s="6" t="n">
        <f aca="false">Sens!F7255+Sens!F7334*Sens!F7230+sbc_r*Sens!F7230</f>
        <v>26.6436581903759</v>
      </c>
      <c r="G7343" s="6" t="n">
        <f aca="false">Sens!G7255+Sens!G7334*Sens!G7230+sbc_r*Sens!G7230</f>
        <v>26.5231441976673</v>
      </c>
      <c r="H7343" s="6" t="n">
        <f aca="false">Sens!H7255+Sens!H7334*Sens!H7230+sbc_r*Sens!H7230</f>
        <v>27.4263084895223</v>
      </c>
      <c r="I7343" s="6" t="n">
        <f aca="false">Sens!I7255+Sens!I7334*Sens!I7230+sbc_r*Sens!I7230</f>
        <v>28.5494502341056</v>
      </c>
      <c r="J7343" s="6" t="n">
        <f aca="false">Sens!J7255+Sens!J7334*Sens!J7230+sbc_r*Sens!J7230</f>
        <v>29.8633919202446</v>
      </c>
      <c r="K7343" s="6" t="n">
        <f aca="false">Sens!K7255+Sens!K7334*Sens!K7230+sbc_r*Sens!K7230</f>
        <v>31.3431956570706</v>
      </c>
    </row>
    <row r="7344" customFormat="false" ht="17.15" hidden="false" customHeight="false" outlineLevel="0" collapsed="false">
      <c r="A7344" s="0" t="s">
        <v>1245</v>
      </c>
      <c r="B7344" s="0" t="s">
        <v>98</v>
      </c>
      <c r="F7344" s="6" t="n">
        <f aca="false">(Sens!F7343-Sens!F7339)*Sens!F7226/(Sens!F7226+Sens!F7228)</f>
        <v>8.72609031547388</v>
      </c>
      <c r="G7344" s="6" t="n">
        <f aca="false">(Sens!G7343-Sens!G7339)*Sens!G7226/(Sens!G7226+Sens!G7228)</f>
        <v>7.90320179532619</v>
      </c>
      <c r="H7344" s="6" t="n">
        <f aca="false">(Sens!H7343-Sens!H7339)*Sens!H7226/(Sens!H7226+Sens!H7228)</f>
        <v>7.67441040703878</v>
      </c>
      <c r="I7344" s="6" t="n">
        <f aca="false">(Sens!I7343-Sens!I7339)*Sens!I7226/(Sens!I7226+Sens!I7228)</f>
        <v>7.58729027259331</v>
      </c>
      <c r="J7344" s="6" t="n">
        <f aca="false">(Sens!J7343-Sens!J7339)*Sens!J7226/(Sens!J7226+Sens!J7228)</f>
        <v>7.6322807845118</v>
      </c>
      <c r="K7344" s="6" t="n">
        <f aca="false">(Sens!K7343-Sens!K7339)*Sens!K7226/(Sens!K7226+Sens!K7228)</f>
        <v>7.80674763731874</v>
      </c>
    </row>
    <row r="7345" customFormat="false" ht="17.15" hidden="false" customHeight="false" outlineLevel="0" collapsed="false">
      <c r="A7345" s="0" t="s">
        <v>1246</v>
      </c>
      <c r="B7345" s="0" t="s">
        <v>98</v>
      </c>
      <c r="F7345" s="6" t="n">
        <f aca="false">Sens!F7343-Sens!F7339-Sens!F7344</f>
        <v>6.72418245101007</v>
      </c>
      <c r="G7345" s="6" t="n">
        <f aca="false">Sens!G7343-Sens!G7339-Sens!G7344</f>
        <v>6.33477600034948</v>
      </c>
      <c r="H7345" s="6" t="n">
        <f aca="false">Sens!H7343-Sens!H7339-Sens!H7344</f>
        <v>6.33387578069383</v>
      </c>
      <c r="I7345" s="6" t="n">
        <f aca="false">Sens!I7343-Sens!I7339-Sens!I7344</f>
        <v>6.38392050521239</v>
      </c>
      <c r="J7345" s="6" t="n">
        <f aca="false">Sens!J7343-Sens!J7339-Sens!J7344</f>
        <v>6.48336124879</v>
      </c>
      <c r="K7345" s="6" t="n">
        <f aca="false">Sens!K7343-Sens!K7339-Sens!K7344</f>
        <v>6.63156486768493</v>
      </c>
    </row>
    <row r="7346" customFormat="false" ht="17.15" hidden="false" customHeight="false" outlineLevel="0" collapsed="false">
      <c r="A7346" s="0" t="s">
        <v>1247</v>
      </c>
      <c r="B7346" s="0" t="s">
        <v>98</v>
      </c>
      <c r="F7346" s="6" t="n">
        <f aca="false">Sens!F7340-tax_f*(Sens!F7340-Sens!F7204)-Sens!F7201</f>
        <v>-130.019752352329</v>
      </c>
      <c r="G7346" s="6" t="n">
        <f aca="false">Sens!G7340-tax_f*(Sens!G7340-Sens!G7204)-Sens!G7201</f>
        <v>-123.197456106195</v>
      </c>
      <c r="H7346" s="6" t="n">
        <f aca="false">Sens!H7340-tax_f*(Sens!H7340-Sens!H7204)-Sens!H7201</f>
        <v>-99.8213453349269</v>
      </c>
      <c r="I7346" s="6" t="n">
        <f aca="false">Sens!I7340-tax_f*(Sens!I7340-Sens!I7204)-Sens!I7201</f>
        <v>-41.4179462011186</v>
      </c>
      <c r="J7346" s="6" t="n">
        <f aca="false">Sens!J7340-tax_f*(Sens!J7340-Sens!J7204)-Sens!J7201</f>
        <v>19.4891936379141</v>
      </c>
      <c r="K7346" s="6" t="n">
        <f aca="false">Sens!K7340-tax_f*(Sens!K7340-Sens!K7204)-Sens!K7201</f>
        <v>42.7370209524064</v>
      </c>
    </row>
    <row r="7347" customFormat="false" ht="17.15" hidden="false" customHeight="false" outlineLevel="0" collapsed="false">
      <c r="A7347" s="0" t="s">
        <v>1248</v>
      </c>
      <c r="B7347" s="0" t="s">
        <v>98</v>
      </c>
      <c r="G7347" s="6" t="n">
        <f aca="false">Sens!G7346/(1+wacc)^(Sens!G7317-Sens!F7318)</f>
        <v>-117.307685904233</v>
      </c>
      <c r="H7347" s="6" t="n">
        <f aca="false">Sens!H7346/(1+wacc)^(Sens!H7317-Sens!F7318)</f>
        <v>-86.1782361856546</v>
      </c>
      <c r="I7347" s="6" t="n">
        <f aca="false">Sens!I7346/(1+wacc)^(Sens!I7317-Sens!F7318)</f>
        <v>-32.4199392674642</v>
      </c>
      <c r="J7347" s="6" t="n">
        <f aca="false">Sens!J7346/(1+wacc)^(Sens!J7317-Sens!F7318)</f>
        <v>13.8314261683199</v>
      </c>
      <c r="K7347" s="6" t="n">
        <f aca="false">Sens!K7346/(1+wacc)^(Sens!K7317-Sens!F7318)</f>
        <v>27.4996263468616</v>
      </c>
      <c r="L7347" s="1" t="s">
        <v>1249</v>
      </c>
    </row>
    <row r="7348" customFormat="false" ht="17.15" hidden="false" customHeight="false" outlineLevel="0" collapsed="false">
      <c r="A7348" s="0" t="s">
        <v>1250</v>
      </c>
      <c r="B7348" s="0" t="s">
        <v>98</v>
      </c>
      <c r="C7348" s="6" t="n">
        <f aca="false">(Sens!K7340-Sens!K7204)*(1-tax_f)*(1+g_tv)*(1-g_tv/(wacc+ronic_prem))/(wacc-g_tv)/(1+wacc)^(Sens!K7318-Sens!F7318)</f>
        <v>114.566871939455</v>
      </c>
    </row>
    <row r="7349" customFormat="false" ht="17.15" hidden="false" customHeight="false" outlineLevel="0" collapsed="false">
      <c r="A7349" s="1" t="s">
        <v>1251</v>
      </c>
      <c r="B7349" s="0" t="s">
        <v>98</v>
      </c>
      <c r="C7349" s="6" t="n">
        <f aca="false">(SUM(Sens!G7347:K7347)+Sens!$C$7348)*(1+wacc)^(t_roll-Sens!F7318)</f>
        <v>-82.6492408618344</v>
      </c>
      <c r="L7349" s="12" t="s">
        <v>1252</v>
      </c>
    </row>
    <row r="7350" customFormat="false" ht="17.15" hidden="false" customHeight="false" outlineLevel="0" collapsed="false">
      <c r="A7350" s="1" t="s">
        <v>1253</v>
      </c>
      <c r="B7350" s="0" t="s">
        <v>98</v>
      </c>
      <c r="C7350" s="6" t="n">
        <f aca="false">(w_ntm28*Sens!G7192+(1-w_ntm28)*Sens!H7192)*m_ai</f>
        <v>344.355829012336</v>
      </c>
    </row>
    <row r="7351" customFormat="false" ht="17.15" hidden="false" customHeight="false" outlineLevel="0" collapsed="false">
      <c r="A7351" s="1" t="s">
        <v>1254</v>
      </c>
      <c r="B7351" s="0" t="s">
        <v>98</v>
      </c>
      <c r="C7351" s="6" t="n">
        <f aca="false">(w_ntm28*Sens!G7342+(1-w_ntm28)*Sens!H7342)*m_cloud</f>
        <v>1094.59068090459</v>
      </c>
    </row>
    <row r="7352" customFormat="false" ht="17.15" hidden="false" customHeight="false" outlineLevel="0" collapsed="false">
      <c r="A7352" s="1" t="s">
        <v>1255</v>
      </c>
      <c r="B7352" s="0" t="s">
        <v>98</v>
      </c>
      <c r="C7352" s="6" t="n">
        <f aca="false">(w_ntm28*Sens!G7335+(1-w_ntm28)*Sens!H7335)*m_sw</f>
        <v>1026.3730298452</v>
      </c>
    </row>
    <row r="7353" customFormat="false" ht="17.15" hidden="false" customHeight="false" outlineLevel="0" collapsed="false">
      <c r="A7353" s="1" t="s">
        <v>1256</v>
      </c>
      <c r="B7353" s="0" t="s">
        <v>98</v>
      </c>
      <c r="C7353" s="6" t="n">
        <f aca="false">(w_ntm28*Sens!G7336+(1-w_ntm28)*Sens!H7336)*m_sw</f>
        <v>373.323141925319</v>
      </c>
    </row>
    <row r="7354" customFormat="false" ht="17.15" hidden="false" customHeight="false" outlineLevel="0" collapsed="false">
      <c r="A7354" s="1" t="s">
        <v>1257</v>
      </c>
      <c r="B7354" s="0" t="s">
        <v>98</v>
      </c>
      <c r="C7354" s="6" t="n">
        <f aca="false">(w_ntm28*Sens!G7337+(1-w_ntm28)*Sens!H7337)*m_sw</f>
        <v>109.390577405779</v>
      </c>
    </row>
    <row r="7355" customFormat="false" ht="17.15" hidden="false" customHeight="false" outlineLevel="0" collapsed="false">
      <c r="A7355" s="1" t="s">
        <v>1258</v>
      </c>
      <c r="B7355" s="0" t="s">
        <v>98</v>
      </c>
      <c r="C7355" s="6" t="n">
        <f aca="false">(w_ntm28*Sens!G7338+(1-w_ntm28)*Sens!H7338)*m_sw</f>
        <v>41.5872740966862</v>
      </c>
    </row>
    <row r="7356" customFormat="false" ht="17.15" hidden="false" customHeight="false" outlineLevel="0" collapsed="false">
      <c r="A7356" s="1" t="s">
        <v>1259</v>
      </c>
      <c r="B7356" s="0" t="s">
        <v>98</v>
      </c>
      <c r="C7356" s="6" t="n">
        <f aca="false">(w_ntm28*Sens!G7339+(1-w_ntm28)*Sens!H7339)*m_ads</f>
        <v>115.310846934909</v>
      </c>
    </row>
    <row r="7357" customFormat="false" ht="17.15" hidden="false" customHeight="false" outlineLevel="0" collapsed="false">
      <c r="A7357" s="1" t="s">
        <v>1260</v>
      </c>
      <c r="B7357" s="0" t="s">
        <v>98</v>
      </c>
      <c r="C7357" s="6" t="n">
        <f aca="false">(w_ntm28*Sens!G7344+(1-w_ntm28)*Sens!H7344)*m_game</f>
        <v>98.8674216117139</v>
      </c>
    </row>
    <row r="7358" customFormat="false" ht="17.15" hidden="false" customHeight="false" outlineLevel="0" collapsed="false">
      <c r="A7358" s="1" t="s">
        <v>1261</v>
      </c>
      <c r="B7358" s="0" t="s">
        <v>98</v>
      </c>
      <c r="C7358" s="6" t="n">
        <f aca="false">(w_ntm28*Sens!G7345+(1-w_ntm28)*Sens!H7345)*m_pc</f>
        <v>91.6599261458513</v>
      </c>
    </row>
    <row r="7359" customFormat="false" ht="17.15" hidden="false" customHeight="false" outlineLevel="0" collapsed="false">
      <c r="A7359" s="1" t="s">
        <v>1262</v>
      </c>
      <c r="B7359" s="0" t="s">
        <v>98</v>
      </c>
      <c r="C7359" s="6" t="n">
        <f aca="false">Sens!$C$7349+Sens!$C$7351+Sens!$C$7352+Sens!$C$7353+Sens!$C$7354+Sens!$C$7355+Sens!$C$7356+Sens!$C$7357+Sens!$C$7358</f>
        <v>2868.45365800821</v>
      </c>
    </row>
    <row r="7360" customFormat="false" ht="17.15" hidden="false" customHeight="false" outlineLevel="0" collapsed="false">
      <c r="A7360" s="1" t="s">
        <v>1263</v>
      </c>
      <c r="B7360" s="0" t="s">
        <v>98</v>
      </c>
      <c r="C7360" s="6" t="n">
        <f aca="false">(Sens!G7321-Sens!G7346)*t_stub</f>
        <v>47.2316315286394</v>
      </c>
      <c r="L7360" s="1" t="s">
        <v>1264</v>
      </c>
    </row>
    <row r="7361" customFormat="false" ht="17.15" hidden="false" customHeight="false" outlineLevel="0" collapsed="false">
      <c r="A7361" s="1" t="s">
        <v>1173</v>
      </c>
      <c r="B7361" s="0" t="s">
        <v>98</v>
      </c>
      <c r="C7361" s="6" t="n">
        <f aca="false">Sens!F7308+oai_v-Sens!F7297+Sens!$C$7360</f>
        <v>158.08290046442</v>
      </c>
      <c r="L7361" s="1" t="s">
        <v>1265</v>
      </c>
    </row>
    <row r="7362" customFormat="false" ht="17.15" hidden="false" customHeight="false" outlineLevel="0" collapsed="false">
      <c r="A7362" s="1" t="s">
        <v>1266</v>
      </c>
      <c r="B7362" s="0" t="s">
        <v>75</v>
      </c>
      <c r="C7362" s="5" t="n">
        <f aca="false">(Sens!$C$7359+Sens!$C$7361)/(Sens!F7310+dil_gap)-Sens!G7300*roll_div_q/q_per_yr</f>
        <v>402.714043019295</v>
      </c>
      <c r="L7362" s="1" t="s">
        <v>1267</v>
      </c>
    </row>
    <row r="7363" customFormat="false" ht="17.15" hidden="false" customHeight="false" outlineLevel="0" collapsed="false">
      <c r="A7363" s="1" t="s">
        <v>1268</v>
      </c>
      <c r="B7363" s="0" t="s">
        <v>75</v>
      </c>
      <c r="C7363" s="5" t="n">
        <f aca="false">w_dcf*Sens!$C$7333+(1-w_dcf)*Sens!$C$7362</f>
        <v>341.867537397707</v>
      </c>
    </row>
    <row r="7364" customFormat="false" ht="17.15" hidden="false" customHeight="false" outlineLevel="0" collapsed="false">
      <c r="A7364" s="3" t="s">
        <v>1795</v>
      </c>
    </row>
    <row r="7365" customFormat="false" ht="15" hidden="false" customHeight="false" outlineLevel="0" collapsed="false">
      <c r="A7365" s="4" t="s">
        <v>43</v>
      </c>
      <c r="B7365" s="4" t="s">
        <v>65</v>
      </c>
      <c r="C7365" s="23" t="s">
        <v>942</v>
      </c>
      <c r="D7365" s="23" t="s">
        <v>943</v>
      </c>
      <c r="E7365" s="23" t="s">
        <v>944</v>
      </c>
      <c r="F7365" s="23" t="s">
        <v>945</v>
      </c>
      <c r="G7365" s="23" t="s">
        <v>946</v>
      </c>
      <c r="H7365" s="23" t="s">
        <v>947</v>
      </c>
      <c r="I7365" s="23" t="s">
        <v>948</v>
      </c>
      <c r="J7365" s="23" t="s">
        <v>949</v>
      </c>
      <c r="K7365" s="23" t="s">
        <v>950</v>
      </c>
      <c r="L7365" s="4" t="s">
        <v>47</v>
      </c>
    </row>
    <row r="7366" customFormat="false" ht="17.15" hidden="false" customHeight="false" outlineLevel="0" collapsed="false">
      <c r="A7366" s="1" t="s">
        <v>951</v>
      </c>
      <c r="B7366" s="1" t="s">
        <v>279</v>
      </c>
      <c r="C7366" s="21" t="n">
        <v>2024</v>
      </c>
      <c r="D7366" s="21" t="n">
        <v>2025</v>
      </c>
      <c r="E7366" s="21" t="n">
        <v>2026</v>
      </c>
      <c r="F7366" s="21" t="n">
        <v>2027</v>
      </c>
      <c r="G7366" s="21" t="n">
        <v>2028</v>
      </c>
      <c r="H7366" s="21" t="n">
        <v>2029</v>
      </c>
      <c r="I7366" s="21" t="n">
        <v>2030</v>
      </c>
      <c r="J7366" s="21" t="n">
        <v>2031</v>
      </c>
      <c r="K7366" s="21" t="n">
        <v>2032</v>
      </c>
    </row>
    <row r="7367" customFormat="false" ht="17.15" hidden="false" customHeight="false" outlineLevel="0" collapsed="false">
      <c r="A7367" s="1" t="s">
        <v>952</v>
      </c>
      <c r="B7367" s="0" t="s">
        <v>459</v>
      </c>
      <c r="F7367" s="30" t="n">
        <f aca="false">pace</f>
        <v>2726.5351</v>
      </c>
      <c r="G7367" s="30" t="n">
        <f aca="false">pace</f>
        <v>2726.5351</v>
      </c>
      <c r="H7367" s="30" t="n">
        <f aca="false">pace</f>
        <v>2726.5351</v>
      </c>
      <c r="I7367" s="30" t="n">
        <f aca="false">pace+(g_tv*Sens!H7368-pace)*MIN(1,(Sens!I7366-pace_y0)/(pace_y1-pace_y0))</f>
        <v>1931.98611966667</v>
      </c>
      <c r="J7367" s="30" t="n">
        <f aca="false">pace+(g_tv*Sens!I7368-pace)*MIN(1,(Sens!J7366-pace_y0)/(pace_y1-pace_y0))</f>
        <v>1176.07686172667</v>
      </c>
      <c r="K7367" s="30" t="n">
        <f aca="false">pace+(g_tv*Sens!J7368-pace)*MIN(1,(Sens!K7366-pace_y0)/(pace_y1-pace_y0))</f>
        <v>436.1300484418</v>
      </c>
      <c r="L7367" s="12" t="s">
        <v>953</v>
      </c>
    </row>
    <row r="7368" customFormat="false" ht="17.15" hidden="false" customHeight="false" outlineLevel="0" collapsed="false">
      <c r="A7368" s="1" t="s">
        <v>954</v>
      </c>
      <c r="B7368" s="0" t="s">
        <v>459</v>
      </c>
      <c r="C7368" s="30" t="n">
        <f aca="false">mw_ext_24</f>
        <v>640</v>
      </c>
      <c r="D7368" s="30" t="n">
        <f aca="false">mw_ext_25</f>
        <v>1630</v>
      </c>
      <c r="E7368" s="30" t="n">
        <f aca="false">mw_ext_26</f>
        <v>3250</v>
      </c>
      <c r="F7368" s="30" t="n">
        <f aca="false">Sens!E7368+Sens!F7367</f>
        <v>5976.5351</v>
      </c>
      <c r="G7368" s="30" t="n">
        <f aca="false">Sens!F7368+Sens!G7367</f>
        <v>8703.0702</v>
      </c>
      <c r="H7368" s="30" t="n">
        <f aca="false">Sens!G7368+Sens!H7367</f>
        <v>11429.6053</v>
      </c>
      <c r="I7368" s="30" t="n">
        <f aca="false">Sens!H7368+Sens!I7367</f>
        <v>13361.5914196667</v>
      </c>
      <c r="J7368" s="30" t="n">
        <f aca="false">Sens!I7368+Sens!J7367</f>
        <v>14537.6682813933</v>
      </c>
      <c r="K7368" s="30" t="n">
        <f aca="false">Sens!J7368+Sens!K7367</f>
        <v>14973.7983298351</v>
      </c>
      <c r="L7368" s="1" t="s">
        <v>955</v>
      </c>
    </row>
    <row r="7369" customFormat="false" ht="17.15" hidden="false" customHeight="false" outlineLevel="0" collapsed="false">
      <c r="A7369" s="1" t="s">
        <v>956</v>
      </c>
      <c r="B7369" s="0" t="s">
        <v>459</v>
      </c>
      <c r="C7369" s="30" t="n">
        <f aca="false">rent_ext_24</f>
        <v>150</v>
      </c>
      <c r="D7369" s="30" t="n">
        <f aca="false">rent_ext_25</f>
        <v>400</v>
      </c>
      <c r="E7369" s="30" t="n">
        <f aca="false">rent_ext_26</f>
        <v>550</v>
      </c>
      <c r="F7369" s="30" t="n">
        <f aca="false">rent_ext_f</f>
        <v>756</v>
      </c>
      <c r="G7369" s="30" t="n">
        <f aca="false">rent_ext_f</f>
        <v>756</v>
      </c>
      <c r="H7369" s="30" t="n">
        <f aca="false">rent_ext_f</f>
        <v>756</v>
      </c>
      <c r="I7369" s="30" t="n">
        <f aca="false">rent_ext_f</f>
        <v>756</v>
      </c>
      <c r="J7369" s="30" t="n">
        <f aca="false">rent_ext_f</f>
        <v>756</v>
      </c>
      <c r="K7369" s="30" t="n">
        <f aca="false">rent_ext_f</f>
        <v>756</v>
      </c>
      <c r="L7369" s="1" t="s">
        <v>957</v>
      </c>
    </row>
    <row r="7370" customFormat="false" ht="17.15" hidden="false" customHeight="false" outlineLevel="0" collapsed="false">
      <c r="A7370" s="1" t="s">
        <v>958</v>
      </c>
      <c r="B7370" s="0" t="s">
        <v>459</v>
      </c>
      <c r="C7370" s="30" t="n">
        <f aca="false">Sens!C7368-Sens!C7369</f>
        <v>490</v>
      </c>
      <c r="D7370" s="30" t="n">
        <f aca="false">Sens!D7368-Sens!D7369</f>
        <v>1230</v>
      </c>
      <c r="E7370" s="30" t="n">
        <f aca="false">Sens!E7368-Sens!E7369</f>
        <v>2700</v>
      </c>
      <c r="F7370" s="30" t="n">
        <f aca="false">Sens!F7368-Sens!F7369</f>
        <v>5220.5351</v>
      </c>
      <c r="G7370" s="30" t="n">
        <f aca="false">Sens!G7368-Sens!G7369</f>
        <v>7947.0702</v>
      </c>
      <c r="H7370" s="30" t="n">
        <f aca="false">Sens!H7368-Sens!H7369</f>
        <v>10673.6053</v>
      </c>
      <c r="I7370" s="30" t="n">
        <f aca="false">Sens!I7368-Sens!I7369</f>
        <v>12605.5914196667</v>
      </c>
      <c r="J7370" s="30" t="n">
        <f aca="false">Sens!J7368-Sens!J7369</f>
        <v>13781.6682813933</v>
      </c>
      <c r="K7370" s="30" t="n">
        <f aca="false">Sens!K7368-Sens!K7369</f>
        <v>14217.7983298351</v>
      </c>
    </row>
    <row r="7371" customFormat="false" ht="17.15" hidden="false" customHeight="false" outlineLevel="0" collapsed="false">
      <c r="A7371" s="1" t="s">
        <v>959</v>
      </c>
      <c r="B7371" s="0" t="s">
        <v>459</v>
      </c>
      <c r="C7371" s="30" t="n">
        <f aca="false">Sens!C7370/ext_sh</f>
        <v>816.666666666667</v>
      </c>
      <c r="D7371" s="30" t="n">
        <f aca="false">Sens!D7370/ext_sh</f>
        <v>2050</v>
      </c>
      <c r="E7371" s="30" t="n">
        <f aca="false">Sens!E7370/ext_sh</f>
        <v>4500</v>
      </c>
      <c r="F7371" s="30" t="n">
        <f aca="false">Sens!F7370/ext_sh</f>
        <v>8700.89183333333</v>
      </c>
      <c r="G7371" s="30" t="n">
        <f aca="false">Sens!G7370/ext_sh</f>
        <v>13245.117</v>
      </c>
      <c r="H7371" s="30" t="n">
        <f aca="false">Sens!H7370/ext_sh</f>
        <v>17789.3421666667</v>
      </c>
      <c r="I7371" s="30" t="n">
        <f aca="false">Sens!I7370/ext_sh</f>
        <v>21009.3190327778</v>
      </c>
      <c r="J7371" s="30" t="n">
        <f aca="false">Sens!J7370/ext_sh</f>
        <v>22969.4471356556</v>
      </c>
      <c r="K7371" s="30" t="n">
        <f aca="false">Sens!K7370/ext_sh</f>
        <v>23696.3305497252</v>
      </c>
      <c r="L7371" s="1" t="s">
        <v>960</v>
      </c>
    </row>
    <row r="7372" customFormat="false" ht="17.15" hidden="false" customHeight="false" outlineLevel="0" collapsed="false">
      <c r="A7372" s="1" t="s">
        <v>961</v>
      </c>
      <c r="B7372" s="0" t="s">
        <v>459</v>
      </c>
      <c r="C7372" s="30" t="n">
        <f aca="false">Sens!C7371-Sens!C7370</f>
        <v>326.666666666667</v>
      </c>
      <c r="D7372" s="30" t="n">
        <f aca="false">Sens!D7371-Sens!D7370</f>
        <v>820</v>
      </c>
      <c r="E7372" s="30" t="n">
        <f aca="false">Sens!E7371-Sens!E7370</f>
        <v>1800</v>
      </c>
      <c r="F7372" s="30" t="n">
        <f aca="false">Sens!F7371-Sens!F7370</f>
        <v>3480.35673333333</v>
      </c>
      <c r="G7372" s="30" t="n">
        <f aca="false">Sens!G7371-Sens!G7370</f>
        <v>5298.0468</v>
      </c>
      <c r="H7372" s="30" t="n">
        <f aca="false">Sens!H7371-Sens!H7370</f>
        <v>7115.73686666667</v>
      </c>
      <c r="I7372" s="30" t="n">
        <f aca="false">Sens!I7371-Sens!I7370</f>
        <v>8403.72761311111</v>
      </c>
      <c r="J7372" s="30" t="n">
        <f aca="false">Sens!J7371-Sens!J7370</f>
        <v>9187.77885426222</v>
      </c>
      <c r="K7372" s="30" t="n">
        <f aca="false">Sens!K7371-Sens!K7370</f>
        <v>9478.53221989009</v>
      </c>
    </row>
    <row r="7373" customFormat="false" ht="17.15" hidden="false" customHeight="false" outlineLevel="0" collapsed="false">
      <c r="A7373" s="1" t="s">
        <v>962</v>
      </c>
      <c r="B7373" s="0" t="s">
        <v>459</v>
      </c>
      <c r="C7373" s="30" t="n">
        <f aca="false">Sens!C7371</f>
        <v>816.666666666667</v>
      </c>
      <c r="D7373" s="30" t="n">
        <f aca="false">Sens!D7371-Sens!C7371</f>
        <v>1233.33333333333</v>
      </c>
      <c r="E7373" s="30" t="n">
        <f aca="false">Sens!E7371-Sens!D7371</f>
        <v>2450</v>
      </c>
      <c r="F7373" s="30" t="n">
        <f aca="false">Sens!F7371-Sens!E7371</f>
        <v>4200.89183333333</v>
      </c>
      <c r="G7373" s="30" t="n">
        <f aca="false">Sens!G7371-Sens!F7371</f>
        <v>4544.22516666667</v>
      </c>
      <c r="H7373" s="30" t="n">
        <f aca="false">Sens!H7371-Sens!G7371</f>
        <v>4544.22516666667</v>
      </c>
      <c r="I7373" s="30" t="n">
        <f aca="false">Sens!I7371-Sens!H7371</f>
        <v>3219.97686611111</v>
      </c>
      <c r="J7373" s="30" t="n">
        <f aca="false">Sens!J7371-Sens!I7371</f>
        <v>1960.12810287778</v>
      </c>
      <c r="K7373" s="30" t="n">
        <f aca="false">Sens!K7371-Sens!J7371</f>
        <v>726.883414069667</v>
      </c>
    </row>
    <row r="7374" customFormat="false" ht="17.15" hidden="false" customHeight="false" outlineLevel="0" collapsed="false">
      <c r="A7374" s="1" t="s">
        <v>963</v>
      </c>
      <c r="B7374" s="0" t="s">
        <v>459</v>
      </c>
      <c r="D7374" s="30" t="n">
        <f aca="false">Sens!D7368-Sens!C7368</f>
        <v>990</v>
      </c>
      <c r="E7374" s="30" t="n">
        <f aca="false">Sens!E7368-Sens!D7368</f>
        <v>1620</v>
      </c>
      <c r="F7374" s="30" t="n">
        <f aca="false">Sens!F7368-Sens!E7368</f>
        <v>2726.5351</v>
      </c>
      <c r="G7374" s="30" t="n">
        <f aca="false">Sens!G7368-Sens!F7368</f>
        <v>2726.5351</v>
      </c>
      <c r="H7374" s="30" t="n">
        <f aca="false">Sens!H7368-Sens!G7368</f>
        <v>2726.5351</v>
      </c>
      <c r="I7374" s="30" t="n">
        <f aca="false">Sens!I7368-Sens!H7368</f>
        <v>1931.98611966667</v>
      </c>
      <c r="J7374" s="30" t="n">
        <f aca="false">Sens!J7368-Sens!I7368</f>
        <v>1176.07686172667</v>
      </c>
      <c r="K7374" s="30" t="n">
        <f aca="false">Sens!K7368-Sens!J7368</f>
        <v>436.130048441799</v>
      </c>
    </row>
    <row r="7375" customFormat="false" ht="17.15" hidden="false" customHeight="false" outlineLevel="0" collapsed="false">
      <c r="A7375" s="1" t="s">
        <v>964</v>
      </c>
      <c r="B7375" s="0" t="s">
        <v>459</v>
      </c>
      <c r="F7375" s="30" t="n">
        <f aca="false">Sens!F7394*ext_sh</f>
        <v>0</v>
      </c>
      <c r="G7375" s="30" t="n">
        <f aca="false">Sens!G7394*ext_sh</f>
        <v>0</v>
      </c>
      <c r="H7375" s="30" t="n">
        <f aca="false">Sens!H7394*ext_sh</f>
        <v>0</v>
      </c>
      <c r="I7375" s="30" t="n">
        <f aca="false">Sens!I7394*ext_sh</f>
        <v>490</v>
      </c>
      <c r="J7375" s="30" t="n">
        <f aca="false">Sens!J7394*ext_sh</f>
        <v>740</v>
      </c>
      <c r="K7375" s="30" t="n">
        <f aca="false">Sens!K7394*ext_sh</f>
        <v>1470</v>
      </c>
      <c r="L7375" s="1" t="s">
        <v>965</v>
      </c>
    </row>
    <row r="7376" customFormat="false" ht="17.15" hidden="false" customHeight="false" outlineLevel="0" collapsed="false">
      <c r="A7376" s="1" t="s">
        <v>966</v>
      </c>
      <c r="B7376" s="0" t="s">
        <v>459</v>
      </c>
      <c r="C7376" s="30" t="n">
        <f aca="false">mix_h*Sens!C7368</f>
        <v>128</v>
      </c>
      <c r="D7376" s="30" t="n">
        <f aca="false">mix_h*Sens!D7368</f>
        <v>326</v>
      </c>
      <c r="E7376" s="30" t="n">
        <f aca="false">mix_h*Sens!E7368</f>
        <v>650</v>
      </c>
      <c r="F7376" s="30" t="n">
        <f aca="false">Sens!E7376-Sens!F7375*mix_h</f>
        <v>650</v>
      </c>
      <c r="G7376" s="30" t="n">
        <f aca="false">Sens!F7376-Sens!G7375*mix_h</f>
        <v>650</v>
      </c>
      <c r="H7376" s="30" t="n">
        <f aca="false">Sens!G7376-Sens!H7375*mix_h</f>
        <v>650</v>
      </c>
      <c r="I7376" s="30" t="n">
        <f aca="false">Sens!H7376-Sens!I7375*mix_h</f>
        <v>552</v>
      </c>
      <c r="J7376" s="30" t="n">
        <f aca="false">Sens!I7376-Sens!J7375*mix_h</f>
        <v>404</v>
      </c>
      <c r="K7376" s="30" t="n">
        <f aca="false">Sens!J7376-Sens!K7375*mix_h</f>
        <v>110</v>
      </c>
    </row>
    <row r="7377" customFormat="false" ht="17.15" hidden="false" customHeight="false" outlineLevel="0" collapsed="false">
      <c r="A7377" s="1" t="s">
        <v>967</v>
      </c>
      <c r="B7377" s="0" t="s">
        <v>459</v>
      </c>
      <c r="C7377" s="30" t="n">
        <f aca="false">mix_g2*Sens!C7368</f>
        <v>288</v>
      </c>
      <c r="D7377" s="30" t="n">
        <f aca="false">mix_g2*Sens!D7368</f>
        <v>733.5</v>
      </c>
      <c r="E7377" s="30" t="n">
        <f aca="false">mix_g2*Sens!E7368</f>
        <v>1462.5</v>
      </c>
      <c r="F7377" s="30" t="n">
        <f aca="false">Sens!E7377-Sens!F7375*mix_g2</f>
        <v>1462.5</v>
      </c>
      <c r="G7377" s="30" t="n">
        <f aca="false">Sens!F7377-Sens!G7375*mix_g2</f>
        <v>1462.5</v>
      </c>
      <c r="H7377" s="30" t="n">
        <f aca="false">Sens!G7377-Sens!H7375*mix_g2</f>
        <v>1462.5</v>
      </c>
      <c r="I7377" s="30" t="n">
        <f aca="false">Sens!H7377-Sens!I7375*mix_g2</f>
        <v>1242</v>
      </c>
      <c r="J7377" s="30" t="n">
        <f aca="false">Sens!I7377-Sens!J7375*mix_g2</f>
        <v>909</v>
      </c>
      <c r="K7377" s="30" t="n">
        <f aca="false">Sens!J7377-Sens!K7375*mix_g2</f>
        <v>247.5</v>
      </c>
    </row>
    <row r="7378" customFormat="false" ht="17.15" hidden="false" customHeight="false" outlineLevel="0" collapsed="false">
      <c r="A7378" s="1" t="s">
        <v>968</v>
      </c>
      <c r="B7378" s="0" t="s">
        <v>459</v>
      </c>
      <c r="C7378" s="30" t="n">
        <f aca="false">mix_g3*Sens!C7368</f>
        <v>224</v>
      </c>
      <c r="D7378" s="30" t="n">
        <f aca="false">mix_g3*Sens!D7368</f>
        <v>570.5</v>
      </c>
      <c r="E7378" s="30" t="n">
        <f aca="false">mix_g3*Sens!E7368</f>
        <v>1137.5</v>
      </c>
      <c r="F7378" s="30" t="n">
        <f aca="false">Sens!E7378+(Sens!F7374+Sens!F7375)*(a_g3_27-nonnv*a_mai)-Sens!F7375*mix_g3</f>
        <v>2773.42106</v>
      </c>
      <c r="G7378" s="30" t="n">
        <f aca="false">Sens!F7378+(Sens!G7374+Sens!G7375)*(a_g3_28-nonnv*a_mai)-Sens!G7375*mix_g3</f>
        <v>3318.72808</v>
      </c>
      <c r="H7378" s="30" t="n">
        <f aca="false">Sens!G7378+(Sens!H7374+Sens!H7375)*(a_g3_29-nonnv*a_mai)-Sens!H7375*mix_g3</f>
        <v>3318.72808</v>
      </c>
      <c r="I7378" s="30" t="n">
        <f aca="false">Sens!H7378+(Sens!I7374+Sens!I7375)*(a_g3_29-nonnv*a_mai)-Sens!I7375*mix_g3</f>
        <v>3147.22808</v>
      </c>
      <c r="J7378" s="30" t="n">
        <f aca="false">Sens!I7378+(Sens!J7374+Sens!J7375)*(a_g3_29-nonnv*a_mai)-Sens!J7375*mix_g3</f>
        <v>2888.22808</v>
      </c>
      <c r="K7378" s="30" t="n">
        <f aca="false">Sens!J7378+(Sens!K7374+Sens!K7375)*(a_g3_29-nonnv*a_mai)-Sens!K7375*mix_g3</f>
        <v>2373.72808</v>
      </c>
    </row>
    <row r="7379" customFormat="false" ht="17.15" hidden="false" customHeight="false" outlineLevel="0" collapsed="false">
      <c r="A7379" s="1" t="s">
        <v>969</v>
      </c>
      <c r="B7379" s="0" t="s">
        <v>459</v>
      </c>
      <c r="C7379" s="30" t="n">
        <v>0</v>
      </c>
      <c r="D7379" s="30" t="n">
        <v>0</v>
      </c>
      <c r="E7379" s="30" t="n">
        <v>0</v>
      </c>
      <c r="F7379" s="30" t="n">
        <f aca="false">Sens!E7379+(Sens!F7374+Sens!F7375)*nonnv*a_mai</f>
        <v>272.65351</v>
      </c>
      <c r="G7379" s="30" t="n">
        <f aca="false">Sens!F7379+(Sens!G7374+Sens!G7375)*nonnv*a_mai</f>
        <v>545.30702</v>
      </c>
      <c r="H7379" s="30" t="n">
        <f aca="false">Sens!G7379+(Sens!H7374+Sens!H7375)*nonnv*a_mai</f>
        <v>817.96053</v>
      </c>
      <c r="I7379" s="30" t="n">
        <f aca="false">Sens!H7379+(Sens!I7374+Sens!I7375)*nonnv*a_mai</f>
        <v>1060.15914196667</v>
      </c>
      <c r="J7379" s="30" t="n">
        <f aca="false">Sens!I7379+(Sens!J7374+Sens!J7375)*nonnv*a_mai</f>
        <v>1251.76682813933</v>
      </c>
      <c r="K7379" s="30" t="n">
        <f aca="false">Sens!J7379+(Sens!K7374+Sens!K7375)*nonnv*a_mai</f>
        <v>1442.37983298351</v>
      </c>
      <c r="L7379" s="12" t="s">
        <v>970</v>
      </c>
    </row>
    <row r="7380" customFormat="false" ht="17.15" hidden="false" customHeight="false" outlineLevel="0" collapsed="false">
      <c r="A7380" s="1" t="s">
        <v>971</v>
      </c>
      <c r="B7380" s="0" t="s">
        <v>459</v>
      </c>
      <c r="C7380" s="30" t="n">
        <v>0</v>
      </c>
      <c r="D7380" s="30" t="n">
        <v>0</v>
      </c>
      <c r="E7380" s="30" t="n">
        <v>0</v>
      </c>
      <c r="F7380" s="30" t="n">
        <f aca="false">Sens!E7380+(Sens!F7374+Sens!F7375)*(1-a_g3_27)</f>
        <v>817.96053</v>
      </c>
      <c r="G7380" s="30" t="n">
        <f aca="false">Sens!F7380+(Sens!G7374+Sens!G7375)*(1-a_g3_28)</f>
        <v>2726.5351</v>
      </c>
      <c r="H7380" s="30" t="n">
        <f aca="false">Sens!G7380+(Sens!H7374+Sens!H7375)*(1-a_g3_29)</f>
        <v>5180.41669</v>
      </c>
      <c r="I7380" s="30" t="n">
        <f aca="false">Sens!H7380+(Sens!I7374+Sens!I7375)*(1-a_g3_29)</f>
        <v>7360.2041977</v>
      </c>
      <c r="J7380" s="30" t="n">
        <f aca="false">Sens!I7380+(Sens!J7374+Sens!J7375)*(1-a_g3_29)</f>
        <v>9084.673373254</v>
      </c>
      <c r="K7380" s="30" t="n">
        <f aca="false">Sens!J7380+(Sens!K7374+Sens!K7375)*(1-a_g3_29)</f>
        <v>10800.1904168516</v>
      </c>
    </row>
    <row r="7381" customFormat="false" ht="17.15" hidden="false" customHeight="false" outlineLevel="0" collapsed="false">
      <c r="A7381" s="1" t="s">
        <v>972</v>
      </c>
      <c r="B7381" s="0" t="s">
        <v>403</v>
      </c>
      <c r="C7381" s="15" t="n">
        <f aca="false">(Sens!C7376*tk_hold_h100+Sens!C7377*tk_hold_gb200+Sens!C7378*tk_hold_gb300+Sens!C7380*tk_hold_vr200+Sens!C7379*nv_hold_mai*tk_hold_vr200)/Sens!C7368</f>
        <v>9.7235358126469</v>
      </c>
      <c r="D7381" s="15" t="n">
        <f aca="false">(Sens!D7376*tk_hold_h100+Sens!D7377*tk_hold_gb200+Sens!D7378*tk_hold_gb300+Sens!D7380*tk_hold_vr200+Sens!D7379*nv_hold_mai*tk_hold_vr200)/Sens!D7368</f>
        <v>9.7235358126469</v>
      </c>
      <c r="E7381" s="15" t="n">
        <f aca="false">(Sens!E7376*tk_hold_h100+Sens!E7377*tk_hold_gb200+Sens!E7378*tk_hold_gb300+Sens!E7380*tk_hold_vr200+Sens!E7379*nv_hold_mai*tk_hold_vr200)/Sens!E7368</f>
        <v>9.7235358126469</v>
      </c>
      <c r="F7381" s="15" t="n">
        <f aca="false">(Sens!F7376*tk_hold_h100+Sens!F7377*tk_hold_gb200+Sens!F7378*tk_hold_gb300+Sens!F7380*tk_hold_vr200+Sens!F7379*nv_hold_mai*tk_hold_vr200)/Sens!F7368</f>
        <v>10.2195353876665</v>
      </c>
      <c r="G7381" s="15" t="n">
        <f aca="false">(Sens!G7376*tk_hold_h100+Sens!G7377*tk_hold_gb200+Sens!G7378*tk_hold_gb300+Sens!G7380*tk_hold_vr200+Sens!G7379*nv_hold_mai*tk_hold_vr200)/Sens!G7368</f>
        <v>10.5725598017306</v>
      </c>
      <c r="H7381" s="15" t="n">
        <f aca="false">(Sens!H7376*tk_hold_h100+Sens!H7377*tk_hold_gb200+Sens!H7378*tk_hold_gb300+Sens!H7380*tk_hold_vr200+Sens!H7379*nv_hold_mai*tk_hold_vr200)/Sens!H7368</f>
        <v>10.8210427149036</v>
      </c>
      <c r="I7381" s="15" t="n">
        <f aca="false">(Sens!I7376*tk_hold_h100+Sens!I7377*tk_hold_gb200+Sens!I7378*tk_hold_gb300+Sens!I7380*tk_hold_vr200+Sens!I7379*nv_hold_mai*tk_hold_vr200)/Sens!I7368</f>
        <v>11.0050618241982</v>
      </c>
      <c r="J7381" s="15" t="n">
        <f aca="false">(Sens!J7376*tk_hold_h100+Sens!J7377*tk_hold_gb200+Sens!J7378*tk_hold_gb300+Sens!J7380*tk_hold_vr200+Sens!J7379*nv_hold_mai*tk_hold_vr200)/Sens!J7368</f>
        <v>11.1505789658881</v>
      </c>
      <c r="K7381" s="15" t="n">
        <f aca="false">(Sens!K7376*tk_hold_h100+Sens!K7377*tk_hold_gb200+Sens!K7378*tk_hold_gb300+Sens!K7380*tk_hold_vr200+Sens!K7379*nv_hold_mai*tk_hold_vr200)/Sens!K7368</f>
        <v>11.3496914757183</v>
      </c>
      <c r="L7381" s="1" t="s">
        <v>973</v>
      </c>
    </row>
    <row r="7382" customFormat="false" ht="17.15" hidden="false" customHeight="false" outlineLevel="0" collapsed="false">
      <c r="A7382" s="1" t="s">
        <v>974</v>
      </c>
      <c r="B7382" s="0" t="s">
        <v>403</v>
      </c>
      <c r="C7382" s="15" t="n">
        <f aca="false">(Sens!C7376*tk_hold_h100+Sens!C7377*tk_hold_gb200+Sens!C7378*tk_hold_gb300+Sens!C7380*tk_hold_vr200+Sens!C7379*nv_out_mai*tk_hold_vr200)/Sens!C7368</f>
        <v>9.7235358126469</v>
      </c>
      <c r="D7382" s="15" t="n">
        <f aca="false">(Sens!D7376*tk_hold_h100+Sens!D7377*tk_hold_gb200+Sens!D7378*tk_hold_gb300+Sens!D7380*tk_hold_vr200+Sens!D7379*nv_out_mai*tk_hold_vr200)/Sens!D7368</f>
        <v>9.7235358126469</v>
      </c>
      <c r="E7382" s="15" t="n">
        <f aca="false">(Sens!E7376*tk_hold_h100+Sens!E7377*tk_hold_gb200+Sens!E7378*tk_hold_gb300+Sens!E7380*tk_hold_vr200+Sens!E7379*nv_out_mai*tk_hold_vr200)/Sens!E7368</f>
        <v>9.7235358126469</v>
      </c>
      <c r="F7382" s="15" t="n">
        <f aca="false">(Sens!F7376*tk_hold_h100+Sens!F7377*tk_hold_gb200+Sens!F7378*tk_hold_gb300+Sens!F7380*tk_hold_vr200+Sens!F7379*nv_out_mai*tk_hold_vr200)/Sens!F7368</f>
        <v>10.247422093969</v>
      </c>
      <c r="G7382" s="15" t="n">
        <f aca="false">(Sens!G7376*tk_hold_h100+Sens!G7377*tk_hold_gb200+Sens!G7378*tk_hold_gb300+Sens!G7380*tk_hold_vr200+Sens!G7379*nv_out_mai*tk_hold_vr200)/Sens!G7368</f>
        <v>10.6108602808053</v>
      </c>
      <c r="H7382" s="15" t="n">
        <f aca="false">(Sens!H7376*tk_hold_h100+Sens!H7377*tk_hold_gb200+Sens!H7378*tk_hold_gb300+Sens!H7380*tk_hold_vr200+Sens!H7379*nv_out_mai*tk_hold_vr200)/Sens!H7368</f>
        <v>10.8647885507393</v>
      </c>
      <c r="I7382" s="15" t="n">
        <f aca="false">(Sens!I7376*tk_hold_h100+Sens!I7377*tk_hold_gb200+Sens!I7378*tk_hold_gb300+Sens!I7380*tk_hold_vr200+Sens!I7379*nv_out_mai*tk_hold_vr200)/Sens!I7368</f>
        <v>11.0535625770025</v>
      </c>
      <c r="J7382" s="15" t="n">
        <f aca="false">(Sens!J7376*tk_hold_h100+Sens!J7377*tk_hold_gb200+Sens!J7378*tk_hold_gb300+Sens!J7380*tk_hold_vr200+Sens!J7379*nv_out_mai*tk_hold_vr200)/Sens!J7368</f>
        <v>11.2032127128058</v>
      </c>
      <c r="K7382" s="15" t="n">
        <f aca="false">(Sens!K7376*tk_hold_h100+Sens!K7377*tk_hold_gb200+Sens!K7378*tk_hold_gb300+Sens!K7380*tk_hold_vr200+Sens!K7379*nv_out_mai*tk_hold_vr200)/Sens!K7368</f>
        <v>11.4085735724225</v>
      </c>
      <c r="L7382" s="12" t="s">
        <v>975</v>
      </c>
    </row>
    <row r="7383" customFormat="false" ht="17.15" hidden="false" customHeight="false" outlineLevel="0" collapsed="false">
      <c r="A7383" s="0" t="s">
        <v>976</v>
      </c>
      <c r="B7383" s="0" t="s">
        <v>229</v>
      </c>
      <c r="C7383" s="15" t="n">
        <f aca="false">k_B</f>
        <v>1.17213932619116</v>
      </c>
      <c r="D7383" s="15" t="n">
        <f aca="false">k_B</f>
        <v>1.17213932619116</v>
      </c>
      <c r="E7383" s="15" t="n">
        <f aca="false">k_B</f>
        <v>1.17213932619116</v>
      </c>
      <c r="F7383" s="15" t="n">
        <f aca="false">(k_B+((ls_A*k_long+(1-ls_A)*k_spot)-k_B)*MIN(1,(Sens!F7366-base_fy)/k_ramp))</f>
        <v>1.25022828131298</v>
      </c>
      <c r="G7383" s="15" t="n">
        <f aca="false">(k_B+((ls_A*k_long+(1-ls_A)*k_spot)-k_B)*MIN(1,(Sens!G7366-base_fy)/k_ramp))</f>
        <v>1.3283172364348</v>
      </c>
      <c r="H7383" s="15" t="n">
        <f aca="false">(k_B+((ls_A*k_long+(1-ls_A)*k_spot)-k_B)*MIN(1,(Sens!H7366-base_fy)/k_ramp))</f>
        <v>1.40640619155662</v>
      </c>
      <c r="I7383" s="15" t="n">
        <f aca="false">(k_B+((ls_A*k_long+(1-ls_A)*k_spot)-k_B)*MIN(1,(Sens!I7366-base_fy)/k_ramp))</f>
        <v>1.40640619155662</v>
      </c>
      <c r="J7383" s="15" t="n">
        <f aca="false">(k_B+((ls_A*k_long+(1-ls_A)*k_spot)-k_B)*MIN(1,(Sens!J7366-base_fy)/k_ramp))</f>
        <v>1.40640619155662</v>
      </c>
      <c r="K7383" s="15" t="n">
        <f aca="false">(k_B+((ls_A*k_long+(1-ls_A)*k_spot)-k_B)*MIN(1,(Sens!K7366-base_fy)/k_ramp))</f>
        <v>1.40640619155662</v>
      </c>
      <c r="L7383" s="1" t="s">
        <v>977</v>
      </c>
    </row>
    <row r="7384" customFormat="false" ht="17.15" hidden="false" customHeight="false" outlineLevel="0" collapsed="false">
      <c r="A7384" s="1" t="s">
        <v>978</v>
      </c>
      <c r="B7384" s="0" t="s">
        <v>403</v>
      </c>
      <c r="C7384" s="15" t="n">
        <f aca="false">Sens!C7382*Sens!C7383*chip_f</f>
        <v>11.3973387156315</v>
      </c>
      <c r="D7384" s="15" t="n">
        <f aca="false">Sens!D7382*Sens!D7383*chip_f</f>
        <v>11.3973387156315</v>
      </c>
      <c r="E7384" s="15" t="n">
        <f aca="false">Sens!E7382*Sens!E7383*chip_f</f>
        <v>11.3973387156315</v>
      </c>
      <c r="F7384" s="15" t="n">
        <f aca="false">Sens!F7382*Sens!F7383*chip_f</f>
        <v>12.8116169124314</v>
      </c>
      <c r="G7384" s="15" t="n">
        <f aca="false">Sens!G7382*Sens!G7383*chip_f</f>
        <v>14.094588604395</v>
      </c>
      <c r="H7384" s="15" t="n">
        <f aca="false">Sens!H7382*Sens!H7383*chip_f</f>
        <v>15.2803058877132</v>
      </c>
      <c r="I7384" s="15" t="n">
        <f aca="false">Sens!I7382*Sens!I7383*chip_f</f>
        <v>15.5457988470549</v>
      </c>
      <c r="J7384" s="15" t="n">
        <f aca="false">Sens!J7382*Sens!J7383*chip_f</f>
        <v>15.7562677246158</v>
      </c>
      <c r="K7384" s="15" t="n">
        <f aca="false">Sens!K7382*Sens!K7383*chip_f</f>
        <v>16.0450885090842</v>
      </c>
      <c r="L7384" s="1" t="s">
        <v>979</v>
      </c>
    </row>
    <row r="7385" customFormat="false" ht="17.15" hidden="false" customHeight="false" outlineLevel="0" collapsed="false">
      <c r="A7385" s="0" t="s">
        <v>980</v>
      </c>
      <c r="B7385" s="0" t="s">
        <v>98</v>
      </c>
      <c r="D7385" s="6" t="n">
        <f aca="false">(Sens!C7368+Sens!D7368)/2*Sens!D7384/1000</f>
        <v>12.9359794422418</v>
      </c>
      <c r="E7385" s="6" t="n">
        <f aca="false">(Sens!D7368+Sens!E7368)/2*Sens!E7384/1000</f>
        <v>27.8095064661409</v>
      </c>
      <c r="F7385" s="6" t="n">
        <f aca="false">(Sens!E7368+Sens!F7368)/2*Sens!F7384/1000</f>
        <v>59.1034165651511</v>
      </c>
      <c r="G7385" s="6" t="n">
        <f aca="false">(Sens!F7368+Sens!G7368)/2*Sens!G7384/1000</f>
        <v>103.451498789198</v>
      </c>
      <c r="H7385" s="6" t="n">
        <f aca="false">(Sens!G7368+Sens!H7368)/2*Sens!H7384/1000</f>
        <v>153.816719989035</v>
      </c>
      <c r="I7385" s="6" t="n">
        <f aca="false">(Sens!H7368+Sens!I7368)/2*Sens!I7384/1000</f>
        <v>192.699478690852</v>
      </c>
      <c r="J7385" s="6" t="n">
        <f aca="false">(Sens!I7368+Sens!J7368)/2*Sens!J7384/1000</f>
        <v>219.794102584244</v>
      </c>
      <c r="K7385" s="6" t="n">
        <f aca="false">(Sens!J7368+Sens!K7368)/2*Sens!K7384/1000</f>
        <v>236.757046905022</v>
      </c>
      <c r="L7385" s="12" t="s">
        <v>981</v>
      </c>
    </row>
    <row r="7386" customFormat="false" ht="17.15" hidden="false" customHeight="false" outlineLevel="0" collapsed="false">
      <c r="A7386" s="1" t="s">
        <v>982</v>
      </c>
      <c r="B7386" s="0" t="s">
        <v>403</v>
      </c>
      <c r="C7386" s="15" t="n">
        <f aca="false">(Sens!C7376*tk_opex_h100+Sens!C7377*tk_opex_gb200+Sens!C7378*tk_opex_gb300+(Sens!C7380+Sens!C7379)*tk_opex_vr200)/Sens!C7368</f>
        <v>1.88636041306092</v>
      </c>
      <c r="D7386" s="15" t="n">
        <f aca="false">(Sens!D7376*tk_opex_h100+Sens!D7377*tk_opex_gb200+Sens!D7378*tk_opex_gb300+(Sens!D7380+Sens!D7379)*tk_opex_vr200)/Sens!D7368</f>
        <v>1.88636041306092</v>
      </c>
      <c r="E7386" s="15" t="n">
        <f aca="false">(Sens!E7376*tk_opex_h100+Sens!E7377*tk_opex_gb200+Sens!E7378*tk_opex_gb300+(Sens!E7380+Sens!E7379)*tk_opex_vr200)/Sens!E7368</f>
        <v>1.88636041306092</v>
      </c>
      <c r="F7386" s="15" t="n">
        <f aca="false">(Sens!F7376*tk_opex_h100+Sens!F7377*tk_opex_gb200+Sens!F7378*tk_opex_gb300+(Sens!F7380+Sens!F7379)*tk_opex_vr200)/Sens!F7368</f>
        <v>1.95051159746876</v>
      </c>
      <c r="G7386" s="15" t="n">
        <f aca="false">(Sens!G7376*tk_opex_h100+Sens!G7377*tk_opex_gb200+Sens!G7378*tk_opex_gb300+(Sens!G7380+Sens!G7379)*tk_opex_vr200)/Sens!G7368</f>
        <v>1.98836003669956</v>
      </c>
      <c r="H7386" s="15" t="n">
        <f aca="false">(Sens!H7376*tk_opex_h100+Sens!H7377*tk_opex_gb200+Sens!H7378*tk_opex_gb300+(Sens!H7380+Sens!H7379)*tk_opex_vr200)/Sens!H7368</f>
        <v>2.01344013834343</v>
      </c>
      <c r="I7386" s="15" t="n">
        <f aca="false">(Sens!I7376*tk_opex_h100+Sens!I7377*tk_opex_gb200+Sens!I7378*tk_opex_gb300+(Sens!I7380+Sens!I7379)*tk_opex_vr200)/Sens!I7368</f>
        <v>2.03261166882178</v>
      </c>
      <c r="J7386" s="15" t="n">
        <f aca="false">(Sens!J7376*tk_opex_h100+Sens!J7377*tk_opex_gb200+Sens!J7378*tk_opex_gb300+(Sens!J7380+Sens!J7379)*tk_opex_vr200)/Sens!J7368</f>
        <v>2.04808073288745</v>
      </c>
      <c r="K7386" s="15" t="n">
        <f aca="false">(Sens!K7376*tk_opex_h100+Sens!K7377*tk_opex_gb200+Sens!K7378*tk_opex_gb300+(Sens!K7380+Sens!K7379)*tk_opex_vr200)/Sens!K7368</f>
        <v>2.06973825807449</v>
      </c>
      <c r="L7386" s="12" t="s">
        <v>983</v>
      </c>
    </row>
    <row r="7387" customFormat="false" ht="17.15" hidden="false" customHeight="false" outlineLevel="0" collapsed="false">
      <c r="A7387" s="0" t="s">
        <v>984</v>
      </c>
      <c r="B7387" s="0" t="s">
        <v>98</v>
      </c>
      <c r="D7387" s="6" t="n">
        <f aca="false">(Sens!C7371+Sens!D7371)/2*Sens!D7386/1000</f>
        <v>2.70378325872065</v>
      </c>
      <c r="E7387" s="6" t="n">
        <f aca="false">(Sens!D7371+Sens!E7371)/2*Sens!E7386/1000</f>
        <v>6.17783035277451</v>
      </c>
      <c r="F7387" s="6" t="n">
        <f aca="false">(Sens!E7371+Sens!F7371)/2*Sens!F7386/1000</f>
        <v>12.8742463089237</v>
      </c>
      <c r="G7387" s="6" t="n">
        <f aca="false">(Sens!F7371+Sens!G7371)/2*Sens!G7386/1000</f>
        <v>21.8182834646277</v>
      </c>
      <c r="H7387" s="6" t="n">
        <f aca="false">(Sens!G7371+Sens!H7371)/2*Sens!H7386/1000</f>
        <v>31.2430128789734</v>
      </c>
      <c r="I7387" s="6" t="n">
        <f aca="false">(Sens!H7371+Sens!I7371)/2*Sens!I7386/1000</f>
        <v>39.4313057443268</v>
      </c>
      <c r="J7387" s="6" t="n">
        <f aca="false">(Sens!I7371+Sens!J7371)/2*Sens!J7386/1000</f>
        <v>45.0360318228653</v>
      </c>
      <c r="K7387" s="6" t="n">
        <f aca="false">(Sens!J7371+Sens!K7371)/2*Sens!K7386/1000</f>
        <v>48.2929727091156</v>
      </c>
    </row>
    <row r="7388" customFormat="false" ht="17.15" hidden="false" customHeight="false" outlineLevel="0" collapsed="false">
      <c r="A7388" s="0" t="s">
        <v>985</v>
      </c>
      <c r="B7388" s="0" t="s">
        <v>98</v>
      </c>
      <c r="D7388" s="6" t="n">
        <f aca="false">(Sens!C7369+Sens!D7369)/2*rent_mw/1000</f>
        <v>2.44475</v>
      </c>
      <c r="E7388" s="6" t="n">
        <f aca="false">(Sens!D7369+Sens!E7369)/2*rent_mw/1000</f>
        <v>4.22275</v>
      </c>
      <c r="F7388" s="6" t="n">
        <f aca="false">(Sens!E7369+Sens!F7369)/2*rent_mw/1000</f>
        <v>5.80517</v>
      </c>
      <c r="G7388" s="6" t="n">
        <f aca="false">(Sens!F7369+Sens!G7369)/2*rent_mw/1000</f>
        <v>6.72084</v>
      </c>
      <c r="H7388" s="6" t="n">
        <f aca="false">(Sens!G7369+Sens!H7369)/2*rent_mw/1000</f>
        <v>6.72084</v>
      </c>
      <c r="I7388" s="6" t="n">
        <f aca="false">(Sens!H7369+Sens!I7369)/2*rent_mw/1000</f>
        <v>6.72084</v>
      </c>
      <c r="J7388" s="6" t="n">
        <f aca="false">(Sens!I7369+Sens!J7369)/2*rent_mw/1000</f>
        <v>6.72084</v>
      </c>
      <c r="K7388" s="6" t="n">
        <f aca="false">(Sens!J7369+Sens!K7369)/2*rent_mw/1000</f>
        <v>6.72084</v>
      </c>
    </row>
    <row r="7389" customFormat="false" ht="17.15" hidden="false" customHeight="false" outlineLevel="0" collapsed="false">
      <c r="A7389" s="0" t="s">
        <v>986</v>
      </c>
      <c r="B7389" s="0" t="s">
        <v>98</v>
      </c>
      <c r="D7389" s="6" t="n">
        <f aca="false">(Sens!C7371+Sens!D7371)/2*(1-self_build)*fac_rent/1000</f>
        <v>0.853242375631075</v>
      </c>
      <c r="E7389" s="6" t="n">
        <f aca="false">(Sens!D7371+Sens!E7371)/2*(1-self_build)*fac_rent/1000</f>
        <v>1.94955961408728</v>
      </c>
      <c r="F7389" s="6" t="n">
        <f aca="false">(Sens!E7371+Sens!F7371)/2*(1-self_build)*fac_rent/1000</f>
        <v>3.92914894476356</v>
      </c>
      <c r="G7389" s="6" t="n">
        <f aca="false">(Sens!F7371+Sens!G7371)/2*(1-self_build)*fac_rent/1000</f>
        <v>6.53206908578159</v>
      </c>
      <c r="H7389" s="6" t="n">
        <f aca="false">(Sens!G7371+Sens!H7371)/2*(1-self_build)*fac_rent/1000</f>
        <v>9.23717988341591</v>
      </c>
      <c r="I7389" s="6" t="n">
        <f aca="false">(Sens!H7371+Sens!I7371)/2*(1-self_build)*fac_rent/1000</f>
        <v>11.5481378557393</v>
      </c>
      <c r="J7389" s="6" t="n">
        <f aca="false">(Sens!I7371+Sens!J7371)/2*(1-self_build)*fac_rent/1000</f>
        <v>13.0899582289108</v>
      </c>
      <c r="K7389" s="6" t="n">
        <f aca="false">(Sens!J7371+Sens!K7371)/2*(1-self_build)*fac_rent/1000</f>
        <v>13.8897275626556</v>
      </c>
      <c r="L7389" s="12" t="s">
        <v>987</v>
      </c>
    </row>
    <row r="7390" customFormat="false" ht="17.15" hidden="false" customHeight="false" outlineLevel="0" collapsed="false">
      <c r="A7390" s="1" t="s">
        <v>988</v>
      </c>
      <c r="B7390" s="0" t="s">
        <v>168</v>
      </c>
      <c r="D7390" s="7" t="n">
        <f aca="false">(Sens!C7370+Sens!D7370)/(Sens!C7371+Sens!D7371)</f>
        <v>0.6</v>
      </c>
      <c r="E7390" s="7" t="n">
        <f aca="false">(Sens!D7370+Sens!E7370)/(Sens!D7371+Sens!E7371)</f>
        <v>0.6</v>
      </c>
      <c r="F7390" s="7" t="n">
        <f aca="false">(Sens!E7370+Sens!F7370)/(Sens!E7371+Sens!F7371)</f>
        <v>0.6</v>
      </c>
      <c r="G7390" s="7" t="n">
        <f aca="false">(Sens!F7370+Sens!G7370)/(Sens!F7371+Sens!G7371)</f>
        <v>0.6</v>
      </c>
      <c r="H7390" s="7" t="n">
        <f aca="false">(Sens!G7370+Sens!H7370)/(Sens!G7371+Sens!H7371)</f>
        <v>0.6</v>
      </c>
      <c r="I7390" s="7" t="n">
        <f aca="false">(Sens!H7370+Sens!I7370)/(Sens!H7371+Sens!I7371)</f>
        <v>0.6</v>
      </c>
      <c r="J7390" s="7" t="n">
        <f aca="false">(Sens!I7370+Sens!J7370)/(Sens!I7371+Sens!J7371)</f>
        <v>0.6</v>
      </c>
      <c r="K7390" s="7" t="n">
        <f aca="false">(Sens!J7370+Sens!K7370)/(Sens!J7371+Sens!K7371)</f>
        <v>0.6</v>
      </c>
    </row>
    <row r="7391" customFormat="false" ht="17.15" hidden="false" customHeight="false" outlineLevel="0" collapsed="false">
      <c r="A7391" s="0" t="s">
        <v>989</v>
      </c>
      <c r="B7391" s="0" t="s">
        <v>98</v>
      </c>
      <c r="D7391" s="6" t="n">
        <f aca="false">Sens!D7385-Sens!D7390*(Sens!D7387+Sens!D7389)-Sens!D7388</f>
        <v>8.35701406163072</v>
      </c>
      <c r="E7391" s="6" t="n">
        <f aca="false">Sens!E7385-Sens!E7390*(Sens!E7387+Sens!E7389)-Sens!E7388</f>
        <v>18.7103224860238</v>
      </c>
      <c r="F7391" s="6" t="n">
        <f aca="false">Sens!F7385-Sens!F7390*(Sens!F7387+Sens!F7389)-Sens!F7388</f>
        <v>43.2162094129388</v>
      </c>
      <c r="G7391" s="6" t="n">
        <f aca="false">Sens!G7385-Sens!G7390*(Sens!G7387+Sens!G7389)-Sens!G7388</f>
        <v>79.7204472589529</v>
      </c>
      <c r="H7391" s="6" t="n">
        <f aca="false">Sens!H7385-Sens!H7390*(Sens!H7387+Sens!H7389)-Sens!H7388</f>
        <v>122.807764331602</v>
      </c>
      <c r="I7391" s="6" t="n">
        <f aca="false">Sens!I7385-Sens!I7390*(Sens!I7387+Sens!I7389)-Sens!I7388</f>
        <v>155.390972530813</v>
      </c>
      <c r="J7391" s="6" t="n">
        <f aca="false">Sens!J7385-Sens!J7390*(Sens!J7387+Sens!J7389)-Sens!J7388</f>
        <v>178.197668553178</v>
      </c>
      <c r="K7391" s="6" t="n">
        <f aca="false">Sens!K7385-Sens!K7390*(Sens!K7387+Sens!K7389)-Sens!K7388</f>
        <v>192.726586741959</v>
      </c>
    </row>
    <row r="7392" customFormat="false" ht="17.15" hidden="false" customHeight="false" outlineLevel="0" collapsed="false">
      <c r="A7392" s="1" t="s">
        <v>990</v>
      </c>
      <c r="B7392" s="0" t="s">
        <v>98</v>
      </c>
      <c r="D7392" s="6" t="n">
        <f aca="false">(1-Sens!D7390)*(Sens!D7387+Sens!D7389)</f>
        <v>1.42281025374069</v>
      </c>
      <c r="E7392" s="6" t="n">
        <f aca="false">(1-Sens!E7390)*(Sens!E7387+Sens!E7389)</f>
        <v>3.25095598674472</v>
      </c>
      <c r="F7392" s="6" t="n">
        <f aca="false">(1-Sens!F7390)*(Sens!F7387+Sens!F7389)</f>
        <v>6.72135810147489</v>
      </c>
      <c r="G7392" s="6" t="n">
        <f aca="false">(1-Sens!G7390)*(Sens!G7387+Sens!G7389)</f>
        <v>11.3401410201637</v>
      </c>
      <c r="H7392" s="6" t="n">
        <f aca="false">(1-Sens!H7390)*(Sens!H7387+Sens!H7389)</f>
        <v>16.1920771049557</v>
      </c>
      <c r="I7392" s="6" t="n">
        <f aca="false">(1-Sens!I7390)*(Sens!I7387+Sens!I7389)</f>
        <v>20.3917774400264</v>
      </c>
      <c r="J7392" s="6" t="n">
        <f aca="false">(1-Sens!J7390)*(Sens!J7387+Sens!J7389)</f>
        <v>23.2503960207104</v>
      </c>
      <c r="K7392" s="6" t="n">
        <f aca="false">(1-Sens!K7390)*(Sens!K7387+Sens!K7389)</f>
        <v>24.8730801087085</v>
      </c>
    </row>
    <row r="7393" customFormat="false" ht="17.15" hidden="false" customHeight="false" outlineLevel="0" collapsed="false">
      <c r="A7393" s="1" t="s">
        <v>991</v>
      </c>
      <c r="B7393" s="0" t="s">
        <v>417</v>
      </c>
      <c r="C7393" s="8" t="n">
        <f aca="false">cxit_open</f>
        <v>27.5918995</v>
      </c>
      <c r="D7393" s="8" t="n">
        <f aca="false">cxit_open</f>
        <v>27.5918995</v>
      </c>
      <c r="E7393" s="8" t="n">
        <f aca="false">cxit_open</f>
        <v>27.5918995</v>
      </c>
      <c r="F7393" s="8" t="n">
        <f aca="false">((a_g3_27-nonnv*a_mai)*tk_cxit_gb300+nonnv*a_mai*nv_hold_mai*tk_cxit_vr200+(1-a_g3_27)*tk_cxit_vr200)</f>
        <v>32.4975576</v>
      </c>
      <c r="G7393" s="8" t="n">
        <f aca="false">((a_g3_28-nonnv*a_mai)*tk_cxit_gb300+nonnv*a_mai*nv_hold_mai*tk_cxit_vr200+(1-a_g3_28)*tk_cxit_vr200)</f>
        <v>34.6372088</v>
      </c>
      <c r="H7393" s="8" t="n">
        <f aca="false">((a_g3_29-nonnv*a_mai)*tk_cxit_gb300+nonnv*a_mai*nv_hold_mai*tk_cxit_vr200+(1-a_g3_29)*tk_cxit_vr200)</f>
        <v>35.7070344</v>
      </c>
      <c r="I7393" s="8" t="n">
        <f aca="false">((a_g3_29-nonnv*a_mai)*tk_cxit_gb300+nonnv*a_mai*nv_hold_mai*tk_cxit_vr200+(1-a_g3_29)*tk_cxit_vr200)</f>
        <v>35.7070344</v>
      </c>
      <c r="J7393" s="8" t="n">
        <f aca="false">((a_g3_29-nonnv*a_mai)*tk_cxit_gb300+nonnv*a_mai*nv_hold_mai*tk_cxit_vr200+(1-a_g3_29)*tk_cxit_vr200)</f>
        <v>35.7070344</v>
      </c>
      <c r="K7393" s="8" t="n">
        <f aca="false">((a_g3_29-nonnv*a_mai)*tk_cxit_gb300+nonnv*a_mai*nv_hold_mai*tk_cxit_vr200+(1-a_g3_29)*tk_cxit_vr200)</f>
        <v>35.7070344</v>
      </c>
      <c r="L7393" s="12" t="s">
        <v>992</v>
      </c>
    </row>
    <row r="7394" customFormat="false" ht="17.15" hidden="false" customHeight="false" outlineLevel="0" collapsed="false">
      <c r="A7394" s="0" t="s">
        <v>993</v>
      </c>
      <c r="B7394" s="0" t="s">
        <v>459</v>
      </c>
      <c r="F7394" s="30" t="n">
        <f aca="false">Sens!C7373*IF(Sens!F7366-Sens!C7366=life_it,1,0)+Sens!D7373*IF(Sens!F7366-Sens!D7366=life_it,1,0)+Sens!E7373*IF(Sens!F7366-Sens!E7366=life_it,1,0)</f>
        <v>0</v>
      </c>
      <c r="G7394" s="30" t="n">
        <f aca="false">Sens!C7373*IF(Sens!G7366-Sens!C7366=life_it,1,0)+Sens!D7373*IF(Sens!G7366-Sens!D7366=life_it,1,0)+Sens!E7373*IF(Sens!G7366-Sens!E7366=life_it,1,0)+Sens!F7373*IF(Sens!G7366-Sens!F7366=life_it,1,0)</f>
        <v>0</v>
      </c>
      <c r="H7394" s="30" t="n">
        <f aca="false">Sens!C7373*IF(Sens!H7366-Sens!C7366=life_it,1,0)+Sens!D7373*IF(Sens!H7366-Sens!D7366=life_it,1,0)+Sens!E7373*IF(Sens!H7366-Sens!E7366=life_it,1,0)+Sens!F7373*IF(Sens!H7366-Sens!F7366=life_it,1,0)+Sens!G7373*IF(Sens!H7366-Sens!G7366=life_it,1,0)</f>
        <v>0</v>
      </c>
      <c r="I7394" s="30" t="n">
        <f aca="false">Sens!C7373*IF(Sens!I7366-Sens!C7366=life_it,1,0)+Sens!D7373*IF(Sens!I7366-Sens!D7366=life_it,1,0)+Sens!E7373*IF(Sens!I7366-Sens!E7366=life_it,1,0)+Sens!F7373*IF(Sens!I7366-Sens!F7366=life_it,1,0)+Sens!G7373*IF(Sens!I7366-Sens!G7366=life_it,1,0)+Sens!H7373*IF(Sens!I7366-Sens!H7366=life_it,1,0)</f>
        <v>816.666666666667</v>
      </c>
      <c r="J7394" s="30" t="n">
        <f aca="false">Sens!C7373*IF(Sens!J7366-Sens!C7366=life_it,1,0)+Sens!D7373*IF(Sens!J7366-Sens!D7366=life_it,1,0)+Sens!E7373*IF(Sens!J7366-Sens!E7366=life_it,1,0)+Sens!F7373*IF(Sens!J7366-Sens!F7366=life_it,1,0)+Sens!G7373*IF(Sens!J7366-Sens!G7366=life_it,1,0)+Sens!H7373*IF(Sens!J7366-Sens!H7366=life_it,1,0)+Sens!I7373*IF(Sens!J7366-Sens!I7366=life_it,1,0)</f>
        <v>1233.33333333333</v>
      </c>
      <c r="K7394" s="30" t="n">
        <f aca="false">Sens!C7373*IF(Sens!K7366-Sens!C7366=life_it,1,0)+Sens!D7373*IF(Sens!K7366-Sens!D7366=life_it,1,0)+Sens!E7373*IF(Sens!K7366-Sens!E7366=life_it,1,0)+Sens!F7373*IF(Sens!K7366-Sens!F7366=life_it,1,0)+Sens!G7373*IF(Sens!K7366-Sens!G7366=life_it,1,0)+Sens!H7373*IF(Sens!K7366-Sens!H7366=life_it,1,0)+Sens!I7373*IF(Sens!K7366-Sens!I7366=life_it,1,0)+Sens!J7373*IF(Sens!K7366-Sens!J7366=life_it,1,0)</f>
        <v>2450</v>
      </c>
      <c r="L7394" s="1" t="s">
        <v>994</v>
      </c>
    </row>
    <row r="7395" customFormat="false" ht="17.15" hidden="false" customHeight="false" outlineLevel="0" collapsed="false">
      <c r="A7395" s="0" t="s">
        <v>995</v>
      </c>
      <c r="B7395" s="0" t="s">
        <v>98</v>
      </c>
      <c r="C7395" s="6" t="n">
        <f aca="false">Sens!C7373*Sens!C7393/1000</f>
        <v>22.5333845916667</v>
      </c>
      <c r="D7395" s="6" t="n">
        <f aca="false">Sens!D7373*Sens!D7393/1000</f>
        <v>34.0300093833333</v>
      </c>
      <c r="E7395" s="6" t="n">
        <f aca="false">Sens!E7373*Sens!E7393/1000</f>
        <v>67.600153775</v>
      </c>
      <c r="F7395" s="6" t="n">
        <f aca="false">(Sens!F7373+Sens!F7394)*Sens!F7393/1000</f>
        <v>136.51872432512</v>
      </c>
      <c r="G7395" s="6" t="n">
        <f aca="false">(Sens!G7373+Sens!G7394)*Sens!G7393/1000</f>
        <v>157.399275932048</v>
      </c>
      <c r="H7395" s="6" t="n">
        <f aca="false">(Sens!H7373+Sens!H7394)*Sens!H7393/1000</f>
        <v>162.260804347512</v>
      </c>
      <c r="I7395" s="6" t="n">
        <f aca="false">(Sens!I7373+Sens!I7394)*Sens!I7393/1000</f>
        <v>144.136569485434</v>
      </c>
      <c r="J7395" s="6" t="n">
        <f aca="false">(Sens!J7373+Sens!J7394)*Sens!J7393/1000</f>
        <v>114.029037357864</v>
      </c>
      <c r="K7395" s="6" t="n">
        <f aca="false">(Sens!K7373+Sens!K7394)*Sens!K7393/1000</f>
        <v>113.437085350975</v>
      </c>
    </row>
    <row r="7396" customFormat="false" ht="17.15" hidden="false" customHeight="false" outlineLevel="0" collapsed="false">
      <c r="A7396" s="0" t="s">
        <v>996</v>
      </c>
      <c r="B7396" s="0" t="s">
        <v>98</v>
      </c>
      <c r="C7396" s="6" t="n">
        <f aca="false">Sens!C7373*self_build*tk_cxfac/1000</f>
        <v>6.2083</v>
      </c>
      <c r="D7396" s="6" t="n">
        <f aca="false">Sens!D7373*self_build*tk_cxfac/1000</f>
        <v>9.3758</v>
      </c>
      <c r="E7396" s="6" t="n">
        <f aca="false">Sens!E7373*self_build*tk_cxfac/1000</f>
        <v>18.6249</v>
      </c>
      <c r="F7396" s="6" t="n">
        <f aca="false">Sens!F7373*self_build*tk_cxfac/1000</f>
        <v>31.935179717</v>
      </c>
      <c r="G7396" s="6" t="n">
        <f aca="false">Sens!G7373*self_build*tk_cxfac/1000</f>
        <v>34.545199717</v>
      </c>
      <c r="H7396" s="6" t="n">
        <f aca="false">Sens!H7373*self_build*tk_cxfac/1000</f>
        <v>34.545199717</v>
      </c>
      <c r="I7396" s="6" t="n">
        <f aca="false">Sens!I7373*self_build*tk_cxfac/1000</f>
        <v>24.4782641361767</v>
      </c>
      <c r="J7396" s="6" t="n">
        <f aca="false">Sens!J7373*self_build*tk_cxfac/1000</f>
        <v>14.9008938380769</v>
      </c>
      <c r="K7396" s="6" t="n">
        <f aca="false">Sens!K7373*self_build*tk_cxfac/1000</f>
        <v>5.52576771375761</v>
      </c>
    </row>
    <row r="7397" customFormat="false" ht="17.15" hidden="false" customHeight="false" outlineLevel="0" collapsed="false">
      <c r="A7397" s="0" t="s">
        <v>997</v>
      </c>
      <c r="B7397" s="0" t="s">
        <v>98</v>
      </c>
      <c r="F7397" s="15" t="n">
        <f aca="false">capex_floor27-Sens!F7395-Sens!F7396-Sens!F7493</f>
        <v>-0.124269980938124</v>
      </c>
      <c r="L7397" s="12" t="s">
        <v>998</v>
      </c>
    </row>
    <row r="7398" customFormat="false" ht="17.15" hidden="false" customHeight="false" outlineLevel="0" collapsed="false">
      <c r="A7398" s="0" t="s">
        <v>999</v>
      </c>
      <c r="B7398" s="0" t="s">
        <v>98</v>
      </c>
      <c r="F7398" s="6" t="n">
        <f aca="false">MAX(0,Sens!F7397)</f>
        <v>0</v>
      </c>
    </row>
    <row r="7399" customFormat="false" ht="17.15" hidden="false" customHeight="false" outlineLevel="0" collapsed="false">
      <c r="A7399" s="0" t="s">
        <v>1000</v>
      </c>
      <c r="B7399" s="0" t="s">
        <v>98</v>
      </c>
      <c r="C7399" s="6" t="n">
        <f aca="false">Sens!C7395</f>
        <v>22.5333845916667</v>
      </c>
      <c r="D7399" s="6" t="n">
        <f aca="false">Sens!D7395</f>
        <v>34.0300093833333</v>
      </c>
      <c r="E7399" s="6" t="n">
        <f aca="false">Sens!E7395</f>
        <v>67.600153775</v>
      </c>
      <c r="F7399" s="6" t="n">
        <f aca="false">Sens!F7395</f>
        <v>136.51872432512</v>
      </c>
      <c r="G7399" s="6" t="n">
        <f aca="false">Sens!G7395</f>
        <v>157.399275932048</v>
      </c>
      <c r="H7399" s="6" t="n">
        <f aca="false">Sens!H7395</f>
        <v>162.260804347512</v>
      </c>
      <c r="I7399" s="6" t="n">
        <f aca="false">Sens!I7395</f>
        <v>144.136569485434</v>
      </c>
      <c r="J7399" s="6" t="n">
        <f aca="false">Sens!J7395</f>
        <v>114.029037357864</v>
      </c>
      <c r="K7399" s="6" t="n">
        <f aca="false">Sens!K7395</f>
        <v>113.437085350975</v>
      </c>
    </row>
    <row r="7400" customFormat="false" ht="17.15" hidden="false" customHeight="false" outlineLevel="0" collapsed="false">
      <c r="A7400" s="0" t="s">
        <v>1001</v>
      </c>
      <c r="B7400" s="0" t="s">
        <v>98</v>
      </c>
      <c r="C7400" s="6" t="n">
        <f aca="false">Sens!C7399+Sens!C7396</f>
        <v>28.7416845916667</v>
      </c>
      <c r="D7400" s="6" t="n">
        <f aca="false">Sens!D7399+Sens!D7396</f>
        <v>43.4058093833333</v>
      </c>
      <c r="E7400" s="6" t="n">
        <f aca="false">Sens!E7399+Sens!E7396</f>
        <v>86.225053775</v>
      </c>
      <c r="F7400" s="6" t="n">
        <f aca="false">Sens!F7399+Sens!F7396</f>
        <v>168.45390404212</v>
      </c>
      <c r="G7400" s="6" t="n">
        <f aca="false">Sens!G7399+Sens!G7396</f>
        <v>191.944475649048</v>
      </c>
      <c r="H7400" s="6" t="n">
        <f aca="false">Sens!H7399+Sens!H7396</f>
        <v>196.806004064512</v>
      </c>
      <c r="I7400" s="6" t="n">
        <f aca="false">Sens!I7399+Sens!I7396</f>
        <v>168.61483362161</v>
      </c>
      <c r="J7400" s="6" t="n">
        <f aca="false">Sens!J7399+Sens!J7396</f>
        <v>128.92993119594</v>
      </c>
      <c r="K7400" s="6" t="n">
        <f aca="false">Sens!K7399+Sens!K7396</f>
        <v>118.962853064733</v>
      </c>
      <c r="L7400" s="12" t="s">
        <v>1002</v>
      </c>
    </row>
    <row r="7401" customFormat="false" ht="17.15" hidden="false" customHeight="false" outlineLevel="0" collapsed="false">
      <c r="A7401" s="0" t="s">
        <v>1003</v>
      </c>
      <c r="B7401" s="0" t="s">
        <v>98</v>
      </c>
      <c r="E7401" s="6" t="n">
        <f aca="false">(Sens!C7399*IF(2&lt;life_it,1,IF(2=life_it,0.5,0))+Sens!D7399*IF(1&lt;life_it,1,IF(1=life_it,0.5,0))+Sens!E7399*0.5)/life_it</f>
        <v>15.0605784770833</v>
      </c>
      <c r="F7401" s="6" t="n">
        <f aca="false">(Sens!C7399*IF(3&lt;life_it,1,IF(3=life_it,0.5,0))+Sens!D7399*IF(2&lt;life_it,1,IF(2=life_it,0.5,0))+Sens!E7399*IF(1&lt;life_it,1,IF(1=life_it,0.5,0))+Sens!F7399*0.5)/life_it</f>
        <v>32.0704849854266</v>
      </c>
      <c r="G7401" s="6" t="n">
        <f aca="false">(Sens!C7399*IF(4&lt;life_it,1,IF(4=life_it,0.5,0))+Sens!D7399*IF(3&lt;life_it,1,IF(3=life_it,0.5,0))+Sens!E7399*IF(2&lt;life_it,1,IF(2=life_it,0.5,0))+Sens!F7399*IF(1&lt;life_it,1,IF(1=life_it,0.5,0))+Sens!G7399*0.5)/life_it</f>
        <v>56.5636516735239</v>
      </c>
      <c r="H7401" s="6" t="n">
        <f aca="false">(Sens!C7399*IF(5&lt;life_it,1,IF(5=life_it,0.5,0))+Sens!D7399*IF(4&lt;life_it,1,IF(4=life_it,0.5,0))+Sens!E7399*IF(3&lt;life_it,1,IF(3=life_it,0.5,0))+Sens!F7399*IF(2&lt;life_it,1,IF(2=life_it,0.5,0))+Sens!G7399*IF(1&lt;life_it,1,IF(1=life_it,0.5,0))+Sens!H7399*0.5)/life_it</f>
        <v>83.2019916968207</v>
      </c>
      <c r="I7401" s="6" t="n">
        <f aca="false">(Sens!C7399*IF(6&lt;life_it,1,IF(6=life_it,0.5,0))+Sens!D7399*IF(5&lt;life_it,1,IF(5=life_it,0.5,0))+Sens!E7399*IF(4&lt;life_it,1,IF(4=life_it,0.5,0))+Sens!F7399*IF(3&lt;life_it,1,IF(3=life_it,0.5,0))+Sens!G7399*IF(2&lt;life_it,1,IF(2=life_it,0.5,0))+Sens!H7399*IF(1&lt;life_it,1,IF(1=life_it,0.5,0))+Sens!I7399*0.5)/life_it</f>
        <v>106.857324133594</v>
      </c>
      <c r="J7401" s="6" t="n">
        <f aca="false">(Sens!C7399*IF(7&lt;life_it,1,IF(7=life_it,0.5,0))+Sens!D7399*IF(6&lt;life_it,1,IF(6=life_it,0.5,0))+Sens!E7399*IF(5&lt;life_it,1,IF(5=life_it,0.5,0))+Sens!F7399*IF(4&lt;life_it,1,IF(4=life_it,0.5,0))+Sens!G7399*IF(3&lt;life_it,1,IF(3=life_it,0.5,0))+Sens!H7399*IF(2&lt;life_it,1,IF(2=life_it,0.5,0))+Sens!I7399*IF(1&lt;life_it,1,IF(1=life_it,0.5,0))+Sens!J7399*0.5)/life_it</f>
        <v>123.657508539285</v>
      </c>
      <c r="K7401" s="6" t="n">
        <f aca="false">(Sens!C7399*IF(8&lt;life_it,1,IF(8=life_it,0.5,0))+Sens!D7399*IF(7&lt;life_it,1,IF(7=life_it,0.5,0))+Sens!E7399*IF(6&lt;life_it,1,IF(6=life_it,0.5,0))+Sens!F7399*IF(5&lt;life_it,1,IF(5=life_it,0.5,0))+Sens!G7399*IF(4&lt;life_it,1,IF(4=life_it,0.5,0))+Sens!H7399*IF(3&lt;life_it,1,IF(3=life_it,0.5,0))+Sens!I7399*IF(2&lt;life_it,1,IF(2=life_it,0.5,0))+Sens!J7399*IF(1&lt;life_it,1,IF(1=life_it,0.5,0))+Sens!K7399*0.5)/life_it</f>
        <v>134.143838501827</v>
      </c>
    </row>
    <row r="7402" customFormat="false" ht="17.15" hidden="false" customHeight="false" outlineLevel="0" collapsed="false">
      <c r="A7402" s="0" t="s">
        <v>1004</v>
      </c>
      <c r="B7402" s="0" t="s">
        <v>98</v>
      </c>
      <c r="E7402" s="6" t="n">
        <f aca="false">(Sens!C7396*IF(2&lt;life_fac,1,IF(2=life_fac,0.5,0))+Sens!D7396*IF(1&lt;life_fac,1,IF(1=life_fac,0.5,0))+Sens!E7396*0.5)/life_fac</f>
        <v>1.2448275</v>
      </c>
      <c r="F7402" s="6" t="n">
        <f aca="false">(Sens!C7396*IF(3&lt;life_fac,1,IF(3=life_fac,0.5,0))+Sens!D7396*IF(2&lt;life_fac,1,IF(2=life_fac,0.5,0))+Sens!E7396*IF(1&lt;life_fac,1,IF(1=life_fac,0.5,0))+Sens!F7396*0.5)/life_fac</f>
        <v>2.508829492925</v>
      </c>
      <c r="G7402" s="6" t="n">
        <f aca="false">(Sens!C7396*IF(4&lt;life_fac,1,IF(4=life_fac,0.5,0))+Sens!D7396*IF(3&lt;life_fac,1,IF(3=life_fac,0.5,0))+Sens!E7396*IF(2&lt;life_fac,1,IF(2=life_fac,0.5,0))+Sens!F7396*IF(1&lt;life_fac,1,IF(1=life_fac,0.5,0))+Sens!G7396*0.5)/life_fac</f>
        <v>4.170838978775</v>
      </c>
      <c r="H7402" s="6" t="n">
        <f aca="false">(Sens!C7396*IF(5&lt;life_fac,1,IF(5=life_fac,0.5,0))+Sens!D7396*IF(4&lt;life_fac,1,IF(4=life_fac,0.5,0))+Sens!E7396*IF(3&lt;life_fac,1,IF(3=life_fac,0.5,0))+Sens!F7396*IF(2&lt;life_fac,1,IF(2=life_fac,0.5,0))+Sens!G7396*IF(1&lt;life_fac,1,IF(1=life_fac,0.5,0))+Sens!H7396*0.5)/life_fac</f>
        <v>5.898098964625</v>
      </c>
      <c r="I7402" s="6" t="n">
        <f aca="false">(Sens!C7396*IF(6&lt;life_fac,1,IF(6=life_fac,0.5,0))+Sens!D7396*IF(5&lt;life_fac,1,IF(5=life_fac,0.5,0))+Sens!E7396*IF(4&lt;life_fac,1,IF(4=life_fac,0.5,0))+Sens!F7396*IF(3&lt;life_fac,1,IF(3=life_fac,0.5,0))+Sens!G7396*IF(2&lt;life_fac,1,IF(2=life_fac,0.5,0))+Sens!H7396*IF(1&lt;life_fac,1,IF(1=life_fac,0.5,0))+Sens!I7396*0.5)/life_fac</f>
        <v>7.37368556095442</v>
      </c>
      <c r="J7402" s="6" t="n">
        <f aca="false">(Sens!C7396*IF(7&lt;life_fac,1,IF(7=life_fac,0.5,0))+Sens!D7396*IF(6&lt;life_fac,1,IF(6=life_fac,0.5,0))+Sens!E7396*IF(5&lt;life_fac,1,IF(5=life_fac,0.5,0))+Sens!F7396*IF(4&lt;life_fac,1,IF(4=life_fac,0.5,0))+Sens!G7396*IF(3&lt;life_fac,1,IF(3=life_fac,0.5,0))+Sens!H7396*IF(2&lt;life_fac,1,IF(2=life_fac,0.5,0))+Sens!I7396*IF(1&lt;life_fac,1,IF(1=life_fac,0.5,0))+Sens!J7396*0.5)/life_fac</f>
        <v>8.35816451031075</v>
      </c>
      <c r="K7402" s="6" t="n">
        <f aca="false">(Sens!C7396*IF(8&lt;life_fac,1,IF(8=life_fac,0.5,0))+Sens!D7396*IF(7&lt;life_fac,1,IF(7=life_fac,0.5,0))+Sens!E7396*IF(6&lt;life_fac,1,IF(6=life_fac,0.5,0))+Sens!F7396*IF(5&lt;life_fac,1,IF(5=life_fac,0.5,0))+Sens!G7396*IF(4&lt;life_fac,1,IF(4=life_fac,0.5,0))+Sens!H7396*IF(3&lt;life_fac,1,IF(3=life_fac,0.5,0))+Sens!I7396*IF(2&lt;life_fac,1,IF(2=life_fac,0.5,0))+Sens!J7396*IF(1&lt;life_fac,1,IF(1=life_fac,0.5,0))+Sens!K7396*0.5)/life_fac</f>
        <v>8.86883104910662</v>
      </c>
    </row>
    <row r="7403" customFormat="false" ht="17.15" hidden="false" customHeight="false" outlineLevel="0" collapsed="false">
      <c r="A7403" s="0" t="s">
        <v>1005</v>
      </c>
      <c r="B7403" s="0" t="s">
        <v>98</v>
      </c>
      <c r="E7403" s="6" t="n">
        <f aca="false">Sens!E7401+Sens!E7402</f>
        <v>16.3054059770833</v>
      </c>
      <c r="F7403" s="6" t="n">
        <f aca="false">Sens!F7401+Sens!F7402</f>
        <v>34.5793144783516</v>
      </c>
      <c r="G7403" s="6" t="n">
        <f aca="false">Sens!G7401+Sens!G7402</f>
        <v>60.7344906522989</v>
      </c>
      <c r="H7403" s="6" t="n">
        <f aca="false">Sens!H7401+Sens!H7402</f>
        <v>89.1000906614457</v>
      </c>
      <c r="I7403" s="6" t="n">
        <f aca="false">Sens!I7401+Sens!I7402</f>
        <v>114.231009694548</v>
      </c>
      <c r="J7403" s="6" t="n">
        <f aca="false">Sens!J7401+Sens!J7402</f>
        <v>132.015673049596</v>
      </c>
      <c r="K7403" s="6" t="n">
        <f aca="false">Sens!K7401+Sens!K7402</f>
        <v>143.012669550934</v>
      </c>
    </row>
    <row r="7404" customFormat="false" ht="17.15" hidden="false" customHeight="false" outlineLevel="0" collapsed="false">
      <c r="A7404" s="0" t="s">
        <v>1006</v>
      </c>
      <c r="B7404" s="0" t="s">
        <v>98</v>
      </c>
      <c r="E7404" s="6" t="n">
        <f aca="false">Sens!E7391-Sens!E7390*Sens!E7403</f>
        <v>8.92707889977379</v>
      </c>
      <c r="F7404" s="6" t="n">
        <f aca="false">Sens!F7391-Sens!F7390*Sens!F7403</f>
        <v>22.4686207259278</v>
      </c>
      <c r="G7404" s="6" t="n">
        <f aca="false">Sens!G7391-Sens!G7390*Sens!G7403</f>
        <v>43.2797528675735</v>
      </c>
      <c r="H7404" s="6" t="n">
        <f aca="false">Sens!H7391-Sens!H7390*Sens!H7403</f>
        <v>69.3477099347341</v>
      </c>
      <c r="I7404" s="6" t="n">
        <f aca="false">Sens!I7391-Sens!I7390*Sens!I7403</f>
        <v>86.8523667140836</v>
      </c>
      <c r="J7404" s="6" t="n">
        <f aca="false">Sens!J7391-Sens!J7390*Sens!J7403</f>
        <v>98.9882647234202</v>
      </c>
      <c r="K7404" s="6" t="n">
        <f aca="false">Sens!K7391-Sens!K7390*Sens!K7403</f>
        <v>106.918985011399</v>
      </c>
    </row>
    <row r="7405" customFormat="false" ht="17.15" hidden="false" customHeight="false" outlineLevel="0" collapsed="false">
      <c r="A7405" s="3" t="s">
        <v>1796</v>
      </c>
    </row>
    <row r="7406" customFormat="false" ht="15" hidden="false" customHeight="false" outlineLevel="0" collapsed="false">
      <c r="A7406" s="4" t="s">
        <v>43</v>
      </c>
      <c r="B7406" s="4" t="s">
        <v>65</v>
      </c>
      <c r="C7406" s="23" t="s">
        <v>942</v>
      </c>
      <c r="D7406" s="23" t="s">
        <v>943</v>
      </c>
      <c r="E7406" s="23" t="s">
        <v>944</v>
      </c>
      <c r="F7406" s="23" t="s">
        <v>945</v>
      </c>
      <c r="G7406" s="23" t="s">
        <v>946</v>
      </c>
      <c r="H7406" s="23" t="s">
        <v>947</v>
      </c>
      <c r="I7406" s="23" t="s">
        <v>948</v>
      </c>
      <c r="J7406" s="23" t="s">
        <v>949</v>
      </c>
      <c r="K7406" s="23" t="s">
        <v>950</v>
      </c>
      <c r="L7406" s="4" t="s">
        <v>47</v>
      </c>
    </row>
    <row r="7407" customFormat="false" ht="17.15" hidden="false" customHeight="false" outlineLevel="0" collapsed="false">
      <c r="A7407" s="0" t="s">
        <v>1025</v>
      </c>
      <c r="B7407" s="0" t="s">
        <v>98</v>
      </c>
      <c r="D7407" s="6" t="n">
        <f aca="false">Sens!D7385</f>
        <v>12.9359794422418</v>
      </c>
      <c r="E7407" s="6" t="n">
        <f aca="false">Sens!E7385</f>
        <v>27.8095064661409</v>
      </c>
      <c r="F7407" s="6" t="n">
        <f aca="false">Sens!F7385</f>
        <v>59.1034165651511</v>
      </c>
      <c r="G7407" s="6" t="n">
        <f aca="false">Sens!G7385</f>
        <v>103.451498789198</v>
      </c>
      <c r="H7407" s="6" t="n">
        <f aca="false">Sens!H7385</f>
        <v>153.816719989035</v>
      </c>
      <c r="I7407" s="6" t="n">
        <f aca="false">Sens!I7385</f>
        <v>192.699478690852</v>
      </c>
      <c r="J7407" s="6" t="n">
        <f aca="false">Sens!J7385</f>
        <v>219.794102584244</v>
      </c>
      <c r="K7407" s="6" t="n">
        <f aca="false">Sens!K7385</f>
        <v>236.757046905022</v>
      </c>
    </row>
    <row r="7408" customFormat="false" ht="17.15" hidden="false" customHeight="false" outlineLevel="0" collapsed="false">
      <c r="A7408" s="0" t="s">
        <v>1026</v>
      </c>
      <c r="B7408" s="0" t="s">
        <v>98</v>
      </c>
      <c r="D7408" s="6" t="n">
        <f aca="false">Q!L6-Sens!D7407</f>
        <v>59.6740205577583</v>
      </c>
      <c r="E7408" s="6" t="n">
        <f aca="false">Q!M6-Sens!E7407</f>
        <v>74.1284935338591</v>
      </c>
      <c r="F7408" s="6" t="n">
        <f aca="false">Q!$I$6+(Sens!F7407+Sens!E7408*(1+Sens!F7409))*(1-Q!$E$6/Q!M6)-Sens!F7407</f>
        <v>90.4866018070994</v>
      </c>
      <c r="G7408" s="6" t="n">
        <f aca="false">Sens!F7408*(1+Sens!G7409)</f>
        <v>107.511588557154</v>
      </c>
      <c r="H7408" s="6" t="n">
        <f aca="false">Sens!G7408*(1+Sens!H7409)</f>
        <v>124.832989325489</v>
      </c>
      <c r="I7408" s="6" t="n">
        <f aca="false">Sens!H7408*(1+Sens!I7409)</f>
        <v>141.56992589148</v>
      </c>
      <c r="J7408" s="6" t="n">
        <f aca="false">Sens!I7408*(1+Sens!J7409)</f>
        <v>156.723190479428</v>
      </c>
      <c r="K7408" s="6" t="n">
        <f aca="false">Sens!J7408*(1+Sens!K7409)</f>
        <v>169.261045717783</v>
      </c>
      <c r="L7408" s="12" t="s">
        <v>1027</v>
      </c>
    </row>
    <row r="7409" customFormat="false" ht="15" hidden="false" customHeight="false" outlineLevel="0" collapsed="false">
      <c r="A7409" s="1" t="s">
        <v>1028</v>
      </c>
      <c r="B7409" s="0" t="s">
        <v>168</v>
      </c>
      <c r="E7409" s="7" t="n">
        <f aca="false">Sens!E7408/Sens!D7408-1</f>
        <v>0.242223883039864</v>
      </c>
      <c r="F7409" s="7" t="n">
        <f aca="false">Sens!$E$7409+(glt_azo-Sens!$E$7409)*MIN(1,(Sens!F7366-base_fy)/n_conv)</f>
        <v>0.215186569199887</v>
      </c>
      <c r="G7409" s="7" t="n">
        <f aca="false">Sens!$E$7409+(glt_azo-Sens!$E$7409)*MIN(1,(Sens!G7366-base_fy)/n_conv)</f>
        <v>0.18814925535991</v>
      </c>
      <c r="H7409" s="7" t="n">
        <f aca="false">Sens!$E$7409+(glt_azo-Sens!$E$7409)*MIN(1,(Sens!H7366-base_fy)/n_conv)</f>
        <v>0.161111941519932</v>
      </c>
      <c r="I7409" s="7" t="n">
        <f aca="false">Sens!$E$7409+(glt_azo-Sens!$E$7409)*MIN(1,(Sens!I7366-base_fy)/n_conv)</f>
        <v>0.134074627679955</v>
      </c>
      <c r="J7409" s="7" t="n">
        <f aca="false">Sens!$E$7409+(glt_azo-Sens!$E$7409)*MIN(1,(Sens!J7366-base_fy)/n_conv)</f>
        <v>0.107037313839977</v>
      </c>
      <c r="K7409" s="7" t="n">
        <f aca="false">Sens!$E$7409+(glt_azo-Sens!$E$7409)*MIN(1,(Sens!K7366-base_fy)/n_conv)</f>
        <v>0.08</v>
      </c>
    </row>
    <row r="7410" customFormat="false" ht="15" hidden="false" customHeight="false" outlineLevel="0" collapsed="false">
      <c r="A7410" s="0" t="s">
        <v>1029</v>
      </c>
      <c r="B7410" s="0" t="s">
        <v>98</v>
      </c>
      <c r="D7410" s="6" t="n">
        <f aca="false">Sens!D7407+Sens!D7408</f>
        <v>72.61</v>
      </c>
      <c r="E7410" s="6" t="n">
        <f aca="false">Sens!E7407+Sens!E7408</f>
        <v>101.938</v>
      </c>
      <c r="F7410" s="6" t="n">
        <f aca="false">Sens!F7407+Sens!F7408</f>
        <v>149.59001837225</v>
      </c>
      <c r="G7410" s="6" t="n">
        <f aca="false">Sens!G7407+Sens!G7408</f>
        <v>210.963087346352</v>
      </c>
      <c r="H7410" s="6" t="n">
        <f aca="false">Sens!H7407+Sens!H7408</f>
        <v>278.649709314524</v>
      </c>
      <c r="I7410" s="6" t="n">
        <f aca="false">Sens!I7407+Sens!I7408</f>
        <v>334.269404582332</v>
      </c>
      <c r="J7410" s="6" t="n">
        <f aca="false">Sens!J7407+Sens!J7408</f>
        <v>376.517293063672</v>
      </c>
      <c r="K7410" s="6" t="n">
        <f aca="false">Sens!K7407+Sens!K7408</f>
        <v>406.018092622804</v>
      </c>
    </row>
    <row r="7411" customFormat="false" ht="17.15" hidden="false" customHeight="false" outlineLevel="0" collapsed="false">
      <c r="A7411" s="0" t="s">
        <v>1030</v>
      </c>
      <c r="B7411" s="1" t="s">
        <v>613</v>
      </c>
      <c r="C7411" s="30" t="n">
        <f aca="false">cop_s24</f>
        <v>1</v>
      </c>
      <c r="D7411" s="30" t="n">
        <f aca="false">cop_s25</f>
        <v>5</v>
      </c>
      <c r="E7411" s="30" t="n">
        <f aca="false">cop_s26</f>
        <v>30</v>
      </c>
      <c r="F7411" s="30" t="n">
        <f aca="false">Sens!E7411+cop_add_A*1.5</f>
        <v>75</v>
      </c>
      <c r="G7411" s="30" t="n">
        <f aca="false">Sens!F7411+cop_add_A*1.5</f>
        <v>120</v>
      </c>
      <c r="H7411" s="30" t="n">
        <f aca="false">Sens!G7411+cop_add_A*1.5</f>
        <v>165</v>
      </c>
      <c r="I7411" s="30" t="n">
        <f aca="false">Sens!H7411+cop_add_A*1.5*cop_tail</f>
        <v>187.5</v>
      </c>
      <c r="J7411" s="30" t="n">
        <f aca="false">Sens!I7411+cop_add_A*1.5*cop_tail</f>
        <v>210</v>
      </c>
      <c r="K7411" s="30" t="n">
        <f aca="false">Sens!J7411+cop_add_A*1.5*cop_tail</f>
        <v>232.5</v>
      </c>
      <c r="L7411" s="12" t="s">
        <v>1031</v>
      </c>
    </row>
    <row r="7412" customFormat="false" ht="17.15" hidden="false" customHeight="false" outlineLevel="0" collapsed="false">
      <c r="A7412" s="0" t="s">
        <v>1032</v>
      </c>
      <c r="B7412" s="0" t="s">
        <v>98</v>
      </c>
      <c r="D7412" s="6" t="n">
        <f aca="false">(Sens!C7411+Sens!D7411)/2*cop_px*12/1000</f>
        <v>0.9</v>
      </c>
      <c r="E7412" s="6" t="n">
        <f aca="false">(Sens!D7411+Sens!E7411)/2*cop_px*12/1000</f>
        <v>5.25</v>
      </c>
      <c r="F7412" s="6" t="n">
        <f aca="false">(Sens!E7411+Sens!F7411)/2*cop_px*12/1000</f>
        <v>15.75</v>
      </c>
      <c r="G7412" s="6" t="n">
        <f aca="false">(Sens!F7411+Sens!G7411)/2*cop_px*12/1000</f>
        <v>29.25</v>
      </c>
      <c r="H7412" s="6" t="n">
        <f aca="false">(Sens!G7411+Sens!H7411)/2*cop_px*12/1000</f>
        <v>42.75</v>
      </c>
      <c r="I7412" s="6" t="n">
        <f aca="false">(Sens!H7411+Sens!I7411)/2*cop_px*12/1000</f>
        <v>52.875</v>
      </c>
      <c r="J7412" s="6" t="n">
        <f aca="false">(Sens!I7411+Sens!J7411)/2*cop_px*12/1000</f>
        <v>59.625</v>
      </c>
      <c r="K7412" s="6" t="n">
        <f aca="false">(Sens!J7411+Sens!K7411)/2*cop_px*12/1000</f>
        <v>66.375</v>
      </c>
      <c r="L7412" s="1" t="s">
        <v>1033</v>
      </c>
    </row>
    <row r="7413" customFormat="false" ht="17.15" hidden="false" customHeight="false" outlineLevel="0" collapsed="false">
      <c r="A7413" s="0" t="s">
        <v>1034</v>
      </c>
      <c r="B7413" s="0" t="s">
        <v>98</v>
      </c>
      <c r="D7413" s="6" t="n">
        <f aca="false">Q!L7-Sens!D7412</f>
        <v>83.705</v>
      </c>
      <c r="E7413" s="6" t="n">
        <f aca="false">Q!M7-Sens!E7412</f>
        <v>95.049</v>
      </c>
      <c r="F7413" s="6" t="n">
        <f aca="false">Q!$I$7+(Sens!E7413*(1+Sens!F7414)+Sens!F7412)*(1-Q!$E$7/Q!M7)-Sens!F7412</f>
        <v>105.698127467675</v>
      </c>
      <c r="G7413" s="6" t="n">
        <f aca="false">Sens!F7413*(1+Sens!G7414)</f>
        <v>117.714141800408</v>
      </c>
      <c r="H7413" s="6" t="n">
        <f aca="false">Sens!G7413*(1+Sens!H7414)</f>
        <v>129.810656831422</v>
      </c>
      <c r="I7413" s="6" t="n">
        <f aca="false">Sens!H7413*(1+Sens!I7414)</f>
        <v>141.732621808847</v>
      </c>
      <c r="J7413" s="6" t="n">
        <f aca="false">Sens!I7413*(1+Sens!J7414)</f>
        <v>153.201709776069</v>
      </c>
      <c r="K7413" s="6" t="n">
        <f aca="false">Sens!J7413*(1+Sens!K7414)</f>
        <v>163.925829460394</v>
      </c>
      <c r="L7413" s="12" t="s">
        <v>1035</v>
      </c>
    </row>
    <row r="7414" customFormat="false" ht="15" hidden="false" customHeight="false" outlineLevel="0" collapsed="false">
      <c r="A7414" s="1" t="s">
        <v>1028</v>
      </c>
      <c r="B7414" s="0" t="s">
        <v>168</v>
      </c>
      <c r="E7414" s="7" t="n">
        <f aca="false">Sens!E7413/Sens!D7413-1</f>
        <v>0.135523564900544</v>
      </c>
      <c r="F7414" s="7" t="n">
        <f aca="false">Sens!$E$7414+(glt_m365b-Sens!$E$7414)*MIN(1,(Sens!F7366-base_fy)/n_conv)</f>
        <v>0.124602970750453</v>
      </c>
      <c r="G7414" s="7" t="n">
        <f aca="false">Sens!$E$7414+(glt_m365b-Sens!$E$7414)*MIN(1,(Sens!G7366-base_fy)/n_conv)</f>
        <v>0.113682376600363</v>
      </c>
      <c r="H7414" s="7" t="n">
        <f aca="false">Sens!$E$7414+(glt_m365b-Sens!$E$7414)*MIN(1,(Sens!H7366-base_fy)/n_conv)</f>
        <v>0.102761782450272</v>
      </c>
      <c r="I7414" s="7" t="n">
        <f aca="false">Sens!$E$7414+(glt_m365b-Sens!$E$7414)*MIN(1,(Sens!I7366-base_fy)/n_conv)</f>
        <v>0.0918411883001813</v>
      </c>
      <c r="J7414" s="7" t="n">
        <f aca="false">Sens!$E$7414+(glt_m365b-Sens!$E$7414)*MIN(1,(Sens!J7366-base_fy)/n_conv)</f>
        <v>0.0809205941500906</v>
      </c>
      <c r="K7414" s="7" t="n">
        <f aca="false">Sens!$E$7414+(glt_m365b-Sens!$E$7414)*MIN(1,(Sens!K7366-base_fy)/n_conv)</f>
        <v>0.07</v>
      </c>
    </row>
    <row r="7415" customFormat="false" ht="15" hidden="false" customHeight="false" outlineLevel="0" collapsed="false">
      <c r="A7415" s="0" t="s">
        <v>1036</v>
      </c>
      <c r="B7415" s="0" t="s">
        <v>98</v>
      </c>
      <c r="D7415" s="6" t="n">
        <f aca="false">Sens!D7413+Sens!D7412</f>
        <v>84.605</v>
      </c>
      <c r="E7415" s="6" t="n">
        <f aca="false">Sens!E7413+Sens!E7412</f>
        <v>100.299</v>
      </c>
      <c r="F7415" s="6" t="n">
        <f aca="false">Sens!F7413+Sens!F7412</f>
        <v>121.448127467675</v>
      </c>
      <c r="G7415" s="6" t="n">
        <f aca="false">Sens!G7413+Sens!G7412</f>
        <v>146.964141800408</v>
      </c>
      <c r="H7415" s="6" t="n">
        <f aca="false">Sens!H7413+Sens!H7412</f>
        <v>172.560656831422</v>
      </c>
      <c r="I7415" s="6" t="n">
        <f aca="false">Sens!I7413+Sens!I7412</f>
        <v>194.607621808847</v>
      </c>
      <c r="J7415" s="6" t="n">
        <f aca="false">Sens!J7413+Sens!J7412</f>
        <v>212.826709776069</v>
      </c>
      <c r="K7415" s="6" t="n">
        <f aca="false">Sens!K7413+Sens!K7412</f>
        <v>230.300829460394</v>
      </c>
    </row>
    <row r="7416" customFormat="false" ht="17.15" hidden="false" customHeight="false" outlineLevel="0" collapsed="false">
      <c r="A7416" s="0" t="s">
        <v>1037</v>
      </c>
      <c r="B7416" s="0" t="s">
        <v>98</v>
      </c>
      <c r="D7416" s="6" t="n">
        <f aca="false">Q!L8</f>
        <v>35.391</v>
      </c>
      <c r="E7416" s="6" t="n">
        <f aca="false">Q!M8</f>
        <v>37.285</v>
      </c>
      <c r="F7416" s="6" t="n">
        <f aca="false">Q!$I$8+(Q!M8-Q!$E$8)*(1+Sens!F7417)</f>
        <v>38.3851437782675</v>
      </c>
      <c r="G7416" s="6" t="n">
        <f aca="false">Sens!F7416*(1+Sens!G7417)</f>
        <v>40.0105353288615</v>
      </c>
      <c r="H7416" s="6" t="n">
        <f aca="false">Sens!G7416*(1+Sens!H7417)</f>
        <v>41.4812512033683</v>
      </c>
      <c r="I7416" s="6" t="n">
        <f aca="false">Sens!H7416*(1+Sens!I7417)</f>
        <v>42.7743107216329</v>
      </c>
      <c r="J7416" s="6" t="n">
        <f aca="false">Sens!I7416*(1+Sens!J7417)</f>
        <v>43.8687373064601</v>
      </c>
      <c r="K7416" s="6" t="n">
        <f aca="false">Sens!J7416*(1+Sens!K7417)</f>
        <v>44.7461120525893</v>
      </c>
      <c r="L7416" s="12" t="s">
        <v>1038</v>
      </c>
    </row>
    <row r="7417" customFormat="false" ht="15" hidden="false" customHeight="false" outlineLevel="0" collapsed="false">
      <c r="A7417" s="1" t="s">
        <v>1028</v>
      </c>
      <c r="B7417" s="0" t="s">
        <v>168</v>
      </c>
      <c r="E7417" s="7" t="n">
        <f aca="false">Sens!E7416/Sens!D7416-1</f>
        <v>0.0535164307309768</v>
      </c>
      <c r="F7417" s="7" t="n">
        <f aca="false">Sens!$E$7417+(glt_lic-Sens!$E$7417)*MIN(1,(Sens!F7366-base_fy)/n_conv)</f>
        <v>0.0479303589424807</v>
      </c>
      <c r="G7417" s="7" t="n">
        <f aca="false">Sens!$E$7417+(glt_lic-Sens!$E$7417)*MIN(1,(Sens!G7366-base_fy)/n_conv)</f>
        <v>0.0423442871539845</v>
      </c>
      <c r="H7417" s="7" t="n">
        <f aca="false">Sens!$E$7417+(glt_lic-Sens!$E$7417)*MIN(1,(Sens!H7366-base_fy)/n_conv)</f>
        <v>0.0367582153654884</v>
      </c>
      <c r="I7417" s="7" t="n">
        <f aca="false">Sens!$E$7417+(glt_lic-Sens!$E$7417)*MIN(1,(Sens!I7366-base_fy)/n_conv)</f>
        <v>0.0311721435769923</v>
      </c>
      <c r="J7417" s="7" t="n">
        <f aca="false">Sens!$E$7417+(glt_lic-Sens!$E$7417)*MIN(1,(Sens!J7366-base_fy)/n_conv)</f>
        <v>0.0255860717884961</v>
      </c>
      <c r="K7417" s="7" t="n">
        <f aca="false">Sens!$E$7417+(glt_lic-Sens!$E$7417)*MIN(1,(Sens!K7366-base_fy)/n_conv)</f>
        <v>0.02</v>
      </c>
    </row>
    <row r="7418" customFormat="false" ht="17.15" hidden="false" customHeight="false" outlineLevel="0" collapsed="false">
      <c r="A7418" s="0" t="s">
        <v>1039</v>
      </c>
      <c r="B7418" s="0" t="s">
        <v>98</v>
      </c>
      <c r="D7418" s="6" t="n">
        <f aca="false">Q!L9</f>
        <v>18.417</v>
      </c>
      <c r="E7418" s="6" t="n">
        <f aca="false">Q!M9</f>
        <v>20.345</v>
      </c>
      <c r="F7418" s="6" t="n">
        <f aca="false">Q!$I$9+(Q!M9-Q!$E$9)*(1+Sens!F7419)</f>
        <v>22.3161797133988</v>
      </c>
      <c r="G7418" s="6" t="n">
        <f aca="false">Sens!F7418*(1+Sens!G7419)</f>
        <v>24.3943499673233</v>
      </c>
      <c r="H7418" s="6" t="n">
        <f aca="false">Sens!G7418*(1+Sens!H7419)</f>
        <v>26.5250243109019</v>
      </c>
      <c r="I7418" s="6" t="n">
        <f aca="false">Sens!H7418*(1+Sens!I7419)</f>
        <v>28.6884573538181</v>
      </c>
      <c r="J7418" s="6" t="n">
        <f aca="false">Sens!I7418*(1+Sens!J7419)</f>
        <v>30.8624968052127</v>
      </c>
      <c r="K7418" s="6" t="n">
        <f aca="false">Sens!J7418*(1+Sens!K7419)</f>
        <v>33.0228715815776</v>
      </c>
      <c r="L7418" s="12" t="s">
        <v>1038</v>
      </c>
    </row>
    <row r="7419" customFormat="false" ht="15" hidden="false" customHeight="false" outlineLevel="0" collapsed="false">
      <c r="A7419" s="1" t="s">
        <v>1028</v>
      </c>
      <c r="B7419" s="0" t="s">
        <v>168</v>
      </c>
      <c r="E7419" s="7" t="n">
        <f aca="false">Sens!E7418/Sens!D7418-1</f>
        <v>0.104685888038225</v>
      </c>
      <c r="F7419" s="7" t="n">
        <f aca="false">Sens!$E$7419+(glt_ind-Sens!$E$7419)*MIN(1,(Sens!F7366-base_fy)/n_conv)</f>
        <v>0.0989049066985211</v>
      </c>
      <c r="G7419" s="7" t="n">
        <f aca="false">Sens!$E$7419+(glt_ind-Sens!$E$7419)*MIN(1,(Sens!G7366-base_fy)/n_conv)</f>
        <v>0.0931239253588169</v>
      </c>
      <c r="H7419" s="7" t="n">
        <f aca="false">Sens!$E$7419+(glt_ind-Sens!$E$7419)*MIN(1,(Sens!H7366-base_fy)/n_conv)</f>
        <v>0.0873429440191127</v>
      </c>
      <c r="I7419" s="7" t="n">
        <f aca="false">Sens!$E$7419+(glt_ind-Sens!$E$7419)*MIN(1,(Sens!I7366-base_fy)/n_conv)</f>
        <v>0.0815619626794085</v>
      </c>
      <c r="J7419" s="7" t="n">
        <f aca="false">Sens!$E$7419+(glt_ind-Sens!$E$7419)*MIN(1,(Sens!J7366-base_fy)/n_conv)</f>
        <v>0.0757809813397042</v>
      </c>
      <c r="K7419" s="7" t="n">
        <f aca="false">Sens!$E$7419+(glt_ind-Sens!$E$7419)*MIN(1,(Sens!K7366-base_fy)/n_conv)</f>
        <v>0.07</v>
      </c>
    </row>
    <row r="7420" customFormat="false" ht="17.15" hidden="false" customHeight="false" outlineLevel="0" collapsed="false">
      <c r="A7420" s="0" t="s">
        <v>1040</v>
      </c>
      <c r="B7420" s="0" t="s">
        <v>98</v>
      </c>
      <c r="D7420" s="6" t="n">
        <f aca="false">Q!L10</f>
        <v>7.76</v>
      </c>
      <c r="E7420" s="6" t="n">
        <f aca="false">Q!M10</f>
        <v>8.26</v>
      </c>
      <c r="F7420" s="6" t="n">
        <f aca="false">Q!$I$10+(Q!M10-Q!$E$10)*(1+Sens!F7421)</f>
        <v>8.75372082474227</v>
      </c>
      <c r="G7420" s="6" t="n">
        <f aca="false">Sens!F7420*(1+Sens!G7421)</f>
        <v>9.33399324642364</v>
      </c>
      <c r="H7420" s="6" t="n">
        <f aca="false">Sens!G7420*(1+Sens!H7421)</f>
        <v>9.96139155535851</v>
      </c>
      <c r="I7420" s="6" t="n">
        <f aca="false">Sens!H7420*(1+Sens!I7421)</f>
        <v>10.6402039077391</v>
      </c>
      <c r="J7420" s="6" t="n">
        <f aca="false">Sens!I7420*(1+Sens!J7421)</f>
        <v>11.3751458271397</v>
      </c>
      <c r="K7420" s="6" t="n">
        <f aca="false">Sens!J7420*(1+Sens!K7421)</f>
        <v>12.1714060350394</v>
      </c>
      <c r="L7420" s="12" t="s">
        <v>1038</v>
      </c>
    </row>
    <row r="7421" customFormat="false" ht="15" hidden="false" customHeight="false" outlineLevel="0" collapsed="false">
      <c r="A7421" s="1" t="s">
        <v>1028</v>
      </c>
      <c r="B7421" s="0" t="s">
        <v>168</v>
      </c>
      <c r="E7421" s="7" t="n">
        <f aca="false">Sens!E7420/Sens!D7420-1</f>
        <v>0.0644329896907216</v>
      </c>
      <c r="F7421" s="7" t="n">
        <f aca="false">Sens!$E$7421+(glt_fro-Sens!$E$7421)*MIN(1,(Sens!F7366-base_fy)/n_conv)</f>
        <v>0.065360824742268</v>
      </c>
      <c r="G7421" s="7" t="n">
        <f aca="false">Sens!$E$7421+(glt_fro-Sens!$E$7421)*MIN(1,(Sens!G7366-base_fy)/n_conv)</f>
        <v>0.0662886597938144</v>
      </c>
      <c r="H7421" s="7" t="n">
        <f aca="false">Sens!$E$7421+(glt_fro-Sens!$E$7421)*MIN(1,(Sens!H7366-base_fy)/n_conv)</f>
        <v>0.0672164948453608</v>
      </c>
      <c r="I7421" s="7" t="n">
        <f aca="false">Sens!$E$7421+(glt_fro-Sens!$E$7421)*MIN(1,(Sens!I7366-base_fy)/n_conv)</f>
        <v>0.0681443298969072</v>
      </c>
      <c r="J7421" s="7" t="n">
        <f aca="false">Sens!$E$7421+(glt_fro-Sens!$E$7421)*MIN(1,(Sens!J7366-base_fy)/n_conv)</f>
        <v>0.0690721649484536</v>
      </c>
      <c r="K7421" s="7" t="n">
        <f aca="false">Sens!$E$7421+(glt_fro-Sens!$E$7421)*MIN(1,(Sens!K7366-base_fy)/n_conv)</f>
        <v>0.07</v>
      </c>
    </row>
    <row r="7422" customFormat="false" ht="15" hidden="false" customHeight="false" outlineLevel="0" collapsed="false">
      <c r="A7422" s="0" t="s">
        <v>856</v>
      </c>
      <c r="B7422" s="0" t="s">
        <v>98</v>
      </c>
      <c r="D7422" s="6" t="n">
        <f aca="false">Sens!D7410+Sens!D7415+Sens!D7416+Sens!D7418+Sens!D7420</f>
        <v>218.783</v>
      </c>
      <c r="E7422" s="6" t="n">
        <f aca="false">Sens!E7410+Sens!E7415+Sens!E7416+Sens!E7418+Sens!E7420</f>
        <v>268.127</v>
      </c>
      <c r="F7422" s="6" t="n">
        <f aca="false">Sens!F7410+Sens!F7415+Sens!F7416+Sens!F7418+Sens!F7420</f>
        <v>340.493190156334</v>
      </c>
      <c r="G7422" s="6" t="n">
        <f aca="false">Sens!G7410+Sens!G7415+Sens!G7416+Sens!G7418+Sens!G7420</f>
        <v>431.666107689369</v>
      </c>
      <c r="H7422" s="6" t="n">
        <f aca="false">Sens!H7410+Sens!H7415+Sens!H7416+Sens!H7418+Sens!H7420</f>
        <v>529.178033215575</v>
      </c>
      <c r="I7422" s="6" t="n">
        <f aca="false">Sens!I7410+Sens!I7415+Sens!I7416+Sens!I7418+Sens!I7420</f>
        <v>610.979998374369</v>
      </c>
      <c r="J7422" s="6" t="n">
        <f aca="false">Sens!J7410+Sens!J7415+Sens!J7416+Sens!J7418+Sens!J7420</f>
        <v>675.450382778553</v>
      </c>
      <c r="K7422" s="6" t="n">
        <f aca="false">Sens!K7410+Sens!K7415+Sens!K7416+Sens!K7418+Sens!K7420</f>
        <v>726.259311752404</v>
      </c>
    </row>
    <row r="7423" customFormat="false" ht="17.15" hidden="false" customHeight="false" outlineLevel="0" collapsed="false">
      <c r="A7423" s="0" t="s">
        <v>1041</v>
      </c>
      <c r="B7423" s="0" t="s">
        <v>98</v>
      </c>
      <c r="D7423" s="6" t="n">
        <f aca="false">Q!L13</f>
        <v>22.171</v>
      </c>
      <c r="E7423" s="6" t="n">
        <f aca="false">Q!M13</f>
        <v>24.835</v>
      </c>
      <c r="F7423" s="6" t="n">
        <f aca="false">Q!$I$13+(Q!M13-Q!$E$13)*(1+Sens!F7424)</f>
        <v>27.5591895660247</v>
      </c>
      <c r="G7423" s="6" t="n">
        <f aca="false">Sens!F7423*(1+Sens!G7424)</f>
        <v>30.4098563144583</v>
      </c>
      <c r="H7423" s="6" t="n">
        <f aca="false">Sens!G7423*(1+Sens!H7424)</f>
        <v>33.3011792571777</v>
      </c>
      <c r="I7423" s="6" t="n">
        <f aca="false">Sens!H7423*(1+Sens!I7424)</f>
        <v>36.189023797112</v>
      </c>
      <c r="J7423" s="6" t="n">
        <f aca="false">Sens!I7423*(1+Sens!J7424)</f>
        <v>39.0247773769199</v>
      </c>
      <c r="K7423" s="6" t="n">
        <f aca="false">Sens!J7423*(1+Sens!K7424)</f>
        <v>41.7565117933043</v>
      </c>
      <c r="L7423" s="12" t="s">
        <v>1038</v>
      </c>
    </row>
    <row r="7424" customFormat="false" ht="15" hidden="false" customHeight="false" outlineLevel="0" collapsed="false">
      <c r="A7424" s="1" t="s">
        <v>1028</v>
      </c>
      <c r="B7424" s="0" t="s">
        <v>168</v>
      </c>
      <c r="E7424" s="7" t="n">
        <f aca="false">Sens!E7423/Sens!D7423-1</f>
        <v>0.120156961796942</v>
      </c>
      <c r="F7424" s="7" t="n">
        <f aca="false">Sens!$E$7424+(glt_srch-Sens!$E$7424)*MIN(1,(Sens!F7366-base_fy)/n_conv)</f>
        <v>0.111797468164118</v>
      </c>
      <c r="G7424" s="7" t="n">
        <f aca="false">Sens!$E$7424+(glt_srch-Sens!$E$7424)*MIN(1,(Sens!G7366-base_fy)/n_conv)</f>
        <v>0.103437974531295</v>
      </c>
      <c r="H7424" s="7" t="n">
        <f aca="false">Sens!$E$7424+(glt_srch-Sens!$E$7424)*MIN(1,(Sens!H7366-base_fy)/n_conv)</f>
        <v>0.095078480898471</v>
      </c>
      <c r="I7424" s="7" t="n">
        <f aca="false">Sens!$E$7424+(glt_srch-Sens!$E$7424)*MIN(1,(Sens!I7366-base_fy)/n_conv)</f>
        <v>0.0867189872656474</v>
      </c>
      <c r="J7424" s="7" t="n">
        <f aca="false">Sens!$E$7424+(glt_srch-Sens!$E$7424)*MIN(1,(Sens!J7366-base_fy)/n_conv)</f>
        <v>0.0783594936328237</v>
      </c>
      <c r="K7424" s="7" t="n">
        <f aca="false">Sens!$E$7424+(glt_srch-Sens!$E$7424)*MIN(1,(Sens!K7366-base_fy)/n_conv)</f>
        <v>0.07</v>
      </c>
    </row>
    <row r="7425" customFormat="false" ht="17.15" hidden="false" customHeight="false" outlineLevel="0" collapsed="false">
      <c r="A7425" s="0" t="s">
        <v>1042</v>
      </c>
      <c r="B7425" s="0" t="s">
        <v>98</v>
      </c>
      <c r="D7425" s="6" t="n">
        <f aca="false">Q!L14</f>
        <v>23.455</v>
      </c>
      <c r="E7425" s="6" t="n">
        <f aca="false">Q!M14</f>
        <v>21.79</v>
      </c>
      <c r="F7425" s="6" t="n">
        <f aca="false">Q!$I$14+(Q!M14-Q!$E$14)*(1+Sens!F7426)</f>
        <v>20.7520981041711</v>
      </c>
      <c r="G7425" s="6" t="n">
        <f aca="false">Sens!F7425*(1+Sens!G7426)</f>
        <v>19.9083593495882</v>
      </c>
      <c r="H7425" s="6" t="n">
        <f aca="false">Sens!G7425*(1+Sens!H7426)</f>
        <v>19.4008256265831</v>
      </c>
      <c r="I7425" s="6" t="n">
        <f aca="false">Sens!H7425*(1+Sens!I7426)</f>
        <v>19.200434522122</v>
      </c>
      <c r="J7425" s="6" t="n">
        <f aca="false">Sens!I7425*(1+Sens!J7426)</f>
        <v>19.2932782348507</v>
      </c>
      <c r="K7425" s="6" t="n">
        <f aca="false">Sens!J7425*(1+Sens!K7426)</f>
        <v>19.6791437995477</v>
      </c>
      <c r="L7425" s="12" t="s">
        <v>1038</v>
      </c>
    </row>
    <row r="7426" customFormat="false" ht="15" hidden="false" customHeight="false" outlineLevel="0" collapsed="false">
      <c r="A7426" s="1" t="s">
        <v>1028</v>
      </c>
      <c r="B7426" s="0" t="s">
        <v>168</v>
      </c>
      <c r="E7426" s="7" t="n">
        <f aca="false">Sens!E7425/Sens!D7425-1</f>
        <v>-0.0709869963760392</v>
      </c>
      <c r="F7426" s="7" t="n">
        <f aca="false">Sens!$E$7426+(glt_xbox-Sens!$E$7426)*MIN(1,(Sens!F7366-base_fy)/n_conv)</f>
        <v>-0.0558224969800327</v>
      </c>
      <c r="G7426" s="7" t="n">
        <f aca="false">Sens!$E$7426+(glt_xbox-Sens!$E$7426)*MIN(1,(Sens!G7366-base_fy)/n_conv)</f>
        <v>-0.0406579975840262</v>
      </c>
      <c r="H7426" s="7" t="n">
        <f aca="false">Sens!$E$7426+(glt_xbox-Sens!$E$7426)*MIN(1,(Sens!H7366-base_fy)/n_conv)</f>
        <v>-0.0254934981880196</v>
      </c>
      <c r="I7426" s="7" t="n">
        <f aca="false">Sens!$E$7426+(glt_xbox-Sens!$E$7426)*MIN(1,(Sens!I7366-base_fy)/n_conv)</f>
        <v>-0.0103289987920131</v>
      </c>
      <c r="J7426" s="7" t="n">
        <f aca="false">Sens!$E$7426+(glt_xbox-Sens!$E$7426)*MIN(1,(Sens!J7366-base_fy)/n_conv)</f>
        <v>0.00483550060399347</v>
      </c>
      <c r="K7426" s="7" t="n">
        <f aca="false">Sens!$E$7426+(glt_xbox-Sens!$E$7426)*MIN(1,(Sens!K7366-base_fy)/n_conv)</f>
        <v>0.02</v>
      </c>
    </row>
    <row r="7427" customFormat="false" ht="17.15" hidden="false" customHeight="false" outlineLevel="0" collapsed="false">
      <c r="A7427" s="0" t="s">
        <v>1043</v>
      </c>
      <c r="B7427" s="0" t="s">
        <v>98</v>
      </c>
      <c r="D7427" s="6" t="n">
        <f aca="false">Q!L15</f>
        <v>17.315</v>
      </c>
      <c r="E7427" s="6" t="n">
        <f aca="false">Q!M15</f>
        <v>17.087</v>
      </c>
      <c r="F7427" s="6" t="n">
        <f aca="false">Q!$I$15+(Q!M15-Q!$E$15)*(1+Sens!F7428)</f>
        <v>15.9912273250553</v>
      </c>
      <c r="G7427" s="6" t="n">
        <f aca="false">Sens!F7427*(1+Sens!G7428)</f>
        <v>15.9574562664827</v>
      </c>
      <c r="H7427" s="6" t="n">
        <f aca="false">Sens!G7427*(1+Sens!H7428)</f>
        <v>16.0119687434196</v>
      </c>
      <c r="I7427" s="6" t="n">
        <f aca="false">Sens!H7427*(1+Sens!I7428)</f>
        <v>16.1551810001948</v>
      </c>
      <c r="J7427" s="6" t="n">
        <f aca="false">Sens!I7427*(1+Sens!J7428)</f>
        <v>16.3889793892005</v>
      </c>
      <c r="K7427" s="6" t="n">
        <f aca="false">Sens!J7427*(1+Sens!K7428)</f>
        <v>16.7167589769845</v>
      </c>
      <c r="L7427" s="12" t="s">
        <v>1038</v>
      </c>
    </row>
    <row r="7428" customFormat="false" ht="15" hidden="false" customHeight="false" outlineLevel="0" collapsed="false">
      <c r="A7428" s="1" t="s">
        <v>1028</v>
      </c>
      <c r="B7428" s="0" t="s">
        <v>168</v>
      </c>
      <c r="E7428" s="7" t="n">
        <f aca="false">Sens!E7427/Sens!D7427-1</f>
        <v>-0.0131677736066995</v>
      </c>
      <c r="F7428" s="7" t="n">
        <f aca="false">Sens!$E$7428+(glt_win-Sens!$E$7428)*MIN(1,(Sens!F7366-base_fy)/n_conv)</f>
        <v>-0.00763981133891627</v>
      </c>
      <c r="G7428" s="7" t="n">
        <f aca="false">Sens!$E$7428+(glt_win-Sens!$E$7428)*MIN(1,(Sens!G7366-base_fy)/n_conv)</f>
        <v>-0.00211184907113301</v>
      </c>
      <c r="H7428" s="7" t="n">
        <f aca="false">Sens!$E$7428+(glt_win-Sens!$E$7428)*MIN(1,(Sens!H7366-base_fy)/n_conv)</f>
        <v>0.00341611319665024</v>
      </c>
      <c r="I7428" s="7" t="n">
        <f aca="false">Sens!$E$7428+(glt_win-Sens!$E$7428)*MIN(1,(Sens!I7366-base_fy)/n_conv)</f>
        <v>0.00894407546443349</v>
      </c>
      <c r="J7428" s="7" t="n">
        <f aca="false">Sens!$E$7428+(glt_win-Sens!$E$7428)*MIN(1,(Sens!J7366-base_fy)/n_conv)</f>
        <v>0.0144720377322168</v>
      </c>
      <c r="K7428" s="7" t="n">
        <f aca="false">Sens!$E$7428+(glt_win-Sens!$E$7428)*MIN(1,(Sens!K7366-base_fy)/n_conv)</f>
        <v>0.02</v>
      </c>
    </row>
    <row r="7429" customFormat="false" ht="15" hidden="false" customHeight="false" outlineLevel="0" collapsed="false">
      <c r="A7429" s="0" t="s">
        <v>870</v>
      </c>
      <c r="B7429" s="0" t="s">
        <v>98</v>
      </c>
      <c r="D7429" s="6" t="n">
        <f aca="false">Sens!D7423+Sens!D7425+Sens!D7427</f>
        <v>62.941</v>
      </c>
      <c r="E7429" s="6" t="n">
        <f aca="false">Sens!E7423+Sens!E7425+Sens!E7427</f>
        <v>63.712</v>
      </c>
      <c r="F7429" s="6" t="n">
        <f aca="false">Sens!F7423+Sens!F7425+Sens!F7427</f>
        <v>64.3025149952511</v>
      </c>
      <c r="G7429" s="6" t="n">
        <f aca="false">Sens!G7423+Sens!G7425+Sens!G7427</f>
        <v>66.2756719305292</v>
      </c>
      <c r="H7429" s="6" t="n">
        <f aca="false">Sens!H7423+Sens!H7425+Sens!H7427</f>
        <v>68.7139736271804</v>
      </c>
      <c r="I7429" s="6" t="n">
        <f aca="false">Sens!I7423+Sens!I7425+Sens!I7427</f>
        <v>71.5446393194289</v>
      </c>
      <c r="J7429" s="6" t="n">
        <f aca="false">Sens!J7423+Sens!J7425+Sens!J7427</f>
        <v>74.707035000971</v>
      </c>
      <c r="K7429" s="6" t="n">
        <f aca="false">Sens!K7423+Sens!K7425+Sens!K7427</f>
        <v>78.1524145698365</v>
      </c>
    </row>
    <row r="7430" customFormat="false" ht="15" hidden="false" customHeight="false" outlineLevel="0" collapsed="false">
      <c r="A7430" s="1" t="s">
        <v>1044</v>
      </c>
      <c r="B7430" s="0" t="s">
        <v>98</v>
      </c>
      <c r="D7430" s="6" t="n">
        <f aca="false">Sens!D7422+Sens!D7429</f>
        <v>281.724</v>
      </c>
      <c r="E7430" s="6" t="n">
        <f aca="false">Sens!E7422+Sens!E7429</f>
        <v>331.839</v>
      </c>
      <c r="F7430" s="6" t="n">
        <f aca="false">Sens!F7422+Sens!F7429</f>
        <v>404.795705151585</v>
      </c>
      <c r="G7430" s="6" t="n">
        <f aca="false">Sens!G7422+Sens!G7429</f>
        <v>497.941779619898</v>
      </c>
      <c r="H7430" s="6" t="n">
        <f aca="false">Sens!H7422+Sens!H7429</f>
        <v>597.892006842755</v>
      </c>
      <c r="I7430" s="6" t="n">
        <f aca="false">Sens!I7422+Sens!I7429</f>
        <v>682.524637693798</v>
      </c>
      <c r="J7430" s="6" t="n">
        <f aca="false">Sens!J7422+Sens!J7429</f>
        <v>750.157417779524</v>
      </c>
      <c r="K7430" s="6" t="n">
        <f aca="false">Sens!K7422+Sens!K7429</f>
        <v>804.411726322241</v>
      </c>
    </row>
    <row r="7431" customFormat="false" ht="15" hidden="false" customHeight="false" outlineLevel="0" collapsed="false">
      <c r="A7431" s="26" t="s">
        <v>1045</v>
      </c>
      <c r="B7431" s="31" t="s">
        <v>98</v>
      </c>
      <c r="C7431" s="31"/>
      <c r="D7431" s="27" t="n">
        <f aca="false">(Sens!D7410+Sens!D7415+Sens!D7416+Sens!D7418+Sens!D7420-Sens!D7422)+(Sens!D7423+Sens!D7425+Sens!D7427-Sens!D7429)+(Sens!D7422-Q!L5)+(Sens!D7429-Q!L12)+(Sens!D7410-Q!L6)+(Sens!D7415-Q!L7)</f>
        <v>0</v>
      </c>
      <c r="E7431" s="27" t="n">
        <f aca="false">(Sens!E7410+Sens!E7415+Sens!E7416+Sens!E7418+Sens!E7420-Sens!E7422)+(Sens!E7423+Sens!E7425+Sens!E7427-Sens!E7429)+(Sens!E7422-Q!M5)+(Sens!E7429-Q!M12)+(Sens!E7410-Q!M6)+(Sens!E7415-Q!M7)</f>
        <v>0</v>
      </c>
      <c r="F7431" s="27" t="n">
        <f aca="false">(Sens!F7410+Sens!F7415+Sens!F7416+Sens!F7418+Sens!F7420-Sens!F7422)+(Sens!F7423+Sens!F7425+Sens!F7427-Sens!F7429)</f>
        <v>0</v>
      </c>
      <c r="G7431" s="27" t="n">
        <f aca="false">(Sens!G7410+Sens!G7415+Sens!G7416+Sens!G7418+Sens!G7420-Sens!G7422)+(Sens!G7423+Sens!G7425+Sens!G7427-Sens!G7429)</f>
        <v>0</v>
      </c>
      <c r="H7431" s="27" t="n">
        <f aca="false">(Sens!H7410+Sens!H7415+Sens!H7416+Sens!H7418+Sens!H7420-Sens!H7422)+(Sens!H7423+Sens!H7425+Sens!H7427-Sens!H7429)</f>
        <v>0</v>
      </c>
      <c r="I7431" s="27" t="n">
        <f aca="false">(Sens!I7410+Sens!I7415+Sens!I7416+Sens!I7418+Sens!I7420-Sens!I7422)+(Sens!I7423+Sens!I7425+Sens!I7427-Sens!I7429)</f>
        <v>0</v>
      </c>
      <c r="J7431" s="27" t="n">
        <f aca="false">(Sens!J7410+Sens!J7415+Sens!J7416+Sens!J7418+Sens!J7420-Sens!J7422)+(Sens!J7423+Sens!J7425+Sens!J7427-Sens!J7429)</f>
        <v>0</v>
      </c>
      <c r="K7431" s="27" t="n">
        <f aca="false">(Sens!K7410+Sens!K7415+Sens!K7416+Sens!K7418+Sens!K7420-Sens!K7422)+(Sens!K7423+Sens!K7425+Sens!K7427-Sens!K7429)</f>
        <v>0</v>
      </c>
    </row>
    <row r="7432" customFormat="false" ht="17.15" hidden="false" customHeight="false" outlineLevel="0" collapsed="false">
      <c r="A7432" s="3" t="s">
        <v>1797</v>
      </c>
    </row>
    <row r="7433" customFormat="false" ht="15" hidden="false" customHeight="false" outlineLevel="0" collapsed="false">
      <c r="A7433" s="4" t="s">
        <v>43</v>
      </c>
      <c r="B7433" s="4" t="s">
        <v>65</v>
      </c>
      <c r="C7433" s="23" t="s">
        <v>942</v>
      </c>
      <c r="D7433" s="23" t="s">
        <v>943</v>
      </c>
      <c r="E7433" s="23" t="s">
        <v>944</v>
      </c>
      <c r="F7433" s="23" t="s">
        <v>945</v>
      </c>
      <c r="G7433" s="23" t="s">
        <v>946</v>
      </c>
      <c r="H7433" s="23" t="s">
        <v>947</v>
      </c>
      <c r="I7433" s="23" t="s">
        <v>948</v>
      </c>
      <c r="J7433" s="23" t="s">
        <v>949</v>
      </c>
      <c r="K7433" s="23" t="s">
        <v>950</v>
      </c>
      <c r="L7433" s="4" t="s">
        <v>47</v>
      </c>
    </row>
    <row r="7434" customFormat="false" ht="15" hidden="false" customHeight="false" outlineLevel="0" collapsed="false">
      <c r="A7434" s="0" t="s">
        <v>1029</v>
      </c>
      <c r="B7434" s="0" t="s">
        <v>98</v>
      </c>
      <c r="D7434" s="6" t="n">
        <f aca="false">Sens!D7410</f>
        <v>72.61</v>
      </c>
      <c r="E7434" s="6" t="n">
        <f aca="false">Sens!E7410</f>
        <v>101.938</v>
      </c>
      <c r="F7434" s="6" t="n">
        <f aca="false">Sens!F7410</f>
        <v>149.59001837225</v>
      </c>
      <c r="G7434" s="6" t="n">
        <f aca="false">Sens!G7410</f>
        <v>210.963087346352</v>
      </c>
      <c r="H7434" s="6" t="n">
        <f aca="false">Sens!H7410</f>
        <v>278.649709314524</v>
      </c>
      <c r="I7434" s="6" t="n">
        <f aca="false">Sens!I7410</f>
        <v>334.269404582332</v>
      </c>
      <c r="J7434" s="6" t="n">
        <f aca="false">Sens!J7410</f>
        <v>376.517293063672</v>
      </c>
      <c r="K7434" s="6" t="n">
        <f aca="false">Sens!K7410</f>
        <v>406.018092622804</v>
      </c>
    </row>
    <row r="7435" customFormat="false" ht="17.15" hidden="false" customHeight="false" outlineLevel="0" collapsed="false">
      <c r="A7435" s="0" t="s">
        <v>1025</v>
      </c>
      <c r="B7435" s="0" t="s">
        <v>98</v>
      </c>
      <c r="D7435" s="6" t="n">
        <f aca="false">Sens!D7407</f>
        <v>12.9359794422418</v>
      </c>
      <c r="E7435" s="6" t="n">
        <f aca="false">Sens!E7407</f>
        <v>27.8095064661409</v>
      </c>
      <c r="F7435" s="6" t="n">
        <f aca="false">Sens!F7407</f>
        <v>59.1034165651511</v>
      </c>
      <c r="G7435" s="6" t="n">
        <f aca="false">Sens!G7407</f>
        <v>103.451498789198</v>
      </c>
      <c r="H7435" s="6" t="n">
        <f aca="false">Sens!H7407</f>
        <v>153.816719989035</v>
      </c>
      <c r="I7435" s="6" t="n">
        <f aca="false">Sens!I7407</f>
        <v>192.699478690852</v>
      </c>
      <c r="J7435" s="6" t="n">
        <f aca="false">Sens!J7407</f>
        <v>219.794102584244</v>
      </c>
      <c r="K7435" s="6" t="n">
        <f aca="false">Sens!K7407</f>
        <v>236.757046905022</v>
      </c>
    </row>
    <row r="7436" customFormat="false" ht="17.15" hidden="false" customHeight="false" outlineLevel="0" collapsed="false">
      <c r="A7436" s="0" t="s">
        <v>1056</v>
      </c>
      <c r="B7436" s="0" t="s">
        <v>98</v>
      </c>
      <c r="D7436" s="6" t="n">
        <f aca="false">Sens!D7408</f>
        <v>59.6740205577583</v>
      </c>
      <c r="E7436" s="6" t="n">
        <f aca="false">Sens!E7408</f>
        <v>74.1284935338591</v>
      </c>
      <c r="F7436" s="6" t="n">
        <f aca="false">Sens!F7408</f>
        <v>90.4866018070994</v>
      </c>
      <c r="G7436" s="6" t="n">
        <f aca="false">Sens!G7408</f>
        <v>107.511588557154</v>
      </c>
      <c r="H7436" s="6" t="n">
        <f aca="false">Sens!H7408</f>
        <v>124.832989325489</v>
      </c>
      <c r="I7436" s="6" t="n">
        <f aca="false">Sens!I7408</f>
        <v>141.56992589148</v>
      </c>
      <c r="J7436" s="6" t="n">
        <f aca="false">Sens!J7408</f>
        <v>156.723190479428</v>
      </c>
      <c r="K7436" s="6" t="n">
        <f aca="false">Sens!K7408</f>
        <v>169.261045717783</v>
      </c>
    </row>
    <row r="7437" customFormat="false" ht="15" hidden="false" customHeight="false" outlineLevel="0" collapsed="false">
      <c r="A7437" s="0" t="s">
        <v>1036</v>
      </c>
      <c r="B7437" s="0" t="s">
        <v>98</v>
      </c>
      <c r="D7437" s="6" t="n">
        <f aca="false">Sens!D7415</f>
        <v>84.605</v>
      </c>
      <c r="E7437" s="6" t="n">
        <f aca="false">Sens!E7415</f>
        <v>100.299</v>
      </c>
      <c r="F7437" s="6" t="n">
        <f aca="false">Sens!F7415</f>
        <v>121.448127467675</v>
      </c>
      <c r="G7437" s="6" t="n">
        <f aca="false">Sens!G7415</f>
        <v>146.964141800408</v>
      </c>
      <c r="H7437" s="6" t="n">
        <f aca="false">Sens!H7415</f>
        <v>172.560656831422</v>
      </c>
      <c r="I7437" s="6" t="n">
        <f aca="false">Sens!I7415</f>
        <v>194.607621808847</v>
      </c>
      <c r="J7437" s="6" t="n">
        <f aca="false">Sens!J7415</f>
        <v>212.826709776069</v>
      </c>
      <c r="K7437" s="6" t="n">
        <f aca="false">Sens!K7415</f>
        <v>230.300829460394</v>
      </c>
    </row>
    <row r="7438" customFormat="false" ht="17.15" hidden="false" customHeight="false" outlineLevel="0" collapsed="false">
      <c r="A7438" s="0" t="s">
        <v>1057</v>
      </c>
      <c r="B7438" s="0" t="s">
        <v>98</v>
      </c>
      <c r="D7438" s="6" t="n">
        <f aca="false">Sens!D7413</f>
        <v>83.705</v>
      </c>
      <c r="E7438" s="6" t="n">
        <f aca="false">Sens!E7413</f>
        <v>95.049</v>
      </c>
      <c r="F7438" s="6" t="n">
        <f aca="false">Sens!F7413</f>
        <v>105.698127467675</v>
      </c>
      <c r="G7438" s="6" t="n">
        <f aca="false">Sens!G7413</f>
        <v>117.714141800408</v>
      </c>
      <c r="H7438" s="6" t="n">
        <f aca="false">Sens!H7413</f>
        <v>129.810656831422</v>
      </c>
      <c r="I7438" s="6" t="n">
        <f aca="false">Sens!I7413</f>
        <v>141.732621808847</v>
      </c>
      <c r="J7438" s="6" t="n">
        <f aca="false">Sens!J7413</f>
        <v>153.201709776069</v>
      </c>
      <c r="K7438" s="6" t="n">
        <f aca="false">Sens!K7413</f>
        <v>163.925829460394</v>
      </c>
    </row>
    <row r="7439" customFormat="false" ht="17.15" hidden="false" customHeight="false" outlineLevel="0" collapsed="false">
      <c r="A7439" s="0" t="s">
        <v>1058</v>
      </c>
      <c r="B7439" s="0" t="s">
        <v>98</v>
      </c>
      <c r="D7439" s="6" t="n">
        <f aca="false">Sens!D7412</f>
        <v>0.9</v>
      </c>
      <c r="E7439" s="6" t="n">
        <f aca="false">Sens!E7412</f>
        <v>5.25</v>
      </c>
      <c r="F7439" s="6" t="n">
        <f aca="false">Sens!F7412</f>
        <v>15.75</v>
      </c>
      <c r="G7439" s="6" t="n">
        <f aca="false">Sens!G7412</f>
        <v>29.25</v>
      </c>
      <c r="H7439" s="6" t="n">
        <f aca="false">Sens!H7412</f>
        <v>42.75</v>
      </c>
      <c r="I7439" s="6" t="n">
        <f aca="false">Sens!I7412</f>
        <v>52.875</v>
      </c>
      <c r="J7439" s="6" t="n">
        <f aca="false">Sens!J7412</f>
        <v>59.625</v>
      </c>
      <c r="K7439" s="6" t="n">
        <f aca="false">Sens!K7412</f>
        <v>66.375</v>
      </c>
    </row>
    <row r="7440" customFormat="false" ht="15" hidden="false" customHeight="false" outlineLevel="0" collapsed="false">
      <c r="A7440" s="0" t="s">
        <v>1037</v>
      </c>
      <c r="B7440" s="0" t="s">
        <v>98</v>
      </c>
      <c r="D7440" s="6" t="n">
        <f aca="false">Sens!D7416</f>
        <v>35.391</v>
      </c>
      <c r="E7440" s="6" t="n">
        <f aca="false">Sens!E7416</f>
        <v>37.285</v>
      </c>
      <c r="F7440" s="6" t="n">
        <f aca="false">Sens!F7416</f>
        <v>38.3851437782675</v>
      </c>
      <c r="G7440" s="6" t="n">
        <f aca="false">Sens!G7416</f>
        <v>40.0105353288615</v>
      </c>
      <c r="H7440" s="6" t="n">
        <f aca="false">Sens!H7416</f>
        <v>41.4812512033683</v>
      </c>
      <c r="I7440" s="6" t="n">
        <f aca="false">Sens!I7416</f>
        <v>42.7743107216329</v>
      </c>
      <c r="J7440" s="6" t="n">
        <f aca="false">Sens!J7416</f>
        <v>43.8687373064601</v>
      </c>
      <c r="K7440" s="6" t="n">
        <f aca="false">Sens!K7416</f>
        <v>44.7461120525893</v>
      </c>
    </row>
    <row r="7441" customFormat="false" ht="15" hidden="false" customHeight="false" outlineLevel="0" collapsed="false">
      <c r="A7441" s="0" t="s">
        <v>1039</v>
      </c>
      <c r="B7441" s="0" t="s">
        <v>98</v>
      </c>
      <c r="D7441" s="6" t="n">
        <f aca="false">Sens!D7418</f>
        <v>18.417</v>
      </c>
      <c r="E7441" s="6" t="n">
        <f aca="false">Sens!E7418</f>
        <v>20.345</v>
      </c>
      <c r="F7441" s="6" t="n">
        <f aca="false">Sens!F7418</f>
        <v>22.3161797133988</v>
      </c>
      <c r="G7441" s="6" t="n">
        <f aca="false">Sens!G7418</f>
        <v>24.3943499673233</v>
      </c>
      <c r="H7441" s="6" t="n">
        <f aca="false">Sens!H7418</f>
        <v>26.5250243109019</v>
      </c>
      <c r="I7441" s="6" t="n">
        <f aca="false">Sens!I7418</f>
        <v>28.6884573538181</v>
      </c>
      <c r="J7441" s="6" t="n">
        <f aca="false">Sens!J7418</f>
        <v>30.8624968052127</v>
      </c>
      <c r="K7441" s="6" t="n">
        <f aca="false">Sens!K7418</f>
        <v>33.0228715815776</v>
      </c>
    </row>
    <row r="7442" customFormat="false" ht="15" hidden="false" customHeight="false" outlineLevel="0" collapsed="false">
      <c r="A7442" s="0" t="s">
        <v>1040</v>
      </c>
      <c r="B7442" s="0" t="s">
        <v>98</v>
      </c>
      <c r="D7442" s="6" t="n">
        <f aca="false">Sens!D7420</f>
        <v>7.76</v>
      </c>
      <c r="E7442" s="6" t="n">
        <f aca="false">Sens!E7420</f>
        <v>8.26</v>
      </c>
      <c r="F7442" s="6" t="n">
        <f aca="false">Sens!F7420</f>
        <v>8.75372082474227</v>
      </c>
      <c r="G7442" s="6" t="n">
        <f aca="false">Sens!G7420</f>
        <v>9.33399324642364</v>
      </c>
      <c r="H7442" s="6" t="n">
        <f aca="false">Sens!H7420</f>
        <v>9.96139155535851</v>
      </c>
      <c r="I7442" s="6" t="n">
        <f aca="false">Sens!I7420</f>
        <v>10.6402039077391</v>
      </c>
      <c r="J7442" s="6" t="n">
        <f aca="false">Sens!J7420</f>
        <v>11.3751458271397</v>
      </c>
      <c r="K7442" s="6" t="n">
        <f aca="false">Sens!K7420</f>
        <v>12.1714060350394</v>
      </c>
    </row>
    <row r="7443" customFormat="false" ht="15" hidden="false" customHeight="false" outlineLevel="0" collapsed="false">
      <c r="A7443" s="0" t="s">
        <v>856</v>
      </c>
      <c r="B7443" s="0" t="s">
        <v>98</v>
      </c>
      <c r="D7443" s="6" t="n">
        <f aca="false">Sens!D7422</f>
        <v>218.783</v>
      </c>
      <c r="E7443" s="6" t="n">
        <f aca="false">Sens!E7422</f>
        <v>268.127</v>
      </c>
      <c r="F7443" s="6" t="n">
        <f aca="false">Sens!F7422</f>
        <v>340.493190156334</v>
      </c>
      <c r="G7443" s="6" t="n">
        <f aca="false">Sens!G7422</f>
        <v>431.666107689369</v>
      </c>
      <c r="H7443" s="6" t="n">
        <f aca="false">Sens!H7422</f>
        <v>529.178033215575</v>
      </c>
      <c r="I7443" s="6" t="n">
        <f aca="false">Sens!I7422</f>
        <v>610.979998374369</v>
      </c>
      <c r="J7443" s="6" t="n">
        <f aca="false">Sens!J7422</f>
        <v>675.450382778553</v>
      </c>
      <c r="K7443" s="6" t="n">
        <f aca="false">Sens!K7422</f>
        <v>726.259311752404</v>
      </c>
    </row>
    <row r="7444" customFormat="false" ht="15" hidden="false" customHeight="false" outlineLevel="0" collapsed="false">
      <c r="A7444" s="0" t="s">
        <v>1041</v>
      </c>
      <c r="B7444" s="0" t="s">
        <v>98</v>
      </c>
      <c r="D7444" s="6" t="n">
        <f aca="false">Sens!D7423</f>
        <v>22.171</v>
      </c>
      <c r="E7444" s="6" t="n">
        <f aca="false">Sens!E7423</f>
        <v>24.835</v>
      </c>
      <c r="F7444" s="6" t="n">
        <f aca="false">Sens!F7423</f>
        <v>27.5591895660247</v>
      </c>
      <c r="G7444" s="6" t="n">
        <f aca="false">Sens!G7423</f>
        <v>30.4098563144583</v>
      </c>
      <c r="H7444" s="6" t="n">
        <f aca="false">Sens!H7423</f>
        <v>33.3011792571777</v>
      </c>
      <c r="I7444" s="6" t="n">
        <f aca="false">Sens!I7423</f>
        <v>36.189023797112</v>
      </c>
      <c r="J7444" s="6" t="n">
        <f aca="false">Sens!J7423</f>
        <v>39.0247773769199</v>
      </c>
      <c r="K7444" s="6" t="n">
        <f aca="false">Sens!K7423</f>
        <v>41.7565117933043</v>
      </c>
    </row>
    <row r="7445" customFormat="false" ht="15" hidden="false" customHeight="false" outlineLevel="0" collapsed="false">
      <c r="A7445" s="0" t="s">
        <v>1042</v>
      </c>
      <c r="B7445" s="0" t="s">
        <v>98</v>
      </c>
      <c r="D7445" s="6" t="n">
        <f aca="false">Sens!D7425</f>
        <v>23.455</v>
      </c>
      <c r="E7445" s="6" t="n">
        <f aca="false">Sens!E7425</f>
        <v>21.79</v>
      </c>
      <c r="F7445" s="6" t="n">
        <f aca="false">Sens!F7425</f>
        <v>20.7520981041711</v>
      </c>
      <c r="G7445" s="6" t="n">
        <f aca="false">Sens!G7425</f>
        <v>19.9083593495882</v>
      </c>
      <c r="H7445" s="6" t="n">
        <f aca="false">Sens!H7425</f>
        <v>19.4008256265831</v>
      </c>
      <c r="I7445" s="6" t="n">
        <f aca="false">Sens!I7425</f>
        <v>19.200434522122</v>
      </c>
      <c r="J7445" s="6" t="n">
        <f aca="false">Sens!J7425</f>
        <v>19.2932782348507</v>
      </c>
      <c r="K7445" s="6" t="n">
        <f aca="false">Sens!K7425</f>
        <v>19.6791437995477</v>
      </c>
    </row>
    <row r="7446" customFormat="false" ht="15" hidden="false" customHeight="false" outlineLevel="0" collapsed="false">
      <c r="A7446" s="0" t="s">
        <v>1043</v>
      </c>
      <c r="B7446" s="0" t="s">
        <v>98</v>
      </c>
      <c r="D7446" s="6" t="n">
        <f aca="false">Sens!D7427</f>
        <v>17.315</v>
      </c>
      <c r="E7446" s="6" t="n">
        <f aca="false">Sens!E7427</f>
        <v>17.087</v>
      </c>
      <c r="F7446" s="6" t="n">
        <f aca="false">Sens!F7427</f>
        <v>15.9912273250553</v>
      </c>
      <c r="G7446" s="6" t="n">
        <f aca="false">Sens!G7427</f>
        <v>15.9574562664827</v>
      </c>
      <c r="H7446" s="6" t="n">
        <f aca="false">Sens!H7427</f>
        <v>16.0119687434196</v>
      </c>
      <c r="I7446" s="6" t="n">
        <f aca="false">Sens!I7427</f>
        <v>16.1551810001948</v>
      </c>
      <c r="J7446" s="6" t="n">
        <f aca="false">Sens!J7427</f>
        <v>16.3889793892005</v>
      </c>
      <c r="K7446" s="6" t="n">
        <f aca="false">Sens!K7427</f>
        <v>16.7167589769845</v>
      </c>
    </row>
    <row r="7447" customFormat="false" ht="15" hidden="false" customHeight="false" outlineLevel="0" collapsed="false">
      <c r="A7447" s="0" t="s">
        <v>870</v>
      </c>
      <c r="B7447" s="0" t="s">
        <v>98</v>
      </c>
      <c r="D7447" s="6" t="n">
        <f aca="false">Sens!D7429</f>
        <v>62.941</v>
      </c>
      <c r="E7447" s="6" t="n">
        <f aca="false">Sens!E7429</f>
        <v>63.712</v>
      </c>
      <c r="F7447" s="6" t="n">
        <f aca="false">Sens!F7429</f>
        <v>64.3025149952511</v>
      </c>
      <c r="G7447" s="6" t="n">
        <f aca="false">Sens!G7429</f>
        <v>66.2756719305292</v>
      </c>
      <c r="H7447" s="6" t="n">
        <f aca="false">Sens!H7429</f>
        <v>68.7139736271804</v>
      </c>
      <c r="I7447" s="6" t="n">
        <f aca="false">Sens!I7429</f>
        <v>71.5446393194289</v>
      </c>
      <c r="J7447" s="6" t="n">
        <f aca="false">Sens!J7429</f>
        <v>74.707035000971</v>
      </c>
      <c r="K7447" s="6" t="n">
        <f aca="false">Sens!K7429</f>
        <v>78.1524145698365</v>
      </c>
    </row>
    <row r="7448" customFormat="false" ht="15" hidden="false" customHeight="false" outlineLevel="0" collapsed="false">
      <c r="A7448" s="1" t="s">
        <v>1059</v>
      </c>
      <c r="B7448" s="0" t="s">
        <v>98</v>
      </c>
      <c r="D7448" s="6" t="n">
        <f aca="false">Sens!D7430</f>
        <v>281.724</v>
      </c>
      <c r="E7448" s="6" t="n">
        <f aca="false">Sens!E7430</f>
        <v>331.839</v>
      </c>
      <c r="F7448" s="6" t="n">
        <f aca="false">Sens!F7430</f>
        <v>404.795705151585</v>
      </c>
      <c r="G7448" s="6" t="n">
        <f aca="false">Sens!G7430</f>
        <v>497.941779619898</v>
      </c>
      <c r="H7448" s="6" t="n">
        <f aca="false">Sens!H7430</f>
        <v>597.892006842755</v>
      </c>
      <c r="I7448" s="6" t="n">
        <f aca="false">Sens!I7430</f>
        <v>682.524637693798</v>
      </c>
      <c r="J7448" s="6" t="n">
        <f aca="false">Sens!J7430</f>
        <v>750.157417779524</v>
      </c>
      <c r="K7448" s="6" t="n">
        <f aca="false">Sens!K7430</f>
        <v>804.411726322241</v>
      </c>
    </row>
    <row r="7449" customFormat="false" ht="15" hidden="false" customHeight="false" outlineLevel="0" collapsed="false">
      <c r="A7449" s="1" t="s">
        <v>1060</v>
      </c>
      <c r="B7449" s="0" t="s">
        <v>168</v>
      </c>
      <c r="E7449" s="7" t="n">
        <f aca="false">Sens!E7448/Sens!D7448-1</f>
        <v>0.177886867998467</v>
      </c>
      <c r="F7449" s="7" t="n">
        <f aca="false">Sens!F7448/Sens!E7448-1</f>
        <v>0.219855728686456</v>
      </c>
      <c r="G7449" s="7" t="n">
        <f aca="false">Sens!G7448/Sens!F7448-1</f>
        <v>0.23010638028739</v>
      </c>
      <c r="H7449" s="7" t="n">
        <f aca="false">Sens!H7448/Sens!G7448-1</f>
        <v>0.200726734155857</v>
      </c>
      <c r="I7449" s="7" t="n">
        <f aca="false">Sens!I7448/Sens!H7448-1</f>
        <v>0.141551701448487</v>
      </c>
      <c r="J7449" s="7" t="n">
        <f aca="false">Sens!J7448/Sens!I7448-1</f>
        <v>0.0990920713342347</v>
      </c>
      <c r="K7449" s="7" t="n">
        <f aca="false">Sens!K7448/Sens!J7448-1</f>
        <v>0.0723238979670562</v>
      </c>
    </row>
    <row r="7450" customFormat="false" ht="17.15" hidden="false" customHeight="false" outlineLevel="0" collapsed="false">
      <c r="A7450" s="26" t="s">
        <v>1061</v>
      </c>
      <c r="B7450" s="31" t="s">
        <v>98</v>
      </c>
      <c r="C7450" s="31"/>
      <c r="D7450" s="27" t="n">
        <f aca="false">(Sens!D7443+Sens!D7447-Sens!D7448)+(Sens!D7435+Sens!D7436-Sens!D7434)+(Sens!D7438+Sens!D7439-Sens!D7437)+(Sens!D7448-Q!L18)</f>
        <v>0</v>
      </c>
      <c r="E7450" s="27" t="n">
        <f aca="false">(Sens!E7443+Sens!E7447-Sens!E7448)+(Sens!E7435+Sens!E7436-Sens!E7434)+(Sens!E7438+Sens!E7439-Sens!E7437)+(Sens!E7448-Q!M18)</f>
        <v>0</v>
      </c>
      <c r="F7450" s="27" t="n">
        <f aca="false">(Sens!F7443+Sens!F7447-Sens!F7448)+(Sens!F7435+Sens!F7436-Sens!F7434)+(Sens!F7438+Sens!F7439-Sens!F7437)</f>
        <v>0</v>
      </c>
      <c r="G7450" s="27" t="n">
        <f aca="false">(Sens!G7443+Sens!G7447-Sens!G7448)+(Sens!G7435+Sens!G7436-Sens!G7434)+(Sens!G7438+Sens!G7439-Sens!G7437)</f>
        <v>0</v>
      </c>
      <c r="H7450" s="27" t="n">
        <f aca="false">(Sens!H7443+Sens!H7447-Sens!H7448)+(Sens!H7435+Sens!H7436-Sens!H7434)+(Sens!H7438+Sens!H7439-Sens!H7437)</f>
        <v>0</v>
      </c>
      <c r="I7450" s="27" t="n">
        <f aca="false">(Sens!I7443+Sens!I7447-Sens!I7448)+(Sens!I7435+Sens!I7436-Sens!I7434)+(Sens!I7438+Sens!I7439-Sens!I7437)</f>
        <v>0</v>
      </c>
      <c r="J7450" s="27" t="n">
        <f aca="false">(Sens!J7443+Sens!J7447-Sens!J7448)+(Sens!J7435+Sens!J7436-Sens!J7434)+(Sens!J7438+Sens!J7439-Sens!J7437)</f>
        <v>0</v>
      </c>
      <c r="K7450" s="27" t="n">
        <f aca="false">(Sens!K7443+Sens!K7447-Sens!K7448)+(Sens!K7435+Sens!K7436-Sens!K7434)+(Sens!K7438+Sens!K7439-Sens!K7437)</f>
        <v>0</v>
      </c>
    </row>
    <row r="7451" customFormat="false" ht="17.15" hidden="false" customHeight="false" outlineLevel="0" collapsed="false">
      <c r="A7451" s="0" t="s">
        <v>1062</v>
      </c>
      <c r="B7451" s="0" t="s">
        <v>168</v>
      </c>
      <c r="E7451" s="7" t="n">
        <f aca="false">(Q!M21+Sens!E7387+Sens!E7388+Sens!E7389+Sens!E7403-Sens!E7385)/(Q!M5-Sens!E7385)</f>
        <v>0.570957350878296</v>
      </c>
      <c r="F7451" s="7" t="n">
        <f aca="false">Sens!$E$7451+dm_seg</f>
        <v>0.570957350878296</v>
      </c>
      <c r="G7451" s="7" t="n">
        <f aca="false">Sens!$E$7451+dm_seg</f>
        <v>0.570957350878296</v>
      </c>
      <c r="H7451" s="7" t="n">
        <f aca="false">Sens!$E$7451+dm_seg</f>
        <v>0.570957350878296</v>
      </c>
      <c r="I7451" s="7" t="n">
        <f aca="false">Sens!$E$7451+dm_seg</f>
        <v>0.570957350878296</v>
      </c>
      <c r="J7451" s="7" t="n">
        <f aca="false">Sens!$E$7451+dm_seg</f>
        <v>0.570957350878296</v>
      </c>
      <c r="K7451" s="7" t="n">
        <f aca="false">Sens!$E$7451+dm_seg</f>
        <v>0.570957350878296</v>
      </c>
      <c r="L7451" s="12" t="s">
        <v>1063</v>
      </c>
    </row>
    <row r="7452" customFormat="false" ht="17.15" hidden="false" customHeight="false" outlineLevel="0" collapsed="false">
      <c r="A7452" s="0" t="s">
        <v>884</v>
      </c>
      <c r="B7452" s="0" t="s">
        <v>98</v>
      </c>
      <c r="D7452" s="6" t="n">
        <f aca="false">Q!L21</f>
        <v>110.814</v>
      </c>
      <c r="E7452" s="6" t="n">
        <f aca="false">Q!M21</f>
        <v>136.365</v>
      </c>
      <c r="F7452" s="6" t="n">
        <f aca="false">Q!$I$21+(Sens!F7451*(Sens!F7422-Sens!F7385)+Sens!F7385-(Sens!F7387+Sens!F7388+Sens!F7389)-Sens!F7403-Sens!F7486)*(Sens!F7422-Q!$I$5)/Sens!F7422</f>
        <v>166.467378966879</v>
      </c>
      <c r="G7452" s="6" t="n">
        <f aca="false">(Sens!G7451*(Sens!G7422-Sens!G7385)+Sens!G7385-(Sens!G7387+Sens!G7388+Sens!G7389)-Sens!G7403-Sens!G7486)</f>
        <v>195.042359203687</v>
      </c>
      <c r="H7452" s="6" t="n">
        <f aca="false">(Sens!H7451*(Sens!H7422-Sens!H7385)+Sens!H7385-(Sens!H7387+Sens!H7388+Sens!H7389)-Sens!H7403-Sens!H7486)</f>
        <v>231.830897587224</v>
      </c>
      <c r="I7452" s="6" t="n">
        <f aca="false">(Sens!I7451*(Sens!I7422-Sens!I7385)+Sens!I7385-(Sens!I7387+Sens!I7388+Sens!I7389)-Sens!I7403-Sens!I7486)</f>
        <v>259.588522838735</v>
      </c>
      <c r="J7452" s="6" t="n">
        <f aca="false">(Sens!J7451*(Sens!J7422-Sens!J7385)+Sens!J7385-(Sens!J7387+Sens!J7388+Sens!J7389)-Sens!J7403-Sens!J7486)</f>
        <v>283.091902133673</v>
      </c>
      <c r="K7452" s="6" t="n">
        <f aca="false">(Sens!K7451*(Sens!K7422-Sens!K7385)+Sens!K7385-(Sens!K7387+Sens!K7388+Sens!K7389)-Sens!K7403-Sens!K7486)</f>
        <v>304.325753468504</v>
      </c>
      <c r="L7452" s="1" t="s">
        <v>1064</v>
      </c>
    </row>
    <row r="7453" customFormat="false" ht="17.15" hidden="false" customHeight="false" outlineLevel="0" collapsed="false">
      <c r="A7453" s="0" t="s">
        <v>1065</v>
      </c>
      <c r="B7453" s="0" t="s">
        <v>168</v>
      </c>
      <c r="E7453" s="7" t="n">
        <f aca="false">Q!M22/Q!M12</f>
        <v>0.296207935710698</v>
      </c>
      <c r="F7453" s="7" t="n">
        <f aca="false">Sens!$E$7453+dm_seg</f>
        <v>0.296207935710698</v>
      </c>
      <c r="G7453" s="7" t="n">
        <f aca="false">Sens!$E$7453+dm_seg</f>
        <v>0.296207935710698</v>
      </c>
      <c r="H7453" s="7" t="n">
        <f aca="false">Sens!$E$7453+dm_seg</f>
        <v>0.296207935710698</v>
      </c>
      <c r="I7453" s="7" t="n">
        <f aca="false">Sens!$E$7453+dm_seg</f>
        <v>0.296207935710698</v>
      </c>
      <c r="J7453" s="7" t="n">
        <f aca="false">Sens!$E$7453+dm_seg</f>
        <v>0.296207935710698</v>
      </c>
      <c r="K7453" s="7" t="n">
        <f aca="false">Sens!$E$7453+dm_seg</f>
        <v>0.296207935710698</v>
      </c>
      <c r="L7453" s="12" t="s">
        <v>1066</v>
      </c>
    </row>
    <row r="7454" customFormat="false" ht="17.15" hidden="false" customHeight="false" outlineLevel="0" collapsed="false">
      <c r="A7454" s="0" t="s">
        <v>886</v>
      </c>
      <c r="B7454" s="0" t="s">
        <v>98</v>
      </c>
      <c r="D7454" s="6" t="n">
        <f aca="false">Q!L22</f>
        <v>17.714</v>
      </c>
      <c r="E7454" s="6" t="n">
        <f aca="false">Q!M22</f>
        <v>18.872</v>
      </c>
      <c r="F7454" s="6" t="n">
        <f aca="false">Q!$I$22+(Sens!F7429-Q!$I$12)*Sens!F7453</f>
        <v>19.8174315512051</v>
      </c>
      <c r="G7454" s="6" t="n">
        <f aca="false">Sens!G7429*Sens!G7453</f>
        <v>19.6313799703815</v>
      </c>
      <c r="H7454" s="6" t="n">
        <f aca="false">Sens!H7429*Sens!H7453</f>
        <v>20.3536242825865</v>
      </c>
      <c r="I7454" s="6" t="n">
        <f aca="false">Sens!I7429*Sens!I7453</f>
        <v>21.1920899239745</v>
      </c>
      <c r="J7454" s="6" t="n">
        <f aca="false">Sens!J7429*Sens!J7453</f>
        <v>22.1288166207045</v>
      </c>
      <c r="K7454" s="6" t="n">
        <f aca="false">Sens!K7429*Sens!K7453</f>
        <v>23.1493653905379</v>
      </c>
      <c r="L7454" s="12" t="s">
        <v>1067</v>
      </c>
    </row>
    <row r="7455" customFormat="false" ht="15" hidden="false" customHeight="false" outlineLevel="0" collapsed="false">
      <c r="A7455" s="1" t="s">
        <v>1068</v>
      </c>
      <c r="B7455" s="0" t="s">
        <v>98</v>
      </c>
      <c r="D7455" s="6" t="n">
        <f aca="false">Sens!D7452+Sens!D7454</f>
        <v>128.528</v>
      </c>
      <c r="E7455" s="6" t="n">
        <f aca="false">Sens!E7452+Sens!E7454</f>
        <v>155.237</v>
      </c>
      <c r="F7455" s="6" t="n">
        <f aca="false">Sens!F7452+Sens!F7454</f>
        <v>186.284810518084</v>
      </c>
      <c r="G7455" s="6" t="n">
        <f aca="false">Sens!G7452+Sens!G7454</f>
        <v>214.673739174069</v>
      </c>
      <c r="H7455" s="6" t="n">
        <f aca="false">Sens!H7452+Sens!H7454</f>
        <v>252.18452186981</v>
      </c>
      <c r="I7455" s="6" t="n">
        <f aca="false">Sens!I7452+Sens!I7454</f>
        <v>280.78061276271</v>
      </c>
      <c r="J7455" s="6" t="n">
        <f aca="false">Sens!J7452+Sens!J7454</f>
        <v>305.220718754377</v>
      </c>
      <c r="K7455" s="6" t="n">
        <f aca="false">Sens!K7452+Sens!K7454</f>
        <v>327.475118859042</v>
      </c>
    </row>
    <row r="7456" customFormat="false" ht="15" hidden="false" customHeight="false" outlineLevel="0" collapsed="false">
      <c r="A7456" s="26" t="s">
        <v>1069</v>
      </c>
      <c r="B7456" s="31" t="s">
        <v>98</v>
      </c>
      <c r="C7456" s="31"/>
      <c r="D7456" s="27" t="n">
        <f aca="false">Sens!D7455-Q!L23</f>
        <v>0</v>
      </c>
      <c r="E7456" s="27" t="n">
        <f aca="false">Sens!E7455-Q!M23</f>
        <v>0</v>
      </c>
      <c r="F7456" s="31"/>
      <c r="G7456" s="31"/>
      <c r="H7456" s="31"/>
      <c r="I7456" s="31"/>
      <c r="J7456" s="31"/>
      <c r="K7456" s="31"/>
    </row>
    <row r="7457" customFormat="false" ht="15" hidden="false" customHeight="false" outlineLevel="0" collapsed="false">
      <c r="A7457" s="1" t="s">
        <v>1070</v>
      </c>
      <c r="B7457" s="0" t="s">
        <v>168</v>
      </c>
      <c r="D7457" s="7" t="n">
        <f aca="false">Sens!D7455/Sens!D7448</f>
        <v>0.456219562408598</v>
      </c>
      <c r="E7457" s="7" t="n">
        <f aca="false">Sens!E7455/Sens!E7448</f>
        <v>0.467808184089272</v>
      </c>
      <c r="F7457" s="7" t="n">
        <f aca="false">Sens!F7455/Sens!F7448</f>
        <v>0.460194631878137</v>
      </c>
      <c r="G7457" s="7" t="n">
        <f aca="false">Sens!G7455/Sens!G7448</f>
        <v>0.431122167209868</v>
      </c>
      <c r="H7457" s="7" t="n">
        <f aca="false">Sens!H7455/Sens!H7448</f>
        <v>0.42178941846288</v>
      </c>
      <c r="I7457" s="7" t="n">
        <f aca="false">Sens!I7455/Sens!I7448</f>
        <v>0.411385314545491</v>
      </c>
      <c r="J7457" s="7" t="n">
        <f aca="false">Sens!J7455/Sens!J7448</f>
        <v>0.406875559076433</v>
      </c>
      <c r="K7457" s="7" t="n">
        <f aca="false">Sens!K7455/Sens!K7448</f>
        <v>0.407098887476757</v>
      </c>
    </row>
    <row r="7458" customFormat="false" ht="17.15" hidden="false" customHeight="false" outlineLevel="0" collapsed="false">
      <c r="A7458" s="1" t="s">
        <v>1071</v>
      </c>
      <c r="B7458" s="0" t="s">
        <v>98</v>
      </c>
      <c r="F7458" s="6" t="n">
        <f aca="false">Sens!F7473</f>
        <v>7.59875270583629</v>
      </c>
      <c r="G7458" s="6" t="n">
        <f aca="false">Sens!G7473</f>
        <v>18.8520683985989</v>
      </c>
      <c r="H7458" s="6" t="n">
        <f aca="false">Sens!H7473</f>
        <v>31.5785750408267</v>
      </c>
      <c r="I7458" s="6" t="n">
        <f aca="false">Sens!I7473</f>
        <v>43.7878582139226</v>
      </c>
      <c r="J7458" s="6" t="n">
        <f aca="false">Sens!J7473</f>
        <v>52.424676597368</v>
      </c>
      <c r="K7458" s="6" t="n">
        <f aca="false">Sens!K7473</f>
        <v>56.1605719350792</v>
      </c>
      <c r="L7458" s="1" t="s">
        <v>1072</v>
      </c>
    </row>
    <row r="7459" customFormat="false" ht="17.15" hidden="false" customHeight="false" outlineLevel="0" collapsed="false">
      <c r="A7459" s="1" t="s">
        <v>1073</v>
      </c>
      <c r="B7459" s="0" t="s">
        <v>98</v>
      </c>
      <c r="D7459" s="6" t="n">
        <f aca="false">Sens!D7455</f>
        <v>128.528</v>
      </c>
      <c r="E7459" s="6" t="n">
        <f aca="false">Sens!E7455</f>
        <v>155.237</v>
      </c>
      <c r="F7459" s="6" t="n">
        <f aca="false">Sens!F7455+Sens!F7458</f>
        <v>193.883563223921</v>
      </c>
      <c r="G7459" s="6" t="n">
        <f aca="false">Sens!G7455+Sens!G7458</f>
        <v>233.525807572668</v>
      </c>
      <c r="H7459" s="6" t="n">
        <f aca="false">Sens!H7455+Sens!H7458</f>
        <v>283.763096910637</v>
      </c>
      <c r="I7459" s="6" t="n">
        <f aca="false">Sens!I7455+Sens!I7458</f>
        <v>324.568470976632</v>
      </c>
      <c r="J7459" s="6" t="n">
        <f aca="false">Sens!J7455+Sens!J7458</f>
        <v>357.645395351745</v>
      </c>
      <c r="K7459" s="6" t="n">
        <f aca="false">Sens!K7455+Sens!K7458</f>
        <v>383.635690794121</v>
      </c>
    </row>
    <row r="7460" customFormat="false" ht="17.15" hidden="false" customHeight="false" outlineLevel="0" collapsed="false">
      <c r="A7460" s="1" t="s">
        <v>1074</v>
      </c>
      <c r="B7460" s="0" t="s">
        <v>98</v>
      </c>
      <c r="E7460" s="6" t="n">
        <f aca="false">Sens!E7403</f>
        <v>16.3054059770833</v>
      </c>
      <c r="F7460" s="6" t="n">
        <f aca="false">Sens!F7403</f>
        <v>34.5793144783516</v>
      </c>
      <c r="G7460" s="6" t="n">
        <f aca="false">Sens!G7403</f>
        <v>60.7344906522989</v>
      </c>
      <c r="H7460" s="6" t="n">
        <f aca="false">Sens!H7403</f>
        <v>89.1000906614457</v>
      </c>
      <c r="I7460" s="6" t="n">
        <f aca="false">Sens!I7403</f>
        <v>114.231009694548</v>
      </c>
      <c r="J7460" s="6" t="n">
        <f aca="false">Sens!J7403</f>
        <v>132.015673049596</v>
      </c>
      <c r="K7460" s="6" t="n">
        <f aca="false">Sens!K7403</f>
        <v>143.012669550934</v>
      </c>
    </row>
    <row r="7461" customFormat="false" ht="17.15" hidden="false" customHeight="false" outlineLevel="0" collapsed="false">
      <c r="A7461" s="1" t="s">
        <v>1075</v>
      </c>
      <c r="B7461" s="0" t="s">
        <v>98</v>
      </c>
      <c r="E7461" s="6" t="n">
        <f aca="false">Sens!E7485</f>
        <v>22.2285940229167</v>
      </c>
      <c r="F7461" s="6" t="n">
        <f aca="false">Sens!F7485</f>
        <v>23.5927712145069</v>
      </c>
      <c r="G7461" s="6" t="n">
        <f aca="false">Sens!G7485</f>
        <v>25.4529063662937</v>
      </c>
      <c r="H7461" s="6" t="n">
        <f aca="false">Sens!H7485</f>
        <v>27.7679244833938</v>
      </c>
      <c r="I7461" s="6" t="n">
        <f aca="false">Sens!I7485</f>
        <v>30.4463777356673</v>
      </c>
      <c r="J7461" s="6" t="n">
        <f aca="false">Sens!J7485</f>
        <v>33.3826415491121</v>
      </c>
      <c r="K7461" s="6" t="n">
        <f aca="false">Sens!K7485</f>
        <v>36.4913100180247</v>
      </c>
    </row>
    <row r="7462" customFormat="false" ht="17.15" hidden="false" customHeight="false" outlineLevel="0" collapsed="false">
      <c r="A7462" s="1" t="s">
        <v>1076</v>
      </c>
      <c r="B7462" s="0" t="s">
        <v>98</v>
      </c>
      <c r="D7462" s="6" t="n">
        <f aca="false">Q!L27</f>
        <v>-4.901</v>
      </c>
      <c r="E7462" s="6" t="n">
        <f aca="false">Q!M27</f>
        <v>10.697</v>
      </c>
      <c r="F7462" s="6" t="n">
        <f aca="false">Q!$I$27+oie_f*(q_per_yr-1)/q_per_yr</f>
        <v>-0.862</v>
      </c>
      <c r="G7462" s="6" t="n">
        <f aca="false">oie_f</f>
        <v>-1.2</v>
      </c>
      <c r="H7462" s="6" t="n">
        <f aca="false">oie_f</f>
        <v>-1.2</v>
      </c>
      <c r="I7462" s="6" t="n">
        <f aca="false">oie_f</f>
        <v>-1.2</v>
      </c>
      <c r="J7462" s="6" t="n">
        <f aca="false">oie_f</f>
        <v>-1.2</v>
      </c>
      <c r="K7462" s="6" t="n">
        <f aca="false">oie_f</f>
        <v>-1.2</v>
      </c>
      <c r="L7462" s="12" t="s">
        <v>1077</v>
      </c>
    </row>
    <row r="7463" customFormat="false" ht="15" hidden="false" customHeight="false" outlineLevel="0" collapsed="false">
      <c r="A7463" s="1" t="s">
        <v>1078</v>
      </c>
      <c r="B7463" s="0" t="s">
        <v>98</v>
      </c>
      <c r="D7463" s="6" t="n">
        <f aca="false">Sens!D7455+Sens!D7462</f>
        <v>123.627</v>
      </c>
      <c r="E7463" s="6" t="n">
        <f aca="false">Sens!E7455+Sens!E7462</f>
        <v>165.934</v>
      </c>
      <c r="F7463" s="6" t="n">
        <f aca="false">Sens!F7455+Sens!F7462</f>
        <v>185.422810518084</v>
      </c>
      <c r="G7463" s="6" t="n">
        <f aca="false">Sens!G7455+Sens!G7462</f>
        <v>213.473739174069</v>
      </c>
      <c r="H7463" s="6" t="n">
        <f aca="false">Sens!H7455+Sens!H7462</f>
        <v>250.98452186981</v>
      </c>
      <c r="I7463" s="6" t="n">
        <f aca="false">Sens!I7455+Sens!I7462</f>
        <v>279.58061276271</v>
      </c>
      <c r="J7463" s="6" t="n">
        <f aca="false">Sens!J7455+Sens!J7462</f>
        <v>304.020718754377</v>
      </c>
      <c r="K7463" s="6" t="n">
        <f aca="false">Sens!K7455+Sens!K7462</f>
        <v>326.275118859042</v>
      </c>
    </row>
    <row r="7464" customFormat="false" ht="15" hidden="false" customHeight="false" outlineLevel="0" collapsed="false">
      <c r="A7464" s="1" t="s">
        <v>1079</v>
      </c>
      <c r="B7464" s="0" t="s">
        <v>98</v>
      </c>
      <c r="D7464" s="6" t="n">
        <f aca="false">Q!L29</f>
        <v>21.795</v>
      </c>
      <c r="E7464" s="6" t="n">
        <f aca="false">Q!M29</f>
        <v>32.185</v>
      </c>
      <c r="F7464" s="6" t="n">
        <f aca="false">Q!$I$29+(Sens!F7463-Q!$I$28)*tax_f</f>
        <v>37.2179621036169</v>
      </c>
      <c r="G7464" s="6" t="n">
        <f aca="false">Sens!G7463*tax_f</f>
        <v>42.6947478348138</v>
      </c>
      <c r="H7464" s="6" t="n">
        <f aca="false">Sens!H7463*tax_f</f>
        <v>50.196904373962</v>
      </c>
      <c r="I7464" s="6" t="n">
        <f aca="false">Sens!I7463*tax_f</f>
        <v>55.916122552542</v>
      </c>
      <c r="J7464" s="6" t="n">
        <f aca="false">Sens!J7463*tax_f</f>
        <v>60.8041437508755</v>
      </c>
      <c r="K7464" s="6" t="n">
        <f aca="false">Sens!K7463*tax_f</f>
        <v>65.2550237718084</v>
      </c>
    </row>
    <row r="7465" customFormat="false" ht="15" hidden="false" customHeight="false" outlineLevel="0" collapsed="false">
      <c r="A7465" s="1" t="s">
        <v>1080</v>
      </c>
      <c r="B7465" s="0" t="s">
        <v>98</v>
      </c>
      <c r="D7465" s="6" t="n">
        <f aca="false">Sens!D7463-Sens!D7464</f>
        <v>101.832</v>
      </c>
      <c r="E7465" s="6" t="n">
        <f aca="false">Sens!E7463-Sens!E7464</f>
        <v>133.749</v>
      </c>
      <c r="F7465" s="6" t="n">
        <f aca="false">Sens!F7463-Sens!F7464</f>
        <v>148.204848414468</v>
      </c>
      <c r="G7465" s="6" t="n">
        <f aca="false">Sens!G7463-Sens!G7464</f>
        <v>170.778991339255</v>
      </c>
      <c r="H7465" s="6" t="n">
        <f aca="false">Sens!H7463-Sens!H7464</f>
        <v>200.787617495848</v>
      </c>
      <c r="I7465" s="6" t="n">
        <f aca="false">Sens!I7463-Sens!I7464</f>
        <v>223.664490210168</v>
      </c>
      <c r="J7465" s="6" t="n">
        <f aca="false">Sens!J7463-Sens!J7464</f>
        <v>243.216575003502</v>
      </c>
      <c r="K7465" s="6" t="n">
        <f aca="false">Sens!K7463-Sens!K7464</f>
        <v>261.020095087234</v>
      </c>
    </row>
    <row r="7466" customFormat="false" ht="17.15" hidden="false" customHeight="false" outlineLevel="0" collapsed="false">
      <c r="A7466" s="1" t="s">
        <v>1081</v>
      </c>
      <c r="B7466" s="1" t="s">
        <v>81</v>
      </c>
      <c r="D7466" s="15" t="n">
        <f aca="false">Q!L31</f>
        <v>7.465</v>
      </c>
      <c r="E7466" s="15" t="n">
        <f aca="false">Q!M31</f>
        <v>7.453</v>
      </c>
      <c r="F7466" s="15" t="n">
        <f aca="false">Sens!F7510</f>
        <v>7.46998834631225</v>
      </c>
      <c r="G7466" s="15" t="n">
        <f aca="false">Sens!G7510</f>
        <v>7.50651023771241</v>
      </c>
      <c r="H7466" s="15" t="n">
        <f aca="false">Sens!H7510</f>
        <v>7.52924372182911</v>
      </c>
      <c r="I7466" s="15" t="n">
        <f aca="false">Sens!I7510</f>
        <v>7.54092508588458</v>
      </c>
      <c r="J7466" s="15" t="n">
        <f aca="false">Sens!J7510</f>
        <v>7.55507449704706</v>
      </c>
      <c r="K7466" s="15" t="n">
        <f aca="false">Sens!K7510</f>
        <v>7.57150913701231</v>
      </c>
    </row>
    <row r="7467" customFormat="false" ht="17.15" hidden="false" customHeight="false" outlineLevel="0" collapsed="false">
      <c r="A7467" s="0" t="s">
        <v>1082</v>
      </c>
      <c r="B7467" s="0" t="s">
        <v>75</v>
      </c>
      <c r="D7467" s="8" t="n">
        <f aca="false">Sens!D7465/Sens!D7466</f>
        <v>13.641259209645</v>
      </c>
      <c r="E7467" s="8" t="n">
        <f aca="false">Sens!E7465/Sens!E7466</f>
        <v>17.9456594659869</v>
      </c>
      <c r="F7467" s="8" t="n">
        <f aca="false">Sens!F7465/Sens!F7466</f>
        <v>19.8400374329409</v>
      </c>
      <c r="G7467" s="8" t="n">
        <f aca="false">Sens!G7465/Sens!G7466</f>
        <v>22.750783777163</v>
      </c>
      <c r="H7467" s="8" t="n">
        <f aca="false">Sens!H7465/Sens!H7466</f>
        <v>26.6677006235986</v>
      </c>
      <c r="I7467" s="8" t="n">
        <f aca="false">Sens!I7465/Sens!I7466</f>
        <v>29.6600864831335</v>
      </c>
      <c r="J7467" s="8" t="n">
        <f aca="false">Sens!J7465/Sens!J7466</f>
        <v>32.1924787238782</v>
      </c>
      <c r="K7467" s="8" t="n">
        <f aca="false">Sens!K7465/Sens!K7466</f>
        <v>34.4739853527049</v>
      </c>
      <c r="L7467" s="1" t="s">
        <v>1083</v>
      </c>
    </row>
    <row r="7468" customFormat="false" ht="17.15" hidden="false" customHeight="false" outlineLevel="0" collapsed="false">
      <c r="A7468" s="1" t="s">
        <v>1084</v>
      </c>
      <c r="B7468" s="0" t="s">
        <v>98</v>
      </c>
      <c r="D7468" s="6" t="n">
        <f aca="false">Sens!D7465</f>
        <v>101.832</v>
      </c>
      <c r="E7468" s="6" t="n">
        <f aca="false">Sens!E7465</f>
        <v>133.749</v>
      </c>
      <c r="F7468" s="6" t="n">
        <f aca="false">Sens!F7465+Sens!F7458*(1-tax_f)</f>
        <v>154.283850579137</v>
      </c>
      <c r="G7468" s="6" t="n">
        <f aca="false">Sens!G7465+Sens!G7458*(1-tax_f)</f>
        <v>185.860646058134</v>
      </c>
      <c r="H7468" s="6" t="n">
        <f aca="false">Sens!H7465+Sens!H7458*(1-tax_f)</f>
        <v>226.050477528509</v>
      </c>
      <c r="I7468" s="6" t="n">
        <f aca="false">Sens!I7465+Sens!I7458*(1-tax_f)</f>
        <v>258.694776781306</v>
      </c>
      <c r="J7468" s="6" t="n">
        <f aca="false">Sens!J7465+Sens!J7458*(1-tax_f)</f>
        <v>285.156316281396</v>
      </c>
      <c r="K7468" s="6" t="n">
        <f aca="false">Sens!K7465+Sens!K7458*(1-tax_f)</f>
        <v>305.948552635297</v>
      </c>
    </row>
    <row r="7469" customFormat="false" ht="17.15" hidden="false" customHeight="false" outlineLevel="0" collapsed="false">
      <c r="A7469" s="0" t="s">
        <v>1085</v>
      </c>
      <c r="B7469" s="0" t="s">
        <v>75</v>
      </c>
      <c r="D7469" s="8" t="n">
        <f aca="false">Sens!D7468/Sens!D7466</f>
        <v>13.641259209645</v>
      </c>
      <c r="E7469" s="8" t="n">
        <f aca="false">Sens!E7468/Sens!E7466</f>
        <v>17.9456594659869</v>
      </c>
      <c r="F7469" s="8" t="n">
        <f aca="false">Sens!F7468/Sens!F7466</f>
        <v>20.6538274795706</v>
      </c>
      <c r="G7469" s="8" t="n">
        <f aca="false">Sens!G7468/Sens!G7466</f>
        <v>24.759927072953</v>
      </c>
      <c r="H7469" s="8" t="n">
        <f aca="false">Sens!H7468/Sens!H7466</f>
        <v>30.0229991058908</v>
      </c>
      <c r="I7469" s="8" t="n">
        <f aca="false">Sens!I7468/Sens!I7466</f>
        <v>34.305443143248</v>
      </c>
      <c r="J7469" s="8" t="n">
        <f aca="false">Sens!J7468/Sens!J7466</f>
        <v>37.743680276462</v>
      </c>
      <c r="K7469" s="8" t="n">
        <f aca="false">Sens!K7468/Sens!K7466</f>
        <v>40.4078694351313</v>
      </c>
      <c r="L7469" s="1" t="s">
        <v>1086</v>
      </c>
    </row>
    <row r="7470" customFormat="false" ht="17.15" hidden="false" customHeight="false" outlineLevel="0" collapsed="false">
      <c r="A7470" s="0" t="s">
        <v>1087</v>
      </c>
      <c r="B7470" s="0" t="s">
        <v>168</v>
      </c>
      <c r="E7470" s="7" t="n">
        <f aca="false">Sens!E7469/Sens!D7469-1</f>
        <v>0.315542736208578</v>
      </c>
      <c r="F7470" s="7" t="n">
        <f aca="false">Sens!F7469/Sens!E7469-1</f>
        <v>0.150909361604498</v>
      </c>
      <c r="G7470" s="7" t="n">
        <f aca="false">Sens!G7469/Sens!F7469-1</f>
        <v>0.198805746656101</v>
      </c>
      <c r="H7470" s="7" t="n">
        <f aca="false">Sens!H7469/Sens!G7469-1</f>
        <v>0.212564116906751</v>
      </c>
      <c r="I7470" s="7" t="n">
        <f aca="false">Sens!I7469/Sens!H7469-1</f>
        <v>0.142638782429865</v>
      </c>
      <c r="J7470" s="7" t="n">
        <f aca="false">Sens!J7469/Sens!I7469-1</f>
        <v>0.100224244848176</v>
      </c>
      <c r="K7470" s="7" t="n">
        <f aca="false">Sens!K7469/Sens!J7469-1</f>
        <v>0.0705863641053228</v>
      </c>
    </row>
    <row r="7471" customFormat="false" ht="17.15" hidden="false" customHeight="false" outlineLevel="0" collapsed="false">
      <c r="A7471" s="0" t="s">
        <v>1007</v>
      </c>
      <c r="B7471" s="0" t="s">
        <v>98</v>
      </c>
      <c r="E7471" s="6" t="n">
        <f aca="false">Sens!E7412</f>
        <v>5.25</v>
      </c>
      <c r="F7471" s="6" t="n">
        <f aca="false">Sens!F7412</f>
        <v>15.75</v>
      </c>
      <c r="G7471" s="6" t="n">
        <f aca="false">Sens!G7412</f>
        <v>29.25</v>
      </c>
      <c r="H7471" s="6" t="n">
        <f aca="false">Sens!H7412</f>
        <v>42.75</v>
      </c>
      <c r="I7471" s="6" t="n">
        <f aca="false">Sens!I7412</f>
        <v>52.875</v>
      </c>
      <c r="J7471" s="6" t="n">
        <f aca="false">Sens!J7412</f>
        <v>59.625</v>
      </c>
      <c r="K7471" s="6" t="n">
        <f aca="false">Sens!K7412</f>
        <v>66.375</v>
      </c>
    </row>
    <row r="7472" customFormat="false" ht="17.15" hidden="false" customHeight="false" outlineLevel="0" collapsed="false">
      <c r="A7472" s="1" t="s">
        <v>1008</v>
      </c>
      <c r="B7472" s="0" t="s">
        <v>98</v>
      </c>
      <c r="F7472" s="6" t="n">
        <f aca="false">MAX(0,((Sens!E7372+Sens!F7372)/2-(shadow_base*(Sens!$D$7372+Sens!$E$7372)/2+(1-shadow_base)*Sens!$E$7372))*Sens!F7381/1000-(Sens!F7471-Sens!$E$7471)*Sens!F7451)</f>
        <v>7.59875270583629</v>
      </c>
      <c r="G7472" s="6" t="n">
        <f aca="false">MAX(0,((Sens!F7372+Sens!G7372)/2-(shadow_base*(Sens!$D$7372+Sens!$E$7372)/2+(1-shadow_base)*Sens!$E$7372))*Sens!G7381/1000-(Sens!G7471-Sens!$E$7471)*Sens!G7451)</f>
        <v>18.8520683985989</v>
      </c>
      <c r="H7472" s="6" t="n">
        <f aca="false">MAX(0,((Sens!G7372+Sens!H7372)/2-(shadow_base*(Sens!$D$7372+Sens!$E$7372)/2+(1-shadow_base)*Sens!$E$7372))*Sens!H7381/1000-(Sens!H7471-Sens!$E$7471)*Sens!H7451)</f>
        <v>31.5785750408267</v>
      </c>
      <c r="I7472" s="6" t="n">
        <f aca="false">MAX(0,((Sens!H7372+Sens!I7372)/2-(shadow_base*(Sens!$D$7372+Sens!$E$7372)/2+(1-shadow_base)*Sens!$E$7372))*Sens!I7381/1000-(Sens!I7471-Sens!$E$7471)*Sens!I7451)</f>
        <v>43.7878582139226</v>
      </c>
      <c r="J7472" s="6" t="n">
        <f aca="false">MAX(0,((Sens!I7372+Sens!J7372)/2-(shadow_base*(Sens!$D$7372+Sens!$E$7372)/2+(1-shadow_base)*Sens!$E$7372))*Sens!J7381/1000-(Sens!J7471-Sens!$E$7471)*Sens!J7451)</f>
        <v>52.424676597368</v>
      </c>
      <c r="K7472" s="6" t="n">
        <f aca="false">MAX(0,((Sens!J7372+Sens!K7372)/2-(shadow_base*(Sens!$D$7372+Sens!$E$7372)/2+(1-shadow_base)*Sens!$E$7372))*Sens!K7381/1000-(Sens!K7471-Sens!$E$7471)*Sens!K7451)</f>
        <v>56.1605719350792</v>
      </c>
      <c r="L7472" s="1" t="s">
        <v>1009</v>
      </c>
    </row>
    <row r="7473" customFormat="false" ht="17.15" hidden="false" customHeight="false" outlineLevel="0" collapsed="false">
      <c r="A7473" s="1" t="s">
        <v>1010</v>
      </c>
      <c r="B7473" s="0" t="s">
        <v>98</v>
      </c>
      <c r="F7473" s="6" t="n">
        <f aca="false">IF(internal_ai_reading=2,1,0)*Sens!F7472</f>
        <v>7.59875270583629</v>
      </c>
      <c r="G7473" s="6" t="n">
        <f aca="false">IF(internal_ai_reading=2,1,0)*Sens!G7472</f>
        <v>18.8520683985989</v>
      </c>
      <c r="H7473" s="6" t="n">
        <f aca="false">IF(internal_ai_reading=2,1,0)*Sens!H7472</f>
        <v>31.5785750408267</v>
      </c>
      <c r="I7473" s="6" t="n">
        <f aca="false">IF(internal_ai_reading=2,1,0)*Sens!I7472</f>
        <v>43.7878582139226</v>
      </c>
      <c r="J7473" s="6" t="n">
        <f aca="false">IF(internal_ai_reading=2,1,0)*Sens!J7472</f>
        <v>52.424676597368</v>
      </c>
      <c r="K7473" s="6" t="n">
        <f aca="false">IF(internal_ai_reading=2,1,0)*Sens!K7472</f>
        <v>56.1605719350792</v>
      </c>
    </row>
    <row r="7474" customFormat="false" ht="17.15" hidden="false" customHeight="false" outlineLevel="0" collapsed="false">
      <c r="A7474" s="0" t="s">
        <v>1011</v>
      </c>
      <c r="B7474" s="0" t="s">
        <v>98</v>
      </c>
      <c r="F7474" s="6" t="n">
        <f aca="false">Sens!F7391+Sens!F7471*Sens!F7451+Sens!F7473-Sens!F7392-Sens!F7403</f>
        <v>18.5068678152817</v>
      </c>
      <c r="G7474" s="6" t="n">
        <f aca="false">Sens!G7391+Sens!G7471*Sens!G7451+Sens!G7473-Sens!G7392-Sens!G7403</f>
        <v>43.1983864982792</v>
      </c>
      <c r="H7474" s="6" t="n">
        <f aca="false">Sens!H7391+Sens!H7471*Sens!H7451+Sens!H7473-Sens!H7392-Sens!H7403</f>
        <v>73.502598356074</v>
      </c>
      <c r="I7474" s="6" t="n">
        <f aca="false">Sens!I7391+Sens!I7471*Sens!I7451+Sens!I7473-Sens!I7392-Sens!I7403</f>
        <v>94.7454135378504</v>
      </c>
      <c r="J7474" s="6" t="n">
        <f aca="false">Sens!J7391+Sens!J7471*Sens!J7451+Sens!J7473-Sens!J7392-Sens!J7403</f>
        <v>109.399608126358</v>
      </c>
      <c r="K7474" s="6" t="n">
        <f aca="false">Sens!K7391+Sens!K7471*Sens!K7451+Sens!K7473-Sens!K7392-Sens!K7403</f>
        <v>118.898703181943</v>
      </c>
    </row>
    <row r="7475" customFormat="false" ht="17.15" hidden="false" customHeight="false" outlineLevel="0" collapsed="false">
      <c r="A7475" s="0" t="s">
        <v>1012</v>
      </c>
      <c r="B7475" s="0" t="s">
        <v>98</v>
      </c>
      <c r="E7475" s="6" t="n">
        <f aca="false">Sens!E7371*(cxit_open+self_build*tk_cxfac)/1000*ai_net_open</f>
        <v>126.6980382</v>
      </c>
      <c r="F7475" s="6" t="n">
        <f aca="false">Sens!E7475+Sens!F7400-Sens!F7403</f>
        <v>260.572627763768</v>
      </c>
      <c r="G7475" s="6" t="n">
        <f aca="false">Sens!F7475+Sens!G7400-Sens!G7403</f>
        <v>391.782612760517</v>
      </c>
      <c r="H7475" s="6" t="n">
        <f aca="false">Sens!G7475+Sens!H7400-Sens!H7403</f>
        <v>499.488526163584</v>
      </c>
      <c r="I7475" s="6" t="n">
        <f aca="false">Sens!H7475+Sens!I7400-Sens!I7403</f>
        <v>553.872350090646</v>
      </c>
      <c r="J7475" s="6" t="n">
        <f aca="false">Sens!I7475+Sens!J7400-Sens!J7403</f>
        <v>550.78660823699</v>
      </c>
      <c r="K7475" s="6" t="n">
        <f aca="false">Sens!J7475+Sens!K7400-Sens!K7403</f>
        <v>526.736791750789</v>
      </c>
      <c r="L7475" s="1" t="s">
        <v>1013</v>
      </c>
    </row>
    <row r="7476" customFormat="false" ht="17.15" hidden="false" customHeight="false" outlineLevel="0" collapsed="false">
      <c r="A7476" s="0" t="s">
        <v>1014</v>
      </c>
      <c r="B7476" s="0" t="s">
        <v>168</v>
      </c>
      <c r="F7476" s="7" t="n">
        <f aca="false">Sens!F7474*(1-tax_f)/((Sens!E7475+Sens!F7475)/2)</f>
        <v>0.0764607059271074</v>
      </c>
      <c r="G7476" s="7" t="n">
        <f aca="false">Sens!G7474*(1-tax_f)/((Sens!F7475+Sens!G7475)/2)</f>
        <v>0.105950583522098</v>
      </c>
      <c r="H7476" s="7" t="n">
        <f aca="false">Sens!H7474*(1-tax_f)/((Sens!G7475+Sens!H7475)/2)</f>
        <v>0.131951044114011</v>
      </c>
      <c r="I7476" s="7" t="n">
        <f aca="false">Sens!I7474*(1-tax_f)/((Sens!H7475+Sens!I7475)/2)</f>
        <v>0.143913320760143</v>
      </c>
      <c r="J7476" s="7" t="n">
        <f aca="false">Sens!J7474*(1-tax_f)/((Sens!I7475+Sens!J7475)/2)</f>
        <v>0.158455577336889</v>
      </c>
      <c r="K7476" s="7" t="n">
        <f aca="false">Sens!K7474*(1-tax_f)/((Sens!J7475+Sens!K7475)/2)</f>
        <v>0.176551084731214</v>
      </c>
    </row>
    <row r="7477" customFormat="false" ht="17.15" hidden="false" customHeight="false" outlineLevel="0" collapsed="false">
      <c r="A7477" s="1" t="s">
        <v>1015</v>
      </c>
      <c r="B7477" s="0" t="s">
        <v>168</v>
      </c>
      <c r="F7477" s="7" t="n">
        <f aca="false">(Sens!F7474-Sens!F7473)*(1-tax_f)/((Sens!E7475+Sens!F7475)/2)</f>
        <v>0.0450666309354438</v>
      </c>
      <c r="G7477" s="7" t="n">
        <f aca="false">(Sens!G7474-Sens!G7473)*(1-tax_f)/((Sens!F7475+Sens!G7475)/2)</f>
        <v>0.0597130313970988</v>
      </c>
      <c r="H7477" s="7" t="n">
        <f aca="false">(Sens!H7474-Sens!H7473)*(1-tax_f)/((Sens!G7475+Sens!H7475)/2)</f>
        <v>0.0752615386888546</v>
      </c>
      <c r="I7477" s="7" t="n">
        <f aca="false">(Sens!I7474-Sens!I7473)*(1-tax_f)/((Sens!H7475+Sens!I7475)/2)</f>
        <v>0.0774018575744089</v>
      </c>
      <c r="J7477" s="7" t="n">
        <f aca="false">(Sens!J7474-Sens!J7473)*(1-tax_f)/((Sens!I7475+Sens!J7475)/2)</f>
        <v>0.0825231079322367</v>
      </c>
      <c r="K7477" s="7" t="n">
        <f aca="false">(Sens!K7474-Sens!K7473)*(1-tax_f)/((Sens!J7475+Sens!K7475)/2)</f>
        <v>0.0931590070304924</v>
      </c>
    </row>
    <row r="7478" customFormat="false" ht="17.15" hidden="false" customHeight="false" outlineLevel="0" collapsed="false">
      <c r="A7478" s="1" t="s">
        <v>1016</v>
      </c>
      <c r="B7478" s="0" t="s">
        <v>168</v>
      </c>
      <c r="F7478" s="7" t="n">
        <f aca="false">(Sens!F7474-Sens!F7473+Sens!F7472)*(1-tax_f)/((Sens!E7475+Sens!F7475)/2)</f>
        <v>0.0764607059271074</v>
      </c>
      <c r="G7478" s="7" t="n">
        <f aca="false">(Sens!G7474-Sens!G7473+Sens!G7472)*(1-tax_f)/((Sens!F7475+Sens!G7475)/2)</f>
        <v>0.105950583522098</v>
      </c>
      <c r="H7478" s="7" t="n">
        <f aca="false">(Sens!H7474-Sens!H7473+Sens!H7472)*(1-tax_f)/((Sens!G7475+Sens!H7475)/2)</f>
        <v>0.131951044114011</v>
      </c>
      <c r="I7478" s="7" t="n">
        <f aca="false">(Sens!I7474-Sens!I7473+Sens!I7472)*(1-tax_f)/((Sens!H7475+Sens!I7475)/2)</f>
        <v>0.143913320760143</v>
      </c>
      <c r="J7478" s="7" t="n">
        <f aca="false">(Sens!J7474-Sens!J7473+Sens!J7472)*(1-tax_f)/((Sens!I7475+Sens!J7475)/2)</f>
        <v>0.158455577336889</v>
      </c>
      <c r="K7478" s="7" t="n">
        <f aca="false">(Sens!K7474-Sens!K7473+Sens!K7472)*(1-tax_f)/((Sens!J7475+Sens!K7475)/2)</f>
        <v>0.176551084731214</v>
      </c>
    </row>
    <row r="7479" customFormat="false" ht="17.15" hidden="false" customHeight="false" outlineLevel="0" collapsed="false">
      <c r="A7479" s="1" t="s">
        <v>1017</v>
      </c>
      <c r="B7479" s="0" t="s">
        <v>168</v>
      </c>
      <c r="F7479" s="7" t="n">
        <f aca="false">Sens!F7404*(1-tax_f)/(Sens!F7390*(Sens!E7475+Sens!F7475)/2)</f>
        <v>0.15471433083293</v>
      </c>
      <c r="G7479" s="7" t="n">
        <f aca="false">Sens!G7404*(1-tax_f)/(Sens!G7390*(Sens!F7475+Sens!G7475)/2)</f>
        <v>0.176916911437355</v>
      </c>
      <c r="H7479" s="7" t="n">
        <f aca="false">Sens!H7404*(1-tax_f)/(Sens!H7390*(Sens!G7475+Sens!H7475)/2)</f>
        <v>0.207487057996582</v>
      </c>
      <c r="I7479" s="7" t="n">
        <f aca="false">Sens!I7404*(1-tax_f)/(Sens!I7390*(Sens!H7475+Sens!I7475)/2)</f>
        <v>0.219873660070946</v>
      </c>
      <c r="J7479" s="7" t="n">
        <f aca="false">Sens!J7404*(1-tax_f)/(Sens!J7390*(Sens!I7475+Sens!J7475)/2)</f>
        <v>0.238959457974928</v>
      </c>
      <c r="K7479" s="7" t="n">
        <f aca="false">Sens!K7404*(1-tax_f)/(Sens!K7390*(Sens!J7475+Sens!K7475)/2)</f>
        <v>0.264604270651536</v>
      </c>
    </row>
    <row r="7480" customFormat="false" ht="17.15" hidden="false" customHeight="false" outlineLevel="0" collapsed="false">
      <c r="A7480" s="0" t="s">
        <v>1018</v>
      </c>
      <c r="B7480" s="0" t="s">
        <v>253</v>
      </c>
      <c r="F7480" s="7" t="n">
        <f aca="false">Sens!F7476-wacc</f>
        <v>-0.0264758850184899</v>
      </c>
      <c r="G7480" s="7" t="n">
        <f aca="false">Sens!G7476-wacc</f>
        <v>0.00301399257650095</v>
      </c>
      <c r="H7480" s="7" t="n">
        <f aca="false">Sens!H7476-wacc</f>
        <v>0.0290144531684132</v>
      </c>
      <c r="I7480" s="7" t="n">
        <f aca="false">Sens!I7476-wacc</f>
        <v>0.040976729814546</v>
      </c>
      <c r="J7480" s="7" t="n">
        <f aca="false">Sens!J7476-wacc</f>
        <v>0.0555189863912922</v>
      </c>
      <c r="K7480" s="7" t="n">
        <f aca="false">Sens!K7476-wacc</f>
        <v>0.0736144937856168</v>
      </c>
    </row>
    <row r="7481" customFormat="false" ht="17.15" hidden="false" customHeight="false" outlineLevel="0" collapsed="false">
      <c r="A7481" s="0" t="s">
        <v>1019</v>
      </c>
      <c r="B7481" s="0" t="s">
        <v>98</v>
      </c>
      <c r="F7481" s="6" t="n">
        <f aca="false">Sens!F7474*(1-tax_f)-wacc*(Sens!E7475+Sens!F7475)/2</f>
        <v>-5.12666681154535</v>
      </c>
      <c r="G7481" s="6" t="n">
        <f aca="false">Sens!G7474*(1-tax_f)-wacc*(Sens!F7475+Sens!G7475)/2</f>
        <v>0.983096926090845</v>
      </c>
      <c r="H7481" s="6" t="n">
        <f aca="false">Sens!H7474*(1-tax_f)-wacc*(Sens!G7475+Sens!H7475)/2</f>
        <v>12.9298723603358</v>
      </c>
      <c r="I7481" s="6" t="n">
        <f aca="false">Sens!I7474*(1-tax_f)-wacc*(Sens!H7475+Sens!I7475)/2</f>
        <v>21.5816420117415</v>
      </c>
      <c r="J7481" s="6" t="n">
        <f aca="false">Sens!J7474*(1-tax_f)-wacc*(Sens!I7475+Sens!J7475)/2</f>
        <v>30.6647728372055</v>
      </c>
      <c r="K7481" s="6" t="n">
        <f aca="false">Sens!K7474*(1-tax_f)-wacc*(Sens!J7475+Sens!K7475)/2</f>
        <v>39.6606698161285</v>
      </c>
    </row>
    <row r="7482" customFormat="false" ht="17.15" hidden="false" customHeight="false" outlineLevel="0" collapsed="false">
      <c r="A7482" s="3" t="s">
        <v>1798</v>
      </c>
    </row>
    <row r="7483" customFormat="false" ht="15" hidden="false" customHeight="false" outlineLevel="0" collapsed="false">
      <c r="A7483" s="4" t="s">
        <v>43</v>
      </c>
      <c r="B7483" s="4" t="s">
        <v>65</v>
      </c>
      <c r="C7483" s="23" t="s">
        <v>942</v>
      </c>
      <c r="D7483" s="23" t="s">
        <v>943</v>
      </c>
      <c r="E7483" s="23" t="s">
        <v>944</v>
      </c>
      <c r="F7483" s="23" t="s">
        <v>945</v>
      </c>
      <c r="G7483" s="23" t="s">
        <v>946</v>
      </c>
      <c r="H7483" s="23" t="s">
        <v>947</v>
      </c>
      <c r="I7483" s="23" t="s">
        <v>948</v>
      </c>
      <c r="J7483" s="23" t="s">
        <v>949</v>
      </c>
      <c r="K7483" s="23" t="s">
        <v>950</v>
      </c>
      <c r="L7483" s="4" t="s">
        <v>47</v>
      </c>
    </row>
    <row r="7484" customFormat="false" ht="15" hidden="false" customHeight="false" outlineLevel="0" collapsed="false">
      <c r="A7484" s="1" t="s">
        <v>1080</v>
      </c>
      <c r="B7484" s="0" t="s">
        <v>98</v>
      </c>
      <c r="F7484" s="6" t="n">
        <f aca="false">Sens!F7465</f>
        <v>148.204848414468</v>
      </c>
      <c r="G7484" s="6" t="n">
        <f aca="false">Sens!G7465</f>
        <v>170.778991339255</v>
      </c>
      <c r="H7484" s="6" t="n">
        <f aca="false">Sens!H7465</f>
        <v>200.787617495848</v>
      </c>
      <c r="I7484" s="6" t="n">
        <f aca="false">Sens!I7465</f>
        <v>223.664490210168</v>
      </c>
      <c r="J7484" s="6" t="n">
        <f aca="false">Sens!J7465</f>
        <v>243.216575003502</v>
      </c>
      <c r="K7484" s="6" t="n">
        <f aca="false">Sens!K7465</f>
        <v>261.020095087234</v>
      </c>
    </row>
    <row r="7485" customFormat="false" ht="17.15" hidden="false" customHeight="false" outlineLevel="0" collapsed="false">
      <c r="A7485" s="1" t="s">
        <v>1102</v>
      </c>
      <c r="B7485" s="0" t="s">
        <v>98</v>
      </c>
      <c r="E7485" s="6" t="n">
        <f aca="false">Q!M38-Sens!E7403</f>
        <v>22.2285940229167</v>
      </c>
      <c r="F7485" s="6" t="n">
        <f aca="false">Sens!E7485*(1-1/life_nonai)+(Sens!F7493+Sens!F7494)/life_nonai</f>
        <v>23.5927712145069</v>
      </c>
      <c r="G7485" s="6" t="n">
        <f aca="false">Sens!F7485*(1-1/life_nonai)+(Sens!G7493)/life_nonai</f>
        <v>25.4529063662937</v>
      </c>
      <c r="H7485" s="6" t="n">
        <f aca="false">Sens!G7485*(1-1/life_nonai)+(Sens!H7493)/life_nonai</f>
        <v>27.7679244833938</v>
      </c>
      <c r="I7485" s="6" t="n">
        <f aca="false">Sens!H7485*(1-1/life_nonai)+(Sens!I7493)/life_nonai</f>
        <v>30.4463777356673</v>
      </c>
      <c r="J7485" s="6" t="n">
        <f aca="false">Sens!I7485*(1-1/life_nonai)+(Sens!J7493)/life_nonai</f>
        <v>33.3826415491121</v>
      </c>
      <c r="K7485" s="6" t="n">
        <f aca="false">Sens!J7485*(1-1/life_nonai)+(Sens!K7493)/life_nonai</f>
        <v>36.4913100180247</v>
      </c>
      <c r="L7485" s="12" t="s">
        <v>1103</v>
      </c>
    </row>
    <row r="7486" customFormat="false" ht="17.15" hidden="false" customHeight="false" outlineLevel="0" collapsed="false">
      <c r="A7486" s="1" t="s">
        <v>1104</v>
      </c>
      <c r="B7486" s="0" t="s">
        <v>98</v>
      </c>
      <c r="F7486" s="6" t="n">
        <f aca="false">Sens!$F$7494/life_nonai*(1-1/life_nonai)^(Sens!F7366-2027)</f>
        <v>0</v>
      </c>
      <c r="G7486" s="6" t="n">
        <f aca="false">Sens!$F$7494/life_nonai*(1-1/life_nonai)^(Sens!G7366-2027)</f>
        <v>0</v>
      </c>
      <c r="H7486" s="6" t="n">
        <f aca="false">Sens!$F$7494/life_nonai*(1-1/life_nonai)^(Sens!H7366-2027)</f>
        <v>0</v>
      </c>
      <c r="I7486" s="6" t="n">
        <f aca="false">Sens!$F$7494/life_nonai*(1-1/life_nonai)^(Sens!I7366-2027)</f>
        <v>0</v>
      </c>
      <c r="J7486" s="6" t="n">
        <f aca="false">Sens!$F$7494/life_nonai*(1-1/life_nonai)^(Sens!J7366-2027)</f>
        <v>0</v>
      </c>
      <c r="K7486" s="6" t="n">
        <f aca="false">Sens!$F$7494/life_nonai*(1-1/life_nonai)^(Sens!K7366-2027)</f>
        <v>0</v>
      </c>
      <c r="L7486" s="1" t="s">
        <v>1105</v>
      </c>
    </row>
    <row r="7487" customFormat="false" ht="17.15" hidden="false" customHeight="false" outlineLevel="0" collapsed="false">
      <c r="A7487" s="1" t="s">
        <v>1106</v>
      </c>
      <c r="B7487" s="0" t="s">
        <v>98</v>
      </c>
      <c r="E7487" s="6" t="n">
        <f aca="false">Sens!E7403+Sens!E7485</f>
        <v>38.534</v>
      </c>
      <c r="F7487" s="6" t="n">
        <f aca="false">Sens!F7403+Sens!F7485</f>
        <v>58.1720856928585</v>
      </c>
      <c r="G7487" s="6" t="n">
        <f aca="false">Sens!G7403+Sens!G7485</f>
        <v>86.1873970185926</v>
      </c>
      <c r="H7487" s="6" t="n">
        <f aca="false">Sens!H7403+Sens!H7485</f>
        <v>116.868015144839</v>
      </c>
      <c r="I7487" s="6" t="n">
        <f aca="false">Sens!I7403+Sens!I7485</f>
        <v>144.677387430216</v>
      </c>
      <c r="J7487" s="6" t="n">
        <f aca="false">Sens!J7403+Sens!J7485</f>
        <v>165.398314598708</v>
      </c>
      <c r="K7487" s="6" t="n">
        <f aca="false">Sens!K7403+Sens!K7485</f>
        <v>179.503979568959</v>
      </c>
    </row>
    <row r="7488" customFormat="false" ht="17.15" hidden="false" customHeight="false" outlineLevel="0" collapsed="false">
      <c r="A7488" s="1" t="s">
        <v>1107</v>
      </c>
      <c r="B7488" s="0" t="s">
        <v>98</v>
      </c>
      <c r="F7488" s="6" t="n">
        <f aca="false">Sens!F7430*sbc_r</f>
        <v>15.1323103143555</v>
      </c>
      <c r="G7488" s="6" t="n">
        <f aca="false">Sens!G7430*sbc_r</f>
        <v>18.6143514661774</v>
      </c>
      <c r="H7488" s="6" t="n">
        <f aca="false">Sens!H7430*sbc_r</f>
        <v>22.3507494444124</v>
      </c>
      <c r="I7488" s="6" t="n">
        <f aca="false">Sens!I7430*sbc_r</f>
        <v>25.5145360569178</v>
      </c>
      <c r="J7488" s="6" t="n">
        <f aca="false">Sens!J7430*sbc_r</f>
        <v>28.0428242839298</v>
      </c>
      <c r="K7488" s="6" t="n">
        <f aca="false">Sens!K7430*sbc_r</f>
        <v>30.0709906461489</v>
      </c>
    </row>
    <row r="7489" customFormat="false" ht="17.15" hidden="false" customHeight="false" outlineLevel="0" collapsed="false">
      <c r="A7489" s="1" t="s">
        <v>1108</v>
      </c>
      <c r="B7489" s="0" t="s">
        <v>98</v>
      </c>
      <c r="F7489" s="6" t="n">
        <f aca="false">wc27-wc26q1</f>
        <v>-4.677</v>
      </c>
      <c r="G7489" s="6" t="n">
        <f aca="false">wc_f</f>
        <v>0</v>
      </c>
      <c r="H7489" s="6" t="n">
        <f aca="false">wc_f</f>
        <v>0</v>
      </c>
      <c r="I7489" s="6" t="n">
        <f aca="false">wc_f</f>
        <v>0</v>
      </c>
      <c r="J7489" s="6" t="n">
        <f aca="false">wc_f</f>
        <v>0</v>
      </c>
      <c r="K7489" s="6" t="n">
        <f aca="false">wc_f</f>
        <v>0</v>
      </c>
      <c r="L7489" s="12" t="s">
        <v>1109</v>
      </c>
    </row>
    <row r="7490" customFormat="false" ht="17.15" hidden="false" customHeight="false" outlineLevel="0" collapsed="false">
      <c r="A7490" s="0" t="s">
        <v>1110</v>
      </c>
      <c r="B7490" s="0" t="s">
        <v>98</v>
      </c>
      <c r="F7490" s="6" t="n">
        <f aca="false">Q!$I$35-Q!$I$26-Q!$I$38-Q!$I$39</f>
        <v>6.493</v>
      </c>
      <c r="L7490" s="1" t="s">
        <v>1111</v>
      </c>
    </row>
    <row r="7491" customFormat="false" ht="15" hidden="false" customHeight="false" outlineLevel="0" collapsed="false">
      <c r="A7491" s="1" t="s">
        <v>908</v>
      </c>
      <c r="B7491" s="0" t="s">
        <v>98</v>
      </c>
      <c r="E7491" s="6" t="n">
        <f aca="false">Q!M35</f>
        <v>182.935</v>
      </c>
      <c r="F7491" s="6" t="n">
        <f aca="false">Sens!F7484+Sens!F7487+Sens!F7488+Sens!F7489+Sens!F7490</f>
        <v>223.325244421682</v>
      </c>
      <c r="G7491" s="6" t="n">
        <f aca="false">Sens!G7484+Sens!G7487+Sens!G7488+Sens!G7489</f>
        <v>275.580739824025</v>
      </c>
      <c r="H7491" s="6" t="n">
        <f aca="false">Sens!H7484+Sens!H7487+Sens!H7488+Sens!H7489</f>
        <v>340.0063820851</v>
      </c>
      <c r="I7491" s="6" t="n">
        <f aca="false">Sens!I7484+Sens!I7487+Sens!I7488+Sens!I7489</f>
        <v>393.856413697301</v>
      </c>
      <c r="J7491" s="6" t="n">
        <f aca="false">Sens!J7484+Sens!J7487+Sens!J7488+Sens!J7489</f>
        <v>436.65771388614</v>
      </c>
      <c r="K7491" s="6" t="n">
        <f aca="false">Sens!K7484+Sens!K7487+Sens!K7488+Sens!K7489</f>
        <v>470.595065302341</v>
      </c>
    </row>
    <row r="7492" customFormat="false" ht="17.15" hidden="false" customHeight="false" outlineLevel="0" collapsed="false">
      <c r="A7492" s="0" t="s">
        <v>1112</v>
      </c>
      <c r="B7492" s="0" t="s">
        <v>98</v>
      </c>
      <c r="F7492" s="6" t="n">
        <f aca="false">Sens!F7400</f>
        <v>168.45390404212</v>
      </c>
      <c r="G7492" s="6" t="n">
        <f aca="false">Sens!G7400</f>
        <v>191.944475649048</v>
      </c>
      <c r="H7492" s="6" t="n">
        <f aca="false">Sens!H7400</f>
        <v>196.806004064512</v>
      </c>
      <c r="I7492" s="6" t="n">
        <f aca="false">Sens!I7400</f>
        <v>168.61483362161</v>
      </c>
      <c r="J7492" s="6" t="n">
        <f aca="false">Sens!J7400</f>
        <v>128.92993119594</v>
      </c>
      <c r="K7492" s="6" t="n">
        <f aca="false">Sens!K7400</f>
        <v>118.962853064733</v>
      </c>
    </row>
    <row r="7493" customFormat="false" ht="17.15" hidden="false" customHeight="false" outlineLevel="0" collapsed="false">
      <c r="A7493" s="1" t="s">
        <v>1113</v>
      </c>
      <c r="B7493" s="0" t="s">
        <v>98</v>
      </c>
      <c r="E7493" s="6" t="n">
        <f aca="false">Sens!E7408*cx_azo+Sens!E7415*cx_m365+Sens!E7416*cx_lic+(Sens!E7418+Sens!E7420)*cx_ind+Sens!E7423*cx_srch+(Sens!E7425+Sens!E7427)*cx_dev</f>
        <v>30.1846587067718</v>
      </c>
      <c r="F7493" s="6" t="n">
        <f aca="false">Sens!F7408*cx_azo+Sens!F7415*cx_m365+Sens!F7416*cx_lic+(Sens!F7418+Sens!F7420)*cx_ind+Sens!F7423*cx_srch+(Sens!F7425+Sens!F7427)*cx_dev</f>
        <v>35.8703659388185</v>
      </c>
      <c r="G7493" s="6" t="n">
        <f aca="false">Sens!G7408*cx_azo+Sens!G7415*cx_m365+Sens!G7416*cx_lic+(Sens!G7418+Sens!G7420)*cx_ind+Sens!G7423*cx_srch+(Sens!G7425+Sens!G7427)*cx_dev</f>
        <v>42.1941227323749</v>
      </c>
      <c r="H7493" s="6" t="n">
        <f aca="false">Sens!H7408*cx_azo+Sens!H7415*cx_m365+Sens!H7416*cx_lic+(Sens!H7418+Sens!H7420)*cx_ind+Sens!H7423*cx_srch+(Sens!H7425+Sens!H7427)*cx_dev</f>
        <v>48.6030875372947</v>
      </c>
      <c r="I7493" s="6" t="n">
        <f aca="false">Sens!I7408*cx_azo+Sens!I7415*cx_m365+Sens!I7416*cx_lic+(Sens!I7418+Sens!I7420)*cx_ind+Sens!I7423*cx_srch+(Sens!I7425+Sens!I7427)*cx_dev</f>
        <v>54.5524570061296</v>
      </c>
      <c r="J7493" s="6" t="n">
        <f aca="false">Sens!J7408*cx_azo+Sens!J7415*cx_m365+Sens!J7416*cx_lic+(Sens!J7418+Sens!J7420)*cx_ind+Sens!J7423*cx_srch+(Sens!J7425+Sens!J7427)*cx_dev</f>
        <v>59.8090158701145</v>
      </c>
      <c r="K7493" s="6" t="n">
        <f aca="false">Sens!K7408*cx_azo+Sens!K7415*cx_m365+Sens!K7416*cx_lic+(Sens!K7418+Sens!K7420)*cx_ind+Sens!K7423*cx_srch+(Sens!K7425+Sens!K7427)*cx_dev</f>
        <v>64.4693262382388</v>
      </c>
    </row>
    <row r="7494" customFormat="false" ht="17.15" hidden="false" customHeight="false" outlineLevel="0" collapsed="false">
      <c r="A7494" s="0" t="s">
        <v>1114</v>
      </c>
      <c r="B7494" s="0" t="s">
        <v>98</v>
      </c>
      <c r="F7494" s="6" t="n">
        <f aca="false">Sens!F7398</f>
        <v>0</v>
      </c>
      <c r="L7494" s="1" t="s">
        <v>1115</v>
      </c>
    </row>
    <row r="7495" customFormat="false" ht="17.15" hidden="false" customHeight="false" outlineLevel="0" collapsed="false">
      <c r="A7495" s="1" t="s">
        <v>1116</v>
      </c>
      <c r="B7495" s="0" t="s">
        <v>98</v>
      </c>
      <c r="E7495" s="6" t="n">
        <f aca="false">Q!M43</f>
        <v>145.3</v>
      </c>
      <c r="F7495" s="6" t="n">
        <f aca="false">Sens!F7492+Sens!F7493+Sens!F7494</f>
        <v>204.324269980938</v>
      </c>
      <c r="G7495" s="6" t="n">
        <f aca="false">Sens!G7492+Sens!G7493</f>
        <v>234.138598381423</v>
      </c>
      <c r="H7495" s="6" t="n">
        <f aca="false">Sens!H7492+Sens!H7493</f>
        <v>245.409091601807</v>
      </c>
      <c r="I7495" s="6" t="n">
        <f aca="false">Sens!I7492+Sens!I7493</f>
        <v>223.16729062774</v>
      </c>
      <c r="J7495" s="6" t="n">
        <f aca="false">Sens!J7492+Sens!J7493</f>
        <v>188.738947066055</v>
      </c>
      <c r="K7495" s="6" t="n">
        <f aca="false">Sens!K7492+Sens!K7493</f>
        <v>183.432179302971</v>
      </c>
      <c r="L7495" s="1" t="s">
        <v>1117</v>
      </c>
    </row>
    <row r="7496" customFormat="false" ht="15" hidden="false" customHeight="false" outlineLevel="0" collapsed="false">
      <c r="A7496" s="1" t="s">
        <v>1118</v>
      </c>
      <c r="B7496" s="0" t="s">
        <v>98</v>
      </c>
      <c r="E7496" s="6" t="n">
        <f aca="false">fl_liab</f>
        <v>66.594</v>
      </c>
      <c r="F7496" s="6" t="n">
        <f aca="false">Sens!E7496-Sens!F7497</f>
        <v>62.46973</v>
      </c>
      <c r="G7496" s="6" t="n">
        <f aca="false">Sens!F7496-Sens!G7497</f>
        <v>57.98686785</v>
      </c>
      <c r="H7496" s="6" t="n">
        <f aca="false">Sens!G7496-Sens!H7497</f>
        <v>53.92827690325</v>
      </c>
      <c r="I7496" s="6" t="n">
        <f aca="false">Sens!H7496-Sens!I7497</f>
        <v>49.7850493638962</v>
      </c>
      <c r="J7496" s="6" t="n">
        <f aca="false">Sens!I7496-Sens!J7497</f>
        <v>45.4823765852716</v>
      </c>
      <c r="K7496" s="6" t="n">
        <f aca="false">Sens!J7496-Sens!K7497</f>
        <v>40.9860835316088</v>
      </c>
    </row>
    <row r="7497" customFormat="false" ht="15" hidden="false" customHeight="false" outlineLevel="0" collapsed="false">
      <c r="A7497" s="1" t="s">
        <v>1119</v>
      </c>
      <c r="B7497" s="0" t="s">
        <v>98</v>
      </c>
      <c r="F7497" s="6" t="n">
        <f aca="false">fl_pay_27-Sens!E7496*fl_rate</f>
        <v>4.12427</v>
      </c>
      <c r="G7497" s="6" t="n">
        <f aca="false">fl_pay_28-Sens!F7496*fl_rate</f>
        <v>4.48286215</v>
      </c>
      <c r="H7497" s="6" t="n">
        <f aca="false">fl_pay_29-Sens!G7496*fl_rate</f>
        <v>4.05859094675</v>
      </c>
      <c r="I7497" s="6" t="n">
        <f aca="false">fl_pay_30-Sens!H7496*fl_rate</f>
        <v>4.14322753935375</v>
      </c>
      <c r="J7497" s="6" t="n">
        <f aca="false">fl_pay_31-Sens!I7496*fl_rate</f>
        <v>4.30267277862467</v>
      </c>
      <c r="K7497" s="6" t="n">
        <f aca="false">fl_pay_32-Sens!J7496*fl_rate</f>
        <v>4.49629305366278</v>
      </c>
    </row>
    <row r="7498" customFormat="false" ht="17.15" hidden="false" customHeight="false" outlineLevel="0" collapsed="false">
      <c r="A7498" s="1" t="s">
        <v>1120</v>
      </c>
      <c r="B7498" s="0" t="s">
        <v>98</v>
      </c>
      <c r="E7498" s="6" t="n">
        <f aca="false">Q!M35-Q!M36-Q!M44</f>
        <v>63.886</v>
      </c>
      <c r="F7498" s="6" t="n">
        <f aca="false">Sens!F7491-Sens!F7495-Sens!F7497</f>
        <v>14.8767044407434</v>
      </c>
      <c r="G7498" s="6" t="n">
        <f aca="false">Sens!G7491-Sens!G7495-Sens!G7497</f>
        <v>36.959279292602</v>
      </c>
      <c r="H7498" s="6" t="n">
        <f aca="false">Sens!H7491-Sens!H7495-Sens!H7497</f>
        <v>90.5386995365428</v>
      </c>
      <c r="I7498" s="6" t="n">
        <f aca="false">Sens!I7491-Sens!I7495-Sens!I7497</f>
        <v>166.545895530208</v>
      </c>
      <c r="J7498" s="6" t="n">
        <f aca="false">Sens!J7491-Sens!J7495-Sens!J7497</f>
        <v>243.61609404146</v>
      </c>
      <c r="K7498" s="6" t="n">
        <f aca="false">Sens!K7491-Sens!K7495-Sens!K7497</f>
        <v>282.666592945707</v>
      </c>
      <c r="L7498" s="12" t="s">
        <v>1121</v>
      </c>
    </row>
    <row r="7499" customFormat="false" ht="15" hidden="false" customHeight="false" outlineLevel="0" collapsed="false">
      <c r="A7499" s="1" t="s">
        <v>1122</v>
      </c>
      <c r="B7499" s="0" t="s">
        <v>75</v>
      </c>
      <c r="F7499" s="8" t="n">
        <f aca="false">dps_27</f>
        <v>3.85</v>
      </c>
      <c r="G7499" s="8" t="n">
        <f aca="false">Sens!F7499*(1+dps_g)</f>
        <v>4.158</v>
      </c>
      <c r="H7499" s="8" t="n">
        <f aca="false">Sens!G7499*(1+dps_g)</f>
        <v>4.49064</v>
      </c>
      <c r="I7499" s="8" t="n">
        <f aca="false">Sens!H7499*(1+dps_g)</f>
        <v>4.8498912</v>
      </c>
      <c r="J7499" s="8" t="n">
        <f aca="false">Sens!I7499*(1+dps_g)</f>
        <v>5.237882496</v>
      </c>
      <c r="K7499" s="8" t="n">
        <f aca="false">Sens!J7499*(1+dps_g)</f>
        <v>5.65691309568</v>
      </c>
    </row>
    <row r="7500" customFormat="false" ht="17.15" hidden="false" customHeight="false" outlineLevel="0" collapsed="false">
      <c r="A7500" s="1" t="s">
        <v>1123</v>
      </c>
      <c r="B7500" s="0" t="s">
        <v>98</v>
      </c>
      <c r="E7500" s="6" t="n">
        <f aca="false">Q!M41</f>
        <v>26.445</v>
      </c>
      <c r="F7500" s="6" t="n">
        <f aca="false">Sens!F7499*Sens!E7509</f>
        <v>28.59395</v>
      </c>
      <c r="G7500" s="6" t="n">
        <f aca="false">Sens!G7499*Sens!F7509</f>
        <v>31.0393730879327</v>
      </c>
      <c r="H7500" s="6" t="n">
        <f aca="false">Sens!H7499*Sens!G7509</f>
        <v>33.6799966127944</v>
      </c>
      <c r="I7500" s="6" t="n">
        <f aca="false">Sens!I7499*Sens!H7509</f>
        <v>36.4248346188906</v>
      </c>
      <c r="J7500" s="6" t="n">
        <f aca="false">Sens!J7499*Sens!I7509</f>
        <v>39.4067192737945</v>
      </c>
      <c r="K7500" s="6" t="n">
        <f aca="false">Sens!K7499*Sens!J7509</f>
        <v>42.6460110780763</v>
      </c>
      <c r="L7500" s="1" t="s">
        <v>1124</v>
      </c>
    </row>
    <row r="7501" customFormat="false" ht="15" hidden="false" customHeight="false" outlineLevel="0" collapsed="false">
      <c r="A7501" s="1" t="s">
        <v>1125</v>
      </c>
      <c r="B7501" s="0" t="s">
        <v>98</v>
      </c>
      <c r="E7501" s="6" t="n">
        <f aca="false">Sens!E7498-Sens!E7500</f>
        <v>37.441</v>
      </c>
      <c r="F7501" s="6" t="n">
        <f aca="false">Sens!F7498-Sens!F7500</f>
        <v>-13.7172455592566</v>
      </c>
      <c r="G7501" s="6" t="n">
        <f aca="false">Sens!G7498-Sens!G7500</f>
        <v>5.91990620466933</v>
      </c>
      <c r="H7501" s="6" t="n">
        <f aca="false">Sens!H7498-Sens!H7500</f>
        <v>56.8587029237484</v>
      </c>
      <c r="I7501" s="6" t="n">
        <f aca="false">Sens!I7498-Sens!I7500</f>
        <v>130.121060911317</v>
      </c>
      <c r="J7501" s="6" t="n">
        <f aca="false">Sens!J7498-Sens!J7500</f>
        <v>204.209374767666</v>
      </c>
      <c r="K7501" s="6" t="n">
        <f aca="false">Sens!K7498-Sens!K7500</f>
        <v>240.020581867631</v>
      </c>
    </row>
    <row r="7502" customFormat="false" ht="15" hidden="false" customHeight="false" outlineLevel="0" collapsed="false">
      <c r="A7502" s="1" t="s">
        <v>1126</v>
      </c>
      <c r="B7502" s="0" t="s">
        <v>98</v>
      </c>
      <c r="F7502" s="6" t="n">
        <f aca="false">debt_mat_27</f>
        <v>9.25</v>
      </c>
      <c r="G7502" s="6" t="n">
        <f aca="false">debt_mat_28</f>
        <v>0</v>
      </c>
      <c r="H7502" s="6" t="n">
        <f aca="false">debt_mat_29</f>
        <v>2.001</v>
      </c>
      <c r="I7502" s="6" t="n">
        <f aca="false">debt_mat_30</f>
        <v>0</v>
      </c>
      <c r="J7502" s="6" t="n">
        <f aca="false">debt_mat_31</f>
        <v>0.5</v>
      </c>
      <c r="K7502" s="6" t="n">
        <f aca="false">debt_mat_32</f>
        <v>0</v>
      </c>
    </row>
    <row r="7503" customFormat="false" ht="15" hidden="false" customHeight="false" outlineLevel="0" collapsed="false">
      <c r="A7503" s="1" t="s">
        <v>1127</v>
      </c>
      <c r="B7503" s="0" t="s">
        <v>98</v>
      </c>
      <c r="E7503" s="6" t="n">
        <f aca="false">Q!M40</f>
        <v>22.271</v>
      </c>
      <c r="F7503" s="6" t="n">
        <f aca="false">MAX(0,MIN(bb_target,Sens!E7505+Sens!F7501-Sens!F7502-min_cash))</f>
        <v>3.87575444074342</v>
      </c>
      <c r="G7503" s="6" t="n">
        <f aca="false">MAX(0,MIN(bb_target,Sens!F7505+Sens!G7501-Sens!G7502-min_cash))</f>
        <v>5.91990620466933</v>
      </c>
      <c r="H7503" s="6" t="n">
        <f aca="false">MAX(0,MIN(bb_target,Sens!G7505+Sens!H7501-Sens!H7502-min_cash))</f>
        <v>22.271</v>
      </c>
      <c r="I7503" s="6" t="n">
        <f aca="false">MAX(0,MIN(bb_target,Sens!H7505+Sens!I7501-Sens!I7502-min_cash))</f>
        <v>22.271</v>
      </c>
      <c r="J7503" s="6" t="n">
        <f aca="false">MAX(0,MIN(bb_target,Sens!I7505+Sens!J7501-Sens!J7502-min_cash))</f>
        <v>22.271</v>
      </c>
      <c r="K7503" s="6" t="n">
        <f aca="false">MAX(0,MIN(bb_target,Sens!J7505+Sens!K7501-Sens!K7502-min_cash))</f>
        <v>22.271</v>
      </c>
    </row>
    <row r="7504" customFormat="false" ht="15" hidden="false" customHeight="false" outlineLevel="0" collapsed="false">
      <c r="A7504" s="1" t="s">
        <v>1128</v>
      </c>
      <c r="B7504" s="0" t="s">
        <v>98</v>
      </c>
      <c r="F7504" s="6" t="n">
        <f aca="false">MAX(0,min_cash-(Sens!E7505+Sens!F7501-Sens!F7502-Sens!F7503))</f>
        <v>0</v>
      </c>
      <c r="G7504" s="6" t="n">
        <f aca="false">MAX(0,min_cash-(Sens!F7505+Sens!G7501-Sens!G7502-Sens!G7503))</f>
        <v>0</v>
      </c>
      <c r="H7504" s="6" t="n">
        <f aca="false">MAX(0,min_cash-(Sens!G7505+Sens!H7501-Sens!H7502-Sens!H7503))</f>
        <v>0</v>
      </c>
      <c r="I7504" s="6" t="n">
        <f aca="false">MAX(0,min_cash-(Sens!H7505+Sens!I7501-Sens!I7502-Sens!I7503))</f>
        <v>0</v>
      </c>
      <c r="J7504" s="6" t="n">
        <f aca="false">MAX(0,min_cash-(Sens!I7505+Sens!J7501-Sens!J7502-Sens!J7503))</f>
        <v>0</v>
      </c>
      <c r="K7504" s="6" t="n">
        <f aca="false">MAX(0,min_cash-(Sens!J7505+Sens!K7501-Sens!K7502-Sens!K7503))</f>
        <v>0</v>
      </c>
    </row>
    <row r="7505" customFormat="false" ht="15" hidden="false" customHeight="false" outlineLevel="0" collapsed="false">
      <c r="A7505" s="1" t="s">
        <v>1129</v>
      </c>
      <c r="B7505" s="0" t="s">
        <v>98</v>
      </c>
      <c r="E7505" s="6" t="n">
        <f aca="false">cash_open</f>
        <v>76.843</v>
      </c>
      <c r="F7505" s="6" t="n">
        <f aca="false">Sens!E7505+Sens!F7501-Sens!F7502-Sens!F7503+Sens!F7504</f>
        <v>50</v>
      </c>
      <c r="G7505" s="6" t="n">
        <f aca="false">Sens!F7505+Sens!G7501-Sens!G7502-Sens!G7503+Sens!G7504</f>
        <v>50</v>
      </c>
      <c r="H7505" s="6" t="n">
        <f aca="false">Sens!G7505+Sens!H7501-Sens!H7502-Sens!H7503+Sens!H7504</f>
        <v>82.5867029237484</v>
      </c>
      <c r="I7505" s="6" t="n">
        <f aca="false">Sens!H7505+Sens!I7501-Sens!I7502-Sens!I7503+Sens!I7504</f>
        <v>190.436763835066</v>
      </c>
      <c r="J7505" s="6" t="n">
        <f aca="false">Sens!I7505+Sens!J7501-Sens!J7502-Sens!J7503+Sens!J7504</f>
        <v>371.875138602732</v>
      </c>
      <c r="K7505" s="6" t="n">
        <f aca="false">Sens!J7505+Sens!K7501-Sens!K7502-Sens!K7503+Sens!K7504</f>
        <v>589.624720470362</v>
      </c>
    </row>
    <row r="7506" customFormat="false" ht="15" hidden="false" customHeight="false" outlineLevel="0" collapsed="false">
      <c r="A7506" s="1" t="s">
        <v>1130</v>
      </c>
      <c r="B7506" s="0" t="s">
        <v>98</v>
      </c>
      <c r="E7506" s="6" t="n">
        <f aca="false">debt_face</f>
        <v>46.136</v>
      </c>
      <c r="F7506" s="6" t="n">
        <f aca="false">Sens!E7506-Sens!F7502+Sens!F7504</f>
        <v>36.886</v>
      </c>
      <c r="G7506" s="6" t="n">
        <f aca="false">Sens!F7506-Sens!G7502+Sens!G7504</f>
        <v>36.886</v>
      </c>
      <c r="H7506" s="6" t="n">
        <f aca="false">Sens!G7506-Sens!H7502+Sens!H7504</f>
        <v>34.885</v>
      </c>
      <c r="I7506" s="6" t="n">
        <f aca="false">Sens!H7506-Sens!I7502+Sens!I7504</f>
        <v>34.885</v>
      </c>
      <c r="J7506" s="6" t="n">
        <f aca="false">Sens!I7506-Sens!J7502+Sens!J7504</f>
        <v>34.385</v>
      </c>
      <c r="K7506" s="6" t="n">
        <f aca="false">Sens!J7506-Sens!K7502+Sens!K7504</f>
        <v>34.385</v>
      </c>
    </row>
    <row r="7507" customFormat="false" ht="15" hidden="false" customHeight="false" outlineLevel="0" collapsed="false">
      <c r="A7507" s="1" t="s">
        <v>1131</v>
      </c>
      <c r="B7507" s="0" t="s">
        <v>98</v>
      </c>
      <c r="E7507" s="6" t="n">
        <f aca="false">Sens!E7505-Sens!E7506</f>
        <v>30.707</v>
      </c>
      <c r="F7507" s="6" t="n">
        <f aca="false">Sens!F7505-Sens!F7506</f>
        <v>13.114</v>
      </c>
      <c r="G7507" s="6" t="n">
        <f aca="false">Sens!G7505-Sens!G7506</f>
        <v>13.114</v>
      </c>
      <c r="H7507" s="6" t="n">
        <f aca="false">Sens!H7505-Sens!H7506</f>
        <v>47.7017029237484</v>
      </c>
      <c r="I7507" s="6" t="n">
        <f aca="false">Sens!I7505-Sens!I7506</f>
        <v>155.551763835066</v>
      </c>
      <c r="J7507" s="6" t="n">
        <f aca="false">Sens!J7505-Sens!J7506</f>
        <v>337.490138602732</v>
      </c>
      <c r="K7507" s="6" t="n">
        <f aca="false">Sens!K7505-Sens!K7506</f>
        <v>555.239720470362</v>
      </c>
    </row>
    <row r="7508" customFormat="false" ht="15" hidden="false" customHeight="false" outlineLevel="0" collapsed="false">
      <c r="A7508" s="1" t="s">
        <v>1132</v>
      </c>
      <c r="B7508" s="0" t="s">
        <v>75</v>
      </c>
      <c r="F7508" s="30" t="n">
        <f aca="false">px*(1+bb_g)^(Sens!F7366-base_fy-mid_yr)</f>
        <v>551.84177959629</v>
      </c>
      <c r="G7508" s="30" t="n">
        <f aca="false">px*(1+bb_g)^(Sens!G7366-base_fy-mid_yr)</f>
        <v>595.989121963993</v>
      </c>
      <c r="H7508" s="30" t="n">
        <f aca="false">px*(1+bb_g)^(Sens!H7366-base_fy-mid_yr)</f>
        <v>643.668251721112</v>
      </c>
      <c r="I7508" s="30" t="n">
        <f aca="false">px*(1+bb_g)^(Sens!I7366-base_fy-mid_yr)</f>
        <v>695.161711858801</v>
      </c>
      <c r="J7508" s="30" t="n">
        <f aca="false">px*(1+bb_g)^(Sens!J7366-base_fy-mid_yr)</f>
        <v>750.774648807506</v>
      </c>
      <c r="K7508" s="30" t="n">
        <f aca="false">px*(1+bb_g)^(Sens!K7366-base_fy-mid_yr)</f>
        <v>810.836620712106</v>
      </c>
    </row>
    <row r="7509" customFormat="false" ht="15" hidden="false" customHeight="false" outlineLevel="0" collapsed="false">
      <c r="A7509" s="1" t="s">
        <v>1133</v>
      </c>
      <c r="B7509" s="1" t="s">
        <v>81</v>
      </c>
      <c r="E7509" s="15" t="n">
        <f aca="false">sh_out26</f>
        <v>7.427</v>
      </c>
      <c r="F7509" s="15" t="n">
        <f aca="false">Sens!E7509+sh_iss-Sens!F7503/Sens!F7508</f>
        <v>7.46497669262451</v>
      </c>
      <c r="G7509" s="15" t="n">
        <f aca="false">Sens!F7509+sh_iss-Sens!G7503/Sens!G7508</f>
        <v>7.50004378280031</v>
      </c>
      <c r="H7509" s="15" t="n">
        <f aca="false">Sens!G7509+sh_iss-Sens!H7503/Sens!H7508</f>
        <v>7.51044366085792</v>
      </c>
      <c r="I7509" s="15" t="n">
        <f aca="false">Sens!H7509+sh_iss-Sens!I7503/Sens!I7508</f>
        <v>7.52340651091125</v>
      </c>
      <c r="J7509" s="15" t="n">
        <f aca="false">Sens!I7509+sh_iss-Sens!J7503/Sens!J7508</f>
        <v>7.53874248318286</v>
      </c>
      <c r="K7509" s="15" t="n">
        <f aca="false">Sens!J7509+sh_iss-Sens!K7503/Sens!K7508</f>
        <v>7.55627579084176</v>
      </c>
    </row>
    <row r="7510" customFormat="false" ht="15" hidden="false" customHeight="false" outlineLevel="0" collapsed="false">
      <c r="A7510" s="1" t="s">
        <v>1134</v>
      </c>
      <c r="B7510" s="1" t="s">
        <v>81</v>
      </c>
      <c r="E7510" s="15" t="n">
        <f aca="false">sh_dil26</f>
        <v>7.453</v>
      </c>
      <c r="F7510" s="15" t="n">
        <f aca="false">(Sens!E7509+Sens!F7509)/2+dil_gap</f>
        <v>7.46998834631225</v>
      </c>
      <c r="G7510" s="15" t="n">
        <f aca="false">(Sens!F7509+Sens!G7509)/2+dil_gap</f>
        <v>7.50651023771241</v>
      </c>
      <c r="H7510" s="15" t="n">
        <f aca="false">(Sens!G7509+Sens!H7509)/2+dil_gap</f>
        <v>7.52924372182911</v>
      </c>
      <c r="I7510" s="15" t="n">
        <f aca="false">(Sens!H7509+Sens!I7509)/2+dil_gap</f>
        <v>7.54092508588458</v>
      </c>
      <c r="J7510" s="15" t="n">
        <f aca="false">(Sens!I7509+Sens!J7509)/2+dil_gap</f>
        <v>7.55507449704706</v>
      </c>
      <c r="K7510" s="15" t="n">
        <f aca="false">(Sens!J7509+Sens!K7509)/2+dil_gap</f>
        <v>7.57150913701231</v>
      </c>
    </row>
    <row r="7511" customFormat="false" ht="17.15" hidden="false" customHeight="false" outlineLevel="0" collapsed="false">
      <c r="A7511" s="1" t="s">
        <v>1135</v>
      </c>
      <c r="B7511" s="0" t="s">
        <v>98</v>
      </c>
      <c r="C7511" s="6" t="n">
        <f aca="false">SUM(Sens!F7501:J7501)</f>
        <v>383.391799248144</v>
      </c>
    </row>
    <row r="7512" customFormat="false" ht="15" hidden="false" customHeight="false" outlineLevel="0" collapsed="false">
      <c r="A7512" s="26" t="s">
        <v>1100</v>
      </c>
      <c r="B7512" s="31" t="s">
        <v>98</v>
      </c>
      <c r="C7512" s="27" t="n">
        <f aca="false">Sens!$C$7511-(Sens!F7501+Sens!G7501+Sens!H7501+Sens!I7501+Sens!J7501)</f>
        <v>0</v>
      </c>
      <c r="D7512" s="31"/>
      <c r="E7512" s="31"/>
      <c r="F7512" s="31"/>
      <c r="G7512" s="31"/>
      <c r="H7512" s="31"/>
      <c r="I7512" s="31"/>
      <c r="J7512" s="31"/>
      <c r="K7512" s="31"/>
    </row>
    <row r="7513" customFormat="false" ht="17.15" hidden="false" customHeight="false" outlineLevel="0" collapsed="false">
      <c r="A7513" s="1" t="s">
        <v>1094</v>
      </c>
      <c r="B7513" s="1" t="s">
        <v>1136</v>
      </c>
      <c r="C7513" s="33" t="str">
        <f aca="false">IF(SUM(Sens!F7504:J7504)&gt;0.05,"需要舉債 "&amp;TEXT(SUM(Sens!F7504:J7504),"0.0")&amp;" 十億美元","不需舉債")&amp;"；"&amp;IF(SUM(Sens!F7503:J7503)&lt;COUNT(Sens!F7503:J7503)*bb_target-0.05,"回購較每年 "&amp;TEXT(bb_target,"0.0")&amp;" 的目標少 "&amp;TEXT(COUNT(Sens!F7503:J7503)*bb_target-SUM(Sens!F7503:J7503),"0.0")&amp;" 十億美元（"&amp;TEXT(COUNTIF(Sens!F7503:J7503,"&lt;"&amp;(bb_target-0.05)),"0")&amp;" 年減少）","回購不減")</f>
        <v>不需舉債；回購較每年 22.3 的目標少 34.7 十億美元（2 年減少）</v>
      </c>
    </row>
    <row r="7514" customFormat="false" ht="17.15" hidden="false" customHeight="false" outlineLevel="0" collapsed="false">
      <c r="A7514" s="3" t="s">
        <v>1799</v>
      </c>
    </row>
    <row r="7515" customFormat="false" ht="15" hidden="false" customHeight="false" outlineLevel="0" collapsed="false">
      <c r="A7515" s="4" t="s">
        <v>43</v>
      </c>
      <c r="B7515" s="4" t="s">
        <v>65</v>
      </c>
      <c r="C7515" s="23" t="s">
        <v>942</v>
      </c>
      <c r="D7515" s="23" t="s">
        <v>943</v>
      </c>
      <c r="E7515" s="23" t="s">
        <v>944</v>
      </c>
      <c r="F7515" s="23" t="s">
        <v>945</v>
      </c>
      <c r="G7515" s="23" t="s">
        <v>946</v>
      </c>
      <c r="H7515" s="23" t="s">
        <v>947</v>
      </c>
      <c r="I7515" s="23" t="s">
        <v>948</v>
      </c>
      <c r="J7515" s="23" t="s">
        <v>949</v>
      </c>
      <c r="K7515" s="23" t="s">
        <v>950</v>
      </c>
      <c r="L7515" s="4" t="s">
        <v>47</v>
      </c>
    </row>
    <row r="7516" customFormat="false" ht="17.15" hidden="false" customHeight="false" outlineLevel="0" collapsed="false">
      <c r="A7516" s="1" t="s">
        <v>1216</v>
      </c>
      <c r="B7516" s="1" t="s">
        <v>279</v>
      </c>
      <c r="F7516" s="8" t="n">
        <f aca="false">(1-v_off)*mid_yr</f>
        <v>0.373972602739726</v>
      </c>
      <c r="G7516" s="8" t="n">
        <f aca="false">Sens!G7366-base_fy-mid_yr-v_off</f>
        <v>1.24794520547945</v>
      </c>
      <c r="H7516" s="8" t="n">
        <f aca="false">Sens!H7366-base_fy-mid_yr-v_off</f>
        <v>2.24794520547945</v>
      </c>
      <c r="I7516" s="8" t="n">
        <f aca="false">Sens!I7366-base_fy-mid_yr-v_off</f>
        <v>3.24794520547945</v>
      </c>
      <c r="J7516" s="8" t="n">
        <f aca="false">Sens!J7366-base_fy-mid_yr-v_off</f>
        <v>4.24794520547945</v>
      </c>
      <c r="K7516" s="8" t="n">
        <f aca="false">Sens!K7366-base_fy-mid_yr-v_off</f>
        <v>5.24794520547945</v>
      </c>
      <c r="L7516" s="12" t="s">
        <v>1217</v>
      </c>
    </row>
    <row r="7517" customFormat="false" ht="15" hidden="false" customHeight="false" outlineLevel="0" collapsed="false">
      <c r="A7517" s="1" t="s">
        <v>1218</v>
      </c>
      <c r="B7517" s="1" t="s">
        <v>279</v>
      </c>
      <c r="F7517" s="8" t="n">
        <f aca="false">Sens!F7366-base_fy-v_off</f>
        <v>0.747945205479452</v>
      </c>
      <c r="G7517" s="8" t="n">
        <f aca="false">Sens!G7366-base_fy-v_off</f>
        <v>1.74794520547945</v>
      </c>
      <c r="H7517" s="8" t="n">
        <f aca="false">Sens!H7366-base_fy-v_off</f>
        <v>2.74794520547945</v>
      </c>
      <c r="I7517" s="8" t="n">
        <f aca="false">Sens!I7366-base_fy-v_off</f>
        <v>3.74794520547945</v>
      </c>
      <c r="J7517" s="8" t="n">
        <f aca="false">Sens!J7366-base_fy-v_off</f>
        <v>4.74794520547945</v>
      </c>
      <c r="K7517" s="8" t="n">
        <f aca="false">Sens!K7366-base_fy-v_off</f>
        <v>5.74794520547945</v>
      </c>
    </row>
    <row r="7518" customFormat="false" ht="15" hidden="false" customHeight="false" outlineLevel="0" collapsed="false">
      <c r="A7518" s="1" t="s">
        <v>1219</v>
      </c>
      <c r="B7518" s="0" t="s">
        <v>229</v>
      </c>
      <c r="F7518" s="15" t="n">
        <f aca="false">1/(1+wacc)^Sens!F7516</f>
        <v>0.964022703286649</v>
      </c>
      <c r="G7518" s="15" t="n">
        <f aca="false">1/(1+wacc)^Sens!G7516</f>
        <v>0.884910302296739</v>
      </c>
      <c r="H7518" s="15" t="n">
        <f aca="false">1/(1+wacc)^Sens!H7516</f>
        <v>0.802322009770358</v>
      </c>
      <c r="I7518" s="15" t="n">
        <f aca="false">1/(1+wacc)^Sens!I7516</f>
        <v>0.727441646561469</v>
      </c>
      <c r="J7518" s="15" t="n">
        <f aca="false">1/(1+wacc)^Sens!J7516</f>
        <v>0.659549834988973</v>
      </c>
      <c r="K7518" s="15" t="n">
        <f aca="false">1/(1+wacc)^Sens!K7516</f>
        <v>0.597994336576966</v>
      </c>
    </row>
    <row r="7519" customFormat="false" ht="17.15" hidden="false" customHeight="false" outlineLevel="0" collapsed="false">
      <c r="A7519" s="1" t="s">
        <v>1220</v>
      </c>
      <c r="B7519" s="0" t="s">
        <v>98</v>
      </c>
      <c r="F7519" s="6" t="n">
        <f aca="false">Q!$I$35-Q!$I$39-Q!$I$43</f>
        <v>9.666</v>
      </c>
      <c r="L7519" s="12" t="s">
        <v>1221</v>
      </c>
    </row>
    <row r="7520" customFormat="false" ht="17.15" hidden="false" customHeight="false" outlineLevel="0" collapsed="false">
      <c r="A7520" s="1" t="s">
        <v>1222</v>
      </c>
      <c r="B7520" s="0" t="s">
        <v>98</v>
      </c>
      <c r="F7520" s="6" t="n">
        <f aca="false">Sens!F7491-Sens!F7488-Sens!F7495+Sens!F7473*(1-tax_f)*(1-v_off)-Sens!F7519</f>
        <v>-1.25057535044866</v>
      </c>
      <c r="G7520" s="6" t="n">
        <f aca="false">Sens!G7491-Sens!G7488-Sens!G7495+Sens!G7473*(1-tax_f)</f>
        <v>37.9094446953038</v>
      </c>
      <c r="H7520" s="6" t="n">
        <f aca="false">Sens!H7491-Sens!H7488-Sens!H7495+Sens!H7473*(1-tax_f)</f>
        <v>97.5094010715418</v>
      </c>
      <c r="I7520" s="6" t="n">
        <f aca="false">Sens!I7491-Sens!I7488-Sens!I7495+Sens!I7473*(1-tax_f)</f>
        <v>180.204873583782</v>
      </c>
      <c r="J7520" s="6" t="n">
        <f aca="false">Sens!J7491-Sens!J7488-Sens!J7495+Sens!J7473*(1-tax_f)</f>
        <v>261.81568381405</v>
      </c>
      <c r="K7520" s="6" t="n">
        <f aca="false">Sens!K7491-Sens!K7488-Sens!K7495+Sens!K7473*(1-tax_f)</f>
        <v>302.020352901284</v>
      </c>
      <c r="L7520" s="1" t="s">
        <v>1223</v>
      </c>
    </row>
    <row r="7521" customFormat="false" ht="15" hidden="false" customHeight="false" outlineLevel="0" collapsed="false">
      <c r="A7521" s="1" t="s">
        <v>1224</v>
      </c>
      <c r="B7521" s="0" t="s">
        <v>98</v>
      </c>
      <c r="F7521" s="6" t="n">
        <f aca="false">Sens!F7520*Sens!F7518</f>
        <v>-1.20558303000317</v>
      </c>
      <c r="G7521" s="6" t="n">
        <f aca="false">Sens!G7520*Sens!G7518</f>
        <v>33.5464581652227</v>
      </c>
      <c r="H7521" s="6" t="n">
        <f aca="false">Sens!H7520*Sens!H7518</f>
        <v>78.2339386392233</v>
      </c>
      <c r="I7521" s="6" t="n">
        <f aca="false">Sens!I7520*Sens!I7518</f>
        <v>131.088529958187</v>
      </c>
      <c r="J7521" s="6" t="n">
        <f aca="false">Sens!J7520*Sens!J7518</f>
        <v>172.680491057081</v>
      </c>
      <c r="K7521" s="6" t="n">
        <f aca="false">Sens!K7520*Sens!K7518</f>
        <v>180.606460565944</v>
      </c>
    </row>
    <row r="7522" customFormat="false" ht="17.15" hidden="false" customHeight="false" outlineLevel="0" collapsed="false">
      <c r="A7522" s="1" t="s">
        <v>1225</v>
      </c>
      <c r="B7522" s="0" t="s">
        <v>98</v>
      </c>
      <c r="C7522" s="6" t="n">
        <f aca="false">SUM(Sens!F7521:K7521)</f>
        <v>594.950295355656</v>
      </c>
    </row>
    <row r="7523" customFormat="false" ht="17.15" hidden="false" customHeight="false" outlineLevel="0" collapsed="false">
      <c r="A7523" s="1" t="s">
        <v>1226</v>
      </c>
      <c r="B7523" s="0" t="s">
        <v>98</v>
      </c>
      <c r="C7523" s="6" t="n">
        <f aca="false">Sens!K7459*(1+g_tv)*(1-tax_f)</f>
        <v>316.115809214356</v>
      </c>
    </row>
    <row r="7524" customFormat="false" ht="17.15" hidden="false" customHeight="false" outlineLevel="0" collapsed="false">
      <c r="A7524" s="1" t="s">
        <v>1227</v>
      </c>
      <c r="B7524" s="0" t="s">
        <v>98</v>
      </c>
      <c r="C7524" s="6" t="n">
        <f aca="false">Sens!$C$7523*(1-g_tv/(wacc+ronic_prem))</f>
        <v>223.986526620931</v>
      </c>
    </row>
    <row r="7525" customFormat="false" ht="17.15" hidden="false" customHeight="false" outlineLevel="0" collapsed="false">
      <c r="A7525" s="1" t="s">
        <v>1228</v>
      </c>
      <c r="B7525" s="0" t="s">
        <v>98</v>
      </c>
      <c r="C7525" s="6" t="n">
        <f aca="false">Sens!$C$7524/(wacc-g_tv)</f>
        <v>3070.97608644748</v>
      </c>
    </row>
    <row r="7526" customFormat="false" ht="15" hidden="false" customHeight="false" outlineLevel="0" collapsed="false">
      <c r="A7526" s="1" t="s">
        <v>1229</v>
      </c>
      <c r="B7526" s="0" t="s">
        <v>98</v>
      </c>
      <c r="C7526" s="6" t="n">
        <f aca="false">Sens!$C$7525/(1+wacc)^Sens!K7517</f>
        <v>1748.63124020972</v>
      </c>
    </row>
    <row r="7527" customFormat="false" ht="17.15" hidden="false" customHeight="false" outlineLevel="0" collapsed="false">
      <c r="A7527" s="0" t="s">
        <v>1230</v>
      </c>
      <c r="B7527" s="0" t="s">
        <v>98</v>
      </c>
      <c r="C7527" s="6" t="n">
        <f aca="false">Sens!$C$7522+Sens!$C$7526</f>
        <v>2343.58153556537</v>
      </c>
    </row>
    <row r="7528" customFormat="false" ht="15" hidden="false" customHeight="false" outlineLevel="0" collapsed="false">
      <c r="A7528" s="1" t="s">
        <v>1145</v>
      </c>
      <c r="B7528" s="0" t="s">
        <v>168</v>
      </c>
      <c r="C7528" s="7" t="n">
        <f aca="false">Sens!$C$7526/Sens!$C$7527</f>
        <v>0.746136293392443</v>
      </c>
    </row>
    <row r="7529" customFormat="false" ht="17.15" hidden="false" customHeight="false" outlineLevel="0" collapsed="false">
      <c r="A7529" s="1" t="s">
        <v>1231</v>
      </c>
      <c r="B7529" s="0" t="s">
        <v>98</v>
      </c>
      <c r="C7529" s="6" t="n">
        <f aca="false">Sens!$C$7527+cash_val-debt_val-fl_val+oai_v</f>
        <v>2459.43253556537</v>
      </c>
    </row>
    <row r="7530" customFormat="false" ht="17.15" hidden="false" customHeight="false" outlineLevel="0" collapsed="false">
      <c r="A7530" s="0" t="s">
        <v>1153</v>
      </c>
      <c r="B7530" s="0" t="s">
        <v>75</v>
      </c>
      <c r="C7530" s="5" t="n">
        <f aca="false">Sens!$C$7529/shd_val</f>
        <v>330.302516191965</v>
      </c>
    </row>
    <row r="7531" customFormat="false" ht="15" hidden="false" customHeight="false" outlineLevel="0" collapsed="false">
      <c r="A7531" s="1" t="s">
        <v>1232</v>
      </c>
      <c r="B7531" s="0" t="s">
        <v>75</v>
      </c>
      <c r="C7531" s="8" t="n">
        <f aca="false">div_rem27+Sens!G7499*roll_div_q/q_per_yr</f>
        <v>3.9795</v>
      </c>
    </row>
    <row r="7532" customFormat="false" ht="17.15" hidden="false" customHeight="false" outlineLevel="0" collapsed="false">
      <c r="A7532" s="0" t="s">
        <v>1233</v>
      </c>
      <c r="B7532" s="0" t="s">
        <v>75</v>
      </c>
      <c r="C7532" s="5" t="n">
        <f aca="false">Sens!$C$7530*(1+wacc)^t_roll-Sens!$C$7531</f>
        <v>363.170181176483</v>
      </c>
    </row>
    <row r="7533" customFormat="false" ht="17.15" hidden="false" customHeight="false" outlineLevel="0" collapsed="false">
      <c r="A7533" s="1" t="s">
        <v>1234</v>
      </c>
      <c r="B7533" s="0" t="s">
        <v>168</v>
      </c>
      <c r="F7533" s="7" t="n">
        <f aca="false">Sens!F7485/(Sens!F7430-Sens!F7385)</f>
        <v>0.0682478955807194</v>
      </c>
      <c r="G7533" s="7" t="n">
        <f aca="false">Sens!G7485/(Sens!G7430-Sens!G7385)</f>
        <v>0.0645209973556157</v>
      </c>
      <c r="H7533" s="7" t="n">
        <f aca="false">Sens!H7485/(Sens!H7430-Sens!H7385)</f>
        <v>0.0625297675989356</v>
      </c>
      <c r="I7533" s="7" t="n">
        <f aca="false">Sens!I7485/(Sens!I7430-Sens!I7385)</f>
        <v>0.0621576437552573</v>
      </c>
      <c r="J7533" s="7" t="n">
        <f aca="false">Sens!J7485/(Sens!J7430-Sens!J7385)</f>
        <v>0.0629429687021632</v>
      </c>
      <c r="K7533" s="7" t="n">
        <f aca="false">Sens!K7485/(Sens!K7430-Sens!K7385)</f>
        <v>0.0642843463485379</v>
      </c>
    </row>
    <row r="7534" customFormat="false" ht="17.15" hidden="false" customHeight="false" outlineLevel="0" collapsed="false">
      <c r="A7534" s="0" t="s">
        <v>1235</v>
      </c>
      <c r="B7534" s="0" t="s">
        <v>98</v>
      </c>
      <c r="F7534" s="6" t="n">
        <f aca="false">Sens!F7415*(al_m365+Sens!F7533+sbc_r)</f>
        <v>85.6975006883218</v>
      </c>
      <c r="G7534" s="6" t="n">
        <f aca="false">Sens!G7415*(al_m365+Sens!G7533+sbc_r)</f>
        <v>103.154657774129</v>
      </c>
      <c r="H7534" s="6" t="n">
        <f aca="false">Sens!H7415*(al_m365+Sens!H7533+sbc_r)</f>
        <v>120.777335484519</v>
      </c>
      <c r="I7534" s="6" t="n">
        <f aca="false">Sens!I7415*(al_m365+Sens!I7533+sbc_r)</f>
        <v>136.135860498292</v>
      </c>
      <c r="J7534" s="6" t="n">
        <f aca="false">Sens!J7415*(al_m365+Sens!J7533+sbc_r)</f>
        <v>149.047983607803</v>
      </c>
      <c r="K7534" s="6" t="n">
        <f aca="false">Sens!K7415*(al_m365+Sens!K7533+sbc_r)</f>
        <v>161.594476555575</v>
      </c>
      <c r="L7534" s="12" t="s">
        <v>1236</v>
      </c>
    </row>
    <row r="7535" customFormat="false" ht="17.15" hidden="false" customHeight="false" outlineLevel="0" collapsed="false">
      <c r="A7535" s="0" t="s">
        <v>1237</v>
      </c>
      <c r="B7535" s="0" t="s">
        <v>98</v>
      </c>
      <c r="F7535" s="6" t="n">
        <f aca="false">Sens!F7416*(al_lic+Sens!F7533+sbc_r)</f>
        <v>32.8434990616739</v>
      </c>
      <c r="G7535" s="6" t="n">
        <f aca="false">Sens!G7416*(al_lic+Sens!G7533+sbc_r)</f>
        <v>34.0851184239805</v>
      </c>
      <c r="H7535" s="6" t="n">
        <f aca="false">Sens!H7416*(al_lic+Sens!H7533+sbc_r)</f>
        <v>35.2554278460268</v>
      </c>
      <c r="I7535" s="6" t="n">
        <f aca="false">Sens!I7416*(al_lic+Sens!I7533+sbc_r)</f>
        <v>36.3384977637951</v>
      </c>
      <c r="J7535" s="6" t="n">
        <f aca="false">Sens!J7416*(al_lic+Sens!J7533+sbc_r)</f>
        <v>37.3027083900616</v>
      </c>
      <c r="K7535" s="6" t="n">
        <f aca="false">Sens!K7416*(al_lic+Sens!K7533+sbc_r)</f>
        <v>38.1087839923324</v>
      </c>
    </row>
    <row r="7536" customFormat="false" ht="17.15" hidden="false" customHeight="false" outlineLevel="0" collapsed="false">
      <c r="A7536" s="0" t="s">
        <v>1238</v>
      </c>
      <c r="B7536" s="0" t="s">
        <v>98</v>
      </c>
      <c r="F7536" s="6" t="n">
        <f aca="false">Sens!F7418*(al_ind+Sens!F7533+sbc_r)</f>
        <v>9.05212272717012</v>
      </c>
      <c r="G7536" s="6" t="n">
        <f aca="false">Sens!G7418*(al_ind+Sens!G7533+sbc_r)</f>
        <v>9.80417666875819</v>
      </c>
      <c r="H7536" s="6" t="n">
        <f aca="false">Sens!H7418*(al_ind+Sens!H7533+sbc_r)</f>
        <v>10.6076849049865</v>
      </c>
      <c r="I7536" s="6" t="n">
        <f aca="false">Sens!I7418*(al_ind+Sens!I7533+sbc_r)</f>
        <v>11.4621928463022</v>
      </c>
      <c r="J7536" s="6" t="n">
        <f aca="false">Sens!J7418*(al_ind+Sens!J7533+sbc_r)</f>
        <v>12.3550461571649</v>
      </c>
      <c r="K7536" s="6" t="n">
        <f aca="false">Sens!K7418*(al_ind+Sens!K7533+sbc_r)</f>
        <v>13.2641955299251</v>
      </c>
    </row>
    <row r="7537" customFormat="false" ht="17.15" hidden="false" customHeight="false" outlineLevel="0" collapsed="false">
      <c r="A7537" s="0" t="s">
        <v>1239</v>
      </c>
      <c r="B7537" s="0" t="s">
        <v>98</v>
      </c>
      <c r="F7537" s="6" t="n">
        <f aca="false">Sens!F7420*(al_fro+Sens!F7533+sbc_r)</f>
        <v>3.5507759949332</v>
      </c>
      <c r="G7537" s="6" t="n">
        <f aca="false">Sens!G7420*(al_fro+Sens!G7533+sbc_r)</f>
        <v>3.75136533400214</v>
      </c>
      <c r="H7537" s="6" t="n">
        <f aca="false">Sens!H7420*(al_fro+Sens!H7533+sbc_r)</f>
        <v>3.98368354335519</v>
      </c>
      <c r="I7537" s="6" t="n">
        <f aca="false">Sens!I7420*(al_fro+Sens!I7533+sbc_r)</f>
        <v>4.2511895153628</v>
      </c>
      <c r="J7537" s="6" t="n">
        <f aca="false">Sens!J7420*(al_fro+Sens!J7533+sbc_r)</f>
        <v>4.55376156458782</v>
      </c>
      <c r="K7537" s="6" t="n">
        <f aca="false">Sens!K7420*(al_fro+Sens!K7533+sbc_r)</f>
        <v>4.88885132608932</v>
      </c>
    </row>
    <row r="7538" customFormat="false" ht="17.15" hidden="false" customHeight="false" outlineLevel="0" collapsed="false">
      <c r="A7538" s="0" t="s">
        <v>1240</v>
      </c>
      <c r="B7538" s="0" t="s">
        <v>98</v>
      </c>
      <c r="F7538" s="6" t="n">
        <f aca="false">Sens!F7423*(al_srch+Sens!F7533+sbc_r)</f>
        <v>11.1788473393239</v>
      </c>
      <c r="G7538" s="6" t="n">
        <f aca="false">Sens!G7423*(al_srch+Sens!G7533+sbc_r)</f>
        <v>12.2218302261741</v>
      </c>
      <c r="H7538" s="6" t="n">
        <f aca="false">Sens!H7423*(al_srch+Sens!H7533+sbc_r)</f>
        <v>13.3175529788083</v>
      </c>
      <c r="I7538" s="6" t="n">
        <f aca="false">Sens!I7423*(al_srch+Sens!I7533+sbc_r)</f>
        <v>14.4589708873528</v>
      </c>
      <c r="J7538" s="6" t="n">
        <f aca="false">Sens!J7423*(al_srch+Sens!J7533+sbc_r)</f>
        <v>15.622615655759</v>
      </c>
      <c r="K7538" s="6" t="n">
        <f aca="false">Sens!K7423*(al_srch+Sens!K7533+sbc_r)</f>
        <v>16.7722100031723</v>
      </c>
    </row>
    <row r="7539" customFormat="false" ht="17.15" hidden="false" customHeight="false" outlineLevel="0" collapsed="false">
      <c r="A7539" s="0" t="s">
        <v>1241</v>
      </c>
      <c r="B7539" s="0" t="s">
        <v>98</v>
      </c>
      <c r="F7539" s="6" t="n">
        <f aca="false">Sens!F7391-Sens!F7392+Sens!F7473</f>
        <v>44.0936040173002</v>
      </c>
      <c r="G7539" s="6" t="n">
        <f aca="false">Sens!G7391-Sens!G7392+Sens!G7473</f>
        <v>87.232374637388</v>
      </c>
      <c r="H7539" s="6" t="n">
        <f aca="false">Sens!H7391-Sens!H7392+Sens!H7473</f>
        <v>138.194262267473</v>
      </c>
      <c r="I7539" s="6" t="n">
        <f aca="false">Sens!I7391-Sens!I7392+Sens!I7473</f>
        <v>178.787053304709</v>
      </c>
      <c r="J7539" s="6" t="n">
        <f aca="false">Sens!J7391-Sens!J7392+Sens!J7473</f>
        <v>207.371949129836</v>
      </c>
      <c r="K7539" s="6" t="n">
        <f aca="false">Sens!K7391-Sens!K7392+Sens!K7473</f>
        <v>224.01407856833</v>
      </c>
    </row>
    <row r="7540" customFormat="false" ht="17.15" hidden="false" customHeight="false" outlineLevel="0" collapsed="false">
      <c r="A7540" s="0" t="s">
        <v>1242</v>
      </c>
      <c r="B7540" s="0" t="s">
        <v>98</v>
      </c>
      <c r="F7540" s="6" t="n">
        <f aca="false">Sens!F7452+Sens!F7473+Sens!F7403+Sens!F7533*(Sens!F7422-Sens!F7385)+sbc_r*Sens!F7422</f>
        <v>240.578222045537</v>
      </c>
      <c r="G7540" s="6" t="n">
        <f aca="false">Sens!G7452+Sens!G7473+Sens!G7403+Sens!G7533*(Sens!G7422-Sens!G7385)+sbc_r*Sens!G7422</f>
        <v>311.942447619177</v>
      </c>
      <c r="H7540" s="6" t="n">
        <f aca="false">Sens!H7452+Sens!H7473+Sens!H7403+Sens!H7533*(Sens!H7422-Sens!H7385)+sbc_r*Sens!H7422</f>
        <v>395.762862377893</v>
      </c>
      <c r="I7540" s="6" t="n">
        <f aca="false">Sens!I7452+Sens!I7473+Sens!I7403+Sens!I7533*(Sens!I7422-Sens!I7385)+sbc_r*Sens!I7422</f>
        <v>466.446734694618</v>
      </c>
      <c r="J7540" s="6" t="n">
        <f aca="false">Sens!J7452+Sens!J7473+Sens!J7403+Sens!J7533*(Sens!J7422-Sens!J7385)+sbc_r*Sens!J7422</f>
        <v>521.462692877069</v>
      </c>
      <c r="K7540" s="6" t="n">
        <f aca="false">Sens!K7452+Sens!K7473+Sens!K7403+Sens!K7533*(Sens!K7422-Sens!K7385)+sbc_r*Sens!K7422</f>
        <v>562.1157793633</v>
      </c>
    </row>
    <row r="7541" customFormat="false" ht="17.15" hidden="false" customHeight="false" outlineLevel="0" collapsed="false">
      <c r="A7541" s="0" t="s">
        <v>1243</v>
      </c>
      <c r="B7541" s="0" t="s">
        <v>98</v>
      </c>
      <c r="F7541" s="6" t="n">
        <f aca="false">Sens!F7540-Sens!F7534-Sens!F7535-Sens!F7536-Sens!F7537-Sens!F7539</f>
        <v>65.3407195561374</v>
      </c>
      <c r="G7541" s="6" t="n">
        <f aca="false">Sens!G7540-Sens!G7534-Sens!G7535-Sens!G7536-Sens!G7537-Sens!G7539</f>
        <v>73.9147547809194</v>
      </c>
      <c r="H7541" s="6" t="n">
        <f aca="false">Sens!H7540-Sens!H7534-Sens!H7535-Sens!H7536-Sens!H7537-Sens!H7539</f>
        <v>86.9444683315323</v>
      </c>
      <c r="I7541" s="6" t="n">
        <f aca="false">Sens!I7540-Sens!I7534-Sens!I7535-Sens!I7536-Sens!I7537-Sens!I7539</f>
        <v>99.4719407661569</v>
      </c>
      <c r="J7541" s="6" t="n">
        <f aca="false">Sens!J7540-Sens!J7534-Sens!J7535-Sens!J7536-Sens!J7537-Sens!J7539</f>
        <v>110.831244027616</v>
      </c>
      <c r="K7541" s="6" t="n">
        <f aca="false">Sens!K7540-Sens!K7534-Sens!K7535-Sens!K7536-Sens!K7537-Sens!K7539</f>
        <v>120.245393391049</v>
      </c>
    </row>
    <row r="7542" customFormat="false" ht="17.15" hidden="false" customHeight="false" outlineLevel="0" collapsed="false">
      <c r="A7542" s="0" t="s">
        <v>1244</v>
      </c>
      <c r="B7542" s="0" t="s">
        <v>98</v>
      </c>
      <c r="F7542" s="6" t="n">
        <f aca="false">Sens!F7454+Sens!F7533*Sens!F7429+sbc_r*Sens!F7429</f>
        <v>26.6097371855981</v>
      </c>
      <c r="G7542" s="6" t="n">
        <f aca="false">Sens!G7454+Sens!G7533*Sens!G7429+sbc_r*Sens!G7429</f>
        <v>26.3851084382605</v>
      </c>
      <c r="H7542" s="6" t="n">
        <f aca="false">Sens!H7454+Sens!H7533*Sens!H7429+sbc_r*Sens!H7429</f>
        <v>27.218999121996</v>
      </c>
      <c r="I7542" s="6" t="n">
        <f aca="false">Sens!I7454+Sens!I7533*Sens!I7429+sbc_r*Sens!I7429</f>
        <v>28.3136597691485</v>
      </c>
      <c r="J7542" s="6" t="n">
        <f aca="false">Sens!J7454+Sens!J7533*Sens!J7429+sbc_r*Sens!J7429</f>
        <v>29.6238413573145</v>
      </c>
      <c r="K7542" s="6" t="n">
        <f aca="false">Sens!K7454+Sens!K7533*Sens!K7429+sbc_r*Sens!K7429</f>
        <v>31.0948816459285</v>
      </c>
    </row>
    <row r="7543" customFormat="false" ht="17.15" hidden="false" customHeight="false" outlineLevel="0" collapsed="false">
      <c r="A7543" s="0" t="s">
        <v>1245</v>
      </c>
      <c r="B7543" s="0" t="s">
        <v>98</v>
      </c>
      <c r="F7543" s="6" t="n">
        <f aca="false">(Sens!F7542-Sens!F7538)*Sens!F7425/(Sens!F7425+Sens!F7427)</f>
        <v>8.71514312283309</v>
      </c>
      <c r="G7543" s="6" t="n">
        <f aca="false">(Sens!G7542-Sens!G7538)*Sens!G7425/(Sens!G7425+Sens!G7427)</f>
        <v>7.86173762874266</v>
      </c>
      <c r="H7543" s="6" t="n">
        <f aca="false">(Sens!H7542-Sens!H7538)*Sens!H7425/(Sens!H7425+Sens!H7427)</f>
        <v>7.61587831119524</v>
      </c>
      <c r="I7543" s="6" t="n">
        <f aca="false">(Sens!I7542-Sens!I7538)*Sens!I7425/(Sens!I7425+Sens!I7427)</f>
        <v>7.52401118660704</v>
      </c>
      <c r="J7543" s="6" t="n">
        <f aca="false">(Sens!J7542-Sens!J7538)*Sens!J7425/(Sens!J7425+Sens!J7427)</f>
        <v>7.57041625379036</v>
      </c>
      <c r="K7543" s="6" t="n">
        <f aca="false">(Sens!K7542-Sens!K7538)*Sens!K7425/(Sens!K7425+Sens!K7427)</f>
        <v>7.74422100702068</v>
      </c>
    </row>
    <row r="7544" customFormat="false" ht="17.15" hidden="false" customHeight="false" outlineLevel="0" collapsed="false">
      <c r="A7544" s="0" t="s">
        <v>1246</v>
      </c>
      <c r="B7544" s="0" t="s">
        <v>98</v>
      </c>
      <c r="F7544" s="6" t="n">
        <f aca="false">Sens!F7542-Sens!F7538-Sens!F7543</f>
        <v>6.71574672344116</v>
      </c>
      <c r="G7544" s="6" t="n">
        <f aca="false">Sens!G7542-Sens!G7538-Sens!G7543</f>
        <v>6.30154058334379</v>
      </c>
      <c r="H7544" s="6" t="n">
        <f aca="false">Sens!H7542-Sens!H7538-Sens!H7543</f>
        <v>6.28556783199244</v>
      </c>
      <c r="I7544" s="6" t="n">
        <f aca="false">Sens!I7542-Sens!I7538-Sens!I7543</f>
        <v>6.33067769518862</v>
      </c>
      <c r="J7544" s="6" t="n">
        <f aca="false">Sens!J7542-Sens!J7538-Sens!J7543</f>
        <v>6.43080944776508</v>
      </c>
      <c r="K7544" s="6" t="n">
        <f aca="false">Sens!K7542-Sens!K7538-Sens!K7543</f>
        <v>6.57845063573548</v>
      </c>
    </row>
    <row r="7545" customFormat="false" ht="17.15" hidden="false" customHeight="false" outlineLevel="0" collapsed="false">
      <c r="A7545" s="0" t="s">
        <v>1247</v>
      </c>
      <c r="B7545" s="0" t="s">
        <v>98</v>
      </c>
      <c r="F7545" s="6" t="n">
        <f aca="false">Sens!F7539-tax_f*(Sens!F7539-Sens!F7403)-Sens!F7400</f>
        <v>-126.263157932609</v>
      </c>
      <c r="G7545" s="6" t="n">
        <f aca="false">Sens!G7539-tax_f*(Sens!G7539-Sens!G7403)-Sens!G7400</f>
        <v>-110.011677808678</v>
      </c>
      <c r="H7545" s="6" t="n">
        <f aca="false">Sens!H7539-tax_f*(Sens!H7539-Sens!H7403)-Sens!H7400</f>
        <v>-68.4305761182452</v>
      </c>
      <c r="I7545" s="6" t="n">
        <f aca="false">Sens!I7539-tax_f*(Sens!I7539-Sens!I7403)-Sens!I7400</f>
        <v>-2.7389890389336</v>
      </c>
      <c r="J7545" s="6" t="n">
        <f aca="false">Sens!J7539-tax_f*(Sens!J7539-Sens!J7403)-Sens!J7400</f>
        <v>63.3707627178472</v>
      </c>
      <c r="K7545" s="6" t="n">
        <f aca="false">Sens!K7539-tax_f*(Sens!K7539-Sens!K7403)-Sens!K7400</f>
        <v>88.850943700118</v>
      </c>
    </row>
    <row r="7546" customFormat="false" ht="17.15" hidden="false" customHeight="false" outlineLevel="0" collapsed="false">
      <c r="A7546" s="0" t="s">
        <v>1248</v>
      </c>
      <c r="B7546" s="0" t="s">
        <v>98</v>
      </c>
      <c r="G7546" s="6" t="n">
        <f aca="false">Sens!G7545/(1+wacc)^(Sens!G7516-Sens!F7517)</f>
        <v>-104.752287539557</v>
      </c>
      <c r="H7546" s="6" t="n">
        <f aca="false">Sens!H7545/(1+wacc)^(Sens!H7516-Sens!F7517)</f>
        <v>-59.0778087717792</v>
      </c>
      <c r="I7546" s="6" t="n">
        <f aca="false">Sens!I7545/(1+wacc)^(Sens!I7516-Sens!F7517)</f>
        <v>-2.14394643967351</v>
      </c>
      <c r="J7546" s="6" t="n">
        <f aca="false">Sens!J7545/(1+wacc)^(Sens!J7516-Sens!F7517)</f>
        <v>44.9740529057534</v>
      </c>
      <c r="K7546" s="6" t="n">
        <f aca="false">Sens!K7545/(1+wacc)^(Sens!K7516-Sens!F7517)</f>
        <v>57.1721588886674</v>
      </c>
      <c r="L7546" s="1" t="s">
        <v>1249</v>
      </c>
    </row>
    <row r="7547" customFormat="false" ht="17.15" hidden="false" customHeight="false" outlineLevel="0" collapsed="false">
      <c r="A7547" s="0" t="s">
        <v>1250</v>
      </c>
      <c r="B7547" s="0" t="s">
        <v>98</v>
      </c>
      <c r="C7547" s="6" t="n">
        <f aca="false">(Sens!K7539-Sens!K7403)*(1-tax_f)*(1+g_tv)*(1-g_tv/(wacc+ronic_prem))/(wacc-g_tv)/(1+wacc)^(Sens!K7517-Sens!F7517)</f>
        <v>397.280527243933</v>
      </c>
    </row>
    <row r="7548" customFormat="false" ht="17.15" hidden="false" customHeight="false" outlineLevel="0" collapsed="false">
      <c r="A7548" s="1" t="s">
        <v>1251</v>
      </c>
      <c r="B7548" s="0" t="s">
        <v>98</v>
      </c>
      <c r="C7548" s="6" t="n">
        <f aca="false">(SUM(Sens!G7546:K7546)+Sens!$C$7547)*(1+wacc)^(t_roll-Sens!F7517)</f>
        <v>344.460978227593</v>
      </c>
      <c r="L7548" s="12" t="s">
        <v>1252</v>
      </c>
    </row>
    <row r="7549" customFormat="false" ht="17.15" hidden="false" customHeight="false" outlineLevel="0" collapsed="false">
      <c r="A7549" s="1" t="s">
        <v>1253</v>
      </c>
      <c r="B7549" s="0" t="s">
        <v>98</v>
      </c>
      <c r="C7549" s="6" t="n">
        <f aca="false">(w_ntm28*Sens!G7391+(1-w_ntm28)*Sens!H7391)*m_ai</f>
        <v>563.316843258668</v>
      </c>
    </row>
    <row r="7550" customFormat="false" ht="17.15" hidden="false" customHeight="false" outlineLevel="0" collapsed="false">
      <c r="A7550" s="1" t="s">
        <v>1254</v>
      </c>
      <c r="B7550" s="0" t="s">
        <v>98</v>
      </c>
      <c r="C7550" s="6" t="n">
        <f aca="false">(w_ntm28*Sens!G7541+(1-w_ntm28)*Sens!H7541)*m_cloud</f>
        <v>1080.70321779104</v>
      </c>
    </row>
    <row r="7551" customFormat="false" ht="17.15" hidden="false" customHeight="false" outlineLevel="0" collapsed="false">
      <c r="A7551" s="1" t="s">
        <v>1255</v>
      </c>
      <c r="B7551" s="0" t="s">
        <v>98</v>
      </c>
      <c r="C7551" s="6" t="n">
        <f aca="false">(w_ntm28*Sens!G7534+(1-w_ntm28)*Sens!H7534)*m_sw</f>
        <v>1176.64288015968</v>
      </c>
    </row>
    <row r="7552" customFormat="false" ht="17.15" hidden="false" customHeight="false" outlineLevel="0" collapsed="false">
      <c r="A7552" s="1" t="s">
        <v>1256</v>
      </c>
      <c r="B7552" s="0" t="s">
        <v>98</v>
      </c>
      <c r="C7552" s="6" t="n">
        <f aca="false">(w_ntm28*Sens!G7535+(1-w_ntm28)*Sens!H7535)*m_sw</f>
        <v>372.274679009049</v>
      </c>
    </row>
    <row r="7553" customFormat="false" ht="17.15" hidden="false" customHeight="false" outlineLevel="0" collapsed="false">
      <c r="A7553" s="1" t="s">
        <v>1257</v>
      </c>
      <c r="B7553" s="0" t="s">
        <v>98</v>
      </c>
      <c r="C7553" s="6" t="n">
        <f aca="false">(w_ntm28*Sens!G7536+(1-w_ntm28)*Sens!H7536)*m_sw</f>
        <v>108.738112609306</v>
      </c>
    </row>
    <row r="7554" customFormat="false" ht="17.15" hidden="false" customHeight="false" outlineLevel="0" collapsed="false">
      <c r="A7554" s="1" t="s">
        <v>1258</v>
      </c>
      <c r="B7554" s="0" t="s">
        <v>98</v>
      </c>
      <c r="C7554" s="6" t="n">
        <f aca="false">(w_ntm28*Sens!G7537+(1-w_ntm28)*Sens!H7537)*m_sw</f>
        <v>41.3396343724877</v>
      </c>
    </row>
    <row r="7555" customFormat="false" ht="17.15" hidden="false" customHeight="false" outlineLevel="0" collapsed="false">
      <c r="A7555" s="1" t="s">
        <v>1259</v>
      </c>
      <c r="B7555" s="0" t="s">
        <v>98</v>
      </c>
      <c r="C7555" s="6" t="n">
        <f aca="false">(w_ntm28*Sens!G7538+(1-w_ntm28)*Sens!H7538)*m_ads</f>
        <v>114.622638054089</v>
      </c>
    </row>
    <row r="7556" customFormat="false" ht="17.15" hidden="false" customHeight="false" outlineLevel="0" collapsed="false">
      <c r="A7556" s="1" t="s">
        <v>1260</v>
      </c>
      <c r="B7556" s="0" t="s">
        <v>98</v>
      </c>
      <c r="C7556" s="6" t="n">
        <f aca="false">(w_ntm28*Sens!G7543+(1-w_ntm28)*Sens!H7543)*m_game</f>
        <v>98.2728575341024</v>
      </c>
    </row>
    <row r="7557" customFormat="false" ht="17.15" hidden="false" customHeight="false" outlineLevel="0" collapsed="false">
      <c r="A7557" s="1" t="s">
        <v>1261</v>
      </c>
      <c r="B7557" s="0" t="s">
        <v>98</v>
      </c>
      <c r="C7557" s="6" t="n">
        <f aca="false">(w_ntm28*Sens!G7544+(1-w_ntm28)*Sens!H7544)*m_pc</f>
        <v>91.1073057055148</v>
      </c>
    </row>
    <row r="7558" customFormat="false" ht="17.15" hidden="false" customHeight="false" outlineLevel="0" collapsed="false">
      <c r="A7558" s="1" t="s">
        <v>1262</v>
      </c>
      <c r="B7558" s="0" t="s">
        <v>98</v>
      </c>
      <c r="C7558" s="6" t="n">
        <f aca="false">Sens!$C$7548+Sens!$C$7550+Sens!$C$7551+Sens!$C$7552+Sens!$C$7553+Sens!$C$7554+Sens!$C$7555+Sens!$C$7556+Sens!$C$7557</f>
        <v>3428.16230346285</v>
      </c>
    </row>
    <row r="7559" customFormat="false" ht="17.15" hidden="false" customHeight="false" outlineLevel="0" collapsed="false">
      <c r="A7559" s="1" t="s">
        <v>1263</v>
      </c>
      <c r="B7559" s="0" t="s">
        <v>98</v>
      </c>
      <c r="C7559" s="6" t="n">
        <f aca="false">(Sens!G7520-Sens!G7545)*t_stub</f>
        <v>49.0368652684433</v>
      </c>
      <c r="L7559" s="1" t="s">
        <v>1264</v>
      </c>
    </row>
    <row r="7560" customFormat="false" ht="17.15" hidden="false" customHeight="false" outlineLevel="0" collapsed="false">
      <c r="A7560" s="1" t="s">
        <v>1173</v>
      </c>
      <c r="B7560" s="0" t="s">
        <v>98</v>
      </c>
      <c r="C7560" s="6" t="n">
        <f aca="false">Sens!F7507+oai_v-Sens!F7496+Sens!$C$7559</f>
        <v>163.265135268443</v>
      </c>
      <c r="L7560" s="1" t="s">
        <v>1265</v>
      </c>
    </row>
    <row r="7561" customFormat="false" ht="17.15" hidden="false" customHeight="false" outlineLevel="0" collapsed="false">
      <c r="A7561" s="1" t="s">
        <v>1266</v>
      </c>
      <c r="B7561" s="0" t="s">
        <v>75</v>
      </c>
      <c r="C7561" s="5" t="n">
        <f aca="false">(Sens!$C$7558+Sens!$C$7560)/(Sens!F7509+dil_gap)-Sens!G7499*roll_div_q/q_per_yr</f>
        <v>478.52233950583</v>
      </c>
      <c r="L7561" s="1" t="s">
        <v>1267</v>
      </c>
    </row>
    <row r="7562" customFormat="false" ht="17.15" hidden="false" customHeight="false" outlineLevel="0" collapsed="false">
      <c r="A7562" s="1" t="s">
        <v>1268</v>
      </c>
      <c r="B7562" s="0" t="s">
        <v>75</v>
      </c>
      <c r="C7562" s="5" t="n">
        <f aca="false">w_dcf*Sens!$C$7532+(1-w_dcf)*Sens!$C$7561</f>
        <v>420.846260341157</v>
      </c>
    </row>
    <row r="7563" customFormat="false" ht="17.15" hidden="false" customHeight="false" outlineLevel="0" collapsed="false">
      <c r="A7563" s="3" t="s">
        <v>1800</v>
      </c>
    </row>
    <row r="7564" customFormat="false" ht="15" hidden="false" customHeight="false" outlineLevel="0" collapsed="false">
      <c r="A7564" s="4" t="s">
        <v>43</v>
      </c>
      <c r="B7564" s="4" t="s">
        <v>65</v>
      </c>
      <c r="C7564" s="23" t="s">
        <v>942</v>
      </c>
      <c r="D7564" s="23" t="s">
        <v>943</v>
      </c>
      <c r="E7564" s="23" t="s">
        <v>944</v>
      </c>
      <c r="F7564" s="23" t="s">
        <v>945</v>
      </c>
      <c r="G7564" s="23" t="s">
        <v>946</v>
      </c>
      <c r="H7564" s="23" t="s">
        <v>947</v>
      </c>
      <c r="I7564" s="23" t="s">
        <v>948</v>
      </c>
      <c r="J7564" s="23" t="s">
        <v>949</v>
      </c>
      <c r="K7564" s="23" t="s">
        <v>950</v>
      </c>
      <c r="L7564" s="4" t="s">
        <v>47</v>
      </c>
    </row>
    <row r="7565" customFormat="false" ht="17.15" hidden="false" customHeight="false" outlineLevel="0" collapsed="false">
      <c r="A7565" s="1" t="s">
        <v>951</v>
      </c>
      <c r="B7565" s="1" t="s">
        <v>279</v>
      </c>
      <c r="C7565" s="21" t="n">
        <v>2024</v>
      </c>
      <c r="D7565" s="21" t="n">
        <v>2025</v>
      </c>
      <c r="E7565" s="21" t="n">
        <v>2026</v>
      </c>
      <c r="F7565" s="21" t="n">
        <v>2027</v>
      </c>
      <c r="G7565" s="21" t="n">
        <v>2028</v>
      </c>
      <c r="H7565" s="21" t="n">
        <v>2029</v>
      </c>
      <c r="I7565" s="21" t="n">
        <v>2030</v>
      </c>
      <c r="J7565" s="21" t="n">
        <v>2031</v>
      </c>
      <c r="K7565" s="21" t="n">
        <v>2032</v>
      </c>
    </row>
    <row r="7566" customFormat="false" ht="17.15" hidden="false" customHeight="false" outlineLevel="0" collapsed="false">
      <c r="A7566" s="1" t="s">
        <v>952</v>
      </c>
      <c r="B7566" s="0" t="s">
        <v>459</v>
      </c>
      <c r="F7566" s="30" t="n">
        <f aca="false">pace</f>
        <v>2726.5351</v>
      </c>
      <c r="G7566" s="30" t="n">
        <f aca="false">pace</f>
        <v>2726.5351</v>
      </c>
      <c r="H7566" s="30" t="n">
        <f aca="false">pace</f>
        <v>2726.5351</v>
      </c>
      <c r="I7566" s="30" t="n">
        <f aca="false">pace+(g_tv*Sens!H7567-pace)*MIN(1,(Sens!I7565-pace_y0)/(pace_y1-pace_y0))</f>
        <v>1931.98611966667</v>
      </c>
      <c r="J7566" s="30" t="n">
        <f aca="false">pace+(g_tv*Sens!I7567-pace)*MIN(1,(Sens!J7565-pace_y0)/(pace_y1-pace_y0))</f>
        <v>1176.07686172667</v>
      </c>
      <c r="K7566" s="30" t="n">
        <f aca="false">pace+(g_tv*Sens!J7567-pace)*MIN(1,(Sens!K7565-pace_y0)/(pace_y1-pace_y0))</f>
        <v>436.1300484418</v>
      </c>
      <c r="L7566" s="12" t="s">
        <v>953</v>
      </c>
    </row>
    <row r="7567" customFormat="false" ht="17.15" hidden="false" customHeight="false" outlineLevel="0" collapsed="false">
      <c r="A7567" s="1" t="s">
        <v>954</v>
      </c>
      <c r="B7567" s="0" t="s">
        <v>459</v>
      </c>
      <c r="C7567" s="30" t="n">
        <f aca="false">mw_ext_24</f>
        <v>640</v>
      </c>
      <c r="D7567" s="30" t="n">
        <f aca="false">mw_ext_25</f>
        <v>1630</v>
      </c>
      <c r="E7567" s="30" t="n">
        <f aca="false">mw_ext_26</f>
        <v>3250</v>
      </c>
      <c r="F7567" s="30" t="n">
        <f aca="false">Sens!E7567+Sens!F7566</f>
        <v>5976.5351</v>
      </c>
      <c r="G7567" s="30" t="n">
        <f aca="false">Sens!F7567+Sens!G7566</f>
        <v>8703.0702</v>
      </c>
      <c r="H7567" s="30" t="n">
        <f aca="false">Sens!G7567+Sens!H7566</f>
        <v>11429.6053</v>
      </c>
      <c r="I7567" s="30" t="n">
        <f aca="false">Sens!H7567+Sens!I7566</f>
        <v>13361.5914196667</v>
      </c>
      <c r="J7567" s="30" t="n">
        <f aca="false">Sens!I7567+Sens!J7566</f>
        <v>14537.6682813933</v>
      </c>
      <c r="K7567" s="30" t="n">
        <f aca="false">Sens!J7567+Sens!K7566</f>
        <v>14973.7983298351</v>
      </c>
      <c r="L7567" s="1" t="s">
        <v>955</v>
      </c>
    </row>
    <row r="7568" customFormat="false" ht="17.15" hidden="false" customHeight="false" outlineLevel="0" collapsed="false">
      <c r="A7568" s="1" t="s">
        <v>956</v>
      </c>
      <c r="B7568" s="0" t="s">
        <v>459</v>
      </c>
      <c r="C7568" s="30" t="n">
        <f aca="false">rent_ext_24</f>
        <v>150</v>
      </c>
      <c r="D7568" s="30" t="n">
        <f aca="false">rent_ext_25</f>
        <v>400</v>
      </c>
      <c r="E7568" s="30" t="n">
        <f aca="false">rent_ext_26</f>
        <v>550</v>
      </c>
      <c r="F7568" s="30" t="n">
        <f aca="false">rent_ext_f</f>
        <v>756</v>
      </c>
      <c r="G7568" s="30" t="n">
        <f aca="false">rent_ext_f</f>
        <v>756</v>
      </c>
      <c r="H7568" s="30" t="n">
        <f aca="false">rent_ext_f</f>
        <v>756</v>
      </c>
      <c r="I7568" s="30" t="n">
        <f aca="false">rent_ext_f</f>
        <v>756</v>
      </c>
      <c r="J7568" s="30" t="n">
        <f aca="false">rent_ext_f</f>
        <v>756</v>
      </c>
      <c r="K7568" s="30" t="n">
        <f aca="false">rent_ext_f</f>
        <v>756</v>
      </c>
      <c r="L7568" s="1" t="s">
        <v>957</v>
      </c>
    </row>
    <row r="7569" customFormat="false" ht="17.15" hidden="false" customHeight="false" outlineLevel="0" collapsed="false">
      <c r="A7569" s="1" t="s">
        <v>958</v>
      </c>
      <c r="B7569" s="0" t="s">
        <v>459</v>
      </c>
      <c r="C7569" s="30" t="n">
        <f aca="false">Sens!C7567-Sens!C7568</f>
        <v>490</v>
      </c>
      <c r="D7569" s="30" t="n">
        <f aca="false">Sens!D7567-Sens!D7568</f>
        <v>1230</v>
      </c>
      <c r="E7569" s="30" t="n">
        <f aca="false">Sens!E7567-Sens!E7568</f>
        <v>2700</v>
      </c>
      <c r="F7569" s="30" t="n">
        <f aca="false">Sens!F7567-Sens!F7568</f>
        <v>5220.5351</v>
      </c>
      <c r="G7569" s="30" t="n">
        <f aca="false">Sens!G7567-Sens!G7568</f>
        <v>7947.0702</v>
      </c>
      <c r="H7569" s="30" t="n">
        <f aca="false">Sens!H7567-Sens!H7568</f>
        <v>10673.6053</v>
      </c>
      <c r="I7569" s="30" t="n">
        <f aca="false">Sens!I7567-Sens!I7568</f>
        <v>12605.5914196667</v>
      </c>
      <c r="J7569" s="30" t="n">
        <f aca="false">Sens!J7567-Sens!J7568</f>
        <v>13781.6682813933</v>
      </c>
      <c r="K7569" s="30" t="n">
        <f aca="false">Sens!K7567-Sens!K7568</f>
        <v>14217.7983298351</v>
      </c>
    </row>
    <row r="7570" customFormat="false" ht="17.15" hidden="false" customHeight="false" outlineLevel="0" collapsed="false">
      <c r="A7570" s="1" t="s">
        <v>959</v>
      </c>
      <c r="B7570" s="0" t="s">
        <v>459</v>
      </c>
      <c r="C7570" s="30" t="n">
        <f aca="false">Sens!C7569/ext_sh</f>
        <v>816.666666666667</v>
      </c>
      <c r="D7570" s="30" t="n">
        <f aca="false">Sens!D7569/ext_sh</f>
        <v>2050</v>
      </c>
      <c r="E7570" s="30" t="n">
        <f aca="false">Sens!E7569/ext_sh</f>
        <v>4500</v>
      </c>
      <c r="F7570" s="30" t="n">
        <f aca="false">Sens!F7569/ext_sh</f>
        <v>8700.89183333333</v>
      </c>
      <c r="G7570" s="30" t="n">
        <f aca="false">Sens!G7569/ext_sh</f>
        <v>13245.117</v>
      </c>
      <c r="H7570" s="30" t="n">
        <f aca="false">Sens!H7569/ext_sh</f>
        <v>17789.3421666667</v>
      </c>
      <c r="I7570" s="30" t="n">
        <f aca="false">Sens!I7569/ext_sh</f>
        <v>21009.3190327778</v>
      </c>
      <c r="J7570" s="30" t="n">
        <f aca="false">Sens!J7569/ext_sh</f>
        <v>22969.4471356556</v>
      </c>
      <c r="K7570" s="30" t="n">
        <f aca="false">Sens!K7569/ext_sh</f>
        <v>23696.3305497252</v>
      </c>
      <c r="L7570" s="1" t="s">
        <v>960</v>
      </c>
    </row>
    <row r="7571" customFormat="false" ht="17.15" hidden="false" customHeight="false" outlineLevel="0" collapsed="false">
      <c r="A7571" s="1" t="s">
        <v>961</v>
      </c>
      <c r="B7571" s="0" t="s">
        <v>459</v>
      </c>
      <c r="C7571" s="30" t="n">
        <f aca="false">Sens!C7570-Sens!C7569</f>
        <v>326.666666666667</v>
      </c>
      <c r="D7571" s="30" t="n">
        <f aca="false">Sens!D7570-Sens!D7569</f>
        <v>820</v>
      </c>
      <c r="E7571" s="30" t="n">
        <f aca="false">Sens!E7570-Sens!E7569</f>
        <v>1800</v>
      </c>
      <c r="F7571" s="30" t="n">
        <f aca="false">Sens!F7570-Sens!F7569</f>
        <v>3480.35673333333</v>
      </c>
      <c r="G7571" s="30" t="n">
        <f aca="false">Sens!G7570-Sens!G7569</f>
        <v>5298.0468</v>
      </c>
      <c r="H7571" s="30" t="n">
        <f aca="false">Sens!H7570-Sens!H7569</f>
        <v>7115.73686666667</v>
      </c>
      <c r="I7571" s="30" t="n">
        <f aca="false">Sens!I7570-Sens!I7569</f>
        <v>8403.72761311111</v>
      </c>
      <c r="J7571" s="30" t="n">
        <f aca="false">Sens!J7570-Sens!J7569</f>
        <v>9187.77885426222</v>
      </c>
      <c r="K7571" s="30" t="n">
        <f aca="false">Sens!K7570-Sens!K7569</f>
        <v>9478.53221989009</v>
      </c>
    </row>
    <row r="7572" customFormat="false" ht="17.15" hidden="false" customHeight="false" outlineLevel="0" collapsed="false">
      <c r="A7572" s="1" t="s">
        <v>962</v>
      </c>
      <c r="B7572" s="0" t="s">
        <v>459</v>
      </c>
      <c r="C7572" s="30" t="n">
        <f aca="false">Sens!C7570</f>
        <v>816.666666666667</v>
      </c>
      <c r="D7572" s="30" t="n">
        <f aca="false">Sens!D7570-Sens!C7570</f>
        <v>1233.33333333333</v>
      </c>
      <c r="E7572" s="30" t="n">
        <f aca="false">Sens!E7570-Sens!D7570</f>
        <v>2450</v>
      </c>
      <c r="F7572" s="30" t="n">
        <f aca="false">Sens!F7570-Sens!E7570</f>
        <v>4200.89183333333</v>
      </c>
      <c r="G7572" s="30" t="n">
        <f aca="false">Sens!G7570-Sens!F7570</f>
        <v>4544.22516666667</v>
      </c>
      <c r="H7572" s="30" t="n">
        <f aca="false">Sens!H7570-Sens!G7570</f>
        <v>4544.22516666667</v>
      </c>
      <c r="I7572" s="30" t="n">
        <f aca="false">Sens!I7570-Sens!H7570</f>
        <v>3219.97686611111</v>
      </c>
      <c r="J7572" s="30" t="n">
        <f aca="false">Sens!J7570-Sens!I7570</f>
        <v>1960.12810287778</v>
      </c>
      <c r="K7572" s="30" t="n">
        <f aca="false">Sens!K7570-Sens!J7570</f>
        <v>726.883414069667</v>
      </c>
    </row>
    <row r="7573" customFormat="false" ht="17.15" hidden="false" customHeight="false" outlineLevel="0" collapsed="false">
      <c r="A7573" s="1" t="s">
        <v>963</v>
      </c>
      <c r="B7573" s="0" t="s">
        <v>459</v>
      </c>
      <c r="D7573" s="30" t="n">
        <f aca="false">Sens!D7567-Sens!C7567</f>
        <v>990</v>
      </c>
      <c r="E7573" s="30" t="n">
        <f aca="false">Sens!E7567-Sens!D7567</f>
        <v>1620</v>
      </c>
      <c r="F7573" s="30" t="n">
        <f aca="false">Sens!F7567-Sens!E7567</f>
        <v>2726.5351</v>
      </c>
      <c r="G7573" s="30" t="n">
        <f aca="false">Sens!G7567-Sens!F7567</f>
        <v>2726.5351</v>
      </c>
      <c r="H7573" s="30" t="n">
        <f aca="false">Sens!H7567-Sens!G7567</f>
        <v>2726.5351</v>
      </c>
      <c r="I7573" s="30" t="n">
        <f aca="false">Sens!I7567-Sens!H7567</f>
        <v>1931.98611966667</v>
      </c>
      <c r="J7573" s="30" t="n">
        <f aca="false">Sens!J7567-Sens!I7567</f>
        <v>1176.07686172667</v>
      </c>
      <c r="K7573" s="30" t="n">
        <f aca="false">Sens!K7567-Sens!J7567</f>
        <v>436.130048441799</v>
      </c>
    </row>
    <row r="7574" customFormat="false" ht="17.15" hidden="false" customHeight="false" outlineLevel="0" collapsed="false">
      <c r="A7574" s="1" t="s">
        <v>964</v>
      </c>
      <c r="B7574" s="0" t="s">
        <v>459</v>
      </c>
      <c r="F7574" s="30" t="n">
        <f aca="false">Sens!F7593*ext_sh</f>
        <v>0</v>
      </c>
      <c r="G7574" s="30" t="n">
        <f aca="false">Sens!G7593*ext_sh</f>
        <v>0</v>
      </c>
      <c r="H7574" s="30" t="n">
        <f aca="false">Sens!H7593*ext_sh</f>
        <v>0</v>
      </c>
      <c r="I7574" s="30" t="n">
        <f aca="false">Sens!I7593*ext_sh</f>
        <v>490</v>
      </c>
      <c r="J7574" s="30" t="n">
        <f aca="false">Sens!J7593*ext_sh</f>
        <v>740</v>
      </c>
      <c r="K7574" s="30" t="n">
        <f aca="false">Sens!K7593*ext_sh</f>
        <v>1470</v>
      </c>
      <c r="L7574" s="1" t="s">
        <v>965</v>
      </c>
    </row>
    <row r="7575" customFormat="false" ht="17.15" hidden="false" customHeight="false" outlineLevel="0" collapsed="false">
      <c r="A7575" s="1" t="s">
        <v>966</v>
      </c>
      <c r="B7575" s="0" t="s">
        <v>459</v>
      </c>
      <c r="C7575" s="30" t="n">
        <f aca="false">mix_h*Sens!C7567</f>
        <v>128</v>
      </c>
      <c r="D7575" s="30" t="n">
        <f aca="false">mix_h*Sens!D7567</f>
        <v>326</v>
      </c>
      <c r="E7575" s="30" t="n">
        <f aca="false">mix_h*Sens!E7567</f>
        <v>650</v>
      </c>
      <c r="F7575" s="30" t="n">
        <f aca="false">Sens!E7575-Sens!F7574*mix_h</f>
        <v>650</v>
      </c>
      <c r="G7575" s="30" t="n">
        <f aca="false">Sens!F7575-Sens!G7574*mix_h</f>
        <v>650</v>
      </c>
      <c r="H7575" s="30" t="n">
        <f aca="false">Sens!G7575-Sens!H7574*mix_h</f>
        <v>650</v>
      </c>
      <c r="I7575" s="30" t="n">
        <f aca="false">Sens!H7575-Sens!I7574*mix_h</f>
        <v>552</v>
      </c>
      <c r="J7575" s="30" t="n">
        <f aca="false">Sens!I7575-Sens!J7574*mix_h</f>
        <v>404</v>
      </c>
      <c r="K7575" s="30" t="n">
        <f aca="false">Sens!J7575-Sens!K7574*mix_h</f>
        <v>110</v>
      </c>
    </row>
    <row r="7576" customFormat="false" ht="17.15" hidden="false" customHeight="false" outlineLevel="0" collapsed="false">
      <c r="A7576" s="1" t="s">
        <v>967</v>
      </c>
      <c r="B7576" s="0" t="s">
        <v>459</v>
      </c>
      <c r="C7576" s="30" t="n">
        <f aca="false">mix_g2*Sens!C7567</f>
        <v>288</v>
      </c>
      <c r="D7576" s="30" t="n">
        <f aca="false">mix_g2*Sens!D7567</f>
        <v>733.5</v>
      </c>
      <c r="E7576" s="30" t="n">
        <f aca="false">mix_g2*Sens!E7567</f>
        <v>1462.5</v>
      </c>
      <c r="F7576" s="30" t="n">
        <f aca="false">Sens!E7576-Sens!F7574*mix_g2</f>
        <v>1462.5</v>
      </c>
      <c r="G7576" s="30" t="n">
        <f aca="false">Sens!F7576-Sens!G7574*mix_g2</f>
        <v>1462.5</v>
      </c>
      <c r="H7576" s="30" t="n">
        <f aca="false">Sens!G7576-Sens!H7574*mix_g2</f>
        <v>1462.5</v>
      </c>
      <c r="I7576" s="30" t="n">
        <f aca="false">Sens!H7576-Sens!I7574*mix_g2</f>
        <v>1242</v>
      </c>
      <c r="J7576" s="30" t="n">
        <f aca="false">Sens!I7576-Sens!J7574*mix_g2</f>
        <v>909</v>
      </c>
      <c r="K7576" s="30" t="n">
        <f aca="false">Sens!J7576-Sens!K7574*mix_g2</f>
        <v>247.5</v>
      </c>
    </row>
    <row r="7577" customFormat="false" ht="17.15" hidden="false" customHeight="false" outlineLevel="0" collapsed="false">
      <c r="A7577" s="1" t="s">
        <v>968</v>
      </c>
      <c r="B7577" s="0" t="s">
        <v>459</v>
      </c>
      <c r="C7577" s="30" t="n">
        <f aca="false">mix_g3*Sens!C7567</f>
        <v>224</v>
      </c>
      <c r="D7577" s="30" t="n">
        <f aca="false">mix_g3*Sens!D7567</f>
        <v>570.5</v>
      </c>
      <c r="E7577" s="30" t="n">
        <f aca="false">mix_g3*Sens!E7567</f>
        <v>1137.5</v>
      </c>
      <c r="F7577" s="30" t="n">
        <f aca="false">Sens!E7577+(Sens!F7573+Sens!F7574)*(a_g3_27-nonnv*a_mai)-Sens!F7574*mix_g3</f>
        <v>2773.42106</v>
      </c>
      <c r="G7577" s="30" t="n">
        <f aca="false">Sens!F7577+(Sens!G7573+Sens!G7574)*(a_g3_28-nonnv*a_mai)-Sens!G7574*mix_g3</f>
        <v>3318.72808</v>
      </c>
      <c r="H7577" s="30" t="n">
        <f aca="false">Sens!G7577+(Sens!H7573+Sens!H7574)*(a_g3_29-nonnv*a_mai)-Sens!H7574*mix_g3</f>
        <v>3318.72808</v>
      </c>
      <c r="I7577" s="30" t="n">
        <f aca="false">Sens!H7577+(Sens!I7573+Sens!I7574)*(a_g3_29-nonnv*a_mai)-Sens!I7574*mix_g3</f>
        <v>3147.22808</v>
      </c>
      <c r="J7577" s="30" t="n">
        <f aca="false">Sens!I7577+(Sens!J7573+Sens!J7574)*(a_g3_29-nonnv*a_mai)-Sens!J7574*mix_g3</f>
        <v>2888.22808</v>
      </c>
      <c r="K7577" s="30" t="n">
        <f aca="false">Sens!J7577+(Sens!K7573+Sens!K7574)*(a_g3_29-nonnv*a_mai)-Sens!K7574*mix_g3</f>
        <v>2373.72808</v>
      </c>
    </row>
    <row r="7578" customFormat="false" ht="17.15" hidden="false" customHeight="false" outlineLevel="0" collapsed="false">
      <c r="A7578" s="1" t="s">
        <v>969</v>
      </c>
      <c r="B7578" s="0" t="s">
        <v>459</v>
      </c>
      <c r="C7578" s="30" t="n">
        <v>0</v>
      </c>
      <c r="D7578" s="30" t="n">
        <v>0</v>
      </c>
      <c r="E7578" s="30" t="n">
        <v>0</v>
      </c>
      <c r="F7578" s="30" t="n">
        <f aca="false">Sens!E7578+(Sens!F7573+Sens!F7574)*nonnv*a_mai</f>
        <v>272.65351</v>
      </c>
      <c r="G7578" s="30" t="n">
        <f aca="false">Sens!F7578+(Sens!G7573+Sens!G7574)*nonnv*a_mai</f>
        <v>545.30702</v>
      </c>
      <c r="H7578" s="30" t="n">
        <f aca="false">Sens!G7578+(Sens!H7573+Sens!H7574)*nonnv*a_mai</f>
        <v>817.96053</v>
      </c>
      <c r="I7578" s="30" t="n">
        <f aca="false">Sens!H7578+(Sens!I7573+Sens!I7574)*nonnv*a_mai</f>
        <v>1060.15914196667</v>
      </c>
      <c r="J7578" s="30" t="n">
        <f aca="false">Sens!I7578+(Sens!J7573+Sens!J7574)*nonnv*a_mai</f>
        <v>1251.76682813933</v>
      </c>
      <c r="K7578" s="30" t="n">
        <f aca="false">Sens!J7578+(Sens!K7573+Sens!K7574)*nonnv*a_mai</f>
        <v>1442.37983298351</v>
      </c>
      <c r="L7578" s="12" t="s">
        <v>970</v>
      </c>
    </row>
    <row r="7579" customFormat="false" ht="17.15" hidden="false" customHeight="false" outlineLevel="0" collapsed="false">
      <c r="A7579" s="1" t="s">
        <v>971</v>
      </c>
      <c r="B7579" s="0" t="s">
        <v>459</v>
      </c>
      <c r="C7579" s="30" t="n">
        <v>0</v>
      </c>
      <c r="D7579" s="30" t="n">
        <v>0</v>
      </c>
      <c r="E7579" s="30" t="n">
        <v>0</v>
      </c>
      <c r="F7579" s="30" t="n">
        <f aca="false">Sens!E7579+(Sens!F7573+Sens!F7574)*(1-a_g3_27)</f>
        <v>817.96053</v>
      </c>
      <c r="G7579" s="30" t="n">
        <f aca="false">Sens!F7579+(Sens!G7573+Sens!G7574)*(1-a_g3_28)</f>
        <v>2726.5351</v>
      </c>
      <c r="H7579" s="30" t="n">
        <f aca="false">Sens!G7579+(Sens!H7573+Sens!H7574)*(1-a_g3_29)</f>
        <v>5180.41669</v>
      </c>
      <c r="I7579" s="30" t="n">
        <f aca="false">Sens!H7579+(Sens!I7573+Sens!I7574)*(1-a_g3_29)</f>
        <v>7360.2041977</v>
      </c>
      <c r="J7579" s="30" t="n">
        <f aca="false">Sens!I7579+(Sens!J7573+Sens!J7574)*(1-a_g3_29)</f>
        <v>9084.673373254</v>
      </c>
      <c r="K7579" s="30" t="n">
        <f aca="false">Sens!J7579+(Sens!K7573+Sens!K7574)*(1-a_g3_29)</f>
        <v>10800.1904168516</v>
      </c>
    </row>
    <row r="7580" customFormat="false" ht="17.15" hidden="false" customHeight="false" outlineLevel="0" collapsed="false">
      <c r="A7580" s="1" t="s">
        <v>972</v>
      </c>
      <c r="B7580" s="0" t="s">
        <v>403</v>
      </c>
      <c r="C7580" s="15" t="n">
        <f aca="false">(Sens!C7575*tk_hold_h100+Sens!C7576*tk_hold_gb200+Sens!C7577*tk_hold_gb300+Sens!C7579*tk_hold_vr200+Sens!C7578*nv_hold_mai*tk_hold_vr200)/Sens!C7567</f>
        <v>9.7235358126469</v>
      </c>
      <c r="D7580" s="15" t="n">
        <f aca="false">(Sens!D7575*tk_hold_h100+Sens!D7576*tk_hold_gb200+Sens!D7577*tk_hold_gb300+Sens!D7579*tk_hold_vr200+Sens!D7578*nv_hold_mai*tk_hold_vr200)/Sens!D7567</f>
        <v>9.7235358126469</v>
      </c>
      <c r="E7580" s="15" t="n">
        <f aca="false">(Sens!E7575*tk_hold_h100+Sens!E7576*tk_hold_gb200+Sens!E7577*tk_hold_gb300+Sens!E7579*tk_hold_vr200+Sens!E7578*nv_hold_mai*tk_hold_vr200)/Sens!E7567</f>
        <v>9.7235358126469</v>
      </c>
      <c r="F7580" s="15" t="n">
        <f aca="false">(Sens!F7575*tk_hold_h100+Sens!F7576*tk_hold_gb200+Sens!F7577*tk_hold_gb300+Sens!F7579*tk_hold_vr200+Sens!F7578*nv_hold_mai*tk_hold_vr200)/Sens!F7567</f>
        <v>10.2195353876665</v>
      </c>
      <c r="G7580" s="15" t="n">
        <f aca="false">(Sens!G7575*tk_hold_h100+Sens!G7576*tk_hold_gb200+Sens!G7577*tk_hold_gb300+Sens!G7579*tk_hold_vr200+Sens!G7578*nv_hold_mai*tk_hold_vr200)/Sens!G7567</f>
        <v>10.5725598017306</v>
      </c>
      <c r="H7580" s="15" t="n">
        <f aca="false">(Sens!H7575*tk_hold_h100+Sens!H7576*tk_hold_gb200+Sens!H7577*tk_hold_gb300+Sens!H7579*tk_hold_vr200+Sens!H7578*nv_hold_mai*tk_hold_vr200)/Sens!H7567</f>
        <v>10.8210427149036</v>
      </c>
      <c r="I7580" s="15" t="n">
        <f aca="false">(Sens!I7575*tk_hold_h100+Sens!I7576*tk_hold_gb200+Sens!I7577*tk_hold_gb300+Sens!I7579*tk_hold_vr200+Sens!I7578*nv_hold_mai*tk_hold_vr200)/Sens!I7567</f>
        <v>11.0050618241982</v>
      </c>
      <c r="J7580" s="15" t="n">
        <f aca="false">(Sens!J7575*tk_hold_h100+Sens!J7576*tk_hold_gb200+Sens!J7577*tk_hold_gb300+Sens!J7579*tk_hold_vr200+Sens!J7578*nv_hold_mai*tk_hold_vr200)/Sens!J7567</f>
        <v>11.1505789658881</v>
      </c>
      <c r="K7580" s="15" t="n">
        <f aca="false">(Sens!K7575*tk_hold_h100+Sens!K7576*tk_hold_gb200+Sens!K7577*tk_hold_gb300+Sens!K7579*tk_hold_vr200+Sens!K7578*nv_hold_mai*tk_hold_vr200)/Sens!K7567</f>
        <v>11.3496914757183</v>
      </c>
      <c r="L7580" s="1" t="s">
        <v>973</v>
      </c>
    </row>
    <row r="7581" customFormat="false" ht="17.15" hidden="false" customHeight="false" outlineLevel="0" collapsed="false">
      <c r="A7581" s="1" t="s">
        <v>974</v>
      </c>
      <c r="B7581" s="0" t="s">
        <v>403</v>
      </c>
      <c r="C7581" s="15" t="n">
        <f aca="false">(Sens!C7575*tk_hold_h100+Sens!C7576*tk_hold_gb200+Sens!C7577*tk_hold_gb300+Sens!C7579*tk_hold_vr200+Sens!C7578*nv_out_mai*tk_hold_vr200)/Sens!C7567</f>
        <v>9.7235358126469</v>
      </c>
      <c r="D7581" s="15" t="n">
        <f aca="false">(Sens!D7575*tk_hold_h100+Sens!D7576*tk_hold_gb200+Sens!D7577*tk_hold_gb300+Sens!D7579*tk_hold_vr200+Sens!D7578*nv_out_mai*tk_hold_vr200)/Sens!D7567</f>
        <v>9.7235358126469</v>
      </c>
      <c r="E7581" s="15" t="n">
        <f aca="false">(Sens!E7575*tk_hold_h100+Sens!E7576*tk_hold_gb200+Sens!E7577*tk_hold_gb300+Sens!E7579*tk_hold_vr200+Sens!E7578*nv_out_mai*tk_hold_vr200)/Sens!E7567</f>
        <v>9.7235358126469</v>
      </c>
      <c r="F7581" s="15" t="n">
        <f aca="false">(Sens!F7575*tk_hold_h100+Sens!F7576*tk_hold_gb200+Sens!F7577*tk_hold_gb300+Sens!F7579*tk_hold_vr200+Sens!F7578*nv_out_mai*tk_hold_vr200)/Sens!F7567</f>
        <v>10.247422093969</v>
      </c>
      <c r="G7581" s="15" t="n">
        <f aca="false">(Sens!G7575*tk_hold_h100+Sens!G7576*tk_hold_gb200+Sens!G7577*tk_hold_gb300+Sens!G7579*tk_hold_vr200+Sens!G7578*nv_out_mai*tk_hold_vr200)/Sens!G7567</f>
        <v>10.6108602808053</v>
      </c>
      <c r="H7581" s="15" t="n">
        <f aca="false">(Sens!H7575*tk_hold_h100+Sens!H7576*tk_hold_gb200+Sens!H7577*tk_hold_gb300+Sens!H7579*tk_hold_vr200+Sens!H7578*nv_out_mai*tk_hold_vr200)/Sens!H7567</f>
        <v>10.8647885507393</v>
      </c>
      <c r="I7581" s="15" t="n">
        <f aca="false">(Sens!I7575*tk_hold_h100+Sens!I7576*tk_hold_gb200+Sens!I7577*tk_hold_gb300+Sens!I7579*tk_hold_vr200+Sens!I7578*nv_out_mai*tk_hold_vr200)/Sens!I7567</f>
        <v>11.0535625770025</v>
      </c>
      <c r="J7581" s="15" t="n">
        <f aca="false">(Sens!J7575*tk_hold_h100+Sens!J7576*tk_hold_gb200+Sens!J7577*tk_hold_gb300+Sens!J7579*tk_hold_vr200+Sens!J7578*nv_out_mai*tk_hold_vr200)/Sens!J7567</f>
        <v>11.2032127128058</v>
      </c>
      <c r="K7581" s="15" t="n">
        <f aca="false">(Sens!K7575*tk_hold_h100+Sens!K7576*tk_hold_gb200+Sens!K7577*tk_hold_gb300+Sens!K7579*tk_hold_vr200+Sens!K7578*nv_out_mai*tk_hold_vr200)/Sens!K7567</f>
        <v>11.4085735724225</v>
      </c>
      <c r="L7581" s="12" t="s">
        <v>975</v>
      </c>
    </row>
    <row r="7582" customFormat="false" ht="17.15" hidden="false" customHeight="false" outlineLevel="0" collapsed="false">
      <c r="A7582" s="0" t="s">
        <v>976</v>
      </c>
      <c r="B7582" s="0" t="s">
        <v>229</v>
      </c>
      <c r="C7582" s="15" t="n">
        <f aca="false">k_B</f>
        <v>1.17213932619116</v>
      </c>
      <c r="D7582" s="15" t="n">
        <f aca="false">k_B</f>
        <v>1.17213932619116</v>
      </c>
      <c r="E7582" s="15" t="n">
        <f aca="false">k_B</f>
        <v>1.17213932619116</v>
      </c>
      <c r="F7582" s="15" t="n">
        <f aca="false">(k_B+((ls_B*k_long+(1-ls_B)*k_spot)-k_B)*MIN(1,(Sens!F7565-base_fy)/k_ramp))</f>
        <v>1.17213932619116</v>
      </c>
      <c r="G7582" s="15" t="n">
        <f aca="false">(k_B+((ls_B*k_long+(1-ls_B)*k_spot)-k_B)*MIN(1,(Sens!G7565-base_fy)/k_ramp))</f>
        <v>1.17213932619116</v>
      </c>
      <c r="H7582" s="15" t="n">
        <f aca="false">(k_B+((ls_B*k_long+(1-ls_B)*k_spot)-k_B)*MIN(1,(Sens!H7565-base_fy)/k_ramp))</f>
        <v>1.17213932619116</v>
      </c>
      <c r="I7582" s="15" t="n">
        <f aca="false">(k_B+((ls_B*k_long+(1-ls_B)*k_spot)-k_B)*MIN(1,(Sens!I7565-base_fy)/k_ramp))</f>
        <v>1.17213932619116</v>
      </c>
      <c r="J7582" s="15" t="n">
        <f aca="false">(k_B+((ls_B*k_long+(1-ls_B)*k_spot)-k_B)*MIN(1,(Sens!J7565-base_fy)/k_ramp))</f>
        <v>1.17213932619116</v>
      </c>
      <c r="K7582" s="15" t="n">
        <f aca="false">(k_B+((ls_B*k_long+(1-ls_B)*k_spot)-k_B)*MIN(1,(Sens!K7565-base_fy)/k_ramp))</f>
        <v>1.17213932619116</v>
      </c>
      <c r="L7582" s="1" t="s">
        <v>977</v>
      </c>
    </row>
    <row r="7583" customFormat="false" ht="17.15" hidden="false" customHeight="false" outlineLevel="0" collapsed="false">
      <c r="A7583" s="1" t="s">
        <v>978</v>
      </c>
      <c r="B7583" s="0" t="s">
        <v>403</v>
      </c>
      <c r="C7583" s="15" t="n">
        <f aca="false">Sens!C7581*Sens!C7582*chip_f</f>
        <v>11.3973387156315</v>
      </c>
      <c r="D7583" s="15" t="n">
        <f aca="false">Sens!D7581*Sens!D7582*chip_f</f>
        <v>11.3973387156315</v>
      </c>
      <c r="E7583" s="15" t="n">
        <f aca="false">Sens!E7581*Sens!E7582*chip_f</f>
        <v>11.3973387156315</v>
      </c>
      <c r="F7583" s="15" t="n">
        <f aca="false">Sens!F7581*Sens!F7582*chip_f</f>
        <v>12.0114064284211</v>
      </c>
      <c r="G7583" s="15" t="n">
        <f aca="false">Sens!G7581*Sens!G7582*chip_f</f>
        <v>12.4374066198516</v>
      </c>
      <c r="H7583" s="15" t="n">
        <f aca="false">Sens!H7581*Sens!H7582*chip_f</f>
        <v>12.735045931073</v>
      </c>
      <c r="I7583" s="15" t="n">
        <f aca="false">Sens!I7581*Sens!I7582*chip_f</f>
        <v>12.9563153910195</v>
      </c>
      <c r="J7583" s="15" t="n">
        <f aca="false">Sens!J7581*Sens!J7582*chip_f</f>
        <v>13.1317262003643</v>
      </c>
      <c r="K7583" s="15" t="n">
        <f aca="false">Sens!K7581*Sens!K7582*chip_f</f>
        <v>13.3724377399815</v>
      </c>
      <c r="L7583" s="1" t="s">
        <v>979</v>
      </c>
    </row>
    <row r="7584" customFormat="false" ht="17.15" hidden="false" customHeight="false" outlineLevel="0" collapsed="false">
      <c r="A7584" s="0" t="s">
        <v>980</v>
      </c>
      <c r="B7584" s="0" t="s">
        <v>98</v>
      </c>
      <c r="D7584" s="6" t="n">
        <f aca="false">(Sens!C7567+Sens!D7567)/2*Sens!D7583/1000</f>
        <v>12.9359794422418</v>
      </c>
      <c r="E7584" s="6" t="n">
        <f aca="false">(Sens!D7567+Sens!E7567)/2*Sens!E7583/1000</f>
        <v>27.8095064661409</v>
      </c>
      <c r="F7584" s="6" t="n">
        <f aca="false">(Sens!E7567+Sens!F7567)/2*Sens!F7583/1000</f>
        <v>55.4118315060966</v>
      </c>
      <c r="G7584" s="6" t="n">
        <f aca="false">(Sens!F7567+Sens!G7567)/2*Sens!G7583/1000</f>
        <v>91.2881100675143</v>
      </c>
      <c r="H7584" s="6" t="n">
        <f aca="false">(Sens!G7567+Sens!H7567)/2*Sens!H7583/1000</f>
        <v>128.195273603944</v>
      </c>
      <c r="I7584" s="6" t="n">
        <f aca="false">(Sens!H7567+Sens!I7567)/2*Sens!I7583/1000</f>
        <v>160.601281810405</v>
      </c>
      <c r="J7584" s="6" t="n">
        <f aca="false">(Sens!I7567+Sens!J7567)/2*Sens!J7583/1000</f>
        <v>183.182719793589</v>
      </c>
      <c r="K7584" s="6" t="n">
        <f aca="false">(Sens!J7567+Sens!K7567)/2*Sens!K7583/1000</f>
        <v>197.320124937098</v>
      </c>
      <c r="L7584" s="12" t="s">
        <v>981</v>
      </c>
    </row>
    <row r="7585" customFormat="false" ht="17.15" hidden="false" customHeight="false" outlineLevel="0" collapsed="false">
      <c r="A7585" s="1" t="s">
        <v>982</v>
      </c>
      <c r="B7585" s="0" t="s">
        <v>403</v>
      </c>
      <c r="C7585" s="15" t="n">
        <f aca="false">(Sens!C7575*tk_opex_h100+Sens!C7576*tk_opex_gb200+Sens!C7577*tk_opex_gb300+(Sens!C7579+Sens!C7578)*tk_opex_vr200)/Sens!C7567</f>
        <v>1.88636041306092</v>
      </c>
      <c r="D7585" s="15" t="n">
        <f aca="false">(Sens!D7575*tk_opex_h100+Sens!D7576*tk_opex_gb200+Sens!D7577*tk_opex_gb300+(Sens!D7579+Sens!D7578)*tk_opex_vr200)/Sens!D7567</f>
        <v>1.88636041306092</v>
      </c>
      <c r="E7585" s="15" t="n">
        <f aca="false">(Sens!E7575*tk_opex_h100+Sens!E7576*tk_opex_gb200+Sens!E7577*tk_opex_gb300+(Sens!E7579+Sens!E7578)*tk_opex_vr200)/Sens!E7567</f>
        <v>1.88636041306092</v>
      </c>
      <c r="F7585" s="15" t="n">
        <f aca="false">(Sens!F7575*tk_opex_h100+Sens!F7576*tk_opex_gb200+Sens!F7577*tk_opex_gb300+(Sens!F7579+Sens!F7578)*tk_opex_vr200)/Sens!F7567</f>
        <v>1.95051159746876</v>
      </c>
      <c r="G7585" s="15" t="n">
        <f aca="false">(Sens!G7575*tk_opex_h100+Sens!G7576*tk_opex_gb200+Sens!G7577*tk_opex_gb300+(Sens!G7579+Sens!G7578)*tk_opex_vr200)/Sens!G7567</f>
        <v>1.98836003669956</v>
      </c>
      <c r="H7585" s="15" t="n">
        <f aca="false">(Sens!H7575*tk_opex_h100+Sens!H7576*tk_opex_gb200+Sens!H7577*tk_opex_gb300+(Sens!H7579+Sens!H7578)*tk_opex_vr200)/Sens!H7567</f>
        <v>2.01344013834343</v>
      </c>
      <c r="I7585" s="15" t="n">
        <f aca="false">(Sens!I7575*tk_opex_h100+Sens!I7576*tk_opex_gb200+Sens!I7577*tk_opex_gb300+(Sens!I7579+Sens!I7578)*tk_opex_vr200)/Sens!I7567</f>
        <v>2.03261166882178</v>
      </c>
      <c r="J7585" s="15" t="n">
        <f aca="false">(Sens!J7575*tk_opex_h100+Sens!J7576*tk_opex_gb200+Sens!J7577*tk_opex_gb300+(Sens!J7579+Sens!J7578)*tk_opex_vr200)/Sens!J7567</f>
        <v>2.04808073288745</v>
      </c>
      <c r="K7585" s="15" t="n">
        <f aca="false">(Sens!K7575*tk_opex_h100+Sens!K7576*tk_opex_gb200+Sens!K7577*tk_opex_gb300+(Sens!K7579+Sens!K7578)*tk_opex_vr200)/Sens!K7567</f>
        <v>2.06973825807449</v>
      </c>
      <c r="L7585" s="12" t="s">
        <v>983</v>
      </c>
    </row>
    <row r="7586" customFormat="false" ht="17.15" hidden="false" customHeight="false" outlineLevel="0" collapsed="false">
      <c r="A7586" s="0" t="s">
        <v>984</v>
      </c>
      <c r="B7586" s="0" t="s">
        <v>98</v>
      </c>
      <c r="D7586" s="6" t="n">
        <f aca="false">(Sens!C7570+Sens!D7570)/2*Sens!D7585/1000</f>
        <v>2.70378325872065</v>
      </c>
      <c r="E7586" s="6" t="n">
        <f aca="false">(Sens!D7570+Sens!E7570)/2*Sens!E7585/1000</f>
        <v>6.17783035277451</v>
      </c>
      <c r="F7586" s="6" t="n">
        <f aca="false">(Sens!E7570+Sens!F7570)/2*Sens!F7585/1000</f>
        <v>12.8742463089237</v>
      </c>
      <c r="G7586" s="6" t="n">
        <f aca="false">(Sens!F7570+Sens!G7570)/2*Sens!G7585/1000</f>
        <v>21.8182834646277</v>
      </c>
      <c r="H7586" s="6" t="n">
        <f aca="false">(Sens!G7570+Sens!H7570)/2*Sens!H7585/1000</f>
        <v>31.2430128789734</v>
      </c>
      <c r="I7586" s="6" t="n">
        <f aca="false">(Sens!H7570+Sens!I7570)/2*Sens!I7585/1000</f>
        <v>39.4313057443268</v>
      </c>
      <c r="J7586" s="6" t="n">
        <f aca="false">(Sens!I7570+Sens!J7570)/2*Sens!J7585/1000</f>
        <v>45.0360318228653</v>
      </c>
      <c r="K7586" s="6" t="n">
        <f aca="false">(Sens!J7570+Sens!K7570)/2*Sens!K7585/1000</f>
        <v>48.2929727091156</v>
      </c>
    </row>
    <row r="7587" customFormat="false" ht="17.15" hidden="false" customHeight="false" outlineLevel="0" collapsed="false">
      <c r="A7587" s="0" t="s">
        <v>985</v>
      </c>
      <c r="B7587" s="0" t="s">
        <v>98</v>
      </c>
      <c r="D7587" s="6" t="n">
        <f aca="false">(Sens!C7568+Sens!D7568)/2*rent_mw/1000</f>
        <v>2.44475</v>
      </c>
      <c r="E7587" s="6" t="n">
        <f aca="false">(Sens!D7568+Sens!E7568)/2*rent_mw/1000</f>
        <v>4.22275</v>
      </c>
      <c r="F7587" s="6" t="n">
        <f aca="false">(Sens!E7568+Sens!F7568)/2*rent_mw/1000</f>
        <v>5.80517</v>
      </c>
      <c r="G7587" s="6" t="n">
        <f aca="false">(Sens!F7568+Sens!G7568)/2*rent_mw/1000</f>
        <v>6.72084</v>
      </c>
      <c r="H7587" s="6" t="n">
        <f aca="false">(Sens!G7568+Sens!H7568)/2*rent_mw/1000</f>
        <v>6.72084</v>
      </c>
      <c r="I7587" s="6" t="n">
        <f aca="false">(Sens!H7568+Sens!I7568)/2*rent_mw/1000</f>
        <v>6.72084</v>
      </c>
      <c r="J7587" s="6" t="n">
        <f aca="false">(Sens!I7568+Sens!J7568)/2*rent_mw/1000</f>
        <v>6.72084</v>
      </c>
      <c r="K7587" s="6" t="n">
        <f aca="false">(Sens!J7568+Sens!K7568)/2*rent_mw/1000</f>
        <v>6.72084</v>
      </c>
    </row>
    <row r="7588" customFormat="false" ht="17.15" hidden="false" customHeight="false" outlineLevel="0" collapsed="false">
      <c r="A7588" s="0" t="s">
        <v>986</v>
      </c>
      <c r="B7588" s="0" t="s">
        <v>98</v>
      </c>
      <c r="D7588" s="6" t="n">
        <f aca="false">(Sens!C7570+Sens!D7570)/2*(1-self_build)*fac_rent/1000</f>
        <v>0.853242375631075</v>
      </c>
      <c r="E7588" s="6" t="n">
        <f aca="false">(Sens!D7570+Sens!E7570)/2*(1-self_build)*fac_rent/1000</f>
        <v>1.94955961408728</v>
      </c>
      <c r="F7588" s="6" t="n">
        <f aca="false">(Sens!E7570+Sens!F7570)/2*(1-self_build)*fac_rent/1000</f>
        <v>3.92914894476356</v>
      </c>
      <c r="G7588" s="6" t="n">
        <f aca="false">(Sens!F7570+Sens!G7570)/2*(1-self_build)*fac_rent/1000</f>
        <v>6.53206908578159</v>
      </c>
      <c r="H7588" s="6" t="n">
        <f aca="false">(Sens!G7570+Sens!H7570)/2*(1-self_build)*fac_rent/1000</f>
        <v>9.23717988341591</v>
      </c>
      <c r="I7588" s="6" t="n">
        <f aca="false">(Sens!H7570+Sens!I7570)/2*(1-self_build)*fac_rent/1000</f>
        <v>11.5481378557393</v>
      </c>
      <c r="J7588" s="6" t="n">
        <f aca="false">(Sens!I7570+Sens!J7570)/2*(1-self_build)*fac_rent/1000</f>
        <v>13.0899582289108</v>
      </c>
      <c r="K7588" s="6" t="n">
        <f aca="false">(Sens!J7570+Sens!K7570)/2*(1-self_build)*fac_rent/1000</f>
        <v>13.8897275626556</v>
      </c>
      <c r="L7588" s="12" t="s">
        <v>987</v>
      </c>
    </row>
    <row r="7589" customFormat="false" ht="17.15" hidden="false" customHeight="false" outlineLevel="0" collapsed="false">
      <c r="A7589" s="1" t="s">
        <v>988</v>
      </c>
      <c r="B7589" s="0" t="s">
        <v>168</v>
      </c>
      <c r="D7589" s="7" t="n">
        <f aca="false">(Sens!C7569+Sens!D7569)/(Sens!C7570+Sens!D7570)</f>
        <v>0.6</v>
      </c>
      <c r="E7589" s="7" t="n">
        <f aca="false">(Sens!D7569+Sens!E7569)/(Sens!D7570+Sens!E7570)</f>
        <v>0.6</v>
      </c>
      <c r="F7589" s="7" t="n">
        <f aca="false">(Sens!E7569+Sens!F7569)/(Sens!E7570+Sens!F7570)</f>
        <v>0.6</v>
      </c>
      <c r="G7589" s="7" t="n">
        <f aca="false">(Sens!F7569+Sens!G7569)/(Sens!F7570+Sens!G7570)</f>
        <v>0.6</v>
      </c>
      <c r="H7589" s="7" t="n">
        <f aca="false">(Sens!G7569+Sens!H7569)/(Sens!G7570+Sens!H7570)</f>
        <v>0.6</v>
      </c>
      <c r="I7589" s="7" t="n">
        <f aca="false">(Sens!H7569+Sens!I7569)/(Sens!H7570+Sens!I7570)</f>
        <v>0.6</v>
      </c>
      <c r="J7589" s="7" t="n">
        <f aca="false">(Sens!I7569+Sens!J7569)/(Sens!I7570+Sens!J7570)</f>
        <v>0.6</v>
      </c>
      <c r="K7589" s="7" t="n">
        <f aca="false">(Sens!J7569+Sens!K7569)/(Sens!J7570+Sens!K7570)</f>
        <v>0.6</v>
      </c>
    </row>
    <row r="7590" customFormat="false" ht="17.15" hidden="false" customHeight="false" outlineLevel="0" collapsed="false">
      <c r="A7590" s="0" t="s">
        <v>989</v>
      </c>
      <c r="B7590" s="0" t="s">
        <v>98</v>
      </c>
      <c r="D7590" s="6" t="n">
        <f aca="false">Sens!D7584-Sens!D7589*(Sens!D7586+Sens!D7588)-Sens!D7587</f>
        <v>8.35701406163072</v>
      </c>
      <c r="E7590" s="6" t="n">
        <f aca="false">Sens!E7584-Sens!E7589*(Sens!E7586+Sens!E7588)-Sens!E7587</f>
        <v>18.7103224860238</v>
      </c>
      <c r="F7590" s="6" t="n">
        <f aca="false">Sens!F7584-Sens!F7589*(Sens!F7586+Sens!F7588)-Sens!F7587</f>
        <v>39.5246243538843</v>
      </c>
      <c r="G7590" s="6" t="n">
        <f aca="false">Sens!G7584-Sens!G7589*(Sens!G7586+Sens!G7588)-Sens!G7587</f>
        <v>67.5570585372687</v>
      </c>
      <c r="H7590" s="6" t="n">
        <f aca="false">Sens!H7584-Sens!H7589*(Sens!H7586+Sens!H7588)-Sens!H7587</f>
        <v>97.1863179465102</v>
      </c>
      <c r="I7590" s="6" t="n">
        <f aca="false">Sens!I7584-Sens!I7589*(Sens!I7586+Sens!I7588)-Sens!I7587</f>
        <v>123.292775650365</v>
      </c>
      <c r="J7590" s="6" t="n">
        <f aca="false">Sens!J7584-Sens!J7589*(Sens!J7586+Sens!J7588)-Sens!J7587</f>
        <v>141.586285762524</v>
      </c>
      <c r="K7590" s="6" t="n">
        <f aca="false">Sens!K7584-Sens!K7589*(Sens!K7586+Sens!K7588)-Sens!K7587</f>
        <v>153.289664774035</v>
      </c>
    </row>
    <row r="7591" customFormat="false" ht="17.15" hidden="false" customHeight="false" outlineLevel="0" collapsed="false">
      <c r="A7591" s="1" t="s">
        <v>990</v>
      </c>
      <c r="B7591" s="0" t="s">
        <v>98</v>
      </c>
      <c r="D7591" s="6" t="n">
        <f aca="false">(1-Sens!D7589)*(Sens!D7586+Sens!D7588)</f>
        <v>1.42281025374069</v>
      </c>
      <c r="E7591" s="6" t="n">
        <f aca="false">(1-Sens!E7589)*(Sens!E7586+Sens!E7588)</f>
        <v>3.25095598674472</v>
      </c>
      <c r="F7591" s="6" t="n">
        <f aca="false">(1-Sens!F7589)*(Sens!F7586+Sens!F7588)</f>
        <v>6.72135810147489</v>
      </c>
      <c r="G7591" s="6" t="n">
        <f aca="false">(1-Sens!G7589)*(Sens!G7586+Sens!G7588)</f>
        <v>11.3401410201637</v>
      </c>
      <c r="H7591" s="6" t="n">
        <f aca="false">(1-Sens!H7589)*(Sens!H7586+Sens!H7588)</f>
        <v>16.1920771049557</v>
      </c>
      <c r="I7591" s="6" t="n">
        <f aca="false">(1-Sens!I7589)*(Sens!I7586+Sens!I7588)</f>
        <v>20.3917774400264</v>
      </c>
      <c r="J7591" s="6" t="n">
        <f aca="false">(1-Sens!J7589)*(Sens!J7586+Sens!J7588)</f>
        <v>23.2503960207104</v>
      </c>
      <c r="K7591" s="6" t="n">
        <f aca="false">(1-Sens!K7589)*(Sens!K7586+Sens!K7588)</f>
        <v>24.8730801087085</v>
      </c>
    </row>
    <row r="7592" customFormat="false" ht="17.15" hidden="false" customHeight="false" outlineLevel="0" collapsed="false">
      <c r="A7592" s="1" t="s">
        <v>991</v>
      </c>
      <c r="B7592" s="0" t="s">
        <v>417</v>
      </c>
      <c r="C7592" s="8" t="n">
        <f aca="false">cxit_open</f>
        <v>27.5918995</v>
      </c>
      <c r="D7592" s="8" t="n">
        <f aca="false">cxit_open</f>
        <v>27.5918995</v>
      </c>
      <c r="E7592" s="8" t="n">
        <f aca="false">cxit_open</f>
        <v>27.5918995</v>
      </c>
      <c r="F7592" s="8" t="n">
        <f aca="false">((a_g3_27-nonnv*a_mai)*tk_cxit_gb300+nonnv*a_mai*nv_hold_mai*tk_cxit_vr200+(1-a_g3_27)*tk_cxit_vr200)</f>
        <v>32.4975576</v>
      </c>
      <c r="G7592" s="8" t="n">
        <f aca="false">((a_g3_28-nonnv*a_mai)*tk_cxit_gb300+nonnv*a_mai*nv_hold_mai*tk_cxit_vr200+(1-a_g3_28)*tk_cxit_vr200)</f>
        <v>34.6372088</v>
      </c>
      <c r="H7592" s="8" t="n">
        <f aca="false">((a_g3_29-nonnv*a_mai)*tk_cxit_gb300+nonnv*a_mai*nv_hold_mai*tk_cxit_vr200+(1-a_g3_29)*tk_cxit_vr200)</f>
        <v>35.7070344</v>
      </c>
      <c r="I7592" s="8" t="n">
        <f aca="false">((a_g3_29-nonnv*a_mai)*tk_cxit_gb300+nonnv*a_mai*nv_hold_mai*tk_cxit_vr200+(1-a_g3_29)*tk_cxit_vr200)</f>
        <v>35.7070344</v>
      </c>
      <c r="J7592" s="8" t="n">
        <f aca="false">((a_g3_29-nonnv*a_mai)*tk_cxit_gb300+nonnv*a_mai*nv_hold_mai*tk_cxit_vr200+(1-a_g3_29)*tk_cxit_vr200)</f>
        <v>35.7070344</v>
      </c>
      <c r="K7592" s="8" t="n">
        <f aca="false">((a_g3_29-nonnv*a_mai)*tk_cxit_gb300+nonnv*a_mai*nv_hold_mai*tk_cxit_vr200+(1-a_g3_29)*tk_cxit_vr200)</f>
        <v>35.7070344</v>
      </c>
      <c r="L7592" s="12" t="s">
        <v>992</v>
      </c>
    </row>
    <row r="7593" customFormat="false" ht="17.15" hidden="false" customHeight="false" outlineLevel="0" collapsed="false">
      <c r="A7593" s="0" t="s">
        <v>993</v>
      </c>
      <c r="B7593" s="0" t="s">
        <v>459</v>
      </c>
      <c r="F7593" s="30" t="n">
        <f aca="false">Sens!C7572*IF(Sens!F7565-Sens!C7565=life_it,1,0)+Sens!D7572*IF(Sens!F7565-Sens!D7565=life_it,1,0)+Sens!E7572*IF(Sens!F7565-Sens!E7565=life_it,1,0)</f>
        <v>0</v>
      </c>
      <c r="G7593" s="30" t="n">
        <f aca="false">Sens!C7572*IF(Sens!G7565-Sens!C7565=life_it,1,0)+Sens!D7572*IF(Sens!G7565-Sens!D7565=life_it,1,0)+Sens!E7572*IF(Sens!G7565-Sens!E7565=life_it,1,0)+Sens!F7572*IF(Sens!G7565-Sens!F7565=life_it,1,0)</f>
        <v>0</v>
      </c>
      <c r="H7593" s="30" t="n">
        <f aca="false">Sens!C7572*IF(Sens!H7565-Sens!C7565=life_it,1,0)+Sens!D7572*IF(Sens!H7565-Sens!D7565=life_it,1,0)+Sens!E7572*IF(Sens!H7565-Sens!E7565=life_it,1,0)+Sens!F7572*IF(Sens!H7565-Sens!F7565=life_it,1,0)+Sens!G7572*IF(Sens!H7565-Sens!G7565=life_it,1,0)</f>
        <v>0</v>
      </c>
      <c r="I7593" s="30" t="n">
        <f aca="false">Sens!C7572*IF(Sens!I7565-Sens!C7565=life_it,1,0)+Sens!D7572*IF(Sens!I7565-Sens!D7565=life_it,1,0)+Sens!E7572*IF(Sens!I7565-Sens!E7565=life_it,1,0)+Sens!F7572*IF(Sens!I7565-Sens!F7565=life_it,1,0)+Sens!G7572*IF(Sens!I7565-Sens!G7565=life_it,1,0)+Sens!H7572*IF(Sens!I7565-Sens!H7565=life_it,1,0)</f>
        <v>816.666666666667</v>
      </c>
      <c r="J7593" s="30" t="n">
        <f aca="false">Sens!C7572*IF(Sens!J7565-Sens!C7565=life_it,1,0)+Sens!D7572*IF(Sens!J7565-Sens!D7565=life_it,1,0)+Sens!E7572*IF(Sens!J7565-Sens!E7565=life_it,1,0)+Sens!F7572*IF(Sens!J7565-Sens!F7565=life_it,1,0)+Sens!G7572*IF(Sens!J7565-Sens!G7565=life_it,1,0)+Sens!H7572*IF(Sens!J7565-Sens!H7565=life_it,1,0)+Sens!I7572*IF(Sens!J7565-Sens!I7565=life_it,1,0)</f>
        <v>1233.33333333333</v>
      </c>
      <c r="K7593" s="30" t="n">
        <f aca="false">Sens!C7572*IF(Sens!K7565-Sens!C7565=life_it,1,0)+Sens!D7572*IF(Sens!K7565-Sens!D7565=life_it,1,0)+Sens!E7572*IF(Sens!K7565-Sens!E7565=life_it,1,0)+Sens!F7572*IF(Sens!K7565-Sens!F7565=life_it,1,0)+Sens!G7572*IF(Sens!K7565-Sens!G7565=life_it,1,0)+Sens!H7572*IF(Sens!K7565-Sens!H7565=life_it,1,0)+Sens!I7572*IF(Sens!K7565-Sens!I7565=life_it,1,0)+Sens!J7572*IF(Sens!K7565-Sens!J7565=life_it,1,0)</f>
        <v>2450</v>
      </c>
      <c r="L7593" s="1" t="s">
        <v>994</v>
      </c>
    </row>
    <row r="7594" customFormat="false" ht="17.15" hidden="false" customHeight="false" outlineLevel="0" collapsed="false">
      <c r="A7594" s="0" t="s">
        <v>995</v>
      </c>
      <c r="B7594" s="0" t="s">
        <v>98</v>
      </c>
      <c r="C7594" s="6" t="n">
        <f aca="false">Sens!C7572*Sens!C7592/1000</f>
        <v>22.5333845916667</v>
      </c>
      <c r="D7594" s="6" t="n">
        <f aca="false">Sens!D7572*Sens!D7592/1000</f>
        <v>34.0300093833333</v>
      </c>
      <c r="E7594" s="6" t="n">
        <f aca="false">Sens!E7572*Sens!E7592/1000</f>
        <v>67.600153775</v>
      </c>
      <c r="F7594" s="6" t="n">
        <f aca="false">(Sens!F7572+Sens!F7593)*Sens!F7592/1000</f>
        <v>136.51872432512</v>
      </c>
      <c r="G7594" s="6" t="n">
        <f aca="false">(Sens!G7572+Sens!G7593)*Sens!G7592/1000</f>
        <v>157.399275932048</v>
      </c>
      <c r="H7594" s="6" t="n">
        <f aca="false">(Sens!H7572+Sens!H7593)*Sens!H7592/1000</f>
        <v>162.260804347512</v>
      </c>
      <c r="I7594" s="6" t="n">
        <f aca="false">(Sens!I7572+Sens!I7593)*Sens!I7592/1000</f>
        <v>144.136569485434</v>
      </c>
      <c r="J7594" s="6" t="n">
        <f aca="false">(Sens!J7572+Sens!J7593)*Sens!J7592/1000</f>
        <v>114.029037357864</v>
      </c>
      <c r="K7594" s="6" t="n">
        <f aca="false">(Sens!K7572+Sens!K7593)*Sens!K7592/1000</f>
        <v>113.437085350975</v>
      </c>
    </row>
    <row r="7595" customFormat="false" ht="17.15" hidden="false" customHeight="false" outlineLevel="0" collapsed="false">
      <c r="A7595" s="0" t="s">
        <v>996</v>
      </c>
      <c r="B7595" s="0" t="s">
        <v>98</v>
      </c>
      <c r="C7595" s="6" t="n">
        <f aca="false">Sens!C7572*self_build*tk_cxfac/1000</f>
        <v>6.2083</v>
      </c>
      <c r="D7595" s="6" t="n">
        <f aca="false">Sens!D7572*self_build*tk_cxfac/1000</f>
        <v>9.3758</v>
      </c>
      <c r="E7595" s="6" t="n">
        <f aca="false">Sens!E7572*self_build*tk_cxfac/1000</f>
        <v>18.6249</v>
      </c>
      <c r="F7595" s="6" t="n">
        <f aca="false">Sens!F7572*self_build*tk_cxfac/1000</f>
        <v>31.935179717</v>
      </c>
      <c r="G7595" s="6" t="n">
        <f aca="false">Sens!G7572*self_build*tk_cxfac/1000</f>
        <v>34.545199717</v>
      </c>
      <c r="H7595" s="6" t="n">
        <f aca="false">Sens!H7572*self_build*tk_cxfac/1000</f>
        <v>34.545199717</v>
      </c>
      <c r="I7595" s="6" t="n">
        <f aca="false">Sens!I7572*self_build*tk_cxfac/1000</f>
        <v>24.4782641361767</v>
      </c>
      <c r="J7595" s="6" t="n">
        <f aca="false">Sens!J7572*self_build*tk_cxfac/1000</f>
        <v>14.9008938380769</v>
      </c>
      <c r="K7595" s="6" t="n">
        <f aca="false">Sens!K7572*self_build*tk_cxfac/1000</f>
        <v>5.52576771375761</v>
      </c>
    </row>
    <row r="7596" customFormat="false" ht="17.15" hidden="false" customHeight="false" outlineLevel="0" collapsed="false">
      <c r="A7596" s="0" t="s">
        <v>997</v>
      </c>
      <c r="B7596" s="0" t="s">
        <v>98</v>
      </c>
      <c r="F7596" s="15" t="n">
        <f aca="false">capex_floor27-Sens!F7594-Sens!F7595-Sens!F7692</f>
        <v>-0.114545492139435</v>
      </c>
      <c r="L7596" s="12" t="s">
        <v>998</v>
      </c>
    </row>
    <row r="7597" customFormat="false" ht="17.15" hidden="false" customHeight="false" outlineLevel="0" collapsed="false">
      <c r="A7597" s="0" t="s">
        <v>999</v>
      </c>
      <c r="B7597" s="0" t="s">
        <v>98</v>
      </c>
      <c r="F7597" s="6" t="n">
        <f aca="false">MAX(0,Sens!F7596)</f>
        <v>0</v>
      </c>
    </row>
    <row r="7598" customFormat="false" ht="17.15" hidden="false" customHeight="false" outlineLevel="0" collapsed="false">
      <c r="A7598" s="0" t="s">
        <v>1000</v>
      </c>
      <c r="B7598" s="0" t="s">
        <v>98</v>
      </c>
      <c r="C7598" s="6" t="n">
        <f aca="false">Sens!C7594</f>
        <v>22.5333845916667</v>
      </c>
      <c r="D7598" s="6" t="n">
        <f aca="false">Sens!D7594</f>
        <v>34.0300093833333</v>
      </c>
      <c r="E7598" s="6" t="n">
        <f aca="false">Sens!E7594</f>
        <v>67.600153775</v>
      </c>
      <c r="F7598" s="6" t="n">
        <f aca="false">Sens!F7594</f>
        <v>136.51872432512</v>
      </c>
      <c r="G7598" s="6" t="n">
        <f aca="false">Sens!G7594</f>
        <v>157.399275932048</v>
      </c>
      <c r="H7598" s="6" t="n">
        <f aca="false">Sens!H7594</f>
        <v>162.260804347512</v>
      </c>
      <c r="I7598" s="6" t="n">
        <f aca="false">Sens!I7594</f>
        <v>144.136569485434</v>
      </c>
      <c r="J7598" s="6" t="n">
        <f aca="false">Sens!J7594</f>
        <v>114.029037357864</v>
      </c>
      <c r="K7598" s="6" t="n">
        <f aca="false">Sens!K7594</f>
        <v>113.437085350975</v>
      </c>
    </row>
    <row r="7599" customFormat="false" ht="17.15" hidden="false" customHeight="false" outlineLevel="0" collapsed="false">
      <c r="A7599" s="0" t="s">
        <v>1001</v>
      </c>
      <c r="B7599" s="0" t="s">
        <v>98</v>
      </c>
      <c r="C7599" s="6" t="n">
        <f aca="false">Sens!C7598+Sens!C7595</f>
        <v>28.7416845916667</v>
      </c>
      <c r="D7599" s="6" t="n">
        <f aca="false">Sens!D7598+Sens!D7595</f>
        <v>43.4058093833333</v>
      </c>
      <c r="E7599" s="6" t="n">
        <f aca="false">Sens!E7598+Sens!E7595</f>
        <v>86.225053775</v>
      </c>
      <c r="F7599" s="6" t="n">
        <f aca="false">Sens!F7598+Sens!F7595</f>
        <v>168.45390404212</v>
      </c>
      <c r="G7599" s="6" t="n">
        <f aca="false">Sens!G7598+Sens!G7595</f>
        <v>191.944475649048</v>
      </c>
      <c r="H7599" s="6" t="n">
        <f aca="false">Sens!H7598+Sens!H7595</f>
        <v>196.806004064512</v>
      </c>
      <c r="I7599" s="6" t="n">
        <f aca="false">Sens!I7598+Sens!I7595</f>
        <v>168.61483362161</v>
      </c>
      <c r="J7599" s="6" t="n">
        <f aca="false">Sens!J7598+Sens!J7595</f>
        <v>128.92993119594</v>
      </c>
      <c r="K7599" s="6" t="n">
        <f aca="false">Sens!K7598+Sens!K7595</f>
        <v>118.962853064733</v>
      </c>
      <c r="L7599" s="12" t="s">
        <v>1002</v>
      </c>
    </row>
    <row r="7600" customFormat="false" ht="17.15" hidden="false" customHeight="false" outlineLevel="0" collapsed="false">
      <c r="A7600" s="0" t="s">
        <v>1003</v>
      </c>
      <c r="B7600" s="0" t="s">
        <v>98</v>
      </c>
      <c r="E7600" s="6" t="n">
        <f aca="false">(Sens!C7598*IF(2&lt;life_it,1,IF(2=life_it,0.5,0))+Sens!D7598*IF(1&lt;life_it,1,IF(1=life_it,0.5,0))+Sens!E7598*0.5)/life_it</f>
        <v>15.0605784770833</v>
      </c>
      <c r="F7600" s="6" t="n">
        <f aca="false">(Sens!C7598*IF(3&lt;life_it,1,IF(3=life_it,0.5,0))+Sens!D7598*IF(2&lt;life_it,1,IF(2=life_it,0.5,0))+Sens!E7598*IF(1&lt;life_it,1,IF(1=life_it,0.5,0))+Sens!F7598*0.5)/life_it</f>
        <v>32.0704849854266</v>
      </c>
      <c r="G7600" s="6" t="n">
        <f aca="false">(Sens!C7598*IF(4&lt;life_it,1,IF(4=life_it,0.5,0))+Sens!D7598*IF(3&lt;life_it,1,IF(3=life_it,0.5,0))+Sens!E7598*IF(2&lt;life_it,1,IF(2=life_it,0.5,0))+Sens!F7598*IF(1&lt;life_it,1,IF(1=life_it,0.5,0))+Sens!G7598*0.5)/life_it</f>
        <v>56.5636516735239</v>
      </c>
      <c r="H7600" s="6" t="n">
        <f aca="false">(Sens!C7598*IF(5&lt;life_it,1,IF(5=life_it,0.5,0))+Sens!D7598*IF(4&lt;life_it,1,IF(4=life_it,0.5,0))+Sens!E7598*IF(3&lt;life_it,1,IF(3=life_it,0.5,0))+Sens!F7598*IF(2&lt;life_it,1,IF(2=life_it,0.5,0))+Sens!G7598*IF(1&lt;life_it,1,IF(1=life_it,0.5,0))+Sens!H7598*0.5)/life_it</f>
        <v>83.2019916968207</v>
      </c>
      <c r="I7600" s="6" t="n">
        <f aca="false">(Sens!C7598*IF(6&lt;life_it,1,IF(6=life_it,0.5,0))+Sens!D7598*IF(5&lt;life_it,1,IF(5=life_it,0.5,0))+Sens!E7598*IF(4&lt;life_it,1,IF(4=life_it,0.5,0))+Sens!F7598*IF(3&lt;life_it,1,IF(3=life_it,0.5,0))+Sens!G7598*IF(2&lt;life_it,1,IF(2=life_it,0.5,0))+Sens!H7598*IF(1&lt;life_it,1,IF(1=life_it,0.5,0))+Sens!I7598*0.5)/life_it</f>
        <v>106.857324133594</v>
      </c>
      <c r="J7600" s="6" t="n">
        <f aca="false">(Sens!C7598*IF(7&lt;life_it,1,IF(7=life_it,0.5,0))+Sens!D7598*IF(6&lt;life_it,1,IF(6=life_it,0.5,0))+Sens!E7598*IF(5&lt;life_it,1,IF(5=life_it,0.5,0))+Sens!F7598*IF(4&lt;life_it,1,IF(4=life_it,0.5,0))+Sens!G7598*IF(3&lt;life_it,1,IF(3=life_it,0.5,0))+Sens!H7598*IF(2&lt;life_it,1,IF(2=life_it,0.5,0))+Sens!I7598*IF(1&lt;life_it,1,IF(1=life_it,0.5,0))+Sens!J7598*0.5)/life_it</f>
        <v>123.657508539285</v>
      </c>
      <c r="K7600" s="6" t="n">
        <f aca="false">(Sens!C7598*IF(8&lt;life_it,1,IF(8=life_it,0.5,0))+Sens!D7598*IF(7&lt;life_it,1,IF(7=life_it,0.5,0))+Sens!E7598*IF(6&lt;life_it,1,IF(6=life_it,0.5,0))+Sens!F7598*IF(5&lt;life_it,1,IF(5=life_it,0.5,0))+Sens!G7598*IF(4&lt;life_it,1,IF(4=life_it,0.5,0))+Sens!H7598*IF(3&lt;life_it,1,IF(3=life_it,0.5,0))+Sens!I7598*IF(2&lt;life_it,1,IF(2=life_it,0.5,0))+Sens!J7598*IF(1&lt;life_it,1,IF(1=life_it,0.5,0))+Sens!K7598*0.5)/life_it</f>
        <v>134.143838501827</v>
      </c>
    </row>
    <row r="7601" customFormat="false" ht="17.15" hidden="false" customHeight="false" outlineLevel="0" collapsed="false">
      <c r="A7601" s="0" t="s">
        <v>1004</v>
      </c>
      <c r="B7601" s="0" t="s">
        <v>98</v>
      </c>
      <c r="E7601" s="6" t="n">
        <f aca="false">(Sens!C7595*IF(2&lt;life_fac,1,IF(2=life_fac,0.5,0))+Sens!D7595*IF(1&lt;life_fac,1,IF(1=life_fac,0.5,0))+Sens!E7595*0.5)/life_fac</f>
        <v>1.2448275</v>
      </c>
      <c r="F7601" s="6" t="n">
        <f aca="false">(Sens!C7595*IF(3&lt;life_fac,1,IF(3=life_fac,0.5,0))+Sens!D7595*IF(2&lt;life_fac,1,IF(2=life_fac,0.5,0))+Sens!E7595*IF(1&lt;life_fac,1,IF(1=life_fac,0.5,0))+Sens!F7595*0.5)/life_fac</f>
        <v>2.508829492925</v>
      </c>
      <c r="G7601" s="6" t="n">
        <f aca="false">(Sens!C7595*IF(4&lt;life_fac,1,IF(4=life_fac,0.5,0))+Sens!D7595*IF(3&lt;life_fac,1,IF(3=life_fac,0.5,0))+Sens!E7595*IF(2&lt;life_fac,1,IF(2=life_fac,0.5,0))+Sens!F7595*IF(1&lt;life_fac,1,IF(1=life_fac,0.5,0))+Sens!G7595*0.5)/life_fac</f>
        <v>4.170838978775</v>
      </c>
      <c r="H7601" s="6" t="n">
        <f aca="false">(Sens!C7595*IF(5&lt;life_fac,1,IF(5=life_fac,0.5,0))+Sens!D7595*IF(4&lt;life_fac,1,IF(4=life_fac,0.5,0))+Sens!E7595*IF(3&lt;life_fac,1,IF(3=life_fac,0.5,0))+Sens!F7595*IF(2&lt;life_fac,1,IF(2=life_fac,0.5,0))+Sens!G7595*IF(1&lt;life_fac,1,IF(1=life_fac,0.5,0))+Sens!H7595*0.5)/life_fac</f>
        <v>5.898098964625</v>
      </c>
      <c r="I7601" s="6" t="n">
        <f aca="false">(Sens!C7595*IF(6&lt;life_fac,1,IF(6=life_fac,0.5,0))+Sens!D7595*IF(5&lt;life_fac,1,IF(5=life_fac,0.5,0))+Sens!E7595*IF(4&lt;life_fac,1,IF(4=life_fac,0.5,0))+Sens!F7595*IF(3&lt;life_fac,1,IF(3=life_fac,0.5,0))+Sens!G7595*IF(2&lt;life_fac,1,IF(2=life_fac,0.5,0))+Sens!H7595*IF(1&lt;life_fac,1,IF(1=life_fac,0.5,0))+Sens!I7595*0.5)/life_fac</f>
        <v>7.37368556095442</v>
      </c>
      <c r="J7601" s="6" t="n">
        <f aca="false">(Sens!C7595*IF(7&lt;life_fac,1,IF(7=life_fac,0.5,0))+Sens!D7595*IF(6&lt;life_fac,1,IF(6=life_fac,0.5,0))+Sens!E7595*IF(5&lt;life_fac,1,IF(5=life_fac,0.5,0))+Sens!F7595*IF(4&lt;life_fac,1,IF(4=life_fac,0.5,0))+Sens!G7595*IF(3&lt;life_fac,1,IF(3=life_fac,0.5,0))+Sens!H7595*IF(2&lt;life_fac,1,IF(2=life_fac,0.5,0))+Sens!I7595*IF(1&lt;life_fac,1,IF(1=life_fac,0.5,0))+Sens!J7595*0.5)/life_fac</f>
        <v>8.35816451031075</v>
      </c>
      <c r="K7601" s="6" t="n">
        <f aca="false">(Sens!C7595*IF(8&lt;life_fac,1,IF(8=life_fac,0.5,0))+Sens!D7595*IF(7&lt;life_fac,1,IF(7=life_fac,0.5,0))+Sens!E7595*IF(6&lt;life_fac,1,IF(6=life_fac,0.5,0))+Sens!F7595*IF(5&lt;life_fac,1,IF(5=life_fac,0.5,0))+Sens!G7595*IF(4&lt;life_fac,1,IF(4=life_fac,0.5,0))+Sens!H7595*IF(3&lt;life_fac,1,IF(3=life_fac,0.5,0))+Sens!I7595*IF(2&lt;life_fac,1,IF(2=life_fac,0.5,0))+Sens!J7595*IF(1&lt;life_fac,1,IF(1=life_fac,0.5,0))+Sens!K7595*0.5)/life_fac</f>
        <v>8.86883104910662</v>
      </c>
    </row>
    <row r="7602" customFormat="false" ht="17.15" hidden="false" customHeight="false" outlineLevel="0" collapsed="false">
      <c r="A7602" s="0" t="s">
        <v>1005</v>
      </c>
      <c r="B7602" s="0" t="s">
        <v>98</v>
      </c>
      <c r="E7602" s="6" t="n">
        <f aca="false">Sens!E7600+Sens!E7601</f>
        <v>16.3054059770833</v>
      </c>
      <c r="F7602" s="6" t="n">
        <f aca="false">Sens!F7600+Sens!F7601</f>
        <v>34.5793144783516</v>
      </c>
      <c r="G7602" s="6" t="n">
        <f aca="false">Sens!G7600+Sens!G7601</f>
        <v>60.7344906522989</v>
      </c>
      <c r="H7602" s="6" t="n">
        <f aca="false">Sens!H7600+Sens!H7601</f>
        <v>89.1000906614457</v>
      </c>
      <c r="I7602" s="6" t="n">
        <f aca="false">Sens!I7600+Sens!I7601</f>
        <v>114.231009694548</v>
      </c>
      <c r="J7602" s="6" t="n">
        <f aca="false">Sens!J7600+Sens!J7601</f>
        <v>132.015673049596</v>
      </c>
      <c r="K7602" s="6" t="n">
        <f aca="false">Sens!K7600+Sens!K7601</f>
        <v>143.012669550934</v>
      </c>
    </row>
    <row r="7603" customFormat="false" ht="17.15" hidden="false" customHeight="false" outlineLevel="0" collapsed="false">
      <c r="A7603" s="0" t="s">
        <v>1006</v>
      </c>
      <c r="B7603" s="0" t="s">
        <v>98</v>
      </c>
      <c r="E7603" s="6" t="n">
        <f aca="false">Sens!E7590-Sens!E7589*Sens!E7602</f>
        <v>8.92707889977379</v>
      </c>
      <c r="F7603" s="6" t="n">
        <f aca="false">Sens!F7590-Sens!F7589*Sens!F7602</f>
        <v>18.7770356668733</v>
      </c>
      <c r="G7603" s="6" t="n">
        <f aca="false">Sens!G7590-Sens!G7589*Sens!G7602</f>
        <v>31.1163641458894</v>
      </c>
      <c r="H7603" s="6" t="n">
        <f aca="false">Sens!H7590-Sens!H7589*Sens!H7602</f>
        <v>43.7262635496428</v>
      </c>
      <c r="I7603" s="6" t="n">
        <f aca="false">Sens!I7590-Sens!I7589*Sens!I7602</f>
        <v>54.7541698336361</v>
      </c>
      <c r="J7603" s="6" t="n">
        <f aca="false">Sens!J7590-Sens!J7589*Sens!J7602</f>
        <v>62.3768819327658</v>
      </c>
      <c r="K7603" s="6" t="n">
        <f aca="false">Sens!K7590-Sens!K7589*Sens!K7602</f>
        <v>67.4820630434748</v>
      </c>
    </row>
    <row r="7604" customFormat="false" ht="17.15" hidden="false" customHeight="false" outlineLevel="0" collapsed="false">
      <c r="A7604" s="3" t="s">
        <v>1801</v>
      </c>
    </row>
    <row r="7605" customFormat="false" ht="15" hidden="false" customHeight="false" outlineLevel="0" collapsed="false">
      <c r="A7605" s="4" t="s">
        <v>43</v>
      </c>
      <c r="B7605" s="4" t="s">
        <v>65</v>
      </c>
      <c r="C7605" s="23" t="s">
        <v>942</v>
      </c>
      <c r="D7605" s="23" t="s">
        <v>943</v>
      </c>
      <c r="E7605" s="23" t="s">
        <v>944</v>
      </c>
      <c r="F7605" s="23" t="s">
        <v>945</v>
      </c>
      <c r="G7605" s="23" t="s">
        <v>946</v>
      </c>
      <c r="H7605" s="23" t="s">
        <v>947</v>
      </c>
      <c r="I7605" s="23" t="s">
        <v>948</v>
      </c>
      <c r="J7605" s="23" t="s">
        <v>949</v>
      </c>
      <c r="K7605" s="23" t="s">
        <v>950</v>
      </c>
      <c r="L7605" s="4" t="s">
        <v>47</v>
      </c>
    </row>
    <row r="7606" customFormat="false" ht="17.15" hidden="false" customHeight="false" outlineLevel="0" collapsed="false">
      <c r="A7606" s="0" t="s">
        <v>1025</v>
      </c>
      <c r="B7606" s="0" t="s">
        <v>98</v>
      </c>
      <c r="D7606" s="6" t="n">
        <f aca="false">Sens!D7584</f>
        <v>12.9359794422418</v>
      </c>
      <c r="E7606" s="6" t="n">
        <f aca="false">Sens!E7584</f>
        <v>27.8095064661409</v>
      </c>
      <c r="F7606" s="6" t="n">
        <f aca="false">Sens!F7584</f>
        <v>55.4118315060966</v>
      </c>
      <c r="G7606" s="6" t="n">
        <f aca="false">Sens!G7584</f>
        <v>91.2881100675143</v>
      </c>
      <c r="H7606" s="6" t="n">
        <f aca="false">Sens!H7584</f>
        <v>128.195273603944</v>
      </c>
      <c r="I7606" s="6" t="n">
        <f aca="false">Sens!I7584</f>
        <v>160.601281810405</v>
      </c>
      <c r="J7606" s="6" t="n">
        <f aca="false">Sens!J7584</f>
        <v>183.182719793589</v>
      </c>
      <c r="K7606" s="6" t="n">
        <f aca="false">Sens!K7584</f>
        <v>197.320124937098</v>
      </c>
    </row>
    <row r="7607" customFormat="false" ht="17.15" hidden="false" customHeight="false" outlineLevel="0" collapsed="false">
      <c r="A7607" s="0" t="s">
        <v>1026</v>
      </c>
      <c r="B7607" s="0" t="s">
        <v>98</v>
      </c>
      <c r="D7607" s="6" t="n">
        <f aca="false">Q!L6-Sens!D7606</f>
        <v>59.6740205577583</v>
      </c>
      <c r="E7607" s="6" t="n">
        <f aca="false">Q!M6-Sens!E7606</f>
        <v>74.1284935338591</v>
      </c>
      <c r="F7607" s="6" t="n">
        <f aca="false">Q!$I$6+(Sens!F7606+Sens!E7607*(1+Sens!F7608))*(1-Q!$E$6/Q!M6)-Sens!F7606</f>
        <v>91.2972164940844</v>
      </c>
      <c r="G7607" s="6" t="n">
        <f aca="false">Sens!F7607*(1+Sens!G7608)</f>
        <v>108.474719793879</v>
      </c>
      <c r="H7607" s="6" t="n">
        <f aca="false">Sens!G7607*(1+Sens!H7608)</f>
        <v>125.951292505701</v>
      </c>
      <c r="I7607" s="6" t="n">
        <f aca="false">Sens!H7607*(1+Sens!I7608)</f>
        <v>142.838165154212</v>
      </c>
      <c r="J7607" s="6" t="n">
        <f aca="false">Sens!I7607*(1+Sens!J7608)</f>
        <v>158.12717866615</v>
      </c>
      <c r="K7607" s="6" t="n">
        <f aca="false">Sens!J7607*(1+Sens!K7608)</f>
        <v>170.777352959442</v>
      </c>
      <c r="L7607" s="12" t="s">
        <v>1027</v>
      </c>
    </row>
    <row r="7608" customFormat="false" ht="15" hidden="false" customHeight="false" outlineLevel="0" collapsed="false">
      <c r="A7608" s="1" t="s">
        <v>1028</v>
      </c>
      <c r="B7608" s="0" t="s">
        <v>168</v>
      </c>
      <c r="E7608" s="7" t="n">
        <f aca="false">Sens!E7607/Sens!D7607-1</f>
        <v>0.242223883039864</v>
      </c>
      <c r="F7608" s="7" t="n">
        <f aca="false">Sens!$E$7608+(glt_azo-Sens!$E$7608)*MIN(1,(Sens!F7565-base_fy)/n_conv)</f>
        <v>0.215186569199887</v>
      </c>
      <c r="G7608" s="7" t="n">
        <f aca="false">Sens!$E$7608+(glt_azo-Sens!$E$7608)*MIN(1,(Sens!G7565-base_fy)/n_conv)</f>
        <v>0.18814925535991</v>
      </c>
      <c r="H7608" s="7" t="n">
        <f aca="false">Sens!$E$7608+(glt_azo-Sens!$E$7608)*MIN(1,(Sens!H7565-base_fy)/n_conv)</f>
        <v>0.161111941519932</v>
      </c>
      <c r="I7608" s="7" t="n">
        <f aca="false">Sens!$E$7608+(glt_azo-Sens!$E$7608)*MIN(1,(Sens!I7565-base_fy)/n_conv)</f>
        <v>0.134074627679955</v>
      </c>
      <c r="J7608" s="7" t="n">
        <f aca="false">Sens!$E$7608+(glt_azo-Sens!$E$7608)*MIN(1,(Sens!J7565-base_fy)/n_conv)</f>
        <v>0.107037313839977</v>
      </c>
      <c r="K7608" s="7" t="n">
        <f aca="false">Sens!$E$7608+(glt_azo-Sens!$E$7608)*MIN(1,(Sens!K7565-base_fy)/n_conv)</f>
        <v>0.08</v>
      </c>
    </row>
    <row r="7609" customFormat="false" ht="15" hidden="false" customHeight="false" outlineLevel="0" collapsed="false">
      <c r="A7609" s="0" t="s">
        <v>1029</v>
      </c>
      <c r="B7609" s="0" t="s">
        <v>98</v>
      </c>
      <c r="D7609" s="6" t="n">
        <f aca="false">Sens!D7606+Sens!D7607</f>
        <v>72.61</v>
      </c>
      <c r="E7609" s="6" t="n">
        <f aca="false">Sens!E7606+Sens!E7607</f>
        <v>101.938</v>
      </c>
      <c r="F7609" s="6" t="n">
        <f aca="false">Sens!F7606+Sens!F7607</f>
        <v>146.709048000181</v>
      </c>
      <c r="G7609" s="6" t="n">
        <f aca="false">Sens!G7606+Sens!G7607</f>
        <v>199.762829861393</v>
      </c>
      <c r="H7609" s="6" t="n">
        <f aca="false">Sens!H7606+Sens!H7607</f>
        <v>254.146566109645</v>
      </c>
      <c r="I7609" s="6" t="n">
        <f aca="false">Sens!I7606+Sens!I7607</f>
        <v>303.439446964617</v>
      </c>
      <c r="J7609" s="6" t="n">
        <f aca="false">Sens!J7606+Sens!J7607</f>
        <v>341.309898459739</v>
      </c>
      <c r="K7609" s="6" t="n">
        <f aca="false">Sens!K7606+Sens!K7607</f>
        <v>368.09747789654</v>
      </c>
    </row>
    <row r="7610" customFormat="false" ht="17.15" hidden="false" customHeight="false" outlineLevel="0" collapsed="false">
      <c r="A7610" s="0" t="s">
        <v>1030</v>
      </c>
      <c r="B7610" s="1" t="s">
        <v>613</v>
      </c>
      <c r="C7610" s="30" t="n">
        <f aca="false">cop_s24</f>
        <v>1</v>
      </c>
      <c r="D7610" s="30" t="n">
        <f aca="false">cop_s25</f>
        <v>5</v>
      </c>
      <c r="E7610" s="30" t="n">
        <f aca="false">cop_s26</f>
        <v>30</v>
      </c>
      <c r="F7610" s="30" t="n">
        <f aca="false">Sens!E7610+cop_add_B*1.5</f>
        <v>60</v>
      </c>
      <c r="G7610" s="30" t="n">
        <f aca="false">Sens!F7610+cop_add_B*1.5</f>
        <v>90</v>
      </c>
      <c r="H7610" s="30" t="n">
        <f aca="false">Sens!G7610+cop_add_B*1.5</f>
        <v>120</v>
      </c>
      <c r="I7610" s="30" t="n">
        <f aca="false">Sens!H7610+cop_add_B*1.5*cop_tail</f>
        <v>135</v>
      </c>
      <c r="J7610" s="30" t="n">
        <f aca="false">Sens!I7610+cop_add_B*1.5*cop_tail</f>
        <v>150</v>
      </c>
      <c r="K7610" s="30" t="n">
        <f aca="false">Sens!J7610+cop_add_B*1.5*cop_tail</f>
        <v>165</v>
      </c>
      <c r="L7610" s="12" t="s">
        <v>1031</v>
      </c>
    </row>
    <row r="7611" customFormat="false" ht="17.15" hidden="false" customHeight="false" outlineLevel="0" collapsed="false">
      <c r="A7611" s="0" t="s">
        <v>1032</v>
      </c>
      <c r="B7611" s="0" t="s">
        <v>98</v>
      </c>
      <c r="D7611" s="6" t="n">
        <f aca="false">(Sens!C7610+Sens!D7610)/2*cop_px*12/1000</f>
        <v>0.9</v>
      </c>
      <c r="E7611" s="6" t="n">
        <f aca="false">(Sens!D7610+Sens!E7610)/2*cop_px*12/1000</f>
        <v>5.25</v>
      </c>
      <c r="F7611" s="6" t="n">
        <f aca="false">(Sens!E7610+Sens!F7610)/2*cop_px*12/1000</f>
        <v>13.5</v>
      </c>
      <c r="G7611" s="6" t="n">
        <f aca="false">(Sens!F7610+Sens!G7610)/2*cop_px*12/1000</f>
        <v>22.5</v>
      </c>
      <c r="H7611" s="6" t="n">
        <f aca="false">(Sens!G7610+Sens!H7610)/2*cop_px*12/1000</f>
        <v>31.5</v>
      </c>
      <c r="I7611" s="6" t="n">
        <f aca="false">(Sens!H7610+Sens!I7610)/2*cop_px*12/1000</f>
        <v>38.25</v>
      </c>
      <c r="J7611" s="6" t="n">
        <f aca="false">(Sens!I7610+Sens!J7610)/2*cop_px*12/1000</f>
        <v>42.75</v>
      </c>
      <c r="K7611" s="6" t="n">
        <f aca="false">(Sens!J7610+Sens!K7610)/2*cop_px*12/1000</f>
        <v>47.25</v>
      </c>
      <c r="L7611" s="1" t="s">
        <v>1033</v>
      </c>
    </row>
    <row r="7612" customFormat="false" ht="17.15" hidden="false" customHeight="false" outlineLevel="0" collapsed="false">
      <c r="A7612" s="0" t="s">
        <v>1034</v>
      </c>
      <c r="B7612" s="0" t="s">
        <v>98</v>
      </c>
      <c r="D7612" s="6" t="n">
        <f aca="false">Q!L7-Sens!D7611</f>
        <v>83.705</v>
      </c>
      <c r="E7612" s="6" t="n">
        <f aca="false">Q!M7-Sens!E7611</f>
        <v>95.049</v>
      </c>
      <c r="F7612" s="6" t="n">
        <f aca="false">Q!$I$7+(Sens!E7612*(1+Sens!F7613)+Sens!F7611)*(1-Q!$E$7/Q!M7)-Sens!F7611</f>
        <v>106.229653205718</v>
      </c>
      <c r="G7612" s="6" t="n">
        <f aca="false">Sens!F7612*(1+Sens!G7613)</f>
        <v>118.306092647576</v>
      </c>
      <c r="H7612" s="6" t="n">
        <f aca="false">Sens!G7612*(1+Sens!H7613)</f>
        <v>130.463437602768</v>
      </c>
      <c r="I7612" s="6" t="n">
        <f aca="false">Sens!H7612*(1+Sens!I7613)</f>
        <v>142.445354741933</v>
      </c>
      <c r="J7612" s="6" t="n">
        <f aca="false">Sens!I7612*(1+Sens!J7613)</f>
        <v>153.972117481571</v>
      </c>
      <c r="K7612" s="6" t="n">
        <f aca="false">Sens!J7612*(1+Sens!K7613)</f>
        <v>164.75016570528</v>
      </c>
      <c r="L7612" s="12" t="s">
        <v>1035</v>
      </c>
    </row>
    <row r="7613" customFormat="false" ht="15" hidden="false" customHeight="false" outlineLevel="0" collapsed="false">
      <c r="A7613" s="1" t="s">
        <v>1028</v>
      </c>
      <c r="B7613" s="0" t="s">
        <v>168</v>
      </c>
      <c r="E7613" s="7" t="n">
        <f aca="false">Sens!E7612/Sens!D7612-1</f>
        <v>0.135523564900544</v>
      </c>
      <c r="F7613" s="7" t="n">
        <f aca="false">Sens!$E$7613+(glt_m365b-Sens!$E$7613)*MIN(1,(Sens!F7565-base_fy)/n_conv)</f>
        <v>0.124602970750453</v>
      </c>
      <c r="G7613" s="7" t="n">
        <f aca="false">Sens!$E$7613+(glt_m365b-Sens!$E$7613)*MIN(1,(Sens!G7565-base_fy)/n_conv)</f>
        <v>0.113682376600363</v>
      </c>
      <c r="H7613" s="7" t="n">
        <f aca="false">Sens!$E$7613+(glt_m365b-Sens!$E$7613)*MIN(1,(Sens!H7565-base_fy)/n_conv)</f>
        <v>0.102761782450272</v>
      </c>
      <c r="I7613" s="7" t="n">
        <f aca="false">Sens!$E$7613+(glt_m365b-Sens!$E$7613)*MIN(1,(Sens!I7565-base_fy)/n_conv)</f>
        <v>0.0918411883001813</v>
      </c>
      <c r="J7613" s="7" t="n">
        <f aca="false">Sens!$E$7613+(glt_m365b-Sens!$E$7613)*MIN(1,(Sens!J7565-base_fy)/n_conv)</f>
        <v>0.0809205941500906</v>
      </c>
      <c r="K7613" s="7" t="n">
        <f aca="false">Sens!$E$7613+(glt_m365b-Sens!$E$7613)*MIN(1,(Sens!K7565-base_fy)/n_conv)</f>
        <v>0.07</v>
      </c>
    </row>
    <row r="7614" customFormat="false" ht="15" hidden="false" customHeight="false" outlineLevel="0" collapsed="false">
      <c r="A7614" s="0" t="s">
        <v>1036</v>
      </c>
      <c r="B7614" s="0" t="s">
        <v>98</v>
      </c>
      <c r="D7614" s="6" t="n">
        <f aca="false">Sens!D7612+Sens!D7611</f>
        <v>84.605</v>
      </c>
      <c r="E7614" s="6" t="n">
        <f aca="false">Sens!E7612+Sens!E7611</f>
        <v>100.299</v>
      </c>
      <c r="F7614" s="6" t="n">
        <f aca="false">Sens!F7612+Sens!F7611</f>
        <v>119.729653205718</v>
      </c>
      <c r="G7614" s="6" t="n">
        <f aca="false">Sens!G7612+Sens!G7611</f>
        <v>140.806092647576</v>
      </c>
      <c r="H7614" s="6" t="n">
        <f aca="false">Sens!H7612+Sens!H7611</f>
        <v>161.963437602768</v>
      </c>
      <c r="I7614" s="6" t="n">
        <f aca="false">Sens!I7612+Sens!I7611</f>
        <v>180.695354741933</v>
      </c>
      <c r="J7614" s="6" t="n">
        <f aca="false">Sens!J7612+Sens!J7611</f>
        <v>196.722117481571</v>
      </c>
      <c r="K7614" s="6" t="n">
        <f aca="false">Sens!K7612+Sens!K7611</f>
        <v>212.00016570528</v>
      </c>
    </row>
    <row r="7615" customFormat="false" ht="17.15" hidden="false" customHeight="false" outlineLevel="0" collapsed="false">
      <c r="A7615" s="0" t="s">
        <v>1037</v>
      </c>
      <c r="B7615" s="0" t="s">
        <v>98</v>
      </c>
      <c r="D7615" s="6" t="n">
        <f aca="false">Q!L8</f>
        <v>35.391</v>
      </c>
      <c r="E7615" s="6" t="n">
        <f aca="false">Q!M8</f>
        <v>37.285</v>
      </c>
      <c r="F7615" s="6" t="n">
        <f aca="false">Q!$I$8+(Q!M8-Q!$E$8)*(1+Sens!F7616)</f>
        <v>38.3851437782675</v>
      </c>
      <c r="G7615" s="6" t="n">
        <f aca="false">Sens!F7615*(1+Sens!G7616)</f>
        <v>40.0105353288615</v>
      </c>
      <c r="H7615" s="6" t="n">
        <f aca="false">Sens!G7615*(1+Sens!H7616)</f>
        <v>41.4812512033683</v>
      </c>
      <c r="I7615" s="6" t="n">
        <f aca="false">Sens!H7615*(1+Sens!I7616)</f>
        <v>42.7743107216329</v>
      </c>
      <c r="J7615" s="6" t="n">
        <f aca="false">Sens!I7615*(1+Sens!J7616)</f>
        <v>43.8687373064601</v>
      </c>
      <c r="K7615" s="6" t="n">
        <f aca="false">Sens!J7615*(1+Sens!K7616)</f>
        <v>44.7461120525893</v>
      </c>
      <c r="L7615" s="12" t="s">
        <v>1038</v>
      </c>
    </row>
    <row r="7616" customFormat="false" ht="15" hidden="false" customHeight="false" outlineLevel="0" collapsed="false">
      <c r="A7616" s="1" t="s">
        <v>1028</v>
      </c>
      <c r="B7616" s="0" t="s">
        <v>168</v>
      </c>
      <c r="E7616" s="7" t="n">
        <f aca="false">Sens!E7615/Sens!D7615-1</f>
        <v>0.0535164307309768</v>
      </c>
      <c r="F7616" s="7" t="n">
        <f aca="false">Sens!$E$7616+(glt_lic-Sens!$E$7616)*MIN(1,(Sens!F7565-base_fy)/n_conv)</f>
        <v>0.0479303589424807</v>
      </c>
      <c r="G7616" s="7" t="n">
        <f aca="false">Sens!$E$7616+(glt_lic-Sens!$E$7616)*MIN(1,(Sens!G7565-base_fy)/n_conv)</f>
        <v>0.0423442871539845</v>
      </c>
      <c r="H7616" s="7" t="n">
        <f aca="false">Sens!$E$7616+(glt_lic-Sens!$E$7616)*MIN(1,(Sens!H7565-base_fy)/n_conv)</f>
        <v>0.0367582153654884</v>
      </c>
      <c r="I7616" s="7" t="n">
        <f aca="false">Sens!$E$7616+(glt_lic-Sens!$E$7616)*MIN(1,(Sens!I7565-base_fy)/n_conv)</f>
        <v>0.0311721435769923</v>
      </c>
      <c r="J7616" s="7" t="n">
        <f aca="false">Sens!$E$7616+(glt_lic-Sens!$E$7616)*MIN(1,(Sens!J7565-base_fy)/n_conv)</f>
        <v>0.0255860717884961</v>
      </c>
      <c r="K7616" s="7" t="n">
        <f aca="false">Sens!$E$7616+(glt_lic-Sens!$E$7616)*MIN(1,(Sens!K7565-base_fy)/n_conv)</f>
        <v>0.02</v>
      </c>
    </row>
    <row r="7617" customFormat="false" ht="17.15" hidden="false" customHeight="false" outlineLevel="0" collapsed="false">
      <c r="A7617" s="0" t="s">
        <v>1039</v>
      </c>
      <c r="B7617" s="0" t="s">
        <v>98</v>
      </c>
      <c r="D7617" s="6" t="n">
        <f aca="false">Q!L9</f>
        <v>18.417</v>
      </c>
      <c r="E7617" s="6" t="n">
        <f aca="false">Q!M9</f>
        <v>20.345</v>
      </c>
      <c r="F7617" s="6" t="n">
        <f aca="false">Q!$I$9+(Q!M9-Q!$E$9)*(1+Sens!F7618)</f>
        <v>22.3161797133988</v>
      </c>
      <c r="G7617" s="6" t="n">
        <f aca="false">Sens!F7617*(1+Sens!G7618)</f>
        <v>24.3943499673233</v>
      </c>
      <c r="H7617" s="6" t="n">
        <f aca="false">Sens!G7617*(1+Sens!H7618)</f>
        <v>26.5250243109019</v>
      </c>
      <c r="I7617" s="6" t="n">
        <f aca="false">Sens!H7617*(1+Sens!I7618)</f>
        <v>28.6884573538181</v>
      </c>
      <c r="J7617" s="6" t="n">
        <f aca="false">Sens!I7617*(1+Sens!J7618)</f>
        <v>30.8624968052127</v>
      </c>
      <c r="K7617" s="6" t="n">
        <f aca="false">Sens!J7617*(1+Sens!K7618)</f>
        <v>33.0228715815776</v>
      </c>
      <c r="L7617" s="12" t="s">
        <v>1038</v>
      </c>
    </row>
    <row r="7618" customFormat="false" ht="15" hidden="false" customHeight="false" outlineLevel="0" collapsed="false">
      <c r="A7618" s="1" t="s">
        <v>1028</v>
      </c>
      <c r="B7618" s="0" t="s">
        <v>168</v>
      </c>
      <c r="E7618" s="7" t="n">
        <f aca="false">Sens!E7617/Sens!D7617-1</f>
        <v>0.104685888038225</v>
      </c>
      <c r="F7618" s="7" t="n">
        <f aca="false">Sens!$E$7618+(glt_ind-Sens!$E$7618)*MIN(1,(Sens!F7565-base_fy)/n_conv)</f>
        <v>0.0989049066985211</v>
      </c>
      <c r="G7618" s="7" t="n">
        <f aca="false">Sens!$E$7618+(glt_ind-Sens!$E$7618)*MIN(1,(Sens!G7565-base_fy)/n_conv)</f>
        <v>0.0931239253588169</v>
      </c>
      <c r="H7618" s="7" t="n">
        <f aca="false">Sens!$E$7618+(glt_ind-Sens!$E$7618)*MIN(1,(Sens!H7565-base_fy)/n_conv)</f>
        <v>0.0873429440191127</v>
      </c>
      <c r="I7618" s="7" t="n">
        <f aca="false">Sens!$E$7618+(glt_ind-Sens!$E$7618)*MIN(1,(Sens!I7565-base_fy)/n_conv)</f>
        <v>0.0815619626794085</v>
      </c>
      <c r="J7618" s="7" t="n">
        <f aca="false">Sens!$E$7618+(glt_ind-Sens!$E$7618)*MIN(1,(Sens!J7565-base_fy)/n_conv)</f>
        <v>0.0757809813397042</v>
      </c>
      <c r="K7618" s="7" t="n">
        <f aca="false">Sens!$E$7618+(glt_ind-Sens!$E$7618)*MIN(1,(Sens!K7565-base_fy)/n_conv)</f>
        <v>0.07</v>
      </c>
    </row>
    <row r="7619" customFormat="false" ht="17.15" hidden="false" customHeight="false" outlineLevel="0" collapsed="false">
      <c r="A7619" s="0" t="s">
        <v>1040</v>
      </c>
      <c r="B7619" s="0" t="s">
        <v>98</v>
      </c>
      <c r="D7619" s="6" t="n">
        <f aca="false">Q!L10</f>
        <v>7.76</v>
      </c>
      <c r="E7619" s="6" t="n">
        <f aca="false">Q!M10</f>
        <v>8.26</v>
      </c>
      <c r="F7619" s="6" t="n">
        <f aca="false">Q!$I$10+(Q!M10-Q!$E$10)*(1+Sens!F7620)</f>
        <v>8.75372082474227</v>
      </c>
      <c r="G7619" s="6" t="n">
        <f aca="false">Sens!F7619*(1+Sens!G7620)</f>
        <v>9.33399324642364</v>
      </c>
      <c r="H7619" s="6" t="n">
        <f aca="false">Sens!G7619*(1+Sens!H7620)</f>
        <v>9.96139155535851</v>
      </c>
      <c r="I7619" s="6" t="n">
        <f aca="false">Sens!H7619*(1+Sens!I7620)</f>
        <v>10.6402039077391</v>
      </c>
      <c r="J7619" s="6" t="n">
        <f aca="false">Sens!I7619*(1+Sens!J7620)</f>
        <v>11.3751458271397</v>
      </c>
      <c r="K7619" s="6" t="n">
        <f aca="false">Sens!J7619*(1+Sens!K7620)</f>
        <v>12.1714060350394</v>
      </c>
      <c r="L7619" s="12" t="s">
        <v>1038</v>
      </c>
    </row>
    <row r="7620" customFormat="false" ht="15" hidden="false" customHeight="false" outlineLevel="0" collapsed="false">
      <c r="A7620" s="1" t="s">
        <v>1028</v>
      </c>
      <c r="B7620" s="0" t="s">
        <v>168</v>
      </c>
      <c r="E7620" s="7" t="n">
        <f aca="false">Sens!E7619/Sens!D7619-1</f>
        <v>0.0644329896907216</v>
      </c>
      <c r="F7620" s="7" t="n">
        <f aca="false">Sens!$E$7620+(glt_fro-Sens!$E$7620)*MIN(1,(Sens!F7565-base_fy)/n_conv)</f>
        <v>0.065360824742268</v>
      </c>
      <c r="G7620" s="7" t="n">
        <f aca="false">Sens!$E$7620+(glt_fro-Sens!$E$7620)*MIN(1,(Sens!G7565-base_fy)/n_conv)</f>
        <v>0.0662886597938144</v>
      </c>
      <c r="H7620" s="7" t="n">
        <f aca="false">Sens!$E$7620+(glt_fro-Sens!$E$7620)*MIN(1,(Sens!H7565-base_fy)/n_conv)</f>
        <v>0.0672164948453608</v>
      </c>
      <c r="I7620" s="7" t="n">
        <f aca="false">Sens!$E$7620+(glt_fro-Sens!$E$7620)*MIN(1,(Sens!I7565-base_fy)/n_conv)</f>
        <v>0.0681443298969072</v>
      </c>
      <c r="J7620" s="7" t="n">
        <f aca="false">Sens!$E$7620+(glt_fro-Sens!$E$7620)*MIN(1,(Sens!J7565-base_fy)/n_conv)</f>
        <v>0.0690721649484536</v>
      </c>
      <c r="K7620" s="7" t="n">
        <f aca="false">Sens!$E$7620+(glt_fro-Sens!$E$7620)*MIN(1,(Sens!K7565-base_fy)/n_conv)</f>
        <v>0.07</v>
      </c>
    </row>
    <row r="7621" customFormat="false" ht="15" hidden="false" customHeight="false" outlineLevel="0" collapsed="false">
      <c r="A7621" s="0" t="s">
        <v>856</v>
      </c>
      <c r="B7621" s="0" t="s">
        <v>98</v>
      </c>
      <c r="D7621" s="6" t="n">
        <f aca="false">Sens!D7609+Sens!D7614+Sens!D7615+Sens!D7617+Sens!D7619</f>
        <v>218.783</v>
      </c>
      <c r="E7621" s="6" t="n">
        <f aca="false">Sens!E7609+Sens!E7614+Sens!E7615+Sens!E7617+Sens!E7619</f>
        <v>268.127</v>
      </c>
      <c r="F7621" s="6" t="n">
        <f aca="false">Sens!F7609+Sens!F7614+Sens!F7615+Sens!F7617+Sens!F7619</f>
        <v>335.893745522308</v>
      </c>
      <c r="G7621" s="6" t="n">
        <f aca="false">Sens!G7609+Sens!G7614+Sens!G7615+Sens!G7617+Sens!G7619</f>
        <v>414.307801051578</v>
      </c>
      <c r="H7621" s="6" t="n">
        <f aca="false">Sens!H7609+Sens!H7614+Sens!H7615+Sens!H7617+Sens!H7619</f>
        <v>494.077670782042</v>
      </c>
      <c r="I7621" s="6" t="n">
        <f aca="false">Sens!I7609+Sens!I7614+Sens!I7615+Sens!I7617+Sens!I7619</f>
        <v>566.23777368974</v>
      </c>
      <c r="J7621" s="6" t="n">
        <f aca="false">Sens!J7609+Sens!J7614+Sens!J7615+Sens!J7617+Sens!J7619</f>
        <v>624.138395880122</v>
      </c>
      <c r="K7621" s="6" t="n">
        <f aca="false">Sens!K7609+Sens!K7614+Sens!K7615+Sens!K7617+Sens!K7619</f>
        <v>670.038033271027</v>
      </c>
    </row>
    <row r="7622" customFormat="false" ht="17.15" hidden="false" customHeight="false" outlineLevel="0" collapsed="false">
      <c r="A7622" s="0" t="s">
        <v>1041</v>
      </c>
      <c r="B7622" s="0" t="s">
        <v>98</v>
      </c>
      <c r="D7622" s="6" t="n">
        <f aca="false">Q!L13</f>
        <v>22.171</v>
      </c>
      <c r="E7622" s="6" t="n">
        <f aca="false">Q!M13</f>
        <v>24.835</v>
      </c>
      <c r="F7622" s="6" t="n">
        <f aca="false">Q!$I$13+(Q!M13-Q!$E$13)*(1+Sens!F7623)</f>
        <v>27.5591895660247</v>
      </c>
      <c r="G7622" s="6" t="n">
        <f aca="false">Sens!F7622*(1+Sens!G7623)</f>
        <v>30.4098563144583</v>
      </c>
      <c r="H7622" s="6" t="n">
        <f aca="false">Sens!G7622*(1+Sens!H7623)</f>
        <v>33.3011792571777</v>
      </c>
      <c r="I7622" s="6" t="n">
        <f aca="false">Sens!H7622*(1+Sens!I7623)</f>
        <v>36.189023797112</v>
      </c>
      <c r="J7622" s="6" t="n">
        <f aca="false">Sens!I7622*(1+Sens!J7623)</f>
        <v>39.0247773769199</v>
      </c>
      <c r="K7622" s="6" t="n">
        <f aca="false">Sens!J7622*(1+Sens!K7623)</f>
        <v>41.7565117933043</v>
      </c>
      <c r="L7622" s="12" t="s">
        <v>1038</v>
      </c>
    </row>
    <row r="7623" customFormat="false" ht="15" hidden="false" customHeight="false" outlineLevel="0" collapsed="false">
      <c r="A7623" s="1" t="s">
        <v>1028</v>
      </c>
      <c r="B7623" s="0" t="s">
        <v>168</v>
      </c>
      <c r="E7623" s="7" t="n">
        <f aca="false">Sens!E7622/Sens!D7622-1</f>
        <v>0.120156961796942</v>
      </c>
      <c r="F7623" s="7" t="n">
        <f aca="false">Sens!$E$7623+(glt_srch-Sens!$E$7623)*MIN(1,(Sens!F7565-base_fy)/n_conv)</f>
        <v>0.111797468164118</v>
      </c>
      <c r="G7623" s="7" t="n">
        <f aca="false">Sens!$E$7623+(glt_srch-Sens!$E$7623)*MIN(1,(Sens!G7565-base_fy)/n_conv)</f>
        <v>0.103437974531295</v>
      </c>
      <c r="H7623" s="7" t="n">
        <f aca="false">Sens!$E$7623+(glt_srch-Sens!$E$7623)*MIN(1,(Sens!H7565-base_fy)/n_conv)</f>
        <v>0.095078480898471</v>
      </c>
      <c r="I7623" s="7" t="n">
        <f aca="false">Sens!$E$7623+(glt_srch-Sens!$E$7623)*MIN(1,(Sens!I7565-base_fy)/n_conv)</f>
        <v>0.0867189872656474</v>
      </c>
      <c r="J7623" s="7" t="n">
        <f aca="false">Sens!$E$7623+(glt_srch-Sens!$E$7623)*MIN(1,(Sens!J7565-base_fy)/n_conv)</f>
        <v>0.0783594936328237</v>
      </c>
      <c r="K7623" s="7" t="n">
        <f aca="false">Sens!$E$7623+(glt_srch-Sens!$E$7623)*MIN(1,(Sens!K7565-base_fy)/n_conv)</f>
        <v>0.07</v>
      </c>
    </row>
    <row r="7624" customFormat="false" ht="17.15" hidden="false" customHeight="false" outlineLevel="0" collapsed="false">
      <c r="A7624" s="0" t="s">
        <v>1042</v>
      </c>
      <c r="B7624" s="0" t="s">
        <v>98</v>
      </c>
      <c r="D7624" s="6" t="n">
        <f aca="false">Q!L14</f>
        <v>23.455</v>
      </c>
      <c r="E7624" s="6" t="n">
        <f aca="false">Q!M14</f>
        <v>21.79</v>
      </c>
      <c r="F7624" s="6" t="n">
        <f aca="false">Q!$I$14+(Q!M14-Q!$E$14)*(1+Sens!F7625)</f>
        <v>20.7520981041711</v>
      </c>
      <c r="G7624" s="6" t="n">
        <f aca="false">Sens!F7624*(1+Sens!G7625)</f>
        <v>19.9083593495882</v>
      </c>
      <c r="H7624" s="6" t="n">
        <f aca="false">Sens!G7624*(1+Sens!H7625)</f>
        <v>19.4008256265831</v>
      </c>
      <c r="I7624" s="6" t="n">
        <f aca="false">Sens!H7624*(1+Sens!I7625)</f>
        <v>19.200434522122</v>
      </c>
      <c r="J7624" s="6" t="n">
        <f aca="false">Sens!I7624*(1+Sens!J7625)</f>
        <v>19.2932782348507</v>
      </c>
      <c r="K7624" s="6" t="n">
        <f aca="false">Sens!J7624*(1+Sens!K7625)</f>
        <v>19.6791437995477</v>
      </c>
      <c r="L7624" s="12" t="s">
        <v>1038</v>
      </c>
    </row>
    <row r="7625" customFormat="false" ht="15" hidden="false" customHeight="false" outlineLevel="0" collapsed="false">
      <c r="A7625" s="1" t="s">
        <v>1028</v>
      </c>
      <c r="B7625" s="0" t="s">
        <v>168</v>
      </c>
      <c r="E7625" s="7" t="n">
        <f aca="false">Sens!E7624/Sens!D7624-1</f>
        <v>-0.0709869963760392</v>
      </c>
      <c r="F7625" s="7" t="n">
        <f aca="false">Sens!$E$7625+(glt_xbox-Sens!$E$7625)*MIN(1,(Sens!F7565-base_fy)/n_conv)</f>
        <v>-0.0558224969800327</v>
      </c>
      <c r="G7625" s="7" t="n">
        <f aca="false">Sens!$E$7625+(glt_xbox-Sens!$E$7625)*MIN(1,(Sens!G7565-base_fy)/n_conv)</f>
        <v>-0.0406579975840262</v>
      </c>
      <c r="H7625" s="7" t="n">
        <f aca="false">Sens!$E$7625+(glt_xbox-Sens!$E$7625)*MIN(1,(Sens!H7565-base_fy)/n_conv)</f>
        <v>-0.0254934981880196</v>
      </c>
      <c r="I7625" s="7" t="n">
        <f aca="false">Sens!$E$7625+(glt_xbox-Sens!$E$7625)*MIN(1,(Sens!I7565-base_fy)/n_conv)</f>
        <v>-0.0103289987920131</v>
      </c>
      <c r="J7625" s="7" t="n">
        <f aca="false">Sens!$E$7625+(glt_xbox-Sens!$E$7625)*MIN(1,(Sens!J7565-base_fy)/n_conv)</f>
        <v>0.00483550060399347</v>
      </c>
      <c r="K7625" s="7" t="n">
        <f aca="false">Sens!$E$7625+(glt_xbox-Sens!$E$7625)*MIN(1,(Sens!K7565-base_fy)/n_conv)</f>
        <v>0.02</v>
      </c>
    </row>
    <row r="7626" customFormat="false" ht="17.15" hidden="false" customHeight="false" outlineLevel="0" collapsed="false">
      <c r="A7626" s="0" t="s">
        <v>1043</v>
      </c>
      <c r="B7626" s="0" t="s">
        <v>98</v>
      </c>
      <c r="D7626" s="6" t="n">
        <f aca="false">Q!L15</f>
        <v>17.315</v>
      </c>
      <c r="E7626" s="6" t="n">
        <f aca="false">Q!M15</f>
        <v>17.087</v>
      </c>
      <c r="F7626" s="6" t="n">
        <f aca="false">Q!$I$15+(Q!M15-Q!$E$15)*(1+Sens!F7627)</f>
        <v>15.9912273250553</v>
      </c>
      <c r="G7626" s="6" t="n">
        <f aca="false">Sens!F7626*(1+Sens!G7627)</f>
        <v>15.9574562664827</v>
      </c>
      <c r="H7626" s="6" t="n">
        <f aca="false">Sens!G7626*(1+Sens!H7627)</f>
        <v>16.0119687434196</v>
      </c>
      <c r="I7626" s="6" t="n">
        <f aca="false">Sens!H7626*(1+Sens!I7627)</f>
        <v>16.1551810001948</v>
      </c>
      <c r="J7626" s="6" t="n">
        <f aca="false">Sens!I7626*(1+Sens!J7627)</f>
        <v>16.3889793892005</v>
      </c>
      <c r="K7626" s="6" t="n">
        <f aca="false">Sens!J7626*(1+Sens!K7627)</f>
        <v>16.7167589769845</v>
      </c>
      <c r="L7626" s="12" t="s">
        <v>1038</v>
      </c>
    </row>
    <row r="7627" customFormat="false" ht="15" hidden="false" customHeight="false" outlineLevel="0" collapsed="false">
      <c r="A7627" s="1" t="s">
        <v>1028</v>
      </c>
      <c r="B7627" s="0" t="s">
        <v>168</v>
      </c>
      <c r="E7627" s="7" t="n">
        <f aca="false">Sens!E7626/Sens!D7626-1</f>
        <v>-0.0131677736066995</v>
      </c>
      <c r="F7627" s="7" t="n">
        <f aca="false">Sens!$E$7627+(glt_win-Sens!$E$7627)*MIN(1,(Sens!F7565-base_fy)/n_conv)</f>
        <v>-0.00763981133891627</v>
      </c>
      <c r="G7627" s="7" t="n">
        <f aca="false">Sens!$E$7627+(glt_win-Sens!$E$7627)*MIN(1,(Sens!G7565-base_fy)/n_conv)</f>
        <v>-0.00211184907113301</v>
      </c>
      <c r="H7627" s="7" t="n">
        <f aca="false">Sens!$E$7627+(glt_win-Sens!$E$7627)*MIN(1,(Sens!H7565-base_fy)/n_conv)</f>
        <v>0.00341611319665024</v>
      </c>
      <c r="I7627" s="7" t="n">
        <f aca="false">Sens!$E$7627+(glt_win-Sens!$E$7627)*MIN(1,(Sens!I7565-base_fy)/n_conv)</f>
        <v>0.00894407546443349</v>
      </c>
      <c r="J7627" s="7" t="n">
        <f aca="false">Sens!$E$7627+(glt_win-Sens!$E$7627)*MIN(1,(Sens!J7565-base_fy)/n_conv)</f>
        <v>0.0144720377322168</v>
      </c>
      <c r="K7627" s="7" t="n">
        <f aca="false">Sens!$E$7627+(glt_win-Sens!$E$7627)*MIN(1,(Sens!K7565-base_fy)/n_conv)</f>
        <v>0.02</v>
      </c>
    </row>
    <row r="7628" customFormat="false" ht="15" hidden="false" customHeight="false" outlineLevel="0" collapsed="false">
      <c r="A7628" s="0" t="s">
        <v>870</v>
      </c>
      <c r="B7628" s="0" t="s">
        <v>98</v>
      </c>
      <c r="D7628" s="6" t="n">
        <f aca="false">Sens!D7622+Sens!D7624+Sens!D7626</f>
        <v>62.941</v>
      </c>
      <c r="E7628" s="6" t="n">
        <f aca="false">Sens!E7622+Sens!E7624+Sens!E7626</f>
        <v>63.712</v>
      </c>
      <c r="F7628" s="6" t="n">
        <f aca="false">Sens!F7622+Sens!F7624+Sens!F7626</f>
        <v>64.3025149952511</v>
      </c>
      <c r="G7628" s="6" t="n">
        <f aca="false">Sens!G7622+Sens!G7624+Sens!G7626</f>
        <v>66.2756719305292</v>
      </c>
      <c r="H7628" s="6" t="n">
        <f aca="false">Sens!H7622+Sens!H7624+Sens!H7626</f>
        <v>68.7139736271804</v>
      </c>
      <c r="I7628" s="6" t="n">
        <f aca="false">Sens!I7622+Sens!I7624+Sens!I7626</f>
        <v>71.5446393194289</v>
      </c>
      <c r="J7628" s="6" t="n">
        <f aca="false">Sens!J7622+Sens!J7624+Sens!J7626</f>
        <v>74.707035000971</v>
      </c>
      <c r="K7628" s="6" t="n">
        <f aca="false">Sens!K7622+Sens!K7624+Sens!K7626</f>
        <v>78.1524145698365</v>
      </c>
    </row>
    <row r="7629" customFormat="false" ht="15" hidden="false" customHeight="false" outlineLevel="0" collapsed="false">
      <c r="A7629" s="1" t="s">
        <v>1044</v>
      </c>
      <c r="B7629" s="0" t="s">
        <v>98</v>
      </c>
      <c r="D7629" s="6" t="n">
        <f aca="false">Sens!D7621+Sens!D7628</f>
        <v>281.724</v>
      </c>
      <c r="E7629" s="6" t="n">
        <f aca="false">Sens!E7621+Sens!E7628</f>
        <v>331.839</v>
      </c>
      <c r="F7629" s="6" t="n">
        <f aca="false">Sens!F7621+Sens!F7628</f>
        <v>400.196260517559</v>
      </c>
      <c r="G7629" s="6" t="n">
        <f aca="false">Sens!G7621+Sens!G7628</f>
        <v>480.583472982107</v>
      </c>
      <c r="H7629" s="6" t="n">
        <f aca="false">Sens!H7621+Sens!H7628</f>
        <v>562.791644409222</v>
      </c>
      <c r="I7629" s="6" t="n">
        <f aca="false">Sens!I7621+Sens!I7628</f>
        <v>637.782413009169</v>
      </c>
      <c r="J7629" s="6" t="n">
        <f aca="false">Sens!J7621+Sens!J7628</f>
        <v>698.845430881093</v>
      </c>
      <c r="K7629" s="6" t="n">
        <f aca="false">Sens!K7621+Sens!K7628</f>
        <v>748.190447840863</v>
      </c>
    </row>
    <row r="7630" customFormat="false" ht="15" hidden="false" customHeight="false" outlineLevel="0" collapsed="false">
      <c r="A7630" s="26" t="s">
        <v>1045</v>
      </c>
      <c r="B7630" s="31" t="s">
        <v>98</v>
      </c>
      <c r="C7630" s="31"/>
      <c r="D7630" s="27" t="n">
        <f aca="false">(Sens!D7609+Sens!D7614+Sens!D7615+Sens!D7617+Sens!D7619-Sens!D7621)+(Sens!D7622+Sens!D7624+Sens!D7626-Sens!D7628)+(Sens!D7621-Q!L5)+(Sens!D7628-Q!L12)+(Sens!D7609-Q!L6)+(Sens!D7614-Q!L7)</f>
        <v>0</v>
      </c>
      <c r="E7630" s="27" t="n">
        <f aca="false">(Sens!E7609+Sens!E7614+Sens!E7615+Sens!E7617+Sens!E7619-Sens!E7621)+(Sens!E7622+Sens!E7624+Sens!E7626-Sens!E7628)+(Sens!E7621-Q!M5)+(Sens!E7628-Q!M12)+(Sens!E7609-Q!M6)+(Sens!E7614-Q!M7)</f>
        <v>0</v>
      </c>
      <c r="F7630" s="27" t="n">
        <f aca="false">(Sens!F7609+Sens!F7614+Sens!F7615+Sens!F7617+Sens!F7619-Sens!F7621)+(Sens!F7622+Sens!F7624+Sens!F7626-Sens!F7628)</f>
        <v>0</v>
      </c>
      <c r="G7630" s="27" t="n">
        <f aca="false">(Sens!G7609+Sens!G7614+Sens!G7615+Sens!G7617+Sens!G7619-Sens!G7621)+(Sens!G7622+Sens!G7624+Sens!G7626-Sens!G7628)</f>
        <v>0</v>
      </c>
      <c r="H7630" s="27" t="n">
        <f aca="false">(Sens!H7609+Sens!H7614+Sens!H7615+Sens!H7617+Sens!H7619-Sens!H7621)+(Sens!H7622+Sens!H7624+Sens!H7626-Sens!H7628)</f>
        <v>0</v>
      </c>
      <c r="I7630" s="27" t="n">
        <f aca="false">(Sens!I7609+Sens!I7614+Sens!I7615+Sens!I7617+Sens!I7619-Sens!I7621)+(Sens!I7622+Sens!I7624+Sens!I7626-Sens!I7628)</f>
        <v>0</v>
      </c>
      <c r="J7630" s="27" t="n">
        <f aca="false">(Sens!J7609+Sens!J7614+Sens!J7615+Sens!J7617+Sens!J7619-Sens!J7621)+(Sens!J7622+Sens!J7624+Sens!J7626-Sens!J7628)</f>
        <v>0</v>
      </c>
      <c r="K7630" s="27" t="n">
        <f aca="false">(Sens!K7609+Sens!K7614+Sens!K7615+Sens!K7617+Sens!K7619-Sens!K7621)+(Sens!K7622+Sens!K7624+Sens!K7626-Sens!K7628)</f>
        <v>0</v>
      </c>
    </row>
    <row r="7631" customFormat="false" ht="17.15" hidden="false" customHeight="false" outlineLevel="0" collapsed="false">
      <c r="A7631" s="3" t="s">
        <v>1802</v>
      </c>
    </row>
    <row r="7632" customFormat="false" ht="15" hidden="false" customHeight="false" outlineLevel="0" collapsed="false">
      <c r="A7632" s="4" t="s">
        <v>43</v>
      </c>
      <c r="B7632" s="4" t="s">
        <v>65</v>
      </c>
      <c r="C7632" s="23" t="s">
        <v>942</v>
      </c>
      <c r="D7632" s="23" t="s">
        <v>943</v>
      </c>
      <c r="E7632" s="23" t="s">
        <v>944</v>
      </c>
      <c r="F7632" s="23" t="s">
        <v>945</v>
      </c>
      <c r="G7632" s="23" t="s">
        <v>946</v>
      </c>
      <c r="H7632" s="23" t="s">
        <v>947</v>
      </c>
      <c r="I7632" s="23" t="s">
        <v>948</v>
      </c>
      <c r="J7632" s="23" t="s">
        <v>949</v>
      </c>
      <c r="K7632" s="23" t="s">
        <v>950</v>
      </c>
      <c r="L7632" s="4" t="s">
        <v>47</v>
      </c>
    </row>
    <row r="7633" customFormat="false" ht="15" hidden="false" customHeight="false" outlineLevel="0" collapsed="false">
      <c r="A7633" s="0" t="s">
        <v>1029</v>
      </c>
      <c r="B7633" s="0" t="s">
        <v>98</v>
      </c>
      <c r="D7633" s="6" t="n">
        <f aca="false">Sens!D7609</f>
        <v>72.61</v>
      </c>
      <c r="E7633" s="6" t="n">
        <f aca="false">Sens!E7609</f>
        <v>101.938</v>
      </c>
      <c r="F7633" s="6" t="n">
        <f aca="false">Sens!F7609</f>
        <v>146.709048000181</v>
      </c>
      <c r="G7633" s="6" t="n">
        <f aca="false">Sens!G7609</f>
        <v>199.762829861393</v>
      </c>
      <c r="H7633" s="6" t="n">
        <f aca="false">Sens!H7609</f>
        <v>254.146566109645</v>
      </c>
      <c r="I7633" s="6" t="n">
        <f aca="false">Sens!I7609</f>
        <v>303.439446964617</v>
      </c>
      <c r="J7633" s="6" t="n">
        <f aca="false">Sens!J7609</f>
        <v>341.309898459739</v>
      </c>
      <c r="K7633" s="6" t="n">
        <f aca="false">Sens!K7609</f>
        <v>368.09747789654</v>
      </c>
    </row>
    <row r="7634" customFormat="false" ht="17.15" hidden="false" customHeight="false" outlineLevel="0" collapsed="false">
      <c r="A7634" s="0" t="s">
        <v>1025</v>
      </c>
      <c r="B7634" s="0" t="s">
        <v>98</v>
      </c>
      <c r="D7634" s="6" t="n">
        <f aca="false">Sens!D7606</f>
        <v>12.9359794422418</v>
      </c>
      <c r="E7634" s="6" t="n">
        <f aca="false">Sens!E7606</f>
        <v>27.8095064661409</v>
      </c>
      <c r="F7634" s="6" t="n">
        <f aca="false">Sens!F7606</f>
        <v>55.4118315060966</v>
      </c>
      <c r="G7634" s="6" t="n">
        <f aca="false">Sens!G7606</f>
        <v>91.2881100675143</v>
      </c>
      <c r="H7634" s="6" t="n">
        <f aca="false">Sens!H7606</f>
        <v>128.195273603944</v>
      </c>
      <c r="I7634" s="6" t="n">
        <f aca="false">Sens!I7606</f>
        <v>160.601281810405</v>
      </c>
      <c r="J7634" s="6" t="n">
        <f aca="false">Sens!J7606</f>
        <v>183.182719793589</v>
      </c>
      <c r="K7634" s="6" t="n">
        <f aca="false">Sens!K7606</f>
        <v>197.320124937098</v>
      </c>
    </row>
    <row r="7635" customFormat="false" ht="17.15" hidden="false" customHeight="false" outlineLevel="0" collapsed="false">
      <c r="A7635" s="0" t="s">
        <v>1056</v>
      </c>
      <c r="B7635" s="0" t="s">
        <v>98</v>
      </c>
      <c r="D7635" s="6" t="n">
        <f aca="false">Sens!D7607</f>
        <v>59.6740205577583</v>
      </c>
      <c r="E7635" s="6" t="n">
        <f aca="false">Sens!E7607</f>
        <v>74.1284935338591</v>
      </c>
      <c r="F7635" s="6" t="n">
        <f aca="false">Sens!F7607</f>
        <v>91.2972164940844</v>
      </c>
      <c r="G7635" s="6" t="n">
        <f aca="false">Sens!G7607</f>
        <v>108.474719793879</v>
      </c>
      <c r="H7635" s="6" t="n">
        <f aca="false">Sens!H7607</f>
        <v>125.951292505701</v>
      </c>
      <c r="I7635" s="6" t="n">
        <f aca="false">Sens!I7607</f>
        <v>142.838165154212</v>
      </c>
      <c r="J7635" s="6" t="n">
        <f aca="false">Sens!J7607</f>
        <v>158.12717866615</v>
      </c>
      <c r="K7635" s="6" t="n">
        <f aca="false">Sens!K7607</f>
        <v>170.777352959442</v>
      </c>
    </row>
    <row r="7636" customFormat="false" ht="15" hidden="false" customHeight="false" outlineLevel="0" collapsed="false">
      <c r="A7636" s="0" t="s">
        <v>1036</v>
      </c>
      <c r="B7636" s="0" t="s">
        <v>98</v>
      </c>
      <c r="D7636" s="6" t="n">
        <f aca="false">Sens!D7614</f>
        <v>84.605</v>
      </c>
      <c r="E7636" s="6" t="n">
        <f aca="false">Sens!E7614</f>
        <v>100.299</v>
      </c>
      <c r="F7636" s="6" t="n">
        <f aca="false">Sens!F7614</f>
        <v>119.729653205718</v>
      </c>
      <c r="G7636" s="6" t="n">
        <f aca="false">Sens!G7614</f>
        <v>140.806092647576</v>
      </c>
      <c r="H7636" s="6" t="n">
        <f aca="false">Sens!H7614</f>
        <v>161.963437602768</v>
      </c>
      <c r="I7636" s="6" t="n">
        <f aca="false">Sens!I7614</f>
        <v>180.695354741933</v>
      </c>
      <c r="J7636" s="6" t="n">
        <f aca="false">Sens!J7614</f>
        <v>196.722117481571</v>
      </c>
      <c r="K7636" s="6" t="n">
        <f aca="false">Sens!K7614</f>
        <v>212.00016570528</v>
      </c>
    </row>
    <row r="7637" customFormat="false" ht="17.15" hidden="false" customHeight="false" outlineLevel="0" collapsed="false">
      <c r="A7637" s="0" t="s">
        <v>1057</v>
      </c>
      <c r="B7637" s="0" t="s">
        <v>98</v>
      </c>
      <c r="D7637" s="6" t="n">
        <f aca="false">Sens!D7612</f>
        <v>83.705</v>
      </c>
      <c r="E7637" s="6" t="n">
        <f aca="false">Sens!E7612</f>
        <v>95.049</v>
      </c>
      <c r="F7637" s="6" t="n">
        <f aca="false">Sens!F7612</f>
        <v>106.229653205718</v>
      </c>
      <c r="G7637" s="6" t="n">
        <f aca="false">Sens!G7612</f>
        <v>118.306092647576</v>
      </c>
      <c r="H7637" s="6" t="n">
        <f aca="false">Sens!H7612</f>
        <v>130.463437602768</v>
      </c>
      <c r="I7637" s="6" t="n">
        <f aca="false">Sens!I7612</f>
        <v>142.445354741933</v>
      </c>
      <c r="J7637" s="6" t="n">
        <f aca="false">Sens!J7612</f>
        <v>153.972117481571</v>
      </c>
      <c r="K7637" s="6" t="n">
        <f aca="false">Sens!K7612</f>
        <v>164.75016570528</v>
      </c>
    </row>
    <row r="7638" customFormat="false" ht="17.15" hidden="false" customHeight="false" outlineLevel="0" collapsed="false">
      <c r="A7638" s="0" t="s">
        <v>1058</v>
      </c>
      <c r="B7638" s="0" t="s">
        <v>98</v>
      </c>
      <c r="D7638" s="6" t="n">
        <f aca="false">Sens!D7611</f>
        <v>0.9</v>
      </c>
      <c r="E7638" s="6" t="n">
        <f aca="false">Sens!E7611</f>
        <v>5.25</v>
      </c>
      <c r="F7638" s="6" t="n">
        <f aca="false">Sens!F7611</f>
        <v>13.5</v>
      </c>
      <c r="G7638" s="6" t="n">
        <f aca="false">Sens!G7611</f>
        <v>22.5</v>
      </c>
      <c r="H7638" s="6" t="n">
        <f aca="false">Sens!H7611</f>
        <v>31.5</v>
      </c>
      <c r="I7638" s="6" t="n">
        <f aca="false">Sens!I7611</f>
        <v>38.25</v>
      </c>
      <c r="J7638" s="6" t="n">
        <f aca="false">Sens!J7611</f>
        <v>42.75</v>
      </c>
      <c r="K7638" s="6" t="n">
        <f aca="false">Sens!K7611</f>
        <v>47.25</v>
      </c>
    </row>
    <row r="7639" customFormat="false" ht="15" hidden="false" customHeight="false" outlineLevel="0" collapsed="false">
      <c r="A7639" s="0" t="s">
        <v>1037</v>
      </c>
      <c r="B7639" s="0" t="s">
        <v>98</v>
      </c>
      <c r="D7639" s="6" t="n">
        <f aca="false">Sens!D7615</f>
        <v>35.391</v>
      </c>
      <c r="E7639" s="6" t="n">
        <f aca="false">Sens!E7615</f>
        <v>37.285</v>
      </c>
      <c r="F7639" s="6" t="n">
        <f aca="false">Sens!F7615</f>
        <v>38.3851437782675</v>
      </c>
      <c r="G7639" s="6" t="n">
        <f aca="false">Sens!G7615</f>
        <v>40.0105353288615</v>
      </c>
      <c r="H7639" s="6" t="n">
        <f aca="false">Sens!H7615</f>
        <v>41.4812512033683</v>
      </c>
      <c r="I7639" s="6" t="n">
        <f aca="false">Sens!I7615</f>
        <v>42.7743107216329</v>
      </c>
      <c r="J7639" s="6" t="n">
        <f aca="false">Sens!J7615</f>
        <v>43.8687373064601</v>
      </c>
      <c r="K7639" s="6" t="n">
        <f aca="false">Sens!K7615</f>
        <v>44.7461120525893</v>
      </c>
    </row>
    <row r="7640" customFormat="false" ht="15" hidden="false" customHeight="false" outlineLevel="0" collapsed="false">
      <c r="A7640" s="0" t="s">
        <v>1039</v>
      </c>
      <c r="B7640" s="0" t="s">
        <v>98</v>
      </c>
      <c r="D7640" s="6" t="n">
        <f aca="false">Sens!D7617</f>
        <v>18.417</v>
      </c>
      <c r="E7640" s="6" t="n">
        <f aca="false">Sens!E7617</f>
        <v>20.345</v>
      </c>
      <c r="F7640" s="6" t="n">
        <f aca="false">Sens!F7617</f>
        <v>22.3161797133988</v>
      </c>
      <c r="G7640" s="6" t="n">
        <f aca="false">Sens!G7617</f>
        <v>24.3943499673233</v>
      </c>
      <c r="H7640" s="6" t="n">
        <f aca="false">Sens!H7617</f>
        <v>26.5250243109019</v>
      </c>
      <c r="I7640" s="6" t="n">
        <f aca="false">Sens!I7617</f>
        <v>28.6884573538181</v>
      </c>
      <c r="J7640" s="6" t="n">
        <f aca="false">Sens!J7617</f>
        <v>30.8624968052127</v>
      </c>
      <c r="K7640" s="6" t="n">
        <f aca="false">Sens!K7617</f>
        <v>33.0228715815776</v>
      </c>
    </row>
    <row r="7641" customFormat="false" ht="15" hidden="false" customHeight="false" outlineLevel="0" collapsed="false">
      <c r="A7641" s="0" t="s">
        <v>1040</v>
      </c>
      <c r="B7641" s="0" t="s">
        <v>98</v>
      </c>
      <c r="D7641" s="6" t="n">
        <f aca="false">Sens!D7619</f>
        <v>7.76</v>
      </c>
      <c r="E7641" s="6" t="n">
        <f aca="false">Sens!E7619</f>
        <v>8.26</v>
      </c>
      <c r="F7641" s="6" t="n">
        <f aca="false">Sens!F7619</f>
        <v>8.75372082474227</v>
      </c>
      <c r="G7641" s="6" t="n">
        <f aca="false">Sens!G7619</f>
        <v>9.33399324642364</v>
      </c>
      <c r="H7641" s="6" t="n">
        <f aca="false">Sens!H7619</f>
        <v>9.96139155535851</v>
      </c>
      <c r="I7641" s="6" t="n">
        <f aca="false">Sens!I7619</f>
        <v>10.6402039077391</v>
      </c>
      <c r="J7641" s="6" t="n">
        <f aca="false">Sens!J7619</f>
        <v>11.3751458271397</v>
      </c>
      <c r="K7641" s="6" t="n">
        <f aca="false">Sens!K7619</f>
        <v>12.1714060350394</v>
      </c>
    </row>
    <row r="7642" customFormat="false" ht="15" hidden="false" customHeight="false" outlineLevel="0" collapsed="false">
      <c r="A7642" s="0" t="s">
        <v>856</v>
      </c>
      <c r="B7642" s="0" t="s">
        <v>98</v>
      </c>
      <c r="D7642" s="6" t="n">
        <f aca="false">Sens!D7621</f>
        <v>218.783</v>
      </c>
      <c r="E7642" s="6" t="n">
        <f aca="false">Sens!E7621</f>
        <v>268.127</v>
      </c>
      <c r="F7642" s="6" t="n">
        <f aca="false">Sens!F7621</f>
        <v>335.893745522308</v>
      </c>
      <c r="G7642" s="6" t="n">
        <f aca="false">Sens!G7621</f>
        <v>414.307801051578</v>
      </c>
      <c r="H7642" s="6" t="n">
        <f aca="false">Sens!H7621</f>
        <v>494.077670782042</v>
      </c>
      <c r="I7642" s="6" t="n">
        <f aca="false">Sens!I7621</f>
        <v>566.23777368974</v>
      </c>
      <c r="J7642" s="6" t="n">
        <f aca="false">Sens!J7621</f>
        <v>624.138395880122</v>
      </c>
      <c r="K7642" s="6" t="n">
        <f aca="false">Sens!K7621</f>
        <v>670.038033271027</v>
      </c>
    </row>
    <row r="7643" customFormat="false" ht="15" hidden="false" customHeight="false" outlineLevel="0" collapsed="false">
      <c r="A7643" s="0" t="s">
        <v>1041</v>
      </c>
      <c r="B7643" s="0" t="s">
        <v>98</v>
      </c>
      <c r="D7643" s="6" t="n">
        <f aca="false">Sens!D7622</f>
        <v>22.171</v>
      </c>
      <c r="E7643" s="6" t="n">
        <f aca="false">Sens!E7622</f>
        <v>24.835</v>
      </c>
      <c r="F7643" s="6" t="n">
        <f aca="false">Sens!F7622</f>
        <v>27.5591895660247</v>
      </c>
      <c r="G7643" s="6" t="n">
        <f aca="false">Sens!G7622</f>
        <v>30.4098563144583</v>
      </c>
      <c r="H7643" s="6" t="n">
        <f aca="false">Sens!H7622</f>
        <v>33.3011792571777</v>
      </c>
      <c r="I7643" s="6" t="n">
        <f aca="false">Sens!I7622</f>
        <v>36.189023797112</v>
      </c>
      <c r="J7643" s="6" t="n">
        <f aca="false">Sens!J7622</f>
        <v>39.0247773769199</v>
      </c>
      <c r="K7643" s="6" t="n">
        <f aca="false">Sens!K7622</f>
        <v>41.7565117933043</v>
      </c>
    </row>
    <row r="7644" customFormat="false" ht="15" hidden="false" customHeight="false" outlineLevel="0" collapsed="false">
      <c r="A7644" s="0" t="s">
        <v>1042</v>
      </c>
      <c r="B7644" s="0" t="s">
        <v>98</v>
      </c>
      <c r="D7644" s="6" t="n">
        <f aca="false">Sens!D7624</f>
        <v>23.455</v>
      </c>
      <c r="E7644" s="6" t="n">
        <f aca="false">Sens!E7624</f>
        <v>21.79</v>
      </c>
      <c r="F7644" s="6" t="n">
        <f aca="false">Sens!F7624</f>
        <v>20.7520981041711</v>
      </c>
      <c r="G7644" s="6" t="n">
        <f aca="false">Sens!G7624</f>
        <v>19.9083593495882</v>
      </c>
      <c r="H7644" s="6" t="n">
        <f aca="false">Sens!H7624</f>
        <v>19.4008256265831</v>
      </c>
      <c r="I7644" s="6" t="n">
        <f aca="false">Sens!I7624</f>
        <v>19.200434522122</v>
      </c>
      <c r="J7644" s="6" t="n">
        <f aca="false">Sens!J7624</f>
        <v>19.2932782348507</v>
      </c>
      <c r="K7644" s="6" t="n">
        <f aca="false">Sens!K7624</f>
        <v>19.6791437995477</v>
      </c>
    </row>
    <row r="7645" customFormat="false" ht="15" hidden="false" customHeight="false" outlineLevel="0" collapsed="false">
      <c r="A7645" s="0" t="s">
        <v>1043</v>
      </c>
      <c r="B7645" s="0" t="s">
        <v>98</v>
      </c>
      <c r="D7645" s="6" t="n">
        <f aca="false">Sens!D7626</f>
        <v>17.315</v>
      </c>
      <c r="E7645" s="6" t="n">
        <f aca="false">Sens!E7626</f>
        <v>17.087</v>
      </c>
      <c r="F7645" s="6" t="n">
        <f aca="false">Sens!F7626</f>
        <v>15.9912273250553</v>
      </c>
      <c r="G7645" s="6" t="n">
        <f aca="false">Sens!G7626</f>
        <v>15.9574562664827</v>
      </c>
      <c r="H7645" s="6" t="n">
        <f aca="false">Sens!H7626</f>
        <v>16.0119687434196</v>
      </c>
      <c r="I7645" s="6" t="n">
        <f aca="false">Sens!I7626</f>
        <v>16.1551810001948</v>
      </c>
      <c r="J7645" s="6" t="n">
        <f aca="false">Sens!J7626</f>
        <v>16.3889793892005</v>
      </c>
      <c r="K7645" s="6" t="n">
        <f aca="false">Sens!K7626</f>
        <v>16.7167589769845</v>
      </c>
    </row>
    <row r="7646" customFormat="false" ht="15" hidden="false" customHeight="false" outlineLevel="0" collapsed="false">
      <c r="A7646" s="0" t="s">
        <v>870</v>
      </c>
      <c r="B7646" s="0" t="s">
        <v>98</v>
      </c>
      <c r="D7646" s="6" t="n">
        <f aca="false">Sens!D7628</f>
        <v>62.941</v>
      </c>
      <c r="E7646" s="6" t="n">
        <f aca="false">Sens!E7628</f>
        <v>63.712</v>
      </c>
      <c r="F7646" s="6" t="n">
        <f aca="false">Sens!F7628</f>
        <v>64.3025149952511</v>
      </c>
      <c r="G7646" s="6" t="n">
        <f aca="false">Sens!G7628</f>
        <v>66.2756719305292</v>
      </c>
      <c r="H7646" s="6" t="n">
        <f aca="false">Sens!H7628</f>
        <v>68.7139736271804</v>
      </c>
      <c r="I7646" s="6" t="n">
        <f aca="false">Sens!I7628</f>
        <v>71.5446393194289</v>
      </c>
      <c r="J7646" s="6" t="n">
        <f aca="false">Sens!J7628</f>
        <v>74.707035000971</v>
      </c>
      <c r="K7646" s="6" t="n">
        <f aca="false">Sens!K7628</f>
        <v>78.1524145698365</v>
      </c>
    </row>
    <row r="7647" customFormat="false" ht="15" hidden="false" customHeight="false" outlineLevel="0" collapsed="false">
      <c r="A7647" s="1" t="s">
        <v>1059</v>
      </c>
      <c r="B7647" s="0" t="s">
        <v>98</v>
      </c>
      <c r="D7647" s="6" t="n">
        <f aca="false">Sens!D7629</f>
        <v>281.724</v>
      </c>
      <c r="E7647" s="6" t="n">
        <f aca="false">Sens!E7629</f>
        <v>331.839</v>
      </c>
      <c r="F7647" s="6" t="n">
        <f aca="false">Sens!F7629</f>
        <v>400.196260517559</v>
      </c>
      <c r="G7647" s="6" t="n">
        <f aca="false">Sens!G7629</f>
        <v>480.583472982107</v>
      </c>
      <c r="H7647" s="6" t="n">
        <f aca="false">Sens!H7629</f>
        <v>562.791644409222</v>
      </c>
      <c r="I7647" s="6" t="n">
        <f aca="false">Sens!I7629</f>
        <v>637.782413009169</v>
      </c>
      <c r="J7647" s="6" t="n">
        <f aca="false">Sens!J7629</f>
        <v>698.845430881093</v>
      </c>
      <c r="K7647" s="6" t="n">
        <f aca="false">Sens!K7629</f>
        <v>748.190447840863</v>
      </c>
    </row>
    <row r="7648" customFormat="false" ht="15" hidden="false" customHeight="false" outlineLevel="0" collapsed="false">
      <c r="A7648" s="1" t="s">
        <v>1060</v>
      </c>
      <c r="B7648" s="0" t="s">
        <v>168</v>
      </c>
      <c r="E7648" s="7" t="n">
        <f aca="false">Sens!E7647/Sens!D7647-1</f>
        <v>0.177886867998467</v>
      </c>
      <c r="F7648" s="7" t="n">
        <f aca="false">Sens!F7647/Sens!E7647-1</f>
        <v>0.205995258295615</v>
      </c>
      <c r="G7648" s="7" t="n">
        <f aca="false">Sens!G7647/Sens!F7647-1</f>
        <v>0.200869474293904</v>
      </c>
      <c r="H7648" s="7" t="n">
        <f aca="false">Sens!H7647/Sens!G7647-1</f>
        <v>0.171059089728989</v>
      </c>
      <c r="I7648" s="7" t="n">
        <f aca="false">Sens!I7647/Sens!H7647-1</f>
        <v>0.133247835757524</v>
      </c>
      <c r="J7648" s="7" t="n">
        <f aca="false">Sens!J7647/Sens!I7647-1</f>
        <v>0.0957427119757328</v>
      </c>
      <c r="K7648" s="7" t="n">
        <f aca="false">Sens!K7647/Sens!J7647-1</f>
        <v>0.0706093433243977</v>
      </c>
    </row>
    <row r="7649" customFormat="false" ht="17.15" hidden="false" customHeight="false" outlineLevel="0" collapsed="false">
      <c r="A7649" s="26" t="s">
        <v>1061</v>
      </c>
      <c r="B7649" s="31" t="s">
        <v>98</v>
      </c>
      <c r="C7649" s="31"/>
      <c r="D7649" s="27" t="n">
        <f aca="false">(Sens!D7642+Sens!D7646-Sens!D7647)+(Sens!D7634+Sens!D7635-Sens!D7633)+(Sens!D7637+Sens!D7638-Sens!D7636)+(Sens!D7647-Q!L18)</f>
        <v>0</v>
      </c>
      <c r="E7649" s="27" t="n">
        <f aca="false">(Sens!E7642+Sens!E7646-Sens!E7647)+(Sens!E7634+Sens!E7635-Sens!E7633)+(Sens!E7637+Sens!E7638-Sens!E7636)+(Sens!E7647-Q!M18)</f>
        <v>0</v>
      </c>
      <c r="F7649" s="27" t="n">
        <f aca="false">(Sens!F7642+Sens!F7646-Sens!F7647)+(Sens!F7634+Sens!F7635-Sens!F7633)+(Sens!F7637+Sens!F7638-Sens!F7636)</f>
        <v>0</v>
      </c>
      <c r="G7649" s="27" t="n">
        <f aca="false">(Sens!G7642+Sens!G7646-Sens!G7647)+(Sens!G7634+Sens!G7635-Sens!G7633)+(Sens!G7637+Sens!G7638-Sens!G7636)</f>
        <v>0</v>
      </c>
      <c r="H7649" s="27" t="n">
        <f aca="false">(Sens!H7642+Sens!H7646-Sens!H7647)+(Sens!H7634+Sens!H7635-Sens!H7633)+(Sens!H7637+Sens!H7638-Sens!H7636)</f>
        <v>0</v>
      </c>
      <c r="I7649" s="27" t="n">
        <f aca="false">(Sens!I7642+Sens!I7646-Sens!I7647)+(Sens!I7634+Sens!I7635-Sens!I7633)+(Sens!I7637+Sens!I7638-Sens!I7636)</f>
        <v>0</v>
      </c>
      <c r="J7649" s="27" t="n">
        <f aca="false">(Sens!J7642+Sens!J7646-Sens!J7647)+(Sens!J7634+Sens!J7635-Sens!J7633)+(Sens!J7637+Sens!J7638-Sens!J7636)</f>
        <v>0</v>
      </c>
      <c r="K7649" s="27" t="n">
        <f aca="false">(Sens!K7642+Sens!K7646-Sens!K7647)+(Sens!K7634+Sens!K7635-Sens!K7633)+(Sens!K7637+Sens!K7638-Sens!K7636)</f>
        <v>0</v>
      </c>
    </row>
    <row r="7650" customFormat="false" ht="17.15" hidden="false" customHeight="false" outlineLevel="0" collapsed="false">
      <c r="A7650" s="0" t="s">
        <v>1062</v>
      </c>
      <c r="B7650" s="0" t="s">
        <v>168</v>
      </c>
      <c r="E7650" s="7" t="n">
        <f aca="false">(Q!M21+Sens!E7586+Sens!E7587+Sens!E7588+Sens!E7602-Sens!E7584)/(Q!M5-Sens!E7584)</f>
        <v>0.570957350878296</v>
      </c>
      <c r="F7650" s="7" t="n">
        <f aca="false">Sens!$E$7650+dm_seg</f>
        <v>0.570957350878296</v>
      </c>
      <c r="G7650" s="7" t="n">
        <f aca="false">Sens!$E$7650+dm_seg</f>
        <v>0.570957350878296</v>
      </c>
      <c r="H7650" s="7" t="n">
        <f aca="false">Sens!$E$7650+dm_seg</f>
        <v>0.570957350878296</v>
      </c>
      <c r="I7650" s="7" t="n">
        <f aca="false">Sens!$E$7650+dm_seg</f>
        <v>0.570957350878296</v>
      </c>
      <c r="J7650" s="7" t="n">
        <f aca="false">Sens!$E$7650+dm_seg</f>
        <v>0.570957350878296</v>
      </c>
      <c r="K7650" s="7" t="n">
        <f aca="false">Sens!$E$7650+dm_seg</f>
        <v>0.570957350878296</v>
      </c>
      <c r="L7650" s="12" t="s">
        <v>1063</v>
      </c>
    </row>
    <row r="7651" customFormat="false" ht="17.15" hidden="false" customHeight="false" outlineLevel="0" collapsed="false">
      <c r="A7651" s="0" t="s">
        <v>884</v>
      </c>
      <c r="B7651" s="0" t="s">
        <v>98</v>
      </c>
      <c r="D7651" s="6" t="n">
        <f aca="false">Q!L21</f>
        <v>110.814</v>
      </c>
      <c r="E7651" s="6" t="n">
        <f aca="false">Q!M21</f>
        <v>136.365</v>
      </c>
      <c r="F7651" s="6" t="n">
        <f aca="false">Q!$I$21+(Sens!F7650*(Sens!F7621-Sens!F7584)+Sens!F7584-(Sens!F7586+Sens!F7587+Sens!F7588)-Sens!F7602-Sens!F7685)*(Sens!F7621-Q!$I$5)/Sens!F7621</f>
        <v>162.717860518381</v>
      </c>
      <c r="G7651" s="6" t="n">
        <f aca="false">(Sens!G7650*(Sens!G7621-Sens!G7584)+Sens!G7584-(Sens!G7586+Sens!G7587+Sens!G7588)-Sens!G7602-Sens!G7685)</f>
        <v>179.912893910593</v>
      </c>
      <c r="H7651" s="6" t="n">
        <f aca="false">(Sens!H7650*(Sens!H7621-Sens!H7584)+Sens!H7584-(Sens!H7586+Sens!H7587+Sens!H7588)-Sens!H7602-Sens!H7685)</f>
        <v>200.797394405916</v>
      </c>
      <c r="I7651" s="6" t="n">
        <f aca="false">(Sens!I7650*(Sens!I7621-Sens!I7584)+Sens!I7584-(Sens!I7586+Sens!I7587+Sens!I7588)-Sens!I7602-Sens!I7685)</f>
        <v>220.271125338781</v>
      </c>
      <c r="J7651" s="6" t="n">
        <f aca="false">(Sens!J7650*(Sens!J7621-Sens!J7584)+Sens!J7584-(Sens!J7586+Sens!J7587+Sens!J7588)-Sens!J7602-Sens!J7685)</f>
        <v>238.087101365332</v>
      </c>
      <c r="K7651" s="6" t="n">
        <f aca="false">(Sens!K7650*(Sens!K7621-Sens!K7584)+Sens!K7584-(Sens!K7586+Sens!K7587+Sens!K7588)-Sens!K7602-Sens!K7685)</f>
        <v>255.305679769462</v>
      </c>
      <c r="L7651" s="1" t="s">
        <v>1064</v>
      </c>
    </row>
    <row r="7652" customFormat="false" ht="17.15" hidden="false" customHeight="false" outlineLevel="0" collapsed="false">
      <c r="A7652" s="0" t="s">
        <v>1065</v>
      </c>
      <c r="B7652" s="0" t="s">
        <v>168</v>
      </c>
      <c r="E7652" s="7" t="n">
        <f aca="false">Q!M22/Q!M12</f>
        <v>0.296207935710698</v>
      </c>
      <c r="F7652" s="7" t="n">
        <f aca="false">Sens!$E$7652+dm_seg</f>
        <v>0.296207935710698</v>
      </c>
      <c r="G7652" s="7" t="n">
        <f aca="false">Sens!$E$7652+dm_seg</f>
        <v>0.296207935710698</v>
      </c>
      <c r="H7652" s="7" t="n">
        <f aca="false">Sens!$E$7652+dm_seg</f>
        <v>0.296207935710698</v>
      </c>
      <c r="I7652" s="7" t="n">
        <f aca="false">Sens!$E$7652+dm_seg</f>
        <v>0.296207935710698</v>
      </c>
      <c r="J7652" s="7" t="n">
        <f aca="false">Sens!$E$7652+dm_seg</f>
        <v>0.296207935710698</v>
      </c>
      <c r="K7652" s="7" t="n">
        <f aca="false">Sens!$E$7652+dm_seg</f>
        <v>0.296207935710698</v>
      </c>
      <c r="L7652" s="12" t="s">
        <v>1066</v>
      </c>
    </row>
    <row r="7653" customFormat="false" ht="17.15" hidden="false" customHeight="false" outlineLevel="0" collapsed="false">
      <c r="A7653" s="0" t="s">
        <v>886</v>
      </c>
      <c r="B7653" s="0" t="s">
        <v>98</v>
      </c>
      <c r="D7653" s="6" t="n">
        <f aca="false">Q!L22</f>
        <v>17.714</v>
      </c>
      <c r="E7653" s="6" t="n">
        <f aca="false">Q!M22</f>
        <v>18.872</v>
      </c>
      <c r="F7653" s="6" t="n">
        <f aca="false">Q!$I$22+(Sens!F7628-Q!$I$12)*Sens!F7652</f>
        <v>19.8174315512051</v>
      </c>
      <c r="G7653" s="6" t="n">
        <f aca="false">Sens!G7628*Sens!G7652</f>
        <v>19.6313799703815</v>
      </c>
      <c r="H7653" s="6" t="n">
        <f aca="false">Sens!H7628*Sens!H7652</f>
        <v>20.3536242825865</v>
      </c>
      <c r="I7653" s="6" t="n">
        <f aca="false">Sens!I7628*Sens!I7652</f>
        <v>21.1920899239745</v>
      </c>
      <c r="J7653" s="6" t="n">
        <f aca="false">Sens!J7628*Sens!J7652</f>
        <v>22.1288166207045</v>
      </c>
      <c r="K7653" s="6" t="n">
        <f aca="false">Sens!K7628*Sens!K7652</f>
        <v>23.1493653905379</v>
      </c>
      <c r="L7653" s="12" t="s">
        <v>1067</v>
      </c>
    </row>
    <row r="7654" customFormat="false" ht="15" hidden="false" customHeight="false" outlineLevel="0" collapsed="false">
      <c r="A7654" s="1" t="s">
        <v>1068</v>
      </c>
      <c r="B7654" s="0" t="s">
        <v>98</v>
      </c>
      <c r="D7654" s="6" t="n">
        <f aca="false">Sens!D7651+Sens!D7653</f>
        <v>128.528</v>
      </c>
      <c r="E7654" s="6" t="n">
        <f aca="false">Sens!E7651+Sens!E7653</f>
        <v>155.237</v>
      </c>
      <c r="F7654" s="6" t="n">
        <f aca="false">Sens!F7651+Sens!F7653</f>
        <v>182.535292069586</v>
      </c>
      <c r="G7654" s="6" t="n">
        <f aca="false">Sens!G7651+Sens!G7653</f>
        <v>199.544273880974</v>
      </c>
      <c r="H7654" s="6" t="n">
        <f aca="false">Sens!H7651+Sens!H7653</f>
        <v>221.151018688503</v>
      </c>
      <c r="I7654" s="6" t="n">
        <f aca="false">Sens!I7651+Sens!I7653</f>
        <v>241.463215262755</v>
      </c>
      <c r="J7654" s="6" t="n">
        <f aca="false">Sens!J7651+Sens!J7653</f>
        <v>260.215917986036</v>
      </c>
      <c r="K7654" s="6" t="n">
        <f aca="false">Sens!K7651+Sens!K7653</f>
        <v>278.45504516</v>
      </c>
    </row>
    <row r="7655" customFormat="false" ht="15" hidden="false" customHeight="false" outlineLevel="0" collapsed="false">
      <c r="A7655" s="26" t="s">
        <v>1069</v>
      </c>
      <c r="B7655" s="31" t="s">
        <v>98</v>
      </c>
      <c r="C7655" s="31"/>
      <c r="D7655" s="27" t="n">
        <f aca="false">Sens!D7654-Q!L23</f>
        <v>0</v>
      </c>
      <c r="E7655" s="27" t="n">
        <f aca="false">Sens!E7654-Q!M23</f>
        <v>0</v>
      </c>
      <c r="F7655" s="31"/>
      <c r="G7655" s="31"/>
      <c r="H7655" s="31"/>
      <c r="I7655" s="31"/>
      <c r="J7655" s="31"/>
      <c r="K7655" s="31"/>
    </row>
    <row r="7656" customFormat="false" ht="15" hidden="false" customHeight="false" outlineLevel="0" collapsed="false">
      <c r="A7656" s="1" t="s">
        <v>1070</v>
      </c>
      <c r="B7656" s="0" t="s">
        <v>168</v>
      </c>
      <c r="D7656" s="7" t="n">
        <f aca="false">Sens!D7654/Sens!D7647</f>
        <v>0.456219562408598</v>
      </c>
      <c r="E7656" s="7" t="n">
        <f aca="false">Sens!E7654/Sens!E7647</f>
        <v>0.467808184089272</v>
      </c>
      <c r="F7656" s="7" t="n">
        <f aca="false">Sens!F7654/Sens!F7647</f>
        <v>0.456114437035269</v>
      </c>
      <c r="G7656" s="7" t="n">
        <f aca="false">Sens!G7654/Sens!G7647</f>
        <v>0.415212517906132</v>
      </c>
      <c r="H7656" s="7" t="n">
        <f aca="false">Sens!H7654/Sens!H7647</f>
        <v>0.392953628372808</v>
      </c>
      <c r="I7656" s="7" t="n">
        <f aca="false">Sens!I7654/Sens!I7647</f>
        <v>0.378598108598652</v>
      </c>
      <c r="J7656" s="7" t="n">
        <f aca="false">Sens!J7654/Sens!J7647</f>
        <v>0.372351175935944</v>
      </c>
      <c r="K7656" s="7" t="n">
        <f aca="false">Sens!K7654/Sens!K7647</f>
        <v>0.372171344827468</v>
      </c>
    </row>
    <row r="7657" customFormat="false" ht="17.15" hidden="false" customHeight="false" outlineLevel="0" collapsed="false">
      <c r="A7657" s="1" t="s">
        <v>1071</v>
      </c>
      <c r="B7657" s="0" t="s">
        <v>98</v>
      </c>
      <c r="F7657" s="6" t="n">
        <f aca="false">Sens!F7672</f>
        <v>8.88340674531245</v>
      </c>
      <c r="G7657" s="6" t="n">
        <f aca="false">Sens!G7672</f>
        <v>22.7060305170273</v>
      </c>
      <c r="H7657" s="6" t="n">
        <f aca="false">Sens!H7672</f>
        <v>38.0018452382075</v>
      </c>
      <c r="I7657" s="6" t="n">
        <f aca="false">Sens!I7672</f>
        <v>52.1381094705177</v>
      </c>
      <c r="J7657" s="6" t="n">
        <f aca="false">Sens!J7672</f>
        <v>62.0595818934393</v>
      </c>
      <c r="K7657" s="6" t="n">
        <f aca="false">Sens!K7672</f>
        <v>67.0801312706266</v>
      </c>
      <c r="L7657" s="1" t="s">
        <v>1072</v>
      </c>
    </row>
    <row r="7658" customFormat="false" ht="17.15" hidden="false" customHeight="false" outlineLevel="0" collapsed="false">
      <c r="A7658" s="1" t="s">
        <v>1073</v>
      </c>
      <c r="B7658" s="0" t="s">
        <v>98</v>
      </c>
      <c r="D7658" s="6" t="n">
        <f aca="false">Sens!D7654</f>
        <v>128.528</v>
      </c>
      <c r="E7658" s="6" t="n">
        <f aca="false">Sens!E7654</f>
        <v>155.237</v>
      </c>
      <c r="F7658" s="6" t="n">
        <f aca="false">Sens!F7654+Sens!F7657</f>
        <v>191.418698814899</v>
      </c>
      <c r="G7658" s="6" t="n">
        <f aca="false">Sens!G7654+Sens!G7657</f>
        <v>222.250304398002</v>
      </c>
      <c r="H7658" s="6" t="n">
        <f aca="false">Sens!H7654+Sens!H7657</f>
        <v>259.15286392671</v>
      </c>
      <c r="I7658" s="6" t="n">
        <f aca="false">Sens!I7654+Sens!I7657</f>
        <v>293.601324733273</v>
      </c>
      <c r="J7658" s="6" t="n">
        <f aca="false">Sens!J7654+Sens!J7657</f>
        <v>322.275499879476</v>
      </c>
      <c r="K7658" s="6" t="n">
        <f aca="false">Sens!K7654+Sens!K7657</f>
        <v>345.535176430626</v>
      </c>
    </row>
    <row r="7659" customFormat="false" ht="17.15" hidden="false" customHeight="false" outlineLevel="0" collapsed="false">
      <c r="A7659" s="1" t="s">
        <v>1074</v>
      </c>
      <c r="B7659" s="0" t="s">
        <v>98</v>
      </c>
      <c r="E7659" s="6" t="n">
        <f aca="false">Sens!E7602</f>
        <v>16.3054059770833</v>
      </c>
      <c r="F7659" s="6" t="n">
        <f aca="false">Sens!F7602</f>
        <v>34.5793144783516</v>
      </c>
      <c r="G7659" s="6" t="n">
        <f aca="false">Sens!G7602</f>
        <v>60.7344906522989</v>
      </c>
      <c r="H7659" s="6" t="n">
        <f aca="false">Sens!H7602</f>
        <v>89.1000906614457</v>
      </c>
      <c r="I7659" s="6" t="n">
        <f aca="false">Sens!I7602</f>
        <v>114.231009694548</v>
      </c>
      <c r="J7659" s="6" t="n">
        <f aca="false">Sens!J7602</f>
        <v>132.015673049596</v>
      </c>
      <c r="K7659" s="6" t="n">
        <f aca="false">Sens!K7602</f>
        <v>143.012669550934</v>
      </c>
    </row>
    <row r="7660" customFormat="false" ht="17.15" hidden="false" customHeight="false" outlineLevel="0" collapsed="false">
      <c r="A7660" s="1" t="s">
        <v>1075</v>
      </c>
      <c r="B7660" s="0" t="s">
        <v>98</v>
      </c>
      <c r="E7660" s="6" t="n">
        <f aca="false">Sens!E7684</f>
        <v>22.2285940229167</v>
      </c>
      <c r="F7660" s="6" t="n">
        <f aca="false">Sens!F7684</f>
        <v>23.591798765627</v>
      </c>
      <c r="G7660" s="6" t="n">
        <f aca="false">Sens!G7684</f>
        <v>25.409713295508</v>
      </c>
      <c r="H7660" s="6" t="n">
        <f aca="false">Sens!H7684</f>
        <v>27.6454445910043</v>
      </c>
      <c r="I7660" s="6" t="n">
        <f aca="false">Sens!I7684</f>
        <v>30.2223879471024</v>
      </c>
      <c r="J7660" s="6" t="n">
        <f aca="false">Sens!J7684</f>
        <v>33.048084580193</v>
      </c>
      <c r="K7660" s="6" t="n">
        <f aca="false">Sens!K7684</f>
        <v>36.0375282532797</v>
      </c>
    </row>
    <row r="7661" customFormat="false" ht="17.15" hidden="false" customHeight="false" outlineLevel="0" collapsed="false">
      <c r="A7661" s="1" t="s">
        <v>1076</v>
      </c>
      <c r="B7661" s="0" t="s">
        <v>98</v>
      </c>
      <c r="D7661" s="6" t="n">
        <f aca="false">Q!L27</f>
        <v>-4.901</v>
      </c>
      <c r="E7661" s="6" t="n">
        <f aca="false">Q!M27</f>
        <v>10.697</v>
      </c>
      <c r="F7661" s="6" t="n">
        <f aca="false">Q!$I$27+oie_f*(q_per_yr-1)/q_per_yr</f>
        <v>-0.862</v>
      </c>
      <c r="G7661" s="6" t="n">
        <f aca="false">oie_f</f>
        <v>-1.2</v>
      </c>
      <c r="H7661" s="6" t="n">
        <f aca="false">oie_f</f>
        <v>-1.2</v>
      </c>
      <c r="I7661" s="6" t="n">
        <f aca="false">oie_f</f>
        <v>-1.2</v>
      </c>
      <c r="J7661" s="6" t="n">
        <f aca="false">oie_f</f>
        <v>-1.2</v>
      </c>
      <c r="K7661" s="6" t="n">
        <f aca="false">oie_f</f>
        <v>-1.2</v>
      </c>
      <c r="L7661" s="12" t="s">
        <v>1077</v>
      </c>
    </row>
    <row r="7662" customFormat="false" ht="15" hidden="false" customHeight="false" outlineLevel="0" collapsed="false">
      <c r="A7662" s="1" t="s">
        <v>1078</v>
      </c>
      <c r="B7662" s="0" t="s">
        <v>98</v>
      </c>
      <c r="D7662" s="6" t="n">
        <f aca="false">Sens!D7654+Sens!D7661</f>
        <v>123.627</v>
      </c>
      <c r="E7662" s="6" t="n">
        <f aca="false">Sens!E7654+Sens!E7661</f>
        <v>165.934</v>
      </c>
      <c r="F7662" s="6" t="n">
        <f aca="false">Sens!F7654+Sens!F7661</f>
        <v>181.673292069586</v>
      </c>
      <c r="G7662" s="6" t="n">
        <f aca="false">Sens!G7654+Sens!G7661</f>
        <v>198.344273880974</v>
      </c>
      <c r="H7662" s="6" t="n">
        <f aca="false">Sens!H7654+Sens!H7661</f>
        <v>219.951018688503</v>
      </c>
      <c r="I7662" s="6" t="n">
        <f aca="false">Sens!I7654+Sens!I7661</f>
        <v>240.263215262755</v>
      </c>
      <c r="J7662" s="6" t="n">
        <f aca="false">Sens!J7654+Sens!J7661</f>
        <v>259.015917986036</v>
      </c>
      <c r="K7662" s="6" t="n">
        <f aca="false">Sens!K7654+Sens!K7661</f>
        <v>277.25504516</v>
      </c>
    </row>
    <row r="7663" customFormat="false" ht="15" hidden="false" customHeight="false" outlineLevel="0" collapsed="false">
      <c r="A7663" s="1" t="s">
        <v>1079</v>
      </c>
      <c r="B7663" s="0" t="s">
        <v>98</v>
      </c>
      <c r="D7663" s="6" t="n">
        <f aca="false">Q!L29</f>
        <v>21.795</v>
      </c>
      <c r="E7663" s="6" t="n">
        <f aca="false">Q!M29</f>
        <v>32.185</v>
      </c>
      <c r="F7663" s="6" t="n">
        <f aca="false">Q!$I$29+(Sens!F7662-Q!$I$28)*tax_f</f>
        <v>36.4680584139173</v>
      </c>
      <c r="G7663" s="6" t="n">
        <f aca="false">Sens!G7662*tax_f</f>
        <v>39.6688547761948</v>
      </c>
      <c r="H7663" s="6" t="n">
        <f aca="false">Sens!H7662*tax_f</f>
        <v>43.9902037377005</v>
      </c>
      <c r="I7663" s="6" t="n">
        <f aca="false">Sens!I7662*tax_f</f>
        <v>48.0526430525511</v>
      </c>
      <c r="J7663" s="6" t="n">
        <f aca="false">Sens!J7662*tax_f</f>
        <v>51.8031835972073</v>
      </c>
      <c r="K7663" s="6" t="n">
        <f aca="false">Sens!K7662*tax_f</f>
        <v>55.4510090319999</v>
      </c>
    </row>
    <row r="7664" customFormat="false" ht="15" hidden="false" customHeight="false" outlineLevel="0" collapsed="false">
      <c r="A7664" s="1" t="s">
        <v>1080</v>
      </c>
      <c r="B7664" s="0" t="s">
        <v>98</v>
      </c>
      <c r="D7664" s="6" t="n">
        <f aca="false">Sens!D7662-Sens!D7663</f>
        <v>101.832</v>
      </c>
      <c r="E7664" s="6" t="n">
        <f aca="false">Sens!E7662-Sens!E7663</f>
        <v>133.749</v>
      </c>
      <c r="F7664" s="6" t="n">
        <f aca="false">Sens!F7662-Sens!F7663</f>
        <v>145.205233655669</v>
      </c>
      <c r="G7664" s="6" t="n">
        <f aca="false">Sens!G7662-Sens!G7663</f>
        <v>158.675419104779</v>
      </c>
      <c r="H7664" s="6" t="n">
        <f aca="false">Sens!H7662-Sens!H7663</f>
        <v>175.960814950802</v>
      </c>
      <c r="I7664" s="6" t="n">
        <f aca="false">Sens!I7662-Sens!I7663</f>
        <v>192.210572210204</v>
      </c>
      <c r="J7664" s="6" t="n">
        <f aca="false">Sens!J7662-Sens!J7663</f>
        <v>207.212734388829</v>
      </c>
      <c r="K7664" s="6" t="n">
        <f aca="false">Sens!K7662-Sens!K7663</f>
        <v>221.804036128</v>
      </c>
    </row>
    <row r="7665" customFormat="false" ht="17.15" hidden="false" customHeight="false" outlineLevel="0" collapsed="false">
      <c r="A7665" s="1" t="s">
        <v>1081</v>
      </c>
      <c r="B7665" s="1" t="s">
        <v>81</v>
      </c>
      <c r="D7665" s="15" t="n">
        <f aca="false">Q!L31</f>
        <v>7.465</v>
      </c>
      <c r="E7665" s="15" t="n">
        <f aca="false">Q!M31</f>
        <v>7.453</v>
      </c>
      <c r="F7665" s="15" t="n">
        <f aca="false">Sens!F7709</f>
        <v>7.4728540244568</v>
      </c>
      <c r="G7665" s="15" t="n">
        <f aca="false">Sens!G7709</f>
        <v>7.51720804891361</v>
      </c>
      <c r="H7665" s="15" t="n">
        <f aca="false">Sens!H7709</f>
        <v>7.54490798794241</v>
      </c>
      <c r="I7665" s="15" t="n">
        <f aca="false">Sens!I7709</f>
        <v>7.55658935199788</v>
      </c>
      <c r="J7665" s="15" t="n">
        <f aca="false">Sens!J7709</f>
        <v>7.57073876316035</v>
      </c>
      <c r="K7665" s="15" t="n">
        <f aca="false">Sens!K7709</f>
        <v>7.5871734031256</v>
      </c>
    </row>
    <row r="7666" customFormat="false" ht="17.15" hidden="false" customHeight="false" outlineLevel="0" collapsed="false">
      <c r="A7666" s="0" t="s">
        <v>1082</v>
      </c>
      <c r="B7666" s="0" t="s">
        <v>75</v>
      </c>
      <c r="D7666" s="8" t="n">
        <f aca="false">Sens!D7664/Sens!D7665</f>
        <v>13.641259209645</v>
      </c>
      <c r="E7666" s="8" t="n">
        <f aca="false">Sens!E7664/Sens!E7665</f>
        <v>17.9456594659869</v>
      </c>
      <c r="F7666" s="8" t="n">
        <f aca="false">Sens!F7664/Sens!F7665</f>
        <v>19.4310277145048</v>
      </c>
      <c r="G7666" s="8" t="n">
        <f aca="false">Sens!G7664/Sens!G7665</f>
        <v>21.1082915455175</v>
      </c>
      <c r="H7666" s="8" t="n">
        <f aca="false">Sens!H7664/Sens!H7665</f>
        <v>23.321797327682</v>
      </c>
      <c r="I7666" s="8" t="n">
        <f aca="false">Sens!I7664/Sens!I7665</f>
        <v>25.4361542300014</v>
      </c>
      <c r="J7666" s="8" t="n">
        <f aca="false">Sens!J7664/Sens!J7665</f>
        <v>27.3702132475021</v>
      </c>
      <c r="K7666" s="8" t="n">
        <f aca="false">Sens!K7664/Sens!K7665</f>
        <v>29.2340802487295</v>
      </c>
      <c r="L7666" s="1" t="s">
        <v>1083</v>
      </c>
    </row>
    <row r="7667" customFormat="false" ht="17.15" hidden="false" customHeight="false" outlineLevel="0" collapsed="false">
      <c r="A7667" s="1" t="s">
        <v>1084</v>
      </c>
      <c r="B7667" s="0" t="s">
        <v>98</v>
      </c>
      <c r="D7667" s="6" t="n">
        <f aca="false">Sens!D7664</f>
        <v>101.832</v>
      </c>
      <c r="E7667" s="6" t="n">
        <f aca="false">Sens!E7664</f>
        <v>133.749</v>
      </c>
      <c r="F7667" s="6" t="n">
        <f aca="false">Sens!F7664+Sens!F7657*(1-tax_f)</f>
        <v>152.311959051919</v>
      </c>
      <c r="G7667" s="6" t="n">
        <f aca="false">Sens!G7664+Sens!G7657*(1-tax_f)</f>
        <v>176.840243518401</v>
      </c>
      <c r="H7667" s="6" t="n">
        <f aca="false">Sens!H7664+Sens!H7657*(1-tax_f)</f>
        <v>206.362291141368</v>
      </c>
      <c r="I7667" s="6" t="n">
        <f aca="false">Sens!I7664+Sens!I7657*(1-tax_f)</f>
        <v>233.921059786618</v>
      </c>
      <c r="J7667" s="6" t="n">
        <f aca="false">Sens!J7664+Sens!J7657*(1-tax_f)</f>
        <v>256.860399903581</v>
      </c>
      <c r="K7667" s="6" t="n">
        <f aca="false">Sens!K7664+Sens!K7657*(1-tax_f)</f>
        <v>275.468141144501</v>
      </c>
    </row>
    <row r="7668" customFormat="false" ht="17.15" hidden="false" customHeight="false" outlineLevel="0" collapsed="false">
      <c r="A7668" s="0" t="s">
        <v>1085</v>
      </c>
      <c r="B7668" s="0" t="s">
        <v>75</v>
      </c>
      <c r="D7668" s="8" t="n">
        <f aca="false">Sens!D7667/Sens!D7665</f>
        <v>13.641259209645</v>
      </c>
      <c r="E7668" s="8" t="n">
        <f aca="false">Sens!E7667/Sens!E7665</f>
        <v>17.9456594659869</v>
      </c>
      <c r="F7668" s="8" t="n">
        <f aca="false">Sens!F7667/Sens!F7665</f>
        <v>20.3820332303347</v>
      </c>
      <c r="G7668" s="8" t="n">
        <f aca="false">Sens!G7667/Sens!G7665</f>
        <v>23.5247238559479</v>
      </c>
      <c r="H7668" s="8" t="n">
        <f aca="false">Sens!H7667/Sens!H7665</f>
        <v>27.3512005012066</v>
      </c>
      <c r="I7668" s="8" t="n">
        <f aca="false">Sens!I7667/Sens!I7665</f>
        <v>30.9559046932691</v>
      </c>
      <c r="J7668" s="8" t="n">
        <f aca="false">Sens!J7667/Sens!J7665</f>
        <v>33.9280495522416</v>
      </c>
      <c r="K7668" s="8" t="n">
        <f aca="false">Sens!K7667/Sens!K7665</f>
        <v>36.3070838780381</v>
      </c>
      <c r="L7668" s="1" t="s">
        <v>1086</v>
      </c>
    </row>
    <row r="7669" customFormat="false" ht="17.15" hidden="false" customHeight="false" outlineLevel="0" collapsed="false">
      <c r="A7669" s="0" t="s">
        <v>1087</v>
      </c>
      <c r="B7669" s="0" t="s">
        <v>168</v>
      </c>
      <c r="E7669" s="7" t="n">
        <f aca="false">Sens!E7668/Sens!D7668-1</f>
        <v>0.315542736208578</v>
      </c>
      <c r="F7669" s="7" t="n">
        <f aca="false">Sens!F7668/Sens!E7668-1</f>
        <v>0.13576395835247</v>
      </c>
      <c r="G7669" s="7" t="n">
        <f aca="false">Sens!G7668/Sens!F7668-1</f>
        <v>0.154189260222374</v>
      </c>
      <c r="H7669" s="7" t="n">
        <f aca="false">Sens!H7668/Sens!G7668-1</f>
        <v>0.162657664705862</v>
      </c>
      <c r="I7669" s="7" t="n">
        <f aca="false">Sens!I7668/Sens!H7668-1</f>
        <v>0.131793271447206</v>
      </c>
      <c r="J7669" s="7" t="n">
        <f aca="false">Sens!J7668/Sens!I7668-1</f>
        <v>0.0960122111895101</v>
      </c>
      <c r="K7669" s="7" t="n">
        <f aca="false">Sens!K7668/Sens!J7668-1</f>
        <v>0.0701199850033623</v>
      </c>
    </row>
    <row r="7670" customFormat="false" ht="17.15" hidden="false" customHeight="false" outlineLevel="0" collapsed="false">
      <c r="A7670" s="0" t="s">
        <v>1007</v>
      </c>
      <c r="B7670" s="0" t="s">
        <v>98</v>
      </c>
      <c r="E7670" s="6" t="n">
        <f aca="false">Sens!E7611</f>
        <v>5.25</v>
      </c>
      <c r="F7670" s="6" t="n">
        <f aca="false">Sens!F7611</f>
        <v>13.5</v>
      </c>
      <c r="G7670" s="6" t="n">
        <f aca="false">Sens!G7611</f>
        <v>22.5</v>
      </c>
      <c r="H7670" s="6" t="n">
        <f aca="false">Sens!H7611</f>
        <v>31.5</v>
      </c>
      <c r="I7670" s="6" t="n">
        <f aca="false">Sens!I7611</f>
        <v>38.25</v>
      </c>
      <c r="J7670" s="6" t="n">
        <f aca="false">Sens!J7611</f>
        <v>42.75</v>
      </c>
      <c r="K7670" s="6" t="n">
        <f aca="false">Sens!K7611</f>
        <v>47.25</v>
      </c>
    </row>
    <row r="7671" customFormat="false" ht="17.15" hidden="false" customHeight="false" outlineLevel="0" collapsed="false">
      <c r="A7671" s="1" t="s">
        <v>1008</v>
      </c>
      <c r="B7671" s="0" t="s">
        <v>98</v>
      </c>
      <c r="F7671" s="6" t="n">
        <f aca="false">MAX(0,((Sens!E7571+Sens!F7571)/2-(shadow_base*(Sens!$D$7571+Sens!$E$7571)/2+(1-shadow_base)*Sens!$E$7571))*Sens!F7580/1000-(Sens!F7670-Sens!$E$7670)*Sens!F7650)</f>
        <v>8.88340674531245</v>
      </c>
      <c r="G7671" s="6" t="n">
        <f aca="false">MAX(0,((Sens!F7571+Sens!G7571)/2-(shadow_base*(Sens!$D$7571+Sens!$E$7571)/2+(1-shadow_base)*Sens!$E$7571))*Sens!G7580/1000-(Sens!G7670-Sens!$E$7670)*Sens!G7650)</f>
        <v>22.7060305170273</v>
      </c>
      <c r="H7671" s="6" t="n">
        <f aca="false">MAX(0,((Sens!G7571+Sens!H7571)/2-(shadow_base*(Sens!$D$7571+Sens!$E$7571)/2+(1-shadow_base)*Sens!$E$7571))*Sens!H7580/1000-(Sens!H7670-Sens!$E$7670)*Sens!H7650)</f>
        <v>38.0018452382075</v>
      </c>
      <c r="I7671" s="6" t="n">
        <f aca="false">MAX(0,((Sens!H7571+Sens!I7571)/2-(shadow_base*(Sens!$D$7571+Sens!$E$7571)/2+(1-shadow_base)*Sens!$E$7571))*Sens!I7580/1000-(Sens!I7670-Sens!$E$7670)*Sens!I7650)</f>
        <v>52.1381094705177</v>
      </c>
      <c r="J7671" s="6" t="n">
        <f aca="false">MAX(0,((Sens!I7571+Sens!J7571)/2-(shadow_base*(Sens!$D$7571+Sens!$E$7571)/2+(1-shadow_base)*Sens!$E$7571))*Sens!J7580/1000-(Sens!J7670-Sens!$E$7670)*Sens!J7650)</f>
        <v>62.0595818934393</v>
      </c>
      <c r="K7671" s="6" t="n">
        <f aca="false">MAX(0,((Sens!J7571+Sens!K7571)/2-(shadow_base*(Sens!$D$7571+Sens!$E$7571)/2+(1-shadow_base)*Sens!$E$7571))*Sens!K7580/1000-(Sens!K7670-Sens!$E$7670)*Sens!K7650)</f>
        <v>67.0801312706266</v>
      </c>
      <c r="L7671" s="1" t="s">
        <v>1009</v>
      </c>
    </row>
    <row r="7672" customFormat="false" ht="17.15" hidden="false" customHeight="false" outlineLevel="0" collapsed="false">
      <c r="A7672" s="1" t="s">
        <v>1010</v>
      </c>
      <c r="B7672" s="0" t="s">
        <v>98</v>
      </c>
      <c r="F7672" s="6" t="n">
        <f aca="false">IF(internal_ai_reading=2,1,0)*Sens!F7671</f>
        <v>8.88340674531245</v>
      </c>
      <c r="G7672" s="6" t="n">
        <f aca="false">IF(internal_ai_reading=2,1,0)*Sens!G7671</f>
        <v>22.7060305170273</v>
      </c>
      <c r="H7672" s="6" t="n">
        <f aca="false">IF(internal_ai_reading=2,1,0)*Sens!H7671</f>
        <v>38.0018452382075</v>
      </c>
      <c r="I7672" s="6" t="n">
        <f aca="false">IF(internal_ai_reading=2,1,0)*Sens!I7671</f>
        <v>52.1381094705177</v>
      </c>
      <c r="J7672" s="6" t="n">
        <f aca="false">IF(internal_ai_reading=2,1,0)*Sens!J7671</f>
        <v>62.0595818934393</v>
      </c>
      <c r="K7672" s="6" t="n">
        <f aca="false">IF(internal_ai_reading=2,1,0)*Sens!K7671</f>
        <v>67.0801312706266</v>
      </c>
    </row>
    <row r="7673" customFormat="false" ht="17.15" hidden="false" customHeight="false" outlineLevel="0" collapsed="false">
      <c r="A7673" s="0" t="s">
        <v>1011</v>
      </c>
      <c r="B7673" s="0" t="s">
        <v>98</v>
      </c>
      <c r="F7673" s="6" t="n">
        <f aca="false">Sens!F7590+Sens!F7670*Sens!F7650+Sens!F7672-Sens!F7591-Sens!F7602</f>
        <v>14.8152827562272</v>
      </c>
      <c r="G7673" s="6" t="n">
        <f aca="false">Sens!G7590+Sens!G7670*Sens!G7650+Sens!G7672-Sens!G7591-Sens!G7602</f>
        <v>31.0349977765951</v>
      </c>
      <c r="H7673" s="6" t="n">
        <f aca="false">Sens!H7590+Sens!H7670*Sens!H7650+Sens!H7672-Sens!H7591-Sens!H7602</f>
        <v>47.8811519709826</v>
      </c>
      <c r="I7673" s="6" t="n">
        <f aca="false">Sens!I7590+Sens!I7670*Sens!I7650+Sens!I7672-Sens!I7591-Sens!I7602</f>
        <v>62.6472166574028</v>
      </c>
      <c r="J7673" s="6" t="n">
        <f aca="false">Sens!J7590+Sens!J7670*Sens!J7650+Sens!J7672-Sens!J7591-Sens!J7602</f>
        <v>72.7882253357034</v>
      </c>
      <c r="K7673" s="6" t="n">
        <f aca="false">Sens!K7590+Sens!K7670*Sens!K7650+Sens!K7672-Sens!K7591-Sens!K7602</f>
        <v>79.4617812140187</v>
      </c>
    </row>
    <row r="7674" customFormat="false" ht="17.15" hidden="false" customHeight="false" outlineLevel="0" collapsed="false">
      <c r="A7674" s="0" t="s">
        <v>1012</v>
      </c>
      <c r="B7674" s="0" t="s">
        <v>98</v>
      </c>
      <c r="E7674" s="6" t="n">
        <f aca="false">Sens!E7570*(cxit_open+self_build*tk_cxfac)/1000*ai_net_open</f>
        <v>126.6980382</v>
      </c>
      <c r="F7674" s="6" t="n">
        <f aca="false">Sens!E7674+Sens!F7599-Sens!F7602</f>
        <v>260.572627763768</v>
      </c>
      <c r="G7674" s="6" t="n">
        <f aca="false">Sens!F7674+Sens!G7599-Sens!G7602</f>
        <v>391.782612760517</v>
      </c>
      <c r="H7674" s="6" t="n">
        <f aca="false">Sens!G7674+Sens!H7599-Sens!H7602</f>
        <v>499.488526163584</v>
      </c>
      <c r="I7674" s="6" t="n">
        <f aca="false">Sens!H7674+Sens!I7599-Sens!I7602</f>
        <v>553.872350090646</v>
      </c>
      <c r="J7674" s="6" t="n">
        <f aca="false">Sens!I7674+Sens!J7599-Sens!J7602</f>
        <v>550.78660823699</v>
      </c>
      <c r="K7674" s="6" t="n">
        <f aca="false">Sens!J7674+Sens!K7599-Sens!K7602</f>
        <v>526.736791750789</v>
      </c>
      <c r="L7674" s="1" t="s">
        <v>1013</v>
      </c>
    </row>
    <row r="7675" customFormat="false" ht="17.15" hidden="false" customHeight="false" outlineLevel="0" collapsed="false">
      <c r="A7675" s="0" t="s">
        <v>1014</v>
      </c>
      <c r="B7675" s="0" t="s">
        <v>168</v>
      </c>
      <c r="F7675" s="7" t="n">
        <f aca="false">Sens!F7673*(1-tax_f)/((Sens!E7674+Sens!F7674)/2)</f>
        <v>0.0612090057246454</v>
      </c>
      <c r="G7675" s="7" t="n">
        <f aca="false">Sens!G7673*(1-tax_f)/((Sens!F7674+Sens!G7674)/2)</f>
        <v>0.0761180310326695</v>
      </c>
      <c r="H7675" s="7" t="n">
        <f aca="false">Sens!H7673*(1-tax_f)/((Sens!G7674+Sens!H7674)/2)</f>
        <v>0.0859557095566361</v>
      </c>
      <c r="I7675" s="7" t="n">
        <f aca="false">Sens!I7673*(1-tax_f)/((Sens!H7674+Sens!I7674)/2)</f>
        <v>0.0951578408800258</v>
      </c>
      <c r="J7675" s="7" t="n">
        <f aca="false">Sens!J7673*(1-tax_f)/((Sens!I7674+Sens!J7674)/2)</f>
        <v>0.105427253958487</v>
      </c>
      <c r="K7675" s="7" t="n">
        <f aca="false">Sens!K7673*(1-tax_f)/((Sens!J7674+Sens!K7674)/2)</f>
        <v>0.117991729872291</v>
      </c>
    </row>
    <row r="7676" customFormat="false" ht="17.15" hidden="false" customHeight="false" outlineLevel="0" collapsed="false">
      <c r="A7676" s="1" t="s">
        <v>1015</v>
      </c>
      <c r="B7676" s="0" t="s">
        <v>168</v>
      </c>
      <c r="F7676" s="7" t="n">
        <f aca="false">(Sens!F7673-Sens!F7672)*(1-tax_f)/((Sens!E7674+Sens!F7674)/2)</f>
        <v>0.0245074116157084</v>
      </c>
      <c r="G7676" s="7" t="n">
        <f aca="false">(Sens!G7673-Sens!G7672)*(1-tax_f)/((Sens!F7674+Sens!G7674)/2)</f>
        <v>0.020428053286731</v>
      </c>
      <c r="H7676" s="7" t="n">
        <f aca="false">(Sens!H7673-Sens!H7672)*(1-tax_f)/((Sens!G7674+Sens!H7674)/2)</f>
        <v>0.0177352211713278</v>
      </c>
      <c r="I7676" s="7" t="n">
        <f aca="false">(Sens!I7673-Sens!I7672)*(1-tax_f)/((Sens!H7674+Sens!I7674)/2)</f>
        <v>0.015962783389876</v>
      </c>
      <c r="J7676" s="7" t="n">
        <f aca="false">(Sens!J7673-Sens!J7672)*(1-tax_f)/((Sens!I7674+Sens!J7674)/2)</f>
        <v>0.0155394833656265</v>
      </c>
      <c r="K7676" s="7" t="n">
        <f aca="false">(Sens!K7673-Sens!K7672)*(1-tax_f)/((Sens!J7674+Sens!K7674)/2)</f>
        <v>0.018385345422338</v>
      </c>
    </row>
    <row r="7677" customFormat="false" ht="17.15" hidden="false" customHeight="false" outlineLevel="0" collapsed="false">
      <c r="A7677" s="1" t="s">
        <v>1016</v>
      </c>
      <c r="B7677" s="0" t="s">
        <v>168</v>
      </c>
      <c r="F7677" s="7" t="n">
        <f aca="false">(Sens!F7673-Sens!F7672+Sens!F7671)*(1-tax_f)/((Sens!E7674+Sens!F7674)/2)</f>
        <v>0.0612090057246454</v>
      </c>
      <c r="G7677" s="7" t="n">
        <f aca="false">(Sens!G7673-Sens!G7672+Sens!G7671)*(1-tax_f)/((Sens!F7674+Sens!G7674)/2)</f>
        <v>0.0761180310326695</v>
      </c>
      <c r="H7677" s="7" t="n">
        <f aca="false">(Sens!H7673-Sens!H7672+Sens!H7671)*(1-tax_f)/((Sens!G7674+Sens!H7674)/2)</f>
        <v>0.0859557095566361</v>
      </c>
      <c r="I7677" s="7" t="n">
        <f aca="false">(Sens!I7673-Sens!I7672+Sens!I7671)*(1-tax_f)/((Sens!H7674+Sens!I7674)/2)</f>
        <v>0.0951578408800258</v>
      </c>
      <c r="J7677" s="7" t="n">
        <f aca="false">(Sens!J7673-Sens!J7672+Sens!J7671)*(1-tax_f)/((Sens!I7674+Sens!J7674)/2)</f>
        <v>0.105427253958487</v>
      </c>
      <c r="K7677" s="7" t="n">
        <f aca="false">(Sens!K7673-Sens!K7672+Sens!K7671)*(1-tax_f)/((Sens!J7674+Sens!K7674)/2)</f>
        <v>0.117991729872291</v>
      </c>
    </row>
    <row r="7678" customFormat="false" ht="17.15" hidden="false" customHeight="false" outlineLevel="0" collapsed="false">
      <c r="A7678" s="1" t="s">
        <v>1017</v>
      </c>
      <c r="B7678" s="0" t="s">
        <v>168</v>
      </c>
      <c r="F7678" s="7" t="n">
        <f aca="false">Sens!F7603*(1-tax_f)/(Sens!F7589*(Sens!E7674+Sens!F7674)/2)</f>
        <v>0.129294830495493</v>
      </c>
      <c r="G7678" s="7" t="n">
        <f aca="false">Sens!G7603*(1-tax_f)/(Sens!G7589*(Sens!F7674+Sens!G7674)/2)</f>
        <v>0.12719599062164</v>
      </c>
      <c r="H7678" s="7" t="n">
        <f aca="false">Sens!H7603*(1-tax_f)/(Sens!H7589*(Sens!G7674+Sens!H7674)/2)</f>
        <v>0.130828167067624</v>
      </c>
      <c r="I7678" s="7" t="n">
        <f aca="false">Sens!I7603*(1-tax_f)/(Sens!I7589*(Sens!H7674+Sens!I7674)/2)</f>
        <v>0.138614526937417</v>
      </c>
      <c r="J7678" s="7" t="n">
        <f aca="false">Sens!J7603*(1-tax_f)/(Sens!J7589*(Sens!I7674+Sens!J7674)/2)</f>
        <v>0.150578919010924</v>
      </c>
      <c r="K7678" s="7" t="n">
        <f aca="false">Sens!K7603*(1-tax_f)/(Sens!K7589*(Sens!J7674+Sens!K7674)/2)</f>
        <v>0.167005345886664</v>
      </c>
    </row>
    <row r="7679" customFormat="false" ht="17.15" hidden="false" customHeight="false" outlineLevel="0" collapsed="false">
      <c r="A7679" s="0" t="s">
        <v>1018</v>
      </c>
      <c r="B7679" s="0" t="s">
        <v>253</v>
      </c>
      <c r="F7679" s="7" t="n">
        <f aca="false">Sens!F7675-wacc</f>
        <v>-0.0417275852209519</v>
      </c>
      <c r="G7679" s="7" t="n">
        <f aca="false">Sens!G7675-wacc</f>
        <v>-0.0268185599129278</v>
      </c>
      <c r="H7679" s="7" t="n">
        <f aca="false">Sens!H7675-wacc</f>
        <v>-0.0169808813889612</v>
      </c>
      <c r="I7679" s="7" t="n">
        <f aca="false">Sens!I7675-wacc</f>
        <v>-0.00777875006557149</v>
      </c>
      <c r="J7679" s="7" t="n">
        <f aca="false">Sens!J7675-wacc</f>
        <v>0.0024906630128898</v>
      </c>
      <c r="K7679" s="7" t="n">
        <f aca="false">Sens!K7675-wacc</f>
        <v>0.0150551389266932</v>
      </c>
    </row>
    <row r="7680" customFormat="false" ht="17.15" hidden="false" customHeight="false" outlineLevel="0" collapsed="false">
      <c r="A7680" s="0" t="s">
        <v>1019</v>
      </c>
      <c r="B7680" s="0" t="s">
        <v>98</v>
      </c>
      <c r="F7680" s="6" t="n">
        <f aca="false">Sens!F7673*(1-tax_f)-wacc*(Sens!E7674+Sens!F7674)/2</f>
        <v>-8.07993485878896</v>
      </c>
      <c r="G7680" s="6" t="n">
        <f aca="false">Sens!G7673*(1-tax_f)-wacc*(Sens!F7674+Sens!G7674)/2</f>
        <v>-8.74761405125648</v>
      </c>
      <c r="H7680" s="6" t="n">
        <f aca="false">Sens!H7673*(1-tax_f)-wacc*(Sens!G7674+Sens!H7674)/2</f>
        <v>-7.56728474773728</v>
      </c>
      <c r="I7680" s="6" t="n">
        <f aca="false">Sens!I7673*(1-tax_f)-wacc*(Sens!H7674+Sens!I7674)/2</f>
        <v>-4.09691549261652</v>
      </c>
      <c r="J7680" s="6" t="n">
        <f aca="false">Sens!J7673*(1-tax_f)-wacc*(Sens!I7674+Sens!J7674)/2</f>
        <v>1.37566660468201</v>
      </c>
      <c r="K7680" s="6" t="n">
        <f aca="false">Sens!K7673*(1-tax_f)-wacc*(Sens!J7674+Sens!K7674)/2</f>
        <v>8.11113224178941</v>
      </c>
    </row>
    <row r="7681" customFormat="false" ht="17.15" hidden="false" customHeight="false" outlineLevel="0" collapsed="false">
      <c r="A7681" s="3" t="s">
        <v>1803</v>
      </c>
    </row>
    <row r="7682" customFormat="false" ht="15" hidden="false" customHeight="false" outlineLevel="0" collapsed="false">
      <c r="A7682" s="4" t="s">
        <v>43</v>
      </c>
      <c r="B7682" s="4" t="s">
        <v>65</v>
      </c>
      <c r="C7682" s="23" t="s">
        <v>942</v>
      </c>
      <c r="D7682" s="23" t="s">
        <v>943</v>
      </c>
      <c r="E7682" s="23" t="s">
        <v>944</v>
      </c>
      <c r="F7682" s="23" t="s">
        <v>945</v>
      </c>
      <c r="G7682" s="23" t="s">
        <v>946</v>
      </c>
      <c r="H7682" s="23" t="s">
        <v>947</v>
      </c>
      <c r="I7682" s="23" t="s">
        <v>948</v>
      </c>
      <c r="J7682" s="23" t="s">
        <v>949</v>
      </c>
      <c r="K7682" s="23" t="s">
        <v>950</v>
      </c>
      <c r="L7682" s="4" t="s">
        <v>47</v>
      </c>
    </row>
    <row r="7683" customFormat="false" ht="15" hidden="false" customHeight="false" outlineLevel="0" collapsed="false">
      <c r="A7683" s="1" t="s">
        <v>1080</v>
      </c>
      <c r="B7683" s="0" t="s">
        <v>98</v>
      </c>
      <c r="F7683" s="6" t="n">
        <f aca="false">Sens!F7664</f>
        <v>145.205233655669</v>
      </c>
      <c r="G7683" s="6" t="n">
        <f aca="false">Sens!G7664</f>
        <v>158.675419104779</v>
      </c>
      <c r="H7683" s="6" t="n">
        <f aca="false">Sens!H7664</f>
        <v>175.960814950802</v>
      </c>
      <c r="I7683" s="6" t="n">
        <f aca="false">Sens!I7664</f>
        <v>192.210572210204</v>
      </c>
      <c r="J7683" s="6" t="n">
        <f aca="false">Sens!J7664</f>
        <v>207.212734388829</v>
      </c>
      <c r="K7683" s="6" t="n">
        <f aca="false">Sens!K7664</f>
        <v>221.804036128</v>
      </c>
    </row>
    <row r="7684" customFormat="false" ht="17.15" hidden="false" customHeight="false" outlineLevel="0" collapsed="false">
      <c r="A7684" s="1" t="s">
        <v>1102</v>
      </c>
      <c r="B7684" s="0" t="s">
        <v>98</v>
      </c>
      <c r="E7684" s="6" t="n">
        <f aca="false">Q!M38-Sens!E7602</f>
        <v>22.2285940229167</v>
      </c>
      <c r="F7684" s="6" t="n">
        <f aca="false">Sens!E7684*(1-1/life_nonai)+(Sens!F7692+Sens!F7693)/life_nonai</f>
        <v>23.591798765627</v>
      </c>
      <c r="G7684" s="6" t="n">
        <f aca="false">Sens!F7684*(1-1/life_nonai)+(Sens!G7692)/life_nonai</f>
        <v>25.409713295508</v>
      </c>
      <c r="H7684" s="6" t="n">
        <f aca="false">Sens!G7684*(1-1/life_nonai)+(Sens!H7692)/life_nonai</f>
        <v>27.6454445910043</v>
      </c>
      <c r="I7684" s="6" t="n">
        <f aca="false">Sens!H7684*(1-1/life_nonai)+(Sens!I7692)/life_nonai</f>
        <v>30.2223879471024</v>
      </c>
      <c r="J7684" s="6" t="n">
        <f aca="false">Sens!I7684*(1-1/life_nonai)+(Sens!J7692)/life_nonai</f>
        <v>33.048084580193</v>
      </c>
      <c r="K7684" s="6" t="n">
        <f aca="false">Sens!J7684*(1-1/life_nonai)+(Sens!K7692)/life_nonai</f>
        <v>36.0375282532797</v>
      </c>
      <c r="L7684" s="12" t="s">
        <v>1103</v>
      </c>
    </row>
    <row r="7685" customFormat="false" ht="17.15" hidden="false" customHeight="false" outlineLevel="0" collapsed="false">
      <c r="A7685" s="1" t="s">
        <v>1104</v>
      </c>
      <c r="B7685" s="0" t="s">
        <v>98</v>
      </c>
      <c r="F7685" s="6" t="n">
        <f aca="false">Sens!$F$7693/life_nonai*(1-1/life_nonai)^(Sens!F7565-2027)</f>
        <v>0</v>
      </c>
      <c r="G7685" s="6" t="n">
        <f aca="false">Sens!$F$7693/life_nonai*(1-1/life_nonai)^(Sens!G7565-2027)</f>
        <v>0</v>
      </c>
      <c r="H7685" s="6" t="n">
        <f aca="false">Sens!$F$7693/life_nonai*(1-1/life_nonai)^(Sens!H7565-2027)</f>
        <v>0</v>
      </c>
      <c r="I7685" s="6" t="n">
        <f aca="false">Sens!$F$7693/life_nonai*(1-1/life_nonai)^(Sens!I7565-2027)</f>
        <v>0</v>
      </c>
      <c r="J7685" s="6" t="n">
        <f aca="false">Sens!$F$7693/life_nonai*(1-1/life_nonai)^(Sens!J7565-2027)</f>
        <v>0</v>
      </c>
      <c r="K7685" s="6" t="n">
        <f aca="false">Sens!$F$7693/life_nonai*(1-1/life_nonai)^(Sens!K7565-2027)</f>
        <v>0</v>
      </c>
      <c r="L7685" s="1" t="s">
        <v>1105</v>
      </c>
    </row>
    <row r="7686" customFormat="false" ht="17.15" hidden="false" customHeight="false" outlineLevel="0" collapsed="false">
      <c r="A7686" s="1" t="s">
        <v>1106</v>
      </c>
      <c r="B7686" s="0" t="s">
        <v>98</v>
      </c>
      <c r="E7686" s="6" t="n">
        <f aca="false">Sens!E7602+Sens!E7684</f>
        <v>38.534</v>
      </c>
      <c r="F7686" s="6" t="n">
        <f aca="false">Sens!F7602+Sens!F7684</f>
        <v>58.1711132439786</v>
      </c>
      <c r="G7686" s="6" t="n">
        <f aca="false">Sens!G7602+Sens!G7684</f>
        <v>86.1442039478069</v>
      </c>
      <c r="H7686" s="6" t="n">
        <f aca="false">Sens!H7602+Sens!H7684</f>
        <v>116.74553525245</v>
      </c>
      <c r="I7686" s="6" t="n">
        <f aca="false">Sens!I7602+Sens!I7684</f>
        <v>144.453397641651</v>
      </c>
      <c r="J7686" s="6" t="n">
        <f aca="false">Sens!J7602+Sens!J7684</f>
        <v>165.063757629789</v>
      </c>
      <c r="K7686" s="6" t="n">
        <f aca="false">Sens!K7602+Sens!K7684</f>
        <v>179.050197804214</v>
      </c>
    </row>
    <row r="7687" customFormat="false" ht="17.15" hidden="false" customHeight="false" outlineLevel="0" collapsed="false">
      <c r="A7687" s="1" t="s">
        <v>1107</v>
      </c>
      <c r="B7687" s="0" t="s">
        <v>98</v>
      </c>
      <c r="F7687" s="6" t="n">
        <f aca="false">Sens!F7629*sbc_r</f>
        <v>14.9603711791571</v>
      </c>
      <c r="G7687" s="6" t="n">
        <f aca="false">Sens!G7629*sbc_r</f>
        <v>17.9654530731561</v>
      </c>
      <c r="H7687" s="6" t="n">
        <f aca="false">Sens!H7629*sbc_r</f>
        <v>21.038607122419</v>
      </c>
      <c r="I7687" s="6" t="n">
        <f aca="false">Sens!I7629*sbc_r</f>
        <v>23.8419559888342</v>
      </c>
      <c r="J7687" s="6" t="n">
        <f aca="false">Sens!J7629*sbc_r</f>
        <v>26.1246495140112</v>
      </c>
      <c r="K7687" s="6" t="n">
        <f aca="false">Sens!K7629*sbc_r</f>
        <v>27.9692938607756</v>
      </c>
    </row>
    <row r="7688" customFormat="false" ht="17.15" hidden="false" customHeight="false" outlineLevel="0" collapsed="false">
      <c r="A7688" s="1" t="s">
        <v>1108</v>
      </c>
      <c r="B7688" s="0" t="s">
        <v>98</v>
      </c>
      <c r="F7688" s="6" t="n">
        <f aca="false">wc27-wc26q1</f>
        <v>-4.677</v>
      </c>
      <c r="G7688" s="6" t="n">
        <f aca="false">wc_f</f>
        <v>0</v>
      </c>
      <c r="H7688" s="6" t="n">
        <f aca="false">wc_f</f>
        <v>0</v>
      </c>
      <c r="I7688" s="6" t="n">
        <f aca="false">wc_f</f>
        <v>0</v>
      </c>
      <c r="J7688" s="6" t="n">
        <f aca="false">wc_f</f>
        <v>0</v>
      </c>
      <c r="K7688" s="6" t="n">
        <f aca="false">wc_f</f>
        <v>0</v>
      </c>
      <c r="L7688" s="12" t="s">
        <v>1109</v>
      </c>
    </row>
    <row r="7689" customFormat="false" ht="17.15" hidden="false" customHeight="false" outlineLevel="0" collapsed="false">
      <c r="A7689" s="0" t="s">
        <v>1110</v>
      </c>
      <c r="B7689" s="0" t="s">
        <v>98</v>
      </c>
      <c r="F7689" s="6" t="n">
        <f aca="false">Q!$I$35-Q!$I$26-Q!$I$38-Q!$I$39</f>
        <v>6.493</v>
      </c>
      <c r="L7689" s="1" t="s">
        <v>1111</v>
      </c>
    </row>
    <row r="7690" customFormat="false" ht="15" hidden="false" customHeight="false" outlineLevel="0" collapsed="false">
      <c r="A7690" s="1" t="s">
        <v>908</v>
      </c>
      <c r="B7690" s="0" t="s">
        <v>98</v>
      </c>
      <c r="E7690" s="6" t="n">
        <f aca="false">Q!M35</f>
        <v>182.935</v>
      </c>
      <c r="F7690" s="6" t="n">
        <f aca="false">Sens!F7683+Sens!F7686+Sens!F7687+Sens!F7688+Sens!F7689</f>
        <v>220.152718078805</v>
      </c>
      <c r="G7690" s="6" t="n">
        <f aca="false">Sens!G7683+Sens!G7686+Sens!G7687+Sens!G7688</f>
        <v>262.785076125742</v>
      </c>
      <c r="H7690" s="6" t="n">
        <f aca="false">Sens!H7683+Sens!H7686+Sens!H7687+Sens!H7688</f>
        <v>313.744957325671</v>
      </c>
      <c r="I7690" s="6" t="n">
        <f aca="false">Sens!I7683+Sens!I7686+Sens!I7687+Sens!I7688</f>
        <v>360.505925840689</v>
      </c>
      <c r="J7690" s="6" t="n">
        <f aca="false">Sens!J7683+Sens!J7686+Sens!J7687+Sens!J7688</f>
        <v>398.40114153263</v>
      </c>
      <c r="K7690" s="6" t="n">
        <f aca="false">Sens!K7683+Sens!K7686+Sens!K7687+Sens!K7688</f>
        <v>428.823527792989</v>
      </c>
    </row>
    <row r="7691" customFormat="false" ht="17.15" hidden="false" customHeight="false" outlineLevel="0" collapsed="false">
      <c r="A7691" s="0" t="s">
        <v>1112</v>
      </c>
      <c r="B7691" s="0" t="s">
        <v>98</v>
      </c>
      <c r="F7691" s="6" t="n">
        <f aca="false">Sens!F7599</f>
        <v>168.45390404212</v>
      </c>
      <c r="G7691" s="6" t="n">
        <f aca="false">Sens!G7599</f>
        <v>191.944475649048</v>
      </c>
      <c r="H7691" s="6" t="n">
        <f aca="false">Sens!H7599</f>
        <v>196.806004064512</v>
      </c>
      <c r="I7691" s="6" t="n">
        <f aca="false">Sens!I7599</f>
        <v>168.61483362161</v>
      </c>
      <c r="J7691" s="6" t="n">
        <f aca="false">Sens!J7599</f>
        <v>128.92993119594</v>
      </c>
      <c r="K7691" s="6" t="n">
        <f aca="false">Sens!K7599</f>
        <v>118.962853064733</v>
      </c>
    </row>
    <row r="7692" customFormat="false" ht="17.15" hidden="false" customHeight="false" outlineLevel="0" collapsed="false">
      <c r="A7692" s="1" t="s">
        <v>1113</v>
      </c>
      <c r="B7692" s="0" t="s">
        <v>98</v>
      </c>
      <c r="E7692" s="6" t="n">
        <f aca="false">Sens!E7607*cx_azo+Sens!E7614*cx_m365+Sens!E7615*cx_lic+(Sens!E7617+Sens!E7619)*cx_ind+Sens!E7622*cx_srch+(Sens!E7624+Sens!E7626)*cx_dev</f>
        <v>30.1846587067718</v>
      </c>
      <c r="F7692" s="6" t="n">
        <f aca="false">Sens!F7607*cx_azo+Sens!F7614*cx_m365+Sens!F7615*cx_lic+(Sens!F7617+Sens!F7619)*cx_ind+Sens!F7622*cx_srch+(Sens!F7624+Sens!F7626)*cx_dev</f>
        <v>35.8606414500198</v>
      </c>
      <c r="G7692" s="6" t="n">
        <f aca="false">Sens!G7607*cx_azo+Sens!G7614*cx_m365+Sens!G7615*cx_lic+(Sens!G7617+Sens!G7619)*cx_ind+Sens!G7622*cx_srch+(Sens!G7624+Sens!G7626)*cx_dev</f>
        <v>41.7709440644368</v>
      </c>
      <c r="H7692" s="6" t="n">
        <f aca="false">Sens!H7607*cx_azo+Sens!H7614*cx_m365+Sens!H7615*cx_lic+(Sens!H7617+Sens!H7619)*cx_ind+Sens!H7622*cx_srch+(Sens!H7624+Sens!H7626)*cx_dev</f>
        <v>47.7670262504717</v>
      </c>
      <c r="I7692" s="6" t="n">
        <f aca="false">Sens!I7607*cx_azo+Sens!I7614*cx_m365+Sens!I7615*cx_lic+(Sens!I7617+Sens!I7619)*cx_ind+Sens!I7622*cx_srch+(Sens!I7624+Sens!I7626)*cx_dev</f>
        <v>53.4148781519847</v>
      </c>
      <c r="J7692" s="6" t="n">
        <f aca="false">Sens!J7607*cx_azo+Sens!J7614*cx_m365+Sens!J7615*cx_lic+(Sens!J7617+Sens!J7619)*cx_ind+Sens!J7622*cx_srch+(Sens!J7624+Sens!J7626)*cx_dev</f>
        <v>58.479354278009</v>
      </c>
      <c r="K7692" s="6" t="n">
        <f aca="false">Sens!K7607*cx_azo+Sens!K7614*cx_m365+Sens!K7615*cx_lic+(Sens!K7617+Sens!K7619)*cx_ind+Sens!K7622*cx_srch+(Sens!K7624+Sens!K7626)*cx_dev</f>
        <v>62.9425213110594</v>
      </c>
    </row>
    <row r="7693" customFormat="false" ht="17.15" hidden="false" customHeight="false" outlineLevel="0" collapsed="false">
      <c r="A7693" s="0" t="s">
        <v>1114</v>
      </c>
      <c r="B7693" s="0" t="s">
        <v>98</v>
      </c>
      <c r="F7693" s="6" t="n">
        <f aca="false">Sens!F7597</f>
        <v>0</v>
      </c>
      <c r="L7693" s="1" t="s">
        <v>1115</v>
      </c>
    </row>
    <row r="7694" customFormat="false" ht="17.15" hidden="false" customHeight="false" outlineLevel="0" collapsed="false">
      <c r="A7694" s="1" t="s">
        <v>1116</v>
      </c>
      <c r="B7694" s="0" t="s">
        <v>98</v>
      </c>
      <c r="E7694" s="6" t="n">
        <f aca="false">Q!M43</f>
        <v>145.3</v>
      </c>
      <c r="F7694" s="6" t="n">
        <f aca="false">Sens!F7691+Sens!F7692+Sens!F7693</f>
        <v>204.314545492139</v>
      </c>
      <c r="G7694" s="6" t="n">
        <f aca="false">Sens!G7691+Sens!G7692</f>
        <v>233.715419713485</v>
      </c>
      <c r="H7694" s="6" t="n">
        <f aca="false">Sens!H7691+Sens!H7692</f>
        <v>244.573030314984</v>
      </c>
      <c r="I7694" s="6" t="n">
        <f aca="false">Sens!I7691+Sens!I7692</f>
        <v>222.029711773595</v>
      </c>
      <c r="J7694" s="6" t="n">
        <f aca="false">Sens!J7691+Sens!J7692</f>
        <v>187.409285473949</v>
      </c>
      <c r="K7694" s="6" t="n">
        <f aca="false">Sens!K7691+Sens!K7692</f>
        <v>181.905374375792</v>
      </c>
      <c r="L7694" s="1" t="s">
        <v>1117</v>
      </c>
    </row>
    <row r="7695" customFormat="false" ht="15" hidden="false" customHeight="false" outlineLevel="0" collapsed="false">
      <c r="A7695" s="1" t="s">
        <v>1118</v>
      </c>
      <c r="B7695" s="0" t="s">
        <v>98</v>
      </c>
      <c r="E7695" s="6" t="n">
        <f aca="false">fl_liab</f>
        <v>66.594</v>
      </c>
      <c r="F7695" s="6" t="n">
        <f aca="false">Sens!E7695-Sens!F7696</f>
        <v>62.46973</v>
      </c>
      <c r="G7695" s="6" t="n">
        <f aca="false">Sens!F7695-Sens!G7696</f>
        <v>57.98686785</v>
      </c>
      <c r="H7695" s="6" t="n">
        <f aca="false">Sens!G7695-Sens!H7696</f>
        <v>53.92827690325</v>
      </c>
      <c r="I7695" s="6" t="n">
        <f aca="false">Sens!H7695-Sens!I7696</f>
        <v>49.7850493638962</v>
      </c>
      <c r="J7695" s="6" t="n">
        <f aca="false">Sens!I7695-Sens!J7696</f>
        <v>45.4823765852716</v>
      </c>
      <c r="K7695" s="6" t="n">
        <f aca="false">Sens!J7695-Sens!K7696</f>
        <v>40.9860835316088</v>
      </c>
    </row>
    <row r="7696" customFormat="false" ht="15" hidden="false" customHeight="false" outlineLevel="0" collapsed="false">
      <c r="A7696" s="1" t="s">
        <v>1119</v>
      </c>
      <c r="B7696" s="0" t="s">
        <v>98</v>
      </c>
      <c r="F7696" s="6" t="n">
        <f aca="false">fl_pay_27-Sens!E7695*fl_rate</f>
        <v>4.12427</v>
      </c>
      <c r="G7696" s="6" t="n">
        <f aca="false">fl_pay_28-Sens!F7695*fl_rate</f>
        <v>4.48286215</v>
      </c>
      <c r="H7696" s="6" t="n">
        <f aca="false">fl_pay_29-Sens!G7695*fl_rate</f>
        <v>4.05859094675</v>
      </c>
      <c r="I7696" s="6" t="n">
        <f aca="false">fl_pay_30-Sens!H7695*fl_rate</f>
        <v>4.14322753935375</v>
      </c>
      <c r="J7696" s="6" t="n">
        <f aca="false">fl_pay_31-Sens!I7695*fl_rate</f>
        <v>4.30267277862467</v>
      </c>
      <c r="K7696" s="6" t="n">
        <f aca="false">fl_pay_32-Sens!J7695*fl_rate</f>
        <v>4.49629305366278</v>
      </c>
    </row>
    <row r="7697" customFormat="false" ht="17.15" hidden="false" customHeight="false" outlineLevel="0" collapsed="false">
      <c r="A7697" s="1" t="s">
        <v>1120</v>
      </c>
      <c r="B7697" s="0" t="s">
        <v>98</v>
      </c>
      <c r="E7697" s="6" t="n">
        <f aca="false">Q!M35-Q!M36-Q!M44</f>
        <v>63.886</v>
      </c>
      <c r="F7697" s="6" t="n">
        <f aca="false">Sens!F7690-Sens!F7694-Sens!F7696</f>
        <v>11.7139025866654</v>
      </c>
      <c r="G7697" s="6" t="n">
        <f aca="false">Sens!G7690-Sens!G7694-Sens!G7696</f>
        <v>24.5867942622574</v>
      </c>
      <c r="H7697" s="6" t="n">
        <f aca="false">Sens!H7690-Sens!H7694-Sens!H7696</f>
        <v>65.1133360639371</v>
      </c>
      <c r="I7697" s="6" t="n">
        <f aca="false">Sens!I7690-Sens!I7694-Sens!I7696</f>
        <v>134.33298652774</v>
      </c>
      <c r="J7697" s="6" t="n">
        <f aca="false">Sens!J7690-Sens!J7694-Sens!J7696</f>
        <v>206.689183280055</v>
      </c>
      <c r="K7697" s="6" t="n">
        <f aca="false">Sens!K7690-Sens!K7694-Sens!K7696</f>
        <v>242.421860363534</v>
      </c>
      <c r="L7697" s="12" t="s">
        <v>1121</v>
      </c>
    </row>
    <row r="7698" customFormat="false" ht="15" hidden="false" customHeight="false" outlineLevel="0" collapsed="false">
      <c r="A7698" s="1" t="s">
        <v>1122</v>
      </c>
      <c r="B7698" s="0" t="s">
        <v>75</v>
      </c>
      <c r="F7698" s="8" t="n">
        <f aca="false">dps_27</f>
        <v>3.85</v>
      </c>
      <c r="G7698" s="8" t="n">
        <f aca="false">Sens!F7698*(1+dps_g)</f>
        <v>4.158</v>
      </c>
      <c r="H7698" s="8" t="n">
        <f aca="false">Sens!G7698*(1+dps_g)</f>
        <v>4.49064</v>
      </c>
      <c r="I7698" s="8" t="n">
        <f aca="false">Sens!H7698*(1+dps_g)</f>
        <v>4.8498912</v>
      </c>
      <c r="J7698" s="8" t="n">
        <f aca="false">Sens!I7698*(1+dps_g)</f>
        <v>5.237882496</v>
      </c>
      <c r="K7698" s="8" t="n">
        <f aca="false">Sens!J7698*(1+dps_g)</f>
        <v>5.65691309568</v>
      </c>
    </row>
    <row r="7699" customFormat="false" ht="17.15" hidden="false" customHeight="false" outlineLevel="0" collapsed="false">
      <c r="A7699" s="1" t="s">
        <v>1123</v>
      </c>
      <c r="B7699" s="0" t="s">
        <v>98</v>
      </c>
      <c r="E7699" s="6" t="n">
        <f aca="false">Q!M41</f>
        <v>26.445</v>
      </c>
      <c r="F7699" s="6" t="n">
        <f aca="false">Sens!F7698*Sens!E7708</f>
        <v>28.59395</v>
      </c>
      <c r="G7699" s="6" t="n">
        <f aca="false">Sens!G7698*Sens!F7708</f>
        <v>31.0632040673828</v>
      </c>
      <c r="H7699" s="6" t="n">
        <f aca="false">Sens!H7698*Sens!G7708</f>
        <v>33.7503391927734</v>
      </c>
      <c r="I7699" s="6" t="n">
        <f aca="false">Sens!I7698*Sens!H7708</f>
        <v>36.5008046052679</v>
      </c>
      <c r="J7699" s="6" t="n">
        <f aca="false">Sens!J7698*Sens!I7708</f>
        <v>39.488766859082</v>
      </c>
      <c r="K7699" s="6" t="n">
        <f aca="false">Sens!K7698*Sens!J7708</f>
        <v>42.7346224701868</v>
      </c>
      <c r="L7699" s="1" t="s">
        <v>1124</v>
      </c>
    </row>
    <row r="7700" customFormat="false" ht="15" hidden="false" customHeight="false" outlineLevel="0" collapsed="false">
      <c r="A7700" s="1" t="s">
        <v>1125</v>
      </c>
      <c r="B7700" s="0" t="s">
        <v>98</v>
      </c>
      <c r="E7700" s="6" t="n">
        <f aca="false">Sens!E7697-Sens!E7699</f>
        <v>37.441</v>
      </c>
      <c r="F7700" s="6" t="n">
        <f aca="false">Sens!F7697-Sens!F7699</f>
        <v>-16.8800474133346</v>
      </c>
      <c r="G7700" s="6" t="n">
        <f aca="false">Sens!G7697-Sens!G7699</f>
        <v>-6.47640980512537</v>
      </c>
      <c r="H7700" s="6" t="n">
        <f aca="false">Sens!H7697-Sens!H7699</f>
        <v>31.3629968711637</v>
      </c>
      <c r="I7700" s="6" t="n">
        <f aca="false">Sens!I7697-Sens!I7699</f>
        <v>97.8321819224725</v>
      </c>
      <c r="J7700" s="6" t="n">
        <f aca="false">Sens!J7697-Sens!J7699</f>
        <v>167.200416420973</v>
      </c>
      <c r="K7700" s="6" t="n">
        <f aca="false">Sens!K7697-Sens!K7699</f>
        <v>199.687237893347</v>
      </c>
    </row>
    <row r="7701" customFormat="false" ht="15" hidden="false" customHeight="false" outlineLevel="0" collapsed="false">
      <c r="A7701" s="1" t="s">
        <v>1126</v>
      </c>
      <c r="B7701" s="0" t="s">
        <v>98</v>
      </c>
      <c r="F7701" s="6" t="n">
        <f aca="false">debt_mat_27</f>
        <v>9.25</v>
      </c>
      <c r="G7701" s="6" t="n">
        <f aca="false">debt_mat_28</f>
        <v>0</v>
      </c>
      <c r="H7701" s="6" t="n">
        <f aca="false">debt_mat_29</f>
        <v>2.001</v>
      </c>
      <c r="I7701" s="6" t="n">
        <f aca="false">debt_mat_30</f>
        <v>0</v>
      </c>
      <c r="J7701" s="6" t="n">
        <f aca="false">debt_mat_31</f>
        <v>0.5</v>
      </c>
      <c r="K7701" s="6" t="n">
        <f aca="false">debt_mat_32</f>
        <v>0</v>
      </c>
    </row>
    <row r="7702" customFormat="false" ht="15" hidden="false" customHeight="false" outlineLevel="0" collapsed="false">
      <c r="A7702" s="1" t="s">
        <v>1127</v>
      </c>
      <c r="B7702" s="0" t="s">
        <v>98</v>
      </c>
      <c r="E7702" s="6" t="n">
        <f aca="false">Q!M40</f>
        <v>22.271</v>
      </c>
      <c r="F7702" s="6" t="n">
        <f aca="false">MAX(0,MIN(bb_target,Sens!E7704+Sens!F7700-Sens!F7701-min_cash))</f>
        <v>0.712952586665395</v>
      </c>
      <c r="G7702" s="6" t="n">
        <f aca="false">MAX(0,MIN(bb_target,Sens!F7704+Sens!G7700-Sens!G7701-min_cash))</f>
        <v>0</v>
      </c>
      <c r="H7702" s="6" t="n">
        <f aca="false">MAX(0,MIN(bb_target,Sens!G7704+Sens!H7700-Sens!H7701-min_cash))</f>
        <v>22.271</v>
      </c>
      <c r="I7702" s="6" t="n">
        <f aca="false">MAX(0,MIN(bb_target,Sens!H7704+Sens!I7700-Sens!I7701-min_cash))</f>
        <v>22.271</v>
      </c>
      <c r="J7702" s="6" t="n">
        <f aca="false">MAX(0,MIN(bb_target,Sens!I7704+Sens!J7700-Sens!J7701-min_cash))</f>
        <v>22.271</v>
      </c>
      <c r="K7702" s="6" t="n">
        <f aca="false">MAX(0,MIN(bb_target,Sens!J7704+Sens!K7700-Sens!K7701-min_cash))</f>
        <v>22.271</v>
      </c>
    </row>
    <row r="7703" customFormat="false" ht="15" hidden="false" customHeight="false" outlineLevel="0" collapsed="false">
      <c r="A7703" s="1" t="s">
        <v>1128</v>
      </c>
      <c r="B7703" s="0" t="s">
        <v>98</v>
      </c>
      <c r="F7703" s="6" t="n">
        <f aca="false">MAX(0,min_cash-(Sens!E7704+Sens!F7700-Sens!F7701-Sens!F7702))</f>
        <v>0</v>
      </c>
      <c r="G7703" s="6" t="n">
        <f aca="false">MAX(0,min_cash-(Sens!F7704+Sens!G7700-Sens!G7701-Sens!G7702))</f>
        <v>6.47640980512537</v>
      </c>
      <c r="H7703" s="6" t="n">
        <f aca="false">MAX(0,min_cash-(Sens!G7704+Sens!H7700-Sens!H7701-Sens!H7702))</f>
        <v>0</v>
      </c>
      <c r="I7703" s="6" t="n">
        <f aca="false">MAX(0,min_cash-(Sens!H7704+Sens!I7700-Sens!I7701-Sens!I7702))</f>
        <v>0</v>
      </c>
      <c r="J7703" s="6" t="n">
        <f aca="false">MAX(0,min_cash-(Sens!I7704+Sens!J7700-Sens!J7701-Sens!J7702))</f>
        <v>0</v>
      </c>
      <c r="K7703" s="6" t="n">
        <f aca="false">MAX(0,min_cash-(Sens!J7704+Sens!K7700-Sens!K7701-Sens!K7702))</f>
        <v>0</v>
      </c>
    </row>
    <row r="7704" customFormat="false" ht="15" hidden="false" customHeight="false" outlineLevel="0" collapsed="false">
      <c r="A7704" s="1" t="s">
        <v>1129</v>
      </c>
      <c r="B7704" s="0" t="s">
        <v>98</v>
      </c>
      <c r="E7704" s="6" t="n">
        <f aca="false">cash_open</f>
        <v>76.843</v>
      </c>
      <c r="F7704" s="6" t="n">
        <f aca="false">Sens!E7704+Sens!F7700-Sens!F7701-Sens!F7702+Sens!F7703</f>
        <v>50</v>
      </c>
      <c r="G7704" s="6" t="n">
        <f aca="false">Sens!F7704+Sens!G7700-Sens!G7701-Sens!G7702+Sens!G7703</f>
        <v>50</v>
      </c>
      <c r="H7704" s="6" t="n">
        <f aca="false">Sens!G7704+Sens!H7700-Sens!H7701-Sens!H7702+Sens!H7703</f>
        <v>57.0909968711637</v>
      </c>
      <c r="I7704" s="6" t="n">
        <f aca="false">Sens!H7704+Sens!I7700-Sens!I7701-Sens!I7702+Sens!I7703</f>
        <v>132.652178793636</v>
      </c>
      <c r="J7704" s="6" t="n">
        <f aca="false">Sens!I7704+Sens!J7700-Sens!J7701-Sens!J7702+Sens!J7703</f>
        <v>277.08159521461</v>
      </c>
      <c r="K7704" s="6" t="n">
        <f aca="false">Sens!J7704+Sens!K7700-Sens!K7701-Sens!K7702+Sens!K7703</f>
        <v>454.497833107957</v>
      </c>
    </row>
    <row r="7705" customFormat="false" ht="15" hidden="false" customHeight="false" outlineLevel="0" collapsed="false">
      <c r="A7705" s="1" t="s">
        <v>1130</v>
      </c>
      <c r="B7705" s="0" t="s">
        <v>98</v>
      </c>
      <c r="E7705" s="6" t="n">
        <f aca="false">debt_face</f>
        <v>46.136</v>
      </c>
      <c r="F7705" s="6" t="n">
        <f aca="false">Sens!E7705-Sens!F7701+Sens!F7703</f>
        <v>36.886</v>
      </c>
      <c r="G7705" s="6" t="n">
        <f aca="false">Sens!F7705-Sens!G7701+Sens!G7703</f>
        <v>43.3624098051254</v>
      </c>
      <c r="H7705" s="6" t="n">
        <f aca="false">Sens!G7705-Sens!H7701+Sens!H7703</f>
        <v>41.3614098051254</v>
      </c>
      <c r="I7705" s="6" t="n">
        <f aca="false">Sens!H7705-Sens!I7701+Sens!I7703</f>
        <v>41.3614098051254</v>
      </c>
      <c r="J7705" s="6" t="n">
        <f aca="false">Sens!I7705-Sens!J7701+Sens!J7703</f>
        <v>40.8614098051254</v>
      </c>
      <c r="K7705" s="6" t="n">
        <f aca="false">Sens!J7705-Sens!K7701+Sens!K7703</f>
        <v>40.8614098051254</v>
      </c>
    </row>
    <row r="7706" customFormat="false" ht="15" hidden="false" customHeight="false" outlineLevel="0" collapsed="false">
      <c r="A7706" s="1" t="s">
        <v>1131</v>
      </c>
      <c r="B7706" s="0" t="s">
        <v>98</v>
      </c>
      <c r="E7706" s="6" t="n">
        <f aca="false">Sens!E7704-Sens!E7705</f>
        <v>30.707</v>
      </c>
      <c r="F7706" s="6" t="n">
        <f aca="false">Sens!F7704-Sens!F7705</f>
        <v>13.114</v>
      </c>
      <c r="G7706" s="6" t="n">
        <f aca="false">Sens!G7704-Sens!G7705</f>
        <v>6.63759019487463</v>
      </c>
      <c r="H7706" s="6" t="n">
        <f aca="false">Sens!H7704-Sens!H7705</f>
        <v>15.7295870660383</v>
      </c>
      <c r="I7706" s="6" t="n">
        <f aca="false">Sens!I7704-Sens!I7705</f>
        <v>91.2907689885108</v>
      </c>
      <c r="J7706" s="6" t="n">
        <f aca="false">Sens!J7704-Sens!J7705</f>
        <v>236.220185409484</v>
      </c>
      <c r="K7706" s="6" t="n">
        <f aca="false">Sens!K7704-Sens!K7705</f>
        <v>413.636423302832</v>
      </c>
    </row>
    <row r="7707" customFormat="false" ht="15" hidden="false" customHeight="false" outlineLevel="0" collapsed="false">
      <c r="A7707" s="1" t="s">
        <v>1132</v>
      </c>
      <c r="B7707" s="0" t="s">
        <v>75</v>
      </c>
      <c r="F7707" s="30" t="n">
        <f aca="false">px*(1+bb_g)^(Sens!F7565-base_fy-mid_yr)</f>
        <v>551.84177959629</v>
      </c>
      <c r="G7707" s="30" t="n">
        <f aca="false">px*(1+bb_g)^(Sens!G7565-base_fy-mid_yr)</f>
        <v>595.989121963993</v>
      </c>
      <c r="H7707" s="30" t="n">
        <f aca="false">px*(1+bb_g)^(Sens!H7565-base_fy-mid_yr)</f>
        <v>643.668251721112</v>
      </c>
      <c r="I7707" s="30" t="n">
        <f aca="false">px*(1+bb_g)^(Sens!I7565-base_fy-mid_yr)</f>
        <v>695.161711858801</v>
      </c>
      <c r="J7707" s="30" t="n">
        <f aca="false">px*(1+bb_g)^(Sens!J7565-base_fy-mid_yr)</f>
        <v>750.774648807506</v>
      </c>
      <c r="K7707" s="30" t="n">
        <f aca="false">px*(1+bb_g)^(Sens!K7565-base_fy-mid_yr)</f>
        <v>810.836620712106</v>
      </c>
    </row>
    <row r="7708" customFormat="false" ht="15" hidden="false" customHeight="false" outlineLevel="0" collapsed="false">
      <c r="A7708" s="1" t="s">
        <v>1133</v>
      </c>
      <c r="B7708" s="1" t="s">
        <v>81</v>
      </c>
      <c r="E7708" s="15" t="n">
        <f aca="false">sh_out26</f>
        <v>7.427</v>
      </c>
      <c r="F7708" s="15" t="n">
        <f aca="false">Sens!E7708+sh_iss-Sens!F7702/Sens!F7707</f>
        <v>7.47070804891361</v>
      </c>
      <c r="G7708" s="15" t="n">
        <f aca="false">Sens!F7708+sh_iss-Sens!G7702/Sens!G7707</f>
        <v>7.51570804891361</v>
      </c>
      <c r="H7708" s="15" t="n">
        <f aca="false">Sens!G7708+sh_iss-Sens!H7702/Sens!H7707</f>
        <v>7.52610792697121</v>
      </c>
      <c r="I7708" s="15" t="n">
        <f aca="false">Sens!H7708+sh_iss-Sens!I7702/Sens!I7707</f>
        <v>7.53907077702455</v>
      </c>
      <c r="J7708" s="15" t="n">
        <f aca="false">Sens!I7708+sh_iss-Sens!J7702/Sens!J7707</f>
        <v>7.55440674929616</v>
      </c>
      <c r="K7708" s="15" t="n">
        <f aca="false">Sens!J7708+sh_iss-Sens!K7702/Sens!K7707</f>
        <v>7.57194005695505</v>
      </c>
    </row>
    <row r="7709" customFormat="false" ht="15" hidden="false" customHeight="false" outlineLevel="0" collapsed="false">
      <c r="A7709" s="1" t="s">
        <v>1134</v>
      </c>
      <c r="B7709" s="1" t="s">
        <v>81</v>
      </c>
      <c r="E7709" s="15" t="n">
        <f aca="false">sh_dil26</f>
        <v>7.453</v>
      </c>
      <c r="F7709" s="15" t="n">
        <f aca="false">(Sens!E7708+Sens!F7708)/2+dil_gap</f>
        <v>7.4728540244568</v>
      </c>
      <c r="G7709" s="15" t="n">
        <f aca="false">(Sens!F7708+Sens!G7708)/2+dil_gap</f>
        <v>7.51720804891361</v>
      </c>
      <c r="H7709" s="15" t="n">
        <f aca="false">(Sens!G7708+Sens!H7708)/2+dil_gap</f>
        <v>7.54490798794241</v>
      </c>
      <c r="I7709" s="15" t="n">
        <f aca="false">(Sens!H7708+Sens!I7708)/2+dil_gap</f>
        <v>7.55658935199788</v>
      </c>
      <c r="J7709" s="15" t="n">
        <f aca="false">(Sens!I7708+Sens!J7708)/2+dil_gap</f>
        <v>7.57073876316035</v>
      </c>
      <c r="K7709" s="15" t="n">
        <f aca="false">(Sens!J7708+Sens!K7708)/2+dil_gap</f>
        <v>7.5871734031256</v>
      </c>
    </row>
    <row r="7710" customFormat="false" ht="17.15" hidden="false" customHeight="false" outlineLevel="0" collapsed="false">
      <c r="A7710" s="1" t="s">
        <v>1135</v>
      </c>
      <c r="B7710" s="0" t="s">
        <v>98</v>
      </c>
      <c r="C7710" s="6" t="n">
        <f aca="false">SUM(Sens!F7700:J7700)</f>
        <v>273.03913799615</v>
      </c>
    </row>
    <row r="7711" customFormat="false" ht="15" hidden="false" customHeight="false" outlineLevel="0" collapsed="false">
      <c r="A7711" s="26" t="s">
        <v>1100</v>
      </c>
      <c r="B7711" s="31" t="s">
        <v>98</v>
      </c>
      <c r="C7711" s="27" t="n">
        <f aca="false">Sens!$C$7710-(Sens!F7700+Sens!G7700+Sens!H7700+Sens!I7700+Sens!J7700)</f>
        <v>0</v>
      </c>
      <c r="D7711" s="31"/>
      <c r="E7711" s="31"/>
      <c r="F7711" s="31"/>
      <c r="G7711" s="31"/>
      <c r="H7711" s="31"/>
      <c r="I7711" s="31"/>
      <c r="J7711" s="31"/>
      <c r="K7711" s="31"/>
    </row>
    <row r="7712" customFormat="false" ht="17.15" hidden="false" customHeight="false" outlineLevel="0" collapsed="false">
      <c r="A7712" s="1" t="s">
        <v>1094</v>
      </c>
      <c r="B7712" s="1" t="s">
        <v>1136</v>
      </c>
      <c r="C7712" s="33" t="str">
        <f aca="false">IF(SUM(Sens!F7703:J7703)&gt;0.05,"需要舉債 "&amp;TEXT(SUM(Sens!F7703:J7703),"0.0")&amp;" 十億美元","不需舉債")&amp;"；"&amp;IF(SUM(Sens!F7702:J7702)&lt;COUNT(Sens!F7702:J7702)*bb_target-0.05,"回購較每年 "&amp;TEXT(bb_target,"0.0")&amp;" 的目標少 "&amp;TEXT(COUNT(Sens!F7702:J7702)*bb_target-SUM(Sens!F7702:J7702),"0.0")&amp;" 十億美元（"&amp;TEXT(COUNTIF(Sens!F7702:J7702,"&lt;"&amp;(bb_target-0.05)),"0")&amp;" 年減少）","回購不減")</f>
        <v>需要舉債 6.5 十億美元；回購較每年 22.3 的目標少 43.8 十億美元（2 年減少）</v>
      </c>
    </row>
    <row r="7713" customFormat="false" ht="17.15" hidden="false" customHeight="false" outlineLevel="0" collapsed="false">
      <c r="A7713" s="3" t="s">
        <v>1804</v>
      </c>
    </row>
    <row r="7714" customFormat="false" ht="15" hidden="false" customHeight="false" outlineLevel="0" collapsed="false">
      <c r="A7714" s="4" t="s">
        <v>43</v>
      </c>
      <c r="B7714" s="4" t="s">
        <v>65</v>
      </c>
      <c r="C7714" s="23" t="s">
        <v>942</v>
      </c>
      <c r="D7714" s="23" t="s">
        <v>943</v>
      </c>
      <c r="E7714" s="23" t="s">
        <v>944</v>
      </c>
      <c r="F7714" s="23" t="s">
        <v>945</v>
      </c>
      <c r="G7714" s="23" t="s">
        <v>946</v>
      </c>
      <c r="H7714" s="23" t="s">
        <v>947</v>
      </c>
      <c r="I7714" s="23" t="s">
        <v>948</v>
      </c>
      <c r="J7714" s="23" t="s">
        <v>949</v>
      </c>
      <c r="K7714" s="23" t="s">
        <v>950</v>
      </c>
      <c r="L7714" s="4" t="s">
        <v>47</v>
      </c>
    </row>
    <row r="7715" customFormat="false" ht="17.15" hidden="false" customHeight="false" outlineLevel="0" collapsed="false">
      <c r="A7715" s="1" t="s">
        <v>1216</v>
      </c>
      <c r="B7715" s="1" t="s">
        <v>279</v>
      </c>
      <c r="F7715" s="8" t="n">
        <f aca="false">(1-v_off)*mid_yr</f>
        <v>0.373972602739726</v>
      </c>
      <c r="G7715" s="8" t="n">
        <f aca="false">Sens!G7565-base_fy-mid_yr-v_off</f>
        <v>1.24794520547945</v>
      </c>
      <c r="H7715" s="8" t="n">
        <f aca="false">Sens!H7565-base_fy-mid_yr-v_off</f>
        <v>2.24794520547945</v>
      </c>
      <c r="I7715" s="8" t="n">
        <f aca="false">Sens!I7565-base_fy-mid_yr-v_off</f>
        <v>3.24794520547945</v>
      </c>
      <c r="J7715" s="8" t="n">
        <f aca="false">Sens!J7565-base_fy-mid_yr-v_off</f>
        <v>4.24794520547945</v>
      </c>
      <c r="K7715" s="8" t="n">
        <f aca="false">Sens!K7565-base_fy-mid_yr-v_off</f>
        <v>5.24794520547945</v>
      </c>
      <c r="L7715" s="12" t="s">
        <v>1217</v>
      </c>
    </row>
    <row r="7716" customFormat="false" ht="15" hidden="false" customHeight="false" outlineLevel="0" collapsed="false">
      <c r="A7716" s="1" t="s">
        <v>1218</v>
      </c>
      <c r="B7716" s="1" t="s">
        <v>279</v>
      </c>
      <c r="F7716" s="8" t="n">
        <f aca="false">Sens!F7565-base_fy-v_off</f>
        <v>0.747945205479452</v>
      </c>
      <c r="G7716" s="8" t="n">
        <f aca="false">Sens!G7565-base_fy-v_off</f>
        <v>1.74794520547945</v>
      </c>
      <c r="H7716" s="8" t="n">
        <f aca="false">Sens!H7565-base_fy-v_off</f>
        <v>2.74794520547945</v>
      </c>
      <c r="I7716" s="8" t="n">
        <f aca="false">Sens!I7565-base_fy-v_off</f>
        <v>3.74794520547945</v>
      </c>
      <c r="J7716" s="8" t="n">
        <f aca="false">Sens!J7565-base_fy-v_off</f>
        <v>4.74794520547945</v>
      </c>
      <c r="K7716" s="8" t="n">
        <f aca="false">Sens!K7565-base_fy-v_off</f>
        <v>5.74794520547945</v>
      </c>
    </row>
    <row r="7717" customFormat="false" ht="15" hidden="false" customHeight="false" outlineLevel="0" collapsed="false">
      <c r="A7717" s="1" t="s">
        <v>1219</v>
      </c>
      <c r="B7717" s="0" t="s">
        <v>229</v>
      </c>
      <c r="F7717" s="15" t="n">
        <f aca="false">1/(1+wacc)^Sens!F7715</f>
        <v>0.964022703286649</v>
      </c>
      <c r="G7717" s="15" t="n">
        <f aca="false">1/(1+wacc)^Sens!G7715</f>
        <v>0.884910302296739</v>
      </c>
      <c r="H7717" s="15" t="n">
        <f aca="false">1/(1+wacc)^Sens!H7715</f>
        <v>0.802322009770358</v>
      </c>
      <c r="I7717" s="15" t="n">
        <f aca="false">1/(1+wacc)^Sens!I7715</f>
        <v>0.727441646561469</v>
      </c>
      <c r="J7717" s="15" t="n">
        <f aca="false">1/(1+wacc)^Sens!J7715</f>
        <v>0.659549834988973</v>
      </c>
      <c r="K7717" s="15" t="n">
        <f aca="false">1/(1+wacc)^Sens!K7715</f>
        <v>0.597994336576966</v>
      </c>
    </row>
    <row r="7718" customFormat="false" ht="17.15" hidden="false" customHeight="false" outlineLevel="0" collapsed="false">
      <c r="A7718" s="1" t="s">
        <v>1220</v>
      </c>
      <c r="B7718" s="0" t="s">
        <v>98</v>
      </c>
      <c r="F7718" s="6" t="n">
        <f aca="false">Q!$I$35-Q!$I$39-Q!$I$43</f>
        <v>9.666</v>
      </c>
      <c r="L7718" s="12" t="s">
        <v>1221</v>
      </c>
    </row>
    <row r="7719" customFormat="false" ht="17.15" hidden="false" customHeight="false" outlineLevel="0" collapsed="false">
      <c r="A7719" s="1" t="s">
        <v>1222</v>
      </c>
      <c r="B7719" s="0" t="s">
        <v>98</v>
      </c>
      <c r="F7719" s="6" t="n">
        <f aca="false">Sens!F7690-Sens!F7687-Sens!F7694+Sens!F7672*(1-tax_f)*(1-v_off)-Sens!F7718</f>
        <v>-3.47275740570749</v>
      </c>
      <c r="G7719" s="6" t="n">
        <f aca="false">Sens!G7690-Sens!G7687-Sens!G7694+Sens!G7672*(1-tax_f)</f>
        <v>29.2690277527232</v>
      </c>
      <c r="H7719" s="6" t="n">
        <f aca="false">Sens!H7690-Sens!H7687-Sens!H7694+Sens!H7672*(1-tax_f)</f>
        <v>78.5347960788341</v>
      </c>
      <c r="I7719" s="6" t="n">
        <f aca="false">Sens!I7690-Sens!I7687-Sens!I7694+Sens!I7672*(1-tax_f)</f>
        <v>156.344745654674</v>
      </c>
      <c r="J7719" s="6" t="n">
        <f aca="false">Sens!J7690-Sens!J7687-Sens!J7694+Sens!J7672*(1-tax_f)</f>
        <v>234.51487205942</v>
      </c>
      <c r="K7719" s="6" t="n">
        <f aca="false">Sens!K7690-Sens!K7687-Sens!K7694+Sens!K7672*(1-tax_f)</f>
        <v>272.612964572923</v>
      </c>
      <c r="L7719" s="1" t="s">
        <v>1223</v>
      </c>
    </row>
    <row r="7720" customFormat="false" ht="15" hidden="false" customHeight="false" outlineLevel="0" collapsed="false">
      <c r="A7720" s="1" t="s">
        <v>1224</v>
      </c>
      <c r="B7720" s="0" t="s">
        <v>98</v>
      </c>
      <c r="F7720" s="6" t="n">
        <f aca="false">Sens!F7719*Sens!F7717</f>
        <v>-3.34781698210887</v>
      </c>
      <c r="G7720" s="6" t="n">
        <f aca="false">Sens!G7719*Sens!G7717</f>
        <v>25.900464196594</v>
      </c>
      <c r="H7720" s="6" t="n">
        <f aca="false">Sens!H7719*Sens!H7717</f>
        <v>63.0101954268754</v>
      </c>
      <c r="I7720" s="6" t="n">
        <f aca="false">Sens!I7719*Sens!I7717</f>
        <v>113.73167921027</v>
      </c>
      <c r="J7720" s="6" t="n">
        <f aca="false">Sens!J7719*Sens!J7717</f>
        <v>154.674245169251</v>
      </c>
      <c r="K7720" s="6" t="n">
        <f aca="false">Sens!K7719*Sens!K7717</f>
        <v>163.021008892065</v>
      </c>
    </row>
    <row r="7721" customFormat="false" ht="17.15" hidden="false" customHeight="false" outlineLevel="0" collapsed="false">
      <c r="A7721" s="1" t="s">
        <v>1225</v>
      </c>
      <c r="B7721" s="0" t="s">
        <v>98</v>
      </c>
      <c r="C7721" s="6" t="n">
        <f aca="false">SUM(Sens!F7720:K7720)</f>
        <v>516.989775912946</v>
      </c>
    </row>
    <row r="7722" customFormat="false" ht="17.15" hidden="false" customHeight="false" outlineLevel="0" collapsed="false">
      <c r="A7722" s="1" t="s">
        <v>1226</v>
      </c>
      <c r="B7722" s="0" t="s">
        <v>98</v>
      </c>
      <c r="C7722" s="6" t="n">
        <f aca="false">Sens!K7658*(1+g_tv)*(1-tax_f)</f>
        <v>284.720985378836</v>
      </c>
    </row>
    <row r="7723" customFormat="false" ht="17.15" hidden="false" customHeight="false" outlineLevel="0" collapsed="false">
      <c r="A7723" s="1" t="s">
        <v>1227</v>
      </c>
      <c r="B7723" s="0" t="s">
        <v>98</v>
      </c>
      <c r="C7723" s="6" t="n">
        <f aca="false">Sens!$C$7722*(1-g_tv/(wacc+ronic_prem))</f>
        <v>201.741459022855</v>
      </c>
    </row>
    <row r="7724" customFormat="false" ht="17.15" hidden="false" customHeight="false" outlineLevel="0" collapsed="false">
      <c r="A7724" s="1" t="s">
        <v>1228</v>
      </c>
      <c r="B7724" s="0" t="s">
        <v>98</v>
      </c>
      <c r="C7724" s="6" t="n">
        <f aca="false">Sens!$C$7723/(wacc-g_tv)</f>
        <v>2765.98421186605</v>
      </c>
    </row>
    <row r="7725" customFormat="false" ht="15" hidden="false" customHeight="false" outlineLevel="0" collapsed="false">
      <c r="A7725" s="1" t="s">
        <v>1229</v>
      </c>
      <c r="B7725" s="0" t="s">
        <v>98</v>
      </c>
      <c r="C7725" s="6" t="n">
        <f aca="false">Sens!$C$7724/(1+wacc)^Sens!K7716</f>
        <v>1574.96713313418</v>
      </c>
    </row>
    <row r="7726" customFormat="false" ht="17.15" hidden="false" customHeight="false" outlineLevel="0" collapsed="false">
      <c r="A7726" s="0" t="s">
        <v>1230</v>
      </c>
      <c r="B7726" s="0" t="s">
        <v>98</v>
      </c>
      <c r="C7726" s="6" t="n">
        <f aca="false">Sens!$C$7721+Sens!$C$7725</f>
        <v>2091.95690904713</v>
      </c>
    </row>
    <row r="7727" customFormat="false" ht="15" hidden="false" customHeight="false" outlineLevel="0" collapsed="false">
      <c r="A7727" s="1" t="s">
        <v>1145</v>
      </c>
      <c r="B7727" s="0" t="s">
        <v>168</v>
      </c>
      <c r="C7727" s="7" t="n">
        <f aca="false">Sens!$C$7725/Sens!$C$7726</f>
        <v>0.752867865644312</v>
      </c>
    </row>
    <row r="7728" customFormat="false" ht="17.15" hidden="false" customHeight="false" outlineLevel="0" collapsed="false">
      <c r="A7728" s="1" t="s">
        <v>1231</v>
      </c>
      <c r="B7728" s="0" t="s">
        <v>98</v>
      </c>
      <c r="C7728" s="6" t="n">
        <f aca="false">Sens!$C$7726+cash_val-debt_val-fl_val+oai_v</f>
        <v>2207.80790904713</v>
      </c>
    </row>
    <row r="7729" customFormat="false" ht="17.15" hidden="false" customHeight="false" outlineLevel="0" collapsed="false">
      <c r="A7729" s="0" t="s">
        <v>1153</v>
      </c>
      <c r="B7729" s="0" t="s">
        <v>75</v>
      </c>
      <c r="C7729" s="5" t="n">
        <f aca="false">Sens!$C$7728/shd_val</f>
        <v>296.50925450539</v>
      </c>
    </row>
    <row r="7730" customFormat="false" ht="15" hidden="false" customHeight="false" outlineLevel="0" collapsed="false">
      <c r="A7730" s="1" t="s">
        <v>1232</v>
      </c>
      <c r="B7730" s="0" t="s">
        <v>75</v>
      </c>
      <c r="C7730" s="8" t="n">
        <f aca="false">div_rem27+Sens!G7698*roll_div_q/q_per_yr</f>
        <v>3.9795</v>
      </c>
    </row>
    <row r="7731" customFormat="false" ht="17.15" hidden="false" customHeight="false" outlineLevel="0" collapsed="false">
      <c r="A7731" s="0" t="s">
        <v>1233</v>
      </c>
      <c r="B7731" s="0" t="s">
        <v>75</v>
      </c>
      <c r="C7731" s="5" t="n">
        <f aca="false">Sens!$C$7729*(1+wacc)^t_roll-Sens!$C$7730</f>
        <v>325.607084784784</v>
      </c>
    </row>
    <row r="7732" customFormat="false" ht="17.15" hidden="false" customHeight="false" outlineLevel="0" collapsed="false">
      <c r="A7732" s="1" t="s">
        <v>1234</v>
      </c>
      <c r="B7732" s="0" t="s">
        <v>168</v>
      </c>
      <c r="F7732" s="7" t="n">
        <f aca="false">Sens!F7684/(Sens!F7629-Sens!F7584)</f>
        <v>0.0684247801829899</v>
      </c>
      <c r="G7732" s="7" t="n">
        <f aca="false">Sens!G7684/(Sens!G7629-Sens!G7584)</f>
        <v>0.0652710402334862</v>
      </c>
      <c r="H7732" s="7" t="n">
        <f aca="false">Sens!H7684/(Sens!H7629-Sens!H7584)</f>
        <v>0.0636117704797653</v>
      </c>
      <c r="I7732" s="7" t="n">
        <f aca="false">Sens!I7684/(Sens!I7629-Sens!I7584)</f>
        <v>0.0633352535779828</v>
      </c>
      <c r="J7732" s="7" t="n">
        <f aca="false">Sens!J7684/(Sens!J7629-Sens!J7584)</f>
        <v>0.0640885677199665</v>
      </c>
      <c r="K7732" s="7" t="n">
        <f aca="false">Sens!K7684/(Sens!K7629-Sens!K7584)</f>
        <v>0.0654192588617182</v>
      </c>
    </row>
    <row r="7733" customFormat="false" ht="17.15" hidden="false" customHeight="false" outlineLevel="0" collapsed="false">
      <c r="A7733" s="0" t="s">
        <v>1235</v>
      </c>
      <c r="B7733" s="0" t="s">
        <v>98</v>
      </c>
      <c r="F7733" s="6" t="n">
        <f aca="false">Sens!F7614*(al_m365+Sens!F7732+sbc_r)</f>
        <v>84.5060711991308</v>
      </c>
      <c r="G7733" s="6" t="n">
        <f aca="false">Sens!G7614*(al_m365+Sens!G7732+sbc_r)</f>
        <v>98.9379116134045</v>
      </c>
      <c r="H7733" s="6" t="n">
        <f aca="false">Sens!H7614*(al_m365+Sens!H7732+sbc_r)</f>
        <v>113.535455737247</v>
      </c>
      <c r="I7733" s="6" t="n">
        <f aca="false">Sens!I7614*(al_m365+Sens!I7732+sbc_r)</f>
        <v>126.616458620692</v>
      </c>
      <c r="J7733" s="6" t="n">
        <f aca="false">Sens!J7614*(al_m365+Sens!J7732+sbc_r)</f>
        <v>137.994890738321</v>
      </c>
      <c r="K7733" s="6" t="n">
        <f aca="false">Sens!K7614*(al_m365+Sens!K7732+sbc_r)</f>
        <v>148.994107596992</v>
      </c>
      <c r="L7733" s="12" t="s">
        <v>1236</v>
      </c>
    </row>
    <row r="7734" customFormat="false" ht="17.15" hidden="false" customHeight="false" outlineLevel="0" collapsed="false">
      <c r="A7734" s="0" t="s">
        <v>1237</v>
      </c>
      <c r="B7734" s="0" t="s">
        <v>98</v>
      </c>
      <c r="F7734" s="6" t="n">
        <f aca="false">Sens!F7615*(al_lic+Sens!F7732+sbc_r)</f>
        <v>32.8502888025642</v>
      </c>
      <c r="G7734" s="6" t="n">
        <f aca="false">Sens!G7615*(al_lic+Sens!G7732+sbc_r)</f>
        <v>34.1151280410437</v>
      </c>
      <c r="H7734" s="6" t="n">
        <f aca="false">Sens!H7615*(al_lic+Sens!H7732+sbc_r)</f>
        <v>35.3003106793293</v>
      </c>
      <c r="I7734" s="6" t="n">
        <f aca="false">Sens!I7615*(al_lic+Sens!I7732+sbc_r)</f>
        <v>36.3888692122612</v>
      </c>
      <c r="J7734" s="6" t="n">
        <f aca="false">Sens!J7615*(al_lic+Sens!J7732+sbc_r)</f>
        <v>37.3529643724322</v>
      </c>
      <c r="K7734" s="6" t="n">
        <f aca="false">Sens!K7615*(al_lic+Sens!K7732+sbc_r)</f>
        <v>38.159566914817</v>
      </c>
    </row>
    <row r="7735" customFormat="false" ht="17.15" hidden="false" customHeight="false" outlineLevel="0" collapsed="false">
      <c r="A7735" s="0" t="s">
        <v>1238</v>
      </c>
      <c r="B7735" s="0" t="s">
        <v>98</v>
      </c>
      <c r="F7735" s="6" t="n">
        <f aca="false">Sens!F7617*(al_ind+Sens!F7732+sbc_r)</f>
        <v>9.05607011574293</v>
      </c>
      <c r="G7735" s="6" t="n">
        <f aca="false">Sens!G7617*(al_ind+Sens!G7732+sbc_r)</f>
        <v>9.82247347721146</v>
      </c>
      <c r="H7735" s="6" t="n">
        <f aca="false">Sens!H7617*(al_ind+Sens!H7732+sbc_r)</f>
        <v>10.636385057705</v>
      </c>
      <c r="I7735" s="6" t="n">
        <f aca="false">Sens!I7617*(al_ind+Sens!I7732+sbc_r)</f>
        <v>11.4959766554809</v>
      </c>
      <c r="J7735" s="6" t="n">
        <f aca="false">Sens!J7617*(al_ind+Sens!J7732+sbc_r)</f>
        <v>12.3904022031919</v>
      </c>
      <c r="K7735" s="6" t="n">
        <f aca="false">Sens!K7617*(al_ind+Sens!K7732+sbc_r)</f>
        <v>13.3016736001041</v>
      </c>
    </row>
    <row r="7736" customFormat="false" ht="17.15" hidden="false" customHeight="false" outlineLevel="0" collapsed="false">
      <c r="A7736" s="0" t="s">
        <v>1239</v>
      </c>
      <c r="B7736" s="0" t="s">
        <v>98</v>
      </c>
      <c r="F7736" s="6" t="n">
        <f aca="false">Sens!F7619*(al_fro+Sens!F7732+sbc_r)</f>
        <v>3.55232439335967</v>
      </c>
      <c r="G7736" s="6" t="n">
        <f aca="false">Sens!G7619*(al_fro+Sens!G7732+sbc_r)</f>
        <v>3.75836622915871</v>
      </c>
      <c r="H7736" s="6" t="n">
        <f aca="false">Sens!H7619*(al_fro+Sens!H7732+sbc_r)</f>
        <v>3.99446179771516</v>
      </c>
      <c r="I7736" s="6" t="n">
        <f aca="false">Sens!I7619*(al_fro+Sens!I7732+sbc_r)</f>
        <v>4.26371952400036</v>
      </c>
      <c r="J7736" s="6" t="n">
        <f aca="false">Sens!J7619*(al_fro+Sens!J7732+sbc_r)</f>
        <v>4.56679292047476</v>
      </c>
      <c r="K7736" s="6" t="n">
        <f aca="false">Sens!K7619*(al_fro+Sens!K7732+sbc_r)</f>
        <v>4.90266480710149</v>
      </c>
    </row>
    <row r="7737" customFormat="false" ht="17.15" hidden="false" customHeight="false" outlineLevel="0" collapsed="false">
      <c r="A7737" s="0" t="s">
        <v>1240</v>
      </c>
      <c r="B7737" s="0" t="s">
        <v>98</v>
      </c>
      <c r="F7737" s="6" t="n">
        <f aca="false">Sens!F7622*(al_srch+Sens!F7732+sbc_r)</f>
        <v>11.1837221356091</v>
      </c>
      <c r="G7737" s="6" t="n">
        <f aca="false">Sens!G7622*(al_srch+Sens!G7732+sbc_r)</f>
        <v>12.2446389223198</v>
      </c>
      <c r="H7737" s="6" t="n">
        <f aca="false">Sens!H7622*(al_srch+Sens!H7732+sbc_r)</f>
        <v>13.3535849506996</v>
      </c>
      <c r="I7737" s="6" t="n">
        <f aca="false">Sens!I7622*(al_srch+Sens!I7732+sbc_r)</f>
        <v>14.5015874372511</v>
      </c>
      <c r="J7737" s="6" t="n">
        <f aca="false">Sens!J7622*(al_srch+Sens!J7732+sbc_r)</f>
        <v>15.667322402392</v>
      </c>
      <c r="K7737" s="6" t="n">
        <f aca="false">Sens!K7622*(al_srch+Sens!K7732+sbc_r)</f>
        <v>16.8195999909133</v>
      </c>
    </row>
    <row r="7738" customFormat="false" ht="17.15" hidden="false" customHeight="false" outlineLevel="0" collapsed="false">
      <c r="A7738" s="0" t="s">
        <v>1241</v>
      </c>
      <c r="B7738" s="0" t="s">
        <v>98</v>
      </c>
      <c r="F7738" s="6" t="n">
        <f aca="false">Sens!F7590-Sens!F7591+Sens!F7672</f>
        <v>41.6866729977218</v>
      </c>
      <c r="G7738" s="6" t="n">
        <f aca="false">Sens!G7590-Sens!G7591+Sens!G7672</f>
        <v>78.9229480341323</v>
      </c>
      <c r="H7738" s="6" t="n">
        <f aca="false">Sens!H7590-Sens!H7591+Sens!H7672</f>
        <v>118.996086079762</v>
      </c>
      <c r="I7738" s="6" t="n">
        <f aca="false">Sens!I7590-Sens!I7591+Sens!I7672</f>
        <v>155.039107680856</v>
      </c>
      <c r="J7738" s="6" t="n">
        <f aca="false">Sens!J7590-Sens!J7591+Sens!J7672</f>
        <v>180.395471635252</v>
      </c>
      <c r="K7738" s="6" t="n">
        <f aca="false">Sens!K7590-Sens!K7591+Sens!K7672</f>
        <v>195.496715935953</v>
      </c>
    </row>
    <row r="7739" customFormat="false" ht="17.15" hidden="false" customHeight="false" outlineLevel="0" collapsed="false">
      <c r="A7739" s="0" t="s">
        <v>1242</v>
      </c>
      <c r="B7739" s="0" t="s">
        <v>98</v>
      </c>
      <c r="F7739" s="6" t="n">
        <f aca="false">Sens!F7651+Sens!F7672+Sens!F7602+Sens!F7732*(Sens!F7621-Sens!F7584)+sbc_r*Sens!F7621</f>
        <v>237.929071927646</v>
      </c>
      <c r="G7739" s="6" t="n">
        <f aca="false">Sens!G7651+Sens!G7672+Sens!G7602+Sens!G7732*(Sens!G7621-Sens!G7584)+sbc_r*Sens!G7621</f>
        <v>299.925143384996</v>
      </c>
      <c r="H7739" s="6" t="n">
        <f aca="false">Sens!H7651+Sens!H7672+Sens!H7602+Sens!H7732*(Sens!H7621-Sens!H7584)+sbc_r*Sens!H7621</f>
        <v>369.643658462165</v>
      </c>
      <c r="I7739" s="6" t="n">
        <f aca="false">Sens!I7651+Sens!I7672+Sens!I7602+Sens!I7732*(Sens!I7621-Sens!I7584)+sbc_r*Sens!I7621</f>
        <v>433.498766924584</v>
      </c>
      <c r="J7739" s="6" t="n">
        <f aca="false">Sens!J7651+Sens!J7672+Sens!J7602+Sens!J7732*(Sens!J7621-Sens!J7584)+sbc_r*Sens!J7621</f>
        <v>483.754481360042</v>
      </c>
      <c r="K7739" s="6" t="n">
        <f aca="false">Sens!K7651+Sens!K7672+Sens!K7602+Sens!K7732*(Sens!K7621-Sens!K7584)+sbc_r*Sens!K7621</f>
        <v>521.371090296457</v>
      </c>
    </row>
    <row r="7740" customFormat="false" ht="17.15" hidden="false" customHeight="false" outlineLevel="0" collapsed="false">
      <c r="A7740" s="0" t="s">
        <v>1243</v>
      </c>
      <c r="B7740" s="0" t="s">
        <v>98</v>
      </c>
      <c r="F7740" s="6" t="n">
        <f aca="false">Sens!F7739-Sens!F7733-Sens!F7734-Sens!F7735-Sens!F7736-Sens!F7738</f>
        <v>66.277644419127</v>
      </c>
      <c r="G7740" s="6" t="n">
        <f aca="false">Sens!G7739-Sens!G7733-Sens!G7734-Sens!G7735-Sens!G7736-Sens!G7738</f>
        <v>74.3683159900457</v>
      </c>
      <c r="H7740" s="6" t="n">
        <f aca="false">Sens!H7739-Sens!H7733-Sens!H7734-Sens!H7735-Sens!H7736-Sens!H7738</f>
        <v>87.1809591104066</v>
      </c>
      <c r="I7740" s="6" t="n">
        <f aca="false">Sens!I7739-Sens!I7733-Sens!I7734-Sens!I7735-Sens!I7736-Sens!I7738</f>
        <v>99.6946352312927</v>
      </c>
      <c r="J7740" s="6" t="n">
        <f aca="false">Sens!J7739-Sens!J7733-Sens!J7734-Sens!J7735-Sens!J7736-Sens!J7738</f>
        <v>111.053959490369</v>
      </c>
      <c r="K7740" s="6" t="n">
        <f aca="false">Sens!K7739-Sens!K7733-Sens!K7734-Sens!K7735-Sens!K7736-Sens!K7738</f>
        <v>120.516361441489</v>
      </c>
    </row>
    <row r="7741" customFormat="false" ht="17.15" hidden="false" customHeight="false" outlineLevel="0" collapsed="false">
      <c r="A7741" s="0" t="s">
        <v>1244</v>
      </c>
      <c r="B7741" s="0" t="s">
        <v>98</v>
      </c>
      <c r="F7741" s="6" t="n">
        <f aca="false">Sens!F7653+Sens!F7732*Sens!F7628+sbc_r*Sens!F7628</f>
        <v>26.621111310388</v>
      </c>
      <c r="G7741" s="6" t="n">
        <f aca="false">Sens!G7653+Sens!G7732*Sens!G7628+sbc_r*Sens!G7628</f>
        <v>26.4348180339681</v>
      </c>
      <c r="H7741" s="6" t="n">
        <f aca="false">Sens!H7653+Sens!H7732*Sens!H7628+sbc_r*Sens!H7628</f>
        <v>27.2933478394138</v>
      </c>
      <c r="I7741" s="6" t="n">
        <f aca="false">Sens!I7653+Sens!I7732*Sens!I7628+sbc_r*Sens!I7628</f>
        <v>28.3979114391744</v>
      </c>
      <c r="J7741" s="6" t="n">
        <f aca="false">Sens!J7653+Sens!J7732*Sens!J7628+sbc_r*Sens!J7628</f>
        <v>29.7094256632346</v>
      </c>
      <c r="K7741" s="6" t="n">
        <f aca="false">Sens!K7653+Sens!K7732*Sens!K7628+sbc_r*Sens!K7628</f>
        <v>31.183577799159</v>
      </c>
    </row>
    <row r="7742" customFormat="false" ht="17.15" hidden="false" customHeight="false" outlineLevel="0" collapsed="false">
      <c r="A7742" s="0" t="s">
        <v>1245</v>
      </c>
      <c r="B7742" s="0" t="s">
        <v>98</v>
      </c>
      <c r="F7742" s="6" t="n">
        <f aca="false">(Sens!F7741-Sens!F7737)*Sens!F7624/(Sens!F7624+Sens!F7626)</f>
        <v>8.71881384945253</v>
      </c>
      <c r="G7742" s="6" t="n">
        <f aca="false">(Sens!G7741-Sens!G7737)*Sens!G7624/(Sens!G7624+Sens!G7626)</f>
        <v>7.87666975188291</v>
      </c>
      <c r="H7742" s="6" t="n">
        <f aca="false">(Sens!H7741-Sens!H7737)*Sens!H7624/(Sens!H7624+Sens!H7626)</f>
        <v>7.63687006041368</v>
      </c>
      <c r="I7742" s="6" t="n">
        <f aca="false">(Sens!I7741-Sens!I7737)*Sens!I7624/(Sens!I7624+Sens!I7626)</f>
        <v>7.54662180690089</v>
      </c>
      <c r="J7742" s="6" t="n">
        <f aca="false">(Sens!J7741-Sens!J7737)*Sens!J7624/(Sens!J7624+Sens!J7626)</f>
        <v>7.59251861438641</v>
      </c>
      <c r="K7742" s="6" t="n">
        <f aca="false">(Sens!K7741-Sens!K7737)*Sens!K7624/(Sens!K7624+Sens!K7626)</f>
        <v>7.76655511356746</v>
      </c>
    </row>
    <row r="7743" customFormat="false" ht="17.15" hidden="false" customHeight="false" outlineLevel="0" collapsed="false">
      <c r="A7743" s="0" t="s">
        <v>1246</v>
      </c>
      <c r="B7743" s="0" t="s">
        <v>98</v>
      </c>
      <c r="F7743" s="6" t="n">
        <f aca="false">Sens!F7741-Sens!F7737-Sens!F7742</f>
        <v>6.71857532532637</v>
      </c>
      <c r="G7743" s="6" t="n">
        <f aca="false">Sens!G7741-Sens!G7737-Sens!G7742</f>
        <v>6.31350935976539</v>
      </c>
      <c r="H7743" s="6" t="n">
        <f aca="false">Sens!H7741-Sens!H7737-Sens!H7742</f>
        <v>6.30289282830058</v>
      </c>
      <c r="I7743" s="6" t="n">
        <f aca="false">Sens!I7741-Sens!I7737-Sens!I7742</f>
        <v>6.34970219502236</v>
      </c>
      <c r="J7743" s="6" t="n">
        <f aca="false">Sens!J7741-Sens!J7737-Sens!J7742</f>
        <v>6.44958464645615</v>
      </c>
      <c r="K7743" s="6" t="n">
        <f aca="false">Sens!K7741-Sens!K7737-Sens!K7742</f>
        <v>6.59742269467828</v>
      </c>
    </row>
    <row r="7744" customFormat="false" ht="17.15" hidden="false" customHeight="false" outlineLevel="0" collapsed="false">
      <c r="A7744" s="0" t="s">
        <v>1247</v>
      </c>
      <c r="B7744" s="0" t="s">
        <v>98</v>
      </c>
      <c r="F7744" s="6" t="n">
        <f aca="false">Sens!F7738-tax_f*(Sens!F7738-Sens!F7602)-Sens!F7599</f>
        <v>-128.188702748272</v>
      </c>
      <c r="G7744" s="6" t="n">
        <f aca="false">Sens!G7738-tax_f*(Sens!G7738-Sens!G7602)-Sens!G7599</f>
        <v>-116.659219091283</v>
      </c>
      <c r="H7744" s="6" t="n">
        <f aca="false">Sens!H7738-tax_f*(Sens!H7738-Sens!H7602)-Sens!H7599</f>
        <v>-83.7891170684136</v>
      </c>
      <c r="I7744" s="6" t="n">
        <f aca="false">Sens!I7738-tax_f*(Sens!I7738-Sens!I7602)-Sens!I7599</f>
        <v>-21.7373455380156</v>
      </c>
      <c r="J7744" s="6" t="n">
        <f aca="false">Sens!J7738-tax_f*(Sens!J7738-Sens!J7602)-Sens!J7599</f>
        <v>41.7895807221807</v>
      </c>
      <c r="K7744" s="6" t="n">
        <f aca="false">Sens!K7738-tax_f*(Sens!K7738-Sens!K7602)-Sens!K7599</f>
        <v>66.0370535942168</v>
      </c>
    </row>
    <row r="7745" customFormat="false" ht="17.15" hidden="false" customHeight="false" outlineLevel="0" collapsed="false">
      <c r="A7745" s="0" t="s">
        <v>1248</v>
      </c>
      <c r="B7745" s="0" t="s">
        <v>98</v>
      </c>
      <c r="G7745" s="6" t="n">
        <f aca="false">Sens!G7744/(1+wacc)^(Sens!G7715-Sens!F7716)</f>
        <v>-111.082026070383</v>
      </c>
      <c r="H7745" s="6" t="n">
        <f aca="false">Sens!H7744/(1+wacc)^(Sens!H7715-Sens!F7716)</f>
        <v>-72.3372170178786</v>
      </c>
      <c r="I7745" s="6" t="n">
        <f aca="false">Sens!I7744/(1+wacc)^(Sens!I7715-Sens!F7716)</f>
        <v>-17.0149291989596</v>
      </c>
      <c r="J7745" s="6" t="n">
        <f aca="false">Sens!J7744/(1+wacc)^(Sens!J7715-Sens!F7716)</f>
        <v>29.6579484560834</v>
      </c>
      <c r="K7745" s="6" t="n">
        <f aca="false">Sens!K7744/(1+wacc)^(Sens!K7715-Sens!F7716)</f>
        <v>42.4922996132791</v>
      </c>
      <c r="L7745" s="1" t="s">
        <v>1249</v>
      </c>
    </row>
    <row r="7746" customFormat="false" ht="17.15" hidden="false" customHeight="false" outlineLevel="0" collapsed="false">
      <c r="A7746" s="0" t="s">
        <v>1250</v>
      </c>
      <c r="B7746" s="0" t="s">
        <v>98</v>
      </c>
      <c r="C7746" s="6" t="n">
        <f aca="false">(Sens!K7738-Sens!K7602)*(1-tax_f)*(1+g_tv)*(1-g_tv/(wacc+ronic_prem))/(wacc-g_tv)/(1+wacc)^(Sens!K7716-Sens!F7716)</f>
        <v>257.413912580923</v>
      </c>
    </row>
    <row r="7747" customFormat="false" ht="17.15" hidden="false" customHeight="false" outlineLevel="0" collapsed="false">
      <c r="A7747" s="1" t="s">
        <v>1251</v>
      </c>
      <c r="B7747" s="0" t="s">
        <v>98</v>
      </c>
      <c r="C7747" s="6" t="n">
        <f aca="false">(SUM(Sens!G7745:K7745)+Sens!$C$7746)*(1+wacc)^(t_roll-Sens!F7716)</f>
        <v>133.392959796999</v>
      </c>
      <c r="L7747" s="12" t="s">
        <v>1252</v>
      </c>
    </row>
    <row r="7748" customFormat="false" ht="17.15" hidden="false" customHeight="false" outlineLevel="0" collapsed="false">
      <c r="A7748" s="1" t="s">
        <v>1253</v>
      </c>
      <c r="B7748" s="0" t="s">
        <v>98</v>
      </c>
      <c r="C7748" s="6" t="n">
        <f aca="false">(w_ntm28*Sens!G7590+(1-w_ntm28)*Sens!H7590)*m_ai</f>
        <v>463.789109510335</v>
      </c>
    </row>
    <row r="7749" customFormat="false" ht="17.15" hidden="false" customHeight="false" outlineLevel="0" collapsed="false">
      <c r="A7749" s="1" t="s">
        <v>1254</v>
      </c>
      <c r="B7749" s="0" t="s">
        <v>98</v>
      </c>
      <c r="C7749" s="6" t="n">
        <f aca="false">(w_ntm28*Sens!G7740+(1-w_ntm28)*Sens!H7740)*m_cloud</f>
        <v>1085.98516082026</v>
      </c>
    </row>
    <row r="7750" customFormat="false" ht="17.15" hidden="false" customHeight="false" outlineLevel="0" collapsed="false">
      <c r="A7750" s="1" t="s">
        <v>1255</v>
      </c>
      <c r="B7750" s="0" t="s">
        <v>98</v>
      </c>
      <c r="C7750" s="6" t="n">
        <f aca="false">(w_ntm28*Sens!G7733+(1-w_ntm28)*Sens!H7733)*m_sw</f>
        <v>1120.3607253823</v>
      </c>
    </row>
    <row r="7751" customFormat="false" ht="17.15" hidden="false" customHeight="false" outlineLevel="0" collapsed="false">
      <c r="A7751" s="1" t="s">
        <v>1256</v>
      </c>
      <c r="B7751" s="0" t="s">
        <v>98</v>
      </c>
      <c r="C7751" s="6" t="n">
        <f aca="false">(w_ntm28*Sens!G7734+(1-w_ntm28)*Sens!H7734)*m_sw</f>
        <v>372.651592978116</v>
      </c>
    </row>
    <row r="7752" customFormat="false" ht="17.15" hidden="false" customHeight="false" outlineLevel="0" collapsed="false">
      <c r="A7752" s="1" t="s">
        <v>1257</v>
      </c>
      <c r="B7752" s="0" t="s">
        <v>98</v>
      </c>
      <c r="C7752" s="6" t="n">
        <f aca="false">(w_ntm28*Sens!G7735+(1-w_ntm28)*Sens!H7735)*m_sw</f>
        <v>108.972657138321</v>
      </c>
    </row>
    <row r="7753" customFormat="false" ht="17.15" hidden="false" customHeight="false" outlineLevel="0" collapsed="false">
      <c r="A7753" s="1" t="s">
        <v>1258</v>
      </c>
      <c r="B7753" s="0" t="s">
        <v>98</v>
      </c>
      <c r="C7753" s="6" t="n">
        <f aca="false">(w_ntm28*Sens!G7736+(1-w_ntm28)*Sens!H7736)*m_sw</f>
        <v>41.428656252583</v>
      </c>
    </row>
    <row r="7754" customFormat="false" ht="17.15" hidden="false" customHeight="false" outlineLevel="0" collapsed="false">
      <c r="A7754" s="1" t="s">
        <v>1259</v>
      </c>
      <c r="B7754" s="0" t="s">
        <v>98</v>
      </c>
      <c r="C7754" s="6" t="n">
        <f aca="false">(w_ntm28*Sens!G7737+(1-w_ntm28)*Sens!H7737)*m_ads</f>
        <v>114.870029892538</v>
      </c>
    </row>
    <row r="7755" customFormat="false" ht="17.15" hidden="false" customHeight="false" outlineLevel="0" collapsed="false">
      <c r="A7755" s="1" t="s">
        <v>1260</v>
      </c>
      <c r="B7755" s="0" t="s">
        <v>98</v>
      </c>
      <c r="C7755" s="6" t="n">
        <f aca="false">(w_ntm28*Sens!G7742+(1-w_ntm28)*Sens!H7742)*m_game</f>
        <v>98.4866118090462</v>
      </c>
    </row>
    <row r="7756" customFormat="false" ht="17.15" hidden="false" customHeight="false" outlineLevel="0" collapsed="false">
      <c r="A7756" s="1" t="s">
        <v>1261</v>
      </c>
      <c r="B7756" s="0" t="s">
        <v>98</v>
      </c>
      <c r="C7756" s="6" t="n">
        <f aca="false">(w_ntm28*Sens!G7743+(1-w_ntm28)*Sens!H7743)*m_pc</f>
        <v>91.3059748324203</v>
      </c>
    </row>
    <row r="7757" customFormat="false" ht="17.15" hidden="false" customHeight="false" outlineLevel="0" collapsed="false">
      <c r="A7757" s="1" t="s">
        <v>1262</v>
      </c>
      <c r="B7757" s="0" t="s">
        <v>98</v>
      </c>
      <c r="C7757" s="6" t="n">
        <f aca="false">Sens!$C$7747+Sens!$C$7749+Sens!$C$7750+Sens!$C$7751+Sens!$C$7752+Sens!$C$7753+Sens!$C$7754+Sens!$C$7755+Sens!$C$7756</f>
        <v>3167.45436890259</v>
      </c>
    </row>
    <row r="7758" customFormat="false" ht="17.15" hidden="false" customHeight="false" outlineLevel="0" collapsed="false">
      <c r="A7758" s="1" t="s">
        <v>1263</v>
      </c>
      <c r="B7758" s="0" t="s">
        <v>98</v>
      </c>
      <c r="C7758" s="6" t="n">
        <f aca="false">(Sens!G7719-Sens!G7744)*t_stub</f>
        <v>48.3762133373279</v>
      </c>
      <c r="L7758" s="1" t="s">
        <v>1264</v>
      </c>
    </row>
    <row r="7759" customFormat="false" ht="17.15" hidden="false" customHeight="false" outlineLevel="0" collapsed="false">
      <c r="A7759" s="1" t="s">
        <v>1173</v>
      </c>
      <c r="B7759" s="0" t="s">
        <v>98</v>
      </c>
      <c r="C7759" s="6" t="n">
        <f aca="false">Sens!F7706+oai_v-Sens!F7695+Sens!$C$7758</f>
        <v>162.604483337328</v>
      </c>
      <c r="L7759" s="1" t="s">
        <v>1265</v>
      </c>
    </row>
    <row r="7760" customFormat="false" ht="17.15" hidden="false" customHeight="false" outlineLevel="0" collapsed="false">
      <c r="A7760" s="1" t="s">
        <v>1266</v>
      </c>
      <c r="B7760" s="0" t="s">
        <v>75</v>
      </c>
      <c r="C7760" s="5" t="n">
        <f aca="false">(Sens!$C$7757+Sens!$C$7759)/(Sens!F7708+dil_gap)-Sens!G7698*roll_div_q/q_per_yr</f>
        <v>443.281857217193</v>
      </c>
      <c r="L7760" s="1" t="s">
        <v>1267</v>
      </c>
    </row>
    <row r="7761" customFormat="false" ht="17.15" hidden="false" customHeight="false" outlineLevel="0" collapsed="false">
      <c r="A7761" s="1" t="s">
        <v>1268</v>
      </c>
      <c r="B7761" s="0" t="s">
        <v>75</v>
      </c>
      <c r="C7761" s="5" t="n">
        <f aca="false">w_dcf*Sens!$C$7731+(1-w_dcf)*Sens!$C$7760</f>
        <v>384.444471000988</v>
      </c>
    </row>
    <row r="7762" customFormat="false" ht="17.15" hidden="false" customHeight="false" outlineLevel="0" collapsed="false">
      <c r="A7762" s="3" t="s">
        <v>1805</v>
      </c>
    </row>
    <row r="7763" customFormat="false" ht="15" hidden="false" customHeight="false" outlineLevel="0" collapsed="false">
      <c r="A7763" s="4" t="s">
        <v>43</v>
      </c>
      <c r="B7763" s="4" t="s">
        <v>65</v>
      </c>
      <c r="C7763" s="23" t="s">
        <v>942</v>
      </c>
      <c r="D7763" s="23" t="s">
        <v>943</v>
      </c>
      <c r="E7763" s="23" t="s">
        <v>944</v>
      </c>
      <c r="F7763" s="23" t="s">
        <v>945</v>
      </c>
      <c r="G7763" s="23" t="s">
        <v>946</v>
      </c>
      <c r="H7763" s="23" t="s">
        <v>947</v>
      </c>
      <c r="I7763" s="23" t="s">
        <v>948</v>
      </c>
      <c r="J7763" s="23" t="s">
        <v>949</v>
      </c>
      <c r="K7763" s="23" t="s">
        <v>950</v>
      </c>
      <c r="L7763" s="4" t="s">
        <v>47</v>
      </c>
    </row>
    <row r="7764" customFormat="false" ht="17.15" hidden="false" customHeight="false" outlineLevel="0" collapsed="false">
      <c r="A7764" s="1" t="s">
        <v>951</v>
      </c>
      <c r="B7764" s="1" t="s">
        <v>279</v>
      </c>
      <c r="C7764" s="21" t="n">
        <v>2024</v>
      </c>
      <c r="D7764" s="21" t="n">
        <v>2025</v>
      </c>
      <c r="E7764" s="21" t="n">
        <v>2026</v>
      </c>
      <c r="F7764" s="21" t="n">
        <v>2027</v>
      </c>
      <c r="G7764" s="21" t="n">
        <v>2028</v>
      </c>
      <c r="H7764" s="21" t="n">
        <v>2029</v>
      </c>
      <c r="I7764" s="21" t="n">
        <v>2030</v>
      </c>
      <c r="J7764" s="21" t="n">
        <v>2031</v>
      </c>
      <c r="K7764" s="21" t="n">
        <v>2032</v>
      </c>
    </row>
    <row r="7765" customFormat="false" ht="17.15" hidden="false" customHeight="false" outlineLevel="0" collapsed="false">
      <c r="A7765" s="1" t="s">
        <v>952</v>
      </c>
      <c r="B7765" s="0" t="s">
        <v>459</v>
      </c>
      <c r="F7765" s="30" t="n">
        <f aca="false">pace</f>
        <v>2726.5351</v>
      </c>
      <c r="G7765" s="30" t="n">
        <f aca="false">pace</f>
        <v>2726.5351</v>
      </c>
      <c r="H7765" s="30" t="n">
        <f aca="false">pace</f>
        <v>2726.5351</v>
      </c>
      <c r="I7765" s="30" t="n">
        <f aca="false">pace+(g_tv*Sens!H7766-pace)*MIN(1,(Sens!I7764-pace_y0)/(pace_y1-pace_y0))</f>
        <v>1931.98611966667</v>
      </c>
      <c r="J7765" s="30" t="n">
        <f aca="false">pace+(g_tv*Sens!I7766-pace)*MIN(1,(Sens!J7764-pace_y0)/(pace_y1-pace_y0))</f>
        <v>1176.07686172667</v>
      </c>
      <c r="K7765" s="30" t="n">
        <f aca="false">pace+(g_tv*Sens!J7766-pace)*MIN(1,(Sens!K7764-pace_y0)/(pace_y1-pace_y0))</f>
        <v>436.1300484418</v>
      </c>
      <c r="L7765" s="12" t="s">
        <v>953</v>
      </c>
    </row>
    <row r="7766" customFormat="false" ht="17.15" hidden="false" customHeight="false" outlineLevel="0" collapsed="false">
      <c r="A7766" s="1" t="s">
        <v>954</v>
      </c>
      <c r="B7766" s="0" t="s">
        <v>459</v>
      </c>
      <c r="C7766" s="30" t="n">
        <f aca="false">mw_ext_24</f>
        <v>640</v>
      </c>
      <c r="D7766" s="30" t="n">
        <f aca="false">mw_ext_25</f>
        <v>1630</v>
      </c>
      <c r="E7766" s="30" t="n">
        <f aca="false">mw_ext_26</f>
        <v>3250</v>
      </c>
      <c r="F7766" s="30" t="n">
        <f aca="false">Sens!E7766+Sens!F7765</f>
        <v>5976.5351</v>
      </c>
      <c r="G7766" s="30" t="n">
        <f aca="false">Sens!F7766+Sens!G7765</f>
        <v>8703.0702</v>
      </c>
      <c r="H7766" s="30" t="n">
        <f aca="false">Sens!G7766+Sens!H7765</f>
        <v>11429.6053</v>
      </c>
      <c r="I7766" s="30" t="n">
        <f aca="false">Sens!H7766+Sens!I7765</f>
        <v>13361.5914196667</v>
      </c>
      <c r="J7766" s="30" t="n">
        <f aca="false">Sens!I7766+Sens!J7765</f>
        <v>14537.6682813933</v>
      </c>
      <c r="K7766" s="30" t="n">
        <f aca="false">Sens!J7766+Sens!K7765</f>
        <v>14973.7983298351</v>
      </c>
      <c r="L7766" s="1" t="s">
        <v>955</v>
      </c>
    </row>
    <row r="7767" customFormat="false" ht="17.15" hidden="false" customHeight="false" outlineLevel="0" collapsed="false">
      <c r="A7767" s="1" t="s">
        <v>956</v>
      </c>
      <c r="B7767" s="0" t="s">
        <v>459</v>
      </c>
      <c r="C7767" s="30" t="n">
        <f aca="false">rent_ext_24</f>
        <v>150</v>
      </c>
      <c r="D7767" s="30" t="n">
        <f aca="false">rent_ext_25</f>
        <v>400</v>
      </c>
      <c r="E7767" s="30" t="n">
        <f aca="false">rent_ext_26</f>
        <v>550</v>
      </c>
      <c r="F7767" s="30" t="n">
        <f aca="false">rent_ext_f</f>
        <v>756</v>
      </c>
      <c r="G7767" s="30" t="n">
        <f aca="false">rent_ext_f</f>
        <v>756</v>
      </c>
      <c r="H7767" s="30" t="n">
        <f aca="false">rent_ext_f</f>
        <v>756</v>
      </c>
      <c r="I7767" s="30" t="n">
        <f aca="false">rent_ext_f</f>
        <v>756</v>
      </c>
      <c r="J7767" s="30" t="n">
        <f aca="false">rent_ext_f</f>
        <v>756</v>
      </c>
      <c r="K7767" s="30" t="n">
        <f aca="false">rent_ext_f</f>
        <v>756</v>
      </c>
      <c r="L7767" s="1" t="s">
        <v>957</v>
      </c>
    </row>
    <row r="7768" customFormat="false" ht="17.15" hidden="false" customHeight="false" outlineLevel="0" collapsed="false">
      <c r="A7768" s="1" t="s">
        <v>958</v>
      </c>
      <c r="B7768" s="0" t="s">
        <v>459</v>
      </c>
      <c r="C7768" s="30" t="n">
        <f aca="false">Sens!C7766-Sens!C7767</f>
        <v>490</v>
      </c>
      <c r="D7768" s="30" t="n">
        <f aca="false">Sens!D7766-Sens!D7767</f>
        <v>1230</v>
      </c>
      <c r="E7768" s="30" t="n">
        <f aca="false">Sens!E7766-Sens!E7767</f>
        <v>2700</v>
      </c>
      <c r="F7768" s="30" t="n">
        <f aca="false">Sens!F7766-Sens!F7767</f>
        <v>5220.5351</v>
      </c>
      <c r="G7768" s="30" t="n">
        <f aca="false">Sens!G7766-Sens!G7767</f>
        <v>7947.0702</v>
      </c>
      <c r="H7768" s="30" t="n">
        <f aca="false">Sens!H7766-Sens!H7767</f>
        <v>10673.6053</v>
      </c>
      <c r="I7768" s="30" t="n">
        <f aca="false">Sens!I7766-Sens!I7767</f>
        <v>12605.5914196667</v>
      </c>
      <c r="J7768" s="30" t="n">
        <f aca="false">Sens!J7766-Sens!J7767</f>
        <v>13781.6682813933</v>
      </c>
      <c r="K7768" s="30" t="n">
        <f aca="false">Sens!K7766-Sens!K7767</f>
        <v>14217.7983298351</v>
      </c>
    </row>
    <row r="7769" customFormat="false" ht="17.15" hidden="false" customHeight="false" outlineLevel="0" collapsed="false">
      <c r="A7769" s="1" t="s">
        <v>959</v>
      </c>
      <c r="B7769" s="0" t="s">
        <v>459</v>
      </c>
      <c r="C7769" s="30" t="n">
        <f aca="false">Sens!C7768/ext_sh</f>
        <v>816.666666666667</v>
      </c>
      <c r="D7769" s="30" t="n">
        <f aca="false">Sens!D7768/ext_sh</f>
        <v>2050</v>
      </c>
      <c r="E7769" s="30" t="n">
        <f aca="false">Sens!E7768/ext_sh</f>
        <v>4500</v>
      </c>
      <c r="F7769" s="30" t="n">
        <f aca="false">Sens!F7768/ext_sh</f>
        <v>8700.89183333333</v>
      </c>
      <c r="G7769" s="30" t="n">
        <f aca="false">Sens!G7768/ext_sh</f>
        <v>13245.117</v>
      </c>
      <c r="H7769" s="30" t="n">
        <f aca="false">Sens!H7768/ext_sh</f>
        <v>17789.3421666667</v>
      </c>
      <c r="I7769" s="30" t="n">
        <f aca="false">Sens!I7768/ext_sh</f>
        <v>21009.3190327778</v>
      </c>
      <c r="J7769" s="30" t="n">
        <f aca="false">Sens!J7768/ext_sh</f>
        <v>22969.4471356556</v>
      </c>
      <c r="K7769" s="30" t="n">
        <f aca="false">Sens!K7768/ext_sh</f>
        <v>23696.3305497252</v>
      </c>
      <c r="L7769" s="1" t="s">
        <v>960</v>
      </c>
    </row>
    <row r="7770" customFormat="false" ht="17.15" hidden="false" customHeight="false" outlineLevel="0" collapsed="false">
      <c r="A7770" s="1" t="s">
        <v>961</v>
      </c>
      <c r="B7770" s="0" t="s">
        <v>459</v>
      </c>
      <c r="C7770" s="30" t="n">
        <f aca="false">Sens!C7769-Sens!C7768</f>
        <v>326.666666666667</v>
      </c>
      <c r="D7770" s="30" t="n">
        <f aca="false">Sens!D7769-Sens!D7768</f>
        <v>820</v>
      </c>
      <c r="E7770" s="30" t="n">
        <f aca="false">Sens!E7769-Sens!E7768</f>
        <v>1800</v>
      </c>
      <c r="F7770" s="30" t="n">
        <f aca="false">Sens!F7769-Sens!F7768</f>
        <v>3480.35673333333</v>
      </c>
      <c r="G7770" s="30" t="n">
        <f aca="false">Sens!G7769-Sens!G7768</f>
        <v>5298.0468</v>
      </c>
      <c r="H7770" s="30" t="n">
        <f aca="false">Sens!H7769-Sens!H7768</f>
        <v>7115.73686666667</v>
      </c>
      <c r="I7770" s="30" t="n">
        <f aca="false">Sens!I7769-Sens!I7768</f>
        <v>8403.72761311111</v>
      </c>
      <c r="J7770" s="30" t="n">
        <f aca="false">Sens!J7769-Sens!J7768</f>
        <v>9187.77885426222</v>
      </c>
      <c r="K7770" s="30" t="n">
        <f aca="false">Sens!K7769-Sens!K7768</f>
        <v>9478.53221989009</v>
      </c>
    </row>
    <row r="7771" customFormat="false" ht="17.15" hidden="false" customHeight="false" outlineLevel="0" collapsed="false">
      <c r="A7771" s="1" t="s">
        <v>962</v>
      </c>
      <c r="B7771" s="0" t="s">
        <v>459</v>
      </c>
      <c r="C7771" s="30" t="n">
        <f aca="false">Sens!C7769</f>
        <v>816.666666666667</v>
      </c>
      <c r="D7771" s="30" t="n">
        <f aca="false">Sens!D7769-Sens!C7769</f>
        <v>1233.33333333333</v>
      </c>
      <c r="E7771" s="30" t="n">
        <f aca="false">Sens!E7769-Sens!D7769</f>
        <v>2450</v>
      </c>
      <c r="F7771" s="30" t="n">
        <f aca="false">Sens!F7769-Sens!E7769</f>
        <v>4200.89183333333</v>
      </c>
      <c r="G7771" s="30" t="n">
        <f aca="false">Sens!G7769-Sens!F7769</f>
        <v>4544.22516666667</v>
      </c>
      <c r="H7771" s="30" t="n">
        <f aca="false">Sens!H7769-Sens!G7769</f>
        <v>4544.22516666667</v>
      </c>
      <c r="I7771" s="30" t="n">
        <f aca="false">Sens!I7769-Sens!H7769</f>
        <v>3219.97686611111</v>
      </c>
      <c r="J7771" s="30" t="n">
        <f aca="false">Sens!J7769-Sens!I7769</f>
        <v>1960.12810287778</v>
      </c>
      <c r="K7771" s="30" t="n">
        <f aca="false">Sens!K7769-Sens!J7769</f>
        <v>726.883414069667</v>
      </c>
    </row>
    <row r="7772" customFormat="false" ht="17.15" hidden="false" customHeight="false" outlineLevel="0" collapsed="false">
      <c r="A7772" s="1" t="s">
        <v>963</v>
      </c>
      <c r="B7772" s="0" t="s">
        <v>459</v>
      </c>
      <c r="D7772" s="30" t="n">
        <f aca="false">Sens!D7766-Sens!C7766</f>
        <v>990</v>
      </c>
      <c r="E7772" s="30" t="n">
        <f aca="false">Sens!E7766-Sens!D7766</f>
        <v>1620</v>
      </c>
      <c r="F7772" s="30" t="n">
        <f aca="false">Sens!F7766-Sens!E7766</f>
        <v>2726.5351</v>
      </c>
      <c r="G7772" s="30" t="n">
        <f aca="false">Sens!G7766-Sens!F7766</f>
        <v>2726.5351</v>
      </c>
      <c r="H7772" s="30" t="n">
        <f aca="false">Sens!H7766-Sens!G7766</f>
        <v>2726.5351</v>
      </c>
      <c r="I7772" s="30" t="n">
        <f aca="false">Sens!I7766-Sens!H7766</f>
        <v>1931.98611966667</v>
      </c>
      <c r="J7772" s="30" t="n">
        <f aca="false">Sens!J7766-Sens!I7766</f>
        <v>1176.07686172667</v>
      </c>
      <c r="K7772" s="30" t="n">
        <f aca="false">Sens!K7766-Sens!J7766</f>
        <v>436.130048441799</v>
      </c>
    </row>
    <row r="7773" customFormat="false" ht="17.15" hidden="false" customHeight="false" outlineLevel="0" collapsed="false">
      <c r="A7773" s="1" t="s">
        <v>964</v>
      </c>
      <c r="B7773" s="0" t="s">
        <v>459</v>
      </c>
      <c r="F7773" s="30" t="n">
        <f aca="false">Sens!F7792*ext_sh</f>
        <v>0</v>
      </c>
      <c r="G7773" s="30" t="n">
        <f aca="false">Sens!G7792*ext_sh</f>
        <v>0</v>
      </c>
      <c r="H7773" s="30" t="n">
        <f aca="false">Sens!H7792*ext_sh</f>
        <v>0</v>
      </c>
      <c r="I7773" s="30" t="n">
        <f aca="false">Sens!I7792*ext_sh</f>
        <v>490</v>
      </c>
      <c r="J7773" s="30" t="n">
        <f aca="false">Sens!J7792*ext_sh</f>
        <v>740</v>
      </c>
      <c r="K7773" s="30" t="n">
        <f aca="false">Sens!K7792*ext_sh</f>
        <v>1470</v>
      </c>
      <c r="L7773" s="1" t="s">
        <v>965</v>
      </c>
    </row>
    <row r="7774" customFormat="false" ht="17.15" hidden="false" customHeight="false" outlineLevel="0" collapsed="false">
      <c r="A7774" s="1" t="s">
        <v>966</v>
      </c>
      <c r="B7774" s="0" t="s">
        <v>459</v>
      </c>
      <c r="C7774" s="30" t="n">
        <f aca="false">mix_h*Sens!C7766</f>
        <v>128</v>
      </c>
      <c r="D7774" s="30" t="n">
        <f aca="false">mix_h*Sens!D7766</f>
        <v>326</v>
      </c>
      <c r="E7774" s="30" t="n">
        <f aca="false">mix_h*Sens!E7766</f>
        <v>650</v>
      </c>
      <c r="F7774" s="30" t="n">
        <f aca="false">Sens!E7774-Sens!F7773*mix_h</f>
        <v>650</v>
      </c>
      <c r="G7774" s="30" t="n">
        <f aca="false">Sens!F7774-Sens!G7773*mix_h</f>
        <v>650</v>
      </c>
      <c r="H7774" s="30" t="n">
        <f aca="false">Sens!G7774-Sens!H7773*mix_h</f>
        <v>650</v>
      </c>
      <c r="I7774" s="30" t="n">
        <f aca="false">Sens!H7774-Sens!I7773*mix_h</f>
        <v>552</v>
      </c>
      <c r="J7774" s="30" t="n">
        <f aca="false">Sens!I7774-Sens!J7773*mix_h</f>
        <v>404</v>
      </c>
      <c r="K7774" s="30" t="n">
        <f aca="false">Sens!J7774-Sens!K7773*mix_h</f>
        <v>110</v>
      </c>
    </row>
    <row r="7775" customFormat="false" ht="17.15" hidden="false" customHeight="false" outlineLevel="0" collapsed="false">
      <c r="A7775" s="1" t="s">
        <v>967</v>
      </c>
      <c r="B7775" s="0" t="s">
        <v>459</v>
      </c>
      <c r="C7775" s="30" t="n">
        <f aca="false">mix_g2*Sens!C7766</f>
        <v>288</v>
      </c>
      <c r="D7775" s="30" t="n">
        <f aca="false">mix_g2*Sens!D7766</f>
        <v>733.5</v>
      </c>
      <c r="E7775" s="30" t="n">
        <f aca="false">mix_g2*Sens!E7766</f>
        <v>1462.5</v>
      </c>
      <c r="F7775" s="30" t="n">
        <f aca="false">Sens!E7775-Sens!F7773*mix_g2</f>
        <v>1462.5</v>
      </c>
      <c r="G7775" s="30" t="n">
        <f aca="false">Sens!F7775-Sens!G7773*mix_g2</f>
        <v>1462.5</v>
      </c>
      <c r="H7775" s="30" t="n">
        <f aca="false">Sens!G7775-Sens!H7773*mix_g2</f>
        <v>1462.5</v>
      </c>
      <c r="I7775" s="30" t="n">
        <f aca="false">Sens!H7775-Sens!I7773*mix_g2</f>
        <v>1242</v>
      </c>
      <c r="J7775" s="30" t="n">
        <f aca="false">Sens!I7775-Sens!J7773*mix_g2</f>
        <v>909</v>
      </c>
      <c r="K7775" s="30" t="n">
        <f aca="false">Sens!J7775-Sens!K7773*mix_g2</f>
        <v>247.5</v>
      </c>
    </row>
    <row r="7776" customFormat="false" ht="17.15" hidden="false" customHeight="false" outlineLevel="0" collapsed="false">
      <c r="A7776" s="1" t="s">
        <v>968</v>
      </c>
      <c r="B7776" s="0" t="s">
        <v>459</v>
      </c>
      <c r="C7776" s="30" t="n">
        <f aca="false">mix_g3*Sens!C7766</f>
        <v>224</v>
      </c>
      <c r="D7776" s="30" t="n">
        <f aca="false">mix_g3*Sens!D7766</f>
        <v>570.5</v>
      </c>
      <c r="E7776" s="30" t="n">
        <f aca="false">mix_g3*Sens!E7766</f>
        <v>1137.5</v>
      </c>
      <c r="F7776" s="30" t="n">
        <f aca="false">Sens!E7776+(Sens!F7772+Sens!F7773)*(a_g3_27-nonnv*a_mai)-Sens!F7773*mix_g3</f>
        <v>2773.42106</v>
      </c>
      <c r="G7776" s="30" t="n">
        <f aca="false">Sens!F7776+(Sens!G7772+Sens!G7773)*(a_g3_28-nonnv*a_mai)-Sens!G7773*mix_g3</f>
        <v>3318.72808</v>
      </c>
      <c r="H7776" s="30" t="n">
        <f aca="false">Sens!G7776+(Sens!H7772+Sens!H7773)*(a_g3_29-nonnv*a_mai)-Sens!H7773*mix_g3</f>
        <v>3318.72808</v>
      </c>
      <c r="I7776" s="30" t="n">
        <f aca="false">Sens!H7776+(Sens!I7772+Sens!I7773)*(a_g3_29-nonnv*a_mai)-Sens!I7773*mix_g3</f>
        <v>3147.22808</v>
      </c>
      <c r="J7776" s="30" t="n">
        <f aca="false">Sens!I7776+(Sens!J7772+Sens!J7773)*(a_g3_29-nonnv*a_mai)-Sens!J7773*mix_g3</f>
        <v>2888.22808</v>
      </c>
      <c r="K7776" s="30" t="n">
        <f aca="false">Sens!J7776+(Sens!K7772+Sens!K7773)*(a_g3_29-nonnv*a_mai)-Sens!K7773*mix_g3</f>
        <v>2373.72808</v>
      </c>
    </row>
    <row r="7777" customFormat="false" ht="17.15" hidden="false" customHeight="false" outlineLevel="0" collapsed="false">
      <c r="A7777" s="1" t="s">
        <v>969</v>
      </c>
      <c r="B7777" s="0" t="s">
        <v>459</v>
      </c>
      <c r="C7777" s="30" t="n">
        <v>0</v>
      </c>
      <c r="D7777" s="30" t="n">
        <v>0</v>
      </c>
      <c r="E7777" s="30" t="n">
        <v>0</v>
      </c>
      <c r="F7777" s="30" t="n">
        <f aca="false">Sens!E7777+(Sens!F7772+Sens!F7773)*nonnv*a_mai</f>
        <v>272.65351</v>
      </c>
      <c r="G7777" s="30" t="n">
        <f aca="false">Sens!F7777+(Sens!G7772+Sens!G7773)*nonnv*a_mai</f>
        <v>545.30702</v>
      </c>
      <c r="H7777" s="30" t="n">
        <f aca="false">Sens!G7777+(Sens!H7772+Sens!H7773)*nonnv*a_mai</f>
        <v>817.96053</v>
      </c>
      <c r="I7777" s="30" t="n">
        <f aca="false">Sens!H7777+(Sens!I7772+Sens!I7773)*nonnv*a_mai</f>
        <v>1060.15914196667</v>
      </c>
      <c r="J7777" s="30" t="n">
        <f aca="false">Sens!I7777+(Sens!J7772+Sens!J7773)*nonnv*a_mai</f>
        <v>1251.76682813933</v>
      </c>
      <c r="K7777" s="30" t="n">
        <f aca="false">Sens!J7777+(Sens!K7772+Sens!K7773)*nonnv*a_mai</f>
        <v>1442.37983298351</v>
      </c>
      <c r="L7777" s="12" t="s">
        <v>970</v>
      </c>
    </row>
    <row r="7778" customFormat="false" ht="17.15" hidden="false" customHeight="false" outlineLevel="0" collapsed="false">
      <c r="A7778" s="1" t="s">
        <v>971</v>
      </c>
      <c r="B7778" s="0" t="s">
        <v>459</v>
      </c>
      <c r="C7778" s="30" t="n">
        <v>0</v>
      </c>
      <c r="D7778" s="30" t="n">
        <v>0</v>
      </c>
      <c r="E7778" s="30" t="n">
        <v>0</v>
      </c>
      <c r="F7778" s="30" t="n">
        <f aca="false">Sens!E7778+(Sens!F7772+Sens!F7773)*(1-a_g3_27)</f>
        <v>817.96053</v>
      </c>
      <c r="G7778" s="30" t="n">
        <f aca="false">Sens!F7778+(Sens!G7772+Sens!G7773)*(1-a_g3_28)</f>
        <v>2726.5351</v>
      </c>
      <c r="H7778" s="30" t="n">
        <f aca="false">Sens!G7778+(Sens!H7772+Sens!H7773)*(1-a_g3_29)</f>
        <v>5180.41669</v>
      </c>
      <c r="I7778" s="30" t="n">
        <f aca="false">Sens!H7778+(Sens!I7772+Sens!I7773)*(1-a_g3_29)</f>
        <v>7360.2041977</v>
      </c>
      <c r="J7778" s="30" t="n">
        <f aca="false">Sens!I7778+(Sens!J7772+Sens!J7773)*(1-a_g3_29)</f>
        <v>9084.673373254</v>
      </c>
      <c r="K7778" s="30" t="n">
        <f aca="false">Sens!J7778+(Sens!K7772+Sens!K7773)*(1-a_g3_29)</f>
        <v>10800.1904168516</v>
      </c>
    </row>
    <row r="7779" customFormat="false" ht="17.15" hidden="false" customHeight="false" outlineLevel="0" collapsed="false">
      <c r="A7779" s="1" t="s">
        <v>972</v>
      </c>
      <c r="B7779" s="0" t="s">
        <v>403</v>
      </c>
      <c r="C7779" s="15" t="n">
        <f aca="false">(Sens!C7774*tk_hold_h100+Sens!C7775*tk_hold_gb200+Sens!C7776*tk_hold_gb300+Sens!C7778*tk_hold_vr200+Sens!C7777*nv_hold_mai*tk_hold_vr200)/Sens!C7766</f>
        <v>9.7235358126469</v>
      </c>
      <c r="D7779" s="15" t="n">
        <f aca="false">(Sens!D7774*tk_hold_h100+Sens!D7775*tk_hold_gb200+Sens!D7776*tk_hold_gb300+Sens!D7778*tk_hold_vr200+Sens!D7777*nv_hold_mai*tk_hold_vr200)/Sens!D7766</f>
        <v>9.7235358126469</v>
      </c>
      <c r="E7779" s="15" t="n">
        <f aca="false">(Sens!E7774*tk_hold_h100+Sens!E7775*tk_hold_gb200+Sens!E7776*tk_hold_gb300+Sens!E7778*tk_hold_vr200+Sens!E7777*nv_hold_mai*tk_hold_vr200)/Sens!E7766</f>
        <v>9.7235358126469</v>
      </c>
      <c r="F7779" s="15" t="n">
        <f aca="false">(Sens!F7774*tk_hold_h100+Sens!F7775*tk_hold_gb200+Sens!F7776*tk_hold_gb300+Sens!F7778*tk_hold_vr200+Sens!F7777*nv_hold_mai*tk_hold_vr200)/Sens!F7766</f>
        <v>10.2195353876665</v>
      </c>
      <c r="G7779" s="15" t="n">
        <f aca="false">(Sens!G7774*tk_hold_h100+Sens!G7775*tk_hold_gb200+Sens!G7776*tk_hold_gb300+Sens!G7778*tk_hold_vr200+Sens!G7777*nv_hold_mai*tk_hold_vr200)/Sens!G7766</f>
        <v>10.5725598017306</v>
      </c>
      <c r="H7779" s="15" t="n">
        <f aca="false">(Sens!H7774*tk_hold_h100+Sens!H7775*tk_hold_gb200+Sens!H7776*tk_hold_gb300+Sens!H7778*tk_hold_vr200+Sens!H7777*nv_hold_mai*tk_hold_vr200)/Sens!H7766</f>
        <v>10.8210427149036</v>
      </c>
      <c r="I7779" s="15" t="n">
        <f aca="false">(Sens!I7774*tk_hold_h100+Sens!I7775*tk_hold_gb200+Sens!I7776*tk_hold_gb300+Sens!I7778*tk_hold_vr200+Sens!I7777*nv_hold_mai*tk_hold_vr200)/Sens!I7766</f>
        <v>11.0050618241982</v>
      </c>
      <c r="J7779" s="15" t="n">
        <f aca="false">(Sens!J7774*tk_hold_h100+Sens!J7775*tk_hold_gb200+Sens!J7776*tk_hold_gb300+Sens!J7778*tk_hold_vr200+Sens!J7777*nv_hold_mai*tk_hold_vr200)/Sens!J7766</f>
        <v>11.1505789658881</v>
      </c>
      <c r="K7779" s="15" t="n">
        <f aca="false">(Sens!K7774*tk_hold_h100+Sens!K7775*tk_hold_gb200+Sens!K7776*tk_hold_gb300+Sens!K7778*tk_hold_vr200+Sens!K7777*nv_hold_mai*tk_hold_vr200)/Sens!K7766</f>
        <v>11.3496914757183</v>
      </c>
      <c r="L7779" s="1" t="s">
        <v>973</v>
      </c>
    </row>
    <row r="7780" customFormat="false" ht="17.15" hidden="false" customHeight="false" outlineLevel="0" collapsed="false">
      <c r="A7780" s="1" t="s">
        <v>974</v>
      </c>
      <c r="B7780" s="0" t="s">
        <v>403</v>
      </c>
      <c r="C7780" s="15" t="n">
        <f aca="false">(Sens!C7774*tk_hold_h100+Sens!C7775*tk_hold_gb200+Sens!C7776*tk_hold_gb300+Sens!C7778*tk_hold_vr200+Sens!C7777*nv_out_mai*tk_hold_vr200)/Sens!C7766</f>
        <v>9.7235358126469</v>
      </c>
      <c r="D7780" s="15" t="n">
        <f aca="false">(Sens!D7774*tk_hold_h100+Sens!D7775*tk_hold_gb200+Sens!D7776*tk_hold_gb300+Sens!D7778*tk_hold_vr200+Sens!D7777*nv_out_mai*tk_hold_vr200)/Sens!D7766</f>
        <v>9.7235358126469</v>
      </c>
      <c r="E7780" s="15" t="n">
        <f aca="false">(Sens!E7774*tk_hold_h100+Sens!E7775*tk_hold_gb200+Sens!E7776*tk_hold_gb300+Sens!E7778*tk_hold_vr200+Sens!E7777*nv_out_mai*tk_hold_vr200)/Sens!E7766</f>
        <v>9.7235358126469</v>
      </c>
      <c r="F7780" s="15" t="n">
        <f aca="false">(Sens!F7774*tk_hold_h100+Sens!F7775*tk_hold_gb200+Sens!F7776*tk_hold_gb300+Sens!F7778*tk_hold_vr200+Sens!F7777*nv_out_mai*tk_hold_vr200)/Sens!F7766</f>
        <v>10.247422093969</v>
      </c>
      <c r="G7780" s="15" t="n">
        <f aca="false">(Sens!G7774*tk_hold_h100+Sens!G7775*tk_hold_gb200+Sens!G7776*tk_hold_gb300+Sens!G7778*tk_hold_vr200+Sens!G7777*nv_out_mai*tk_hold_vr200)/Sens!G7766</f>
        <v>10.6108602808053</v>
      </c>
      <c r="H7780" s="15" t="n">
        <f aca="false">(Sens!H7774*tk_hold_h100+Sens!H7775*tk_hold_gb200+Sens!H7776*tk_hold_gb300+Sens!H7778*tk_hold_vr200+Sens!H7777*nv_out_mai*tk_hold_vr200)/Sens!H7766</f>
        <v>10.8647885507393</v>
      </c>
      <c r="I7780" s="15" t="n">
        <f aca="false">(Sens!I7774*tk_hold_h100+Sens!I7775*tk_hold_gb200+Sens!I7776*tk_hold_gb300+Sens!I7778*tk_hold_vr200+Sens!I7777*nv_out_mai*tk_hold_vr200)/Sens!I7766</f>
        <v>11.0535625770025</v>
      </c>
      <c r="J7780" s="15" t="n">
        <f aca="false">(Sens!J7774*tk_hold_h100+Sens!J7775*tk_hold_gb200+Sens!J7776*tk_hold_gb300+Sens!J7778*tk_hold_vr200+Sens!J7777*nv_out_mai*tk_hold_vr200)/Sens!J7766</f>
        <v>11.2032127128058</v>
      </c>
      <c r="K7780" s="15" t="n">
        <f aca="false">(Sens!K7774*tk_hold_h100+Sens!K7775*tk_hold_gb200+Sens!K7776*tk_hold_gb300+Sens!K7778*tk_hold_vr200+Sens!K7777*nv_out_mai*tk_hold_vr200)/Sens!K7766</f>
        <v>11.4085735724225</v>
      </c>
      <c r="L7780" s="12" t="s">
        <v>975</v>
      </c>
    </row>
    <row r="7781" customFormat="false" ht="17.15" hidden="false" customHeight="false" outlineLevel="0" collapsed="false">
      <c r="A7781" s="0" t="s">
        <v>976</v>
      </c>
      <c r="B7781" s="0" t="s">
        <v>229</v>
      </c>
      <c r="C7781" s="15" t="n">
        <f aca="false">k_B</f>
        <v>1.17213932619116</v>
      </c>
      <c r="D7781" s="15" t="n">
        <f aca="false">k_B</f>
        <v>1.17213932619116</v>
      </c>
      <c r="E7781" s="15" t="n">
        <f aca="false">k_B</f>
        <v>1.17213932619116</v>
      </c>
      <c r="F7781" s="15" t="n">
        <f aca="false">(k_B+((ls_C*k_long+(1-ls_C)*k_spot)-k_B)*MIN(1,(Sens!F7764-base_fy)/k_ramp))</f>
        <v>1.07843258004497</v>
      </c>
      <c r="G7781" s="15" t="n">
        <f aca="false">(k_B+((ls_C*k_long+(1-ls_C)*k_spot)-k_B)*MIN(1,(Sens!G7764-base_fy)/k_ramp))</f>
        <v>0.984725833898784</v>
      </c>
      <c r="H7781" s="15" t="n">
        <f aca="false">(k_B+((ls_C*k_long+(1-ls_C)*k_spot)-k_B)*MIN(1,(Sens!H7764-base_fy)/k_ramp))</f>
        <v>0.891019087752599</v>
      </c>
      <c r="I7781" s="15" t="n">
        <f aca="false">(k_B+((ls_C*k_long+(1-ls_C)*k_spot)-k_B)*MIN(1,(Sens!I7764-base_fy)/k_ramp))</f>
        <v>0.891019087752599</v>
      </c>
      <c r="J7781" s="15" t="n">
        <f aca="false">(k_B+((ls_C*k_long+(1-ls_C)*k_spot)-k_B)*MIN(1,(Sens!J7764-base_fy)/k_ramp))</f>
        <v>0.891019087752599</v>
      </c>
      <c r="K7781" s="15" t="n">
        <f aca="false">(k_B+((ls_C*k_long+(1-ls_C)*k_spot)-k_B)*MIN(1,(Sens!K7764-base_fy)/k_ramp))</f>
        <v>0.891019087752599</v>
      </c>
      <c r="L7781" s="1" t="s">
        <v>977</v>
      </c>
    </row>
    <row r="7782" customFormat="false" ht="17.15" hidden="false" customHeight="false" outlineLevel="0" collapsed="false">
      <c r="A7782" s="1" t="s">
        <v>978</v>
      </c>
      <c r="B7782" s="0" t="s">
        <v>403</v>
      </c>
      <c r="C7782" s="15" t="n">
        <f aca="false">Sens!C7780*Sens!C7781*chip_f</f>
        <v>11.3973387156315</v>
      </c>
      <c r="D7782" s="15" t="n">
        <f aca="false">Sens!D7780*Sens!D7781*chip_f</f>
        <v>11.3973387156315</v>
      </c>
      <c r="E7782" s="15" t="n">
        <f aca="false">Sens!E7780*Sens!E7781*chip_f</f>
        <v>11.3973387156315</v>
      </c>
      <c r="F7782" s="15" t="n">
        <f aca="false">Sens!F7780*Sens!F7781*chip_f</f>
        <v>11.0511538476088</v>
      </c>
      <c r="G7782" s="15" t="n">
        <f aca="false">Sens!G7780*Sens!G7781*chip_f</f>
        <v>10.4487882383995</v>
      </c>
      <c r="H7782" s="15" t="n">
        <f aca="false">Sens!H7780*Sens!H7781*chip_f</f>
        <v>9.68073398310464</v>
      </c>
      <c r="I7782" s="15" t="n">
        <f aca="false">Sens!I7780*Sens!I7781*chip_f</f>
        <v>9.84893524377706</v>
      </c>
      <c r="J7782" s="15" t="n">
        <f aca="false">Sens!J7780*Sens!J7781*chip_f</f>
        <v>9.98227637126252</v>
      </c>
      <c r="K7782" s="15" t="n">
        <f aca="false">Sens!K7780*Sens!K7781*chip_f</f>
        <v>10.1652568170583</v>
      </c>
      <c r="L7782" s="1" t="s">
        <v>979</v>
      </c>
    </row>
    <row r="7783" customFormat="false" ht="17.15" hidden="false" customHeight="false" outlineLevel="0" collapsed="false">
      <c r="A7783" s="0" t="s">
        <v>980</v>
      </c>
      <c r="B7783" s="0" t="s">
        <v>98</v>
      </c>
      <c r="D7783" s="6" t="n">
        <f aca="false">(Sens!C7766+Sens!D7766)/2*Sens!D7782/1000</f>
        <v>12.9359794422418</v>
      </c>
      <c r="E7783" s="6" t="n">
        <f aca="false">(Sens!D7766+Sens!E7766)/2*Sens!E7782/1000</f>
        <v>27.8095064661409</v>
      </c>
      <c r="F7783" s="6" t="n">
        <f aca="false">(Sens!E7766+Sens!F7766)/2*Sens!F7782/1000</f>
        <v>50.9819294352312</v>
      </c>
      <c r="G7783" s="6" t="n">
        <f aca="false">(Sens!F7766+Sens!G7766)/2*Sens!G7782/1000</f>
        <v>76.6920436014933</v>
      </c>
      <c r="H7783" s="6" t="n">
        <f aca="false">(Sens!G7766+Sens!H7766)/2*Sens!H7782/1000</f>
        <v>97.4495379418341</v>
      </c>
      <c r="I7783" s="6" t="n">
        <f aca="false">(Sens!H7766+Sens!I7766)/2*Sens!I7782/1000</f>
        <v>122.083445553868</v>
      </c>
      <c r="J7783" s="6" t="n">
        <f aca="false">(Sens!I7766+Sens!J7766)/2*Sens!J7782/1000</f>
        <v>139.249060444804</v>
      </c>
      <c r="K7783" s="6" t="n">
        <f aca="false">(Sens!J7766+Sens!K7766)/2*Sens!K7782/1000</f>
        <v>149.995818575589</v>
      </c>
      <c r="L7783" s="12" t="s">
        <v>981</v>
      </c>
    </row>
    <row r="7784" customFormat="false" ht="17.15" hidden="false" customHeight="false" outlineLevel="0" collapsed="false">
      <c r="A7784" s="1" t="s">
        <v>982</v>
      </c>
      <c r="B7784" s="0" t="s">
        <v>403</v>
      </c>
      <c r="C7784" s="15" t="n">
        <f aca="false">(Sens!C7774*tk_opex_h100+Sens!C7775*tk_opex_gb200+Sens!C7776*tk_opex_gb300+(Sens!C7778+Sens!C7777)*tk_opex_vr200)/Sens!C7766</f>
        <v>1.88636041306092</v>
      </c>
      <c r="D7784" s="15" t="n">
        <f aca="false">(Sens!D7774*tk_opex_h100+Sens!D7775*tk_opex_gb200+Sens!D7776*tk_opex_gb300+(Sens!D7778+Sens!D7777)*tk_opex_vr200)/Sens!D7766</f>
        <v>1.88636041306092</v>
      </c>
      <c r="E7784" s="15" t="n">
        <f aca="false">(Sens!E7774*tk_opex_h100+Sens!E7775*tk_opex_gb200+Sens!E7776*tk_opex_gb300+(Sens!E7778+Sens!E7777)*tk_opex_vr200)/Sens!E7766</f>
        <v>1.88636041306092</v>
      </c>
      <c r="F7784" s="15" t="n">
        <f aca="false">(Sens!F7774*tk_opex_h100+Sens!F7775*tk_opex_gb200+Sens!F7776*tk_opex_gb300+(Sens!F7778+Sens!F7777)*tk_opex_vr200)/Sens!F7766</f>
        <v>1.95051159746876</v>
      </c>
      <c r="G7784" s="15" t="n">
        <f aca="false">(Sens!G7774*tk_opex_h100+Sens!G7775*tk_opex_gb200+Sens!G7776*tk_opex_gb300+(Sens!G7778+Sens!G7777)*tk_opex_vr200)/Sens!G7766</f>
        <v>1.98836003669956</v>
      </c>
      <c r="H7784" s="15" t="n">
        <f aca="false">(Sens!H7774*tk_opex_h100+Sens!H7775*tk_opex_gb200+Sens!H7776*tk_opex_gb300+(Sens!H7778+Sens!H7777)*tk_opex_vr200)/Sens!H7766</f>
        <v>2.01344013834343</v>
      </c>
      <c r="I7784" s="15" t="n">
        <f aca="false">(Sens!I7774*tk_opex_h100+Sens!I7775*tk_opex_gb200+Sens!I7776*tk_opex_gb300+(Sens!I7778+Sens!I7777)*tk_opex_vr200)/Sens!I7766</f>
        <v>2.03261166882178</v>
      </c>
      <c r="J7784" s="15" t="n">
        <f aca="false">(Sens!J7774*tk_opex_h100+Sens!J7775*tk_opex_gb200+Sens!J7776*tk_opex_gb300+(Sens!J7778+Sens!J7777)*tk_opex_vr200)/Sens!J7766</f>
        <v>2.04808073288745</v>
      </c>
      <c r="K7784" s="15" t="n">
        <f aca="false">(Sens!K7774*tk_opex_h100+Sens!K7775*tk_opex_gb200+Sens!K7776*tk_opex_gb300+(Sens!K7778+Sens!K7777)*tk_opex_vr200)/Sens!K7766</f>
        <v>2.06973825807449</v>
      </c>
      <c r="L7784" s="12" t="s">
        <v>983</v>
      </c>
    </row>
    <row r="7785" customFormat="false" ht="17.15" hidden="false" customHeight="false" outlineLevel="0" collapsed="false">
      <c r="A7785" s="0" t="s">
        <v>984</v>
      </c>
      <c r="B7785" s="0" t="s">
        <v>98</v>
      </c>
      <c r="D7785" s="6" t="n">
        <f aca="false">(Sens!C7769+Sens!D7769)/2*Sens!D7784/1000</f>
        <v>2.70378325872065</v>
      </c>
      <c r="E7785" s="6" t="n">
        <f aca="false">(Sens!D7769+Sens!E7769)/2*Sens!E7784/1000</f>
        <v>6.17783035277451</v>
      </c>
      <c r="F7785" s="6" t="n">
        <f aca="false">(Sens!E7769+Sens!F7769)/2*Sens!F7784/1000</f>
        <v>12.8742463089237</v>
      </c>
      <c r="G7785" s="6" t="n">
        <f aca="false">(Sens!F7769+Sens!G7769)/2*Sens!G7784/1000</f>
        <v>21.8182834646277</v>
      </c>
      <c r="H7785" s="6" t="n">
        <f aca="false">(Sens!G7769+Sens!H7769)/2*Sens!H7784/1000</f>
        <v>31.2430128789734</v>
      </c>
      <c r="I7785" s="6" t="n">
        <f aca="false">(Sens!H7769+Sens!I7769)/2*Sens!I7784/1000</f>
        <v>39.4313057443268</v>
      </c>
      <c r="J7785" s="6" t="n">
        <f aca="false">(Sens!I7769+Sens!J7769)/2*Sens!J7784/1000</f>
        <v>45.0360318228653</v>
      </c>
      <c r="K7785" s="6" t="n">
        <f aca="false">(Sens!J7769+Sens!K7769)/2*Sens!K7784/1000</f>
        <v>48.2929727091156</v>
      </c>
    </row>
    <row r="7786" customFormat="false" ht="17.15" hidden="false" customHeight="false" outlineLevel="0" collapsed="false">
      <c r="A7786" s="0" t="s">
        <v>985</v>
      </c>
      <c r="B7786" s="0" t="s">
        <v>98</v>
      </c>
      <c r="D7786" s="6" t="n">
        <f aca="false">(Sens!C7767+Sens!D7767)/2*rent_mw/1000</f>
        <v>2.44475</v>
      </c>
      <c r="E7786" s="6" t="n">
        <f aca="false">(Sens!D7767+Sens!E7767)/2*rent_mw/1000</f>
        <v>4.22275</v>
      </c>
      <c r="F7786" s="6" t="n">
        <f aca="false">(Sens!E7767+Sens!F7767)/2*rent_mw/1000</f>
        <v>5.80517</v>
      </c>
      <c r="G7786" s="6" t="n">
        <f aca="false">(Sens!F7767+Sens!G7767)/2*rent_mw/1000</f>
        <v>6.72084</v>
      </c>
      <c r="H7786" s="6" t="n">
        <f aca="false">(Sens!G7767+Sens!H7767)/2*rent_mw/1000</f>
        <v>6.72084</v>
      </c>
      <c r="I7786" s="6" t="n">
        <f aca="false">(Sens!H7767+Sens!I7767)/2*rent_mw/1000</f>
        <v>6.72084</v>
      </c>
      <c r="J7786" s="6" t="n">
        <f aca="false">(Sens!I7767+Sens!J7767)/2*rent_mw/1000</f>
        <v>6.72084</v>
      </c>
      <c r="K7786" s="6" t="n">
        <f aca="false">(Sens!J7767+Sens!K7767)/2*rent_mw/1000</f>
        <v>6.72084</v>
      </c>
    </row>
    <row r="7787" customFormat="false" ht="17.15" hidden="false" customHeight="false" outlineLevel="0" collapsed="false">
      <c r="A7787" s="0" t="s">
        <v>986</v>
      </c>
      <c r="B7787" s="0" t="s">
        <v>98</v>
      </c>
      <c r="D7787" s="6" t="n">
        <f aca="false">(Sens!C7769+Sens!D7769)/2*(1-self_build)*fac_rent/1000</f>
        <v>0.853242375631075</v>
      </c>
      <c r="E7787" s="6" t="n">
        <f aca="false">(Sens!D7769+Sens!E7769)/2*(1-self_build)*fac_rent/1000</f>
        <v>1.94955961408728</v>
      </c>
      <c r="F7787" s="6" t="n">
        <f aca="false">(Sens!E7769+Sens!F7769)/2*(1-self_build)*fac_rent/1000</f>
        <v>3.92914894476356</v>
      </c>
      <c r="G7787" s="6" t="n">
        <f aca="false">(Sens!F7769+Sens!G7769)/2*(1-self_build)*fac_rent/1000</f>
        <v>6.53206908578159</v>
      </c>
      <c r="H7787" s="6" t="n">
        <f aca="false">(Sens!G7769+Sens!H7769)/2*(1-self_build)*fac_rent/1000</f>
        <v>9.23717988341591</v>
      </c>
      <c r="I7787" s="6" t="n">
        <f aca="false">(Sens!H7769+Sens!I7769)/2*(1-self_build)*fac_rent/1000</f>
        <v>11.5481378557393</v>
      </c>
      <c r="J7787" s="6" t="n">
        <f aca="false">(Sens!I7769+Sens!J7769)/2*(1-self_build)*fac_rent/1000</f>
        <v>13.0899582289108</v>
      </c>
      <c r="K7787" s="6" t="n">
        <f aca="false">(Sens!J7769+Sens!K7769)/2*(1-self_build)*fac_rent/1000</f>
        <v>13.8897275626556</v>
      </c>
      <c r="L7787" s="12" t="s">
        <v>987</v>
      </c>
    </row>
    <row r="7788" customFormat="false" ht="17.15" hidden="false" customHeight="false" outlineLevel="0" collapsed="false">
      <c r="A7788" s="1" t="s">
        <v>988</v>
      </c>
      <c r="B7788" s="0" t="s">
        <v>168</v>
      </c>
      <c r="D7788" s="7" t="n">
        <f aca="false">(Sens!C7768+Sens!D7768)/(Sens!C7769+Sens!D7769)</f>
        <v>0.6</v>
      </c>
      <c r="E7788" s="7" t="n">
        <f aca="false">(Sens!D7768+Sens!E7768)/(Sens!D7769+Sens!E7769)</f>
        <v>0.6</v>
      </c>
      <c r="F7788" s="7" t="n">
        <f aca="false">(Sens!E7768+Sens!F7768)/(Sens!E7769+Sens!F7769)</f>
        <v>0.6</v>
      </c>
      <c r="G7788" s="7" t="n">
        <f aca="false">(Sens!F7768+Sens!G7768)/(Sens!F7769+Sens!G7769)</f>
        <v>0.6</v>
      </c>
      <c r="H7788" s="7" t="n">
        <f aca="false">(Sens!G7768+Sens!H7768)/(Sens!G7769+Sens!H7769)</f>
        <v>0.6</v>
      </c>
      <c r="I7788" s="7" t="n">
        <f aca="false">(Sens!H7768+Sens!I7768)/(Sens!H7769+Sens!I7769)</f>
        <v>0.6</v>
      </c>
      <c r="J7788" s="7" t="n">
        <f aca="false">(Sens!I7768+Sens!J7768)/(Sens!I7769+Sens!J7769)</f>
        <v>0.6</v>
      </c>
      <c r="K7788" s="7" t="n">
        <f aca="false">(Sens!J7768+Sens!K7768)/(Sens!J7769+Sens!K7769)</f>
        <v>0.6</v>
      </c>
    </row>
    <row r="7789" customFormat="false" ht="17.15" hidden="false" customHeight="false" outlineLevel="0" collapsed="false">
      <c r="A7789" s="0" t="s">
        <v>989</v>
      </c>
      <c r="B7789" s="0" t="s">
        <v>98</v>
      </c>
      <c r="D7789" s="6" t="n">
        <f aca="false">Sens!D7783-Sens!D7788*(Sens!D7785+Sens!D7787)-Sens!D7786</f>
        <v>8.35701406163072</v>
      </c>
      <c r="E7789" s="6" t="n">
        <f aca="false">Sens!E7783-Sens!E7788*(Sens!E7785+Sens!E7787)-Sens!E7786</f>
        <v>18.7103224860238</v>
      </c>
      <c r="F7789" s="6" t="n">
        <f aca="false">Sens!F7783-Sens!F7788*(Sens!F7785+Sens!F7787)-Sens!F7786</f>
        <v>35.0947222830189</v>
      </c>
      <c r="G7789" s="6" t="n">
        <f aca="false">Sens!G7783-Sens!G7788*(Sens!G7785+Sens!G7787)-Sens!G7786</f>
        <v>52.9609920712477</v>
      </c>
      <c r="H7789" s="6" t="n">
        <f aca="false">Sens!H7783-Sens!H7788*(Sens!H7785+Sens!H7787)-Sens!H7786</f>
        <v>66.4405822844005</v>
      </c>
      <c r="I7789" s="6" t="n">
        <f aca="false">Sens!I7783-Sens!I7788*(Sens!I7785+Sens!I7787)-Sens!I7786</f>
        <v>84.7749393938279</v>
      </c>
      <c r="J7789" s="6" t="n">
        <f aca="false">Sens!J7783-Sens!J7788*(Sens!J7785+Sens!J7787)-Sens!J7786</f>
        <v>97.6526264137382</v>
      </c>
      <c r="K7789" s="6" t="n">
        <f aca="false">Sens!K7783-Sens!K7788*(Sens!K7785+Sens!K7787)-Sens!K7786</f>
        <v>105.965358412527</v>
      </c>
    </row>
    <row r="7790" customFormat="false" ht="17.15" hidden="false" customHeight="false" outlineLevel="0" collapsed="false">
      <c r="A7790" s="1" t="s">
        <v>990</v>
      </c>
      <c r="B7790" s="0" t="s">
        <v>98</v>
      </c>
      <c r="D7790" s="6" t="n">
        <f aca="false">(1-Sens!D7788)*(Sens!D7785+Sens!D7787)</f>
        <v>1.42281025374069</v>
      </c>
      <c r="E7790" s="6" t="n">
        <f aca="false">(1-Sens!E7788)*(Sens!E7785+Sens!E7787)</f>
        <v>3.25095598674472</v>
      </c>
      <c r="F7790" s="6" t="n">
        <f aca="false">(1-Sens!F7788)*(Sens!F7785+Sens!F7787)</f>
        <v>6.72135810147489</v>
      </c>
      <c r="G7790" s="6" t="n">
        <f aca="false">(1-Sens!G7788)*(Sens!G7785+Sens!G7787)</f>
        <v>11.3401410201637</v>
      </c>
      <c r="H7790" s="6" t="n">
        <f aca="false">(1-Sens!H7788)*(Sens!H7785+Sens!H7787)</f>
        <v>16.1920771049557</v>
      </c>
      <c r="I7790" s="6" t="n">
        <f aca="false">(1-Sens!I7788)*(Sens!I7785+Sens!I7787)</f>
        <v>20.3917774400264</v>
      </c>
      <c r="J7790" s="6" t="n">
        <f aca="false">(1-Sens!J7788)*(Sens!J7785+Sens!J7787)</f>
        <v>23.2503960207104</v>
      </c>
      <c r="K7790" s="6" t="n">
        <f aca="false">(1-Sens!K7788)*(Sens!K7785+Sens!K7787)</f>
        <v>24.8730801087085</v>
      </c>
    </row>
    <row r="7791" customFormat="false" ht="17.15" hidden="false" customHeight="false" outlineLevel="0" collapsed="false">
      <c r="A7791" s="1" t="s">
        <v>991</v>
      </c>
      <c r="B7791" s="0" t="s">
        <v>417</v>
      </c>
      <c r="C7791" s="8" t="n">
        <f aca="false">cxit_open</f>
        <v>27.5918995</v>
      </c>
      <c r="D7791" s="8" t="n">
        <f aca="false">cxit_open</f>
        <v>27.5918995</v>
      </c>
      <c r="E7791" s="8" t="n">
        <f aca="false">cxit_open</f>
        <v>27.5918995</v>
      </c>
      <c r="F7791" s="8" t="n">
        <f aca="false">((a_g3_27-nonnv*a_mai)*tk_cxit_gb300+nonnv*a_mai*nv_hold_mai*tk_cxit_vr200+(1-a_g3_27)*tk_cxit_vr200)</f>
        <v>32.4975576</v>
      </c>
      <c r="G7791" s="8" t="n">
        <f aca="false">((a_g3_28-nonnv*a_mai)*tk_cxit_gb300+nonnv*a_mai*nv_hold_mai*tk_cxit_vr200+(1-a_g3_28)*tk_cxit_vr200)</f>
        <v>34.6372088</v>
      </c>
      <c r="H7791" s="8" t="n">
        <f aca="false">((a_g3_29-nonnv*a_mai)*tk_cxit_gb300+nonnv*a_mai*nv_hold_mai*tk_cxit_vr200+(1-a_g3_29)*tk_cxit_vr200)</f>
        <v>35.7070344</v>
      </c>
      <c r="I7791" s="8" t="n">
        <f aca="false">((a_g3_29-nonnv*a_mai)*tk_cxit_gb300+nonnv*a_mai*nv_hold_mai*tk_cxit_vr200+(1-a_g3_29)*tk_cxit_vr200)</f>
        <v>35.7070344</v>
      </c>
      <c r="J7791" s="8" t="n">
        <f aca="false">((a_g3_29-nonnv*a_mai)*tk_cxit_gb300+nonnv*a_mai*nv_hold_mai*tk_cxit_vr200+(1-a_g3_29)*tk_cxit_vr200)</f>
        <v>35.7070344</v>
      </c>
      <c r="K7791" s="8" t="n">
        <f aca="false">((a_g3_29-nonnv*a_mai)*tk_cxit_gb300+nonnv*a_mai*nv_hold_mai*tk_cxit_vr200+(1-a_g3_29)*tk_cxit_vr200)</f>
        <v>35.7070344</v>
      </c>
      <c r="L7791" s="12" t="s">
        <v>992</v>
      </c>
    </row>
    <row r="7792" customFormat="false" ht="17.15" hidden="false" customHeight="false" outlineLevel="0" collapsed="false">
      <c r="A7792" s="0" t="s">
        <v>993</v>
      </c>
      <c r="B7792" s="0" t="s">
        <v>459</v>
      </c>
      <c r="F7792" s="30" t="n">
        <f aca="false">Sens!C7771*IF(Sens!F7764-Sens!C7764=life_it,1,0)+Sens!D7771*IF(Sens!F7764-Sens!D7764=life_it,1,0)+Sens!E7771*IF(Sens!F7764-Sens!E7764=life_it,1,0)</f>
        <v>0</v>
      </c>
      <c r="G7792" s="30" t="n">
        <f aca="false">Sens!C7771*IF(Sens!G7764-Sens!C7764=life_it,1,0)+Sens!D7771*IF(Sens!G7764-Sens!D7764=life_it,1,0)+Sens!E7771*IF(Sens!G7764-Sens!E7764=life_it,1,0)+Sens!F7771*IF(Sens!G7764-Sens!F7764=life_it,1,0)</f>
        <v>0</v>
      </c>
      <c r="H7792" s="30" t="n">
        <f aca="false">Sens!C7771*IF(Sens!H7764-Sens!C7764=life_it,1,0)+Sens!D7771*IF(Sens!H7764-Sens!D7764=life_it,1,0)+Sens!E7771*IF(Sens!H7764-Sens!E7764=life_it,1,0)+Sens!F7771*IF(Sens!H7764-Sens!F7764=life_it,1,0)+Sens!G7771*IF(Sens!H7764-Sens!G7764=life_it,1,0)</f>
        <v>0</v>
      </c>
      <c r="I7792" s="30" t="n">
        <f aca="false">Sens!C7771*IF(Sens!I7764-Sens!C7764=life_it,1,0)+Sens!D7771*IF(Sens!I7764-Sens!D7764=life_it,1,0)+Sens!E7771*IF(Sens!I7764-Sens!E7764=life_it,1,0)+Sens!F7771*IF(Sens!I7764-Sens!F7764=life_it,1,0)+Sens!G7771*IF(Sens!I7764-Sens!G7764=life_it,1,0)+Sens!H7771*IF(Sens!I7764-Sens!H7764=life_it,1,0)</f>
        <v>816.666666666667</v>
      </c>
      <c r="J7792" s="30" t="n">
        <f aca="false">Sens!C7771*IF(Sens!J7764-Sens!C7764=life_it,1,0)+Sens!D7771*IF(Sens!J7764-Sens!D7764=life_it,1,0)+Sens!E7771*IF(Sens!J7764-Sens!E7764=life_it,1,0)+Sens!F7771*IF(Sens!J7764-Sens!F7764=life_it,1,0)+Sens!G7771*IF(Sens!J7764-Sens!G7764=life_it,1,0)+Sens!H7771*IF(Sens!J7764-Sens!H7764=life_it,1,0)+Sens!I7771*IF(Sens!J7764-Sens!I7764=life_it,1,0)</f>
        <v>1233.33333333333</v>
      </c>
      <c r="K7792" s="30" t="n">
        <f aca="false">Sens!C7771*IF(Sens!K7764-Sens!C7764=life_it,1,0)+Sens!D7771*IF(Sens!K7764-Sens!D7764=life_it,1,0)+Sens!E7771*IF(Sens!K7764-Sens!E7764=life_it,1,0)+Sens!F7771*IF(Sens!K7764-Sens!F7764=life_it,1,0)+Sens!G7771*IF(Sens!K7764-Sens!G7764=life_it,1,0)+Sens!H7771*IF(Sens!K7764-Sens!H7764=life_it,1,0)+Sens!I7771*IF(Sens!K7764-Sens!I7764=life_it,1,0)+Sens!J7771*IF(Sens!K7764-Sens!J7764=life_it,1,0)</f>
        <v>2450</v>
      </c>
      <c r="L7792" s="1" t="s">
        <v>994</v>
      </c>
    </row>
    <row r="7793" customFormat="false" ht="17.15" hidden="false" customHeight="false" outlineLevel="0" collapsed="false">
      <c r="A7793" s="0" t="s">
        <v>995</v>
      </c>
      <c r="B7793" s="0" t="s">
        <v>98</v>
      </c>
      <c r="C7793" s="6" t="n">
        <f aca="false">Sens!C7771*Sens!C7791/1000</f>
        <v>22.5333845916667</v>
      </c>
      <c r="D7793" s="6" t="n">
        <f aca="false">Sens!D7771*Sens!D7791/1000</f>
        <v>34.0300093833333</v>
      </c>
      <c r="E7793" s="6" t="n">
        <f aca="false">Sens!E7771*Sens!E7791/1000</f>
        <v>67.600153775</v>
      </c>
      <c r="F7793" s="6" t="n">
        <f aca="false">(Sens!F7771+Sens!F7792)*Sens!F7791/1000</f>
        <v>136.51872432512</v>
      </c>
      <c r="G7793" s="6" t="n">
        <f aca="false">(Sens!G7771+Sens!G7792)*Sens!G7791/1000</f>
        <v>157.399275932048</v>
      </c>
      <c r="H7793" s="6" t="n">
        <f aca="false">(Sens!H7771+Sens!H7792)*Sens!H7791/1000</f>
        <v>162.260804347512</v>
      </c>
      <c r="I7793" s="6" t="n">
        <f aca="false">(Sens!I7771+Sens!I7792)*Sens!I7791/1000</f>
        <v>144.136569485434</v>
      </c>
      <c r="J7793" s="6" t="n">
        <f aca="false">(Sens!J7771+Sens!J7792)*Sens!J7791/1000</f>
        <v>114.029037357864</v>
      </c>
      <c r="K7793" s="6" t="n">
        <f aca="false">(Sens!K7771+Sens!K7792)*Sens!K7791/1000</f>
        <v>113.437085350975</v>
      </c>
    </row>
    <row r="7794" customFormat="false" ht="17.15" hidden="false" customHeight="false" outlineLevel="0" collapsed="false">
      <c r="A7794" s="0" t="s">
        <v>996</v>
      </c>
      <c r="B7794" s="0" t="s">
        <v>98</v>
      </c>
      <c r="C7794" s="6" t="n">
        <f aca="false">Sens!C7771*self_build*tk_cxfac/1000</f>
        <v>6.2083</v>
      </c>
      <c r="D7794" s="6" t="n">
        <f aca="false">Sens!D7771*self_build*tk_cxfac/1000</f>
        <v>9.3758</v>
      </c>
      <c r="E7794" s="6" t="n">
        <f aca="false">Sens!E7771*self_build*tk_cxfac/1000</f>
        <v>18.6249</v>
      </c>
      <c r="F7794" s="6" t="n">
        <f aca="false">Sens!F7771*self_build*tk_cxfac/1000</f>
        <v>31.935179717</v>
      </c>
      <c r="G7794" s="6" t="n">
        <f aca="false">Sens!G7771*self_build*tk_cxfac/1000</f>
        <v>34.545199717</v>
      </c>
      <c r="H7794" s="6" t="n">
        <f aca="false">Sens!H7771*self_build*tk_cxfac/1000</f>
        <v>34.545199717</v>
      </c>
      <c r="I7794" s="6" t="n">
        <f aca="false">Sens!I7771*self_build*tk_cxfac/1000</f>
        <v>24.4782641361767</v>
      </c>
      <c r="J7794" s="6" t="n">
        <f aca="false">Sens!J7771*self_build*tk_cxfac/1000</f>
        <v>14.9008938380769</v>
      </c>
      <c r="K7794" s="6" t="n">
        <f aca="false">Sens!K7771*self_build*tk_cxfac/1000</f>
        <v>5.52576771375761</v>
      </c>
    </row>
    <row r="7795" customFormat="false" ht="17.15" hidden="false" customHeight="false" outlineLevel="0" collapsed="false">
      <c r="A7795" s="0" t="s">
        <v>997</v>
      </c>
      <c r="B7795" s="0" t="s">
        <v>98</v>
      </c>
      <c r="F7795" s="15" t="n">
        <f aca="false">capex_floor27-Sens!F7793-Sens!F7794-Sens!F7891</f>
        <v>-0.137245590820164</v>
      </c>
      <c r="L7795" s="12" t="s">
        <v>998</v>
      </c>
    </row>
    <row r="7796" customFormat="false" ht="17.15" hidden="false" customHeight="false" outlineLevel="0" collapsed="false">
      <c r="A7796" s="0" t="s">
        <v>999</v>
      </c>
      <c r="B7796" s="0" t="s">
        <v>98</v>
      </c>
      <c r="F7796" s="6" t="n">
        <f aca="false">MAX(0,Sens!F7795)</f>
        <v>0</v>
      </c>
    </row>
    <row r="7797" customFormat="false" ht="17.15" hidden="false" customHeight="false" outlineLevel="0" collapsed="false">
      <c r="A7797" s="0" t="s">
        <v>1000</v>
      </c>
      <c r="B7797" s="0" t="s">
        <v>98</v>
      </c>
      <c r="C7797" s="6" t="n">
        <f aca="false">Sens!C7793</f>
        <v>22.5333845916667</v>
      </c>
      <c r="D7797" s="6" t="n">
        <f aca="false">Sens!D7793</f>
        <v>34.0300093833333</v>
      </c>
      <c r="E7797" s="6" t="n">
        <f aca="false">Sens!E7793</f>
        <v>67.600153775</v>
      </c>
      <c r="F7797" s="6" t="n">
        <f aca="false">Sens!F7793</f>
        <v>136.51872432512</v>
      </c>
      <c r="G7797" s="6" t="n">
        <f aca="false">Sens!G7793</f>
        <v>157.399275932048</v>
      </c>
      <c r="H7797" s="6" t="n">
        <f aca="false">Sens!H7793</f>
        <v>162.260804347512</v>
      </c>
      <c r="I7797" s="6" t="n">
        <f aca="false">Sens!I7793</f>
        <v>144.136569485434</v>
      </c>
      <c r="J7797" s="6" t="n">
        <f aca="false">Sens!J7793</f>
        <v>114.029037357864</v>
      </c>
      <c r="K7797" s="6" t="n">
        <f aca="false">Sens!K7793</f>
        <v>113.437085350975</v>
      </c>
    </row>
    <row r="7798" customFormat="false" ht="17.15" hidden="false" customHeight="false" outlineLevel="0" collapsed="false">
      <c r="A7798" s="0" t="s">
        <v>1001</v>
      </c>
      <c r="B7798" s="0" t="s">
        <v>98</v>
      </c>
      <c r="C7798" s="6" t="n">
        <f aca="false">Sens!C7797+Sens!C7794</f>
        <v>28.7416845916667</v>
      </c>
      <c r="D7798" s="6" t="n">
        <f aca="false">Sens!D7797+Sens!D7794</f>
        <v>43.4058093833333</v>
      </c>
      <c r="E7798" s="6" t="n">
        <f aca="false">Sens!E7797+Sens!E7794</f>
        <v>86.225053775</v>
      </c>
      <c r="F7798" s="6" t="n">
        <f aca="false">Sens!F7797+Sens!F7794</f>
        <v>168.45390404212</v>
      </c>
      <c r="G7798" s="6" t="n">
        <f aca="false">Sens!G7797+Sens!G7794</f>
        <v>191.944475649048</v>
      </c>
      <c r="H7798" s="6" t="n">
        <f aca="false">Sens!H7797+Sens!H7794</f>
        <v>196.806004064512</v>
      </c>
      <c r="I7798" s="6" t="n">
        <f aca="false">Sens!I7797+Sens!I7794</f>
        <v>168.61483362161</v>
      </c>
      <c r="J7798" s="6" t="n">
        <f aca="false">Sens!J7797+Sens!J7794</f>
        <v>128.92993119594</v>
      </c>
      <c r="K7798" s="6" t="n">
        <f aca="false">Sens!K7797+Sens!K7794</f>
        <v>118.962853064733</v>
      </c>
      <c r="L7798" s="12" t="s">
        <v>1002</v>
      </c>
    </row>
    <row r="7799" customFormat="false" ht="17.15" hidden="false" customHeight="false" outlineLevel="0" collapsed="false">
      <c r="A7799" s="0" t="s">
        <v>1003</v>
      </c>
      <c r="B7799" s="0" t="s">
        <v>98</v>
      </c>
      <c r="E7799" s="6" t="n">
        <f aca="false">(Sens!C7797*IF(2&lt;life_it,1,IF(2=life_it,0.5,0))+Sens!D7797*IF(1&lt;life_it,1,IF(1=life_it,0.5,0))+Sens!E7797*0.5)/life_it</f>
        <v>15.0605784770833</v>
      </c>
      <c r="F7799" s="6" t="n">
        <f aca="false">(Sens!C7797*IF(3&lt;life_it,1,IF(3=life_it,0.5,0))+Sens!D7797*IF(2&lt;life_it,1,IF(2=life_it,0.5,0))+Sens!E7797*IF(1&lt;life_it,1,IF(1=life_it,0.5,0))+Sens!F7797*0.5)/life_it</f>
        <v>32.0704849854266</v>
      </c>
      <c r="G7799" s="6" t="n">
        <f aca="false">(Sens!C7797*IF(4&lt;life_it,1,IF(4=life_it,0.5,0))+Sens!D7797*IF(3&lt;life_it,1,IF(3=life_it,0.5,0))+Sens!E7797*IF(2&lt;life_it,1,IF(2=life_it,0.5,0))+Sens!F7797*IF(1&lt;life_it,1,IF(1=life_it,0.5,0))+Sens!G7797*0.5)/life_it</f>
        <v>56.5636516735239</v>
      </c>
      <c r="H7799" s="6" t="n">
        <f aca="false">(Sens!C7797*IF(5&lt;life_it,1,IF(5=life_it,0.5,0))+Sens!D7797*IF(4&lt;life_it,1,IF(4=life_it,0.5,0))+Sens!E7797*IF(3&lt;life_it,1,IF(3=life_it,0.5,0))+Sens!F7797*IF(2&lt;life_it,1,IF(2=life_it,0.5,0))+Sens!G7797*IF(1&lt;life_it,1,IF(1=life_it,0.5,0))+Sens!H7797*0.5)/life_it</f>
        <v>83.2019916968207</v>
      </c>
      <c r="I7799" s="6" t="n">
        <f aca="false">(Sens!C7797*IF(6&lt;life_it,1,IF(6=life_it,0.5,0))+Sens!D7797*IF(5&lt;life_it,1,IF(5=life_it,0.5,0))+Sens!E7797*IF(4&lt;life_it,1,IF(4=life_it,0.5,0))+Sens!F7797*IF(3&lt;life_it,1,IF(3=life_it,0.5,0))+Sens!G7797*IF(2&lt;life_it,1,IF(2=life_it,0.5,0))+Sens!H7797*IF(1&lt;life_it,1,IF(1=life_it,0.5,0))+Sens!I7797*0.5)/life_it</f>
        <v>106.857324133594</v>
      </c>
      <c r="J7799" s="6" t="n">
        <f aca="false">(Sens!C7797*IF(7&lt;life_it,1,IF(7=life_it,0.5,0))+Sens!D7797*IF(6&lt;life_it,1,IF(6=life_it,0.5,0))+Sens!E7797*IF(5&lt;life_it,1,IF(5=life_it,0.5,0))+Sens!F7797*IF(4&lt;life_it,1,IF(4=life_it,0.5,0))+Sens!G7797*IF(3&lt;life_it,1,IF(3=life_it,0.5,0))+Sens!H7797*IF(2&lt;life_it,1,IF(2=life_it,0.5,0))+Sens!I7797*IF(1&lt;life_it,1,IF(1=life_it,0.5,0))+Sens!J7797*0.5)/life_it</f>
        <v>123.657508539285</v>
      </c>
      <c r="K7799" s="6" t="n">
        <f aca="false">(Sens!C7797*IF(8&lt;life_it,1,IF(8=life_it,0.5,0))+Sens!D7797*IF(7&lt;life_it,1,IF(7=life_it,0.5,0))+Sens!E7797*IF(6&lt;life_it,1,IF(6=life_it,0.5,0))+Sens!F7797*IF(5&lt;life_it,1,IF(5=life_it,0.5,0))+Sens!G7797*IF(4&lt;life_it,1,IF(4=life_it,0.5,0))+Sens!H7797*IF(3&lt;life_it,1,IF(3=life_it,0.5,0))+Sens!I7797*IF(2&lt;life_it,1,IF(2=life_it,0.5,0))+Sens!J7797*IF(1&lt;life_it,1,IF(1=life_it,0.5,0))+Sens!K7797*0.5)/life_it</f>
        <v>134.143838501827</v>
      </c>
    </row>
    <row r="7800" customFormat="false" ht="17.15" hidden="false" customHeight="false" outlineLevel="0" collapsed="false">
      <c r="A7800" s="0" t="s">
        <v>1004</v>
      </c>
      <c r="B7800" s="0" t="s">
        <v>98</v>
      </c>
      <c r="E7800" s="6" t="n">
        <f aca="false">(Sens!C7794*IF(2&lt;life_fac,1,IF(2=life_fac,0.5,0))+Sens!D7794*IF(1&lt;life_fac,1,IF(1=life_fac,0.5,0))+Sens!E7794*0.5)/life_fac</f>
        <v>1.2448275</v>
      </c>
      <c r="F7800" s="6" t="n">
        <f aca="false">(Sens!C7794*IF(3&lt;life_fac,1,IF(3=life_fac,0.5,0))+Sens!D7794*IF(2&lt;life_fac,1,IF(2=life_fac,0.5,0))+Sens!E7794*IF(1&lt;life_fac,1,IF(1=life_fac,0.5,0))+Sens!F7794*0.5)/life_fac</f>
        <v>2.508829492925</v>
      </c>
      <c r="G7800" s="6" t="n">
        <f aca="false">(Sens!C7794*IF(4&lt;life_fac,1,IF(4=life_fac,0.5,0))+Sens!D7794*IF(3&lt;life_fac,1,IF(3=life_fac,0.5,0))+Sens!E7794*IF(2&lt;life_fac,1,IF(2=life_fac,0.5,0))+Sens!F7794*IF(1&lt;life_fac,1,IF(1=life_fac,0.5,0))+Sens!G7794*0.5)/life_fac</f>
        <v>4.170838978775</v>
      </c>
      <c r="H7800" s="6" t="n">
        <f aca="false">(Sens!C7794*IF(5&lt;life_fac,1,IF(5=life_fac,0.5,0))+Sens!D7794*IF(4&lt;life_fac,1,IF(4=life_fac,0.5,0))+Sens!E7794*IF(3&lt;life_fac,1,IF(3=life_fac,0.5,0))+Sens!F7794*IF(2&lt;life_fac,1,IF(2=life_fac,0.5,0))+Sens!G7794*IF(1&lt;life_fac,1,IF(1=life_fac,0.5,0))+Sens!H7794*0.5)/life_fac</f>
        <v>5.898098964625</v>
      </c>
      <c r="I7800" s="6" t="n">
        <f aca="false">(Sens!C7794*IF(6&lt;life_fac,1,IF(6=life_fac,0.5,0))+Sens!D7794*IF(5&lt;life_fac,1,IF(5=life_fac,0.5,0))+Sens!E7794*IF(4&lt;life_fac,1,IF(4=life_fac,0.5,0))+Sens!F7794*IF(3&lt;life_fac,1,IF(3=life_fac,0.5,0))+Sens!G7794*IF(2&lt;life_fac,1,IF(2=life_fac,0.5,0))+Sens!H7794*IF(1&lt;life_fac,1,IF(1=life_fac,0.5,0))+Sens!I7794*0.5)/life_fac</f>
        <v>7.37368556095442</v>
      </c>
      <c r="J7800" s="6" t="n">
        <f aca="false">(Sens!C7794*IF(7&lt;life_fac,1,IF(7=life_fac,0.5,0))+Sens!D7794*IF(6&lt;life_fac,1,IF(6=life_fac,0.5,0))+Sens!E7794*IF(5&lt;life_fac,1,IF(5=life_fac,0.5,0))+Sens!F7794*IF(4&lt;life_fac,1,IF(4=life_fac,0.5,0))+Sens!G7794*IF(3&lt;life_fac,1,IF(3=life_fac,0.5,0))+Sens!H7794*IF(2&lt;life_fac,1,IF(2=life_fac,0.5,0))+Sens!I7794*IF(1&lt;life_fac,1,IF(1=life_fac,0.5,0))+Sens!J7794*0.5)/life_fac</f>
        <v>8.35816451031075</v>
      </c>
      <c r="K7800" s="6" t="n">
        <f aca="false">(Sens!C7794*IF(8&lt;life_fac,1,IF(8=life_fac,0.5,0))+Sens!D7794*IF(7&lt;life_fac,1,IF(7=life_fac,0.5,0))+Sens!E7794*IF(6&lt;life_fac,1,IF(6=life_fac,0.5,0))+Sens!F7794*IF(5&lt;life_fac,1,IF(5=life_fac,0.5,0))+Sens!G7794*IF(4&lt;life_fac,1,IF(4=life_fac,0.5,0))+Sens!H7794*IF(3&lt;life_fac,1,IF(3=life_fac,0.5,0))+Sens!I7794*IF(2&lt;life_fac,1,IF(2=life_fac,0.5,0))+Sens!J7794*IF(1&lt;life_fac,1,IF(1=life_fac,0.5,0))+Sens!K7794*0.5)/life_fac</f>
        <v>8.86883104910662</v>
      </c>
    </row>
    <row r="7801" customFormat="false" ht="17.15" hidden="false" customHeight="false" outlineLevel="0" collapsed="false">
      <c r="A7801" s="0" t="s">
        <v>1005</v>
      </c>
      <c r="B7801" s="0" t="s">
        <v>98</v>
      </c>
      <c r="E7801" s="6" t="n">
        <f aca="false">Sens!E7799+Sens!E7800</f>
        <v>16.3054059770833</v>
      </c>
      <c r="F7801" s="6" t="n">
        <f aca="false">Sens!F7799+Sens!F7800</f>
        <v>34.5793144783516</v>
      </c>
      <c r="G7801" s="6" t="n">
        <f aca="false">Sens!G7799+Sens!G7800</f>
        <v>60.7344906522989</v>
      </c>
      <c r="H7801" s="6" t="n">
        <f aca="false">Sens!H7799+Sens!H7800</f>
        <v>89.1000906614457</v>
      </c>
      <c r="I7801" s="6" t="n">
        <f aca="false">Sens!I7799+Sens!I7800</f>
        <v>114.231009694548</v>
      </c>
      <c r="J7801" s="6" t="n">
        <f aca="false">Sens!J7799+Sens!J7800</f>
        <v>132.015673049596</v>
      </c>
      <c r="K7801" s="6" t="n">
        <f aca="false">Sens!K7799+Sens!K7800</f>
        <v>143.012669550934</v>
      </c>
    </row>
    <row r="7802" customFormat="false" ht="17.15" hidden="false" customHeight="false" outlineLevel="0" collapsed="false">
      <c r="A7802" s="0" t="s">
        <v>1006</v>
      </c>
      <c r="B7802" s="0" t="s">
        <v>98</v>
      </c>
      <c r="E7802" s="6" t="n">
        <f aca="false">Sens!E7789-Sens!E7788*Sens!E7801</f>
        <v>8.92707889977379</v>
      </c>
      <c r="F7802" s="6" t="n">
        <f aca="false">Sens!F7789-Sens!F7788*Sens!F7801</f>
        <v>14.3471335960079</v>
      </c>
      <c r="G7802" s="6" t="n">
        <f aca="false">Sens!G7789-Sens!G7788*Sens!G7801</f>
        <v>16.5202976798683</v>
      </c>
      <c r="H7802" s="6" t="n">
        <f aca="false">Sens!H7789-Sens!H7788*Sens!H7801</f>
        <v>12.9805278875331</v>
      </c>
      <c r="I7802" s="6" t="n">
        <f aca="false">Sens!I7789-Sens!I7788*Sens!I7801</f>
        <v>16.2363335770989</v>
      </c>
      <c r="J7802" s="6" t="n">
        <f aca="false">Sens!J7789-Sens!J7788*Sens!J7801</f>
        <v>18.4432225839805</v>
      </c>
      <c r="K7802" s="6" t="n">
        <f aca="false">Sens!K7789-Sens!K7788*Sens!K7801</f>
        <v>20.1577566819661</v>
      </c>
    </row>
    <row r="7803" customFormat="false" ht="17.15" hidden="false" customHeight="false" outlineLevel="0" collapsed="false">
      <c r="A7803" s="3" t="s">
        <v>1806</v>
      </c>
    </row>
    <row r="7804" customFormat="false" ht="15" hidden="false" customHeight="false" outlineLevel="0" collapsed="false">
      <c r="A7804" s="4" t="s">
        <v>43</v>
      </c>
      <c r="B7804" s="4" t="s">
        <v>65</v>
      </c>
      <c r="C7804" s="23" t="s">
        <v>942</v>
      </c>
      <c r="D7804" s="23" t="s">
        <v>943</v>
      </c>
      <c r="E7804" s="23" t="s">
        <v>944</v>
      </c>
      <c r="F7804" s="23" t="s">
        <v>945</v>
      </c>
      <c r="G7804" s="23" t="s">
        <v>946</v>
      </c>
      <c r="H7804" s="23" t="s">
        <v>947</v>
      </c>
      <c r="I7804" s="23" t="s">
        <v>948</v>
      </c>
      <c r="J7804" s="23" t="s">
        <v>949</v>
      </c>
      <c r="K7804" s="23" t="s">
        <v>950</v>
      </c>
      <c r="L7804" s="4" t="s">
        <v>47</v>
      </c>
    </row>
    <row r="7805" customFormat="false" ht="17.15" hidden="false" customHeight="false" outlineLevel="0" collapsed="false">
      <c r="A7805" s="0" t="s">
        <v>1025</v>
      </c>
      <c r="B7805" s="0" t="s">
        <v>98</v>
      </c>
      <c r="D7805" s="6" t="n">
        <f aca="false">Sens!D7783</f>
        <v>12.9359794422418</v>
      </c>
      <c r="E7805" s="6" t="n">
        <f aca="false">Sens!E7783</f>
        <v>27.8095064661409</v>
      </c>
      <c r="F7805" s="6" t="n">
        <f aca="false">Sens!F7783</f>
        <v>50.9819294352312</v>
      </c>
      <c r="G7805" s="6" t="n">
        <f aca="false">Sens!G7783</f>
        <v>76.6920436014933</v>
      </c>
      <c r="H7805" s="6" t="n">
        <f aca="false">Sens!H7783</f>
        <v>97.4495379418341</v>
      </c>
      <c r="I7805" s="6" t="n">
        <f aca="false">Sens!I7783</f>
        <v>122.083445553868</v>
      </c>
      <c r="J7805" s="6" t="n">
        <f aca="false">Sens!J7783</f>
        <v>139.249060444804</v>
      </c>
      <c r="K7805" s="6" t="n">
        <f aca="false">Sens!K7783</f>
        <v>149.995818575589</v>
      </c>
    </row>
    <row r="7806" customFormat="false" ht="17.15" hidden="false" customHeight="false" outlineLevel="0" collapsed="false">
      <c r="A7806" s="0" t="s">
        <v>1026</v>
      </c>
      <c r="B7806" s="0" t="s">
        <v>98</v>
      </c>
      <c r="D7806" s="6" t="n">
        <f aca="false">Q!L6-Sens!D7805</f>
        <v>59.6740205577583</v>
      </c>
      <c r="E7806" s="6" t="n">
        <f aca="false">Q!M6-Sens!E7805</f>
        <v>74.1284935338591</v>
      </c>
      <c r="F7806" s="6" t="n">
        <f aca="false">Q!$I$6+(Sens!F7805+Sens!E7806*(1+Sens!F7807))*(1-Q!$E$6/Q!M6)-Sens!F7805</f>
        <v>92.2699541184664</v>
      </c>
      <c r="G7806" s="6" t="n">
        <f aca="false">Sens!F7806*(1+Sens!G7807)</f>
        <v>109.630477277949</v>
      </c>
      <c r="H7806" s="6" t="n">
        <f aca="false">Sens!G7806*(1+Sens!H7807)</f>
        <v>127.293256321956</v>
      </c>
      <c r="I7806" s="6" t="n">
        <f aca="false">Sens!H7806*(1+Sens!I7807)</f>
        <v>144.360052269491</v>
      </c>
      <c r="J7806" s="6" t="n">
        <f aca="false">Sens!I7806*(1+Sens!J7807)</f>
        <v>159.811964490216</v>
      </c>
      <c r="K7806" s="6" t="n">
        <f aca="false">Sens!J7806*(1+Sens!K7807)</f>
        <v>172.596921649434</v>
      </c>
      <c r="L7806" s="12" t="s">
        <v>1027</v>
      </c>
    </row>
    <row r="7807" customFormat="false" ht="15" hidden="false" customHeight="false" outlineLevel="0" collapsed="false">
      <c r="A7807" s="1" t="s">
        <v>1028</v>
      </c>
      <c r="B7807" s="0" t="s">
        <v>168</v>
      </c>
      <c r="E7807" s="7" t="n">
        <f aca="false">Sens!E7806/Sens!D7806-1</f>
        <v>0.242223883039864</v>
      </c>
      <c r="F7807" s="7" t="n">
        <f aca="false">Sens!$E$7807+(glt_azo-Sens!$E$7807)*MIN(1,(Sens!F7764-base_fy)/n_conv)</f>
        <v>0.215186569199887</v>
      </c>
      <c r="G7807" s="7" t="n">
        <f aca="false">Sens!$E$7807+(glt_azo-Sens!$E$7807)*MIN(1,(Sens!G7764-base_fy)/n_conv)</f>
        <v>0.18814925535991</v>
      </c>
      <c r="H7807" s="7" t="n">
        <f aca="false">Sens!$E$7807+(glt_azo-Sens!$E$7807)*MIN(1,(Sens!H7764-base_fy)/n_conv)</f>
        <v>0.161111941519932</v>
      </c>
      <c r="I7807" s="7" t="n">
        <f aca="false">Sens!$E$7807+(glt_azo-Sens!$E$7807)*MIN(1,(Sens!I7764-base_fy)/n_conv)</f>
        <v>0.134074627679955</v>
      </c>
      <c r="J7807" s="7" t="n">
        <f aca="false">Sens!$E$7807+(glt_azo-Sens!$E$7807)*MIN(1,(Sens!J7764-base_fy)/n_conv)</f>
        <v>0.107037313839977</v>
      </c>
      <c r="K7807" s="7" t="n">
        <f aca="false">Sens!$E$7807+(glt_azo-Sens!$E$7807)*MIN(1,(Sens!K7764-base_fy)/n_conv)</f>
        <v>0.08</v>
      </c>
    </row>
    <row r="7808" customFormat="false" ht="15" hidden="false" customHeight="false" outlineLevel="0" collapsed="false">
      <c r="A7808" s="0" t="s">
        <v>1029</v>
      </c>
      <c r="B7808" s="0" t="s">
        <v>98</v>
      </c>
      <c r="D7808" s="6" t="n">
        <f aca="false">Sens!D7805+Sens!D7806</f>
        <v>72.61</v>
      </c>
      <c r="E7808" s="6" t="n">
        <f aca="false">Sens!E7805+Sens!E7806</f>
        <v>101.938</v>
      </c>
      <c r="F7808" s="6" t="n">
        <f aca="false">Sens!F7805+Sens!F7806</f>
        <v>143.251883553698</v>
      </c>
      <c r="G7808" s="6" t="n">
        <f aca="false">Sens!G7805+Sens!G7806</f>
        <v>186.322520879442</v>
      </c>
      <c r="H7808" s="6" t="n">
        <f aca="false">Sens!H7805+Sens!H7806</f>
        <v>224.74279426379</v>
      </c>
      <c r="I7808" s="6" t="n">
        <f aca="false">Sens!I7805+Sens!I7806</f>
        <v>266.443497823359</v>
      </c>
      <c r="J7808" s="6" t="n">
        <f aca="false">Sens!J7805+Sens!J7806</f>
        <v>299.06102493502</v>
      </c>
      <c r="K7808" s="6" t="n">
        <f aca="false">Sens!K7805+Sens!K7806</f>
        <v>322.592740225023</v>
      </c>
    </row>
    <row r="7809" customFormat="false" ht="17.15" hidden="false" customHeight="false" outlineLevel="0" collapsed="false">
      <c r="A7809" s="0" t="s">
        <v>1030</v>
      </c>
      <c r="B7809" s="1" t="s">
        <v>613</v>
      </c>
      <c r="C7809" s="30" t="n">
        <f aca="false">cop_s24</f>
        <v>1</v>
      </c>
      <c r="D7809" s="30" t="n">
        <f aca="false">cop_s25</f>
        <v>5</v>
      </c>
      <c r="E7809" s="30" t="n">
        <f aca="false">cop_s26</f>
        <v>30</v>
      </c>
      <c r="F7809" s="30" t="n">
        <f aca="false">Sens!E7809+cop_add_C*1.5</f>
        <v>45</v>
      </c>
      <c r="G7809" s="30" t="n">
        <f aca="false">Sens!F7809+cop_add_C*1.5</f>
        <v>60</v>
      </c>
      <c r="H7809" s="30" t="n">
        <f aca="false">Sens!G7809+cop_add_C*1.5</f>
        <v>75</v>
      </c>
      <c r="I7809" s="30" t="n">
        <f aca="false">Sens!H7809+cop_add_C*1.5*cop_tail</f>
        <v>82.5</v>
      </c>
      <c r="J7809" s="30" t="n">
        <f aca="false">Sens!I7809+cop_add_C*1.5*cop_tail</f>
        <v>90</v>
      </c>
      <c r="K7809" s="30" t="n">
        <f aca="false">Sens!J7809+cop_add_C*1.5*cop_tail</f>
        <v>97.5</v>
      </c>
      <c r="L7809" s="12" t="s">
        <v>1031</v>
      </c>
    </row>
    <row r="7810" customFormat="false" ht="17.15" hidden="false" customHeight="false" outlineLevel="0" collapsed="false">
      <c r="A7810" s="0" t="s">
        <v>1032</v>
      </c>
      <c r="B7810" s="0" t="s">
        <v>98</v>
      </c>
      <c r="D7810" s="6" t="n">
        <f aca="false">(Sens!C7809+Sens!D7809)/2*cop_px*12/1000</f>
        <v>0.9</v>
      </c>
      <c r="E7810" s="6" t="n">
        <f aca="false">(Sens!D7809+Sens!E7809)/2*cop_px*12/1000</f>
        <v>5.25</v>
      </c>
      <c r="F7810" s="6" t="n">
        <f aca="false">(Sens!E7809+Sens!F7809)/2*cop_px*12/1000</f>
        <v>11.25</v>
      </c>
      <c r="G7810" s="6" t="n">
        <f aca="false">(Sens!F7809+Sens!G7809)/2*cop_px*12/1000</f>
        <v>15.75</v>
      </c>
      <c r="H7810" s="6" t="n">
        <f aca="false">(Sens!G7809+Sens!H7809)/2*cop_px*12/1000</f>
        <v>20.25</v>
      </c>
      <c r="I7810" s="6" t="n">
        <f aca="false">(Sens!H7809+Sens!I7809)/2*cop_px*12/1000</f>
        <v>23.625</v>
      </c>
      <c r="J7810" s="6" t="n">
        <f aca="false">(Sens!I7809+Sens!J7809)/2*cop_px*12/1000</f>
        <v>25.875</v>
      </c>
      <c r="K7810" s="6" t="n">
        <f aca="false">(Sens!J7809+Sens!K7809)/2*cop_px*12/1000</f>
        <v>28.125</v>
      </c>
      <c r="L7810" s="1" t="s">
        <v>1033</v>
      </c>
    </row>
    <row r="7811" customFormat="false" ht="17.15" hidden="false" customHeight="false" outlineLevel="0" collapsed="false">
      <c r="A7811" s="0" t="s">
        <v>1034</v>
      </c>
      <c r="B7811" s="0" t="s">
        <v>98</v>
      </c>
      <c r="D7811" s="6" t="n">
        <f aca="false">Q!L7-Sens!D7810</f>
        <v>83.705</v>
      </c>
      <c r="E7811" s="6" t="n">
        <f aca="false">Q!M7-Sens!E7810</f>
        <v>95.049</v>
      </c>
      <c r="F7811" s="6" t="n">
        <f aca="false">Q!$I$7+(Sens!E7811*(1+Sens!F7812)+Sens!F7810)*(1-Q!$E$7/Q!M7)-Sens!F7810</f>
        <v>106.761178943761</v>
      </c>
      <c r="G7811" s="6" t="n">
        <f aca="false">Sens!F7811*(1+Sens!G7812)</f>
        <v>118.898043494744</v>
      </c>
      <c r="H7811" s="6" t="n">
        <f aca="false">Sens!G7811*(1+Sens!H7812)</f>
        <v>131.116218374114</v>
      </c>
      <c r="I7811" s="6" t="n">
        <f aca="false">Sens!H7811*(1+Sens!I7812)</f>
        <v>143.158087675019</v>
      </c>
      <c r="J7811" s="6" t="n">
        <f aca="false">Sens!I7811*(1+Sens!J7812)</f>
        <v>154.742525187072</v>
      </c>
      <c r="K7811" s="6" t="n">
        <f aca="false">Sens!J7811*(1+Sens!K7812)</f>
        <v>165.574501950167</v>
      </c>
      <c r="L7811" s="12" t="s">
        <v>1035</v>
      </c>
    </row>
    <row r="7812" customFormat="false" ht="15" hidden="false" customHeight="false" outlineLevel="0" collapsed="false">
      <c r="A7812" s="1" t="s">
        <v>1028</v>
      </c>
      <c r="B7812" s="0" t="s">
        <v>168</v>
      </c>
      <c r="E7812" s="7" t="n">
        <f aca="false">Sens!E7811/Sens!D7811-1</f>
        <v>0.135523564900544</v>
      </c>
      <c r="F7812" s="7" t="n">
        <f aca="false">Sens!$E$7812+(glt_m365b-Sens!$E$7812)*MIN(1,(Sens!F7764-base_fy)/n_conv)</f>
        <v>0.124602970750453</v>
      </c>
      <c r="G7812" s="7" t="n">
        <f aca="false">Sens!$E$7812+(glt_m365b-Sens!$E$7812)*MIN(1,(Sens!G7764-base_fy)/n_conv)</f>
        <v>0.113682376600363</v>
      </c>
      <c r="H7812" s="7" t="n">
        <f aca="false">Sens!$E$7812+(glt_m365b-Sens!$E$7812)*MIN(1,(Sens!H7764-base_fy)/n_conv)</f>
        <v>0.102761782450272</v>
      </c>
      <c r="I7812" s="7" t="n">
        <f aca="false">Sens!$E$7812+(glt_m365b-Sens!$E$7812)*MIN(1,(Sens!I7764-base_fy)/n_conv)</f>
        <v>0.0918411883001813</v>
      </c>
      <c r="J7812" s="7" t="n">
        <f aca="false">Sens!$E$7812+(glt_m365b-Sens!$E$7812)*MIN(1,(Sens!J7764-base_fy)/n_conv)</f>
        <v>0.0809205941500906</v>
      </c>
      <c r="K7812" s="7" t="n">
        <f aca="false">Sens!$E$7812+(glt_m365b-Sens!$E$7812)*MIN(1,(Sens!K7764-base_fy)/n_conv)</f>
        <v>0.07</v>
      </c>
    </row>
    <row r="7813" customFormat="false" ht="15" hidden="false" customHeight="false" outlineLevel="0" collapsed="false">
      <c r="A7813" s="0" t="s">
        <v>1036</v>
      </c>
      <c r="B7813" s="0" t="s">
        <v>98</v>
      </c>
      <c r="D7813" s="6" t="n">
        <f aca="false">Sens!D7811+Sens!D7810</f>
        <v>84.605</v>
      </c>
      <c r="E7813" s="6" t="n">
        <f aca="false">Sens!E7811+Sens!E7810</f>
        <v>100.299</v>
      </c>
      <c r="F7813" s="6" t="n">
        <f aca="false">Sens!F7811+Sens!F7810</f>
        <v>118.011178943761</v>
      </c>
      <c r="G7813" s="6" t="n">
        <f aca="false">Sens!G7811+Sens!G7810</f>
        <v>134.648043494744</v>
      </c>
      <c r="H7813" s="6" t="n">
        <f aca="false">Sens!H7811+Sens!H7810</f>
        <v>151.366218374114</v>
      </c>
      <c r="I7813" s="6" t="n">
        <f aca="false">Sens!I7811+Sens!I7810</f>
        <v>166.783087675019</v>
      </c>
      <c r="J7813" s="6" t="n">
        <f aca="false">Sens!J7811+Sens!J7810</f>
        <v>180.617525187072</v>
      </c>
      <c r="K7813" s="6" t="n">
        <f aca="false">Sens!K7811+Sens!K7810</f>
        <v>193.699501950167</v>
      </c>
    </row>
    <row r="7814" customFormat="false" ht="17.15" hidden="false" customHeight="false" outlineLevel="0" collapsed="false">
      <c r="A7814" s="0" t="s">
        <v>1037</v>
      </c>
      <c r="B7814" s="0" t="s">
        <v>98</v>
      </c>
      <c r="D7814" s="6" t="n">
        <f aca="false">Q!L8</f>
        <v>35.391</v>
      </c>
      <c r="E7814" s="6" t="n">
        <f aca="false">Q!M8</f>
        <v>37.285</v>
      </c>
      <c r="F7814" s="6" t="n">
        <f aca="false">Q!$I$8+(Q!M8-Q!$E$8)*(1+Sens!F7815)</f>
        <v>38.3851437782675</v>
      </c>
      <c r="G7814" s="6" t="n">
        <f aca="false">Sens!F7814*(1+Sens!G7815)</f>
        <v>40.0105353288615</v>
      </c>
      <c r="H7814" s="6" t="n">
        <f aca="false">Sens!G7814*(1+Sens!H7815)</f>
        <v>41.4812512033683</v>
      </c>
      <c r="I7814" s="6" t="n">
        <f aca="false">Sens!H7814*(1+Sens!I7815)</f>
        <v>42.7743107216329</v>
      </c>
      <c r="J7814" s="6" t="n">
        <f aca="false">Sens!I7814*(1+Sens!J7815)</f>
        <v>43.8687373064601</v>
      </c>
      <c r="K7814" s="6" t="n">
        <f aca="false">Sens!J7814*(1+Sens!K7815)</f>
        <v>44.7461120525893</v>
      </c>
      <c r="L7814" s="12" t="s">
        <v>1038</v>
      </c>
    </row>
    <row r="7815" customFormat="false" ht="15" hidden="false" customHeight="false" outlineLevel="0" collapsed="false">
      <c r="A7815" s="1" t="s">
        <v>1028</v>
      </c>
      <c r="B7815" s="0" t="s">
        <v>168</v>
      </c>
      <c r="E7815" s="7" t="n">
        <f aca="false">Sens!E7814/Sens!D7814-1</f>
        <v>0.0535164307309768</v>
      </c>
      <c r="F7815" s="7" t="n">
        <f aca="false">Sens!$E$7815+(glt_lic-Sens!$E$7815)*MIN(1,(Sens!F7764-base_fy)/n_conv)</f>
        <v>0.0479303589424807</v>
      </c>
      <c r="G7815" s="7" t="n">
        <f aca="false">Sens!$E$7815+(glt_lic-Sens!$E$7815)*MIN(1,(Sens!G7764-base_fy)/n_conv)</f>
        <v>0.0423442871539845</v>
      </c>
      <c r="H7815" s="7" t="n">
        <f aca="false">Sens!$E$7815+(glt_lic-Sens!$E$7815)*MIN(1,(Sens!H7764-base_fy)/n_conv)</f>
        <v>0.0367582153654884</v>
      </c>
      <c r="I7815" s="7" t="n">
        <f aca="false">Sens!$E$7815+(glt_lic-Sens!$E$7815)*MIN(1,(Sens!I7764-base_fy)/n_conv)</f>
        <v>0.0311721435769923</v>
      </c>
      <c r="J7815" s="7" t="n">
        <f aca="false">Sens!$E$7815+(glt_lic-Sens!$E$7815)*MIN(1,(Sens!J7764-base_fy)/n_conv)</f>
        <v>0.0255860717884961</v>
      </c>
      <c r="K7815" s="7" t="n">
        <f aca="false">Sens!$E$7815+(glt_lic-Sens!$E$7815)*MIN(1,(Sens!K7764-base_fy)/n_conv)</f>
        <v>0.02</v>
      </c>
    </row>
    <row r="7816" customFormat="false" ht="17.15" hidden="false" customHeight="false" outlineLevel="0" collapsed="false">
      <c r="A7816" s="0" t="s">
        <v>1039</v>
      </c>
      <c r="B7816" s="0" t="s">
        <v>98</v>
      </c>
      <c r="D7816" s="6" t="n">
        <f aca="false">Q!L9</f>
        <v>18.417</v>
      </c>
      <c r="E7816" s="6" t="n">
        <f aca="false">Q!M9</f>
        <v>20.345</v>
      </c>
      <c r="F7816" s="6" t="n">
        <f aca="false">Q!$I$9+(Q!M9-Q!$E$9)*(1+Sens!F7817)</f>
        <v>22.3161797133988</v>
      </c>
      <c r="G7816" s="6" t="n">
        <f aca="false">Sens!F7816*(1+Sens!G7817)</f>
        <v>24.3943499673233</v>
      </c>
      <c r="H7816" s="6" t="n">
        <f aca="false">Sens!G7816*(1+Sens!H7817)</f>
        <v>26.5250243109019</v>
      </c>
      <c r="I7816" s="6" t="n">
        <f aca="false">Sens!H7816*(1+Sens!I7817)</f>
        <v>28.6884573538181</v>
      </c>
      <c r="J7816" s="6" t="n">
        <f aca="false">Sens!I7816*(1+Sens!J7817)</f>
        <v>30.8624968052127</v>
      </c>
      <c r="K7816" s="6" t="n">
        <f aca="false">Sens!J7816*(1+Sens!K7817)</f>
        <v>33.0228715815776</v>
      </c>
      <c r="L7816" s="12" t="s">
        <v>1038</v>
      </c>
    </row>
    <row r="7817" customFormat="false" ht="15" hidden="false" customHeight="false" outlineLevel="0" collapsed="false">
      <c r="A7817" s="1" t="s">
        <v>1028</v>
      </c>
      <c r="B7817" s="0" t="s">
        <v>168</v>
      </c>
      <c r="E7817" s="7" t="n">
        <f aca="false">Sens!E7816/Sens!D7816-1</f>
        <v>0.104685888038225</v>
      </c>
      <c r="F7817" s="7" t="n">
        <f aca="false">Sens!$E$7817+(glt_ind-Sens!$E$7817)*MIN(1,(Sens!F7764-base_fy)/n_conv)</f>
        <v>0.0989049066985211</v>
      </c>
      <c r="G7817" s="7" t="n">
        <f aca="false">Sens!$E$7817+(glt_ind-Sens!$E$7817)*MIN(1,(Sens!G7764-base_fy)/n_conv)</f>
        <v>0.0931239253588169</v>
      </c>
      <c r="H7817" s="7" t="n">
        <f aca="false">Sens!$E$7817+(glt_ind-Sens!$E$7817)*MIN(1,(Sens!H7764-base_fy)/n_conv)</f>
        <v>0.0873429440191127</v>
      </c>
      <c r="I7817" s="7" t="n">
        <f aca="false">Sens!$E$7817+(glt_ind-Sens!$E$7817)*MIN(1,(Sens!I7764-base_fy)/n_conv)</f>
        <v>0.0815619626794085</v>
      </c>
      <c r="J7817" s="7" t="n">
        <f aca="false">Sens!$E$7817+(glt_ind-Sens!$E$7817)*MIN(1,(Sens!J7764-base_fy)/n_conv)</f>
        <v>0.0757809813397042</v>
      </c>
      <c r="K7817" s="7" t="n">
        <f aca="false">Sens!$E$7817+(glt_ind-Sens!$E$7817)*MIN(1,(Sens!K7764-base_fy)/n_conv)</f>
        <v>0.07</v>
      </c>
    </row>
    <row r="7818" customFormat="false" ht="17.15" hidden="false" customHeight="false" outlineLevel="0" collapsed="false">
      <c r="A7818" s="0" t="s">
        <v>1040</v>
      </c>
      <c r="B7818" s="0" t="s">
        <v>98</v>
      </c>
      <c r="D7818" s="6" t="n">
        <f aca="false">Q!L10</f>
        <v>7.76</v>
      </c>
      <c r="E7818" s="6" t="n">
        <f aca="false">Q!M10</f>
        <v>8.26</v>
      </c>
      <c r="F7818" s="6" t="n">
        <f aca="false">Q!$I$10+(Q!M10-Q!$E$10)*(1+Sens!F7819)</f>
        <v>8.75372082474227</v>
      </c>
      <c r="G7818" s="6" t="n">
        <f aca="false">Sens!F7818*(1+Sens!G7819)</f>
        <v>9.33399324642364</v>
      </c>
      <c r="H7818" s="6" t="n">
        <f aca="false">Sens!G7818*(1+Sens!H7819)</f>
        <v>9.96139155535851</v>
      </c>
      <c r="I7818" s="6" t="n">
        <f aca="false">Sens!H7818*(1+Sens!I7819)</f>
        <v>10.6402039077391</v>
      </c>
      <c r="J7818" s="6" t="n">
        <f aca="false">Sens!I7818*(1+Sens!J7819)</f>
        <v>11.3751458271397</v>
      </c>
      <c r="K7818" s="6" t="n">
        <f aca="false">Sens!J7818*(1+Sens!K7819)</f>
        <v>12.1714060350394</v>
      </c>
      <c r="L7818" s="12" t="s">
        <v>1038</v>
      </c>
    </row>
    <row r="7819" customFormat="false" ht="15" hidden="false" customHeight="false" outlineLevel="0" collapsed="false">
      <c r="A7819" s="1" t="s">
        <v>1028</v>
      </c>
      <c r="B7819" s="0" t="s">
        <v>168</v>
      </c>
      <c r="E7819" s="7" t="n">
        <f aca="false">Sens!E7818/Sens!D7818-1</f>
        <v>0.0644329896907216</v>
      </c>
      <c r="F7819" s="7" t="n">
        <f aca="false">Sens!$E$7819+(glt_fro-Sens!$E$7819)*MIN(1,(Sens!F7764-base_fy)/n_conv)</f>
        <v>0.065360824742268</v>
      </c>
      <c r="G7819" s="7" t="n">
        <f aca="false">Sens!$E$7819+(glt_fro-Sens!$E$7819)*MIN(1,(Sens!G7764-base_fy)/n_conv)</f>
        <v>0.0662886597938144</v>
      </c>
      <c r="H7819" s="7" t="n">
        <f aca="false">Sens!$E$7819+(glt_fro-Sens!$E$7819)*MIN(1,(Sens!H7764-base_fy)/n_conv)</f>
        <v>0.0672164948453608</v>
      </c>
      <c r="I7819" s="7" t="n">
        <f aca="false">Sens!$E$7819+(glt_fro-Sens!$E$7819)*MIN(1,(Sens!I7764-base_fy)/n_conv)</f>
        <v>0.0681443298969072</v>
      </c>
      <c r="J7819" s="7" t="n">
        <f aca="false">Sens!$E$7819+(glt_fro-Sens!$E$7819)*MIN(1,(Sens!J7764-base_fy)/n_conv)</f>
        <v>0.0690721649484536</v>
      </c>
      <c r="K7819" s="7" t="n">
        <f aca="false">Sens!$E$7819+(glt_fro-Sens!$E$7819)*MIN(1,(Sens!K7764-base_fy)/n_conv)</f>
        <v>0.07</v>
      </c>
    </row>
    <row r="7820" customFormat="false" ht="15" hidden="false" customHeight="false" outlineLevel="0" collapsed="false">
      <c r="A7820" s="0" t="s">
        <v>856</v>
      </c>
      <c r="B7820" s="0" t="s">
        <v>98</v>
      </c>
      <c r="D7820" s="6" t="n">
        <f aca="false">Sens!D7808+Sens!D7813+Sens!D7814+Sens!D7816+Sens!D7818</f>
        <v>218.783</v>
      </c>
      <c r="E7820" s="6" t="n">
        <f aca="false">Sens!E7808+Sens!E7813+Sens!E7814+Sens!E7816+Sens!E7818</f>
        <v>268.127</v>
      </c>
      <c r="F7820" s="6" t="n">
        <f aca="false">Sens!F7808+Sens!F7813+Sens!F7814+Sens!F7816+Sens!F7818</f>
        <v>330.718106813867</v>
      </c>
      <c r="G7820" s="6" t="n">
        <f aca="false">Sens!G7808+Sens!G7813+Sens!G7814+Sens!G7816+Sens!G7818</f>
        <v>394.709442916795</v>
      </c>
      <c r="H7820" s="6" t="n">
        <f aca="false">Sens!H7808+Sens!H7813+Sens!H7814+Sens!H7816+Sens!H7818</f>
        <v>454.076679707533</v>
      </c>
      <c r="I7820" s="6" t="n">
        <f aca="false">Sens!I7808+Sens!I7813+Sens!I7814+Sens!I7816+Sens!I7818</f>
        <v>515.329557481568</v>
      </c>
      <c r="J7820" s="6" t="n">
        <f aca="false">Sens!J7808+Sens!J7813+Sens!J7814+Sens!J7816+Sens!J7818</f>
        <v>565.784930060905</v>
      </c>
      <c r="K7820" s="6" t="n">
        <f aca="false">Sens!K7808+Sens!K7813+Sens!K7814+Sens!K7816+Sens!K7818</f>
        <v>606.232631844397</v>
      </c>
    </row>
    <row r="7821" customFormat="false" ht="17.15" hidden="false" customHeight="false" outlineLevel="0" collapsed="false">
      <c r="A7821" s="0" t="s">
        <v>1041</v>
      </c>
      <c r="B7821" s="0" t="s">
        <v>98</v>
      </c>
      <c r="D7821" s="6" t="n">
        <f aca="false">Q!L13</f>
        <v>22.171</v>
      </c>
      <c r="E7821" s="6" t="n">
        <f aca="false">Q!M13</f>
        <v>24.835</v>
      </c>
      <c r="F7821" s="6" t="n">
        <f aca="false">Q!$I$13+(Q!M13-Q!$E$13)*(1+Sens!F7822)</f>
        <v>27.5591895660247</v>
      </c>
      <c r="G7821" s="6" t="n">
        <f aca="false">Sens!F7821*(1+Sens!G7822)</f>
        <v>30.4098563144583</v>
      </c>
      <c r="H7821" s="6" t="n">
        <f aca="false">Sens!G7821*(1+Sens!H7822)</f>
        <v>33.3011792571777</v>
      </c>
      <c r="I7821" s="6" t="n">
        <f aca="false">Sens!H7821*(1+Sens!I7822)</f>
        <v>36.189023797112</v>
      </c>
      <c r="J7821" s="6" t="n">
        <f aca="false">Sens!I7821*(1+Sens!J7822)</f>
        <v>39.0247773769199</v>
      </c>
      <c r="K7821" s="6" t="n">
        <f aca="false">Sens!J7821*(1+Sens!K7822)</f>
        <v>41.7565117933043</v>
      </c>
      <c r="L7821" s="12" t="s">
        <v>1038</v>
      </c>
    </row>
    <row r="7822" customFormat="false" ht="15" hidden="false" customHeight="false" outlineLevel="0" collapsed="false">
      <c r="A7822" s="1" t="s">
        <v>1028</v>
      </c>
      <c r="B7822" s="0" t="s">
        <v>168</v>
      </c>
      <c r="E7822" s="7" t="n">
        <f aca="false">Sens!E7821/Sens!D7821-1</f>
        <v>0.120156961796942</v>
      </c>
      <c r="F7822" s="7" t="n">
        <f aca="false">Sens!$E$7822+(glt_srch-Sens!$E$7822)*MIN(1,(Sens!F7764-base_fy)/n_conv)</f>
        <v>0.111797468164118</v>
      </c>
      <c r="G7822" s="7" t="n">
        <f aca="false">Sens!$E$7822+(glt_srch-Sens!$E$7822)*MIN(1,(Sens!G7764-base_fy)/n_conv)</f>
        <v>0.103437974531295</v>
      </c>
      <c r="H7822" s="7" t="n">
        <f aca="false">Sens!$E$7822+(glt_srch-Sens!$E$7822)*MIN(1,(Sens!H7764-base_fy)/n_conv)</f>
        <v>0.095078480898471</v>
      </c>
      <c r="I7822" s="7" t="n">
        <f aca="false">Sens!$E$7822+(glt_srch-Sens!$E$7822)*MIN(1,(Sens!I7764-base_fy)/n_conv)</f>
        <v>0.0867189872656474</v>
      </c>
      <c r="J7822" s="7" t="n">
        <f aca="false">Sens!$E$7822+(glt_srch-Sens!$E$7822)*MIN(1,(Sens!J7764-base_fy)/n_conv)</f>
        <v>0.0783594936328237</v>
      </c>
      <c r="K7822" s="7" t="n">
        <f aca="false">Sens!$E$7822+(glt_srch-Sens!$E$7822)*MIN(1,(Sens!K7764-base_fy)/n_conv)</f>
        <v>0.07</v>
      </c>
    </row>
    <row r="7823" customFormat="false" ht="17.15" hidden="false" customHeight="false" outlineLevel="0" collapsed="false">
      <c r="A7823" s="0" t="s">
        <v>1042</v>
      </c>
      <c r="B7823" s="0" t="s">
        <v>98</v>
      </c>
      <c r="D7823" s="6" t="n">
        <f aca="false">Q!L14</f>
        <v>23.455</v>
      </c>
      <c r="E7823" s="6" t="n">
        <f aca="false">Q!M14</f>
        <v>21.79</v>
      </c>
      <c r="F7823" s="6" t="n">
        <f aca="false">Q!$I$14+(Q!M14-Q!$E$14)*(1+Sens!F7824)</f>
        <v>20.7520981041711</v>
      </c>
      <c r="G7823" s="6" t="n">
        <f aca="false">Sens!F7823*(1+Sens!G7824)</f>
        <v>19.9083593495882</v>
      </c>
      <c r="H7823" s="6" t="n">
        <f aca="false">Sens!G7823*(1+Sens!H7824)</f>
        <v>19.4008256265831</v>
      </c>
      <c r="I7823" s="6" t="n">
        <f aca="false">Sens!H7823*(1+Sens!I7824)</f>
        <v>19.200434522122</v>
      </c>
      <c r="J7823" s="6" t="n">
        <f aca="false">Sens!I7823*(1+Sens!J7824)</f>
        <v>19.2932782348507</v>
      </c>
      <c r="K7823" s="6" t="n">
        <f aca="false">Sens!J7823*(1+Sens!K7824)</f>
        <v>19.6791437995477</v>
      </c>
      <c r="L7823" s="12" t="s">
        <v>1038</v>
      </c>
    </row>
    <row r="7824" customFormat="false" ht="15" hidden="false" customHeight="false" outlineLevel="0" collapsed="false">
      <c r="A7824" s="1" t="s">
        <v>1028</v>
      </c>
      <c r="B7824" s="0" t="s">
        <v>168</v>
      </c>
      <c r="E7824" s="7" t="n">
        <f aca="false">Sens!E7823/Sens!D7823-1</f>
        <v>-0.0709869963760392</v>
      </c>
      <c r="F7824" s="7" t="n">
        <f aca="false">Sens!$E$7824+(glt_xbox-Sens!$E$7824)*MIN(1,(Sens!F7764-base_fy)/n_conv)</f>
        <v>-0.0558224969800327</v>
      </c>
      <c r="G7824" s="7" t="n">
        <f aca="false">Sens!$E$7824+(glt_xbox-Sens!$E$7824)*MIN(1,(Sens!G7764-base_fy)/n_conv)</f>
        <v>-0.0406579975840262</v>
      </c>
      <c r="H7824" s="7" t="n">
        <f aca="false">Sens!$E$7824+(glt_xbox-Sens!$E$7824)*MIN(1,(Sens!H7764-base_fy)/n_conv)</f>
        <v>-0.0254934981880196</v>
      </c>
      <c r="I7824" s="7" t="n">
        <f aca="false">Sens!$E$7824+(glt_xbox-Sens!$E$7824)*MIN(1,(Sens!I7764-base_fy)/n_conv)</f>
        <v>-0.0103289987920131</v>
      </c>
      <c r="J7824" s="7" t="n">
        <f aca="false">Sens!$E$7824+(glt_xbox-Sens!$E$7824)*MIN(1,(Sens!J7764-base_fy)/n_conv)</f>
        <v>0.00483550060399347</v>
      </c>
      <c r="K7824" s="7" t="n">
        <f aca="false">Sens!$E$7824+(glt_xbox-Sens!$E$7824)*MIN(1,(Sens!K7764-base_fy)/n_conv)</f>
        <v>0.02</v>
      </c>
    </row>
    <row r="7825" customFormat="false" ht="17.15" hidden="false" customHeight="false" outlineLevel="0" collapsed="false">
      <c r="A7825" s="0" t="s">
        <v>1043</v>
      </c>
      <c r="B7825" s="0" t="s">
        <v>98</v>
      </c>
      <c r="D7825" s="6" t="n">
        <f aca="false">Q!L15</f>
        <v>17.315</v>
      </c>
      <c r="E7825" s="6" t="n">
        <f aca="false">Q!M15</f>
        <v>17.087</v>
      </c>
      <c r="F7825" s="6" t="n">
        <f aca="false">Q!$I$15+(Q!M15-Q!$E$15)*(1+Sens!F7826)</f>
        <v>15.9912273250553</v>
      </c>
      <c r="G7825" s="6" t="n">
        <f aca="false">Sens!F7825*(1+Sens!G7826)</f>
        <v>15.9574562664827</v>
      </c>
      <c r="H7825" s="6" t="n">
        <f aca="false">Sens!G7825*(1+Sens!H7826)</f>
        <v>16.0119687434196</v>
      </c>
      <c r="I7825" s="6" t="n">
        <f aca="false">Sens!H7825*(1+Sens!I7826)</f>
        <v>16.1551810001948</v>
      </c>
      <c r="J7825" s="6" t="n">
        <f aca="false">Sens!I7825*(1+Sens!J7826)</f>
        <v>16.3889793892005</v>
      </c>
      <c r="K7825" s="6" t="n">
        <f aca="false">Sens!J7825*(1+Sens!K7826)</f>
        <v>16.7167589769845</v>
      </c>
      <c r="L7825" s="12" t="s">
        <v>1038</v>
      </c>
    </row>
    <row r="7826" customFormat="false" ht="15" hidden="false" customHeight="false" outlineLevel="0" collapsed="false">
      <c r="A7826" s="1" t="s">
        <v>1028</v>
      </c>
      <c r="B7826" s="0" t="s">
        <v>168</v>
      </c>
      <c r="E7826" s="7" t="n">
        <f aca="false">Sens!E7825/Sens!D7825-1</f>
        <v>-0.0131677736066995</v>
      </c>
      <c r="F7826" s="7" t="n">
        <f aca="false">Sens!$E$7826+(glt_win-Sens!$E$7826)*MIN(1,(Sens!F7764-base_fy)/n_conv)</f>
        <v>-0.00763981133891627</v>
      </c>
      <c r="G7826" s="7" t="n">
        <f aca="false">Sens!$E$7826+(glt_win-Sens!$E$7826)*MIN(1,(Sens!G7764-base_fy)/n_conv)</f>
        <v>-0.00211184907113301</v>
      </c>
      <c r="H7826" s="7" t="n">
        <f aca="false">Sens!$E$7826+(glt_win-Sens!$E$7826)*MIN(1,(Sens!H7764-base_fy)/n_conv)</f>
        <v>0.00341611319665024</v>
      </c>
      <c r="I7826" s="7" t="n">
        <f aca="false">Sens!$E$7826+(glt_win-Sens!$E$7826)*MIN(1,(Sens!I7764-base_fy)/n_conv)</f>
        <v>0.00894407546443349</v>
      </c>
      <c r="J7826" s="7" t="n">
        <f aca="false">Sens!$E$7826+(glt_win-Sens!$E$7826)*MIN(1,(Sens!J7764-base_fy)/n_conv)</f>
        <v>0.0144720377322168</v>
      </c>
      <c r="K7826" s="7" t="n">
        <f aca="false">Sens!$E$7826+(glt_win-Sens!$E$7826)*MIN(1,(Sens!K7764-base_fy)/n_conv)</f>
        <v>0.02</v>
      </c>
    </row>
    <row r="7827" customFormat="false" ht="15" hidden="false" customHeight="false" outlineLevel="0" collapsed="false">
      <c r="A7827" s="0" t="s">
        <v>870</v>
      </c>
      <c r="B7827" s="0" t="s">
        <v>98</v>
      </c>
      <c r="D7827" s="6" t="n">
        <f aca="false">Sens!D7821+Sens!D7823+Sens!D7825</f>
        <v>62.941</v>
      </c>
      <c r="E7827" s="6" t="n">
        <f aca="false">Sens!E7821+Sens!E7823+Sens!E7825</f>
        <v>63.712</v>
      </c>
      <c r="F7827" s="6" t="n">
        <f aca="false">Sens!F7821+Sens!F7823+Sens!F7825</f>
        <v>64.3025149952511</v>
      </c>
      <c r="G7827" s="6" t="n">
        <f aca="false">Sens!G7821+Sens!G7823+Sens!G7825</f>
        <v>66.2756719305292</v>
      </c>
      <c r="H7827" s="6" t="n">
        <f aca="false">Sens!H7821+Sens!H7823+Sens!H7825</f>
        <v>68.7139736271804</v>
      </c>
      <c r="I7827" s="6" t="n">
        <f aca="false">Sens!I7821+Sens!I7823+Sens!I7825</f>
        <v>71.5446393194289</v>
      </c>
      <c r="J7827" s="6" t="n">
        <f aca="false">Sens!J7821+Sens!J7823+Sens!J7825</f>
        <v>74.707035000971</v>
      </c>
      <c r="K7827" s="6" t="n">
        <f aca="false">Sens!K7821+Sens!K7823+Sens!K7825</f>
        <v>78.1524145698365</v>
      </c>
    </row>
    <row r="7828" customFormat="false" ht="15" hidden="false" customHeight="false" outlineLevel="0" collapsed="false">
      <c r="A7828" s="1" t="s">
        <v>1044</v>
      </c>
      <c r="B7828" s="0" t="s">
        <v>98</v>
      </c>
      <c r="D7828" s="6" t="n">
        <f aca="false">Sens!D7820+Sens!D7827</f>
        <v>281.724</v>
      </c>
      <c r="E7828" s="6" t="n">
        <f aca="false">Sens!E7820+Sens!E7827</f>
        <v>331.839</v>
      </c>
      <c r="F7828" s="6" t="n">
        <f aca="false">Sens!F7820+Sens!F7827</f>
        <v>395.020621809119</v>
      </c>
      <c r="G7828" s="6" t="n">
        <f aca="false">Sens!G7820+Sens!G7827</f>
        <v>460.985114847324</v>
      </c>
      <c r="H7828" s="6" t="n">
        <f aca="false">Sens!H7820+Sens!H7827</f>
        <v>522.790653334713</v>
      </c>
      <c r="I7828" s="6" t="n">
        <f aca="false">Sens!I7820+Sens!I7827</f>
        <v>586.874196800997</v>
      </c>
      <c r="J7828" s="6" t="n">
        <f aca="false">Sens!J7820+Sens!J7827</f>
        <v>640.491965061876</v>
      </c>
      <c r="K7828" s="6" t="n">
        <f aca="false">Sens!K7820+Sens!K7827</f>
        <v>684.385046414233</v>
      </c>
    </row>
    <row r="7829" customFormat="false" ht="15" hidden="false" customHeight="false" outlineLevel="0" collapsed="false">
      <c r="A7829" s="26" t="s">
        <v>1045</v>
      </c>
      <c r="B7829" s="31" t="s">
        <v>98</v>
      </c>
      <c r="C7829" s="31"/>
      <c r="D7829" s="27" t="n">
        <f aca="false">(Sens!D7808+Sens!D7813+Sens!D7814+Sens!D7816+Sens!D7818-Sens!D7820)+(Sens!D7821+Sens!D7823+Sens!D7825-Sens!D7827)+(Sens!D7820-Q!L5)+(Sens!D7827-Q!L12)+(Sens!D7808-Q!L6)+(Sens!D7813-Q!L7)</f>
        <v>0</v>
      </c>
      <c r="E7829" s="27" t="n">
        <f aca="false">(Sens!E7808+Sens!E7813+Sens!E7814+Sens!E7816+Sens!E7818-Sens!E7820)+(Sens!E7821+Sens!E7823+Sens!E7825-Sens!E7827)+(Sens!E7820-Q!M5)+(Sens!E7827-Q!M12)+(Sens!E7808-Q!M6)+(Sens!E7813-Q!M7)</f>
        <v>0</v>
      </c>
      <c r="F7829" s="27" t="n">
        <f aca="false">(Sens!F7808+Sens!F7813+Sens!F7814+Sens!F7816+Sens!F7818-Sens!F7820)+(Sens!F7821+Sens!F7823+Sens!F7825-Sens!F7827)</f>
        <v>0</v>
      </c>
      <c r="G7829" s="27" t="n">
        <f aca="false">(Sens!G7808+Sens!G7813+Sens!G7814+Sens!G7816+Sens!G7818-Sens!G7820)+(Sens!G7821+Sens!G7823+Sens!G7825-Sens!G7827)</f>
        <v>0</v>
      </c>
      <c r="H7829" s="27" t="n">
        <f aca="false">(Sens!H7808+Sens!H7813+Sens!H7814+Sens!H7816+Sens!H7818-Sens!H7820)+(Sens!H7821+Sens!H7823+Sens!H7825-Sens!H7827)</f>
        <v>0</v>
      </c>
      <c r="I7829" s="27" t="n">
        <f aca="false">(Sens!I7808+Sens!I7813+Sens!I7814+Sens!I7816+Sens!I7818-Sens!I7820)+(Sens!I7821+Sens!I7823+Sens!I7825-Sens!I7827)</f>
        <v>0</v>
      </c>
      <c r="J7829" s="27" t="n">
        <f aca="false">(Sens!J7808+Sens!J7813+Sens!J7814+Sens!J7816+Sens!J7818-Sens!J7820)+(Sens!J7821+Sens!J7823+Sens!J7825-Sens!J7827)</f>
        <v>0</v>
      </c>
      <c r="K7829" s="27" t="n">
        <f aca="false">(Sens!K7808+Sens!K7813+Sens!K7814+Sens!K7816+Sens!K7818-Sens!K7820)+(Sens!K7821+Sens!K7823+Sens!K7825-Sens!K7827)</f>
        <v>0</v>
      </c>
    </row>
    <row r="7830" customFormat="false" ht="17.15" hidden="false" customHeight="false" outlineLevel="0" collapsed="false">
      <c r="A7830" s="3" t="s">
        <v>1807</v>
      </c>
    </row>
    <row r="7831" customFormat="false" ht="15" hidden="false" customHeight="false" outlineLevel="0" collapsed="false">
      <c r="A7831" s="4" t="s">
        <v>43</v>
      </c>
      <c r="B7831" s="4" t="s">
        <v>65</v>
      </c>
      <c r="C7831" s="23" t="s">
        <v>942</v>
      </c>
      <c r="D7831" s="23" t="s">
        <v>943</v>
      </c>
      <c r="E7831" s="23" t="s">
        <v>944</v>
      </c>
      <c r="F7831" s="23" t="s">
        <v>945</v>
      </c>
      <c r="G7831" s="23" t="s">
        <v>946</v>
      </c>
      <c r="H7831" s="23" t="s">
        <v>947</v>
      </c>
      <c r="I7831" s="23" t="s">
        <v>948</v>
      </c>
      <c r="J7831" s="23" t="s">
        <v>949</v>
      </c>
      <c r="K7831" s="23" t="s">
        <v>950</v>
      </c>
      <c r="L7831" s="4" t="s">
        <v>47</v>
      </c>
    </row>
    <row r="7832" customFormat="false" ht="15" hidden="false" customHeight="false" outlineLevel="0" collapsed="false">
      <c r="A7832" s="0" t="s">
        <v>1029</v>
      </c>
      <c r="B7832" s="0" t="s">
        <v>98</v>
      </c>
      <c r="D7832" s="6" t="n">
        <f aca="false">Sens!D7808</f>
        <v>72.61</v>
      </c>
      <c r="E7832" s="6" t="n">
        <f aca="false">Sens!E7808</f>
        <v>101.938</v>
      </c>
      <c r="F7832" s="6" t="n">
        <f aca="false">Sens!F7808</f>
        <v>143.251883553698</v>
      </c>
      <c r="G7832" s="6" t="n">
        <f aca="false">Sens!G7808</f>
        <v>186.322520879442</v>
      </c>
      <c r="H7832" s="6" t="n">
        <f aca="false">Sens!H7808</f>
        <v>224.74279426379</v>
      </c>
      <c r="I7832" s="6" t="n">
        <f aca="false">Sens!I7808</f>
        <v>266.443497823359</v>
      </c>
      <c r="J7832" s="6" t="n">
        <f aca="false">Sens!J7808</f>
        <v>299.06102493502</v>
      </c>
      <c r="K7832" s="6" t="n">
        <f aca="false">Sens!K7808</f>
        <v>322.592740225023</v>
      </c>
    </row>
    <row r="7833" customFormat="false" ht="17.15" hidden="false" customHeight="false" outlineLevel="0" collapsed="false">
      <c r="A7833" s="0" t="s">
        <v>1025</v>
      </c>
      <c r="B7833" s="0" t="s">
        <v>98</v>
      </c>
      <c r="D7833" s="6" t="n">
        <f aca="false">Sens!D7805</f>
        <v>12.9359794422418</v>
      </c>
      <c r="E7833" s="6" t="n">
        <f aca="false">Sens!E7805</f>
        <v>27.8095064661409</v>
      </c>
      <c r="F7833" s="6" t="n">
        <f aca="false">Sens!F7805</f>
        <v>50.9819294352312</v>
      </c>
      <c r="G7833" s="6" t="n">
        <f aca="false">Sens!G7805</f>
        <v>76.6920436014933</v>
      </c>
      <c r="H7833" s="6" t="n">
        <f aca="false">Sens!H7805</f>
        <v>97.4495379418341</v>
      </c>
      <c r="I7833" s="6" t="n">
        <f aca="false">Sens!I7805</f>
        <v>122.083445553868</v>
      </c>
      <c r="J7833" s="6" t="n">
        <f aca="false">Sens!J7805</f>
        <v>139.249060444804</v>
      </c>
      <c r="K7833" s="6" t="n">
        <f aca="false">Sens!K7805</f>
        <v>149.995818575589</v>
      </c>
    </row>
    <row r="7834" customFormat="false" ht="17.15" hidden="false" customHeight="false" outlineLevel="0" collapsed="false">
      <c r="A7834" s="0" t="s">
        <v>1056</v>
      </c>
      <c r="B7834" s="0" t="s">
        <v>98</v>
      </c>
      <c r="D7834" s="6" t="n">
        <f aca="false">Sens!D7806</f>
        <v>59.6740205577583</v>
      </c>
      <c r="E7834" s="6" t="n">
        <f aca="false">Sens!E7806</f>
        <v>74.1284935338591</v>
      </c>
      <c r="F7834" s="6" t="n">
        <f aca="false">Sens!F7806</f>
        <v>92.2699541184664</v>
      </c>
      <c r="G7834" s="6" t="n">
        <f aca="false">Sens!G7806</f>
        <v>109.630477277949</v>
      </c>
      <c r="H7834" s="6" t="n">
        <f aca="false">Sens!H7806</f>
        <v>127.293256321956</v>
      </c>
      <c r="I7834" s="6" t="n">
        <f aca="false">Sens!I7806</f>
        <v>144.360052269491</v>
      </c>
      <c r="J7834" s="6" t="n">
        <f aca="false">Sens!J7806</f>
        <v>159.811964490216</v>
      </c>
      <c r="K7834" s="6" t="n">
        <f aca="false">Sens!K7806</f>
        <v>172.596921649434</v>
      </c>
    </row>
    <row r="7835" customFormat="false" ht="15" hidden="false" customHeight="false" outlineLevel="0" collapsed="false">
      <c r="A7835" s="0" t="s">
        <v>1036</v>
      </c>
      <c r="B7835" s="0" t="s">
        <v>98</v>
      </c>
      <c r="D7835" s="6" t="n">
        <f aca="false">Sens!D7813</f>
        <v>84.605</v>
      </c>
      <c r="E7835" s="6" t="n">
        <f aca="false">Sens!E7813</f>
        <v>100.299</v>
      </c>
      <c r="F7835" s="6" t="n">
        <f aca="false">Sens!F7813</f>
        <v>118.011178943761</v>
      </c>
      <c r="G7835" s="6" t="n">
        <f aca="false">Sens!G7813</f>
        <v>134.648043494744</v>
      </c>
      <c r="H7835" s="6" t="n">
        <f aca="false">Sens!H7813</f>
        <v>151.366218374114</v>
      </c>
      <c r="I7835" s="6" t="n">
        <f aca="false">Sens!I7813</f>
        <v>166.783087675019</v>
      </c>
      <c r="J7835" s="6" t="n">
        <f aca="false">Sens!J7813</f>
        <v>180.617525187072</v>
      </c>
      <c r="K7835" s="6" t="n">
        <f aca="false">Sens!K7813</f>
        <v>193.699501950167</v>
      </c>
    </row>
    <row r="7836" customFormat="false" ht="17.15" hidden="false" customHeight="false" outlineLevel="0" collapsed="false">
      <c r="A7836" s="0" t="s">
        <v>1057</v>
      </c>
      <c r="B7836" s="0" t="s">
        <v>98</v>
      </c>
      <c r="D7836" s="6" t="n">
        <f aca="false">Sens!D7811</f>
        <v>83.705</v>
      </c>
      <c r="E7836" s="6" t="n">
        <f aca="false">Sens!E7811</f>
        <v>95.049</v>
      </c>
      <c r="F7836" s="6" t="n">
        <f aca="false">Sens!F7811</f>
        <v>106.761178943761</v>
      </c>
      <c r="G7836" s="6" t="n">
        <f aca="false">Sens!G7811</f>
        <v>118.898043494744</v>
      </c>
      <c r="H7836" s="6" t="n">
        <f aca="false">Sens!H7811</f>
        <v>131.116218374114</v>
      </c>
      <c r="I7836" s="6" t="n">
        <f aca="false">Sens!I7811</f>
        <v>143.158087675019</v>
      </c>
      <c r="J7836" s="6" t="n">
        <f aca="false">Sens!J7811</f>
        <v>154.742525187072</v>
      </c>
      <c r="K7836" s="6" t="n">
        <f aca="false">Sens!K7811</f>
        <v>165.574501950167</v>
      </c>
    </row>
    <row r="7837" customFormat="false" ht="17.15" hidden="false" customHeight="false" outlineLevel="0" collapsed="false">
      <c r="A7837" s="0" t="s">
        <v>1058</v>
      </c>
      <c r="B7837" s="0" t="s">
        <v>98</v>
      </c>
      <c r="D7837" s="6" t="n">
        <f aca="false">Sens!D7810</f>
        <v>0.9</v>
      </c>
      <c r="E7837" s="6" t="n">
        <f aca="false">Sens!E7810</f>
        <v>5.25</v>
      </c>
      <c r="F7837" s="6" t="n">
        <f aca="false">Sens!F7810</f>
        <v>11.25</v>
      </c>
      <c r="G7837" s="6" t="n">
        <f aca="false">Sens!G7810</f>
        <v>15.75</v>
      </c>
      <c r="H7837" s="6" t="n">
        <f aca="false">Sens!H7810</f>
        <v>20.25</v>
      </c>
      <c r="I7837" s="6" t="n">
        <f aca="false">Sens!I7810</f>
        <v>23.625</v>
      </c>
      <c r="J7837" s="6" t="n">
        <f aca="false">Sens!J7810</f>
        <v>25.875</v>
      </c>
      <c r="K7837" s="6" t="n">
        <f aca="false">Sens!K7810</f>
        <v>28.125</v>
      </c>
    </row>
    <row r="7838" customFormat="false" ht="15" hidden="false" customHeight="false" outlineLevel="0" collapsed="false">
      <c r="A7838" s="0" t="s">
        <v>1037</v>
      </c>
      <c r="B7838" s="0" t="s">
        <v>98</v>
      </c>
      <c r="D7838" s="6" t="n">
        <f aca="false">Sens!D7814</f>
        <v>35.391</v>
      </c>
      <c r="E7838" s="6" t="n">
        <f aca="false">Sens!E7814</f>
        <v>37.285</v>
      </c>
      <c r="F7838" s="6" t="n">
        <f aca="false">Sens!F7814</f>
        <v>38.3851437782675</v>
      </c>
      <c r="G7838" s="6" t="n">
        <f aca="false">Sens!G7814</f>
        <v>40.0105353288615</v>
      </c>
      <c r="H7838" s="6" t="n">
        <f aca="false">Sens!H7814</f>
        <v>41.4812512033683</v>
      </c>
      <c r="I7838" s="6" t="n">
        <f aca="false">Sens!I7814</f>
        <v>42.7743107216329</v>
      </c>
      <c r="J7838" s="6" t="n">
        <f aca="false">Sens!J7814</f>
        <v>43.8687373064601</v>
      </c>
      <c r="K7838" s="6" t="n">
        <f aca="false">Sens!K7814</f>
        <v>44.7461120525893</v>
      </c>
    </row>
    <row r="7839" customFormat="false" ht="15" hidden="false" customHeight="false" outlineLevel="0" collapsed="false">
      <c r="A7839" s="0" t="s">
        <v>1039</v>
      </c>
      <c r="B7839" s="0" t="s">
        <v>98</v>
      </c>
      <c r="D7839" s="6" t="n">
        <f aca="false">Sens!D7816</f>
        <v>18.417</v>
      </c>
      <c r="E7839" s="6" t="n">
        <f aca="false">Sens!E7816</f>
        <v>20.345</v>
      </c>
      <c r="F7839" s="6" t="n">
        <f aca="false">Sens!F7816</f>
        <v>22.3161797133988</v>
      </c>
      <c r="G7839" s="6" t="n">
        <f aca="false">Sens!G7816</f>
        <v>24.3943499673233</v>
      </c>
      <c r="H7839" s="6" t="n">
        <f aca="false">Sens!H7816</f>
        <v>26.5250243109019</v>
      </c>
      <c r="I7839" s="6" t="n">
        <f aca="false">Sens!I7816</f>
        <v>28.6884573538181</v>
      </c>
      <c r="J7839" s="6" t="n">
        <f aca="false">Sens!J7816</f>
        <v>30.8624968052127</v>
      </c>
      <c r="K7839" s="6" t="n">
        <f aca="false">Sens!K7816</f>
        <v>33.0228715815776</v>
      </c>
    </row>
    <row r="7840" customFormat="false" ht="15" hidden="false" customHeight="false" outlineLevel="0" collapsed="false">
      <c r="A7840" s="0" t="s">
        <v>1040</v>
      </c>
      <c r="B7840" s="0" t="s">
        <v>98</v>
      </c>
      <c r="D7840" s="6" t="n">
        <f aca="false">Sens!D7818</f>
        <v>7.76</v>
      </c>
      <c r="E7840" s="6" t="n">
        <f aca="false">Sens!E7818</f>
        <v>8.26</v>
      </c>
      <c r="F7840" s="6" t="n">
        <f aca="false">Sens!F7818</f>
        <v>8.75372082474227</v>
      </c>
      <c r="G7840" s="6" t="n">
        <f aca="false">Sens!G7818</f>
        <v>9.33399324642364</v>
      </c>
      <c r="H7840" s="6" t="n">
        <f aca="false">Sens!H7818</f>
        <v>9.96139155535851</v>
      </c>
      <c r="I7840" s="6" t="n">
        <f aca="false">Sens!I7818</f>
        <v>10.6402039077391</v>
      </c>
      <c r="J7840" s="6" t="n">
        <f aca="false">Sens!J7818</f>
        <v>11.3751458271397</v>
      </c>
      <c r="K7840" s="6" t="n">
        <f aca="false">Sens!K7818</f>
        <v>12.1714060350394</v>
      </c>
    </row>
    <row r="7841" customFormat="false" ht="15" hidden="false" customHeight="false" outlineLevel="0" collapsed="false">
      <c r="A7841" s="0" t="s">
        <v>856</v>
      </c>
      <c r="B7841" s="0" t="s">
        <v>98</v>
      </c>
      <c r="D7841" s="6" t="n">
        <f aca="false">Sens!D7820</f>
        <v>218.783</v>
      </c>
      <c r="E7841" s="6" t="n">
        <f aca="false">Sens!E7820</f>
        <v>268.127</v>
      </c>
      <c r="F7841" s="6" t="n">
        <f aca="false">Sens!F7820</f>
        <v>330.718106813867</v>
      </c>
      <c r="G7841" s="6" t="n">
        <f aca="false">Sens!G7820</f>
        <v>394.709442916795</v>
      </c>
      <c r="H7841" s="6" t="n">
        <f aca="false">Sens!H7820</f>
        <v>454.076679707533</v>
      </c>
      <c r="I7841" s="6" t="n">
        <f aca="false">Sens!I7820</f>
        <v>515.329557481568</v>
      </c>
      <c r="J7841" s="6" t="n">
        <f aca="false">Sens!J7820</f>
        <v>565.784930060905</v>
      </c>
      <c r="K7841" s="6" t="n">
        <f aca="false">Sens!K7820</f>
        <v>606.232631844397</v>
      </c>
    </row>
    <row r="7842" customFormat="false" ht="15" hidden="false" customHeight="false" outlineLevel="0" collapsed="false">
      <c r="A7842" s="0" t="s">
        <v>1041</v>
      </c>
      <c r="B7842" s="0" t="s">
        <v>98</v>
      </c>
      <c r="D7842" s="6" t="n">
        <f aca="false">Sens!D7821</f>
        <v>22.171</v>
      </c>
      <c r="E7842" s="6" t="n">
        <f aca="false">Sens!E7821</f>
        <v>24.835</v>
      </c>
      <c r="F7842" s="6" t="n">
        <f aca="false">Sens!F7821</f>
        <v>27.5591895660247</v>
      </c>
      <c r="G7842" s="6" t="n">
        <f aca="false">Sens!G7821</f>
        <v>30.4098563144583</v>
      </c>
      <c r="H7842" s="6" t="n">
        <f aca="false">Sens!H7821</f>
        <v>33.3011792571777</v>
      </c>
      <c r="I7842" s="6" t="n">
        <f aca="false">Sens!I7821</f>
        <v>36.189023797112</v>
      </c>
      <c r="J7842" s="6" t="n">
        <f aca="false">Sens!J7821</f>
        <v>39.0247773769199</v>
      </c>
      <c r="K7842" s="6" t="n">
        <f aca="false">Sens!K7821</f>
        <v>41.7565117933043</v>
      </c>
    </row>
    <row r="7843" customFormat="false" ht="15" hidden="false" customHeight="false" outlineLevel="0" collapsed="false">
      <c r="A7843" s="0" t="s">
        <v>1042</v>
      </c>
      <c r="B7843" s="0" t="s">
        <v>98</v>
      </c>
      <c r="D7843" s="6" t="n">
        <f aca="false">Sens!D7823</f>
        <v>23.455</v>
      </c>
      <c r="E7843" s="6" t="n">
        <f aca="false">Sens!E7823</f>
        <v>21.79</v>
      </c>
      <c r="F7843" s="6" t="n">
        <f aca="false">Sens!F7823</f>
        <v>20.7520981041711</v>
      </c>
      <c r="G7843" s="6" t="n">
        <f aca="false">Sens!G7823</f>
        <v>19.9083593495882</v>
      </c>
      <c r="H7843" s="6" t="n">
        <f aca="false">Sens!H7823</f>
        <v>19.4008256265831</v>
      </c>
      <c r="I7843" s="6" t="n">
        <f aca="false">Sens!I7823</f>
        <v>19.200434522122</v>
      </c>
      <c r="J7843" s="6" t="n">
        <f aca="false">Sens!J7823</f>
        <v>19.2932782348507</v>
      </c>
      <c r="K7843" s="6" t="n">
        <f aca="false">Sens!K7823</f>
        <v>19.6791437995477</v>
      </c>
    </row>
    <row r="7844" customFormat="false" ht="15" hidden="false" customHeight="false" outlineLevel="0" collapsed="false">
      <c r="A7844" s="0" t="s">
        <v>1043</v>
      </c>
      <c r="B7844" s="0" t="s">
        <v>98</v>
      </c>
      <c r="D7844" s="6" t="n">
        <f aca="false">Sens!D7825</f>
        <v>17.315</v>
      </c>
      <c r="E7844" s="6" t="n">
        <f aca="false">Sens!E7825</f>
        <v>17.087</v>
      </c>
      <c r="F7844" s="6" t="n">
        <f aca="false">Sens!F7825</f>
        <v>15.9912273250553</v>
      </c>
      <c r="G7844" s="6" t="n">
        <f aca="false">Sens!G7825</f>
        <v>15.9574562664827</v>
      </c>
      <c r="H7844" s="6" t="n">
        <f aca="false">Sens!H7825</f>
        <v>16.0119687434196</v>
      </c>
      <c r="I7844" s="6" t="n">
        <f aca="false">Sens!I7825</f>
        <v>16.1551810001948</v>
      </c>
      <c r="J7844" s="6" t="n">
        <f aca="false">Sens!J7825</f>
        <v>16.3889793892005</v>
      </c>
      <c r="K7844" s="6" t="n">
        <f aca="false">Sens!K7825</f>
        <v>16.7167589769845</v>
      </c>
    </row>
    <row r="7845" customFormat="false" ht="15" hidden="false" customHeight="false" outlineLevel="0" collapsed="false">
      <c r="A7845" s="0" t="s">
        <v>870</v>
      </c>
      <c r="B7845" s="0" t="s">
        <v>98</v>
      </c>
      <c r="D7845" s="6" t="n">
        <f aca="false">Sens!D7827</f>
        <v>62.941</v>
      </c>
      <c r="E7845" s="6" t="n">
        <f aca="false">Sens!E7827</f>
        <v>63.712</v>
      </c>
      <c r="F7845" s="6" t="n">
        <f aca="false">Sens!F7827</f>
        <v>64.3025149952511</v>
      </c>
      <c r="G7845" s="6" t="n">
        <f aca="false">Sens!G7827</f>
        <v>66.2756719305292</v>
      </c>
      <c r="H7845" s="6" t="n">
        <f aca="false">Sens!H7827</f>
        <v>68.7139736271804</v>
      </c>
      <c r="I7845" s="6" t="n">
        <f aca="false">Sens!I7827</f>
        <v>71.5446393194289</v>
      </c>
      <c r="J7845" s="6" t="n">
        <f aca="false">Sens!J7827</f>
        <v>74.707035000971</v>
      </c>
      <c r="K7845" s="6" t="n">
        <f aca="false">Sens!K7827</f>
        <v>78.1524145698365</v>
      </c>
    </row>
    <row r="7846" customFormat="false" ht="15" hidden="false" customHeight="false" outlineLevel="0" collapsed="false">
      <c r="A7846" s="1" t="s">
        <v>1059</v>
      </c>
      <c r="B7846" s="0" t="s">
        <v>98</v>
      </c>
      <c r="D7846" s="6" t="n">
        <f aca="false">Sens!D7828</f>
        <v>281.724</v>
      </c>
      <c r="E7846" s="6" t="n">
        <f aca="false">Sens!E7828</f>
        <v>331.839</v>
      </c>
      <c r="F7846" s="6" t="n">
        <f aca="false">Sens!F7828</f>
        <v>395.020621809119</v>
      </c>
      <c r="G7846" s="6" t="n">
        <f aca="false">Sens!G7828</f>
        <v>460.985114847324</v>
      </c>
      <c r="H7846" s="6" t="n">
        <f aca="false">Sens!H7828</f>
        <v>522.790653334713</v>
      </c>
      <c r="I7846" s="6" t="n">
        <f aca="false">Sens!I7828</f>
        <v>586.874196800997</v>
      </c>
      <c r="J7846" s="6" t="n">
        <f aca="false">Sens!J7828</f>
        <v>640.491965061876</v>
      </c>
      <c r="K7846" s="6" t="n">
        <f aca="false">Sens!K7828</f>
        <v>684.385046414233</v>
      </c>
    </row>
    <row r="7847" customFormat="false" ht="15" hidden="false" customHeight="false" outlineLevel="0" collapsed="false">
      <c r="A7847" s="1" t="s">
        <v>1060</v>
      </c>
      <c r="B7847" s="0" t="s">
        <v>168</v>
      </c>
      <c r="E7847" s="7" t="n">
        <f aca="false">Sens!E7846/Sens!D7846-1</f>
        <v>0.177886867998467</v>
      </c>
      <c r="F7847" s="7" t="n">
        <f aca="false">Sens!F7846/Sens!E7846-1</f>
        <v>0.19039842155117</v>
      </c>
      <c r="G7847" s="7" t="n">
        <f aca="false">Sens!G7846/Sens!F7846-1</f>
        <v>0.166989998486917</v>
      </c>
      <c r="H7847" s="7" t="n">
        <f aca="false">Sens!H7846/Sens!G7846-1</f>
        <v>0.134072742257326</v>
      </c>
      <c r="I7847" s="7" t="n">
        <f aca="false">Sens!I7846/Sens!H7846-1</f>
        <v>0.122579742115731</v>
      </c>
      <c r="J7847" s="7" t="n">
        <f aca="false">Sens!J7846/Sens!I7846-1</f>
        <v>0.0913616045025412</v>
      </c>
      <c r="K7847" s="7" t="n">
        <f aca="false">Sens!K7846/Sens!J7846-1</f>
        <v>0.0685302607162552</v>
      </c>
    </row>
    <row r="7848" customFormat="false" ht="17.15" hidden="false" customHeight="false" outlineLevel="0" collapsed="false">
      <c r="A7848" s="26" t="s">
        <v>1061</v>
      </c>
      <c r="B7848" s="31" t="s">
        <v>98</v>
      </c>
      <c r="C7848" s="31"/>
      <c r="D7848" s="27" t="n">
        <f aca="false">(Sens!D7841+Sens!D7845-Sens!D7846)+(Sens!D7833+Sens!D7834-Sens!D7832)+(Sens!D7836+Sens!D7837-Sens!D7835)+(Sens!D7846-Q!L18)</f>
        <v>0</v>
      </c>
      <c r="E7848" s="27" t="n">
        <f aca="false">(Sens!E7841+Sens!E7845-Sens!E7846)+(Sens!E7833+Sens!E7834-Sens!E7832)+(Sens!E7836+Sens!E7837-Sens!E7835)+(Sens!E7846-Q!M18)</f>
        <v>0</v>
      </c>
      <c r="F7848" s="27" t="n">
        <f aca="false">(Sens!F7841+Sens!F7845-Sens!F7846)+(Sens!F7833+Sens!F7834-Sens!F7832)+(Sens!F7836+Sens!F7837-Sens!F7835)</f>
        <v>0</v>
      </c>
      <c r="G7848" s="27" t="n">
        <f aca="false">(Sens!G7841+Sens!G7845-Sens!G7846)+(Sens!G7833+Sens!G7834-Sens!G7832)+(Sens!G7836+Sens!G7837-Sens!G7835)</f>
        <v>0</v>
      </c>
      <c r="H7848" s="27" t="n">
        <f aca="false">(Sens!H7841+Sens!H7845-Sens!H7846)+(Sens!H7833+Sens!H7834-Sens!H7832)+(Sens!H7836+Sens!H7837-Sens!H7835)</f>
        <v>0</v>
      </c>
      <c r="I7848" s="27" t="n">
        <f aca="false">(Sens!I7841+Sens!I7845-Sens!I7846)+(Sens!I7833+Sens!I7834-Sens!I7832)+(Sens!I7836+Sens!I7837-Sens!I7835)</f>
        <v>0</v>
      </c>
      <c r="J7848" s="27" t="n">
        <f aca="false">(Sens!J7841+Sens!J7845-Sens!J7846)+(Sens!J7833+Sens!J7834-Sens!J7832)+(Sens!J7836+Sens!J7837-Sens!J7835)</f>
        <v>0</v>
      </c>
      <c r="K7848" s="27" t="n">
        <f aca="false">(Sens!K7841+Sens!K7845-Sens!K7846)+(Sens!K7833+Sens!K7834-Sens!K7832)+(Sens!K7836+Sens!K7837-Sens!K7835)</f>
        <v>0</v>
      </c>
    </row>
    <row r="7849" customFormat="false" ht="17.15" hidden="false" customHeight="false" outlineLevel="0" collapsed="false">
      <c r="A7849" s="0" t="s">
        <v>1062</v>
      </c>
      <c r="B7849" s="0" t="s">
        <v>168</v>
      </c>
      <c r="E7849" s="7" t="n">
        <f aca="false">(Q!M21+Sens!E7785+Sens!E7786+Sens!E7787+Sens!E7801-Sens!E7783)/(Q!M5-Sens!E7783)</f>
        <v>0.570957350878296</v>
      </c>
      <c r="F7849" s="7" t="n">
        <f aca="false">Sens!$E$7849+dm_seg</f>
        <v>0.570957350878296</v>
      </c>
      <c r="G7849" s="7" t="n">
        <f aca="false">Sens!$E$7849+dm_seg</f>
        <v>0.570957350878296</v>
      </c>
      <c r="H7849" s="7" t="n">
        <f aca="false">Sens!$E$7849+dm_seg</f>
        <v>0.570957350878296</v>
      </c>
      <c r="I7849" s="7" t="n">
        <f aca="false">Sens!$E$7849+dm_seg</f>
        <v>0.570957350878296</v>
      </c>
      <c r="J7849" s="7" t="n">
        <f aca="false">Sens!$E$7849+dm_seg</f>
        <v>0.570957350878296</v>
      </c>
      <c r="K7849" s="7" t="n">
        <f aca="false">Sens!$E$7849+dm_seg</f>
        <v>0.570957350878296</v>
      </c>
      <c r="L7849" s="12" t="s">
        <v>1063</v>
      </c>
    </row>
    <row r="7850" customFormat="false" ht="17.15" hidden="false" customHeight="false" outlineLevel="0" collapsed="false">
      <c r="A7850" s="0" t="s">
        <v>884</v>
      </c>
      <c r="B7850" s="0" t="s">
        <v>98</v>
      </c>
      <c r="D7850" s="6" t="n">
        <f aca="false">Q!L21</f>
        <v>110.814</v>
      </c>
      <c r="E7850" s="6" t="n">
        <f aca="false">Q!M21</f>
        <v>136.365</v>
      </c>
      <c r="F7850" s="6" t="n">
        <f aca="false">Q!$I$21+(Sens!F7849*(Sens!F7820-Sens!F7783)+Sens!F7783-(Sens!F7785+Sens!F7786+Sens!F7787)-Sens!F7801-Sens!F7884)*(Sens!F7820-Q!$I$5)/Sens!F7820</f>
        <v>158.423064649666</v>
      </c>
      <c r="G7850" s="6" t="n">
        <f aca="false">(Sens!G7849*(Sens!G7820-Sens!G7783)+Sens!G7783-(Sens!G7785+Sens!G7786+Sens!G7787)-Sens!G7801-Sens!G7884)</f>
        <v>162.460732245055</v>
      </c>
      <c r="H7850" s="6" t="n">
        <f aca="false">(Sens!H7849*(Sens!H7820-Sens!H7783)+Sens!H7783-(Sens!H7785+Sens!H7786+Sens!H7787)-Sens!H7801-Sens!H7884)</f>
        <v>164.767302631841</v>
      </c>
      <c r="I7850" s="6" t="n">
        <f aca="false">(Sens!I7849*(Sens!I7820-Sens!I7783)+Sens!I7783-(Sens!I7785+Sens!I7786+Sens!I7787)-Sens!I7801-Sens!I7884)</f>
        <v>174.678910568683</v>
      </c>
      <c r="J7850" s="6" t="n">
        <f aca="false">(Sens!J7849*(Sens!J7820-Sens!J7783)+Sens!J7783-(Sens!J7785+Sens!J7786+Sens!J7787)-Sens!J7801-Sens!J7884)</f>
        <v>185.920347514011</v>
      </c>
      <c r="K7850" s="6" t="n">
        <f aca="false">(Sens!K7849*(Sens!K7820-Sens!K7783)+Sens!K7783-(Sens!K7785+Sens!K7786+Sens!K7787)-Sens!K7801-Sens!K7884)</f>
        <v>198.571371029998</v>
      </c>
      <c r="L7850" s="1" t="s">
        <v>1064</v>
      </c>
    </row>
    <row r="7851" customFormat="false" ht="17.15" hidden="false" customHeight="false" outlineLevel="0" collapsed="false">
      <c r="A7851" s="0" t="s">
        <v>1065</v>
      </c>
      <c r="B7851" s="0" t="s">
        <v>168</v>
      </c>
      <c r="E7851" s="7" t="n">
        <f aca="false">Q!M22/Q!M12</f>
        <v>0.296207935710698</v>
      </c>
      <c r="F7851" s="7" t="n">
        <f aca="false">Sens!$E$7851+dm_seg</f>
        <v>0.296207935710698</v>
      </c>
      <c r="G7851" s="7" t="n">
        <f aca="false">Sens!$E$7851+dm_seg</f>
        <v>0.296207935710698</v>
      </c>
      <c r="H7851" s="7" t="n">
        <f aca="false">Sens!$E$7851+dm_seg</f>
        <v>0.296207935710698</v>
      </c>
      <c r="I7851" s="7" t="n">
        <f aca="false">Sens!$E$7851+dm_seg</f>
        <v>0.296207935710698</v>
      </c>
      <c r="J7851" s="7" t="n">
        <f aca="false">Sens!$E$7851+dm_seg</f>
        <v>0.296207935710698</v>
      </c>
      <c r="K7851" s="7" t="n">
        <f aca="false">Sens!$E$7851+dm_seg</f>
        <v>0.296207935710698</v>
      </c>
      <c r="L7851" s="12" t="s">
        <v>1066</v>
      </c>
    </row>
    <row r="7852" customFormat="false" ht="17.15" hidden="false" customHeight="false" outlineLevel="0" collapsed="false">
      <c r="A7852" s="0" t="s">
        <v>886</v>
      </c>
      <c r="B7852" s="0" t="s">
        <v>98</v>
      </c>
      <c r="D7852" s="6" t="n">
        <f aca="false">Q!L22</f>
        <v>17.714</v>
      </c>
      <c r="E7852" s="6" t="n">
        <f aca="false">Q!M22</f>
        <v>18.872</v>
      </c>
      <c r="F7852" s="6" t="n">
        <f aca="false">Q!$I$22+(Sens!F7827-Q!$I$12)*Sens!F7851</f>
        <v>19.8174315512051</v>
      </c>
      <c r="G7852" s="6" t="n">
        <f aca="false">Sens!G7827*Sens!G7851</f>
        <v>19.6313799703815</v>
      </c>
      <c r="H7852" s="6" t="n">
        <f aca="false">Sens!H7827*Sens!H7851</f>
        <v>20.3536242825865</v>
      </c>
      <c r="I7852" s="6" t="n">
        <f aca="false">Sens!I7827*Sens!I7851</f>
        <v>21.1920899239745</v>
      </c>
      <c r="J7852" s="6" t="n">
        <f aca="false">Sens!J7827*Sens!J7851</f>
        <v>22.1288166207045</v>
      </c>
      <c r="K7852" s="6" t="n">
        <f aca="false">Sens!K7827*Sens!K7851</f>
        <v>23.1493653905379</v>
      </c>
      <c r="L7852" s="12" t="s">
        <v>1067</v>
      </c>
    </row>
    <row r="7853" customFormat="false" ht="15" hidden="false" customHeight="false" outlineLevel="0" collapsed="false">
      <c r="A7853" s="1" t="s">
        <v>1068</v>
      </c>
      <c r="B7853" s="0" t="s">
        <v>98</v>
      </c>
      <c r="D7853" s="6" t="n">
        <f aca="false">Sens!D7850+Sens!D7852</f>
        <v>128.528</v>
      </c>
      <c r="E7853" s="6" t="n">
        <f aca="false">Sens!E7850+Sens!E7852</f>
        <v>155.237</v>
      </c>
      <c r="F7853" s="6" t="n">
        <f aca="false">Sens!F7850+Sens!F7852</f>
        <v>178.240496200871</v>
      </c>
      <c r="G7853" s="6" t="n">
        <f aca="false">Sens!G7850+Sens!G7852</f>
        <v>182.092112215436</v>
      </c>
      <c r="H7853" s="6" t="n">
        <f aca="false">Sens!H7850+Sens!H7852</f>
        <v>185.120926914428</v>
      </c>
      <c r="I7853" s="6" t="n">
        <f aca="false">Sens!I7850+Sens!I7852</f>
        <v>195.871000492657</v>
      </c>
      <c r="J7853" s="6" t="n">
        <f aca="false">Sens!J7850+Sens!J7852</f>
        <v>208.049164134716</v>
      </c>
      <c r="K7853" s="6" t="n">
        <f aca="false">Sens!K7850+Sens!K7852</f>
        <v>221.720736420536</v>
      </c>
    </row>
    <row r="7854" customFormat="false" ht="15" hidden="false" customHeight="false" outlineLevel="0" collapsed="false">
      <c r="A7854" s="26" t="s">
        <v>1069</v>
      </c>
      <c r="B7854" s="31" t="s">
        <v>98</v>
      </c>
      <c r="C7854" s="31"/>
      <c r="D7854" s="27" t="n">
        <f aca="false">Sens!D7853-Q!L23</f>
        <v>0</v>
      </c>
      <c r="E7854" s="27" t="n">
        <f aca="false">Sens!E7853-Q!M23</f>
        <v>0</v>
      </c>
      <c r="F7854" s="31"/>
      <c r="G7854" s="31"/>
      <c r="H7854" s="31"/>
      <c r="I7854" s="31"/>
      <c r="J7854" s="31"/>
      <c r="K7854" s="31"/>
    </row>
    <row r="7855" customFormat="false" ht="15" hidden="false" customHeight="false" outlineLevel="0" collapsed="false">
      <c r="A7855" s="1" t="s">
        <v>1070</v>
      </c>
      <c r="B7855" s="0" t="s">
        <v>168</v>
      </c>
      <c r="D7855" s="7" t="n">
        <f aca="false">Sens!D7853/Sens!D7846</f>
        <v>0.456219562408598</v>
      </c>
      <c r="E7855" s="7" t="n">
        <f aca="false">Sens!E7853/Sens!E7846</f>
        <v>0.467808184089272</v>
      </c>
      <c r="F7855" s="7" t="n">
        <f aca="false">Sens!F7853/Sens!F7846</f>
        <v>0.451218205734586</v>
      </c>
      <c r="G7855" s="7" t="n">
        <f aca="false">Sens!G7853/Sens!G7846</f>
        <v>0.395006490124403</v>
      </c>
      <c r="H7855" s="7" t="n">
        <f aca="false">Sens!H7853/Sens!H7846</f>
        <v>0.354101447173167</v>
      </c>
      <c r="I7855" s="7" t="n">
        <f aca="false">Sens!I7853/Sens!I7846</f>
        <v>0.333752960277235</v>
      </c>
      <c r="J7855" s="7" t="n">
        <f aca="false">Sens!J7853/Sens!J7846</f>
        <v>0.324827125840082</v>
      </c>
      <c r="K7855" s="7" t="n">
        <f aca="false">Sens!K7853/Sens!K7846</f>
        <v>0.323970749481187</v>
      </c>
    </row>
    <row r="7856" customFormat="false" ht="17.15" hidden="false" customHeight="false" outlineLevel="0" collapsed="false">
      <c r="A7856" s="1" t="s">
        <v>1071</v>
      </c>
      <c r="B7856" s="0" t="s">
        <v>98</v>
      </c>
      <c r="F7856" s="6" t="n">
        <f aca="false">Sens!F7871</f>
        <v>10.1680607847886</v>
      </c>
      <c r="G7856" s="6" t="n">
        <f aca="false">Sens!G7871</f>
        <v>26.5599926354558</v>
      </c>
      <c r="H7856" s="6" t="n">
        <f aca="false">Sens!H7871</f>
        <v>44.4251154355884</v>
      </c>
      <c r="I7856" s="6" t="n">
        <f aca="false">Sens!I7871</f>
        <v>60.4883607271127</v>
      </c>
      <c r="J7856" s="6" t="n">
        <f aca="false">Sens!J7871</f>
        <v>71.6944871895105</v>
      </c>
      <c r="K7856" s="6" t="n">
        <f aca="false">Sens!K7871</f>
        <v>77.999690606174</v>
      </c>
      <c r="L7856" s="1" t="s">
        <v>1072</v>
      </c>
    </row>
    <row r="7857" customFormat="false" ht="17.15" hidden="false" customHeight="false" outlineLevel="0" collapsed="false">
      <c r="A7857" s="1" t="s">
        <v>1073</v>
      </c>
      <c r="B7857" s="0" t="s">
        <v>98</v>
      </c>
      <c r="D7857" s="6" t="n">
        <f aca="false">Sens!D7853</f>
        <v>128.528</v>
      </c>
      <c r="E7857" s="6" t="n">
        <f aca="false">Sens!E7853</f>
        <v>155.237</v>
      </c>
      <c r="F7857" s="6" t="n">
        <f aca="false">Sens!F7853+Sens!F7856</f>
        <v>188.40855698566</v>
      </c>
      <c r="G7857" s="6" t="n">
        <f aca="false">Sens!G7853+Sens!G7856</f>
        <v>208.652104850892</v>
      </c>
      <c r="H7857" s="6" t="n">
        <f aca="false">Sens!H7853+Sens!H7856</f>
        <v>229.546042350016</v>
      </c>
      <c r="I7857" s="6" t="n">
        <f aca="false">Sens!I7853+Sens!I7856</f>
        <v>256.35936121977</v>
      </c>
      <c r="J7857" s="6" t="n">
        <f aca="false">Sens!J7853+Sens!J7856</f>
        <v>279.743651324226</v>
      </c>
      <c r="K7857" s="6" t="n">
        <f aca="false">Sens!K7853+Sens!K7856</f>
        <v>299.72042702671</v>
      </c>
    </row>
    <row r="7858" customFormat="false" ht="17.15" hidden="false" customHeight="false" outlineLevel="0" collapsed="false">
      <c r="A7858" s="1" t="s">
        <v>1074</v>
      </c>
      <c r="B7858" s="0" t="s">
        <v>98</v>
      </c>
      <c r="E7858" s="6" t="n">
        <f aca="false">Sens!E7801</f>
        <v>16.3054059770833</v>
      </c>
      <c r="F7858" s="6" t="n">
        <f aca="false">Sens!F7801</f>
        <v>34.5793144783516</v>
      </c>
      <c r="G7858" s="6" t="n">
        <f aca="false">Sens!G7801</f>
        <v>60.7344906522989</v>
      </c>
      <c r="H7858" s="6" t="n">
        <f aca="false">Sens!H7801</f>
        <v>89.1000906614457</v>
      </c>
      <c r="I7858" s="6" t="n">
        <f aca="false">Sens!I7801</f>
        <v>114.231009694548</v>
      </c>
      <c r="J7858" s="6" t="n">
        <f aca="false">Sens!J7801</f>
        <v>132.015673049596</v>
      </c>
      <c r="K7858" s="6" t="n">
        <f aca="false">Sens!K7801</f>
        <v>143.012669550934</v>
      </c>
    </row>
    <row r="7859" customFormat="false" ht="17.15" hidden="false" customHeight="false" outlineLevel="0" collapsed="false">
      <c r="A7859" s="1" t="s">
        <v>1075</v>
      </c>
      <c r="B7859" s="0" t="s">
        <v>98</v>
      </c>
      <c r="E7859" s="6" t="n">
        <f aca="false">Sens!E7883</f>
        <v>22.2285940229167</v>
      </c>
      <c r="F7859" s="6" t="n">
        <f aca="false">Sens!F7883</f>
        <v>23.5940687754951</v>
      </c>
      <c r="G7859" s="6" t="n">
        <f aca="false">Sens!G7883</f>
        <v>25.3732909625423</v>
      </c>
      <c r="H7859" s="6" t="n">
        <f aca="false">Sens!H7883</f>
        <v>27.5335315753738</v>
      </c>
      <c r="I7859" s="6" t="n">
        <f aca="false">Sens!I7883</f>
        <v>30.0129813046714</v>
      </c>
      <c r="J7859" s="6" t="n">
        <f aca="false">Sens!J7883</f>
        <v>32.7322683955415</v>
      </c>
      <c r="K7859" s="6" t="n">
        <f aca="false">Sens!K7883</f>
        <v>35.606678423342</v>
      </c>
    </row>
    <row r="7860" customFormat="false" ht="17.15" hidden="false" customHeight="false" outlineLevel="0" collapsed="false">
      <c r="A7860" s="1" t="s">
        <v>1076</v>
      </c>
      <c r="B7860" s="0" t="s">
        <v>98</v>
      </c>
      <c r="D7860" s="6" t="n">
        <f aca="false">Q!L27</f>
        <v>-4.901</v>
      </c>
      <c r="E7860" s="6" t="n">
        <f aca="false">Q!M27</f>
        <v>10.697</v>
      </c>
      <c r="F7860" s="6" t="n">
        <f aca="false">Q!$I$27+oie_f*(q_per_yr-1)/q_per_yr</f>
        <v>-0.862</v>
      </c>
      <c r="G7860" s="6" t="n">
        <f aca="false">oie_f</f>
        <v>-1.2</v>
      </c>
      <c r="H7860" s="6" t="n">
        <f aca="false">oie_f</f>
        <v>-1.2</v>
      </c>
      <c r="I7860" s="6" t="n">
        <f aca="false">oie_f</f>
        <v>-1.2</v>
      </c>
      <c r="J7860" s="6" t="n">
        <f aca="false">oie_f</f>
        <v>-1.2</v>
      </c>
      <c r="K7860" s="6" t="n">
        <f aca="false">oie_f</f>
        <v>-1.2</v>
      </c>
      <c r="L7860" s="12" t="s">
        <v>1077</v>
      </c>
    </row>
    <row r="7861" customFormat="false" ht="15" hidden="false" customHeight="false" outlineLevel="0" collapsed="false">
      <c r="A7861" s="1" t="s">
        <v>1078</v>
      </c>
      <c r="B7861" s="0" t="s">
        <v>98</v>
      </c>
      <c r="D7861" s="6" t="n">
        <f aca="false">Sens!D7853+Sens!D7860</f>
        <v>123.627</v>
      </c>
      <c r="E7861" s="6" t="n">
        <f aca="false">Sens!E7853+Sens!E7860</f>
        <v>165.934</v>
      </c>
      <c r="F7861" s="6" t="n">
        <f aca="false">Sens!F7853+Sens!F7860</f>
        <v>177.378496200871</v>
      </c>
      <c r="G7861" s="6" t="n">
        <f aca="false">Sens!G7853+Sens!G7860</f>
        <v>180.892112215436</v>
      </c>
      <c r="H7861" s="6" t="n">
        <f aca="false">Sens!H7853+Sens!H7860</f>
        <v>183.920926914428</v>
      </c>
      <c r="I7861" s="6" t="n">
        <f aca="false">Sens!I7853+Sens!I7860</f>
        <v>194.671000492657</v>
      </c>
      <c r="J7861" s="6" t="n">
        <f aca="false">Sens!J7853+Sens!J7860</f>
        <v>206.849164134716</v>
      </c>
      <c r="K7861" s="6" t="n">
        <f aca="false">Sens!K7853+Sens!K7860</f>
        <v>220.520736420536</v>
      </c>
    </row>
    <row r="7862" customFormat="false" ht="15" hidden="false" customHeight="false" outlineLevel="0" collapsed="false">
      <c r="A7862" s="1" t="s">
        <v>1079</v>
      </c>
      <c r="B7862" s="0" t="s">
        <v>98</v>
      </c>
      <c r="D7862" s="6" t="n">
        <f aca="false">Q!L29</f>
        <v>21.795</v>
      </c>
      <c r="E7862" s="6" t="n">
        <f aca="false">Q!M29</f>
        <v>32.185</v>
      </c>
      <c r="F7862" s="6" t="n">
        <f aca="false">Q!$I$29+(Sens!F7861-Q!$I$28)*tax_f</f>
        <v>35.6090992401742</v>
      </c>
      <c r="G7862" s="6" t="n">
        <f aca="false">Sens!G7861*tax_f</f>
        <v>36.1784224430873</v>
      </c>
      <c r="H7862" s="6" t="n">
        <f aca="false">Sens!H7861*tax_f</f>
        <v>36.7841853828855</v>
      </c>
      <c r="I7862" s="6" t="n">
        <f aca="false">Sens!I7861*tax_f</f>
        <v>38.9342000985315</v>
      </c>
      <c r="J7862" s="6" t="n">
        <f aca="false">Sens!J7861*tax_f</f>
        <v>41.3698328269431</v>
      </c>
      <c r="K7862" s="6" t="n">
        <f aca="false">Sens!K7861*tax_f</f>
        <v>44.1041472841072</v>
      </c>
    </row>
    <row r="7863" customFormat="false" ht="15" hidden="false" customHeight="false" outlineLevel="0" collapsed="false">
      <c r="A7863" s="1" t="s">
        <v>1080</v>
      </c>
      <c r="B7863" s="0" t="s">
        <v>98</v>
      </c>
      <c r="D7863" s="6" t="n">
        <f aca="false">Sens!D7861-Sens!D7862</f>
        <v>101.832</v>
      </c>
      <c r="E7863" s="6" t="n">
        <f aca="false">Sens!E7861-Sens!E7862</f>
        <v>133.749</v>
      </c>
      <c r="F7863" s="6" t="n">
        <f aca="false">Sens!F7861-Sens!F7862</f>
        <v>141.769396960697</v>
      </c>
      <c r="G7863" s="6" t="n">
        <f aca="false">Sens!G7861-Sens!G7862</f>
        <v>144.713689772349</v>
      </c>
      <c r="H7863" s="6" t="n">
        <f aca="false">Sens!H7861-Sens!H7862</f>
        <v>147.136741531542</v>
      </c>
      <c r="I7863" s="6" t="n">
        <f aca="false">Sens!I7861-Sens!I7862</f>
        <v>155.736800394126</v>
      </c>
      <c r="J7863" s="6" t="n">
        <f aca="false">Sens!J7861-Sens!J7862</f>
        <v>165.479331307772</v>
      </c>
      <c r="K7863" s="6" t="n">
        <f aca="false">Sens!K7861-Sens!K7862</f>
        <v>176.416589136429</v>
      </c>
    </row>
    <row r="7864" customFormat="false" ht="17.15" hidden="false" customHeight="false" outlineLevel="0" collapsed="false">
      <c r="A7864" s="1" t="s">
        <v>1081</v>
      </c>
      <c r="B7864" s="1" t="s">
        <v>81</v>
      </c>
      <c r="D7864" s="15" t="n">
        <f aca="false">Q!L31</f>
        <v>7.465</v>
      </c>
      <c r="E7864" s="15" t="n">
        <f aca="false">Q!M31</f>
        <v>7.453</v>
      </c>
      <c r="F7864" s="15" t="n">
        <f aca="false">Sens!F7908</f>
        <v>7.4735</v>
      </c>
      <c r="G7864" s="15" t="n">
        <f aca="false">Sens!G7908</f>
        <v>7.5185</v>
      </c>
      <c r="H7864" s="15" t="n">
        <f aca="false">Sens!H7908</f>
        <v>7.5635</v>
      </c>
      <c r="I7864" s="15" t="n">
        <f aca="false">Sens!I7908</f>
        <v>7.59248142502667</v>
      </c>
      <c r="J7864" s="15" t="n">
        <f aca="false">Sens!J7908</f>
        <v>7.60663083618914</v>
      </c>
      <c r="K7864" s="15" t="n">
        <f aca="false">Sens!K7908</f>
        <v>7.62306547615439</v>
      </c>
    </row>
    <row r="7865" customFormat="false" ht="17.15" hidden="false" customHeight="false" outlineLevel="0" collapsed="false">
      <c r="A7865" s="0" t="s">
        <v>1082</v>
      </c>
      <c r="B7865" s="0" t="s">
        <v>75</v>
      </c>
      <c r="D7865" s="8" t="n">
        <f aca="false">Sens!D7863/Sens!D7864</f>
        <v>13.641259209645</v>
      </c>
      <c r="E7865" s="8" t="n">
        <f aca="false">Sens!E7863/Sens!E7864</f>
        <v>17.9456594659869</v>
      </c>
      <c r="F7865" s="8" t="n">
        <f aca="false">Sens!F7863/Sens!F7864</f>
        <v>18.9696122246199</v>
      </c>
      <c r="G7865" s="8" t="n">
        <f aca="false">Sens!G7863/Sens!G7864</f>
        <v>19.2476810231229</v>
      </c>
      <c r="H7865" s="8" t="n">
        <f aca="false">Sens!H7863/Sens!H7864</f>
        <v>19.4535256867247</v>
      </c>
      <c r="I7865" s="8" t="n">
        <f aca="false">Sens!I7863/Sens!I7864</f>
        <v>20.5119764772528</v>
      </c>
      <c r="J7865" s="8" t="n">
        <f aca="false">Sens!J7863/Sens!J7864</f>
        <v>21.7546157913293</v>
      </c>
      <c r="K7865" s="8" t="n">
        <f aca="false">Sens!K7863/Sens!K7864</f>
        <v>23.1424732856192</v>
      </c>
      <c r="L7865" s="1" t="s">
        <v>1083</v>
      </c>
    </row>
    <row r="7866" customFormat="false" ht="17.15" hidden="false" customHeight="false" outlineLevel="0" collapsed="false">
      <c r="A7866" s="1" t="s">
        <v>1084</v>
      </c>
      <c r="B7866" s="0" t="s">
        <v>98</v>
      </c>
      <c r="D7866" s="6" t="n">
        <f aca="false">Sens!D7863</f>
        <v>101.832</v>
      </c>
      <c r="E7866" s="6" t="n">
        <f aca="false">Sens!E7863</f>
        <v>133.749</v>
      </c>
      <c r="F7866" s="6" t="n">
        <f aca="false">Sens!F7863+Sens!F7856*(1-tax_f)</f>
        <v>149.903845588528</v>
      </c>
      <c r="G7866" s="6" t="n">
        <f aca="false">Sens!G7863+Sens!G7856*(1-tax_f)</f>
        <v>165.961683880714</v>
      </c>
      <c r="H7866" s="6" t="n">
        <f aca="false">Sens!H7863+Sens!H7856*(1-tax_f)</f>
        <v>182.676833880013</v>
      </c>
      <c r="I7866" s="6" t="n">
        <f aca="false">Sens!I7863+Sens!I7856*(1-tax_f)</f>
        <v>204.127488975816</v>
      </c>
      <c r="J7866" s="6" t="n">
        <f aca="false">Sens!J7863+Sens!J7856*(1-tax_f)</f>
        <v>222.834921059381</v>
      </c>
      <c r="K7866" s="6" t="n">
        <f aca="false">Sens!K7863+Sens!K7856*(1-tax_f)</f>
        <v>238.816341621368</v>
      </c>
    </row>
    <row r="7867" customFormat="false" ht="17.15" hidden="false" customHeight="false" outlineLevel="0" collapsed="false">
      <c r="A7867" s="0" t="s">
        <v>1085</v>
      </c>
      <c r="B7867" s="0" t="s">
        <v>75</v>
      </c>
      <c r="D7867" s="8" t="n">
        <f aca="false">Sens!D7866/Sens!D7864</f>
        <v>13.641259209645</v>
      </c>
      <c r="E7867" s="8" t="n">
        <f aca="false">Sens!E7866/Sens!E7864</f>
        <v>17.9456594659869</v>
      </c>
      <c r="F7867" s="8" t="n">
        <f aca="false">Sens!F7866/Sens!F7864</f>
        <v>20.0580511926845</v>
      </c>
      <c r="G7867" s="8" t="n">
        <f aca="false">Sens!G7866/Sens!G7864</f>
        <v>22.0737758702818</v>
      </c>
      <c r="H7867" s="8" t="n">
        <f aca="false">Sens!H7866/Sens!H7864</f>
        <v>24.1524206888362</v>
      </c>
      <c r="I7867" s="8" t="n">
        <f aca="false">Sens!I7866/Sens!I7864</f>
        <v>26.8854775598083</v>
      </c>
      <c r="J7867" s="8" t="n">
        <f aca="false">Sens!J7866/Sens!J7864</f>
        <v>29.2948252463136</v>
      </c>
      <c r="K7867" s="8" t="n">
        <f aca="false">Sens!K7866/Sens!K7864</f>
        <v>31.3281241474845</v>
      </c>
      <c r="L7867" s="1" t="s">
        <v>1086</v>
      </c>
    </row>
    <row r="7868" customFormat="false" ht="17.15" hidden="false" customHeight="false" outlineLevel="0" collapsed="false">
      <c r="A7868" s="0" t="s">
        <v>1087</v>
      </c>
      <c r="B7868" s="0" t="s">
        <v>168</v>
      </c>
      <c r="E7868" s="7" t="n">
        <f aca="false">Sens!E7867/Sens!D7867-1</f>
        <v>0.315542736208578</v>
      </c>
      <c r="F7868" s="7" t="n">
        <f aca="false">Sens!F7867/Sens!E7867-1</f>
        <v>0.117710454202107</v>
      </c>
      <c r="G7868" s="7" t="n">
        <f aca="false">Sens!G7867/Sens!F7867-1</f>
        <v>0.10049454247741</v>
      </c>
      <c r="H7868" s="7" t="n">
        <f aca="false">Sens!H7867/Sens!G7867-1</f>
        <v>0.0941680676097159</v>
      </c>
      <c r="I7868" s="7" t="n">
        <f aca="false">Sens!I7867/Sens!H7867-1</f>
        <v>0.113158714241649</v>
      </c>
      <c r="J7868" s="7" t="n">
        <f aca="false">Sens!J7867/Sens!I7867-1</f>
        <v>0.0896152088481779</v>
      </c>
      <c r="K7868" s="7" t="n">
        <f aca="false">Sens!K7867/Sens!J7867-1</f>
        <v>0.0694081252943073</v>
      </c>
    </row>
    <row r="7869" customFormat="false" ht="17.15" hidden="false" customHeight="false" outlineLevel="0" collapsed="false">
      <c r="A7869" s="0" t="s">
        <v>1007</v>
      </c>
      <c r="B7869" s="0" t="s">
        <v>98</v>
      </c>
      <c r="E7869" s="6" t="n">
        <f aca="false">Sens!E7810</f>
        <v>5.25</v>
      </c>
      <c r="F7869" s="6" t="n">
        <f aca="false">Sens!F7810</f>
        <v>11.25</v>
      </c>
      <c r="G7869" s="6" t="n">
        <f aca="false">Sens!G7810</f>
        <v>15.75</v>
      </c>
      <c r="H7869" s="6" t="n">
        <f aca="false">Sens!H7810</f>
        <v>20.25</v>
      </c>
      <c r="I7869" s="6" t="n">
        <f aca="false">Sens!I7810</f>
        <v>23.625</v>
      </c>
      <c r="J7869" s="6" t="n">
        <f aca="false">Sens!J7810</f>
        <v>25.875</v>
      </c>
      <c r="K7869" s="6" t="n">
        <f aca="false">Sens!K7810</f>
        <v>28.125</v>
      </c>
    </row>
    <row r="7870" customFormat="false" ht="17.15" hidden="false" customHeight="false" outlineLevel="0" collapsed="false">
      <c r="A7870" s="1" t="s">
        <v>1008</v>
      </c>
      <c r="B7870" s="0" t="s">
        <v>98</v>
      </c>
      <c r="F7870" s="6" t="n">
        <f aca="false">MAX(0,((Sens!E7770+Sens!F7770)/2-(shadow_base*(Sens!$D$7770+Sens!$E$7770)/2+(1-shadow_base)*Sens!$E$7770))*Sens!F7779/1000-(Sens!F7869-Sens!$E$7869)*Sens!F7849)</f>
        <v>10.1680607847886</v>
      </c>
      <c r="G7870" s="6" t="n">
        <f aca="false">MAX(0,((Sens!F7770+Sens!G7770)/2-(shadow_base*(Sens!$D$7770+Sens!$E$7770)/2+(1-shadow_base)*Sens!$E$7770))*Sens!G7779/1000-(Sens!G7869-Sens!$E$7869)*Sens!G7849)</f>
        <v>26.5599926354558</v>
      </c>
      <c r="H7870" s="6" t="n">
        <f aca="false">MAX(0,((Sens!G7770+Sens!H7770)/2-(shadow_base*(Sens!$D$7770+Sens!$E$7770)/2+(1-shadow_base)*Sens!$E$7770))*Sens!H7779/1000-(Sens!H7869-Sens!$E$7869)*Sens!H7849)</f>
        <v>44.4251154355884</v>
      </c>
      <c r="I7870" s="6" t="n">
        <f aca="false">MAX(0,((Sens!H7770+Sens!I7770)/2-(shadow_base*(Sens!$D$7770+Sens!$E$7770)/2+(1-shadow_base)*Sens!$E$7770))*Sens!I7779/1000-(Sens!I7869-Sens!$E$7869)*Sens!I7849)</f>
        <v>60.4883607271127</v>
      </c>
      <c r="J7870" s="6" t="n">
        <f aca="false">MAX(0,((Sens!I7770+Sens!J7770)/2-(shadow_base*(Sens!$D$7770+Sens!$E$7770)/2+(1-shadow_base)*Sens!$E$7770))*Sens!J7779/1000-(Sens!J7869-Sens!$E$7869)*Sens!J7849)</f>
        <v>71.6944871895105</v>
      </c>
      <c r="K7870" s="6" t="n">
        <f aca="false">MAX(0,((Sens!J7770+Sens!K7770)/2-(shadow_base*(Sens!$D$7770+Sens!$E$7770)/2+(1-shadow_base)*Sens!$E$7770))*Sens!K7779/1000-(Sens!K7869-Sens!$E$7869)*Sens!K7849)</f>
        <v>77.999690606174</v>
      </c>
      <c r="L7870" s="1" t="s">
        <v>1009</v>
      </c>
    </row>
    <row r="7871" customFormat="false" ht="17.15" hidden="false" customHeight="false" outlineLevel="0" collapsed="false">
      <c r="A7871" s="1" t="s">
        <v>1010</v>
      </c>
      <c r="B7871" s="0" t="s">
        <v>98</v>
      </c>
      <c r="F7871" s="6" t="n">
        <f aca="false">IF(internal_ai_reading=2,1,0)*Sens!F7870</f>
        <v>10.1680607847886</v>
      </c>
      <c r="G7871" s="6" t="n">
        <f aca="false">IF(internal_ai_reading=2,1,0)*Sens!G7870</f>
        <v>26.5599926354558</v>
      </c>
      <c r="H7871" s="6" t="n">
        <f aca="false">IF(internal_ai_reading=2,1,0)*Sens!H7870</f>
        <v>44.4251154355884</v>
      </c>
      <c r="I7871" s="6" t="n">
        <f aca="false">IF(internal_ai_reading=2,1,0)*Sens!I7870</f>
        <v>60.4883607271127</v>
      </c>
      <c r="J7871" s="6" t="n">
        <f aca="false">IF(internal_ai_reading=2,1,0)*Sens!J7870</f>
        <v>71.6944871895105</v>
      </c>
      <c r="K7871" s="6" t="n">
        <f aca="false">IF(internal_ai_reading=2,1,0)*Sens!K7870</f>
        <v>77.999690606174</v>
      </c>
    </row>
    <row r="7872" customFormat="false" ht="17.15" hidden="false" customHeight="false" outlineLevel="0" collapsed="false">
      <c r="A7872" s="0" t="s">
        <v>1011</v>
      </c>
      <c r="B7872" s="0" t="s">
        <v>98</v>
      </c>
      <c r="F7872" s="6" t="n">
        <f aca="false">Sens!F7789+Sens!F7869*Sens!F7849+Sens!F7871-Sens!F7790-Sens!F7801</f>
        <v>10.3853806853618</v>
      </c>
      <c r="G7872" s="6" t="n">
        <f aca="false">Sens!G7789+Sens!G7869*Sens!G7849+Sens!G7871-Sens!G7790-Sens!G7801</f>
        <v>16.4389313105741</v>
      </c>
      <c r="H7872" s="6" t="n">
        <f aca="false">Sens!H7789+Sens!H7869*Sens!H7849+Sens!H7871-Sens!H7790-Sens!H7801</f>
        <v>17.135416308873</v>
      </c>
      <c r="I7872" s="6" t="n">
        <f aca="false">Sens!I7789+Sens!I7869*Sens!I7849+Sens!I7871-Sens!I7790-Sens!I7801</f>
        <v>24.1293804008656</v>
      </c>
      <c r="J7872" s="6" t="n">
        <f aca="false">Sens!J7789+Sens!J7869*Sens!J7849+Sens!J7871-Sens!J7790-Sens!J7801</f>
        <v>28.8545659869181</v>
      </c>
      <c r="K7872" s="6" t="n">
        <f aca="false">Sens!K7789+Sens!K7869*Sens!K7849+Sens!K7871-Sens!K7790-Sens!K7801</f>
        <v>32.1374748525101</v>
      </c>
    </row>
    <row r="7873" customFormat="false" ht="17.15" hidden="false" customHeight="false" outlineLevel="0" collapsed="false">
      <c r="A7873" s="0" t="s">
        <v>1012</v>
      </c>
      <c r="B7873" s="0" t="s">
        <v>98</v>
      </c>
      <c r="E7873" s="6" t="n">
        <f aca="false">Sens!E7769*(cxit_open+self_build*tk_cxfac)/1000*ai_net_open</f>
        <v>126.6980382</v>
      </c>
      <c r="F7873" s="6" t="n">
        <f aca="false">Sens!E7873+Sens!F7798-Sens!F7801</f>
        <v>260.572627763768</v>
      </c>
      <c r="G7873" s="6" t="n">
        <f aca="false">Sens!F7873+Sens!G7798-Sens!G7801</f>
        <v>391.782612760517</v>
      </c>
      <c r="H7873" s="6" t="n">
        <f aca="false">Sens!G7873+Sens!H7798-Sens!H7801</f>
        <v>499.488526163584</v>
      </c>
      <c r="I7873" s="6" t="n">
        <f aca="false">Sens!H7873+Sens!I7798-Sens!I7801</f>
        <v>553.872350090646</v>
      </c>
      <c r="J7873" s="6" t="n">
        <f aca="false">Sens!I7873+Sens!J7798-Sens!J7801</f>
        <v>550.78660823699</v>
      </c>
      <c r="K7873" s="6" t="n">
        <f aca="false">Sens!J7873+Sens!K7798-Sens!K7801</f>
        <v>526.736791750789</v>
      </c>
      <c r="L7873" s="1" t="s">
        <v>1013</v>
      </c>
    </row>
    <row r="7874" customFormat="false" ht="17.15" hidden="false" customHeight="false" outlineLevel="0" collapsed="false">
      <c r="A7874" s="0" t="s">
        <v>1014</v>
      </c>
      <c r="B7874" s="0" t="s">
        <v>168</v>
      </c>
      <c r="F7874" s="7" t="n">
        <f aca="false">Sens!F7872*(1-tax_f)/((Sens!E7873+Sens!F7873)/2)</f>
        <v>0.0429069654816909</v>
      </c>
      <c r="G7874" s="7" t="n">
        <f aca="false">Sens!G7872*(1-tax_f)/((Sens!F7873+Sens!G7873)/2)</f>
        <v>0.0403189680453549</v>
      </c>
      <c r="H7874" s="7" t="n">
        <f aca="false">Sens!H7872*(1-tax_f)/((Sens!G7873+Sens!H7873)/2)</f>
        <v>0.0307613080877867</v>
      </c>
      <c r="I7874" s="7" t="n">
        <f aca="false">Sens!I7872*(1-tax_f)/((Sens!H7873+Sens!I7873)/2)</f>
        <v>0.0366512650238845</v>
      </c>
      <c r="J7874" s="7" t="n">
        <f aca="false">Sens!J7872*(1-tax_f)/((Sens!I7873+Sens!J7873)/2)</f>
        <v>0.0417932659044041</v>
      </c>
      <c r="K7874" s="7" t="n">
        <f aca="false">Sens!K7872*(1-tax_f)/((Sens!J7873+Sens!K7873)/2)</f>
        <v>0.0477205040415821</v>
      </c>
    </row>
    <row r="7875" customFormat="false" ht="17.15" hidden="false" customHeight="false" outlineLevel="0" collapsed="false">
      <c r="A7875" s="1" t="s">
        <v>1015</v>
      </c>
      <c r="B7875" s="0" t="s">
        <v>168</v>
      </c>
      <c r="F7875" s="7" t="n">
        <f aca="false">(Sens!F7872-Sens!F7871)*(1-tax_f)/((Sens!E7873+Sens!F7873)/2)</f>
        <v>0.000897852255480644</v>
      </c>
      <c r="G7875" s="7" t="n">
        <f aca="false">(Sens!G7872-Sens!G7871)*(1-tax_f)/((Sens!F7873+Sens!G7873)/2)</f>
        <v>-0.0248234353215226</v>
      </c>
      <c r="H7875" s="7" t="n">
        <f aca="false">(Sens!H7872-Sens!H7871)*(1-tax_f)/((Sens!G7873+Sens!H7873)/2)</f>
        <v>-0.0489901632576738</v>
      </c>
      <c r="I7875" s="7" t="n">
        <f aca="false">(Sens!I7872-Sens!I7871)*(1-tax_f)/((Sens!H7873+Sens!I7873)/2)</f>
        <v>-0.0552273867706806</v>
      </c>
      <c r="J7875" s="7" t="n">
        <f aca="false">(Sens!J7872-Sens!J7871)*(1-tax_f)/((Sens!I7873+Sens!J7873)/2)</f>
        <v>-0.0620498058766642</v>
      </c>
      <c r="K7875" s="7" t="n">
        <f aca="false">(Sens!K7872-Sens!K7871)*(1-tax_f)/((Sens!J7873+Sens!K7873)/2)</f>
        <v>-0.0681001871576011</v>
      </c>
    </row>
    <row r="7876" customFormat="false" ht="17.15" hidden="false" customHeight="false" outlineLevel="0" collapsed="false">
      <c r="A7876" s="1" t="s">
        <v>1016</v>
      </c>
      <c r="B7876" s="0" t="s">
        <v>168</v>
      </c>
      <c r="F7876" s="7" t="n">
        <f aca="false">(Sens!F7872-Sens!F7871+Sens!F7870)*(1-tax_f)/((Sens!E7873+Sens!F7873)/2)</f>
        <v>0.0429069654816909</v>
      </c>
      <c r="G7876" s="7" t="n">
        <f aca="false">(Sens!G7872-Sens!G7871+Sens!G7870)*(1-tax_f)/((Sens!F7873+Sens!G7873)/2)</f>
        <v>0.0403189680453549</v>
      </c>
      <c r="H7876" s="7" t="n">
        <f aca="false">(Sens!H7872-Sens!H7871+Sens!H7870)*(1-tax_f)/((Sens!G7873+Sens!H7873)/2)</f>
        <v>0.0307613080877867</v>
      </c>
      <c r="I7876" s="7" t="n">
        <f aca="false">(Sens!I7872-Sens!I7871+Sens!I7870)*(1-tax_f)/((Sens!H7873+Sens!I7873)/2)</f>
        <v>0.0366512650238845</v>
      </c>
      <c r="J7876" s="7" t="n">
        <f aca="false">(Sens!J7872-Sens!J7871+Sens!J7870)*(1-tax_f)/((Sens!I7873+Sens!J7873)/2)</f>
        <v>0.0417932659044041</v>
      </c>
      <c r="K7876" s="7" t="n">
        <f aca="false">(Sens!K7872-Sens!K7871+Sens!K7870)*(1-tax_f)/((Sens!J7873+Sens!K7873)/2)</f>
        <v>0.0477205040415821</v>
      </c>
    </row>
    <row r="7877" customFormat="false" ht="17.15" hidden="false" customHeight="false" outlineLevel="0" collapsed="false">
      <c r="A7877" s="1" t="s">
        <v>1017</v>
      </c>
      <c r="B7877" s="0" t="s">
        <v>168</v>
      </c>
      <c r="F7877" s="7" t="n">
        <f aca="false">Sens!F7802*(1-tax_f)/(Sens!F7788*(Sens!E7873+Sens!F7873)/2)</f>
        <v>0.098791430090569</v>
      </c>
      <c r="G7877" s="7" t="n">
        <f aca="false">Sens!G7802*(1-tax_f)/(Sens!G7788*(Sens!F7873+Sens!G7873)/2)</f>
        <v>0.0675308856427828</v>
      </c>
      <c r="H7877" s="7" t="n">
        <f aca="false">Sens!H7802*(1-tax_f)/(Sens!H7788*(Sens!G7873+Sens!H7873)/2)</f>
        <v>0.0388374979528754</v>
      </c>
      <c r="I7877" s="7" t="n">
        <f aca="false">Sens!I7802*(1-tax_f)/(Sens!I7788*(Sens!H7873+Sens!I7873)/2)</f>
        <v>0.0411035671771815</v>
      </c>
      <c r="J7877" s="7" t="n">
        <f aca="false">Sens!J7802*(1-tax_f)/(Sens!J7788*(Sens!I7873+Sens!J7873)/2)</f>
        <v>0.0445222722541192</v>
      </c>
      <c r="K7877" s="7" t="n">
        <f aca="false">Sens!K7802*(1-tax_f)/(Sens!K7788*(Sens!J7873+Sens!K7873)/2)</f>
        <v>0.0498866361688162</v>
      </c>
    </row>
    <row r="7878" customFormat="false" ht="17.15" hidden="false" customHeight="false" outlineLevel="0" collapsed="false">
      <c r="A7878" s="0" t="s">
        <v>1018</v>
      </c>
      <c r="B7878" s="0" t="s">
        <v>253</v>
      </c>
      <c r="F7878" s="7" t="n">
        <f aca="false">Sens!F7874-wacc</f>
        <v>-0.0600296254639064</v>
      </c>
      <c r="G7878" s="7" t="n">
        <f aca="false">Sens!G7874-wacc</f>
        <v>-0.0626176229002424</v>
      </c>
      <c r="H7878" s="7" t="n">
        <f aca="false">Sens!H7874-wacc</f>
        <v>-0.0721752828578106</v>
      </c>
      <c r="I7878" s="7" t="n">
        <f aca="false">Sens!I7874-wacc</f>
        <v>-0.0662853259217128</v>
      </c>
      <c r="J7878" s="7" t="n">
        <f aca="false">Sens!J7874-wacc</f>
        <v>-0.0611433250411932</v>
      </c>
      <c r="K7878" s="7" t="n">
        <f aca="false">Sens!K7874-wacc</f>
        <v>-0.0552160869040152</v>
      </c>
    </row>
    <row r="7879" customFormat="false" ht="17.15" hidden="false" customHeight="false" outlineLevel="0" collapsed="false">
      <c r="A7879" s="0" t="s">
        <v>1019</v>
      </c>
      <c r="B7879" s="0" t="s">
        <v>98</v>
      </c>
      <c r="F7879" s="6" t="n">
        <f aca="false">Sens!F7872*(1-tax_f)-wacc*(Sens!E7873+Sens!F7873)/2</f>
        <v>-11.6238565154813</v>
      </c>
      <c r="G7879" s="6" t="n">
        <f aca="false">Sens!G7872*(1-tax_f)-wacc*(Sens!F7873+Sens!G7873)/2</f>
        <v>-20.4244672240733</v>
      </c>
      <c r="H7879" s="6" t="n">
        <f aca="false">Sens!H7872*(1-tax_f)-wacc*(Sens!G7873+Sens!H7873)/2</f>
        <v>-32.163873277425</v>
      </c>
      <c r="I7879" s="6" t="n">
        <f aca="false">Sens!I7872*(1-tax_f)-wacc*(Sens!H7873+Sens!I7873)/2</f>
        <v>-34.9111844978463</v>
      </c>
      <c r="J7879" s="6" t="n">
        <f aca="false">Sens!J7872*(1-tax_f)-wacc*(Sens!I7873+Sens!J7873)/2</f>
        <v>-33.7712608743463</v>
      </c>
      <c r="K7879" s="6" t="n">
        <f aca="false">Sens!K7872*(1-tax_f)-wacc*(Sens!J7873+Sens!K7873)/2</f>
        <v>-29.7483128474176</v>
      </c>
    </row>
    <row r="7880" customFormat="false" ht="17.15" hidden="false" customHeight="false" outlineLevel="0" collapsed="false">
      <c r="A7880" s="3" t="s">
        <v>1808</v>
      </c>
    </row>
    <row r="7881" customFormat="false" ht="15" hidden="false" customHeight="false" outlineLevel="0" collapsed="false">
      <c r="A7881" s="4" t="s">
        <v>43</v>
      </c>
      <c r="B7881" s="4" t="s">
        <v>65</v>
      </c>
      <c r="C7881" s="23" t="s">
        <v>942</v>
      </c>
      <c r="D7881" s="23" t="s">
        <v>943</v>
      </c>
      <c r="E7881" s="23" t="s">
        <v>944</v>
      </c>
      <c r="F7881" s="23" t="s">
        <v>945</v>
      </c>
      <c r="G7881" s="23" t="s">
        <v>946</v>
      </c>
      <c r="H7881" s="23" t="s">
        <v>947</v>
      </c>
      <c r="I7881" s="23" t="s">
        <v>948</v>
      </c>
      <c r="J7881" s="23" t="s">
        <v>949</v>
      </c>
      <c r="K7881" s="23" t="s">
        <v>950</v>
      </c>
      <c r="L7881" s="4" t="s">
        <v>47</v>
      </c>
    </row>
    <row r="7882" customFormat="false" ht="15" hidden="false" customHeight="false" outlineLevel="0" collapsed="false">
      <c r="A7882" s="1" t="s">
        <v>1080</v>
      </c>
      <c r="B7882" s="0" t="s">
        <v>98</v>
      </c>
      <c r="F7882" s="6" t="n">
        <f aca="false">Sens!F7863</f>
        <v>141.769396960697</v>
      </c>
      <c r="G7882" s="6" t="n">
        <f aca="false">Sens!G7863</f>
        <v>144.713689772349</v>
      </c>
      <c r="H7882" s="6" t="n">
        <f aca="false">Sens!H7863</f>
        <v>147.136741531542</v>
      </c>
      <c r="I7882" s="6" t="n">
        <f aca="false">Sens!I7863</f>
        <v>155.736800394126</v>
      </c>
      <c r="J7882" s="6" t="n">
        <f aca="false">Sens!J7863</f>
        <v>165.479331307772</v>
      </c>
      <c r="K7882" s="6" t="n">
        <f aca="false">Sens!K7863</f>
        <v>176.416589136429</v>
      </c>
    </row>
    <row r="7883" customFormat="false" ht="17.15" hidden="false" customHeight="false" outlineLevel="0" collapsed="false">
      <c r="A7883" s="1" t="s">
        <v>1102</v>
      </c>
      <c r="B7883" s="0" t="s">
        <v>98</v>
      </c>
      <c r="E7883" s="6" t="n">
        <f aca="false">Q!M38-Sens!E7801</f>
        <v>22.2285940229167</v>
      </c>
      <c r="F7883" s="6" t="n">
        <f aca="false">Sens!E7883*(1-1/life_nonai)+(Sens!F7891+Sens!F7892)/life_nonai</f>
        <v>23.5940687754951</v>
      </c>
      <c r="G7883" s="6" t="n">
        <f aca="false">Sens!F7883*(1-1/life_nonai)+(Sens!G7891)/life_nonai</f>
        <v>25.3732909625423</v>
      </c>
      <c r="H7883" s="6" t="n">
        <f aca="false">Sens!G7883*(1-1/life_nonai)+(Sens!H7891)/life_nonai</f>
        <v>27.5335315753738</v>
      </c>
      <c r="I7883" s="6" t="n">
        <f aca="false">Sens!H7883*(1-1/life_nonai)+(Sens!I7891)/life_nonai</f>
        <v>30.0129813046714</v>
      </c>
      <c r="J7883" s="6" t="n">
        <f aca="false">Sens!I7883*(1-1/life_nonai)+(Sens!J7891)/life_nonai</f>
        <v>32.7322683955415</v>
      </c>
      <c r="K7883" s="6" t="n">
        <f aca="false">Sens!J7883*(1-1/life_nonai)+(Sens!K7891)/life_nonai</f>
        <v>35.606678423342</v>
      </c>
      <c r="L7883" s="12" t="s">
        <v>1103</v>
      </c>
    </row>
    <row r="7884" customFormat="false" ht="17.15" hidden="false" customHeight="false" outlineLevel="0" collapsed="false">
      <c r="A7884" s="1" t="s">
        <v>1104</v>
      </c>
      <c r="B7884" s="0" t="s">
        <v>98</v>
      </c>
      <c r="F7884" s="6" t="n">
        <f aca="false">Sens!$F$7892/life_nonai*(1-1/life_nonai)^(Sens!F7764-2027)</f>
        <v>0</v>
      </c>
      <c r="G7884" s="6" t="n">
        <f aca="false">Sens!$F$7892/life_nonai*(1-1/life_nonai)^(Sens!G7764-2027)</f>
        <v>0</v>
      </c>
      <c r="H7884" s="6" t="n">
        <f aca="false">Sens!$F$7892/life_nonai*(1-1/life_nonai)^(Sens!H7764-2027)</f>
        <v>0</v>
      </c>
      <c r="I7884" s="6" t="n">
        <f aca="false">Sens!$F$7892/life_nonai*(1-1/life_nonai)^(Sens!I7764-2027)</f>
        <v>0</v>
      </c>
      <c r="J7884" s="6" t="n">
        <f aca="false">Sens!$F$7892/life_nonai*(1-1/life_nonai)^(Sens!J7764-2027)</f>
        <v>0</v>
      </c>
      <c r="K7884" s="6" t="n">
        <f aca="false">Sens!$F$7892/life_nonai*(1-1/life_nonai)^(Sens!K7764-2027)</f>
        <v>0</v>
      </c>
      <c r="L7884" s="1" t="s">
        <v>1105</v>
      </c>
    </row>
    <row r="7885" customFormat="false" ht="17.15" hidden="false" customHeight="false" outlineLevel="0" collapsed="false">
      <c r="A7885" s="1" t="s">
        <v>1106</v>
      </c>
      <c r="B7885" s="0" t="s">
        <v>98</v>
      </c>
      <c r="E7885" s="6" t="n">
        <f aca="false">Sens!E7801+Sens!E7883</f>
        <v>38.534</v>
      </c>
      <c r="F7885" s="6" t="n">
        <f aca="false">Sens!F7801+Sens!F7883</f>
        <v>58.1733832538467</v>
      </c>
      <c r="G7885" s="6" t="n">
        <f aca="false">Sens!G7801+Sens!G7883</f>
        <v>86.1077816148413</v>
      </c>
      <c r="H7885" s="6" t="n">
        <f aca="false">Sens!H7801+Sens!H7883</f>
        <v>116.633622236819</v>
      </c>
      <c r="I7885" s="6" t="n">
        <f aca="false">Sens!I7801+Sens!I7883</f>
        <v>144.24399099922</v>
      </c>
      <c r="J7885" s="6" t="n">
        <f aca="false">Sens!J7801+Sens!J7883</f>
        <v>164.747941445138</v>
      </c>
      <c r="K7885" s="6" t="n">
        <f aca="false">Sens!K7801+Sens!K7883</f>
        <v>178.619347974276</v>
      </c>
    </row>
    <row r="7886" customFormat="false" ht="17.15" hidden="false" customHeight="false" outlineLevel="0" collapsed="false">
      <c r="A7886" s="1" t="s">
        <v>1107</v>
      </c>
      <c r="B7886" s="0" t="s">
        <v>98</v>
      </c>
      <c r="F7886" s="6" t="n">
        <f aca="false">Sens!F7828*sbc_r</f>
        <v>14.7668924193423</v>
      </c>
      <c r="G7886" s="6" t="n">
        <f aca="false">Sens!G7828*sbc_r</f>
        <v>17.2328157621047</v>
      </c>
      <c r="H7886" s="6" t="n">
        <f aca="false">Sens!H7828*sbc_r</f>
        <v>19.5432666281453</v>
      </c>
      <c r="I7886" s="6" t="n">
        <f aca="false">Sens!I7828*sbc_r</f>
        <v>21.9388752115224</v>
      </c>
      <c r="J7886" s="6" t="n">
        <f aca="false">Sens!J7828*sbc_r</f>
        <v>23.9432460518281</v>
      </c>
      <c r="K7886" s="6" t="n">
        <f aca="false">Sens!K7828*sbc_r</f>
        <v>25.5840829461533</v>
      </c>
    </row>
    <row r="7887" customFormat="false" ht="17.15" hidden="false" customHeight="false" outlineLevel="0" collapsed="false">
      <c r="A7887" s="1" t="s">
        <v>1108</v>
      </c>
      <c r="B7887" s="0" t="s">
        <v>98</v>
      </c>
      <c r="F7887" s="6" t="n">
        <f aca="false">wc27-wc26q1</f>
        <v>-4.677</v>
      </c>
      <c r="G7887" s="6" t="n">
        <f aca="false">wc_f</f>
        <v>0</v>
      </c>
      <c r="H7887" s="6" t="n">
        <f aca="false">wc_f</f>
        <v>0</v>
      </c>
      <c r="I7887" s="6" t="n">
        <f aca="false">wc_f</f>
        <v>0</v>
      </c>
      <c r="J7887" s="6" t="n">
        <f aca="false">wc_f</f>
        <v>0</v>
      </c>
      <c r="K7887" s="6" t="n">
        <f aca="false">wc_f</f>
        <v>0</v>
      </c>
      <c r="L7887" s="12" t="s">
        <v>1109</v>
      </c>
    </row>
    <row r="7888" customFormat="false" ht="17.15" hidden="false" customHeight="false" outlineLevel="0" collapsed="false">
      <c r="A7888" s="0" t="s">
        <v>1110</v>
      </c>
      <c r="B7888" s="0" t="s">
        <v>98</v>
      </c>
      <c r="F7888" s="6" t="n">
        <f aca="false">Q!$I$35-Q!$I$26-Q!$I$38-Q!$I$39</f>
        <v>6.493</v>
      </c>
      <c r="L7888" s="1" t="s">
        <v>1111</v>
      </c>
    </row>
    <row r="7889" customFormat="false" ht="15" hidden="false" customHeight="false" outlineLevel="0" collapsed="false">
      <c r="A7889" s="1" t="s">
        <v>908</v>
      </c>
      <c r="B7889" s="0" t="s">
        <v>98</v>
      </c>
      <c r="E7889" s="6" t="n">
        <f aca="false">Q!M35</f>
        <v>182.935</v>
      </c>
      <c r="F7889" s="6" t="n">
        <f aca="false">Sens!F7882+Sens!F7885+Sens!F7886+Sens!F7887+Sens!F7888</f>
        <v>216.525672633886</v>
      </c>
      <c r="G7889" s="6" t="n">
        <f aca="false">Sens!G7882+Sens!G7885+Sens!G7886+Sens!G7887</f>
        <v>248.054287149295</v>
      </c>
      <c r="H7889" s="6" t="n">
        <f aca="false">Sens!H7882+Sens!H7885+Sens!H7886+Sens!H7887</f>
        <v>283.313630396507</v>
      </c>
      <c r="I7889" s="6" t="n">
        <f aca="false">Sens!I7882+Sens!I7885+Sens!I7886+Sens!I7887</f>
        <v>321.919666604868</v>
      </c>
      <c r="J7889" s="6" t="n">
        <f aca="false">Sens!J7882+Sens!J7885+Sens!J7886+Sens!J7887</f>
        <v>354.170518804738</v>
      </c>
      <c r="K7889" s="6" t="n">
        <f aca="false">Sens!K7882+Sens!K7885+Sens!K7886+Sens!K7887</f>
        <v>380.620020056858</v>
      </c>
    </row>
    <row r="7890" customFormat="false" ht="17.15" hidden="false" customHeight="false" outlineLevel="0" collapsed="false">
      <c r="A7890" s="0" t="s">
        <v>1112</v>
      </c>
      <c r="B7890" s="0" t="s">
        <v>98</v>
      </c>
      <c r="F7890" s="6" t="n">
        <f aca="false">Sens!F7798</f>
        <v>168.45390404212</v>
      </c>
      <c r="G7890" s="6" t="n">
        <f aca="false">Sens!G7798</f>
        <v>191.944475649048</v>
      </c>
      <c r="H7890" s="6" t="n">
        <f aca="false">Sens!H7798</f>
        <v>196.806004064512</v>
      </c>
      <c r="I7890" s="6" t="n">
        <f aca="false">Sens!I7798</f>
        <v>168.61483362161</v>
      </c>
      <c r="J7890" s="6" t="n">
        <f aca="false">Sens!J7798</f>
        <v>128.92993119594</v>
      </c>
      <c r="K7890" s="6" t="n">
        <f aca="false">Sens!K7798</f>
        <v>118.962853064733</v>
      </c>
    </row>
    <row r="7891" customFormat="false" ht="17.15" hidden="false" customHeight="false" outlineLevel="0" collapsed="false">
      <c r="A7891" s="1" t="s">
        <v>1113</v>
      </c>
      <c r="B7891" s="0" t="s">
        <v>98</v>
      </c>
      <c r="E7891" s="6" t="n">
        <f aca="false">Sens!E7806*cx_azo+Sens!E7813*cx_m365+Sens!E7814*cx_lic+(Sens!E7816+Sens!E7818)*cx_ind+Sens!E7821*cx_srch+(Sens!E7823+Sens!E7825)*cx_dev</f>
        <v>30.1846587067718</v>
      </c>
      <c r="F7891" s="6" t="n">
        <f aca="false">Sens!F7806*cx_azo+Sens!F7813*cx_m365+Sens!F7814*cx_lic+(Sens!F7816+Sens!F7818)*cx_ind+Sens!F7821*cx_srch+(Sens!F7823+Sens!F7825)*cx_dev</f>
        <v>35.8833415487006</v>
      </c>
      <c r="G7891" s="6" t="n">
        <f aca="false">Sens!G7806*cx_azo+Sens!G7813*cx_m365+Sens!G7814*cx_lic+(Sens!G7816+Sens!G7818)*cx_ind+Sens!G7821*cx_srch+(Sens!G7823+Sens!G7825)*cx_dev</f>
        <v>41.3862906459676</v>
      </c>
      <c r="H7891" s="6" t="n">
        <f aca="false">Sens!H7806*cx_azo+Sens!H7813*cx_m365+Sens!H7814*cx_lic+(Sens!H7816+Sens!H7818)*cx_ind+Sens!H7821*cx_srch+(Sens!H7823+Sens!H7825)*cx_dev</f>
        <v>46.9756970908573</v>
      </c>
      <c r="I7891" s="6" t="n">
        <f aca="false">Sens!I7806*cx_azo+Sens!I7813*cx_m365+Sens!I7814*cx_lic+(Sens!I7816+Sens!I7818)*cx_ind+Sens!I7821*cx_srch+(Sens!I7823+Sens!I7825)*cx_dev</f>
        <v>52.3280288683491</v>
      </c>
      <c r="J7891" s="6" t="n">
        <f aca="false">Sens!J7806*cx_azo+Sens!J7813*cx_m365+Sens!J7814*cx_lic+(Sens!J7816+Sens!J7818)*cx_ind+Sens!J7821*cx_srch+(Sens!J7823+Sens!J7825)*cx_dev</f>
        <v>57.2058522133724</v>
      </c>
      <c r="K7891" s="6" t="n">
        <f aca="false">Sens!K7806*cx_azo+Sens!K7813*cx_m365+Sens!K7814*cx_lic+(Sens!K7816+Sens!K7818)*cx_ind+Sens!K7821*cx_srch+(Sens!K7823+Sens!K7825)*cx_dev</f>
        <v>61.4763686735464</v>
      </c>
    </row>
    <row r="7892" customFormat="false" ht="17.15" hidden="false" customHeight="false" outlineLevel="0" collapsed="false">
      <c r="A7892" s="0" t="s">
        <v>1114</v>
      </c>
      <c r="B7892" s="0" t="s">
        <v>98</v>
      </c>
      <c r="F7892" s="6" t="n">
        <f aca="false">Sens!F7796</f>
        <v>0</v>
      </c>
      <c r="L7892" s="1" t="s">
        <v>1115</v>
      </c>
    </row>
    <row r="7893" customFormat="false" ht="17.15" hidden="false" customHeight="false" outlineLevel="0" collapsed="false">
      <c r="A7893" s="1" t="s">
        <v>1116</v>
      </c>
      <c r="B7893" s="0" t="s">
        <v>98</v>
      </c>
      <c r="E7893" s="6" t="n">
        <f aca="false">Q!M43</f>
        <v>145.3</v>
      </c>
      <c r="F7893" s="6" t="n">
        <f aca="false">Sens!F7890+Sens!F7891+Sens!F7892</f>
        <v>204.33724559082</v>
      </c>
      <c r="G7893" s="6" t="n">
        <f aca="false">Sens!G7890+Sens!G7891</f>
        <v>233.330766295016</v>
      </c>
      <c r="H7893" s="6" t="n">
        <f aca="false">Sens!H7890+Sens!H7891</f>
        <v>243.78170115537</v>
      </c>
      <c r="I7893" s="6" t="n">
        <f aca="false">Sens!I7890+Sens!I7891</f>
        <v>220.942862489959</v>
      </c>
      <c r="J7893" s="6" t="n">
        <f aca="false">Sens!J7890+Sens!J7891</f>
        <v>186.135783409313</v>
      </c>
      <c r="K7893" s="6" t="n">
        <f aca="false">Sens!K7890+Sens!K7891</f>
        <v>180.439221738279</v>
      </c>
      <c r="L7893" s="1" t="s">
        <v>1117</v>
      </c>
    </row>
    <row r="7894" customFormat="false" ht="15" hidden="false" customHeight="false" outlineLevel="0" collapsed="false">
      <c r="A7894" s="1" t="s">
        <v>1118</v>
      </c>
      <c r="B7894" s="0" t="s">
        <v>98</v>
      </c>
      <c r="E7894" s="6" t="n">
        <f aca="false">fl_liab</f>
        <v>66.594</v>
      </c>
      <c r="F7894" s="6" t="n">
        <f aca="false">Sens!E7894-Sens!F7895</f>
        <v>62.46973</v>
      </c>
      <c r="G7894" s="6" t="n">
        <f aca="false">Sens!F7894-Sens!G7895</f>
        <v>57.98686785</v>
      </c>
      <c r="H7894" s="6" t="n">
        <f aca="false">Sens!G7894-Sens!H7895</f>
        <v>53.92827690325</v>
      </c>
      <c r="I7894" s="6" t="n">
        <f aca="false">Sens!H7894-Sens!I7895</f>
        <v>49.7850493638962</v>
      </c>
      <c r="J7894" s="6" t="n">
        <f aca="false">Sens!I7894-Sens!J7895</f>
        <v>45.4823765852716</v>
      </c>
      <c r="K7894" s="6" t="n">
        <f aca="false">Sens!J7894-Sens!K7895</f>
        <v>40.9860835316088</v>
      </c>
    </row>
    <row r="7895" customFormat="false" ht="15" hidden="false" customHeight="false" outlineLevel="0" collapsed="false">
      <c r="A7895" s="1" t="s">
        <v>1119</v>
      </c>
      <c r="B7895" s="0" t="s">
        <v>98</v>
      </c>
      <c r="F7895" s="6" t="n">
        <f aca="false">fl_pay_27-Sens!E7894*fl_rate</f>
        <v>4.12427</v>
      </c>
      <c r="G7895" s="6" t="n">
        <f aca="false">fl_pay_28-Sens!F7894*fl_rate</f>
        <v>4.48286215</v>
      </c>
      <c r="H7895" s="6" t="n">
        <f aca="false">fl_pay_29-Sens!G7894*fl_rate</f>
        <v>4.05859094675</v>
      </c>
      <c r="I7895" s="6" t="n">
        <f aca="false">fl_pay_30-Sens!H7894*fl_rate</f>
        <v>4.14322753935375</v>
      </c>
      <c r="J7895" s="6" t="n">
        <f aca="false">fl_pay_31-Sens!I7894*fl_rate</f>
        <v>4.30267277862467</v>
      </c>
      <c r="K7895" s="6" t="n">
        <f aca="false">fl_pay_32-Sens!J7894*fl_rate</f>
        <v>4.49629305366278</v>
      </c>
    </row>
    <row r="7896" customFormat="false" ht="17.15" hidden="false" customHeight="false" outlineLevel="0" collapsed="false">
      <c r="A7896" s="1" t="s">
        <v>1120</v>
      </c>
      <c r="B7896" s="0" t="s">
        <v>98</v>
      </c>
      <c r="E7896" s="6" t="n">
        <f aca="false">Q!M35-Q!M36-Q!M44</f>
        <v>63.886</v>
      </c>
      <c r="F7896" s="6" t="n">
        <f aca="false">Sens!F7889-Sens!F7893-Sens!F7895</f>
        <v>8.06415704306562</v>
      </c>
      <c r="G7896" s="6" t="n">
        <f aca="false">Sens!G7889-Sens!G7893-Sens!G7895</f>
        <v>10.2406587042793</v>
      </c>
      <c r="H7896" s="6" t="n">
        <f aca="false">Sens!H7889-Sens!H7893-Sens!H7895</f>
        <v>35.4733382943873</v>
      </c>
      <c r="I7896" s="6" t="n">
        <f aca="false">Sens!I7889-Sens!I7893-Sens!I7895</f>
        <v>96.8335765755548</v>
      </c>
      <c r="J7896" s="6" t="n">
        <f aca="false">Sens!J7889-Sens!J7893-Sens!J7895</f>
        <v>163.732062616801</v>
      </c>
      <c r="K7896" s="6" t="n">
        <f aca="false">Sens!K7889-Sens!K7893-Sens!K7895</f>
        <v>195.684505264916</v>
      </c>
      <c r="L7896" s="12" t="s">
        <v>1121</v>
      </c>
    </row>
    <row r="7897" customFormat="false" ht="15" hidden="false" customHeight="false" outlineLevel="0" collapsed="false">
      <c r="A7897" s="1" t="s">
        <v>1122</v>
      </c>
      <c r="B7897" s="0" t="s">
        <v>75</v>
      </c>
      <c r="F7897" s="8" t="n">
        <f aca="false">dps_27</f>
        <v>3.85</v>
      </c>
      <c r="G7897" s="8" t="n">
        <f aca="false">Sens!F7897*(1+dps_g)</f>
        <v>4.158</v>
      </c>
      <c r="H7897" s="8" t="n">
        <f aca="false">Sens!G7897*(1+dps_g)</f>
        <v>4.49064</v>
      </c>
      <c r="I7897" s="8" t="n">
        <f aca="false">Sens!H7897*(1+dps_g)</f>
        <v>4.8498912</v>
      </c>
      <c r="J7897" s="8" t="n">
        <f aca="false">Sens!I7897*(1+dps_g)</f>
        <v>5.237882496</v>
      </c>
      <c r="K7897" s="8" t="n">
        <f aca="false">Sens!J7897*(1+dps_g)</f>
        <v>5.65691309568</v>
      </c>
    </row>
    <row r="7898" customFormat="false" ht="17.15" hidden="false" customHeight="false" outlineLevel="0" collapsed="false">
      <c r="A7898" s="1" t="s">
        <v>1123</v>
      </c>
      <c r="B7898" s="0" t="s">
        <v>98</v>
      </c>
      <c r="E7898" s="6" t="n">
        <f aca="false">Q!M41</f>
        <v>26.445</v>
      </c>
      <c r="F7898" s="6" t="n">
        <f aca="false">Sens!F7897*Sens!E7907</f>
        <v>28.59395</v>
      </c>
      <c r="G7898" s="6" t="n">
        <f aca="false">Sens!G7897*Sens!F7907</f>
        <v>31.068576</v>
      </c>
      <c r="H7898" s="6" t="n">
        <f aca="false">Sens!H7897*Sens!G7907</f>
        <v>33.75614088</v>
      </c>
      <c r="I7898" s="6" t="n">
        <f aca="false">Sens!I7897*Sens!H7907</f>
        <v>36.6748772544</v>
      </c>
      <c r="J7898" s="6" t="n">
        <f aca="false">Sens!J7897*Sens!I7907</f>
        <v>39.6767653201446</v>
      </c>
      <c r="K7898" s="6" t="n">
        <f aca="false">Sens!K7897*Sens!J7907</f>
        <v>42.9376608081345</v>
      </c>
      <c r="L7898" s="1" t="s">
        <v>1124</v>
      </c>
    </row>
    <row r="7899" customFormat="false" ht="15" hidden="false" customHeight="false" outlineLevel="0" collapsed="false">
      <c r="A7899" s="1" t="s">
        <v>1125</v>
      </c>
      <c r="B7899" s="0" t="s">
        <v>98</v>
      </c>
      <c r="E7899" s="6" t="n">
        <f aca="false">Sens!E7896-Sens!E7898</f>
        <v>37.441</v>
      </c>
      <c r="F7899" s="6" t="n">
        <f aca="false">Sens!F7896-Sens!F7898</f>
        <v>-20.5297929569344</v>
      </c>
      <c r="G7899" s="6" t="n">
        <f aca="false">Sens!G7896-Sens!G7898</f>
        <v>-20.8279172957207</v>
      </c>
      <c r="H7899" s="6" t="n">
        <f aca="false">Sens!H7896-Sens!H7898</f>
        <v>1.71719741438724</v>
      </c>
      <c r="I7899" s="6" t="n">
        <f aca="false">Sens!I7896-Sens!I7898</f>
        <v>60.1586993211548</v>
      </c>
      <c r="J7899" s="6" t="n">
        <f aca="false">Sens!J7896-Sens!J7898</f>
        <v>124.055297296656</v>
      </c>
      <c r="K7899" s="6" t="n">
        <f aca="false">Sens!K7896-Sens!K7898</f>
        <v>152.746844456782</v>
      </c>
    </row>
    <row r="7900" customFormat="false" ht="15" hidden="false" customHeight="false" outlineLevel="0" collapsed="false">
      <c r="A7900" s="1" t="s">
        <v>1126</v>
      </c>
      <c r="B7900" s="0" t="s">
        <v>98</v>
      </c>
      <c r="F7900" s="6" t="n">
        <f aca="false">debt_mat_27</f>
        <v>9.25</v>
      </c>
      <c r="G7900" s="6" t="n">
        <f aca="false">debt_mat_28</f>
        <v>0</v>
      </c>
      <c r="H7900" s="6" t="n">
        <f aca="false">debt_mat_29</f>
        <v>2.001</v>
      </c>
      <c r="I7900" s="6" t="n">
        <f aca="false">debt_mat_30</f>
        <v>0</v>
      </c>
      <c r="J7900" s="6" t="n">
        <f aca="false">debt_mat_31</f>
        <v>0.5</v>
      </c>
      <c r="K7900" s="6" t="n">
        <f aca="false">debt_mat_32</f>
        <v>0</v>
      </c>
    </row>
    <row r="7901" customFormat="false" ht="15" hidden="false" customHeight="false" outlineLevel="0" collapsed="false">
      <c r="A7901" s="1" t="s">
        <v>1127</v>
      </c>
      <c r="B7901" s="0" t="s">
        <v>98</v>
      </c>
      <c r="E7901" s="6" t="n">
        <f aca="false">Q!M40</f>
        <v>22.271</v>
      </c>
      <c r="F7901" s="6" t="n">
        <f aca="false">MAX(0,MIN(bb_target,Sens!E7903+Sens!F7899-Sens!F7900-min_cash))</f>
        <v>0</v>
      </c>
      <c r="G7901" s="6" t="n">
        <f aca="false">MAX(0,MIN(bb_target,Sens!F7903+Sens!G7899-Sens!G7900-min_cash))</f>
        <v>0</v>
      </c>
      <c r="H7901" s="6" t="n">
        <f aca="false">MAX(0,MIN(bb_target,Sens!G7903+Sens!H7899-Sens!H7900-min_cash))</f>
        <v>0</v>
      </c>
      <c r="I7901" s="6" t="n">
        <f aca="false">MAX(0,MIN(bb_target,Sens!H7903+Sens!I7899-Sens!I7900-min_cash))</f>
        <v>22.271</v>
      </c>
      <c r="J7901" s="6" t="n">
        <f aca="false">MAX(0,MIN(bb_target,Sens!I7903+Sens!J7899-Sens!J7900-min_cash))</f>
        <v>22.271</v>
      </c>
      <c r="K7901" s="6" t="n">
        <f aca="false">MAX(0,MIN(bb_target,Sens!J7903+Sens!K7899-Sens!K7900-min_cash))</f>
        <v>22.271</v>
      </c>
    </row>
    <row r="7902" customFormat="false" ht="15" hidden="false" customHeight="false" outlineLevel="0" collapsed="false">
      <c r="A7902" s="1" t="s">
        <v>1128</v>
      </c>
      <c r="B7902" s="0" t="s">
        <v>98</v>
      </c>
      <c r="F7902" s="6" t="n">
        <f aca="false">MAX(0,min_cash-(Sens!E7903+Sens!F7899-Sens!F7900-Sens!F7901))</f>
        <v>2.93679295693438</v>
      </c>
      <c r="G7902" s="6" t="n">
        <f aca="false">MAX(0,min_cash-(Sens!F7903+Sens!G7899-Sens!G7900-Sens!G7901))</f>
        <v>20.8279172957207</v>
      </c>
      <c r="H7902" s="6" t="n">
        <f aca="false">MAX(0,min_cash-(Sens!G7903+Sens!H7899-Sens!H7900-Sens!H7901))</f>
        <v>0.283802585612754</v>
      </c>
      <c r="I7902" s="6" t="n">
        <f aca="false">MAX(0,min_cash-(Sens!H7903+Sens!I7899-Sens!I7900-Sens!I7901))</f>
        <v>0</v>
      </c>
      <c r="J7902" s="6" t="n">
        <f aca="false">MAX(0,min_cash-(Sens!I7903+Sens!J7899-Sens!J7900-Sens!J7901))</f>
        <v>0</v>
      </c>
      <c r="K7902" s="6" t="n">
        <f aca="false">MAX(0,min_cash-(Sens!J7903+Sens!K7899-Sens!K7900-Sens!K7901))</f>
        <v>0</v>
      </c>
    </row>
    <row r="7903" customFormat="false" ht="15" hidden="false" customHeight="false" outlineLevel="0" collapsed="false">
      <c r="A7903" s="1" t="s">
        <v>1129</v>
      </c>
      <c r="B7903" s="0" t="s">
        <v>98</v>
      </c>
      <c r="E7903" s="6" t="n">
        <f aca="false">cash_open</f>
        <v>76.843</v>
      </c>
      <c r="F7903" s="6" t="n">
        <f aca="false">Sens!E7903+Sens!F7899-Sens!F7900-Sens!F7901+Sens!F7902</f>
        <v>50</v>
      </c>
      <c r="G7903" s="6" t="n">
        <f aca="false">Sens!F7903+Sens!G7899-Sens!G7900-Sens!G7901+Sens!G7902</f>
        <v>50</v>
      </c>
      <c r="H7903" s="6" t="n">
        <f aca="false">Sens!G7903+Sens!H7899-Sens!H7900-Sens!H7901+Sens!H7902</f>
        <v>50</v>
      </c>
      <c r="I7903" s="6" t="n">
        <f aca="false">Sens!H7903+Sens!I7899-Sens!I7900-Sens!I7901+Sens!I7902</f>
        <v>87.8876993211548</v>
      </c>
      <c r="J7903" s="6" t="n">
        <f aca="false">Sens!I7903+Sens!J7899-Sens!J7900-Sens!J7901+Sens!J7902</f>
        <v>189.171996617811</v>
      </c>
      <c r="K7903" s="6" t="n">
        <f aca="false">Sens!J7903+Sens!K7899-Sens!K7900-Sens!K7901+Sens!K7902</f>
        <v>319.647841074592</v>
      </c>
    </row>
    <row r="7904" customFormat="false" ht="15" hidden="false" customHeight="false" outlineLevel="0" collapsed="false">
      <c r="A7904" s="1" t="s">
        <v>1130</v>
      </c>
      <c r="B7904" s="0" t="s">
        <v>98</v>
      </c>
      <c r="E7904" s="6" t="n">
        <f aca="false">debt_face</f>
        <v>46.136</v>
      </c>
      <c r="F7904" s="6" t="n">
        <f aca="false">Sens!E7904-Sens!F7900+Sens!F7902</f>
        <v>39.8227929569344</v>
      </c>
      <c r="G7904" s="6" t="n">
        <f aca="false">Sens!F7904-Sens!G7900+Sens!G7902</f>
        <v>60.650710252655</v>
      </c>
      <c r="H7904" s="6" t="n">
        <f aca="false">Sens!G7904-Sens!H7900+Sens!H7902</f>
        <v>58.9335128382678</v>
      </c>
      <c r="I7904" s="6" t="n">
        <f aca="false">Sens!H7904-Sens!I7900+Sens!I7902</f>
        <v>58.9335128382678</v>
      </c>
      <c r="J7904" s="6" t="n">
        <f aca="false">Sens!I7904-Sens!J7900+Sens!J7902</f>
        <v>58.4335128382678</v>
      </c>
      <c r="K7904" s="6" t="n">
        <f aca="false">Sens!J7904-Sens!K7900+Sens!K7902</f>
        <v>58.4335128382678</v>
      </c>
    </row>
    <row r="7905" customFormat="false" ht="15" hidden="false" customHeight="false" outlineLevel="0" collapsed="false">
      <c r="A7905" s="1" t="s">
        <v>1131</v>
      </c>
      <c r="B7905" s="0" t="s">
        <v>98</v>
      </c>
      <c r="E7905" s="6" t="n">
        <f aca="false">Sens!E7903-Sens!E7904</f>
        <v>30.707</v>
      </c>
      <c r="F7905" s="6" t="n">
        <f aca="false">Sens!F7903-Sens!F7904</f>
        <v>10.1772070430656</v>
      </c>
      <c r="G7905" s="6" t="n">
        <f aca="false">Sens!G7903-Sens!G7904</f>
        <v>-10.650710252655</v>
      </c>
      <c r="H7905" s="6" t="n">
        <f aca="false">Sens!H7903-Sens!H7904</f>
        <v>-8.9335128382678</v>
      </c>
      <c r="I7905" s="6" t="n">
        <f aca="false">Sens!I7903-Sens!I7904</f>
        <v>28.954186482887</v>
      </c>
      <c r="J7905" s="6" t="n">
        <f aca="false">Sens!J7903-Sens!J7904</f>
        <v>130.738483779543</v>
      </c>
      <c r="K7905" s="6" t="n">
        <f aca="false">Sens!K7903-Sens!K7904</f>
        <v>261.214328236325</v>
      </c>
    </row>
    <row r="7906" customFormat="false" ht="15" hidden="false" customHeight="false" outlineLevel="0" collapsed="false">
      <c r="A7906" s="1" t="s">
        <v>1132</v>
      </c>
      <c r="B7906" s="0" t="s">
        <v>75</v>
      </c>
      <c r="F7906" s="30" t="n">
        <f aca="false">px*(1+bb_g)^(Sens!F7764-base_fy-mid_yr)</f>
        <v>551.84177959629</v>
      </c>
      <c r="G7906" s="30" t="n">
        <f aca="false">px*(1+bb_g)^(Sens!G7764-base_fy-mid_yr)</f>
        <v>595.989121963993</v>
      </c>
      <c r="H7906" s="30" t="n">
        <f aca="false">px*(1+bb_g)^(Sens!H7764-base_fy-mid_yr)</f>
        <v>643.668251721112</v>
      </c>
      <c r="I7906" s="30" t="n">
        <f aca="false">px*(1+bb_g)^(Sens!I7764-base_fy-mid_yr)</f>
        <v>695.161711858801</v>
      </c>
      <c r="J7906" s="30" t="n">
        <f aca="false">px*(1+bb_g)^(Sens!J7764-base_fy-mid_yr)</f>
        <v>750.774648807506</v>
      </c>
      <c r="K7906" s="30" t="n">
        <f aca="false">px*(1+bb_g)^(Sens!K7764-base_fy-mid_yr)</f>
        <v>810.836620712106</v>
      </c>
    </row>
    <row r="7907" customFormat="false" ht="15" hidden="false" customHeight="false" outlineLevel="0" collapsed="false">
      <c r="A7907" s="1" t="s">
        <v>1133</v>
      </c>
      <c r="B7907" s="1" t="s">
        <v>81</v>
      </c>
      <c r="E7907" s="15" t="n">
        <f aca="false">sh_out26</f>
        <v>7.427</v>
      </c>
      <c r="F7907" s="15" t="n">
        <f aca="false">Sens!E7907+sh_iss-Sens!F7901/Sens!F7906</f>
        <v>7.472</v>
      </c>
      <c r="G7907" s="15" t="n">
        <f aca="false">Sens!F7907+sh_iss-Sens!G7901/Sens!G7906</f>
        <v>7.517</v>
      </c>
      <c r="H7907" s="15" t="n">
        <f aca="false">Sens!G7907+sh_iss-Sens!H7901/Sens!H7906</f>
        <v>7.562</v>
      </c>
      <c r="I7907" s="15" t="n">
        <f aca="false">Sens!H7907+sh_iss-Sens!I7901/Sens!I7906</f>
        <v>7.57496285005334</v>
      </c>
      <c r="J7907" s="15" t="n">
        <f aca="false">Sens!I7907+sh_iss-Sens!J7901/Sens!J7906</f>
        <v>7.59029882232494</v>
      </c>
      <c r="K7907" s="15" t="n">
        <f aca="false">Sens!J7907+sh_iss-Sens!K7901/Sens!K7906</f>
        <v>7.60783212998384</v>
      </c>
    </row>
    <row r="7908" customFormat="false" ht="15" hidden="false" customHeight="false" outlineLevel="0" collapsed="false">
      <c r="A7908" s="1" t="s">
        <v>1134</v>
      </c>
      <c r="B7908" s="1" t="s">
        <v>81</v>
      </c>
      <c r="E7908" s="15" t="n">
        <f aca="false">sh_dil26</f>
        <v>7.453</v>
      </c>
      <c r="F7908" s="15" t="n">
        <f aca="false">(Sens!E7907+Sens!F7907)/2+dil_gap</f>
        <v>7.4735</v>
      </c>
      <c r="G7908" s="15" t="n">
        <f aca="false">(Sens!F7907+Sens!G7907)/2+dil_gap</f>
        <v>7.5185</v>
      </c>
      <c r="H7908" s="15" t="n">
        <f aca="false">(Sens!G7907+Sens!H7907)/2+dil_gap</f>
        <v>7.5635</v>
      </c>
      <c r="I7908" s="15" t="n">
        <f aca="false">(Sens!H7907+Sens!I7907)/2+dil_gap</f>
        <v>7.59248142502667</v>
      </c>
      <c r="J7908" s="15" t="n">
        <f aca="false">(Sens!I7907+Sens!J7907)/2+dil_gap</f>
        <v>7.60663083618914</v>
      </c>
      <c r="K7908" s="15" t="n">
        <f aca="false">(Sens!J7907+Sens!K7907)/2+dil_gap</f>
        <v>7.62306547615439</v>
      </c>
    </row>
    <row r="7909" customFormat="false" ht="17.15" hidden="false" customHeight="false" outlineLevel="0" collapsed="false">
      <c r="A7909" s="1" t="s">
        <v>1135</v>
      </c>
      <c r="B7909" s="0" t="s">
        <v>98</v>
      </c>
      <c r="C7909" s="6" t="n">
        <f aca="false">SUM(Sens!F7899:J7899)</f>
        <v>144.573483779543</v>
      </c>
    </row>
    <row r="7910" customFormat="false" ht="15" hidden="false" customHeight="false" outlineLevel="0" collapsed="false">
      <c r="A7910" s="26" t="s">
        <v>1100</v>
      </c>
      <c r="B7910" s="31" t="s">
        <v>98</v>
      </c>
      <c r="C7910" s="27" t="n">
        <f aca="false">Sens!$C$7909-(Sens!F7899+Sens!G7899+Sens!H7899+Sens!I7899+Sens!J7899)</f>
        <v>0</v>
      </c>
      <c r="D7910" s="31"/>
      <c r="E7910" s="31"/>
      <c r="F7910" s="31"/>
      <c r="G7910" s="31"/>
      <c r="H7910" s="31"/>
      <c r="I7910" s="31"/>
      <c r="J7910" s="31"/>
      <c r="K7910" s="31"/>
    </row>
    <row r="7911" customFormat="false" ht="17.15" hidden="false" customHeight="false" outlineLevel="0" collapsed="false">
      <c r="A7911" s="1" t="s">
        <v>1094</v>
      </c>
      <c r="B7911" s="1" t="s">
        <v>1136</v>
      </c>
      <c r="C7911" s="33" t="str">
        <f aca="false">IF(SUM(Sens!F7902:J7902)&gt;0.05,"需要舉債 "&amp;TEXT(SUM(Sens!F7902:J7902),"0.0")&amp;" 十億美元","不需舉債")&amp;"；"&amp;IF(SUM(Sens!F7901:J7901)&lt;COUNT(Sens!F7901:J7901)*bb_target-0.05,"回購較每年 "&amp;TEXT(bb_target,"0.0")&amp;" 的目標少 "&amp;TEXT(COUNT(Sens!F7901:J7901)*bb_target-SUM(Sens!F7901:J7901),"0.0")&amp;" 十億美元（"&amp;TEXT(COUNTIF(Sens!F7901:J7901,"&lt;"&amp;(bb_target-0.05)),"0")&amp;" 年減少）","回購不減")</f>
        <v>需要舉債 24.0 十億美元；回購較每年 22.3 的目標少 66.8 十億美元（3 年減少）</v>
      </c>
    </row>
    <row r="7912" customFormat="false" ht="17.15" hidden="false" customHeight="false" outlineLevel="0" collapsed="false">
      <c r="A7912" s="3" t="s">
        <v>1809</v>
      </c>
    </row>
    <row r="7913" customFormat="false" ht="15" hidden="false" customHeight="false" outlineLevel="0" collapsed="false">
      <c r="A7913" s="4" t="s">
        <v>43</v>
      </c>
      <c r="B7913" s="4" t="s">
        <v>65</v>
      </c>
      <c r="C7913" s="23" t="s">
        <v>942</v>
      </c>
      <c r="D7913" s="23" t="s">
        <v>943</v>
      </c>
      <c r="E7913" s="23" t="s">
        <v>944</v>
      </c>
      <c r="F7913" s="23" t="s">
        <v>945</v>
      </c>
      <c r="G7913" s="23" t="s">
        <v>946</v>
      </c>
      <c r="H7913" s="23" t="s">
        <v>947</v>
      </c>
      <c r="I7913" s="23" t="s">
        <v>948</v>
      </c>
      <c r="J7913" s="23" t="s">
        <v>949</v>
      </c>
      <c r="K7913" s="23" t="s">
        <v>950</v>
      </c>
      <c r="L7913" s="4" t="s">
        <v>47</v>
      </c>
    </row>
    <row r="7914" customFormat="false" ht="17.15" hidden="false" customHeight="false" outlineLevel="0" collapsed="false">
      <c r="A7914" s="1" t="s">
        <v>1216</v>
      </c>
      <c r="B7914" s="1" t="s">
        <v>279</v>
      </c>
      <c r="F7914" s="8" t="n">
        <f aca="false">(1-v_off)*mid_yr</f>
        <v>0.373972602739726</v>
      </c>
      <c r="G7914" s="8" t="n">
        <f aca="false">Sens!G7764-base_fy-mid_yr-v_off</f>
        <v>1.24794520547945</v>
      </c>
      <c r="H7914" s="8" t="n">
        <f aca="false">Sens!H7764-base_fy-mid_yr-v_off</f>
        <v>2.24794520547945</v>
      </c>
      <c r="I7914" s="8" t="n">
        <f aca="false">Sens!I7764-base_fy-mid_yr-v_off</f>
        <v>3.24794520547945</v>
      </c>
      <c r="J7914" s="8" t="n">
        <f aca="false">Sens!J7764-base_fy-mid_yr-v_off</f>
        <v>4.24794520547945</v>
      </c>
      <c r="K7914" s="8" t="n">
        <f aca="false">Sens!K7764-base_fy-mid_yr-v_off</f>
        <v>5.24794520547945</v>
      </c>
      <c r="L7914" s="12" t="s">
        <v>1217</v>
      </c>
    </row>
    <row r="7915" customFormat="false" ht="15" hidden="false" customHeight="false" outlineLevel="0" collapsed="false">
      <c r="A7915" s="1" t="s">
        <v>1218</v>
      </c>
      <c r="B7915" s="1" t="s">
        <v>279</v>
      </c>
      <c r="F7915" s="8" t="n">
        <f aca="false">Sens!F7764-base_fy-v_off</f>
        <v>0.747945205479452</v>
      </c>
      <c r="G7915" s="8" t="n">
        <f aca="false">Sens!G7764-base_fy-v_off</f>
        <v>1.74794520547945</v>
      </c>
      <c r="H7915" s="8" t="n">
        <f aca="false">Sens!H7764-base_fy-v_off</f>
        <v>2.74794520547945</v>
      </c>
      <c r="I7915" s="8" t="n">
        <f aca="false">Sens!I7764-base_fy-v_off</f>
        <v>3.74794520547945</v>
      </c>
      <c r="J7915" s="8" t="n">
        <f aca="false">Sens!J7764-base_fy-v_off</f>
        <v>4.74794520547945</v>
      </c>
      <c r="K7915" s="8" t="n">
        <f aca="false">Sens!K7764-base_fy-v_off</f>
        <v>5.74794520547945</v>
      </c>
    </row>
    <row r="7916" customFormat="false" ht="15" hidden="false" customHeight="false" outlineLevel="0" collapsed="false">
      <c r="A7916" s="1" t="s">
        <v>1219</v>
      </c>
      <c r="B7916" s="0" t="s">
        <v>229</v>
      </c>
      <c r="F7916" s="15" t="n">
        <f aca="false">1/(1+wacc)^Sens!F7914</f>
        <v>0.964022703286649</v>
      </c>
      <c r="G7916" s="15" t="n">
        <f aca="false">1/(1+wacc)^Sens!G7914</f>
        <v>0.884910302296739</v>
      </c>
      <c r="H7916" s="15" t="n">
        <f aca="false">1/(1+wacc)^Sens!H7914</f>
        <v>0.802322009770358</v>
      </c>
      <c r="I7916" s="15" t="n">
        <f aca="false">1/(1+wacc)^Sens!I7914</f>
        <v>0.727441646561469</v>
      </c>
      <c r="J7916" s="15" t="n">
        <f aca="false">1/(1+wacc)^Sens!J7914</f>
        <v>0.659549834988973</v>
      </c>
      <c r="K7916" s="15" t="n">
        <f aca="false">1/(1+wacc)^Sens!K7914</f>
        <v>0.597994336576966</v>
      </c>
    </row>
    <row r="7917" customFormat="false" ht="17.15" hidden="false" customHeight="false" outlineLevel="0" collapsed="false">
      <c r="A7917" s="1" t="s">
        <v>1220</v>
      </c>
      <c r="B7917" s="0" t="s">
        <v>98</v>
      </c>
      <c r="F7917" s="6" t="n">
        <f aca="false">Q!$I$35-Q!$I$39-Q!$I$43</f>
        <v>9.666</v>
      </c>
      <c r="L7917" s="12" t="s">
        <v>1221</v>
      </c>
    </row>
    <row r="7918" customFormat="false" ht="17.15" hidden="false" customHeight="false" outlineLevel="0" collapsed="false">
      <c r="A7918" s="1" t="s">
        <v>1222</v>
      </c>
      <c r="B7918" s="0" t="s">
        <v>98</v>
      </c>
      <c r="F7918" s="6" t="n">
        <f aca="false">Sens!F7889-Sens!F7886-Sens!F7893+Sens!F7871*(1-tax_f)*(1-v_off)-Sens!F7917</f>
        <v>-6.16034352587163</v>
      </c>
      <c r="G7918" s="6" t="n">
        <f aca="false">Sens!G7889-Sens!G7886-Sens!G7893+Sens!G7871*(1-tax_f)</f>
        <v>18.7386992005393</v>
      </c>
      <c r="H7918" s="6" t="n">
        <f aca="false">Sens!H7889-Sens!H7886-Sens!H7893+Sens!H7871*(1-tax_f)</f>
        <v>55.5287549614626</v>
      </c>
      <c r="I7918" s="6" t="n">
        <f aca="false">Sens!I7889-Sens!I7886-Sens!I7893+Sens!I7871*(1-tax_f)</f>
        <v>127.428617485076</v>
      </c>
      <c r="J7918" s="6" t="n">
        <f aca="false">Sens!J7889-Sens!J7886-Sens!J7893+Sens!J7871*(1-tax_f)</f>
        <v>201.447079095206</v>
      </c>
      <c r="K7918" s="6" t="n">
        <f aca="false">Sens!K7889-Sens!K7886-Sens!K7893+Sens!K7871*(1-tax_f)</f>
        <v>236.996467857365</v>
      </c>
      <c r="L7918" s="1" t="s">
        <v>1223</v>
      </c>
    </row>
    <row r="7919" customFormat="false" ht="15" hidden="false" customHeight="false" outlineLevel="0" collapsed="false">
      <c r="A7919" s="1" t="s">
        <v>1224</v>
      </c>
      <c r="B7919" s="0" t="s">
        <v>98</v>
      </c>
      <c r="F7919" s="6" t="n">
        <f aca="false">Sens!F7918*Sens!F7916</f>
        <v>-5.93871101898517</v>
      </c>
      <c r="G7919" s="6" t="n">
        <f aca="false">Sens!G7918*Sens!G7916</f>
        <v>16.5820679741969</v>
      </c>
      <c r="H7919" s="6" t="n">
        <f aca="false">Sens!H7918*Sens!H7916</f>
        <v>44.5519422807264</v>
      </c>
      <c r="I7919" s="6" t="n">
        <f aca="false">Sens!I7918*Sens!I7916</f>
        <v>92.6968833223955</v>
      </c>
      <c r="J7919" s="6" t="n">
        <f aca="false">Sens!J7918*Sens!J7916</f>
        <v>132.864387776253</v>
      </c>
      <c r="K7919" s="6" t="n">
        <f aca="false">Sens!K7918*Sens!K7916</f>
        <v>141.722545567449</v>
      </c>
    </row>
    <row r="7920" customFormat="false" ht="17.15" hidden="false" customHeight="false" outlineLevel="0" collapsed="false">
      <c r="A7920" s="1" t="s">
        <v>1225</v>
      </c>
      <c r="B7920" s="0" t="s">
        <v>98</v>
      </c>
      <c r="C7920" s="6" t="n">
        <f aca="false">SUM(Sens!F7919:K7919)</f>
        <v>422.479115902036</v>
      </c>
    </row>
    <row r="7921" customFormat="false" ht="17.15" hidden="false" customHeight="false" outlineLevel="0" collapsed="false">
      <c r="A7921" s="1" t="s">
        <v>1226</v>
      </c>
      <c r="B7921" s="0" t="s">
        <v>98</v>
      </c>
      <c r="C7921" s="6" t="n">
        <f aca="false">Sens!K7857*(1+g_tv)*(1-tax_f)</f>
        <v>246.969631870009</v>
      </c>
    </row>
    <row r="7922" customFormat="false" ht="17.15" hidden="false" customHeight="false" outlineLevel="0" collapsed="false">
      <c r="A7922" s="1" t="s">
        <v>1227</v>
      </c>
      <c r="B7922" s="0" t="s">
        <v>98</v>
      </c>
      <c r="C7922" s="6" t="n">
        <f aca="false">Sens!$C$7921*(1-g_tv/(wacc+ronic_prem))</f>
        <v>174.992418635737</v>
      </c>
    </row>
    <row r="7923" customFormat="false" ht="17.15" hidden="false" customHeight="false" outlineLevel="0" collapsed="false">
      <c r="A7923" s="1" t="s">
        <v>1228</v>
      </c>
      <c r="B7923" s="0" t="s">
        <v>98</v>
      </c>
      <c r="C7923" s="6" t="n">
        <f aca="false">Sens!$C$7922/(wacc-g_tv)</f>
        <v>2399.24044114239</v>
      </c>
    </row>
    <row r="7924" customFormat="false" ht="15" hidden="false" customHeight="false" outlineLevel="0" collapsed="false">
      <c r="A7924" s="1" t="s">
        <v>1229</v>
      </c>
      <c r="B7924" s="0" t="s">
        <v>98</v>
      </c>
      <c r="C7924" s="6" t="n">
        <f aca="false">Sens!$C$7923/(1+wacc)^Sens!K7915</f>
        <v>1366.1411453742</v>
      </c>
    </row>
    <row r="7925" customFormat="false" ht="17.15" hidden="false" customHeight="false" outlineLevel="0" collapsed="false">
      <c r="A7925" s="0" t="s">
        <v>1230</v>
      </c>
      <c r="B7925" s="0" t="s">
        <v>98</v>
      </c>
      <c r="C7925" s="6" t="n">
        <f aca="false">Sens!$C$7920+Sens!$C$7924</f>
        <v>1788.62026127623</v>
      </c>
    </row>
    <row r="7926" customFormat="false" ht="15" hidden="false" customHeight="false" outlineLevel="0" collapsed="false">
      <c r="A7926" s="1" t="s">
        <v>1145</v>
      </c>
      <c r="B7926" s="0" t="s">
        <v>168</v>
      </c>
      <c r="C7926" s="7" t="n">
        <f aca="false">Sens!$C$7924/Sens!$C$7925</f>
        <v>0.763796080672493</v>
      </c>
    </row>
    <row r="7927" customFormat="false" ht="17.15" hidden="false" customHeight="false" outlineLevel="0" collapsed="false">
      <c r="A7927" s="1" t="s">
        <v>1231</v>
      </c>
      <c r="B7927" s="0" t="s">
        <v>98</v>
      </c>
      <c r="C7927" s="6" t="n">
        <f aca="false">Sens!$C$7925+cash_val-debt_val-fl_val+oai_v</f>
        <v>1904.47126127623</v>
      </c>
    </row>
    <row r="7928" customFormat="false" ht="17.15" hidden="false" customHeight="false" outlineLevel="0" collapsed="false">
      <c r="A7928" s="0" t="s">
        <v>1153</v>
      </c>
      <c r="B7928" s="0" t="s">
        <v>75</v>
      </c>
      <c r="C7928" s="5" t="n">
        <f aca="false">Sens!$C$7927/shd_val</f>
        <v>255.771053085715</v>
      </c>
    </row>
    <row r="7929" customFormat="false" ht="15" hidden="false" customHeight="false" outlineLevel="0" collapsed="false">
      <c r="A7929" s="1" t="s">
        <v>1232</v>
      </c>
      <c r="B7929" s="0" t="s">
        <v>75</v>
      </c>
      <c r="C7929" s="8" t="n">
        <f aca="false">div_rem27+Sens!G7897*roll_div_q/q_per_yr</f>
        <v>3.9795</v>
      </c>
    </row>
    <row r="7930" customFormat="false" ht="17.15" hidden="false" customHeight="false" outlineLevel="0" collapsed="false">
      <c r="A7930" s="0" t="s">
        <v>1233</v>
      </c>
      <c r="B7930" s="0" t="s">
        <v>75</v>
      </c>
      <c r="C7930" s="5" t="n">
        <f aca="false">Sens!$C$7928*(1+wacc)^t_roll-Sens!$C$7929</f>
        <v>280.324300277492</v>
      </c>
    </row>
    <row r="7931" customFormat="false" ht="17.15" hidden="false" customHeight="false" outlineLevel="0" collapsed="false">
      <c r="A7931" s="1" t="s">
        <v>1234</v>
      </c>
      <c r="B7931" s="0" t="s">
        <v>168</v>
      </c>
      <c r="F7931" s="7" t="n">
        <f aca="false">Sens!F7883/(Sens!F7828-Sens!F7783)</f>
        <v>0.0685796955356811</v>
      </c>
      <c r="G7931" s="7" t="n">
        <f aca="false">Sens!G7883/(Sens!G7828-Sens!G7783)</f>
        <v>0.0660258871706566</v>
      </c>
      <c r="H7931" s="7" t="n">
        <f aca="false">Sens!H7883/(Sens!H7828-Sens!H7783)</f>
        <v>0.0647328240298181</v>
      </c>
      <c r="I7931" s="7" t="n">
        <f aca="false">Sens!I7883/(Sens!I7828-Sens!I7783)</f>
        <v>0.0645731035399055</v>
      </c>
      <c r="J7931" s="7" t="n">
        <f aca="false">Sens!J7883/(Sens!J7828-Sens!J7783)</f>
        <v>0.0653022079595271</v>
      </c>
      <c r="K7931" s="7" t="n">
        <f aca="false">Sens!K7883/(Sens!K7828-Sens!K7783)</f>
        <v>0.0666306066223573</v>
      </c>
    </row>
    <row r="7932" customFormat="false" ht="17.15" hidden="false" customHeight="false" outlineLevel="0" collapsed="false">
      <c r="A7932" s="0" t="s">
        <v>1235</v>
      </c>
      <c r="B7932" s="0" t="s">
        <v>98</v>
      </c>
      <c r="F7932" s="6" t="n">
        <f aca="false">Sens!F7813*(al_m365+Sens!F7931+sbc_r)</f>
        <v>83.3114411496238</v>
      </c>
      <c r="G7932" s="6" t="n">
        <f aca="false">Sens!G7813*(al_m365+Sens!G7931+sbc_r)</f>
        <v>94.7125747080483</v>
      </c>
      <c r="H7932" s="6" t="n">
        <f aca="false">Sens!H7813*(al_m365+Sens!H7931+sbc_r)</f>
        <v>106.276554498632</v>
      </c>
      <c r="I7932" s="6" t="n">
        <f aca="false">Sens!I7813*(al_m365+Sens!I7931+sbc_r)</f>
        <v>117.074337334801</v>
      </c>
      <c r="J7932" s="6" t="n">
        <f aca="false">Sens!J7813*(al_m365+Sens!J7931+sbc_r)</f>
        <v>126.917188495695</v>
      </c>
      <c r="K7932" s="6" t="n">
        <f aca="false">Sens!K7813*(al_m365+Sens!K7931+sbc_r)</f>
        <v>136.367004803183</v>
      </c>
      <c r="L7932" s="12" t="s">
        <v>1236</v>
      </c>
    </row>
    <row r="7933" customFormat="false" ht="17.15" hidden="false" customHeight="false" outlineLevel="0" collapsed="false">
      <c r="A7933" s="0" t="s">
        <v>1237</v>
      </c>
      <c r="B7933" s="0" t="s">
        <v>98</v>
      </c>
      <c r="F7933" s="6" t="n">
        <f aca="false">Sens!F7814*(al_lic+Sens!F7931+sbc_r)</f>
        <v>32.8562352506507</v>
      </c>
      <c r="G7933" s="6" t="n">
        <f aca="false">Sens!G7814*(al_lic+Sens!G7931+sbc_r)</f>
        <v>34.1453298710912</v>
      </c>
      <c r="H7933" s="6" t="n">
        <f aca="false">Sens!H7814*(al_lic+Sens!H7931+sbc_r)</f>
        <v>35.3468133832515</v>
      </c>
      <c r="I7933" s="6" t="n">
        <f aca="false">Sens!I7814*(al_lic+Sens!I7931+sbc_r)</f>
        <v>36.4418173911592</v>
      </c>
      <c r="J7933" s="6" t="n">
        <f aca="false">Sens!J7814*(al_lic+Sens!J7931+sbc_r)</f>
        <v>37.406205237286</v>
      </c>
      <c r="K7933" s="6" t="n">
        <f aca="false">Sens!K7814*(al_lic+Sens!K7931+sbc_r)</f>
        <v>38.2137700174493</v>
      </c>
    </row>
    <row r="7934" customFormat="false" ht="17.15" hidden="false" customHeight="false" outlineLevel="0" collapsed="false">
      <c r="A7934" s="0" t="s">
        <v>1238</v>
      </c>
      <c r="B7934" s="0" t="s">
        <v>98</v>
      </c>
      <c r="F7934" s="6" t="n">
        <f aca="false">Sens!F7816*(al_ind+Sens!F7931+sbc_r)</f>
        <v>9.05952723459395</v>
      </c>
      <c r="G7934" s="6" t="n">
        <f aca="false">Sens!G7816*(al_ind+Sens!G7931+sbc_r)</f>
        <v>9.84088747756856</v>
      </c>
      <c r="H7934" s="6" t="n">
        <f aca="false">Sens!H7816*(al_ind+Sens!H7931+sbc_r)</f>
        <v>10.6661210303739</v>
      </c>
      <c r="I7934" s="6" t="n">
        <f aca="false">Sens!I7816*(al_ind+Sens!I7931+sbc_r)</f>
        <v>11.531488661324</v>
      </c>
      <c r="J7934" s="6" t="n">
        <f aca="false">Sens!J7816*(al_ind+Sens!J7931+sbc_r)</f>
        <v>12.427858171208</v>
      </c>
      <c r="K7934" s="6" t="n">
        <f aca="false">Sens!K7816*(al_ind+Sens!K7931+sbc_r)</f>
        <v>13.3416757816443</v>
      </c>
    </row>
    <row r="7935" customFormat="false" ht="17.15" hidden="false" customHeight="false" outlineLevel="0" collapsed="false">
      <c r="A7935" s="0" t="s">
        <v>1239</v>
      </c>
      <c r="B7935" s="0" t="s">
        <v>98</v>
      </c>
      <c r="F7935" s="6" t="n">
        <f aca="false">Sens!F7818*(al_fro+Sens!F7931+sbc_r)</f>
        <v>3.5536804791086</v>
      </c>
      <c r="G7935" s="6" t="n">
        <f aca="false">Sens!G7818*(al_fro+Sens!G7931+sbc_r)</f>
        <v>3.76541196537235</v>
      </c>
      <c r="H7935" s="6" t="n">
        <f aca="false">Sens!H7818*(al_fro+Sens!H7931+sbc_r)</f>
        <v>4.00562905108176</v>
      </c>
      <c r="I7935" s="6" t="n">
        <f aca="false">Sens!I7818*(al_fro+Sens!I7931+sbc_r)</f>
        <v>4.2768905000024</v>
      </c>
      <c r="J7935" s="6" t="n">
        <f aca="false">Sens!J7818*(al_fro+Sens!J7931+sbc_r)</f>
        <v>4.58059825518145</v>
      </c>
      <c r="K7935" s="6" t="n">
        <f aca="false">Sens!K7818*(al_fro+Sens!K7931+sbc_r)</f>
        <v>4.91740861254586</v>
      </c>
    </row>
    <row r="7936" customFormat="false" ht="17.15" hidden="false" customHeight="false" outlineLevel="0" collapsed="false">
      <c r="A7936" s="0" t="s">
        <v>1240</v>
      </c>
      <c r="B7936" s="0" t="s">
        <v>98</v>
      </c>
      <c r="F7936" s="6" t="n">
        <f aca="false">Sens!F7821*(al_srch+Sens!F7931+sbc_r)</f>
        <v>11.1879914771806</v>
      </c>
      <c r="G7936" s="6" t="n">
        <f aca="false">Sens!G7821*(al_srch+Sens!G7931+sbc_r)</f>
        <v>12.2675937092185</v>
      </c>
      <c r="H7936" s="6" t="n">
        <f aca="false">Sens!H7821*(al_srch+Sens!H7931+sbc_r)</f>
        <v>13.3909173559268</v>
      </c>
      <c r="I7936" s="6" t="n">
        <f aca="false">Sens!I7821*(al_srch+Sens!I7931+sbc_r)</f>
        <v>14.5463840189804</v>
      </c>
      <c r="J7936" s="6" t="n">
        <f aca="false">Sens!J7821*(al_srch+Sens!J7931+sbc_r)</f>
        <v>15.7146844425566</v>
      </c>
      <c r="K7936" s="6" t="n">
        <f aca="false">Sens!K7821*(al_srch+Sens!K7931+sbc_r)</f>
        <v>16.8701816479662</v>
      </c>
    </row>
    <row r="7937" customFormat="false" ht="17.15" hidden="false" customHeight="false" outlineLevel="0" collapsed="false">
      <c r="A7937" s="0" t="s">
        <v>1241</v>
      </c>
      <c r="B7937" s="0" t="s">
        <v>98</v>
      </c>
      <c r="F7937" s="6" t="n">
        <f aca="false">Sens!F7789-Sens!F7790+Sens!F7871</f>
        <v>38.5414249663326</v>
      </c>
      <c r="G7937" s="6" t="n">
        <f aca="false">Sens!G7789-Sens!G7790+Sens!G7871</f>
        <v>68.1808436865398</v>
      </c>
      <c r="H7937" s="6" t="n">
        <f aca="false">Sens!H7789-Sens!H7790+Sens!H7871</f>
        <v>94.6736206150331</v>
      </c>
      <c r="I7937" s="6" t="n">
        <f aca="false">Sens!I7789-Sens!I7790+Sens!I7871</f>
        <v>124.871522680914</v>
      </c>
      <c r="J7937" s="6" t="n">
        <f aca="false">Sens!J7789-Sens!J7790+Sens!J7871</f>
        <v>146.096717582538</v>
      </c>
      <c r="K7937" s="6" t="n">
        <f aca="false">Sens!K7789-Sens!K7790+Sens!K7871</f>
        <v>159.091968909992</v>
      </c>
    </row>
    <row r="7938" customFormat="false" ht="17.15" hidden="false" customHeight="false" outlineLevel="0" collapsed="false">
      <c r="A7938" s="0" t="s">
        <v>1242</v>
      </c>
      <c r="B7938" s="0" t="s">
        <v>98</v>
      </c>
      <c r="F7938" s="6" t="n">
        <f aca="false">Sens!F7850+Sens!F7871+Sens!F7801+Sens!F7931*(Sens!F7820-Sens!F7783)+sbc_r*Sens!F7820</f>
        <v>234.717759901671</v>
      </c>
      <c r="G7938" s="6" t="n">
        <f aca="false">Sens!G7850+Sens!G7871+Sens!G7801+Sens!G7931*(Sens!G7820-Sens!G7783)+sbc_r*Sens!G7820</f>
        <v>285.507856205904</v>
      </c>
      <c r="H7938" s="6" t="n">
        <f aca="false">Sens!H7850+Sens!H7871+Sens!H7801+Sens!H7931*(Sens!H7820-Sens!H7783)+sbc_r*Sens!H7820</f>
        <v>338.352551331494</v>
      </c>
      <c r="I7938" s="6" t="n">
        <f aca="false">Sens!I7850+Sens!I7871+Sens!I7801+Sens!I7931*(Sens!I7820-Sens!I7783)+sbc_r*Sens!I7820</f>
        <v>394.05575446228</v>
      </c>
      <c r="J7938" s="6" t="n">
        <f aca="false">Sens!J7850+Sens!J7871+Sens!J7801+Sens!J7931*(Sens!J7820-Sens!J7783)+sbc_r*Sens!J7820</f>
        <v>438.634745694102</v>
      </c>
      <c r="K7938" s="6" t="n">
        <f aca="false">Sens!K7850+Sens!K7871+Sens!K7801+Sens!K7931*(Sens!K7820-Sens!K7783)+sbc_r*Sens!K7820</f>
        <v>472.645610395603</v>
      </c>
    </row>
    <row r="7939" customFormat="false" ht="17.15" hidden="false" customHeight="false" outlineLevel="0" collapsed="false">
      <c r="A7939" s="0" t="s">
        <v>1243</v>
      </c>
      <c r="B7939" s="0" t="s">
        <v>98</v>
      </c>
      <c r="F7939" s="6" t="n">
        <f aca="false">Sens!F7938-Sens!F7932-Sens!F7933-Sens!F7934-Sens!F7935-Sens!F7937</f>
        <v>67.3954508213615</v>
      </c>
      <c r="G7939" s="6" t="n">
        <f aca="false">Sens!G7938-Sens!G7932-Sens!G7933-Sens!G7934-Sens!G7935-Sens!G7937</f>
        <v>74.8628084972842</v>
      </c>
      <c r="H7939" s="6" t="n">
        <f aca="false">Sens!H7938-Sens!H7932-Sens!H7933-Sens!H7934-Sens!H7935-Sens!H7937</f>
        <v>87.3838127531213</v>
      </c>
      <c r="I7939" s="6" t="n">
        <f aca="false">Sens!I7938-Sens!I7932-Sens!I7933-Sens!I7934-Sens!I7935-Sens!I7937</f>
        <v>99.8596978940797</v>
      </c>
      <c r="J7939" s="6" t="n">
        <f aca="false">Sens!J7938-Sens!J7932-Sens!J7933-Sens!J7934-Sens!J7935-Sens!J7937</f>
        <v>111.206177952193</v>
      </c>
      <c r="K7939" s="6" t="n">
        <f aca="false">Sens!K7938-Sens!K7932-Sens!K7933-Sens!K7934-Sens!K7935-Sens!K7937</f>
        <v>120.713782270788</v>
      </c>
    </row>
    <row r="7940" customFormat="false" ht="17.15" hidden="false" customHeight="false" outlineLevel="0" collapsed="false">
      <c r="A7940" s="0" t="s">
        <v>1244</v>
      </c>
      <c r="B7940" s="0" t="s">
        <v>98</v>
      </c>
      <c r="F7940" s="6" t="n">
        <f aca="false">Sens!F7852+Sens!F7931*Sens!F7827+sbc_r*Sens!F7827</f>
        <v>26.6310727571775</v>
      </c>
      <c r="G7940" s="6" t="n">
        <f aca="false">Sens!G7852+Sens!G7931*Sens!G7827+sbc_r*Sens!G7827</f>
        <v>26.4848460219338</v>
      </c>
      <c r="H7940" s="6" t="n">
        <f aca="false">Sens!H7852+Sens!H7931*Sens!H7827+sbc_r*Sens!H7827</f>
        <v>27.3703798834868</v>
      </c>
      <c r="I7940" s="6" t="n">
        <f aca="false">Sens!I7852+Sens!I7931*Sens!I7827+sbc_r*Sens!I7827</f>
        <v>28.4864729682317</v>
      </c>
      <c r="J7940" s="6" t="n">
        <f aca="false">Sens!J7852+Sens!J7931*Sens!J7827+sbc_r*Sens!J7827</f>
        <v>29.80009312709</v>
      </c>
      <c r="K7940" s="6" t="n">
        <f aca="false">Sens!K7852+Sens!K7931*Sens!K7827+sbc_r*Sens!K7827</f>
        <v>31.2782475515367</v>
      </c>
    </row>
    <row r="7941" customFormat="false" ht="17.15" hidden="false" customHeight="false" outlineLevel="0" collapsed="false">
      <c r="A7941" s="0" t="s">
        <v>1245</v>
      </c>
      <c r="B7941" s="0" t="s">
        <v>98</v>
      </c>
      <c r="F7941" s="6" t="n">
        <f aca="false">(Sens!F7940-Sens!F7936)*Sens!F7823/(Sens!F7823+Sens!F7825)</f>
        <v>8.72202866804942</v>
      </c>
      <c r="G7941" s="6" t="n">
        <f aca="false">(Sens!G7940-Sens!G7936)*Sens!G7823/(Sens!G7823+Sens!G7825)</f>
        <v>7.89169751596203</v>
      </c>
      <c r="H7941" s="6" t="n">
        <f aca="false">(Sens!H7940-Sens!H7936)*Sens!H7823/(Sens!H7823+Sens!H7825)</f>
        <v>7.65861942485632</v>
      </c>
      <c r="I7941" s="6" t="n">
        <f aca="false">(Sens!I7940-Sens!I7936)*Sens!I7823/(Sens!I7823+Sens!I7825)</f>
        <v>7.570389064043</v>
      </c>
      <c r="J7941" s="6" t="n">
        <f aca="false">(Sens!J7940-Sens!J7936)*Sens!J7823/(Sens!J7823+Sens!J7825)</f>
        <v>7.61593371320526</v>
      </c>
      <c r="K7941" s="6" t="n">
        <f aca="false">(Sens!K7940-Sens!K7936)*Sens!K7823/(Sens!K7823+Sens!K7825)</f>
        <v>7.79039340034034</v>
      </c>
    </row>
    <row r="7942" customFormat="false" ht="17.15" hidden="false" customHeight="false" outlineLevel="0" collapsed="false">
      <c r="A7942" s="0" t="s">
        <v>1246</v>
      </c>
      <c r="B7942" s="0" t="s">
        <v>98</v>
      </c>
      <c r="F7942" s="6" t="n">
        <f aca="false">Sens!F7940-Sens!F7936-Sens!F7941</f>
        <v>6.7210526119474</v>
      </c>
      <c r="G7942" s="6" t="n">
        <f aca="false">Sens!G7940-Sens!G7936-Sens!G7941</f>
        <v>6.32555479675318</v>
      </c>
      <c r="H7942" s="6" t="n">
        <f aca="false">Sens!H7940-Sens!H7936-Sens!H7941</f>
        <v>6.32084310270372</v>
      </c>
      <c r="I7942" s="6" t="n">
        <f aca="false">Sens!I7940-Sens!I7936-Sens!I7941</f>
        <v>6.3696998852083</v>
      </c>
      <c r="J7942" s="6" t="n">
        <f aca="false">Sens!J7940-Sens!J7936-Sens!J7941</f>
        <v>6.46947497132821</v>
      </c>
      <c r="K7942" s="6" t="n">
        <f aca="false">Sens!K7940-Sens!K7936-Sens!K7941</f>
        <v>6.6176725032302</v>
      </c>
    </row>
    <row r="7943" customFormat="false" ht="17.15" hidden="false" customHeight="false" outlineLevel="0" collapsed="false">
      <c r="A7943" s="0" t="s">
        <v>1247</v>
      </c>
      <c r="B7943" s="0" t="s">
        <v>98</v>
      </c>
      <c r="F7943" s="6" t="n">
        <f aca="false">Sens!F7937-tax_f*(Sens!F7937-Sens!F7801)-Sens!F7798</f>
        <v>-130.704901173383</v>
      </c>
      <c r="G7943" s="6" t="n">
        <f aca="false">Sens!G7937-tax_f*(Sens!G7937-Sens!G7801)-Sens!G7798</f>
        <v>-125.252902569357</v>
      </c>
      <c r="H7943" s="6" t="n">
        <f aca="false">Sens!H7937-tax_f*(Sens!H7937-Sens!H7801)-Sens!H7798</f>
        <v>-103.247089440197</v>
      </c>
      <c r="I7943" s="6" t="n">
        <f aca="false">Sens!I7937-tax_f*(Sens!I7937-Sens!I7801)-Sens!I7798</f>
        <v>-45.8714135379693</v>
      </c>
      <c r="J7943" s="6" t="n">
        <f aca="false">Sens!J7937-tax_f*(Sens!J7937-Sens!J7801)-Sens!J7798</f>
        <v>14.3505774800094</v>
      </c>
      <c r="K7943" s="6" t="n">
        <f aca="false">Sens!K7937-tax_f*(Sens!K7937-Sens!K7801)-Sens!K7798</f>
        <v>36.9132559734478</v>
      </c>
    </row>
    <row r="7944" customFormat="false" ht="17.15" hidden="false" customHeight="false" outlineLevel="0" collapsed="false">
      <c r="A7944" s="0" t="s">
        <v>1248</v>
      </c>
      <c r="B7944" s="0" t="s">
        <v>98</v>
      </c>
      <c r="G7944" s="6" t="n">
        <f aca="false">Sens!G7943/(1+wacc)^(Sens!G7914-Sens!F7915)</f>
        <v>-119.264866480151</v>
      </c>
      <c r="H7944" s="6" t="n">
        <f aca="false">Sens!H7943/(1+wacc)^(Sens!H7914-Sens!F7915)</f>
        <v>-89.1357657964307</v>
      </c>
      <c r="I7944" s="6" t="n">
        <f aca="false">Sens!I7943/(1+wacc)^(Sens!I7914-Sens!F7915)</f>
        <v>-35.9058953283766</v>
      </c>
      <c r="J7944" s="6" t="n">
        <f aca="false">Sens!J7943/(1+wacc)^(Sens!J7914-Sens!F7915)</f>
        <v>10.1845646656907</v>
      </c>
      <c r="K7944" s="6" t="n">
        <f aca="false">Sens!K7943/(1+wacc)^(Sens!K7914-Sens!F7915)</f>
        <v>23.7522579696495</v>
      </c>
      <c r="L7944" s="1" t="s">
        <v>1249</v>
      </c>
    </row>
    <row r="7945" customFormat="false" ht="17.15" hidden="false" customHeight="false" outlineLevel="0" collapsed="false">
      <c r="A7945" s="0" t="s">
        <v>1250</v>
      </c>
      <c r="B7945" s="0" t="s">
        <v>98</v>
      </c>
      <c r="C7945" s="6" t="n">
        <f aca="false">(Sens!K7937-Sens!K7801)*(1-tax_f)*(1+g_tv)*(1-g_tv/(wacc+ronic_prem))/(wacc-g_tv)/(1+wacc)^(Sens!K7915-Sens!F7915)</f>
        <v>78.8627334335346</v>
      </c>
    </row>
    <row r="7946" customFormat="false" ht="17.15" hidden="false" customHeight="false" outlineLevel="0" collapsed="false">
      <c r="A7946" s="1" t="s">
        <v>1251</v>
      </c>
      <c r="B7946" s="0" t="s">
        <v>98</v>
      </c>
      <c r="C7946" s="6" t="n">
        <f aca="false">(SUM(Sens!G7944:K7944)+Sens!$C$7945)*(1+wacc)^(t_roll-Sens!F7915)</f>
        <v>-135.848414373091</v>
      </c>
      <c r="L7946" s="12" t="s">
        <v>1252</v>
      </c>
    </row>
    <row r="7947" customFormat="false" ht="17.15" hidden="false" customHeight="false" outlineLevel="0" collapsed="false">
      <c r="A7947" s="1" t="s">
        <v>1253</v>
      </c>
      <c r="B7947" s="0" t="s">
        <v>98</v>
      </c>
      <c r="C7947" s="6" t="n">
        <f aca="false">(w_ntm28*Sens!G7789+(1-w_ntm28)*Sens!H7789)*m_ai</f>
        <v>344.355829012336</v>
      </c>
    </row>
    <row r="7948" customFormat="false" ht="17.15" hidden="false" customHeight="false" outlineLevel="0" collapsed="false">
      <c r="A7948" s="1" t="s">
        <v>1254</v>
      </c>
      <c r="B7948" s="0" t="s">
        <v>98</v>
      </c>
      <c r="C7948" s="6" t="n">
        <f aca="false">(w_ntm28*Sens!G7939+(1-w_ntm28)*Sens!H7939)*m_cloud</f>
        <v>1091.49396811159</v>
      </c>
    </row>
    <row r="7949" customFormat="false" ht="17.15" hidden="false" customHeight="false" outlineLevel="0" collapsed="false">
      <c r="A7949" s="1" t="s">
        <v>1255</v>
      </c>
      <c r="B7949" s="0" t="s">
        <v>98</v>
      </c>
      <c r="C7949" s="6" t="n">
        <f aca="false">(w_ntm28*Sens!G7932+(1-w_ntm28)*Sens!H7932)*m_sw</f>
        <v>1063.9558556376</v>
      </c>
    </row>
    <row r="7950" customFormat="false" ht="17.15" hidden="false" customHeight="false" outlineLevel="0" collapsed="false">
      <c r="A7950" s="1" t="s">
        <v>1256</v>
      </c>
      <c r="B7950" s="0" t="s">
        <v>98</v>
      </c>
      <c r="C7950" s="6" t="n">
        <f aca="false">(w_ntm28*Sens!G7933+(1-w_ntm28)*Sens!H7933)*m_sw</f>
        <v>373.035652009866</v>
      </c>
    </row>
    <row r="7951" customFormat="false" ht="17.15" hidden="false" customHeight="false" outlineLevel="0" collapsed="false">
      <c r="A7951" s="1" t="s">
        <v>1257</v>
      </c>
      <c r="B7951" s="0" t="s">
        <v>98</v>
      </c>
      <c r="C7951" s="6" t="n">
        <f aca="false">(w_ntm28*Sens!G7934+(1-w_ntm28)*Sens!H7934)*m_sw</f>
        <v>109.21172909866</v>
      </c>
    </row>
    <row r="7952" customFormat="false" ht="17.15" hidden="false" customHeight="false" outlineLevel="0" collapsed="false">
      <c r="A7952" s="1" t="s">
        <v>1258</v>
      </c>
      <c r="B7952" s="0" t="s">
        <v>98</v>
      </c>
      <c r="C7952" s="6" t="n">
        <f aca="false">(w_ntm28*Sens!G7935+(1-w_ntm28)*Sens!H7935)*m_sw</f>
        <v>41.5193844125403</v>
      </c>
    </row>
    <row r="7953" customFormat="false" ht="17.15" hidden="false" customHeight="false" outlineLevel="0" collapsed="false">
      <c r="A7953" s="1" t="s">
        <v>1259</v>
      </c>
      <c r="B7953" s="0" t="s">
        <v>98</v>
      </c>
      <c r="C7953" s="6" t="n">
        <f aca="false">(w_ntm28*Sens!G7936+(1-w_ntm28)*Sens!H7936)*m_ads</f>
        <v>115.122209952848</v>
      </c>
    </row>
    <row r="7954" customFormat="false" ht="17.15" hidden="false" customHeight="false" outlineLevel="0" collapsed="false">
      <c r="A7954" s="1" t="s">
        <v>1260</v>
      </c>
      <c r="B7954" s="0" t="s">
        <v>98</v>
      </c>
      <c r="C7954" s="6" t="n">
        <f aca="false">(w_ntm28*Sens!G7941+(1-w_ntm28)*Sens!H7941)*m_game</f>
        <v>98.704322763916</v>
      </c>
    </row>
    <row r="7955" customFormat="false" ht="17.15" hidden="false" customHeight="false" outlineLevel="0" collapsed="false">
      <c r="A7955" s="1" t="s">
        <v>1261</v>
      </c>
      <c r="B7955" s="0" t="s">
        <v>98</v>
      </c>
      <c r="C7955" s="6" t="n">
        <f aca="false">(w_ntm28*Sens!G7942+(1-w_ntm28)*Sens!H7942)*m_pc</f>
        <v>91.5083631540939</v>
      </c>
    </row>
    <row r="7956" customFormat="false" ht="17.15" hidden="false" customHeight="false" outlineLevel="0" collapsed="false">
      <c r="A7956" s="1" t="s">
        <v>1262</v>
      </c>
      <c r="B7956" s="0" t="s">
        <v>98</v>
      </c>
      <c r="C7956" s="6" t="n">
        <f aca="false">Sens!$C$7946+Sens!$C$7948+Sens!$C$7949+Sens!$C$7950+Sens!$C$7951+Sens!$C$7952+Sens!$C$7953+Sens!$C$7954+Sens!$C$7955</f>
        <v>2848.70307076802</v>
      </c>
    </row>
    <row r="7957" customFormat="false" ht="17.15" hidden="false" customHeight="false" outlineLevel="0" collapsed="false">
      <c r="A7957" s="1" t="s">
        <v>1263</v>
      </c>
      <c r="B7957" s="0" t="s">
        <v>98</v>
      </c>
      <c r="C7957" s="6" t="n">
        <f aca="false">(Sens!G7918-Sens!G7943)*t_stub</f>
        <v>47.7342022305682</v>
      </c>
      <c r="L7957" s="1" t="s">
        <v>1264</v>
      </c>
    </row>
    <row r="7958" customFormat="false" ht="17.15" hidden="false" customHeight="false" outlineLevel="0" collapsed="false">
      <c r="A7958" s="1" t="s">
        <v>1173</v>
      </c>
      <c r="B7958" s="0" t="s">
        <v>98</v>
      </c>
      <c r="C7958" s="6" t="n">
        <f aca="false">Sens!F7905+oai_v-Sens!F7894+Sens!$C$7957</f>
        <v>159.025679273634</v>
      </c>
      <c r="L7958" s="1" t="s">
        <v>1265</v>
      </c>
    </row>
    <row r="7959" customFormat="false" ht="17.15" hidden="false" customHeight="false" outlineLevel="0" collapsed="false">
      <c r="A7959" s="1" t="s">
        <v>1266</v>
      </c>
      <c r="B7959" s="0" t="s">
        <v>75</v>
      </c>
      <c r="C7959" s="5" t="n">
        <f aca="false">(Sens!$C$7956+Sens!$C$7958)/(Sens!F7907+dil_gap)-Sens!G7897*roll_div_q/q_per_yr</f>
        <v>400.204997070659</v>
      </c>
      <c r="L7959" s="1" t="s">
        <v>1267</v>
      </c>
    </row>
    <row r="7960" customFormat="false" ht="17.15" hidden="false" customHeight="false" outlineLevel="0" collapsed="false">
      <c r="A7960" s="1" t="s">
        <v>1268</v>
      </c>
      <c r="B7960" s="0" t="s">
        <v>75</v>
      </c>
      <c r="C7960" s="5" t="n">
        <f aca="false">w_dcf*Sens!$C$7930+(1-w_dcf)*Sens!$C$7959</f>
        <v>340.264648674076</v>
      </c>
    </row>
    <row r="7961" customFormat="false" ht="17.15" hidden="false" customHeight="false" outlineLevel="0" collapsed="false">
      <c r="A7961" s="3" t="s">
        <v>1810</v>
      </c>
    </row>
    <row r="7962" customFormat="false" ht="15" hidden="false" customHeight="false" outlineLevel="0" collapsed="false">
      <c r="A7962" s="4" t="s">
        <v>43</v>
      </c>
      <c r="B7962" s="4" t="s">
        <v>65</v>
      </c>
      <c r="C7962" s="23" t="s">
        <v>942</v>
      </c>
      <c r="D7962" s="23" t="s">
        <v>943</v>
      </c>
      <c r="E7962" s="23" t="s">
        <v>944</v>
      </c>
      <c r="F7962" s="23" t="s">
        <v>945</v>
      </c>
      <c r="G7962" s="23" t="s">
        <v>946</v>
      </c>
      <c r="H7962" s="23" t="s">
        <v>947</v>
      </c>
      <c r="I7962" s="23" t="s">
        <v>948</v>
      </c>
      <c r="J7962" s="23" t="s">
        <v>949</v>
      </c>
      <c r="K7962" s="23" t="s">
        <v>950</v>
      </c>
      <c r="L7962" s="4" t="s">
        <v>47</v>
      </c>
    </row>
    <row r="7963" customFormat="false" ht="17.15" hidden="false" customHeight="false" outlineLevel="0" collapsed="false">
      <c r="A7963" s="1" t="s">
        <v>951</v>
      </c>
      <c r="B7963" s="1" t="s">
        <v>279</v>
      </c>
      <c r="C7963" s="21" t="n">
        <v>2024</v>
      </c>
      <c r="D7963" s="21" t="n">
        <v>2025</v>
      </c>
      <c r="E7963" s="21" t="n">
        <v>2026</v>
      </c>
      <c r="F7963" s="21" t="n">
        <v>2027</v>
      </c>
      <c r="G7963" s="21" t="n">
        <v>2028</v>
      </c>
      <c r="H7963" s="21" t="n">
        <v>2029</v>
      </c>
      <c r="I7963" s="21" t="n">
        <v>2030</v>
      </c>
      <c r="J7963" s="21" t="n">
        <v>2031</v>
      </c>
      <c r="K7963" s="21" t="n">
        <v>2032</v>
      </c>
    </row>
    <row r="7964" customFormat="false" ht="17.15" hidden="false" customHeight="false" outlineLevel="0" collapsed="false">
      <c r="A7964" s="1" t="s">
        <v>952</v>
      </c>
      <c r="B7964" s="0" t="s">
        <v>459</v>
      </c>
      <c r="F7964" s="30" t="n">
        <f aca="false">pace</f>
        <v>2726.5351</v>
      </c>
      <c r="G7964" s="30" t="n">
        <f aca="false">pace</f>
        <v>2726.5351</v>
      </c>
      <c r="H7964" s="30" t="n">
        <f aca="false">pace</f>
        <v>2726.5351</v>
      </c>
      <c r="I7964" s="30" t="n">
        <f aca="false">pace+(g_tv*Sens!H7965-pace)*MIN(1,(Sens!I7963-pace_y0)/(pace_y1-pace_y0))</f>
        <v>1931.98611966667</v>
      </c>
      <c r="J7964" s="30" t="n">
        <f aca="false">pace+(g_tv*Sens!I7965-pace)*MIN(1,(Sens!J7963-pace_y0)/(pace_y1-pace_y0))</f>
        <v>1176.07686172667</v>
      </c>
      <c r="K7964" s="30" t="n">
        <f aca="false">pace+(g_tv*Sens!J7965-pace)*MIN(1,(Sens!K7963-pace_y0)/(pace_y1-pace_y0))</f>
        <v>436.1300484418</v>
      </c>
      <c r="L7964" s="12" t="s">
        <v>953</v>
      </c>
    </row>
    <row r="7965" customFormat="false" ht="17.15" hidden="false" customHeight="false" outlineLevel="0" collapsed="false">
      <c r="A7965" s="1" t="s">
        <v>954</v>
      </c>
      <c r="B7965" s="0" t="s">
        <v>459</v>
      </c>
      <c r="C7965" s="30" t="n">
        <f aca="false">mw_ext_24</f>
        <v>640</v>
      </c>
      <c r="D7965" s="30" t="n">
        <f aca="false">mw_ext_25</f>
        <v>1630</v>
      </c>
      <c r="E7965" s="30" t="n">
        <f aca="false">mw_ext_26</f>
        <v>3250</v>
      </c>
      <c r="F7965" s="30" t="n">
        <f aca="false">Sens!E7965+Sens!F7964</f>
        <v>5976.5351</v>
      </c>
      <c r="G7965" s="30" t="n">
        <f aca="false">Sens!F7965+Sens!G7964</f>
        <v>8703.0702</v>
      </c>
      <c r="H7965" s="30" t="n">
        <f aca="false">Sens!G7965+Sens!H7964</f>
        <v>11429.6053</v>
      </c>
      <c r="I7965" s="30" t="n">
        <f aca="false">Sens!H7965+Sens!I7964</f>
        <v>13361.5914196667</v>
      </c>
      <c r="J7965" s="30" t="n">
        <f aca="false">Sens!I7965+Sens!J7964</f>
        <v>14537.6682813933</v>
      </c>
      <c r="K7965" s="30" t="n">
        <f aca="false">Sens!J7965+Sens!K7964</f>
        <v>14973.7983298351</v>
      </c>
      <c r="L7965" s="1" t="s">
        <v>955</v>
      </c>
    </row>
    <row r="7966" customFormat="false" ht="17.15" hidden="false" customHeight="false" outlineLevel="0" collapsed="false">
      <c r="A7966" s="1" t="s">
        <v>956</v>
      </c>
      <c r="B7966" s="0" t="s">
        <v>459</v>
      </c>
      <c r="C7966" s="30" t="n">
        <f aca="false">rent_ext_24</f>
        <v>150</v>
      </c>
      <c r="D7966" s="30" t="n">
        <f aca="false">rent_ext_25</f>
        <v>400</v>
      </c>
      <c r="E7966" s="30" t="n">
        <f aca="false">rent_ext_26</f>
        <v>550</v>
      </c>
      <c r="F7966" s="30" t="n">
        <f aca="false">rent_ext_f</f>
        <v>756</v>
      </c>
      <c r="G7966" s="30" t="n">
        <f aca="false">rent_ext_f</f>
        <v>756</v>
      </c>
      <c r="H7966" s="30" t="n">
        <f aca="false">rent_ext_f</f>
        <v>756</v>
      </c>
      <c r="I7966" s="30" t="n">
        <f aca="false">rent_ext_f</f>
        <v>756</v>
      </c>
      <c r="J7966" s="30" t="n">
        <f aca="false">rent_ext_f</f>
        <v>756</v>
      </c>
      <c r="K7966" s="30" t="n">
        <f aca="false">rent_ext_f</f>
        <v>756</v>
      </c>
      <c r="L7966" s="1" t="s">
        <v>957</v>
      </c>
    </row>
    <row r="7967" customFormat="false" ht="17.15" hidden="false" customHeight="false" outlineLevel="0" collapsed="false">
      <c r="A7967" s="1" t="s">
        <v>958</v>
      </c>
      <c r="B7967" s="0" t="s">
        <v>459</v>
      </c>
      <c r="C7967" s="30" t="n">
        <f aca="false">Sens!C7965-Sens!C7966</f>
        <v>490</v>
      </c>
      <c r="D7967" s="30" t="n">
        <f aca="false">Sens!D7965-Sens!D7966</f>
        <v>1230</v>
      </c>
      <c r="E7967" s="30" t="n">
        <f aca="false">Sens!E7965-Sens!E7966</f>
        <v>2700</v>
      </c>
      <c r="F7967" s="30" t="n">
        <f aca="false">Sens!F7965-Sens!F7966</f>
        <v>5220.5351</v>
      </c>
      <c r="G7967" s="30" t="n">
        <f aca="false">Sens!G7965-Sens!G7966</f>
        <v>7947.0702</v>
      </c>
      <c r="H7967" s="30" t="n">
        <f aca="false">Sens!H7965-Sens!H7966</f>
        <v>10673.6053</v>
      </c>
      <c r="I7967" s="30" t="n">
        <f aca="false">Sens!I7965-Sens!I7966</f>
        <v>12605.5914196667</v>
      </c>
      <c r="J7967" s="30" t="n">
        <f aca="false">Sens!J7965-Sens!J7966</f>
        <v>13781.6682813933</v>
      </c>
      <c r="K7967" s="30" t="n">
        <f aca="false">Sens!K7965-Sens!K7966</f>
        <v>14217.7983298351</v>
      </c>
    </row>
    <row r="7968" customFormat="false" ht="17.15" hidden="false" customHeight="false" outlineLevel="0" collapsed="false">
      <c r="A7968" s="1" t="s">
        <v>959</v>
      </c>
      <c r="B7968" s="0" t="s">
        <v>459</v>
      </c>
      <c r="C7968" s="30" t="n">
        <f aca="false">Sens!C7967/ext_sh</f>
        <v>816.666666666667</v>
      </c>
      <c r="D7968" s="30" t="n">
        <f aca="false">Sens!D7967/ext_sh</f>
        <v>2050</v>
      </c>
      <c r="E7968" s="30" t="n">
        <f aca="false">Sens!E7967/ext_sh</f>
        <v>4500</v>
      </c>
      <c r="F7968" s="30" t="n">
        <f aca="false">Sens!F7967/ext_sh</f>
        <v>8700.89183333333</v>
      </c>
      <c r="G7968" s="30" t="n">
        <f aca="false">Sens!G7967/ext_sh</f>
        <v>13245.117</v>
      </c>
      <c r="H7968" s="30" t="n">
        <f aca="false">Sens!H7967/ext_sh</f>
        <v>17789.3421666667</v>
      </c>
      <c r="I7968" s="30" t="n">
        <f aca="false">Sens!I7967/ext_sh</f>
        <v>21009.3190327778</v>
      </c>
      <c r="J7968" s="30" t="n">
        <f aca="false">Sens!J7967/ext_sh</f>
        <v>22969.4471356556</v>
      </c>
      <c r="K7968" s="30" t="n">
        <f aca="false">Sens!K7967/ext_sh</f>
        <v>23696.3305497252</v>
      </c>
      <c r="L7968" s="1" t="s">
        <v>960</v>
      </c>
    </row>
    <row r="7969" customFormat="false" ht="17.15" hidden="false" customHeight="false" outlineLevel="0" collapsed="false">
      <c r="A7969" s="1" t="s">
        <v>961</v>
      </c>
      <c r="B7969" s="0" t="s">
        <v>459</v>
      </c>
      <c r="C7969" s="30" t="n">
        <f aca="false">Sens!C7968-Sens!C7967</f>
        <v>326.666666666667</v>
      </c>
      <c r="D7969" s="30" t="n">
        <f aca="false">Sens!D7968-Sens!D7967</f>
        <v>820</v>
      </c>
      <c r="E7969" s="30" t="n">
        <f aca="false">Sens!E7968-Sens!E7967</f>
        <v>1800</v>
      </c>
      <c r="F7969" s="30" t="n">
        <f aca="false">Sens!F7968-Sens!F7967</f>
        <v>3480.35673333333</v>
      </c>
      <c r="G7969" s="30" t="n">
        <f aca="false">Sens!G7968-Sens!G7967</f>
        <v>5298.0468</v>
      </c>
      <c r="H7969" s="30" t="n">
        <f aca="false">Sens!H7968-Sens!H7967</f>
        <v>7115.73686666667</v>
      </c>
      <c r="I7969" s="30" t="n">
        <f aca="false">Sens!I7968-Sens!I7967</f>
        <v>8403.72761311111</v>
      </c>
      <c r="J7969" s="30" t="n">
        <f aca="false">Sens!J7968-Sens!J7967</f>
        <v>9187.77885426222</v>
      </c>
      <c r="K7969" s="30" t="n">
        <f aca="false">Sens!K7968-Sens!K7967</f>
        <v>9478.53221989009</v>
      </c>
    </row>
    <row r="7970" customFormat="false" ht="17.15" hidden="false" customHeight="false" outlineLevel="0" collapsed="false">
      <c r="A7970" s="1" t="s">
        <v>962</v>
      </c>
      <c r="B7970" s="0" t="s">
        <v>459</v>
      </c>
      <c r="C7970" s="30" t="n">
        <f aca="false">Sens!C7968</f>
        <v>816.666666666667</v>
      </c>
      <c r="D7970" s="30" t="n">
        <f aca="false">Sens!D7968-Sens!C7968</f>
        <v>1233.33333333333</v>
      </c>
      <c r="E7970" s="30" t="n">
        <f aca="false">Sens!E7968-Sens!D7968</f>
        <v>2450</v>
      </c>
      <c r="F7970" s="30" t="n">
        <f aca="false">Sens!F7968-Sens!E7968</f>
        <v>4200.89183333333</v>
      </c>
      <c r="G7970" s="30" t="n">
        <f aca="false">Sens!G7968-Sens!F7968</f>
        <v>4544.22516666667</v>
      </c>
      <c r="H7970" s="30" t="n">
        <f aca="false">Sens!H7968-Sens!G7968</f>
        <v>4544.22516666667</v>
      </c>
      <c r="I7970" s="30" t="n">
        <f aca="false">Sens!I7968-Sens!H7968</f>
        <v>3219.97686611111</v>
      </c>
      <c r="J7970" s="30" t="n">
        <f aca="false">Sens!J7968-Sens!I7968</f>
        <v>1960.12810287778</v>
      </c>
      <c r="K7970" s="30" t="n">
        <f aca="false">Sens!K7968-Sens!J7968</f>
        <v>726.883414069667</v>
      </c>
    </row>
    <row r="7971" customFormat="false" ht="17.15" hidden="false" customHeight="false" outlineLevel="0" collapsed="false">
      <c r="A7971" s="1" t="s">
        <v>963</v>
      </c>
      <c r="B7971" s="0" t="s">
        <v>459</v>
      </c>
      <c r="D7971" s="30" t="n">
        <f aca="false">Sens!D7965-Sens!C7965</f>
        <v>990</v>
      </c>
      <c r="E7971" s="30" t="n">
        <f aca="false">Sens!E7965-Sens!D7965</f>
        <v>1620</v>
      </c>
      <c r="F7971" s="30" t="n">
        <f aca="false">Sens!F7965-Sens!E7965</f>
        <v>2726.5351</v>
      </c>
      <c r="G7971" s="30" t="n">
        <f aca="false">Sens!G7965-Sens!F7965</f>
        <v>2726.5351</v>
      </c>
      <c r="H7971" s="30" t="n">
        <f aca="false">Sens!H7965-Sens!G7965</f>
        <v>2726.5351</v>
      </c>
      <c r="I7971" s="30" t="n">
        <f aca="false">Sens!I7965-Sens!H7965</f>
        <v>1931.98611966667</v>
      </c>
      <c r="J7971" s="30" t="n">
        <f aca="false">Sens!J7965-Sens!I7965</f>
        <v>1176.07686172667</v>
      </c>
      <c r="K7971" s="30" t="n">
        <f aca="false">Sens!K7965-Sens!J7965</f>
        <v>436.130048441799</v>
      </c>
    </row>
    <row r="7972" customFormat="false" ht="17.15" hidden="false" customHeight="false" outlineLevel="0" collapsed="false">
      <c r="A7972" s="1" t="s">
        <v>964</v>
      </c>
      <c r="B7972" s="0" t="s">
        <v>459</v>
      </c>
      <c r="F7972" s="30" t="n">
        <f aca="false">Sens!F7991*ext_sh</f>
        <v>0</v>
      </c>
      <c r="G7972" s="30" t="n">
        <f aca="false">Sens!G7991*ext_sh</f>
        <v>0</v>
      </c>
      <c r="H7972" s="30" t="n">
        <f aca="false">Sens!H7991*ext_sh</f>
        <v>0</v>
      </c>
      <c r="I7972" s="30" t="n">
        <f aca="false">Sens!I7991*ext_sh</f>
        <v>490</v>
      </c>
      <c r="J7972" s="30" t="n">
        <f aca="false">Sens!J7991*ext_sh</f>
        <v>740</v>
      </c>
      <c r="K7972" s="30" t="n">
        <f aca="false">Sens!K7991*ext_sh</f>
        <v>1470</v>
      </c>
      <c r="L7972" s="1" t="s">
        <v>965</v>
      </c>
    </row>
    <row r="7973" customFormat="false" ht="17.15" hidden="false" customHeight="false" outlineLevel="0" collapsed="false">
      <c r="A7973" s="1" t="s">
        <v>966</v>
      </c>
      <c r="B7973" s="0" t="s">
        <v>459</v>
      </c>
      <c r="C7973" s="30" t="n">
        <f aca="false">mix_h*Sens!C7965</f>
        <v>128</v>
      </c>
      <c r="D7973" s="30" t="n">
        <f aca="false">mix_h*Sens!D7965</f>
        <v>326</v>
      </c>
      <c r="E7973" s="30" t="n">
        <f aca="false">mix_h*Sens!E7965</f>
        <v>650</v>
      </c>
      <c r="F7973" s="30" t="n">
        <f aca="false">Sens!E7973-Sens!F7972*mix_h</f>
        <v>650</v>
      </c>
      <c r="G7973" s="30" t="n">
        <f aca="false">Sens!F7973-Sens!G7972*mix_h</f>
        <v>650</v>
      </c>
      <c r="H7973" s="30" t="n">
        <f aca="false">Sens!G7973-Sens!H7972*mix_h</f>
        <v>650</v>
      </c>
      <c r="I7973" s="30" t="n">
        <f aca="false">Sens!H7973-Sens!I7972*mix_h</f>
        <v>552</v>
      </c>
      <c r="J7973" s="30" t="n">
        <f aca="false">Sens!I7973-Sens!J7972*mix_h</f>
        <v>404</v>
      </c>
      <c r="K7973" s="30" t="n">
        <f aca="false">Sens!J7973-Sens!K7972*mix_h</f>
        <v>110</v>
      </c>
    </row>
    <row r="7974" customFormat="false" ht="17.15" hidden="false" customHeight="false" outlineLevel="0" collapsed="false">
      <c r="A7974" s="1" t="s">
        <v>967</v>
      </c>
      <c r="B7974" s="0" t="s">
        <v>459</v>
      </c>
      <c r="C7974" s="30" t="n">
        <f aca="false">mix_g2*Sens!C7965</f>
        <v>288</v>
      </c>
      <c r="D7974" s="30" t="n">
        <f aca="false">mix_g2*Sens!D7965</f>
        <v>733.5</v>
      </c>
      <c r="E7974" s="30" t="n">
        <f aca="false">mix_g2*Sens!E7965</f>
        <v>1462.5</v>
      </c>
      <c r="F7974" s="30" t="n">
        <f aca="false">Sens!E7974-Sens!F7972*mix_g2</f>
        <v>1462.5</v>
      </c>
      <c r="G7974" s="30" t="n">
        <f aca="false">Sens!F7974-Sens!G7972*mix_g2</f>
        <v>1462.5</v>
      </c>
      <c r="H7974" s="30" t="n">
        <f aca="false">Sens!G7974-Sens!H7972*mix_g2</f>
        <v>1462.5</v>
      </c>
      <c r="I7974" s="30" t="n">
        <f aca="false">Sens!H7974-Sens!I7972*mix_g2</f>
        <v>1242</v>
      </c>
      <c r="J7974" s="30" t="n">
        <f aca="false">Sens!I7974-Sens!J7972*mix_g2</f>
        <v>909</v>
      </c>
      <c r="K7974" s="30" t="n">
        <f aca="false">Sens!J7974-Sens!K7972*mix_g2</f>
        <v>247.5</v>
      </c>
    </row>
    <row r="7975" customFormat="false" ht="17.15" hidden="false" customHeight="false" outlineLevel="0" collapsed="false">
      <c r="A7975" s="1" t="s">
        <v>968</v>
      </c>
      <c r="B7975" s="0" t="s">
        <v>459</v>
      </c>
      <c r="C7975" s="30" t="n">
        <f aca="false">mix_g3*Sens!C7965</f>
        <v>224</v>
      </c>
      <c r="D7975" s="30" t="n">
        <f aca="false">mix_g3*Sens!D7965</f>
        <v>570.5</v>
      </c>
      <c r="E7975" s="30" t="n">
        <f aca="false">mix_g3*Sens!E7965</f>
        <v>1137.5</v>
      </c>
      <c r="F7975" s="30" t="n">
        <f aca="false">Sens!E7975+(Sens!F7971+Sens!F7972)*(a_g3_27-nonnv*a_mai)-Sens!F7972*mix_g3</f>
        <v>2773.42106</v>
      </c>
      <c r="G7975" s="30" t="n">
        <f aca="false">Sens!F7975+(Sens!G7971+Sens!G7972)*(a_g3_28-nonnv*a_mai)-Sens!G7972*mix_g3</f>
        <v>3318.72808</v>
      </c>
      <c r="H7975" s="30" t="n">
        <f aca="false">Sens!G7975+(Sens!H7971+Sens!H7972)*(a_g3_29-nonnv*a_mai)-Sens!H7972*mix_g3</f>
        <v>3318.72808</v>
      </c>
      <c r="I7975" s="30" t="n">
        <f aca="false">Sens!H7975+(Sens!I7971+Sens!I7972)*(a_g3_29-nonnv*a_mai)-Sens!I7972*mix_g3</f>
        <v>3147.22808</v>
      </c>
      <c r="J7975" s="30" t="n">
        <f aca="false">Sens!I7975+(Sens!J7971+Sens!J7972)*(a_g3_29-nonnv*a_mai)-Sens!J7972*mix_g3</f>
        <v>2888.22808</v>
      </c>
      <c r="K7975" s="30" t="n">
        <f aca="false">Sens!J7975+(Sens!K7971+Sens!K7972)*(a_g3_29-nonnv*a_mai)-Sens!K7972*mix_g3</f>
        <v>2373.72808</v>
      </c>
    </row>
    <row r="7976" customFormat="false" ht="17.15" hidden="false" customHeight="false" outlineLevel="0" collapsed="false">
      <c r="A7976" s="1" t="s">
        <v>969</v>
      </c>
      <c r="B7976" s="0" t="s">
        <v>459</v>
      </c>
      <c r="C7976" s="30" t="n">
        <v>0</v>
      </c>
      <c r="D7976" s="30" t="n">
        <v>0</v>
      </c>
      <c r="E7976" s="30" t="n">
        <v>0</v>
      </c>
      <c r="F7976" s="30" t="n">
        <f aca="false">Sens!E7976+(Sens!F7971+Sens!F7972)*nonnv*a_mai</f>
        <v>272.65351</v>
      </c>
      <c r="G7976" s="30" t="n">
        <f aca="false">Sens!F7976+(Sens!G7971+Sens!G7972)*nonnv*a_mai</f>
        <v>545.30702</v>
      </c>
      <c r="H7976" s="30" t="n">
        <f aca="false">Sens!G7976+(Sens!H7971+Sens!H7972)*nonnv*a_mai</f>
        <v>817.96053</v>
      </c>
      <c r="I7976" s="30" t="n">
        <f aca="false">Sens!H7976+(Sens!I7971+Sens!I7972)*nonnv*a_mai</f>
        <v>1060.15914196667</v>
      </c>
      <c r="J7976" s="30" t="n">
        <f aca="false">Sens!I7976+(Sens!J7971+Sens!J7972)*nonnv*a_mai</f>
        <v>1251.76682813933</v>
      </c>
      <c r="K7976" s="30" t="n">
        <f aca="false">Sens!J7976+(Sens!K7971+Sens!K7972)*nonnv*a_mai</f>
        <v>1442.37983298351</v>
      </c>
      <c r="L7976" s="12" t="s">
        <v>970</v>
      </c>
    </row>
    <row r="7977" customFormat="false" ht="17.15" hidden="false" customHeight="false" outlineLevel="0" collapsed="false">
      <c r="A7977" s="1" t="s">
        <v>971</v>
      </c>
      <c r="B7977" s="0" t="s">
        <v>459</v>
      </c>
      <c r="C7977" s="30" t="n">
        <v>0</v>
      </c>
      <c r="D7977" s="30" t="n">
        <v>0</v>
      </c>
      <c r="E7977" s="30" t="n">
        <v>0</v>
      </c>
      <c r="F7977" s="30" t="n">
        <f aca="false">Sens!E7977+(Sens!F7971+Sens!F7972)*(1-a_g3_27)</f>
        <v>817.96053</v>
      </c>
      <c r="G7977" s="30" t="n">
        <f aca="false">Sens!F7977+(Sens!G7971+Sens!G7972)*(1-a_g3_28)</f>
        <v>2726.5351</v>
      </c>
      <c r="H7977" s="30" t="n">
        <f aca="false">Sens!G7977+(Sens!H7971+Sens!H7972)*(1-a_g3_29)</f>
        <v>5180.41669</v>
      </c>
      <c r="I7977" s="30" t="n">
        <f aca="false">Sens!H7977+(Sens!I7971+Sens!I7972)*(1-a_g3_29)</f>
        <v>7360.2041977</v>
      </c>
      <c r="J7977" s="30" t="n">
        <f aca="false">Sens!I7977+(Sens!J7971+Sens!J7972)*(1-a_g3_29)</f>
        <v>9084.673373254</v>
      </c>
      <c r="K7977" s="30" t="n">
        <f aca="false">Sens!J7977+(Sens!K7971+Sens!K7972)*(1-a_g3_29)</f>
        <v>10800.1904168516</v>
      </c>
    </row>
    <row r="7978" customFormat="false" ht="17.15" hidden="false" customHeight="false" outlineLevel="0" collapsed="false">
      <c r="A7978" s="1" t="s">
        <v>972</v>
      </c>
      <c r="B7978" s="0" t="s">
        <v>403</v>
      </c>
      <c r="C7978" s="15" t="n">
        <f aca="false">(Sens!C7973*tk_hold_h100+Sens!C7974*tk_hold_gb200+Sens!C7975*tk_hold_gb300+Sens!C7977*tk_hold_vr200+Sens!C7976*nv_hold_mai*tk_hold_vr200)/Sens!C7965</f>
        <v>9.7235358126469</v>
      </c>
      <c r="D7978" s="15" t="n">
        <f aca="false">(Sens!D7973*tk_hold_h100+Sens!D7974*tk_hold_gb200+Sens!D7975*tk_hold_gb300+Sens!D7977*tk_hold_vr200+Sens!D7976*nv_hold_mai*tk_hold_vr200)/Sens!D7965</f>
        <v>9.7235358126469</v>
      </c>
      <c r="E7978" s="15" t="n">
        <f aca="false">(Sens!E7973*tk_hold_h100+Sens!E7974*tk_hold_gb200+Sens!E7975*tk_hold_gb300+Sens!E7977*tk_hold_vr200+Sens!E7976*nv_hold_mai*tk_hold_vr200)/Sens!E7965</f>
        <v>9.7235358126469</v>
      </c>
      <c r="F7978" s="15" t="n">
        <f aca="false">(Sens!F7973*tk_hold_h100+Sens!F7974*tk_hold_gb200+Sens!F7975*tk_hold_gb300+Sens!F7977*tk_hold_vr200+Sens!F7976*nv_hold_mai*tk_hold_vr200)/Sens!F7965</f>
        <v>10.2195353876665</v>
      </c>
      <c r="G7978" s="15" t="n">
        <f aca="false">(Sens!G7973*tk_hold_h100+Sens!G7974*tk_hold_gb200+Sens!G7975*tk_hold_gb300+Sens!G7977*tk_hold_vr200+Sens!G7976*nv_hold_mai*tk_hold_vr200)/Sens!G7965</f>
        <v>10.5725598017306</v>
      </c>
      <c r="H7978" s="15" t="n">
        <f aca="false">(Sens!H7973*tk_hold_h100+Sens!H7974*tk_hold_gb200+Sens!H7975*tk_hold_gb300+Sens!H7977*tk_hold_vr200+Sens!H7976*nv_hold_mai*tk_hold_vr200)/Sens!H7965</f>
        <v>10.8210427149036</v>
      </c>
      <c r="I7978" s="15" t="n">
        <f aca="false">(Sens!I7973*tk_hold_h100+Sens!I7974*tk_hold_gb200+Sens!I7975*tk_hold_gb300+Sens!I7977*tk_hold_vr200+Sens!I7976*nv_hold_mai*tk_hold_vr200)/Sens!I7965</f>
        <v>11.0050618241982</v>
      </c>
      <c r="J7978" s="15" t="n">
        <f aca="false">(Sens!J7973*tk_hold_h100+Sens!J7974*tk_hold_gb200+Sens!J7975*tk_hold_gb300+Sens!J7977*tk_hold_vr200+Sens!J7976*nv_hold_mai*tk_hold_vr200)/Sens!J7965</f>
        <v>11.1505789658881</v>
      </c>
      <c r="K7978" s="15" t="n">
        <f aca="false">(Sens!K7973*tk_hold_h100+Sens!K7974*tk_hold_gb200+Sens!K7975*tk_hold_gb300+Sens!K7977*tk_hold_vr200+Sens!K7976*nv_hold_mai*tk_hold_vr200)/Sens!K7965</f>
        <v>11.3496914757183</v>
      </c>
      <c r="L7978" s="1" t="s">
        <v>973</v>
      </c>
    </row>
    <row r="7979" customFormat="false" ht="17.15" hidden="false" customHeight="false" outlineLevel="0" collapsed="false">
      <c r="A7979" s="1" t="s">
        <v>974</v>
      </c>
      <c r="B7979" s="0" t="s">
        <v>403</v>
      </c>
      <c r="C7979" s="15" t="n">
        <f aca="false">(Sens!C7973*tk_hold_h100+Sens!C7974*tk_hold_gb200+Sens!C7975*tk_hold_gb300+Sens!C7977*tk_hold_vr200+Sens!C7976*nv_out_mai*tk_hold_vr200)/Sens!C7965</f>
        <v>9.7235358126469</v>
      </c>
      <c r="D7979" s="15" t="n">
        <f aca="false">(Sens!D7973*tk_hold_h100+Sens!D7974*tk_hold_gb200+Sens!D7975*tk_hold_gb300+Sens!D7977*tk_hold_vr200+Sens!D7976*nv_out_mai*tk_hold_vr200)/Sens!D7965</f>
        <v>9.7235358126469</v>
      </c>
      <c r="E7979" s="15" t="n">
        <f aca="false">(Sens!E7973*tk_hold_h100+Sens!E7974*tk_hold_gb200+Sens!E7975*tk_hold_gb300+Sens!E7977*tk_hold_vr200+Sens!E7976*nv_out_mai*tk_hold_vr200)/Sens!E7965</f>
        <v>9.7235358126469</v>
      </c>
      <c r="F7979" s="15" t="n">
        <f aca="false">(Sens!F7973*tk_hold_h100+Sens!F7974*tk_hold_gb200+Sens!F7975*tk_hold_gb300+Sens!F7977*tk_hold_vr200+Sens!F7976*nv_out_mai*tk_hold_vr200)/Sens!F7965</f>
        <v>10.247422093969</v>
      </c>
      <c r="G7979" s="15" t="n">
        <f aca="false">(Sens!G7973*tk_hold_h100+Sens!G7974*tk_hold_gb200+Sens!G7975*tk_hold_gb300+Sens!G7977*tk_hold_vr200+Sens!G7976*nv_out_mai*tk_hold_vr200)/Sens!G7965</f>
        <v>10.6108602808053</v>
      </c>
      <c r="H7979" s="15" t="n">
        <f aca="false">(Sens!H7973*tk_hold_h100+Sens!H7974*tk_hold_gb200+Sens!H7975*tk_hold_gb300+Sens!H7977*tk_hold_vr200+Sens!H7976*nv_out_mai*tk_hold_vr200)/Sens!H7965</f>
        <v>10.8647885507393</v>
      </c>
      <c r="I7979" s="15" t="n">
        <f aca="false">(Sens!I7973*tk_hold_h100+Sens!I7974*tk_hold_gb200+Sens!I7975*tk_hold_gb300+Sens!I7977*tk_hold_vr200+Sens!I7976*nv_out_mai*tk_hold_vr200)/Sens!I7965</f>
        <v>11.0535625770025</v>
      </c>
      <c r="J7979" s="15" t="n">
        <f aca="false">(Sens!J7973*tk_hold_h100+Sens!J7974*tk_hold_gb200+Sens!J7975*tk_hold_gb300+Sens!J7977*tk_hold_vr200+Sens!J7976*nv_out_mai*tk_hold_vr200)/Sens!J7965</f>
        <v>11.2032127128058</v>
      </c>
      <c r="K7979" s="15" t="n">
        <f aca="false">(Sens!K7973*tk_hold_h100+Sens!K7974*tk_hold_gb200+Sens!K7975*tk_hold_gb300+Sens!K7977*tk_hold_vr200+Sens!K7976*nv_out_mai*tk_hold_vr200)/Sens!K7965</f>
        <v>11.4085735724225</v>
      </c>
      <c r="L7979" s="12" t="s">
        <v>975</v>
      </c>
    </row>
    <row r="7980" customFormat="false" ht="17.15" hidden="false" customHeight="false" outlineLevel="0" collapsed="false">
      <c r="A7980" s="0" t="s">
        <v>976</v>
      </c>
      <c r="B7980" s="0" t="s">
        <v>229</v>
      </c>
      <c r="C7980" s="15" t="n">
        <f aca="false">k_B</f>
        <v>1.17213932619116</v>
      </c>
      <c r="D7980" s="15" t="n">
        <f aca="false">k_B</f>
        <v>1.17213932619116</v>
      </c>
      <c r="E7980" s="15" t="n">
        <f aca="false">k_B</f>
        <v>1.17213932619116</v>
      </c>
      <c r="F7980" s="15" t="n">
        <f aca="false">(k_B+((ls_A*k_long+(1-ls_A)*k_spot)-k_B)*MIN(1,(Sens!F7963-base_fy)/k_ramp))</f>
        <v>1.25022828131298</v>
      </c>
      <c r="G7980" s="15" t="n">
        <f aca="false">(k_B+((ls_A*k_long+(1-ls_A)*k_spot)-k_B)*MIN(1,(Sens!G7963-base_fy)/k_ramp))</f>
        <v>1.3283172364348</v>
      </c>
      <c r="H7980" s="15" t="n">
        <f aca="false">(k_B+((ls_A*k_long+(1-ls_A)*k_spot)-k_B)*MIN(1,(Sens!H7963-base_fy)/k_ramp))</f>
        <v>1.40640619155662</v>
      </c>
      <c r="I7980" s="15" t="n">
        <f aca="false">(k_B+((ls_A*k_long+(1-ls_A)*k_spot)-k_B)*MIN(1,(Sens!I7963-base_fy)/k_ramp))</f>
        <v>1.40640619155662</v>
      </c>
      <c r="J7980" s="15" t="n">
        <f aca="false">(k_B+((ls_A*k_long+(1-ls_A)*k_spot)-k_B)*MIN(1,(Sens!J7963-base_fy)/k_ramp))</f>
        <v>1.40640619155662</v>
      </c>
      <c r="K7980" s="15" t="n">
        <f aca="false">(k_B+((ls_A*k_long+(1-ls_A)*k_spot)-k_B)*MIN(1,(Sens!K7963-base_fy)/k_ramp))</f>
        <v>1.40640619155662</v>
      </c>
      <c r="L7980" s="1" t="s">
        <v>977</v>
      </c>
    </row>
    <row r="7981" customFormat="false" ht="17.15" hidden="false" customHeight="false" outlineLevel="0" collapsed="false">
      <c r="A7981" s="1" t="s">
        <v>978</v>
      </c>
      <c r="B7981" s="0" t="s">
        <v>403</v>
      </c>
      <c r="C7981" s="15" t="n">
        <f aca="false">Sens!C7979*Sens!C7980*chip_f</f>
        <v>11.3973387156315</v>
      </c>
      <c r="D7981" s="15" t="n">
        <f aca="false">Sens!D7979*Sens!D7980*chip_f</f>
        <v>11.3973387156315</v>
      </c>
      <c r="E7981" s="15" t="n">
        <f aca="false">Sens!E7979*Sens!E7980*chip_f</f>
        <v>11.3973387156315</v>
      </c>
      <c r="F7981" s="15" t="n">
        <f aca="false">Sens!F7979*Sens!F7980*chip_f</f>
        <v>12.8116169124314</v>
      </c>
      <c r="G7981" s="15" t="n">
        <f aca="false">Sens!G7979*Sens!G7980*chip_f</f>
        <v>14.094588604395</v>
      </c>
      <c r="H7981" s="15" t="n">
        <f aca="false">Sens!H7979*Sens!H7980*chip_f</f>
        <v>15.2803058877132</v>
      </c>
      <c r="I7981" s="15" t="n">
        <f aca="false">Sens!I7979*Sens!I7980*chip_f</f>
        <v>15.5457988470549</v>
      </c>
      <c r="J7981" s="15" t="n">
        <f aca="false">Sens!J7979*Sens!J7980*chip_f</f>
        <v>15.7562677246158</v>
      </c>
      <c r="K7981" s="15" t="n">
        <f aca="false">Sens!K7979*Sens!K7980*chip_f</f>
        <v>16.0450885090842</v>
      </c>
      <c r="L7981" s="1" t="s">
        <v>979</v>
      </c>
    </row>
    <row r="7982" customFormat="false" ht="17.15" hidden="false" customHeight="false" outlineLevel="0" collapsed="false">
      <c r="A7982" s="0" t="s">
        <v>980</v>
      </c>
      <c r="B7982" s="0" t="s">
        <v>98</v>
      </c>
      <c r="D7982" s="6" t="n">
        <f aca="false">(Sens!C7965+Sens!D7965)/2*Sens!D7981/1000</f>
        <v>12.9359794422418</v>
      </c>
      <c r="E7982" s="6" t="n">
        <f aca="false">(Sens!D7965+Sens!E7965)/2*Sens!E7981/1000</f>
        <v>27.8095064661409</v>
      </c>
      <c r="F7982" s="6" t="n">
        <f aca="false">(Sens!E7965+Sens!F7965)/2*Sens!F7981/1000</f>
        <v>59.1034165651511</v>
      </c>
      <c r="G7982" s="6" t="n">
        <f aca="false">(Sens!F7965+Sens!G7965)/2*Sens!G7981/1000</f>
        <v>103.451498789198</v>
      </c>
      <c r="H7982" s="6" t="n">
        <f aca="false">(Sens!G7965+Sens!H7965)/2*Sens!H7981/1000</f>
        <v>153.816719989035</v>
      </c>
      <c r="I7982" s="6" t="n">
        <f aca="false">(Sens!H7965+Sens!I7965)/2*Sens!I7981/1000</f>
        <v>192.699478690852</v>
      </c>
      <c r="J7982" s="6" t="n">
        <f aca="false">(Sens!I7965+Sens!J7965)/2*Sens!J7981/1000</f>
        <v>219.794102584244</v>
      </c>
      <c r="K7982" s="6" t="n">
        <f aca="false">(Sens!J7965+Sens!K7965)/2*Sens!K7981/1000</f>
        <v>236.757046905022</v>
      </c>
      <c r="L7982" s="12" t="s">
        <v>981</v>
      </c>
    </row>
    <row r="7983" customFormat="false" ht="17.15" hidden="false" customHeight="false" outlineLevel="0" collapsed="false">
      <c r="A7983" s="1" t="s">
        <v>982</v>
      </c>
      <c r="B7983" s="0" t="s">
        <v>403</v>
      </c>
      <c r="C7983" s="15" t="n">
        <f aca="false">(Sens!C7973*tk_opex_h100+Sens!C7974*tk_opex_gb200+Sens!C7975*tk_opex_gb300+(Sens!C7977+Sens!C7976)*tk_opex_vr200)/Sens!C7965</f>
        <v>1.88636041306092</v>
      </c>
      <c r="D7983" s="15" t="n">
        <f aca="false">(Sens!D7973*tk_opex_h100+Sens!D7974*tk_opex_gb200+Sens!D7975*tk_opex_gb300+(Sens!D7977+Sens!D7976)*tk_opex_vr200)/Sens!D7965</f>
        <v>1.88636041306092</v>
      </c>
      <c r="E7983" s="15" t="n">
        <f aca="false">(Sens!E7973*tk_opex_h100+Sens!E7974*tk_opex_gb200+Sens!E7975*tk_opex_gb300+(Sens!E7977+Sens!E7976)*tk_opex_vr200)/Sens!E7965</f>
        <v>1.88636041306092</v>
      </c>
      <c r="F7983" s="15" t="n">
        <f aca="false">(Sens!F7973*tk_opex_h100+Sens!F7974*tk_opex_gb200+Sens!F7975*tk_opex_gb300+(Sens!F7977+Sens!F7976)*tk_opex_vr200)/Sens!F7965</f>
        <v>1.95051159746876</v>
      </c>
      <c r="G7983" s="15" t="n">
        <f aca="false">(Sens!G7973*tk_opex_h100+Sens!G7974*tk_opex_gb200+Sens!G7975*tk_opex_gb300+(Sens!G7977+Sens!G7976)*tk_opex_vr200)/Sens!G7965</f>
        <v>1.98836003669956</v>
      </c>
      <c r="H7983" s="15" t="n">
        <f aca="false">(Sens!H7973*tk_opex_h100+Sens!H7974*tk_opex_gb200+Sens!H7975*tk_opex_gb300+(Sens!H7977+Sens!H7976)*tk_opex_vr200)/Sens!H7965</f>
        <v>2.01344013834343</v>
      </c>
      <c r="I7983" s="15" t="n">
        <f aca="false">(Sens!I7973*tk_opex_h100+Sens!I7974*tk_opex_gb200+Sens!I7975*tk_opex_gb300+(Sens!I7977+Sens!I7976)*tk_opex_vr200)/Sens!I7965</f>
        <v>2.03261166882178</v>
      </c>
      <c r="J7983" s="15" t="n">
        <f aca="false">(Sens!J7973*tk_opex_h100+Sens!J7974*tk_opex_gb200+Sens!J7975*tk_opex_gb300+(Sens!J7977+Sens!J7976)*tk_opex_vr200)/Sens!J7965</f>
        <v>2.04808073288745</v>
      </c>
      <c r="K7983" s="15" t="n">
        <f aca="false">(Sens!K7973*tk_opex_h100+Sens!K7974*tk_opex_gb200+Sens!K7975*tk_opex_gb300+(Sens!K7977+Sens!K7976)*tk_opex_vr200)/Sens!K7965</f>
        <v>2.06973825807449</v>
      </c>
      <c r="L7983" s="12" t="s">
        <v>983</v>
      </c>
    </row>
    <row r="7984" customFormat="false" ht="17.15" hidden="false" customHeight="false" outlineLevel="0" collapsed="false">
      <c r="A7984" s="0" t="s">
        <v>984</v>
      </c>
      <c r="B7984" s="0" t="s">
        <v>98</v>
      </c>
      <c r="D7984" s="6" t="n">
        <f aca="false">(Sens!C7968+Sens!D7968)/2*Sens!D7983/1000</f>
        <v>2.70378325872065</v>
      </c>
      <c r="E7984" s="6" t="n">
        <f aca="false">(Sens!D7968+Sens!E7968)/2*Sens!E7983/1000</f>
        <v>6.17783035277451</v>
      </c>
      <c r="F7984" s="6" t="n">
        <f aca="false">(Sens!E7968+Sens!F7968)/2*Sens!F7983/1000</f>
        <v>12.8742463089237</v>
      </c>
      <c r="G7984" s="6" t="n">
        <f aca="false">(Sens!F7968+Sens!G7968)/2*Sens!G7983/1000</f>
        <v>21.8182834646277</v>
      </c>
      <c r="H7984" s="6" t="n">
        <f aca="false">(Sens!G7968+Sens!H7968)/2*Sens!H7983/1000</f>
        <v>31.2430128789734</v>
      </c>
      <c r="I7984" s="6" t="n">
        <f aca="false">(Sens!H7968+Sens!I7968)/2*Sens!I7983/1000</f>
        <v>39.4313057443268</v>
      </c>
      <c r="J7984" s="6" t="n">
        <f aca="false">(Sens!I7968+Sens!J7968)/2*Sens!J7983/1000</f>
        <v>45.0360318228653</v>
      </c>
      <c r="K7984" s="6" t="n">
        <f aca="false">(Sens!J7968+Sens!K7968)/2*Sens!K7983/1000</f>
        <v>48.2929727091156</v>
      </c>
    </row>
    <row r="7985" customFormat="false" ht="17.15" hidden="false" customHeight="false" outlineLevel="0" collapsed="false">
      <c r="A7985" s="0" t="s">
        <v>985</v>
      </c>
      <c r="B7985" s="0" t="s">
        <v>98</v>
      </c>
      <c r="D7985" s="6" t="n">
        <f aca="false">(Sens!C7966+Sens!D7966)/2*rent_mw/1000</f>
        <v>2.44475</v>
      </c>
      <c r="E7985" s="6" t="n">
        <f aca="false">(Sens!D7966+Sens!E7966)/2*rent_mw/1000</f>
        <v>4.22275</v>
      </c>
      <c r="F7985" s="6" t="n">
        <f aca="false">(Sens!E7966+Sens!F7966)/2*rent_mw/1000</f>
        <v>5.80517</v>
      </c>
      <c r="G7985" s="6" t="n">
        <f aca="false">(Sens!F7966+Sens!G7966)/2*rent_mw/1000</f>
        <v>6.72084</v>
      </c>
      <c r="H7985" s="6" t="n">
        <f aca="false">(Sens!G7966+Sens!H7966)/2*rent_mw/1000</f>
        <v>6.72084</v>
      </c>
      <c r="I7985" s="6" t="n">
        <f aca="false">(Sens!H7966+Sens!I7966)/2*rent_mw/1000</f>
        <v>6.72084</v>
      </c>
      <c r="J7985" s="6" t="n">
        <f aca="false">(Sens!I7966+Sens!J7966)/2*rent_mw/1000</f>
        <v>6.72084</v>
      </c>
      <c r="K7985" s="6" t="n">
        <f aca="false">(Sens!J7966+Sens!K7966)/2*rent_mw/1000</f>
        <v>6.72084</v>
      </c>
    </row>
    <row r="7986" customFormat="false" ht="17.15" hidden="false" customHeight="false" outlineLevel="0" collapsed="false">
      <c r="A7986" s="0" t="s">
        <v>986</v>
      </c>
      <c r="B7986" s="0" t="s">
        <v>98</v>
      </c>
      <c r="D7986" s="6" t="n">
        <f aca="false">(Sens!C7968+Sens!D7968)/2*(1-self_build)*fac_rent/1000</f>
        <v>0.853242375631075</v>
      </c>
      <c r="E7986" s="6" t="n">
        <f aca="false">(Sens!D7968+Sens!E7968)/2*(1-self_build)*fac_rent/1000</f>
        <v>1.94955961408728</v>
      </c>
      <c r="F7986" s="6" t="n">
        <f aca="false">(Sens!E7968+Sens!F7968)/2*(1-self_build)*fac_rent/1000</f>
        <v>3.92914894476356</v>
      </c>
      <c r="G7986" s="6" t="n">
        <f aca="false">(Sens!F7968+Sens!G7968)/2*(1-self_build)*fac_rent/1000</f>
        <v>6.53206908578159</v>
      </c>
      <c r="H7986" s="6" t="n">
        <f aca="false">(Sens!G7968+Sens!H7968)/2*(1-self_build)*fac_rent/1000</f>
        <v>9.23717988341591</v>
      </c>
      <c r="I7986" s="6" t="n">
        <f aca="false">(Sens!H7968+Sens!I7968)/2*(1-self_build)*fac_rent/1000</f>
        <v>11.5481378557393</v>
      </c>
      <c r="J7986" s="6" t="n">
        <f aca="false">(Sens!I7968+Sens!J7968)/2*(1-self_build)*fac_rent/1000</f>
        <v>13.0899582289108</v>
      </c>
      <c r="K7986" s="6" t="n">
        <f aca="false">(Sens!J7968+Sens!K7968)/2*(1-self_build)*fac_rent/1000</f>
        <v>13.8897275626556</v>
      </c>
      <c r="L7986" s="12" t="s">
        <v>987</v>
      </c>
    </row>
    <row r="7987" customFormat="false" ht="17.15" hidden="false" customHeight="false" outlineLevel="0" collapsed="false">
      <c r="A7987" s="1" t="s">
        <v>988</v>
      </c>
      <c r="B7987" s="0" t="s">
        <v>168</v>
      </c>
      <c r="D7987" s="7" t="n">
        <f aca="false">(Sens!C7967+Sens!D7967)/(Sens!C7968+Sens!D7968)</f>
        <v>0.6</v>
      </c>
      <c r="E7987" s="7" t="n">
        <f aca="false">(Sens!D7967+Sens!E7967)/(Sens!D7968+Sens!E7968)</f>
        <v>0.6</v>
      </c>
      <c r="F7987" s="7" t="n">
        <f aca="false">(Sens!E7967+Sens!F7967)/(Sens!E7968+Sens!F7968)</f>
        <v>0.6</v>
      </c>
      <c r="G7987" s="7" t="n">
        <f aca="false">(Sens!F7967+Sens!G7967)/(Sens!F7968+Sens!G7968)</f>
        <v>0.6</v>
      </c>
      <c r="H7987" s="7" t="n">
        <f aca="false">(Sens!G7967+Sens!H7967)/(Sens!G7968+Sens!H7968)</f>
        <v>0.6</v>
      </c>
      <c r="I7987" s="7" t="n">
        <f aca="false">(Sens!H7967+Sens!I7967)/(Sens!H7968+Sens!I7968)</f>
        <v>0.6</v>
      </c>
      <c r="J7987" s="7" t="n">
        <f aca="false">(Sens!I7967+Sens!J7967)/(Sens!I7968+Sens!J7968)</f>
        <v>0.6</v>
      </c>
      <c r="K7987" s="7" t="n">
        <f aca="false">(Sens!J7967+Sens!K7967)/(Sens!J7968+Sens!K7968)</f>
        <v>0.6</v>
      </c>
    </row>
    <row r="7988" customFormat="false" ht="17.15" hidden="false" customHeight="false" outlineLevel="0" collapsed="false">
      <c r="A7988" s="0" t="s">
        <v>989</v>
      </c>
      <c r="B7988" s="0" t="s">
        <v>98</v>
      </c>
      <c r="D7988" s="6" t="n">
        <f aca="false">Sens!D7982-Sens!D7987*(Sens!D7984+Sens!D7986)-Sens!D7985</f>
        <v>8.35701406163072</v>
      </c>
      <c r="E7988" s="6" t="n">
        <f aca="false">Sens!E7982-Sens!E7987*(Sens!E7984+Sens!E7986)-Sens!E7985</f>
        <v>18.7103224860238</v>
      </c>
      <c r="F7988" s="6" t="n">
        <f aca="false">Sens!F7982-Sens!F7987*(Sens!F7984+Sens!F7986)-Sens!F7985</f>
        <v>43.2162094129388</v>
      </c>
      <c r="G7988" s="6" t="n">
        <f aca="false">Sens!G7982-Sens!G7987*(Sens!G7984+Sens!G7986)-Sens!G7985</f>
        <v>79.7204472589529</v>
      </c>
      <c r="H7988" s="6" t="n">
        <f aca="false">Sens!H7982-Sens!H7987*(Sens!H7984+Sens!H7986)-Sens!H7985</f>
        <v>122.807764331602</v>
      </c>
      <c r="I7988" s="6" t="n">
        <f aca="false">Sens!I7982-Sens!I7987*(Sens!I7984+Sens!I7986)-Sens!I7985</f>
        <v>155.390972530813</v>
      </c>
      <c r="J7988" s="6" t="n">
        <f aca="false">Sens!J7982-Sens!J7987*(Sens!J7984+Sens!J7986)-Sens!J7985</f>
        <v>178.197668553178</v>
      </c>
      <c r="K7988" s="6" t="n">
        <f aca="false">Sens!K7982-Sens!K7987*(Sens!K7984+Sens!K7986)-Sens!K7985</f>
        <v>192.726586741959</v>
      </c>
    </row>
    <row r="7989" customFormat="false" ht="17.15" hidden="false" customHeight="false" outlineLevel="0" collapsed="false">
      <c r="A7989" s="1" t="s">
        <v>990</v>
      </c>
      <c r="B7989" s="0" t="s">
        <v>98</v>
      </c>
      <c r="D7989" s="6" t="n">
        <f aca="false">(1-Sens!D7987)*(Sens!D7984+Sens!D7986)</f>
        <v>1.42281025374069</v>
      </c>
      <c r="E7989" s="6" t="n">
        <f aca="false">(1-Sens!E7987)*(Sens!E7984+Sens!E7986)</f>
        <v>3.25095598674472</v>
      </c>
      <c r="F7989" s="6" t="n">
        <f aca="false">(1-Sens!F7987)*(Sens!F7984+Sens!F7986)</f>
        <v>6.72135810147489</v>
      </c>
      <c r="G7989" s="6" t="n">
        <f aca="false">(1-Sens!G7987)*(Sens!G7984+Sens!G7986)</f>
        <v>11.3401410201637</v>
      </c>
      <c r="H7989" s="6" t="n">
        <f aca="false">(1-Sens!H7987)*(Sens!H7984+Sens!H7986)</f>
        <v>16.1920771049557</v>
      </c>
      <c r="I7989" s="6" t="n">
        <f aca="false">(1-Sens!I7987)*(Sens!I7984+Sens!I7986)</f>
        <v>20.3917774400264</v>
      </c>
      <c r="J7989" s="6" t="n">
        <f aca="false">(1-Sens!J7987)*(Sens!J7984+Sens!J7986)</f>
        <v>23.2503960207104</v>
      </c>
      <c r="K7989" s="6" t="n">
        <f aca="false">(1-Sens!K7987)*(Sens!K7984+Sens!K7986)</f>
        <v>24.8730801087085</v>
      </c>
    </row>
    <row r="7990" customFormat="false" ht="17.15" hidden="false" customHeight="false" outlineLevel="0" collapsed="false">
      <c r="A7990" s="1" t="s">
        <v>991</v>
      </c>
      <c r="B7990" s="0" t="s">
        <v>417</v>
      </c>
      <c r="C7990" s="8" t="n">
        <f aca="false">cxit_open</f>
        <v>27.5918995</v>
      </c>
      <c r="D7990" s="8" t="n">
        <f aca="false">cxit_open</f>
        <v>27.5918995</v>
      </c>
      <c r="E7990" s="8" t="n">
        <f aca="false">cxit_open</f>
        <v>27.5918995</v>
      </c>
      <c r="F7990" s="8" t="n">
        <f aca="false">((a_g3_27-nonnv*a_mai)*tk_cxit_gb300+nonnv*a_mai*nv_hold_mai*tk_cxit_vr200+(1-a_g3_27)*tk_cxit_vr200)</f>
        <v>32.4975576</v>
      </c>
      <c r="G7990" s="8" t="n">
        <f aca="false">((a_g3_28-nonnv*a_mai)*tk_cxit_gb300+nonnv*a_mai*nv_hold_mai*tk_cxit_vr200+(1-a_g3_28)*tk_cxit_vr200)</f>
        <v>34.6372088</v>
      </c>
      <c r="H7990" s="8" t="n">
        <f aca="false">((a_g3_29-nonnv*a_mai)*tk_cxit_gb300+nonnv*a_mai*nv_hold_mai*tk_cxit_vr200+(1-a_g3_29)*tk_cxit_vr200)</f>
        <v>35.7070344</v>
      </c>
      <c r="I7990" s="8" t="n">
        <f aca="false">((a_g3_29-nonnv*a_mai)*tk_cxit_gb300+nonnv*a_mai*nv_hold_mai*tk_cxit_vr200+(1-a_g3_29)*tk_cxit_vr200)</f>
        <v>35.7070344</v>
      </c>
      <c r="J7990" s="8" t="n">
        <f aca="false">((a_g3_29-nonnv*a_mai)*tk_cxit_gb300+nonnv*a_mai*nv_hold_mai*tk_cxit_vr200+(1-a_g3_29)*tk_cxit_vr200)</f>
        <v>35.7070344</v>
      </c>
      <c r="K7990" s="8" t="n">
        <f aca="false">((a_g3_29-nonnv*a_mai)*tk_cxit_gb300+nonnv*a_mai*nv_hold_mai*tk_cxit_vr200+(1-a_g3_29)*tk_cxit_vr200)</f>
        <v>35.7070344</v>
      </c>
      <c r="L7990" s="12" t="s">
        <v>992</v>
      </c>
    </row>
    <row r="7991" customFormat="false" ht="17.15" hidden="false" customHeight="false" outlineLevel="0" collapsed="false">
      <c r="A7991" s="0" t="s">
        <v>993</v>
      </c>
      <c r="B7991" s="0" t="s">
        <v>459</v>
      </c>
      <c r="F7991" s="30" t="n">
        <f aca="false">Sens!C7970*IF(Sens!F7963-Sens!C7963=life_it,1,0)+Sens!D7970*IF(Sens!F7963-Sens!D7963=life_it,1,0)+Sens!E7970*IF(Sens!F7963-Sens!E7963=life_it,1,0)</f>
        <v>0</v>
      </c>
      <c r="G7991" s="30" t="n">
        <f aca="false">Sens!C7970*IF(Sens!G7963-Sens!C7963=life_it,1,0)+Sens!D7970*IF(Sens!G7963-Sens!D7963=life_it,1,0)+Sens!E7970*IF(Sens!G7963-Sens!E7963=life_it,1,0)+Sens!F7970*IF(Sens!G7963-Sens!F7963=life_it,1,0)</f>
        <v>0</v>
      </c>
      <c r="H7991" s="30" t="n">
        <f aca="false">Sens!C7970*IF(Sens!H7963-Sens!C7963=life_it,1,0)+Sens!D7970*IF(Sens!H7963-Sens!D7963=life_it,1,0)+Sens!E7970*IF(Sens!H7963-Sens!E7963=life_it,1,0)+Sens!F7970*IF(Sens!H7963-Sens!F7963=life_it,1,0)+Sens!G7970*IF(Sens!H7963-Sens!G7963=life_it,1,0)</f>
        <v>0</v>
      </c>
      <c r="I7991" s="30" t="n">
        <f aca="false">Sens!C7970*IF(Sens!I7963-Sens!C7963=life_it,1,0)+Sens!D7970*IF(Sens!I7963-Sens!D7963=life_it,1,0)+Sens!E7970*IF(Sens!I7963-Sens!E7963=life_it,1,0)+Sens!F7970*IF(Sens!I7963-Sens!F7963=life_it,1,0)+Sens!G7970*IF(Sens!I7963-Sens!G7963=life_it,1,0)+Sens!H7970*IF(Sens!I7963-Sens!H7963=life_it,1,0)</f>
        <v>816.666666666667</v>
      </c>
      <c r="J7991" s="30" t="n">
        <f aca="false">Sens!C7970*IF(Sens!J7963-Sens!C7963=life_it,1,0)+Sens!D7970*IF(Sens!J7963-Sens!D7963=life_it,1,0)+Sens!E7970*IF(Sens!J7963-Sens!E7963=life_it,1,0)+Sens!F7970*IF(Sens!J7963-Sens!F7963=life_it,1,0)+Sens!G7970*IF(Sens!J7963-Sens!G7963=life_it,1,0)+Sens!H7970*IF(Sens!J7963-Sens!H7963=life_it,1,0)+Sens!I7970*IF(Sens!J7963-Sens!I7963=life_it,1,0)</f>
        <v>1233.33333333333</v>
      </c>
      <c r="K7991" s="30" t="n">
        <f aca="false">Sens!C7970*IF(Sens!K7963-Sens!C7963=life_it,1,0)+Sens!D7970*IF(Sens!K7963-Sens!D7963=life_it,1,0)+Sens!E7970*IF(Sens!K7963-Sens!E7963=life_it,1,0)+Sens!F7970*IF(Sens!K7963-Sens!F7963=life_it,1,0)+Sens!G7970*IF(Sens!K7963-Sens!G7963=life_it,1,0)+Sens!H7970*IF(Sens!K7963-Sens!H7963=life_it,1,0)+Sens!I7970*IF(Sens!K7963-Sens!I7963=life_it,1,0)+Sens!J7970*IF(Sens!K7963-Sens!J7963=life_it,1,0)</f>
        <v>2450</v>
      </c>
      <c r="L7991" s="1" t="s">
        <v>994</v>
      </c>
    </row>
    <row r="7992" customFormat="false" ht="17.15" hidden="false" customHeight="false" outlineLevel="0" collapsed="false">
      <c r="A7992" s="0" t="s">
        <v>995</v>
      </c>
      <c r="B7992" s="0" t="s">
        <v>98</v>
      </c>
      <c r="C7992" s="6" t="n">
        <f aca="false">Sens!C7970*Sens!C7990/1000</f>
        <v>22.5333845916667</v>
      </c>
      <c r="D7992" s="6" t="n">
        <f aca="false">Sens!D7970*Sens!D7990/1000</f>
        <v>34.0300093833333</v>
      </c>
      <c r="E7992" s="6" t="n">
        <f aca="false">Sens!E7970*Sens!E7990/1000</f>
        <v>67.600153775</v>
      </c>
      <c r="F7992" s="6" t="n">
        <f aca="false">(Sens!F7970+Sens!F7991)*Sens!F7990/1000</f>
        <v>136.51872432512</v>
      </c>
      <c r="G7992" s="6" t="n">
        <f aca="false">(Sens!G7970+Sens!G7991)*Sens!G7990/1000</f>
        <v>157.399275932048</v>
      </c>
      <c r="H7992" s="6" t="n">
        <f aca="false">(Sens!H7970+Sens!H7991)*Sens!H7990/1000</f>
        <v>162.260804347512</v>
      </c>
      <c r="I7992" s="6" t="n">
        <f aca="false">(Sens!I7970+Sens!I7991)*Sens!I7990/1000</f>
        <v>144.136569485434</v>
      </c>
      <c r="J7992" s="6" t="n">
        <f aca="false">(Sens!J7970+Sens!J7991)*Sens!J7990/1000</f>
        <v>114.029037357864</v>
      </c>
      <c r="K7992" s="6" t="n">
        <f aca="false">(Sens!K7970+Sens!K7991)*Sens!K7990/1000</f>
        <v>113.437085350975</v>
      </c>
    </row>
    <row r="7993" customFormat="false" ht="17.15" hidden="false" customHeight="false" outlineLevel="0" collapsed="false">
      <c r="A7993" s="0" t="s">
        <v>996</v>
      </c>
      <c r="B7993" s="0" t="s">
        <v>98</v>
      </c>
      <c r="C7993" s="6" t="n">
        <f aca="false">Sens!C7970*self_build*tk_cxfac/1000</f>
        <v>6.2083</v>
      </c>
      <c r="D7993" s="6" t="n">
        <f aca="false">Sens!D7970*self_build*tk_cxfac/1000</f>
        <v>9.3758</v>
      </c>
      <c r="E7993" s="6" t="n">
        <f aca="false">Sens!E7970*self_build*tk_cxfac/1000</f>
        <v>18.6249</v>
      </c>
      <c r="F7993" s="6" t="n">
        <f aca="false">Sens!F7970*self_build*tk_cxfac/1000</f>
        <v>31.935179717</v>
      </c>
      <c r="G7993" s="6" t="n">
        <f aca="false">Sens!G7970*self_build*tk_cxfac/1000</f>
        <v>34.545199717</v>
      </c>
      <c r="H7993" s="6" t="n">
        <f aca="false">Sens!H7970*self_build*tk_cxfac/1000</f>
        <v>34.545199717</v>
      </c>
      <c r="I7993" s="6" t="n">
        <f aca="false">Sens!I7970*self_build*tk_cxfac/1000</f>
        <v>24.4782641361767</v>
      </c>
      <c r="J7993" s="6" t="n">
        <f aca="false">Sens!J7970*self_build*tk_cxfac/1000</f>
        <v>14.9008938380769</v>
      </c>
      <c r="K7993" s="6" t="n">
        <f aca="false">Sens!K7970*self_build*tk_cxfac/1000</f>
        <v>5.52576771375761</v>
      </c>
    </row>
    <row r="7994" customFormat="false" ht="17.15" hidden="false" customHeight="false" outlineLevel="0" collapsed="false">
      <c r="A7994" s="0" t="s">
        <v>997</v>
      </c>
      <c r="B7994" s="0" t="s">
        <v>98</v>
      </c>
      <c r="F7994" s="15" t="n">
        <f aca="false">capex_floor27-Sens!F7992-Sens!F7993-Sens!F8090</f>
        <v>0.336281121266289</v>
      </c>
      <c r="L7994" s="12" t="s">
        <v>998</v>
      </c>
    </row>
    <row r="7995" customFormat="false" ht="17.15" hidden="false" customHeight="false" outlineLevel="0" collapsed="false">
      <c r="A7995" s="0" t="s">
        <v>999</v>
      </c>
      <c r="B7995" s="0" t="s">
        <v>98</v>
      </c>
      <c r="F7995" s="6" t="n">
        <f aca="false">MAX(0,Sens!F7994)</f>
        <v>0.336281121266289</v>
      </c>
    </row>
    <row r="7996" customFormat="false" ht="17.15" hidden="false" customHeight="false" outlineLevel="0" collapsed="false">
      <c r="A7996" s="0" t="s">
        <v>1000</v>
      </c>
      <c r="B7996" s="0" t="s">
        <v>98</v>
      </c>
      <c r="C7996" s="6" t="n">
        <f aca="false">Sens!C7992</f>
        <v>22.5333845916667</v>
      </c>
      <c r="D7996" s="6" t="n">
        <f aca="false">Sens!D7992</f>
        <v>34.0300093833333</v>
      </c>
      <c r="E7996" s="6" t="n">
        <f aca="false">Sens!E7992</f>
        <v>67.600153775</v>
      </c>
      <c r="F7996" s="6" t="n">
        <f aca="false">Sens!F7992</f>
        <v>136.51872432512</v>
      </c>
      <c r="G7996" s="6" t="n">
        <f aca="false">Sens!G7992</f>
        <v>157.399275932048</v>
      </c>
      <c r="H7996" s="6" t="n">
        <f aca="false">Sens!H7992</f>
        <v>162.260804347512</v>
      </c>
      <c r="I7996" s="6" t="n">
        <f aca="false">Sens!I7992</f>
        <v>144.136569485434</v>
      </c>
      <c r="J7996" s="6" t="n">
        <f aca="false">Sens!J7992</f>
        <v>114.029037357864</v>
      </c>
      <c r="K7996" s="6" t="n">
        <f aca="false">Sens!K7992</f>
        <v>113.437085350975</v>
      </c>
    </row>
    <row r="7997" customFormat="false" ht="17.15" hidden="false" customHeight="false" outlineLevel="0" collapsed="false">
      <c r="A7997" s="0" t="s">
        <v>1001</v>
      </c>
      <c r="B7997" s="0" t="s">
        <v>98</v>
      </c>
      <c r="C7997" s="6" t="n">
        <f aca="false">Sens!C7996+Sens!C7993</f>
        <v>28.7416845916667</v>
      </c>
      <c r="D7997" s="6" t="n">
        <f aca="false">Sens!D7996+Sens!D7993</f>
        <v>43.4058093833333</v>
      </c>
      <c r="E7997" s="6" t="n">
        <f aca="false">Sens!E7996+Sens!E7993</f>
        <v>86.225053775</v>
      </c>
      <c r="F7997" s="6" t="n">
        <f aca="false">Sens!F7996+Sens!F7993</f>
        <v>168.45390404212</v>
      </c>
      <c r="G7997" s="6" t="n">
        <f aca="false">Sens!G7996+Sens!G7993</f>
        <v>191.944475649048</v>
      </c>
      <c r="H7997" s="6" t="n">
        <f aca="false">Sens!H7996+Sens!H7993</f>
        <v>196.806004064512</v>
      </c>
      <c r="I7997" s="6" t="n">
        <f aca="false">Sens!I7996+Sens!I7993</f>
        <v>168.61483362161</v>
      </c>
      <c r="J7997" s="6" t="n">
        <f aca="false">Sens!J7996+Sens!J7993</f>
        <v>128.92993119594</v>
      </c>
      <c r="K7997" s="6" t="n">
        <f aca="false">Sens!K7996+Sens!K7993</f>
        <v>118.962853064733</v>
      </c>
      <c r="L7997" s="12" t="s">
        <v>1002</v>
      </c>
    </row>
    <row r="7998" customFormat="false" ht="17.15" hidden="false" customHeight="false" outlineLevel="0" collapsed="false">
      <c r="A7998" s="0" t="s">
        <v>1003</v>
      </c>
      <c r="B7998" s="0" t="s">
        <v>98</v>
      </c>
      <c r="E7998" s="6" t="n">
        <f aca="false">(Sens!C7996*IF(2&lt;life_it,1,IF(2=life_it,0.5,0))+Sens!D7996*IF(1&lt;life_it,1,IF(1=life_it,0.5,0))+Sens!E7996*0.5)/life_it</f>
        <v>15.0605784770833</v>
      </c>
      <c r="F7998" s="6" t="n">
        <f aca="false">(Sens!C7996*IF(3&lt;life_it,1,IF(3=life_it,0.5,0))+Sens!D7996*IF(2&lt;life_it,1,IF(2=life_it,0.5,0))+Sens!E7996*IF(1&lt;life_it,1,IF(1=life_it,0.5,0))+Sens!F7996*0.5)/life_it</f>
        <v>32.0704849854266</v>
      </c>
      <c r="G7998" s="6" t="n">
        <f aca="false">(Sens!C7996*IF(4&lt;life_it,1,IF(4=life_it,0.5,0))+Sens!D7996*IF(3&lt;life_it,1,IF(3=life_it,0.5,0))+Sens!E7996*IF(2&lt;life_it,1,IF(2=life_it,0.5,0))+Sens!F7996*IF(1&lt;life_it,1,IF(1=life_it,0.5,0))+Sens!G7996*0.5)/life_it</f>
        <v>56.5636516735239</v>
      </c>
      <c r="H7998" s="6" t="n">
        <f aca="false">(Sens!C7996*IF(5&lt;life_it,1,IF(5=life_it,0.5,0))+Sens!D7996*IF(4&lt;life_it,1,IF(4=life_it,0.5,0))+Sens!E7996*IF(3&lt;life_it,1,IF(3=life_it,0.5,0))+Sens!F7996*IF(2&lt;life_it,1,IF(2=life_it,0.5,0))+Sens!G7996*IF(1&lt;life_it,1,IF(1=life_it,0.5,0))+Sens!H7996*0.5)/life_it</f>
        <v>83.2019916968207</v>
      </c>
      <c r="I7998" s="6" t="n">
        <f aca="false">(Sens!C7996*IF(6&lt;life_it,1,IF(6=life_it,0.5,0))+Sens!D7996*IF(5&lt;life_it,1,IF(5=life_it,0.5,0))+Sens!E7996*IF(4&lt;life_it,1,IF(4=life_it,0.5,0))+Sens!F7996*IF(3&lt;life_it,1,IF(3=life_it,0.5,0))+Sens!G7996*IF(2&lt;life_it,1,IF(2=life_it,0.5,0))+Sens!H7996*IF(1&lt;life_it,1,IF(1=life_it,0.5,0))+Sens!I7996*0.5)/life_it</f>
        <v>106.857324133594</v>
      </c>
      <c r="J7998" s="6" t="n">
        <f aca="false">(Sens!C7996*IF(7&lt;life_it,1,IF(7=life_it,0.5,0))+Sens!D7996*IF(6&lt;life_it,1,IF(6=life_it,0.5,0))+Sens!E7996*IF(5&lt;life_it,1,IF(5=life_it,0.5,0))+Sens!F7996*IF(4&lt;life_it,1,IF(4=life_it,0.5,0))+Sens!G7996*IF(3&lt;life_it,1,IF(3=life_it,0.5,0))+Sens!H7996*IF(2&lt;life_it,1,IF(2=life_it,0.5,0))+Sens!I7996*IF(1&lt;life_it,1,IF(1=life_it,0.5,0))+Sens!J7996*0.5)/life_it</f>
        <v>123.657508539285</v>
      </c>
      <c r="K7998" s="6" t="n">
        <f aca="false">(Sens!C7996*IF(8&lt;life_it,1,IF(8=life_it,0.5,0))+Sens!D7996*IF(7&lt;life_it,1,IF(7=life_it,0.5,0))+Sens!E7996*IF(6&lt;life_it,1,IF(6=life_it,0.5,0))+Sens!F7996*IF(5&lt;life_it,1,IF(5=life_it,0.5,0))+Sens!G7996*IF(4&lt;life_it,1,IF(4=life_it,0.5,0))+Sens!H7996*IF(3&lt;life_it,1,IF(3=life_it,0.5,0))+Sens!I7996*IF(2&lt;life_it,1,IF(2=life_it,0.5,0))+Sens!J7996*IF(1&lt;life_it,1,IF(1=life_it,0.5,0))+Sens!K7996*0.5)/life_it</f>
        <v>134.143838501827</v>
      </c>
    </row>
    <row r="7999" customFormat="false" ht="17.15" hidden="false" customHeight="false" outlineLevel="0" collapsed="false">
      <c r="A7999" s="0" t="s">
        <v>1004</v>
      </c>
      <c r="B7999" s="0" t="s">
        <v>98</v>
      </c>
      <c r="E7999" s="6" t="n">
        <f aca="false">(Sens!C7993*IF(2&lt;life_fac,1,IF(2=life_fac,0.5,0))+Sens!D7993*IF(1&lt;life_fac,1,IF(1=life_fac,0.5,0))+Sens!E7993*0.5)/life_fac</f>
        <v>1.2448275</v>
      </c>
      <c r="F7999" s="6" t="n">
        <f aca="false">(Sens!C7993*IF(3&lt;life_fac,1,IF(3=life_fac,0.5,0))+Sens!D7993*IF(2&lt;life_fac,1,IF(2=life_fac,0.5,0))+Sens!E7993*IF(1&lt;life_fac,1,IF(1=life_fac,0.5,0))+Sens!F7993*0.5)/life_fac</f>
        <v>2.508829492925</v>
      </c>
      <c r="G7999" s="6" t="n">
        <f aca="false">(Sens!C7993*IF(4&lt;life_fac,1,IF(4=life_fac,0.5,0))+Sens!D7993*IF(3&lt;life_fac,1,IF(3=life_fac,0.5,0))+Sens!E7993*IF(2&lt;life_fac,1,IF(2=life_fac,0.5,0))+Sens!F7993*IF(1&lt;life_fac,1,IF(1=life_fac,0.5,0))+Sens!G7993*0.5)/life_fac</f>
        <v>4.170838978775</v>
      </c>
      <c r="H7999" s="6" t="n">
        <f aca="false">(Sens!C7993*IF(5&lt;life_fac,1,IF(5=life_fac,0.5,0))+Sens!D7993*IF(4&lt;life_fac,1,IF(4=life_fac,0.5,0))+Sens!E7993*IF(3&lt;life_fac,1,IF(3=life_fac,0.5,0))+Sens!F7993*IF(2&lt;life_fac,1,IF(2=life_fac,0.5,0))+Sens!G7993*IF(1&lt;life_fac,1,IF(1=life_fac,0.5,0))+Sens!H7993*0.5)/life_fac</f>
        <v>5.898098964625</v>
      </c>
      <c r="I7999" s="6" t="n">
        <f aca="false">(Sens!C7993*IF(6&lt;life_fac,1,IF(6=life_fac,0.5,0))+Sens!D7993*IF(5&lt;life_fac,1,IF(5=life_fac,0.5,0))+Sens!E7993*IF(4&lt;life_fac,1,IF(4=life_fac,0.5,0))+Sens!F7993*IF(3&lt;life_fac,1,IF(3=life_fac,0.5,0))+Sens!G7993*IF(2&lt;life_fac,1,IF(2=life_fac,0.5,0))+Sens!H7993*IF(1&lt;life_fac,1,IF(1=life_fac,0.5,0))+Sens!I7993*0.5)/life_fac</f>
        <v>7.37368556095442</v>
      </c>
      <c r="J7999" s="6" t="n">
        <f aca="false">(Sens!C7993*IF(7&lt;life_fac,1,IF(7=life_fac,0.5,0))+Sens!D7993*IF(6&lt;life_fac,1,IF(6=life_fac,0.5,0))+Sens!E7993*IF(5&lt;life_fac,1,IF(5=life_fac,0.5,0))+Sens!F7993*IF(4&lt;life_fac,1,IF(4=life_fac,0.5,0))+Sens!G7993*IF(3&lt;life_fac,1,IF(3=life_fac,0.5,0))+Sens!H7993*IF(2&lt;life_fac,1,IF(2=life_fac,0.5,0))+Sens!I7993*IF(1&lt;life_fac,1,IF(1=life_fac,0.5,0))+Sens!J7993*0.5)/life_fac</f>
        <v>8.35816451031075</v>
      </c>
      <c r="K7999" s="6" t="n">
        <f aca="false">(Sens!C7993*IF(8&lt;life_fac,1,IF(8=life_fac,0.5,0))+Sens!D7993*IF(7&lt;life_fac,1,IF(7=life_fac,0.5,0))+Sens!E7993*IF(6&lt;life_fac,1,IF(6=life_fac,0.5,0))+Sens!F7993*IF(5&lt;life_fac,1,IF(5=life_fac,0.5,0))+Sens!G7993*IF(4&lt;life_fac,1,IF(4=life_fac,0.5,0))+Sens!H7993*IF(3&lt;life_fac,1,IF(3=life_fac,0.5,0))+Sens!I7993*IF(2&lt;life_fac,1,IF(2=life_fac,0.5,0))+Sens!J7993*IF(1&lt;life_fac,1,IF(1=life_fac,0.5,0))+Sens!K7993*0.5)/life_fac</f>
        <v>8.86883104910662</v>
      </c>
    </row>
    <row r="8000" customFormat="false" ht="17.15" hidden="false" customHeight="false" outlineLevel="0" collapsed="false">
      <c r="A8000" s="0" t="s">
        <v>1005</v>
      </c>
      <c r="B8000" s="0" t="s">
        <v>98</v>
      </c>
      <c r="E8000" s="6" t="n">
        <f aca="false">Sens!E7998+Sens!E7999</f>
        <v>16.3054059770833</v>
      </c>
      <c r="F8000" s="6" t="n">
        <f aca="false">Sens!F7998+Sens!F7999</f>
        <v>34.5793144783516</v>
      </c>
      <c r="G8000" s="6" t="n">
        <f aca="false">Sens!G7998+Sens!G7999</f>
        <v>60.7344906522989</v>
      </c>
      <c r="H8000" s="6" t="n">
        <f aca="false">Sens!H7998+Sens!H7999</f>
        <v>89.1000906614457</v>
      </c>
      <c r="I8000" s="6" t="n">
        <f aca="false">Sens!I7998+Sens!I7999</f>
        <v>114.231009694548</v>
      </c>
      <c r="J8000" s="6" t="n">
        <f aca="false">Sens!J7998+Sens!J7999</f>
        <v>132.015673049596</v>
      </c>
      <c r="K8000" s="6" t="n">
        <f aca="false">Sens!K7998+Sens!K7999</f>
        <v>143.012669550934</v>
      </c>
    </row>
    <row r="8001" customFormat="false" ht="17.15" hidden="false" customHeight="false" outlineLevel="0" collapsed="false">
      <c r="A8001" s="0" t="s">
        <v>1006</v>
      </c>
      <c r="B8001" s="0" t="s">
        <v>98</v>
      </c>
      <c r="E8001" s="6" t="n">
        <f aca="false">Sens!E7988-Sens!E7987*Sens!E8000</f>
        <v>8.92707889977379</v>
      </c>
      <c r="F8001" s="6" t="n">
        <f aca="false">Sens!F7988-Sens!F7987*Sens!F8000</f>
        <v>22.4686207259278</v>
      </c>
      <c r="G8001" s="6" t="n">
        <f aca="false">Sens!G7988-Sens!G7987*Sens!G8000</f>
        <v>43.2797528675735</v>
      </c>
      <c r="H8001" s="6" t="n">
        <f aca="false">Sens!H7988-Sens!H7987*Sens!H8000</f>
        <v>69.3477099347341</v>
      </c>
      <c r="I8001" s="6" t="n">
        <f aca="false">Sens!I7988-Sens!I7987*Sens!I8000</f>
        <v>86.8523667140836</v>
      </c>
      <c r="J8001" s="6" t="n">
        <f aca="false">Sens!J7988-Sens!J7987*Sens!J8000</f>
        <v>98.9882647234202</v>
      </c>
      <c r="K8001" s="6" t="n">
        <f aca="false">Sens!K7988-Sens!K7987*Sens!K8000</f>
        <v>106.918985011399</v>
      </c>
    </row>
    <row r="8002" customFormat="false" ht="17.15" hidden="false" customHeight="false" outlineLevel="0" collapsed="false">
      <c r="A8002" s="3" t="s">
        <v>1811</v>
      </c>
    </row>
    <row r="8003" customFormat="false" ht="15" hidden="false" customHeight="false" outlineLevel="0" collapsed="false">
      <c r="A8003" s="4" t="s">
        <v>43</v>
      </c>
      <c r="B8003" s="4" t="s">
        <v>65</v>
      </c>
      <c r="C8003" s="23" t="s">
        <v>942</v>
      </c>
      <c r="D8003" s="23" t="s">
        <v>943</v>
      </c>
      <c r="E8003" s="23" t="s">
        <v>944</v>
      </c>
      <c r="F8003" s="23" t="s">
        <v>945</v>
      </c>
      <c r="G8003" s="23" t="s">
        <v>946</v>
      </c>
      <c r="H8003" s="23" t="s">
        <v>947</v>
      </c>
      <c r="I8003" s="23" t="s">
        <v>948</v>
      </c>
      <c r="J8003" s="23" t="s">
        <v>949</v>
      </c>
      <c r="K8003" s="23" t="s">
        <v>950</v>
      </c>
      <c r="L8003" s="4" t="s">
        <v>47</v>
      </c>
    </row>
    <row r="8004" customFormat="false" ht="17.15" hidden="false" customHeight="false" outlineLevel="0" collapsed="false">
      <c r="A8004" s="0" t="s">
        <v>1025</v>
      </c>
      <c r="B8004" s="0" t="s">
        <v>98</v>
      </c>
      <c r="D8004" s="6" t="n">
        <f aca="false">Sens!D7982</f>
        <v>12.9359794422418</v>
      </c>
      <c r="E8004" s="6" t="n">
        <f aca="false">Sens!E7982</f>
        <v>27.8095064661409</v>
      </c>
      <c r="F8004" s="6" t="n">
        <f aca="false">Sens!F7982</f>
        <v>59.1034165651511</v>
      </c>
      <c r="G8004" s="6" t="n">
        <f aca="false">Sens!G7982</f>
        <v>103.451498789198</v>
      </c>
      <c r="H8004" s="6" t="n">
        <f aca="false">Sens!H7982</f>
        <v>153.816719989035</v>
      </c>
      <c r="I8004" s="6" t="n">
        <f aca="false">Sens!I7982</f>
        <v>192.699478690852</v>
      </c>
      <c r="J8004" s="6" t="n">
        <f aca="false">Sens!J7982</f>
        <v>219.794102584244</v>
      </c>
      <c r="K8004" s="6" t="n">
        <f aca="false">Sens!K7982</f>
        <v>236.757046905022</v>
      </c>
    </row>
    <row r="8005" customFormat="false" ht="17.15" hidden="false" customHeight="false" outlineLevel="0" collapsed="false">
      <c r="A8005" s="0" t="s">
        <v>1026</v>
      </c>
      <c r="B8005" s="0" t="s">
        <v>98</v>
      </c>
      <c r="D8005" s="6" t="n">
        <f aca="false">Q!L6-Sens!D8004</f>
        <v>59.6740205577583</v>
      </c>
      <c r="E8005" s="6" t="n">
        <f aca="false">Q!M6-Sens!E8004</f>
        <v>74.1284935338591</v>
      </c>
      <c r="F8005" s="6" t="n">
        <f aca="false">Q!$I$6+(Sens!F8004+Sens!E8005*(1+Sens!F8006))*(1-Q!$E$6/Q!M6)-Sens!F8004</f>
        <v>90.4866018070994</v>
      </c>
      <c r="G8005" s="6" t="n">
        <f aca="false">Sens!F8005*(1+Sens!G8006)</f>
        <v>107.511588557154</v>
      </c>
      <c r="H8005" s="6" t="n">
        <f aca="false">Sens!G8005*(1+Sens!H8006)</f>
        <v>124.832989325489</v>
      </c>
      <c r="I8005" s="6" t="n">
        <f aca="false">Sens!H8005*(1+Sens!I8006)</f>
        <v>141.56992589148</v>
      </c>
      <c r="J8005" s="6" t="n">
        <f aca="false">Sens!I8005*(1+Sens!J8006)</f>
        <v>156.723190479428</v>
      </c>
      <c r="K8005" s="6" t="n">
        <f aca="false">Sens!J8005*(1+Sens!K8006)</f>
        <v>169.261045717783</v>
      </c>
      <c r="L8005" s="12" t="s">
        <v>1027</v>
      </c>
    </row>
    <row r="8006" customFormat="false" ht="15" hidden="false" customHeight="false" outlineLevel="0" collapsed="false">
      <c r="A8006" s="1" t="s">
        <v>1028</v>
      </c>
      <c r="B8006" s="0" t="s">
        <v>168</v>
      </c>
      <c r="E8006" s="7" t="n">
        <f aca="false">Sens!E8005/Sens!D8005-1</f>
        <v>0.242223883039864</v>
      </c>
      <c r="F8006" s="7" t="n">
        <f aca="false">Sens!$E$8006+(glt_azo-Sens!$E$8006)*MIN(1,(Sens!F7963-base_fy)/n_conv)</f>
        <v>0.215186569199887</v>
      </c>
      <c r="G8006" s="7" t="n">
        <f aca="false">Sens!$E$8006+(glt_azo-Sens!$E$8006)*MIN(1,(Sens!G7963-base_fy)/n_conv)</f>
        <v>0.18814925535991</v>
      </c>
      <c r="H8006" s="7" t="n">
        <f aca="false">Sens!$E$8006+(glt_azo-Sens!$E$8006)*MIN(1,(Sens!H7963-base_fy)/n_conv)</f>
        <v>0.161111941519932</v>
      </c>
      <c r="I8006" s="7" t="n">
        <f aca="false">Sens!$E$8006+(glt_azo-Sens!$E$8006)*MIN(1,(Sens!I7963-base_fy)/n_conv)</f>
        <v>0.134074627679955</v>
      </c>
      <c r="J8006" s="7" t="n">
        <f aca="false">Sens!$E$8006+(glt_azo-Sens!$E$8006)*MIN(1,(Sens!J7963-base_fy)/n_conv)</f>
        <v>0.107037313839977</v>
      </c>
      <c r="K8006" s="7" t="n">
        <f aca="false">Sens!$E$8006+(glt_azo-Sens!$E$8006)*MIN(1,(Sens!K7963-base_fy)/n_conv)</f>
        <v>0.08</v>
      </c>
    </row>
    <row r="8007" customFormat="false" ht="15" hidden="false" customHeight="false" outlineLevel="0" collapsed="false">
      <c r="A8007" s="0" t="s">
        <v>1029</v>
      </c>
      <c r="B8007" s="0" t="s">
        <v>98</v>
      </c>
      <c r="D8007" s="6" t="n">
        <f aca="false">Sens!D8004+Sens!D8005</f>
        <v>72.61</v>
      </c>
      <c r="E8007" s="6" t="n">
        <f aca="false">Sens!E8004+Sens!E8005</f>
        <v>101.938</v>
      </c>
      <c r="F8007" s="6" t="n">
        <f aca="false">Sens!F8004+Sens!F8005</f>
        <v>149.59001837225</v>
      </c>
      <c r="G8007" s="6" t="n">
        <f aca="false">Sens!G8004+Sens!G8005</f>
        <v>210.963087346352</v>
      </c>
      <c r="H8007" s="6" t="n">
        <f aca="false">Sens!H8004+Sens!H8005</f>
        <v>278.649709314524</v>
      </c>
      <c r="I8007" s="6" t="n">
        <f aca="false">Sens!I8004+Sens!I8005</f>
        <v>334.269404582332</v>
      </c>
      <c r="J8007" s="6" t="n">
        <f aca="false">Sens!J8004+Sens!J8005</f>
        <v>376.517293063672</v>
      </c>
      <c r="K8007" s="6" t="n">
        <f aca="false">Sens!K8004+Sens!K8005</f>
        <v>406.018092622804</v>
      </c>
    </row>
    <row r="8008" customFormat="false" ht="17.15" hidden="false" customHeight="false" outlineLevel="0" collapsed="false">
      <c r="A8008" s="0" t="s">
        <v>1030</v>
      </c>
      <c r="B8008" s="1" t="s">
        <v>613</v>
      </c>
      <c r="C8008" s="30" t="n">
        <f aca="false">cop_s24</f>
        <v>1</v>
      </c>
      <c r="D8008" s="30" t="n">
        <f aca="false">cop_s25</f>
        <v>5</v>
      </c>
      <c r="E8008" s="30" t="n">
        <f aca="false">cop_s26</f>
        <v>30</v>
      </c>
      <c r="F8008" s="30" t="n">
        <f aca="false">Sens!E8008+cop_add_A</f>
        <v>60</v>
      </c>
      <c r="G8008" s="30" t="n">
        <f aca="false">Sens!F8008+cop_add_A</f>
        <v>90</v>
      </c>
      <c r="H8008" s="30" t="n">
        <f aca="false">Sens!G8008+cop_add_A</f>
        <v>120</v>
      </c>
      <c r="I8008" s="30" t="n">
        <f aca="false">Sens!H8008+cop_add_A*cop_tail</f>
        <v>135</v>
      </c>
      <c r="J8008" s="30" t="n">
        <f aca="false">Sens!I8008+cop_add_A*cop_tail</f>
        <v>150</v>
      </c>
      <c r="K8008" s="30" t="n">
        <f aca="false">Sens!J8008+cop_add_A*cop_tail</f>
        <v>165</v>
      </c>
      <c r="L8008" s="12" t="s">
        <v>1031</v>
      </c>
    </row>
    <row r="8009" customFormat="false" ht="17.15" hidden="false" customHeight="false" outlineLevel="0" collapsed="false">
      <c r="A8009" s="0" t="s">
        <v>1032</v>
      </c>
      <c r="B8009" s="0" t="s">
        <v>98</v>
      </c>
      <c r="D8009" s="6" t="n">
        <f aca="false">(Sens!C8008+Sens!D8008)/2*cop_px*12/1000</f>
        <v>0.9</v>
      </c>
      <c r="E8009" s="6" t="n">
        <f aca="false">(Sens!D8008+Sens!E8008)/2*cop_px*12/1000</f>
        <v>5.25</v>
      </c>
      <c r="F8009" s="6" t="n">
        <f aca="false">(Sens!E8008+Sens!F8008)/2*cop_px_lo*12/1000</f>
        <v>9.72</v>
      </c>
      <c r="G8009" s="6" t="n">
        <f aca="false">(Sens!F8008+Sens!G8008)/2*cop_px_lo*12/1000</f>
        <v>16.2</v>
      </c>
      <c r="H8009" s="6" t="n">
        <f aca="false">(Sens!G8008+Sens!H8008)/2*cop_px_lo*12/1000</f>
        <v>22.68</v>
      </c>
      <c r="I8009" s="6" t="n">
        <f aca="false">(Sens!H8008+Sens!I8008)/2*cop_px_lo*12/1000</f>
        <v>27.54</v>
      </c>
      <c r="J8009" s="6" t="n">
        <f aca="false">(Sens!I8008+Sens!J8008)/2*cop_px_lo*12/1000</f>
        <v>30.78</v>
      </c>
      <c r="K8009" s="6" t="n">
        <f aca="false">(Sens!J8008+Sens!K8008)/2*cop_px_lo*12/1000</f>
        <v>34.02</v>
      </c>
      <c r="L8009" s="1" t="s">
        <v>1033</v>
      </c>
    </row>
    <row r="8010" customFormat="false" ht="17.15" hidden="false" customHeight="false" outlineLevel="0" collapsed="false">
      <c r="A8010" s="0" t="s">
        <v>1034</v>
      </c>
      <c r="B8010" s="0" t="s">
        <v>98</v>
      </c>
      <c r="D8010" s="6" t="n">
        <f aca="false">Q!L7-Sens!D8009</f>
        <v>83.705</v>
      </c>
      <c r="E8010" s="6" t="n">
        <f aca="false">Q!M7-Sens!E8009</f>
        <v>95.049</v>
      </c>
      <c r="F8010" s="6" t="n">
        <f aca="false">Q!$I$7+(Sens!E8010*(1+Sens!F8011)+Sens!F8009)*(1-Q!$E$7/Q!M7)-Sens!F8009</f>
        <v>107.122616445631</v>
      </c>
      <c r="G8010" s="6" t="n">
        <f aca="false">Sens!F8010*(1+Sens!G8011)</f>
        <v>119.300570070819</v>
      </c>
      <c r="H8010" s="6" t="n">
        <f aca="false">Sens!G8010*(1+Sens!H8011)</f>
        <v>131.56010929863</v>
      </c>
      <c r="I8010" s="6" t="n">
        <f aca="false">Sens!H8010*(1+Sens!I8011)</f>
        <v>143.642746069518</v>
      </c>
      <c r="J8010" s="6" t="n">
        <f aca="false">Sens!I8010*(1+Sens!J8011)</f>
        <v>155.266402426814</v>
      </c>
      <c r="K8010" s="6" t="n">
        <f aca="false">Sens!J8010*(1+Sens!K8011)</f>
        <v>166.135050596691</v>
      </c>
      <c r="L8010" s="12" t="s">
        <v>1035</v>
      </c>
    </row>
    <row r="8011" customFormat="false" ht="15" hidden="false" customHeight="false" outlineLevel="0" collapsed="false">
      <c r="A8011" s="1" t="s">
        <v>1028</v>
      </c>
      <c r="B8011" s="0" t="s">
        <v>168</v>
      </c>
      <c r="E8011" s="7" t="n">
        <f aca="false">Sens!E8010/Sens!D8010-1</f>
        <v>0.135523564900544</v>
      </c>
      <c r="F8011" s="7" t="n">
        <f aca="false">Sens!$E$8011+(glt_m365b-Sens!$E$8011)*MIN(1,(Sens!F7963-base_fy)/n_conv)</f>
        <v>0.124602970750453</v>
      </c>
      <c r="G8011" s="7" t="n">
        <f aca="false">Sens!$E$8011+(glt_m365b-Sens!$E$8011)*MIN(1,(Sens!G7963-base_fy)/n_conv)</f>
        <v>0.113682376600363</v>
      </c>
      <c r="H8011" s="7" t="n">
        <f aca="false">Sens!$E$8011+(glt_m365b-Sens!$E$8011)*MIN(1,(Sens!H7963-base_fy)/n_conv)</f>
        <v>0.102761782450272</v>
      </c>
      <c r="I8011" s="7" t="n">
        <f aca="false">Sens!$E$8011+(glt_m365b-Sens!$E$8011)*MIN(1,(Sens!I7963-base_fy)/n_conv)</f>
        <v>0.0918411883001813</v>
      </c>
      <c r="J8011" s="7" t="n">
        <f aca="false">Sens!$E$8011+(glt_m365b-Sens!$E$8011)*MIN(1,(Sens!J7963-base_fy)/n_conv)</f>
        <v>0.0809205941500906</v>
      </c>
      <c r="K8011" s="7" t="n">
        <f aca="false">Sens!$E$8011+(glt_m365b-Sens!$E$8011)*MIN(1,(Sens!K7963-base_fy)/n_conv)</f>
        <v>0.07</v>
      </c>
    </row>
    <row r="8012" customFormat="false" ht="15" hidden="false" customHeight="false" outlineLevel="0" collapsed="false">
      <c r="A8012" s="0" t="s">
        <v>1036</v>
      </c>
      <c r="B8012" s="0" t="s">
        <v>98</v>
      </c>
      <c r="D8012" s="6" t="n">
        <f aca="false">Sens!D8010+Sens!D8009</f>
        <v>84.605</v>
      </c>
      <c r="E8012" s="6" t="n">
        <f aca="false">Sens!E8010+Sens!E8009</f>
        <v>100.299</v>
      </c>
      <c r="F8012" s="6" t="n">
        <f aca="false">Sens!F8010+Sens!F8009</f>
        <v>116.842616445631</v>
      </c>
      <c r="G8012" s="6" t="n">
        <f aca="false">Sens!G8010+Sens!G8009</f>
        <v>135.500570070819</v>
      </c>
      <c r="H8012" s="6" t="n">
        <f aca="false">Sens!H8010+Sens!H8009</f>
        <v>154.24010929863</v>
      </c>
      <c r="I8012" s="6" t="n">
        <f aca="false">Sens!I8010+Sens!I8009</f>
        <v>171.182746069518</v>
      </c>
      <c r="J8012" s="6" t="n">
        <f aca="false">Sens!J8010+Sens!J8009</f>
        <v>186.046402426814</v>
      </c>
      <c r="K8012" s="6" t="n">
        <f aca="false">Sens!K8010+Sens!K8009</f>
        <v>200.155050596691</v>
      </c>
    </row>
    <row r="8013" customFormat="false" ht="17.15" hidden="false" customHeight="false" outlineLevel="0" collapsed="false">
      <c r="A8013" s="0" t="s">
        <v>1037</v>
      </c>
      <c r="B8013" s="0" t="s">
        <v>98</v>
      </c>
      <c r="D8013" s="6" t="n">
        <f aca="false">Q!L8</f>
        <v>35.391</v>
      </c>
      <c r="E8013" s="6" t="n">
        <f aca="false">Q!M8</f>
        <v>37.285</v>
      </c>
      <c r="F8013" s="6" t="n">
        <f aca="false">Q!$I$8+(Q!M8-Q!$E$8)*(1+Sens!F8014)</f>
        <v>38.3851437782675</v>
      </c>
      <c r="G8013" s="6" t="n">
        <f aca="false">Sens!F8013*(1+Sens!G8014)</f>
        <v>40.0105353288615</v>
      </c>
      <c r="H8013" s="6" t="n">
        <f aca="false">Sens!G8013*(1+Sens!H8014)</f>
        <v>41.4812512033683</v>
      </c>
      <c r="I8013" s="6" t="n">
        <f aca="false">Sens!H8013*(1+Sens!I8014)</f>
        <v>42.7743107216329</v>
      </c>
      <c r="J8013" s="6" t="n">
        <f aca="false">Sens!I8013*(1+Sens!J8014)</f>
        <v>43.8687373064601</v>
      </c>
      <c r="K8013" s="6" t="n">
        <f aca="false">Sens!J8013*(1+Sens!K8014)</f>
        <v>44.7461120525893</v>
      </c>
      <c r="L8013" s="12" t="s">
        <v>1038</v>
      </c>
    </row>
    <row r="8014" customFormat="false" ht="15" hidden="false" customHeight="false" outlineLevel="0" collapsed="false">
      <c r="A8014" s="1" t="s">
        <v>1028</v>
      </c>
      <c r="B8014" s="0" t="s">
        <v>168</v>
      </c>
      <c r="E8014" s="7" t="n">
        <f aca="false">Sens!E8013/Sens!D8013-1</f>
        <v>0.0535164307309768</v>
      </c>
      <c r="F8014" s="7" t="n">
        <f aca="false">Sens!$E$8014+(glt_lic-Sens!$E$8014)*MIN(1,(Sens!F7963-base_fy)/n_conv)</f>
        <v>0.0479303589424807</v>
      </c>
      <c r="G8014" s="7" t="n">
        <f aca="false">Sens!$E$8014+(glt_lic-Sens!$E$8014)*MIN(1,(Sens!G7963-base_fy)/n_conv)</f>
        <v>0.0423442871539845</v>
      </c>
      <c r="H8014" s="7" t="n">
        <f aca="false">Sens!$E$8014+(glt_lic-Sens!$E$8014)*MIN(1,(Sens!H7963-base_fy)/n_conv)</f>
        <v>0.0367582153654884</v>
      </c>
      <c r="I8014" s="7" t="n">
        <f aca="false">Sens!$E$8014+(glt_lic-Sens!$E$8014)*MIN(1,(Sens!I7963-base_fy)/n_conv)</f>
        <v>0.0311721435769923</v>
      </c>
      <c r="J8014" s="7" t="n">
        <f aca="false">Sens!$E$8014+(glt_lic-Sens!$E$8014)*MIN(1,(Sens!J7963-base_fy)/n_conv)</f>
        <v>0.0255860717884961</v>
      </c>
      <c r="K8014" s="7" t="n">
        <f aca="false">Sens!$E$8014+(glt_lic-Sens!$E$8014)*MIN(1,(Sens!K7963-base_fy)/n_conv)</f>
        <v>0.02</v>
      </c>
    </row>
    <row r="8015" customFormat="false" ht="17.15" hidden="false" customHeight="false" outlineLevel="0" collapsed="false">
      <c r="A8015" s="0" t="s">
        <v>1039</v>
      </c>
      <c r="B8015" s="0" t="s">
        <v>98</v>
      </c>
      <c r="D8015" s="6" t="n">
        <f aca="false">Q!L9</f>
        <v>18.417</v>
      </c>
      <c r="E8015" s="6" t="n">
        <f aca="false">Q!M9</f>
        <v>20.345</v>
      </c>
      <c r="F8015" s="6" t="n">
        <f aca="false">Q!$I$9+(Q!M9-Q!$E$9)*(1+Sens!F8016)</f>
        <v>22.3161797133988</v>
      </c>
      <c r="G8015" s="6" t="n">
        <f aca="false">Sens!F8015*(1+Sens!G8016)</f>
        <v>24.3943499673233</v>
      </c>
      <c r="H8015" s="6" t="n">
        <f aca="false">Sens!G8015*(1+Sens!H8016)</f>
        <v>26.5250243109019</v>
      </c>
      <c r="I8015" s="6" t="n">
        <f aca="false">Sens!H8015*(1+Sens!I8016)</f>
        <v>28.6884573538181</v>
      </c>
      <c r="J8015" s="6" t="n">
        <f aca="false">Sens!I8015*(1+Sens!J8016)</f>
        <v>30.8624968052127</v>
      </c>
      <c r="K8015" s="6" t="n">
        <f aca="false">Sens!J8015*(1+Sens!K8016)</f>
        <v>33.0228715815776</v>
      </c>
      <c r="L8015" s="12" t="s">
        <v>1038</v>
      </c>
    </row>
    <row r="8016" customFormat="false" ht="15" hidden="false" customHeight="false" outlineLevel="0" collapsed="false">
      <c r="A8016" s="1" t="s">
        <v>1028</v>
      </c>
      <c r="B8016" s="0" t="s">
        <v>168</v>
      </c>
      <c r="E8016" s="7" t="n">
        <f aca="false">Sens!E8015/Sens!D8015-1</f>
        <v>0.104685888038225</v>
      </c>
      <c r="F8016" s="7" t="n">
        <f aca="false">Sens!$E$8016+(glt_ind-Sens!$E$8016)*MIN(1,(Sens!F7963-base_fy)/n_conv)</f>
        <v>0.0989049066985211</v>
      </c>
      <c r="G8016" s="7" t="n">
        <f aca="false">Sens!$E$8016+(glt_ind-Sens!$E$8016)*MIN(1,(Sens!G7963-base_fy)/n_conv)</f>
        <v>0.0931239253588169</v>
      </c>
      <c r="H8016" s="7" t="n">
        <f aca="false">Sens!$E$8016+(glt_ind-Sens!$E$8016)*MIN(1,(Sens!H7963-base_fy)/n_conv)</f>
        <v>0.0873429440191127</v>
      </c>
      <c r="I8016" s="7" t="n">
        <f aca="false">Sens!$E$8016+(glt_ind-Sens!$E$8016)*MIN(1,(Sens!I7963-base_fy)/n_conv)</f>
        <v>0.0815619626794085</v>
      </c>
      <c r="J8016" s="7" t="n">
        <f aca="false">Sens!$E$8016+(glt_ind-Sens!$E$8016)*MIN(1,(Sens!J7963-base_fy)/n_conv)</f>
        <v>0.0757809813397042</v>
      </c>
      <c r="K8016" s="7" t="n">
        <f aca="false">Sens!$E$8016+(glt_ind-Sens!$E$8016)*MIN(1,(Sens!K7963-base_fy)/n_conv)</f>
        <v>0.07</v>
      </c>
    </row>
    <row r="8017" customFormat="false" ht="17.15" hidden="false" customHeight="false" outlineLevel="0" collapsed="false">
      <c r="A8017" s="0" t="s">
        <v>1040</v>
      </c>
      <c r="B8017" s="0" t="s">
        <v>98</v>
      </c>
      <c r="D8017" s="6" t="n">
        <f aca="false">Q!L10</f>
        <v>7.76</v>
      </c>
      <c r="E8017" s="6" t="n">
        <f aca="false">Q!M10</f>
        <v>8.26</v>
      </c>
      <c r="F8017" s="6" t="n">
        <f aca="false">Q!$I$10+(Q!M10-Q!$E$10)*(1+Sens!F8018)</f>
        <v>8.75372082474227</v>
      </c>
      <c r="G8017" s="6" t="n">
        <f aca="false">Sens!F8017*(1+Sens!G8018)</f>
        <v>9.33399324642364</v>
      </c>
      <c r="H8017" s="6" t="n">
        <f aca="false">Sens!G8017*(1+Sens!H8018)</f>
        <v>9.96139155535851</v>
      </c>
      <c r="I8017" s="6" t="n">
        <f aca="false">Sens!H8017*(1+Sens!I8018)</f>
        <v>10.6402039077391</v>
      </c>
      <c r="J8017" s="6" t="n">
        <f aca="false">Sens!I8017*(1+Sens!J8018)</f>
        <v>11.3751458271397</v>
      </c>
      <c r="K8017" s="6" t="n">
        <f aca="false">Sens!J8017*(1+Sens!K8018)</f>
        <v>12.1714060350394</v>
      </c>
      <c r="L8017" s="12" t="s">
        <v>1038</v>
      </c>
    </row>
    <row r="8018" customFormat="false" ht="15" hidden="false" customHeight="false" outlineLevel="0" collapsed="false">
      <c r="A8018" s="1" t="s">
        <v>1028</v>
      </c>
      <c r="B8018" s="0" t="s">
        <v>168</v>
      </c>
      <c r="E8018" s="7" t="n">
        <f aca="false">Sens!E8017/Sens!D8017-1</f>
        <v>0.0644329896907216</v>
      </c>
      <c r="F8018" s="7" t="n">
        <f aca="false">Sens!$E$8018+(glt_fro-Sens!$E$8018)*MIN(1,(Sens!F7963-base_fy)/n_conv)</f>
        <v>0.065360824742268</v>
      </c>
      <c r="G8018" s="7" t="n">
        <f aca="false">Sens!$E$8018+(glt_fro-Sens!$E$8018)*MIN(1,(Sens!G7963-base_fy)/n_conv)</f>
        <v>0.0662886597938144</v>
      </c>
      <c r="H8018" s="7" t="n">
        <f aca="false">Sens!$E$8018+(glt_fro-Sens!$E$8018)*MIN(1,(Sens!H7963-base_fy)/n_conv)</f>
        <v>0.0672164948453608</v>
      </c>
      <c r="I8018" s="7" t="n">
        <f aca="false">Sens!$E$8018+(glt_fro-Sens!$E$8018)*MIN(1,(Sens!I7963-base_fy)/n_conv)</f>
        <v>0.0681443298969072</v>
      </c>
      <c r="J8018" s="7" t="n">
        <f aca="false">Sens!$E$8018+(glt_fro-Sens!$E$8018)*MIN(1,(Sens!J7963-base_fy)/n_conv)</f>
        <v>0.0690721649484536</v>
      </c>
      <c r="K8018" s="7" t="n">
        <f aca="false">Sens!$E$8018+(glt_fro-Sens!$E$8018)*MIN(1,(Sens!K7963-base_fy)/n_conv)</f>
        <v>0.07</v>
      </c>
    </row>
    <row r="8019" customFormat="false" ht="15" hidden="false" customHeight="false" outlineLevel="0" collapsed="false">
      <c r="A8019" s="0" t="s">
        <v>856</v>
      </c>
      <c r="B8019" s="0" t="s">
        <v>98</v>
      </c>
      <c r="D8019" s="6" t="n">
        <f aca="false">Sens!D8007+Sens!D8012+Sens!D8013+Sens!D8015+Sens!D8017</f>
        <v>218.783</v>
      </c>
      <c r="E8019" s="6" t="n">
        <f aca="false">Sens!E8007+Sens!E8012+Sens!E8013+Sens!E8015+Sens!E8017</f>
        <v>268.127</v>
      </c>
      <c r="F8019" s="6" t="n">
        <f aca="false">Sens!F8007+Sens!F8012+Sens!F8013+Sens!F8015+Sens!F8017</f>
        <v>335.88767913429</v>
      </c>
      <c r="G8019" s="6" t="n">
        <f aca="false">Sens!G8007+Sens!G8012+Sens!G8013+Sens!G8015+Sens!G8017</f>
        <v>420.20253595978</v>
      </c>
      <c r="H8019" s="6" t="n">
        <f aca="false">Sens!H8007+Sens!H8012+Sens!H8013+Sens!H8015+Sens!H8017</f>
        <v>510.857485682783</v>
      </c>
      <c r="I8019" s="6" t="n">
        <f aca="false">Sens!I8007+Sens!I8012+Sens!I8013+Sens!I8015+Sens!I8017</f>
        <v>587.55512263504</v>
      </c>
      <c r="J8019" s="6" t="n">
        <f aca="false">Sens!J8007+Sens!J8012+Sens!J8013+Sens!J8015+Sens!J8017</f>
        <v>648.670075429298</v>
      </c>
      <c r="K8019" s="6" t="n">
        <f aca="false">Sens!K8007+Sens!K8012+Sens!K8013+Sens!K8015+Sens!K8017</f>
        <v>696.113532888701</v>
      </c>
    </row>
    <row r="8020" customFormat="false" ht="17.15" hidden="false" customHeight="false" outlineLevel="0" collapsed="false">
      <c r="A8020" s="0" t="s">
        <v>1041</v>
      </c>
      <c r="B8020" s="0" t="s">
        <v>98</v>
      </c>
      <c r="D8020" s="6" t="n">
        <f aca="false">Q!L13</f>
        <v>22.171</v>
      </c>
      <c r="E8020" s="6" t="n">
        <f aca="false">Q!M13</f>
        <v>24.835</v>
      </c>
      <c r="F8020" s="6" t="n">
        <f aca="false">Q!$I$13+(Q!M13-Q!$E$13)*(1+Sens!F8021)</f>
        <v>27.5591895660247</v>
      </c>
      <c r="G8020" s="6" t="n">
        <f aca="false">Sens!F8020*(1+Sens!G8021)</f>
        <v>30.4098563144583</v>
      </c>
      <c r="H8020" s="6" t="n">
        <f aca="false">Sens!G8020*(1+Sens!H8021)</f>
        <v>33.3011792571777</v>
      </c>
      <c r="I8020" s="6" t="n">
        <f aca="false">Sens!H8020*(1+Sens!I8021)</f>
        <v>36.189023797112</v>
      </c>
      <c r="J8020" s="6" t="n">
        <f aca="false">Sens!I8020*(1+Sens!J8021)</f>
        <v>39.0247773769199</v>
      </c>
      <c r="K8020" s="6" t="n">
        <f aca="false">Sens!J8020*(1+Sens!K8021)</f>
        <v>41.7565117933043</v>
      </c>
      <c r="L8020" s="12" t="s">
        <v>1038</v>
      </c>
    </row>
    <row r="8021" customFormat="false" ht="15" hidden="false" customHeight="false" outlineLevel="0" collapsed="false">
      <c r="A8021" s="1" t="s">
        <v>1028</v>
      </c>
      <c r="B8021" s="0" t="s">
        <v>168</v>
      </c>
      <c r="E8021" s="7" t="n">
        <f aca="false">Sens!E8020/Sens!D8020-1</f>
        <v>0.120156961796942</v>
      </c>
      <c r="F8021" s="7" t="n">
        <f aca="false">Sens!$E$8021+(glt_srch-Sens!$E$8021)*MIN(1,(Sens!F7963-base_fy)/n_conv)</f>
        <v>0.111797468164118</v>
      </c>
      <c r="G8021" s="7" t="n">
        <f aca="false">Sens!$E$8021+(glt_srch-Sens!$E$8021)*MIN(1,(Sens!G7963-base_fy)/n_conv)</f>
        <v>0.103437974531295</v>
      </c>
      <c r="H8021" s="7" t="n">
        <f aca="false">Sens!$E$8021+(glt_srch-Sens!$E$8021)*MIN(1,(Sens!H7963-base_fy)/n_conv)</f>
        <v>0.095078480898471</v>
      </c>
      <c r="I8021" s="7" t="n">
        <f aca="false">Sens!$E$8021+(glt_srch-Sens!$E$8021)*MIN(1,(Sens!I7963-base_fy)/n_conv)</f>
        <v>0.0867189872656474</v>
      </c>
      <c r="J8021" s="7" t="n">
        <f aca="false">Sens!$E$8021+(glt_srch-Sens!$E$8021)*MIN(1,(Sens!J7963-base_fy)/n_conv)</f>
        <v>0.0783594936328237</v>
      </c>
      <c r="K8021" s="7" t="n">
        <f aca="false">Sens!$E$8021+(glt_srch-Sens!$E$8021)*MIN(1,(Sens!K7963-base_fy)/n_conv)</f>
        <v>0.07</v>
      </c>
    </row>
    <row r="8022" customFormat="false" ht="17.15" hidden="false" customHeight="false" outlineLevel="0" collapsed="false">
      <c r="A8022" s="0" t="s">
        <v>1042</v>
      </c>
      <c r="B8022" s="0" t="s">
        <v>98</v>
      </c>
      <c r="D8022" s="6" t="n">
        <f aca="false">Q!L14</f>
        <v>23.455</v>
      </c>
      <c r="E8022" s="6" t="n">
        <f aca="false">Q!M14</f>
        <v>21.79</v>
      </c>
      <c r="F8022" s="6" t="n">
        <f aca="false">Q!$I$14+(Q!M14-Q!$E$14)*(1+Sens!F8023)</f>
        <v>20.7520981041711</v>
      </c>
      <c r="G8022" s="6" t="n">
        <f aca="false">Sens!F8022*(1+Sens!G8023)</f>
        <v>19.9083593495882</v>
      </c>
      <c r="H8022" s="6" t="n">
        <f aca="false">Sens!G8022*(1+Sens!H8023)</f>
        <v>19.4008256265831</v>
      </c>
      <c r="I8022" s="6" t="n">
        <f aca="false">Sens!H8022*(1+Sens!I8023)</f>
        <v>19.200434522122</v>
      </c>
      <c r="J8022" s="6" t="n">
        <f aca="false">Sens!I8022*(1+Sens!J8023)</f>
        <v>19.2932782348507</v>
      </c>
      <c r="K8022" s="6" t="n">
        <f aca="false">Sens!J8022*(1+Sens!K8023)</f>
        <v>19.6791437995477</v>
      </c>
      <c r="L8022" s="12" t="s">
        <v>1038</v>
      </c>
    </row>
    <row r="8023" customFormat="false" ht="15" hidden="false" customHeight="false" outlineLevel="0" collapsed="false">
      <c r="A8023" s="1" t="s">
        <v>1028</v>
      </c>
      <c r="B8023" s="0" t="s">
        <v>168</v>
      </c>
      <c r="E8023" s="7" t="n">
        <f aca="false">Sens!E8022/Sens!D8022-1</f>
        <v>-0.0709869963760392</v>
      </c>
      <c r="F8023" s="7" t="n">
        <f aca="false">Sens!$E$8023+(glt_xbox-Sens!$E$8023)*MIN(1,(Sens!F7963-base_fy)/n_conv)</f>
        <v>-0.0558224969800327</v>
      </c>
      <c r="G8023" s="7" t="n">
        <f aca="false">Sens!$E$8023+(glt_xbox-Sens!$E$8023)*MIN(1,(Sens!G7963-base_fy)/n_conv)</f>
        <v>-0.0406579975840262</v>
      </c>
      <c r="H8023" s="7" t="n">
        <f aca="false">Sens!$E$8023+(glt_xbox-Sens!$E$8023)*MIN(1,(Sens!H7963-base_fy)/n_conv)</f>
        <v>-0.0254934981880196</v>
      </c>
      <c r="I8023" s="7" t="n">
        <f aca="false">Sens!$E$8023+(glt_xbox-Sens!$E$8023)*MIN(1,(Sens!I7963-base_fy)/n_conv)</f>
        <v>-0.0103289987920131</v>
      </c>
      <c r="J8023" s="7" t="n">
        <f aca="false">Sens!$E$8023+(glt_xbox-Sens!$E$8023)*MIN(1,(Sens!J7963-base_fy)/n_conv)</f>
        <v>0.00483550060399347</v>
      </c>
      <c r="K8023" s="7" t="n">
        <f aca="false">Sens!$E$8023+(glt_xbox-Sens!$E$8023)*MIN(1,(Sens!K7963-base_fy)/n_conv)</f>
        <v>0.02</v>
      </c>
    </row>
    <row r="8024" customFormat="false" ht="17.15" hidden="false" customHeight="false" outlineLevel="0" collapsed="false">
      <c r="A8024" s="0" t="s">
        <v>1043</v>
      </c>
      <c r="B8024" s="0" t="s">
        <v>98</v>
      </c>
      <c r="D8024" s="6" t="n">
        <f aca="false">Q!L15</f>
        <v>17.315</v>
      </c>
      <c r="E8024" s="6" t="n">
        <f aca="false">Q!M15</f>
        <v>17.087</v>
      </c>
      <c r="F8024" s="6" t="n">
        <f aca="false">Q!$I$15+(Q!M15-Q!$E$15)*(1+Sens!F8025)</f>
        <v>15.9912273250553</v>
      </c>
      <c r="G8024" s="6" t="n">
        <f aca="false">Sens!F8024*(1+Sens!G8025)</f>
        <v>15.9574562664827</v>
      </c>
      <c r="H8024" s="6" t="n">
        <f aca="false">Sens!G8024*(1+Sens!H8025)</f>
        <v>16.0119687434196</v>
      </c>
      <c r="I8024" s="6" t="n">
        <f aca="false">Sens!H8024*(1+Sens!I8025)</f>
        <v>16.1551810001948</v>
      </c>
      <c r="J8024" s="6" t="n">
        <f aca="false">Sens!I8024*(1+Sens!J8025)</f>
        <v>16.3889793892005</v>
      </c>
      <c r="K8024" s="6" t="n">
        <f aca="false">Sens!J8024*(1+Sens!K8025)</f>
        <v>16.7167589769845</v>
      </c>
      <c r="L8024" s="12" t="s">
        <v>1038</v>
      </c>
    </row>
    <row r="8025" customFormat="false" ht="15" hidden="false" customHeight="false" outlineLevel="0" collapsed="false">
      <c r="A8025" s="1" t="s">
        <v>1028</v>
      </c>
      <c r="B8025" s="0" t="s">
        <v>168</v>
      </c>
      <c r="E8025" s="7" t="n">
        <f aca="false">Sens!E8024/Sens!D8024-1</f>
        <v>-0.0131677736066995</v>
      </c>
      <c r="F8025" s="7" t="n">
        <f aca="false">Sens!$E$8025+(glt_win-Sens!$E$8025)*MIN(1,(Sens!F7963-base_fy)/n_conv)</f>
        <v>-0.00763981133891627</v>
      </c>
      <c r="G8025" s="7" t="n">
        <f aca="false">Sens!$E$8025+(glt_win-Sens!$E$8025)*MIN(1,(Sens!G7963-base_fy)/n_conv)</f>
        <v>-0.00211184907113301</v>
      </c>
      <c r="H8025" s="7" t="n">
        <f aca="false">Sens!$E$8025+(glt_win-Sens!$E$8025)*MIN(1,(Sens!H7963-base_fy)/n_conv)</f>
        <v>0.00341611319665024</v>
      </c>
      <c r="I8025" s="7" t="n">
        <f aca="false">Sens!$E$8025+(glt_win-Sens!$E$8025)*MIN(1,(Sens!I7963-base_fy)/n_conv)</f>
        <v>0.00894407546443349</v>
      </c>
      <c r="J8025" s="7" t="n">
        <f aca="false">Sens!$E$8025+(glt_win-Sens!$E$8025)*MIN(1,(Sens!J7963-base_fy)/n_conv)</f>
        <v>0.0144720377322168</v>
      </c>
      <c r="K8025" s="7" t="n">
        <f aca="false">Sens!$E$8025+(glt_win-Sens!$E$8025)*MIN(1,(Sens!K7963-base_fy)/n_conv)</f>
        <v>0.02</v>
      </c>
    </row>
    <row r="8026" customFormat="false" ht="15" hidden="false" customHeight="false" outlineLevel="0" collapsed="false">
      <c r="A8026" s="0" t="s">
        <v>870</v>
      </c>
      <c r="B8026" s="0" t="s">
        <v>98</v>
      </c>
      <c r="D8026" s="6" t="n">
        <f aca="false">Sens!D8020+Sens!D8022+Sens!D8024</f>
        <v>62.941</v>
      </c>
      <c r="E8026" s="6" t="n">
        <f aca="false">Sens!E8020+Sens!E8022+Sens!E8024</f>
        <v>63.712</v>
      </c>
      <c r="F8026" s="6" t="n">
        <f aca="false">Sens!F8020+Sens!F8022+Sens!F8024</f>
        <v>64.3025149952511</v>
      </c>
      <c r="G8026" s="6" t="n">
        <f aca="false">Sens!G8020+Sens!G8022+Sens!G8024</f>
        <v>66.2756719305292</v>
      </c>
      <c r="H8026" s="6" t="n">
        <f aca="false">Sens!H8020+Sens!H8022+Sens!H8024</f>
        <v>68.7139736271804</v>
      </c>
      <c r="I8026" s="6" t="n">
        <f aca="false">Sens!I8020+Sens!I8022+Sens!I8024</f>
        <v>71.5446393194289</v>
      </c>
      <c r="J8026" s="6" t="n">
        <f aca="false">Sens!J8020+Sens!J8022+Sens!J8024</f>
        <v>74.707035000971</v>
      </c>
      <c r="K8026" s="6" t="n">
        <f aca="false">Sens!K8020+Sens!K8022+Sens!K8024</f>
        <v>78.1524145698365</v>
      </c>
    </row>
    <row r="8027" customFormat="false" ht="15" hidden="false" customHeight="false" outlineLevel="0" collapsed="false">
      <c r="A8027" s="1" t="s">
        <v>1044</v>
      </c>
      <c r="B8027" s="0" t="s">
        <v>98</v>
      </c>
      <c r="D8027" s="6" t="n">
        <f aca="false">Sens!D8019+Sens!D8026</f>
        <v>281.724</v>
      </c>
      <c r="E8027" s="6" t="n">
        <f aca="false">Sens!E8019+Sens!E8026</f>
        <v>331.839</v>
      </c>
      <c r="F8027" s="6" t="n">
        <f aca="false">Sens!F8019+Sens!F8026</f>
        <v>400.190194129541</v>
      </c>
      <c r="G8027" s="6" t="n">
        <f aca="false">Sens!G8019+Sens!G8026</f>
        <v>486.478207890309</v>
      </c>
      <c r="H8027" s="6" t="n">
        <f aca="false">Sens!H8019+Sens!H8026</f>
        <v>579.571459309963</v>
      </c>
      <c r="I8027" s="6" t="n">
        <f aca="false">Sens!I8019+Sens!I8026</f>
        <v>659.099761954469</v>
      </c>
      <c r="J8027" s="6" t="n">
        <f aca="false">Sens!J8019+Sens!J8026</f>
        <v>723.377110430269</v>
      </c>
      <c r="K8027" s="6" t="n">
        <f aca="false">Sens!K8019+Sens!K8026</f>
        <v>774.265947458538</v>
      </c>
    </row>
    <row r="8028" customFormat="false" ht="15" hidden="false" customHeight="false" outlineLevel="0" collapsed="false">
      <c r="A8028" s="26" t="s">
        <v>1045</v>
      </c>
      <c r="B8028" s="31" t="s">
        <v>98</v>
      </c>
      <c r="C8028" s="31"/>
      <c r="D8028" s="27" t="n">
        <f aca="false">(Sens!D8007+Sens!D8012+Sens!D8013+Sens!D8015+Sens!D8017-Sens!D8019)+(Sens!D8020+Sens!D8022+Sens!D8024-Sens!D8026)+(Sens!D8019-Q!L5)+(Sens!D8026-Q!L12)+(Sens!D8007-Q!L6)+(Sens!D8012-Q!L7)</f>
        <v>0</v>
      </c>
      <c r="E8028" s="27" t="n">
        <f aca="false">(Sens!E8007+Sens!E8012+Sens!E8013+Sens!E8015+Sens!E8017-Sens!E8019)+(Sens!E8020+Sens!E8022+Sens!E8024-Sens!E8026)+(Sens!E8019-Q!M5)+(Sens!E8026-Q!M12)+(Sens!E8007-Q!M6)+(Sens!E8012-Q!M7)</f>
        <v>0</v>
      </c>
      <c r="F8028" s="27" t="n">
        <f aca="false">(Sens!F8007+Sens!F8012+Sens!F8013+Sens!F8015+Sens!F8017-Sens!F8019)+(Sens!F8020+Sens!F8022+Sens!F8024-Sens!F8026)</f>
        <v>0</v>
      </c>
      <c r="G8028" s="27" t="n">
        <f aca="false">(Sens!G8007+Sens!G8012+Sens!G8013+Sens!G8015+Sens!G8017-Sens!G8019)+(Sens!G8020+Sens!G8022+Sens!G8024-Sens!G8026)</f>
        <v>0</v>
      </c>
      <c r="H8028" s="27" t="n">
        <f aca="false">(Sens!H8007+Sens!H8012+Sens!H8013+Sens!H8015+Sens!H8017-Sens!H8019)+(Sens!H8020+Sens!H8022+Sens!H8024-Sens!H8026)</f>
        <v>0</v>
      </c>
      <c r="I8028" s="27" t="n">
        <f aca="false">(Sens!I8007+Sens!I8012+Sens!I8013+Sens!I8015+Sens!I8017-Sens!I8019)+(Sens!I8020+Sens!I8022+Sens!I8024-Sens!I8026)</f>
        <v>0</v>
      </c>
      <c r="J8028" s="27" t="n">
        <f aca="false">(Sens!J8007+Sens!J8012+Sens!J8013+Sens!J8015+Sens!J8017-Sens!J8019)+(Sens!J8020+Sens!J8022+Sens!J8024-Sens!J8026)</f>
        <v>0</v>
      </c>
      <c r="K8028" s="27" t="n">
        <f aca="false">(Sens!K8007+Sens!K8012+Sens!K8013+Sens!K8015+Sens!K8017-Sens!K8019)+(Sens!K8020+Sens!K8022+Sens!K8024-Sens!K8026)</f>
        <v>0</v>
      </c>
    </row>
    <row r="8029" customFormat="false" ht="17.15" hidden="false" customHeight="false" outlineLevel="0" collapsed="false">
      <c r="A8029" s="3" t="s">
        <v>1812</v>
      </c>
    </row>
    <row r="8030" customFormat="false" ht="15" hidden="false" customHeight="false" outlineLevel="0" collapsed="false">
      <c r="A8030" s="4" t="s">
        <v>43</v>
      </c>
      <c r="B8030" s="4" t="s">
        <v>65</v>
      </c>
      <c r="C8030" s="23" t="s">
        <v>942</v>
      </c>
      <c r="D8030" s="23" t="s">
        <v>943</v>
      </c>
      <c r="E8030" s="23" t="s">
        <v>944</v>
      </c>
      <c r="F8030" s="23" t="s">
        <v>945</v>
      </c>
      <c r="G8030" s="23" t="s">
        <v>946</v>
      </c>
      <c r="H8030" s="23" t="s">
        <v>947</v>
      </c>
      <c r="I8030" s="23" t="s">
        <v>948</v>
      </c>
      <c r="J8030" s="23" t="s">
        <v>949</v>
      </c>
      <c r="K8030" s="23" t="s">
        <v>950</v>
      </c>
      <c r="L8030" s="4" t="s">
        <v>47</v>
      </c>
    </row>
    <row r="8031" customFormat="false" ht="15" hidden="false" customHeight="false" outlineLevel="0" collapsed="false">
      <c r="A8031" s="0" t="s">
        <v>1029</v>
      </c>
      <c r="B8031" s="0" t="s">
        <v>98</v>
      </c>
      <c r="D8031" s="6" t="n">
        <f aca="false">Sens!D8007</f>
        <v>72.61</v>
      </c>
      <c r="E8031" s="6" t="n">
        <f aca="false">Sens!E8007</f>
        <v>101.938</v>
      </c>
      <c r="F8031" s="6" t="n">
        <f aca="false">Sens!F8007</f>
        <v>149.59001837225</v>
      </c>
      <c r="G8031" s="6" t="n">
        <f aca="false">Sens!G8007</f>
        <v>210.963087346352</v>
      </c>
      <c r="H8031" s="6" t="n">
        <f aca="false">Sens!H8007</f>
        <v>278.649709314524</v>
      </c>
      <c r="I8031" s="6" t="n">
        <f aca="false">Sens!I8007</f>
        <v>334.269404582332</v>
      </c>
      <c r="J8031" s="6" t="n">
        <f aca="false">Sens!J8007</f>
        <v>376.517293063672</v>
      </c>
      <c r="K8031" s="6" t="n">
        <f aca="false">Sens!K8007</f>
        <v>406.018092622804</v>
      </c>
    </row>
    <row r="8032" customFormat="false" ht="17.15" hidden="false" customHeight="false" outlineLevel="0" collapsed="false">
      <c r="A8032" s="0" t="s">
        <v>1025</v>
      </c>
      <c r="B8032" s="0" t="s">
        <v>98</v>
      </c>
      <c r="D8032" s="6" t="n">
        <f aca="false">Sens!D8004</f>
        <v>12.9359794422418</v>
      </c>
      <c r="E8032" s="6" t="n">
        <f aca="false">Sens!E8004</f>
        <v>27.8095064661409</v>
      </c>
      <c r="F8032" s="6" t="n">
        <f aca="false">Sens!F8004</f>
        <v>59.1034165651511</v>
      </c>
      <c r="G8032" s="6" t="n">
        <f aca="false">Sens!G8004</f>
        <v>103.451498789198</v>
      </c>
      <c r="H8032" s="6" t="n">
        <f aca="false">Sens!H8004</f>
        <v>153.816719989035</v>
      </c>
      <c r="I8032" s="6" t="n">
        <f aca="false">Sens!I8004</f>
        <v>192.699478690852</v>
      </c>
      <c r="J8032" s="6" t="n">
        <f aca="false">Sens!J8004</f>
        <v>219.794102584244</v>
      </c>
      <c r="K8032" s="6" t="n">
        <f aca="false">Sens!K8004</f>
        <v>236.757046905022</v>
      </c>
    </row>
    <row r="8033" customFormat="false" ht="17.15" hidden="false" customHeight="false" outlineLevel="0" collapsed="false">
      <c r="A8033" s="0" t="s">
        <v>1056</v>
      </c>
      <c r="B8033" s="0" t="s">
        <v>98</v>
      </c>
      <c r="D8033" s="6" t="n">
        <f aca="false">Sens!D8005</f>
        <v>59.6740205577583</v>
      </c>
      <c r="E8033" s="6" t="n">
        <f aca="false">Sens!E8005</f>
        <v>74.1284935338591</v>
      </c>
      <c r="F8033" s="6" t="n">
        <f aca="false">Sens!F8005</f>
        <v>90.4866018070994</v>
      </c>
      <c r="G8033" s="6" t="n">
        <f aca="false">Sens!G8005</f>
        <v>107.511588557154</v>
      </c>
      <c r="H8033" s="6" t="n">
        <f aca="false">Sens!H8005</f>
        <v>124.832989325489</v>
      </c>
      <c r="I8033" s="6" t="n">
        <f aca="false">Sens!I8005</f>
        <v>141.56992589148</v>
      </c>
      <c r="J8033" s="6" t="n">
        <f aca="false">Sens!J8005</f>
        <v>156.723190479428</v>
      </c>
      <c r="K8033" s="6" t="n">
        <f aca="false">Sens!K8005</f>
        <v>169.261045717783</v>
      </c>
    </row>
    <row r="8034" customFormat="false" ht="15" hidden="false" customHeight="false" outlineLevel="0" collapsed="false">
      <c r="A8034" s="0" t="s">
        <v>1036</v>
      </c>
      <c r="B8034" s="0" t="s">
        <v>98</v>
      </c>
      <c r="D8034" s="6" t="n">
        <f aca="false">Sens!D8012</f>
        <v>84.605</v>
      </c>
      <c r="E8034" s="6" t="n">
        <f aca="false">Sens!E8012</f>
        <v>100.299</v>
      </c>
      <c r="F8034" s="6" t="n">
        <f aca="false">Sens!F8012</f>
        <v>116.842616445631</v>
      </c>
      <c r="G8034" s="6" t="n">
        <f aca="false">Sens!G8012</f>
        <v>135.500570070819</v>
      </c>
      <c r="H8034" s="6" t="n">
        <f aca="false">Sens!H8012</f>
        <v>154.24010929863</v>
      </c>
      <c r="I8034" s="6" t="n">
        <f aca="false">Sens!I8012</f>
        <v>171.182746069518</v>
      </c>
      <c r="J8034" s="6" t="n">
        <f aca="false">Sens!J8012</f>
        <v>186.046402426814</v>
      </c>
      <c r="K8034" s="6" t="n">
        <f aca="false">Sens!K8012</f>
        <v>200.155050596691</v>
      </c>
    </row>
    <row r="8035" customFormat="false" ht="17.15" hidden="false" customHeight="false" outlineLevel="0" collapsed="false">
      <c r="A8035" s="0" t="s">
        <v>1057</v>
      </c>
      <c r="B8035" s="0" t="s">
        <v>98</v>
      </c>
      <c r="D8035" s="6" t="n">
        <f aca="false">Sens!D8010</f>
        <v>83.705</v>
      </c>
      <c r="E8035" s="6" t="n">
        <f aca="false">Sens!E8010</f>
        <v>95.049</v>
      </c>
      <c r="F8035" s="6" t="n">
        <f aca="false">Sens!F8010</f>
        <v>107.122616445631</v>
      </c>
      <c r="G8035" s="6" t="n">
        <f aca="false">Sens!G8010</f>
        <v>119.300570070819</v>
      </c>
      <c r="H8035" s="6" t="n">
        <f aca="false">Sens!H8010</f>
        <v>131.56010929863</v>
      </c>
      <c r="I8035" s="6" t="n">
        <f aca="false">Sens!I8010</f>
        <v>143.642746069518</v>
      </c>
      <c r="J8035" s="6" t="n">
        <f aca="false">Sens!J8010</f>
        <v>155.266402426814</v>
      </c>
      <c r="K8035" s="6" t="n">
        <f aca="false">Sens!K8010</f>
        <v>166.135050596691</v>
      </c>
    </row>
    <row r="8036" customFormat="false" ht="17.15" hidden="false" customHeight="false" outlineLevel="0" collapsed="false">
      <c r="A8036" s="0" t="s">
        <v>1058</v>
      </c>
      <c r="B8036" s="0" t="s">
        <v>98</v>
      </c>
      <c r="D8036" s="6" t="n">
        <f aca="false">Sens!D8009</f>
        <v>0.9</v>
      </c>
      <c r="E8036" s="6" t="n">
        <f aca="false">Sens!E8009</f>
        <v>5.25</v>
      </c>
      <c r="F8036" s="6" t="n">
        <f aca="false">Sens!F8009</f>
        <v>9.72</v>
      </c>
      <c r="G8036" s="6" t="n">
        <f aca="false">Sens!G8009</f>
        <v>16.2</v>
      </c>
      <c r="H8036" s="6" t="n">
        <f aca="false">Sens!H8009</f>
        <v>22.68</v>
      </c>
      <c r="I8036" s="6" t="n">
        <f aca="false">Sens!I8009</f>
        <v>27.54</v>
      </c>
      <c r="J8036" s="6" t="n">
        <f aca="false">Sens!J8009</f>
        <v>30.78</v>
      </c>
      <c r="K8036" s="6" t="n">
        <f aca="false">Sens!K8009</f>
        <v>34.02</v>
      </c>
    </row>
    <row r="8037" customFormat="false" ht="15" hidden="false" customHeight="false" outlineLevel="0" collapsed="false">
      <c r="A8037" s="0" t="s">
        <v>1037</v>
      </c>
      <c r="B8037" s="0" t="s">
        <v>98</v>
      </c>
      <c r="D8037" s="6" t="n">
        <f aca="false">Sens!D8013</f>
        <v>35.391</v>
      </c>
      <c r="E8037" s="6" t="n">
        <f aca="false">Sens!E8013</f>
        <v>37.285</v>
      </c>
      <c r="F8037" s="6" t="n">
        <f aca="false">Sens!F8013</f>
        <v>38.3851437782675</v>
      </c>
      <c r="G8037" s="6" t="n">
        <f aca="false">Sens!G8013</f>
        <v>40.0105353288615</v>
      </c>
      <c r="H8037" s="6" t="n">
        <f aca="false">Sens!H8013</f>
        <v>41.4812512033683</v>
      </c>
      <c r="I8037" s="6" t="n">
        <f aca="false">Sens!I8013</f>
        <v>42.7743107216329</v>
      </c>
      <c r="J8037" s="6" t="n">
        <f aca="false">Sens!J8013</f>
        <v>43.8687373064601</v>
      </c>
      <c r="K8037" s="6" t="n">
        <f aca="false">Sens!K8013</f>
        <v>44.7461120525893</v>
      </c>
    </row>
    <row r="8038" customFormat="false" ht="15" hidden="false" customHeight="false" outlineLevel="0" collapsed="false">
      <c r="A8038" s="0" t="s">
        <v>1039</v>
      </c>
      <c r="B8038" s="0" t="s">
        <v>98</v>
      </c>
      <c r="D8038" s="6" t="n">
        <f aca="false">Sens!D8015</f>
        <v>18.417</v>
      </c>
      <c r="E8038" s="6" t="n">
        <f aca="false">Sens!E8015</f>
        <v>20.345</v>
      </c>
      <c r="F8038" s="6" t="n">
        <f aca="false">Sens!F8015</f>
        <v>22.3161797133988</v>
      </c>
      <c r="G8038" s="6" t="n">
        <f aca="false">Sens!G8015</f>
        <v>24.3943499673233</v>
      </c>
      <c r="H8038" s="6" t="n">
        <f aca="false">Sens!H8015</f>
        <v>26.5250243109019</v>
      </c>
      <c r="I8038" s="6" t="n">
        <f aca="false">Sens!I8015</f>
        <v>28.6884573538181</v>
      </c>
      <c r="J8038" s="6" t="n">
        <f aca="false">Sens!J8015</f>
        <v>30.8624968052127</v>
      </c>
      <c r="K8038" s="6" t="n">
        <f aca="false">Sens!K8015</f>
        <v>33.0228715815776</v>
      </c>
    </row>
    <row r="8039" customFormat="false" ht="15" hidden="false" customHeight="false" outlineLevel="0" collapsed="false">
      <c r="A8039" s="0" t="s">
        <v>1040</v>
      </c>
      <c r="B8039" s="0" t="s">
        <v>98</v>
      </c>
      <c r="D8039" s="6" t="n">
        <f aca="false">Sens!D8017</f>
        <v>7.76</v>
      </c>
      <c r="E8039" s="6" t="n">
        <f aca="false">Sens!E8017</f>
        <v>8.26</v>
      </c>
      <c r="F8039" s="6" t="n">
        <f aca="false">Sens!F8017</f>
        <v>8.75372082474227</v>
      </c>
      <c r="G8039" s="6" t="n">
        <f aca="false">Sens!G8017</f>
        <v>9.33399324642364</v>
      </c>
      <c r="H8039" s="6" t="n">
        <f aca="false">Sens!H8017</f>
        <v>9.96139155535851</v>
      </c>
      <c r="I8039" s="6" t="n">
        <f aca="false">Sens!I8017</f>
        <v>10.6402039077391</v>
      </c>
      <c r="J8039" s="6" t="n">
        <f aca="false">Sens!J8017</f>
        <v>11.3751458271397</v>
      </c>
      <c r="K8039" s="6" t="n">
        <f aca="false">Sens!K8017</f>
        <v>12.1714060350394</v>
      </c>
    </row>
    <row r="8040" customFormat="false" ht="15" hidden="false" customHeight="false" outlineLevel="0" collapsed="false">
      <c r="A8040" s="0" t="s">
        <v>856</v>
      </c>
      <c r="B8040" s="0" t="s">
        <v>98</v>
      </c>
      <c r="D8040" s="6" t="n">
        <f aca="false">Sens!D8019</f>
        <v>218.783</v>
      </c>
      <c r="E8040" s="6" t="n">
        <f aca="false">Sens!E8019</f>
        <v>268.127</v>
      </c>
      <c r="F8040" s="6" t="n">
        <f aca="false">Sens!F8019</f>
        <v>335.88767913429</v>
      </c>
      <c r="G8040" s="6" t="n">
        <f aca="false">Sens!G8019</f>
        <v>420.20253595978</v>
      </c>
      <c r="H8040" s="6" t="n">
        <f aca="false">Sens!H8019</f>
        <v>510.857485682783</v>
      </c>
      <c r="I8040" s="6" t="n">
        <f aca="false">Sens!I8019</f>
        <v>587.55512263504</v>
      </c>
      <c r="J8040" s="6" t="n">
        <f aca="false">Sens!J8019</f>
        <v>648.670075429298</v>
      </c>
      <c r="K8040" s="6" t="n">
        <f aca="false">Sens!K8019</f>
        <v>696.113532888701</v>
      </c>
    </row>
    <row r="8041" customFormat="false" ht="15" hidden="false" customHeight="false" outlineLevel="0" collapsed="false">
      <c r="A8041" s="0" t="s">
        <v>1041</v>
      </c>
      <c r="B8041" s="0" t="s">
        <v>98</v>
      </c>
      <c r="D8041" s="6" t="n">
        <f aca="false">Sens!D8020</f>
        <v>22.171</v>
      </c>
      <c r="E8041" s="6" t="n">
        <f aca="false">Sens!E8020</f>
        <v>24.835</v>
      </c>
      <c r="F8041" s="6" t="n">
        <f aca="false">Sens!F8020</f>
        <v>27.5591895660247</v>
      </c>
      <c r="G8041" s="6" t="n">
        <f aca="false">Sens!G8020</f>
        <v>30.4098563144583</v>
      </c>
      <c r="H8041" s="6" t="n">
        <f aca="false">Sens!H8020</f>
        <v>33.3011792571777</v>
      </c>
      <c r="I8041" s="6" t="n">
        <f aca="false">Sens!I8020</f>
        <v>36.189023797112</v>
      </c>
      <c r="J8041" s="6" t="n">
        <f aca="false">Sens!J8020</f>
        <v>39.0247773769199</v>
      </c>
      <c r="K8041" s="6" t="n">
        <f aca="false">Sens!K8020</f>
        <v>41.7565117933043</v>
      </c>
    </row>
    <row r="8042" customFormat="false" ht="15" hidden="false" customHeight="false" outlineLevel="0" collapsed="false">
      <c r="A8042" s="0" t="s">
        <v>1042</v>
      </c>
      <c r="B8042" s="0" t="s">
        <v>98</v>
      </c>
      <c r="D8042" s="6" t="n">
        <f aca="false">Sens!D8022</f>
        <v>23.455</v>
      </c>
      <c r="E8042" s="6" t="n">
        <f aca="false">Sens!E8022</f>
        <v>21.79</v>
      </c>
      <c r="F8042" s="6" t="n">
        <f aca="false">Sens!F8022</f>
        <v>20.7520981041711</v>
      </c>
      <c r="G8042" s="6" t="n">
        <f aca="false">Sens!G8022</f>
        <v>19.9083593495882</v>
      </c>
      <c r="H8042" s="6" t="n">
        <f aca="false">Sens!H8022</f>
        <v>19.4008256265831</v>
      </c>
      <c r="I8042" s="6" t="n">
        <f aca="false">Sens!I8022</f>
        <v>19.200434522122</v>
      </c>
      <c r="J8042" s="6" t="n">
        <f aca="false">Sens!J8022</f>
        <v>19.2932782348507</v>
      </c>
      <c r="K8042" s="6" t="n">
        <f aca="false">Sens!K8022</f>
        <v>19.6791437995477</v>
      </c>
    </row>
    <row r="8043" customFormat="false" ht="15" hidden="false" customHeight="false" outlineLevel="0" collapsed="false">
      <c r="A8043" s="0" t="s">
        <v>1043</v>
      </c>
      <c r="B8043" s="0" t="s">
        <v>98</v>
      </c>
      <c r="D8043" s="6" t="n">
        <f aca="false">Sens!D8024</f>
        <v>17.315</v>
      </c>
      <c r="E8043" s="6" t="n">
        <f aca="false">Sens!E8024</f>
        <v>17.087</v>
      </c>
      <c r="F8043" s="6" t="n">
        <f aca="false">Sens!F8024</f>
        <v>15.9912273250553</v>
      </c>
      <c r="G8043" s="6" t="n">
        <f aca="false">Sens!G8024</f>
        <v>15.9574562664827</v>
      </c>
      <c r="H8043" s="6" t="n">
        <f aca="false">Sens!H8024</f>
        <v>16.0119687434196</v>
      </c>
      <c r="I8043" s="6" t="n">
        <f aca="false">Sens!I8024</f>
        <v>16.1551810001948</v>
      </c>
      <c r="J8043" s="6" t="n">
        <f aca="false">Sens!J8024</f>
        <v>16.3889793892005</v>
      </c>
      <c r="K8043" s="6" t="n">
        <f aca="false">Sens!K8024</f>
        <v>16.7167589769845</v>
      </c>
    </row>
    <row r="8044" customFormat="false" ht="15" hidden="false" customHeight="false" outlineLevel="0" collapsed="false">
      <c r="A8044" s="0" t="s">
        <v>870</v>
      </c>
      <c r="B8044" s="0" t="s">
        <v>98</v>
      </c>
      <c r="D8044" s="6" t="n">
        <f aca="false">Sens!D8026</f>
        <v>62.941</v>
      </c>
      <c r="E8044" s="6" t="n">
        <f aca="false">Sens!E8026</f>
        <v>63.712</v>
      </c>
      <c r="F8044" s="6" t="n">
        <f aca="false">Sens!F8026</f>
        <v>64.3025149952511</v>
      </c>
      <c r="G8044" s="6" t="n">
        <f aca="false">Sens!G8026</f>
        <v>66.2756719305292</v>
      </c>
      <c r="H8044" s="6" t="n">
        <f aca="false">Sens!H8026</f>
        <v>68.7139736271804</v>
      </c>
      <c r="I8044" s="6" t="n">
        <f aca="false">Sens!I8026</f>
        <v>71.5446393194289</v>
      </c>
      <c r="J8044" s="6" t="n">
        <f aca="false">Sens!J8026</f>
        <v>74.707035000971</v>
      </c>
      <c r="K8044" s="6" t="n">
        <f aca="false">Sens!K8026</f>
        <v>78.1524145698365</v>
      </c>
    </row>
    <row r="8045" customFormat="false" ht="15" hidden="false" customHeight="false" outlineLevel="0" collapsed="false">
      <c r="A8045" s="1" t="s">
        <v>1059</v>
      </c>
      <c r="B8045" s="0" t="s">
        <v>98</v>
      </c>
      <c r="D8045" s="6" t="n">
        <f aca="false">Sens!D8027</f>
        <v>281.724</v>
      </c>
      <c r="E8045" s="6" t="n">
        <f aca="false">Sens!E8027</f>
        <v>331.839</v>
      </c>
      <c r="F8045" s="6" t="n">
        <f aca="false">Sens!F8027</f>
        <v>400.190194129541</v>
      </c>
      <c r="G8045" s="6" t="n">
        <f aca="false">Sens!G8027</f>
        <v>486.478207890309</v>
      </c>
      <c r="H8045" s="6" t="n">
        <f aca="false">Sens!H8027</f>
        <v>579.571459309963</v>
      </c>
      <c r="I8045" s="6" t="n">
        <f aca="false">Sens!I8027</f>
        <v>659.099761954469</v>
      </c>
      <c r="J8045" s="6" t="n">
        <f aca="false">Sens!J8027</f>
        <v>723.377110430269</v>
      </c>
      <c r="K8045" s="6" t="n">
        <f aca="false">Sens!K8027</f>
        <v>774.265947458538</v>
      </c>
    </row>
    <row r="8046" customFormat="false" ht="15" hidden="false" customHeight="false" outlineLevel="0" collapsed="false">
      <c r="A8046" s="1" t="s">
        <v>1060</v>
      </c>
      <c r="B8046" s="0" t="s">
        <v>168</v>
      </c>
      <c r="E8046" s="7" t="n">
        <f aca="false">Sens!E8045/Sens!D8045-1</f>
        <v>0.177886867998467</v>
      </c>
      <c r="F8046" s="7" t="n">
        <f aca="false">Sens!F8045/Sens!E8045-1</f>
        <v>0.205976977177308</v>
      </c>
      <c r="G8046" s="7" t="n">
        <f aca="false">Sens!G8045/Sens!F8045-1</f>
        <v>0.215617511439665</v>
      </c>
      <c r="H8046" s="7" t="n">
        <f aca="false">Sens!H8045/Sens!G8045-1</f>
        <v>0.191361606562744</v>
      </c>
      <c r="I8046" s="7" t="n">
        <f aca="false">Sens!I8045/Sens!H8045-1</f>
        <v>0.137219149368038</v>
      </c>
      <c r="J8046" s="7" t="n">
        <f aca="false">Sens!J8045/Sens!I8045-1</f>
        <v>0.0975229429384028</v>
      </c>
      <c r="K8046" s="7" t="n">
        <f aca="false">Sens!K8045/Sens!J8045-1</f>
        <v>0.0703489733010763</v>
      </c>
    </row>
    <row r="8047" customFormat="false" ht="17.15" hidden="false" customHeight="false" outlineLevel="0" collapsed="false">
      <c r="A8047" s="26" t="s">
        <v>1061</v>
      </c>
      <c r="B8047" s="31" t="s">
        <v>98</v>
      </c>
      <c r="C8047" s="31"/>
      <c r="D8047" s="27" t="n">
        <f aca="false">(Sens!D8040+Sens!D8044-Sens!D8045)+(Sens!D8032+Sens!D8033-Sens!D8031)+(Sens!D8035+Sens!D8036-Sens!D8034)+(Sens!D8045-Q!L18)</f>
        <v>0</v>
      </c>
      <c r="E8047" s="27" t="n">
        <f aca="false">(Sens!E8040+Sens!E8044-Sens!E8045)+(Sens!E8032+Sens!E8033-Sens!E8031)+(Sens!E8035+Sens!E8036-Sens!E8034)+(Sens!E8045-Q!M18)</f>
        <v>0</v>
      </c>
      <c r="F8047" s="27" t="n">
        <f aca="false">(Sens!F8040+Sens!F8044-Sens!F8045)+(Sens!F8032+Sens!F8033-Sens!F8031)+(Sens!F8035+Sens!F8036-Sens!F8034)</f>
        <v>0</v>
      </c>
      <c r="G8047" s="27" t="n">
        <f aca="false">(Sens!G8040+Sens!G8044-Sens!G8045)+(Sens!G8032+Sens!G8033-Sens!G8031)+(Sens!G8035+Sens!G8036-Sens!G8034)</f>
        <v>0</v>
      </c>
      <c r="H8047" s="27" t="n">
        <f aca="false">(Sens!H8040+Sens!H8044-Sens!H8045)+(Sens!H8032+Sens!H8033-Sens!H8031)+(Sens!H8035+Sens!H8036-Sens!H8034)</f>
        <v>0</v>
      </c>
      <c r="I8047" s="27" t="n">
        <f aca="false">(Sens!I8040+Sens!I8044-Sens!I8045)+(Sens!I8032+Sens!I8033-Sens!I8031)+(Sens!I8035+Sens!I8036-Sens!I8034)</f>
        <v>0</v>
      </c>
      <c r="J8047" s="27" t="n">
        <f aca="false">(Sens!J8040+Sens!J8044-Sens!J8045)+(Sens!J8032+Sens!J8033-Sens!J8031)+(Sens!J8035+Sens!J8036-Sens!J8034)</f>
        <v>0</v>
      </c>
      <c r="K8047" s="27" t="n">
        <f aca="false">(Sens!K8040+Sens!K8044-Sens!K8045)+(Sens!K8032+Sens!K8033-Sens!K8031)+(Sens!K8035+Sens!K8036-Sens!K8034)</f>
        <v>0</v>
      </c>
    </row>
    <row r="8048" customFormat="false" ht="17.15" hidden="false" customHeight="false" outlineLevel="0" collapsed="false">
      <c r="A8048" s="0" t="s">
        <v>1062</v>
      </c>
      <c r="B8048" s="0" t="s">
        <v>168</v>
      </c>
      <c r="E8048" s="7" t="n">
        <f aca="false">(Q!M21+Sens!E7984+Sens!E7985+Sens!E7986+Sens!E8000-Sens!E7982)/(Q!M5-Sens!E7982)</f>
        <v>0.570957350878296</v>
      </c>
      <c r="F8048" s="7" t="n">
        <f aca="false">Sens!$E$8048+dm_seg</f>
        <v>0.570957350878296</v>
      </c>
      <c r="G8048" s="7" t="n">
        <f aca="false">Sens!$E$8048+dm_seg</f>
        <v>0.570957350878296</v>
      </c>
      <c r="H8048" s="7" t="n">
        <f aca="false">Sens!$E$8048+dm_seg</f>
        <v>0.570957350878296</v>
      </c>
      <c r="I8048" s="7" t="n">
        <f aca="false">Sens!$E$8048+dm_seg</f>
        <v>0.570957350878296</v>
      </c>
      <c r="J8048" s="7" t="n">
        <f aca="false">Sens!$E$8048+dm_seg</f>
        <v>0.570957350878296</v>
      </c>
      <c r="K8048" s="7" t="n">
        <f aca="false">Sens!$E$8048+dm_seg</f>
        <v>0.570957350878296</v>
      </c>
      <c r="L8048" s="12" t="s">
        <v>1063</v>
      </c>
    </row>
    <row r="8049" customFormat="false" ht="17.15" hidden="false" customHeight="false" outlineLevel="0" collapsed="false">
      <c r="A8049" s="0" t="s">
        <v>884</v>
      </c>
      <c r="B8049" s="0" t="s">
        <v>98</v>
      </c>
      <c r="D8049" s="6" t="n">
        <f aca="false">Q!L21</f>
        <v>110.814</v>
      </c>
      <c r="E8049" s="6" t="n">
        <f aca="false">Q!M21</f>
        <v>136.365</v>
      </c>
      <c r="F8049" s="6" t="n">
        <f aca="false">Q!$I$21+(Sens!F8048*(Sens!F8019-Sens!F7982)+Sens!F7982-(Sens!F7984+Sens!F7985+Sens!F7986)-Sens!F8000-Sens!F8083)*(Sens!F8019-Q!$I$5)/Sens!F8019</f>
        <v>163.910322905141</v>
      </c>
      <c r="G8049" s="6" t="n">
        <f aca="false">(Sens!G8048*(Sens!G8019-Sens!G7982)+Sens!G7982-(Sens!G7984+Sens!G7985+Sens!G7986)-Sens!G8000-Sens!G8083)</f>
        <v>188.466883356444</v>
      </c>
      <c r="H8049" s="6" t="n">
        <f aca="false">(Sens!H8048*(Sens!H8019-Sens!H7982)+Sens!H7982-(Sens!H7984+Sens!H7985+Sens!H7986)-Sens!H8000-Sens!H8083)</f>
        <v>221.343407530438</v>
      </c>
      <c r="I8049" s="6" t="n">
        <f aca="false">(Sens!I8048*(Sens!I8019-Sens!I7982)+Sens!I7982-(Sens!I7984+Sens!I7985+Sens!I7986)-Sens!I8000-Sens!I8083)</f>
        <v>246.189402948215</v>
      </c>
      <c r="J8049" s="6" t="n">
        <f aca="false">(Sens!J8048*(Sens!J8019-Sens!J7982)+Sens!J7982-(Sens!J7984+Sens!J7985+Sens!J7986)-Sens!J8000-Sens!J8083)</f>
        <v>267.779425389469</v>
      </c>
      <c r="K8049" s="6" t="n">
        <f aca="false">(Sens!K8048*(Sens!K8019-Sens!K7982)+Sens!K7982-(Sens!K7984+Sens!K7985+Sens!K7986)-Sens!K8000-Sens!K8083)</f>
        <v>287.093942364392</v>
      </c>
      <c r="L8049" s="1" t="s">
        <v>1064</v>
      </c>
    </row>
    <row r="8050" customFormat="false" ht="17.15" hidden="false" customHeight="false" outlineLevel="0" collapsed="false">
      <c r="A8050" s="0" t="s">
        <v>1065</v>
      </c>
      <c r="B8050" s="0" t="s">
        <v>168</v>
      </c>
      <c r="E8050" s="7" t="n">
        <f aca="false">Q!M22/Q!M12</f>
        <v>0.296207935710698</v>
      </c>
      <c r="F8050" s="7" t="n">
        <f aca="false">Sens!$E$8050+dm_seg</f>
        <v>0.296207935710698</v>
      </c>
      <c r="G8050" s="7" t="n">
        <f aca="false">Sens!$E$8050+dm_seg</f>
        <v>0.296207935710698</v>
      </c>
      <c r="H8050" s="7" t="n">
        <f aca="false">Sens!$E$8050+dm_seg</f>
        <v>0.296207935710698</v>
      </c>
      <c r="I8050" s="7" t="n">
        <f aca="false">Sens!$E$8050+dm_seg</f>
        <v>0.296207935710698</v>
      </c>
      <c r="J8050" s="7" t="n">
        <f aca="false">Sens!$E$8050+dm_seg</f>
        <v>0.296207935710698</v>
      </c>
      <c r="K8050" s="7" t="n">
        <f aca="false">Sens!$E$8050+dm_seg</f>
        <v>0.296207935710698</v>
      </c>
      <c r="L8050" s="12" t="s">
        <v>1066</v>
      </c>
    </row>
    <row r="8051" customFormat="false" ht="17.15" hidden="false" customHeight="false" outlineLevel="0" collapsed="false">
      <c r="A8051" s="0" t="s">
        <v>886</v>
      </c>
      <c r="B8051" s="0" t="s">
        <v>98</v>
      </c>
      <c r="D8051" s="6" t="n">
        <f aca="false">Q!L22</f>
        <v>17.714</v>
      </c>
      <c r="E8051" s="6" t="n">
        <f aca="false">Q!M22</f>
        <v>18.872</v>
      </c>
      <c r="F8051" s="6" t="n">
        <f aca="false">Q!$I$22+(Sens!F8026-Q!$I$12)*Sens!F8050</f>
        <v>19.8174315512051</v>
      </c>
      <c r="G8051" s="6" t="n">
        <f aca="false">Sens!G8026*Sens!G8050</f>
        <v>19.6313799703815</v>
      </c>
      <c r="H8051" s="6" t="n">
        <f aca="false">Sens!H8026*Sens!H8050</f>
        <v>20.3536242825865</v>
      </c>
      <c r="I8051" s="6" t="n">
        <f aca="false">Sens!I8026*Sens!I8050</f>
        <v>21.1920899239745</v>
      </c>
      <c r="J8051" s="6" t="n">
        <f aca="false">Sens!J8026*Sens!J8050</f>
        <v>22.1288166207045</v>
      </c>
      <c r="K8051" s="6" t="n">
        <f aca="false">Sens!K8026*Sens!K8050</f>
        <v>23.1493653905379</v>
      </c>
      <c r="L8051" s="12" t="s">
        <v>1067</v>
      </c>
    </row>
    <row r="8052" customFormat="false" ht="15" hidden="false" customHeight="false" outlineLevel="0" collapsed="false">
      <c r="A8052" s="1" t="s">
        <v>1068</v>
      </c>
      <c r="B8052" s="0" t="s">
        <v>98</v>
      </c>
      <c r="D8052" s="6" t="n">
        <f aca="false">Sens!D8049+Sens!D8051</f>
        <v>128.528</v>
      </c>
      <c r="E8052" s="6" t="n">
        <f aca="false">Sens!E8049+Sens!E8051</f>
        <v>155.237</v>
      </c>
      <c r="F8052" s="6" t="n">
        <f aca="false">Sens!F8049+Sens!F8051</f>
        <v>183.727754456346</v>
      </c>
      <c r="G8052" s="6" t="n">
        <f aca="false">Sens!G8049+Sens!G8051</f>
        <v>208.098263326825</v>
      </c>
      <c r="H8052" s="6" t="n">
        <f aca="false">Sens!H8049+Sens!H8051</f>
        <v>241.697031813024</v>
      </c>
      <c r="I8052" s="6" t="n">
        <f aca="false">Sens!I8049+Sens!I8051</f>
        <v>267.381492872189</v>
      </c>
      <c r="J8052" s="6" t="n">
        <f aca="false">Sens!J8049+Sens!J8051</f>
        <v>289.908242010174</v>
      </c>
      <c r="K8052" s="6" t="n">
        <f aca="false">Sens!K8049+Sens!K8051</f>
        <v>310.24330775493</v>
      </c>
    </row>
    <row r="8053" customFormat="false" ht="15" hidden="false" customHeight="false" outlineLevel="0" collapsed="false">
      <c r="A8053" s="26" t="s">
        <v>1069</v>
      </c>
      <c r="B8053" s="31" t="s">
        <v>98</v>
      </c>
      <c r="C8053" s="31"/>
      <c r="D8053" s="27" t="n">
        <f aca="false">Sens!D8052-Q!L23</f>
        <v>0</v>
      </c>
      <c r="E8053" s="27" t="n">
        <f aca="false">Sens!E8052-Q!M23</f>
        <v>0</v>
      </c>
      <c r="F8053" s="31"/>
      <c r="G8053" s="31"/>
      <c r="H8053" s="31"/>
      <c r="I8053" s="31"/>
      <c r="J8053" s="31"/>
      <c r="K8053" s="31"/>
    </row>
    <row r="8054" customFormat="false" ht="15" hidden="false" customHeight="false" outlineLevel="0" collapsed="false">
      <c r="A8054" s="1" t="s">
        <v>1070</v>
      </c>
      <c r="B8054" s="0" t="s">
        <v>168</v>
      </c>
      <c r="D8054" s="7" t="n">
        <f aca="false">Sens!D8052/Sens!D8045</f>
        <v>0.456219562408598</v>
      </c>
      <c r="E8054" s="7" t="n">
        <f aca="false">Sens!E8052/Sens!E8045</f>
        <v>0.467808184089272</v>
      </c>
      <c r="F8054" s="7" t="n">
        <f aca="false">Sens!F8052/Sens!F8045</f>
        <v>0.459101090310259</v>
      </c>
      <c r="G8054" s="7" t="n">
        <f aca="false">Sens!G8052/Sens!G8045</f>
        <v>0.427764820605793</v>
      </c>
      <c r="H8054" s="7" t="n">
        <f aca="false">Sens!H8052/Sens!H8045</f>
        <v>0.417027146403635</v>
      </c>
      <c r="I8054" s="7" t="n">
        <f aca="false">Sens!I8052/Sens!I8045</f>
        <v>0.405676816024491</v>
      </c>
      <c r="J8054" s="7" t="n">
        <f aca="false">Sens!J8052/Sens!J8045</f>
        <v>0.400770549454813</v>
      </c>
      <c r="K8054" s="7" t="n">
        <f aca="false">Sens!K8052/Sens!K8045</f>
        <v>0.400693468146542</v>
      </c>
    </row>
    <row r="8055" customFormat="false" ht="17.15" hidden="false" customHeight="false" outlineLevel="0" collapsed="false">
      <c r="A8055" s="1" t="s">
        <v>1071</v>
      </c>
      <c r="B8055" s="0" t="s">
        <v>98</v>
      </c>
      <c r="F8055" s="6" t="n">
        <f aca="false">Sens!F8070</f>
        <v>11.0416255316324</v>
      </c>
      <c r="G8055" s="6" t="n">
        <f aca="false">Sens!G8070</f>
        <v>26.3030618275606</v>
      </c>
      <c r="H8055" s="6" t="n">
        <f aca="false">Sens!H8070</f>
        <v>43.0376890729541</v>
      </c>
      <c r="I8055" s="6" t="n">
        <f aca="false">Sens!I8070</f>
        <v>58.2530626984242</v>
      </c>
      <c r="J8055" s="6" t="n">
        <f aca="false">Sens!J8070</f>
        <v>68.8939413834525</v>
      </c>
      <c r="K8055" s="6" t="n">
        <f aca="false">Sens!K8070</f>
        <v>74.6338970227465</v>
      </c>
      <c r="L8055" s="1" t="s">
        <v>1072</v>
      </c>
    </row>
    <row r="8056" customFormat="false" ht="17.15" hidden="false" customHeight="false" outlineLevel="0" collapsed="false">
      <c r="A8056" s="1" t="s">
        <v>1073</v>
      </c>
      <c r="B8056" s="0" t="s">
        <v>98</v>
      </c>
      <c r="D8056" s="6" t="n">
        <f aca="false">Sens!D8052</f>
        <v>128.528</v>
      </c>
      <c r="E8056" s="6" t="n">
        <f aca="false">Sens!E8052</f>
        <v>155.237</v>
      </c>
      <c r="F8056" s="6" t="n">
        <f aca="false">Sens!F8052+Sens!F8055</f>
        <v>194.769379987979</v>
      </c>
      <c r="G8056" s="6" t="n">
        <f aca="false">Sens!G8052+Sens!G8055</f>
        <v>234.401325154386</v>
      </c>
      <c r="H8056" s="6" t="n">
        <f aca="false">Sens!H8052+Sens!H8055</f>
        <v>284.734720885979</v>
      </c>
      <c r="I8056" s="6" t="n">
        <f aca="false">Sens!I8052+Sens!I8055</f>
        <v>325.634555570613</v>
      </c>
      <c r="J8056" s="6" t="n">
        <f aca="false">Sens!J8052+Sens!J8055</f>
        <v>358.802183393626</v>
      </c>
      <c r="K8056" s="6" t="n">
        <f aca="false">Sens!K8052+Sens!K8055</f>
        <v>384.877204777676</v>
      </c>
    </row>
    <row r="8057" customFormat="false" ht="17.15" hidden="false" customHeight="false" outlineLevel="0" collapsed="false">
      <c r="A8057" s="1" t="s">
        <v>1074</v>
      </c>
      <c r="B8057" s="0" t="s">
        <v>98</v>
      </c>
      <c r="E8057" s="6" t="n">
        <f aca="false">Sens!E8000</f>
        <v>16.3054059770833</v>
      </c>
      <c r="F8057" s="6" t="n">
        <f aca="false">Sens!F8000</f>
        <v>34.5793144783516</v>
      </c>
      <c r="G8057" s="6" t="n">
        <f aca="false">Sens!G8000</f>
        <v>60.7344906522989</v>
      </c>
      <c r="H8057" s="6" t="n">
        <f aca="false">Sens!H8000</f>
        <v>89.1000906614457</v>
      </c>
      <c r="I8057" s="6" t="n">
        <f aca="false">Sens!I8000</f>
        <v>114.231009694548</v>
      </c>
      <c r="J8057" s="6" t="n">
        <f aca="false">Sens!J8000</f>
        <v>132.015673049596</v>
      </c>
      <c r="K8057" s="6" t="n">
        <f aca="false">Sens!K8000</f>
        <v>143.012669550934</v>
      </c>
    </row>
    <row r="8058" customFormat="false" ht="17.15" hidden="false" customHeight="false" outlineLevel="0" collapsed="false">
      <c r="A8058" s="1" t="s">
        <v>1075</v>
      </c>
      <c r="B8058" s="0" t="s">
        <v>98</v>
      </c>
      <c r="E8058" s="6" t="n">
        <f aca="false">Sens!E8082</f>
        <v>22.2285940229167</v>
      </c>
      <c r="F8058" s="6" t="n">
        <f aca="false">Sens!F8082</f>
        <v>23.580344216413</v>
      </c>
      <c r="G8058" s="6" t="n">
        <f aca="false">Sens!G8082</f>
        <v>25.3270863507133</v>
      </c>
      <c r="H8058" s="6" t="n">
        <f aca="false">Sens!H8082</f>
        <v>27.4714809940436</v>
      </c>
      <c r="I8058" s="6" t="n">
        <f aca="false">Sens!I8082</f>
        <v>29.9453298378589</v>
      </c>
      <c r="J8058" s="6" t="n">
        <f aca="false">Sens!J8082</f>
        <v>32.6638953675919</v>
      </c>
      <c r="K8058" s="6" t="n">
        <f aca="false">Sens!K8082</f>
        <v>35.5429806660195</v>
      </c>
    </row>
    <row r="8059" customFormat="false" ht="17.15" hidden="false" customHeight="false" outlineLevel="0" collapsed="false">
      <c r="A8059" s="1" t="s">
        <v>1076</v>
      </c>
      <c r="B8059" s="0" t="s">
        <v>98</v>
      </c>
      <c r="D8059" s="6" t="n">
        <f aca="false">Q!L27</f>
        <v>-4.901</v>
      </c>
      <c r="E8059" s="6" t="n">
        <f aca="false">Q!M27</f>
        <v>10.697</v>
      </c>
      <c r="F8059" s="6" t="n">
        <f aca="false">Q!$I$27+oie_f*(q_per_yr-1)/q_per_yr</f>
        <v>-0.862</v>
      </c>
      <c r="G8059" s="6" t="n">
        <f aca="false">oie_f</f>
        <v>-1.2</v>
      </c>
      <c r="H8059" s="6" t="n">
        <f aca="false">oie_f</f>
        <v>-1.2</v>
      </c>
      <c r="I8059" s="6" t="n">
        <f aca="false">oie_f</f>
        <v>-1.2</v>
      </c>
      <c r="J8059" s="6" t="n">
        <f aca="false">oie_f</f>
        <v>-1.2</v>
      </c>
      <c r="K8059" s="6" t="n">
        <f aca="false">oie_f</f>
        <v>-1.2</v>
      </c>
      <c r="L8059" s="12" t="s">
        <v>1077</v>
      </c>
    </row>
    <row r="8060" customFormat="false" ht="15" hidden="false" customHeight="false" outlineLevel="0" collapsed="false">
      <c r="A8060" s="1" t="s">
        <v>1078</v>
      </c>
      <c r="B8060" s="0" t="s">
        <v>98</v>
      </c>
      <c r="D8060" s="6" t="n">
        <f aca="false">Sens!D8052+Sens!D8059</f>
        <v>123.627</v>
      </c>
      <c r="E8060" s="6" t="n">
        <f aca="false">Sens!E8052+Sens!E8059</f>
        <v>165.934</v>
      </c>
      <c r="F8060" s="6" t="n">
        <f aca="false">Sens!F8052+Sens!F8059</f>
        <v>182.865754456346</v>
      </c>
      <c r="G8060" s="6" t="n">
        <f aca="false">Sens!G8052+Sens!G8059</f>
        <v>206.898263326825</v>
      </c>
      <c r="H8060" s="6" t="n">
        <f aca="false">Sens!H8052+Sens!H8059</f>
        <v>240.497031813024</v>
      </c>
      <c r="I8060" s="6" t="n">
        <f aca="false">Sens!I8052+Sens!I8059</f>
        <v>266.181492872189</v>
      </c>
      <c r="J8060" s="6" t="n">
        <f aca="false">Sens!J8052+Sens!J8059</f>
        <v>288.708242010174</v>
      </c>
      <c r="K8060" s="6" t="n">
        <f aca="false">Sens!K8052+Sens!K8059</f>
        <v>309.04330775493</v>
      </c>
    </row>
    <row r="8061" customFormat="false" ht="15" hidden="false" customHeight="false" outlineLevel="0" collapsed="false">
      <c r="A8061" s="1" t="s">
        <v>1079</v>
      </c>
      <c r="B8061" s="0" t="s">
        <v>98</v>
      </c>
      <c r="D8061" s="6" t="n">
        <f aca="false">Q!L29</f>
        <v>21.795</v>
      </c>
      <c r="E8061" s="6" t="n">
        <f aca="false">Q!M29</f>
        <v>32.185</v>
      </c>
      <c r="F8061" s="6" t="n">
        <f aca="false">Q!$I$29+(Sens!F8060-Q!$I$28)*tax_f</f>
        <v>36.7065508912692</v>
      </c>
      <c r="G8061" s="6" t="n">
        <f aca="false">Sens!G8060*tax_f</f>
        <v>41.3796526653651</v>
      </c>
      <c r="H8061" s="6" t="n">
        <f aca="false">Sens!H8060*tax_f</f>
        <v>48.0994063626049</v>
      </c>
      <c r="I8061" s="6" t="n">
        <f aca="false">Sens!I8060*tax_f</f>
        <v>53.2362985744378</v>
      </c>
      <c r="J8061" s="6" t="n">
        <f aca="false">Sens!J8060*tax_f</f>
        <v>57.7416484020348</v>
      </c>
      <c r="K8061" s="6" t="n">
        <f aca="false">Sens!K8060*tax_f</f>
        <v>61.8086615509859</v>
      </c>
    </row>
    <row r="8062" customFormat="false" ht="15" hidden="false" customHeight="false" outlineLevel="0" collapsed="false">
      <c r="A8062" s="1" t="s">
        <v>1080</v>
      </c>
      <c r="B8062" s="0" t="s">
        <v>98</v>
      </c>
      <c r="D8062" s="6" t="n">
        <f aca="false">Sens!D8060-Sens!D8061</f>
        <v>101.832</v>
      </c>
      <c r="E8062" s="6" t="n">
        <f aca="false">Sens!E8060-Sens!E8061</f>
        <v>133.749</v>
      </c>
      <c r="F8062" s="6" t="n">
        <f aca="false">Sens!F8060-Sens!F8061</f>
        <v>146.159203565077</v>
      </c>
      <c r="G8062" s="6" t="n">
        <f aca="false">Sens!G8060-Sens!G8061</f>
        <v>165.51861066146</v>
      </c>
      <c r="H8062" s="6" t="n">
        <f aca="false">Sens!H8060-Sens!H8061</f>
        <v>192.39762545042</v>
      </c>
      <c r="I8062" s="6" t="n">
        <f aca="false">Sens!I8060-Sens!I8061</f>
        <v>212.945194297751</v>
      </c>
      <c r="J8062" s="6" t="n">
        <f aca="false">Sens!J8060-Sens!J8061</f>
        <v>230.966593608139</v>
      </c>
      <c r="K8062" s="6" t="n">
        <f aca="false">Sens!K8060-Sens!K8061</f>
        <v>247.234646203944</v>
      </c>
    </row>
    <row r="8063" customFormat="false" ht="17.15" hidden="false" customHeight="false" outlineLevel="0" collapsed="false">
      <c r="A8063" s="1" t="s">
        <v>1081</v>
      </c>
      <c r="B8063" s="1" t="s">
        <v>81</v>
      </c>
      <c r="D8063" s="15" t="n">
        <f aca="false">Q!L31</f>
        <v>7.465</v>
      </c>
      <c r="E8063" s="15" t="n">
        <f aca="false">Q!M31</f>
        <v>7.453</v>
      </c>
      <c r="F8063" s="15" t="n">
        <f aca="false">Sens!F8107</f>
        <v>7.47189647275074</v>
      </c>
      <c r="G8063" s="15" t="n">
        <f aca="false">Sens!G8107</f>
        <v>7.514256301793</v>
      </c>
      <c r="H8063" s="15" t="n">
        <f aca="false">Sens!H8107</f>
        <v>7.54091959711333</v>
      </c>
      <c r="I8063" s="15" t="n">
        <f aca="false">Sens!I8107</f>
        <v>7.55260096116879</v>
      </c>
      <c r="J8063" s="15" t="n">
        <f aca="false">Sens!J8107</f>
        <v>7.56675037233127</v>
      </c>
      <c r="K8063" s="15" t="n">
        <f aca="false">Sens!K8107</f>
        <v>7.58318501229652</v>
      </c>
    </row>
    <row r="8064" customFormat="false" ht="17.15" hidden="false" customHeight="false" outlineLevel="0" collapsed="false">
      <c r="A8064" s="0" t="s">
        <v>1082</v>
      </c>
      <c r="B8064" s="0" t="s">
        <v>75</v>
      </c>
      <c r="D8064" s="8" t="n">
        <f aca="false">Sens!D8062/Sens!D8063</f>
        <v>13.641259209645</v>
      </c>
      <c r="E8064" s="8" t="n">
        <f aca="false">Sens!E8062/Sens!E8063</f>
        <v>17.9456594659869</v>
      </c>
      <c r="F8064" s="8" t="n">
        <f aca="false">Sens!F8062/Sens!F8063</f>
        <v>19.5611922753621</v>
      </c>
      <c r="G8064" s="8" t="n">
        <f aca="false">Sens!G8062/Sens!G8063</f>
        <v>22.0272777522861</v>
      </c>
      <c r="H8064" s="8" t="n">
        <f aca="false">Sens!H8062/Sens!H8063</f>
        <v>25.5138147241445</v>
      </c>
      <c r="I8064" s="8" t="n">
        <f aca="false">Sens!I8062/Sens!I8063</f>
        <v>28.1949483883228</v>
      </c>
      <c r="J8064" s="8" t="n">
        <f aca="false">Sens!J8062/Sens!J8063</f>
        <v>30.5238817514975</v>
      </c>
      <c r="K8064" s="8" t="n">
        <f aca="false">Sens!K8062/Sens!K8063</f>
        <v>32.6030086043055</v>
      </c>
      <c r="L8064" s="1" t="s">
        <v>1083</v>
      </c>
    </row>
    <row r="8065" customFormat="false" ht="17.15" hidden="false" customHeight="false" outlineLevel="0" collapsed="false">
      <c r="A8065" s="1" t="s">
        <v>1084</v>
      </c>
      <c r="B8065" s="0" t="s">
        <v>98</v>
      </c>
      <c r="D8065" s="6" t="n">
        <f aca="false">Sens!D8062</f>
        <v>101.832</v>
      </c>
      <c r="E8065" s="6" t="n">
        <f aca="false">Sens!E8062</f>
        <v>133.749</v>
      </c>
      <c r="F8065" s="6" t="n">
        <f aca="false">Sens!F8062+Sens!F8055*(1-tax_f)</f>
        <v>154.992503990383</v>
      </c>
      <c r="G8065" s="6" t="n">
        <f aca="false">Sens!G8062+Sens!G8055*(1-tax_f)</f>
        <v>186.561060123509</v>
      </c>
      <c r="H8065" s="6" t="n">
        <f aca="false">Sens!H8062+Sens!H8055*(1-tax_f)</f>
        <v>226.827776708783</v>
      </c>
      <c r="I8065" s="6" t="n">
        <f aca="false">Sens!I8062+Sens!I8055*(1-tax_f)</f>
        <v>259.547644456491</v>
      </c>
      <c r="J8065" s="6" t="n">
        <f aca="false">Sens!J8062+Sens!J8055*(1-tax_f)</f>
        <v>286.081746714901</v>
      </c>
      <c r="K8065" s="6" t="n">
        <f aca="false">Sens!K8062+Sens!K8055*(1-tax_f)</f>
        <v>306.941763822141</v>
      </c>
    </row>
    <row r="8066" customFormat="false" ht="17.15" hidden="false" customHeight="false" outlineLevel="0" collapsed="false">
      <c r="A8066" s="0" t="s">
        <v>1085</v>
      </c>
      <c r="B8066" s="0" t="s">
        <v>75</v>
      </c>
      <c r="D8066" s="8" t="n">
        <f aca="false">Sens!D8065/Sens!D8063</f>
        <v>13.641259209645</v>
      </c>
      <c r="E8066" s="8" t="n">
        <f aca="false">Sens!E8065/Sens!E8063</f>
        <v>17.9456594659869</v>
      </c>
      <c r="F8066" s="8" t="n">
        <f aca="false">Sens!F8065/Sens!F8063</f>
        <v>20.7433955429689</v>
      </c>
      <c r="G8066" s="8" t="n">
        <f aca="false">Sens!G8065/Sens!G8063</f>
        <v>24.8276146874299</v>
      </c>
      <c r="H8066" s="8" t="n">
        <f aca="false">Sens!H8065/Sens!H8063</f>
        <v>30.0795909288852</v>
      </c>
      <c r="I8066" s="8" t="n">
        <f aca="false">Sens!I8065/Sens!I8063</f>
        <v>34.365332657046</v>
      </c>
      <c r="J8066" s="8" t="n">
        <f aca="false">Sens!J8065/Sens!J8063</f>
        <v>37.8077421135754</v>
      </c>
      <c r="K8066" s="8" t="n">
        <f aca="false">Sens!K8065/Sens!K8063</f>
        <v>40.47662866255</v>
      </c>
      <c r="L8066" s="1" t="s">
        <v>1086</v>
      </c>
    </row>
    <row r="8067" customFormat="false" ht="17.15" hidden="false" customHeight="false" outlineLevel="0" collapsed="false">
      <c r="A8067" s="0" t="s">
        <v>1087</v>
      </c>
      <c r="B8067" s="0" t="s">
        <v>168</v>
      </c>
      <c r="E8067" s="7" t="n">
        <f aca="false">Sens!E8066/Sens!D8066-1</f>
        <v>0.315542736208578</v>
      </c>
      <c r="F8067" s="7" t="n">
        <f aca="false">Sens!F8066/Sens!E8066-1</f>
        <v>0.155900432763963</v>
      </c>
      <c r="G8067" s="7" t="n">
        <f aca="false">Sens!G8066/Sens!F8066-1</f>
        <v>0.196892506629436</v>
      </c>
      <c r="H8067" s="7" t="n">
        <f aca="false">Sens!H8066/Sens!G8066-1</f>
        <v>0.211537689285727</v>
      </c>
      <c r="I8067" s="7" t="n">
        <f aca="false">Sens!I8066/Sens!H8066-1</f>
        <v>0.142480053611538</v>
      </c>
      <c r="J8067" s="7" t="n">
        <f aca="false">Sens!J8066/Sens!I8066-1</f>
        <v>0.100170991821424</v>
      </c>
      <c r="K8067" s="7" t="n">
        <f aca="false">Sens!K8066/Sens!J8066-1</f>
        <v>0.0705910059626733</v>
      </c>
    </row>
    <row r="8068" customFormat="false" ht="17.15" hidden="false" customHeight="false" outlineLevel="0" collapsed="false">
      <c r="A8068" s="0" t="s">
        <v>1007</v>
      </c>
      <c r="B8068" s="0" t="s">
        <v>98</v>
      </c>
      <c r="E8068" s="6" t="n">
        <f aca="false">Sens!E8009</f>
        <v>5.25</v>
      </c>
      <c r="F8068" s="6" t="n">
        <f aca="false">Sens!F8009</f>
        <v>9.72</v>
      </c>
      <c r="G8068" s="6" t="n">
        <f aca="false">Sens!G8009</f>
        <v>16.2</v>
      </c>
      <c r="H8068" s="6" t="n">
        <f aca="false">Sens!H8009</f>
        <v>22.68</v>
      </c>
      <c r="I8068" s="6" t="n">
        <f aca="false">Sens!I8009</f>
        <v>27.54</v>
      </c>
      <c r="J8068" s="6" t="n">
        <f aca="false">Sens!J8009</f>
        <v>30.78</v>
      </c>
      <c r="K8068" s="6" t="n">
        <f aca="false">Sens!K8009</f>
        <v>34.02</v>
      </c>
    </row>
    <row r="8069" customFormat="false" ht="17.15" hidden="false" customHeight="false" outlineLevel="0" collapsed="false">
      <c r="A8069" s="1" t="s">
        <v>1008</v>
      </c>
      <c r="B8069" s="0" t="s">
        <v>98</v>
      </c>
      <c r="F8069" s="6" t="n">
        <f aca="false">MAX(0,((Sens!E7969+Sens!F7969)/2-(shadow_base*(Sens!$D$7969+Sens!$E$7969)/2+(1-shadow_base)*Sens!$E$7969))*Sens!F7978/1000-(Sens!F8068-Sens!$E$8068)*Sens!F8048)</f>
        <v>11.0416255316324</v>
      </c>
      <c r="G8069" s="6" t="n">
        <f aca="false">MAX(0,((Sens!F7969+Sens!G7969)/2-(shadow_base*(Sens!$D$7969+Sens!$E$7969)/2+(1-shadow_base)*Sens!$E$7969))*Sens!G7978/1000-(Sens!G8068-Sens!$E$8068)*Sens!G8048)</f>
        <v>26.3030618275606</v>
      </c>
      <c r="H8069" s="6" t="n">
        <f aca="false">MAX(0,((Sens!G7969+Sens!H7969)/2-(shadow_base*(Sens!$D$7969+Sens!$E$7969)/2+(1-shadow_base)*Sens!$E$7969))*Sens!H7978/1000-(Sens!H8068-Sens!$E$8068)*Sens!H8048)</f>
        <v>43.0376890729541</v>
      </c>
      <c r="I8069" s="6" t="n">
        <f aca="false">MAX(0,((Sens!H7969+Sens!I7969)/2-(shadow_base*(Sens!$D$7969+Sens!$E$7969)/2+(1-shadow_base)*Sens!$E$7969))*Sens!I7978/1000-(Sens!I8068-Sens!$E$8068)*Sens!I8048)</f>
        <v>58.2530626984242</v>
      </c>
      <c r="J8069" s="6" t="n">
        <f aca="false">MAX(0,((Sens!I7969+Sens!J7969)/2-(shadow_base*(Sens!$D$7969+Sens!$E$7969)/2+(1-shadow_base)*Sens!$E$7969))*Sens!J7978/1000-(Sens!J8068-Sens!$E$8068)*Sens!J8048)</f>
        <v>68.8939413834525</v>
      </c>
      <c r="K8069" s="6" t="n">
        <f aca="false">MAX(0,((Sens!J7969+Sens!K7969)/2-(shadow_base*(Sens!$D$7969+Sens!$E$7969)/2+(1-shadow_base)*Sens!$E$7969))*Sens!K7978/1000-(Sens!K8068-Sens!$E$8068)*Sens!K8048)</f>
        <v>74.6338970227465</v>
      </c>
      <c r="L8069" s="1" t="s">
        <v>1009</v>
      </c>
    </row>
    <row r="8070" customFormat="false" ht="17.15" hidden="false" customHeight="false" outlineLevel="0" collapsed="false">
      <c r="A8070" s="1" t="s">
        <v>1010</v>
      </c>
      <c r="B8070" s="0" t="s">
        <v>98</v>
      </c>
      <c r="F8070" s="6" t="n">
        <f aca="false">IF(internal_ai_reading=2,1,0)*Sens!F8069</f>
        <v>11.0416255316324</v>
      </c>
      <c r="G8070" s="6" t="n">
        <f aca="false">IF(internal_ai_reading=2,1,0)*Sens!G8069</f>
        <v>26.3030618275606</v>
      </c>
      <c r="H8070" s="6" t="n">
        <f aca="false">IF(internal_ai_reading=2,1,0)*Sens!H8069</f>
        <v>43.0376890729541</v>
      </c>
      <c r="I8070" s="6" t="n">
        <f aca="false">IF(internal_ai_reading=2,1,0)*Sens!I8069</f>
        <v>58.2530626984242</v>
      </c>
      <c r="J8070" s="6" t="n">
        <f aca="false">IF(internal_ai_reading=2,1,0)*Sens!J8069</f>
        <v>68.8939413834525</v>
      </c>
      <c r="K8070" s="6" t="n">
        <f aca="false">IF(internal_ai_reading=2,1,0)*Sens!K8069</f>
        <v>74.6338970227465</v>
      </c>
    </row>
    <row r="8071" customFormat="false" ht="17.15" hidden="false" customHeight="false" outlineLevel="0" collapsed="false">
      <c r="A8071" s="0" t="s">
        <v>1011</v>
      </c>
      <c r="B8071" s="0" t="s">
        <v>98</v>
      </c>
      <c r="F8071" s="6" t="n">
        <f aca="false">Sens!F7988+Sens!F8068*Sens!F8048+Sens!F8070-Sens!F7989-Sens!F8000</f>
        <v>18.5068678152817</v>
      </c>
      <c r="G8071" s="6" t="n">
        <f aca="false">Sens!G7988+Sens!G8068*Sens!G8048+Sens!G8070-Sens!G7989-Sens!G8000</f>
        <v>43.1983864982792</v>
      </c>
      <c r="H8071" s="6" t="n">
        <f aca="false">Sens!H7988+Sens!H8068*Sens!H8048+Sens!H8070-Sens!H7989-Sens!H8000</f>
        <v>73.502598356074</v>
      </c>
      <c r="I8071" s="6" t="n">
        <f aca="false">Sens!I7988+Sens!I8068*Sens!I8048+Sens!I8070-Sens!I7989-Sens!I8000</f>
        <v>94.7454135378504</v>
      </c>
      <c r="J8071" s="6" t="n">
        <f aca="false">Sens!J7988+Sens!J8068*Sens!J8048+Sens!J8070-Sens!J7989-Sens!J8000</f>
        <v>109.399608126358</v>
      </c>
      <c r="K8071" s="6" t="n">
        <f aca="false">Sens!K7988+Sens!K8068*Sens!K8048+Sens!K8070-Sens!K7989-Sens!K8000</f>
        <v>118.898703181943</v>
      </c>
    </row>
    <row r="8072" customFormat="false" ht="17.15" hidden="false" customHeight="false" outlineLevel="0" collapsed="false">
      <c r="A8072" s="0" t="s">
        <v>1012</v>
      </c>
      <c r="B8072" s="0" t="s">
        <v>98</v>
      </c>
      <c r="E8072" s="6" t="n">
        <f aca="false">Sens!E7968*(cxit_open+self_build*tk_cxfac)/1000*ai_net_open</f>
        <v>126.6980382</v>
      </c>
      <c r="F8072" s="6" t="n">
        <f aca="false">Sens!E8072+Sens!F7997-Sens!F8000</f>
        <v>260.572627763768</v>
      </c>
      <c r="G8072" s="6" t="n">
        <f aca="false">Sens!F8072+Sens!G7997-Sens!G8000</f>
        <v>391.782612760517</v>
      </c>
      <c r="H8072" s="6" t="n">
        <f aca="false">Sens!G8072+Sens!H7997-Sens!H8000</f>
        <v>499.488526163584</v>
      </c>
      <c r="I8072" s="6" t="n">
        <f aca="false">Sens!H8072+Sens!I7997-Sens!I8000</f>
        <v>553.872350090646</v>
      </c>
      <c r="J8072" s="6" t="n">
        <f aca="false">Sens!I8072+Sens!J7997-Sens!J8000</f>
        <v>550.78660823699</v>
      </c>
      <c r="K8072" s="6" t="n">
        <f aca="false">Sens!J8072+Sens!K7997-Sens!K8000</f>
        <v>526.736791750789</v>
      </c>
      <c r="L8072" s="1" t="s">
        <v>1013</v>
      </c>
    </row>
    <row r="8073" customFormat="false" ht="17.15" hidden="false" customHeight="false" outlineLevel="0" collapsed="false">
      <c r="A8073" s="0" t="s">
        <v>1014</v>
      </c>
      <c r="B8073" s="0" t="s">
        <v>168</v>
      </c>
      <c r="F8073" s="7" t="n">
        <f aca="false">Sens!F8071*(1-tax_f)/((Sens!E8072+Sens!F8072)/2)</f>
        <v>0.0764607059271074</v>
      </c>
      <c r="G8073" s="7" t="n">
        <f aca="false">Sens!G8071*(1-tax_f)/((Sens!F8072+Sens!G8072)/2)</f>
        <v>0.105950583522098</v>
      </c>
      <c r="H8073" s="7" t="n">
        <f aca="false">Sens!H8071*(1-tax_f)/((Sens!G8072+Sens!H8072)/2)</f>
        <v>0.131951044114011</v>
      </c>
      <c r="I8073" s="7" t="n">
        <f aca="false">Sens!I8071*(1-tax_f)/((Sens!H8072+Sens!I8072)/2)</f>
        <v>0.143913320760143</v>
      </c>
      <c r="J8073" s="7" t="n">
        <f aca="false">Sens!J8071*(1-tax_f)/((Sens!I8072+Sens!J8072)/2)</f>
        <v>0.158455577336889</v>
      </c>
      <c r="K8073" s="7" t="n">
        <f aca="false">Sens!K8071*(1-tax_f)/((Sens!J8072+Sens!K8072)/2)</f>
        <v>0.176551084731214</v>
      </c>
    </row>
    <row r="8074" customFormat="false" ht="17.15" hidden="false" customHeight="false" outlineLevel="0" collapsed="false">
      <c r="A8074" s="1" t="s">
        <v>1015</v>
      </c>
      <c r="B8074" s="0" t="s">
        <v>168</v>
      </c>
      <c r="F8074" s="7" t="n">
        <f aca="false">(Sens!F8071-Sens!F8070)*(1-tax_f)/((Sens!E8072+Sens!F8072)/2)</f>
        <v>0.0308424797011513</v>
      </c>
      <c r="G8074" s="7" t="n">
        <f aca="false">(Sens!G8071-Sens!G8070)*(1-tax_f)/((Sens!F8072+Sens!G8072)/2)</f>
        <v>0.0414383418632833</v>
      </c>
      <c r="H8074" s="7" t="n">
        <f aca="false">(Sens!H8071-Sens!H8070)*(1-tax_f)/((Sens!G8072+Sens!H8072)/2)</f>
        <v>0.0546902650879429</v>
      </c>
      <c r="I8074" s="7" t="n">
        <f aca="false">(Sens!I8071-Sens!I8070)*(1-tax_f)/((Sens!H8072+Sens!I8072)/2)</f>
        <v>0.0554299695947601</v>
      </c>
      <c r="J8074" s="7" t="n">
        <f aca="false">(Sens!J8071-Sens!J8070)*(1-tax_f)/((Sens!I8072+Sens!J8072)/2)</f>
        <v>0.0586688464345269</v>
      </c>
      <c r="K8074" s="7" t="n">
        <f aca="false">(Sens!K8071-Sens!K8070)*(1-tax_f)/((Sens!J8072+Sens!K8072)/2)</f>
        <v>0.0657282151417938</v>
      </c>
    </row>
    <row r="8075" customFormat="false" ht="17.15" hidden="false" customHeight="false" outlineLevel="0" collapsed="false">
      <c r="A8075" s="1" t="s">
        <v>1016</v>
      </c>
      <c r="B8075" s="0" t="s">
        <v>168</v>
      </c>
      <c r="F8075" s="7" t="n">
        <f aca="false">(Sens!F8071-Sens!F8070+Sens!F8069)*(1-tax_f)/((Sens!E8072+Sens!F8072)/2)</f>
        <v>0.0764607059271074</v>
      </c>
      <c r="G8075" s="7" t="n">
        <f aca="false">(Sens!G8071-Sens!G8070+Sens!G8069)*(1-tax_f)/((Sens!F8072+Sens!G8072)/2)</f>
        <v>0.105950583522098</v>
      </c>
      <c r="H8075" s="7" t="n">
        <f aca="false">(Sens!H8071-Sens!H8070+Sens!H8069)*(1-tax_f)/((Sens!G8072+Sens!H8072)/2)</f>
        <v>0.131951044114011</v>
      </c>
      <c r="I8075" s="7" t="n">
        <f aca="false">(Sens!I8071-Sens!I8070+Sens!I8069)*(1-tax_f)/((Sens!H8072+Sens!I8072)/2)</f>
        <v>0.143913320760143</v>
      </c>
      <c r="J8075" s="7" t="n">
        <f aca="false">(Sens!J8071-Sens!J8070+Sens!J8069)*(1-tax_f)/((Sens!I8072+Sens!J8072)/2)</f>
        <v>0.158455577336889</v>
      </c>
      <c r="K8075" s="7" t="n">
        <f aca="false">(Sens!K8071-Sens!K8070+Sens!K8069)*(1-tax_f)/((Sens!J8072+Sens!K8072)/2)</f>
        <v>0.176551084731214</v>
      </c>
    </row>
    <row r="8076" customFormat="false" ht="17.15" hidden="false" customHeight="false" outlineLevel="0" collapsed="false">
      <c r="A8076" s="1" t="s">
        <v>1017</v>
      </c>
      <c r="B8076" s="0" t="s">
        <v>168</v>
      </c>
      <c r="F8076" s="7" t="n">
        <f aca="false">Sens!F8001*(1-tax_f)/(Sens!F7987*(Sens!E8072+Sens!F8072)/2)</f>
        <v>0.15471433083293</v>
      </c>
      <c r="G8076" s="7" t="n">
        <f aca="false">Sens!G8001*(1-tax_f)/(Sens!G7987*(Sens!F8072+Sens!G8072)/2)</f>
        <v>0.176916911437355</v>
      </c>
      <c r="H8076" s="7" t="n">
        <f aca="false">Sens!H8001*(1-tax_f)/(Sens!H7987*(Sens!G8072+Sens!H8072)/2)</f>
        <v>0.207487057996582</v>
      </c>
      <c r="I8076" s="7" t="n">
        <f aca="false">Sens!I8001*(1-tax_f)/(Sens!I7987*(Sens!H8072+Sens!I8072)/2)</f>
        <v>0.219873660070946</v>
      </c>
      <c r="J8076" s="7" t="n">
        <f aca="false">Sens!J8001*(1-tax_f)/(Sens!J7987*(Sens!I8072+Sens!J8072)/2)</f>
        <v>0.238959457974928</v>
      </c>
      <c r="K8076" s="7" t="n">
        <f aca="false">Sens!K8001*(1-tax_f)/(Sens!K7987*(Sens!J8072+Sens!K8072)/2)</f>
        <v>0.264604270651536</v>
      </c>
    </row>
    <row r="8077" customFormat="false" ht="17.15" hidden="false" customHeight="false" outlineLevel="0" collapsed="false">
      <c r="A8077" s="0" t="s">
        <v>1018</v>
      </c>
      <c r="B8077" s="0" t="s">
        <v>253</v>
      </c>
      <c r="F8077" s="7" t="n">
        <f aca="false">Sens!F8073-wacc</f>
        <v>-0.0264758850184899</v>
      </c>
      <c r="G8077" s="7" t="n">
        <f aca="false">Sens!G8073-wacc</f>
        <v>0.00301399257650095</v>
      </c>
      <c r="H8077" s="7" t="n">
        <f aca="false">Sens!H8073-wacc</f>
        <v>0.0290144531684132</v>
      </c>
      <c r="I8077" s="7" t="n">
        <f aca="false">Sens!I8073-wacc</f>
        <v>0.040976729814546</v>
      </c>
      <c r="J8077" s="7" t="n">
        <f aca="false">Sens!J8073-wacc</f>
        <v>0.0555189863912922</v>
      </c>
      <c r="K8077" s="7" t="n">
        <f aca="false">Sens!K8073-wacc</f>
        <v>0.0736144937856168</v>
      </c>
    </row>
    <row r="8078" customFormat="false" ht="17.15" hidden="false" customHeight="false" outlineLevel="0" collapsed="false">
      <c r="A8078" s="0" t="s">
        <v>1019</v>
      </c>
      <c r="B8078" s="0" t="s">
        <v>98</v>
      </c>
      <c r="F8078" s="6" t="n">
        <f aca="false">Sens!F8071*(1-tax_f)-wacc*(Sens!E8072+Sens!F8072)/2</f>
        <v>-5.12666681154535</v>
      </c>
      <c r="G8078" s="6" t="n">
        <f aca="false">Sens!G8071*(1-tax_f)-wacc*(Sens!F8072+Sens!G8072)/2</f>
        <v>0.983096926090845</v>
      </c>
      <c r="H8078" s="6" t="n">
        <f aca="false">Sens!H8071*(1-tax_f)-wacc*(Sens!G8072+Sens!H8072)/2</f>
        <v>12.9298723603358</v>
      </c>
      <c r="I8078" s="6" t="n">
        <f aca="false">Sens!I8071*(1-tax_f)-wacc*(Sens!H8072+Sens!I8072)/2</f>
        <v>21.5816420117415</v>
      </c>
      <c r="J8078" s="6" t="n">
        <f aca="false">Sens!J8071*(1-tax_f)-wacc*(Sens!I8072+Sens!J8072)/2</f>
        <v>30.6647728372055</v>
      </c>
      <c r="K8078" s="6" t="n">
        <f aca="false">Sens!K8071*(1-tax_f)-wacc*(Sens!J8072+Sens!K8072)/2</f>
        <v>39.6606698161285</v>
      </c>
    </row>
    <row r="8079" customFormat="false" ht="17.15" hidden="false" customHeight="false" outlineLevel="0" collapsed="false">
      <c r="A8079" s="3" t="s">
        <v>1813</v>
      </c>
    </row>
    <row r="8080" customFormat="false" ht="15" hidden="false" customHeight="false" outlineLevel="0" collapsed="false">
      <c r="A8080" s="4" t="s">
        <v>43</v>
      </c>
      <c r="B8080" s="4" t="s">
        <v>65</v>
      </c>
      <c r="C8080" s="23" t="s">
        <v>942</v>
      </c>
      <c r="D8080" s="23" t="s">
        <v>943</v>
      </c>
      <c r="E8080" s="23" t="s">
        <v>944</v>
      </c>
      <c r="F8080" s="23" t="s">
        <v>945</v>
      </c>
      <c r="G8080" s="23" t="s">
        <v>946</v>
      </c>
      <c r="H8080" s="23" t="s">
        <v>947</v>
      </c>
      <c r="I8080" s="23" t="s">
        <v>948</v>
      </c>
      <c r="J8080" s="23" t="s">
        <v>949</v>
      </c>
      <c r="K8080" s="23" t="s">
        <v>950</v>
      </c>
      <c r="L8080" s="4" t="s">
        <v>47</v>
      </c>
    </row>
    <row r="8081" customFormat="false" ht="15" hidden="false" customHeight="false" outlineLevel="0" collapsed="false">
      <c r="A8081" s="1" t="s">
        <v>1080</v>
      </c>
      <c r="B8081" s="0" t="s">
        <v>98</v>
      </c>
      <c r="F8081" s="6" t="n">
        <f aca="false">Sens!F8062</f>
        <v>146.159203565077</v>
      </c>
      <c r="G8081" s="6" t="n">
        <f aca="false">Sens!G8062</f>
        <v>165.51861066146</v>
      </c>
      <c r="H8081" s="6" t="n">
        <f aca="false">Sens!H8062</f>
        <v>192.39762545042</v>
      </c>
      <c r="I8081" s="6" t="n">
        <f aca="false">Sens!I8062</f>
        <v>212.945194297751</v>
      </c>
      <c r="J8081" s="6" t="n">
        <f aca="false">Sens!J8062</f>
        <v>230.966593608139</v>
      </c>
      <c r="K8081" s="6" t="n">
        <f aca="false">Sens!K8062</f>
        <v>247.234646203944</v>
      </c>
    </row>
    <row r="8082" customFormat="false" ht="17.15" hidden="false" customHeight="false" outlineLevel="0" collapsed="false">
      <c r="A8082" s="1" t="s">
        <v>1102</v>
      </c>
      <c r="B8082" s="0" t="s">
        <v>98</v>
      </c>
      <c r="E8082" s="6" t="n">
        <f aca="false">Q!M38-Sens!E8000</f>
        <v>22.2285940229167</v>
      </c>
      <c r="F8082" s="6" t="n">
        <f aca="false">Sens!E8082*(1-1/life_nonai)+(Sens!F8090+Sens!F8091)/life_nonai</f>
        <v>23.580344216413</v>
      </c>
      <c r="G8082" s="6" t="n">
        <f aca="false">Sens!F8082*(1-1/life_nonai)+(Sens!G8090)/life_nonai</f>
        <v>25.3270863507133</v>
      </c>
      <c r="H8082" s="6" t="n">
        <f aca="false">Sens!G8082*(1-1/life_nonai)+(Sens!H8090)/life_nonai</f>
        <v>27.4714809940436</v>
      </c>
      <c r="I8082" s="6" t="n">
        <f aca="false">Sens!H8082*(1-1/life_nonai)+(Sens!I8090)/life_nonai</f>
        <v>29.9453298378589</v>
      </c>
      <c r="J8082" s="6" t="n">
        <f aca="false">Sens!I8082*(1-1/life_nonai)+(Sens!J8090)/life_nonai</f>
        <v>32.6638953675919</v>
      </c>
      <c r="K8082" s="6" t="n">
        <f aca="false">Sens!J8082*(1-1/life_nonai)+(Sens!K8090)/life_nonai</f>
        <v>35.5429806660195</v>
      </c>
      <c r="L8082" s="12" t="s">
        <v>1103</v>
      </c>
    </row>
    <row r="8083" customFormat="false" ht="17.15" hidden="false" customHeight="false" outlineLevel="0" collapsed="false">
      <c r="A8083" s="1" t="s">
        <v>1104</v>
      </c>
      <c r="B8083" s="0" t="s">
        <v>98</v>
      </c>
      <c r="F8083" s="6" t="n">
        <f aca="false">Sens!$F$8091/life_nonai*(1-1/life_nonai)^(Sens!F7963-2027)</f>
        <v>0.0336281121266289</v>
      </c>
      <c r="G8083" s="6" t="n">
        <f aca="false">Sens!$F$8091/life_nonai*(1-1/life_nonai)^(Sens!G7963-2027)</f>
        <v>0.030265300913966</v>
      </c>
      <c r="H8083" s="6" t="n">
        <f aca="false">Sens!$F$8091/life_nonai*(1-1/life_nonai)^(Sens!H7963-2027)</f>
        <v>0.0272387708225694</v>
      </c>
      <c r="I8083" s="6" t="n">
        <f aca="false">Sens!$F$8091/life_nonai*(1-1/life_nonai)^(Sens!I7963-2027)</f>
        <v>0.0245148937403125</v>
      </c>
      <c r="J8083" s="6" t="n">
        <f aca="false">Sens!$F$8091/life_nonai*(1-1/life_nonai)^(Sens!J7963-2027)</f>
        <v>0.0220634043662812</v>
      </c>
      <c r="K8083" s="6" t="n">
        <f aca="false">Sens!$F$8091/life_nonai*(1-1/life_nonai)^(Sens!K7963-2027)</f>
        <v>0.0198570639296531</v>
      </c>
      <c r="L8083" s="1" t="s">
        <v>1105</v>
      </c>
    </row>
    <row r="8084" customFormat="false" ht="17.15" hidden="false" customHeight="false" outlineLevel="0" collapsed="false">
      <c r="A8084" s="1" t="s">
        <v>1106</v>
      </c>
      <c r="B8084" s="0" t="s">
        <v>98</v>
      </c>
      <c r="E8084" s="6" t="n">
        <f aca="false">Sens!E8000+Sens!E8082</f>
        <v>38.534</v>
      </c>
      <c r="F8084" s="6" t="n">
        <f aca="false">Sens!F8000+Sens!F8082</f>
        <v>58.1596586947647</v>
      </c>
      <c r="G8084" s="6" t="n">
        <f aca="false">Sens!G8000+Sens!G8082</f>
        <v>86.0615770030123</v>
      </c>
      <c r="H8084" s="6" t="n">
        <f aca="false">Sens!H8000+Sens!H8082</f>
        <v>116.571571655489</v>
      </c>
      <c r="I8084" s="6" t="n">
        <f aca="false">Sens!I8000+Sens!I8082</f>
        <v>144.176339532407</v>
      </c>
      <c r="J8084" s="6" t="n">
        <f aca="false">Sens!J8000+Sens!J8082</f>
        <v>164.679568417188</v>
      </c>
      <c r="K8084" s="6" t="n">
        <f aca="false">Sens!K8000+Sens!K8082</f>
        <v>178.555650216954</v>
      </c>
    </row>
    <row r="8085" customFormat="false" ht="17.15" hidden="false" customHeight="false" outlineLevel="0" collapsed="false">
      <c r="A8085" s="1" t="s">
        <v>1107</v>
      </c>
      <c r="B8085" s="0" t="s">
        <v>98</v>
      </c>
      <c r="F8085" s="6" t="n">
        <f aca="false">Sens!F8027*sbc_r</f>
        <v>14.9601444018845</v>
      </c>
      <c r="G8085" s="6" t="n">
        <f aca="false">Sens!G8027*sbc_r</f>
        <v>18.1858135085969</v>
      </c>
      <c r="H8085" s="6" t="n">
        <f aca="false">Sens!H8027*sbc_r</f>
        <v>21.6658799982524</v>
      </c>
      <c r="I8085" s="6" t="n">
        <f aca="false">Sens!I8027*sbc_r</f>
        <v>24.6388536219226</v>
      </c>
      <c r="J8085" s="6" t="n">
        <f aca="false">Sens!J8027*sbc_r</f>
        <v>27.041707137761</v>
      </c>
      <c r="K8085" s="6" t="n">
        <f aca="false">Sens!K8027*sbc_r</f>
        <v>28.9440634712109</v>
      </c>
    </row>
    <row r="8086" customFormat="false" ht="17.15" hidden="false" customHeight="false" outlineLevel="0" collapsed="false">
      <c r="A8086" s="1" t="s">
        <v>1108</v>
      </c>
      <c r="B8086" s="0" t="s">
        <v>98</v>
      </c>
      <c r="F8086" s="6" t="n">
        <f aca="false">wc27-wc26q1</f>
        <v>-4.677</v>
      </c>
      <c r="G8086" s="6" t="n">
        <f aca="false">wc_f</f>
        <v>0</v>
      </c>
      <c r="H8086" s="6" t="n">
        <f aca="false">wc_f</f>
        <v>0</v>
      </c>
      <c r="I8086" s="6" t="n">
        <f aca="false">wc_f</f>
        <v>0</v>
      </c>
      <c r="J8086" s="6" t="n">
        <f aca="false">wc_f</f>
        <v>0</v>
      </c>
      <c r="K8086" s="6" t="n">
        <f aca="false">wc_f</f>
        <v>0</v>
      </c>
      <c r="L8086" s="12" t="s">
        <v>1109</v>
      </c>
    </row>
    <row r="8087" customFormat="false" ht="17.15" hidden="false" customHeight="false" outlineLevel="0" collapsed="false">
      <c r="A8087" s="0" t="s">
        <v>1110</v>
      </c>
      <c r="B8087" s="0" t="s">
        <v>98</v>
      </c>
      <c r="F8087" s="6" t="n">
        <f aca="false">Q!$I$35-Q!$I$26-Q!$I$38-Q!$I$39</f>
        <v>6.493</v>
      </c>
      <c r="L8087" s="1" t="s">
        <v>1111</v>
      </c>
    </row>
    <row r="8088" customFormat="false" ht="15" hidden="false" customHeight="false" outlineLevel="0" collapsed="false">
      <c r="A8088" s="1" t="s">
        <v>908</v>
      </c>
      <c r="B8088" s="0" t="s">
        <v>98</v>
      </c>
      <c r="E8088" s="6" t="n">
        <f aca="false">Q!M35</f>
        <v>182.935</v>
      </c>
      <c r="F8088" s="6" t="n">
        <f aca="false">Sens!F8081+Sens!F8084+Sens!F8085+Sens!F8086+Sens!F8087</f>
        <v>221.095006661726</v>
      </c>
      <c r="G8088" s="6" t="n">
        <f aca="false">Sens!G8081+Sens!G8084+Sens!G8085+Sens!G8086</f>
        <v>269.76600117307</v>
      </c>
      <c r="H8088" s="6" t="n">
        <f aca="false">Sens!H8081+Sens!H8084+Sens!H8085+Sens!H8086</f>
        <v>330.635077104161</v>
      </c>
      <c r="I8088" s="6" t="n">
        <f aca="false">Sens!I8081+Sens!I8084+Sens!I8085+Sens!I8086</f>
        <v>381.760387452081</v>
      </c>
      <c r="J8088" s="6" t="n">
        <f aca="false">Sens!J8081+Sens!J8084+Sens!J8085+Sens!J8086</f>
        <v>422.687869163088</v>
      </c>
      <c r="K8088" s="6" t="n">
        <f aca="false">Sens!K8081+Sens!K8084+Sens!K8085+Sens!K8086</f>
        <v>454.734359892108</v>
      </c>
    </row>
    <row r="8089" customFormat="false" ht="17.15" hidden="false" customHeight="false" outlineLevel="0" collapsed="false">
      <c r="A8089" s="0" t="s">
        <v>1112</v>
      </c>
      <c r="B8089" s="0" t="s">
        <v>98</v>
      </c>
      <c r="F8089" s="6" t="n">
        <f aca="false">Sens!F7997</f>
        <v>168.45390404212</v>
      </c>
      <c r="G8089" s="6" t="n">
        <f aca="false">Sens!G7997</f>
        <v>191.944475649048</v>
      </c>
      <c r="H8089" s="6" t="n">
        <f aca="false">Sens!H7997</f>
        <v>196.806004064512</v>
      </c>
      <c r="I8089" s="6" t="n">
        <f aca="false">Sens!I7997</f>
        <v>168.61483362161</v>
      </c>
      <c r="J8089" s="6" t="n">
        <f aca="false">Sens!J7997</f>
        <v>128.92993119594</v>
      </c>
      <c r="K8089" s="6" t="n">
        <f aca="false">Sens!K7997</f>
        <v>118.962853064733</v>
      </c>
    </row>
    <row r="8090" customFormat="false" ht="17.15" hidden="false" customHeight="false" outlineLevel="0" collapsed="false">
      <c r="A8090" s="1" t="s">
        <v>1113</v>
      </c>
      <c r="B8090" s="0" t="s">
        <v>98</v>
      </c>
      <c r="E8090" s="6" t="n">
        <f aca="false">Sens!E8005*cx_azo+Sens!E8012*cx_m365+Sens!E8013*cx_lic+(Sens!E8015+Sens!E8017)*cx_ind+Sens!E8020*cx_srch+(Sens!E8022+Sens!E8024)*cx_dev</f>
        <v>30.1846587067718</v>
      </c>
      <c r="F8090" s="6" t="n">
        <f aca="false">Sens!F8005*cx_azo+Sens!F8012*cx_m365+Sens!F8013*cx_lic+(Sens!F8015+Sens!F8017)*cx_ind+Sens!F8020*cx_srch+(Sens!F8022+Sens!F8024)*cx_dev</f>
        <v>35.4098148366141</v>
      </c>
      <c r="G8090" s="6" t="n">
        <f aca="false">Sens!G8005*cx_azo+Sens!G8012*cx_m365+Sens!G8013*cx_lic+(Sens!G8015+Sens!G8017)*cx_ind+Sens!G8020*cx_srch+(Sens!G8022+Sens!G8024)*cx_dev</f>
        <v>41.047765559416</v>
      </c>
      <c r="H8090" s="6" t="n">
        <f aca="false">Sens!H8005*cx_azo+Sens!H8012*cx_m365+Sens!H8013*cx_lic+(Sens!H8015+Sens!H8017)*cx_ind+Sens!H8020*cx_srch+(Sens!H8022+Sens!H8024)*cx_dev</f>
        <v>46.7710327840155</v>
      </c>
      <c r="I8090" s="6" t="n">
        <f aca="false">Sens!I8005*cx_azo+Sens!I8012*cx_m365+Sens!I8013*cx_lic+(Sens!I8015+Sens!I8017)*cx_ind+Sens!I8020*cx_srch+(Sens!I8022+Sens!I8024)*cx_dev</f>
        <v>52.2099694321967</v>
      </c>
      <c r="J8090" s="6" t="n">
        <f aca="false">Sens!J8005*cx_azo+Sens!J8012*cx_m365+Sens!J8013*cx_lic+(Sens!J8015+Sens!J8017)*cx_ind+Sens!J8020*cx_srch+(Sens!J8022+Sens!J8024)*cx_dev</f>
        <v>57.130985135189</v>
      </c>
      <c r="K8090" s="6" t="n">
        <f aca="false">Sens!K8005*cx_azo+Sens!K8012*cx_m365+Sens!K8013*cx_lic+(Sens!K8015+Sens!K8017)*cx_ind+Sens!K8020*cx_srch+(Sens!K8022+Sens!K8024)*cx_dev</f>
        <v>61.4547483518685</v>
      </c>
    </row>
    <row r="8091" customFormat="false" ht="17.15" hidden="false" customHeight="false" outlineLevel="0" collapsed="false">
      <c r="A8091" s="0" t="s">
        <v>1114</v>
      </c>
      <c r="B8091" s="0" t="s">
        <v>98</v>
      </c>
      <c r="F8091" s="6" t="n">
        <f aca="false">Sens!F7995</f>
        <v>0.336281121266289</v>
      </c>
      <c r="L8091" s="1" t="s">
        <v>1115</v>
      </c>
    </row>
    <row r="8092" customFormat="false" ht="17.15" hidden="false" customHeight="false" outlineLevel="0" collapsed="false">
      <c r="A8092" s="1" t="s">
        <v>1116</v>
      </c>
      <c r="B8092" s="0" t="s">
        <v>98</v>
      </c>
      <c r="E8092" s="6" t="n">
        <f aca="false">Q!M43</f>
        <v>145.3</v>
      </c>
      <c r="F8092" s="6" t="n">
        <f aca="false">Sens!F8089+Sens!F8090+Sens!F8091</f>
        <v>204.2</v>
      </c>
      <c r="G8092" s="6" t="n">
        <f aca="false">Sens!G8089+Sens!G8090</f>
        <v>232.992241208464</v>
      </c>
      <c r="H8092" s="6" t="n">
        <f aca="false">Sens!H8089+Sens!H8090</f>
        <v>243.577036848528</v>
      </c>
      <c r="I8092" s="6" t="n">
        <f aca="false">Sens!I8089+Sens!I8090</f>
        <v>220.824803053807</v>
      </c>
      <c r="J8092" s="6" t="n">
        <f aca="false">Sens!J8089+Sens!J8090</f>
        <v>186.060916331129</v>
      </c>
      <c r="K8092" s="6" t="n">
        <f aca="false">Sens!K8089+Sens!K8090</f>
        <v>180.417601416601</v>
      </c>
      <c r="L8092" s="1" t="s">
        <v>1117</v>
      </c>
    </row>
    <row r="8093" customFormat="false" ht="15" hidden="false" customHeight="false" outlineLevel="0" collapsed="false">
      <c r="A8093" s="1" t="s">
        <v>1118</v>
      </c>
      <c r="B8093" s="0" t="s">
        <v>98</v>
      </c>
      <c r="E8093" s="6" t="n">
        <f aca="false">fl_liab</f>
        <v>66.594</v>
      </c>
      <c r="F8093" s="6" t="n">
        <f aca="false">Sens!E8093-Sens!F8094</f>
        <v>62.46973</v>
      </c>
      <c r="G8093" s="6" t="n">
        <f aca="false">Sens!F8093-Sens!G8094</f>
        <v>57.98686785</v>
      </c>
      <c r="H8093" s="6" t="n">
        <f aca="false">Sens!G8093-Sens!H8094</f>
        <v>53.92827690325</v>
      </c>
      <c r="I8093" s="6" t="n">
        <f aca="false">Sens!H8093-Sens!I8094</f>
        <v>49.7850493638962</v>
      </c>
      <c r="J8093" s="6" t="n">
        <f aca="false">Sens!I8093-Sens!J8094</f>
        <v>45.4823765852716</v>
      </c>
      <c r="K8093" s="6" t="n">
        <f aca="false">Sens!J8093-Sens!K8094</f>
        <v>40.9860835316088</v>
      </c>
    </row>
    <row r="8094" customFormat="false" ht="15" hidden="false" customHeight="false" outlineLevel="0" collapsed="false">
      <c r="A8094" s="1" t="s">
        <v>1119</v>
      </c>
      <c r="B8094" s="0" t="s">
        <v>98</v>
      </c>
      <c r="F8094" s="6" t="n">
        <f aca="false">fl_pay_27-Sens!E8093*fl_rate</f>
        <v>4.12427</v>
      </c>
      <c r="G8094" s="6" t="n">
        <f aca="false">fl_pay_28-Sens!F8093*fl_rate</f>
        <v>4.48286215</v>
      </c>
      <c r="H8094" s="6" t="n">
        <f aca="false">fl_pay_29-Sens!G8093*fl_rate</f>
        <v>4.05859094675</v>
      </c>
      <c r="I8094" s="6" t="n">
        <f aca="false">fl_pay_30-Sens!H8093*fl_rate</f>
        <v>4.14322753935375</v>
      </c>
      <c r="J8094" s="6" t="n">
        <f aca="false">fl_pay_31-Sens!I8093*fl_rate</f>
        <v>4.30267277862467</v>
      </c>
      <c r="K8094" s="6" t="n">
        <f aca="false">fl_pay_32-Sens!J8093*fl_rate</f>
        <v>4.49629305366278</v>
      </c>
    </row>
    <row r="8095" customFormat="false" ht="17.15" hidden="false" customHeight="false" outlineLevel="0" collapsed="false">
      <c r="A8095" s="1" t="s">
        <v>1120</v>
      </c>
      <c r="B8095" s="0" t="s">
        <v>98</v>
      </c>
      <c r="E8095" s="6" t="n">
        <f aca="false">Q!M35-Q!M36-Q!M44</f>
        <v>63.886</v>
      </c>
      <c r="F8095" s="6" t="n">
        <f aca="false">Sens!F8088-Sens!F8092-Sens!F8094</f>
        <v>12.7707366617262</v>
      </c>
      <c r="G8095" s="6" t="n">
        <f aca="false">Sens!G8088-Sens!G8092-Sens!G8094</f>
        <v>32.2908978146053</v>
      </c>
      <c r="H8095" s="6" t="n">
        <f aca="false">Sens!H8088-Sens!H8092-Sens!H8094</f>
        <v>82.9994493088834</v>
      </c>
      <c r="I8095" s="6" t="n">
        <f aca="false">Sens!I8088-Sens!I8092-Sens!I8094</f>
        <v>156.79235685892</v>
      </c>
      <c r="J8095" s="6" t="n">
        <f aca="false">Sens!J8088-Sens!J8092-Sens!J8094</f>
        <v>232.324280053334</v>
      </c>
      <c r="K8095" s="6" t="n">
        <f aca="false">Sens!K8088-Sens!K8092-Sens!K8094</f>
        <v>269.820465421844</v>
      </c>
      <c r="L8095" s="12" t="s">
        <v>1121</v>
      </c>
    </row>
    <row r="8096" customFormat="false" ht="15" hidden="false" customHeight="false" outlineLevel="0" collapsed="false">
      <c r="A8096" s="1" t="s">
        <v>1122</v>
      </c>
      <c r="B8096" s="0" t="s">
        <v>75</v>
      </c>
      <c r="F8096" s="8" t="n">
        <f aca="false">dps_27</f>
        <v>3.85</v>
      </c>
      <c r="G8096" s="8" t="n">
        <f aca="false">Sens!F8096*(1+dps_g)</f>
        <v>4.158</v>
      </c>
      <c r="H8096" s="8" t="n">
        <f aca="false">Sens!G8096*(1+dps_g)</f>
        <v>4.49064</v>
      </c>
      <c r="I8096" s="8" t="n">
        <f aca="false">Sens!H8096*(1+dps_g)</f>
        <v>4.8498912</v>
      </c>
      <c r="J8096" s="8" t="n">
        <f aca="false">Sens!I8096*(1+dps_g)</f>
        <v>5.237882496</v>
      </c>
      <c r="K8096" s="8" t="n">
        <f aca="false">Sens!J8096*(1+dps_g)</f>
        <v>5.65691309568</v>
      </c>
    </row>
    <row r="8097" customFormat="false" ht="17.15" hidden="false" customHeight="false" outlineLevel="0" collapsed="false">
      <c r="A8097" s="1" t="s">
        <v>1123</v>
      </c>
      <c r="B8097" s="0" t="s">
        <v>98</v>
      </c>
      <c r="E8097" s="6" t="n">
        <f aca="false">Q!M41</f>
        <v>26.445</v>
      </c>
      <c r="F8097" s="6" t="n">
        <f aca="false">Sens!F8096*Sens!E8106</f>
        <v>28.59395</v>
      </c>
      <c r="G8097" s="6" t="n">
        <f aca="false">Sens!G8096*Sens!F8106</f>
        <v>31.0552410673952</v>
      </c>
      <c r="H8097" s="6" t="n">
        <f aca="false">Sens!H8096*Sens!G8106</f>
        <v>33.7324287653807</v>
      </c>
      <c r="I8097" s="6" t="n">
        <f aca="false">Sens!I8096*Sens!H8106</f>
        <v>36.4814613436838</v>
      </c>
      <c r="J8097" s="6" t="n">
        <f aca="false">Sens!J8096*Sens!I8106</f>
        <v>39.4678761365711</v>
      </c>
      <c r="K8097" s="6" t="n">
        <f aca="false">Sens!K8096*Sens!J8106</f>
        <v>42.7120604898751</v>
      </c>
      <c r="L8097" s="1" t="s">
        <v>1124</v>
      </c>
    </row>
    <row r="8098" customFormat="false" ht="15" hidden="false" customHeight="false" outlineLevel="0" collapsed="false">
      <c r="A8098" s="1" t="s">
        <v>1125</v>
      </c>
      <c r="B8098" s="0" t="s">
        <v>98</v>
      </c>
      <c r="E8098" s="6" t="n">
        <f aca="false">Sens!E8095-Sens!E8097</f>
        <v>37.441</v>
      </c>
      <c r="F8098" s="6" t="n">
        <f aca="false">Sens!F8095-Sens!F8097</f>
        <v>-15.8232133382738</v>
      </c>
      <c r="G8098" s="6" t="n">
        <f aca="false">Sens!G8095-Sens!G8097</f>
        <v>1.23565674721019</v>
      </c>
      <c r="H8098" s="6" t="n">
        <f aca="false">Sens!H8095-Sens!H8097</f>
        <v>49.2670205435027</v>
      </c>
      <c r="I8098" s="6" t="n">
        <f aca="false">Sens!I8095-Sens!I8097</f>
        <v>120.310895515236</v>
      </c>
      <c r="J8098" s="6" t="n">
        <f aca="false">Sens!J8095-Sens!J8097</f>
        <v>192.856403916763</v>
      </c>
      <c r="K8098" s="6" t="n">
        <f aca="false">Sens!K8095-Sens!K8097</f>
        <v>227.108404931969</v>
      </c>
    </row>
    <row r="8099" customFormat="false" ht="15" hidden="false" customHeight="false" outlineLevel="0" collapsed="false">
      <c r="A8099" s="1" t="s">
        <v>1126</v>
      </c>
      <c r="B8099" s="0" t="s">
        <v>98</v>
      </c>
      <c r="F8099" s="6" t="n">
        <f aca="false">debt_mat_27</f>
        <v>9.25</v>
      </c>
      <c r="G8099" s="6" t="n">
        <f aca="false">debt_mat_28</f>
        <v>0</v>
      </c>
      <c r="H8099" s="6" t="n">
        <f aca="false">debt_mat_29</f>
        <v>2.001</v>
      </c>
      <c r="I8099" s="6" t="n">
        <f aca="false">debt_mat_30</f>
        <v>0</v>
      </c>
      <c r="J8099" s="6" t="n">
        <f aca="false">debt_mat_31</f>
        <v>0.5</v>
      </c>
      <c r="K8099" s="6" t="n">
        <f aca="false">debt_mat_32</f>
        <v>0</v>
      </c>
    </row>
    <row r="8100" customFormat="false" ht="15" hidden="false" customHeight="false" outlineLevel="0" collapsed="false">
      <c r="A8100" s="1" t="s">
        <v>1127</v>
      </c>
      <c r="B8100" s="0" t="s">
        <v>98</v>
      </c>
      <c r="E8100" s="6" t="n">
        <f aca="false">Q!M40</f>
        <v>22.271</v>
      </c>
      <c r="F8100" s="6" t="n">
        <f aca="false">MAX(0,MIN(bb_target,Sens!E8102+Sens!F8098-Sens!F8099-min_cash))</f>
        <v>1.76978666172617</v>
      </c>
      <c r="G8100" s="6" t="n">
        <f aca="false">MAX(0,MIN(bb_target,Sens!F8102+Sens!G8098-Sens!G8099-min_cash))</f>
        <v>1.23565674721019</v>
      </c>
      <c r="H8100" s="6" t="n">
        <f aca="false">MAX(0,MIN(bb_target,Sens!G8102+Sens!H8098-Sens!H8099-min_cash))</f>
        <v>22.271</v>
      </c>
      <c r="I8100" s="6" t="n">
        <f aca="false">MAX(0,MIN(bb_target,Sens!H8102+Sens!I8098-Sens!I8099-min_cash))</f>
        <v>22.271</v>
      </c>
      <c r="J8100" s="6" t="n">
        <f aca="false">MAX(0,MIN(bb_target,Sens!I8102+Sens!J8098-Sens!J8099-min_cash))</f>
        <v>22.271</v>
      </c>
      <c r="K8100" s="6" t="n">
        <f aca="false">MAX(0,MIN(bb_target,Sens!J8102+Sens!K8098-Sens!K8099-min_cash))</f>
        <v>22.271</v>
      </c>
    </row>
    <row r="8101" customFormat="false" ht="15" hidden="false" customHeight="false" outlineLevel="0" collapsed="false">
      <c r="A8101" s="1" t="s">
        <v>1128</v>
      </c>
      <c r="B8101" s="0" t="s">
        <v>98</v>
      </c>
      <c r="F8101" s="6" t="n">
        <f aca="false">MAX(0,min_cash-(Sens!E8102+Sens!F8098-Sens!F8099-Sens!F8100))</f>
        <v>0</v>
      </c>
      <c r="G8101" s="6" t="n">
        <f aca="false">MAX(0,min_cash-(Sens!F8102+Sens!G8098-Sens!G8099-Sens!G8100))</f>
        <v>0</v>
      </c>
      <c r="H8101" s="6" t="n">
        <f aca="false">MAX(0,min_cash-(Sens!G8102+Sens!H8098-Sens!H8099-Sens!H8100))</f>
        <v>0</v>
      </c>
      <c r="I8101" s="6" t="n">
        <f aca="false">MAX(0,min_cash-(Sens!H8102+Sens!I8098-Sens!I8099-Sens!I8100))</f>
        <v>0</v>
      </c>
      <c r="J8101" s="6" t="n">
        <f aca="false">MAX(0,min_cash-(Sens!I8102+Sens!J8098-Sens!J8099-Sens!J8100))</f>
        <v>0</v>
      </c>
      <c r="K8101" s="6" t="n">
        <f aca="false">MAX(0,min_cash-(Sens!J8102+Sens!K8098-Sens!K8099-Sens!K8100))</f>
        <v>0</v>
      </c>
    </row>
    <row r="8102" customFormat="false" ht="15" hidden="false" customHeight="false" outlineLevel="0" collapsed="false">
      <c r="A8102" s="1" t="s">
        <v>1129</v>
      </c>
      <c r="B8102" s="0" t="s">
        <v>98</v>
      </c>
      <c r="E8102" s="6" t="n">
        <f aca="false">cash_open</f>
        <v>76.843</v>
      </c>
      <c r="F8102" s="6" t="n">
        <f aca="false">Sens!E8102+Sens!F8098-Sens!F8099-Sens!F8100+Sens!F8101</f>
        <v>50</v>
      </c>
      <c r="G8102" s="6" t="n">
        <f aca="false">Sens!F8102+Sens!G8098-Sens!G8099-Sens!G8100+Sens!G8101</f>
        <v>50</v>
      </c>
      <c r="H8102" s="6" t="n">
        <f aca="false">Sens!G8102+Sens!H8098-Sens!H8099-Sens!H8100+Sens!H8101</f>
        <v>74.9950205435027</v>
      </c>
      <c r="I8102" s="6" t="n">
        <f aca="false">Sens!H8102+Sens!I8098-Sens!I8099-Sens!I8100+Sens!I8101</f>
        <v>173.034916058739</v>
      </c>
      <c r="J8102" s="6" t="n">
        <f aca="false">Sens!I8102+Sens!J8098-Sens!J8099-Sens!J8100+Sens!J8101</f>
        <v>343.120319975502</v>
      </c>
      <c r="K8102" s="6" t="n">
        <f aca="false">Sens!J8102+Sens!K8098-Sens!K8099-Sens!K8100+Sens!K8101</f>
        <v>547.957724907471</v>
      </c>
    </row>
    <row r="8103" customFormat="false" ht="15" hidden="false" customHeight="false" outlineLevel="0" collapsed="false">
      <c r="A8103" s="1" t="s">
        <v>1130</v>
      </c>
      <c r="B8103" s="0" t="s">
        <v>98</v>
      </c>
      <c r="E8103" s="6" t="n">
        <f aca="false">debt_face</f>
        <v>46.136</v>
      </c>
      <c r="F8103" s="6" t="n">
        <f aca="false">Sens!E8103-Sens!F8099+Sens!F8101</f>
        <v>36.886</v>
      </c>
      <c r="G8103" s="6" t="n">
        <f aca="false">Sens!F8103-Sens!G8099+Sens!G8101</f>
        <v>36.886</v>
      </c>
      <c r="H8103" s="6" t="n">
        <f aca="false">Sens!G8103-Sens!H8099+Sens!H8101</f>
        <v>34.885</v>
      </c>
      <c r="I8103" s="6" t="n">
        <f aca="false">Sens!H8103-Sens!I8099+Sens!I8101</f>
        <v>34.885</v>
      </c>
      <c r="J8103" s="6" t="n">
        <f aca="false">Sens!I8103-Sens!J8099+Sens!J8101</f>
        <v>34.385</v>
      </c>
      <c r="K8103" s="6" t="n">
        <f aca="false">Sens!J8103-Sens!K8099+Sens!K8101</f>
        <v>34.385</v>
      </c>
    </row>
    <row r="8104" customFormat="false" ht="15" hidden="false" customHeight="false" outlineLevel="0" collapsed="false">
      <c r="A8104" s="1" t="s">
        <v>1131</v>
      </c>
      <c r="B8104" s="0" t="s">
        <v>98</v>
      </c>
      <c r="E8104" s="6" t="n">
        <f aca="false">Sens!E8102-Sens!E8103</f>
        <v>30.707</v>
      </c>
      <c r="F8104" s="6" t="n">
        <f aca="false">Sens!F8102-Sens!F8103</f>
        <v>13.114</v>
      </c>
      <c r="G8104" s="6" t="n">
        <f aca="false">Sens!G8102-Sens!G8103</f>
        <v>13.114</v>
      </c>
      <c r="H8104" s="6" t="n">
        <f aca="false">Sens!H8102-Sens!H8103</f>
        <v>40.1100205435027</v>
      </c>
      <c r="I8104" s="6" t="n">
        <f aca="false">Sens!I8102-Sens!I8103</f>
        <v>138.149916058739</v>
      </c>
      <c r="J8104" s="6" t="n">
        <f aca="false">Sens!J8102-Sens!J8103</f>
        <v>308.735319975502</v>
      </c>
      <c r="K8104" s="6" t="n">
        <f aca="false">Sens!K8102-Sens!K8103</f>
        <v>513.572724907471</v>
      </c>
    </row>
    <row r="8105" customFormat="false" ht="15" hidden="false" customHeight="false" outlineLevel="0" collapsed="false">
      <c r="A8105" s="1" t="s">
        <v>1132</v>
      </c>
      <c r="B8105" s="0" t="s">
        <v>75</v>
      </c>
      <c r="F8105" s="30" t="n">
        <f aca="false">px*(1+bb_g)^(Sens!F7963-base_fy-mid_yr)</f>
        <v>551.84177959629</v>
      </c>
      <c r="G8105" s="30" t="n">
        <f aca="false">px*(1+bb_g)^(Sens!G7963-base_fy-mid_yr)</f>
        <v>595.989121963993</v>
      </c>
      <c r="H8105" s="30" t="n">
        <f aca="false">px*(1+bb_g)^(Sens!H7963-base_fy-mid_yr)</f>
        <v>643.668251721112</v>
      </c>
      <c r="I8105" s="30" t="n">
        <f aca="false">px*(1+bb_g)^(Sens!I7963-base_fy-mid_yr)</f>
        <v>695.161711858801</v>
      </c>
      <c r="J8105" s="30" t="n">
        <f aca="false">px*(1+bb_g)^(Sens!J7963-base_fy-mid_yr)</f>
        <v>750.774648807506</v>
      </c>
      <c r="K8105" s="30" t="n">
        <f aca="false">px*(1+bb_g)^(Sens!K7963-base_fy-mid_yr)</f>
        <v>810.836620712106</v>
      </c>
    </row>
    <row r="8106" customFormat="false" ht="15" hidden="false" customHeight="false" outlineLevel="0" collapsed="false">
      <c r="A8106" s="1" t="s">
        <v>1133</v>
      </c>
      <c r="B8106" s="1" t="s">
        <v>81</v>
      </c>
      <c r="E8106" s="15" t="n">
        <f aca="false">sh_out26</f>
        <v>7.427</v>
      </c>
      <c r="F8106" s="15" t="n">
        <f aca="false">Sens!E8106+sh_iss-Sens!F8100/Sens!F8105</f>
        <v>7.46879294550148</v>
      </c>
      <c r="G8106" s="15" t="n">
        <f aca="false">Sens!F8106+sh_iss-Sens!G8100/Sens!G8105</f>
        <v>7.51171965808452</v>
      </c>
      <c r="H8106" s="15" t="n">
        <f aca="false">Sens!G8106+sh_iss-Sens!H8100/Sens!H8105</f>
        <v>7.52211953614213</v>
      </c>
      <c r="I8106" s="15" t="n">
        <f aca="false">Sens!H8106+sh_iss-Sens!I8100/Sens!I8105</f>
        <v>7.53508238619546</v>
      </c>
      <c r="J8106" s="15" t="n">
        <f aca="false">Sens!I8106+sh_iss-Sens!J8100/Sens!J8105</f>
        <v>7.55041835846707</v>
      </c>
      <c r="K8106" s="15" t="n">
        <f aca="false">Sens!J8106+sh_iss-Sens!K8100/Sens!K8105</f>
        <v>7.56795166612597</v>
      </c>
    </row>
    <row r="8107" customFormat="false" ht="15" hidden="false" customHeight="false" outlineLevel="0" collapsed="false">
      <c r="A8107" s="1" t="s">
        <v>1134</v>
      </c>
      <c r="B8107" s="1" t="s">
        <v>81</v>
      </c>
      <c r="E8107" s="15" t="n">
        <f aca="false">sh_dil26</f>
        <v>7.453</v>
      </c>
      <c r="F8107" s="15" t="n">
        <f aca="false">(Sens!E8106+Sens!F8106)/2+dil_gap</f>
        <v>7.47189647275074</v>
      </c>
      <c r="G8107" s="15" t="n">
        <f aca="false">(Sens!F8106+Sens!G8106)/2+dil_gap</f>
        <v>7.514256301793</v>
      </c>
      <c r="H8107" s="15" t="n">
        <f aca="false">(Sens!G8106+Sens!H8106)/2+dil_gap</f>
        <v>7.54091959711333</v>
      </c>
      <c r="I8107" s="15" t="n">
        <f aca="false">(Sens!H8106+Sens!I8106)/2+dil_gap</f>
        <v>7.55260096116879</v>
      </c>
      <c r="J8107" s="15" t="n">
        <f aca="false">(Sens!I8106+Sens!J8106)/2+dil_gap</f>
        <v>7.56675037233127</v>
      </c>
      <c r="K8107" s="15" t="n">
        <f aca="false">(Sens!J8106+Sens!K8106)/2+dil_gap</f>
        <v>7.58318501229652</v>
      </c>
    </row>
    <row r="8108" customFormat="false" ht="17.15" hidden="false" customHeight="false" outlineLevel="0" collapsed="false">
      <c r="A8108" s="1" t="s">
        <v>1135</v>
      </c>
      <c r="B8108" s="0" t="s">
        <v>98</v>
      </c>
      <c r="C8108" s="6" t="n">
        <f aca="false">SUM(Sens!F8098:J8098)</f>
        <v>347.846763384439</v>
      </c>
    </row>
    <row r="8109" customFormat="false" ht="15" hidden="false" customHeight="false" outlineLevel="0" collapsed="false">
      <c r="A8109" s="26" t="s">
        <v>1100</v>
      </c>
      <c r="B8109" s="31" t="s">
        <v>98</v>
      </c>
      <c r="C8109" s="27" t="n">
        <f aca="false">Sens!$C$8108-(Sens!F8098+Sens!G8098+Sens!H8098+Sens!I8098+Sens!J8098)</f>
        <v>0</v>
      </c>
      <c r="D8109" s="31"/>
      <c r="E8109" s="31"/>
      <c r="F8109" s="31"/>
      <c r="G8109" s="31"/>
      <c r="H8109" s="31"/>
      <c r="I8109" s="31"/>
      <c r="J8109" s="31"/>
      <c r="K8109" s="31"/>
    </row>
    <row r="8110" customFormat="false" ht="17.15" hidden="false" customHeight="false" outlineLevel="0" collapsed="false">
      <c r="A8110" s="1" t="s">
        <v>1094</v>
      </c>
      <c r="B8110" s="1" t="s">
        <v>1136</v>
      </c>
      <c r="C8110" s="33" t="str">
        <f aca="false">IF(SUM(Sens!F8101:J8101)&gt;0.05,"需要舉債 "&amp;TEXT(SUM(Sens!F8101:J8101),"0.0")&amp;" 十億美元","不需舉債")&amp;"；"&amp;IF(SUM(Sens!F8100:J8100)&lt;COUNT(Sens!F8100:J8100)*bb_target-0.05,"回購較每年 "&amp;TEXT(bb_target,"0.0")&amp;" 的目標少 "&amp;TEXT(COUNT(Sens!F8100:J8100)*bb_target-SUM(Sens!F8100:J8100),"0.0")&amp;" 十億美元（"&amp;TEXT(COUNTIF(Sens!F8100:J8100,"&lt;"&amp;(bb_target-0.05)),"0")&amp;" 年減少）","回購不減")</f>
        <v>不需舉債；回購較每年 22.3 的目標少 41.5 十億美元（2 年減少）</v>
      </c>
    </row>
    <row r="8111" customFormat="false" ht="17.15" hidden="false" customHeight="false" outlineLevel="0" collapsed="false">
      <c r="A8111" s="3" t="s">
        <v>1814</v>
      </c>
    </row>
    <row r="8112" customFormat="false" ht="15" hidden="false" customHeight="false" outlineLevel="0" collapsed="false">
      <c r="A8112" s="4" t="s">
        <v>43</v>
      </c>
      <c r="B8112" s="4" t="s">
        <v>65</v>
      </c>
      <c r="C8112" s="23" t="s">
        <v>942</v>
      </c>
      <c r="D8112" s="23" t="s">
        <v>943</v>
      </c>
      <c r="E8112" s="23" t="s">
        <v>944</v>
      </c>
      <c r="F8112" s="23" t="s">
        <v>945</v>
      </c>
      <c r="G8112" s="23" t="s">
        <v>946</v>
      </c>
      <c r="H8112" s="23" t="s">
        <v>947</v>
      </c>
      <c r="I8112" s="23" t="s">
        <v>948</v>
      </c>
      <c r="J8112" s="23" t="s">
        <v>949</v>
      </c>
      <c r="K8112" s="23" t="s">
        <v>950</v>
      </c>
      <c r="L8112" s="4" t="s">
        <v>47</v>
      </c>
    </row>
    <row r="8113" customFormat="false" ht="17.15" hidden="false" customHeight="false" outlineLevel="0" collapsed="false">
      <c r="A8113" s="1" t="s">
        <v>1216</v>
      </c>
      <c r="B8113" s="1" t="s">
        <v>279</v>
      </c>
      <c r="F8113" s="8" t="n">
        <f aca="false">(1-v_off)*mid_yr</f>
        <v>0.373972602739726</v>
      </c>
      <c r="G8113" s="8" t="n">
        <f aca="false">Sens!G7963-base_fy-mid_yr-v_off</f>
        <v>1.24794520547945</v>
      </c>
      <c r="H8113" s="8" t="n">
        <f aca="false">Sens!H7963-base_fy-mid_yr-v_off</f>
        <v>2.24794520547945</v>
      </c>
      <c r="I8113" s="8" t="n">
        <f aca="false">Sens!I7963-base_fy-mid_yr-v_off</f>
        <v>3.24794520547945</v>
      </c>
      <c r="J8113" s="8" t="n">
        <f aca="false">Sens!J7963-base_fy-mid_yr-v_off</f>
        <v>4.24794520547945</v>
      </c>
      <c r="K8113" s="8" t="n">
        <f aca="false">Sens!K7963-base_fy-mid_yr-v_off</f>
        <v>5.24794520547945</v>
      </c>
      <c r="L8113" s="12" t="s">
        <v>1217</v>
      </c>
    </row>
    <row r="8114" customFormat="false" ht="15" hidden="false" customHeight="false" outlineLevel="0" collapsed="false">
      <c r="A8114" s="1" t="s">
        <v>1218</v>
      </c>
      <c r="B8114" s="1" t="s">
        <v>279</v>
      </c>
      <c r="F8114" s="8" t="n">
        <f aca="false">Sens!F7963-base_fy-v_off</f>
        <v>0.747945205479452</v>
      </c>
      <c r="G8114" s="8" t="n">
        <f aca="false">Sens!G7963-base_fy-v_off</f>
        <v>1.74794520547945</v>
      </c>
      <c r="H8114" s="8" t="n">
        <f aca="false">Sens!H7963-base_fy-v_off</f>
        <v>2.74794520547945</v>
      </c>
      <c r="I8114" s="8" t="n">
        <f aca="false">Sens!I7963-base_fy-v_off</f>
        <v>3.74794520547945</v>
      </c>
      <c r="J8114" s="8" t="n">
        <f aca="false">Sens!J7963-base_fy-v_off</f>
        <v>4.74794520547945</v>
      </c>
      <c r="K8114" s="8" t="n">
        <f aca="false">Sens!K7963-base_fy-v_off</f>
        <v>5.74794520547945</v>
      </c>
    </row>
    <row r="8115" customFormat="false" ht="15" hidden="false" customHeight="false" outlineLevel="0" collapsed="false">
      <c r="A8115" s="1" t="s">
        <v>1219</v>
      </c>
      <c r="B8115" s="0" t="s">
        <v>229</v>
      </c>
      <c r="F8115" s="15" t="n">
        <f aca="false">1/(1+wacc)^Sens!F8113</f>
        <v>0.964022703286649</v>
      </c>
      <c r="G8115" s="15" t="n">
        <f aca="false">1/(1+wacc)^Sens!G8113</f>
        <v>0.884910302296739</v>
      </c>
      <c r="H8115" s="15" t="n">
        <f aca="false">1/(1+wacc)^Sens!H8113</f>
        <v>0.802322009770358</v>
      </c>
      <c r="I8115" s="15" t="n">
        <f aca="false">1/(1+wacc)^Sens!I8113</f>
        <v>0.727441646561469</v>
      </c>
      <c r="J8115" s="15" t="n">
        <f aca="false">1/(1+wacc)^Sens!J8113</f>
        <v>0.659549834988973</v>
      </c>
      <c r="K8115" s="15" t="n">
        <f aca="false">1/(1+wacc)^Sens!K8113</f>
        <v>0.597994336576966</v>
      </c>
    </row>
    <row r="8116" customFormat="false" ht="17.15" hidden="false" customHeight="false" outlineLevel="0" collapsed="false">
      <c r="A8116" s="1" t="s">
        <v>1220</v>
      </c>
      <c r="B8116" s="0" t="s">
        <v>98</v>
      </c>
      <c r="F8116" s="6" t="n">
        <f aca="false">Q!$I$35-Q!$I$39-Q!$I$43</f>
        <v>9.666</v>
      </c>
      <c r="L8116" s="12" t="s">
        <v>1221</v>
      </c>
    </row>
    <row r="8117" customFormat="false" ht="17.15" hidden="false" customHeight="false" outlineLevel="0" collapsed="false">
      <c r="A8117" s="1" t="s">
        <v>1222</v>
      </c>
      <c r="B8117" s="0" t="s">
        <v>98</v>
      </c>
      <c r="F8117" s="6" t="n">
        <f aca="false">Sens!F8088-Sens!F8085-Sens!F8092+Sens!F8070*(1-tax_f)*(1-v_off)-Sens!F8116</f>
        <v>-1.12431303849117</v>
      </c>
      <c r="G8117" s="6" t="n">
        <f aca="false">Sens!G8088-Sens!G8085-Sens!G8092+Sens!G8070*(1-tax_f)</f>
        <v>39.630395918057</v>
      </c>
      <c r="H8117" s="6" t="n">
        <f aca="false">Sens!H8088-Sens!H8085-Sens!H8092+Sens!H8070*(1-tax_f)</f>
        <v>99.8223115157443</v>
      </c>
      <c r="I8117" s="6" t="n">
        <f aca="false">Sens!I8088-Sens!I8085-Sens!I8092+Sens!I8070*(1-tax_f)</f>
        <v>182.899180935091</v>
      </c>
      <c r="J8117" s="6" t="n">
        <f aca="false">Sens!J8088-Sens!J8085-Sens!J8092+Sens!J8070*(1-tax_f)</f>
        <v>264.70039880096</v>
      </c>
      <c r="K8117" s="6" t="n">
        <f aca="false">Sens!K8088-Sens!K8085-Sens!K8092+Sens!K8070*(1-tax_f)</f>
        <v>305.079812622493</v>
      </c>
      <c r="L8117" s="1" t="s">
        <v>1223</v>
      </c>
    </row>
    <row r="8118" customFormat="false" ht="15" hidden="false" customHeight="false" outlineLevel="0" collapsed="false">
      <c r="A8118" s="1" t="s">
        <v>1224</v>
      </c>
      <c r="B8118" s="0" t="s">
        <v>98</v>
      </c>
      <c r="F8118" s="6" t="n">
        <f aca="false">Sens!F8117*Sens!F8115</f>
        <v>-1.08386329470668</v>
      </c>
      <c r="G8118" s="6" t="n">
        <f aca="false">Sens!G8117*Sens!G8115</f>
        <v>35.0693456319872</v>
      </c>
      <c r="H8118" s="6" t="n">
        <f aca="false">Sens!H8117*Sens!H8115</f>
        <v>80.0896375952347</v>
      </c>
      <c r="I8118" s="6" t="n">
        <f aca="false">Sens!I8117*Sens!I8115</f>
        <v>133.048481334166</v>
      </c>
      <c r="J8118" s="6" t="n">
        <f aca="false">Sens!J8117*Sens!J8115</f>
        <v>174.583104350688</v>
      </c>
      <c r="K8118" s="6" t="n">
        <f aca="false">Sens!K8117*Sens!K8115</f>
        <v>182.436000152213</v>
      </c>
    </row>
    <row r="8119" customFormat="false" ht="17.15" hidden="false" customHeight="false" outlineLevel="0" collapsed="false">
      <c r="A8119" s="1" t="s">
        <v>1225</v>
      </c>
      <c r="B8119" s="0" t="s">
        <v>98</v>
      </c>
      <c r="C8119" s="6" t="n">
        <f aca="false">SUM(Sens!F8118:K8118)</f>
        <v>604.142705769583</v>
      </c>
    </row>
    <row r="8120" customFormat="false" ht="17.15" hidden="false" customHeight="false" outlineLevel="0" collapsed="false">
      <c r="A8120" s="1" t="s">
        <v>1226</v>
      </c>
      <c r="B8120" s="0" t="s">
        <v>98</v>
      </c>
      <c r="C8120" s="6" t="n">
        <f aca="false">Sens!K8056*(1+g_tv)*(1-tax_f)</f>
        <v>317.138816736805</v>
      </c>
    </row>
    <row r="8121" customFormat="false" ht="17.15" hidden="false" customHeight="false" outlineLevel="0" collapsed="false">
      <c r="A8121" s="1" t="s">
        <v>1227</v>
      </c>
      <c r="B8121" s="0" t="s">
        <v>98</v>
      </c>
      <c r="C8121" s="6" t="n">
        <f aca="false">Sens!$C$8120*(1-g_tv/(wacc+ronic_prem))</f>
        <v>224.711387241569</v>
      </c>
    </row>
    <row r="8122" customFormat="false" ht="17.15" hidden="false" customHeight="false" outlineLevel="0" collapsed="false">
      <c r="A8122" s="1" t="s">
        <v>1228</v>
      </c>
      <c r="B8122" s="0" t="s">
        <v>98</v>
      </c>
      <c r="C8122" s="6" t="n">
        <f aca="false">Sens!$C$8121/(wacc-g_tv)</f>
        <v>3080.91431650787</v>
      </c>
    </row>
    <row r="8123" customFormat="false" ht="15" hidden="false" customHeight="false" outlineLevel="0" collapsed="false">
      <c r="A8123" s="1" t="s">
        <v>1229</v>
      </c>
      <c r="B8123" s="0" t="s">
        <v>98</v>
      </c>
      <c r="C8123" s="6" t="n">
        <f aca="false">Sens!$C$8122/(1+wacc)^Sens!K8114</f>
        <v>1754.29012489875</v>
      </c>
    </row>
    <row r="8124" customFormat="false" ht="17.15" hidden="false" customHeight="false" outlineLevel="0" collapsed="false">
      <c r="A8124" s="0" t="s">
        <v>1230</v>
      </c>
      <c r="B8124" s="0" t="s">
        <v>98</v>
      </c>
      <c r="C8124" s="6" t="n">
        <f aca="false">Sens!$C$8119+Sens!$C$8123</f>
        <v>2358.43283066833</v>
      </c>
    </row>
    <row r="8125" customFormat="false" ht="15" hidden="false" customHeight="false" outlineLevel="0" collapsed="false">
      <c r="A8125" s="1" t="s">
        <v>1145</v>
      </c>
      <c r="B8125" s="0" t="s">
        <v>168</v>
      </c>
      <c r="C8125" s="7" t="n">
        <f aca="false">Sens!$C$8123/Sens!$C$8124</f>
        <v>0.743837221940987</v>
      </c>
    </row>
    <row r="8126" customFormat="false" ht="17.15" hidden="false" customHeight="false" outlineLevel="0" collapsed="false">
      <c r="A8126" s="1" t="s">
        <v>1231</v>
      </c>
      <c r="B8126" s="0" t="s">
        <v>98</v>
      </c>
      <c r="C8126" s="6" t="n">
        <f aca="false">Sens!$C$8124+cash_val-debt_val-fl_val+oai_v</f>
        <v>2474.28383066833</v>
      </c>
    </row>
    <row r="8127" customFormat="false" ht="17.15" hidden="false" customHeight="false" outlineLevel="0" collapsed="false">
      <c r="A8127" s="0" t="s">
        <v>1153</v>
      </c>
      <c r="B8127" s="0" t="s">
        <v>75</v>
      </c>
      <c r="C8127" s="5" t="n">
        <f aca="false">Sens!$C$8126/shd_val</f>
        <v>332.297049512266</v>
      </c>
    </row>
    <row r="8128" customFormat="false" ht="15" hidden="false" customHeight="false" outlineLevel="0" collapsed="false">
      <c r="A8128" s="1" t="s">
        <v>1232</v>
      </c>
      <c r="B8128" s="0" t="s">
        <v>75</v>
      </c>
      <c r="C8128" s="8" t="n">
        <f aca="false">div_rem27+Sens!G8096*roll_div_q/q_per_yr</f>
        <v>3.9795</v>
      </c>
    </row>
    <row r="8129" customFormat="false" ht="17.15" hidden="false" customHeight="false" outlineLevel="0" collapsed="false">
      <c r="A8129" s="0" t="s">
        <v>1233</v>
      </c>
      <c r="B8129" s="0" t="s">
        <v>75</v>
      </c>
      <c r="C8129" s="5" t="n">
        <f aca="false">Sens!$C$8127*(1+wacc)^t_roll-Sens!$C$8128</f>
        <v>365.387216278386</v>
      </c>
    </row>
    <row r="8130" customFormat="false" ht="17.15" hidden="false" customHeight="false" outlineLevel="0" collapsed="false">
      <c r="A8130" s="1" t="s">
        <v>1234</v>
      </c>
      <c r="B8130" s="0" t="s">
        <v>168</v>
      </c>
      <c r="F8130" s="7" t="n">
        <f aca="false">Sens!F8082/(Sens!F8027-Sens!F7982)</f>
        <v>0.0691329766131482</v>
      </c>
      <c r="G8130" s="7" t="n">
        <f aca="false">Sens!G8082/(Sens!G8027-Sens!G7982)</f>
        <v>0.0661235515668114</v>
      </c>
      <c r="H8130" s="7" t="n">
        <f aca="false">Sens!H8082/(Sens!H8027-Sens!H7982)</f>
        <v>0.0645241930550442</v>
      </c>
      <c r="I8130" s="7" t="n">
        <f aca="false">Sens!I8082/(Sens!I8027-Sens!I7982)</f>
        <v>0.0642052136596438</v>
      </c>
      <c r="J8130" s="7" t="n">
        <f aca="false">Sens!J8082/(Sens!J8027-Sens!J7982)</f>
        <v>0.0648629815912675</v>
      </c>
      <c r="K8130" s="7" t="n">
        <f aca="false">Sens!K8082/(Sens!K8027-Sens!K7982)</f>
        <v>0.066125380676335</v>
      </c>
    </row>
    <row r="8131" customFormat="false" ht="17.15" hidden="false" customHeight="false" outlineLevel="0" collapsed="false">
      <c r="A8131" s="0" t="s">
        <v>1235</v>
      </c>
      <c r="B8131" s="0" t="s">
        <v>98</v>
      </c>
      <c r="F8131" s="6" t="n">
        <f aca="false">Sens!F8012*(al_m365+Sens!F8130+sbc_r)</f>
        <v>82.5511269108914</v>
      </c>
      <c r="G8131" s="6" t="n">
        <f aca="false">Sens!G8012*(al_m365+Sens!G8130+sbc_r)</f>
        <v>95.3254827067308</v>
      </c>
      <c r="H8131" s="6" t="n">
        <f aca="false">Sens!H8012*(al_m365+Sens!H8130+sbc_r)</f>
        <v>108.262178339511</v>
      </c>
      <c r="I8131" s="6" t="n">
        <f aca="false">Sens!I8012*(al_m365+Sens!I8130+sbc_r)</f>
        <v>120.099726177485</v>
      </c>
      <c r="J8131" s="6" t="n">
        <f aca="false">Sens!J8012*(al_m365+Sens!J8130+sbc_r)</f>
        <v>130.650261495394</v>
      </c>
      <c r="K8131" s="6" t="n">
        <f aca="false">Sens!K8012*(al_m365+Sens!K8130+sbc_r)</f>
        <v>140.810672692025</v>
      </c>
      <c r="L8131" s="12" t="s">
        <v>1236</v>
      </c>
    </row>
    <row r="8132" customFormat="false" ht="17.15" hidden="false" customHeight="false" outlineLevel="0" collapsed="false">
      <c r="A8132" s="0" t="s">
        <v>1237</v>
      </c>
      <c r="B8132" s="0" t="s">
        <v>98</v>
      </c>
      <c r="F8132" s="6" t="n">
        <f aca="false">Sens!F8013*(al_lic+Sens!F8130+sbc_r)</f>
        <v>32.8774730243591</v>
      </c>
      <c r="G8132" s="6" t="n">
        <f aca="false">Sens!G8013*(al_lic+Sens!G8130+sbc_r)</f>
        <v>34.1492374758639</v>
      </c>
      <c r="H8132" s="6" t="n">
        <f aca="false">Sens!H8013*(al_lic+Sens!H8130+sbc_r)</f>
        <v>35.3381591093781</v>
      </c>
      <c r="I8132" s="6" t="n">
        <f aca="false">Sens!I8013*(al_lic+Sens!I8130+sbc_r)</f>
        <v>36.4260811551095</v>
      </c>
      <c r="J8132" s="6" t="n">
        <f aca="false">Sens!J8013*(al_lic+Sens!J8130+sbc_r)</f>
        <v>37.3869369311188</v>
      </c>
      <c r="K8132" s="6" t="n">
        <f aca="false">Sens!K8013*(al_lic+Sens!K8130+sbc_r)</f>
        <v>38.1911631206567</v>
      </c>
    </row>
    <row r="8133" customFormat="false" ht="17.15" hidden="false" customHeight="false" outlineLevel="0" collapsed="false">
      <c r="A8133" s="0" t="s">
        <v>1238</v>
      </c>
      <c r="B8133" s="0" t="s">
        <v>98</v>
      </c>
      <c r="F8133" s="6" t="n">
        <f aca="false">Sens!F8015*(al_ind+Sens!F8130+sbc_r)</f>
        <v>9.07187435455073</v>
      </c>
      <c r="G8133" s="6" t="n">
        <f aca="false">Sens!G8015*(al_ind+Sens!G8130+sbc_r)</f>
        <v>9.84326993702771</v>
      </c>
      <c r="H8133" s="6" t="n">
        <f aca="false">Sens!H8015*(al_ind+Sens!H8130+sbc_r)</f>
        <v>10.6605870886961</v>
      </c>
      <c r="I8133" s="6" t="n">
        <f aca="false">Sens!I8015*(al_ind+Sens!I8130+sbc_r)</f>
        <v>11.5209344681832</v>
      </c>
      <c r="J8133" s="6" t="n">
        <f aca="false">Sens!J8015*(al_ind+Sens!J8130+sbc_r)</f>
        <v>12.4143025488208</v>
      </c>
      <c r="K8133" s="6" t="n">
        <f aca="false">Sens!K8015*(al_ind+Sens!K8130+sbc_r)</f>
        <v>13.3249917701092</v>
      </c>
    </row>
    <row r="8134" customFormat="false" ht="17.15" hidden="false" customHeight="false" outlineLevel="0" collapsed="false">
      <c r="A8134" s="0" t="s">
        <v>1239</v>
      </c>
      <c r="B8134" s="0" t="s">
        <v>98</v>
      </c>
      <c r="F8134" s="6" t="n">
        <f aca="false">Sens!F8017*(al_fro+Sens!F8130+sbc_r)</f>
        <v>3.55852374719836</v>
      </c>
      <c r="G8134" s="6" t="n">
        <f aca="false">Sens!G8017*(al_fro+Sens!G8130+sbc_r)</f>
        <v>3.76632356418647</v>
      </c>
      <c r="H8134" s="6" t="n">
        <f aca="false">Sens!H8017*(al_fro+Sens!H8130+sbc_r)</f>
        <v>4.00355079625146</v>
      </c>
      <c r="I8134" s="6" t="n">
        <f aca="false">Sens!I8017*(al_fro+Sens!I8130+sbc_r)</f>
        <v>4.27297607666082</v>
      </c>
      <c r="J8134" s="6" t="n">
        <f aca="false">Sens!J8017*(al_fro+Sens!J8130+sbc_r)</f>
        <v>4.57560199119137</v>
      </c>
      <c r="K8134" s="6" t="n">
        <f aca="false">Sens!K8017*(al_fro+Sens!K8130+sbc_r)</f>
        <v>4.91125930241739</v>
      </c>
    </row>
    <row r="8135" customFormat="false" ht="17.15" hidden="false" customHeight="false" outlineLevel="0" collapsed="false">
      <c r="A8135" s="0" t="s">
        <v>1240</v>
      </c>
      <c r="B8135" s="0" t="s">
        <v>98</v>
      </c>
      <c r="F8135" s="6" t="n">
        <f aca="false">Sens!F8020*(al_srch+Sens!F8130+sbc_r)</f>
        <v>11.2032394552779</v>
      </c>
      <c r="G8135" s="6" t="n">
        <f aca="false">Sens!G8020*(al_srch+Sens!G8130+sbc_r)</f>
        <v>12.2705636694727</v>
      </c>
      <c r="H8135" s="6" t="n">
        <f aca="false">Sens!H8020*(al_srch+Sens!H8130+sbc_r)</f>
        <v>13.3839696984372</v>
      </c>
      <c r="I8135" s="6" t="n">
        <f aca="false">Sens!I8020*(al_srch+Sens!I8130+sbc_r)</f>
        <v>14.5330704433489</v>
      </c>
      <c r="J8135" s="6" t="n">
        <f aca="false">Sens!J8020*(al_srch+Sens!J8130+sbc_r)</f>
        <v>15.6975437313172</v>
      </c>
      <c r="K8135" s="6" t="n">
        <f aca="false">Sens!K8020*(al_srch+Sens!K8130+sbc_r)</f>
        <v>16.8490851747928</v>
      </c>
    </row>
    <row r="8136" customFormat="false" ht="17.15" hidden="false" customHeight="false" outlineLevel="0" collapsed="false">
      <c r="A8136" s="0" t="s">
        <v>1241</v>
      </c>
      <c r="B8136" s="0" t="s">
        <v>98</v>
      </c>
      <c r="F8136" s="6" t="n">
        <f aca="false">Sens!F7988-Sens!F7989+Sens!F8070</f>
        <v>47.5364768430963</v>
      </c>
      <c r="G8136" s="6" t="n">
        <f aca="false">Sens!G7988-Sens!G7989+Sens!G8070</f>
        <v>94.6833680663498</v>
      </c>
      <c r="H8136" s="6" t="n">
        <f aca="false">Sens!H7988-Sens!H7989+Sens!H8070</f>
        <v>149.6533762996</v>
      </c>
      <c r="I8136" s="6" t="n">
        <f aca="false">Sens!I7988-Sens!I7989+Sens!I8070</f>
        <v>193.25225778921</v>
      </c>
      <c r="J8136" s="6" t="n">
        <f aca="false">Sens!J7988-Sens!J7989+Sens!J8070</f>
        <v>223.84121391592</v>
      </c>
      <c r="K8136" s="6" t="n">
        <f aca="false">Sens!K7988-Sens!K7989+Sens!K8070</f>
        <v>242.487403655997</v>
      </c>
    </row>
    <row r="8137" customFormat="false" ht="17.15" hidden="false" customHeight="false" outlineLevel="0" collapsed="false">
      <c r="A8137" s="0" t="s">
        <v>1242</v>
      </c>
      <c r="B8137" s="0" t="s">
        <v>98</v>
      </c>
      <c r="F8137" s="6" t="n">
        <f aca="false">Sens!F8049+Sens!F8070+Sens!F8000+Sens!F8130*(Sens!F8019-Sens!F7982)+sbc_r*Sens!F8019</f>
        <v>241.22253296267</v>
      </c>
      <c r="G8137" s="6" t="n">
        <f aca="false">Sens!G8049+Sens!G8070+Sens!G8000+Sens!G8130*(Sens!G8019-Sens!G7982)+sbc_r*Sens!G8019</f>
        <v>312.157396870583</v>
      </c>
      <c r="H8137" s="6" t="n">
        <f aca="false">Sens!H8049+Sens!H8070+Sens!H8000+Sens!H8130*(Sens!H8019-Sens!H7982)+sbc_r*Sens!H8019</f>
        <v>395.616128519532</v>
      </c>
      <c r="I8137" s="6" t="n">
        <f aca="false">Sens!I8049+Sens!I8070+Sens!I8000+Sens!I8130*(Sens!I8019-Sens!I7982)+sbc_r*Sens!I8019</f>
        <v>465.989596305504</v>
      </c>
      <c r="J8137" s="6" t="n">
        <f aca="false">Sens!J8049+Sens!J8070+Sens!J8000+Sens!J8130*(Sens!J8019-Sens!J7982)+sbc_r*Sens!J8019</f>
        <v>520.756179121152</v>
      </c>
      <c r="K8137" s="6" t="n">
        <f aca="false">Sens!K8049+Sens!K8070+Sens!K8000+Sens!K8130*(Sens!K8019-Sens!K7982)+sbc_r*Sens!K8019</f>
        <v>561.138155541889</v>
      </c>
    </row>
    <row r="8138" customFormat="false" ht="17.15" hidden="false" customHeight="false" outlineLevel="0" collapsed="false">
      <c r="A8138" s="0" t="s">
        <v>1243</v>
      </c>
      <c r="B8138" s="0" t="s">
        <v>98</v>
      </c>
      <c r="F8138" s="6" t="n">
        <f aca="false">Sens!F8137-Sens!F8131-Sens!F8132-Sens!F8133-Sens!F8134-Sens!F8136</f>
        <v>65.627058082574</v>
      </c>
      <c r="G8138" s="6" t="n">
        <f aca="false">Sens!G8137-Sens!G8131-Sens!G8132-Sens!G8133-Sens!G8134-Sens!G8136</f>
        <v>74.389715120424</v>
      </c>
      <c r="H8138" s="6" t="n">
        <f aca="false">Sens!H8137-Sens!H8131-Sens!H8132-Sens!H8133-Sens!H8134-Sens!H8136</f>
        <v>87.6982768860949</v>
      </c>
      <c r="I8138" s="6" t="n">
        <f aca="false">Sens!I8137-Sens!I8131-Sens!I8132-Sens!I8133-Sens!I8134-Sens!I8136</f>
        <v>100.417620638855</v>
      </c>
      <c r="J8138" s="6" t="n">
        <f aca="false">Sens!J8137-Sens!J8131-Sens!J8132-Sens!J8133-Sens!J8134-Sens!J8136</f>
        <v>111.887862238708</v>
      </c>
      <c r="K8138" s="6" t="n">
        <f aca="false">Sens!K8137-Sens!K8131-Sens!K8132-Sens!K8133-Sens!K8134-Sens!K8136</f>
        <v>121.412665000684</v>
      </c>
    </row>
    <row r="8139" customFormat="false" ht="17.15" hidden="false" customHeight="false" outlineLevel="0" collapsed="false">
      <c r="A8139" s="0" t="s">
        <v>1244</v>
      </c>
      <c r="B8139" s="0" t="s">
        <v>98</v>
      </c>
      <c r="F8139" s="6" t="n">
        <f aca="false">Sens!F8051+Sens!F8130*Sens!F8026+sbc_r*Sens!F8026</f>
        <v>26.6666501219579</v>
      </c>
      <c r="G8139" s="6" t="n">
        <f aca="false">Sens!G8051+Sens!G8130*Sens!G8026+sbc_r*Sens!G8026</f>
        <v>26.4913187954126</v>
      </c>
      <c r="H8139" s="6" t="n">
        <f aca="false">Sens!H8051+Sens!H8130*Sens!H8026+sbc_r*Sens!H8026</f>
        <v>27.3560440201884</v>
      </c>
      <c r="I8139" s="6" t="n">
        <f aca="false">Sens!I8051+Sens!I8130*Sens!I8026+sbc_r*Sens!I8026</f>
        <v>28.4601524194391</v>
      </c>
      <c r="J8139" s="6" t="n">
        <f aca="false">Sens!J8051+Sens!J8130*Sens!J8026+sbc_r*Sens!J8026</f>
        <v>29.7672798274231</v>
      </c>
      <c r="K8139" s="6" t="n">
        <f aca="false">Sens!K8051+Sens!K8130*Sens!K8026+sbc_r*Sens!K8026</f>
        <v>31.2387629239518</v>
      </c>
    </row>
    <row r="8140" customFormat="false" ht="17.15" hidden="false" customHeight="false" outlineLevel="0" collapsed="false">
      <c r="A8140" s="0" t="s">
        <v>1245</v>
      </c>
      <c r="B8140" s="0" t="s">
        <v>98</v>
      </c>
      <c r="F8140" s="6" t="n">
        <f aca="false">(Sens!F8139-Sens!F8135)*Sens!F8022/(Sens!F8022+Sens!F8024)</f>
        <v>8.73351041124819</v>
      </c>
      <c r="G8140" s="6" t="n">
        <f aca="false">(Sens!G8139-Sens!G8135)*Sens!G8022/(Sens!G8022+Sens!G8024)</f>
        <v>7.89364185385634</v>
      </c>
      <c r="H8140" s="6" t="n">
        <f aca="false">(Sens!H8139-Sens!H8135)*Sens!H8022/(Sens!H8022+Sens!H8024)</f>
        <v>7.65457181169443</v>
      </c>
      <c r="I8140" s="6" t="n">
        <f aca="false">(Sens!I8139-Sens!I8135)*Sens!I8022/(Sens!I8022+Sens!I8024)</f>
        <v>7.56332541848569</v>
      </c>
      <c r="J8140" s="6" t="n">
        <f aca="false">(Sens!J8139-Sens!J8135)*Sens!J8022/(Sens!J8022+Sens!J8024)</f>
        <v>7.60745959667435</v>
      </c>
      <c r="K8140" s="6" t="n">
        <f aca="false">(Sens!K8139-Sens!K8135)*Sens!K8022/(Sens!K8022+Sens!K8024)</f>
        <v>7.78045098629731</v>
      </c>
    </row>
    <row r="8141" customFormat="false" ht="17.15" hidden="false" customHeight="false" outlineLevel="0" collapsed="false">
      <c r="A8141" s="0" t="s">
        <v>1246</v>
      </c>
      <c r="B8141" s="0" t="s">
        <v>98</v>
      </c>
      <c r="F8141" s="6" t="n">
        <f aca="false">Sens!F8139-Sens!F8135-Sens!F8140</f>
        <v>6.72990025543183</v>
      </c>
      <c r="G8141" s="6" t="n">
        <f aca="false">Sens!G8139-Sens!G8135-Sens!G8140</f>
        <v>6.32711327208361</v>
      </c>
      <c r="H8141" s="6" t="n">
        <f aca="false">Sens!H8139-Sens!H8135-Sens!H8140</f>
        <v>6.31750251005673</v>
      </c>
      <c r="I8141" s="6" t="n">
        <f aca="false">Sens!I8139-Sens!I8135-Sens!I8140</f>
        <v>6.36375655760453</v>
      </c>
      <c r="J8141" s="6" t="n">
        <f aca="false">Sens!J8139-Sens!J8135-Sens!J8140</f>
        <v>6.46227649943161</v>
      </c>
      <c r="K8141" s="6" t="n">
        <f aca="false">Sens!K8139-Sens!K8135-Sens!K8140</f>
        <v>6.60922676286162</v>
      </c>
    </row>
    <row r="8142" customFormat="false" ht="17.15" hidden="false" customHeight="false" outlineLevel="0" collapsed="false">
      <c r="A8142" s="0" t="s">
        <v>1247</v>
      </c>
      <c r="B8142" s="0" t="s">
        <v>98</v>
      </c>
      <c r="F8142" s="6" t="n">
        <f aca="false">Sens!F8136-tax_f*(Sens!F8136-Sens!F8000)-Sens!F7997</f>
        <v>-123.508859671972</v>
      </c>
      <c r="G8142" s="6" t="n">
        <f aca="false">Sens!G8136-tax_f*(Sens!G8136-Sens!G8000)-Sens!G7997</f>
        <v>-104.050883065509</v>
      </c>
      <c r="H8142" s="6" t="n">
        <f aca="false">Sens!H8136-tax_f*(Sens!H8136-Sens!H8000)-Sens!H7997</f>
        <v>-59.2632848925432</v>
      </c>
      <c r="I8142" s="6" t="n">
        <f aca="false">Sens!I8136-tax_f*(Sens!I8136-Sens!I8000)-Sens!I7997</f>
        <v>8.83317454866767</v>
      </c>
      <c r="J8142" s="6" t="n">
        <f aca="false">Sens!J8136-tax_f*(Sens!J8136-Sens!J8000)-Sens!J7997</f>
        <v>76.5461745467148</v>
      </c>
      <c r="K8142" s="6" t="n">
        <f aca="false">Sens!K8136-tax_f*(Sens!K8136-Sens!K8000)-Sens!K7997</f>
        <v>103.629603770252</v>
      </c>
    </row>
    <row r="8143" customFormat="false" ht="17.15" hidden="false" customHeight="false" outlineLevel="0" collapsed="false">
      <c r="A8143" s="0" t="s">
        <v>1248</v>
      </c>
      <c r="B8143" s="0" t="s">
        <v>98</v>
      </c>
      <c r="G8143" s="6" t="n">
        <f aca="false">Sens!G8142/(1+wacc)^(Sens!G8113-Sens!F8114)</f>
        <v>-99.0764638693946</v>
      </c>
      <c r="H8143" s="6" t="n">
        <f aca="false">Sens!H8142/(1+wacc)^(Sens!H8113-Sens!F8114)</f>
        <v>-51.1634595333424</v>
      </c>
      <c r="I8143" s="6" t="n">
        <f aca="false">Sens!I8142/(1+wacc)^(Sens!I8113-Sens!F8114)</f>
        <v>6.91417630937437</v>
      </c>
      <c r="J8143" s="6" t="n">
        <f aca="false">Sens!J8142/(1+wacc)^(Sens!J8113-Sens!F8114)</f>
        <v>54.3246057984945</v>
      </c>
      <c r="K8143" s="6" t="n">
        <f aca="false">Sens!K8142/(1+wacc)^(Sens!K8113-Sens!F8114)</f>
        <v>66.6816572294281</v>
      </c>
      <c r="L8143" s="1" t="s">
        <v>1249</v>
      </c>
    </row>
    <row r="8144" customFormat="false" ht="17.15" hidden="false" customHeight="false" outlineLevel="0" collapsed="false">
      <c r="A8144" s="0" t="s">
        <v>1250</v>
      </c>
      <c r="B8144" s="0" t="s">
        <v>98</v>
      </c>
      <c r="C8144" s="6" t="n">
        <f aca="false">(Sens!K8136-Sens!K8000)*(1-tax_f)*(1+g_tv)*(1-g_tv/(wacc+ronic_prem))/(wacc-g_tv)/(1+wacc)^(Sens!K8114-Sens!F8114)</f>
        <v>487.885029311309</v>
      </c>
    </row>
    <row r="8145" customFormat="false" ht="17.15" hidden="false" customHeight="false" outlineLevel="0" collapsed="false">
      <c r="A8145" s="1" t="s">
        <v>1251</v>
      </c>
      <c r="B8145" s="0" t="s">
        <v>98</v>
      </c>
      <c r="C8145" s="6" t="n">
        <f aca="false">(SUM(Sens!G8143:K8143)+Sens!$C$8144)*(1+wacc)^(t_roll-Sens!F8114)</f>
        <v>480.935271869149</v>
      </c>
      <c r="L8145" s="12" t="s">
        <v>1252</v>
      </c>
    </row>
    <row r="8146" customFormat="false" ht="17.15" hidden="false" customHeight="false" outlineLevel="0" collapsed="false">
      <c r="A8146" s="1" t="s">
        <v>1253</v>
      </c>
      <c r="B8146" s="0" t="s">
        <v>98</v>
      </c>
      <c r="C8146" s="6" t="n">
        <f aca="false">(w_ntm28*Sens!G7988+(1-w_ntm28)*Sens!H7988)*m_ai</f>
        <v>563.316843258668</v>
      </c>
    </row>
    <row r="8147" customFormat="false" ht="17.15" hidden="false" customHeight="false" outlineLevel="0" collapsed="false">
      <c r="A8147" s="1" t="s">
        <v>1254</v>
      </c>
      <c r="B8147" s="0" t="s">
        <v>98</v>
      </c>
      <c r="C8147" s="6" t="n">
        <f aca="false">(w_ntm28*Sens!G8138+(1-w_ntm28)*Sens!H8138)*m_cloud</f>
        <v>1088.53413373738</v>
      </c>
    </row>
    <row r="8148" customFormat="false" ht="17.15" hidden="false" customHeight="false" outlineLevel="0" collapsed="false">
      <c r="A8148" s="1" t="s">
        <v>1255</v>
      </c>
      <c r="B8148" s="0" t="s">
        <v>98</v>
      </c>
      <c r="C8148" s="6" t="n">
        <f aca="false">(w_ntm28*Sens!G8131+(1-w_ntm28)*Sens!H8131)*m_sw</f>
        <v>1075.4493434795</v>
      </c>
    </row>
    <row r="8149" customFormat="false" ht="17.15" hidden="false" customHeight="false" outlineLevel="0" collapsed="false">
      <c r="A8149" s="1" t="s">
        <v>1256</v>
      </c>
      <c r="B8149" s="0" t="s">
        <v>98</v>
      </c>
      <c r="C8149" s="6" t="n">
        <f aca="false">(w_ntm28*Sens!G8132+(1-w_ntm28)*Sens!H8132)*m_sw</f>
        <v>373.033250868191</v>
      </c>
    </row>
    <row r="8150" customFormat="false" ht="17.15" hidden="false" customHeight="false" outlineLevel="0" collapsed="false">
      <c r="A8150" s="1" t="s">
        <v>1257</v>
      </c>
      <c r="B8150" s="0" t="s">
        <v>98</v>
      </c>
      <c r="C8150" s="6" t="n">
        <f aca="false">(w_ntm28*Sens!G8133+(1-w_ntm28)*Sens!H8133)*m_sw</f>
        <v>109.20935101459</v>
      </c>
    </row>
    <row r="8151" customFormat="false" ht="17.15" hidden="false" customHeight="false" outlineLevel="0" collapsed="false">
      <c r="A8151" s="1" t="s">
        <v>1258</v>
      </c>
      <c r="B8151" s="0" t="s">
        <v>98</v>
      </c>
      <c r="C8151" s="6" t="n">
        <f aca="false">(w_ntm28*Sens!G8134+(1-w_ntm28)*Sens!H8134)*m_sw</f>
        <v>41.5186136514502</v>
      </c>
    </row>
    <row r="8152" customFormat="false" ht="17.15" hidden="false" customHeight="false" outlineLevel="0" collapsed="false">
      <c r="A8152" s="1" t="s">
        <v>1259</v>
      </c>
      <c r="B8152" s="0" t="s">
        <v>98</v>
      </c>
      <c r="C8152" s="6" t="n">
        <f aca="false">(w_ntm28*Sens!G8135+(1-w_ntm28)*Sens!H8135)*m_ads</f>
        <v>115.119562346332</v>
      </c>
    </row>
    <row r="8153" customFormat="false" ht="17.15" hidden="false" customHeight="false" outlineLevel="0" collapsed="false">
      <c r="A8153" s="1" t="s">
        <v>1260</v>
      </c>
      <c r="B8153" s="0" t="s">
        <v>98</v>
      </c>
      <c r="C8153" s="6" t="n">
        <f aca="false">(w_ntm28*Sens!G8140+(1-w_ntm28)*Sens!H8140)*m_game</f>
        <v>98.7039992007793</v>
      </c>
    </row>
    <row r="8154" customFormat="false" ht="17.15" hidden="false" customHeight="false" outlineLevel="0" collapsed="false">
      <c r="A8154" s="1" t="s">
        <v>1261</v>
      </c>
      <c r="B8154" s="0" t="s">
        <v>98</v>
      </c>
      <c r="C8154" s="6" t="n">
        <f aca="false">(w_ntm28*Sens!G8141+(1-w_ntm28)*Sens!H8141)*m_pc</f>
        <v>91.5076081506568</v>
      </c>
    </row>
    <row r="8155" customFormat="false" ht="17.15" hidden="false" customHeight="false" outlineLevel="0" collapsed="false">
      <c r="A8155" s="1" t="s">
        <v>1262</v>
      </c>
      <c r="B8155" s="0" t="s">
        <v>98</v>
      </c>
      <c r="C8155" s="6" t="n">
        <f aca="false">Sens!$C$8145+Sens!$C$8147+Sens!$C$8148+Sens!$C$8149+Sens!$C$8150+Sens!$C$8151+Sens!$C$8152+Sens!$C$8153+Sens!$C$8154</f>
        <v>3474.01113431802</v>
      </c>
    </row>
    <row r="8156" customFormat="false" ht="17.15" hidden="false" customHeight="false" outlineLevel="0" collapsed="false">
      <c r="A8156" s="1" t="s">
        <v>1263</v>
      </c>
      <c r="B8156" s="0" t="s">
        <v>98</v>
      </c>
      <c r="C8156" s="6" t="n">
        <f aca="false">(Sens!G8117-Sens!G8142)*t_stub</f>
        <v>47.6313281014012</v>
      </c>
      <c r="L8156" s="1" t="s">
        <v>1264</v>
      </c>
    </row>
    <row r="8157" customFormat="false" ht="17.15" hidden="false" customHeight="false" outlineLevel="0" collapsed="false">
      <c r="A8157" s="1" t="s">
        <v>1173</v>
      </c>
      <c r="B8157" s="0" t="s">
        <v>98</v>
      </c>
      <c r="C8157" s="6" t="n">
        <f aca="false">Sens!F8104+oai_v-Sens!F8093+Sens!$C$8156</f>
        <v>161.859598101401</v>
      </c>
      <c r="L8157" s="1" t="s">
        <v>1265</v>
      </c>
    </row>
    <row r="8158" customFormat="false" ht="17.15" hidden="false" customHeight="false" outlineLevel="0" collapsed="false">
      <c r="A8158" s="1" t="s">
        <v>1266</v>
      </c>
      <c r="B8158" s="0" t="s">
        <v>75</v>
      </c>
      <c r="C8158" s="5" t="n">
        <f aca="false">(Sens!$C$8155+Sens!$C$8157)/(Sens!F8106+dil_gap)-Sens!G8096*roll_div_q/q_per_yr</f>
        <v>484.209559845212</v>
      </c>
      <c r="L8158" s="1" t="s">
        <v>1267</v>
      </c>
    </row>
    <row r="8159" customFormat="false" ht="17.15" hidden="false" customHeight="false" outlineLevel="0" collapsed="false">
      <c r="A8159" s="1" t="s">
        <v>1268</v>
      </c>
      <c r="B8159" s="0" t="s">
        <v>75</v>
      </c>
      <c r="C8159" s="5" t="n">
        <f aca="false">w_dcf*Sens!$C$8129+(1-w_dcf)*Sens!$C$8158</f>
        <v>424.798388061799</v>
      </c>
    </row>
    <row r="8160" customFormat="false" ht="17.15" hidden="false" customHeight="false" outlineLevel="0" collapsed="false">
      <c r="A8160" s="3" t="s">
        <v>1815</v>
      </c>
    </row>
    <row r="8161" customFormat="false" ht="15" hidden="false" customHeight="false" outlineLevel="0" collapsed="false">
      <c r="A8161" s="4" t="s">
        <v>43</v>
      </c>
      <c r="B8161" s="4" t="s">
        <v>65</v>
      </c>
      <c r="C8161" s="23" t="s">
        <v>942</v>
      </c>
      <c r="D8161" s="23" t="s">
        <v>943</v>
      </c>
      <c r="E8161" s="23" t="s">
        <v>944</v>
      </c>
      <c r="F8161" s="23" t="s">
        <v>945</v>
      </c>
      <c r="G8161" s="23" t="s">
        <v>946</v>
      </c>
      <c r="H8161" s="23" t="s">
        <v>947</v>
      </c>
      <c r="I8161" s="23" t="s">
        <v>948</v>
      </c>
      <c r="J8161" s="23" t="s">
        <v>949</v>
      </c>
      <c r="K8161" s="23" t="s">
        <v>950</v>
      </c>
      <c r="L8161" s="4" t="s">
        <v>47</v>
      </c>
    </row>
    <row r="8162" customFormat="false" ht="17.15" hidden="false" customHeight="false" outlineLevel="0" collapsed="false">
      <c r="A8162" s="1" t="s">
        <v>951</v>
      </c>
      <c r="B8162" s="1" t="s">
        <v>279</v>
      </c>
      <c r="C8162" s="21" t="n">
        <v>2024</v>
      </c>
      <c r="D8162" s="21" t="n">
        <v>2025</v>
      </c>
      <c r="E8162" s="21" t="n">
        <v>2026</v>
      </c>
      <c r="F8162" s="21" t="n">
        <v>2027</v>
      </c>
      <c r="G8162" s="21" t="n">
        <v>2028</v>
      </c>
      <c r="H8162" s="21" t="n">
        <v>2029</v>
      </c>
      <c r="I8162" s="21" t="n">
        <v>2030</v>
      </c>
      <c r="J8162" s="21" t="n">
        <v>2031</v>
      </c>
      <c r="K8162" s="21" t="n">
        <v>2032</v>
      </c>
    </row>
    <row r="8163" customFormat="false" ht="17.15" hidden="false" customHeight="false" outlineLevel="0" collapsed="false">
      <c r="A8163" s="1" t="s">
        <v>952</v>
      </c>
      <c r="B8163" s="0" t="s">
        <v>459</v>
      </c>
      <c r="F8163" s="30" t="n">
        <f aca="false">pace</f>
        <v>2726.5351</v>
      </c>
      <c r="G8163" s="30" t="n">
        <f aca="false">pace</f>
        <v>2726.5351</v>
      </c>
      <c r="H8163" s="30" t="n">
        <f aca="false">pace</f>
        <v>2726.5351</v>
      </c>
      <c r="I8163" s="30" t="n">
        <f aca="false">pace+(g_tv*Sens!H8164-pace)*MIN(1,(Sens!I8162-pace_y0)/(pace_y1-pace_y0))</f>
        <v>1931.98611966667</v>
      </c>
      <c r="J8163" s="30" t="n">
        <f aca="false">pace+(g_tv*Sens!I8164-pace)*MIN(1,(Sens!J8162-pace_y0)/(pace_y1-pace_y0))</f>
        <v>1176.07686172667</v>
      </c>
      <c r="K8163" s="30" t="n">
        <f aca="false">pace+(g_tv*Sens!J8164-pace)*MIN(1,(Sens!K8162-pace_y0)/(pace_y1-pace_y0))</f>
        <v>436.1300484418</v>
      </c>
      <c r="L8163" s="12" t="s">
        <v>953</v>
      </c>
    </row>
    <row r="8164" customFormat="false" ht="17.15" hidden="false" customHeight="false" outlineLevel="0" collapsed="false">
      <c r="A8164" s="1" t="s">
        <v>954</v>
      </c>
      <c r="B8164" s="0" t="s">
        <v>459</v>
      </c>
      <c r="C8164" s="30" t="n">
        <f aca="false">mw_ext_24</f>
        <v>640</v>
      </c>
      <c r="D8164" s="30" t="n">
        <f aca="false">mw_ext_25</f>
        <v>1630</v>
      </c>
      <c r="E8164" s="30" t="n">
        <f aca="false">mw_ext_26</f>
        <v>3250</v>
      </c>
      <c r="F8164" s="30" t="n">
        <f aca="false">Sens!E8164+Sens!F8163</f>
        <v>5976.5351</v>
      </c>
      <c r="G8164" s="30" t="n">
        <f aca="false">Sens!F8164+Sens!G8163</f>
        <v>8703.0702</v>
      </c>
      <c r="H8164" s="30" t="n">
        <f aca="false">Sens!G8164+Sens!H8163</f>
        <v>11429.6053</v>
      </c>
      <c r="I8164" s="30" t="n">
        <f aca="false">Sens!H8164+Sens!I8163</f>
        <v>13361.5914196667</v>
      </c>
      <c r="J8164" s="30" t="n">
        <f aca="false">Sens!I8164+Sens!J8163</f>
        <v>14537.6682813933</v>
      </c>
      <c r="K8164" s="30" t="n">
        <f aca="false">Sens!J8164+Sens!K8163</f>
        <v>14973.7983298351</v>
      </c>
      <c r="L8164" s="1" t="s">
        <v>955</v>
      </c>
    </row>
    <row r="8165" customFormat="false" ht="17.15" hidden="false" customHeight="false" outlineLevel="0" collapsed="false">
      <c r="A8165" s="1" t="s">
        <v>956</v>
      </c>
      <c r="B8165" s="0" t="s">
        <v>459</v>
      </c>
      <c r="C8165" s="30" t="n">
        <f aca="false">rent_ext_24</f>
        <v>150</v>
      </c>
      <c r="D8165" s="30" t="n">
        <f aca="false">rent_ext_25</f>
        <v>400</v>
      </c>
      <c r="E8165" s="30" t="n">
        <f aca="false">rent_ext_26</f>
        <v>550</v>
      </c>
      <c r="F8165" s="30" t="n">
        <f aca="false">rent_ext_f</f>
        <v>756</v>
      </c>
      <c r="G8165" s="30" t="n">
        <f aca="false">rent_ext_f</f>
        <v>756</v>
      </c>
      <c r="H8165" s="30" t="n">
        <f aca="false">rent_ext_f</f>
        <v>756</v>
      </c>
      <c r="I8165" s="30" t="n">
        <f aca="false">rent_ext_f</f>
        <v>756</v>
      </c>
      <c r="J8165" s="30" t="n">
        <f aca="false">rent_ext_f</f>
        <v>756</v>
      </c>
      <c r="K8165" s="30" t="n">
        <f aca="false">rent_ext_f</f>
        <v>756</v>
      </c>
      <c r="L8165" s="1" t="s">
        <v>957</v>
      </c>
    </row>
    <row r="8166" customFormat="false" ht="17.15" hidden="false" customHeight="false" outlineLevel="0" collapsed="false">
      <c r="A8166" s="1" t="s">
        <v>958</v>
      </c>
      <c r="B8166" s="0" t="s">
        <v>459</v>
      </c>
      <c r="C8166" s="30" t="n">
        <f aca="false">Sens!C8164-Sens!C8165</f>
        <v>490</v>
      </c>
      <c r="D8166" s="30" t="n">
        <f aca="false">Sens!D8164-Sens!D8165</f>
        <v>1230</v>
      </c>
      <c r="E8166" s="30" t="n">
        <f aca="false">Sens!E8164-Sens!E8165</f>
        <v>2700</v>
      </c>
      <c r="F8166" s="30" t="n">
        <f aca="false">Sens!F8164-Sens!F8165</f>
        <v>5220.5351</v>
      </c>
      <c r="G8166" s="30" t="n">
        <f aca="false">Sens!G8164-Sens!G8165</f>
        <v>7947.0702</v>
      </c>
      <c r="H8166" s="30" t="n">
        <f aca="false">Sens!H8164-Sens!H8165</f>
        <v>10673.6053</v>
      </c>
      <c r="I8166" s="30" t="n">
        <f aca="false">Sens!I8164-Sens!I8165</f>
        <v>12605.5914196667</v>
      </c>
      <c r="J8166" s="30" t="n">
        <f aca="false">Sens!J8164-Sens!J8165</f>
        <v>13781.6682813933</v>
      </c>
      <c r="K8166" s="30" t="n">
        <f aca="false">Sens!K8164-Sens!K8165</f>
        <v>14217.7983298351</v>
      </c>
    </row>
    <row r="8167" customFormat="false" ht="17.15" hidden="false" customHeight="false" outlineLevel="0" collapsed="false">
      <c r="A8167" s="1" t="s">
        <v>959</v>
      </c>
      <c r="B8167" s="0" t="s">
        <v>459</v>
      </c>
      <c r="C8167" s="30" t="n">
        <f aca="false">Sens!C8166/ext_sh</f>
        <v>816.666666666667</v>
      </c>
      <c r="D8167" s="30" t="n">
        <f aca="false">Sens!D8166/ext_sh</f>
        <v>2050</v>
      </c>
      <c r="E8167" s="30" t="n">
        <f aca="false">Sens!E8166/ext_sh</f>
        <v>4500</v>
      </c>
      <c r="F8167" s="30" t="n">
        <f aca="false">Sens!F8166/ext_sh</f>
        <v>8700.89183333333</v>
      </c>
      <c r="G8167" s="30" t="n">
        <f aca="false">Sens!G8166/ext_sh</f>
        <v>13245.117</v>
      </c>
      <c r="H8167" s="30" t="n">
        <f aca="false">Sens!H8166/ext_sh</f>
        <v>17789.3421666667</v>
      </c>
      <c r="I8167" s="30" t="n">
        <f aca="false">Sens!I8166/ext_sh</f>
        <v>21009.3190327778</v>
      </c>
      <c r="J8167" s="30" t="n">
        <f aca="false">Sens!J8166/ext_sh</f>
        <v>22969.4471356556</v>
      </c>
      <c r="K8167" s="30" t="n">
        <f aca="false">Sens!K8166/ext_sh</f>
        <v>23696.3305497252</v>
      </c>
      <c r="L8167" s="1" t="s">
        <v>960</v>
      </c>
    </row>
    <row r="8168" customFormat="false" ht="17.15" hidden="false" customHeight="false" outlineLevel="0" collapsed="false">
      <c r="A8168" s="1" t="s">
        <v>961</v>
      </c>
      <c r="B8168" s="0" t="s">
        <v>459</v>
      </c>
      <c r="C8168" s="30" t="n">
        <f aca="false">Sens!C8167-Sens!C8166</f>
        <v>326.666666666667</v>
      </c>
      <c r="D8168" s="30" t="n">
        <f aca="false">Sens!D8167-Sens!D8166</f>
        <v>820</v>
      </c>
      <c r="E8168" s="30" t="n">
        <f aca="false">Sens!E8167-Sens!E8166</f>
        <v>1800</v>
      </c>
      <c r="F8168" s="30" t="n">
        <f aca="false">Sens!F8167-Sens!F8166</f>
        <v>3480.35673333333</v>
      </c>
      <c r="G8168" s="30" t="n">
        <f aca="false">Sens!G8167-Sens!G8166</f>
        <v>5298.0468</v>
      </c>
      <c r="H8168" s="30" t="n">
        <f aca="false">Sens!H8167-Sens!H8166</f>
        <v>7115.73686666667</v>
      </c>
      <c r="I8168" s="30" t="n">
        <f aca="false">Sens!I8167-Sens!I8166</f>
        <v>8403.72761311111</v>
      </c>
      <c r="J8168" s="30" t="n">
        <f aca="false">Sens!J8167-Sens!J8166</f>
        <v>9187.77885426222</v>
      </c>
      <c r="K8168" s="30" t="n">
        <f aca="false">Sens!K8167-Sens!K8166</f>
        <v>9478.53221989009</v>
      </c>
    </row>
    <row r="8169" customFormat="false" ht="17.15" hidden="false" customHeight="false" outlineLevel="0" collapsed="false">
      <c r="A8169" s="1" t="s">
        <v>962</v>
      </c>
      <c r="B8169" s="0" t="s">
        <v>459</v>
      </c>
      <c r="C8169" s="30" t="n">
        <f aca="false">Sens!C8167</f>
        <v>816.666666666667</v>
      </c>
      <c r="D8169" s="30" t="n">
        <f aca="false">Sens!D8167-Sens!C8167</f>
        <v>1233.33333333333</v>
      </c>
      <c r="E8169" s="30" t="n">
        <f aca="false">Sens!E8167-Sens!D8167</f>
        <v>2450</v>
      </c>
      <c r="F8169" s="30" t="n">
        <f aca="false">Sens!F8167-Sens!E8167</f>
        <v>4200.89183333333</v>
      </c>
      <c r="G8169" s="30" t="n">
        <f aca="false">Sens!G8167-Sens!F8167</f>
        <v>4544.22516666667</v>
      </c>
      <c r="H8169" s="30" t="n">
        <f aca="false">Sens!H8167-Sens!G8167</f>
        <v>4544.22516666667</v>
      </c>
      <c r="I8169" s="30" t="n">
        <f aca="false">Sens!I8167-Sens!H8167</f>
        <v>3219.97686611111</v>
      </c>
      <c r="J8169" s="30" t="n">
        <f aca="false">Sens!J8167-Sens!I8167</f>
        <v>1960.12810287778</v>
      </c>
      <c r="K8169" s="30" t="n">
        <f aca="false">Sens!K8167-Sens!J8167</f>
        <v>726.883414069667</v>
      </c>
    </row>
    <row r="8170" customFormat="false" ht="17.15" hidden="false" customHeight="false" outlineLevel="0" collapsed="false">
      <c r="A8170" s="1" t="s">
        <v>963</v>
      </c>
      <c r="B8170" s="0" t="s">
        <v>459</v>
      </c>
      <c r="D8170" s="30" t="n">
        <f aca="false">Sens!D8164-Sens!C8164</f>
        <v>990</v>
      </c>
      <c r="E8170" s="30" t="n">
        <f aca="false">Sens!E8164-Sens!D8164</f>
        <v>1620</v>
      </c>
      <c r="F8170" s="30" t="n">
        <f aca="false">Sens!F8164-Sens!E8164</f>
        <v>2726.5351</v>
      </c>
      <c r="G8170" s="30" t="n">
        <f aca="false">Sens!G8164-Sens!F8164</f>
        <v>2726.5351</v>
      </c>
      <c r="H8170" s="30" t="n">
        <f aca="false">Sens!H8164-Sens!G8164</f>
        <v>2726.5351</v>
      </c>
      <c r="I8170" s="30" t="n">
        <f aca="false">Sens!I8164-Sens!H8164</f>
        <v>1931.98611966667</v>
      </c>
      <c r="J8170" s="30" t="n">
        <f aca="false">Sens!J8164-Sens!I8164</f>
        <v>1176.07686172667</v>
      </c>
      <c r="K8170" s="30" t="n">
        <f aca="false">Sens!K8164-Sens!J8164</f>
        <v>436.130048441799</v>
      </c>
    </row>
    <row r="8171" customFormat="false" ht="17.15" hidden="false" customHeight="false" outlineLevel="0" collapsed="false">
      <c r="A8171" s="1" t="s">
        <v>964</v>
      </c>
      <c r="B8171" s="0" t="s">
        <v>459</v>
      </c>
      <c r="F8171" s="30" t="n">
        <f aca="false">Sens!F8190*ext_sh</f>
        <v>0</v>
      </c>
      <c r="G8171" s="30" t="n">
        <f aca="false">Sens!G8190*ext_sh</f>
        <v>0</v>
      </c>
      <c r="H8171" s="30" t="n">
        <f aca="false">Sens!H8190*ext_sh</f>
        <v>0</v>
      </c>
      <c r="I8171" s="30" t="n">
        <f aca="false">Sens!I8190*ext_sh</f>
        <v>490</v>
      </c>
      <c r="J8171" s="30" t="n">
        <f aca="false">Sens!J8190*ext_sh</f>
        <v>740</v>
      </c>
      <c r="K8171" s="30" t="n">
        <f aca="false">Sens!K8190*ext_sh</f>
        <v>1470</v>
      </c>
      <c r="L8171" s="1" t="s">
        <v>965</v>
      </c>
    </row>
    <row r="8172" customFormat="false" ht="17.15" hidden="false" customHeight="false" outlineLevel="0" collapsed="false">
      <c r="A8172" s="1" t="s">
        <v>966</v>
      </c>
      <c r="B8172" s="0" t="s">
        <v>459</v>
      </c>
      <c r="C8172" s="30" t="n">
        <f aca="false">mix_h*Sens!C8164</f>
        <v>128</v>
      </c>
      <c r="D8172" s="30" t="n">
        <f aca="false">mix_h*Sens!D8164</f>
        <v>326</v>
      </c>
      <c r="E8172" s="30" t="n">
        <f aca="false">mix_h*Sens!E8164</f>
        <v>650</v>
      </c>
      <c r="F8172" s="30" t="n">
        <f aca="false">Sens!E8172-Sens!F8171*mix_h</f>
        <v>650</v>
      </c>
      <c r="G8172" s="30" t="n">
        <f aca="false">Sens!F8172-Sens!G8171*mix_h</f>
        <v>650</v>
      </c>
      <c r="H8172" s="30" t="n">
        <f aca="false">Sens!G8172-Sens!H8171*mix_h</f>
        <v>650</v>
      </c>
      <c r="I8172" s="30" t="n">
        <f aca="false">Sens!H8172-Sens!I8171*mix_h</f>
        <v>552</v>
      </c>
      <c r="J8172" s="30" t="n">
        <f aca="false">Sens!I8172-Sens!J8171*mix_h</f>
        <v>404</v>
      </c>
      <c r="K8172" s="30" t="n">
        <f aca="false">Sens!J8172-Sens!K8171*mix_h</f>
        <v>110</v>
      </c>
    </row>
    <row r="8173" customFormat="false" ht="17.15" hidden="false" customHeight="false" outlineLevel="0" collapsed="false">
      <c r="A8173" s="1" t="s">
        <v>967</v>
      </c>
      <c r="B8173" s="0" t="s">
        <v>459</v>
      </c>
      <c r="C8173" s="30" t="n">
        <f aca="false">mix_g2*Sens!C8164</f>
        <v>288</v>
      </c>
      <c r="D8173" s="30" t="n">
        <f aca="false">mix_g2*Sens!D8164</f>
        <v>733.5</v>
      </c>
      <c r="E8173" s="30" t="n">
        <f aca="false">mix_g2*Sens!E8164</f>
        <v>1462.5</v>
      </c>
      <c r="F8173" s="30" t="n">
        <f aca="false">Sens!E8173-Sens!F8171*mix_g2</f>
        <v>1462.5</v>
      </c>
      <c r="G8173" s="30" t="n">
        <f aca="false">Sens!F8173-Sens!G8171*mix_g2</f>
        <v>1462.5</v>
      </c>
      <c r="H8173" s="30" t="n">
        <f aca="false">Sens!G8173-Sens!H8171*mix_g2</f>
        <v>1462.5</v>
      </c>
      <c r="I8173" s="30" t="n">
        <f aca="false">Sens!H8173-Sens!I8171*mix_g2</f>
        <v>1242</v>
      </c>
      <c r="J8173" s="30" t="n">
        <f aca="false">Sens!I8173-Sens!J8171*mix_g2</f>
        <v>909</v>
      </c>
      <c r="K8173" s="30" t="n">
        <f aca="false">Sens!J8173-Sens!K8171*mix_g2</f>
        <v>247.5</v>
      </c>
    </row>
    <row r="8174" customFormat="false" ht="17.15" hidden="false" customHeight="false" outlineLevel="0" collapsed="false">
      <c r="A8174" s="1" t="s">
        <v>968</v>
      </c>
      <c r="B8174" s="0" t="s">
        <v>459</v>
      </c>
      <c r="C8174" s="30" t="n">
        <f aca="false">mix_g3*Sens!C8164</f>
        <v>224</v>
      </c>
      <c r="D8174" s="30" t="n">
        <f aca="false">mix_g3*Sens!D8164</f>
        <v>570.5</v>
      </c>
      <c r="E8174" s="30" t="n">
        <f aca="false">mix_g3*Sens!E8164</f>
        <v>1137.5</v>
      </c>
      <c r="F8174" s="30" t="n">
        <f aca="false">Sens!E8174+(Sens!F8170+Sens!F8171)*(a_g3_27-nonnv*a_mai)-Sens!F8171*mix_g3</f>
        <v>2773.42106</v>
      </c>
      <c r="G8174" s="30" t="n">
        <f aca="false">Sens!F8174+(Sens!G8170+Sens!G8171)*(a_g3_28-nonnv*a_mai)-Sens!G8171*mix_g3</f>
        <v>3318.72808</v>
      </c>
      <c r="H8174" s="30" t="n">
        <f aca="false">Sens!G8174+(Sens!H8170+Sens!H8171)*(a_g3_29-nonnv*a_mai)-Sens!H8171*mix_g3</f>
        <v>3318.72808</v>
      </c>
      <c r="I8174" s="30" t="n">
        <f aca="false">Sens!H8174+(Sens!I8170+Sens!I8171)*(a_g3_29-nonnv*a_mai)-Sens!I8171*mix_g3</f>
        <v>3147.22808</v>
      </c>
      <c r="J8174" s="30" t="n">
        <f aca="false">Sens!I8174+(Sens!J8170+Sens!J8171)*(a_g3_29-nonnv*a_mai)-Sens!J8171*mix_g3</f>
        <v>2888.22808</v>
      </c>
      <c r="K8174" s="30" t="n">
        <f aca="false">Sens!J8174+(Sens!K8170+Sens!K8171)*(a_g3_29-nonnv*a_mai)-Sens!K8171*mix_g3</f>
        <v>2373.72808</v>
      </c>
    </row>
    <row r="8175" customFormat="false" ht="17.15" hidden="false" customHeight="false" outlineLevel="0" collapsed="false">
      <c r="A8175" s="1" t="s">
        <v>969</v>
      </c>
      <c r="B8175" s="0" t="s">
        <v>459</v>
      </c>
      <c r="C8175" s="30" t="n">
        <v>0</v>
      </c>
      <c r="D8175" s="30" t="n">
        <v>0</v>
      </c>
      <c r="E8175" s="30" t="n">
        <v>0</v>
      </c>
      <c r="F8175" s="30" t="n">
        <f aca="false">Sens!E8175+(Sens!F8170+Sens!F8171)*nonnv*a_mai</f>
        <v>272.65351</v>
      </c>
      <c r="G8175" s="30" t="n">
        <f aca="false">Sens!F8175+(Sens!G8170+Sens!G8171)*nonnv*a_mai</f>
        <v>545.30702</v>
      </c>
      <c r="H8175" s="30" t="n">
        <f aca="false">Sens!G8175+(Sens!H8170+Sens!H8171)*nonnv*a_mai</f>
        <v>817.96053</v>
      </c>
      <c r="I8175" s="30" t="n">
        <f aca="false">Sens!H8175+(Sens!I8170+Sens!I8171)*nonnv*a_mai</f>
        <v>1060.15914196667</v>
      </c>
      <c r="J8175" s="30" t="n">
        <f aca="false">Sens!I8175+(Sens!J8170+Sens!J8171)*nonnv*a_mai</f>
        <v>1251.76682813933</v>
      </c>
      <c r="K8175" s="30" t="n">
        <f aca="false">Sens!J8175+(Sens!K8170+Sens!K8171)*nonnv*a_mai</f>
        <v>1442.37983298351</v>
      </c>
      <c r="L8175" s="12" t="s">
        <v>970</v>
      </c>
    </row>
    <row r="8176" customFormat="false" ht="17.15" hidden="false" customHeight="false" outlineLevel="0" collapsed="false">
      <c r="A8176" s="1" t="s">
        <v>971</v>
      </c>
      <c r="B8176" s="0" t="s">
        <v>459</v>
      </c>
      <c r="C8176" s="30" t="n">
        <v>0</v>
      </c>
      <c r="D8176" s="30" t="n">
        <v>0</v>
      </c>
      <c r="E8176" s="30" t="n">
        <v>0</v>
      </c>
      <c r="F8176" s="30" t="n">
        <f aca="false">Sens!E8176+(Sens!F8170+Sens!F8171)*(1-a_g3_27)</f>
        <v>817.96053</v>
      </c>
      <c r="G8176" s="30" t="n">
        <f aca="false">Sens!F8176+(Sens!G8170+Sens!G8171)*(1-a_g3_28)</f>
        <v>2726.5351</v>
      </c>
      <c r="H8176" s="30" t="n">
        <f aca="false">Sens!G8176+(Sens!H8170+Sens!H8171)*(1-a_g3_29)</f>
        <v>5180.41669</v>
      </c>
      <c r="I8176" s="30" t="n">
        <f aca="false">Sens!H8176+(Sens!I8170+Sens!I8171)*(1-a_g3_29)</f>
        <v>7360.2041977</v>
      </c>
      <c r="J8176" s="30" t="n">
        <f aca="false">Sens!I8176+(Sens!J8170+Sens!J8171)*(1-a_g3_29)</f>
        <v>9084.673373254</v>
      </c>
      <c r="K8176" s="30" t="n">
        <f aca="false">Sens!J8176+(Sens!K8170+Sens!K8171)*(1-a_g3_29)</f>
        <v>10800.1904168516</v>
      </c>
    </row>
    <row r="8177" customFormat="false" ht="17.15" hidden="false" customHeight="false" outlineLevel="0" collapsed="false">
      <c r="A8177" s="1" t="s">
        <v>972</v>
      </c>
      <c r="B8177" s="0" t="s">
        <v>403</v>
      </c>
      <c r="C8177" s="15" t="n">
        <f aca="false">(Sens!C8172*tk_hold_h100+Sens!C8173*tk_hold_gb200+Sens!C8174*tk_hold_gb300+Sens!C8176*tk_hold_vr200+Sens!C8175*nv_hold_mai*tk_hold_vr200)/Sens!C8164</f>
        <v>9.7235358126469</v>
      </c>
      <c r="D8177" s="15" t="n">
        <f aca="false">(Sens!D8172*tk_hold_h100+Sens!D8173*tk_hold_gb200+Sens!D8174*tk_hold_gb300+Sens!D8176*tk_hold_vr200+Sens!D8175*nv_hold_mai*tk_hold_vr200)/Sens!D8164</f>
        <v>9.7235358126469</v>
      </c>
      <c r="E8177" s="15" t="n">
        <f aca="false">(Sens!E8172*tk_hold_h100+Sens!E8173*tk_hold_gb200+Sens!E8174*tk_hold_gb300+Sens!E8176*tk_hold_vr200+Sens!E8175*nv_hold_mai*tk_hold_vr200)/Sens!E8164</f>
        <v>9.7235358126469</v>
      </c>
      <c r="F8177" s="15" t="n">
        <f aca="false">(Sens!F8172*tk_hold_h100+Sens!F8173*tk_hold_gb200+Sens!F8174*tk_hold_gb300+Sens!F8176*tk_hold_vr200+Sens!F8175*nv_hold_mai*tk_hold_vr200)/Sens!F8164</f>
        <v>10.2195353876665</v>
      </c>
      <c r="G8177" s="15" t="n">
        <f aca="false">(Sens!G8172*tk_hold_h100+Sens!G8173*tk_hold_gb200+Sens!G8174*tk_hold_gb300+Sens!G8176*tk_hold_vr200+Sens!G8175*nv_hold_mai*tk_hold_vr200)/Sens!G8164</f>
        <v>10.5725598017306</v>
      </c>
      <c r="H8177" s="15" t="n">
        <f aca="false">(Sens!H8172*tk_hold_h100+Sens!H8173*tk_hold_gb200+Sens!H8174*tk_hold_gb300+Sens!H8176*tk_hold_vr200+Sens!H8175*nv_hold_mai*tk_hold_vr200)/Sens!H8164</f>
        <v>10.8210427149036</v>
      </c>
      <c r="I8177" s="15" t="n">
        <f aca="false">(Sens!I8172*tk_hold_h100+Sens!I8173*tk_hold_gb200+Sens!I8174*tk_hold_gb300+Sens!I8176*tk_hold_vr200+Sens!I8175*nv_hold_mai*tk_hold_vr200)/Sens!I8164</f>
        <v>11.0050618241982</v>
      </c>
      <c r="J8177" s="15" t="n">
        <f aca="false">(Sens!J8172*tk_hold_h100+Sens!J8173*tk_hold_gb200+Sens!J8174*tk_hold_gb300+Sens!J8176*tk_hold_vr200+Sens!J8175*nv_hold_mai*tk_hold_vr200)/Sens!J8164</f>
        <v>11.1505789658881</v>
      </c>
      <c r="K8177" s="15" t="n">
        <f aca="false">(Sens!K8172*tk_hold_h100+Sens!K8173*tk_hold_gb200+Sens!K8174*tk_hold_gb300+Sens!K8176*tk_hold_vr200+Sens!K8175*nv_hold_mai*tk_hold_vr200)/Sens!K8164</f>
        <v>11.3496914757183</v>
      </c>
      <c r="L8177" s="1" t="s">
        <v>973</v>
      </c>
    </row>
    <row r="8178" customFormat="false" ht="17.15" hidden="false" customHeight="false" outlineLevel="0" collapsed="false">
      <c r="A8178" s="1" t="s">
        <v>974</v>
      </c>
      <c r="B8178" s="0" t="s">
        <v>403</v>
      </c>
      <c r="C8178" s="15" t="n">
        <f aca="false">(Sens!C8172*tk_hold_h100+Sens!C8173*tk_hold_gb200+Sens!C8174*tk_hold_gb300+Sens!C8176*tk_hold_vr200+Sens!C8175*nv_out_mai*tk_hold_vr200)/Sens!C8164</f>
        <v>9.7235358126469</v>
      </c>
      <c r="D8178" s="15" t="n">
        <f aca="false">(Sens!D8172*tk_hold_h100+Sens!D8173*tk_hold_gb200+Sens!D8174*tk_hold_gb300+Sens!D8176*tk_hold_vr200+Sens!D8175*nv_out_mai*tk_hold_vr200)/Sens!D8164</f>
        <v>9.7235358126469</v>
      </c>
      <c r="E8178" s="15" t="n">
        <f aca="false">(Sens!E8172*tk_hold_h100+Sens!E8173*tk_hold_gb200+Sens!E8174*tk_hold_gb300+Sens!E8176*tk_hold_vr200+Sens!E8175*nv_out_mai*tk_hold_vr200)/Sens!E8164</f>
        <v>9.7235358126469</v>
      </c>
      <c r="F8178" s="15" t="n">
        <f aca="false">(Sens!F8172*tk_hold_h100+Sens!F8173*tk_hold_gb200+Sens!F8174*tk_hold_gb300+Sens!F8176*tk_hold_vr200+Sens!F8175*nv_out_mai*tk_hold_vr200)/Sens!F8164</f>
        <v>10.247422093969</v>
      </c>
      <c r="G8178" s="15" t="n">
        <f aca="false">(Sens!G8172*tk_hold_h100+Sens!G8173*tk_hold_gb200+Sens!G8174*tk_hold_gb300+Sens!G8176*tk_hold_vr200+Sens!G8175*nv_out_mai*tk_hold_vr200)/Sens!G8164</f>
        <v>10.6108602808053</v>
      </c>
      <c r="H8178" s="15" t="n">
        <f aca="false">(Sens!H8172*tk_hold_h100+Sens!H8173*tk_hold_gb200+Sens!H8174*tk_hold_gb300+Sens!H8176*tk_hold_vr200+Sens!H8175*nv_out_mai*tk_hold_vr200)/Sens!H8164</f>
        <v>10.8647885507393</v>
      </c>
      <c r="I8178" s="15" t="n">
        <f aca="false">(Sens!I8172*tk_hold_h100+Sens!I8173*tk_hold_gb200+Sens!I8174*tk_hold_gb300+Sens!I8176*tk_hold_vr200+Sens!I8175*nv_out_mai*tk_hold_vr200)/Sens!I8164</f>
        <v>11.0535625770025</v>
      </c>
      <c r="J8178" s="15" t="n">
        <f aca="false">(Sens!J8172*tk_hold_h100+Sens!J8173*tk_hold_gb200+Sens!J8174*tk_hold_gb300+Sens!J8176*tk_hold_vr200+Sens!J8175*nv_out_mai*tk_hold_vr200)/Sens!J8164</f>
        <v>11.2032127128058</v>
      </c>
      <c r="K8178" s="15" t="n">
        <f aca="false">(Sens!K8172*tk_hold_h100+Sens!K8173*tk_hold_gb200+Sens!K8174*tk_hold_gb300+Sens!K8176*tk_hold_vr200+Sens!K8175*nv_out_mai*tk_hold_vr200)/Sens!K8164</f>
        <v>11.4085735724225</v>
      </c>
      <c r="L8178" s="12" t="s">
        <v>975</v>
      </c>
    </row>
    <row r="8179" customFormat="false" ht="17.15" hidden="false" customHeight="false" outlineLevel="0" collapsed="false">
      <c r="A8179" s="0" t="s">
        <v>976</v>
      </c>
      <c r="B8179" s="0" t="s">
        <v>229</v>
      </c>
      <c r="C8179" s="15" t="n">
        <f aca="false">k_B</f>
        <v>1.17213932619116</v>
      </c>
      <c r="D8179" s="15" t="n">
        <f aca="false">k_B</f>
        <v>1.17213932619116</v>
      </c>
      <c r="E8179" s="15" t="n">
        <f aca="false">k_B</f>
        <v>1.17213932619116</v>
      </c>
      <c r="F8179" s="15" t="n">
        <f aca="false">(k_B+((ls_B*k_long+(1-ls_B)*k_spot)-k_B)*MIN(1,(Sens!F8162-base_fy)/k_ramp))</f>
        <v>1.17213932619116</v>
      </c>
      <c r="G8179" s="15" t="n">
        <f aca="false">(k_B+((ls_B*k_long+(1-ls_B)*k_spot)-k_B)*MIN(1,(Sens!G8162-base_fy)/k_ramp))</f>
        <v>1.17213932619116</v>
      </c>
      <c r="H8179" s="15" t="n">
        <f aca="false">(k_B+((ls_B*k_long+(1-ls_B)*k_spot)-k_B)*MIN(1,(Sens!H8162-base_fy)/k_ramp))</f>
        <v>1.17213932619116</v>
      </c>
      <c r="I8179" s="15" t="n">
        <f aca="false">(k_B+((ls_B*k_long+(1-ls_B)*k_spot)-k_B)*MIN(1,(Sens!I8162-base_fy)/k_ramp))</f>
        <v>1.17213932619116</v>
      </c>
      <c r="J8179" s="15" t="n">
        <f aca="false">(k_B+((ls_B*k_long+(1-ls_B)*k_spot)-k_B)*MIN(1,(Sens!J8162-base_fy)/k_ramp))</f>
        <v>1.17213932619116</v>
      </c>
      <c r="K8179" s="15" t="n">
        <f aca="false">(k_B+((ls_B*k_long+(1-ls_B)*k_spot)-k_B)*MIN(1,(Sens!K8162-base_fy)/k_ramp))</f>
        <v>1.17213932619116</v>
      </c>
      <c r="L8179" s="1" t="s">
        <v>977</v>
      </c>
    </row>
    <row r="8180" customFormat="false" ht="17.15" hidden="false" customHeight="false" outlineLevel="0" collapsed="false">
      <c r="A8180" s="1" t="s">
        <v>978</v>
      </c>
      <c r="B8180" s="0" t="s">
        <v>403</v>
      </c>
      <c r="C8180" s="15" t="n">
        <f aca="false">Sens!C8178*Sens!C8179*chip_f</f>
        <v>11.3973387156315</v>
      </c>
      <c r="D8180" s="15" t="n">
        <f aca="false">Sens!D8178*Sens!D8179*chip_f</f>
        <v>11.3973387156315</v>
      </c>
      <c r="E8180" s="15" t="n">
        <f aca="false">Sens!E8178*Sens!E8179*chip_f</f>
        <v>11.3973387156315</v>
      </c>
      <c r="F8180" s="15" t="n">
        <f aca="false">Sens!F8178*Sens!F8179*chip_f</f>
        <v>12.0114064284211</v>
      </c>
      <c r="G8180" s="15" t="n">
        <f aca="false">Sens!G8178*Sens!G8179*chip_f</f>
        <v>12.4374066198516</v>
      </c>
      <c r="H8180" s="15" t="n">
        <f aca="false">Sens!H8178*Sens!H8179*chip_f</f>
        <v>12.735045931073</v>
      </c>
      <c r="I8180" s="15" t="n">
        <f aca="false">Sens!I8178*Sens!I8179*chip_f</f>
        <v>12.9563153910195</v>
      </c>
      <c r="J8180" s="15" t="n">
        <f aca="false">Sens!J8178*Sens!J8179*chip_f</f>
        <v>13.1317262003643</v>
      </c>
      <c r="K8180" s="15" t="n">
        <f aca="false">Sens!K8178*Sens!K8179*chip_f</f>
        <v>13.3724377399815</v>
      </c>
      <c r="L8180" s="1" t="s">
        <v>979</v>
      </c>
    </row>
    <row r="8181" customFormat="false" ht="17.15" hidden="false" customHeight="false" outlineLevel="0" collapsed="false">
      <c r="A8181" s="0" t="s">
        <v>980</v>
      </c>
      <c r="B8181" s="0" t="s">
        <v>98</v>
      </c>
      <c r="D8181" s="6" t="n">
        <f aca="false">(Sens!C8164+Sens!D8164)/2*Sens!D8180/1000</f>
        <v>12.9359794422418</v>
      </c>
      <c r="E8181" s="6" t="n">
        <f aca="false">(Sens!D8164+Sens!E8164)/2*Sens!E8180/1000</f>
        <v>27.8095064661409</v>
      </c>
      <c r="F8181" s="6" t="n">
        <f aca="false">(Sens!E8164+Sens!F8164)/2*Sens!F8180/1000</f>
        <v>55.4118315060966</v>
      </c>
      <c r="G8181" s="6" t="n">
        <f aca="false">(Sens!F8164+Sens!G8164)/2*Sens!G8180/1000</f>
        <v>91.2881100675143</v>
      </c>
      <c r="H8181" s="6" t="n">
        <f aca="false">(Sens!G8164+Sens!H8164)/2*Sens!H8180/1000</f>
        <v>128.195273603944</v>
      </c>
      <c r="I8181" s="6" t="n">
        <f aca="false">(Sens!H8164+Sens!I8164)/2*Sens!I8180/1000</f>
        <v>160.601281810405</v>
      </c>
      <c r="J8181" s="6" t="n">
        <f aca="false">(Sens!I8164+Sens!J8164)/2*Sens!J8180/1000</f>
        <v>183.182719793589</v>
      </c>
      <c r="K8181" s="6" t="n">
        <f aca="false">(Sens!J8164+Sens!K8164)/2*Sens!K8180/1000</f>
        <v>197.320124937098</v>
      </c>
      <c r="L8181" s="12" t="s">
        <v>981</v>
      </c>
    </row>
    <row r="8182" customFormat="false" ht="17.15" hidden="false" customHeight="false" outlineLevel="0" collapsed="false">
      <c r="A8182" s="1" t="s">
        <v>982</v>
      </c>
      <c r="B8182" s="0" t="s">
        <v>403</v>
      </c>
      <c r="C8182" s="15" t="n">
        <f aca="false">(Sens!C8172*tk_opex_h100+Sens!C8173*tk_opex_gb200+Sens!C8174*tk_opex_gb300+(Sens!C8176+Sens!C8175)*tk_opex_vr200)/Sens!C8164</f>
        <v>1.88636041306092</v>
      </c>
      <c r="D8182" s="15" t="n">
        <f aca="false">(Sens!D8172*tk_opex_h100+Sens!D8173*tk_opex_gb200+Sens!D8174*tk_opex_gb300+(Sens!D8176+Sens!D8175)*tk_opex_vr200)/Sens!D8164</f>
        <v>1.88636041306092</v>
      </c>
      <c r="E8182" s="15" t="n">
        <f aca="false">(Sens!E8172*tk_opex_h100+Sens!E8173*tk_opex_gb200+Sens!E8174*tk_opex_gb300+(Sens!E8176+Sens!E8175)*tk_opex_vr200)/Sens!E8164</f>
        <v>1.88636041306092</v>
      </c>
      <c r="F8182" s="15" t="n">
        <f aca="false">(Sens!F8172*tk_opex_h100+Sens!F8173*tk_opex_gb200+Sens!F8174*tk_opex_gb300+(Sens!F8176+Sens!F8175)*tk_opex_vr200)/Sens!F8164</f>
        <v>1.95051159746876</v>
      </c>
      <c r="G8182" s="15" t="n">
        <f aca="false">(Sens!G8172*tk_opex_h100+Sens!G8173*tk_opex_gb200+Sens!G8174*tk_opex_gb300+(Sens!G8176+Sens!G8175)*tk_opex_vr200)/Sens!G8164</f>
        <v>1.98836003669956</v>
      </c>
      <c r="H8182" s="15" t="n">
        <f aca="false">(Sens!H8172*tk_opex_h100+Sens!H8173*tk_opex_gb200+Sens!H8174*tk_opex_gb300+(Sens!H8176+Sens!H8175)*tk_opex_vr200)/Sens!H8164</f>
        <v>2.01344013834343</v>
      </c>
      <c r="I8182" s="15" t="n">
        <f aca="false">(Sens!I8172*tk_opex_h100+Sens!I8173*tk_opex_gb200+Sens!I8174*tk_opex_gb300+(Sens!I8176+Sens!I8175)*tk_opex_vr200)/Sens!I8164</f>
        <v>2.03261166882178</v>
      </c>
      <c r="J8182" s="15" t="n">
        <f aca="false">(Sens!J8172*tk_opex_h100+Sens!J8173*tk_opex_gb200+Sens!J8174*tk_opex_gb300+(Sens!J8176+Sens!J8175)*tk_opex_vr200)/Sens!J8164</f>
        <v>2.04808073288745</v>
      </c>
      <c r="K8182" s="15" t="n">
        <f aca="false">(Sens!K8172*tk_opex_h100+Sens!K8173*tk_opex_gb200+Sens!K8174*tk_opex_gb300+(Sens!K8176+Sens!K8175)*tk_opex_vr200)/Sens!K8164</f>
        <v>2.06973825807449</v>
      </c>
      <c r="L8182" s="12" t="s">
        <v>983</v>
      </c>
    </row>
    <row r="8183" customFormat="false" ht="17.15" hidden="false" customHeight="false" outlineLevel="0" collapsed="false">
      <c r="A8183" s="0" t="s">
        <v>984</v>
      </c>
      <c r="B8183" s="0" t="s">
        <v>98</v>
      </c>
      <c r="D8183" s="6" t="n">
        <f aca="false">(Sens!C8167+Sens!D8167)/2*Sens!D8182/1000</f>
        <v>2.70378325872065</v>
      </c>
      <c r="E8183" s="6" t="n">
        <f aca="false">(Sens!D8167+Sens!E8167)/2*Sens!E8182/1000</f>
        <v>6.17783035277451</v>
      </c>
      <c r="F8183" s="6" t="n">
        <f aca="false">(Sens!E8167+Sens!F8167)/2*Sens!F8182/1000</f>
        <v>12.8742463089237</v>
      </c>
      <c r="G8183" s="6" t="n">
        <f aca="false">(Sens!F8167+Sens!G8167)/2*Sens!G8182/1000</f>
        <v>21.8182834646277</v>
      </c>
      <c r="H8183" s="6" t="n">
        <f aca="false">(Sens!G8167+Sens!H8167)/2*Sens!H8182/1000</f>
        <v>31.2430128789734</v>
      </c>
      <c r="I8183" s="6" t="n">
        <f aca="false">(Sens!H8167+Sens!I8167)/2*Sens!I8182/1000</f>
        <v>39.4313057443268</v>
      </c>
      <c r="J8183" s="6" t="n">
        <f aca="false">(Sens!I8167+Sens!J8167)/2*Sens!J8182/1000</f>
        <v>45.0360318228653</v>
      </c>
      <c r="K8183" s="6" t="n">
        <f aca="false">(Sens!J8167+Sens!K8167)/2*Sens!K8182/1000</f>
        <v>48.2929727091156</v>
      </c>
    </row>
    <row r="8184" customFormat="false" ht="17.15" hidden="false" customHeight="false" outlineLevel="0" collapsed="false">
      <c r="A8184" s="0" t="s">
        <v>985</v>
      </c>
      <c r="B8184" s="0" t="s">
        <v>98</v>
      </c>
      <c r="D8184" s="6" t="n">
        <f aca="false">(Sens!C8165+Sens!D8165)/2*rent_mw/1000</f>
        <v>2.44475</v>
      </c>
      <c r="E8184" s="6" t="n">
        <f aca="false">(Sens!D8165+Sens!E8165)/2*rent_mw/1000</f>
        <v>4.22275</v>
      </c>
      <c r="F8184" s="6" t="n">
        <f aca="false">(Sens!E8165+Sens!F8165)/2*rent_mw/1000</f>
        <v>5.80517</v>
      </c>
      <c r="G8184" s="6" t="n">
        <f aca="false">(Sens!F8165+Sens!G8165)/2*rent_mw/1000</f>
        <v>6.72084</v>
      </c>
      <c r="H8184" s="6" t="n">
        <f aca="false">(Sens!G8165+Sens!H8165)/2*rent_mw/1000</f>
        <v>6.72084</v>
      </c>
      <c r="I8184" s="6" t="n">
        <f aca="false">(Sens!H8165+Sens!I8165)/2*rent_mw/1000</f>
        <v>6.72084</v>
      </c>
      <c r="J8184" s="6" t="n">
        <f aca="false">(Sens!I8165+Sens!J8165)/2*rent_mw/1000</f>
        <v>6.72084</v>
      </c>
      <c r="K8184" s="6" t="n">
        <f aca="false">(Sens!J8165+Sens!K8165)/2*rent_mw/1000</f>
        <v>6.72084</v>
      </c>
    </row>
    <row r="8185" customFormat="false" ht="17.15" hidden="false" customHeight="false" outlineLevel="0" collapsed="false">
      <c r="A8185" s="0" t="s">
        <v>986</v>
      </c>
      <c r="B8185" s="0" t="s">
        <v>98</v>
      </c>
      <c r="D8185" s="6" t="n">
        <f aca="false">(Sens!C8167+Sens!D8167)/2*(1-self_build)*fac_rent/1000</f>
        <v>0.853242375631075</v>
      </c>
      <c r="E8185" s="6" t="n">
        <f aca="false">(Sens!D8167+Sens!E8167)/2*(1-self_build)*fac_rent/1000</f>
        <v>1.94955961408728</v>
      </c>
      <c r="F8185" s="6" t="n">
        <f aca="false">(Sens!E8167+Sens!F8167)/2*(1-self_build)*fac_rent/1000</f>
        <v>3.92914894476356</v>
      </c>
      <c r="G8185" s="6" t="n">
        <f aca="false">(Sens!F8167+Sens!G8167)/2*(1-self_build)*fac_rent/1000</f>
        <v>6.53206908578159</v>
      </c>
      <c r="H8185" s="6" t="n">
        <f aca="false">(Sens!G8167+Sens!H8167)/2*(1-self_build)*fac_rent/1000</f>
        <v>9.23717988341591</v>
      </c>
      <c r="I8185" s="6" t="n">
        <f aca="false">(Sens!H8167+Sens!I8167)/2*(1-self_build)*fac_rent/1000</f>
        <v>11.5481378557393</v>
      </c>
      <c r="J8185" s="6" t="n">
        <f aca="false">(Sens!I8167+Sens!J8167)/2*(1-self_build)*fac_rent/1000</f>
        <v>13.0899582289108</v>
      </c>
      <c r="K8185" s="6" t="n">
        <f aca="false">(Sens!J8167+Sens!K8167)/2*(1-self_build)*fac_rent/1000</f>
        <v>13.8897275626556</v>
      </c>
      <c r="L8185" s="12" t="s">
        <v>987</v>
      </c>
    </row>
    <row r="8186" customFormat="false" ht="17.15" hidden="false" customHeight="false" outlineLevel="0" collapsed="false">
      <c r="A8186" s="1" t="s">
        <v>988</v>
      </c>
      <c r="B8186" s="0" t="s">
        <v>168</v>
      </c>
      <c r="D8186" s="7" t="n">
        <f aca="false">(Sens!C8166+Sens!D8166)/(Sens!C8167+Sens!D8167)</f>
        <v>0.6</v>
      </c>
      <c r="E8186" s="7" t="n">
        <f aca="false">(Sens!D8166+Sens!E8166)/(Sens!D8167+Sens!E8167)</f>
        <v>0.6</v>
      </c>
      <c r="F8186" s="7" t="n">
        <f aca="false">(Sens!E8166+Sens!F8166)/(Sens!E8167+Sens!F8167)</f>
        <v>0.6</v>
      </c>
      <c r="G8186" s="7" t="n">
        <f aca="false">(Sens!F8166+Sens!G8166)/(Sens!F8167+Sens!G8167)</f>
        <v>0.6</v>
      </c>
      <c r="H8186" s="7" t="n">
        <f aca="false">(Sens!G8166+Sens!H8166)/(Sens!G8167+Sens!H8167)</f>
        <v>0.6</v>
      </c>
      <c r="I8186" s="7" t="n">
        <f aca="false">(Sens!H8166+Sens!I8166)/(Sens!H8167+Sens!I8167)</f>
        <v>0.6</v>
      </c>
      <c r="J8186" s="7" t="n">
        <f aca="false">(Sens!I8166+Sens!J8166)/(Sens!I8167+Sens!J8167)</f>
        <v>0.6</v>
      </c>
      <c r="K8186" s="7" t="n">
        <f aca="false">(Sens!J8166+Sens!K8166)/(Sens!J8167+Sens!K8167)</f>
        <v>0.6</v>
      </c>
    </row>
    <row r="8187" customFormat="false" ht="17.15" hidden="false" customHeight="false" outlineLevel="0" collapsed="false">
      <c r="A8187" s="0" t="s">
        <v>989</v>
      </c>
      <c r="B8187" s="0" t="s">
        <v>98</v>
      </c>
      <c r="D8187" s="6" t="n">
        <f aca="false">Sens!D8181-Sens!D8186*(Sens!D8183+Sens!D8185)-Sens!D8184</f>
        <v>8.35701406163072</v>
      </c>
      <c r="E8187" s="6" t="n">
        <f aca="false">Sens!E8181-Sens!E8186*(Sens!E8183+Sens!E8185)-Sens!E8184</f>
        <v>18.7103224860238</v>
      </c>
      <c r="F8187" s="6" t="n">
        <f aca="false">Sens!F8181-Sens!F8186*(Sens!F8183+Sens!F8185)-Sens!F8184</f>
        <v>39.5246243538843</v>
      </c>
      <c r="G8187" s="6" t="n">
        <f aca="false">Sens!G8181-Sens!G8186*(Sens!G8183+Sens!G8185)-Sens!G8184</f>
        <v>67.5570585372687</v>
      </c>
      <c r="H8187" s="6" t="n">
        <f aca="false">Sens!H8181-Sens!H8186*(Sens!H8183+Sens!H8185)-Sens!H8184</f>
        <v>97.1863179465102</v>
      </c>
      <c r="I8187" s="6" t="n">
        <f aca="false">Sens!I8181-Sens!I8186*(Sens!I8183+Sens!I8185)-Sens!I8184</f>
        <v>123.292775650365</v>
      </c>
      <c r="J8187" s="6" t="n">
        <f aca="false">Sens!J8181-Sens!J8186*(Sens!J8183+Sens!J8185)-Sens!J8184</f>
        <v>141.586285762524</v>
      </c>
      <c r="K8187" s="6" t="n">
        <f aca="false">Sens!K8181-Sens!K8186*(Sens!K8183+Sens!K8185)-Sens!K8184</f>
        <v>153.289664774035</v>
      </c>
    </row>
    <row r="8188" customFormat="false" ht="17.15" hidden="false" customHeight="false" outlineLevel="0" collapsed="false">
      <c r="A8188" s="1" t="s">
        <v>990</v>
      </c>
      <c r="B8188" s="0" t="s">
        <v>98</v>
      </c>
      <c r="D8188" s="6" t="n">
        <f aca="false">(1-Sens!D8186)*(Sens!D8183+Sens!D8185)</f>
        <v>1.42281025374069</v>
      </c>
      <c r="E8188" s="6" t="n">
        <f aca="false">(1-Sens!E8186)*(Sens!E8183+Sens!E8185)</f>
        <v>3.25095598674472</v>
      </c>
      <c r="F8188" s="6" t="n">
        <f aca="false">(1-Sens!F8186)*(Sens!F8183+Sens!F8185)</f>
        <v>6.72135810147489</v>
      </c>
      <c r="G8188" s="6" t="n">
        <f aca="false">(1-Sens!G8186)*(Sens!G8183+Sens!G8185)</f>
        <v>11.3401410201637</v>
      </c>
      <c r="H8188" s="6" t="n">
        <f aca="false">(1-Sens!H8186)*(Sens!H8183+Sens!H8185)</f>
        <v>16.1920771049557</v>
      </c>
      <c r="I8188" s="6" t="n">
        <f aca="false">(1-Sens!I8186)*(Sens!I8183+Sens!I8185)</f>
        <v>20.3917774400264</v>
      </c>
      <c r="J8188" s="6" t="n">
        <f aca="false">(1-Sens!J8186)*(Sens!J8183+Sens!J8185)</f>
        <v>23.2503960207104</v>
      </c>
      <c r="K8188" s="6" t="n">
        <f aca="false">(1-Sens!K8186)*(Sens!K8183+Sens!K8185)</f>
        <v>24.8730801087085</v>
      </c>
    </row>
    <row r="8189" customFormat="false" ht="17.15" hidden="false" customHeight="false" outlineLevel="0" collapsed="false">
      <c r="A8189" s="1" t="s">
        <v>991</v>
      </c>
      <c r="B8189" s="0" t="s">
        <v>417</v>
      </c>
      <c r="C8189" s="8" t="n">
        <f aca="false">cxit_open</f>
        <v>27.5918995</v>
      </c>
      <c r="D8189" s="8" t="n">
        <f aca="false">cxit_open</f>
        <v>27.5918995</v>
      </c>
      <c r="E8189" s="8" t="n">
        <f aca="false">cxit_open</f>
        <v>27.5918995</v>
      </c>
      <c r="F8189" s="8" t="n">
        <f aca="false">((a_g3_27-nonnv*a_mai)*tk_cxit_gb300+nonnv*a_mai*nv_hold_mai*tk_cxit_vr200+(1-a_g3_27)*tk_cxit_vr200)</f>
        <v>32.4975576</v>
      </c>
      <c r="G8189" s="8" t="n">
        <f aca="false">((a_g3_28-nonnv*a_mai)*tk_cxit_gb300+nonnv*a_mai*nv_hold_mai*tk_cxit_vr200+(1-a_g3_28)*tk_cxit_vr200)</f>
        <v>34.6372088</v>
      </c>
      <c r="H8189" s="8" t="n">
        <f aca="false">((a_g3_29-nonnv*a_mai)*tk_cxit_gb300+nonnv*a_mai*nv_hold_mai*tk_cxit_vr200+(1-a_g3_29)*tk_cxit_vr200)</f>
        <v>35.7070344</v>
      </c>
      <c r="I8189" s="8" t="n">
        <f aca="false">((a_g3_29-nonnv*a_mai)*tk_cxit_gb300+nonnv*a_mai*nv_hold_mai*tk_cxit_vr200+(1-a_g3_29)*tk_cxit_vr200)</f>
        <v>35.7070344</v>
      </c>
      <c r="J8189" s="8" t="n">
        <f aca="false">((a_g3_29-nonnv*a_mai)*tk_cxit_gb300+nonnv*a_mai*nv_hold_mai*tk_cxit_vr200+(1-a_g3_29)*tk_cxit_vr200)</f>
        <v>35.7070344</v>
      </c>
      <c r="K8189" s="8" t="n">
        <f aca="false">((a_g3_29-nonnv*a_mai)*tk_cxit_gb300+nonnv*a_mai*nv_hold_mai*tk_cxit_vr200+(1-a_g3_29)*tk_cxit_vr200)</f>
        <v>35.7070344</v>
      </c>
      <c r="L8189" s="12" t="s">
        <v>992</v>
      </c>
    </row>
    <row r="8190" customFormat="false" ht="17.15" hidden="false" customHeight="false" outlineLevel="0" collapsed="false">
      <c r="A8190" s="0" t="s">
        <v>993</v>
      </c>
      <c r="B8190" s="0" t="s">
        <v>459</v>
      </c>
      <c r="F8190" s="30" t="n">
        <f aca="false">Sens!C8169*IF(Sens!F8162-Sens!C8162=life_it,1,0)+Sens!D8169*IF(Sens!F8162-Sens!D8162=life_it,1,0)+Sens!E8169*IF(Sens!F8162-Sens!E8162=life_it,1,0)</f>
        <v>0</v>
      </c>
      <c r="G8190" s="30" t="n">
        <f aca="false">Sens!C8169*IF(Sens!G8162-Sens!C8162=life_it,1,0)+Sens!D8169*IF(Sens!G8162-Sens!D8162=life_it,1,0)+Sens!E8169*IF(Sens!G8162-Sens!E8162=life_it,1,0)+Sens!F8169*IF(Sens!G8162-Sens!F8162=life_it,1,0)</f>
        <v>0</v>
      </c>
      <c r="H8190" s="30" t="n">
        <f aca="false">Sens!C8169*IF(Sens!H8162-Sens!C8162=life_it,1,0)+Sens!D8169*IF(Sens!H8162-Sens!D8162=life_it,1,0)+Sens!E8169*IF(Sens!H8162-Sens!E8162=life_it,1,0)+Sens!F8169*IF(Sens!H8162-Sens!F8162=life_it,1,0)+Sens!G8169*IF(Sens!H8162-Sens!G8162=life_it,1,0)</f>
        <v>0</v>
      </c>
      <c r="I8190" s="30" t="n">
        <f aca="false">Sens!C8169*IF(Sens!I8162-Sens!C8162=life_it,1,0)+Sens!D8169*IF(Sens!I8162-Sens!D8162=life_it,1,0)+Sens!E8169*IF(Sens!I8162-Sens!E8162=life_it,1,0)+Sens!F8169*IF(Sens!I8162-Sens!F8162=life_it,1,0)+Sens!G8169*IF(Sens!I8162-Sens!G8162=life_it,1,0)+Sens!H8169*IF(Sens!I8162-Sens!H8162=life_it,1,0)</f>
        <v>816.666666666667</v>
      </c>
      <c r="J8190" s="30" t="n">
        <f aca="false">Sens!C8169*IF(Sens!J8162-Sens!C8162=life_it,1,0)+Sens!D8169*IF(Sens!J8162-Sens!D8162=life_it,1,0)+Sens!E8169*IF(Sens!J8162-Sens!E8162=life_it,1,0)+Sens!F8169*IF(Sens!J8162-Sens!F8162=life_it,1,0)+Sens!G8169*IF(Sens!J8162-Sens!G8162=life_it,1,0)+Sens!H8169*IF(Sens!J8162-Sens!H8162=life_it,1,0)+Sens!I8169*IF(Sens!J8162-Sens!I8162=life_it,1,0)</f>
        <v>1233.33333333333</v>
      </c>
      <c r="K8190" s="30" t="n">
        <f aca="false">Sens!C8169*IF(Sens!K8162-Sens!C8162=life_it,1,0)+Sens!D8169*IF(Sens!K8162-Sens!D8162=life_it,1,0)+Sens!E8169*IF(Sens!K8162-Sens!E8162=life_it,1,0)+Sens!F8169*IF(Sens!K8162-Sens!F8162=life_it,1,0)+Sens!G8169*IF(Sens!K8162-Sens!G8162=life_it,1,0)+Sens!H8169*IF(Sens!K8162-Sens!H8162=life_it,1,0)+Sens!I8169*IF(Sens!K8162-Sens!I8162=life_it,1,0)+Sens!J8169*IF(Sens!K8162-Sens!J8162=life_it,1,0)</f>
        <v>2450</v>
      </c>
      <c r="L8190" s="1" t="s">
        <v>994</v>
      </c>
    </row>
    <row r="8191" customFormat="false" ht="17.15" hidden="false" customHeight="false" outlineLevel="0" collapsed="false">
      <c r="A8191" s="0" t="s">
        <v>995</v>
      </c>
      <c r="B8191" s="0" t="s">
        <v>98</v>
      </c>
      <c r="C8191" s="6" t="n">
        <f aca="false">Sens!C8169*Sens!C8189/1000</f>
        <v>22.5333845916667</v>
      </c>
      <c r="D8191" s="6" t="n">
        <f aca="false">Sens!D8169*Sens!D8189/1000</f>
        <v>34.0300093833333</v>
      </c>
      <c r="E8191" s="6" t="n">
        <f aca="false">Sens!E8169*Sens!E8189/1000</f>
        <v>67.600153775</v>
      </c>
      <c r="F8191" s="6" t="n">
        <f aca="false">(Sens!F8169+Sens!F8190)*Sens!F8189/1000</f>
        <v>136.51872432512</v>
      </c>
      <c r="G8191" s="6" t="n">
        <f aca="false">(Sens!G8169+Sens!G8190)*Sens!G8189/1000</f>
        <v>157.399275932048</v>
      </c>
      <c r="H8191" s="6" t="n">
        <f aca="false">(Sens!H8169+Sens!H8190)*Sens!H8189/1000</f>
        <v>162.260804347512</v>
      </c>
      <c r="I8191" s="6" t="n">
        <f aca="false">(Sens!I8169+Sens!I8190)*Sens!I8189/1000</f>
        <v>144.136569485434</v>
      </c>
      <c r="J8191" s="6" t="n">
        <f aca="false">(Sens!J8169+Sens!J8190)*Sens!J8189/1000</f>
        <v>114.029037357864</v>
      </c>
      <c r="K8191" s="6" t="n">
        <f aca="false">(Sens!K8169+Sens!K8190)*Sens!K8189/1000</f>
        <v>113.437085350975</v>
      </c>
    </row>
    <row r="8192" customFormat="false" ht="17.15" hidden="false" customHeight="false" outlineLevel="0" collapsed="false">
      <c r="A8192" s="0" t="s">
        <v>996</v>
      </c>
      <c r="B8192" s="0" t="s">
        <v>98</v>
      </c>
      <c r="C8192" s="6" t="n">
        <f aca="false">Sens!C8169*self_build*tk_cxfac/1000</f>
        <v>6.2083</v>
      </c>
      <c r="D8192" s="6" t="n">
        <f aca="false">Sens!D8169*self_build*tk_cxfac/1000</f>
        <v>9.3758</v>
      </c>
      <c r="E8192" s="6" t="n">
        <f aca="false">Sens!E8169*self_build*tk_cxfac/1000</f>
        <v>18.6249</v>
      </c>
      <c r="F8192" s="6" t="n">
        <f aca="false">Sens!F8169*self_build*tk_cxfac/1000</f>
        <v>31.935179717</v>
      </c>
      <c r="G8192" s="6" t="n">
        <f aca="false">Sens!G8169*self_build*tk_cxfac/1000</f>
        <v>34.545199717</v>
      </c>
      <c r="H8192" s="6" t="n">
        <f aca="false">Sens!H8169*self_build*tk_cxfac/1000</f>
        <v>34.545199717</v>
      </c>
      <c r="I8192" s="6" t="n">
        <f aca="false">Sens!I8169*self_build*tk_cxfac/1000</f>
        <v>24.4782641361767</v>
      </c>
      <c r="J8192" s="6" t="n">
        <f aca="false">Sens!J8169*self_build*tk_cxfac/1000</f>
        <v>14.9008938380769</v>
      </c>
      <c r="K8192" s="6" t="n">
        <f aca="false">Sens!K8169*self_build*tk_cxfac/1000</f>
        <v>5.52576771375761</v>
      </c>
    </row>
    <row r="8193" customFormat="false" ht="17.15" hidden="false" customHeight="false" outlineLevel="0" collapsed="false">
      <c r="A8193" s="0" t="s">
        <v>997</v>
      </c>
      <c r="B8193" s="0" t="s">
        <v>98</v>
      </c>
      <c r="F8193" s="15" t="n">
        <f aca="false">capex_floor27-Sens!F8191-Sens!F8192-Sens!F8289</f>
        <v>0.256644948443217</v>
      </c>
      <c r="L8193" s="12" t="s">
        <v>998</v>
      </c>
    </row>
    <row r="8194" customFormat="false" ht="17.15" hidden="false" customHeight="false" outlineLevel="0" collapsed="false">
      <c r="A8194" s="0" t="s">
        <v>999</v>
      </c>
      <c r="B8194" s="0" t="s">
        <v>98</v>
      </c>
      <c r="F8194" s="6" t="n">
        <f aca="false">MAX(0,Sens!F8193)</f>
        <v>0.256644948443217</v>
      </c>
    </row>
    <row r="8195" customFormat="false" ht="17.15" hidden="false" customHeight="false" outlineLevel="0" collapsed="false">
      <c r="A8195" s="0" t="s">
        <v>1000</v>
      </c>
      <c r="B8195" s="0" t="s">
        <v>98</v>
      </c>
      <c r="C8195" s="6" t="n">
        <f aca="false">Sens!C8191</f>
        <v>22.5333845916667</v>
      </c>
      <c r="D8195" s="6" t="n">
        <f aca="false">Sens!D8191</f>
        <v>34.0300093833333</v>
      </c>
      <c r="E8195" s="6" t="n">
        <f aca="false">Sens!E8191</f>
        <v>67.600153775</v>
      </c>
      <c r="F8195" s="6" t="n">
        <f aca="false">Sens!F8191</f>
        <v>136.51872432512</v>
      </c>
      <c r="G8195" s="6" t="n">
        <f aca="false">Sens!G8191</f>
        <v>157.399275932048</v>
      </c>
      <c r="H8195" s="6" t="n">
        <f aca="false">Sens!H8191</f>
        <v>162.260804347512</v>
      </c>
      <c r="I8195" s="6" t="n">
        <f aca="false">Sens!I8191</f>
        <v>144.136569485434</v>
      </c>
      <c r="J8195" s="6" t="n">
        <f aca="false">Sens!J8191</f>
        <v>114.029037357864</v>
      </c>
      <c r="K8195" s="6" t="n">
        <f aca="false">Sens!K8191</f>
        <v>113.437085350975</v>
      </c>
    </row>
    <row r="8196" customFormat="false" ht="17.15" hidden="false" customHeight="false" outlineLevel="0" collapsed="false">
      <c r="A8196" s="0" t="s">
        <v>1001</v>
      </c>
      <c r="B8196" s="0" t="s">
        <v>98</v>
      </c>
      <c r="C8196" s="6" t="n">
        <f aca="false">Sens!C8195+Sens!C8192</f>
        <v>28.7416845916667</v>
      </c>
      <c r="D8196" s="6" t="n">
        <f aca="false">Sens!D8195+Sens!D8192</f>
        <v>43.4058093833333</v>
      </c>
      <c r="E8196" s="6" t="n">
        <f aca="false">Sens!E8195+Sens!E8192</f>
        <v>86.225053775</v>
      </c>
      <c r="F8196" s="6" t="n">
        <f aca="false">Sens!F8195+Sens!F8192</f>
        <v>168.45390404212</v>
      </c>
      <c r="G8196" s="6" t="n">
        <f aca="false">Sens!G8195+Sens!G8192</f>
        <v>191.944475649048</v>
      </c>
      <c r="H8196" s="6" t="n">
        <f aca="false">Sens!H8195+Sens!H8192</f>
        <v>196.806004064512</v>
      </c>
      <c r="I8196" s="6" t="n">
        <f aca="false">Sens!I8195+Sens!I8192</f>
        <v>168.61483362161</v>
      </c>
      <c r="J8196" s="6" t="n">
        <f aca="false">Sens!J8195+Sens!J8192</f>
        <v>128.92993119594</v>
      </c>
      <c r="K8196" s="6" t="n">
        <f aca="false">Sens!K8195+Sens!K8192</f>
        <v>118.962853064733</v>
      </c>
      <c r="L8196" s="12" t="s">
        <v>1002</v>
      </c>
    </row>
    <row r="8197" customFormat="false" ht="17.15" hidden="false" customHeight="false" outlineLevel="0" collapsed="false">
      <c r="A8197" s="0" t="s">
        <v>1003</v>
      </c>
      <c r="B8197" s="0" t="s">
        <v>98</v>
      </c>
      <c r="E8197" s="6" t="n">
        <f aca="false">(Sens!C8195*IF(2&lt;life_it,1,IF(2=life_it,0.5,0))+Sens!D8195*IF(1&lt;life_it,1,IF(1=life_it,0.5,0))+Sens!E8195*0.5)/life_it</f>
        <v>15.0605784770833</v>
      </c>
      <c r="F8197" s="6" t="n">
        <f aca="false">(Sens!C8195*IF(3&lt;life_it,1,IF(3=life_it,0.5,0))+Sens!D8195*IF(2&lt;life_it,1,IF(2=life_it,0.5,0))+Sens!E8195*IF(1&lt;life_it,1,IF(1=life_it,0.5,0))+Sens!F8195*0.5)/life_it</f>
        <v>32.0704849854266</v>
      </c>
      <c r="G8197" s="6" t="n">
        <f aca="false">(Sens!C8195*IF(4&lt;life_it,1,IF(4=life_it,0.5,0))+Sens!D8195*IF(3&lt;life_it,1,IF(3=life_it,0.5,0))+Sens!E8195*IF(2&lt;life_it,1,IF(2=life_it,0.5,0))+Sens!F8195*IF(1&lt;life_it,1,IF(1=life_it,0.5,0))+Sens!G8195*0.5)/life_it</f>
        <v>56.5636516735239</v>
      </c>
      <c r="H8197" s="6" t="n">
        <f aca="false">(Sens!C8195*IF(5&lt;life_it,1,IF(5=life_it,0.5,0))+Sens!D8195*IF(4&lt;life_it,1,IF(4=life_it,0.5,0))+Sens!E8195*IF(3&lt;life_it,1,IF(3=life_it,0.5,0))+Sens!F8195*IF(2&lt;life_it,1,IF(2=life_it,0.5,0))+Sens!G8195*IF(1&lt;life_it,1,IF(1=life_it,0.5,0))+Sens!H8195*0.5)/life_it</f>
        <v>83.2019916968207</v>
      </c>
      <c r="I8197" s="6" t="n">
        <f aca="false">(Sens!C8195*IF(6&lt;life_it,1,IF(6=life_it,0.5,0))+Sens!D8195*IF(5&lt;life_it,1,IF(5=life_it,0.5,0))+Sens!E8195*IF(4&lt;life_it,1,IF(4=life_it,0.5,0))+Sens!F8195*IF(3&lt;life_it,1,IF(3=life_it,0.5,0))+Sens!G8195*IF(2&lt;life_it,1,IF(2=life_it,0.5,0))+Sens!H8195*IF(1&lt;life_it,1,IF(1=life_it,0.5,0))+Sens!I8195*0.5)/life_it</f>
        <v>106.857324133594</v>
      </c>
      <c r="J8197" s="6" t="n">
        <f aca="false">(Sens!C8195*IF(7&lt;life_it,1,IF(7=life_it,0.5,0))+Sens!D8195*IF(6&lt;life_it,1,IF(6=life_it,0.5,0))+Sens!E8195*IF(5&lt;life_it,1,IF(5=life_it,0.5,0))+Sens!F8195*IF(4&lt;life_it,1,IF(4=life_it,0.5,0))+Sens!G8195*IF(3&lt;life_it,1,IF(3=life_it,0.5,0))+Sens!H8195*IF(2&lt;life_it,1,IF(2=life_it,0.5,0))+Sens!I8195*IF(1&lt;life_it,1,IF(1=life_it,0.5,0))+Sens!J8195*0.5)/life_it</f>
        <v>123.657508539285</v>
      </c>
      <c r="K8197" s="6" t="n">
        <f aca="false">(Sens!C8195*IF(8&lt;life_it,1,IF(8=life_it,0.5,0))+Sens!D8195*IF(7&lt;life_it,1,IF(7=life_it,0.5,0))+Sens!E8195*IF(6&lt;life_it,1,IF(6=life_it,0.5,0))+Sens!F8195*IF(5&lt;life_it,1,IF(5=life_it,0.5,0))+Sens!G8195*IF(4&lt;life_it,1,IF(4=life_it,0.5,0))+Sens!H8195*IF(3&lt;life_it,1,IF(3=life_it,0.5,0))+Sens!I8195*IF(2&lt;life_it,1,IF(2=life_it,0.5,0))+Sens!J8195*IF(1&lt;life_it,1,IF(1=life_it,0.5,0))+Sens!K8195*0.5)/life_it</f>
        <v>134.143838501827</v>
      </c>
    </row>
    <row r="8198" customFormat="false" ht="17.15" hidden="false" customHeight="false" outlineLevel="0" collapsed="false">
      <c r="A8198" s="0" t="s">
        <v>1004</v>
      </c>
      <c r="B8198" s="0" t="s">
        <v>98</v>
      </c>
      <c r="E8198" s="6" t="n">
        <f aca="false">(Sens!C8192*IF(2&lt;life_fac,1,IF(2=life_fac,0.5,0))+Sens!D8192*IF(1&lt;life_fac,1,IF(1=life_fac,0.5,0))+Sens!E8192*0.5)/life_fac</f>
        <v>1.2448275</v>
      </c>
      <c r="F8198" s="6" t="n">
        <f aca="false">(Sens!C8192*IF(3&lt;life_fac,1,IF(3=life_fac,0.5,0))+Sens!D8192*IF(2&lt;life_fac,1,IF(2=life_fac,0.5,0))+Sens!E8192*IF(1&lt;life_fac,1,IF(1=life_fac,0.5,0))+Sens!F8192*0.5)/life_fac</f>
        <v>2.508829492925</v>
      </c>
      <c r="G8198" s="6" t="n">
        <f aca="false">(Sens!C8192*IF(4&lt;life_fac,1,IF(4=life_fac,0.5,0))+Sens!D8192*IF(3&lt;life_fac,1,IF(3=life_fac,0.5,0))+Sens!E8192*IF(2&lt;life_fac,1,IF(2=life_fac,0.5,0))+Sens!F8192*IF(1&lt;life_fac,1,IF(1=life_fac,0.5,0))+Sens!G8192*0.5)/life_fac</f>
        <v>4.170838978775</v>
      </c>
      <c r="H8198" s="6" t="n">
        <f aca="false">(Sens!C8192*IF(5&lt;life_fac,1,IF(5=life_fac,0.5,0))+Sens!D8192*IF(4&lt;life_fac,1,IF(4=life_fac,0.5,0))+Sens!E8192*IF(3&lt;life_fac,1,IF(3=life_fac,0.5,0))+Sens!F8192*IF(2&lt;life_fac,1,IF(2=life_fac,0.5,0))+Sens!G8192*IF(1&lt;life_fac,1,IF(1=life_fac,0.5,0))+Sens!H8192*0.5)/life_fac</f>
        <v>5.898098964625</v>
      </c>
      <c r="I8198" s="6" t="n">
        <f aca="false">(Sens!C8192*IF(6&lt;life_fac,1,IF(6=life_fac,0.5,0))+Sens!D8192*IF(5&lt;life_fac,1,IF(5=life_fac,0.5,0))+Sens!E8192*IF(4&lt;life_fac,1,IF(4=life_fac,0.5,0))+Sens!F8192*IF(3&lt;life_fac,1,IF(3=life_fac,0.5,0))+Sens!G8192*IF(2&lt;life_fac,1,IF(2=life_fac,0.5,0))+Sens!H8192*IF(1&lt;life_fac,1,IF(1=life_fac,0.5,0))+Sens!I8192*0.5)/life_fac</f>
        <v>7.37368556095442</v>
      </c>
      <c r="J8198" s="6" t="n">
        <f aca="false">(Sens!C8192*IF(7&lt;life_fac,1,IF(7=life_fac,0.5,0))+Sens!D8192*IF(6&lt;life_fac,1,IF(6=life_fac,0.5,0))+Sens!E8192*IF(5&lt;life_fac,1,IF(5=life_fac,0.5,0))+Sens!F8192*IF(4&lt;life_fac,1,IF(4=life_fac,0.5,0))+Sens!G8192*IF(3&lt;life_fac,1,IF(3=life_fac,0.5,0))+Sens!H8192*IF(2&lt;life_fac,1,IF(2=life_fac,0.5,0))+Sens!I8192*IF(1&lt;life_fac,1,IF(1=life_fac,0.5,0))+Sens!J8192*0.5)/life_fac</f>
        <v>8.35816451031075</v>
      </c>
      <c r="K8198" s="6" t="n">
        <f aca="false">(Sens!C8192*IF(8&lt;life_fac,1,IF(8=life_fac,0.5,0))+Sens!D8192*IF(7&lt;life_fac,1,IF(7=life_fac,0.5,0))+Sens!E8192*IF(6&lt;life_fac,1,IF(6=life_fac,0.5,0))+Sens!F8192*IF(5&lt;life_fac,1,IF(5=life_fac,0.5,0))+Sens!G8192*IF(4&lt;life_fac,1,IF(4=life_fac,0.5,0))+Sens!H8192*IF(3&lt;life_fac,1,IF(3=life_fac,0.5,0))+Sens!I8192*IF(2&lt;life_fac,1,IF(2=life_fac,0.5,0))+Sens!J8192*IF(1&lt;life_fac,1,IF(1=life_fac,0.5,0))+Sens!K8192*0.5)/life_fac</f>
        <v>8.86883104910662</v>
      </c>
    </row>
    <row r="8199" customFormat="false" ht="17.15" hidden="false" customHeight="false" outlineLevel="0" collapsed="false">
      <c r="A8199" s="0" t="s">
        <v>1005</v>
      </c>
      <c r="B8199" s="0" t="s">
        <v>98</v>
      </c>
      <c r="E8199" s="6" t="n">
        <f aca="false">Sens!E8197+Sens!E8198</f>
        <v>16.3054059770833</v>
      </c>
      <c r="F8199" s="6" t="n">
        <f aca="false">Sens!F8197+Sens!F8198</f>
        <v>34.5793144783516</v>
      </c>
      <c r="G8199" s="6" t="n">
        <f aca="false">Sens!G8197+Sens!G8198</f>
        <v>60.7344906522989</v>
      </c>
      <c r="H8199" s="6" t="n">
        <f aca="false">Sens!H8197+Sens!H8198</f>
        <v>89.1000906614457</v>
      </c>
      <c r="I8199" s="6" t="n">
        <f aca="false">Sens!I8197+Sens!I8198</f>
        <v>114.231009694548</v>
      </c>
      <c r="J8199" s="6" t="n">
        <f aca="false">Sens!J8197+Sens!J8198</f>
        <v>132.015673049596</v>
      </c>
      <c r="K8199" s="6" t="n">
        <f aca="false">Sens!K8197+Sens!K8198</f>
        <v>143.012669550934</v>
      </c>
    </row>
    <row r="8200" customFormat="false" ht="17.15" hidden="false" customHeight="false" outlineLevel="0" collapsed="false">
      <c r="A8200" s="0" t="s">
        <v>1006</v>
      </c>
      <c r="B8200" s="0" t="s">
        <v>98</v>
      </c>
      <c r="E8200" s="6" t="n">
        <f aca="false">Sens!E8187-Sens!E8186*Sens!E8199</f>
        <v>8.92707889977379</v>
      </c>
      <c r="F8200" s="6" t="n">
        <f aca="false">Sens!F8187-Sens!F8186*Sens!F8199</f>
        <v>18.7770356668733</v>
      </c>
      <c r="G8200" s="6" t="n">
        <f aca="false">Sens!G8187-Sens!G8186*Sens!G8199</f>
        <v>31.1163641458894</v>
      </c>
      <c r="H8200" s="6" t="n">
        <f aca="false">Sens!H8187-Sens!H8186*Sens!H8199</f>
        <v>43.7262635496428</v>
      </c>
      <c r="I8200" s="6" t="n">
        <f aca="false">Sens!I8187-Sens!I8186*Sens!I8199</f>
        <v>54.7541698336361</v>
      </c>
      <c r="J8200" s="6" t="n">
        <f aca="false">Sens!J8187-Sens!J8186*Sens!J8199</f>
        <v>62.3768819327658</v>
      </c>
      <c r="K8200" s="6" t="n">
        <f aca="false">Sens!K8187-Sens!K8186*Sens!K8199</f>
        <v>67.4820630434748</v>
      </c>
    </row>
    <row r="8201" customFormat="false" ht="17.15" hidden="false" customHeight="false" outlineLevel="0" collapsed="false">
      <c r="A8201" s="3" t="s">
        <v>1816</v>
      </c>
    </row>
    <row r="8202" customFormat="false" ht="15" hidden="false" customHeight="false" outlineLevel="0" collapsed="false">
      <c r="A8202" s="4" t="s">
        <v>43</v>
      </c>
      <c r="B8202" s="4" t="s">
        <v>65</v>
      </c>
      <c r="C8202" s="23" t="s">
        <v>942</v>
      </c>
      <c r="D8202" s="23" t="s">
        <v>943</v>
      </c>
      <c r="E8202" s="23" t="s">
        <v>944</v>
      </c>
      <c r="F8202" s="23" t="s">
        <v>945</v>
      </c>
      <c r="G8202" s="23" t="s">
        <v>946</v>
      </c>
      <c r="H8202" s="23" t="s">
        <v>947</v>
      </c>
      <c r="I8202" s="23" t="s">
        <v>948</v>
      </c>
      <c r="J8202" s="23" t="s">
        <v>949</v>
      </c>
      <c r="K8202" s="23" t="s">
        <v>950</v>
      </c>
      <c r="L8202" s="4" t="s">
        <v>47</v>
      </c>
    </row>
    <row r="8203" customFormat="false" ht="17.15" hidden="false" customHeight="false" outlineLevel="0" collapsed="false">
      <c r="A8203" s="0" t="s">
        <v>1025</v>
      </c>
      <c r="B8203" s="0" t="s">
        <v>98</v>
      </c>
      <c r="D8203" s="6" t="n">
        <f aca="false">Sens!D8181</f>
        <v>12.9359794422418</v>
      </c>
      <c r="E8203" s="6" t="n">
        <f aca="false">Sens!E8181</f>
        <v>27.8095064661409</v>
      </c>
      <c r="F8203" s="6" t="n">
        <f aca="false">Sens!F8181</f>
        <v>55.4118315060966</v>
      </c>
      <c r="G8203" s="6" t="n">
        <f aca="false">Sens!G8181</f>
        <v>91.2881100675143</v>
      </c>
      <c r="H8203" s="6" t="n">
        <f aca="false">Sens!H8181</f>
        <v>128.195273603944</v>
      </c>
      <c r="I8203" s="6" t="n">
        <f aca="false">Sens!I8181</f>
        <v>160.601281810405</v>
      </c>
      <c r="J8203" s="6" t="n">
        <f aca="false">Sens!J8181</f>
        <v>183.182719793589</v>
      </c>
      <c r="K8203" s="6" t="n">
        <f aca="false">Sens!K8181</f>
        <v>197.320124937098</v>
      </c>
    </row>
    <row r="8204" customFormat="false" ht="17.15" hidden="false" customHeight="false" outlineLevel="0" collapsed="false">
      <c r="A8204" s="0" t="s">
        <v>1026</v>
      </c>
      <c r="B8204" s="0" t="s">
        <v>98</v>
      </c>
      <c r="D8204" s="6" t="n">
        <f aca="false">Q!L6-Sens!D8203</f>
        <v>59.6740205577583</v>
      </c>
      <c r="E8204" s="6" t="n">
        <f aca="false">Q!M6-Sens!E8203</f>
        <v>74.1284935338591</v>
      </c>
      <c r="F8204" s="6" t="n">
        <f aca="false">Q!$I$6+(Sens!F8203+Sens!E8204*(1+Sens!F8205))*(1-Q!$E$6/Q!M6)-Sens!F8203</f>
        <v>91.2972164940844</v>
      </c>
      <c r="G8204" s="6" t="n">
        <f aca="false">Sens!F8204*(1+Sens!G8205)</f>
        <v>108.474719793879</v>
      </c>
      <c r="H8204" s="6" t="n">
        <f aca="false">Sens!G8204*(1+Sens!H8205)</f>
        <v>125.951292505701</v>
      </c>
      <c r="I8204" s="6" t="n">
        <f aca="false">Sens!H8204*(1+Sens!I8205)</f>
        <v>142.838165154212</v>
      </c>
      <c r="J8204" s="6" t="n">
        <f aca="false">Sens!I8204*(1+Sens!J8205)</f>
        <v>158.12717866615</v>
      </c>
      <c r="K8204" s="6" t="n">
        <f aca="false">Sens!J8204*(1+Sens!K8205)</f>
        <v>170.777352959442</v>
      </c>
      <c r="L8204" s="12" t="s">
        <v>1027</v>
      </c>
    </row>
    <row r="8205" customFormat="false" ht="15" hidden="false" customHeight="false" outlineLevel="0" collapsed="false">
      <c r="A8205" s="1" t="s">
        <v>1028</v>
      </c>
      <c r="B8205" s="0" t="s">
        <v>168</v>
      </c>
      <c r="E8205" s="7" t="n">
        <f aca="false">Sens!E8204/Sens!D8204-1</f>
        <v>0.242223883039864</v>
      </c>
      <c r="F8205" s="7" t="n">
        <f aca="false">Sens!$E$8205+(glt_azo-Sens!$E$8205)*MIN(1,(Sens!F8162-base_fy)/n_conv)</f>
        <v>0.215186569199887</v>
      </c>
      <c r="G8205" s="7" t="n">
        <f aca="false">Sens!$E$8205+(glt_azo-Sens!$E$8205)*MIN(1,(Sens!G8162-base_fy)/n_conv)</f>
        <v>0.18814925535991</v>
      </c>
      <c r="H8205" s="7" t="n">
        <f aca="false">Sens!$E$8205+(glt_azo-Sens!$E$8205)*MIN(1,(Sens!H8162-base_fy)/n_conv)</f>
        <v>0.161111941519932</v>
      </c>
      <c r="I8205" s="7" t="n">
        <f aca="false">Sens!$E$8205+(glt_azo-Sens!$E$8205)*MIN(1,(Sens!I8162-base_fy)/n_conv)</f>
        <v>0.134074627679955</v>
      </c>
      <c r="J8205" s="7" t="n">
        <f aca="false">Sens!$E$8205+(glt_azo-Sens!$E$8205)*MIN(1,(Sens!J8162-base_fy)/n_conv)</f>
        <v>0.107037313839977</v>
      </c>
      <c r="K8205" s="7" t="n">
        <f aca="false">Sens!$E$8205+(glt_azo-Sens!$E$8205)*MIN(1,(Sens!K8162-base_fy)/n_conv)</f>
        <v>0.08</v>
      </c>
    </row>
    <row r="8206" customFormat="false" ht="15" hidden="false" customHeight="false" outlineLevel="0" collapsed="false">
      <c r="A8206" s="0" t="s">
        <v>1029</v>
      </c>
      <c r="B8206" s="0" t="s">
        <v>98</v>
      </c>
      <c r="D8206" s="6" t="n">
        <f aca="false">Sens!D8203+Sens!D8204</f>
        <v>72.61</v>
      </c>
      <c r="E8206" s="6" t="n">
        <f aca="false">Sens!E8203+Sens!E8204</f>
        <v>101.938</v>
      </c>
      <c r="F8206" s="6" t="n">
        <f aca="false">Sens!F8203+Sens!F8204</f>
        <v>146.709048000181</v>
      </c>
      <c r="G8206" s="6" t="n">
        <f aca="false">Sens!G8203+Sens!G8204</f>
        <v>199.762829861393</v>
      </c>
      <c r="H8206" s="6" t="n">
        <f aca="false">Sens!H8203+Sens!H8204</f>
        <v>254.146566109645</v>
      </c>
      <c r="I8206" s="6" t="n">
        <f aca="false">Sens!I8203+Sens!I8204</f>
        <v>303.439446964617</v>
      </c>
      <c r="J8206" s="6" t="n">
        <f aca="false">Sens!J8203+Sens!J8204</f>
        <v>341.309898459739</v>
      </c>
      <c r="K8206" s="6" t="n">
        <f aca="false">Sens!K8203+Sens!K8204</f>
        <v>368.09747789654</v>
      </c>
    </row>
    <row r="8207" customFormat="false" ht="17.15" hidden="false" customHeight="false" outlineLevel="0" collapsed="false">
      <c r="A8207" s="0" t="s">
        <v>1030</v>
      </c>
      <c r="B8207" s="1" t="s">
        <v>613</v>
      </c>
      <c r="C8207" s="30" t="n">
        <f aca="false">cop_s24</f>
        <v>1</v>
      </c>
      <c r="D8207" s="30" t="n">
        <f aca="false">cop_s25</f>
        <v>5</v>
      </c>
      <c r="E8207" s="30" t="n">
        <f aca="false">cop_s26</f>
        <v>30</v>
      </c>
      <c r="F8207" s="30" t="n">
        <f aca="false">Sens!E8207+cop_add_B</f>
        <v>50</v>
      </c>
      <c r="G8207" s="30" t="n">
        <f aca="false">Sens!F8207+cop_add_B</f>
        <v>70</v>
      </c>
      <c r="H8207" s="30" t="n">
        <f aca="false">Sens!G8207+cop_add_B</f>
        <v>90</v>
      </c>
      <c r="I8207" s="30" t="n">
        <f aca="false">Sens!H8207+cop_add_B*cop_tail</f>
        <v>100</v>
      </c>
      <c r="J8207" s="30" t="n">
        <f aca="false">Sens!I8207+cop_add_B*cop_tail</f>
        <v>110</v>
      </c>
      <c r="K8207" s="30" t="n">
        <f aca="false">Sens!J8207+cop_add_B*cop_tail</f>
        <v>120</v>
      </c>
      <c r="L8207" s="12" t="s">
        <v>1031</v>
      </c>
    </row>
    <row r="8208" customFormat="false" ht="17.15" hidden="false" customHeight="false" outlineLevel="0" collapsed="false">
      <c r="A8208" s="0" t="s">
        <v>1032</v>
      </c>
      <c r="B8208" s="0" t="s">
        <v>98</v>
      </c>
      <c r="D8208" s="6" t="n">
        <f aca="false">(Sens!C8207+Sens!D8207)/2*cop_px*12/1000</f>
        <v>0.9</v>
      </c>
      <c r="E8208" s="6" t="n">
        <f aca="false">(Sens!D8207+Sens!E8207)/2*cop_px*12/1000</f>
        <v>5.25</v>
      </c>
      <c r="F8208" s="6" t="n">
        <f aca="false">(Sens!E8207+Sens!F8207)/2*cop_px_lo*12/1000</f>
        <v>8.64</v>
      </c>
      <c r="G8208" s="6" t="n">
        <f aca="false">(Sens!F8207+Sens!G8207)/2*cop_px_lo*12/1000</f>
        <v>12.96</v>
      </c>
      <c r="H8208" s="6" t="n">
        <f aca="false">(Sens!G8207+Sens!H8207)/2*cop_px_lo*12/1000</f>
        <v>17.28</v>
      </c>
      <c r="I8208" s="6" t="n">
        <f aca="false">(Sens!H8207+Sens!I8207)/2*cop_px_lo*12/1000</f>
        <v>20.52</v>
      </c>
      <c r="J8208" s="6" t="n">
        <f aca="false">(Sens!I8207+Sens!J8207)/2*cop_px_lo*12/1000</f>
        <v>22.68</v>
      </c>
      <c r="K8208" s="6" t="n">
        <f aca="false">(Sens!J8207+Sens!K8207)/2*cop_px_lo*12/1000</f>
        <v>24.84</v>
      </c>
      <c r="L8208" s="1" t="s">
        <v>1033</v>
      </c>
    </row>
    <row r="8209" customFormat="false" ht="17.15" hidden="false" customHeight="false" outlineLevel="0" collapsed="false">
      <c r="A8209" s="0" t="s">
        <v>1034</v>
      </c>
      <c r="B8209" s="0" t="s">
        <v>98</v>
      </c>
      <c r="D8209" s="6" t="n">
        <f aca="false">Q!L7-Sens!D8208</f>
        <v>83.705</v>
      </c>
      <c r="E8209" s="6" t="n">
        <f aca="false">Q!M7-Sens!E8208</f>
        <v>95.049</v>
      </c>
      <c r="F8209" s="6" t="n">
        <f aca="false">Q!$I$7+(Sens!E8209*(1+Sens!F8210)+Sens!F8208)*(1-Q!$E$7/Q!M7)-Sens!F8208</f>
        <v>107.377748799891</v>
      </c>
      <c r="G8209" s="6" t="n">
        <f aca="false">Sens!F8209*(1+Sens!G8210)</f>
        <v>119.58470647746</v>
      </c>
      <c r="H8209" s="6" t="n">
        <f aca="false">Sens!G8209*(1+Sens!H8210)</f>
        <v>131.873444068876</v>
      </c>
      <c r="I8209" s="6" t="n">
        <f aca="false">Sens!H8209*(1+Sens!I8210)</f>
        <v>143.984857877399</v>
      </c>
      <c r="J8209" s="6" t="n">
        <f aca="false">Sens!I8209*(1+Sens!J8210)</f>
        <v>155.636198125454</v>
      </c>
      <c r="K8209" s="6" t="n">
        <f aca="false">Sens!J8209*(1+Sens!K8210)</f>
        <v>166.530731994236</v>
      </c>
      <c r="L8209" s="12" t="s">
        <v>1035</v>
      </c>
    </row>
    <row r="8210" customFormat="false" ht="15" hidden="false" customHeight="false" outlineLevel="0" collapsed="false">
      <c r="A8210" s="1" t="s">
        <v>1028</v>
      </c>
      <c r="B8210" s="0" t="s">
        <v>168</v>
      </c>
      <c r="E8210" s="7" t="n">
        <f aca="false">Sens!E8209/Sens!D8209-1</f>
        <v>0.135523564900544</v>
      </c>
      <c r="F8210" s="7" t="n">
        <f aca="false">Sens!$E$8210+(glt_m365b-Sens!$E$8210)*MIN(1,(Sens!F8162-base_fy)/n_conv)</f>
        <v>0.124602970750453</v>
      </c>
      <c r="G8210" s="7" t="n">
        <f aca="false">Sens!$E$8210+(glt_m365b-Sens!$E$8210)*MIN(1,(Sens!G8162-base_fy)/n_conv)</f>
        <v>0.113682376600363</v>
      </c>
      <c r="H8210" s="7" t="n">
        <f aca="false">Sens!$E$8210+(glt_m365b-Sens!$E$8210)*MIN(1,(Sens!H8162-base_fy)/n_conv)</f>
        <v>0.102761782450272</v>
      </c>
      <c r="I8210" s="7" t="n">
        <f aca="false">Sens!$E$8210+(glt_m365b-Sens!$E$8210)*MIN(1,(Sens!I8162-base_fy)/n_conv)</f>
        <v>0.0918411883001813</v>
      </c>
      <c r="J8210" s="7" t="n">
        <f aca="false">Sens!$E$8210+(glt_m365b-Sens!$E$8210)*MIN(1,(Sens!J8162-base_fy)/n_conv)</f>
        <v>0.0809205941500906</v>
      </c>
      <c r="K8210" s="7" t="n">
        <f aca="false">Sens!$E$8210+(glt_m365b-Sens!$E$8210)*MIN(1,(Sens!K8162-base_fy)/n_conv)</f>
        <v>0.07</v>
      </c>
    </row>
    <row r="8211" customFormat="false" ht="15" hidden="false" customHeight="false" outlineLevel="0" collapsed="false">
      <c r="A8211" s="0" t="s">
        <v>1036</v>
      </c>
      <c r="B8211" s="0" t="s">
        <v>98</v>
      </c>
      <c r="D8211" s="6" t="n">
        <f aca="false">Sens!D8209+Sens!D8208</f>
        <v>84.605</v>
      </c>
      <c r="E8211" s="6" t="n">
        <f aca="false">Sens!E8209+Sens!E8208</f>
        <v>100.299</v>
      </c>
      <c r="F8211" s="6" t="n">
        <f aca="false">Sens!F8209+Sens!F8208</f>
        <v>116.017748799891</v>
      </c>
      <c r="G8211" s="6" t="n">
        <f aca="false">Sens!G8209+Sens!G8208</f>
        <v>132.54470647746</v>
      </c>
      <c r="H8211" s="6" t="n">
        <f aca="false">Sens!H8209+Sens!H8208</f>
        <v>149.153444068876</v>
      </c>
      <c r="I8211" s="6" t="n">
        <f aca="false">Sens!I8209+Sens!I8208</f>
        <v>164.504857877399</v>
      </c>
      <c r="J8211" s="6" t="n">
        <f aca="false">Sens!J8209+Sens!J8208</f>
        <v>178.316198125455</v>
      </c>
      <c r="K8211" s="6" t="n">
        <f aca="false">Sens!K8209+Sens!K8208</f>
        <v>191.370731994236</v>
      </c>
    </row>
    <row r="8212" customFormat="false" ht="17.15" hidden="false" customHeight="false" outlineLevel="0" collapsed="false">
      <c r="A8212" s="0" t="s">
        <v>1037</v>
      </c>
      <c r="B8212" s="0" t="s">
        <v>98</v>
      </c>
      <c r="D8212" s="6" t="n">
        <f aca="false">Q!L8</f>
        <v>35.391</v>
      </c>
      <c r="E8212" s="6" t="n">
        <f aca="false">Q!M8</f>
        <v>37.285</v>
      </c>
      <c r="F8212" s="6" t="n">
        <f aca="false">Q!$I$8+(Q!M8-Q!$E$8)*(1+Sens!F8213)</f>
        <v>38.3851437782675</v>
      </c>
      <c r="G8212" s="6" t="n">
        <f aca="false">Sens!F8212*(1+Sens!G8213)</f>
        <v>40.0105353288615</v>
      </c>
      <c r="H8212" s="6" t="n">
        <f aca="false">Sens!G8212*(1+Sens!H8213)</f>
        <v>41.4812512033683</v>
      </c>
      <c r="I8212" s="6" t="n">
        <f aca="false">Sens!H8212*(1+Sens!I8213)</f>
        <v>42.7743107216329</v>
      </c>
      <c r="J8212" s="6" t="n">
        <f aca="false">Sens!I8212*(1+Sens!J8213)</f>
        <v>43.8687373064601</v>
      </c>
      <c r="K8212" s="6" t="n">
        <f aca="false">Sens!J8212*(1+Sens!K8213)</f>
        <v>44.7461120525893</v>
      </c>
      <c r="L8212" s="12" t="s">
        <v>1038</v>
      </c>
    </row>
    <row r="8213" customFormat="false" ht="15" hidden="false" customHeight="false" outlineLevel="0" collapsed="false">
      <c r="A8213" s="1" t="s">
        <v>1028</v>
      </c>
      <c r="B8213" s="0" t="s">
        <v>168</v>
      </c>
      <c r="E8213" s="7" t="n">
        <f aca="false">Sens!E8212/Sens!D8212-1</f>
        <v>0.0535164307309768</v>
      </c>
      <c r="F8213" s="7" t="n">
        <f aca="false">Sens!$E$8213+(glt_lic-Sens!$E$8213)*MIN(1,(Sens!F8162-base_fy)/n_conv)</f>
        <v>0.0479303589424807</v>
      </c>
      <c r="G8213" s="7" t="n">
        <f aca="false">Sens!$E$8213+(glt_lic-Sens!$E$8213)*MIN(1,(Sens!G8162-base_fy)/n_conv)</f>
        <v>0.0423442871539845</v>
      </c>
      <c r="H8213" s="7" t="n">
        <f aca="false">Sens!$E$8213+(glt_lic-Sens!$E$8213)*MIN(1,(Sens!H8162-base_fy)/n_conv)</f>
        <v>0.0367582153654884</v>
      </c>
      <c r="I8213" s="7" t="n">
        <f aca="false">Sens!$E$8213+(glt_lic-Sens!$E$8213)*MIN(1,(Sens!I8162-base_fy)/n_conv)</f>
        <v>0.0311721435769923</v>
      </c>
      <c r="J8213" s="7" t="n">
        <f aca="false">Sens!$E$8213+(glt_lic-Sens!$E$8213)*MIN(1,(Sens!J8162-base_fy)/n_conv)</f>
        <v>0.0255860717884961</v>
      </c>
      <c r="K8213" s="7" t="n">
        <f aca="false">Sens!$E$8213+(glt_lic-Sens!$E$8213)*MIN(1,(Sens!K8162-base_fy)/n_conv)</f>
        <v>0.02</v>
      </c>
    </row>
    <row r="8214" customFormat="false" ht="17.15" hidden="false" customHeight="false" outlineLevel="0" collapsed="false">
      <c r="A8214" s="0" t="s">
        <v>1039</v>
      </c>
      <c r="B8214" s="0" t="s">
        <v>98</v>
      </c>
      <c r="D8214" s="6" t="n">
        <f aca="false">Q!L9</f>
        <v>18.417</v>
      </c>
      <c r="E8214" s="6" t="n">
        <f aca="false">Q!M9</f>
        <v>20.345</v>
      </c>
      <c r="F8214" s="6" t="n">
        <f aca="false">Q!$I$9+(Q!M9-Q!$E$9)*(1+Sens!F8215)</f>
        <v>22.3161797133988</v>
      </c>
      <c r="G8214" s="6" t="n">
        <f aca="false">Sens!F8214*(1+Sens!G8215)</f>
        <v>24.3943499673233</v>
      </c>
      <c r="H8214" s="6" t="n">
        <f aca="false">Sens!G8214*(1+Sens!H8215)</f>
        <v>26.5250243109019</v>
      </c>
      <c r="I8214" s="6" t="n">
        <f aca="false">Sens!H8214*(1+Sens!I8215)</f>
        <v>28.6884573538181</v>
      </c>
      <c r="J8214" s="6" t="n">
        <f aca="false">Sens!I8214*(1+Sens!J8215)</f>
        <v>30.8624968052127</v>
      </c>
      <c r="K8214" s="6" t="n">
        <f aca="false">Sens!J8214*(1+Sens!K8215)</f>
        <v>33.0228715815776</v>
      </c>
      <c r="L8214" s="12" t="s">
        <v>1038</v>
      </c>
    </row>
    <row r="8215" customFormat="false" ht="15" hidden="false" customHeight="false" outlineLevel="0" collapsed="false">
      <c r="A8215" s="1" t="s">
        <v>1028</v>
      </c>
      <c r="B8215" s="0" t="s">
        <v>168</v>
      </c>
      <c r="E8215" s="7" t="n">
        <f aca="false">Sens!E8214/Sens!D8214-1</f>
        <v>0.104685888038225</v>
      </c>
      <c r="F8215" s="7" t="n">
        <f aca="false">Sens!$E$8215+(glt_ind-Sens!$E$8215)*MIN(1,(Sens!F8162-base_fy)/n_conv)</f>
        <v>0.0989049066985211</v>
      </c>
      <c r="G8215" s="7" t="n">
        <f aca="false">Sens!$E$8215+(glt_ind-Sens!$E$8215)*MIN(1,(Sens!G8162-base_fy)/n_conv)</f>
        <v>0.0931239253588169</v>
      </c>
      <c r="H8215" s="7" t="n">
        <f aca="false">Sens!$E$8215+(glt_ind-Sens!$E$8215)*MIN(1,(Sens!H8162-base_fy)/n_conv)</f>
        <v>0.0873429440191127</v>
      </c>
      <c r="I8215" s="7" t="n">
        <f aca="false">Sens!$E$8215+(glt_ind-Sens!$E$8215)*MIN(1,(Sens!I8162-base_fy)/n_conv)</f>
        <v>0.0815619626794085</v>
      </c>
      <c r="J8215" s="7" t="n">
        <f aca="false">Sens!$E$8215+(glt_ind-Sens!$E$8215)*MIN(1,(Sens!J8162-base_fy)/n_conv)</f>
        <v>0.0757809813397042</v>
      </c>
      <c r="K8215" s="7" t="n">
        <f aca="false">Sens!$E$8215+(glt_ind-Sens!$E$8215)*MIN(1,(Sens!K8162-base_fy)/n_conv)</f>
        <v>0.07</v>
      </c>
    </row>
    <row r="8216" customFormat="false" ht="17.15" hidden="false" customHeight="false" outlineLevel="0" collapsed="false">
      <c r="A8216" s="0" t="s">
        <v>1040</v>
      </c>
      <c r="B8216" s="0" t="s">
        <v>98</v>
      </c>
      <c r="D8216" s="6" t="n">
        <f aca="false">Q!L10</f>
        <v>7.76</v>
      </c>
      <c r="E8216" s="6" t="n">
        <f aca="false">Q!M10</f>
        <v>8.26</v>
      </c>
      <c r="F8216" s="6" t="n">
        <f aca="false">Q!$I$10+(Q!M10-Q!$E$10)*(1+Sens!F8217)</f>
        <v>8.75372082474227</v>
      </c>
      <c r="G8216" s="6" t="n">
        <f aca="false">Sens!F8216*(1+Sens!G8217)</f>
        <v>9.33399324642364</v>
      </c>
      <c r="H8216" s="6" t="n">
        <f aca="false">Sens!G8216*(1+Sens!H8217)</f>
        <v>9.96139155535851</v>
      </c>
      <c r="I8216" s="6" t="n">
        <f aca="false">Sens!H8216*(1+Sens!I8217)</f>
        <v>10.6402039077391</v>
      </c>
      <c r="J8216" s="6" t="n">
        <f aca="false">Sens!I8216*(1+Sens!J8217)</f>
        <v>11.3751458271397</v>
      </c>
      <c r="K8216" s="6" t="n">
        <f aca="false">Sens!J8216*(1+Sens!K8217)</f>
        <v>12.1714060350394</v>
      </c>
      <c r="L8216" s="12" t="s">
        <v>1038</v>
      </c>
    </row>
    <row r="8217" customFormat="false" ht="15" hidden="false" customHeight="false" outlineLevel="0" collapsed="false">
      <c r="A8217" s="1" t="s">
        <v>1028</v>
      </c>
      <c r="B8217" s="0" t="s">
        <v>168</v>
      </c>
      <c r="E8217" s="7" t="n">
        <f aca="false">Sens!E8216/Sens!D8216-1</f>
        <v>0.0644329896907216</v>
      </c>
      <c r="F8217" s="7" t="n">
        <f aca="false">Sens!$E$8217+(glt_fro-Sens!$E$8217)*MIN(1,(Sens!F8162-base_fy)/n_conv)</f>
        <v>0.065360824742268</v>
      </c>
      <c r="G8217" s="7" t="n">
        <f aca="false">Sens!$E$8217+(glt_fro-Sens!$E$8217)*MIN(1,(Sens!G8162-base_fy)/n_conv)</f>
        <v>0.0662886597938144</v>
      </c>
      <c r="H8217" s="7" t="n">
        <f aca="false">Sens!$E$8217+(glt_fro-Sens!$E$8217)*MIN(1,(Sens!H8162-base_fy)/n_conv)</f>
        <v>0.0672164948453608</v>
      </c>
      <c r="I8217" s="7" t="n">
        <f aca="false">Sens!$E$8217+(glt_fro-Sens!$E$8217)*MIN(1,(Sens!I8162-base_fy)/n_conv)</f>
        <v>0.0681443298969072</v>
      </c>
      <c r="J8217" s="7" t="n">
        <f aca="false">Sens!$E$8217+(glt_fro-Sens!$E$8217)*MIN(1,(Sens!J8162-base_fy)/n_conv)</f>
        <v>0.0690721649484536</v>
      </c>
      <c r="K8217" s="7" t="n">
        <f aca="false">Sens!$E$8217+(glt_fro-Sens!$E$8217)*MIN(1,(Sens!K8162-base_fy)/n_conv)</f>
        <v>0.07</v>
      </c>
    </row>
    <row r="8218" customFormat="false" ht="15" hidden="false" customHeight="false" outlineLevel="0" collapsed="false">
      <c r="A8218" s="0" t="s">
        <v>856</v>
      </c>
      <c r="B8218" s="0" t="s">
        <v>98</v>
      </c>
      <c r="D8218" s="6" t="n">
        <f aca="false">Sens!D8206+Sens!D8211+Sens!D8212+Sens!D8214+Sens!D8216</f>
        <v>218.783</v>
      </c>
      <c r="E8218" s="6" t="n">
        <f aca="false">Sens!E8206+Sens!E8211+Sens!E8212+Sens!E8214+Sens!E8216</f>
        <v>268.127</v>
      </c>
      <c r="F8218" s="6" t="n">
        <f aca="false">Sens!F8206+Sens!F8211+Sens!F8212+Sens!F8214+Sens!F8216</f>
        <v>332.181841116481</v>
      </c>
      <c r="G8218" s="6" t="n">
        <f aca="false">Sens!G8206+Sens!G8211+Sens!G8212+Sens!G8214+Sens!G8216</f>
        <v>406.046414881461</v>
      </c>
      <c r="H8218" s="6" t="n">
        <f aca="false">Sens!H8206+Sens!H8211+Sens!H8212+Sens!H8214+Sens!H8216</f>
        <v>481.26767724815</v>
      </c>
      <c r="I8218" s="6" t="n">
        <f aca="false">Sens!I8206+Sens!I8211+Sens!I8212+Sens!I8214+Sens!I8216</f>
        <v>550.047276825206</v>
      </c>
      <c r="J8218" s="6" t="n">
        <f aca="false">Sens!J8206+Sens!J8211+Sens!J8212+Sens!J8214+Sens!J8216</f>
        <v>605.732476524006</v>
      </c>
      <c r="K8218" s="6" t="n">
        <f aca="false">Sens!K8206+Sens!K8211+Sens!K8212+Sens!K8214+Sens!K8216</f>
        <v>649.408599559983</v>
      </c>
    </row>
    <row r="8219" customFormat="false" ht="17.15" hidden="false" customHeight="false" outlineLevel="0" collapsed="false">
      <c r="A8219" s="0" t="s">
        <v>1041</v>
      </c>
      <c r="B8219" s="0" t="s">
        <v>98</v>
      </c>
      <c r="D8219" s="6" t="n">
        <f aca="false">Q!L13</f>
        <v>22.171</v>
      </c>
      <c r="E8219" s="6" t="n">
        <f aca="false">Q!M13</f>
        <v>24.835</v>
      </c>
      <c r="F8219" s="6" t="n">
        <f aca="false">Q!$I$13+(Q!M13-Q!$E$13)*(1+Sens!F8220)</f>
        <v>27.5591895660247</v>
      </c>
      <c r="G8219" s="6" t="n">
        <f aca="false">Sens!F8219*(1+Sens!G8220)</f>
        <v>30.4098563144583</v>
      </c>
      <c r="H8219" s="6" t="n">
        <f aca="false">Sens!G8219*(1+Sens!H8220)</f>
        <v>33.3011792571777</v>
      </c>
      <c r="I8219" s="6" t="n">
        <f aca="false">Sens!H8219*(1+Sens!I8220)</f>
        <v>36.189023797112</v>
      </c>
      <c r="J8219" s="6" t="n">
        <f aca="false">Sens!I8219*(1+Sens!J8220)</f>
        <v>39.0247773769199</v>
      </c>
      <c r="K8219" s="6" t="n">
        <f aca="false">Sens!J8219*(1+Sens!K8220)</f>
        <v>41.7565117933043</v>
      </c>
      <c r="L8219" s="12" t="s">
        <v>1038</v>
      </c>
    </row>
    <row r="8220" customFormat="false" ht="15" hidden="false" customHeight="false" outlineLevel="0" collapsed="false">
      <c r="A8220" s="1" t="s">
        <v>1028</v>
      </c>
      <c r="B8220" s="0" t="s">
        <v>168</v>
      </c>
      <c r="E8220" s="7" t="n">
        <f aca="false">Sens!E8219/Sens!D8219-1</f>
        <v>0.120156961796942</v>
      </c>
      <c r="F8220" s="7" t="n">
        <f aca="false">Sens!$E$8220+(glt_srch-Sens!$E$8220)*MIN(1,(Sens!F8162-base_fy)/n_conv)</f>
        <v>0.111797468164118</v>
      </c>
      <c r="G8220" s="7" t="n">
        <f aca="false">Sens!$E$8220+(glt_srch-Sens!$E$8220)*MIN(1,(Sens!G8162-base_fy)/n_conv)</f>
        <v>0.103437974531295</v>
      </c>
      <c r="H8220" s="7" t="n">
        <f aca="false">Sens!$E$8220+(glt_srch-Sens!$E$8220)*MIN(1,(Sens!H8162-base_fy)/n_conv)</f>
        <v>0.095078480898471</v>
      </c>
      <c r="I8220" s="7" t="n">
        <f aca="false">Sens!$E$8220+(glt_srch-Sens!$E$8220)*MIN(1,(Sens!I8162-base_fy)/n_conv)</f>
        <v>0.0867189872656474</v>
      </c>
      <c r="J8220" s="7" t="n">
        <f aca="false">Sens!$E$8220+(glt_srch-Sens!$E$8220)*MIN(1,(Sens!J8162-base_fy)/n_conv)</f>
        <v>0.0783594936328237</v>
      </c>
      <c r="K8220" s="7" t="n">
        <f aca="false">Sens!$E$8220+(glt_srch-Sens!$E$8220)*MIN(1,(Sens!K8162-base_fy)/n_conv)</f>
        <v>0.07</v>
      </c>
    </row>
    <row r="8221" customFormat="false" ht="17.15" hidden="false" customHeight="false" outlineLevel="0" collapsed="false">
      <c r="A8221" s="0" t="s">
        <v>1042</v>
      </c>
      <c r="B8221" s="0" t="s">
        <v>98</v>
      </c>
      <c r="D8221" s="6" t="n">
        <f aca="false">Q!L14</f>
        <v>23.455</v>
      </c>
      <c r="E8221" s="6" t="n">
        <f aca="false">Q!M14</f>
        <v>21.79</v>
      </c>
      <c r="F8221" s="6" t="n">
        <f aca="false">Q!$I$14+(Q!M14-Q!$E$14)*(1+Sens!F8222)</f>
        <v>20.7520981041711</v>
      </c>
      <c r="G8221" s="6" t="n">
        <f aca="false">Sens!F8221*(1+Sens!G8222)</f>
        <v>19.9083593495882</v>
      </c>
      <c r="H8221" s="6" t="n">
        <f aca="false">Sens!G8221*(1+Sens!H8222)</f>
        <v>19.4008256265831</v>
      </c>
      <c r="I8221" s="6" t="n">
        <f aca="false">Sens!H8221*(1+Sens!I8222)</f>
        <v>19.200434522122</v>
      </c>
      <c r="J8221" s="6" t="n">
        <f aca="false">Sens!I8221*(1+Sens!J8222)</f>
        <v>19.2932782348507</v>
      </c>
      <c r="K8221" s="6" t="n">
        <f aca="false">Sens!J8221*(1+Sens!K8222)</f>
        <v>19.6791437995477</v>
      </c>
      <c r="L8221" s="12" t="s">
        <v>1038</v>
      </c>
    </row>
    <row r="8222" customFormat="false" ht="15" hidden="false" customHeight="false" outlineLevel="0" collapsed="false">
      <c r="A8222" s="1" t="s">
        <v>1028</v>
      </c>
      <c r="B8222" s="0" t="s">
        <v>168</v>
      </c>
      <c r="E8222" s="7" t="n">
        <f aca="false">Sens!E8221/Sens!D8221-1</f>
        <v>-0.0709869963760392</v>
      </c>
      <c r="F8222" s="7" t="n">
        <f aca="false">Sens!$E$8222+(glt_xbox-Sens!$E$8222)*MIN(1,(Sens!F8162-base_fy)/n_conv)</f>
        <v>-0.0558224969800327</v>
      </c>
      <c r="G8222" s="7" t="n">
        <f aca="false">Sens!$E$8222+(glt_xbox-Sens!$E$8222)*MIN(1,(Sens!G8162-base_fy)/n_conv)</f>
        <v>-0.0406579975840262</v>
      </c>
      <c r="H8222" s="7" t="n">
        <f aca="false">Sens!$E$8222+(glt_xbox-Sens!$E$8222)*MIN(1,(Sens!H8162-base_fy)/n_conv)</f>
        <v>-0.0254934981880196</v>
      </c>
      <c r="I8222" s="7" t="n">
        <f aca="false">Sens!$E$8222+(glt_xbox-Sens!$E$8222)*MIN(1,(Sens!I8162-base_fy)/n_conv)</f>
        <v>-0.0103289987920131</v>
      </c>
      <c r="J8222" s="7" t="n">
        <f aca="false">Sens!$E$8222+(glt_xbox-Sens!$E$8222)*MIN(1,(Sens!J8162-base_fy)/n_conv)</f>
        <v>0.00483550060399347</v>
      </c>
      <c r="K8222" s="7" t="n">
        <f aca="false">Sens!$E$8222+(glt_xbox-Sens!$E$8222)*MIN(1,(Sens!K8162-base_fy)/n_conv)</f>
        <v>0.02</v>
      </c>
    </row>
    <row r="8223" customFormat="false" ht="17.15" hidden="false" customHeight="false" outlineLevel="0" collapsed="false">
      <c r="A8223" s="0" t="s">
        <v>1043</v>
      </c>
      <c r="B8223" s="0" t="s">
        <v>98</v>
      </c>
      <c r="D8223" s="6" t="n">
        <f aca="false">Q!L15</f>
        <v>17.315</v>
      </c>
      <c r="E8223" s="6" t="n">
        <f aca="false">Q!M15</f>
        <v>17.087</v>
      </c>
      <c r="F8223" s="6" t="n">
        <f aca="false">Q!$I$15+(Q!M15-Q!$E$15)*(1+Sens!F8224)</f>
        <v>15.9912273250553</v>
      </c>
      <c r="G8223" s="6" t="n">
        <f aca="false">Sens!F8223*(1+Sens!G8224)</f>
        <v>15.9574562664827</v>
      </c>
      <c r="H8223" s="6" t="n">
        <f aca="false">Sens!G8223*(1+Sens!H8224)</f>
        <v>16.0119687434196</v>
      </c>
      <c r="I8223" s="6" t="n">
        <f aca="false">Sens!H8223*(1+Sens!I8224)</f>
        <v>16.1551810001948</v>
      </c>
      <c r="J8223" s="6" t="n">
        <f aca="false">Sens!I8223*(1+Sens!J8224)</f>
        <v>16.3889793892005</v>
      </c>
      <c r="K8223" s="6" t="n">
        <f aca="false">Sens!J8223*(1+Sens!K8224)</f>
        <v>16.7167589769845</v>
      </c>
      <c r="L8223" s="12" t="s">
        <v>1038</v>
      </c>
    </row>
    <row r="8224" customFormat="false" ht="15" hidden="false" customHeight="false" outlineLevel="0" collapsed="false">
      <c r="A8224" s="1" t="s">
        <v>1028</v>
      </c>
      <c r="B8224" s="0" t="s">
        <v>168</v>
      </c>
      <c r="E8224" s="7" t="n">
        <f aca="false">Sens!E8223/Sens!D8223-1</f>
        <v>-0.0131677736066995</v>
      </c>
      <c r="F8224" s="7" t="n">
        <f aca="false">Sens!$E$8224+(glt_win-Sens!$E$8224)*MIN(1,(Sens!F8162-base_fy)/n_conv)</f>
        <v>-0.00763981133891627</v>
      </c>
      <c r="G8224" s="7" t="n">
        <f aca="false">Sens!$E$8224+(glt_win-Sens!$E$8224)*MIN(1,(Sens!G8162-base_fy)/n_conv)</f>
        <v>-0.00211184907113301</v>
      </c>
      <c r="H8224" s="7" t="n">
        <f aca="false">Sens!$E$8224+(glt_win-Sens!$E$8224)*MIN(1,(Sens!H8162-base_fy)/n_conv)</f>
        <v>0.00341611319665024</v>
      </c>
      <c r="I8224" s="7" t="n">
        <f aca="false">Sens!$E$8224+(glt_win-Sens!$E$8224)*MIN(1,(Sens!I8162-base_fy)/n_conv)</f>
        <v>0.00894407546443349</v>
      </c>
      <c r="J8224" s="7" t="n">
        <f aca="false">Sens!$E$8224+(glt_win-Sens!$E$8224)*MIN(1,(Sens!J8162-base_fy)/n_conv)</f>
        <v>0.0144720377322168</v>
      </c>
      <c r="K8224" s="7" t="n">
        <f aca="false">Sens!$E$8224+(glt_win-Sens!$E$8224)*MIN(1,(Sens!K8162-base_fy)/n_conv)</f>
        <v>0.02</v>
      </c>
    </row>
    <row r="8225" customFormat="false" ht="15" hidden="false" customHeight="false" outlineLevel="0" collapsed="false">
      <c r="A8225" s="0" t="s">
        <v>870</v>
      </c>
      <c r="B8225" s="0" t="s">
        <v>98</v>
      </c>
      <c r="D8225" s="6" t="n">
        <f aca="false">Sens!D8219+Sens!D8221+Sens!D8223</f>
        <v>62.941</v>
      </c>
      <c r="E8225" s="6" t="n">
        <f aca="false">Sens!E8219+Sens!E8221+Sens!E8223</f>
        <v>63.712</v>
      </c>
      <c r="F8225" s="6" t="n">
        <f aca="false">Sens!F8219+Sens!F8221+Sens!F8223</f>
        <v>64.3025149952511</v>
      </c>
      <c r="G8225" s="6" t="n">
        <f aca="false">Sens!G8219+Sens!G8221+Sens!G8223</f>
        <v>66.2756719305292</v>
      </c>
      <c r="H8225" s="6" t="n">
        <f aca="false">Sens!H8219+Sens!H8221+Sens!H8223</f>
        <v>68.7139736271804</v>
      </c>
      <c r="I8225" s="6" t="n">
        <f aca="false">Sens!I8219+Sens!I8221+Sens!I8223</f>
        <v>71.5446393194289</v>
      </c>
      <c r="J8225" s="6" t="n">
        <f aca="false">Sens!J8219+Sens!J8221+Sens!J8223</f>
        <v>74.707035000971</v>
      </c>
      <c r="K8225" s="6" t="n">
        <f aca="false">Sens!K8219+Sens!K8221+Sens!K8223</f>
        <v>78.1524145698365</v>
      </c>
    </row>
    <row r="8226" customFormat="false" ht="15" hidden="false" customHeight="false" outlineLevel="0" collapsed="false">
      <c r="A8226" s="1" t="s">
        <v>1044</v>
      </c>
      <c r="B8226" s="0" t="s">
        <v>98</v>
      </c>
      <c r="D8226" s="6" t="n">
        <f aca="false">Sens!D8218+Sens!D8225</f>
        <v>281.724</v>
      </c>
      <c r="E8226" s="6" t="n">
        <f aca="false">Sens!E8218+Sens!E8225</f>
        <v>331.839</v>
      </c>
      <c r="F8226" s="6" t="n">
        <f aca="false">Sens!F8218+Sens!F8225</f>
        <v>396.484356111732</v>
      </c>
      <c r="G8226" s="6" t="n">
        <f aca="false">Sens!G8218+Sens!G8225</f>
        <v>472.32208681199</v>
      </c>
      <c r="H8226" s="6" t="n">
        <f aca="false">Sens!H8218+Sens!H8225</f>
        <v>549.98165087533</v>
      </c>
      <c r="I8226" s="6" t="n">
        <f aca="false">Sens!I8218+Sens!I8225</f>
        <v>621.591916144635</v>
      </c>
      <c r="J8226" s="6" t="n">
        <f aca="false">Sens!J8218+Sens!J8225</f>
        <v>680.439511524977</v>
      </c>
      <c r="K8226" s="6" t="n">
        <f aca="false">Sens!K8218+Sens!K8225</f>
        <v>727.561014129819</v>
      </c>
    </row>
    <row r="8227" customFormat="false" ht="15" hidden="false" customHeight="false" outlineLevel="0" collapsed="false">
      <c r="A8227" s="26" t="s">
        <v>1045</v>
      </c>
      <c r="B8227" s="31" t="s">
        <v>98</v>
      </c>
      <c r="C8227" s="31"/>
      <c r="D8227" s="27" t="n">
        <f aca="false">(Sens!D8206+Sens!D8211+Sens!D8212+Sens!D8214+Sens!D8216-Sens!D8218)+(Sens!D8219+Sens!D8221+Sens!D8223-Sens!D8225)+(Sens!D8218-Q!L5)+(Sens!D8225-Q!L12)+(Sens!D8206-Q!L6)+(Sens!D8211-Q!L7)</f>
        <v>0</v>
      </c>
      <c r="E8227" s="27" t="n">
        <f aca="false">(Sens!E8206+Sens!E8211+Sens!E8212+Sens!E8214+Sens!E8216-Sens!E8218)+(Sens!E8219+Sens!E8221+Sens!E8223-Sens!E8225)+(Sens!E8218-Q!M5)+(Sens!E8225-Q!M12)+(Sens!E8206-Q!M6)+(Sens!E8211-Q!M7)</f>
        <v>0</v>
      </c>
      <c r="F8227" s="27" t="n">
        <f aca="false">(Sens!F8206+Sens!F8211+Sens!F8212+Sens!F8214+Sens!F8216-Sens!F8218)+(Sens!F8219+Sens!F8221+Sens!F8223-Sens!F8225)</f>
        <v>0</v>
      </c>
      <c r="G8227" s="27" t="n">
        <f aca="false">(Sens!G8206+Sens!G8211+Sens!G8212+Sens!G8214+Sens!G8216-Sens!G8218)+(Sens!G8219+Sens!G8221+Sens!G8223-Sens!G8225)</f>
        <v>0</v>
      </c>
      <c r="H8227" s="27" t="n">
        <f aca="false">(Sens!H8206+Sens!H8211+Sens!H8212+Sens!H8214+Sens!H8216-Sens!H8218)+(Sens!H8219+Sens!H8221+Sens!H8223-Sens!H8225)</f>
        <v>0</v>
      </c>
      <c r="I8227" s="27" t="n">
        <f aca="false">(Sens!I8206+Sens!I8211+Sens!I8212+Sens!I8214+Sens!I8216-Sens!I8218)+(Sens!I8219+Sens!I8221+Sens!I8223-Sens!I8225)</f>
        <v>0</v>
      </c>
      <c r="J8227" s="27" t="n">
        <f aca="false">(Sens!J8206+Sens!J8211+Sens!J8212+Sens!J8214+Sens!J8216-Sens!J8218)+(Sens!J8219+Sens!J8221+Sens!J8223-Sens!J8225)</f>
        <v>0</v>
      </c>
      <c r="K8227" s="27" t="n">
        <f aca="false">(Sens!K8206+Sens!K8211+Sens!K8212+Sens!K8214+Sens!K8216-Sens!K8218)+(Sens!K8219+Sens!K8221+Sens!K8223-Sens!K8225)</f>
        <v>0</v>
      </c>
    </row>
    <row r="8228" customFormat="false" ht="17.15" hidden="false" customHeight="false" outlineLevel="0" collapsed="false">
      <c r="A8228" s="3" t="s">
        <v>1817</v>
      </c>
    </row>
    <row r="8229" customFormat="false" ht="15" hidden="false" customHeight="false" outlineLevel="0" collapsed="false">
      <c r="A8229" s="4" t="s">
        <v>43</v>
      </c>
      <c r="B8229" s="4" t="s">
        <v>65</v>
      </c>
      <c r="C8229" s="23" t="s">
        <v>942</v>
      </c>
      <c r="D8229" s="23" t="s">
        <v>943</v>
      </c>
      <c r="E8229" s="23" t="s">
        <v>944</v>
      </c>
      <c r="F8229" s="23" t="s">
        <v>945</v>
      </c>
      <c r="G8229" s="23" t="s">
        <v>946</v>
      </c>
      <c r="H8229" s="23" t="s">
        <v>947</v>
      </c>
      <c r="I8229" s="23" t="s">
        <v>948</v>
      </c>
      <c r="J8229" s="23" t="s">
        <v>949</v>
      </c>
      <c r="K8229" s="23" t="s">
        <v>950</v>
      </c>
      <c r="L8229" s="4" t="s">
        <v>47</v>
      </c>
    </row>
    <row r="8230" customFormat="false" ht="15" hidden="false" customHeight="false" outlineLevel="0" collapsed="false">
      <c r="A8230" s="0" t="s">
        <v>1029</v>
      </c>
      <c r="B8230" s="0" t="s">
        <v>98</v>
      </c>
      <c r="D8230" s="6" t="n">
        <f aca="false">Sens!D8206</f>
        <v>72.61</v>
      </c>
      <c r="E8230" s="6" t="n">
        <f aca="false">Sens!E8206</f>
        <v>101.938</v>
      </c>
      <c r="F8230" s="6" t="n">
        <f aca="false">Sens!F8206</f>
        <v>146.709048000181</v>
      </c>
      <c r="G8230" s="6" t="n">
        <f aca="false">Sens!G8206</f>
        <v>199.762829861393</v>
      </c>
      <c r="H8230" s="6" t="n">
        <f aca="false">Sens!H8206</f>
        <v>254.146566109645</v>
      </c>
      <c r="I8230" s="6" t="n">
        <f aca="false">Sens!I8206</f>
        <v>303.439446964617</v>
      </c>
      <c r="J8230" s="6" t="n">
        <f aca="false">Sens!J8206</f>
        <v>341.309898459739</v>
      </c>
      <c r="K8230" s="6" t="n">
        <f aca="false">Sens!K8206</f>
        <v>368.09747789654</v>
      </c>
    </row>
    <row r="8231" customFormat="false" ht="17.15" hidden="false" customHeight="false" outlineLevel="0" collapsed="false">
      <c r="A8231" s="0" t="s">
        <v>1025</v>
      </c>
      <c r="B8231" s="0" t="s">
        <v>98</v>
      </c>
      <c r="D8231" s="6" t="n">
        <f aca="false">Sens!D8203</f>
        <v>12.9359794422418</v>
      </c>
      <c r="E8231" s="6" t="n">
        <f aca="false">Sens!E8203</f>
        <v>27.8095064661409</v>
      </c>
      <c r="F8231" s="6" t="n">
        <f aca="false">Sens!F8203</f>
        <v>55.4118315060966</v>
      </c>
      <c r="G8231" s="6" t="n">
        <f aca="false">Sens!G8203</f>
        <v>91.2881100675143</v>
      </c>
      <c r="H8231" s="6" t="n">
        <f aca="false">Sens!H8203</f>
        <v>128.195273603944</v>
      </c>
      <c r="I8231" s="6" t="n">
        <f aca="false">Sens!I8203</f>
        <v>160.601281810405</v>
      </c>
      <c r="J8231" s="6" t="n">
        <f aca="false">Sens!J8203</f>
        <v>183.182719793589</v>
      </c>
      <c r="K8231" s="6" t="n">
        <f aca="false">Sens!K8203</f>
        <v>197.320124937098</v>
      </c>
    </row>
    <row r="8232" customFormat="false" ht="17.15" hidden="false" customHeight="false" outlineLevel="0" collapsed="false">
      <c r="A8232" s="0" t="s">
        <v>1056</v>
      </c>
      <c r="B8232" s="0" t="s">
        <v>98</v>
      </c>
      <c r="D8232" s="6" t="n">
        <f aca="false">Sens!D8204</f>
        <v>59.6740205577583</v>
      </c>
      <c r="E8232" s="6" t="n">
        <f aca="false">Sens!E8204</f>
        <v>74.1284935338591</v>
      </c>
      <c r="F8232" s="6" t="n">
        <f aca="false">Sens!F8204</f>
        <v>91.2972164940844</v>
      </c>
      <c r="G8232" s="6" t="n">
        <f aca="false">Sens!G8204</f>
        <v>108.474719793879</v>
      </c>
      <c r="H8232" s="6" t="n">
        <f aca="false">Sens!H8204</f>
        <v>125.951292505701</v>
      </c>
      <c r="I8232" s="6" t="n">
        <f aca="false">Sens!I8204</f>
        <v>142.838165154212</v>
      </c>
      <c r="J8232" s="6" t="n">
        <f aca="false">Sens!J8204</f>
        <v>158.12717866615</v>
      </c>
      <c r="K8232" s="6" t="n">
        <f aca="false">Sens!K8204</f>
        <v>170.777352959442</v>
      </c>
    </row>
    <row r="8233" customFormat="false" ht="15" hidden="false" customHeight="false" outlineLevel="0" collapsed="false">
      <c r="A8233" s="0" t="s">
        <v>1036</v>
      </c>
      <c r="B8233" s="0" t="s">
        <v>98</v>
      </c>
      <c r="D8233" s="6" t="n">
        <f aca="false">Sens!D8211</f>
        <v>84.605</v>
      </c>
      <c r="E8233" s="6" t="n">
        <f aca="false">Sens!E8211</f>
        <v>100.299</v>
      </c>
      <c r="F8233" s="6" t="n">
        <f aca="false">Sens!F8211</f>
        <v>116.017748799891</v>
      </c>
      <c r="G8233" s="6" t="n">
        <f aca="false">Sens!G8211</f>
        <v>132.54470647746</v>
      </c>
      <c r="H8233" s="6" t="n">
        <f aca="false">Sens!H8211</f>
        <v>149.153444068876</v>
      </c>
      <c r="I8233" s="6" t="n">
        <f aca="false">Sens!I8211</f>
        <v>164.504857877399</v>
      </c>
      <c r="J8233" s="6" t="n">
        <f aca="false">Sens!J8211</f>
        <v>178.316198125455</v>
      </c>
      <c r="K8233" s="6" t="n">
        <f aca="false">Sens!K8211</f>
        <v>191.370731994236</v>
      </c>
    </row>
    <row r="8234" customFormat="false" ht="17.15" hidden="false" customHeight="false" outlineLevel="0" collapsed="false">
      <c r="A8234" s="0" t="s">
        <v>1057</v>
      </c>
      <c r="B8234" s="0" t="s">
        <v>98</v>
      </c>
      <c r="D8234" s="6" t="n">
        <f aca="false">Sens!D8209</f>
        <v>83.705</v>
      </c>
      <c r="E8234" s="6" t="n">
        <f aca="false">Sens!E8209</f>
        <v>95.049</v>
      </c>
      <c r="F8234" s="6" t="n">
        <f aca="false">Sens!F8209</f>
        <v>107.377748799891</v>
      </c>
      <c r="G8234" s="6" t="n">
        <f aca="false">Sens!G8209</f>
        <v>119.58470647746</v>
      </c>
      <c r="H8234" s="6" t="n">
        <f aca="false">Sens!H8209</f>
        <v>131.873444068876</v>
      </c>
      <c r="I8234" s="6" t="n">
        <f aca="false">Sens!I8209</f>
        <v>143.984857877399</v>
      </c>
      <c r="J8234" s="6" t="n">
        <f aca="false">Sens!J8209</f>
        <v>155.636198125454</v>
      </c>
      <c r="K8234" s="6" t="n">
        <f aca="false">Sens!K8209</f>
        <v>166.530731994236</v>
      </c>
    </row>
    <row r="8235" customFormat="false" ht="17.15" hidden="false" customHeight="false" outlineLevel="0" collapsed="false">
      <c r="A8235" s="0" t="s">
        <v>1058</v>
      </c>
      <c r="B8235" s="0" t="s">
        <v>98</v>
      </c>
      <c r="D8235" s="6" t="n">
        <f aca="false">Sens!D8208</f>
        <v>0.9</v>
      </c>
      <c r="E8235" s="6" t="n">
        <f aca="false">Sens!E8208</f>
        <v>5.25</v>
      </c>
      <c r="F8235" s="6" t="n">
        <f aca="false">Sens!F8208</f>
        <v>8.64</v>
      </c>
      <c r="G8235" s="6" t="n">
        <f aca="false">Sens!G8208</f>
        <v>12.96</v>
      </c>
      <c r="H8235" s="6" t="n">
        <f aca="false">Sens!H8208</f>
        <v>17.28</v>
      </c>
      <c r="I8235" s="6" t="n">
        <f aca="false">Sens!I8208</f>
        <v>20.52</v>
      </c>
      <c r="J8235" s="6" t="n">
        <f aca="false">Sens!J8208</f>
        <v>22.68</v>
      </c>
      <c r="K8235" s="6" t="n">
        <f aca="false">Sens!K8208</f>
        <v>24.84</v>
      </c>
    </row>
    <row r="8236" customFormat="false" ht="15" hidden="false" customHeight="false" outlineLevel="0" collapsed="false">
      <c r="A8236" s="0" t="s">
        <v>1037</v>
      </c>
      <c r="B8236" s="0" t="s">
        <v>98</v>
      </c>
      <c r="D8236" s="6" t="n">
        <f aca="false">Sens!D8212</f>
        <v>35.391</v>
      </c>
      <c r="E8236" s="6" t="n">
        <f aca="false">Sens!E8212</f>
        <v>37.285</v>
      </c>
      <c r="F8236" s="6" t="n">
        <f aca="false">Sens!F8212</f>
        <v>38.3851437782675</v>
      </c>
      <c r="G8236" s="6" t="n">
        <f aca="false">Sens!G8212</f>
        <v>40.0105353288615</v>
      </c>
      <c r="H8236" s="6" t="n">
        <f aca="false">Sens!H8212</f>
        <v>41.4812512033683</v>
      </c>
      <c r="I8236" s="6" t="n">
        <f aca="false">Sens!I8212</f>
        <v>42.7743107216329</v>
      </c>
      <c r="J8236" s="6" t="n">
        <f aca="false">Sens!J8212</f>
        <v>43.8687373064601</v>
      </c>
      <c r="K8236" s="6" t="n">
        <f aca="false">Sens!K8212</f>
        <v>44.7461120525893</v>
      </c>
    </row>
    <row r="8237" customFormat="false" ht="15" hidden="false" customHeight="false" outlineLevel="0" collapsed="false">
      <c r="A8237" s="0" t="s">
        <v>1039</v>
      </c>
      <c r="B8237" s="0" t="s">
        <v>98</v>
      </c>
      <c r="D8237" s="6" t="n">
        <f aca="false">Sens!D8214</f>
        <v>18.417</v>
      </c>
      <c r="E8237" s="6" t="n">
        <f aca="false">Sens!E8214</f>
        <v>20.345</v>
      </c>
      <c r="F8237" s="6" t="n">
        <f aca="false">Sens!F8214</f>
        <v>22.3161797133988</v>
      </c>
      <c r="G8237" s="6" t="n">
        <f aca="false">Sens!G8214</f>
        <v>24.3943499673233</v>
      </c>
      <c r="H8237" s="6" t="n">
        <f aca="false">Sens!H8214</f>
        <v>26.5250243109019</v>
      </c>
      <c r="I8237" s="6" t="n">
        <f aca="false">Sens!I8214</f>
        <v>28.6884573538181</v>
      </c>
      <c r="J8237" s="6" t="n">
        <f aca="false">Sens!J8214</f>
        <v>30.8624968052127</v>
      </c>
      <c r="K8237" s="6" t="n">
        <f aca="false">Sens!K8214</f>
        <v>33.0228715815776</v>
      </c>
    </row>
    <row r="8238" customFormat="false" ht="15" hidden="false" customHeight="false" outlineLevel="0" collapsed="false">
      <c r="A8238" s="0" t="s">
        <v>1040</v>
      </c>
      <c r="B8238" s="0" t="s">
        <v>98</v>
      </c>
      <c r="D8238" s="6" t="n">
        <f aca="false">Sens!D8216</f>
        <v>7.76</v>
      </c>
      <c r="E8238" s="6" t="n">
        <f aca="false">Sens!E8216</f>
        <v>8.26</v>
      </c>
      <c r="F8238" s="6" t="n">
        <f aca="false">Sens!F8216</f>
        <v>8.75372082474227</v>
      </c>
      <c r="G8238" s="6" t="n">
        <f aca="false">Sens!G8216</f>
        <v>9.33399324642364</v>
      </c>
      <c r="H8238" s="6" t="n">
        <f aca="false">Sens!H8216</f>
        <v>9.96139155535851</v>
      </c>
      <c r="I8238" s="6" t="n">
        <f aca="false">Sens!I8216</f>
        <v>10.6402039077391</v>
      </c>
      <c r="J8238" s="6" t="n">
        <f aca="false">Sens!J8216</f>
        <v>11.3751458271397</v>
      </c>
      <c r="K8238" s="6" t="n">
        <f aca="false">Sens!K8216</f>
        <v>12.1714060350394</v>
      </c>
    </row>
    <row r="8239" customFormat="false" ht="15" hidden="false" customHeight="false" outlineLevel="0" collapsed="false">
      <c r="A8239" s="0" t="s">
        <v>856</v>
      </c>
      <c r="B8239" s="0" t="s">
        <v>98</v>
      </c>
      <c r="D8239" s="6" t="n">
        <f aca="false">Sens!D8218</f>
        <v>218.783</v>
      </c>
      <c r="E8239" s="6" t="n">
        <f aca="false">Sens!E8218</f>
        <v>268.127</v>
      </c>
      <c r="F8239" s="6" t="n">
        <f aca="false">Sens!F8218</f>
        <v>332.181841116481</v>
      </c>
      <c r="G8239" s="6" t="n">
        <f aca="false">Sens!G8218</f>
        <v>406.046414881461</v>
      </c>
      <c r="H8239" s="6" t="n">
        <f aca="false">Sens!H8218</f>
        <v>481.26767724815</v>
      </c>
      <c r="I8239" s="6" t="n">
        <f aca="false">Sens!I8218</f>
        <v>550.047276825206</v>
      </c>
      <c r="J8239" s="6" t="n">
        <f aca="false">Sens!J8218</f>
        <v>605.732476524006</v>
      </c>
      <c r="K8239" s="6" t="n">
        <f aca="false">Sens!K8218</f>
        <v>649.408599559983</v>
      </c>
    </row>
    <row r="8240" customFormat="false" ht="15" hidden="false" customHeight="false" outlineLevel="0" collapsed="false">
      <c r="A8240" s="0" t="s">
        <v>1041</v>
      </c>
      <c r="B8240" s="0" t="s">
        <v>98</v>
      </c>
      <c r="D8240" s="6" t="n">
        <f aca="false">Sens!D8219</f>
        <v>22.171</v>
      </c>
      <c r="E8240" s="6" t="n">
        <f aca="false">Sens!E8219</f>
        <v>24.835</v>
      </c>
      <c r="F8240" s="6" t="n">
        <f aca="false">Sens!F8219</f>
        <v>27.5591895660247</v>
      </c>
      <c r="G8240" s="6" t="n">
        <f aca="false">Sens!G8219</f>
        <v>30.4098563144583</v>
      </c>
      <c r="H8240" s="6" t="n">
        <f aca="false">Sens!H8219</f>
        <v>33.3011792571777</v>
      </c>
      <c r="I8240" s="6" t="n">
        <f aca="false">Sens!I8219</f>
        <v>36.189023797112</v>
      </c>
      <c r="J8240" s="6" t="n">
        <f aca="false">Sens!J8219</f>
        <v>39.0247773769199</v>
      </c>
      <c r="K8240" s="6" t="n">
        <f aca="false">Sens!K8219</f>
        <v>41.7565117933043</v>
      </c>
    </row>
    <row r="8241" customFormat="false" ht="15" hidden="false" customHeight="false" outlineLevel="0" collapsed="false">
      <c r="A8241" s="0" t="s">
        <v>1042</v>
      </c>
      <c r="B8241" s="0" t="s">
        <v>98</v>
      </c>
      <c r="D8241" s="6" t="n">
        <f aca="false">Sens!D8221</f>
        <v>23.455</v>
      </c>
      <c r="E8241" s="6" t="n">
        <f aca="false">Sens!E8221</f>
        <v>21.79</v>
      </c>
      <c r="F8241" s="6" t="n">
        <f aca="false">Sens!F8221</f>
        <v>20.7520981041711</v>
      </c>
      <c r="G8241" s="6" t="n">
        <f aca="false">Sens!G8221</f>
        <v>19.9083593495882</v>
      </c>
      <c r="H8241" s="6" t="n">
        <f aca="false">Sens!H8221</f>
        <v>19.4008256265831</v>
      </c>
      <c r="I8241" s="6" t="n">
        <f aca="false">Sens!I8221</f>
        <v>19.200434522122</v>
      </c>
      <c r="J8241" s="6" t="n">
        <f aca="false">Sens!J8221</f>
        <v>19.2932782348507</v>
      </c>
      <c r="K8241" s="6" t="n">
        <f aca="false">Sens!K8221</f>
        <v>19.6791437995477</v>
      </c>
    </row>
    <row r="8242" customFormat="false" ht="15" hidden="false" customHeight="false" outlineLevel="0" collapsed="false">
      <c r="A8242" s="0" t="s">
        <v>1043</v>
      </c>
      <c r="B8242" s="0" t="s">
        <v>98</v>
      </c>
      <c r="D8242" s="6" t="n">
        <f aca="false">Sens!D8223</f>
        <v>17.315</v>
      </c>
      <c r="E8242" s="6" t="n">
        <f aca="false">Sens!E8223</f>
        <v>17.087</v>
      </c>
      <c r="F8242" s="6" t="n">
        <f aca="false">Sens!F8223</f>
        <v>15.9912273250553</v>
      </c>
      <c r="G8242" s="6" t="n">
        <f aca="false">Sens!G8223</f>
        <v>15.9574562664827</v>
      </c>
      <c r="H8242" s="6" t="n">
        <f aca="false">Sens!H8223</f>
        <v>16.0119687434196</v>
      </c>
      <c r="I8242" s="6" t="n">
        <f aca="false">Sens!I8223</f>
        <v>16.1551810001948</v>
      </c>
      <c r="J8242" s="6" t="n">
        <f aca="false">Sens!J8223</f>
        <v>16.3889793892005</v>
      </c>
      <c r="K8242" s="6" t="n">
        <f aca="false">Sens!K8223</f>
        <v>16.7167589769845</v>
      </c>
    </row>
    <row r="8243" customFormat="false" ht="15" hidden="false" customHeight="false" outlineLevel="0" collapsed="false">
      <c r="A8243" s="0" t="s">
        <v>870</v>
      </c>
      <c r="B8243" s="0" t="s">
        <v>98</v>
      </c>
      <c r="D8243" s="6" t="n">
        <f aca="false">Sens!D8225</f>
        <v>62.941</v>
      </c>
      <c r="E8243" s="6" t="n">
        <f aca="false">Sens!E8225</f>
        <v>63.712</v>
      </c>
      <c r="F8243" s="6" t="n">
        <f aca="false">Sens!F8225</f>
        <v>64.3025149952511</v>
      </c>
      <c r="G8243" s="6" t="n">
        <f aca="false">Sens!G8225</f>
        <v>66.2756719305292</v>
      </c>
      <c r="H8243" s="6" t="n">
        <f aca="false">Sens!H8225</f>
        <v>68.7139736271804</v>
      </c>
      <c r="I8243" s="6" t="n">
        <f aca="false">Sens!I8225</f>
        <v>71.5446393194289</v>
      </c>
      <c r="J8243" s="6" t="n">
        <f aca="false">Sens!J8225</f>
        <v>74.707035000971</v>
      </c>
      <c r="K8243" s="6" t="n">
        <f aca="false">Sens!K8225</f>
        <v>78.1524145698365</v>
      </c>
    </row>
    <row r="8244" customFormat="false" ht="15" hidden="false" customHeight="false" outlineLevel="0" collapsed="false">
      <c r="A8244" s="1" t="s">
        <v>1059</v>
      </c>
      <c r="B8244" s="0" t="s">
        <v>98</v>
      </c>
      <c r="D8244" s="6" t="n">
        <f aca="false">Sens!D8226</f>
        <v>281.724</v>
      </c>
      <c r="E8244" s="6" t="n">
        <f aca="false">Sens!E8226</f>
        <v>331.839</v>
      </c>
      <c r="F8244" s="6" t="n">
        <f aca="false">Sens!F8226</f>
        <v>396.484356111732</v>
      </c>
      <c r="G8244" s="6" t="n">
        <f aca="false">Sens!G8226</f>
        <v>472.32208681199</v>
      </c>
      <c r="H8244" s="6" t="n">
        <f aca="false">Sens!H8226</f>
        <v>549.98165087533</v>
      </c>
      <c r="I8244" s="6" t="n">
        <f aca="false">Sens!I8226</f>
        <v>621.591916144635</v>
      </c>
      <c r="J8244" s="6" t="n">
        <f aca="false">Sens!J8226</f>
        <v>680.439511524977</v>
      </c>
      <c r="K8244" s="6" t="n">
        <f aca="false">Sens!K8226</f>
        <v>727.561014129819</v>
      </c>
    </row>
    <row r="8245" customFormat="false" ht="15" hidden="false" customHeight="false" outlineLevel="0" collapsed="false">
      <c r="A8245" s="1" t="s">
        <v>1060</v>
      </c>
      <c r="B8245" s="0" t="s">
        <v>168</v>
      </c>
      <c r="E8245" s="7" t="n">
        <f aca="false">Sens!E8244/Sens!D8244-1</f>
        <v>0.177886867998467</v>
      </c>
      <c r="F8245" s="7" t="n">
        <f aca="false">Sens!F8244/Sens!E8244-1</f>
        <v>0.194809398870332</v>
      </c>
      <c r="G8245" s="7" t="n">
        <f aca="false">Sens!G8244/Sens!F8244-1</f>
        <v>0.191275467824225</v>
      </c>
      <c r="H8245" s="7" t="n">
        <f aca="false">Sens!H8244/Sens!G8244-1</f>
        <v>0.1644207760588</v>
      </c>
      <c r="I8245" s="7" t="n">
        <f aca="false">Sens!I8244/Sens!H8244-1</f>
        <v>0.130204826207079</v>
      </c>
      <c r="J8245" s="7" t="n">
        <f aca="false">Sens!J8244/Sens!I8244-1</f>
        <v>0.0946723949457695</v>
      </c>
      <c r="K8245" s="7" t="n">
        <f aca="false">Sens!K8244/Sens!J8244-1</f>
        <v>0.0692515672689769</v>
      </c>
    </row>
    <row r="8246" customFormat="false" ht="17.15" hidden="false" customHeight="false" outlineLevel="0" collapsed="false">
      <c r="A8246" s="26" t="s">
        <v>1061</v>
      </c>
      <c r="B8246" s="31" t="s">
        <v>98</v>
      </c>
      <c r="C8246" s="31"/>
      <c r="D8246" s="27" t="n">
        <f aca="false">(Sens!D8239+Sens!D8243-Sens!D8244)+(Sens!D8231+Sens!D8232-Sens!D8230)+(Sens!D8234+Sens!D8235-Sens!D8233)+(Sens!D8244-Q!L18)</f>
        <v>0</v>
      </c>
      <c r="E8246" s="27" t="n">
        <f aca="false">(Sens!E8239+Sens!E8243-Sens!E8244)+(Sens!E8231+Sens!E8232-Sens!E8230)+(Sens!E8234+Sens!E8235-Sens!E8233)+(Sens!E8244-Q!M18)</f>
        <v>0</v>
      </c>
      <c r="F8246" s="27" t="n">
        <f aca="false">(Sens!F8239+Sens!F8243-Sens!F8244)+(Sens!F8231+Sens!F8232-Sens!F8230)+(Sens!F8234+Sens!F8235-Sens!F8233)</f>
        <v>0</v>
      </c>
      <c r="G8246" s="27" t="n">
        <f aca="false">(Sens!G8239+Sens!G8243-Sens!G8244)+(Sens!G8231+Sens!G8232-Sens!G8230)+(Sens!G8234+Sens!G8235-Sens!G8233)</f>
        <v>0</v>
      </c>
      <c r="H8246" s="27" t="n">
        <f aca="false">(Sens!H8239+Sens!H8243-Sens!H8244)+(Sens!H8231+Sens!H8232-Sens!H8230)+(Sens!H8234+Sens!H8235-Sens!H8233)</f>
        <v>0</v>
      </c>
      <c r="I8246" s="27" t="n">
        <f aca="false">(Sens!I8239+Sens!I8243-Sens!I8244)+(Sens!I8231+Sens!I8232-Sens!I8230)+(Sens!I8234+Sens!I8235-Sens!I8233)</f>
        <v>0</v>
      </c>
      <c r="J8246" s="27" t="n">
        <f aca="false">(Sens!J8239+Sens!J8243-Sens!J8244)+(Sens!J8231+Sens!J8232-Sens!J8230)+(Sens!J8234+Sens!J8235-Sens!J8233)</f>
        <v>0</v>
      </c>
      <c r="K8246" s="27" t="n">
        <f aca="false">(Sens!K8239+Sens!K8243-Sens!K8244)+(Sens!K8231+Sens!K8232-Sens!K8230)+(Sens!K8234+Sens!K8235-Sens!K8233)</f>
        <v>0</v>
      </c>
    </row>
    <row r="8247" customFormat="false" ht="17.15" hidden="false" customHeight="false" outlineLevel="0" collapsed="false">
      <c r="A8247" s="0" t="s">
        <v>1062</v>
      </c>
      <c r="B8247" s="0" t="s">
        <v>168</v>
      </c>
      <c r="E8247" s="7" t="n">
        <f aca="false">(Q!M21+Sens!E8183+Sens!E8184+Sens!E8185+Sens!E8199-Sens!E8181)/(Q!M5-Sens!E8181)</f>
        <v>0.570957350878296</v>
      </c>
      <c r="F8247" s="7" t="n">
        <f aca="false">Sens!$E$8247+dm_seg</f>
        <v>0.570957350878296</v>
      </c>
      <c r="G8247" s="7" t="n">
        <f aca="false">Sens!$E$8247+dm_seg</f>
        <v>0.570957350878296</v>
      </c>
      <c r="H8247" s="7" t="n">
        <f aca="false">Sens!$E$8247+dm_seg</f>
        <v>0.570957350878296</v>
      </c>
      <c r="I8247" s="7" t="n">
        <f aca="false">Sens!$E$8247+dm_seg</f>
        <v>0.570957350878296</v>
      </c>
      <c r="J8247" s="7" t="n">
        <f aca="false">Sens!$E$8247+dm_seg</f>
        <v>0.570957350878296</v>
      </c>
      <c r="K8247" s="7" t="n">
        <f aca="false">Sens!$E$8247+dm_seg</f>
        <v>0.570957350878296</v>
      </c>
      <c r="L8247" s="12" t="s">
        <v>1063</v>
      </c>
    </row>
    <row r="8248" customFormat="false" ht="17.15" hidden="false" customHeight="false" outlineLevel="0" collapsed="false">
      <c r="A8248" s="0" t="s">
        <v>884</v>
      </c>
      <c r="B8248" s="0" t="s">
        <v>98</v>
      </c>
      <c r="D8248" s="6" t="n">
        <f aca="false">Q!L21</f>
        <v>110.814</v>
      </c>
      <c r="E8248" s="6" t="n">
        <f aca="false">Q!M21</f>
        <v>136.365</v>
      </c>
      <c r="F8248" s="6" t="n">
        <f aca="false">Q!$I$21+(Sens!F8247*(Sens!F8218-Sens!F8181)+Sens!F8181-(Sens!F8183+Sens!F8184+Sens!F8185)-Sens!F8199-Sens!F8282)*(Sens!F8218-Q!$I$5)/Sens!F8218</f>
        <v>160.664154828618</v>
      </c>
      <c r="G8248" s="6" t="n">
        <f aca="false">(Sens!G8247*(Sens!G8218-Sens!G8181)+Sens!G8181-(Sens!G8183+Sens!G8184+Sens!G8185)-Sens!G8199-Sens!G8282)</f>
        <v>175.172896702961</v>
      </c>
      <c r="H8248" s="6" t="n">
        <f aca="false">(Sens!H8247*(Sens!H8218-Sens!H8181)+Sens!H8181-(Sens!H8183+Sens!H8184+Sens!H8185)-Sens!H8199-Sens!H8282)</f>
        <v>193.462646192213</v>
      </c>
      <c r="I8248" s="6" t="n">
        <f aca="false">(Sens!I8247*(Sens!I8218-Sens!I8181)+Sens!I8181-(Sens!I8183+Sens!I8184+Sens!I8185)-Sens!I8199-Sens!I8282)</f>
        <v>211.008332722862</v>
      </c>
      <c r="J8248" s="6" t="n">
        <f aca="false">(Sens!J8247*(Sens!J8218-Sens!J8181)+Sens!J8181-(Sens!J8183+Sens!J8184+Sens!J8185)-Sens!J8199-Sens!J8282)</f>
        <v>227.561267934217</v>
      </c>
      <c r="K8248" s="6" t="n">
        <f aca="false">(Sens!K8247*(Sens!K8218-Sens!K8181)+Sens!K8181-(Sens!K8183+Sens!K8184+Sens!K8185)-Sens!K8199-Sens!K8282)</f>
        <v>243.511998320124</v>
      </c>
      <c r="L8248" s="1" t="s">
        <v>1064</v>
      </c>
    </row>
    <row r="8249" customFormat="false" ht="17.15" hidden="false" customHeight="false" outlineLevel="0" collapsed="false">
      <c r="A8249" s="0" t="s">
        <v>1065</v>
      </c>
      <c r="B8249" s="0" t="s">
        <v>168</v>
      </c>
      <c r="E8249" s="7" t="n">
        <f aca="false">Q!M22/Q!M12</f>
        <v>0.296207935710698</v>
      </c>
      <c r="F8249" s="7" t="n">
        <f aca="false">Sens!$E$8249+dm_seg</f>
        <v>0.296207935710698</v>
      </c>
      <c r="G8249" s="7" t="n">
        <f aca="false">Sens!$E$8249+dm_seg</f>
        <v>0.296207935710698</v>
      </c>
      <c r="H8249" s="7" t="n">
        <f aca="false">Sens!$E$8249+dm_seg</f>
        <v>0.296207935710698</v>
      </c>
      <c r="I8249" s="7" t="n">
        <f aca="false">Sens!$E$8249+dm_seg</f>
        <v>0.296207935710698</v>
      </c>
      <c r="J8249" s="7" t="n">
        <f aca="false">Sens!$E$8249+dm_seg</f>
        <v>0.296207935710698</v>
      </c>
      <c r="K8249" s="7" t="n">
        <f aca="false">Sens!$E$8249+dm_seg</f>
        <v>0.296207935710698</v>
      </c>
      <c r="L8249" s="12" t="s">
        <v>1066</v>
      </c>
    </row>
    <row r="8250" customFormat="false" ht="17.15" hidden="false" customHeight="false" outlineLevel="0" collapsed="false">
      <c r="A8250" s="0" t="s">
        <v>886</v>
      </c>
      <c r="B8250" s="0" t="s">
        <v>98</v>
      </c>
      <c r="D8250" s="6" t="n">
        <f aca="false">Q!L22</f>
        <v>17.714</v>
      </c>
      <c r="E8250" s="6" t="n">
        <f aca="false">Q!M22</f>
        <v>18.872</v>
      </c>
      <c r="F8250" s="6" t="n">
        <f aca="false">Q!$I$22+(Sens!F8225-Q!$I$12)*Sens!F8249</f>
        <v>19.8174315512051</v>
      </c>
      <c r="G8250" s="6" t="n">
        <f aca="false">Sens!G8225*Sens!G8249</f>
        <v>19.6313799703815</v>
      </c>
      <c r="H8250" s="6" t="n">
        <f aca="false">Sens!H8225*Sens!H8249</f>
        <v>20.3536242825865</v>
      </c>
      <c r="I8250" s="6" t="n">
        <f aca="false">Sens!I8225*Sens!I8249</f>
        <v>21.1920899239745</v>
      </c>
      <c r="J8250" s="6" t="n">
        <f aca="false">Sens!J8225*Sens!J8249</f>
        <v>22.1288166207045</v>
      </c>
      <c r="K8250" s="6" t="n">
        <f aca="false">Sens!K8225*Sens!K8249</f>
        <v>23.1493653905379</v>
      </c>
      <c r="L8250" s="12" t="s">
        <v>1067</v>
      </c>
    </row>
    <row r="8251" customFormat="false" ht="15" hidden="false" customHeight="false" outlineLevel="0" collapsed="false">
      <c r="A8251" s="1" t="s">
        <v>1068</v>
      </c>
      <c r="B8251" s="0" t="s">
        <v>98</v>
      </c>
      <c r="D8251" s="6" t="n">
        <f aca="false">Sens!D8248+Sens!D8250</f>
        <v>128.528</v>
      </c>
      <c r="E8251" s="6" t="n">
        <f aca="false">Sens!E8248+Sens!E8250</f>
        <v>155.237</v>
      </c>
      <c r="F8251" s="6" t="n">
        <f aca="false">Sens!F8248+Sens!F8250</f>
        <v>180.481586379824</v>
      </c>
      <c r="G8251" s="6" t="n">
        <f aca="false">Sens!G8248+Sens!G8250</f>
        <v>194.804276673342</v>
      </c>
      <c r="H8251" s="6" t="n">
        <f aca="false">Sens!H8248+Sens!H8250</f>
        <v>213.8162704748</v>
      </c>
      <c r="I8251" s="6" t="n">
        <f aca="false">Sens!I8248+Sens!I8250</f>
        <v>232.200422646836</v>
      </c>
      <c r="J8251" s="6" t="n">
        <f aca="false">Sens!J8248+Sens!J8250</f>
        <v>249.690084554922</v>
      </c>
      <c r="K8251" s="6" t="n">
        <f aca="false">Sens!K8248+Sens!K8250</f>
        <v>266.661363710662</v>
      </c>
    </row>
    <row r="8252" customFormat="false" ht="15" hidden="false" customHeight="false" outlineLevel="0" collapsed="false">
      <c r="A8252" s="26" t="s">
        <v>1069</v>
      </c>
      <c r="B8252" s="31" t="s">
        <v>98</v>
      </c>
      <c r="C8252" s="31"/>
      <c r="D8252" s="27" t="n">
        <f aca="false">Sens!D8251-Q!L23</f>
        <v>0</v>
      </c>
      <c r="E8252" s="27" t="n">
        <f aca="false">Sens!E8251-Q!M23</f>
        <v>0</v>
      </c>
      <c r="F8252" s="31"/>
      <c r="G8252" s="31"/>
      <c r="H8252" s="31"/>
      <c r="I8252" s="31"/>
      <c r="J8252" s="31"/>
      <c r="K8252" s="31"/>
    </row>
    <row r="8253" customFormat="false" ht="15" hidden="false" customHeight="false" outlineLevel="0" collapsed="false">
      <c r="A8253" s="1" t="s">
        <v>1070</v>
      </c>
      <c r="B8253" s="0" t="s">
        <v>168</v>
      </c>
      <c r="D8253" s="7" t="n">
        <f aca="false">Sens!D8251/Sens!D8244</f>
        <v>0.456219562408598</v>
      </c>
      <c r="E8253" s="7" t="n">
        <f aca="false">Sens!E8251/Sens!E8244</f>
        <v>0.467808184089272</v>
      </c>
      <c r="F8253" s="7" t="n">
        <f aca="false">Sens!F8251/Sens!F8244</f>
        <v>0.455204810978627</v>
      </c>
      <c r="G8253" s="7" t="n">
        <f aca="false">Sens!G8251/Sens!G8244</f>
        <v>0.412439481685481</v>
      </c>
      <c r="H8253" s="7" t="n">
        <f aca="false">Sens!H8251/Sens!H8244</f>
        <v>0.388769825565085</v>
      </c>
      <c r="I8253" s="7" t="n">
        <f aca="false">Sens!I8251/Sens!I8244</f>
        <v>0.373557661571659</v>
      </c>
      <c r="J8253" s="7" t="n">
        <f aca="false">Sens!J8251/Sens!J8244</f>
        <v>0.3669541235125</v>
      </c>
      <c r="K8253" s="7" t="n">
        <f aca="false">Sens!K8251/Sens!K8244</f>
        <v>0.366514090958537</v>
      </c>
    </row>
    <row r="8254" customFormat="false" ht="17.15" hidden="false" customHeight="false" outlineLevel="0" collapsed="false">
      <c r="A8254" s="1" t="s">
        <v>1071</v>
      </c>
      <c r="B8254" s="0" t="s">
        <v>98</v>
      </c>
      <c r="F8254" s="6" t="n">
        <f aca="false">Sens!F8269</f>
        <v>11.658259470581</v>
      </c>
      <c r="G8254" s="6" t="n">
        <f aca="false">Sens!G8269</f>
        <v>28.1529636444063</v>
      </c>
      <c r="H8254" s="6" t="n">
        <f aca="false">Sens!H8269</f>
        <v>46.1208587676969</v>
      </c>
      <c r="I8254" s="6" t="n">
        <f aca="false">Sens!I8269</f>
        <v>62.2611833015898</v>
      </c>
      <c r="J8254" s="6" t="n">
        <f aca="false">Sens!J8269</f>
        <v>73.5186959255667</v>
      </c>
      <c r="K8254" s="6" t="n">
        <f aca="false">Sens!K8269</f>
        <v>79.8752855038092</v>
      </c>
      <c r="L8254" s="1" t="s">
        <v>1072</v>
      </c>
    </row>
    <row r="8255" customFormat="false" ht="17.15" hidden="false" customHeight="false" outlineLevel="0" collapsed="false">
      <c r="A8255" s="1" t="s">
        <v>1073</v>
      </c>
      <c r="B8255" s="0" t="s">
        <v>98</v>
      </c>
      <c r="D8255" s="6" t="n">
        <f aca="false">Sens!D8251</f>
        <v>128.528</v>
      </c>
      <c r="E8255" s="6" t="n">
        <f aca="false">Sens!E8251</f>
        <v>155.237</v>
      </c>
      <c r="F8255" s="6" t="n">
        <f aca="false">Sens!F8251+Sens!F8254</f>
        <v>192.139845850404</v>
      </c>
      <c r="G8255" s="6" t="n">
        <f aca="false">Sens!G8251+Sens!G8254</f>
        <v>222.957240317748</v>
      </c>
      <c r="H8255" s="6" t="n">
        <f aca="false">Sens!H8251+Sens!H8254</f>
        <v>259.937129242497</v>
      </c>
      <c r="I8255" s="6" t="n">
        <f aca="false">Sens!I8251+Sens!I8254</f>
        <v>294.461605948426</v>
      </c>
      <c r="J8255" s="6" t="n">
        <f aca="false">Sens!J8251+Sens!J8254</f>
        <v>323.208780480488</v>
      </c>
      <c r="K8255" s="6" t="n">
        <f aca="false">Sens!K8251+Sens!K8254</f>
        <v>346.536649214471</v>
      </c>
    </row>
    <row r="8256" customFormat="false" ht="17.15" hidden="false" customHeight="false" outlineLevel="0" collapsed="false">
      <c r="A8256" s="1" t="s">
        <v>1074</v>
      </c>
      <c r="B8256" s="0" t="s">
        <v>98</v>
      </c>
      <c r="E8256" s="6" t="n">
        <f aca="false">Sens!E8199</f>
        <v>16.3054059770833</v>
      </c>
      <c r="F8256" s="6" t="n">
        <f aca="false">Sens!F8199</f>
        <v>34.5793144783516</v>
      </c>
      <c r="G8256" s="6" t="n">
        <f aca="false">Sens!G8199</f>
        <v>60.7344906522989</v>
      </c>
      <c r="H8256" s="6" t="n">
        <f aca="false">Sens!H8199</f>
        <v>89.1000906614457</v>
      </c>
      <c r="I8256" s="6" t="n">
        <f aca="false">Sens!I8199</f>
        <v>114.231009694548</v>
      </c>
      <c r="J8256" s="6" t="n">
        <f aca="false">Sens!J8199</f>
        <v>132.015673049596</v>
      </c>
      <c r="K8256" s="6" t="n">
        <f aca="false">Sens!K8199</f>
        <v>143.012669550934</v>
      </c>
    </row>
    <row r="8257" customFormat="false" ht="17.15" hidden="false" customHeight="false" outlineLevel="0" collapsed="false">
      <c r="A8257" s="1" t="s">
        <v>1075</v>
      </c>
      <c r="B8257" s="0" t="s">
        <v>98</v>
      </c>
      <c r="E8257" s="6" t="n">
        <f aca="false">Sens!E8281</f>
        <v>22.2285940229167</v>
      </c>
      <c r="F8257" s="6" t="n">
        <f aca="false">Sens!F8281</f>
        <v>23.580344216413</v>
      </c>
      <c r="G8257" s="6" t="n">
        <f aca="false">Sens!G8281</f>
        <v>25.3167903395143</v>
      </c>
      <c r="H8257" s="6" t="n">
        <f aca="false">Sens!H8281</f>
        <v>27.4337139952711</v>
      </c>
      <c r="I8257" s="6" t="n">
        <f aca="false">Sens!I8281</f>
        <v>29.8699254422971</v>
      </c>
      <c r="J8257" s="6" t="n">
        <f aca="false">Sens!J8281</f>
        <v>32.5468091323071</v>
      </c>
      <c r="K8257" s="6" t="n">
        <f aca="false">Sens!K8281</f>
        <v>35.3800860130719</v>
      </c>
    </row>
    <row r="8258" customFormat="false" ht="17.15" hidden="false" customHeight="false" outlineLevel="0" collapsed="false">
      <c r="A8258" s="1" t="s">
        <v>1076</v>
      </c>
      <c r="B8258" s="0" t="s">
        <v>98</v>
      </c>
      <c r="D8258" s="6" t="n">
        <f aca="false">Q!L27</f>
        <v>-4.901</v>
      </c>
      <c r="E8258" s="6" t="n">
        <f aca="false">Q!M27</f>
        <v>10.697</v>
      </c>
      <c r="F8258" s="6" t="n">
        <f aca="false">Q!$I$27+oie_f*(q_per_yr-1)/q_per_yr</f>
        <v>-0.862</v>
      </c>
      <c r="G8258" s="6" t="n">
        <f aca="false">oie_f</f>
        <v>-1.2</v>
      </c>
      <c r="H8258" s="6" t="n">
        <f aca="false">oie_f</f>
        <v>-1.2</v>
      </c>
      <c r="I8258" s="6" t="n">
        <f aca="false">oie_f</f>
        <v>-1.2</v>
      </c>
      <c r="J8258" s="6" t="n">
        <f aca="false">oie_f</f>
        <v>-1.2</v>
      </c>
      <c r="K8258" s="6" t="n">
        <f aca="false">oie_f</f>
        <v>-1.2</v>
      </c>
      <c r="L8258" s="12" t="s">
        <v>1077</v>
      </c>
    </row>
    <row r="8259" customFormat="false" ht="15" hidden="false" customHeight="false" outlineLevel="0" collapsed="false">
      <c r="A8259" s="1" t="s">
        <v>1078</v>
      </c>
      <c r="B8259" s="0" t="s">
        <v>98</v>
      </c>
      <c r="D8259" s="6" t="n">
        <f aca="false">Sens!D8251+Sens!D8258</f>
        <v>123.627</v>
      </c>
      <c r="E8259" s="6" t="n">
        <f aca="false">Sens!E8251+Sens!E8258</f>
        <v>165.934</v>
      </c>
      <c r="F8259" s="6" t="n">
        <f aca="false">Sens!F8251+Sens!F8258</f>
        <v>179.619586379824</v>
      </c>
      <c r="G8259" s="6" t="n">
        <f aca="false">Sens!G8251+Sens!G8258</f>
        <v>193.604276673342</v>
      </c>
      <c r="H8259" s="6" t="n">
        <f aca="false">Sens!H8251+Sens!H8258</f>
        <v>212.6162704748</v>
      </c>
      <c r="I8259" s="6" t="n">
        <f aca="false">Sens!I8251+Sens!I8258</f>
        <v>231.000422646836</v>
      </c>
      <c r="J8259" s="6" t="n">
        <f aca="false">Sens!J8251+Sens!J8258</f>
        <v>248.490084554922</v>
      </c>
      <c r="K8259" s="6" t="n">
        <f aca="false">Sens!K8251+Sens!K8258</f>
        <v>265.461363710662</v>
      </c>
    </row>
    <row r="8260" customFormat="false" ht="15" hidden="false" customHeight="false" outlineLevel="0" collapsed="false">
      <c r="A8260" s="1" t="s">
        <v>1079</v>
      </c>
      <c r="B8260" s="0" t="s">
        <v>98</v>
      </c>
      <c r="D8260" s="6" t="n">
        <f aca="false">Q!L29</f>
        <v>21.795</v>
      </c>
      <c r="E8260" s="6" t="n">
        <f aca="false">Q!M29</f>
        <v>32.185</v>
      </c>
      <c r="F8260" s="6" t="n">
        <f aca="false">Q!$I$29+(Sens!F8259-Q!$I$28)*tax_f</f>
        <v>36.0573172759647</v>
      </c>
      <c r="G8260" s="6" t="n">
        <f aca="false">Sens!G8259*tax_f</f>
        <v>38.7208553346684</v>
      </c>
      <c r="H8260" s="6" t="n">
        <f aca="false">Sens!H8259*tax_f</f>
        <v>42.5232540949599</v>
      </c>
      <c r="I8260" s="6" t="n">
        <f aca="false">Sens!I8259*tax_f</f>
        <v>46.2000845293673</v>
      </c>
      <c r="J8260" s="6" t="n">
        <f aca="false">Sens!J8259*tax_f</f>
        <v>49.6980169109843</v>
      </c>
      <c r="K8260" s="6" t="n">
        <f aca="false">Sens!K8259*tax_f</f>
        <v>53.0922727421324</v>
      </c>
    </row>
    <row r="8261" customFormat="false" ht="15" hidden="false" customHeight="false" outlineLevel="0" collapsed="false">
      <c r="A8261" s="1" t="s">
        <v>1080</v>
      </c>
      <c r="B8261" s="0" t="s">
        <v>98</v>
      </c>
      <c r="D8261" s="6" t="n">
        <f aca="false">Sens!D8259-Sens!D8260</f>
        <v>101.832</v>
      </c>
      <c r="E8261" s="6" t="n">
        <f aca="false">Sens!E8259-Sens!E8260</f>
        <v>133.749</v>
      </c>
      <c r="F8261" s="6" t="n">
        <f aca="false">Sens!F8259-Sens!F8260</f>
        <v>143.562269103859</v>
      </c>
      <c r="G8261" s="6" t="n">
        <f aca="false">Sens!G8259-Sens!G8260</f>
        <v>154.883421338674</v>
      </c>
      <c r="H8261" s="6" t="n">
        <f aca="false">Sens!H8259-Sens!H8260</f>
        <v>170.09301637984</v>
      </c>
      <c r="I8261" s="6" t="n">
        <f aca="false">Sens!I8259-Sens!I8260</f>
        <v>184.800338117469</v>
      </c>
      <c r="J8261" s="6" t="n">
        <f aca="false">Sens!J8259-Sens!J8260</f>
        <v>198.792067643937</v>
      </c>
      <c r="K8261" s="6" t="n">
        <f aca="false">Sens!K8259-Sens!K8260</f>
        <v>212.36909096853</v>
      </c>
    </row>
    <row r="8262" customFormat="false" ht="17.15" hidden="false" customHeight="false" outlineLevel="0" collapsed="false">
      <c r="A8262" s="1" t="s">
        <v>1081</v>
      </c>
      <c r="B8262" s="1" t="s">
        <v>81</v>
      </c>
      <c r="D8262" s="15" t="n">
        <f aca="false">Q!L31</f>
        <v>7.465</v>
      </c>
      <c r="E8262" s="15" t="n">
        <f aca="false">Q!M31</f>
        <v>7.453</v>
      </c>
      <c r="F8262" s="15" t="n">
        <f aca="false">Sens!F8306</f>
        <v>7.4735</v>
      </c>
      <c r="G8262" s="15" t="n">
        <f aca="false">Sens!G8306</f>
        <v>7.5185</v>
      </c>
      <c r="H8262" s="15" t="n">
        <f aca="false">Sens!H8306</f>
        <v>7.5461999390288</v>
      </c>
      <c r="I8262" s="15" t="n">
        <f aca="false">Sens!I8306</f>
        <v>7.55788130308427</v>
      </c>
      <c r="J8262" s="15" t="n">
        <f aca="false">Sens!J8306</f>
        <v>7.57203071424674</v>
      </c>
      <c r="K8262" s="15" t="n">
        <f aca="false">Sens!K8306</f>
        <v>7.58846535421199</v>
      </c>
    </row>
    <row r="8263" customFormat="false" ht="17.15" hidden="false" customHeight="false" outlineLevel="0" collapsed="false">
      <c r="A8263" s="0" t="s">
        <v>1082</v>
      </c>
      <c r="B8263" s="0" t="s">
        <v>75</v>
      </c>
      <c r="D8263" s="8" t="n">
        <f aca="false">Sens!D8261/Sens!D8262</f>
        <v>13.641259209645</v>
      </c>
      <c r="E8263" s="8" t="n">
        <f aca="false">Sens!E8261/Sens!E8262</f>
        <v>17.9456594659869</v>
      </c>
      <c r="F8263" s="8" t="n">
        <f aca="false">Sens!F8261/Sens!F8262</f>
        <v>19.2095094806796</v>
      </c>
      <c r="G8263" s="8" t="n">
        <f aca="false">Sens!G8261/Sens!G8262</f>
        <v>20.6003087502392</v>
      </c>
      <c r="H8263" s="8" t="n">
        <f aca="false">Sens!H8261/Sens!H8262</f>
        <v>22.5402212708574</v>
      </c>
      <c r="I8263" s="8" t="n">
        <f aca="false">Sens!I8261/Sens!I8262</f>
        <v>24.4513416798507</v>
      </c>
      <c r="J8263" s="8" t="n">
        <f aca="false">Sens!J8261/Sens!J8262</f>
        <v>26.253468210306</v>
      </c>
      <c r="K8263" s="8" t="n">
        <f aca="false">Sens!K8261/Sens!K8262</f>
        <v>27.9857759185332</v>
      </c>
      <c r="L8263" s="1" t="s">
        <v>1083</v>
      </c>
    </row>
    <row r="8264" customFormat="false" ht="17.15" hidden="false" customHeight="false" outlineLevel="0" collapsed="false">
      <c r="A8264" s="1" t="s">
        <v>1084</v>
      </c>
      <c r="B8264" s="0" t="s">
        <v>98</v>
      </c>
      <c r="D8264" s="6" t="n">
        <f aca="false">Sens!D8261</f>
        <v>101.832</v>
      </c>
      <c r="E8264" s="6" t="n">
        <f aca="false">Sens!E8261</f>
        <v>133.749</v>
      </c>
      <c r="F8264" s="6" t="n">
        <f aca="false">Sens!F8261+Sens!F8254*(1-tax_f)</f>
        <v>152.888876680324</v>
      </c>
      <c r="G8264" s="6" t="n">
        <f aca="false">Sens!G8261+Sens!G8254*(1-tax_f)</f>
        <v>177.405792254199</v>
      </c>
      <c r="H8264" s="6" t="n">
        <f aca="false">Sens!H8261+Sens!H8254*(1-tax_f)</f>
        <v>206.989703393997</v>
      </c>
      <c r="I8264" s="6" t="n">
        <f aca="false">Sens!I8261+Sens!I8254*(1-tax_f)</f>
        <v>234.609284758741</v>
      </c>
      <c r="J8264" s="6" t="n">
        <f aca="false">Sens!J8261+Sens!J8254*(1-tax_f)</f>
        <v>257.607024384391</v>
      </c>
      <c r="K8264" s="6" t="n">
        <f aca="false">Sens!K8261+Sens!K8254*(1-tax_f)</f>
        <v>276.269319371577</v>
      </c>
    </row>
    <row r="8265" customFormat="false" ht="17.15" hidden="false" customHeight="false" outlineLevel="0" collapsed="false">
      <c r="A8265" s="0" t="s">
        <v>1085</v>
      </c>
      <c r="B8265" s="0" t="s">
        <v>75</v>
      </c>
      <c r="D8265" s="8" t="n">
        <f aca="false">Sens!D8264/Sens!D8262</f>
        <v>13.641259209645</v>
      </c>
      <c r="E8265" s="8" t="n">
        <f aca="false">Sens!E8264/Sens!E8262</f>
        <v>17.9456594659869</v>
      </c>
      <c r="F8265" s="8" t="n">
        <f aca="false">Sens!F8264/Sens!F8262</f>
        <v>20.4574666060512</v>
      </c>
      <c r="G8265" s="8" t="n">
        <f aca="false">Sens!G8264/Sens!G8262</f>
        <v>23.5959024079535</v>
      </c>
      <c r="H8265" s="8" t="n">
        <f aca="false">Sens!H8264/Sens!H8262</f>
        <v>27.4296606326915</v>
      </c>
      <c r="I8265" s="8" t="n">
        <f aca="false">Sens!I8264/Sens!I8262</f>
        <v>31.0416736318682</v>
      </c>
      <c r="J8265" s="8" t="n">
        <f aca="false">Sens!J8264/Sens!J8262</f>
        <v>34.0208636369771</v>
      </c>
      <c r="K8265" s="8" t="n">
        <f aca="false">Sens!K8264/Sens!K8262</f>
        <v>36.4064809518084</v>
      </c>
      <c r="L8265" s="1" t="s">
        <v>1086</v>
      </c>
    </row>
    <row r="8266" customFormat="false" ht="17.15" hidden="false" customHeight="false" outlineLevel="0" collapsed="false">
      <c r="A8266" s="0" t="s">
        <v>1087</v>
      </c>
      <c r="B8266" s="0" t="s">
        <v>168</v>
      </c>
      <c r="E8266" s="7" t="n">
        <f aca="false">Sens!E8265/Sens!D8265-1</f>
        <v>0.315542736208578</v>
      </c>
      <c r="F8266" s="7" t="n">
        <f aca="false">Sens!F8265/Sens!E8265-1</f>
        <v>0.139967391269464</v>
      </c>
      <c r="G8266" s="7" t="n">
        <f aca="false">Sens!G8265/Sens!F8265-1</f>
        <v>0.153412730048109</v>
      </c>
      <c r="H8266" s="7" t="n">
        <f aca="false">Sens!H8265/Sens!G8265-1</f>
        <v>0.162475592518373</v>
      </c>
      <c r="I8266" s="7" t="n">
        <f aca="false">Sens!I8265/Sens!H8265-1</f>
        <v>0.131682744731877</v>
      </c>
      <c r="J8266" s="7" t="n">
        <f aca="false">Sens!J8265/Sens!I8265-1</f>
        <v>0.0959738846700047</v>
      </c>
      <c r="K8266" s="7" t="n">
        <f aca="false">Sens!K8265/Sens!J8265-1</f>
        <v>0.0701221856178396</v>
      </c>
    </row>
    <row r="8267" customFormat="false" ht="17.15" hidden="false" customHeight="false" outlineLevel="0" collapsed="false">
      <c r="A8267" s="0" t="s">
        <v>1007</v>
      </c>
      <c r="B8267" s="0" t="s">
        <v>98</v>
      </c>
      <c r="E8267" s="6" t="n">
        <f aca="false">Sens!E8208</f>
        <v>5.25</v>
      </c>
      <c r="F8267" s="6" t="n">
        <f aca="false">Sens!F8208</f>
        <v>8.64</v>
      </c>
      <c r="G8267" s="6" t="n">
        <f aca="false">Sens!G8208</f>
        <v>12.96</v>
      </c>
      <c r="H8267" s="6" t="n">
        <f aca="false">Sens!H8208</f>
        <v>17.28</v>
      </c>
      <c r="I8267" s="6" t="n">
        <f aca="false">Sens!I8208</f>
        <v>20.52</v>
      </c>
      <c r="J8267" s="6" t="n">
        <f aca="false">Sens!J8208</f>
        <v>22.68</v>
      </c>
      <c r="K8267" s="6" t="n">
        <f aca="false">Sens!K8208</f>
        <v>24.84</v>
      </c>
    </row>
    <row r="8268" customFormat="false" ht="17.15" hidden="false" customHeight="false" outlineLevel="0" collapsed="false">
      <c r="A8268" s="1" t="s">
        <v>1008</v>
      </c>
      <c r="B8268" s="0" t="s">
        <v>98</v>
      </c>
      <c r="F8268" s="6" t="n">
        <f aca="false">MAX(0,((Sens!E8168+Sens!F8168)/2-(shadow_base*(Sens!$D$8168+Sens!$E$8168)/2+(1-shadow_base)*Sens!$E$8168))*Sens!F8177/1000-(Sens!F8267-Sens!$E$8267)*Sens!F8247)</f>
        <v>11.658259470581</v>
      </c>
      <c r="G8268" s="6" t="n">
        <f aca="false">MAX(0,((Sens!F8168+Sens!G8168)/2-(shadow_base*(Sens!$D$8168+Sens!$E$8168)/2+(1-shadow_base)*Sens!$E$8168))*Sens!G8177/1000-(Sens!G8267-Sens!$E$8267)*Sens!G8247)</f>
        <v>28.1529636444063</v>
      </c>
      <c r="H8268" s="6" t="n">
        <f aca="false">MAX(0,((Sens!G8168+Sens!H8168)/2-(shadow_base*(Sens!$D$8168+Sens!$E$8168)/2+(1-shadow_base)*Sens!$E$8168))*Sens!H8177/1000-(Sens!H8267-Sens!$E$8267)*Sens!H8247)</f>
        <v>46.1208587676969</v>
      </c>
      <c r="I8268" s="6" t="n">
        <f aca="false">MAX(0,((Sens!H8168+Sens!I8168)/2-(shadow_base*(Sens!$D$8168+Sens!$E$8168)/2+(1-shadow_base)*Sens!$E$8168))*Sens!I8177/1000-(Sens!I8267-Sens!$E$8267)*Sens!I8247)</f>
        <v>62.2611833015898</v>
      </c>
      <c r="J8268" s="6" t="n">
        <f aca="false">MAX(0,((Sens!I8168+Sens!J8168)/2-(shadow_base*(Sens!$D$8168+Sens!$E$8168)/2+(1-shadow_base)*Sens!$E$8168))*Sens!J8177/1000-(Sens!J8267-Sens!$E$8267)*Sens!J8247)</f>
        <v>73.5186959255667</v>
      </c>
      <c r="K8268" s="6" t="n">
        <f aca="false">MAX(0,((Sens!J8168+Sens!K8168)/2-(shadow_base*(Sens!$D$8168+Sens!$E$8168)/2+(1-shadow_base)*Sens!$E$8168))*Sens!K8177/1000-(Sens!K8267-Sens!$E$8267)*Sens!K8247)</f>
        <v>79.8752855038092</v>
      </c>
      <c r="L8268" s="1" t="s">
        <v>1009</v>
      </c>
    </row>
    <row r="8269" customFormat="false" ht="17.15" hidden="false" customHeight="false" outlineLevel="0" collapsed="false">
      <c r="A8269" s="1" t="s">
        <v>1010</v>
      </c>
      <c r="B8269" s="0" t="s">
        <v>98</v>
      </c>
      <c r="F8269" s="6" t="n">
        <f aca="false">IF(internal_ai_reading=2,1,0)*Sens!F8268</f>
        <v>11.658259470581</v>
      </c>
      <c r="G8269" s="6" t="n">
        <f aca="false">IF(internal_ai_reading=2,1,0)*Sens!G8268</f>
        <v>28.1529636444063</v>
      </c>
      <c r="H8269" s="6" t="n">
        <f aca="false">IF(internal_ai_reading=2,1,0)*Sens!H8268</f>
        <v>46.1208587676969</v>
      </c>
      <c r="I8269" s="6" t="n">
        <f aca="false">IF(internal_ai_reading=2,1,0)*Sens!I8268</f>
        <v>62.2611833015898</v>
      </c>
      <c r="J8269" s="6" t="n">
        <f aca="false">IF(internal_ai_reading=2,1,0)*Sens!J8268</f>
        <v>73.5186959255667</v>
      </c>
      <c r="K8269" s="6" t="n">
        <f aca="false">IF(internal_ai_reading=2,1,0)*Sens!K8268</f>
        <v>79.8752855038092</v>
      </c>
    </row>
    <row r="8270" customFormat="false" ht="17.15" hidden="false" customHeight="false" outlineLevel="0" collapsed="false">
      <c r="A8270" s="0" t="s">
        <v>1011</v>
      </c>
      <c r="B8270" s="0" t="s">
        <v>98</v>
      </c>
      <c r="F8270" s="6" t="n">
        <f aca="false">Sens!F8187+Sens!F8267*Sens!F8247+Sens!F8269-Sens!F8188-Sens!F8199</f>
        <v>14.8152827562272</v>
      </c>
      <c r="G8270" s="6" t="n">
        <f aca="false">Sens!G8187+Sens!G8267*Sens!G8247+Sens!G8269-Sens!G8188-Sens!G8199</f>
        <v>31.0349977765951</v>
      </c>
      <c r="H8270" s="6" t="n">
        <f aca="false">Sens!H8187+Sens!H8267*Sens!H8247+Sens!H8269-Sens!H8188-Sens!H8199</f>
        <v>47.8811519709826</v>
      </c>
      <c r="I8270" s="6" t="n">
        <f aca="false">Sens!I8187+Sens!I8267*Sens!I8247+Sens!I8269-Sens!I8188-Sens!I8199</f>
        <v>62.6472166574028</v>
      </c>
      <c r="J8270" s="6" t="n">
        <f aca="false">Sens!J8187+Sens!J8267*Sens!J8247+Sens!J8269-Sens!J8188-Sens!J8199</f>
        <v>72.7882253357034</v>
      </c>
      <c r="K8270" s="6" t="n">
        <f aca="false">Sens!K8187+Sens!K8267*Sens!K8247+Sens!K8269-Sens!K8188-Sens!K8199</f>
        <v>79.4617812140188</v>
      </c>
    </row>
    <row r="8271" customFormat="false" ht="17.15" hidden="false" customHeight="false" outlineLevel="0" collapsed="false">
      <c r="A8271" s="0" t="s">
        <v>1012</v>
      </c>
      <c r="B8271" s="0" t="s">
        <v>98</v>
      </c>
      <c r="E8271" s="6" t="n">
        <f aca="false">Sens!E8167*(cxit_open+self_build*tk_cxfac)/1000*ai_net_open</f>
        <v>126.6980382</v>
      </c>
      <c r="F8271" s="6" t="n">
        <f aca="false">Sens!E8271+Sens!F8196-Sens!F8199</f>
        <v>260.572627763768</v>
      </c>
      <c r="G8271" s="6" t="n">
        <f aca="false">Sens!F8271+Sens!G8196-Sens!G8199</f>
        <v>391.782612760517</v>
      </c>
      <c r="H8271" s="6" t="n">
        <f aca="false">Sens!G8271+Sens!H8196-Sens!H8199</f>
        <v>499.488526163584</v>
      </c>
      <c r="I8271" s="6" t="n">
        <f aca="false">Sens!H8271+Sens!I8196-Sens!I8199</f>
        <v>553.872350090646</v>
      </c>
      <c r="J8271" s="6" t="n">
        <f aca="false">Sens!I8271+Sens!J8196-Sens!J8199</f>
        <v>550.78660823699</v>
      </c>
      <c r="K8271" s="6" t="n">
        <f aca="false">Sens!J8271+Sens!K8196-Sens!K8199</f>
        <v>526.736791750789</v>
      </c>
      <c r="L8271" s="1" t="s">
        <v>1013</v>
      </c>
    </row>
    <row r="8272" customFormat="false" ht="17.15" hidden="false" customHeight="false" outlineLevel="0" collapsed="false">
      <c r="A8272" s="0" t="s">
        <v>1014</v>
      </c>
      <c r="B8272" s="0" t="s">
        <v>168</v>
      </c>
      <c r="F8272" s="7" t="n">
        <f aca="false">Sens!F8270*(1-tax_f)/((Sens!E8271+Sens!F8271)/2)</f>
        <v>0.0612090057246454</v>
      </c>
      <c r="G8272" s="7" t="n">
        <f aca="false">Sens!G8270*(1-tax_f)/((Sens!F8271+Sens!G8271)/2)</f>
        <v>0.0761180310326695</v>
      </c>
      <c r="H8272" s="7" t="n">
        <f aca="false">Sens!H8270*(1-tax_f)/((Sens!G8271+Sens!H8271)/2)</f>
        <v>0.0859557095566361</v>
      </c>
      <c r="I8272" s="7" t="n">
        <f aca="false">Sens!I8270*(1-tax_f)/((Sens!H8271+Sens!I8271)/2)</f>
        <v>0.0951578408800258</v>
      </c>
      <c r="J8272" s="7" t="n">
        <f aca="false">Sens!J8270*(1-tax_f)/((Sens!I8271+Sens!J8271)/2)</f>
        <v>0.105427253958487</v>
      </c>
      <c r="K8272" s="7" t="n">
        <f aca="false">Sens!K8270*(1-tax_f)/((Sens!J8271+Sens!K8271)/2)</f>
        <v>0.117991729872291</v>
      </c>
    </row>
    <row r="8273" customFormat="false" ht="17.15" hidden="false" customHeight="false" outlineLevel="0" collapsed="false">
      <c r="A8273" s="1" t="s">
        <v>1015</v>
      </c>
      <c r="B8273" s="0" t="s">
        <v>168</v>
      </c>
      <c r="F8273" s="7" t="n">
        <f aca="false">(Sens!F8270-Sens!F8269)*(1-tax_f)/((Sens!E8271+Sens!F8271)/2)</f>
        <v>0.0130431703223981</v>
      </c>
      <c r="G8273" s="7" t="n">
        <f aca="false">(Sens!G8270-Sens!G8269)*(1-tax_f)/((Sens!F8271+Sens!G8271)/2)</f>
        <v>0.00706862507580388</v>
      </c>
      <c r="H8273" s="7" t="n">
        <f aca="false">(Sens!H8270-Sens!H8269)*(1-tax_f)/((Sens!G8271+Sens!H8271)/2)</f>
        <v>0.00316005870969532</v>
      </c>
      <c r="I8273" s="7" t="n">
        <f aca="false">(Sens!I8270-Sens!I8269)*(1-tax_f)/((Sens!H8271+Sens!I8271)/2)</f>
        <v>0.000586364448523213</v>
      </c>
      <c r="J8273" s="7" t="n">
        <f aca="false">(Sens!J8270-Sens!J8269)*(1-tax_f)/((Sens!I8271+Sens!J8271)/2)</f>
        <v>-0.00105802151421524</v>
      </c>
      <c r="K8273" s="7" t="n">
        <f aca="false">(Sens!K8270-Sens!K8269)*(1-tax_f)/((Sens!J8271+Sens!K8271)/2)</f>
        <v>-0.000614006956760522</v>
      </c>
    </row>
    <row r="8274" customFormat="false" ht="17.15" hidden="false" customHeight="false" outlineLevel="0" collapsed="false">
      <c r="A8274" s="1" t="s">
        <v>1016</v>
      </c>
      <c r="B8274" s="0" t="s">
        <v>168</v>
      </c>
      <c r="F8274" s="7" t="n">
        <f aca="false">(Sens!F8270-Sens!F8269+Sens!F8268)*(1-tax_f)/((Sens!E8271+Sens!F8271)/2)</f>
        <v>0.0612090057246454</v>
      </c>
      <c r="G8274" s="7" t="n">
        <f aca="false">(Sens!G8270-Sens!G8269+Sens!G8268)*(1-tax_f)/((Sens!F8271+Sens!G8271)/2)</f>
        <v>0.0761180310326695</v>
      </c>
      <c r="H8274" s="7" t="n">
        <f aca="false">(Sens!H8270-Sens!H8269+Sens!H8268)*(1-tax_f)/((Sens!G8271+Sens!H8271)/2)</f>
        <v>0.0859557095566361</v>
      </c>
      <c r="I8274" s="7" t="n">
        <f aca="false">(Sens!I8270-Sens!I8269+Sens!I8268)*(1-tax_f)/((Sens!H8271+Sens!I8271)/2)</f>
        <v>0.0951578408800258</v>
      </c>
      <c r="J8274" s="7" t="n">
        <f aca="false">(Sens!J8270-Sens!J8269+Sens!J8268)*(1-tax_f)/((Sens!I8271+Sens!J8271)/2)</f>
        <v>0.105427253958487</v>
      </c>
      <c r="K8274" s="7" t="n">
        <f aca="false">(Sens!K8270-Sens!K8269+Sens!K8268)*(1-tax_f)/((Sens!J8271+Sens!K8271)/2)</f>
        <v>0.117991729872291</v>
      </c>
    </row>
    <row r="8275" customFormat="false" ht="17.15" hidden="false" customHeight="false" outlineLevel="0" collapsed="false">
      <c r="A8275" s="1" t="s">
        <v>1017</v>
      </c>
      <c r="B8275" s="0" t="s">
        <v>168</v>
      </c>
      <c r="F8275" s="7" t="n">
        <f aca="false">Sens!F8200*(1-tax_f)/(Sens!F8186*(Sens!E8271+Sens!F8271)/2)</f>
        <v>0.129294830495493</v>
      </c>
      <c r="G8275" s="7" t="n">
        <f aca="false">Sens!G8200*(1-tax_f)/(Sens!G8186*(Sens!F8271+Sens!G8271)/2)</f>
        <v>0.12719599062164</v>
      </c>
      <c r="H8275" s="7" t="n">
        <f aca="false">Sens!H8200*(1-tax_f)/(Sens!H8186*(Sens!G8271+Sens!H8271)/2)</f>
        <v>0.130828167067624</v>
      </c>
      <c r="I8275" s="7" t="n">
        <f aca="false">Sens!I8200*(1-tax_f)/(Sens!I8186*(Sens!H8271+Sens!I8271)/2)</f>
        <v>0.138614526937417</v>
      </c>
      <c r="J8275" s="7" t="n">
        <f aca="false">Sens!J8200*(1-tax_f)/(Sens!J8186*(Sens!I8271+Sens!J8271)/2)</f>
        <v>0.150578919010924</v>
      </c>
      <c r="K8275" s="7" t="n">
        <f aca="false">Sens!K8200*(1-tax_f)/(Sens!K8186*(Sens!J8271+Sens!K8271)/2)</f>
        <v>0.167005345886664</v>
      </c>
    </row>
    <row r="8276" customFormat="false" ht="17.15" hidden="false" customHeight="false" outlineLevel="0" collapsed="false">
      <c r="A8276" s="0" t="s">
        <v>1018</v>
      </c>
      <c r="B8276" s="0" t="s">
        <v>253</v>
      </c>
      <c r="F8276" s="7" t="n">
        <f aca="false">Sens!F8272-wacc</f>
        <v>-0.0417275852209519</v>
      </c>
      <c r="G8276" s="7" t="n">
        <f aca="false">Sens!G8272-wacc</f>
        <v>-0.0268185599129278</v>
      </c>
      <c r="H8276" s="7" t="n">
        <f aca="false">Sens!H8272-wacc</f>
        <v>-0.0169808813889612</v>
      </c>
      <c r="I8276" s="7" t="n">
        <f aca="false">Sens!I8272-wacc</f>
        <v>-0.00777875006557149</v>
      </c>
      <c r="J8276" s="7" t="n">
        <f aca="false">Sens!J8272-wacc</f>
        <v>0.0024906630128898</v>
      </c>
      <c r="K8276" s="7" t="n">
        <f aca="false">Sens!K8272-wacc</f>
        <v>0.0150551389266932</v>
      </c>
    </row>
    <row r="8277" customFormat="false" ht="17.15" hidden="false" customHeight="false" outlineLevel="0" collapsed="false">
      <c r="A8277" s="0" t="s">
        <v>1019</v>
      </c>
      <c r="B8277" s="0" t="s">
        <v>98</v>
      </c>
      <c r="F8277" s="6" t="n">
        <f aca="false">Sens!F8270*(1-tax_f)-wacc*(Sens!E8271+Sens!F8271)/2</f>
        <v>-8.07993485878896</v>
      </c>
      <c r="G8277" s="6" t="n">
        <f aca="false">Sens!G8270*(1-tax_f)-wacc*(Sens!F8271+Sens!G8271)/2</f>
        <v>-8.74761405125647</v>
      </c>
      <c r="H8277" s="6" t="n">
        <f aca="false">Sens!H8270*(1-tax_f)-wacc*(Sens!G8271+Sens!H8271)/2</f>
        <v>-7.56728474773728</v>
      </c>
      <c r="I8277" s="6" t="n">
        <f aca="false">Sens!I8270*(1-tax_f)-wacc*(Sens!H8271+Sens!I8271)/2</f>
        <v>-4.09691549261652</v>
      </c>
      <c r="J8277" s="6" t="n">
        <f aca="false">Sens!J8270*(1-tax_f)-wacc*(Sens!I8271+Sens!J8271)/2</f>
        <v>1.37566660468201</v>
      </c>
      <c r="K8277" s="6" t="n">
        <f aca="false">Sens!K8270*(1-tax_f)-wacc*(Sens!J8271+Sens!K8271)/2</f>
        <v>8.11113224178943</v>
      </c>
    </row>
    <row r="8278" customFormat="false" ht="17.15" hidden="false" customHeight="false" outlineLevel="0" collapsed="false">
      <c r="A8278" s="3" t="s">
        <v>1818</v>
      </c>
    </row>
    <row r="8279" customFormat="false" ht="15" hidden="false" customHeight="false" outlineLevel="0" collapsed="false">
      <c r="A8279" s="4" t="s">
        <v>43</v>
      </c>
      <c r="B8279" s="4" t="s">
        <v>65</v>
      </c>
      <c r="C8279" s="23" t="s">
        <v>942</v>
      </c>
      <c r="D8279" s="23" t="s">
        <v>943</v>
      </c>
      <c r="E8279" s="23" t="s">
        <v>944</v>
      </c>
      <c r="F8279" s="23" t="s">
        <v>945</v>
      </c>
      <c r="G8279" s="23" t="s">
        <v>946</v>
      </c>
      <c r="H8279" s="23" t="s">
        <v>947</v>
      </c>
      <c r="I8279" s="23" t="s">
        <v>948</v>
      </c>
      <c r="J8279" s="23" t="s">
        <v>949</v>
      </c>
      <c r="K8279" s="23" t="s">
        <v>950</v>
      </c>
      <c r="L8279" s="4" t="s">
        <v>47</v>
      </c>
    </row>
    <row r="8280" customFormat="false" ht="15" hidden="false" customHeight="false" outlineLevel="0" collapsed="false">
      <c r="A8280" s="1" t="s">
        <v>1080</v>
      </c>
      <c r="B8280" s="0" t="s">
        <v>98</v>
      </c>
      <c r="F8280" s="6" t="n">
        <f aca="false">Sens!F8261</f>
        <v>143.562269103859</v>
      </c>
      <c r="G8280" s="6" t="n">
        <f aca="false">Sens!G8261</f>
        <v>154.883421338674</v>
      </c>
      <c r="H8280" s="6" t="n">
        <f aca="false">Sens!H8261</f>
        <v>170.09301637984</v>
      </c>
      <c r="I8280" s="6" t="n">
        <f aca="false">Sens!I8261</f>
        <v>184.800338117469</v>
      </c>
      <c r="J8280" s="6" t="n">
        <f aca="false">Sens!J8261</f>
        <v>198.792067643937</v>
      </c>
      <c r="K8280" s="6" t="n">
        <f aca="false">Sens!K8261</f>
        <v>212.36909096853</v>
      </c>
    </row>
    <row r="8281" customFormat="false" ht="17.15" hidden="false" customHeight="false" outlineLevel="0" collapsed="false">
      <c r="A8281" s="1" t="s">
        <v>1102</v>
      </c>
      <c r="B8281" s="0" t="s">
        <v>98</v>
      </c>
      <c r="E8281" s="6" t="n">
        <f aca="false">Q!M38-Sens!E8199</f>
        <v>22.2285940229167</v>
      </c>
      <c r="F8281" s="6" t="n">
        <f aca="false">Sens!E8281*(1-1/life_nonai)+(Sens!F8289+Sens!F8290)/life_nonai</f>
        <v>23.580344216413</v>
      </c>
      <c r="G8281" s="6" t="n">
        <f aca="false">Sens!F8281*(1-1/life_nonai)+(Sens!G8289)/life_nonai</f>
        <v>25.3167903395143</v>
      </c>
      <c r="H8281" s="6" t="n">
        <f aca="false">Sens!G8281*(1-1/life_nonai)+(Sens!H8289)/life_nonai</f>
        <v>27.4337139952711</v>
      </c>
      <c r="I8281" s="6" t="n">
        <f aca="false">Sens!H8281*(1-1/life_nonai)+(Sens!I8289)/life_nonai</f>
        <v>29.8699254422971</v>
      </c>
      <c r="J8281" s="6" t="n">
        <f aca="false">Sens!I8281*(1-1/life_nonai)+(Sens!J8289)/life_nonai</f>
        <v>32.5468091323071</v>
      </c>
      <c r="K8281" s="6" t="n">
        <f aca="false">Sens!J8281*(1-1/life_nonai)+(Sens!K8289)/life_nonai</f>
        <v>35.3800860130719</v>
      </c>
      <c r="L8281" s="12" t="s">
        <v>1103</v>
      </c>
    </row>
    <row r="8282" customFormat="false" ht="17.15" hidden="false" customHeight="false" outlineLevel="0" collapsed="false">
      <c r="A8282" s="1" t="s">
        <v>1104</v>
      </c>
      <c r="B8282" s="0" t="s">
        <v>98</v>
      </c>
      <c r="F8282" s="6" t="n">
        <f aca="false">Sens!$F$8290/life_nonai*(1-1/life_nonai)^(Sens!F8162-2027)</f>
        <v>0.0256644948443217</v>
      </c>
      <c r="G8282" s="6" t="n">
        <f aca="false">Sens!$F$8290/life_nonai*(1-1/life_nonai)^(Sens!G8162-2027)</f>
        <v>0.0230980453598895</v>
      </c>
      <c r="H8282" s="6" t="n">
        <f aca="false">Sens!$F$8290/life_nonai*(1-1/life_nonai)^(Sens!H8162-2027)</f>
        <v>0.0207882408239006</v>
      </c>
      <c r="I8282" s="6" t="n">
        <f aca="false">Sens!$F$8290/life_nonai*(1-1/life_nonai)^(Sens!I8162-2027)</f>
        <v>0.0187094167415105</v>
      </c>
      <c r="J8282" s="6" t="n">
        <f aca="false">Sens!$F$8290/life_nonai*(1-1/life_nonai)^(Sens!J8162-2027)</f>
        <v>0.0168384750673595</v>
      </c>
      <c r="K8282" s="6" t="n">
        <f aca="false">Sens!$F$8290/life_nonai*(1-1/life_nonai)^(Sens!K8162-2027)</f>
        <v>0.0151546275606235</v>
      </c>
      <c r="L8282" s="1" t="s">
        <v>1105</v>
      </c>
    </row>
    <row r="8283" customFormat="false" ht="17.15" hidden="false" customHeight="false" outlineLevel="0" collapsed="false">
      <c r="A8283" s="1" t="s">
        <v>1106</v>
      </c>
      <c r="B8283" s="0" t="s">
        <v>98</v>
      </c>
      <c r="E8283" s="6" t="n">
        <f aca="false">Sens!E8199+Sens!E8281</f>
        <v>38.534</v>
      </c>
      <c r="F8283" s="6" t="n">
        <f aca="false">Sens!F8199+Sens!F8281</f>
        <v>58.1596586947647</v>
      </c>
      <c r="G8283" s="6" t="n">
        <f aca="false">Sens!G8199+Sens!G8281</f>
        <v>86.0512809918132</v>
      </c>
      <c r="H8283" s="6" t="n">
        <f aca="false">Sens!H8199+Sens!H8281</f>
        <v>116.533804656717</v>
      </c>
      <c r="I8283" s="6" t="n">
        <f aca="false">Sens!I8199+Sens!I8281</f>
        <v>144.100935136845</v>
      </c>
      <c r="J8283" s="6" t="n">
        <f aca="false">Sens!J8199+Sens!J8281</f>
        <v>164.562482181903</v>
      </c>
      <c r="K8283" s="6" t="n">
        <f aca="false">Sens!K8199+Sens!K8281</f>
        <v>178.392755564006</v>
      </c>
    </row>
    <row r="8284" customFormat="false" ht="17.15" hidden="false" customHeight="false" outlineLevel="0" collapsed="false">
      <c r="A8284" s="1" t="s">
        <v>1107</v>
      </c>
      <c r="B8284" s="0" t="s">
        <v>98</v>
      </c>
      <c r="F8284" s="6" t="n">
        <f aca="false">Sens!F8226*sbc_r</f>
        <v>14.8216105929865</v>
      </c>
      <c r="G8284" s="6" t="n">
        <f aca="false">Sens!G8226*sbc_r</f>
        <v>17.6566210930684</v>
      </c>
      <c r="H8284" s="6" t="n">
        <f aca="false">Sens!H8226*sbc_r</f>
        <v>20.5597364357669</v>
      </c>
      <c r="I8284" s="6" t="n">
        <f aca="false">Sens!I8226*sbc_r</f>
        <v>23.2367133452493</v>
      </c>
      <c r="J8284" s="6" t="n">
        <f aca="false">Sens!J8226*sbc_r</f>
        <v>25.4365886483124</v>
      </c>
      <c r="K8284" s="6" t="n">
        <f aca="false">Sens!K8226*sbc_r</f>
        <v>27.1981122781843</v>
      </c>
    </row>
    <row r="8285" customFormat="false" ht="17.15" hidden="false" customHeight="false" outlineLevel="0" collapsed="false">
      <c r="A8285" s="1" t="s">
        <v>1108</v>
      </c>
      <c r="B8285" s="0" t="s">
        <v>98</v>
      </c>
      <c r="F8285" s="6" t="n">
        <f aca="false">wc27-wc26q1</f>
        <v>-4.677</v>
      </c>
      <c r="G8285" s="6" t="n">
        <f aca="false">wc_f</f>
        <v>0</v>
      </c>
      <c r="H8285" s="6" t="n">
        <f aca="false">wc_f</f>
        <v>0</v>
      </c>
      <c r="I8285" s="6" t="n">
        <f aca="false">wc_f</f>
        <v>0</v>
      </c>
      <c r="J8285" s="6" t="n">
        <f aca="false">wc_f</f>
        <v>0</v>
      </c>
      <c r="K8285" s="6" t="n">
        <f aca="false">wc_f</f>
        <v>0</v>
      </c>
      <c r="L8285" s="12" t="s">
        <v>1109</v>
      </c>
    </row>
    <row r="8286" customFormat="false" ht="17.15" hidden="false" customHeight="false" outlineLevel="0" collapsed="false">
      <c r="A8286" s="0" t="s">
        <v>1110</v>
      </c>
      <c r="B8286" s="0" t="s">
        <v>98</v>
      </c>
      <c r="F8286" s="6" t="n">
        <f aca="false">Q!$I$35-Q!$I$26-Q!$I$38-Q!$I$39</f>
        <v>6.493</v>
      </c>
      <c r="L8286" s="1" t="s">
        <v>1111</v>
      </c>
    </row>
    <row r="8287" customFormat="false" ht="15" hidden="false" customHeight="false" outlineLevel="0" collapsed="false">
      <c r="A8287" s="1" t="s">
        <v>908</v>
      </c>
      <c r="B8287" s="0" t="s">
        <v>98</v>
      </c>
      <c r="E8287" s="6" t="n">
        <f aca="false">Q!M35</f>
        <v>182.935</v>
      </c>
      <c r="F8287" s="6" t="n">
        <f aca="false">Sens!F8280+Sens!F8283+Sens!F8284+Sens!F8285+Sens!F8286</f>
        <v>218.35953839161</v>
      </c>
      <c r="G8287" s="6" t="n">
        <f aca="false">Sens!G8280+Sens!G8283+Sens!G8284+Sens!G8285</f>
        <v>258.591323423555</v>
      </c>
      <c r="H8287" s="6" t="n">
        <f aca="false">Sens!H8280+Sens!H8283+Sens!H8284+Sens!H8285</f>
        <v>307.186557472323</v>
      </c>
      <c r="I8287" s="6" t="n">
        <f aca="false">Sens!I8280+Sens!I8283+Sens!I8284+Sens!I8285</f>
        <v>352.137986599564</v>
      </c>
      <c r="J8287" s="6" t="n">
        <f aca="false">Sens!J8280+Sens!J8283+Sens!J8284+Sens!J8285</f>
        <v>388.791138474153</v>
      </c>
      <c r="K8287" s="6" t="n">
        <f aca="false">Sens!K8280+Sens!K8283+Sens!K8284+Sens!K8285</f>
        <v>417.95995881072</v>
      </c>
    </row>
    <row r="8288" customFormat="false" ht="17.15" hidden="false" customHeight="false" outlineLevel="0" collapsed="false">
      <c r="A8288" s="0" t="s">
        <v>1112</v>
      </c>
      <c r="B8288" s="0" t="s">
        <v>98</v>
      </c>
      <c r="F8288" s="6" t="n">
        <f aca="false">Sens!F8196</f>
        <v>168.45390404212</v>
      </c>
      <c r="G8288" s="6" t="n">
        <f aca="false">Sens!G8196</f>
        <v>191.944475649048</v>
      </c>
      <c r="H8288" s="6" t="n">
        <f aca="false">Sens!H8196</f>
        <v>196.806004064512</v>
      </c>
      <c r="I8288" s="6" t="n">
        <f aca="false">Sens!I8196</f>
        <v>168.61483362161</v>
      </c>
      <c r="J8288" s="6" t="n">
        <f aca="false">Sens!J8196</f>
        <v>128.92993119594</v>
      </c>
      <c r="K8288" s="6" t="n">
        <f aca="false">Sens!K8196</f>
        <v>118.962853064733</v>
      </c>
    </row>
    <row r="8289" customFormat="false" ht="17.15" hidden="false" customHeight="false" outlineLevel="0" collapsed="false">
      <c r="A8289" s="1" t="s">
        <v>1113</v>
      </c>
      <c r="B8289" s="0" t="s">
        <v>98</v>
      </c>
      <c r="E8289" s="6" t="n">
        <f aca="false">Sens!E8204*cx_azo+Sens!E8211*cx_m365+Sens!E8212*cx_lic+(Sens!E8214+Sens!E8216)*cx_ind+Sens!E8219*cx_srch+(Sens!E8221+Sens!E8223)*cx_dev</f>
        <v>30.1846587067718</v>
      </c>
      <c r="F8289" s="6" t="n">
        <f aca="false">Sens!F8204*cx_azo+Sens!F8211*cx_m365+Sens!F8212*cx_lic+(Sens!F8214+Sens!F8216)*cx_ind+Sens!F8219*cx_srch+(Sens!F8221+Sens!F8223)*cx_dev</f>
        <v>35.4894510094372</v>
      </c>
      <c r="G8289" s="6" t="n">
        <f aca="false">Sens!G8204*cx_azo+Sens!G8211*cx_m365+Sens!G8212*cx_lic+(Sens!G8214+Sens!G8216)*cx_ind+Sens!G8219*cx_srch+(Sens!G8221+Sens!G8223)*cx_dev</f>
        <v>40.9448054474251</v>
      </c>
      <c r="H8289" s="6" t="n">
        <f aca="false">Sens!H8204*cx_azo+Sens!H8211*cx_m365+Sens!H8212*cx_lic+(Sens!H8214+Sens!H8216)*cx_ind+Sens!H8219*cx_srch+(Sens!H8221+Sens!H8223)*cx_dev</f>
        <v>46.4860268970825</v>
      </c>
      <c r="I8289" s="6" t="n">
        <f aca="false">Sens!I8204*cx_azo+Sens!I8211*cx_m365+Sens!I8212*cx_lic+(Sens!I8214+Sens!I8216)*cx_ind+Sens!I8219*cx_srch+(Sens!I8221+Sens!I8223)*cx_dev</f>
        <v>51.7958284655313</v>
      </c>
      <c r="J8289" s="6" t="n">
        <f aca="false">Sens!J8204*cx_azo+Sens!J8211*cx_m365+Sens!J8212*cx_lic+(Sens!J8214+Sens!J8216)*cx_ind+Sens!J8219*cx_srch+(Sens!J8221+Sens!J8223)*cx_dev</f>
        <v>56.6387623423974</v>
      </c>
      <c r="K8289" s="6" t="n">
        <f aca="false">Sens!K8204*cx_azo+Sens!K8211*cx_m365+Sens!K8212*cx_lic+(Sens!K8214+Sens!K8216)*cx_ind+Sens!K8219*cx_srch+(Sens!K8221+Sens!K8223)*cx_dev</f>
        <v>60.879577939955</v>
      </c>
    </row>
    <row r="8290" customFormat="false" ht="17.15" hidden="false" customHeight="false" outlineLevel="0" collapsed="false">
      <c r="A8290" s="0" t="s">
        <v>1114</v>
      </c>
      <c r="B8290" s="0" t="s">
        <v>98</v>
      </c>
      <c r="F8290" s="6" t="n">
        <f aca="false">Sens!F8194</f>
        <v>0.256644948443217</v>
      </c>
      <c r="L8290" s="1" t="s">
        <v>1115</v>
      </c>
    </row>
    <row r="8291" customFormat="false" ht="17.15" hidden="false" customHeight="false" outlineLevel="0" collapsed="false">
      <c r="A8291" s="1" t="s">
        <v>1116</v>
      </c>
      <c r="B8291" s="0" t="s">
        <v>98</v>
      </c>
      <c r="E8291" s="6" t="n">
        <f aca="false">Q!M43</f>
        <v>145.3</v>
      </c>
      <c r="F8291" s="6" t="n">
        <f aca="false">Sens!F8288+Sens!F8289+Sens!F8290</f>
        <v>204.2</v>
      </c>
      <c r="G8291" s="6" t="n">
        <f aca="false">Sens!G8288+Sens!G8289</f>
        <v>232.889281096473</v>
      </c>
      <c r="H8291" s="6" t="n">
        <f aca="false">Sens!H8288+Sens!H8289</f>
        <v>243.292030961595</v>
      </c>
      <c r="I8291" s="6" t="n">
        <f aca="false">Sens!I8288+Sens!I8289</f>
        <v>220.410662087142</v>
      </c>
      <c r="J8291" s="6" t="n">
        <f aca="false">Sens!J8288+Sens!J8289</f>
        <v>185.568693538338</v>
      </c>
      <c r="K8291" s="6" t="n">
        <f aca="false">Sens!K8288+Sens!K8289</f>
        <v>179.842431004688</v>
      </c>
      <c r="L8291" s="1" t="s">
        <v>1117</v>
      </c>
    </row>
    <row r="8292" customFormat="false" ht="15" hidden="false" customHeight="false" outlineLevel="0" collapsed="false">
      <c r="A8292" s="1" t="s">
        <v>1118</v>
      </c>
      <c r="B8292" s="0" t="s">
        <v>98</v>
      </c>
      <c r="E8292" s="6" t="n">
        <f aca="false">fl_liab</f>
        <v>66.594</v>
      </c>
      <c r="F8292" s="6" t="n">
        <f aca="false">Sens!E8292-Sens!F8293</f>
        <v>62.46973</v>
      </c>
      <c r="G8292" s="6" t="n">
        <f aca="false">Sens!F8292-Sens!G8293</f>
        <v>57.98686785</v>
      </c>
      <c r="H8292" s="6" t="n">
        <f aca="false">Sens!G8292-Sens!H8293</f>
        <v>53.92827690325</v>
      </c>
      <c r="I8292" s="6" t="n">
        <f aca="false">Sens!H8292-Sens!I8293</f>
        <v>49.7850493638962</v>
      </c>
      <c r="J8292" s="6" t="n">
        <f aca="false">Sens!I8292-Sens!J8293</f>
        <v>45.4823765852716</v>
      </c>
      <c r="K8292" s="6" t="n">
        <f aca="false">Sens!J8292-Sens!K8293</f>
        <v>40.9860835316088</v>
      </c>
    </row>
    <row r="8293" customFormat="false" ht="15" hidden="false" customHeight="false" outlineLevel="0" collapsed="false">
      <c r="A8293" s="1" t="s">
        <v>1119</v>
      </c>
      <c r="B8293" s="0" t="s">
        <v>98</v>
      </c>
      <c r="F8293" s="6" t="n">
        <f aca="false">fl_pay_27-Sens!E8292*fl_rate</f>
        <v>4.12427</v>
      </c>
      <c r="G8293" s="6" t="n">
        <f aca="false">fl_pay_28-Sens!F8292*fl_rate</f>
        <v>4.48286215</v>
      </c>
      <c r="H8293" s="6" t="n">
        <f aca="false">fl_pay_29-Sens!G8292*fl_rate</f>
        <v>4.05859094675</v>
      </c>
      <c r="I8293" s="6" t="n">
        <f aca="false">fl_pay_30-Sens!H8292*fl_rate</f>
        <v>4.14322753935375</v>
      </c>
      <c r="J8293" s="6" t="n">
        <f aca="false">fl_pay_31-Sens!I8292*fl_rate</f>
        <v>4.30267277862467</v>
      </c>
      <c r="K8293" s="6" t="n">
        <f aca="false">fl_pay_32-Sens!J8292*fl_rate</f>
        <v>4.49629305366278</v>
      </c>
    </row>
    <row r="8294" customFormat="false" ht="17.15" hidden="false" customHeight="false" outlineLevel="0" collapsed="false">
      <c r="A8294" s="1" t="s">
        <v>1120</v>
      </c>
      <c r="B8294" s="0" t="s">
        <v>98</v>
      </c>
      <c r="E8294" s="6" t="n">
        <f aca="false">Q!M35-Q!M36-Q!M44</f>
        <v>63.886</v>
      </c>
      <c r="F8294" s="6" t="n">
        <f aca="false">Sens!F8287-Sens!F8291-Sens!F8293</f>
        <v>10.03526839161</v>
      </c>
      <c r="G8294" s="6" t="n">
        <f aca="false">Sens!G8287-Sens!G8291-Sens!G8293</f>
        <v>21.219180177082</v>
      </c>
      <c r="H8294" s="6" t="n">
        <f aca="false">Sens!H8287-Sens!H8291-Sens!H8293</f>
        <v>59.8359355639785</v>
      </c>
      <c r="I8294" s="6" t="n">
        <f aca="false">Sens!I8287-Sens!I8291-Sens!I8293</f>
        <v>127.584096973068</v>
      </c>
      <c r="J8294" s="6" t="n">
        <f aca="false">Sens!J8287-Sens!J8291-Sens!J8293</f>
        <v>198.91977215719</v>
      </c>
      <c r="K8294" s="6" t="n">
        <f aca="false">Sens!K8287-Sens!K8291-Sens!K8293</f>
        <v>233.621234752369</v>
      </c>
      <c r="L8294" s="12" t="s">
        <v>1121</v>
      </c>
    </row>
    <row r="8295" customFormat="false" ht="15" hidden="false" customHeight="false" outlineLevel="0" collapsed="false">
      <c r="A8295" s="1" t="s">
        <v>1122</v>
      </c>
      <c r="B8295" s="0" t="s">
        <v>75</v>
      </c>
      <c r="F8295" s="8" t="n">
        <f aca="false">dps_27</f>
        <v>3.85</v>
      </c>
      <c r="G8295" s="8" t="n">
        <f aca="false">Sens!F8295*(1+dps_g)</f>
        <v>4.158</v>
      </c>
      <c r="H8295" s="8" t="n">
        <f aca="false">Sens!G8295*(1+dps_g)</f>
        <v>4.49064</v>
      </c>
      <c r="I8295" s="8" t="n">
        <f aca="false">Sens!H8295*(1+dps_g)</f>
        <v>4.8498912</v>
      </c>
      <c r="J8295" s="8" t="n">
        <f aca="false">Sens!I8295*(1+dps_g)</f>
        <v>5.237882496</v>
      </c>
      <c r="K8295" s="8" t="n">
        <f aca="false">Sens!J8295*(1+dps_g)</f>
        <v>5.65691309568</v>
      </c>
    </row>
    <row r="8296" customFormat="false" ht="17.15" hidden="false" customHeight="false" outlineLevel="0" collapsed="false">
      <c r="A8296" s="1" t="s">
        <v>1123</v>
      </c>
      <c r="B8296" s="0" t="s">
        <v>98</v>
      </c>
      <c r="E8296" s="6" t="n">
        <f aca="false">Q!M41</f>
        <v>26.445</v>
      </c>
      <c r="F8296" s="6" t="n">
        <f aca="false">Sens!F8295*Sens!E8305</f>
        <v>28.59395</v>
      </c>
      <c r="G8296" s="6" t="n">
        <f aca="false">Sens!G8295*Sens!F8305</f>
        <v>31.068576</v>
      </c>
      <c r="H8296" s="6" t="n">
        <f aca="false">Sens!H8295*Sens!G8305</f>
        <v>33.75614088</v>
      </c>
      <c r="I8296" s="6" t="n">
        <f aca="false">Sens!I8295*Sens!H8305</f>
        <v>36.5070704274727</v>
      </c>
      <c r="J8296" s="6" t="n">
        <f aca="false">Sens!J8295*Sens!I8305</f>
        <v>39.4955339470631</v>
      </c>
      <c r="K8296" s="6" t="n">
        <f aca="false">Sens!K8295*Sens!J8305</f>
        <v>42.7419309252064</v>
      </c>
      <c r="L8296" s="1" t="s">
        <v>1124</v>
      </c>
    </row>
    <row r="8297" customFormat="false" ht="15" hidden="false" customHeight="false" outlineLevel="0" collapsed="false">
      <c r="A8297" s="1" t="s">
        <v>1125</v>
      </c>
      <c r="B8297" s="0" t="s">
        <v>98</v>
      </c>
      <c r="E8297" s="6" t="n">
        <f aca="false">Sens!E8294-Sens!E8296</f>
        <v>37.441</v>
      </c>
      <c r="F8297" s="6" t="n">
        <f aca="false">Sens!F8294-Sens!F8296</f>
        <v>-18.55868160839</v>
      </c>
      <c r="G8297" s="6" t="n">
        <f aca="false">Sens!G8294-Sens!G8296</f>
        <v>-9.84939582291799</v>
      </c>
      <c r="H8297" s="6" t="n">
        <f aca="false">Sens!H8294-Sens!H8296</f>
        <v>26.0797946839785</v>
      </c>
      <c r="I8297" s="6" t="n">
        <f aca="false">Sens!I8294-Sens!I8296</f>
        <v>91.0770265455958</v>
      </c>
      <c r="J8297" s="6" t="n">
        <f aca="false">Sens!J8294-Sens!J8296</f>
        <v>159.424238210127</v>
      </c>
      <c r="K8297" s="6" t="n">
        <f aca="false">Sens!K8294-Sens!K8296</f>
        <v>190.879303827163</v>
      </c>
    </row>
    <row r="8298" customFormat="false" ht="15" hidden="false" customHeight="false" outlineLevel="0" collapsed="false">
      <c r="A8298" s="1" t="s">
        <v>1126</v>
      </c>
      <c r="B8298" s="0" t="s">
        <v>98</v>
      </c>
      <c r="F8298" s="6" t="n">
        <f aca="false">debt_mat_27</f>
        <v>9.25</v>
      </c>
      <c r="G8298" s="6" t="n">
        <f aca="false">debt_mat_28</f>
        <v>0</v>
      </c>
      <c r="H8298" s="6" t="n">
        <f aca="false">debt_mat_29</f>
        <v>2.001</v>
      </c>
      <c r="I8298" s="6" t="n">
        <f aca="false">debt_mat_30</f>
        <v>0</v>
      </c>
      <c r="J8298" s="6" t="n">
        <f aca="false">debt_mat_31</f>
        <v>0.5</v>
      </c>
      <c r="K8298" s="6" t="n">
        <f aca="false">debt_mat_32</f>
        <v>0</v>
      </c>
    </row>
    <row r="8299" customFormat="false" ht="15" hidden="false" customHeight="false" outlineLevel="0" collapsed="false">
      <c r="A8299" s="1" t="s">
        <v>1127</v>
      </c>
      <c r="B8299" s="0" t="s">
        <v>98</v>
      </c>
      <c r="E8299" s="6" t="n">
        <f aca="false">Q!M40</f>
        <v>22.271</v>
      </c>
      <c r="F8299" s="6" t="n">
        <f aca="false">MAX(0,MIN(bb_target,Sens!E8301+Sens!F8297-Sens!F8298-min_cash))</f>
        <v>0</v>
      </c>
      <c r="G8299" s="6" t="n">
        <f aca="false">MAX(0,MIN(bb_target,Sens!F8301+Sens!G8297-Sens!G8298-min_cash))</f>
        <v>0</v>
      </c>
      <c r="H8299" s="6" t="n">
        <f aca="false">MAX(0,MIN(bb_target,Sens!G8301+Sens!H8297-Sens!H8298-min_cash))</f>
        <v>22.271</v>
      </c>
      <c r="I8299" s="6" t="n">
        <f aca="false">MAX(0,MIN(bb_target,Sens!H8301+Sens!I8297-Sens!I8298-min_cash))</f>
        <v>22.271</v>
      </c>
      <c r="J8299" s="6" t="n">
        <f aca="false">MAX(0,MIN(bb_target,Sens!I8301+Sens!J8297-Sens!J8298-min_cash))</f>
        <v>22.271</v>
      </c>
      <c r="K8299" s="6" t="n">
        <f aca="false">MAX(0,MIN(bb_target,Sens!J8301+Sens!K8297-Sens!K8298-min_cash))</f>
        <v>22.271</v>
      </c>
    </row>
    <row r="8300" customFormat="false" ht="15" hidden="false" customHeight="false" outlineLevel="0" collapsed="false">
      <c r="A8300" s="1" t="s">
        <v>1128</v>
      </c>
      <c r="B8300" s="0" t="s">
        <v>98</v>
      </c>
      <c r="F8300" s="6" t="n">
        <f aca="false">MAX(0,min_cash-(Sens!E8301+Sens!F8297-Sens!F8298-Sens!F8299))</f>
        <v>0.96568160839</v>
      </c>
      <c r="G8300" s="6" t="n">
        <f aca="false">MAX(0,min_cash-(Sens!F8301+Sens!G8297-Sens!G8298-Sens!G8299))</f>
        <v>9.84939582291798</v>
      </c>
      <c r="H8300" s="6" t="n">
        <f aca="false">MAX(0,min_cash-(Sens!G8301+Sens!H8297-Sens!H8298-Sens!H8299))</f>
        <v>0</v>
      </c>
      <c r="I8300" s="6" t="n">
        <f aca="false">MAX(0,min_cash-(Sens!H8301+Sens!I8297-Sens!I8298-Sens!I8299))</f>
        <v>0</v>
      </c>
      <c r="J8300" s="6" t="n">
        <f aca="false">MAX(0,min_cash-(Sens!I8301+Sens!J8297-Sens!J8298-Sens!J8299))</f>
        <v>0</v>
      </c>
      <c r="K8300" s="6" t="n">
        <f aca="false">MAX(0,min_cash-(Sens!J8301+Sens!K8297-Sens!K8298-Sens!K8299))</f>
        <v>0</v>
      </c>
    </row>
    <row r="8301" customFormat="false" ht="15" hidden="false" customHeight="false" outlineLevel="0" collapsed="false">
      <c r="A8301" s="1" t="s">
        <v>1129</v>
      </c>
      <c r="B8301" s="0" t="s">
        <v>98</v>
      </c>
      <c r="E8301" s="6" t="n">
        <f aca="false">cash_open</f>
        <v>76.843</v>
      </c>
      <c r="F8301" s="6" t="n">
        <f aca="false">Sens!E8301+Sens!F8297-Sens!F8298-Sens!F8299+Sens!F8300</f>
        <v>50</v>
      </c>
      <c r="G8301" s="6" t="n">
        <f aca="false">Sens!F8301+Sens!G8297-Sens!G8298-Sens!G8299+Sens!G8300</f>
        <v>50</v>
      </c>
      <c r="H8301" s="6" t="n">
        <f aca="false">Sens!G8301+Sens!H8297-Sens!H8298-Sens!H8299+Sens!H8300</f>
        <v>51.8077946839785</v>
      </c>
      <c r="I8301" s="6" t="n">
        <f aca="false">Sens!H8301+Sens!I8297-Sens!I8298-Sens!I8299+Sens!I8300</f>
        <v>120.613821229574</v>
      </c>
      <c r="J8301" s="6" t="n">
        <f aca="false">Sens!I8301+Sens!J8297-Sens!J8298-Sens!J8299+Sens!J8300</f>
        <v>257.267059439702</v>
      </c>
      <c r="K8301" s="6" t="n">
        <f aca="false">Sens!J8301+Sens!K8297-Sens!K8298-Sens!K8299+Sens!K8300</f>
        <v>425.875363266865</v>
      </c>
    </row>
    <row r="8302" customFormat="false" ht="15" hidden="false" customHeight="false" outlineLevel="0" collapsed="false">
      <c r="A8302" s="1" t="s">
        <v>1130</v>
      </c>
      <c r="B8302" s="0" t="s">
        <v>98</v>
      </c>
      <c r="E8302" s="6" t="n">
        <f aca="false">debt_face</f>
        <v>46.136</v>
      </c>
      <c r="F8302" s="6" t="n">
        <f aca="false">Sens!E8302-Sens!F8298+Sens!F8300</f>
        <v>37.85168160839</v>
      </c>
      <c r="G8302" s="6" t="n">
        <f aca="false">Sens!F8302-Sens!G8298+Sens!G8300</f>
        <v>47.701077431308</v>
      </c>
      <c r="H8302" s="6" t="n">
        <f aca="false">Sens!G8302-Sens!H8298+Sens!H8300</f>
        <v>45.700077431308</v>
      </c>
      <c r="I8302" s="6" t="n">
        <f aca="false">Sens!H8302-Sens!I8298+Sens!I8300</f>
        <v>45.700077431308</v>
      </c>
      <c r="J8302" s="6" t="n">
        <f aca="false">Sens!I8302-Sens!J8298+Sens!J8300</f>
        <v>45.200077431308</v>
      </c>
      <c r="K8302" s="6" t="n">
        <f aca="false">Sens!J8302-Sens!K8298+Sens!K8300</f>
        <v>45.200077431308</v>
      </c>
    </row>
    <row r="8303" customFormat="false" ht="15" hidden="false" customHeight="false" outlineLevel="0" collapsed="false">
      <c r="A8303" s="1" t="s">
        <v>1131</v>
      </c>
      <c r="B8303" s="0" t="s">
        <v>98</v>
      </c>
      <c r="E8303" s="6" t="n">
        <f aca="false">Sens!E8301-Sens!E8302</f>
        <v>30.707</v>
      </c>
      <c r="F8303" s="6" t="n">
        <f aca="false">Sens!F8301-Sens!F8302</f>
        <v>12.14831839161</v>
      </c>
      <c r="G8303" s="6" t="n">
        <f aca="false">Sens!G8301-Sens!G8302</f>
        <v>2.29892256869201</v>
      </c>
      <c r="H8303" s="6" t="n">
        <f aca="false">Sens!H8301-Sens!H8302</f>
        <v>6.1077172526705</v>
      </c>
      <c r="I8303" s="6" t="n">
        <f aca="false">Sens!I8301-Sens!I8302</f>
        <v>74.9137437982663</v>
      </c>
      <c r="J8303" s="6" t="n">
        <f aca="false">Sens!J8301-Sens!J8302</f>
        <v>212.066982008394</v>
      </c>
      <c r="K8303" s="6" t="n">
        <f aca="false">Sens!K8301-Sens!K8302</f>
        <v>380.675285835557</v>
      </c>
    </row>
    <row r="8304" customFormat="false" ht="15" hidden="false" customHeight="false" outlineLevel="0" collapsed="false">
      <c r="A8304" s="1" t="s">
        <v>1132</v>
      </c>
      <c r="B8304" s="0" t="s">
        <v>75</v>
      </c>
      <c r="F8304" s="30" t="n">
        <f aca="false">px*(1+bb_g)^(Sens!F8162-base_fy-mid_yr)</f>
        <v>551.84177959629</v>
      </c>
      <c r="G8304" s="30" t="n">
        <f aca="false">px*(1+bb_g)^(Sens!G8162-base_fy-mid_yr)</f>
        <v>595.989121963993</v>
      </c>
      <c r="H8304" s="30" t="n">
        <f aca="false">px*(1+bb_g)^(Sens!H8162-base_fy-mid_yr)</f>
        <v>643.668251721112</v>
      </c>
      <c r="I8304" s="30" t="n">
        <f aca="false">px*(1+bb_g)^(Sens!I8162-base_fy-mid_yr)</f>
        <v>695.161711858801</v>
      </c>
      <c r="J8304" s="30" t="n">
        <f aca="false">px*(1+bb_g)^(Sens!J8162-base_fy-mid_yr)</f>
        <v>750.774648807506</v>
      </c>
      <c r="K8304" s="30" t="n">
        <f aca="false">px*(1+bb_g)^(Sens!K8162-base_fy-mid_yr)</f>
        <v>810.836620712106</v>
      </c>
    </row>
    <row r="8305" customFormat="false" ht="15" hidden="false" customHeight="false" outlineLevel="0" collapsed="false">
      <c r="A8305" s="1" t="s">
        <v>1133</v>
      </c>
      <c r="B8305" s="1" t="s">
        <v>81</v>
      </c>
      <c r="E8305" s="15" t="n">
        <f aca="false">sh_out26</f>
        <v>7.427</v>
      </c>
      <c r="F8305" s="15" t="n">
        <f aca="false">Sens!E8305+sh_iss-Sens!F8299/Sens!F8304</f>
        <v>7.472</v>
      </c>
      <c r="G8305" s="15" t="n">
        <f aca="false">Sens!F8305+sh_iss-Sens!G8299/Sens!G8304</f>
        <v>7.517</v>
      </c>
      <c r="H8305" s="15" t="n">
        <f aca="false">Sens!G8305+sh_iss-Sens!H8299/Sens!H8304</f>
        <v>7.5273998780576</v>
      </c>
      <c r="I8305" s="15" t="n">
        <f aca="false">Sens!H8305+sh_iss-Sens!I8299/Sens!I8304</f>
        <v>7.54036272811094</v>
      </c>
      <c r="J8305" s="15" t="n">
        <f aca="false">Sens!I8305+sh_iss-Sens!J8299/Sens!J8304</f>
        <v>7.55569870038255</v>
      </c>
      <c r="K8305" s="15" t="n">
        <f aca="false">Sens!J8305+sh_iss-Sens!K8299/Sens!K8304</f>
        <v>7.57323200804144</v>
      </c>
    </row>
    <row r="8306" customFormat="false" ht="15" hidden="false" customHeight="false" outlineLevel="0" collapsed="false">
      <c r="A8306" s="1" t="s">
        <v>1134</v>
      </c>
      <c r="B8306" s="1" t="s">
        <v>81</v>
      </c>
      <c r="E8306" s="15" t="n">
        <f aca="false">sh_dil26</f>
        <v>7.453</v>
      </c>
      <c r="F8306" s="15" t="n">
        <f aca="false">(Sens!E8305+Sens!F8305)/2+dil_gap</f>
        <v>7.4735</v>
      </c>
      <c r="G8306" s="15" t="n">
        <f aca="false">(Sens!F8305+Sens!G8305)/2+dil_gap</f>
        <v>7.5185</v>
      </c>
      <c r="H8306" s="15" t="n">
        <f aca="false">(Sens!G8305+Sens!H8305)/2+dil_gap</f>
        <v>7.5461999390288</v>
      </c>
      <c r="I8306" s="15" t="n">
        <f aca="false">(Sens!H8305+Sens!I8305)/2+dil_gap</f>
        <v>7.55788130308427</v>
      </c>
      <c r="J8306" s="15" t="n">
        <f aca="false">(Sens!I8305+Sens!J8305)/2+dil_gap</f>
        <v>7.57203071424674</v>
      </c>
      <c r="K8306" s="15" t="n">
        <f aca="false">(Sens!J8305+Sens!K8305)/2+dil_gap</f>
        <v>7.58846535421199</v>
      </c>
    </row>
    <row r="8307" customFormat="false" ht="17.15" hidden="false" customHeight="false" outlineLevel="0" collapsed="false">
      <c r="A8307" s="1" t="s">
        <v>1135</v>
      </c>
      <c r="B8307" s="0" t="s">
        <v>98</v>
      </c>
      <c r="C8307" s="6" t="n">
        <f aca="false">SUM(Sens!F8297:J8297)</f>
        <v>248.172982008394</v>
      </c>
    </row>
    <row r="8308" customFormat="false" ht="15" hidden="false" customHeight="false" outlineLevel="0" collapsed="false">
      <c r="A8308" s="26" t="s">
        <v>1100</v>
      </c>
      <c r="B8308" s="31" t="s">
        <v>98</v>
      </c>
      <c r="C8308" s="27" t="n">
        <f aca="false">Sens!$C$8307-(Sens!F8297+Sens!G8297+Sens!H8297+Sens!I8297+Sens!J8297)</f>
        <v>0</v>
      </c>
      <c r="D8308" s="31"/>
      <c r="E8308" s="31"/>
      <c r="F8308" s="31"/>
      <c r="G8308" s="31"/>
      <c r="H8308" s="31"/>
      <c r="I8308" s="31"/>
      <c r="J8308" s="31"/>
      <c r="K8308" s="31"/>
    </row>
    <row r="8309" customFormat="false" ht="17.15" hidden="false" customHeight="false" outlineLevel="0" collapsed="false">
      <c r="A8309" s="1" t="s">
        <v>1094</v>
      </c>
      <c r="B8309" s="1" t="s">
        <v>1136</v>
      </c>
      <c r="C8309" s="33" t="str">
        <f aca="false">IF(SUM(Sens!F8300:J8300)&gt;0.05,"需要舉債 "&amp;TEXT(SUM(Sens!F8300:J8300),"0.0")&amp;" 十億美元","不需舉債")&amp;"；"&amp;IF(SUM(Sens!F8299:J8299)&lt;COUNT(Sens!F8299:J8299)*bb_target-0.05,"回購較每年 "&amp;TEXT(bb_target,"0.0")&amp;" 的目標少 "&amp;TEXT(COUNT(Sens!F8299:J8299)*bb_target-SUM(Sens!F8299:J8299),"0.0")&amp;" 十億美元（"&amp;TEXT(COUNTIF(Sens!F8299:J8299,"&lt;"&amp;(bb_target-0.05)),"0")&amp;" 年減少）","回購不減")</f>
        <v>需要舉債 10.8 十億美元；回購較每年 22.3 的目標少 44.5 十億美元（2 年減少）</v>
      </c>
    </row>
    <row r="8310" customFormat="false" ht="17.15" hidden="false" customHeight="false" outlineLevel="0" collapsed="false">
      <c r="A8310" s="3" t="s">
        <v>1819</v>
      </c>
    </row>
    <row r="8311" customFormat="false" ht="15" hidden="false" customHeight="false" outlineLevel="0" collapsed="false">
      <c r="A8311" s="4" t="s">
        <v>43</v>
      </c>
      <c r="B8311" s="4" t="s">
        <v>65</v>
      </c>
      <c r="C8311" s="23" t="s">
        <v>942</v>
      </c>
      <c r="D8311" s="23" t="s">
        <v>943</v>
      </c>
      <c r="E8311" s="23" t="s">
        <v>944</v>
      </c>
      <c r="F8311" s="23" t="s">
        <v>945</v>
      </c>
      <c r="G8311" s="23" t="s">
        <v>946</v>
      </c>
      <c r="H8311" s="23" t="s">
        <v>947</v>
      </c>
      <c r="I8311" s="23" t="s">
        <v>948</v>
      </c>
      <c r="J8311" s="23" t="s">
        <v>949</v>
      </c>
      <c r="K8311" s="23" t="s">
        <v>950</v>
      </c>
      <c r="L8311" s="4" t="s">
        <v>47</v>
      </c>
    </row>
    <row r="8312" customFormat="false" ht="17.15" hidden="false" customHeight="false" outlineLevel="0" collapsed="false">
      <c r="A8312" s="1" t="s">
        <v>1216</v>
      </c>
      <c r="B8312" s="1" t="s">
        <v>279</v>
      </c>
      <c r="F8312" s="8" t="n">
        <f aca="false">(1-v_off)*mid_yr</f>
        <v>0.373972602739726</v>
      </c>
      <c r="G8312" s="8" t="n">
        <f aca="false">Sens!G8162-base_fy-mid_yr-v_off</f>
        <v>1.24794520547945</v>
      </c>
      <c r="H8312" s="8" t="n">
        <f aca="false">Sens!H8162-base_fy-mid_yr-v_off</f>
        <v>2.24794520547945</v>
      </c>
      <c r="I8312" s="8" t="n">
        <f aca="false">Sens!I8162-base_fy-mid_yr-v_off</f>
        <v>3.24794520547945</v>
      </c>
      <c r="J8312" s="8" t="n">
        <f aca="false">Sens!J8162-base_fy-mid_yr-v_off</f>
        <v>4.24794520547945</v>
      </c>
      <c r="K8312" s="8" t="n">
        <f aca="false">Sens!K8162-base_fy-mid_yr-v_off</f>
        <v>5.24794520547945</v>
      </c>
      <c r="L8312" s="12" t="s">
        <v>1217</v>
      </c>
    </row>
    <row r="8313" customFormat="false" ht="15" hidden="false" customHeight="false" outlineLevel="0" collapsed="false">
      <c r="A8313" s="1" t="s">
        <v>1218</v>
      </c>
      <c r="B8313" s="1" t="s">
        <v>279</v>
      </c>
      <c r="F8313" s="8" t="n">
        <f aca="false">Sens!F8162-base_fy-v_off</f>
        <v>0.747945205479452</v>
      </c>
      <c r="G8313" s="8" t="n">
        <f aca="false">Sens!G8162-base_fy-v_off</f>
        <v>1.74794520547945</v>
      </c>
      <c r="H8313" s="8" t="n">
        <f aca="false">Sens!H8162-base_fy-v_off</f>
        <v>2.74794520547945</v>
      </c>
      <c r="I8313" s="8" t="n">
        <f aca="false">Sens!I8162-base_fy-v_off</f>
        <v>3.74794520547945</v>
      </c>
      <c r="J8313" s="8" t="n">
        <f aca="false">Sens!J8162-base_fy-v_off</f>
        <v>4.74794520547945</v>
      </c>
      <c r="K8313" s="8" t="n">
        <f aca="false">Sens!K8162-base_fy-v_off</f>
        <v>5.74794520547945</v>
      </c>
    </row>
    <row r="8314" customFormat="false" ht="15" hidden="false" customHeight="false" outlineLevel="0" collapsed="false">
      <c r="A8314" s="1" t="s">
        <v>1219</v>
      </c>
      <c r="B8314" s="0" t="s">
        <v>229</v>
      </c>
      <c r="F8314" s="15" t="n">
        <f aca="false">1/(1+wacc)^Sens!F8312</f>
        <v>0.964022703286649</v>
      </c>
      <c r="G8314" s="15" t="n">
        <f aca="false">1/(1+wacc)^Sens!G8312</f>
        <v>0.884910302296739</v>
      </c>
      <c r="H8314" s="15" t="n">
        <f aca="false">1/(1+wacc)^Sens!H8312</f>
        <v>0.802322009770358</v>
      </c>
      <c r="I8314" s="15" t="n">
        <f aca="false">1/(1+wacc)^Sens!I8312</f>
        <v>0.727441646561469</v>
      </c>
      <c r="J8314" s="15" t="n">
        <f aca="false">1/(1+wacc)^Sens!J8312</f>
        <v>0.659549834988973</v>
      </c>
      <c r="K8314" s="15" t="n">
        <f aca="false">1/(1+wacc)^Sens!K8312</f>
        <v>0.597994336576966</v>
      </c>
    </row>
    <row r="8315" customFormat="false" ht="17.15" hidden="false" customHeight="false" outlineLevel="0" collapsed="false">
      <c r="A8315" s="1" t="s">
        <v>1220</v>
      </c>
      <c r="B8315" s="0" t="s">
        <v>98</v>
      </c>
      <c r="F8315" s="6" t="n">
        <f aca="false">Q!$I$35-Q!$I$39-Q!$I$43</f>
        <v>9.666</v>
      </c>
      <c r="L8315" s="12" t="s">
        <v>1221</v>
      </c>
    </row>
    <row r="8316" customFormat="false" ht="17.15" hidden="false" customHeight="false" outlineLevel="0" collapsed="false">
      <c r="A8316" s="1" t="s">
        <v>1222</v>
      </c>
      <c r="B8316" s="0" t="s">
        <v>98</v>
      </c>
      <c r="F8316" s="6" t="n">
        <f aca="false">Sens!F8287-Sens!F8284-Sens!F8291+Sens!F8269*(1-tax_f)*(1-v_off)-Sens!F8315</f>
        <v>-3.35228078117131</v>
      </c>
      <c r="G8316" s="6" t="n">
        <f aca="false">Sens!G8287-Sens!G8284-Sens!G8291+Sens!G8269*(1-tax_f)</f>
        <v>30.5677921495386</v>
      </c>
      <c r="H8316" s="6" t="n">
        <f aca="false">Sens!H8287-Sens!H8284-Sens!H8291+Sens!H8269*(1-tax_f)</f>
        <v>80.2314770891191</v>
      </c>
      <c r="I8316" s="6" t="n">
        <f aca="false">Sens!I8287-Sens!I8284-Sens!I8291+Sens!I8269*(1-tax_f)</f>
        <v>158.299557808445</v>
      </c>
      <c r="J8316" s="6" t="n">
        <f aca="false">Sens!J8287-Sens!J8284-Sens!J8291+Sens!J8269*(1-tax_f)</f>
        <v>236.600813027956</v>
      </c>
      <c r="K8316" s="6" t="n">
        <f aca="false">Sens!K8287-Sens!K8284-Sens!K8291+Sens!K8269*(1-tax_f)</f>
        <v>274.819643930895</v>
      </c>
      <c r="L8316" s="1" t="s">
        <v>1223</v>
      </c>
    </row>
    <row r="8317" customFormat="false" ht="15" hidden="false" customHeight="false" outlineLevel="0" collapsed="false">
      <c r="A8317" s="1" t="s">
        <v>1224</v>
      </c>
      <c r="B8317" s="0" t="s">
        <v>98</v>
      </c>
      <c r="F8317" s="6" t="n">
        <f aca="false">Sens!F8316*Sens!F8314</f>
        <v>-3.23167478084064</v>
      </c>
      <c r="G8317" s="6" t="n">
        <f aca="false">Sens!G8316*Sens!G8314</f>
        <v>27.0497541915921</v>
      </c>
      <c r="H8317" s="6" t="n">
        <f aca="false">Sens!H8316*Sens!H8314</f>
        <v>64.3714799449865</v>
      </c>
      <c r="I8317" s="6" t="n">
        <f aca="false">Sens!I8316*Sens!I8314</f>
        <v>115.153690982127</v>
      </c>
      <c r="J8317" s="6" t="n">
        <f aca="false">Sens!J8316*Sens!J8314</f>
        <v>156.050027190845</v>
      </c>
      <c r="K8317" s="6" t="n">
        <f aca="false">Sens!K8316*Sens!K8314</f>
        <v>164.340590650774</v>
      </c>
    </row>
    <row r="8318" customFormat="false" ht="17.15" hidden="false" customHeight="false" outlineLevel="0" collapsed="false">
      <c r="A8318" s="1" t="s">
        <v>1225</v>
      </c>
      <c r="B8318" s="0" t="s">
        <v>98</v>
      </c>
      <c r="C8318" s="6" t="n">
        <f aca="false">SUM(Sens!F8317:K8317)</f>
        <v>523.733868179484</v>
      </c>
    </row>
    <row r="8319" customFormat="false" ht="17.15" hidden="false" customHeight="false" outlineLevel="0" collapsed="false">
      <c r="A8319" s="1" t="s">
        <v>1226</v>
      </c>
      <c r="B8319" s="0" t="s">
        <v>98</v>
      </c>
      <c r="C8319" s="6" t="n">
        <f aca="false">Sens!K8255*(1+g_tv)*(1-tax_f)</f>
        <v>285.546198952724</v>
      </c>
    </row>
    <row r="8320" customFormat="false" ht="17.15" hidden="false" customHeight="false" outlineLevel="0" collapsed="false">
      <c r="A8320" s="1" t="s">
        <v>1227</v>
      </c>
      <c r="B8320" s="0" t="s">
        <v>98</v>
      </c>
      <c r="C8320" s="6" t="n">
        <f aca="false">Sens!$C$8319*(1-g_tv/(wacc+ronic_prem))</f>
        <v>202.326171070616</v>
      </c>
    </row>
    <row r="8321" customFormat="false" ht="17.15" hidden="false" customHeight="false" outlineLevel="0" collapsed="false">
      <c r="A8321" s="1" t="s">
        <v>1228</v>
      </c>
      <c r="B8321" s="0" t="s">
        <v>98</v>
      </c>
      <c r="C8321" s="6" t="n">
        <f aca="false">Sens!$C$8320/(wacc-g_tv)</f>
        <v>2774.00092940359</v>
      </c>
    </row>
    <row r="8322" customFormat="false" ht="15" hidden="false" customHeight="false" outlineLevel="0" collapsed="false">
      <c r="A8322" s="1" t="s">
        <v>1229</v>
      </c>
      <c r="B8322" s="0" t="s">
        <v>98</v>
      </c>
      <c r="C8322" s="6" t="n">
        <f aca="false">Sens!$C$8321/(1+wacc)^Sens!K8313</f>
        <v>1579.53189767011</v>
      </c>
    </row>
    <row r="8323" customFormat="false" ht="17.15" hidden="false" customHeight="false" outlineLevel="0" collapsed="false">
      <c r="A8323" s="0" t="s">
        <v>1230</v>
      </c>
      <c r="B8323" s="0" t="s">
        <v>98</v>
      </c>
      <c r="C8323" s="6" t="n">
        <f aca="false">Sens!$C$8318+Sens!$C$8322</f>
        <v>2103.26576584959</v>
      </c>
    </row>
    <row r="8324" customFormat="false" ht="15" hidden="false" customHeight="false" outlineLevel="0" collapsed="false">
      <c r="A8324" s="1" t="s">
        <v>1145</v>
      </c>
      <c r="B8324" s="0" t="s">
        <v>168</v>
      </c>
      <c r="C8324" s="7" t="n">
        <f aca="false">Sens!$C$8322/Sens!$C$8323</f>
        <v>0.750990161736442</v>
      </c>
    </row>
    <row r="8325" customFormat="false" ht="17.15" hidden="false" customHeight="false" outlineLevel="0" collapsed="false">
      <c r="A8325" s="1" t="s">
        <v>1231</v>
      </c>
      <c r="B8325" s="0" t="s">
        <v>98</v>
      </c>
      <c r="C8325" s="6" t="n">
        <f aca="false">Sens!$C$8323+cash_val-debt_val-fl_val+oai_v</f>
        <v>2219.11676584959</v>
      </c>
    </row>
    <row r="8326" customFormat="false" ht="17.15" hidden="false" customHeight="false" outlineLevel="0" collapsed="false">
      <c r="A8326" s="0" t="s">
        <v>1153</v>
      </c>
      <c r="B8326" s="0" t="s">
        <v>75</v>
      </c>
      <c r="C8326" s="5" t="n">
        <f aca="false">Sens!$C$8325/shd_val</f>
        <v>298.028037315282</v>
      </c>
    </row>
    <row r="8327" customFormat="false" ht="15" hidden="false" customHeight="false" outlineLevel="0" collapsed="false">
      <c r="A8327" s="1" t="s">
        <v>1232</v>
      </c>
      <c r="B8327" s="0" t="s">
        <v>75</v>
      </c>
      <c r="C8327" s="8" t="n">
        <f aca="false">div_rem27+Sens!G8295*roll_div_q/q_per_yr</f>
        <v>3.9795</v>
      </c>
    </row>
    <row r="8328" customFormat="false" ht="17.15" hidden="false" customHeight="false" outlineLevel="0" collapsed="false">
      <c r="A8328" s="0" t="s">
        <v>1233</v>
      </c>
      <c r="B8328" s="0" t="s">
        <v>75</v>
      </c>
      <c r="C8328" s="5" t="n">
        <f aca="false">Sens!$C$8326*(1+wacc)^t_roll-Sens!$C$8327</f>
        <v>327.295296642378</v>
      </c>
    </row>
    <row r="8329" customFormat="false" ht="17.15" hidden="false" customHeight="false" outlineLevel="0" collapsed="false">
      <c r="A8329" s="1" t="s">
        <v>1234</v>
      </c>
      <c r="B8329" s="0" t="s">
        <v>168</v>
      </c>
      <c r="F8329" s="7" t="n">
        <f aca="false">Sens!F8281/(Sens!F8226-Sens!F8181)</f>
        <v>0.0691358655865868</v>
      </c>
      <c r="G8329" s="7" t="n">
        <f aca="false">Sens!G8281/(Sens!G8226-Sens!G8181)</f>
        <v>0.0664423434251688</v>
      </c>
      <c r="H8329" s="7" t="n">
        <f aca="false">Sens!H8281/(Sens!H8226-Sens!H8181)</f>
        <v>0.0650417260337919</v>
      </c>
      <c r="I8329" s="7" t="n">
        <f aca="false">Sens!I8281/(Sens!I8226-Sens!I8181)</f>
        <v>0.064795080892339</v>
      </c>
      <c r="J8329" s="7" t="n">
        <f aca="false">Sens!J8281/(Sens!J8226-Sens!J8181)</f>
        <v>0.0654527191453395</v>
      </c>
      <c r="K8329" s="7" t="n">
        <f aca="false">Sens!K8281/(Sens!K8226-Sens!K8181)</f>
        <v>0.066724552433022</v>
      </c>
    </row>
    <row r="8330" customFormat="false" ht="17.15" hidden="false" customHeight="false" outlineLevel="0" collapsed="false">
      <c r="A8330" s="0" t="s">
        <v>1235</v>
      </c>
      <c r="B8330" s="0" t="s">
        <v>98</v>
      </c>
      <c r="F8330" s="6" t="n">
        <f aca="false">Sens!F8211*(al_m365+Sens!F8329+sbc_r)</f>
        <v>81.9686802541651</v>
      </c>
      <c r="G8330" s="6" t="n">
        <f aca="false">Sens!G8211*(al_m365+Sens!G8329+sbc_r)</f>
        <v>93.2882686998906</v>
      </c>
      <c r="H8330" s="6" t="n">
        <f aca="false">Sens!H8211*(al_m365+Sens!H8329+sbc_r)</f>
        <v>104.769005357483</v>
      </c>
      <c r="I8330" s="6" t="n">
        <f aca="false">Sens!I8211*(al_m365+Sens!I8329+sbc_r)</f>
        <v>115.511637318792</v>
      </c>
      <c r="J8330" s="6" t="n">
        <f aca="false">Sens!J8211*(al_m365+Sens!J8329+sbc_r)</f>
        <v>125.32691954569</v>
      </c>
      <c r="K8330" s="6" t="n">
        <f aca="false">Sens!K8211*(al_m365+Sens!K8329+sbc_r)</f>
        <v>134.745498509869</v>
      </c>
      <c r="L8330" s="12" t="s">
        <v>1236</v>
      </c>
    </row>
    <row r="8331" customFormat="false" ht="17.15" hidden="false" customHeight="false" outlineLevel="0" collapsed="false">
      <c r="A8331" s="0" t="s">
        <v>1237</v>
      </c>
      <c r="B8331" s="0" t="s">
        <v>98</v>
      </c>
      <c r="F8331" s="6" t="n">
        <f aca="false">Sens!F8212*(al_lic+Sens!F8329+sbc_r)</f>
        <v>32.8775839180199</v>
      </c>
      <c r="G8331" s="6" t="n">
        <f aca="false">Sens!G8212*(al_lic+Sens!G8329+sbc_r)</f>
        <v>34.1619925087753</v>
      </c>
      <c r="H8331" s="6" t="n">
        <f aca="false">Sens!H8212*(al_lic+Sens!H8329+sbc_r)</f>
        <v>35.3596270248755</v>
      </c>
      <c r="I8331" s="6" t="n">
        <f aca="false">Sens!I8212*(al_lic+Sens!I8329+sbc_r)</f>
        <v>36.4513123194054</v>
      </c>
      <c r="J8331" s="6" t="n">
        <f aca="false">Sens!J8212*(al_lic+Sens!J8329+sbc_r)</f>
        <v>37.4128079729581</v>
      </c>
      <c r="K8331" s="6" t="n">
        <f aca="false">Sens!K8212*(al_lic+Sens!K8329+sbc_r)</f>
        <v>38.2179737272201</v>
      </c>
    </row>
    <row r="8332" customFormat="false" ht="17.15" hidden="false" customHeight="false" outlineLevel="0" collapsed="false">
      <c r="A8332" s="0" t="s">
        <v>1238</v>
      </c>
      <c r="B8332" s="0" t="s">
        <v>98</v>
      </c>
      <c r="F8332" s="6" t="n">
        <f aca="false">Sens!F8214*(al_ind+Sens!F8329+sbc_r)</f>
        <v>9.07193882540117</v>
      </c>
      <c r="G8332" s="6" t="n">
        <f aca="false">Sens!G8214*(al_ind+Sens!G8329+sbc_r)</f>
        <v>9.85104665718721</v>
      </c>
      <c r="H8332" s="6" t="n">
        <f aca="false">Sens!H8214*(al_ind+Sens!H8329+sbc_r)</f>
        <v>10.674314663539</v>
      </c>
      <c r="I8332" s="6" t="n">
        <f aca="false">Sens!I8214*(al_ind+Sens!I8329+sbc_r)</f>
        <v>11.5378568491328</v>
      </c>
      <c r="J8332" s="6" t="n">
        <f aca="false">Sens!J8214*(al_ind+Sens!J8329+sbc_r)</f>
        <v>12.4325033221993</v>
      </c>
      <c r="K8332" s="6" t="n">
        <f aca="false">Sens!K8214*(al_ind+Sens!K8329+sbc_r)</f>
        <v>13.3447781420856</v>
      </c>
    </row>
    <row r="8333" customFormat="false" ht="17.15" hidden="false" customHeight="false" outlineLevel="0" collapsed="false">
      <c r="A8333" s="0" t="s">
        <v>1239</v>
      </c>
      <c r="B8333" s="0" t="s">
        <v>98</v>
      </c>
      <c r="F8333" s="6" t="n">
        <f aca="false">Sens!F8216*(al_fro+Sens!F8329+sbc_r)</f>
        <v>3.55854903646531</v>
      </c>
      <c r="G8333" s="6" t="n">
        <f aca="false">Sens!G8216*(al_fro+Sens!G8329+sbc_r)</f>
        <v>3.76929916523939</v>
      </c>
      <c r="H8333" s="6" t="n">
        <f aca="false">Sens!H8216*(al_fro+Sens!H8329+sbc_r)</f>
        <v>4.00870614489558</v>
      </c>
      <c r="I8333" s="6" t="n">
        <f aca="false">Sens!I8216*(al_fro+Sens!I8329+sbc_r)</f>
        <v>4.27925238429519</v>
      </c>
      <c r="J8333" s="6" t="n">
        <f aca="false">Sens!J8216*(al_fro+Sens!J8329+sbc_r)</f>
        <v>4.58231034186868</v>
      </c>
      <c r="K8333" s="6" t="n">
        <f aca="false">Sens!K8216*(al_fro+Sens!K8329+sbc_r)</f>
        <v>4.91855206515275</v>
      </c>
    </row>
    <row r="8334" customFormat="false" ht="17.15" hidden="false" customHeight="false" outlineLevel="0" collapsed="false">
      <c r="A8334" s="0" t="s">
        <v>1240</v>
      </c>
      <c r="B8334" s="0" t="s">
        <v>98</v>
      </c>
      <c r="F8334" s="6" t="n">
        <f aca="false">Sens!F8219*(al_srch+Sens!F8329+sbc_r)</f>
        <v>11.2033190730445</v>
      </c>
      <c r="G8334" s="6" t="n">
        <f aca="false">Sens!G8219*(al_srch+Sens!G8329+sbc_r)</f>
        <v>12.2802580840795</v>
      </c>
      <c r="H8334" s="6" t="n">
        <f aca="false">Sens!H8219*(al_srch+Sens!H8329+sbc_r)</f>
        <v>13.401204156934</v>
      </c>
      <c r="I8334" s="6" t="n">
        <f aca="false">Sens!I8219*(al_srch+Sens!I8329+sbc_r)</f>
        <v>14.55441716267</v>
      </c>
      <c r="J8334" s="6" t="n">
        <f aca="false">Sens!J8219*(al_srch+Sens!J8329+sbc_r)</f>
        <v>15.7205581080756</v>
      </c>
      <c r="K8334" s="6" t="n">
        <f aca="false">Sens!K8219*(al_srch+Sens!K8329+sbc_r)</f>
        <v>16.8741044973171</v>
      </c>
    </row>
    <row r="8335" customFormat="false" ht="17.15" hidden="false" customHeight="false" outlineLevel="0" collapsed="false">
      <c r="A8335" s="0" t="s">
        <v>1241</v>
      </c>
      <c r="B8335" s="0" t="s">
        <v>98</v>
      </c>
      <c r="F8335" s="6" t="n">
        <f aca="false">Sens!F8187-Sens!F8188+Sens!F8269</f>
        <v>44.4615257229903</v>
      </c>
      <c r="G8335" s="6" t="n">
        <f aca="false">Sens!G8187-Sens!G8188+Sens!G8269</f>
        <v>84.3698811615113</v>
      </c>
      <c r="H8335" s="6" t="n">
        <f aca="false">Sens!H8187-Sens!H8188+Sens!H8269</f>
        <v>127.115099609251</v>
      </c>
      <c r="I8335" s="6" t="n">
        <f aca="false">Sens!I8187-Sens!I8188+Sens!I8269</f>
        <v>165.162181511929</v>
      </c>
      <c r="J8335" s="6" t="n">
        <f aca="false">Sens!J8187-Sens!J8188+Sens!J8269</f>
        <v>191.85458566738</v>
      </c>
      <c r="K8335" s="6" t="n">
        <f aca="false">Sens!K8187-Sens!K8188+Sens!K8269</f>
        <v>208.291870169136</v>
      </c>
    </row>
    <row r="8336" customFormat="false" ht="17.15" hidden="false" customHeight="false" outlineLevel="0" collapsed="false">
      <c r="A8336" s="0" t="s">
        <v>1242</v>
      </c>
      <c r="B8336" s="0" t="s">
        <v>98</v>
      </c>
      <c r="F8336" s="6" t="n">
        <f aca="false">Sens!F8248+Sens!F8269+Sens!F8199+Sens!F8329*(Sens!F8218-Sens!F8181)+sbc_r*Sens!F8218</f>
        <v>238.45427924794</v>
      </c>
      <c r="G8336" s="6" t="n">
        <f aca="false">Sens!G8248+Sens!G8269+Sens!G8199+Sens!G8329*(Sens!G8218-Sens!G8181)+sbc_r*Sens!G8218</f>
        <v>300.152695462599</v>
      </c>
      <c r="H8336" s="6" t="n">
        <f aca="false">Sens!H8248+Sens!H8269+Sens!H8199+Sens!H8329*(Sens!H8218-Sens!H8181)+sbc_r*Sens!H8218</f>
        <v>369.639064567339</v>
      </c>
      <c r="I8336" s="6" t="n">
        <f aca="false">Sens!I8248+Sens!I8269+Sens!I8199+Sens!I8329*(Sens!I8218-Sens!I8181)+sbc_r*Sens!I8218</f>
        <v>433.296900172672</v>
      </c>
      <c r="J8336" s="6" t="n">
        <f aca="false">Sens!J8248+Sens!J8269+Sens!J8199+Sens!J8329*(Sens!J8218-Sens!J8181)+sbc_r*Sens!J8218</f>
        <v>483.396513939187</v>
      </c>
      <c r="K8336" s="6" t="n">
        <f aca="false">Sens!K8248+Sens!K8269+Sens!K8199+Sens!K8329*(Sens!K8218-Sens!K8181)+sbc_r*Sens!K8218</f>
        <v>520.841927413183</v>
      </c>
    </row>
    <row r="8337" customFormat="false" ht="17.15" hidden="false" customHeight="false" outlineLevel="0" collapsed="false">
      <c r="A8337" s="0" t="s">
        <v>1243</v>
      </c>
      <c r="B8337" s="0" t="s">
        <v>98</v>
      </c>
      <c r="F8337" s="6" t="n">
        <f aca="false">Sens!F8336-Sens!F8330-Sens!F8331-Sens!F8332-Sens!F8333-Sens!F8335</f>
        <v>66.5160014908981</v>
      </c>
      <c r="G8337" s="6" t="n">
        <f aca="false">Sens!G8336-Sens!G8330-Sens!G8331-Sens!G8332-Sens!G8333-Sens!G8335</f>
        <v>74.712207269995</v>
      </c>
      <c r="H8337" s="6" t="n">
        <f aca="false">Sens!H8336-Sens!H8330-Sens!H8331-Sens!H8332-Sens!H8333-Sens!H8335</f>
        <v>87.7123117672942</v>
      </c>
      <c r="I8337" s="6" t="n">
        <f aca="false">Sens!I8336-Sens!I8330-Sens!I8331-Sens!I8332-Sens!I8333-Sens!I8335</f>
        <v>100.354659789119</v>
      </c>
      <c r="J8337" s="6" t="n">
        <f aca="false">Sens!J8336-Sens!J8330-Sens!J8331-Sens!J8332-Sens!J8333-Sens!J8335</f>
        <v>111.787387089091</v>
      </c>
      <c r="K8337" s="6" t="n">
        <f aca="false">Sens!K8336-Sens!K8330-Sens!K8331-Sens!K8332-Sens!K8333-Sens!K8335</f>
        <v>121.323254799719</v>
      </c>
    </row>
    <row r="8338" customFormat="false" ht="17.15" hidden="false" customHeight="false" outlineLevel="0" collapsed="false">
      <c r="A8338" s="0" t="s">
        <v>1244</v>
      </c>
      <c r="B8338" s="0" t="s">
        <v>98</v>
      </c>
      <c r="F8338" s="6" t="n">
        <f aca="false">Sens!F8250+Sens!F8329*Sens!F8225+sbc_r*Sens!F8225</f>
        <v>26.6668358902157</v>
      </c>
      <c r="G8338" s="6" t="n">
        <f aca="false">Sens!G8250+Sens!G8329*Sens!G8225+sbc_r*Sens!G8225</f>
        <v>26.5124469400312</v>
      </c>
      <c r="H8338" s="6" t="n">
        <f aca="false">Sens!H8250+Sens!H8329*Sens!H8225+sbc_r*Sens!H8225</f>
        <v>27.3916057676413</v>
      </c>
      <c r="I8338" s="6" t="n">
        <f aca="false">Sens!I8250+Sens!I8329*Sens!I8225+sbc_r*Sens!I8225</f>
        <v>28.5023542578486</v>
      </c>
      <c r="J8338" s="6" t="n">
        <f aca="false">Sens!J8250+Sens!J8329*Sens!J8225+sbc_r*Sens!J8225</f>
        <v>29.8113373715166</v>
      </c>
      <c r="K8338" s="6" t="n">
        <f aca="false">Sens!K8250+Sens!K8329*Sens!K8225+sbc_r*Sens!K8225</f>
        <v>31.2855896434789</v>
      </c>
    </row>
    <row r="8339" customFormat="false" ht="17.15" hidden="false" customHeight="false" outlineLevel="0" collapsed="false">
      <c r="A8339" s="0" t="s">
        <v>1245</v>
      </c>
      <c r="B8339" s="0" t="s">
        <v>98</v>
      </c>
      <c r="F8339" s="6" t="n">
        <f aca="false">(Sens!F8338-Sens!F8334)*Sens!F8221/(Sens!F8221+Sens!F8223)</f>
        <v>8.73357036350841</v>
      </c>
      <c r="G8339" s="6" t="n">
        <f aca="false">(Sens!G8338-Sens!G8334)*Sens!G8221/(Sens!G8221+Sens!G8223)</f>
        <v>7.89998847673024</v>
      </c>
      <c r="H8339" s="6" t="n">
        <f aca="false">(Sens!H8338-Sens!H8334)*Sens!H8221/(Sens!H8221+Sens!H8223)</f>
        <v>7.66461237877111</v>
      </c>
      <c r="I8339" s="6" t="n">
        <f aca="false">(Sens!I8338-Sens!I8334)*Sens!I8221/(Sens!I8221+Sens!I8223)</f>
        <v>7.5746511256638</v>
      </c>
      <c r="J8339" s="6" t="n">
        <f aca="false">(Sens!J8338-Sens!J8334)*Sens!J8221/(Sens!J8221+Sens!J8223)</f>
        <v>7.6188375673906</v>
      </c>
      <c r="K8339" s="6" t="n">
        <f aca="false">(Sens!K8338-Sens!K8334)*Sens!K8221/(Sens!K8221+Sens!K8223)</f>
        <v>7.79224217345778</v>
      </c>
    </row>
    <row r="8340" customFormat="false" ht="17.15" hidden="false" customHeight="false" outlineLevel="0" collapsed="false">
      <c r="A8340" s="0" t="s">
        <v>1246</v>
      </c>
      <c r="B8340" s="0" t="s">
        <v>98</v>
      </c>
      <c r="F8340" s="6" t="n">
        <f aca="false">Sens!F8338-Sens!F8334-Sens!F8339</f>
        <v>6.72994645366282</v>
      </c>
      <c r="G8340" s="6" t="n">
        <f aca="false">Sens!G8338-Sens!G8334-Sens!G8339</f>
        <v>6.33220037922146</v>
      </c>
      <c r="H8340" s="6" t="n">
        <f aca="false">Sens!H8338-Sens!H8334-Sens!H8339</f>
        <v>6.32578923193613</v>
      </c>
      <c r="I8340" s="6" t="n">
        <f aca="false">Sens!I8338-Sens!I8334-Sens!I8339</f>
        <v>6.37328596951481</v>
      </c>
      <c r="J8340" s="6" t="n">
        <f aca="false">Sens!J8338-Sens!J8334-Sens!J8339</f>
        <v>6.47194169605034</v>
      </c>
      <c r="K8340" s="6" t="n">
        <f aca="false">Sens!K8338-Sens!K8334-Sens!K8339</f>
        <v>6.61924297270398</v>
      </c>
    </row>
    <row r="8341" customFormat="false" ht="17.15" hidden="false" customHeight="false" outlineLevel="0" collapsed="false">
      <c r="A8341" s="0" t="s">
        <v>1247</v>
      </c>
      <c r="B8341" s="0" t="s">
        <v>98</v>
      </c>
      <c r="F8341" s="6" t="n">
        <f aca="false">Sens!F8335-tax_f*(Sens!F8335-Sens!F8199)-Sens!F8196</f>
        <v>-125.968820568057</v>
      </c>
      <c r="G8341" s="6" t="n">
        <f aca="false">Sens!G8335-tax_f*(Sens!G8335-Sens!G8199)-Sens!G8196</f>
        <v>-112.301672589379</v>
      </c>
      <c r="H8341" s="6" t="n">
        <f aca="false">Sens!H8335-tax_f*(Sens!H8335-Sens!H8199)-Sens!H8196</f>
        <v>-77.2939062448221</v>
      </c>
      <c r="I8341" s="6" t="n">
        <f aca="false">Sens!I8335-tax_f*(Sens!I8335-Sens!I8199)-Sens!I8196</f>
        <v>-13.6388864731578</v>
      </c>
      <c r="J8341" s="6" t="n">
        <f aca="false">Sens!J8335-tax_f*(Sens!J8335-Sens!J8199)-Sens!J8196</f>
        <v>50.9568719478826</v>
      </c>
      <c r="K8341" s="6" t="n">
        <f aca="false">Sens!K8335-tax_f*(Sens!K8335-Sens!K8199)-Sens!K8196</f>
        <v>76.2731769807629</v>
      </c>
    </row>
    <row r="8342" customFormat="false" ht="17.15" hidden="false" customHeight="false" outlineLevel="0" collapsed="false">
      <c r="A8342" s="0" t="s">
        <v>1248</v>
      </c>
      <c r="B8342" s="0" t="s">
        <v>98</v>
      </c>
      <c r="G8342" s="6" t="n">
        <f aca="false">Sens!G8341/(1+wacc)^(Sens!G8312-Sens!F8313)</f>
        <v>-106.932803249437</v>
      </c>
      <c r="H8342" s="6" t="n">
        <f aca="false">Sens!H8341/(1+wacc)^(Sens!H8312-Sens!F8313)</f>
        <v>-66.7297408758471</v>
      </c>
      <c r="I8342" s="6" t="n">
        <f aca="false">Sens!I8341/(1+wacc)^(Sens!I8312-Sens!F8313)</f>
        <v>-10.6758521774234</v>
      </c>
      <c r="J8342" s="6" t="n">
        <f aca="false">Sens!J8341/(1+wacc)^(Sens!J8312-Sens!F8313)</f>
        <v>36.1639493767738</v>
      </c>
      <c r="K8342" s="6" t="n">
        <f aca="false">Sens!K8341/(1+wacc)^(Sens!K8312-Sens!F8313)</f>
        <v>49.0788506198144</v>
      </c>
      <c r="L8342" s="1" t="s">
        <v>1249</v>
      </c>
    </row>
    <row r="8343" customFormat="false" ht="17.15" hidden="false" customHeight="false" outlineLevel="0" collapsed="false">
      <c r="A8343" s="0" t="s">
        <v>1250</v>
      </c>
      <c r="B8343" s="0" t="s">
        <v>98</v>
      </c>
      <c r="C8343" s="6" t="n">
        <f aca="false">(Sens!K8335-Sens!K8199)*(1-tax_f)*(1+g_tv)*(1-g_tv/(wacc+ronic_prem))/(wacc-g_tv)/(1+wacc)^(Sens!K8313-Sens!F8313)</f>
        <v>320.169186613682</v>
      </c>
    </row>
    <row r="8344" customFormat="false" ht="17.15" hidden="false" customHeight="false" outlineLevel="0" collapsed="false">
      <c r="A8344" s="1" t="s">
        <v>1251</v>
      </c>
      <c r="B8344" s="0" t="s">
        <v>98</v>
      </c>
      <c r="C8344" s="6" t="n">
        <f aca="false">(SUM(Sens!G8342:K8342)+Sens!$C$8343)*(1+wacc)^(t_roll-Sens!F8313)</f>
        <v>228.371898099776</v>
      </c>
      <c r="L8344" s="12" t="s">
        <v>1252</v>
      </c>
    </row>
    <row r="8345" customFormat="false" ht="17.15" hidden="false" customHeight="false" outlineLevel="0" collapsed="false">
      <c r="A8345" s="1" t="s">
        <v>1253</v>
      </c>
      <c r="B8345" s="0" t="s">
        <v>98</v>
      </c>
      <c r="C8345" s="6" t="n">
        <f aca="false">(w_ntm28*Sens!G8187+(1-w_ntm28)*Sens!H8187)*m_ai</f>
        <v>463.789109510335</v>
      </c>
    </row>
    <row r="8346" customFormat="false" ht="17.15" hidden="false" customHeight="false" outlineLevel="0" collapsed="false">
      <c r="A8346" s="1" t="s">
        <v>1254</v>
      </c>
      <c r="B8346" s="0" t="s">
        <v>98</v>
      </c>
      <c r="C8346" s="6" t="n">
        <f aca="false">(w_ntm28*Sens!G8337+(1-w_ntm28)*Sens!H8337)*m_cloud</f>
        <v>1091.58948063111</v>
      </c>
    </row>
    <row r="8347" customFormat="false" ht="17.15" hidden="false" customHeight="false" outlineLevel="0" collapsed="false">
      <c r="A8347" s="1" t="s">
        <v>1255</v>
      </c>
      <c r="B8347" s="0" t="s">
        <v>98</v>
      </c>
      <c r="C8347" s="6" t="n">
        <f aca="false">(w_ntm28*Sens!G8330+(1-w_ntm28)*Sens!H8330)*m_sw</f>
        <v>1048.27778061153</v>
      </c>
    </row>
    <row r="8348" customFormat="false" ht="17.15" hidden="false" customHeight="false" outlineLevel="0" collapsed="false">
      <c r="A8348" s="1" t="s">
        <v>1256</v>
      </c>
      <c r="B8348" s="0" t="s">
        <v>98</v>
      </c>
      <c r="C8348" s="6" t="n">
        <f aca="false">(w_ntm28*Sens!G8331+(1-w_ntm28)*Sens!H8331)*m_sw</f>
        <v>373.201941924543</v>
      </c>
    </row>
    <row r="8349" customFormat="false" ht="17.15" hidden="false" customHeight="false" outlineLevel="0" collapsed="false">
      <c r="A8349" s="1" t="s">
        <v>1257</v>
      </c>
      <c r="B8349" s="0" t="s">
        <v>98</v>
      </c>
      <c r="C8349" s="6" t="n">
        <f aca="false">(w_ntm28*Sens!G8332+(1-w_ntm28)*Sens!H8332)*m_sw</f>
        <v>109.314469202367</v>
      </c>
    </row>
    <row r="8350" customFormat="false" ht="17.15" hidden="false" customHeight="false" outlineLevel="0" collapsed="false">
      <c r="A8350" s="1" t="s">
        <v>1258</v>
      </c>
      <c r="B8350" s="0" t="s">
        <v>98</v>
      </c>
      <c r="C8350" s="6" t="n">
        <f aca="false">(w_ntm28*Sens!G8333+(1-w_ntm28)*Sens!H8333)*m_sw</f>
        <v>41.5584897397483</v>
      </c>
    </row>
    <row r="8351" customFormat="false" ht="17.15" hidden="false" customHeight="false" outlineLevel="0" collapsed="false">
      <c r="A8351" s="1" t="s">
        <v>1259</v>
      </c>
      <c r="B8351" s="0" t="s">
        <v>98</v>
      </c>
      <c r="C8351" s="6" t="n">
        <f aca="false">(w_ntm28*Sens!G8334+(1-w_ntm28)*Sens!H8334)*m_ads</f>
        <v>115.230461411292</v>
      </c>
    </row>
    <row r="8352" customFormat="false" ht="17.15" hidden="false" customHeight="false" outlineLevel="0" collapsed="false">
      <c r="A8352" s="1" t="s">
        <v>1260</v>
      </c>
      <c r="B8352" s="0" t="s">
        <v>98</v>
      </c>
      <c r="C8352" s="6" t="n">
        <f aca="false">(w_ntm28*Sens!G8339+(1-w_ntm28)*Sens!H8339)*m_game</f>
        <v>98.7994955184541</v>
      </c>
    </row>
    <row r="8353" customFormat="false" ht="17.15" hidden="false" customHeight="false" outlineLevel="0" collapsed="false">
      <c r="A8353" s="1" t="s">
        <v>1261</v>
      </c>
      <c r="B8353" s="0" t="s">
        <v>98</v>
      </c>
      <c r="C8353" s="6" t="n">
        <f aca="false">(w_ntm28*Sens!G8340+(1-w_ntm28)*Sens!H8340)*m_pc</f>
        <v>91.5964399910434</v>
      </c>
    </row>
    <row r="8354" customFormat="false" ht="17.15" hidden="false" customHeight="false" outlineLevel="0" collapsed="false">
      <c r="A8354" s="1" t="s">
        <v>1262</v>
      </c>
      <c r="B8354" s="0" t="s">
        <v>98</v>
      </c>
      <c r="C8354" s="6" t="n">
        <f aca="false">Sens!$C$8344+Sens!$C$8346+Sens!$C$8347+Sens!$C$8348+Sens!$C$8349+Sens!$C$8350+Sens!$C$8351+Sens!$C$8352+Sens!$C$8353</f>
        <v>3197.94045712987</v>
      </c>
    </row>
    <row r="8355" customFormat="false" ht="17.15" hidden="false" customHeight="false" outlineLevel="0" collapsed="false">
      <c r="A8355" s="1" t="s">
        <v>1263</v>
      </c>
      <c r="B8355" s="0" t="s">
        <v>98</v>
      </c>
      <c r="C8355" s="6" t="n">
        <f aca="false">(Sens!G8316-Sens!G8341)*t_stub</f>
        <v>47.362206118929</v>
      </c>
      <c r="L8355" s="1" t="s">
        <v>1264</v>
      </c>
    </row>
    <row r="8356" customFormat="false" ht="17.15" hidden="false" customHeight="false" outlineLevel="0" collapsed="false">
      <c r="A8356" s="1" t="s">
        <v>1173</v>
      </c>
      <c r="B8356" s="0" t="s">
        <v>98</v>
      </c>
      <c r="C8356" s="6" t="n">
        <f aca="false">Sens!F8303+oai_v-Sens!F8292+Sens!$C$8355</f>
        <v>160.624794510539</v>
      </c>
      <c r="L8356" s="1" t="s">
        <v>1265</v>
      </c>
    </row>
    <row r="8357" customFormat="false" ht="17.15" hidden="false" customHeight="false" outlineLevel="0" collapsed="false">
      <c r="A8357" s="1" t="s">
        <v>1266</v>
      </c>
      <c r="B8357" s="0" t="s">
        <v>75</v>
      </c>
      <c r="C8357" s="5" t="n">
        <f aca="false">(Sens!$C$8354+Sens!$C$8356)/(Sens!F8305+dil_gap)-Sens!G8295*roll_div_q/q_per_yr</f>
        <v>447.008158970172</v>
      </c>
      <c r="L8357" s="1" t="s">
        <v>1267</v>
      </c>
    </row>
    <row r="8358" customFormat="false" ht="17.15" hidden="false" customHeight="false" outlineLevel="0" collapsed="false">
      <c r="A8358" s="1" t="s">
        <v>1268</v>
      </c>
      <c r="B8358" s="0" t="s">
        <v>75</v>
      </c>
      <c r="C8358" s="5" t="n">
        <f aca="false">w_dcf*Sens!$C$8328+(1-w_dcf)*Sens!$C$8357</f>
        <v>387.151727806275</v>
      </c>
    </row>
    <row r="8359" customFormat="false" ht="17.15" hidden="false" customHeight="false" outlineLevel="0" collapsed="false">
      <c r="A8359" s="3" t="s">
        <v>1820</v>
      </c>
    </row>
    <row r="8360" customFormat="false" ht="15" hidden="false" customHeight="false" outlineLevel="0" collapsed="false">
      <c r="A8360" s="4" t="s">
        <v>43</v>
      </c>
      <c r="B8360" s="4" t="s">
        <v>65</v>
      </c>
      <c r="C8360" s="23" t="s">
        <v>942</v>
      </c>
      <c r="D8360" s="23" t="s">
        <v>943</v>
      </c>
      <c r="E8360" s="23" t="s">
        <v>944</v>
      </c>
      <c r="F8360" s="23" t="s">
        <v>945</v>
      </c>
      <c r="G8360" s="23" t="s">
        <v>946</v>
      </c>
      <c r="H8360" s="23" t="s">
        <v>947</v>
      </c>
      <c r="I8360" s="23" t="s">
        <v>948</v>
      </c>
      <c r="J8360" s="23" t="s">
        <v>949</v>
      </c>
      <c r="K8360" s="23" t="s">
        <v>950</v>
      </c>
      <c r="L8360" s="4" t="s">
        <v>47</v>
      </c>
    </row>
    <row r="8361" customFormat="false" ht="17.15" hidden="false" customHeight="false" outlineLevel="0" collapsed="false">
      <c r="A8361" s="1" t="s">
        <v>951</v>
      </c>
      <c r="B8361" s="1" t="s">
        <v>279</v>
      </c>
      <c r="C8361" s="21" t="n">
        <v>2024</v>
      </c>
      <c r="D8361" s="21" t="n">
        <v>2025</v>
      </c>
      <c r="E8361" s="21" t="n">
        <v>2026</v>
      </c>
      <c r="F8361" s="21" t="n">
        <v>2027</v>
      </c>
      <c r="G8361" s="21" t="n">
        <v>2028</v>
      </c>
      <c r="H8361" s="21" t="n">
        <v>2029</v>
      </c>
      <c r="I8361" s="21" t="n">
        <v>2030</v>
      </c>
      <c r="J8361" s="21" t="n">
        <v>2031</v>
      </c>
      <c r="K8361" s="21" t="n">
        <v>2032</v>
      </c>
    </row>
    <row r="8362" customFormat="false" ht="17.15" hidden="false" customHeight="false" outlineLevel="0" collapsed="false">
      <c r="A8362" s="1" t="s">
        <v>952</v>
      </c>
      <c r="B8362" s="0" t="s">
        <v>459</v>
      </c>
      <c r="F8362" s="30" t="n">
        <f aca="false">pace</f>
        <v>2726.5351</v>
      </c>
      <c r="G8362" s="30" t="n">
        <f aca="false">pace</f>
        <v>2726.5351</v>
      </c>
      <c r="H8362" s="30" t="n">
        <f aca="false">pace</f>
        <v>2726.5351</v>
      </c>
      <c r="I8362" s="30" t="n">
        <f aca="false">pace+(g_tv*Sens!H8363-pace)*MIN(1,(Sens!I8361-pace_y0)/(pace_y1-pace_y0))</f>
        <v>1931.98611966667</v>
      </c>
      <c r="J8362" s="30" t="n">
        <f aca="false">pace+(g_tv*Sens!I8363-pace)*MIN(1,(Sens!J8361-pace_y0)/(pace_y1-pace_y0))</f>
        <v>1176.07686172667</v>
      </c>
      <c r="K8362" s="30" t="n">
        <f aca="false">pace+(g_tv*Sens!J8363-pace)*MIN(1,(Sens!K8361-pace_y0)/(pace_y1-pace_y0))</f>
        <v>436.1300484418</v>
      </c>
      <c r="L8362" s="12" t="s">
        <v>953</v>
      </c>
    </row>
    <row r="8363" customFormat="false" ht="17.15" hidden="false" customHeight="false" outlineLevel="0" collapsed="false">
      <c r="A8363" s="1" t="s">
        <v>954</v>
      </c>
      <c r="B8363" s="0" t="s">
        <v>459</v>
      </c>
      <c r="C8363" s="30" t="n">
        <f aca="false">mw_ext_24</f>
        <v>640</v>
      </c>
      <c r="D8363" s="30" t="n">
        <f aca="false">mw_ext_25</f>
        <v>1630</v>
      </c>
      <c r="E8363" s="30" t="n">
        <f aca="false">mw_ext_26</f>
        <v>3250</v>
      </c>
      <c r="F8363" s="30" t="n">
        <f aca="false">Sens!E8363+Sens!F8362</f>
        <v>5976.5351</v>
      </c>
      <c r="G8363" s="30" t="n">
        <f aca="false">Sens!F8363+Sens!G8362</f>
        <v>8703.0702</v>
      </c>
      <c r="H8363" s="30" t="n">
        <f aca="false">Sens!G8363+Sens!H8362</f>
        <v>11429.6053</v>
      </c>
      <c r="I8363" s="30" t="n">
        <f aca="false">Sens!H8363+Sens!I8362</f>
        <v>13361.5914196667</v>
      </c>
      <c r="J8363" s="30" t="n">
        <f aca="false">Sens!I8363+Sens!J8362</f>
        <v>14537.6682813933</v>
      </c>
      <c r="K8363" s="30" t="n">
        <f aca="false">Sens!J8363+Sens!K8362</f>
        <v>14973.7983298351</v>
      </c>
      <c r="L8363" s="1" t="s">
        <v>955</v>
      </c>
    </row>
    <row r="8364" customFormat="false" ht="17.15" hidden="false" customHeight="false" outlineLevel="0" collapsed="false">
      <c r="A8364" s="1" t="s">
        <v>956</v>
      </c>
      <c r="B8364" s="0" t="s">
        <v>459</v>
      </c>
      <c r="C8364" s="30" t="n">
        <f aca="false">rent_ext_24</f>
        <v>150</v>
      </c>
      <c r="D8364" s="30" t="n">
        <f aca="false">rent_ext_25</f>
        <v>400</v>
      </c>
      <c r="E8364" s="30" t="n">
        <f aca="false">rent_ext_26</f>
        <v>550</v>
      </c>
      <c r="F8364" s="30" t="n">
        <f aca="false">rent_ext_f</f>
        <v>756</v>
      </c>
      <c r="G8364" s="30" t="n">
        <f aca="false">rent_ext_f</f>
        <v>756</v>
      </c>
      <c r="H8364" s="30" t="n">
        <f aca="false">rent_ext_f</f>
        <v>756</v>
      </c>
      <c r="I8364" s="30" t="n">
        <f aca="false">rent_ext_f</f>
        <v>756</v>
      </c>
      <c r="J8364" s="30" t="n">
        <f aca="false">rent_ext_f</f>
        <v>756</v>
      </c>
      <c r="K8364" s="30" t="n">
        <f aca="false">rent_ext_f</f>
        <v>756</v>
      </c>
      <c r="L8364" s="1" t="s">
        <v>957</v>
      </c>
    </row>
    <row r="8365" customFormat="false" ht="17.15" hidden="false" customHeight="false" outlineLevel="0" collapsed="false">
      <c r="A8365" s="1" t="s">
        <v>958</v>
      </c>
      <c r="B8365" s="0" t="s">
        <v>459</v>
      </c>
      <c r="C8365" s="30" t="n">
        <f aca="false">Sens!C8363-Sens!C8364</f>
        <v>490</v>
      </c>
      <c r="D8365" s="30" t="n">
        <f aca="false">Sens!D8363-Sens!D8364</f>
        <v>1230</v>
      </c>
      <c r="E8365" s="30" t="n">
        <f aca="false">Sens!E8363-Sens!E8364</f>
        <v>2700</v>
      </c>
      <c r="F8365" s="30" t="n">
        <f aca="false">Sens!F8363-Sens!F8364</f>
        <v>5220.5351</v>
      </c>
      <c r="G8365" s="30" t="n">
        <f aca="false">Sens!G8363-Sens!G8364</f>
        <v>7947.0702</v>
      </c>
      <c r="H8365" s="30" t="n">
        <f aca="false">Sens!H8363-Sens!H8364</f>
        <v>10673.6053</v>
      </c>
      <c r="I8365" s="30" t="n">
        <f aca="false">Sens!I8363-Sens!I8364</f>
        <v>12605.5914196667</v>
      </c>
      <c r="J8365" s="30" t="n">
        <f aca="false">Sens!J8363-Sens!J8364</f>
        <v>13781.6682813933</v>
      </c>
      <c r="K8365" s="30" t="n">
        <f aca="false">Sens!K8363-Sens!K8364</f>
        <v>14217.7983298351</v>
      </c>
    </row>
    <row r="8366" customFormat="false" ht="17.15" hidden="false" customHeight="false" outlineLevel="0" collapsed="false">
      <c r="A8366" s="1" t="s">
        <v>959</v>
      </c>
      <c r="B8366" s="0" t="s">
        <v>459</v>
      </c>
      <c r="C8366" s="30" t="n">
        <f aca="false">Sens!C8365/ext_sh</f>
        <v>816.666666666667</v>
      </c>
      <c r="D8366" s="30" t="n">
        <f aca="false">Sens!D8365/ext_sh</f>
        <v>2050</v>
      </c>
      <c r="E8366" s="30" t="n">
        <f aca="false">Sens!E8365/ext_sh</f>
        <v>4500</v>
      </c>
      <c r="F8366" s="30" t="n">
        <f aca="false">Sens!F8365/ext_sh</f>
        <v>8700.89183333333</v>
      </c>
      <c r="G8366" s="30" t="n">
        <f aca="false">Sens!G8365/ext_sh</f>
        <v>13245.117</v>
      </c>
      <c r="H8366" s="30" t="n">
        <f aca="false">Sens!H8365/ext_sh</f>
        <v>17789.3421666667</v>
      </c>
      <c r="I8366" s="30" t="n">
        <f aca="false">Sens!I8365/ext_sh</f>
        <v>21009.3190327778</v>
      </c>
      <c r="J8366" s="30" t="n">
        <f aca="false">Sens!J8365/ext_sh</f>
        <v>22969.4471356556</v>
      </c>
      <c r="K8366" s="30" t="n">
        <f aca="false">Sens!K8365/ext_sh</f>
        <v>23696.3305497252</v>
      </c>
      <c r="L8366" s="1" t="s">
        <v>960</v>
      </c>
    </row>
    <row r="8367" customFormat="false" ht="17.15" hidden="false" customHeight="false" outlineLevel="0" collapsed="false">
      <c r="A8367" s="1" t="s">
        <v>961</v>
      </c>
      <c r="B8367" s="0" t="s">
        <v>459</v>
      </c>
      <c r="C8367" s="30" t="n">
        <f aca="false">Sens!C8366-Sens!C8365</f>
        <v>326.666666666667</v>
      </c>
      <c r="D8367" s="30" t="n">
        <f aca="false">Sens!D8366-Sens!D8365</f>
        <v>820</v>
      </c>
      <c r="E8367" s="30" t="n">
        <f aca="false">Sens!E8366-Sens!E8365</f>
        <v>1800</v>
      </c>
      <c r="F8367" s="30" t="n">
        <f aca="false">Sens!F8366-Sens!F8365</f>
        <v>3480.35673333333</v>
      </c>
      <c r="G8367" s="30" t="n">
        <f aca="false">Sens!G8366-Sens!G8365</f>
        <v>5298.0468</v>
      </c>
      <c r="H8367" s="30" t="n">
        <f aca="false">Sens!H8366-Sens!H8365</f>
        <v>7115.73686666667</v>
      </c>
      <c r="I8367" s="30" t="n">
        <f aca="false">Sens!I8366-Sens!I8365</f>
        <v>8403.72761311111</v>
      </c>
      <c r="J8367" s="30" t="n">
        <f aca="false">Sens!J8366-Sens!J8365</f>
        <v>9187.77885426222</v>
      </c>
      <c r="K8367" s="30" t="n">
        <f aca="false">Sens!K8366-Sens!K8365</f>
        <v>9478.53221989009</v>
      </c>
    </row>
    <row r="8368" customFormat="false" ht="17.15" hidden="false" customHeight="false" outlineLevel="0" collapsed="false">
      <c r="A8368" s="1" t="s">
        <v>962</v>
      </c>
      <c r="B8368" s="0" t="s">
        <v>459</v>
      </c>
      <c r="C8368" s="30" t="n">
        <f aca="false">Sens!C8366</f>
        <v>816.666666666667</v>
      </c>
      <c r="D8368" s="30" t="n">
        <f aca="false">Sens!D8366-Sens!C8366</f>
        <v>1233.33333333333</v>
      </c>
      <c r="E8368" s="30" t="n">
        <f aca="false">Sens!E8366-Sens!D8366</f>
        <v>2450</v>
      </c>
      <c r="F8368" s="30" t="n">
        <f aca="false">Sens!F8366-Sens!E8366</f>
        <v>4200.89183333333</v>
      </c>
      <c r="G8368" s="30" t="n">
        <f aca="false">Sens!G8366-Sens!F8366</f>
        <v>4544.22516666667</v>
      </c>
      <c r="H8368" s="30" t="n">
        <f aca="false">Sens!H8366-Sens!G8366</f>
        <v>4544.22516666667</v>
      </c>
      <c r="I8368" s="30" t="n">
        <f aca="false">Sens!I8366-Sens!H8366</f>
        <v>3219.97686611111</v>
      </c>
      <c r="J8368" s="30" t="n">
        <f aca="false">Sens!J8366-Sens!I8366</f>
        <v>1960.12810287778</v>
      </c>
      <c r="K8368" s="30" t="n">
        <f aca="false">Sens!K8366-Sens!J8366</f>
        <v>726.883414069667</v>
      </c>
    </row>
    <row r="8369" customFormat="false" ht="17.15" hidden="false" customHeight="false" outlineLevel="0" collapsed="false">
      <c r="A8369" s="1" t="s">
        <v>963</v>
      </c>
      <c r="B8369" s="0" t="s">
        <v>459</v>
      </c>
      <c r="D8369" s="30" t="n">
        <f aca="false">Sens!D8363-Sens!C8363</f>
        <v>990</v>
      </c>
      <c r="E8369" s="30" t="n">
        <f aca="false">Sens!E8363-Sens!D8363</f>
        <v>1620</v>
      </c>
      <c r="F8369" s="30" t="n">
        <f aca="false">Sens!F8363-Sens!E8363</f>
        <v>2726.5351</v>
      </c>
      <c r="G8369" s="30" t="n">
        <f aca="false">Sens!G8363-Sens!F8363</f>
        <v>2726.5351</v>
      </c>
      <c r="H8369" s="30" t="n">
        <f aca="false">Sens!H8363-Sens!G8363</f>
        <v>2726.5351</v>
      </c>
      <c r="I8369" s="30" t="n">
        <f aca="false">Sens!I8363-Sens!H8363</f>
        <v>1931.98611966667</v>
      </c>
      <c r="J8369" s="30" t="n">
        <f aca="false">Sens!J8363-Sens!I8363</f>
        <v>1176.07686172667</v>
      </c>
      <c r="K8369" s="30" t="n">
        <f aca="false">Sens!K8363-Sens!J8363</f>
        <v>436.130048441799</v>
      </c>
    </row>
    <row r="8370" customFormat="false" ht="17.15" hidden="false" customHeight="false" outlineLevel="0" collapsed="false">
      <c r="A8370" s="1" t="s">
        <v>964</v>
      </c>
      <c r="B8370" s="0" t="s">
        <v>459</v>
      </c>
      <c r="F8370" s="30" t="n">
        <f aca="false">Sens!F8389*ext_sh</f>
        <v>0</v>
      </c>
      <c r="G8370" s="30" t="n">
        <f aca="false">Sens!G8389*ext_sh</f>
        <v>0</v>
      </c>
      <c r="H8370" s="30" t="n">
        <f aca="false">Sens!H8389*ext_sh</f>
        <v>0</v>
      </c>
      <c r="I8370" s="30" t="n">
        <f aca="false">Sens!I8389*ext_sh</f>
        <v>490</v>
      </c>
      <c r="J8370" s="30" t="n">
        <f aca="false">Sens!J8389*ext_sh</f>
        <v>740</v>
      </c>
      <c r="K8370" s="30" t="n">
        <f aca="false">Sens!K8389*ext_sh</f>
        <v>1470</v>
      </c>
      <c r="L8370" s="1" t="s">
        <v>965</v>
      </c>
    </row>
    <row r="8371" customFormat="false" ht="17.15" hidden="false" customHeight="false" outlineLevel="0" collapsed="false">
      <c r="A8371" s="1" t="s">
        <v>966</v>
      </c>
      <c r="B8371" s="0" t="s">
        <v>459</v>
      </c>
      <c r="C8371" s="30" t="n">
        <f aca="false">mix_h*Sens!C8363</f>
        <v>128</v>
      </c>
      <c r="D8371" s="30" t="n">
        <f aca="false">mix_h*Sens!D8363</f>
        <v>326</v>
      </c>
      <c r="E8371" s="30" t="n">
        <f aca="false">mix_h*Sens!E8363</f>
        <v>650</v>
      </c>
      <c r="F8371" s="30" t="n">
        <f aca="false">Sens!E8371-Sens!F8370*mix_h</f>
        <v>650</v>
      </c>
      <c r="G8371" s="30" t="n">
        <f aca="false">Sens!F8371-Sens!G8370*mix_h</f>
        <v>650</v>
      </c>
      <c r="H8371" s="30" t="n">
        <f aca="false">Sens!G8371-Sens!H8370*mix_h</f>
        <v>650</v>
      </c>
      <c r="I8371" s="30" t="n">
        <f aca="false">Sens!H8371-Sens!I8370*mix_h</f>
        <v>552</v>
      </c>
      <c r="J8371" s="30" t="n">
        <f aca="false">Sens!I8371-Sens!J8370*mix_h</f>
        <v>404</v>
      </c>
      <c r="K8371" s="30" t="n">
        <f aca="false">Sens!J8371-Sens!K8370*mix_h</f>
        <v>110</v>
      </c>
    </row>
    <row r="8372" customFormat="false" ht="17.15" hidden="false" customHeight="false" outlineLevel="0" collapsed="false">
      <c r="A8372" s="1" t="s">
        <v>967</v>
      </c>
      <c r="B8372" s="0" t="s">
        <v>459</v>
      </c>
      <c r="C8372" s="30" t="n">
        <f aca="false">mix_g2*Sens!C8363</f>
        <v>288</v>
      </c>
      <c r="D8372" s="30" t="n">
        <f aca="false">mix_g2*Sens!D8363</f>
        <v>733.5</v>
      </c>
      <c r="E8372" s="30" t="n">
        <f aca="false">mix_g2*Sens!E8363</f>
        <v>1462.5</v>
      </c>
      <c r="F8372" s="30" t="n">
        <f aca="false">Sens!E8372-Sens!F8370*mix_g2</f>
        <v>1462.5</v>
      </c>
      <c r="G8372" s="30" t="n">
        <f aca="false">Sens!F8372-Sens!G8370*mix_g2</f>
        <v>1462.5</v>
      </c>
      <c r="H8372" s="30" t="n">
        <f aca="false">Sens!G8372-Sens!H8370*mix_g2</f>
        <v>1462.5</v>
      </c>
      <c r="I8372" s="30" t="n">
        <f aca="false">Sens!H8372-Sens!I8370*mix_g2</f>
        <v>1242</v>
      </c>
      <c r="J8372" s="30" t="n">
        <f aca="false">Sens!I8372-Sens!J8370*mix_g2</f>
        <v>909</v>
      </c>
      <c r="K8372" s="30" t="n">
        <f aca="false">Sens!J8372-Sens!K8370*mix_g2</f>
        <v>247.5</v>
      </c>
    </row>
    <row r="8373" customFormat="false" ht="17.15" hidden="false" customHeight="false" outlineLevel="0" collapsed="false">
      <c r="A8373" s="1" t="s">
        <v>968</v>
      </c>
      <c r="B8373" s="0" t="s">
        <v>459</v>
      </c>
      <c r="C8373" s="30" t="n">
        <f aca="false">mix_g3*Sens!C8363</f>
        <v>224</v>
      </c>
      <c r="D8373" s="30" t="n">
        <f aca="false">mix_g3*Sens!D8363</f>
        <v>570.5</v>
      </c>
      <c r="E8373" s="30" t="n">
        <f aca="false">mix_g3*Sens!E8363</f>
        <v>1137.5</v>
      </c>
      <c r="F8373" s="30" t="n">
        <f aca="false">Sens!E8373+(Sens!F8369+Sens!F8370)*(a_g3_27-nonnv*a_mai)-Sens!F8370*mix_g3</f>
        <v>2773.42106</v>
      </c>
      <c r="G8373" s="30" t="n">
        <f aca="false">Sens!F8373+(Sens!G8369+Sens!G8370)*(a_g3_28-nonnv*a_mai)-Sens!G8370*mix_g3</f>
        <v>3318.72808</v>
      </c>
      <c r="H8373" s="30" t="n">
        <f aca="false">Sens!G8373+(Sens!H8369+Sens!H8370)*(a_g3_29-nonnv*a_mai)-Sens!H8370*mix_g3</f>
        <v>3318.72808</v>
      </c>
      <c r="I8373" s="30" t="n">
        <f aca="false">Sens!H8373+(Sens!I8369+Sens!I8370)*(a_g3_29-nonnv*a_mai)-Sens!I8370*mix_g3</f>
        <v>3147.22808</v>
      </c>
      <c r="J8373" s="30" t="n">
        <f aca="false">Sens!I8373+(Sens!J8369+Sens!J8370)*(a_g3_29-nonnv*a_mai)-Sens!J8370*mix_g3</f>
        <v>2888.22808</v>
      </c>
      <c r="K8373" s="30" t="n">
        <f aca="false">Sens!J8373+(Sens!K8369+Sens!K8370)*(a_g3_29-nonnv*a_mai)-Sens!K8370*mix_g3</f>
        <v>2373.72808</v>
      </c>
    </row>
    <row r="8374" customFormat="false" ht="17.15" hidden="false" customHeight="false" outlineLevel="0" collapsed="false">
      <c r="A8374" s="1" t="s">
        <v>969</v>
      </c>
      <c r="B8374" s="0" t="s">
        <v>459</v>
      </c>
      <c r="C8374" s="30" t="n">
        <v>0</v>
      </c>
      <c r="D8374" s="30" t="n">
        <v>0</v>
      </c>
      <c r="E8374" s="30" t="n">
        <v>0</v>
      </c>
      <c r="F8374" s="30" t="n">
        <f aca="false">Sens!E8374+(Sens!F8369+Sens!F8370)*nonnv*a_mai</f>
        <v>272.65351</v>
      </c>
      <c r="G8374" s="30" t="n">
        <f aca="false">Sens!F8374+(Sens!G8369+Sens!G8370)*nonnv*a_mai</f>
        <v>545.30702</v>
      </c>
      <c r="H8374" s="30" t="n">
        <f aca="false">Sens!G8374+(Sens!H8369+Sens!H8370)*nonnv*a_mai</f>
        <v>817.96053</v>
      </c>
      <c r="I8374" s="30" t="n">
        <f aca="false">Sens!H8374+(Sens!I8369+Sens!I8370)*nonnv*a_mai</f>
        <v>1060.15914196667</v>
      </c>
      <c r="J8374" s="30" t="n">
        <f aca="false">Sens!I8374+(Sens!J8369+Sens!J8370)*nonnv*a_mai</f>
        <v>1251.76682813933</v>
      </c>
      <c r="K8374" s="30" t="n">
        <f aca="false">Sens!J8374+(Sens!K8369+Sens!K8370)*nonnv*a_mai</f>
        <v>1442.37983298351</v>
      </c>
      <c r="L8374" s="12" t="s">
        <v>970</v>
      </c>
    </row>
    <row r="8375" customFormat="false" ht="17.15" hidden="false" customHeight="false" outlineLevel="0" collapsed="false">
      <c r="A8375" s="1" t="s">
        <v>971</v>
      </c>
      <c r="B8375" s="0" t="s">
        <v>459</v>
      </c>
      <c r="C8375" s="30" t="n">
        <v>0</v>
      </c>
      <c r="D8375" s="30" t="n">
        <v>0</v>
      </c>
      <c r="E8375" s="30" t="n">
        <v>0</v>
      </c>
      <c r="F8375" s="30" t="n">
        <f aca="false">Sens!E8375+(Sens!F8369+Sens!F8370)*(1-a_g3_27)</f>
        <v>817.96053</v>
      </c>
      <c r="G8375" s="30" t="n">
        <f aca="false">Sens!F8375+(Sens!G8369+Sens!G8370)*(1-a_g3_28)</f>
        <v>2726.5351</v>
      </c>
      <c r="H8375" s="30" t="n">
        <f aca="false">Sens!G8375+(Sens!H8369+Sens!H8370)*(1-a_g3_29)</f>
        <v>5180.41669</v>
      </c>
      <c r="I8375" s="30" t="n">
        <f aca="false">Sens!H8375+(Sens!I8369+Sens!I8370)*(1-a_g3_29)</f>
        <v>7360.2041977</v>
      </c>
      <c r="J8375" s="30" t="n">
        <f aca="false">Sens!I8375+(Sens!J8369+Sens!J8370)*(1-a_g3_29)</f>
        <v>9084.673373254</v>
      </c>
      <c r="K8375" s="30" t="n">
        <f aca="false">Sens!J8375+(Sens!K8369+Sens!K8370)*(1-a_g3_29)</f>
        <v>10800.1904168516</v>
      </c>
    </row>
    <row r="8376" customFormat="false" ht="17.15" hidden="false" customHeight="false" outlineLevel="0" collapsed="false">
      <c r="A8376" s="1" t="s">
        <v>972</v>
      </c>
      <c r="B8376" s="0" t="s">
        <v>403</v>
      </c>
      <c r="C8376" s="15" t="n">
        <f aca="false">(Sens!C8371*tk_hold_h100+Sens!C8372*tk_hold_gb200+Sens!C8373*tk_hold_gb300+Sens!C8375*tk_hold_vr200+Sens!C8374*nv_hold_mai*tk_hold_vr200)/Sens!C8363</f>
        <v>9.7235358126469</v>
      </c>
      <c r="D8376" s="15" t="n">
        <f aca="false">(Sens!D8371*tk_hold_h100+Sens!D8372*tk_hold_gb200+Sens!D8373*tk_hold_gb300+Sens!D8375*tk_hold_vr200+Sens!D8374*nv_hold_mai*tk_hold_vr200)/Sens!D8363</f>
        <v>9.7235358126469</v>
      </c>
      <c r="E8376" s="15" t="n">
        <f aca="false">(Sens!E8371*tk_hold_h100+Sens!E8372*tk_hold_gb200+Sens!E8373*tk_hold_gb300+Sens!E8375*tk_hold_vr200+Sens!E8374*nv_hold_mai*tk_hold_vr200)/Sens!E8363</f>
        <v>9.7235358126469</v>
      </c>
      <c r="F8376" s="15" t="n">
        <f aca="false">(Sens!F8371*tk_hold_h100+Sens!F8372*tk_hold_gb200+Sens!F8373*tk_hold_gb300+Sens!F8375*tk_hold_vr200+Sens!F8374*nv_hold_mai*tk_hold_vr200)/Sens!F8363</f>
        <v>10.2195353876665</v>
      </c>
      <c r="G8376" s="15" t="n">
        <f aca="false">(Sens!G8371*tk_hold_h100+Sens!G8372*tk_hold_gb200+Sens!G8373*tk_hold_gb300+Sens!G8375*tk_hold_vr200+Sens!G8374*nv_hold_mai*tk_hold_vr200)/Sens!G8363</f>
        <v>10.5725598017306</v>
      </c>
      <c r="H8376" s="15" t="n">
        <f aca="false">(Sens!H8371*tk_hold_h100+Sens!H8372*tk_hold_gb200+Sens!H8373*tk_hold_gb300+Sens!H8375*tk_hold_vr200+Sens!H8374*nv_hold_mai*tk_hold_vr200)/Sens!H8363</f>
        <v>10.8210427149036</v>
      </c>
      <c r="I8376" s="15" t="n">
        <f aca="false">(Sens!I8371*tk_hold_h100+Sens!I8372*tk_hold_gb200+Sens!I8373*tk_hold_gb300+Sens!I8375*tk_hold_vr200+Sens!I8374*nv_hold_mai*tk_hold_vr200)/Sens!I8363</f>
        <v>11.0050618241982</v>
      </c>
      <c r="J8376" s="15" t="n">
        <f aca="false">(Sens!J8371*tk_hold_h100+Sens!J8372*tk_hold_gb200+Sens!J8373*tk_hold_gb300+Sens!J8375*tk_hold_vr200+Sens!J8374*nv_hold_mai*tk_hold_vr200)/Sens!J8363</f>
        <v>11.1505789658881</v>
      </c>
      <c r="K8376" s="15" t="n">
        <f aca="false">(Sens!K8371*tk_hold_h100+Sens!K8372*tk_hold_gb200+Sens!K8373*tk_hold_gb300+Sens!K8375*tk_hold_vr200+Sens!K8374*nv_hold_mai*tk_hold_vr200)/Sens!K8363</f>
        <v>11.3496914757183</v>
      </c>
      <c r="L8376" s="1" t="s">
        <v>973</v>
      </c>
    </row>
    <row r="8377" customFormat="false" ht="17.15" hidden="false" customHeight="false" outlineLevel="0" collapsed="false">
      <c r="A8377" s="1" t="s">
        <v>974</v>
      </c>
      <c r="B8377" s="0" t="s">
        <v>403</v>
      </c>
      <c r="C8377" s="15" t="n">
        <f aca="false">(Sens!C8371*tk_hold_h100+Sens!C8372*tk_hold_gb200+Sens!C8373*tk_hold_gb300+Sens!C8375*tk_hold_vr200+Sens!C8374*nv_out_mai*tk_hold_vr200)/Sens!C8363</f>
        <v>9.7235358126469</v>
      </c>
      <c r="D8377" s="15" t="n">
        <f aca="false">(Sens!D8371*tk_hold_h100+Sens!D8372*tk_hold_gb200+Sens!D8373*tk_hold_gb300+Sens!D8375*tk_hold_vr200+Sens!D8374*nv_out_mai*tk_hold_vr200)/Sens!D8363</f>
        <v>9.7235358126469</v>
      </c>
      <c r="E8377" s="15" t="n">
        <f aca="false">(Sens!E8371*tk_hold_h100+Sens!E8372*tk_hold_gb200+Sens!E8373*tk_hold_gb300+Sens!E8375*tk_hold_vr200+Sens!E8374*nv_out_mai*tk_hold_vr200)/Sens!E8363</f>
        <v>9.7235358126469</v>
      </c>
      <c r="F8377" s="15" t="n">
        <f aca="false">(Sens!F8371*tk_hold_h100+Sens!F8372*tk_hold_gb200+Sens!F8373*tk_hold_gb300+Sens!F8375*tk_hold_vr200+Sens!F8374*nv_out_mai*tk_hold_vr200)/Sens!F8363</f>
        <v>10.247422093969</v>
      </c>
      <c r="G8377" s="15" t="n">
        <f aca="false">(Sens!G8371*tk_hold_h100+Sens!G8372*tk_hold_gb200+Sens!G8373*tk_hold_gb300+Sens!G8375*tk_hold_vr200+Sens!G8374*nv_out_mai*tk_hold_vr200)/Sens!G8363</f>
        <v>10.6108602808053</v>
      </c>
      <c r="H8377" s="15" t="n">
        <f aca="false">(Sens!H8371*tk_hold_h100+Sens!H8372*tk_hold_gb200+Sens!H8373*tk_hold_gb300+Sens!H8375*tk_hold_vr200+Sens!H8374*nv_out_mai*tk_hold_vr200)/Sens!H8363</f>
        <v>10.8647885507393</v>
      </c>
      <c r="I8377" s="15" t="n">
        <f aca="false">(Sens!I8371*tk_hold_h100+Sens!I8372*tk_hold_gb200+Sens!I8373*tk_hold_gb300+Sens!I8375*tk_hold_vr200+Sens!I8374*nv_out_mai*tk_hold_vr200)/Sens!I8363</f>
        <v>11.0535625770025</v>
      </c>
      <c r="J8377" s="15" t="n">
        <f aca="false">(Sens!J8371*tk_hold_h100+Sens!J8372*tk_hold_gb200+Sens!J8373*tk_hold_gb300+Sens!J8375*tk_hold_vr200+Sens!J8374*nv_out_mai*tk_hold_vr200)/Sens!J8363</f>
        <v>11.2032127128058</v>
      </c>
      <c r="K8377" s="15" t="n">
        <f aca="false">(Sens!K8371*tk_hold_h100+Sens!K8372*tk_hold_gb200+Sens!K8373*tk_hold_gb300+Sens!K8375*tk_hold_vr200+Sens!K8374*nv_out_mai*tk_hold_vr200)/Sens!K8363</f>
        <v>11.4085735724225</v>
      </c>
      <c r="L8377" s="12" t="s">
        <v>975</v>
      </c>
    </row>
    <row r="8378" customFormat="false" ht="17.15" hidden="false" customHeight="false" outlineLevel="0" collapsed="false">
      <c r="A8378" s="0" t="s">
        <v>976</v>
      </c>
      <c r="B8378" s="0" t="s">
        <v>229</v>
      </c>
      <c r="C8378" s="15" t="n">
        <f aca="false">k_B</f>
        <v>1.17213932619116</v>
      </c>
      <c r="D8378" s="15" t="n">
        <f aca="false">k_B</f>
        <v>1.17213932619116</v>
      </c>
      <c r="E8378" s="15" t="n">
        <f aca="false">k_B</f>
        <v>1.17213932619116</v>
      </c>
      <c r="F8378" s="15" t="n">
        <f aca="false">(k_B+((ls_C*k_long+(1-ls_C)*k_spot)-k_B)*MIN(1,(Sens!F8361-base_fy)/k_ramp))</f>
        <v>1.07843258004497</v>
      </c>
      <c r="G8378" s="15" t="n">
        <f aca="false">(k_B+((ls_C*k_long+(1-ls_C)*k_spot)-k_B)*MIN(1,(Sens!G8361-base_fy)/k_ramp))</f>
        <v>0.984725833898784</v>
      </c>
      <c r="H8378" s="15" t="n">
        <f aca="false">(k_B+((ls_C*k_long+(1-ls_C)*k_spot)-k_B)*MIN(1,(Sens!H8361-base_fy)/k_ramp))</f>
        <v>0.891019087752599</v>
      </c>
      <c r="I8378" s="15" t="n">
        <f aca="false">(k_B+((ls_C*k_long+(1-ls_C)*k_spot)-k_B)*MIN(1,(Sens!I8361-base_fy)/k_ramp))</f>
        <v>0.891019087752599</v>
      </c>
      <c r="J8378" s="15" t="n">
        <f aca="false">(k_B+((ls_C*k_long+(1-ls_C)*k_spot)-k_B)*MIN(1,(Sens!J8361-base_fy)/k_ramp))</f>
        <v>0.891019087752599</v>
      </c>
      <c r="K8378" s="15" t="n">
        <f aca="false">(k_B+((ls_C*k_long+(1-ls_C)*k_spot)-k_B)*MIN(1,(Sens!K8361-base_fy)/k_ramp))</f>
        <v>0.891019087752599</v>
      </c>
      <c r="L8378" s="1" t="s">
        <v>977</v>
      </c>
    </row>
    <row r="8379" customFormat="false" ht="17.15" hidden="false" customHeight="false" outlineLevel="0" collapsed="false">
      <c r="A8379" s="1" t="s">
        <v>978</v>
      </c>
      <c r="B8379" s="0" t="s">
        <v>403</v>
      </c>
      <c r="C8379" s="15" t="n">
        <f aca="false">Sens!C8377*Sens!C8378*chip_f</f>
        <v>11.3973387156315</v>
      </c>
      <c r="D8379" s="15" t="n">
        <f aca="false">Sens!D8377*Sens!D8378*chip_f</f>
        <v>11.3973387156315</v>
      </c>
      <c r="E8379" s="15" t="n">
        <f aca="false">Sens!E8377*Sens!E8378*chip_f</f>
        <v>11.3973387156315</v>
      </c>
      <c r="F8379" s="15" t="n">
        <f aca="false">Sens!F8377*Sens!F8378*chip_f</f>
        <v>11.0511538476088</v>
      </c>
      <c r="G8379" s="15" t="n">
        <f aca="false">Sens!G8377*Sens!G8378*chip_f</f>
        <v>10.4487882383995</v>
      </c>
      <c r="H8379" s="15" t="n">
        <f aca="false">Sens!H8377*Sens!H8378*chip_f</f>
        <v>9.68073398310464</v>
      </c>
      <c r="I8379" s="15" t="n">
        <f aca="false">Sens!I8377*Sens!I8378*chip_f</f>
        <v>9.84893524377706</v>
      </c>
      <c r="J8379" s="15" t="n">
        <f aca="false">Sens!J8377*Sens!J8378*chip_f</f>
        <v>9.98227637126252</v>
      </c>
      <c r="K8379" s="15" t="n">
        <f aca="false">Sens!K8377*Sens!K8378*chip_f</f>
        <v>10.1652568170583</v>
      </c>
      <c r="L8379" s="1" t="s">
        <v>979</v>
      </c>
    </row>
    <row r="8380" customFormat="false" ht="17.15" hidden="false" customHeight="false" outlineLevel="0" collapsed="false">
      <c r="A8380" s="0" t="s">
        <v>980</v>
      </c>
      <c r="B8380" s="0" t="s">
        <v>98</v>
      </c>
      <c r="D8380" s="6" t="n">
        <f aca="false">(Sens!C8363+Sens!D8363)/2*Sens!D8379/1000</f>
        <v>12.9359794422418</v>
      </c>
      <c r="E8380" s="6" t="n">
        <f aca="false">(Sens!D8363+Sens!E8363)/2*Sens!E8379/1000</f>
        <v>27.8095064661409</v>
      </c>
      <c r="F8380" s="6" t="n">
        <f aca="false">(Sens!E8363+Sens!F8363)/2*Sens!F8379/1000</f>
        <v>50.9819294352312</v>
      </c>
      <c r="G8380" s="6" t="n">
        <f aca="false">(Sens!F8363+Sens!G8363)/2*Sens!G8379/1000</f>
        <v>76.6920436014933</v>
      </c>
      <c r="H8380" s="6" t="n">
        <f aca="false">(Sens!G8363+Sens!H8363)/2*Sens!H8379/1000</f>
        <v>97.4495379418341</v>
      </c>
      <c r="I8380" s="6" t="n">
        <f aca="false">(Sens!H8363+Sens!I8363)/2*Sens!I8379/1000</f>
        <v>122.083445553868</v>
      </c>
      <c r="J8380" s="6" t="n">
        <f aca="false">(Sens!I8363+Sens!J8363)/2*Sens!J8379/1000</f>
        <v>139.249060444804</v>
      </c>
      <c r="K8380" s="6" t="n">
        <f aca="false">(Sens!J8363+Sens!K8363)/2*Sens!K8379/1000</f>
        <v>149.995818575589</v>
      </c>
      <c r="L8380" s="12" t="s">
        <v>981</v>
      </c>
    </row>
    <row r="8381" customFormat="false" ht="17.15" hidden="false" customHeight="false" outlineLevel="0" collapsed="false">
      <c r="A8381" s="1" t="s">
        <v>982</v>
      </c>
      <c r="B8381" s="0" t="s">
        <v>403</v>
      </c>
      <c r="C8381" s="15" t="n">
        <f aca="false">(Sens!C8371*tk_opex_h100+Sens!C8372*tk_opex_gb200+Sens!C8373*tk_opex_gb300+(Sens!C8375+Sens!C8374)*tk_opex_vr200)/Sens!C8363</f>
        <v>1.88636041306092</v>
      </c>
      <c r="D8381" s="15" t="n">
        <f aca="false">(Sens!D8371*tk_opex_h100+Sens!D8372*tk_opex_gb200+Sens!D8373*tk_opex_gb300+(Sens!D8375+Sens!D8374)*tk_opex_vr200)/Sens!D8363</f>
        <v>1.88636041306092</v>
      </c>
      <c r="E8381" s="15" t="n">
        <f aca="false">(Sens!E8371*tk_opex_h100+Sens!E8372*tk_opex_gb200+Sens!E8373*tk_opex_gb300+(Sens!E8375+Sens!E8374)*tk_opex_vr200)/Sens!E8363</f>
        <v>1.88636041306092</v>
      </c>
      <c r="F8381" s="15" t="n">
        <f aca="false">(Sens!F8371*tk_opex_h100+Sens!F8372*tk_opex_gb200+Sens!F8373*tk_opex_gb300+(Sens!F8375+Sens!F8374)*tk_opex_vr200)/Sens!F8363</f>
        <v>1.95051159746876</v>
      </c>
      <c r="G8381" s="15" t="n">
        <f aca="false">(Sens!G8371*tk_opex_h100+Sens!G8372*tk_opex_gb200+Sens!G8373*tk_opex_gb300+(Sens!G8375+Sens!G8374)*tk_opex_vr200)/Sens!G8363</f>
        <v>1.98836003669956</v>
      </c>
      <c r="H8381" s="15" t="n">
        <f aca="false">(Sens!H8371*tk_opex_h100+Sens!H8372*tk_opex_gb200+Sens!H8373*tk_opex_gb300+(Sens!H8375+Sens!H8374)*tk_opex_vr200)/Sens!H8363</f>
        <v>2.01344013834343</v>
      </c>
      <c r="I8381" s="15" t="n">
        <f aca="false">(Sens!I8371*tk_opex_h100+Sens!I8372*tk_opex_gb200+Sens!I8373*tk_opex_gb300+(Sens!I8375+Sens!I8374)*tk_opex_vr200)/Sens!I8363</f>
        <v>2.03261166882178</v>
      </c>
      <c r="J8381" s="15" t="n">
        <f aca="false">(Sens!J8371*tk_opex_h100+Sens!J8372*tk_opex_gb200+Sens!J8373*tk_opex_gb300+(Sens!J8375+Sens!J8374)*tk_opex_vr200)/Sens!J8363</f>
        <v>2.04808073288745</v>
      </c>
      <c r="K8381" s="15" t="n">
        <f aca="false">(Sens!K8371*tk_opex_h100+Sens!K8372*tk_opex_gb200+Sens!K8373*tk_opex_gb300+(Sens!K8375+Sens!K8374)*tk_opex_vr200)/Sens!K8363</f>
        <v>2.06973825807449</v>
      </c>
      <c r="L8381" s="12" t="s">
        <v>983</v>
      </c>
    </row>
    <row r="8382" customFormat="false" ht="17.15" hidden="false" customHeight="false" outlineLevel="0" collapsed="false">
      <c r="A8382" s="0" t="s">
        <v>984</v>
      </c>
      <c r="B8382" s="0" t="s">
        <v>98</v>
      </c>
      <c r="D8382" s="6" t="n">
        <f aca="false">(Sens!C8366+Sens!D8366)/2*Sens!D8381/1000</f>
        <v>2.70378325872065</v>
      </c>
      <c r="E8382" s="6" t="n">
        <f aca="false">(Sens!D8366+Sens!E8366)/2*Sens!E8381/1000</f>
        <v>6.17783035277451</v>
      </c>
      <c r="F8382" s="6" t="n">
        <f aca="false">(Sens!E8366+Sens!F8366)/2*Sens!F8381/1000</f>
        <v>12.8742463089237</v>
      </c>
      <c r="G8382" s="6" t="n">
        <f aca="false">(Sens!F8366+Sens!G8366)/2*Sens!G8381/1000</f>
        <v>21.8182834646277</v>
      </c>
      <c r="H8382" s="6" t="n">
        <f aca="false">(Sens!G8366+Sens!H8366)/2*Sens!H8381/1000</f>
        <v>31.2430128789734</v>
      </c>
      <c r="I8382" s="6" t="n">
        <f aca="false">(Sens!H8366+Sens!I8366)/2*Sens!I8381/1000</f>
        <v>39.4313057443268</v>
      </c>
      <c r="J8382" s="6" t="n">
        <f aca="false">(Sens!I8366+Sens!J8366)/2*Sens!J8381/1000</f>
        <v>45.0360318228653</v>
      </c>
      <c r="K8382" s="6" t="n">
        <f aca="false">(Sens!J8366+Sens!K8366)/2*Sens!K8381/1000</f>
        <v>48.2929727091156</v>
      </c>
    </row>
    <row r="8383" customFormat="false" ht="17.15" hidden="false" customHeight="false" outlineLevel="0" collapsed="false">
      <c r="A8383" s="0" t="s">
        <v>985</v>
      </c>
      <c r="B8383" s="0" t="s">
        <v>98</v>
      </c>
      <c r="D8383" s="6" t="n">
        <f aca="false">(Sens!C8364+Sens!D8364)/2*rent_mw/1000</f>
        <v>2.44475</v>
      </c>
      <c r="E8383" s="6" t="n">
        <f aca="false">(Sens!D8364+Sens!E8364)/2*rent_mw/1000</f>
        <v>4.22275</v>
      </c>
      <c r="F8383" s="6" t="n">
        <f aca="false">(Sens!E8364+Sens!F8364)/2*rent_mw/1000</f>
        <v>5.80517</v>
      </c>
      <c r="G8383" s="6" t="n">
        <f aca="false">(Sens!F8364+Sens!G8364)/2*rent_mw/1000</f>
        <v>6.72084</v>
      </c>
      <c r="H8383" s="6" t="n">
        <f aca="false">(Sens!G8364+Sens!H8364)/2*rent_mw/1000</f>
        <v>6.72084</v>
      </c>
      <c r="I8383" s="6" t="n">
        <f aca="false">(Sens!H8364+Sens!I8364)/2*rent_mw/1000</f>
        <v>6.72084</v>
      </c>
      <c r="J8383" s="6" t="n">
        <f aca="false">(Sens!I8364+Sens!J8364)/2*rent_mw/1000</f>
        <v>6.72084</v>
      </c>
      <c r="K8383" s="6" t="n">
        <f aca="false">(Sens!J8364+Sens!K8364)/2*rent_mw/1000</f>
        <v>6.72084</v>
      </c>
    </row>
    <row r="8384" customFormat="false" ht="17.15" hidden="false" customHeight="false" outlineLevel="0" collapsed="false">
      <c r="A8384" s="0" t="s">
        <v>986</v>
      </c>
      <c r="B8384" s="0" t="s">
        <v>98</v>
      </c>
      <c r="D8384" s="6" t="n">
        <f aca="false">(Sens!C8366+Sens!D8366)/2*(1-self_build)*fac_rent/1000</f>
        <v>0.853242375631075</v>
      </c>
      <c r="E8384" s="6" t="n">
        <f aca="false">(Sens!D8366+Sens!E8366)/2*(1-self_build)*fac_rent/1000</f>
        <v>1.94955961408728</v>
      </c>
      <c r="F8384" s="6" t="n">
        <f aca="false">(Sens!E8366+Sens!F8366)/2*(1-self_build)*fac_rent/1000</f>
        <v>3.92914894476356</v>
      </c>
      <c r="G8384" s="6" t="n">
        <f aca="false">(Sens!F8366+Sens!G8366)/2*(1-self_build)*fac_rent/1000</f>
        <v>6.53206908578159</v>
      </c>
      <c r="H8384" s="6" t="n">
        <f aca="false">(Sens!G8366+Sens!H8366)/2*(1-self_build)*fac_rent/1000</f>
        <v>9.23717988341591</v>
      </c>
      <c r="I8384" s="6" t="n">
        <f aca="false">(Sens!H8366+Sens!I8366)/2*(1-self_build)*fac_rent/1000</f>
        <v>11.5481378557393</v>
      </c>
      <c r="J8384" s="6" t="n">
        <f aca="false">(Sens!I8366+Sens!J8366)/2*(1-self_build)*fac_rent/1000</f>
        <v>13.0899582289108</v>
      </c>
      <c r="K8384" s="6" t="n">
        <f aca="false">(Sens!J8366+Sens!K8366)/2*(1-self_build)*fac_rent/1000</f>
        <v>13.8897275626556</v>
      </c>
      <c r="L8384" s="12" t="s">
        <v>987</v>
      </c>
    </row>
    <row r="8385" customFormat="false" ht="17.15" hidden="false" customHeight="false" outlineLevel="0" collapsed="false">
      <c r="A8385" s="1" t="s">
        <v>988</v>
      </c>
      <c r="B8385" s="0" t="s">
        <v>168</v>
      </c>
      <c r="D8385" s="7" t="n">
        <f aca="false">(Sens!C8365+Sens!D8365)/(Sens!C8366+Sens!D8366)</f>
        <v>0.6</v>
      </c>
      <c r="E8385" s="7" t="n">
        <f aca="false">(Sens!D8365+Sens!E8365)/(Sens!D8366+Sens!E8366)</f>
        <v>0.6</v>
      </c>
      <c r="F8385" s="7" t="n">
        <f aca="false">(Sens!E8365+Sens!F8365)/(Sens!E8366+Sens!F8366)</f>
        <v>0.6</v>
      </c>
      <c r="G8385" s="7" t="n">
        <f aca="false">(Sens!F8365+Sens!G8365)/(Sens!F8366+Sens!G8366)</f>
        <v>0.6</v>
      </c>
      <c r="H8385" s="7" t="n">
        <f aca="false">(Sens!G8365+Sens!H8365)/(Sens!G8366+Sens!H8366)</f>
        <v>0.6</v>
      </c>
      <c r="I8385" s="7" t="n">
        <f aca="false">(Sens!H8365+Sens!I8365)/(Sens!H8366+Sens!I8366)</f>
        <v>0.6</v>
      </c>
      <c r="J8385" s="7" t="n">
        <f aca="false">(Sens!I8365+Sens!J8365)/(Sens!I8366+Sens!J8366)</f>
        <v>0.6</v>
      </c>
      <c r="K8385" s="7" t="n">
        <f aca="false">(Sens!J8365+Sens!K8365)/(Sens!J8366+Sens!K8366)</f>
        <v>0.6</v>
      </c>
    </row>
    <row r="8386" customFormat="false" ht="17.15" hidden="false" customHeight="false" outlineLevel="0" collapsed="false">
      <c r="A8386" s="0" t="s">
        <v>989</v>
      </c>
      <c r="B8386" s="0" t="s">
        <v>98</v>
      </c>
      <c r="D8386" s="6" t="n">
        <f aca="false">Sens!D8380-Sens!D8385*(Sens!D8382+Sens!D8384)-Sens!D8383</f>
        <v>8.35701406163072</v>
      </c>
      <c r="E8386" s="6" t="n">
        <f aca="false">Sens!E8380-Sens!E8385*(Sens!E8382+Sens!E8384)-Sens!E8383</f>
        <v>18.7103224860238</v>
      </c>
      <c r="F8386" s="6" t="n">
        <f aca="false">Sens!F8380-Sens!F8385*(Sens!F8382+Sens!F8384)-Sens!F8383</f>
        <v>35.0947222830189</v>
      </c>
      <c r="G8386" s="6" t="n">
        <f aca="false">Sens!G8380-Sens!G8385*(Sens!G8382+Sens!G8384)-Sens!G8383</f>
        <v>52.9609920712477</v>
      </c>
      <c r="H8386" s="6" t="n">
        <f aca="false">Sens!H8380-Sens!H8385*(Sens!H8382+Sens!H8384)-Sens!H8383</f>
        <v>66.4405822844005</v>
      </c>
      <c r="I8386" s="6" t="n">
        <f aca="false">Sens!I8380-Sens!I8385*(Sens!I8382+Sens!I8384)-Sens!I8383</f>
        <v>84.7749393938279</v>
      </c>
      <c r="J8386" s="6" t="n">
        <f aca="false">Sens!J8380-Sens!J8385*(Sens!J8382+Sens!J8384)-Sens!J8383</f>
        <v>97.6526264137382</v>
      </c>
      <c r="K8386" s="6" t="n">
        <f aca="false">Sens!K8380-Sens!K8385*(Sens!K8382+Sens!K8384)-Sens!K8383</f>
        <v>105.965358412527</v>
      </c>
    </row>
    <row r="8387" customFormat="false" ht="17.15" hidden="false" customHeight="false" outlineLevel="0" collapsed="false">
      <c r="A8387" s="1" t="s">
        <v>990</v>
      </c>
      <c r="B8387" s="0" t="s">
        <v>98</v>
      </c>
      <c r="D8387" s="6" t="n">
        <f aca="false">(1-Sens!D8385)*(Sens!D8382+Sens!D8384)</f>
        <v>1.42281025374069</v>
      </c>
      <c r="E8387" s="6" t="n">
        <f aca="false">(1-Sens!E8385)*(Sens!E8382+Sens!E8384)</f>
        <v>3.25095598674472</v>
      </c>
      <c r="F8387" s="6" t="n">
        <f aca="false">(1-Sens!F8385)*(Sens!F8382+Sens!F8384)</f>
        <v>6.72135810147489</v>
      </c>
      <c r="G8387" s="6" t="n">
        <f aca="false">(1-Sens!G8385)*(Sens!G8382+Sens!G8384)</f>
        <v>11.3401410201637</v>
      </c>
      <c r="H8387" s="6" t="n">
        <f aca="false">(1-Sens!H8385)*(Sens!H8382+Sens!H8384)</f>
        <v>16.1920771049557</v>
      </c>
      <c r="I8387" s="6" t="n">
        <f aca="false">(1-Sens!I8385)*(Sens!I8382+Sens!I8384)</f>
        <v>20.3917774400264</v>
      </c>
      <c r="J8387" s="6" t="n">
        <f aca="false">(1-Sens!J8385)*(Sens!J8382+Sens!J8384)</f>
        <v>23.2503960207104</v>
      </c>
      <c r="K8387" s="6" t="n">
        <f aca="false">(1-Sens!K8385)*(Sens!K8382+Sens!K8384)</f>
        <v>24.8730801087085</v>
      </c>
    </row>
    <row r="8388" customFormat="false" ht="17.15" hidden="false" customHeight="false" outlineLevel="0" collapsed="false">
      <c r="A8388" s="1" t="s">
        <v>991</v>
      </c>
      <c r="B8388" s="0" t="s">
        <v>417</v>
      </c>
      <c r="C8388" s="8" t="n">
        <f aca="false">cxit_open</f>
        <v>27.5918995</v>
      </c>
      <c r="D8388" s="8" t="n">
        <f aca="false">cxit_open</f>
        <v>27.5918995</v>
      </c>
      <c r="E8388" s="8" t="n">
        <f aca="false">cxit_open</f>
        <v>27.5918995</v>
      </c>
      <c r="F8388" s="8" t="n">
        <f aca="false">((a_g3_27-nonnv*a_mai)*tk_cxit_gb300+nonnv*a_mai*nv_hold_mai*tk_cxit_vr200+(1-a_g3_27)*tk_cxit_vr200)</f>
        <v>32.4975576</v>
      </c>
      <c r="G8388" s="8" t="n">
        <f aca="false">((a_g3_28-nonnv*a_mai)*tk_cxit_gb300+nonnv*a_mai*nv_hold_mai*tk_cxit_vr200+(1-a_g3_28)*tk_cxit_vr200)</f>
        <v>34.6372088</v>
      </c>
      <c r="H8388" s="8" t="n">
        <f aca="false">((a_g3_29-nonnv*a_mai)*tk_cxit_gb300+nonnv*a_mai*nv_hold_mai*tk_cxit_vr200+(1-a_g3_29)*tk_cxit_vr200)</f>
        <v>35.7070344</v>
      </c>
      <c r="I8388" s="8" t="n">
        <f aca="false">((a_g3_29-nonnv*a_mai)*tk_cxit_gb300+nonnv*a_mai*nv_hold_mai*tk_cxit_vr200+(1-a_g3_29)*tk_cxit_vr200)</f>
        <v>35.7070344</v>
      </c>
      <c r="J8388" s="8" t="n">
        <f aca="false">((a_g3_29-nonnv*a_mai)*tk_cxit_gb300+nonnv*a_mai*nv_hold_mai*tk_cxit_vr200+(1-a_g3_29)*tk_cxit_vr200)</f>
        <v>35.7070344</v>
      </c>
      <c r="K8388" s="8" t="n">
        <f aca="false">((a_g3_29-nonnv*a_mai)*tk_cxit_gb300+nonnv*a_mai*nv_hold_mai*tk_cxit_vr200+(1-a_g3_29)*tk_cxit_vr200)</f>
        <v>35.7070344</v>
      </c>
      <c r="L8388" s="12" t="s">
        <v>992</v>
      </c>
    </row>
    <row r="8389" customFormat="false" ht="17.15" hidden="false" customHeight="false" outlineLevel="0" collapsed="false">
      <c r="A8389" s="0" t="s">
        <v>993</v>
      </c>
      <c r="B8389" s="0" t="s">
        <v>459</v>
      </c>
      <c r="F8389" s="30" t="n">
        <f aca="false">Sens!C8368*IF(Sens!F8361-Sens!C8361=life_it,1,0)+Sens!D8368*IF(Sens!F8361-Sens!D8361=life_it,1,0)+Sens!E8368*IF(Sens!F8361-Sens!E8361=life_it,1,0)</f>
        <v>0</v>
      </c>
      <c r="G8389" s="30" t="n">
        <f aca="false">Sens!C8368*IF(Sens!G8361-Sens!C8361=life_it,1,0)+Sens!D8368*IF(Sens!G8361-Sens!D8361=life_it,1,0)+Sens!E8368*IF(Sens!G8361-Sens!E8361=life_it,1,0)+Sens!F8368*IF(Sens!G8361-Sens!F8361=life_it,1,0)</f>
        <v>0</v>
      </c>
      <c r="H8389" s="30" t="n">
        <f aca="false">Sens!C8368*IF(Sens!H8361-Sens!C8361=life_it,1,0)+Sens!D8368*IF(Sens!H8361-Sens!D8361=life_it,1,0)+Sens!E8368*IF(Sens!H8361-Sens!E8361=life_it,1,0)+Sens!F8368*IF(Sens!H8361-Sens!F8361=life_it,1,0)+Sens!G8368*IF(Sens!H8361-Sens!G8361=life_it,1,0)</f>
        <v>0</v>
      </c>
      <c r="I8389" s="30" t="n">
        <f aca="false">Sens!C8368*IF(Sens!I8361-Sens!C8361=life_it,1,0)+Sens!D8368*IF(Sens!I8361-Sens!D8361=life_it,1,0)+Sens!E8368*IF(Sens!I8361-Sens!E8361=life_it,1,0)+Sens!F8368*IF(Sens!I8361-Sens!F8361=life_it,1,0)+Sens!G8368*IF(Sens!I8361-Sens!G8361=life_it,1,0)+Sens!H8368*IF(Sens!I8361-Sens!H8361=life_it,1,0)</f>
        <v>816.666666666667</v>
      </c>
      <c r="J8389" s="30" t="n">
        <f aca="false">Sens!C8368*IF(Sens!J8361-Sens!C8361=life_it,1,0)+Sens!D8368*IF(Sens!J8361-Sens!D8361=life_it,1,0)+Sens!E8368*IF(Sens!J8361-Sens!E8361=life_it,1,0)+Sens!F8368*IF(Sens!J8361-Sens!F8361=life_it,1,0)+Sens!G8368*IF(Sens!J8361-Sens!G8361=life_it,1,0)+Sens!H8368*IF(Sens!J8361-Sens!H8361=life_it,1,0)+Sens!I8368*IF(Sens!J8361-Sens!I8361=life_it,1,0)</f>
        <v>1233.33333333333</v>
      </c>
      <c r="K8389" s="30" t="n">
        <f aca="false">Sens!C8368*IF(Sens!K8361-Sens!C8361=life_it,1,0)+Sens!D8368*IF(Sens!K8361-Sens!D8361=life_it,1,0)+Sens!E8368*IF(Sens!K8361-Sens!E8361=life_it,1,0)+Sens!F8368*IF(Sens!K8361-Sens!F8361=life_it,1,0)+Sens!G8368*IF(Sens!K8361-Sens!G8361=life_it,1,0)+Sens!H8368*IF(Sens!K8361-Sens!H8361=life_it,1,0)+Sens!I8368*IF(Sens!K8361-Sens!I8361=life_it,1,0)+Sens!J8368*IF(Sens!K8361-Sens!J8361=life_it,1,0)</f>
        <v>2450</v>
      </c>
      <c r="L8389" s="1" t="s">
        <v>994</v>
      </c>
    </row>
    <row r="8390" customFormat="false" ht="17.15" hidden="false" customHeight="false" outlineLevel="0" collapsed="false">
      <c r="A8390" s="0" t="s">
        <v>995</v>
      </c>
      <c r="B8390" s="0" t="s">
        <v>98</v>
      </c>
      <c r="C8390" s="6" t="n">
        <f aca="false">Sens!C8368*Sens!C8388/1000</f>
        <v>22.5333845916667</v>
      </c>
      <c r="D8390" s="6" t="n">
        <f aca="false">Sens!D8368*Sens!D8388/1000</f>
        <v>34.0300093833333</v>
      </c>
      <c r="E8390" s="6" t="n">
        <f aca="false">Sens!E8368*Sens!E8388/1000</f>
        <v>67.600153775</v>
      </c>
      <c r="F8390" s="6" t="n">
        <f aca="false">(Sens!F8368+Sens!F8389)*Sens!F8388/1000</f>
        <v>136.51872432512</v>
      </c>
      <c r="G8390" s="6" t="n">
        <f aca="false">(Sens!G8368+Sens!G8389)*Sens!G8388/1000</f>
        <v>157.399275932048</v>
      </c>
      <c r="H8390" s="6" t="n">
        <f aca="false">(Sens!H8368+Sens!H8389)*Sens!H8388/1000</f>
        <v>162.260804347512</v>
      </c>
      <c r="I8390" s="6" t="n">
        <f aca="false">(Sens!I8368+Sens!I8389)*Sens!I8388/1000</f>
        <v>144.136569485434</v>
      </c>
      <c r="J8390" s="6" t="n">
        <f aca="false">(Sens!J8368+Sens!J8389)*Sens!J8388/1000</f>
        <v>114.029037357864</v>
      </c>
      <c r="K8390" s="6" t="n">
        <f aca="false">(Sens!K8368+Sens!K8389)*Sens!K8388/1000</f>
        <v>113.437085350975</v>
      </c>
    </row>
    <row r="8391" customFormat="false" ht="17.15" hidden="false" customHeight="false" outlineLevel="0" collapsed="false">
      <c r="A8391" s="0" t="s">
        <v>996</v>
      </c>
      <c r="B8391" s="0" t="s">
        <v>98</v>
      </c>
      <c r="C8391" s="6" t="n">
        <f aca="false">Sens!C8368*self_build*tk_cxfac/1000</f>
        <v>6.2083</v>
      </c>
      <c r="D8391" s="6" t="n">
        <f aca="false">Sens!D8368*self_build*tk_cxfac/1000</f>
        <v>9.3758</v>
      </c>
      <c r="E8391" s="6" t="n">
        <f aca="false">Sens!E8368*self_build*tk_cxfac/1000</f>
        <v>18.6249</v>
      </c>
      <c r="F8391" s="6" t="n">
        <f aca="false">Sens!F8368*self_build*tk_cxfac/1000</f>
        <v>31.935179717</v>
      </c>
      <c r="G8391" s="6" t="n">
        <f aca="false">Sens!G8368*self_build*tk_cxfac/1000</f>
        <v>34.545199717</v>
      </c>
      <c r="H8391" s="6" t="n">
        <f aca="false">Sens!H8368*self_build*tk_cxfac/1000</f>
        <v>34.545199717</v>
      </c>
      <c r="I8391" s="6" t="n">
        <f aca="false">Sens!I8368*self_build*tk_cxfac/1000</f>
        <v>24.4782641361767</v>
      </c>
      <c r="J8391" s="6" t="n">
        <f aca="false">Sens!J8368*self_build*tk_cxfac/1000</f>
        <v>14.9008938380769</v>
      </c>
      <c r="K8391" s="6" t="n">
        <f aca="false">Sens!K8368*self_build*tk_cxfac/1000</f>
        <v>5.52576771375761</v>
      </c>
    </row>
    <row r="8392" customFormat="false" ht="17.15" hidden="false" customHeight="false" outlineLevel="0" collapsed="false">
      <c r="A8392" s="0" t="s">
        <v>997</v>
      </c>
      <c r="B8392" s="0" t="s">
        <v>98</v>
      </c>
      <c r="F8392" s="15" t="n">
        <f aca="false">capex_floor27-Sens!F8390-Sens!F8391-Sens!F8488</f>
        <v>0.144584188140747</v>
      </c>
      <c r="L8392" s="12" t="s">
        <v>998</v>
      </c>
    </row>
    <row r="8393" customFormat="false" ht="17.15" hidden="false" customHeight="false" outlineLevel="0" collapsed="false">
      <c r="A8393" s="0" t="s">
        <v>999</v>
      </c>
      <c r="B8393" s="0" t="s">
        <v>98</v>
      </c>
      <c r="F8393" s="6" t="n">
        <f aca="false">MAX(0,Sens!F8392)</f>
        <v>0.144584188140747</v>
      </c>
    </row>
    <row r="8394" customFormat="false" ht="17.15" hidden="false" customHeight="false" outlineLevel="0" collapsed="false">
      <c r="A8394" s="0" t="s">
        <v>1000</v>
      </c>
      <c r="B8394" s="0" t="s">
        <v>98</v>
      </c>
      <c r="C8394" s="6" t="n">
        <f aca="false">Sens!C8390</f>
        <v>22.5333845916667</v>
      </c>
      <c r="D8394" s="6" t="n">
        <f aca="false">Sens!D8390</f>
        <v>34.0300093833333</v>
      </c>
      <c r="E8394" s="6" t="n">
        <f aca="false">Sens!E8390</f>
        <v>67.600153775</v>
      </c>
      <c r="F8394" s="6" t="n">
        <f aca="false">Sens!F8390</f>
        <v>136.51872432512</v>
      </c>
      <c r="G8394" s="6" t="n">
        <f aca="false">Sens!G8390</f>
        <v>157.399275932048</v>
      </c>
      <c r="H8394" s="6" t="n">
        <f aca="false">Sens!H8390</f>
        <v>162.260804347512</v>
      </c>
      <c r="I8394" s="6" t="n">
        <f aca="false">Sens!I8390</f>
        <v>144.136569485434</v>
      </c>
      <c r="J8394" s="6" t="n">
        <f aca="false">Sens!J8390</f>
        <v>114.029037357864</v>
      </c>
      <c r="K8394" s="6" t="n">
        <f aca="false">Sens!K8390</f>
        <v>113.437085350975</v>
      </c>
    </row>
    <row r="8395" customFormat="false" ht="17.15" hidden="false" customHeight="false" outlineLevel="0" collapsed="false">
      <c r="A8395" s="0" t="s">
        <v>1001</v>
      </c>
      <c r="B8395" s="0" t="s">
        <v>98</v>
      </c>
      <c r="C8395" s="6" t="n">
        <f aca="false">Sens!C8394+Sens!C8391</f>
        <v>28.7416845916667</v>
      </c>
      <c r="D8395" s="6" t="n">
        <f aca="false">Sens!D8394+Sens!D8391</f>
        <v>43.4058093833333</v>
      </c>
      <c r="E8395" s="6" t="n">
        <f aca="false">Sens!E8394+Sens!E8391</f>
        <v>86.225053775</v>
      </c>
      <c r="F8395" s="6" t="n">
        <f aca="false">Sens!F8394+Sens!F8391</f>
        <v>168.45390404212</v>
      </c>
      <c r="G8395" s="6" t="n">
        <f aca="false">Sens!G8394+Sens!G8391</f>
        <v>191.944475649048</v>
      </c>
      <c r="H8395" s="6" t="n">
        <f aca="false">Sens!H8394+Sens!H8391</f>
        <v>196.806004064512</v>
      </c>
      <c r="I8395" s="6" t="n">
        <f aca="false">Sens!I8394+Sens!I8391</f>
        <v>168.61483362161</v>
      </c>
      <c r="J8395" s="6" t="n">
        <f aca="false">Sens!J8394+Sens!J8391</f>
        <v>128.92993119594</v>
      </c>
      <c r="K8395" s="6" t="n">
        <f aca="false">Sens!K8394+Sens!K8391</f>
        <v>118.962853064733</v>
      </c>
      <c r="L8395" s="12" t="s">
        <v>1002</v>
      </c>
    </row>
    <row r="8396" customFormat="false" ht="17.15" hidden="false" customHeight="false" outlineLevel="0" collapsed="false">
      <c r="A8396" s="0" t="s">
        <v>1003</v>
      </c>
      <c r="B8396" s="0" t="s">
        <v>98</v>
      </c>
      <c r="E8396" s="6" t="n">
        <f aca="false">(Sens!C8394*IF(2&lt;life_it,1,IF(2=life_it,0.5,0))+Sens!D8394*IF(1&lt;life_it,1,IF(1=life_it,0.5,0))+Sens!E8394*0.5)/life_it</f>
        <v>15.0605784770833</v>
      </c>
      <c r="F8396" s="6" t="n">
        <f aca="false">(Sens!C8394*IF(3&lt;life_it,1,IF(3=life_it,0.5,0))+Sens!D8394*IF(2&lt;life_it,1,IF(2=life_it,0.5,0))+Sens!E8394*IF(1&lt;life_it,1,IF(1=life_it,0.5,0))+Sens!F8394*0.5)/life_it</f>
        <v>32.0704849854266</v>
      </c>
      <c r="G8396" s="6" t="n">
        <f aca="false">(Sens!C8394*IF(4&lt;life_it,1,IF(4=life_it,0.5,0))+Sens!D8394*IF(3&lt;life_it,1,IF(3=life_it,0.5,0))+Sens!E8394*IF(2&lt;life_it,1,IF(2=life_it,0.5,0))+Sens!F8394*IF(1&lt;life_it,1,IF(1=life_it,0.5,0))+Sens!G8394*0.5)/life_it</f>
        <v>56.5636516735239</v>
      </c>
      <c r="H8396" s="6" t="n">
        <f aca="false">(Sens!C8394*IF(5&lt;life_it,1,IF(5=life_it,0.5,0))+Sens!D8394*IF(4&lt;life_it,1,IF(4=life_it,0.5,0))+Sens!E8394*IF(3&lt;life_it,1,IF(3=life_it,0.5,0))+Sens!F8394*IF(2&lt;life_it,1,IF(2=life_it,0.5,0))+Sens!G8394*IF(1&lt;life_it,1,IF(1=life_it,0.5,0))+Sens!H8394*0.5)/life_it</f>
        <v>83.2019916968207</v>
      </c>
      <c r="I8396" s="6" t="n">
        <f aca="false">(Sens!C8394*IF(6&lt;life_it,1,IF(6=life_it,0.5,0))+Sens!D8394*IF(5&lt;life_it,1,IF(5=life_it,0.5,0))+Sens!E8394*IF(4&lt;life_it,1,IF(4=life_it,0.5,0))+Sens!F8394*IF(3&lt;life_it,1,IF(3=life_it,0.5,0))+Sens!G8394*IF(2&lt;life_it,1,IF(2=life_it,0.5,0))+Sens!H8394*IF(1&lt;life_it,1,IF(1=life_it,0.5,0))+Sens!I8394*0.5)/life_it</f>
        <v>106.857324133594</v>
      </c>
      <c r="J8396" s="6" t="n">
        <f aca="false">(Sens!C8394*IF(7&lt;life_it,1,IF(7=life_it,0.5,0))+Sens!D8394*IF(6&lt;life_it,1,IF(6=life_it,0.5,0))+Sens!E8394*IF(5&lt;life_it,1,IF(5=life_it,0.5,0))+Sens!F8394*IF(4&lt;life_it,1,IF(4=life_it,0.5,0))+Sens!G8394*IF(3&lt;life_it,1,IF(3=life_it,0.5,0))+Sens!H8394*IF(2&lt;life_it,1,IF(2=life_it,0.5,0))+Sens!I8394*IF(1&lt;life_it,1,IF(1=life_it,0.5,0))+Sens!J8394*0.5)/life_it</f>
        <v>123.657508539285</v>
      </c>
      <c r="K8396" s="6" t="n">
        <f aca="false">(Sens!C8394*IF(8&lt;life_it,1,IF(8=life_it,0.5,0))+Sens!D8394*IF(7&lt;life_it,1,IF(7=life_it,0.5,0))+Sens!E8394*IF(6&lt;life_it,1,IF(6=life_it,0.5,0))+Sens!F8394*IF(5&lt;life_it,1,IF(5=life_it,0.5,0))+Sens!G8394*IF(4&lt;life_it,1,IF(4=life_it,0.5,0))+Sens!H8394*IF(3&lt;life_it,1,IF(3=life_it,0.5,0))+Sens!I8394*IF(2&lt;life_it,1,IF(2=life_it,0.5,0))+Sens!J8394*IF(1&lt;life_it,1,IF(1=life_it,0.5,0))+Sens!K8394*0.5)/life_it</f>
        <v>134.143838501827</v>
      </c>
    </row>
    <row r="8397" customFormat="false" ht="17.15" hidden="false" customHeight="false" outlineLevel="0" collapsed="false">
      <c r="A8397" s="0" t="s">
        <v>1004</v>
      </c>
      <c r="B8397" s="0" t="s">
        <v>98</v>
      </c>
      <c r="E8397" s="6" t="n">
        <f aca="false">(Sens!C8391*IF(2&lt;life_fac,1,IF(2=life_fac,0.5,0))+Sens!D8391*IF(1&lt;life_fac,1,IF(1=life_fac,0.5,0))+Sens!E8391*0.5)/life_fac</f>
        <v>1.2448275</v>
      </c>
      <c r="F8397" s="6" t="n">
        <f aca="false">(Sens!C8391*IF(3&lt;life_fac,1,IF(3=life_fac,0.5,0))+Sens!D8391*IF(2&lt;life_fac,1,IF(2=life_fac,0.5,0))+Sens!E8391*IF(1&lt;life_fac,1,IF(1=life_fac,0.5,0))+Sens!F8391*0.5)/life_fac</f>
        <v>2.508829492925</v>
      </c>
      <c r="G8397" s="6" t="n">
        <f aca="false">(Sens!C8391*IF(4&lt;life_fac,1,IF(4=life_fac,0.5,0))+Sens!D8391*IF(3&lt;life_fac,1,IF(3=life_fac,0.5,0))+Sens!E8391*IF(2&lt;life_fac,1,IF(2=life_fac,0.5,0))+Sens!F8391*IF(1&lt;life_fac,1,IF(1=life_fac,0.5,0))+Sens!G8391*0.5)/life_fac</f>
        <v>4.170838978775</v>
      </c>
      <c r="H8397" s="6" t="n">
        <f aca="false">(Sens!C8391*IF(5&lt;life_fac,1,IF(5=life_fac,0.5,0))+Sens!D8391*IF(4&lt;life_fac,1,IF(4=life_fac,0.5,0))+Sens!E8391*IF(3&lt;life_fac,1,IF(3=life_fac,0.5,0))+Sens!F8391*IF(2&lt;life_fac,1,IF(2=life_fac,0.5,0))+Sens!G8391*IF(1&lt;life_fac,1,IF(1=life_fac,0.5,0))+Sens!H8391*0.5)/life_fac</f>
        <v>5.898098964625</v>
      </c>
      <c r="I8397" s="6" t="n">
        <f aca="false">(Sens!C8391*IF(6&lt;life_fac,1,IF(6=life_fac,0.5,0))+Sens!D8391*IF(5&lt;life_fac,1,IF(5=life_fac,0.5,0))+Sens!E8391*IF(4&lt;life_fac,1,IF(4=life_fac,0.5,0))+Sens!F8391*IF(3&lt;life_fac,1,IF(3=life_fac,0.5,0))+Sens!G8391*IF(2&lt;life_fac,1,IF(2=life_fac,0.5,0))+Sens!H8391*IF(1&lt;life_fac,1,IF(1=life_fac,0.5,0))+Sens!I8391*0.5)/life_fac</f>
        <v>7.37368556095442</v>
      </c>
      <c r="J8397" s="6" t="n">
        <f aca="false">(Sens!C8391*IF(7&lt;life_fac,1,IF(7=life_fac,0.5,0))+Sens!D8391*IF(6&lt;life_fac,1,IF(6=life_fac,0.5,0))+Sens!E8391*IF(5&lt;life_fac,1,IF(5=life_fac,0.5,0))+Sens!F8391*IF(4&lt;life_fac,1,IF(4=life_fac,0.5,0))+Sens!G8391*IF(3&lt;life_fac,1,IF(3=life_fac,0.5,0))+Sens!H8391*IF(2&lt;life_fac,1,IF(2=life_fac,0.5,0))+Sens!I8391*IF(1&lt;life_fac,1,IF(1=life_fac,0.5,0))+Sens!J8391*0.5)/life_fac</f>
        <v>8.35816451031075</v>
      </c>
      <c r="K8397" s="6" t="n">
        <f aca="false">(Sens!C8391*IF(8&lt;life_fac,1,IF(8=life_fac,0.5,0))+Sens!D8391*IF(7&lt;life_fac,1,IF(7=life_fac,0.5,0))+Sens!E8391*IF(6&lt;life_fac,1,IF(6=life_fac,0.5,0))+Sens!F8391*IF(5&lt;life_fac,1,IF(5=life_fac,0.5,0))+Sens!G8391*IF(4&lt;life_fac,1,IF(4=life_fac,0.5,0))+Sens!H8391*IF(3&lt;life_fac,1,IF(3=life_fac,0.5,0))+Sens!I8391*IF(2&lt;life_fac,1,IF(2=life_fac,0.5,0))+Sens!J8391*IF(1&lt;life_fac,1,IF(1=life_fac,0.5,0))+Sens!K8391*0.5)/life_fac</f>
        <v>8.86883104910662</v>
      </c>
    </row>
    <row r="8398" customFormat="false" ht="17.15" hidden="false" customHeight="false" outlineLevel="0" collapsed="false">
      <c r="A8398" s="0" t="s">
        <v>1005</v>
      </c>
      <c r="B8398" s="0" t="s">
        <v>98</v>
      </c>
      <c r="E8398" s="6" t="n">
        <f aca="false">Sens!E8396+Sens!E8397</f>
        <v>16.3054059770833</v>
      </c>
      <c r="F8398" s="6" t="n">
        <f aca="false">Sens!F8396+Sens!F8397</f>
        <v>34.5793144783516</v>
      </c>
      <c r="G8398" s="6" t="n">
        <f aca="false">Sens!G8396+Sens!G8397</f>
        <v>60.7344906522989</v>
      </c>
      <c r="H8398" s="6" t="n">
        <f aca="false">Sens!H8396+Sens!H8397</f>
        <v>89.1000906614457</v>
      </c>
      <c r="I8398" s="6" t="n">
        <f aca="false">Sens!I8396+Sens!I8397</f>
        <v>114.231009694548</v>
      </c>
      <c r="J8398" s="6" t="n">
        <f aca="false">Sens!J8396+Sens!J8397</f>
        <v>132.015673049596</v>
      </c>
      <c r="K8398" s="6" t="n">
        <f aca="false">Sens!K8396+Sens!K8397</f>
        <v>143.012669550934</v>
      </c>
    </row>
    <row r="8399" customFormat="false" ht="17.15" hidden="false" customHeight="false" outlineLevel="0" collapsed="false">
      <c r="A8399" s="0" t="s">
        <v>1006</v>
      </c>
      <c r="B8399" s="0" t="s">
        <v>98</v>
      </c>
      <c r="E8399" s="6" t="n">
        <f aca="false">Sens!E8386-Sens!E8385*Sens!E8398</f>
        <v>8.92707889977379</v>
      </c>
      <c r="F8399" s="6" t="n">
        <f aca="false">Sens!F8386-Sens!F8385*Sens!F8398</f>
        <v>14.3471335960079</v>
      </c>
      <c r="G8399" s="6" t="n">
        <f aca="false">Sens!G8386-Sens!G8385*Sens!G8398</f>
        <v>16.5202976798683</v>
      </c>
      <c r="H8399" s="6" t="n">
        <f aca="false">Sens!H8386-Sens!H8385*Sens!H8398</f>
        <v>12.9805278875331</v>
      </c>
      <c r="I8399" s="6" t="n">
        <f aca="false">Sens!I8386-Sens!I8385*Sens!I8398</f>
        <v>16.2363335770989</v>
      </c>
      <c r="J8399" s="6" t="n">
        <f aca="false">Sens!J8386-Sens!J8385*Sens!J8398</f>
        <v>18.4432225839805</v>
      </c>
      <c r="K8399" s="6" t="n">
        <f aca="false">Sens!K8386-Sens!K8385*Sens!K8398</f>
        <v>20.1577566819661</v>
      </c>
    </row>
    <row r="8400" customFormat="false" ht="17.15" hidden="false" customHeight="false" outlineLevel="0" collapsed="false">
      <c r="A8400" s="3" t="s">
        <v>1821</v>
      </c>
    </row>
    <row r="8401" customFormat="false" ht="15" hidden="false" customHeight="false" outlineLevel="0" collapsed="false">
      <c r="A8401" s="4" t="s">
        <v>43</v>
      </c>
      <c r="B8401" s="4" t="s">
        <v>65</v>
      </c>
      <c r="C8401" s="23" t="s">
        <v>942</v>
      </c>
      <c r="D8401" s="23" t="s">
        <v>943</v>
      </c>
      <c r="E8401" s="23" t="s">
        <v>944</v>
      </c>
      <c r="F8401" s="23" t="s">
        <v>945</v>
      </c>
      <c r="G8401" s="23" t="s">
        <v>946</v>
      </c>
      <c r="H8401" s="23" t="s">
        <v>947</v>
      </c>
      <c r="I8401" s="23" t="s">
        <v>948</v>
      </c>
      <c r="J8401" s="23" t="s">
        <v>949</v>
      </c>
      <c r="K8401" s="23" t="s">
        <v>950</v>
      </c>
      <c r="L8401" s="4" t="s">
        <v>47</v>
      </c>
    </row>
    <row r="8402" customFormat="false" ht="17.15" hidden="false" customHeight="false" outlineLevel="0" collapsed="false">
      <c r="A8402" s="0" t="s">
        <v>1025</v>
      </c>
      <c r="B8402" s="0" t="s">
        <v>98</v>
      </c>
      <c r="D8402" s="6" t="n">
        <f aca="false">Sens!D8380</f>
        <v>12.9359794422418</v>
      </c>
      <c r="E8402" s="6" t="n">
        <f aca="false">Sens!E8380</f>
        <v>27.8095064661409</v>
      </c>
      <c r="F8402" s="6" t="n">
        <f aca="false">Sens!F8380</f>
        <v>50.9819294352312</v>
      </c>
      <c r="G8402" s="6" t="n">
        <f aca="false">Sens!G8380</f>
        <v>76.6920436014933</v>
      </c>
      <c r="H8402" s="6" t="n">
        <f aca="false">Sens!H8380</f>
        <v>97.4495379418341</v>
      </c>
      <c r="I8402" s="6" t="n">
        <f aca="false">Sens!I8380</f>
        <v>122.083445553868</v>
      </c>
      <c r="J8402" s="6" t="n">
        <f aca="false">Sens!J8380</f>
        <v>139.249060444804</v>
      </c>
      <c r="K8402" s="6" t="n">
        <f aca="false">Sens!K8380</f>
        <v>149.995818575589</v>
      </c>
    </row>
    <row r="8403" customFormat="false" ht="17.15" hidden="false" customHeight="false" outlineLevel="0" collapsed="false">
      <c r="A8403" s="0" t="s">
        <v>1026</v>
      </c>
      <c r="B8403" s="0" t="s">
        <v>98</v>
      </c>
      <c r="D8403" s="6" t="n">
        <f aca="false">Q!L6-Sens!D8402</f>
        <v>59.6740205577583</v>
      </c>
      <c r="E8403" s="6" t="n">
        <f aca="false">Q!M6-Sens!E8402</f>
        <v>74.1284935338591</v>
      </c>
      <c r="F8403" s="6" t="n">
        <f aca="false">Q!$I$6+(Sens!F8402+Sens!E8403*(1+Sens!F8404))*(1-Q!$E$6/Q!M6)-Sens!F8402</f>
        <v>92.2699541184664</v>
      </c>
      <c r="G8403" s="6" t="n">
        <f aca="false">Sens!F8403*(1+Sens!G8404)</f>
        <v>109.630477277949</v>
      </c>
      <c r="H8403" s="6" t="n">
        <f aca="false">Sens!G8403*(1+Sens!H8404)</f>
        <v>127.293256321956</v>
      </c>
      <c r="I8403" s="6" t="n">
        <f aca="false">Sens!H8403*(1+Sens!I8404)</f>
        <v>144.360052269491</v>
      </c>
      <c r="J8403" s="6" t="n">
        <f aca="false">Sens!I8403*(1+Sens!J8404)</f>
        <v>159.811964490216</v>
      </c>
      <c r="K8403" s="6" t="n">
        <f aca="false">Sens!J8403*(1+Sens!K8404)</f>
        <v>172.596921649434</v>
      </c>
      <c r="L8403" s="12" t="s">
        <v>1027</v>
      </c>
    </row>
    <row r="8404" customFormat="false" ht="15" hidden="false" customHeight="false" outlineLevel="0" collapsed="false">
      <c r="A8404" s="1" t="s">
        <v>1028</v>
      </c>
      <c r="B8404" s="0" t="s">
        <v>168</v>
      </c>
      <c r="E8404" s="7" t="n">
        <f aca="false">Sens!E8403/Sens!D8403-1</f>
        <v>0.242223883039864</v>
      </c>
      <c r="F8404" s="7" t="n">
        <f aca="false">Sens!$E$8404+(glt_azo-Sens!$E$8404)*MIN(1,(Sens!F8361-base_fy)/n_conv)</f>
        <v>0.215186569199887</v>
      </c>
      <c r="G8404" s="7" t="n">
        <f aca="false">Sens!$E$8404+(glt_azo-Sens!$E$8404)*MIN(1,(Sens!G8361-base_fy)/n_conv)</f>
        <v>0.18814925535991</v>
      </c>
      <c r="H8404" s="7" t="n">
        <f aca="false">Sens!$E$8404+(glt_azo-Sens!$E$8404)*MIN(1,(Sens!H8361-base_fy)/n_conv)</f>
        <v>0.161111941519932</v>
      </c>
      <c r="I8404" s="7" t="n">
        <f aca="false">Sens!$E$8404+(glt_azo-Sens!$E$8404)*MIN(1,(Sens!I8361-base_fy)/n_conv)</f>
        <v>0.134074627679955</v>
      </c>
      <c r="J8404" s="7" t="n">
        <f aca="false">Sens!$E$8404+(glt_azo-Sens!$E$8404)*MIN(1,(Sens!J8361-base_fy)/n_conv)</f>
        <v>0.107037313839977</v>
      </c>
      <c r="K8404" s="7" t="n">
        <f aca="false">Sens!$E$8404+(glt_azo-Sens!$E$8404)*MIN(1,(Sens!K8361-base_fy)/n_conv)</f>
        <v>0.08</v>
      </c>
    </row>
    <row r="8405" customFormat="false" ht="15" hidden="false" customHeight="false" outlineLevel="0" collapsed="false">
      <c r="A8405" s="0" t="s">
        <v>1029</v>
      </c>
      <c r="B8405" s="0" t="s">
        <v>98</v>
      </c>
      <c r="D8405" s="6" t="n">
        <f aca="false">Sens!D8402+Sens!D8403</f>
        <v>72.61</v>
      </c>
      <c r="E8405" s="6" t="n">
        <f aca="false">Sens!E8402+Sens!E8403</f>
        <v>101.938</v>
      </c>
      <c r="F8405" s="6" t="n">
        <f aca="false">Sens!F8402+Sens!F8403</f>
        <v>143.251883553698</v>
      </c>
      <c r="G8405" s="6" t="n">
        <f aca="false">Sens!G8402+Sens!G8403</f>
        <v>186.322520879442</v>
      </c>
      <c r="H8405" s="6" t="n">
        <f aca="false">Sens!H8402+Sens!H8403</f>
        <v>224.74279426379</v>
      </c>
      <c r="I8405" s="6" t="n">
        <f aca="false">Sens!I8402+Sens!I8403</f>
        <v>266.443497823359</v>
      </c>
      <c r="J8405" s="6" t="n">
        <f aca="false">Sens!J8402+Sens!J8403</f>
        <v>299.06102493502</v>
      </c>
      <c r="K8405" s="6" t="n">
        <f aca="false">Sens!K8402+Sens!K8403</f>
        <v>322.592740225023</v>
      </c>
    </row>
    <row r="8406" customFormat="false" ht="17.15" hidden="false" customHeight="false" outlineLevel="0" collapsed="false">
      <c r="A8406" s="0" t="s">
        <v>1030</v>
      </c>
      <c r="B8406" s="1" t="s">
        <v>613</v>
      </c>
      <c r="C8406" s="30" t="n">
        <f aca="false">cop_s24</f>
        <v>1</v>
      </c>
      <c r="D8406" s="30" t="n">
        <f aca="false">cop_s25</f>
        <v>5</v>
      </c>
      <c r="E8406" s="30" t="n">
        <f aca="false">cop_s26</f>
        <v>30</v>
      </c>
      <c r="F8406" s="30" t="n">
        <f aca="false">Sens!E8406+cop_add_C</f>
        <v>40</v>
      </c>
      <c r="G8406" s="30" t="n">
        <f aca="false">Sens!F8406+cop_add_C</f>
        <v>50</v>
      </c>
      <c r="H8406" s="30" t="n">
        <f aca="false">Sens!G8406+cop_add_C</f>
        <v>60</v>
      </c>
      <c r="I8406" s="30" t="n">
        <f aca="false">Sens!H8406+cop_add_C*cop_tail</f>
        <v>65</v>
      </c>
      <c r="J8406" s="30" t="n">
        <f aca="false">Sens!I8406+cop_add_C*cop_tail</f>
        <v>70</v>
      </c>
      <c r="K8406" s="30" t="n">
        <f aca="false">Sens!J8406+cop_add_C*cop_tail</f>
        <v>75</v>
      </c>
      <c r="L8406" s="12" t="s">
        <v>1031</v>
      </c>
    </row>
    <row r="8407" customFormat="false" ht="17.15" hidden="false" customHeight="false" outlineLevel="0" collapsed="false">
      <c r="A8407" s="0" t="s">
        <v>1032</v>
      </c>
      <c r="B8407" s="0" t="s">
        <v>98</v>
      </c>
      <c r="D8407" s="6" t="n">
        <f aca="false">(Sens!C8406+Sens!D8406)/2*cop_px*12/1000</f>
        <v>0.9</v>
      </c>
      <c r="E8407" s="6" t="n">
        <f aca="false">(Sens!D8406+Sens!E8406)/2*cop_px*12/1000</f>
        <v>5.25</v>
      </c>
      <c r="F8407" s="6" t="n">
        <f aca="false">(Sens!E8406+Sens!F8406)/2*cop_px_lo*12/1000</f>
        <v>7.56</v>
      </c>
      <c r="G8407" s="6" t="n">
        <f aca="false">(Sens!F8406+Sens!G8406)/2*cop_px_lo*12/1000</f>
        <v>9.72</v>
      </c>
      <c r="H8407" s="6" t="n">
        <f aca="false">(Sens!G8406+Sens!H8406)/2*cop_px_lo*12/1000</f>
        <v>11.88</v>
      </c>
      <c r="I8407" s="6" t="n">
        <f aca="false">(Sens!H8406+Sens!I8406)/2*cop_px_lo*12/1000</f>
        <v>13.5</v>
      </c>
      <c r="J8407" s="6" t="n">
        <f aca="false">(Sens!I8406+Sens!J8406)/2*cop_px_lo*12/1000</f>
        <v>14.58</v>
      </c>
      <c r="K8407" s="6" t="n">
        <f aca="false">(Sens!J8406+Sens!K8406)/2*cop_px_lo*12/1000</f>
        <v>15.66</v>
      </c>
      <c r="L8407" s="1" t="s">
        <v>1033</v>
      </c>
    </row>
    <row r="8408" customFormat="false" ht="17.15" hidden="false" customHeight="false" outlineLevel="0" collapsed="false">
      <c r="A8408" s="0" t="s">
        <v>1034</v>
      </c>
      <c r="B8408" s="0" t="s">
        <v>98</v>
      </c>
      <c r="D8408" s="6" t="n">
        <f aca="false">Q!L7-Sens!D8407</f>
        <v>83.705</v>
      </c>
      <c r="E8408" s="6" t="n">
        <f aca="false">Q!M7-Sens!E8407</f>
        <v>95.049</v>
      </c>
      <c r="F8408" s="6" t="n">
        <f aca="false">Q!$I$7+(Sens!E8408*(1+Sens!F8409)+Sens!F8407)*(1-Q!$E$7/Q!M7)-Sens!F8407</f>
        <v>107.632881154152</v>
      </c>
      <c r="G8408" s="6" t="n">
        <f aca="false">Sens!F8408*(1+Sens!G8409)</f>
        <v>119.8688428841</v>
      </c>
      <c r="H8408" s="6" t="n">
        <f aca="false">Sens!G8408*(1+Sens!H8409)</f>
        <v>132.186778839122</v>
      </c>
      <c r="I8408" s="6" t="n">
        <f aca="false">Sens!H8408*(1+Sens!I8409)</f>
        <v>144.32696968528</v>
      </c>
      <c r="J8408" s="6" t="n">
        <f aca="false">Sens!I8408*(1+Sens!J8409)</f>
        <v>156.005993824095</v>
      </c>
      <c r="K8408" s="6" t="n">
        <f aca="false">Sens!J8408*(1+Sens!K8409)</f>
        <v>166.926413391782</v>
      </c>
      <c r="L8408" s="12" t="s">
        <v>1035</v>
      </c>
    </row>
    <row r="8409" customFormat="false" ht="15" hidden="false" customHeight="false" outlineLevel="0" collapsed="false">
      <c r="A8409" s="1" t="s">
        <v>1028</v>
      </c>
      <c r="B8409" s="0" t="s">
        <v>168</v>
      </c>
      <c r="E8409" s="7" t="n">
        <f aca="false">Sens!E8408/Sens!D8408-1</f>
        <v>0.135523564900544</v>
      </c>
      <c r="F8409" s="7" t="n">
        <f aca="false">Sens!$E$8409+(glt_m365b-Sens!$E$8409)*MIN(1,(Sens!F8361-base_fy)/n_conv)</f>
        <v>0.124602970750453</v>
      </c>
      <c r="G8409" s="7" t="n">
        <f aca="false">Sens!$E$8409+(glt_m365b-Sens!$E$8409)*MIN(1,(Sens!G8361-base_fy)/n_conv)</f>
        <v>0.113682376600363</v>
      </c>
      <c r="H8409" s="7" t="n">
        <f aca="false">Sens!$E$8409+(glt_m365b-Sens!$E$8409)*MIN(1,(Sens!H8361-base_fy)/n_conv)</f>
        <v>0.102761782450272</v>
      </c>
      <c r="I8409" s="7" t="n">
        <f aca="false">Sens!$E$8409+(glt_m365b-Sens!$E$8409)*MIN(1,(Sens!I8361-base_fy)/n_conv)</f>
        <v>0.0918411883001813</v>
      </c>
      <c r="J8409" s="7" t="n">
        <f aca="false">Sens!$E$8409+(glt_m365b-Sens!$E$8409)*MIN(1,(Sens!J8361-base_fy)/n_conv)</f>
        <v>0.0809205941500906</v>
      </c>
      <c r="K8409" s="7" t="n">
        <f aca="false">Sens!$E$8409+(glt_m365b-Sens!$E$8409)*MIN(1,(Sens!K8361-base_fy)/n_conv)</f>
        <v>0.07</v>
      </c>
    </row>
    <row r="8410" customFormat="false" ht="15" hidden="false" customHeight="false" outlineLevel="0" collapsed="false">
      <c r="A8410" s="0" t="s">
        <v>1036</v>
      </c>
      <c r="B8410" s="0" t="s">
        <v>98</v>
      </c>
      <c r="D8410" s="6" t="n">
        <f aca="false">Sens!D8408+Sens!D8407</f>
        <v>84.605</v>
      </c>
      <c r="E8410" s="6" t="n">
        <f aca="false">Sens!E8408+Sens!E8407</f>
        <v>100.299</v>
      </c>
      <c r="F8410" s="6" t="n">
        <f aca="false">Sens!F8408+Sens!F8407</f>
        <v>115.192881154152</v>
      </c>
      <c r="G8410" s="6" t="n">
        <f aca="false">Sens!G8408+Sens!G8407</f>
        <v>129.5888428841</v>
      </c>
      <c r="H8410" s="6" t="n">
        <f aca="false">Sens!H8408+Sens!H8407</f>
        <v>144.066778839122</v>
      </c>
      <c r="I8410" s="6" t="n">
        <f aca="false">Sens!I8408+Sens!I8407</f>
        <v>157.82696968528</v>
      </c>
      <c r="J8410" s="6" t="n">
        <f aca="false">Sens!J8408+Sens!J8407</f>
        <v>170.585993824095</v>
      </c>
      <c r="K8410" s="6" t="n">
        <f aca="false">Sens!K8408+Sens!K8407</f>
        <v>182.586413391782</v>
      </c>
    </row>
    <row r="8411" customFormat="false" ht="17.15" hidden="false" customHeight="false" outlineLevel="0" collapsed="false">
      <c r="A8411" s="0" t="s">
        <v>1037</v>
      </c>
      <c r="B8411" s="0" t="s">
        <v>98</v>
      </c>
      <c r="D8411" s="6" t="n">
        <f aca="false">Q!L8</f>
        <v>35.391</v>
      </c>
      <c r="E8411" s="6" t="n">
        <f aca="false">Q!M8</f>
        <v>37.285</v>
      </c>
      <c r="F8411" s="6" t="n">
        <f aca="false">Q!$I$8+(Q!M8-Q!$E$8)*(1+Sens!F8412)</f>
        <v>38.3851437782675</v>
      </c>
      <c r="G8411" s="6" t="n">
        <f aca="false">Sens!F8411*(1+Sens!G8412)</f>
        <v>40.0105353288615</v>
      </c>
      <c r="H8411" s="6" t="n">
        <f aca="false">Sens!G8411*(1+Sens!H8412)</f>
        <v>41.4812512033683</v>
      </c>
      <c r="I8411" s="6" t="n">
        <f aca="false">Sens!H8411*(1+Sens!I8412)</f>
        <v>42.7743107216329</v>
      </c>
      <c r="J8411" s="6" t="n">
        <f aca="false">Sens!I8411*(1+Sens!J8412)</f>
        <v>43.8687373064601</v>
      </c>
      <c r="K8411" s="6" t="n">
        <f aca="false">Sens!J8411*(1+Sens!K8412)</f>
        <v>44.7461120525893</v>
      </c>
      <c r="L8411" s="12" t="s">
        <v>1038</v>
      </c>
    </row>
    <row r="8412" customFormat="false" ht="15" hidden="false" customHeight="false" outlineLevel="0" collapsed="false">
      <c r="A8412" s="1" t="s">
        <v>1028</v>
      </c>
      <c r="B8412" s="0" t="s">
        <v>168</v>
      </c>
      <c r="E8412" s="7" t="n">
        <f aca="false">Sens!E8411/Sens!D8411-1</f>
        <v>0.0535164307309768</v>
      </c>
      <c r="F8412" s="7" t="n">
        <f aca="false">Sens!$E$8412+(glt_lic-Sens!$E$8412)*MIN(1,(Sens!F8361-base_fy)/n_conv)</f>
        <v>0.0479303589424807</v>
      </c>
      <c r="G8412" s="7" t="n">
        <f aca="false">Sens!$E$8412+(glt_lic-Sens!$E$8412)*MIN(1,(Sens!G8361-base_fy)/n_conv)</f>
        <v>0.0423442871539845</v>
      </c>
      <c r="H8412" s="7" t="n">
        <f aca="false">Sens!$E$8412+(glt_lic-Sens!$E$8412)*MIN(1,(Sens!H8361-base_fy)/n_conv)</f>
        <v>0.0367582153654884</v>
      </c>
      <c r="I8412" s="7" t="n">
        <f aca="false">Sens!$E$8412+(glt_lic-Sens!$E$8412)*MIN(1,(Sens!I8361-base_fy)/n_conv)</f>
        <v>0.0311721435769923</v>
      </c>
      <c r="J8412" s="7" t="n">
        <f aca="false">Sens!$E$8412+(glt_lic-Sens!$E$8412)*MIN(1,(Sens!J8361-base_fy)/n_conv)</f>
        <v>0.0255860717884961</v>
      </c>
      <c r="K8412" s="7" t="n">
        <f aca="false">Sens!$E$8412+(glt_lic-Sens!$E$8412)*MIN(1,(Sens!K8361-base_fy)/n_conv)</f>
        <v>0.02</v>
      </c>
    </row>
    <row r="8413" customFormat="false" ht="17.15" hidden="false" customHeight="false" outlineLevel="0" collapsed="false">
      <c r="A8413" s="0" t="s">
        <v>1039</v>
      </c>
      <c r="B8413" s="0" t="s">
        <v>98</v>
      </c>
      <c r="D8413" s="6" t="n">
        <f aca="false">Q!L9</f>
        <v>18.417</v>
      </c>
      <c r="E8413" s="6" t="n">
        <f aca="false">Q!M9</f>
        <v>20.345</v>
      </c>
      <c r="F8413" s="6" t="n">
        <f aca="false">Q!$I$9+(Q!M9-Q!$E$9)*(1+Sens!F8414)</f>
        <v>22.3161797133988</v>
      </c>
      <c r="G8413" s="6" t="n">
        <f aca="false">Sens!F8413*(1+Sens!G8414)</f>
        <v>24.3943499673233</v>
      </c>
      <c r="H8413" s="6" t="n">
        <f aca="false">Sens!G8413*(1+Sens!H8414)</f>
        <v>26.5250243109019</v>
      </c>
      <c r="I8413" s="6" t="n">
        <f aca="false">Sens!H8413*(1+Sens!I8414)</f>
        <v>28.6884573538181</v>
      </c>
      <c r="J8413" s="6" t="n">
        <f aca="false">Sens!I8413*(1+Sens!J8414)</f>
        <v>30.8624968052127</v>
      </c>
      <c r="K8413" s="6" t="n">
        <f aca="false">Sens!J8413*(1+Sens!K8414)</f>
        <v>33.0228715815776</v>
      </c>
      <c r="L8413" s="12" t="s">
        <v>1038</v>
      </c>
    </row>
    <row r="8414" customFormat="false" ht="15" hidden="false" customHeight="false" outlineLevel="0" collapsed="false">
      <c r="A8414" s="1" t="s">
        <v>1028</v>
      </c>
      <c r="B8414" s="0" t="s">
        <v>168</v>
      </c>
      <c r="E8414" s="7" t="n">
        <f aca="false">Sens!E8413/Sens!D8413-1</f>
        <v>0.104685888038225</v>
      </c>
      <c r="F8414" s="7" t="n">
        <f aca="false">Sens!$E$8414+(glt_ind-Sens!$E$8414)*MIN(1,(Sens!F8361-base_fy)/n_conv)</f>
        <v>0.0989049066985211</v>
      </c>
      <c r="G8414" s="7" t="n">
        <f aca="false">Sens!$E$8414+(glt_ind-Sens!$E$8414)*MIN(1,(Sens!G8361-base_fy)/n_conv)</f>
        <v>0.0931239253588169</v>
      </c>
      <c r="H8414" s="7" t="n">
        <f aca="false">Sens!$E$8414+(glt_ind-Sens!$E$8414)*MIN(1,(Sens!H8361-base_fy)/n_conv)</f>
        <v>0.0873429440191127</v>
      </c>
      <c r="I8414" s="7" t="n">
        <f aca="false">Sens!$E$8414+(glt_ind-Sens!$E$8414)*MIN(1,(Sens!I8361-base_fy)/n_conv)</f>
        <v>0.0815619626794085</v>
      </c>
      <c r="J8414" s="7" t="n">
        <f aca="false">Sens!$E$8414+(glt_ind-Sens!$E$8414)*MIN(1,(Sens!J8361-base_fy)/n_conv)</f>
        <v>0.0757809813397042</v>
      </c>
      <c r="K8414" s="7" t="n">
        <f aca="false">Sens!$E$8414+(glt_ind-Sens!$E$8414)*MIN(1,(Sens!K8361-base_fy)/n_conv)</f>
        <v>0.07</v>
      </c>
    </row>
    <row r="8415" customFormat="false" ht="17.15" hidden="false" customHeight="false" outlineLevel="0" collapsed="false">
      <c r="A8415" s="0" t="s">
        <v>1040</v>
      </c>
      <c r="B8415" s="0" t="s">
        <v>98</v>
      </c>
      <c r="D8415" s="6" t="n">
        <f aca="false">Q!L10</f>
        <v>7.76</v>
      </c>
      <c r="E8415" s="6" t="n">
        <f aca="false">Q!M10</f>
        <v>8.26</v>
      </c>
      <c r="F8415" s="6" t="n">
        <f aca="false">Q!$I$10+(Q!M10-Q!$E$10)*(1+Sens!F8416)</f>
        <v>8.75372082474227</v>
      </c>
      <c r="G8415" s="6" t="n">
        <f aca="false">Sens!F8415*(1+Sens!G8416)</f>
        <v>9.33399324642364</v>
      </c>
      <c r="H8415" s="6" t="n">
        <f aca="false">Sens!G8415*(1+Sens!H8416)</f>
        <v>9.96139155535851</v>
      </c>
      <c r="I8415" s="6" t="n">
        <f aca="false">Sens!H8415*(1+Sens!I8416)</f>
        <v>10.6402039077391</v>
      </c>
      <c r="J8415" s="6" t="n">
        <f aca="false">Sens!I8415*(1+Sens!J8416)</f>
        <v>11.3751458271397</v>
      </c>
      <c r="K8415" s="6" t="n">
        <f aca="false">Sens!J8415*(1+Sens!K8416)</f>
        <v>12.1714060350394</v>
      </c>
      <c r="L8415" s="12" t="s">
        <v>1038</v>
      </c>
    </row>
    <row r="8416" customFormat="false" ht="15" hidden="false" customHeight="false" outlineLevel="0" collapsed="false">
      <c r="A8416" s="1" t="s">
        <v>1028</v>
      </c>
      <c r="B8416" s="0" t="s">
        <v>168</v>
      </c>
      <c r="E8416" s="7" t="n">
        <f aca="false">Sens!E8415/Sens!D8415-1</f>
        <v>0.0644329896907216</v>
      </c>
      <c r="F8416" s="7" t="n">
        <f aca="false">Sens!$E$8416+(glt_fro-Sens!$E$8416)*MIN(1,(Sens!F8361-base_fy)/n_conv)</f>
        <v>0.065360824742268</v>
      </c>
      <c r="G8416" s="7" t="n">
        <f aca="false">Sens!$E$8416+(glt_fro-Sens!$E$8416)*MIN(1,(Sens!G8361-base_fy)/n_conv)</f>
        <v>0.0662886597938144</v>
      </c>
      <c r="H8416" s="7" t="n">
        <f aca="false">Sens!$E$8416+(glt_fro-Sens!$E$8416)*MIN(1,(Sens!H8361-base_fy)/n_conv)</f>
        <v>0.0672164948453608</v>
      </c>
      <c r="I8416" s="7" t="n">
        <f aca="false">Sens!$E$8416+(glt_fro-Sens!$E$8416)*MIN(1,(Sens!I8361-base_fy)/n_conv)</f>
        <v>0.0681443298969072</v>
      </c>
      <c r="J8416" s="7" t="n">
        <f aca="false">Sens!$E$8416+(glt_fro-Sens!$E$8416)*MIN(1,(Sens!J8361-base_fy)/n_conv)</f>
        <v>0.0690721649484536</v>
      </c>
      <c r="K8416" s="7" t="n">
        <f aca="false">Sens!$E$8416+(glt_fro-Sens!$E$8416)*MIN(1,(Sens!K8361-base_fy)/n_conv)</f>
        <v>0.07</v>
      </c>
    </row>
    <row r="8417" customFormat="false" ht="15" hidden="false" customHeight="false" outlineLevel="0" collapsed="false">
      <c r="A8417" s="0" t="s">
        <v>856</v>
      </c>
      <c r="B8417" s="0" t="s">
        <v>98</v>
      </c>
      <c r="D8417" s="6" t="n">
        <f aca="false">Sens!D8405+Sens!D8410+Sens!D8411+Sens!D8413+Sens!D8415</f>
        <v>218.783</v>
      </c>
      <c r="E8417" s="6" t="n">
        <f aca="false">Sens!E8405+Sens!E8410+Sens!E8411+Sens!E8413+Sens!E8415</f>
        <v>268.127</v>
      </c>
      <c r="F8417" s="6" t="n">
        <f aca="false">Sens!F8405+Sens!F8410+Sens!F8411+Sens!F8413+Sens!F8415</f>
        <v>327.899809024258</v>
      </c>
      <c r="G8417" s="6" t="n">
        <f aca="false">Sens!G8405+Sens!G8410+Sens!G8411+Sens!G8413+Sens!G8415</f>
        <v>389.650242306151</v>
      </c>
      <c r="H8417" s="6" t="n">
        <f aca="false">Sens!H8405+Sens!H8410+Sens!H8411+Sens!H8413+Sens!H8415</f>
        <v>446.777240172541</v>
      </c>
      <c r="I8417" s="6" t="n">
        <f aca="false">Sens!I8405+Sens!I8410+Sens!I8411+Sens!I8413+Sens!I8415</f>
        <v>506.373439491829</v>
      </c>
      <c r="J8417" s="6" t="n">
        <f aca="false">Sens!J8405+Sens!J8410+Sens!J8411+Sens!J8413+Sens!J8415</f>
        <v>555.753398697928</v>
      </c>
      <c r="K8417" s="6" t="n">
        <f aca="false">Sens!K8405+Sens!K8410+Sens!K8411+Sens!K8413+Sens!K8415</f>
        <v>595.119543286011</v>
      </c>
    </row>
    <row r="8418" customFormat="false" ht="17.15" hidden="false" customHeight="false" outlineLevel="0" collapsed="false">
      <c r="A8418" s="0" t="s">
        <v>1041</v>
      </c>
      <c r="B8418" s="0" t="s">
        <v>98</v>
      </c>
      <c r="D8418" s="6" t="n">
        <f aca="false">Q!L13</f>
        <v>22.171</v>
      </c>
      <c r="E8418" s="6" t="n">
        <f aca="false">Q!M13</f>
        <v>24.835</v>
      </c>
      <c r="F8418" s="6" t="n">
        <f aca="false">Q!$I$13+(Q!M13-Q!$E$13)*(1+Sens!F8419)</f>
        <v>27.5591895660247</v>
      </c>
      <c r="G8418" s="6" t="n">
        <f aca="false">Sens!F8418*(1+Sens!G8419)</f>
        <v>30.4098563144583</v>
      </c>
      <c r="H8418" s="6" t="n">
        <f aca="false">Sens!G8418*(1+Sens!H8419)</f>
        <v>33.3011792571777</v>
      </c>
      <c r="I8418" s="6" t="n">
        <f aca="false">Sens!H8418*(1+Sens!I8419)</f>
        <v>36.189023797112</v>
      </c>
      <c r="J8418" s="6" t="n">
        <f aca="false">Sens!I8418*(1+Sens!J8419)</f>
        <v>39.0247773769199</v>
      </c>
      <c r="K8418" s="6" t="n">
        <f aca="false">Sens!J8418*(1+Sens!K8419)</f>
        <v>41.7565117933043</v>
      </c>
      <c r="L8418" s="12" t="s">
        <v>1038</v>
      </c>
    </row>
    <row r="8419" customFormat="false" ht="15" hidden="false" customHeight="false" outlineLevel="0" collapsed="false">
      <c r="A8419" s="1" t="s">
        <v>1028</v>
      </c>
      <c r="B8419" s="0" t="s">
        <v>168</v>
      </c>
      <c r="E8419" s="7" t="n">
        <f aca="false">Sens!E8418/Sens!D8418-1</f>
        <v>0.120156961796942</v>
      </c>
      <c r="F8419" s="7" t="n">
        <f aca="false">Sens!$E$8419+(glt_srch-Sens!$E$8419)*MIN(1,(Sens!F8361-base_fy)/n_conv)</f>
        <v>0.111797468164118</v>
      </c>
      <c r="G8419" s="7" t="n">
        <f aca="false">Sens!$E$8419+(glt_srch-Sens!$E$8419)*MIN(1,(Sens!G8361-base_fy)/n_conv)</f>
        <v>0.103437974531295</v>
      </c>
      <c r="H8419" s="7" t="n">
        <f aca="false">Sens!$E$8419+(glt_srch-Sens!$E$8419)*MIN(1,(Sens!H8361-base_fy)/n_conv)</f>
        <v>0.095078480898471</v>
      </c>
      <c r="I8419" s="7" t="n">
        <f aca="false">Sens!$E$8419+(glt_srch-Sens!$E$8419)*MIN(1,(Sens!I8361-base_fy)/n_conv)</f>
        <v>0.0867189872656474</v>
      </c>
      <c r="J8419" s="7" t="n">
        <f aca="false">Sens!$E$8419+(glt_srch-Sens!$E$8419)*MIN(1,(Sens!J8361-base_fy)/n_conv)</f>
        <v>0.0783594936328237</v>
      </c>
      <c r="K8419" s="7" t="n">
        <f aca="false">Sens!$E$8419+(glt_srch-Sens!$E$8419)*MIN(1,(Sens!K8361-base_fy)/n_conv)</f>
        <v>0.07</v>
      </c>
    </row>
    <row r="8420" customFormat="false" ht="17.15" hidden="false" customHeight="false" outlineLevel="0" collapsed="false">
      <c r="A8420" s="0" t="s">
        <v>1042</v>
      </c>
      <c r="B8420" s="0" t="s">
        <v>98</v>
      </c>
      <c r="D8420" s="6" t="n">
        <f aca="false">Q!L14</f>
        <v>23.455</v>
      </c>
      <c r="E8420" s="6" t="n">
        <f aca="false">Q!M14</f>
        <v>21.79</v>
      </c>
      <c r="F8420" s="6" t="n">
        <f aca="false">Q!$I$14+(Q!M14-Q!$E$14)*(1+Sens!F8421)</f>
        <v>20.7520981041711</v>
      </c>
      <c r="G8420" s="6" t="n">
        <f aca="false">Sens!F8420*(1+Sens!G8421)</f>
        <v>19.9083593495882</v>
      </c>
      <c r="H8420" s="6" t="n">
        <f aca="false">Sens!G8420*(1+Sens!H8421)</f>
        <v>19.4008256265831</v>
      </c>
      <c r="I8420" s="6" t="n">
        <f aca="false">Sens!H8420*(1+Sens!I8421)</f>
        <v>19.200434522122</v>
      </c>
      <c r="J8420" s="6" t="n">
        <f aca="false">Sens!I8420*(1+Sens!J8421)</f>
        <v>19.2932782348507</v>
      </c>
      <c r="K8420" s="6" t="n">
        <f aca="false">Sens!J8420*(1+Sens!K8421)</f>
        <v>19.6791437995477</v>
      </c>
      <c r="L8420" s="12" t="s">
        <v>1038</v>
      </c>
    </row>
    <row r="8421" customFormat="false" ht="15" hidden="false" customHeight="false" outlineLevel="0" collapsed="false">
      <c r="A8421" s="1" t="s">
        <v>1028</v>
      </c>
      <c r="B8421" s="0" t="s">
        <v>168</v>
      </c>
      <c r="E8421" s="7" t="n">
        <f aca="false">Sens!E8420/Sens!D8420-1</f>
        <v>-0.0709869963760392</v>
      </c>
      <c r="F8421" s="7" t="n">
        <f aca="false">Sens!$E$8421+(glt_xbox-Sens!$E$8421)*MIN(1,(Sens!F8361-base_fy)/n_conv)</f>
        <v>-0.0558224969800327</v>
      </c>
      <c r="G8421" s="7" t="n">
        <f aca="false">Sens!$E$8421+(glt_xbox-Sens!$E$8421)*MIN(1,(Sens!G8361-base_fy)/n_conv)</f>
        <v>-0.0406579975840262</v>
      </c>
      <c r="H8421" s="7" t="n">
        <f aca="false">Sens!$E$8421+(glt_xbox-Sens!$E$8421)*MIN(1,(Sens!H8361-base_fy)/n_conv)</f>
        <v>-0.0254934981880196</v>
      </c>
      <c r="I8421" s="7" t="n">
        <f aca="false">Sens!$E$8421+(glt_xbox-Sens!$E$8421)*MIN(1,(Sens!I8361-base_fy)/n_conv)</f>
        <v>-0.0103289987920131</v>
      </c>
      <c r="J8421" s="7" t="n">
        <f aca="false">Sens!$E$8421+(glt_xbox-Sens!$E$8421)*MIN(1,(Sens!J8361-base_fy)/n_conv)</f>
        <v>0.00483550060399347</v>
      </c>
      <c r="K8421" s="7" t="n">
        <f aca="false">Sens!$E$8421+(glt_xbox-Sens!$E$8421)*MIN(1,(Sens!K8361-base_fy)/n_conv)</f>
        <v>0.02</v>
      </c>
    </row>
    <row r="8422" customFormat="false" ht="17.15" hidden="false" customHeight="false" outlineLevel="0" collapsed="false">
      <c r="A8422" s="0" t="s">
        <v>1043</v>
      </c>
      <c r="B8422" s="0" t="s">
        <v>98</v>
      </c>
      <c r="D8422" s="6" t="n">
        <f aca="false">Q!L15</f>
        <v>17.315</v>
      </c>
      <c r="E8422" s="6" t="n">
        <f aca="false">Q!M15</f>
        <v>17.087</v>
      </c>
      <c r="F8422" s="6" t="n">
        <f aca="false">Q!$I$15+(Q!M15-Q!$E$15)*(1+Sens!F8423)</f>
        <v>15.9912273250553</v>
      </c>
      <c r="G8422" s="6" t="n">
        <f aca="false">Sens!F8422*(1+Sens!G8423)</f>
        <v>15.9574562664827</v>
      </c>
      <c r="H8422" s="6" t="n">
        <f aca="false">Sens!G8422*(1+Sens!H8423)</f>
        <v>16.0119687434196</v>
      </c>
      <c r="I8422" s="6" t="n">
        <f aca="false">Sens!H8422*(1+Sens!I8423)</f>
        <v>16.1551810001948</v>
      </c>
      <c r="J8422" s="6" t="n">
        <f aca="false">Sens!I8422*(1+Sens!J8423)</f>
        <v>16.3889793892005</v>
      </c>
      <c r="K8422" s="6" t="n">
        <f aca="false">Sens!J8422*(1+Sens!K8423)</f>
        <v>16.7167589769845</v>
      </c>
      <c r="L8422" s="12" t="s">
        <v>1038</v>
      </c>
    </row>
    <row r="8423" customFormat="false" ht="15" hidden="false" customHeight="false" outlineLevel="0" collapsed="false">
      <c r="A8423" s="1" t="s">
        <v>1028</v>
      </c>
      <c r="B8423" s="0" t="s">
        <v>168</v>
      </c>
      <c r="E8423" s="7" t="n">
        <f aca="false">Sens!E8422/Sens!D8422-1</f>
        <v>-0.0131677736066995</v>
      </c>
      <c r="F8423" s="7" t="n">
        <f aca="false">Sens!$E$8423+(glt_win-Sens!$E$8423)*MIN(1,(Sens!F8361-base_fy)/n_conv)</f>
        <v>-0.00763981133891627</v>
      </c>
      <c r="G8423" s="7" t="n">
        <f aca="false">Sens!$E$8423+(glt_win-Sens!$E$8423)*MIN(1,(Sens!G8361-base_fy)/n_conv)</f>
        <v>-0.00211184907113301</v>
      </c>
      <c r="H8423" s="7" t="n">
        <f aca="false">Sens!$E$8423+(glt_win-Sens!$E$8423)*MIN(1,(Sens!H8361-base_fy)/n_conv)</f>
        <v>0.00341611319665024</v>
      </c>
      <c r="I8423" s="7" t="n">
        <f aca="false">Sens!$E$8423+(glt_win-Sens!$E$8423)*MIN(1,(Sens!I8361-base_fy)/n_conv)</f>
        <v>0.00894407546443349</v>
      </c>
      <c r="J8423" s="7" t="n">
        <f aca="false">Sens!$E$8423+(glt_win-Sens!$E$8423)*MIN(1,(Sens!J8361-base_fy)/n_conv)</f>
        <v>0.0144720377322168</v>
      </c>
      <c r="K8423" s="7" t="n">
        <f aca="false">Sens!$E$8423+(glt_win-Sens!$E$8423)*MIN(1,(Sens!K8361-base_fy)/n_conv)</f>
        <v>0.02</v>
      </c>
    </row>
    <row r="8424" customFormat="false" ht="15" hidden="false" customHeight="false" outlineLevel="0" collapsed="false">
      <c r="A8424" s="0" t="s">
        <v>870</v>
      </c>
      <c r="B8424" s="0" t="s">
        <v>98</v>
      </c>
      <c r="D8424" s="6" t="n">
        <f aca="false">Sens!D8418+Sens!D8420+Sens!D8422</f>
        <v>62.941</v>
      </c>
      <c r="E8424" s="6" t="n">
        <f aca="false">Sens!E8418+Sens!E8420+Sens!E8422</f>
        <v>63.712</v>
      </c>
      <c r="F8424" s="6" t="n">
        <f aca="false">Sens!F8418+Sens!F8420+Sens!F8422</f>
        <v>64.3025149952511</v>
      </c>
      <c r="G8424" s="6" t="n">
        <f aca="false">Sens!G8418+Sens!G8420+Sens!G8422</f>
        <v>66.2756719305292</v>
      </c>
      <c r="H8424" s="6" t="n">
        <f aca="false">Sens!H8418+Sens!H8420+Sens!H8422</f>
        <v>68.7139736271804</v>
      </c>
      <c r="I8424" s="6" t="n">
        <f aca="false">Sens!I8418+Sens!I8420+Sens!I8422</f>
        <v>71.5446393194289</v>
      </c>
      <c r="J8424" s="6" t="n">
        <f aca="false">Sens!J8418+Sens!J8420+Sens!J8422</f>
        <v>74.707035000971</v>
      </c>
      <c r="K8424" s="6" t="n">
        <f aca="false">Sens!K8418+Sens!K8420+Sens!K8422</f>
        <v>78.1524145698365</v>
      </c>
    </row>
    <row r="8425" customFormat="false" ht="15" hidden="false" customHeight="false" outlineLevel="0" collapsed="false">
      <c r="A8425" s="1" t="s">
        <v>1044</v>
      </c>
      <c r="B8425" s="0" t="s">
        <v>98</v>
      </c>
      <c r="D8425" s="6" t="n">
        <f aca="false">Sens!D8417+Sens!D8424</f>
        <v>281.724</v>
      </c>
      <c r="E8425" s="6" t="n">
        <f aca="false">Sens!E8417+Sens!E8424</f>
        <v>331.839</v>
      </c>
      <c r="F8425" s="6" t="n">
        <f aca="false">Sens!F8417+Sens!F8424</f>
        <v>392.202324019509</v>
      </c>
      <c r="G8425" s="6" t="n">
        <f aca="false">Sens!G8417+Sens!G8424</f>
        <v>455.92591423668</v>
      </c>
      <c r="H8425" s="6" t="n">
        <f aca="false">Sens!H8417+Sens!H8424</f>
        <v>515.491213799721</v>
      </c>
      <c r="I8425" s="6" t="n">
        <f aca="false">Sens!I8417+Sens!I8424</f>
        <v>577.918078811258</v>
      </c>
      <c r="J8425" s="6" t="n">
        <f aca="false">Sens!J8417+Sens!J8424</f>
        <v>630.460433698899</v>
      </c>
      <c r="K8425" s="6" t="n">
        <f aca="false">Sens!K8417+Sens!K8424</f>
        <v>673.271957855848</v>
      </c>
    </row>
    <row r="8426" customFormat="false" ht="15" hidden="false" customHeight="false" outlineLevel="0" collapsed="false">
      <c r="A8426" s="26" t="s">
        <v>1045</v>
      </c>
      <c r="B8426" s="31" t="s">
        <v>98</v>
      </c>
      <c r="C8426" s="31"/>
      <c r="D8426" s="27" t="n">
        <f aca="false">(Sens!D8405+Sens!D8410+Sens!D8411+Sens!D8413+Sens!D8415-Sens!D8417)+(Sens!D8418+Sens!D8420+Sens!D8422-Sens!D8424)+(Sens!D8417-Q!L5)+(Sens!D8424-Q!L12)+(Sens!D8405-Q!L6)+(Sens!D8410-Q!L7)</f>
        <v>0</v>
      </c>
      <c r="E8426" s="27" t="n">
        <f aca="false">(Sens!E8405+Sens!E8410+Sens!E8411+Sens!E8413+Sens!E8415-Sens!E8417)+(Sens!E8418+Sens!E8420+Sens!E8422-Sens!E8424)+(Sens!E8417-Q!M5)+(Sens!E8424-Q!M12)+(Sens!E8405-Q!M6)+(Sens!E8410-Q!M7)</f>
        <v>0</v>
      </c>
      <c r="F8426" s="27" t="n">
        <f aca="false">(Sens!F8405+Sens!F8410+Sens!F8411+Sens!F8413+Sens!F8415-Sens!F8417)+(Sens!F8418+Sens!F8420+Sens!F8422-Sens!F8424)</f>
        <v>0</v>
      </c>
      <c r="G8426" s="27" t="n">
        <f aca="false">(Sens!G8405+Sens!G8410+Sens!G8411+Sens!G8413+Sens!G8415-Sens!G8417)+(Sens!G8418+Sens!G8420+Sens!G8422-Sens!G8424)</f>
        <v>0</v>
      </c>
      <c r="H8426" s="27" t="n">
        <f aca="false">(Sens!H8405+Sens!H8410+Sens!H8411+Sens!H8413+Sens!H8415-Sens!H8417)+(Sens!H8418+Sens!H8420+Sens!H8422-Sens!H8424)</f>
        <v>0</v>
      </c>
      <c r="I8426" s="27" t="n">
        <f aca="false">(Sens!I8405+Sens!I8410+Sens!I8411+Sens!I8413+Sens!I8415-Sens!I8417)+(Sens!I8418+Sens!I8420+Sens!I8422-Sens!I8424)</f>
        <v>0</v>
      </c>
      <c r="J8426" s="27" t="n">
        <f aca="false">(Sens!J8405+Sens!J8410+Sens!J8411+Sens!J8413+Sens!J8415-Sens!J8417)+(Sens!J8418+Sens!J8420+Sens!J8422-Sens!J8424)</f>
        <v>0</v>
      </c>
      <c r="K8426" s="27" t="n">
        <f aca="false">(Sens!K8405+Sens!K8410+Sens!K8411+Sens!K8413+Sens!K8415-Sens!K8417)+(Sens!K8418+Sens!K8420+Sens!K8422-Sens!K8424)</f>
        <v>0</v>
      </c>
    </row>
    <row r="8427" customFormat="false" ht="17.15" hidden="false" customHeight="false" outlineLevel="0" collapsed="false">
      <c r="A8427" s="3" t="s">
        <v>1822</v>
      </c>
    </row>
    <row r="8428" customFormat="false" ht="15" hidden="false" customHeight="false" outlineLevel="0" collapsed="false">
      <c r="A8428" s="4" t="s">
        <v>43</v>
      </c>
      <c r="B8428" s="4" t="s">
        <v>65</v>
      </c>
      <c r="C8428" s="23" t="s">
        <v>942</v>
      </c>
      <c r="D8428" s="23" t="s">
        <v>943</v>
      </c>
      <c r="E8428" s="23" t="s">
        <v>944</v>
      </c>
      <c r="F8428" s="23" t="s">
        <v>945</v>
      </c>
      <c r="G8428" s="23" t="s">
        <v>946</v>
      </c>
      <c r="H8428" s="23" t="s">
        <v>947</v>
      </c>
      <c r="I8428" s="23" t="s">
        <v>948</v>
      </c>
      <c r="J8428" s="23" t="s">
        <v>949</v>
      </c>
      <c r="K8428" s="23" t="s">
        <v>950</v>
      </c>
      <c r="L8428" s="4" t="s">
        <v>47</v>
      </c>
    </row>
    <row r="8429" customFormat="false" ht="15" hidden="false" customHeight="false" outlineLevel="0" collapsed="false">
      <c r="A8429" s="0" t="s">
        <v>1029</v>
      </c>
      <c r="B8429" s="0" t="s">
        <v>98</v>
      </c>
      <c r="D8429" s="6" t="n">
        <f aca="false">Sens!D8405</f>
        <v>72.61</v>
      </c>
      <c r="E8429" s="6" t="n">
        <f aca="false">Sens!E8405</f>
        <v>101.938</v>
      </c>
      <c r="F8429" s="6" t="n">
        <f aca="false">Sens!F8405</f>
        <v>143.251883553698</v>
      </c>
      <c r="G8429" s="6" t="n">
        <f aca="false">Sens!G8405</f>
        <v>186.322520879442</v>
      </c>
      <c r="H8429" s="6" t="n">
        <f aca="false">Sens!H8405</f>
        <v>224.74279426379</v>
      </c>
      <c r="I8429" s="6" t="n">
        <f aca="false">Sens!I8405</f>
        <v>266.443497823359</v>
      </c>
      <c r="J8429" s="6" t="n">
        <f aca="false">Sens!J8405</f>
        <v>299.06102493502</v>
      </c>
      <c r="K8429" s="6" t="n">
        <f aca="false">Sens!K8405</f>
        <v>322.592740225023</v>
      </c>
    </row>
    <row r="8430" customFormat="false" ht="17.15" hidden="false" customHeight="false" outlineLevel="0" collapsed="false">
      <c r="A8430" s="0" t="s">
        <v>1025</v>
      </c>
      <c r="B8430" s="0" t="s">
        <v>98</v>
      </c>
      <c r="D8430" s="6" t="n">
        <f aca="false">Sens!D8402</f>
        <v>12.9359794422418</v>
      </c>
      <c r="E8430" s="6" t="n">
        <f aca="false">Sens!E8402</f>
        <v>27.8095064661409</v>
      </c>
      <c r="F8430" s="6" t="n">
        <f aca="false">Sens!F8402</f>
        <v>50.9819294352312</v>
      </c>
      <c r="G8430" s="6" t="n">
        <f aca="false">Sens!G8402</f>
        <v>76.6920436014933</v>
      </c>
      <c r="H8430" s="6" t="n">
        <f aca="false">Sens!H8402</f>
        <v>97.4495379418341</v>
      </c>
      <c r="I8430" s="6" t="n">
        <f aca="false">Sens!I8402</f>
        <v>122.083445553868</v>
      </c>
      <c r="J8430" s="6" t="n">
        <f aca="false">Sens!J8402</f>
        <v>139.249060444804</v>
      </c>
      <c r="K8430" s="6" t="n">
        <f aca="false">Sens!K8402</f>
        <v>149.995818575589</v>
      </c>
    </row>
    <row r="8431" customFormat="false" ht="17.15" hidden="false" customHeight="false" outlineLevel="0" collapsed="false">
      <c r="A8431" s="0" t="s">
        <v>1056</v>
      </c>
      <c r="B8431" s="0" t="s">
        <v>98</v>
      </c>
      <c r="D8431" s="6" t="n">
        <f aca="false">Sens!D8403</f>
        <v>59.6740205577583</v>
      </c>
      <c r="E8431" s="6" t="n">
        <f aca="false">Sens!E8403</f>
        <v>74.1284935338591</v>
      </c>
      <c r="F8431" s="6" t="n">
        <f aca="false">Sens!F8403</f>
        <v>92.2699541184664</v>
      </c>
      <c r="G8431" s="6" t="n">
        <f aca="false">Sens!G8403</f>
        <v>109.630477277949</v>
      </c>
      <c r="H8431" s="6" t="n">
        <f aca="false">Sens!H8403</f>
        <v>127.293256321956</v>
      </c>
      <c r="I8431" s="6" t="n">
        <f aca="false">Sens!I8403</f>
        <v>144.360052269491</v>
      </c>
      <c r="J8431" s="6" t="n">
        <f aca="false">Sens!J8403</f>
        <v>159.811964490216</v>
      </c>
      <c r="K8431" s="6" t="n">
        <f aca="false">Sens!K8403</f>
        <v>172.596921649434</v>
      </c>
    </row>
    <row r="8432" customFormat="false" ht="15" hidden="false" customHeight="false" outlineLevel="0" collapsed="false">
      <c r="A8432" s="0" t="s">
        <v>1036</v>
      </c>
      <c r="B8432" s="0" t="s">
        <v>98</v>
      </c>
      <c r="D8432" s="6" t="n">
        <f aca="false">Sens!D8410</f>
        <v>84.605</v>
      </c>
      <c r="E8432" s="6" t="n">
        <f aca="false">Sens!E8410</f>
        <v>100.299</v>
      </c>
      <c r="F8432" s="6" t="n">
        <f aca="false">Sens!F8410</f>
        <v>115.192881154152</v>
      </c>
      <c r="G8432" s="6" t="n">
        <f aca="false">Sens!G8410</f>
        <v>129.5888428841</v>
      </c>
      <c r="H8432" s="6" t="n">
        <f aca="false">Sens!H8410</f>
        <v>144.066778839122</v>
      </c>
      <c r="I8432" s="6" t="n">
        <f aca="false">Sens!I8410</f>
        <v>157.82696968528</v>
      </c>
      <c r="J8432" s="6" t="n">
        <f aca="false">Sens!J8410</f>
        <v>170.585993824095</v>
      </c>
      <c r="K8432" s="6" t="n">
        <f aca="false">Sens!K8410</f>
        <v>182.586413391782</v>
      </c>
    </row>
    <row r="8433" customFormat="false" ht="17.15" hidden="false" customHeight="false" outlineLevel="0" collapsed="false">
      <c r="A8433" s="0" t="s">
        <v>1057</v>
      </c>
      <c r="B8433" s="0" t="s">
        <v>98</v>
      </c>
      <c r="D8433" s="6" t="n">
        <f aca="false">Sens!D8408</f>
        <v>83.705</v>
      </c>
      <c r="E8433" s="6" t="n">
        <f aca="false">Sens!E8408</f>
        <v>95.049</v>
      </c>
      <c r="F8433" s="6" t="n">
        <f aca="false">Sens!F8408</f>
        <v>107.632881154152</v>
      </c>
      <c r="G8433" s="6" t="n">
        <f aca="false">Sens!G8408</f>
        <v>119.8688428841</v>
      </c>
      <c r="H8433" s="6" t="n">
        <f aca="false">Sens!H8408</f>
        <v>132.186778839122</v>
      </c>
      <c r="I8433" s="6" t="n">
        <f aca="false">Sens!I8408</f>
        <v>144.32696968528</v>
      </c>
      <c r="J8433" s="6" t="n">
        <f aca="false">Sens!J8408</f>
        <v>156.005993824095</v>
      </c>
      <c r="K8433" s="6" t="n">
        <f aca="false">Sens!K8408</f>
        <v>166.926413391782</v>
      </c>
    </row>
    <row r="8434" customFormat="false" ht="17.15" hidden="false" customHeight="false" outlineLevel="0" collapsed="false">
      <c r="A8434" s="0" t="s">
        <v>1058</v>
      </c>
      <c r="B8434" s="0" t="s">
        <v>98</v>
      </c>
      <c r="D8434" s="6" t="n">
        <f aca="false">Sens!D8407</f>
        <v>0.9</v>
      </c>
      <c r="E8434" s="6" t="n">
        <f aca="false">Sens!E8407</f>
        <v>5.25</v>
      </c>
      <c r="F8434" s="6" t="n">
        <f aca="false">Sens!F8407</f>
        <v>7.56</v>
      </c>
      <c r="G8434" s="6" t="n">
        <f aca="false">Sens!G8407</f>
        <v>9.72</v>
      </c>
      <c r="H8434" s="6" t="n">
        <f aca="false">Sens!H8407</f>
        <v>11.88</v>
      </c>
      <c r="I8434" s="6" t="n">
        <f aca="false">Sens!I8407</f>
        <v>13.5</v>
      </c>
      <c r="J8434" s="6" t="n">
        <f aca="false">Sens!J8407</f>
        <v>14.58</v>
      </c>
      <c r="K8434" s="6" t="n">
        <f aca="false">Sens!K8407</f>
        <v>15.66</v>
      </c>
    </row>
    <row r="8435" customFormat="false" ht="15" hidden="false" customHeight="false" outlineLevel="0" collapsed="false">
      <c r="A8435" s="0" t="s">
        <v>1037</v>
      </c>
      <c r="B8435" s="0" t="s">
        <v>98</v>
      </c>
      <c r="D8435" s="6" t="n">
        <f aca="false">Sens!D8411</f>
        <v>35.391</v>
      </c>
      <c r="E8435" s="6" t="n">
        <f aca="false">Sens!E8411</f>
        <v>37.285</v>
      </c>
      <c r="F8435" s="6" t="n">
        <f aca="false">Sens!F8411</f>
        <v>38.3851437782675</v>
      </c>
      <c r="G8435" s="6" t="n">
        <f aca="false">Sens!G8411</f>
        <v>40.0105353288615</v>
      </c>
      <c r="H8435" s="6" t="n">
        <f aca="false">Sens!H8411</f>
        <v>41.4812512033683</v>
      </c>
      <c r="I8435" s="6" t="n">
        <f aca="false">Sens!I8411</f>
        <v>42.7743107216329</v>
      </c>
      <c r="J8435" s="6" t="n">
        <f aca="false">Sens!J8411</f>
        <v>43.8687373064601</v>
      </c>
      <c r="K8435" s="6" t="n">
        <f aca="false">Sens!K8411</f>
        <v>44.7461120525893</v>
      </c>
    </row>
    <row r="8436" customFormat="false" ht="15" hidden="false" customHeight="false" outlineLevel="0" collapsed="false">
      <c r="A8436" s="0" t="s">
        <v>1039</v>
      </c>
      <c r="B8436" s="0" t="s">
        <v>98</v>
      </c>
      <c r="D8436" s="6" t="n">
        <f aca="false">Sens!D8413</f>
        <v>18.417</v>
      </c>
      <c r="E8436" s="6" t="n">
        <f aca="false">Sens!E8413</f>
        <v>20.345</v>
      </c>
      <c r="F8436" s="6" t="n">
        <f aca="false">Sens!F8413</f>
        <v>22.3161797133988</v>
      </c>
      <c r="G8436" s="6" t="n">
        <f aca="false">Sens!G8413</f>
        <v>24.3943499673233</v>
      </c>
      <c r="H8436" s="6" t="n">
        <f aca="false">Sens!H8413</f>
        <v>26.5250243109019</v>
      </c>
      <c r="I8436" s="6" t="n">
        <f aca="false">Sens!I8413</f>
        <v>28.6884573538181</v>
      </c>
      <c r="J8436" s="6" t="n">
        <f aca="false">Sens!J8413</f>
        <v>30.8624968052127</v>
      </c>
      <c r="K8436" s="6" t="n">
        <f aca="false">Sens!K8413</f>
        <v>33.0228715815776</v>
      </c>
    </row>
    <row r="8437" customFormat="false" ht="15" hidden="false" customHeight="false" outlineLevel="0" collapsed="false">
      <c r="A8437" s="0" t="s">
        <v>1040</v>
      </c>
      <c r="B8437" s="0" t="s">
        <v>98</v>
      </c>
      <c r="D8437" s="6" t="n">
        <f aca="false">Sens!D8415</f>
        <v>7.76</v>
      </c>
      <c r="E8437" s="6" t="n">
        <f aca="false">Sens!E8415</f>
        <v>8.26</v>
      </c>
      <c r="F8437" s="6" t="n">
        <f aca="false">Sens!F8415</f>
        <v>8.75372082474227</v>
      </c>
      <c r="G8437" s="6" t="n">
        <f aca="false">Sens!G8415</f>
        <v>9.33399324642364</v>
      </c>
      <c r="H8437" s="6" t="n">
        <f aca="false">Sens!H8415</f>
        <v>9.96139155535851</v>
      </c>
      <c r="I8437" s="6" t="n">
        <f aca="false">Sens!I8415</f>
        <v>10.6402039077391</v>
      </c>
      <c r="J8437" s="6" t="n">
        <f aca="false">Sens!J8415</f>
        <v>11.3751458271397</v>
      </c>
      <c r="K8437" s="6" t="n">
        <f aca="false">Sens!K8415</f>
        <v>12.1714060350394</v>
      </c>
    </row>
    <row r="8438" customFormat="false" ht="15" hidden="false" customHeight="false" outlineLevel="0" collapsed="false">
      <c r="A8438" s="0" t="s">
        <v>856</v>
      </c>
      <c r="B8438" s="0" t="s">
        <v>98</v>
      </c>
      <c r="D8438" s="6" t="n">
        <f aca="false">Sens!D8417</f>
        <v>218.783</v>
      </c>
      <c r="E8438" s="6" t="n">
        <f aca="false">Sens!E8417</f>
        <v>268.127</v>
      </c>
      <c r="F8438" s="6" t="n">
        <f aca="false">Sens!F8417</f>
        <v>327.899809024258</v>
      </c>
      <c r="G8438" s="6" t="n">
        <f aca="false">Sens!G8417</f>
        <v>389.650242306151</v>
      </c>
      <c r="H8438" s="6" t="n">
        <f aca="false">Sens!H8417</f>
        <v>446.777240172541</v>
      </c>
      <c r="I8438" s="6" t="n">
        <f aca="false">Sens!I8417</f>
        <v>506.373439491829</v>
      </c>
      <c r="J8438" s="6" t="n">
        <f aca="false">Sens!J8417</f>
        <v>555.753398697928</v>
      </c>
      <c r="K8438" s="6" t="n">
        <f aca="false">Sens!K8417</f>
        <v>595.119543286011</v>
      </c>
    </row>
    <row r="8439" customFormat="false" ht="15" hidden="false" customHeight="false" outlineLevel="0" collapsed="false">
      <c r="A8439" s="0" t="s">
        <v>1041</v>
      </c>
      <c r="B8439" s="0" t="s">
        <v>98</v>
      </c>
      <c r="D8439" s="6" t="n">
        <f aca="false">Sens!D8418</f>
        <v>22.171</v>
      </c>
      <c r="E8439" s="6" t="n">
        <f aca="false">Sens!E8418</f>
        <v>24.835</v>
      </c>
      <c r="F8439" s="6" t="n">
        <f aca="false">Sens!F8418</f>
        <v>27.5591895660247</v>
      </c>
      <c r="G8439" s="6" t="n">
        <f aca="false">Sens!G8418</f>
        <v>30.4098563144583</v>
      </c>
      <c r="H8439" s="6" t="n">
        <f aca="false">Sens!H8418</f>
        <v>33.3011792571777</v>
      </c>
      <c r="I8439" s="6" t="n">
        <f aca="false">Sens!I8418</f>
        <v>36.189023797112</v>
      </c>
      <c r="J8439" s="6" t="n">
        <f aca="false">Sens!J8418</f>
        <v>39.0247773769199</v>
      </c>
      <c r="K8439" s="6" t="n">
        <f aca="false">Sens!K8418</f>
        <v>41.7565117933043</v>
      </c>
    </row>
    <row r="8440" customFormat="false" ht="15" hidden="false" customHeight="false" outlineLevel="0" collapsed="false">
      <c r="A8440" s="0" t="s">
        <v>1042</v>
      </c>
      <c r="B8440" s="0" t="s">
        <v>98</v>
      </c>
      <c r="D8440" s="6" t="n">
        <f aca="false">Sens!D8420</f>
        <v>23.455</v>
      </c>
      <c r="E8440" s="6" t="n">
        <f aca="false">Sens!E8420</f>
        <v>21.79</v>
      </c>
      <c r="F8440" s="6" t="n">
        <f aca="false">Sens!F8420</f>
        <v>20.7520981041711</v>
      </c>
      <c r="G8440" s="6" t="n">
        <f aca="false">Sens!G8420</f>
        <v>19.9083593495882</v>
      </c>
      <c r="H8440" s="6" t="n">
        <f aca="false">Sens!H8420</f>
        <v>19.4008256265831</v>
      </c>
      <c r="I8440" s="6" t="n">
        <f aca="false">Sens!I8420</f>
        <v>19.200434522122</v>
      </c>
      <c r="J8440" s="6" t="n">
        <f aca="false">Sens!J8420</f>
        <v>19.2932782348507</v>
      </c>
      <c r="K8440" s="6" t="n">
        <f aca="false">Sens!K8420</f>
        <v>19.6791437995477</v>
      </c>
    </row>
    <row r="8441" customFormat="false" ht="15" hidden="false" customHeight="false" outlineLevel="0" collapsed="false">
      <c r="A8441" s="0" t="s">
        <v>1043</v>
      </c>
      <c r="B8441" s="0" t="s">
        <v>98</v>
      </c>
      <c r="D8441" s="6" t="n">
        <f aca="false">Sens!D8422</f>
        <v>17.315</v>
      </c>
      <c r="E8441" s="6" t="n">
        <f aca="false">Sens!E8422</f>
        <v>17.087</v>
      </c>
      <c r="F8441" s="6" t="n">
        <f aca="false">Sens!F8422</f>
        <v>15.9912273250553</v>
      </c>
      <c r="G8441" s="6" t="n">
        <f aca="false">Sens!G8422</f>
        <v>15.9574562664827</v>
      </c>
      <c r="H8441" s="6" t="n">
        <f aca="false">Sens!H8422</f>
        <v>16.0119687434196</v>
      </c>
      <c r="I8441" s="6" t="n">
        <f aca="false">Sens!I8422</f>
        <v>16.1551810001948</v>
      </c>
      <c r="J8441" s="6" t="n">
        <f aca="false">Sens!J8422</f>
        <v>16.3889793892005</v>
      </c>
      <c r="K8441" s="6" t="n">
        <f aca="false">Sens!K8422</f>
        <v>16.7167589769845</v>
      </c>
    </row>
    <row r="8442" customFormat="false" ht="15" hidden="false" customHeight="false" outlineLevel="0" collapsed="false">
      <c r="A8442" s="0" t="s">
        <v>870</v>
      </c>
      <c r="B8442" s="0" t="s">
        <v>98</v>
      </c>
      <c r="D8442" s="6" t="n">
        <f aca="false">Sens!D8424</f>
        <v>62.941</v>
      </c>
      <c r="E8442" s="6" t="n">
        <f aca="false">Sens!E8424</f>
        <v>63.712</v>
      </c>
      <c r="F8442" s="6" t="n">
        <f aca="false">Sens!F8424</f>
        <v>64.3025149952511</v>
      </c>
      <c r="G8442" s="6" t="n">
        <f aca="false">Sens!G8424</f>
        <v>66.2756719305292</v>
      </c>
      <c r="H8442" s="6" t="n">
        <f aca="false">Sens!H8424</f>
        <v>68.7139736271804</v>
      </c>
      <c r="I8442" s="6" t="n">
        <f aca="false">Sens!I8424</f>
        <v>71.5446393194289</v>
      </c>
      <c r="J8442" s="6" t="n">
        <f aca="false">Sens!J8424</f>
        <v>74.707035000971</v>
      </c>
      <c r="K8442" s="6" t="n">
        <f aca="false">Sens!K8424</f>
        <v>78.1524145698365</v>
      </c>
    </row>
    <row r="8443" customFormat="false" ht="15" hidden="false" customHeight="false" outlineLevel="0" collapsed="false">
      <c r="A8443" s="1" t="s">
        <v>1059</v>
      </c>
      <c r="B8443" s="0" t="s">
        <v>98</v>
      </c>
      <c r="D8443" s="6" t="n">
        <f aca="false">Sens!D8425</f>
        <v>281.724</v>
      </c>
      <c r="E8443" s="6" t="n">
        <f aca="false">Sens!E8425</f>
        <v>331.839</v>
      </c>
      <c r="F8443" s="6" t="n">
        <f aca="false">Sens!F8425</f>
        <v>392.202324019509</v>
      </c>
      <c r="G8443" s="6" t="n">
        <f aca="false">Sens!G8425</f>
        <v>455.92591423668</v>
      </c>
      <c r="H8443" s="6" t="n">
        <f aca="false">Sens!H8425</f>
        <v>515.491213799721</v>
      </c>
      <c r="I8443" s="6" t="n">
        <f aca="false">Sens!I8425</f>
        <v>577.918078811258</v>
      </c>
      <c r="J8443" s="6" t="n">
        <f aca="false">Sens!J8425</f>
        <v>630.460433698899</v>
      </c>
      <c r="K8443" s="6" t="n">
        <f aca="false">Sens!K8425</f>
        <v>673.271957855848</v>
      </c>
    </row>
    <row r="8444" customFormat="false" ht="15" hidden="false" customHeight="false" outlineLevel="0" collapsed="false">
      <c r="A8444" s="1" t="s">
        <v>1060</v>
      </c>
      <c r="B8444" s="0" t="s">
        <v>168</v>
      </c>
      <c r="E8444" s="7" t="n">
        <f aca="false">Sens!E8443/Sens!D8443-1</f>
        <v>0.177886867998467</v>
      </c>
      <c r="F8444" s="7" t="n">
        <f aca="false">Sens!F8443/Sens!E8443-1</f>
        <v>0.181905454209751</v>
      </c>
      <c r="G8444" s="7" t="n">
        <f aca="false">Sens!G8443/Sens!F8443-1</f>
        <v>0.16247631978336</v>
      </c>
      <c r="H8444" s="7" t="n">
        <f aca="false">Sens!H8443/Sens!G8443-1</f>
        <v>0.130646882976078</v>
      </c>
      <c r="I8444" s="7" t="n">
        <f aca="false">Sens!I8443/Sens!H8443-1</f>
        <v>0.121101705209259</v>
      </c>
      <c r="J8444" s="7" t="n">
        <f aca="false">Sens!J8443/Sens!I8443-1</f>
        <v>0.0909166139874309</v>
      </c>
      <c r="K8444" s="7" t="n">
        <f aca="false">Sens!K8443/Sens!J8443-1</f>
        <v>0.0679051719483397</v>
      </c>
    </row>
    <row r="8445" customFormat="false" ht="17.15" hidden="false" customHeight="false" outlineLevel="0" collapsed="false">
      <c r="A8445" s="26" t="s">
        <v>1061</v>
      </c>
      <c r="B8445" s="31" t="s">
        <v>98</v>
      </c>
      <c r="C8445" s="31"/>
      <c r="D8445" s="27" t="n">
        <f aca="false">(Sens!D8438+Sens!D8442-Sens!D8443)+(Sens!D8430+Sens!D8431-Sens!D8429)+(Sens!D8433+Sens!D8434-Sens!D8432)+(Sens!D8443-Q!L18)</f>
        <v>0</v>
      </c>
      <c r="E8445" s="27" t="n">
        <f aca="false">(Sens!E8438+Sens!E8442-Sens!E8443)+(Sens!E8430+Sens!E8431-Sens!E8429)+(Sens!E8433+Sens!E8434-Sens!E8432)+(Sens!E8443-Q!M18)</f>
        <v>0</v>
      </c>
      <c r="F8445" s="27" t="n">
        <f aca="false">(Sens!F8438+Sens!F8442-Sens!F8443)+(Sens!F8430+Sens!F8431-Sens!F8429)+(Sens!F8433+Sens!F8434-Sens!F8432)</f>
        <v>0</v>
      </c>
      <c r="G8445" s="27" t="n">
        <f aca="false">(Sens!G8438+Sens!G8442-Sens!G8443)+(Sens!G8430+Sens!G8431-Sens!G8429)+(Sens!G8433+Sens!G8434-Sens!G8432)</f>
        <v>0</v>
      </c>
      <c r="H8445" s="27" t="n">
        <f aca="false">(Sens!H8438+Sens!H8442-Sens!H8443)+(Sens!H8430+Sens!H8431-Sens!H8429)+(Sens!H8433+Sens!H8434-Sens!H8432)</f>
        <v>0</v>
      </c>
      <c r="I8445" s="27" t="n">
        <f aca="false">(Sens!I8438+Sens!I8442-Sens!I8443)+(Sens!I8430+Sens!I8431-Sens!I8429)+(Sens!I8433+Sens!I8434-Sens!I8432)</f>
        <v>0</v>
      </c>
      <c r="J8445" s="27" t="n">
        <f aca="false">(Sens!J8438+Sens!J8442-Sens!J8443)+(Sens!J8430+Sens!J8431-Sens!J8429)+(Sens!J8433+Sens!J8434-Sens!J8432)</f>
        <v>0</v>
      </c>
      <c r="K8445" s="27" t="n">
        <f aca="false">(Sens!K8438+Sens!K8442-Sens!K8443)+(Sens!K8430+Sens!K8431-Sens!K8429)+(Sens!K8433+Sens!K8434-Sens!K8432)</f>
        <v>0</v>
      </c>
    </row>
    <row r="8446" customFormat="false" ht="17.15" hidden="false" customHeight="false" outlineLevel="0" collapsed="false">
      <c r="A8446" s="0" t="s">
        <v>1062</v>
      </c>
      <c r="B8446" s="0" t="s">
        <v>168</v>
      </c>
      <c r="E8446" s="7" t="n">
        <f aca="false">(Q!M21+Sens!E8382+Sens!E8383+Sens!E8384+Sens!E8398-Sens!E8380)/(Q!M5-Sens!E8380)</f>
        <v>0.570957350878296</v>
      </c>
      <c r="F8446" s="7" t="n">
        <f aca="false">Sens!$E$8446+dm_seg</f>
        <v>0.570957350878296</v>
      </c>
      <c r="G8446" s="7" t="n">
        <f aca="false">Sens!$E$8446+dm_seg</f>
        <v>0.570957350878296</v>
      </c>
      <c r="H8446" s="7" t="n">
        <f aca="false">Sens!$E$8446+dm_seg</f>
        <v>0.570957350878296</v>
      </c>
      <c r="I8446" s="7" t="n">
        <f aca="false">Sens!$E$8446+dm_seg</f>
        <v>0.570957350878296</v>
      </c>
      <c r="J8446" s="7" t="n">
        <f aca="false">Sens!$E$8446+dm_seg</f>
        <v>0.570957350878296</v>
      </c>
      <c r="K8446" s="7" t="n">
        <f aca="false">Sens!$E$8446+dm_seg</f>
        <v>0.570957350878296</v>
      </c>
      <c r="L8446" s="12" t="s">
        <v>1063</v>
      </c>
    </row>
    <row r="8447" customFormat="false" ht="17.15" hidden="false" customHeight="false" outlineLevel="0" collapsed="false">
      <c r="A8447" s="0" t="s">
        <v>884</v>
      </c>
      <c r="B8447" s="0" t="s">
        <v>98</v>
      </c>
      <c r="D8447" s="6" t="n">
        <f aca="false">Q!L21</f>
        <v>110.814</v>
      </c>
      <c r="E8447" s="6" t="n">
        <f aca="false">Q!M21</f>
        <v>136.365</v>
      </c>
      <c r="F8447" s="6" t="n">
        <f aca="false">Q!$I$21+(Sens!F8446*(Sens!F8417-Sens!F8380)+Sens!F8380-(Sens!F8382+Sens!F8383+Sens!F8384)-Sens!F8398-Sens!F8481)*(Sens!F8417-Q!$I$5)/Sens!F8417</f>
        <v>156.873345780869</v>
      </c>
      <c r="G8447" s="6" t="n">
        <f aca="false">(Sens!G8446*(Sens!G8417-Sens!G8380)+Sens!G8380-(Sens!G8382+Sens!G8383+Sens!G8384)-Sens!G8398-Sens!G8481)</f>
        <v>159.559131889907</v>
      </c>
      <c r="H8447" s="6" t="n">
        <f aca="false">(Sens!H8446*(Sens!H8417-Sens!H8380)+Sens!H8380-(Sens!H8382+Sens!H8383+Sens!H8384)-Sens!H8398-Sens!H8481)</f>
        <v>160.587922652806</v>
      </c>
      <c r="I8447" s="6" t="n">
        <f aca="false">(Sens!I8446*(Sens!I8417-Sens!I8380)+Sens!I8380-(Sens!I8382+Sens!I8383+Sens!I8384)-Sens!I8398-Sens!I8481)</f>
        <v>169.554808979793</v>
      </c>
      <c r="J8447" s="6" t="n">
        <f aca="false">(Sens!J8446*(Sens!J8417-Sens!J8380)+Sens!J8380-(Sens!J8382+Sens!J8383+Sens!J8384)-Sens!J8398-Sens!J8481)</f>
        <v>180.183284773169</v>
      </c>
      <c r="K8447" s="6" t="n">
        <f aca="false">(Sens!K8446*(Sens!K8417-Sens!K8380)+Sens!K8380-(Sens!K8382+Sens!K8383+Sens!K8384)-Sens!K8398-Sens!K8481)</f>
        <v>192.217733874901</v>
      </c>
      <c r="L8447" s="1" t="s">
        <v>1064</v>
      </c>
    </row>
    <row r="8448" customFormat="false" ht="17.15" hidden="false" customHeight="false" outlineLevel="0" collapsed="false">
      <c r="A8448" s="0" t="s">
        <v>1065</v>
      </c>
      <c r="B8448" s="0" t="s">
        <v>168</v>
      </c>
      <c r="E8448" s="7" t="n">
        <f aca="false">Q!M22/Q!M12</f>
        <v>0.296207935710698</v>
      </c>
      <c r="F8448" s="7" t="n">
        <f aca="false">Sens!$E$8448+dm_seg</f>
        <v>0.296207935710698</v>
      </c>
      <c r="G8448" s="7" t="n">
        <f aca="false">Sens!$E$8448+dm_seg</f>
        <v>0.296207935710698</v>
      </c>
      <c r="H8448" s="7" t="n">
        <f aca="false">Sens!$E$8448+dm_seg</f>
        <v>0.296207935710698</v>
      </c>
      <c r="I8448" s="7" t="n">
        <f aca="false">Sens!$E$8448+dm_seg</f>
        <v>0.296207935710698</v>
      </c>
      <c r="J8448" s="7" t="n">
        <f aca="false">Sens!$E$8448+dm_seg</f>
        <v>0.296207935710698</v>
      </c>
      <c r="K8448" s="7" t="n">
        <f aca="false">Sens!$E$8448+dm_seg</f>
        <v>0.296207935710698</v>
      </c>
      <c r="L8448" s="12" t="s">
        <v>1066</v>
      </c>
    </row>
    <row r="8449" customFormat="false" ht="17.15" hidden="false" customHeight="false" outlineLevel="0" collapsed="false">
      <c r="A8449" s="0" t="s">
        <v>886</v>
      </c>
      <c r="B8449" s="0" t="s">
        <v>98</v>
      </c>
      <c r="D8449" s="6" t="n">
        <f aca="false">Q!L22</f>
        <v>17.714</v>
      </c>
      <c r="E8449" s="6" t="n">
        <f aca="false">Q!M22</f>
        <v>18.872</v>
      </c>
      <c r="F8449" s="6" t="n">
        <f aca="false">Q!$I$22+(Sens!F8424-Q!$I$12)*Sens!F8448</f>
        <v>19.8174315512051</v>
      </c>
      <c r="G8449" s="6" t="n">
        <f aca="false">Sens!G8424*Sens!G8448</f>
        <v>19.6313799703815</v>
      </c>
      <c r="H8449" s="6" t="n">
        <f aca="false">Sens!H8424*Sens!H8448</f>
        <v>20.3536242825865</v>
      </c>
      <c r="I8449" s="6" t="n">
        <f aca="false">Sens!I8424*Sens!I8448</f>
        <v>21.1920899239745</v>
      </c>
      <c r="J8449" s="6" t="n">
        <f aca="false">Sens!J8424*Sens!J8448</f>
        <v>22.1288166207045</v>
      </c>
      <c r="K8449" s="6" t="n">
        <f aca="false">Sens!K8424*Sens!K8448</f>
        <v>23.1493653905379</v>
      </c>
      <c r="L8449" s="12" t="s">
        <v>1067</v>
      </c>
    </row>
    <row r="8450" customFormat="false" ht="15" hidden="false" customHeight="false" outlineLevel="0" collapsed="false">
      <c r="A8450" s="1" t="s">
        <v>1068</v>
      </c>
      <c r="B8450" s="0" t="s">
        <v>98</v>
      </c>
      <c r="D8450" s="6" t="n">
        <f aca="false">Sens!D8447+Sens!D8449</f>
        <v>128.528</v>
      </c>
      <c r="E8450" s="6" t="n">
        <f aca="false">Sens!E8447+Sens!E8449</f>
        <v>155.237</v>
      </c>
      <c r="F8450" s="6" t="n">
        <f aca="false">Sens!F8447+Sens!F8449</f>
        <v>176.690777332074</v>
      </c>
      <c r="G8450" s="6" t="n">
        <f aca="false">Sens!G8447+Sens!G8449</f>
        <v>179.190511860289</v>
      </c>
      <c r="H8450" s="6" t="n">
        <f aca="false">Sens!H8447+Sens!H8449</f>
        <v>180.941546935393</v>
      </c>
      <c r="I8450" s="6" t="n">
        <f aca="false">Sens!I8447+Sens!I8449</f>
        <v>190.746898903767</v>
      </c>
      <c r="J8450" s="6" t="n">
        <f aca="false">Sens!J8447+Sens!J8449</f>
        <v>202.312101393874</v>
      </c>
      <c r="K8450" s="6" t="n">
        <f aca="false">Sens!K8447+Sens!K8449</f>
        <v>215.367099265439</v>
      </c>
    </row>
    <row r="8451" customFormat="false" ht="15" hidden="false" customHeight="false" outlineLevel="0" collapsed="false">
      <c r="A8451" s="26" t="s">
        <v>1069</v>
      </c>
      <c r="B8451" s="31" t="s">
        <v>98</v>
      </c>
      <c r="C8451" s="31"/>
      <c r="D8451" s="27" t="n">
        <f aca="false">Sens!D8450-Q!L23</f>
        <v>0</v>
      </c>
      <c r="E8451" s="27" t="n">
        <f aca="false">Sens!E8450-Q!M23</f>
        <v>0</v>
      </c>
      <c r="F8451" s="31"/>
      <c r="G8451" s="31"/>
      <c r="H8451" s="31"/>
      <c r="I8451" s="31"/>
      <c r="J8451" s="31"/>
      <c r="K8451" s="31"/>
    </row>
    <row r="8452" customFormat="false" ht="15" hidden="false" customHeight="false" outlineLevel="0" collapsed="false">
      <c r="A8452" s="1" t="s">
        <v>1070</v>
      </c>
      <c r="B8452" s="0" t="s">
        <v>168</v>
      </c>
      <c r="D8452" s="7" t="n">
        <f aca="false">Sens!D8450/Sens!D8443</f>
        <v>0.456219562408598</v>
      </c>
      <c r="E8452" s="7" t="n">
        <f aca="false">Sens!E8450/Sens!E8443</f>
        <v>0.467808184089272</v>
      </c>
      <c r="F8452" s="7" t="n">
        <f aca="false">Sens!F8450/Sens!F8443</f>
        <v>0.450509256348224</v>
      </c>
      <c r="G8452" s="7" t="n">
        <f aca="false">Sens!G8450/Sens!G8443</f>
        <v>0.393025503190124</v>
      </c>
      <c r="H8452" s="7" t="n">
        <f aca="false">Sens!H8450/Sens!H8443</f>
        <v>0.351008013505526</v>
      </c>
      <c r="I8452" s="7" t="n">
        <f aca="false">Sens!I8450/Sens!I8443</f>
        <v>0.330058715754527</v>
      </c>
      <c r="J8452" s="7" t="n">
        <f aca="false">Sens!J8450/Sens!J8443</f>
        <v>0.32089579389925</v>
      </c>
      <c r="K8452" s="7" t="n">
        <f aca="false">Sens!K8450/Sens!K8443</f>
        <v>0.319881285344652</v>
      </c>
    </row>
    <row r="8453" customFormat="false" ht="17.15" hidden="false" customHeight="false" outlineLevel="0" collapsed="false">
      <c r="A8453" s="1" t="s">
        <v>1071</v>
      </c>
      <c r="B8453" s="0" t="s">
        <v>98</v>
      </c>
      <c r="F8453" s="6" t="n">
        <f aca="false">Sens!F8468</f>
        <v>12.2748934095295</v>
      </c>
      <c r="G8453" s="6" t="n">
        <f aca="false">Sens!G8468</f>
        <v>30.002865461252</v>
      </c>
      <c r="H8453" s="6" t="n">
        <f aca="false">Sens!H8468</f>
        <v>49.2040284624397</v>
      </c>
      <c r="I8453" s="6" t="n">
        <f aca="false">Sens!I8468</f>
        <v>66.2693039047555</v>
      </c>
      <c r="J8453" s="6" t="n">
        <f aca="false">Sens!J8468</f>
        <v>78.1434504676809</v>
      </c>
      <c r="K8453" s="6" t="n">
        <f aca="false">Sens!K8468</f>
        <v>85.116673984872</v>
      </c>
      <c r="L8453" s="1" t="s">
        <v>1072</v>
      </c>
    </row>
    <row r="8454" customFormat="false" ht="17.15" hidden="false" customHeight="false" outlineLevel="0" collapsed="false">
      <c r="A8454" s="1" t="s">
        <v>1073</v>
      </c>
      <c r="B8454" s="0" t="s">
        <v>98</v>
      </c>
      <c r="D8454" s="6" t="n">
        <f aca="false">Sens!D8450</f>
        <v>128.528</v>
      </c>
      <c r="E8454" s="6" t="n">
        <f aca="false">Sens!E8450</f>
        <v>155.237</v>
      </c>
      <c r="F8454" s="6" t="n">
        <f aca="false">Sens!F8450+Sens!F8453</f>
        <v>188.965670741604</v>
      </c>
      <c r="G8454" s="6" t="n">
        <f aca="false">Sens!G8450+Sens!G8453</f>
        <v>209.193377321541</v>
      </c>
      <c r="H8454" s="6" t="n">
        <f aca="false">Sens!H8450+Sens!H8453</f>
        <v>230.145575397833</v>
      </c>
      <c r="I8454" s="6" t="n">
        <f aca="false">Sens!I8450+Sens!I8453</f>
        <v>257.016202808523</v>
      </c>
      <c r="J8454" s="6" t="n">
        <f aca="false">Sens!J8450+Sens!J8453</f>
        <v>280.455551861555</v>
      </c>
      <c r="K8454" s="6" t="n">
        <f aca="false">Sens!K8450+Sens!K8453</f>
        <v>300.483773250311</v>
      </c>
    </row>
    <row r="8455" customFormat="false" ht="17.15" hidden="false" customHeight="false" outlineLevel="0" collapsed="false">
      <c r="A8455" s="1" t="s">
        <v>1074</v>
      </c>
      <c r="B8455" s="0" t="s">
        <v>98</v>
      </c>
      <c r="E8455" s="6" t="n">
        <f aca="false">Sens!E8398</f>
        <v>16.3054059770833</v>
      </c>
      <c r="F8455" s="6" t="n">
        <f aca="false">Sens!F8398</f>
        <v>34.5793144783516</v>
      </c>
      <c r="G8455" s="6" t="n">
        <f aca="false">Sens!G8398</f>
        <v>60.7344906522989</v>
      </c>
      <c r="H8455" s="6" t="n">
        <f aca="false">Sens!H8398</f>
        <v>89.1000906614457</v>
      </c>
      <c r="I8455" s="6" t="n">
        <f aca="false">Sens!I8398</f>
        <v>114.231009694548</v>
      </c>
      <c r="J8455" s="6" t="n">
        <f aca="false">Sens!J8398</f>
        <v>132.015673049596</v>
      </c>
      <c r="K8455" s="6" t="n">
        <f aca="false">Sens!K8398</f>
        <v>143.012669550934</v>
      </c>
    </row>
    <row r="8456" customFormat="false" ht="17.15" hidden="false" customHeight="false" outlineLevel="0" collapsed="false">
      <c r="A8456" s="1" t="s">
        <v>1075</v>
      </c>
      <c r="B8456" s="0" t="s">
        <v>98</v>
      </c>
      <c r="E8456" s="6" t="n">
        <f aca="false">Sens!E8480</f>
        <v>22.2285940229167</v>
      </c>
      <c r="F8456" s="6" t="n">
        <f aca="false">Sens!F8480</f>
        <v>23.580344216413</v>
      </c>
      <c r="G8456" s="6" t="n">
        <f aca="false">Sens!G8480</f>
        <v>25.3103468532621</v>
      </c>
      <c r="H8456" s="6" t="n">
        <f aca="false">Sens!H8480</f>
        <v>27.4038874816717</v>
      </c>
      <c r="I8456" s="6" t="n">
        <f aca="false">Sens!I8480</f>
        <v>29.806740440442</v>
      </c>
      <c r="J8456" s="6" t="n">
        <f aca="false">Sens!J8480</f>
        <v>32.4463363041053</v>
      </c>
      <c r="K8456" s="6" t="n">
        <f aca="false">Sens!K8480</f>
        <v>35.2382086554656</v>
      </c>
    </row>
    <row r="8457" customFormat="false" ht="17.15" hidden="false" customHeight="false" outlineLevel="0" collapsed="false">
      <c r="A8457" s="1" t="s">
        <v>1076</v>
      </c>
      <c r="B8457" s="0" t="s">
        <v>98</v>
      </c>
      <c r="D8457" s="6" t="n">
        <f aca="false">Q!L27</f>
        <v>-4.901</v>
      </c>
      <c r="E8457" s="6" t="n">
        <f aca="false">Q!M27</f>
        <v>10.697</v>
      </c>
      <c r="F8457" s="6" t="n">
        <f aca="false">Q!$I$27+oie_f*(q_per_yr-1)/q_per_yr</f>
        <v>-0.862</v>
      </c>
      <c r="G8457" s="6" t="n">
        <f aca="false">oie_f</f>
        <v>-1.2</v>
      </c>
      <c r="H8457" s="6" t="n">
        <f aca="false">oie_f</f>
        <v>-1.2</v>
      </c>
      <c r="I8457" s="6" t="n">
        <f aca="false">oie_f</f>
        <v>-1.2</v>
      </c>
      <c r="J8457" s="6" t="n">
        <f aca="false">oie_f</f>
        <v>-1.2</v>
      </c>
      <c r="K8457" s="6" t="n">
        <f aca="false">oie_f</f>
        <v>-1.2</v>
      </c>
      <c r="L8457" s="12" t="s">
        <v>1077</v>
      </c>
    </row>
    <row r="8458" customFormat="false" ht="15" hidden="false" customHeight="false" outlineLevel="0" collapsed="false">
      <c r="A8458" s="1" t="s">
        <v>1078</v>
      </c>
      <c r="B8458" s="0" t="s">
        <v>98</v>
      </c>
      <c r="D8458" s="6" t="n">
        <f aca="false">Sens!D8450+Sens!D8457</f>
        <v>123.627</v>
      </c>
      <c r="E8458" s="6" t="n">
        <f aca="false">Sens!E8450+Sens!E8457</f>
        <v>165.934</v>
      </c>
      <c r="F8458" s="6" t="n">
        <f aca="false">Sens!F8450+Sens!F8457</f>
        <v>175.828777332074</v>
      </c>
      <c r="G8458" s="6" t="n">
        <f aca="false">Sens!G8450+Sens!G8457</f>
        <v>177.990511860289</v>
      </c>
      <c r="H8458" s="6" t="n">
        <f aca="false">Sens!H8450+Sens!H8457</f>
        <v>179.741546935393</v>
      </c>
      <c r="I8458" s="6" t="n">
        <f aca="false">Sens!I8450+Sens!I8457</f>
        <v>189.546898903767</v>
      </c>
      <c r="J8458" s="6" t="n">
        <f aca="false">Sens!J8450+Sens!J8457</f>
        <v>201.112101393874</v>
      </c>
      <c r="K8458" s="6" t="n">
        <f aca="false">Sens!K8450+Sens!K8457</f>
        <v>214.167099265439</v>
      </c>
    </row>
    <row r="8459" customFormat="false" ht="15" hidden="false" customHeight="false" outlineLevel="0" collapsed="false">
      <c r="A8459" s="1" t="s">
        <v>1079</v>
      </c>
      <c r="B8459" s="0" t="s">
        <v>98</v>
      </c>
      <c r="D8459" s="6" t="n">
        <f aca="false">Q!L29</f>
        <v>21.795</v>
      </c>
      <c r="E8459" s="6" t="n">
        <f aca="false">Q!M29</f>
        <v>32.185</v>
      </c>
      <c r="F8459" s="6" t="n">
        <f aca="false">Q!$I$29+(Sens!F8458-Q!$I$28)*tax_f</f>
        <v>35.2991554664149</v>
      </c>
      <c r="G8459" s="6" t="n">
        <f aca="false">Sens!G8458*tax_f</f>
        <v>35.5981023720577</v>
      </c>
      <c r="H8459" s="6" t="n">
        <f aca="false">Sens!H8458*tax_f</f>
        <v>35.9483093870786</v>
      </c>
      <c r="I8459" s="6" t="n">
        <f aca="false">Sens!I8458*tax_f</f>
        <v>37.9093797807535</v>
      </c>
      <c r="J8459" s="6" t="n">
        <f aca="false">Sens!J8458*tax_f</f>
        <v>40.2224202787748</v>
      </c>
      <c r="K8459" s="6" t="n">
        <f aca="false">Sens!K8458*tax_f</f>
        <v>42.8334198530878</v>
      </c>
    </row>
    <row r="8460" customFormat="false" ht="15" hidden="false" customHeight="false" outlineLevel="0" collapsed="false">
      <c r="A8460" s="1" t="s">
        <v>1080</v>
      </c>
      <c r="B8460" s="0" t="s">
        <v>98</v>
      </c>
      <c r="D8460" s="6" t="n">
        <f aca="false">Sens!D8458-Sens!D8459</f>
        <v>101.832</v>
      </c>
      <c r="E8460" s="6" t="n">
        <f aca="false">Sens!E8458-Sens!E8459</f>
        <v>133.749</v>
      </c>
      <c r="F8460" s="6" t="n">
        <f aca="false">Sens!F8458-Sens!F8459</f>
        <v>140.529621865659</v>
      </c>
      <c r="G8460" s="6" t="n">
        <f aca="false">Sens!G8458-Sens!G8459</f>
        <v>142.392409488231</v>
      </c>
      <c r="H8460" s="6" t="n">
        <f aca="false">Sens!H8458-Sens!H8459</f>
        <v>143.793237548314</v>
      </c>
      <c r="I8460" s="6" t="n">
        <f aca="false">Sens!I8458-Sens!I8459</f>
        <v>151.637519123014</v>
      </c>
      <c r="J8460" s="6" t="n">
        <f aca="false">Sens!J8458-Sens!J8459</f>
        <v>160.889681115099</v>
      </c>
      <c r="K8460" s="6" t="n">
        <f aca="false">Sens!K8458-Sens!K8459</f>
        <v>171.333679412351</v>
      </c>
    </row>
    <row r="8461" customFormat="false" ht="17.15" hidden="false" customHeight="false" outlineLevel="0" collapsed="false">
      <c r="A8461" s="1" t="s">
        <v>1081</v>
      </c>
      <c r="B8461" s="1" t="s">
        <v>81</v>
      </c>
      <c r="D8461" s="15" t="n">
        <f aca="false">Q!L31</f>
        <v>7.465</v>
      </c>
      <c r="E8461" s="15" t="n">
        <f aca="false">Q!M31</f>
        <v>7.453</v>
      </c>
      <c r="F8461" s="15" t="n">
        <f aca="false">Sens!F8505</f>
        <v>7.4735</v>
      </c>
      <c r="G8461" s="15" t="n">
        <f aca="false">Sens!G8505</f>
        <v>7.5185</v>
      </c>
      <c r="H8461" s="15" t="n">
        <f aca="false">Sens!H8505</f>
        <v>7.5635</v>
      </c>
      <c r="I8461" s="15" t="n">
        <f aca="false">Sens!I8505</f>
        <v>7.59248142502667</v>
      </c>
      <c r="J8461" s="15" t="n">
        <f aca="false">Sens!J8505</f>
        <v>7.60663083618914</v>
      </c>
      <c r="K8461" s="15" t="n">
        <f aca="false">Sens!K8505</f>
        <v>7.62306547615439</v>
      </c>
    </row>
    <row r="8462" customFormat="false" ht="17.15" hidden="false" customHeight="false" outlineLevel="0" collapsed="false">
      <c r="A8462" s="0" t="s">
        <v>1082</v>
      </c>
      <c r="B8462" s="0" t="s">
        <v>75</v>
      </c>
      <c r="D8462" s="8" t="n">
        <f aca="false">Sens!D8460/Sens!D8461</f>
        <v>13.641259209645</v>
      </c>
      <c r="E8462" s="8" t="n">
        <f aca="false">Sens!E8460/Sens!E8461</f>
        <v>17.9456594659869</v>
      </c>
      <c r="F8462" s="8" t="n">
        <f aca="false">Sens!F8460/Sens!F8461</f>
        <v>18.8037227357543</v>
      </c>
      <c r="G8462" s="8" t="n">
        <f aca="false">Sens!G8460/Sens!G8461</f>
        <v>18.9389385500074</v>
      </c>
      <c r="H8462" s="8" t="n">
        <f aca="false">Sens!H8460/Sens!H8461</f>
        <v>19.0114679114582</v>
      </c>
      <c r="I8462" s="8" t="n">
        <f aca="false">Sens!I8460/Sens!I8461</f>
        <v>19.9720632339224</v>
      </c>
      <c r="J8462" s="8" t="n">
        <f aca="false">Sens!J8460/Sens!J8461</f>
        <v>21.1512408817914</v>
      </c>
      <c r="K8462" s="8" t="n">
        <f aca="false">Sens!K8460/Sens!K8461</f>
        <v>22.4756930067435</v>
      </c>
      <c r="L8462" s="1" t="s">
        <v>1083</v>
      </c>
    </row>
    <row r="8463" customFormat="false" ht="17.15" hidden="false" customHeight="false" outlineLevel="0" collapsed="false">
      <c r="A8463" s="1" t="s">
        <v>1084</v>
      </c>
      <c r="B8463" s="0" t="s">
        <v>98</v>
      </c>
      <c r="D8463" s="6" t="n">
        <f aca="false">Sens!D8460</f>
        <v>101.832</v>
      </c>
      <c r="E8463" s="6" t="n">
        <f aca="false">Sens!E8460</f>
        <v>133.749</v>
      </c>
      <c r="F8463" s="6" t="n">
        <f aca="false">Sens!F8460+Sens!F8453*(1-tax_f)</f>
        <v>150.349536593283</v>
      </c>
      <c r="G8463" s="6" t="n">
        <f aca="false">Sens!G8460+Sens!G8453*(1-tax_f)</f>
        <v>166.394701857232</v>
      </c>
      <c r="H8463" s="6" t="n">
        <f aca="false">Sens!H8460+Sens!H8453*(1-tax_f)</f>
        <v>183.156460318266</v>
      </c>
      <c r="I8463" s="6" t="n">
        <f aca="false">Sens!I8460+Sens!I8453*(1-tax_f)</f>
        <v>204.652962246818</v>
      </c>
      <c r="J8463" s="6" t="n">
        <f aca="false">Sens!J8460+Sens!J8453*(1-tax_f)</f>
        <v>223.404441489244</v>
      </c>
      <c r="K8463" s="6" t="n">
        <f aca="false">Sens!K8460+Sens!K8453*(1-tax_f)</f>
        <v>239.427018600249</v>
      </c>
    </row>
    <row r="8464" customFormat="false" ht="17.15" hidden="false" customHeight="false" outlineLevel="0" collapsed="false">
      <c r="A8464" s="0" t="s">
        <v>1085</v>
      </c>
      <c r="B8464" s="0" t="s">
        <v>75</v>
      </c>
      <c r="D8464" s="8" t="n">
        <f aca="false">Sens!D8463/Sens!D8461</f>
        <v>13.641259209645</v>
      </c>
      <c r="E8464" s="8" t="n">
        <f aca="false">Sens!E8463/Sens!E8461</f>
        <v>17.9456594659869</v>
      </c>
      <c r="F8464" s="8" t="n">
        <f aca="false">Sens!F8463/Sens!F8461</f>
        <v>20.1176873744943</v>
      </c>
      <c r="G8464" s="8" t="n">
        <f aca="false">Sens!G8463/Sens!G8461</f>
        <v>22.1313695361086</v>
      </c>
      <c r="H8464" s="8" t="n">
        <f aca="false">Sens!H8463/Sens!H8461</f>
        <v>24.215833981393</v>
      </c>
      <c r="I8464" s="8" t="n">
        <f aca="false">Sens!I8463/Sens!I8461</f>
        <v>26.954687247865</v>
      </c>
      <c r="J8464" s="8" t="n">
        <f aca="false">Sens!J8463/Sens!J8461</f>
        <v>29.3696968211445</v>
      </c>
      <c r="K8464" s="8" t="n">
        <f aca="false">Sens!K8463/Sens!K8461</f>
        <v>31.4082332559253</v>
      </c>
      <c r="L8464" s="1" t="s">
        <v>1086</v>
      </c>
    </row>
    <row r="8465" customFormat="false" ht="17.15" hidden="false" customHeight="false" outlineLevel="0" collapsed="false">
      <c r="A8465" s="0" t="s">
        <v>1087</v>
      </c>
      <c r="B8465" s="0" t="s">
        <v>168</v>
      </c>
      <c r="E8465" s="7" t="n">
        <f aca="false">Sens!E8464/Sens!D8464-1</f>
        <v>0.315542736208578</v>
      </c>
      <c r="F8465" s="7" t="n">
        <f aca="false">Sens!F8464/Sens!E8464-1</f>
        <v>0.121033607743653</v>
      </c>
      <c r="G8465" s="7" t="n">
        <f aca="false">Sens!G8464/Sens!F8464-1</f>
        <v>0.100095111536891</v>
      </c>
      <c r="H8465" s="7" t="n">
        <f aca="false">Sens!H8464/Sens!G8464-1</f>
        <v>0.0941859672029555</v>
      </c>
      <c r="I8465" s="7" t="n">
        <f aca="false">Sens!I8464/Sens!H8464-1</f>
        <v>0.113101752703478</v>
      </c>
      <c r="J8465" s="7" t="n">
        <f aca="false">Sens!J8464/Sens!I8464-1</f>
        <v>0.0895951620982269</v>
      </c>
      <c r="K8465" s="7" t="n">
        <f aca="false">Sens!K8464/Sens!J8464-1</f>
        <v>0.069409515773865</v>
      </c>
    </row>
    <row r="8466" customFormat="false" ht="17.15" hidden="false" customHeight="false" outlineLevel="0" collapsed="false">
      <c r="A8466" s="0" t="s">
        <v>1007</v>
      </c>
      <c r="B8466" s="0" t="s">
        <v>98</v>
      </c>
      <c r="E8466" s="6" t="n">
        <f aca="false">Sens!E8407</f>
        <v>5.25</v>
      </c>
      <c r="F8466" s="6" t="n">
        <f aca="false">Sens!F8407</f>
        <v>7.56</v>
      </c>
      <c r="G8466" s="6" t="n">
        <f aca="false">Sens!G8407</f>
        <v>9.72</v>
      </c>
      <c r="H8466" s="6" t="n">
        <f aca="false">Sens!H8407</f>
        <v>11.88</v>
      </c>
      <c r="I8466" s="6" t="n">
        <f aca="false">Sens!I8407</f>
        <v>13.5</v>
      </c>
      <c r="J8466" s="6" t="n">
        <f aca="false">Sens!J8407</f>
        <v>14.58</v>
      </c>
      <c r="K8466" s="6" t="n">
        <f aca="false">Sens!K8407</f>
        <v>15.66</v>
      </c>
    </row>
    <row r="8467" customFormat="false" ht="17.15" hidden="false" customHeight="false" outlineLevel="0" collapsed="false">
      <c r="A8467" s="1" t="s">
        <v>1008</v>
      </c>
      <c r="B8467" s="0" t="s">
        <v>98</v>
      </c>
      <c r="F8467" s="6" t="n">
        <f aca="false">MAX(0,((Sens!E8367+Sens!F8367)/2-(shadow_base*(Sens!$D$8367+Sens!$E$8367)/2+(1-shadow_base)*Sens!$E$8367))*Sens!F8376/1000-(Sens!F8466-Sens!$E$8466)*Sens!F8446)</f>
        <v>12.2748934095295</v>
      </c>
      <c r="G8467" s="6" t="n">
        <f aca="false">MAX(0,((Sens!F8367+Sens!G8367)/2-(shadow_base*(Sens!$D$8367+Sens!$E$8367)/2+(1-shadow_base)*Sens!$E$8367))*Sens!G8376/1000-(Sens!G8466-Sens!$E$8466)*Sens!G8446)</f>
        <v>30.002865461252</v>
      </c>
      <c r="H8467" s="6" t="n">
        <f aca="false">MAX(0,((Sens!G8367+Sens!H8367)/2-(shadow_base*(Sens!$D$8367+Sens!$E$8367)/2+(1-shadow_base)*Sens!$E$8367))*Sens!H8376/1000-(Sens!H8466-Sens!$E$8466)*Sens!H8446)</f>
        <v>49.2040284624397</v>
      </c>
      <c r="I8467" s="6" t="n">
        <f aca="false">MAX(0,((Sens!H8367+Sens!I8367)/2-(shadow_base*(Sens!$D$8367+Sens!$E$8367)/2+(1-shadow_base)*Sens!$E$8367))*Sens!I8376/1000-(Sens!I8466-Sens!$E$8466)*Sens!I8446)</f>
        <v>66.2693039047555</v>
      </c>
      <c r="J8467" s="6" t="n">
        <f aca="false">MAX(0,((Sens!I8367+Sens!J8367)/2-(shadow_base*(Sens!$D$8367+Sens!$E$8367)/2+(1-shadow_base)*Sens!$E$8367))*Sens!J8376/1000-(Sens!J8466-Sens!$E$8466)*Sens!J8446)</f>
        <v>78.1434504676809</v>
      </c>
      <c r="K8467" s="6" t="n">
        <f aca="false">MAX(0,((Sens!J8367+Sens!K8367)/2-(shadow_base*(Sens!$D$8367+Sens!$E$8367)/2+(1-shadow_base)*Sens!$E$8367))*Sens!K8376/1000-(Sens!K8466-Sens!$E$8466)*Sens!K8446)</f>
        <v>85.116673984872</v>
      </c>
      <c r="L8467" s="1" t="s">
        <v>1009</v>
      </c>
    </row>
    <row r="8468" customFormat="false" ht="17.15" hidden="false" customHeight="false" outlineLevel="0" collapsed="false">
      <c r="A8468" s="1" t="s">
        <v>1010</v>
      </c>
      <c r="B8468" s="0" t="s">
        <v>98</v>
      </c>
      <c r="F8468" s="6" t="n">
        <f aca="false">IF(internal_ai_reading=2,1,0)*Sens!F8467</f>
        <v>12.2748934095295</v>
      </c>
      <c r="G8468" s="6" t="n">
        <f aca="false">IF(internal_ai_reading=2,1,0)*Sens!G8467</f>
        <v>30.002865461252</v>
      </c>
      <c r="H8468" s="6" t="n">
        <f aca="false">IF(internal_ai_reading=2,1,0)*Sens!H8467</f>
        <v>49.2040284624397</v>
      </c>
      <c r="I8468" s="6" t="n">
        <f aca="false">IF(internal_ai_reading=2,1,0)*Sens!I8467</f>
        <v>66.2693039047555</v>
      </c>
      <c r="J8468" s="6" t="n">
        <f aca="false">IF(internal_ai_reading=2,1,0)*Sens!J8467</f>
        <v>78.1434504676809</v>
      </c>
      <c r="K8468" s="6" t="n">
        <f aca="false">IF(internal_ai_reading=2,1,0)*Sens!K8467</f>
        <v>85.116673984872</v>
      </c>
    </row>
    <row r="8469" customFormat="false" ht="17.15" hidden="false" customHeight="false" outlineLevel="0" collapsed="false">
      <c r="A8469" s="0" t="s">
        <v>1011</v>
      </c>
      <c r="B8469" s="0" t="s">
        <v>98</v>
      </c>
      <c r="F8469" s="6" t="n">
        <f aca="false">Sens!F8386+Sens!F8466*Sens!F8446+Sens!F8468-Sens!F8387-Sens!F8398</f>
        <v>10.3853806853618</v>
      </c>
      <c r="G8469" s="6" t="n">
        <f aca="false">Sens!G8386+Sens!G8466*Sens!G8446+Sens!G8468-Sens!G8387-Sens!G8398</f>
        <v>16.4389313105741</v>
      </c>
      <c r="H8469" s="6" t="n">
        <f aca="false">Sens!H8386+Sens!H8466*Sens!H8446+Sens!H8468-Sens!H8387-Sens!H8398</f>
        <v>17.135416308873</v>
      </c>
      <c r="I8469" s="6" t="n">
        <f aca="false">Sens!I8386+Sens!I8466*Sens!I8446+Sens!I8468-Sens!I8387-Sens!I8398</f>
        <v>24.1293804008657</v>
      </c>
      <c r="J8469" s="6" t="n">
        <f aca="false">Sens!J8386+Sens!J8466*Sens!J8446+Sens!J8468-Sens!J8387-Sens!J8398</f>
        <v>28.8545659869181</v>
      </c>
      <c r="K8469" s="6" t="n">
        <f aca="false">Sens!K8386+Sens!K8466*Sens!K8446+Sens!K8468-Sens!K8387-Sens!K8398</f>
        <v>32.1374748525101</v>
      </c>
    </row>
    <row r="8470" customFormat="false" ht="17.15" hidden="false" customHeight="false" outlineLevel="0" collapsed="false">
      <c r="A8470" s="0" t="s">
        <v>1012</v>
      </c>
      <c r="B8470" s="0" t="s">
        <v>98</v>
      </c>
      <c r="E8470" s="6" t="n">
        <f aca="false">Sens!E8366*(cxit_open+self_build*tk_cxfac)/1000*ai_net_open</f>
        <v>126.6980382</v>
      </c>
      <c r="F8470" s="6" t="n">
        <f aca="false">Sens!E8470+Sens!F8395-Sens!F8398</f>
        <v>260.572627763768</v>
      </c>
      <c r="G8470" s="6" t="n">
        <f aca="false">Sens!F8470+Sens!G8395-Sens!G8398</f>
        <v>391.782612760517</v>
      </c>
      <c r="H8470" s="6" t="n">
        <f aca="false">Sens!G8470+Sens!H8395-Sens!H8398</f>
        <v>499.488526163584</v>
      </c>
      <c r="I8470" s="6" t="n">
        <f aca="false">Sens!H8470+Sens!I8395-Sens!I8398</f>
        <v>553.872350090646</v>
      </c>
      <c r="J8470" s="6" t="n">
        <f aca="false">Sens!I8470+Sens!J8395-Sens!J8398</f>
        <v>550.78660823699</v>
      </c>
      <c r="K8470" s="6" t="n">
        <f aca="false">Sens!J8470+Sens!K8395-Sens!K8398</f>
        <v>526.736791750789</v>
      </c>
      <c r="L8470" s="1" t="s">
        <v>1013</v>
      </c>
    </row>
    <row r="8471" customFormat="false" ht="17.15" hidden="false" customHeight="false" outlineLevel="0" collapsed="false">
      <c r="A8471" s="0" t="s">
        <v>1014</v>
      </c>
      <c r="B8471" s="0" t="s">
        <v>168</v>
      </c>
      <c r="F8471" s="7" t="n">
        <f aca="false">Sens!F8469*(1-tax_f)/((Sens!E8470+Sens!F8470)/2)</f>
        <v>0.0429069654816909</v>
      </c>
      <c r="G8471" s="7" t="n">
        <f aca="false">Sens!G8469*(1-tax_f)/((Sens!F8470+Sens!G8470)/2)</f>
        <v>0.0403189680453549</v>
      </c>
      <c r="H8471" s="7" t="n">
        <f aca="false">Sens!H8469*(1-tax_f)/((Sens!G8470+Sens!H8470)/2)</f>
        <v>0.0307613080877867</v>
      </c>
      <c r="I8471" s="7" t="n">
        <f aca="false">Sens!I8469*(1-tax_f)/((Sens!H8470+Sens!I8470)/2)</f>
        <v>0.0366512650238846</v>
      </c>
      <c r="J8471" s="7" t="n">
        <f aca="false">Sens!J8469*(1-tax_f)/((Sens!I8470+Sens!J8470)/2)</f>
        <v>0.0417932659044041</v>
      </c>
      <c r="K8471" s="7" t="n">
        <f aca="false">Sens!K8469*(1-tax_f)/((Sens!J8470+Sens!K8470)/2)</f>
        <v>0.0477205040415821</v>
      </c>
    </row>
    <row r="8472" customFormat="false" ht="17.15" hidden="false" customHeight="false" outlineLevel="0" collapsed="false">
      <c r="A8472" s="1" t="s">
        <v>1015</v>
      </c>
      <c r="B8472" s="0" t="s">
        <v>168</v>
      </c>
      <c r="F8472" s="7" t="n">
        <f aca="false">(Sens!F8469-Sens!F8468)*(1-tax_f)/((Sens!E8470+Sens!F8470)/2)</f>
        <v>-0.0078064790968476</v>
      </c>
      <c r="G8472" s="7" t="n">
        <f aca="false">(Sens!G8469-Sens!G8468)*(1-tax_f)/((Sens!F8470+Sens!G8470)/2)</f>
        <v>-0.0332676022095614</v>
      </c>
      <c r="H8472" s="7" t="n">
        <f aca="false">(Sens!H8469-Sens!H8468)*(1-tax_f)/((Sens!G8470+Sens!H8470)/2)</f>
        <v>-0.0575692145800271</v>
      </c>
      <c r="I8472" s="7" t="n">
        <f aca="false">(Sens!I8469-Sens!I8468)*(1-tax_f)/((Sens!H8470+Sens!I8470)/2)</f>
        <v>-0.0640083366737374</v>
      </c>
      <c r="J8472" s="7" t="n">
        <f aca="false">(Sens!J8469-Sens!J8468)*(1-tax_f)/((Sens!I8470+Sens!J8470)/2)</f>
        <v>-0.071390554138638</v>
      </c>
      <c r="K8472" s="7" t="n">
        <f aca="false">(Sens!K8469-Sens!K8468)*(1-tax_f)/((Sens!J8470+Sens!K8470)/2)</f>
        <v>-0.0786681000270997</v>
      </c>
    </row>
    <row r="8473" customFormat="false" ht="17.15" hidden="false" customHeight="false" outlineLevel="0" collapsed="false">
      <c r="A8473" s="1" t="s">
        <v>1016</v>
      </c>
      <c r="B8473" s="0" t="s">
        <v>168</v>
      </c>
      <c r="F8473" s="7" t="n">
        <f aca="false">(Sens!F8469-Sens!F8468+Sens!F8467)*(1-tax_f)/((Sens!E8470+Sens!F8470)/2)</f>
        <v>0.0429069654816909</v>
      </c>
      <c r="G8473" s="7" t="n">
        <f aca="false">(Sens!G8469-Sens!G8468+Sens!G8467)*(1-tax_f)/((Sens!F8470+Sens!G8470)/2)</f>
        <v>0.0403189680453549</v>
      </c>
      <c r="H8473" s="7" t="n">
        <f aca="false">(Sens!H8469-Sens!H8468+Sens!H8467)*(1-tax_f)/((Sens!G8470+Sens!H8470)/2)</f>
        <v>0.0307613080877867</v>
      </c>
      <c r="I8473" s="7" t="n">
        <f aca="false">(Sens!I8469-Sens!I8468+Sens!I8467)*(1-tax_f)/((Sens!H8470+Sens!I8470)/2)</f>
        <v>0.0366512650238846</v>
      </c>
      <c r="J8473" s="7" t="n">
        <f aca="false">(Sens!J8469-Sens!J8468+Sens!J8467)*(1-tax_f)/((Sens!I8470+Sens!J8470)/2)</f>
        <v>0.0417932659044041</v>
      </c>
      <c r="K8473" s="7" t="n">
        <f aca="false">(Sens!K8469-Sens!K8468+Sens!K8467)*(1-tax_f)/((Sens!J8470+Sens!K8470)/2)</f>
        <v>0.0477205040415821</v>
      </c>
    </row>
    <row r="8474" customFormat="false" ht="17.15" hidden="false" customHeight="false" outlineLevel="0" collapsed="false">
      <c r="A8474" s="1" t="s">
        <v>1017</v>
      </c>
      <c r="B8474" s="0" t="s">
        <v>168</v>
      </c>
      <c r="F8474" s="7" t="n">
        <f aca="false">Sens!F8399*(1-tax_f)/(Sens!F8385*(Sens!E8470+Sens!F8470)/2)</f>
        <v>0.098791430090569</v>
      </c>
      <c r="G8474" s="7" t="n">
        <f aca="false">Sens!G8399*(1-tax_f)/(Sens!G8385*(Sens!F8470+Sens!G8470)/2)</f>
        <v>0.0675308856427828</v>
      </c>
      <c r="H8474" s="7" t="n">
        <f aca="false">Sens!H8399*(1-tax_f)/(Sens!H8385*(Sens!G8470+Sens!H8470)/2)</f>
        <v>0.0388374979528754</v>
      </c>
      <c r="I8474" s="7" t="n">
        <f aca="false">Sens!I8399*(1-tax_f)/(Sens!I8385*(Sens!H8470+Sens!I8470)/2)</f>
        <v>0.0411035671771815</v>
      </c>
      <c r="J8474" s="7" t="n">
        <f aca="false">Sens!J8399*(1-tax_f)/(Sens!J8385*(Sens!I8470+Sens!J8470)/2)</f>
        <v>0.0445222722541192</v>
      </c>
      <c r="K8474" s="7" t="n">
        <f aca="false">Sens!K8399*(1-tax_f)/(Sens!K8385*(Sens!J8470+Sens!K8470)/2)</f>
        <v>0.0498866361688162</v>
      </c>
    </row>
    <row r="8475" customFormat="false" ht="17.15" hidden="false" customHeight="false" outlineLevel="0" collapsed="false">
      <c r="A8475" s="0" t="s">
        <v>1018</v>
      </c>
      <c r="B8475" s="0" t="s">
        <v>253</v>
      </c>
      <c r="F8475" s="7" t="n">
        <f aca="false">Sens!F8471-wacc</f>
        <v>-0.0600296254639064</v>
      </c>
      <c r="G8475" s="7" t="n">
        <f aca="false">Sens!G8471-wacc</f>
        <v>-0.0626176229002424</v>
      </c>
      <c r="H8475" s="7" t="n">
        <f aca="false">Sens!H8471-wacc</f>
        <v>-0.0721752828578106</v>
      </c>
      <c r="I8475" s="7" t="n">
        <f aca="false">Sens!I8471-wacc</f>
        <v>-0.0662853259217127</v>
      </c>
      <c r="J8475" s="7" t="n">
        <f aca="false">Sens!J8471-wacc</f>
        <v>-0.0611433250411932</v>
      </c>
      <c r="K8475" s="7" t="n">
        <f aca="false">Sens!K8471-wacc</f>
        <v>-0.0552160869040152</v>
      </c>
    </row>
    <row r="8476" customFormat="false" ht="17.15" hidden="false" customHeight="false" outlineLevel="0" collapsed="false">
      <c r="A8476" s="0" t="s">
        <v>1019</v>
      </c>
      <c r="B8476" s="0" t="s">
        <v>98</v>
      </c>
      <c r="F8476" s="6" t="n">
        <f aca="false">Sens!F8469*(1-tax_f)-wacc*(Sens!E8470+Sens!F8470)/2</f>
        <v>-11.6238565154813</v>
      </c>
      <c r="G8476" s="6" t="n">
        <f aca="false">Sens!G8469*(1-tax_f)-wacc*(Sens!F8470+Sens!G8470)/2</f>
        <v>-20.4244672240733</v>
      </c>
      <c r="H8476" s="6" t="n">
        <f aca="false">Sens!H8469*(1-tax_f)-wacc*(Sens!G8470+Sens!H8470)/2</f>
        <v>-32.163873277425</v>
      </c>
      <c r="I8476" s="6" t="n">
        <f aca="false">Sens!I8469*(1-tax_f)-wacc*(Sens!H8470+Sens!I8470)/2</f>
        <v>-34.9111844978462</v>
      </c>
      <c r="J8476" s="6" t="n">
        <f aca="false">Sens!J8469*(1-tax_f)-wacc*(Sens!I8470+Sens!J8470)/2</f>
        <v>-33.7712608743463</v>
      </c>
      <c r="K8476" s="6" t="n">
        <f aca="false">Sens!K8469*(1-tax_f)-wacc*(Sens!J8470+Sens!K8470)/2</f>
        <v>-29.7483128474176</v>
      </c>
    </row>
    <row r="8477" customFormat="false" ht="17.15" hidden="false" customHeight="false" outlineLevel="0" collapsed="false">
      <c r="A8477" s="3" t="s">
        <v>1823</v>
      </c>
    </row>
    <row r="8478" customFormat="false" ht="15" hidden="false" customHeight="false" outlineLevel="0" collapsed="false">
      <c r="A8478" s="4" t="s">
        <v>43</v>
      </c>
      <c r="B8478" s="4" t="s">
        <v>65</v>
      </c>
      <c r="C8478" s="23" t="s">
        <v>942</v>
      </c>
      <c r="D8478" s="23" t="s">
        <v>943</v>
      </c>
      <c r="E8478" s="23" t="s">
        <v>944</v>
      </c>
      <c r="F8478" s="23" t="s">
        <v>945</v>
      </c>
      <c r="G8478" s="23" t="s">
        <v>946</v>
      </c>
      <c r="H8478" s="23" t="s">
        <v>947</v>
      </c>
      <c r="I8478" s="23" t="s">
        <v>948</v>
      </c>
      <c r="J8478" s="23" t="s">
        <v>949</v>
      </c>
      <c r="K8478" s="23" t="s">
        <v>950</v>
      </c>
      <c r="L8478" s="4" t="s">
        <v>47</v>
      </c>
    </row>
    <row r="8479" customFormat="false" ht="15" hidden="false" customHeight="false" outlineLevel="0" collapsed="false">
      <c r="A8479" s="1" t="s">
        <v>1080</v>
      </c>
      <c r="B8479" s="0" t="s">
        <v>98</v>
      </c>
      <c r="F8479" s="6" t="n">
        <f aca="false">Sens!F8460</f>
        <v>140.529621865659</v>
      </c>
      <c r="G8479" s="6" t="n">
        <f aca="false">Sens!G8460</f>
        <v>142.392409488231</v>
      </c>
      <c r="H8479" s="6" t="n">
        <f aca="false">Sens!H8460</f>
        <v>143.793237548314</v>
      </c>
      <c r="I8479" s="6" t="n">
        <f aca="false">Sens!I8460</f>
        <v>151.637519123014</v>
      </c>
      <c r="J8479" s="6" t="n">
        <f aca="false">Sens!J8460</f>
        <v>160.889681115099</v>
      </c>
      <c r="K8479" s="6" t="n">
        <f aca="false">Sens!K8460</f>
        <v>171.333679412351</v>
      </c>
    </row>
    <row r="8480" customFormat="false" ht="17.15" hidden="false" customHeight="false" outlineLevel="0" collapsed="false">
      <c r="A8480" s="1" t="s">
        <v>1102</v>
      </c>
      <c r="B8480" s="0" t="s">
        <v>98</v>
      </c>
      <c r="E8480" s="6" t="n">
        <f aca="false">Q!M38-Sens!E8398</f>
        <v>22.2285940229167</v>
      </c>
      <c r="F8480" s="6" t="n">
        <f aca="false">Sens!E8480*(1-1/life_nonai)+(Sens!F8488+Sens!F8489)/life_nonai</f>
        <v>23.580344216413</v>
      </c>
      <c r="G8480" s="6" t="n">
        <f aca="false">Sens!F8480*(1-1/life_nonai)+(Sens!G8488)/life_nonai</f>
        <v>25.3103468532621</v>
      </c>
      <c r="H8480" s="6" t="n">
        <f aca="false">Sens!G8480*(1-1/life_nonai)+(Sens!H8488)/life_nonai</f>
        <v>27.4038874816717</v>
      </c>
      <c r="I8480" s="6" t="n">
        <f aca="false">Sens!H8480*(1-1/life_nonai)+(Sens!I8488)/life_nonai</f>
        <v>29.806740440442</v>
      </c>
      <c r="J8480" s="6" t="n">
        <f aca="false">Sens!I8480*(1-1/life_nonai)+(Sens!J8488)/life_nonai</f>
        <v>32.4463363041053</v>
      </c>
      <c r="K8480" s="6" t="n">
        <f aca="false">Sens!J8480*(1-1/life_nonai)+(Sens!K8488)/life_nonai</f>
        <v>35.2382086554656</v>
      </c>
      <c r="L8480" s="12" t="s">
        <v>1103</v>
      </c>
    </row>
    <row r="8481" customFormat="false" ht="17.15" hidden="false" customHeight="false" outlineLevel="0" collapsed="false">
      <c r="A8481" s="1" t="s">
        <v>1104</v>
      </c>
      <c r="B8481" s="0" t="s">
        <v>98</v>
      </c>
      <c r="F8481" s="6" t="n">
        <f aca="false">Sens!$F$8489/life_nonai*(1-1/life_nonai)^(Sens!F8361-2027)</f>
        <v>0.0144584188140747</v>
      </c>
      <c r="G8481" s="6" t="n">
        <f aca="false">Sens!$F$8489/life_nonai*(1-1/life_nonai)^(Sens!G8361-2027)</f>
        <v>0.0130125769326673</v>
      </c>
      <c r="H8481" s="6" t="n">
        <f aca="false">Sens!$F$8489/life_nonai*(1-1/life_nonai)^(Sens!H8361-2027)</f>
        <v>0.0117113192394005</v>
      </c>
      <c r="I8481" s="6" t="n">
        <f aca="false">Sens!$F$8489/life_nonai*(1-1/life_nonai)^(Sens!I8361-2027)</f>
        <v>0.0105401873154605</v>
      </c>
      <c r="J8481" s="6" t="n">
        <f aca="false">Sens!$F$8489/life_nonai*(1-1/life_nonai)^(Sens!J8361-2027)</f>
        <v>0.00948616858391444</v>
      </c>
      <c r="K8481" s="6" t="n">
        <f aca="false">Sens!$F$8489/life_nonai*(1-1/life_nonai)^(Sens!K8361-2027)</f>
        <v>0.008537551725523</v>
      </c>
      <c r="L8481" s="1" t="s">
        <v>1105</v>
      </c>
    </row>
    <row r="8482" customFormat="false" ht="17.15" hidden="false" customHeight="false" outlineLevel="0" collapsed="false">
      <c r="A8482" s="1" t="s">
        <v>1106</v>
      </c>
      <c r="B8482" s="0" t="s">
        <v>98</v>
      </c>
      <c r="E8482" s="6" t="n">
        <f aca="false">Sens!E8398+Sens!E8480</f>
        <v>38.534</v>
      </c>
      <c r="F8482" s="6" t="n">
        <f aca="false">Sens!F8398+Sens!F8480</f>
        <v>58.1596586947647</v>
      </c>
      <c r="G8482" s="6" t="n">
        <f aca="false">Sens!G8398+Sens!G8480</f>
        <v>86.044837505561</v>
      </c>
      <c r="H8482" s="6" t="n">
        <f aca="false">Sens!H8398+Sens!H8480</f>
        <v>116.503978143117</v>
      </c>
      <c r="I8482" s="6" t="n">
        <f aca="false">Sens!I8398+Sens!I8480</f>
        <v>144.03775013499</v>
      </c>
      <c r="J8482" s="6" t="n">
        <f aca="false">Sens!J8398+Sens!J8480</f>
        <v>164.462009353701</v>
      </c>
      <c r="K8482" s="6" t="n">
        <f aca="false">Sens!K8398+Sens!K8480</f>
        <v>178.2508782064</v>
      </c>
    </row>
    <row r="8483" customFormat="false" ht="17.15" hidden="false" customHeight="false" outlineLevel="0" collapsed="false">
      <c r="A8483" s="1" t="s">
        <v>1107</v>
      </c>
      <c r="B8483" s="0" t="s">
        <v>98</v>
      </c>
      <c r="F8483" s="6" t="n">
        <f aca="false">Sens!F8425*sbc_r</f>
        <v>14.661537159472</v>
      </c>
      <c r="G8483" s="6" t="n">
        <f aca="false">Sens!G8425*sbc_r</f>
        <v>17.0436897595099</v>
      </c>
      <c r="H8483" s="6" t="n">
        <f aca="false">Sens!H8425*sbc_r</f>
        <v>19.2703947010012</v>
      </c>
      <c r="I8483" s="6" t="n">
        <f aca="false">Sens!I8425*sbc_r</f>
        <v>21.6040723593479</v>
      </c>
      <c r="J8483" s="6" t="n">
        <f aca="false">Sens!J8425*sbc_r</f>
        <v>23.5682414665993</v>
      </c>
      <c r="K8483" s="6" t="n">
        <f aca="false">Sens!K8425*sbc_r</f>
        <v>25.1686469559087</v>
      </c>
    </row>
    <row r="8484" customFormat="false" ht="17.15" hidden="false" customHeight="false" outlineLevel="0" collapsed="false">
      <c r="A8484" s="1" t="s">
        <v>1108</v>
      </c>
      <c r="B8484" s="0" t="s">
        <v>98</v>
      </c>
      <c r="F8484" s="6" t="n">
        <f aca="false">wc27-wc26q1</f>
        <v>-4.677</v>
      </c>
      <c r="G8484" s="6" t="n">
        <f aca="false">wc_f</f>
        <v>0</v>
      </c>
      <c r="H8484" s="6" t="n">
        <f aca="false">wc_f</f>
        <v>0</v>
      </c>
      <c r="I8484" s="6" t="n">
        <f aca="false">wc_f</f>
        <v>0</v>
      </c>
      <c r="J8484" s="6" t="n">
        <f aca="false">wc_f</f>
        <v>0</v>
      </c>
      <c r="K8484" s="6" t="n">
        <f aca="false">wc_f</f>
        <v>0</v>
      </c>
      <c r="L8484" s="12" t="s">
        <v>1109</v>
      </c>
    </row>
    <row r="8485" customFormat="false" ht="17.15" hidden="false" customHeight="false" outlineLevel="0" collapsed="false">
      <c r="A8485" s="0" t="s">
        <v>1110</v>
      </c>
      <c r="B8485" s="0" t="s">
        <v>98</v>
      </c>
      <c r="F8485" s="6" t="n">
        <f aca="false">Q!$I$35-Q!$I$26-Q!$I$38-Q!$I$39</f>
        <v>6.493</v>
      </c>
      <c r="L8485" s="1" t="s">
        <v>1111</v>
      </c>
    </row>
    <row r="8486" customFormat="false" ht="15" hidden="false" customHeight="false" outlineLevel="0" collapsed="false">
      <c r="A8486" s="1" t="s">
        <v>908</v>
      </c>
      <c r="B8486" s="0" t="s">
        <v>98</v>
      </c>
      <c r="E8486" s="6" t="n">
        <f aca="false">Q!M35</f>
        <v>182.935</v>
      </c>
      <c r="F8486" s="6" t="n">
        <f aca="false">Sens!F8479+Sens!F8482+Sens!F8483+Sens!F8484+Sens!F8485</f>
        <v>215.166817719896</v>
      </c>
      <c r="G8486" s="6" t="n">
        <f aca="false">Sens!G8479+Sens!G8482+Sens!G8483+Sens!G8484</f>
        <v>245.480936753302</v>
      </c>
      <c r="H8486" s="6" t="n">
        <f aca="false">Sens!H8479+Sens!H8482+Sens!H8483+Sens!H8484</f>
        <v>279.567610392433</v>
      </c>
      <c r="I8486" s="6" t="n">
        <f aca="false">Sens!I8479+Sens!I8482+Sens!I8483+Sens!I8484</f>
        <v>317.279341617352</v>
      </c>
      <c r="J8486" s="6" t="n">
        <f aca="false">Sens!J8479+Sens!J8482+Sens!J8483+Sens!J8484</f>
        <v>348.9199319354</v>
      </c>
      <c r="K8486" s="6" t="n">
        <f aca="false">Sens!K8479+Sens!K8482+Sens!K8483+Sens!K8484</f>
        <v>374.753204574659</v>
      </c>
    </row>
    <row r="8487" customFormat="false" ht="17.15" hidden="false" customHeight="false" outlineLevel="0" collapsed="false">
      <c r="A8487" s="0" t="s">
        <v>1112</v>
      </c>
      <c r="B8487" s="0" t="s">
        <v>98</v>
      </c>
      <c r="F8487" s="6" t="n">
        <f aca="false">Sens!F8395</f>
        <v>168.45390404212</v>
      </c>
      <c r="G8487" s="6" t="n">
        <f aca="false">Sens!G8395</f>
        <v>191.944475649048</v>
      </c>
      <c r="H8487" s="6" t="n">
        <f aca="false">Sens!H8395</f>
        <v>196.806004064512</v>
      </c>
      <c r="I8487" s="6" t="n">
        <f aca="false">Sens!I8395</f>
        <v>168.61483362161</v>
      </c>
      <c r="J8487" s="6" t="n">
        <f aca="false">Sens!J8395</f>
        <v>128.92993119594</v>
      </c>
      <c r="K8487" s="6" t="n">
        <f aca="false">Sens!K8395</f>
        <v>118.962853064733</v>
      </c>
    </row>
    <row r="8488" customFormat="false" ht="17.15" hidden="false" customHeight="false" outlineLevel="0" collapsed="false">
      <c r="A8488" s="1" t="s">
        <v>1113</v>
      </c>
      <c r="B8488" s="0" t="s">
        <v>98</v>
      </c>
      <c r="E8488" s="6" t="n">
        <f aca="false">Sens!E8403*cx_azo+Sens!E8410*cx_m365+Sens!E8411*cx_lic+(Sens!E8413+Sens!E8415)*cx_ind+Sens!E8418*cx_srch+(Sens!E8420+Sens!E8422)*cx_dev</f>
        <v>30.1846587067718</v>
      </c>
      <c r="F8488" s="6" t="n">
        <f aca="false">Sens!F8403*cx_azo+Sens!F8410*cx_m365+Sens!F8411*cx_lic+(Sens!F8413+Sens!F8415)*cx_ind+Sens!F8418*cx_srch+(Sens!F8420+Sens!F8422)*cx_dev</f>
        <v>35.6015117697397</v>
      </c>
      <c r="G8488" s="6" t="n">
        <f aca="false">Sens!G8403*cx_azo+Sens!G8410*cx_m365+Sens!G8411*cx_lic+(Sens!G8413+Sens!G8415)*cx_ind+Sens!G8418*cx_srch+(Sens!G8420+Sens!G8422)*cx_dev</f>
        <v>40.8803705849032</v>
      </c>
      <c r="H8488" s="6" t="n">
        <f aca="false">Sens!H8403*cx_azo+Sens!H8410*cx_m365+Sens!H8411*cx_lic+(Sens!H8413+Sens!H8415)*cx_ind+Sens!H8418*cx_srch+(Sens!H8420+Sens!H8422)*cx_dev</f>
        <v>46.2457531373581</v>
      </c>
      <c r="I8488" s="6" t="n">
        <f aca="false">Sens!I8403*cx_azo+Sens!I8410*cx_m365+Sens!I8411*cx_lic+(Sens!I8413+Sens!I8415)*cx_ind+Sens!I8418*cx_srch+(Sens!I8420+Sens!I8422)*cx_dev</f>
        <v>51.4324170693753</v>
      </c>
      <c r="J8488" s="6" t="n">
        <f aca="false">Sens!J8403*cx_azo+Sens!J8410*cx_m365+Sens!J8411*cx_lic+(Sens!J8413+Sens!J8415)*cx_ind+Sens!J8418*cx_srch+(Sens!J8420+Sens!J8422)*cx_dev</f>
        <v>56.2026990770748</v>
      </c>
      <c r="K8488" s="6" t="n">
        <f aca="false">Sens!K8403*cx_azo+Sens!K8410*cx_m365+Sens!K8411*cx_lic+(Sens!K8413+Sens!K8415)*cx_ind+Sens!K8418*cx_srch+(Sens!K8420+Sens!K8422)*cx_dev</f>
        <v>60.3650598177079</v>
      </c>
    </row>
    <row r="8489" customFormat="false" ht="17.15" hidden="false" customHeight="false" outlineLevel="0" collapsed="false">
      <c r="A8489" s="0" t="s">
        <v>1114</v>
      </c>
      <c r="B8489" s="0" t="s">
        <v>98</v>
      </c>
      <c r="F8489" s="6" t="n">
        <f aca="false">Sens!F8393</f>
        <v>0.144584188140747</v>
      </c>
      <c r="L8489" s="1" t="s">
        <v>1115</v>
      </c>
    </row>
    <row r="8490" customFormat="false" ht="17.15" hidden="false" customHeight="false" outlineLevel="0" collapsed="false">
      <c r="A8490" s="1" t="s">
        <v>1116</v>
      </c>
      <c r="B8490" s="0" t="s">
        <v>98</v>
      </c>
      <c r="E8490" s="6" t="n">
        <f aca="false">Q!M43</f>
        <v>145.3</v>
      </c>
      <c r="F8490" s="6" t="n">
        <f aca="false">Sens!F8487+Sens!F8488+Sens!F8489</f>
        <v>204.2</v>
      </c>
      <c r="G8490" s="6" t="n">
        <f aca="false">Sens!G8487+Sens!G8488</f>
        <v>232.824846233951</v>
      </c>
      <c r="H8490" s="6" t="n">
        <f aca="false">Sens!H8487+Sens!H8488</f>
        <v>243.05175720187</v>
      </c>
      <c r="I8490" s="6" t="n">
        <f aca="false">Sens!I8487+Sens!I8488</f>
        <v>220.047250690986</v>
      </c>
      <c r="J8490" s="6" t="n">
        <f aca="false">Sens!J8487+Sens!J8488</f>
        <v>185.132630273015</v>
      </c>
      <c r="K8490" s="6" t="n">
        <f aca="false">Sens!K8487+Sens!K8488</f>
        <v>179.327912882441</v>
      </c>
      <c r="L8490" s="1" t="s">
        <v>1117</v>
      </c>
    </row>
    <row r="8491" customFormat="false" ht="15" hidden="false" customHeight="false" outlineLevel="0" collapsed="false">
      <c r="A8491" s="1" t="s">
        <v>1118</v>
      </c>
      <c r="B8491" s="0" t="s">
        <v>98</v>
      </c>
      <c r="E8491" s="6" t="n">
        <f aca="false">fl_liab</f>
        <v>66.594</v>
      </c>
      <c r="F8491" s="6" t="n">
        <f aca="false">Sens!E8491-Sens!F8492</f>
        <v>62.46973</v>
      </c>
      <c r="G8491" s="6" t="n">
        <f aca="false">Sens!F8491-Sens!G8492</f>
        <v>57.98686785</v>
      </c>
      <c r="H8491" s="6" t="n">
        <f aca="false">Sens!G8491-Sens!H8492</f>
        <v>53.92827690325</v>
      </c>
      <c r="I8491" s="6" t="n">
        <f aca="false">Sens!H8491-Sens!I8492</f>
        <v>49.7850493638962</v>
      </c>
      <c r="J8491" s="6" t="n">
        <f aca="false">Sens!I8491-Sens!J8492</f>
        <v>45.4823765852716</v>
      </c>
      <c r="K8491" s="6" t="n">
        <f aca="false">Sens!J8491-Sens!K8492</f>
        <v>40.9860835316088</v>
      </c>
    </row>
    <row r="8492" customFormat="false" ht="15" hidden="false" customHeight="false" outlineLevel="0" collapsed="false">
      <c r="A8492" s="1" t="s">
        <v>1119</v>
      </c>
      <c r="B8492" s="0" t="s">
        <v>98</v>
      </c>
      <c r="F8492" s="6" t="n">
        <f aca="false">fl_pay_27-Sens!E8491*fl_rate</f>
        <v>4.12427</v>
      </c>
      <c r="G8492" s="6" t="n">
        <f aca="false">fl_pay_28-Sens!F8491*fl_rate</f>
        <v>4.48286215</v>
      </c>
      <c r="H8492" s="6" t="n">
        <f aca="false">fl_pay_29-Sens!G8491*fl_rate</f>
        <v>4.05859094675</v>
      </c>
      <c r="I8492" s="6" t="n">
        <f aca="false">fl_pay_30-Sens!H8491*fl_rate</f>
        <v>4.14322753935375</v>
      </c>
      <c r="J8492" s="6" t="n">
        <f aca="false">fl_pay_31-Sens!I8491*fl_rate</f>
        <v>4.30267277862467</v>
      </c>
      <c r="K8492" s="6" t="n">
        <f aca="false">fl_pay_32-Sens!J8491*fl_rate</f>
        <v>4.49629305366278</v>
      </c>
    </row>
    <row r="8493" customFormat="false" ht="17.15" hidden="false" customHeight="false" outlineLevel="0" collapsed="false">
      <c r="A8493" s="1" t="s">
        <v>1120</v>
      </c>
      <c r="B8493" s="0" t="s">
        <v>98</v>
      </c>
      <c r="E8493" s="6" t="n">
        <f aca="false">Q!M35-Q!M36-Q!M44</f>
        <v>63.886</v>
      </c>
      <c r="F8493" s="6" t="n">
        <f aca="false">Sens!F8486-Sens!F8490-Sens!F8492</f>
        <v>6.84254771989606</v>
      </c>
      <c r="G8493" s="6" t="n">
        <f aca="false">Sens!G8486-Sens!G8490-Sens!G8492</f>
        <v>8.17322836935053</v>
      </c>
      <c r="H8493" s="6" t="n">
        <f aca="false">Sens!H8486-Sens!H8490-Sens!H8492</f>
        <v>32.4572622438124</v>
      </c>
      <c r="I8493" s="6" t="n">
        <f aca="false">Sens!I8486-Sens!I8490-Sens!I8492</f>
        <v>93.0888633870127</v>
      </c>
      <c r="J8493" s="6" t="n">
        <f aca="false">Sens!J8486-Sens!J8490-Sens!J8492</f>
        <v>159.48462888376</v>
      </c>
      <c r="K8493" s="6" t="n">
        <f aca="false">Sens!K8486-Sens!K8490-Sens!K8492</f>
        <v>190.928998638556</v>
      </c>
      <c r="L8493" s="12" t="s">
        <v>1121</v>
      </c>
    </row>
    <row r="8494" customFormat="false" ht="15" hidden="false" customHeight="false" outlineLevel="0" collapsed="false">
      <c r="A8494" s="1" t="s">
        <v>1122</v>
      </c>
      <c r="B8494" s="0" t="s">
        <v>75</v>
      </c>
      <c r="F8494" s="8" t="n">
        <f aca="false">dps_27</f>
        <v>3.85</v>
      </c>
      <c r="G8494" s="8" t="n">
        <f aca="false">Sens!F8494*(1+dps_g)</f>
        <v>4.158</v>
      </c>
      <c r="H8494" s="8" t="n">
        <f aca="false">Sens!G8494*(1+dps_g)</f>
        <v>4.49064</v>
      </c>
      <c r="I8494" s="8" t="n">
        <f aca="false">Sens!H8494*(1+dps_g)</f>
        <v>4.8498912</v>
      </c>
      <c r="J8494" s="8" t="n">
        <f aca="false">Sens!I8494*(1+dps_g)</f>
        <v>5.237882496</v>
      </c>
      <c r="K8494" s="8" t="n">
        <f aca="false">Sens!J8494*(1+dps_g)</f>
        <v>5.65691309568</v>
      </c>
    </row>
    <row r="8495" customFormat="false" ht="17.15" hidden="false" customHeight="false" outlineLevel="0" collapsed="false">
      <c r="A8495" s="1" t="s">
        <v>1123</v>
      </c>
      <c r="B8495" s="0" t="s">
        <v>98</v>
      </c>
      <c r="E8495" s="6" t="n">
        <f aca="false">Q!M41</f>
        <v>26.445</v>
      </c>
      <c r="F8495" s="6" t="n">
        <f aca="false">Sens!F8494*Sens!E8504</f>
        <v>28.59395</v>
      </c>
      <c r="G8495" s="6" t="n">
        <f aca="false">Sens!G8494*Sens!F8504</f>
        <v>31.068576</v>
      </c>
      <c r="H8495" s="6" t="n">
        <f aca="false">Sens!H8494*Sens!G8504</f>
        <v>33.75614088</v>
      </c>
      <c r="I8495" s="6" t="n">
        <f aca="false">Sens!I8494*Sens!H8504</f>
        <v>36.6748772544</v>
      </c>
      <c r="J8495" s="6" t="n">
        <f aca="false">Sens!J8494*Sens!I8504</f>
        <v>39.6767653201446</v>
      </c>
      <c r="K8495" s="6" t="n">
        <f aca="false">Sens!K8494*Sens!J8504</f>
        <v>42.9376608081345</v>
      </c>
      <c r="L8495" s="1" t="s">
        <v>1124</v>
      </c>
    </row>
    <row r="8496" customFormat="false" ht="15" hidden="false" customHeight="false" outlineLevel="0" collapsed="false">
      <c r="A8496" s="1" t="s">
        <v>1125</v>
      </c>
      <c r="B8496" s="0" t="s">
        <v>98</v>
      </c>
      <c r="E8496" s="6" t="n">
        <f aca="false">Sens!E8493-Sens!E8495</f>
        <v>37.441</v>
      </c>
      <c r="F8496" s="6" t="n">
        <f aca="false">Sens!F8493-Sens!F8495</f>
        <v>-21.7514022801039</v>
      </c>
      <c r="G8496" s="6" t="n">
        <f aca="false">Sens!G8493-Sens!G8495</f>
        <v>-22.8953476306495</v>
      </c>
      <c r="H8496" s="6" t="n">
        <f aca="false">Sens!H8493-Sens!H8495</f>
        <v>-1.2988786361876</v>
      </c>
      <c r="I8496" s="6" t="n">
        <f aca="false">Sens!I8493-Sens!I8495</f>
        <v>56.4139861326127</v>
      </c>
      <c r="J8496" s="6" t="n">
        <f aca="false">Sens!J8493-Sens!J8495</f>
        <v>119.807863563615</v>
      </c>
      <c r="K8496" s="6" t="n">
        <f aca="false">Sens!K8493-Sens!K8495</f>
        <v>147.991337830422</v>
      </c>
    </row>
    <row r="8497" customFormat="false" ht="15" hidden="false" customHeight="false" outlineLevel="0" collapsed="false">
      <c r="A8497" s="1" t="s">
        <v>1126</v>
      </c>
      <c r="B8497" s="0" t="s">
        <v>98</v>
      </c>
      <c r="F8497" s="6" t="n">
        <f aca="false">debt_mat_27</f>
        <v>9.25</v>
      </c>
      <c r="G8497" s="6" t="n">
        <f aca="false">debt_mat_28</f>
        <v>0</v>
      </c>
      <c r="H8497" s="6" t="n">
        <f aca="false">debt_mat_29</f>
        <v>2.001</v>
      </c>
      <c r="I8497" s="6" t="n">
        <f aca="false">debt_mat_30</f>
        <v>0</v>
      </c>
      <c r="J8497" s="6" t="n">
        <f aca="false">debt_mat_31</f>
        <v>0.5</v>
      </c>
      <c r="K8497" s="6" t="n">
        <f aca="false">debt_mat_32</f>
        <v>0</v>
      </c>
    </row>
    <row r="8498" customFormat="false" ht="15" hidden="false" customHeight="false" outlineLevel="0" collapsed="false">
      <c r="A8498" s="1" t="s">
        <v>1127</v>
      </c>
      <c r="B8498" s="0" t="s">
        <v>98</v>
      </c>
      <c r="E8498" s="6" t="n">
        <f aca="false">Q!M40</f>
        <v>22.271</v>
      </c>
      <c r="F8498" s="6" t="n">
        <f aca="false">MAX(0,MIN(bb_target,Sens!E8500+Sens!F8496-Sens!F8497-min_cash))</f>
        <v>0</v>
      </c>
      <c r="G8498" s="6" t="n">
        <f aca="false">MAX(0,MIN(bb_target,Sens!F8500+Sens!G8496-Sens!G8497-min_cash))</f>
        <v>0</v>
      </c>
      <c r="H8498" s="6" t="n">
        <f aca="false">MAX(0,MIN(bb_target,Sens!G8500+Sens!H8496-Sens!H8497-min_cash))</f>
        <v>0</v>
      </c>
      <c r="I8498" s="6" t="n">
        <f aca="false">MAX(0,MIN(bb_target,Sens!H8500+Sens!I8496-Sens!I8497-min_cash))</f>
        <v>22.271</v>
      </c>
      <c r="J8498" s="6" t="n">
        <f aca="false">MAX(0,MIN(bb_target,Sens!I8500+Sens!J8496-Sens!J8497-min_cash))</f>
        <v>22.271</v>
      </c>
      <c r="K8498" s="6" t="n">
        <f aca="false">MAX(0,MIN(bb_target,Sens!J8500+Sens!K8496-Sens!K8497-min_cash))</f>
        <v>22.271</v>
      </c>
    </row>
    <row r="8499" customFormat="false" ht="15" hidden="false" customHeight="false" outlineLevel="0" collapsed="false">
      <c r="A8499" s="1" t="s">
        <v>1128</v>
      </c>
      <c r="B8499" s="0" t="s">
        <v>98</v>
      </c>
      <c r="F8499" s="6" t="n">
        <f aca="false">MAX(0,min_cash-(Sens!E8500+Sens!F8496-Sens!F8497-Sens!F8498))</f>
        <v>4.15840228010394</v>
      </c>
      <c r="G8499" s="6" t="n">
        <f aca="false">MAX(0,min_cash-(Sens!F8500+Sens!G8496-Sens!G8497-Sens!G8498))</f>
        <v>22.8953476306495</v>
      </c>
      <c r="H8499" s="6" t="n">
        <f aca="false">MAX(0,min_cash-(Sens!G8500+Sens!H8496-Sens!H8497-Sens!H8498))</f>
        <v>3.29987863618759</v>
      </c>
      <c r="I8499" s="6" t="n">
        <f aca="false">MAX(0,min_cash-(Sens!H8500+Sens!I8496-Sens!I8497-Sens!I8498))</f>
        <v>0</v>
      </c>
      <c r="J8499" s="6" t="n">
        <f aca="false">MAX(0,min_cash-(Sens!I8500+Sens!J8496-Sens!J8497-Sens!J8498))</f>
        <v>0</v>
      </c>
      <c r="K8499" s="6" t="n">
        <f aca="false">MAX(0,min_cash-(Sens!J8500+Sens!K8496-Sens!K8497-Sens!K8498))</f>
        <v>0</v>
      </c>
    </row>
    <row r="8500" customFormat="false" ht="15" hidden="false" customHeight="false" outlineLevel="0" collapsed="false">
      <c r="A8500" s="1" t="s">
        <v>1129</v>
      </c>
      <c r="B8500" s="0" t="s">
        <v>98</v>
      </c>
      <c r="E8500" s="6" t="n">
        <f aca="false">cash_open</f>
        <v>76.843</v>
      </c>
      <c r="F8500" s="6" t="n">
        <f aca="false">Sens!E8500+Sens!F8496-Sens!F8497-Sens!F8498+Sens!F8499</f>
        <v>50</v>
      </c>
      <c r="G8500" s="6" t="n">
        <f aca="false">Sens!F8500+Sens!G8496-Sens!G8497-Sens!G8498+Sens!G8499</f>
        <v>50</v>
      </c>
      <c r="H8500" s="6" t="n">
        <f aca="false">Sens!G8500+Sens!H8496-Sens!H8497-Sens!H8498+Sens!H8499</f>
        <v>50</v>
      </c>
      <c r="I8500" s="6" t="n">
        <f aca="false">Sens!H8500+Sens!I8496-Sens!I8497-Sens!I8498+Sens!I8499</f>
        <v>84.1429861326127</v>
      </c>
      <c r="J8500" s="6" t="n">
        <f aca="false">Sens!I8500+Sens!J8496-Sens!J8497-Sens!J8498+Sens!J8499</f>
        <v>181.179849696228</v>
      </c>
      <c r="K8500" s="6" t="n">
        <f aca="false">Sens!J8500+Sens!K8496-Sens!K8497-Sens!K8498+Sens!K8499</f>
        <v>306.90018752665</v>
      </c>
    </row>
    <row r="8501" customFormat="false" ht="15" hidden="false" customHeight="false" outlineLevel="0" collapsed="false">
      <c r="A8501" s="1" t="s">
        <v>1130</v>
      </c>
      <c r="B8501" s="0" t="s">
        <v>98</v>
      </c>
      <c r="E8501" s="6" t="n">
        <f aca="false">debt_face</f>
        <v>46.136</v>
      </c>
      <c r="F8501" s="6" t="n">
        <f aca="false">Sens!E8501-Sens!F8497+Sens!F8499</f>
        <v>41.0444022801039</v>
      </c>
      <c r="G8501" s="6" t="n">
        <f aca="false">Sens!F8501-Sens!G8497+Sens!G8499</f>
        <v>63.9397499107534</v>
      </c>
      <c r="H8501" s="6" t="n">
        <f aca="false">Sens!G8501-Sens!H8497+Sens!H8499</f>
        <v>65.238628546941</v>
      </c>
      <c r="I8501" s="6" t="n">
        <f aca="false">Sens!H8501-Sens!I8497+Sens!I8499</f>
        <v>65.238628546941</v>
      </c>
      <c r="J8501" s="6" t="n">
        <f aca="false">Sens!I8501-Sens!J8497+Sens!J8499</f>
        <v>64.738628546941</v>
      </c>
      <c r="K8501" s="6" t="n">
        <f aca="false">Sens!J8501-Sens!K8497+Sens!K8499</f>
        <v>64.738628546941</v>
      </c>
    </row>
    <row r="8502" customFormat="false" ht="15" hidden="false" customHeight="false" outlineLevel="0" collapsed="false">
      <c r="A8502" s="1" t="s">
        <v>1131</v>
      </c>
      <c r="B8502" s="0" t="s">
        <v>98</v>
      </c>
      <c r="E8502" s="6" t="n">
        <f aca="false">Sens!E8500-Sens!E8501</f>
        <v>30.707</v>
      </c>
      <c r="F8502" s="6" t="n">
        <f aca="false">Sens!F8500-Sens!F8501</f>
        <v>8.95559771989606</v>
      </c>
      <c r="G8502" s="6" t="n">
        <f aca="false">Sens!G8500-Sens!G8501</f>
        <v>-13.9397499107534</v>
      </c>
      <c r="H8502" s="6" t="n">
        <f aca="false">Sens!H8500-Sens!H8501</f>
        <v>-15.238628546941</v>
      </c>
      <c r="I8502" s="6" t="n">
        <f aca="false">Sens!I8500-Sens!I8501</f>
        <v>18.9043575856717</v>
      </c>
      <c r="J8502" s="6" t="n">
        <f aca="false">Sens!J8500-Sens!J8501</f>
        <v>116.441221149287</v>
      </c>
      <c r="K8502" s="6" t="n">
        <f aca="false">Sens!K8500-Sens!K8501</f>
        <v>242.161558979709</v>
      </c>
    </row>
    <row r="8503" customFormat="false" ht="15" hidden="false" customHeight="false" outlineLevel="0" collapsed="false">
      <c r="A8503" s="1" t="s">
        <v>1132</v>
      </c>
      <c r="B8503" s="0" t="s">
        <v>75</v>
      </c>
      <c r="F8503" s="30" t="n">
        <f aca="false">px*(1+bb_g)^(Sens!F8361-base_fy-mid_yr)</f>
        <v>551.84177959629</v>
      </c>
      <c r="G8503" s="30" t="n">
        <f aca="false">px*(1+bb_g)^(Sens!G8361-base_fy-mid_yr)</f>
        <v>595.989121963993</v>
      </c>
      <c r="H8503" s="30" t="n">
        <f aca="false">px*(1+bb_g)^(Sens!H8361-base_fy-mid_yr)</f>
        <v>643.668251721112</v>
      </c>
      <c r="I8503" s="30" t="n">
        <f aca="false">px*(1+bb_g)^(Sens!I8361-base_fy-mid_yr)</f>
        <v>695.161711858801</v>
      </c>
      <c r="J8503" s="30" t="n">
        <f aca="false">px*(1+bb_g)^(Sens!J8361-base_fy-mid_yr)</f>
        <v>750.774648807506</v>
      </c>
      <c r="K8503" s="30" t="n">
        <f aca="false">px*(1+bb_g)^(Sens!K8361-base_fy-mid_yr)</f>
        <v>810.836620712106</v>
      </c>
    </row>
    <row r="8504" customFormat="false" ht="15" hidden="false" customHeight="false" outlineLevel="0" collapsed="false">
      <c r="A8504" s="1" t="s">
        <v>1133</v>
      </c>
      <c r="B8504" s="1" t="s">
        <v>81</v>
      </c>
      <c r="E8504" s="15" t="n">
        <f aca="false">sh_out26</f>
        <v>7.427</v>
      </c>
      <c r="F8504" s="15" t="n">
        <f aca="false">Sens!E8504+sh_iss-Sens!F8498/Sens!F8503</f>
        <v>7.472</v>
      </c>
      <c r="G8504" s="15" t="n">
        <f aca="false">Sens!F8504+sh_iss-Sens!G8498/Sens!G8503</f>
        <v>7.517</v>
      </c>
      <c r="H8504" s="15" t="n">
        <f aca="false">Sens!G8504+sh_iss-Sens!H8498/Sens!H8503</f>
        <v>7.562</v>
      </c>
      <c r="I8504" s="15" t="n">
        <f aca="false">Sens!H8504+sh_iss-Sens!I8498/Sens!I8503</f>
        <v>7.57496285005334</v>
      </c>
      <c r="J8504" s="15" t="n">
        <f aca="false">Sens!I8504+sh_iss-Sens!J8498/Sens!J8503</f>
        <v>7.59029882232494</v>
      </c>
      <c r="K8504" s="15" t="n">
        <f aca="false">Sens!J8504+sh_iss-Sens!K8498/Sens!K8503</f>
        <v>7.60783212998384</v>
      </c>
    </row>
    <row r="8505" customFormat="false" ht="15" hidden="false" customHeight="false" outlineLevel="0" collapsed="false">
      <c r="A8505" s="1" t="s">
        <v>1134</v>
      </c>
      <c r="B8505" s="1" t="s">
        <v>81</v>
      </c>
      <c r="E8505" s="15" t="n">
        <f aca="false">sh_dil26</f>
        <v>7.453</v>
      </c>
      <c r="F8505" s="15" t="n">
        <f aca="false">(Sens!E8504+Sens!F8504)/2+dil_gap</f>
        <v>7.4735</v>
      </c>
      <c r="G8505" s="15" t="n">
        <f aca="false">(Sens!F8504+Sens!G8504)/2+dil_gap</f>
        <v>7.5185</v>
      </c>
      <c r="H8505" s="15" t="n">
        <f aca="false">(Sens!G8504+Sens!H8504)/2+dil_gap</f>
        <v>7.5635</v>
      </c>
      <c r="I8505" s="15" t="n">
        <f aca="false">(Sens!H8504+Sens!I8504)/2+dil_gap</f>
        <v>7.59248142502667</v>
      </c>
      <c r="J8505" s="15" t="n">
        <f aca="false">(Sens!I8504+Sens!J8504)/2+dil_gap</f>
        <v>7.60663083618914</v>
      </c>
      <c r="K8505" s="15" t="n">
        <f aca="false">(Sens!J8504+Sens!K8504)/2+dil_gap</f>
        <v>7.62306547615439</v>
      </c>
    </row>
    <row r="8506" customFormat="false" ht="17.15" hidden="false" customHeight="false" outlineLevel="0" collapsed="false">
      <c r="A8506" s="1" t="s">
        <v>1135</v>
      </c>
      <c r="B8506" s="0" t="s">
        <v>98</v>
      </c>
      <c r="C8506" s="6" t="n">
        <f aca="false">SUM(Sens!F8496:J8496)</f>
        <v>130.276221149287</v>
      </c>
    </row>
    <row r="8507" customFormat="false" ht="15" hidden="false" customHeight="false" outlineLevel="0" collapsed="false">
      <c r="A8507" s="26" t="s">
        <v>1100</v>
      </c>
      <c r="B8507" s="31" t="s">
        <v>98</v>
      </c>
      <c r="C8507" s="27" t="n">
        <f aca="false">Sens!$C$8506-(Sens!F8496+Sens!G8496+Sens!H8496+Sens!I8496+Sens!J8496)</f>
        <v>0</v>
      </c>
      <c r="D8507" s="31"/>
      <c r="E8507" s="31"/>
      <c r="F8507" s="31"/>
      <c r="G8507" s="31"/>
      <c r="H8507" s="31"/>
      <c r="I8507" s="31"/>
      <c r="J8507" s="31"/>
      <c r="K8507" s="31"/>
    </row>
    <row r="8508" customFormat="false" ht="17.15" hidden="false" customHeight="false" outlineLevel="0" collapsed="false">
      <c r="A8508" s="1" t="s">
        <v>1094</v>
      </c>
      <c r="B8508" s="1" t="s">
        <v>1136</v>
      </c>
      <c r="C8508" s="33" t="str">
        <f aca="false">IF(SUM(Sens!F8499:J8499)&gt;0.05,"需要舉債 "&amp;TEXT(SUM(Sens!F8499:J8499),"0.0")&amp;" 十億美元","不需舉債")&amp;"；"&amp;IF(SUM(Sens!F8498:J8498)&lt;COUNT(Sens!F8498:J8498)*bb_target-0.05,"回購較每年 "&amp;TEXT(bb_target,"0.0")&amp;" 的目標少 "&amp;TEXT(COUNT(Sens!F8498:J8498)*bb_target-SUM(Sens!F8498:J8498),"0.0")&amp;" 十億美元（"&amp;TEXT(COUNTIF(Sens!F8498:J8498,"&lt;"&amp;(bb_target-0.05)),"0")&amp;" 年減少）","回購不減")</f>
        <v>需要舉債 30.4 十億美元；回購較每年 22.3 的目標少 66.8 十億美元（3 年減少）</v>
      </c>
    </row>
    <row r="8509" customFormat="false" ht="17.15" hidden="false" customHeight="false" outlineLevel="0" collapsed="false">
      <c r="A8509" s="3" t="s">
        <v>1824</v>
      </c>
    </row>
    <row r="8510" customFormat="false" ht="15" hidden="false" customHeight="false" outlineLevel="0" collapsed="false">
      <c r="A8510" s="4" t="s">
        <v>43</v>
      </c>
      <c r="B8510" s="4" t="s">
        <v>65</v>
      </c>
      <c r="C8510" s="23" t="s">
        <v>942</v>
      </c>
      <c r="D8510" s="23" t="s">
        <v>943</v>
      </c>
      <c r="E8510" s="23" t="s">
        <v>944</v>
      </c>
      <c r="F8510" s="23" t="s">
        <v>945</v>
      </c>
      <c r="G8510" s="23" t="s">
        <v>946</v>
      </c>
      <c r="H8510" s="23" t="s">
        <v>947</v>
      </c>
      <c r="I8510" s="23" t="s">
        <v>948</v>
      </c>
      <c r="J8510" s="23" t="s">
        <v>949</v>
      </c>
      <c r="K8510" s="23" t="s">
        <v>950</v>
      </c>
      <c r="L8510" s="4" t="s">
        <v>47</v>
      </c>
    </row>
    <row r="8511" customFormat="false" ht="17.15" hidden="false" customHeight="false" outlineLevel="0" collapsed="false">
      <c r="A8511" s="1" t="s">
        <v>1216</v>
      </c>
      <c r="B8511" s="1" t="s">
        <v>279</v>
      </c>
      <c r="F8511" s="8" t="n">
        <f aca="false">(1-v_off)*mid_yr</f>
        <v>0.373972602739726</v>
      </c>
      <c r="G8511" s="8" t="n">
        <f aca="false">Sens!G8361-base_fy-mid_yr-v_off</f>
        <v>1.24794520547945</v>
      </c>
      <c r="H8511" s="8" t="n">
        <f aca="false">Sens!H8361-base_fy-mid_yr-v_off</f>
        <v>2.24794520547945</v>
      </c>
      <c r="I8511" s="8" t="n">
        <f aca="false">Sens!I8361-base_fy-mid_yr-v_off</f>
        <v>3.24794520547945</v>
      </c>
      <c r="J8511" s="8" t="n">
        <f aca="false">Sens!J8361-base_fy-mid_yr-v_off</f>
        <v>4.24794520547945</v>
      </c>
      <c r="K8511" s="8" t="n">
        <f aca="false">Sens!K8361-base_fy-mid_yr-v_off</f>
        <v>5.24794520547945</v>
      </c>
      <c r="L8511" s="12" t="s">
        <v>1217</v>
      </c>
    </row>
    <row r="8512" customFormat="false" ht="15" hidden="false" customHeight="false" outlineLevel="0" collapsed="false">
      <c r="A8512" s="1" t="s">
        <v>1218</v>
      </c>
      <c r="B8512" s="1" t="s">
        <v>279</v>
      </c>
      <c r="F8512" s="8" t="n">
        <f aca="false">Sens!F8361-base_fy-v_off</f>
        <v>0.747945205479452</v>
      </c>
      <c r="G8512" s="8" t="n">
        <f aca="false">Sens!G8361-base_fy-v_off</f>
        <v>1.74794520547945</v>
      </c>
      <c r="H8512" s="8" t="n">
        <f aca="false">Sens!H8361-base_fy-v_off</f>
        <v>2.74794520547945</v>
      </c>
      <c r="I8512" s="8" t="n">
        <f aca="false">Sens!I8361-base_fy-v_off</f>
        <v>3.74794520547945</v>
      </c>
      <c r="J8512" s="8" t="n">
        <f aca="false">Sens!J8361-base_fy-v_off</f>
        <v>4.74794520547945</v>
      </c>
      <c r="K8512" s="8" t="n">
        <f aca="false">Sens!K8361-base_fy-v_off</f>
        <v>5.74794520547945</v>
      </c>
    </row>
    <row r="8513" customFormat="false" ht="15" hidden="false" customHeight="false" outlineLevel="0" collapsed="false">
      <c r="A8513" s="1" t="s">
        <v>1219</v>
      </c>
      <c r="B8513" s="0" t="s">
        <v>229</v>
      </c>
      <c r="F8513" s="15" t="n">
        <f aca="false">1/(1+wacc)^Sens!F8511</f>
        <v>0.964022703286649</v>
      </c>
      <c r="G8513" s="15" t="n">
        <f aca="false">1/(1+wacc)^Sens!G8511</f>
        <v>0.884910302296739</v>
      </c>
      <c r="H8513" s="15" t="n">
        <f aca="false">1/(1+wacc)^Sens!H8511</f>
        <v>0.802322009770358</v>
      </c>
      <c r="I8513" s="15" t="n">
        <f aca="false">1/(1+wacc)^Sens!I8511</f>
        <v>0.727441646561469</v>
      </c>
      <c r="J8513" s="15" t="n">
        <f aca="false">1/(1+wacc)^Sens!J8511</f>
        <v>0.659549834988973</v>
      </c>
      <c r="K8513" s="15" t="n">
        <f aca="false">1/(1+wacc)^Sens!K8511</f>
        <v>0.597994336576966</v>
      </c>
    </row>
    <row r="8514" customFormat="false" ht="17.15" hidden="false" customHeight="false" outlineLevel="0" collapsed="false">
      <c r="A8514" s="1" t="s">
        <v>1220</v>
      </c>
      <c r="B8514" s="0" t="s">
        <v>98</v>
      </c>
      <c r="F8514" s="6" t="n">
        <f aca="false">Q!$I$35-Q!$I$39-Q!$I$43</f>
        <v>9.666</v>
      </c>
      <c r="L8514" s="12" t="s">
        <v>1221</v>
      </c>
    </row>
    <row r="8515" customFormat="false" ht="17.15" hidden="false" customHeight="false" outlineLevel="0" collapsed="false">
      <c r="A8515" s="1" t="s">
        <v>1222</v>
      </c>
      <c r="B8515" s="0" t="s">
        <v>98</v>
      </c>
      <c r="F8515" s="6" t="n">
        <f aca="false">Sens!F8486-Sens!F8483-Sens!F8490+Sens!F8468*(1-tax_f)*(1-v_off)-Sens!F8514</f>
        <v>-6.01596130083274</v>
      </c>
      <c r="G8515" s="6" t="n">
        <f aca="false">Sens!G8486-Sens!G8483-Sens!G8490+Sens!G8468*(1-tax_f)</f>
        <v>19.6146931288422</v>
      </c>
      <c r="H8515" s="6" t="n">
        <f aca="false">Sens!H8486-Sens!H8483-Sens!H8490+Sens!H8468*(1-tax_f)</f>
        <v>56.6086812595129</v>
      </c>
      <c r="I8515" s="6" t="n">
        <f aca="false">Sens!I8486-Sens!I8483-Sens!I8490+Sens!I8468*(1-tax_f)</f>
        <v>128.643461690823</v>
      </c>
      <c r="J8515" s="6" t="n">
        <f aca="false">Sens!J8486-Sens!J8483-Sens!J8490+Sens!J8468*(1-tax_f)</f>
        <v>202.73382056993</v>
      </c>
      <c r="K8515" s="6" t="n">
        <f aca="false">Sens!K8486-Sens!K8483-Sens!K8490+Sens!K8468*(1-tax_f)</f>
        <v>238.349983924208</v>
      </c>
      <c r="L8515" s="1" t="s">
        <v>1223</v>
      </c>
    </row>
    <row r="8516" customFormat="false" ht="15" hidden="false" customHeight="false" outlineLevel="0" collapsed="false">
      <c r="A8516" s="1" t="s">
        <v>1224</v>
      </c>
      <c r="B8516" s="0" t="s">
        <v>98</v>
      </c>
      <c r="F8516" s="6" t="n">
        <f aca="false">Sens!F8515*Sens!F8513</f>
        <v>-5.79952327609664</v>
      </c>
      <c r="G8516" s="6" t="n">
        <f aca="false">Sens!G8515*Sens!G8513</f>
        <v>17.3572440261015</v>
      </c>
      <c r="H8516" s="6" t="n">
        <f aca="false">Sens!H8515*Sens!H8513</f>
        <v>45.418390918582</v>
      </c>
      <c r="I8516" s="6" t="n">
        <f aca="false">Sens!I8515*Sens!I8513</f>
        <v>93.5806115917394</v>
      </c>
      <c r="J8516" s="6" t="n">
        <f aca="false">Sens!J8515*Sens!J8513</f>
        <v>133.713057903581</v>
      </c>
      <c r="K8516" s="6" t="n">
        <f aca="false">Sens!K8515*Sens!K8513</f>
        <v>142.531940509887</v>
      </c>
    </row>
    <row r="8517" customFormat="false" ht="17.15" hidden="false" customHeight="false" outlineLevel="0" collapsed="false">
      <c r="A8517" s="1" t="s">
        <v>1225</v>
      </c>
      <c r="B8517" s="0" t="s">
        <v>98</v>
      </c>
      <c r="C8517" s="6" t="n">
        <f aca="false">SUM(Sens!F8516:K8516)</f>
        <v>426.801721673795</v>
      </c>
    </row>
    <row r="8518" customFormat="false" ht="17.15" hidden="false" customHeight="false" outlineLevel="0" collapsed="false">
      <c r="A8518" s="1" t="s">
        <v>1226</v>
      </c>
      <c r="B8518" s="0" t="s">
        <v>98</v>
      </c>
      <c r="C8518" s="6" t="n">
        <f aca="false">Sens!K8454*(1+g_tv)*(1-tax_f)</f>
        <v>247.598629158256</v>
      </c>
    </row>
    <row r="8519" customFormat="false" ht="17.15" hidden="false" customHeight="false" outlineLevel="0" collapsed="false">
      <c r="A8519" s="1" t="s">
        <v>1227</v>
      </c>
      <c r="B8519" s="0" t="s">
        <v>98</v>
      </c>
      <c r="C8519" s="6" t="n">
        <f aca="false">Sens!$C$8518*(1-g_tv/(wacc+ronic_prem))</f>
        <v>175.438099977011</v>
      </c>
    </row>
    <row r="8520" customFormat="false" ht="17.15" hidden="false" customHeight="false" outlineLevel="0" collapsed="false">
      <c r="A8520" s="1" t="s">
        <v>1228</v>
      </c>
      <c r="B8520" s="0" t="s">
        <v>98</v>
      </c>
      <c r="C8520" s="6" t="n">
        <f aca="false">Sens!$C$8519/(wacc-g_tv)</f>
        <v>2405.35097270818</v>
      </c>
    </row>
    <row r="8521" customFormat="false" ht="15" hidden="false" customHeight="false" outlineLevel="0" collapsed="false">
      <c r="A8521" s="1" t="s">
        <v>1229</v>
      </c>
      <c r="B8521" s="0" t="s">
        <v>98</v>
      </c>
      <c r="C8521" s="6" t="n">
        <f aca="false">Sens!$C$8520/(1+wacc)^Sens!K8512</f>
        <v>1369.62051678232</v>
      </c>
    </row>
    <row r="8522" customFormat="false" ht="17.15" hidden="false" customHeight="false" outlineLevel="0" collapsed="false">
      <c r="A8522" s="0" t="s">
        <v>1230</v>
      </c>
      <c r="B8522" s="0" t="s">
        <v>98</v>
      </c>
      <c r="C8522" s="6" t="n">
        <f aca="false">Sens!$C$8517+Sens!$C$8521</f>
        <v>1796.42223845611</v>
      </c>
    </row>
    <row r="8523" customFormat="false" ht="15" hidden="false" customHeight="false" outlineLevel="0" collapsed="false">
      <c r="A8523" s="1" t="s">
        <v>1145</v>
      </c>
      <c r="B8523" s="0" t="s">
        <v>168</v>
      </c>
      <c r="C8523" s="7" t="n">
        <f aca="false">Sens!$C$8521/Sens!$C$8522</f>
        <v>0.762415699083865</v>
      </c>
    </row>
    <row r="8524" customFormat="false" ht="17.15" hidden="false" customHeight="false" outlineLevel="0" collapsed="false">
      <c r="A8524" s="1" t="s">
        <v>1231</v>
      </c>
      <c r="B8524" s="0" t="s">
        <v>98</v>
      </c>
      <c r="C8524" s="6" t="n">
        <f aca="false">Sens!$C$8522+cash_val-debt_val-fl_val+oai_v</f>
        <v>1912.27323845611</v>
      </c>
    </row>
    <row r="8525" customFormat="false" ht="17.15" hidden="false" customHeight="false" outlineLevel="0" collapsed="false">
      <c r="A8525" s="0" t="s">
        <v>1153</v>
      </c>
      <c r="B8525" s="0" t="s">
        <v>75</v>
      </c>
      <c r="C8525" s="5" t="n">
        <f aca="false">Sens!$C$8524/shd_val</f>
        <v>256.81886092615</v>
      </c>
    </row>
    <row r="8526" customFormat="false" ht="15" hidden="false" customHeight="false" outlineLevel="0" collapsed="false">
      <c r="A8526" s="1" t="s">
        <v>1232</v>
      </c>
      <c r="B8526" s="0" t="s">
        <v>75</v>
      </c>
      <c r="C8526" s="8" t="n">
        <f aca="false">div_rem27+Sens!G8494*roll_div_q/q_per_yr</f>
        <v>3.9795</v>
      </c>
    </row>
    <row r="8527" customFormat="false" ht="17.15" hidden="false" customHeight="false" outlineLevel="0" collapsed="false">
      <c r="A8527" s="0" t="s">
        <v>1233</v>
      </c>
      <c r="B8527" s="0" t="s">
        <v>75</v>
      </c>
      <c r="C8527" s="5" t="n">
        <f aca="false">Sens!$C$8525*(1+wacc)^t_roll-Sens!$C$8526</f>
        <v>281.488997171071</v>
      </c>
    </row>
    <row r="8528" customFormat="false" ht="17.15" hidden="false" customHeight="false" outlineLevel="0" collapsed="false">
      <c r="A8528" s="1" t="s">
        <v>1234</v>
      </c>
      <c r="B8528" s="0" t="s">
        <v>168</v>
      </c>
      <c r="F8528" s="7" t="n">
        <f aca="false">Sens!F8480/(Sens!F8425-Sens!F8380)</f>
        <v>0.0691059051295626</v>
      </c>
      <c r="G8528" s="7" t="n">
        <f aca="false">Sens!G8480/(Sens!G8425-Sens!G8380)</f>
        <v>0.0667407339193338</v>
      </c>
      <c r="H8528" s="7" t="n">
        <f aca="false">Sens!H8480/(Sens!H8425-Sens!H8380)</f>
        <v>0.0655530035981092</v>
      </c>
      <c r="I8528" s="7" t="n">
        <f aca="false">Sens!I8480/(Sens!I8425-Sens!I8380)</f>
        <v>0.0653893720787367</v>
      </c>
      <c r="J8528" s="7" t="n">
        <f aca="false">Sens!J8480/(Sens!J8425-Sens!J8380)</f>
        <v>0.0660537155098023</v>
      </c>
      <c r="K8528" s="7" t="n">
        <f aca="false">Sens!K8480/(Sens!K8425-Sens!K8380)</f>
        <v>0.0673415162860933</v>
      </c>
    </row>
    <row r="8529" customFormat="false" ht="17.15" hidden="false" customHeight="false" outlineLevel="0" collapsed="false">
      <c r="A8529" s="0" t="s">
        <v>1235</v>
      </c>
      <c r="B8529" s="0" t="s">
        <v>98</v>
      </c>
      <c r="F8529" s="6" t="n">
        <f aca="false">Sens!F8410*(al_m365+Sens!F8528+sbc_r)</f>
        <v>81.382444810858</v>
      </c>
      <c r="G8529" s="6" t="n">
        <f aca="false">Sens!G8410*(al_m365+Sens!G8528+sbc_r)</f>
        <v>91.2465262933756</v>
      </c>
      <c r="H8529" s="6" t="n">
        <f aca="false">Sens!H8410*(al_m365+Sens!H8528+sbc_r)</f>
        <v>101.269666144031</v>
      </c>
      <c r="I8529" s="6" t="n">
        <f aca="false">Sens!I8410*(al_m365+Sens!I8528+sbc_r)</f>
        <v>110.916368544449</v>
      </c>
      <c r="J8529" s="6" t="n">
        <f aca="false">Sens!J8410*(al_m365+Sens!J8528+sbc_r)</f>
        <v>119.996380607792</v>
      </c>
      <c r="K8529" s="6" t="n">
        <f aca="false">Sens!K8410*(al_m365+Sens!K8528+sbc_r)</f>
        <v>128.673046291561</v>
      </c>
      <c r="L8529" s="12" t="s">
        <v>1236</v>
      </c>
    </row>
    <row r="8530" customFormat="false" ht="17.15" hidden="false" customHeight="false" outlineLevel="0" collapsed="false">
      <c r="A8530" s="0" t="s">
        <v>1237</v>
      </c>
      <c r="B8530" s="0" t="s">
        <v>98</v>
      </c>
      <c r="F8530" s="6" t="n">
        <f aca="false">Sens!F8411*(al_lic+Sens!F8528+sbc_r)</f>
        <v>32.8764338815694</v>
      </c>
      <c r="G8530" s="6" t="n">
        <f aca="false">Sens!G8411*(al_lic+Sens!G8528+sbc_r)</f>
        <v>34.1739312721839</v>
      </c>
      <c r="H8530" s="6" t="n">
        <f aca="false">Sens!H8411*(al_lic+Sens!H8528+sbc_r)</f>
        <v>35.3808354579556</v>
      </c>
      <c r="I8530" s="6" t="n">
        <f aca="false">Sens!I8411*(al_lic+Sens!I8528+sbc_r)</f>
        <v>36.4767327152715</v>
      </c>
      <c r="J8530" s="6" t="n">
        <f aca="false">Sens!J8411*(al_lic+Sens!J8528+sbc_r)</f>
        <v>37.4391729245929</v>
      </c>
      <c r="K8530" s="6" t="n">
        <f aca="false">Sens!K8411*(al_lic+Sens!K8528+sbc_r)</f>
        <v>38.2455804609221</v>
      </c>
    </row>
    <row r="8531" customFormat="false" ht="17.15" hidden="false" customHeight="false" outlineLevel="0" collapsed="false">
      <c r="A8531" s="0" t="s">
        <v>1238</v>
      </c>
      <c r="B8531" s="0" t="s">
        <v>98</v>
      </c>
      <c r="F8531" s="6" t="n">
        <f aca="false">Sens!F8413*(al_ind+Sens!F8528+sbc_r)</f>
        <v>9.07127022245792</v>
      </c>
      <c r="G8531" s="6" t="n">
        <f aca="false">Sens!G8413*(al_ind+Sens!G8528+sbc_r)</f>
        <v>9.85832569932879</v>
      </c>
      <c r="H8531" s="6" t="n">
        <f aca="false">Sens!H8413*(al_ind+Sens!H8528+sbc_r)</f>
        <v>10.6878763133622</v>
      </c>
      <c r="I8531" s="6" t="n">
        <f aca="false">Sens!I8413*(al_ind+Sens!I8528+sbc_r)</f>
        <v>11.5549061464895</v>
      </c>
      <c r="J8531" s="6" t="n">
        <f aca="false">Sens!J8413*(al_ind+Sens!J8528+sbc_r)</f>
        <v>12.4510515705775</v>
      </c>
      <c r="K8531" s="6" t="n">
        <f aca="false">Sens!K8413*(al_ind+Sens!K8528+sbc_r)</f>
        <v>13.365152060176</v>
      </c>
    </row>
    <row r="8532" customFormat="false" ht="17.15" hidden="false" customHeight="false" outlineLevel="0" collapsed="false">
      <c r="A8532" s="0" t="s">
        <v>1239</v>
      </c>
      <c r="B8532" s="0" t="s">
        <v>98</v>
      </c>
      <c r="F8532" s="6" t="n">
        <f aca="false">Sens!F8415*(al_fro+Sens!F8528+sbc_r)</f>
        <v>3.55828677098874</v>
      </c>
      <c r="G8532" s="6" t="n">
        <f aca="false">Sens!G8415*(al_fro+Sens!G8528+sbc_r)</f>
        <v>3.77208434009673</v>
      </c>
      <c r="H8532" s="6" t="n">
        <f aca="false">Sens!H8415*(al_fro+Sens!H8528+sbc_r)</f>
        <v>4.01379918090722</v>
      </c>
      <c r="I8532" s="6" t="n">
        <f aca="false">Sens!I8415*(al_fro+Sens!I8528+sbc_r)</f>
        <v>4.28557576369904</v>
      </c>
      <c r="J8532" s="6" t="n">
        <f aca="false">Sens!J8415*(al_fro+Sens!J8528+sbc_r)</f>
        <v>4.58914676315603</v>
      </c>
      <c r="K8532" s="6" t="n">
        <f aca="false">Sens!K8415*(al_fro+Sens!K8528+sbc_r)</f>
        <v>4.92606138271743</v>
      </c>
    </row>
    <row r="8533" customFormat="false" ht="17.15" hidden="false" customHeight="false" outlineLevel="0" collapsed="false">
      <c r="A8533" s="0" t="s">
        <v>1240</v>
      </c>
      <c r="B8533" s="0" t="s">
        <v>98</v>
      </c>
      <c r="F8533" s="6" t="n">
        <f aca="false">Sens!F8418*(al_srch+Sens!F8528+sbc_r)</f>
        <v>11.2024933871299</v>
      </c>
      <c r="G8533" s="6" t="n">
        <f aca="false">Sens!G8418*(al_srch+Sens!G8528+sbc_r)</f>
        <v>12.2893320961327</v>
      </c>
      <c r="H8533" s="6" t="n">
        <f aca="false">Sens!H8418*(al_srch+Sens!H8528+sbc_r)</f>
        <v>13.4182303027535</v>
      </c>
      <c r="I8533" s="6" t="n">
        <f aca="false">Sens!I8418*(al_srch+Sens!I8528+sbc_r)</f>
        <v>14.575923980557</v>
      </c>
      <c r="J8533" s="6" t="n">
        <f aca="false">Sens!J8418*(al_srch+Sens!J8528+sbc_r)</f>
        <v>15.7440118574031</v>
      </c>
      <c r="K8533" s="6" t="n">
        <f aca="false">Sens!K8418*(al_srch+Sens!K8528+sbc_r)</f>
        <v>16.899866755724</v>
      </c>
    </row>
    <row r="8534" customFormat="false" ht="17.15" hidden="false" customHeight="false" outlineLevel="0" collapsed="false">
      <c r="A8534" s="0" t="s">
        <v>1241</v>
      </c>
      <c r="B8534" s="0" t="s">
        <v>98</v>
      </c>
      <c r="F8534" s="6" t="n">
        <f aca="false">Sens!F8386-Sens!F8387+Sens!F8468</f>
        <v>40.6482575910735</v>
      </c>
      <c r="G8534" s="6" t="n">
        <f aca="false">Sens!G8386-Sens!G8387+Sens!G8468</f>
        <v>71.623716512336</v>
      </c>
      <c r="H8534" s="6" t="n">
        <f aca="false">Sens!H8386-Sens!H8387+Sens!H8468</f>
        <v>99.4525336418845</v>
      </c>
      <c r="I8534" s="6" t="n">
        <f aca="false">Sens!I8386-Sens!I8387+Sens!I8468</f>
        <v>130.652465858557</v>
      </c>
      <c r="J8534" s="6" t="n">
        <f aca="false">Sens!J8386-Sens!J8387+Sens!J8468</f>
        <v>152.545680860709</v>
      </c>
      <c r="K8534" s="6" t="n">
        <f aca="false">Sens!K8386-Sens!K8387+Sens!K8468</f>
        <v>166.20895228869</v>
      </c>
    </row>
    <row r="8535" customFormat="false" ht="17.15" hidden="false" customHeight="false" outlineLevel="0" collapsed="false">
      <c r="A8535" s="0" t="s">
        <v>1242</v>
      </c>
      <c r="B8535" s="0" t="s">
        <v>98</v>
      </c>
      <c r="F8535" s="6" t="n">
        <f aca="false">Sens!F8447+Sens!F8468+Sens!F8398+Sens!F8528*(Sens!F8417-Sens!F8380)+sbc_r*Sens!F8417</f>
        <v>235.121957238362</v>
      </c>
      <c r="G8535" s="6" t="n">
        <f aca="false">Sens!G8447+Sens!G8468+Sens!G8398+Sens!G8528*(Sens!G8417-Sens!G8380)+sbc_r*Sens!G8417</f>
        <v>285.749681616082</v>
      </c>
      <c r="H8535" s="6" t="n">
        <f aca="false">Sens!H8447+Sens!H8468+Sens!H8398+Sens!H8528*(Sens!H8417-Sens!H8380)+sbc_r*Sens!H8417</f>
        <v>338.493210561239</v>
      </c>
      <c r="I8535" s="6" t="n">
        <f aca="false">Sens!I8447+Sens!I8468+Sens!I8398+Sens!I8528*(Sens!I8417-Sens!I8380)+sbc_r*Sens!I8417</f>
        <v>394.113152696431</v>
      </c>
      <c r="J8535" s="6" t="n">
        <f aca="false">Sens!J8447+Sens!J8468+Sens!J8398+Sens!J8528*(Sens!J8417-Sens!J8380)+sbc_r*Sens!J8417</f>
        <v>438.629566653903</v>
      </c>
      <c r="K8535" s="6" t="n">
        <f aca="false">Sens!K8447+Sens!K8468+Sens!K8398+Sens!K8528*(Sens!K8417-Sens!K8380)+sbc_r*Sens!K8417</f>
        <v>472.569491554321</v>
      </c>
    </row>
    <row r="8536" customFormat="false" ht="17.15" hidden="false" customHeight="false" outlineLevel="0" collapsed="false">
      <c r="A8536" s="0" t="s">
        <v>1243</v>
      </c>
      <c r="B8536" s="0" t="s">
        <v>98</v>
      </c>
      <c r="F8536" s="6" t="n">
        <f aca="false">Sens!F8535-Sens!F8529-Sens!F8530-Sens!F8531-Sens!F8532-Sens!F8534</f>
        <v>67.5852639614143</v>
      </c>
      <c r="G8536" s="6" t="n">
        <f aca="false">Sens!G8535-Sens!G8529-Sens!G8530-Sens!G8531-Sens!G8532-Sens!G8534</f>
        <v>75.0750974987609</v>
      </c>
      <c r="H8536" s="6" t="n">
        <f aca="false">Sens!H8535-Sens!H8529-Sens!H8530-Sens!H8531-Sens!H8532-Sens!H8534</f>
        <v>87.6884998230982</v>
      </c>
      <c r="I8536" s="6" t="n">
        <f aca="false">Sens!I8535-Sens!I8529-Sens!I8530-Sens!I8531-Sens!I8532-Sens!I8534</f>
        <v>100.227103667964</v>
      </c>
      <c r="J8536" s="6" t="n">
        <f aca="false">Sens!J8535-Sens!J8529-Sens!J8530-Sens!J8531-Sens!J8532-Sens!J8534</f>
        <v>111.608133927076</v>
      </c>
      <c r="K8536" s="6" t="n">
        <f aca="false">Sens!K8535-Sens!K8529-Sens!K8530-Sens!K8531-Sens!K8532-Sens!K8534</f>
        <v>121.150699070254</v>
      </c>
    </row>
    <row r="8537" customFormat="false" ht="17.15" hidden="false" customHeight="false" outlineLevel="0" collapsed="false">
      <c r="A8537" s="0" t="s">
        <v>1244</v>
      </c>
      <c r="B8537" s="0" t="s">
        <v>98</v>
      </c>
      <c r="F8537" s="6" t="n">
        <f aca="false">Sens!F8449+Sens!F8528*Sens!F8424+sbc_r*Sens!F8424</f>
        <v>26.6649093574787</v>
      </c>
      <c r="G8537" s="6" t="n">
        <f aca="false">Sens!G8449+Sens!G8528*Sens!G8424+sbc_r*Sens!G8424</f>
        <v>26.5322229705297</v>
      </c>
      <c r="H8537" s="6" t="n">
        <f aca="false">Sens!H8449+Sens!H8528*Sens!H8424+sbc_r*Sens!H8424</f>
        <v>27.4267376807119</v>
      </c>
      <c r="I8537" s="6" t="n">
        <f aca="false">Sens!I8449+Sens!I8528*Sens!I8424+sbc_r*Sens!I8424</f>
        <v>28.5448726064302</v>
      </c>
      <c r="J8537" s="6" t="n">
        <f aca="false">Sens!J8449+Sens!J8528*Sens!J8424+sbc_r*Sens!J8424</f>
        <v>29.8562360279519</v>
      </c>
      <c r="K8537" s="6" t="n">
        <f aca="false">Sens!K8449+Sens!K8528*Sens!K8424+sbc_r*Sens!K8424</f>
        <v>31.3338068582987</v>
      </c>
    </row>
    <row r="8538" customFormat="false" ht="17.15" hidden="false" customHeight="false" outlineLevel="0" collapsed="false">
      <c r="A8538" s="0" t="s">
        <v>1245</v>
      </c>
      <c r="B8538" s="0" t="s">
        <v>98</v>
      </c>
      <c r="F8538" s="6" t="n">
        <f aca="false">(Sens!F8537-Sens!F8533)*Sens!F8420/(Sens!F8420+Sens!F8422)</f>
        <v>8.732948621165</v>
      </c>
      <c r="G8538" s="6" t="n">
        <f aca="false">(Sens!G8537-Sens!G8533)*Sens!G8420/(Sens!G8420+Sens!G8422)</f>
        <v>7.90592894191458</v>
      </c>
      <c r="H8538" s="6" t="n">
        <f aca="false">(Sens!H8537-Sens!H8533)*Sens!H8420/(Sens!H8420+Sens!H8422)</f>
        <v>7.67453158564322</v>
      </c>
      <c r="I8538" s="6" t="n">
        <f aca="false">(Sens!I8537-Sens!I8533)*Sens!I8420/(Sens!I8420+Sens!I8422)</f>
        <v>7.5860617746753</v>
      </c>
      <c r="J8538" s="6" t="n">
        <f aca="false">(Sens!J8537-Sens!J8533)*Sens!J8420/(Sens!J8420+Sens!J8422)</f>
        <v>7.63043275746831</v>
      </c>
      <c r="K8538" s="6" t="n">
        <f aca="false">(Sens!K8537-Sens!K8533)*Sens!K8420/(Sens!K8420+Sens!K8422)</f>
        <v>7.80438349384149</v>
      </c>
    </row>
    <row r="8539" customFormat="false" ht="17.15" hidden="false" customHeight="false" outlineLevel="0" collapsed="false">
      <c r="A8539" s="0" t="s">
        <v>1246</v>
      </c>
      <c r="B8539" s="0" t="s">
        <v>98</v>
      </c>
      <c r="F8539" s="6" t="n">
        <f aca="false">Sens!F8537-Sens!F8533-Sens!F8538</f>
        <v>6.72946734918378</v>
      </c>
      <c r="G8539" s="6" t="n">
        <f aca="false">Sens!G8537-Sens!G8533-Sens!G8538</f>
        <v>6.33696193248243</v>
      </c>
      <c r="H8539" s="6" t="n">
        <f aca="false">Sens!H8537-Sens!H8533-Sens!H8538</f>
        <v>6.33397579231519</v>
      </c>
      <c r="I8539" s="6" t="n">
        <f aca="false">Sens!I8537-Sens!I8533-Sens!I8538</f>
        <v>6.38288685119789</v>
      </c>
      <c r="J8539" s="6" t="n">
        <f aca="false">Sens!J8537-Sens!J8533-Sens!J8538</f>
        <v>6.4817914130805</v>
      </c>
      <c r="K8539" s="6" t="n">
        <f aca="false">Sens!K8537-Sens!K8533-Sens!K8538</f>
        <v>6.62955660873328</v>
      </c>
    </row>
    <row r="8540" customFormat="false" ht="17.15" hidden="false" customHeight="false" outlineLevel="0" collapsed="false">
      <c r="A8540" s="0" t="s">
        <v>1247</v>
      </c>
      <c r="B8540" s="0" t="s">
        <v>98</v>
      </c>
      <c r="F8540" s="6" t="n">
        <f aca="false">Sens!F8534-tax_f*(Sens!F8534-Sens!F8398)-Sens!F8395</f>
        <v>-129.01943507359</v>
      </c>
      <c r="G8540" s="6" t="n">
        <f aca="false">Sens!G8534-tax_f*(Sens!G8534-Sens!G8398)-Sens!G8395</f>
        <v>-122.49860430872</v>
      </c>
      <c r="H8540" s="6" t="n">
        <f aca="false">Sens!H8534-tax_f*(Sens!H8534-Sens!H8398)-Sens!H8395</f>
        <v>-99.4239590187156</v>
      </c>
      <c r="I8540" s="6" t="n">
        <f aca="false">Sens!I8534-tax_f*(Sens!I8534-Sens!I8398)-Sens!I8395</f>
        <v>-41.2466589958551</v>
      </c>
      <c r="J8540" s="6" t="n">
        <f aca="false">Sens!J8534-tax_f*(Sens!J8534-Sens!J8398)-Sens!J8395</f>
        <v>19.5097481025457</v>
      </c>
      <c r="K8540" s="6" t="n">
        <f aca="false">Sens!K8534-tax_f*(Sens!K8534-Sens!K8398)-Sens!K8395</f>
        <v>42.6068426764062</v>
      </c>
    </row>
    <row r="8541" customFormat="false" ht="17.15" hidden="false" customHeight="false" outlineLevel="0" collapsed="false">
      <c r="A8541" s="0" t="s">
        <v>1248</v>
      </c>
      <c r="B8541" s="0" t="s">
        <v>98</v>
      </c>
      <c r="G8541" s="6" t="n">
        <f aca="false">Sens!G8540/(1+wacc)^(Sens!G8511-Sens!F8512)</f>
        <v>-116.642244508421</v>
      </c>
      <c r="H8541" s="6" t="n">
        <f aca="false">Sens!H8540/(1+wacc)^(Sens!H8511-Sens!F8512)</f>
        <v>-85.8351627508046</v>
      </c>
      <c r="I8541" s="6" t="n">
        <f aca="false">Sens!I8540/(1+wacc)^(Sens!I8511-Sens!F8512)</f>
        <v>-32.2858640343521</v>
      </c>
      <c r="J8541" s="6" t="n">
        <f aca="false">Sens!J8540/(1+wacc)^(Sens!J8511-Sens!F8512)</f>
        <v>13.8460136143304</v>
      </c>
      <c r="K8541" s="6" t="n">
        <f aca="false">Sens!K8540/(1+wacc)^(Sens!K8511-Sens!F8512)</f>
        <v>27.4158616419593</v>
      </c>
      <c r="L8541" s="1" t="s">
        <v>1249</v>
      </c>
    </row>
    <row r="8542" customFormat="false" ht="17.15" hidden="false" customHeight="false" outlineLevel="0" collapsed="false">
      <c r="A8542" s="0" t="s">
        <v>1250</v>
      </c>
      <c r="B8542" s="0" t="s">
        <v>98</v>
      </c>
      <c r="C8542" s="6" t="n">
        <f aca="false">(Sens!K8534-Sens!K8398)*(1-tax_f)*(1+g_tv)*(1-g_tv/(wacc+ronic_prem))/(wacc-g_tv)/(1+wacc)^(Sens!K8512-Sens!F8512)</f>
        <v>113.768779431675</v>
      </c>
    </row>
    <row r="8543" customFormat="false" ht="17.15" hidden="false" customHeight="false" outlineLevel="0" collapsed="false">
      <c r="A8543" s="1" t="s">
        <v>1251</v>
      </c>
      <c r="B8543" s="0" t="s">
        <v>98</v>
      </c>
      <c r="C8543" s="6" t="n">
        <f aca="false">(SUM(Sens!G8541:K8541)+Sens!$C$8542)*(1+wacc)^(t_roll-Sens!F8512)</f>
        <v>-82.3648314090937</v>
      </c>
      <c r="L8543" s="12" t="s">
        <v>1252</v>
      </c>
    </row>
    <row r="8544" customFormat="false" ht="17.15" hidden="false" customHeight="false" outlineLevel="0" collapsed="false">
      <c r="A8544" s="1" t="s">
        <v>1253</v>
      </c>
      <c r="B8544" s="0" t="s">
        <v>98</v>
      </c>
      <c r="C8544" s="6" t="n">
        <f aca="false">(w_ntm28*Sens!G8386+(1-w_ntm28)*Sens!H8386)*m_ai</f>
        <v>344.355829012336</v>
      </c>
    </row>
    <row r="8545" customFormat="false" ht="17.15" hidden="false" customHeight="false" outlineLevel="0" collapsed="false">
      <c r="A8545" s="1" t="s">
        <v>1254</v>
      </c>
      <c r="B8545" s="0" t="s">
        <v>98</v>
      </c>
      <c r="C8545" s="6" t="n">
        <f aca="false">(w_ntm28*Sens!G8536+(1-w_ntm28)*Sens!H8536)*m_cloud</f>
        <v>1094.847618432</v>
      </c>
    </row>
    <row r="8546" customFormat="false" ht="17.15" hidden="false" customHeight="false" outlineLevel="0" collapsed="false">
      <c r="A8546" s="1" t="s">
        <v>1255</v>
      </c>
      <c r="B8546" s="0" t="s">
        <v>98</v>
      </c>
      <c r="C8546" s="6" t="n">
        <f aca="false">(w_ntm28*Sens!G8529+(1-w_ntm28)*Sens!H8529)*m_sw</f>
        <v>1021.05149560257</v>
      </c>
    </row>
    <row r="8547" customFormat="false" ht="17.15" hidden="false" customHeight="false" outlineLevel="0" collapsed="false">
      <c r="A8547" s="1" t="s">
        <v>1256</v>
      </c>
      <c r="B8547" s="0" t="s">
        <v>98</v>
      </c>
      <c r="C8547" s="6" t="n">
        <f aca="false">(w_ntm28*Sens!G8530+(1-w_ntm28)*Sens!H8530)*m_sw</f>
        <v>373.363794245778</v>
      </c>
    </row>
    <row r="8548" customFormat="false" ht="17.15" hidden="false" customHeight="false" outlineLevel="0" collapsed="false">
      <c r="A8548" s="1" t="s">
        <v>1257</v>
      </c>
      <c r="B8548" s="0" t="s">
        <v>98</v>
      </c>
      <c r="C8548" s="6" t="n">
        <f aca="false">(w_ntm28*Sens!G8531+(1-w_ntm28)*Sens!H8531)*m_sw</f>
        <v>109.415390417922</v>
      </c>
    </row>
    <row r="8549" customFormat="false" ht="17.15" hidden="false" customHeight="false" outlineLevel="0" collapsed="false">
      <c r="A8549" s="1" t="s">
        <v>1258</v>
      </c>
      <c r="B8549" s="0" t="s">
        <v>98</v>
      </c>
      <c r="C8549" s="6" t="n">
        <f aca="false">(w_ntm28*Sens!G8532+(1-w_ntm28)*Sens!H8532)*m_sw</f>
        <v>41.596764116032</v>
      </c>
    </row>
    <row r="8550" customFormat="false" ht="17.15" hidden="false" customHeight="false" outlineLevel="0" collapsed="false">
      <c r="A8550" s="1" t="s">
        <v>1259</v>
      </c>
      <c r="B8550" s="0" t="s">
        <v>98</v>
      </c>
      <c r="C8550" s="6" t="n">
        <f aca="false">(w_ntm28*Sens!G8533+(1-w_ntm28)*Sens!H8533)*m_ads</f>
        <v>115.336942846393</v>
      </c>
    </row>
    <row r="8551" customFormat="false" ht="17.15" hidden="false" customHeight="false" outlineLevel="0" collapsed="false">
      <c r="A8551" s="1" t="s">
        <v>1260</v>
      </c>
      <c r="B8551" s="0" t="s">
        <v>98</v>
      </c>
      <c r="C8551" s="6" t="n">
        <f aca="false">(w_ntm28*Sens!G8538+(1-w_ntm28)*Sens!H8538)*m_game</f>
        <v>98.8910446372993</v>
      </c>
    </row>
    <row r="8552" customFormat="false" ht="17.15" hidden="false" customHeight="false" outlineLevel="0" collapsed="false">
      <c r="A8552" s="1" t="s">
        <v>1261</v>
      </c>
      <c r="B8552" s="0" t="s">
        <v>98</v>
      </c>
      <c r="C8552" s="6" t="n">
        <f aca="false">(w_ntm28*Sens!G8539+(1-w_ntm28)*Sens!H8539)*m_pc</f>
        <v>91.6816333170307</v>
      </c>
    </row>
    <row r="8553" customFormat="false" ht="17.15" hidden="false" customHeight="false" outlineLevel="0" collapsed="false">
      <c r="A8553" s="1" t="s">
        <v>1262</v>
      </c>
      <c r="B8553" s="0" t="s">
        <v>98</v>
      </c>
      <c r="C8553" s="6" t="n">
        <f aca="false">Sens!$C$8543+Sens!$C$8545+Sens!$C$8546+Sens!$C$8547+Sens!$C$8548+Sens!$C$8549+Sens!$C$8550+Sens!$C$8551+Sens!$C$8552</f>
        <v>2863.81985220593</v>
      </c>
    </row>
    <row r="8554" customFormat="false" ht="17.15" hidden="false" customHeight="false" outlineLevel="0" collapsed="false">
      <c r="A8554" s="1" t="s">
        <v>1263</v>
      </c>
      <c r="B8554" s="0" t="s">
        <v>98</v>
      </c>
      <c r="C8554" s="6" t="n">
        <f aca="false">(Sens!G8515-Sens!G8540)*t_stub</f>
        <v>47.1115314793013</v>
      </c>
      <c r="L8554" s="1" t="s">
        <v>1264</v>
      </c>
    </row>
    <row r="8555" customFormat="false" ht="17.15" hidden="false" customHeight="false" outlineLevel="0" collapsed="false">
      <c r="A8555" s="1" t="s">
        <v>1173</v>
      </c>
      <c r="B8555" s="0" t="s">
        <v>98</v>
      </c>
      <c r="C8555" s="6" t="n">
        <f aca="false">Sens!F8502+oai_v-Sens!F8491+Sens!$C$8554</f>
        <v>157.181399199197</v>
      </c>
      <c r="L8555" s="1" t="s">
        <v>1265</v>
      </c>
    </row>
    <row r="8556" customFormat="false" ht="17.15" hidden="false" customHeight="false" outlineLevel="0" collapsed="false">
      <c r="A8556" s="1" t="s">
        <v>1266</v>
      </c>
      <c r="B8556" s="0" t="s">
        <v>75</v>
      </c>
      <c r="C8556" s="5" t="n">
        <f aca="false">(Sens!$C$8553+Sens!$C$8555)/(Sens!F8504+dil_gap)-Sens!G8494*roll_div_q/q_per_yr</f>
        <v>401.975608245081</v>
      </c>
      <c r="L8556" s="1" t="s">
        <v>1267</v>
      </c>
    </row>
    <row r="8557" customFormat="false" ht="17.15" hidden="false" customHeight="false" outlineLevel="0" collapsed="false">
      <c r="A8557" s="1" t="s">
        <v>1268</v>
      </c>
      <c r="B8557" s="0" t="s">
        <v>75</v>
      </c>
      <c r="C8557" s="5" t="n">
        <f aca="false">w_dcf*Sens!$C$8527+(1-w_dcf)*Sens!$C$8556</f>
        <v>341.732302708076</v>
      </c>
    </row>
    <row r="8558" customFormat="false" ht="17.15" hidden="false" customHeight="false" outlineLevel="0" collapsed="false">
      <c r="A8558" s="3" t="s">
        <v>1825</v>
      </c>
    </row>
    <row r="8559" customFormat="false" ht="15" hidden="false" customHeight="false" outlineLevel="0" collapsed="false">
      <c r="A8559" s="4" t="s">
        <v>43</v>
      </c>
      <c r="B8559" s="4" t="s">
        <v>65</v>
      </c>
      <c r="C8559" s="23" t="s">
        <v>942</v>
      </c>
      <c r="D8559" s="23" t="s">
        <v>943</v>
      </c>
      <c r="E8559" s="23" t="s">
        <v>944</v>
      </c>
      <c r="F8559" s="23" t="s">
        <v>945</v>
      </c>
      <c r="G8559" s="23" t="s">
        <v>946</v>
      </c>
      <c r="H8559" s="23" t="s">
        <v>947</v>
      </c>
      <c r="I8559" s="23" t="s">
        <v>948</v>
      </c>
      <c r="J8559" s="23" t="s">
        <v>949</v>
      </c>
      <c r="K8559" s="23" t="s">
        <v>950</v>
      </c>
      <c r="L8559" s="4" t="s">
        <v>47</v>
      </c>
    </row>
    <row r="8560" customFormat="false" ht="17.15" hidden="false" customHeight="false" outlineLevel="0" collapsed="false">
      <c r="A8560" s="1" t="s">
        <v>951</v>
      </c>
      <c r="B8560" s="1" t="s">
        <v>279</v>
      </c>
      <c r="C8560" s="21" t="n">
        <v>2024</v>
      </c>
      <c r="D8560" s="21" t="n">
        <v>2025</v>
      </c>
      <c r="E8560" s="21" t="n">
        <v>2026</v>
      </c>
      <c r="F8560" s="21" t="n">
        <v>2027</v>
      </c>
      <c r="G8560" s="21" t="n">
        <v>2028</v>
      </c>
      <c r="H8560" s="21" t="n">
        <v>2029</v>
      </c>
      <c r="I8560" s="21" t="n">
        <v>2030</v>
      </c>
      <c r="J8560" s="21" t="n">
        <v>2031</v>
      </c>
      <c r="K8560" s="21" t="n">
        <v>2032</v>
      </c>
    </row>
    <row r="8561" customFormat="false" ht="17.15" hidden="false" customHeight="false" outlineLevel="0" collapsed="false">
      <c r="A8561" s="1" t="s">
        <v>952</v>
      </c>
      <c r="B8561" s="0" t="s">
        <v>459</v>
      </c>
      <c r="F8561" s="30" t="n">
        <f aca="false">pace</f>
        <v>2726.5351</v>
      </c>
      <c r="G8561" s="30" t="n">
        <f aca="false">pace</f>
        <v>2726.5351</v>
      </c>
      <c r="H8561" s="30" t="n">
        <f aca="false">pace</f>
        <v>2726.5351</v>
      </c>
      <c r="I8561" s="30" t="n">
        <f aca="false">pace+(g_tv*Sens!H8562-pace)*MIN(1,(Sens!I8560-pace_y0)/(pace_y1-pace_y0))</f>
        <v>1931.98611966667</v>
      </c>
      <c r="J8561" s="30" t="n">
        <f aca="false">pace+(g_tv*Sens!I8562-pace)*MIN(1,(Sens!J8560-pace_y0)/(pace_y1-pace_y0))</f>
        <v>1176.07686172667</v>
      </c>
      <c r="K8561" s="30" t="n">
        <f aca="false">pace+(g_tv*Sens!J8562-pace)*MIN(1,(Sens!K8560-pace_y0)/(pace_y1-pace_y0))</f>
        <v>436.1300484418</v>
      </c>
      <c r="L8561" s="12" t="s">
        <v>953</v>
      </c>
    </row>
    <row r="8562" customFormat="false" ht="17.15" hidden="false" customHeight="false" outlineLevel="0" collapsed="false">
      <c r="A8562" s="1" t="s">
        <v>954</v>
      </c>
      <c r="B8562" s="0" t="s">
        <v>459</v>
      </c>
      <c r="C8562" s="30" t="n">
        <f aca="false">mw_ext_24</f>
        <v>640</v>
      </c>
      <c r="D8562" s="30" t="n">
        <f aca="false">mw_ext_25</f>
        <v>1630</v>
      </c>
      <c r="E8562" s="30" t="n">
        <f aca="false">mw_ext_26</f>
        <v>3250</v>
      </c>
      <c r="F8562" s="30" t="n">
        <f aca="false">Sens!E8562+Sens!F8561</f>
        <v>5976.5351</v>
      </c>
      <c r="G8562" s="30" t="n">
        <f aca="false">Sens!F8562+Sens!G8561</f>
        <v>8703.0702</v>
      </c>
      <c r="H8562" s="30" t="n">
        <f aca="false">Sens!G8562+Sens!H8561</f>
        <v>11429.6053</v>
      </c>
      <c r="I8562" s="30" t="n">
        <f aca="false">Sens!H8562+Sens!I8561</f>
        <v>13361.5914196667</v>
      </c>
      <c r="J8562" s="30" t="n">
        <f aca="false">Sens!I8562+Sens!J8561</f>
        <v>14537.6682813933</v>
      </c>
      <c r="K8562" s="30" t="n">
        <f aca="false">Sens!J8562+Sens!K8561</f>
        <v>14973.7983298351</v>
      </c>
      <c r="L8562" s="1" t="s">
        <v>955</v>
      </c>
    </row>
    <row r="8563" customFormat="false" ht="17.15" hidden="false" customHeight="false" outlineLevel="0" collapsed="false">
      <c r="A8563" s="1" t="s">
        <v>956</v>
      </c>
      <c r="B8563" s="0" t="s">
        <v>459</v>
      </c>
      <c r="C8563" s="30" t="n">
        <f aca="false">rent_ext_24</f>
        <v>150</v>
      </c>
      <c r="D8563" s="30" t="n">
        <f aca="false">rent_ext_25</f>
        <v>400</v>
      </c>
      <c r="E8563" s="30" t="n">
        <f aca="false">rent_ext_26</f>
        <v>550</v>
      </c>
      <c r="F8563" s="30" t="n">
        <f aca="false">rent_ext_f</f>
        <v>756</v>
      </c>
      <c r="G8563" s="30" t="n">
        <f aca="false">rent_ext_f</f>
        <v>756</v>
      </c>
      <c r="H8563" s="30" t="n">
        <f aca="false">rent_ext_f</f>
        <v>756</v>
      </c>
      <c r="I8563" s="30" t="n">
        <f aca="false">rent_ext_f</f>
        <v>756</v>
      </c>
      <c r="J8563" s="30" t="n">
        <f aca="false">rent_ext_f</f>
        <v>756</v>
      </c>
      <c r="K8563" s="30" t="n">
        <f aca="false">rent_ext_f</f>
        <v>756</v>
      </c>
      <c r="L8563" s="1" t="s">
        <v>957</v>
      </c>
    </row>
    <row r="8564" customFormat="false" ht="17.15" hidden="false" customHeight="false" outlineLevel="0" collapsed="false">
      <c r="A8564" s="1" t="s">
        <v>958</v>
      </c>
      <c r="B8564" s="0" t="s">
        <v>459</v>
      </c>
      <c r="C8564" s="30" t="n">
        <f aca="false">Sens!C8562-Sens!C8563</f>
        <v>490</v>
      </c>
      <c r="D8564" s="30" t="n">
        <f aca="false">Sens!D8562-Sens!D8563</f>
        <v>1230</v>
      </c>
      <c r="E8564" s="30" t="n">
        <f aca="false">Sens!E8562-Sens!E8563</f>
        <v>2700</v>
      </c>
      <c r="F8564" s="30" t="n">
        <f aca="false">Sens!F8562-Sens!F8563</f>
        <v>5220.5351</v>
      </c>
      <c r="G8564" s="30" t="n">
        <f aca="false">Sens!G8562-Sens!G8563</f>
        <v>7947.0702</v>
      </c>
      <c r="H8564" s="30" t="n">
        <f aca="false">Sens!H8562-Sens!H8563</f>
        <v>10673.6053</v>
      </c>
      <c r="I8564" s="30" t="n">
        <f aca="false">Sens!I8562-Sens!I8563</f>
        <v>12605.5914196667</v>
      </c>
      <c r="J8564" s="30" t="n">
        <f aca="false">Sens!J8562-Sens!J8563</f>
        <v>13781.6682813933</v>
      </c>
      <c r="K8564" s="30" t="n">
        <f aca="false">Sens!K8562-Sens!K8563</f>
        <v>14217.7983298351</v>
      </c>
    </row>
    <row r="8565" customFormat="false" ht="17.15" hidden="false" customHeight="false" outlineLevel="0" collapsed="false">
      <c r="A8565" s="1" t="s">
        <v>959</v>
      </c>
      <c r="B8565" s="0" t="s">
        <v>459</v>
      </c>
      <c r="C8565" s="30" t="n">
        <f aca="false">Sens!C8564/ext_sh</f>
        <v>816.666666666667</v>
      </c>
      <c r="D8565" s="30" t="n">
        <f aca="false">Sens!D8564/ext_sh</f>
        <v>2050</v>
      </c>
      <c r="E8565" s="30" t="n">
        <f aca="false">Sens!E8564/ext_sh</f>
        <v>4500</v>
      </c>
      <c r="F8565" s="30" t="n">
        <f aca="false">Sens!F8564/ext_sh</f>
        <v>8700.89183333333</v>
      </c>
      <c r="G8565" s="30" t="n">
        <f aca="false">Sens!G8564/ext_sh</f>
        <v>13245.117</v>
      </c>
      <c r="H8565" s="30" t="n">
        <f aca="false">Sens!H8564/ext_sh</f>
        <v>17789.3421666667</v>
      </c>
      <c r="I8565" s="30" t="n">
        <f aca="false">Sens!I8564/ext_sh</f>
        <v>21009.3190327778</v>
      </c>
      <c r="J8565" s="30" t="n">
        <f aca="false">Sens!J8564/ext_sh</f>
        <v>22969.4471356556</v>
      </c>
      <c r="K8565" s="30" t="n">
        <f aca="false">Sens!K8564/ext_sh</f>
        <v>23696.3305497252</v>
      </c>
      <c r="L8565" s="1" t="s">
        <v>960</v>
      </c>
    </row>
    <row r="8566" customFormat="false" ht="17.15" hidden="false" customHeight="false" outlineLevel="0" collapsed="false">
      <c r="A8566" s="1" t="s">
        <v>961</v>
      </c>
      <c r="B8566" s="0" t="s">
        <v>459</v>
      </c>
      <c r="C8566" s="30" t="n">
        <f aca="false">Sens!C8565-Sens!C8564</f>
        <v>326.666666666667</v>
      </c>
      <c r="D8566" s="30" t="n">
        <f aca="false">Sens!D8565-Sens!D8564</f>
        <v>820</v>
      </c>
      <c r="E8566" s="30" t="n">
        <f aca="false">Sens!E8565-Sens!E8564</f>
        <v>1800</v>
      </c>
      <c r="F8566" s="30" t="n">
        <f aca="false">Sens!F8565-Sens!F8564</f>
        <v>3480.35673333333</v>
      </c>
      <c r="G8566" s="30" t="n">
        <f aca="false">Sens!G8565-Sens!G8564</f>
        <v>5298.0468</v>
      </c>
      <c r="H8566" s="30" t="n">
        <f aca="false">Sens!H8565-Sens!H8564</f>
        <v>7115.73686666667</v>
      </c>
      <c r="I8566" s="30" t="n">
        <f aca="false">Sens!I8565-Sens!I8564</f>
        <v>8403.72761311111</v>
      </c>
      <c r="J8566" s="30" t="n">
        <f aca="false">Sens!J8565-Sens!J8564</f>
        <v>9187.77885426222</v>
      </c>
      <c r="K8566" s="30" t="n">
        <f aca="false">Sens!K8565-Sens!K8564</f>
        <v>9478.53221989009</v>
      </c>
    </row>
    <row r="8567" customFormat="false" ht="17.15" hidden="false" customHeight="false" outlineLevel="0" collapsed="false">
      <c r="A8567" s="1" t="s">
        <v>962</v>
      </c>
      <c r="B8567" s="0" t="s">
        <v>459</v>
      </c>
      <c r="C8567" s="30" t="n">
        <f aca="false">Sens!C8565</f>
        <v>816.666666666667</v>
      </c>
      <c r="D8567" s="30" t="n">
        <f aca="false">Sens!D8565-Sens!C8565</f>
        <v>1233.33333333333</v>
      </c>
      <c r="E8567" s="30" t="n">
        <f aca="false">Sens!E8565-Sens!D8565</f>
        <v>2450</v>
      </c>
      <c r="F8567" s="30" t="n">
        <f aca="false">Sens!F8565-Sens!E8565</f>
        <v>4200.89183333333</v>
      </c>
      <c r="G8567" s="30" t="n">
        <f aca="false">Sens!G8565-Sens!F8565</f>
        <v>4544.22516666667</v>
      </c>
      <c r="H8567" s="30" t="n">
        <f aca="false">Sens!H8565-Sens!G8565</f>
        <v>4544.22516666667</v>
      </c>
      <c r="I8567" s="30" t="n">
        <f aca="false">Sens!I8565-Sens!H8565</f>
        <v>3219.97686611111</v>
      </c>
      <c r="J8567" s="30" t="n">
        <f aca="false">Sens!J8565-Sens!I8565</f>
        <v>1960.12810287778</v>
      </c>
      <c r="K8567" s="30" t="n">
        <f aca="false">Sens!K8565-Sens!J8565</f>
        <v>726.883414069667</v>
      </c>
    </row>
    <row r="8568" customFormat="false" ht="17.15" hidden="false" customHeight="false" outlineLevel="0" collapsed="false">
      <c r="A8568" s="1" t="s">
        <v>963</v>
      </c>
      <c r="B8568" s="0" t="s">
        <v>459</v>
      </c>
      <c r="D8568" s="30" t="n">
        <f aca="false">Sens!D8562-Sens!C8562</f>
        <v>990</v>
      </c>
      <c r="E8568" s="30" t="n">
        <f aca="false">Sens!E8562-Sens!D8562</f>
        <v>1620</v>
      </c>
      <c r="F8568" s="30" t="n">
        <f aca="false">Sens!F8562-Sens!E8562</f>
        <v>2726.5351</v>
      </c>
      <c r="G8568" s="30" t="n">
        <f aca="false">Sens!G8562-Sens!F8562</f>
        <v>2726.5351</v>
      </c>
      <c r="H8568" s="30" t="n">
        <f aca="false">Sens!H8562-Sens!G8562</f>
        <v>2726.5351</v>
      </c>
      <c r="I8568" s="30" t="n">
        <f aca="false">Sens!I8562-Sens!H8562</f>
        <v>1931.98611966667</v>
      </c>
      <c r="J8568" s="30" t="n">
        <f aca="false">Sens!J8562-Sens!I8562</f>
        <v>1176.07686172667</v>
      </c>
      <c r="K8568" s="30" t="n">
        <f aca="false">Sens!K8562-Sens!J8562</f>
        <v>436.130048441799</v>
      </c>
    </row>
    <row r="8569" customFormat="false" ht="17.15" hidden="false" customHeight="false" outlineLevel="0" collapsed="false">
      <c r="A8569" s="1" t="s">
        <v>964</v>
      </c>
      <c r="B8569" s="0" t="s">
        <v>459</v>
      </c>
      <c r="F8569" s="30" t="n">
        <f aca="false">Sens!F8588*ext_sh</f>
        <v>0</v>
      </c>
      <c r="G8569" s="30" t="n">
        <f aca="false">Sens!G8588*ext_sh</f>
        <v>0</v>
      </c>
      <c r="H8569" s="30" t="n">
        <f aca="false">Sens!H8588*ext_sh</f>
        <v>0</v>
      </c>
      <c r="I8569" s="30" t="n">
        <f aca="false">Sens!I8588*ext_sh</f>
        <v>490</v>
      </c>
      <c r="J8569" s="30" t="n">
        <f aca="false">Sens!J8588*ext_sh</f>
        <v>740</v>
      </c>
      <c r="K8569" s="30" t="n">
        <f aca="false">Sens!K8588*ext_sh</f>
        <v>1470</v>
      </c>
      <c r="L8569" s="1" t="s">
        <v>965</v>
      </c>
    </row>
    <row r="8570" customFormat="false" ht="17.15" hidden="false" customHeight="false" outlineLevel="0" collapsed="false">
      <c r="A8570" s="1" t="s">
        <v>966</v>
      </c>
      <c r="B8570" s="0" t="s">
        <v>459</v>
      </c>
      <c r="C8570" s="30" t="n">
        <f aca="false">mix_h*Sens!C8562</f>
        <v>128</v>
      </c>
      <c r="D8570" s="30" t="n">
        <f aca="false">mix_h*Sens!D8562</f>
        <v>326</v>
      </c>
      <c r="E8570" s="30" t="n">
        <f aca="false">mix_h*Sens!E8562</f>
        <v>650</v>
      </c>
      <c r="F8570" s="30" t="n">
        <f aca="false">Sens!E8570-Sens!F8569*mix_h</f>
        <v>650</v>
      </c>
      <c r="G8570" s="30" t="n">
        <f aca="false">Sens!F8570-Sens!G8569*mix_h</f>
        <v>650</v>
      </c>
      <c r="H8570" s="30" t="n">
        <f aca="false">Sens!G8570-Sens!H8569*mix_h</f>
        <v>650</v>
      </c>
      <c r="I8570" s="30" t="n">
        <f aca="false">Sens!H8570-Sens!I8569*mix_h</f>
        <v>552</v>
      </c>
      <c r="J8570" s="30" t="n">
        <f aca="false">Sens!I8570-Sens!J8569*mix_h</f>
        <v>404</v>
      </c>
      <c r="K8570" s="30" t="n">
        <f aca="false">Sens!J8570-Sens!K8569*mix_h</f>
        <v>110</v>
      </c>
    </row>
    <row r="8571" customFormat="false" ht="17.15" hidden="false" customHeight="false" outlineLevel="0" collapsed="false">
      <c r="A8571" s="1" t="s">
        <v>967</v>
      </c>
      <c r="B8571" s="0" t="s">
        <v>459</v>
      </c>
      <c r="C8571" s="30" t="n">
        <f aca="false">mix_g2*Sens!C8562</f>
        <v>288</v>
      </c>
      <c r="D8571" s="30" t="n">
        <f aca="false">mix_g2*Sens!D8562</f>
        <v>733.5</v>
      </c>
      <c r="E8571" s="30" t="n">
        <f aca="false">mix_g2*Sens!E8562</f>
        <v>1462.5</v>
      </c>
      <c r="F8571" s="30" t="n">
        <f aca="false">Sens!E8571-Sens!F8569*mix_g2</f>
        <v>1462.5</v>
      </c>
      <c r="G8571" s="30" t="n">
        <f aca="false">Sens!F8571-Sens!G8569*mix_g2</f>
        <v>1462.5</v>
      </c>
      <c r="H8571" s="30" t="n">
        <f aca="false">Sens!G8571-Sens!H8569*mix_g2</f>
        <v>1462.5</v>
      </c>
      <c r="I8571" s="30" t="n">
        <f aca="false">Sens!H8571-Sens!I8569*mix_g2</f>
        <v>1242</v>
      </c>
      <c r="J8571" s="30" t="n">
        <f aca="false">Sens!I8571-Sens!J8569*mix_g2</f>
        <v>909</v>
      </c>
      <c r="K8571" s="30" t="n">
        <f aca="false">Sens!J8571-Sens!K8569*mix_g2</f>
        <v>247.5</v>
      </c>
    </row>
    <row r="8572" customFormat="false" ht="17.15" hidden="false" customHeight="false" outlineLevel="0" collapsed="false">
      <c r="A8572" s="1" t="s">
        <v>968</v>
      </c>
      <c r="B8572" s="0" t="s">
        <v>459</v>
      </c>
      <c r="C8572" s="30" t="n">
        <f aca="false">mix_g3*Sens!C8562</f>
        <v>224</v>
      </c>
      <c r="D8572" s="30" t="n">
        <f aca="false">mix_g3*Sens!D8562</f>
        <v>570.5</v>
      </c>
      <c r="E8572" s="30" t="n">
        <f aca="false">mix_g3*Sens!E8562</f>
        <v>1137.5</v>
      </c>
      <c r="F8572" s="30" t="n">
        <f aca="false">Sens!E8572+(Sens!F8568+Sens!F8569)*(a_g3_27-nonnv*a_mai)-Sens!F8569*mix_g3</f>
        <v>2773.42106</v>
      </c>
      <c r="G8572" s="30" t="n">
        <f aca="false">Sens!F8572+(Sens!G8568+Sens!G8569)*(a_g3_28-nonnv*a_mai)-Sens!G8569*mix_g3</f>
        <v>3318.72808</v>
      </c>
      <c r="H8572" s="30" t="n">
        <f aca="false">Sens!G8572+(Sens!H8568+Sens!H8569)*(a_g3_29-nonnv*a_mai)-Sens!H8569*mix_g3</f>
        <v>3318.72808</v>
      </c>
      <c r="I8572" s="30" t="n">
        <f aca="false">Sens!H8572+(Sens!I8568+Sens!I8569)*(a_g3_29-nonnv*a_mai)-Sens!I8569*mix_g3</f>
        <v>3147.22808</v>
      </c>
      <c r="J8572" s="30" t="n">
        <f aca="false">Sens!I8572+(Sens!J8568+Sens!J8569)*(a_g3_29-nonnv*a_mai)-Sens!J8569*mix_g3</f>
        <v>2888.22808</v>
      </c>
      <c r="K8572" s="30" t="n">
        <f aca="false">Sens!J8572+(Sens!K8568+Sens!K8569)*(a_g3_29-nonnv*a_mai)-Sens!K8569*mix_g3</f>
        <v>2373.72808</v>
      </c>
    </row>
    <row r="8573" customFormat="false" ht="17.15" hidden="false" customHeight="false" outlineLevel="0" collapsed="false">
      <c r="A8573" s="1" t="s">
        <v>969</v>
      </c>
      <c r="B8573" s="0" t="s">
        <v>459</v>
      </c>
      <c r="C8573" s="30" t="n">
        <v>0</v>
      </c>
      <c r="D8573" s="30" t="n">
        <v>0</v>
      </c>
      <c r="E8573" s="30" t="n">
        <v>0</v>
      </c>
      <c r="F8573" s="30" t="n">
        <f aca="false">Sens!E8573+(Sens!F8568+Sens!F8569)*nonnv*a_mai</f>
        <v>272.65351</v>
      </c>
      <c r="G8573" s="30" t="n">
        <f aca="false">Sens!F8573+(Sens!G8568+Sens!G8569)*nonnv*a_mai</f>
        <v>545.30702</v>
      </c>
      <c r="H8573" s="30" t="n">
        <f aca="false">Sens!G8573+(Sens!H8568+Sens!H8569)*nonnv*a_mai</f>
        <v>817.96053</v>
      </c>
      <c r="I8573" s="30" t="n">
        <f aca="false">Sens!H8573+(Sens!I8568+Sens!I8569)*nonnv*a_mai</f>
        <v>1060.15914196667</v>
      </c>
      <c r="J8573" s="30" t="n">
        <f aca="false">Sens!I8573+(Sens!J8568+Sens!J8569)*nonnv*a_mai</f>
        <v>1251.76682813933</v>
      </c>
      <c r="K8573" s="30" t="n">
        <f aca="false">Sens!J8573+(Sens!K8568+Sens!K8569)*nonnv*a_mai</f>
        <v>1442.37983298351</v>
      </c>
      <c r="L8573" s="12" t="s">
        <v>970</v>
      </c>
    </row>
    <row r="8574" customFormat="false" ht="17.15" hidden="false" customHeight="false" outlineLevel="0" collapsed="false">
      <c r="A8574" s="1" t="s">
        <v>971</v>
      </c>
      <c r="B8574" s="0" t="s">
        <v>459</v>
      </c>
      <c r="C8574" s="30" t="n">
        <v>0</v>
      </c>
      <c r="D8574" s="30" t="n">
        <v>0</v>
      </c>
      <c r="E8574" s="30" t="n">
        <v>0</v>
      </c>
      <c r="F8574" s="30" t="n">
        <f aca="false">Sens!E8574+(Sens!F8568+Sens!F8569)*(1-a_g3_27)</f>
        <v>817.96053</v>
      </c>
      <c r="G8574" s="30" t="n">
        <f aca="false">Sens!F8574+(Sens!G8568+Sens!G8569)*(1-a_g3_28)</f>
        <v>2726.5351</v>
      </c>
      <c r="H8574" s="30" t="n">
        <f aca="false">Sens!G8574+(Sens!H8568+Sens!H8569)*(1-a_g3_29)</f>
        <v>5180.41669</v>
      </c>
      <c r="I8574" s="30" t="n">
        <f aca="false">Sens!H8574+(Sens!I8568+Sens!I8569)*(1-a_g3_29)</f>
        <v>7360.2041977</v>
      </c>
      <c r="J8574" s="30" t="n">
        <f aca="false">Sens!I8574+(Sens!J8568+Sens!J8569)*(1-a_g3_29)</f>
        <v>9084.673373254</v>
      </c>
      <c r="K8574" s="30" t="n">
        <f aca="false">Sens!J8574+(Sens!K8568+Sens!K8569)*(1-a_g3_29)</f>
        <v>10800.1904168516</v>
      </c>
    </row>
    <row r="8575" customFormat="false" ht="17.15" hidden="false" customHeight="false" outlineLevel="0" collapsed="false">
      <c r="A8575" s="1" t="s">
        <v>972</v>
      </c>
      <c r="B8575" s="0" t="s">
        <v>403</v>
      </c>
      <c r="C8575" s="15" t="n">
        <f aca="false">(Sens!C8570*tk_hold_h100+Sens!C8571*tk_hold_gb200+Sens!C8572*tk_hold_gb300+Sens!C8574*tk_hold_vr200+Sens!C8573*nv_hold_mai*tk_hold_vr200)/Sens!C8562</f>
        <v>9.7235358126469</v>
      </c>
      <c r="D8575" s="15" t="n">
        <f aca="false">(Sens!D8570*tk_hold_h100+Sens!D8571*tk_hold_gb200+Sens!D8572*tk_hold_gb300+Sens!D8574*tk_hold_vr200+Sens!D8573*nv_hold_mai*tk_hold_vr200)/Sens!D8562</f>
        <v>9.7235358126469</v>
      </c>
      <c r="E8575" s="15" t="n">
        <f aca="false">(Sens!E8570*tk_hold_h100+Sens!E8571*tk_hold_gb200+Sens!E8572*tk_hold_gb300+Sens!E8574*tk_hold_vr200+Sens!E8573*nv_hold_mai*tk_hold_vr200)/Sens!E8562</f>
        <v>9.7235358126469</v>
      </c>
      <c r="F8575" s="15" t="n">
        <f aca="false">(Sens!F8570*tk_hold_h100+Sens!F8571*tk_hold_gb200+Sens!F8572*tk_hold_gb300+Sens!F8574*tk_hold_vr200+Sens!F8573*nv_hold_mai*tk_hold_vr200)/Sens!F8562</f>
        <v>10.2195353876665</v>
      </c>
      <c r="G8575" s="15" t="n">
        <f aca="false">(Sens!G8570*tk_hold_h100+Sens!G8571*tk_hold_gb200+Sens!G8572*tk_hold_gb300+Sens!G8574*tk_hold_vr200+Sens!G8573*nv_hold_mai*tk_hold_vr200)/Sens!G8562</f>
        <v>10.5725598017306</v>
      </c>
      <c r="H8575" s="15" t="n">
        <f aca="false">(Sens!H8570*tk_hold_h100+Sens!H8571*tk_hold_gb200+Sens!H8572*tk_hold_gb300+Sens!H8574*tk_hold_vr200+Sens!H8573*nv_hold_mai*tk_hold_vr200)/Sens!H8562</f>
        <v>10.8210427149036</v>
      </c>
      <c r="I8575" s="15" t="n">
        <f aca="false">(Sens!I8570*tk_hold_h100+Sens!I8571*tk_hold_gb200+Sens!I8572*tk_hold_gb300+Sens!I8574*tk_hold_vr200+Sens!I8573*nv_hold_mai*tk_hold_vr200)/Sens!I8562</f>
        <v>11.0050618241982</v>
      </c>
      <c r="J8575" s="15" t="n">
        <f aca="false">(Sens!J8570*tk_hold_h100+Sens!J8571*tk_hold_gb200+Sens!J8572*tk_hold_gb300+Sens!J8574*tk_hold_vr200+Sens!J8573*nv_hold_mai*tk_hold_vr200)/Sens!J8562</f>
        <v>11.1505789658881</v>
      </c>
      <c r="K8575" s="15" t="n">
        <f aca="false">(Sens!K8570*tk_hold_h100+Sens!K8571*tk_hold_gb200+Sens!K8572*tk_hold_gb300+Sens!K8574*tk_hold_vr200+Sens!K8573*nv_hold_mai*tk_hold_vr200)/Sens!K8562</f>
        <v>11.3496914757183</v>
      </c>
      <c r="L8575" s="1" t="s">
        <v>973</v>
      </c>
    </row>
    <row r="8576" customFormat="false" ht="17.15" hidden="false" customHeight="false" outlineLevel="0" collapsed="false">
      <c r="A8576" s="1" t="s">
        <v>974</v>
      </c>
      <c r="B8576" s="0" t="s">
        <v>403</v>
      </c>
      <c r="C8576" s="15" t="n">
        <f aca="false">(Sens!C8570*tk_hold_h100+Sens!C8571*tk_hold_gb200+Sens!C8572*tk_hold_gb300+Sens!C8574*tk_hold_vr200+Sens!C8573*nv_out_mai*tk_hold_vr200)/Sens!C8562</f>
        <v>9.7235358126469</v>
      </c>
      <c r="D8576" s="15" t="n">
        <f aca="false">(Sens!D8570*tk_hold_h100+Sens!D8571*tk_hold_gb200+Sens!D8572*tk_hold_gb300+Sens!D8574*tk_hold_vr200+Sens!D8573*nv_out_mai*tk_hold_vr200)/Sens!D8562</f>
        <v>9.7235358126469</v>
      </c>
      <c r="E8576" s="15" t="n">
        <f aca="false">(Sens!E8570*tk_hold_h100+Sens!E8571*tk_hold_gb200+Sens!E8572*tk_hold_gb300+Sens!E8574*tk_hold_vr200+Sens!E8573*nv_out_mai*tk_hold_vr200)/Sens!E8562</f>
        <v>9.7235358126469</v>
      </c>
      <c r="F8576" s="15" t="n">
        <f aca="false">(Sens!F8570*tk_hold_h100+Sens!F8571*tk_hold_gb200+Sens!F8572*tk_hold_gb300+Sens!F8574*tk_hold_vr200+Sens!F8573*nv_out_mai*tk_hold_vr200)/Sens!F8562</f>
        <v>10.247422093969</v>
      </c>
      <c r="G8576" s="15" t="n">
        <f aca="false">(Sens!G8570*tk_hold_h100+Sens!G8571*tk_hold_gb200+Sens!G8572*tk_hold_gb300+Sens!G8574*tk_hold_vr200+Sens!G8573*nv_out_mai*tk_hold_vr200)/Sens!G8562</f>
        <v>10.6108602808053</v>
      </c>
      <c r="H8576" s="15" t="n">
        <f aca="false">(Sens!H8570*tk_hold_h100+Sens!H8571*tk_hold_gb200+Sens!H8572*tk_hold_gb300+Sens!H8574*tk_hold_vr200+Sens!H8573*nv_out_mai*tk_hold_vr200)/Sens!H8562</f>
        <v>10.8647885507393</v>
      </c>
      <c r="I8576" s="15" t="n">
        <f aca="false">(Sens!I8570*tk_hold_h100+Sens!I8571*tk_hold_gb200+Sens!I8572*tk_hold_gb300+Sens!I8574*tk_hold_vr200+Sens!I8573*nv_out_mai*tk_hold_vr200)/Sens!I8562</f>
        <v>11.0535625770025</v>
      </c>
      <c r="J8576" s="15" t="n">
        <f aca="false">(Sens!J8570*tk_hold_h100+Sens!J8571*tk_hold_gb200+Sens!J8572*tk_hold_gb300+Sens!J8574*tk_hold_vr200+Sens!J8573*nv_out_mai*tk_hold_vr200)/Sens!J8562</f>
        <v>11.2032127128058</v>
      </c>
      <c r="K8576" s="15" t="n">
        <f aca="false">(Sens!K8570*tk_hold_h100+Sens!K8571*tk_hold_gb200+Sens!K8572*tk_hold_gb300+Sens!K8574*tk_hold_vr200+Sens!K8573*nv_out_mai*tk_hold_vr200)/Sens!K8562</f>
        <v>11.4085735724225</v>
      </c>
      <c r="L8576" s="12" t="s">
        <v>975</v>
      </c>
    </row>
    <row r="8577" customFormat="false" ht="17.15" hidden="false" customHeight="false" outlineLevel="0" collapsed="false">
      <c r="A8577" s="0" t="s">
        <v>976</v>
      </c>
      <c r="B8577" s="0" t="s">
        <v>229</v>
      </c>
      <c r="C8577" s="15" t="n">
        <f aca="false">k_B</f>
        <v>1.17213932619116</v>
      </c>
      <c r="D8577" s="15" t="n">
        <f aca="false">k_B</f>
        <v>1.17213932619116</v>
      </c>
      <c r="E8577" s="15" t="n">
        <f aca="false">k_B</f>
        <v>1.17213932619116</v>
      </c>
      <c r="F8577" s="15" t="n">
        <f aca="false">(k_B+((ls_A*k_long+(1-ls_A)*k_spot)-k_B)*MIN(1,(Sens!F8560-base_fy)/k_ramp))</f>
        <v>1.25022828131298</v>
      </c>
      <c r="G8577" s="15" t="n">
        <f aca="false">(k_B+((ls_A*k_long+(1-ls_A)*k_spot)-k_B)*MIN(1,(Sens!G8560-base_fy)/k_ramp))</f>
        <v>1.3283172364348</v>
      </c>
      <c r="H8577" s="15" t="n">
        <f aca="false">(k_B+((ls_A*k_long+(1-ls_A)*k_spot)-k_B)*MIN(1,(Sens!H8560-base_fy)/k_ramp))</f>
        <v>1.40640619155662</v>
      </c>
      <c r="I8577" s="15" t="n">
        <f aca="false">(k_B+((ls_A*k_long+(1-ls_A)*k_spot)-k_B)*MIN(1,(Sens!I8560-base_fy)/k_ramp))</f>
        <v>1.40640619155662</v>
      </c>
      <c r="J8577" s="15" t="n">
        <f aca="false">(k_B+((ls_A*k_long+(1-ls_A)*k_spot)-k_B)*MIN(1,(Sens!J8560-base_fy)/k_ramp))</f>
        <v>1.40640619155662</v>
      </c>
      <c r="K8577" s="15" t="n">
        <f aca="false">(k_B+((ls_A*k_long+(1-ls_A)*k_spot)-k_B)*MIN(1,(Sens!K8560-base_fy)/k_ramp))</f>
        <v>1.40640619155662</v>
      </c>
      <c r="L8577" s="1" t="s">
        <v>977</v>
      </c>
    </row>
    <row r="8578" customFormat="false" ht="17.15" hidden="false" customHeight="false" outlineLevel="0" collapsed="false">
      <c r="A8578" s="1" t="s">
        <v>978</v>
      </c>
      <c r="B8578" s="0" t="s">
        <v>403</v>
      </c>
      <c r="C8578" s="15" t="n">
        <f aca="false">Sens!C8576*Sens!C8577*chip_f</f>
        <v>11.3973387156315</v>
      </c>
      <c r="D8578" s="15" t="n">
        <f aca="false">Sens!D8576*Sens!D8577*chip_f</f>
        <v>11.3973387156315</v>
      </c>
      <c r="E8578" s="15" t="n">
        <f aca="false">Sens!E8576*Sens!E8577*chip_f</f>
        <v>11.3973387156315</v>
      </c>
      <c r="F8578" s="15" t="n">
        <f aca="false">Sens!F8576*Sens!F8577*chip_f</f>
        <v>12.8116169124314</v>
      </c>
      <c r="G8578" s="15" t="n">
        <f aca="false">Sens!G8576*Sens!G8577*chip_f</f>
        <v>14.094588604395</v>
      </c>
      <c r="H8578" s="15" t="n">
        <f aca="false">Sens!H8576*Sens!H8577*chip_f</f>
        <v>15.2803058877132</v>
      </c>
      <c r="I8578" s="15" t="n">
        <f aca="false">Sens!I8576*Sens!I8577*chip_f</f>
        <v>15.5457988470549</v>
      </c>
      <c r="J8578" s="15" t="n">
        <f aca="false">Sens!J8576*Sens!J8577*chip_f</f>
        <v>15.7562677246158</v>
      </c>
      <c r="K8578" s="15" t="n">
        <f aca="false">Sens!K8576*Sens!K8577*chip_f</f>
        <v>16.0450885090842</v>
      </c>
      <c r="L8578" s="1" t="s">
        <v>979</v>
      </c>
    </row>
    <row r="8579" customFormat="false" ht="17.15" hidden="false" customHeight="false" outlineLevel="0" collapsed="false">
      <c r="A8579" s="0" t="s">
        <v>980</v>
      </c>
      <c r="B8579" s="0" t="s">
        <v>98</v>
      </c>
      <c r="D8579" s="6" t="n">
        <f aca="false">(Sens!C8562+Sens!D8562)/2*Sens!D8578/1000</f>
        <v>12.9359794422418</v>
      </c>
      <c r="E8579" s="6" t="n">
        <f aca="false">(Sens!D8562+Sens!E8562)/2*Sens!E8578/1000</f>
        <v>27.8095064661409</v>
      </c>
      <c r="F8579" s="6" t="n">
        <f aca="false">(Sens!E8562+Sens!F8562)/2*Sens!F8578/1000</f>
        <v>59.1034165651511</v>
      </c>
      <c r="G8579" s="6" t="n">
        <f aca="false">(Sens!F8562+Sens!G8562)/2*Sens!G8578/1000</f>
        <v>103.451498789198</v>
      </c>
      <c r="H8579" s="6" t="n">
        <f aca="false">(Sens!G8562+Sens!H8562)/2*Sens!H8578/1000</f>
        <v>153.816719989035</v>
      </c>
      <c r="I8579" s="6" t="n">
        <f aca="false">(Sens!H8562+Sens!I8562)/2*Sens!I8578/1000</f>
        <v>192.699478690852</v>
      </c>
      <c r="J8579" s="6" t="n">
        <f aca="false">(Sens!I8562+Sens!J8562)/2*Sens!J8578/1000</f>
        <v>219.794102584244</v>
      </c>
      <c r="K8579" s="6" t="n">
        <f aca="false">(Sens!J8562+Sens!K8562)/2*Sens!K8578/1000</f>
        <v>236.757046905022</v>
      </c>
      <c r="L8579" s="12" t="s">
        <v>981</v>
      </c>
    </row>
    <row r="8580" customFormat="false" ht="17.15" hidden="false" customHeight="false" outlineLevel="0" collapsed="false">
      <c r="A8580" s="1" t="s">
        <v>982</v>
      </c>
      <c r="B8580" s="0" t="s">
        <v>403</v>
      </c>
      <c r="C8580" s="15" t="n">
        <f aca="false">(Sens!C8570*tk_opex_h100+Sens!C8571*tk_opex_gb200+Sens!C8572*tk_opex_gb300+(Sens!C8574+Sens!C8573)*tk_opex_vr200)/Sens!C8562</f>
        <v>1.88636041306092</v>
      </c>
      <c r="D8580" s="15" t="n">
        <f aca="false">(Sens!D8570*tk_opex_h100+Sens!D8571*tk_opex_gb200+Sens!D8572*tk_opex_gb300+(Sens!D8574+Sens!D8573)*tk_opex_vr200)/Sens!D8562</f>
        <v>1.88636041306092</v>
      </c>
      <c r="E8580" s="15" t="n">
        <f aca="false">(Sens!E8570*tk_opex_h100+Sens!E8571*tk_opex_gb200+Sens!E8572*tk_opex_gb300+(Sens!E8574+Sens!E8573)*tk_opex_vr200)/Sens!E8562</f>
        <v>1.88636041306092</v>
      </c>
      <c r="F8580" s="15" t="n">
        <f aca="false">(Sens!F8570*tk_opex_h100+Sens!F8571*tk_opex_gb200+Sens!F8572*tk_opex_gb300+(Sens!F8574+Sens!F8573)*tk_opex_vr200)/Sens!F8562</f>
        <v>1.95051159746876</v>
      </c>
      <c r="G8580" s="15" t="n">
        <f aca="false">(Sens!G8570*tk_opex_h100+Sens!G8571*tk_opex_gb200+Sens!G8572*tk_opex_gb300+(Sens!G8574+Sens!G8573)*tk_opex_vr200)/Sens!G8562</f>
        <v>1.98836003669956</v>
      </c>
      <c r="H8580" s="15" t="n">
        <f aca="false">(Sens!H8570*tk_opex_h100+Sens!H8571*tk_opex_gb200+Sens!H8572*tk_opex_gb300+(Sens!H8574+Sens!H8573)*tk_opex_vr200)/Sens!H8562</f>
        <v>2.01344013834343</v>
      </c>
      <c r="I8580" s="15" t="n">
        <f aca="false">(Sens!I8570*tk_opex_h100+Sens!I8571*tk_opex_gb200+Sens!I8572*tk_opex_gb300+(Sens!I8574+Sens!I8573)*tk_opex_vr200)/Sens!I8562</f>
        <v>2.03261166882178</v>
      </c>
      <c r="J8580" s="15" t="n">
        <f aca="false">(Sens!J8570*tk_opex_h100+Sens!J8571*tk_opex_gb200+Sens!J8572*tk_opex_gb300+(Sens!J8574+Sens!J8573)*tk_opex_vr200)/Sens!J8562</f>
        <v>2.04808073288745</v>
      </c>
      <c r="K8580" s="15" t="n">
        <f aca="false">(Sens!K8570*tk_opex_h100+Sens!K8571*tk_opex_gb200+Sens!K8572*tk_opex_gb300+(Sens!K8574+Sens!K8573)*tk_opex_vr200)/Sens!K8562</f>
        <v>2.06973825807449</v>
      </c>
      <c r="L8580" s="12" t="s">
        <v>983</v>
      </c>
    </row>
    <row r="8581" customFormat="false" ht="17.15" hidden="false" customHeight="false" outlineLevel="0" collapsed="false">
      <c r="A8581" s="0" t="s">
        <v>984</v>
      </c>
      <c r="B8581" s="0" t="s">
        <v>98</v>
      </c>
      <c r="D8581" s="6" t="n">
        <f aca="false">(Sens!C8565+Sens!D8565)/2*Sens!D8580/1000</f>
        <v>2.70378325872065</v>
      </c>
      <c r="E8581" s="6" t="n">
        <f aca="false">(Sens!D8565+Sens!E8565)/2*Sens!E8580/1000</f>
        <v>6.17783035277451</v>
      </c>
      <c r="F8581" s="6" t="n">
        <f aca="false">(Sens!E8565+Sens!F8565)/2*Sens!F8580/1000</f>
        <v>12.8742463089237</v>
      </c>
      <c r="G8581" s="6" t="n">
        <f aca="false">(Sens!F8565+Sens!G8565)/2*Sens!G8580/1000</f>
        <v>21.8182834646277</v>
      </c>
      <c r="H8581" s="6" t="n">
        <f aca="false">(Sens!G8565+Sens!H8565)/2*Sens!H8580/1000</f>
        <v>31.2430128789734</v>
      </c>
      <c r="I8581" s="6" t="n">
        <f aca="false">(Sens!H8565+Sens!I8565)/2*Sens!I8580/1000</f>
        <v>39.4313057443268</v>
      </c>
      <c r="J8581" s="6" t="n">
        <f aca="false">(Sens!I8565+Sens!J8565)/2*Sens!J8580/1000</f>
        <v>45.0360318228653</v>
      </c>
      <c r="K8581" s="6" t="n">
        <f aca="false">(Sens!J8565+Sens!K8565)/2*Sens!K8580/1000</f>
        <v>48.2929727091156</v>
      </c>
    </row>
    <row r="8582" customFormat="false" ht="17.15" hidden="false" customHeight="false" outlineLevel="0" collapsed="false">
      <c r="A8582" s="0" t="s">
        <v>985</v>
      </c>
      <c r="B8582" s="0" t="s">
        <v>98</v>
      </c>
      <c r="D8582" s="6" t="n">
        <f aca="false">(Sens!C8563+Sens!D8563)/2*rent_mw/1000</f>
        <v>2.44475</v>
      </c>
      <c r="E8582" s="6" t="n">
        <f aca="false">(Sens!D8563+Sens!E8563)/2*rent_mw/1000</f>
        <v>4.22275</v>
      </c>
      <c r="F8582" s="6" t="n">
        <f aca="false">(Sens!E8563+Sens!F8563)/2*rent_mw/1000</f>
        <v>5.80517</v>
      </c>
      <c r="G8582" s="6" t="n">
        <f aca="false">(Sens!F8563+Sens!G8563)/2*rent_mw/1000</f>
        <v>6.72084</v>
      </c>
      <c r="H8582" s="6" t="n">
        <f aca="false">(Sens!G8563+Sens!H8563)/2*rent_mw/1000</f>
        <v>6.72084</v>
      </c>
      <c r="I8582" s="6" t="n">
        <f aca="false">(Sens!H8563+Sens!I8563)/2*rent_mw/1000</f>
        <v>6.72084</v>
      </c>
      <c r="J8582" s="6" t="n">
        <f aca="false">(Sens!I8563+Sens!J8563)/2*rent_mw/1000</f>
        <v>6.72084</v>
      </c>
      <c r="K8582" s="6" t="n">
        <f aca="false">(Sens!J8563+Sens!K8563)/2*rent_mw/1000</f>
        <v>6.72084</v>
      </c>
    </row>
    <row r="8583" customFormat="false" ht="17.15" hidden="false" customHeight="false" outlineLevel="0" collapsed="false">
      <c r="A8583" s="0" t="s">
        <v>986</v>
      </c>
      <c r="B8583" s="0" t="s">
        <v>98</v>
      </c>
      <c r="D8583" s="6" t="n">
        <f aca="false">(Sens!C8565+Sens!D8565)/2*(1-self_build)*fac_rent/1000</f>
        <v>0.853242375631075</v>
      </c>
      <c r="E8583" s="6" t="n">
        <f aca="false">(Sens!D8565+Sens!E8565)/2*(1-self_build)*fac_rent/1000</f>
        <v>1.94955961408728</v>
      </c>
      <c r="F8583" s="6" t="n">
        <f aca="false">(Sens!E8565+Sens!F8565)/2*(1-self_build)*fac_rent/1000</f>
        <v>3.92914894476356</v>
      </c>
      <c r="G8583" s="6" t="n">
        <f aca="false">(Sens!F8565+Sens!G8565)/2*(1-self_build)*fac_rent/1000</f>
        <v>6.53206908578159</v>
      </c>
      <c r="H8583" s="6" t="n">
        <f aca="false">(Sens!G8565+Sens!H8565)/2*(1-self_build)*fac_rent/1000</f>
        <v>9.23717988341591</v>
      </c>
      <c r="I8583" s="6" t="n">
        <f aca="false">(Sens!H8565+Sens!I8565)/2*(1-self_build)*fac_rent/1000</f>
        <v>11.5481378557393</v>
      </c>
      <c r="J8583" s="6" t="n">
        <f aca="false">(Sens!I8565+Sens!J8565)/2*(1-self_build)*fac_rent/1000</f>
        <v>13.0899582289108</v>
      </c>
      <c r="K8583" s="6" t="n">
        <f aca="false">(Sens!J8565+Sens!K8565)/2*(1-self_build)*fac_rent/1000</f>
        <v>13.8897275626556</v>
      </c>
      <c r="L8583" s="12" t="s">
        <v>987</v>
      </c>
    </row>
    <row r="8584" customFormat="false" ht="17.15" hidden="false" customHeight="false" outlineLevel="0" collapsed="false">
      <c r="A8584" s="1" t="s">
        <v>988</v>
      </c>
      <c r="B8584" s="0" t="s">
        <v>168</v>
      </c>
      <c r="D8584" s="7" t="n">
        <f aca="false">(Sens!C8564+Sens!D8564)/(Sens!C8565+Sens!D8565)</f>
        <v>0.6</v>
      </c>
      <c r="E8584" s="7" t="n">
        <f aca="false">(Sens!D8564+Sens!E8564)/(Sens!D8565+Sens!E8565)</f>
        <v>0.6</v>
      </c>
      <c r="F8584" s="7" t="n">
        <f aca="false">(Sens!E8564+Sens!F8564)/(Sens!E8565+Sens!F8565)</f>
        <v>0.6</v>
      </c>
      <c r="G8584" s="7" t="n">
        <f aca="false">(Sens!F8564+Sens!G8564)/(Sens!F8565+Sens!G8565)</f>
        <v>0.6</v>
      </c>
      <c r="H8584" s="7" t="n">
        <f aca="false">(Sens!G8564+Sens!H8564)/(Sens!G8565+Sens!H8565)</f>
        <v>0.6</v>
      </c>
      <c r="I8584" s="7" t="n">
        <f aca="false">(Sens!H8564+Sens!I8564)/(Sens!H8565+Sens!I8565)</f>
        <v>0.6</v>
      </c>
      <c r="J8584" s="7" t="n">
        <f aca="false">(Sens!I8564+Sens!J8564)/(Sens!I8565+Sens!J8565)</f>
        <v>0.6</v>
      </c>
      <c r="K8584" s="7" t="n">
        <f aca="false">(Sens!J8564+Sens!K8564)/(Sens!J8565+Sens!K8565)</f>
        <v>0.6</v>
      </c>
    </row>
    <row r="8585" customFormat="false" ht="17.15" hidden="false" customHeight="false" outlineLevel="0" collapsed="false">
      <c r="A8585" s="0" t="s">
        <v>989</v>
      </c>
      <c r="B8585" s="0" t="s">
        <v>98</v>
      </c>
      <c r="D8585" s="6" t="n">
        <f aca="false">Sens!D8579-Sens!D8584*(Sens!D8581+Sens!D8583)-Sens!D8582</f>
        <v>8.35701406163072</v>
      </c>
      <c r="E8585" s="6" t="n">
        <f aca="false">Sens!E8579-Sens!E8584*(Sens!E8581+Sens!E8583)-Sens!E8582</f>
        <v>18.7103224860238</v>
      </c>
      <c r="F8585" s="6" t="n">
        <f aca="false">Sens!F8579-Sens!F8584*(Sens!F8581+Sens!F8583)-Sens!F8582</f>
        <v>43.2162094129388</v>
      </c>
      <c r="G8585" s="6" t="n">
        <f aca="false">Sens!G8579-Sens!G8584*(Sens!G8581+Sens!G8583)-Sens!G8582</f>
        <v>79.7204472589529</v>
      </c>
      <c r="H8585" s="6" t="n">
        <f aca="false">Sens!H8579-Sens!H8584*(Sens!H8581+Sens!H8583)-Sens!H8582</f>
        <v>122.807764331602</v>
      </c>
      <c r="I8585" s="6" t="n">
        <f aca="false">Sens!I8579-Sens!I8584*(Sens!I8581+Sens!I8583)-Sens!I8582</f>
        <v>155.390972530813</v>
      </c>
      <c r="J8585" s="6" t="n">
        <f aca="false">Sens!J8579-Sens!J8584*(Sens!J8581+Sens!J8583)-Sens!J8582</f>
        <v>178.197668553178</v>
      </c>
      <c r="K8585" s="6" t="n">
        <f aca="false">Sens!K8579-Sens!K8584*(Sens!K8581+Sens!K8583)-Sens!K8582</f>
        <v>192.726586741959</v>
      </c>
    </row>
    <row r="8586" customFormat="false" ht="17.15" hidden="false" customHeight="false" outlineLevel="0" collapsed="false">
      <c r="A8586" s="1" t="s">
        <v>990</v>
      </c>
      <c r="B8586" s="0" t="s">
        <v>98</v>
      </c>
      <c r="D8586" s="6" t="n">
        <f aca="false">(1-Sens!D8584)*(Sens!D8581+Sens!D8583)</f>
        <v>1.42281025374069</v>
      </c>
      <c r="E8586" s="6" t="n">
        <f aca="false">(1-Sens!E8584)*(Sens!E8581+Sens!E8583)</f>
        <v>3.25095598674472</v>
      </c>
      <c r="F8586" s="6" t="n">
        <f aca="false">(1-Sens!F8584)*(Sens!F8581+Sens!F8583)</f>
        <v>6.72135810147489</v>
      </c>
      <c r="G8586" s="6" t="n">
        <f aca="false">(1-Sens!G8584)*(Sens!G8581+Sens!G8583)</f>
        <v>11.3401410201637</v>
      </c>
      <c r="H8586" s="6" t="n">
        <f aca="false">(1-Sens!H8584)*(Sens!H8581+Sens!H8583)</f>
        <v>16.1920771049557</v>
      </c>
      <c r="I8586" s="6" t="n">
        <f aca="false">(1-Sens!I8584)*(Sens!I8581+Sens!I8583)</f>
        <v>20.3917774400264</v>
      </c>
      <c r="J8586" s="6" t="n">
        <f aca="false">(1-Sens!J8584)*(Sens!J8581+Sens!J8583)</f>
        <v>23.2503960207104</v>
      </c>
      <c r="K8586" s="6" t="n">
        <f aca="false">(1-Sens!K8584)*(Sens!K8581+Sens!K8583)</f>
        <v>24.8730801087085</v>
      </c>
    </row>
    <row r="8587" customFormat="false" ht="17.15" hidden="false" customHeight="false" outlineLevel="0" collapsed="false">
      <c r="A8587" s="1" t="s">
        <v>991</v>
      </c>
      <c r="B8587" s="0" t="s">
        <v>417</v>
      </c>
      <c r="C8587" s="8" t="n">
        <f aca="false">cxit_open</f>
        <v>27.5918995</v>
      </c>
      <c r="D8587" s="8" t="n">
        <f aca="false">cxit_open</f>
        <v>27.5918995</v>
      </c>
      <c r="E8587" s="8" t="n">
        <f aca="false">cxit_open</f>
        <v>27.5918995</v>
      </c>
      <c r="F8587" s="8" t="n">
        <f aca="false">((a_g3_27-nonnv*a_mai)*tk_cxit_gb300+nonnv*a_mai*nv_hold_mai*tk_cxit_vr200+(1-a_g3_27)*tk_cxit_vr200)</f>
        <v>32.4975576</v>
      </c>
      <c r="G8587" s="8" t="n">
        <f aca="false">((a_g3_28-nonnv*a_mai)*tk_cxit_gb300+nonnv*a_mai*nv_hold_mai*tk_cxit_vr200+(1-a_g3_28)*tk_cxit_vr200)</f>
        <v>34.6372088</v>
      </c>
      <c r="H8587" s="8" t="n">
        <f aca="false">((a_g3_29-nonnv*a_mai)*tk_cxit_gb300+nonnv*a_mai*nv_hold_mai*tk_cxit_vr200+(1-a_g3_29)*tk_cxit_vr200)</f>
        <v>35.7070344</v>
      </c>
      <c r="I8587" s="8" t="n">
        <f aca="false">((a_g3_29-nonnv*a_mai)*tk_cxit_gb300+nonnv*a_mai*nv_hold_mai*tk_cxit_vr200+(1-a_g3_29)*tk_cxit_vr200)</f>
        <v>35.7070344</v>
      </c>
      <c r="J8587" s="8" t="n">
        <f aca="false">((a_g3_29-nonnv*a_mai)*tk_cxit_gb300+nonnv*a_mai*nv_hold_mai*tk_cxit_vr200+(1-a_g3_29)*tk_cxit_vr200)</f>
        <v>35.7070344</v>
      </c>
      <c r="K8587" s="8" t="n">
        <f aca="false">((a_g3_29-nonnv*a_mai)*tk_cxit_gb300+nonnv*a_mai*nv_hold_mai*tk_cxit_vr200+(1-a_g3_29)*tk_cxit_vr200)</f>
        <v>35.7070344</v>
      </c>
      <c r="L8587" s="12" t="s">
        <v>992</v>
      </c>
    </row>
    <row r="8588" customFormat="false" ht="17.15" hidden="false" customHeight="false" outlineLevel="0" collapsed="false">
      <c r="A8588" s="0" t="s">
        <v>993</v>
      </c>
      <c r="B8588" s="0" t="s">
        <v>459</v>
      </c>
      <c r="F8588" s="30" t="n">
        <f aca="false">Sens!C8567*IF(Sens!F8560-Sens!C8560=life_it,1,0)+Sens!D8567*IF(Sens!F8560-Sens!D8560=life_it,1,0)+Sens!E8567*IF(Sens!F8560-Sens!E8560=life_it,1,0)</f>
        <v>0</v>
      </c>
      <c r="G8588" s="30" t="n">
        <f aca="false">Sens!C8567*IF(Sens!G8560-Sens!C8560=life_it,1,0)+Sens!D8567*IF(Sens!G8560-Sens!D8560=life_it,1,0)+Sens!E8567*IF(Sens!G8560-Sens!E8560=life_it,1,0)+Sens!F8567*IF(Sens!G8560-Sens!F8560=life_it,1,0)</f>
        <v>0</v>
      </c>
      <c r="H8588" s="30" t="n">
        <f aca="false">Sens!C8567*IF(Sens!H8560-Sens!C8560=life_it,1,0)+Sens!D8567*IF(Sens!H8560-Sens!D8560=life_it,1,0)+Sens!E8567*IF(Sens!H8560-Sens!E8560=life_it,1,0)+Sens!F8567*IF(Sens!H8560-Sens!F8560=life_it,1,0)+Sens!G8567*IF(Sens!H8560-Sens!G8560=life_it,1,0)</f>
        <v>0</v>
      </c>
      <c r="I8588" s="30" t="n">
        <f aca="false">Sens!C8567*IF(Sens!I8560-Sens!C8560=life_it,1,0)+Sens!D8567*IF(Sens!I8560-Sens!D8560=life_it,1,0)+Sens!E8567*IF(Sens!I8560-Sens!E8560=life_it,1,0)+Sens!F8567*IF(Sens!I8560-Sens!F8560=life_it,1,0)+Sens!G8567*IF(Sens!I8560-Sens!G8560=life_it,1,0)+Sens!H8567*IF(Sens!I8560-Sens!H8560=life_it,1,0)</f>
        <v>816.666666666667</v>
      </c>
      <c r="J8588" s="30" t="n">
        <f aca="false">Sens!C8567*IF(Sens!J8560-Sens!C8560=life_it,1,0)+Sens!D8567*IF(Sens!J8560-Sens!D8560=life_it,1,0)+Sens!E8567*IF(Sens!J8560-Sens!E8560=life_it,1,0)+Sens!F8567*IF(Sens!J8560-Sens!F8560=life_it,1,0)+Sens!G8567*IF(Sens!J8560-Sens!G8560=life_it,1,0)+Sens!H8567*IF(Sens!J8560-Sens!H8560=life_it,1,0)+Sens!I8567*IF(Sens!J8560-Sens!I8560=life_it,1,0)</f>
        <v>1233.33333333333</v>
      </c>
      <c r="K8588" s="30" t="n">
        <f aca="false">Sens!C8567*IF(Sens!K8560-Sens!C8560=life_it,1,0)+Sens!D8567*IF(Sens!K8560-Sens!D8560=life_it,1,0)+Sens!E8567*IF(Sens!K8560-Sens!E8560=life_it,1,0)+Sens!F8567*IF(Sens!K8560-Sens!F8560=life_it,1,0)+Sens!G8567*IF(Sens!K8560-Sens!G8560=life_it,1,0)+Sens!H8567*IF(Sens!K8560-Sens!H8560=life_it,1,0)+Sens!I8567*IF(Sens!K8560-Sens!I8560=life_it,1,0)+Sens!J8567*IF(Sens!K8560-Sens!J8560=life_it,1,0)</f>
        <v>2450</v>
      </c>
      <c r="L8588" s="1" t="s">
        <v>994</v>
      </c>
    </row>
    <row r="8589" customFormat="false" ht="17.15" hidden="false" customHeight="false" outlineLevel="0" collapsed="false">
      <c r="A8589" s="0" t="s">
        <v>995</v>
      </c>
      <c r="B8589" s="0" t="s">
        <v>98</v>
      </c>
      <c r="C8589" s="6" t="n">
        <f aca="false">Sens!C8567*Sens!C8587/1000</f>
        <v>22.5333845916667</v>
      </c>
      <c r="D8589" s="6" t="n">
        <f aca="false">Sens!D8567*Sens!D8587/1000</f>
        <v>34.0300093833333</v>
      </c>
      <c r="E8589" s="6" t="n">
        <f aca="false">Sens!E8567*Sens!E8587/1000</f>
        <v>67.600153775</v>
      </c>
      <c r="F8589" s="6" t="n">
        <f aca="false">(Sens!F8567+Sens!F8588)*Sens!F8587/1000</f>
        <v>136.51872432512</v>
      </c>
      <c r="G8589" s="6" t="n">
        <f aca="false">(Sens!G8567+Sens!G8588)*Sens!G8587/1000</f>
        <v>157.399275932048</v>
      </c>
      <c r="H8589" s="6" t="n">
        <f aca="false">(Sens!H8567+Sens!H8588)*Sens!H8587/1000</f>
        <v>162.260804347512</v>
      </c>
      <c r="I8589" s="6" t="n">
        <f aca="false">(Sens!I8567+Sens!I8588)*Sens!I8587/1000</f>
        <v>144.136569485434</v>
      </c>
      <c r="J8589" s="6" t="n">
        <f aca="false">(Sens!J8567+Sens!J8588)*Sens!J8587/1000</f>
        <v>114.029037357864</v>
      </c>
      <c r="K8589" s="6" t="n">
        <f aca="false">(Sens!K8567+Sens!K8588)*Sens!K8587/1000</f>
        <v>113.437085350975</v>
      </c>
    </row>
    <row r="8590" customFormat="false" ht="17.15" hidden="false" customHeight="false" outlineLevel="0" collapsed="false">
      <c r="A8590" s="0" t="s">
        <v>996</v>
      </c>
      <c r="B8590" s="0" t="s">
        <v>98</v>
      </c>
      <c r="C8590" s="6" t="n">
        <f aca="false">Sens!C8567*self_build*tk_cxfac/1000</f>
        <v>6.2083</v>
      </c>
      <c r="D8590" s="6" t="n">
        <f aca="false">Sens!D8567*self_build*tk_cxfac/1000</f>
        <v>9.3758</v>
      </c>
      <c r="E8590" s="6" t="n">
        <f aca="false">Sens!E8567*self_build*tk_cxfac/1000</f>
        <v>18.6249</v>
      </c>
      <c r="F8590" s="6" t="n">
        <f aca="false">Sens!F8567*self_build*tk_cxfac/1000</f>
        <v>31.935179717</v>
      </c>
      <c r="G8590" s="6" t="n">
        <f aca="false">Sens!G8567*self_build*tk_cxfac/1000</f>
        <v>34.545199717</v>
      </c>
      <c r="H8590" s="6" t="n">
        <f aca="false">Sens!H8567*self_build*tk_cxfac/1000</f>
        <v>34.545199717</v>
      </c>
      <c r="I8590" s="6" t="n">
        <f aca="false">Sens!I8567*self_build*tk_cxfac/1000</f>
        <v>24.4782641361767</v>
      </c>
      <c r="J8590" s="6" t="n">
        <f aca="false">Sens!J8567*self_build*tk_cxfac/1000</f>
        <v>14.9008938380769</v>
      </c>
      <c r="K8590" s="6" t="n">
        <f aca="false">Sens!K8567*self_build*tk_cxfac/1000</f>
        <v>5.52576771375761</v>
      </c>
    </row>
    <row r="8591" customFormat="false" ht="17.15" hidden="false" customHeight="false" outlineLevel="0" collapsed="false">
      <c r="A8591" s="0" t="s">
        <v>997</v>
      </c>
      <c r="B8591" s="0" t="s">
        <v>98</v>
      </c>
      <c r="F8591" s="15" t="n">
        <f aca="false">capex_floor27-Sens!F8589-Sens!F8590-Sens!F8687</f>
        <v>-0.158639466177256</v>
      </c>
      <c r="L8591" s="12" t="s">
        <v>998</v>
      </c>
    </row>
    <row r="8592" customFormat="false" ht="17.15" hidden="false" customHeight="false" outlineLevel="0" collapsed="false">
      <c r="A8592" s="0" t="s">
        <v>999</v>
      </c>
      <c r="B8592" s="0" t="s">
        <v>98</v>
      </c>
      <c r="F8592" s="6" t="n">
        <f aca="false">MAX(0,Sens!F8591)</f>
        <v>0</v>
      </c>
    </row>
    <row r="8593" customFormat="false" ht="17.15" hidden="false" customHeight="false" outlineLevel="0" collapsed="false">
      <c r="A8593" s="0" t="s">
        <v>1000</v>
      </c>
      <c r="B8593" s="0" t="s">
        <v>98</v>
      </c>
      <c r="C8593" s="6" t="n">
        <f aca="false">Sens!C8589</f>
        <v>22.5333845916667</v>
      </c>
      <c r="D8593" s="6" t="n">
        <f aca="false">Sens!D8589</f>
        <v>34.0300093833333</v>
      </c>
      <c r="E8593" s="6" t="n">
        <f aca="false">Sens!E8589</f>
        <v>67.600153775</v>
      </c>
      <c r="F8593" s="6" t="n">
        <f aca="false">Sens!F8589</f>
        <v>136.51872432512</v>
      </c>
      <c r="G8593" s="6" t="n">
        <f aca="false">Sens!G8589</f>
        <v>157.399275932048</v>
      </c>
      <c r="H8593" s="6" t="n">
        <f aca="false">Sens!H8589</f>
        <v>162.260804347512</v>
      </c>
      <c r="I8593" s="6" t="n">
        <f aca="false">Sens!I8589</f>
        <v>144.136569485434</v>
      </c>
      <c r="J8593" s="6" t="n">
        <f aca="false">Sens!J8589</f>
        <v>114.029037357864</v>
      </c>
      <c r="K8593" s="6" t="n">
        <f aca="false">Sens!K8589</f>
        <v>113.437085350975</v>
      </c>
    </row>
    <row r="8594" customFormat="false" ht="17.15" hidden="false" customHeight="false" outlineLevel="0" collapsed="false">
      <c r="A8594" s="0" t="s">
        <v>1001</v>
      </c>
      <c r="B8594" s="0" t="s">
        <v>98</v>
      </c>
      <c r="C8594" s="6" t="n">
        <f aca="false">Sens!C8593+Sens!C8590</f>
        <v>28.7416845916667</v>
      </c>
      <c r="D8594" s="6" t="n">
        <f aca="false">Sens!D8593+Sens!D8590</f>
        <v>43.4058093833333</v>
      </c>
      <c r="E8594" s="6" t="n">
        <f aca="false">Sens!E8593+Sens!E8590</f>
        <v>86.225053775</v>
      </c>
      <c r="F8594" s="6" t="n">
        <f aca="false">Sens!F8593+Sens!F8590</f>
        <v>168.45390404212</v>
      </c>
      <c r="G8594" s="6" t="n">
        <f aca="false">Sens!G8593+Sens!G8590</f>
        <v>191.944475649048</v>
      </c>
      <c r="H8594" s="6" t="n">
        <f aca="false">Sens!H8593+Sens!H8590</f>
        <v>196.806004064512</v>
      </c>
      <c r="I8594" s="6" t="n">
        <f aca="false">Sens!I8593+Sens!I8590</f>
        <v>168.61483362161</v>
      </c>
      <c r="J8594" s="6" t="n">
        <f aca="false">Sens!J8593+Sens!J8590</f>
        <v>128.92993119594</v>
      </c>
      <c r="K8594" s="6" t="n">
        <f aca="false">Sens!K8593+Sens!K8590</f>
        <v>118.962853064733</v>
      </c>
      <c r="L8594" s="12" t="s">
        <v>1002</v>
      </c>
    </row>
    <row r="8595" customFormat="false" ht="17.15" hidden="false" customHeight="false" outlineLevel="0" collapsed="false">
      <c r="A8595" s="0" t="s">
        <v>1003</v>
      </c>
      <c r="B8595" s="0" t="s">
        <v>98</v>
      </c>
      <c r="E8595" s="6" t="n">
        <f aca="false">(Sens!C8593*IF(2&lt;life_it,1,IF(2=life_it,0.5,0))+Sens!D8593*IF(1&lt;life_it,1,IF(1=life_it,0.5,0))+Sens!E8593*0.5)/life_it</f>
        <v>15.0605784770833</v>
      </c>
      <c r="F8595" s="6" t="n">
        <f aca="false">(Sens!C8593*IF(3&lt;life_it,1,IF(3=life_it,0.5,0))+Sens!D8593*IF(2&lt;life_it,1,IF(2=life_it,0.5,0))+Sens!E8593*IF(1&lt;life_it,1,IF(1=life_it,0.5,0))+Sens!F8593*0.5)/life_it</f>
        <v>32.0704849854266</v>
      </c>
      <c r="G8595" s="6" t="n">
        <f aca="false">(Sens!C8593*IF(4&lt;life_it,1,IF(4=life_it,0.5,0))+Sens!D8593*IF(3&lt;life_it,1,IF(3=life_it,0.5,0))+Sens!E8593*IF(2&lt;life_it,1,IF(2=life_it,0.5,0))+Sens!F8593*IF(1&lt;life_it,1,IF(1=life_it,0.5,0))+Sens!G8593*0.5)/life_it</f>
        <v>56.5636516735239</v>
      </c>
      <c r="H8595" s="6" t="n">
        <f aca="false">(Sens!C8593*IF(5&lt;life_it,1,IF(5=life_it,0.5,0))+Sens!D8593*IF(4&lt;life_it,1,IF(4=life_it,0.5,0))+Sens!E8593*IF(3&lt;life_it,1,IF(3=life_it,0.5,0))+Sens!F8593*IF(2&lt;life_it,1,IF(2=life_it,0.5,0))+Sens!G8593*IF(1&lt;life_it,1,IF(1=life_it,0.5,0))+Sens!H8593*0.5)/life_it</f>
        <v>83.2019916968207</v>
      </c>
      <c r="I8595" s="6" t="n">
        <f aca="false">(Sens!C8593*IF(6&lt;life_it,1,IF(6=life_it,0.5,0))+Sens!D8593*IF(5&lt;life_it,1,IF(5=life_it,0.5,0))+Sens!E8593*IF(4&lt;life_it,1,IF(4=life_it,0.5,0))+Sens!F8593*IF(3&lt;life_it,1,IF(3=life_it,0.5,0))+Sens!G8593*IF(2&lt;life_it,1,IF(2=life_it,0.5,0))+Sens!H8593*IF(1&lt;life_it,1,IF(1=life_it,0.5,0))+Sens!I8593*0.5)/life_it</f>
        <v>106.857324133594</v>
      </c>
      <c r="J8595" s="6" t="n">
        <f aca="false">(Sens!C8593*IF(7&lt;life_it,1,IF(7=life_it,0.5,0))+Sens!D8593*IF(6&lt;life_it,1,IF(6=life_it,0.5,0))+Sens!E8593*IF(5&lt;life_it,1,IF(5=life_it,0.5,0))+Sens!F8593*IF(4&lt;life_it,1,IF(4=life_it,0.5,0))+Sens!G8593*IF(3&lt;life_it,1,IF(3=life_it,0.5,0))+Sens!H8593*IF(2&lt;life_it,1,IF(2=life_it,0.5,0))+Sens!I8593*IF(1&lt;life_it,1,IF(1=life_it,0.5,0))+Sens!J8593*0.5)/life_it</f>
        <v>123.657508539285</v>
      </c>
      <c r="K8595" s="6" t="n">
        <f aca="false">(Sens!C8593*IF(8&lt;life_it,1,IF(8=life_it,0.5,0))+Sens!D8593*IF(7&lt;life_it,1,IF(7=life_it,0.5,0))+Sens!E8593*IF(6&lt;life_it,1,IF(6=life_it,0.5,0))+Sens!F8593*IF(5&lt;life_it,1,IF(5=life_it,0.5,0))+Sens!G8593*IF(4&lt;life_it,1,IF(4=life_it,0.5,0))+Sens!H8593*IF(3&lt;life_it,1,IF(3=life_it,0.5,0))+Sens!I8593*IF(2&lt;life_it,1,IF(2=life_it,0.5,0))+Sens!J8593*IF(1&lt;life_it,1,IF(1=life_it,0.5,0))+Sens!K8593*0.5)/life_it</f>
        <v>134.143838501827</v>
      </c>
    </row>
    <row r="8596" customFormat="false" ht="17.15" hidden="false" customHeight="false" outlineLevel="0" collapsed="false">
      <c r="A8596" s="0" t="s">
        <v>1004</v>
      </c>
      <c r="B8596" s="0" t="s">
        <v>98</v>
      </c>
      <c r="E8596" s="6" t="n">
        <f aca="false">(Sens!C8590*IF(2&lt;life_fac,1,IF(2=life_fac,0.5,0))+Sens!D8590*IF(1&lt;life_fac,1,IF(1=life_fac,0.5,0))+Sens!E8590*0.5)/life_fac</f>
        <v>1.2448275</v>
      </c>
      <c r="F8596" s="6" t="n">
        <f aca="false">(Sens!C8590*IF(3&lt;life_fac,1,IF(3=life_fac,0.5,0))+Sens!D8590*IF(2&lt;life_fac,1,IF(2=life_fac,0.5,0))+Sens!E8590*IF(1&lt;life_fac,1,IF(1=life_fac,0.5,0))+Sens!F8590*0.5)/life_fac</f>
        <v>2.508829492925</v>
      </c>
      <c r="G8596" s="6" t="n">
        <f aca="false">(Sens!C8590*IF(4&lt;life_fac,1,IF(4=life_fac,0.5,0))+Sens!D8590*IF(3&lt;life_fac,1,IF(3=life_fac,0.5,0))+Sens!E8590*IF(2&lt;life_fac,1,IF(2=life_fac,0.5,0))+Sens!F8590*IF(1&lt;life_fac,1,IF(1=life_fac,0.5,0))+Sens!G8590*0.5)/life_fac</f>
        <v>4.170838978775</v>
      </c>
      <c r="H8596" s="6" t="n">
        <f aca="false">(Sens!C8590*IF(5&lt;life_fac,1,IF(5=life_fac,0.5,0))+Sens!D8590*IF(4&lt;life_fac,1,IF(4=life_fac,0.5,0))+Sens!E8590*IF(3&lt;life_fac,1,IF(3=life_fac,0.5,0))+Sens!F8590*IF(2&lt;life_fac,1,IF(2=life_fac,0.5,0))+Sens!G8590*IF(1&lt;life_fac,1,IF(1=life_fac,0.5,0))+Sens!H8590*0.5)/life_fac</f>
        <v>5.898098964625</v>
      </c>
      <c r="I8596" s="6" t="n">
        <f aca="false">(Sens!C8590*IF(6&lt;life_fac,1,IF(6=life_fac,0.5,0))+Sens!D8590*IF(5&lt;life_fac,1,IF(5=life_fac,0.5,0))+Sens!E8590*IF(4&lt;life_fac,1,IF(4=life_fac,0.5,0))+Sens!F8590*IF(3&lt;life_fac,1,IF(3=life_fac,0.5,0))+Sens!G8590*IF(2&lt;life_fac,1,IF(2=life_fac,0.5,0))+Sens!H8590*IF(1&lt;life_fac,1,IF(1=life_fac,0.5,0))+Sens!I8590*0.5)/life_fac</f>
        <v>7.37368556095442</v>
      </c>
      <c r="J8596" s="6" t="n">
        <f aca="false">(Sens!C8590*IF(7&lt;life_fac,1,IF(7=life_fac,0.5,0))+Sens!D8590*IF(6&lt;life_fac,1,IF(6=life_fac,0.5,0))+Sens!E8590*IF(5&lt;life_fac,1,IF(5=life_fac,0.5,0))+Sens!F8590*IF(4&lt;life_fac,1,IF(4=life_fac,0.5,0))+Sens!G8590*IF(3&lt;life_fac,1,IF(3=life_fac,0.5,0))+Sens!H8590*IF(2&lt;life_fac,1,IF(2=life_fac,0.5,0))+Sens!I8590*IF(1&lt;life_fac,1,IF(1=life_fac,0.5,0))+Sens!J8590*0.5)/life_fac</f>
        <v>8.35816451031075</v>
      </c>
      <c r="K8596" s="6" t="n">
        <f aca="false">(Sens!C8590*IF(8&lt;life_fac,1,IF(8=life_fac,0.5,0))+Sens!D8590*IF(7&lt;life_fac,1,IF(7=life_fac,0.5,0))+Sens!E8590*IF(6&lt;life_fac,1,IF(6=life_fac,0.5,0))+Sens!F8590*IF(5&lt;life_fac,1,IF(5=life_fac,0.5,0))+Sens!G8590*IF(4&lt;life_fac,1,IF(4=life_fac,0.5,0))+Sens!H8590*IF(3&lt;life_fac,1,IF(3=life_fac,0.5,0))+Sens!I8590*IF(2&lt;life_fac,1,IF(2=life_fac,0.5,0))+Sens!J8590*IF(1&lt;life_fac,1,IF(1=life_fac,0.5,0))+Sens!K8590*0.5)/life_fac</f>
        <v>8.86883104910662</v>
      </c>
    </row>
    <row r="8597" customFormat="false" ht="17.15" hidden="false" customHeight="false" outlineLevel="0" collapsed="false">
      <c r="A8597" s="0" t="s">
        <v>1005</v>
      </c>
      <c r="B8597" s="0" t="s">
        <v>98</v>
      </c>
      <c r="E8597" s="6" t="n">
        <f aca="false">Sens!E8595+Sens!E8596</f>
        <v>16.3054059770833</v>
      </c>
      <c r="F8597" s="6" t="n">
        <f aca="false">Sens!F8595+Sens!F8596</f>
        <v>34.5793144783516</v>
      </c>
      <c r="G8597" s="6" t="n">
        <f aca="false">Sens!G8595+Sens!G8596</f>
        <v>60.7344906522989</v>
      </c>
      <c r="H8597" s="6" t="n">
        <f aca="false">Sens!H8595+Sens!H8596</f>
        <v>89.1000906614457</v>
      </c>
      <c r="I8597" s="6" t="n">
        <f aca="false">Sens!I8595+Sens!I8596</f>
        <v>114.231009694548</v>
      </c>
      <c r="J8597" s="6" t="n">
        <f aca="false">Sens!J8595+Sens!J8596</f>
        <v>132.015673049596</v>
      </c>
      <c r="K8597" s="6" t="n">
        <f aca="false">Sens!K8595+Sens!K8596</f>
        <v>143.012669550934</v>
      </c>
    </row>
    <row r="8598" customFormat="false" ht="17.15" hidden="false" customHeight="false" outlineLevel="0" collapsed="false">
      <c r="A8598" s="0" t="s">
        <v>1006</v>
      </c>
      <c r="B8598" s="0" t="s">
        <v>98</v>
      </c>
      <c r="E8598" s="6" t="n">
        <f aca="false">Sens!E8585-Sens!E8584*Sens!E8597</f>
        <v>8.92707889977379</v>
      </c>
      <c r="F8598" s="6" t="n">
        <f aca="false">Sens!F8585-Sens!F8584*Sens!F8597</f>
        <v>22.4686207259278</v>
      </c>
      <c r="G8598" s="6" t="n">
        <f aca="false">Sens!G8585-Sens!G8584*Sens!G8597</f>
        <v>43.2797528675735</v>
      </c>
      <c r="H8598" s="6" t="n">
        <f aca="false">Sens!H8585-Sens!H8584*Sens!H8597</f>
        <v>69.3477099347341</v>
      </c>
      <c r="I8598" s="6" t="n">
        <f aca="false">Sens!I8585-Sens!I8584*Sens!I8597</f>
        <v>86.8523667140836</v>
      </c>
      <c r="J8598" s="6" t="n">
        <f aca="false">Sens!J8585-Sens!J8584*Sens!J8597</f>
        <v>98.9882647234202</v>
      </c>
      <c r="K8598" s="6" t="n">
        <f aca="false">Sens!K8585-Sens!K8584*Sens!K8597</f>
        <v>106.918985011399</v>
      </c>
    </row>
    <row r="8599" customFormat="false" ht="17.15" hidden="false" customHeight="false" outlineLevel="0" collapsed="false">
      <c r="A8599" s="3" t="s">
        <v>1826</v>
      </c>
    </row>
    <row r="8600" customFormat="false" ht="15" hidden="false" customHeight="false" outlineLevel="0" collapsed="false">
      <c r="A8600" s="4" t="s">
        <v>43</v>
      </c>
      <c r="B8600" s="4" t="s">
        <v>65</v>
      </c>
      <c r="C8600" s="23" t="s">
        <v>942</v>
      </c>
      <c r="D8600" s="23" t="s">
        <v>943</v>
      </c>
      <c r="E8600" s="23" t="s">
        <v>944</v>
      </c>
      <c r="F8600" s="23" t="s">
        <v>945</v>
      </c>
      <c r="G8600" s="23" t="s">
        <v>946</v>
      </c>
      <c r="H8600" s="23" t="s">
        <v>947</v>
      </c>
      <c r="I8600" s="23" t="s">
        <v>948</v>
      </c>
      <c r="J8600" s="23" t="s">
        <v>949</v>
      </c>
      <c r="K8600" s="23" t="s">
        <v>950</v>
      </c>
      <c r="L8600" s="4" t="s">
        <v>47</v>
      </c>
    </row>
    <row r="8601" customFormat="false" ht="17.15" hidden="false" customHeight="false" outlineLevel="0" collapsed="false">
      <c r="A8601" s="0" t="s">
        <v>1025</v>
      </c>
      <c r="B8601" s="0" t="s">
        <v>98</v>
      </c>
      <c r="D8601" s="6" t="n">
        <f aca="false">Sens!D8579</f>
        <v>12.9359794422418</v>
      </c>
      <c r="E8601" s="6" t="n">
        <f aca="false">Sens!E8579</f>
        <v>27.8095064661409</v>
      </c>
      <c r="F8601" s="6" t="n">
        <f aca="false">Sens!F8579</f>
        <v>59.1034165651511</v>
      </c>
      <c r="G8601" s="6" t="n">
        <f aca="false">Sens!G8579</f>
        <v>103.451498789198</v>
      </c>
      <c r="H8601" s="6" t="n">
        <f aca="false">Sens!H8579</f>
        <v>153.816719989035</v>
      </c>
      <c r="I8601" s="6" t="n">
        <f aca="false">Sens!I8579</f>
        <v>192.699478690852</v>
      </c>
      <c r="J8601" s="6" t="n">
        <f aca="false">Sens!J8579</f>
        <v>219.794102584244</v>
      </c>
      <c r="K8601" s="6" t="n">
        <f aca="false">Sens!K8579</f>
        <v>236.757046905022</v>
      </c>
    </row>
    <row r="8602" customFormat="false" ht="17.15" hidden="false" customHeight="false" outlineLevel="0" collapsed="false">
      <c r="A8602" s="0" t="s">
        <v>1026</v>
      </c>
      <c r="B8602" s="0" t="s">
        <v>98</v>
      </c>
      <c r="D8602" s="6" t="n">
        <f aca="false">Q!L6-Sens!D8601</f>
        <v>59.6740205577583</v>
      </c>
      <c r="E8602" s="6" t="n">
        <f aca="false">Q!M6-Sens!E8601</f>
        <v>74.1284935338591</v>
      </c>
      <c r="F8602" s="6" t="n">
        <f aca="false">Q!$I$6+(Sens!F8601+Sens!E8602*(1+Sens!F8603))*(1-Q!$E$6/Q!M6)-Sens!F8601</f>
        <v>90.4866018070994</v>
      </c>
      <c r="G8602" s="6" t="n">
        <f aca="false">Sens!F8602*(1+Sens!G8603)</f>
        <v>107.511588557154</v>
      </c>
      <c r="H8602" s="6" t="n">
        <f aca="false">Sens!G8602*(1+Sens!H8603)</f>
        <v>124.832989325489</v>
      </c>
      <c r="I8602" s="6" t="n">
        <f aca="false">Sens!H8602*(1+Sens!I8603)</f>
        <v>141.56992589148</v>
      </c>
      <c r="J8602" s="6" t="n">
        <f aca="false">Sens!I8602*(1+Sens!J8603)</f>
        <v>156.723190479428</v>
      </c>
      <c r="K8602" s="6" t="n">
        <f aca="false">Sens!J8602*(1+Sens!K8603)</f>
        <v>169.261045717783</v>
      </c>
      <c r="L8602" s="12" t="s">
        <v>1027</v>
      </c>
    </row>
    <row r="8603" customFormat="false" ht="15" hidden="false" customHeight="false" outlineLevel="0" collapsed="false">
      <c r="A8603" s="1" t="s">
        <v>1028</v>
      </c>
      <c r="B8603" s="0" t="s">
        <v>168</v>
      </c>
      <c r="E8603" s="7" t="n">
        <f aca="false">Sens!E8602/Sens!D8602-1</f>
        <v>0.242223883039864</v>
      </c>
      <c r="F8603" s="7" t="n">
        <f aca="false">Sens!$E$8603+(glt_azo-Sens!$E$8603)*MIN(1,(Sens!F8560-base_fy)/n_conv)</f>
        <v>0.215186569199887</v>
      </c>
      <c r="G8603" s="7" t="n">
        <f aca="false">Sens!$E$8603+(glt_azo-Sens!$E$8603)*MIN(1,(Sens!G8560-base_fy)/n_conv)</f>
        <v>0.18814925535991</v>
      </c>
      <c r="H8603" s="7" t="n">
        <f aca="false">Sens!$E$8603+(glt_azo-Sens!$E$8603)*MIN(1,(Sens!H8560-base_fy)/n_conv)</f>
        <v>0.161111941519932</v>
      </c>
      <c r="I8603" s="7" t="n">
        <f aca="false">Sens!$E$8603+(glt_azo-Sens!$E$8603)*MIN(1,(Sens!I8560-base_fy)/n_conv)</f>
        <v>0.134074627679955</v>
      </c>
      <c r="J8603" s="7" t="n">
        <f aca="false">Sens!$E$8603+(glt_azo-Sens!$E$8603)*MIN(1,(Sens!J8560-base_fy)/n_conv)</f>
        <v>0.107037313839977</v>
      </c>
      <c r="K8603" s="7" t="n">
        <f aca="false">Sens!$E$8603+(glt_azo-Sens!$E$8603)*MIN(1,(Sens!K8560-base_fy)/n_conv)</f>
        <v>0.08</v>
      </c>
    </row>
    <row r="8604" customFormat="false" ht="15" hidden="false" customHeight="false" outlineLevel="0" collapsed="false">
      <c r="A8604" s="0" t="s">
        <v>1029</v>
      </c>
      <c r="B8604" s="0" t="s">
        <v>98</v>
      </c>
      <c r="D8604" s="6" t="n">
        <f aca="false">Sens!D8601+Sens!D8602</f>
        <v>72.61</v>
      </c>
      <c r="E8604" s="6" t="n">
        <f aca="false">Sens!E8601+Sens!E8602</f>
        <v>101.938</v>
      </c>
      <c r="F8604" s="6" t="n">
        <f aca="false">Sens!F8601+Sens!F8602</f>
        <v>149.59001837225</v>
      </c>
      <c r="G8604" s="6" t="n">
        <f aca="false">Sens!G8601+Sens!G8602</f>
        <v>210.963087346352</v>
      </c>
      <c r="H8604" s="6" t="n">
        <f aca="false">Sens!H8601+Sens!H8602</f>
        <v>278.649709314524</v>
      </c>
      <c r="I8604" s="6" t="n">
        <f aca="false">Sens!I8601+Sens!I8602</f>
        <v>334.269404582332</v>
      </c>
      <c r="J8604" s="6" t="n">
        <f aca="false">Sens!J8601+Sens!J8602</f>
        <v>376.517293063672</v>
      </c>
      <c r="K8604" s="6" t="n">
        <f aca="false">Sens!K8601+Sens!K8602</f>
        <v>406.018092622804</v>
      </c>
    </row>
    <row r="8605" customFormat="false" ht="17.15" hidden="false" customHeight="false" outlineLevel="0" collapsed="false">
      <c r="A8605" s="0" t="s">
        <v>1030</v>
      </c>
      <c r="B8605" s="1" t="s">
        <v>613</v>
      </c>
      <c r="C8605" s="30" t="n">
        <f aca="false">cop_s24</f>
        <v>1</v>
      </c>
      <c r="D8605" s="30" t="n">
        <f aca="false">cop_s25</f>
        <v>5</v>
      </c>
      <c r="E8605" s="30" t="n">
        <f aca="false">cop_s26</f>
        <v>30</v>
      </c>
      <c r="F8605" s="30" t="n">
        <f aca="false">Sens!E8605+cop_add_A</f>
        <v>60</v>
      </c>
      <c r="G8605" s="30" t="n">
        <f aca="false">Sens!F8605+cop_add_A</f>
        <v>90</v>
      </c>
      <c r="H8605" s="30" t="n">
        <f aca="false">Sens!G8605+cop_add_A</f>
        <v>120</v>
      </c>
      <c r="I8605" s="30" t="n">
        <f aca="false">Sens!H8605+cop_add_A*cop_tail</f>
        <v>135</v>
      </c>
      <c r="J8605" s="30" t="n">
        <f aca="false">Sens!I8605+cop_add_A*cop_tail</f>
        <v>150</v>
      </c>
      <c r="K8605" s="30" t="n">
        <f aca="false">Sens!J8605+cop_add_A*cop_tail</f>
        <v>165</v>
      </c>
      <c r="L8605" s="12" t="s">
        <v>1031</v>
      </c>
    </row>
    <row r="8606" customFormat="false" ht="17.15" hidden="false" customHeight="false" outlineLevel="0" collapsed="false">
      <c r="A8606" s="0" t="s">
        <v>1032</v>
      </c>
      <c r="B8606" s="0" t="s">
        <v>98</v>
      </c>
      <c r="D8606" s="6" t="n">
        <f aca="false">(Sens!C8605+Sens!D8605)/2*cop_px*12/1000</f>
        <v>0.9</v>
      </c>
      <c r="E8606" s="6" t="n">
        <f aca="false">(Sens!D8605+Sens!E8605)/2*cop_px*12/1000</f>
        <v>5.25</v>
      </c>
      <c r="F8606" s="6" t="n">
        <f aca="false">(Sens!E8605+Sens!F8605)/2*cop_px_hi*12/1000</f>
        <v>16.2</v>
      </c>
      <c r="G8606" s="6" t="n">
        <f aca="false">(Sens!F8605+Sens!G8605)/2*cop_px_hi*12/1000</f>
        <v>27</v>
      </c>
      <c r="H8606" s="6" t="n">
        <f aca="false">(Sens!G8605+Sens!H8605)/2*cop_px_hi*12/1000</f>
        <v>37.8</v>
      </c>
      <c r="I8606" s="6" t="n">
        <f aca="false">(Sens!H8605+Sens!I8605)/2*cop_px_hi*12/1000</f>
        <v>45.9</v>
      </c>
      <c r="J8606" s="6" t="n">
        <f aca="false">(Sens!I8605+Sens!J8605)/2*cop_px_hi*12/1000</f>
        <v>51.3</v>
      </c>
      <c r="K8606" s="6" t="n">
        <f aca="false">(Sens!J8605+Sens!K8605)/2*cop_px_hi*12/1000</f>
        <v>56.7</v>
      </c>
      <c r="L8606" s="1" t="s">
        <v>1033</v>
      </c>
    </row>
    <row r="8607" customFormat="false" ht="17.15" hidden="false" customHeight="false" outlineLevel="0" collapsed="false">
      <c r="A8607" s="0" t="s">
        <v>1034</v>
      </c>
      <c r="B8607" s="0" t="s">
        <v>98</v>
      </c>
      <c r="D8607" s="6" t="n">
        <f aca="false">Q!L7-Sens!D8606</f>
        <v>83.705</v>
      </c>
      <c r="E8607" s="6" t="n">
        <f aca="false">Q!M7-Sens!E8606</f>
        <v>95.049</v>
      </c>
      <c r="F8607" s="6" t="n">
        <f aca="false">Q!$I$7+(Sens!E8607*(1+Sens!F8608)+Sens!F8606)*(1-Q!$E$7/Q!M7)-Sens!F8606</f>
        <v>105.591822320066</v>
      </c>
      <c r="G8607" s="6" t="n">
        <f aca="false">Sens!F8607*(1+Sens!G8608)</f>
        <v>117.595751630974</v>
      </c>
      <c r="H8607" s="6" t="n">
        <f aca="false">Sens!G8607*(1+Sens!H8608)</f>
        <v>129.680100677153</v>
      </c>
      <c r="I8607" s="6" t="n">
        <f aca="false">Sens!H8607*(1+Sens!I8608)</f>
        <v>141.590075222229</v>
      </c>
      <c r="J8607" s="6" t="n">
        <f aca="false">Sens!I8607*(1+Sens!J8608)</f>
        <v>153.047628234968</v>
      </c>
      <c r="K8607" s="6" t="n">
        <f aca="false">Sens!J8607*(1+Sens!K8608)</f>
        <v>163.760962211416</v>
      </c>
      <c r="L8607" s="12" t="s">
        <v>1035</v>
      </c>
    </row>
    <row r="8608" customFormat="false" ht="15" hidden="false" customHeight="false" outlineLevel="0" collapsed="false">
      <c r="A8608" s="1" t="s">
        <v>1028</v>
      </c>
      <c r="B8608" s="0" t="s">
        <v>168</v>
      </c>
      <c r="E8608" s="7" t="n">
        <f aca="false">Sens!E8607/Sens!D8607-1</f>
        <v>0.135523564900544</v>
      </c>
      <c r="F8608" s="7" t="n">
        <f aca="false">Sens!$E$8608+(glt_m365b-Sens!$E$8608)*MIN(1,(Sens!F8560-base_fy)/n_conv)</f>
        <v>0.124602970750453</v>
      </c>
      <c r="G8608" s="7" t="n">
        <f aca="false">Sens!$E$8608+(glt_m365b-Sens!$E$8608)*MIN(1,(Sens!G8560-base_fy)/n_conv)</f>
        <v>0.113682376600363</v>
      </c>
      <c r="H8608" s="7" t="n">
        <f aca="false">Sens!$E$8608+(glt_m365b-Sens!$E$8608)*MIN(1,(Sens!H8560-base_fy)/n_conv)</f>
        <v>0.102761782450272</v>
      </c>
      <c r="I8608" s="7" t="n">
        <f aca="false">Sens!$E$8608+(glt_m365b-Sens!$E$8608)*MIN(1,(Sens!I8560-base_fy)/n_conv)</f>
        <v>0.0918411883001813</v>
      </c>
      <c r="J8608" s="7" t="n">
        <f aca="false">Sens!$E$8608+(glt_m365b-Sens!$E$8608)*MIN(1,(Sens!J8560-base_fy)/n_conv)</f>
        <v>0.0809205941500906</v>
      </c>
      <c r="K8608" s="7" t="n">
        <f aca="false">Sens!$E$8608+(glt_m365b-Sens!$E$8608)*MIN(1,(Sens!K8560-base_fy)/n_conv)</f>
        <v>0.07</v>
      </c>
    </row>
    <row r="8609" customFormat="false" ht="15" hidden="false" customHeight="false" outlineLevel="0" collapsed="false">
      <c r="A8609" s="0" t="s">
        <v>1036</v>
      </c>
      <c r="B8609" s="0" t="s">
        <v>98</v>
      </c>
      <c r="D8609" s="6" t="n">
        <f aca="false">Sens!D8607+Sens!D8606</f>
        <v>84.605</v>
      </c>
      <c r="E8609" s="6" t="n">
        <f aca="false">Sens!E8607+Sens!E8606</f>
        <v>100.299</v>
      </c>
      <c r="F8609" s="6" t="n">
        <f aca="false">Sens!F8607+Sens!F8606</f>
        <v>121.791822320066</v>
      </c>
      <c r="G8609" s="6" t="n">
        <f aca="false">Sens!G8607+Sens!G8606</f>
        <v>144.595751630974</v>
      </c>
      <c r="H8609" s="6" t="n">
        <f aca="false">Sens!H8607+Sens!H8606</f>
        <v>167.480100677153</v>
      </c>
      <c r="I8609" s="6" t="n">
        <f aca="false">Sens!I8607+Sens!I8606</f>
        <v>187.490075222229</v>
      </c>
      <c r="J8609" s="6" t="n">
        <f aca="false">Sens!J8607+Sens!J8606</f>
        <v>204.347628234968</v>
      </c>
      <c r="K8609" s="6" t="n">
        <f aca="false">Sens!K8607+Sens!K8606</f>
        <v>220.460962211416</v>
      </c>
    </row>
    <row r="8610" customFormat="false" ht="17.15" hidden="false" customHeight="false" outlineLevel="0" collapsed="false">
      <c r="A8610" s="0" t="s">
        <v>1037</v>
      </c>
      <c r="B8610" s="0" t="s">
        <v>98</v>
      </c>
      <c r="D8610" s="6" t="n">
        <f aca="false">Q!L8</f>
        <v>35.391</v>
      </c>
      <c r="E8610" s="6" t="n">
        <f aca="false">Q!M8</f>
        <v>37.285</v>
      </c>
      <c r="F8610" s="6" t="n">
        <f aca="false">Q!$I$8+(Q!M8-Q!$E$8)*(1+Sens!F8611)</f>
        <v>38.3851437782675</v>
      </c>
      <c r="G8610" s="6" t="n">
        <f aca="false">Sens!F8610*(1+Sens!G8611)</f>
        <v>40.0105353288615</v>
      </c>
      <c r="H8610" s="6" t="n">
        <f aca="false">Sens!G8610*(1+Sens!H8611)</f>
        <v>41.4812512033683</v>
      </c>
      <c r="I8610" s="6" t="n">
        <f aca="false">Sens!H8610*(1+Sens!I8611)</f>
        <v>42.7743107216329</v>
      </c>
      <c r="J8610" s="6" t="n">
        <f aca="false">Sens!I8610*(1+Sens!J8611)</f>
        <v>43.8687373064601</v>
      </c>
      <c r="K8610" s="6" t="n">
        <f aca="false">Sens!J8610*(1+Sens!K8611)</f>
        <v>44.7461120525893</v>
      </c>
      <c r="L8610" s="12" t="s">
        <v>1038</v>
      </c>
    </row>
    <row r="8611" customFormat="false" ht="15" hidden="false" customHeight="false" outlineLevel="0" collapsed="false">
      <c r="A8611" s="1" t="s">
        <v>1028</v>
      </c>
      <c r="B8611" s="0" t="s">
        <v>168</v>
      </c>
      <c r="E8611" s="7" t="n">
        <f aca="false">Sens!E8610/Sens!D8610-1</f>
        <v>0.0535164307309768</v>
      </c>
      <c r="F8611" s="7" t="n">
        <f aca="false">Sens!$E$8611+(glt_lic-Sens!$E$8611)*MIN(1,(Sens!F8560-base_fy)/n_conv)</f>
        <v>0.0479303589424807</v>
      </c>
      <c r="G8611" s="7" t="n">
        <f aca="false">Sens!$E$8611+(glt_lic-Sens!$E$8611)*MIN(1,(Sens!G8560-base_fy)/n_conv)</f>
        <v>0.0423442871539845</v>
      </c>
      <c r="H8611" s="7" t="n">
        <f aca="false">Sens!$E$8611+(glt_lic-Sens!$E$8611)*MIN(1,(Sens!H8560-base_fy)/n_conv)</f>
        <v>0.0367582153654884</v>
      </c>
      <c r="I8611" s="7" t="n">
        <f aca="false">Sens!$E$8611+(glt_lic-Sens!$E$8611)*MIN(1,(Sens!I8560-base_fy)/n_conv)</f>
        <v>0.0311721435769923</v>
      </c>
      <c r="J8611" s="7" t="n">
        <f aca="false">Sens!$E$8611+(glt_lic-Sens!$E$8611)*MIN(1,(Sens!J8560-base_fy)/n_conv)</f>
        <v>0.0255860717884961</v>
      </c>
      <c r="K8611" s="7" t="n">
        <f aca="false">Sens!$E$8611+(glt_lic-Sens!$E$8611)*MIN(1,(Sens!K8560-base_fy)/n_conv)</f>
        <v>0.02</v>
      </c>
    </row>
    <row r="8612" customFormat="false" ht="17.15" hidden="false" customHeight="false" outlineLevel="0" collapsed="false">
      <c r="A8612" s="0" t="s">
        <v>1039</v>
      </c>
      <c r="B8612" s="0" t="s">
        <v>98</v>
      </c>
      <c r="D8612" s="6" t="n">
        <f aca="false">Q!L9</f>
        <v>18.417</v>
      </c>
      <c r="E8612" s="6" t="n">
        <f aca="false">Q!M9</f>
        <v>20.345</v>
      </c>
      <c r="F8612" s="6" t="n">
        <f aca="false">Q!$I$9+(Q!M9-Q!$E$9)*(1+Sens!F8613)</f>
        <v>22.3161797133988</v>
      </c>
      <c r="G8612" s="6" t="n">
        <f aca="false">Sens!F8612*(1+Sens!G8613)</f>
        <v>24.3943499673233</v>
      </c>
      <c r="H8612" s="6" t="n">
        <f aca="false">Sens!G8612*(1+Sens!H8613)</f>
        <v>26.5250243109019</v>
      </c>
      <c r="I8612" s="6" t="n">
        <f aca="false">Sens!H8612*(1+Sens!I8613)</f>
        <v>28.6884573538181</v>
      </c>
      <c r="J8612" s="6" t="n">
        <f aca="false">Sens!I8612*(1+Sens!J8613)</f>
        <v>30.8624968052127</v>
      </c>
      <c r="K8612" s="6" t="n">
        <f aca="false">Sens!J8612*(1+Sens!K8613)</f>
        <v>33.0228715815776</v>
      </c>
      <c r="L8612" s="12" t="s">
        <v>1038</v>
      </c>
    </row>
    <row r="8613" customFormat="false" ht="15" hidden="false" customHeight="false" outlineLevel="0" collapsed="false">
      <c r="A8613" s="1" t="s">
        <v>1028</v>
      </c>
      <c r="B8613" s="0" t="s">
        <v>168</v>
      </c>
      <c r="E8613" s="7" t="n">
        <f aca="false">Sens!E8612/Sens!D8612-1</f>
        <v>0.104685888038225</v>
      </c>
      <c r="F8613" s="7" t="n">
        <f aca="false">Sens!$E$8613+(glt_ind-Sens!$E$8613)*MIN(1,(Sens!F8560-base_fy)/n_conv)</f>
        <v>0.0989049066985211</v>
      </c>
      <c r="G8613" s="7" t="n">
        <f aca="false">Sens!$E$8613+(glt_ind-Sens!$E$8613)*MIN(1,(Sens!G8560-base_fy)/n_conv)</f>
        <v>0.0931239253588169</v>
      </c>
      <c r="H8613" s="7" t="n">
        <f aca="false">Sens!$E$8613+(glt_ind-Sens!$E$8613)*MIN(1,(Sens!H8560-base_fy)/n_conv)</f>
        <v>0.0873429440191127</v>
      </c>
      <c r="I8613" s="7" t="n">
        <f aca="false">Sens!$E$8613+(glt_ind-Sens!$E$8613)*MIN(1,(Sens!I8560-base_fy)/n_conv)</f>
        <v>0.0815619626794085</v>
      </c>
      <c r="J8613" s="7" t="n">
        <f aca="false">Sens!$E$8613+(glt_ind-Sens!$E$8613)*MIN(1,(Sens!J8560-base_fy)/n_conv)</f>
        <v>0.0757809813397042</v>
      </c>
      <c r="K8613" s="7" t="n">
        <f aca="false">Sens!$E$8613+(glt_ind-Sens!$E$8613)*MIN(1,(Sens!K8560-base_fy)/n_conv)</f>
        <v>0.07</v>
      </c>
    </row>
    <row r="8614" customFormat="false" ht="17.15" hidden="false" customHeight="false" outlineLevel="0" collapsed="false">
      <c r="A8614" s="0" t="s">
        <v>1040</v>
      </c>
      <c r="B8614" s="0" t="s">
        <v>98</v>
      </c>
      <c r="D8614" s="6" t="n">
        <f aca="false">Q!L10</f>
        <v>7.76</v>
      </c>
      <c r="E8614" s="6" t="n">
        <f aca="false">Q!M10</f>
        <v>8.26</v>
      </c>
      <c r="F8614" s="6" t="n">
        <f aca="false">Q!$I$10+(Q!M10-Q!$E$10)*(1+Sens!F8615)</f>
        <v>8.75372082474227</v>
      </c>
      <c r="G8614" s="6" t="n">
        <f aca="false">Sens!F8614*(1+Sens!G8615)</f>
        <v>9.33399324642364</v>
      </c>
      <c r="H8614" s="6" t="n">
        <f aca="false">Sens!G8614*(1+Sens!H8615)</f>
        <v>9.96139155535851</v>
      </c>
      <c r="I8614" s="6" t="n">
        <f aca="false">Sens!H8614*(1+Sens!I8615)</f>
        <v>10.6402039077391</v>
      </c>
      <c r="J8614" s="6" t="n">
        <f aca="false">Sens!I8614*(1+Sens!J8615)</f>
        <v>11.3751458271397</v>
      </c>
      <c r="K8614" s="6" t="n">
        <f aca="false">Sens!J8614*(1+Sens!K8615)</f>
        <v>12.1714060350394</v>
      </c>
      <c r="L8614" s="12" t="s">
        <v>1038</v>
      </c>
    </row>
    <row r="8615" customFormat="false" ht="15" hidden="false" customHeight="false" outlineLevel="0" collapsed="false">
      <c r="A8615" s="1" t="s">
        <v>1028</v>
      </c>
      <c r="B8615" s="0" t="s">
        <v>168</v>
      </c>
      <c r="E8615" s="7" t="n">
        <f aca="false">Sens!E8614/Sens!D8614-1</f>
        <v>0.0644329896907216</v>
      </c>
      <c r="F8615" s="7" t="n">
        <f aca="false">Sens!$E$8615+(glt_fro-Sens!$E$8615)*MIN(1,(Sens!F8560-base_fy)/n_conv)</f>
        <v>0.065360824742268</v>
      </c>
      <c r="G8615" s="7" t="n">
        <f aca="false">Sens!$E$8615+(glt_fro-Sens!$E$8615)*MIN(1,(Sens!G8560-base_fy)/n_conv)</f>
        <v>0.0662886597938144</v>
      </c>
      <c r="H8615" s="7" t="n">
        <f aca="false">Sens!$E$8615+(glt_fro-Sens!$E$8615)*MIN(1,(Sens!H8560-base_fy)/n_conv)</f>
        <v>0.0672164948453608</v>
      </c>
      <c r="I8615" s="7" t="n">
        <f aca="false">Sens!$E$8615+(glt_fro-Sens!$E$8615)*MIN(1,(Sens!I8560-base_fy)/n_conv)</f>
        <v>0.0681443298969072</v>
      </c>
      <c r="J8615" s="7" t="n">
        <f aca="false">Sens!$E$8615+(glt_fro-Sens!$E$8615)*MIN(1,(Sens!J8560-base_fy)/n_conv)</f>
        <v>0.0690721649484536</v>
      </c>
      <c r="K8615" s="7" t="n">
        <f aca="false">Sens!$E$8615+(glt_fro-Sens!$E$8615)*MIN(1,(Sens!K8560-base_fy)/n_conv)</f>
        <v>0.07</v>
      </c>
    </row>
    <row r="8616" customFormat="false" ht="15" hidden="false" customHeight="false" outlineLevel="0" collapsed="false">
      <c r="A8616" s="0" t="s">
        <v>856</v>
      </c>
      <c r="B8616" s="0" t="s">
        <v>98</v>
      </c>
      <c r="D8616" s="6" t="n">
        <f aca="false">Sens!D8604+Sens!D8609+Sens!D8610+Sens!D8612+Sens!D8614</f>
        <v>218.783</v>
      </c>
      <c r="E8616" s="6" t="n">
        <f aca="false">Sens!E8604+Sens!E8609+Sens!E8610+Sens!E8612+Sens!E8614</f>
        <v>268.127</v>
      </c>
      <c r="F8616" s="6" t="n">
        <f aca="false">Sens!F8604+Sens!F8609+Sens!F8610+Sens!F8612+Sens!F8614</f>
        <v>340.836885008725</v>
      </c>
      <c r="G8616" s="6" t="n">
        <f aca="false">Sens!G8604+Sens!G8609+Sens!G8610+Sens!G8612+Sens!G8614</f>
        <v>429.297717519935</v>
      </c>
      <c r="H8616" s="6" t="n">
        <f aca="false">Sens!H8604+Sens!H8609+Sens!H8610+Sens!H8612+Sens!H8614</f>
        <v>524.097477061305</v>
      </c>
      <c r="I8616" s="6" t="n">
        <f aca="false">Sens!I8604+Sens!I8609+Sens!I8610+Sens!I8612+Sens!I8614</f>
        <v>603.862451787752</v>
      </c>
      <c r="J8616" s="6" t="n">
        <f aca="false">Sens!J8604+Sens!J8609+Sens!J8610+Sens!J8612+Sens!J8614</f>
        <v>666.971301237453</v>
      </c>
      <c r="K8616" s="6" t="n">
        <f aca="false">Sens!K8604+Sens!K8609+Sens!K8610+Sens!K8612+Sens!K8614</f>
        <v>716.419444503427</v>
      </c>
    </row>
    <row r="8617" customFormat="false" ht="17.15" hidden="false" customHeight="false" outlineLevel="0" collapsed="false">
      <c r="A8617" s="0" t="s">
        <v>1041</v>
      </c>
      <c r="B8617" s="0" t="s">
        <v>98</v>
      </c>
      <c r="D8617" s="6" t="n">
        <f aca="false">Q!L13</f>
        <v>22.171</v>
      </c>
      <c r="E8617" s="6" t="n">
        <f aca="false">Q!M13</f>
        <v>24.835</v>
      </c>
      <c r="F8617" s="6" t="n">
        <f aca="false">Q!$I$13+(Q!M13-Q!$E$13)*(1+Sens!F8618)</f>
        <v>27.5591895660247</v>
      </c>
      <c r="G8617" s="6" t="n">
        <f aca="false">Sens!F8617*(1+Sens!G8618)</f>
        <v>30.4098563144583</v>
      </c>
      <c r="H8617" s="6" t="n">
        <f aca="false">Sens!G8617*(1+Sens!H8618)</f>
        <v>33.3011792571777</v>
      </c>
      <c r="I8617" s="6" t="n">
        <f aca="false">Sens!H8617*(1+Sens!I8618)</f>
        <v>36.189023797112</v>
      </c>
      <c r="J8617" s="6" t="n">
        <f aca="false">Sens!I8617*(1+Sens!J8618)</f>
        <v>39.0247773769199</v>
      </c>
      <c r="K8617" s="6" t="n">
        <f aca="false">Sens!J8617*(1+Sens!K8618)</f>
        <v>41.7565117933043</v>
      </c>
      <c r="L8617" s="12" t="s">
        <v>1038</v>
      </c>
    </row>
    <row r="8618" customFormat="false" ht="15" hidden="false" customHeight="false" outlineLevel="0" collapsed="false">
      <c r="A8618" s="1" t="s">
        <v>1028</v>
      </c>
      <c r="B8618" s="0" t="s">
        <v>168</v>
      </c>
      <c r="E8618" s="7" t="n">
        <f aca="false">Sens!E8617/Sens!D8617-1</f>
        <v>0.120156961796942</v>
      </c>
      <c r="F8618" s="7" t="n">
        <f aca="false">Sens!$E$8618+(glt_srch-Sens!$E$8618)*MIN(1,(Sens!F8560-base_fy)/n_conv)</f>
        <v>0.111797468164118</v>
      </c>
      <c r="G8618" s="7" t="n">
        <f aca="false">Sens!$E$8618+(glt_srch-Sens!$E$8618)*MIN(1,(Sens!G8560-base_fy)/n_conv)</f>
        <v>0.103437974531295</v>
      </c>
      <c r="H8618" s="7" t="n">
        <f aca="false">Sens!$E$8618+(glt_srch-Sens!$E$8618)*MIN(1,(Sens!H8560-base_fy)/n_conv)</f>
        <v>0.095078480898471</v>
      </c>
      <c r="I8618" s="7" t="n">
        <f aca="false">Sens!$E$8618+(glt_srch-Sens!$E$8618)*MIN(1,(Sens!I8560-base_fy)/n_conv)</f>
        <v>0.0867189872656474</v>
      </c>
      <c r="J8618" s="7" t="n">
        <f aca="false">Sens!$E$8618+(glt_srch-Sens!$E$8618)*MIN(1,(Sens!J8560-base_fy)/n_conv)</f>
        <v>0.0783594936328237</v>
      </c>
      <c r="K8618" s="7" t="n">
        <f aca="false">Sens!$E$8618+(glt_srch-Sens!$E$8618)*MIN(1,(Sens!K8560-base_fy)/n_conv)</f>
        <v>0.07</v>
      </c>
    </row>
    <row r="8619" customFormat="false" ht="17.15" hidden="false" customHeight="false" outlineLevel="0" collapsed="false">
      <c r="A8619" s="0" t="s">
        <v>1042</v>
      </c>
      <c r="B8619" s="0" t="s">
        <v>98</v>
      </c>
      <c r="D8619" s="6" t="n">
        <f aca="false">Q!L14</f>
        <v>23.455</v>
      </c>
      <c r="E8619" s="6" t="n">
        <f aca="false">Q!M14</f>
        <v>21.79</v>
      </c>
      <c r="F8619" s="6" t="n">
        <f aca="false">Q!$I$14+(Q!M14-Q!$E$14)*(1+Sens!F8620)</f>
        <v>20.7520981041711</v>
      </c>
      <c r="G8619" s="6" t="n">
        <f aca="false">Sens!F8619*(1+Sens!G8620)</f>
        <v>19.9083593495882</v>
      </c>
      <c r="H8619" s="6" t="n">
        <f aca="false">Sens!G8619*(1+Sens!H8620)</f>
        <v>19.4008256265831</v>
      </c>
      <c r="I8619" s="6" t="n">
        <f aca="false">Sens!H8619*(1+Sens!I8620)</f>
        <v>19.200434522122</v>
      </c>
      <c r="J8619" s="6" t="n">
        <f aca="false">Sens!I8619*(1+Sens!J8620)</f>
        <v>19.2932782348507</v>
      </c>
      <c r="K8619" s="6" t="n">
        <f aca="false">Sens!J8619*(1+Sens!K8620)</f>
        <v>19.6791437995477</v>
      </c>
      <c r="L8619" s="12" t="s">
        <v>1038</v>
      </c>
    </row>
    <row r="8620" customFormat="false" ht="15" hidden="false" customHeight="false" outlineLevel="0" collapsed="false">
      <c r="A8620" s="1" t="s">
        <v>1028</v>
      </c>
      <c r="B8620" s="0" t="s">
        <v>168</v>
      </c>
      <c r="E8620" s="7" t="n">
        <f aca="false">Sens!E8619/Sens!D8619-1</f>
        <v>-0.0709869963760392</v>
      </c>
      <c r="F8620" s="7" t="n">
        <f aca="false">Sens!$E$8620+(glt_xbox-Sens!$E$8620)*MIN(1,(Sens!F8560-base_fy)/n_conv)</f>
        <v>-0.0558224969800327</v>
      </c>
      <c r="G8620" s="7" t="n">
        <f aca="false">Sens!$E$8620+(glt_xbox-Sens!$E$8620)*MIN(1,(Sens!G8560-base_fy)/n_conv)</f>
        <v>-0.0406579975840262</v>
      </c>
      <c r="H8620" s="7" t="n">
        <f aca="false">Sens!$E$8620+(glt_xbox-Sens!$E$8620)*MIN(1,(Sens!H8560-base_fy)/n_conv)</f>
        <v>-0.0254934981880196</v>
      </c>
      <c r="I8620" s="7" t="n">
        <f aca="false">Sens!$E$8620+(glt_xbox-Sens!$E$8620)*MIN(1,(Sens!I8560-base_fy)/n_conv)</f>
        <v>-0.0103289987920131</v>
      </c>
      <c r="J8620" s="7" t="n">
        <f aca="false">Sens!$E$8620+(glt_xbox-Sens!$E$8620)*MIN(1,(Sens!J8560-base_fy)/n_conv)</f>
        <v>0.00483550060399347</v>
      </c>
      <c r="K8620" s="7" t="n">
        <f aca="false">Sens!$E$8620+(glt_xbox-Sens!$E$8620)*MIN(1,(Sens!K8560-base_fy)/n_conv)</f>
        <v>0.02</v>
      </c>
    </row>
    <row r="8621" customFormat="false" ht="17.15" hidden="false" customHeight="false" outlineLevel="0" collapsed="false">
      <c r="A8621" s="0" t="s">
        <v>1043</v>
      </c>
      <c r="B8621" s="0" t="s">
        <v>98</v>
      </c>
      <c r="D8621" s="6" t="n">
        <f aca="false">Q!L15</f>
        <v>17.315</v>
      </c>
      <c r="E8621" s="6" t="n">
        <f aca="false">Q!M15</f>
        <v>17.087</v>
      </c>
      <c r="F8621" s="6" t="n">
        <f aca="false">Q!$I$15+(Q!M15-Q!$E$15)*(1+Sens!F8622)</f>
        <v>15.9912273250553</v>
      </c>
      <c r="G8621" s="6" t="n">
        <f aca="false">Sens!F8621*(1+Sens!G8622)</f>
        <v>15.9574562664827</v>
      </c>
      <c r="H8621" s="6" t="n">
        <f aca="false">Sens!G8621*(1+Sens!H8622)</f>
        <v>16.0119687434196</v>
      </c>
      <c r="I8621" s="6" t="n">
        <f aca="false">Sens!H8621*(1+Sens!I8622)</f>
        <v>16.1551810001948</v>
      </c>
      <c r="J8621" s="6" t="n">
        <f aca="false">Sens!I8621*(1+Sens!J8622)</f>
        <v>16.3889793892005</v>
      </c>
      <c r="K8621" s="6" t="n">
        <f aca="false">Sens!J8621*(1+Sens!K8622)</f>
        <v>16.7167589769845</v>
      </c>
      <c r="L8621" s="12" t="s">
        <v>1038</v>
      </c>
    </row>
    <row r="8622" customFormat="false" ht="15" hidden="false" customHeight="false" outlineLevel="0" collapsed="false">
      <c r="A8622" s="1" t="s">
        <v>1028</v>
      </c>
      <c r="B8622" s="0" t="s">
        <v>168</v>
      </c>
      <c r="E8622" s="7" t="n">
        <f aca="false">Sens!E8621/Sens!D8621-1</f>
        <v>-0.0131677736066995</v>
      </c>
      <c r="F8622" s="7" t="n">
        <f aca="false">Sens!$E$8622+(glt_win-Sens!$E$8622)*MIN(1,(Sens!F8560-base_fy)/n_conv)</f>
        <v>-0.00763981133891627</v>
      </c>
      <c r="G8622" s="7" t="n">
        <f aca="false">Sens!$E$8622+(glt_win-Sens!$E$8622)*MIN(1,(Sens!G8560-base_fy)/n_conv)</f>
        <v>-0.00211184907113301</v>
      </c>
      <c r="H8622" s="7" t="n">
        <f aca="false">Sens!$E$8622+(glt_win-Sens!$E$8622)*MIN(1,(Sens!H8560-base_fy)/n_conv)</f>
        <v>0.00341611319665024</v>
      </c>
      <c r="I8622" s="7" t="n">
        <f aca="false">Sens!$E$8622+(glt_win-Sens!$E$8622)*MIN(1,(Sens!I8560-base_fy)/n_conv)</f>
        <v>0.00894407546443349</v>
      </c>
      <c r="J8622" s="7" t="n">
        <f aca="false">Sens!$E$8622+(glt_win-Sens!$E$8622)*MIN(1,(Sens!J8560-base_fy)/n_conv)</f>
        <v>0.0144720377322168</v>
      </c>
      <c r="K8622" s="7" t="n">
        <f aca="false">Sens!$E$8622+(glt_win-Sens!$E$8622)*MIN(1,(Sens!K8560-base_fy)/n_conv)</f>
        <v>0.02</v>
      </c>
    </row>
    <row r="8623" customFormat="false" ht="15" hidden="false" customHeight="false" outlineLevel="0" collapsed="false">
      <c r="A8623" s="0" t="s">
        <v>870</v>
      </c>
      <c r="B8623" s="0" t="s">
        <v>98</v>
      </c>
      <c r="D8623" s="6" t="n">
        <f aca="false">Sens!D8617+Sens!D8619+Sens!D8621</f>
        <v>62.941</v>
      </c>
      <c r="E8623" s="6" t="n">
        <f aca="false">Sens!E8617+Sens!E8619+Sens!E8621</f>
        <v>63.712</v>
      </c>
      <c r="F8623" s="6" t="n">
        <f aca="false">Sens!F8617+Sens!F8619+Sens!F8621</f>
        <v>64.3025149952511</v>
      </c>
      <c r="G8623" s="6" t="n">
        <f aca="false">Sens!G8617+Sens!G8619+Sens!G8621</f>
        <v>66.2756719305292</v>
      </c>
      <c r="H8623" s="6" t="n">
        <f aca="false">Sens!H8617+Sens!H8619+Sens!H8621</f>
        <v>68.7139736271804</v>
      </c>
      <c r="I8623" s="6" t="n">
        <f aca="false">Sens!I8617+Sens!I8619+Sens!I8621</f>
        <v>71.5446393194289</v>
      </c>
      <c r="J8623" s="6" t="n">
        <f aca="false">Sens!J8617+Sens!J8619+Sens!J8621</f>
        <v>74.707035000971</v>
      </c>
      <c r="K8623" s="6" t="n">
        <f aca="false">Sens!K8617+Sens!K8619+Sens!K8621</f>
        <v>78.1524145698365</v>
      </c>
    </row>
    <row r="8624" customFormat="false" ht="15" hidden="false" customHeight="false" outlineLevel="0" collapsed="false">
      <c r="A8624" s="1" t="s">
        <v>1044</v>
      </c>
      <c r="B8624" s="0" t="s">
        <v>98</v>
      </c>
      <c r="D8624" s="6" t="n">
        <f aca="false">Sens!D8616+Sens!D8623</f>
        <v>281.724</v>
      </c>
      <c r="E8624" s="6" t="n">
        <f aca="false">Sens!E8616+Sens!E8623</f>
        <v>331.839</v>
      </c>
      <c r="F8624" s="6" t="n">
        <f aca="false">Sens!F8616+Sens!F8623</f>
        <v>405.139400003976</v>
      </c>
      <c r="G8624" s="6" t="n">
        <f aca="false">Sens!G8616+Sens!G8623</f>
        <v>495.573389450464</v>
      </c>
      <c r="H8624" s="6" t="n">
        <f aca="false">Sens!H8616+Sens!H8623</f>
        <v>592.811450688486</v>
      </c>
      <c r="I8624" s="6" t="n">
        <f aca="false">Sens!I8616+Sens!I8623</f>
        <v>675.40709110718</v>
      </c>
      <c r="J8624" s="6" t="n">
        <f aca="false">Sens!J8616+Sens!J8623</f>
        <v>741.678336238424</v>
      </c>
      <c r="K8624" s="6" t="n">
        <f aca="false">Sens!K8616+Sens!K8623</f>
        <v>794.571859073263</v>
      </c>
    </row>
    <row r="8625" customFormat="false" ht="15" hidden="false" customHeight="false" outlineLevel="0" collapsed="false">
      <c r="A8625" s="26" t="s">
        <v>1045</v>
      </c>
      <c r="B8625" s="31" t="s">
        <v>98</v>
      </c>
      <c r="C8625" s="31"/>
      <c r="D8625" s="27" t="n">
        <f aca="false">(Sens!D8604+Sens!D8609+Sens!D8610+Sens!D8612+Sens!D8614-Sens!D8616)+(Sens!D8617+Sens!D8619+Sens!D8621-Sens!D8623)+(Sens!D8616-Q!L5)+(Sens!D8623-Q!L12)+(Sens!D8604-Q!L6)+(Sens!D8609-Q!L7)</f>
        <v>0</v>
      </c>
      <c r="E8625" s="27" t="n">
        <f aca="false">(Sens!E8604+Sens!E8609+Sens!E8610+Sens!E8612+Sens!E8614-Sens!E8616)+(Sens!E8617+Sens!E8619+Sens!E8621-Sens!E8623)+(Sens!E8616-Q!M5)+(Sens!E8623-Q!M12)+(Sens!E8604-Q!M6)+(Sens!E8609-Q!M7)</f>
        <v>0</v>
      </c>
      <c r="F8625" s="27" t="n">
        <f aca="false">(Sens!F8604+Sens!F8609+Sens!F8610+Sens!F8612+Sens!F8614-Sens!F8616)+(Sens!F8617+Sens!F8619+Sens!F8621-Sens!F8623)</f>
        <v>0</v>
      </c>
      <c r="G8625" s="27" t="n">
        <f aca="false">(Sens!G8604+Sens!G8609+Sens!G8610+Sens!G8612+Sens!G8614-Sens!G8616)+(Sens!G8617+Sens!G8619+Sens!G8621-Sens!G8623)</f>
        <v>0</v>
      </c>
      <c r="H8625" s="27" t="n">
        <f aca="false">(Sens!H8604+Sens!H8609+Sens!H8610+Sens!H8612+Sens!H8614-Sens!H8616)+(Sens!H8617+Sens!H8619+Sens!H8621-Sens!H8623)</f>
        <v>0</v>
      </c>
      <c r="I8625" s="27" t="n">
        <f aca="false">(Sens!I8604+Sens!I8609+Sens!I8610+Sens!I8612+Sens!I8614-Sens!I8616)+(Sens!I8617+Sens!I8619+Sens!I8621-Sens!I8623)</f>
        <v>0</v>
      </c>
      <c r="J8625" s="27" t="n">
        <f aca="false">(Sens!J8604+Sens!J8609+Sens!J8610+Sens!J8612+Sens!J8614-Sens!J8616)+(Sens!J8617+Sens!J8619+Sens!J8621-Sens!J8623)</f>
        <v>0</v>
      </c>
      <c r="K8625" s="27" t="n">
        <f aca="false">(Sens!K8604+Sens!K8609+Sens!K8610+Sens!K8612+Sens!K8614-Sens!K8616)+(Sens!K8617+Sens!K8619+Sens!K8621-Sens!K8623)</f>
        <v>0</v>
      </c>
    </row>
    <row r="8626" customFormat="false" ht="17.15" hidden="false" customHeight="false" outlineLevel="0" collapsed="false">
      <c r="A8626" s="3" t="s">
        <v>1827</v>
      </c>
    </row>
    <row r="8627" customFormat="false" ht="15" hidden="false" customHeight="false" outlineLevel="0" collapsed="false">
      <c r="A8627" s="4" t="s">
        <v>43</v>
      </c>
      <c r="B8627" s="4" t="s">
        <v>65</v>
      </c>
      <c r="C8627" s="23" t="s">
        <v>942</v>
      </c>
      <c r="D8627" s="23" t="s">
        <v>943</v>
      </c>
      <c r="E8627" s="23" t="s">
        <v>944</v>
      </c>
      <c r="F8627" s="23" t="s">
        <v>945</v>
      </c>
      <c r="G8627" s="23" t="s">
        <v>946</v>
      </c>
      <c r="H8627" s="23" t="s">
        <v>947</v>
      </c>
      <c r="I8627" s="23" t="s">
        <v>948</v>
      </c>
      <c r="J8627" s="23" t="s">
        <v>949</v>
      </c>
      <c r="K8627" s="23" t="s">
        <v>950</v>
      </c>
      <c r="L8627" s="4" t="s">
        <v>47</v>
      </c>
    </row>
    <row r="8628" customFormat="false" ht="15" hidden="false" customHeight="false" outlineLevel="0" collapsed="false">
      <c r="A8628" s="0" t="s">
        <v>1029</v>
      </c>
      <c r="B8628" s="0" t="s">
        <v>98</v>
      </c>
      <c r="D8628" s="6" t="n">
        <f aca="false">Sens!D8604</f>
        <v>72.61</v>
      </c>
      <c r="E8628" s="6" t="n">
        <f aca="false">Sens!E8604</f>
        <v>101.938</v>
      </c>
      <c r="F8628" s="6" t="n">
        <f aca="false">Sens!F8604</f>
        <v>149.59001837225</v>
      </c>
      <c r="G8628" s="6" t="n">
        <f aca="false">Sens!G8604</f>
        <v>210.963087346352</v>
      </c>
      <c r="H8628" s="6" t="n">
        <f aca="false">Sens!H8604</f>
        <v>278.649709314524</v>
      </c>
      <c r="I8628" s="6" t="n">
        <f aca="false">Sens!I8604</f>
        <v>334.269404582332</v>
      </c>
      <c r="J8628" s="6" t="n">
        <f aca="false">Sens!J8604</f>
        <v>376.517293063672</v>
      </c>
      <c r="K8628" s="6" t="n">
        <f aca="false">Sens!K8604</f>
        <v>406.018092622804</v>
      </c>
    </row>
    <row r="8629" customFormat="false" ht="17.15" hidden="false" customHeight="false" outlineLevel="0" collapsed="false">
      <c r="A8629" s="0" t="s">
        <v>1025</v>
      </c>
      <c r="B8629" s="0" t="s">
        <v>98</v>
      </c>
      <c r="D8629" s="6" t="n">
        <f aca="false">Sens!D8601</f>
        <v>12.9359794422418</v>
      </c>
      <c r="E8629" s="6" t="n">
        <f aca="false">Sens!E8601</f>
        <v>27.8095064661409</v>
      </c>
      <c r="F8629" s="6" t="n">
        <f aca="false">Sens!F8601</f>
        <v>59.1034165651511</v>
      </c>
      <c r="G8629" s="6" t="n">
        <f aca="false">Sens!G8601</f>
        <v>103.451498789198</v>
      </c>
      <c r="H8629" s="6" t="n">
        <f aca="false">Sens!H8601</f>
        <v>153.816719989035</v>
      </c>
      <c r="I8629" s="6" t="n">
        <f aca="false">Sens!I8601</f>
        <v>192.699478690852</v>
      </c>
      <c r="J8629" s="6" t="n">
        <f aca="false">Sens!J8601</f>
        <v>219.794102584244</v>
      </c>
      <c r="K8629" s="6" t="n">
        <f aca="false">Sens!K8601</f>
        <v>236.757046905022</v>
      </c>
    </row>
    <row r="8630" customFormat="false" ht="17.15" hidden="false" customHeight="false" outlineLevel="0" collapsed="false">
      <c r="A8630" s="0" t="s">
        <v>1056</v>
      </c>
      <c r="B8630" s="0" t="s">
        <v>98</v>
      </c>
      <c r="D8630" s="6" t="n">
        <f aca="false">Sens!D8602</f>
        <v>59.6740205577583</v>
      </c>
      <c r="E8630" s="6" t="n">
        <f aca="false">Sens!E8602</f>
        <v>74.1284935338591</v>
      </c>
      <c r="F8630" s="6" t="n">
        <f aca="false">Sens!F8602</f>
        <v>90.4866018070994</v>
      </c>
      <c r="G8630" s="6" t="n">
        <f aca="false">Sens!G8602</f>
        <v>107.511588557154</v>
      </c>
      <c r="H8630" s="6" t="n">
        <f aca="false">Sens!H8602</f>
        <v>124.832989325489</v>
      </c>
      <c r="I8630" s="6" t="n">
        <f aca="false">Sens!I8602</f>
        <v>141.56992589148</v>
      </c>
      <c r="J8630" s="6" t="n">
        <f aca="false">Sens!J8602</f>
        <v>156.723190479428</v>
      </c>
      <c r="K8630" s="6" t="n">
        <f aca="false">Sens!K8602</f>
        <v>169.261045717783</v>
      </c>
    </row>
    <row r="8631" customFormat="false" ht="15" hidden="false" customHeight="false" outlineLevel="0" collapsed="false">
      <c r="A8631" s="0" t="s">
        <v>1036</v>
      </c>
      <c r="B8631" s="0" t="s">
        <v>98</v>
      </c>
      <c r="D8631" s="6" t="n">
        <f aca="false">Sens!D8609</f>
        <v>84.605</v>
      </c>
      <c r="E8631" s="6" t="n">
        <f aca="false">Sens!E8609</f>
        <v>100.299</v>
      </c>
      <c r="F8631" s="6" t="n">
        <f aca="false">Sens!F8609</f>
        <v>121.791822320066</v>
      </c>
      <c r="G8631" s="6" t="n">
        <f aca="false">Sens!G8609</f>
        <v>144.595751630974</v>
      </c>
      <c r="H8631" s="6" t="n">
        <f aca="false">Sens!H8609</f>
        <v>167.480100677153</v>
      </c>
      <c r="I8631" s="6" t="n">
        <f aca="false">Sens!I8609</f>
        <v>187.490075222229</v>
      </c>
      <c r="J8631" s="6" t="n">
        <f aca="false">Sens!J8609</f>
        <v>204.347628234968</v>
      </c>
      <c r="K8631" s="6" t="n">
        <f aca="false">Sens!K8609</f>
        <v>220.460962211416</v>
      </c>
    </row>
    <row r="8632" customFormat="false" ht="17.15" hidden="false" customHeight="false" outlineLevel="0" collapsed="false">
      <c r="A8632" s="0" t="s">
        <v>1057</v>
      </c>
      <c r="B8632" s="0" t="s">
        <v>98</v>
      </c>
      <c r="D8632" s="6" t="n">
        <f aca="false">Sens!D8607</f>
        <v>83.705</v>
      </c>
      <c r="E8632" s="6" t="n">
        <f aca="false">Sens!E8607</f>
        <v>95.049</v>
      </c>
      <c r="F8632" s="6" t="n">
        <f aca="false">Sens!F8607</f>
        <v>105.591822320066</v>
      </c>
      <c r="G8632" s="6" t="n">
        <f aca="false">Sens!G8607</f>
        <v>117.595751630974</v>
      </c>
      <c r="H8632" s="6" t="n">
        <f aca="false">Sens!H8607</f>
        <v>129.680100677153</v>
      </c>
      <c r="I8632" s="6" t="n">
        <f aca="false">Sens!I8607</f>
        <v>141.590075222229</v>
      </c>
      <c r="J8632" s="6" t="n">
        <f aca="false">Sens!J8607</f>
        <v>153.047628234968</v>
      </c>
      <c r="K8632" s="6" t="n">
        <f aca="false">Sens!K8607</f>
        <v>163.760962211416</v>
      </c>
    </row>
    <row r="8633" customFormat="false" ht="17.15" hidden="false" customHeight="false" outlineLevel="0" collapsed="false">
      <c r="A8633" s="0" t="s">
        <v>1058</v>
      </c>
      <c r="B8633" s="0" t="s">
        <v>98</v>
      </c>
      <c r="D8633" s="6" t="n">
        <f aca="false">Sens!D8606</f>
        <v>0.9</v>
      </c>
      <c r="E8633" s="6" t="n">
        <f aca="false">Sens!E8606</f>
        <v>5.25</v>
      </c>
      <c r="F8633" s="6" t="n">
        <f aca="false">Sens!F8606</f>
        <v>16.2</v>
      </c>
      <c r="G8633" s="6" t="n">
        <f aca="false">Sens!G8606</f>
        <v>27</v>
      </c>
      <c r="H8633" s="6" t="n">
        <f aca="false">Sens!H8606</f>
        <v>37.8</v>
      </c>
      <c r="I8633" s="6" t="n">
        <f aca="false">Sens!I8606</f>
        <v>45.9</v>
      </c>
      <c r="J8633" s="6" t="n">
        <f aca="false">Sens!J8606</f>
        <v>51.3</v>
      </c>
      <c r="K8633" s="6" t="n">
        <f aca="false">Sens!K8606</f>
        <v>56.7</v>
      </c>
    </row>
    <row r="8634" customFormat="false" ht="15" hidden="false" customHeight="false" outlineLevel="0" collapsed="false">
      <c r="A8634" s="0" t="s">
        <v>1037</v>
      </c>
      <c r="B8634" s="0" t="s">
        <v>98</v>
      </c>
      <c r="D8634" s="6" t="n">
        <f aca="false">Sens!D8610</f>
        <v>35.391</v>
      </c>
      <c r="E8634" s="6" t="n">
        <f aca="false">Sens!E8610</f>
        <v>37.285</v>
      </c>
      <c r="F8634" s="6" t="n">
        <f aca="false">Sens!F8610</f>
        <v>38.3851437782675</v>
      </c>
      <c r="G8634" s="6" t="n">
        <f aca="false">Sens!G8610</f>
        <v>40.0105353288615</v>
      </c>
      <c r="H8634" s="6" t="n">
        <f aca="false">Sens!H8610</f>
        <v>41.4812512033683</v>
      </c>
      <c r="I8634" s="6" t="n">
        <f aca="false">Sens!I8610</f>
        <v>42.7743107216329</v>
      </c>
      <c r="J8634" s="6" t="n">
        <f aca="false">Sens!J8610</f>
        <v>43.8687373064601</v>
      </c>
      <c r="K8634" s="6" t="n">
        <f aca="false">Sens!K8610</f>
        <v>44.7461120525893</v>
      </c>
    </row>
    <row r="8635" customFormat="false" ht="15" hidden="false" customHeight="false" outlineLevel="0" collapsed="false">
      <c r="A8635" s="0" t="s">
        <v>1039</v>
      </c>
      <c r="B8635" s="0" t="s">
        <v>98</v>
      </c>
      <c r="D8635" s="6" t="n">
        <f aca="false">Sens!D8612</f>
        <v>18.417</v>
      </c>
      <c r="E8635" s="6" t="n">
        <f aca="false">Sens!E8612</f>
        <v>20.345</v>
      </c>
      <c r="F8635" s="6" t="n">
        <f aca="false">Sens!F8612</f>
        <v>22.3161797133988</v>
      </c>
      <c r="G8635" s="6" t="n">
        <f aca="false">Sens!G8612</f>
        <v>24.3943499673233</v>
      </c>
      <c r="H8635" s="6" t="n">
        <f aca="false">Sens!H8612</f>
        <v>26.5250243109019</v>
      </c>
      <c r="I8635" s="6" t="n">
        <f aca="false">Sens!I8612</f>
        <v>28.6884573538181</v>
      </c>
      <c r="J8635" s="6" t="n">
        <f aca="false">Sens!J8612</f>
        <v>30.8624968052127</v>
      </c>
      <c r="K8635" s="6" t="n">
        <f aca="false">Sens!K8612</f>
        <v>33.0228715815776</v>
      </c>
    </row>
    <row r="8636" customFormat="false" ht="15" hidden="false" customHeight="false" outlineLevel="0" collapsed="false">
      <c r="A8636" s="0" t="s">
        <v>1040</v>
      </c>
      <c r="B8636" s="0" t="s">
        <v>98</v>
      </c>
      <c r="D8636" s="6" t="n">
        <f aca="false">Sens!D8614</f>
        <v>7.76</v>
      </c>
      <c r="E8636" s="6" t="n">
        <f aca="false">Sens!E8614</f>
        <v>8.26</v>
      </c>
      <c r="F8636" s="6" t="n">
        <f aca="false">Sens!F8614</f>
        <v>8.75372082474227</v>
      </c>
      <c r="G8636" s="6" t="n">
        <f aca="false">Sens!G8614</f>
        <v>9.33399324642364</v>
      </c>
      <c r="H8636" s="6" t="n">
        <f aca="false">Sens!H8614</f>
        <v>9.96139155535851</v>
      </c>
      <c r="I8636" s="6" t="n">
        <f aca="false">Sens!I8614</f>
        <v>10.6402039077391</v>
      </c>
      <c r="J8636" s="6" t="n">
        <f aca="false">Sens!J8614</f>
        <v>11.3751458271397</v>
      </c>
      <c r="K8636" s="6" t="n">
        <f aca="false">Sens!K8614</f>
        <v>12.1714060350394</v>
      </c>
    </row>
    <row r="8637" customFormat="false" ht="15" hidden="false" customHeight="false" outlineLevel="0" collapsed="false">
      <c r="A8637" s="0" t="s">
        <v>856</v>
      </c>
      <c r="B8637" s="0" t="s">
        <v>98</v>
      </c>
      <c r="D8637" s="6" t="n">
        <f aca="false">Sens!D8616</f>
        <v>218.783</v>
      </c>
      <c r="E8637" s="6" t="n">
        <f aca="false">Sens!E8616</f>
        <v>268.127</v>
      </c>
      <c r="F8637" s="6" t="n">
        <f aca="false">Sens!F8616</f>
        <v>340.836885008725</v>
      </c>
      <c r="G8637" s="6" t="n">
        <f aca="false">Sens!G8616</f>
        <v>429.297717519935</v>
      </c>
      <c r="H8637" s="6" t="n">
        <f aca="false">Sens!H8616</f>
        <v>524.097477061305</v>
      </c>
      <c r="I8637" s="6" t="n">
        <f aca="false">Sens!I8616</f>
        <v>603.862451787752</v>
      </c>
      <c r="J8637" s="6" t="n">
        <f aca="false">Sens!J8616</f>
        <v>666.971301237453</v>
      </c>
      <c r="K8637" s="6" t="n">
        <f aca="false">Sens!K8616</f>
        <v>716.419444503427</v>
      </c>
    </row>
    <row r="8638" customFormat="false" ht="15" hidden="false" customHeight="false" outlineLevel="0" collapsed="false">
      <c r="A8638" s="0" t="s">
        <v>1041</v>
      </c>
      <c r="B8638" s="0" t="s">
        <v>98</v>
      </c>
      <c r="D8638" s="6" t="n">
        <f aca="false">Sens!D8617</f>
        <v>22.171</v>
      </c>
      <c r="E8638" s="6" t="n">
        <f aca="false">Sens!E8617</f>
        <v>24.835</v>
      </c>
      <c r="F8638" s="6" t="n">
        <f aca="false">Sens!F8617</f>
        <v>27.5591895660247</v>
      </c>
      <c r="G8638" s="6" t="n">
        <f aca="false">Sens!G8617</f>
        <v>30.4098563144583</v>
      </c>
      <c r="H8638" s="6" t="n">
        <f aca="false">Sens!H8617</f>
        <v>33.3011792571777</v>
      </c>
      <c r="I8638" s="6" t="n">
        <f aca="false">Sens!I8617</f>
        <v>36.189023797112</v>
      </c>
      <c r="J8638" s="6" t="n">
        <f aca="false">Sens!J8617</f>
        <v>39.0247773769199</v>
      </c>
      <c r="K8638" s="6" t="n">
        <f aca="false">Sens!K8617</f>
        <v>41.7565117933043</v>
      </c>
    </row>
    <row r="8639" customFormat="false" ht="15" hidden="false" customHeight="false" outlineLevel="0" collapsed="false">
      <c r="A8639" s="0" t="s">
        <v>1042</v>
      </c>
      <c r="B8639" s="0" t="s">
        <v>98</v>
      </c>
      <c r="D8639" s="6" t="n">
        <f aca="false">Sens!D8619</f>
        <v>23.455</v>
      </c>
      <c r="E8639" s="6" t="n">
        <f aca="false">Sens!E8619</f>
        <v>21.79</v>
      </c>
      <c r="F8639" s="6" t="n">
        <f aca="false">Sens!F8619</f>
        <v>20.7520981041711</v>
      </c>
      <c r="G8639" s="6" t="n">
        <f aca="false">Sens!G8619</f>
        <v>19.9083593495882</v>
      </c>
      <c r="H8639" s="6" t="n">
        <f aca="false">Sens!H8619</f>
        <v>19.4008256265831</v>
      </c>
      <c r="I8639" s="6" t="n">
        <f aca="false">Sens!I8619</f>
        <v>19.200434522122</v>
      </c>
      <c r="J8639" s="6" t="n">
        <f aca="false">Sens!J8619</f>
        <v>19.2932782348507</v>
      </c>
      <c r="K8639" s="6" t="n">
        <f aca="false">Sens!K8619</f>
        <v>19.6791437995477</v>
      </c>
    </row>
    <row r="8640" customFormat="false" ht="15" hidden="false" customHeight="false" outlineLevel="0" collapsed="false">
      <c r="A8640" s="0" t="s">
        <v>1043</v>
      </c>
      <c r="B8640" s="0" t="s">
        <v>98</v>
      </c>
      <c r="D8640" s="6" t="n">
        <f aca="false">Sens!D8621</f>
        <v>17.315</v>
      </c>
      <c r="E8640" s="6" t="n">
        <f aca="false">Sens!E8621</f>
        <v>17.087</v>
      </c>
      <c r="F8640" s="6" t="n">
        <f aca="false">Sens!F8621</f>
        <v>15.9912273250553</v>
      </c>
      <c r="G8640" s="6" t="n">
        <f aca="false">Sens!G8621</f>
        <v>15.9574562664827</v>
      </c>
      <c r="H8640" s="6" t="n">
        <f aca="false">Sens!H8621</f>
        <v>16.0119687434196</v>
      </c>
      <c r="I8640" s="6" t="n">
        <f aca="false">Sens!I8621</f>
        <v>16.1551810001948</v>
      </c>
      <c r="J8640" s="6" t="n">
        <f aca="false">Sens!J8621</f>
        <v>16.3889793892005</v>
      </c>
      <c r="K8640" s="6" t="n">
        <f aca="false">Sens!K8621</f>
        <v>16.7167589769845</v>
      </c>
    </row>
    <row r="8641" customFormat="false" ht="15" hidden="false" customHeight="false" outlineLevel="0" collapsed="false">
      <c r="A8641" s="0" t="s">
        <v>870</v>
      </c>
      <c r="B8641" s="0" t="s">
        <v>98</v>
      </c>
      <c r="D8641" s="6" t="n">
        <f aca="false">Sens!D8623</f>
        <v>62.941</v>
      </c>
      <c r="E8641" s="6" t="n">
        <f aca="false">Sens!E8623</f>
        <v>63.712</v>
      </c>
      <c r="F8641" s="6" t="n">
        <f aca="false">Sens!F8623</f>
        <v>64.3025149952511</v>
      </c>
      <c r="G8641" s="6" t="n">
        <f aca="false">Sens!G8623</f>
        <v>66.2756719305292</v>
      </c>
      <c r="H8641" s="6" t="n">
        <f aca="false">Sens!H8623</f>
        <v>68.7139736271804</v>
      </c>
      <c r="I8641" s="6" t="n">
        <f aca="false">Sens!I8623</f>
        <v>71.5446393194289</v>
      </c>
      <c r="J8641" s="6" t="n">
        <f aca="false">Sens!J8623</f>
        <v>74.707035000971</v>
      </c>
      <c r="K8641" s="6" t="n">
        <f aca="false">Sens!K8623</f>
        <v>78.1524145698365</v>
      </c>
    </row>
    <row r="8642" customFormat="false" ht="15" hidden="false" customHeight="false" outlineLevel="0" collapsed="false">
      <c r="A8642" s="1" t="s">
        <v>1059</v>
      </c>
      <c r="B8642" s="0" t="s">
        <v>98</v>
      </c>
      <c r="D8642" s="6" t="n">
        <f aca="false">Sens!D8624</f>
        <v>281.724</v>
      </c>
      <c r="E8642" s="6" t="n">
        <f aca="false">Sens!E8624</f>
        <v>331.839</v>
      </c>
      <c r="F8642" s="6" t="n">
        <f aca="false">Sens!F8624</f>
        <v>405.139400003976</v>
      </c>
      <c r="G8642" s="6" t="n">
        <f aca="false">Sens!G8624</f>
        <v>495.573389450464</v>
      </c>
      <c r="H8642" s="6" t="n">
        <f aca="false">Sens!H8624</f>
        <v>592.811450688486</v>
      </c>
      <c r="I8642" s="6" t="n">
        <f aca="false">Sens!I8624</f>
        <v>675.40709110718</v>
      </c>
      <c r="J8642" s="6" t="n">
        <f aca="false">Sens!J8624</f>
        <v>741.678336238424</v>
      </c>
      <c r="K8642" s="6" t="n">
        <f aca="false">Sens!K8624</f>
        <v>794.571859073263</v>
      </c>
    </row>
    <row r="8643" customFormat="false" ht="15" hidden="false" customHeight="false" outlineLevel="0" collapsed="false">
      <c r="A8643" s="1" t="s">
        <v>1060</v>
      </c>
      <c r="B8643" s="0" t="s">
        <v>168</v>
      </c>
      <c r="E8643" s="7" t="n">
        <f aca="false">Sens!E8642/Sens!D8642-1</f>
        <v>0.177886867998467</v>
      </c>
      <c r="F8643" s="7" t="n">
        <f aca="false">Sens!F8642/Sens!E8642-1</f>
        <v>0.22089145641102</v>
      </c>
      <c r="G8643" s="7" t="n">
        <f aca="false">Sens!G8642/Sens!F8642-1</f>
        <v>0.223216970370199</v>
      </c>
      <c r="H8643" s="7" t="n">
        <f aca="false">Sens!H8642/Sens!G8642-1</f>
        <v>0.196213241687266</v>
      </c>
      <c r="I8643" s="7" t="n">
        <f aca="false">Sens!I8642/Sens!H8642-1</f>
        <v>0.13932868591315</v>
      </c>
      <c r="J8643" s="7" t="n">
        <f aca="false">Sens!J8642/Sens!I8642-1</f>
        <v>0.0981204461780321</v>
      </c>
      <c r="K8643" s="7" t="n">
        <f aca="false">Sens!K8642/Sens!J8642-1</f>
        <v>0.0713159873363702</v>
      </c>
    </row>
    <row r="8644" customFormat="false" ht="17.15" hidden="false" customHeight="false" outlineLevel="0" collapsed="false">
      <c r="A8644" s="26" t="s">
        <v>1061</v>
      </c>
      <c r="B8644" s="31" t="s">
        <v>98</v>
      </c>
      <c r="C8644" s="31"/>
      <c r="D8644" s="27" t="n">
        <f aca="false">(Sens!D8637+Sens!D8641-Sens!D8642)+(Sens!D8629+Sens!D8630-Sens!D8628)+(Sens!D8632+Sens!D8633-Sens!D8631)+(Sens!D8642-Q!L18)</f>
        <v>0</v>
      </c>
      <c r="E8644" s="27" t="n">
        <f aca="false">(Sens!E8637+Sens!E8641-Sens!E8642)+(Sens!E8629+Sens!E8630-Sens!E8628)+(Sens!E8632+Sens!E8633-Sens!E8631)+(Sens!E8642-Q!M18)</f>
        <v>0</v>
      </c>
      <c r="F8644" s="27" t="n">
        <f aca="false">(Sens!F8637+Sens!F8641-Sens!F8642)+(Sens!F8629+Sens!F8630-Sens!F8628)+(Sens!F8632+Sens!F8633-Sens!F8631)</f>
        <v>0</v>
      </c>
      <c r="G8644" s="27" t="n">
        <f aca="false">(Sens!G8637+Sens!G8641-Sens!G8642)+(Sens!G8629+Sens!G8630-Sens!G8628)+(Sens!G8632+Sens!G8633-Sens!G8631)</f>
        <v>0</v>
      </c>
      <c r="H8644" s="27" t="n">
        <f aca="false">(Sens!H8637+Sens!H8641-Sens!H8642)+(Sens!H8629+Sens!H8630-Sens!H8628)+(Sens!H8632+Sens!H8633-Sens!H8631)</f>
        <v>0</v>
      </c>
      <c r="I8644" s="27" t="n">
        <f aca="false">(Sens!I8637+Sens!I8641-Sens!I8642)+(Sens!I8629+Sens!I8630-Sens!I8628)+(Sens!I8632+Sens!I8633-Sens!I8631)</f>
        <v>0</v>
      </c>
      <c r="J8644" s="27" t="n">
        <f aca="false">(Sens!J8637+Sens!J8641-Sens!J8642)+(Sens!J8629+Sens!J8630-Sens!J8628)+(Sens!J8632+Sens!J8633-Sens!J8631)</f>
        <v>0</v>
      </c>
      <c r="K8644" s="27" t="n">
        <f aca="false">(Sens!K8637+Sens!K8641-Sens!K8642)+(Sens!K8629+Sens!K8630-Sens!K8628)+(Sens!K8632+Sens!K8633-Sens!K8631)</f>
        <v>0</v>
      </c>
    </row>
    <row r="8645" customFormat="false" ht="17.15" hidden="false" customHeight="false" outlineLevel="0" collapsed="false">
      <c r="A8645" s="0" t="s">
        <v>1062</v>
      </c>
      <c r="B8645" s="0" t="s">
        <v>168</v>
      </c>
      <c r="E8645" s="7" t="n">
        <f aca="false">(Q!M21+Sens!E8581+Sens!E8582+Sens!E8583+Sens!E8597-Sens!E8579)/(Q!M5-Sens!E8579)</f>
        <v>0.570957350878296</v>
      </c>
      <c r="F8645" s="7" t="n">
        <f aca="false">Sens!$E$8645+dm_seg</f>
        <v>0.570957350878296</v>
      </c>
      <c r="G8645" s="7" t="n">
        <f aca="false">Sens!$E$8645+dm_seg</f>
        <v>0.570957350878296</v>
      </c>
      <c r="H8645" s="7" t="n">
        <f aca="false">Sens!$E$8645+dm_seg</f>
        <v>0.570957350878296</v>
      </c>
      <c r="I8645" s="7" t="n">
        <f aca="false">Sens!$E$8645+dm_seg</f>
        <v>0.570957350878296</v>
      </c>
      <c r="J8645" s="7" t="n">
        <f aca="false">Sens!$E$8645+dm_seg</f>
        <v>0.570957350878296</v>
      </c>
      <c r="K8645" s="7" t="n">
        <f aca="false">Sens!$E$8645+dm_seg</f>
        <v>0.570957350878296</v>
      </c>
      <c r="L8645" s="12" t="s">
        <v>1063</v>
      </c>
    </row>
    <row r="8646" customFormat="false" ht="17.15" hidden="false" customHeight="false" outlineLevel="0" collapsed="false">
      <c r="A8646" s="0" t="s">
        <v>884</v>
      </c>
      <c r="B8646" s="0" t="s">
        <v>98</v>
      </c>
      <c r="D8646" s="6" t="n">
        <f aca="false">Q!L21</f>
        <v>110.814</v>
      </c>
      <c r="E8646" s="6" t="n">
        <f aca="false">Q!M21</f>
        <v>136.365</v>
      </c>
      <c r="F8646" s="6" t="n">
        <f aca="false">Q!$I$21+(Sens!F8645*(Sens!F8616-Sens!F8579)+Sens!F8579-(Sens!F8581+Sens!F8582+Sens!F8583)-Sens!F8597-Sens!F8680)*(Sens!F8616-Q!$I$5)/Sens!F8616</f>
        <v>166.656374920541</v>
      </c>
      <c r="G8646" s="6" t="n">
        <f aca="false">(Sens!G8645*(Sens!G8616-Sens!G8579)+Sens!G8579-(Sens!G8581+Sens!G8582+Sens!G8583)-Sens!G8597-Sens!G8680)</f>
        <v>193.690109426701</v>
      </c>
      <c r="H8646" s="6" t="n">
        <f aca="false">(Sens!H8645*(Sens!H8616-Sens!H8579)+Sens!H8579-(Sens!H8581+Sens!H8582+Sens!H8583)-Sens!H8597-Sens!H8680)</f>
        <v>228.930116704394</v>
      </c>
      <c r="I8646" s="6" t="n">
        <f aca="false">(Sens!I8645*(Sens!I8616-Sens!I8579)+Sens!I8579-(Sens!I8581+Sens!I8582+Sens!I8583)-Sens!I8597-Sens!I8680)</f>
        <v>255.524707294888</v>
      </c>
      <c r="J8646" s="6" t="n">
        <f aca="false">(Sens!J8645*(Sens!J8616-Sens!J8579)+Sens!J8579-(Sens!J8581+Sens!J8582+Sens!J8583)-Sens!J8597-Sens!J8680)</f>
        <v>278.250708199085</v>
      </c>
      <c r="K8646" s="6" t="n">
        <f aca="false">(Sens!K8645*(Sens!K8616-Sens!K8579)+Sens!K8579-(Sens!K8581+Sens!K8582+Sens!K8583)-Sens!K8597-Sens!K8680)</f>
        <v>298.707608931034</v>
      </c>
      <c r="L8646" s="1" t="s">
        <v>1064</v>
      </c>
    </row>
    <row r="8647" customFormat="false" ht="17.15" hidden="false" customHeight="false" outlineLevel="0" collapsed="false">
      <c r="A8647" s="0" t="s">
        <v>1065</v>
      </c>
      <c r="B8647" s="0" t="s">
        <v>168</v>
      </c>
      <c r="E8647" s="7" t="n">
        <f aca="false">Q!M22/Q!M12</f>
        <v>0.296207935710698</v>
      </c>
      <c r="F8647" s="7" t="n">
        <f aca="false">Sens!$E$8647+dm_seg</f>
        <v>0.296207935710698</v>
      </c>
      <c r="G8647" s="7" t="n">
        <f aca="false">Sens!$E$8647+dm_seg</f>
        <v>0.296207935710698</v>
      </c>
      <c r="H8647" s="7" t="n">
        <f aca="false">Sens!$E$8647+dm_seg</f>
        <v>0.296207935710698</v>
      </c>
      <c r="I8647" s="7" t="n">
        <f aca="false">Sens!$E$8647+dm_seg</f>
        <v>0.296207935710698</v>
      </c>
      <c r="J8647" s="7" t="n">
        <f aca="false">Sens!$E$8647+dm_seg</f>
        <v>0.296207935710698</v>
      </c>
      <c r="K8647" s="7" t="n">
        <f aca="false">Sens!$E$8647+dm_seg</f>
        <v>0.296207935710698</v>
      </c>
      <c r="L8647" s="12" t="s">
        <v>1066</v>
      </c>
    </row>
    <row r="8648" customFormat="false" ht="17.15" hidden="false" customHeight="false" outlineLevel="0" collapsed="false">
      <c r="A8648" s="0" t="s">
        <v>886</v>
      </c>
      <c r="B8648" s="0" t="s">
        <v>98</v>
      </c>
      <c r="D8648" s="6" t="n">
        <f aca="false">Q!L22</f>
        <v>17.714</v>
      </c>
      <c r="E8648" s="6" t="n">
        <f aca="false">Q!M22</f>
        <v>18.872</v>
      </c>
      <c r="F8648" s="6" t="n">
        <f aca="false">Q!$I$22+(Sens!F8623-Q!$I$12)*Sens!F8647</f>
        <v>19.8174315512051</v>
      </c>
      <c r="G8648" s="6" t="n">
        <f aca="false">Sens!G8623*Sens!G8647</f>
        <v>19.6313799703815</v>
      </c>
      <c r="H8648" s="6" t="n">
        <f aca="false">Sens!H8623*Sens!H8647</f>
        <v>20.3536242825865</v>
      </c>
      <c r="I8648" s="6" t="n">
        <f aca="false">Sens!I8623*Sens!I8647</f>
        <v>21.1920899239745</v>
      </c>
      <c r="J8648" s="6" t="n">
        <f aca="false">Sens!J8623*Sens!J8647</f>
        <v>22.1288166207045</v>
      </c>
      <c r="K8648" s="6" t="n">
        <f aca="false">Sens!K8623*Sens!K8647</f>
        <v>23.1493653905379</v>
      </c>
      <c r="L8648" s="12" t="s">
        <v>1067</v>
      </c>
    </row>
    <row r="8649" customFormat="false" ht="15" hidden="false" customHeight="false" outlineLevel="0" collapsed="false">
      <c r="A8649" s="1" t="s">
        <v>1068</v>
      </c>
      <c r="B8649" s="0" t="s">
        <v>98</v>
      </c>
      <c r="D8649" s="6" t="n">
        <f aca="false">Sens!D8646+Sens!D8648</f>
        <v>128.528</v>
      </c>
      <c r="E8649" s="6" t="n">
        <f aca="false">Sens!E8646+Sens!E8648</f>
        <v>155.237</v>
      </c>
      <c r="F8649" s="6" t="n">
        <f aca="false">Sens!F8646+Sens!F8648</f>
        <v>186.473806471746</v>
      </c>
      <c r="G8649" s="6" t="n">
        <f aca="false">Sens!G8646+Sens!G8648</f>
        <v>213.321489397083</v>
      </c>
      <c r="H8649" s="6" t="n">
        <f aca="false">Sens!H8646+Sens!H8648</f>
        <v>249.28374098698</v>
      </c>
      <c r="I8649" s="6" t="n">
        <f aca="false">Sens!I8646+Sens!I8648</f>
        <v>276.716797218862</v>
      </c>
      <c r="J8649" s="6" t="n">
        <f aca="false">Sens!J8646+Sens!J8648</f>
        <v>300.37952481979</v>
      </c>
      <c r="K8649" s="6" t="n">
        <f aca="false">Sens!K8646+Sens!K8648</f>
        <v>321.856974321572</v>
      </c>
    </row>
    <row r="8650" customFormat="false" ht="15" hidden="false" customHeight="false" outlineLevel="0" collapsed="false">
      <c r="A8650" s="26" t="s">
        <v>1069</v>
      </c>
      <c r="B8650" s="31" t="s">
        <v>98</v>
      </c>
      <c r="C8650" s="31"/>
      <c r="D8650" s="27" t="n">
        <f aca="false">Sens!D8649-Q!L23</f>
        <v>0</v>
      </c>
      <c r="E8650" s="27" t="n">
        <f aca="false">Sens!E8649-Q!M23</f>
        <v>0</v>
      </c>
      <c r="F8650" s="31"/>
      <c r="G8650" s="31"/>
      <c r="H8650" s="31"/>
      <c r="I8650" s="31"/>
      <c r="J8650" s="31"/>
      <c r="K8650" s="31"/>
    </row>
    <row r="8651" customFormat="false" ht="15" hidden="false" customHeight="false" outlineLevel="0" collapsed="false">
      <c r="A8651" s="1" t="s">
        <v>1070</v>
      </c>
      <c r="B8651" s="0" t="s">
        <v>168</v>
      </c>
      <c r="D8651" s="7" t="n">
        <f aca="false">Sens!D8649/Sens!D8642</f>
        <v>0.456219562408598</v>
      </c>
      <c r="E8651" s="7" t="n">
        <f aca="false">Sens!E8649/Sens!E8642</f>
        <v>0.467808184089272</v>
      </c>
      <c r="F8651" s="7" t="n">
        <f aca="false">Sens!F8649/Sens!F8642</f>
        <v>0.460270727729557</v>
      </c>
      <c r="G8651" s="7" t="n">
        <f aca="false">Sens!G8649/Sens!G8642</f>
        <v>0.430453882186113</v>
      </c>
      <c r="H8651" s="7" t="n">
        <f aca="false">Sens!H8649/Sens!H8642</f>
        <v>0.420511008512849</v>
      </c>
      <c r="I8651" s="7" t="n">
        <f aca="false">Sens!I8649/Sens!I8642</f>
        <v>0.409703719226942</v>
      </c>
      <c r="J8651" s="7" t="n">
        <f aca="false">Sens!J8649/Sens!J8642</f>
        <v>0.404999728511995</v>
      </c>
      <c r="K8651" s="7" t="n">
        <f aca="false">Sens!K8649/Sens!K8642</f>
        <v>0.405069687085275</v>
      </c>
    </row>
    <row r="8652" customFormat="false" ht="17.15" hidden="false" customHeight="false" outlineLevel="0" collapsed="false">
      <c r="A8652" s="1" t="s">
        <v>1071</v>
      </c>
      <c r="B8652" s="0" t="s">
        <v>98</v>
      </c>
      <c r="F8652" s="6" t="n">
        <f aca="false">Sens!F8667</f>
        <v>7.34182189794105</v>
      </c>
      <c r="G8652" s="6" t="n">
        <f aca="false">Sens!G8667</f>
        <v>20.136722438075</v>
      </c>
      <c r="H8652" s="6" t="n">
        <f aca="false">Sens!H8667</f>
        <v>34.4048139276743</v>
      </c>
      <c r="I8652" s="6" t="n">
        <f aca="false">Sens!I8667</f>
        <v>47.7702857362987</v>
      </c>
      <c r="J8652" s="6" t="n">
        <f aca="false">Sens!J8667</f>
        <v>57.1778965434298</v>
      </c>
      <c r="K8652" s="6" t="n">
        <f aca="false">Sens!K8667</f>
        <v>61.6845843048267</v>
      </c>
      <c r="L8652" s="1" t="s">
        <v>1072</v>
      </c>
    </row>
    <row r="8653" customFormat="false" ht="17.15" hidden="false" customHeight="false" outlineLevel="0" collapsed="false">
      <c r="A8653" s="1" t="s">
        <v>1073</v>
      </c>
      <c r="B8653" s="0" t="s">
        <v>98</v>
      </c>
      <c r="D8653" s="6" t="n">
        <f aca="false">Sens!D8649</f>
        <v>128.528</v>
      </c>
      <c r="E8653" s="6" t="n">
        <f aca="false">Sens!E8649</f>
        <v>155.237</v>
      </c>
      <c r="F8653" s="6" t="n">
        <f aca="false">Sens!F8649+Sens!F8652</f>
        <v>193.815628369687</v>
      </c>
      <c r="G8653" s="6" t="n">
        <f aca="false">Sens!G8649+Sens!G8652</f>
        <v>233.458211835158</v>
      </c>
      <c r="H8653" s="6" t="n">
        <f aca="false">Sens!H8649+Sens!H8652</f>
        <v>283.688554914654</v>
      </c>
      <c r="I8653" s="6" t="n">
        <f aca="false">Sens!I8649+Sens!I8652</f>
        <v>324.487082955161</v>
      </c>
      <c r="J8653" s="6" t="n">
        <f aca="false">Sens!J8649+Sens!J8652</f>
        <v>357.55742136322</v>
      </c>
      <c r="K8653" s="6" t="n">
        <f aca="false">Sens!K8649+Sens!K8652</f>
        <v>383.541558626398</v>
      </c>
    </row>
    <row r="8654" customFormat="false" ht="17.15" hidden="false" customHeight="false" outlineLevel="0" collapsed="false">
      <c r="A8654" s="1" t="s">
        <v>1074</v>
      </c>
      <c r="B8654" s="0" t="s">
        <v>98</v>
      </c>
      <c r="E8654" s="6" t="n">
        <f aca="false">Sens!E8597</f>
        <v>16.3054059770833</v>
      </c>
      <c r="F8654" s="6" t="n">
        <f aca="false">Sens!F8597</f>
        <v>34.5793144783516</v>
      </c>
      <c r="G8654" s="6" t="n">
        <f aca="false">Sens!G8597</f>
        <v>60.7344906522989</v>
      </c>
      <c r="H8654" s="6" t="n">
        <f aca="false">Sens!H8597</f>
        <v>89.1000906614457</v>
      </c>
      <c r="I8654" s="6" t="n">
        <f aca="false">Sens!I8597</f>
        <v>114.231009694548</v>
      </c>
      <c r="J8654" s="6" t="n">
        <f aca="false">Sens!J8597</f>
        <v>132.015673049596</v>
      </c>
      <c r="K8654" s="6" t="n">
        <f aca="false">Sens!K8597</f>
        <v>143.012669550934</v>
      </c>
    </row>
    <row r="8655" customFormat="false" ht="17.15" hidden="false" customHeight="false" outlineLevel="0" collapsed="false">
      <c r="A8655" s="1" t="s">
        <v>1075</v>
      </c>
      <c r="B8655" s="0" t="s">
        <v>98</v>
      </c>
      <c r="E8655" s="6" t="n">
        <f aca="false">Sens!E8679</f>
        <v>22.2285940229167</v>
      </c>
      <c r="F8655" s="6" t="n">
        <f aca="false">Sens!F8679</f>
        <v>23.5962081630308</v>
      </c>
      <c r="G8655" s="6" t="n">
        <f aca="false">Sens!G8679</f>
        <v>25.4323157182709</v>
      </c>
      <c r="H8655" s="6" t="n">
        <f aca="false">Sens!H8679</f>
        <v>27.6985873386305</v>
      </c>
      <c r="I8655" s="6" t="n">
        <f aca="false">Sens!I8679</f>
        <v>30.3127988395143</v>
      </c>
      <c r="J8655" s="6" t="n">
        <f aca="false">Sens!J8679</f>
        <v>33.1776297271633</v>
      </c>
      <c r="K8655" s="6" t="n">
        <f aca="false">Sens!K8679</f>
        <v>36.2084007057811</v>
      </c>
    </row>
    <row r="8656" customFormat="false" ht="17.15" hidden="false" customHeight="false" outlineLevel="0" collapsed="false">
      <c r="A8656" s="1" t="s">
        <v>1076</v>
      </c>
      <c r="B8656" s="0" t="s">
        <v>98</v>
      </c>
      <c r="D8656" s="6" t="n">
        <f aca="false">Q!L27</f>
        <v>-4.901</v>
      </c>
      <c r="E8656" s="6" t="n">
        <f aca="false">Q!M27</f>
        <v>10.697</v>
      </c>
      <c r="F8656" s="6" t="n">
        <f aca="false">Q!$I$27+oie_f*(q_per_yr-1)/q_per_yr</f>
        <v>-0.862</v>
      </c>
      <c r="G8656" s="6" t="n">
        <f aca="false">oie_f</f>
        <v>-1.2</v>
      </c>
      <c r="H8656" s="6" t="n">
        <f aca="false">oie_f</f>
        <v>-1.2</v>
      </c>
      <c r="I8656" s="6" t="n">
        <f aca="false">oie_f</f>
        <v>-1.2</v>
      </c>
      <c r="J8656" s="6" t="n">
        <f aca="false">oie_f</f>
        <v>-1.2</v>
      </c>
      <c r="K8656" s="6" t="n">
        <f aca="false">oie_f</f>
        <v>-1.2</v>
      </c>
      <c r="L8656" s="12" t="s">
        <v>1077</v>
      </c>
    </row>
    <row r="8657" customFormat="false" ht="15" hidden="false" customHeight="false" outlineLevel="0" collapsed="false">
      <c r="A8657" s="1" t="s">
        <v>1078</v>
      </c>
      <c r="B8657" s="0" t="s">
        <v>98</v>
      </c>
      <c r="D8657" s="6" t="n">
        <f aca="false">Sens!D8649+Sens!D8656</f>
        <v>123.627</v>
      </c>
      <c r="E8657" s="6" t="n">
        <f aca="false">Sens!E8649+Sens!E8656</f>
        <v>165.934</v>
      </c>
      <c r="F8657" s="6" t="n">
        <f aca="false">Sens!F8649+Sens!F8656</f>
        <v>185.611806471746</v>
      </c>
      <c r="G8657" s="6" t="n">
        <f aca="false">Sens!G8649+Sens!G8656</f>
        <v>212.121489397083</v>
      </c>
      <c r="H8657" s="6" t="n">
        <f aca="false">Sens!H8649+Sens!H8656</f>
        <v>248.08374098698</v>
      </c>
      <c r="I8657" s="6" t="n">
        <f aca="false">Sens!I8649+Sens!I8656</f>
        <v>275.516797218862</v>
      </c>
      <c r="J8657" s="6" t="n">
        <f aca="false">Sens!J8649+Sens!J8656</f>
        <v>299.17952481979</v>
      </c>
      <c r="K8657" s="6" t="n">
        <f aca="false">Sens!K8649+Sens!K8656</f>
        <v>320.656974321572</v>
      </c>
    </row>
    <row r="8658" customFormat="false" ht="15" hidden="false" customHeight="false" outlineLevel="0" collapsed="false">
      <c r="A8658" s="1" t="s">
        <v>1079</v>
      </c>
      <c r="B8658" s="0" t="s">
        <v>98</v>
      </c>
      <c r="D8658" s="6" t="n">
        <f aca="false">Q!L29</f>
        <v>21.795</v>
      </c>
      <c r="E8658" s="6" t="n">
        <f aca="false">Q!M29</f>
        <v>32.185</v>
      </c>
      <c r="F8658" s="6" t="n">
        <f aca="false">Q!$I$29+(Sens!F8657-Q!$I$28)*tax_f</f>
        <v>37.2557612943492</v>
      </c>
      <c r="G8658" s="6" t="n">
        <f aca="false">Sens!G8657*tax_f</f>
        <v>42.4242978794166</v>
      </c>
      <c r="H8658" s="6" t="n">
        <f aca="false">Sens!H8657*tax_f</f>
        <v>49.616748197396</v>
      </c>
      <c r="I8658" s="6" t="n">
        <f aca="false">Sens!I8657*tax_f</f>
        <v>55.1033594437724</v>
      </c>
      <c r="J8658" s="6" t="n">
        <f aca="false">Sens!J8657*tax_f</f>
        <v>59.8359049639579</v>
      </c>
      <c r="K8658" s="6" t="n">
        <f aca="false">Sens!K8657*tax_f</f>
        <v>64.1313948643143</v>
      </c>
    </row>
    <row r="8659" customFormat="false" ht="15" hidden="false" customHeight="false" outlineLevel="0" collapsed="false">
      <c r="A8659" s="1" t="s">
        <v>1080</v>
      </c>
      <c r="B8659" s="0" t="s">
        <v>98</v>
      </c>
      <c r="D8659" s="6" t="n">
        <f aca="false">Sens!D8657-Sens!D8658</f>
        <v>101.832</v>
      </c>
      <c r="E8659" s="6" t="n">
        <f aca="false">Sens!E8657-Sens!E8658</f>
        <v>133.749</v>
      </c>
      <c r="F8659" s="6" t="n">
        <f aca="false">Sens!F8657-Sens!F8658</f>
        <v>148.356045177397</v>
      </c>
      <c r="G8659" s="6" t="n">
        <f aca="false">Sens!G8657-Sens!G8658</f>
        <v>169.697191517666</v>
      </c>
      <c r="H8659" s="6" t="n">
        <f aca="false">Sens!H8657-Sens!H8658</f>
        <v>198.466992789584</v>
      </c>
      <c r="I8659" s="6" t="n">
        <f aca="false">Sens!I8657-Sens!I8658</f>
        <v>220.41343777509</v>
      </c>
      <c r="J8659" s="6" t="n">
        <f aca="false">Sens!J8657-Sens!J8658</f>
        <v>239.343619855832</v>
      </c>
      <c r="K8659" s="6" t="n">
        <f aca="false">Sens!K8657-Sens!K8658</f>
        <v>256.525579457257</v>
      </c>
    </row>
    <row r="8660" customFormat="false" ht="17.15" hidden="false" customHeight="false" outlineLevel="0" collapsed="false">
      <c r="A8660" s="1" t="s">
        <v>1081</v>
      </c>
      <c r="B8660" s="1" t="s">
        <v>81</v>
      </c>
      <c r="D8660" s="15" t="n">
        <f aca="false">Q!L31</f>
        <v>7.465</v>
      </c>
      <c r="E8660" s="15" t="n">
        <f aca="false">Q!M31</f>
        <v>7.453</v>
      </c>
      <c r="F8660" s="15" t="n">
        <f aca="false">Sens!F8704</f>
        <v>7.46986773889038</v>
      </c>
      <c r="G8660" s="15" t="n">
        <f aca="false">Sens!G8704</f>
        <v>7.50706860544134</v>
      </c>
      <c r="H8660" s="15" t="n">
        <f aca="false">Sens!H8704</f>
        <v>7.53060167213072</v>
      </c>
      <c r="I8660" s="15" t="n">
        <f aca="false">Sens!I8704</f>
        <v>7.54228303618619</v>
      </c>
      <c r="J8660" s="15" t="n">
        <f aca="false">Sens!J8704</f>
        <v>7.55643244734866</v>
      </c>
      <c r="K8660" s="15" t="n">
        <f aca="false">Sens!K8704</f>
        <v>7.57286708731392</v>
      </c>
    </row>
    <row r="8661" customFormat="false" ht="17.15" hidden="false" customHeight="false" outlineLevel="0" collapsed="false">
      <c r="A8661" s="0" t="s">
        <v>1082</v>
      </c>
      <c r="B8661" s="0" t="s">
        <v>75</v>
      </c>
      <c r="D8661" s="8" t="n">
        <f aca="false">Sens!D8659/Sens!D8660</f>
        <v>13.641259209645</v>
      </c>
      <c r="E8661" s="8" t="n">
        <f aca="false">Sens!E8659/Sens!E8660</f>
        <v>17.9456594659869</v>
      </c>
      <c r="F8661" s="8" t="n">
        <f aca="false">Sens!F8659/Sens!F8660</f>
        <v>19.8605986562534</v>
      </c>
      <c r="G8661" s="8" t="n">
        <f aca="false">Sens!G8659/Sens!G8660</f>
        <v>22.6049874373953</v>
      </c>
      <c r="H8661" s="8" t="n">
        <f aca="false">Sens!H8659/Sens!H8660</f>
        <v>26.3547325207853</v>
      </c>
      <c r="I8661" s="8" t="n">
        <f aca="false">Sens!I8659/Sens!I8660</f>
        <v>29.2237027856943</v>
      </c>
      <c r="J8661" s="8" t="n">
        <f aca="false">Sens!J8659/Sens!J8660</f>
        <v>31.6741559622902</v>
      </c>
      <c r="K8661" s="8" t="n">
        <f aca="false">Sens!K8659/Sens!K8660</f>
        <v>33.8743010407498</v>
      </c>
      <c r="L8661" s="1" t="s">
        <v>1083</v>
      </c>
    </row>
    <row r="8662" customFormat="false" ht="17.15" hidden="false" customHeight="false" outlineLevel="0" collapsed="false">
      <c r="A8662" s="1" t="s">
        <v>1084</v>
      </c>
      <c r="B8662" s="0" t="s">
        <v>98</v>
      </c>
      <c r="D8662" s="6" t="n">
        <f aca="false">Sens!D8659</f>
        <v>101.832</v>
      </c>
      <c r="E8662" s="6" t="n">
        <f aca="false">Sens!E8659</f>
        <v>133.749</v>
      </c>
      <c r="F8662" s="6" t="n">
        <f aca="false">Sens!F8659+Sens!F8652*(1-tax_f)</f>
        <v>154.22950269575</v>
      </c>
      <c r="G8662" s="6" t="n">
        <f aca="false">Sens!G8659+Sens!G8652*(1-tax_f)</f>
        <v>185.806569468126</v>
      </c>
      <c r="H8662" s="6" t="n">
        <f aca="false">Sens!H8659+Sens!H8652*(1-tax_f)</f>
        <v>225.990843931723</v>
      </c>
      <c r="I8662" s="6" t="n">
        <f aca="false">Sens!I8659+Sens!I8652*(1-tax_f)</f>
        <v>258.629666364129</v>
      </c>
      <c r="J8662" s="6" t="n">
        <f aca="false">Sens!J8659+Sens!J8652*(1-tax_f)</f>
        <v>285.085937090576</v>
      </c>
      <c r="K8662" s="6" t="n">
        <f aca="false">Sens!K8659+Sens!K8652*(1-tax_f)</f>
        <v>305.873246901119</v>
      </c>
    </row>
    <row r="8663" customFormat="false" ht="17.15" hidden="false" customHeight="false" outlineLevel="0" collapsed="false">
      <c r="A8663" s="0" t="s">
        <v>1085</v>
      </c>
      <c r="B8663" s="0" t="s">
        <v>75</v>
      </c>
      <c r="D8663" s="8" t="n">
        <f aca="false">Sens!D8662/Sens!D8660</f>
        <v>13.641259209645</v>
      </c>
      <c r="E8663" s="8" t="n">
        <f aca="false">Sens!E8662/Sens!E8660</f>
        <v>17.9456594659869</v>
      </c>
      <c r="F8663" s="8" t="n">
        <f aca="false">Sens!F8662/Sens!F8660</f>
        <v>20.6468853381144</v>
      </c>
      <c r="G8663" s="8" t="n">
        <f aca="false">Sens!G8662/Sens!G8660</f>
        <v>24.7508820331612</v>
      </c>
      <c r="H8663" s="8" t="n">
        <f aca="false">Sens!H8662/Sens!H8660</f>
        <v>30.0096663946616</v>
      </c>
      <c r="I8663" s="8" t="n">
        <f aca="false">Sens!I8662/Sens!I8660</f>
        <v>34.2906339000116</v>
      </c>
      <c r="J8663" s="8" t="n">
        <f aca="false">Sens!J8662/Sens!J8660</f>
        <v>37.7275836285156</v>
      </c>
      <c r="K8663" s="8" t="n">
        <f aca="false">Sens!K8662/Sens!K8660</f>
        <v>40.3906794315086</v>
      </c>
      <c r="L8663" s="1" t="s">
        <v>1086</v>
      </c>
    </row>
    <row r="8664" customFormat="false" ht="17.15" hidden="false" customHeight="false" outlineLevel="0" collapsed="false">
      <c r="A8664" s="0" t="s">
        <v>1087</v>
      </c>
      <c r="B8664" s="0" t="s">
        <v>168</v>
      </c>
      <c r="E8664" s="7" t="n">
        <f aca="false">Sens!E8663/Sens!D8663-1</f>
        <v>0.315542736208578</v>
      </c>
      <c r="F8664" s="7" t="n">
        <f aca="false">Sens!F8663/Sens!E8663-1</f>
        <v>0.15052251923354</v>
      </c>
      <c r="G8664" s="7" t="n">
        <f aca="false">Sens!G8663/Sens!F8663-1</f>
        <v>0.198770740857009</v>
      </c>
      <c r="H8664" s="7" t="n">
        <f aca="false">Sens!H8663/Sens!G8663-1</f>
        <v>0.212468563926518</v>
      </c>
      <c r="I8664" s="7" t="n">
        <f aca="false">Sens!I8663/Sens!H8663-1</f>
        <v>0.142652952187152</v>
      </c>
      <c r="J8664" s="7" t="n">
        <f aca="false">Sens!J8663/Sens!I8663-1</f>
        <v>0.100229985206044</v>
      </c>
      <c r="K8664" s="7" t="n">
        <f aca="false">Sens!K8663/Sens!J8663-1</f>
        <v>0.0705874998307645</v>
      </c>
    </row>
    <row r="8665" customFormat="false" ht="17.15" hidden="false" customHeight="false" outlineLevel="0" collapsed="false">
      <c r="A8665" s="0" t="s">
        <v>1007</v>
      </c>
      <c r="B8665" s="0" t="s">
        <v>98</v>
      </c>
      <c r="E8665" s="6" t="n">
        <f aca="false">Sens!E8606</f>
        <v>5.25</v>
      </c>
      <c r="F8665" s="6" t="n">
        <f aca="false">Sens!F8606</f>
        <v>16.2</v>
      </c>
      <c r="G8665" s="6" t="n">
        <f aca="false">Sens!G8606</f>
        <v>27</v>
      </c>
      <c r="H8665" s="6" t="n">
        <f aca="false">Sens!H8606</f>
        <v>37.8</v>
      </c>
      <c r="I8665" s="6" t="n">
        <f aca="false">Sens!I8606</f>
        <v>45.9</v>
      </c>
      <c r="J8665" s="6" t="n">
        <f aca="false">Sens!J8606</f>
        <v>51.3</v>
      </c>
      <c r="K8665" s="6" t="n">
        <f aca="false">Sens!K8606</f>
        <v>56.7</v>
      </c>
    </row>
    <row r="8666" customFormat="false" ht="17.15" hidden="false" customHeight="false" outlineLevel="0" collapsed="false">
      <c r="A8666" s="1" t="s">
        <v>1008</v>
      </c>
      <c r="B8666" s="0" t="s">
        <v>98</v>
      </c>
      <c r="F8666" s="6" t="n">
        <f aca="false">MAX(0,((Sens!E8566+Sens!F8566)/2-(shadow_base*(Sens!$D$8566+Sens!$E$8566)/2+(1-shadow_base)*Sens!$E$8566))*Sens!F8575/1000-(Sens!F8665-Sens!$E$8665)*Sens!F8645)</f>
        <v>7.34182189794105</v>
      </c>
      <c r="G8666" s="6" t="n">
        <f aca="false">MAX(0,((Sens!F8566+Sens!G8566)/2-(shadow_base*(Sens!$D$8566+Sens!$E$8566)/2+(1-shadow_base)*Sens!$E$8566))*Sens!G8575/1000-(Sens!G8665-Sens!$E$8665)*Sens!G8645)</f>
        <v>20.136722438075</v>
      </c>
      <c r="H8666" s="6" t="n">
        <f aca="false">MAX(0,((Sens!G8566+Sens!H8566)/2-(shadow_base*(Sens!$D$8566+Sens!$E$8566)/2+(1-shadow_base)*Sens!$E$8566))*Sens!H8575/1000-(Sens!H8665-Sens!$E$8665)*Sens!H8645)</f>
        <v>34.4048139276743</v>
      </c>
      <c r="I8666" s="6" t="n">
        <f aca="false">MAX(0,((Sens!H8566+Sens!I8566)/2-(shadow_base*(Sens!$D$8566+Sens!$E$8566)/2+(1-shadow_base)*Sens!$E$8566))*Sens!I8575/1000-(Sens!I8665-Sens!$E$8665)*Sens!I8645)</f>
        <v>47.7702857362987</v>
      </c>
      <c r="J8666" s="6" t="n">
        <f aca="false">MAX(0,((Sens!I8566+Sens!J8566)/2-(shadow_base*(Sens!$D$8566+Sens!$E$8566)/2+(1-shadow_base)*Sens!$E$8566))*Sens!J8575/1000-(Sens!J8665-Sens!$E$8665)*Sens!J8645)</f>
        <v>57.1778965434298</v>
      </c>
      <c r="K8666" s="6" t="n">
        <f aca="false">MAX(0,((Sens!J8566+Sens!K8566)/2-(shadow_base*(Sens!$D$8566+Sens!$E$8566)/2+(1-shadow_base)*Sens!$E$8566))*Sens!K8575/1000-(Sens!K8665-Sens!$E$8665)*Sens!K8645)</f>
        <v>61.6845843048267</v>
      </c>
      <c r="L8666" s="1" t="s">
        <v>1009</v>
      </c>
    </row>
    <row r="8667" customFormat="false" ht="17.15" hidden="false" customHeight="false" outlineLevel="0" collapsed="false">
      <c r="A8667" s="1" t="s">
        <v>1010</v>
      </c>
      <c r="B8667" s="0" t="s">
        <v>98</v>
      </c>
      <c r="F8667" s="6" t="n">
        <f aca="false">IF(internal_ai_reading=2,1,0)*Sens!F8666</f>
        <v>7.34182189794105</v>
      </c>
      <c r="G8667" s="6" t="n">
        <f aca="false">IF(internal_ai_reading=2,1,0)*Sens!G8666</f>
        <v>20.136722438075</v>
      </c>
      <c r="H8667" s="6" t="n">
        <f aca="false">IF(internal_ai_reading=2,1,0)*Sens!H8666</f>
        <v>34.4048139276743</v>
      </c>
      <c r="I8667" s="6" t="n">
        <f aca="false">IF(internal_ai_reading=2,1,0)*Sens!I8666</f>
        <v>47.7702857362987</v>
      </c>
      <c r="J8667" s="6" t="n">
        <f aca="false">IF(internal_ai_reading=2,1,0)*Sens!J8666</f>
        <v>57.1778965434298</v>
      </c>
      <c r="K8667" s="6" t="n">
        <f aca="false">IF(internal_ai_reading=2,1,0)*Sens!K8666</f>
        <v>61.6845843048267</v>
      </c>
    </row>
    <row r="8668" customFormat="false" ht="17.15" hidden="false" customHeight="false" outlineLevel="0" collapsed="false">
      <c r="A8668" s="0" t="s">
        <v>1011</v>
      </c>
      <c r="B8668" s="0" t="s">
        <v>98</v>
      </c>
      <c r="F8668" s="6" t="n">
        <f aca="false">Sens!F8585+Sens!F8665*Sens!F8645+Sens!F8667-Sens!F8586-Sens!F8597</f>
        <v>18.5068678152817</v>
      </c>
      <c r="G8668" s="6" t="n">
        <f aca="false">Sens!G8585+Sens!G8665*Sens!G8645+Sens!G8667-Sens!G8586-Sens!G8597</f>
        <v>43.1983864982792</v>
      </c>
      <c r="H8668" s="6" t="n">
        <f aca="false">Sens!H8585+Sens!H8665*Sens!H8645+Sens!H8667-Sens!H8586-Sens!H8597</f>
        <v>73.502598356074</v>
      </c>
      <c r="I8668" s="6" t="n">
        <f aca="false">Sens!I8585+Sens!I8665*Sens!I8645+Sens!I8667-Sens!I8586-Sens!I8597</f>
        <v>94.7454135378504</v>
      </c>
      <c r="J8668" s="6" t="n">
        <f aca="false">Sens!J8585+Sens!J8665*Sens!J8645+Sens!J8667-Sens!J8586-Sens!J8597</f>
        <v>109.399608126358</v>
      </c>
      <c r="K8668" s="6" t="n">
        <f aca="false">Sens!K8585+Sens!K8665*Sens!K8645+Sens!K8667-Sens!K8586-Sens!K8597</f>
        <v>118.898703181943</v>
      </c>
    </row>
    <row r="8669" customFormat="false" ht="17.15" hidden="false" customHeight="false" outlineLevel="0" collapsed="false">
      <c r="A8669" s="0" t="s">
        <v>1012</v>
      </c>
      <c r="B8669" s="0" t="s">
        <v>98</v>
      </c>
      <c r="E8669" s="6" t="n">
        <f aca="false">Sens!E8565*(cxit_open+self_build*tk_cxfac)/1000*ai_net_open</f>
        <v>126.6980382</v>
      </c>
      <c r="F8669" s="6" t="n">
        <f aca="false">Sens!E8669+Sens!F8594-Sens!F8597</f>
        <v>260.572627763768</v>
      </c>
      <c r="G8669" s="6" t="n">
        <f aca="false">Sens!F8669+Sens!G8594-Sens!G8597</f>
        <v>391.782612760517</v>
      </c>
      <c r="H8669" s="6" t="n">
        <f aca="false">Sens!G8669+Sens!H8594-Sens!H8597</f>
        <v>499.488526163584</v>
      </c>
      <c r="I8669" s="6" t="n">
        <f aca="false">Sens!H8669+Sens!I8594-Sens!I8597</f>
        <v>553.872350090646</v>
      </c>
      <c r="J8669" s="6" t="n">
        <f aca="false">Sens!I8669+Sens!J8594-Sens!J8597</f>
        <v>550.78660823699</v>
      </c>
      <c r="K8669" s="6" t="n">
        <f aca="false">Sens!J8669+Sens!K8594-Sens!K8597</f>
        <v>526.736791750789</v>
      </c>
      <c r="L8669" s="1" t="s">
        <v>1013</v>
      </c>
    </row>
    <row r="8670" customFormat="false" ht="17.15" hidden="false" customHeight="false" outlineLevel="0" collapsed="false">
      <c r="A8670" s="0" t="s">
        <v>1014</v>
      </c>
      <c r="B8670" s="0" t="s">
        <v>168</v>
      </c>
      <c r="F8670" s="7" t="n">
        <f aca="false">Sens!F8668*(1-tax_f)/((Sens!E8669+Sens!F8669)/2)</f>
        <v>0.0764607059271074</v>
      </c>
      <c r="G8670" s="7" t="n">
        <f aca="false">Sens!G8668*(1-tax_f)/((Sens!F8669+Sens!G8669)/2)</f>
        <v>0.105950583522098</v>
      </c>
      <c r="H8670" s="7" t="n">
        <f aca="false">Sens!H8668*(1-tax_f)/((Sens!G8669+Sens!H8669)/2)</f>
        <v>0.131951044114011</v>
      </c>
      <c r="I8670" s="7" t="n">
        <f aca="false">Sens!I8668*(1-tax_f)/((Sens!H8669+Sens!I8669)/2)</f>
        <v>0.143913320760143</v>
      </c>
      <c r="J8670" s="7" t="n">
        <f aca="false">Sens!J8668*(1-tax_f)/((Sens!I8669+Sens!J8669)/2)</f>
        <v>0.158455577336889</v>
      </c>
      <c r="K8670" s="7" t="n">
        <f aca="false">Sens!K8668*(1-tax_f)/((Sens!J8669+Sens!K8669)/2)</f>
        <v>0.176551084731214</v>
      </c>
    </row>
    <row r="8671" customFormat="false" ht="17.15" hidden="false" customHeight="false" outlineLevel="0" collapsed="false">
      <c r="A8671" s="1" t="s">
        <v>1015</v>
      </c>
      <c r="B8671" s="0" t="s">
        <v>168</v>
      </c>
      <c r="F8671" s="7" t="n">
        <f aca="false">(Sens!F8668-Sens!F8667)*(1-tax_f)/((Sens!E8669+Sens!F8669)/2)</f>
        <v>0.0461281347588984</v>
      </c>
      <c r="G8671" s="7" t="n">
        <f aca="false">(Sens!G8668-Sens!G8667)*(1-tax_f)/((Sens!F8669+Sens!G8669)/2)</f>
        <v>0.0565622228567858</v>
      </c>
      <c r="H8671" s="7" t="n">
        <f aca="false">(Sens!H8668-Sens!H8667)*(1-tax_f)/((Sens!G8669+Sens!H8669)/2)</f>
        <v>0.0701879061863875</v>
      </c>
      <c r="I8671" s="7" t="n">
        <f aca="false">(Sens!I8668-Sens!I8667)*(1-tax_f)/((Sens!H8669+Sens!I8669)/2)</f>
        <v>0.0713527587523031</v>
      </c>
      <c r="J8671" s="7" t="n">
        <f aca="false">(Sens!J8668-Sens!J8667)*(1-tax_f)/((Sens!I8669+Sens!J8669)/2)</f>
        <v>0.0756384926793875</v>
      </c>
      <c r="K8671" s="7" t="n">
        <f aca="false">(Sens!K8668-Sens!K8667)*(1-tax_f)/((Sens!J8669+Sens!K8669)/2)</f>
        <v>0.0849564753808815</v>
      </c>
    </row>
    <row r="8672" customFormat="false" ht="17.15" hidden="false" customHeight="false" outlineLevel="0" collapsed="false">
      <c r="A8672" s="1" t="s">
        <v>1016</v>
      </c>
      <c r="B8672" s="0" t="s">
        <v>168</v>
      </c>
      <c r="F8672" s="7" t="n">
        <f aca="false">(Sens!F8668-Sens!F8667+Sens!F8666)*(1-tax_f)/((Sens!E8669+Sens!F8669)/2)</f>
        <v>0.0764607059271074</v>
      </c>
      <c r="G8672" s="7" t="n">
        <f aca="false">(Sens!G8668-Sens!G8667+Sens!G8666)*(1-tax_f)/((Sens!F8669+Sens!G8669)/2)</f>
        <v>0.105950583522098</v>
      </c>
      <c r="H8672" s="7" t="n">
        <f aca="false">(Sens!H8668-Sens!H8667+Sens!H8666)*(1-tax_f)/((Sens!G8669+Sens!H8669)/2)</f>
        <v>0.131951044114011</v>
      </c>
      <c r="I8672" s="7" t="n">
        <f aca="false">(Sens!I8668-Sens!I8667+Sens!I8666)*(1-tax_f)/((Sens!H8669+Sens!I8669)/2)</f>
        <v>0.143913320760143</v>
      </c>
      <c r="J8672" s="7" t="n">
        <f aca="false">(Sens!J8668-Sens!J8667+Sens!J8666)*(1-tax_f)/((Sens!I8669+Sens!J8669)/2)</f>
        <v>0.158455577336889</v>
      </c>
      <c r="K8672" s="7" t="n">
        <f aca="false">(Sens!K8668-Sens!K8667+Sens!K8666)*(1-tax_f)/((Sens!J8669+Sens!K8669)/2)</f>
        <v>0.176551084731214</v>
      </c>
    </row>
    <row r="8673" customFormat="false" ht="17.15" hidden="false" customHeight="false" outlineLevel="0" collapsed="false">
      <c r="A8673" s="1" t="s">
        <v>1017</v>
      </c>
      <c r="B8673" s="0" t="s">
        <v>168</v>
      </c>
      <c r="F8673" s="7" t="n">
        <f aca="false">Sens!F8598*(1-tax_f)/(Sens!F8584*(Sens!E8669+Sens!F8669)/2)</f>
        <v>0.15471433083293</v>
      </c>
      <c r="G8673" s="7" t="n">
        <f aca="false">Sens!G8598*(1-tax_f)/(Sens!G8584*(Sens!F8669+Sens!G8669)/2)</f>
        <v>0.176916911437355</v>
      </c>
      <c r="H8673" s="7" t="n">
        <f aca="false">Sens!H8598*(1-tax_f)/(Sens!H8584*(Sens!G8669+Sens!H8669)/2)</f>
        <v>0.207487057996582</v>
      </c>
      <c r="I8673" s="7" t="n">
        <f aca="false">Sens!I8598*(1-tax_f)/(Sens!I8584*(Sens!H8669+Sens!I8669)/2)</f>
        <v>0.219873660070946</v>
      </c>
      <c r="J8673" s="7" t="n">
        <f aca="false">Sens!J8598*(1-tax_f)/(Sens!J8584*(Sens!I8669+Sens!J8669)/2)</f>
        <v>0.238959457974928</v>
      </c>
      <c r="K8673" s="7" t="n">
        <f aca="false">Sens!K8598*(1-tax_f)/(Sens!K8584*(Sens!J8669+Sens!K8669)/2)</f>
        <v>0.264604270651536</v>
      </c>
    </row>
    <row r="8674" customFormat="false" ht="17.15" hidden="false" customHeight="false" outlineLevel="0" collapsed="false">
      <c r="A8674" s="0" t="s">
        <v>1018</v>
      </c>
      <c r="B8674" s="0" t="s">
        <v>253</v>
      </c>
      <c r="F8674" s="7" t="n">
        <f aca="false">Sens!F8670-wacc</f>
        <v>-0.0264758850184899</v>
      </c>
      <c r="G8674" s="7" t="n">
        <f aca="false">Sens!G8670-wacc</f>
        <v>0.00301399257650095</v>
      </c>
      <c r="H8674" s="7" t="n">
        <f aca="false">Sens!H8670-wacc</f>
        <v>0.0290144531684132</v>
      </c>
      <c r="I8674" s="7" t="n">
        <f aca="false">Sens!I8670-wacc</f>
        <v>0.040976729814546</v>
      </c>
      <c r="J8674" s="7" t="n">
        <f aca="false">Sens!J8670-wacc</f>
        <v>0.0555189863912922</v>
      </c>
      <c r="K8674" s="7" t="n">
        <f aca="false">Sens!K8670-wacc</f>
        <v>0.0736144937856168</v>
      </c>
    </row>
    <row r="8675" customFormat="false" ht="17.15" hidden="false" customHeight="false" outlineLevel="0" collapsed="false">
      <c r="A8675" s="0" t="s">
        <v>1019</v>
      </c>
      <c r="B8675" s="0" t="s">
        <v>98</v>
      </c>
      <c r="F8675" s="6" t="n">
        <f aca="false">Sens!F8668*(1-tax_f)-wacc*(Sens!E8669+Sens!F8669)/2</f>
        <v>-5.12666681154536</v>
      </c>
      <c r="G8675" s="6" t="n">
        <f aca="false">Sens!G8668*(1-tax_f)-wacc*(Sens!F8669+Sens!G8669)/2</f>
        <v>0.983096926090845</v>
      </c>
      <c r="H8675" s="6" t="n">
        <f aca="false">Sens!H8668*(1-tax_f)-wacc*(Sens!G8669+Sens!H8669)/2</f>
        <v>12.9298723603358</v>
      </c>
      <c r="I8675" s="6" t="n">
        <f aca="false">Sens!I8668*(1-tax_f)-wacc*(Sens!H8669+Sens!I8669)/2</f>
        <v>21.5816420117415</v>
      </c>
      <c r="J8675" s="6" t="n">
        <f aca="false">Sens!J8668*(1-tax_f)-wacc*(Sens!I8669+Sens!J8669)/2</f>
        <v>30.6647728372055</v>
      </c>
      <c r="K8675" s="6" t="n">
        <f aca="false">Sens!K8668*(1-tax_f)-wacc*(Sens!J8669+Sens!K8669)/2</f>
        <v>39.6606698161285</v>
      </c>
    </row>
    <row r="8676" customFormat="false" ht="17.15" hidden="false" customHeight="false" outlineLevel="0" collapsed="false">
      <c r="A8676" s="3" t="s">
        <v>1828</v>
      </c>
    </row>
    <row r="8677" customFormat="false" ht="15" hidden="false" customHeight="false" outlineLevel="0" collapsed="false">
      <c r="A8677" s="4" t="s">
        <v>43</v>
      </c>
      <c r="B8677" s="4" t="s">
        <v>65</v>
      </c>
      <c r="C8677" s="23" t="s">
        <v>942</v>
      </c>
      <c r="D8677" s="23" t="s">
        <v>943</v>
      </c>
      <c r="E8677" s="23" t="s">
        <v>944</v>
      </c>
      <c r="F8677" s="23" t="s">
        <v>945</v>
      </c>
      <c r="G8677" s="23" t="s">
        <v>946</v>
      </c>
      <c r="H8677" s="23" t="s">
        <v>947</v>
      </c>
      <c r="I8677" s="23" t="s">
        <v>948</v>
      </c>
      <c r="J8677" s="23" t="s">
        <v>949</v>
      </c>
      <c r="K8677" s="23" t="s">
        <v>950</v>
      </c>
      <c r="L8677" s="4" t="s">
        <v>47</v>
      </c>
    </row>
    <row r="8678" customFormat="false" ht="15" hidden="false" customHeight="false" outlineLevel="0" collapsed="false">
      <c r="A8678" s="1" t="s">
        <v>1080</v>
      </c>
      <c r="B8678" s="0" t="s">
        <v>98</v>
      </c>
      <c r="F8678" s="6" t="n">
        <f aca="false">Sens!F8659</f>
        <v>148.356045177397</v>
      </c>
      <c r="G8678" s="6" t="n">
        <f aca="false">Sens!G8659</f>
        <v>169.697191517666</v>
      </c>
      <c r="H8678" s="6" t="n">
        <f aca="false">Sens!H8659</f>
        <v>198.466992789584</v>
      </c>
      <c r="I8678" s="6" t="n">
        <f aca="false">Sens!I8659</f>
        <v>220.41343777509</v>
      </c>
      <c r="J8678" s="6" t="n">
        <f aca="false">Sens!J8659</f>
        <v>239.343619855832</v>
      </c>
      <c r="K8678" s="6" t="n">
        <f aca="false">Sens!K8659</f>
        <v>256.525579457257</v>
      </c>
    </row>
    <row r="8679" customFormat="false" ht="17.15" hidden="false" customHeight="false" outlineLevel="0" collapsed="false">
      <c r="A8679" s="1" t="s">
        <v>1102</v>
      </c>
      <c r="B8679" s="0" t="s">
        <v>98</v>
      </c>
      <c r="E8679" s="6" t="n">
        <f aca="false">Q!M38-Sens!E8597</f>
        <v>22.2285940229167</v>
      </c>
      <c r="F8679" s="6" t="n">
        <f aca="false">Sens!E8679*(1-1/life_nonai)+(Sens!F8687+Sens!F8688)/life_nonai</f>
        <v>23.5962081630308</v>
      </c>
      <c r="G8679" s="6" t="n">
        <f aca="false">Sens!F8679*(1-1/life_nonai)+(Sens!G8687)/life_nonai</f>
        <v>25.4323157182709</v>
      </c>
      <c r="H8679" s="6" t="n">
        <f aca="false">Sens!G8679*(1-1/life_nonai)+(Sens!H8687)/life_nonai</f>
        <v>27.6985873386305</v>
      </c>
      <c r="I8679" s="6" t="n">
        <f aca="false">Sens!H8679*(1-1/life_nonai)+(Sens!I8687)/life_nonai</f>
        <v>30.3127988395143</v>
      </c>
      <c r="J8679" s="6" t="n">
        <f aca="false">Sens!I8679*(1-1/life_nonai)+(Sens!J8687)/life_nonai</f>
        <v>33.1776297271633</v>
      </c>
      <c r="K8679" s="6" t="n">
        <f aca="false">Sens!J8679*(1-1/life_nonai)+(Sens!K8687)/life_nonai</f>
        <v>36.2084007057811</v>
      </c>
      <c r="L8679" s="12" t="s">
        <v>1103</v>
      </c>
    </row>
    <row r="8680" customFormat="false" ht="17.15" hidden="false" customHeight="false" outlineLevel="0" collapsed="false">
      <c r="A8680" s="1" t="s">
        <v>1104</v>
      </c>
      <c r="B8680" s="0" t="s">
        <v>98</v>
      </c>
      <c r="F8680" s="6" t="n">
        <f aca="false">Sens!$F$8688/life_nonai*(1-1/life_nonai)^(Sens!F8560-2027)</f>
        <v>0</v>
      </c>
      <c r="G8680" s="6" t="n">
        <f aca="false">Sens!$F$8688/life_nonai*(1-1/life_nonai)^(Sens!G8560-2027)</f>
        <v>0</v>
      </c>
      <c r="H8680" s="6" t="n">
        <f aca="false">Sens!$F$8688/life_nonai*(1-1/life_nonai)^(Sens!H8560-2027)</f>
        <v>0</v>
      </c>
      <c r="I8680" s="6" t="n">
        <f aca="false">Sens!$F$8688/life_nonai*(1-1/life_nonai)^(Sens!I8560-2027)</f>
        <v>0</v>
      </c>
      <c r="J8680" s="6" t="n">
        <f aca="false">Sens!$F$8688/life_nonai*(1-1/life_nonai)^(Sens!J8560-2027)</f>
        <v>0</v>
      </c>
      <c r="K8680" s="6" t="n">
        <f aca="false">Sens!$F$8688/life_nonai*(1-1/life_nonai)^(Sens!K8560-2027)</f>
        <v>0</v>
      </c>
      <c r="L8680" s="1" t="s">
        <v>1105</v>
      </c>
    </row>
    <row r="8681" customFormat="false" ht="17.15" hidden="false" customHeight="false" outlineLevel="0" collapsed="false">
      <c r="A8681" s="1" t="s">
        <v>1106</v>
      </c>
      <c r="B8681" s="0" t="s">
        <v>98</v>
      </c>
      <c r="E8681" s="6" t="n">
        <f aca="false">Sens!E8597+Sens!E8679</f>
        <v>38.534</v>
      </c>
      <c r="F8681" s="6" t="n">
        <f aca="false">Sens!F8597+Sens!F8679</f>
        <v>58.1755226413824</v>
      </c>
      <c r="G8681" s="6" t="n">
        <f aca="false">Sens!G8597+Sens!G8679</f>
        <v>86.1668063705698</v>
      </c>
      <c r="H8681" s="6" t="n">
        <f aca="false">Sens!H8597+Sens!H8679</f>
        <v>116.798678000076</v>
      </c>
      <c r="I8681" s="6" t="n">
        <f aca="false">Sens!I8597+Sens!I8679</f>
        <v>144.543808534063</v>
      </c>
      <c r="J8681" s="6" t="n">
        <f aca="false">Sens!J8597+Sens!J8679</f>
        <v>165.193302776759</v>
      </c>
      <c r="K8681" s="6" t="n">
        <f aca="false">Sens!K8597+Sens!K8679</f>
        <v>179.221070256715</v>
      </c>
    </row>
    <row r="8682" customFormat="false" ht="17.15" hidden="false" customHeight="false" outlineLevel="0" collapsed="false">
      <c r="A8682" s="1" t="s">
        <v>1107</v>
      </c>
      <c r="B8682" s="0" t="s">
        <v>98</v>
      </c>
      <c r="F8682" s="6" t="n">
        <f aca="false">Sens!F8624*sbc_r</f>
        <v>15.1451585167787</v>
      </c>
      <c r="G8682" s="6" t="n">
        <f aca="false">Sens!G8624*sbc_r</f>
        <v>18.5258149166705</v>
      </c>
      <c r="H8682" s="6" t="n">
        <f aca="false">Sens!H8624*sbc_r</f>
        <v>22.1608251163687</v>
      </c>
      <c r="I8682" s="6" t="n">
        <f aca="false">Sens!I8624*sbc_r</f>
        <v>25.2484637585834</v>
      </c>
      <c r="J8682" s="6" t="n">
        <f aca="false">Sens!J8624*sbc_r</f>
        <v>27.7258542878855</v>
      </c>
      <c r="K8682" s="6" t="n">
        <f aca="false">Sens!K8624*sbc_r</f>
        <v>29.7031509611704</v>
      </c>
    </row>
    <row r="8683" customFormat="false" ht="17.15" hidden="false" customHeight="false" outlineLevel="0" collapsed="false">
      <c r="A8683" s="1" t="s">
        <v>1108</v>
      </c>
      <c r="B8683" s="0" t="s">
        <v>98</v>
      </c>
      <c r="F8683" s="6" t="n">
        <f aca="false">wc27-wc26q1</f>
        <v>-4.677</v>
      </c>
      <c r="G8683" s="6" t="n">
        <f aca="false">wc_f</f>
        <v>0</v>
      </c>
      <c r="H8683" s="6" t="n">
        <f aca="false">wc_f</f>
        <v>0</v>
      </c>
      <c r="I8683" s="6" t="n">
        <f aca="false">wc_f</f>
        <v>0</v>
      </c>
      <c r="J8683" s="6" t="n">
        <f aca="false">wc_f</f>
        <v>0</v>
      </c>
      <c r="K8683" s="6" t="n">
        <f aca="false">wc_f</f>
        <v>0</v>
      </c>
      <c r="L8683" s="12" t="s">
        <v>1109</v>
      </c>
    </row>
    <row r="8684" customFormat="false" ht="17.15" hidden="false" customHeight="false" outlineLevel="0" collapsed="false">
      <c r="A8684" s="0" t="s">
        <v>1110</v>
      </c>
      <c r="B8684" s="0" t="s">
        <v>98</v>
      </c>
      <c r="F8684" s="6" t="n">
        <f aca="false">Q!$I$35-Q!$I$26-Q!$I$38-Q!$I$39</f>
        <v>6.493</v>
      </c>
      <c r="L8684" s="1" t="s">
        <v>1111</v>
      </c>
    </row>
    <row r="8685" customFormat="false" ht="15" hidden="false" customHeight="false" outlineLevel="0" collapsed="false">
      <c r="A8685" s="1" t="s">
        <v>908</v>
      </c>
      <c r="B8685" s="0" t="s">
        <v>98</v>
      </c>
      <c r="E8685" s="6" t="n">
        <f aca="false">Q!M35</f>
        <v>182.935</v>
      </c>
      <c r="F8685" s="6" t="n">
        <f aca="false">Sens!F8678+Sens!F8681+Sens!F8682+Sens!F8683+Sens!F8684</f>
        <v>223.492726335558</v>
      </c>
      <c r="G8685" s="6" t="n">
        <f aca="false">Sens!G8678+Sens!G8681+Sens!G8682+Sens!G8683</f>
        <v>274.389812804907</v>
      </c>
      <c r="H8685" s="6" t="n">
        <f aca="false">Sens!H8678+Sens!H8681+Sens!H8682+Sens!H8683</f>
        <v>337.426495906029</v>
      </c>
      <c r="I8685" s="6" t="n">
        <f aca="false">Sens!I8678+Sens!I8681+Sens!I8682+Sens!I8683</f>
        <v>390.205710067736</v>
      </c>
      <c r="J8685" s="6" t="n">
        <f aca="false">Sens!J8678+Sens!J8681+Sens!J8682+Sens!J8683</f>
        <v>432.262776920477</v>
      </c>
      <c r="K8685" s="6" t="n">
        <f aca="false">Sens!K8678+Sens!K8681+Sens!K8682+Sens!K8683</f>
        <v>465.449800675143</v>
      </c>
    </row>
    <row r="8686" customFormat="false" ht="17.15" hidden="false" customHeight="false" outlineLevel="0" collapsed="false">
      <c r="A8686" s="0" t="s">
        <v>1112</v>
      </c>
      <c r="B8686" s="0" t="s">
        <v>98</v>
      </c>
      <c r="F8686" s="6" t="n">
        <f aca="false">Sens!F8594</f>
        <v>168.45390404212</v>
      </c>
      <c r="G8686" s="6" t="n">
        <f aca="false">Sens!G8594</f>
        <v>191.944475649048</v>
      </c>
      <c r="H8686" s="6" t="n">
        <f aca="false">Sens!H8594</f>
        <v>196.806004064512</v>
      </c>
      <c r="I8686" s="6" t="n">
        <f aca="false">Sens!I8594</f>
        <v>168.61483362161</v>
      </c>
      <c r="J8686" s="6" t="n">
        <f aca="false">Sens!J8594</f>
        <v>128.92993119594</v>
      </c>
      <c r="K8686" s="6" t="n">
        <f aca="false">Sens!K8594</f>
        <v>118.962853064733</v>
      </c>
    </row>
    <row r="8687" customFormat="false" ht="17.15" hidden="false" customHeight="false" outlineLevel="0" collapsed="false">
      <c r="A8687" s="1" t="s">
        <v>1113</v>
      </c>
      <c r="B8687" s="0" t="s">
        <v>98</v>
      </c>
      <c r="E8687" s="6" t="n">
        <f aca="false">Sens!E8602*cx_azo+Sens!E8609*cx_m365+Sens!E8610*cx_lic+(Sens!E8612+Sens!E8614)*cx_ind+Sens!E8617*cx_srch+(Sens!E8619+Sens!E8621)*cx_dev</f>
        <v>30.1846587067718</v>
      </c>
      <c r="F8687" s="6" t="n">
        <f aca="false">Sens!F8602*cx_azo+Sens!F8609*cx_m365+Sens!F8610*cx_lic+(Sens!F8612+Sens!F8614)*cx_ind+Sens!F8617*cx_srch+(Sens!F8619+Sens!F8621)*cx_dev</f>
        <v>35.9047354240577</v>
      </c>
      <c r="G8687" s="6" t="n">
        <f aca="false">Sens!G8602*cx_azo+Sens!G8609*cx_m365+Sens!G8610*cx_lic+(Sens!G8612+Sens!G8614)*cx_ind+Sens!G8617*cx_srch+(Sens!G8619+Sens!G8621)*cx_dev</f>
        <v>41.9572837154316</v>
      </c>
      <c r="H8687" s="6" t="n">
        <f aca="false">Sens!H8602*cx_azo+Sens!H8609*cx_m365+Sens!H8610*cx_lic+(Sens!H8612+Sens!H8614)*cx_ind+Sens!H8617*cx_srch+(Sens!H8619+Sens!H8621)*cx_dev</f>
        <v>48.0950319218677</v>
      </c>
      <c r="I8687" s="6" t="n">
        <f aca="false">Sens!I8602*cx_azo+Sens!I8609*cx_m365+Sens!I8610*cx_lic+(Sens!I8612+Sens!I8614)*cx_ind+Sens!I8617*cx_srch+(Sens!I8619+Sens!I8621)*cx_dev</f>
        <v>53.8407023474679</v>
      </c>
      <c r="J8687" s="6" t="n">
        <f aca="false">Sens!J8602*cx_azo+Sens!J8609*cx_m365+Sens!J8610*cx_lic+(Sens!J8612+Sens!J8614)*cx_ind+Sens!J8617*cx_srch+(Sens!J8619+Sens!J8621)*cx_dev</f>
        <v>58.9611077160044</v>
      </c>
      <c r="K8687" s="6" t="n">
        <f aca="false">Sens!K8602*cx_azo+Sens!K8609*cx_m365+Sens!K8610*cx_lic+(Sens!K8612+Sens!K8614)*cx_ind+Sens!K8617*cx_srch+(Sens!K8619+Sens!K8621)*cx_dev</f>
        <v>63.4853395133411</v>
      </c>
    </row>
    <row r="8688" customFormat="false" ht="17.15" hidden="false" customHeight="false" outlineLevel="0" collapsed="false">
      <c r="A8688" s="0" t="s">
        <v>1114</v>
      </c>
      <c r="B8688" s="0" t="s">
        <v>98</v>
      </c>
      <c r="F8688" s="6" t="n">
        <f aca="false">Sens!F8592</f>
        <v>0</v>
      </c>
      <c r="L8688" s="1" t="s">
        <v>1115</v>
      </c>
    </row>
    <row r="8689" customFormat="false" ht="17.15" hidden="false" customHeight="false" outlineLevel="0" collapsed="false">
      <c r="A8689" s="1" t="s">
        <v>1116</v>
      </c>
      <c r="B8689" s="0" t="s">
        <v>98</v>
      </c>
      <c r="E8689" s="6" t="n">
        <f aca="false">Q!M43</f>
        <v>145.3</v>
      </c>
      <c r="F8689" s="6" t="n">
        <f aca="false">Sens!F8686+Sens!F8687+Sens!F8688</f>
        <v>204.358639466177</v>
      </c>
      <c r="G8689" s="6" t="n">
        <f aca="false">Sens!G8686+Sens!G8687</f>
        <v>233.90175936448</v>
      </c>
      <c r="H8689" s="6" t="n">
        <f aca="false">Sens!H8686+Sens!H8687</f>
        <v>244.90103598638</v>
      </c>
      <c r="I8689" s="6" t="n">
        <f aca="false">Sens!I8686+Sens!I8687</f>
        <v>222.455535969078</v>
      </c>
      <c r="J8689" s="6" t="n">
        <f aca="false">Sens!J8686+Sens!J8687</f>
        <v>187.891038911945</v>
      </c>
      <c r="K8689" s="6" t="n">
        <f aca="false">Sens!K8686+Sens!K8687</f>
        <v>182.448192578074</v>
      </c>
      <c r="L8689" s="1" t="s">
        <v>1117</v>
      </c>
    </row>
    <row r="8690" customFormat="false" ht="15" hidden="false" customHeight="false" outlineLevel="0" collapsed="false">
      <c r="A8690" s="1" t="s">
        <v>1118</v>
      </c>
      <c r="B8690" s="0" t="s">
        <v>98</v>
      </c>
      <c r="E8690" s="6" t="n">
        <f aca="false">fl_liab</f>
        <v>66.594</v>
      </c>
      <c r="F8690" s="6" t="n">
        <f aca="false">Sens!E8690-Sens!F8691</f>
        <v>62.46973</v>
      </c>
      <c r="G8690" s="6" t="n">
        <f aca="false">Sens!F8690-Sens!G8691</f>
        <v>57.98686785</v>
      </c>
      <c r="H8690" s="6" t="n">
        <f aca="false">Sens!G8690-Sens!H8691</f>
        <v>53.92827690325</v>
      </c>
      <c r="I8690" s="6" t="n">
        <f aca="false">Sens!H8690-Sens!I8691</f>
        <v>49.7850493638962</v>
      </c>
      <c r="J8690" s="6" t="n">
        <f aca="false">Sens!I8690-Sens!J8691</f>
        <v>45.4823765852716</v>
      </c>
      <c r="K8690" s="6" t="n">
        <f aca="false">Sens!J8690-Sens!K8691</f>
        <v>40.9860835316088</v>
      </c>
    </row>
    <row r="8691" customFormat="false" ht="15" hidden="false" customHeight="false" outlineLevel="0" collapsed="false">
      <c r="A8691" s="1" t="s">
        <v>1119</v>
      </c>
      <c r="B8691" s="0" t="s">
        <v>98</v>
      </c>
      <c r="F8691" s="6" t="n">
        <f aca="false">fl_pay_27-Sens!E8690*fl_rate</f>
        <v>4.12427</v>
      </c>
      <c r="G8691" s="6" t="n">
        <f aca="false">fl_pay_28-Sens!F8690*fl_rate</f>
        <v>4.48286215</v>
      </c>
      <c r="H8691" s="6" t="n">
        <f aca="false">fl_pay_29-Sens!G8690*fl_rate</f>
        <v>4.05859094675</v>
      </c>
      <c r="I8691" s="6" t="n">
        <f aca="false">fl_pay_30-Sens!H8690*fl_rate</f>
        <v>4.14322753935375</v>
      </c>
      <c r="J8691" s="6" t="n">
        <f aca="false">fl_pay_31-Sens!I8690*fl_rate</f>
        <v>4.30267277862467</v>
      </c>
      <c r="K8691" s="6" t="n">
        <f aca="false">fl_pay_32-Sens!J8690*fl_rate</f>
        <v>4.49629305366278</v>
      </c>
    </row>
    <row r="8692" customFormat="false" ht="17.15" hidden="false" customHeight="false" outlineLevel="0" collapsed="false">
      <c r="A8692" s="1" t="s">
        <v>1120</v>
      </c>
      <c r="B8692" s="0" t="s">
        <v>98</v>
      </c>
      <c r="E8692" s="6" t="n">
        <f aca="false">Q!M35-Q!M36-Q!M44</f>
        <v>63.886</v>
      </c>
      <c r="F8692" s="6" t="n">
        <f aca="false">Sens!F8685-Sens!F8689-Sens!F8691</f>
        <v>15.0098168693808</v>
      </c>
      <c r="G8692" s="6" t="n">
        <f aca="false">Sens!G8685-Sens!G8689-Sens!G8691</f>
        <v>36.0051912904268</v>
      </c>
      <c r="H8692" s="6" t="n">
        <f aca="false">Sens!H8685-Sens!H8689-Sens!H8691</f>
        <v>88.4668689728989</v>
      </c>
      <c r="I8692" s="6" t="n">
        <f aca="false">Sens!I8685-Sens!I8689-Sens!I8691</f>
        <v>163.606946559304</v>
      </c>
      <c r="J8692" s="6" t="n">
        <f aca="false">Sens!J8685-Sens!J8689-Sens!J8691</f>
        <v>240.069065229907</v>
      </c>
      <c r="K8692" s="6" t="n">
        <f aca="false">Sens!K8685-Sens!K8689-Sens!K8691</f>
        <v>278.505315043406</v>
      </c>
      <c r="L8692" s="12" t="s">
        <v>1121</v>
      </c>
    </row>
    <row r="8693" customFormat="false" ht="15" hidden="false" customHeight="false" outlineLevel="0" collapsed="false">
      <c r="A8693" s="1" t="s">
        <v>1122</v>
      </c>
      <c r="B8693" s="0" t="s">
        <v>75</v>
      </c>
      <c r="F8693" s="8" t="n">
        <f aca="false">dps_27</f>
        <v>3.85</v>
      </c>
      <c r="G8693" s="8" t="n">
        <f aca="false">Sens!F8693*(1+dps_g)</f>
        <v>4.158</v>
      </c>
      <c r="H8693" s="8" t="n">
        <f aca="false">Sens!G8693*(1+dps_g)</f>
        <v>4.49064</v>
      </c>
      <c r="I8693" s="8" t="n">
        <f aca="false">Sens!H8693*(1+dps_g)</f>
        <v>4.8498912</v>
      </c>
      <c r="J8693" s="8" t="n">
        <f aca="false">Sens!I8693*(1+dps_g)</f>
        <v>5.237882496</v>
      </c>
      <c r="K8693" s="8" t="n">
        <f aca="false">Sens!J8693*(1+dps_g)</f>
        <v>5.65691309568</v>
      </c>
    </row>
    <row r="8694" customFormat="false" ht="17.15" hidden="false" customHeight="false" outlineLevel="0" collapsed="false">
      <c r="A8694" s="1" t="s">
        <v>1123</v>
      </c>
      <c r="B8694" s="0" t="s">
        <v>98</v>
      </c>
      <c r="E8694" s="6" t="n">
        <f aca="false">Q!M41</f>
        <v>26.445</v>
      </c>
      <c r="F8694" s="6" t="n">
        <f aca="false">Sens!F8693*Sens!E8703</f>
        <v>28.59395</v>
      </c>
      <c r="G8694" s="6" t="n">
        <f aca="false">Sens!G8693*Sens!F8703</f>
        <v>31.0383701166124</v>
      </c>
      <c r="H8694" s="6" t="n">
        <f aca="false">Sens!H8693*Sens!G8703</f>
        <v>33.6860946787368</v>
      </c>
      <c r="I8694" s="6" t="n">
        <f aca="false">Sens!I8693*Sens!H8703</f>
        <v>36.4314205301084</v>
      </c>
      <c r="J8694" s="6" t="n">
        <f aca="false">Sens!J8693*Sens!I8703</f>
        <v>39.4138320579097</v>
      </c>
      <c r="K8694" s="6" t="n">
        <f aca="false">Sens!K8693*Sens!J8703</f>
        <v>42.6536928849207</v>
      </c>
      <c r="L8694" s="1" t="s">
        <v>1124</v>
      </c>
    </row>
    <row r="8695" customFormat="false" ht="15" hidden="false" customHeight="false" outlineLevel="0" collapsed="false">
      <c r="A8695" s="1" t="s">
        <v>1125</v>
      </c>
      <c r="B8695" s="0" t="s">
        <v>98</v>
      </c>
      <c r="E8695" s="6" t="n">
        <f aca="false">Sens!E8692-Sens!E8694</f>
        <v>37.441</v>
      </c>
      <c r="F8695" s="6" t="n">
        <f aca="false">Sens!F8692-Sens!F8694</f>
        <v>-13.5841331306192</v>
      </c>
      <c r="G8695" s="6" t="n">
        <f aca="false">Sens!G8692-Sens!G8694</f>
        <v>4.96682117381441</v>
      </c>
      <c r="H8695" s="6" t="n">
        <f aca="false">Sens!H8692-Sens!H8694</f>
        <v>54.7807742941621</v>
      </c>
      <c r="I8695" s="6" t="n">
        <f aca="false">Sens!I8692-Sens!I8694</f>
        <v>127.175526029195</v>
      </c>
      <c r="J8695" s="6" t="n">
        <f aca="false">Sens!J8692-Sens!J8694</f>
        <v>200.655233171997</v>
      </c>
      <c r="K8695" s="6" t="n">
        <f aca="false">Sens!K8692-Sens!K8694</f>
        <v>235.851622158486</v>
      </c>
    </row>
    <row r="8696" customFormat="false" ht="15" hidden="false" customHeight="false" outlineLevel="0" collapsed="false">
      <c r="A8696" s="1" t="s">
        <v>1126</v>
      </c>
      <c r="B8696" s="0" t="s">
        <v>98</v>
      </c>
      <c r="F8696" s="6" t="n">
        <f aca="false">debt_mat_27</f>
        <v>9.25</v>
      </c>
      <c r="G8696" s="6" t="n">
        <f aca="false">debt_mat_28</f>
        <v>0</v>
      </c>
      <c r="H8696" s="6" t="n">
        <f aca="false">debt_mat_29</f>
        <v>2.001</v>
      </c>
      <c r="I8696" s="6" t="n">
        <f aca="false">debt_mat_30</f>
        <v>0</v>
      </c>
      <c r="J8696" s="6" t="n">
        <f aca="false">debt_mat_31</f>
        <v>0.5</v>
      </c>
      <c r="K8696" s="6" t="n">
        <f aca="false">debt_mat_32</f>
        <v>0</v>
      </c>
    </row>
    <row r="8697" customFormat="false" ht="15" hidden="false" customHeight="false" outlineLevel="0" collapsed="false">
      <c r="A8697" s="1" t="s">
        <v>1127</v>
      </c>
      <c r="B8697" s="0" t="s">
        <v>98</v>
      </c>
      <c r="E8697" s="6" t="n">
        <f aca="false">Q!M40</f>
        <v>22.271</v>
      </c>
      <c r="F8697" s="6" t="n">
        <f aca="false">MAX(0,MIN(bb_target,Sens!E8699+Sens!F8695-Sens!F8696-min_cash))</f>
        <v>4.00886686938081</v>
      </c>
      <c r="G8697" s="6" t="n">
        <f aca="false">MAX(0,MIN(bb_target,Sens!F8699+Sens!G8695-Sens!G8696-min_cash))</f>
        <v>4.96682117381441</v>
      </c>
      <c r="H8697" s="6" t="n">
        <f aca="false">MAX(0,MIN(bb_target,Sens!G8699+Sens!H8695-Sens!H8696-min_cash))</f>
        <v>22.271</v>
      </c>
      <c r="I8697" s="6" t="n">
        <f aca="false">MAX(0,MIN(bb_target,Sens!H8699+Sens!I8695-Sens!I8696-min_cash))</f>
        <v>22.271</v>
      </c>
      <c r="J8697" s="6" t="n">
        <f aca="false">MAX(0,MIN(bb_target,Sens!I8699+Sens!J8695-Sens!J8696-min_cash))</f>
        <v>22.271</v>
      </c>
      <c r="K8697" s="6" t="n">
        <f aca="false">MAX(0,MIN(bb_target,Sens!J8699+Sens!K8695-Sens!K8696-min_cash))</f>
        <v>22.271</v>
      </c>
    </row>
    <row r="8698" customFormat="false" ht="15" hidden="false" customHeight="false" outlineLevel="0" collapsed="false">
      <c r="A8698" s="1" t="s">
        <v>1128</v>
      </c>
      <c r="B8698" s="0" t="s">
        <v>98</v>
      </c>
      <c r="F8698" s="6" t="n">
        <f aca="false">MAX(0,min_cash-(Sens!E8699+Sens!F8695-Sens!F8696-Sens!F8697))</f>
        <v>0</v>
      </c>
      <c r="G8698" s="6" t="n">
        <f aca="false">MAX(0,min_cash-(Sens!F8699+Sens!G8695-Sens!G8696-Sens!G8697))</f>
        <v>0</v>
      </c>
      <c r="H8698" s="6" t="n">
        <f aca="false">MAX(0,min_cash-(Sens!G8699+Sens!H8695-Sens!H8696-Sens!H8697))</f>
        <v>0</v>
      </c>
      <c r="I8698" s="6" t="n">
        <f aca="false">MAX(0,min_cash-(Sens!H8699+Sens!I8695-Sens!I8696-Sens!I8697))</f>
        <v>0</v>
      </c>
      <c r="J8698" s="6" t="n">
        <f aca="false">MAX(0,min_cash-(Sens!I8699+Sens!J8695-Sens!J8696-Sens!J8697))</f>
        <v>0</v>
      </c>
      <c r="K8698" s="6" t="n">
        <f aca="false">MAX(0,min_cash-(Sens!J8699+Sens!K8695-Sens!K8696-Sens!K8697))</f>
        <v>0</v>
      </c>
    </row>
    <row r="8699" customFormat="false" ht="15" hidden="false" customHeight="false" outlineLevel="0" collapsed="false">
      <c r="A8699" s="1" t="s">
        <v>1129</v>
      </c>
      <c r="B8699" s="0" t="s">
        <v>98</v>
      </c>
      <c r="E8699" s="6" t="n">
        <f aca="false">cash_open</f>
        <v>76.843</v>
      </c>
      <c r="F8699" s="6" t="n">
        <f aca="false">Sens!E8699+Sens!F8695-Sens!F8696-Sens!F8697+Sens!F8698</f>
        <v>50</v>
      </c>
      <c r="G8699" s="6" t="n">
        <f aca="false">Sens!F8699+Sens!G8695-Sens!G8696-Sens!G8697+Sens!G8698</f>
        <v>50</v>
      </c>
      <c r="H8699" s="6" t="n">
        <f aca="false">Sens!G8699+Sens!H8695-Sens!H8696-Sens!H8697+Sens!H8698</f>
        <v>80.5087742941621</v>
      </c>
      <c r="I8699" s="6" t="n">
        <f aca="false">Sens!H8699+Sens!I8695-Sens!I8696-Sens!I8697+Sens!I8698</f>
        <v>185.413300323357</v>
      </c>
      <c r="J8699" s="6" t="n">
        <f aca="false">Sens!I8699+Sens!J8695-Sens!J8696-Sens!J8697+Sens!J8698</f>
        <v>363.297533495355</v>
      </c>
      <c r="K8699" s="6" t="n">
        <f aca="false">Sens!J8699+Sens!K8695-Sens!K8696-Sens!K8697+Sens!K8698</f>
        <v>576.878155653841</v>
      </c>
    </row>
    <row r="8700" customFormat="false" ht="15" hidden="false" customHeight="false" outlineLevel="0" collapsed="false">
      <c r="A8700" s="1" t="s">
        <v>1130</v>
      </c>
      <c r="B8700" s="0" t="s">
        <v>98</v>
      </c>
      <c r="E8700" s="6" t="n">
        <f aca="false">debt_face</f>
        <v>46.136</v>
      </c>
      <c r="F8700" s="6" t="n">
        <f aca="false">Sens!E8700-Sens!F8696+Sens!F8698</f>
        <v>36.886</v>
      </c>
      <c r="G8700" s="6" t="n">
        <f aca="false">Sens!F8700-Sens!G8696+Sens!G8698</f>
        <v>36.886</v>
      </c>
      <c r="H8700" s="6" t="n">
        <f aca="false">Sens!G8700-Sens!H8696+Sens!H8698</f>
        <v>34.885</v>
      </c>
      <c r="I8700" s="6" t="n">
        <f aca="false">Sens!H8700-Sens!I8696+Sens!I8698</f>
        <v>34.885</v>
      </c>
      <c r="J8700" s="6" t="n">
        <f aca="false">Sens!I8700-Sens!J8696+Sens!J8698</f>
        <v>34.385</v>
      </c>
      <c r="K8700" s="6" t="n">
        <f aca="false">Sens!J8700-Sens!K8696+Sens!K8698</f>
        <v>34.385</v>
      </c>
    </row>
    <row r="8701" customFormat="false" ht="15" hidden="false" customHeight="false" outlineLevel="0" collapsed="false">
      <c r="A8701" s="1" t="s">
        <v>1131</v>
      </c>
      <c r="B8701" s="0" t="s">
        <v>98</v>
      </c>
      <c r="E8701" s="6" t="n">
        <f aca="false">Sens!E8699-Sens!E8700</f>
        <v>30.707</v>
      </c>
      <c r="F8701" s="6" t="n">
        <f aca="false">Sens!F8699-Sens!F8700</f>
        <v>13.114</v>
      </c>
      <c r="G8701" s="6" t="n">
        <f aca="false">Sens!G8699-Sens!G8700</f>
        <v>13.114</v>
      </c>
      <c r="H8701" s="6" t="n">
        <f aca="false">Sens!H8699-Sens!H8700</f>
        <v>45.6237742941621</v>
      </c>
      <c r="I8701" s="6" t="n">
        <f aca="false">Sens!I8699-Sens!I8700</f>
        <v>150.528300323357</v>
      </c>
      <c r="J8701" s="6" t="n">
        <f aca="false">Sens!J8699-Sens!J8700</f>
        <v>328.912533495355</v>
      </c>
      <c r="K8701" s="6" t="n">
        <f aca="false">Sens!K8699-Sens!K8700</f>
        <v>542.493155653841</v>
      </c>
    </row>
    <row r="8702" customFormat="false" ht="15" hidden="false" customHeight="false" outlineLevel="0" collapsed="false">
      <c r="A8702" s="1" t="s">
        <v>1132</v>
      </c>
      <c r="B8702" s="0" t="s">
        <v>75</v>
      </c>
      <c r="F8702" s="30" t="n">
        <f aca="false">px*(1+bb_g)^(Sens!F8560-base_fy-mid_yr)</f>
        <v>551.84177959629</v>
      </c>
      <c r="G8702" s="30" t="n">
        <f aca="false">px*(1+bb_g)^(Sens!G8560-base_fy-mid_yr)</f>
        <v>595.989121963993</v>
      </c>
      <c r="H8702" s="30" t="n">
        <f aca="false">px*(1+bb_g)^(Sens!H8560-base_fy-mid_yr)</f>
        <v>643.668251721112</v>
      </c>
      <c r="I8702" s="30" t="n">
        <f aca="false">px*(1+bb_g)^(Sens!I8560-base_fy-mid_yr)</f>
        <v>695.161711858801</v>
      </c>
      <c r="J8702" s="30" t="n">
        <f aca="false">px*(1+bb_g)^(Sens!J8560-base_fy-mid_yr)</f>
        <v>750.774648807506</v>
      </c>
      <c r="K8702" s="30" t="n">
        <f aca="false">px*(1+bb_g)^(Sens!K8560-base_fy-mid_yr)</f>
        <v>810.836620712106</v>
      </c>
    </row>
    <row r="8703" customFormat="false" ht="15" hidden="false" customHeight="false" outlineLevel="0" collapsed="false">
      <c r="A8703" s="1" t="s">
        <v>1133</v>
      </c>
      <c r="B8703" s="1" t="s">
        <v>81</v>
      </c>
      <c r="E8703" s="15" t="n">
        <f aca="false">sh_out26</f>
        <v>7.427</v>
      </c>
      <c r="F8703" s="15" t="n">
        <f aca="false">Sens!E8703+sh_iss-Sens!F8697/Sens!F8702</f>
        <v>7.46473547778076</v>
      </c>
      <c r="G8703" s="15" t="n">
        <f aca="false">Sens!F8703+sh_iss-Sens!G8697/Sens!G8702</f>
        <v>7.50140173310192</v>
      </c>
      <c r="H8703" s="15" t="n">
        <f aca="false">Sens!G8703+sh_iss-Sens!H8697/Sens!H8702</f>
        <v>7.51180161115952</v>
      </c>
      <c r="I8703" s="15" t="n">
        <f aca="false">Sens!H8703+sh_iss-Sens!I8697/Sens!I8702</f>
        <v>7.52476446121286</v>
      </c>
      <c r="J8703" s="15" t="n">
        <f aca="false">Sens!I8703+sh_iss-Sens!J8697/Sens!J8702</f>
        <v>7.54010043348447</v>
      </c>
      <c r="K8703" s="15" t="n">
        <f aca="false">Sens!J8703+sh_iss-Sens!K8697/Sens!K8702</f>
        <v>7.55763374114336</v>
      </c>
    </row>
    <row r="8704" customFormat="false" ht="15" hidden="false" customHeight="false" outlineLevel="0" collapsed="false">
      <c r="A8704" s="1" t="s">
        <v>1134</v>
      </c>
      <c r="B8704" s="1" t="s">
        <v>81</v>
      </c>
      <c r="E8704" s="15" t="n">
        <f aca="false">sh_dil26</f>
        <v>7.453</v>
      </c>
      <c r="F8704" s="15" t="n">
        <f aca="false">(Sens!E8703+Sens!F8703)/2+dil_gap</f>
        <v>7.46986773889038</v>
      </c>
      <c r="G8704" s="15" t="n">
        <f aca="false">(Sens!F8703+Sens!G8703)/2+dil_gap</f>
        <v>7.50706860544134</v>
      </c>
      <c r="H8704" s="15" t="n">
        <f aca="false">(Sens!G8703+Sens!H8703)/2+dil_gap</f>
        <v>7.53060167213072</v>
      </c>
      <c r="I8704" s="15" t="n">
        <f aca="false">(Sens!H8703+Sens!I8703)/2+dil_gap</f>
        <v>7.54228303618619</v>
      </c>
      <c r="J8704" s="15" t="n">
        <f aca="false">(Sens!I8703+Sens!J8703)/2+dil_gap</f>
        <v>7.55643244734866</v>
      </c>
      <c r="K8704" s="15" t="n">
        <f aca="false">(Sens!J8703+Sens!K8703)/2+dil_gap</f>
        <v>7.57286708731392</v>
      </c>
    </row>
    <row r="8705" customFormat="false" ht="17.15" hidden="false" customHeight="false" outlineLevel="0" collapsed="false">
      <c r="A8705" s="1" t="s">
        <v>1135</v>
      </c>
      <c r="B8705" s="0" t="s">
        <v>98</v>
      </c>
      <c r="C8705" s="6" t="n">
        <f aca="false">SUM(Sens!F8695:J8695)</f>
        <v>373.99422153855</v>
      </c>
    </row>
    <row r="8706" customFormat="false" ht="15" hidden="false" customHeight="false" outlineLevel="0" collapsed="false">
      <c r="A8706" s="26" t="s">
        <v>1100</v>
      </c>
      <c r="B8706" s="31" t="s">
        <v>98</v>
      </c>
      <c r="C8706" s="27" t="n">
        <f aca="false">Sens!$C$8705-(Sens!F8695+Sens!G8695+Sens!H8695+Sens!I8695+Sens!J8695)</f>
        <v>0</v>
      </c>
      <c r="D8706" s="31"/>
      <c r="E8706" s="31"/>
      <c r="F8706" s="31"/>
      <c r="G8706" s="31"/>
      <c r="H8706" s="31"/>
      <c r="I8706" s="31"/>
      <c r="J8706" s="31"/>
      <c r="K8706" s="31"/>
    </row>
    <row r="8707" customFormat="false" ht="17.15" hidden="false" customHeight="false" outlineLevel="0" collapsed="false">
      <c r="A8707" s="1" t="s">
        <v>1094</v>
      </c>
      <c r="B8707" s="1" t="s">
        <v>1136</v>
      </c>
      <c r="C8707" s="33" t="str">
        <f aca="false">IF(SUM(Sens!F8698:J8698)&gt;0.05,"需要舉債 "&amp;TEXT(SUM(Sens!F8698:J8698),"0.0")&amp;" 十億美元","不需舉債")&amp;"；"&amp;IF(SUM(Sens!F8697:J8697)&lt;COUNT(Sens!F8697:J8697)*bb_target-0.05,"回購較每年 "&amp;TEXT(bb_target,"0.0")&amp;" 的目標少 "&amp;TEXT(COUNT(Sens!F8697:J8697)*bb_target-SUM(Sens!F8697:J8697),"0.0")&amp;" 十億美元（"&amp;TEXT(COUNTIF(Sens!F8697:J8697,"&lt;"&amp;(bb_target-0.05)),"0")&amp;" 年減少）","回購不減")</f>
        <v>不需舉債；回購較每年 22.3 的目標少 35.6 十億美元（2 年減少）</v>
      </c>
    </row>
    <row r="8708" customFormat="false" ht="17.15" hidden="false" customHeight="false" outlineLevel="0" collapsed="false">
      <c r="A8708" s="3" t="s">
        <v>1829</v>
      </c>
    </row>
    <row r="8709" customFormat="false" ht="15" hidden="false" customHeight="false" outlineLevel="0" collapsed="false">
      <c r="A8709" s="4" t="s">
        <v>43</v>
      </c>
      <c r="B8709" s="4" t="s">
        <v>65</v>
      </c>
      <c r="C8709" s="23" t="s">
        <v>942</v>
      </c>
      <c r="D8709" s="23" t="s">
        <v>943</v>
      </c>
      <c r="E8709" s="23" t="s">
        <v>944</v>
      </c>
      <c r="F8709" s="23" t="s">
        <v>945</v>
      </c>
      <c r="G8709" s="23" t="s">
        <v>946</v>
      </c>
      <c r="H8709" s="23" t="s">
        <v>947</v>
      </c>
      <c r="I8709" s="23" t="s">
        <v>948</v>
      </c>
      <c r="J8709" s="23" t="s">
        <v>949</v>
      </c>
      <c r="K8709" s="23" t="s">
        <v>950</v>
      </c>
      <c r="L8709" s="4" t="s">
        <v>47</v>
      </c>
    </row>
    <row r="8710" customFormat="false" ht="17.15" hidden="false" customHeight="false" outlineLevel="0" collapsed="false">
      <c r="A8710" s="1" t="s">
        <v>1216</v>
      </c>
      <c r="B8710" s="1" t="s">
        <v>279</v>
      </c>
      <c r="F8710" s="8" t="n">
        <f aca="false">(1-v_off)*mid_yr</f>
        <v>0.373972602739726</v>
      </c>
      <c r="G8710" s="8" t="n">
        <f aca="false">Sens!G8560-base_fy-mid_yr-v_off</f>
        <v>1.24794520547945</v>
      </c>
      <c r="H8710" s="8" t="n">
        <f aca="false">Sens!H8560-base_fy-mid_yr-v_off</f>
        <v>2.24794520547945</v>
      </c>
      <c r="I8710" s="8" t="n">
        <f aca="false">Sens!I8560-base_fy-mid_yr-v_off</f>
        <v>3.24794520547945</v>
      </c>
      <c r="J8710" s="8" t="n">
        <f aca="false">Sens!J8560-base_fy-mid_yr-v_off</f>
        <v>4.24794520547945</v>
      </c>
      <c r="K8710" s="8" t="n">
        <f aca="false">Sens!K8560-base_fy-mid_yr-v_off</f>
        <v>5.24794520547945</v>
      </c>
      <c r="L8710" s="12" t="s">
        <v>1217</v>
      </c>
    </row>
    <row r="8711" customFormat="false" ht="15" hidden="false" customHeight="false" outlineLevel="0" collapsed="false">
      <c r="A8711" s="1" t="s">
        <v>1218</v>
      </c>
      <c r="B8711" s="1" t="s">
        <v>279</v>
      </c>
      <c r="F8711" s="8" t="n">
        <f aca="false">Sens!F8560-base_fy-v_off</f>
        <v>0.747945205479452</v>
      </c>
      <c r="G8711" s="8" t="n">
        <f aca="false">Sens!G8560-base_fy-v_off</f>
        <v>1.74794520547945</v>
      </c>
      <c r="H8711" s="8" t="n">
        <f aca="false">Sens!H8560-base_fy-v_off</f>
        <v>2.74794520547945</v>
      </c>
      <c r="I8711" s="8" t="n">
        <f aca="false">Sens!I8560-base_fy-v_off</f>
        <v>3.74794520547945</v>
      </c>
      <c r="J8711" s="8" t="n">
        <f aca="false">Sens!J8560-base_fy-v_off</f>
        <v>4.74794520547945</v>
      </c>
      <c r="K8711" s="8" t="n">
        <f aca="false">Sens!K8560-base_fy-v_off</f>
        <v>5.74794520547945</v>
      </c>
    </row>
    <row r="8712" customFormat="false" ht="15" hidden="false" customHeight="false" outlineLevel="0" collapsed="false">
      <c r="A8712" s="1" t="s">
        <v>1219</v>
      </c>
      <c r="B8712" s="0" t="s">
        <v>229</v>
      </c>
      <c r="F8712" s="15" t="n">
        <f aca="false">1/(1+wacc)^Sens!F8710</f>
        <v>0.964022703286649</v>
      </c>
      <c r="G8712" s="15" t="n">
        <f aca="false">1/(1+wacc)^Sens!G8710</f>
        <v>0.884910302296739</v>
      </c>
      <c r="H8712" s="15" t="n">
        <f aca="false">1/(1+wacc)^Sens!H8710</f>
        <v>0.802322009770358</v>
      </c>
      <c r="I8712" s="15" t="n">
        <f aca="false">1/(1+wacc)^Sens!I8710</f>
        <v>0.727441646561469</v>
      </c>
      <c r="J8712" s="15" t="n">
        <f aca="false">1/(1+wacc)^Sens!J8710</f>
        <v>0.659549834988973</v>
      </c>
      <c r="K8712" s="15" t="n">
        <f aca="false">1/(1+wacc)^Sens!K8710</f>
        <v>0.597994336576966</v>
      </c>
    </row>
    <row r="8713" customFormat="false" ht="17.15" hidden="false" customHeight="false" outlineLevel="0" collapsed="false">
      <c r="A8713" s="1" t="s">
        <v>1220</v>
      </c>
      <c r="B8713" s="0" t="s">
        <v>98</v>
      </c>
      <c r="F8713" s="6" t="n">
        <f aca="false">Q!$I$35-Q!$I$39-Q!$I$43</f>
        <v>9.666</v>
      </c>
      <c r="L8713" s="12" t="s">
        <v>1221</v>
      </c>
    </row>
    <row r="8714" customFormat="false" ht="17.15" hidden="false" customHeight="false" outlineLevel="0" collapsed="false">
      <c r="A8714" s="1" t="s">
        <v>1222</v>
      </c>
      <c r="B8714" s="0" t="s">
        <v>98</v>
      </c>
      <c r="F8714" s="6" t="n">
        <f aca="false">Sens!F8685-Sens!F8682-Sens!F8689+Sens!F8667*(1-tax_f)*(1-v_off)-Sens!F8713</f>
        <v>-1.28404725695865</v>
      </c>
      <c r="G8714" s="6" t="n">
        <f aca="false">Sens!G8685-Sens!G8682-Sens!G8689+Sens!G8667*(1-tax_f)</f>
        <v>38.0716164742164</v>
      </c>
      <c r="H8714" s="6" t="n">
        <f aca="false">Sens!H8685-Sens!H8682-Sens!H8689+Sens!H8667*(1-tax_f)</f>
        <v>97.8884859454196</v>
      </c>
      <c r="I8714" s="6" t="n">
        <f aca="false">Sens!I8685-Sens!I8682-Sens!I8689+Sens!I8667*(1-tax_f)</f>
        <v>180.717938929113</v>
      </c>
      <c r="J8714" s="6" t="n">
        <f aca="false">Sens!J8685-Sens!J8682-Sens!J8689+Sens!J8667*(1-tax_f)</f>
        <v>262.38820095539</v>
      </c>
      <c r="K8714" s="6" t="n">
        <f aca="false">Sens!K8685-Sens!K8682-Sens!K8689+Sens!K8667*(1-tax_f)</f>
        <v>302.64612457976</v>
      </c>
      <c r="L8714" s="1" t="s">
        <v>1223</v>
      </c>
    </row>
    <row r="8715" customFormat="false" ht="15" hidden="false" customHeight="false" outlineLevel="0" collapsed="false">
      <c r="A8715" s="1" t="s">
        <v>1224</v>
      </c>
      <c r="B8715" s="0" t="s">
        <v>98</v>
      </c>
      <c r="F8715" s="6" t="n">
        <f aca="false">Sens!F8714*Sens!F8712</f>
        <v>-1.23785070780108</v>
      </c>
      <c r="G8715" s="6" t="n">
        <f aca="false">Sens!G8714*Sens!G8712</f>
        <v>33.6899656431243</v>
      </c>
      <c r="H8715" s="6" t="n">
        <f aca="false">Sens!H8714*Sens!H8712</f>
        <v>78.5380867771065</v>
      </c>
      <c r="I8715" s="6" t="n">
        <f aca="false">Sens!I8714*Sens!I8712</f>
        <v>131.461755057789</v>
      </c>
      <c r="J8715" s="6" t="n">
        <f aca="false">Sens!J8714*Sens!J8712</f>
        <v>173.058094643181</v>
      </c>
      <c r="K8715" s="6" t="n">
        <f aca="false">Sens!K8714*Sens!K8712</f>
        <v>180.980668485663</v>
      </c>
    </row>
    <row r="8716" customFormat="false" ht="17.15" hidden="false" customHeight="false" outlineLevel="0" collapsed="false">
      <c r="A8716" s="1" t="s">
        <v>1225</v>
      </c>
      <c r="B8716" s="0" t="s">
        <v>98</v>
      </c>
      <c r="C8716" s="6" t="n">
        <f aca="false">SUM(Sens!F8715:K8715)</f>
        <v>596.490719899063</v>
      </c>
    </row>
    <row r="8717" customFormat="false" ht="17.15" hidden="false" customHeight="false" outlineLevel="0" collapsed="false">
      <c r="A8717" s="1" t="s">
        <v>1226</v>
      </c>
      <c r="B8717" s="0" t="s">
        <v>98</v>
      </c>
      <c r="C8717" s="6" t="n">
        <f aca="false">Sens!K8653*(1+g_tv)*(1-tax_f)</f>
        <v>316.038244308152</v>
      </c>
    </row>
    <row r="8718" customFormat="false" ht="17.15" hidden="false" customHeight="false" outlineLevel="0" collapsed="false">
      <c r="A8718" s="1" t="s">
        <v>1227</v>
      </c>
      <c r="B8718" s="0" t="s">
        <v>98</v>
      </c>
      <c r="C8718" s="6" t="n">
        <f aca="false">Sens!$C$8717*(1-g_tv/(wacc+ronic_prem))</f>
        <v>223.931567351506</v>
      </c>
    </row>
    <row r="8719" customFormat="false" ht="17.15" hidden="false" customHeight="false" outlineLevel="0" collapsed="false">
      <c r="A8719" s="1" t="s">
        <v>1228</v>
      </c>
      <c r="B8719" s="0" t="s">
        <v>98</v>
      </c>
      <c r="C8719" s="6" t="n">
        <f aca="false">Sens!$C$8718/(wacc-g_tv)</f>
        <v>3070.22256522154</v>
      </c>
    </row>
    <row r="8720" customFormat="false" ht="15" hidden="false" customHeight="false" outlineLevel="0" collapsed="false">
      <c r="A8720" s="1" t="s">
        <v>1229</v>
      </c>
      <c r="B8720" s="0" t="s">
        <v>98</v>
      </c>
      <c r="C8720" s="6" t="n">
        <f aca="false">Sens!$C$8719/(1+wacc)^Sens!K8711</f>
        <v>1748.20218094037</v>
      </c>
    </row>
    <row r="8721" customFormat="false" ht="17.15" hidden="false" customHeight="false" outlineLevel="0" collapsed="false">
      <c r="A8721" s="0" t="s">
        <v>1230</v>
      </c>
      <c r="B8721" s="0" t="s">
        <v>98</v>
      </c>
      <c r="C8721" s="6" t="n">
        <f aca="false">Sens!$C$8716+Sens!$C$8720</f>
        <v>2344.69290083943</v>
      </c>
    </row>
    <row r="8722" customFormat="false" ht="15" hidden="false" customHeight="false" outlineLevel="0" collapsed="false">
      <c r="A8722" s="1" t="s">
        <v>1145</v>
      </c>
      <c r="B8722" s="0" t="s">
        <v>168</v>
      </c>
      <c r="C8722" s="7" t="n">
        <f aca="false">Sens!$C$8720/Sens!$C$8721</f>
        <v>0.745599639216926</v>
      </c>
    </row>
    <row r="8723" customFormat="false" ht="17.15" hidden="false" customHeight="false" outlineLevel="0" collapsed="false">
      <c r="A8723" s="1" t="s">
        <v>1231</v>
      </c>
      <c r="B8723" s="0" t="s">
        <v>98</v>
      </c>
      <c r="C8723" s="6" t="n">
        <f aca="false">Sens!$C$8721+cash_val-debt_val-fl_val+oai_v</f>
        <v>2460.54390083943</v>
      </c>
    </row>
    <row r="8724" customFormat="false" ht="17.15" hidden="false" customHeight="false" outlineLevel="0" collapsed="false">
      <c r="A8724" s="0" t="s">
        <v>1153</v>
      </c>
      <c r="B8724" s="0" t="s">
        <v>75</v>
      </c>
      <c r="C8724" s="5" t="n">
        <f aca="false">Sens!$C$8723/shd_val</f>
        <v>330.451772876636</v>
      </c>
    </row>
    <row r="8725" customFormat="false" ht="15" hidden="false" customHeight="false" outlineLevel="0" collapsed="false">
      <c r="A8725" s="1" t="s">
        <v>1232</v>
      </c>
      <c r="B8725" s="0" t="s">
        <v>75</v>
      </c>
      <c r="C8725" s="8" t="n">
        <f aca="false">div_rem27+Sens!G8693*roll_div_q/q_per_yr</f>
        <v>3.9795</v>
      </c>
    </row>
    <row r="8726" customFormat="false" ht="17.15" hidden="false" customHeight="false" outlineLevel="0" collapsed="false">
      <c r="A8726" s="0" t="s">
        <v>1233</v>
      </c>
      <c r="B8726" s="0" t="s">
        <v>75</v>
      </c>
      <c r="C8726" s="5" t="n">
        <f aca="false">Sens!$C$8724*(1+wacc)^t_roll-Sens!$C$8725</f>
        <v>363.336088311621</v>
      </c>
    </row>
    <row r="8727" customFormat="false" ht="17.15" hidden="false" customHeight="false" outlineLevel="0" collapsed="false">
      <c r="A8727" s="1" t="s">
        <v>1234</v>
      </c>
      <c r="B8727" s="0" t="s">
        <v>168</v>
      </c>
      <c r="F8727" s="7" t="n">
        <f aca="false">Sens!F8679/(Sens!F8624-Sens!F8579)</f>
        <v>0.0681900417654174</v>
      </c>
      <c r="G8727" s="7" t="n">
        <f aca="false">Sens!G8679/(Sens!G8624-Sens!G8579)</f>
        <v>0.0648581890579543</v>
      </c>
      <c r="H8727" s="7" t="n">
        <f aca="false">Sens!H8679/(Sens!H8624-Sens!H8579)</f>
        <v>0.0630954893114511</v>
      </c>
      <c r="I8727" s="7" t="n">
        <f aca="false">Sens!I8679/(Sens!I8624-Sens!I8579)</f>
        <v>0.0627974327725537</v>
      </c>
      <c r="J8727" s="7" t="n">
        <f aca="false">Sens!J8679/(Sens!J8624-Sens!J8579)</f>
        <v>0.0635727764658781</v>
      </c>
      <c r="K8727" s="7" t="n">
        <f aca="false">Sens!K8679/(Sens!K8624-Sens!K8579)</f>
        <v>0.0649111495713748</v>
      </c>
    </row>
    <row r="8728" customFormat="false" ht="17.15" hidden="false" customHeight="false" outlineLevel="0" collapsed="false">
      <c r="A8728" s="0" t="s">
        <v>1235</v>
      </c>
      <c r="B8728" s="0" t="s">
        <v>98</v>
      </c>
      <c r="F8728" s="6" t="n">
        <f aca="false">Sens!F8609*(al_m365+Sens!F8727+sbc_r)</f>
        <v>85.9329761309837</v>
      </c>
      <c r="G8728" s="6" t="n">
        <f aca="false">Sens!G8609*(al_m365+Sens!G8727+sbc_r)</f>
        <v>101.541032714746</v>
      </c>
      <c r="H8728" s="6" t="n">
        <f aca="false">Sens!H8609*(al_m365+Sens!H8727+sbc_r)</f>
        <v>117.316138597681</v>
      </c>
      <c r="I8728" s="6" t="n">
        <f aca="false">Sens!I8609*(al_m365+Sens!I8727+sbc_r)</f>
        <v>131.276804413824</v>
      </c>
      <c r="J8728" s="6" t="n">
        <f aca="false">Sens!J8609*(al_m365+Sens!J8727+sbc_r)</f>
        <v>143.238565845793</v>
      </c>
      <c r="K8728" s="6" t="n">
        <f aca="false">Sens!K8609*(al_m365+Sens!K8727+sbc_r)</f>
        <v>154.828352728577</v>
      </c>
      <c r="L8728" s="12" t="s">
        <v>1236</v>
      </c>
    </row>
    <row r="8729" customFormat="false" ht="17.15" hidden="false" customHeight="false" outlineLevel="0" collapsed="false">
      <c r="A8729" s="0" t="s">
        <v>1237</v>
      </c>
      <c r="B8729" s="0" t="s">
        <v>98</v>
      </c>
      <c r="F8729" s="6" t="n">
        <f aca="false">Sens!F8610*(al_lic+Sens!F8727+sbc_r)</f>
        <v>32.8412783346554</v>
      </c>
      <c r="G8729" s="6" t="n">
        <f aca="false">Sens!G8610*(al_lic+Sens!G8727+sbc_r)</f>
        <v>34.0986096444995</v>
      </c>
      <c r="H8729" s="6" t="n">
        <f aca="false">Sens!H8610*(al_lic+Sens!H8727+sbc_r)</f>
        <v>35.2788946904949</v>
      </c>
      <c r="I8729" s="6" t="n">
        <f aca="false">Sens!I8610*(al_lic+Sens!I8727+sbc_r)</f>
        <v>36.3658642980172</v>
      </c>
      <c r="J8729" s="6" t="n">
        <f aca="false">Sens!J8610*(al_lic+Sens!J8727+sbc_r)</f>
        <v>37.3303372614016</v>
      </c>
      <c r="K8729" s="6" t="n">
        <f aca="false">Sens!K8610*(al_lic+Sens!K8727+sbc_r)</f>
        <v>38.1368309995764</v>
      </c>
    </row>
    <row r="8730" customFormat="false" ht="17.15" hidden="false" customHeight="false" outlineLevel="0" collapsed="false">
      <c r="A8730" s="0" t="s">
        <v>1238</v>
      </c>
      <c r="B8730" s="0" t="s">
        <v>98</v>
      </c>
      <c r="F8730" s="6" t="n">
        <f aca="false">Sens!F8612*(al_ind+Sens!F8727+sbc_r)</f>
        <v>9.05083165103074</v>
      </c>
      <c r="G8730" s="6" t="n">
        <f aca="false">Sens!G8612*(al_ind+Sens!G8727+sbc_r)</f>
        <v>9.81240224115112</v>
      </c>
      <c r="H8730" s="6" t="n">
        <f aca="false">Sens!H8612*(al_ind+Sens!H8727+sbc_r)</f>
        <v>10.6226906871642</v>
      </c>
      <c r="I8730" s="6" t="n">
        <f aca="false">Sens!I8612*(al_ind+Sens!I8727+sbc_r)</f>
        <v>11.4805474062404</v>
      </c>
      <c r="J8730" s="6" t="n">
        <f aca="false">Sens!J8612*(al_ind+Sens!J8727+sbc_r)</f>
        <v>12.3744835972604</v>
      </c>
      <c r="K8730" s="6" t="n">
        <f aca="false">Sens!K8612*(al_ind+Sens!K8727+sbc_r)</f>
        <v>13.2848943722597</v>
      </c>
    </row>
    <row r="8731" customFormat="false" ht="17.15" hidden="false" customHeight="false" outlineLevel="0" collapsed="false">
      <c r="A8731" s="0" t="s">
        <v>1239</v>
      </c>
      <c r="B8731" s="0" t="s">
        <v>98</v>
      </c>
      <c r="F8731" s="6" t="n">
        <f aca="false">Sens!F8614*(al_fro+Sens!F8727+sbc_r)</f>
        <v>3.5502695587854</v>
      </c>
      <c r="G8731" s="6" t="n">
        <f aca="false">Sens!G8614*(al_fro+Sens!G8727+sbc_r)</f>
        <v>3.75451267907452</v>
      </c>
      <c r="H8731" s="6" t="n">
        <f aca="false">Sens!H8614*(al_fro+Sens!H8727+sbc_r)</f>
        <v>3.98931891884493</v>
      </c>
      <c r="I8731" s="6" t="n">
        <f aca="false">Sens!I8614*(al_fro+Sens!I8727+sbc_r)</f>
        <v>4.25799700096477</v>
      </c>
      <c r="J8731" s="6" t="n">
        <f aca="false">Sens!J8614*(al_fro+Sens!J8727+sbc_r)</f>
        <v>4.56092571974314</v>
      </c>
      <c r="K8731" s="6" t="n">
        <f aca="false">Sens!K8614*(al_fro+Sens!K8727+sbc_r)</f>
        <v>4.89648040261854</v>
      </c>
    </row>
    <row r="8732" customFormat="false" ht="17.15" hidden="false" customHeight="false" outlineLevel="0" collapsed="false">
      <c r="A8732" s="0" t="s">
        <v>1240</v>
      </c>
      <c r="B8732" s="0" t="s">
        <v>98</v>
      </c>
      <c r="F8732" s="6" t="n">
        <f aca="false">Sens!F8617*(al_srch+Sens!F8727+sbc_r)</f>
        <v>11.1772529350608</v>
      </c>
      <c r="G8732" s="6" t="n">
        <f aca="false">Sens!G8617*(al_srch+Sens!G8727+sbc_r)</f>
        <v>12.2320841773926</v>
      </c>
      <c r="H8732" s="6" t="n">
        <f aca="false">Sens!H8617*(al_srch+Sens!H8727+sbc_r)</f>
        <v>13.3363921789664</v>
      </c>
      <c r="I8732" s="6" t="n">
        <f aca="false">Sens!I8617*(al_srch+Sens!I8727+sbc_r)</f>
        <v>14.4821242273249</v>
      </c>
      <c r="J8732" s="6" t="n">
        <f aca="false">Sens!J8617*(al_srch+Sens!J8727+sbc_r)</f>
        <v>15.6471937635283</v>
      </c>
      <c r="K8732" s="6" t="n">
        <f aca="false">Sens!K8617*(al_srch+Sens!K8727+sbc_r)</f>
        <v>16.7983831193388</v>
      </c>
    </row>
    <row r="8733" customFormat="false" ht="17.15" hidden="false" customHeight="false" outlineLevel="0" collapsed="false">
      <c r="A8733" s="0" t="s">
        <v>1241</v>
      </c>
      <c r="B8733" s="0" t="s">
        <v>98</v>
      </c>
      <c r="F8733" s="6" t="n">
        <f aca="false">Sens!F8585-Sens!F8586+Sens!F8667</f>
        <v>43.8366732094049</v>
      </c>
      <c r="G8733" s="6" t="n">
        <f aca="false">Sens!G8585-Sens!G8586+Sens!G8667</f>
        <v>88.5170286768642</v>
      </c>
      <c r="H8733" s="6" t="n">
        <f aca="false">Sens!H8585-Sens!H8586+Sens!H8667</f>
        <v>141.02050115432</v>
      </c>
      <c r="I8733" s="6" t="n">
        <f aca="false">Sens!I8585-Sens!I8586+Sens!I8667</f>
        <v>182.769480827085</v>
      </c>
      <c r="J8733" s="6" t="n">
        <f aca="false">Sens!J8585-Sens!J8586+Sens!J8667</f>
        <v>212.125169075897</v>
      </c>
      <c r="K8733" s="6" t="n">
        <f aca="false">Sens!K8585-Sens!K8586+Sens!K8667</f>
        <v>229.538090938077</v>
      </c>
    </row>
    <row r="8734" customFormat="false" ht="17.15" hidden="false" customHeight="false" outlineLevel="0" collapsed="false">
      <c r="A8734" s="0" t="s">
        <v>1242</v>
      </c>
      <c r="B8734" s="0" t="s">
        <v>98</v>
      </c>
      <c r="F8734" s="6" t="n">
        <f aca="false">Sens!F8646+Sens!F8667+Sens!F8597+Sens!F8727*(Sens!F8616-Sens!F8579)+sbc_r*Sens!F8616</f>
        <v>240.530292488076</v>
      </c>
      <c r="G8734" s="6" t="n">
        <f aca="false">Sens!G8646+Sens!G8667+Sens!G8597+Sens!G8727*(Sens!G8616-Sens!G8579)+sbc_r*Sens!G8616</f>
        <v>311.743377077496</v>
      </c>
      <c r="H8734" s="6" t="n">
        <f aca="false">Sens!H8646+Sens!H8667+Sens!H8597+Sens!H8727*(Sens!H8616-Sens!H8579)+sbc_r*Sens!H8616</f>
        <v>395.390185922269</v>
      </c>
      <c r="I8734" s="6" t="n">
        <f aca="false">Sens!I8646+Sens!I8667+Sens!I8597+Sens!I8727*(Sens!I8616-Sens!I8579)+sbc_r*Sens!I8616</f>
        <v>465.919922004175</v>
      </c>
      <c r="J8734" s="6" t="n">
        <f aca="false">Sens!J8646+Sens!J8667+Sens!J8597+Sens!J8727*(Sens!J8616-Sens!J8579)+sbc_r*Sens!J8616</f>
        <v>520.805685999902</v>
      </c>
      <c r="K8734" s="6" t="n">
        <f aca="false">Sens!K8646+Sens!K8667+Sens!K8597+Sens!K8727*(Sens!K8616-Sens!K8579)+sbc_r*Sens!K8616</f>
        <v>561.321912013031</v>
      </c>
    </row>
    <row r="8735" customFormat="false" ht="17.15" hidden="false" customHeight="false" outlineLevel="0" collapsed="false">
      <c r="A8735" s="0" t="s">
        <v>1243</v>
      </c>
      <c r="B8735" s="0" t="s">
        <v>98</v>
      </c>
      <c r="F8735" s="6" t="n">
        <f aca="false">Sens!F8734-Sens!F8728-Sens!F8729-Sens!F8730-Sens!F8731-Sens!F8733</f>
        <v>65.3182636032161</v>
      </c>
      <c r="G8735" s="6" t="n">
        <f aca="false">Sens!G8734-Sens!G8728-Sens!G8729-Sens!G8730-Sens!G8731-Sens!G8733</f>
        <v>74.0197911211602</v>
      </c>
      <c r="H8735" s="6" t="n">
        <f aca="false">Sens!H8734-Sens!H8728-Sens!H8729-Sens!H8730-Sens!H8731-Sens!H8733</f>
        <v>87.1626418737636</v>
      </c>
      <c r="I8735" s="6" t="n">
        <f aca="false">Sens!I8734-Sens!I8728-Sens!I8729-Sens!I8730-Sens!I8731-Sens!I8733</f>
        <v>99.7692280580442</v>
      </c>
      <c r="J8735" s="6" t="n">
        <f aca="false">Sens!J8734-Sens!J8728-Sens!J8729-Sens!J8730-Sens!J8731-Sens!J8733</f>
        <v>111.176204499807</v>
      </c>
      <c r="K8735" s="6" t="n">
        <f aca="false">Sens!K8734-Sens!K8728-Sens!K8729-Sens!K8730-Sens!K8731-Sens!K8733</f>
        <v>120.637262571922</v>
      </c>
    </row>
    <row r="8736" customFormat="false" ht="17.15" hidden="false" customHeight="false" outlineLevel="0" collapsed="false">
      <c r="A8736" s="0" t="s">
        <v>1244</v>
      </c>
      <c r="B8736" s="0" t="s">
        <v>98</v>
      </c>
      <c r="F8736" s="6" t="n">
        <f aca="false">Sens!F8648+Sens!F8727*Sens!F8623+sbc_r*Sens!F8623</f>
        <v>26.6060170397721</v>
      </c>
      <c r="G8736" s="6" t="n">
        <f aca="false">Sens!G8648+Sens!G8727*Sens!G8623+sbc_r*Sens!G8623</f>
        <v>26.4074560449024</v>
      </c>
      <c r="H8736" s="6" t="n">
        <f aca="false">Sens!H8648+Sens!H8727*Sens!H8623+sbc_r*Sens!H8623</f>
        <v>27.2578721088301</v>
      </c>
      <c r="I8736" s="6" t="n">
        <f aca="false">Sens!I8648+Sens!I8727*Sens!I8623+sbc_r*Sens!I8623</f>
        <v>28.3594332436315</v>
      </c>
      <c r="J8736" s="6" t="n">
        <f aca="false">Sens!J8648+Sens!J8727*Sens!J8623+sbc_r*Sens!J8623</f>
        <v>29.6708924279622</v>
      </c>
      <c r="K8736" s="6" t="n">
        <f aca="false">Sens!K8648+Sens!K8727*Sens!K8623+sbc_r*Sens!K8623</f>
        <v>31.1438678312533</v>
      </c>
    </row>
    <row r="8737" customFormat="false" ht="17.15" hidden="false" customHeight="false" outlineLevel="0" collapsed="false">
      <c r="A8737" s="0" t="s">
        <v>1245</v>
      </c>
      <c r="B8737" s="0" t="s">
        <v>98</v>
      </c>
      <c r="F8737" s="6" t="n">
        <f aca="false">(Sens!F8736-Sens!F8732)*Sens!F8619/(Sens!F8619+Sens!F8621)</f>
        <v>8.71394253478224</v>
      </c>
      <c r="G8737" s="6" t="n">
        <f aca="false">(Sens!G8736-Sens!G8732)*Sens!G8619/(Sens!G8619+Sens!G8621)</f>
        <v>7.86845056232252</v>
      </c>
      <c r="H8737" s="6" t="n">
        <f aca="false">(Sens!H8736-Sens!H8732)*Sens!H8619/(Sens!H8619+Sens!H8621)</f>
        <v>7.62685377949293</v>
      </c>
      <c r="I8737" s="6" t="n">
        <f aca="false">(Sens!I8736-Sens!I8732)*Sens!I8619/(Sens!I8619+Sens!I8621)</f>
        <v>7.53629541374162</v>
      </c>
      <c r="J8737" s="6" t="n">
        <f aca="false">(Sens!J8736-Sens!J8732)*Sens!J8619/(Sens!J8619+Sens!J8621)</f>
        <v>7.58256731021018</v>
      </c>
      <c r="K8737" s="6" t="n">
        <f aca="false">(Sens!K8736-Sens!K8732)*Sens!K8619/(Sens!K8619+Sens!K8621)</f>
        <v>7.75655595777691</v>
      </c>
    </row>
    <row r="8738" customFormat="false" ht="17.15" hidden="false" customHeight="false" outlineLevel="0" collapsed="false">
      <c r="A8738" s="0" t="s">
        <v>1246</v>
      </c>
      <c r="B8738" s="0" t="s">
        <v>98</v>
      </c>
      <c r="F8738" s="6" t="n">
        <f aca="false">Sens!F8736-Sens!F8732-Sens!F8737</f>
        <v>6.71482156992905</v>
      </c>
      <c r="G8738" s="6" t="n">
        <f aca="false">Sens!G8736-Sens!G8732-Sens!G8737</f>
        <v>6.30692130518728</v>
      </c>
      <c r="H8738" s="6" t="n">
        <f aca="false">Sens!H8736-Sens!H8732-Sens!H8737</f>
        <v>6.29462615037071</v>
      </c>
      <c r="I8738" s="6" t="n">
        <f aca="false">Sens!I8736-Sens!I8732-Sens!I8737</f>
        <v>6.34101360256498</v>
      </c>
      <c r="J8738" s="6" t="n">
        <f aca="false">Sens!J8736-Sens!J8732-Sens!J8737</f>
        <v>6.44113135422376</v>
      </c>
      <c r="K8738" s="6" t="n">
        <f aca="false">Sens!K8736-Sens!K8732-Sens!K8737</f>
        <v>6.58892875413765</v>
      </c>
    </row>
    <row r="8739" customFormat="false" ht="17.15" hidden="false" customHeight="false" outlineLevel="0" collapsed="false">
      <c r="A8739" s="0" t="s">
        <v>1247</v>
      </c>
      <c r="B8739" s="0" t="s">
        <v>98</v>
      </c>
      <c r="F8739" s="6" t="n">
        <f aca="false">Sens!F8733-tax_f*(Sens!F8733-Sens!F8597)-Sens!F8594</f>
        <v>-126.468702578925</v>
      </c>
      <c r="G8739" s="6" t="n">
        <f aca="false">Sens!G8733-tax_f*(Sens!G8733-Sens!G8597)-Sens!G8594</f>
        <v>-108.983954577097</v>
      </c>
      <c r="H8739" s="6" t="n">
        <f aca="false">Sens!H8733-tax_f*(Sens!H8733-Sens!H8597)-Sens!H8594</f>
        <v>-66.1695850087671</v>
      </c>
      <c r="I8739" s="6" t="n">
        <f aca="false">Sens!I8733-tax_f*(Sens!I8733-Sens!I8597)-Sens!I8594</f>
        <v>0.446952978967261</v>
      </c>
      <c r="J8739" s="6" t="n">
        <f aca="false">Sens!J8733-tax_f*(Sens!J8733-Sens!J8597)-Sens!J8594</f>
        <v>67.1733386746967</v>
      </c>
      <c r="K8739" s="6" t="n">
        <f aca="false">Sens!K8733-tax_f*(Sens!K8733-Sens!K8597)-Sens!K8594</f>
        <v>93.270153595916</v>
      </c>
    </row>
    <row r="8740" customFormat="false" ht="17.15" hidden="false" customHeight="false" outlineLevel="0" collapsed="false">
      <c r="A8740" s="0" t="s">
        <v>1248</v>
      </c>
      <c r="B8740" s="0" t="s">
        <v>98</v>
      </c>
      <c r="G8740" s="6" t="n">
        <f aca="false">Sens!G8739/(1+wacc)^(Sens!G8710-Sens!F8711)</f>
        <v>-103.773697251598</v>
      </c>
      <c r="H8740" s="6" t="n">
        <f aca="false">Sens!H8739/(1+wacc)^(Sens!H8710-Sens!F8711)</f>
        <v>-57.125839228667</v>
      </c>
      <c r="I8740" s="6" t="n">
        <f aca="false">Sens!I8739/(1+wacc)^(Sens!I8710-Sens!F8711)</f>
        <v>0.349852896209987</v>
      </c>
      <c r="J8740" s="6" t="n">
        <f aca="false">Sens!J8739/(1+wacc)^(Sens!J8710-Sens!F8711)</f>
        <v>47.6727304176989</v>
      </c>
      <c r="K8740" s="6" t="n">
        <f aca="false">Sens!K8739/(1+wacc)^(Sens!K8710-Sens!F8711)</f>
        <v>60.0157501866695</v>
      </c>
      <c r="L8740" s="1" t="s">
        <v>1249</v>
      </c>
    </row>
    <row r="8741" customFormat="false" ht="17.15" hidden="false" customHeight="false" outlineLevel="0" collapsed="false">
      <c r="A8741" s="0" t="s">
        <v>1250</v>
      </c>
      <c r="B8741" s="0" t="s">
        <v>98</v>
      </c>
      <c r="C8741" s="6" t="n">
        <f aca="false">(Sens!K8733-Sens!K8597)*(1-tax_f)*(1+g_tv)*(1-g_tv/(wacc+ronic_prem))/(wacc-g_tv)/(1+wacc)^(Sens!K8711-Sens!F8711)</f>
        <v>424.373667639602</v>
      </c>
    </row>
    <row r="8742" customFormat="false" ht="17.15" hidden="false" customHeight="false" outlineLevel="0" collapsed="false">
      <c r="A8742" s="1" t="s">
        <v>1251</v>
      </c>
      <c r="B8742" s="0" t="s">
        <v>98</v>
      </c>
      <c r="C8742" s="6" t="n">
        <f aca="false">(SUM(Sens!G8740:K8740)+Sens!$C$8741)*(1+wacc)^(t_roll-Sens!F8711)</f>
        <v>383.777214655426</v>
      </c>
      <c r="L8742" s="12" t="s">
        <v>1252</v>
      </c>
    </row>
    <row r="8743" customFormat="false" ht="17.15" hidden="false" customHeight="false" outlineLevel="0" collapsed="false">
      <c r="A8743" s="1" t="s">
        <v>1253</v>
      </c>
      <c r="B8743" s="0" t="s">
        <v>98</v>
      </c>
      <c r="C8743" s="6" t="n">
        <f aca="false">(w_ntm28*Sens!G8585+(1-w_ntm28)*Sens!H8585)*m_ai</f>
        <v>563.316843258668</v>
      </c>
    </row>
    <row r="8744" customFormat="false" ht="17.15" hidden="false" customHeight="false" outlineLevel="0" collapsed="false">
      <c r="A8744" s="1" t="s">
        <v>1254</v>
      </c>
      <c r="B8744" s="0" t="s">
        <v>98</v>
      </c>
      <c r="C8744" s="6" t="n">
        <f aca="false">(w_ntm28*Sens!G8735+(1-w_ntm28)*Sens!H8735)*m_cloud</f>
        <v>1082.66886586462</v>
      </c>
    </row>
    <row r="8745" customFormat="false" ht="17.15" hidden="false" customHeight="false" outlineLevel="0" collapsed="false">
      <c r="A8745" s="1" t="s">
        <v>1255</v>
      </c>
      <c r="B8745" s="0" t="s">
        <v>98</v>
      </c>
      <c r="C8745" s="6" t="n">
        <f aca="false">(w_ntm28*Sens!G8728+(1-w_ntm28)*Sens!H8728)*m_sw</f>
        <v>1152.65558407072</v>
      </c>
    </row>
    <row r="8746" customFormat="false" ht="17.15" hidden="false" customHeight="false" outlineLevel="0" collapsed="false">
      <c r="A8746" s="1" t="s">
        <v>1256</v>
      </c>
      <c r="B8746" s="0" t="s">
        <v>98</v>
      </c>
      <c r="C8746" s="6" t="n">
        <f aca="false">(w_ntm28*Sens!G8729+(1-w_ntm28)*Sens!H8729)*m_sw</f>
        <v>372.455804488293</v>
      </c>
    </row>
    <row r="8747" customFormat="false" ht="17.15" hidden="false" customHeight="false" outlineLevel="0" collapsed="false">
      <c r="A8747" s="1" t="s">
        <v>1257</v>
      </c>
      <c r="B8747" s="0" t="s">
        <v>98</v>
      </c>
      <c r="C8747" s="6" t="n">
        <f aca="false">(w_ntm28*Sens!G8730+(1-w_ntm28)*Sens!H8730)*m_sw</f>
        <v>108.851023179865</v>
      </c>
    </row>
    <row r="8748" customFormat="false" ht="17.15" hidden="false" customHeight="false" outlineLevel="0" collapsed="false">
      <c r="A8748" s="1" t="s">
        <v>1258</v>
      </c>
      <c r="B8748" s="0" t="s">
        <v>98</v>
      </c>
      <c r="C8748" s="6" t="n">
        <f aca="false">(w_ntm28*Sens!G8731+(1-w_ntm28)*Sens!H8731)*m_sw</f>
        <v>41.3824599113814</v>
      </c>
    </row>
    <row r="8749" customFormat="false" ht="17.15" hidden="false" customHeight="false" outlineLevel="0" collapsed="false">
      <c r="A8749" s="1" t="s">
        <v>1259</v>
      </c>
      <c r="B8749" s="0" t="s">
        <v>98</v>
      </c>
      <c r="C8749" s="6" t="n">
        <f aca="false">(w_ntm28*Sens!G8732+(1-w_ntm28)*Sens!H8732)*m_ads</f>
        <v>114.741764958295</v>
      </c>
    </row>
    <row r="8750" customFormat="false" ht="17.15" hidden="false" customHeight="false" outlineLevel="0" collapsed="false">
      <c r="A8750" s="1" t="s">
        <v>1260</v>
      </c>
      <c r="B8750" s="0" t="s">
        <v>98</v>
      </c>
      <c r="C8750" s="6" t="n">
        <f aca="false">(w_ntm28*Sens!G8737+(1-w_ntm28)*Sens!H8737)*m_game</f>
        <v>98.3753413307457</v>
      </c>
    </row>
    <row r="8751" customFormat="false" ht="17.15" hidden="false" customHeight="false" outlineLevel="0" collapsed="false">
      <c r="A8751" s="1" t="s">
        <v>1261</v>
      </c>
      <c r="B8751" s="0" t="s">
        <v>98</v>
      </c>
      <c r="C8751" s="6" t="n">
        <f aca="false">(w_ntm28*Sens!G8738+(1-w_ntm28)*Sens!H8738)*m_pc</f>
        <v>91.2026600344887</v>
      </c>
    </row>
    <row r="8752" customFormat="false" ht="17.15" hidden="false" customHeight="false" outlineLevel="0" collapsed="false">
      <c r="A8752" s="1" t="s">
        <v>1262</v>
      </c>
      <c r="B8752" s="0" t="s">
        <v>98</v>
      </c>
      <c r="C8752" s="6" t="n">
        <f aca="false">Sens!$C$8742+Sens!$C$8744+Sens!$C$8745+Sens!$C$8746+Sens!$C$8747+Sens!$C$8748+Sens!$C$8749+Sens!$C$8750+Sens!$C$8751</f>
        <v>3446.11071849384</v>
      </c>
    </row>
    <row r="8753" customFormat="false" ht="17.15" hidden="false" customHeight="false" outlineLevel="0" collapsed="false">
      <c r="A8753" s="1" t="s">
        <v>1263</v>
      </c>
      <c r="B8753" s="0" t="s">
        <v>98</v>
      </c>
      <c r="C8753" s="6" t="n">
        <f aca="false">(Sens!G8714-Sens!G8739)*t_stub</f>
        <v>48.7499290334491</v>
      </c>
      <c r="L8753" s="1" t="s">
        <v>1264</v>
      </c>
    </row>
    <row r="8754" customFormat="false" ht="17.15" hidden="false" customHeight="false" outlineLevel="0" collapsed="false">
      <c r="A8754" s="1" t="s">
        <v>1173</v>
      </c>
      <c r="B8754" s="0" t="s">
        <v>98</v>
      </c>
      <c r="C8754" s="6" t="n">
        <f aca="false">Sens!F8701+oai_v-Sens!F8690+Sens!$C$8753</f>
        <v>162.978199033449</v>
      </c>
      <c r="L8754" s="1" t="s">
        <v>1265</v>
      </c>
    </row>
    <row r="8755" customFormat="false" ht="17.15" hidden="false" customHeight="false" outlineLevel="0" collapsed="false">
      <c r="A8755" s="1" t="s">
        <v>1266</v>
      </c>
      <c r="B8755" s="0" t="s">
        <v>75</v>
      </c>
      <c r="C8755" s="5" t="n">
        <f aca="false">(Sens!$C$8752+Sens!$C$8754)/(Sens!F8703+dil_gap)-Sens!G8693*roll_div_q/q_per_yr</f>
        <v>480.896192378978</v>
      </c>
      <c r="L8755" s="1" t="s">
        <v>1267</v>
      </c>
    </row>
    <row r="8756" customFormat="false" ht="17.15" hidden="false" customHeight="false" outlineLevel="0" collapsed="false">
      <c r="A8756" s="1" t="s">
        <v>1268</v>
      </c>
      <c r="B8756" s="0" t="s">
        <v>75</v>
      </c>
      <c r="C8756" s="5" t="n">
        <f aca="false">w_dcf*Sens!$C$8726+(1-w_dcf)*Sens!$C$8755</f>
        <v>422.116140345299</v>
      </c>
    </row>
    <row r="8757" customFormat="false" ht="17.15" hidden="false" customHeight="false" outlineLevel="0" collapsed="false">
      <c r="A8757" s="3" t="s">
        <v>1830</v>
      </c>
    </row>
    <row r="8758" customFormat="false" ht="15" hidden="false" customHeight="false" outlineLevel="0" collapsed="false">
      <c r="A8758" s="4" t="s">
        <v>43</v>
      </c>
      <c r="B8758" s="4" t="s">
        <v>65</v>
      </c>
      <c r="C8758" s="23" t="s">
        <v>942</v>
      </c>
      <c r="D8758" s="23" t="s">
        <v>943</v>
      </c>
      <c r="E8758" s="23" t="s">
        <v>944</v>
      </c>
      <c r="F8758" s="23" t="s">
        <v>945</v>
      </c>
      <c r="G8758" s="23" t="s">
        <v>946</v>
      </c>
      <c r="H8758" s="23" t="s">
        <v>947</v>
      </c>
      <c r="I8758" s="23" t="s">
        <v>948</v>
      </c>
      <c r="J8758" s="23" t="s">
        <v>949</v>
      </c>
      <c r="K8758" s="23" t="s">
        <v>950</v>
      </c>
      <c r="L8758" s="4" t="s">
        <v>47</v>
      </c>
    </row>
    <row r="8759" customFormat="false" ht="17.15" hidden="false" customHeight="false" outlineLevel="0" collapsed="false">
      <c r="A8759" s="1" t="s">
        <v>951</v>
      </c>
      <c r="B8759" s="1" t="s">
        <v>279</v>
      </c>
      <c r="C8759" s="21" t="n">
        <v>2024</v>
      </c>
      <c r="D8759" s="21" t="n">
        <v>2025</v>
      </c>
      <c r="E8759" s="21" t="n">
        <v>2026</v>
      </c>
      <c r="F8759" s="21" t="n">
        <v>2027</v>
      </c>
      <c r="G8759" s="21" t="n">
        <v>2028</v>
      </c>
      <c r="H8759" s="21" t="n">
        <v>2029</v>
      </c>
      <c r="I8759" s="21" t="n">
        <v>2030</v>
      </c>
      <c r="J8759" s="21" t="n">
        <v>2031</v>
      </c>
      <c r="K8759" s="21" t="n">
        <v>2032</v>
      </c>
    </row>
    <row r="8760" customFormat="false" ht="17.15" hidden="false" customHeight="false" outlineLevel="0" collapsed="false">
      <c r="A8760" s="1" t="s">
        <v>952</v>
      </c>
      <c r="B8760" s="0" t="s">
        <v>459</v>
      </c>
      <c r="F8760" s="30" t="n">
        <f aca="false">pace</f>
        <v>2726.5351</v>
      </c>
      <c r="G8760" s="30" t="n">
        <f aca="false">pace</f>
        <v>2726.5351</v>
      </c>
      <c r="H8760" s="30" t="n">
        <f aca="false">pace</f>
        <v>2726.5351</v>
      </c>
      <c r="I8760" s="30" t="n">
        <f aca="false">pace+(g_tv*Sens!H8761-pace)*MIN(1,(Sens!I8759-pace_y0)/(pace_y1-pace_y0))</f>
        <v>1931.98611966667</v>
      </c>
      <c r="J8760" s="30" t="n">
        <f aca="false">pace+(g_tv*Sens!I8761-pace)*MIN(1,(Sens!J8759-pace_y0)/(pace_y1-pace_y0))</f>
        <v>1176.07686172667</v>
      </c>
      <c r="K8760" s="30" t="n">
        <f aca="false">pace+(g_tv*Sens!J8761-pace)*MIN(1,(Sens!K8759-pace_y0)/(pace_y1-pace_y0))</f>
        <v>436.1300484418</v>
      </c>
      <c r="L8760" s="12" t="s">
        <v>953</v>
      </c>
    </row>
    <row r="8761" customFormat="false" ht="17.15" hidden="false" customHeight="false" outlineLevel="0" collapsed="false">
      <c r="A8761" s="1" t="s">
        <v>954</v>
      </c>
      <c r="B8761" s="0" t="s">
        <v>459</v>
      </c>
      <c r="C8761" s="30" t="n">
        <f aca="false">mw_ext_24</f>
        <v>640</v>
      </c>
      <c r="D8761" s="30" t="n">
        <f aca="false">mw_ext_25</f>
        <v>1630</v>
      </c>
      <c r="E8761" s="30" t="n">
        <f aca="false">mw_ext_26</f>
        <v>3250</v>
      </c>
      <c r="F8761" s="30" t="n">
        <f aca="false">Sens!E8761+Sens!F8760</f>
        <v>5976.5351</v>
      </c>
      <c r="G8761" s="30" t="n">
        <f aca="false">Sens!F8761+Sens!G8760</f>
        <v>8703.0702</v>
      </c>
      <c r="H8761" s="30" t="n">
        <f aca="false">Sens!G8761+Sens!H8760</f>
        <v>11429.6053</v>
      </c>
      <c r="I8761" s="30" t="n">
        <f aca="false">Sens!H8761+Sens!I8760</f>
        <v>13361.5914196667</v>
      </c>
      <c r="J8761" s="30" t="n">
        <f aca="false">Sens!I8761+Sens!J8760</f>
        <v>14537.6682813933</v>
      </c>
      <c r="K8761" s="30" t="n">
        <f aca="false">Sens!J8761+Sens!K8760</f>
        <v>14973.7983298351</v>
      </c>
      <c r="L8761" s="1" t="s">
        <v>955</v>
      </c>
    </row>
    <row r="8762" customFormat="false" ht="17.15" hidden="false" customHeight="false" outlineLevel="0" collapsed="false">
      <c r="A8762" s="1" t="s">
        <v>956</v>
      </c>
      <c r="B8762" s="0" t="s">
        <v>459</v>
      </c>
      <c r="C8762" s="30" t="n">
        <f aca="false">rent_ext_24</f>
        <v>150</v>
      </c>
      <c r="D8762" s="30" t="n">
        <f aca="false">rent_ext_25</f>
        <v>400</v>
      </c>
      <c r="E8762" s="30" t="n">
        <f aca="false">rent_ext_26</f>
        <v>550</v>
      </c>
      <c r="F8762" s="30" t="n">
        <f aca="false">rent_ext_f</f>
        <v>756</v>
      </c>
      <c r="G8762" s="30" t="n">
        <f aca="false">rent_ext_f</f>
        <v>756</v>
      </c>
      <c r="H8762" s="30" t="n">
        <f aca="false">rent_ext_f</f>
        <v>756</v>
      </c>
      <c r="I8762" s="30" t="n">
        <f aca="false">rent_ext_f</f>
        <v>756</v>
      </c>
      <c r="J8762" s="30" t="n">
        <f aca="false">rent_ext_f</f>
        <v>756</v>
      </c>
      <c r="K8762" s="30" t="n">
        <f aca="false">rent_ext_f</f>
        <v>756</v>
      </c>
      <c r="L8762" s="1" t="s">
        <v>957</v>
      </c>
    </row>
    <row r="8763" customFormat="false" ht="17.15" hidden="false" customHeight="false" outlineLevel="0" collapsed="false">
      <c r="A8763" s="1" t="s">
        <v>958</v>
      </c>
      <c r="B8763" s="0" t="s">
        <v>459</v>
      </c>
      <c r="C8763" s="30" t="n">
        <f aca="false">Sens!C8761-Sens!C8762</f>
        <v>490</v>
      </c>
      <c r="D8763" s="30" t="n">
        <f aca="false">Sens!D8761-Sens!D8762</f>
        <v>1230</v>
      </c>
      <c r="E8763" s="30" t="n">
        <f aca="false">Sens!E8761-Sens!E8762</f>
        <v>2700</v>
      </c>
      <c r="F8763" s="30" t="n">
        <f aca="false">Sens!F8761-Sens!F8762</f>
        <v>5220.5351</v>
      </c>
      <c r="G8763" s="30" t="n">
        <f aca="false">Sens!G8761-Sens!G8762</f>
        <v>7947.0702</v>
      </c>
      <c r="H8763" s="30" t="n">
        <f aca="false">Sens!H8761-Sens!H8762</f>
        <v>10673.6053</v>
      </c>
      <c r="I8763" s="30" t="n">
        <f aca="false">Sens!I8761-Sens!I8762</f>
        <v>12605.5914196667</v>
      </c>
      <c r="J8763" s="30" t="n">
        <f aca="false">Sens!J8761-Sens!J8762</f>
        <v>13781.6682813933</v>
      </c>
      <c r="K8763" s="30" t="n">
        <f aca="false">Sens!K8761-Sens!K8762</f>
        <v>14217.7983298351</v>
      </c>
    </row>
    <row r="8764" customFormat="false" ht="17.15" hidden="false" customHeight="false" outlineLevel="0" collapsed="false">
      <c r="A8764" s="1" t="s">
        <v>959</v>
      </c>
      <c r="B8764" s="0" t="s">
        <v>459</v>
      </c>
      <c r="C8764" s="30" t="n">
        <f aca="false">Sens!C8763/ext_sh</f>
        <v>816.666666666667</v>
      </c>
      <c r="D8764" s="30" t="n">
        <f aca="false">Sens!D8763/ext_sh</f>
        <v>2050</v>
      </c>
      <c r="E8764" s="30" t="n">
        <f aca="false">Sens!E8763/ext_sh</f>
        <v>4500</v>
      </c>
      <c r="F8764" s="30" t="n">
        <f aca="false">Sens!F8763/ext_sh</f>
        <v>8700.89183333333</v>
      </c>
      <c r="G8764" s="30" t="n">
        <f aca="false">Sens!G8763/ext_sh</f>
        <v>13245.117</v>
      </c>
      <c r="H8764" s="30" t="n">
        <f aca="false">Sens!H8763/ext_sh</f>
        <v>17789.3421666667</v>
      </c>
      <c r="I8764" s="30" t="n">
        <f aca="false">Sens!I8763/ext_sh</f>
        <v>21009.3190327778</v>
      </c>
      <c r="J8764" s="30" t="n">
        <f aca="false">Sens!J8763/ext_sh</f>
        <v>22969.4471356556</v>
      </c>
      <c r="K8764" s="30" t="n">
        <f aca="false">Sens!K8763/ext_sh</f>
        <v>23696.3305497252</v>
      </c>
      <c r="L8764" s="1" t="s">
        <v>960</v>
      </c>
    </row>
    <row r="8765" customFormat="false" ht="17.15" hidden="false" customHeight="false" outlineLevel="0" collapsed="false">
      <c r="A8765" s="1" t="s">
        <v>961</v>
      </c>
      <c r="B8765" s="0" t="s">
        <v>459</v>
      </c>
      <c r="C8765" s="30" t="n">
        <f aca="false">Sens!C8764-Sens!C8763</f>
        <v>326.666666666667</v>
      </c>
      <c r="D8765" s="30" t="n">
        <f aca="false">Sens!D8764-Sens!D8763</f>
        <v>820</v>
      </c>
      <c r="E8765" s="30" t="n">
        <f aca="false">Sens!E8764-Sens!E8763</f>
        <v>1800</v>
      </c>
      <c r="F8765" s="30" t="n">
        <f aca="false">Sens!F8764-Sens!F8763</f>
        <v>3480.35673333333</v>
      </c>
      <c r="G8765" s="30" t="n">
        <f aca="false">Sens!G8764-Sens!G8763</f>
        <v>5298.0468</v>
      </c>
      <c r="H8765" s="30" t="n">
        <f aca="false">Sens!H8764-Sens!H8763</f>
        <v>7115.73686666667</v>
      </c>
      <c r="I8765" s="30" t="n">
        <f aca="false">Sens!I8764-Sens!I8763</f>
        <v>8403.72761311111</v>
      </c>
      <c r="J8765" s="30" t="n">
        <f aca="false">Sens!J8764-Sens!J8763</f>
        <v>9187.77885426222</v>
      </c>
      <c r="K8765" s="30" t="n">
        <f aca="false">Sens!K8764-Sens!K8763</f>
        <v>9478.53221989009</v>
      </c>
    </row>
    <row r="8766" customFormat="false" ht="17.15" hidden="false" customHeight="false" outlineLevel="0" collapsed="false">
      <c r="A8766" s="1" t="s">
        <v>962</v>
      </c>
      <c r="B8766" s="0" t="s">
        <v>459</v>
      </c>
      <c r="C8766" s="30" t="n">
        <f aca="false">Sens!C8764</f>
        <v>816.666666666667</v>
      </c>
      <c r="D8766" s="30" t="n">
        <f aca="false">Sens!D8764-Sens!C8764</f>
        <v>1233.33333333333</v>
      </c>
      <c r="E8766" s="30" t="n">
        <f aca="false">Sens!E8764-Sens!D8764</f>
        <v>2450</v>
      </c>
      <c r="F8766" s="30" t="n">
        <f aca="false">Sens!F8764-Sens!E8764</f>
        <v>4200.89183333333</v>
      </c>
      <c r="G8766" s="30" t="n">
        <f aca="false">Sens!G8764-Sens!F8764</f>
        <v>4544.22516666667</v>
      </c>
      <c r="H8766" s="30" t="n">
        <f aca="false">Sens!H8764-Sens!G8764</f>
        <v>4544.22516666667</v>
      </c>
      <c r="I8766" s="30" t="n">
        <f aca="false">Sens!I8764-Sens!H8764</f>
        <v>3219.97686611111</v>
      </c>
      <c r="J8766" s="30" t="n">
        <f aca="false">Sens!J8764-Sens!I8764</f>
        <v>1960.12810287778</v>
      </c>
      <c r="K8766" s="30" t="n">
        <f aca="false">Sens!K8764-Sens!J8764</f>
        <v>726.883414069667</v>
      </c>
    </row>
    <row r="8767" customFormat="false" ht="17.15" hidden="false" customHeight="false" outlineLevel="0" collapsed="false">
      <c r="A8767" s="1" t="s">
        <v>963</v>
      </c>
      <c r="B8767" s="0" t="s">
        <v>459</v>
      </c>
      <c r="D8767" s="30" t="n">
        <f aca="false">Sens!D8761-Sens!C8761</f>
        <v>990</v>
      </c>
      <c r="E8767" s="30" t="n">
        <f aca="false">Sens!E8761-Sens!D8761</f>
        <v>1620</v>
      </c>
      <c r="F8767" s="30" t="n">
        <f aca="false">Sens!F8761-Sens!E8761</f>
        <v>2726.5351</v>
      </c>
      <c r="G8767" s="30" t="n">
        <f aca="false">Sens!G8761-Sens!F8761</f>
        <v>2726.5351</v>
      </c>
      <c r="H8767" s="30" t="n">
        <f aca="false">Sens!H8761-Sens!G8761</f>
        <v>2726.5351</v>
      </c>
      <c r="I8767" s="30" t="n">
        <f aca="false">Sens!I8761-Sens!H8761</f>
        <v>1931.98611966667</v>
      </c>
      <c r="J8767" s="30" t="n">
        <f aca="false">Sens!J8761-Sens!I8761</f>
        <v>1176.07686172667</v>
      </c>
      <c r="K8767" s="30" t="n">
        <f aca="false">Sens!K8761-Sens!J8761</f>
        <v>436.130048441799</v>
      </c>
    </row>
    <row r="8768" customFormat="false" ht="17.15" hidden="false" customHeight="false" outlineLevel="0" collapsed="false">
      <c r="A8768" s="1" t="s">
        <v>964</v>
      </c>
      <c r="B8768" s="0" t="s">
        <v>459</v>
      </c>
      <c r="F8768" s="30" t="n">
        <f aca="false">Sens!F8787*ext_sh</f>
        <v>0</v>
      </c>
      <c r="G8768" s="30" t="n">
        <f aca="false">Sens!G8787*ext_sh</f>
        <v>0</v>
      </c>
      <c r="H8768" s="30" t="n">
        <f aca="false">Sens!H8787*ext_sh</f>
        <v>0</v>
      </c>
      <c r="I8768" s="30" t="n">
        <f aca="false">Sens!I8787*ext_sh</f>
        <v>490</v>
      </c>
      <c r="J8768" s="30" t="n">
        <f aca="false">Sens!J8787*ext_sh</f>
        <v>740</v>
      </c>
      <c r="K8768" s="30" t="n">
        <f aca="false">Sens!K8787*ext_sh</f>
        <v>1470</v>
      </c>
      <c r="L8768" s="1" t="s">
        <v>965</v>
      </c>
    </row>
    <row r="8769" customFormat="false" ht="17.15" hidden="false" customHeight="false" outlineLevel="0" collapsed="false">
      <c r="A8769" s="1" t="s">
        <v>966</v>
      </c>
      <c r="B8769" s="0" t="s">
        <v>459</v>
      </c>
      <c r="C8769" s="30" t="n">
        <f aca="false">mix_h*Sens!C8761</f>
        <v>128</v>
      </c>
      <c r="D8769" s="30" t="n">
        <f aca="false">mix_h*Sens!D8761</f>
        <v>326</v>
      </c>
      <c r="E8769" s="30" t="n">
        <f aca="false">mix_h*Sens!E8761</f>
        <v>650</v>
      </c>
      <c r="F8769" s="30" t="n">
        <f aca="false">Sens!E8769-Sens!F8768*mix_h</f>
        <v>650</v>
      </c>
      <c r="G8769" s="30" t="n">
        <f aca="false">Sens!F8769-Sens!G8768*mix_h</f>
        <v>650</v>
      </c>
      <c r="H8769" s="30" t="n">
        <f aca="false">Sens!G8769-Sens!H8768*mix_h</f>
        <v>650</v>
      </c>
      <c r="I8769" s="30" t="n">
        <f aca="false">Sens!H8769-Sens!I8768*mix_h</f>
        <v>552</v>
      </c>
      <c r="J8769" s="30" t="n">
        <f aca="false">Sens!I8769-Sens!J8768*mix_h</f>
        <v>404</v>
      </c>
      <c r="K8769" s="30" t="n">
        <f aca="false">Sens!J8769-Sens!K8768*mix_h</f>
        <v>110</v>
      </c>
    </row>
    <row r="8770" customFormat="false" ht="17.15" hidden="false" customHeight="false" outlineLevel="0" collapsed="false">
      <c r="A8770" s="1" t="s">
        <v>967</v>
      </c>
      <c r="B8770" s="0" t="s">
        <v>459</v>
      </c>
      <c r="C8770" s="30" t="n">
        <f aca="false">mix_g2*Sens!C8761</f>
        <v>288</v>
      </c>
      <c r="D8770" s="30" t="n">
        <f aca="false">mix_g2*Sens!D8761</f>
        <v>733.5</v>
      </c>
      <c r="E8770" s="30" t="n">
        <f aca="false">mix_g2*Sens!E8761</f>
        <v>1462.5</v>
      </c>
      <c r="F8770" s="30" t="n">
        <f aca="false">Sens!E8770-Sens!F8768*mix_g2</f>
        <v>1462.5</v>
      </c>
      <c r="G8770" s="30" t="n">
        <f aca="false">Sens!F8770-Sens!G8768*mix_g2</f>
        <v>1462.5</v>
      </c>
      <c r="H8770" s="30" t="n">
        <f aca="false">Sens!G8770-Sens!H8768*mix_g2</f>
        <v>1462.5</v>
      </c>
      <c r="I8770" s="30" t="n">
        <f aca="false">Sens!H8770-Sens!I8768*mix_g2</f>
        <v>1242</v>
      </c>
      <c r="J8770" s="30" t="n">
        <f aca="false">Sens!I8770-Sens!J8768*mix_g2</f>
        <v>909</v>
      </c>
      <c r="K8770" s="30" t="n">
        <f aca="false">Sens!J8770-Sens!K8768*mix_g2</f>
        <v>247.5</v>
      </c>
    </row>
    <row r="8771" customFormat="false" ht="17.15" hidden="false" customHeight="false" outlineLevel="0" collapsed="false">
      <c r="A8771" s="1" t="s">
        <v>968</v>
      </c>
      <c r="B8771" s="0" t="s">
        <v>459</v>
      </c>
      <c r="C8771" s="30" t="n">
        <f aca="false">mix_g3*Sens!C8761</f>
        <v>224</v>
      </c>
      <c r="D8771" s="30" t="n">
        <f aca="false">mix_g3*Sens!D8761</f>
        <v>570.5</v>
      </c>
      <c r="E8771" s="30" t="n">
        <f aca="false">mix_g3*Sens!E8761</f>
        <v>1137.5</v>
      </c>
      <c r="F8771" s="30" t="n">
        <f aca="false">Sens!E8771+(Sens!F8767+Sens!F8768)*(a_g3_27-nonnv*a_mai)-Sens!F8768*mix_g3</f>
        <v>2773.42106</v>
      </c>
      <c r="G8771" s="30" t="n">
        <f aca="false">Sens!F8771+(Sens!G8767+Sens!G8768)*(a_g3_28-nonnv*a_mai)-Sens!G8768*mix_g3</f>
        <v>3318.72808</v>
      </c>
      <c r="H8771" s="30" t="n">
        <f aca="false">Sens!G8771+(Sens!H8767+Sens!H8768)*(a_g3_29-nonnv*a_mai)-Sens!H8768*mix_g3</f>
        <v>3318.72808</v>
      </c>
      <c r="I8771" s="30" t="n">
        <f aca="false">Sens!H8771+(Sens!I8767+Sens!I8768)*(a_g3_29-nonnv*a_mai)-Sens!I8768*mix_g3</f>
        <v>3147.22808</v>
      </c>
      <c r="J8771" s="30" t="n">
        <f aca="false">Sens!I8771+(Sens!J8767+Sens!J8768)*(a_g3_29-nonnv*a_mai)-Sens!J8768*mix_g3</f>
        <v>2888.22808</v>
      </c>
      <c r="K8771" s="30" t="n">
        <f aca="false">Sens!J8771+(Sens!K8767+Sens!K8768)*(a_g3_29-nonnv*a_mai)-Sens!K8768*mix_g3</f>
        <v>2373.72808</v>
      </c>
    </row>
    <row r="8772" customFormat="false" ht="17.15" hidden="false" customHeight="false" outlineLevel="0" collapsed="false">
      <c r="A8772" s="1" t="s">
        <v>969</v>
      </c>
      <c r="B8772" s="0" t="s">
        <v>459</v>
      </c>
      <c r="C8772" s="30" t="n">
        <v>0</v>
      </c>
      <c r="D8772" s="30" t="n">
        <v>0</v>
      </c>
      <c r="E8772" s="30" t="n">
        <v>0</v>
      </c>
      <c r="F8772" s="30" t="n">
        <f aca="false">Sens!E8772+(Sens!F8767+Sens!F8768)*nonnv*a_mai</f>
        <v>272.65351</v>
      </c>
      <c r="G8772" s="30" t="n">
        <f aca="false">Sens!F8772+(Sens!G8767+Sens!G8768)*nonnv*a_mai</f>
        <v>545.30702</v>
      </c>
      <c r="H8772" s="30" t="n">
        <f aca="false">Sens!G8772+(Sens!H8767+Sens!H8768)*nonnv*a_mai</f>
        <v>817.96053</v>
      </c>
      <c r="I8772" s="30" t="n">
        <f aca="false">Sens!H8772+(Sens!I8767+Sens!I8768)*nonnv*a_mai</f>
        <v>1060.15914196667</v>
      </c>
      <c r="J8772" s="30" t="n">
        <f aca="false">Sens!I8772+(Sens!J8767+Sens!J8768)*nonnv*a_mai</f>
        <v>1251.76682813933</v>
      </c>
      <c r="K8772" s="30" t="n">
        <f aca="false">Sens!J8772+(Sens!K8767+Sens!K8768)*nonnv*a_mai</f>
        <v>1442.37983298351</v>
      </c>
      <c r="L8772" s="12" t="s">
        <v>970</v>
      </c>
    </row>
    <row r="8773" customFormat="false" ht="17.15" hidden="false" customHeight="false" outlineLevel="0" collapsed="false">
      <c r="A8773" s="1" t="s">
        <v>971</v>
      </c>
      <c r="B8773" s="0" t="s">
        <v>459</v>
      </c>
      <c r="C8773" s="30" t="n">
        <v>0</v>
      </c>
      <c r="D8773" s="30" t="n">
        <v>0</v>
      </c>
      <c r="E8773" s="30" t="n">
        <v>0</v>
      </c>
      <c r="F8773" s="30" t="n">
        <f aca="false">Sens!E8773+(Sens!F8767+Sens!F8768)*(1-a_g3_27)</f>
        <v>817.96053</v>
      </c>
      <c r="G8773" s="30" t="n">
        <f aca="false">Sens!F8773+(Sens!G8767+Sens!G8768)*(1-a_g3_28)</f>
        <v>2726.5351</v>
      </c>
      <c r="H8773" s="30" t="n">
        <f aca="false">Sens!G8773+(Sens!H8767+Sens!H8768)*(1-a_g3_29)</f>
        <v>5180.41669</v>
      </c>
      <c r="I8773" s="30" t="n">
        <f aca="false">Sens!H8773+(Sens!I8767+Sens!I8768)*(1-a_g3_29)</f>
        <v>7360.2041977</v>
      </c>
      <c r="J8773" s="30" t="n">
        <f aca="false">Sens!I8773+(Sens!J8767+Sens!J8768)*(1-a_g3_29)</f>
        <v>9084.673373254</v>
      </c>
      <c r="K8773" s="30" t="n">
        <f aca="false">Sens!J8773+(Sens!K8767+Sens!K8768)*(1-a_g3_29)</f>
        <v>10800.1904168516</v>
      </c>
    </row>
    <row r="8774" customFormat="false" ht="17.15" hidden="false" customHeight="false" outlineLevel="0" collapsed="false">
      <c r="A8774" s="1" t="s">
        <v>972</v>
      </c>
      <c r="B8774" s="0" t="s">
        <v>403</v>
      </c>
      <c r="C8774" s="15" t="n">
        <f aca="false">(Sens!C8769*tk_hold_h100+Sens!C8770*tk_hold_gb200+Sens!C8771*tk_hold_gb300+Sens!C8773*tk_hold_vr200+Sens!C8772*nv_hold_mai*tk_hold_vr200)/Sens!C8761</f>
        <v>9.7235358126469</v>
      </c>
      <c r="D8774" s="15" t="n">
        <f aca="false">(Sens!D8769*tk_hold_h100+Sens!D8770*tk_hold_gb200+Sens!D8771*tk_hold_gb300+Sens!D8773*tk_hold_vr200+Sens!D8772*nv_hold_mai*tk_hold_vr200)/Sens!D8761</f>
        <v>9.7235358126469</v>
      </c>
      <c r="E8774" s="15" t="n">
        <f aca="false">(Sens!E8769*tk_hold_h100+Sens!E8770*tk_hold_gb200+Sens!E8771*tk_hold_gb300+Sens!E8773*tk_hold_vr200+Sens!E8772*nv_hold_mai*tk_hold_vr200)/Sens!E8761</f>
        <v>9.7235358126469</v>
      </c>
      <c r="F8774" s="15" t="n">
        <f aca="false">(Sens!F8769*tk_hold_h100+Sens!F8770*tk_hold_gb200+Sens!F8771*tk_hold_gb300+Sens!F8773*tk_hold_vr200+Sens!F8772*nv_hold_mai*tk_hold_vr200)/Sens!F8761</f>
        <v>10.2195353876665</v>
      </c>
      <c r="G8774" s="15" t="n">
        <f aca="false">(Sens!G8769*tk_hold_h100+Sens!G8770*tk_hold_gb200+Sens!G8771*tk_hold_gb300+Sens!G8773*tk_hold_vr200+Sens!G8772*nv_hold_mai*tk_hold_vr200)/Sens!G8761</f>
        <v>10.5725598017306</v>
      </c>
      <c r="H8774" s="15" t="n">
        <f aca="false">(Sens!H8769*tk_hold_h100+Sens!H8770*tk_hold_gb200+Sens!H8771*tk_hold_gb300+Sens!H8773*tk_hold_vr200+Sens!H8772*nv_hold_mai*tk_hold_vr200)/Sens!H8761</f>
        <v>10.8210427149036</v>
      </c>
      <c r="I8774" s="15" t="n">
        <f aca="false">(Sens!I8769*tk_hold_h100+Sens!I8770*tk_hold_gb200+Sens!I8771*tk_hold_gb300+Sens!I8773*tk_hold_vr200+Sens!I8772*nv_hold_mai*tk_hold_vr200)/Sens!I8761</f>
        <v>11.0050618241982</v>
      </c>
      <c r="J8774" s="15" t="n">
        <f aca="false">(Sens!J8769*tk_hold_h100+Sens!J8770*tk_hold_gb200+Sens!J8771*tk_hold_gb300+Sens!J8773*tk_hold_vr200+Sens!J8772*nv_hold_mai*tk_hold_vr200)/Sens!J8761</f>
        <v>11.1505789658881</v>
      </c>
      <c r="K8774" s="15" t="n">
        <f aca="false">(Sens!K8769*tk_hold_h100+Sens!K8770*tk_hold_gb200+Sens!K8771*tk_hold_gb300+Sens!K8773*tk_hold_vr200+Sens!K8772*nv_hold_mai*tk_hold_vr200)/Sens!K8761</f>
        <v>11.3496914757183</v>
      </c>
      <c r="L8774" s="1" t="s">
        <v>973</v>
      </c>
    </row>
    <row r="8775" customFormat="false" ht="17.15" hidden="false" customHeight="false" outlineLevel="0" collapsed="false">
      <c r="A8775" s="1" t="s">
        <v>974</v>
      </c>
      <c r="B8775" s="0" t="s">
        <v>403</v>
      </c>
      <c r="C8775" s="15" t="n">
        <f aca="false">(Sens!C8769*tk_hold_h100+Sens!C8770*tk_hold_gb200+Sens!C8771*tk_hold_gb300+Sens!C8773*tk_hold_vr200+Sens!C8772*nv_out_mai*tk_hold_vr200)/Sens!C8761</f>
        <v>9.7235358126469</v>
      </c>
      <c r="D8775" s="15" t="n">
        <f aca="false">(Sens!D8769*tk_hold_h100+Sens!D8770*tk_hold_gb200+Sens!D8771*tk_hold_gb300+Sens!D8773*tk_hold_vr200+Sens!D8772*nv_out_mai*tk_hold_vr200)/Sens!D8761</f>
        <v>9.7235358126469</v>
      </c>
      <c r="E8775" s="15" t="n">
        <f aca="false">(Sens!E8769*tk_hold_h100+Sens!E8770*tk_hold_gb200+Sens!E8771*tk_hold_gb300+Sens!E8773*tk_hold_vr200+Sens!E8772*nv_out_mai*tk_hold_vr200)/Sens!E8761</f>
        <v>9.7235358126469</v>
      </c>
      <c r="F8775" s="15" t="n">
        <f aca="false">(Sens!F8769*tk_hold_h100+Sens!F8770*tk_hold_gb200+Sens!F8771*tk_hold_gb300+Sens!F8773*tk_hold_vr200+Sens!F8772*nv_out_mai*tk_hold_vr200)/Sens!F8761</f>
        <v>10.247422093969</v>
      </c>
      <c r="G8775" s="15" t="n">
        <f aca="false">(Sens!G8769*tk_hold_h100+Sens!G8770*tk_hold_gb200+Sens!G8771*tk_hold_gb300+Sens!G8773*tk_hold_vr200+Sens!G8772*nv_out_mai*tk_hold_vr200)/Sens!G8761</f>
        <v>10.6108602808053</v>
      </c>
      <c r="H8775" s="15" t="n">
        <f aca="false">(Sens!H8769*tk_hold_h100+Sens!H8770*tk_hold_gb200+Sens!H8771*tk_hold_gb300+Sens!H8773*tk_hold_vr200+Sens!H8772*nv_out_mai*tk_hold_vr200)/Sens!H8761</f>
        <v>10.8647885507393</v>
      </c>
      <c r="I8775" s="15" t="n">
        <f aca="false">(Sens!I8769*tk_hold_h100+Sens!I8770*tk_hold_gb200+Sens!I8771*tk_hold_gb300+Sens!I8773*tk_hold_vr200+Sens!I8772*nv_out_mai*tk_hold_vr200)/Sens!I8761</f>
        <v>11.0535625770025</v>
      </c>
      <c r="J8775" s="15" t="n">
        <f aca="false">(Sens!J8769*tk_hold_h100+Sens!J8770*tk_hold_gb200+Sens!J8771*tk_hold_gb300+Sens!J8773*tk_hold_vr200+Sens!J8772*nv_out_mai*tk_hold_vr200)/Sens!J8761</f>
        <v>11.2032127128058</v>
      </c>
      <c r="K8775" s="15" t="n">
        <f aca="false">(Sens!K8769*tk_hold_h100+Sens!K8770*tk_hold_gb200+Sens!K8771*tk_hold_gb300+Sens!K8773*tk_hold_vr200+Sens!K8772*nv_out_mai*tk_hold_vr200)/Sens!K8761</f>
        <v>11.4085735724225</v>
      </c>
      <c r="L8775" s="12" t="s">
        <v>975</v>
      </c>
    </row>
    <row r="8776" customFormat="false" ht="17.15" hidden="false" customHeight="false" outlineLevel="0" collapsed="false">
      <c r="A8776" s="0" t="s">
        <v>976</v>
      </c>
      <c r="B8776" s="0" t="s">
        <v>229</v>
      </c>
      <c r="C8776" s="15" t="n">
        <f aca="false">k_B</f>
        <v>1.17213932619116</v>
      </c>
      <c r="D8776" s="15" t="n">
        <f aca="false">k_B</f>
        <v>1.17213932619116</v>
      </c>
      <c r="E8776" s="15" t="n">
        <f aca="false">k_B</f>
        <v>1.17213932619116</v>
      </c>
      <c r="F8776" s="15" t="n">
        <f aca="false">(k_B+((ls_B*k_long+(1-ls_B)*k_spot)-k_B)*MIN(1,(Sens!F8759-base_fy)/k_ramp))</f>
        <v>1.17213932619116</v>
      </c>
      <c r="G8776" s="15" t="n">
        <f aca="false">(k_B+((ls_B*k_long+(1-ls_B)*k_spot)-k_B)*MIN(1,(Sens!G8759-base_fy)/k_ramp))</f>
        <v>1.17213932619116</v>
      </c>
      <c r="H8776" s="15" t="n">
        <f aca="false">(k_B+((ls_B*k_long+(1-ls_B)*k_spot)-k_B)*MIN(1,(Sens!H8759-base_fy)/k_ramp))</f>
        <v>1.17213932619116</v>
      </c>
      <c r="I8776" s="15" t="n">
        <f aca="false">(k_B+((ls_B*k_long+(1-ls_B)*k_spot)-k_B)*MIN(1,(Sens!I8759-base_fy)/k_ramp))</f>
        <v>1.17213932619116</v>
      </c>
      <c r="J8776" s="15" t="n">
        <f aca="false">(k_B+((ls_B*k_long+(1-ls_B)*k_spot)-k_B)*MIN(1,(Sens!J8759-base_fy)/k_ramp))</f>
        <v>1.17213932619116</v>
      </c>
      <c r="K8776" s="15" t="n">
        <f aca="false">(k_B+((ls_B*k_long+(1-ls_B)*k_spot)-k_B)*MIN(1,(Sens!K8759-base_fy)/k_ramp))</f>
        <v>1.17213932619116</v>
      </c>
      <c r="L8776" s="1" t="s">
        <v>977</v>
      </c>
    </row>
    <row r="8777" customFormat="false" ht="17.15" hidden="false" customHeight="false" outlineLevel="0" collapsed="false">
      <c r="A8777" s="1" t="s">
        <v>978</v>
      </c>
      <c r="B8777" s="0" t="s">
        <v>403</v>
      </c>
      <c r="C8777" s="15" t="n">
        <f aca="false">Sens!C8775*Sens!C8776*chip_f</f>
        <v>11.3973387156315</v>
      </c>
      <c r="D8777" s="15" t="n">
        <f aca="false">Sens!D8775*Sens!D8776*chip_f</f>
        <v>11.3973387156315</v>
      </c>
      <c r="E8777" s="15" t="n">
        <f aca="false">Sens!E8775*Sens!E8776*chip_f</f>
        <v>11.3973387156315</v>
      </c>
      <c r="F8777" s="15" t="n">
        <f aca="false">Sens!F8775*Sens!F8776*chip_f</f>
        <v>12.0114064284211</v>
      </c>
      <c r="G8777" s="15" t="n">
        <f aca="false">Sens!G8775*Sens!G8776*chip_f</f>
        <v>12.4374066198516</v>
      </c>
      <c r="H8777" s="15" t="n">
        <f aca="false">Sens!H8775*Sens!H8776*chip_f</f>
        <v>12.735045931073</v>
      </c>
      <c r="I8777" s="15" t="n">
        <f aca="false">Sens!I8775*Sens!I8776*chip_f</f>
        <v>12.9563153910195</v>
      </c>
      <c r="J8777" s="15" t="n">
        <f aca="false">Sens!J8775*Sens!J8776*chip_f</f>
        <v>13.1317262003643</v>
      </c>
      <c r="K8777" s="15" t="n">
        <f aca="false">Sens!K8775*Sens!K8776*chip_f</f>
        <v>13.3724377399815</v>
      </c>
      <c r="L8777" s="1" t="s">
        <v>979</v>
      </c>
    </row>
    <row r="8778" customFormat="false" ht="17.15" hidden="false" customHeight="false" outlineLevel="0" collapsed="false">
      <c r="A8778" s="0" t="s">
        <v>980</v>
      </c>
      <c r="B8778" s="0" t="s">
        <v>98</v>
      </c>
      <c r="D8778" s="6" t="n">
        <f aca="false">(Sens!C8761+Sens!D8761)/2*Sens!D8777/1000</f>
        <v>12.9359794422418</v>
      </c>
      <c r="E8778" s="6" t="n">
        <f aca="false">(Sens!D8761+Sens!E8761)/2*Sens!E8777/1000</f>
        <v>27.8095064661409</v>
      </c>
      <c r="F8778" s="6" t="n">
        <f aca="false">(Sens!E8761+Sens!F8761)/2*Sens!F8777/1000</f>
        <v>55.4118315060966</v>
      </c>
      <c r="G8778" s="6" t="n">
        <f aca="false">(Sens!F8761+Sens!G8761)/2*Sens!G8777/1000</f>
        <v>91.2881100675143</v>
      </c>
      <c r="H8778" s="6" t="n">
        <f aca="false">(Sens!G8761+Sens!H8761)/2*Sens!H8777/1000</f>
        <v>128.195273603944</v>
      </c>
      <c r="I8778" s="6" t="n">
        <f aca="false">(Sens!H8761+Sens!I8761)/2*Sens!I8777/1000</f>
        <v>160.601281810405</v>
      </c>
      <c r="J8778" s="6" t="n">
        <f aca="false">(Sens!I8761+Sens!J8761)/2*Sens!J8777/1000</f>
        <v>183.182719793589</v>
      </c>
      <c r="K8778" s="6" t="n">
        <f aca="false">(Sens!J8761+Sens!K8761)/2*Sens!K8777/1000</f>
        <v>197.320124937098</v>
      </c>
      <c r="L8778" s="12" t="s">
        <v>981</v>
      </c>
    </row>
    <row r="8779" customFormat="false" ht="17.15" hidden="false" customHeight="false" outlineLevel="0" collapsed="false">
      <c r="A8779" s="1" t="s">
        <v>982</v>
      </c>
      <c r="B8779" s="0" t="s">
        <v>403</v>
      </c>
      <c r="C8779" s="15" t="n">
        <f aca="false">(Sens!C8769*tk_opex_h100+Sens!C8770*tk_opex_gb200+Sens!C8771*tk_opex_gb300+(Sens!C8773+Sens!C8772)*tk_opex_vr200)/Sens!C8761</f>
        <v>1.88636041306092</v>
      </c>
      <c r="D8779" s="15" t="n">
        <f aca="false">(Sens!D8769*tk_opex_h100+Sens!D8770*tk_opex_gb200+Sens!D8771*tk_opex_gb300+(Sens!D8773+Sens!D8772)*tk_opex_vr200)/Sens!D8761</f>
        <v>1.88636041306092</v>
      </c>
      <c r="E8779" s="15" t="n">
        <f aca="false">(Sens!E8769*tk_opex_h100+Sens!E8770*tk_opex_gb200+Sens!E8771*tk_opex_gb300+(Sens!E8773+Sens!E8772)*tk_opex_vr200)/Sens!E8761</f>
        <v>1.88636041306092</v>
      </c>
      <c r="F8779" s="15" t="n">
        <f aca="false">(Sens!F8769*tk_opex_h100+Sens!F8770*tk_opex_gb200+Sens!F8771*tk_opex_gb300+(Sens!F8773+Sens!F8772)*tk_opex_vr200)/Sens!F8761</f>
        <v>1.95051159746876</v>
      </c>
      <c r="G8779" s="15" t="n">
        <f aca="false">(Sens!G8769*tk_opex_h100+Sens!G8770*tk_opex_gb200+Sens!G8771*tk_opex_gb300+(Sens!G8773+Sens!G8772)*tk_opex_vr200)/Sens!G8761</f>
        <v>1.98836003669956</v>
      </c>
      <c r="H8779" s="15" t="n">
        <f aca="false">(Sens!H8769*tk_opex_h100+Sens!H8770*tk_opex_gb200+Sens!H8771*tk_opex_gb300+(Sens!H8773+Sens!H8772)*tk_opex_vr200)/Sens!H8761</f>
        <v>2.01344013834343</v>
      </c>
      <c r="I8779" s="15" t="n">
        <f aca="false">(Sens!I8769*tk_opex_h100+Sens!I8770*tk_opex_gb200+Sens!I8771*tk_opex_gb300+(Sens!I8773+Sens!I8772)*tk_opex_vr200)/Sens!I8761</f>
        <v>2.03261166882178</v>
      </c>
      <c r="J8779" s="15" t="n">
        <f aca="false">(Sens!J8769*tk_opex_h100+Sens!J8770*tk_opex_gb200+Sens!J8771*tk_opex_gb300+(Sens!J8773+Sens!J8772)*tk_opex_vr200)/Sens!J8761</f>
        <v>2.04808073288745</v>
      </c>
      <c r="K8779" s="15" t="n">
        <f aca="false">(Sens!K8769*tk_opex_h100+Sens!K8770*tk_opex_gb200+Sens!K8771*tk_opex_gb300+(Sens!K8773+Sens!K8772)*tk_opex_vr200)/Sens!K8761</f>
        <v>2.06973825807449</v>
      </c>
      <c r="L8779" s="12" t="s">
        <v>983</v>
      </c>
    </row>
    <row r="8780" customFormat="false" ht="17.15" hidden="false" customHeight="false" outlineLevel="0" collapsed="false">
      <c r="A8780" s="0" t="s">
        <v>984</v>
      </c>
      <c r="B8780" s="0" t="s">
        <v>98</v>
      </c>
      <c r="D8780" s="6" t="n">
        <f aca="false">(Sens!C8764+Sens!D8764)/2*Sens!D8779/1000</f>
        <v>2.70378325872065</v>
      </c>
      <c r="E8780" s="6" t="n">
        <f aca="false">(Sens!D8764+Sens!E8764)/2*Sens!E8779/1000</f>
        <v>6.17783035277451</v>
      </c>
      <c r="F8780" s="6" t="n">
        <f aca="false">(Sens!E8764+Sens!F8764)/2*Sens!F8779/1000</f>
        <v>12.8742463089237</v>
      </c>
      <c r="G8780" s="6" t="n">
        <f aca="false">(Sens!F8764+Sens!G8764)/2*Sens!G8779/1000</f>
        <v>21.8182834646277</v>
      </c>
      <c r="H8780" s="6" t="n">
        <f aca="false">(Sens!G8764+Sens!H8764)/2*Sens!H8779/1000</f>
        <v>31.2430128789734</v>
      </c>
      <c r="I8780" s="6" t="n">
        <f aca="false">(Sens!H8764+Sens!I8764)/2*Sens!I8779/1000</f>
        <v>39.4313057443268</v>
      </c>
      <c r="J8780" s="6" t="n">
        <f aca="false">(Sens!I8764+Sens!J8764)/2*Sens!J8779/1000</f>
        <v>45.0360318228653</v>
      </c>
      <c r="K8780" s="6" t="n">
        <f aca="false">(Sens!J8764+Sens!K8764)/2*Sens!K8779/1000</f>
        <v>48.2929727091156</v>
      </c>
    </row>
    <row r="8781" customFormat="false" ht="17.15" hidden="false" customHeight="false" outlineLevel="0" collapsed="false">
      <c r="A8781" s="0" t="s">
        <v>985</v>
      </c>
      <c r="B8781" s="0" t="s">
        <v>98</v>
      </c>
      <c r="D8781" s="6" t="n">
        <f aca="false">(Sens!C8762+Sens!D8762)/2*rent_mw/1000</f>
        <v>2.44475</v>
      </c>
      <c r="E8781" s="6" t="n">
        <f aca="false">(Sens!D8762+Sens!E8762)/2*rent_mw/1000</f>
        <v>4.22275</v>
      </c>
      <c r="F8781" s="6" t="n">
        <f aca="false">(Sens!E8762+Sens!F8762)/2*rent_mw/1000</f>
        <v>5.80517</v>
      </c>
      <c r="G8781" s="6" t="n">
        <f aca="false">(Sens!F8762+Sens!G8762)/2*rent_mw/1000</f>
        <v>6.72084</v>
      </c>
      <c r="H8781" s="6" t="n">
        <f aca="false">(Sens!G8762+Sens!H8762)/2*rent_mw/1000</f>
        <v>6.72084</v>
      </c>
      <c r="I8781" s="6" t="n">
        <f aca="false">(Sens!H8762+Sens!I8762)/2*rent_mw/1000</f>
        <v>6.72084</v>
      </c>
      <c r="J8781" s="6" t="n">
        <f aca="false">(Sens!I8762+Sens!J8762)/2*rent_mw/1000</f>
        <v>6.72084</v>
      </c>
      <c r="K8781" s="6" t="n">
        <f aca="false">(Sens!J8762+Sens!K8762)/2*rent_mw/1000</f>
        <v>6.72084</v>
      </c>
    </row>
    <row r="8782" customFormat="false" ht="17.15" hidden="false" customHeight="false" outlineLevel="0" collapsed="false">
      <c r="A8782" s="0" t="s">
        <v>986</v>
      </c>
      <c r="B8782" s="0" t="s">
        <v>98</v>
      </c>
      <c r="D8782" s="6" t="n">
        <f aca="false">(Sens!C8764+Sens!D8764)/2*(1-self_build)*fac_rent/1000</f>
        <v>0.853242375631075</v>
      </c>
      <c r="E8782" s="6" t="n">
        <f aca="false">(Sens!D8764+Sens!E8764)/2*(1-self_build)*fac_rent/1000</f>
        <v>1.94955961408728</v>
      </c>
      <c r="F8782" s="6" t="n">
        <f aca="false">(Sens!E8764+Sens!F8764)/2*(1-self_build)*fac_rent/1000</f>
        <v>3.92914894476356</v>
      </c>
      <c r="G8782" s="6" t="n">
        <f aca="false">(Sens!F8764+Sens!G8764)/2*(1-self_build)*fac_rent/1000</f>
        <v>6.53206908578159</v>
      </c>
      <c r="H8782" s="6" t="n">
        <f aca="false">(Sens!G8764+Sens!H8764)/2*(1-self_build)*fac_rent/1000</f>
        <v>9.23717988341591</v>
      </c>
      <c r="I8782" s="6" t="n">
        <f aca="false">(Sens!H8764+Sens!I8764)/2*(1-self_build)*fac_rent/1000</f>
        <v>11.5481378557393</v>
      </c>
      <c r="J8782" s="6" t="n">
        <f aca="false">(Sens!I8764+Sens!J8764)/2*(1-self_build)*fac_rent/1000</f>
        <v>13.0899582289108</v>
      </c>
      <c r="K8782" s="6" t="n">
        <f aca="false">(Sens!J8764+Sens!K8764)/2*(1-self_build)*fac_rent/1000</f>
        <v>13.8897275626556</v>
      </c>
      <c r="L8782" s="12" t="s">
        <v>987</v>
      </c>
    </row>
    <row r="8783" customFormat="false" ht="17.15" hidden="false" customHeight="false" outlineLevel="0" collapsed="false">
      <c r="A8783" s="1" t="s">
        <v>988</v>
      </c>
      <c r="B8783" s="0" t="s">
        <v>168</v>
      </c>
      <c r="D8783" s="7" t="n">
        <f aca="false">(Sens!C8763+Sens!D8763)/(Sens!C8764+Sens!D8764)</f>
        <v>0.6</v>
      </c>
      <c r="E8783" s="7" t="n">
        <f aca="false">(Sens!D8763+Sens!E8763)/(Sens!D8764+Sens!E8764)</f>
        <v>0.6</v>
      </c>
      <c r="F8783" s="7" t="n">
        <f aca="false">(Sens!E8763+Sens!F8763)/(Sens!E8764+Sens!F8764)</f>
        <v>0.6</v>
      </c>
      <c r="G8783" s="7" t="n">
        <f aca="false">(Sens!F8763+Sens!G8763)/(Sens!F8764+Sens!G8764)</f>
        <v>0.6</v>
      </c>
      <c r="H8783" s="7" t="n">
        <f aca="false">(Sens!G8763+Sens!H8763)/(Sens!G8764+Sens!H8764)</f>
        <v>0.6</v>
      </c>
      <c r="I8783" s="7" t="n">
        <f aca="false">(Sens!H8763+Sens!I8763)/(Sens!H8764+Sens!I8764)</f>
        <v>0.6</v>
      </c>
      <c r="J8783" s="7" t="n">
        <f aca="false">(Sens!I8763+Sens!J8763)/(Sens!I8764+Sens!J8764)</f>
        <v>0.6</v>
      </c>
      <c r="K8783" s="7" t="n">
        <f aca="false">(Sens!J8763+Sens!K8763)/(Sens!J8764+Sens!K8764)</f>
        <v>0.6</v>
      </c>
    </row>
    <row r="8784" customFormat="false" ht="17.15" hidden="false" customHeight="false" outlineLevel="0" collapsed="false">
      <c r="A8784" s="0" t="s">
        <v>989</v>
      </c>
      <c r="B8784" s="0" t="s">
        <v>98</v>
      </c>
      <c r="D8784" s="6" t="n">
        <f aca="false">Sens!D8778-Sens!D8783*(Sens!D8780+Sens!D8782)-Sens!D8781</f>
        <v>8.35701406163072</v>
      </c>
      <c r="E8784" s="6" t="n">
        <f aca="false">Sens!E8778-Sens!E8783*(Sens!E8780+Sens!E8782)-Sens!E8781</f>
        <v>18.7103224860238</v>
      </c>
      <c r="F8784" s="6" t="n">
        <f aca="false">Sens!F8778-Sens!F8783*(Sens!F8780+Sens!F8782)-Sens!F8781</f>
        <v>39.5246243538843</v>
      </c>
      <c r="G8784" s="6" t="n">
        <f aca="false">Sens!G8778-Sens!G8783*(Sens!G8780+Sens!G8782)-Sens!G8781</f>
        <v>67.5570585372687</v>
      </c>
      <c r="H8784" s="6" t="n">
        <f aca="false">Sens!H8778-Sens!H8783*(Sens!H8780+Sens!H8782)-Sens!H8781</f>
        <v>97.1863179465102</v>
      </c>
      <c r="I8784" s="6" t="n">
        <f aca="false">Sens!I8778-Sens!I8783*(Sens!I8780+Sens!I8782)-Sens!I8781</f>
        <v>123.292775650365</v>
      </c>
      <c r="J8784" s="6" t="n">
        <f aca="false">Sens!J8778-Sens!J8783*(Sens!J8780+Sens!J8782)-Sens!J8781</f>
        <v>141.586285762524</v>
      </c>
      <c r="K8784" s="6" t="n">
        <f aca="false">Sens!K8778-Sens!K8783*(Sens!K8780+Sens!K8782)-Sens!K8781</f>
        <v>153.289664774035</v>
      </c>
    </row>
    <row r="8785" customFormat="false" ht="17.15" hidden="false" customHeight="false" outlineLevel="0" collapsed="false">
      <c r="A8785" s="1" t="s">
        <v>990</v>
      </c>
      <c r="B8785" s="0" t="s">
        <v>98</v>
      </c>
      <c r="D8785" s="6" t="n">
        <f aca="false">(1-Sens!D8783)*(Sens!D8780+Sens!D8782)</f>
        <v>1.42281025374069</v>
      </c>
      <c r="E8785" s="6" t="n">
        <f aca="false">(1-Sens!E8783)*(Sens!E8780+Sens!E8782)</f>
        <v>3.25095598674472</v>
      </c>
      <c r="F8785" s="6" t="n">
        <f aca="false">(1-Sens!F8783)*(Sens!F8780+Sens!F8782)</f>
        <v>6.72135810147489</v>
      </c>
      <c r="G8785" s="6" t="n">
        <f aca="false">(1-Sens!G8783)*(Sens!G8780+Sens!G8782)</f>
        <v>11.3401410201637</v>
      </c>
      <c r="H8785" s="6" t="n">
        <f aca="false">(1-Sens!H8783)*(Sens!H8780+Sens!H8782)</f>
        <v>16.1920771049557</v>
      </c>
      <c r="I8785" s="6" t="n">
        <f aca="false">(1-Sens!I8783)*(Sens!I8780+Sens!I8782)</f>
        <v>20.3917774400264</v>
      </c>
      <c r="J8785" s="6" t="n">
        <f aca="false">(1-Sens!J8783)*(Sens!J8780+Sens!J8782)</f>
        <v>23.2503960207104</v>
      </c>
      <c r="K8785" s="6" t="n">
        <f aca="false">(1-Sens!K8783)*(Sens!K8780+Sens!K8782)</f>
        <v>24.8730801087085</v>
      </c>
    </row>
    <row r="8786" customFormat="false" ht="17.15" hidden="false" customHeight="false" outlineLevel="0" collapsed="false">
      <c r="A8786" s="1" t="s">
        <v>991</v>
      </c>
      <c r="B8786" s="0" t="s">
        <v>417</v>
      </c>
      <c r="C8786" s="8" t="n">
        <f aca="false">cxit_open</f>
        <v>27.5918995</v>
      </c>
      <c r="D8786" s="8" t="n">
        <f aca="false">cxit_open</f>
        <v>27.5918995</v>
      </c>
      <c r="E8786" s="8" t="n">
        <f aca="false">cxit_open</f>
        <v>27.5918995</v>
      </c>
      <c r="F8786" s="8" t="n">
        <f aca="false">((a_g3_27-nonnv*a_mai)*tk_cxit_gb300+nonnv*a_mai*nv_hold_mai*tk_cxit_vr200+(1-a_g3_27)*tk_cxit_vr200)</f>
        <v>32.4975576</v>
      </c>
      <c r="G8786" s="8" t="n">
        <f aca="false">((a_g3_28-nonnv*a_mai)*tk_cxit_gb300+nonnv*a_mai*nv_hold_mai*tk_cxit_vr200+(1-a_g3_28)*tk_cxit_vr200)</f>
        <v>34.6372088</v>
      </c>
      <c r="H8786" s="8" t="n">
        <f aca="false">((a_g3_29-nonnv*a_mai)*tk_cxit_gb300+nonnv*a_mai*nv_hold_mai*tk_cxit_vr200+(1-a_g3_29)*tk_cxit_vr200)</f>
        <v>35.7070344</v>
      </c>
      <c r="I8786" s="8" t="n">
        <f aca="false">((a_g3_29-nonnv*a_mai)*tk_cxit_gb300+nonnv*a_mai*nv_hold_mai*tk_cxit_vr200+(1-a_g3_29)*tk_cxit_vr200)</f>
        <v>35.7070344</v>
      </c>
      <c r="J8786" s="8" t="n">
        <f aca="false">((a_g3_29-nonnv*a_mai)*tk_cxit_gb300+nonnv*a_mai*nv_hold_mai*tk_cxit_vr200+(1-a_g3_29)*tk_cxit_vr200)</f>
        <v>35.7070344</v>
      </c>
      <c r="K8786" s="8" t="n">
        <f aca="false">((a_g3_29-nonnv*a_mai)*tk_cxit_gb300+nonnv*a_mai*nv_hold_mai*tk_cxit_vr200+(1-a_g3_29)*tk_cxit_vr200)</f>
        <v>35.7070344</v>
      </c>
      <c r="L8786" s="12" t="s">
        <v>992</v>
      </c>
    </row>
    <row r="8787" customFormat="false" ht="17.15" hidden="false" customHeight="false" outlineLevel="0" collapsed="false">
      <c r="A8787" s="0" t="s">
        <v>993</v>
      </c>
      <c r="B8787" s="0" t="s">
        <v>459</v>
      </c>
      <c r="F8787" s="30" t="n">
        <f aca="false">Sens!C8766*IF(Sens!F8759-Sens!C8759=life_it,1,0)+Sens!D8766*IF(Sens!F8759-Sens!D8759=life_it,1,0)+Sens!E8766*IF(Sens!F8759-Sens!E8759=life_it,1,0)</f>
        <v>0</v>
      </c>
      <c r="G8787" s="30" t="n">
        <f aca="false">Sens!C8766*IF(Sens!G8759-Sens!C8759=life_it,1,0)+Sens!D8766*IF(Sens!G8759-Sens!D8759=life_it,1,0)+Sens!E8766*IF(Sens!G8759-Sens!E8759=life_it,1,0)+Sens!F8766*IF(Sens!G8759-Sens!F8759=life_it,1,0)</f>
        <v>0</v>
      </c>
      <c r="H8787" s="30" t="n">
        <f aca="false">Sens!C8766*IF(Sens!H8759-Sens!C8759=life_it,1,0)+Sens!D8766*IF(Sens!H8759-Sens!D8759=life_it,1,0)+Sens!E8766*IF(Sens!H8759-Sens!E8759=life_it,1,0)+Sens!F8766*IF(Sens!H8759-Sens!F8759=life_it,1,0)+Sens!G8766*IF(Sens!H8759-Sens!G8759=life_it,1,0)</f>
        <v>0</v>
      </c>
      <c r="I8787" s="30" t="n">
        <f aca="false">Sens!C8766*IF(Sens!I8759-Sens!C8759=life_it,1,0)+Sens!D8766*IF(Sens!I8759-Sens!D8759=life_it,1,0)+Sens!E8766*IF(Sens!I8759-Sens!E8759=life_it,1,0)+Sens!F8766*IF(Sens!I8759-Sens!F8759=life_it,1,0)+Sens!G8766*IF(Sens!I8759-Sens!G8759=life_it,1,0)+Sens!H8766*IF(Sens!I8759-Sens!H8759=life_it,1,0)</f>
        <v>816.666666666667</v>
      </c>
      <c r="J8787" s="30" t="n">
        <f aca="false">Sens!C8766*IF(Sens!J8759-Sens!C8759=life_it,1,0)+Sens!D8766*IF(Sens!J8759-Sens!D8759=life_it,1,0)+Sens!E8766*IF(Sens!J8759-Sens!E8759=life_it,1,0)+Sens!F8766*IF(Sens!J8759-Sens!F8759=life_it,1,0)+Sens!G8766*IF(Sens!J8759-Sens!G8759=life_it,1,0)+Sens!H8766*IF(Sens!J8759-Sens!H8759=life_it,1,0)+Sens!I8766*IF(Sens!J8759-Sens!I8759=life_it,1,0)</f>
        <v>1233.33333333333</v>
      </c>
      <c r="K8787" s="30" t="n">
        <f aca="false">Sens!C8766*IF(Sens!K8759-Sens!C8759=life_it,1,0)+Sens!D8766*IF(Sens!K8759-Sens!D8759=life_it,1,0)+Sens!E8766*IF(Sens!K8759-Sens!E8759=life_it,1,0)+Sens!F8766*IF(Sens!K8759-Sens!F8759=life_it,1,0)+Sens!G8766*IF(Sens!K8759-Sens!G8759=life_it,1,0)+Sens!H8766*IF(Sens!K8759-Sens!H8759=life_it,1,0)+Sens!I8766*IF(Sens!K8759-Sens!I8759=life_it,1,0)+Sens!J8766*IF(Sens!K8759-Sens!J8759=life_it,1,0)</f>
        <v>2450</v>
      </c>
      <c r="L8787" s="1" t="s">
        <v>994</v>
      </c>
    </row>
    <row r="8788" customFormat="false" ht="17.15" hidden="false" customHeight="false" outlineLevel="0" collapsed="false">
      <c r="A8788" s="0" t="s">
        <v>995</v>
      </c>
      <c r="B8788" s="0" t="s">
        <v>98</v>
      </c>
      <c r="C8788" s="6" t="n">
        <f aca="false">Sens!C8766*Sens!C8786/1000</f>
        <v>22.5333845916667</v>
      </c>
      <c r="D8788" s="6" t="n">
        <f aca="false">Sens!D8766*Sens!D8786/1000</f>
        <v>34.0300093833333</v>
      </c>
      <c r="E8788" s="6" t="n">
        <f aca="false">Sens!E8766*Sens!E8786/1000</f>
        <v>67.600153775</v>
      </c>
      <c r="F8788" s="6" t="n">
        <f aca="false">(Sens!F8766+Sens!F8787)*Sens!F8786/1000</f>
        <v>136.51872432512</v>
      </c>
      <c r="G8788" s="6" t="n">
        <f aca="false">(Sens!G8766+Sens!G8787)*Sens!G8786/1000</f>
        <v>157.399275932048</v>
      </c>
      <c r="H8788" s="6" t="n">
        <f aca="false">(Sens!H8766+Sens!H8787)*Sens!H8786/1000</f>
        <v>162.260804347512</v>
      </c>
      <c r="I8788" s="6" t="n">
        <f aca="false">(Sens!I8766+Sens!I8787)*Sens!I8786/1000</f>
        <v>144.136569485434</v>
      </c>
      <c r="J8788" s="6" t="n">
        <f aca="false">(Sens!J8766+Sens!J8787)*Sens!J8786/1000</f>
        <v>114.029037357864</v>
      </c>
      <c r="K8788" s="6" t="n">
        <f aca="false">(Sens!K8766+Sens!K8787)*Sens!K8786/1000</f>
        <v>113.437085350975</v>
      </c>
    </row>
    <row r="8789" customFormat="false" ht="17.15" hidden="false" customHeight="false" outlineLevel="0" collapsed="false">
      <c r="A8789" s="0" t="s">
        <v>996</v>
      </c>
      <c r="B8789" s="0" t="s">
        <v>98</v>
      </c>
      <c r="C8789" s="6" t="n">
        <f aca="false">Sens!C8766*self_build*tk_cxfac/1000</f>
        <v>6.2083</v>
      </c>
      <c r="D8789" s="6" t="n">
        <f aca="false">Sens!D8766*self_build*tk_cxfac/1000</f>
        <v>9.3758</v>
      </c>
      <c r="E8789" s="6" t="n">
        <f aca="false">Sens!E8766*self_build*tk_cxfac/1000</f>
        <v>18.6249</v>
      </c>
      <c r="F8789" s="6" t="n">
        <f aca="false">Sens!F8766*self_build*tk_cxfac/1000</f>
        <v>31.935179717</v>
      </c>
      <c r="G8789" s="6" t="n">
        <f aca="false">Sens!G8766*self_build*tk_cxfac/1000</f>
        <v>34.545199717</v>
      </c>
      <c r="H8789" s="6" t="n">
        <f aca="false">Sens!H8766*self_build*tk_cxfac/1000</f>
        <v>34.545199717</v>
      </c>
      <c r="I8789" s="6" t="n">
        <f aca="false">Sens!I8766*self_build*tk_cxfac/1000</f>
        <v>24.4782641361767</v>
      </c>
      <c r="J8789" s="6" t="n">
        <f aca="false">Sens!J8766*self_build*tk_cxfac/1000</f>
        <v>14.9008938380769</v>
      </c>
      <c r="K8789" s="6" t="n">
        <f aca="false">Sens!K8766*self_build*tk_cxfac/1000</f>
        <v>5.52576771375761</v>
      </c>
    </row>
    <row r="8790" customFormat="false" ht="17.15" hidden="false" customHeight="false" outlineLevel="0" collapsed="false">
      <c r="A8790" s="0" t="s">
        <v>997</v>
      </c>
      <c r="B8790" s="0" t="s">
        <v>98</v>
      </c>
      <c r="F8790" s="15" t="n">
        <f aca="false">capex_floor27-Sens!F8788-Sens!F8789-Sens!F8886</f>
        <v>-0.183284462617706</v>
      </c>
      <c r="L8790" s="12" t="s">
        <v>998</v>
      </c>
    </row>
    <row r="8791" customFormat="false" ht="17.15" hidden="false" customHeight="false" outlineLevel="0" collapsed="false">
      <c r="A8791" s="0" t="s">
        <v>999</v>
      </c>
      <c r="B8791" s="0" t="s">
        <v>98</v>
      </c>
      <c r="F8791" s="6" t="n">
        <f aca="false">MAX(0,Sens!F8790)</f>
        <v>0</v>
      </c>
    </row>
    <row r="8792" customFormat="false" ht="17.15" hidden="false" customHeight="false" outlineLevel="0" collapsed="false">
      <c r="A8792" s="0" t="s">
        <v>1000</v>
      </c>
      <c r="B8792" s="0" t="s">
        <v>98</v>
      </c>
      <c r="C8792" s="6" t="n">
        <f aca="false">Sens!C8788</f>
        <v>22.5333845916667</v>
      </c>
      <c r="D8792" s="6" t="n">
        <f aca="false">Sens!D8788</f>
        <v>34.0300093833333</v>
      </c>
      <c r="E8792" s="6" t="n">
        <f aca="false">Sens!E8788</f>
        <v>67.600153775</v>
      </c>
      <c r="F8792" s="6" t="n">
        <f aca="false">Sens!F8788</f>
        <v>136.51872432512</v>
      </c>
      <c r="G8792" s="6" t="n">
        <f aca="false">Sens!G8788</f>
        <v>157.399275932048</v>
      </c>
      <c r="H8792" s="6" t="n">
        <f aca="false">Sens!H8788</f>
        <v>162.260804347512</v>
      </c>
      <c r="I8792" s="6" t="n">
        <f aca="false">Sens!I8788</f>
        <v>144.136569485434</v>
      </c>
      <c r="J8792" s="6" t="n">
        <f aca="false">Sens!J8788</f>
        <v>114.029037357864</v>
      </c>
      <c r="K8792" s="6" t="n">
        <f aca="false">Sens!K8788</f>
        <v>113.437085350975</v>
      </c>
    </row>
    <row r="8793" customFormat="false" ht="17.15" hidden="false" customHeight="false" outlineLevel="0" collapsed="false">
      <c r="A8793" s="0" t="s">
        <v>1001</v>
      </c>
      <c r="B8793" s="0" t="s">
        <v>98</v>
      </c>
      <c r="C8793" s="6" t="n">
        <f aca="false">Sens!C8792+Sens!C8789</f>
        <v>28.7416845916667</v>
      </c>
      <c r="D8793" s="6" t="n">
        <f aca="false">Sens!D8792+Sens!D8789</f>
        <v>43.4058093833333</v>
      </c>
      <c r="E8793" s="6" t="n">
        <f aca="false">Sens!E8792+Sens!E8789</f>
        <v>86.225053775</v>
      </c>
      <c r="F8793" s="6" t="n">
        <f aca="false">Sens!F8792+Sens!F8789</f>
        <v>168.45390404212</v>
      </c>
      <c r="G8793" s="6" t="n">
        <f aca="false">Sens!G8792+Sens!G8789</f>
        <v>191.944475649048</v>
      </c>
      <c r="H8793" s="6" t="n">
        <f aca="false">Sens!H8792+Sens!H8789</f>
        <v>196.806004064512</v>
      </c>
      <c r="I8793" s="6" t="n">
        <f aca="false">Sens!I8792+Sens!I8789</f>
        <v>168.61483362161</v>
      </c>
      <c r="J8793" s="6" t="n">
        <f aca="false">Sens!J8792+Sens!J8789</f>
        <v>128.92993119594</v>
      </c>
      <c r="K8793" s="6" t="n">
        <f aca="false">Sens!K8792+Sens!K8789</f>
        <v>118.962853064733</v>
      </c>
      <c r="L8793" s="12" t="s">
        <v>1002</v>
      </c>
    </row>
    <row r="8794" customFormat="false" ht="17.15" hidden="false" customHeight="false" outlineLevel="0" collapsed="false">
      <c r="A8794" s="0" t="s">
        <v>1003</v>
      </c>
      <c r="B8794" s="0" t="s">
        <v>98</v>
      </c>
      <c r="E8794" s="6" t="n">
        <f aca="false">(Sens!C8792*IF(2&lt;life_it,1,IF(2=life_it,0.5,0))+Sens!D8792*IF(1&lt;life_it,1,IF(1=life_it,0.5,0))+Sens!E8792*0.5)/life_it</f>
        <v>15.0605784770833</v>
      </c>
      <c r="F8794" s="6" t="n">
        <f aca="false">(Sens!C8792*IF(3&lt;life_it,1,IF(3=life_it,0.5,0))+Sens!D8792*IF(2&lt;life_it,1,IF(2=life_it,0.5,0))+Sens!E8792*IF(1&lt;life_it,1,IF(1=life_it,0.5,0))+Sens!F8792*0.5)/life_it</f>
        <v>32.0704849854266</v>
      </c>
      <c r="G8794" s="6" t="n">
        <f aca="false">(Sens!C8792*IF(4&lt;life_it,1,IF(4=life_it,0.5,0))+Sens!D8792*IF(3&lt;life_it,1,IF(3=life_it,0.5,0))+Sens!E8792*IF(2&lt;life_it,1,IF(2=life_it,0.5,0))+Sens!F8792*IF(1&lt;life_it,1,IF(1=life_it,0.5,0))+Sens!G8792*0.5)/life_it</f>
        <v>56.5636516735239</v>
      </c>
      <c r="H8794" s="6" t="n">
        <f aca="false">(Sens!C8792*IF(5&lt;life_it,1,IF(5=life_it,0.5,0))+Sens!D8792*IF(4&lt;life_it,1,IF(4=life_it,0.5,0))+Sens!E8792*IF(3&lt;life_it,1,IF(3=life_it,0.5,0))+Sens!F8792*IF(2&lt;life_it,1,IF(2=life_it,0.5,0))+Sens!G8792*IF(1&lt;life_it,1,IF(1=life_it,0.5,0))+Sens!H8792*0.5)/life_it</f>
        <v>83.2019916968207</v>
      </c>
      <c r="I8794" s="6" t="n">
        <f aca="false">(Sens!C8792*IF(6&lt;life_it,1,IF(6=life_it,0.5,0))+Sens!D8792*IF(5&lt;life_it,1,IF(5=life_it,0.5,0))+Sens!E8792*IF(4&lt;life_it,1,IF(4=life_it,0.5,0))+Sens!F8792*IF(3&lt;life_it,1,IF(3=life_it,0.5,0))+Sens!G8792*IF(2&lt;life_it,1,IF(2=life_it,0.5,0))+Sens!H8792*IF(1&lt;life_it,1,IF(1=life_it,0.5,0))+Sens!I8792*0.5)/life_it</f>
        <v>106.857324133594</v>
      </c>
      <c r="J8794" s="6" t="n">
        <f aca="false">(Sens!C8792*IF(7&lt;life_it,1,IF(7=life_it,0.5,0))+Sens!D8792*IF(6&lt;life_it,1,IF(6=life_it,0.5,0))+Sens!E8792*IF(5&lt;life_it,1,IF(5=life_it,0.5,0))+Sens!F8792*IF(4&lt;life_it,1,IF(4=life_it,0.5,0))+Sens!G8792*IF(3&lt;life_it,1,IF(3=life_it,0.5,0))+Sens!H8792*IF(2&lt;life_it,1,IF(2=life_it,0.5,0))+Sens!I8792*IF(1&lt;life_it,1,IF(1=life_it,0.5,0))+Sens!J8792*0.5)/life_it</f>
        <v>123.657508539285</v>
      </c>
      <c r="K8794" s="6" t="n">
        <f aca="false">(Sens!C8792*IF(8&lt;life_it,1,IF(8=life_it,0.5,0))+Sens!D8792*IF(7&lt;life_it,1,IF(7=life_it,0.5,0))+Sens!E8792*IF(6&lt;life_it,1,IF(6=life_it,0.5,0))+Sens!F8792*IF(5&lt;life_it,1,IF(5=life_it,0.5,0))+Sens!G8792*IF(4&lt;life_it,1,IF(4=life_it,0.5,0))+Sens!H8792*IF(3&lt;life_it,1,IF(3=life_it,0.5,0))+Sens!I8792*IF(2&lt;life_it,1,IF(2=life_it,0.5,0))+Sens!J8792*IF(1&lt;life_it,1,IF(1=life_it,0.5,0))+Sens!K8792*0.5)/life_it</f>
        <v>134.143838501827</v>
      </c>
    </row>
    <row r="8795" customFormat="false" ht="17.15" hidden="false" customHeight="false" outlineLevel="0" collapsed="false">
      <c r="A8795" s="0" t="s">
        <v>1004</v>
      </c>
      <c r="B8795" s="0" t="s">
        <v>98</v>
      </c>
      <c r="E8795" s="6" t="n">
        <f aca="false">(Sens!C8789*IF(2&lt;life_fac,1,IF(2=life_fac,0.5,0))+Sens!D8789*IF(1&lt;life_fac,1,IF(1=life_fac,0.5,0))+Sens!E8789*0.5)/life_fac</f>
        <v>1.2448275</v>
      </c>
      <c r="F8795" s="6" t="n">
        <f aca="false">(Sens!C8789*IF(3&lt;life_fac,1,IF(3=life_fac,0.5,0))+Sens!D8789*IF(2&lt;life_fac,1,IF(2=life_fac,0.5,0))+Sens!E8789*IF(1&lt;life_fac,1,IF(1=life_fac,0.5,0))+Sens!F8789*0.5)/life_fac</f>
        <v>2.508829492925</v>
      </c>
      <c r="G8795" s="6" t="n">
        <f aca="false">(Sens!C8789*IF(4&lt;life_fac,1,IF(4=life_fac,0.5,0))+Sens!D8789*IF(3&lt;life_fac,1,IF(3=life_fac,0.5,0))+Sens!E8789*IF(2&lt;life_fac,1,IF(2=life_fac,0.5,0))+Sens!F8789*IF(1&lt;life_fac,1,IF(1=life_fac,0.5,0))+Sens!G8789*0.5)/life_fac</f>
        <v>4.170838978775</v>
      </c>
      <c r="H8795" s="6" t="n">
        <f aca="false">(Sens!C8789*IF(5&lt;life_fac,1,IF(5=life_fac,0.5,0))+Sens!D8789*IF(4&lt;life_fac,1,IF(4=life_fac,0.5,0))+Sens!E8789*IF(3&lt;life_fac,1,IF(3=life_fac,0.5,0))+Sens!F8789*IF(2&lt;life_fac,1,IF(2=life_fac,0.5,0))+Sens!G8789*IF(1&lt;life_fac,1,IF(1=life_fac,0.5,0))+Sens!H8789*0.5)/life_fac</f>
        <v>5.898098964625</v>
      </c>
      <c r="I8795" s="6" t="n">
        <f aca="false">(Sens!C8789*IF(6&lt;life_fac,1,IF(6=life_fac,0.5,0))+Sens!D8789*IF(5&lt;life_fac,1,IF(5=life_fac,0.5,0))+Sens!E8789*IF(4&lt;life_fac,1,IF(4=life_fac,0.5,0))+Sens!F8789*IF(3&lt;life_fac,1,IF(3=life_fac,0.5,0))+Sens!G8789*IF(2&lt;life_fac,1,IF(2=life_fac,0.5,0))+Sens!H8789*IF(1&lt;life_fac,1,IF(1=life_fac,0.5,0))+Sens!I8789*0.5)/life_fac</f>
        <v>7.37368556095442</v>
      </c>
      <c r="J8795" s="6" t="n">
        <f aca="false">(Sens!C8789*IF(7&lt;life_fac,1,IF(7=life_fac,0.5,0))+Sens!D8789*IF(6&lt;life_fac,1,IF(6=life_fac,0.5,0))+Sens!E8789*IF(5&lt;life_fac,1,IF(5=life_fac,0.5,0))+Sens!F8789*IF(4&lt;life_fac,1,IF(4=life_fac,0.5,0))+Sens!G8789*IF(3&lt;life_fac,1,IF(3=life_fac,0.5,0))+Sens!H8789*IF(2&lt;life_fac,1,IF(2=life_fac,0.5,0))+Sens!I8789*IF(1&lt;life_fac,1,IF(1=life_fac,0.5,0))+Sens!J8789*0.5)/life_fac</f>
        <v>8.35816451031075</v>
      </c>
      <c r="K8795" s="6" t="n">
        <f aca="false">(Sens!C8789*IF(8&lt;life_fac,1,IF(8=life_fac,0.5,0))+Sens!D8789*IF(7&lt;life_fac,1,IF(7=life_fac,0.5,0))+Sens!E8789*IF(6&lt;life_fac,1,IF(6=life_fac,0.5,0))+Sens!F8789*IF(5&lt;life_fac,1,IF(5=life_fac,0.5,0))+Sens!G8789*IF(4&lt;life_fac,1,IF(4=life_fac,0.5,0))+Sens!H8789*IF(3&lt;life_fac,1,IF(3=life_fac,0.5,0))+Sens!I8789*IF(2&lt;life_fac,1,IF(2=life_fac,0.5,0))+Sens!J8789*IF(1&lt;life_fac,1,IF(1=life_fac,0.5,0))+Sens!K8789*0.5)/life_fac</f>
        <v>8.86883104910662</v>
      </c>
    </row>
    <row r="8796" customFormat="false" ht="17.15" hidden="false" customHeight="false" outlineLevel="0" collapsed="false">
      <c r="A8796" s="0" t="s">
        <v>1005</v>
      </c>
      <c r="B8796" s="0" t="s">
        <v>98</v>
      </c>
      <c r="E8796" s="6" t="n">
        <f aca="false">Sens!E8794+Sens!E8795</f>
        <v>16.3054059770833</v>
      </c>
      <c r="F8796" s="6" t="n">
        <f aca="false">Sens!F8794+Sens!F8795</f>
        <v>34.5793144783516</v>
      </c>
      <c r="G8796" s="6" t="n">
        <f aca="false">Sens!G8794+Sens!G8795</f>
        <v>60.7344906522989</v>
      </c>
      <c r="H8796" s="6" t="n">
        <f aca="false">Sens!H8794+Sens!H8795</f>
        <v>89.1000906614457</v>
      </c>
      <c r="I8796" s="6" t="n">
        <f aca="false">Sens!I8794+Sens!I8795</f>
        <v>114.231009694548</v>
      </c>
      <c r="J8796" s="6" t="n">
        <f aca="false">Sens!J8794+Sens!J8795</f>
        <v>132.015673049596</v>
      </c>
      <c r="K8796" s="6" t="n">
        <f aca="false">Sens!K8794+Sens!K8795</f>
        <v>143.012669550934</v>
      </c>
    </row>
    <row r="8797" customFormat="false" ht="17.15" hidden="false" customHeight="false" outlineLevel="0" collapsed="false">
      <c r="A8797" s="0" t="s">
        <v>1006</v>
      </c>
      <c r="B8797" s="0" t="s">
        <v>98</v>
      </c>
      <c r="E8797" s="6" t="n">
        <f aca="false">Sens!E8784-Sens!E8783*Sens!E8796</f>
        <v>8.92707889977379</v>
      </c>
      <c r="F8797" s="6" t="n">
        <f aca="false">Sens!F8784-Sens!F8783*Sens!F8796</f>
        <v>18.7770356668733</v>
      </c>
      <c r="G8797" s="6" t="n">
        <f aca="false">Sens!G8784-Sens!G8783*Sens!G8796</f>
        <v>31.1163641458894</v>
      </c>
      <c r="H8797" s="6" t="n">
        <f aca="false">Sens!H8784-Sens!H8783*Sens!H8796</f>
        <v>43.7262635496428</v>
      </c>
      <c r="I8797" s="6" t="n">
        <f aca="false">Sens!I8784-Sens!I8783*Sens!I8796</f>
        <v>54.7541698336361</v>
      </c>
      <c r="J8797" s="6" t="n">
        <f aca="false">Sens!J8784-Sens!J8783*Sens!J8796</f>
        <v>62.3768819327658</v>
      </c>
      <c r="K8797" s="6" t="n">
        <f aca="false">Sens!K8784-Sens!K8783*Sens!K8796</f>
        <v>67.4820630434748</v>
      </c>
    </row>
    <row r="8798" customFormat="false" ht="17.15" hidden="false" customHeight="false" outlineLevel="0" collapsed="false">
      <c r="A8798" s="3" t="s">
        <v>1831</v>
      </c>
    </row>
    <row r="8799" customFormat="false" ht="15" hidden="false" customHeight="false" outlineLevel="0" collapsed="false">
      <c r="A8799" s="4" t="s">
        <v>43</v>
      </c>
      <c r="B8799" s="4" t="s">
        <v>65</v>
      </c>
      <c r="C8799" s="23" t="s">
        <v>942</v>
      </c>
      <c r="D8799" s="23" t="s">
        <v>943</v>
      </c>
      <c r="E8799" s="23" t="s">
        <v>944</v>
      </c>
      <c r="F8799" s="23" t="s">
        <v>945</v>
      </c>
      <c r="G8799" s="23" t="s">
        <v>946</v>
      </c>
      <c r="H8799" s="23" t="s">
        <v>947</v>
      </c>
      <c r="I8799" s="23" t="s">
        <v>948</v>
      </c>
      <c r="J8799" s="23" t="s">
        <v>949</v>
      </c>
      <c r="K8799" s="23" t="s">
        <v>950</v>
      </c>
      <c r="L8799" s="4" t="s">
        <v>47</v>
      </c>
    </row>
    <row r="8800" customFormat="false" ht="17.15" hidden="false" customHeight="false" outlineLevel="0" collapsed="false">
      <c r="A8800" s="0" t="s">
        <v>1025</v>
      </c>
      <c r="B8800" s="0" t="s">
        <v>98</v>
      </c>
      <c r="D8800" s="6" t="n">
        <f aca="false">Sens!D8778</f>
        <v>12.9359794422418</v>
      </c>
      <c r="E8800" s="6" t="n">
        <f aca="false">Sens!E8778</f>
        <v>27.8095064661409</v>
      </c>
      <c r="F8800" s="6" t="n">
        <f aca="false">Sens!F8778</f>
        <v>55.4118315060966</v>
      </c>
      <c r="G8800" s="6" t="n">
        <f aca="false">Sens!G8778</f>
        <v>91.2881100675143</v>
      </c>
      <c r="H8800" s="6" t="n">
        <f aca="false">Sens!H8778</f>
        <v>128.195273603944</v>
      </c>
      <c r="I8800" s="6" t="n">
        <f aca="false">Sens!I8778</f>
        <v>160.601281810405</v>
      </c>
      <c r="J8800" s="6" t="n">
        <f aca="false">Sens!J8778</f>
        <v>183.182719793589</v>
      </c>
      <c r="K8800" s="6" t="n">
        <f aca="false">Sens!K8778</f>
        <v>197.320124937098</v>
      </c>
    </row>
    <row r="8801" customFormat="false" ht="17.15" hidden="false" customHeight="false" outlineLevel="0" collapsed="false">
      <c r="A8801" s="0" t="s">
        <v>1026</v>
      </c>
      <c r="B8801" s="0" t="s">
        <v>98</v>
      </c>
      <c r="D8801" s="6" t="n">
        <f aca="false">Q!L6-Sens!D8800</f>
        <v>59.6740205577583</v>
      </c>
      <c r="E8801" s="6" t="n">
        <f aca="false">Q!M6-Sens!E8800</f>
        <v>74.1284935338591</v>
      </c>
      <c r="F8801" s="6" t="n">
        <f aca="false">Q!$I$6+(Sens!F8800+Sens!E8801*(1+Sens!F8802))*(1-Q!$E$6/Q!M6)-Sens!F8800</f>
        <v>91.2972164940844</v>
      </c>
      <c r="G8801" s="6" t="n">
        <f aca="false">Sens!F8801*(1+Sens!G8802)</f>
        <v>108.474719793879</v>
      </c>
      <c r="H8801" s="6" t="n">
        <f aca="false">Sens!G8801*(1+Sens!H8802)</f>
        <v>125.951292505701</v>
      </c>
      <c r="I8801" s="6" t="n">
        <f aca="false">Sens!H8801*(1+Sens!I8802)</f>
        <v>142.838165154212</v>
      </c>
      <c r="J8801" s="6" t="n">
        <f aca="false">Sens!I8801*(1+Sens!J8802)</f>
        <v>158.12717866615</v>
      </c>
      <c r="K8801" s="6" t="n">
        <f aca="false">Sens!J8801*(1+Sens!K8802)</f>
        <v>170.777352959442</v>
      </c>
      <c r="L8801" s="12" t="s">
        <v>1027</v>
      </c>
    </row>
    <row r="8802" customFormat="false" ht="15" hidden="false" customHeight="false" outlineLevel="0" collapsed="false">
      <c r="A8802" s="1" t="s">
        <v>1028</v>
      </c>
      <c r="B8802" s="0" t="s">
        <v>168</v>
      </c>
      <c r="E8802" s="7" t="n">
        <f aca="false">Sens!E8801/Sens!D8801-1</f>
        <v>0.242223883039864</v>
      </c>
      <c r="F8802" s="7" t="n">
        <f aca="false">Sens!$E$8802+(glt_azo-Sens!$E$8802)*MIN(1,(Sens!F8759-base_fy)/n_conv)</f>
        <v>0.215186569199887</v>
      </c>
      <c r="G8802" s="7" t="n">
        <f aca="false">Sens!$E$8802+(glt_azo-Sens!$E$8802)*MIN(1,(Sens!G8759-base_fy)/n_conv)</f>
        <v>0.18814925535991</v>
      </c>
      <c r="H8802" s="7" t="n">
        <f aca="false">Sens!$E$8802+(glt_azo-Sens!$E$8802)*MIN(1,(Sens!H8759-base_fy)/n_conv)</f>
        <v>0.161111941519932</v>
      </c>
      <c r="I8802" s="7" t="n">
        <f aca="false">Sens!$E$8802+(glt_azo-Sens!$E$8802)*MIN(1,(Sens!I8759-base_fy)/n_conv)</f>
        <v>0.134074627679955</v>
      </c>
      <c r="J8802" s="7" t="n">
        <f aca="false">Sens!$E$8802+(glt_azo-Sens!$E$8802)*MIN(1,(Sens!J8759-base_fy)/n_conv)</f>
        <v>0.107037313839977</v>
      </c>
      <c r="K8802" s="7" t="n">
        <f aca="false">Sens!$E$8802+(glt_azo-Sens!$E$8802)*MIN(1,(Sens!K8759-base_fy)/n_conv)</f>
        <v>0.08</v>
      </c>
    </row>
    <row r="8803" customFormat="false" ht="15" hidden="false" customHeight="false" outlineLevel="0" collapsed="false">
      <c r="A8803" s="0" t="s">
        <v>1029</v>
      </c>
      <c r="B8803" s="0" t="s">
        <v>98</v>
      </c>
      <c r="D8803" s="6" t="n">
        <f aca="false">Sens!D8800+Sens!D8801</f>
        <v>72.61</v>
      </c>
      <c r="E8803" s="6" t="n">
        <f aca="false">Sens!E8800+Sens!E8801</f>
        <v>101.938</v>
      </c>
      <c r="F8803" s="6" t="n">
        <f aca="false">Sens!F8800+Sens!F8801</f>
        <v>146.709048000181</v>
      </c>
      <c r="G8803" s="6" t="n">
        <f aca="false">Sens!G8800+Sens!G8801</f>
        <v>199.762829861393</v>
      </c>
      <c r="H8803" s="6" t="n">
        <f aca="false">Sens!H8800+Sens!H8801</f>
        <v>254.146566109645</v>
      </c>
      <c r="I8803" s="6" t="n">
        <f aca="false">Sens!I8800+Sens!I8801</f>
        <v>303.439446964617</v>
      </c>
      <c r="J8803" s="6" t="n">
        <f aca="false">Sens!J8800+Sens!J8801</f>
        <v>341.309898459739</v>
      </c>
      <c r="K8803" s="6" t="n">
        <f aca="false">Sens!K8800+Sens!K8801</f>
        <v>368.09747789654</v>
      </c>
    </row>
    <row r="8804" customFormat="false" ht="17.15" hidden="false" customHeight="false" outlineLevel="0" collapsed="false">
      <c r="A8804" s="0" t="s">
        <v>1030</v>
      </c>
      <c r="B8804" s="1" t="s">
        <v>613</v>
      </c>
      <c r="C8804" s="30" t="n">
        <f aca="false">cop_s24</f>
        <v>1</v>
      </c>
      <c r="D8804" s="30" t="n">
        <f aca="false">cop_s25</f>
        <v>5</v>
      </c>
      <c r="E8804" s="30" t="n">
        <f aca="false">cop_s26</f>
        <v>30</v>
      </c>
      <c r="F8804" s="30" t="n">
        <f aca="false">Sens!E8804+cop_add_B</f>
        <v>50</v>
      </c>
      <c r="G8804" s="30" t="n">
        <f aca="false">Sens!F8804+cop_add_B</f>
        <v>70</v>
      </c>
      <c r="H8804" s="30" t="n">
        <f aca="false">Sens!G8804+cop_add_B</f>
        <v>90</v>
      </c>
      <c r="I8804" s="30" t="n">
        <f aca="false">Sens!H8804+cop_add_B*cop_tail</f>
        <v>100</v>
      </c>
      <c r="J8804" s="30" t="n">
        <f aca="false">Sens!I8804+cop_add_B*cop_tail</f>
        <v>110</v>
      </c>
      <c r="K8804" s="30" t="n">
        <f aca="false">Sens!J8804+cop_add_B*cop_tail</f>
        <v>120</v>
      </c>
      <c r="L8804" s="12" t="s">
        <v>1031</v>
      </c>
    </row>
    <row r="8805" customFormat="false" ht="17.15" hidden="false" customHeight="false" outlineLevel="0" collapsed="false">
      <c r="A8805" s="0" t="s">
        <v>1032</v>
      </c>
      <c r="B8805" s="0" t="s">
        <v>98</v>
      </c>
      <c r="D8805" s="6" t="n">
        <f aca="false">(Sens!C8804+Sens!D8804)/2*cop_px*12/1000</f>
        <v>0.9</v>
      </c>
      <c r="E8805" s="6" t="n">
        <f aca="false">(Sens!D8804+Sens!E8804)/2*cop_px*12/1000</f>
        <v>5.25</v>
      </c>
      <c r="F8805" s="6" t="n">
        <f aca="false">(Sens!E8804+Sens!F8804)/2*cop_px_hi*12/1000</f>
        <v>14.4</v>
      </c>
      <c r="G8805" s="6" t="n">
        <f aca="false">(Sens!F8804+Sens!G8804)/2*cop_px_hi*12/1000</f>
        <v>21.6</v>
      </c>
      <c r="H8805" s="6" t="n">
        <f aca="false">(Sens!G8804+Sens!H8804)/2*cop_px_hi*12/1000</f>
        <v>28.8</v>
      </c>
      <c r="I8805" s="6" t="n">
        <f aca="false">(Sens!H8804+Sens!I8804)/2*cop_px_hi*12/1000</f>
        <v>34.2</v>
      </c>
      <c r="J8805" s="6" t="n">
        <f aca="false">(Sens!I8804+Sens!J8804)/2*cop_px_hi*12/1000</f>
        <v>37.8</v>
      </c>
      <c r="K8805" s="6" t="n">
        <f aca="false">(Sens!J8804+Sens!K8804)/2*cop_px_hi*12/1000</f>
        <v>41.4</v>
      </c>
      <c r="L8805" s="1" t="s">
        <v>1033</v>
      </c>
    </row>
    <row r="8806" customFormat="false" ht="17.15" hidden="false" customHeight="false" outlineLevel="0" collapsed="false">
      <c r="A8806" s="0" t="s">
        <v>1034</v>
      </c>
      <c r="B8806" s="0" t="s">
        <v>98</v>
      </c>
      <c r="D8806" s="6" t="n">
        <f aca="false">Q!L7-Sens!D8805</f>
        <v>83.705</v>
      </c>
      <c r="E8806" s="6" t="n">
        <f aca="false">Q!M7-Sens!E8805</f>
        <v>95.049</v>
      </c>
      <c r="F8806" s="6" t="n">
        <f aca="false">Q!$I$7+(Sens!E8806*(1+Sens!F8807)+Sens!F8805)*(1-Q!$E$7/Q!M7)-Sens!F8805</f>
        <v>106.017042910501</v>
      </c>
      <c r="G8806" s="6" t="n">
        <f aca="false">Sens!F8806*(1+Sens!G8807)</f>
        <v>118.069312308709</v>
      </c>
      <c r="H8806" s="6" t="n">
        <f aca="false">Sens!G8806*(1+Sens!H8807)</f>
        <v>130.20232529423</v>
      </c>
      <c r="I8806" s="6" t="n">
        <f aca="false">Sens!H8806*(1+Sens!I8807)</f>
        <v>142.160261568698</v>
      </c>
      <c r="J8806" s="6" t="n">
        <f aca="false">Sens!I8806*(1+Sens!J8807)</f>
        <v>153.66395439937</v>
      </c>
      <c r="K8806" s="6" t="n">
        <f aca="false">Sens!J8806*(1+Sens!K8807)</f>
        <v>164.420431207326</v>
      </c>
      <c r="L8806" s="12" t="s">
        <v>1035</v>
      </c>
    </row>
    <row r="8807" customFormat="false" ht="15" hidden="false" customHeight="false" outlineLevel="0" collapsed="false">
      <c r="A8807" s="1" t="s">
        <v>1028</v>
      </c>
      <c r="B8807" s="0" t="s">
        <v>168</v>
      </c>
      <c r="E8807" s="7" t="n">
        <f aca="false">Sens!E8806/Sens!D8806-1</f>
        <v>0.135523564900544</v>
      </c>
      <c r="F8807" s="7" t="n">
        <f aca="false">Sens!$E$8807+(glt_m365b-Sens!$E$8807)*MIN(1,(Sens!F8759-base_fy)/n_conv)</f>
        <v>0.124602970750453</v>
      </c>
      <c r="G8807" s="7" t="n">
        <f aca="false">Sens!$E$8807+(glt_m365b-Sens!$E$8807)*MIN(1,(Sens!G8759-base_fy)/n_conv)</f>
        <v>0.113682376600363</v>
      </c>
      <c r="H8807" s="7" t="n">
        <f aca="false">Sens!$E$8807+(glt_m365b-Sens!$E$8807)*MIN(1,(Sens!H8759-base_fy)/n_conv)</f>
        <v>0.102761782450272</v>
      </c>
      <c r="I8807" s="7" t="n">
        <f aca="false">Sens!$E$8807+(glt_m365b-Sens!$E$8807)*MIN(1,(Sens!I8759-base_fy)/n_conv)</f>
        <v>0.0918411883001813</v>
      </c>
      <c r="J8807" s="7" t="n">
        <f aca="false">Sens!$E$8807+(glt_m365b-Sens!$E$8807)*MIN(1,(Sens!J8759-base_fy)/n_conv)</f>
        <v>0.0809205941500906</v>
      </c>
      <c r="K8807" s="7" t="n">
        <f aca="false">Sens!$E$8807+(glt_m365b-Sens!$E$8807)*MIN(1,(Sens!K8759-base_fy)/n_conv)</f>
        <v>0.07</v>
      </c>
    </row>
    <row r="8808" customFormat="false" ht="15" hidden="false" customHeight="false" outlineLevel="0" collapsed="false">
      <c r="A8808" s="0" t="s">
        <v>1036</v>
      </c>
      <c r="B8808" s="0" t="s">
        <v>98</v>
      </c>
      <c r="D8808" s="6" t="n">
        <f aca="false">Sens!D8806+Sens!D8805</f>
        <v>84.605</v>
      </c>
      <c r="E8808" s="6" t="n">
        <f aca="false">Sens!E8806+Sens!E8805</f>
        <v>100.299</v>
      </c>
      <c r="F8808" s="6" t="n">
        <f aca="false">Sens!F8806+Sens!F8805</f>
        <v>120.417042910501</v>
      </c>
      <c r="G8808" s="6" t="n">
        <f aca="false">Sens!G8806+Sens!G8805</f>
        <v>139.669312308709</v>
      </c>
      <c r="H8808" s="6" t="n">
        <f aca="false">Sens!H8806+Sens!H8805</f>
        <v>159.00232529423</v>
      </c>
      <c r="I8808" s="6" t="n">
        <f aca="false">Sens!I8806+Sens!I8805</f>
        <v>176.360261568698</v>
      </c>
      <c r="J8808" s="6" t="n">
        <f aca="false">Sens!J8806+Sens!J8805</f>
        <v>191.46395439937</v>
      </c>
      <c r="K8808" s="6" t="n">
        <f aca="false">Sens!K8806+Sens!K8805</f>
        <v>205.820431207326</v>
      </c>
    </row>
    <row r="8809" customFormat="false" ht="17.15" hidden="false" customHeight="false" outlineLevel="0" collapsed="false">
      <c r="A8809" s="0" t="s">
        <v>1037</v>
      </c>
      <c r="B8809" s="0" t="s">
        <v>98</v>
      </c>
      <c r="D8809" s="6" t="n">
        <f aca="false">Q!L8</f>
        <v>35.391</v>
      </c>
      <c r="E8809" s="6" t="n">
        <f aca="false">Q!M8</f>
        <v>37.285</v>
      </c>
      <c r="F8809" s="6" t="n">
        <f aca="false">Q!$I$8+(Q!M8-Q!$E$8)*(1+Sens!F8810)</f>
        <v>38.3851437782675</v>
      </c>
      <c r="G8809" s="6" t="n">
        <f aca="false">Sens!F8809*(1+Sens!G8810)</f>
        <v>40.0105353288615</v>
      </c>
      <c r="H8809" s="6" t="n">
        <f aca="false">Sens!G8809*(1+Sens!H8810)</f>
        <v>41.4812512033683</v>
      </c>
      <c r="I8809" s="6" t="n">
        <f aca="false">Sens!H8809*(1+Sens!I8810)</f>
        <v>42.7743107216329</v>
      </c>
      <c r="J8809" s="6" t="n">
        <f aca="false">Sens!I8809*(1+Sens!J8810)</f>
        <v>43.8687373064601</v>
      </c>
      <c r="K8809" s="6" t="n">
        <f aca="false">Sens!J8809*(1+Sens!K8810)</f>
        <v>44.7461120525893</v>
      </c>
      <c r="L8809" s="12" t="s">
        <v>1038</v>
      </c>
    </row>
    <row r="8810" customFormat="false" ht="15" hidden="false" customHeight="false" outlineLevel="0" collapsed="false">
      <c r="A8810" s="1" t="s">
        <v>1028</v>
      </c>
      <c r="B8810" s="0" t="s">
        <v>168</v>
      </c>
      <c r="E8810" s="7" t="n">
        <f aca="false">Sens!E8809/Sens!D8809-1</f>
        <v>0.0535164307309768</v>
      </c>
      <c r="F8810" s="7" t="n">
        <f aca="false">Sens!$E$8810+(glt_lic-Sens!$E$8810)*MIN(1,(Sens!F8759-base_fy)/n_conv)</f>
        <v>0.0479303589424807</v>
      </c>
      <c r="G8810" s="7" t="n">
        <f aca="false">Sens!$E$8810+(glt_lic-Sens!$E$8810)*MIN(1,(Sens!G8759-base_fy)/n_conv)</f>
        <v>0.0423442871539845</v>
      </c>
      <c r="H8810" s="7" t="n">
        <f aca="false">Sens!$E$8810+(glt_lic-Sens!$E$8810)*MIN(1,(Sens!H8759-base_fy)/n_conv)</f>
        <v>0.0367582153654884</v>
      </c>
      <c r="I8810" s="7" t="n">
        <f aca="false">Sens!$E$8810+(glt_lic-Sens!$E$8810)*MIN(1,(Sens!I8759-base_fy)/n_conv)</f>
        <v>0.0311721435769923</v>
      </c>
      <c r="J8810" s="7" t="n">
        <f aca="false">Sens!$E$8810+(glt_lic-Sens!$E$8810)*MIN(1,(Sens!J8759-base_fy)/n_conv)</f>
        <v>0.0255860717884961</v>
      </c>
      <c r="K8810" s="7" t="n">
        <f aca="false">Sens!$E$8810+(glt_lic-Sens!$E$8810)*MIN(1,(Sens!K8759-base_fy)/n_conv)</f>
        <v>0.02</v>
      </c>
    </row>
    <row r="8811" customFormat="false" ht="17.15" hidden="false" customHeight="false" outlineLevel="0" collapsed="false">
      <c r="A8811" s="0" t="s">
        <v>1039</v>
      </c>
      <c r="B8811" s="0" t="s">
        <v>98</v>
      </c>
      <c r="D8811" s="6" t="n">
        <f aca="false">Q!L9</f>
        <v>18.417</v>
      </c>
      <c r="E8811" s="6" t="n">
        <f aca="false">Q!M9</f>
        <v>20.345</v>
      </c>
      <c r="F8811" s="6" t="n">
        <f aca="false">Q!$I$9+(Q!M9-Q!$E$9)*(1+Sens!F8812)</f>
        <v>22.3161797133988</v>
      </c>
      <c r="G8811" s="6" t="n">
        <f aca="false">Sens!F8811*(1+Sens!G8812)</f>
        <v>24.3943499673233</v>
      </c>
      <c r="H8811" s="6" t="n">
        <f aca="false">Sens!G8811*(1+Sens!H8812)</f>
        <v>26.5250243109019</v>
      </c>
      <c r="I8811" s="6" t="n">
        <f aca="false">Sens!H8811*(1+Sens!I8812)</f>
        <v>28.6884573538181</v>
      </c>
      <c r="J8811" s="6" t="n">
        <f aca="false">Sens!I8811*(1+Sens!J8812)</f>
        <v>30.8624968052127</v>
      </c>
      <c r="K8811" s="6" t="n">
        <f aca="false">Sens!J8811*(1+Sens!K8812)</f>
        <v>33.0228715815776</v>
      </c>
      <c r="L8811" s="12" t="s">
        <v>1038</v>
      </c>
    </row>
    <row r="8812" customFormat="false" ht="15" hidden="false" customHeight="false" outlineLevel="0" collapsed="false">
      <c r="A8812" s="1" t="s">
        <v>1028</v>
      </c>
      <c r="B8812" s="0" t="s">
        <v>168</v>
      </c>
      <c r="E8812" s="7" t="n">
        <f aca="false">Sens!E8811/Sens!D8811-1</f>
        <v>0.104685888038225</v>
      </c>
      <c r="F8812" s="7" t="n">
        <f aca="false">Sens!$E$8812+(glt_ind-Sens!$E$8812)*MIN(1,(Sens!F8759-base_fy)/n_conv)</f>
        <v>0.0989049066985211</v>
      </c>
      <c r="G8812" s="7" t="n">
        <f aca="false">Sens!$E$8812+(glt_ind-Sens!$E$8812)*MIN(1,(Sens!G8759-base_fy)/n_conv)</f>
        <v>0.0931239253588169</v>
      </c>
      <c r="H8812" s="7" t="n">
        <f aca="false">Sens!$E$8812+(glt_ind-Sens!$E$8812)*MIN(1,(Sens!H8759-base_fy)/n_conv)</f>
        <v>0.0873429440191127</v>
      </c>
      <c r="I8812" s="7" t="n">
        <f aca="false">Sens!$E$8812+(glt_ind-Sens!$E$8812)*MIN(1,(Sens!I8759-base_fy)/n_conv)</f>
        <v>0.0815619626794085</v>
      </c>
      <c r="J8812" s="7" t="n">
        <f aca="false">Sens!$E$8812+(glt_ind-Sens!$E$8812)*MIN(1,(Sens!J8759-base_fy)/n_conv)</f>
        <v>0.0757809813397042</v>
      </c>
      <c r="K8812" s="7" t="n">
        <f aca="false">Sens!$E$8812+(glt_ind-Sens!$E$8812)*MIN(1,(Sens!K8759-base_fy)/n_conv)</f>
        <v>0.07</v>
      </c>
    </row>
    <row r="8813" customFormat="false" ht="17.15" hidden="false" customHeight="false" outlineLevel="0" collapsed="false">
      <c r="A8813" s="0" t="s">
        <v>1040</v>
      </c>
      <c r="B8813" s="0" t="s">
        <v>98</v>
      </c>
      <c r="D8813" s="6" t="n">
        <f aca="false">Q!L10</f>
        <v>7.76</v>
      </c>
      <c r="E8813" s="6" t="n">
        <f aca="false">Q!M10</f>
        <v>8.26</v>
      </c>
      <c r="F8813" s="6" t="n">
        <f aca="false">Q!$I$10+(Q!M10-Q!$E$10)*(1+Sens!F8814)</f>
        <v>8.75372082474227</v>
      </c>
      <c r="G8813" s="6" t="n">
        <f aca="false">Sens!F8813*(1+Sens!G8814)</f>
        <v>9.33399324642364</v>
      </c>
      <c r="H8813" s="6" t="n">
        <f aca="false">Sens!G8813*(1+Sens!H8814)</f>
        <v>9.96139155535851</v>
      </c>
      <c r="I8813" s="6" t="n">
        <f aca="false">Sens!H8813*(1+Sens!I8814)</f>
        <v>10.6402039077391</v>
      </c>
      <c r="J8813" s="6" t="n">
        <f aca="false">Sens!I8813*(1+Sens!J8814)</f>
        <v>11.3751458271397</v>
      </c>
      <c r="K8813" s="6" t="n">
        <f aca="false">Sens!J8813*(1+Sens!K8814)</f>
        <v>12.1714060350394</v>
      </c>
      <c r="L8813" s="12" t="s">
        <v>1038</v>
      </c>
    </row>
    <row r="8814" customFormat="false" ht="15" hidden="false" customHeight="false" outlineLevel="0" collapsed="false">
      <c r="A8814" s="1" t="s">
        <v>1028</v>
      </c>
      <c r="B8814" s="0" t="s">
        <v>168</v>
      </c>
      <c r="E8814" s="7" t="n">
        <f aca="false">Sens!E8813/Sens!D8813-1</f>
        <v>0.0644329896907216</v>
      </c>
      <c r="F8814" s="7" t="n">
        <f aca="false">Sens!$E$8814+(glt_fro-Sens!$E$8814)*MIN(1,(Sens!F8759-base_fy)/n_conv)</f>
        <v>0.065360824742268</v>
      </c>
      <c r="G8814" s="7" t="n">
        <f aca="false">Sens!$E$8814+(glt_fro-Sens!$E$8814)*MIN(1,(Sens!G8759-base_fy)/n_conv)</f>
        <v>0.0662886597938144</v>
      </c>
      <c r="H8814" s="7" t="n">
        <f aca="false">Sens!$E$8814+(glt_fro-Sens!$E$8814)*MIN(1,(Sens!H8759-base_fy)/n_conv)</f>
        <v>0.0672164948453608</v>
      </c>
      <c r="I8814" s="7" t="n">
        <f aca="false">Sens!$E$8814+(glt_fro-Sens!$E$8814)*MIN(1,(Sens!I8759-base_fy)/n_conv)</f>
        <v>0.0681443298969072</v>
      </c>
      <c r="J8814" s="7" t="n">
        <f aca="false">Sens!$E$8814+(glt_fro-Sens!$E$8814)*MIN(1,(Sens!J8759-base_fy)/n_conv)</f>
        <v>0.0690721649484536</v>
      </c>
      <c r="K8814" s="7" t="n">
        <f aca="false">Sens!$E$8814+(glt_fro-Sens!$E$8814)*MIN(1,(Sens!K8759-base_fy)/n_conv)</f>
        <v>0.07</v>
      </c>
    </row>
    <row r="8815" customFormat="false" ht="15" hidden="false" customHeight="false" outlineLevel="0" collapsed="false">
      <c r="A8815" s="0" t="s">
        <v>856</v>
      </c>
      <c r="B8815" s="0" t="s">
        <v>98</v>
      </c>
      <c r="D8815" s="6" t="n">
        <f aca="false">Sens!D8803+Sens!D8808+Sens!D8809+Sens!D8811+Sens!D8813</f>
        <v>218.783</v>
      </c>
      <c r="E8815" s="6" t="n">
        <f aca="false">Sens!E8803+Sens!E8808+Sens!E8809+Sens!E8811+Sens!E8813</f>
        <v>268.127</v>
      </c>
      <c r="F8815" s="6" t="n">
        <f aca="false">Sens!F8803+Sens!F8808+Sens!F8809+Sens!F8811+Sens!F8813</f>
        <v>336.58113522709</v>
      </c>
      <c r="G8815" s="6" t="n">
        <f aca="false">Sens!G8803+Sens!G8808+Sens!G8809+Sens!G8811+Sens!G8813</f>
        <v>413.17102071271</v>
      </c>
      <c r="H8815" s="6" t="n">
        <f aca="false">Sens!H8803+Sens!H8808+Sens!H8809+Sens!H8811+Sens!H8813</f>
        <v>491.116558473503</v>
      </c>
      <c r="I8815" s="6" t="n">
        <f aca="false">Sens!I8803+Sens!I8808+Sens!I8809+Sens!I8811+Sens!I8813</f>
        <v>561.902680516505</v>
      </c>
      <c r="J8815" s="6" t="n">
        <f aca="false">Sens!J8803+Sens!J8808+Sens!J8809+Sens!J8811+Sens!J8813</f>
        <v>618.880232797922</v>
      </c>
      <c r="K8815" s="6" t="n">
        <f aca="false">Sens!K8803+Sens!K8808+Sens!K8809+Sens!K8811+Sens!K8813</f>
        <v>663.858298773072</v>
      </c>
    </row>
    <row r="8816" customFormat="false" ht="17.15" hidden="false" customHeight="false" outlineLevel="0" collapsed="false">
      <c r="A8816" s="0" t="s">
        <v>1041</v>
      </c>
      <c r="B8816" s="0" t="s">
        <v>98</v>
      </c>
      <c r="D8816" s="6" t="n">
        <f aca="false">Q!L13</f>
        <v>22.171</v>
      </c>
      <c r="E8816" s="6" t="n">
        <f aca="false">Q!M13</f>
        <v>24.835</v>
      </c>
      <c r="F8816" s="6" t="n">
        <f aca="false">Q!$I$13+(Q!M13-Q!$E$13)*(1+Sens!F8817)</f>
        <v>27.5591895660247</v>
      </c>
      <c r="G8816" s="6" t="n">
        <f aca="false">Sens!F8816*(1+Sens!G8817)</f>
        <v>30.4098563144583</v>
      </c>
      <c r="H8816" s="6" t="n">
        <f aca="false">Sens!G8816*(1+Sens!H8817)</f>
        <v>33.3011792571777</v>
      </c>
      <c r="I8816" s="6" t="n">
        <f aca="false">Sens!H8816*(1+Sens!I8817)</f>
        <v>36.189023797112</v>
      </c>
      <c r="J8816" s="6" t="n">
        <f aca="false">Sens!I8816*(1+Sens!J8817)</f>
        <v>39.0247773769199</v>
      </c>
      <c r="K8816" s="6" t="n">
        <f aca="false">Sens!J8816*(1+Sens!K8817)</f>
        <v>41.7565117933043</v>
      </c>
      <c r="L8816" s="12" t="s">
        <v>1038</v>
      </c>
    </row>
    <row r="8817" customFormat="false" ht="15" hidden="false" customHeight="false" outlineLevel="0" collapsed="false">
      <c r="A8817" s="1" t="s">
        <v>1028</v>
      </c>
      <c r="B8817" s="0" t="s">
        <v>168</v>
      </c>
      <c r="E8817" s="7" t="n">
        <f aca="false">Sens!E8816/Sens!D8816-1</f>
        <v>0.120156961796942</v>
      </c>
      <c r="F8817" s="7" t="n">
        <f aca="false">Sens!$E$8817+(glt_srch-Sens!$E$8817)*MIN(1,(Sens!F8759-base_fy)/n_conv)</f>
        <v>0.111797468164118</v>
      </c>
      <c r="G8817" s="7" t="n">
        <f aca="false">Sens!$E$8817+(glt_srch-Sens!$E$8817)*MIN(1,(Sens!G8759-base_fy)/n_conv)</f>
        <v>0.103437974531295</v>
      </c>
      <c r="H8817" s="7" t="n">
        <f aca="false">Sens!$E$8817+(glt_srch-Sens!$E$8817)*MIN(1,(Sens!H8759-base_fy)/n_conv)</f>
        <v>0.095078480898471</v>
      </c>
      <c r="I8817" s="7" t="n">
        <f aca="false">Sens!$E$8817+(glt_srch-Sens!$E$8817)*MIN(1,(Sens!I8759-base_fy)/n_conv)</f>
        <v>0.0867189872656474</v>
      </c>
      <c r="J8817" s="7" t="n">
        <f aca="false">Sens!$E$8817+(glt_srch-Sens!$E$8817)*MIN(1,(Sens!J8759-base_fy)/n_conv)</f>
        <v>0.0783594936328237</v>
      </c>
      <c r="K8817" s="7" t="n">
        <f aca="false">Sens!$E$8817+(glt_srch-Sens!$E$8817)*MIN(1,(Sens!K8759-base_fy)/n_conv)</f>
        <v>0.07</v>
      </c>
    </row>
    <row r="8818" customFormat="false" ht="17.15" hidden="false" customHeight="false" outlineLevel="0" collapsed="false">
      <c r="A8818" s="0" t="s">
        <v>1042</v>
      </c>
      <c r="B8818" s="0" t="s">
        <v>98</v>
      </c>
      <c r="D8818" s="6" t="n">
        <f aca="false">Q!L14</f>
        <v>23.455</v>
      </c>
      <c r="E8818" s="6" t="n">
        <f aca="false">Q!M14</f>
        <v>21.79</v>
      </c>
      <c r="F8818" s="6" t="n">
        <f aca="false">Q!$I$14+(Q!M14-Q!$E$14)*(1+Sens!F8819)</f>
        <v>20.7520981041711</v>
      </c>
      <c r="G8818" s="6" t="n">
        <f aca="false">Sens!F8818*(1+Sens!G8819)</f>
        <v>19.9083593495882</v>
      </c>
      <c r="H8818" s="6" t="n">
        <f aca="false">Sens!G8818*(1+Sens!H8819)</f>
        <v>19.4008256265831</v>
      </c>
      <c r="I8818" s="6" t="n">
        <f aca="false">Sens!H8818*(1+Sens!I8819)</f>
        <v>19.200434522122</v>
      </c>
      <c r="J8818" s="6" t="n">
        <f aca="false">Sens!I8818*(1+Sens!J8819)</f>
        <v>19.2932782348507</v>
      </c>
      <c r="K8818" s="6" t="n">
        <f aca="false">Sens!J8818*(1+Sens!K8819)</f>
        <v>19.6791437995477</v>
      </c>
      <c r="L8818" s="12" t="s">
        <v>1038</v>
      </c>
    </row>
    <row r="8819" customFormat="false" ht="15" hidden="false" customHeight="false" outlineLevel="0" collapsed="false">
      <c r="A8819" s="1" t="s">
        <v>1028</v>
      </c>
      <c r="B8819" s="0" t="s">
        <v>168</v>
      </c>
      <c r="E8819" s="7" t="n">
        <f aca="false">Sens!E8818/Sens!D8818-1</f>
        <v>-0.0709869963760392</v>
      </c>
      <c r="F8819" s="7" t="n">
        <f aca="false">Sens!$E$8819+(glt_xbox-Sens!$E$8819)*MIN(1,(Sens!F8759-base_fy)/n_conv)</f>
        <v>-0.0558224969800327</v>
      </c>
      <c r="G8819" s="7" t="n">
        <f aca="false">Sens!$E$8819+(glt_xbox-Sens!$E$8819)*MIN(1,(Sens!G8759-base_fy)/n_conv)</f>
        <v>-0.0406579975840262</v>
      </c>
      <c r="H8819" s="7" t="n">
        <f aca="false">Sens!$E$8819+(glt_xbox-Sens!$E$8819)*MIN(1,(Sens!H8759-base_fy)/n_conv)</f>
        <v>-0.0254934981880196</v>
      </c>
      <c r="I8819" s="7" t="n">
        <f aca="false">Sens!$E$8819+(glt_xbox-Sens!$E$8819)*MIN(1,(Sens!I8759-base_fy)/n_conv)</f>
        <v>-0.0103289987920131</v>
      </c>
      <c r="J8819" s="7" t="n">
        <f aca="false">Sens!$E$8819+(glt_xbox-Sens!$E$8819)*MIN(1,(Sens!J8759-base_fy)/n_conv)</f>
        <v>0.00483550060399347</v>
      </c>
      <c r="K8819" s="7" t="n">
        <f aca="false">Sens!$E$8819+(glt_xbox-Sens!$E$8819)*MIN(1,(Sens!K8759-base_fy)/n_conv)</f>
        <v>0.02</v>
      </c>
    </row>
    <row r="8820" customFormat="false" ht="17.15" hidden="false" customHeight="false" outlineLevel="0" collapsed="false">
      <c r="A8820" s="0" t="s">
        <v>1043</v>
      </c>
      <c r="B8820" s="0" t="s">
        <v>98</v>
      </c>
      <c r="D8820" s="6" t="n">
        <f aca="false">Q!L15</f>
        <v>17.315</v>
      </c>
      <c r="E8820" s="6" t="n">
        <f aca="false">Q!M15</f>
        <v>17.087</v>
      </c>
      <c r="F8820" s="6" t="n">
        <f aca="false">Q!$I$15+(Q!M15-Q!$E$15)*(1+Sens!F8821)</f>
        <v>15.9912273250553</v>
      </c>
      <c r="G8820" s="6" t="n">
        <f aca="false">Sens!F8820*(1+Sens!G8821)</f>
        <v>15.9574562664827</v>
      </c>
      <c r="H8820" s="6" t="n">
        <f aca="false">Sens!G8820*(1+Sens!H8821)</f>
        <v>16.0119687434196</v>
      </c>
      <c r="I8820" s="6" t="n">
        <f aca="false">Sens!H8820*(1+Sens!I8821)</f>
        <v>16.1551810001948</v>
      </c>
      <c r="J8820" s="6" t="n">
        <f aca="false">Sens!I8820*(1+Sens!J8821)</f>
        <v>16.3889793892005</v>
      </c>
      <c r="K8820" s="6" t="n">
        <f aca="false">Sens!J8820*(1+Sens!K8821)</f>
        <v>16.7167589769845</v>
      </c>
      <c r="L8820" s="12" t="s">
        <v>1038</v>
      </c>
    </row>
    <row r="8821" customFormat="false" ht="15" hidden="false" customHeight="false" outlineLevel="0" collapsed="false">
      <c r="A8821" s="1" t="s">
        <v>1028</v>
      </c>
      <c r="B8821" s="0" t="s">
        <v>168</v>
      </c>
      <c r="E8821" s="7" t="n">
        <f aca="false">Sens!E8820/Sens!D8820-1</f>
        <v>-0.0131677736066995</v>
      </c>
      <c r="F8821" s="7" t="n">
        <f aca="false">Sens!$E$8821+(glt_win-Sens!$E$8821)*MIN(1,(Sens!F8759-base_fy)/n_conv)</f>
        <v>-0.00763981133891627</v>
      </c>
      <c r="G8821" s="7" t="n">
        <f aca="false">Sens!$E$8821+(glt_win-Sens!$E$8821)*MIN(1,(Sens!G8759-base_fy)/n_conv)</f>
        <v>-0.00211184907113301</v>
      </c>
      <c r="H8821" s="7" t="n">
        <f aca="false">Sens!$E$8821+(glt_win-Sens!$E$8821)*MIN(1,(Sens!H8759-base_fy)/n_conv)</f>
        <v>0.00341611319665024</v>
      </c>
      <c r="I8821" s="7" t="n">
        <f aca="false">Sens!$E$8821+(glt_win-Sens!$E$8821)*MIN(1,(Sens!I8759-base_fy)/n_conv)</f>
        <v>0.00894407546443349</v>
      </c>
      <c r="J8821" s="7" t="n">
        <f aca="false">Sens!$E$8821+(glt_win-Sens!$E$8821)*MIN(1,(Sens!J8759-base_fy)/n_conv)</f>
        <v>0.0144720377322168</v>
      </c>
      <c r="K8821" s="7" t="n">
        <f aca="false">Sens!$E$8821+(glt_win-Sens!$E$8821)*MIN(1,(Sens!K8759-base_fy)/n_conv)</f>
        <v>0.02</v>
      </c>
    </row>
    <row r="8822" customFormat="false" ht="15" hidden="false" customHeight="false" outlineLevel="0" collapsed="false">
      <c r="A8822" s="0" t="s">
        <v>870</v>
      </c>
      <c r="B8822" s="0" t="s">
        <v>98</v>
      </c>
      <c r="D8822" s="6" t="n">
        <f aca="false">Sens!D8816+Sens!D8818+Sens!D8820</f>
        <v>62.941</v>
      </c>
      <c r="E8822" s="6" t="n">
        <f aca="false">Sens!E8816+Sens!E8818+Sens!E8820</f>
        <v>63.712</v>
      </c>
      <c r="F8822" s="6" t="n">
        <f aca="false">Sens!F8816+Sens!F8818+Sens!F8820</f>
        <v>64.3025149952511</v>
      </c>
      <c r="G8822" s="6" t="n">
        <f aca="false">Sens!G8816+Sens!G8818+Sens!G8820</f>
        <v>66.2756719305292</v>
      </c>
      <c r="H8822" s="6" t="n">
        <f aca="false">Sens!H8816+Sens!H8818+Sens!H8820</f>
        <v>68.7139736271804</v>
      </c>
      <c r="I8822" s="6" t="n">
        <f aca="false">Sens!I8816+Sens!I8818+Sens!I8820</f>
        <v>71.5446393194289</v>
      </c>
      <c r="J8822" s="6" t="n">
        <f aca="false">Sens!J8816+Sens!J8818+Sens!J8820</f>
        <v>74.707035000971</v>
      </c>
      <c r="K8822" s="6" t="n">
        <f aca="false">Sens!K8816+Sens!K8818+Sens!K8820</f>
        <v>78.1524145698365</v>
      </c>
    </row>
    <row r="8823" customFormat="false" ht="15" hidden="false" customHeight="false" outlineLevel="0" collapsed="false">
      <c r="A8823" s="1" t="s">
        <v>1044</v>
      </c>
      <c r="B8823" s="0" t="s">
        <v>98</v>
      </c>
      <c r="D8823" s="6" t="n">
        <f aca="false">Sens!D8815+Sens!D8822</f>
        <v>281.724</v>
      </c>
      <c r="E8823" s="6" t="n">
        <f aca="false">Sens!E8815+Sens!E8822</f>
        <v>331.839</v>
      </c>
      <c r="F8823" s="6" t="n">
        <f aca="false">Sens!F8815+Sens!F8822</f>
        <v>400.883650222341</v>
      </c>
      <c r="G8823" s="6" t="n">
        <f aca="false">Sens!G8815+Sens!G8822</f>
        <v>479.44669264324</v>
      </c>
      <c r="H8823" s="6" t="n">
        <f aca="false">Sens!H8815+Sens!H8822</f>
        <v>559.830532100684</v>
      </c>
      <c r="I8823" s="6" t="n">
        <f aca="false">Sens!I8815+Sens!I8822</f>
        <v>633.447319835934</v>
      </c>
      <c r="J8823" s="6" t="n">
        <f aca="false">Sens!J8815+Sens!J8822</f>
        <v>693.587267798893</v>
      </c>
      <c r="K8823" s="6" t="n">
        <f aca="false">Sens!K8815+Sens!K8822</f>
        <v>742.010713342908</v>
      </c>
    </row>
    <row r="8824" customFormat="false" ht="15" hidden="false" customHeight="false" outlineLevel="0" collapsed="false">
      <c r="A8824" s="26" t="s">
        <v>1045</v>
      </c>
      <c r="B8824" s="31" t="s">
        <v>98</v>
      </c>
      <c r="C8824" s="31"/>
      <c r="D8824" s="27" t="n">
        <f aca="false">(Sens!D8803+Sens!D8808+Sens!D8809+Sens!D8811+Sens!D8813-Sens!D8815)+(Sens!D8816+Sens!D8818+Sens!D8820-Sens!D8822)+(Sens!D8815-Q!L5)+(Sens!D8822-Q!L12)+(Sens!D8803-Q!L6)+(Sens!D8808-Q!L7)</f>
        <v>0</v>
      </c>
      <c r="E8824" s="27" t="n">
        <f aca="false">(Sens!E8803+Sens!E8808+Sens!E8809+Sens!E8811+Sens!E8813-Sens!E8815)+(Sens!E8816+Sens!E8818+Sens!E8820-Sens!E8822)+(Sens!E8815-Q!M5)+(Sens!E8822-Q!M12)+(Sens!E8803-Q!M6)+(Sens!E8808-Q!M7)</f>
        <v>0</v>
      </c>
      <c r="F8824" s="27" t="n">
        <f aca="false">(Sens!F8803+Sens!F8808+Sens!F8809+Sens!F8811+Sens!F8813-Sens!F8815)+(Sens!F8816+Sens!F8818+Sens!F8820-Sens!F8822)</f>
        <v>0</v>
      </c>
      <c r="G8824" s="27" t="n">
        <f aca="false">(Sens!G8803+Sens!G8808+Sens!G8809+Sens!G8811+Sens!G8813-Sens!G8815)+(Sens!G8816+Sens!G8818+Sens!G8820-Sens!G8822)</f>
        <v>0</v>
      </c>
      <c r="H8824" s="27" t="n">
        <f aca="false">(Sens!H8803+Sens!H8808+Sens!H8809+Sens!H8811+Sens!H8813-Sens!H8815)+(Sens!H8816+Sens!H8818+Sens!H8820-Sens!H8822)</f>
        <v>0</v>
      </c>
      <c r="I8824" s="27" t="n">
        <f aca="false">(Sens!I8803+Sens!I8808+Sens!I8809+Sens!I8811+Sens!I8813-Sens!I8815)+(Sens!I8816+Sens!I8818+Sens!I8820-Sens!I8822)</f>
        <v>0</v>
      </c>
      <c r="J8824" s="27" t="n">
        <f aca="false">(Sens!J8803+Sens!J8808+Sens!J8809+Sens!J8811+Sens!J8813-Sens!J8815)+(Sens!J8816+Sens!J8818+Sens!J8820-Sens!J8822)</f>
        <v>0</v>
      </c>
      <c r="K8824" s="27" t="n">
        <f aca="false">(Sens!K8803+Sens!K8808+Sens!K8809+Sens!K8811+Sens!K8813-Sens!K8815)+(Sens!K8816+Sens!K8818+Sens!K8820-Sens!K8822)</f>
        <v>0</v>
      </c>
    </row>
    <row r="8825" customFormat="false" ht="17.15" hidden="false" customHeight="false" outlineLevel="0" collapsed="false">
      <c r="A8825" s="3" t="s">
        <v>1832</v>
      </c>
    </row>
    <row r="8826" customFormat="false" ht="15" hidden="false" customHeight="false" outlineLevel="0" collapsed="false">
      <c r="A8826" s="4" t="s">
        <v>43</v>
      </c>
      <c r="B8826" s="4" t="s">
        <v>65</v>
      </c>
      <c r="C8826" s="23" t="s">
        <v>942</v>
      </c>
      <c r="D8826" s="23" t="s">
        <v>943</v>
      </c>
      <c r="E8826" s="23" t="s">
        <v>944</v>
      </c>
      <c r="F8826" s="23" t="s">
        <v>945</v>
      </c>
      <c r="G8826" s="23" t="s">
        <v>946</v>
      </c>
      <c r="H8826" s="23" t="s">
        <v>947</v>
      </c>
      <c r="I8826" s="23" t="s">
        <v>948</v>
      </c>
      <c r="J8826" s="23" t="s">
        <v>949</v>
      </c>
      <c r="K8826" s="23" t="s">
        <v>950</v>
      </c>
      <c r="L8826" s="4" t="s">
        <v>47</v>
      </c>
    </row>
    <row r="8827" customFormat="false" ht="15" hidden="false" customHeight="false" outlineLevel="0" collapsed="false">
      <c r="A8827" s="0" t="s">
        <v>1029</v>
      </c>
      <c r="B8827" s="0" t="s">
        <v>98</v>
      </c>
      <c r="D8827" s="6" t="n">
        <f aca="false">Sens!D8803</f>
        <v>72.61</v>
      </c>
      <c r="E8827" s="6" t="n">
        <f aca="false">Sens!E8803</f>
        <v>101.938</v>
      </c>
      <c r="F8827" s="6" t="n">
        <f aca="false">Sens!F8803</f>
        <v>146.709048000181</v>
      </c>
      <c r="G8827" s="6" t="n">
        <f aca="false">Sens!G8803</f>
        <v>199.762829861393</v>
      </c>
      <c r="H8827" s="6" t="n">
        <f aca="false">Sens!H8803</f>
        <v>254.146566109645</v>
      </c>
      <c r="I8827" s="6" t="n">
        <f aca="false">Sens!I8803</f>
        <v>303.439446964617</v>
      </c>
      <c r="J8827" s="6" t="n">
        <f aca="false">Sens!J8803</f>
        <v>341.309898459739</v>
      </c>
      <c r="K8827" s="6" t="n">
        <f aca="false">Sens!K8803</f>
        <v>368.09747789654</v>
      </c>
    </row>
    <row r="8828" customFormat="false" ht="17.15" hidden="false" customHeight="false" outlineLevel="0" collapsed="false">
      <c r="A8828" s="0" t="s">
        <v>1025</v>
      </c>
      <c r="B8828" s="0" t="s">
        <v>98</v>
      </c>
      <c r="D8828" s="6" t="n">
        <f aca="false">Sens!D8800</f>
        <v>12.9359794422418</v>
      </c>
      <c r="E8828" s="6" t="n">
        <f aca="false">Sens!E8800</f>
        <v>27.8095064661409</v>
      </c>
      <c r="F8828" s="6" t="n">
        <f aca="false">Sens!F8800</f>
        <v>55.4118315060966</v>
      </c>
      <c r="G8828" s="6" t="n">
        <f aca="false">Sens!G8800</f>
        <v>91.2881100675143</v>
      </c>
      <c r="H8828" s="6" t="n">
        <f aca="false">Sens!H8800</f>
        <v>128.195273603944</v>
      </c>
      <c r="I8828" s="6" t="n">
        <f aca="false">Sens!I8800</f>
        <v>160.601281810405</v>
      </c>
      <c r="J8828" s="6" t="n">
        <f aca="false">Sens!J8800</f>
        <v>183.182719793589</v>
      </c>
      <c r="K8828" s="6" t="n">
        <f aca="false">Sens!K8800</f>
        <v>197.320124937098</v>
      </c>
    </row>
    <row r="8829" customFormat="false" ht="17.15" hidden="false" customHeight="false" outlineLevel="0" collapsed="false">
      <c r="A8829" s="0" t="s">
        <v>1056</v>
      </c>
      <c r="B8829" s="0" t="s">
        <v>98</v>
      </c>
      <c r="D8829" s="6" t="n">
        <f aca="false">Sens!D8801</f>
        <v>59.6740205577583</v>
      </c>
      <c r="E8829" s="6" t="n">
        <f aca="false">Sens!E8801</f>
        <v>74.1284935338591</v>
      </c>
      <c r="F8829" s="6" t="n">
        <f aca="false">Sens!F8801</f>
        <v>91.2972164940844</v>
      </c>
      <c r="G8829" s="6" t="n">
        <f aca="false">Sens!G8801</f>
        <v>108.474719793879</v>
      </c>
      <c r="H8829" s="6" t="n">
        <f aca="false">Sens!H8801</f>
        <v>125.951292505701</v>
      </c>
      <c r="I8829" s="6" t="n">
        <f aca="false">Sens!I8801</f>
        <v>142.838165154212</v>
      </c>
      <c r="J8829" s="6" t="n">
        <f aca="false">Sens!J8801</f>
        <v>158.12717866615</v>
      </c>
      <c r="K8829" s="6" t="n">
        <f aca="false">Sens!K8801</f>
        <v>170.777352959442</v>
      </c>
    </row>
    <row r="8830" customFormat="false" ht="15" hidden="false" customHeight="false" outlineLevel="0" collapsed="false">
      <c r="A8830" s="0" t="s">
        <v>1036</v>
      </c>
      <c r="B8830" s="0" t="s">
        <v>98</v>
      </c>
      <c r="D8830" s="6" t="n">
        <f aca="false">Sens!D8808</f>
        <v>84.605</v>
      </c>
      <c r="E8830" s="6" t="n">
        <f aca="false">Sens!E8808</f>
        <v>100.299</v>
      </c>
      <c r="F8830" s="6" t="n">
        <f aca="false">Sens!F8808</f>
        <v>120.417042910501</v>
      </c>
      <c r="G8830" s="6" t="n">
        <f aca="false">Sens!G8808</f>
        <v>139.669312308709</v>
      </c>
      <c r="H8830" s="6" t="n">
        <f aca="false">Sens!H8808</f>
        <v>159.00232529423</v>
      </c>
      <c r="I8830" s="6" t="n">
        <f aca="false">Sens!I8808</f>
        <v>176.360261568698</v>
      </c>
      <c r="J8830" s="6" t="n">
        <f aca="false">Sens!J8808</f>
        <v>191.46395439937</v>
      </c>
      <c r="K8830" s="6" t="n">
        <f aca="false">Sens!K8808</f>
        <v>205.820431207326</v>
      </c>
    </row>
    <row r="8831" customFormat="false" ht="17.15" hidden="false" customHeight="false" outlineLevel="0" collapsed="false">
      <c r="A8831" s="0" t="s">
        <v>1057</v>
      </c>
      <c r="B8831" s="0" t="s">
        <v>98</v>
      </c>
      <c r="D8831" s="6" t="n">
        <f aca="false">Sens!D8806</f>
        <v>83.705</v>
      </c>
      <c r="E8831" s="6" t="n">
        <f aca="false">Sens!E8806</f>
        <v>95.049</v>
      </c>
      <c r="F8831" s="6" t="n">
        <f aca="false">Sens!F8806</f>
        <v>106.017042910501</v>
      </c>
      <c r="G8831" s="6" t="n">
        <f aca="false">Sens!G8806</f>
        <v>118.069312308709</v>
      </c>
      <c r="H8831" s="6" t="n">
        <f aca="false">Sens!H8806</f>
        <v>130.20232529423</v>
      </c>
      <c r="I8831" s="6" t="n">
        <f aca="false">Sens!I8806</f>
        <v>142.160261568698</v>
      </c>
      <c r="J8831" s="6" t="n">
        <f aca="false">Sens!J8806</f>
        <v>153.66395439937</v>
      </c>
      <c r="K8831" s="6" t="n">
        <f aca="false">Sens!K8806</f>
        <v>164.420431207326</v>
      </c>
    </row>
    <row r="8832" customFormat="false" ht="17.15" hidden="false" customHeight="false" outlineLevel="0" collapsed="false">
      <c r="A8832" s="0" t="s">
        <v>1058</v>
      </c>
      <c r="B8832" s="0" t="s">
        <v>98</v>
      </c>
      <c r="D8832" s="6" t="n">
        <f aca="false">Sens!D8805</f>
        <v>0.9</v>
      </c>
      <c r="E8832" s="6" t="n">
        <f aca="false">Sens!E8805</f>
        <v>5.25</v>
      </c>
      <c r="F8832" s="6" t="n">
        <f aca="false">Sens!F8805</f>
        <v>14.4</v>
      </c>
      <c r="G8832" s="6" t="n">
        <f aca="false">Sens!G8805</f>
        <v>21.6</v>
      </c>
      <c r="H8832" s="6" t="n">
        <f aca="false">Sens!H8805</f>
        <v>28.8</v>
      </c>
      <c r="I8832" s="6" t="n">
        <f aca="false">Sens!I8805</f>
        <v>34.2</v>
      </c>
      <c r="J8832" s="6" t="n">
        <f aca="false">Sens!J8805</f>
        <v>37.8</v>
      </c>
      <c r="K8832" s="6" t="n">
        <f aca="false">Sens!K8805</f>
        <v>41.4</v>
      </c>
    </row>
    <row r="8833" customFormat="false" ht="15" hidden="false" customHeight="false" outlineLevel="0" collapsed="false">
      <c r="A8833" s="0" t="s">
        <v>1037</v>
      </c>
      <c r="B8833" s="0" t="s">
        <v>98</v>
      </c>
      <c r="D8833" s="6" t="n">
        <f aca="false">Sens!D8809</f>
        <v>35.391</v>
      </c>
      <c r="E8833" s="6" t="n">
        <f aca="false">Sens!E8809</f>
        <v>37.285</v>
      </c>
      <c r="F8833" s="6" t="n">
        <f aca="false">Sens!F8809</f>
        <v>38.3851437782675</v>
      </c>
      <c r="G8833" s="6" t="n">
        <f aca="false">Sens!G8809</f>
        <v>40.0105353288615</v>
      </c>
      <c r="H8833" s="6" t="n">
        <f aca="false">Sens!H8809</f>
        <v>41.4812512033683</v>
      </c>
      <c r="I8833" s="6" t="n">
        <f aca="false">Sens!I8809</f>
        <v>42.7743107216329</v>
      </c>
      <c r="J8833" s="6" t="n">
        <f aca="false">Sens!J8809</f>
        <v>43.8687373064601</v>
      </c>
      <c r="K8833" s="6" t="n">
        <f aca="false">Sens!K8809</f>
        <v>44.7461120525893</v>
      </c>
    </row>
    <row r="8834" customFormat="false" ht="15" hidden="false" customHeight="false" outlineLevel="0" collapsed="false">
      <c r="A8834" s="0" t="s">
        <v>1039</v>
      </c>
      <c r="B8834" s="0" t="s">
        <v>98</v>
      </c>
      <c r="D8834" s="6" t="n">
        <f aca="false">Sens!D8811</f>
        <v>18.417</v>
      </c>
      <c r="E8834" s="6" t="n">
        <f aca="false">Sens!E8811</f>
        <v>20.345</v>
      </c>
      <c r="F8834" s="6" t="n">
        <f aca="false">Sens!F8811</f>
        <v>22.3161797133988</v>
      </c>
      <c r="G8834" s="6" t="n">
        <f aca="false">Sens!G8811</f>
        <v>24.3943499673233</v>
      </c>
      <c r="H8834" s="6" t="n">
        <f aca="false">Sens!H8811</f>
        <v>26.5250243109019</v>
      </c>
      <c r="I8834" s="6" t="n">
        <f aca="false">Sens!I8811</f>
        <v>28.6884573538181</v>
      </c>
      <c r="J8834" s="6" t="n">
        <f aca="false">Sens!J8811</f>
        <v>30.8624968052127</v>
      </c>
      <c r="K8834" s="6" t="n">
        <f aca="false">Sens!K8811</f>
        <v>33.0228715815776</v>
      </c>
    </row>
    <row r="8835" customFormat="false" ht="15" hidden="false" customHeight="false" outlineLevel="0" collapsed="false">
      <c r="A8835" s="0" t="s">
        <v>1040</v>
      </c>
      <c r="B8835" s="0" t="s">
        <v>98</v>
      </c>
      <c r="D8835" s="6" t="n">
        <f aca="false">Sens!D8813</f>
        <v>7.76</v>
      </c>
      <c r="E8835" s="6" t="n">
        <f aca="false">Sens!E8813</f>
        <v>8.26</v>
      </c>
      <c r="F8835" s="6" t="n">
        <f aca="false">Sens!F8813</f>
        <v>8.75372082474227</v>
      </c>
      <c r="G8835" s="6" t="n">
        <f aca="false">Sens!G8813</f>
        <v>9.33399324642364</v>
      </c>
      <c r="H8835" s="6" t="n">
        <f aca="false">Sens!H8813</f>
        <v>9.96139155535851</v>
      </c>
      <c r="I8835" s="6" t="n">
        <f aca="false">Sens!I8813</f>
        <v>10.6402039077391</v>
      </c>
      <c r="J8835" s="6" t="n">
        <f aca="false">Sens!J8813</f>
        <v>11.3751458271397</v>
      </c>
      <c r="K8835" s="6" t="n">
        <f aca="false">Sens!K8813</f>
        <v>12.1714060350394</v>
      </c>
    </row>
    <row r="8836" customFormat="false" ht="15" hidden="false" customHeight="false" outlineLevel="0" collapsed="false">
      <c r="A8836" s="0" t="s">
        <v>856</v>
      </c>
      <c r="B8836" s="0" t="s">
        <v>98</v>
      </c>
      <c r="D8836" s="6" t="n">
        <f aca="false">Sens!D8815</f>
        <v>218.783</v>
      </c>
      <c r="E8836" s="6" t="n">
        <f aca="false">Sens!E8815</f>
        <v>268.127</v>
      </c>
      <c r="F8836" s="6" t="n">
        <f aca="false">Sens!F8815</f>
        <v>336.58113522709</v>
      </c>
      <c r="G8836" s="6" t="n">
        <f aca="false">Sens!G8815</f>
        <v>413.17102071271</v>
      </c>
      <c r="H8836" s="6" t="n">
        <f aca="false">Sens!H8815</f>
        <v>491.116558473503</v>
      </c>
      <c r="I8836" s="6" t="n">
        <f aca="false">Sens!I8815</f>
        <v>561.902680516505</v>
      </c>
      <c r="J8836" s="6" t="n">
        <f aca="false">Sens!J8815</f>
        <v>618.880232797922</v>
      </c>
      <c r="K8836" s="6" t="n">
        <f aca="false">Sens!K8815</f>
        <v>663.858298773072</v>
      </c>
    </row>
    <row r="8837" customFormat="false" ht="15" hidden="false" customHeight="false" outlineLevel="0" collapsed="false">
      <c r="A8837" s="0" t="s">
        <v>1041</v>
      </c>
      <c r="B8837" s="0" t="s">
        <v>98</v>
      </c>
      <c r="D8837" s="6" t="n">
        <f aca="false">Sens!D8816</f>
        <v>22.171</v>
      </c>
      <c r="E8837" s="6" t="n">
        <f aca="false">Sens!E8816</f>
        <v>24.835</v>
      </c>
      <c r="F8837" s="6" t="n">
        <f aca="false">Sens!F8816</f>
        <v>27.5591895660247</v>
      </c>
      <c r="G8837" s="6" t="n">
        <f aca="false">Sens!G8816</f>
        <v>30.4098563144583</v>
      </c>
      <c r="H8837" s="6" t="n">
        <f aca="false">Sens!H8816</f>
        <v>33.3011792571777</v>
      </c>
      <c r="I8837" s="6" t="n">
        <f aca="false">Sens!I8816</f>
        <v>36.189023797112</v>
      </c>
      <c r="J8837" s="6" t="n">
        <f aca="false">Sens!J8816</f>
        <v>39.0247773769199</v>
      </c>
      <c r="K8837" s="6" t="n">
        <f aca="false">Sens!K8816</f>
        <v>41.7565117933043</v>
      </c>
    </row>
    <row r="8838" customFormat="false" ht="15" hidden="false" customHeight="false" outlineLevel="0" collapsed="false">
      <c r="A8838" s="0" t="s">
        <v>1042</v>
      </c>
      <c r="B8838" s="0" t="s">
        <v>98</v>
      </c>
      <c r="D8838" s="6" t="n">
        <f aca="false">Sens!D8818</f>
        <v>23.455</v>
      </c>
      <c r="E8838" s="6" t="n">
        <f aca="false">Sens!E8818</f>
        <v>21.79</v>
      </c>
      <c r="F8838" s="6" t="n">
        <f aca="false">Sens!F8818</f>
        <v>20.7520981041711</v>
      </c>
      <c r="G8838" s="6" t="n">
        <f aca="false">Sens!G8818</f>
        <v>19.9083593495882</v>
      </c>
      <c r="H8838" s="6" t="n">
        <f aca="false">Sens!H8818</f>
        <v>19.4008256265831</v>
      </c>
      <c r="I8838" s="6" t="n">
        <f aca="false">Sens!I8818</f>
        <v>19.200434522122</v>
      </c>
      <c r="J8838" s="6" t="n">
        <f aca="false">Sens!J8818</f>
        <v>19.2932782348507</v>
      </c>
      <c r="K8838" s="6" t="n">
        <f aca="false">Sens!K8818</f>
        <v>19.6791437995477</v>
      </c>
    </row>
    <row r="8839" customFormat="false" ht="15" hidden="false" customHeight="false" outlineLevel="0" collapsed="false">
      <c r="A8839" s="0" t="s">
        <v>1043</v>
      </c>
      <c r="B8839" s="0" t="s">
        <v>98</v>
      </c>
      <c r="D8839" s="6" t="n">
        <f aca="false">Sens!D8820</f>
        <v>17.315</v>
      </c>
      <c r="E8839" s="6" t="n">
        <f aca="false">Sens!E8820</f>
        <v>17.087</v>
      </c>
      <c r="F8839" s="6" t="n">
        <f aca="false">Sens!F8820</f>
        <v>15.9912273250553</v>
      </c>
      <c r="G8839" s="6" t="n">
        <f aca="false">Sens!G8820</f>
        <v>15.9574562664827</v>
      </c>
      <c r="H8839" s="6" t="n">
        <f aca="false">Sens!H8820</f>
        <v>16.0119687434196</v>
      </c>
      <c r="I8839" s="6" t="n">
        <f aca="false">Sens!I8820</f>
        <v>16.1551810001948</v>
      </c>
      <c r="J8839" s="6" t="n">
        <f aca="false">Sens!J8820</f>
        <v>16.3889793892005</v>
      </c>
      <c r="K8839" s="6" t="n">
        <f aca="false">Sens!K8820</f>
        <v>16.7167589769845</v>
      </c>
    </row>
    <row r="8840" customFormat="false" ht="15" hidden="false" customHeight="false" outlineLevel="0" collapsed="false">
      <c r="A8840" s="0" t="s">
        <v>870</v>
      </c>
      <c r="B8840" s="0" t="s">
        <v>98</v>
      </c>
      <c r="D8840" s="6" t="n">
        <f aca="false">Sens!D8822</f>
        <v>62.941</v>
      </c>
      <c r="E8840" s="6" t="n">
        <f aca="false">Sens!E8822</f>
        <v>63.712</v>
      </c>
      <c r="F8840" s="6" t="n">
        <f aca="false">Sens!F8822</f>
        <v>64.3025149952511</v>
      </c>
      <c r="G8840" s="6" t="n">
        <f aca="false">Sens!G8822</f>
        <v>66.2756719305292</v>
      </c>
      <c r="H8840" s="6" t="n">
        <f aca="false">Sens!H8822</f>
        <v>68.7139736271804</v>
      </c>
      <c r="I8840" s="6" t="n">
        <f aca="false">Sens!I8822</f>
        <v>71.5446393194289</v>
      </c>
      <c r="J8840" s="6" t="n">
        <f aca="false">Sens!J8822</f>
        <v>74.707035000971</v>
      </c>
      <c r="K8840" s="6" t="n">
        <f aca="false">Sens!K8822</f>
        <v>78.1524145698365</v>
      </c>
    </row>
    <row r="8841" customFormat="false" ht="15" hidden="false" customHeight="false" outlineLevel="0" collapsed="false">
      <c r="A8841" s="1" t="s">
        <v>1059</v>
      </c>
      <c r="B8841" s="0" t="s">
        <v>98</v>
      </c>
      <c r="D8841" s="6" t="n">
        <f aca="false">Sens!D8823</f>
        <v>281.724</v>
      </c>
      <c r="E8841" s="6" t="n">
        <f aca="false">Sens!E8823</f>
        <v>331.839</v>
      </c>
      <c r="F8841" s="6" t="n">
        <f aca="false">Sens!F8823</f>
        <v>400.883650222341</v>
      </c>
      <c r="G8841" s="6" t="n">
        <f aca="false">Sens!G8823</f>
        <v>479.44669264324</v>
      </c>
      <c r="H8841" s="6" t="n">
        <f aca="false">Sens!H8823</f>
        <v>559.830532100684</v>
      </c>
      <c r="I8841" s="6" t="n">
        <f aca="false">Sens!I8823</f>
        <v>633.447319835934</v>
      </c>
      <c r="J8841" s="6" t="n">
        <f aca="false">Sens!J8823</f>
        <v>693.587267798893</v>
      </c>
      <c r="K8841" s="6" t="n">
        <f aca="false">Sens!K8823</f>
        <v>742.010713342908</v>
      </c>
    </row>
    <row r="8842" customFormat="false" ht="15" hidden="false" customHeight="false" outlineLevel="0" collapsed="false">
      <c r="A8842" s="1" t="s">
        <v>1060</v>
      </c>
      <c r="B8842" s="0" t="s">
        <v>168</v>
      </c>
      <c r="E8842" s="7" t="n">
        <f aca="false">Sens!E8841/Sens!D8841-1</f>
        <v>0.177886867998467</v>
      </c>
      <c r="F8842" s="7" t="n">
        <f aca="false">Sens!F8841/Sens!E8841-1</f>
        <v>0.208066713744742</v>
      </c>
      <c r="G8842" s="7" t="n">
        <f aca="false">Sens!G8841/Sens!F8841-1</f>
        <v>0.195974673392953</v>
      </c>
      <c r="H8842" s="7" t="n">
        <f aca="false">Sens!H8841/Sens!G8841-1</f>
        <v>0.16765959738773</v>
      </c>
      <c r="I8842" s="7" t="n">
        <f aca="false">Sens!I8841/Sens!H8841-1</f>
        <v>0.131498343720222</v>
      </c>
      <c r="J8842" s="7" t="n">
        <f aca="false">Sens!J8841/Sens!I8841-1</f>
        <v>0.0949407252658909</v>
      </c>
      <c r="K8842" s="7" t="n">
        <f aca="false">Sens!K8841/Sens!J8841-1</f>
        <v>0.0698159377949486</v>
      </c>
    </row>
    <row r="8843" customFormat="false" ht="17.15" hidden="false" customHeight="false" outlineLevel="0" collapsed="false">
      <c r="A8843" s="26" t="s">
        <v>1061</v>
      </c>
      <c r="B8843" s="31" t="s">
        <v>98</v>
      </c>
      <c r="C8843" s="31"/>
      <c r="D8843" s="27" t="n">
        <f aca="false">(Sens!D8836+Sens!D8840-Sens!D8841)+(Sens!D8828+Sens!D8829-Sens!D8827)+(Sens!D8831+Sens!D8832-Sens!D8830)+(Sens!D8841-Q!L18)</f>
        <v>0</v>
      </c>
      <c r="E8843" s="27" t="n">
        <f aca="false">(Sens!E8836+Sens!E8840-Sens!E8841)+(Sens!E8828+Sens!E8829-Sens!E8827)+(Sens!E8831+Sens!E8832-Sens!E8830)+(Sens!E8841-Q!M18)</f>
        <v>0</v>
      </c>
      <c r="F8843" s="27" t="n">
        <f aca="false">(Sens!F8836+Sens!F8840-Sens!F8841)+(Sens!F8828+Sens!F8829-Sens!F8827)+(Sens!F8831+Sens!F8832-Sens!F8830)</f>
        <v>0</v>
      </c>
      <c r="G8843" s="27" t="n">
        <f aca="false">(Sens!G8836+Sens!G8840-Sens!G8841)+(Sens!G8828+Sens!G8829-Sens!G8827)+(Sens!G8831+Sens!G8832-Sens!G8830)</f>
        <v>0</v>
      </c>
      <c r="H8843" s="27" t="n">
        <f aca="false">(Sens!H8836+Sens!H8840-Sens!H8841)+(Sens!H8828+Sens!H8829-Sens!H8827)+(Sens!H8831+Sens!H8832-Sens!H8830)</f>
        <v>0</v>
      </c>
      <c r="I8843" s="27" t="n">
        <f aca="false">(Sens!I8836+Sens!I8840-Sens!I8841)+(Sens!I8828+Sens!I8829-Sens!I8827)+(Sens!I8831+Sens!I8832-Sens!I8830)</f>
        <v>0</v>
      </c>
      <c r="J8843" s="27" t="n">
        <f aca="false">(Sens!J8836+Sens!J8840-Sens!J8841)+(Sens!J8828+Sens!J8829-Sens!J8827)+(Sens!J8831+Sens!J8832-Sens!J8830)</f>
        <v>0</v>
      </c>
      <c r="K8843" s="27" t="n">
        <f aca="false">(Sens!K8836+Sens!K8840-Sens!K8841)+(Sens!K8828+Sens!K8829-Sens!K8827)+(Sens!K8831+Sens!K8832-Sens!K8830)</f>
        <v>0</v>
      </c>
    </row>
    <row r="8844" customFormat="false" ht="17.15" hidden="false" customHeight="false" outlineLevel="0" collapsed="false">
      <c r="A8844" s="0" t="s">
        <v>1062</v>
      </c>
      <c r="B8844" s="0" t="s">
        <v>168</v>
      </c>
      <c r="E8844" s="7" t="n">
        <f aca="false">(Q!M21+Sens!E8780+Sens!E8781+Sens!E8782+Sens!E8796-Sens!E8778)/(Q!M5-Sens!E8778)</f>
        <v>0.570957350878296</v>
      </c>
      <c r="F8844" s="7" t="n">
        <f aca="false">Sens!$E$8844+dm_seg</f>
        <v>0.570957350878296</v>
      </c>
      <c r="G8844" s="7" t="n">
        <f aca="false">Sens!$E$8844+dm_seg</f>
        <v>0.570957350878296</v>
      </c>
      <c r="H8844" s="7" t="n">
        <f aca="false">Sens!$E$8844+dm_seg</f>
        <v>0.570957350878296</v>
      </c>
      <c r="I8844" s="7" t="n">
        <f aca="false">Sens!$E$8844+dm_seg</f>
        <v>0.570957350878296</v>
      </c>
      <c r="J8844" s="7" t="n">
        <f aca="false">Sens!$E$8844+dm_seg</f>
        <v>0.570957350878296</v>
      </c>
      <c r="K8844" s="7" t="n">
        <f aca="false">Sens!$E$8844+dm_seg</f>
        <v>0.570957350878296</v>
      </c>
      <c r="L8844" s="12" t="s">
        <v>1063</v>
      </c>
    </row>
    <row r="8845" customFormat="false" ht="17.15" hidden="false" customHeight="false" outlineLevel="0" collapsed="false">
      <c r="A8845" s="0" t="s">
        <v>884</v>
      </c>
      <c r="B8845" s="0" t="s">
        <v>98</v>
      </c>
      <c r="D8845" s="6" t="n">
        <f aca="false">Q!L21</f>
        <v>110.814</v>
      </c>
      <c r="E8845" s="6" t="n">
        <f aca="false">Q!M21</f>
        <v>136.365</v>
      </c>
      <c r="F8845" s="6" t="n">
        <f aca="false">Q!$I$21+(Sens!F8844*(Sens!F8815-Sens!F8778)+Sens!F8778-(Sens!F8780+Sens!F8781+Sens!F8782)-Sens!F8796-Sens!F8879)*(Sens!F8815-Q!$I$5)/Sens!F8815</f>
        <v>163.094729067947</v>
      </c>
      <c r="G8845" s="6" t="n">
        <f aca="false">(Sens!G8844*(Sens!G8815-Sens!G8778)+Sens!G8778-(Sens!G8780+Sens!G8781+Sens!G8782)-Sens!G8796-Sens!G8879)</f>
        <v>179.263840819782</v>
      </c>
      <c r="H8845" s="6" t="n">
        <f aca="false">(Sens!H8844*(Sens!H8815-Sens!H8778)+Sens!H8778-(Sens!H8780+Sens!H8781+Sens!H8782)-Sens!H8796-Sens!H8879)</f>
        <v>199.10672556658</v>
      </c>
      <c r="I8845" s="6" t="n">
        <f aca="false">(Sens!I8844*(Sens!I8815-Sens!I8778)+Sens!I8778-(Sens!I8780+Sens!I8781+Sens!I8782)-Sens!I8796-Sens!I8879)</f>
        <v>217.79597202478</v>
      </c>
      <c r="J8845" s="6" t="n">
        <f aca="false">(Sens!J8844*(Sens!J8815-Sens!J8778)+Sens!J8778-(Sens!J8780+Sens!J8781+Sens!J8782)-Sens!J8796-Sens!J8879)</f>
        <v>235.084914501433</v>
      </c>
      <c r="K8845" s="6" t="n">
        <f aca="false">(Sens!K8844*(Sens!K8815-Sens!K8778)+Sens!K8778-(Sens!K8780+Sens!K8781+Sens!K8782)-Sens!K8796-Sens!K8879)</f>
        <v>251.777314931378</v>
      </c>
      <c r="L8845" s="1" t="s">
        <v>1064</v>
      </c>
    </row>
    <row r="8846" customFormat="false" ht="17.15" hidden="false" customHeight="false" outlineLevel="0" collapsed="false">
      <c r="A8846" s="0" t="s">
        <v>1065</v>
      </c>
      <c r="B8846" s="0" t="s">
        <v>168</v>
      </c>
      <c r="E8846" s="7" t="n">
        <f aca="false">Q!M22/Q!M12</f>
        <v>0.296207935710698</v>
      </c>
      <c r="F8846" s="7" t="n">
        <f aca="false">Sens!$E$8846+dm_seg</f>
        <v>0.296207935710698</v>
      </c>
      <c r="G8846" s="7" t="n">
        <f aca="false">Sens!$E$8846+dm_seg</f>
        <v>0.296207935710698</v>
      </c>
      <c r="H8846" s="7" t="n">
        <f aca="false">Sens!$E$8846+dm_seg</f>
        <v>0.296207935710698</v>
      </c>
      <c r="I8846" s="7" t="n">
        <f aca="false">Sens!$E$8846+dm_seg</f>
        <v>0.296207935710698</v>
      </c>
      <c r="J8846" s="7" t="n">
        <f aca="false">Sens!$E$8846+dm_seg</f>
        <v>0.296207935710698</v>
      </c>
      <c r="K8846" s="7" t="n">
        <f aca="false">Sens!$E$8846+dm_seg</f>
        <v>0.296207935710698</v>
      </c>
      <c r="L8846" s="12" t="s">
        <v>1066</v>
      </c>
    </row>
    <row r="8847" customFormat="false" ht="17.15" hidden="false" customHeight="false" outlineLevel="0" collapsed="false">
      <c r="A8847" s="0" t="s">
        <v>886</v>
      </c>
      <c r="B8847" s="0" t="s">
        <v>98</v>
      </c>
      <c r="D8847" s="6" t="n">
        <f aca="false">Q!L22</f>
        <v>17.714</v>
      </c>
      <c r="E8847" s="6" t="n">
        <f aca="false">Q!M22</f>
        <v>18.872</v>
      </c>
      <c r="F8847" s="6" t="n">
        <f aca="false">Q!$I$22+(Sens!F8822-Q!$I$12)*Sens!F8846</f>
        <v>19.8174315512051</v>
      </c>
      <c r="G8847" s="6" t="n">
        <f aca="false">Sens!G8822*Sens!G8846</f>
        <v>19.6313799703815</v>
      </c>
      <c r="H8847" s="6" t="n">
        <f aca="false">Sens!H8822*Sens!H8846</f>
        <v>20.3536242825865</v>
      </c>
      <c r="I8847" s="6" t="n">
        <f aca="false">Sens!I8822*Sens!I8846</f>
        <v>21.1920899239745</v>
      </c>
      <c r="J8847" s="6" t="n">
        <f aca="false">Sens!J8822*Sens!J8846</f>
        <v>22.1288166207045</v>
      </c>
      <c r="K8847" s="6" t="n">
        <f aca="false">Sens!K8822*Sens!K8846</f>
        <v>23.1493653905379</v>
      </c>
      <c r="L8847" s="12" t="s">
        <v>1067</v>
      </c>
    </row>
    <row r="8848" customFormat="false" ht="15" hidden="false" customHeight="false" outlineLevel="0" collapsed="false">
      <c r="A8848" s="1" t="s">
        <v>1068</v>
      </c>
      <c r="B8848" s="0" t="s">
        <v>98</v>
      </c>
      <c r="D8848" s="6" t="n">
        <f aca="false">Sens!D8845+Sens!D8847</f>
        <v>128.528</v>
      </c>
      <c r="E8848" s="6" t="n">
        <f aca="false">Sens!E8845+Sens!E8847</f>
        <v>155.237</v>
      </c>
      <c r="F8848" s="6" t="n">
        <f aca="false">Sens!F8845+Sens!F8847</f>
        <v>182.912160619152</v>
      </c>
      <c r="G8848" s="6" t="n">
        <f aca="false">Sens!G8845+Sens!G8847</f>
        <v>198.895220790164</v>
      </c>
      <c r="H8848" s="6" t="n">
        <f aca="false">Sens!H8845+Sens!H8847</f>
        <v>219.460349849166</v>
      </c>
      <c r="I8848" s="6" t="n">
        <f aca="false">Sens!I8845+Sens!I8847</f>
        <v>238.988061948755</v>
      </c>
      <c r="J8848" s="6" t="n">
        <f aca="false">Sens!J8845+Sens!J8847</f>
        <v>257.213731122137</v>
      </c>
      <c r="K8848" s="6" t="n">
        <f aca="false">Sens!K8845+Sens!K8847</f>
        <v>274.926680321916</v>
      </c>
    </row>
    <row r="8849" customFormat="false" ht="15" hidden="false" customHeight="false" outlineLevel="0" collapsed="false">
      <c r="A8849" s="26" t="s">
        <v>1069</v>
      </c>
      <c r="B8849" s="31" t="s">
        <v>98</v>
      </c>
      <c r="C8849" s="31"/>
      <c r="D8849" s="27" t="n">
        <f aca="false">Sens!D8848-Q!L23</f>
        <v>0</v>
      </c>
      <c r="E8849" s="27" t="n">
        <f aca="false">Sens!E8848-Q!M23</f>
        <v>0</v>
      </c>
      <c r="F8849" s="31"/>
      <c r="G8849" s="31"/>
      <c r="H8849" s="31"/>
      <c r="I8849" s="31"/>
      <c r="J8849" s="31"/>
      <c r="K8849" s="31"/>
    </row>
    <row r="8850" customFormat="false" ht="15" hidden="false" customHeight="false" outlineLevel="0" collapsed="false">
      <c r="A8850" s="1" t="s">
        <v>1070</v>
      </c>
      <c r="B8850" s="0" t="s">
        <v>168</v>
      </c>
      <c r="D8850" s="7" t="n">
        <f aca="false">Sens!D8848/Sens!D8841</f>
        <v>0.456219562408598</v>
      </c>
      <c r="E8850" s="7" t="n">
        <f aca="false">Sens!E8848/Sens!E8841</f>
        <v>0.467808184089272</v>
      </c>
      <c r="F8850" s="7" t="n">
        <f aca="false">Sens!F8848/Sens!F8841</f>
        <v>0.456272438443682</v>
      </c>
      <c r="G8850" s="7" t="n">
        <f aca="false">Sens!G8848/Sens!G8841</f>
        <v>0.414843242934129</v>
      </c>
      <c r="H8850" s="7" t="n">
        <f aca="false">Sens!H8848/Sens!H8841</f>
        <v>0.392012113068705</v>
      </c>
      <c r="I8850" s="7" t="n">
        <f aca="false">Sens!I8848/Sens!I8841</f>
        <v>0.37728166883815</v>
      </c>
      <c r="J8850" s="7" t="n">
        <f aca="false">Sens!J8848/Sens!J8841</f>
        <v>0.370845520187255</v>
      </c>
      <c r="K8850" s="7" t="n">
        <f aca="false">Sens!K8848/Sens!K8841</f>
        <v>0.370515782829221</v>
      </c>
    </row>
    <row r="8851" customFormat="false" ht="17.15" hidden="false" customHeight="false" outlineLevel="0" collapsed="false">
      <c r="A8851" s="1" t="s">
        <v>1071</v>
      </c>
      <c r="B8851" s="0" t="s">
        <v>98</v>
      </c>
      <c r="F8851" s="6" t="n">
        <f aca="false">Sens!F8866</f>
        <v>8.36954512952199</v>
      </c>
      <c r="G8851" s="6" t="n">
        <f aca="false">Sens!G8866</f>
        <v>23.2198921328178</v>
      </c>
      <c r="H8851" s="6" t="n">
        <f aca="false">Sens!H8866</f>
        <v>39.5434300855789</v>
      </c>
      <c r="I8851" s="6" t="n">
        <f aca="false">Sens!I8866</f>
        <v>54.4504867415748</v>
      </c>
      <c r="J8851" s="6" t="n">
        <f aca="false">Sens!J8866</f>
        <v>64.8858207802868</v>
      </c>
      <c r="K8851" s="6" t="n">
        <f aca="false">Sens!K8866</f>
        <v>70.4202317732647</v>
      </c>
      <c r="L8851" s="1" t="s">
        <v>1072</v>
      </c>
    </row>
    <row r="8852" customFormat="false" ht="17.15" hidden="false" customHeight="false" outlineLevel="0" collapsed="false">
      <c r="A8852" s="1" t="s">
        <v>1073</v>
      </c>
      <c r="B8852" s="0" t="s">
        <v>98</v>
      </c>
      <c r="D8852" s="6" t="n">
        <f aca="false">Sens!D8848</f>
        <v>128.528</v>
      </c>
      <c r="E8852" s="6" t="n">
        <f aca="false">Sens!E8848</f>
        <v>155.237</v>
      </c>
      <c r="F8852" s="6" t="n">
        <f aca="false">Sens!F8848+Sens!F8851</f>
        <v>191.281705748674</v>
      </c>
      <c r="G8852" s="6" t="n">
        <f aca="false">Sens!G8848+Sens!G8851</f>
        <v>222.115112922982</v>
      </c>
      <c r="H8852" s="6" t="n">
        <f aca="false">Sens!H8848+Sens!H8851</f>
        <v>259.003779934745</v>
      </c>
      <c r="I8852" s="6" t="n">
        <f aca="false">Sens!I8848+Sens!I8851</f>
        <v>293.43854869033</v>
      </c>
      <c r="J8852" s="6" t="n">
        <f aca="false">Sens!J8848+Sens!J8851</f>
        <v>322.099551902424</v>
      </c>
      <c r="K8852" s="6" t="n">
        <f aca="false">Sens!K8848+Sens!K8851</f>
        <v>345.346912095181</v>
      </c>
    </row>
    <row r="8853" customFormat="false" ht="17.15" hidden="false" customHeight="false" outlineLevel="0" collapsed="false">
      <c r="A8853" s="1" t="s">
        <v>1074</v>
      </c>
      <c r="B8853" s="0" t="s">
        <v>98</v>
      </c>
      <c r="E8853" s="6" t="n">
        <f aca="false">Sens!E8796</f>
        <v>16.3054059770833</v>
      </c>
      <c r="F8853" s="6" t="n">
        <f aca="false">Sens!F8796</f>
        <v>34.5793144783516</v>
      </c>
      <c r="G8853" s="6" t="n">
        <f aca="false">Sens!G8796</f>
        <v>60.7344906522989</v>
      </c>
      <c r="H8853" s="6" t="n">
        <f aca="false">Sens!H8796</f>
        <v>89.1000906614457</v>
      </c>
      <c r="I8853" s="6" t="n">
        <f aca="false">Sens!I8796</f>
        <v>114.231009694548</v>
      </c>
      <c r="J8853" s="6" t="n">
        <f aca="false">Sens!J8796</f>
        <v>132.015673049596</v>
      </c>
      <c r="K8853" s="6" t="n">
        <f aca="false">Sens!K8796</f>
        <v>143.012669550934</v>
      </c>
    </row>
    <row r="8854" customFormat="false" ht="17.15" hidden="false" customHeight="false" outlineLevel="0" collapsed="false">
      <c r="A8854" s="1" t="s">
        <v>1075</v>
      </c>
      <c r="B8854" s="0" t="s">
        <v>98</v>
      </c>
      <c r="E8854" s="6" t="n">
        <f aca="false">Sens!E8878</f>
        <v>22.2285940229167</v>
      </c>
      <c r="F8854" s="6" t="n">
        <f aca="false">Sens!F8878</f>
        <v>23.5986726626748</v>
      </c>
      <c r="G8854" s="6" t="n">
        <f aca="false">Sens!G8878</f>
        <v>25.4045319994623</v>
      </c>
      <c r="H8854" s="6" t="n">
        <f aca="false">Sens!H8878</f>
        <v>27.6111703014779</v>
      </c>
      <c r="I8854" s="6" t="n">
        <f aca="false">Sens!I8878</f>
        <v>30.1481901547962</v>
      </c>
      <c r="J8854" s="6" t="n">
        <f aca="false">Sens!J8878</f>
        <v>32.9287249362955</v>
      </c>
      <c r="K8854" s="6" t="n">
        <f aca="false">Sens!K8878</f>
        <v>35.8683072287924</v>
      </c>
    </row>
    <row r="8855" customFormat="false" ht="17.15" hidden="false" customHeight="false" outlineLevel="0" collapsed="false">
      <c r="A8855" s="1" t="s">
        <v>1076</v>
      </c>
      <c r="B8855" s="0" t="s">
        <v>98</v>
      </c>
      <c r="D8855" s="6" t="n">
        <f aca="false">Q!L27</f>
        <v>-4.901</v>
      </c>
      <c r="E8855" s="6" t="n">
        <f aca="false">Q!M27</f>
        <v>10.697</v>
      </c>
      <c r="F8855" s="6" t="n">
        <f aca="false">Q!$I$27+oie_f*(q_per_yr-1)/q_per_yr</f>
        <v>-0.862</v>
      </c>
      <c r="G8855" s="6" t="n">
        <f aca="false">oie_f</f>
        <v>-1.2</v>
      </c>
      <c r="H8855" s="6" t="n">
        <f aca="false">oie_f</f>
        <v>-1.2</v>
      </c>
      <c r="I8855" s="6" t="n">
        <f aca="false">oie_f</f>
        <v>-1.2</v>
      </c>
      <c r="J8855" s="6" t="n">
        <f aca="false">oie_f</f>
        <v>-1.2</v>
      </c>
      <c r="K8855" s="6" t="n">
        <f aca="false">oie_f</f>
        <v>-1.2</v>
      </c>
      <c r="L8855" s="12" t="s">
        <v>1077</v>
      </c>
    </row>
    <row r="8856" customFormat="false" ht="15" hidden="false" customHeight="false" outlineLevel="0" collapsed="false">
      <c r="A8856" s="1" t="s">
        <v>1078</v>
      </c>
      <c r="B8856" s="0" t="s">
        <v>98</v>
      </c>
      <c r="D8856" s="6" t="n">
        <f aca="false">Sens!D8848+Sens!D8855</f>
        <v>123.627</v>
      </c>
      <c r="E8856" s="6" t="n">
        <f aca="false">Sens!E8848+Sens!E8855</f>
        <v>165.934</v>
      </c>
      <c r="F8856" s="6" t="n">
        <f aca="false">Sens!F8848+Sens!F8855</f>
        <v>182.050160619152</v>
      </c>
      <c r="G8856" s="6" t="n">
        <f aca="false">Sens!G8848+Sens!G8855</f>
        <v>197.695220790164</v>
      </c>
      <c r="H8856" s="6" t="n">
        <f aca="false">Sens!H8848+Sens!H8855</f>
        <v>218.260349849166</v>
      </c>
      <c r="I8856" s="6" t="n">
        <f aca="false">Sens!I8848+Sens!I8855</f>
        <v>237.788061948755</v>
      </c>
      <c r="J8856" s="6" t="n">
        <f aca="false">Sens!J8848+Sens!J8855</f>
        <v>256.013731122137</v>
      </c>
      <c r="K8856" s="6" t="n">
        <f aca="false">Sens!K8848+Sens!K8855</f>
        <v>273.726680321916</v>
      </c>
    </row>
    <row r="8857" customFormat="false" ht="15" hidden="false" customHeight="false" outlineLevel="0" collapsed="false">
      <c r="A8857" s="1" t="s">
        <v>1079</v>
      </c>
      <c r="B8857" s="0" t="s">
        <v>98</v>
      </c>
      <c r="D8857" s="6" t="n">
        <f aca="false">Q!L29</f>
        <v>21.795</v>
      </c>
      <c r="E8857" s="6" t="n">
        <f aca="false">Q!M29</f>
        <v>32.185</v>
      </c>
      <c r="F8857" s="6" t="n">
        <f aca="false">Q!$I$29+(Sens!F8856-Q!$I$28)*tax_f</f>
        <v>36.5434321238304</v>
      </c>
      <c r="G8857" s="6" t="n">
        <f aca="false">Sens!G8856*tax_f</f>
        <v>39.5390441580328</v>
      </c>
      <c r="H8857" s="6" t="n">
        <f aca="false">Sens!H8856*tax_f</f>
        <v>43.6520699698333</v>
      </c>
      <c r="I8857" s="6" t="n">
        <f aca="false">Sens!I8856*tax_f</f>
        <v>47.557612389751</v>
      </c>
      <c r="J8857" s="6" t="n">
        <f aca="false">Sens!J8856*tax_f</f>
        <v>51.2027462244274</v>
      </c>
      <c r="K8857" s="6" t="n">
        <f aca="false">Sens!K8856*tax_f</f>
        <v>54.7453360643833</v>
      </c>
    </row>
    <row r="8858" customFormat="false" ht="15" hidden="false" customHeight="false" outlineLevel="0" collapsed="false">
      <c r="A8858" s="1" t="s">
        <v>1080</v>
      </c>
      <c r="B8858" s="0" t="s">
        <v>98</v>
      </c>
      <c r="D8858" s="6" t="n">
        <f aca="false">Sens!D8856-Sens!D8857</f>
        <v>101.832</v>
      </c>
      <c r="E8858" s="6" t="n">
        <f aca="false">Sens!E8856-Sens!E8857</f>
        <v>133.749</v>
      </c>
      <c r="F8858" s="6" t="n">
        <f aca="false">Sens!F8856-Sens!F8857</f>
        <v>145.506728495321</v>
      </c>
      <c r="G8858" s="6" t="n">
        <f aca="false">Sens!G8856-Sens!G8857</f>
        <v>158.156176632131</v>
      </c>
      <c r="H8858" s="6" t="n">
        <f aca="false">Sens!H8856-Sens!H8857</f>
        <v>174.608279879333</v>
      </c>
      <c r="I8858" s="6" t="n">
        <f aca="false">Sens!I8856-Sens!I8857</f>
        <v>190.230449559004</v>
      </c>
      <c r="J8858" s="6" t="n">
        <f aca="false">Sens!J8856-Sens!J8857</f>
        <v>204.81098489771</v>
      </c>
      <c r="K8858" s="6" t="n">
        <f aca="false">Sens!K8856-Sens!K8857</f>
        <v>218.981344257533</v>
      </c>
    </row>
    <row r="8859" customFormat="false" ht="17.15" hidden="false" customHeight="false" outlineLevel="0" collapsed="false">
      <c r="A8859" s="1" t="s">
        <v>1081</v>
      </c>
      <c r="B8859" s="1" t="s">
        <v>81</v>
      </c>
      <c r="D8859" s="15" t="n">
        <f aca="false">Q!L31</f>
        <v>7.465</v>
      </c>
      <c r="E8859" s="15" t="n">
        <f aca="false">Q!M31</f>
        <v>7.453</v>
      </c>
      <c r="F8859" s="15" t="n">
        <f aca="false">Sens!F8903</f>
        <v>7.47261362387381</v>
      </c>
      <c r="G8859" s="15" t="n">
        <f aca="false">Sens!G8903</f>
        <v>7.51672724774763</v>
      </c>
      <c r="H8859" s="15" t="n">
        <f aca="false">Sens!H8903</f>
        <v>7.54442718677643</v>
      </c>
      <c r="I8859" s="15" t="n">
        <f aca="false">Sens!I8903</f>
        <v>7.5561085508319</v>
      </c>
      <c r="J8859" s="15" t="n">
        <f aca="false">Sens!J8903</f>
        <v>7.57025796199437</v>
      </c>
      <c r="K8859" s="15" t="n">
        <f aca="false">Sens!K8903</f>
        <v>7.58669260195962</v>
      </c>
    </row>
    <row r="8860" customFormat="false" ht="17.15" hidden="false" customHeight="false" outlineLevel="0" collapsed="false">
      <c r="A8860" s="0" t="s">
        <v>1082</v>
      </c>
      <c r="B8860" s="0" t="s">
        <v>75</v>
      </c>
      <c r="D8860" s="8" t="n">
        <f aca="false">Sens!D8858/Sens!D8859</f>
        <v>13.641259209645</v>
      </c>
      <c r="E8860" s="8" t="n">
        <f aca="false">Sens!E8858/Sens!E8859</f>
        <v>17.9456594659869</v>
      </c>
      <c r="F8860" s="8" t="n">
        <f aca="false">Sens!F8858/Sens!F8859</f>
        <v>19.4719994662176</v>
      </c>
      <c r="G8860" s="8" t="n">
        <f aca="false">Sens!G8858/Sens!G8859</f>
        <v>21.0405634552621</v>
      </c>
      <c r="H8860" s="8" t="n">
        <f aca="false">Sens!H8858/Sens!H8859</f>
        <v>23.1440075643357</v>
      </c>
      <c r="I8860" s="8" t="n">
        <f aca="false">Sens!I8858/Sens!I8859</f>
        <v>25.1757168758594</v>
      </c>
      <c r="J8860" s="8" t="n">
        <f aca="false">Sens!J8858/Sens!J8859</f>
        <v>27.0546903323427</v>
      </c>
      <c r="K8860" s="8" t="n">
        <f aca="false">Sens!K8858/Sens!K8859</f>
        <v>28.863874648219</v>
      </c>
      <c r="L8860" s="1" t="s">
        <v>1083</v>
      </c>
    </row>
    <row r="8861" customFormat="false" ht="17.15" hidden="false" customHeight="false" outlineLevel="0" collapsed="false">
      <c r="A8861" s="1" t="s">
        <v>1084</v>
      </c>
      <c r="B8861" s="0" t="s">
        <v>98</v>
      </c>
      <c r="D8861" s="6" t="n">
        <f aca="false">Sens!D8858</f>
        <v>101.832</v>
      </c>
      <c r="E8861" s="6" t="n">
        <f aca="false">Sens!E8858</f>
        <v>133.749</v>
      </c>
      <c r="F8861" s="6" t="n">
        <f aca="false">Sens!F8858+Sens!F8851*(1-tax_f)</f>
        <v>152.202364598939</v>
      </c>
      <c r="G8861" s="6" t="n">
        <f aca="false">Sens!G8858+Sens!G8851*(1-tax_f)</f>
        <v>176.732090338385</v>
      </c>
      <c r="H8861" s="6" t="n">
        <f aca="false">Sens!H8858+Sens!H8851*(1-tax_f)</f>
        <v>206.243023947796</v>
      </c>
      <c r="I8861" s="6" t="n">
        <f aca="false">Sens!I8858+Sens!I8851*(1-tax_f)</f>
        <v>233.790838952264</v>
      </c>
      <c r="J8861" s="6" t="n">
        <f aca="false">Sens!J8858+Sens!J8851*(1-tax_f)</f>
        <v>256.719641521939</v>
      </c>
      <c r="K8861" s="6" t="n">
        <f aca="false">Sens!K8858+Sens!K8851*(1-tax_f)</f>
        <v>275.317529676145</v>
      </c>
    </row>
    <row r="8862" customFormat="false" ht="17.15" hidden="false" customHeight="false" outlineLevel="0" collapsed="false">
      <c r="A8862" s="0" t="s">
        <v>1085</v>
      </c>
      <c r="B8862" s="0" t="s">
        <v>75</v>
      </c>
      <c r="D8862" s="8" t="n">
        <f aca="false">Sens!D8861/Sens!D8859</f>
        <v>13.641259209645</v>
      </c>
      <c r="E8862" s="8" t="n">
        <f aca="false">Sens!E8861/Sens!E8859</f>
        <v>17.9456594659869</v>
      </c>
      <c r="F8862" s="8" t="n">
        <f aca="false">Sens!F8861/Sens!F8859</f>
        <v>20.3680227909385</v>
      </c>
      <c r="G8862" s="8" t="n">
        <f aca="false">Sens!G8861/Sens!G8859</f>
        <v>23.5118402615105</v>
      </c>
      <c r="H8862" s="8" t="n">
        <f aca="false">Sens!H8861/Sens!H8859</f>
        <v>27.3371349264648</v>
      </c>
      <c r="I8862" s="8" t="n">
        <f aca="false">Sens!I8861/Sens!I8859</f>
        <v>30.9406405929047</v>
      </c>
      <c r="J8862" s="8" t="n">
        <f aca="false">Sens!J8861/Sens!J8859</f>
        <v>33.9116107813989</v>
      </c>
      <c r="K8862" s="8" t="n">
        <f aca="false">Sens!K8861/Sens!K8859</f>
        <v>36.2895327543693</v>
      </c>
      <c r="L8862" s="1" t="s">
        <v>1086</v>
      </c>
    </row>
    <row r="8863" customFormat="false" ht="17.15" hidden="false" customHeight="false" outlineLevel="0" collapsed="false">
      <c r="A8863" s="0" t="s">
        <v>1087</v>
      </c>
      <c r="B8863" s="0" t="s">
        <v>168</v>
      </c>
      <c r="E8863" s="7" t="n">
        <f aca="false">Sens!E8862/Sens!D8862-1</f>
        <v>0.315542736208578</v>
      </c>
      <c r="F8863" s="7" t="n">
        <f aca="false">Sens!F8862/Sens!E8862-1</f>
        <v>0.134983243694265</v>
      </c>
      <c r="G8863" s="7" t="n">
        <f aca="false">Sens!G8862/Sens!F8862-1</f>
        <v>0.154350645756871</v>
      </c>
      <c r="H8863" s="7" t="n">
        <f aca="false">Sens!H8862/Sens!G8862-1</f>
        <v>0.162696523215855</v>
      </c>
      <c r="I8863" s="7" t="n">
        <f aca="false">Sens!I8862/Sens!H8862-1</f>
        <v>0.131817239668061</v>
      </c>
      <c r="J8863" s="7" t="n">
        <f aca="false">Sens!J8862/Sens!I8862-1</f>
        <v>0.0960216120792117</v>
      </c>
      <c r="K8863" s="7" t="n">
        <f aca="false">Sens!K8862/Sens!J8862-1</f>
        <v>0.0701211743759072</v>
      </c>
    </row>
    <row r="8864" customFormat="false" ht="17.15" hidden="false" customHeight="false" outlineLevel="0" collapsed="false">
      <c r="A8864" s="0" t="s">
        <v>1007</v>
      </c>
      <c r="B8864" s="0" t="s">
        <v>98</v>
      </c>
      <c r="E8864" s="6" t="n">
        <f aca="false">Sens!E8805</f>
        <v>5.25</v>
      </c>
      <c r="F8864" s="6" t="n">
        <f aca="false">Sens!F8805</f>
        <v>14.4</v>
      </c>
      <c r="G8864" s="6" t="n">
        <f aca="false">Sens!G8805</f>
        <v>21.6</v>
      </c>
      <c r="H8864" s="6" t="n">
        <f aca="false">Sens!H8805</f>
        <v>28.8</v>
      </c>
      <c r="I8864" s="6" t="n">
        <f aca="false">Sens!I8805</f>
        <v>34.2</v>
      </c>
      <c r="J8864" s="6" t="n">
        <f aca="false">Sens!J8805</f>
        <v>37.8</v>
      </c>
      <c r="K8864" s="6" t="n">
        <f aca="false">Sens!K8805</f>
        <v>41.4</v>
      </c>
    </row>
    <row r="8865" customFormat="false" ht="17.15" hidden="false" customHeight="false" outlineLevel="0" collapsed="false">
      <c r="A8865" s="1" t="s">
        <v>1008</v>
      </c>
      <c r="B8865" s="0" t="s">
        <v>98</v>
      </c>
      <c r="F8865" s="6" t="n">
        <f aca="false">MAX(0,((Sens!E8765+Sens!F8765)/2-(shadow_base*(Sens!$D$8765+Sens!$E$8765)/2+(1-shadow_base)*Sens!$E$8765))*Sens!F8774/1000-(Sens!F8864-Sens!$E$8864)*Sens!F8844)</f>
        <v>8.36954512952199</v>
      </c>
      <c r="G8865" s="6" t="n">
        <f aca="false">MAX(0,((Sens!F8765+Sens!G8765)/2-(shadow_base*(Sens!$D$8765+Sens!$E$8765)/2+(1-shadow_base)*Sens!$E$8765))*Sens!G8774/1000-(Sens!G8864-Sens!$E$8864)*Sens!G8844)</f>
        <v>23.2198921328178</v>
      </c>
      <c r="H8865" s="6" t="n">
        <f aca="false">MAX(0,((Sens!G8765+Sens!H8765)/2-(shadow_base*(Sens!$D$8765+Sens!$E$8765)/2+(1-shadow_base)*Sens!$E$8765))*Sens!H8774/1000-(Sens!H8864-Sens!$E$8864)*Sens!H8844)</f>
        <v>39.5434300855789</v>
      </c>
      <c r="I8865" s="6" t="n">
        <f aca="false">MAX(0,((Sens!H8765+Sens!I8765)/2-(shadow_base*(Sens!$D$8765+Sens!$E$8765)/2+(1-shadow_base)*Sens!$E$8765))*Sens!I8774/1000-(Sens!I8864-Sens!$E$8864)*Sens!I8844)</f>
        <v>54.4504867415748</v>
      </c>
      <c r="J8865" s="6" t="n">
        <f aca="false">MAX(0,((Sens!I8765+Sens!J8765)/2-(shadow_base*(Sens!$D$8765+Sens!$E$8765)/2+(1-shadow_base)*Sens!$E$8765))*Sens!J8774/1000-(Sens!J8864-Sens!$E$8864)*Sens!J8844)</f>
        <v>64.8858207802868</v>
      </c>
      <c r="K8865" s="6" t="n">
        <f aca="false">MAX(0,((Sens!J8765+Sens!K8765)/2-(shadow_base*(Sens!$D$8765+Sens!$E$8765)/2+(1-shadow_base)*Sens!$E$8765))*Sens!K8774/1000-(Sens!K8864-Sens!$E$8864)*Sens!K8844)</f>
        <v>70.4202317732647</v>
      </c>
      <c r="L8865" s="1" t="s">
        <v>1009</v>
      </c>
    </row>
    <row r="8866" customFormat="false" ht="17.15" hidden="false" customHeight="false" outlineLevel="0" collapsed="false">
      <c r="A8866" s="1" t="s">
        <v>1010</v>
      </c>
      <c r="B8866" s="0" t="s">
        <v>98</v>
      </c>
      <c r="F8866" s="6" t="n">
        <f aca="false">IF(internal_ai_reading=2,1,0)*Sens!F8865</f>
        <v>8.36954512952199</v>
      </c>
      <c r="G8866" s="6" t="n">
        <f aca="false">IF(internal_ai_reading=2,1,0)*Sens!G8865</f>
        <v>23.2198921328178</v>
      </c>
      <c r="H8866" s="6" t="n">
        <f aca="false">IF(internal_ai_reading=2,1,0)*Sens!H8865</f>
        <v>39.5434300855789</v>
      </c>
      <c r="I8866" s="6" t="n">
        <f aca="false">IF(internal_ai_reading=2,1,0)*Sens!I8865</f>
        <v>54.4504867415748</v>
      </c>
      <c r="J8866" s="6" t="n">
        <f aca="false">IF(internal_ai_reading=2,1,0)*Sens!J8865</f>
        <v>64.8858207802868</v>
      </c>
      <c r="K8866" s="6" t="n">
        <f aca="false">IF(internal_ai_reading=2,1,0)*Sens!K8865</f>
        <v>70.4202317732647</v>
      </c>
    </row>
    <row r="8867" customFormat="false" ht="17.15" hidden="false" customHeight="false" outlineLevel="0" collapsed="false">
      <c r="A8867" s="0" t="s">
        <v>1011</v>
      </c>
      <c r="B8867" s="0" t="s">
        <v>98</v>
      </c>
      <c r="F8867" s="6" t="n">
        <f aca="false">Sens!F8784+Sens!F8864*Sens!F8844+Sens!F8866-Sens!F8785-Sens!F8796</f>
        <v>14.8152827562272</v>
      </c>
      <c r="G8867" s="6" t="n">
        <f aca="false">Sens!G8784+Sens!G8864*Sens!G8844+Sens!G8866-Sens!G8785-Sens!G8796</f>
        <v>31.0349977765951</v>
      </c>
      <c r="H8867" s="6" t="n">
        <f aca="false">Sens!H8784+Sens!H8864*Sens!H8844+Sens!H8866-Sens!H8785-Sens!H8796</f>
        <v>47.8811519709826</v>
      </c>
      <c r="I8867" s="6" t="n">
        <f aca="false">Sens!I8784+Sens!I8864*Sens!I8844+Sens!I8866-Sens!I8785-Sens!I8796</f>
        <v>62.6472166574028</v>
      </c>
      <c r="J8867" s="6" t="n">
        <f aca="false">Sens!J8784+Sens!J8864*Sens!J8844+Sens!J8866-Sens!J8785-Sens!J8796</f>
        <v>72.7882253357034</v>
      </c>
      <c r="K8867" s="6" t="n">
        <f aca="false">Sens!K8784+Sens!K8864*Sens!K8844+Sens!K8866-Sens!K8785-Sens!K8796</f>
        <v>79.4617812140187</v>
      </c>
    </row>
    <row r="8868" customFormat="false" ht="17.15" hidden="false" customHeight="false" outlineLevel="0" collapsed="false">
      <c r="A8868" s="0" t="s">
        <v>1012</v>
      </c>
      <c r="B8868" s="0" t="s">
        <v>98</v>
      </c>
      <c r="E8868" s="6" t="n">
        <f aca="false">Sens!E8764*(cxit_open+self_build*tk_cxfac)/1000*ai_net_open</f>
        <v>126.6980382</v>
      </c>
      <c r="F8868" s="6" t="n">
        <f aca="false">Sens!E8868+Sens!F8793-Sens!F8796</f>
        <v>260.572627763768</v>
      </c>
      <c r="G8868" s="6" t="n">
        <f aca="false">Sens!F8868+Sens!G8793-Sens!G8796</f>
        <v>391.782612760517</v>
      </c>
      <c r="H8868" s="6" t="n">
        <f aca="false">Sens!G8868+Sens!H8793-Sens!H8796</f>
        <v>499.488526163584</v>
      </c>
      <c r="I8868" s="6" t="n">
        <f aca="false">Sens!H8868+Sens!I8793-Sens!I8796</f>
        <v>553.872350090646</v>
      </c>
      <c r="J8868" s="6" t="n">
        <f aca="false">Sens!I8868+Sens!J8793-Sens!J8796</f>
        <v>550.78660823699</v>
      </c>
      <c r="K8868" s="6" t="n">
        <f aca="false">Sens!J8868+Sens!K8793-Sens!K8796</f>
        <v>526.736791750789</v>
      </c>
      <c r="L8868" s="1" t="s">
        <v>1013</v>
      </c>
    </row>
    <row r="8869" customFormat="false" ht="17.15" hidden="false" customHeight="false" outlineLevel="0" collapsed="false">
      <c r="A8869" s="0" t="s">
        <v>1014</v>
      </c>
      <c r="B8869" s="0" t="s">
        <v>168</v>
      </c>
      <c r="F8869" s="7" t="n">
        <f aca="false">Sens!F8867*(1-tax_f)/((Sens!E8868+Sens!F8868)/2)</f>
        <v>0.0612090057246454</v>
      </c>
      <c r="G8869" s="7" t="n">
        <f aca="false">Sens!G8867*(1-tax_f)/((Sens!F8868+Sens!G8868)/2)</f>
        <v>0.0761180310326695</v>
      </c>
      <c r="H8869" s="7" t="n">
        <f aca="false">Sens!H8867*(1-tax_f)/((Sens!G8868+Sens!H8868)/2)</f>
        <v>0.0859557095566361</v>
      </c>
      <c r="I8869" s="7" t="n">
        <f aca="false">Sens!I8867*(1-tax_f)/((Sens!H8868+Sens!I8868)/2)</f>
        <v>0.0951578408800258</v>
      </c>
      <c r="J8869" s="7" t="n">
        <f aca="false">Sens!J8867*(1-tax_f)/((Sens!I8868+Sens!J8868)/2)</f>
        <v>0.105427253958487</v>
      </c>
      <c r="K8869" s="7" t="n">
        <f aca="false">Sens!K8867*(1-tax_f)/((Sens!J8868+Sens!K8868)/2)</f>
        <v>0.117991729872291</v>
      </c>
    </row>
    <row r="8870" customFormat="false" ht="17.15" hidden="false" customHeight="false" outlineLevel="0" collapsed="false">
      <c r="A8870" s="1" t="s">
        <v>1015</v>
      </c>
      <c r="B8870" s="0" t="s">
        <v>168</v>
      </c>
      <c r="F8870" s="7" t="n">
        <f aca="false">(Sens!F8867-Sens!F8866)*(1-tax_f)/((Sens!E8868+Sens!F8868)/2)</f>
        <v>0.0266304192626177</v>
      </c>
      <c r="G8870" s="7" t="n">
        <f aca="false">(Sens!G8867-Sens!G8866)*(1-tax_f)/((Sens!F8868+Sens!G8868)/2)</f>
        <v>0.0191677298706059</v>
      </c>
      <c r="H8870" s="7" t="n">
        <f aca="false">(Sens!H8867-Sens!H8866)*(1-tax_f)/((Sens!G8868+Sens!H8868)/2)</f>
        <v>0.0149677852608913</v>
      </c>
      <c r="I8870" s="7" t="n">
        <f aca="false">(Sens!I8867-Sens!I8866)*(1-tax_f)/((Sens!H8868+Sens!I8868)/2)</f>
        <v>0.0124504034286533</v>
      </c>
      <c r="J8870" s="7" t="n">
        <f aca="false">(Sens!J8867-Sens!J8866)*(1-tax_f)/((Sens!I8868+Sens!J8868)/2)</f>
        <v>0.0114459283504189</v>
      </c>
      <c r="K8870" s="7" t="n">
        <f aca="false">(Sens!K8867-Sens!K8866)*(1-tax_f)/((Sens!J8868+Sens!K8868)/2)</f>
        <v>0.0134256751225733</v>
      </c>
    </row>
    <row r="8871" customFormat="false" ht="17.15" hidden="false" customHeight="false" outlineLevel="0" collapsed="false">
      <c r="A8871" s="1" t="s">
        <v>1016</v>
      </c>
      <c r="B8871" s="0" t="s">
        <v>168</v>
      </c>
      <c r="F8871" s="7" t="n">
        <f aca="false">(Sens!F8867-Sens!F8866+Sens!F8865)*(1-tax_f)/((Sens!E8868+Sens!F8868)/2)</f>
        <v>0.0612090057246454</v>
      </c>
      <c r="G8871" s="7" t="n">
        <f aca="false">(Sens!G8867-Sens!G8866+Sens!G8865)*(1-tax_f)/((Sens!F8868+Sens!G8868)/2)</f>
        <v>0.0761180310326695</v>
      </c>
      <c r="H8871" s="7" t="n">
        <f aca="false">(Sens!H8867-Sens!H8866+Sens!H8865)*(1-tax_f)/((Sens!G8868+Sens!H8868)/2)</f>
        <v>0.0859557095566361</v>
      </c>
      <c r="I8871" s="7" t="n">
        <f aca="false">(Sens!I8867-Sens!I8866+Sens!I8865)*(1-tax_f)/((Sens!H8868+Sens!I8868)/2)</f>
        <v>0.0951578408800258</v>
      </c>
      <c r="J8871" s="7" t="n">
        <f aca="false">(Sens!J8867-Sens!J8866+Sens!J8865)*(1-tax_f)/((Sens!I8868+Sens!J8868)/2)</f>
        <v>0.105427253958487</v>
      </c>
      <c r="K8871" s="7" t="n">
        <f aca="false">(Sens!K8867-Sens!K8866+Sens!K8865)*(1-tax_f)/((Sens!J8868+Sens!K8868)/2)</f>
        <v>0.117991729872291</v>
      </c>
    </row>
    <row r="8872" customFormat="false" ht="17.15" hidden="false" customHeight="false" outlineLevel="0" collapsed="false">
      <c r="A8872" s="1" t="s">
        <v>1017</v>
      </c>
      <c r="B8872" s="0" t="s">
        <v>168</v>
      </c>
      <c r="F8872" s="7" t="n">
        <f aca="false">Sens!F8797*(1-tax_f)/(Sens!F8783*(Sens!E8868+Sens!F8868)/2)</f>
        <v>0.129294830495493</v>
      </c>
      <c r="G8872" s="7" t="n">
        <f aca="false">Sens!G8797*(1-tax_f)/(Sens!G8783*(Sens!F8868+Sens!G8868)/2)</f>
        <v>0.12719599062164</v>
      </c>
      <c r="H8872" s="7" t="n">
        <f aca="false">Sens!H8797*(1-tax_f)/(Sens!H8783*(Sens!G8868+Sens!H8868)/2)</f>
        <v>0.130828167067624</v>
      </c>
      <c r="I8872" s="7" t="n">
        <f aca="false">Sens!I8797*(1-tax_f)/(Sens!I8783*(Sens!H8868+Sens!I8868)/2)</f>
        <v>0.138614526937417</v>
      </c>
      <c r="J8872" s="7" t="n">
        <f aca="false">Sens!J8797*(1-tax_f)/(Sens!J8783*(Sens!I8868+Sens!J8868)/2)</f>
        <v>0.150578919010924</v>
      </c>
      <c r="K8872" s="7" t="n">
        <f aca="false">Sens!K8797*(1-tax_f)/(Sens!K8783*(Sens!J8868+Sens!K8868)/2)</f>
        <v>0.167005345886664</v>
      </c>
    </row>
    <row r="8873" customFormat="false" ht="17.15" hidden="false" customHeight="false" outlineLevel="0" collapsed="false">
      <c r="A8873" s="0" t="s">
        <v>1018</v>
      </c>
      <c r="B8873" s="0" t="s">
        <v>253</v>
      </c>
      <c r="F8873" s="7" t="n">
        <f aca="false">Sens!F8869-wacc</f>
        <v>-0.0417275852209519</v>
      </c>
      <c r="G8873" s="7" t="n">
        <f aca="false">Sens!G8869-wacc</f>
        <v>-0.0268185599129278</v>
      </c>
      <c r="H8873" s="7" t="n">
        <f aca="false">Sens!H8869-wacc</f>
        <v>-0.0169808813889612</v>
      </c>
      <c r="I8873" s="7" t="n">
        <f aca="false">Sens!I8869-wacc</f>
        <v>-0.00777875006557149</v>
      </c>
      <c r="J8873" s="7" t="n">
        <f aca="false">Sens!J8869-wacc</f>
        <v>0.0024906630128898</v>
      </c>
      <c r="K8873" s="7" t="n">
        <f aca="false">Sens!K8869-wacc</f>
        <v>0.0150551389266932</v>
      </c>
    </row>
    <row r="8874" customFormat="false" ht="17.15" hidden="false" customHeight="false" outlineLevel="0" collapsed="false">
      <c r="A8874" s="0" t="s">
        <v>1019</v>
      </c>
      <c r="B8874" s="0" t="s">
        <v>98</v>
      </c>
      <c r="F8874" s="6" t="n">
        <f aca="false">Sens!F8867*(1-tax_f)-wacc*(Sens!E8868+Sens!F8868)/2</f>
        <v>-8.07993485878896</v>
      </c>
      <c r="G8874" s="6" t="n">
        <f aca="false">Sens!G8867*(1-tax_f)-wacc*(Sens!F8868+Sens!G8868)/2</f>
        <v>-8.74761405125647</v>
      </c>
      <c r="H8874" s="6" t="n">
        <f aca="false">Sens!H8867*(1-tax_f)-wacc*(Sens!G8868+Sens!H8868)/2</f>
        <v>-7.56728474773728</v>
      </c>
      <c r="I8874" s="6" t="n">
        <f aca="false">Sens!I8867*(1-tax_f)-wacc*(Sens!H8868+Sens!I8868)/2</f>
        <v>-4.09691549261652</v>
      </c>
      <c r="J8874" s="6" t="n">
        <f aca="false">Sens!J8867*(1-tax_f)-wacc*(Sens!I8868+Sens!J8868)/2</f>
        <v>1.37566660468201</v>
      </c>
      <c r="K8874" s="6" t="n">
        <f aca="false">Sens!K8867*(1-tax_f)-wacc*(Sens!J8868+Sens!K8868)/2</f>
        <v>8.11113224178941</v>
      </c>
    </row>
    <row r="8875" customFormat="false" ht="17.15" hidden="false" customHeight="false" outlineLevel="0" collapsed="false">
      <c r="A8875" s="3" t="s">
        <v>1833</v>
      </c>
    </row>
    <row r="8876" customFormat="false" ht="15" hidden="false" customHeight="false" outlineLevel="0" collapsed="false">
      <c r="A8876" s="4" t="s">
        <v>43</v>
      </c>
      <c r="B8876" s="4" t="s">
        <v>65</v>
      </c>
      <c r="C8876" s="23" t="s">
        <v>942</v>
      </c>
      <c r="D8876" s="23" t="s">
        <v>943</v>
      </c>
      <c r="E8876" s="23" t="s">
        <v>944</v>
      </c>
      <c r="F8876" s="23" t="s">
        <v>945</v>
      </c>
      <c r="G8876" s="23" t="s">
        <v>946</v>
      </c>
      <c r="H8876" s="23" t="s">
        <v>947</v>
      </c>
      <c r="I8876" s="23" t="s">
        <v>948</v>
      </c>
      <c r="J8876" s="23" t="s">
        <v>949</v>
      </c>
      <c r="K8876" s="23" t="s">
        <v>950</v>
      </c>
      <c r="L8876" s="4" t="s">
        <v>47</v>
      </c>
    </row>
    <row r="8877" customFormat="false" ht="15" hidden="false" customHeight="false" outlineLevel="0" collapsed="false">
      <c r="A8877" s="1" t="s">
        <v>1080</v>
      </c>
      <c r="B8877" s="0" t="s">
        <v>98</v>
      </c>
      <c r="F8877" s="6" t="n">
        <f aca="false">Sens!F8858</f>
        <v>145.506728495321</v>
      </c>
      <c r="G8877" s="6" t="n">
        <f aca="false">Sens!G8858</f>
        <v>158.156176632131</v>
      </c>
      <c r="H8877" s="6" t="n">
        <f aca="false">Sens!H8858</f>
        <v>174.608279879333</v>
      </c>
      <c r="I8877" s="6" t="n">
        <f aca="false">Sens!I8858</f>
        <v>190.230449559004</v>
      </c>
      <c r="J8877" s="6" t="n">
        <f aca="false">Sens!J8858</f>
        <v>204.81098489771</v>
      </c>
      <c r="K8877" s="6" t="n">
        <f aca="false">Sens!K8858</f>
        <v>218.981344257533</v>
      </c>
    </row>
    <row r="8878" customFormat="false" ht="17.15" hidden="false" customHeight="false" outlineLevel="0" collapsed="false">
      <c r="A8878" s="1" t="s">
        <v>1102</v>
      </c>
      <c r="B8878" s="0" t="s">
        <v>98</v>
      </c>
      <c r="E8878" s="6" t="n">
        <f aca="false">Q!M38-Sens!E8796</f>
        <v>22.2285940229167</v>
      </c>
      <c r="F8878" s="6" t="n">
        <f aca="false">Sens!E8878*(1-1/life_nonai)+(Sens!F8886+Sens!F8887)/life_nonai</f>
        <v>23.5986726626748</v>
      </c>
      <c r="G8878" s="6" t="n">
        <f aca="false">Sens!F8878*(1-1/life_nonai)+(Sens!G8886)/life_nonai</f>
        <v>25.4045319994623</v>
      </c>
      <c r="H8878" s="6" t="n">
        <f aca="false">Sens!G8878*(1-1/life_nonai)+(Sens!H8886)/life_nonai</f>
        <v>27.6111703014779</v>
      </c>
      <c r="I8878" s="6" t="n">
        <f aca="false">Sens!H8878*(1-1/life_nonai)+(Sens!I8886)/life_nonai</f>
        <v>30.1481901547962</v>
      </c>
      <c r="J8878" s="6" t="n">
        <f aca="false">Sens!I8878*(1-1/life_nonai)+(Sens!J8886)/life_nonai</f>
        <v>32.9287249362955</v>
      </c>
      <c r="K8878" s="6" t="n">
        <f aca="false">Sens!J8878*(1-1/life_nonai)+(Sens!K8886)/life_nonai</f>
        <v>35.8683072287924</v>
      </c>
      <c r="L8878" s="12" t="s">
        <v>1103</v>
      </c>
    </row>
    <row r="8879" customFormat="false" ht="17.15" hidden="false" customHeight="false" outlineLevel="0" collapsed="false">
      <c r="A8879" s="1" t="s">
        <v>1104</v>
      </c>
      <c r="B8879" s="0" t="s">
        <v>98</v>
      </c>
      <c r="F8879" s="6" t="n">
        <f aca="false">Sens!$F$8887/life_nonai*(1-1/life_nonai)^(Sens!F8759-2027)</f>
        <v>0</v>
      </c>
      <c r="G8879" s="6" t="n">
        <f aca="false">Sens!$F$8887/life_nonai*(1-1/life_nonai)^(Sens!G8759-2027)</f>
        <v>0</v>
      </c>
      <c r="H8879" s="6" t="n">
        <f aca="false">Sens!$F$8887/life_nonai*(1-1/life_nonai)^(Sens!H8759-2027)</f>
        <v>0</v>
      </c>
      <c r="I8879" s="6" t="n">
        <f aca="false">Sens!$F$8887/life_nonai*(1-1/life_nonai)^(Sens!I8759-2027)</f>
        <v>0</v>
      </c>
      <c r="J8879" s="6" t="n">
        <f aca="false">Sens!$F$8887/life_nonai*(1-1/life_nonai)^(Sens!J8759-2027)</f>
        <v>0</v>
      </c>
      <c r="K8879" s="6" t="n">
        <f aca="false">Sens!$F$8887/life_nonai*(1-1/life_nonai)^(Sens!K8759-2027)</f>
        <v>0</v>
      </c>
      <c r="L8879" s="1" t="s">
        <v>1105</v>
      </c>
    </row>
    <row r="8880" customFormat="false" ht="17.15" hidden="false" customHeight="false" outlineLevel="0" collapsed="false">
      <c r="A8880" s="1" t="s">
        <v>1106</v>
      </c>
      <c r="B8880" s="0" t="s">
        <v>98</v>
      </c>
      <c r="E8880" s="6" t="n">
        <f aca="false">Sens!E8796+Sens!E8878</f>
        <v>38.534</v>
      </c>
      <c r="F8880" s="6" t="n">
        <f aca="false">Sens!F8796+Sens!F8878</f>
        <v>58.1779871410265</v>
      </c>
      <c r="G8880" s="6" t="n">
        <f aca="false">Sens!G8796+Sens!G8878</f>
        <v>86.1390226517613</v>
      </c>
      <c r="H8880" s="6" t="n">
        <f aca="false">Sens!H8796+Sens!H8878</f>
        <v>116.711260962924</v>
      </c>
      <c r="I8880" s="6" t="n">
        <f aca="false">Sens!I8796+Sens!I8878</f>
        <v>144.379199849345</v>
      </c>
      <c r="J8880" s="6" t="n">
        <f aca="false">Sens!J8796+Sens!J8878</f>
        <v>164.944397985892</v>
      </c>
      <c r="K8880" s="6" t="n">
        <f aca="false">Sens!K8796+Sens!K8878</f>
        <v>178.880976779726</v>
      </c>
    </row>
    <row r="8881" customFormat="false" ht="17.15" hidden="false" customHeight="false" outlineLevel="0" collapsed="false">
      <c r="A8881" s="1" t="s">
        <v>1107</v>
      </c>
      <c r="B8881" s="0" t="s">
        <v>98</v>
      </c>
      <c r="F8881" s="6" t="n">
        <f aca="false">Sens!F8823*sbc_r</f>
        <v>14.9860675840035</v>
      </c>
      <c r="G8881" s="6" t="n">
        <f aca="false">Sens!G8823*sbc_r</f>
        <v>17.9229572842233</v>
      </c>
      <c r="H8881" s="6" t="n">
        <f aca="false">Sens!H8823*sbc_r</f>
        <v>20.9279130864937</v>
      </c>
      <c r="I8881" s="6" t="n">
        <f aca="false">Sens!I8823*sbc_r</f>
        <v>23.6798989948884</v>
      </c>
      <c r="J8881" s="6" t="n">
        <f aca="false">Sens!J8823*sbc_r</f>
        <v>25.9280857796861</v>
      </c>
      <c r="K8881" s="6" t="n">
        <f aca="false">Sens!K8823*sbc_r</f>
        <v>27.7382794036228</v>
      </c>
    </row>
    <row r="8882" customFormat="false" ht="17.15" hidden="false" customHeight="false" outlineLevel="0" collapsed="false">
      <c r="A8882" s="1" t="s">
        <v>1108</v>
      </c>
      <c r="B8882" s="0" t="s">
        <v>98</v>
      </c>
      <c r="F8882" s="6" t="n">
        <f aca="false">wc27-wc26q1</f>
        <v>-4.677</v>
      </c>
      <c r="G8882" s="6" t="n">
        <f aca="false">wc_f</f>
        <v>0</v>
      </c>
      <c r="H8882" s="6" t="n">
        <f aca="false">wc_f</f>
        <v>0</v>
      </c>
      <c r="I8882" s="6" t="n">
        <f aca="false">wc_f</f>
        <v>0</v>
      </c>
      <c r="J8882" s="6" t="n">
        <f aca="false">wc_f</f>
        <v>0</v>
      </c>
      <c r="K8882" s="6" t="n">
        <f aca="false">wc_f</f>
        <v>0</v>
      </c>
      <c r="L8882" s="12" t="s">
        <v>1109</v>
      </c>
    </row>
    <row r="8883" customFormat="false" ht="17.15" hidden="false" customHeight="false" outlineLevel="0" collapsed="false">
      <c r="A8883" s="0" t="s">
        <v>1110</v>
      </c>
      <c r="B8883" s="0" t="s">
        <v>98</v>
      </c>
      <c r="F8883" s="6" t="n">
        <f aca="false">Q!$I$35-Q!$I$26-Q!$I$38-Q!$I$39</f>
        <v>6.493</v>
      </c>
      <c r="L8883" s="1" t="s">
        <v>1111</v>
      </c>
    </row>
    <row r="8884" customFormat="false" ht="15" hidden="false" customHeight="false" outlineLevel="0" collapsed="false">
      <c r="A8884" s="1" t="s">
        <v>908</v>
      </c>
      <c r="B8884" s="0" t="s">
        <v>98</v>
      </c>
      <c r="E8884" s="6" t="n">
        <f aca="false">Q!M35</f>
        <v>182.935</v>
      </c>
      <c r="F8884" s="6" t="n">
        <f aca="false">Sens!F8877+Sens!F8880+Sens!F8881+Sens!F8882+Sens!F8883</f>
        <v>220.486783220351</v>
      </c>
      <c r="G8884" s="6" t="n">
        <f aca="false">Sens!G8877+Sens!G8880+Sens!G8881+Sens!G8882</f>
        <v>262.218156568116</v>
      </c>
      <c r="H8884" s="6" t="n">
        <f aca="false">Sens!H8877+Sens!H8880+Sens!H8881+Sens!H8882</f>
        <v>312.24745392875</v>
      </c>
      <c r="I8884" s="6" t="n">
        <f aca="false">Sens!I8877+Sens!I8880+Sens!I8881+Sens!I8882</f>
        <v>358.289548403237</v>
      </c>
      <c r="J8884" s="6" t="n">
        <f aca="false">Sens!J8877+Sens!J8880+Sens!J8881+Sens!J8882</f>
        <v>395.683468663287</v>
      </c>
      <c r="K8884" s="6" t="n">
        <f aca="false">Sens!K8877+Sens!K8880+Sens!K8881+Sens!K8882</f>
        <v>425.600600440882</v>
      </c>
    </row>
    <row r="8885" customFormat="false" ht="17.15" hidden="false" customHeight="false" outlineLevel="0" collapsed="false">
      <c r="A8885" s="0" t="s">
        <v>1112</v>
      </c>
      <c r="B8885" s="0" t="s">
        <v>98</v>
      </c>
      <c r="F8885" s="6" t="n">
        <f aca="false">Sens!F8793</f>
        <v>168.45390404212</v>
      </c>
      <c r="G8885" s="6" t="n">
        <f aca="false">Sens!G8793</f>
        <v>191.944475649048</v>
      </c>
      <c r="H8885" s="6" t="n">
        <f aca="false">Sens!H8793</f>
        <v>196.806004064512</v>
      </c>
      <c r="I8885" s="6" t="n">
        <f aca="false">Sens!I8793</f>
        <v>168.61483362161</v>
      </c>
      <c r="J8885" s="6" t="n">
        <f aca="false">Sens!J8793</f>
        <v>128.92993119594</v>
      </c>
      <c r="K8885" s="6" t="n">
        <f aca="false">Sens!K8793</f>
        <v>118.962853064733</v>
      </c>
    </row>
    <row r="8886" customFormat="false" ht="17.15" hidden="false" customHeight="false" outlineLevel="0" collapsed="false">
      <c r="A8886" s="1" t="s">
        <v>1113</v>
      </c>
      <c r="B8886" s="0" t="s">
        <v>98</v>
      </c>
      <c r="E8886" s="6" t="n">
        <f aca="false">Sens!E8801*cx_azo+Sens!E8808*cx_m365+Sens!E8809*cx_lic+(Sens!E8811+Sens!E8813)*cx_ind+Sens!E8816*cx_srch+(Sens!E8818+Sens!E8820)*cx_dev</f>
        <v>30.1846587067718</v>
      </c>
      <c r="F8886" s="6" t="n">
        <f aca="false">Sens!F8801*cx_azo+Sens!F8808*cx_m365+Sens!F8809*cx_lic+(Sens!F8811+Sens!F8813)*cx_ind+Sens!F8816*cx_srch+(Sens!F8818+Sens!F8820)*cx_dev</f>
        <v>35.9293804204981</v>
      </c>
      <c r="G8886" s="6" t="n">
        <f aca="false">Sens!G8801*cx_azo+Sens!G8808*cx_m365+Sens!G8809*cx_lic+(Sens!G8811+Sens!G8813)*cx_ind+Sens!G8816*cx_srch+(Sens!G8818+Sens!G8820)*cx_dev</f>
        <v>41.65726603055</v>
      </c>
      <c r="H8886" s="6" t="n">
        <f aca="false">Sens!H8801*cx_azo+Sens!H8808*cx_m365+Sens!H8809*cx_lic+(Sens!H8811+Sens!H8813)*cx_ind+Sens!H8816*cx_srch+(Sens!H8818+Sens!H8820)*cx_dev</f>
        <v>47.4709150196179</v>
      </c>
      <c r="I8886" s="6" t="n">
        <f aca="false">Sens!I8801*cx_azo+Sens!I8808*cx_m365+Sens!I8809*cx_lic+(Sens!I8811+Sens!I8813)*cx_ind+Sens!I8816*cx_srch+(Sens!I8818+Sens!I8820)*cx_dev</f>
        <v>52.9813688346613</v>
      </c>
      <c r="J8886" s="6" t="n">
        <f aca="false">Sens!J8801*cx_azo+Sens!J8808*cx_m365+Sens!J8809*cx_lic+(Sens!J8811+Sens!J8813)*cx_ind+Sens!J8816*cx_srch+(Sens!J8818+Sens!J8820)*cx_dev</f>
        <v>57.9535379697889</v>
      </c>
      <c r="K8886" s="6" t="n">
        <f aca="false">Sens!K8801*cx_azo+Sens!K8808*cx_m365+Sens!K8809*cx_lic+(Sens!K8811+Sens!K8813)*cx_ind+Sens!K8816*cx_srch+(Sens!K8818+Sens!K8820)*cx_dev</f>
        <v>62.3245478612639</v>
      </c>
    </row>
    <row r="8887" customFormat="false" ht="17.15" hidden="false" customHeight="false" outlineLevel="0" collapsed="false">
      <c r="A8887" s="0" t="s">
        <v>1114</v>
      </c>
      <c r="B8887" s="0" t="s">
        <v>98</v>
      </c>
      <c r="F8887" s="6" t="n">
        <f aca="false">Sens!F8791</f>
        <v>0</v>
      </c>
      <c r="L8887" s="1" t="s">
        <v>1115</v>
      </c>
    </row>
    <row r="8888" customFormat="false" ht="17.15" hidden="false" customHeight="false" outlineLevel="0" collapsed="false">
      <c r="A8888" s="1" t="s">
        <v>1116</v>
      </c>
      <c r="B8888" s="0" t="s">
        <v>98</v>
      </c>
      <c r="E8888" s="6" t="n">
        <f aca="false">Q!M43</f>
        <v>145.3</v>
      </c>
      <c r="F8888" s="6" t="n">
        <f aca="false">Sens!F8885+Sens!F8886+Sens!F8887</f>
        <v>204.383284462618</v>
      </c>
      <c r="G8888" s="6" t="n">
        <f aca="false">Sens!G8885+Sens!G8886</f>
        <v>233.601741679598</v>
      </c>
      <c r="H8888" s="6" t="n">
        <f aca="false">Sens!H8885+Sens!H8886</f>
        <v>244.27691908413</v>
      </c>
      <c r="I8888" s="6" t="n">
        <f aca="false">Sens!I8885+Sens!I8886</f>
        <v>221.596202456272</v>
      </c>
      <c r="J8888" s="6" t="n">
        <f aca="false">Sens!J8885+Sens!J8886</f>
        <v>186.883469165729</v>
      </c>
      <c r="K8888" s="6" t="n">
        <f aca="false">Sens!K8885+Sens!K8886</f>
        <v>181.287400925997</v>
      </c>
      <c r="L8888" s="1" t="s">
        <v>1117</v>
      </c>
    </row>
    <row r="8889" customFormat="false" ht="15" hidden="false" customHeight="false" outlineLevel="0" collapsed="false">
      <c r="A8889" s="1" t="s">
        <v>1118</v>
      </c>
      <c r="B8889" s="0" t="s">
        <v>98</v>
      </c>
      <c r="E8889" s="6" t="n">
        <f aca="false">fl_liab</f>
        <v>66.594</v>
      </c>
      <c r="F8889" s="6" t="n">
        <f aca="false">Sens!E8889-Sens!F8890</f>
        <v>62.46973</v>
      </c>
      <c r="G8889" s="6" t="n">
        <f aca="false">Sens!F8889-Sens!G8890</f>
        <v>57.98686785</v>
      </c>
      <c r="H8889" s="6" t="n">
        <f aca="false">Sens!G8889-Sens!H8890</f>
        <v>53.92827690325</v>
      </c>
      <c r="I8889" s="6" t="n">
        <f aca="false">Sens!H8889-Sens!I8890</f>
        <v>49.7850493638962</v>
      </c>
      <c r="J8889" s="6" t="n">
        <f aca="false">Sens!I8889-Sens!J8890</f>
        <v>45.4823765852716</v>
      </c>
      <c r="K8889" s="6" t="n">
        <f aca="false">Sens!J8889-Sens!K8890</f>
        <v>40.9860835316088</v>
      </c>
    </row>
    <row r="8890" customFormat="false" ht="15" hidden="false" customHeight="false" outlineLevel="0" collapsed="false">
      <c r="A8890" s="1" t="s">
        <v>1119</v>
      </c>
      <c r="B8890" s="0" t="s">
        <v>98</v>
      </c>
      <c r="F8890" s="6" t="n">
        <f aca="false">fl_pay_27-Sens!E8889*fl_rate</f>
        <v>4.12427</v>
      </c>
      <c r="G8890" s="6" t="n">
        <f aca="false">fl_pay_28-Sens!F8889*fl_rate</f>
        <v>4.48286215</v>
      </c>
      <c r="H8890" s="6" t="n">
        <f aca="false">fl_pay_29-Sens!G8889*fl_rate</f>
        <v>4.05859094675</v>
      </c>
      <c r="I8890" s="6" t="n">
        <f aca="false">fl_pay_30-Sens!H8889*fl_rate</f>
        <v>4.14322753935375</v>
      </c>
      <c r="J8890" s="6" t="n">
        <f aca="false">fl_pay_31-Sens!I8889*fl_rate</f>
        <v>4.30267277862467</v>
      </c>
      <c r="K8890" s="6" t="n">
        <f aca="false">fl_pay_32-Sens!J8889*fl_rate</f>
        <v>4.49629305366278</v>
      </c>
    </row>
    <row r="8891" customFormat="false" ht="17.15" hidden="false" customHeight="false" outlineLevel="0" collapsed="false">
      <c r="A8891" s="1" t="s">
        <v>1120</v>
      </c>
      <c r="B8891" s="0" t="s">
        <v>98</v>
      </c>
      <c r="E8891" s="6" t="n">
        <f aca="false">Q!M35-Q!M36-Q!M44</f>
        <v>63.886</v>
      </c>
      <c r="F8891" s="6" t="n">
        <f aca="false">Sens!F8884-Sens!F8888-Sens!F8890</f>
        <v>11.9792287577337</v>
      </c>
      <c r="G8891" s="6" t="n">
        <f aca="false">Sens!G8884-Sens!G8888-Sens!G8890</f>
        <v>24.1335527385177</v>
      </c>
      <c r="H8891" s="6" t="n">
        <f aca="false">Sens!H8884-Sens!H8888-Sens!H8890</f>
        <v>63.9119438978701</v>
      </c>
      <c r="I8891" s="6" t="n">
        <f aca="false">Sens!I8884-Sens!I8888-Sens!I8890</f>
        <v>132.550118407612</v>
      </c>
      <c r="J8891" s="6" t="n">
        <f aca="false">Sens!J8884-Sens!J8888-Sens!J8890</f>
        <v>204.497326718933</v>
      </c>
      <c r="K8891" s="6" t="n">
        <f aca="false">Sens!K8884-Sens!K8888-Sens!K8890</f>
        <v>239.816906461223</v>
      </c>
      <c r="L8891" s="12" t="s">
        <v>1121</v>
      </c>
    </row>
    <row r="8892" customFormat="false" ht="15" hidden="false" customHeight="false" outlineLevel="0" collapsed="false">
      <c r="A8892" s="1" t="s">
        <v>1122</v>
      </c>
      <c r="B8892" s="0" t="s">
        <v>75</v>
      </c>
      <c r="F8892" s="8" t="n">
        <f aca="false">dps_27</f>
        <v>3.85</v>
      </c>
      <c r="G8892" s="8" t="n">
        <f aca="false">Sens!F8892*(1+dps_g)</f>
        <v>4.158</v>
      </c>
      <c r="H8892" s="8" t="n">
        <f aca="false">Sens!G8892*(1+dps_g)</f>
        <v>4.49064</v>
      </c>
      <c r="I8892" s="8" t="n">
        <f aca="false">Sens!H8892*(1+dps_g)</f>
        <v>4.8498912</v>
      </c>
      <c r="J8892" s="8" t="n">
        <f aca="false">Sens!I8892*(1+dps_g)</f>
        <v>5.237882496</v>
      </c>
      <c r="K8892" s="8" t="n">
        <f aca="false">Sens!J8892*(1+dps_g)</f>
        <v>5.65691309568</v>
      </c>
    </row>
    <row r="8893" customFormat="false" ht="17.15" hidden="false" customHeight="false" outlineLevel="0" collapsed="false">
      <c r="A8893" s="1" t="s">
        <v>1123</v>
      </c>
      <c r="B8893" s="0" t="s">
        <v>98</v>
      </c>
      <c r="E8893" s="6" t="n">
        <f aca="false">Q!M41</f>
        <v>26.445</v>
      </c>
      <c r="F8893" s="6" t="n">
        <f aca="false">Sens!F8892*Sens!E8902</f>
        <v>28.59395</v>
      </c>
      <c r="G8893" s="6" t="n">
        <f aca="false">Sens!G8892*Sens!F8902</f>
        <v>31.0612048961346</v>
      </c>
      <c r="H8893" s="6" t="n">
        <f aca="false">Sens!H8892*Sens!G8902</f>
        <v>33.7481800878254</v>
      </c>
      <c r="I8893" s="6" t="n">
        <f aca="false">Sens!I8892*Sens!H8902</f>
        <v>36.4984727719241</v>
      </c>
      <c r="J8893" s="6" t="n">
        <f aca="false">Sens!J8892*Sens!I8902</f>
        <v>39.4862484790706</v>
      </c>
      <c r="K8893" s="6" t="n">
        <f aca="false">Sens!K8892*Sens!J8902</f>
        <v>42.7319026197745</v>
      </c>
      <c r="L8893" s="1" t="s">
        <v>1124</v>
      </c>
    </row>
    <row r="8894" customFormat="false" ht="15" hidden="false" customHeight="false" outlineLevel="0" collapsed="false">
      <c r="A8894" s="1" t="s">
        <v>1125</v>
      </c>
      <c r="B8894" s="0" t="s">
        <v>98</v>
      </c>
      <c r="E8894" s="6" t="n">
        <f aca="false">Sens!E8891-Sens!E8893</f>
        <v>37.441</v>
      </c>
      <c r="F8894" s="6" t="n">
        <f aca="false">Sens!F8891-Sens!F8893</f>
        <v>-16.6147212422663</v>
      </c>
      <c r="G8894" s="6" t="n">
        <f aca="false">Sens!G8891-Sens!G8893</f>
        <v>-6.92765215761694</v>
      </c>
      <c r="H8894" s="6" t="n">
        <f aca="false">Sens!H8891-Sens!H8893</f>
        <v>30.1637638100448</v>
      </c>
      <c r="I8894" s="6" t="n">
        <f aca="false">Sens!I8891-Sens!I8893</f>
        <v>96.0516456356874</v>
      </c>
      <c r="J8894" s="6" t="n">
        <f aca="false">Sens!J8891-Sens!J8893</f>
        <v>165.011078239863</v>
      </c>
      <c r="K8894" s="6" t="n">
        <f aca="false">Sens!K8891-Sens!K8893</f>
        <v>197.085003841448</v>
      </c>
    </row>
    <row r="8895" customFormat="false" ht="15" hidden="false" customHeight="false" outlineLevel="0" collapsed="false">
      <c r="A8895" s="1" t="s">
        <v>1126</v>
      </c>
      <c r="B8895" s="0" t="s">
        <v>98</v>
      </c>
      <c r="F8895" s="6" t="n">
        <f aca="false">debt_mat_27</f>
        <v>9.25</v>
      </c>
      <c r="G8895" s="6" t="n">
        <f aca="false">debt_mat_28</f>
        <v>0</v>
      </c>
      <c r="H8895" s="6" t="n">
        <f aca="false">debt_mat_29</f>
        <v>2.001</v>
      </c>
      <c r="I8895" s="6" t="n">
        <f aca="false">debt_mat_30</f>
        <v>0</v>
      </c>
      <c r="J8895" s="6" t="n">
        <f aca="false">debt_mat_31</f>
        <v>0.5</v>
      </c>
      <c r="K8895" s="6" t="n">
        <f aca="false">debt_mat_32</f>
        <v>0</v>
      </c>
    </row>
    <row r="8896" customFormat="false" ht="15" hidden="false" customHeight="false" outlineLevel="0" collapsed="false">
      <c r="A8896" s="1" t="s">
        <v>1127</v>
      </c>
      <c r="B8896" s="0" t="s">
        <v>98</v>
      </c>
      <c r="E8896" s="6" t="n">
        <f aca="false">Q!M40</f>
        <v>22.271</v>
      </c>
      <c r="F8896" s="6" t="n">
        <f aca="false">MAX(0,MIN(bb_target,Sens!E8898+Sens!F8894-Sens!F8895-min_cash))</f>
        <v>0.97827875773369</v>
      </c>
      <c r="G8896" s="6" t="n">
        <f aca="false">MAX(0,MIN(bb_target,Sens!F8898+Sens!G8894-Sens!G8895-min_cash))</f>
        <v>0</v>
      </c>
      <c r="H8896" s="6" t="n">
        <f aca="false">MAX(0,MIN(bb_target,Sens!G8898+Sens!H8894-Sens!H8895-min_cash))</f>
        <v>22.271</v>
      </c>
      <c r="I8896" s="6" t="n">
        <f aca="false">MAX(0,MIN(bb_target,Sens!H8898+Sens!I8894-Sens!I8895-min_cash))</f>
        <v>22.271</v>
      </c>
      <c r="J8896" s="6" t="n">
        <f aca="false">MAX(0,MIN(bb_target,Sens!I8898+Sens!J8894-Sens!J8895-min_cash))</f>
        <v>22.271</v>
      </c>
      <c r="K8896" s="6" t="n">
        <f aca="false">MAX(0,MIN(bb_target,Sens!J8898+Sens!K8894-Sens!K8895-min_cash))</f>
        <v>22.271</v>
      </c>
    </row>
    <row r="8897" customFormat="false" ht="15" hidden="false" customHeight="false" outlineLevel="0" collapsed="false">
      <c r="A8897" s="1" t="s">
        <v>1128</v>
      </c>
      <c r="B8897" s="0" t="s">
        <v>98</v>
      </c>
      <c r="F8897" s="6" t="n">
        <f aca="false">MAX(0,min_cash-(Sens!E8898+Sens!F8894-Sens!F8895-Sens!F8896))</f>
        <v>0</v>
      </c>
      <c r="G8897" s="6" t="n">
        <f aca="false">MAX(0,min_cash-(Sens!F8898+Sens!G8894-Sens!G8895-Sens!G8896))</f>
        <v>6.92765215761695</v>
      </c>
      <c r="H8897" s="6" t="n">
        <f aca="false">MAX(0,min_cash-(Sens!G8898+Sens!H8894-Sens!H8895-Sens!H8896))</f>
        <v>0</v>
      </c>
      <c r="I8897" s="6" t="n">
        <f aca="false">MAX(0,min_cash-(Sens!H8898+Sens!I8894-Sens!I8895-Sens!I8896))</f>
        <v>0</v>
      </c>
      <c r="J8897" s="6" t="n">
        <f aca="false">MAX(0,min_cash-(Sens!I8898+Sens!J8894-Sens!J8895-Sens!J8896))</f>
        <v>0</v>
      </c>
      <c r="K8897" s="6" t="n">
        <f aca="false">MAX(0,min_cash-(Sens!J8898+Sens!K8894-Sens!K8895-Sens!K8896))</f>
        <v>0</v>
      </c>
    </row>
    <row r="8898" customFormat="false" ht="15" hidden="false" customHeight="false" outlineLevel="0" collapsed="false">
      <c r="A8898" s="1" t="s">
        <v>1129</v>
      </c>
      <c r="B8898" s="0" t="s">
        <v>98</v>
      </c>
      <c r="E8898" s="6" t="n">
        <f aca="false">cash_open</f>
        <v>76.843</v>
      </c>
      <c r="F8898" s="6" t="n">
        <f aca="false">Sens!E8898+Sens!F8894-Sens!F8895-Sens!F8896+Sens!F8897</f>
        <v>50</v>
      </c>
      <c r="G8898" s="6" t="n">
        <f aca="false">Sens!F8898+Sens!G8894-Sens!G8895-Sens!G8896+Sens!G8897</f>
        <v>50</v>
      </c>
      <c r="H8898" s="6" t="n">
        <f aca="false">Sens!G8898+Sens!H8894-Sens!H8895-Sens!H8896+Sens!H8897</f>
        <v>55.8917638100447</v>
      </c>
      <c r="I8898" s="6" t="n">
        <f aca="false">Sens!H8898+Sens!I8894-Sens!I8895-Sens!I8896+Sens!I8897</f>
        <v>129.672409445732</v>
      </c>
      <c r="J8898" s="6" t="n">
        <f aca="false">Sens!I8898+Sens!J8894-Sens!J8895-Sens!J8896+Sens!J8897</f>
        <v>271.912487685595</v>
      </c>
      <c r="K8898" s="6" t="n">
        <f aca="false">Sens!J8898+Sens!K8894-Sens!K8895-Sens!K8896+Sens!K8897</f>
        <v>446.726491527043</v>
      </c>
    </row>
    <row r="8899" customFormat="false" ht="15" hidden="false" customHeight="false" outlineLevel="0" collapsed="false">
      <c r="A8899" s="1" t="s">
        <v>1130</v>
      </c>
      <c r="B8899" s="0" t="s">
        <v>98</v>
      </c>
      <c r="E8899" s="6" t="n">
        <f aca="false">debt_face</f>
        <v>46.136</v>
      </c>
      <c r="F8899" s="6" t="n">
        <f aca="false">Sens!E8899-Sens!F8895+Sens!F8897</f>
        <v>36.886</v>
      </c>
      <c r="G8899" s="6" t="n">
        <f aca="false">Sens!F8899-Sens!G8895+Sens!G8897</f>
        <v>43.813652157617</v>
      </c>
      <c r="H8899" s="6" t="n">
        <f aca="false">Sens!G8899-Sens!H8895+Sens!H8897</f>
        <v>41.812652157617</v>
      </c>
      <c r="I8899" s="6" t="n">
        <f aca="false">Sens!H8899-Sens!I8895+Sens!I8897</f>
        <v>41.812652157617</v>
      </c>
      <c r="J8899" s="6" t="n">
        <f aca="false">Sens!I8899-Sens!J8895+Sens!J8897</f>
        <v>41.312652157617</v>
      </c>
      <c r="K8899" s="6" t="n">
        <f aca="false">Sens!J8899-Sens!K8895+Sens!K8897</f>
        <v>41.312652157617</v>
      </c>
    </row>
    <row r="8900" customFormat="false" ht="15" hidden="false" customHeight="false" outlineLevel="0" collapsed="false">
      <c r="A8900" s="1" t="s">
        <v>1131</v>
      </c>
      <c r="B8900" s="0" t="s">
        <v>98</v>
      </c>
      <c r="E8900" s="6" t="n">
        <f aca="false">Sens!E8898-Sens!E8899</f>
        <v>30.707</v>
      </c>
      <c r="F8900" s="6" t="n">
        <f aca="false">Sens!F8898-Sens!F8899</f>
        <v>13.114</v>
      </c>
      <c r="G8900" s="6" t="n">
        <f aca="false">Sens!G8898-Sens!G8899</f>
        <v>6.18634784238305</v>
      </c>
      <c r="H8900" s="6" t="n">
        <f aca="false">Sens!H8898-Sens!H8899</f>
        <v>14.0791116524278</v>
      </c>
      <c r="I8900" s="6" t="n">
        <f aca="false">Sens!I8898-Sens!I8899</f>
        <v>87.8597572881152</v>
      </c>
      <c r="J8900" s="6" t="n">
        <f aca="false">Sens!J8898-Sens!J8899</f>
        <v>230.599835527978</v>
      </c>
      <c r="K8900" s="6" t="n">
        <f aca="false">Sens!K8898-Sens!K8899</f>
        <v>405.413839369426</v>
      </c>
    </row>
    <row r="8901" customFormat="false" ht="15" hidden="false" customHeight="false" outlineLevel="0" collapsed="false">
      <c r="A8901" s="1" t="s">
        <v>1132</v>
      </c>
      <c r="B8901" s="0" t="s">
        <v>75</v>
      </c>
      <c r="F8901" s="30" t="n">
        <f aca="false">px*(1+bb_g)^(Sens!F8759-base_fy-mid_yr)</f>
        <v>551.84177959629</v>
      </c>
      <c r="G8901" s="30" t="n">
        <f aca="false">px*(1+bb_g)^(Sens!G8759-base_fy-mid_yr)</f>
        <v>595.989121963993</v>
      </c>
      <c r="H8901" s="30" t="n">
        <f aca="false">px*(1+bb_g)^(Sens!H8759-base_fy-mid_yr)</f>
        <v>643.668251721112</v>
      </c>
      <c r="I8901" s="30" t="n">
        <f aca="false">px*(1+bb_g)^(Sens!I8759-base_fy-mid_yr)</f>
        <v>695.161711858801</v>
      </c>
      <c r="J8901" s="30" t="n">
        <f aca="false">px*(1+bb_g)^(Sens!J8759-base_fy-mid_yr)</f>
        <v>750.774648807506</v>
      </c>
      <c r="K8901" s="30" t="n">
        <f aca="false">px*(1+bb_g)^(Sens!K8759-base_fy-mid_yr)</f>
        <v>810.836620712106</v>
      </c>
    </row>
    <row r="8902" customFormat="false" ht="15" hidden="false" customHeight="false" outlineLevel="0" collapsed="false">
      <c r="A8902" s="1" t="s">
        <v>1133</v>
      </c>
      <c r="B8902" s="1" t="s">
        <v>81</v>
      </c>
      <c r="E8902" s="15" t="n">
        <f aca="false">sh_out26</f>
        <v>7.427</v>
      </c>
      <c r="F8902" s="15" t="n">
        <f aca="false">Sens!E8902+sh_iss-Sens!F8896/Sens!F8901</f>
        <v>7.47022724774763</v>
      </c>
      <c r="G8902" s="15" t="n">
        <f aca="false">Sens!F8902+sh_iss-Sens!G8896/Sens!G8901</f>
        <v>7.51522724774762</v>
      </c>
      <c r="H8902" s="15" t="n">
        <f aca="false">Sens!G8902+sh_iss-Sens!H8896/Sens!H8901</f>
        <v>7.52562712580523</v>
      </c>
      <c r="I8902" s="15" t="n">
        <f aca="false">Sens!H8902+sh_iss-Sens!I8896/Sens!I8901</f>
        <v>7.53858997585856</v>
      </c>
      <c r="J8902" s="15" t="n">
        <f aca="false">Sens!I8902+sh_iss-Sens!J8896/Sens!J8901</f>
        <v>7.55392594813017</v>
      </c>
      <c r="K8902" s="15" t="n">
        <f aca="false">Sens!J8902+sh_iss-Sens!K8896/Sens!K8901</f>
        <v>7.57145925578907</v>
      </c>
    </row>
    <row r="8903" customFormat="false" ht="15" hidden="false" customHeight="false" outlineLevel="0" collapsed="false">
      <c r="A8903" s="1" t="s">
        <v>1134</v>
      </c>
      <c r="B8903" s="1" t="s">
        <v>81</v>
      </c>
      <c r="E8903" s="15" t="n">
        <f aca="false">sh_dil26</f>
        <v>7.453</v>
      </c>
      <c r="F8903" s="15" t="n">
        <f aca="false">(Sens!E8902+Sens!F8902)/2+dil_gap</f>
        <v>7.47261362387381</v>
      </c>
      <c r="G8903" s="15" t="n">
        <f aca="false">(Sens!F8902+Sens!G8902)/2+dil_gap</f>
        <v>7.51672724774763</v>
      </c>
      <c r="H8903" s="15" t="n">
        <f aca="false">(Sens!G8902+Sens!H8902)/2+dil_gap</f>
        <v>7.54442718677643</v>
      </c>
      <c r="I8903" s="15" t="n">
        <f aca="false">(Sens!H8902+Sens!I8902)/2+dil_gap</f>
        <v>7.5561085508319</v>
      </c>
      <c r="J8903" s="15" t="n">
        <f aca="false">(Sens!I8902+Sens!J8902)/2+dil_gap</f>
        <v>7.57025796199437</v>
      </c>
      <c r="K8903" s="15" t="n">
        <f aca="false">(Sens!J8902+Sens!K8902)/2+dil_gap</f>
        <v>7.58669260195962</v>
      </c>
    </row>
    <row r="8904" customFormat="false" ht="17.15" hidden="false" customHeight="false" outlineLevel="0" collapsed="false">
      <c r="A8904" s="1" t="s">
        <v>1135</v>
      </c>
      <c r="B8904" s="0" t="s">
        <v>98</v>
      </c>
      <c r="C8904" s="6" t="n">
        <f aca="false">SUM(Sens!F8894:J8894)</f>
        <v>267.684114285712</v>
      </c>
    </row>
    <row r="8905" customFormat="false" ht="15" hidden="false" customHeight="false" outlineLevel="0" collapsed="false">
      <c r="A8905" s="26" t="s">
        <v>1100</v>
      </c>
      <c r="B8905" s="31" t="s">
        <v>98</v>
      </c>
      <c r="C8905" s="27" t="n">
        <f aca="false">Sens!$C$8904-(Sens!F8894+Sens!G8894+Sens!H8894+Sens!I8894+Sens!J8894)</f>
        <v>0</v>
      </c>
      <c r="D8905" s="31"/>
      <c r="E8905" s="31"/>
      <c r="F8905" s="31"/>
      <c r="G8905" s="31"/>
      <c r="H8905" s="31"/>
      <c r="I8905" s="31"/>
      <c r="J8905" s="31"/>
      <c r="K8905" s="31"/>
    </row>
    <row r="8906" customFormat="false" ht="17.15" hidden="false" customHeight="false" outlineLevel="0" collapsed="false">
      <c r="A8906" s="1" t="s">
        <v>1094</v>
      </c>
      <c r="B8906" s="1" t="s">
        <v>1136</v>
      </c>
      <c r="C8906" s="33" t="str">
        <f aca="false">IF(SUM(Sens!F8897:J8897)&gt;0.05,"需要舉債 "&amp;TEXT(SUM(Sens!F8897:J8897),"0.0")&amp;" 十億美元","不需舉債")&amp;"；"&amp;IF(SUM(Sens!F8896:J8896)&lt;COUNT(Sens!F8896:J8896)*bb_target-0.05,"回購較每年 "&amp;TEXT(bb_target,"0.0")&amp;" 的目標少 "&amp;TEXT(COUNT(Sens!F8896:J8896)*bb_target-SUM(Sens!F8896:J8896),"0.0")&amp;" 十億美元（"&amp;TEXT(COUNTIF(Sens!F8896:J8896,"&lt;"&amp;(bb_target-0.05)),"0")&amp;" 年減少）","回購不減")</f>
        <v>需要舉債 6.9 十億美元；回購較每年 22.3 的目標少 43.6 十億美元（2 年減少）</v>
      </c>
    </row>
    <row r="8907" customFormat="false" ht="17.15" hidden="false" customHeight="false" outlineLevel="0" collapsed="false">
      <c r="A8907" s="3" t="s">
        <v>1834</v>
      </c>
    </row>
    <row r="8908" customFormat="false" ht="15" hidden="false" customHeight="false" outlineLevel="0" collapsed="false">
      <c r="A8908" s="4" t="s">
        <v>43</v>
      </c>
      <c r="B8908" s="4" t="s">
        <v>65</v>
      </c>
      <c r="C8908" s="23" t="s">
        <v>942</v>
      </c>
      <c r="D8908" s="23" t="s">
        <v>943</v>
      </c>
      <c r="E8908" s="23" t="s">
        <v>944</v>
      </c>
      <c r="F8908" s="23" t="s">
        <v>945</v>
      </c>
      <c r="G8908" s="23" t="s">
        <v>946</v>
      </c>
      <c r="H8908" s="23" t="s">
        <v>947</v>
      </c>
      <c r="I8908" s="23" t="s">
        <v>948</v>
      </c>
      <c r="J8908" s="23" t="s">
        <v>949</v>
      </c>
      <c r="K8908" s="23" t="s">
        <v>950</v>
      </c>
      <c r="L8908" s="4" t="s">
        <v>47</v>
      </c>
    </row>
    <row r="8909" customFormat="false" ht="17.15" hidden="false" customHeight="false" outlineLevel="0" collapsed="false">
      <c r="A8909" s="1" t="s">
        <v>1216</v>
      </c>
      <c r="B8909" s="1" t="s">
        <v>279</v>
      </c>
      <c r="F8909" s="8" t="n">
        <f aca="false">(1-v_off)*mid_yr</f>
        <v>0.373972602739726</v>
      </c>
      <c r="G8909" s="8" t="n">
        <f aca="false">Sens!G8759-base_fy-mid_yr-v_off</f>
        <v>1.24794520547945</v>
      </c>
      <c r="H8909" s="8" t="n">
        <f aca="false">Sens!H8759-base_fy-mid_yr-v_off</f>
        <v>2.24794520547945</v>
      </c>
      <c r="I8909" s="8" t="n">
        <f aca="false">Sens!I8759-base_fy-mid_yr-v_off</f>
        <v>3.24794520547945</v>
      </c>
      <c r="J8909" s="8" t="n">
        <f aca="false">Sens!J8759-base_fy-mid_yr-v_off</f>
        <v>4.24794520547945</v>
      </c>
      <c r="K8909" s="8" t="n">
        <f aca="false">Sens!K8759-base_fy-mid_yr-v_off</f>
        <v>5.24794520547945</v>
      </c>
      <c r="L8909" s="12" t="s">
        <v>1217</v>
      </c>
    </row>
    <row r="8910" customFormat="false" ht="15" hidden="false" customHeight="false" outlineLevel="0" collapsed="false">
      <c r="A8910" s="1" t="s">
        <v>1218</v>
      </c>
      <c r="B8910" s="1" t="s">
        <v>279</v>
      </c>
      <c r="F8910" s="8" t="n">
        <f aca="false">Sens!F8759-base_fy-v_off</f>
        <v>0.747945205479452</v>
      </c>
      <c r="G8910" s="8" t="n">
        <f aca="false">Sens!G8759-base_fy-v_off</f>
        <v>1.74794520547945</v>
      </c>
      <c r="H8910" s="8" t="n">
        <f aca="false">Sens!H8759-base_fy-v_off</f>
        <v>2.74794520547945</v>
      </c>
      <c r="I8910" s="8" t="n">
        <f aca="false">Sens!I8759-base_fy-v_off</f>
        <v>3.74794520547945</v>
      </c>
      <c r="J8910" s="8" t="n">
        <f aca="false">Sens!J8759-base_fy-v_off</f>
        <v>4.74794520547945</v>
      </c>
      <c r="K8910" s="8" t="n">
        <f aca="false">Sens!K8759-base_fy-v_off</f>
        <v>5.74794520547945</v>
      </c>
    </row>
    <row r="8911" customFormat="false" ht="15" hidden="false" customHeight="false" outlineLevel="0" collapsed="false">
      <c r="A8911" s="1" t="s">
        <v>1219</v>
      </c>
      <c r="B8911" s="0" t="s">
        <v>229</v>
      </c>
      <c r="F8911" s="15" t="n">
        <f aca="false">1/(1+wacc)^Sens!F8909</f>
        <v>0.964022703286649</v>
      </c>
      <c r="G8911" s="15" t="n">
        <f aca="false">1/(1+wacc)^Sens!G8909</f>
        <v>0.884910302296739</v>
      </c>
      <c r="H8911" s="15" t="n">
        <f aca="false">1/(1+wacc)^Sens!H8909</f>
        <v>0.802322009770358</v>
      </c>
      <c r="I8911" s="15" t="n">
        <f aca="false">1/(1+wacc)^Sens!I8909</f>
        <v>0.727441646561469</v>
      </c>
      <c r="J8911" s="15" t="n">
        <f aca="false">1/(1+wacc)^Sens!J8909</f>
        <v>0.659549834988973</v>
      </c>
      <c r="K8911" s="15" t="n">
        <f aca="false">1/(1+wacc)^Sens!K8909</f>
        <v>0.597994336576966</v>
      </c>
    </row>
    <row r="8912" customFormat="false" ht="17.15" hidden="false" customHeight="false" outlineLevel="0" collapsed="false">
      <c r="A8912" s="1" t="s">
        <v>1220</v>
      </c>
      <c r="B8912" s="0" t="s">
        <v>98</v>
      </c>
      <c r="F8912" s="6" t="n">
        <f aca="false">Q!$I$35-Q!$I$39-Q!$I$43</f>
        <v>9.666</v>
      </c>
      <c r="L8912" s="12" t="s">
        <v>1221</v>
      </c>
    </row>
    <row r="8913" customFormat="false" ht="17.15" hidden="false" customHeight="false" outlineLevel="0" collapsed="false">
      <c r="A8913" s="1" t="s">
        <v>1222</v>
      </c>
      <c r="B8913" s="0" t="s">
        <v>98</v>
      </c>
      <c r="F8913" s="6" t="n">
        <f aca="false">Sens!F8884-Sens!F8881-Sens!F8888+Sens!F8866*(1-tax_f)*(1-v_off)-Sens!F8912</f>
        <v>-3.54059990493392</v>
      </c>
      <c r="G8913" s="6" t="n">
        <f aca="false">Sens!G8884-Sens!G8881-Sens!G8888+Sens!G8866*(1-tax_f)</f>
        <v>29.2693713105486</v>
      </c>
      <c r="H8913" s="6" t="n">
        <f aca="false">Sens!H8884-Sens!H8881-Sens!H8888+Sens!H8866*(1-tax_f)</f>
        <v>78.6773658265896</v>
      </c>
      <c r="I8913" s="6" t="n">
        <f aca="false">Sens!I8884-Sens!I8881-Sens!I8888+Sens!I8866*(1-tax_f)</f>
        <v>156.573836345337</v>
      </c>
      <c r="J8913" s="6" t="n">
        <f aca="false">Sens!J8884-Sens!J8881-Sens!J8888+Sens!J8866*(1-tax_f)</f>
        <v>234.780570342101</v>
      </c>
      <c r="K8913" s="6" t="n">
        <f aca="false">Sens!K8884-Sens!K8881-Sens!K8888+Sens!K8866*(1-tax_f)</f>
        <v>272.911105529875</v>
      </c>
      <c r="L8913" s="1" t="s">
        <v>1223</v>
      </c>
    </row>
    <row r="8914" customFormat="false" ht="15" hidden="false" customHeight="false" outlineLevel="0" collapsed="false">
      <c r="A8914" s="1" t="s">
        <v>1224</v>
      </c>
      <c r="B8914" s="0" t="s">
        <v>98</v>
      </c>
      <c r="F8914" s="6" t="n">
        <f aca="false">Sens!F8913*Sens!F8911</f>
        <v>-3.41321869161085</v>
      </c>
      <c r="G8914" s="6" t="n">
        <f aca="false">Sens!G8913*Sens!G8911</f>
        <v>25.9007682144531</v>
      </c>
      <c r="H8914" s="6" t="n">
        <f aca="false">Sens!H8913*Sens!H8911</f>
        <v>63.1245822734271</v>
      </c>
      <c r="I8914" s="6" t="n">
        <f aca="false">Sens!I8913*Sens!I8911</f>
        <v>113.898329319498</v>
      </c>
      <c r="J8914" s="6" t="n">
        <f aca="false">Sens!J8913*Sens!J8911</f>
        <v>154.84948642775</v>
      </c>
      <c r="K8914" s="6" t="n">
        <f aca="false">Sens!K8913*Sens!K8911</f>
        <v>163.199295495824</v>
      </c>
    </row>
    <row r="8915" customFormat="false" ht="17.15" hidden="false" customHeight="false" outlineLevel="0" collapsed="false">
      <c r="A8915" s="1" t="s">
        <v>1225</v>
      </c>
      <c r="B8915" s="0" t="s">
        <v>98</v>
      </c>
      <c r="C8915" s="6" t="n">
        <f aca="false">SUM(Sens!F8914:K8914)</f>
        <v>517.55924303934</v>
      </c>
    </row>
    <row r="8916" customFormat="false" ht="17.15" hidden="false" customHeight="false" outlineLevel="0" collapsed="false">
      <c r="A8916" s="1" t="s">
        <v>1226</v>
      </c>
      <c r="B8916" s="0" t="s">
        <v>98</v>
      </c>
      <c r="C8916" s="6" t="n">
        <f aca="false">Sens!K8852*(1+g_tv)*(1-tax_f)</f>
        <v>284.565855566429</v>
      </c>
    </row>
    <row r="8917" customFormat="false" ht="17.15" hidden="false" customHeight="false" outlineLevel="0" collapsed="false">
      <c r="A8917" s="1" t="s">
        <v>1227</v>
      </c>
      <c r="B8917" s="0" t="s">
        <v>98</v>
      </c>
      <c r="C8917" s="6" t="n">
        <f aca="false">Sens!$C$8916*(1-g_tv/(wacc+ronic_prem))</f>
        <v>201.631540484004</v>
      </c>
    </row>
    <row r="8918" customFormat="false" ht="17.15" hidden="false" customHeight="false" outlineLevel="0" collapsed="false">
      <c r="A8918" s="1" t="s">
        <v>1228</v>
      </c>
      <c r="B8918" s="0" t="s">
        <v>98</v>
      </c>
      <c r="C8918" s="6" t="n">
        <f aca="false">Sens!$C$8917/(wacc-g_tv)</f>
        <v>2764.47716941417</v>
      </c>
    </row>
    <row r="8919" customFormat="false" ht="15" hidden="false" customHeight="false" outlineLevel="0" collapsed="false">
      <c r="A8919" s="1" t="s">
        <v>1229</v>
      </c>
      <c r="B8919" s="0" t="s">
        <v>98</v>
      </c>
      <c r="C8919" s="6" t="n">
        <f aca="false">Sens!$C$8918/(1+wacc)^Sens!K8910</f>
        <v>1574.10901459548</v>
      </c>
    </row>
    <row r="8920" customFormat="false" ht="17.15" hidden="false" customHeight="false" outlineLevel="0" collapsed="false">
      <c r="A8920" s="0" t="s">
        <v>1230</v>
      </c>
      <c r="B8920" s="0" t="s">
        <v>98</v>
      </c>
      <c r="C8920" s="6" t="n">
        <f aca="false">Sens!$C$8915+Sens!$C$8919</f>
        <v>2091.66825763483</v>
      </c>
    </row>
    <row r="8921" customFormat="false" ht="15" hidden="false" customHeight="false" outlineLevel="0" collapsed="false">
      <c r="A8921" s="1" t="s">
        <v>1145</v>
      </c>
      <c r="B8921" s="0" t="s">
        <v>168</v>
      </c>
      <c r="C8921" s="7" t="n">
        <f aca="false">Sens!$C$8919/Sens!$C$8920</f>
        <v>0.752561506276059</v>
      </c>
    </row>
    <row r="8922" customFormat="false" ht="17.15" hidden="false" customHeight="false" outlineLevel="0" collapsed="false">
      <c r="A8922" s="1" t="s">
        <v>1231</v>
      </c>
      <c r="B8922" s="0" t="s">
        <v>98</v>
      </c>
      <c r="C8922" s="6" t="n">
        <f aca="false">Sens!$C$8920+cash_val-debt_val-fl_val+oai_v</f>
        <v>2207.51925763483</v>
      </c>
    </row>
    <row r="8923" customFormat="false" ht="17.15" hidden="false" customHeight="false" outlineLevel="0" collapsed="false">
      <c r="A8923" s="0" t="s">
        <v>1153</v>
      </c>
      <c r="B8923" s="0" t="s">
        <v>75</v>
      </c>
      <c r="C8923" s="5" t="n">
        <f aca="false">Sens!$C$8922/shd_val</f>
        <v>296.470488535432</v>
      </c>
    </row>
    <row r="8924" customFormat="false" ht="15" hidden="false" customHeight="false" outlineLevel="0" collapsed="false">
      <c r="A8924" s="1" t="s">
        <v>1232</v>
      </c>
      <c r="B8924" s="0" t="s">
        <v>75</v>
      </c>
      <c r="C8924" s="8" t="n">
        <f aca="false">div_rem27+Sens!G8892*roll_div_q/q_per_yr</f>
        <v>3.9795</v>
      </c>
    </row>
    <row r="8925" customFormat="false" ht="17.15" hidden="false" customHeight="false" outlineLevel="0" collapsed="false">
      <c r="A8925" s="0" t="s">
        <v>1233</v>
      </c>
      <c r="B8925" s="0" t="s">
        <v>75</v>
      </c>
      <c r="C8925" s="5" t="n">
        <f aca="false">Sens!$C$8923*(1+wacc)^t_roll-Sens!$C$8924</f>
        <v>325.563994245618</v>
      </c>
    </row>
    <row r="8926" customFormat="false" ht="17.15" hidden="false" customHeight="false" outlineLevel="0" collapsed="false">
      <c r="A8926" s="1" t="s">
        <v>1234</v>
      </c>
      <c r="B8926" s="0" t="s">
        <v>168</v>
      </c>
      <c r="F8926" s="7" t="n">
        <f aca="false">Sens!F8878/(Sens!F8823-Sens!F8778)</f>
        <v>0.0683085316491697</v>
      </c>
      <c r="G8926" s="7" t="n">
        <f aca="false">Sens!G8878/(Sens!G8823-Sens!G8778)</f>
        <v>0.0654488478159728</v>
      </c>
      <c r="H8926" s="7" t="n">
        <f aca="false">Sens!H8878/(Sens!H8823-Sens!H8778)</f>
        <v>0.0639687554664546</v>
      </c>
      <c r="I8926" s="7" t="n">
        <f aca="false">Sens!I8878/(Sens!I8823-Sens!I8778)</f>
        <v>0.0637589991885868</v>
      </c>
      <c r="J8926" s="7" t="n">
        <f aca="false">Sens!J8878/(Sens!J8823-Sens!J8778)</f>
        <v>0.064514952041441</v>
      </c>
      <c r="K8926" s="7" t="n">
        <f aca="false">Sens!K8878/(Sens!K8823-Sens!K8778)</f>
        <v>0.0658507930782704</v>
      </c>
    </row>
    <row r="8927" customFormat="false" ht="17.15" hidden="false" customHeight="false" outlineLevel="0" collapsed="false">
      <c r="A8927" s="0" t="s">
        <v>1235</v>
      </c>
      <c r="B8927" s="0" t="s">
        <v>98</v>
      </c>
      <c r="F8927" s="6" t="n">
        <f aca="false">Sens!F8808*(al_m365+Sens!F8926+sbc_r)</f>
        <v>84.9772376116113</v>
      </c>
      <c r="G8927" s="6" t="n">
        <f aca="false">Sens!G8808*(al_m365+Sens!G8926+sbc_r)</f>
        <v>98.1639830486857</v>
      </c>
      <c r="H8927" s="6" t="n">
        <f aca="false">Sens!H8808*(al_m365+Sens!H8926+sbc_r)</f>
        <v>111.516494162642</v>
      </c>
      <c r="I8927" s="6" t="n">
        <f aca="false">Sens!I8808*(al_m365+Sens!I8926+sbc_r)</f>
        <v>123.653513384119</v>
      </c>
      <c r="J8927" s="6" t="n">
        <f aca="false">Sens!J8808*(al_m365+Sens!J8926+sbc_r)</f>
        <v>134.388078242183</v>
      </c>
      <c r="K8927" s="6" t="n">
        <f aca="false">Sens!K8808*(al_m365+Sens!K8926+sbc_r)</f>
        <v>144.73979734878</v>
      </c>
      <c r="L8927" s="12" t="s">
        <v>1236</v>
      </c>
    </row>
    <row r="8928" customFormat="false" ht="17.15" hidden="false" customHeight="false" outlineLevel="0" collapsed="false">
      <c r="A8928" s="0" t="s">
        <v>1237</v>
      </c>
      <c r="B8928" s="0" t="s">
        <v>98</v>
      </c>
      <c r="F8928" s="6" t="n">
        <f aca="false">Sens!F8809*(al_lic+Sens!F8926+sbc_r)</f>
        <v>32.8458265858795</v>
      </c>
      <c r="G8928" s="6" t="n">
        <f aca="false">Sens!G8809*(al_lic+Sens!G8926+sbc_r)</f>
        <v>34.1222422176045</v>
      </c>
      <c r="H8928" s="6" t="n">
        <f aca="false">Sens!H8809*(al_lic+Sens!H8926+sbc_r)</f>
        <v>35.315118863238</v>
      </c>
      <c r="I8928" s="6" t="n">
        <f aca="false">Sens!I8809*(al_lic+Sens!I8926+sbc_r)</f>
        <v>36.4069946386761</v>
      </c>
      <c r="J8928" s="6" t="n">
        <f aca="false">Sens!J8809*(al_lic+Sens!J8926+sbc_r)</f>
        <v>37.3716693142225</v>
      </c>
      <c r="K8928" s="6" t="n">
        <f aca="false">Sens!K8809*(al_lic+Sens!K8926+sbc_r)</f>
        <v>38.1788763932254</v>
      </c>
    </row>
    <row r="8929" customFormat="false" ht="17.15" hidden="false" customHeight="false" outlineLevel="0" collapsed="false">
      <c r="A8929" s="0" t="s">
        <v>1238</v>
      </c>
      <c r="B8929" s="0" t="s">
        <v>98</v>
      </c>
      <c r="F8929" s="6" t="n">
        <f aca="false">Sens!F8811*(al_ind+Sens!F8926+sbc_r)</f>
        <v>9.05347589257077</v>
      </c>
      <c r="G8929" s="6" t="n">
        <f aca="false">Sens!G8811*(al_ind+Sens!G8926+sbc_r)</f>
        <v>9.82681097760548</v>
      </c>
      <c r="H8929" s="6" t="n">
        <f aca="false">Sens!H8811*(al_ind+Sens!H8926+sbc_r)</f>
        <v>10.6458540931555</v>
      </c>
      <c r="I8929" s="6" t="n">
        <f aca="false">Sens!I8811*(al_ind+Sens!I8926+sbc_r)</f>
        <v>11.5081332633596</v>
      </c>
      <c r="J8929" s="6" t="n">
        <f aca="false">Sens!J8811*(al_ind+Sens!J8926+sbc_r)</f>
        <v>12.4035614879512</v>
      </c>
      <c r="K8929" s="6" t="n">
        <f aca="false">Sens!K8811*(al_ind+Sens!K8926+sbc_r)</f>
        <v>13.3159240991204</v>
      </c>
    </row>
    <row r="8930" customFormat="false" ht="17.15" hidden="false" customHeight="false" outlineLevel="0" collapsed="false">
      <c r="A8930" s="0" t="s">
        <v>1239</v>
      </c>
      <c r="B8930" s="0" t="s">
        <v>98</v>
      </c>
      <c r="F8930" s="6" t="n">
        <f aca="false">Sens!F8813*(al_fro+Sens!F8926+sbc_r)</f>
        <v>3.55130678614832</v>
      </c>
      <c r="G8930" s="6" t="n">
        <f aca="false">Sens!G8813*(al_fro+Sens!G8926+sbc_r)</f>
        <v>3.76002588393281</v>
      </c>
      <c r="H8930" s="6" t="n">
        <f aca="false">Sens!H8813*(al_fro+Sens!H8926+sbc_r)</f>
        <v>3.99801786494696</v>
      </c>
      <c r="I8930" s="6" t="n">
        <f aca="false">Sens!I8813*(al_fro+Sens!I8926+sbc_r)</f>
        <v>4.26822826370219</v>
      </c>
      <c r="J8930" s="6" t="n">
        <f aca="false">Sens!J8813*(al_fro+Sens!J8926+sbc_r)</f>
        <v>4.57164310430994</v>
      </c>
      <c r="K8930" s="6" t="n">
        <f aca="false">Sens!K8813*(al_fro+Sens!K8926+sbc_r)</f>
        <v>4.90791718526916</v>
      </c>
    </row>
    <row r="8931" customFormat="false" ht="17.15" hidden="false" customHeight="false" outlineLevel="0" collapsed="false">
      <c r="A8931" s="0" t="s">
        <v>1240</v>
      </c>
      <c r="B8931" s="0" t="s">
        <v>98</v>
      </c>
      <c r="F8931" s="6" t="n">
        <f aca="false">Sens!F8816*(al_srch+Sens!F8926+sbc_r)</f>
        <v>11.1805184202288</v>
      </c>
      <c r="G8931" s="6" t="n">
        <f aca="false">Sens!G8816*(al_srch+Sens!G8926+sbc_r)</f>
        <v>12.2500460253548</v>
      </c>
      <c r="H8931" s="6" t="n">
        <f aca="false">Sens!H8816*(al_srch+Sens!H8926+sbc_r)</f>
        <v>13.3654729717334</v>
      </c>
      <c r="I8931" s="6" t="n">
        <f aca="false">Sens!I8816*(al_srch+Sens!I8926+sbc_r)</f>
        <v>14.5169223772372</v>
      </c>
      <c r="J8931" s="6" t="n">
        <f aca="false">Sens!J8816*(al_srch+Sens!J8926+sbc_r)</f>
        <v>15.6839619556146</v>
      </c>
      <c r="K8931" s="6" t="n">
        <f aca="false">Sens!K8816*(al_srch+Sens!K8926+sbc_r)</f>
        <v>16.8376193545159</v>
      </c>
    </row>
    <row r="8932" customFormat="false" ht="17.15" hidden="false" customHeight="false" outlineLevel="0" collapsed="false">
      <c r="A8932" s="0" t="s">
        <v>1241</v>
      </c>
      <c r="B8932" s="0" t="s">
        <v>98</v>
      </c>
      <c r="F8932" s="6" t="n">
        <f aca="false">Sens!F8784-Sens!F8785+Sens!F8866</f>
        <v>41.1728113819314</v>
      </c>
      <c r="G8932" s="6" t="n">
        <f aca="false">Sens!G8784-Sens!G8785+Sens!G8866</f>
        <v>79.4368096499228</v>
      </c>
      <c r="H8932" s="6" t="n">
        <f aca="false">Sens!H8784-Sens!H8785+Sens!H8866</f>
        <v>120.537670927133</v>
      </c>
      <c r="I8932" s="6" t="n">
        <f aca="false">Sens!I8784-Sens!I8785+Sens!I8866</f>
        <v>157.351484951913</v>
      </c>
      <c r="J8932" s="6" t="n">
        <f aca="false">Sens!J8784-Sens!J8785+Sens!J8866</f>
        <v>183.2217105221</v>
      </c>
      <c r="K8932" s="6" t="n">
        <f aca="false">Sens!K8784-Sens!K8785+Sens!K8866</f>
        <v>198.836816438591</v>
      </c>
    </row>
    <row r="8933" customFormat="false" ht="17.15" hidden="false" customHeight="false" outlineLevel="0" collapsed="false">
      <c r="A8933" s="0" t="s">
        <v>1242</v>
      </c>
      <c r="B8933" s="0" t="s">
        <v>98</v>
      </c>
      <c r="F8933" s="6" t="n">
        <f aca="false">Sens!F8845+Sens!F8866+Sens!F8796+Sens!F8926*(Sens!F8815-Sens!F8778)+sbc_r*Sens!F8815</f>
        <v>237.832124236405</v>
      </c>
      <c r="G8933" s="6" t="n">
        <f aca="false">Sens!G8845+Sens!G8866+Sens!G8796+Sens!G8926*(Sens!G8815-Sens!G8778)+sbc_r*Sens!G8815</f>
        <v>299.730490507995</v>
      </c>
      <c r="H8933" s="6" t="n">
        <f aca="false">Sens!H8845+Sens!H8866+Sens!H8796+Sens!H8926*(Sens!H8815-Sens!H8778)+sbc_r*Sens!H8815</f>
        <v>369.325076287788</v>
      </c>
      <c r="I8933" s="6" t="n">
        <f aca="false">Sens!I8845+Sens!I8866+Sens!I8796+Sens!I8926*(Sens!I8815-Sens!I8778)+sbc_r*Sens!I8815</f>
        <v>433.069419368514</v>
      </c>
      <c r="J8933" s="6" t="n">
        <f aca="false">Sens!J8845+Sens!J8866+Sens!J8796+Sens!J8926*(Sens!J8815-Sens!J8778)+sbc_r*Sens!J8815</f>
        <v>483.230756096339</v>
      </c>
      <c r="K8933" s="6" t="n">
        <f aca="false">Sens!K8845+Sens!K8866+Sens!K8796+Sens!K8926*(Sens!K8815-Sens!K8778)+sbc_r*Sens!K8815</f>
        <v>520.748865038378</v>
      </c>
    </row>
    <row r="8934" customFormat="false" ht="17.15" hidden="false" customHeight="false" outlineLevel="0" collapsed="false">
      <c r="A8934" s="0" t="s">
        <v>1243</v>
      </c>
      <c r="B8934" s="0" t="s">
        <v>98</v>
      </c>
      <c r="F8934" s="6" t="n">
        <f aca="false">Sens!F8933-Sens!F8927-Sens!F8928-Sens!F8929-Sens!F8930-Sens!F8932</f>
        <v>66.2314659782634</v>
      </c>
      <c r="G8934" s="6" t="n">
        <f aca="false">Sens!G8933-Sens!G8927-Sens!G8928-Sens!G8929-Sens!G8930-Sens!G8932</f>
        <v>74.4206187302434</v>
      </c>
      <c r="H8934" s="6" t="n">
        <f aca="false">Sens!H8933-Sens!H8927-Sens!H8928-Sens!H8929-Sens!H8930-Sens!H8932</f>
        <v>87.3119203766721</v>
      </c>
      <c r="I8934" s="6" t="n">
        <f aca="false">Sens!I8933-Sens!I8927-Sens!I8928-Sens!I8929-Sens!I8930-Sens!I8932</f>
        <v>99.8810648667437</v>
      </c>
      <c r="J8934" s="6" t="n">
        <f aca="false">Sens!J8933-Sens!J8927-Sens!J8928-Sens!J8929-Sens!J8930-Sens!J8932</f>
        <v>111.274093425572</v>
      </c>
      <c r="K8934" s="6" t="n">
        <f aca="false">Sens!K8933-Sens!K8927-Sens!K8928-Sens!K8929-Sens!K8930-Sens!K8932</f>
        <v>120.769533573392</v>
      </c>
    </row>
    <row r="8935" customFormat="false" ht="17.15" hidden="false" customHeight="false" outlineLevel="0" collapsed="false">
      <c r="A8935" s="0" t="s">
        <v>1244</v>
      </c>
      <c r="B8935" s="0" t="s">
        <v>98</v>
      </c>
      <c r="F8935" s="6" t="n">
        <f aca="false">Sens!F8847+Sens!F8926*Sens!F8822+sbc_r*Sens!F8822</f>
        <v>26.6136362372989</v>
      </c>
      <c r="G8935" s="6" t="n">
        <f aca="false">Sens!G8847+Sens!G8926*Sens!G8822+sbc_r*Sens!G8822</f>
        <v>26.4466023509717</v>
      </c>
      <c r="H8935" s="6" t="n">
        <f aca="false">Sens!H8847+Sens!H8926*Sens!H8822+sbc_r*Sens!H8822</f>
        <v>27.3178776963745</v>
      </c>
      <c r="I8935" s="6" t="n">
        <f aca="false">Sens!I8847+Sens!I8926*Sens!I8822+sbc_r*Sens!I8822</f>
        <v>28.4282281660482</v>
      </c>
      <c r="J8935" s="6" t="n">
        <f aca="false">Sens!J8847+Sens!J8926*Sens!J8822+sbc_r*Sens!J8822</f>
        <v>29.7412795716628</v>
      </c>
      <c r="K8935" s="6" t="n">
        <f aca="false">Sens!K8847+Sens!K8926*Sens!K8822+sbc_r*Sens!K8822</f>
        <v>31.2173032401521</v>
      </c>
    </row>
    <row r="8936" customFormat="false" ht="17.15" hidden="false" customHeight="false" outlineLevel="0" collapsed="false">
      <c r="A8936" s="0" t="s">
        <v>1245</v>
      </c>
      <c r="B8936" s="0" t="s">
        <v>98</v>
      </c>
      <c r="F8936" s="6" t="n">
        <f aca="false">(Sens!F8935-Sens!F8931)*Sens!F8818/(Sens!F8818+Sens!F8820)</f>
        <v>8.71640144847422</v>
      </c>
      <c r="G8936" s="6" t="n">
        <f aca="false">(Sens!G8935-Sens!G8931)*Sens!G8818/(Sens!G8818+Sens!G8820)</f>
        <v>7.88020960913013</v>
      </c>
      <c r="H8936" s="6" t="n">
        <f aca="false">(Sens!H8935-Sens!H8931)*Sens!H8818/(Sens!H8818+Sens!H8820)</f>
        <v>7.64379586389175</v>
      </c>
      <c r="I8936" s="6" t="n">
        <f aca="false">(Sens!I8935-Sens!I8931)*Sens!I8818/(Sens!I8818+Sens!I8820)</f>
        <v>7.55475790675133</v>
      </c>
      <c r="J8936" s="6" t="n">
        <f aca="false">(Sens!J8935-Sens!J8931)*Sens!J8818/(Sens!J8818+Sens!J8820)</f>
        <v>7.60074496573559</v>
      </c>
      <c r="K8936" s="6" t="n">
        <f aca="false">(Sens!K8935-Sens!K8931)*Sens!K8818/(Sens!K8818+Sens!K8820)</f>
        <v>7.77504733746942</v>
      </c>
    </row>
    <row r="8937" customFormat="false" ht="17.15" hidden="false" customHeight="false" outlineLevel="0" collapsed="false">
      <c r="A8937" s="0" t="s">
        <v>1246</v>
      </c>
      <c r="B8937" s="0" t="s">
        <v>98</v>
      </c>
      <c r="F8937" s="6" t="n">
        <f aca="false">Sens!F8935-Sens!F8931-Sens!F8936</f>
        <v>6.71671636859585</v>
      </c>
      <c r="G8937" s="6" t="n">
        <f aca="false">Sens!G8935-Sens!G8931-Sens!G8936</f>
        <v>6.31634671648677</v>
      </c>
      <c r="H8937" s="6" t="n">
        <f aca="false">Sens!H8935-Sens!H8931-Sens!H8936</f>
        <v>6.30860886074932</v>
      </c>
      <c r="I8937" s="6" t="n">
        <f aca="false">Sens!I8935-Sens!I8931-Sens!I8936</f>
        <v>6.3565478820597</v>
      </c>
      <c r="J8937" s="6" t="n">
        <f aca="false">Sens!J8935-Sens!J8931-Sens!J8936</f>
        <v>6.45657265031267</v>
      </c>
      <c r="K8937" s="6" t="n">
        <f aca="false">Sens!K8935-Sens!K8931-Sens!K8936</f>
        <v>6.60463654816671</v>
      </c>
    </row>
    <row r="8938" customFormat="false" ht="17.15" hidden="false" customHeight="false" outlineLevel="0" collapsed="false">
      <c r="A8938" s="0" t="s">
        <v>1247</v>
      </c>
      <c r="B8938" s="0" t="s">
        <v>98</v>
      </c>
      <c r="F8938" s="6" t="n">
        <f aca="false">Sens!F8932-tax_f*(Sens!F8932-Sens!F8796)-Sens!F8793</f>
        <v>-128.599792040904</v>
      </c>
      <c r="G8938" s="6" t="n">
        <f aca="false">Sens!G8932-tax_f*(Sens!G8932-Sens!G8796)-Sens!G8793</f>
        <v>-116.24812979865</v>
      </c>
      <c r="H8938" s="6" t="n">
        <f aca="false">Sens!H8932-tax_f*(Sens!H8932-Sens!H8796)-Sens!H8793</f>
        <v>-82.5558491905165</v>
      </c>
      <c r="I8938" s="6" t="n">
        <f aca="false">Sens!I8932-tax_f*(Sens!I8932-Sens!I8796)-Sens!I8793</f>
        <v>-19.8874437211699</v>
      </c>
      <c r="J8938" s="6" t="n">
        <f aca="false">Sens!J8932-tax_f*(Sens!J8932-Sens!J8796)-Sens!J8793</f>
        <v>44.0505718316587</v>
      </c>
      <c r="K8938" s="6" t="n">
        <f aca="false">Sens!K8932-tax_f*(Sens!K8932-Sens!K8796)-Sens!K8793</f>
        <v>68.7091339963273</v>
      </c>
    </row>
    <row r="8939" customFormat="false" ht="17.15" hidden="false" customHeight="false" outlineLevel="0" collapsed="false">
      <c r="A8939" s="0" t="s">
        <v>1248</v>
      </c>
      <c r="B8939" s="0" t="s">
        <v>98</v>
      </c>
      <c r="G8939" s="6" t="n">
        <f aca="false">Sens!G8938/(1+wacc)^(Sens!G8909-Sens!F8910)</f>
        <v>-110.6905899552</v>
      </c>
      <c r="H8939" s="6" t="n">
        <f aca="false">Sens!H8938/(1+wacc)^(Sens!H8909-Sens!F8910)</f>
        <v>-71.2725063579992</v>
      </c>
      <c r="I8939" s="6" t="n">
        <f aca="false">Sens!I8938/(1+wacc)^(Sens!I8909-Sens!F8910)</f>
        <v>-15.5669166813498</v>
      </c>
      <c r="J8939" s="6" t="n">
        <f aca="false">Sens!J8938/(1+wacc)^(Sens!J8909-Sens!F8910)</f>
        <v>31.2625675172402</v>
      </c>
      <c r="K8939" s="6" t="n">
        <f aca="false">Sens!K8938/(1+wacc)^(Sens!K8909-Sens!F8910)</f>
        <v>44.2116803981176</v>
      </c>
      <c r="L8939" s="1" t="s">
        <v>1249</v>
      </c>
    </row>
    <row r="8940" customFormat="false" ht="17.15" hidden="false" customHeight="false" outlineLevel="0" collapsed="false">
      <c r="A8940" s="0" t="s">
        <v>1250</v>
      </c>
      <c r="B8940" s="0" t="s">
        <v>98</v>
      </c>
      <c r="C8940" s="6" t="n">
        <f aca="false">(Sens!K8932-Sens!K8796)*(1-tax_f)*(1+g_tv)*(1-g_tv/(wacc+ronic_prem))/(wacc-g_tv)/(1+wacc)^(Sens!K8910-Sens!F8910)</f>
        <v>273.795811424816</v>
      </c>
    </row>
    <row r="8941" customFormat="false" ht="17.15" hidden="false" customHeight="false" outlineLevel="0" collapsed="false">
      <c r="A8941" s="1" t="s">
        <v>1251</v>
      </c>
      <c r="B8941" s="0" t="s">
        <v>98</v>
      </c>
      <c r="C8941" s="6" t="n">
        <f aca="false">(SUM(Sens!G8939:K8939)+Sens!$C$8940)*(1+wacc)^(t_roll-Sens!F8910)</f>
        <v>156.749444171455</v>
      </c>
      <c r="L8941" s="12" t="s">
        <v>1252</v>
      </c>
    </row>
    <row r="8942" customFormat="false" ht="17.15" hidden="false" customHeight="false" outlineLevel="0" collapsed="false">
      <c r="A8942" s="1" t="s">
        <v>1253</v>
      </c>
      <c r="B8942" s="0" t="s">
        <v>98</v>
      </c>
      <c r="C8942" s="6" t="n">
        <f aca="false">(w_ntm28*Sens!G8784+(1-w_ntm28)*Sens!H8784)*m_ai</f>
        <v>463.789109510335</v>
      </c>
    </row>
    <row r="8943" customFormat="false" ht="17.15" hidden="false" customHeight="false" outlineLevel="0" collapsed="false">
      <c r="A8943" s="1" t="s">
        <v>1254</v>
      </c>
      <c r="B8943" s="0" t="s">
        <v>98</v>
      </c>
      <c r="C8943" s="6" t="n">
        <f aca="false">(w_ntm28*Sens!G8934+(1-w_ntm28)*Sens!H8934)*m_cloud</f>
        <v>1087.06537455179</v>
      </c>
    </row>
    <row r="8944" customFormat="false" ht="17.15" hidden="false" customHeight="false" outlineLevel="0" collapsed="false">
      <c r="A8944" s="1" t="s">
        <v>1255</v>
      </c>
      <c r="B8944" s="0" t="s">
        <v>98</v>
      </c>
      <c r="C8944" s="6" t="n">
        <f aca="false">(w_ntm28*Sens!G8927+(1-w_ntm28)*Sens!H8927)*m_sw</f>
        <v>1107.58157693591</v>
      </c>
    </row>
    <row r="8945" customFormat="false" ht="17.15" hidden="false" customHeight="false" outlineLevel="0" collapsed="false">
      <c r="A8945" s="1" t="s">
        <v>1256</v>
      </c>
      <c r="B8945" s="0" t="s">
        <v>98</v>
      </c>
      <c r="C8945" s="6" t="n">
        <f aca="false">(w_ntm28*Sens!G8928+(1-w_ntm28)*Sens!H8928)*m_sw</f>
        <v>372.755745080926</v>
      </c>
    </row>
    <row r="8946" customFormat="false" ht="17.15" hidden="false" customHeight="false" outlineLevel="0" collapsed="false">
      <c r="A8946" s="1" t="s">
        <v>1257</v>
      </c>
      <c r="B8946" s="0" t="s">
        <v>98</v>
      </c>
      <c r="C8946" s="6" t="n">
        <f aca="false">(w_ntm28*Sens!G8929+(1-w_ntm28)*Sens!H8929)*m_sw</f>
        <v>109.037722606777</v>
      </c>
    </row>
    <row r="8947" customFormat="false" ht="17.15" hidden="false" customHeight="false" outlineLevel="0" collapsed="false">
      <c r="A8947" s="1" t="s">
        <v>1258</v>
      </c>
      <c r="B8947" s="0" t="s">
        <v>98</v>
      </c>
      <c r="C8947" s="6" t="n">
        <f aca="false">(w_ntm28*Sens!G8930+(1-w_ntm28)*Sens!H8930)*m_sw</f>
        <v>41.4533140872807</v>
      </c>
    </row>
    <row r="8948" customFormat="false" ht="17.15" hidden="false" customHeight="false" outlineLevel="0" collapsed="false">
      <c r="A8948" s="1" t="s">
        <v>1259</v>
      </c>
      <c r="B8948" s="0" t="s">
        <v>98</v>
      </c>
      <c r="C8948" s="6" t="n">
        <f aca="false">(w_ntm28*Sens!G8931+(1-w_ntm28)*Sens!H8931)*m_ads</f>
        <v>114.938699394492</v>
      </c>
    </row>
    <row r="8949" customFormat="false" ht="17.15" hidden="false" customHeight="false" outlineLevel="0" collapsed="false">
      <c r="A8949" s="1" t="s">
        <v>1260</v>
      </c>
      <c r="B8949" s="0" t="s">
        <v>98</v>
      </c>
      <c r="C8949" s="6" t="n">
        <f aca="false">(w_ntm28*Sens!G8936+(1-w_ntm28)*Sens!H8936)*m_game</f>
        <v>98.5453797680169</v>
      </c>
    </row>
    <row r="8950" customFormat="false" ht="17.15" hidden="false" customHeight="false" outlineLevel="0" collapsed="false">
      <c r="A8950" s="1" t="s">
        <v>1261</v>
      </c>
      <c r="B8950" s="0" t="s">
        <v>98</v>
      </c>
      <c r="C8950" s="6" t="n">
        <f aca="false">(w_ntm28*Sens!G8937+(1-w_ntm28)*Sens!H8937)*m_pc</f>
        <v>91.360725993858</v>
      </c>
    </row>
    <row r="8951" customFormat="false" ht="17.15" hidden="false" customHeight="false" outlineLevel="0" collapsed="false">
      <c r="A8951" s="1" t="s">
        <v>1262</v>
      </c>
      <c r="B8951" s="0" t="s">
        <v>98</v>
      </c>
      <c r="C8951" s="6" t="n">
        <f aca="false">Sens!$C$8941+Sens!$C$8943+Sens!$C$8944+Sens!$C$8945+Sens!$C$8946+Sens!$C$8947+Sens!$C$8948+Sens!$C$8949+Sens!$C$8950</f>
        <v>3179.48798259051</v>
      </c>
    </row>
    <row r="8952" customFormat="false" ht="17.15" hidden="false" customHeight="false" outlineLevel="0" collapsed="false">
      <c r="A8952" s="1" t="s">
        <v>1263</v>
      </c>
      <c r="B8952" s="0" t="s">
        <v>98</v>
      </c>
      <c r="C8952" s="6" t="n">
        <f aca="false">(Sens!G8913-Sens!G8938)*t_stub</f>
        <v>48.2400483129125</v>
      </c>
      <c r="L8952" s="1" t="s">
        <v>1264</v>
      </c>
    </row>
    <row r="8953" customFormat="false" ht="17.15" hidden="false" customHeight="false" outlineLevel="0" collapsed="false">
      <c r="A8953" s="1" t="s">
        <v>1173</v>
      </c>
      <c r="B8953" s="0" t="s">
        <v>98</v>
      </c>
      <c r="C8953" s="6" t="n">
        <f aca="false">Sens!F8900+oai_v-Sens!F8889+Sens!$C$8952</f>
        <v>162.468318312912</v>
      </c>
      <c r="L8953" s="1" t="s">
        <v>1265</v>
      </c>
    </row>
    <row r="8954" customFormat="false" ht="17.15" hidden="false" customHeight="false" outlineLevel="0" collapsed="false">
      <c r="A8954" s="1" t="s">
        <v>1266</v>
      </c>
      <c r="B8954" s="0" t="s">
        <v>75</v>
      </c>
      <c r="C8954" s="5" t="n">
        <f aca="false">(Sens!$C$8951+Sens!$C$8953)/(Sens!F8902+dil_gap)-Sens!G8892*roll_div_q/q_per_yr</f>
        <v>444.89791161343</v>
      </c>
      <c r="L8954" s="1" t="s">
        <v>1267</v>
      </c>
    </row>
    <row r="8955" customFormat="false" ht="17.15" hidden="false" customHeight="false" outlineLevel="0" collapsed="false">
      <c r="A8955" s="1" t="s">
        <v>1268</v>
      </c>
      <c r="B8955" s="0" t="s">
        <v>75</v>
      </c>
      <c r="C8955" s="5" t="n">
        <f aca="false">w_dcf*Sens!$C$8925+(1-w_dcf)*Sens!$C$8954</f>
        <v>385.230952929524</v>
      </c>
    </row>
    <row r="8956" customFormat="false" ht="17.15" hidden="false" customHeight="false" outlineLevel="0" collapsed="false">
      <c r="A8956" s="3" t="s">
        <v>1835</v>
      </c>
    </row>
    <row r="8957" customFormat="false" ht="15" hidden="false" customHeight="false" outlineLevel="0" collapsed="false">
      <c r="A8957" s="4" t="s">
        <v>43</v>
      </c>
      <c r="B8957" s="4" t="s">
        <v>65</v>
      </c>
      <c r="C8957" s="23" t="s">
        <v>942</v>
      </c>
      <c r="D8957" s="23" t="s">
        <v>943</v>
      </c>
      <c r="E8957" s="23" t="s">
        <v>944</v>
      </c>
      <c r="F8957" s="23" t="s">
        <v>945</v>
      </c>
      <c r="G8957" s="23" t="s">
        <v>946</v>
      </c>
      <c r="H8957" s="23" t="s">
        <v>947</v>
      </c>
      <c r="I8957" s="23" t="s">
        <v>948</v>
      </c>
      <c r="J8957" s="23" t="s">
        <v>949</v>
      </c>
      <c r="K8957" s="23" t="s">
        <v>950</v>
      </c>
      <c r="L8957" s="4" t="s">
        <v>47</v>
      </c>
    </row>
    <row r="8958" customFormat="false" ht="17.15" hidden="false" customHeight="false" outlineLevel="0" collapsed="false">
      <c r="A8958" s="1" t="s">
        <v>951</v>
      </c>
      <c r="B8958" s="1" t="s">
        <v>279</v>
      </c>
      <c r="C8958" s="21" t="n">
        <v>2024</v>
      </c>
      <c r="D8958" s="21" t="n">
        <v>2025</v>
      </c>
      <c r="E8958" s="21" t="n">
        <v>2026</v>
      </c>
      <c r="F8958" s="21" t="n">
        <v>2027</v>
      </c>
      <c r="G8958" s="21" t="n">
        <v>2028</v>
      </c>
      <c r="H8958" s="21" t="n">
        <v>2029</v>
      </c>
      <c r="I8958" s="21" t="n">
        <v>2030</v>
      </c>
      <c r="J8958" s="21" t="n">
        <v>2031</v>
      </c>
      <c r="K8958" s="21" t="n">
        <v>2032</v>
      </c>
    </row>
    <row r="8959" customFormat="false" ht="17.15" hidden="false" customHeight="false" outlineLevel="0" collapsed="false">
      <c r="A8959" s="1" t="s">
        <v>952</v>
      </c>
      <c r="B8959" s="0" t="s">
        <v>459</v>
      </c>
      <c r="F8959" s="30" t="n">
        <f aca="false">pace</f>
        <v>2726.5351</v>
      </c>
      <c r="G8959" s="30" t="n">
        <f aca="false">pace</f>
        <v>2726.5351</v>
      </c>
      <c r="H8959" s="30" t="n">
        <f aca="false">pace</f>
        <v>2726.5351</v>
      </c>
      <c r="I8959" s="30" t="n">
        <f aca="false">pace+(g_tv*Sens!H8960-pace)*MIN(1,(Sens!I8958-pace_y0)/(pace_y1-pace_y0))</f>
        <v>1931.98611966667</v>
      </c>
      <c r="J8959" s="30" t="n">
        <f aca="false">pace+(g_tv*Sens!I8960-pace)*MIN(1,(Sens!J8958-pace_y0)/(pace_y1-pace_y0))</f>
        <v>1176.07686172667</v>
      </c>
      <c r="K8959" s="30" t="n">
        <f aca="false">pace+(g_tv*Sens!J8960-pace)*MIN(1,(Sens!K8958-pace_y0)/(pace_y1-pace_y0))</f>
        <v>436.1300484418</v>
      </c>
      <c r="L8959" s="12" t="s">
        <v>953</v>
      </c>
    </row>
    <row r="8960" customFormat="false" ht="17.15" hidden="false" customHeight="false" outlineLevel="0" collapsed="false">
      <c r="A8960" s="1" t="s">
        <v>954</v>
      </c>
      <c r="B8960" s="0" t="s">
        <v>459</v>
      </c>
      <c r="C8960" s="30" t="n">
        <f aca="false">mw_ext_24</f>
        <v>640</v>
      </c>
      <c r="D8960" s="30" t="n">
        <f aca="false">mw_ext_25</f>
        <v>1630</v>
      </c>
      <c r="E8960" s="30" t="n">
        <f aca="false">mw_ext_26</f>
        <v>3250</v>
      </c>
      <c r="F8960" s="30" t="n">
        <f aca="false">Sens!E8960+Sens!F8959</f>
        <v>5976.5351</v>
      </c>
      <c r="G8960" s="30" t="n">
        <f aca="false">Sens!F8960+Sens!G8959</f>
        <v>8703.0702</v>
      </c>
      <c r="H8960" s="30" t="n">
        <f aca="false">Sens!G8960+Sens!H8959</f>
        <v>11429.6053</v>
      </c>
      <c r="I8960" s="30" t="n">
        <f aca="false">Sens!H8960+Sens!I8959</f>
        <v>13361.5914196667</v>
      </c>
      <c r="J8960" s="30" t="n">
        <f aca="false">Sens!I8960+Sens!J8959</f>
        <v>14537.6682813933</v>
      </c>
      <c r="K8960" s="30" t="n">
        <f aca="false">Sens!J8960+Sens!K8959</f>
        <v>14973.7983298351</v>
      </c>
      <c r="L8960" s="1" t="s">
        <v>955</v>
      </c>
    </row>
    <row r="8961" customFormat="false" ht="17.15" hidden="false" customHeight="false" outlineLevel="0" collapsed="false">
      <c r="A8961" s="1" t="s">
        <v>956</v>
      </c>
      <c r="B8961" s="0" t="s">
        <v>459</v>
      </c>
      <c r="C8961" s="30" t="n">
        <f aca="false">rent_ext_24</f>
        <v>150</v>
      </c>
      <c r="D8961" s="30" t="n">
        <f aca="false">rent_ext_25</f>
        <v>400</v>
      </c>
      <c r="E8961" s="30" t="n">
        <f aca="false">rent_ext_26</f>
        <v>550</v>
      </c>
      <c r="F8961" s="30" t="n">
        <f aca="false">rent_ext_f</f>
        <v>756</v>
      </c>
      <c r="G8961" s="30" t="n">
        <f aca="false">rent_ext_f</f>
        <v>756</v>
      </c>
      <c r="H8961" s="30" t="n">
        <f aca="false">rent_ext_f</f>
        <v>756</v>
      </c>
      <c r="I8961" s="30" t="n">
        <f aca="false">rent_ext_f</f>
        <v>756</v>
      </c>
      <c r="J8961" s="30" t="n">
        <f aca="false">rent_ext_f</f>
        <v>756</v>
      </c>
      <c r="K8961" s="30" t="n">
        <f aca="false">rent_ext_f</f>
        <v>756</v>
      </c>
      <c r="L8961" s="1" t="s">
        <v>957</v>
      </c>
    </row>
    <row r="8962" customFormat="false" ht="17.15" hidden="false" customHeight="false" outlineLevel="0" collapsed="false">
      <c r="A8962" s="1" t="s">
        <v>958</v>
      </c>
      <c r="B8962" s="0" t="s">
        <v>459</v>
      </c>
      <c r="C8962" s="30" t="n">
        <f aca="false">Sens!C8960-Sens!C8961</f>
        <v>490</v>
      </c>
      <c r="D8962" s="30" t="n">
        <f aca="false">Sens!D8960-Sens!D8961</f>
        <v>1230</v>
      </c>
      <c r="E8962" s="30" t="n">
        <f aca="false">Sens!E8960-Sens!E8961</f>
        <v>2700</v>
      </c>
      <c r="F8962" s="30" t="n">
        <f aca="false">Sens!F8960-Sens!F8961</f>
        <v>5220.5351</v>
      </c>
      <c r="G8962" s="30" t="n">
        <f aca="false">Sens!G8960-Sens!G8961</f>
        <v>7947.0702</v>
      </c>
      <c r="H8962" s="30" t="n">
        <f aca="false">Sens!H8960-Sens!H8961</f>
        <v>10673.6053</v>
      </c>
      <c r="I8962" s="30" t="n">
        <f aca="false">Sens!I8960-Sens!I8961</f>
        <v>12605.5914196667</v>
      </c>
      <c r="J8962" s="30" t="n">
        <f aca="false">Sens!J8960-Sens!J8961</f>
        <v>13781.6682813933</v>
      </c>
      <c r="K8962" s="30" t="n">
        <f aca="false">Sens!K8960-Sens!K8961</f>
        <v>14217.7983298351</v>
      </c>
    </row>
    <row r="8963" customFormat="false" ht="17.15" hidden="false" customHeight="false" outlineLevel="0" collapsed="false">
      <c r="A8963" s="1" t="s">
        <v>959</v>
      </c>
      <c r="B8963" s="0" t="s">
        <v>459</v>
      </c>
      <c r="C8963" s="30" t="n">
        <f aca="false">Sens!C8962/ext_sh</f>
        <v>816.666666666667</v>
      </c>
      <c r="D8963" s="30" t="n">
        <f aca="false">Sens!D8962/ext_sh</f>
        <v>2050</v>
      </c>
      <c r="E8963" s="30" t="n">
        <f aca="false">Sens!E8962/ext_sh</f>
        <v>4500</v>
      </c>
      <c r="F8963" s="30" t="n">
        <f aca="false">Sens!F8962/ext_sh</f>
        <v>8700.89183333333</v>
      </c>
      <c r="G8963" s="30" t="n">
        <f aca="false">Sens!G8962/ext_sh</f>
        <v>13245.117</v>
      </c>
      <c r="H8963" s="30" t="n">
        <f aca="false">Sens!H8962/ext_sh</f>
        <v>17789.3421666667</v>
      </c>
      <c r="I8963" s="30" t="n">
        <f aca="false">Sens!I8962/ext_sh</f>
        <v>21009.3190327778</v>
      </c>
      <c r="J8963" s="30" t="n">
        <f aca="false">Sens!J8962/ext_sh</f>
        <v>22969.4471356556</v>
      </c>
      <c r="K8963" s="30" t="n">
        <f aca="false">Sens!K8962/ext_sh</f>
        <v>23696.3305497252</v>
      </c>
      <c r="L8963" s="1" t="s">
        <v>960</v>
      </c>
    </row>
    <row r="8964" customFormat="false" ht="17.15" hidden="false" customHeight="false" outlineLevel="0" collapsed="false">
      <c r="A8964" s="1" t="s">
        <v>961</v>
      </c>
      <c r="B8964" s="0" t="s">
        <v>459</v>
      </c>
      <c r="C8964" s="30" t="n">
        <f aca="false">Sens!C8963-Sens!C8962</f>
        <v>326.666666666667</v>
      </c>
      <c r="D8964" s="30" t="n">
        <f aca="false">Sens!D8963-Sens!D8962</f>
        <v>820</v>
      </c>
      <c r="E8964" s="30" t="n">
        <f aca="false">Sens!E8963-Sens!E8962</f>
        <v>1800</v>
      </c>
      <c r="F8964" s="30" t="n">
        <f aca="false">Sens!F8963-Sens!F8962</f>
        <v>3480.35673333333</v>
      </c>
      <c r="G8964" s="30" t="n">
        <f aca="false">Sens!G8963-Sens!G8962</f>
        <v>5298.0468</v>
      </c>
      <c r="H8964" s="30" t="n">
        <f aca="false">Sens!H8963-Sens!H8962</f>
        <v>7115.73686666667</v>
      </c>
      <c r="I8964" s="30" t="n">
        <f aca="false">Sens!I8963-Sens!I8962</f>
        <v>8403.72761311111</v>
      </c>
      <c r="J8964" s="30" t="n">
        <f aca="false">Sens!J8963-Sens!J8962</f>
        <v>9187.77885426222</v>
      </c>
      <c r="K8964" s="30" t="n">
        <f aca="false">Sens!K8963-Sens!K8962</f>
        <v>9478.53221989009</v>
      </c>
    </row>
    <row r="8965" customFormat="false" ht="17.15" hidden="false" customHeight="false" outlineLevel="0" collapsed="false">
      <c r="A8965" s="1" t="s">
        <v>962</v>
      </c>
      <c r="B8965" s="0" t="s">
        <v>459</v>
      </c>
      <c r="C8965" s="30" t="n">
        <f aca="false">Sens!C8963</f>
        <v>816.666666666667</v>
      </c>
      <c r="D8965" s="30" t="n">
        <f aca="false">Sens!D8963-Sens!C8963</f>
        <v>1233.33333333333</v>
      </c>
      <c r="E8965" s="30" t="n">
        <f aca="false">Sens!E8963-Sens!D8963</f>
        <v>2450</v>
      </c>
      <c r="F8965" s="30" t="n">
        <f aca="false">Sens!F8963-Sens!E8963</f>
        <v>4200.89183333333</v>
      </c>
      <c r="G8965" s="30" t="n">
        <f aca="false">Sens!G8963-Sens!F8963</f>
        <v>4544.22516666667</v>
      </c>
      <c r="H8965" s="30" t="n">
        <f aca="false">Sens!H8963-Sens!G8963</f>
        <v>4544.22516666667</v>
      </c>
      <c r="I8965" s="30" t="n">
        <f aca="false">Sens!I8963-Sens!H8963</f>
        <v>3219.97686611111</v>
      </c>
      <c r="J8965" s="30" t="n">
        <f aca="false">Sens!J8963-Sens!I8963</f>
        <v>1960.12810287778</v>
      </c>
      <c r="K8965" s="30" t="n">
        <f aca="false">Sens!K8963-Sens!J8963</f>
        <v>726.883414069667</v>
      </c>
    </row>
    <row r="8966" customFormat="false" ht="17.15" hidden="false" customHeight="false" outlineLevel="0" collapsed="false">
      <c r="A8966" s="1" t="s">
        <v>963</v>
      </c>
      <c r="B8966" s="0" t="s">
        <v>459</v>
      </c>
      <c r="D8966" s="30" t="n">
        <f aca="false">Sens!D8960-Sens!C8960</f>
        <v>990</v>
      </c>
      <c r="E8966" s="30" t="n">
        <f aca="false">Sens!E8960-Sens!D8960</f>
        <v>1620</v>
      </c>
      <c r="F8966" s="30" t="n">
        <f aca="false">Sens!F8960-Sens!E8960</f>
        <v>2726.5351</v>
      </c>
      <c r="G8966" s="30" t="n">
        <f aca="false">Sens!G8960-Sens!F8960</f>
        <v>2726.5351</v>
      </c>
      <c r="H8966" s="30" t="n">
        <f aca="false">Sens!H8960-Sens!G8960</f>
        <v>2726.5351</v>
      </c>
      <c r="I8966" s="30" t="n">
        <f aca="false">Sens!I8960-Sens!H8960</f>
        <v>1931.98611966667</v>
      </c>
      <c r="J8966" s="30" t="n">
        <f aca="false">Sens!J8960-Sens!I8960</f>
        <v>1176.07686172667</v>
      </c>
      <c r="K8966" s="30" t="n">
        <f aca="false">Sens!K8960-Sens!J8960</f>
        <v>436.130048441799</v>
      </c>
    </row>
    <row r="8967" customFormat="false" ht="17.15" hidden="false" customHeight="false" outlineLevel="0" collapsed="false">
      <c r="A8967" s="1" t="s">
        <v>964</v>
      </c>
      <c r="B8967" s="0" t="s">
        <v>459</v>
      </c>
      <c r="F8967" s="30" t="n">
        <f aca="false">Sens!F8986*ext_sh</f>
        <v>0</v>
      </c>
      <c r="G8967" s="30" t="n">
        <f aca="false">Sens!G8986*ext_sh</f>
        <v>0</v>
      </c>
      <c r="H8967" s="30" t="n">
        <f aca="false">Sens!H8986*ext_sh</f>
        <v>0</v>
      </c>
      <c r="I8967" s="30" t="n">
        <f aca="false">Sens!I8986*ext_sh</f>
        <v>490</v>
      </c>
      <c r="J8967" s="30" t="n">
        <f aca="false">Sens!J8986*ext_sh</f>
        <v>740</v>
      </c>
      <c r="K8967" s="30" t="n">
        <f aca="false">Sens!K8986*ext_sh</f>
        <v>1470</v>
      </c>
      <c r="L8967" s="1" t="s">
        <v>965</v>
      </c>
    </row>
    <row r="8968" customFormat="false" ht="17.15" hidden="false" customHeight="false" outlineLevel="0" collapsed="false">
      <c r="A8968" s="1" t="s">
        <v>966</v>
      </c>
      <c r="B8968" s="0" t="s">
        <v>459</v>
      </c>
      <c r="C8968" s="30" t="n">
        <f aca="false">mix_h*Sens!C8960</f>
        <v>128</v>
      </c>
      <c r="D8968" s="30" t="n">
        <f aca="false">mix_h*Sens!D8960</f>
        <v>326</v>
      </c>
      <c r="E8968" s="30" t="n">
        <f aca="false">mix_h*Sens!E8960</f>
        <v>650</v>
      </c>
      <c r="F8968" s="30" t="n">
        <f aca="false">Sens!E8968-Sens!F8967*mix_h</f>
        <v>650</v>
      </c>
      <c r="G8968" s="30" t="n">
        <f aca="false">Sens!F8968-Sens!G8967*mix_h</f>
        <v>650</v>
      </c>
      <c r="H8968" s="30" t="n">
        <f aca="false">Sens!G8968-Sens!H8967*mix_h</f>
        <v>650</v>
      </c>
      <c r="I8968" s="30" t="n">
        <f aca="false">Sens!H8968-Sens!I8967*mix_h</f>
        <v>552</v>
      </c>
      <c r="J8968" s="30" t="n">
        <f aca="false">Sens!I8968-Sens!J8967*mix_h</f>
        <v>404</v>
      </c>
      <c r="K8968" s="30" t="n">
        <f aca="false">Sens!J8968-Sens!K8967*mix_h</f>
        <v>110</v>
      </c>
    </row>
    <row r="8969" customFormat="false" ht="17.15" hidden="false" customHeight="false" outlineLevel="0" collapsed="false">
      <c r="A8969" s="1" t="s">
        <v>967</v>
      </c>
      <c r="B8969" s="0" t="s">
        <v>459</v>
      </c>
      <c r="C8969" s="30" t="n">
        <f aca="false">mix_g2*Sens!C8960</f>
        <v>288</v>
      </c>
      <c r="D8969" s="30" t="n">
        <f aca="false">mix_g2*Sens!D8960</f>
        <v>733.5</v>
      </c>
      <c r="E8969" s="30" t="n">
        <f aca="false">mix_g2*Sens!E8960</f>
        <v>1462.5</v>
      </c>
      <c r="F8969" s="30" t="n">
        <f aca="false">Sens!E8969-Sens!F8967*mix_g2</f>
        <v>1462.5</v>
      </c>
      <c r="G8969" s="30" t="n">
        <f aca="false">Sens!F8969-Sens!G8967*mix_g2</f>
        <v>1462.5</v>
      </c>
      <c r="H8969" s="30" t="n">
        <f aca="false">Sens!G8969-Sens!H8967*mix_g2</f>
        <v>1462.5</v>
      </c>
      <c r="I8969" s="30" t="n">
        <f aca="false">Sens!H8969-Sens!I8967*mix_g2</f>
        <v>1242</v>
      </c>
      <c r="J8969" s="30" t="n">
        <f aca="false">Sens!I8969-Sens!J8967*mix_g2</f>
        <v>909</v>
      </c>
      <c r="K8969" s="30" t="n">
        <f aca="false">Sens!J8969-Sens!K8967*mix_g2</f>
        <v>247.5</v>
      </c>
    </row>
    <row r="8970" customFormat="false" ht="17.15" hidden="false" customHeight="false" outlineLevel="0" collapsed="false">
      <c r="A8970" s="1" t="s">
        <v>968</v>
      </c>
      <c r="B8970" s="0" t="s">
        <v>459</v>
      </c>
      <c r="C8970" s="30" t="n">
        <f aca="false">mix_g3*Sens!C8960</f>
        <v>224</v>
      </c>
      <c r="D8970" s="30" t="n">
        <f aca="false">mix_g3*Sens!D8960</f>
        <v>570.5</v>
      </c>
      <c r="E8970" s="30" t="n">
        <f aca="false">mix_g3*Sens!E8960</f>
        <v>1137.5</v>
      </c>
      <c r="F8970" s="30" t="n">
        <f aca="false">Sens!E8970+(Sens!F8966+Sens!F8967)*(a_g3_27-nonnv*a_mai)-Sens!F8967*mix_g3</f>
        <v>2773.42106</v>
      </c>
      <c r="G8970" s="30" t="n">
        <f aca="false">Sens!F8970+(Sens!G8966+Sens!G8967)*(a_g3_28-nonnv*a_mai)-Sens!G8967*mix_g3</f>
        <v>3318.72808</v>
      </c>
      <c r="H8970" s="30" t="n">
        <f aca="false">Sens!G8970+(Sens!H8966+Sens!H8967)*(a_g3_29-nonnv*a_mai)-Sens!H8967*mix_g3</f>
        <v>3318.72808</v>
      </c>
      <c r="I8970" s="30" t="n">
        <f aca="false">Sens!H8970+(Sens!I8966+Sens!I8967)*(a_g3_29-nonnv*a_mai)-Sens!I8967*mix_g3</f>
        <v>3147.22808</v>
      </c>
      <c r="J8970" s="30" t="n">
        <f aca="false">Sens!I8970+(Sens!J8966+Sens!J8967)*(a_g3_29-nonnv*a_mai)-Sens!J8967*mix_g3</f>
        <v>2888.22808</v>
      </c>
      <c r="K8970" s="30" t="n">
        <f aca="false">Sens!J8970+(Sens!K8966+Sens!K8967)*(a_g3_29-nonnv*a_mai)-Sens!K8967*mix_g3</f>
        <v>2373.72808</v>
      </c>
    </row>
    <row r="8971" customFormat="false" ht="17.15" hidden="false" customHeight="false" outlineLevel="0" collapsed="false">
      <c r="A8971" s="1" t="s">
        <v>969</v>
      </c>
      <c r="B8971" s="0" t="s">
        <v>459</v>
      </c>
      <c r="C8971" s="30" t="n">
        <v>0</v>
      </c>
      <c r="D8971" s="30" t="n">
        <v>0</v>
      </c>
      <c r="E8971" s="30" t="n">
        <v>0</v>
      </c>
      <c r="F8971" s="30" t="n">
        <f aca="false">Sens!E8971+(Sens!F8966+Sens!F8967)*nonnv*a_mai</f>
        <v>272.65351</v>
      </c>
      <c r="G8971" s="30" t="n">
        <f aca="false">Sens!F8971+(Sens!G8966+Sens!G8967)*nonnv*a_mai</f>
        <v>545.30702</v>
      </c>
      <c r="H8971" s="30" t="n">
        <f aca="false">Sens!G8971+(Sens!H8966+Sens!H8967)*nonnv*a_mai</f>
        <v>817.96053</v>
      </c>
      <c r="I8971" s="30" t="n">
        <f aca="false">Sens!H8971+(Sens!I8966+Sens!I8967)*nonnv*a_mai</f>
        <v>1060.15914196667</v>
      </c>
      <c r="J8971" s="30" t="n">
        <f aca="false">Sens!I8971+(Sens!J8966+Sens!J8967)*nonnv*a_mai</f>
        <v>1251.76682813933</v>
      </c>
      <c r="K8971" s="30" t="n">
        <f aca="false">Sens!J8971+(Sens!K8966+Sens!K8967)*nonnv*a_mai</f>
        <v>1442.37983298351</v>
      </c>
      <c r="L8971" s="12" t="s">
        <v>970</v>
      </c>
    </row>
    <row r="8972" customFormat="false" ht="17.15" hidden="false" customHeight="false" outlineLevel="0" collapsed="false">
      <c r="A8972" s="1" t="s">
        <v>971</v>
      </c>
      <c r="B8972" s="0" t="s">
        <v>459</v>
      </c>
      <c r="C8972" s="30" t="n">
        <v>0</v>
      </c>
      <c r="D8972" s="30" t="n">
        <v>0</v>
      </c>
      <c r="E8972" s="30" t="n">
        <v>0</v>
      </c>
      <c r="F8972" s="30" t="n">
        <f aca="false">Sens!E8972+(Sens!F8966+Sens!F8967)*(1-a_g3_27)</f>
        <v>817.96053</v>
      </c>
      <c r="G8972" s="30" t="n">
        <f aca="false">Sens!F8972+(Sens!G8966+Sens!G8967)*(1-a_g3_28)</f>
        <v>2726.5351</v>
      </c>
      <c r="H8972" s="30" t="n">
        <f aca="false">Sens!G8972+(Sens!H8966+Sens!H8967)*(1-a_g3_29)</f>
        <v>5180.41669</v>
      </c>
      <c r="I8972" s="30" t="n">
        <f aca="false">Sens!H8972+(Sens!I8966+Sens!I8967)*(1-a_g3_29)</f>
        <v>7360.2041977</v>
      </c>
      <c r="J8972" s="30" t="n">
        <f aca="false">Sens!I8972+(Sens!J8966+Sens!J8967)*(1-a_g3_29)</f>
        <v>9084.673373254</v>
      </c>
      <c r="K8972" s="30" t="n">
        <f aca="false">Sens!J8972+(Sens!K8966+Sens!K8967)*(1-a_g3_29)</f>
        <v>10800.1904168516</v>
      </c>
    </row>
    <row r="8973" customFormat="false" ht="17.15" hidden="false" customHeight="false" outlineLevel="0" collapsed="false">
      <c r="A8973" s="1" t="s">
        <v>972</v>
      </c>
      <c r="B8973" s="0" t="s">
        <v>403</v>
      </c>
      <c r="C8973" s="15" t="n">
        <f aca="false">(Sens!C8968*tk_hold_h100+Sens!C8969*tk_hold_gb200+Sens!C8970*tk_hold_gb300+Sens!C8972*tk_hold_vr200+Sens!C8971*nv_hold_mai*tk_hold_vr200)/Sens!C8960</f>
        <v>9.7235358126469</v>
      </c>
      <c r="D8973" s="15" t="n">
        <f aca="false">(Sens!D8968*tk_hold_h100+Sens!D8969*tk_hold_gb200+Sens!D8970*tk_hold_gb300+Sens!D8972*tk_hold_vr200+Sens!D8971*nv_hold_mai*tk_hold_vr200)/Sens!D8960</f>
        <v>9.7235358126469</v>
      </c>
      <c r="E8973" s="15" t="n">
        <f aca="false">(Sens!E8968*tk_hold_h100+Sens!E8969*tk_hold_gb200+Sens!E8970*tk_hold_gb300+Sens!E8972*tk_hold_vr200+Sens!E8971*nv_hold_mai*tk_hold_vr200)/Sens!E8960</f>
        <v>9.7235358126469</v>
      </c>
      <c r="F8973" s="15" t="n">
        <f aca="false">(Sens!F8968*tk_hold_h100+Sens!F8969*tk_hold_gb200+Sens!F8970*tk_hold_gb300+Sens!F8972*tk_hold_vr200+Sens!F8971*nv_hold_mai*tk_hold_vr200)/Sens!F8960</f>
        <v>10.2195353876665</v>
      </c>
      <c r="G8973" s="15" t="n">
        <f aca="false">(Sens!G8968*tk_hold_h100+Sens!G8969*tk_hold_gb200+Sens!G8970*tk_hold_gb300+Sens!G8972*tk_hold_vr200+Sens!G8971*nv_hold_mai*tk_hold_vr200)/Sens!G8960</f>
        <v>10.5725598017306</v>
      </c>
      <c r="H8973" s="15" t="n">
        <f aca="false">(Sens!H8968*tk_hold_h100+Sens!H8969*tk_hold_gb200+Sens!H8970*tk_hold_gb300+Sens!H8972*tk_hold_vr200+Sens!H8971*nv_hold_mai*tk_hold_vr200)/Sens!H8960</f>
        <v>10.8210427149036</v>
      </c>
      <c r="I8973" s="15" t="n">
        <f aca="false">(Sens!I8968*tk_hold_h100+Sens!I8969*tk_hold_gb200+Sens!I8970*tk_hold_gb300+Sens!I8972*tk_hold_vr200+Sens!I8971*nv_hold_mai*tk_hold_vr200)/Sens!I8960</f>
        <v>11.0050618241982</v>
      </c>
      <c r="J8973" s="15" t="n">
        <f aca="false">(Sens!J8968*tk_hold_h100+Sens!J8969*tk_hold_gb200+Sens!J8970*tk_hold_gb300+Sens!J8972*tk_hold_vr200+Sens!J8971*nv_hold_mai*tk_hold_vr200)/Sens!J8960</f>
        <v>11.1505789658881</v>
      </c>
      <c r="K8973" s="15" t="n">
        <f aca="false">(Sens!K8968*tk_hold_h100+Sens!K8969*tk_hold_gb200+Sens!K8970*tk_hold_gb300+Sens!K8972*tk_hold_vr200+Sens!K8971*nv_hold_mai*tk_hold_vr200)/Sens!K8960</f>
        <v>11.3496914757183</v>
      </c>
      <c r="L8973" s="1" t="s">
        <v>973</v>
      </c>
    </row>
    <row r="8974" customFormat="false" ht="17.15" hidden="false" customHeight="false" outlineLevel="0" collapsed="false">
      <c r="A8974" s="1" t="s">
        <v>974</v>
      </c>
      <c r="B8974" s="0" t="s">
        <v>403</v>
      </c>
      <c r="C8974" s="15" t="n">
        <f aca="false">(Sens!C8968*tk_hold_h100+Sens!C8969*tk_hold_gb200+Sens!C8970*tk_hold_gb300+Sens!C8972*tk_hold_vr200+Sens!C8971*nv_out_mai*tk_hold_vr200)/Sens!C8960</f>
        <v>9.7235358126469</v>
      </c>
      <c r="D8974" s="15" t="n">
        <f aca="false">(Sens!D8968*tk_hold_h100+Sens!D8969*tk_hold_gb200+Sens!D8970*tk_hold_gb300+Sens!D8972*tk_hold_vr200+Sens!D8971*nv_out_mai*tk_hold_vr200)/Sens!D8960</f>
        <v>9.7235358126469</v>
      </c>
      <c r="E8974" s="15" t="n">
        <f aca="false">(Sens!E8968*tk_hold_h100+Sens!E8969*tk_hold_gb200+Sens!E8970*tk_hold_gb300+Sens!E8972*tk_hold_vr200+Sens!E8971*nv_out_mai*tk_hold_vr200)/Sens!E8960</f>
        <v>9.7235358126469</v>
      </c>
      <c r="F8974" s="15" t="n">
        <f aca="false">(Sens!F8968*tk_hold_h100+Sens!F8969*tk_hold_gb200+Sens!F8970*tk_hold_gb300+Sens!F8972*tk_hold_vr200+Sens!F8971*nv_out_mai*tk_hold_vr200)/Sens!F8960</f>
        <v>10.247422093969</v>
      </c>
      <c r="G8974" s="15" t="n">
        <f aca="false">(Sens!G8968*tk_hold_h100+Sens!G8969*tk_hold_gb200+Sens!G8970*tk_hold_gb300+Sens!G8972*tk_hold_vr200+Sens!G8971*nv_out_mai*tk_hold_vr200)/Sens!G8960</f>
        <v>10.6108602808053</v>
      </c>
      <c r="H8974" s="15" t="n">
        <f aca="false">(Sens!H8968*tk_hold_h100+Sens!H8969*tk_hold_gb200+Sens!H8970*tk_hold_gb300+Sens!H8972*tk_hold_vr200+Sens!H8971*nv_out_mai*tk_hold_vr200)/Sens!H8960</f>
        <v>10.8647885507393</v>
      </c>
      <c r="I8974" s="15" t="n">
        <f aca="false">(Sens!I8968*tk_hold_h100+Sens!I8969*tk_hold_gb200+Sens!I8970*tk_hold_gb300+Sens!I8972*tk_hold_vr200+Sens!I8971*nv_out_mai*tk_hold_vr200)/Sens!I8960</f>
        <v>11.0535625770025</v>
      </c>
      <c r="J8974" s="15" t="n">
        <f aca="false">(Sens!J8968*tk_hold_h100+Sens!J8969*tk_hold_gb200+Sens!J8970*tk_hold_gb300+Sens!J8972*tk_hold_vr200+Sens!J8971*nv_out_mai*tk_hold_vr200)/Sens!J8960</f>
        <v>11.2032127128058</v>
      </c>
      <c r="K8974" s="15" t="n">
        <f aca="false">(Sens!K8968*tk_hold_h100+Sens!K8969*tk_hold_gb200+Sens!K8970*tk_hold_gb300+Sens!K8972*tk_hold_vr200+Sens!K8971*nv_out_mai*tk_hold_vr200)/Sens!K8960</f>
        <v>11.4085735724225</v>
      </c>
      <c r="L8974" s="12" t="s">
        <v>975</v>
      </c>
    </row>
    <row r="8975" customFormat="false" ht="17.15" hidden="false" customHeight="false" outlineLevel="0" collapsed="false">
      <c r="A8975" s="0" t="s">
        <v>976</v>
      </c>
      <c r="B8975" s="0" t="s">
        <v>229</v>
      </c>
      <c r="C8975" s="15" t="n">
        <f aca="false">k_B</f>
        <v>1.17213932619116</v>
      </c>
      <c r="D8975" s="15" t="n">
        <f aca="false">k_B</f>
        <v>1.17213932619116</v>
      </c>
      <c r="E8975" s="15" t="n">
        <f aca="false">k_B</f>
        <v>1.17213932619116</v>
      </c>
      <c r="F8975" s="15" t="n">
        <f aca="false">(k_B+((ls_C*k_long+(1-ls_C)*k_spot)-k_B)*MIN(1,(Sens!F8958-base_fy)/k_ramp))</f>
        <v>1.07843258004497</v>
      </c>
      <c r="G8975" s="15" t="n">
        <f aca="false">(k_B+((ls_C*k_long+(1-ls_C)*k_spot)-k_B)*MIN(1,(Sens!G8958-base_fy)/k_ramp))</f>
        <v>0.984725833898784</v>
      </c>
      <c r="H8975" s="15" t="n">
        <f aca="false">(k_B+((ls_C*k_long+(1-ls_C)*k_spot)-k_B)*MIN(1,(Sens!H8958-base_fy)/k_ramp))</f>
        <v>0.891019087752599</v>
      </c>
      <c r="I8975" s="15" t="n">
        <f aca="false">(k_B+((ls_C*k_long+(1-ls_C)*k_spot)-k_B)*MIN(1,(Sens!I8958-base_fy)/k_ramp))</f>
        <v>0.891019087752599</v>
      </c>
      <c r="J8975" s="15" t="n">
        <f aca="false">(k_B+((ls_C*k_long+(1-ls_C)*k_spot)-k_B)*MIN(1,(Sens!J8958-base_fy)/k_ramp))</f>
        <v>0.891019087752599</v>
      </c>
      <c r="K8975" s="15" t="n">
        <f aca="false">(k_B+((ls_C*k_long+(1-ls_C)*k_spot)-k_B)*MIN(1,(Sens!K8958-base_fy)/k_ramp))</f>
        <v>0.891019087752599</v>
      </c>
      <c r="L8975" s="1" t="s">
        <v>977</v>
      </c>
    </row>
    <row r="8976" customFormat="false" ht="17.15" hidden="false" customHeight="false" outlineLevel="0" collapsed="false">
      <c r="A8976" s="1" t="s">
        <v>978</v>
      </c>
      <c r="B8976" s="0" t="s">
        <v>403</v>
      </c>
      <c r="C8976" s="15" t="n">
        <f aca="false">Sens!C8974*Sens!C8975*chip_f</f>
        <v>11.3973387156315</v>
      </c>
      <c r="D8976" s="15" t="n">
        <f aca="false">Sens!D8974*Sens!D8975*chip_f</f>
        <v>11.3973387156315</v>
      </c>
      <c r="E8976" s="15" t="n">
        <f aca="false">Sens!E8974*Sens!E8975*chip_f</f>
        <v>11.3973387156315</v>
      </c>
      <c r="F8976" s="15" t="n">
        <f aca="false">Sens!F8974*Sens!F8975*chip_f</f>
        <v>11.0511538476088</v>
      </c>
      <c r="G8976" s="15" t="n">
        <f aca="false">Sens!G8974*Sens!G8975*chip_f</f>
        <v>10.4487882383995</v>
      </c>
      <c r="H8976" s="15" t="n">
        <f aca="false">Sens!H8974*Sens!H8975*chip_f</f>
        <v>9.68073398310464</v>
      </c>
      <c r="I8976" s="15" t="n">
        <f aca="false">Sens!I8974*Sens!I8975*chip_f</f>
        <v>9.84893524377706</v>
      </c>
      <c r="J8976" s="15" t="n">
        <f aca="false">Sens!J8974*Sens!J8975*chip_f</f>
        <v>9.98227637126252</v>
      </c>
      <c r="K8976" s="15" t="n">
        <f aca="false">Sens!K8974*Sens!K8975*chip_f</f>
        <v>10.1652568170583</v>
      </c>
      <c r="L8976" s="1" t="s">
        <v>979</v>
      </c>
    </row>
    <row r="8977" customFormat="false" ht="17.15" hidden="false" customHeight="false" outlineLevel="0" collapsed="false">
      <c r="A8977" s="0" t="s">
        <v>980</v>
      </c>
      <c r="B8977" s="0" t="s">
        <v>98</v>
      </c>
      <c r="D8977" s="6" t="n">
        <f aca="false">(Sens!C8960+Sens!D8960)/2*Sens!D8976/1000</f>
        <v>12.9359794422418</v>
      </c>
      <c r="E8977" s="6" t="n">
        <f aca="false">(Sens!D8960+Sens!E8960)/2*Sens!E8976/1000</f>
        <v>27.8095064661409</v>
      </c>
      <c r="F8977" s="6" t="n">
        <f aca="false">(Sens!E8960+Sens!F8960)/2*Sens!F8976/1000</f>
        <v>50.9819294352312</v>
      </c>
      <c r="G8977" s="6" t="n">
        <f aca="false">(Sens!F8960+Sens!G8960)/2*Sens!G8976/1000</f>
        <v>76.6920436014933</v>
      </c>
      <c r="H8977" s="6" t="n">
        <f aca="false">(Sens!G8960+Sens!H8960)/2*Sens!H8976/1000</f>
        <v>97.4495379418341</v>
      </c>
      <c r="I8977" s="6" t="n">
        <f aca="false">(Sens!H8960+Sens!I8960)/2*Sens!I8976/1000</f>
        <v>122.083445553868</v>
      </c>
      <c r="J8977" s="6" t="n">
        <f aca="false">(Sens!I8960+Sens!J8960)/2*Sens!J8976/1000</f>
        <v>139.249060444804</v>
      </c>
      <c r="K8977" s="6" t="n">
        <f aca="false">(Sens!J8960+Sens!K8960)/2*Sens!K8976/1000</f>
        <v>149.995818575589</v>
      </c>
      <c r="L8977" s="12" t="s">
        <v>981</v>
      </c>
    </row>
    <row r="8978" customFormat="false" ht="17.15" hidden="false" customHeight="false" outlineLevel="0" collapsed="false">
      <c r="A8978" s="1" t="s">
        <v>982</v>
      </c>
      <c r="B8978" s="0" t="s">
        <v>403</v>
      </c>
      <c r="C8978" s="15" t="n">
        <f aca="false">(Sens!C8968*tk_opex_h100+Sens!C8969*tk_opex_gb200+Sens!C8970*tk_opex_gb300+(Sens!C8972+Sens!C8971)*tk_opex_vr200)/Sens!C8960</f>
        <v>1.88636041306092</v>
      </c>
      <c r="D8978" s="15" t="n">
        <f aca="false">(Sens!D8968*tk_opex_h100+Sens!D8969*tk_opex_gb200+Sens!D8970*tk_opex_gb300+(Sens!D8972+Sens!D8971)*tk_opex_vr200)/Sens!D8960</f>
        <v>1.88636041306092</v>
      </c>
      <c r="E8978" s="15" t="n">
        <f aca="false">(Sens!E8968*tk_opex_h100+Sens!E8969*tk_opex_gb200+Sens!E8970*tk_opex_gb300+(Sens!E8972+Sens!E8971)*tk_opex_vr200)/Sens!E8960</f>
        <v>1.88636041306092</v>
      </c>
      <c r="F8978" s="15" t="n">
        <f aca="false">(Sens!F8968*tk_opex_h100+Sens!F8969*tk_opex_gb200+Sens!F8970*tk_opex_gb300+(Sens!F8972+Sens!F8971)*tk_opex_vr200)/Sens!F8960</f>
        <v>1.95051159746876</v>
      </c>
      <c r="G8978" s="15" t="n">
        <f aca="false">(Sens!G8968*tk_opex_h100+Sens!G8969*tk_opex_gb200+Sens!G8970*tk_opex_gb300+(Sens!G8972+Sens!G8971)*tk_opex_vr200)/Sens!G8960</f>
        <v>1.98836003669956</v>
      </c>
      <c r="H8978" s="15" t="n">
        <f aca="false">(Sens!H8968*tk_opex_h100+Sens!H8969*tk_opex_gb200+Sens!H8970*tk_opex_gb300+(Sens!H8972+Sens!H8971)*tk_opex_vr200)/Sens!H8960</f>
        <v>2.01344013834343</v>
      </c>
      <c r="I8978" s="15" t="n">
        <f aca="false">(Sens!I8968*tk_opex_h100+Sens!I8969*tk_opex_gb200+Sens!I8970*tk_opex_gb300+(Sens!I8972+Sens!I8971)*tk_opex_vr200)/Sens!I8960</f>
        <v>2.03261166882178</v>
      </c>
      <c r="J8978" s="15" t="n">
        <f aca="false">(Sens!J8968*tk_opex_h100+Sens!J8969*tk_opex_gb200+Sens!J8970*tk_opex_gb300+(Sens!J8972+Sens!J8971)*tk_opex_vr200)/Sens!J8960</f>
        <v>2.04808073288745</v>
      </c>
      <c r="K8978" s="15" t="n">
        <f aca="false">(Sens!K8968*tk_opex_h100+Sens!K8969*tk_opex_gb200+Sens!K8970*tk_opex_gb300+(Sens!K8972+Sens!K8971)*tk_opex_vr200)/Sens!K8960</f>
        <v>2.06973825807449</v>
      </c>
      <c r="L8978" s="12" t="s">
        <v>983</v>
      </c>
    </row>
    <row r="8979" customFormat="false" ht="17.15" hidden="false" customHeight="false" outlineLevel="0" collapsed="false">
      <c r="A8979" s="0" t="s">
        <v>984</v>
      </c>
      <c r="B8979" s="0" t="s">
        <v>98</v>
      </c>
      <c r="D8979" s="6" t="n">
        <f aca="false">(Sens!C8963+Sens!D8963)/2*Sens!D8978/1000</f>
        <v>2.70378325872065</v>
      </c>
      <c r="E8979" s="6" t="n">
        <f aca="false">(Sens!D8963+Sens!E8963)/2*Sens!E8978/1000</f>
        <v>6.17783035277451</v>
      </c>
      <c r="F8979" s="6" t="n">
        <f aca="false">(Sens!E8963+Sens!F8963)/2*Sens!F8978/1000</f>
        <v>12.8742463089237</v>
      </c>
      <c r="G8979" s="6" t="n">
        <f aca="false">(Sens!F8963+Sens!G8963)/2*Sens!G8978/1000</f>
        <v>21.8182834646277</v>
      </c>
      <c r="H8979" s="6" t="n">
        <f aca="false">(Sens!G8963+Sens!H8963)/2*Sens!H8978/1000</f>
        <v>31.2430128789734</v>
      </c>
      <c r="I8979" s="6" t="n">
        <f aca="false">(Sens!H8963+Sens!I8963)/2*Sens!I8978/1000</f>
        <v>39.4313057443268</v>
      </c>
      <c r="J8979" s="6" t="n">
        <f aca="false">(Sens!I8963+Sens!J8963)/2*Sens!J8978/1000</f>
        <v>45.0360318228653</v>
      </c>
      <c r="K8979" s="6" t="n">
        <f aca="false">(Sens!J8963+Sens!K8963)/2*Sens!K8978/1000</f>
        <v>48.2929727091156</v>
      </c>
    </row>
    <row r="8980" customFormat="false" ht="17.15" hidden="false" customHeight="false" outlineLevel="0" collapsed="false">
      <c r="A8980" s="0" t="s">
        <v>985</v>
      </c>
      <c r="B8980" s="0" t="s">
        <v>98</v>
      </c>
      <c r="D8980" s="6" t="n">
        <f aca="false">(Sens!C8961+Sens!D8961)/2*rent_mw/1000</f>
        <v>2.44475</v>
      </c>
      <c r="E8980" s="6" t="n">
        <f aca="false">(Sens!D8961+Sens!E8961)/2*rent_mw/1000</f>
        <v>4.22275</v>
      </c>
      <c r="F8980" s="6" t="n">
        <f aca="false">(Sens!E8961+Sens!F8961)/2*rent_mw/1000</f>
        <v>5.80517</v>
      </c>
      <c r="G8980" s="6" t="n">
        <f aca="false">(Sens!F8961+Sens!G8961)/2*rent_mw/1000</f>
        <v>6.72084</v>
      </c>
      <c r="H8980" s="6" t="n">
        <f aca="false">(Sens!G8961+Sens!H8961)/2*rent_mw/1000</f>
        <v>6.72084</v>
      </c>
      <c r="I8980" s="6" t="n">
        <f aca="false">(Sens!H8961+Sens!I8961)/2*rent_mw/1000</f>
        <v>6.72084</v>
      </c>
      <c r="J8980" s="6" t="n">
        <f aca="false">(Sens!I8961+Sens!J8961)/2*rent_mw/1000</f>
        <v>6.72084</v>
      </c>
      <c r="K8980" s="6" t="n">
        <f aca="false">(Sens!J8961+Sens!K8961)/2*rent_mw/1000</f>
        <v>6.72084</v>
      </c>
    </row>
    <row r="8981" customFormat="false" ht="17.15" hidden="false" customHeight="false" outlineLevel="0" collapsed="false">
      <c r="A8981" s="0" t="s">
        <v>986</v>
      </c>
      <c r="B8981" s="0" t="s">
        <v>98</v>
      </c>
      <c r="D8981" s="6" t="n">
        <f aca="false">(Sens!C8963+Sens!D8963)/2*(1-self_build)*fac_rent/1000</f>
        <v>0.853242375631075</v>
      </c>
      <c r="E8981" s="6" t="n">
        <f aca="false">(Sens!D8963+Sens!E8963)/2*(1-self_build)*fac_rent/1000</f>
        <v>1.94955961408728</v>
      </c>
      <c r="F8981" s="6" t="n">
        <f aca="false">(Sens!E8963+Sens!F8963)/2*(1-self_build)*fac_rent/1000</f>
        <v>3.92914894476356</v>
      </c>
      <c r="G8981" s="6" t="n">
        <f aca="false">(Sens!F8963+Sens!G8963)/2*(1-self_build)*fac_rent/1000</f>
        <v>6.53206908578159</v>
      </c>
      <c r="H8981" s="6" t="n">
        <f aca="false">(Sens!G8963+Sens!H8963)/2*(1-self_build)*fac_rent/1000</f>
        <v>9.23717988341591</v>
      </c>
      <c r="I8981" s="6" t="n">
        <f aca="false">(Sens!H8963+Sens!I8963)/2*(1-self_build)*fac_rent/1000</f>
        <v>11.5481378557393</v>
      </c>
      <c r="J8981" s="6" t="n">
        <f aca="false">(Sens!I8963+Sens!J8963)/2*(1-self_build)*fac_rent/1000</f>
        <v>13.0899582289108</v>
      </c>
      <c r="K8981" s="6" t="n">
        <f aca="false">(Sens!J8963+Sens!K8963)/2*(1-self_build)*fac_rent/1000</f>
        <v>13.8897275626556</v>
      </c>
      <c r="L8981" s="12" t="s">
        <v>987</v>
      </c>
    </row>
    <row r="8982" customFormat="false" ht="17.15" hidden="false" customHeight="false" outlineLevel="0" collapsed="false">
      <c r="A8982" s="1" t="s">
        <v>988</v>
      </c>
      <c r="B8982" s="0" t="s">
        <v>168</v>
      </c>
      <c r="D8982" s="7" t="n">
        <f aca="false">(Sens!C8962+Sens!D8962)/(Sens!C8963+Sens!D8963)</f>
        <v>0.6</v>
      </c>
      <c r="E8982" s="7" t="n">
        <f aca="false">(Sens!D8962+Sens!E8962)/(Sens!D8963+Sens!E8963)</f>
        <v>0.6</v>
      </c>
      <c r="F8982" s="7" t="n">
        <f aca="false">(Sens!E8962+Sens!F8962)/(Sens!E8963+Sens!F8963)</f>
        <v>0.6</v>
      </c>
      <c r="G8982" s="7" t="n">
        <f aca="false">(Sens!F8962+Sens!G8962)/(Sens!F8963+Sens!G8963)</f>
        <v>0.6</v>
      </c>
      <c r="H8982" s="7" t="n">
        <f aca="false">(Sens!G8962+Sens!H8962)/(Sens!G8963+Sens!H8963)</f>
        <v>0.6</v>
      </c>
      <c r="I8982" s="7" t="n">
        <f aca="false">(Sens!H8962+Sens!I8962)/(Sens!H8963+Sens!I8963)</f>
        <v>0.6</v>
      </c>
      <c r="J8982" s="7" t="n">
        <f aca="false">(Sens!I8962+Sens!J8962)/(Sens!I8963+Sens!J8963)</f>
        <v>0.6</v>
      </c>
      <c r="K8982" s="7" t="n">
        <f aca="false">(Sens!J8962+Sens!K8962)/(Sens!J8963+Sens!K8963)</f>
        <v>0.6</v>
      </c>
    </row>
    <row r="8983" customFormat="false" ht="17.15" hidden="false" customHeight="false" outlineLevel="0" collapsed="false">
      <c r="A8983" s="0" t="s">
        <v>989</v>
      </c>
      <c r="B8983" s="0" t="s">
        <v>98</v>
      </c>
      <c r="D8983" s="6" t="n">
        <f aca="false">Sens!D8977-Sens!D8982*(Sens!D8979+Sens!D8981)-Sens!D8980</f>
        <v>8.35701406163072</v>
      </c>
      <c r="E8983" s="6" t="n">
        <f aca="false">Sens!E8977-Sens!E8982*(Sens!E8979+Sens!E8981)-Sens!E8980</f>
        <v>18.7103224860238</v>
      </c>
      <c r="F8983" s="6" t="n">
        <f aca="false">Sens!F8977-Sens!F8982*(Sens!F8979+Sens!F8981)-Sens!F8980</f>
        <v>35.0947222830189</v>
      </c>
      <c r="G8983" s="6" t="n">
        <f aca="false">Sens!G8977-Sens!G8982*(Sens!G8979+Sens!G8981)-Sens!G8980</f>
        <v>52.9609920712477</v>
      </c>
      <c r="H8983" s="6" t="n">
        <f aca="false">Sens!H8977-Sens!H8982*(Sens!H8979+Sens!H8981)-Sens!H8980</f>
        <v>66.4405822844005</v>
      </c>
      <c r="I8983" s="6" t="n">
        <f aca="false">Sens!I8977-Sens!I8982*(Sens!I8979+Sens!I8981)-Sens!I8980</f>
        <v>84.7749393938279</v>
      </c>
      <c r="J8983" s="6" t="n">
        <f aca="false">Sens!J8977-Sens!J8982*(Sens!J8979+Sens!J8981)-Sens!J8980</f>
        <v>97.6526264137382</v>
      </c>
      <c r="K8983" s="6" t="n">
        <f aca="false">Sens!K8977-Sens!K8982*(Sens!K8979+Sens!K8981)-Sens!K8980</f>
        <v>105.965358412527</v>
      </c>
    </row>
    <row r="8984" customFormat="false" ht="17.15" hidden="false" customHeight="false" outlineLevel="0" collapsed="false">
      <c r="A8984" s="1" t="s">
        <v>990</v>
      </c>
      <c r="B8984" s="0" t="s">
        <v>98</v>
      </c>
      <c r="D8984" s="6" t="n">
        <f aca="false">(1-Sens!D8982)*(Sens!D8979+Sens!D8981)</f>
        <v>1.42281025374069</v>
      </c>
      <c r="E8984" s="6" t="n">
        <f aca="false">(1-Sens!E8982)*(Sens!E8979+Sens!E8981)</f>
        <v>3.25095598674472</v>
      </c>
      <c r="F8984" s="6" t="n">
        <f aca="false">(1-Sens!F8982)*(Sens!F8979+Sens!F8981)</f>
        <v>6.72135810147489</v>
      </c>
      <c r="G8984" s="6" t="n">
        <f aca="false">(1-Sens!G8982)*(Sens!G8979+Sens!G8981)</f>
        <v>11.3401410201637</v>
      </c>
      <c r="H8984" s="6" t="n">
        <f aca="false">(1-Sens!H8982)*(Sens!H8979+Sens!H8981)</f>
        <v>16.1920771049557</v>
      </c>
      <c r="I8984" s="6" t="n">
        <f aca="false">(1-Sens!I8982)*(Sens!I8979+Sens!I8981)</f>
        <v>20.3917774400264</v>
      </c>
      <c r="J8984" s="6" t="n">
        <f aca="false">(1-Sens!J8982)*(Sens!J8979+Sens!J8981)</f>
        <v>23.2503960207104</v>
      </c>
      <c r="K8984" s="6" t="n">
        <f aca="false">(1-Sens!K8982)*(Sens!K8979+Sens!K8981)</f>
        <v>24.8730801087085</v>
      </c>
    </row>
    <row r="8985" customFormat="false" ht="17.15" hidden="false" customHeight="false" outlineLevel="0" collapsed="false">
      <c r="A8985" s="1" t="s">
        <v>991</v>
      </c>
      <c r="B8985" s="0" t="s">
        <v>417</v>
      </c>
      <c r="C8985" s="8" t="n">
        <f aca="false">cxit_open</f>
        <v>27.5918995</v>
      </c>
      <c r="D8985" s="8" t="n">
        <f aca="false">cxit_open</f>
        <v>27.5918995</v>
      </c>
      <c r="E8985" s="8" t="n">
        <f aca="false">cxit_open</f>
        <v>27.5918995</v>
      </c>
      <c r="F8985" s="8" t="n">
        <f aca="false">((a_g3_27-nonnv*a_mai)*tk_cxit_gb300+nonnv*a_mai*nv_hold_mai*tk_cxit_vr200+(1-a_g3_27)*tk_cxit_vr200)</f>
        <v>32.4975576</v>
      </c>
      <c r="G8985" s="8" t="n">
        <f aca="false">((a_g3_28-nonnv*a_mai)*tk_cxit_gb300+nonnv*a_mai*nv_hold_mai*tk_cxit_vr200+(1-a_g3_28)*tk_cxit_vr200)</f>
        <v>34.6372088</v>
      </c>
      <c r="H8985" s="8" t="n">
        <f aca="false">((a_g3_29-nonnv*a_mai)*tk_cxit_gb300+nonnv*a_mai*nv_hold_mai*tk_cxit_vr200+(1-a_g3_29)*tk_cxit_vr200)</f>
        <v>35.7070344</v>
      </c>
      <c r="I8985" s="8" t="n">
        <f aca="false">((a_g3_29-nonnv*a_mai)*tk_cxit_gb300+nonnv*a_mai*nv_hold_mai*tk_cxit_vr200+(1-a_g3_29)*tk_cxit_vr200)</f>
        <v>35.7070344</v>
      </c>
      <c r="J8985" s="8" t="n">
        <f aca="false">((a_g3_29-nonnv*a_mai)*tk_cxit_gb300+nonnv*a_mai*nv_hold_mai*tk_cxit_vr200+(1-a_g3_29)*tk_cxit_vr200)</f>
        <v>35.7070344</v>
      </c>
      <c r="K8985" s="8" t="n">
        <f aca="false">((a_g3_29-nonnv*a_mai)*tk_cxit_gb300+nonnv*a_mai*nv_hold_mai*tk_cxit_vr200+(1-a_g3_29)*tk_cxit_vr200)</f>
        <v>35.7070344</v>
      </c>
      <c r="L8985" s="12" t="s">
        <v>992</v>
      </c>
    </row>
    <row r="8986" customFormat="false" ht="17.15" hidden="false" customHeight="false" outlineLevel="0" collapsed="false">
      <c r="A8986" s="0" t="s">
        <v>993</v>
      </c>
      <c r="B8986" s="0" t="s">
        <v>459</v>
      </c>
      <c r="F8986" s="30" t="n">
        <f aca="false">Sens!C8965*IF(Sens!F8958-Sens!C8958=life_it,1,0)+Sens!D8965*IF(Sens!F8958-Sens!D8958=life_it,1,0)+Sens!E8965*IF(Sens!F8958-Sens!E8958=life_it,1,0)</f>
        <v>0</v>
      </c>
      <c r="G8986" s="30" t="n">
        <f aca="false">Sens!C8965*IF(Sens!G8958-Sens!C8958=life_it,1,0)+Sens!D8965*IF(Sens!G8958-Sens!D8958=life_it,1,0)+Sens!E8965*IF(Sens!G8958-Sens!E8958=life_it,1,0)+Sens!F8965*IF(Sens!G8958-Sens!F8958=life_it,1,0)</f>
        <v>0</v>
      </c>
      <c r="H8986" s="30" t="n">
        <f aca="false">Sens!C8965*IF(Sens!H8958-Sens!C8958=life_it,1,0)+Sens!D8965*IF(Sens!H8958-Sens!D8958=life_it,1,0)+Sens!E8965*IF(Sens!H8958-Sens!E8958=life_it,1,0)+Sens!F8965*IF(Sens!H8958-Sens!F8958=life_it,1,0)+Sens!G8965*IF(Sens!H8958-Sens!G8958=life_it,1,0)</f>
        <v>0</v>
      </c>
      <c r="I8986" s="30" t="n">
        <f aca="false">Sens!C8965*IF(Sens!I8958-Sens!C8958=life_it,1,0)+Sens!D8965*IF(Sens!I8958-Sens!D8958=life_it,1,0)+Sens!E8965*IF(Sens!I8958-Sens!E8958=life_it,1,0)+Sens!F8965*IF(Sens!I8958-Sens!F8958=life_it,1,0)+Sens!G8965*IF(Sens!I8958-Sens!G8958=life_it,1,0)+Sens!H8965*IF(Sens!I8958-Sens!H8958=life_it,1,0)</f>
        <v>816.666666666667</v>
      </c>
      <c r="J8986" s="30" t="n">
        <f aca="false">Sens!C8965*IF(Sens!J8958-Sens!C8958=life_it,1,0)+Sens!D8965*IF(Sens!J8958-Sens!D8958=life_it,1,0)+Sens!E8965*IF(Sens!J8958-Sens!E8958=life_it,1,0)+Sens!F8965*IF(Sens!J8958-Sens!F8958=life_it,1,0)+Sens!G8965*IF(Sens!J8958-Sens!G8958=life_it,1,0)+Sens!H8965*IF(Sens!J8958-Sens!H8958=life_it,1,0)+Sens!I8965*IF(Sens!J8958-Sens!I8958=life_it,1,0)</f>
        <v>1233.33333333333</v>
      </c>
      <c r="K8986" s="30" t="n">
        <f aca="false">Sens!C8965*IF(Sens!K8958-Sens!C8958=life_it,1,0)+Sens!D8965*IF(Sens!K8958-Sens!D8958=life_it,1,0)+Sens!E8965*IF(Sens!K8958-Sens!E8958=life_it,1,0)+Sens!F8965*IF(Sens!K8958-Sens!F8958=life_it,1,0)+Sens!G8965*IF(Sens!K8958-Sens!G8958=life_it,1,0)+Sens!H8965*IF(Sens!K8958-Sens!H8958=life_it,1,0)+Sens!I8965*IF(Sens!K8958-Sens!I8958=life_it,1,0)+Sens!J8965*IF(Sens!K8958-Sens!J8958=life_it,1,0)</f>
        <v>2450</v>
      </c>
      <c r="L8986" s="1" t="s">
        <v>994</v>
      </c>
    </row>
    <row r="8987" customFormat="false" ht="17.15" hidden="false" customHeight="false" outlineLevel="0" collapsed="false">
      <c r="A8987" s="0" t="s">
        <v>995</v>
      </c>
      <c r="B8987" s="0" t="s">
        <v>98</v>
      </c>
      <c r="C8987" s="6" t="n">
        <f aca="false">Sens!C8965*Sens!C8985/1000</f>
        <v>22.5333845916667</v>
      </c>
      <c r="D8987" s="6" t="n">
        <f aca="false">Sens!D8965*Sens!D8985/1000</f>
        <v>34.0300093833333</v>
      </c>
      <c r="E8987" s="6" t="n">
        <f aca="false">Sens!E8965*Sens!E8985/1000</f>
        <v>67.600153775</v>
      </c>
      <c r="F8987" s="6" t="n">
        <f aca="false">(Sens!F8965+Sens!F8986)*Sens!F8985/1000</f>
        <v>136.51872432512</v>
      </c>
      <c r="G8987" s="6" t="n">
        <f aca="false">(Sens!G8965+Sens!G8986)*Sens!G8985/1000</f>
        <v>157.399275932048</v>
      </c>
      <c r="H8987" s="6" t="n">
        <f aca="false">(Sens!H8965+Sens!H8986)*Sens!H8985/1000</f>
        <v>162.260804347512</v>
      </c>
      <c r="I8987" s="6" t="n">
        <f aca="false">(Sens!I8965+Sens!I8986)*Sens!I8985/1000</f>
        <v>144.136569485434</v>
      </c>
      <c r="J8987" s="6" t="n">
        <f aca="false">(Sens!J8965+Sens!J8986)*Sens!J8985/1000</f>
        <v>114.029037357864</v>
      </c>
      <c r="K8987" s="6" t="n">
        <f aca="false">(Sens!K8965+Sens!K8986)*Sens!K8985/1000</f>
        <v>113.437085350975</v>
      </c>
    </row>
    <row r="8988" customFormat="false" ht="17.15" hidden="false" customHeight="false" outlineLevel="0" collapsed="false">
      <c r="A8988" s="0" t="s">
        <v>996</v>
      </c>
      <c r="B8988" s="0" t="s">
        <v>98</v>
      </c>
      <c r="C8988" s="6" t="n">
        <f aca="false">Sens!C8965*self_build*tk_cxfac/1000</f>
        <v>6.2083</v>
      </c>
      <c r="D8988" s="6" t="n">
        <f aca="false">Sens!D8965*self_build*tk_cxfac/1000</f>
        <v>9.3758</v>
      </c>
      <c r="E8988" s="6" t="n">
        <f aca="false">Sens!E8965*self_build*tk_cxfac/1000</f>
        <v>18.6249</v>
      </c>
      <c r="F8988" s="6" t="n">
        <f aca="false">Sens!F8965*self_build*tk_cxfac/1000</f>
        <v>31.935179717</v>
      </c>
      <c r="G8988" s="6" t="n">
        <f aca="false">Sens!G8965*self_build*tk_cxfac/1000</f>
        <v>34.545199717</v>
      </c>
      <c r="H8988" s="6" t="n">
        <f aca="false">Sens!H8965*self_build*tk_cxfac/1000</f>
        <v>34.545199717</v>
      </c>
      <c r="I8988" s="6" t="n">
        <f aca="false">Sens!I8965*self_build*tk_cxfac/1000</f>
        <v>24.4782641361767</v>
      </c>
      <c r="J8988" s="6" t="n">
        <f aca="false">Sens!J8965*self_build*tk_cxfac/1000</f>
        <v>14.9008938380769</v>
      </c>
      <c r="K8988" s="6" t="n">
        <f aca="false">Sens!K8965*self_build*tk_cxfac/1000</f>
        <v>5.52576771375761</v>
      </c>
    </row>
    <row r="8989" customFormat="false" ht="17.15" hidden="false" customHeight="false" outlineLevel="0" collapsed="false">
      <c r="A8989" s="0" t="s">
        <v>997</v>
      </c>
      <c r="B8989" s="0" t="s">
        <v>98</v>
      </c>
      <c r="F8989" s="15" t="n">
        <f aca="false">capex_floor27-Sens!F8987-Sens!F8988-Sens!F9085</f>
        <v>-0.240354046537568</v>
      </c>
      <c r="L8989" s="12" t="s">
        <v>998</v>
      </c>
    </row>
    <row r="8990" customFormat="false" ht="17.15" hidden="false" customHeight="false" outlineLevel="0" collapsed="false">
      <c r="A8990" s="0" t="s">
        <v>999</v>
      </c>
      <c r="B8990" s="0" t="s">
        <v>98</v>
      </c>
      <c r="F8990" s="6" t="n">
        <f aca="false">MAX(0,Sens!F8989)</f>
        <v>0</v>
      </c>
    </row>
    <row r="8991" customFormat="false" ht="17.15" hidden="false" customHeight="false" outlineLevel="0" collapsed="false">
      <c r="A8991" s="0" t="s">
        <v>1000</v>
      </c>
      <c r="B8991" s="0" t="s">
        <v>98</v>
      </c>
      <c r="C8991" s="6" t="n">
        <f aca="false">Sens!C8987</f>
        <v>22.5333845916667</v>
      </c>
      <c r="D8991" s="6" t="n">
        <f aca="false">Sens!D8987</f>
        <v>34.0300093833333</v>
      </c>
      <c r="E8991" s="6" t="n">
        <f aca="false">Sens!E8987</f>
        <v>67.600153775</v>
      </c>
      <c r="F8991" s="6" t="n">
        <f aca="false">Sens!F8987</f>
        <v>136.51872432512</v>
      </c>
      <c r="G8991" s="6" t="n">
        <f aca="false">Sens!G8987</f>
        <v>157.399275932048</v>
      </c>
      <c r="H8991" s="6" t="n">
        <f aca="false">Sens!H8987</f>
        <v>162.260804347512</v>
      </c>
      <c r="I8991" s="6" t="n">
        <f aca="false">Sens!I8987</f>
        <v>144.136569485434</v>
      </c>
      <c r="J8991" s="6" t="n">
        <f aca="false">Sens!J8987</f>
        <v>114.029037357864</v>
      </c>
      <c r="K8991" s="6" t="n">
        <f aca="false">Sens!K8987</f>
        <v>113.437085350975</v>
      </c>
    </row>
    <row r="8992" customFormat="false" ht="17.15" hidden="false" customHeight="false" outlineLevel="0" collapsed="false">
      <c r="A8992" s="0" t="s">
        <v>1001</v>
      </c>
      <c r="B8992" s="0" t="s">
        <v>98</v>
      </c>
      <c r="C8992" s="6" t="n">
        <f aca="false">Sens!C8991+Sens!C8988</f>
        <v>28.7416845916667</v>
      </c>
      <c r="D8992" s="6" t="n">
        <f aca="false">Sens!D8991+Sens!D8988</f>
        <v>43.4058093833333</v>
      </c>
      <c r="E8992" s="6" t="n">
        <f aca="false">Sens!E8991+Sens!E8988</f>
        <v>86.225053775</v>
      </c>
      <c r="F8992" s="6" t="n">
        <f aca="false">Sens!F8991+Sens!F8988</f>
        <v>168.45390404212</v>
      </c>
      <c r="G8992" s="6" t="n">
        <f aca="false">Sens!G8991+Sens!G8988</f>
        <v>191.944475649048</v>
      </c>
      <c r="H8992" s="6" t="n">
        <f aca="false">Sens!H8991+Sens!H8988</f>
        <v>196.806004064512</v>
      </c>
      <c r="I8992" s="6" t="n">
        <f aca="false">Sens!I8991+Sens!I8988</f>
        <v>168.61483362161</v>
      </c>
      <c r="J8992" s="6" t="n">
        <f aca="false">Sens!J8991+Sens!J8988</f>
        <v>128.92993119594</v>
      </c>
      <c r="K8992" s="6" t="n">
        <f aca="false">Sens!K8991+Sens!K8988</f>
        <v>118.962853064733</v>
      </c>
      <c r="L8992" s="12" t="s">
        <v>1002</v>
      </c>
    </row>
    <row r="8993" customFormat="false" ht="17.15" hidden="false" customHeight="false" outlineLevel="0" collapsed="false">
      <c r="A8993" s="0" t="s">
        <v>1003</v>
      </c>
      <c r="B8993" s="0" t="s">
        <v>98</v>
      </c>
      <c r="E8993" s="6" t="n">
        <f aca="false">(Sens!C8991*IF(2&lt;life_it,1,IF(2=life_it,0.5,0))+Sens!D8991*IF(1&lt;life_it,1,IF(1=life_it,0.5,0))+Sens!E8991*0.5)/life_it</f>
        <v>15.0605784770833</v>
      </c>
      <c r="F8993" s="6" t="n">
        <f aca="false">(Sens!C8991*IF(3&lt;life_it,1,IF(3=life_it,0.5,0))+Sens!D8991*IF(2&lt;life_it,1,IF(2=life_it,0.5,0))+Sens!E8991*IF(1&lt;life_it,1,IF(1=life_it,0.5,0))+Sens!F8991*0.5)/life_it</f>
        <v>32.0704849854266</v>
      </c>
      <c r="G8993" s="6" t="n">
        <f aca="false">(Sens!C8991*IF(4&lt;life_it,1,IF(4=life_it,0.5,0))+Sens!D8991*IF(3&lt;life_it,1,IF(3=life_it,0.5,0))+Sens!E8991*IF(2&lt;life_it,1,IF(2=life_it,0.5,0))+Sens!F8991*IF(1&lt;life_it,1,IF(1=life_it,0.5,0))+Sens!G8991*0.5)/life_it</f>
        <v>56.5636516735239</v>
      </c>
      <c r="H8993" s="6" t="n">
        <f aca="false">(Sens!C8991*IF(5&lt;life_it,1,IF(5=life_it,0.5,0))+Sens!D8991*IF(4&lt;life_it,1,IF(4=life_it,0.5,0))+Sens!E8991*IF(3&lt;life_it,1,IF(3=life_it,0.5,0))+Sens!F8991*IF(2&lt;life_it,1,IF(2=life_it,0.5,0))+Sens!G8991*IF(1&lt;life_it,1,IF(1=life_it,0.5,0))+Sens!H8991*0.5)/life_it</f>
        <v>83.2019916968207</v>
      </c>
      <c r="I8993" s="6" t="n">
        <f aca="false">(Sens!C8991*IF(6&lt;life_it,1,IF(6=life_it,0.5,0))+Sens!D8991*IF(5&lt;life_it,1,IF(5=life_it,0.5,0))+Sens!E8991*IF(4&lt;life_it,1,IF(4=life_it,0.5,0))+Sens!F8991*IF(3&lt;life_it,1,IF(3=life_it,0.5,0))+Sens!G8991*IF(2&lt;life_it,1,IF(2=life_it,0.5,0))+Sens!H8991*IF(1&lt;life_it,1,IF(1=life_it,0.5,0))+Sens!I8991*0.5)/life_it</f>
        <v>106.857324133594</v>
      </c>
      <c r="J8993" s="6" t="n">
        <f aca="false">(Sens!C8991*IF(7&lt;life_it,1,IF(7=life_it,0.5,0))+Sens!D8991*IF(6&lt;life_it,1,IF(6=life_it,0.5,0))+Sens!E8991*IF(5&lt;life_it,1,IF(5=life_it,0.5,0))+Sens!F8991*IF(4&lt;life_it,1,IF(4=life_it,0.5,0))+Sens!G8991*IF(3&lt;life_it,1,IF(3=life_it,0.5,0))+Sens!H8991*IF(2&lt;life_it,1,IF(2=life_it,0.5,0))+Sens!I8991*IF(1&lt;life_it,1,IF(1=life_it,0.5,0))+Sens!J8991*0.5)/life_it</f>
        <v>123.657508539285</v>
      </c>
      <c r="K8993" s="6" t="n">
        <f aca="false">(Sens!C8991*IF(8&lt;life_it,1,IF(8=life_it,0.5,0))+Sens!D8991*IF(7&lt;life_it,1,IF(7=life_it,0.5,0))+Sens!E8991*IF(6&lt;life_it,1,IF(6=life_it,0.5,0))+Sens!F8991*IF(5&lt;life_it,1,IF(5=life_it,0.5,0))+Sens!G8991*IF(4&lt;life_it,1,IF(4=life_it,0.5,0))+Sens!H8991*IF(3&lt;life_it,1,IF(3=life_it,0.5,0))+Sens!I8991*IF(2&lt;life_it,1,IF(2=life_it,0.5,0))+Sens!J8991*IF(1&lt;life_it,1,IF(1=life_it,0.5,0))+Sens!K8991*0.5)/life_it</f>
        <v>134.143838501827</v>
      </c>
    </row>
    <row r="8994" customFormat="false" ht="17.15" hidden="false" customHeight="false" outlineLevel="0" collapsed="false">
      <c r="A8994" s="0" t="s">
        <v>1004</v>
      </c>
      <c r="B8994" s="0" t="s">
        <v>98</v>
      </c>
      <c r="E8994" s="6" t="n">
        <f aca="false">(Sens!C8988*IF(2&lt;life_fac,1,IF(2=life_fac,0.5,0))+Sens!D8988*IF(1&lt;life_fac,1,IF(1=life_fac,0.5,0))+Sens!E8988*0.5)/life_fac</f>
        <v>1.2448275</v>
      </c>
      <c r="F8994" s="6" t="n">
        <f aca="false">(Sens!C8988*IF(3&lt;life_fac,1,IF(3=life_fac,0.5,0))+Sens!D8988*IF(2&lt;life_fac,1,IF(2=life_fac,0.5,0))+Sens!E8988*IF(1&lt;life_fac,1,IF(1=life_fac,0.5,0))+Sens!F8988*0.5)/life_fac</f>
        <v>2.508829492925</v>
      </c>
      <c r="G8994" s="6" t="n">
        <f aca="false">(Sens!C8988*IF(4&lt;life_fac,1,IF(4=life_fac,0.5,0))+Sens!D8988*IF(3&lt;life_fac,1,IF(3=life_fac,0.5,0))+Sens!E8988*IF(2&lt;life_fac,1,IF(2=life_fac,0.5,0))+Sens!F8988*IF(1&lt;life_fac,1,IF(1=life_fac,0.5,0))+Sens!G8988*0.5)/life_fac</f>
        <v>4.170838978775</v>
      </c>
      <c r="H8994" s="6" t="n">
        <f aca="false">(Sens!C8988*IF(5&lt;life_fac,1,IF(5=life_fac,0.5,0))+Sens!D8988*IF(4&lt;life_fac,1,IF(4=life_fac,0.5,0))+Sens!E8988*IF(3&lt;life_fac,1,IF(3=life_fac,0.5,0))+Sens!F8988*IF(2&lt;life_fac,1,IF(2=life_fac,0.5,0))+Sens!G8988*IF(1&lt;life_fac,1,IF(1=life_fac,0.5,0))+Sens!H8988*0.5)/life_fac</f>
        <v>5.898098964625</v>
      </c>
      <c r="I8994" s="6" t="n">
        <f aca="false">(Sens!C8988*IF(6&lt;life_fac,1,IF(6=life_fac,0.5,0))+Sens!D8988*IF(5&lt;life_fac,1,IF(5=life_fac,0.5,0))+Sens!E8988*IF(4&lt;life_fac,1,IF(4=life_fac,0.5,0))+Sens!F8988*IF(3&lt;life_fac,1,IF(3=life_fac,0.5,0))+Sens!G8988*IF(2&lt;life_fac,1,IF(2=life_fac,0.5,0))+Sens!H8988*IF(1&lt;life_fac,1,IF(1=life_fac,0.5,0))+Sens!I8988*0.5)/life_fac</f>
        <v>7.37368556095442</v>
      </c>
      <c r="J8994" s="6" t="n">
        <f aca="false">(Sens!C8988*IF(7&lt;life_fac,1,IF(7=life_fac,0.5,0))+Sens!D8988*IF(6&lt;life_fac,1,IF(6=life_fac,0.5,0))+Sens!E8988*IF(5&lt;life_fac,1,IF(5=life_fac,0.5,0))+Sens!F8988*IF(4&lt;life_fac,1,IF(4=life_fac,0.5,0))+Sens!G8988*IF(3&lt;life_fac,1,IF(3=life_fac,0.5,0))+Sens!H8988*IF(2&lt;life_fac,1,IF(2=life_fac,0.5,0))+Sens!I8988*IF(1&lt;life_fac,1,IF(1=life_fac,0.5,0))+Sens!J8988*0.5)/life_fac</f>
        <v>8.35816451031075</v>
      </c>
      <c r="K8994" s="6" t="n">
        <f aca="false">(Sens!C8988*IF(8&lt;life_fac,1,IF(8=life_fac,0.5,0))+Sens!D8988*IF(7&lt;life_fac,1,IF(7=life_fac,0.5,0))+Sens!E8988*IF(6&lt;life_fac,1,IF(6=life_fac,0.5,0))+Sens!F8988*IF(5&lt;life_fac,1,IF(5=life_fac,0.5,0))+Sens!G8988*IF(4&lt;life_fac,1,IF(4=life_fac,0.5,0))+Sens!H8988*IF(3&lt;life_fac,1,IF(3=life_fac,0.5,0))+Sens!I8988*IF(2&lt;life_fac,1,IF(2=life_fac,0.5,0))+Sens!J8988*IF(1&lt;life_fac,1,IF(1=life_fac,0.5,0))+Sens!K8988*0.5)/life_fac</f>
        <v>8.86883104910662</v>
      </c>
    </row>
    <row r="8995" customFormat="false" ht="17.15" hidden="false" customHeight="false" outlineLevel="0" collapsed="false">
      <c r="A8995" s="0" t="s">
        <v>1005</v>
      </c>
      <c r="B8995" s="0" t="s">
        <v>98</v>
      </c>
      <c r="E8995" s="6" t="n">
        <f aca="false">Sens!E8993+Sens!E8994</f>
        <v>16.3054059770833</v>
      </c>
      <c r="F8995" s="6" t="n">
        <f aca="false">Sens!F8993+Sens!F8994</f>
        <v>34.5793144783516</v>
      </c>
      <c r="G8995" s="6" t="n">
        <f aca="false">Sens!G8993+Sens!G8994</f>
        <v>60.7344906522989</v>
      </c>
      <c r="H8995" s="6" t="n">
        <f aca="false">Sens!H8993+Sens!H8994</f>
        <v>89.1000906614457</v>
      </c>
      <c r="I8995" s="6" t="n">
        <f aca="false">Sens!I8993+Sens!I8994</f>
        <v>114.231009694548</v>
      </c>
      <c r="J8995" s="6" t="n">
        <f aca="false">Sens!J8993+Sens!J8994</f>
        <v>132.015673049596</v>
      </c>
      <c r="K8995" s="6" t="n">
        <f aca="false">Sens!K8993+Sens!K8994</f>
        <v>143.012669550934</v>
      </c>
    </row>
    <row r="8996" customFormat="false" ht="17.15" hidden="false" customHeight="false" outlineLevel="0" collapsed="false">
      <c r="A8996" s="0" t="s">
        <v>1006</v>
      </c>
      <c r="B8996" s="0" t="s">
        <v>98</v>
      </c>
      <c r="E8996" s="6" t="n">
        <f aca="false">Sens!E8983-Sens!E8982*Sens!E8995</f>
        <v>8.92707889977379</v>
      </c>
      <c r="F8996" s="6" t="n">
        <f aca="false">Sens!F8983-Sens!F8982*Sens!F8995</f>
        <v>14.3471335960079</v>
      </c>
      <c r="G8996" s="6" t="n">
        <f aca="false">Sens!G8983-Sens!G8982*Sens!G8995</f>
        <v>16.5202976798683</v>
      </c>
      <c r="H8996" s="6" t="n">
        <f aca="false">Sens!H8983-Sens!H8982*Sens!H8995</f>
        <v>12.9805278875331</v>
      </c>
      <c r="I8996" s="6" t="n">
        <f aca="false">Sens!I8983-Sens!I8982*Sens!I8995</f>
        <v>16.2363335770989</v>
      </c>
      <c r="J8996" s="6" t="n">
        <f aca="false">Sens!J8983-Sens!J8982*Sens!J8995</f>
        <v>18.4432225839805</v>
      </c>
      <c r="K8996" s="6" t="n">
        <f aca="false">Sens!K8983-Sens!K8982*Sens!K8995</f>
        <v>20.1577566819661</v>
      </c>
    </row>
    <row r="8997" customFormat="false" ht="17.15" hidden="false" customHeight="false" outlineLevel="0" collapsed="false">
      <c r="A8997" s="3" t="s">
        <v>1836</v>
      </c>
    </row>
    <row r="8998" customFormat="false" ht="15" hidden="false" customHeight="false" outlineLevel="0" collapsed="false">
      <c r="A8998" s="4" t="s">
        <v>43</v>
      </c>
      <c r="B8998" s="4" t="s">
        <v>65</v>
      </c>
      <c r="C8998" s="23" t="s">
        <v>942</v>
      </c>
      <c r="D8998" s="23" t="s">
        <v>943</v>
      </c>
      <c r="E8998" s="23" t="s">
        <v>944</v>
      </c>
      <c r="F8998" s="23" t="s">
        <v>945</v>
      </c>
      <c r="G8998" s="23" t="s">
        <v>946</v>
      </c>
      <c r="H8998" s="23" t="s">
        <v>947</v>
      </c>
      <c r="I8998" s="23" t="s">
        <v>948</v>
      </c>
      <c r="J8998" s="23" t="s">
        <v>949</v>
      </c>
      <c r="K8998" s="23" t="s">
        <v>950</v>
      </c>
      <c r="L8998" s="4" t="s">
        <v>47</v>
      </c>
    </row>
    <row r="8999" customFormat="false" ht="17.15" hidden="false" customHeight="false" outlineLevel="0" collapsed="false">
      <c r="A8999" s="0" t="s">
        <v>1025</v>
      </c>
      <c r="B8999" s="0" t="s">
        <v>98</v>
      </c>
      <c r="D8999" s="6" t="n">
        <f aca="false">Sens!D8977</f>
        <v>12.9359794422418</v>
      </c>
      <c r="E8999" s="6" t="n">
        <f aca="false">Sens!E8977</f>
        <v>27.8095064661409</v>
      </c>
      <c r="F8999" s="6" t="n">
        <f aca="false">Sens!F8977</f>
        <v>50.9819294352312</v>
      </c>
      <c r="G8999" s="6" t="n">
        <f aca="false">Sens!G8977</f>
        <v>76.6920436014933</v>
      </c>
      <c r="H8999" s="6" t="n">
        <f aca="false">Sens!H8977</f>
        <v>97.4495379418341</v>
      </c>
      <c r="I8999" s="6" t="n">
        <f aca="false">Sens!I8977</f>
        <v>122.083445553868</v>
      </c>
      <c r="J8999" s="6" t="n">
        <f aca="false">Sens!J8977</f>
        <v>139.249060444804</v>
      </c>
      <c r="K8999" s="6" t="n">
        <f aca="false">Sens!K8977</f>
        <v>149.995818575589</v>
      </c>
    </row>
    <row r="9000" customFormat="false" ht="17.15" hidden="false" customHeight="false" outlineLevel="0" collapsed="false">
      <c r="A9000" s="0" t="s">
        <v>1026</v>
      </c>
      <c r="B9000" s="0" t="s">
        <v>98</v>
      </c>
      <c r="D9000" s="6" t="n">
        <f aca="false">Q!L6-Sens!D8999</f>
        <v>59.6740205577583</v>
      </c>
      <c r="E9000" s="6" t="n">
        <f aca="false">Q!M6-Sens!E8999</f>
        <v>74.1284935338591</v>
      </c>
      <c r="F9000" s="6" t="n">
        <f aca="false">Q!$I$6+(Sens!F8999+Sens!E9000*(1+Sens!F9001))*(1-Q!$E$6/Q!M6)-Sens!F8999</f>
        <v>92.2699541184664</v>
      </c>
      <c r="G9000" s="6" t="n">
        <f aca="false">Sens!F9000*(1+Sens!G9001)</f>
        <v>109.630477277949</v>
      </c>
      <c r="H9000" s="6" t="n">
        <f aca="false">Sens!G9000*(1+Sens!H9001)</f>
        <v>127.293256321956</v>
      </c>
      <c r="I9000" s="6" t="n">
        <f aca="false">Sens!H9000*(1+Sens!I9001)</f>
        <v>144.360052269491</v>
      </c>
      <c r="J9000" s="6" t="n">
        <f aca="false">Sens!I9000*(1+Sens!J9001)</f>
        <v>159.811964490216</v>
      </c>
      <c r="K9000" s="6" t="n">
        <f aca="false">Sens!J9000*(1+Sens!K9001)</f>
        <v>172.596921649434</v>
      </c>
      <c r="L9000" s="12" t="s">
        <v>1027</v>
      </c>
    </row>
    <row r="9001" customFormat="false" ht="15" hidden="false" customHeight="false" outlineLevel="0" collapsed="false">
      <c r="A9001" s="1" t="s">
        <v>1028</v>
      </c>
      <c r="B9001" s="0" t="s">
        <v>168</v>
      </c>
      <c r="E9001" s="7" t="n">
        <f aca="false">Sens!E9000/Sens!D9000-1</f>
        <v>0.242223883039864</v>
      </c>
      <c r="F9001" s="7" t="n">
        <f aca="false">Sens!$E$9001+(glt_azo-Sens!$E$9001)*MIN(1,(Sens!F8958-base_fy)/n_conv)</f>
        <v>0.215186569199887</v>
      </c>
      <c r="G9001" s="7" t="n">
        <f aca="false">Sens!$E$9001+(glt_azo-Sens!$E$9001)*MIN(1,(Sens!G8958-base_fy)/n_conv)</f>
        <v>0.18814925535991</v>
      </c>
      <c r="H9001" s="7" t="n">
        <f aca="false">Sens!$E$9001+(glt_azo-Sens!$E$9001)*MIN(1,(Sens!H8958-base_fy)/n_conv)</f>
        <v>0.161111941519932</v>
      </c>
      <c r="I9001" s="7" t="n">
        <f aca="false">Sens!$E$9001+(glt_azo-Sens!$E$9001)*MIN(1,(Sens!I8958-base_fy)/n_conv)</f>
        <v>0.134074627679955</v>
      </c>
      <c r="J9001" s="7" t="n">
        <f aca="false">Sens!$E$9001+(glt_azo-Sens!$E$9001)*MIN(1,(Sens!J8958-base_fy)/n_conv)</f>
        <v>0.107037313839977</v>
      </c>
      <c r="K9001" s="7" t="n">
        <f aca="false">Sens!$E$9001+(glt_azo-Sens!$E$9001)*MIN(1,(Sens!K8958-base_fy)/n_conv)</f>
        <v>0.08</v>
      </c>
    </row>
    <row r="9002" customFormat="false" ht="15" hidden="false" customHeight="false" outlineLevel="0" collapsed="false">
      <c r="A9002" s="0" t="s">
        <v>1029</v>
      </c>
      <c r="B9002" s="0" t="s">
        <v>98</v>
      </c>
      <c r="D9002" s="6" t="n">
        <f aca="false">Sens!D8999+Sens!D9000</f>
        <v>72.61</v>
      </c>
      <c r="E9002" s="6" t="n">
        <f aca="false">Sens!E8999+Sens!E9000</f>
        <v>101.938</v>
      </c>
      <c r="F9002" s="6" t="n">
        <f aca="false">Sens!F8999+Sens!F9000</f>
        <v>143.251883553698</v>
      </c>
      <c r="G9002" s="6" t="n">
        <f aca="false">Sens!G8999+Sens!G9000</f>
        <v>186.322520879442</v>
      </c>
      <c r="H9002" s="6" t="n">
        <f aca="false">Sens!H8999+Sens!H9000</f>
        <v>224.74279426379</v>
      </c>
      <c r="I9002" s="6" t="n">
        <f aca="false">Sens!I8999+Sens!I9000</f>
        <v>266.443497823359</v>
      </c>
      <c r="J9002" s="6" t="n">
        <f aca="false">Sens!J8999+Sens!J9000</f>
        <v>299.06102493502</v>
      </c>
      <c r="K9002" s="6" t="n">
        <f aca="false">Sens!K8999+Sens!K9000</f>
        <v>322.592740225023</v>
      </c>
    </row>
    <row r="9003" customFormat="false" ht="17.15" hidden="false" customHeight="false" outlineLevel="0" collapsed="false">
      <c r="A9003" s="0" t="s">
        <v>1030</v>
      </c>
      <c r="B9003" s="1" t="s">
        <v>613</v>
      </c>
      <c r="C9003" s="30" t="n">
        <f aca="false">cop_s24</f>
        <v>1</v>
      </c>
      <c r="D9003" s="30" t="n">
        <f aca="false">cop_s25</f>
        <v>5</v>
      </c>
      <c r="E9003" s="30" t="n">
        <f aca="false">cop_s26</f>
        <v>30</v>
      </c>
      <c r="F9003" s="30" t="n">
        <f aca="false">Sens!E9003+cop_add_C</f>
        <v>40</v>
      </c>
      <c r="G9003" s="30" t="n">
        <f aca="false">Sens!F9003+cop_add_C</f>
        <v>50</v>
      </c>
      <c r="H9003" s="30" t="n">
        <f aca="false">Sens!G9003+cop_add_C</f>
        <v>60</v>
      </c>
      <c r="I9003" s="30" t="n">
        <f aca="false">Sens!H9003+cop_add_C*cop_tail</f>
        <v>65</v>
      </c>
      <c r="J9003" s="30" t="n">
        <f aca="false">Sens!I9003+cop_add_C*cop_tail</f>
        <v>70</v>
      </c>
      <c r="K9003" s="30" t="n">
        <f aca="false">Sens!J9003+cop_add_C*cop_tail</f>
        <v>75</v>
      </c>
      <c r="L9003" s="12" t="s">
        <v>1031</v>
      </c>
    </row>
    <row r="9004" customFormat="false" ht="17.15" hidden="false" customHeight="false" outlineLevel="0" collapsed="false">
      <c r="A9004" s="0" t="s">
        <v>1032</v>
      </c>
      <c r="B9004" s="0" t="s">
        <v>98</v>
      </c>
      <c r="D9004" s="6" t="n">
        <f aca="false">(Sens!C9003+Sens!D9003)/2*cop_px*12/1000</f>
        <v>0.9</v>
      </c>
      <c r="E9004" s="6" t="n">
        <f aca="false">(Sens!D9003+Sens!E9003)/2*cop_px*12/1000</f>
        <v>5.25</v>
      </c>
      <c r="F9004" s="6" t="n">
        <f aca="false">(Sens!E9003+Sens!F9003)/2*cop_px_hi*12/1000</f>
        <v>12.6</v>
      </c>
      <c r="G9004" s="6" t="n">
        <f aca="false">(Sens!F9003+Sens!G9003)/2*cop_px_hi*12/1000</f>
        <v>16.2</v>
      </c>
      <c r="H9004" s="6" t="n">
        <f aca="false">(Sens!G9003+Sens!H9003)/2*cop_px_hi*12/1000</f>
        <v>19.8</v>
      </c>
      <c r="I9004" s="6" t="n">
        <f aca="false">(Sens!H9003+Sens!I9003)/2*cop_px_hi*12/1000</f>
        <v>22.5</v>
      </c>
      <c r="J9004" s="6" t="n">
        <f aca="false">(Sens!I9003+Sens!J9003)/2*cop_px_hi*12/1000</f>
        <v>24.3</v>
      </c>
      <c r="K9004" s="6" t="n">
        <f aca="false">(Sens!J9003+Sens!K9003)/2*cop_px_hi*12/1000</f>
        <v>26.1</v>
      </c>
      <c r="L9004" s="1" t="s">
        <v>1033</v>
      </c>
    </row>
    <row r="9005" customFormat="false" ht="17.15" hidden="false" customHeight="false" outlineLevel="0" collapsed="false">
      <c r="A9005" s="0" t="s">
        <v>1034</v>
      </c>
      <c r="B9005" s="0" t="s">
        <v>98</v>
      </c>
      <c r="D9005" s="6" t="n">
        <f aca="false">Q!L7-Sens!D9004</f>
        <v>83.705</v>
      </c>
      <c r="E9005" s="6" t="n">
        <f aca="false">Q!M7-Sens!E9004</f>
        <v>95.049</v>
      </c>
      <c r="F9005" s="6" t="n">
        <f aca="false">Q!$I$7+(Sens!E9005*(1+Sens!F9006)+Sens!F9004)*(1-Q!$E$7/Q!M7)-Sens!F9004</f>
        <v>106.442263500935</v>
      </c>
      <c r="G9005" s="6" t="n">
        <f aca="false">Sens!F9005*(1+Sens!G9006)</f>
        <v>118.542872986443</v>
      </c>
      <c r="H9005" s="6" t="n">
        <f aca="false">Sens!G9005*(1+Sens!H9006)</f>
        <v>130.724549911307</v>
      </c>
      <c r="I9005" s="6" t="n">
        <f aca="false">Sens!H9005*(1+Sens!I9006)</f>
        <v>142.730447915167</v>
      </c>
      <c r="J9005" s="6" t="n">
        <f aca="false">Sens!I9005*(1+Sens!J9006)</f>
        <v>154.280280563771</v>
      </c>
      <c r="K9005" s="6" t="n">
        <f aca="false">Sens!J9005*(1+Sens!K9006)</f>
        <v>165.079900203235</v>
      </c>
      <c r="L9005" s="12" t="s">
        <v>1035</v>
      </c>
    </row>
    <row r="9006" customFormat="false" ht="15" hidden="false" customHeight="false" outlineLevel="0" collapsed="false">
      <c r="A9006" s="1" t="s">
        <v>1028</v>
      </c>
      <c r="B9006" s="0" t="s">
        <v>168</v>
      </c>
      <c r="E9006" s="7" t="n">
        <f aca="false">Sens!E9005/Sens!D9005-1</f>
        <v>0.135523564900544</v>
      </c>
      <c r="F9006" s="7" t="n">
        <f aca="false">Sens!$E$9006+(glt_m365b-Sens!$E$9006)*MIN(1,(Sens!F8958-base_fy)/n_conv)</f>
        <v>0.124602970750453</v>
      </c>
      <c r="G9006" s="7" t="n">
        <f aca="false">Sens!$E$9006+(glt_m365b-Sens!$E$9006)*MIN(1,(Sens!G8958-base_fy)/n_conv)</f>
        <v>0.113682376600363</v>
      </c>
      <c r="H9006" s="7" t="n">
        <f aca="false">Sens!$E$9006+(glt_m365b-Sens!$E$9006)*MIN(1,(Sens!H8958-base_fy)/n_conv)</f>
        <v>0.102761782450272</v>
      </c>
      <c r="I9006" s="7" t="n">
        <f aca="false">Sens!$E$9006+(glt_m365b-Sens!$E$9006)*MIN(1,(Sens!I8958-base_fy)/n_conv)</f>
        <v>0.0918411883001813</v>
      </c>
      <c r="J9006" s="7" t="n">
        <f aca="false">Sens!$E$9006+(glt_m365b-Sens!$E$9006)*MIN(1,(Sens!J8958-base_fy)/n_conv)</f>
        <v>0.0809205941500906</v>
      </c>
      <c r="K9006" s="7" t="n">
        <f aca="false">Sens!$E$9006+(glt_m365b-Sens!$E$9006)*MIN(1,(Sens!K8958-base_fy)/n_conv)</f>
        <v>0.07</v>
      </c>
    </row>
    <row r="9007" customFormat="false" ht="15" hidden="false" customHeight="false" outlineLevel="0" collapsed="false">
      <c r="A9007" s="0" t="s">
        <v>1036</v>
      </c>
      <c r="B9007" s="0" t="s">
        <v>98</v>
      </c>
      <c r="D9007" s="6" t="n">
        <f aca="false">Sens!D9005+Sens!D9004</f>
        <v>84.605</v>
      </c>
      <c r="E9007" s="6" t="n">
        <f aca="false">Sens!E9005+Sens!E9004</f>
        <v>100.299</v>
      </c>
      <c r="F9007" s="6" t="n">
        <f aca="false">Sens!F9005+Sens!F9004</f>
        <v>119.042263500935</v>
      </c>
      <c r="G9007" s="6" t="n">
        <f aca="false">Sens!G9005+Sens!G9004</f>
        <v>134.742872986443</v>
      </c>
      <c r="H9007" s="6" t="n">
        <f aca="false">Sens!H9005+Sens!H9004</f>
        <v>150.524549911307</v>
      </c>
      <c r="I9007" s="6" t="n">
        <f aca="false">Sens!I9005+Sens!I9004</f>
        <v>165.230447915167</v>
      </c>
      <c r="J9007" s="6" t="n">
        <f aca="false">Sens!J9005+Sens!J9004</f>
        <v>178.580280563771</v>
      </c>
      <c r="K9007" s="6" t="n">
        <f aca="false">Sens!K9005+Sens!K9004</f>
        <v>191.179900203235</v>
      </c>
    </row>
    <row r="9008" customFormat="false" ht="17.15" hidden="false" customHeight="false" outlineLevel="0" collapsed="false">
      <c r="A9008" s="0" t="s">
        <v>1037</v>
      </c>
      <c r="B9008" s="0" t="s">
        <v>98</v>
      </c>
      <c r="D9008" s="6" t="n">
        <f aca="false">Q!L8</f>
        <v>35.391</v>
      </c>
      <c r="E9008" s="6" t="n">
        <f aca="false">Q!M8</f>
        <v>37.285</v>
      </c>
      <c r="F9008" s="6" t="n">
        <f aca="false">Q!$I$8+(Q!M8-Q!$E$8)*(1+Sens!F9009)</f>
        <v>38.3851437782675</v>
      </c>
      <c r="G9008" s="6" t="n">
        <f aca="false">Sens!F9008*(1+Sens!G9009)</f>
        <v>40.0105353288615</v>
      </c>
      <c r="H9008" s="6" t="n">
        <f aca="false">Sens!G9008*(1+Sens!H9009)</f>
        <v>41.4812512033683</v>
      </c>
      <c r="I9008" s="6" t="n">
        <f aca="false">Sens!H9008*(1+Sens!I9009)</f>
        <v>42.7743107216329</v>
      </c>
      <c r="J9008" s="6" t="n">
        <f aca="false">Sens!I9008*(1+Sens!J9009)</f>
        <v>43.8687373064601</v>
      </c>
      <c r="K9008" s="6" t="n">
        <f aca="false">Sens!J9008*(1+Sens!K9009)</f>
        <v>44.7461120525893</v>
      </c>
      <c r="L9008" s="12" t="s">
        <v>1038</v>
      </c>
    </row>
    <row r="9009" customFormat="false" ht="15" hidden="false" customHeight="false" outlineLevel="0" collapsed="false">
      <c r="A9009" s="1" t="s">
        <v>1028</v>
      </c>
      <c r="B9009" s="0" t="s">
        <v>168</v>
      </c>
      <c r="E9009" s="7" t="n">
        <f aca="false">Sens!E9008/Sens!D9008-1</f>
        <v>0.0535164307309768</v>
      </c>
      <c r="F9009" s="7" t="n">
        <f aca="false">Sens!$E$9009+(glt_lic-Sens!$E$9009)*MIN(1,(Sens!F8958-base_fy)/n_conv)</f>
        <v>0.0479303589424807</v>
      </c>
      <c r="G9009" s="7" t="n">
        <f aca="false">Sens!$E$9009+(glt_lic-Sens!$E$9009)*MIN(1,(Sens!G8958-base_fy)/n_conv)</f>
        <v>0.0423442871539845</v>
      </c>
      <c r="H9009" s="7" t="n">
        <f aca="false">Sens!$E$9009+(glt_lic-Sens!$E$9009)*MIN(1,(Sens!H8958-base_fy)/n_conv)</f>
        <v>0.0367582153654884</v>
      </c>
      <c r="I9009" s="7" t="n">
        <f aca="false">Sens!$E$9009+(glt_lic-Sens!$E$9009)*MIN(1,(Sens!I8958-base_fy)/n_conv)</f>
        <v>0.0311721435769923</v>
      </c>
      <c r="J9009" s="7" t="n">
        <f aca="false">Sens!$E$9009+(glt_lic-Sens!$E$9009)*MIN(1,(Sens!J8958-base_fy)/n_conv)</f>
        <v>0.0255860717884961</v>
      </c>
      <c r="K9009" s="7" t="n">
        <f aca="false">Sens!$E$9009+(glt_lic-Sens!$E$9009)*MIN(1,(Sens!K8958-base_fy)/n_conv)</f>
        <v>0.02</v>
      </c>
    </row>
    <row r="9010" customFormat="false" ht="17.15" hidden="false" customHeight="false" outlineLevel="0" collapsed="false">
      <c r="A9010" s="0" t="s">
        <v>1039</v>
      </c>
      <c r="B9010" s="0" t="s">
        <v>98</v>
      </c>
      <c r="D9010" s="6" t="n">
        <f aca="false">Q!L9</f>
        <v>18.417</v>
      </c>
      <c r="E9010" s="6" t="n">
        <f aca="false">Q!M9</f>
        <v>20.345</v>
      </c>
      <c r="F9010" s="6" t="n">
        <f aca="false">Q!$I$9+(Q!M9-Q!$E$9)*(1+Sens!F9011)</f>
        <v>22.3161797133988</v>
      </c>
      <c r="G9010" s="6" t="n">
        <f aca="false">Sens!F9010*(1+Sens!G9011)</f>
        <v>24.3943499673233</v>
      </c>
      <c r="H9010" s="6" t="n">
        <f aca="false">Sens!G9010*(1+Sens!H9011)</f>
        <v>26.5250243109019</v>
      </c>
      <c r="I9010" s="6" t="n">
        <f aca="false">Sens!H9010*(1+Sens!I9011)</f>
        <v>28.6884573538181</v>
      </c>
      <c r="J9010" s="6" t="n">
        <f aca="false">Sens!I9010*(1+Sens!J9011)</f>
        <v>30.8624968052127</v>
      </c>
      <c r="K9010" s="6" t="n">
        <f aca="false">Sens!J9010*(1+Sens!K9011)</f>
        <v>33.0228715815776</v>
      </c>
      <c r="L9010" s="12" t="s">
        <v>1038</v>
      </c>
    </row>
    <row r="9011" customFormat="false" ht="15" hidden="false" customHeight="false" outlineLevel="0" collapsed="false">
      <c r="A9011" s="1" t="s">
        <v>1028</v>
      </c>
      <c r="B9011" s="0" t="s">
        <v>168</v>
      </c>
      <c r="E9011" s="7" t="n">
        <f aca="false">Sens!E9010/Sens!D9010-1</f>
        <v>0.104685888038225</v>
      </c>
      <c r="F9011" s="7" t="n">
        <f aca="false">Sens!$E$9011+(glt_ind-Sens!$E$9011)*MIN(1,(Sens!F8958-base_fy)/n_conv)</f>
        <v>0.0989049066985211</v>
      </c>
      <c r="G9011" s="7" t="n">
        <f aca="false">Sens!$E$9011+(glt_ind-Sens!$E$9011)*MIN(1,(Sens!G8958-base_fy)/n_conv)</f>
        <v>0.0931239253588169</v>
      </c>
      <c r="H9011" s="7" t="n">
        <f aca="false">Sens!$E$9011+(glt_ind-Sens!$E$9011)*MIN(1,(Sens!H8958-base_fy)/n_conv)</f>
        <v>0.0873429440191127</v>
      </c>
      <c r="I9011" s="7" t="n">
        <f aca="false">Sens!$E$9011+(glt_ind-Sens!$E$9011)*MIN(1,(Sens!I8958-base_fy)/n_conv)</f>
        <v>0.0815619626794085</v>
      </c>
      <c r="J9011" s="7" t="n">
        <f aca="false">Sens!$E$9011+(glt_ind-Sens!$E$9011)*MIN(1,(Sens!J8958-base_fy)/n_conv)</f>
        <v>0.0757809813397042</v>
      </c>
      <c r="K9011" s="7" t="n">
        <f aca="false">Sens!$E$9011+(glt_ind-Sens!$E$9011)*MIN(1,(Sens!K8958-base_fy)/n_conv)</f>
        <v>0.07</v>
      </c>
    </row>
    <row r="9012" customFormat="false" ht="17.15" hidden="false" customHeight="false" outlineLevel="0" collapsed="false">
      <c r="A9012" s="0" t="s">
        <v>1040</v>
      </c>
      <c r="B9012" s="0" t="s">
        <v>98</v>
      </c>
      <c r="D9012" s="6" t="n">
        <f aca="false">Q!L10</f>
        <v>7.76</v>
      </c>
      <c r="E9012" s="6" t="n">
        <f aca="false">Q!M10</f>
        <v>8.26</v>
      </c>
      <c r="F9012" s="6" t="n">
        <f aca="false">Q!$I$10+(Q!M10-Q!$E$10)*(1+Sens!F9013)</f>
        <v>8.75372082474227</v>
      </c>
      <c r="G9012" s="6" t="n">
        <f aca="false">Sens!F9012*(1+Sens!G9013)</f>
        <v>9.33399324642364</v>
      </c>
      <c r="H9012" s="6" t="n">
        <f aca="false">Sens!G9012*(1+Sens!H9013)</f>
        <v>9.96139155535851</v>
      </c>
      <c r="I9012" s="6" t="n">
        <f aca="false">Sens!H9012*(1+Sens!I9013)</f>
        <v>10.6402039077391</v>
      </c>
      <c r="J9012" s="6" t="n">
        <f aca="false">Sens!I9012*(1+Sens!J9013)</f>
        <v>11.3751458271397</v>
      </c>
      <c r="K9012" s="6" t="n">
        <f aca="false">Sens!J9012*(1+Sens!K9013)</f>
        <v>12.1714060350394</v>
      </c>
      <c r="L9012" s="12" t="s">
        <v>1038</v>
      </c>
    </row>
    <row r="9013" customFormat="false" ht="15" hidden="false" customHeight="false" outlineLevel="0" collapsed="false">
      <c r="A9013" s="1" t="s">
        <v>1028</v>
      </c>
      <c r="B9013" s="0" t="s">
        <v>168</v>
      </c>
      <c r="E9013" s="7" t="n">
        <f aca="false">Sens!E9012/Sens!D9012-1</f>
        <v>0.0644329896907216</v>
      </c>
      <c r="F9013" s="7" t="n">
        <f aca="false">Sens!$E$9013+(glt_fro-Sens!$E$9013)*MIN(1,(Sens!F8958-base_fy)/n_conv)</f>
        <v>0.065360824742268</v>
      </c>
      <c r="G9013" s="7" t="n">
        <f aca="false">Sens!$E$9013+(glt_fro-Sens!$E$9013)*MIN(1,(Sens!G8958-base_fy)/n_conv)</f>
        <v>0.0662886597938144</v>
      </c>
      <c r="H9013" s="7" t="n">
        <f aca="false">Sens!$E$9013+(glt_fro-Sens!$E$9013)*MIN(1,(Sens!H8958-base_fy)/n_conv)</f>
        <v>0.0672164948453608</v>
      </c>
      <c r="I9013" s="7" t="n">
        <f aca="false">Sens!$E$9013+(glt_fro-Sens!$E$9013)*MIN(1,(Sens!I8958-base_fy)/n_conv)</f>
        <v>0.0681443298969072</v>
      </c>
      <c r="J9013" s="7" t="n">
        <f aca="false">Sens!$E$9013+(glt_fro-Sens!$E$9013)*MIN(1,(Sens!J8958-base_fy)/n_conv)</f>
        <v>0.0690721649484536</v>
      </c>
      <c r="K9013" s="7" t="n">
        <f aca="false">Sens!$E$9013+(glt_fro-Sens!$E$9013)*MIN(1,(Sens!K8958-base_fy)/n_conv)</f>
        <v>0.07</v>
      </c>
    </row>
    <row r="9014" customFormat="false" ht="15" hidden="false" customHeight="false" outlineLevel="0" collapsed="false">
      <c r="A9014" s="0" t="s">
        <v>856</v>
      </c>
      <c r="B9014" s="0" t="s">
        <v>98</v>
      </c>
      <c r="D9014" s="6" t="n">
        <f aca="false">Sens!D9002+Sens!D9007+Sens!D9008+Sens!D9010+Sens!D9012</f>
        <v>218.783</v>
      </c>
      <c r="E9014" s="6" t="n">
        <f aca="false">Sens!E9002+Sens!E9007+Sens!E9008+Sens!E9010+Sens!E9012</f>
        <v>268.127</v>
      </c>
      <c r="F9014" s="6" t="n">
        <f aca="false">Sens!F9002+Sens!F9007+Sens!F9008+Sens!F9010+Sens!F9012</f>
        <v>331.749191371041</v>
      </c>
      <c r="G9014" s="6" t="n">
        <f aca="false">Sens!G9002+Sens!G9007+Sens!G9008+Sens!G9010+Sens!G9012</f>
        <v>394.804272408494</v>
      </c>
      <c r="H9014" s="6" t="n">
        <f aca="false">Sens!H9002+Sens!H9007+Sens!H9008+Sens!H9010+Sens!H9012</f>
        <v>453.235011244725</v>
      </c>
      <c r="I9014" s="6" t="n">
        <f aca="false">Sens!I9002+Sens!I9007+Sens!I9008+Sens!I9010+Sens!I9012</f>
        <v>513.776917721716</v>
      </c>
      <c r="J9014" s="6" t="n">
        <f aca="false">Sens!J9002+Sens!J9007+Sens!J9008+Sens!J9010+Sens!J9012</f>
        <v>563.747685437604</v>
      </c>
      <c r="K9014" s="6" t="n">
        <f aca="false">Sens!K9002+Sens!K9007+Sens!K9008+Sens!K9010+Sens!K9012</f>
        <v>603.713030097464</v>
      </c>
    </row>
    <row r="9015" customFormat="false" ht="17.15" hidden="false" customHeight="false" outlineLevel="0" collapsed="false">
      <c r="A9015" s="0" t="s">
        <v>1041</v>
      </c>
      <c r="B9015" s="0" t="s">
        <v>98</v>
      </c>
      <c r="D9015" s="6" t="n">
        <f aca="false">Q!L13</f>
        <v>22.171</v>
      </c>
      <c r="E9015" s="6" t="n">
        <f aca="false">Q!M13</f>
        <v>24.835</v>
      </c>
      <c r="F9015" s="6" t="n">
        <f aca="false">Q!$I$13+(Q!M13-Q!$E$13)*(1+Sens!F9016)</f>
        <v>27.5591895660247</v>
      </c>
      <c r="G9015" s="6" t="n">
        <f aca="false">Sens!F9015*(1+Sens!G9016)</f>
        <v>30.4098563144583</v>
      </c>
      <c r="H9015" s="6" t="n">
        <f aca="false">Sens!G9015*(1+Sens!H9016)</f>
        <v>33.3011792571777</v>
      </c>
      <c r="I9015" s="6" t="n">
        <f aca="false">Sens!H9015*(1+Sens!I9016)</f>
        <v>36.189023797112</v>
      </c>
      <c r="J9015" s="6" t="n">
        <f aca="false">Sens!I9015*(1+Sens!J9016)</f>
        <v>39.0247773769199</v>
      </c>
      <c r="K9015" s="6" t="n">
        <f aca="false">Sens!J9015*(1+Sens!K9016)</f>
        <v>41.7565117933043</v>
      </c>
      <c r="L9015" s="12" t="s">
        <v>1038</v>
      </c>
    </row>
    <row r="9016" customFormat="false" ht="15" hidden="false" customHeight="false" outlineLevel="0" collapsed="false">
      <c r="A9016" s="1" t="s">
        <v>1028</v>
      </c>
      <c r="B9016" s="0" t="s">
        <v>168</v>
      </c>
      <c r="E9016" s="7" t="n">
        <f aca="false">Sens!E9015/Sens!D9015-1</f>
        <v>0.120156961796942</v>
      </c>
      <c r="F9016" s="7" t="n">
        <f aca="false">Sens!$E$9016+(glt_srch-Sens!$E$9016)*MIN(1,(Sens!F8958-base_fy)/n_conv)</f>
        <v>0.111797468164118</v>
      </c>
      <c r="G9016" s="7" t="n">
        <f aca="false">Sens!$E$9016+(glt_srch-Sens!$E$9016)*MIN(1,(Sens!G8958-base_fy)/n_conv)</f>
        <v>0.103437974531295</v>
      </c>
      <c r="H9016" s="7" t="n">
        <f aca="false">Sens!$E$9016+(glt_srch-Sens!$E$9016)*MIN(1,(Sens!H8958-base_fy)/n_conv)</f>
        <v>0.095078480898471</v>
      </c>
      <c r="I9016" s="7" t="n">
        <f aca="false">Sens!$E$9016+(glt_srch-Sens!$E$9016)*MIN(1,(Sens!I8958-base_fy)/n_conv)</f>
        <v>0.0867189872656474</v>
      </c>
      <c r="J9016" s="7" t="n">
        <f aca="false">Sens!$E$9016+(glt_srch-Sens!$E$9016)*MIN(1,(Sens!J8958-base_fy)/n_conv)</f>
        <v>0.0783594936328237</v>
      </c>
      <c r="K9016" s="7" t="n">
        <f aca="false">Sens!$E$9016+(glt_srch-Sens!$E$9016)*MIN(1,(Sens!K8958-base_fy)/n_conv)</f>
        <v>0.07</v>
      </c>
    </row>
    <row r="9017" customFormat="false" ht="17.15" hidden="false" customHeight="false" outlineLevel="0" collapsed="false">
      <c r="A9017" s="0" t="s">
        <v>1042</v>
      </c>
      <c r="B9017" s="0" t="s">
        <v>98</v>
      </c>
      <c r="D9017" s="6" t="n">
        <f aca="false">Q!L14</f>
        <v>23.455</v>
      </c>
      <c r="E9017" s="6" t="n">
        <f aca="false">Q!M14</f>
        <v>21.79</v>
      </c>
      <c r="F9017" s="6" t="n">
        <f aca="false">Q!$I$14+(Q!M14-Q!$E$14)*(1+Sens!F9018)</f>
        <v>20.7520981041711</v>
      </c>
      <c r="G9017" s="6" t="n">
        <f aca="false">Sens!F9017*(1+Sens!G9018)</f>
        <v>19.9083593495882</v>
      </c>
      <c r="H9017" s="6" t="n">
        <f aca="false">Sens!G9017*(1+Sens!H9018)</f>
        <v>19.4008256265831</v>
      </c>
      <c r="I9017" s="6" t="n">
        <f aca="false">Sens!H9017*(1+Sens!I9018)</f>
        <v>19.200434522122</v>
      </c>
      <c r="J9017" s="6" t="n">
        <f aca="false">Sens!I9017*(1+Sens!J9018)</f>
        <v>19.2932782348507</v>
      </c>
      <c r="K9017" s="6" t="n">
        <f aca="false">Sens!J9017*(1+Sens!K9018)</f>
        <v>19.6791437995477</v>
      </c>
      <c r="L9017" s="12" t="s">
        <v>1038</v>
      </c>
    </row>
    <row r="9018" customFormat="false" ht="15" hidden="false" customHeight="false" outlineLevel="0" collapsed="false">
      <c r="A9018" s="1" t="s">
        <v>1028</v>
      </c>
      <c r="B9018" s="0" t="s">
        <v>168</v>
      </c>
      <c r="E9018" s="7" t="n">
        <f aca="false">Sens!E9017/Sens!D9017-1</f>
        <v>-0.0709869963760392</v>
      </c>
      <c r="F9018" s="7" t="n">
        <f aca="false">Sens!$E$9018+(glt_xbox-Sens!$E$9018)*MIN(1,(Sens!F8958-base_fy)/n_conv)</f>
        <v>-0.0558224969800327</v>
      </c>
      <c r="G9018" s="7" t="n">
        <f aca="false">Sens!$E$9018+(glt_xbox-Sens!$E$9018)*MIN(1,(Sens!G8958-base_fy)/n_conv)</f>
        <v>-0.0406579975840262</v>
      </c>
      <c r="H9018" s="7" t="n">
        <f aca="false">Sens!$E$9018+(glt_xbox-Sens!$E$9018)*MIN(1,(Sens!H8958-base_fy)/n_conv)</f>
        <v>-0.0254934981880196</v>
      </c>
      <c r="I9018" s="7" t="n">
        <f aca="false">Sens!$E$9018+(glt_xbox-Sens!$E$9018)*MIN(1,(Sens!I8958-base_fy)/n_conv)</f>
        <v>-0.0103289987920131</v>
      </c>
      <c r="J9018" s="7" t="n">
        <f aca="false">Sens!$E$9018+(glt_xbox-Sens!$E$9018)*MIN(1,(Sens!J8958-base_fy)/n_conv)</f>
        <v>0.00483550060399347</v>
      </c>
      <c r="K9018" s="7" t="n">
        <f aca="false">Sens!$E$9018+(glt_xbox-Sens!$E$9018)*MIN(1,(Sens!K8958-base_fy)/n_conv)</f>
        <v>0.02</v>
      </c>
    </row>
    <row r="9019" customFormat="false" ht="17.15" hidden="false" customHeight="false" outlineLevel="0" collapsed="false">
      <c r="A9019" s="0" t="s">
        <v>1043</v>
      </c>
      <c r="B9019" s="0" t="s">
        <v>98</v>
      </c>
      <c r="D9019" s="6" t="n">
        <f aca="false">Q!L15</f>
        <v>17.315</v>
      </c>
      <c r="E9019" s="6" t="n">
        <f aca="false">Q!M15</f>
        <v>17.087</v>
      </c>
      <c r="F9019" s="6" t="n">
        <f aca="false">Q!$I$15+(Q!M15-Q!$E$15)*(1+Sens!F9020)</f>
        <v>15.9912273250553</v>
      </c>
      <c r="G9019" s="6" t="n">
        <f aca="false">Sens!F9019*(1+Sens!G9020)</f>
        <v>15.9574562664827</v>
      </c>
      <c r="H9019" s="6" t="n">
        <f aca="false">Sens!G9019*(1+Sens!H9020)</f>
        <v>16.0119687434196</v>
      </c>
      <c r="I9019" s="6" t="n">
        <f aca="false">Sens!H9019*(1+Sens!I9020)</f>
        <v>16.1551810001948</v>
      </c>
      <c r="J9019" s="6" t="n">
        <f aca="false">Sens!I9019*(1+Sens!J9020)</f>
        <v>16.3889793892005</v>
      </c>
      <c r="K9019" s="6" t="n">
        <f aca="false">Sens!J9019*(1+Sens!K9020)</f>
        <v>16.7167589769845</v>
      </c>
      <c r="L9019" s="12" t="s">
        <v>1038</v>
      </c>
    </row>
    <row r="9020" customFormat="false" ht="15" hidden="false" customHeight="false" outlineLevel="0" collapsed="false">
      <c r="A9020" s="1" t="s">
        <v>1028</v>
      </c>
      <c r="B9020" s="0" t="s">
        <v>168</v>
      </c>
      <c r="E9020" s="7" t="n">
        <f aca="false">Sens!E9019/Sens!D9019-1</f>
        <v>-0.0131677736066995</v>
      </c>
      <c r="F9020" s="7" t="n">
        <f aca="false">Sens!$E$9020+(glt_win-Sens!$E$9020)*MIN(1,(Sens!F8958-base_fy)/n_conv)</f>
        <v>-0.00763981133891627</v>
      </c>
      <c r="G9020" s="7" t="n">
        <f aca="false">Sens!$E$9020+(glt_win-Sens!$E$9020)*MIN(1,(Sens!G8958-base_fy)/n_conv)</f>
        <v>-0.00211184907113301</v>
      </c>
      <c r="H9020" s="7" t="n">
        <f aca="false">Sens!$E$9020+(glt_win-Sens!$E$9020)*MIN(1,(Sens!H8958-base_fy)/n_conv)</f>
        <v>0.00341611319665024</v>
      </c>
      <c r="I9020" s="7" t="n">
        <f aca="false">Sens!$E$9020+(glt_win-Sens!$E$9020)*MIN(1,(Sens!I8958-base_fy)/n_conv)</f>
        <v>0.00894407546443349</v>
      </c>
      <c r="J9020" s="7" t="n">
        <f aca="false">Sens!$E$9020+(glt_win-Sens!$E$9020)*MIN(1,(Sens!J8958-base_fy)/n_conv)</f>
        <v>0.0144720377322168</v>
      </c>
      <c r="K9020" s="7" t="n">
        <f aca="false">Sens!$E$9020+(glt_win-Sens!$E$9020)*MIN(1,(Sens!K8958-base_fy)/n_conv)</f>
        <v>0.02</v>
      </c>
    </row>
    <row r="9021" customFormat="false" ht="15" hidden="false" customHeight="false" outlineLevel="0" collapsed="false">
      <c r="A9021" s="0" t="s">
        <v>870</v>
      </c>
      <c r="B9021" s="0" t="s">
        <v>98</v>
      </c>
      <c r="D9021" s="6" t="n">
        <f aca="false">Sens!D9015+Sens!D9017+Sens!D9019</f>
        <v>62.941</v>
      </c>
      <c r="E9021" s="6" t="n">
        <f aca="false">Sens!E9015+Sens!E9017+Sens!E9019</f>
        <v>63.712</v>
      </c>
      <c r="F9021" s="6" t="n">
        <f aca="false">Sens!F9015+Sens!F9017+Sens!F9019</f>
        <v>64.3025149952511</v>
      </c>
      <c r="G9021" s="6" t="n">
        <f aca="false">Sens!G9015+Sens!G9017+Sens!G9019</f>
        <v>66.2756719305292</v>
      </c>
      <c r="H9021" s="6" t="n">
        <f aca="false">Sens!H9015+Sens!H9017+Sens!H9019</f>
        <v>68.7139736271804</v>
      </c>
      <c r="I9021" s="6" t="n">
        <f aca="false">Sens!I9015+Sens!I9017+Sens!I9019</f>
        <v>71.5446393194289</v>
      </c>
      <c r="J9021" s="6" t="n">
        <f aca="false">Sens!J9015+Sens!J9017+Sens!J9019</f>
        <v>74.707035000971</v>
      </c>
      <c r="K9021" s="6" t="n">
        <f aca="false">Sens!K9015+Sens!K9017+Sens!K9019</f>
        <v>78.1524145698365</v>
      </c>
    </row>
    <row r="9022" customFormat="false" ht="15" hidden="false" customHeight="false" outlineLevel="0" collapsed="false">
      <c r="A9022" s="1" t="s">
        <v>1044</v>
      </c>
      <c r="B9022" s="0" t="s">
        <v>98</v>
      </c>
      <c r="D9022" s="6" t="n">
        <f aca="false">Sens!D9014+Sens!D9021</f>
        <v>281.724</v>
      </c>
      <c r="E9022" s="6" t="n">
        <f aca="false">Sens!E9014+Sens!E9021</f>
        <v>331.839</v>
      </c>
      <c r="F9022" s="6" t="n">
        <f aca="false">Sens!F9014+Sens!F9021</f>
        <v>396.051706366293</v>
      </c>
      <c r="G9022" s="6" t="n">
        <f aca="false">Sens!G9014+Sens!G9021</f>
        <v>461.079944339023</v>
      </c>
      <c r="H9022" s="6" t="n">
        <f aca="false">Sens!H9014+Sens!H9021</f>
        <v>521.948984871906</v>
      </c>
      <c r="I9022" s="6" t="n">
        <f aca="false">Sens!I9014+Sens!I9021</f>
        <v>585.321557041145</v>
      </c>
      <c r="J9022" s="6" t="n">
        <f aca="false">Sens!J9014+Sens!J9021</f>
        <v>638.454720438575</v>
      </c>
      <c r="K9022" s="6" t="n">
        <f aca="false">Sens!K9014+Sens!K9021</f>
        <v>681.865444667301</v>
      </c>
    </row>
    <row r="9023" customFormat="false" ht="15" hidden="false" customHeight="false" outlineLevel="0" collapsed="false">
      <c r="A9023" s="26" t="s">
        <v>1045</v>
      </c>
      <c r="B9023" s="31" t="s">
        <v>98</v>
      </c>
      <c r="C9023" s="31"/>
      <c r="D9023" s="27" t="n">
        <f aca="false">(Sens!D9002+Sens!D9007+Sens!D9008+Sens!D9010+Sens!D9012-Sens!D9014)+(Sens!D9015+Sens!D9017+Sens!D9019-Sens!D9021)+(Sens!D9014-Q!L5)+(Sens!D9021-Q!L12)+(Sens!D9002-Q!L6)+(Sens!D9007-Q!L7)</f>
        <v>0</v>
      </c>
      <c r="E9023" s="27" t="n">
        <f aca="false">(Sens!E9002+Sens!E9007+Sens!E9008+Sens!E9010+Sens!E9012-Sens!E9014)+(Sens!E9015+Sens!E9017+Sens!E9019-Sens!E9021)+(Sens!E9014-Q!M5)+(Sens!E9021-Q!M12)+(Sens!E9002-Q!M6)+(Sens!E9007-Q!M7)</f>
        <v>0</v>
      </c>
      <c r="F9023" s="27" t="n">
        <f aca="false">(Sens!F9002+Sens!F9007+Sens!F9008+Sens!F9010+Sens!F9012-Sens!F9014)+(Sens!F9015+Sens!F9017+Sens!F9019-Sens!F9021)</f>
        <v>0</v>
      </c>
      <c r="G9023" s="27" t="n">
        <f aca="false">(Sens!G9002+Sens!G9007+Sens!G9008+Sens!G9010+Sens!G9012-Sens!G9014)+(Sens!G9015+Sens!G9017+Sens!G9019-Sens!G9021)</f>
        <v>0</v>
      </c>
      <c r="H9023" s="27" t="n">
        <f aca="false">(Sens!H9002+Sens!H9007+Sens!H9008+Sens!H9010+Sens!H9012-Sens!H9014)+(Sens!H9015+Sens!H9017+Sens!H9019-Sens!H9021)</f>
        <v>0</v>
      </c>
      <c r="I9023" s="27" t="n">
        <f aca="false">(Sens!I9002+Sens!I9007+Sens!I9008+Sens!I9010+Sens!I9012-Sens!I9014)+(Sens!I9015+Sens!I9017+Sens!I9019-Sens!I9021)</f>
        <v>0</v>
      </c>
      <c r="J9023" s="27" t="n">
        <f aca="false">(Sens!J9002+Sens!J9007+Sens!J9008+Sens!J9010+Sens!J9012-Sens!J9014)+(Sens!J9015+Sens!J9017+Sens!J9019-Sens!J9021)</f>
        <v>0</v>
      </c>
      <c r="K9023" s="27" t="n">
        <f aca="false">(Sens!K9002+Sens!K9007+Sens!K9008+Sens!K9010+Sens!K9012-Sens!K9014)+(Sens!K9015+Sens!K9017+Sens!K9019-Sens!K9021)</f>
        <v>0</v>
      </c>
    </row>
    <row r="9024" customFormat="false" ht="17.15" hidden="false" customHeight="false" outlineLevel="0" collapsed="false">
      <c r="A9024" s="3" t="s">
        <v>1837</v>
      </c>
    </row>
    <row r="9025" customFormat="false" ht="15" hidden="false" customHeight="false" outlineLevel="0" collapsed="false">
      <c r="A9025" s="4" t="s">
        <v>43</v>
      </c>
      <c r="B9025" s="4" t="s">
        <v>65</v>
      </c>
      <c r="C9025" s="23" t="s">
        <v>942</v>
      </c>
      <c r="D9025" s="23" t="s">
        <v>943</v>
      </c>
      <c r="E9025" s="23" t="s">
        <v>944</v>
      </c>
      <c r="F9025" s="23" t="s">
        <v>945</v>
      </c>
      <c r="G9025" s="23" t="s">
        <v>946</v>
      </c>
      <c r="H9025" s="23" t="s">
        <v>947</v>
      </c>
      <c r="I9025" s="23" t="s">
        <v>948</v>
      </c>
      <c r="J9025" s="23" t="s">
        <v>949</v>
      </c>
      <c r="K9025" s="23" t="s">
        <v>950</v>
      </c>
      <c r="L9025" s="4" t="s">
        <v>47</v>
      </c>
    </row>
    <row r="9026" customFormat="false" ht="15" hidden="false" customHeight="false" outlineLevel="0" collapsed="false">
      <c r="A9026" s="0" t="s">
        <v>1029</v>
      </c>
      <c r="B9026" s="0" t="s">
        <v>98</v>
      </c>
      <c r="D9026" s="6" t="n">
        <f aca="false">Sens!D9002</f>
        <v>72.61</v>
      </c>
      <c r="E9026" s="6" t="n">
        <f aca="false">Sens!E9002</f>
        <v>101.938</v>
      </c>
      <c r="F9026" s="6" t="n">
        <f aca="false">Sens!F9002</f>
        <v>143.251883553698</v>
      </c>
      <c r="G9026" s="6" t="n">
        <f aca="false">Sens!G9002</f>
        <v>186.322520879442</v>
      </c>
      <c r="H9026" s="6" t="n">
        <f aca="false">Sens!H9002</f>
        <v>224.74279426379</v>
      </c>
      <c r="I9026" s="6" t="n">
        <f aca="false">Sens!I9002</f>
        <v>266.443497823359</v>
      </c>
      <c r="J9026" s="6" t="n">
        <f aca="false">Sens!J9002</f>
        <v>299.06102493502</v>
      </c>
      <c r="K9026" s="6" t="n">
        <f aca="false">Sens!K9002</f>
        <v>322.592740225023</v>
      </c>
    </row>
    <row r="9027" customFormat="false" ht="17.15" hidden="false" customHeight="false" outlineLevel="0" collapsed="false">
      <c r="A9027" s="0" t="s">
        <v>1025</v>
      </c>
      <c r="B9027" s="0" t="s">
        <v>98</v>
      </c>
      <c r="D9027" s="6" t="n">
        <f aca="false">Sens!D8999</f>
        <v>12.9359794422418</v>
      </c>
      <c r="E9027" s="6" t="n">
        <f aca="false">Sens!E8999</f>
        <v>27.8095064661409</v>
      </c>
      <c r="F9027" s="6" t="n">
        <f aca="false">Sens!F8999</f>
        <v>50.9819294352312</v>
      </c>
      <c r="G9027" s="6" t="n">
        <f aca="false">Sens!G8999</f>
        <v>76.6920436014933</v>
      </c>
      <c r="H9027" s="6" t="n">
        <f aca="false">Sens!H8999</f>
        <v>97.4495379418341</v>
      </c>
      <c r="I9027" s="6" t="n">
        <f aca="false">Sens!I8999</f>
        <v>122.083445553868</v>
      </c>
      <c r="J9027" s="6" t="n">
        <f aca="false">Sens!J8999</f>
        <v>139.249060444804</v>
      </c>
      <c r="K9027" s="6" t="n">
        <f aca="false">Sens!K8999</f>
        <v>149.995818575589</v>
      </c>
    </row>
    <row r="9028" customFormat="false" ht="17.15" hidden="false" customHeight="false" outlineLevel="0" collapsed="false">
      <c r="A9028" s="0" t="s">
        <v>1056</v>
      </c>
      <c r="B9028" s="0" t="s">
        <v>98</v>
      </c>
      <c r="D9028" s="6" t="n">
        <f aca="false">Sens!D9000</f>
        <v>59.6740205577583</v>
      </c>
      <c r="E9028" s="6" t="n">
        <f aca="false">Sens!E9000</f>
        <v>74.1284935338591</v>
      </c>
      <c r="F9028" s="6" t="n">
        <f aca="false">Sens!F9000</f>
        <v>92.2699541184664</v>
      </c>
      <c r="G9028" s="6" t="n">
        <f aca="false">Sens!G9000</f>
        <v>109.630477277949</v>
      </c>
      <c r="H9028" s="6" t="n">
        <f aca="false">Sens!H9000</f>
        <v>127.293256321956</v>
      </c>
      <c r="I9028" s="6" t="n">
        <f aca="false">Sens!I9000</f>
        <v>144.360052269491</v>
      </c>
      <c r="J9028" s="6" t="n">
        <f aca="false">Sens!J9000</f>
        <v>159.811964490216</v>
      </c>
      <c r="K9028" s="6" t="n">
        <f aca="false">Sens!K9000</f>
        <v>172.596921649434</v>
      </c>
    </row>
    <row r="9029" customFormat="false" ht="15" hidden="false" customHeight="false" outlineLevel="0" collapsed="false">
      <c r="A9029" s="0" t="s">
        <v>1036</v>
      </c>
      <c r="B9029" s="0" t="s">
        <v>98</v>
      </c>
      <c r="D9029" s="6" t="n">
        <f aca="false">Sens!D9007</f>
        <v>84.605</v>
      </c>
      <c r="E9029" s="6" t="n">
        <f aca="false">Sens!E9007</f>
        <v>100.299</v>
      </c>
      <c r="F9029" s="6" t="n">
        <f aca="false">Sens!F9007</f>
        <v>119.042263500935</v>
      </c>
      <c r="G9029" s="6" t="n">
        <f aca="false">Sens!G9007</f>
        <v>134.742872986443</v>
      </c>
      <c r="H9029" s="6" t="n">
        <f aca="false">Sens!H9007</f>
        <v>150.524549911307</v>
      </c>
      <c r="I9029" s="6" t="n">
        <f aca="false">Sens!I9007</f>
        <v>165.230447915167</v>
      </c>
      <c r="J9029" s="6" t="n">
        <f aca="false">Sens!J9007</f>
        <v>178.580280563771</v>
      </c>
      <c r="K9029" s="6" t="n">
        <f aca="false">Sens!K9007</f>
        <v>191.179900203235</v>
      </c>
    </row>
    <row r="9030" customFormat="false" ht="17.15" hidden="false" customHeight="false" outlineLevel="0" collapsed="false">
      <c r="A9030" s="0" t="s">
        <v>1057</v>
      </c>
      <c r="B9030" s="0" t="s">
        <v>98</v>
      </c>
      <c r="D9030" s="6" t="n">
        <f aca="false">Sens!D9005</f>
        <v>83.705</v>
      </c>
      <c r="E9030" s="6" t="n">
        <f aca="false">Sens!E9005</f>
        <v>95.049</v>
      </c>
      <c r="F9030" s="6" t="n">
        <f aca="false">Sens!F9005</f>
        <v>106.442263500935</v>
      </c>
      <c r="G9030" s="6" t="n">
        <f aca="false">Sens!G9005</f>
        <v>118.542872986443</v>
      </c>
      <c r="H9030" s="6" t="n">
        <f aca="false">Sens!H9005</f>
        <v>130.724549911307</v>
      </c>
      <c r="I9030" s="6" t="n">
        <f aca="false">Sens!I9005</f>
        <v>142.730447915167</v>
      </c>
      <c r="J9030" s="6" t="n">
        <f aca="false">Sens!J9005</f>
        <v>154.280280563771</v>
      </c>
      <c r="K9030" s="6" t="n">
        <f aca="false">Sens!K9005</f>
        <v>165.079900203235</v>
      </c>
    </row>
    <row r="9031" customFormat="false" ht="17.15" hidden="false" customHeight="false" outlineLevel="0" collapsed="false">
      <c r="A9031" s="0" t="s">
        <v>1058</v>
      </c>
      <c r="B9031" s="0" t="s">
        <v>98</v>
      </c>
      <c r="D9031" s="6" t="n">
        <f aca="false">Sens!D9004</f>
        <v>0.9</v>
      </c>
      <c r="E9031" s="6" t="n">
        <f aca="false">Sens!E9004</f>
        <v>5.25</v>
      </c>
      <c r="F9031" s="6" t="n">
        <f aca="false">Sens!F9004</f>
        <v>12.6</v>
      </c>
      <c r="G9031" s="6" t="n">
        <f aca="false">Sens!G9004</f>
        <v>16.2</v>
      </c>
      <c r="H9031" s="6" t="n">
        <f aca="false">Sens!H9004</f>
        <v>19.8</v>
      </c>
      <c r="I9031" s="6" t="n">
        <f aca="false">Sens!I9004</f>
        <v>22.5</v>
      </c>
      <c r="J9031" s="6" t="n">
        <f aca="false">Sens!J9004</f>
        <v>24.3</v>
      </c>
      <c r="K9031" s="6" t="n">
        <f aca="false">Sens!K9004</f>
        <v>26.1</v>
      </c>
    </row>
    <row r="9032" customFormat="false" ht="15" hidden="false" customHeight="false" outlineLevel="0" collapsed="false">
      <c r="A9032" s="0" t="s">
        <v>1037</v>
      </c>
      <c r="B9032" s="0" t="s">
        <v>98</v>
      </c>
      <c r="D9032" s="6" t="n">
        <f aca="false">Sens!D9008</f>
        <v>35.391</v>
      </c>
      <c r="E9032" s="6" t="n">
        <f aca="false">Sens!E9008</f>
        <v>37.285</v>
      </c>
      <c r="F9032" s="6" t="n">
        <f aca="false">Sens!F9008</f>
        <v>38.3851437782675</v>
      </c>
      <c r="G9032" s="6" t="n">
        <f aca="false">Sens!G9008</f>
        <v>40.0105353288615</v>
      </c>
      <c r="H9032" s="6" t="n">
        <f aca="false">Sens!H9008</f>
        <v>41.4812512033683</v>
      </c>
      <c r="I9032" s="6" t="n">
        <f aca="false">Sens!I9008</f>
        <v>42.7743107216329</v>
      </c>
      <c r="J9032" s="6" t="n">
        <f aca="false">Sens!J9008</f>
        <v>43.8687373064601</v>
      </c>
      <c r="K9032" s="6" t="n">
        <f aca="false">Sens!K9008</f>
        <v>44.7461120525893</v>
      </c>
    </row>
    <row r="9033" customFormat="false" ht="15" hidden="false" customHeight="false" outlineLevel="0" collapsed="false">
      <c r="A9033" s="0" t="s">
        <v>1039</v>
      </c>
      <c r="B9033" s="0" t="s">
        <v>98</v>
      </c>
      <c r="D9033" s="6" t="n">
        <f aca="false">Sens!D9010</f>
        <v>18.417</v>
      </c>
      <c r="E9033" s="6" t="n">
        <f aca="false">Sens!E9010</f>
        <v>20.345</v>
      </c>
      <c r="F9033" s="6" t="n">
        <f aca="false">Sens!F9010</f>
        <v>22.3161797133988</v>
      </c>
      <c r="G9033" s="6" t="n">
        <f aca="false">Sens!G9010</f>
        <v>24.3943499673233</v>
      </c>
      <c r="H9033" s="6" t="n">
        <f aca="false">Sens!H9010</f>
        <v>26.5250243109019</v>
      </c>
      <c r="I9033" s="6" t="n">
        <f aca="false">Sens!I9010</f>
        <v>28.6884573538181</v>
      </c>
      <c r="J9033" s="6" t="n">
        <f aca="false">Sens!J9010</f>
        <v>30.8624968052127</v>
      </c>
      <c r="K9033" s="6" t="n">
        <f aca="false">Sens!K9010</f>
        <v>33.0228715815776</v>
      </c>
    </row>
    <row r="9034" customFormat="false" ht="15" hidden="false" customHeight="false" outlineLevel="0" collapsed="false">
      <c r="A9034" s="0" t="s">
        <v>1040</v>
      </c>
      <c r="B9034" s="0" t="s">
        <v>98</v>
      </c>
      <c r="D9034" s="6" t="n">
        <f aca="false">Sens!D9012</f>
        <v>7.76</v>
      </c>
      <c r="E9034" s="6" t="n">
        <f aca="false">Sens!E9012</f>
        <v>8.26</v>
      </c>
      <c r="F9034" s="6" t="n">
        <f aca="false">Sens!F9012</f>
        <v>8.75372082474227</v>
      </c>
      <c r="G9034" s="6" t="n">
        <f aca="false">Sens!G9012</f>
        <v>9.33399324642364</v>
      </c>
      <c r="H9034" s="6" t="n">
        <f aca="false">Sens!H9012</f>
        <v>9.96139155535851</v>
      </c>
      <c r="I9034" s="6" t="n">
        <f aca="false">Sens!I9012</f>
        <v>10.6402039077391</v>
      </c>
      <c r="J9034" s="6" t="n">
        <f aca="false">Sens!J9012</f>
        <v>11.3751458271397</v>
      </c>
      <c r="K9034" s="6" t="n">
        <f aca="false">Sens!K9012</f>
        <v>12.1714060350394</v>
      </c>
    </row>
    <row r="9035" customFormat="false" ht="15" hidden="false" customHeight="false" outlineLevel="0" collapsed="false">
      <c r="A9035" s="0" t="s">
        <v>856</v>
      </c>
      <c r="B9035" s="0" t="s">
        <v>98</v>
      </c>
      <c r="D9035" s="6" t="n">
        <f aca="false">Sens!D9014</f>
        <v>218.783</v>
      </c>
      <c r="E9035" s="6" t="n">
        <f aca="false">Sens!E9014</f>
        <v>268.127</v>
      </c>
      <c r="F9035" s="6" t="n">
        <f aca="false">Sens!F9014</f>
        <v>331.749191371041</v>
      </c>
      <c r="G9035" s="6" t="n">
        <f aca="false">Sens!G9014</f>
        <v>394.804272408494</v>
      </c>
      <c r="H9035" s="6" t="n">
        <f aca="false">Sens!H9014</f>
        <v>453.235011244725</v>
      </c>
      <c r="I9035" s="6" t="n">
        <f aca="false">Sens!I9014</f>
        <v>513.776917721716</v>
      </c>
      <c r="J9035" s="6" t="n">
        <f aca="false">Sens!J9014</f>
        <v>563.747685437604</v>
      </c>
      <c r="K9035" s="6" t="n">
        <f aca="false">Sens!K9014</f>
        <v>603.713030097464</v>
      </c>
    </row>
    <row r="9036" customFormat="false" ht="15" hidden="false" customHeight="false" outlineLevel="0" collapsed="false">
      <c r="A9036" s="0" t="s">
        <v>1041</v>
      </c>
      <c r="B9036" s="0" t="s">
        <v>98</v>
      </c>
      <c r="D9036" s="6" t="n">
        <f aca="false">Sens!D9015</f>
        <v>22.171</v>
      </c>
      <c r="E9036" s="6" t="n">
        <f aca="false">Sens!E9015</f>
        <v>24.835</v>
      </c>
      <c r="F9036" s="6" t="n">
        <f aca="false">Sens!F9015</f>
        <v>27.5591895660247</v>
      </c>
      <c r="G9036" s="6" t="n">
        <f aca="false">Sens!G9015</f>
        <v>30.4098563144583</v>
      </c>
      <c r="H9036" s="6" t="n">
        <f aca="false">Sens!H9015</f>
        <v>33.3011792571777</v>
      </c>
      <c r="I9036" s="6" t="n">
        <f aca="false">Sens!I9015</f>
        <v>36.189023797112</v>
      </c>
      <c r="J9036" s="6" t="n">
        <f aca="false">Sens!J9015</f>
        <v>39.0247773769199</v>
      </c>
      <c r="K9036" s="6" t="n">
        <f aca="false">Sens!K9015</f>
        <v>41.7565117933043</v>
      </c>
    </row>
    <row r="9037" customFormat="false" ht="15" hidden="false" customHeight="false" outlineLevel="0" collapsed="false">
      <c r="A9037" s="0" t="s">
        <v>1042</v>
      </c>
      <c r="B9037" s="0" t="s">
        <v>98</v>
      </c>
      <c r="D9037" s="6" t="n">
        <f aca="false">Sens!D9017</f>
        <v>23.455</v>
      </c>
      <c r="E9037" s="6" t="n">
        <f aca="false">Sens!E9017</f>
        <v>21.79</v>
      </c>
      <c r="F9037" s="6" t="n">
        <f aca="false">Sens!F9017</f>
        <v>20.7520981041711</v>
      </c>
      <c r="G9037" s="6" t="n">
        <f aca="false">Sens!G9017</f>
        <v>19.9083593495882</v>
      </c>
      <c r="H9037" s="6" t="n">
        <f aca="false">Sens!H9017</f>
        <v>19.4008256265831</v>
      </c>
      <c r="I9037" s="6" t="n">
        <f aca="false">Sens!I9017</f>
        <v>19.200434522122</v>
      </c>
      <c r="J9037" s="6" t="n">
        <f aca="false">Sens!J9017</f>
        <v>19.2932782348507</v>
      </c>
      <c r="K9037" s="6" t="n">
        <f aca="false">Sens!K9017</f>
        <v>19.6791437995477</v>
      </c>
    </row>
    <row r="9038" customFormat="false" ht="15" hidden="false" customHeight="false" outlineLevel="0" collapsed="false">
      <c r="A9038" s="0" t="s">
        <v>1043</v>
      </c>
      <c r="B9038" s="0" t="s">
        <v>98</v>
      </c>
      <c r="D9038" s="6" t="n">
        <f aca="false">Sens!D9019</f>
        <v>17.315</v>
      </c>
      <c r="E9038" s="6" t="n">
        <f aca="false">Sens!E9019</f>
        <v>17.087</v>
      </c>
      <c r="F9038" s="6" t="n">
        <f aca="false">Sens!F9019</f>
        <v>15.9912273250553</v>
      </c>
      <c r="G9038" s="6" t="n">
        <f aca="false">Sens!G9019</f>
        <v>15.9574562664827</v>
      </c>
      <c r="H9038" s="6" t="n">
        <f aca="false">Sens!H9019</f>
        <v>16.0119687434196</v>
      </c>
      <c r="I9038" s="6" t="n">
        <f aca="false">Sens!I9019</f>
        <v>16.1551810001948</v>
      </c>
      <c r="J9038" s="6" t="n">
        <f aca="false">Sens!J9019</f>
        <v>16.3889793892005</v>
      </c>
      <c r="K9038" s="6" t="n">
        <f aca="false">Sens!K9019</f>
        <v>16.7167589769845</v>
      </c>
    </row>
    <row r="9039" customFormat="false" ht="15" hidden="false" customHeight="false" outlineLevel="0" collapsed="false">
      <c r="A9039" s="0" t="s">
        <v>870</v>
      </c>
      <c r="B9039" s="0" t="s">
        <v>98</v>
      </c>
      <c r="D9039" s="6" t="n">
        <f aca="false">Sens!D9021</f>
        <v>62.941</v>
      </c>
      <c r="E9039" s="6" t="n">
        <f aca="false">Sens!E9021</f>
        <v>63.712</v>
      </c>
      <c r="F9039" s="6" t="n">
        <f aca="false">Sens!F9021</f>
        <v>64.3025149952511</v>
      </c>
      <c r="G9039" s="6" t="n">
        <f aca="false">Sens!G9021</f>
        <v>66.2756719305292</v>
      </c>
      <c r="H9039" s="6" t="n">
        <f aca="false">Sens!H9021</f>
        <v>68.7139736271804</v>
      </c>
      <c r="I9039" s="6" t="n">
        <f aca="false">Sens!I9021</f>
        <v>71.5446393194289</v>
      </c>
      <c r="J9039" s="6" t="n">
        <f aca="false">Sens!J9021</f>
        <v>74.707035000971</v>
      </c>
      <c r="K9039" s="6" t="n">
        <f aca="false">Sens!K9021</f>
        <v>78.1524145698365</v>
      </c>
    </row>
    <row r="9040" customFormat="false" ht="15" hidden="false" customHeight="false" outlineLevel="0" collapsed="false">
      <c r="A9040" s="1" t="s">
        <v>1059</v>
      </c>
      <c r="B9040" s="0" t="s">
        <v>98</v>
      </c>
      <c r="D9040" s="6" t="n">
        <f aca="false">Sens!D9022</f>
        <v>281.724</v>
      </c>
      <c r="E9040" s="6" t="n">
        <f aca="false">Sens!E9022</f>
        <v>331.839</v>
      </c>
      <c r="F9040" s="6" t="n">
        <f aca="false">Sens!F9022</f>
        <v>396.051706366293</v>
      </c>
      <c r="G9040" s="6" t="n">
        <f aca="false">Sens!G9022</f>
        <v>461.079944339023</v>
      </c>
      <c r="H9040" s="6" t="n">
        <f aca="false">Sens!H9022</f>
        <v>521.948984871906</v>
      </c>
      <c r="I9040" s="6" t="n">
        <f aca="false">Sens!I9022</f>
        <v>585.321557041145</v>
      </c>
      <c r="J9040" s="6" t="n">
        <f aca="false">Sens!J9022</f>
        <v>638.454720438575</v>
      </c>
      <c r="K9040" s="6" t="n">
        <f aca="false">Sens!K9022</f>
        <v>681.865444667301</v>
      </c>
    </row>
    <row r="9041" customFormat="false" ht="15" hidden="false" customHeight="false" outlineLevel="0" collapsed="false">
      <c r="A9041" s="1" t="s">
        <v>1060</v>
      </c>
      <c r="B9041" s="0" t="s">
        <v>168</v>
      </c>
      <c r="E9041" s="7" t="n">
        <f aca="false">Sens!E9040/Sens!D9040-1</f>
        <v>0.177886867998467</v>
      </c>
      <c r="F9041" s="7" t="n">
        <f aca="false">Sens!F9040/Sens!E9040-1</f>
        <v>0.193505604724859</v>
      </c>
      <c r="G9041" s="7" t="n">
        <f aca="false">Sens!G9040/Sens!F9040-1</f>
        <v>0.164191283429514</v>
      </c>
      <c r="H9041" s="7" t="n">
        <f aca="false">Sens!H9040/Sens!G9040-1</f>
        <v>0.13201407105256</v>
      </c>
      <c r="I9041" s="7" t="n">
        <f aca="false">Sens!I9040/Sens!H9040-1</f>
        <v>0.121415260889514</v>
      </c>
      <c r="J9041" s="7" t="n">
        <f aca="false">Sens!J9040/Sens!I9040-1</f>
        <v>0.0907760234665247</v>
      </c>
      <c r="K9041" s="7" t="n">
        <f aca="false">Sens!K9040/Sens!J9040-1</f>
        <v>0.0679934266895319</v>
      </c>
    </row>
    <row r="9042" customFormat="false" ht="17.15" hidden="false" customHeight="false" outlineLevel="0" collapsed="false">
      <c r="A9042" s="26" t="s">
        <v>1061</v>
      </c>
      <c r="B9042" s="31" t="s">
        <v>98</v>
      </c>
      <c r="C9042" s="31"/>
      <c r="D9042" s="27" t="n">
        <f aca="false">(Sens!D9035+Sens!D9039-Sens!D9040)+(Sens!D9027+Sens!D9028-Sens!D9026)+(Sens!D9030+Sens!D9031-Sens!D9029)+(Sens!D9040-Q!L18)</f>
        <v>0</v>
      </c>
      <c r="E9042" s="27" t="n">
        <f aca="false">(Sens!E9035+Sens!E9039-Sens!E9040)+(Sens!E9027+Sens!E9028-Sens!E9026)+(Sens!E9030+Sens!E9031-Sens!E9029)+(Sens!E9040-Q!M18)</f>
        <v>0</v>
      </c>
      <c r="F9042" s="27" t="n">
        <f aca="false">(Sens!F9035+Sens!F9039-Sens!F9040)+(Sens!F9027+Sens!F9028-Sens!F9026)+(Sens!F9030+Sens!F9031-Sens!F9029)</f>
        <v>0</v>
      </c>
      <c r="G9042" s="27" t="n">
        <f aca="false">(Sens!G9035+Sens!G9039-Sens!G9040)+(Sens!G9027+Sens!G9028-Sens!G9026)+(Sens!G9030+Sens!G9031-Sens!G9029)</f>
        <v>0</v>
      </c>
      <c r="H9042" s="27" t="n">
        <f aca="false">(Sens!H9035+Sens!H9039-Sens!H9040)+(Sens!H9027+Sens!H9028-Sens!H9026)+(Sens!H9030+Sens!H9031-Sens!H9029)</f>
        <v>0</v>
      </c>
      <c r="I9042" s="27" t="n">
        <f aca="false">(Sens!I9035+Sens!I9039-Sens!I9040)+(Sens!I9027+Sens!I9028-Sens!I9026)+(Sens!I9030+Sens!I9031-Sens!I9029)</f>
        <v>0</v>
      </c>
      <c r="J9042" s="27" t="n">
        <f aca="false">(Sens!J9035+Sens!J9039-Sens!J9040)+(Sens!J9027+Sens!J9028-Sens!J9026)+(Sens!J9030+Sens!J9031-Sens!J9029)</f>
        <v>0</v>
      </c>
      <c r="K9042" s="27" t="n">
        <f aca="false">(Sens!K9035+Sens!K9039-Sens!K9040)+(Sens!K9027+Sens!K9028-Sens!K9026)+(Sens!K9030+Sens!K9031-Sens!K9029)</f>
        <v>0</v>
      </c>
    </row>
    <row r="9043" customFormat="false" ht="17.15" hidden="false" customHeight="false" outlineLevel="0" collapsed="false">
      <c r="A9043" s="0" t="s">
        <v>1062</v>
      </c>
      <c r="B9043" s="0" t="s">
        <v>168</v>
      </c>
      <c r="E9043" s="7" t="n">
        <f aca="false">(Q!M21+Sens!E8979+Sens!E8980+Sens!E8981+Sens!E8995-Sens!E8977)/(Q!M5-Sens!E8977)</f>
        <v>0.570957350878296</v>
      </c>
      <c r="F9043" s="7" t="n">
        <f aca="false">Sens!$E$9043+dm_seg</f>
        <v>0.570957350878296</v>
      </c>
      <c r="G9043" s="7" t="n">
        <f aca="false">Sens!$E$9043+dm_seg</f>
        <v>0.570957350878296</v>
      </c>
      <c r="H9043" s="7" t="n">
        <f aca="false">Sens!$E$9043+dm_seg</f>
        <v>0.570957350878296</v>
      </c>
      <c r="I9043" s="7" t="n">
        <f aca="false">Sens!$E$9043+dm_seg</f>
        <v>0.570957350878296</v>
      </c>
      <c r="J9043" s="7" t="n">
        <f aca="false">Sens!$E$9043+dm_seg</f>
        <v>0.570957350878296</v>
      </c>
      <c r="K9043" s="7" t="n">
        <f aca="false">Sens!$E$9043+dm_seg</f>
        <v>0.570957350878296</v>
      </c>
      <c r="L9043" s="12" t="s">
        <v>1063</v>
      </c>
    </row>
    <row r="9044" customFormat="false" ht="17.15" hidden="false" customHeight="false" outlineLevel="0" collapsed="false">
      <c r="A9044" s="0" t="s">
        <v>884</v>
      </c>
      <c r="B9044" s="0" t="s">
        <v>98</v>
      </c>
      <c r="D9044" s="6" t="n">
        <f aca="false">Q!L21</f>
        <v>110.814</v>
      </c>
      <c r="E9044" s="6" t="n">
        <f aca="false">Q!M21</f>
        <v>136.365</v>
      </c>
      <c r="F9044" s="6" t="n">
        <f aca="false">Q!$I$21+(Sens!F9043*(Sens!F9014-Sens!F8977)+Sens!F8977-(Sens!F8979+Sens!F8980+Sens!F8981)-Sens!F8995-Sens!F9078)*(Sens!F9014-Q!$I$5)/Sens!F9014</f>
        <v>158.986283355841</v>
      </c>
      <c r="G9044" s="6" t="n">
        <f aca="false">(Sens!G9043*(Sens!G9014-Sens!G8977)+Sens!G8977-(Sens!G8979+Sens!G8980+Sens!G8981)-Sens!G8995-Sens!G9078)</f>
        <v>162.514875840421</v>
      </c>
      <c r="H9044" s="6" t="n">
        <f aca="false">(Sens!H9043*(Sens!H9014-Sens!H8977)+Sens!H8977-(Sens!H8979+Sens!H8980+Sens!H8981)-Sens!H8995-Sens!H9078)</f>
        <v>164.286745835999</v>
      </c>
      <c r="I9044" s="6" t="n">
        <f aca="false">(Sens!I9043*(Sens!I9014-Sens!I8977)+Sens!I8977-(Sens!I8979+Sens!I8980+Sens!I8981)-Sens!I8995-Sens!I9078)</f>
        <v>173.79241948453</v>
      </c>
      <c r="J9044" s="6" t="n">
        <f aca="false">(Sens!J9043*(Sens!J9014-Sens!J8977)+Sens!J8977-(Sens!J8979+Sens!J8980+Sens!J8981)-Sens!J8995-Sens!J9078)</f>
        <v>184.7571677208</v>
      </c>
      <c r="K9044" s="6" t="n">
        <f aca="false">(Sens!K9043*(Sens!K9014-Sens!K8977)+Sens!K8977-(Sens!K8979+Sens!K8980+Sens!K8981)-Sens!K8995-Sens!K9078)</f>
        <v>197.132785891301</v>
      </c>
      <c r="L9044" s="1" t="s">
        <v>1064</v>
      </c>
    </row>
    <row r="9045" customFormat="false" ht="17.15" hidden="false" customHeight="false" outlineLevel="0" collapsed="false">
      <c r="A9045" s="0" t="s">
        <v>1065</v>
      </c>
      <c r="B9045" s="0" t="s">
        <v>168</v>
      </c>
      <c r="E9045" s="7" t="n">
        <f aca="false">Q!M22/Q!M12</f>
        <v>0.296207935710698</v>
      </c>
      <c r="F9045" s="7" t="n">
        <f aca="false">Sens!$E$9045+dm_seg</f>
        <v>0.296207935710698</v>
      </c>
      <c r="G9045" s="7" t="n">
        <f aca="false">Sens!$E$9045+dm_seg</f>
        <v>0.296207935710698</v>
      </c>
      <c r="H9045" s="7" t="n">
        <f aca="false">Sens!$E$9045+dm_seg</f>
        <v>0.296207935710698</v>
      </c>
      <c r="I9045" s="7" t="n">
        <f aca="false">Sens!$E$9045+dm_seg</f>
        <v>0.296207935710698</v>
      </c>
      <c r="J9045" s="7" t="n">
        <f aca="false">Sens!$E$9045+dm_seg</f>
        <v>0.296207935710698</v>
      </c>
      <c r="K9045" s="7" t="n">
        <f aca="false">Sens!$E$9045+dm_seg</f>
        <v>0.296207935710698</v>
      </c>
      <c r="L9045" s="12" t="s">
        <v>1066</v>
      </c>
    </row>
    <row r="9046" customFormat="false" ht="17.15" hidden="false" customHeight="false" outlineLevel="0" collapsed="false">
      <c r="A9046" s="0" t="s">
        <v>886</v>
      </c>
      <c r="B9046" s="0" t="s">
        <v>98</v>
      </c>
      <c r="D9046" s="6" t="n">
        <f aca="false">Q!L22</f>
        <v>17.714</v>
      </c>
      <c r="E9046" s="6" t="n">
        <f aca="false">Q!M22</f>
        <v>18.872</v>
      </c>
      <c r="F9046" s="6" t="n">
        <f aca="false">Q!$I$22+(Sens!F9021-Q!$I$12)*Sens!F9045</f>
        <v>19.8174315512051</v>
      </c>
      <c r="G9046" s="6" t="n">
        <f aca="false">Sens!G9021*Sens!G9045</f>
        <v>19.6313799703815</v>
      </c>
      <c r="H9046" s="6" t="n">
        <f aca="false">Sens!H9021*Sens!H9045</f>
        <v>20.3536242825865</v>
      </c>
      <c r="I9046" s="6" t="n">
        <f aca="false">Sens!I9021*Sens!I9045</f>
        <v>21.1920899239745</v>
      </c>
      <c r="J9046" s="6" t="n">
        <f aca="false">Sens!J9021*Sens!J9045</f>
        <v>22.1288166207045</v>
      </c>
      <c r="K9046" s="6" t="n">
        <f aca="false">Sens!K9021*Sens!K9045</f>
        <v>23.1493653905379</v>
      </c>
      <c r="L9046" s="12" t="s">
        <v>1067</v>
      </c>
    </row>
    <row r="9047" customFormat="false" ht="15" hidden="false" customHeight="false" outlineLevel="0" collapsed="false">
      <c r="A9047" s="1" t="s">
        <v>1068</v>
      </c>
      <c r="B9047" s="0" t="s">
        <v>98</v>
      </c>
      <c r="D9047" s="6" t="n">
        <f aca="false">Sens!D9044+Sens!D9046</f>
        <v>128.528</v>
      </c>
      <c r="E9047" s="6" t="n">
        <f aca="false">Sens!E9044+Sens!E9046</f>
        <v>155.237</v>
      </c>
      <c r="F9047" s="6" t="n">
        <f aca="false">Sens!F9044+Sens!F9046</f>
        <v>178.803714907046</v>
      </c>
      <c r="G9047" s="6" t="n">
        <f aca="false">Sens!G9044+Sens!G9046</f>
        <v>182.146255810802</v>
      </c>
      <c r="H9047" s="6" t="n">
        <f aca="false">Sens!H9044+Sens!H9046</f>
        <v>184.640370118585</v>
      </c>
      <c r="I9047" s="6" t="n">
        <f aca="false">Sens!I9044+Sens!I9046</f>
        <v>194.984509408504</v>
      </c>
      <c r="J9047" s="6" t="n">
        <f aca="false">Sens!J9044+Sens!J9046</f>
        <v>206.885984341505</v>
      </c>
      <c r="K9047" s="6" t="n">
        <f aca="false">Sens!K9044+Sens!K9046</f>
        <v>220.282151281839</v>
      </c>
    </row>
    <row r="9048" customFormat="false" ht="15" hidden="false" customHeight="false" outlineLevel="0" collapsed="false">
      <c r="A9048" s="26" t="s">
        <v>1069</v>
      </c>
      <c r="B9048" s="31" t="s">
        <v>98</v>
      </c>
      <c r="C9048" s="31"/>
      <c r="D9048" s="27" t="n">
        <f aca="false">Sens!D9047-Q!L23</f>
        <v>0</v>
      </c>
      <c r="E9048" s="27" t="n">
        <f aca="false">Sens!E9047-Q!M23</f>
        <v>0</v>
      </c>
      <c r="F9048" s="31"/>
      <c r="G9048" s="31"/>
      <c r="H9048" s="31"/>
      <c r="I9048" s="31"/>
      <c r="J9048" s="31"/>
      <c r="K9048" s="31"/>
    </row>
    <row r="9049" customFormat="false" ht="15" hidden="false" customHeight="false" outlineLevel="0" collapsed="false">
      <c r="A9049" s="1" t="s">
        <v>1070</v>
      </c>
      <c r="B9049" s="0" t="s">
        <v>168</v>
      </c>
      <c r="D9049" s="7" t="n">
        <f aca="false">Sens!D9047/Sens!D9040</f>
        <v>0.456219562408598</v>
      </c>
      <c r="E9049" s="7" t="n">
        <f aca="false">Sens!E9047/Sens!E9040</f>
        <v>0.467808184089272</v>
      </c>
      <c r="F9049" s="7" t="n">
        <f aca="false">Sens!F9047/Sens!F9040</f>
        <v>0.451465583995433</v>
      </c>
      <c r="G9049" s="7" t="n">
        <f aca="false">Sens!G9047/Sens!G9040</f>
        <v>0.395042677624845</v>
      </c>
      <c r="H9049" s="7" t="n">
        <f aca="false">Sens!H9047/Sens!H9040</f>
        <v>0.353751756340514</v>
      </c>
      <c r="I9049" s="7" t="n">
        <f aca="false">Sens!I9047/Sens!I9040</f>
        <v>0.333123745508655</v>
      </c>
      <c r="J9049" s="7" t="n">
        <f aca="false">Sens!J9047/Sens!J9040</f>
        <v>0.324041749114781</v>
      </c>
      <c r="K9049" s="7" t="n">
        <f aca="false">Sens!K9047/Sens!K9040</f>
        <v>0.323058094532596</v>
      </c>
    </row>
    <row r="9050" customFormat="false" ht="17.15" hidden="false" customHeight="false" outlineLevel="0" collapsed="false">
      <c r="A9050" s="1" t="s">
        <v>1071</v>
      </c>
      <c r="B9050" s="0" t="s">
        <v>98</v>
      </c>
      <c r="F9050" s="6" t="n">
        <f aca="false">Sens!F9065</f>
        <v>9.39726836110292</v>
      </c>
      <c r="G9050" s="6" t="n">
        <f aca="false">Sens!G9065</f>
        <v>26.3030618275606</v>
      </c>
      <c r="H9050" s="6" t="n">
        <f aca="false">Sens!H9065</f>
        <v>44.6820462434836</v>
      </c>
      <c r="I9050" s="6" t="n">
        <f aca="false">Sens!I9065</f>
        <v>61.1306877468508</v>
      </c>
      <c r="J9050" s="6" t="n">
        <f aca="false">Sens!J9065</f>
        <v>72.5937450171438</v>
      </c>
      <c r="K9050" s="6" t="n">
        <f aca="false">Sens!K9065</f>
        <v>79.1558792417026</v>
      </c>
      <c r="L9050" s="1" t="s">
        <v>1072</v>
      </c>
    </row>
    <row r="9051" customFormat="false" ht="17.15" hidden="false" customHeight="false" outlineLevel="0" collapsed="false">
      <c r="A9051" s="1" t="s">
        <v>1073</v>
      </c>
      <c r="B9051" s="0" t="s">
        <v>98</v>
      </c>
      <c r="D9051" s="6" t="n">
        <f aca="false">Sens!D9047</f>
        <v>128.528</v>
      </c>
      <c r="E9051" s="6" t="n">
        <f aca="false">Sens!E9047</f>
        <v>155.237</v>
      </c>
      <c r="F9051" s="6" t="n">
        <f aca="false">Sens!F9047+Sens!F9050</f>
        <v>188.200983268149</v>
      </c>
      <c r="G9051" s="6" t="n">
        <f aca="false">Sens!G9047+Sens!G9050</f>
        <v>208.449317638363</v>
      </c>
      <c r="H9051" s="6" t="n">
        <f aca="false">Sens!H9047+Sens!H9050</f>
        <v>229.322416362069</v>
      </c>
      <c r="I9051" s="6" t="n">
        <f aca="false">Sens!I9047+Sens!I9050</f>
        <v>256.115197155355</v>
      </c>
      <c r="J9051" s="6" t="n">
        <f aca="false">Sens!J9047+Sens!J9050</f>
        <v>279.479729358648</v>
      </c>
      <c r="K9051" s="6" t="n">
        <f aca="false">Sens!K9047+Sens!K9050</f>
        <v>299.438030523542</v>
      </c>
    </row>
    <row r="9052" customFormat="false" ht="17.15" hidden="false" customHeight="false" outlineLevel="0" collapsed="false">
      <c r="A9052" s="1" t="s">
        <v>1074</v>
      </c>
      <c r="B9052" s="0" t="s">
        <v>98</v>
      </c>
      <c r="E9052" s="6" t="n">
        <f aca="false">Sens!E8995</f>
        <v>16.3054059770833</v>
      </c>
      <c r="F9052" s="6" t="n">
        <f aca="false">Sens!F8995</f>
        <v>34.5793144783516</v>
      </c>
      <c r="G9052" s="6" t="n">
        <f aca="false">Sens!G8995</f>
        <v>60.7344906522989</v>
      </c>
      <c r="H9052" s="6" t="n">
        <f aca="false">Sens!H8995</f>
        <v>89.1000906614457</v>
      </c>
      <c r="I9052" s="6" t="n">
        <f aca="false">Sens!I8995</f>
        <v>114.231009694548</v>
      </c>
      <c r="J9052" s="6" t="n">
        <f aca="false">Sens!J8995</f>
        <v>132.015673049596</v>
      </c>
      <c r="K9052" s="6" t="n">
        <f aca="false">Sens!K8995</f>
        <v>143.012669550934</v>
      </c>
    </row>
    <row r="9053" customFormat="false" ht="17.15" hidden="false" customHeight="false" outlineLevel="0" collapsed="false">
      <c r="A9053" s="1" t="s">
        <v>1075</v>
      </c>
      <c r="B9053" s="0" t="s">
        <v>98</v>
      </c>
      <c r="E9053" s="6" t="n">
        <f aca="false">Sens!E9077</f>
        <v>22.2285940229167</v>
      </c>
      <c r="F9053" s="6" t="n">
        <f aca="false">Sens!F9077</f>
        <v>23.6043796210668</v>
      </c>
      <c r="G9053" s="6" t="n">
        <f aca="false">Sens!G9077</f>
        <v>25.3835190184739</v>
      </c>
      <c r="H9053" s="6" t="n">
        <f aca="false">Sens!H9077</f>
        <v>27.5343201410841</v>
      </c>
      <c r="I9053" s="6" t="n">
        <f aca="false">Sens!I9077</f>
        <v>29.9981646162121</v>
      </c>
      <c r="J9053" s="6" t="n">
        <f aca="false">Sens!J9077</f>
        <v>32.6985609296951</v>
      </c>
      <c r="K9053" s="6" t="n">
        <f aca="false">Sens!K9077</f>
        <v>35.551145686611</v>
      </c>
    </row>
    <row r="9054" customFormat="false" ht="17.15" hidden="false" customHeight="false" outlineLevel="0" collapsed="false">
      <c r="A9054" s="1" t="s">
        <v>1076</v>
      </c>
      <c r="B9054" s="0" t="s">
        <v>98</v>
      </c>
      <c r="D9054" s="6" t="n">
        <f aca="false">Q!L27</f>
        <v>-4.901</v>
      </c>
      <c r="E9054" s="6" t="n">
        <f aca="false">Q!M27</f>
        <v>10.697</v>
      </c>
      <c r="F9054" s="6" t="n">
        <f aca="false">Q!$I$27+oie_f*(q_per_yr-1)/q_per_yr</f>
        <v>-0.862</v>
      </c>
      <c r="G9054" s="6" t="n">
        <f aca="false">oie_f</f>
        <v>-1.2</v>
      </c>
      <c r="H9054" s="6" t="n">
        <f aca="false">oie_f</f>
        <v>-1.2</v>
      </c>
      <c r="I9054" s="6" t="n">
        <f aca="false">oie_f</f>
        <v>-1.2</v>
      </c>
      <c r="J9054" s="6" t="n">
        <f aca="false">oie_f</f>
        <v>-1.2</v>
      </c>
      <c r="K9054" s="6" t="n">
        <f aca="false">oie_f</f>
        <v>-1.2</v>
      </c>
      <c r="L9054" s="12" t="s">
        <v>1077</v>
      </c>
    </row>
    <row r="9055" customFormat="false" ht="15" hidden="false" customHeight="false" outlineLevel="0" collapsed="false">
      <c r="A9055" s="1" t="s">
        <v>1078</v>
      </c>
      <c r="B9055" s="0" t="s">
        <v>98</v>
      </c>
      <c r="D9055" s="6" t="n">
        <f aca="false">Sens!D9047+Sens!D9054</f>
        <v>123.627</v>
      </c>
      <c r="E9055" s="6" t="n">
        <f aca="false">Sens!E9047+Sens!E9054</f>
        <v>165.934</v>
      </c>
      <c r="F9055" s="6" t="n">
        <f aca="false">Sens!F9047+Sens!F9054</f>
        <v>177.941714907046</v>
      </c>
      <c r="G9055" s="6" t="n">
        <f aca="false">Sens!G9047+Sens!G9054</f>
        <v>180.946255810802</v>
      </c>
      <c r="H9055" s="6" t="n">
        <f aca="false">Sens!H9047+Sens!H9054</f>
        <v>183.440370118585</v>
      </c>
      <c r="I9055" s="6" t="n">
        <f aca="false">Sens!I9047+Sens!I9054</f>
        <v>193.784509408504</v>
      </c>
      <c r="J9055" s="6" t="n">
        <f aca="false">Sens!J9047+Sens!J9054</f>
        <v>205.685984341505</v>
      </c>
      <c r="K9055" s="6" t="n">
        <f aca="false">Sens!K9047+Sens!K9054</f>
        <v>219.082151281839</v>
      </c>
    </row>
    <row r="9056" customFormat="false" ht="15" hidden="false" customHeight="false" outlineLevel="0" collapsed="false">
      <c r="A9056" s="1" t="s">
        <v>1079</v>
      </c>
      <c r="B9056" s="0" t="s">
        <v>98</v>
      </c>
      <c r="D9056" s="6" t="n">
        <f aca="false">Q!L29</f>
        <v>21.795</v>
      </c>
      <c r="E9056" s="6" t="n">
        <f aca="false">Q!M29</f>
        <v>32.185</v>
      </c>
      <c r="F9056" s="6" t="n">
        <f aca="false">Q!$I$29+(Sens!F9055-Q!$I$28)*tax_f</f>
        <v>35.7217429814092</v>
      </c>
      <c r="G9056" s="6" t="n">
        <f aca="false">Sens!G9055*tax_f</f>
        <v>36.1892511621604</v>
      </c>
      <c r="H9056" s="6" t="n">
        <f aca="false">Sens!H9055*tax_f</f>
        <v>36.688074023717</v>
      </c>
      <c r="I9056" s="6" t="n">
        <f aca="false">Sens!I9055*tax_f</f>
        <v>38.7569018817008</v>
      </c>
      <c r="J9056" s="6" t="n">
        <f aca="false">Sens!J9055*tax_f</f>
        <v>41.1371968683009</v>
      </c>
      <c r="K9056" s="6" t="n">
        <f aca="false">Sens!K9055*tax_f</f>
        <v>43.8164302563679</v>
      </c>
    </row>
    <row r="9057" customFormat="false" ht="15" hidden="false" customHeight="false" outlineLevel="0" collapsed="false">
      <c r="A9057" s="1" t="s">
        <v>1080</v>
      </c>
      <c r="B9057" s="0" t="s">
        <v>98</v>
      </c>
      <c r="D9057" s="6" t="n">
        <f aca="false">Sens!D9055-Sens!D9056</f>
        <v>101.832</v>
      </c>
      <c r="E9057" s="6" t="n">
        <f aca="false">Sens!E9055-Sens!E9056</f>
        <v>133.749</v>
      </c>
      <c r="F9057" s="6" t="n">
        <f aca="false">Sens!F9055-Sens!F9056</f>
        <v>142.219971925637</v>
      </c>
      <c r="G9057" s="6" t="n">
        <f aca="false">Sens!G9055-Sens!G9056</f>
        <v>144.757004648642</v>
      </c>
      <c r="H9057" s="6" t="n">
        <f aca="false">Sens!H9055-Sens!H9056</f>
        <v>146.752296094868</v>
      </c>
      <c r="I9057" s="6" t="n">
        <f aca="false">Sens!I9055-Sens!I9056</f>
        <v>155.027607526803</v>
      </c>
      <c r="J9057" s="6" t="n">
        <f aca="false">Sens!J9055-Sens!J9056</f>
        <v>164.548787473204</v>
      </c>
      <c r="K9057" s="6" t="n">
        <f aca="false">Sens!K9055-Sens!K9056</f>
        <v>175.265721025471</v>
      </c>
    </row>
    <row r="9058" customFormat="false" ht="17.15" hidden="false" customHeight="false" outlineLevel="0" collapsed="false">
      <c r="A9058" s="1" t="s">
        <v>1081</v>
      </c>
      <c r="B9058" s="1" t="s">
        <v>81</v>
      </c>
      <c r="D9058" s="15" t="n">
        <f aca="false">Q!L31</f>
        <v>7.465</v>
      </c>
      <c r="E9058" s="15" t="n">
        <f aca="false">Q!M31</f>
        <v>7.453</v>
      </c>
      <c r="F9058" s="15" t="n">
        <f aca="false">Sens!F9102</f>
        <v>7.4735</v>
      </c>
      <c r="G9058" s="15" t="n">
        <f aca="false">Sens!G9102</f>
        <v>7.5185</v>
      </c>
      <c r="H9058" s="15" t="n">
        <f aca="false">Sens!H9102</f>
        <v>7.5635</v>
      </c>
      <c r="I9058" s="15" t="n">
        <f aca="false">Sens!I9102</f>
        <v>7.59248142502667</v>
      </c>
      <c r="J9058" s="15" t="n">
        <f aca="false">Sens!J9102</f>
        <v>7.60663083618914</v>
      </c>
      <c r="K9058" s="15" t="n">
        <f aca="false">Sens!K9102</f>
        <v>7.62306547615439</v>
      </c>
    </row>
    <row r="9059" customFormat="false" ht="17.15" hidden="false" customHeight="false" outlineLevel="0" collapsed="false">
      <c r="A9059" s="0" t="s">
        <v>1082</v>
      </c>
      <c r="B9059" s="0" t="s">
        <v>75</v>
      </c>
      <c r="D9059" s="8" t="n">
        <f aca="false">Sens!D9057/Sens!D9058</f>
        <v>13.641259209645</v>
      </c>
      <c r="E9059" s="8" t="n">
        <f aca="false">Sens!E9057/Sens!E9058</f>
        <v>17.9456594659869</v>
      </c>
      <c r="F9059" s="8" t="n">
        <f aca="false">Sens!F9057/Sens!F9058</f>
        <v>19.0299019101675</v>
      </c>
      <c r="G9059" s="8" t="n">
        <f aca="false">Sens!G9057/Sens!G9058</f>
        <v>19.2534421292335</v>
      </c>
      <c r="H9059" s="8" t="n">
        <f aca="false">Sens!H9057/Sens!H9058</f>
        <v>19.4026966476986</v>
      </c>
      <c r="I9059" s="8" t="n">
        <f aca="false">Sens!I9057/Sens!I9058</f>
        <v>20.4185692197803</v>
      </c>
      <c r="J9059" s="8" t="n">
        <f aca="false">Sens!J9057/Sens!J9058</f>
        <v>21.6322825462161</v>
      </c>
      <c r="K9059" s="8" t="n">
        <f aca="false">Sens!K9057/Sens!K9058</f>
        <v>22.9915014601039</v>
      </c>
      <c r="L9059" s="1" t="s">
        <v>1083</v>
      </c>
    </row>
    <row r="9060" customFormat="false" ht="17.15" hidden="false" customHeight="false" outlineLevel="0" collapsed="false">
      <c r="A9060" s="1" t="s">
        <v>1084</v>
      </c>
      <c r="B9060" s="0" t="s">
        <v>98</v>
      </c>
      <c r="D9060" s="6" t="n">
        <f aca="false">Sens!D9057</f>
        <v>101.832</v>
      </c>
      <c r="E9060" s="6" t="n">
        <f aca="false">Sens!E9057</f>
        <v>133.749</v>
      </c>
      <c r="F9060" s="6" t="n">
        <f aca="false">Sens!F9057+Sens!F9050*(1-tax_f)</f>
        <v>149.737786614519</v>
      </c>
      <c r="G9060" s="6" t="n">
        <f aca="false">Sens!G9057+Sens!G9050*(1-tax_f)</f>
        <v>165.79945411069</v>
      </c>
      <c r="H9060" s="6" t="n">
        <f aca="false">Sens!H9057+Sens!H9050*(1-tax_f)</f>
        <v>182.497933089655</v>
      </c>
      <c r="I9060" s="6" t="n">
        <f aca="false">Sens!I9057+Sens!I9050*(1-tax_f)</f>
        <v>203.932157724284</v>
      </c>
      <c r="J9060" s="6" t="n">
        <f aca="false">Sens!J9057+Sens!J9050*(1-tax_f)</f>
        <v>222.623783486919</v>
      </c>
      <c r="K9060" s="6" t="n">
        <f aca="false">Sens!K9057+Sens!K9050*(1-tax_f)</f>
        <v>238.590424418833</v>
      </c>
    </row>
    <row r="9061" customFormat="false" ht="17.15" hidden="false" customHeight="false" outlineLevel="0" collapsed="false">
      <c r="A9061" s="0" t="s">
        <v>1085</v>
      </c>
      <c r="B9061" s="0" t="s">
        <v>75</v>
      </c>
      <c r="D9061" s="8" t="n">
        <f aca="false">Sens!D9060/Sens!D9058</f>
        <v>13.641259209645</v>
      </c>
      <c r="E9061" s="8" t="n">
        <f aca="false">Sens!E9060/Sens!E9058</f>
        <v>17.9456594659869</v>
      </c>
      <c r="F9061" s="8" t="n">
        <f aca="false">Sens!F9060/Sens!F9058</f>
        <v>20.0358314865216</v>
      </c>
      <c r="G9061" s="8" t="n">
        <f aca="false">Sens!G9060/Sens!G9058</f>
        <v>22.0521984585609</v>
      </c>
      <c r="H9061" s="8" t="n">
        <f aca="false">Sens!H9060/Sens!H9058</f>
        <v>24.1287675136716</v>
      </c>
      <c r="I9061" s="8" t="n">
        <f aca="false">Sens!I9060/Sens!I9058</f>
        <v>26.8597506280455</v>
      </c>
      <c r="J9061" s="8" t="n">
        <f aca="false">Sens!J9060/Sens!J9058</f>
        <v>29.2670682042</v>
      </c>
      <c r="K9061" s="8" t="n">
        <f aca="false">Sens!K9060/Sens!K9058</f>
        <v>31.2984881430135</v>
      </c>
      <c r="L9061" s="1" t="s">
        <v>1086</v>
      </c>
    </row>
    <row r="9062" customFormat="false" ht="17.15" hidden="false" customHeight="false" outlineLevel="0" collapsed="false">
      <c r="A9062" s="0" t="s">
        <v>1087</v>
      </c>
      <c r="B9062" s="0" t="s">
        <v>168</v>
      </c>
      <c r="E9062" s="7" t="n">
        <f aca="false">Sens!E9061/Sens!D9061-1</f>
        <v>0.315542736208578</v>
      </c>
      <c r="F9062" s="7" t="n">
        <f aca="false">Sens!F9061/Sens!E9061-1</f>
        <v>0.116472288159503</v>
      </c>
      <c r="G9062" s="7" t="n">
        <f aca="false">Sens!G9061/Sens!F9061-1</f>
        <v>0.100638048058837</v>
      </c>
      <c r="H9062" s="7" t="n">
        <f aca="false">Sens!H9061/Sens!G9061-1</f>
        <v>0.0941660786797665</v>
      </c>
      <c r="I9062" s="7" t="n">
        <f aca="false">Sens!I9061/Sens!H9061-1</f>
        <v>0.113183697129434</v>
      </c>
      <c r="J9062" s="7" t="n">
        <f aca="false">Sens!J9061/Sens!I9061-1</f>
        <v>0.0896254626296094</v>
      </c>
      <c r="K9062" s="7" t="n">
        <f aca="false">Sens!K9061/Sens!J9061-1</f>
        <v>0.0694097517605776</v>
      </c>
    </row>
    <row r="9063" customFormat="false" ht="17.15" hidden="false" customHeight="false" outlineLevel="0" collapsed="false">
      <c r="A9063" s="0" t="s">
        <v>1007</v>
      </c>
      <c r="B9063" s="0" t="s">
        <v>98</v>
      </c>
      <c r="E9063" s="6" t="n">
        <f aca="false">Sens!E9004</f>
        <v>5.25</v>
      </c>
      <c r="F9063" s="6" t="n">
        <f aca="false">Sens!F9004</f>
        <v>12.6</v>
      </c>
      <c r="G9063" s="6" t="n">
        <f aca="false">Sens!G9004</f>
        <v>16.2</v>
      </c>
      <c r="H9063" s="6" t="n">
        <f aca="false">Sens!H9004</f>
        <v>19.8</v>
      </c>
      <c r="I9063" s="6" t="n">
        <f aca="false">Sens!I9004</f>
        <v>22.5</v>
      </c>
      <c r="J9063" s="6" t="n">
        <f aca="false">Sens!J9004</f>
        <v>24.3</v>
      </c>
      <c r="K9063" s="6" t="n">
        <f aca="false">Sens!K9004</f>
        <v>26.1</v>
      </c>
    </row>
    <row r="9064" customFormat="false" ht="17.15" hidden="false" customHeight="false" outlineLevel="0" collapsed="false">
      <c r="A9064" s="1" t="s">
        <v>1008</v>
      </c>
      <c r="B9064" s="0" t="s">
        <v>98</v>
      </c>
      <c r="F9064" s="6" t="n">
        <f aca="false">MAX(0,((Sens!E8964+Sens!F8964)/2-(shadow_base*(Sens!$D$8964+Sens!$E$8964)/2+(1-shadow_base)*Sens!$E$8964))*Sens!F8973/1000-(Sens!F9063-Sens!$E$9063)*Sens!F9043)</f>
        <v>9.39726836110292</v>
      </c>
      <c r="G9064" s="6" t="n">
        <f aca="false">MAX(0,((Sens!F8964+Sens!G8964)/2-(shadow_base*(Sens!$D$8964+Sens!$E$8964)/2+(1-shadow_base)*Sens!$E$8964))*Sens!G8973/1000-(Sens!G9063-Sens!$E$9063)*Sens!G9043)</f>
        <v>26.3030618275606</v>
      </c>
      <c r="H9064" s="6" t="n">
        <f aca="false">MAX(0,((Sens!G8964+Sens!H8964)/2-(shadow_base*(Sens!$D$8964+Sens!$E$8964)/2+(1-shadow_base)*Sens!$E$8964))*Sens!H8973/1000-(Sens!H9063-Sens!$E$9063)*Sens!H9043)</f>
        <v>44.6820462434836</v>
      </c>
      <c r="I9064" s="6" t="n">
        <f aca="false">MAX(0,((Sens!H8964+Sens!I8964)/2-(shadow_base*(Sens!$D$8964+Sens!$E$8964)/2+(1-shadow_base)*Sens!$E$8964))*Sens!I8973/1000-(Sens!I9063-Sens!$E$9063)*Sens!I9043)</f>
        <v>61.1306877468508</v>
      </c>
      <c r="J9064" s="6" t="n">
        <f aca="false">MAX(0,((Sens!I8964+Sens!J8964)/2-(shadow_base*(Sens!$D$8964+Sens!$E$8964)/2+(1-shadow_base)*Sens!$E$8964))*Sens!J8973/1000-(Sens!J9063-Sens!$E$9063)*Sens!J9043)</f>
        <v>72.5937450171438</v>
      </c>
      <c r="K9064" s="6" t="n">
        <f aca="false">MAX(0,((Sens!J8964+Sens!K8964)/2-(shadow_base*(Sens!$D$8964+Sens!$E$8964)/2+(1-shadow_base)*Sens!$E$8964))*Sens!K8973/1000-(Sens!K9063-Sens!$E$9063)*Sens!K9043)</f>
        <v>79.1558792417026</v>
      </c>
      <c r="L9064" s="1" t="s">
        <v>1009</v>
      </c>
    </row>
    <row r="9065" customFormat="false" ht="17.15" hidden="false" customHeight="false" outlineLevel="0" collapsed="false">
      <c r="A9065" s="1" t="s">
        <v>1010</v>
      </c>
      <c r="B9065" s="0" t="s">
        <v>98</v>
      </c>
      <c r="F9065" s="6" t="n">
        <f aca="false">IF(internal_ai_reading=2,1,0)*Sens!F9064</f>
        <v>9.39726836110292</v>
      </c>
      <c r="G9065" s="6" t="n">
        <f aca="false">IF(internal_ai_reading=2,1,0)*Sens!G9064</f>
        <v>26.3030618275606</v>
      </c>
      <c r="H9065" s="6" t="n">
        <f aca="false">IF(internal_ai_reading=2,1,0)*Sens!H9064</f>
        <v>44.6820462434836</v>
      </c>
      <c r="I9065" s="6" t="n">
        <f aca="false">IF(internal_ai_reading=2,1,0)*Sens!I9064</f>
        <v>61.1306877468508</v>
      </c>
      <c r="J9065" s="6" t="n">
        <f aca="false">IF(internal_ai_reading=2,1,0)*Sens!J9064</f>
        <v>72.5937450171438</v>
      </c>
      <c r="K9065" s="6" t="n">
        <f aca="false">IF(internal_ai_reading=2,1,0)*Sens!K9064</f>
        <v>79.1558792417026</v>
      </c>
    </row>
    <row r="9066" customFormat="false" ht="17.15" hidden="false" customHeight="false" outlineLevel="0" collapsed="false">
      <c r="A9066" s="0" t="s">
        <v>1011</v>
      </c>
      <c r="B9066" s="0" t="s">
        <v>98</v>
      </c>
      <c r="F9066" s="6" t="n">
        <f aca="false">Sens!F8983+Sens!F9063*Sens!F9043+Sens!F9065-Sens!F8984-Sens!F8995</f>
        <v>10.3853806853618</v>
      </c>
      <c r="G9066" s="6" t="n">
        <f aca="false">Sens!G8983+Sens!G9063*Sens!G9043+Sens!G9065-Sens!G8984-Sens!G8995</f>
        <v>16.438931310574</v>
      </c>
      <c r="H9066" s="6" t="n">
        <f aca="false">Sens!H8983+Sens!H9063*Sens!H9043+Sens!H9065-Sens!H8984-Sens!H8995</f>
        <v>17.135416308873</v>
      </c>
      <c r="I9066" s="6" t="n">
        <f aca="false">Sens!I8983+Sens!I9063*Sens!I9043+Sens!I9065-Sens!I8984-Sens!I8995</f>
        <v>24.1293804008656</v>
      </c>
      <c r="J9066" s="6" t="n">
        <f aca="false">Sens!J8983+Sens!J9063*Sens!J9043+Sens!J9065-Sens!J8984-Sens!J8995</f>
        <v>28.8545659869181</v>
      </c>
      <c r="K9066" s="6" t="n">
        <f aca="false">Sens!K8983+Sens!K9063*Sens!K9043+Sens!K9065-Sens!K8984-Sens!K8995</f>
        <v>32.1374748525101</v>
      </c>
    </row>
    <row r="9067" customFormat="false" ht="17.15" hidden="false" customHeight="false" outlineLevel="0" collapsed="false">
      <c r="A9067" s="0" t="s">
        <v>1012</v>
      </c>
      <c r="B9067" s="0" t="s">
        <v>98</v>
      </c>
      <c r="E9067" s="6" t="n">
        <f aca="false">Sens!E8963*(cxit_open+self_build*tk_cxfac)/1000*ai_net_open</f>
        <v>126.6980382</v>
      </c>
      <c r="F9067" s="6" t="n">
        <f aca="false">Sens!E9067+Sens!F8992-Sens!F8995</f>
        <v>260.572627763768</v>
      </c>
      <c r="G9067" s="6" t="n">
        <f aca="false">Sens!F9067+Sens!G8992-Sens!G8995</f>
        <v>391.782612760517</v>
      </c>
      <c r="H9067" s="6" t="n">
        <f aca="false">Sens!G9067+Sens!H8992-Sens!H8995</f>
        <v>499.488526163584</v>
      </c>
      <c r="I9067" s="6" t="n">
        <f aca="false">Sens!H9067+Sens!I8992-Sens!I8995</f>
        <v>553.872350090646</v>
      </c>
      <c r="J9067" s="6" t="n">
        <f aca="false">Sens!I9067+Sens!J8992-Sens!J8995</f>
        <v>550.78660823699</v>
      </c>
      <c r="K9067" s="6" t="n">
        <f aca="false">Sens!J9067+Sens!K8992-Sens!K8995</f>
        <v>526.736791750789</v>
      </c>
      <c r="L9067" s="1" t="s">
        <v>1013</v>
      </c>
    </row>
    <row r="9068" customFormat="false" ht="17.15" hidden="false" customHeight="false" outlineLevel="0" collapsed="false">
      <c r="A9068" s="0" t="s">
        <v>1014</v>
      </c>
      <c r="B9068" s="0" t="s">
        <v>168</v>
      </c>
      <c r="F9068" s="7" t="n">
        <f aca="false">Sens!F9066*(1-tax_f)/((Sens!E9067+Sens!F9067)/2)</f>
        <v>0.0429069654816909</v>
      </c>
      <c r="G9068" s="7" t="n">
        <f aca="false">Sens!G9066*(1-tax_f)/((Sens!F9067+Sens!G9067)/2)</f>
        <v>0.0403189680453549</v>
      </c>
      <c r="H9068" s="7" t="n">
        <f aca="false">Sens!H9066*(1-tax_f)/((Sens!G9067+Sens!H9067)/2)</f>
        <v>0.0307613080877867</v>
      </c>
      <c r="I9068" s="7" t="n">
        <f aca="false">Sens!I9066*(1-tax_f)/((Sens!H9067+Sens!I9067)/2)</f>
        <v>0.0366512650238845</v>
      </c>
      <c r="J9068" s="7" t="n">
        <f aca="false">Sens!J9066*(1-tax_f)/((Sens!I9067+Sens!J9067)/2)</f>
        <v>0.0417932659044041</v>
      </c>
      <c r="K9068" s="7" t="n">
        <f aca="false">Sens!K9066*(1-tax_f)/((Sens!J9067+Sens!K9067)/2)</f>
        <v>0.0477205040415821</v>
      </c>
    </row>
    <row r="9069" customFormat="false" ht="17.15" hidden="false" customHeight="false" outlineLevel="0" collapsed="false">
      <c r="A9069" s="1" t="s">
        <v>1015</v>
      </c>
      <c r="B9069" s="0" t="s">
        <v>168</v>
      </c>
      <c r="F9069" s="7" t="n">
        <f aca="false">(Sens!F9066-Sens!F9065)*(1-tax_f)/((Sens!E9067+Sens!F9067)/2)</f>
        <v>0.00408236372584463</v>
      </c>
      <c r="G9069" s="7" t="n">
        <f aca="false">(Sens!G9066-Sens!G9065)*(1-tax_f)/((Sens!F9067+Sens!G9067)/2)</f>
        <v>-0.02419327361346</v>
      </c>
      <c r="H9069" s="7" t="n">
        <f aca="false">(Sens!H9066-Sens!H9065)*(1-tax_f)/((Sens!G9067+Sens!H9067)/2)</f>
        <v>-0.0494514025760799</v>
      </c>
      <c r="I9069" s="7" t="n">
        <f aca="false">(Sens!I9066-Sens!I9065)*(1-tax_f)/((Sens!H9067+Sens!I9067)/2)</f>
        <v>-0.0562030478710203</v>
      </c>
      <c r="J9069" s="7" t="n">
        <f aca="false">(Sens!J9066-Sens!J9065)*(1-tax_f)/((Sens!I9067+Sens!J9067)/2)</f>
        <v>-0.0633523006542303</v>
      </c>
      <c r="K9069" s="7" t="n">
        <f aca="false">(Sens!K9066-Sens!K9065)*(1-tax_f)/((Sens!J9067+Sens!K9067)/2)</f>
        <v>-0.0698169961075196</v>
      </c>
    </row>
    <row r="9070" customFormat="false" ht="17.15" hidden="false" customHeight="false" outlineLevel="0" collapsed="false">
      <c r="A9070" s="1" t="s">
        <v>1016</v>
      </c>
      <c r="B9070" s="0" t="s">
        <v>168</v>
      </c>
      <c r="F9070" s="7" t="n">
        <f aca="false">(Sens!F9066-Sens!F9065+Sens!F9064)*(1-tax_f)/((Sens!E9067+Sens!F9067)/2)</f>
        <v>0.0429069654816909</v>
      </c>
      <c r="G9070" s="7" t="n">
        <f aca="false">(Sens!G9066-Sens!G9065+Sens!G9064)*(1-tax_f)/((Sens!F9067+Sens!G9067)/2)</f>
        <v>0.0403189680453549</v>
      </c>
      <c r="H9070" s="7" t="n">
        <f aca="false">(Sens!H9066-Sens!H9065+Sens!H9064)*(1-tax_f)/((Sens!G9067+Sens!H9067)/2)</f>
        <v>0.0307613080877867</v>
      </c>
      <c r="I9070" s="7" t="n">
        <f aca="false">(Sens!I9066-Sens!I9065+Sens!I9064)*(1-tax_f)/((Sens!H9067+Sens!I9067)/2)</f>
        <v>0.0366512650238845</v>
      </c>
      <c r="J9070" s="7" t="n">
        <f aca="false">(Sens!J9066-Sens!J9065+Sens!J9064)*(1-tax_f)/((Sens!I9067+Sens!J9067)/2)</f>
        <v>0.0417932659044041</v>
      </c>
      <c r="K9070" s="7" t="n">
        <f aca="false">(Sens!K9066-Sens!K9065+Sens!K9064)*(1-tax_f)/((Sens!J9067+Sens!K9067)/2)</f>
        <v>0.0477205040415821</v>
      </c>
    </row>
    <row r="9071" customFormat="false" ht="17.15" hidden="false" customHeight="false" outlineLevel="0" collapsed="false">
      <c r="A9071" s="1" t="s">
        <v>1017</v>
      </c>
      <c r="B9071" s="0" t="s">
        <v>168</v>
      </c>
      <c r="F9071" s="7" t="n">
        <f aca="false">Sens!F8996*(1-tax_f)/(Sens!F8982*(Sens!E9067+Sens!F9067)/2)</f>
        <v>0.098791430090569</v>
      </c>
      <c r="G9071" s="7" t="n">
        <f aca="false">Sens!G8996*(1-tax_f)/(Sens!G8982*(Sens!F9067+Sens!G9067)/2)</f>
        <v>0.0675308856427828</v>
      </c>
      <c r="H9071" s="7" t="n">
        <f aca="false">Sens!H8996*(1-tax_f)/(Sens!H8982*(Sens!G9067+Sens!H9067)/2)</f>
        <v>0.0388374979528754</v>
      </c>
      <c r="I9071" s="7" t="n">
        <f aca="false">Sens!I8996*(1-tax_f)/(Sens!I8982*(Sens!H9067+Sens!I9067)/2)</f>
        <v>0.0411035671771815</v>
      </c>
      <c r="J9071" s="7" t="n">
        <f aca="false">Sens!J8996*(1-tax_f)/(Sens!J8982*(Sens!I9067+Sens!J9067)/2)</f>
        <v>0.0445222722541192</v>
      </c>
      <c r="K9071" s="7" t="n">
        <f aca="false">Sens!K8996*(1-tax_f)/(Sens!K8982*(Sens!J9067+Sens!K9067)/2)</f>
        <v>0.0498866361688162</v>
      </c>
    </row>
    <row r="9072" customFormat="false" ht="17.15" hidden="false" customHeight="false" outlineLevel="0" collapsed="false">
      <c r="A9072" s="0" t="s">
        <v>1018</v>
      </c>
      <c r="B9072" s="0" t="s">
        <v>253</v>
      </c>
      <c r="F9072" s="7" t="n">
        <f aca="false">Sens!F9068-wacc</f>
        <v>-0.0600296254639064</v>
      </c>
      <c r="G9072" s="7" t="n">
        <f aca="false">Sens!G9068-wacc</f>
        <v>-0.0626176229002424</v>
      </c>
      <c r="H9072" s="7" t="n">
        <f aca="false">Sens!H9068-wacc</f>
        <v>-0.0721752828578106</v>
      </c>
      <c r="I9072" s="7" t="n">
        <f aca="false">Sens!I9068-wacc</f>
        <v>-0.0662853259217128</v>
      </c>
      <c r="J9072" s="7" t="n">
        <f aca="false">Sens!J9068-wacc</f>
        <v>-0.0611433250411932</v>
      </c>
      <c r="K9072" s="7" t="n">
        <f aca="false">Sens!K9068-wacc</f>
        <v>-0.0552160869040152</v>
      </c>
    </row>
    <row r="9073" customFormat="false" ht="17.15" hidden="false" customHeight="false" outlineLevel="0" collapsed="false">
      <c r="A9073" s="0" t="s">
        <v>1019</v>
      </c>
      <c r="B9073" s="0" t="s">
        <v>98</v>
      </c>
      <c r="F9073" s="6" t="n">
        <f aca="false">Sens!F9066*(1-tax_f)-wacc*(Sens!E9067+Sens!F9067)/2</f>
        <v>-11.6238565154813</v>
      </c>
      <c r="G9073" s="6" t="n">
        <f aca="false">Sens!G9066*(1-tax_f)-wacc*(Sens!F9067+Sens!G9067)/2</f>
        <v>-20.4244672240733</v>
      </c>
      <c r="H9073" s="6" t="n">
        <f aca="false">Sens!H9066*(1-tax_f)-wacc*(Sens!G9067+Sens!H9067)/2</f>
        <v>-32.163873277425</v>
      </c>
      <c r="I9073" s="6" t="n">
        <f aca="false">Sens!I9066*(1-tax_f)-wacc*(Sens!H9067+Sens!I9067)/2</f>
        <v>-34.9111844978463</v>
      </c>
      <c r="J9073" s="6" t="n">
        <f aca="false">Sens!J9066*(1-tax_f)-wacc*(Sens!I9067+Sens!J9067)/2</f>
        <v>-33.7712608743463</v>
      </c>
      <c r="K9073" s="6" t="n">
        <f aca="false">Sens!K9066*(1-tax_f)-wacc*(Sens!J9067+Sens!K9067)/2</f>
        <v>-29.7483128474176</v>
      </c>
    </row>
    <row r="9074" customFormat="false" ht="17.15" hidden="false" customHeight="false" outlineLevel="0" collapsed="false">
      <c r="A9074" s="3" t="s">
        <v>1838</v>
      </c>
    </row>
    <row r="9075" customFormat="false" ht="15" hidden="false" customHeight="false" outlineLevel="0" collapsed="false">
      <c r="A9075" s="4" t="s">
        <v>43</v>
      </c>
      <c r="B9075" s="4" t="s">
        <v>65</v>
      </c>
      <c r="C9075" s="23" t="s">
        <v>942</v>
      </c>
      <c r="D9075" s="23" t="s">
        <v>943</v>
      </c>
      <c r="E9075" s="23" t="s">
        <v>944</v>
      </c>
      <c r="F9075" s="23" t="s">
        <v>945</v>
      </c>
      <c r="G9075" s="23" t="s">
        <v>946</v>
      </c>
      <c r="H9075" s="23" t="s">
        <v>947</v>
      </c>
      <c r="I9075" s="23" t="s">
        <v>948</v>
      </c>
      <c r="J9075" s="23" t="s">
        <v>949</v>
      </c>
      <c r="K9075" s="23" t="s">
        <v>950</v>
      </c>
      <c r="L9075" s="4" t="s">
        <v>47</v>
      </c>
    </row>
    <row r="9076" customFormat="false" ht="15" hidden="false" customHeight="false" outlineLevel="0" collapsed="false">
      <c r="A9076" s="1" t="s">
        <v>1080</v>
      </c>
      <c r="B9076" s="0" t="s">
        <v>98</v>
      </c>
      <c r="F9076" s="6" t="n">
        <f aca="false">Sens!F9057</f>
        <v>142.219971925637</v>
      </c>
      <c r="G9076" s="6" t="n">
        <f aca="false">Sens!G9057</f>
        <v>144.757004648642</v>
      </c>
      <c r="H9076" s="6" t="n">
        <f aca="false">Sens!H9057</f>
        <v>146.752296094868</v>
      </c>
      <c r="I9076" s="6" t="n">
        <f aca="false">Sens!I9057</f>
        <v>155.027607526803</v>
      </c>
      <c r="J9076" s="6" t="n">
        <f aca="false">Sens!J9057</f>
        <v>164.548787473204</v>
      </c>
      <c r="K9076" s="6" t="n">
        <f aca="false">Sens!K9057</f>
        <v>175.265721025471</v>
      </c>
    </row>
    <row r="9077" customFormat="false" ht="17.15" hidden="false" customHeight="false" outlineLevel="0" collapsed="false">
      <c r="A9077" s="1" t="s">
        <v>1102</v>
      </c>
      <c r="B9077" s="0" t="s">
        <v>98</v>
      </c>
      <c r="E9077" s="6" t="n">
        <f aca="false">Q!M38-Sens!E8995</f>
        <v>22.2285940229167</v>
      </c>
      <c r="F9077" s="6" t="n">
        <f aca="false">Sens!E9077*(1-1/life_nonai)+(Sens!F9085+Sens!F9086)/life_nonai</f>
        <v>23.6043796210668</v>
      </c>
      <c r="G9077" s="6" t="n">
        <f aca="false">Sens!F9077*(1-1/life_nonai)+(Sens!G9085)/life_nonai</f>
        <v>25.3835190184739</v>
      </c>
      <c r="H9077" s="6" t="n">
        <f aca="false">Sens!G9077*(1-1/life_nonai)+(Sens!H9085)/life_nonai</f>
        <v>27.5343201410841</v>
      </c>
      <c r="I9077" s="6" t="n">
        <f aca="false">Sens!H9077*(1-1/life_nonai)+(Sens!I9085)/life_nonai</f>
        <v>29.9981646162121</v>
      </c>
      <c r="J9077" s="6" t="n">
        <f aca="false">Sens!I9077*(1-1/life_nonai)+(Sens!J9085)/life_nonai</f>
        <v>32.6985609296951</v>
      </c>
      <c r="K9077" s="6" t="n">
        <f aca="false">Sens!J9077*(1-1/life_nonai)+(Sens!K9085)/life_nonai</f>
        <v>35.551145686611</v>
      </c>
      <c r="L9077" s="12" t="s">
        <v>1103</v>
      </c>
    </row>
    <row r="9078" customFormat="false" ht="17.15" hidden="false" customHeight="false" outlineLevel="0" collapsed="false">
      <c r="A9078" s="1" t="s">
        <v>1104</v>
      </c>
      <c r="B9078" s="0" t="s">
        <v>98</v>
      </c>
      <c r="F9078" s="6" t="n">
        <f aca="false">Sens!$F$9086/life_nonai*(1-1/life_nonai)^(Sens!F8958-2027)</f>
        <v>0</v>
      </c>
      <c r="G9078" s="6" t="n">
        <f aca="false">Sens!$F$9086/life_nonai*(1-1/life_nonai)^(Sens!G8958-2027)</f>
        <v>0</v>
      </c>
      <c r="H9078" s="6" t="n">
        <f aca="false">Sens!$F$9086/life_nonai*(1-1/life_nonai)^(Sens!H8958-2027)</f>
        <v>0</v>
      </c>
      <c r="I9078" s="6" t="n">
        <f aca="false">Sens!$F$9086/life_nonai*(1-1/life_nonai)^(Sens!I8958-2027)</f>
        <v>0</v>
      </c>
      <c r="J9078" s="6" t="n">
        <f aca="false">Sens!$F$9086/life_nonai*(1-1/life_nonai)^(Sens!J8958-2027)</f>
        <v>0</v>
      </c>
      <c r="K9078" s="6" t="n">
        <f aca="false">Sens!$F$9086/life_nonai*(1-1/life_nonai)^(Sens!K8958-2027)</f>
        <v>0</v>
      </c>
      <c r="L9078" s="1" t="s">
        <v>1105</v>
      </c>
    </row>
    <row r="9079" customFormat="false" ht="17.15" hidden="false" customHeight="false" outlineLevel="0" collapsed="false">
      <c r="A9079" s="1" t="s">
        <v>1106</v>
      </c>
      <c r="B9079" s="0" t="s">
        <v>98</v>
      </c>
      <c r="E9079" s="6" t="n">
        <f aca="false">Sens!E8995+Sens!E9077</f>
        <v>38.534</v>
      </c>
      <c r="F9079" s="6" t="n">
        <f aca="false">Sens!F8995+Sens!F9077</f>
        <v>58.1836940994184</v>
      </c>
      <c r="G9079" s="6" t="n">
        <f aca="false">Sens!G8995+Sens!G9077</f>
        <v>86.1180096707728</v>
      </c>
      <c r="H9079" s="6" t="n">
        <f aca="false">Sens!H8995+Sens!H9077</f>
        <v>116.63441080253</v>
      </c>
      <c r="I9079" s="6" t="n">
        <f aca="false">Sens!I8995+Sens!I9077</f>
        <v>144.22917431076</v>
      </c>
      <c r="J9079" s="6" t="n">
        <f aca="false">Sens!J8995+Sens!J9077</f>
        <v>164.714233979291</v>
      </c>
      <c r="K9079" s="6" t="n">
        <f aca="false">Sens!K8995+Sens!K9077</f>
        <v>178.563815237545</v>
      </c>
    </row>
    <row r="9080" customFormat="false" ht="17.15" hidden="false" customHeight="false" outlineLevel="0" collapsed="false">
      <c r="A9080" s="1" t="s">
        <v>1107</v>
      </c>
      <c r="B9080" s="0" t="s">
        <v>98</v>
      </c>
      <c r="F9080" s="6" t="n">
        <f aca="false">Sens!F9022*sbc_r</f>
        <v>14.8054370266119</v>
      </c>
      <c r="G9080" s="6" t="n">
        <f aca="false">Sens!G9022*sbc_r</f>
        <v>17.2363607337461</v>
      </c>
      <c r="H9080" s="6" t="n">
        <f aca="false">Sens!H9022*sbc_r</f>
        <v>19.5118028843385</v>
      </c>
      <c r="I9080" s="6" t="n">
        <f aca="false">Sens!I9022*sbc_r</f>
        <v>21.8808335219652</v>
      </c>
      <c r="J9080" s="6" t="n">
        <f aca="false">Sens!J9022*sbc_r</f>
        <v>23.8670885792222</v>
      </c>
      <c r="K9080" s="6" t="n">
        <f aca="false">Sens!K9022*sbc_r</f>
        <v>25.4898937168261</v>
      </c>
    </row>
    <row r="9081" customFormat="false" ht="17.15" hidden="false" customHeight="false" outlineLevel="0" collapsed="false">
      <c r="A9081" s="1" t="s">
        <v>1108</v>
      </c>
      <c r="B9081" s="0" t="s">
        <v>98</v>
      </c>
      <c r="F9081" s="6" t="n">
        <f aca="false">wc27-wc26q1</f>
        <v>-4.677</v>
      </c>
      <c r="G9081" s="6" t="n">
        <f aca="false">wc_f</f>
        <v>0</v>
      </c>
      <c r="H9081" s="6" t="n">
        <f aca="false">wc_f</f>
        <v>0</v>
      </c>
      <c r="I9081" s="6" t="n">
        <f aca="false">wc_f</f>
        <v>0</v>
      </c>
      <c r="J9081" s="6" t="n">
        <f aca="false">wc_f</f>
        <v>0</v>
      </c>
      <c r="K9081" s="6" t="n">
        <f aca="false">wc_f</f>
        <v>0</v>
      </c>
      <c r="L9081" s="12" t="s">
        <v>1109</v>
      </c>
    </row>
    <row r="9082" customFormat="false" ht="17.15" hidden="false" customHeight="false" outlineLevel="0" collapsed="false">
      <c r="A9082" s="0" t="s">
        <v>1110</v>
      </c>
      <c r="B9082" s="0" t="s">
        <v>98</v>
      </c>
      <c r="F9082" s="6" t="n">
        <f aca="false">Q!$I$35-Q!$I$26-Q!$I$38-Q!$I$39</f>
        <v>6.493</v>
      </c>
      <c r="L9082" s="1" t="s">
        <v>1111</v>
      </c>
    </row>
    <row r="9083" customFormat="false" ht="15" hidden="false" customHeight="false" outlineLevel="0" collapsed="false">
      <c r="A9083" s="1" t="s">
        <v>908</v>
      </c>
      <c r="B9083" s="0" t="s">
        <v>98</v>
      </c>
      <c r="E9083" s="6" t="n">
        <f aca="false">Q!M35</f>
        <v>182.935</v>
      </c>
      <c r="F9083" s="6" t="n">
        <f aca="false">Sens!F9076+Sens!F9079+Sens!F9080+Sens!F9081+Sens!F9082</f>
        <v>217.025103051667</v>
      </c>
      <c r="G9083" s="6" t="n">
        <f aca="false">Sens!G9076+Sens!G9079+Sens!G9080+Sens!G9081</f>
        <v>248.111375053161</v>
      </c>
      <c r="H9083" s="6" t="n">
        <f aca="false">Sens!H9076+Sens!H9079+Sens!H9080+Sens!H9081</f>
        <v>282.898509781736</v>
      </c>
      <c r="I9083" s="6" t="n">
        <f aca="false">Sens!I9076+Sens!I9079+Sens!I9080+Sens!I9081</f>
        <v>321.137615359529</v>
      </c>
      <c r="J9083" s="6" t="n">
        <f aca="false">Sens!J9076+Sens!J9079+Sens!J9080+Sens!J9081</f>
        <v>353.130110031717</v>
      </c>
      <c r="K9083" s="6" t="n">
        <f aca="false">Sens!K9076+Sens!K9079+Sens!K9080+Sens!K9081</f>
        <v>379.319429979843</v>
      </c>
    </row>
    <row r="9084" customFormat="false" ht="17.15" hidden="false" customHeight="false" outlineLevel="0" collapsed="false">
      <c r="A9084" s="0" t="s">
        <v>1112</v>
      </c>
      <c r="B9084" s="0" t="s">
        <v>98</v>
      </c>
      <c r="F9084" s="6" t="n">
        <f aca="false">Sens!F8992</f>
        <v>168.45390404212</v>
      </c>
      <c r="G9084" s="6" t="n">
        <f aca="false">Sens!G8992</f>
        <v>191.944475649048</v>
      </c>
      <c r="H9084" s="6" t="n">
        <f aca="false">Sens!H8992</f>
        <v>196.806004064512</v>
      </c>
      <c r="I9084" s="6" t="n">
        <f aca="false">Sens!I8992</f>
        <v>168.61483362161</v>
      </c>
      <c r="J9084" s="6" t="n">
        <f aca="false">Sens!J8992</f>
        <v>128.92993119594</v>
      </c>
      <c r="K9084" s="6" t="n">
        <f aca="false">Sens!K8992</f>
        <v>118.962853064733</v>
      </c>
    </row>
    <row r="9085" customFormat="false" ht="17.15" hidden="false" customHeight="false" outlineLevel="0" collapsed="false">
      <c r="A9085" s="1" t="s">
        <v>1113</v>
      </c>
      <c r="B9085" s="0" t="s">
        <v>98</v>
      </c>
      <c r="E9085" s="6" t="n">
        <f aca="false">Sens!E9000*cx_azo+Sens!E9007*cx_m365+Sens!E9008*cx_lic+(Sens!E9010+Sens!E9012)*cx_ind+Sens!E9015*cx_srch+(Sens!E9017+Sens!E9019)*cx_dev</f>
        <v>30.1846587067718</v>
      </c>
      <c r="F9085" s="6" t="n">
        <f aca="false">Sens!F9000*cx_azo+Sens!F9007*cx_m365+Sens!F9008*cx_lic+(Sens!F9010+Sens!F9012)*cx_ind+Sens!F9015*cx_srch+(Sens!F9017+Sens!F9019)*cx_dev</f>
        <v>35.986450004418</v>
      </c>
      <c r="G9085" s="6" t="n">
        <f aca="false">Sens!G9000*cx_azo+Sens!G9007*cx_m365+Sens!G9008*cx_lic+(Sens!G9010+Sens!G9012)*cx_ind+Sens!G9015*cx_srch+(Sens!G9017+Sens!G9019)*cx_dev</f>
        <v>41.3957735951375</v>
      </c>
      <c r="H9085" s="6" t="n">
        <f aca="false">Sens!H9000*cx_azo+Sens!H9007*cx_m365+Sens!H9008*cx_lic+(Sens!H9010+Sens!H9012)*cx_ind+Sens!H9015*cx_srch+(Sens!H9017+Sens!H9019)*cx_dev</f>
        <v>46.8915302445765</v>
      </c>
      <c r="I9085" s="6" t="n">
        <f aca="false">Sens!I9000*cx_azo+Sens!I9007*cx_m365+Sens!I9008*cx_lic+(Sens!I9010+Sens!I9012)*cx_ind+Sens!I9015*cx_srch+(Sens!I9017+Sens!I9019)*cx_dev</f>
        <v>52.172764892364</v>
      </c>
      <c r="J9085" s="6" t="n">
        <f aca="false">Sens!J9000*cx_azo+Sens!J9007*cx_m365+Sens!J9008*cx_lic+(Sens!J9010+Sens!J9012)*cx_ind+Sens!J9015*cx_srch+(Sens!J9017+Sens!J9019)*cx_dev</f>
        <v>57.0021277510423</v>
      </c>
      <c r="K9085" s="6" t="n">
        <f aca="false">Sens!K9000*cx_azo+Sens!K9007*cx_m365+Sens!K9008*cx_lic+(Sens!K9010+Sens!K9012)*cx_ind+Sens!K9015*cx_srch+(Sens!K9017+Sens!K9019)*cx_dev</f>
        <v>61.2244084988532</v>
      </c>
    </row>
    <row r="9086" customFormat="false" ht="17.15" hidden="false" customHeight="false" outlineLevel="0" collapsed="false">
      <c r="A9086" s="0" t="s">
        <v>1114</v>
      </c>
      <c r="B9086" s="0" t="s">
        <v>98</v>
      </c>
      <c r="F9086" s="6" t="n">
        <f aca="false">Sens!F8990</f>
        <v>0</v>
      </c>
      <c r="L9086" s="1" t="s">
        <v>1115</v>
      </c>
    </row>
    <row r="9087" customFormat="false" ht="17.15" hidden="false" customHeight="false" outlineLevel="0" collapsed="false">
      <c r="A9087" s="1" t="s">
        <v>1116</v>
      </c>
      <c r="B9087" s="0" t="s">
        <v>98</v>
      </c>
      <c r="E9087" s="6" t="n">
        <f aca="false">Q!M43</f>
        <v>145.3</v>
      </c>
      <c r="F9087" s="6" t="n">
        <f aca="false">Sens!F9084+Sens!F9085+Sens!F9086</f>
        <v>204.440354046538</v>
      </c>
      <c r="G9087" s="6" t="n">
        <f aca="false">Sens!G9084+Sens!G9085</f>
        <v>233.340249244186</v>
      </c>
      <c r="H9087" s="6" t="n">
        <f aca="false">Sens!H9084+Sens!H9085</f>
        <v>243.697534309089</v>
      </c>
      <c r="I9087" s="6" t="n">
        <f aca="false">Sens!I9084+Sens!I9085</f>
        <v>220.787598513974</v>
      </c>
      <c r="J9087" s="6" t="n">
        <f aca="false">Sens!J9084+Sens!J9085</f>
        <v>185.932058946983</v>
      </c>
      <c r="K9087" s="6" t="n">
        <f aca="false">Sens!K9084+Sens!K9085</f>
        <v>180.187261563586</v>
      </c>
      <c r="L9087" s="1" t="s">
        <v>1117</v>
      </c>
    </row>
    <row r="9088" customFormat="false" ht="15" hidden="false" customHeight="false" outlineLevel="0" collapsed="false">
      <c r="A9088" s="1" t="s">
        <v>1118</v>
      </c>
      <c r="B9088" s="0" t="s">
        <v>98</v>
      </c>
      <c r="E9088" s="6" t="n">
        <f aca="false">fl_liab</f>
        <v>66.594</v>
      </c>
      <c r="F9088" s="6" t="n">
        <f aca="false">Sens!E9088-Sens!F9089</f>
        <v>62.46973</v>
      </c>
      <c r="G9088" s="6" t="n">
        <f aca="false">Sens!F9088-Sens!G9089</f>
        <v>57.98686785</v>
      </c>
      <c r="H9088" s="6" t="n">
        <f aca="false">Sens!G9088-Sens!H9089</f>
        <v>53.92827690325</v>
      </c>
      <c r="I9088" s="6" t="n">
        <f aca="false">Sens!H9088-Sens!I9089</f>
        <v>49.7850493638962</v>
      </c>
      <c r="J9088" s="6" t="n">
        <f aca="false">Sens!I9088-Sens!J9089</f>
        <v>45.4823765852716</v>
      </c>
      <c r="K9088" s="6" t="n">
        <f aca="false">Sens!J9088-Sens!K9089</f>
        <v>40.9860835316088</v>
      </c>
    </row>
    <row r="9089" customFormat="false" ht="15" hidden="false" customHeight="false" outlineLevel="0" collapsed="false">
      <c r="A9089" s="1" t="s">
        <v>1119</v>
      </c>
      <c r="B9089" s="0" t="s">
        <v>98</v>
      </c>
      <c r="F9089" s="6" t="n">
        <f aca="false">fl_pay_27-Sens!E9088*fl_rate</f>
        <v>4.12427</v>
      </c>
      <c r="G9089" s="6" t="n">
        <f aca="false">fl_pay_28-Sens!F9088*fl_rate</f>
        <v>4.48286215</v>
      </c>
      <c r="H9089" s="6" t="n">
        <f aca="false">fl_pay_29-Sens!G9088*fl_rate</f>
        <v>4.05859094675</v>
      </c>
      <c r="I9089" s="6" t="n">
        <f aca="false">fl_pay_30-Sens!H9088*fl_rate</f>
        <v>4.14322753935375</v>
      </c>
      <c r="J9089" s="6" t="n">
        <f aca="false">fl_pay_31-Sens!I9088*fl_rate</f>
        <v>4.30267277862467</v>
      </c>
      <c r="K9089" s="6" t="n">
        <f aca="false">fl_pay_32-Sens!J9088*fl_rate</f>
        <v>4.49629305366278</v>
      </c>
    </row>
    <row r="9090" customFormat="false" ht="17.15" hidden="false" customHeight="false" outlineLevel="0" collapsed="false">
      <c r="A9090" s="1" t="s">
        <v>1120</v>
      </c>
      <c r="B9090" s="0" t="s">
        <v>98</v>
      </c>
      <c r="E9090" s="6" t="n">
        <f aca="false">Q!M35-Q!M36-Q!M44</f>
        <v>63.886</v>
      </c>
      <c r="F9090" s="6" t="n">
        <f aca="false">Sens!F9083-Sens!F9087-Sens!F9089</f>
        <v>8.46047900512945</v>
      </c>
      <c r="G9090" s="6" t="n">
        <f aca="false">Sens!G9083-Sens!G9087-Sens!G9089</f>
        <v>10.288263658975</v>
      </c>
      <c r="H9090" s="6" t="n">
        <f aca="false">Sens!H9083-Sens!H9087-Sens!H9089</f>
        <v>35.1423845258975</v>
      </c>
      <c r="I9090" s="6" t="n">
        <f aca="false">Sens!I9083-Sens!I9087-Sens!I9089</f>
        <v>96.2067893062009</v>
      </c>
      <c r="J9090" s="6" t="n">
        <f aca="false">Sens!J9083-Sens!J9087-Sens!J9089</f>
        <v>162.89537830611</v>
      </c>
      <c r="K9090" s="6" t="n">
        <f aca="false">Sens!K9083-Sens!K9087-Sens!K9089</f>
        <v>194.635875362594</v>
      </c>
      <c r="L9090" s="12" t="s">
        <v>1121</v>
      </c>
    </row>
    <row r="9091" customFormat="false" ht="15" hidden="false" customHeight="false" outlineLevel="0" collapsed="false">
      <c r="A9091" s="1" t="s">
        <v>1122</v>
      </c>
      <c r="B9091" s="0" t="s">
        <v>75</v>
      </c>
      <c r="F9091" s="8" t="n">
        <f aca="false">dps_27</f>
        <v>3.85</v>
      </c>
      <c r="G9091" s="8" t="n">
        <f aca="false">Sens!F9091*(1+dps_g)</f>
        <v>4.158</v>
      </c>
      <c r="H9091" s="8" t="n">
        <f aca="false">Sens!G9091*(1+dps_g)</f>
        <v>4.49064</v>
      </c>
      <c r="I9091" s="8" t="n">
        <f aca="false">Sens!H9091*(1+dps_g)</f>
        <v>4.8498912</v>
      </c>
      <c r="J9091" s="8" t="n">
        <f aca="false">Sens!I9091*(1+dps_g)</f>
        <v>5.237882496</v>
      </c>
      <c r="K9091" s="8" t="n">
        <f aca="false">Sens!J9091*(1+dps_g)</f>
        <v>5.65691309568</v>
      </c>
    </row>
    <row r="9092" customFormat="false" ht="17.15" hidden="false" customHeight="false" outlineLevel="0" collapsed="false">
      <c r="A9092" s="1" t="s">
        <v>1123</v>
      </c>
      <c r="B9092" s="0" t="s">
        <v>98</v>
      </c>
      <c r="E9092" s="6" t="n">
        <f aca="false">Q!M41</f>
        <v>26.445</v>
      </c>
      <c r="F9092" s="6" t="n">
        <f aca="false">Sens!F9091*Sens!E9101</f>
        <v>28.59395</v>
      </c>
      <c r="G9092" s="6" t="n">
        <f aca="false">Sens!G9091*Sens!F9101</f>
        <v>31.068576</v>
      </c>
      <c r="H9092" s="6" t="n">
        <f aca="false">Sens!H9091*Sens!G9101</f>
        <v>33.75614088</v>
      </c>
      <c r="I9092" s="6" t="n">
        <f aca="false">Sens!I9091*Sens!H9101</f>
        <v>36.6748772544</v>
      </c>
      <c r="J9092" s="6" t="n">
        <f aca="false">Sens!J9091*Sens!I9101</f>
        <v>39.6767653201446</v>
      </c>
      <c r="K9092" s="6" t="n">
        <f aca="false">Sens!K9091*Sens!J9101</f>
        <v>42.9376608081345</v>
      </c>
      <c r="L9092" s="1" t="s">
        <v>1124</v>
      </c>
    </row>
    <row r="9093" customFormat="false" ht="15" hidden="false" customHeight="false" outlineLevel="0" collapsed="false">
      <c r="A9093" s="1" t="s">
        <v>1125</v>
      </c>
      <c r="B9093" s="0" t="s">
        <v>98</v>
      </c>
      <c r="E9093" s="6" t="n">
        <f aca="false">Sens!E9090-Sens!E9092</f>
        <v>37.441</v>
      </c>
      <c r="F9093" s="6" t="n">
        <f aca="false">Sens!F9090-Sens!F9092</f>
        <v>-20.1334709948706</v>
      </c>
      <c r="G9093" s="6" t="n">
        <f aca="false">Sens!G9090-Sens!G9092</f>
        <v>-20.780312341025</v>
      </c>
      <c r="H9093" s="6" t="n">
        <f aca="false">Sens!H9090-Sens!H9092</f>
        <v>1.38624364589748</v>
      </c>
      <c r="I9093" s="6" t="n">
        <f aca="false">Sens!I9090-Sens!I9092</f>
        <v>59.5319120518009</v>
      </c>
      <c r="J9093" s="6" t="n">
        <f aca="false">Sens!J9090-Sens!J9092</f>
        <v>123.218612985965</v>
      </c>
      <c r="K9093" s="6" t="n">
        <f aca="false">Sens!K9090-Sens!K9092</f>
        <v>151.698214554459</v>
      </c>
    </row>
    <row r="9094" customFormat="false" ht="15" hidden="false" customHeight="false" outlineLevel="0" collapsed="false">
      <c r="A9094" s="1" t="s">
        <v>1126</v>
      </c>
      <c r="B9094" s="0" t="s">
        <v>98</v>
      </c>
      <c r="F9094" s="6" t="n">
        <f aca="false">debt_mat_27</f>
        <v>9.25</v>
      </c>
      <c r="G9094" s="6" t="n">
        <f aca="false">debt_mat_28</f>
        <v>0</v>
      </c>
      <c r="H9094" s="6" t="n">
        <f aca="false">debt_mat_29</f>
        <v>2.001</v>
      </c>
      <c r="I9094" s="6" t="n">
        <f aca="false">debt_mat_30</f>
        <v>0</v>
      </c>
      <c r="J9094" s="6" t="n">
        <f aca="false">debt_mat_31</f>
        <v>0.5</v>
      </c>
      <c r="K9094" s="6" t="n">
        <f aca="false">debt_mat_32</f>
        <v>0</v>
      </c>
    </row>
    <row r="9095" customFormat="false" ht="15" hidden="false" customHeight="false" outlineLevel="0" collapsed="false">
      <c r="A9095" s="1" t="s">
        <v>1127</v>
      </c>
      <c r="B9095" s="0" t="s">
        <v>98</v>
      </c>
      <c r="E9095" s="6" t="n">
        <f aca="false">Q!M40</f>
        <v>22.271</v>
      </c>
      <c r="F9095" s="6" t="n">
        <f aca="false">MAX(0,MIN(bb_target,Sens!E9097+Sens!F9093-Sens!F9094-min_cash))</f>
        <v>0</v>
      </c>
      <c r="G9095" s="6" t="n">
        <f aca="false">MAX(0,MIN(bb_target,Sens!F9097+Sens!G9093-Sens!G9094-min_cash))</f>
        <v>0</v>
      </c>
      <c r="H9095" s="6" t="n">
        <f aca="false">MAX(0,MIN(bb_target,Sens!G9097+Sens!H9093-Sens!H9094-min_cash))</f>
        <v>0</v>
      </c>
      <c r="I9095" s="6" t="n">
        <f aca="false">MAX(0,MIN(bb_target,Sens!H9097+Sens!I9093-Sens!I9094-min_cash))</f>
        <v>22.271</v>
      </c>
      <c r="J9095" s="6" t="n">
        <f aca="false">MAX(0,MIN(bb_target,Sens!I9097+Sens!J9093-Sens!J9094-min_cash))</f>
        <v>22.271</v>
      </c>
      <c r="K9095" s="6" t="n">
        <f aca="false">MAX(0,MIN(bb_target,Sens!J9097+Sens!K9093-Sens!K9094-min_cash))</f>
        <v>22.271</v>
      </c>
    </row>
    <row r="9096" customFormat="false" ht="15" hidden="false" customHeight="false" outlineLevel="0" collapsed="false">
      <c r="A9096" s="1" t="s">
        <v>1128</v>
      </c>
      <c r="B9096" s="0" t="s">
        <v>98</v>
      </c>
      <c r="F9096" s="6" t="n">
        <f aca="false">MAX(0,min_cash-(Sens!E9097+Sens!F9093-Sens!F9094-Sens!F9095))</f>
        <v>2.54047099487055</v>
      </c>
      <c r="G9096" s="6" t="n">
        <f aca="false">MAX(0,min_cash-(Sens!F9097+Sens!G9093-Sens!G9094-Sens!G9095))</f>
        <v>20.780312341025</v>
      </c>
      <c r="H9096" s="6" t="n">
        <f aca="false">MAX(0,min_cash-(Sens!G9097+Sens!H9093-Sens!H9094-Sens!H9095))</f>
        <v>0.614756354102518</v>
      </c>
      <c r="I9096" s="6" t="n">
        <f aca="false">MAX(0,min_cash-(Sens!H9097+Sens!I9093-Sens!I9094-Sens!I9095))</f>
        <v>0</v>
      </c>
      <c r="J9096" s="6" t="n">
        <f aca="false">MAX(0,min_cash-(Sens!I9097+Sens!J9093-Sens!J9094-Sens!J9095))</f>
        <v>0</v>
      </c>
      <c r="K9096" s="6" t="n">
        <f aca="false">MAX(0,min_cash-(Sens!J9097+Sens!K9093-Sens!K9094-Sens!K9095))</f>
        <v>0</v>
      </c>
    </row>
    <row r="9097" customFormat="false" ht="15" hidden="false" customHeight="false" outlineLevel="0" collapsed="false">
      <c r="A9097" s="1" t="s">
        <v>1129</v>
      </c>
      <c r="B9097" s="0" t="s">
        <v>98</v>
      </c>
      <c r="E9097" s="6" t="n">
        <f aca="false">cash_open</f>
        <v>76.843</v>
      </c>
      <c r="F9097" s="6" t="n">
        <f aca="false">Sens!E9097+Sens!F9093-Sens!F9094-Sens!F9095+Sens!F9096</f>
        <v>50</v>
      </c>
      <c r="G9097" s="6" t="n">
        <f aca="false">Sens!F9097+Sens!G9093-Sens!G9094-Sens!G9095+Sens!G9096</f>
        <v>50</v>
      </c>
      <c r="H9097" s="6" t="n">
        <f aca="false">Sens!G9097+Sens!H9093-Sens!H9094-Sens!H9095+Sens!H9096</f>
        <v>50</v>
      </c>
      <c r="I9097" s="6" t="n">
        <f aca="false">Sens!H9097+Sens!I9093-Sens!I9094-Sens!I9095+Sens!I9096</f>
        <v>87.2609120518009</v>
      </c>
      <c r="J9097" s="6" t="n">
        <f aca="false">Sens!I9097+Sens!J9093-Sens!J9094-Sens!J9095+Sens!J9096</f>
        <v>187.708525037766</v>
      </c>
      <c r="K9097" s="6" t="n">
        <f aca="false">Sens!J9097+Sens!K9093-Sens!K9094-Sens!K9095+Sens!K9096</f>
        <v>317.135739592225</v>
      </c>
    </row>
    <row r="9098" customFormat="false" ht="15" hidden="false" customHeight="false" outlineLevel="0" collapsed="false">
      <c r="A9098" s="1" t="s">
        <v>1130</v>
      </c>
      <c r="B9098" s="0" t="s">
        <v>98</v>
      </c>
      <c r="E9098" s="6" t="n">
        <f aca="false">debt_face</f>
        <v>46.136</v>
      </c>
      <c r="F9098" s="6" t="n">
        <f aca="false">Sens!E9098-Sens!F9094+Sens!F9096</f>
        <v>39.4264709948706</v>
      </c>
      <c r="G9098" s="6" t="n">
        <f aca="false">Sens!F9098-Sens!G9094+Sens!G9096</f>
        <v>60.2067833358956</v>
      </c>
      <c r="H9098" s="6" t="n">
        <f aca="false">Sens!G9098-Sens!H9094+Sens!H9096</f>
        <v>58.8205396899981</v>
      </c>
      <c r="I9098" s="6" t="n">
        <f aca="false">Sens!H9098-Sens!I9094+Sens!I9096</f>
        <v>58.8205396899981</v>
      </c>
      <c r="J9098" s="6" t="n">
        <f aca="false">Sens!I9098-Sens!J9094+Sens!J9096</f>
        <v>58.3205396899981</v>
      </c>
      <c r="K9098" s="6" t="n">
        <f aca="false">Sens!J9098-Sens!K9094+Sens!K9096</f>
        <v>58.3205396899981</v>
      </c>
    </row>
    <row r="9099" customFormat="false" ht="15" hidden="false" customHeight="false" outlineLevel="0" collapsed="false">
      <c r="A9099" s="1" t="s">
        <v>1131</v>
      </c>
      <c r="B9099" s="0" t="s">
        <v>98</v>
      </c>
      <c r="E9099" s="6" t="n">
        <f aca="false">Sens!E9097-Sens!E9098</f>
        <v>30.707</v>
      </c>
      <c r="F9099" s="6" t="n">
        <f aca="false">Sens!F9097-Sens!F9098</f>
        <v>10.5735290051295</v>
      </c>
      <c r="G9099" s="6" t="n">
        <f aca="false">Sens!G9097-Sens!G9098</f>
        <v>-10.2067833358956</v>
      </c>
      <c r="H9099" s="6" t="n">
        <f aca="false">Sens!H9097-Sens!H9098</f>
        <v>-8.8205396899981</v>
      </c>
      <c r="I9099" s="6" t="n">
        <f aca="false">Sens!I9097-Sens!I9098</f>
        <v>28.4403723618028</v>
      </c>
      <c r="J9099" s="6" t="n">
        <f aca="false">Sens!J9097-Sens!J9098</f>
        <v>129.387985347768</v>
      </c>
      <c r="K9099" s="6" t="n">
        <f aca="false">Sens!K9097-Sens!K9098</f>
        <v>258.815199902227</v>
      </c>
    </row>
    <row r="9100" customFormat="false" ht="15" hidden="false" customHeight="false" outlineLevel="0" collapsed="false">
      <c r="A9100" s="1" t="s">
        <v>1132</v>
      </c>
      <c r="B9100" s="0" t="s">
        <v>75</v>
      </c>
      <c r="F9100" s="30" t="n">
        <f aca="false">px*(1+bb_g)^(Sens!F8958-base_fy-mid_yr)</f>
        <v>551.84177959629</v>
      </c>
      <c r="G9100" s="30" t="n">
        <f aca="false">px*(1+bb_g)^(Sens!G8958-base_fy-mid_yr)</f>
        <v>595.989121963993</v>
      </c>
      <c r="H9100" s="30" t="n">
        <f aca="false">px*(1+bb_g)^(Sens!H8958-base_fy-mid_yr)</f>
        <v>643.668251721112</v>
      </c>
      <c r="I9100" s="30" t="n">
        <f aca="false">px*(1+bb_g)^(Sens!I8958-base_fy-mid_yr)</f>
        <v>695.161711858801</v>
      </c>
      <c r="J9100" s="30" t="n">
        <f aca="false">px*(1+bb_g)^(Sens!J8958-base_fy-mid_yr)</f>
        <v>750.774648807506</v>
      </c>
      <c r="K9100" s="30" t="n">
        <f aca="false">px*(1+bb_g)^(Sens!K8958-base_fy-mid_yr)</f>
        <v>810.836620712106</v>
      </c>
    </row>
    <row r="9101" customFormat="false" ht="15" hidden="false" customHeight="false" outlineLevel="0" collapsed="false">
      <c r="A9101" s="1" t="s">
        <v>1133</v>
      </c>
      <c r="B9101" s="1" t="s">
        <v>81</v>
      </c>
      <c r="E9101" s="15" t="n">
        <f aca="false">sh_out26</f>
        <v>7.427</v>
      </c>
      <c r="F9101" s="15" t="n">
        <f aca="false">Sens!E9101+sh_iss-Sens!F9095/Sens!F9100</f>
        <v>7.472</v>
      </c>
      <c r="G9101" s="15" t="n">
        <f aca="false">Sens!F9101+sh_iss-Sens!G9095/Sens!G9100</f>
        <v>7.517</v>
      </c>
      <c r="H9101" s="15" t="n">
        <f aca="false">Sens!G9101+sh_iss-Sens!H9095/Sens!H9100</f>
        <v>7.562</v>
      </c>
      <c r="I9101" s="15" t="n">
        <f aca="false">Sens!H9101+sh_iss-Sens!I9095/Sens!I9100</f>
        <v>7.57496285005334</v>
      </c>
      <c r="J9101" s="15" t="n">
        <f aca="false">Sens!I9101+sh_iss-Sens!J9095/Sens!J9100</f>
        <v>7.59029882232494</v>
      </c>
      <c r="K9101" s="15" t="n">
        <f aca="false">Sens!J9101+sh_iss-Sens!K9095/Sens!K9100</f>
        <v>7.60783212998384</v>
      </c>
    </row>
    <row r="9102" customFormat="false" ht="15" hidden="false" customHeight="false" outlineLevel="0" collapsed="false">
      <c r="A9102" s="1" t="s">
        <v>1134</v>
      </c>
      <c r="B9102" s="1" t="s">
        <v>81</v>
      </c>
      <c r="E9102" s="15" t="n">
        <f aca="false">sh_dil26</f>
        <v>7.453</v>
      </c>
      <c r="F9102" s="15" t="n">
        <f aca="false">(Sens!E9101+Sens!F9101)/2+dil_gap</f>
        <v>7.4735</v>
      </c>
      <c r="G9102" s="15" t="n">
        <f aca="false">(Sens!F9101+Sens!G9101)/2+dil_gap</f>
        <v>7.5185</v>
      </c>
      <c r="H9102" s="15" t="n">
        <f aca="false">(Sens!G9101+Sens!H9101)/2+dil_gap</f>
        <v>7.5635</v>
      </c>
      <c r="I9102" s="15" t="n">
        <f aca="false">(Sens!H9101+Sens!I9101)/2+dil_gap</f>
        <v>7.59248142502667</v>
      </c>
      <c r="J9102" s="15" t="n">
        <f aca="false">(Sens!I9101+Sens!J9101)/2+dil_gap</f>
        <v>7.60663083618914</v>
      </c>
      <c r="K9102" s="15" t="n">
        <f aca="false">(Sens!J9101+Sens!K9101)/2+dil_gap</f>
        <v>7.62306547615439</v>
      </c>
    </row>
    <row r="9103" customFormat="false" ht="17.15" hidden="false" customHeight="false" outlineLevel="0" collapsed="false">
      <c r="A9103" s="1" t="s">
        <v>1135</v>
      </c>
      <c r="B9103" s="0" t="s">
        <v>98</v>
      </c>
      <c r="C9103" s="6" t="n">
        <f aca="false">SUM(Sens!F9093:J9093)</f>
        <v>143.222985347768</v>
      </c>
    </row>
    <row r="9104" customFormat="false" ht="15" hidden="false" customHeight="false" outlineLevel="0" collapsed="false">
      <c r="A9104" s="26" t="s">
        <v>1100</v>
      </c>
      <c r="B9104" s="31" t="s">
        <v>98</v>
      </c>
      <c r="C9104" s="27" t="n">
        <f aca="false">Sens!$C$9103-(Sens!F9093+Sens!G9093+Sens!H9093+Sens!I9093+Sens!J9093)</f>
        <v>0</v>
      </c>
      <c r="D9104" s="31"/>
      <c r="E9104" s="31"/>
      <c r="F9104" s="31"/>
      <c r="G9104" s="31"/>
      <c r="H9104" s="31"/>
      <c r="I9104" s="31"/>
      <c r="J9104" s="31"/>
      <c r="K9104" s="31"/>
    </row>
    <row r="9105" customFormat="false" ht="17.15" hidden="false" customHeight="false" outlineLevel="0" collapsed="false">
      <c r="A9105" s="1" t="s">
        <v>1094</v>
      </c>
      <c r="B9105" s="1" t="s">
        <v>1136</v>
      </c>
      <c r="C9105" s="33" t="str">
        <f aca="false">IF(SUM(Sens!F9096:J9096)&gt;0.05,"需要舉債 "&amp;TEXT(SUM(Sens!F9096:J9096),"0.0")&amp;" 十億美元","不需舉債")&amp;"；"&amp;IF(SUM(Sens!F9095:J9095)&lt;COUNT(Sens!F9095:J9095)*bb_target-0.05,"回購較每年 "&amp;TEXT(bb_target,"0.0")&amp;" 的目標少 "&amp;TEXT(COUNT(Sens!F9095:J9095)*bb_target-SUM(Sens!F9095:J9095),"0.0")&amp;" 十億美元（"&amp;TEXT(COUNTIF(Sens!F9095:J9095,"&lt;"&amp;(bb_target-0.05)),"0")&amp;" 年減少）","回購不減")</f>
        <v>需要舉債 23.9 十億美元；回購較每年 22.3 的目標少 66.8 十億美元（3 年減少）</v>
      </c>
    </row>
    <row r="9106" customFormat="false" ht="17.15" hidden="false" customHeight="false" outlineLevel="0" collapsed="false">
      <c r="A9106" s="3" t="s">
        <v>1839</v>
      </c>
    </row>
    <row r="9107" customFormat="false" ht="15" hidden="false" customHeight="false" outlineLevel="0" collapsed="false">
      <c r="A9107" s="4" t="s">
        <v>43</v>
      </c>
      <c r="B9107" s="4" t="s">
        <v>65</v>
      </c>
      <c r="C9107" s="23" t="s">
        <v>942</v>
      </c>
      <c r="D9107" s="23" t="s">
        <v>943</v>
      </c>
      <c r="E9107" s="23" t="s">
        <v>944</v>
      </c>
      <c r="F9107" s="23" t="s">
        <v>945</v>
      </c>
      <c r="G9107" s="23" t="s">
        <v>946</v>
      </c>
      <c r="H9107" s="23" t="s">
        <v>947</v>
      </c>
      <c r="I9107" s="23" t="s">
        <v>948</v>
      </c>
      <c r="J9107" s="23" t="s">
        <v>949</v>
      </c>
      <c r="K9107" s="23" t="s">
        <v>950</v>
      </c>
      <c r="L9107" s="4" t="s">
        <v>47</v>
      </c>
    </row>
    <row r="9108" customFormat="false" ht="17.15" hidden="false" customHeight="false" outlineLevel="0" collapsed="false">
      <c r="A9108" s="1" t="s">
        <v>1216</v>
      </c>
      <c r="B9108" s="1" t="s">
        <v>279</v>
      </c>
      <c r="F9108" s="8" t="n">
        <f aca="false">(1-v_off)*mid_yr</f>
        <v>0.373972602739726</v>
      </c>
      <c r="G9108" s="8" t="n">
        <f aca="false">Sens!G8958-base_fy-mid_yr-v_off</f>
        <v>1.24794520547945</v>
      </c>
      <c r="H9108" s="8" t="n">
        <f aca="false">Sens!H8958-base_fy-mid_yr-v_off</f>
        <v>2.24794520547945</v>
      </c>
      <c r="I9108" s="8" t="n">
        <f aca="false">Sens!I8958-base_fy-mid_yr-v_off</f>
        <v>3.24794520547945</v>
      </c>
      <c r="J9108" s="8" t="n">
        <f aca="false">Sens!J8958-base_fy-mid_yr-v_off</f>
        <v>4.24794520547945</v>
      </c>
      <c r="K9108" s="8" t="n">
        <f aca="false">Sens!K8958-base_fy-mid_yr-v_off</f>
        <v>5.24794520547945</v>
      </c>
      <c r="L9108" s="12" t="s">
        <v>1217</v>
      </c>
    </row>
    <row r="9109" customFormat="false" ht="15" hidden="false" customHeight="false" outlineLevel="0" collapsed="false">
      <c r="A9109" s="1" t="s">
        <v>1218</v>
      </c>
      <c r="B9109" s="1" t="s">
        <v>279</v>
      </c>
      <c r="F9109" s="8" t="n">
        <f aca="false">Sens!F8958-base_fy-v_off</f>
        <v>0.747945205479452</v>
      </c>
      <c r="G9109" s="8" t="n">
        <f aca="false">Sens!G8958-base_fy-v_off</f>
        <v>1.74794520547945</v>
      </c>
      <c r="H9109" s="8" t="n">
        <f aca="false">Sens!H8958-base_fy-v_off</f>
        <v>2.74794520547945</v>
      </c>
      <c r="I9109" s="8" t="n">
        <f aca="false">Sens!I8958-base_fy-v_off</f>
        <v>3.74794520547945</v>
      </c>
      <c r="J9109" s="8" t="n">
        <f aca="false">Sens!J8958-base_fy-v_off</f>
        <v>4.74794520547945</v>
      </c>
      <c r="K9109" s="8" t="n">
        <f aca="false">Sens!K8958-base_fy-v_off</f>
        <v>5.74794520547945</v>
      </c>
    </row>
    <row r="9110" customFormat="false" ht="15" hidden="false" customHeight="false" outlineLevel="0" collapsed="false">
      <c r="A9110" s="1" t="s">
        <v>1219</v>
      </c>
      <c r="B9110" s="0" t="s">
        <v>229</v>
      </c>
      <c r="F9110" s="15" t="n">
        <f aca="false">1/(1+wacc)^Sens!F9108</f>
        <v>0.964022703286649</v>
      </c>
      <c r="G9110" s="15" t="n">
        <f aca="false">1/(1+wacc)^Sens!G9108</f>
        <v>0.884910302296739</v>
      </c>
      <c r="H9110" s="15" t="n">
        <f aca="false">1/(1+wacc)^Sens!H9108</f>
        <v>0.802322009770358</v>
      </c>
      <c r="I9110" s="15" t="n">
        <f aca="false">1/(1+wacc)^Sens!I9108</f>
        <v>0.727441646561469</v>
      </c>
      <c r="J9110" s="15" t="n">
        <f aca="false">1/(1+wacc)^Sens!J9108</f>
        <v>0.659549834988973</v>
      </c>
      <c r="K9110" s="15" t="n">
        <f aca="false">1/(1+wacc)^Sens!K9108</f>
        <v>0.597994336576966</v>
      </c>
    </row>
    <row r="9111" customFormat="false" ht="17.15" hidden="false" customHeight="false" outlineLevel="0" collapsed="false">
      <c r="A9111" s="1" t="s">
        <v>1220</v>
      </c>
      <c r="B9111" s="0" t="s">
        <v>98</v>
      </c>
      <c r="F9111" s="6" t="n">
        <f aca="false">Q!$I$35-Q!$I$39-Q!$I$43</f>
        <v>9.666</v>
      </c>
      <c r="L9111" s="12" t="s">
        <v>1221</v>
      </c>
    </row>
    <row r="9112" customFormat="false" ht="17.15" hidden="false" customHeight="false" outlineLevel="0" collapsed="false">
      <c r="A9112" s="1" t="s">
        <v>1222</v>
      </c>
      <c r="B9112" s="0" t="s">
        <v>98</v>
      </c>
      <c r="F9112" s="6" t="n">
        <f aca="false">Sens!F9083-Sens!F9080-Sens!F9087+Sens!F9065*(1-tax_f)*(1-v_off)-Sens!F9111</f>
        <v>-6.26377456924989</v>
      </c>
      <c r="G9112" s="6" t="n">
        <f aca="false">Sens!G9083-Sens!G9080-Sens!G9087+Sens!G9065*(1-tax_f)</f>
        <v>18.5772145372773</v>
      </c>
      <c r="H9112" s="6" t="n">
        <f aca="false">Sens!H9083-Sens!H9080-Sens!H9087+Sens!H9065*(1-tax_f)</f>
        <v>55.4348095830959</v>
      </c>
      <c r="I9112" s="6" t="n">
        <f aca="false">Sens!I9083-Sens!I9080-Sens!I9087+Sens!I9065*(1-tax_f)</f>
        <v>127.37373352107</v>
      </c>
      <c r="J9112" s="6" t="n">
        <f aca="false">Sens!J9083-Sens!J9080-Sens!J9087+Sens!J9065*(1-tax_f)</f>
        <v>201.405958519227</v>
      </c>
      <c r="K9112" s="6" t="n">
        <f aca="false">Sens!K9083-Sens!K9080-Sens!K9087+Sens!K9065*(1-tax_f)</f>
        <v>236.966978092793</v>
      </c>
      <c r="L9112" s="1" t="s">
        <v>1223</v>
      </c>
    </row>
    <row r="9113" customFormat="false" ht="15" hidden="false" customHeight="false" outlineLevel="0" collapsed="false">
      <c r="A9113" s="1" t="s">
        <v>1224</v>
      </c>
      <c r="B9113" s="0" t="s">
        <v>98</v>
      </c>
      <c r="F9113" s="6" t="n">
        <f aca="false">Sens!F9112*Sens!F9110</f>
        <v>-6.03842089302644</v>
      </c>
      <c r="G9113" s="6" t="n">
        <f aca="false">Sens!G9112*Sens!G9110</f>
        <v>16.4391685320135</v>
      </c>
      <c r="H9113" s="6" t="n">
        <f aca="false">Sens!H9112*Sens!H9110</f>
        <v>44.4765678359466</v>
      </c>
      <c r="I9113" s="6" t="n">
        <f aca="false">Sens!I9112*Sens!I9110</f>
        <v>92.656958441249</v>
      </c>
      <c r="J9113" s="6" t="n">
        <f aca="false">Sens!J9112*Sens!J9110</f>
        <v>132.837266707152</v>
      </c>
      <c r="K9113" s="6" t="n">
        <f aca="false">Sens!K9112*Sens!K9110</f>
        <v>141.704910855248</v>
      </c>
    </row>
    <row r="9114" customFormat="false" ht="17.15" hidden="false" customHeight="false" outlineLevel="0" collapsed="false">
      <c r="A9114" s="1" t="s">
        <v>1225</v>
      </c>
      <c r="B9114" s="0" t="s">
        <v>98</v>
      </c>
      <c r="C9114" s="6" t="n">
        <f aca="false">SUM(Sens!F9113:K9113)</f>
        <v>422.076451478583</v>
      </c>
    </row>
    <row r="9115" customFormat="false" ht="17.15" hidden="false" customHeight="false" outlineLevel="0" collapsed="false">
      <c r="A9115" s="1" t="s">
        <v>1226</v>
      </c>
      <c r="B9115" s="0" t="s">
        <v>98</v>
      </c>
      <c r="C9115" s="6" t="n">
        <f aca="false">Sens!K9051*(1+g_tv)*(1-tax_f)</f>
        <v>246.736937151398</v>
      </c>
    </row>
    <row r="9116" customFormat="false" ht="17.15" hidden="false" customHeight="false" outlineLevel="0" collapsed="false">
      <c r="A9116" s="1" t="s">
        <v>1227</v>
      </c>
      <c r="B9116" s="0" t="s">
        <v>98</v>
      </c>
      <c r="C9116" s="6" t="n">
        <f aca="false">Sens!$C$9115*(1-g_tv/(wacc+ronic_prem))</f>
        <v>174.827540827461</v>
      </c>
    </row>
    <row r="9117" customFormat="false" ht="17.15" hidden="false" customHeight="false" outlineLevel="0" collapsed="false">
      <c r="A9117" s="1" t="s">
        <v>1228</v>
      </c>
      <c r="B9117" s="0" t="s">
        <v>98</v>
      </c>
      <c r="C9117" s="6" t="n">
        <f aca="false">Sens!$C$9116/(wacc-g_tv)</f>
        <v>2396.97987746457</v>
      </c>
    </row>
    <row r="9118" customFormat="false" ht="15" hidden="false" customHeight="false" outlineLevel="0" collapsed="false">
      <c r="A9118" s="1" t="s">
        <v>1229</v>
      </c>
      <c r="B9118" s="0" t="s">
        <v>98</v>
      </c>
      <c r="C9118" s="6" t="n">
        <f aca="false">Sens!$C$9117/(1+wacc)^Sens!K9109</f>
        <v>1364.85396756615</v>
      </c>
    </row>
    <row r="9119" customFormat="false" ht="17.15" hidden="false" customHeight="false" outlineLevel="0" collapsed="false">
      <c r="A9119" s="0" t="s">
        <v>1230</v>
      </c>
      <c r="B9119" s="0" t="s">
        <v>98</v>
      </c>
      <c r="C9119" s="6" t="n">
        <f aca="false">Sens!$C$9114+Sens!$C$9118</f>
        <v>1786.93041904473</v>
      </c>
    </row>
    <row r="9120" customFormat="false" ht="15" hidden="false" customHeight="false" outlineLevel="0" collapsed="false">
      <c r="A9120" s="1" t="s">
        <v>1145</v>
      </c>
      <c r="B9120" s="0" t="s">
        <v>168</v>
      </c>
      <c r="C9120" s="7" t="n">
        <f aca="false">Sens!$C$9118/Sens!$C$9119</f>
        <v>0.763798048888653</v>
      </c>
    </row>
    <row r="9121" customFormat="false" ht="17.15" hidden="false" customHeight="false" outlineLevel="0" collapsed="false">
      <c r="A9121" s="1" t="s">
        <v>1231</v>
      </c>
      <c r="B9121" s="0" t="s">
        <v>98</v>
      </c>
      <c r="C9121" s="6" t="n">
        <f aca="false">Sens!$C$9119+cash_val-debt_val-fl_val+oai_v</f>
        <v>1902.78141904473</v>
      </c>
    </row>
    <row r="9122" customFormat="false" ht="17.15" hidden="false" customHeight="false" outlineLevel="0" collapsed="false">
      <c r="A9122" s="0" t="s">
        <v>1153</v>
      </c>
      <c r="B9122" s="0" t="s">
        <v>75</v>
      </c>
      <c r="C9122" s="5" t="n">
        <f aca="false">Sens!$C$9121/shd_val</f>
        <v>255.544106774742</v>
      </c>
    </row>
    <row r="9123" customFormat="false" ht="15" hidden="false" customHeight="false" outlineLevel="0" collapsed="false">
      <c r="A9123" s="1" t="s">
        <v>1232</v>
      </c>
      <c r="B9123" s="0" t="s">
        <v>75</v>
      </c>
      <c r="C9123" s="8" t="n">
        <f aca="false">div_rem27+Sens!G9091*roll_div_q/q_per_yr</f>
        <v>3.9795</v>
      </c>
    </row>
    <row r="9124" customFormat="false" ht="17.15" hidden="false" customHeight="false" outlineLevel="0" collapsed="false">
      <c r="A9124" s="0" t="s">
        <v>1233</v>
      </c>
      <c r="B9124" s="0" t="s">
        <v>75</v>
      </c>
      <c r="C9124" s="5" t="n">
        <f aca="false">Sens!$C$9122*(1+wacc)^t_roll-Sens!$C$9123</f>
        <v>280.072036786804</v>
      </c>
    </row>
    <row r="9125" customFormat="false" ht="17.15" hidden="false" customHeight="false" outlineLevel="0" collapsed="false">
      <c r="A9125" s="1" t="s">
        <v>1234</v>
      </c>
      <c r="B9125" s="0" t="s">
        <v>168</v>
      </c>
      <c r="F9125" s="7" t="n">
        <f aca="false">Sens!F9077/(Sens!F9022-Sens!F8977)</f>
        <v>0.0684046566784159</v>
      </c>
      <c r="G9125" s="7" t="n">
        <f aca="false">Sens!G9077/(Sens!G9022-Sens!G8977)</f>
        <v>0.0660362070964518</v>
      </c>
      <c r="H9125" s="7" t="n">
        <f aca="false">Sens!H9077/(Sens!H9022-Sens!H8977)</f>
        <v>0.0648630294814493</v>
      </c>
      <c r="I9125" s="7" t="n">
        <f aca="false">Sens!I9077/(Sens!I9022-Sens!I8977)</f>
        <v>0.0647575488119915</v>
      </c>
      <c r="J9125" s="7" t="n">
        <f aca="false">Sens!J9077/(Sens!J9022-Sens!J8977)</f>
        <v>0.0655011822784685</v>
      </c>
      <c r="K9125" s="7" t="n">
        <f aca="false">Sens!K9077/(Sens!K9022-Sens!K8977)</f>
        <v>0.0668418423286326</v>
      </c>
    </row>
    <row r="9126" customFormat="false" ht="17.15" hidden="false" customHeight="false" outlineLevel="0" collapsed="false">
      <c r="A9126" s="0" t="s">
        <v>1235</v>
      </c>
      <c r="B9126" s="0" t="s">
        <v>98</v>
      </c>
      <c r="F9126" s="6" t="n">
        <f aca="false">Sens!F9007*(al_m365+Sens!F9125+sbc_r)</f>
        <v>84.0185109344309</v>
      </c>
      <c r="G9126" s="6" t="n">
        <f aca="false">Sens!G9007*(al_m365+Sens!G9125+sbc_r)</f>
        <v>94.7806691124792</v>
      </c>
      <c r="H9126" s="6" t="n">
        <f aca="false">Sens!H9007*(al_m365+Sens!H9125+sbc_r)</f>
        <v>105.705205217649</v>
      </c>
      <c r="I9126" s="6" t="n">
        <f aca="false">Sens!I9007*(al_m365+Sens!I9125+sbc_r)</f>
        <v>116.014928996282</v>
      </c>
      <c r="J9126" s="6" t="n">
        <f aca="false">Sens!J9007*(al_m365+Sens!J9125+sbc_r)</f>
        <v>125.521180566755</v>
      </c>
      <c r="K9126" s="6" t="n">
        <f aca="false">Sens!K9007*(al_m365+Sens!K9125+sbc_r)</f>
        <v>134.633555954097</v>
      </c>
      <c r="L9126" s="12" t="s">
        <v>1236</v>
      </c>
    </row>
    <row r="9127" customFormat="false" ht="17.15" hidden="false" customHeight="false" outlineLevel="0" collapsed="false">
      <c r="A9127" s="0" t="s">
        <v>1237</v>
      </c>
      <c r="B9127" s="0" t="s">
        <v>98</v>
      </c>
      <c r="F9127" s="6" t="n">
        <f aca="false">Sens!F9008*(al_lic+Sens!F9125+sbc_r)</f>
        <v>32.8495163589478</v>
      </c>
      <c r="G9127" s="6" t="n">
        <f aca="false">Sens!G9008*(al_lic+Sens!G9125+sbc_r)</f>
        <v>34.1457427768468</v>
      </c>
      <c r="H9127" s="6" t="n">
        <f aca="false">Sens!H9008*(al_lic+Sens!H9125+sbc_r)</f>
        <v>35.3522144682986</v>
      </c>
      <c r="I9127" s="6" t="n">
        <f aca="false">Sens!I9008*(al_lic+Sens!I9125+sbc_r)</f>
        <v>36.4497069105385</v>
      </c>
      <c r="J9127" s="6" t="n">
        <f aca="false">Sens!J9008*(al_lic+Sens!J9125+sbc_r)</f>
        <v>37.4149339894144</v>
      </c>
      <c r="K9127" s="6" t="n">
        <f aca="false">Sens!K9008*(al_lic+Sens!K9125+sbc_r)</f>
        <v>38.2232219940317</v>
      </c>
    </row>
    <row r="9128" customFormat="false" ht="17.15" hidden="false" customHeight="false" outlineLevel="0" collapsed="false">
      <c r="A9128" s="0" t="s">
        <v>1238</v>
      </c>
      <c r="B9128" s="0" t="s">
        <v>98</v>
      </c>
      <c r="F9128" s="6" t="n">
        <f aca="false">Sens!F9010*(al_ind+Sens!F9125+sbc_r)</f>
        <v>9.05562103599839</v>
      </c>
      <c r="G9128" s="6" t="n">
        <f aca="false">Sens!G9010*(al_ind+Sens!G9125+sbc_r)</f>
        <v>9.84113922545004</v>
      </c>
      <c r="H9128" s="6" t="n">
        <f aca="false">Sens!H9010*(al_ind+Sens!H9125+sbc_r)</f>
        <v>10.6695747331439</v>
      </c>
      <c r="I9128" s="6" t="n">
        <f aca="false">Sens!I9010*(al_ind+Sens!I9125+sbc_r)</f>
        <v>11.5367801116463</v>
      </c>
      <c r="J9128" s="6" t="n">
        <f aca="false">Sens!J9010*(al_ind+Sens!J9125+sbc_r)</f>
        <v>12.4339990154907</v>
      </c>
      <c r="K9128" s="6" t="n">
        <f aca="false">Sens!K9010*(al_ind+Sens!K9125+sbc_r)</f>
        <v>13.3486513912461</v>
      </c>
    </row>
    <row r="9129" customFormat="false" ht="17.15" hidden="false" customHeight="false" outlineLevel="0" collapsed="false">
      <c r="A9129" s="0" t="s">
        <v>1239</v>
      </c>
      <c r="B9129" s="0" t="s">
        <v>98</v>
      </c>
      <c r="F9129" s="6" t="n">
        <f aca="false">Sens!F9012*(al_fro+Sens!F9125+sbc_r)</f>
        <v>3.55214823781862</v>
      </c>
      <c r="G9129" s="6" t="n">
        <f aca="false">Sens!G9012*(al_fro+Sens!G9125+sbc_r)</f>
        <v>3.76550829149002</v>
      </c>
      <c r="H9129" s="6" t="n">
        <f aca="false">Sens!H9012*(al_fro+Sens!H9125+sbc_r)</f>
        <v>4.0069260785681</v>
      </c>
      <c r="I9129" s="6" t="n">
        <f aca="false">Sens!I9012*(al_fro+Sens!I9125+sbc_r)</f>
        <v>4.27885303530722</v>
      </c>
      <c r="J9129" s="6" t="n">
        <f aca="false">Sens!J9012*(al_fro+Sens!J9125+sbc_r)</f>
        <v>4.58286161707526</v>
      </c>
      <c r="K9129" s="6" t="n">
        <f aca="false">Sens!K9012*(al_fro+Sens!K9125+sbc_r)</f>
        <v>4.91997964809604</v>
      </c>
    </row>
    <row r="9130" customFormat="false" ht="17.15" hidden="false" customHeight="false" outlineLevel="0" collapsed="false">
      <c r="A9130" s="0" t="s">
        <v>1240</v>
      </c>
      <c r="B9130" s="0" t="s">
        <v>98</v>
      </c>
      <c r="F9130" s="6" t="n">
        <f aca="false">Sens!F9015*(al_srch+Sens!F9125+sbc_r)</f>
        <v>11.1831675481319</v>
      </c>
      <c r="G9130" s="6" t="n">
        <f aca="false">Sens!G9015*(al_srch+Sens!G9125+sbc_r)</f>
        <v>12.2679075366792</v>
      </c>
      <c r="H9130" s="6" t="n">
        <f aca="false">Sens!H9015*(al_srch+Sens!H9125+sbc_r)</f>
        <v>13.3952533510118</v>
      </c>
      <c r="I9130" s="6" t="n">
        <f aca="false">Sens!I9015*(al_srch+Sens!I9125+sbc_r)</f>
        <v>14.5530589133212</v>
      </c>
      <c r="J9130" s="6" t="n">
        <f aca="false">Sens!J9015*(al_srch+Sens!J9125+sbc_r)</f>
        <v>15.722449371057</v>
      </c>
      <c r="K9130" s="6" t="n">
        <f aca="false">Sens!K9015*(al_srch+Sens!K9125+sbc_r)</f>
        <v>16.8790021142264</v>
      </c>
    </row>
    <row r="9131" customFormat="false" ht="17.15" hidden="false" customHeight="false" outlineLevel="0" collapsed="false">
      <c r="A9131" s="0" t="s">
        <v>1241</v>
      </c>
      <c r="B9131" s="0" t="s">
        <v>98</v>
      </c>
      <c r="F9131" s="6" t="n">
        <f aca="false">Sens!F8983-Sens!F8984+Sens!F9065</f>
        <v>37.7706325426469</v>
      </c>
      <c r="G9131" s="6" t="n">
        <f aca="false">Sens!G8983-Sens!G8984+Sens!G9065</f>
        <v>67.9239128786446</v>
      </c>
      <c r="H9131" s="6" t="n">
        <f aca="false">Sens!H8983-Sens!H8984+Sens!H9065</f>
        <v>94.9305514229284</v>
      </c>
      <c r="I9131" s="6" t="n">
        <f aca="false">Sens!I8983-Sens!I8984+Sens!I9065</f>
        <v>125.513849700652</v>
      </c>
      <c r="J9131" s="6" t="n">
        <f aca="false">Sens!J8983-Sens!J8984+Sens!J9065</f>
        <v>146.995975410172</v>
      </c>
      <c r="K9131" s="6" t="n">
        <f aca="false">Sens!K8983-Sens!K8984+Sens!K9065</f>
        <v>160.248157545521</v>
      </c>
    </row>
    <row r="9132" customFormat="false" ht="17.15" hidden="false" customHeight="false" outlineLevel="0" collapsed="false">
      <c r="A9132" s="0" t="s">
        <v>1242</v>
      </c>
      <c r="B9132" s="0" t="s">
        <v>98</v>
      </c>
      <c r="F9132" s="6" t="n">
        <f aca="false">Sens!F9044+Sens!F9065+Sens!F8995+Sens!F9125*(Sens!F9014-Sens!F8977)+sbc_r*Sens!F9014</f>
        <v>234.570297075746</v>
      </c>
      <c r="G9132" s="6" t="n">
        <f aca="false">Sens!G9044+Sens!G9065+Sens!G8995+Sens!G9125*(Sens!G9014-Sens!G8977)+sbc_r*Sens!G9014</f>
        <v>285.318158060932</v>
      </c>
      <c r="H9132" s="6" t="n">
        <f aca="false">Sens!H9044+Sens!H9065+Sens!H8995+Sens!H9125*(Sens!H9014-Sens!H8977)+sbc_r*Sens!H9014</f>
        <v>338.089303231481</v>
      </c>
      <c r="I9132" s="6" t="n">
        <f aca="false">Sens!I9044+Sens!I9065+Sens!I8995+Sens!I9125*(Sens!I9014-Sens!I8977)+sbc_r*Sens!I9014</f>
        <v>393.725535949383</v>
      </c>
      <c r="J9132" s="6" t="n">
        <f aca="false">Sens!J9044+Sens!J9065+Sens!J8995+Sens!J9125*(Sens!J9014-Sens!J8977)+sbc_r*Sens!J9014</f>
        <v>438.246094008662</v>
      </c>
      <c r="K9132" s="6" t="n">
        <f aca="false">Sens!K9044+Sens!K9065+Sens!K8995+Sens!K9125*(Sens!K9014-Sens!K8977)+sbc_r*Sens!K9014</f>
        <v>472.196983345888</v>
      </c>
    </row>
    <row r="9133" customFormat="false" ht="17.15" hidden="false" customHeight="false" outlineLevel="0" collapsed="false">
      <c r="A9133" s="0" t="s">
        <v>1243</v>
      </c>
      <c r="B9133" s="0" t="s">
        <v>98</v>
      </c>
      <c r="F9133" s="6" t="n">
        <f aca="false">Sens!F9132-Sens!F9126-Sens!F9127-Sens!F9128-Sens!F9129-Sens!F9131</f>
        <v>67.3238679659031</v>
      </c>
      <c r="G9133" s="6" t="n">
        <f aca="false">Sens!G9132-Sens!G9126-Sens!G9127-Sens!G9128-Sens!G9129-Sens!G9131</f>
        <v>74.8611857760209</v>
      </c>
      <c r="H9133" s="6" t="n">
        <f aca="false">Sens!H9132-Sens!H9126-Sens!H9127-Sens!H9128-Sens!H9129-Sens!H9131</f>
        <v>87.4248313108923</v>
      </c>
      <c r="I9133" s="6" t="n">
        <f aca="false">Sens!I9132-Sens!I9126-Sens!I9127-Sens!I9128-Sens!I9129-Sens!I9131</f>
        <v>99.9314171949567</v>
      </c>
      <c r="J9133" s="6" t="n">
        <f aca="false">Sens!J9132-Sens!J9126-Sens!J9127-Sens!J9128-Sens!J9129-Sens!J9131</f>
        <v>111.297143409756</v>
      </c>
      <c r="K9133" s="6" t="n">
        <f aca="false">Sens!K9132-Sens!K9126-Sens!K9127-Sens!K9128-Sens!K9129-Sens!K9131</f>
        <v>120.823416812896</v>
      </c>
    </row>
    <row r="9134" customFormat="false" ht="17.15" hidden="false" customHeight="false" outlineLevel="0" collapsed="false">
      <c r="A9134" s="0" t="s">
        <v>1244</v>
      </c>
      <c r="B9134" s="0" t="s">
        <v>98</v>
      </c>
      <c r="F9134" s="6" t="n">
        <f aca="false">Sens!F9046+Sens!F9125*Sens!F9021+sbc_r*Sens!F9021</f>
        <v>26.6198173184334</v>
      </c>
      <c r="G9134" s="6" t="n">
        <f aca="false">Sens!G9046+Sens!G9125*Sens!G9021+sbc_r*Sens!G9021</f>
        <v>26.4855299819501</v>
      </c>
      <c r="H9134" s="6" t="n">
        <f aca="false">Sens!H9046+Sens!H9125*Sens!H9021+sbc_r*Sens!H9021</f>
        <v>27.3793268174563</v>
      </c>
      <c r="I9134" s="6" t="n">
        <f aca="false">Sens!I9046+Sens!I9125*Sens!I9021+sbc_r*Sens!I9021</f>
        <v>28.4996690386973</v>
      </c>
      <c r="J9134" s="6" t="n">
        <f aca="false">Sens!J9046+Sens!J9125*Sens!J9021+sbc_r*Sens!J9021</f>
        <v>29.8149579084995</v>
      </c>
      <c r="K9134" s="6" t="n">
        <f aca="false">Sens!K9046+Sens!K9125*Sens!K9021+sbc_r*Sens!K9021</f>
        <v>31.2947561320255</v>
      </c>
    </row>
    <row r="9135" customFormat="false" ht="17.15" hidden="false" customHeight="false" outlineLevel="0" collapsed="false">
      <c r="A9135" s="0" t="s">
        <v>1245</v>
      </c>
      <c r="B9135" s="0" t="s">
        <v>98</v>
      </c>
      <c r="F9135" s="6" t="n">
        <f aca="false">(Sens!F9134-Sens!F9130)*Sens!F9017/(Sens!F9017+Sens!F9019)</f>
        <v>8.71839624451141</v>
      </c>
      <c r="G9135" s="6" t="n">
        <f aca="false">(Sens!G9134-Sens!G9130)*Sens!G9017/(Sens!G9017+Sens!G9019)</f>
        <v>7.89190296875322</v>
      </c>
      <c r="H9135" s="6" t="n">
        <f aca="false">(Sens!H9134-Sens!H9130)*Sens!H9017/(Sens!H9017+Sens!H9019)</f>
        <v>7.66114551811905</v>
      </c>
      <c r="I9135" s="6" t="n">
        <f aca="false">(Sens!I9134-Sens!I9130)*Sens!I9017/(Sens!I9017+Sens!I9019)</f>
        <v>7.5739304934126</v>
      </c>
      <c r="J9135" s="6" t="n">
        <f aca="false">(Sens!J9134-Sens!J9130)*Sens!J9017/(Sens!J9017+Sens!J9019)</f>
        <v>7.61977258010219</v>
      </c>
      <c r="K9135" s="6" t="n">
        <f aca="false">(Sens!K9134-Sens!K9130)*Sens!K9017/(Sens!K9017+Sens!K9019)</f>
        <v>7.79455033817973</v>
      </c>
    </row>
    <row r="9136" customFormat="false" ht="17.15" hidden="false" customHeight="false" outlineLevel="0" collapsed="false">
      <c r="A9136" s="0" t="s">
        <v>1246</v>
      </c>
      <c r="B9136" s="0" t="s">
        <v>98</v>
      </c>
      <c r="F9136" s="6" t="n">
        <f aca="false">Sens!F9134-Sens!F9130-Sens!F9135</f>
        <v>6.71825352579015</v>
      </c>
      <c r="G9136" s="6" t="n">
        <f aca="false">Sens!G9134-Sens!G9130-Sens!G9135</f>
        <v>6.32571947651773</v>
      </c>
      <c r="H9136" s="6" t="n">
        <f aca="false">Sens!H9134-Sens!H9130-Sens!H9135</f>
        <v>6.32292794832546</v>
      </c>
      <c r="I9136" s="6" t="n">
        <f aca="false">Sens!I9134-Sens!I9130-Sens!I9135</f>
        <v>6.37267963196348</v>
      </c>
      <c r="J9136" s="6" t="n">
        <f aca="false">Sens!J9134-Sens!J9130-Sens!J9135</f>
        <v>6.47273595734032</v>
      </c>
      <c r="K9136" s="6" t="n">
        <f aca="false">Sens!K9134-Sens!K9130-Sens!K9135</f>
        <v>6.62120367961933</v>
      </c>
    </row>
    <row r="9137" customFormat="false" ht="17.15" hidden="false" customHeight="false" outlineLevel="0" collapsed="false">
      <c r="A9137" s="0" t="s">
        <v>1247</v>
      </c>
      <c r="B9137" s="0" t="s">
        <v>98</v>
      </c>
      <c r="F9137" s="6" t="n">
        <f aca="false">Sens!F9131-tax_f*(Sens!F9131-Sens!F8995)-Sens!F8992</f>
        <v>-131.321535112332</v>
      </c>
      <c r="G9137" s="6" t="n">
        <f aca="false">Sens!G9131-tax_f*(Sens!G9131-Sens!G8995)-Sens!G8992</f>
        <v>-125.458447215673</v>
      </c>
      <c r="H9137" s="6" t="n">
        <f aca="false">Sens!H9131-tax_f*(Sens!H9131-Sens!H8995)-Sens!H8992</f>
        <v>-103.04154479388</v>
      </c>
      <c r="I9137" s="6" t="n">
        <f aca="false">Sens!I9131-tax_f*(Sens!I9131-Sens!I8995)-Sens!I8992</f>
        <v>-45.3575519221788</v>
      </c>
      <c r="J9137" s="6" t="n">
        <f aca="false">Sens!J9131-tax_f*(Sens!J9131-Sens!J8995)-Sens!J8992</f>
        <v>15.0699837421161</v>
      </c>
      <c r="K9137" s="6" t="n">
        <f aca="false">Sens!K9131-tax_f*(Sens!K9131-Sens!K8995)-Sens!K8992</f>
        <v>37.8382068818706</v>
      </c>
    </row>
    <row r="9138" customFormat="false" ht="17.15" hidden="false" customHeight="false" outlineLevel="0" collapsed="false">
      <c r="A9138" s="0" t="s">
        <v>1248</v>
      </c>
      <c r="B9138" s="0" t="s">
        <v>98</v>
      </c>
      <c r="G9138" s="6" t="n">
        <f aca="false">Sens!G9137/(1+wacc)^(Sens!G9108-Sens!F9109)</f>
        <v>-119.460584537743</v>
      </c>
      <c r="H9138" s="6" t="n">
        <f aca="false">Sens!H9137/(1+wacc)^(Sens!H9108-Sens!F9109)</f>
        <v>-88.9583140197841</v>
      </c>
      <c r="I9138" s="6" t="n">
        <f aca="false">Sens!I9137/(1+wacc)^(Sens!I9108-Sens!F9109)</f>
        <v>-35.5036696290406</v>
      </c>
      <c r="J9138" s="6" t="n">
        <f aca="false">Sens!J9137/(1+wacc)^(Sens!J9108-Sens!F9109)</f>
        <v>10.6951252760588</v>
      </c>
      <c r="K9138" s="6" t="n">
        <f aca="false">Sens!K9137/(1+wacc)^(Sens!K9108-Sens!F9109)</f>
        <v>24.3474282413244</v>
      </c>
      <c r="L9138" s="1" t="s">
        <v>1249</v>
      </c>
    </row>
    <row r="9139" customFormat="false" ht="17.15" hidden="false" customHeight="false" outlineLevel="0" collapsed="false">
      <c r="A9139" s="0" t="s">
        <v>1250</v>
      </c>
      <c r="B9139" s="0" t="s">
        <v>98</v>
      </c>
      <c r="C9139" s="6" t="n">
        <f aca="false">(Sens!K9131-Sens!K8995)*(1-tax_f)*(1+g_tv)*(1-g_tv/(wacc+ronic_prem))/(wacc-g_tv)/(1+wacc)^(Sens!K9109-Sens!F9109)</f>
        <v>84.5333907256514</v>
      </c>
    </row>
    <row r="9140" customFormat="false" ht="17.15" hidden="false" customHeight="false" outlineLevel="0" collapsed="false">
      <c r="A9140" s="1" t="s">
        <v>1251</v>
      </c>
      <c r="B9140" s="0" t="s">
        <v>98</v>
      </c>
      <c r="C9140" s="6" t="n">
        <f aca="false">(SUM(Sens!G9138:K9138)+Sens!$C$9139)*(1+wacc)^(t_roll-Sens!F9109)</f>
        <v>-128.451682052012</v>
      </c>
      <c r="L9140" s="12" t="s">
        <v>1252</v>
      </c>
    </row>
    <row r="9141" customFormat="false" ht="17.15" hidden="false" customHeight="false" outlineLevel="0" collapsed="false">
      <c r="A9141" s="1" t="s">
        <v>1253</v>
      </c>
      <c r="B9141" s="0" t="s">
        <v>98</v>
      </c>
      <c r="C9141" s="6" t="n">
        <f aca="false">(w_ntm28*Sens!G8983+(1-w_ntm28)*Sens!H8983)*m_ai</f>
        <v>344.355829012336</v>
      </c>
    </row>
    <row r="9142" customFormat="false" ht="17.15" hidden="false" customHeight="false" outlineLevel="0" collapsed="false">
      <c r="A9142" s="1" t="s">
        <v>1254</v>
      </c>
      <c r="B9142" s="0" t="s">
        <v>98</v>
      </c>
      <c r="C9142" s="6" t="n">
        <f aca="false">(w_ntm28*Sens!G9133+(1-w_ntm28)*Sens!H9133)*m_cloud</f>
        <v>1091.6652853836</v>
      </c>
    </row>
    <row r="9143" customFormat="false" ht="17.15" hidden="false" customHeight="false" outlineLevel="0" collapsed="false">
      <c r="A9143" s="1" t="s">
        <v>1255</v>
      </c>
      <c r="B9143" s="0" t="s">
        <v>98</v>
      </c>
      <c r="C9143" s="6" t="n">
        <f aca="false">(w_ntm28*Sens!G9126+(1-w_ntm28)*Sens!H9126)*m_sw</f>
        <v>1062.42081214711</v>
      </c>
    </row>
    <row r="9144" customFormat="false" ht="17.15" hidden="false" customHeight="false" outlineLevel="0" collapsed="false">
      <c r="A9144" s="1" t="s">
        <v>1256</v>
      </c>
      <c r="B9144" s="0" t="s">
        <v>98</v>
      </c>
      <c r="C9144" s="6" t="n">
        <f aca="false">(w_ntm28*Sens!G9127+(1-w_ntm28)*Sens!H9127)*m_sw</f>
        <v>373.057822845073</v>
      </c>
    </row>
    <row r="9145" customFormat="false" ht="17.15" hidden="false" customHeight="false" outlineLevel="0" collapsed="false">
      <c r="A9145" s="1" t="s">
        <v>1257</v>
      </c>
      <c r="B9145" s="0" t="s">
        <v>98</v>
      </c>
      <c r="C9145" s="6" t="n">
        <f aca="false">(w_ntm28*Sens!G9128+(1-w_ntm28)*Sens!H9128)*m_sw</f>
        <v>109.225817108754</v>
      </c>
    </row>
    <row r="9146" customFormat="false" ht="17.15" hidden="false" customHeight="false" outlineLevel="0" collapsed="false">
      <c r="A9146" s="1" t="s">
        <v>1258</v>
      </c>
      <c r="B9146" s="0" t="s">
        <v>98</v>
      </c>
      <c r="C9146" s="6" t="n">
        <f aca="false">(w_ntm28*Sens!G9129+(1-w_ntm28)*Sens!H9129)*m_sw</f>
        <v>41.5246880468681</v>
      </c>
    </row>
    <row r="9147" customFormat="false" ht="17.15" hidden="false" customHeight="false" outlineLevel="0" collapsed="false">
      <c r="A9147" s="1" t="s">
        <v>1259</v>
      </c>
      <c r="B9147" s="0" t="s">
        <v>98</v>
      </c>
      <c r="C9147" s="6" t="n">
        <f aca="false">(w_ntm28*Sens!G9130+(1-w_ntm28)*Sens!H9130)*m_ads</f>
        <v>115.13711558854</v>
      </c>
    </row>
    <row r="9148" customFormat="false" ht="17.15" hidden="false" customHeight="false" outlineLevel="0" collapsed="false">
      <c r="A9148" s="1" t="s">
        <v>1260</v>
      </c>
      <c r="B9148" s="0" t="s">
        <v>98</v>
      </c>
      <c r="C9148" s="6" t="n">
        <f aca="false">(w_ntm28*Sens!G9135+(1-w_ntm28)*Sens!H9135)*m_game</f>
        <v>98.7165536948569</v>
      </c>
    </row>
    <row r="9149" customFormat="false" ht="17.15" hidden="false" customHeight="false" outlineLevel="0" collapsed="false">
      <c r="A9149" s="1" t="s">
        <v>1261</v>
      </c>
      <c r="B9149" s="0" t="s">
        <v>98</v>
      </c>
      <c r="C9149" s="6" t="n">
        <f aca="false">(w_ntm28*Sens!G9136+(1-w_ntm28)*Sens!H9136)*m_pc</f>
        <v>91.5198807990388</v>
      </c>
    </row>
    <row r="9150" customFormat="false" ht="17.15" hidden="false" customHeight="false" outlineLevel="0" collapsed="false">
      <c r="A9150" s="1" t="s">
        <v>1262</v>
      </c>
      <c r="B9150" s="0" t="s">
        <v>98</v>
      </c>
      <c r="C9150" s="6" t="n">
        <f aca="false">Sens!$C$9140+Sens!$C$9142+Sens!$C$9143+Sens!$C$9144+Sens!$C$9145+Sens!$C$9146+Sens!$C$9147+Sens!$C$9148+Sens!$C$9149</f>
        <v>2854.81629356182</v>
      </c>
    </row>
    <row r="9151" customFormat="false" ht="17.15" hidden="false" customHeight="false" outlineLevel="0" collapsed="false">
      <c r="A9151" s="1" t="s">
        <v>1263</v>
      </c>
      <c r="B9151" s="0" t="s">
        <v>98</v>
      </c>
      <c r="C9151" s="6" t="n">
        <f aca="false">(Sens!G9112-Sens!G9137)*t_stub</f>
        <v>47.7488084167314</v>
      </c>
      <c r="L9151" s="1" t="s">
        <v>1264</v>
      </c>
    </row>
    <row r="9152" customFormat="false" ht="17.15" hidden="false" customHeight="false" outlineLevel="0" collapsed="false">
      <c r="A9152" s="1" t="s">
        <v>1173</v>
      </c>
      <c r="B9152" s="0" t="s">
        <v>98</v>
      </c>
      <c r="C9152" s="6" t="n">
        <f aca="false">Sens!F9099+oai_v-Sens!F9088+Sens!$C$9151</f>
        <v>159.436607421861</v>
      </c>
      <c r="L9152" s="1" t="s">
        <v>1265</v>
      </c>
    </row>
    <row r="9153" customFormat="false" ht="17.15" hidden="false" customHeight="false" outlineLevel="0" collapsed="false">
      <c r="A9153" s="1" t="s">
        <v>1266</v>
      </c>
      <c r="B9153" s="0" t="s">
        <v>75</v>
      </c>
      <c r="C9153" s="5" t="n">
        <f aca="false">(Sens!$C$9150+Sens!$C$9152)/(Sens!F9101+dil_gap)-Sens!G9091*roll_div_q/q_per_yr</f>
        <v>401.075348050118</v>
      </c>
      <c r="L9153" s="1" t="s">
        <v>1267</v>
      </c>
    </row>
    <row r="9154" customFormat="false" ht="17.15" hidden="false" customHeight="false" outlineLevel="0" collapsed="false">
      <c r="A9154" s="1" t="s">
        <v>1268</v>
      </c>
      <c r="B9154" s="0" t="s">
        <v>75</v>
      </c>
      <c r="C9154" s="5" t="n">
        <f aca="false">w_dcf*Sens!$C$9124+(1-w_dcf)*Sens!$C$9153</f>
        <v>340.573692418461</v>
      </c>
    </row>
    <row r="9155" customFormat="false" ht="17.15" hidden="false" customHeight="false" outlineLevel="0" collapsed="false">
      <c r="A9155" s="3" t="s">
        <v>1840</v>
      </c>
    </row>
    <row r="9156" customFormat="false" ht="15" hidden="false" customHeight="false" outlineLevel="0" collapsed="false">
      <c r="A9156" s="4" t="s">
        <v>43</v>
      </c>
      <c r="B9156" s="4" t="s">
        <v>65</v>
      </c>
      <c r="C9156" s="23" t="s">
        <v>942</v>
      </c>
      <c r="D9156" s="23" t="s">
        <v>943</v>
      </c>
      <c r="E9156" s="23" t="s">
        <v>944</v>
      </c>
      <c r="F9156" s="23" t="s">
        <v>945</v>
      </c>
      <c r="G9156" s="23" t="s">
        <v>946</v>
      </c>
      <c r="H9156" s="23" t="s">
        <v>947</v>
      </c>
      <c r="I9156" s="23" t="s">
        <v>948</v>
      </c>
      <c r="J9156" s="23" t="s">
        <v>949</v>
      </c>
      <c r="K9156" s="23" t="s">
        <v>950</v>
      </c>
      <c r="L9156" s="4" t="s">
        <v>47</v>
      </c>
    </row>
    <row r="9157" customFormat="false" ht="17.15" hidden="false" customHeight="false" outlineLevel="0" collapsed="false">
      <c r="A9157" s="1" t="s">
        <v>951</v>
      </c>
      <c r="B9157" s="1" t="s">
        <v>279</v>
      </c>
      <c r="C9157" s="21" t="n">
        <v>2024</v>
      </c>
      <c r="D9157" s="21" t="n">
        <v>2025</v>
      </c>
      <c r="E9157" s="21" t="n">
        <v>2026</v>
      </c>
      <c r="F9157" s="21" t="n">
        <v>2027</v>
      </c>
      <c r="G9157" s="21" t="n">
        <v>2028</v>
      </c>
      <c r="H9157" s="21" t="n">
        <v>2029</v>
      </c>
      <c r="I9157" s="21" t="n">
        <v>2030</v>
      </c>
      <c r="J9157" s="21" t="n">
        <v>2031</v>
      </c>
      <c r="K9157" s="21" t="n">
        <v>2032</v>
      </c>
    </row>
    <row r="9158" customFormat="false" ht="17.15" hidden="false" customHeight="false" outlineLevel="0" collapsed="false">
      <c r="A9158" s="1" t="s">
        <v>952</v>
      </c>
      <c r="B9158" s="0" t="s">
        <v>459</v>
      </c>
      <c r="F9158" s="30" t="n">
        <f aca="false">pace</f>
        <v>2726.5351</v>
      </c>
      <c r="G9158" s="30" t="n">
        <f aca="false">pace</f>
        <v>2726.5351</v>
      </c>
      <c r="H9158" s="30" t="n">
        <f aca="false">pace</f>
        <v>2726.5351</v>
      </c>
      <c r="I9158" s="30" t="n">
        <f aca="false">pace+(g_tv*Sens!H9159-pace)*MIN(1,(Sens!I9157-pace_y0)/(pace_y1-pace_y0))</f>
        <v>1931.98611966667</v>
      </c>
      <c r="J9158" s="30" t="n">
        <f aca="false">pace+(g_tv*Sens!I9159-pace)*MIN(1,(Sens!J9157-pace_y0)/(pace_y1-pace_y0))</f>
        <v>1176.07686172667</v>
      </c>
      <c r="K9158" s="30" t="n">
        <f aca="false">pace+(g_tv*Sens!J9159-pace)*MIN(1,(Sens!K9157-pace_y0)/(pace_y1-pace_y0))</f>
        <v>436.1300484418</v>
      </c>
      <c r="L9158" s="12" t="s">
        <v>953</v>
      </c>
    </row>
    <row r="9159" customFormat="false" ht="17.15" hidden="false" customHeight="false" outlineLevel="0" collapsed="false">
      <c r="A9159" s="1" t="s">
        <v>954</v>
      </c>
      <c r="B9159" s="0" t="s">
        <v>459</v>
      </c>
      <c r="C9159" s="30" t="n">
        <f aca="false">mw_ext_24</f>
        <v>640</v>
      </c>
      <c r="D9159" s="30" t="n">
        <f aca="false">mw_ext_25</f>
        <v>1630</v>
      </c>
      <c r="E9159" s="30" t="n">
        <f aca="false">mw_ext_26</f>
        <v>3250</v>
      </c>
      <c r="F9159" s="30" t="n">
        <f aca="false">Sens!E9159+Sens!F9158</f>
        <v>5976.5351</v>
      </c>
      <c r="G9159" s="30" t="n">
        <f aca="false">Sens!F9159+Sens!G9158</f>
        <v>8703.0702</v>
      </c>
      <c r="H9159" s="30" t="n">
        <f aca="false">Sens!G9159+Sens!H9158</f>
        <v>11429.6053</v>
      </c>
      <c r="I9159" s="30" t="n">
        <f aca="false">Sens!H9159+Sens!I9158</f>
        <v>13361.5914196667</v>
      </c>
      <c r="J9159" s="30" t="n">
        <f aca="false">Sens!I9159+Sens!J9158</f>
        <v>14537.6682813933</v>
      </c>
      <c r="K9159" s="30" t="n">
        <f aca="false">Sens!J9159+Sens!K9158</f>
        <v>14973.7983298351</v>
      </c>
      <c r="L9159" s="1" t="s">
        <v>955</v>
      </c>
    </row>
    <row r="9160" customFormat="false" ht="17.15" hidden="false" customHeight="false" outlineLevel="0" collapsed="false">
      <c r="A9160" s="1" t="s">
        <v>956</v>
      </c>
      <c r="B9160" s="0" t="s">
        <v>459</v>
      </c>
      <c r="C9160" s="30" t="n">
        <f aca="false">rent_ext_24</f>
        <v>150</v>
      </c>
      <c r="D9160" s="30" t="n">
        <f aca="false">rent_ext_25</f>
        <v>400</v>
      </c>
      <c r="E9160" s="30" t="n">
        <f aca="false">rent_ext_26</f>
        <v>550</v>
      </c>
      <c r="F9160" s="30" t="n">
        <f aca="false">rent_ext_f</f>
        <v>756</v>
      </c>
      <c r="G9160" s="30" t="n">
        <f aca="false">rent_ext_f</f>
        <v>756</v>
      </c>
      <c r="H9160" s="30" t="n">
        <f aca="false">rent_ext_f</f>
        <v>756</v>
      </c>
      <c r="I9160" s="30" t="n">
        <f aca="false">rent_ext_f</f>
        <v>756</v>
      </c>
      <c r="J9160" s="30" t="n">
        <f aca="false">rent_ext_f</f>
        <v>756</v>
      </c>
      <c r="K9160" s="30" t="n">
        <f aca="false">rent_ext_f</f>
        <v>756</v>
      </c>
      <c r="L9160" s="1" t="s">
        <v>957</v>
      </c>
    </row>
    <row r="9161" customFormat="false" ht="17.15" hidden="false" customHeight="false" outlineLevel="0" collapsed="false">
      <c r="A9161" s="1" t="s">
        <v>958</v>
      </c>
      <c r="B9161" s="0" t="s">
        <v>459</v>
      </c>
      <c r="C9161" s="30" t="n">
        <f aca="false">Sens!C9159-Sens!C9160</f>
        <v>490</v>
      </c>
      <c r="D9161" s="30" t="n">
        <f aca="false">Sens!D9159-Sens!D9160</f>
        <v>1230</v>
      </c>
      <c r="E9161" s="30" t="n">
        <f aca="false">Sens!E9159-Sens!E9160</f>
        <v>2700</v>
      </c>
      <c r="F9161" s="30" t="n">
        <f aca="false">Sens!F9159-Sens!F9160</f>
        <v>5220.5351</v>
      </c>
      <c r="G9161" s="30" t="n">
        <f aca="false">Sens!G9159-Sens!G9160</f>
        <v>7947.0702</v>
      </c>
      <c r="H9161" s="30" t="n">
        <f aca="false">Sens!H9159-Sens!H9160</f>
        <v>10673.6053</v>
      </c>
      <c r="I9161" s="30" t="n">
        <f aca="false">Sens!I9159-Sens!I9160</f>
        <v>12605.5914196667</v>
      </c>
      <c r="J9161" s="30" t="n">
        <f aca="false">Sens!J9159-Sens!J9160</f>
        <v>13781.6682813933</v>
      </c>
      <c r="K9161" s="30" t="n">
        <f aca="false">Sens!K9159-Sens!K9160</f>
        <v>14217.7983298351</v>
      </c>
    </row>
    <row r="9162" customFormat="false" ht="17.15" hidden="false" customHeight="false" outlineLevel="0" collapsed="false">
      <c r="A9162" s="1" t="s">
        <v>959</v>
      </c>
      <c r="B9162" s="0" t="s">
        <v>459</v>
      </c>
      <c r="C9162" s="30" t="n">
        <f aca="false">Sens!C9161/ext_sh</f>
        <v>816.666666666667</v>
      </c>
      <c r="D9162" s="30" t="n">
        <f aca="false">Sens!D9161/ext_sh</f>
        <v>2050</v>
      </c>
      <c r="E9162" s="30" t="n">
        <f aca="false">Sens!E9161/ext_sh</f>
        <v>4500</v>
      </c>
      <c r="F9162" s="30" t="n">
        <f aca="false">Sens!F9161/ext_sh</f>
        <v>8700.89183333333</v>
      </c>
      <c r="G9162" s="30" t="n">
        <f aca="false">Sens!G9161/ext_sh</f>
        <v>13245.117</v>
      </c>
      <c r="H9162" s="30" t="n">
        <f aca="false">Sens!H9161/ext_sh</f>
        <v>17789.3421666667</v>
      </c>
      <c r="I9162" s="30" t="n">
        <f aca="false">Sens!I9161/ext_sh</f>
        <v>21009.3190327778</v>
      </c>
      <c r="J9162" s="30" t="n">
        <f aca="false">Sens!J9161/ext_sh</f>
        <v>22969.4471356556</v>
      </c>
      <c r="K9162" s="30" t="n">
        <f aca="false">Sens!K9161/ext_sh</f>
        <v>23696.3305497252</v>
      </c>
      <c r="L9162" s="1" t="s">
        <v>960</v>
      </c>
    </row>
    <row r="9163" customFormat="false" ht="17.15" hidden="false" customHeight="false" outlineLevel="0" collapsed="false">
      <c r="A9163" s="1" t="s">
        <v>961</v>
      </c>
      <c r="B9163" s="0" t="s">
        <v>459</v>
      </c>
      <c r="C9163" s="30" t="n">
        <f aca="false">Sens!C9162-Sens!C9161</f>
        <v>326.666666666667</v>
      </c>
      <c r="D9163" s="30" t="n">
        <f aca="false">Sens!D9162-Sens!D9161</f>
        <v>820</v>
      </c>
      <c r="E9163" s="30" t="n">
        <f aca="false">Sens!E9162-Sens!E9161</f>
        <v>1800</v>
      </c>
      <c r="F9163" s="30" t="n">
        <f aca="false">Sens!F9162-Sens!F9161</f>
        <v>3480.35673333333</v>
      </c>
      <c r="G9163" s="30" t="n">
        <f aca="false">Sens!G9162-Sens!G9161</f>
        <v>5298.0468</v>
      </c>
      <c r="H9163" s="30" t="n">
        <f aca="false">Sens!H9162-Sens!H9161</f>
        <v>7115.73686666667</v>
      </c>
      <c r="I9163" s="30" t="n">
        <f aca="false">Sens!I9162-Sens!I9161</f>
        <v>8403.72761311111</v>
      </c>
      <c r="J9163" s="30" t="n">
        <f aca="false">Sens!J9162-Sens!J9161</f>
        <v>9187.77885426222</v>
      </c>
      <c r="K9163" s="30" t="n">
        <f aca="false">Sens!K9162-Sens!K9161</f>
        <v>9478.53221989009</v>
      </c>
    </row>
    <row r="9164" customFormat="false" ht="17.15" hidden="false" customHeight="false" outlineLevel="0" collapsed="false">
      <c r="A9164" s="1" t="s">
        <v>962</v>
      </c>
      <c r="B9164" s="0" t="s">
        <v>459</v>
      </c>
      <c r="C9164" s="30" t="n">
        <f aca="false">Sens!C9162</f>
        <v>816.666666666667</v>
      </c>
      <c r="D9164" s="30" t="n">
        <f aca="false">Sens!D9162-Sens!C9162</f>
        <v>1233.33333333333</v>
      </c>
      <c r="E9164" s="30" t="n">
        <f aca="false">Sens!E9162-Sens!D9162</f>
        <v>2450</v>
      </c>
      <c r="F9164" s="30" t="n">
        <f aca="false">Sens!F9162-Sens!E9162</f>
        <v>4200.89183333333</v>
      </c>
      <c r="G9164" s="30" t="n">
        <f aca="false">Sens!G9162-Sens!F9162</f>
        <v>4544.22516666667</v>
      </c>
      <c r="H9164" s="30" t="n">
        <f aca="false">Sens!H9162-Sens!G9162</f>
        <v>4544.22516666667</v>
      </c>
      <c r="I9164" s="30" t="n">
        <f aca="false">Sens!I9162-Sens!H9162</f>
        <v>3219.97686611111</v>
      </c>
      <c r="J9164" s="30" t="n">
        <f aca="false">Sens!J9162-Sens!I9162</f>
        <v>1960.12810287778</v>
      </c>
      <c r="K9164" s="30" t="n">
        <f aca="false">Sens!K9162-Sens!J9162</f>
        <v>726.883414069667</v>
      </c>
    </row>
    <row r="9165" customFormat="false" ht="17.15" hidden="false" customHeight="false" outlineLevel="0" collapsed="false">
      <c r="A9165" s="1" t="s">
        <v>963</v>
      </c>
      <c r="B9165" s="0" t="s">
        <v>459</v>
      </c>
      <c r="D9165" s="30" t="n">
        <f aca="false">Sens!D9159-Sens!C9159</f>
        <v>990</v>
      </c>
      <c r="E9165" s="30" t="n">
        <f aca="false">Sens!E9159-Sens!D9159</f>
        <v>1620</v>
      </c>
      <c r="F9165" s="30" t="n">
        <f aca="false">Sens!F9159-Sens!E9159</f>
        <v>2726.5351</v>
      </c>
      <c r="G9165" s="30" t="n">
        <f aca="false">Sens!G9159-Sens!F9159</f>
        <v>2726.5351</v>
      </c>
      <c r="H9165" s="30" t="n">
        <f aca="false">Sens!H9159-Sens!G9159</f>
        <v>2726.5351</v>
      </c>
      <c r="I9165" s="30" t="n">
        <f aca="false">Sens!I9159-Sens!H9159</f>
        <v>1931.98611966667</v>
      </c>
      <c r="J9165" s="30" t="n">
        <f aca="false">Sens!J9159-Sens!I9159</f>
        <v>1176.07686172667</v>
      </c>
      <c r="K9165" s="30" t="n">
        <f aca="false">Sens!K9159-Sens!J9159</f>
        <v>436.130048441799</v>
      </c>
    </row>
    <row r="9166" customFormat="false" ht="17.15" hidden="false" customHeight="false" outlineLevel="0" collapsed="false">
      <c r="A9166" s="1" t="s">
        <v>964</v>
      </c>
      <c r="B9166" s="0" t="s">
        <v>459</v>
      </c>
      <c r="F9166" s="30" t="n">
        <f aca="false">Sens!F9185*ext_sh</f>
        <v>0</v>
      </c>
      <c r="G9166" s="30" t="n">
        <f aca="false">Sens!G9185*ext_sh</f>
        <v>0</v>
      </c>
      <c r="H9166" s="30" t="n">
        <f aca="false">Sens!H9185*ext_sh</f>
        <v>0</v>
      </c>
      <c r="I9166" s="30" t="n">
        <f aca="false">Sens!I9185*ext_sh</f>
        <v>490</v>
      </c>
      <c r="J9166" s="30" t="n">
        <f aca="false">Sens!J9185*ext_sh</f>
        <v>740</v>
      </c>
      <c r="K9166" s="30" t="n">
        <f aca="false">Sens!K9185*ext_sh</f>
        <v>1470</v>
      </c>
      <c r="L9166" s="1" t="s">
        <v>965</v>
      </c>
    </row>
    <row r="9167" customFormat="false" ht="17.15" hidden="false" customHeight="false" outlineLevel="0" collapsed="false">
      <c r="A9167" s="1" t="s">
        <v>966</v>
      </c>
      <c r="B9167" s="0" t="s">
        <v>459</v>
      </c>
      <c r="C9167" s="30" t="n">
        <f aca="false">mix_h*Sens!C9159</f>
        <v>128</v>
      </c>
      <c r="D9167" s="30" t="n">
        <f aca="false">mix_h*Sens!D9159</f>
        <v>326</v>
      </c>
      <c r="E9167" s="30" t="n">
        <f aca="false">mix_h*Sens!E9159</f>
        <v>650</v>
      </c>
      <c r="F9167" s="30" t="n">
        <f aca="false">Sens!E9167-Sens!F9166*mix_h</f>
        <v>650</v>
      </c>
      <c r="G9167" s="30" t="n">
        <f aca="false">Sens!F9167-Sens!G9166*mix_h</f>
        <v>650</v>
      </c>
      <c r="H9167" s="30" t="n">
        <f aca="false">Sens!G9167-Sens!H9166*mix_h</f>
        <v>650</v>
      </c>
      <c r="I9167" s="30" t="n">
        <f aca="false">Sens!H9167-Sens!I9166*mix_h</f>
        <v>552</v>
      </c>
      <c r="J9167" s="30" t="n">
        <f aca="false">Sens!I9167-Sens!J9166*mix_h</f>
        <v>404</v>
      </c>
      <c r="K9167" s="30" t="n">
        <f aca="false">Sens!J9167-Sens!K9166*mix_h</f>
        <v>110</v>
      </c>
    </row>
    <row r="9168" customFormat="false" ht="17.15" hidden="false" customHeight="false" outlineLevel="0" collapsed="false">
      <c r="A9168" s="1" t="s">
        <v>967</v>
      </c>
      <c r="B9168" s="0" t="s">
        <v>459</v>
      </c>
      <c r="C9168" s="30" t="n">
        <f aca="false">mix_g2*Sens!C9159</f>
        <v>288</v>
      </c>
      <c r="D9168" s="30" t="n">
        <f aca="false">mix_g2*Sens!D9159</f>
        <v>733.5</v>
      </c>
      <c r="E9168" s="30" t="n">
        <f aca="false">mix_g2*Sens!E9159</f>
        <v>1462.5</v>
      </c>
      <c r="F9168" s="30" t="n">
        <f aca="false">Sens!E9168-Sens!F9166*mix_g2</f>
        <v>1462.5</v>
      </c>
      <c r="G9168" s="30" t="n">
        <f aca="false">Sens!F9168-Sens!G9166*mix_g2</f>
        <v>1462.5</v>
      </c>
      <c r="H9168" s="30" t="n">
        <f aca="false">Sens!G9168-Sens!H9166*mix_g2</f>
        <v>1462.5</v>
      </c>
      <c r="I9168" s="30" t="n">
        <f aca="false">Sens!H9168-Sens!I9166*mix_g2</f>
        <v>1242</v>
      </c>
      <c r="J9168" s="30" t="n">
        <f aca="false">Sens!I9168-Sens!J9166*mix_g2</f>
        <v>909</v>
      </c>
      <c r="K9168" s="30" t="n">
        <f aca="false">Sens!J9168-Sens!K9166*mix_g2</f>
        <v>247.5</v>
      </c>
    </row>
    <row r="9169" customFormat="false" ht="17.15" hidden="false" customHeight="false" outlineLevel="0" collapsed="false">
      <c r="A9169" s="1" t="s">
        <v>968</v>
      </c>
      <c r="B9169" s="0" t="s">
        <v>459</v>
      </c>
      <c r="C9169" s="30" t="n">
        <f aca="false">mix_g3*Sens!C9159</f>
        <v>224</v>
      </c>
      <c r="D9169" s="30" t="n">
        <f aca="false">mix_g3*Sens!D9159</f>
        <v>570.5</v>
      </c>
      <c r="E9169" s="30" t="n">
        <f aca="false">mix_g3*Sens!E9159</f>
        <v>1137.5</v>
      </c>
      <c r="F9169" s="30" t="n">
        <f aca="false">Sens!E9169+(Sens!F9165+Sens!F9166)*(a_g3_27-nonnv*a_mai)-Sens!F9166*mix_g3</f>
        <v>2773.42106</v>
      </c>
      <c r="G9169" s="30" t="n">
        <f aca="false">Sens!F9169+(Sens!G9165+Sens!G9166)*(a_g3_28-nonnv*a_mai)-Sens!G9166*mix_g3</f>
        <v>3318.72808</v>
      </c>
      <c r="H9169" s="30" t="n">
        <f aca="false">Sens!G9169+(Sens!H9165+Sens!H9166)*(a_g3_29-nonnv*a_mai)-Sens!H9166*mix_g3</f>
        <v>3318.72808</v>
      </c>
      <c r="I9169" s="30" t="n">
        <f aca="false">Sens!H9169+(Sens!I9165+Sens!I9166)*(a_g3_29-nonnv*a_mai)-Sens!I9166*mix_g3</f>
        <v>3147.22808</v>
      </c>
      <c r="J9169" s="30" t="n">
        <f aca="false">Sens!I9169+(Sens!J9165+Sens!J9166)*(a_g3_29-nonnv*a_mai)-Sens!J9166*mix_g3</f>
        <v>2888.22808</v>
      </c>
      <c r="K9169" s="30" t="n">
        <f aca="false">Sens!J9169+(Sens!K9165+Sens!K9166)*(a_g3_29-nonnv*a_mai)-Sens!K9166*mix_g3</f>
        <v>2373.72808</v>
      </c>
    </row>
    <row r="9170" customFormat="false" ht="17.15" hidden="false" customHeight="false" outlineLevel="0" collapsed="false">
      <c r="A9170" s="1" t="s">
        <v>969</v>
      </c>
      <c r="B9170" s="0" t="s">
        <v>459</v>
      </c>
      <c r="C9170" s="30" t="n">
        <v>0</v>
      </c>
      <c r="D9170" s="30" t="n">
        <v>0</v>
      </c>
      <c r="E9170" s="30" t="n">
        <v>0</v>
      </c>
      <c r="F9170" s="30" t="n">
        <f aca="false">Sens!E9170+(Sens!F9165+Sens!F9166)*nonnv*a_mai</f>
        <v>272.65351</v>
      </c>
      <c r="G9170" s="30" t="n">
        <f aca="false">Sens!F9170+(Sens!G9165+Sens!G9166)*nonnv*a_mai</f>
        <v>545.30702</v>
      </c>
      <c r="H9170" s="30" t="n">
        <f aca="false">Sens!G9170+(Sens!H9165+Sens!H9166)*nonnv*a_mai</f>
        <v>817.96053</v>
      </c>
      <c r="I9170" s="30" t="n">
        <f aca="false">Sens!H9170+(Sens!I9165+Sens!I9166)*nonnv*a_mai</f>
        <v>1060.15914196667</v>
      </c>
      <c r="J9170" s="30" t="n">
        <f aca="false">Sens!I9170+(Sens!J9165+Sens!J9166)*nonnv*a_mai</f>
        <v>1251.76682813933</v>
      </c>
      <c r="K9170" s="30" t="n">
        <f aca="false">Sens!J9170+(Sens!K9165+Sens!K9166)*nonnv*a_mai</f>
        <v>1442.37983298351</v>
      </c>
      <c r="L9170" s="12" t="s">
        <v>970</v>
      </c>
    </row>
    <row r="9171" customFormat="false" ht="17.15" hidden="false" customHeight="false" outlineLevel="0" collapsed="false">
      <c r="A9171" s="1" t="s">
        <v>971</v>
      </c>
      <c r="B9171" s="0" t="s">
        <v>459</v>
      </c>
      <c r="C9171" s="30" t="n">
        <v>0</v>
      </c>
      <c r="D9171" s="30" t="n">
        <v>0</v>
      </c>
      <c r="E9171" s="30" t="n">
        <v>0</v>
      </c>
      <c r="F9171" s="30" t="n">
        <f aca="false">Sens!E9171+(Sens!F9165+Sens!F9166)*(1-a_g3_27)</f>
        <v>817.96053</v>
      </c>
      <c r="G9171" s="30" t="n">
        <f aca="false">Sens!F9171+(Sens!G9165+Sens!G9166)*(1-a_g3_28)</f>
        <v>2726.5351</v>
      </c>
      <c r="H9171" s="30" t="n">
        <f aca="false">Sens!G9171+(Sens!H9165+Sens!H9166)*(1-a_g3_29)</f>
        <v>5180.41669</v>
      </c>
      <c r="I9171" s="30" t="n">
        <f aca="false">Sens!H9171+(Sens!I9165+Sens!I9166)*(1-a_g3_29)</f>
        <v>7360.2041977</v>
      </c>
      <c r="J9171" s="30" t="n">
        <f aca="false">Sens!I9171+(Sens!J9165+Sens!J9166)*(1-a_g3_29)</f>
        <v>9084.673373254</v>
      </c>
      <c r="K9171" s="30" t="n">
        <f aca="false">Sens!J9171+(Sens!K9165+Sens!K9166)*(1-a_g3_29)</f>
        <v>10800.1904168516</v>
      </c>
    </row>
    <row r="9172" customFormat="false" ht="17.15" hidden="false" customHeight="false" outlineLevel="0" collapsed="false">
      <c r="A9172" s="1" t="s">
        <v>972</v>
      </c>
      <c r="B9172" s="0" t="s">
        <v>403</v>
      </c>
      <c r="C9172" s="15" t="n">
        <f aca="false">(Sens!C9167*tk_hold_h100+Sens!C9168*tk_hold_gb200+Sens!C9169*tk_hold_gb300+Sens!C9171*tk_hold_vr200+Sens!C9170*nv_hold_mai*tk_hold_vr200)/Sens!C9159</f>
        <v>9.7235358126469</v>
      </c>
      <c r="D9172" s="15" t="n">
        <f aca="false">(Sens!D9167*tk_hold_h100+Sens!D9168*tk_hold_gb200+Sens!D9169*tk_hold_gb300+Sens!D9171*tk_hold_vr200+Sens!D9170*nv_hold_mai*tk_hold_vr200)/Sens!D9159</f>
        <v>9.7235358126469</v>
      </c>
      <c r="E9172" s="15" t="n">
        <f aca="false">(Sens!E9167*tk_hold_h100+Sens!E9168*tk_hold_gb200+Sens!E9169*tk_hold_gb300+Sens!E9171*tk_hold_vr200+Sens!E9170*nv_hold_mai*tk_hold_vr200)/Sens!E9159</f>
        <v>9.7235358126469</v>
      </c>
      <c r="F9172" s="15" t="n">
        <f aca="false">(Sens!F9167*tk_hold_h100+Sens!F9168*tk_hold_gb200+Sens!F9169*tk_hold_gb300+Sens!F9171*tk_hold_vr200+Sens!F9170*nv_hold_mai*tk_hold_vr200)/Sens!F9159</f>
        <v>10.2195353876665</v>
      </c>
      <c r="G9172" s="15" t="n">
        <f aca="false">(Sens!G9167*tk_hold_h100+Sens!G9168*tk_hold_gb200+Sens!G9169*tk_hold_gb300+Sens!G9171*tk_hold_vr200+Sens!G9170*nv_hold_mai*tk_hold_vr200)/Sens!G9159</f>
        <v>10.5725598017306</v>
      </c>
      <c r="H9172" s="15" t="n">
        <f aca="false">(Sens!H9167*tk_hold_h100+Sens!H9168*tk_hold_gb200+Sens!H9169*tk_hold_gb300+Sens!H9171*tk_hold_vr200+Sens!H9170*nv_hold_mai*tk_hold_vr200)/Sens!H9159</f>
        <v>10.8210427149036</v>
      </c>
      <c r="I9172" s="15" t="n">
        <f aca="false">(Sens!I9167*tk_hold_h100+Sens!I9168*tk_hold_gb200+Sens!I9169*tk_hold_gb300+Sens!I9171*tk_hold_vr200+Sens!I9170*nv_hold_mai*tk_hold_vr200)/Sens!I9159</f>
        <v>11.0050618241982</v>
      </c>
      <c r="J9172" s="15" t="n">
        <f aca="false">(Sens!J9167*tk_hold_h100+Sens!J9168*tk_hold_gb200+Sens!J9169*tk_hold_gb300+Sens!J9171*tk_hold_vr200+Sens!J9170*nv_hold_mai*tk_hold_vr200)/Sens!J9159</f>
        <v>11.1505789658881</v>
      </c>
      <c r="K9172" s="15" t="n">
        <f aca="false">(Sens!K9167*tk_hold_h100+Sens!K9168*tk_hold_gb200+Sens!K9169*tk_hold_gb300+Sens!K9171*tk_hold_vr200+Sens!K9170*nv_hold_mai*tk_hold_vr200)/Sens!K9159</f>
        <v>11.3496914757183</v>
      </c>
      <c r="L9172" s="1" t="s">
        <v>973</v>
      </c>
    </row>
    <row r="9173" customFormat="false" ht="17.15" hidden="false" customHeight="false" outlineLevel="0" collapsed="false">
      <c r="A9173" s="1" t="s">
        <v>974</v>
      </c>
      <c r="B9173" s="0" t="s">
        <v>403</v>
      </c>
      <c r="C9173" s="15" t="n">
        <f aca="false">(Sens!C9167*tk_hold_h100+Sens!C9168*tk_hold_gb200+Sens!C9169*tk_hold_gb300+Sens!C9171*tk_hold_vr200+Sens!C9170*nv_out_mai*tk_hold_vr200)/Sens!C9159</f>
        <v>9.7235358126469</v>
      </c>
      <c r="D9173" s="15" t="n">
        <f aca="false">(Sens!D9167*tk_hold_h100+Sens!D9168*tk_hold_gb200+Sens!D9169*tk_hold_gb300+Sens!D9171*tk_hold_vr200+Sens!D9170*nv_out_mai*tk_hold_vr200)/Sens!D9159</f>
        <v>9.7235358126469</v>
      </c>
      <c r="E9173" s="15" t="n">
        <f aca="false">(Sens!E9167*tk_hold_h100+Sens!E9168*tk_hold_gb200+Sens!E9169*tk_hold_gb300+Sens!E9171*tk_hold_vr200+Sens!E9170*nv_out_mai*tk_hold_vr200)/Sens!E9159</f>
        <v>9.7235358126469</v>
      </c>
      <c r="F9173" s="15" t="n">
        <f aca="false">(Sens!F9167*tk_hold_h100+Sens!F9168*tk_hold_gb200+Sens!F9169*tk_hold_gb300+Sens!F9171*tk_hold_vr200+Sens!F9170*nv_out_mai*tk_hold_vr200)/Sens!F9159</f>
        <v>10.247422093969</v>
      </c>
      <c r="G9173" s="15" t="n">
        <f aca="false">(Sens!G9167*tk_hold_h100+Sens!G9168*tk_hold_gb200+Sens!G9169*tk_hold_gb300+Sens!G9171*tk_hold_vr200+Sens!G9170*nv_out_mai*tk_hold_vr200)/Sens!G9159</f>
        <v>10.6108602808053</v>
      </c>
      <c r="H9173" s="15" t="n">
        <f aca="false">(Sens!H9167*tk_hold_h100+Sens!H9168*tk_hold_gb200+Sens!H9169*tk_hold_gb300+Sens!H9171*tk_hold_vr200+Sens!H9170*nv_out_mai*tk_hold_vr200)/Sens!H9159</f>
        <v>10.8647885507393</v>
      </c>
      <c r="I9173" s="15" t="n">
        <f aca="false">(Sens!I9167*tk_hold_h100+Sens!I9168*tk_hold_gb200+Sens!I9169*tk_hold_gb300+Sens!I9171*tk_hold_vr200+Sens!I9170*nv_out_mai*tk_hold_vr200)/Sens!I9159</f>
        <v>11.0535625770025</v>
      </c>
      <c r="J9173" s="15" t="n">
        <f aca="false">(Sens!J9167*tk_hold_h100+Sens!J9168*tk_hold_gb200+Sens!J9169*tk_hold_gb300+Sens!J9171*tk_hold_vr200+Sens!J9170*nv_out_mai*tk_hold_vr200)/Sens!J9159</f>
        <v>11.2032127128058</v>
      </c>
      <c r="K9173" s="15" t="n">
        <f aca="false">(Sens!K9167*tk_hold_h100+Sens!K9168*tk_hold_gb200+Sens!K9169*tk_hold_gb300+Sens!K9171*tk_hold_vr200+Sens!K9170*nv_out_mai*tk_hold_vr200)/Sens!K9159</f>
        <v>11.4085735724225</v>
      </c>
      <c r="L9173" s="12" t="s">
        <v>975</v>
      </c>
    </row>
    <row r="9174" customFormat="false" ht="17.15" hidden="false" customHeight="false" outlineLevel="0" collapsed="false">
      <c r="A9174" s="0" t="s">
        <v>976</v>
      </c>
      <c r="B9174" s="0" t="s">
        <v>229</v>
      </c>
      <c r="C9174" s="15" t="n">
        <f aca="false">k_B</f>
        <v>1.17213932619116</v>
      </c>
      <c r="D9174" s="15" t="n">
        <f aca="false">k_B</f>
        <v>1.17213932619116</v>
      </c>
      <c r="E9174" s="15" t="n">
        <f aca="false">k_B</f>
        <v>1.17213932619116</v>
      </c>
      <c r="F9174" s="15" t="n">
        <f aca="false">(k_B+((ls_A*k_long+(1-ls_A)*k_spot)-k_B)*MIN(1,(Sens!F9157-base_fy)/k_ramp))</f>
        <v>1.25022828131298</v>
      </c>
      <c r="G9174" s="15" t="n">
        <f aca="false">(k_B+((ls_A*k_long+(1-ls_A)*k_spot)-k_B)*MIN(1,(Sens!G9157-base_fy)/k_ramp))</f>
        <v>1.3283172364348</v>
      </c>
      <c r="H9174" s="15" t="n">
        <f aca="false">(k_B+((ls_A*k_long+(1-ls_A)*k_spot)-k_B)*MIN(1,(Sens!H9157-base_fy)/k_ramp))</f>
        <v>1.40640619155662</v>
      </c>
      <c r="I9174" s="15" t="n">
        <f aca="false">(k_B+((ls_A*k_long+(1-ls_A)*k_spot)-k_B)*MIN(1,(Sens!I9157-base_fy)/k_ramp))</f>
        <v>1.40640619155662</v>
      </c>
      <c r="J9174" s="15" t="n">
        <f aca="false">(k_B+((ls_A*k_long+(1-ls_A)*k_spot)-k_B)*MIN(1,(Sens!J9157-base_fy)/k_ramp))</f>
        <v>1.40640619155662</v>
      </c>
      <c r="K9174" s="15" t="n">
        <f aca="false">(k_B+((ls_A*k_long+(1-ls_A)*k_spot)-k_B)*MIN(1,(Sens!K9157-base_fy)/k_ramp))</f>
        <v>1.40640619155662</v>
      </c>
      <c r="L9174" s="1" t="s">
        <v>977</v>
      </c>
    </row>
    <row r="9175" customFormat="false" ht="17.15" hidden="false" customHeight="false" outlineLevel="0" collapsed="false">
      <c r="A9175" s="1" t="s">
        <v>978</v>
      </c>
      <c r="B9175" s="0" t="s">
        <v>403</v>
      </c>
      <c r="C9175" s="15" t="n">
        <f aca="false">Sens!C9173*Sens!C9174*chip_f</f>
        <v>11.3973387156315</v>
      </c>
      <c r="D9175" s="15" t="n">
        <f aca="false">Sens!D9173*Sens!D9174*chip_f</f>
        <v>11.3973387156315</v>
      </c>
      <c r="E9175" s="15" t="n">
        <f aca="false">Sens!E9173*Sens!E9174*chip_f</f>
        <v>11.3973387156315</v>
      </c>
      <c r="F9175" s="15" t="n">
        <f aca="false">Sens!F9173*Sens!F9174*chip_f</f>
        <v>12.8116169124314</v>
      </c>
      <c r="G9175" s="15" t="n">
        <f aca="false">Sens!G9173*Sens!G9174*chip_f</f>
        <v>14.094588604395</v>
      </c>
      <c r="H9175" s="15" t="n">
        <f aca="false">Sens!H9173*Sens!H9174*chip_f</f>
        <v>15.2803058877132</v>
      </c>
      <c r="I9175" s="15" t="n">
        <f aca="false">Sens!I9173*Sens!I9174*chip_f</f>
        <v>15.5457988470549</v>
      </c>
      <c r="J9175" s="15" t="n">
        <f aca="false">Sens!J9173*Sens!J9174*chip_f</f>
        <v>15.7562677246158</v>
      </c>
      <c r="K9175" s="15" t="n">
        <f aca="false">Sens!K9173*Sens!K9174*chip_f</f>
        <v>16.0450885090842</v>
      </c>
      <c r="L9175" s="1" t="s">
        <v>979</v>
      </c>
    </row>
    <row r="9176" customFormat="false" ht="17.15" hidden="false" customHeight="false" outlineLevel="0" collapsed="false">
      <c r="A9176" s="0" t="s">
        <v>980</v>
      </c>
      <c r="B9176" s="0" t="s">
        <v>98</v>
      </c>
      <c r="D9176" s="6" t="n">
        <f aca="false">(Sens!C9159+Sens!D9159)/2*Sens!D9175/1000</f>
        <v>12.9359794422418</v>
      </c>
      <c r="E9176" s="6" t="n">
        <f aca="false">(Sens!D9159+Sens!E9159)/2*Sens!E9175/1000</f>
        <v>27.8095064661409</v>
      </c>
      <c r="F9176" s="6" t="n">
        <f aca="false">(Sens!E9159+Sens!F9159)/2*Sens!F9175/1000</f>
        <v>59.1034165651511</v>
      </c>
      <c r="G9176" s="6" t="n">
        <f aca="false">(Sens!F9159+Sens!G9159)/2*Sens!G9175/1000</f>
        <v>103.451498789198</v>
      </c>
      <c r="H9176" s="6" t="n">
        <f aca="false">(Sens!G9159+Sens!H9159)/2*Sens!H9175/1000</f>
        <v>153.816719989035</v>
      </c>
      <c r="I9176" s="6" t="n">
        <f aca="false">(Sens!H9159+Sens!I9159)/2*Sens!I9175/1000</f>
        <v>192.699478690852</v>
      </c>
      <c r="J9176" s="6" t="n">
        <f aca="false">(Sens!I9159+Sens!J9159)/2*Sens!J9175/1000</f>
        <v>219.794102584244</v>
      </c>
      <c r="K9176" s="6" t="n">
        <f aca="false">(Sens!J9159+Sens!K9159)/2*Sens!K9175/1000</f>
        <v>236.757046905022</v>
      </c>
      <c r="L9176" s="12" t="s">
        <v>981</v>
      </c>
    </row>
    <row r="9177" customFormat="false" ht="17.15" hidden="false" customHeight="false" outlineLevel="0" collapsed="false">
      <c r="A9177" s="1" t="s">
        <v>982</v>
      </c>
      <c r="B9177" s="0" t="s">
        <v>403</v>
      </c>
      <c r="C9177" s="15" t="n">
        <f aca="false">(Sens!C9167*tk_opex_h100+Sens!C9168*tk_opex_gb200+Sens!C9169*tk_opex_gb300+(Sens!C9171+Sens!C9170)*tk_opex_vr200)/Sens!C9159</f>
        <v>1.88636041306092</v>
      </c>
      <c r="D9177" s="15" t="n">
        <f aca="false">(Sens!D9167*tk_opex_h100+Sens!D9168*tk_opex_gb200+Sens!D9169*tk_opex_gb300+(Sens!D9171+Sens!D9170)*tk_opex_vr200)/Sens!D9159</f>
        <v>1.88636041306092</v>
      </c>
      <c r="E9177" s="15" t="n">
        <f aca="false">(Sens!E9167*tk_opex_h100+Sens!E9168*tk_opex_gb200+Sens!E9169*tk_opex_gb300+(Sens!E9171+Sens!E9170)*tk_opex_vr200)/Sens!E9159</f>
        <v>1.88636041306092</v>
      </c>
      <c r="F9177" s="15" t="n">
        <f aca="false">(Sens!F9167*tk_opex_h100+Sens!F9168*tk_opex_gb200+Sens!F9169*tk_opex_gb300+(Sens!F9171+Sens!F9170)*tk_opex_vr200)/Sens!F9159</f>
        <v>1.95051159746876</v>
      </c>
      <c r="G9177" s="15" t="n">
        <f aca="false">(Sens!G9167*tk_opex_h100+Sens!G9168*tk_opex_gb200+Sens!G9169*tk_opex_gb300+(Sens!G9171+Sens!G9170)*tk_opex_vr200)/Sens!G9159</f>
        <v>1.98836003669956</v>
      </c>
      <c r="H9177" s="15" t="n">
        <f aca="false">(Sens!H9167*tk_opex_h100+Sens!H9168*tk_opex_gb200+Sens!H9169*tk_opex_gb300+(Sens!H9171+Sens!H9170)*tk_opex_vr200)/Sens!H9159</f>
        <v>2.01344013834343</v>
      </c>
      <c r="I9177" s="15" t="n">
        <f aca="false">(Sens!I9167*tk_opex_h100+Sens!I9168*tk_opex_gb200+Sens!I9169*tk_opex_gb300+(Sens!I9171+Sens!I9170)*tk_opex_vr200)/Sens!I9159</f>
        <v>2.03261166882178</v>
      </c>
      <c r="J9177" s="15" t="n">
        <f aca="false">(Sens!J9167*tk_opex_h100+Sens!J9168*tk_opex_gb200+Sens!J9169*tk_opex_gb300+(Sens!J9171+Sens!J9170)*tk_opex_vr200)/Sens!J9159</f>
        <v>2.04808073288745</v>
      </c>
      <c r="K9177" s="15" t="n">
        <f aca="false">(Sens!K9167*tk_opex_h100+Sens!K9168*tk_opex_gb200+Sens!K9169*tk_opex_gb300+(Sens!K9171+Sens!K9170)*tk_opex_vr200)/Sens!K9159</f>
        <v>2.06973825807449</v>
      </c>
      <c r="L9177" s="12" t="s">
        <v>983</v>
      </c>
    </row>
    <row r="9178" customFormat="false" ht="17.15" hidden="false" customHeight="false" outlineLevel="0" collapsed="false">
      <c r="A9178" s="0" t="s">
        <v>984</v>
      </c>
      <c r="B9178" s="0" t="s">
        <v>98</v>
      </c>
      <c r="D9178" s="6" t="n">
        <f aca="false">(Sens!C9162+Sens!D9162)/2*Sens!D9177/1000</f>
        <v>2.70378325872065</v>
      </c>
      <c r="E9178" s="6" t="n">
        <f aca="false">(Sens!D9162+Sens!E9162)/2*Sens!E9177/1000</f>
        <v>6.17783035277451</v>
      </c>
      <c r="F9178" s="6" t="n">
        <f aca="false">(Sens!E9162+Sens!F9162)/2*Sens!F9177/1000</f>
        <v>12.8742463089237</v>
      </c>
      <c r="G9178" s="6" t="n">
        <f aca="false">(Sens!F9162+Sens!G9162)/2*Sens!G9177/1000</f>
        <v>21.8182834646277</v>
      </c>
      <c r="H9178" s="6" t="n">
        <f aca="false">(Sens!G9162+Sens!H9162)/2*Sens!H9177/1000</f>
        <v>31.2430128789734</v>
      </c>
      <c r="I9178" s="6" t="n">
        <f aca="false">(Sens!H9162+Sens!I9162)/2*Sens!I9177/1000</f>
        <v>39.4313057443268</v>
      </c>
      <c r="J9178" s="6" t="n">
        <f aca="false">(Sens!I9162+Sens!J9162)/2*Sens!J9177/1000</f>
        <v>45.0360318228653</v>
      </c>
      <c r="K9178" s="6" t="n">
        <f aca="false">(Sens!J9162+Sens!K9162)/2*Sens!K9177/1000</f>
        <v>48.2929727091156</v>
      </c>
    </row>
    <row r="9179" customFormat="false" ht="17.15" hidden="false" customHeight="false" outlineLevel="0" collapsed="false">
      <c r="A9179" s="0" t="s">
        <v>985</v>
      </c>
      <c r="B9179" s="0" t="s">
        <v>98</v>
      </c>
      <c r="D9179" s="6" t="n">
        <f aca="false">(Sens!C9160+Sens!D9160)/2*rent_mw/1000</f>
        <v>2.44475</v>
      </c>
      <c r="E9179" s="6" t="n">
        <f aca="false">(Sens!D9160+Sens!E9160)/2*rent_mw/1000</f>
        <v>4.22275</v>
      </c>
      <c r="F9179" s="6" t="n">
        <f aca="false">(Sens!E9160+Sens!F9160)/2*rent_mw/1000</f>
        <v>5.80517</v>
      </c>
      <c r="G9179" s="6" t="n">
        <f aca="false">(Sens!F9160+Sens!G9160)/2*rent_mw/1000</f>
        <v>6.72084</v>
      </c>
      <c r="H9179" s="6" t="n">
        <f aca="false">(Sens!G9160+Sens!H9160)/2*rent_mw/1000</f>
        <v>6.72084</v>
      </c>
      <c r="I9179" s="6" t="n">
        <f aca="false">(Sens!H9160+Sens!I9160)/2*rent_mw/1000</f>
        <v>6.72084</v>
      </c>
      <c r="J9179" s="6" t="n">
        <f aca="false">(Sens!I9160+Sens!J9160)/2*rent_mw/1000</f>
        <v>6.72084</v>
      </c>
      <c r="K9179" s="6" t="n">
        <f aca="false">(Sens!J9160+Sens!K9160)/2*rent_mw/1000</f>
        <v>6.72084</v>
      </c>
    </row>
    <row r="9180" customFormat="false" ht="17.15" hidden="false" customHeight="false" outlineLevel="0" collapsed="false">
      <c r="A9180" s="0" t="s">
        <v>986</v>
      </c>
      <c r="B9180" s="0" t="s">
        <v>98</v>
      </c>
      <c r="D9180" s="6" t="n">
        <f aca="false">(Sens!C9162+Sens!D9162)/2*(1-self_build)*fac_rent/1000</f>
        <v>0.853242375631075</v>
      </c>
      <c r="E9180" s="6" t="n">
        <f aca="false">(Sens!D9162+Sens!E9162)/2*(1-self_build)*fac_rent/1000</f>
        <v>1.94955961408728</v>
      </c>
      <c r="F9180" s="6" t="n">
        <f aca="false">(Sens!E9162+Sens!F9162)/2*(1-self_build)*fac_rent/1000</f>
        <v>3.92914894476356</v>
      </c>
      <c r="G9180" s="6" t="n">
        <f aca="false">(Sens!F9162+Sens!G9162)/2*(1-self_build)*fac_rent/1000</f>
        <v>6.53206908578159</v>
      </c>
      <c r="H9180" s="6" t="n">
        <f aca="false">(Sens!G9162+Sens!H9162)/2*(1-self_build)*fac_rent/1000</f>
        <v>9.23717988341591</v>
      </c>
      <c r="I9180" s="6" t="n">
        <f aca="false">(Sens!H9162+Sens!I9162)/2*(1-self_build)*fac_rent/1000</f>
        <v>11.5481378557393</v>
      </c>
      <c r="J9180" s="6" t="n">
        <f aca="false">(Sens!I9162+Sens!J9162)/2*(1-self_build)*fac_rent/1000</f>
        <v>13.0899582289108</v>
      </c>
      <c r="K9180" s="6" t="n">
        <f aca="false">(Sens!J9162+Sens!K9162)/2*(1-self_build)*fac_rent/1000</f>
        <v>13.8897275626556</v>
      </c>
      <c r="L9180" s="12" t="s">
        <v>987</v>
      </c>
    </row>
    <row r="9181" customFormat="false" ht="17.15" hidden="false" customHeight="false" outlineLevel="0" collapsed="false">
      <c r="A9181" s="1" t="s">
        <v>988</v>
      </c>
      <c r="B9181" s="0" t="s">
        <v>168</v>
      </c>
      <c r="D9181" s="7" t="n">
        <f aca="false">(Sens!C9161+Sens!D9161)/(Sens!C9162+Sens!D9162)</f>
        <v>0.6</v>
      </c>
      <c r="E9181" s="7" t="n">
        <f aca="false">(Sens!D9161+Sens!E9161)/(Sens!D9162+Sens!E9162)</f>
        <v>0.6</v>
      </c>
      <c r="F9181" s="7" t="n">
        <f aca="false">(Sens!E9161+Sens!F9161)/(Sens!E9162+Sens!F9162)</f>
        <v>0.6</v>
      </c>
      <c r="G9181" s="7" t="n">
        <f aca="false">(Sens!F9161+Sens!G9161)/(Sens!F9162+Sens!G9162)</f>
        <v>0.6</v>
      </c>
      <c r="H9181" s="7" t="n">
        <f aca="false">(Sens!G9161+Sens!H9161)/(Sens!G9162+Sens!H9162)</f>
        <v>0.6</v>
      </c>
      <c r="I9181" s="7" t="n">
        <f aca="false">(Sens!H9161+Sens!I9161)/(Sens!H9162+Sens!I9162)</f>
        <v>0.6</v>
      </c>
      <c r="J9181" s="7" t="n">
        <f aca="false">(Sens!I9161+Sens!J9161)/(Sens!I9162+Sens!J9162)</f>
        <v>0.6</v>
      </c>
      <c r="K9181" s="7" t="n">
        <f aca="false">(Sens!J9161+Sens!K9161)/(Sens!J9162+Sens!K9162)</f>
        <v>0.6</v>
      </c>
    </row>
    <row r="9182" customFormat="false" ht="17.15" hidden="false" customHeight="false" outlineLevel="0" collapsed="false">
      <c r="A9182" s="0" t="s">
        <v>989</v>
      </c>
      <c r="B9182" s="0" t="s">
        <v>98</v>
      </c>
      <c r="D9182" s="6" t="n">
        <f aca="false">Sens!D9176-Sens!D9181*(Sens!D9178+Sens!D9180)-Sens!D9179</f>
        <v>8.35701406163072</v>
      </c>
      <c r="E9182" s="6" t="n">
        <f aca="false">Sens!E9176-Sens!E9181*(Sens!E9178+Sens!E9180)-Sens!E9179</f>
        <v>18.7103224860238</v>
      </c>
      <c r="F9182" s="6" t="n">
        <f aca="false">Sens!F9176-Sens!F9181*(Sens!F9178+Sens!F9180)-Sens!F9179</f>
        <v>43.2162094129388</v>
      </c>
      <c r="G9182" s="6" t="n">
        <f aca="false">Sens!G9176-Sens!G9181*(Sens!G9178+Sens!G9180)-Sens!G9179</f>
        <v>79.7204472589529</v>
      </c>
      <c r="H9182" s="6" t="n">
        <f aca="false">Sens!H9176-Sens!H9181*(Sens!H9178+Sens!H9180)-Sens!H9179</f>
        <v>122.807764331602</v>
      </c>
      <c r="I9182" s="6" t="n">
        <f aca="false">Sens!I9176-Sens!I9181*(Sens!I9178+Sens!I9180)-Sens!I9179</f>
        <v>155.390972530813</v>
      </c>
      <c r="J9182" s="6" t="n">
        <f aca="false">Sens!J9176-Sens!J9181*(Sens!J9178+Sens!J9180)-Sens!J9179</f>
        <v>178.197668553178</v>
      </c>
      <c r="K9182" s="6" t="n">
        <f aca="false">Sens!K9176-Sens!K9181*(Sens!K9178+Sens!K9180)-Sens!K9179</f>
        <v>192.726586741959</v>
      </c>
    </row>
    <row r="9183" customFormat="false" ht="17.15" hidden="false" customHeight="false" outlineLevel="0" collapsed="false">
      <c r="A9183" s="1" t="s">
        <v>990</v>
      </c>
      <c r="B9183" s="0" t="s">
        <v>98</v>
      </c>
      <c r="D9183" s="6" t="n">
        <f aca="false">(1-Sens!D9181)*(Sens!D9178+Sens!D9180)</f>
        <v>1.42281025374069</v>
      </c>
      <c r="E9183" s="6" t="n">
        <f aca="false">(1-Sens!E9181)*(Sens!E9178+Sens!E9180)</f>
        <v>3.25095598674472</v>
      </c>
      <c r="F9183" s="6" t="n">
        <f aca="false">(1-Sens!F9181)*(Sens!F9178+Sens!F9180)</f>
        <v>6.72135810147489</v>
      </c>
      <c r="G9183" s="6" t="n">
        <f aca="false">(1-Sens!G9181)*(Sens!G9178+Sens!G9180)</f>
        <v>11.3401410201637</v>
      </c>
      <c r="H9183" s="6" t="n">
        <f aca="false">(1-Sens!H9181)*(Sens!H9178+Sens!H9180)</f>
        <v>16.1920771049557</v>
      </c>
      <c r="I9183" s="6" t="n">
        <f aca="false">(1-Sens!I9181)*(Sens!I9178+Sens!I9180)</f>
        <v>20.3917774400264</v>
      </c>
      <c r="J9183" s="6" t="n">
        <f aca="false">(1-Sens!J9181)*(Sens!J9178+Sens!J9180)</f>
        <v>23.2503960207104</v>
      </c>
      <c r="K9183" s="6" t="n">
        <f aca="false">(1-Sens!K9181)*(Sens!K9178+Sens!K9180)</f>
        <v>24.8730801087085</v>
      </c>
    </row>
    <row r="9184" customFormat="false" ht="17.15" hidden="false" customHeight="false" outlineLevel="0" collapsed="false">
      <c r="A9184" s="1" t="s">
        <v>991</v>
      </c>
      <c r="B9184" s="0" t="s">
        <v>417</v>
      </c>
      <c r="C9184" s="8" t="n">
        <f aca="false">cxit_open</f>
        <v>27.5918995</v>
      </c>
      <c r="D9184" s="8" t="n">
        <f aca="false">cxit_open</f>
        <v>27.5918995</v>
      </c>
      <c r="E9184" s="8" t="n">
        <f aca="false">cxit_open</f>
        <v>27.5918995</v>
      </c>
      <c r="F9184" s="8" t="n">
        <f aca="false">((a_g3_27-nonnv*a_mai)*tk_cxit_gb300+nonnv*a_mai*nv_hold_mai*tk_cxit_vr200+(1-a_g3_27)*tk_cxit_vr200)</f>
        <v>32.4975576</v>
      </c>
      <c r="G9184" s="8" t="n">
        <f aca="false">((a_g3_28-nonnv*a_mai)*tk_cxit_gb300+nonnv*a_mai*nv_hold_mai*tk_cxit_vr200+(1-a_g3_28)*tk_cxit_vr200)</f>
        <v>34.6372088</v>
      </c>
      <c r="H9184" s="8" t="n">
        <f aca="false">((a_g3_29-nonnv*a_mai)*tk_cxit_gb300+nonnv*a_mai*nv_hold_mai*tk_cxit_vr200+(1-a_g3_29)*tk_cxit_vr200)</f>
        <v>35.7070344</v>
      </c>
      <c r="I9184" s="8" t="n">
        <f aca="false">((a_g3_29-nonnv*a_mai)*tk_cxit_gb300+nonnv*a_mai*nv_hold_mai*tk_cxit_vr200+(1-a_g3_29)*tk_cxit_vr200)</f>
        <v>35.7070344</v>
      </c>
      <c r="J9184" s="8" t="n">
        <f aca="false">((a_g3_29-nonnv*a_mai)*tk_cxit_gb300+nonnv*a_mai*nv_hold_mai*tk_cxit_vr200+(1-a_g3_29)*tk_cxit_vr200)</f>
        <v>35.7070344</v>
      </c>
      <c r="K9184" s="8" t="n">
        <f aca="false">((a_g3_29-nonnv*a_mai)*tk_cxit_gb300+nonnv*a_mai*nv_hold_mai*tk_cxit_vr200+(1-a_g3_29)*tk_cxit_vr200)</f>
        <v>35.7070344</v>
      </c>
      <c r="L9184" s="12" t="s">
        <v>992</v>
      </c>
    </row>
    <row r="9185" customFormat="false" ht="17.15" hidden="false" customHeight="false" outlineLevel="0" collapsed="false">
      <c r="A9185" s="0" t="s">
        <v>993</v>
      </c>
      <c r="B9185" s="0" t="s">
        <v>459</v>
      </c>
      <c r="F9185" s="30" t="n">
        <f aca="false">Sens!C9164*IF(Sens!F9157-Sens!C9157=life_it,1,0)+Sens!D9164*IF(Sens!F9157-Sens!D9157=life_it,1,0)+Sens!E9164*IF(Sens!F9157-Sens!E9157=life_it,1,0)</f>
        <v>0</v>
      </c>
      <c r="G9185" s="30" t="n">
        <f aca="false">Sens!C9164*IF(Sens!G9157-Sens!C9157=life_it,1,0)+Sens!D9164*IF(Sens!G9157-Sens!D9157=life_it,1,0)+Sens!E9164*IF(Sens!G9157-Sens!E9157=life_it,1,0)+Sens!F9164*IF(Sens!G9157-Sens!F9157=life_it,1,0)</f>
        <v>0</v>
      </c>
      <c r="H9185" s="30" t="n">
        <f aca="false">Sens!C9164*IF(Sens!H9157-Sens!C9157=life_it,1,0)+Sens!D9164*IF(Sens!H9157-Sens!D9157=life_it,1,0)+Sens!E9164*IF(Sens!H9157-Sens!E9157=life_it,1,0)+Sens!F9164*IF(Sens!H9157-Sens!F9157=life_it,1,0)+Sens!G9164*IF(Sens!H9157-Sens!G9157=life_it,1,0)</f>
        <v>0</v>
      </c>
      <c r="I9185" s="30" t="n">
        <f aca="false">Sens!C9164*IF(Sens!I9157-Sens!C9157=life_it,1,0)+Sens!D9164*IF(Sens!I9157-Sens!D9157=life_it,1,0)+Sens!E9164*IF(Sens!I9157-Sens!E9157=life_it,1,0)+Sens!F9164*IF(Sens!I9157-Sens!F9157=life_it,1,0)+Sens!G9164*IF(Sens!I9157-Sens!G9157=life_it,1,0)+Sens!H9164*IF(Sens!I9157-Sens!H9157=life_it,1,0)</f>
        <v>816.666666666667</v>
      </c>
      <c r="J9185" s="30" t="n">
        <f aca="false">Sens!C9164*IF(Sens!J9157-Sens!C9157=life_it,1,0)+Sens!D9164*IF(Sens!J9157-Sens!D9157=life_it,1,0)+Sens!E9164*IF(Sens!J9157-Sens!E9157=life_it,1,0)+Sens!F9164*IF(Sens!J9157-Sens!F9157=life_it,1,0)+Sens!G9164*IF(Sens!J9157-Sens!G9157=life_it,1,0)+Sens!H9164*IF(Sens!J9157-Sens!H9157=life_it,1,0)+Sens!I9164*IF(Sens!J9157-Sens!I9157=life_it,1,0)</f>
        <v>1233.33333333333</v>
      </c>
      <c r="K9185" s="30" t="n">
        <f aca="false">Sens!C9164*IF(Sens!K9157-Sens!C9157=life_it,1,0)+Sens!D9164*IF(Sens!K9157-Sens!D9157=life_it,1,0)+Sens!E9164*IF(Sens!K9157-Sens!E9157=life_it,1,0)+Sens!F9164*IF(Sens!K9157-Sens!F9157=life_it,1,0)+Sens!G9164*IF(Sens!K9157-Sens!G9157=life_it,1,0)+Sens!H9164*IF(Sens!K9157-Sens!H9157=life_it,1,0)+Sens!I9164*IF(Sens!K9157-Sens!I9157=life_it,1,0)+Sens!J9164*IF(Sens!K9157-Sens!J9157=life_it,1,0)</f>
        <v>2450</v>
      </c>
      <c r="L9185" s="1" t="s">
        <v>994</v>
      </c>
    </row>
    <row r="9186" customFormat="false" ht="17.15" hidden="false" customHeight="false" outlineLevel="0" collapsed="false">
      <c r="A9186" s="0" t="s">
        <v>995</v>
      </c>
      <c r="B9186" s="0" t="s">
        <v>98</v>
      </c>
      <c r="C9186" s="6" t="n">
        <f aca="false">Sens!C9164*Sens!C9184/1000</f>
        <v>22.5333845916667</v>
      </c>
      <c r="D9186" s="6" t="n">
        <f aca="false">Sens!D9164*Sens!D9184/1000</f>
        <v>34.0300093833333</v>
      </c>
      <c r="E9186" s="6" t="n">
        <f aca="false">Sens!E9164*Sens!E9184/1000</f>
        <v>67.600153775</v>
      </c>
      <c r="F9186" s="6" t="n">
        <f aca="false">(Sens!F9164+Sens!F9185)*Sens!F9184/1000</f>
        <v>136.51872432512</v>
      </c>
      <c r="G9186" s="6" t="n">
        <f aca="false">(Sens!G9164+Sens!G9185)*Sens!G9184/1000</f>
        <v>157.399275932048</v>
      </c>
      <c r="H9186" s="6" t="n">
        <f aca="false">(Sens!H9164+Sens!H9185)*Sens!H9184/1000</f>
        <v>162.260804347512</v>
      </c>
      <c r="I9186" s="6" t="n">
        <f aca="false">(Sens!I9164+Sens!I9185)*Sens!I9184/1000</f>
        <v>144.136569485434</v>
      </c>
      <c r="J9186" s="6" t="n">
        <f aca="false">(Sens!J9164+Sens!J9185)*Sens!J9184/1000</f>
        <v>114.029037357864</v>
      </c>
      <c r="K9186" s="6" t="n">
        <f aca="false">(Sens!K9164+Sens!K9185)*Sens!K9184/1000</f>
        <v>113.437085350975</v>
      </c>
    </row>
    <row r="9187" customFormat="false" ht="17.15" hidden="false" customHeight="false" outlineLevel="0" collapsed="false">
      <c r="A9187" s="0" t="s">
        <v>996</v>
      </c>
      <c r="B9187" s="0" t="s">
        <v>98</v>
      </c>
      <c r="C9187" s="6" t="n">
        <f aca="false">Sens!C9164*self_build*tk_cxfac/1000</f>
        <v>6.2083</v>
      </c>
      <c r="D9187" s="6" t="n">
        <f aca="false">Sens!D9164*self_build*tk_cxfac/1000</f>
        <v>9.3758</v>
      </c>
      <c r="E9187" s="6" t="n">
        <f aca="false">Sens!E9164*self_build*tk_cxfac/1000</f>
        <v>18.6249</v>
      </c>
      <c r="F9187" s="6" t="n">
        <f aca="false">Sens!F9164*self_build*tk_cxfac/1000</f>
        <v>31.935179717</v>
      </c>
      <c r="G9187" s="6" t="n">
        <f aca="false">Sens!G9164*self_build*tk_cxfac/1000</f>
        <v>34.545199717</v>
      </c>
      <c r="H9187" s="6" t="n">
        <f aca="false">Sens!H9164*self_build*tk_cxfac/1000</f>
        <v>34.545199717</v>
      </c>
      <c r="I9187" s="6" t="n">
        <f aca="false">Sens!I9164*self_build*tk_cxfac/1000</f>
        <v>24.4782641361767</v>
      </c>
      <c r="J9187" s="6" t="n">
        <f aca="false">Sens!J9164*self_build*tk_cxfac/1000</f>
        <v>14.9008938380769</v>
      </c>
      <c r="K9187" s="6" t="n">
        <f aca="false">Sens!K9164*self_build*tk_cxfac/1000</f>
        <v>5.52576771375761</v>
      </c>
    </row>
    <row r="9188" customFormat="false" ht="17.15" hidden="false" customHeight="false" outlineLevel="0" collapsed="false">
      <c r="A9188" s="0" t="s">
        <v>997</v>
      </c>
      <c r="B9188" s="0" t="s">
        <v>98</v>
      </c>
      <c r="F9188" s="15" t="n">
        <f aca="false">capex_floor27-Sens!F9186-Sens!F9187-Sens!F9284</f>
        <v>0.105428474065192</v>
      </c>
      <c r="L9188" s="12" t="s">
        <v>998</v>
      </c>
    </row>
    <row r="9189" customFormat="false" ht="17.15" hidden="false" customHeight="false" outlineLevel="0" collapsed="false">
      <c r="A9189" s="0" t="s">
        <v>999</v>
      </c>
      <c r="B9189" s="0" t="s">
        <v>98</v>
      </c>
      <c r="F9189" s="6" t="n">
        <f aca="false">MAX(0,Sens!F9188)</f>
        <v>0.105428474065192</v>
      </c>
    </row>
    <row r="9190" customFormat="false" ht="17.15" hidden="false" customHeight="false" outlineLevel="0" collapsed="false">
      <c r="A9190" s="0" t="s">
        <v>1000</v>
      </c>
      <c r="B9190" s="0" t="s">
        <v>98</v>
      </c>
      <c r="C9190" s="6" t="n">
        <f aca="false">Sens!C9186</f>
        <v>22.5333845916667</v>
      </c>
      <c r="D9190" s="6" t="n">
        <f aca="false">Sens!D9186</f>
        <v>34.0300093833333</v>
      </c>
      <c r="E9190" s="6" t="n">
        <f aca="false">Sens!E9186</f>
        <v>67.600153775</v>
      </c>
      <c r="F9190" s="6" t="n">
        <f aca="false">Sens!F9186</f>
        <v>136.51872432512</v>
      </c>
      <c r="G9190" s="6" t="n">
        <f aca="false">Sens!G9186</f>
        <v>157.399275932048</v>
      </c>
      <c r="H9190" s="6" t="n">
        <f aca="false">Sens!H9186</f>
        <v>162.260804347512</v>
      </c>
      <c r="I9190" s="6" t="n">
        <f aca="false">Sens!I9186</f>
        <v>144.136569485434</v>
      </c>
      <c r="J9190" s="6" t="n">
        <f aca="false">Sens!J9186</f>
        <v>114.029037357864</v>
      </c>
      <c r="K9190" s="6" t="n">
        <f aca="false">Sens!K9186</f>
        <v>113.437085350975</v>
      </c>
    </row>
    <row r="9191" customFormat="false" ht="17.15" hidden="false" customHeight="false" outlineLevel="0" collapsed="false">
      <c r="A9191" s="0" t="s">
        <v>1001</v>
      </c>
      <c r="B9191" s="0" t="s">
        <v>98</v>
      </c>
      <c r="C9191" s="6" t="n">
        <f aca="false">Sens!C9190+Sens!C9187</f>
        <v>28.7416845916667</v>
      </c>
      <c r="D9191" s="6" t="n">
        <f aca="false">Sens!D9190+Sens!D9187</f>
        <v>43.4058093833333</v>
      </c>
      <c r="E9191" s="6" t="n">
        <f aca="false">Sens!E9190+Sens!E9187</f>
        <v>86.225053775</v>
      </c>
      <c r="F9191" s="6" t="n">
        <f aca="false">Sens!F9190+Sens!F9187</f>
        <v>168.45390404212</v>
      </c>
      <c r="G9191" s="6" t="n">
        <f aca="false">Sens!G9190+Sens!G9187</f>
        <v>191.944475649048</v>
      </c>
      <c r="H9191" s="6" t="n">
        <f aca="false">Sens!H9190+Sens!H9187</f>
        <v>196.806004064512</v>
      </c>
      <c r="I9191" s="6" t="n">
        <f aca="false">Sens!I9190+Sens!I9187</f>
        <v>168.61483362161</v>
      </c>
      <c r="J9191" s="6" t="n">
        <f aca="false">Sens!J9190+Sens!J9187</f>
        <v>128.92993119594</v>
      </c>
      <c r="K9191" s="6" t="n">
        <f aca="false">Sens!K9190+Sens!K9187</f>
        <v>118.962853064733</v>
      </c>
      <c r="L9191" s="12" t="s">
        <v>1002</v>
      </c>
    </row>
    <row r="9192" customFormat="false" ht="17.15" hidden="false" customHeight="false" outlineLevel="0" collapsed="false">
      <c r="A9192" s="0" t="s">
        <v>1003</v>
      </c>
      <c r="B9192" s="0" t="s">
        <v>98</v>
      </c>
      <c r="E9192" s="6" t="n">
        <f aca="false">(Sens!C9190*IF(2&lt;life_it,1,IF(2=life_it,0.5,0))+Sens!D9190*IF(1&lt;life_it,1,IF(1=life_it,0.5,0))+Sens!E9190*0.5)/life_it</f>
        <v>15.0605784770833</v>
      </c>
      <c r="F9192" s="6" t="n">
        <f aca="false">(Sens!C9190*IF(3&lt;life_it,1,IF(3=life_it,0.5,0))+Sens!D9190*IF(2&lt;life_it,1,IF(2=life_it,0.5,0))+Sens!E9190*IF(1&lt;life_it,1,IF(1=life_it,0.5,0))+Sens!F9190*0.5)/life_it</f>
        <v>32.0704849854266</v>
      </c>
      <c r="G9192" s="6" t="n">
        <f aca="false">(Sens!C9190*IF(4&lt;life_it,1,IF(4=life_it,0.5,0))+Sens!D9190*IF(3&lt;life_it,1,IF(3=life_it,0.5,0))+Sens!E9190*IF(2&lt;life_it,1,IF(2=life_it,0.5,0))+Sens!F9190*IF(1&lt;life_it,1,IF(1=life_it,0.5,0))+Sens!G9190*0.5)/life_it</f>
        <v>56.5636516735239</v>
      </c>
      <c r="H9192" s="6" t="n">
        <f aca="false">(Sens!C9190*IF(5&lt;life_it,1,IF(5=life_it,0.5,0))+Sens!D9190*IF(4&lt;life_it,1,IF(4=life_it,0.5,0))+Sens!E9190*IF(3&lt;life_it,1,IF(3=life_it,0.5,0))+Sens!F9190*IF(2&lt;life_it,1,IF(2=life_it,0.5,0))+Sens!G9190*IF(1&lt;life_it,1,IF(1=life_it,0.5,0))+Sens!H9190*0.5)/life_it</f>
        <v>83.2019916968207</v>
      </c>
      <c r="I9192" s="6" t="n">
        <f aca="false">(Sens!C9190*IF(6&lt;life_it,1,IF(6=life_it,0.5,0))+Sens!D9190*IF(5&lt;life_it,1,IF(5=life_it,0.5,0))+Sens!E9190*IF(4&lt;life_it,1,IF(4=life_it,0.5,0))+Sens!F9190*IF(3&lt;life_it,1,IF(3=life_it,0.5,0))+Sens!G9190*IF(2&lt;life_it,1,IF(2=life_it,0.5,0))+Sens!H9190*IF(1&lt;life_it,1,IF(1=life_it,0.5,0))+Sens!I9190*0.5)/life_it</f>
        <v>106.857324133594</v>
      </c>
      <c r="J9192" s="6" t="n">
        <f aca="false">(Sens!C9190*IF(7&lt;life_it,1,IF(7=life_it,0.5,0))+Sens!D9190*IF(6&lt;life_it,1,IF(6=life_it,0.5,0))+Sens!E9190*IF(5&lt;life_it,1,IF(5=life_it,0.5,0))+Sens!F9190*IF(4&lt;life_it,1,IF(4=life_it,0.5,0))+Sens!G9190*IF(3&lt;life_it,1,IF(3=life_it,0.5,0))+Sens!H9190*IF(2&lt;life_it,1,IF(2=life_it,0.5,0))+Sens!I9190*IF(1&lt;life_it,1,IF(1=life_it,0.5,0))+Sens!J9190*0.5)/life_it</f>
        <v>123.657508539285</v>
      </c>
      <c r="K9192" s="6" t="n">
        <f aca="false">(Sens!C9190*IF(8&lt;life_it,1,IF(8=life_it,0.5,0))+Sens!D9190*IF(7&lt;life_it,1,IF(7=life_it,0.5,0))+Sens!E9190*IF(6&lt;life_it,1,IF(6=life_it,0.5,0))+Sens!F9190*IF(5&lt;life_it,1,IF(5=life_it,0.5,0))+Sens!G9190*IF(4&lt;life_it,1,IF(4=life_it,0.5,0))+Sens!H9190*IF(3&lt;life_it,1,IF(3=life_it,0.5,0))+Sens!I9190*IF(2&lt;life_it,1,IF(2=life_it,0.5,0))+Sens!J9190*IF(1&lt;life_it,1,IF(1=life_it,0.5,0))+Sens!K9190*0.5)/life_it</f>
        <v>134.143838501827</v>
      </c>
    </row>
    <row r="9193" customFormat="false" ht="17.15" hidden="false" customHeight="false" outlineLevel="0" collapsed="false">
      <c r="A9193" s="0" t="s">
        <v>1004</v>
      </c>
      <c r="B9193" s="0" t="s">
        <v>98</v>
      </c>
      <c r="E9193" s="6" t="n">
        <f aca="false">(Sens!C9187*IF(2&lt;life_fac,1,IF(2=life_fac,0.5,0))+Sens!D9187*IF(1&lt;life_fac,1,IF(1=life_fac,0.5,0))+Sens!E9187*0.5)/life_fac</f>
        <v>1.2448275</v>
      </c>
      <c r="F9193" s="6" t="n">
        <f aca="false">(Sens!C9187*IF(3&lt;life_fac,1,IF(3=life_fac,0.5,0))+Sens!D9187*IF(2&lt;life_fac,1,IF(2=life_fac,0.5,0))+Sens!E9187*IF(1&lt;life_fac,1,IF(1=life_fac,0.5,0))+Sens!F9187*0.5)/life_fac</f>
        <v>2.508829492925</v>
      </c>
      <c r="G9193" s="6" t="n">
        <f aca="false">(Sens!C9187*IF(4&lt;life_fac,1,IF(4=life_fac,0.5,0))+Sens!D9187*IF(3&lt;life_fac,1,IF(3=life_fac,0.5,0))+Sens!E9187*IF(2&lt;life_fac,1,IF(2=life_fac,0.5,0))+Sens!F9187*IF(1&lt;life_fac,1,IF(1=life_fac,0.5,0))+Sens!G9187*0.5)/life_fac</f>
        <v>4.170838978775</v>
      </c>
      <c r="H9193" s="6" t="n">
        <f aca="false">(Sens!C9187*IF(5&lt;life_fac,1,IF(5=life_fac,0.5,0))+Sens!D9187*IF(4&lt;life_fac,1,IF(4=life_fac,0.5,0))+Sens!E9187*IF(3&lt;life_fac,1,IF(3=life_fac,0.5,0))+Sens!F9187*IF(2&lt;life_fac,1,IF(2=life_fac,0.5,0))+Sens!G9187*IF(1&lt;life_fac,1,IF(1=life_fac,0.5,0))+Sens!H9187*0.5)/life_fac</f>
        <v>5.898098964625</v>
      </c>
      <c r="I9193" s="6" t="n">
        <f aca="false">(Sens!C9187*IF(6&lt;life_fac,1,IF(6=life_fac,0.5,0))+Sens!D9187*IF(5&lt;life_fac,1,IF(5=life_fac,0.5,0))+Sens!E9187*IF(4&lt;life_fac,1,IF(4=life_fac,0.5,0))+Sens!F9187*IF(3&lt;life_fac,1,IF(3=life_fac,0.5,0))+Sens!G9187*IF(2&lt;life_fac,1,IF(2=life_fac,0.5,0))+Sens!H9187*IF(1&lt;life_fac,1,IF(1=life_fac,0.5,0))+Sens!I9187*0.5)/life_fac</f>
        <v>7.37368556095442</v>
      </c>
      <c r="J9193" s="6" t="n">
        <f aca="false">(Sens!C9187*IF(7&lt;life_fac,1,IF(7=life_fac,0.5,0))+Sens!D9187*IF(6&lt;life_fac,1,IF(6=life_fac,0.5,0))+Sens!E9187*IF(5&lt;life_fac,1,IF(5=life_fac,0.5,0))+Sens!F9187*IF(4&lt;life_fac,1,IF(4=life_fac,0.5,0))+Sens!G9187*IF(3&lt;life_fac,1,IF(3=life_fac,0.5,0))+Sens!H9187*IF(2&lt;life_fac,1,IF(2=life_fac,0.5,0))+Sens!I9187*IF(1&lt;life_fac,1,IF(1=life_fac,0.5,0))+Sens!J9187*0.5)/life_fac</f>
        <v>8.35816451031075</v>
      </c>
      <c r="K9193" s="6" t="n">
        <f aca="false">(Sens!C9187*IF(8&lt;life_fac,1,IF(8=life_fac,0.5,0))+Sens!D9187*IF(7&lt;life_fac,1,IF(7=life_fac,0.5,0))+Sens!E9187*IF(6&lt;life_fac,1,IF(6=life_fac,0.5,0))+Sens!F9187*IF(5&lt;life_fac,1,IF(5=life_fac,0.5,0))+Sens!G9187*IF(4&lt;life_fac,1,IF(4=life_fac,0.5,0))+Sens!H9187*IF(3&lt;life_fac,1,IF(3=life_fac,0.5,0))+Sens!I9187*IF(2&lt;life_fac,1,IF(2=life_fac,0.5,0))+Sens!J9187*IF(1&lt;life_fac,1,IF(1=life_fac,0.5,0))+Sens!K9187*0.5)/life_fac</f>
        <v>8.86883104910662</v>
      </c>
    </row>
    <row r="9194" customFormat="false" ht="17.15" hidden="false" customHeight="false" outlineLevel="0" collapsed="false">
      <c r="A9194" s="0" t="s">
        <v>1005</v>
      </c>
      <c r="B9194" s="0" t="s">
        <v>98</v>
      </c>
      <c r="E9194" s="6" t="n">
        <f aca="false">Sens!E9192+Sens!E9193</f>
        <v>16.3054059770833</v>
      </c>
      <c r="F9194" s="6" t="n">
        <f aca="false">Sens!F9192+Sens!F9193</f>
        <v>34.5793144783516</v>
      </c>
      <c r="G9194" s="6" t="n">
        <f aca="false">Sens!G9192+Sens!G9193</f>
        <v>60.7344906522989</v>
      </c>
      <c r="H9194" s="6" t="n">
        <f aca="false">Sens!H9192+Sens!H9193</f>
        <v>89.1000906614457</v>
      </c>
      <c r="I9194" s="6" t="n">
        <f aca="false">Sens!I9192+Sens!I9193</f>
        <v>114.231009694548</v>
      </c>
      <c r="J9194" s="6" t="n">
        <f aca="false">Sens!J9192+Sens!J9193</f>
        <v>132.015673049596</v>
      </c>
      <c r="K9194" s="6" t="n">
        <f aca="false">Sens!K9192+Sens!K9193</f>
        <v>143.012669550934</v>
      </c>
    </row>
    <row r="9195" customFormat="false" ht="17.15" hidden="false" customHeight="false" outlineLevel="0" collapsed="false">
      <c r="A9195" s="0" t="s">
        <v>1006</v>
      </c>
      <c r="B9195" s="0" t="s">
        <v>98</v>
      </c>
      <c r="E9195" s="6" t="n">
        <f aca="false">Sens!E9182-Sens!E9181*Sens!E9194</f>
        <v>8.92707889977379</v>
      </c>
      <c r="F9195" s="6" t="n">
        <f aca="false">Sens!F9182-Sens!F9181*Sens!F9194</f>
        <v>22.4686207259278</v>
      </c>
      <c r="G9195" s="6" t="n">
        <f aca="false">Sens!G9182-Sens!G9181*Sens!G9194</f>
        <v>43.2797528675735</v>
      </c>
      <c r="H9195" s="6" t="n">
        <f aca="false">Sens!H9182-Sens!H9181*Sens!H9194</f>
        <v>69.3477099347341</v>
      </c>
      <c r="I9195" s="6" t="n">
        <f aca="false">Sens!I9182-Sens!I9181*Sens!I9194</f>
        <v>86.8523667140836</v>
      </c>
      <c r="J9195" s="6" t="n">
        <f aca="false">Sens!J9182-Sens!J9181*Sens!J9194</f>
        <v>98.9882647234202</v>
      </c>
      <c r="K9195" s="6" t="n">
        <f aca="false">Sens!K9182-Sens!K9181*Sens!K9194</f>
        <v>106.918985011399</v>
      </c>
    </row>
    <row r="9196" customFormat="false" ht="17.15" hidden="false" customHeight="false" outlineLevel="0" collapsed="false">
      <c r="A9196" s="3" t="s">
        <v>1841</v>
      </c>
    </row>
    <row r="9197" customFormat="false" ht="15" hidden="false" customHeight="false" outlineLevel="0" collapsed="false">
      <c r="A9197" s="4" t="s">
        <v>43</v>
      </c>
      <c r="B9197" s="4" t="s">
        <v>65</v>
      </c>
      <c r="C9197" s="23" t="s">
        <v>942</v>
      </c>
      <c r="D9197" s="23" t="s">
        <v>943</v>
      </c>
      <c r="E9197" s="23" t="s">
        <v>944</v>
      </c>
      <c r="F9197" s="23" t="s">
        <v>945</v>
      </c>
      <c r="G9197" s="23" t="s">
        <v>946</v>
      </c>
      <c r="H9197" s="23" t="s">
        <v>947</v>
      </c>
      <c r="I9197" s="23" t="s">
        <v>948</v>
      </c>
      <c r="J9197" s="23" t="s">
        <v>949</v>
      </c>
      <c r="K9197" s="23" t="s">
        <v>950</v>
      </c>
      <c r="L9197" s="4" t="s">
        <v>47</v>
      </c>
    </row>
    <row r="9198" customFormat="false" ht="17.15" hidden="false" customHeight="false" outlineLevel="0" collapsed="false">
      <c r="A9198" s="0" t="s">
        <v>1025</v>
      </c>
      <c r="B9198" s="0" t="s">
        <v>98</v>
      </c>
      <c r="D9198" s="6" t="n">
        <f aca="false">Sens!D9176</f>
        <v>12.9359794422418</v>
      </c>
      <c r="E9198" s="6" t="n">
        <f aca="false">Sens!E9176</f>
        <v>27.8095064661409</v>
      </c>
      <c r="F9198" s="6" t="n">
        <f aca="false">Sens!F9176</f>
        <v>59.1034165651511</v>
      </c>
      <c r="G9198" s="6" t="n">
        <f aca="false">Sens!G9176</f>
        <v>103.451498789198</v>
      </c>
      <c r="H9198" s="6" t="n">
        <f aca="false">Sens!H9176</f>
        <v>153.816719989035</v>
      </c>
      <c r="I9198" s="6" t="n">
        <f aca="false">Sens!I9176</f>
        <v>192.699478690852</v>
      </c>
      <c r="J9198" s="6" t="n">
        <f aca="false">Sens!J9176</f>
        <v>219.794102584244</v>
      </c>
      <c r="K9198" s="6" t="n">
        <f aca="false">Sens!K9176</f>
        <v>236.757046905022</v>
      </c>
    </row>
    <row r="9199" customFormat="false" ht="17.15" hidden="false" customHeight="false" outlineLevel="0" collapsed="false">
      <c r="A9199" s="0" t="s">
        <v>1026</v>
      </c>
      <c r="B9199" s="0" t="s">
        <v>98</v>
      </c>
      <c r="D9199" s="6" t="n">
        <f aca="false">Q!L6-Sens!D9198</f>
        <v>59.6740205577583</v>
      </c>
      <c r="E9199" s="6" t="n">
        <f aca="false">Q!M6-Sens!E9198</f>
        <v>74.1284935338591</v>
      </c>
      <c r="F9199" s="6" t="n">
        <f aca="false">Q!$I$6+(Sens!F9198+Sens!E9199*(1+Sens!F9200))*(1-Q!$E$6/Q!M6)-Sens!F9198</f>
        <v>90.1973466630612</v>
      </c>
      <c r="G9199" s="6" t="n">
        <f aca="false">Sens!F9199*(1+Sens!G9200)</f>
        <v>106.265936806525</v>
      </c>
      <c r="H9199" s="6" t="n">
        <f aca="false">Sens!G9199*(1+Sens!H9200)</f>
        <v>121.792659150761</v>
      </c>
      <c r="I9199" s="6" t="n">
        <f aca="false">Sens!H9199*(1+Sens!I9200)</f>
        <v>135.686111397536</v>
      </c>
      <c r="J9199" s="6" t="n">
        <f aca="false">Sens!I9199*(1+Sens!J9200)</f>
        <v>146.817435501981</v>
      </c>
      <c r="K9199" s="6" t="n">
        <f aca="false">Sens!J9199*(1+Sens!K9200)</f>
        <v>154.158307277081</v>
      </c>
      <c r="L9199" s="12" t="s">
        <v>1027</v>
      </c>
    </row>
    <row r="9200" customFormat="false" ht="15" hidden="false" customHeight="false" outlineLevel="0" collapsed="false">
      <c r="A9200" s="1" t="s">
        <v>1028</v>
      </c>
      <c r="B9200" s="0" t="s">
        <v>168</v>
      </c>
      <c r="E9200" s="7" t="n">
        <f aca="false">Sens!E9199/Sens!D9199-1</f>
        <v>0.242223883039864</v>
      </c>
      <c r="F9200" s="7" t="n">
        <f aca="false">Sens!$E$9200+(glt_azo_lo-Sens!$E$9200)*MIN(1,(Sens!F9157-base_fy)/n_conv)</f>
        <v>0.210186569199887</v>
      </c>
      <c r="G9200" s="7" t="n">
        <f aca="false">Sens!$E$9200+(glt_azo_lo-Sens!$E$9200)*MIN(1,(Sens!G9157-base_fy)/n_conv)</f>
        <v>0.17814925535991</v>
      </c>
      <c r="H9200" s="7" t="n">
        <f aca="false">Sens!$E$9200+(glt_azo_lo-Sens!$E$9200)*MIN(1,(Sens!H9157-base_fy)/n_conv)</f>
        <v>0.146111941519932</v>
      </c>
      <c r="I9200" s="7" t="n">
        <f aca="false">Sens!$E$9200+(glt_azo_lo-Sens!$E$9200)*MIN(1,(Sens!I9157-base_fy)/n_conv)</f>
        <v>0.114074627679955</v>
      </c>
      <c r="J9200" s="7" t="n">
        <f aca="false">Sens!$E$9200+(glt_azo_lo-Sens!$E$9200)*MIN(1,(Sens!J9157-base_fy)/n_conv)</f>
        <v>0.0820373138399774</v>
      </c>
      <c r="K9200" s="7" t="n">
        <f aca="false">Sens!$E$9200+(glt_azo_lo-Sens!$E$9200)*MIN(1,(Sens!K9157-base_fy)/n_conv)</f>
        <v>0.05</v>
      </c>
    </row>
    <row r="9201" customFormat="false" ht="15" hidden="false" customHeight="false" outlineLevel="0" collapsed="false">
      <c r="A9201" s="0" t="s">
        <v>1029</v>
      </c>
      <c r="B9201" s="0" t="s">
        <v>98</v>
      </c>
      <c r="D9201" s="6" t="n">
        <f aca="false">Sens!D9198+Sens!D9199</f>
        <v>72.61</v>
      </c>
      <c r="E9201" s="6" t="n">
        <f aca="false">Sens!E9198+Sens!E9199</f>
        <v>101.938</v>
      </c>
      <c r="F9201" s="6" t="n">
        <f aca="false">Sens!F9198+Sens!F9199</f>
        <v>149.300763228212</v>
      </c>
      <c r="G9201" s="6" t="n">
        <f aca="false">Sens!G9198+Sens!G9199</f>
        <v>209.717435595724</v>
      </c>
      <c r="H9201" s="6" t="n">
        <f aca="false">Sens!H9198+Sens!H9199</f>
        <v>275.609379139796</v>
      </c>
      <c r="I9201" s="6" t="n">
        <f aca="false">Sens!I9198+Sens!I9199</f>
        <v>328.385590088388</v>
      </c>
      <c r="J9201" s="6" t="n">
        <f aca="false">Sens!J9198+Sens!J9199</f>
        <v>366.611538086225</v>
      </c>
      <c r="K9201" s="6" t="n">
        <f aca="false">Sens!K9198+Sens!K9199</f>
        <v>390.915354182102</v>
      </c>
    </row>
    <row r="9202" customFormat="false" ht="17.15" hidden="false" customHeight="false" outlineLevel="0" collapsed="false">
      <c r="A9202" s="0" t="s">
        <v>1030</v>
      </c>
      <c r="B9202" s="1" t="s">
        <v>613</v>
      </c>
      <c r="C9202" s="30" t="n">
        <f aca="false">cop_s24</f>
        <v>1</v>
      </c>
      <c r="D9202" s="30" t="n">
        <f aca="false">cop_s25</f>
        <v>5</v>
      </c>
      <c r="E9202" s="30" t="n">
        <f aca="false">cop_s26</f>
        <v>30</v>
      </c>
      <c r="F9202" s="30" t="n">
        <f aca="false">Sens!E9202+cop_add_A</f>
        <v>60</v>
      </c>
      <c r="G9202" s="30" t="n">
        <f aca="false">Sens!F9202+cop_add_A</f>
        <v>90</v>
      </c>
      <c r="H9202" s="30" t="n">
        <f aca="false">Sens!G9202+cop_add_A</f>
        <v>120</v>
      </c>
      <c r="I9202" s="30" t="n">
        <f aca="false">Sens!H9202+cop_add_A*cop_tail</f>
        <v>135</v>
      </c>
      <c r="J9202" s="30" t="n">
        <f aca="false">Sens!I9202+cop_add_A*cop_tail</f>
        <v>150</v>
      </c>
      <c r="K9202" s="30" t="n">
        <f aca="false">Sens!J9202+cop_add_A*cop_tail</f>
        <v>165</v>
      </c>
      <c r="L9202" s="12" t="s">
        <v>1031</v>
      </c>
    </row>
    <row r="9203" customFormat="false" ht="17.15" hidden="false" customHeight="false" outlineLevel="0" collapsed="false">
      <c r="A9203" s="0" t="s">
        <v>1032</v>
      </c>
      <c r="B9203" s="0" t="s">
        <v>98</v>
      </c>
      <c r="D9203" s="6" t="n">
        <f aca="false">(Sens!C9202+Sens!D9202)/2*cop_px*12/1000</f>
        <v>0.9</v>
      </c>
      <c r="E9203" s="6" t="n">
        <f aca="false">(Sens!D9202+Sens!E9202)/2*cop_px*12/1000</f>
        <v>5.25</v>
      </c>
      <c r="F9203" s="6" t="n">
        <f aca="false">(Sens!E9202+Sens!F9202)/2*cop_px*12/1000</f>
        <v>13.5</v>
      </c>
      <c r="G9203" s="6" t="n">
        <f aca="false">(Sens!F9202+Sens!G9202)/2*cop_px*12/1000</f>
        <v>22.5</v>
      </c>
      <c r="H9203" s="6" t="n">
        <f aca="false">(Sens!G9202+Sens!H9202)/2*cop_px*12/1000</f>
        <v>31.5</v>
      </c>
      <c r="I9203" s="6" t="n">
        <f aca="false">(Sens!H9202+Sens!I9202)/2*cop_px*12/1000</f>
        <v>38.25</v>
      </c>
      <c r="J9203" s="6" t="n">
        <f aca="false">(Sens!I9202+Sens!J9202)/2*cop_px*12/1000</f>
        <v>42.75</v>
      </c>
      <c r="K9203" s="6" t="n">
        <f aca="false">(Sens!J9202+Sens!K9202)/2*cop_px*12/1000</f>
        <v>47.25</v>
      </c>
      <c r="L9203" s="1" t="s">
        <v>1033</v>
      </c>
    </row>
    <row r="9204" customFormat="false" ht="17.15" hidden="false" customHeight="false" outlineLevel="0" collapsed="false">
      <c r="A9204" s="0" t="s">
        <v>1034</v>
      </c>
      <c r="B9204" s="0" t="s">
        <v>98</v>
      </c>
      <c r="D9204" s="6" t="n">
        <f aca="false">Q!L7-Sens!D9203</f>
        <v>83.705</v>
      </c>
      <c r="E9204" s="6" t="n">
        <f aca="false">Q!M7-Sens!E9203</f>
        <v>95.049</v>
      </c>
      <c r="F9204" s="6" t="n">
        <f aca="false">Q!$I$7+(Sens!E9204*(1+Sens!F9205)+Sens!F9203)*(1-Q!$E$7/Q!M7)-Sens!F9203</f>
        <v>106.229653205718</v>
      </c>
      <c r="G9204" s="6" t="n">
        <f aca="false">Sens!F9204*(1+Sens!G9205)</f>
        <v>118.306092647576</v>
      </c>
      <c r="H9204" s="6" t="n">
        <f aca="false">Sens!G9204*(1+Sens!H9205)</f>
        <v>130.463437602768</v>
      </c>
      <c r="I9204" s="6" t="n">
        <f aca="false">Sens!H9204*(1+Sens!I9205)</f>
        <v>142.445354741933</v>
      </c>
      <c r="J9204" s="6" t="n">
        <f aca="false">Sens!I9204*(1+Sens!J9205)</f>
        <v>153.972117481571</v>
      </c>
      <c r="K9204" s="6" t="n">
        <f aca="false">Sens!J9204*(1+Sens!K9205)</f>
        <v>164.75016570528</v>
      </c>
      <c r="L9204" s="12" t="s">
        <v>1035</v>
      </c>
    </row>
    <row r="9205" customFormat="false" ht="15" hidden="false" customHeight="false" outlineLevel="0" collapsed="false">
      <c r="A9205" s="1" t="s">
        <v>1028</v>
      </c>
      <c r="B9205" s="0" t="s">
        <v>168</v>
      </c>
      <c r="E9205" s="7" t="n">
        <f aca="false">Sens!E9204/Sens!D9204-1</f>
        <v>0.135523564900544</v>
      </c>
      <c r="F9205" s="7" t="n">
        <f aca="false">Sens!$E$9205+(glt_m365b-Sens!$E$9205)*MIN(1,(Sens!F9157-base_fy)/n_conv)</f>
        <v>0.124602970750453</v>
      </c>
      <c r="G9205" s="7" t="n">
        <f aca="false">Sens!$E$9205+(glt_m365b-Sens!$E$9205)*MIN(1,(Sens!G9157-base_fy)/n_conv)</f>
        <v>0.113682376600363</v>
      </c>
      <c r="H9205" s="7" t="n">
        <f aca="false">Sens!$E$9205+(glt_m365b-Sens!$E$9205)*MIN(1,(Sens!H9157-base_fy)/n_conv)</f>
        <v>0.102761782450272</v>
      </c>
      <c r="I9205" s="7" t="n">
        <f aca="false">Sens!$E$9205+(glt_m365b-Sens!$E$9205)*MIN(1,(Sens!I9157-base_fy)/n_conv)</f>
        <v>0.0918411883001813</v>
      </c>
      <c r="J9205" s="7" t="n">
        <f aca="false">Sens!$E$9205+(glt_m365b-Sens!$E$9205)*MIN(1,(Sens!J9157-base_fy)/n_conv)</f>
        <v>0.0809205941500906</v>
      </c>
      <c r="K9205" s="7" t="n">
        <f aca="false">Sens!$E$9205+(glt_m365b-Sens!$E$9205)*MIN(1,(Sens!K9157-base_fy)/n_conv)</f>
        <v>0.07</v>
      </c>
    </row>
    <row r="9206" customFormat="false" ht="15" hidden="false" customHeight="false" outlineLevel="0" collapsed="false">
      <c r="A9206" s="0" t="s">
        <v>1036</v>
      </c>
      <c r="B9206" s="0" t="s">
        <v>98</v>
      </c>
      <c r="D9206" s="6" t="n">
        <f aca="false">Sens!D9204+Sens!D9203</f>
        <v>84.605</v>
      </c>
      <c r="E9206" s="6" t="n">
        <f aca="false">Sens!E9204+Sens!E9203</f>
        <v>100.299</v>
      </c>
      <c r="F9206" s="6" t="n">
        <f aca="false">Sens!F9204+Sens!F9203</f>
        <v>119.729653205718</v>
      </c>
      <c r="G9206" s="6" t="n">
        <f aca="false">Sens!G9204+Sens!G9203</f>
        <v>140.806092647576</v>
      </c>
      <c r="H9206" s="6" t="n">
        <f aca="false">Sens!H9204+Sens!H9203</f>
        <v>161.963437602768</v>
      </c>
      <c r="I9206" s="6" t="n">
        <f aca="false">Sens!I9204+Sens!I9203</f>
        <v>180.695354741933</v>
      </c>
      <c r="J9206" s="6" t="n">
        <f aca="false">Sens!J9204+Sens!J9203</f>
        <v>196.722117481571</v>
      </c>
      <c r="K9206" s="6" t="n">
        <f aca="false">Sens!K9204+Sens!K9203</f>
        <v>212.00016570528</v>
      </c>
    </row>
    <row r="9207" customFormat="false" ht="17.15" hidden="false" customHeight="false" outlineLevel="0" collapsed="false">
      <c r="A9207" s="0" t="s">
        <v>1037</v>
      </c>
      <c r="B9207" s="0" t="s">
        <v>98</v>
      </c>
      <c r="D9207" s="6" t="n">
        <f aca="false">Q!L8</f>
        <v>35.391</v>
      </c>
      <c r="E9207" s="6" t="n">
        <f aca="false">Q!M8</f>
        <v>37.285</v>
      </c>
      <c r="F9207" s="6" t="n">
        <f aca="false">Q!$I$8+(Q!M8-Q!$E$8)*(1+Sens!F9208)</f>
        <v>38.3851437782675</v>
      </c>
      <c r="G9207" s="6" t="n">
        <f aca="false">Sens!F9207*(1+Sens!G9208)</f>
        <v>40.0105353288615</v>
      </c>
      <c r="H9207" s="6" t="n">
        <f aca="false">Sens!G9207*(1+Sens!H9208)</f>
        <v>41.4812512033683</v>
      </c>
      <c r="I9207" s="6" t="n">
        <f aca="false">Sens!H9207*(1+Sens!I9208)</f>
        <v>42.7743107216329</v>
      </c>
      <c r="J9207" s="6" t="n">
        <f aca="false">Sens!I9207*(1+Sens!J9208)</f>
        <v>43.8687373064601</v>
      </c>
      <c r="K9207" s="6" t="n">
        <f aca="false">Sens!J9207*(1+Sens!K9208)</f>
        <v>44.7461120525893</v>
      </c>
      <c r="L9207" s="12" t="s">
        <v>1038</v>
      </c>
    </row>
    <row r="9208" customFormat="false" ht="15" hidden="false" customHeight="false" outlineLevel="0" collapsed="false">
      <c r="A9208" s="1" t="s">
        <v>1028</v>
      </c>
      <c r="B9208" s="0" t="s">
        <v>168</v>
      </c>
      <c r="E9208" s="7" t="n">
        <f aca="false">Sens!E9207/Sens!D9207-1</f>
        <v>0.0535164307309768</v>
      </c>
      <c r="F9208" s="7" t="n">
        <f aca="false">Sens!$E$9208+(glt_lic-Sens!$E$9208)*MIN(1,(Sens!F9157-base_fy)/n_conv)</f>
        <v>0.0479303589424807</v>
      </c>
      <c r="G9208" s="7" t="n">
        <f aca="false">Sens!$E$9208+(glt_lic-Sens!$E$9208)*MIN(1,(Sens!G9157-base_fy)/n_conv)</f>
        <v>0.0423442871539845</v>
      </c>
      <c r="H9208" s="7" t="n">
        <f aca="false">Sens!$E$9208+(glt_lic-Sens!$E$9208)*MIN(1,(Sens!H9157-base_fy)/n_conv)</f>
        <v>0.0367582153654884</v>
      </c>
      <c r="I9208" s="7" t="n">
        <f aca="false">Sens!$E$9208+(glt_lic-Sens!$E$9208)*MIN(1,(Sens!I9157-base_fy)/n_conv)</f>
        <v>0.0311721435769923</v>
      </c>
      <c r="J9208" s="7" t="n">
        <f aca="false">Sens!$E$9208+(glt_lic-Sens!$E$9208)*MIN(1,(Sens!J9157-base_fy)/n_conv)</f>
        <v>0.0255860717884961</v>
      </c>
      <c r="K9208" s="7" t="n">
        <f aca="false">Sens!$E$9208+(glt_lic-Sens!$E$9208)*MIN(1,(Sens!K9157-base_fy)/n_conv)</f>
        <v>0.02</v>
      </c>
    </row>
    <row r="9209" customFormat="false" ht="17.15" hidden="false" customHeight="false" outlineLevel="0" collapsed="false">
      <c r="A9209" s="0" t="s">
        <v>1039</v>
      </c>
      <c r="B9209" s="0" t="s">
        <v>98</v>
      </c>
      <c r="D9209" s="6" t="n">
        <f aca="false">Q!L9</f>
        <v>18.417</v>
      </c>
      <c r="E9209" s="6" t="n">
        <f aca="false">Q!M9</f>
        <v>20.345</v>
      </c>
      <c r="F9209" s="6" t="n">
        <f aca="false">Q!$I$9+(Q!M9-Q!$E$9)*(1+Sens!F9210)</f>
        <v>22.3161797133988</v>
      </c>
      <c r="G9209" s="6" t="n">
        <f aca="false">Sens!F9209*(1+Sens!G9210)</f>
        <v>24.3943499673233</v>
      </c>
      <c r="H9209" s="6" t="n">
        <f aca="false">Sens!G9209*(1+Sens!H9210)</f>
        <v>26.5250243109019</v>
      </c>
      <c r="I9209" s="6" t="n">
        <f aca="false">Sens!H9209*(1+Sens!I9210)</f>
        <v>28.6884573538181</v>
      </c>
      <c r="J9209" s="6" t="n">
        <f aca="false">Sens!I9209*(1+Sens!J9210)</f>
        <v>30.8624968052127</v>
      </c>
      <c r="K9209" s="6" t="n">
        <f aca="false">Sens!J9209*(1+Sens!K9210)</f>
        <v>33.0228715815776</v>
      </c>
      <c r="L9209" s="12" t="s">
        <v>1038</v>
      </c>
    </row>
    <row r="9210" customFormat="false" ht="15" hidden="false" customHeight="false" outlineLevel="0" collapsed="false">
      <c r="A9210" s="1" t="s">
        <v>1028</v>
      </c>
      <c r="B9210" s="0" t="s">
        <v>168</v>
      </c>
      <c r="E9210" s="7" t="n">
        <f aca="false">Sens!E9209/Sens!D9209-1</f>
        <v>0.104685888038225</v>
      </c>
      <c r="F9210" s="7" t="n">
        <f aca="false">Sens!$E$9210+(glt_ind-Sens!$E$9210)*MIN(1,(Sens!F9157-base_fy)/n_conv)</f>
        <v>0.0989049066985211</v>
      </c>
      <c r="G9210" s="7" t="n">
        <f aca="false">Sens!$E$9210+(glt_ind-Sens!$E$9210)*MIN(1,(Sens!G9157-base_fy)/n_conv)</f>
        <v>0.0931239253588169</v>
      </c>
      <c r="H9210" s="7" t="n">
        <f aca="false">Sens!$E$9210+(glt_ind-Sens!$E$9210)*MIN(1,(Sens!H9157-base_fy)/n_conv)</f>
        <v>0.0873429440191127</v>
      </c>
      <c r="I9210" s="7" t="n">
        <f aca="false">Sens!$E$9210+(glt_ind-Sens!$E$9210)*MIN(1,(Sens!I9157-base_fy)/n_conv)</f>
        <v>0.0815619626794085</v>
      </c>
      <c r="J9210" s="7" t="n">
        <f aca="false">Sens!$E$9210+(glt_ind-Sens!$E$9210)*MIN(1,(Sens!J9157-base_fy)/n_conv)</f>
        <v>0.0757809813397042</v>
      </c>
      <c r="K9210" s="7" t="n">
        <f aca="false">Sens!$E$9210+(glt_ind-Sens!$E$9210)*MIN(1,(Sens!K9157-base_fy)/n_conv)</f>
        <v>0.07</v>
      </c>
    </row>
    <row r="9211" customFormat="false" ht="17.15" hidden="false" customHeight="false" outlineLevel="0" collapsed="false">
      <c r="A9211" s="0" t="s">
        <v>1040</v>
      </c>
      <c r="B9211" s="0" t="s">
        <v>98</v>
      </c>
      <c r="D9211" s="6" t="n">
        <f aca="false">Q!L10</f>
        <v>7.76</v>
      </c>
      <c r="E9211" s="6" t="n">
        <f aca="false">Q!M10</f>
        <v>8.26</v>
      </c>
      <c r="F9211" s="6" t="n">
        <f aca="false">Q!$I$10+(Q!M10-Q!$E$10)*(1+Sens!F9212)</f>
        <v>8.75372082474227</v>
      </c>
      <c r="G9211" s="6" t="n">
        <f aca="false">Sens!F9211*(1+Sens!G9212)</f>
        <v>9.33399324642364</v>
      </c>
      <c r="H9211" s="6" t="n">
        <f aca="false">Sens!G9211*(1+Sens!H9212)</f>
        <v>9.96139155535851</v>
      </c>
      <c r="I9211" s="6" t="n">
        <f aca="false">Sens!H9211*(1+Sens!I9212)</f>
        <v>10.6402039077391</v>
      </c>
      <c r="J9211" s="6" t="n">
        <f aca="false">Sens!I9211*(1+Sens!J9212)</f>
        <v>11.3751458271397</v>
      </c>
      <c r="K9211" s="6" t="n">
        <f aca="false">Sens!J9211*(1+Sens!K9212)</f>
        <v>12.1714060350394</v>
      </c>
      <c r="L9211" s="12" t="s">
        <v>1038</v>
      </c>
    </row>
    <row r="9212" customFormat="false" ht="15" hidden="false" customHeight="false" outlineLevel="0" collapsed="false">
      <c r="A9212" s="1" t="s">
        <v>1028</v>
      </c>
      <c r="B9212" s="0" t="s">
        <v>168</v>
      </c>
      <c r="E9212" s="7" t="n">
        <f aca="false">Sens!E9211/Sens!D9211-1</f>
        <v>0.0644329896907216</v>
      </c>
      <c r="F9212" s="7" t="n">
        <f aca="false">Sens!$E$9212+(glt_fro-Sens!$E$9212)*MIN(1,(Sens!F9157-base_fy)/n_conv)</f>
        <v>0.065360824742268</v>
      </c>
      <c r="G9212" s="7" t="n">
        <f aca="false">Sens!$E$9212+(glt_fro-Sens!$E$9212)*MIN(1,(Sens!G9157-base_fy)/n_conv)</f>
        <v>0.0662886597938144</v>
      </c>
      <c r="H9212" s="7" t="n">
        <f aca="false">Sens!$E$9212+(glt_fro-Sens!$E$9212)*MIN(1,(Sens!H9157-base_fy)/n_conv)</f>
        <v>0.0672164948453608</v>
      </c>
      <c r="I9212" s="7" t="n">
        <f aca="false">Sens!$E$9212+(glt_fro-Sens!$E$9212)*MIN(1,(Sens!I9157-base_fy)/n_conv)</f>
        <v>0.0681443298969072</v>
      </c>
      <c r="J9212" s="7" t="n">
        <f aca="false">Sens!$E$9212+(glt_fro-Sens!$E$9212)*MIN(1,(Sens!J9157-base_fy)/n_conv)</f>
        <v>0.0690721649484536</v>
      </c>
      <c r="K9212" s="7" t="n">
        <f aca="false">Sens!$E$9212+(glt_fro-Sens!$E$9212)*MIN(1,(Sens!K9157-base_fy)/n_conv)</f>
        <v>0.07</v>
      </c>
    </row>
    <row r="9213" customFormat="false" ht="15" hidden="false" customHeight="false" outlineLevel="0" collapsed="false">
      <c r="A9213" s="0" t="s">
        <v>856</v>
      </c>
      <c r="B9213" s="0" t="s">
        <v>98</v>
      </c>
      <c r="D9213" s="6" t="n">
        <f aca="false">Sens!D9201+Sens!D9206+Sens!D9207+Sens!D9209+Sens!D9211</f>
        <v>218.783</v>
      </c>
      <c r="E9213" s="6" t="n">
        <f aca="false">Sens!E9201+Sens!E9206+Sens!E9207+Sens!E9209+Sens!E9211</f>
        <v>268.127</v>
      </c>
      <c r="F9213" s="6" t="n">
        <f aca="false">Sens!F9201+Sens!F9206+Sens!F9207+Sens!F9209+Sens!F9211</f>
        <v>338.485460750339</v>
      </c>
      <c r="G9213" s="6" t="n">
        <f aca="false">Sens!G9201+Sens!G9206+Sens!G9207+Sens!G9209+Sens!G9211</f>
        <v>424.262406785908</v>
      </c>
      <c r="H9213" s="6" t="n">
        <f aca="false">Sens!H9201+Sens!H9206+Sens!H9207+Sens!H9209+Sens!H9211</f>
        <v>515.540483812193</v>
      </c>
      <c r="I9213" s="6" t="n">
        <f aca="false">Sens!I9201+Sens!I9206+Sens!I9207+Sens!I9209+Sens!I9211</f>
        <v>591.183916813511</v>
      </c>
      <c r="J9213" s="6" t="n">
        <f aca="false">Sens!J9201+Sens!J9206+Sens!J9207+Sens!J9209+Sens!J9211</f>
        <v>649.440035506608</v>
      </c>
      <c r="K9213" s="6" t="n">
        <f aca="false">Sens!K9201+Sens!K9206+Sens!K9207+Sens!K9209+Sens!K9211</f>
        <v>692.855909556589</v>
      </c>
    </row>
    <row r="9214" customFormat="false" ht="17.15" hidden="false" customHeight="false" outlineLevel="0" collapsed="false">
      <c r="A9214" s="0" t="s">
        <v>1041</v>
      </c>
      <c r="B9214" s="0" t="s">
        <v>98</v>
      </c>
      <c r="D9214" s="6" t="n">
        <f aca="false">Q!L13</f>
        <v>22.171</v>
      </c>
      <c r="E9214" s="6" t="n">
        <f aca="false">Q!M13</f>
        <v>24.835</v>
      </c>
      <c r="F9214" s="6" t="n">
        <f aca="false">Q!$I$13+(Q!M13-Q!$E$13)*(1+Sens!F9215)</f>
        <v>27.5591895660247</v>
      </c>
      <c r="G9214" s="6" t="n">
        <f aca="false">Sens!F9214*(1+Sens!G9215)</f>
        <v>30.4098563144583</v>
      </c>
      <c r="H9214" s="6" t="n">
        <f aca="false">Sens!G9214*(1+Sens!H9215)</f>
        <v>33.3011792571777</v>
      </c>
      <c r="I9214" s="6" t="n">
        <f aca="false">Sens!H9214*(1+Sens!I9215)</f>
        <v>36.189023797112</v>
      </c>
      <c r="J9214" s="6" t="n">
        <f aca="false">Sens!I9214*(1+Sens!J9215)</f>
        <v>39.0247773769199</v>
      </c>
      <c r="K9214" s="6" t="n">
        <f aca="false">Sens!J9214*(1+Sens!K9215)</f>
        <v>41.7565117933043</v>
      </c>
      <c r="L9214" s="12" t="s">
        <v>1038</v>
      </c>
    </row>
    <row r="9215" customFormat="false" ht="15" hidden="false" customHeight="false" outlineLevel="0" collapsed="false">
      <c r="A9215" s="1" t="s">
        <v>1028</v>
      </c>
      <c r="B9215" s="0" t="s">
        <v>168</v>
      </c>
      <c r="E9215" s="7" t="n">
        <f aca="false">Sens!E9214/Sens!D9214-1</f>
        <v>0.120156961796942</v>
      </c>
      <c r="F9215" s="7" t="n">
        <f aca="false">Sens!$E$9215+(glt_srch-Sens!$E$9215)*MIN(1,(Sens!F9157-base_fy)/n_conv)</f>
        <v>0.111797468164118</v>
      </c>
      <c r="G9215" s="7" t="n">
        <f aca="false">Sens!$E$9215+(glt_srch-Sens!$E$9215)*MIN(1,(Sens!G9157-base_fy)/n_conv)</f>
        <v>0.103437974531295</v>
      </c>
      <c r="H9215" s="7" t="n">
        <f aca="false">Sens!$E$9215+(glt_srch-Sens!$E$9215)*MIN(1,(Sens!H9157-base_fy)/n_conv)</f>
        <v>0.095078480898471</v>
      </c>
      <c r="I9215" s="7" t="n">
        <f aca="false">Sens!$E$9215+(glt_srch-Sens!$E$9215)*MIN(1,(Sens!I9157-base_fy)/n_conv)</f>
        <v>0.0867189872656474</v>
      </c>
      <c r="J9215" s="7" t="n">
        <f aca="false">Sens!$E$9215+(glt_srch-Sens!$E$9215)*MIN(1,(Sens!J9157-base_fy)/n_conv)</f>
        <v>0.0783594936328237</v>
      </c>
      <c r="K9215" s="7" t="n">
        <f aca="false">Sens!$E$9215+(glt_srch-Sens!$E$9215)*MIN(1,(Sens!K9157-base_fy)/n_conv)</f>
        <v>0.07</v>
      </c>
    </row>
    <row r="9216" customFormat="false" ht="17.15" hidden="false" customHeight="false" outlineLevel="0" collapsed="false">
      <c r="A9216" s="0" t="s">
        <v>1042</v>
      </c>
      <c r="B9216" s="0" t="s">
        <v>98</v>
      </c>
      <c r="D9216" s="6" t="n">
        <f aca="false">Q!L14</f>
        <v>23.455</v>
      </c>
      <c r="E9216" s="6" t="n">
        <f aca="false">Q!M14</f>
        <v>21.79</v>
      </c>
      <c r="F9216" s="6" t="n">
        <f aca="false">Q!$I$14+(Q!M14-Q!$E$14)*(1+Sens!F9217)</f>
        <v>20.7520981041711</v>
      </c>
      <c r="G9216" s="6" t="n">
        <f aca="false">Sens!F9216*(1+Sens!G9217)</f>
        <v>19.9083593495882</v>
      </c>
      <c r="H9216" s="6" t="n">
        <f aca="false">Sens!G9216*(1+Sens!H9217)</f>
        <v>19.4008256265831</v>
      </c>
      <c r="I9216" s="6" t="n">
        <f aca="false">Sens!H9216*(1+Sens!I9217)</f>
        <v>19.200434522122</v>
      </c>
      <c r="J9216" s="6" t="n">
        <f aca="false">Sens!I9216*(1+Sens!J9217)</f>
        <v>19.2932782348507</v>
      </c>
      <c r="K9216" s="6" t="n">
        <f aca="false">Sens!J9216*(1+Sens!K9217)</f>
        <v>19.6791437995477</v>
      </c>
      <c r="L9216" s="12" t="s">
        <v>1038</v>
      </c>
    </row>
    <row r="9217" customFormat="false" ht="15" hidden="false" customHeight="false" outlineLevel="0" collapsed="false">
      <c r="A9217" s="1" t="s">
        <v>1028</v>
      </c>
      <c r="B9217" s="0" t="s">
        <v>168</v>
      </c>
      <c r="E9217" s="7" t="n">
        <f aca="false">Sens!E9216/Sens!D9216-1</f>
        <v>-0.0709869963760392</v>
      </c>
      <c r="F9217" s="7" t="n">
        <f aca="false">Sens!$E$9217+(glt_xbox-Sens!$E$9217)*MIN(1,(Sens!F9157-base_fy)/n_conv)</f>
        <v>-0.0558224969800327</v>
      </c>
      <c r="G9217" s="7" t="n">
        <f aca="false">Sens!$E$9217+(glt_xbox-Sens!$E$9217)*MIN(1,(Sens!G9157-base_fy)/n_conv)</f>
        <v>-0.0406579975840262</v>
      </c>
      <c r="H9217" s="7" t="n">
        <f aca="false">Sens!$E$9217+(glt_xbox-Sens!$E$9217)*MIN(1,(Sens!H9157-base_fy)/n_conv)</f>
        <v>-0.0254934981880196</v>
      </c>
      <c r="I9217" s="7" t="n">
        <f aca="false">Sens!$E$9217+(glt_xbox-Sens!$E$9217)*MIN(1,(Sens!I9157-base_fy)/n_conv)</f>
        <v>-0.0103289987920131</v>
      </c>
      <c r="J9217" s="7" t="n">
        <f aca="false">Sens!$E$9217+(glt_xbox-Sens!$E$9217)*MIN(1,(Sens!J9157-base_fy)/n_conv)</f>
        <v>0.00483550060399347</v>
      </c>
      <c r="K9217" s="7" t="n">
        <f aca="false">Sens!$E$9217+(glt_xbox-Sens!$E$9217)*MIN(1,(Sens!K9157-base_fy)/n_conv)</f>
        <v>0.02</v>
      </c>
    </row>
    <row r="9218" customFormat="false" ht="17.15" hidden="false" customHeight="false" outlineLevel="0" collapsed="false">
      <c r="A9218" s="0" t="s">
        <v>1043</v>
      </c>
      <c r="B9218" s="0" t="s">
        <v>98</v>
      </c>
      <c r="D9218" s="6" t="n">
        <f aca="false">Q!L15</f>
        <v>17.315</v>
      </c>
      <c r="E9218" s="6" t="n">
        <f aca="false">Q!M15</f>
        <v>17.087</v>
      </c>
      <c r="F9218" s="6" t="n">
        <f aca="false">Q!$I$15+(Q!M15-Q!$E$15)*(1+Sens!F9219)</f>
        <v>15.9912273250553</v>
      </c>
      <c r="G9218" s="6" t="n">
        <f aca="false">Sens!F9218*(1+Sens!G9219)</f>
        <v>15.9574562664827</v>
      </c>
      <c r="H9218" s="6" t="n">
        <f aca="false">Sens!G9218*(1+Sens!H9219)</f>
        <v>16.0119687434196</v>
      </c>
      <c r="I9218" s="6" t="n">
        <f aca="false">Sens!H9218*(1+Sens!I9219)</f>
        <v>16.1551810001948</v>
      </c>
      <c r="J9218" s="6" t="n">
        <f aca="false">Sens!I9218*(1+Sens!J9219)</f>
        <v>16.3889793892005</v>
      </c>
      <c r="K9218" s="6" t="n">
        <f aca="false">Sens!J9218*(1+Sens!K9219)</f>
        <v>16.7167589769845</v>
      </c>
      <c r="L9218" s="12" t="s">
        <v>1038</v>
      </c>
    </row>
    <row r="9219" customFormat="false" ht="15" hidden="false" customHeight="false" outlineLevel="0" collapsed="false">
      <c r="A9219" s="1" t="s">
        <v>1028</v>
      </c>
      <c r="B9219" s="0" t="s">
        <v>168</v>
      </c>
      <c r="E9219" s="7" t="n">
        <f aca="false">Sens!E9218/Sens!D9218-1</f>
        <v>-0.0131677736066995</v>
      </c>
      <c r="F9219" s="7" t="n">
        <f aca="false">Sens!$E$9219+(glt_win-Sens!$E$9219)*MIN(1,(Sens!F9157-base_fy)/n_conv)</f>
        <v>-0.00763981133891627</v>
      </c>
      <c r="G9219" s="7" t="n">
        <f aca="false">Sens!$E$9219+(glt_win-Sens!$E$9219)*MIN(1,(Sens!G9157-base_fy)/n_conv)</f>
        <v>-0.00211184907113301</v>
      </c>
      <c r="H9219" s="7" t="n">
        <f aca="false">Sens!$E$9219+(glt_win-Sens!$E$9219)*MIN(1,(Sens!H9157-base_fy)/n_conv)</f>
        <v>0.00341611319665024</v>
      </c>
      <c r="I9219" s="7" t="n">
        <f aca="false">Sens!$E$9219+(glt_win-Sens!$E$9219)*MIN(1,(Sens!I9157-base_fy)/n_conv)</f>
        <v>0.00894407546443349</v>
      </c>
      <c r="J9219" s="7" t="n">
        <f aca="false">Sens!$E$9219+(glt_win-Sens!$E$9219)*MIN(1,(Sens!J9157-base_fy)/n_conv)</f>
        <v>0.0144720377322168</v>
      </c>
      <c r="K9219" s="7" t="n">
        <f aca="false">Sens!$E$9219+(glt_win-Sens!$E$9219)*MIN(1,(Sens!K9157-base_fy)/n_conv)</f>
        <v>0.02</v>
      </c>
    </row>
    <row r="9220" customFormat="false" ht="15" hidden="false" customHeight="false" outlineLevel="0" collapsed="false">
      <c r="A9220" s="0" t="s">
        <v>870</v>
      </c>
      <c r="B9220" s="0" t="s">
        <v>98</v>
      </c>
      <c r="D9220" s="6" t="n">
        <f aca="false">Sens!D9214+Sens!D9216+Sens!D9218</f>
        <v>62.941</v>
      </c>
      <c r="E9220" s="6" t="n">
        <f aca="false">Sens!E9214+Sens!E9216+Sens!E9218</f>
        <v>63.712</v>
      </c>
      <c r="F9220" s="6" t="n">
        <f aca="false">Sens!F9214+Sens!F9216+Sens!F9218</f>
        <v>64.3025149952511</v>
      </c>
      <c r="G9220" s="6" t="n">
        <f aca="false">Sens!G9214+Sens!G9216+Sens!G9218</f>
        <v>66.2756719305292</v>
      </c>
      <c r="H9220" s="6" t="n">
        <f aca="false">Sens!H9214+Sens!H9216+Sens!H9218</f>
        <v>68.7139736271804</v>
      </c>
      <c r="I9220" s="6" t="n">
        <f aca="false">Sens!I9214+Sens!I9216+Sens!I9218</f>
        <v>71.5446393194289</v>
      </c>
      <c r="J9220" s="6" t="n">
        <f aca="false">Sens!J9214+Sens!J9216+Sens!J9218</f>
        <v>74.707035000971</v>
      </c>
      <c r="K9220" s="6" t="n">
        <f aca="false">Sens!K9214+Sens!K9216+Sens!K9218</f>
        <v>78.1524145698365</v>
      </c>
    </row>
    <row r="9221" customFormat="false" ht="15" hidden="false" customHeight="false" outlineLevel="0" collapsed="false">
      <c r="A9221" s="1" t="s">
        <v>1044</v>
      </c>
      <c r="B9221" s="0" t="s">
        <v>98</v>
      </c>
      <c r="D9221" s="6" t="n">
        <f aca="false">Sens!D9213+Sens!D9220</f>
        <v>281.724</v>
      </c>
      <c r="E9221" s="6" t="n">
        <f aca="false">Sens!E9213+Sens!E9220</f>
        <v>331.839</v>
      </c>
      <c r="F9221" s="6" t="n">
        <f aca="false">Sens!F9213+Sens!F9220</f>
        <v>402.78797574559</v>
      </c>
      <c r="G9221" s="6" t="n">
        <f aca="false">Sens!G9213+Sens!G9220</f>
        <v>490.538078716437</v>
      </c>
      <c r="H9221" s="6" t="n">
        <f aca="false">Sens!H9213+Sens!H9220</f>
        <v>584.254457439373</v>
      </c>
      <c r="I9221" s="6" t="n">
        <f aca="false">Sens!I9213+Sens!I9220</f>
        <v>662.72855613294</v>
      </c>
      <c r="J9221" s="6" t="n">
        <f aca="false">Sens!J9213+Sens!J9220</f>
        <v>724.147070507579</v>
      </c>
      <c r="K9221" s="6" t="n">
        <f aca="false">Sens!K9213+Sens!K9220</f>
        <v>771.008324126426</v>
      </c>
    </row>
    <row r="9222" customFormat="false" ht="15" hidden="false" customHeight="false" outlineLevel="0" collapsed="false">
      <c r="A9222" s="26" t="s">
        <v>1045</v>
      </c>
      <c r="B9222" s="31" t="s">
        <v>98</v>
      </c>
      <c r="C9222" s="31"/>
      <c r="D9222" s="27" t="n">
        <f aca="false">(Sens!D9201+Sens!D9206+Sens!D9207+Sens!D9209+Sens!D9211-Sens!D9213)+(Sens!D9214+Sens!D9216+Sens!D9218-Sens!D9220)+(Sens!D9213-Q!L5)+(Sens!D9220-Q!L12)+(Sens!D9201-Q!L6)+(Sens!D9206-Q!L7)</f>
        <v>0</v>
      </c>
      <c r="E9222" s="27" t="n">
        <f aca="false">(Sens!E9201+Sens!E9206+Sens!E9207+Sens!E9209+Sens!E9211-Sens!E9213)+(Sens!E9214+Sens!E9216+Sens!E9218-Sens!E9220)+(Sens!E9213-Q!M5)+(Sens!E9220-Q!M12)+(Sens!E9201-Q!M6)+(Sens!E9206-Q!M7)</f>
        <v>0</v>
      </c>
      <c r="F9222" s="27" t="n">
        <f aca="false">(Sens!F9201+Sens!F9206+Sens!F9207+Sens!F9209+Sens!F9211-Sens!F9213)+(Sens!F9214+Sens!F9216+Sens!F9218-Sens!F9220)</f>
        <v>0</v>
      </c>
      <c r="G9222" s="27" t="n">
        <f aca="false">(Sens!G9201+Sens!G9206+Sens!G9207+Sens!G9209+Sens!G9211-Sens!G9213)+(Sens!G9214+Sens!G9216+Sens!G9218-Sens!G9220)</f>
        <v>0</v>
      </c>
      <c r="H9222" s="27" t="n">
        <f aca="false">(Sens!H9201+Sens!H9206+Sens!H9207+Sens!H9209+Sens!H9211-Sens!H9213)+(Sens!H9214+Sens!H9216+Sens!H9218-Sens!H9220)</f>
        <v>0</v>
      </c>
      <c r="I9222" s="27" t="n">
        <f aca="false">(Sens!I9201+Sens!I9206+Sens!I9207+Sens!I9209+Sens!I9211-Sens!I9213)+(Sens!I9214+Sens!I9216+Sens!I9218-Sens!I9220)</f>
        <v>0</v>
      </c>
      <c r="J9222" s="27" t="n">
        <f aca="false">(Sens!J9201+Sens!J9206+Sens!J9207+Sens!J9209+Sens!J9211-Sens!J9213)+(Sens!J9214+Sens!J9216+Sens!J9218-Sens!J9220)</f>
        <v>0</v>
      </c>
      <c r="K9222" s="27" t="n">
        <f aca="false">(Sens!K9201+Sens!K9206+Sens!K9207+Sens!K9209+Sens!K9211-Sens!K9213)+(Sens!K9214+Sens!K9216+Sens!K9218-Sens!K9220)</f>
        <v>0</v>
      </c>
    </row>
    <row r="9223" customFormat="false" ht="17.15" hidden="false" customHeight="false" outlineLevel="0" collapsed="false">
      <c r="A9223" s="3" t="s">
        <v>1842</v>
      </c>
    </row>
    <row r="9224" customFormat="false" ht="15" hidden="false" customHeight="false" outlineLevel="0" collapsed="false">
      <c r="A9224" s="4" t="s">
        <v>43</v>
      </c>
      <c r="B9224" s="4" t="s">
        <v>65</v>
      </c>
      <c r="C9224" s="23" t="s">
        <v>942</v>
      </c>
      <c r="D9224" s="23" t="s">
        <v>943</v>
      </c>
      <c r="E9224" s="23" t="s">
        <v>944</v>
      </c>
      <c r="F9224" s="23" t="s">
        <v>945</v>
      </c>
      <c r="G9224" s="23" t="s">
        <v>946</v>
      </c>
      <c r="H9224" s="23" t="s">
        <v>947</v>
      </c>
      <c r="I9224" s="23" t="s">
        <v>948</v>
      </c>
      <c r="J9224" s="23" t="s">
        <v>949</v>
      </c>
      <c r="K9224" s="23" t="s">
        <v>950</v>
      </c>
      <c r="L9224" s="4" t="s">
        <v>47</v>
      </c>
    </row>
    <row r="9225" customFormat="false" ht="15" hidden="false" customHeight="false" outlineLevel="0" collapsed="false">
      <c r="A9225" s="0" t="s">
        <v>1029</v>
      </c>
      <c r="B9225" s="0" t="s">
        <v>98</v>
      </c>
      <c r="D9225" s="6" t="n">
        <f aca="false">Sens!D9201</f>
        <v>72.61</v>
      </c>
      <c r="E9225" s="6" t="n">
        <f aca="false">Sens!E9201</f>
        <v>101.938</v>
      </c>
      <c r="F9225" s="6" t="n">
        <f aca="false">Sens!F9201</f>
        <v>149.300763228212</v>
      </c>
      <c r="G9225" s="6" t="n">
        <f aca="false">Sens!G9201</f>
        <v>209.717435595724</v>
      </c>
      <c r="H9225" s="6" t="n">
        <f aca="false">Sens!H9201</f>
        <v>275.609379139796</v>
      </c>
      <c r="I9225" s="6" t="n">
        <f aca="false">Sens!I9201</f>
        <v>328.385590088388</v>
      </c>
      <c r="J9225" s="6" t="n">
        <f aca="false">Sens!J9201</f>
        <v>366.611538086225</v>
      </c>
      <c r="K9225" s="6" t="n">
        <f aca="false">Sens!K9201</f>
        <v>390.915354182102</v>
      </c>
    </row>
    <row r="9226" customFormat="false" ht="17.15" hidden="false" customHeight="false" outlineLevel="0" collapsed="false">
      <c r="A9226" s="0" t="s">
        <v>1025</v>
      </c>
      <c r="B9226" s="0" t="s">
        <v>98</v>
      </c>
      <c r="D9226" s="6" t="n">
        <f aca="false">Sens!D9198</f>
        <v>12.9359794422418</v>
      </c>
      <c r="E9226" s="6" t="n">
        <f aca="false">Sens!E9198</f>
        <v>27.8095064661409</v>
      </c>
      <c r="F9226" s="6" t="n">
        <f aca="false">Sens!F9198</f>
        <v>59.1034165651511</v>
      </c>
      <c r="G9226" s="6" t="n">
        <f aca="false">Sens!G9198</f>
        <v>103.451498789198</v>
      </c>
      <c r="H9226" s="6" t="n">
        <f aca="false">Sens!H9198</f>
        <v>153.816719989035</v>
      </c>
      <c r="I9226" s="6" t="n">
        <f aca="false">Sens!I9198</f>
        <v>192.699478690852</v>
      </c>
      <c r="J9226" s="6" t="n">
        <f aca="false">Sens!J9198</f>
        <v>219.794102584244</v>
      </c>
      <c r="K9226" s="6" t="n">
        <f aca="false">Sens!K9198</f>
        <v>236.757046905022</v>
      </c>
    </row>
    <row r="9227" customFormat="false" ht="17.15" hidden="false" customHeight="false" outlineLevel="0" collapsed="false">
      <c r="A9227" s="0" t="s">
        <v>1056</v>
      </c>
      <c r="B9227" s="0" t="s">
        <v>98</v>
      </c>
      <c r="D9227" s="6" t="n">
        <f aca="false">Sens!D9199</f>
        <v>59.6740205577583</v>
      </c>
      <c r="E9227" s="6" t="n">
        <f aca="false">Sens!E9199</f>
        <v>74.1284935338591</v>
      </c>
      <c r="F9227" s="6" t="n">
        <f aca="false">Sens!F9199</f>
        <v>90.1973466630612</v>
      </c>
      <c r="G9227" s="6" t="n">
        <f aca="false">Sens!G9199</f>
        <v>106.265936806525</v>
      </c>
      <c r="H9227" s="6" t="n">
        <f aca="false">Sens!H9199</f>
        <v>121.792659150761</v>
      </c>
      <c r="I9227" s="6" t="n">
        <f aca="false">Sens!I9199</f>
        <v>135.686111397536</v>
      </c>
      <c r="J9227" s="6" t="n">
        <f aca="false">Sens!J9199</f>
        <v>146.817435501981</v>
      </c>
      <c r="K9227" s="6" t="n">
        <f aca="false">Sens!K9199</f>
        <v>154.158307277081</v>
      </c>
    </row>
    <row r="9228" customFormat="false" ht="15" hidden="false" customHeight="false" outlineLevel="0" collapsed="false">
      <c r="A9228" s="0" t="s">
        <v>1036</v>
      </c>
      <c r="B9228" s="0" t="s">
        <v>98</v>
      </c>
      <c r="D9228" s="6" t="n">
        <f aca="false">Sens!D9206</f>
        <v>84.605</v>
      </c>
      <c r="E9228" s="6" t="n">
        <f aca="false">Sens!E9206</f>
        <v>100.299</v>
      </c>
      <c r="F9228" s="6" t="n">
        <f aca="false">Sens!F9206</f>
        <v>119.729653205718</v>
      </c>
      <c r="G9228" s="6" t="n">
        <f aca="false">Sens!G9206</f>
        <v>140.806092647576</v>
      </c>
      <c r="H9228" s="6" t="n">
        <f aca="false">Sens!H9206</f>
        <v>161.963437602768</v>
      </c>
      <c r="I9228" s="6" t="n">
        <f aca="false">Sens!I9206</f>
        <v>180.695354741933</v>
      </c>
      <c r="J9228" s="6" t="n">
        <f aca="false">Sens!J9206</f>
        <v>196.722117481571</v>
      </c>
      <c r="K9228" s="6" t="n">
        <f aca="false">Sens!K9206</f>
        <v>212.00016570528</v>
      </c>
    </row>
    <row r="9229" customFormat="false" ht="17.15" hidden="false" customHeight="false" outlineLevel="0" collapsed="false">
      <c r="A9229" s="0" t="s">
        <v>1057</v>
      </c>
      <c r="B9229" s="0" t="s">
        <v>98</v>
      </c>
      <c r="D9229" s="6" t="n">
        <f aca="false">Sens!D9204</f>
        <v>83.705</v>
      </c>
      <c r="E9229" s="6" t="n">
        <f aca="false">Sens!E9204</f>
        <v>95.049</v>
      </c>
      <c r="F9229" s="6" t="n">
        <f aca="false">Sens!F9204</f>
        <v>106.229653205718</v>
      </c>
      <c r="G9229" s="6" t="n">
        <f aca="false">Sens!G9204</f>
        <v>118.306092647576</v>
      </c>
      <c r="H9229" s="6" t="n">
        <f aca="false">Sens!H9204</f>
        <v>130.463437602768</v>
      </c>
      <c r="I9229" s="6" t="n">
        <f aca="false">Sens!I9204</f>
        <v>142.445354741933</v>
      </c>
      <c r="J9229" s="6" t="n">
        <f aca="false">Sens!J9204</f>
        <v>153.972117481571</v>
      </c>
      <c r="K9229" s="6" t="n">
        <f aca="false">Sens!K9204</f>
        <v>164.75016570528</v>
      </c>
    </row>
    <row r="9230" customFormat="false" ht="17.15" hidden="false" customHeight="false" outlineLevel="0" collapsed="false">
      <c r="A9230" s="0" t="s">
        <v>1058</v>
      </c>
      <c r="B9230" s="0" t="s">
        <v>98</v>
      </c>
      <c r="D9230" s="6" t="n">
        <f aca="false">Sens!D9203</f>
        <v>0.9</v>
      </c>
      <c r="E9230" s="6" t="n">
        <f aca="false">Sens!E9203</f>
        <v>5.25</v>
      </c>
      <c r="F9230" s="6" t="n">
        <f aca="false">Sens!F9203</f>
        <v>13.5</v>
      </c>
      <c r="G9230" s="6" t="n">
        <f aca="false">Sens!G9203</f>
        <v>22.5</v>
      </c>
      <c r="H9230" s="6" t="n">
        <f aca="false">Sens!H9203</f>
        <v>31.5</v>
      </c>
      <c r="I9230" s="6" t="n">
        <f aca="false">Sens!I9203</f>
        <v>38.25</v>
      </c>
      <c r="J9230" s="6" t="n">
        <f aca="false">Sens!J9203</f>
        <v>42.75</v>
      </c>
      <c r="K9230" s="6" t="n">
        <f aca="false">Sens!K9203</f>
        <v>47.25</v>
      </c>
    </row>
    <row r="9231" customFormat="false" ht="15" hidden="false" customHeight="false" outlineLevel="0" collapsed="false">
      <c r="A9231" s="0" t="s">
        <v>1037</v>
      </c>
      <c r="B9231" s="0" t="s">
        <v>98</v>
      </c>
      <c r="D9231" s="6" t="n">
        <f aca="false">Sens!D9207</f>
        <v>35.391</v>
      </c>
      <c r="E9231" s="6" t="n">
        <f aca="false">Sens!E9207</f>
        <v>37.285</v>
      </c>
      <c r="F9231" s="6" t="n">
        <f aca="false">Sens!F9207</f>
        <v>38.3851437782675</v>
      </c>
      <c r="G9231" s="6" t="n">
        <f aca="false">Sens!G9207</f>
        <v>40.0105353288615</v>
      </c>
      <c r="H9231" s="6" t="n">
        <f aca="false">Sens!H9207</f>
        <v>41.4812512033683</v>
      </c>
      <c r="I9231" s="6" t="n">
        <f aca="false">Sens!I9207</f>
        <v>42.7743107216329</v>
      </c>
      <c r="J9231" s="6" t="n">
        <f aca="false">Sens!J9207</f>
        <v>43.8687373064601</v>
      </c>
      <c r="K9231" s="6" t="n">
        <f aca="false">Sens!K9207</f>
        <v>44.7461120525893</v>
      </c>
    </row>
    <row r="9232" customFormat="false" ht="15" hidden="false" customHeight="false" outlineLevel="0" collapsed="false">
      <c r="A9232" s="0" t="s">
        <v>1039</v>
      </c>
      <c r="B9232" s="0" t="s">
        <v>98</v>
      </c>
      <c r="D9232" s="6" t="n">
        <f aca="false">Sens!D9209</f>
        <v>18.417</v>
      </c>
      <c r="E9232" s="6" t="n">
        <f aca="false">Sens!E9209</f>
        <v>20.345</v>
      </c>
      <c r="F9232" s="6" t="n">
        <f aca="false">Sens!F9209</f>
        <v>22.3161797133988</v>
      </c>
      <c r="G9232" s="6" t="n">
        <f aca="false">Sens!G9209</f>
        <v>24.3943499673233</v>
      </c>
      <c r="H9232" s="6" t="n">
        <f aca="false">Sens!H9209</f>
        <v>26.5250243109019</v>
      </c>
      <c r="I9232" s="6" t="n">
        <f aca="false">Sens!I9209</f>
        <v>28.6884573538181</v>
      </c>
      <c r="J9232" s="6" t="n">
        <f aca="false">Sens!J9209</f>
        <v>30.8624968052127</v>
      </c>
      <c r="K9232" s="6" t="n">
        <f aca="false">Sens!K9209</f>
        <v>33.0228715815776</v>
      </c>
    </row>
    <row r="9233" customFormat="false" ht="15" hidden="false" customHeight="false" outlineLevel="0" collapsed="false">
      <c r="A9233" s="0" t="s">
        <v>1040</v>
      </c>
      <c r="B9233" s="0" t="s">
        <v>98</v>
      </c>
      <c r="D9233" s="6" t="n">
        <f aca="false">Sens!D9211</f>
        <v>7.76</v>
      </c>
      <c r="E9233" s="6" t="n">
        <f aca="false">Sens!E9211</f>
        <v>8.26</v>
      </c>
      <c r="F9233" s="6" t="n">
        <f aca="false">Sens!F9211</f>
        <v>8.75372082474227</v>
      </c>
      <c r="G9233" s="6" t="n">
        <f aca="false">Sens!G9211</f>
        <v>9.33399324642364</v>
      </c>
      <c r="H9233" s="6" t="n">
        <f aca="false">Sens!H9211</f>
        <v>9.96139155535851</v>
      </c>
      <c r="I9233" s="6" t="n">
        <f aca="false">Sens!I9211</f>
        <v>10.6402039077391</v>
      </c>
      <c r="J9233" s="6" t="n">
        <f aca="false">Sens!J9211</f>
        <v>11.3751458271397</v>
      </c>
      <c r="K9233" s="6" t="n">
        <f aca="false">Sens!K9211</f>
        <v>12.1714060350394</v>
      </c>
    </row>
    <row r="9234" customFormat="false" ht="15" hidden="false" customHeight="false" outlineLevel="0" collapsed="false">
      <c r="A9234" s="0" t="s">
        <v>856</v>
      </c>
      <c r="B9234" s="0" t="s">
        <v>98</v>
      </c>
      <c r="D9234" s="6" t="n">
        <f aca="false">Sens!D9213</f>
        <v>218.783</v>
      </c>
      <c r="E9234" s="6" t="n">
        <f aca="false">Sens!E9213</f>
        <v>268.127</v>
      </c>
      <c r="F9234" s="6" t="n">
        <f aca="false">Sens!F9213</f>
        <v>338.485460750339</v>
      </c>
      <c r="G9234" s="6" t="n">
        <f aca="false">Sens!G9213</f>
        <v>424.262406785908</v>
      </c>
      <c r="H9234" s="6" t="n">
        <f aca="false">Sens!H9213</f>
        <v>515.540483812193</v>
      </c>
      <c r="I9234" s="6" t="n">
        <f aca="false">Sens!I9213</f>
        <v>591.183916813511</v>
      </c>
      <c r="J9234" s="6" t="n">
        <f aca="false">Sens!J9213</f>
        <v>649.440035506608</v>
      </c>
      <c r="K9234" s="6" t="n">
        <f aca="false">Sens!K9213</f>
        <v>692.855909556589</v>
      </c>
    </row>
    <row r="9235" customFormat="false" ht="15" hidden="false" customHeight="false" outlineLevel="0" collapsed="false">
      <c r="A9235" s="0" t="s">
        <v>1041</v>
      </c>
      <c r="B9235" s="0" t="s">
        <v>98</v>
      </c>
      <c r="D9235" s="6" t="n">
        <f aca="false">Sens!D9214</f>
        <v>22.171</v>
      </c>
      <c r="E9235" s="6" t="n">
        <f aca="false">Sens!E9214</f>
        <v>24.835</v>
      </c>
      <c r="F9235" s="6" t="n">
        <f aca="false">Sens!F9214</f>
        <v>27.5591895660247</v>
      </c>
      <c r="G9235" s="6" t="n">
        <f aca="false">Sens!G9214</f>
        <v>30.4098563144583</v>
      </c>
      <c r="H9235" s="6" t="n">
        <f aca="false">Sens!H9214</f>
        <v>33.3011792571777</v>
      </c>
      <c r="I9235" s="6" t="n">
        <f aca="false">Sens!I9214</f>
        <v>36.189023797112</v>
      </c>
      <c r="J9235" s="6" t="n">
        <f aca="false">Sens!J9214</f>
        <v>39.0247773769199</v>
      </c>
      <c r="K9235" s="6" t="n">
        <f aca="false">Sens!K9214</f>
        <v>41.7565117933043</v>
      </c>
    </row>
    <row r="9236" customFormat="false" ht="15" hidden="false" customHeight="false" outlineLevel="0" collapsed="false">
      <c r="A9236" s="0" t="s">
        <v>1042</v>
      </c>
      <c r="B9236" s="0" t="s">
        <v>98</v>
      </c>
      <c r="D9236" s="6" t="n">
        <f aca="false">Sens!D9216</f>
        <v>23.455</v>
      </c>
      <c r="E9236" s="6" t="n">
        <f aca="false">Sens!E9216</f>
        <v>21.79</v>
      </c>
      <c r="F9236" s="6" t="n">
        <f aca="false">Sens!F9216</f>
        <v>20.7520981041711</v>
      </c>
      <c r="G9236" s="6" t="n">
        <f aca="false">Sens!G9216</f>
        <v>19.9083593495882</v>
      </c>
      <c r="H9236" s="6" t="n">
        <f aca="false">Sens!H9216</f>
        <v>19.4008256265831</v>
      </c>
      <c r="I9236" s="6" t="n">
        <f aca="false">Sens!I9216</f>
        <v>19.200434522122</v>
      </c>
      <c r="J9236" s="6" t="n">
        <f aca="false">Sens!J9216</f>
        <v>19.2932782348507</v>
      </c>
      <c r="K9236" s="6" t="n">
        <f aca="false">Sens!K9216</f>
        <v>19.6791437995477</v>
      </c>
    </row>
    <row r="9237" customFormat="false" ht="15" hidden="false" customHeight="false" outlineLevel="0" collapsed="false">
      <c r="A9237" s="0" t="s">
        <v>1043</v>
      </c>
      <c r="B9237" s="0" t="s">
        <v>98</v>
      </c>
      <c r="D9237" s="6" t="n">
        <f aca="false">Sens!D9218</f>
        <v>17.315</v>
      </c>
      <c r="E9237" s="6" t="n">
        <f aca="false">Sens!E9218</f>
        <v>17.087</v>
      </c>
      <c r="F9237" s="6" t="n">
        <f aca="false">Sens!F9218</f>
        <v>15.9912273250553</v>
      </c>
      <c r="G9237" s="6" t="n">
        <f aca="false">Sens!G9218</f>
        <v>15.9574562664827</v>
      </c>
      <c r="H9237" s="6" t="n">
        <f aca="false">Sens!H9218</f>
        <v>16.0119687434196</v>
      </c>
      <c r="I9237" s="6" t="n">
        <f aca="false">Sens!I9218</f>
        <v>16.1551810001948</v>
      </c>
      <c r="J9237" s="6" t="n">
        <f aca="false">Sens!J9218</f>
        <v>16.3889793892005</v>
      </c>
      <c r="K9237" s="6" t="n">
        <f aca="false">Sens!K9218</f>
        <v>16.7167589769845</v>
      </c>
    </row>
    <row r="9238" customFormat="false" ht="15" hidden="false" customHeight="false" outlineLevel="0" collapsed="false">
      <c r="A9238" s="0" t="s">
        <v>870</v>
      </c>
      <c r="B9238" s="0" t="s">
        <v>98</v>
      </c>
      <c r="D9238" s="6" t="n">
        <f aca="false">Sens!D9220</f>
        <v>62.941</v>
      </c>
      <c r="E9238" s="6" t="n">
        <f aca="false">Sens!E9220</f>
        <v>63.712</v>
      </c>
      <c r="F9238" s="6" t="n">
        <f aca="false">Sens!F9220</f>
        <v>64.3025149952511</v>
      </c>
      <c r="G9238" s="6" t="n">
        <f aca="false">Sens!G9220</f>
        <v>66.2756719305292</v>
      </c>
      <c r="H9238" s="6" t="n">
        <f aca="false">Sens!H9220</f>
        <v>68.7139736271804</v>
      </c>
      <c r="I9238" s="6" t="n">
        <f aca="false">Sens!I9220</f>
        <v>71.5446393194289</v>
      </c>
      <c r="J9238" s="6" t="n">
        <f aca="false">Sens!J9220</f>
        <v>74.707035000971</v>
      </c>
      <c r="K9238" s="6" t="n">
        <f aca="false">Sens!K9220</f>
        <v>78.1524145698365</v>
      </c>
    </row>
    <row r="9239" customFormat="false" ht="15" hidden="false" customHeight="false" outlineLevel="0" collapsed="false">
      <c r="A9239" s="1" t="s">
        <v>1059</v>
      </c>
      <c r="B9239" s="0" t="s">
        <v>98</v>
      </c>
      <c r="D9239" s="6" t="n">
        <f aca="false">Sens!D9221</f>
        <v>281.724</v>
      </c>
      <c r="E9239" s="6" t="n">
        <f aca="false">Sens!E9221</f>
        <v>331.839</v>
      </c>
      <c r="F9239" s="6" t="n">
        <f aca="false">Sens!F9221</f>
        <v>402.78797574559</v>
      </c>
      <c r="G9239" s="6" t="n">
        <f aca="false">Sens!G9221</f>
        <v>490.538078716437</v>
      </c>
      <c r="H9239" s="6" t="n">
        <f aca="false">Sens!H9221</f>
        <v>584.254457439373</v>
      </c>
      <c r="I9239" s="6" t="n">
        <f aca="false">Sens!I9221</f>
        <v>662.72855613294</v>
      </c>
      <c r="J9239" s="6" t="n">
        <f aca="false">Sens!J9221</f>
        <v>724.147070507579</v>
      </c>
      <c r="K9239" s="6" t="n">
        <f aca="false">Sens!K9221</f>
        <v>771.008324126426</v>
      </c>
    </row>
    <row r="9240" customFormat="false" ht="15" hidden="false" customHeight="false" outlineLevel="0" collapsed="false">
      <c r="A9240" s="1" t="s">
        <v>1060</v>
      </c>
      <c r="B9240" s="0" t="s">
        <v>168</v>
      </c>
      <c r="E9240" s="7" t="n">
        <f aca="false">Sens!E9239/Sens!D9239-1</f>
        <v>0.177886867998467</v>
      </c>
      <c r="F9240" s="7" t="n">
        <f aca="false">Sens!F9239/Sens!E9239-1</f>
        <v>0.213805416920826</v>
      </c>
      <c r="G9240" s="7" t="n">
        <f aca="false">Sens!G9239/Sens!F9239-1</f>
        <v>0.217856808680586</v>
      </c>
      <c r="H9240" s="7" t="n">
        <f aca="false">Sens!H9239/Sens!G9239-1</f>
        <v>0.191048122029911</v>
      </c>
      <c r="I9240" s="7" t="n">
        <f aca="false">Sens!I9239/Sens!H9239-1</f>
        <v>0.134314933663488</v>
      </c>
      <c r="J9240" s="7" t="n">
        <f aca="false">Sens!J9239/Sens!I9239-1</f>
        <v>0.0926752194488496</v>
      </c>
      <c r="K9240" s="7" t="n">
        <f aca="false">Sens!K9239/Sens!J9239-1</f>
        <v>0.0647123430134153</v>
      </c>
    </row>
    <row r="9241" customFormat="false" ht="17.15" hidden="false" customHeight="false" outlineLevel="0" collapsed="false">
      <c r="A9241" s="26" t="s">
        <v>1061</v>
      </c>
      <c r="B9241" s="31" t="s">
        <v>98</v>
      </c>
      <c r="C9241" s="31"/>
      <c r="D9241" s="27" t="n">
        <f aca="false">(Sens!D9234+Sens!D9238-Sens!D9239)+(Sens!D9226+Sens!D9227-Sens!D9225)+(Sens!D9229+Sens!D9230-Sens!D9228)+(Sens!D9239-Q!L18)</f>
        <v>0</v>
      </c>
      <c r="E9241" s="27" t="n">
        <f aca="false">(Sens!E9234+Sens!E9238-Sens!E9239)+(Sens!E9226+Sens!E9227-Sens!E9225)+(Sens!E9229+Sens!E9230-Sens!E9228)+(Sens!E9239-Q!M18)</f>
        <v>0</v>
      </c>
      <c r="F9241" s="27" t="n">
        <f aca="false">(Sens!F9234+Sens!F9238-Sens!F9239)+(Sens!F9226+Sens!F9227-Sens!F9225)+(Sens!F9229+Sens!F9230-Sens!F9228)</f>
        <v>0</v>
      </c>
      <c r="G9241" s="27" t="n">
        <f aca="false">(Sens!G9234+Sens!G9238-Sens!G9239)+(Sens!G9226+Sens!G9227-Sens!G9225)+(Sens!G9229+Sens!G9230-Sens!G9228)</f>
        <v>0</v>
      </c>
      <c r="H9241" s="27" t="n">
        <f aca="false">(Sens!H9234+Sens!H9238-Sens!H9239)+(Sens!H9226+Sens!H9227-Sens!H9225)+(Sens!H9229+Sens!H9230-Sens!H9228)</f>
        <v>0</v>
      </c>
      <c r="I9241" s="27" t="n">
        <f aca="false">(Sens!I9234+Sens!I9238-Sens!I9239)+(Sens!I9226+Sens!I9227-Sens!I9225)+(Sens!I9229+Sens!I9230-Sens!I9228)</f>
        <v>0</v>
      </c>
      <c r="J9241" s="27" t="n">
        <f aca="false">(Sens!J9234+Sens!J9238-Sens!J9239)+(Sens!J9226+Sens!J9227-Sens!J9225)+(Sens!J9229+Sens!J9230-Sens!J9228)</f>
        <v>0</v>
      </c>
      <c r="K9241" s="27" t="n">
        <f aca="false">(Sens!K9234+Sens!K9238-Sens!K9239)+(Sens!K9226+Sens!K9227-Sens!K9225)+(Sens!K9229+Sens!K9230-Sens!K9228)</f>
        <v>0</v>
      </c>
    </row>
    <row r="9242" customFormat="false" ht="17.15" hidden="false" customHeight="false" outlineLevel="0" collapsed="false">
      <c r="A9242" s="0" t="s">
        <v>1062</v>
      </c>
      <c r="B9242" s="0" t="s">
        <v>168</v>
      </c>
      <c r="E9242" s="7" t="n">
        <f aca="false">(Q!M21+Sens!E9178+Sens!E9179+Sens!E9180+Sens!E9194-Sens!E9176)/(Q!M5-Sens!E9176)</f>
        <v>0.570957350878296</v>
      </c>
      <c r="F9242" s="7" t="n">
        <f aca="false">Sens!$E$9242+dm_seg</f>
        <v>0.570957350878296</v>
      </c>
      <c r="G9242" s="7" t="n">
        <f aca="false">Sens!$E$9242+dm_seg</f>
        <v>0.570957350878296</v>
      </c>
      <c r="H9242" s="7" t="n">
        <f aca="false">Sens!$E$9242+dm_seg</f>
        <v>0.570957350878296</v>
      </c>
      <c r="I9242" s="7" t="n">
        <f aca="false">Sens!$E$9242+dm_seg</f>
        <v>0.570957350878296</v>
      </c>
      <c r="J9242" s="7" t="n">
        <f aca="false">Sens!$E$9242+dm_seg</f>
        <v>0.570957350878296</v>
      </c>
      <c r="K9242" s="7" t="n">
        <f aca="false">Sens!$E$9242+dm_seg</f>
        <v>0.570957350878296</v>
      </c>
      <c r="L9242" s="12" t="s">
        <v>1063</v>
      </c>
    </row>
    <row r="9243" customFormat="false" ht="17.15" hidden="false" customHeight="false" outlineLevel="0" collapsed="false">
      <c r="A9243" s="0" t="s">
        <v>884</v>
      </c>
      <c r="B9243" s="0" t="s">
        <v>98</v>
      </c>
      <c r="D9243" s="6" t="n">
        <f aca="false">Q!L21</f>
        <v>110.814</v>
      </c>
      <c r="E9243" s="6" t="n">
        <f aca="false">Q!M21</f>
        <v>136.365</v>
      </c>
      <c r="F9243" s="6" t="n">
        <f aca="false">Q!$I$21+(Sens!F9242*(Sens!F9213-Sens!F9176)+Sens!F9176-(Sens!F9178+Sens!F9179+Sens!F9180)-Sens!F9194-Sens!F9277)*(Sens!F9213-Q!$I$5)/Sens!F9213</f>
        <v>165.355482216048</v>
      </c>
      <c r="G9243" s="6" t="n">
        <f aca="false">(Sens!G9242*(Sens!G9213-Sens!G9176)+Sens!G9176-(Sens!G9178+Sens!G9179+Sens!G9180)-Sens!G9194-Sens!G9277)</f>
        <v>190.805673186487</v>
      </c>
      <c r="H9243" s="6" t="n">
        <f aca="false">(Sens!H9242*(Sens!H9213-Sens!H9176)+Sens!H9176-(Sens!H9178+Sens!H9179+Sens!H9180)-Sens!H9194-Sens!H9277)</f>
        <v>224.035898800998</v>
      </c>
      <c r="I9243" s="6" t="n">
        <f aca="false">(Sens!I9242*(Sens!I9213-Sens!I9176)+Sens!I9176-(Sens!I9178+Sens!I9179+Sens!I9180)-Sens!I9194-Sens!I9277)</f>
        <v>248.278118817218</v>
      </c>
      <c r="J9243" s="6" t="n">
        <f aca="false">(Sens!J9242*(Sens!J9213-Sens!J9176)+Sens!J9176-(Sens!J9178+Sens!J9179+Sens!J9180)-Sens!J9194-Sens!J9277)</f>
        <v>268.234185997675</v>
      </c>
      <c r="K9243" s="6" t="n">
        <f aca="false">(Sens!K9242*(Sens!K9213-Sens!K9176)+Sens!K9176-(Sens!K9178+Sens!K9179+Sens!K9180)-Sens!K9194-Sens!K9277)</f>
        <v>285.247609994494</v>
      </c>
      <c r="L9243" s="1" t="s">
        <v>1064</v>
      </c>
    </row>
    <row r="9244" customFormat="false" ht="17.15" hidden="false" customHeight="false" outlineLevel="0" collapsed="false">
      <c r="A9244" s="0" t="s">
        <v>1065</v>
      </c>
      <c r="B9244" s="0" t="s">
        <v>168</v>
      </c>
      <c r="E9244" s="7" t="n">
        <f aca="false">Q!M22/Q!M12</f>
        <v>0.296207935710698</v>
      </c>
      <c r="F9244" s="7" t="n">
        <f aca="false">Sens!$E$9244+dm_seg</f>
        <v>0.296207935710698</v>
      </c>
      <c r="G9244" s="7" t="n">
        <f aca="false">Sens!$E$9244+dm_seg</f>
        <v>0.296207935710698</v>
      </c>
      <c r="H9244" s="7" t="n">
        <f aca="false">Sens!$E$9244+dm_seg</f>
        <v>0.296207935710698</v>
      </c>
      <c r="I9244" s="7" t="n">
        <f aca="false">Sens!$E$9244+dm_seg</f>
        <v>0.296207935710698</v>
      </c>
      <c r="J9244" s="7" t="n">
        <f aca="false">Sens!$E$9244+dm_seg</f>
        <v>0.296207935710698</v>
      </c>
      <c r="K9244" s="7" t="n">
        <f aca="false">Sens!$E$9244+dm_seg</f>
        <v>0.296207935710698</v>
      </c>
      <c r="L9244" s="12" t="s">
        <v>1066</v>
      </c>
    </row>
    <row r="9245" customFormat="false" ht="17.15" hidden="false" customHeight="false" outlineLevel="0" collapsed="false">
      <c r="A9245" s="0" t="s">
        <v>886</v>
      </c>
      <c r="B9245" s="0" t="s">
        <v>98</v>
      </c>
      <c r="D9245" s="6" t="n">
        <f aca="false">Q!L22</f>
        <v>17.714</v>
      </c>
      <c r="E9245" s="6" t="n">
        <f aca="false">Q!M22</f>
        <v>18.872</v>
      </c>
      <c r="F9245" s="6" t="n">
        <f aca="false">Q!$I$22+(Sens!F9220-Q!$I$12)*Sens!F9244</f>
        <v>19.8174315512051</v>
      </c>
      <c r="G9245" s="6" t="n">
        <f aca="false">Sens!G9220*Sens!G9244</f>
        <v>19.6313799703815</v>
      </c>
      <c r="H9245" s="6" t="n">
        <f aca="false">Sens!H9220*Sens!H9244</f>
        <v>20.3536242825865</v>
      </c>
      <c r="I9245" s="6" t="n">
        <f aca="false">Sens!I9220*Sens!I9244</f>
        <v>21.1920899239745</v>
      </c>
      <c r="J9245" s="6" t="n">
        <f aca="false">Sens!J9220*Sens!J9244</f>
        <v>22.1288166207045</v>
      </c>
      <c r="K9245" s="6" t="n">
        <f aca="false">Sens!K9220*Sens!K9244</f>
        <v>23.1493653905379</v>
      </c>
      <c r="L9245" s="12" t="s">
        <v>1067</v>
      </c>
    </row>
    <row r="9246" customFormat="false" ht="15" hidden="false" customHeight="false" outlineLevel="0" collapsed="false">
      <c r="A9246" s="1" t="s">
        <v>1068</v>
      </c>
      <c r="B9246" s="0" t="s">
        <v>98</v>
      </c>
      <c r="D9246" s="6" t="n">
        <f aca="false">Sens!D9243+Sens!D9245</f>
        <v>128.528</v>
      </c>
      <c r="E9246" s="6" t="n">
        <f aca="false">Sens!E9243+Sens!E9245</f>
        <v>155.237</v>
      </c>
      <c r="F9246" s="6" t="n">
        <f aca="false">Sens!F9243+Sens!F9245</f>
        <v>185.172913767253</v>
      </c>
      <c r="G9246" s="6" t="n">
        <f aca="false">Sens!G9243+Sens!G9245</f>
        <v>210.437053156868</v>
      </c>
      <c r="H9246" s="6" t="n">
        <f aca="false">Sens!H9243+Sens!H9245</f>
        <v>244.389523083584</v>
      </c>
      <c r="I9246" s="6" t="n">
        <f aca="false">Sens!I9243+Sens!I9245</f>
        <v>269.470208741192</v>
      </c>
      <c r="J9246" s="6" t="n">
        <f aca="false">Sens!J9243+Sens!J9245</f>
        <v>290.36300261838</v>
      </c>
      <c r="K9246" s="6" t="n">
        <f aca="false">Sens!K9243+Sens!K9245</f>
        <v>308.396975385032</v>
      </c>
    </row>
    <row r="9247" customFormat="false" ht="15" hidden="false" customHeight="false" outlineLevel="0" collapsed="false">
      <c r="A9247" s="26" t="s">
        <v>1069</v>
      </c>
      <c r="B9247" s="31" t="s">
        <v>98</v>
      </c>
      <c r="C9247" s="31"/>
      <c r="D9247" s="27" t="n">
        <f aca="false">Sens!D9246-Q!L23</f>
        <v>0</v>
      </c>
      <c r="E9247" s="27" t="n">
        <f aca="false">Sens!E9246-Q!M23</f>
        <v>0</v>
      </c>
      <c r="F9247" s="31"/>
      <c r="G9247" s="31"/>
      <c r="H9247" s="31"/>
      <c r="I9247" s="31"/>
      <c r="J9247" s="31"/>
      <c r="K9247" s="31"/>
    </row>
    <row r="9248" customFormat="false" ht="15" hidden="false" customHeight="false" outlineLevel="0" collapsed="false">
      <c r="A9248" s="1" t="s">
        <v>1070</v>
      </c>
      <c r="B9248" s="0" t="s">
        <v>168</v>
      </c>
      <c r="D9248" s="7" t="n">
        <f aca="false">Sens!D9246/Sens!D9239</f>
        <v>0.456219562408598</v>
      </c>
      <c r="E9248" s="7" t="n">
        <f aca="false">Sens!E9246/Sens!E9239</f>
        <v>0.467808184089272</v>
      </c>
      <c r="F9248" s="7" t="n">
        <f aca="false">Sens!F9246/Sens!F9239</f>
        <v>0.459728008077908</v>
      </c>
      <c r="G9248" s="7" t="n">
        <f aca="false">Sens!G9246/Sens!G9239</f>
        <v>0.428992288850453</v>
      </c>
      <c r="H9248" s="7" t="n">
        <f aca="false">Sens!H9246/Sens!H9239</f>
        <v>0.418292954331365</v>
      </c>
      <c r="I9248" s="7" t="n">
        <f aca="false">Sens!I9246/Sens!I9239</f>
        <v>0.406607209312915</v>
      </c>
      <c r="J9248" s="7" t="n">
        <f aca="false">Sens!J9246/Sens!J9239</f>
        <v>0.400972419062408</v>
      </c>
      <c r="K9248" s="7" t="n">
        <f aca="false">Sens!K9246/Sens!K9239</f>
        <v>0.399991758499436</v>
      </c>
    </row>
    <row r="9249" customFormat="false" ht="17.15" hidden="false" customHeight="false" outlineLevel="0" collapsed="false">
      <c r="A9249" s="1" t="s">
        <v>1071</v>
      </c>
      <c r="B9249" s="0" t="s">
        <v>98</v>
      </c>
      <c r="F9249" s="6" t="n">
        <f aca="false">Sens!F9264</f>
        <v>8.88340674531245</v>
      </c>
      <c r="G9249" s="6" t="n">
        <f aca="false">Sens!G9264</f>
        <v>22.7060305170273</v>
      </c>
      <c r="H9249" s="6" t="n">
        <f aca="false">Sens!H9264</f>
        <v>38.0018452382075</v>
      </c>
      <c r="I9249" s="6" t="n">
        <f aca="false">Sens!I9264</f>
        <v>52.1381094705177</v>
      </c>
      <c r="J9249" s="6" t="n">
        <f aca="false">Sens!J9264</f>
        <v>62.0595818934393</v>
      </c>
      <c r="K9249" s="6" t="n">
        <f aca="false">Sens!K9264</f>
        <v>67.0801312706266</v>
      </c>
      <c r="L9249" s="1" t="s">
        <v>1072</v>
      </c>
    </row>
    <row r="9250" customFormat="false" ht="17.15" hidden="false" customHeight="false" outlineLevel="0" collapsed="false">
      <c r="A9250" s="1" t="s">
        <v>1073</v>
      </c>
      <c r="B9250" s="0" t="s">
        <v>98</v>
      </c>
      <c r="D9250" s="6" t="n">
        <f aca="false">Sens!D9246</f>
        <v>128.528</v>
      </c>
      <c r="E9250" s="6" t="n">
        <f aca="false">Sens!E9246</f>
        <v>155.237</v>
      </c>
      <c r="F9250" s="6" t="n">
        <f aca="false">Sens!F9246+Sens!F9249</f>
        <v>194.056320512565</v>
      </c>
      <c r="G9250" s="6" t="n">
        <f aca="false">Sens!G9246+Sens!G9249</f>
        <v>233.143083673895</v>
      </c>
      <c r="H9250" s="6" t="n">
        <f aca="false">Sens!H9246+Sens!H9249</f>
        <v>282.391368321792</v>
      </c>
      <c r="I9250" s="6" t="n">
        <f aca="false">Sens!I9246+Sens!I9249</f>
        <v>321.60831821171</v>
      </c>
      <c r="J9250" s="6" t="n">
        <f aca="false">Sens!J9246+Sens!J9249</f>
        <v>352.422584511819</v>
      </c>
      <c r="K9250" s="6" t="n">
        <f aca="false">Sens!K9246+Sens!K9249</f>
        <v>375.477106655659</v>
      </c>
    </row>
    <row r="9251" customFormat="false" ht="17.15" hidden="false" customHeight="false" outlineLevel="0" collapsed="false">
      <c r="A9251" s="1" t="s">
        <v>1074</v>
      </c>
      <c r="B9251" s="0" t="s">
        <v>98</v>
      </c>
      <c r="E9251" s="6" t="n">
        <f aca="false">Sens!E9194</f>
        <v>16.3054059770833</v>
      </c>
      <c r="F9251" s="6" t="n">
        <f aca="false">Sens!F9194</f>
        <v>34.5793144783516</v>
      </c>
      <c r="G9251" s="6" t="n">
        <f aca="false">Sens!G9194</f>
        <v>60.7344906522989</v>
      </c>
      <c r="H9251" s="6" t="n">
        <f aca="false">Sens!H9194</f>
        <v>89.1000906614457</v>
      </c>
      <c r="I9251" s="6" t="n">
        <f aca="false">Sens!I9194</f>
        <v>114.231009694548</v>
      </c>
      <c r="J9251" s="6" t="n">
        <f aca="false">Sens!J9194</f>
        <v>132.015673049596</v>
      </c>
      <c r="K9251" s="6" t="n">
        <f aca="false">Sens!K9194</f>
        <v>143.012669550934</v>
      </c>
    </row>
    <row r="9252" customFormat="false" ht="17.15" hidden="false" customHeight="false" outlineLevel="0" collapsed="false">
      <c r="A9252" s="1" t="s">
        <v>1075</v>
      </c>
      <c r="B9252" s="0" t="s">
        <v>98</v>
      </c>
      <c r="E9252" s="6" t="n">
        <f aca="false">Sens!E9276</f>
        <v>22.2285940229167</v>
      </c>
      <c r="F9252" s="6" t="n">
        <f aca="false">Sens!F9276</f>
        <v>23.580344216413</v>
      </c>
      <c r="G9252" s="6" t="n">
        <f aca="false">Sens!G9276</f>
        <v>25.3552285414683</v>
      </c>
      <c r="H9252" s="6" t="n">
        <f aca="false">Sens!H9276</f>
        <v>27.5132356452699</v>
      </c>
      <c r="I9252" s="6" t="n">
        <f aca="false">Sens!I9276</f>
        <v>29.9603588208078</v>
      </c>
      <c r="J9252" s="6" t="n">
        <f aca="false">Sens!J9276</f>
        <v>32.5860635032446</v>
      </c>
      <c r="K9252" s="6" t="n">
        <f aca="false">Sens!K9276</f>
        <v>35.2893283703788</v>
      </c>
    </row>
    <row r="9253" customFormat="false" ht="17.15" hidden="false" customHeight="false" outlineLevel="0" collapsed="false">
      <c r="A9253" s="1" t="s">
        <v>1076</v>
      </c>
      <c r="B9253" s="0" t="s">
        <v>98</v>
      </c>
      <c r="D9253" s="6" t="n">
        <f aca="false">Q!L27</f>
        <v>-4.901</v>
      </c>
      <c r="E9253" s="6" t="n">
        <f aca="false">Q!M27</f>
        <v>10.697</v>
      </c>
      <c r="F9253" s="6" t="n">
        <f aca="false">Q!$I$27+oie_f*(q_per_yr-1)/q_per_yr</f>
        <v>-0.862</v>
      </c>
      <c r="G9253" s="6" t="n">
        <f aca="false">oie_f</f>
        <v>-1.2</v>
      </c>
      <c r="H9253" s="6" t="n">
        <f aca="false">oie_f</f>
        <v>-1.2</v>
      </c>
      <c r="I9253" s="6" t="n">
        <f aca="false">oie_f</f>
        <v>-1.2</v>
      </c>
      <c r="J9253" s="6" t="n">
        <f aca="false">oie_f</f>
        <v>-1.2</v>
      </c>
      <c r="K9253" s="6" t="n">
        <f aca="false">oie_f</f>
        <v>-1.2</v>
      </c>
      <c r="L9253" s="12" t="s">
        <v>1077</v>
      </c>
    </row>
    <row r="9254" customFormat="false" ht="15" hidden="false" customHeight="false" outlineLevel="0" collapsed="false">
      <c r="A9254" s="1" t="s">
        <v>1078</v>
      </c>
      <c r="B9254" s="0" t="s">
        <v>98</v>
      </c>
      <c r="D9254" s="6" t="n">
        <f aca="false">Sens!D9246+Sens!D9253</f>
        <v>123.627</v>
      </c>
      <c r="E9254" s="6" t="n">
        <f aca="false">Sens!E9246+Sens!E9253</f>
        <v>165.934</v>
      </c>
      <c r="F9254" s="6" t="n">
        <f aca="false">Sens!F9246+Sens!F9253</f>
        <v>184.310913767253</v>
      </c>
      <c r="G9254" s="6" t="n">
        <f aca="false">Sens!G9246+Sens!G9253</f>
        <v>209.237053156868</v>
      </c>
      <c r="H9254" s="6" t="n">
        <f aca="false">Sens!H9246+Sens!H9253</f>
        <v>243.189523083584</v>
      </c>
      <c r="I9254" s="6" t="n">
        <f aca="false">Sens!I9246+Sens!I9253</f>
        <v>268.270208741192</v>
      </c>
      <c r="J9254" s="6" t="n">
        <f aca="false">Sens!J9246+Sens!J9253</f>
        <v>289.16300261838</v>
      </c>
      <c r="K9254" s="6" t="n">
        <f aca="false">Sens!K9246+Sens!K9253</f>
        <v>307.196975385032</v>
      </c>
    </row>
    <row r="9255" customFormat="false" ht="15" hidden="false" customHeight="false" outlineLevel="0" collapsed="false">
      <c r="A9255" s="1" t="s">
        <v>1079</v>
      </c>
      <c r="B9255" s="0" t="s">
        <v>98</v>
      </c>
      <c r="D9255" s="6" t="n">
        <f aca="false">Q!L29</f>
        <v>21.795</v>
      </c>
      <c r="E9255" s="6" t="n">
        <f aca="false">Q!M29</f>
        <v>32.185</v>
      </c>
      <c r="F9255" s="6" t="n">
        <f aca="false">Q!$I$29+(Sens!F9254-Q!$I$28)*tax_f</f>
        <v>36.9955827534506</v>
      </c>
      <c r="G9255" s="6" t="n">
        <f aca="false">Sens!G9254*tax_f</f>
        <v>41.8474106313736</v>
      </c>
      <c r="H9255" s="6" t="n">
        <f aca="false">Sens!H9254*tax_f</f>
        <v>48.6379046167168</v>
      </c>
      <c r="I9255" s="6" t="n">
        <f aca="false">Sens!I9254*tax_f</f>
        <v>53.6540417482385</v>
      </c>
      <c r="J9255" s="6" t="n">
        <f aca="false">Sens!J9254*tax_f</f>
        <v>57.832600523676</v>
      </c>
      <c r="K9255" s="6" t="n">
        <f aca="false">Sens!K9254*tax_f</f>
        <v>61.4393950770064</v>
      </c>
    </row>
    <row r="9256" customFormat="false" ht="15" hidden="false" customHeight="false" outlineLevel="0" collapsed="false">
      <c r="A9256" s="1" t="s">
        <v>1080</v>
      </c>
      <c r="B9256" s="0" t="s">
        <v>98</v>
      </c>
      <c r="D9256" s="6" t="n">
        <f aca="false">Sens!D9254-Sens!D9255</f>
        <v>101.832</v>
      </c>
      <c r="E9256" s="6" t="n">
        <f aca="false">Sens!E9254-Sens!E9255</f>
        <v>133.749</v>
      </c>
      <c r="F9256" s="6" t="n">
        <f aca="false">Sens!F9254-Sens!F9255</f>
        <v>147.315331013802</v>
      </c>
      <c r="G9256" s="6" t="n">
        <f aca="false">Sens!G9254-Sens!G9255</f>
        <v>167.389642525494</v>
      </c>
      <c r="H9256" s="6" t="n">
        <f aca="false">Sens!H9254-Sens!H9255</f>
        <v>194.551618466867</v>
      </c>
      <c r="I9256" s="6" t="n">
        <f aca="false">Sens!I9254-Sens!I9255</f>
        <v>214.616166992954</v>
      </c>
      <c r="J9256" s="6" t="n">
        <f aca="false">Sens!J9254-Sens!J9255</f>
        <v>231.330402094704</v>
      </c>
      <c r="K9256" s="6" t="n">
        <f aca="false">Sens!K9254-Sens!K9255</f>
        <v>245.757580308026</v>
      </c>
    </row>
    <row r="9257" customFormat="false" ht="17.15" hidden="false" customHeight="false" outlineLevel="0" collapsed="false">
      <c r="A9257" s="1" t="s">
        <v>1081</v>
      </c>
      <c r="B9257" s="1" t="s">
        <v>81</v>
      </c>
      <c r="D9257" s="15" t="n">
        <f aca="false">Q!L31</f>
        <v>7.465</v>
      </c>
      <c r="E9257" s="15" t="n">
        <f aca="false">Q!M31</f>
        <v>7.453</v>
      </c>
      <c r="F9257" s="15" t="n">
        <f aca="false">Sens!F9301</f>
        <v>7.47076096680494</v>
      </c>
      <c r="G9257" s="15" t="n">
        <f aca="false">Sens!G9301</f>
        <v>7.51049284363018</v>
      </c>
      <c r="H9257" s="15" t="n">
        <f aca="false">Sens!H9301</f>
        <v>7.53566369267927</v>
      </c>
      <c r="I9257" s="15" t="n">
        <f aca="false">Sens!I9301</f>
        <v>7.54734505673474</v>
      </c>
      <c r="J9257" s="15" t="n">
        <f aca="false">Sens!J9301</f>
        <v>7.56149446789722</v>
      </c>
      <c r="K9257" s="15" t="n">
        <f aca="false">Sens!K9301</f>
        <v>7.57792910786247</v>
      </c>
    </row>
    <row r="9258" customFormat="false" ht="17.15" hidden="false" customHeight="false" outlineLevel="0" collapsed="false">
      <c r="A9258" s="0" t="s">
        <v>1082</v>
      </c>
      <c r="B9258" s="0" t="s">
        <v>75</v>
      </c>
      <c r="D9258" s="8" t="n">
        <f aca="false">Sens!D9256/Sens!D9257</f>
        <v>13.641259209645</v>
      </c>
      <c r="E9258" s="8" t="n">
        <f aca="false">Sens!E9256/Sens!E9257</f>
        <v>17.9456594659869</v>
      </c>
      <c r="F9258" s="8" t="n">
        <f aca="false">Sens!F9256/Sens!F9257</f>
        <v>19.7189190858031</v>
      </c>
      <c r="G9258" s="8" t="n">
        <f aca="false">Sens!G9256/Sens!G9257</f>
        <v>22.2874378566863</v>
      </c>
      <c r="H9258" s="8" t="n">
        <f aca="false">Sens!H9256/Sens!H9257</f>
        <v>25.8174497165883</v>
      </c>
      <c r="I9258" s="8" t="n">
        <f aca="false">Sens!I9256/Sens!I9257</f>
        <v>28.4359818425746</v>
      </c>
      <c r="J9258" s="8" t="n">
        <f aca="false">Sens!J9256/Sens!J9257</f>
        <v>30.5932118414992</v>
      </c>
      <c r="K9258" s="8" t="n">
        <f aca="false">Sens!K9256/Sens!K9257</f>
        <v>32.4307045909205</v>
      </c>
      <c r="L9258" s="1" t="s">
        <v>1083</v>
      </c>
    </row>
    <row r="9259" customFormat="false" ht="17.15" hidden="false" customHeight="false" outlineLevel="0" collapsed="false">
      <c r="A9259" s="1" t="s">
        <v>1084</v>
      </c>
      <c r="B9259" s="0" t="s">
        <v>98</v>
      </c>
      <c r="D9259" s="6" t="n">
        <f aca="false">Sens!D9256</f>
        <v>101.832</v>
      </c>
      <c r="E9259" s="6" t="n">
        <f aca="false">Sens!E9256</f>
        <v>133.749</v>
      </c>
      <c r="F9259" s="6" t="n">
        <f aca="false">Sens!F9256+Sens!F9249*(1-tax_f)</f>
        <v>154.422056410052</v>
      </c>
      <c r="G9259" s="6" t="n">
        <f aca="false">Sens!G9256+Sens!G9249*(1-tax_f)</f>
        <v>185.554466939116</v>
      </c>
      <c r="H9259" s="6" t="n">
        <f aca="false">Sens!H9256+Sens!H9249*(1-tax_f)</f>
        <v>224.953094657433</v>
      </c>
      <c r="I9259" s="6" t="n">
        <f aca="false">Sens!I9256+Sens!I9249*(1-tax_f)</f>
        <v>256.326654569368</v>
      </c>
      <c r="J9259" s="6" t="n">
        <f aca="false">Sens!J9256+Sens!J9249*(1-tax_f)</f>
        <v>280.978067609455</v>
      </c>
      <c r="K9259" s="6" t="n">
        <f aca="false">Sens!K9256+Sens!K9249*(1-tax_f)</f>
        <v>299.421685324527</v>
      </c>
    </row>
    <row r="9260" customFormat="false" ht="17.15" hidden="false" customHeight="false" outlineLevel="0" collapsed="false">
      <c r="A9260" s="0" t="s">
        <v>1085</v>
      </c>
      <c r="B9260" s="0" t="s">
        <v>75</v>
      </c>
      <c r="D9260" s="8" t="n">
        <f aca="false">Sens!D9259/Sens!D9257</f>
        <v>13.641259209645</v>
      </c>
      <c r="E9260" s="8" t="n">
        <f aca="false">Sens!E9259/Sens!E9257</f>
        <v>17.9456594659869</v>
      </c>
      <c r="F9260" s="8" t="n">
        <f aca="false">Sens!F9259/Sens!F9257</f>
        <v>20.6701910416088</v>
      </c>
      <c r="G9260" s="8" t="n">
        <f aca="false">Sens!G9259/Sens!G9257</f>
        <v>24.7060307229358</v>
      </c>
      <c r="H9260" s="8" t="n">
        <f aca="false">Sens!H9259/Sens!H9257</f>
        <v>29.8517959175872</v>
      </c>
      <c r="I9260" s="8" t="n">
        <f aca="false">Sens!I9259/Sens!I9257</f>
        <v>33.9624931207616</v>
      </c>
      <c r="J9260" s="8" t="n">
        <f aca="false">Sens!J9259/Sens!J9257</f>
        <v>37.1590654205151</v>
      </c>
      <c r="K9260" s="8" t="n">
        <f aca="false">Sens!K9259/Sens!K9257</f>
        <v>39.512336558264</v>
      </c>
      <c r="L9260" s="1" t="s">
        <v>1086</v>
      </c>
    </row>
    <row r="9261" customFormat="false" ht="17.15" hidden="false" customHeight="false" outlineLevel="0" collapsed="false">
      <c r="A9261" s="0" t="s">
        <v>1087</v>
      </c>
      <c r="B9261" s="0" t="s">
        <v>168</v>
      </c>
      <c r="E9261" s="7" t="n">
        <f aca="false">Sens!E9260/Sens!D9260-1</f>
        <v>0.315542736208578</v>
      </c>
      <c r="F9261" s="7" t="n">
        <f aca="false">Sens!F9260/Sens!E9260-1</f>
        <v>0.151821201153733</v>
      </c>
      <c r="G9261" s="7" t="n">
        <f aca="false">Sens!G9260/Sens!F9260-1</f>
        <v>0.195249268533747</v>
      </c>
      <c r="H9261" s="7" t="n">
        <f aca="false">Sens!H9260/Sens!G9260-1</f>
        <v>0.20827972135056</v>
      </c>
      <c r="I9261" s="7" t="n">
        <f aca="false">Sens!I9260/Sens!H9260-1</f>
        <v>0.137703514204739</v>
      </c>
      <c r="J9261" s="7" t="n">
        <f aca="false">Sens!J9260/Sens!I9260-1</f>
        <v>0.0941206609416818</v>
      </c>
      <c r="K9261" s="7" t="n">
        <f aca="false">Sens!K9260/Sens!J9260-1</f>
        <v>0.0633296642721732</v>
      </c>
    </row>
    <row r="9262" customFormat="false" ht="17.15" hidden="false" customHeight="false" outlineLevel="0" collapsed="false">
      <c r="A9262" s="0" t="s">
        <v>1007</v>
      </c>
      <c r="B9262" s="0" t="s">
        <v>98</v>
      </c>
      <c r="E9262" s="6" t="n">
        <f aca="false">Sens!E9203</f>
        <v>5.25</v>
      </c>
      <c r="F9262" s="6" t="n">
        <f aca="false">Sens!F9203</f>
        <v>13.5</v>
      </c>
      <c r="G9262" s="6" t="n">
        <f aca="false">Sens!G9203</f>
        <v>22.5</v>
      </c>
      <c r="H9262" s="6" t="n">
        <f aca="false">Sens!H9203</f>
        <v>31.5</v>
      </c>
      <c r="I9262" s="6" t="n">
        <f aca="false">Sens!I9203</f>
        <v>38.25</v>
      </c>
      <c r="J9262" s="6" t="n">
        <f aca="false">Sens!J9203</f>
        <v>42.75</v>
      </c>
      <c r="K9262" s="6" t="n">
        <f aca="false">Sens!K9203</f>
        <v>47.25</v>
      </c>
    </row>
    <row r="9263" customFormat="false" ht="17.15" hidden="false" customHeight="false" outlineLevel="0" collapsed="false">
      <c r="A9263" s="1" t="s">
        <v>1008</v>
      </c>
      <c r="B9263" s="0" t="s">
        <v>98</v>
      </c>
      <c r="F9263" s="6" t="n">
        <f aca="false">MAX(0,((Sens!E9163+Sens!F9163)/2-(shadow_base*(Sens!$D$9163+Sens!$E$9163)/2+(1-shadow_base)*Sens!$E$9163))*Sens!F9172/1000-(Sens!F9262-Sens!$E$9262)*Sens!F9242)</f>
        <v>8.88340674531245</v>
      </c>
      <c r="G9263" s="6" t="n">
        <f aca="false">MAX(0,((Sens!F9163+Sens!G9163)/2-(shadow_base*(Sens!$D$9163+Sens!$E$9163)/2+(1-shadow_base)*Sens!$E$9163))*Sens!G9172/1000-(Sens!G9262-Sens!$E$9262)*Sens!G9242)</f>
        <v>22.7060305170273</v>
      </c>
      <c r="H9263" s="6" t="n">
        <f aca="false">MAX(0,((Sens!G9163+Sens!H9163)/2-(shadow_base*(Sens!$D$9163+Sens!$E$9163)/2+(1-shadow_base)*Sens!$E$9163))*Sens!H9172/1000-(Sens!H9262-Sens!$E$9262)*Sens!H9242)</f>
        <v>38.0018452382075</v>
      </c>
      <c r="I9263" s="6" t="n">
        <f aca="false">MAX(0,((Sens!H9163+Sens!I9163)/2-(shadow_base*(Sens!$D$9163+Sens!$E$9163)/2+(1-shadow_base)*Sens!$E$9163))*Sens!I9172/1000-(Sens!I9262-Sens!$E$9262)*Sens!I9242)</f>
        <v>52.1381094705177</v>
      </c>
      <c r="J9263" s="6" t="n">
        <f aca="false">MAX(0,((Sens!I9163+Sens!J9163)/2-(shadow_base*(Sens!$D$9163+Sens!$E$9163)/2+(1-shadow_base)*Sens!$E$9163))*Sens!J9172/1000-(Sens!J9262-Sens!$E$9262)*Sens!J9242)</f>
        <v>62.0595818934393</v>
      </c>
      <c r="K9263" s="6" t="n">
        <f aca="false">MAX(0,((Sens!J9163+Sens!K9163)/2-(shadow_base*(Sens!$D$9163+Sens!$E$9163)/2+(1-shadow_base)*Sens!$E$9163))*Sens!K9172/1000-(Sens!K9262-Sens!$E$9262)*Sens!K9242)</f>
        <v>67.0801312706266</v>
      </c>
      <c r="L9263" s="1" t="s">
        <v>1009</v>
      </c>
    </row>
    <row r="9264" customFormat="false" ht="17.15" hidden="false" customHeight="false" outlineLevel="0" collapsed="false">
      <c r="A9264" s="1" t="s">
        <v>1010</v>
      </c>
      <c r="B9264" s="0" t="s">
        <v>98</v>
      </c>
      <c r="F9264" s="6" t="n">
        <f aca="false">IF(internal_ai_reading=2,1,0)*Sens!F9263</f>
        <v>8.88340674531245</v>
      </c>
      <c r="G9264" s="6" t="n">
        <f aca="false">IF(internal_ai_reading=2,1,0)*Sens!G9263</f>
        <v>22.7060305170273</v>
      </c>
      <c r="H9264" s="6" t="n">
        <f aca="false">IF(internal_ai_reading=2,1,0)*Sens!H9263</f>
        <v>38.0018452382075</v>
      </c>
      <c r="I9264" s="6" t="n">
        <f aca="false">IF(internal_ai_reading=2,1,0)*Sens!I9263</f>
        <v>52.1381094705177</v>
      </c>
      <c r="J9264" s="6" t="n">
        <f aca="false">IF(internal_ai_reading=2,1,0)*Sens!J9263</f>
        <v>62.0595818934393</v>
      </c>
      <c r="K9264" s="6" t="n">
        <f aca="false">IF(internal_ai_reading=2,1,0)*Sens!K9263</f>
        <v>67.0801312706266</v>
      </c>
    </row>
    <row r="9265" customFormat="false" ht="17.15" hidden="false" customHeight="false" outlineLevel="0" collapsed="false">
      <c r="A9265" s="0" t="s">
        <v>1011</v>
      </c>
      <c r="B9265" s="0" t="s">
        <v>98</v>
      </c>
      <c r="F9265" s="6" t="n">
        <f aca="false">Sens!F9182+Sens!F9262*Sens!F9242+Sens!F9264-Sens!F9183-Sens!F9194</f>
        <v>18.5068678152817</v>
      </c>
      <c r="G9265" s="6" t="n">
        <f aca="false">Sens!G9182+Sens!G9262*Sens!G9242+Sens!G9264-Sens!G9183-Sens!G9194</f>
        <v>43.1983864982792</v>
      </c>
      <c r="H9265" s="6" t="n">
        <f aca="false">Sens!H9182+Sens!H9262*Sens!H9242+Sens!H9264-Sens!H9183-Sens!H9194</f>
        <v>73.502598356074</v>
      </c>
      <c r="I9265" s="6" t="n">
        <f aca="false">Sens!I9182+Sens!I9262*Sens!I9242+Sens!I9264-Sens!I9183-Sens!I9194</f>
        <v>94.7454135378504</v>
      </c>
      <c r="J9265" s="6" t="n">
        <f aca="false">Sens!J9182+Sens!J9262*Sens!J9242+Sens!J9264-Sens!J9183-Sens!J9194</f>
        <v>109.399608126358</v>
      </c>
      <c r="K9265" s="6" t="n">
        <f aca="false">Sens!K9182+Sens!K9262*Sens!K9242+Sens!K9264-Sens!K9183-Sens!K9194</f>
        <v>118.898703181943</v>
      </c>
    </row>
    <row r="9266" customFormat="false" ht="17.15" hidden="false" customHeight="false" outlineLevel="0" collapsed="false">
      <c r="A9266" s="0" t="s">
        <v>1012</v>
      </c>
      <c r="B9266" s="0" t="s">
        <v>98</v>
      </c>
      <c r="E9266" s="6" t="n">
        <f aca="false">Sens!E9162*(cxit_open+self_build*tk_cxfac)/1000*ai_net_open</f>
        <v>126.6980382</v>
      </c>
      <c r="F9266" s="6" t="n">
        <f aca="false">Sens!E9266+Sens!F9191-Sens!F9194</f>
        <v>260.572627763768</v>
      </c>
      <c r="G9266" s="6" t="n">
        <f aca="false">Sens!F9266+Sens!G9191-Sens!G9194</f>
        <v>391.782612760517</v>
      </c>
      <c r="H9266" s="6" t="n">
        <f aca="false">Sens!G9266+Sens!H9191-Sens!H9194</f>
        <v>499.488526163584</v>
      </c>
      <c r="I9266" s="6" t="n">
        <f aca="false">Sens!H9266+Sens!I9191-Sens!I9194</f>
        <v>553.872350090646</v>
      </c>
      <c r="J9266" s="6" t="n">
        <f aca="false">Sens!I9266+Sens!J9191-Sens!J9194</f>
        <v>550.78660823699</v>
      </c>
      <c r="K9266" s="6" t="n">
        <f aca="false">Sens!J9266+Sens!K9191-Sens!K9194</f>
        <v>526.736791750789</v>
      </c>
      <c r="L9266" s="1" t="s">
        <v>1013</v>
      </c>
    </row>
    <row r="9267" customFormat="false" ht="17.15" hidden="false" customHeight="false" outlineLevel="0" collapsed="false">
      <c r="A9267" s="0" t="s">
        <v>1014</v>
      </c>
      <c r="B9267" s="0" t="s">
        <v>168</v>
      </c>
      <c r="F9267" s="7" t="n">
        <f aca="false">Sens!F9265*(1-tax_f)/((Sens!E9266+Sens!F9266)/2)</f>
        <v>0.0764607059271074</v>
      </c>
      <c r="G9267" s="7" t="n">
        <f aca="false">Sens!G9265*(1-tax_f)/((Sens!F9266+Sens!G9266)/2)</f>
        <v>0.105950583522098</v>
      </c>
      <c r="H9267" s="7" t="n">
        <f aca="false">Sens!H9265*(1-tax_f)/((Sens!G9266+Sens!H9266)/2)</f>
        <v>0.131951044114011</v>
      </c>
      <c r="I9267" s="7" t="n">
        <f aca="false">Sens!I9265*(1-tax_f)/((Sens!H9266+Sens!I9266)/2)</f>
        <v>0.143913320760143</v>
      </c>
      <c r="J9267" s="7" t="n">
        <f aca="false">Sens!J9265*(1-tax_f)/((Sens!I9266+Sens!J9266)/2)</f>
        <v>0.158455577336889</v>
      </c>
      <c r="K9267" s="7" t="n">
        <f aca="false">Sens!K9265*(1-tax_f)/((Sens!J9266+Sens!K9266)/2)</f>
        <v>0.176551084731214</v>
      </c>
    </row>
    <row r="9268" customFormat="false" ht="17.15" hidden="false" customHeight="false" outlineLevel="0" collapsed="false">
      <c r="A9268" s="1" t="s">
        <v>1015</v>
      </c>
      <c r="B9268" s="0" t="s">
        <v>168</v>
      </c>
      <c r="F9268" s="7" t="n">
        <f aca="false">(Sens!F9265-Sens!F9264)*(1-tax_f)/((Sens!E9266+Sens!F9266)/2)</f>
        <v>0.0397591118181705</v>
      </c>
      <c r="G9268" s="7" t="n">
        <f aca="false">(Sens!G9265-Sens!G9264)*(1-tax_f)/((Sens!F9266+Sens!G9266)/2)</f>
        <v>0.0502606057761598</v>
      </c>
      <c r="H9268" s="7" t="n">
        <f aca="false">(Sens!H9265-Sens!H9264)*(1-tax_f)/((Sens!G9266+Sens!H9266)/2)</f>
        <v>0.0637305557287023</v>
      </c>
      <c r="I9268" s="7" t="n">
        <f aca="false">(Sens!I9265-Sens!I9264)*(1-tax_f)/((Sens!H9266+Sens!I9266)/2)</f>
        <v>0.0647182632699936</v>
      </c>
      <c r="J9268" s="7" t="n">
        <f aca="false">(Sens!J9265-Sens!J9264)*(1-tax_f)/((Sens!I9266+Sens!J9266)/2)</f>
        <v>0.0685678067440289</v>
      </c>
      <c r="K9268" s="7" t="n">
        <f aca="false">(Sens!K9265-Sens!K9264)*(1-tax_f)/((Sens!J9266+Sens!K9266)/2)</f>
        <v>0.0769447002812616</v>
      </c>
    </row>
    <row r="9269" customFormat="false" ht="17.15" hidden="false" customHeight="false" outlineLevel="0" collapsed="false">
      <c r="A9269" s="1" t="s">
        <v>1016</v>
      </c>
      <c r="B9269" s="0" t="s">
        <v>168</v>
      </c>
      <c r="F9269" s="7" t="n">
        <f aca="false">(Sens!F9265-Sens!F9264+Sens!F9263)*(1-tax_f)/((Sens!E9266+Sens!F9266)/2)</f>
        <v>0.0764607059271074</v>
      </c>
      <c r="G9269" s="7" t="n">
        <f aca="false">(Sens!G9265-Sens!G9264+Sens!G9263)*(1-tax_f)/((Sens!F9266+Sens!G9266)/2)</f>
        <v>0.105950583522098</v>
      </c>
      <c r="H9269" s="7" t="n">
        <f aca="false">(Sens!H9265-Sens!H9264+Sens!H9263)*(1-tax_f)/((Sens!G9266+Sens!H9266)/2)</f>
        <v>0.131951044114011</v>
      </c>
      <c r="I9269" s="7" t="n">
        <f aca="false">(Sens!I9265-Sens!I9264+Sens!I9263)*(1-tax_f)/((Sens!H9266+Sens!I9266)/2)</f>
        <v>0.143913320760143</v>
      </c>
      <c r="J9269" s="7" t="n">
        <f aca="false">(Sens!J9265-Sens!J9264+Sens!J9263)*(1-tax_f)/((Sens!I9266+Sens!J9266)/2)</f>
        <v>0.158455577336889</v>
      </c>
      <c r="K9269" s="7" t="n">
        <f aca="false">(Sens!K9265-Sens!K9264+Sens!K9263)*(1-tax_f)/((Sens!J9266+Sens!K9266)/2)</f>
        <v>0.176551084731214</v>
      </c>
    </row>
    <row r="9270" customFormat="false" ht="17.15" hidden="false" customHeight="false" outlineLevel="0" collapsed="false">
      <c r="A9270" s="1" t="s">
        <v>1017</v>
      </c>
      <c r="B9270" s="0" t="s">
        <v>168</v>
      </c>
      <c r="F9270" s="7" t="n">
        <f aca="false">Sens!F9195*(1-tax_f)/(Sens!F9181*(Sens!E9266+Sens!F9266)/2)</f>
        <v>0.15471433083293</v>
      </c>
      <c r="G9270" s="7" t="n">
        <f aca="false">Sens!G9195*(1-tax_f)/(Sens!G9181*(Sens!F9266+Sens!G9266)/2)</f>
        <v>0.176916911437355</v>
      </c>
      <c r="H9270" s="7" t="n">
        <f aca="false">Sens!H9195*(1-tax_f)/(Sens!H9181*(Sens!G9266+Sens!H9266)/2)</f>
        <v>0.207487057996582</v>
      </c>
      <c r="I9270" s="7" t="n">
        <f aca="false">Sens!I9195*(1-tax_f)/(Sens!I9181*(Sens!H9266+Sens!I9266)/2)</f>
        <v>0.219873660070946</v>
      </c>
      <c r="J9270" s="7" t="n">
        <f aca="false">Sens!J9195*(1-tax_f)/(Sens!J9181*(Sens!I9266+Sens!J9266)/2)</f>
        <v>0.238959457974928</v>
      </c>
      <c r="K9270" s="7" t="n">
        <f aca="false">Sens!K9195*(1-tax_f)/(Sens!K9181*(Sens!J9266+Sens!K9266)/2)</f>
        <v>0.264604270651536</v>
      </c>
    </row>
    <row r="9271" customFormat="false" ht="17.15" hidden="false" customHeight="false" outlineLevel="0" collapsed="false">
      <c r="A9271" s="0" t="s">
        <v>1018</v>
      </c>
      <c r="B9271" s="0" t="s">
        <v>253</v>
      </c>
      <c r="F9271" s="7" t="n">
        <f aca="false">Sens!F9267-wacc</f>
        <v>-0.0264758850184899</v>
      </c>
      <c r="G9271" s="7" t="n">
        <f aca="false">Sens!G9267-wacc</f>
        <v>0.00301399257650095</v>
      </c>
      <c r="H9271" s="7" t="n">
        <f aca="false">Sens!H9267-wacc</f>
        <v>0.0290144531684132</v>
      </c>
      <c r="I9271" s="7" t="n">
        <f aca="false">Sens!I9267-wacc</f>
        <v>0.0409767298145461</v>
      </c>
      <c r="J9271" s="7" t="n">
        <f aca="false">Sens!J9267-wacc</f>
        <v>0.0555189863912922</v>
      </c>
      <c r="K9271" s="7" t="n">
        <f aca="false">Sens!K9267-wacc</f>
        <v>0.0736144937856168</v>
      </c>
    </row>
    <row r="9272" customFormat="false" ht="17.15" hidden="false" customHeight="false" outlineLevel="0" collapsed="false">
      <c r="A9272" s="0" t="s">
        <v>1019</v>
      </c>
      <c r="B9272" s="0" t="s">
        <v>98</v>
      </c>
      <c r="F9272" s="6" t="n">
        <f aca="false">Sens!F9265*(1-tax_f)-wacc*(Sens!E9266+Sens!F9266)/2</f>
        <v>-5.12666681154535</v>
      </c>
      <c r="G9272" s="6" t="n">
        <f aca="false">Sens!G9265*(1-tax_f)-wacc*(Sens!F9266+Sens!G9266)/2</f>
        <v>0.983096926090845</v>
      </c>
      <c r="H9272" s="6" t="n">
        <f aca="false">Sens!H9265*(1-tax_f)-wacc*(Sens!G9266+Sens!H9266)/2</f>
        <v>12.9298723603358</v>
      </c>
      <c r="I9272" s="6" t="n">
        <f aca="false">Sens!I9265*(1-tax_f)-wacc*(Sens!H9266+Sens!I9266)/2</f>
        <v>21.5816420117415</v>
      </c>
      <c r="J9272" s="6" t="n">
        <f aca="false">Sens!J9265*(1-tax_f)-wacc*(Sens!I9266+Sens!J9266)/2</f>
        <v>30.6647728372055</v>
      </c>
      <c r="K9272" s="6" t="n">
        <f aca="false">Sens!K9265*(1-tax_f)-wacc*(Sens!J9266+Sens!K9266)/2</f>
        <v>39.6606698161285</v>
      </c>
    </row>
    <row r="9273" customFormat="false" ht="17.15" hidden="false" customHeight="false" outlineLevel="0" collapsed="false">
      <c r="A9273" s="3" t="s">
        <v>1843</v>
      </c>
    </row>
    <row r="9274" customFormat="false" ht="15" hidden="false" customHeight="false" outlineLevel="0" collapsed="false">
      <c r="A9274" s="4" t="s">
        <v>43</v>
      </c>
      <c r="B9274" s="4" t="s">
        <v>65</v>
      </c>
      <c r="C9274" s="23" t="s">
        <v>942</v>
      </c>
      <c r="D9274" s="23" t="s">
        <v>943</v>
      </c>
      <c r="E9274" s="23" t="s">
        <v>944</v>
      </c>
      <c r="F9274" s="23" t="s">
        <v>945</v>
      </c>
      <c r="G9274" s="23" t="s">
        <v>946</v>
      </c>
      <c r="H9274" s="23" t="s">
        <v>947</v>
      </c>
      <c r="I9274" s="23" t="s">
        <v>948</v>
      </c>
      <c r="J9274" s="23" t="s">
        <v>949</v>
      </c>
      <c r="K9274" s="23" t="s">
        <v>950</v>
      </c>
      <c r="L9274" s="4" t="s">
        <v>47</v>
      </c>
    </row>
    <row r="9275" customFormat="false" ht="15" hidden="false" customHeight="false" outlineLevel="0" collapsed="false">
      <c r="A9275" s="1" t="s">
        <v>1080</v>
      </c>
      <c r="B9275" s="0" t="s">
        <v>98</v>
      </c>
      <c r="F9275" s="6" t="n">
        <f aca="false">Sens!F9256</f>
        <v>147.315331013802</v>
      </c>
      <c r="G9275" s="6" t="n">
        <f aca="false">Sens!G9256</f>
        <v>167.389642525494</v>
      </c>
      <c r="H9275" s="6" t="n">
        <f aca="false">Sens!H9256</f>
        <v>194.551618466867</v>
      </c>
      <c r="I9275" s="6" t="n">
        <f aca="false">Sens!I9256</f>
        <v>214.616166992954</v>
      </c>
      <c r="J9275" s="6" t="n">
        <f aca="false">Sens!J9256</f>
        <v>231.330402094704</v>
      </c>
      <c r="K9275" s="6" t="n">
        <f aca="false">Sens!K9256</f>
        <v>245.757580308026</v>
      </c>
    </row>
    <row r="9276" customFormat="false" ht="17.15" hidden="false" customHeight="false" outlineLevel="0" collapsed="false">
      <c r="A9276" s="1" t="s">
        <v>1102</v>
      </c>
      <c r="B9276" s="0" t="s">
        <v>98</v>
      </c>
      <c r="E9276" s="6" t="n">
        <f aca="false">Q!M38-Sens!E9194</f>
        <v>22.2285940229167</v>
      </c>
      <c r="F9276" s="6" t="n">
        <f aca="false">Sens!E9276*(1-1/life_nonai)+(Sens!F9284+Sens!F9285)/life_nonai</f>
        <v>23.580344216413</v>
      </c>
      <c r="G9276" s="6" t="n">
        <f aca="false">Sens!F9276*(1-1/life_nonai)+(Sens!G9284)/life_nonai</f>
        <v>25.3552285414683</v>
      </c>
      <c r="H9276" s="6" t="n">
        <f aca="false">Sens!G9276*(1-1/life_nonai)+(Sens!H9284)/life_nonai</f>
        <v>27.5132356452699</v>
      </c>
      <c r="I9276" s="6" t="n">
        <f aca="false">Sens!H9276*(1-1/life_nonai)+(Sens!I9284)/life_nonai</f>
        <v>29.9603588208078</v>
      </c>
      <c r="J9276" s="6" t="n">
        <f aca="false">Sens!I9276*(1-1/life_nonai)+(Sens!J9284)/life_nonai</f>
        <v>32.5860635032446</v>
      </c>
      <c r="K9276" s="6" t="n">
        <f aca="false">Sens!J9276*(1-1/life_nonai)+(Sens!K9284)/life_nonai</f>
        <v>35.2893283703788</v>
      </c>
      <c r="L9276" s="12" t="s">
        <v>1103</v>
      </c>
    </row>
    <row r="9277" customFormat="false" ht="17.15" hidden="false" customHeight="false" outlineLevel="0" collapsed="false">
      <c r="A9277" s="1" t="s">
        <v>1104</v>
      </c>
      <c r="B9277" s="0" t="s">
        <v>98</v>
      </c>
      <c r="F9277" s="6" t="n">
        <f aca="false">Sens!$F$9285/life_nonai*(1-1/life_nonai)^(Sens!F9157-2027)</f>
        <v>0.0105428474065192</v>
      </c>
      <c r="G9277" s="6" t="n">
        <f aca="false">Sens!$F$9285/life_nonai*(1-1/life_nonai)^(Sens!G9157-2027)</f>
        <v>0.00948856266586731</v>
      </c>
      <c r="H9277" s="6" t="n">
        <f aca="false">Sens!$F$9285/life_nonai*(1-1/life_nonai)^(Sens!H9157-2027)</f>
        <v>0.00853970639928058</v>
      </c>
      <c r="I9277" s="6" t="n">
        <f aca="false">Sens!$F$9285/life_nonai*(1-1/life_nonai)^(Sens!I9157-2027)</f>
        <v>0.00768573575935252</v>
      </c>
      <c r="J9277" s="6" t="n">
        <f aca="false">Sens!$F$9285/life_nonai*(1-1/life_nonai)^(Sens!J9157-2027)</f>
        <v>0.00691716218341727</v>
      </c>
      <c r="K9277" s="6" t="n">
        <f aca="false">Sens!$F$9285/life_nonai*(1-1/life_nonai)^(Sens!K9157-2027)</f>
        <v>0.00622544596507554</v>
      </c>
      <c r="L9277" s="1" t="s">
        <v>1105</v>
      </c>
    </row>
    <row r="9278" customFormat="false" ht="17.15" hidden="false" customHeight="false" outlineLevel="0" collapsed="false">
      <c r="A9278" s="1" t="s">
        <v>1106</v>
      </c>
      <c r="B9278" s="0" t="s">
        <v>98</v>
      </c>
      <c r="E9278" s="6" t="n">
        <f aca="false">Sens!E9194+Sens!E9276</f>
        <v>38.534</v>
      </c>
      <c r="F9278" s="6" t="n">
        <f aca="false">Sens!F9194+Sens!F9276</f>
        <v>58.1596586947647</v>
      </c>
      <c r="G9278" s="6" t="n">
        <f aca="false">Sens!G9194+Sens!G9276</f>
        <v>86.0897191937673</v>
      </c>
      <c r="H9278" s="6" t="n">
        <f aca="false">Sens!H9194+Sens!H9276</f>
        <v>116.613326306716</v>
      </c>
      <c r="I9278" s="6" t="n">
        <f aca="false">Sens!I9194+Sens!I9276</f>
        <v>144.191368515356</v>
      </c>
      <c r="J9278" s="6" t="n">
        <f aca="false">Sens!J9194+Sens!J9276</f>
        <v>164.601736552841</v>
      </c>
      <c r="K9278" s="6" t="n">
        <f aca="false">Sens!K9194+Sens!K9276</f>
        <v>178.301997921313</v>
      </c>
    </row>
    <row r="9279" customFormat="false" ht="17.15" hidden="false" customHeight="false" outlineLevel="0" collapsed="false">
      <c r="A9279" s="1" t="s">
        <v>1107</v>
      </c>
      <c r="B9279" s="0" t="s">
        <v>98</v>
      </c>
      <c r="F9279" s="6" t="n">
        <f aca="false">Sens!F9221*sbc_r</f>
        <v>15.0572561969028</v>
      </c>
      <c r="G9279" s="6" t="n">
        <f aca="false">Sens!G9221*sbc_r</f>
        <v>18.3375819794461</v>
      </c>
      <c r="H9279" s="6" t="n">
        <f aca="false">Sens!H9221*sbc_r</f>
        <v>21.8409425791888</v>
      </c>
      <c r="I9279" s="6" t="n">
        <f aca="false">Sens!I9221*sbc_r</f>
        <v>24.7745073328606</v>
      </c>
      <c r="J9279" s="6" t="n">
        <f aca="false">Sens!J9221*sbc_r</f>
        <v>27.0704902366705</v>
      </c>
      <c r="K9279" s="6" t="n">
        <f aca="false">Sens!K9221*sbc_r</f>
        <v>28.8222850864073</v>
      </c>
    </row>
    <row r="9280" customFormat="false" ht="17.15" hidden="false" customHeight="false" outlineLevel="0" collapsed="false">
      <c r="A9280" s="1" t="s">
        <v>1108</v>
      </c>
      <c r="B9280" s="0" t="s">
        <v>98</v>
      </c>
      <c r="F9280" s="6" t="n">
        <f aca="false">wc27-wc26q1</f>
        <v>-4.677</v>
      </c>
      <c r="G9280" s="6" t="n">
        <f aca="false">wc_f</f>
        <v>0</v>
      </c>
      <c r="H9280" s="6" t="n">
        <f aca="false">wc_f</f>
        <v>0</v>
      </c>
      <c r="I9280" s="6" t="n">
        <f aca="false">wc_f</f>
        <v>0</v>
      </c>
      <c r="J9280" s="6" t="n">
        <f aca="false">wc_f</f>
        <v>0</v>
      </c>
      <c r="K9280" s="6" t="n">
        <f aca="false">wc_f</f>
        <v>0</v>
      </c>
      <c r="L9280" s="12" t="s">
        <v>1109</v>
      </c>
    </row>
    <row r="9281" customFormat="false" ht="17.15" hidden="false" customHeight="false" outlineLevel="0" collapsed="false">
      <c r="A9281" s="0" t="s">
        <v>1110</v>
      </c>
      <c r="B9281" s="0" t="s">
        <v>98</v>
      </c>
      <c r="F9281" s="6" t="n">
        <f aca="false">Q!$I$35-Q!$I$26-Q!$I$38-Q!$I$39</f>
        <v>6.493</v>
      </c>
      <c r="L9281" s="1" t="s">
        <v>1111</v>
      </c>
    </row>
    <row r="9282" customFormat="false" ht="15" hidden="false" customHeight="false" outlineLevel="0" collapsed="false">
      <c r="A9282" s="1" t="s">
        <v>908</v>
      </c>
      <c r="B9282" s="0" t="s">
        <v>98</v>
      </c>
      <c r="E9282" s="6" t="n">
        <f aca="false">Q!M35</f>
        <v>182.935</v>
      </c>
      <c r="F9282" s="6" t="n">
        <f aca="false">Sens!F9275+Sens!F9278+Sens!F9279+Sens!F9280+Sens!F9281</f>
        <v>222.34824590547</v>
      </c>
      <c r="G9282" s="6" t="n">
        <f aca="false">Sens!G9275+Sens!G9278+Sens!G9279+Sens!G9280</f>
        <v>271.816943698708</v>
      </c>
      <c r="H9282" s="6" t="n">
        <f aca="false">Sens!H9275+Sens!H9278+Sens!H9279+Sens!H9280</f>
        <v>333.005887352772</v>
      </c>
      <c r="I9282" s="6" t="n">
        <f aca="false">Sens!I9275+Sens!I9278+Sens!I9279+Sens!I9280</f>
        <v>383.582042841171</v>
      </c>
      <c r="J9282" s="6" t="n">
        <f aca="false">Sens!J9275+Sens!J9278+Sens!J9279+Sens!J9280</f>
        <v>423.002628884215</v>
      </c>
      <c r="K9282" s="6" t="n">
        <f aca="false">Sens!K9275+Sens!K9278+Sens!K9279+Sens!K9280</f>
        <v>452.881863315746</v>
      </c>
    </row>
    <row r="9283" customFormat="false" ht="17.15" hidden="false" customHeight="false" outlineLevel="0" collapsed="false">
      <c r="A9283" s="0" t="s">
        <v>1112</v>
      </c>
      <c r="B9283" s="0" t="s">
        <v>98</v>
      </c>
      <c r="F9283" s="6" t="n">
        <f aca="false">Sens!F9191</f>
        <v>168.45390404212</v>
      </c>
      <c r="G9283" s="6" t="n">
        <f aca="false">Sens!G9191</f>
        <v>191.944475649048</v>
      </c>
      <c r="H9283" s="6" t="n">
        <f aca="false">Sens!H9191</f>
        <v>196.806004064512</v>
      </c>
      <c r="I9283" s="6" t="n">
        <f aca="false">Sens!I9191</f>
        <v>168.61483362161</v>
      </c>
      <c r="J9283" s="6" t="n">
        <f aca="false">Sens!J9191</f>
        <v>128.92993119594</v>
      </c>
      <c r="K9283" s="6" t="n">
        <f aca="false">Sens!K9191</f>
        <v>118.962853064733</v>
      </c>
    </row>
    <row r="9284" customFormat="false" ht="17.15" hidden="false" customHeight="false" outlineLevel="0" collapsed="false">
      <c r="A9284" s="1" t="s">
        <v>1113</v>
      </c>
      <c r="B9284" s="0" t="s">
        <v>98</v>
      </c>
      <c r="E9284" s="6" t="n">
        <f aca="false">Sens!E9199*cx_azo+Sens!E9206*cx_m365+Sens!E9207*cx_lic+(Sens!E9209+Sens!E9211)*cx_ind+Sens!E9214*cx_srch+(Sens!E9216+Sens!E9218)*cx_dev</f>
        <v>30.1846587067718</v>
      </c>
      <c r="F9284" s="6" t="n">
        <f aca="false">Sens!F9199*cx_azo+Sens!F9206*cx_m365+Sens!F9207*cx_lic+(Sens!F9209+Sens!F9211)*cx_ind+Sens!F9214*cx_srch+(Sens!F9216+Sens!F9218)*cx_dev</f>
        <v>35.6406674838152</v>
      </c>
      <c r="G9284" s="6" t="n">
        <f aca="false">Sens!G9199*cx_azo+Sens!G9206*cx_m365+Sens!G9207*cx_lic+(Sens!G9209+Sens!G9211)*cx_ind+Sens!G9214*cx_srch+(Sens!G9216+Sens!G9218)*cx_dev</f>
        <v>41.329187466966</v>
      </c>
      <c r="H9284" s="6" t="n">
        <f aca="false">Sens!H9199*cx_azo+Sens!H9206*cx_m365+Sens!H9207*cx_lic+(Sens!H9209+Sens!H9211)*cx_ind+Sens!H9214*cx_srch+(Sens!H9216+Sens!H9218)*cx_dev</f>
        <v>46.9352995794837</v>
      </c>
      <c r="I9284" s="6" t="n">
        <f aca="false">Sens!I9199*cx_azo+Sens!I9206*cx_m365+Sens!I9207*cx_lic+(Sens!I9209+Sens!I9211)*cx_ind+Sens!I9214*cx_srch+(Sens!I9216+Sens!I9218)*cx_dev</f>
        <v>51.9844674006494</v>
      </c>
      <c r="J9284" s="6" t="n">
        <f aca="false">Sens!J9199*cx_azo+Sens!J9206*cx_m365+Sens!J9207*cx_lic+(Sens!J9209+Sens!J9211)*cx_ind+Sens!J9214*cx_srch+(Sens!J9216+Sens!J9218)*cx_dev</f>
        <v>56.2174056451753</v>
      </c>
      <c r="K9284" s="6" t="n">
        <f aca="false">Sens!K9199*cx_azo+Sens!K9206*cx_m365+Sens!K9207*cx_lic+(Sens!K9209+Sens!K9211)*cx_ind+Sens!K9214*cx_srch+(Sens!K9216+Sens!K9218)*cx_dev</f>
        <v>59.6187121745871</v>
      </c>
    </row>
    <row r="9285" customFormat="false" ht="17.15" hidden="false" customHeight="false" outlineLevel="0" collapsed="false">
      <c r="A9285" s="0" t="s">
        <v>1114</v>
      </c>
      <c r="B9285" s="0" t="s">
        <v>98</v>
      </c>
      <c r="F9285" s="6" t="n">
        <f aca="false">Sens!F9189</f>
        <v>0.105428474065192</v>
      </c>
      <c r="L9285" s="1" t="s">
        <v>1115</v>
      </c>
    </row>
    <row r="9286" customFormat="false" ht="17.15" hidden="false" customHeight="false" outlineLevel="0" collapsed="false">
      <c r="A9286" s="1" t="s">
        <v>1116</v>
      </c>
      <c r="B9286" s="0" t="s">
        <v>98</v>
      </c>
      <c r="E9286" s="6" t="n">
        <f aca="false">Q!M43</f>
        <v>145.3</v>
      </c>
      <c r="F9286" s="6" t="n">
        <f aca="false">Sens!F9283+Sens!F9284+Sens!F9285</f>
        <v>204.2</v>
      </c>
      <c r="G9286" s="6" t="n">
        <f aca="false">Sens!G9283+Sens!G9284</f>
        <v>233.273663116014</v>
      </c>
      <c r="H9286" s="6" t="n">
        <f aca="false">Sens!H9283+Sens!H9284</f>
        <v>243.741303643996</v>
      </c>
      <c r="I9286" s="6" t="n">
        <f aca="false">Sens!I9283+Sens!I9284</f>
        <v>220.59930102226</v>
      </c>
      <c r="J9286" s="6" t="n">
        <f aca="false">Sens!J9283+Sens!J9284</f>
        <v>185.147336841116</v>
      </c>
      <c r="K9286" s="6" t="n">
        <f aca="false">Sens!K9283+Sens!K9284</f>
        <v>178.58156523932</v>
      </c>
      <c r="L9286" s="1" t="s">
        <v>1117</v>
      </c>
    </row>
    <row r="9287" customFormat="false" ht="15" hidden="false" customHeight="false" outlineLevel="0" collapsed="false">
      <c r="A9287" s="1" t="s">
        <v>1118</v>
      </c>
      <c r="B9287" s="0" t="s">
        <v>98</v>
      </c>
      <c r="E9287" s="6" t="n">
        <f aca="false">fl_liab</f>
        <v>66.594</v>
      </c>
      <c r="F9287" s="6" t="n">
        <f aca="false">Sens!E9287-Sens!F9288</f>
        <v>62.46973</v>
      </c>
      <c r="G9287" s="6" t="n">
        <f aca="false">Sens!F9287-Sens!G9288</f>
        <v>57.98686785</v>
      </c>
      <c r="H9287" s="6" t="n">
        <f aca="false">Sens!G9287-Sens!H9288</f>
        <v>53.92827690325</v>
      </c>
      <c r="I9287" s="6" t="n">
        <f aca="false">Sens!H9287-Sens!I9288</f>
        <v>49.7850493638962</v>
      </c>
      <c r="J9287" s="6" t="n">
        <f aca="false">Sens!I9287-Sens!J9288</f>
        <v>45.4823765852716</v>
      </c>
      <c r="K9287" s="6" t="n">
        <f aca="false">Sens!J9287-Sens!K9288</f>
        <v>40.9860835316088</v>
      </c>
    </row>
    <row r="9288" customFormat="false" ht="15" hidden="false" customHeight="false" outlineLevel="0" collapsed="false">
      <c r="A9288" s="1" t="s">
        <v>1119</v>
      </c>
      <c r="B9288" s="0" t="s">
        <v>98</v>
      </c>
      <c r="F9288" s="6" t="n">
        <f aca="false">fl_pay_27-Sens!E9287*fl_rate</f>
        <v>4.12427</v>
      </c>
      <c r="G9288" s="6" t="n">
        <f aca="false">fl_pay_28-Sens!F9287*fl_rate</f>
        <v>4.48286215</v>
      </c>
      <c r="H9288" s="6" t="n">
        <f aca="false">fl_pay_29-Sens!G9287*fl_rate</f>
        <v>4.05859094675</v>
      </c>
      <c r="I9288" s="6" t="n">
        <f aca="false">fl_pay_30-Sens!H9287*fl_rate</f>
        <v>4.14322753935375</v>
      </c>
      <c r="J9288" s="6" t="n">
        <f aca="false">fl_pay_31-Sens!I9287*fl_rate</f>
        <v>4.30267277862467</v>
      </c>
      <c r="K9288" s="6" t="n">
        <f aca="false">fl_pay_32-Sens!J9287*fl_rate</f>
        <v>4.49629305366278</v>
      </c>
    </row>
    <row r="9289" customFormat="false" ht="17.15" hidden="false" customHeight="false" outlineLevel="0" collapsed="false">
      <c r="A9289" s="1" t="s">
        <v>1120</v>
      </c>
      <c r="B9289" s="0" t="s">
        <v>98</v>
      </c>
      <c r="E9289" s="6" t="n">
        <f aca="false">Q!M35-Q!M36-Q!M44</f>
        <v>63.886</v>
      </c>
      <c r="F9289" s="6" t="n">
        <f aca="false">Sens!F9282-Sens!F9286-Sens!F9288</f>
        <v>14.0239759054699</v>
      </c>
      <c r="G9289" s="6" t="n">
        <f aca="false">Sens!G9282-Sens!G9286-Sens!G9288</f>
        <v>34.0604184326936</v>
      </c>
      <c r="H9289" s="6" t="n">
        <f aca="false">Sens!H9282-Sens!H9286-Sens!H9288</f>
        <v>85.2059927620255</v>
      </c>
      <c r="I9289" s="6" t="n">
        <f aca="false">Sens!I9282-Sens!I9286-Sens!I9288</f>
        <v>158.839514279557</v>
      </c>
      <c r="J9289" s="6" t="n">
        <f aca="false">Sens!J9282-Sens!J9286-Sens!J9288</f>
        <v>233.552619264475</v>
      </c>
      <c r="K9289" s="6" t="n">
        <f aca="false">Sens!K9282-Sens!K9286-Sens!K9288</f>
        <v>269.804005022763</v>
      </c>
      <c r="L9289" s="12" t="s">
        <v>1121</v>
      </c>
    </row>
    <row r="9290" customFormat="false" ht="15" hidden="false" customHeight="false" outlineLevel="0" collapsed="false">
      <c r="A9290" s="1" t="s">
        <v>1122</v>
      </c>
      <c r="B9290" s="0" t="s">
        <v>75</v>
      </c>
      <c r="F9290" s="8" t="n">
        <f aca="false">dps_27</f>
        <v>3.85</v>
      </c>
      <c r="G9290" s="8" t="n">
        <f aca="false">Sens!F9290*(1+dps_g)</f>
        <v>4.158</v>
      </c>
      <c r="H9290" s="8" t="n">
        <f aca="false">Sens!G9290*(1+dps_g)</f>
        <v>4.49064</v>
      </c>
      <c r="I9290" s="8" t="n">
        <f aca="false">Sens!H9290*(1+dps_g)</f>
        <v>4.8498912</v>
      </c>
      <c r="J9290" s="8" t="n">
        <f aca="false">Sens!I9290*(1+dps_g)</f>
        <v>5.237882496</v>
      </c>
      <c r="K9290" s="8" t="n">
        <f aca="false">Sens!J9290*(1+dps_g)</f>
        <v>5.65691309568</v>
      </c>
    </row>
    <row r="9291" customFormat="false" ht="17.15" hidden="false" customHeight="false" outlineLevel="0" collapsed="false">
      <c r="A9291" s="1" t="s">
        <v>1123</v>
      </c>
      <c r="B9291" s="0" t="s">
        <v>98</v>
      </c>
      <c r="E9291" s="6" t="n">
        <f aca="false">Q!M41</f>
        <v>26.445</v>
      </c>
      <c r="F9291" s="6" t="n">
        <f aca="false">Sens!F9290*Sens!E9300</f>
        <v>28.59395</v>
      </c>
      <c r="G9291" s="6" t="n">
        <f aca="false">Sens!G9290*Sens!F9300</f>
        <v>31.0457981999499</v>
      </c>
      <c r="H9291" s="6" t="n">
        <f aca="false">Sens!H9290*Sens!G9300</f>
        <v>33.708826390693</v>
      </c>
      <c r="I9291" s="6" t="n">
        <f aca="false">Sens!I9290*Sens!H9300</f>
        <v>36.455970779021</v>
      </c>
      <c r="J9291" s="6" t="n">
        <f aca="false">Sens!J9290*Sens!I9300</f>
        <v>39.4403463267354</v>
      </c>
      <c r="K9291" s="6" t="n">
        <f aca="false">Sens!K9290*Sens!J9300</f>
        <v>42.6823282952524</v>
      </c>
      <c r="L9291" s="1" t="s">
        <v>1124</v>
      </c>
    </row>
    <row r="9292" customFormat="false" ht="15" hidden="false" customHeight="false" outlineLevel="0" collapsed="false">
      <c r="A9292" s="1" t="s">
        <v>1125</v>
      </c>
      <c r="B9292" s="0" t="s">
        <v>98</v>
      </c>
      <c r="E9292" s="6" t="n">
        <f aca="false">Sens!E9289-Sens!E9291</f>
        <v>37.441</v>
      </c>
      <c r="F9292" s="6" t="n">
        <f aca="false">Sens!F9289-Sens!F9291</f>
        <v>-14.5699740945301</v>
      </c>
      <c r="G9292" s="6" t="n">
        <f aca="false">Sens!G9289-Sens!G9291</f>
        <v>3.01462023274374</v>
      </c>
      <c r="H9292" s="6" t="n">
        <f aca="false">Sens!H9289-Sens!H9291</f>
        <v>51.4971663713325</v>
      </c>
      <c r="I9292" s="6" t="n">
        <f aca="false">Sens!I9289-Sens!I9291</f>
        <v>122.383543500536</v>
      </c>
      <c r="J9292" s="6" t="n">
        <f aca="false">Sens!J9289-Sens!J9291</f>
        <v>194.112272937739</v>
      </c>
      <c r="K9292" s="6" t="n">
        <f aca="false">Sens!K9289-Sens!K9291</f>
        <v>227.121676727511</v>
      </c>
    </row>
    <row r="9293" customFormat="false" ht="15" hidden="false" customHeight="false" outlineLevel="0" collapsed="false">
      <c r="A9293" s="1" t="s">
        <v>1126</v>
      </c>
      <c r="B9293" s="0" t="s">
        <v>98</v>
      </c>
      <c r="F9293" s="6" t="n">
        <f aca="false">debt_mat_27</f>
        <v>9.25</v>
      </c>
      <c r="G9293" s="6" t="n">
        <f aca="false">debt_mat_28</f>
        <v>0</v>
      </c>
      <c r="H9293" s="6" t="n">
        <f aca="false">debt_mat_29</f>
        <v>2.001</v>
      </c>
      <c r="I9293" s="6" t="n">
        <f aca="false">debt_mat_30</f>
        <v>0</v>
      </c>
      <c r="J9293" s="6" t="n">
        <f aca="false">debt_mat_31</f>
        <v>0.5</v>
      </c>
      <c r="K9293" s="6" t="n">
        <f aca="false">debt_mat_32</f>
        <v>0</v>
      </c>
    </row>
    <row r="9294" customFormat="false" ht="15" hidden="false" customHeight="false" outlineLevel="0" collapsed="false">
      <c r="A9294" s="1" t="s">
        <v>1127</v>
      </c>
      <c r="B9294" s="0" t="s">
        <v>98</v>
      </c>
      <c r="E9294" s="6" t="n">
        <f aca="false">Q!M40</f>
        <v>22.271</v>
      </c>
      <c r="F9294" s="6" t="n">
        <f aca="false">MAX(0,MIN(bb_target,Sens!E9296+Sens!F9292-Sens!F9293-min_cash))</f>
        <v>3.02302590546994</v>
      </c>
      <c r="G9294" s="6" t="n">
        <f aca="false">MAX(0,MIN(bb_target,Sens!F9296+Sens!G9292-Sens!G9293-min_cash))</f>
        <v>3.01462023274374</v>
      </c>
      <c r="H9294" s="6" t="n">
        <f aca="false">MAX(0,MIN(bb_target,Sens!G9296+Sens!H9292-Sens!H9293-min_cash))</f>
        <v>22.271</v>
      </c>
      <c r="I9294" s="6" t="n">
        <f aca="false">MAX(0,MIN(bb_target,Sens!H9296+Sens!I9292-Sens!I9293-min_cash))</f>
        <v>22.271</v>
      </c>
      <c r="J9294" s="6" t="n">
        <f aca="false">MAX(0,MIN(bb_target,Sens!I9296+Sens!J9292-Sens!J9293-min_cash))</f>
        <v>22.271</v>
      </c>
      <c r="K9294" s="6" t="n">
        <f aca="false">MAX(0,MIN(bb_target,Sens!J9296+Sens!K9292-Sens!K9293-min_cash))</f>
        <v>22.271</v>
      </c>
    </row>
    <row r="9295" customFormat="false" ht="15" hidden="false" customHeight="false" outlineLevel="0" collapsed="false">
      <c r="A9295" s="1" t="s">
        <v>1128</v>
      </c>
      <c r="B9295" s="0" t="s">
        <v>98</v>
      </c>
      <c r="F9295" s="6" t="n">
        <f aca="false">MAX(0,min_cash-(Sens!E9296+Sens!F9292-Sens!F9293-Sens!F9294))</f>
        <v>0</v>
      </c>
      <c r="G9295" s="6" t="n">
        <f aca="false">MAX(0,min_cash-(Sens!F9296+Sens!G9292-Sens!G9293-Sens!G9294))</f>
        <v>0</v>
      </c>
      <c r="H9295" s="6" t="n">
        <f aca="false">MAX(0,min_cash-(Sens!G9296+Sens!H9292-Sens!H9293-Sens!H9294))</f>
        <v>0</v>
      </c>
      <c r="I9295" s="6" t="n">
        <f aca="false">MAX(0,min_cash-(Sens!H9296+Sens!I9292-Sens!I9293-Sens!I9294))</f>
        <v>0</v>
      </c>
      <c r="J9295" s="6" t="n">
        <f aca="false">MAX(0,min_cash-(Sens!I9296+Sens!J9292-Sens!J9293-Sens!J9294))</f>
        <v>0</v>
      </c>
      <c r="K9295" s="6" t="n">
        <f aca="false">MAX(0,min_cash-(Sens!J9296+Sens!K9292-Sens!K9293-Sens!K9294))</f>
        <v>0</v>
      </c>
    </row>
    <row r="9296" customFormat="false" ht="15" hidden="false" customHeight="false" outlineLevel="0" collapsed="false">
      <c r="A9296" s="1" t="s">
        <v>1129</v>
      </c>
      <c r="B9296" s="0" t="s">
        <v>98</v>
      </c>
      <c r="E9296" s="6" t="n">
        <f aca="false">cash_open</f>
        <v>76.843</v>
      </c>
      <c r="F9296" s="6" t="n">
        <f aca="false">Sens!E9296+Sens!F9292-Sens!F9293-Sens!F9294+Sens!F9295</f>
        <v>50</v>
      </c>
      <c r="G9296" s="6" t="n">
        <f aca="false">Sens!F9296+Sens!G9292-Sens!G9293-Sens!G9294+Sens!G9295</f>
        <v>50</v>
      </c>
      <c r="H9296" s="6" t="n">
        <f aca="false">Sens!G9296+Sens!H9292-Sens!H9293-Sens!H9294+Sens!H9295</f>
        <v>77.2251663713325</v>
      </c>
      <c r="I9296" s="6" t="n">
        <f aca="false">Sens!H9296+Sens!I9292-Sens!I9293-Sens!I9294+Sens!I9295</f>
        <v>177.337709871869</v>
      </c>
      <c r="J9296" s="6" t="n">
        <f aca="false">Sens!I9296+Sens!J9292-Sens!J9293-Sens!J9294+Sens!J9295</f>
        <v>348.678982809608</v>
      </c>
      <c r="K9296" s="6" t="n">
        <f aca="false">Sens!J9296+Sens!K9292-Sens!K9293-Sens!K9294+Sens!K9295</f>
        <v>553.529659537119</v>
      </c>
    </row>
    <row r="9297" customFormat="false" ht="15" hidden="false" customHeight="false" outlineLevel="0" collapsed="false">
      <c r="A9297" s="1" t="s">
        <v>1130</v>
      </c>
      <c r="B9297" s="0" t="s">
        <v>98</v>
      </c>
      <c r="E9297" s="6" t="n">
        <f aca="false">debt_face</f>
        <v>46.136</v>
      </c>
      <c r="F9297" s="6" t="n">
        <f aca="false">Sens!E9297-Sens!F9293+Sens!F9295</f>
        <v>36.886</v>
      </c>
      <c r="G9297" s="6" t="n">
        <f aca="false">Sens!F9297-Sens!G9293+Sens!G9295</f>
        <v>36.886</v>
      </c>
      <c r="H9297" s="6" t="n">
        <f aca="false">Sens!G9297-Sens!H9293+Sens!H9295</f>
        <v>34.885</v>
      </c>
      <c r="I9297" s="6" t="n">
        <f aca="false">Sens!H9297-Sens!I9293+Sens!I9295</f>
        <v>34.885</v>
      </c>
      <c r="J9297" s="6" t="n">
        <f aca="false">Sens!I9297-Sens!J9293+Sens!J9295</f>
        <v>34.385</v>
      </c>
      <c r="K9297" s="6" t="n">
        <f aca="false">Sens!J9297-Sens!K9293+Sens!K9295</f>
        <v>34.385</v>
      </c>
    </row>
    <row r="9298" customFormat="false" ht="15" hidden="false" customHeight="false" outlineLevel="0" collapsed="false">
      <c r="A9298" s="1" t="s">
        <v>1131</v>
      </c>
      <c r="B9298" s="0" t="s">
        <v>98</v>
      </c>
      <c r="E9298" s="6" t="n">
        <f aca="false">Sens!E9296-Sens!E9297</f>
        <v>30.707</v>
      </c>
      <c r="F9298" s="6" t="n">
        <f aca="false">Sens!F9296-Sens!F9297</f>
        <v>13.114</v>
      </c>
      <c r="G9298" s="6" t="n">
        <f aca="false">Sens!G9296-Sens!G9297</f>
        <v>13.114</v>
      </c>
      <c r="H9298" s="6" t="n">
        <f aca="false">Sens!H9296-Sens!H9297</f>
        <v>42.3401663713325</v>
      </c>
      <c r="I9298" s="6" t="n">
        <f aca="false">Sens!I9296-Sens!I9297</f>
        <v>142.452709871869</v>
      </c>
      <c r="J9298" s="6" t="n">
        <f aca="false">Sens!J9296-Sens!J9297</f>
        <v>314.293982809608</v>
      </c>
      <c r="K9298" s="6" t="n">
        <f aca="false">Sens!K9296-Sens!K9297</f>
        <v>519.144659537119</v>
      </c>
    </row>
    <row r="9299" customFormat="false" ht="15" hidden="false" customHeight="false" outlineLevel="0" collapsed="false">
      <c r="A9299" s="1" t="s">
        <v>1132</v>
      </c>
      <c r="B9299" s="0" t="s">
        <v>75</v>
      </c>
      <c r="F9299" s="30" t="n">
        <f aca="false">px*(1+bb_g)^(Sens!F9157-base_fy-mid_yr)</f>
        <v>551.84177959629</v>
      </c>
      <c r="G9299" s="30" t="n">
        <f aca="false">px*(1+bb_g)^(Sens!G9157-base_fy-mid_yr)</f>
        <v>595.989121963993</v>
      </c>
      <c r="H9299" s="30" t="n">
        <f aca="false">px*(1+bb_g)^(Sens!H9157-base_fy-mid_yr)</f>
        <v>643.668251721112</v>
      </c>
      <c r="I9299" s="30" t="n">
        <f aca="false">px*(1+bb_g)^(Sens!I9157-base_fy-mid_yr)</f>
        <v>695.161711858801</v>
      </c>
      <c r="J9299" s="30" t="n">
        <f aca="false">px*(1+bb_g)^(Sens!J9157-base_fy-mid_yr)</f>
        <v>750.774648807506</v>
      </c>
      <c r="K9299" s="30" t="n">
        <f aca="false">px*(1+bb_g)^(Sens!K9157-base_fy-mid_yr)</f>
        <v>810.836620712106</v>
      </c>
    </row>
    <row r="9300" customFormat="false" ht="15" hidden="false" customHeight="false" outlineLevel="0" collapsed="false">
      <c r="A9300" s="1" t="s">
        <v>1133</v>
      </c>
      <c r="B9300" s="1" t="s">
        <v>81</v>
      </c>
      <c r="E9300" s="15" t="n">
        <f aca="false">sh_out26</f>
        <v>7.427</v>
      </c>
      <c r="F9300" s="15" t="n">
        <f aca="false">Sens!E9300+sh_iss-Sens!F9294/Sens!F9299</f>
        <v>7.46652193360988</v>
      </c>
      <c r="G9300" s="15" t="n">
        <f aca="false">Sens!F9300+sh_iss-Sens!G9294/Sens!G9299</f>
        <v>7.50646375365047</v>
      </c>
      <c r="H9300" s="15" t="n">
        <f aca="false">Sens!G9300+sh_iss-Sens!H9294/Sens!H9299</f>
        <v>7.51686363170808</v>
      </c>
      <c r="I9300" s="15" t="n">
        <f aca="false">Sens!H9300+sh_iss-Sens!I9294/Sens!I9299</f>
        <v>7.52982648176141</v>
      </c>
      <c r="J9300" s="15" t="n">
        <f aca="false">Sens!I9300+sh_iss-Sens!J9294/Sens!J9299</f>
        <v>7.54516245403302</v>
      </c>
      <c r="K9300" s="15" t="n">
        <f aca="false">Sens!J9300+sh_iss-Sens!K9294/Sens!K9299</f>
        <v>7.56269576169192</v>
      </c>
    </row>
    <row r="9301" customFormat="false" ht="15" hidden="false" customHeight="false" outlineLevel="0" collapsed="false">
      <c r="A9301" s="1" t="s">
        <v>1134</v>
      </c>
      <c r="B9301" s="1" t="s">
        <v>81</v>
      </c>
      <c r="E9301" s="15" t="n">
        <f aca="false">sh_dil26</f>
        <v>7.453</v>
      </c>
      <c r="F9301" s="15" t="n">
        <f aca="false">(Sens!E9300+Sens!F9300)/2+dil_gap</f>
        <v>7.47076096680494</v>
      </c>
      <c r="G9301" s="15" t="n">
        <f aca="false">(Sens!F9300+Sens!G9300)/2+dil_gap</f>
        <v>7.51049284363018</v>
      </c>
      <c r="H9301" s="15" t="n">
        <f aca="false">(Sens!G9300+Sens!H9300)/2+dil_gap</f>
        <v>7.53566369267927</v>
      </c>
      <c r="I9301" s="15" t="n">
        <f aca="false">(Sens!H9300+Sens!I9300)/2+dil_gap</f>
        <v>7.54734505673474</v>
      </c>
      <c r="J9301" s="15" t="n">
        <f aca="false">(Sens!I9300+Sens!J9300)/2+dil_gap</f>
        <v>7.56149446789722</v>
      </c>
      <c r="K9301" s="15" t="n">
        <f aca="false">(Sens!J9300+Sens!K9300)/2+dil_gap</f>
        <v>7.57792910786247</v>
      </c>
    </row>
    <row r="9302" customFormat="false" ht="17.15" hidden="false" customHeight="false" outlineLevel="0" collapsed="false">
      <c r="A9302" s="1" t="s">
        <v>1135</v>
      </c>
      <c r="B9302" s="0" t="s">
        <v>98</v>
      </c>
      <c r="C9302" s="6" t="n">
        <f aca="false">SUM(Sens!F9292:J9292)</f>
        <v>356.437628947822</v>
      </c>
    </row>
    <row r="9303" customFormat="false" ht="15" hidden="false" customHeight="false" outlineLevel="0" collapsed="false">
      <c r="A9303" s="26" t="s">
        <v>1100</v>
      </c>
      <c r="B9303" s="31" t="s">
        <v>98</v>
      </c>
      <c r="C9303" s="27" t="n">
        <f aca="false">Sens!$C$9302-(Sens!F9292+Sens!G9292+Sens!H9292+Sens!I9292+Sens!J9292)</f>
        <v>0</v>
      </c>
      <c r="D9303" s="31"/>
      <c r="E9303" s="31"/>
      <c r="F9303" s="31"/>
      <c r="G9303" s="31"/>
      <c r="H9303" s="31"/>
      <c r="I9303" s="31"/>
      <c r="J9303" s="31"/>
      <c r="K9303" s="31"/>
    </row>
    <row r="9304" customFormat="false" ht="17.15" hidden="false" customHeight="false" outlineLevel="0" collapsed="false">
      <c r="A9304" s="1" t="s">
        <v>1094</v>
      </c>
      <c r="B9304" s="1" t="s">
        <v>1136</v>
      </c>
      <c r="C9304" s="33" t="str">
        <f aca="false">IF(SUM(Sens!F9295:J9295)&gt;0.05,"需要舉債 "&amp;TEXT(SUM(Sens!F9295:J9295),"0.0")&amp;" 十億美元","不需舉債")&amp;"；"&amp;IF(SUM(Sens!F9294:J9294)&lt;COUNT(Sens!F9294:J9294)*bb_target-0.05,"回購較每年 "&amp;TEXT(bb_target,"0.0")&amp;" 的目標少 "&amp;TEXT(COUNT(Sens!F9294:J9294)*bb_target-SUM(Sens!F9294:J9294),"0.0")&amp;" 十億美元（"&amp;TEXT(COUNTIF(Sens!F9294:J9294,"&lt;"&amp;(bb_target-0.05)),"0")&amp;" 年減少）","回購不減")</f>
        <v>不需舉債；回購較每年 22.3 的目標少 38.5 十億美元（2 年減少）</v>
      </c>
    </row>
    <row r="9305" customFormat="false" ht="17.15" hidden="false" customHeight="false" outlineLevel="0" collapsed="false">
      <c r="A9305" s="3" t="s">
        <v>1844</v>
      </c>
    </row>
    <row r="9306" customFormat="false" ht="15" hidden="false" customHeight="false" outlineLevel="0" collapsed="false">
      <c r="A9306" s="4" t="s">
        <v>43</v>
      </c>
      <c r="B9306" s="4" t="s">
        <v>65</v>
      </c>
      <c r="C9306" s="23" t="s">
        <v>942</v>
      </c>
      <c r="D9306" s="23" t="s">
        <v>943</v>
      </c>
      <c r="E9306" s="23" t="s">
        <v>944</v>
      </c>
      <c r="F9306" s="23" t="s">
        <v>945</v>
      </c>
      <c r="G9306" s="23" t="s">
        <v>946</v>
      </c>
      <c r="H9306" s="23" t="s">
        <v>947</v>
      </c>
      <c r="I9306" s="23" t="s">
        <v>948</v>
      </c>
      <c r="J9306" s="23" t="s">
        <v>949</v>
      </c>
      <c r="K9306" s="23" t="s">
        <v>950</v>
      </c>
      <c r="L9306" s="4" t="s">
        <v>47</v>
      </c>
    </row>
    <row r="9307" customFormat="false" ht="17.15" hidden="false" customHeight="false" outlineLevel="0" collapsed="false">
      <c r="A9307" s="1" t="s">
        <v>1216</v>
      </c>
      <c r="B9307" s="1" t="s">
        <v>279</v>
      </c>
      <c r="F9307" s="8" t="n">
        <f aca="false">(1-v_off)*mid_yr</f>
        <v>0.373972602739726</v>
      </c>
      <c r="G9307" s="8" t="n">
        <f aca="false">Sens!G9157-base_fy-mid_yr-v_off</f>
        <v>1.24794520547945</v>
      </c>
      <c r="H9307" s="8" t="n">
        <f aca="false">Sens!H9157-base_fy-mid_yr-v_off</f>
        <v>2.24794520547945</v>
      </c>
      <c r="I9307" s="8" t="n">
        <f aca="false">Sens!I9157-base_fy-mid_yr-v_off</f>
        <v>3.24794520547945</v>
      </c>
      <c r="J9307" s="8" t="n">
        <f aca="false">Sens!J9157-base_fy-mid_yr-v_off</f>
        <v>4.24794520547945</v>
      </c>
      <c r="K9307" s="8" t="n">
        <f aca="false">Sens!K9157-base_fy-mid_yr-v_off</f>
        <v>5.24794520547945</v>
      </c>
      <c r="L9307" s="12" t="s">
        <v>1217</v>
      </c>
    </row>
    <row r="9308" customFormat="false" ht="15" hidden="false" customHeight="false" outlineLevel="0" collapsed="false">
      <c r="A9308" s="1" t="s">
        <v>1218</v>
      </c>
      <c r="B9308" s="1" t="s">
        <v>279</v>
      </c>
      <c r="F9308" s="8" t="n">
        <f aca="false">Sens!F9157-base_fy-v_off</f>
        <v>0.747945205479452</v>
      </c>
      <c r="G9308" s="8" t="n">
        <f aca="false">Sens!G9157-base_fy-v_off</f>
        <v>1.74794520547945</v>
      </c>
      <c r="H9308" s="8" t="n">
        <f aca="false">Sens!H9157-base_fy-v_off</f>
        <v>2.74794520547945</v>
      </c>
      <c r="I9308" s="8" t="n">
        <f aca="false">Sens!I9157-base_fy-v_off</f>
        <v>3.74794520547945</v>
      </c>
      <c r="J9308" s="8" t="n">
        <f aca="false">Sens!J9157-base_fy-v_off</f>
        <v>4.74794520547945</v>
      </c>
      <c r="K9308" s="8" t="n">
        <f aca="false">Sens!K9157-base_fy-v_off</f>
        <v>5.74794520547945</v>
      </c>
    </row>
    <row r="9309" customFormat="false" ht="15" hidden="false" customHeight="false" outlineLevel="0" collapsed="false">
      <c r="A9309" s="1" t="s">
        <v>1219</v>
      </c>
      <c r="B9309" s="0" t="s">
        <v>229</v>
      </c>
      <c r="F9309" s="15" t="n">
        <f aca="false">1/(1+wacc)^Sens!F9307</f>
        <v>0.964022703286649</v>
      </c>
      <c r="G9309" s="15" t="n">
        <f aca="false">1/(1+wacc)^Sens!G9307</f>
        <v>0.884910302296739</v>
      </c>
      <c r="H9309" s="15" t="n">
        <f aca="false">1/(1+wacc)^Sens!H9307</f>
        <v>0.802322009770358</v>
      </c>
      <c r="I9309" s="15" t="n">
        <f aca="false">1/(1+wacc)^Sens!I9307</f>
        <v>0.727441646561469</v>
      </c>
      <c r="J9309" s="15" t="n">
        <f aca="false">1/(1+wacc)^Sens!J9307</f>
        <v>0.659549834988973</v>
      </c>
      <c r="K9309" s="15" t="n">
        <f aca="false">1/(1+wacc)^Sens!K9307</f>
        <v>0.597994336576966</v>
      </c>
    </row>
    <row r="9310" customFormat="false" ht="17.15" hidden="false" customHeight="false" outlineLevel="0" collapsed="false">
      <c r="A9310" s="1" t="s">
        <v>1220</v>
      </c>
      <c r="B9310" s="0" t="s">
        <v>98</v>
      </c>
      <c r="F9310" s="6" t="n">
        <f aca="false">Q!$I$35-Q!$I$39-Q!$I$43</f>
        <v>9.666</v>
      </c>
      <c r="L9310" s="12" t="s">
        <v>1221</v>
      </c>
    </row>
    <row r="9311" customFormat="false" ht="17.15" hidden="false" customHeight="false" outlineLevel="0" collapsed="false">
      <c r="A9311" s="1" t="s">
        <v>1222</v>
      </c>
      <c r="B9311" s="0" t="s">
        <v>98</v>
      </c>
      <c r="F9311" s="6" t="n">
        <f aca="false">Sens!F9282-Sens!F9279-Sens!F9286+Sens!F9264*(1-tax_f)*(1-v_off)-Sens!F9310</f>
        <v>-1.25956910464869</v>
      </c>
      <c r="G9311" s="6" t="n">
        <f aca="false">Sens!G9282-Sens!G9279-Sens!G9286+Sens!G9264*(1-tax_f)</f>
        <v>38.3705230168694</v>
      </c>
      <c r="H9311" s="6" t="n">
        <f aca="false">Sens!H9282-Sens!H9279-Sens!H9286+Sens!H9264*(1-tax_f)</f>
        <v>97.8251173201527</v>
      </c>
      <c r="I9311" s="6" t="n">
        <f aca="false">Sens!I9282-Sens!I9279-Sens!I9286+Sens!I9264*(1-tax_f)</f>
        <v>179.918722062465</v>
      </c>
      <c r="J9311" s="6" t="n">
        <f aca="false">Sens!J9282-Sens!J9279-Sens!J9286+Sens!J9264*(1-tax_f)</f>
        <v>260.43246732118</v>
      </c>
      <c r="K9311" s="6" t="n">
        <f aca="false">Sens!K9282-Sens!K9279-Sens!K9286+Sens!K9264*(1-tax_f)</f>
        <v>299.14211800652</v>
      </c>
      <c r="L9311" s="1" t="s">
        <v>1223</v>
      </c>
    </row>
    <row r="9312" customFormat="false" ht="15" hidden="false" customHeight="false" outlineLevel="0" collapsed="false">
      <c r="A9312" s="1" t="s">
        <v>1224</v>
      </c>
      <c r="B9312" s="0" t="s">
        <v>98</v>
      </c>
      <c r="F9312" s="6" t="n">
        <f aca="false">Sens!F9311*Sens!F9309</f>
        <v>-1.21425321323977</v>
      </c>
      <c r="G9312" s="6" t="n">
        <f aca="false">Sens!G9311*Sens!G9309</f>
        <v>33.9544711221419</v>
      </c>
      <c r="H9312" s="6" t="n">
        <f aca="false">Sens!H9311*Sens!H9309</f>
        <v>78.487244734326</v>
      </c>
      <c r="I9312" s="6" t="n">
        <f aca="false">Sens!I9311*Sens!I9309</f>
        <v>130.880371424354</v>
      </c>
      <c r="J9312" s="6" t="n">
        <f aca="false">Sens!J9311*Sens!J9309</f>
        <v>171.768190847455</v>
      </c>
      <c r="K9312" s="6" t="n">
        <f aca="false">Sens!K9311*Sens!K9309</f>
        <v>178.885292399537</v>
      </c>
    </row>
    <row r="9313" customFormat="false" ht="17.15" hidden="false" customHeight="false" outlineLevel="0" collapsed="false">
      <c r="A9313" s="1" t="s">
        <v>1225</v>
      </c>
      <c r="B9313" s="0" t="s">
        <v>98</v>
      </c>
      <c r="C9313" s="6" t="n">
        <f aca="false">SUM(Sens!F9312:K9312)</f>
        <v>592.761317314575</v>
      </c>
    </row>
    <row r="9314" customFormat="false" ht="17.15" hidden="false" customHeight="false" outlineLevel="0" collapsed="false">
      <c r="A9314" s="1" t="s">
        <v>1226</v>
      </c>
      <c r="B9314" s="0" t="s">
        <v>98</v>
      </c>
      <c r="C9314" s="6" t="n">
        <f aca="false">Sens!K9250*(1+g_tv)*(1-tax_f)</f>
        <v>309.393135884263</v>
      </c>
    </row>
    <row r="9315" customFormat="false" ht="17.15" hidden="false" customHeight="false" outlineLevel="0" collapsed="false">
      <c r="A9315" s="1" t="s">
        <v>1227</v>
      </c>
      <c r="B9315" s="0" t="s">
        <v>98</v>
      </c>
      <c r="C9315" s="6" t="n">
        <f aca="false">Sens!$C$9314*(1-g_tv/(wacc+ronic_prem))</f>
        <v>219.223119651324</v>
      </c>
    </row>
    <row r="9316" customFormat="false" ht="17.15" hidden="false" customHeight="false" outlineLevel="0" collapsed="false">
      <c r="A9316" s="1" t="s">
        <v>1228</v>
      </c>
      <c r="B9316" s="0" t="s">
        <v>98</v>
      </c>
      <c r="C9316" s="6" t="n">
        <f aca="false">Sens!$C$9315/(wacc-g_tv)</f>
        <v>3005.66720776462</v>
      </c>
    </row>
    <row r="9317" customFormat="false" ht="15" hidden="false" customHeight="false" outlineLevel="0" collapsed="false">
      <c r="A9317" s="1" t="s">
        <v>1229</v>
      </c>
      <c r="B9317" s="0" t="s">
        <v>98</v>
      </c>
      <c r="C9317" s="6" t="n">
        <f aca="false">Sens!$C$9316/(1+wacc)^Sens!K9308</f>
        <v>1711.44399344739</v>
      </c>
    </row>
    <row r="9318" customFormat="false" ht="17.15" hidden="false" customHeight="false" outlineLevel="0" collapsed="false">
      <c r="A9318" s="0" t="s">
        <v>1230</v>
      </c>
      <c r="B9318" s="0" t="s">
        <v>98</v>
      </c>
      <c r="C9318" s="6" t="n">
        <f aca="false">Sens!$C$9313+Sens!$C$9317</f>
        <v>2304.20531076197</v>
      </c>
    </row>
    <row r="9319" customFormat="false" ht="15" hidden="false" customHeight="false" outlineLevel="0" collapsed="false">
      <c r="A9319" s="1" t="s">
        <v>1145</v>
      </c>
      <c r="B9319" s="0" t="s">
        <v>168</v>
      </c>
      <c r="C9319" s="7" t="n">
        <f aca="false">Sens!$C$9317/Sens!$C$9318</f>
        <v>0.742748046562501</v>
      </c>
    </row>
    <row r="9320" customFormat="false" ht="17.15" hidden="false" customHeight="false" outlineLevel="0" collapsed="false">
      <c r="A9320" s="1" t="s">
        <v>1231</v>
      </c>
      <c r="B9320" s="0" t="s">
        <v>98</v>
      </c>
      <c r="C9320" s="6" t="n">
        <f aca="false">Sens!$C$9318+cash_val-debt_val-fl_val+oai_v</f>
        <v>2420.05631076197</v>
      </c>
    </row>
    <row r="9321" customFormat="false" ht="17.15" hidden="false" customHeight="false" outlineLevel="0" collapsed="false">
      <c r="A9321" s="0" t="s">
        <v>1153</v>
      </c>
      <c r="B9321" s="0" t="s">
        <v>75</v>
      </c>
      <c r="C9321" s="5" t="n">
        <f aca="false">Sens!$C$9320/shd_val</f>
        <v>325.014277566743</v>
      </c>
    </row>
    <row r="9322" customFormat="false" ht="15" hidden="false" customHeight="false" outlineLevel="0" collapsed="false">
      <c r="A9322" s="1" t="s">
        <v>1232</v>
      </c>
      <c r="B9322" s="0" t="s">
        <v>75</v>
      </c>
      <c r="C9322" s="8" t="n">
        <f aca="false">div_rem27+Sens!G9290*roll_div_q/q_per_yr</f>
        <v>3.9795</v>
      </c>
    </row>
    <row r="9323" customFormat="false" ht="17.15" hidden="false" customHeight="false" outlineLevel="0" collapsed="false">
      <c r="A9323" s="0" t="s">
        <v>1233</v>
      </c>
      <c r="B9323" s="0" t="s">
        <v>75</v>
      </c>
      <c r="C9323" s="5" t="n">
        <f aca="false">Sens!$C$9321*(1+wacc)^t_roll-Sens!$C$9322</f>
        <v>357.292008804018</v>
      </c>
    </row>
    <row r="9324" customFormat="false" ht="17.15" hidden="false" customHeight="false" outlineLevel="0" collapsed="false">
      <c r="A9324" s="1" t="s">
        <v>1234</v>
      </c>
      <c r="B9324" s="0" t="s">
        <v>168</v>
      </c>
      <c r="F9324" s="7" t="n">
        <f aca="false">Sens!F9276/(Sens!F9221-Sens!F9176)</f>
        <v>0.0686104265860633</v>
      </c>
      <c r="G9324" s="7" t="n">
        <f aca="false">Sens!G9276/(Sens!G9221-Sens!G9176)</f>
        <v>0.0655027320922218</v>
      </c>
      <c r="H9324" s="7" t="n">
        <f aca="false">Sens!H9276/(Sens!H9221-Sens!H9176)</f>
        <v>0.0639191995763248</v>
      </c>
      <c r="I9324" s="7" t="n">
        <f aca="false">Sens!I9276/(Sens!I9221-Sens!I9176)</f>
        <v>0.0637415008106584</v>
      </c>
      <c r="J9324" s="7" t="n">
        <f aca="false">Sens!J9276/(Sens!J9221-Sens!J9176)</f>
        <v>0.0646096396288043</v>
      </c>
      <c r="K9324" s="7" t="n">
        <f aca="false">Sens!K9276/(Sens!K9221-Sens!K9176)</f>
        <v>0.0660538025363565</v>
      </c>
    </row>
    <row r="9325" customFormat="false" ht="17.15" hidden="false" customHeight="false" outlineLevel="0" collapsed="false">
      <c r="A9325" s="0" t="s">
        <v>1235</v>
      </c>
      <c r="B9325" s="0" t="s">
        <v>98</v>
      </c>
      <c r="F9325" s="6" t="n">
        <f aca="false">Sens!F9206*(al_m365+Sens!F9324+sbc_r)</f>
        <v>84.5282985785897</v>
      </c>
      <c r="G9325" s="6" t="n">
        <f aca="false">Sens!G9206*(al_m365+Sens!G9324+sbc_r)</f>
        <v>98.9705352387313</v>
      </c>
      <c r="H9325" s="6" t="n">
        <f aca="false">Sens!H9206*(al_m365+Sens!H9324+sbc_r)</f>
        <v>113.585248010545</v>
      </c>
      <c r="I9325" s="6" t="n">
        <f aca="false">Sens!I9206*(al_m365+Sens!I9324+sbc_r)</f>
        <v>126.689865608513</v>
      </c>
      <c r="J9325" s="6" t="n">
        <f aca="false">Sens!J9206*(al_m365+Sens!J9324+sbc_r)</f>
        <v>138.097397107588</v>
      </c>
      <c r="K9325" s="6" t="n">
        <f aca="false">Sens!K9206*(al_m365+Sens!K9324+sbc_r)</f>
        <v>149.128630961163</v>
      </c>
      <c r="L9325" s="12" t="s">
        <v>1236</v>
      </c>
    </row>
    <row r="9326" customFormat="false" ht="17.15" hidden="false" customHeight="false" outlineLevel="0" collapsed="false">
      <c r="A9326" s="0" t="s">
        <v>1237</v>
      </c>
      <c r="B9326" s="0" t="s">
        <v>98</v>
      </c>
      <c r="F9326" s="6" t="n">
        <f aca="false">Sens!F9207*(al_lic+Sens!F9324+sbc_r)</f>
        <v>32.8574148664381</v>
      </c>
      <c r="G9326" s="6" t="n">
        <f aca="false">Sens!G9207*(al_lic+Sens!G9324+sbc_r)</f>
        <v>34.124398156343</v>
      </c>
      <c r="H9326" s="6" t="n">
        <f aca="false">Sens!H9207*(al_lic+Sens!H9324+sbc_r)</f>
        <v>35.3130632229109</v>
      </c>
      <c r="I9326" s="6" t="n">
        <f aca="false">Sens!I9207*(al_lic+Sens!I9324+sbc_r)</f>
        <v>36.4062461576214</v>
      </c>
      <c r="J9326" s="6" t="n">
        <f aca="false">Sens!J9207*(al_lic+Sens!J9324+sbc_r)</f>
        <v>37.3758231391188</v>
      </c>
      <c r="K9326" s="6" t="n">
        <f aca="false">Sens!K9207*(al_lic+Sens!K9324+sbc_r)</f>
        <v>38.1879602771847</v>
      </c>
    </row>
    <row r="9327" customFormat="false" ht="17.15" hidden="false" customHeight="false" outlineLevel="0" collapsed="false">
      <c r="A9327" s="0" t="s">
        <v>1238</v>
      </c>
      <c r="B9327" s="0" t="s">
        <v>98</v>
      </c>
      <c r="F9327" s="6" t="n">
        <f aca="false">Sens!F9209*(al_ind+Sens!F9324+sbc_r)</f>
        <v>9.06021303423706</v>
      </c>
      <c r="G9327" s="6" t="n">
        <f aca="false">Sens!G9209*(al_ind+Sens!G9324+sbc_r)</f>
        <v>9.82812544949804</v>
      </c>
      <c r="H9327" s="6" t="n">
        <f aca="false">Sens!H9209*(al_ind+Sens!H9324+sbc_r)</f>
        <v>10.6445396219651</v>
      </c>
      <c r="I9327" s="6" t="n">
        <f aca="false">Sens!I9209*(al_ind+Sens!I9324+sbc_r)</f>
        <v>11.5076312618906</v>
      </c>
      <c r="J9327" s="6" t="n">
        <f aca="false">Sens!J9209*(al_ind+Sens!J9324+sbc_r)</f>
        <v>12.4064837833137</v>
      </c>
      <c r="K9327" s="6" t="n">
        <f aca="false">Sens!K9209*(al_ind+Sens!K9324+sbc_r)</f>
        <v>13.3226280543846</v>
      </c>
    </row>
    <row r="9328" customFormat="false" ht="17.15" hidden="false" customHeight="false" outlineLevel="0" collapsed="false">
      <c r="A9328" s="0" t="s">
        <v>1239</v>
      </c>
      <c r="B9328" s="0" t="s">
        <v>98</v>
      </c>
      <c r="F9328" s="6" t="n">
        <f aca="false">Sens!F9211*(al_fro+Sens!F9324+sbc_r)</f>
        <v>3.55394949014429</v>
      </c>
      <c r="G9328" s="6" t="n">
        <f aca="false">Sens!G9211*(al_fro+Sens!G9324+sbc_r)</f>
        <v>3.76052883940341</v>
      </c>
      <c r="H9328" s="6" t="n">
        <f aca="false">Sens!H9211*(al_fro+Sens!H9324+sbc_r)</f>
        <v>3.9975242193215</v>
      </c>
      <c r="I9328" s="6" t="n">
        <f aca="false">Sens!I9211*(al_fro+Sens!I9324+sbc_r)</f>
        <v>4.26804207739298</v>
      </c>
      <c r="J9328" s="6" t="n">
        <f aca="false">Sens!J9211*(al_fro+Sens!J9324+sbc_r)</f>
        <v>4.57272018942422</v>
      </c>
      <c r="K9328" s="6" t="n">
        <f aca="false">Sens!K9211*(al_fro+Sens!K9324+sbc_r)</f>
        <v>4.91038809581248</v>
      </c>
    </row>
    <row r="9329" customFormat="false" ht="17.15" hidden="false" customHeight="false" outlineLevel="0" collapsed="false">
      <c r="A9329" s="0" t="s">
        <v>1240</v>
      </c>
      <c r="B9329" s="0" t="s">
        <v>98</v>
      </c>
      <c r="F9329" s="6" t="n">
        <f aca="false">Sens!F9214*(al_srch+Sens!F9324+sbc_r)</f>
        <v>11.1888384000237</v>
      </c>
      <c r="G9329" s="6" t="n">
        <f aca="false">Sens!G9214*(al_srch+Sens!G9324+sbc_r)</f>
        <v>12.2516846384532</v>
      </c>
      <c r="H9329" s="6" t="n">
        <f aca="false">Sens!H9214*(al_srch+Sens!H9324+sbc_r)</f>
        <v>13.363822702153</v>
      </c>
      <c r="I9329" s="6" t="n">
        <f aca="false">Sens!I9214*(al_srch+Sens!I9324+sbc_r)</f>
        <v>14.5162891280219</v>
      </c>
      <c r="J9329" s="6" t="n">
        <f aca="false">Sens!J9214*(al_srch+Sens!J9324+sbc_r)</f>
        <v>15.6876571176318</v>
      </c>
      <c r="K9329" s="6" t="n">
        <f aca="false">Sens!K9214*(al_srch+Sens!K9324+sbc_r)</f>
        <v>16.8460963213467</v>
      </c>
    </row>
    <row r="9330" customFormat="false" ht="17.15" hidden="false" customHeight="false" outlineLevel="0" collapsed="false">
      <c r="A9330" s="0" t="s">
        <v>1241</v>
      </c>
      <c r="B9330" s="0" t="s">
        <v>98</v>
      </c>
      <c r="F9330" s="6" t="n">
        <f aca="false">Sens!F9182-Sens!F9183+Sens!F9264</f>
        <v>45.3782580567763</v>
      </c>
      <c r="G9330" s="6" t="n">
        <f aca="false">Sens!G9182-Sens!G9183+Sens!G9264</f>
        <v>91.0863367558165</v>
      </c>
      <c r="H9330" s="6" t="n">
        <f aca="false">Sens!H9182-Sens!H9183+Sens!H9264</f>
        <v>144.617532464853</v>
      </c>
      <c r="I9330" s="6" t="n">
        <f aca="false">Sens!I9182-Sens!I9183+Sens!I9264</f>
        <v>187.137304561304</v>
      </c>
      <c r="J9330" s="6" t="n">
        <f aca="false">Sens!J9182-Sens!J9183+Sens!J9264</f>
        <v>217.006854425907</v>
      </c>
      <c r="K9330" s="6" t="n">
        <f aca="false">Sens!K9182-Sens!K9183+Sens!K9264</f>
        <v>234.933637903877</v>
      </c>
    </row>
    <row r="9331" customFormat="false" ht="17.15" hidden="false" customHeight="false" outlineLevel="0" collapsed="false">
      <c r="A9331" s="0" t="s">
        <v>1242</v>
      </c>
      <c r="B9331" s="0" t="s">
        <v>98</v>
      </c>
      <c r="F9331" s="6" t="n">
        <f aca="false">Sens!F9243+Sens!F9264+Sens!F9194+Sens!F9324*(Sens!F9213-Sens!F9176)+sbc_r*Sens!F9213</f>
        <v>240.640186563227</v>
      </c>
      <c r="G9331" s="6" t="n">
        <f aca="false">Sens!G9243+Sens!G9264+Sens!G9194+Sens!G9324*(Sens!G9213-Sens!G9176)+sbc_r*Sens!G9213</f>
        <v>311.120211279522</v>
      </c>
      <c r="H9331" s="6" t="n">
        <f aca="false">Sens!H9243+Sens!H9264+Sens!H9194+Sens!H9324*(Sens!H9213-Sens!H9176)+sbc_r*Sens!H9213</f>
        <v>393.531164693449</v>
      </c>
      <c r="I9331" s="6" t="n">
        <f aca="false">Sens!I9243+Sens!I9264+Sens!I9194+Sens!I9324*(Sens!I9213-Sens!I9176)+sbc_r*Sens!I9213</f>
        <v>462.147217809016</v>
      </c>
      <c r="J9331" s="6" t="n">
        <f aca="false">Sens!J9243+Sens!J9264+Sens!J9194+Sens!J9324*(Sens!J9213-Sens!J9176)+sbc_r*Sens!J9213</f>
        <v>514.346457900764</v>
      </c>
      <c r="K9331" s="6" t="n">
        <f aca="false">Sens!K9243+Sens!K9264+Sens!K9194+Sens!K9324*(Sens!K9213-Sens!K9176)+sbc_r*Sens!K9213</f>
        <v>551.368220743897</v>
      </c>
    </row>
    <row r="9332" customFormat="false" ht="17.15" hidden="false" customHeight="false" outlineLevel="0" collapsed="false">
      <c r="A9332" s="0" t="s">
        <v>1243</v>
      </c>
      <c r="B9332" s="0" t="s">
        <v>98</v>
      </c>
      <c r="F9332" s="6" t="n">
        <f aca="false">Sens!F9331-Sens!F9325-Sens!F9326-Sens!F9327-Sens!F9328-Sens!F9330</f>
        <v>65.262052537042</v>
      </c>
      <c r="G9332" s="6" t="n">
        <f aca="false">Sens!G9331-Sens!G9325-Sens!G9326-Sens!G9327-Sens!G9328-Sens!G9330</f>
        <v>73.3502868397299</v>
      </c>
      <c r="H9332" s="6" t="n">
        <f aca="false">Sens!H9331-Sens!H9325-Sens!H9326-Sens!H9327-Sens!H9328-Sens!H9330</f>
        <v>85.3732571538527</v>
      </c>
      <c r="I9332" s="6" t="n">
        <f aca="false">Sens!I9331-Sens!I9325-Sens!I9326-Sens!I9327-Sens!I9328-Sens!I9330</f>
        <v>96.138128142294</v>
      </c>
      <c r="J9332" s="6" t="n">
        <f aca="false">Sens!J9331-Sens!J9325-Sens!J9326-Sens!J9327-Sens!J9328-Sens!J9330</f>
        <v>104.887179255413</v>
      </c>
      <c r="K9332" s="6" t="n">
        <f aca="false">Sens!K9331-Sens!K9325-Sens!K9326-Sens!K9327-Sens!K9328-Sens!K9330</f>
        <v>110.884975451475</v>
      </c>
    </row>
    <row r="9333" customFormat="false" ht="17.15" hidden="false" customHeight="false" outlineLevel="0" collapsed="false">
      <c r="A9333" s="0" t="s">
        <v>1244</v>
      </c>
      <c r="B9333" s="0" t="s">
        <v>98</v>
      </c>
      <c r="F9333" s="6" t="n">
        <f aca="false">Sens!F9245+Sens!F9324*Sens!F9220+sbc_r*Sens!F9220</f>
        <v>26.6330488410055</v>
      </c>
      <c r="G9333" s="6" t="n">
        <f aca="false">Sens!G9245+Sens!G9324*Sens!G9220+sbc_r*Sens!G9220</f>
        <v>26.4501735675866</v>
      </c>
      <c r="H9333" s="6" t="n">
        <f aca="false">Sens!H9245+Sens!H9324*Sens!H9220+sbc_r*Sens!H9220</f>
        <v>27.314472514247</v>
      </c>
      <c r="I9333" s="6" t="n">
        <f aca="false">Sens!I9245+Sens!I9324*Sens!I9220+sbc_r*Sens!I9220</f>
        <v>28.4269762509107</v>
      </c>
      <c r="J9333" s="6" t="n">
        <f aca="false">Sens!J9245+Sens!J9324*Sens!J9220+sbc_r*Sens!J9220</f>
        <v>29.7483534005662</v>
      </c>
      <c r="K9333" s="6" t="n">
        <f aca="false">Sens!K9245+Sens!K9324*Sens!K9220+sbc_r*Sens!K9220</f>
        <v>31.233168919482</v>
      </c>
    </row>
    <row r="9334" customFormat="false" ht="17.15" hidden="false" customHeight="false" outlineLevel="0" collapsed="false">
      <c r="A9334" s="0" t="s">
        <v>1245</v>
      </c>
      <c r="B9334" s="0" t="s">
        <v>98</v>
      </c>
      <c r="F9334" s="6" t="n">
        <f aca="false">(Sens!F9333-Sens!F9329)*Sens!F9216/(Sens!F9216+Sens!F9218)</f>
        <v>8.72266640182179</v>
      </c>
      <c r="G9334" s="6" t="n">
        <f aca="false">(Sens!G9333-Sens!G9329)*Sens!G9216/(Sens!G9216+Sens!G9218)</f>
        <v>7.88128235666499</v>
      </c>
      <c r="H9334" s="6" t="n">
        <f aca="false">(Sens!H9333-Sens!H9329)*Sens!H9216/(Sens!H9216+Sens!H9218)</f>
        <v>7.64283443870857</v>
      </c>
      <c r="I9334" s="6" t="n">
        <f aca="false">(Sens!I9333-Sens!I9329)*Sens!I9216/(Sens!I9216+Sens!I9218)</f>
        <v>7.55442193029167</v>
      </c>
      <c r="J9334" s="6" t="n">
        <f aca="false">(Sens!J9333-Sens!J9329)*Sens!J9216/(Sens!J9216+Sens!J9218)</f>
        <v>7.60257179970398</v>
      </c>
      <c r="K9334" s="6" t="n">
        <f aca="false">(Sens!K9333-Sens!K9329)*Sens!K9216/(Sens!K9216+Sens!K9218)</f>
        <v>7.77904238978776</v>
      </c>
    </row>
    <row r="9335" customFormat="false" ht="17.15" hidden="false" customHeight="false" outlineLevel="0" collapsed="false">
      <c r="A9335" s="0" t="s">
        <v>1246</v>
      </c>
      <c r="B9335" s="0" t="s">
        <v>98</v>
      </c>
      <c r="F9335" s="6" t="n">
        <f aca="false">Sens!F9333-Sens!F9329-Sens!F9334</f>
        <v>6.72154403916</v>
      </c>
      <c r="G9335" s="6" t="n">
        <f aca="false">Sens!G9333-Sens!G9329-Sens!G9334</f>
        <v>6.31720657246847</v>
      </c>
      <c r="H9335" s="6" t="n">
        <f aca="false">Sens!H9333-Sens!H9329-Sens!H9334</f>
        <v>6.30781537338551</v>
      </c>
      <c r="I9335" s="6" t="n">
        <f aca="false">Sens!I9333-Sens!I9329-Sens!I9334</f>
        <v>6.35626519259706</v>
      </c>
      <c r="J9335" s="6" t="n">
        <f aca="false">Sens!J9333-Sens!J9329-Sens!J9334</f>
        <v>6.45812448323038</v>
      </c>
      <c r="K9335" s="6" t="n">
        <f aca="false">Sens!K9333-Sens!K9329-Sens!K9334</f>
        <v>6.60803020834758</v>
      </c>
    </row>
    <row r="9336" customFormat="false" ht="17.15" hidden="false" customHeight="false" outlineLevel="0" collapsed="false">
      <c r="A9336" s="0" t="s">
        <v>1247</v>
      </c>
      <c r="B9336" s="0" t="s">
        <v>98</v>
      </c>
      <c r="F9336" s="6" t="n">
        <f aca="false">Sens!F9330-tax_f*(Sens!F9330-Sens!F9194)-Sens!F9191</f>
        <v>-125.235434701028</v>
      </c>
      <c r="G9336" s="6" t="n">
        <f aca="false">Sens!G9330-tax_f*(Sens!G9330-Sens!G9194)-Sens!G9191</f>
        <v>-106.928508113935</v>
      </c>
      <c r="H9336" s="6" t="n">
        <f aca="false">Sens!H9330-tax_f*(Sens!H9330-Sens!H9194)-Sens!H9191</f>
        <v>-63.2919599603405</v>
      </c>
      <c r="I9336" s="6" t="n">
        <f aca="false">Sens!I9330-tax_f*(Sens!I9330-Sens!I9194)-Sens!I9191</f>
        <v>3.94121196634245</v>
      </c>
      <c r="J9336" s="6" t="n">
        <f aca="false">Sens!J9330-tax_f*(Sens!J9330-Sens!J9194)-Sens!J9191</f>
        <v>71.0786869547042</v>
      </c>
      <c r="K9336" s="6" t="n">
        <f aca="false">Sens!K9330-tax_f*(Sens!K9330-Sens!K9194)-Sens!K9191</f>
        <v>97.5865911685559</v>
      </c>
    </row>
    <row r="9337" customFormat="false" ht="17.15" hidden="false" customHeight="false" outlineLevel="0" collapsed="false">
      <c r="A9337" s="0" t="s">
        <v>1248</v>
      </c>
      <c r="B9337" s="0" t="s">
        <v>98</v>
      </c>
      <c r="G9337" s="6" t="n">
        <f aca="false">Sens!G9336/(1+wacc)^(Sens!G9307-Sens!F9308)</f>
        <v>-101.81651667568</v>
      </c>
      <c r="H9337" s="6" t="n">
        <f aca="false">Sens!H9336/(1+wacc)^(Sens!H9307-Sens!F9308)</f>
        <v>-54.6415143556151</v>
      </c>
      <c r="I9337" s="6" t="n">
        <f aca="false">Sens!I9336/(1+wacc)^(Sens!I9307-Sens!F9308)</f>
        <v>3.08498765169516</v>
      </c>
      <c r="J9337" s="6" t="n">
        <f aca="false">Sens!J9336/(1+wacc)^(Sens!J9307-Sens!F9308)</f>
        <v>50.4443451596971</v>
      </c>
      <c r="K9337" s="6" t="n">
        <f aca="false">Sens!K9336/(1+wacc)^(Sens!K9307-Sens!F9308)</f>
        <v>62.7932114544856</v>
      </c>
      <c r="L9337" s="1" t="s">
        <v>1249</v>
      </c>
    </row>
    <row r="9338" customFormat="false" ht="17.15" hidden="false" customHeight="false" outlineLevel="0" collapsed="false">
      <c r="A9338" s="0" t="s">
        <v>1250</v>
      </c>
      <c r="B9338" s="0" t="s">
        <v>98</v>
      </c>
      <c r="C9338" s="6" t="n">
        <f aca="false">(Sens!K9330-Sens!K9194)*(1-tax_f)*(1+g_tv)*(1-g_tv/(wacc+ronic_prem))/(wacc-g_tv)/(1+wacc)^(Sens!K9308-Sens!F9308)</f>
        <v>450.836735002813</v>
      </c>
    </row>
    <row r="9339" customFormat="false" ht="17.15" hidden="false" customHeight="false" outlineLevel="0" collapsed="false">
      <c r="A9339" s="1" t="s">
        <v>1251</v>
      </c>
      <c r="B9339" s="0" t="s">
        <v>98</v>
      </c>
      <c r="C9339" s="6" t="n">
        <f aca="false">(SUM(Sens!G9337:K9337)+Sens!$C$9338)*(1+wacc)^(t_roll-Sens!F9308)</f>
        <v>424.259738494477</v>
      </c>
      <c r="L9339" s="12" t="s">
        <v>1252</v>
      </c>
    </row>
    <row r="9340" customFormat="false" ht="17.15" hidden="false" customHeight="false" outlineLevel="0" collapsed="false">
      <c r="A9340" s="1" t="s">
        <v>1253</v>
      </c>
      <c r="B9340" s="0" t="s">
        <v>98</v>
      </c>
      <c r="C9340" s="6" t="n">
        <f aca="false">(w_ntm28*Sens!G9182+(1-w_ntm28)*Sens!H9182)*m_ai</f>
        <v>563.316843258668</v>
      </c>
    </row>
    <row r="9341" customFormat="false" ht="17.15" hidden="false" customHeight="false" outlineLevel="0" collapsed="false">
      <c r="A9341" s="1" t="s">
        <v>1254</v>
      </c>
      <c r="B9341" s="0" t="s">
        <v>98</v>
      </c>
      <c r="C9341" s="6" t="n">
        <f aca="false">(w_ntm28*Sens!G9332+(1-w_ntm28)*Sens!H9332)*m_cloud</f>
        <v>1068.32807088929</v>
      </c>
    </row>
    <row r="9342" customFormat="false" ht="17.15" hidden="false" customHeight="false" outlineLevel="0" collapsed="false">
      <c r="A9342" s="1" t="s">
        <v>1255</v>
      </c>
      <c r="B9342" s="0" t="s">
        <v>98</v>
      </c>
      <c r="C9342" s="6" t="n">
        <f aca="false">(w_ntm28*Sens!G9325+(1-w_ntm28)*Sens!H9325)*m_sw</f>
        <v>1120.77402099548</v>
      </c>
    </row>
    <row r="9343" customFormat="false" ht="17.15" hidden="false" customHeight="false" outlineLevel="0" collapsed="false">
      <c r="A9343" s="1" t="s">
        <v>1256</v>
      </c>
      <c r="B9343" s="0" t="s">
        <v>98</v>
      </c>
      <c r="C9343" s="6" t="n">
        <f aca="false">(w_ntm28*Sens!G9326+(1-w_ntm28)*Sens!H9326)*m_sw</f>
        <v>372.764075228976</v>
      </c>
    </row>
    <row r="9344" customFormat="false" ht="17.15" hidden="false" customHeight="false" outlineLevel="0" collapsed="false">
      <c r="A9344" s="1" t="s">
        <v>1257</v>
      </c>
      <c r="B9344" s="0" t="s">
        <v>98</v>
      </c>
      <c r="C9344" s="6" t="n">
        <f aca="false">(w_ntm28*Sens!G9327+(1-w_ntm28)*Sens!H9327)*m_sw</f>
        <v>109.042584354626</v>
      </c>
    </row>
    <row r="9345" customFormat="false" ht="17.15" hidden="false" customHeight="false" outlineLevel="0" collapsed="false">
      <c r="A9345" s="1" t="s">
        <v>1258</v>
      </c>
      <c r="B9345" s="0" t="s">
        <v>98</v>
      </c>
      <c r="C9345" s="6" t="n">
        <f aca="false">(w_ntm28*Sens!G9328+(1-w_ntm28)*Sens!H9328)*m_sw</f>
        <v>41.4552073898687</v>
      </c>
    </row>
    <row r="9346" customFormat="false" ht="17.15" hidden="false" customHeight="false" outlineLevel="0" collapsed="false">
      <c r="A9346" s="1" t="s">
        <v>1259</v>
      </c>
      <c r="B9346" s="0" t="s">
        <v>98</v>
      </c>
      <c r="C9346" s="6" t="n">
        <f aca="false">(w_ntm28*Sens!G9329+(1-w_ntm28)*Sens!H9329)*m_ads</f>
        <v>114.943776730929</v>
      </c>
    </row>
    <row r="9347" customFormat="false" ht="17.15" hidden="false" customHeight="false" outlineLevel="0" collapsed="false">
      <c r="A9347" s="1" t="s">
        <v>1260</v>
      </c>
      <c r="B9347" s="0" t="s">
        <v>98</v>
      </c>
      <c r="C9347" s="6" t="n">
        <f aca="false">(w_ntm28*Sens!G9334+(1-w_ntm28)*Sens!H9334)*m_game</f>
        <v>98.5504820154878</v>
      </c>
    </row>
    <row r="9348" customFormat="false" ht="17.15" hidden="false" customHeight="false" outlineLevel="0" collapsed="false">
      <c r="A9348" s="1" t="s">
        <v>1261</v>
      </c>
      <c r="B9348" s="0" t="s">
        <v>98</v>
      </c>
      <c r="C9348" s="6" t="n">
        <f aca="false">(w_ntm28*Sens!G9335+(1-w_ntm28)*Sens!H9335)*m_pc</f>
        <v>91.3653027252964</v>
      </c>
    </row>
    <row r="9349" customFormat="false" ht="17.15" hidden="false" customHeight="false" outlineLevel="0" collapsed="false">
      <c r="A9349" s="1" t="s">
        <v>1262</v>
      </c>
      <c r="B9349" s="0" t="s">
        <v>98</v>
      </c>
      <c r="C9349" s="6" t="n">
        <f aca="false">Sens!$C$9339+Sens!$C$9341+Sens!$C$9342+Sens!$C$9343+Sens!$C$9344+Sens!$C$9345+Sens!$C$9346+Sens!$C$9347+Sens!$C$9348</f>
        <v>3441.48325882443</v>
      </c>
    </row>
    <row r="9350" customFormat="false" ht="17.15" hidden="false" customHeight="false" outlineLevel="0" collapsed="false">
      <c r="A9350" s="1" t="s">
        <v>1263</v>
      </c>
      <c r="B9350" s="0" t="s">
        <v>98</v>
      </c>
      <c r="C9350" s="6" t="n">
        <f aca="false">(Sens!G9311-Sens!G9336)*t_stub</f>
        <v>48.1676240187051</v>
      </c>
      <c r="L9350" s="1" t="s">
        <v>1264</v>
      </c>
    </row>
    <row r="9351" customFormat="false" ht="17.15" hidden="false" customHeight="false" outlineLevel="0" collapsed="false">
      <c r="A9351" s="1" t="s">
        <v>1173</v>
      </c>
      <c r="B9351" s="0" t="s">
        <v>98</v>
      </c>
      <c r="C9351" s="6" t="n">
        <f aca="false">Sens!F9298+oai_v-Sens!F9287+Sens!$C$9350</f>
        <v>162.395894018705</v>
      </c>
      <c r="L9351" s="1" t="s">
        <v>1265</v>
      </c>
    </row>
    <row r="9352" customFormat="false" ht="17.15" hidden="false" customHeight="false" outlineLevel="0" collapsed="false">
      <c r="A9352" s="1" t="s">
        <v>1266</v>
      </c>
      <c r="B9352" s="0" t="s">
        <v>75</v>
      </c>
      <c r="C9352" s="5" t="n">
        <f aca="false">(Sens!$C$9349+Sens!$C$9351)/(Sens!F9300+dil_gap)-Sens!G9290*roll_div_q/q_per_yr</f>
        <v>480.08573863959</v>
      </c>
      <c r="L9352" s="1" t="s">
        <v>1267</v>
      </c>
    </row>
    <row r="9353" customFormat="false" ht="17.15" hidden="false" customHeight="false" outlineLevel="0" collapsed="false">
      <c r="A9353" s="1" t="s">
        <v>1268</v>
      </c>
      <c r="B9353" s="0" t="s">
        <v>75</v>
      </c>
      <c r="C9353" s="5" t="n">
        <f aca="false">w_dcf*Sens!$C$9323+(1-w_dcf)*Sens!$C$9352</f>
        <v>418.688873721804</v>
      </c>
    </row>
    <row r="9354" customFormat="false" ht="17.15" hidden="false" customHeight="false" outlineLevel="0" collapsed="false">
      <c r="A9354" s="3" t="s">
        <v>1845</v>
      </c>
    </row>
    <row r="9355" customFormat="false" ht="15" hidden="false" customHeight="false" outlineLevel="0" collapsed="false">
      <c r="A9355" s="4" t="s">
        <v>43</v>
      </c>
      <c r="B9355" s="4" t="s">
        <v>65</v>
      </c>
      <c r="C9355" s="23" t="s">
        <v>942</v>
      </c>
      <c r="D9355" s="23" t="s">
        <v>943</v>
      </c>
      <c r="E9355" s="23" t="s">
        <v>944</v>
      </c>
      <c r="F9355" s="23" t="s">
        <v>945</v>
      </c>
      <c r="G9355" s="23" t="s">
        <v>946</v>
      </c>
      <c r="H9355" s="23" t="s">
        <v>947</v>
      </c>
      <c r="I9355" s="23" t="s">
        <v>948</v>
      </c>
      <c r="J9355" s="23" t="s">
        <v>949</v>
      </c>
      <c r="K9355" s="23" t="s">
        <v>950</v>
      </c>
      <c r="L9355" s="4" t="s">
        <v>47</v>
      </c>
    </row>
    <row r="9356" customFormat="false" ht="17.15" hidden="false" customHeight="false" outlineLevel="0" collapsed="false">
      <c r="A9356" s="1" t="s">
        <v>951</v>
      </c>
      <c r="B9356" s="1" t="s">
        <v>279</v>
      </c>
      <c r="C9356" s="21" t="n">
        <v>2024</v>
      </c>
      <c r="D9356" s="21" t="n">
        <v>2025</v>
      </c>
      <c r="E9356" s="21" t="n">
        <v>2026</v>
      </c>
      <c r="F9356" s="21" t="n">
        <v>2027</v>
      </c>
      <c r="G9356" s="21" t="n">
        <v>2028</v>
      </c>
      <c r="H9356" s="21" t="n">
        <v>2029</v>
      </c>
      <c r="I9356" s="21" t="n">
        <v>2030</v>
      </c>
      <c r="J9356" s="21" t="n">
        <v>2031</v>
      </c>
      <c r="K9356" s="21" t="n">
        <v>2032</v>
      </c>
    </row>
    <row r="9357" customFormat="false" ht="17.15" hidden="false" customHeight="false" outlineLevel="0" collapsed="false">
      <c r="A9357" s="1" t="s">
        <v>952</v>
      </c>
      <c r="B9357" s="0" t="s">
        <v>459</v>
      </c>
      <c r="F9357" s="30" t="n">
        <f aca="false">pace</f>
        <v>2726.5351</v>
      </c>
      <c r="G9357" s="30" t="n">
        <f aca="false">pace</f>
        <v>2726.5351</v>
      </c>
      <c r="H9357" s="30" t="n">
        <f aca="false">pace</f>
        <v>2726.5351</v>
      </c>
      <c r="I9357" s="30" t="n">
        <f aca="false">pace+(g_tv*Sens!H9358-pace)*MIN(1,(Sens!I9356-pace_y0)/(pace_y1-pace_y0))</f>
        <v>1931.98611966667</v>
      </c>
      <c r="J9357" s="30" t="n">
        <f aca="false">pace+(g_tv*Sens!I9358-pace)*MIN(1,(Sens!J9356-pace_y0)/(pace_y1-pace_y0))</f>
        <v>1176.07686172667</v>
      </c>
      <c r="K9357" s="30" t="n">
        <f aca="false">pace+(g_tv*Sens!J9358-pace)*MIN(1,(Sens!K9356-pace_y0)/(pace_y1-pace_y0))</f>
        <v>436.1300484418</v>
      </c>
      <c r="L9357" s="12" t="s">
        <v>953</v>
      </c>
    </row>
    <row r="9358" customFormat="false" ht="17.15" hidden="false" customHeight="false" outlineLevel="0" collapsed="false">
      <c r="A9358" s="1" t="s">
        <v>954</v>
      </c>
      <c r="B9358" s="0" t="s">
        <v>459</v>
      </c>
      <c r="C9358" s="30" t="n">
        <f aca="false">mw_ext_24</f>
        <v>640</v>
      </c>
      <c r="D9358" s="30" t="n">
        <f aca="false">mw_ext_25</f>
        <v>1630</v>
      </c>
      <c r="E9358" s="30" t="n">
        <f aca="false">mw_ext_26</f>
        <v>3250</v>
      </c>
      <c r="F9358" s="30" t="n">
        <f aca="false">Sens!E9358+Sens!F9357</f>
        <v>5976.5351</v>
      </c>
      <c r="G9358" s="30" t="n">
        <f aca="false">Sens!F9358+Sens!G9357</f>
        <v>8703.0702</v>
      </c>
      <c r="H9358" s="30" t="n">
        <f aca="false">Sens!G9358+Sens!H9357</f>
        <v>11429.6053</v>
      </c>
      <c r="I9358" s="30" t="n">
        <f aca="false">Sens!H9358+Sens!I9357</f>
        <v>13361.5914196667</v>
      </c>
      <c r="J9358" s="30" t="n">
        <f aca="false">Sens!I9358+Sens!J9357</f>
        <v>14537.6682813933</v>
      </c>
      <c r="K9358" s="30" t="n">
        <f aca="false">Sens!J9358+Sens!K9357</f>
        <v>14973.7983298351</v>
      </c>
      <c r="L9358" s="1" t="s">
        <v>955</v>
      </c>
    </row>
    <row r="9359" customFormat="false" ht="17.15" hidden="false" customHeight="false" outlineLevel="0" collapsed="false">
      <c r="A9359" s="1" t="s">
        <v>956</v>
      </c>
      <c r="B9359" s="0" t="s">
        <v>459</v>
      </c>
      <c r="C9359" s="30" t="n">
        <f aca="false">rent_ext_24</f>
        <v>150</v>
      </c>
      <c r="D9359" s="30" t="n">
        <f aca="false">rent_ext_25</f>
        <v>400</v>
      </c>
      <c r="E9359" s="30" t="n">
        <f aca="false">rent_ext_26</f>
        <v>550</v>
      </c>
      <c r="F9359" s="30" t="n">
        <f aca="false">rent_ext_f</f>
        <v>756</v>
      </c>
      <c r="G9359" s="30" t="n">
        <f aca="false">rent_ext_f</f>
        <v>756</v>
      </c>
      <c r="H9359" s="30" t="n">
        <f aca="false">rent_ext_f</f>
        <v>756</v>
      </c>
      <c r="I9359" s="30" t="n">
        <f aca="false">rent_ext_f</f>
        <v>756</v>
      </c>
      <c r="J9359" s="30" t="n">
        <f aca="false">rent_ext_f</f>
        <v>756</v>
      </c>
      <c r="K9359" s="30" t="n">
        <f aca="false">rent_ext_f</f>
        <v>756</v>
      </c>
      <c r="L9359" s="1" t="s">
        <v>957</v>
      </c>
    </row>
    <row r="9360" customFormat="false" ht="17.15" hidden="false" customHeight="false" outlineLevel="0" collapsed="false">
      <c r="A9360" s="1" t="s">
        <v>958</v>
      </c>
      <c r="B9360" s="0" t="s">
        <v>459</v>
      </c>
      <c r="C9360" s="30" t="n">
        <f aca="false">Sens!C9358-Sens!C9359</f>
        <v>490</v>
      </c>
      <c r="D9360" s="30" t="n">
        <f aca="false">Sens!D9358-Sens!D9359</f>
        <v>1230</v>
      </c>
      <c r="E9360" s="30" t="n">
        <f aca="false">Sens!E9358-Sens!E9359</f>
        <v>2700</v>
      </c>
      <c r="F9360" s="30" t="n">
        <f aca="false">Sens!F9358-Sens!F9359</f>
        <v>5220.5351</v>
      </c>
      <c r="G9360" s="30" t="n">
        <f aca="false">Sens!G9358-Sens!G9359</f>
        <v>7947.0702</v>
      </c>
      <c r="H9360" s="30" t="n">
        <f aca="false">Sens!H9358-Sens!H9359</f>
        <v>10673.6053</v>
      </c>
      <c r="I9360" s="30" t="n">
        <f aca="false">Sens!I9358-Sens!I9359</f>
        <v>12605.5914196667</v>
      </c>
      <c r="J9360" s="30" t="n">
        <f aca="false">Sens!J9358-Sens!J9359</f>
        <v>13781.6682813933</v>
      </c>
      <c r="K9360" s="30" t="n">
        <f aca="false">Sens!K9358-Sens!K9359</f>
        <v>14217.7983298351</v>
      </c>
    </row>
    <row r="9361" customFormat="false" ht="17.15" hidden="false" customHeight="false" outlineLevel="0" collapsed="false">
      <c r="A9361" s="1" t="s">
        <v>959</v>
      </c>
      <c r="B9361" s="0" t="s">
        <v>459</v>
      </c>
      <c r="C9361" s="30" t="n">
        <f aca="false">Sens!C9360/ext_sh</f>
        <v>816.666666666667</v>
      </c>
      <c r="D9361" s="30" t="n">
        <f aca="false">Sens!D9360/ext_sh</f>
        <v>2050</v>
      </c>
      <c r="E9361" s="30" t="n">
        <f aca="false">Sens!E9360/ext_sh</f>
        <v>4500</v>
      </c>
      <c r="F9361" s="30" t="n">
        <f aca="false">Sens!F9360/ext_sh</f>
        <v>8700.89183333333</v>
      </c>
      <c r="G9361" s="30" t="n">
        <f aca="false">Sens!G9360/ext_sh</f>
        <v>13245.117</v>
      </c>
      <c r="H9361" s="30" t="n">
        <f aca="false">Sens!H9360/ext_sh</f>
        <v>17789.3421666667</v>
      </c>
      <c r="I9361" s="30" t="n">
        <f aca="false">Sens!I9360/ext_sh</f>
        <v>21009.3190327778</v>
      </c>
      <c r="J9361" s="30" t="n">
        <f aca="false">Sens!J9360/ext_sh</f>
        <v>22969.4471356556</v>
      </c>
      <c r="K9361" s="30" t="n">
        <f aca="false">Sens!K9360/ext_sh</f>
        <v>23696.3305497252</v>
      </c>
      <c r="L9361" s="1" t="s">
        <v>960</v>
      </c>
    </row>
    <row r="9362" customFormat="false" ht="17.15" hidden="false" customHeight="false" outlineLevel="0" collapsed="false">
      <c r="A9362" s="1" t="s">
        <v>961</v>
      </c>
      <c r="B9362" s="0" t="s">
        <v>459</v>
      </c>
      <c r="C9362" s="30" t="n">
        <f aca="false">Sens!C9361-Sens!C9360</f>
        <v>326.666666666667</v>
      </c>
      <c r="D9362" s="30" t="n">
        <f aca="false">Sens!D9361-Sens!D9360</f>
        <v>820</v>
      </c>
      <c r="E9362" s="30" t="n">
        <f aca="false">Sens!E9361-Sens!E9360</f>
        <v>1800</v>
      </c>
      <c r="F9362" s="30" t="n">
        <f aca="false">Sens!F9361-Sens!F9360</f>
        <v>3480.35673333333</v>
      </c>
      <c r="G9362" s="30" t="n">
        <f aca="false">Sens!G9361-Sens!G9360</f>
        <v>5298.0468</v>
      </c>
      <c r="H9362" s="30" t="n">
        <f aca="false">Sens!H9361-Sens!H9360</f>
        <v>7115.73686666667</v>
      </c>
      <c r="I9362" s="30" t="n">
        <f aca="false">Sens!I9361-Sens!I9360</f>
        <v>8403.72761311111</v>
      </c>
      <c r="J9362" s="30" t="n">
        <f aca="false">Sens!J9361-Sens!J9360</f>
        <v>9187.77885426222</v>
      </c>
      <c r="K9362" s="30" t="n">
        <f aca="false">Sens!K9361-Sens!K9360</f>
        <v>9478.53221989009</v>
      </c>
    </row>
    <row r="9363" customFormat="false" ht="17.15" hidden="false" customHeight="false" outlineLevel="0" collapsed="false">
      <c r="A9363" s="1" t="s">
        <v>962</v>
      </c>
      <c r="B9363" s="0" t="s">
        <v>459</v>
      </c>
      <c r="C9363" s="30" t="n">
        <f aca="false">Sens!C9361</f>
        <v>816.666666666667</v>
      </c>
      <c r="D9363" s="30" t="n">
        <f aca="false">Sens!D9361-Sens!C9361</f>
        <v>1233.33333333333</v>
      </c>
      <c r="E9363" s="30" t="n">
        <f aca="false">Sens!E9361-Sens!D9361</f>
        <v>2450</v>
      </c>
      <c r="F9363" s="30" t="n">
        <f aca="false">Sens!F9361-Sens!E9361</f>
        <v>4200.89183333333</v>
      </c>
      <c r="G9363" s="30" t="n">
        <f aca="false">Sens!G9361-Sens!F9361</f>
        <v>4544.22516666667</v>
      </c>
      <c r="H9363" s="30" t="n">
        <f aca="false">Sens!H9361-Sens!G9361</f>
        <v>4544.22516666667</v>
      </c>
      <c r="I9363" s="30" t="n">
        <f aca="false">Sens!I9361-Sens!H9361</f>
        <v>3219.97686611111</v>
      </c>
      <c r="J9363" s="30" t="n">
        <f aca="false">Sens!J9361-Sens!I9361</f>
        <v>1960.12810287778</v>
      </c>
      <c r="K9363" s="30" t="n">
        <f aca="false">Sens!K9361-Sens!J9361</f>
        <v>726.883414069667</v>
      </c>
    </row>
    <row r="9364" customFormat="false" ht="17.15" hidden="false" customHeight="false" outlineLevel="0" collapsed="false">
      <c r="A9364" s="1" t="s">
        <v>963</v>
      </c>
      <c r="B9364" s="0" t="s">
        <v>459</v>
      </c>
      <c r="D9364" s="30" t="n">
        <f aca="false">Sens!D9358-Sens!C9358</f>
        <v>990</v>
      </c>
      <c r="E9364" s="30" t="n">
        <f aca="false">Sens!E9358-Sens!D9358</f>
        <v>1620</v>
      </c>
      <c r="F9364" s="30" t="n">
        <f aca="false">Sens!F9358-Sens!E9358</f>
        <v>2726.5351</v>
      </c>
      <c r="G9364" s="30" t="n">
        <f aca="false">Sens!G9358-Sens!F9358</f>
        <v>2726.5351</v>
      </c>
      <c r="H9364" s="30" t="n">
        <f aca="false">Sens!H9358-Sens!G9358</f>
        <v>2726.5351</v>
      </c>
      <c r="I9364" s="30" t="n">
        <f aca="false">Sens!I9358-Sens!H9358</f>
        <v>1931.98611966667</v>
      </c>
      <c r="J9364" s="30" t="n">
        <f aca="false">Sens!J9358-Sens!I9358</f>
        <v>1176.07686172667</v>
      </c>
      <c r="K9364" s="30" t="n">
        <f aca="false">Sens!K9358-Sens!J9358</f>
        <v>436.130048441799</v>
      </c>
    </row>
    <row r="9365" customFormat="false" ht="17.15" hidden="false" customHeight="false" outlineLevel="0" collapsed="false">
      <c r="A9365" s="1" t="s">
        <v>964</v>
      </c>
      <c r="B9365" s="0" t="s">
        <v>459</v>
      </c>
      <c r="F9365" s="30" t="n">
        <f aca="false">Sens!F9384*ext_sh</f>
        <v>0</v>
      </c>
      <c r="G9365" s="30" t="n">
        <f aca="false">Sens!G9384*ext_sh</f>
        <v>0</v>
      </c>
      <c r="H9365" s="30" t="n">
        <f aca="false">Sens!H9384*ext_sh</f>
        <v>0</v>
      </c>
      <c r="I9365" s="30" t="n">
        <f aca="false">Sens!I9384*ext_sh</f>
        <v>490</v>
      </c>
      <c r="J9365" s="30" t="n">
        <f aca="false">Sens!J9384*ext_sh</f>
        <v>740</v>
      </c>
      <c r="K9365" s="30" t="n">
        <f aca="false">Sens!K9384*ext_sh</f>
        <v>1470</v>
      </c>
      <c r="L9365" s="1" t="s">
        <v>965</v>
      </c>
    </row>
    <row r="9366" customFormat="false" ht="17.15" hidden="false" customHeight="false" outlineLevel="0" collapsed="false">
      <c r="A9366" s="1" t="s">
        <v>966</v>
      </c>
      <c r="B9366" s="0" t="s">
        <v>459</v>
      </c>
      <c r="C9366" s="30" t="n">
        <f aca="false">mix_h*Sens!C9358</f>
        <v>128</v>
      </c>
      <c r="D9366" s="30" t="n">
        <f aca="false">mix_h*Sens!D9358</f>
        <v>326</v>
      </c>
      <c r="E9366" s="30" t="n">
        <f aca="false">mix_h*Sens!E9358</f>
        <v>650</v>
      </c>
      <c r="F9366" s="30" t="n">
        <f aca="false">Sens!E9366-Sens!F9365*mix_h</f>
        <v>650</v>
      </c>
      <c r="G9366" s="30" t="n">
        <f aca="false">Sens!F9366-Sens!G9365*mix_h</f>
        <v>650</v>
      </c>
      <c r="H9366" s="30" t="n">
        <f aca="false">Sens!G9366-Sens!H9365*mix_h</f>
        <v>650</v>
      </c>
      <c r="I9366" s="30" t="n">
        <f aca="false">Sens!H9366-Sens!I9365*mix_h</f>
        <v>552</v>
      </c>
      <c r="J9366" s="30" t="n">
        <f aca="false">Sens!I9366-Sens!J9365*mix_h</f>
        <v>404</v>
      </c>
      <c r="K9366" s="30" t="n">
        <f aca="false">Sens!J9366-Sens!K9365*mix_h</f>
        <v>110</v>
      </c>
    </row>
    <row r="9367" customFormat="false" ht="17.15" hidden="false" customHeight="false" outlineLevel="0" collapsed="false">
      <c r="A9367" s="1" t="s">
        <v>967</v>
      </c>
      <c r="B9367" s="0" t="s">
        <v>459</v>
      </c>
      <c r="C9367" s="30" t="n">
        <f aca="false">mix_g2*Sens!C9358</f>
        <v>288</v>
      </c>
      <c r="D9367" s="30" t="n">
        <f aca="false">mix_g2*Sens!D9358</f>
        <v>733.5</v>
      </c>
      <c r="E9367" s="30" t="n">
        <f aca="false">mix_g2*Sens!E9358</f>
        <v>1462.5</v>
      </c>
      <c r="F9367" s="30" t="n">
        <f aca="false">Sens!E9367-Sens!F9365*mix_g2</f>
        <v>1462.5</v>
      </c>
      <c r="G9367" s="30" t="n">
        <f aca="false">Sens!F9367-Sens!G9365*mix_g2</f>
        <v>1462.5</v>
      </c>
      <c r="H9367" s="30" t="n">
        <f aca="false">Sens!G9367-Sens!H9365*mix_g2</f>
        <v>1462.5</v>
      </c>
      <c r="I9367" s="30" t="n">
        <f aca="false">Sens!H9367-Sens!I9365*mix_g2</f>
        <v>1242</v>
      </c>
      <c r="J9367" s="30" t="n">
        <f aca="false">Sens!I9367-Sens!J9365*mix_g2</f>
        <v>909</v>
      </c>
      <c r="K9367" s="30" t="n">
        <f aca="false">Sens!J9367-Sens!K9365*mix_g2</f>
        <v>247.5</v>
      </c>
    </row>
    <row r="9368" customFormat="false" ht="17.15" hidden="false" customHeight="false" outlineLevel="0" collapsed="false">
      <c r="A9368" s="1" t="s">
        <v>968</v>
      </c>
      <c r="B9368" s="0" t="s">
        <v>459</v>
      </c>
      <c r="C9368" s="30" t="n">
        <f aca="false">mix_g3*Sens!C9358</f>
        <v>224</v>
      </c>
      <c r="D9368" s="30" t="n">
        <f aca="false">mix_g3*Sens!D9358</f>
        <v>570.5</v>
      </c>
      <c r="E9368" s="30" t="n">
        <f aca="false">mix_g3*Sens!E9358</f>
        <v>1137.5</v>
      </c>
      <c r="F9368" s="30" t="n">
        <f aca="false">Sens!E9368+(Sens!F9364+Sens!F9365)*(a_g3_27-nonnv*a_mai)-Sens!F9365*mix_g3</f>
        <v>2773.42106</v>
      </c>
      <c r="G9368" s="30" t="n">
        <f aca="false">Sens!F9368+(Sens!G9364+Sens!G9365)*(a_g3_28-nonnv*a_mai)-Sens!G9365*mix_g3</f>
        <v>3318.72808</v>
      </c>
      <c r="H9368" s="30" t="n">
        <f aca="false">Sens!G9368+(Sens!H9364+Sens!H9365)*(a_g3_29-nonnv*a_mai)-Sens!H9365*mix_g3</f>
        <v>3318.72808</v>
      </c>
      <c r="I9368" s="30" t="n">
        <f aca="false">Sens!H9368+(Sens!I9364+Sens!I9365)*(a_g3_29-nonnv*a_mai)-Sens!I9365*mix_g3</f>
        <v>3147.22808</v>
      </c>
      <c r="J9368" s="30" t="n">
        <f aca="false">Sens!I9368+(Sens!J9364+Sens!J9365)*(a_g3_29-nonnv*a_mai)-Sens!J9365*mix_g3</f>
        <v>2888.22808</v>
      </c>
      <c r="K9368" s="30" t="n">
        <f aca="false">Sens!J9368+(Sens!K9364+Sens!K9365)*(a_g3_29-nonnv*a_mai)-Sens!K9365*mix_g3</f>
        <v>2373.72808</v>
      </c>
    </row>
    <row r="9369" customFormat="false" ht="17.15" hidden="false" customHeight="false" outlineLevel="0" collapsed="false">
      <c r="A9369" s="1" t="s">
        <v>969</v>
      </c>
      <c r="B9369" s="0" t="s">
        <v>459</v>
      </c>
      <c r="C9369" s="30" t="n">
        <v>0</v>
      </c>
      <c r="D9369" s="30" t="n">
        <v>0</v>
      </c>
      <c r="E9369" s="30" t="n">
        <v>0</v>
      </c>
      <c r="F9369" s="30" t="n">
        <f aca="false">Sens!E9369+(Sens!F9364+Sens!F9365)*nonnv*a_mai</f>
        <v>272.65351</v>
      </c>
      <c r="G9369" s="30" t="n">
        <f aca="false">Sens!F9369+(Sens!G9364+Sens!G9365)*nonnv*a_mai</f>
        <v>545.30702</v>
      </c>
      <c r="H9369" s="30" t="n">
        <f aca="false">Sens!G9369+(Sens!H9364+Sens!H9365)*nonnv*a_mai</f>
        <v>817.96053</v>
      </c>
      <c r="I9369" s="30" t="n">
        <f aca="false">Sens!H9369+(Sens!I9364+Sens!I9365)*nonnv*a_mai</f>
        <v>1060.15914196667</v>
      </c>
      <c r="J9369" s="30" t="n">
        <f aca="false">Sens!I9369+(Sens!J9364+Sens!J9365)*nonnv*a_mai</f>
        <v>1251.76682813933</v>
      </c>
      <c r="K9369" s="30" t="n">
        <f aca="false">Sens!J9369+(Sens!K9364+Sens!K9365)*nonnv*a_mai</f>
        <v>1442.37983298351</v>
      </c>
      <c r="L9369" s="12" t="s">
        <v>970</v>
      </c>
    </row>
    <row r="9370" customFormat="false" ht="17.15" hidden="false" customHeight="false" outlineLevel="0" collapsed="false">
      <c r="A9370" s="1" t="s">
        <v>971</v>
      </c>
      <c r="B9370" s="0" t="s">
        <v>459</v>
      </c>
      <c r="C9370" s="30" t="n">
        <v>0</v>
      </c>
      <c r="D9370" s="30" t="n">
        <v>0</v>
      </c>
      <c r="E9370" s="30" t="n">
        <v>0</v>
      </c>
      <c r="F9370" s="30" t="n">
        <f aca="false">Sens!E9370+(Sens!F9364+Sens!F9365)*(1-a_g3_27)</f>
        <v>817.96053</v>
      </c>
      <c r="G9370" s="30" t="n">
        <f aca="false">Sens!F9370+(Sens!G9364+Sens!G9365)*(1-a_g3_28)</f>
        <v>2726.5351</v>
      </c>
      <c r="H9370" s="30" t="n">
        <f aca="false">Sens!G9370+(Sens!H9364+Sens!H9365)*(1-a_g3_29)</f>
        <v>5180.41669</v>
      </c>
      <c r="I9370" s="30" t="n">
        <f aca="false">Sens!H9370+(Sens!I9364+Sens!I9365)*(1-a_g3_29)</f>
        <v>7360.2041977</v>
      </c>
      <c r="J9370" s="30" t="n">
        <f aca="false">Sens!I9370+(Sens!J9364+Sens!J9365)*(1-a_g3_29)</f>
        <v>9084.673373254</v>
      </c>
      <c r="K9370" s="30" t="n">
        <f aca="false">Sens!J9370+(Sens!K9364+Sens!K9365)*(1-a_g3_29)</f>
        <v>10800.1904168516</v>
      </c>
    </row>
    <row r="9371" customFormat="false" ht="17.15" hidden="false" customHeight="false" outlineLevel="0" collapsed="false">
      <c r="A9371" s="1" t="s">
        <v>972</v>
      </c>
      <c r="B9371" s="0" t="s">
        <v>403</v>
      </c>
      <c r="C9371" s="15" t="n">
        <f aca="false">(Sens!C9366*tk_hold_h100+Sens!C9367*tk_hold_gb200+Sens!C9368*tk_hold_gb300+Sens!C9370*tk_hold_vr200+Sens!C9369*nv_hold_mai*tk_hold_vr200)/Sens!C9358</f>
        <v>9.7235358126469</v>
      </c>
      <c r="D9371" s="15" t="n">
        <f aca="false">(Sens!D9366*tk_hold_h100+Sens!D9367*tk_hold_gb200+Sens!D9368*tk_hold_gb300+Sens!D9370*tk_hold_vr200+Sens!D9369*nv_hold_mai*tk_hold_vr200)/Sens!D9358</f>
        <v>9.7235358126469</v>
      </c>
      <c r="E9371" s="15" t="n">
        <f aca="false">(Sens!E9366*tk_hold_h100+Sens!E9367*tk_hold_gb200+Sens!E9368*tk_hold_gb300+Sens!E9370*tk_hold_vr200+Sens!E9369*nv_hold_mai*tk_hold_vr200)/Sens!E9358</f>
        <v>9.7235358126469</v>
      </c>
      <c r="F9371" s="15" t="n">
        <f aca="false">(Sens!F9366*tk_hold_h100+Sens!F9367*tk_hold_gb200+Sens!F9368*tk_hold_gb300+Sens!F9370*tk_hold_vr200+Sens!F9369*nv_hold_mai*tk_hold_vr200)/Sens!F9358</f>
        <v>10.2195353876665</v>
      </c>
      <c r="G9371" s="15" t="n">
        <f aca="false">(Sens!G9366*tk_hold_h100+Sens!G9367*tk_hold_gb200+Sens!G9368*tk_hold_gb300+Sens!G9370*tk_hold_vr200+Sens!G9369*nv_hold_mai*tk_hold_vr200)/Sens!G9358</f>
        <v>10.5725598017306</v>
      </c>
      <c r="H9371" s="15" t="n">
        <f aca="false">(Sens!H9366*tk_hold_h100+Sens!H9367*tk_hold_gb200+Sens!H9368*tk_hold_gb300+Sens!H9370*tk_hold_vr200+Sens!H9369*nv_hold_mai*tk_hold_vr200)/Sens!H9358</f>
        <v>10.8210427149036</v>
      </c>
      <c r="I9371" s="15" t="n">
        <f aca="false">(Sens!I9366*tk_hold_h100+Sens!I9367*tk_hold_gb200+Sens!I9368*tk_hold_gb300+Sens!I9370*tk_hold_vr200+Sens!I9369*nv_hold_mai*tk_hold_vr200)/Sens!I9358</f>
        <v>11.0050618241982</v>
      </c>
      <c r="J9371" s="15" t="n">
        <f aca="false">(Sens!J9366*tk_hold_h100+Sens!J9367*tk_hold_gb200+Sens!J9368*tk_hold_gb300+Sens!J9370*tk_hold_vr200+Sens!J9369*nv_hold_mai*tk_hold_vr200)/Sens!J9358</f>
        <v>11.1505789658881</v>
      </c>
      <c r="K9371" s="15" t="n">
        <f aca="false">(Sens!K9366*tk_hold_h100+Sens!K9367*tk_hold_gb200+Sens!K9368*tk_hold_gb300+Sens!K9370*tk_hold_vr200+Sens!K9369*nv_hold_mai*tk_hold_vr200)/Sens!K9358</f>
        <v>11.3496914757183</v>
      </c>
      <c r="L9371" s="1" t="s">
        <v>973</v>
      </c>
    </row>
    <row r="9372" customFormat="false" ht="17.15" hidden="false" customHeight="false" outlineLevel="0" collapsed="false">
      <c r="A9372" s="1" t="s">
        <v>974</v>
      </c>
      <c r="B9372" s="0" t="s">
        <v>403</v>
      </c>
      <c r="C9372" s="15" t="n">
        <f aca="false">(Sens!C9366*tk_hold_h100+Sens!C9367*tk_hold_gb200+Sens!C9368*tk_hold_gb300+Sens!C9370*tk_hold_vr200+Sens!C9369*nv_out_mai*tk_hold_vr200)/Sens!C9358</f>
        <v>9.7235358126469</v>
      </c>
      <c r="D9372" s="15" t="n">
        <f aca="false">(Sens!D9366*tk_hold_h100+Sens!D9367*tk_hold_gb200+Sens!D9368*tk_hold_gb300+Sens!D9370*tk_hold_vr200+Sens!D9369*nv_out_mai*tk_hold_vr200)/Sens!D9358</f>
        <v>9.7235358126469</v>
      </c>
      <c r="E9372" s="15" t="n">
        <f aca="false">(Sens!E9366*tk_hold_h100+Sens!E9367*tk_hold_gb200+Sens!E9368*tk_hold_gb300+Sens!E9370*tk_hold_vr200+Sens!E9369*nv_out_mai*tk_hold_vr200)/Sens!E9358</f>
        <v>9.7235358126469</v>
      </c>
      <c r="F9372" s="15" t="n">
        <f aca="false">(Sens!F9366*tk_hold_h100+Sens!F9367*tk_hold_gb200+Sens!F9368*tk_hold_gb300+Sens!F9370*tk_hold_vr200+Sens!F9369*nv_out_mai*tk_hold_vr200)/Sens!F9358</f>
        <v>10.247422093969</v>
      </c>
      <c r="G9372" s="15" t="n">
        <f aca="false">(Sens!G9366*tk_hold_h100+Sens!G9367*tk_hold_gb200+Sens!G9368*tk_hold_gb300+Sens!G9370*tk_hold_vr200+Sens!G9369*nv_out_mai*tk_hold_vr200)/Sens!G9358</f>
        <v>10.6108602808053</v>
      </c>
      <c r="H9372" s="15" t="n">
        <f aca="false">(Sens!H9366*tk_hold_h100+Sens!H9367*tk_hold_gb200+Sens!H9368*tk_hold_gb300+Sens!H9370*tk_hold_vr200+Sens!H9369*nv_out_mai*tk_hold_vr200)/Sens!H9358</f>
        <v>10.8647885507393</v>
      </c>
      <c r="I9372" s="15" t="n">
        <f aca="false">(Sens!I9366*tk_hold_h100+Sens!I9367*tk_hold_gb200+Sens!I9368*tk_hold_gb300+Sens!I9370*tk_hold_vr200+Sens!I9369*nv_out_mai*tk_hold_vr200)/Sens!I9358</f>
        <v>11.0535625770025</v>
      </c>
      <c r="J9372" s="15" t="n">
        <f aca="false">(Sens!J9366*tk_hold_h100+Sens!J9367*tk_hold_gb200+Sens!J9368*tk_hold_gb300+Sens!J9370*tk_hold_vr200+Sens!J9369*nv_out_mai*tk_hold_vr200)/Sens!J9358</f>
        <v>11.2032127128058</v>
      </c>
      <c r="K9372" s="15" t="n">
        <f aca="false">(Sens!K9366*tk_hold_h100+Sens!K9367*tk_hold_gb200+Sens!K9368*tk_hold_gb300+Sens!K9370*tk_hold_vr200+Sens!K9369*nv_out_mai*tk_hold_vr200)/Sens!K9358</f>
        <v>11.4085735724225</v>
      </c>
      <c r="L9372" s="12" t="s">
        <v>975</v>
      </c>
    </row>
    <row r="9373" customFormat="false" ht="17.15" hidden="false" customHeight="false" outlineLevel="0" collapsed="false">
      <c r="A9373" s="0" t="s">
        <v>976</v>
      </c>
      <c r="B9373" s="0" t="s">
        <v>229</v>
      </c>
      <c r="C9373" s="15" t="n">
        <f aca="false">k_B</f>
        <v>1.17213932619116</v>
      </c>
      <c r="D9373" s="15" t="n">
        <f aca="false">k_B</f>
        <v>1.17213932619116</v>
      </c>
      <c r="E9373" s="15" t="n">
        <f aca="false">k_B</f>
        <v>1.17213932619116</v>
      </c>
      <c r="F9373" s="15" t="n">
        <f aca="false">(k_B+((ls_B*k_long+(1-ls_B)*k_spot)-k_B)*MIN(1,(Sens!F9356-base_fy)/k_ramp))</f>
        <v>1.17213932619116</v>
      </c>
      <c r="G9373" s="15" t="n">
        <f aca="false">(k_B+((ls_B*k_long+(1-ls_B)*k_spot)-k_B)*MIN(1,(Sens!G9356-base_fy)/k_ramp))</f>
        <v>1.17213932619116</v>
      </c>
      <c r="H9373" s="15" t="n">
        <f aca="false">(k_B+((ls_B*k_long+(1-ls_B)*k_spot)-k_B)*MIN(1,(Sens!H9356-base_fy)/k_ramp))</f>
        <v>1.17213932619116</v>
      </c>
      <c r="I9373" s="15" t="n">
        <f aca="false">(k_B+((ls_B*k_long+(1-ls_B)*k_spot)-k_B)*MIN(1,(Sens!I9356-base_fy)/k_ramp))</f>
        <v>1.17213932619116</v>
      </c>
      <c r="J9373" s="15" t="n">
        <f aca="false">(k_B+((ls_B*k_long+(1-ls_B)*k_spot)-k_B)*MIN(1,(Sens!J9356-base_fy)/k_ramp))</f>
        <v>1.17213932619116</v>
      </c>
      <c r="K9373" s="15" t="n">
        <f aca="false">(k_B+((ls_B*k_long+(1-ls_B)*k_spot)-k_B)*MIN(1,(Sens!K9356-base_fy)/k_ramp))</f>
        <v>1.17213932619116</v>
      </c>
      <c r="L9373" s="1" t="s">
        <v>977</v>
      </c>
    </row>
    <row r="9374" customFormat="false" ht="17.15" hidden="false" customHeight="false" outlineLevel="0" collapsed="false">
      <c r="A9374" s="1" t="s">
        <v>978</v>
      </c>
      <c r="B9374" s="0" t="s">
        <v>403</v>
      </c>
      <c r="C9374" s="15" t="n">
        <f aca="false">Sens!C9372*Sens!C9373*chip_f</f>
        <v>11.3973387156315</v>
      </c>
      <c r="D9374" s="15" t="n">
        <f aca="false">Sens!D9372*Sens!D9373*chip_f</f>
        <v>11.3973387156315</v>
      </c>
      <c r="E9374" s="15" t="n">
        <f aca="false">Sens!E9372*Sens!E9373*chip_f</f>
        <v>11.3973387156315</v>
      </c>
      <c r="F9374" s="15" t="n">
        <f aca="false">Sens!F9372*Sens!F9373*chip_f</f>
        <v>12.0114064284211</v>
      </c>
      <c r="G9374" s="15" t="n">
        <f aca="false">Sens!G9372*Sens!G9373*chip_f</f>
        <v>12.4374066198516</v>
      </c>
      <c r="H9374" s="15" t="n">
        <f aca="false">Sens!H9372*Sens!H9373*chip_f</f>
        <v>12.735045931073</v>
      </c>
      <c r="I9374" s="15" t="n">
        <f aca="false">Sens!I9372*Sens!I9373*chip_f</f>
        <v>12.9563153910195</v>
      </c>
      <c r="J9374" s="15" t="n">
        <f aca="false">Sens!J9372*Sens!J9373*chip_f</f>
        <v>13.1317262003643</v>
      </c>
      <c r="K9374" s="15" t="n">
        <f aca="false">Sens!K9372*Sens!K9373*chip_f</f>
        <v>13.3724377399815</v>
      </c>
      <c r="L9374" s="1" t="s">
        <v>979</v>
      </c>
    </row>
    <row r="9375" customFormat="false" ht="17.15" hidden="false" customHeight="false" outlineLevel="0" collapsed="false">
      <c r="A9375" s="0" t="s">
        <v>980</v>
      </c>
      <c r="B9375" s="0" t="s">
        <v>98</v>
      </c>
      <c r="D9375" s="6" t="n">
        <f aca="false">(Sens!C9358+Sens!D9358)/2*Sens!D9374/1000</f>
        <v>12.9359794422418</v>
      </c>
      <c r="E9375" s="6" t="n">
        <f aca="false">(Sens!D9358+Sens!E9358)/2*Sens!E9374/1000</f>
        <v>27.8095064661409</v>
      </c>
      <c r="F9375" s="6" t="n">
        <f aca="false">(Sens!E9358+Sens!F9358)/2*Sens!F9374/1000</f>
        <v>55.4118315060966</v>
      </c>
      <c r="G9375" s="6" t="n">
        <f aca="false">(Sens!F9358+Sens!G9358)/2*Sens!G9374/1000</f>
        <v>91.2881100675143</v>
      </c>
      <c r="H9375" s="6" t="n">
        <f aca="false">(Sens!G9358+Sens!H9358)/2*Sens!H9374/1000</f>
        <v>128.195273603944</v>
      </c>
      <c r="I9375" s="6" t="n">
        <f aca="false">(Sens!H9358+Sens!I9358)/2*Sens!I9374/1000</f>
        <v>160.601281810405</v>
      </c>
      <c r="J9375" s="6" t="n">
        <f aca="false">(Sens!I9358+Sens!J9358)/2*Sens!J9374/1000</f>
        <v>183.182719793589</v>
      </c>
      <c r="K9375" s="6" t="n">
        <f aca="false">(Sens!J9358+Sens!K9358)/2*Sens!K9374/1000</f>
        <v>197.320124937098</v>
      </c>
      <c r="L9375" s="12" t="s">
        <v>981</v>
      </c>
    </row>
    <row r="9376" customFormat="false" ht="17.15" hidden="false" customHeight="false" outlineLevel="0" collapsed="false">
      <c r="A9376" s="1" t="s">
        <v>982</v>
      </c>
      <c r="B9376" s="0" t="s">
        <v>403</v>
      </c>
      <c r="C9376" s="15" t="n">
        <f aca="false">(Sens!C9366*tk_opex_h100+Sens!C9367*tk_opex_gb200+Sens!C9368*tk_opex_gb300+(Sens!C9370+Sens!C9369)*tk_opex_vr200)/Sens!C9358</f>
        <v>1.88636041306092</v>
      </c>
      <c r="D9376" s="15" t="n">
        <f aca="false">(Sens!D9366*tk_opex_h100+Sens!D9367*tk_opex_gb200+Sens!D9368*tk_opex_gb300+(Sens!D9370+Sens!D9369)*tk_opex_vr200)/Sens!D9358</f>
        <v>1.88636041306092</v>
      </c>
      <c r="E9376" s="15" t="n">
        <f aca="false">(Sens!E9366*tk_opex_h100+Sens!E9367*tk_opex_gb200+Sens!E9368*tk_opex_gb300+(Sens!E9370+Sens!E9369)*tk_opex_vr200)/Sens!E9358</f>
        <v>1.88636041306092</v>
      </c>
      <c r="F9376" s="15" t="n">
        <f aca="false">(Sens!F9366*tk_opex_h100+Sens!F9367*tk_opex_gb200+Sens!F9368*tk_opex_gb300+(Sens!F9370+Sens!F9369)*tk_opex_vr200)/Sens!F9358</f>
        <v>1.95051159746876</v>
      </c>
      <c r="G9376" s="15" t="n">
        <f aca="false">(Sens!G9366*tk_opex_h100+Sens!G9367*tk_opex_gb200+Sens!G9368*tk_opex_gb300+(Sens!G9370+Sens!G9369)*tk_opex_vr200)/Sens!G9358</f>
        <v>1.98836003669956</v>
      </c>
      <c r="H9376" s="15" t="n">
        <f aca="false">(Sens!H9366*tk_opex_h100+Sens!H9367*tk_opex_gb200+Sens!H9368*tk_opex_gb300+(Sens!H9370+Sens!H9369)*tk_opex_vr200)/Sens!H9358</f>
        <v>2.01344013834343</v>
      </c>
      <c r="I9376" s="15" t="n">
        <f aca="false">(Sens!I9366*tk_opex_h100+Sens!I9367*tk_opex_gb200+Sens!I9368*tk_opex_gb300+(Sens!I9370+Sens!I9369)*tk_opex_vr200)/Sens!I9358</f>
        <v>2.03261166882178</v>
      </c>
      <c r="J9376" s="15" t="n">
        <f aca="false">(Sens!J9366*tk_opex_h100+Sens!J9367*tk_opex_gb200+Sens!J9368*tk_opex_gb300+(Sens!J9370+Sens!J9369)*tk_opex_vr200)/Sens!J9358</f>
        <v>2.04808073288745</v>
      </c>
      <c r="K9376" s="15" t="n">
        <f aca="false">(Sens!K9366*tk_opex_h100+Sens!K9367*tk_opex_gb200+Sens!K9368*tk_opex_gb300+(Sens!K9370+Sens!K9369)*tk_opex_vr200)/Sens!K9358</f>
        <v>2.06973825807449</v>
      </c>
      <c r="L9376" s="12" t="s">
        <v>983</v>
      </c>
    </row>
    <row r="9377" customFormat="false" ht="17.15" hidden="false" customHeight="false" outlineLevel="0" collapsed="false">
      <c r="A9377" s="0" t="s">
        <v>984</v>
      </c>
      <c r="B9377" s="0" t="s">
        <v>98</v>
      </c>
      <c r="D9377" s="6" t="n">
        <f aca="false">(Sens!C9361+Sens!D9361)/2*Sens!D9376/1000</f>
        <v>2.70378325872065</v>
      </c>
      <c r="E9377" s="6" t="n">
        <f aca="false">(Sens!D9361+Sens!E9361)/2*Sens!E9376/1000</f>
        <v>6.17783035277451</v>
      </c>
      <c r="F9377" s="6" t="n">
        <f aca="false">(Sens!E9361+Sens!F9361)/2*Sens!F9376/1000</f>
        <v>12.8742463089237</v>
      </c>
      <c r="G9377" s="6" t="n">
        <f aca="false">(Sens!F9361+Sens!G9361)/2*Sens!G9376/1000</f>
        <v>21.8182834646277</v>
      </c>
      <c r="H9377" s="6" t="n">
        <f aca="false">(Sens!G9361+Sens!H9361)/2*Sens!H9376/1000</f>
        <v>31.2430128789734</v>
      </c>
      <c r="I9377" s="6" t="n">
        <f aca="false">(Sens!H9361+Sens!I9361)/2*Sens!I9376/1000</f>
        <v>39.4313057443268</v>
      </c>
      <c r="J9377" s="6" t="n">
        <f aca="false">(Sens!I9361+Sens!J9361)/2*Sens!J9376/1000</f>
        <v>45.0360318228653</v>
      </c>
      <c r="K9377" s="6" t="n">
        <f aca="false">(Sens!J9361+Sens!K9361)/2*Sens!K9376/1000</f>
        <v>48.2929727091156</v>
      </c>
    </row>
    <row r="9378" customFormat="false" ht="17.15" hidden="false" customHeight="false" outlineLevel="0" collapsed="false">
      <c r="A9378" s="0" t="s">
        <v>985</v>
      </c>
      <c r="B9378" s="0" t="s">
        <v>98</v>
      </c>
      <c r="D9378" s="6" t="n">
        <f aca="false">(Sens!C9359+Sens!D9359)/2*rent_mw/1000</f>
        <v>2.44475</v>
      </c>
      <c r="E9378" s="6" t="n">
        <f aca="false">(Sens!D9359+Sens!E9359)/2*rent_mw/1000</f>
        <v>4.22275</v>
      </c>
      <c r="F9378" s="6" t="n">
        <f aca="false">(Sens!E9359+Sens!F9359)/2*rent_mw/1000</f>
        <v>5.80517</v>
      </c>
      <c r="G9378" s="6" t="n">
        <f aca="false">(Sens!F9359+Sens!G9359)/2*rent_mw/1000</f>
        <v>6.72084</v>
      </c>
      <c r="H9378" s="6" t="n">
        <f aca="false">(Sens!G9359+Sens!H9359)/2*rent_mw/1000</f>
        <v>6.72084</v>
      </c>
      <c r="I9378" s="6" t="n">
        <f aca="false">(Sens!H9359+Sens!I9359)/2*rent_mw/1000</f>
        <v>6.72084</v>
      </c>
      <c r="J9378" s="6" t="n">
        <f aca="false">(Sens!I9359+Sens!J9359)/2*rent_mw/1000</f>
        <v>6.72084</v>
      </c>
      <c r="K9378" s="6" t="n">
        <f aca="false">(Sens!J9359+Sens!K9359)/2*rent_mw/1000</f>
        <v>6.72084</v>
      </c>
    </row>
    <row r="9379" customFormat="false" ht="17.15" hidden="false" customHeight="false" outlineLevel="0" collapsed="false">
      <c r="A9379" s="0" t="s">
        <v>986</v>
      </c>
      <c r="B9379" s="0" t="s">
        <v>98</v>
      </c>
      <c r="D9379" s="6" t="n">
        <f aca="false">(Sens!C9361+Sens!D9361)/2*(1-self_build)*fac_rent/1000</f>
        <v>0.853242375631075</v>
      </c>
      <c r="E9379" s="6" t="n">
        <f aca="false">(Sens!D9361+Sens!E9361)/2*(1-self_build)*fac_rent/1000</f>
        <v>1.94955961408728</v>
      </c>
      <c r="F9379" s="6" t="n">
        <f aca="false">(Sens!E9361+Sens!F9361)/2*(1-self_build)*fac_rent/1000</f>
        <v>3.92914894476356</v>
      </c>
      <c r="G9379" s="6" t="n">
        <f aca="false">(Sens!F9361+Sens!G9361)/2*(1-self_build)*fac_rent/1000</f>
        <v>6.53206908578159</v>
      </c>
      <c r="H9379" s="6" t="n">
        <f aca="false">(Sens!G9361+Sens!H9361)/2*(1-self_build)*fac_rent/1000</f>
        <v>9.23717988341591</v>
      </c>
      <c r="I9379" s="6" t="n">
        <f aca="false">(Sens!H9361+Sens!I9361)/2*(1-self_build)*fac_rent/1000</f>
        <v>11.5481378557393</v>
      </c>
      <c r="J9379" s="6" t="n">
        <f aca="false">(Sens!I9361+Sens!J9361)/2*(1-self_build)*fac_rent/1000</f>
        <v>13.0899582289108</v>
      </c>
      <c r="K9379" s="6" t="n">
        <f aca="false">(Sens!J9361+Sens!K9361)/2*(1-self_build)*fac_rent/1000</f>
        <v>13.8897275626556</v>
      </c>
      <c r="L9379" s="12" t="s">
        <v>987</v>
      </c>
    </row>
    <row r="9380" customFormat="false" ht="17.15" hidden="false" customHeight="false" outlineLevel="0" collapsed="false">
      <c r="A9380" s="1" t="s">
        <v>988</v>
      </c>
      <c r="B9380" s="0" t="s">
        <v>168</v>
      </c>
      <c r="D9380" s="7" t="n">
        <f aca="false">(Sens!C9360+Sens!D9360)/(Sens!C9361+Sens!D9361)</f>
        <v>0.6</v>
      </c>
      <c r="E9380" s="7" t="n">
        <f aca="false">(Sens!D9360+Sens!E9360)/(Sens!D9361+Sens!E9361)</f>
        <v>0.6</v>
      </c>
      <c r="F9380" s="7" t="n">
        <f aca="false">(Sens!E9360+Sens!F9360)/(Sens!E9361+Sens!F9361)</f>
        <v>0.6</v>
      </c>
      <c r="G9380" s="7" t="n">
        <f aca="false">(Sens!F9360+Sens!G9360)/(Sens!F9361+Sens!G9361)</f>
        <v>0.6</v>
      </c>
      <c r="H9380" s="7" t="n">
        <f aca="false">(Sens!G9360+Sens!H9360)/(Sens!G9361+Sens!H9361)</f>
        <v>0.6</v>
      </c>
      <c r="I9380" s="7" t="n">
        <f aca="false">(Sens!H9360+Sens!I9360)/(Sens!H9361+Sens!I9361)</f>
        <v>0.6</v>
      </c>
      <c r="J9380" s="7" t="n">
        <f aca="false">(Sens!I9360+Sens!J9360)/(Sens!I9361+Sens!J9361)</f>
        <v>0.6</v>
      </c>
      <c r="K9380" s="7" t="n">
        <f aca="false">(Sens!J9360+Sens!K9360)/(Sens!J9361+Sens!K9361)</f>
        <v>0.6</v>
      </c>
    </row>
    <row r="9381" customFormat="false" ht="17.15" hidden="false" customHeight="false" outlineLevel="0" collapsed="false">
      <c r="A9381" s="0" t="s">
        <v>989</v>
      </c>
      <c r="B9381" s="0" t="s">
        <v>98</v>
      </c>
      <c r="D9381" s="6" t="n">
        <f aca="false">Sens!D9375-Sens!D9380*(Sens!D9377+Sens!D9379)-Sens!D9378</f>
        <v>8.35701406163072</v>
      </c>
      <c r="E9381" s="6" t="n">
        <f aca="false">Sens!E9375-Sens!E9380*(Sens!E9377+Sens!E9379)-Sens!E9378</f>
        <v>18.7103224860238</v>
      </c>
      <c r="F9381" s="6" t="n">
        <f aca="false">Sens!F9375-Sens!F9380*(Sens!F9377+Sens!F9379)-Sens!F9378</f>
        <v>39.5246243538843</v>
      </c>
      <c r="G9381" s="6" t="n">
        <f aca="false">Sens!G9375-Sens!G9380*(Sens!G9377+Sens!G9379)-Sens!G9378</f>
        <v>67.5570585372687</v>
      </c>
      <c r="H9381" s="6" t="n">
        <f aca="false">Sens!H9375-Sens!H9380*(Sens!H9377+Sens!H9379)-Sens!H9378</f>
        <v>97.1863179465102</v>
      </c>
      <c r="I9381" s="6" t="n">
        <f aca="false">Sens!I9375-Sens!I9380*(Sens!I9377+Sens!I9379)-Sens!I9378</f>
        <v>123.292775650365</v>
      </c>
      <c r="J9381" s="6" t="n">
        <f aca="false">Sens!J9375-Sens!J9380*(Sens!J9377+Sens!J9379)-Sens!J9378</f>
        <v>141.586285762524</v>
      </c>
      <c r="K9381" s="6" t="n">
        <f aca="false">Sens!K9375-Sens!K9380*(Sens!K9377+Sens!K9379)-Sens!K9378</f>
        <v>153.289664774035</v>
      </c>
    </row>
    <row r="9382" customFormat="false" ht="17.15" hidden="false" customHeight="false" outlineLevel="0" collapsed="false">
      <c r="A9382" s="1" t="s">
        <v>990</v>
      </c>
      <c r="B9382" s="0" t="s">
        <v>98</v>
      </c>
      <c r="D9382" s="6" t="n">
        <f aca="false">(1-Sens!D9380)*(Sens!D9377+Sens!D9379)</f>
        <v>1.42281025374069</v>
      </c>
      <c r="E9382" s="6" t="n">
        <f aca="false">(1-Sens!E9380)*(Sens!E9377+Sens!E9379)</f>
        <v>3.25095598674472</v>
      </c>
      <c r="F9382" s="6" t="n">
        <f aca="false">(1-Sens!F9380)*(Sens!F9377+Sens!F9379)</f>
        <v>6.72135810147489</v>
      </c>
      <c r="G9382" s="6" t="n">
        <f aca="false">(1-Sens!G9380)*(Sens!G9377+Sens!G9379)</f>
        <v>11.3401410201637</v>
      </c>
      <c r="H9382" s="6" t="n">
        <f aca="false">(1-Sens!H9380)*(Sens!H9377+Sens!H9379)</f>
        <v>16.1920771049557</v>
      </c>
      <c r="I9382" s="6" t="n">
        <f aca="false">(1-Sens!I9380)*(Sens!I9377+Sens!I9379)</f>
        <v>20.3917774400264</v>
      </c>
      <c r="J9382" s="6" t="n">
        <f aca="false">(1-Sens!J9380)*(Sens!J9377+Sens!J9379)</f>
        <v>23.2503960207104</v>
      </c>
      <c r="K9382" s="6" t="n">
        <f aca="false">(1-Sens!K9380)*(Sens!K9377+Sens!K9379)</f>
        <v>24.8730801087085</v>
      </c>
    </row>
    <row r="9383" customFormat="false" ht="17.15" hidden="false" customHeight="false" outlineLevel="0" collapsed="false">
      <c r="A9383" s="1" t="s">
        <v>991</v>
      </c>
      <c r="B9383" s="0" t="s">
        <v>417</v>
      </c>
      <c r="C9383" s="8" t="n">
        <f aca="false">cxit_open</f>
        <v>27.5918995</v>
      </c>
      <c r="D9383" s="8" t="n">
        <f aca="false">cxit_open</f>
        <v>27.5918995</v>
      </c>
      <c r="E9383" s="8" t="n">
        <f aca="false">cxit_open</f>
        <v>27.5918995</v>
      </c>
      <c r="F9383" s="8" t="n">
        <f aca="false">((a_g3_27-nonnv*a_mai)*tk_cxit_gb300+nonnv*a_mai*nv_hold_mai*tk_cxit_vr200+(1-a_g3_27)*tk_cxit_vr200)</f>
        <v>32.4975576</v>
      </c>
      <c r="G9383" s="8" t="n">
        <f aca="false">((a_g3_28-nonnv*a_mai)*tk_cxit_gb300+nonnv*a_mai*nv_hold_mai*tk_cxit_vr200+(1-a_g3_28)*tk_cxit_vr200)</f>
        <v>34.6372088</v>
      </c>
      <c r="H9383" s="8" t="n">
        <f aca="false">((a_g3_29-nonnv*a_mai)*tk_cxit_gb300+nonnv*a_mai*nv_hold_mai*tk_cxit_vr200+(1-a_g3_29)*tk_cxit_vr200)</f>
        <v>35.7070344</v>
      </c>
      <c r="I9383" s="8" t="n">
        <f aca="false">((a_g3_29-nonnv*a_mai)*tk_cxit_gb300+nonnv*a_mai*nv_hold_mai*tk_cxit_vr200+(1-a_g3_29)*tk_cxit_vr200)</f>
        <v>35.7070344</v>
      </c>
      <c r="J9383" s="8" t="n">
        <f aca="false">((a_g3_29-nonnv*a_mai)*tk_cxit_gb300+nonnv*a_mai*nv_hold_mai*tk_cxit_vr200+(1-a_g3_29)*tk_cxit_vr200)</f>
        <v>35.7070344</v>
      </c>
      <c r="K9383" s="8" t="n">
        <f aca="false">((a_g3_29-nonnv*a_mai)*tk_cxit_gb300+nonnv*a_mai*nv_hold_mai*tk_cxit_vr200+(1-a_g3_29)*tk_cxit_vr200)</f>
        <v>35.7070344</v>
      </c>
      <c r="L9383" s="12" t="s">
        <v>992</v>
      </c>
    </row>
    <row r="9384" customFormat="false" ht="17.15" hidden="false" customHeight="false" outlineLevel="0" collapsed="false">
      <c r="A9384" s="0" t="s">
        <v>993</v>
      </c>
      <c r="B9384" s="0" t="s">
        <v>459</v>
      </c>
      <c r="F9384" s="30" t="n">
        <f aca="false">Sens!C9363*IF(Sens!F9356-Sens!C9356=life_it,1,0)+Sens!D9363*IF(Sens!F9356-Sens!D9356=life_it,1,0)+Sens!E9363*IF(Sens!F9356-Sens!E9356=life_it,1,0)</f>
        <v>0</v>
      </c>
      <c r="G9384" s="30" t="n">
        <f aca="false">Sens!C9363*IF(Sens!G9356-Sens!C9356=life_it,1,0)+Sens!D9363*IF(Sens!G9356-Sens!D9356=life_it,1,0)+Sens!E9363*IF(Sens!G9356-Sens!E9356=life_it,1,0)+Sens!F9363*IF(Sens!G9356-Sens!F9356=life_it,1,0)</f>
        <v>0</v>
      </c>
      <c r="H9384" s="30" t="n">
        <f aca="false">Sens!C9363*IF(Sens!H9356-Sens!C9356=life_it,1,0)+Sens!D9363*IF(Sens!H9356-Sens!D9356=life_it,1,0)+Sens!E9363*IF(Sens!H9356-Sens!E9356=life_it,1,0)+Sens!F9363*IF(Sens!H9356-Sens!F9356=life_it,1,0)+Sens!G9363*IF(Sens!H9356-Sens!G9356=life_it,1,0)</f>
        <v>0</v>
      </c>
      <c r="I9384" s="30" t="n">
        <f aca="false">Sens!C9363*IF(Sens!I9356-Sens!C9356=life_it,1,0)+Sens!D9363*IF(Sens!I9356-Sens!D9356=life_it,1,0)+Sens!E9363*IF(Sens!I9356-Sens!E9356=life_it,1,0)+Sens!F9363*IF(Sens!I9356-Sens!F9356=life_it,1,0)+Sens!G9363*IF(Sens!I9356-Sens!G9356=life_it,1,0)+Sens!H9363*IF(Sens!I9356-Sens!H9356=life_it,1,0)</f>
        <v>816.666666666667</v>
      </c>
      <c r="J9384" s="30" t="n">
        <f aca="false">Sens!C9363*IF(Sens!J9356-Sens!C9356=life_it,1,0)+Sens!D9363*IF(Sens!J9356-Sens!D9356=life_it,1,0)+Sens!E9363*IF(Sens!J9356-Sens!E9356=life_it,1,0)+Sens!F9363*IF(Sens!J9356-Sens!F9356=life_it,1,0)+Sens!G9363*IF(Sens!J9356-Sens!G9356=life_it,1,0)+Sens!H9363*IF(Sens!J9356-Sens!H9356=life_it,1,0)+Sens!I9363*IF(Sens!J9356-Sens!I9356=life_it,1,0)</f>
        <v>1233.33333333333</v>
      </c>
      <c r="K9384" s="30" t="n">
        <f aca="false">Sens!C9363*IF(Sens!K9356-Sens!C9356=life_it,1,0)+Sens!D9363*IF(Sens!K9356-Sens!D9356=life_it,1,0)+Sens!E9363*IF(Sens!K9356-Sens!E9356=life_it,1,0)+Sens!F9363*IF(Sens!K9356-Sens!F9356=life_it,1,0)+Sens!G9363*IF(Sens!K9356-Sens!G9356=life_it,1,0)+Sens!H9363*IF(Sens!K9356-Sens!H9356=life_it,1,0)+Sens!I9363*IF(Sens!K9356-Sens!I9356=life_it,1,0)+Sens!J9363*IF(Sens!K9356-Sens!J9356=life_it,1,0)</f>
        <v>2450</v>
      </c>
      <c r="L9384" s="1" t="s">
        <v>994</v>
      </c>
    </row>
    <row r="9385" customFormat="false" ht="17.15" hidden="false" customHeight="false" outlineLevel="0" collapsed="false">
      <c r="A9385" s="0" t="s">
        <v>995</v>
      </c>
      <c r="B9385" s="0" t="s">
        <v>98</v>
      </c>
      <c r="C9385" s="6" t="n">
        <f aca="false">Sens!C9363*Sens!C9383/1000</f>
        <v>22.5333845916667</v>
      </c>
      <c r="D9385" s="6" t="n">
        <f aca="false">Sens!D9363*Sens!D9383/1000</f>
        <v>34.0300093833333</v>
      </c>
      <c r="E9385" s="6" t="n">
        <f aca="false">Sens!E9363*Sens!E9383/1000</f>
        <v>67.600153775</v>
      </c>
      <c r="F9385" s="6" t="n">
        <f aca="false">(Sens!F9363+Sens!F9384)*Sens!F9383/1000</f>
        <v>136.51872432512</v>
      </c>
      <c r="G9385" s="6" t="n">
        <f aca="false">(Sens!G9363+Sens!G9384)*Sens!G9383/1000</f>
        <v>157.399275932048</v>
      </c>
      <c r="H9385" s="6" t="n">
        <f aca="false">(Sens!H9363+Sens!H9384)*Sens!H9383/1000</f>
        <v>162.260804347512</v>
      </c>
      <c r="I9385" s="6" t="n">
        <f aca="false">(Sens!I9363+Sens!I9384)*Sens!I9383/1000</f>
        <v>144.136569485434</v>
      </c>
      <c r="J9385" s="6" t="n">
        <f aca="false">(Sens!J9363+Sens!J9384)*Sens!J9383/1000</f>
        <v>114.029037357864</v>
      </c>
      <c r="K9385" s="6" t="n">
        <f aca="false">(Sens!K9363+Sens!K9384)*Sens!K9383/1000</f>
        <v>113.437085350975</v>
      </c>
    </row>
    <row r="9386" customFormat="false" ht="17.15" hidden="false" customHeight="false" outlineLevel="0" collapsed="false">
      <c r="A9386" s="0" t="s">
        <v>996</v>
      </c>
      <c r="B9386" s="0" t="s">
        <v>98</v>
      </c>
      <c r="C9386" s="6" t="n">
        <f aca="false">Sens!C9363*self_build*tk_cxfac/1000</f>
        <v>6.2083</v>
      </c>
      <c r="D9386" s="6" t="n">
        <f aca="false">Sens!D9363*self_build*tk_cxfac/1000</f>
        <v>9.3758</v>
      </c>
      <c r="E9386" s="6" t="n">
        <f aca="false">Sens!E9363*self_build*tk_cxfac/1000</f>
        <v>18.6249</v>
      </c>
      <c r="F9386" s="6" t="n">
        <f aca="false">Sens!F9363*self_build*tk_cxfac/1000</f>
        <v>31.935179717</v>
      </c>
      <c r="G9386" s="6" t="n">
        <f aca="false">Sens!G9363*self_build*tk_cxfac/1000</f>
        <v>34.545199717</v>
      </c>
      <c r="H9386" s="6" t="n">
        <f aca="false">Sens!H9363*self_build*tk_cxfac/1000</f>
        <v>34.545199717</v>
      </c>
      <c r="I9386" s="6" t="n">
        <f aca="false">Sens!I9363*self_build*tk_cxfac/1000</f>
        <v>24.4782641361767</v>
      </c>
      <c r="J9386" s="6" t="n">
        <f aca="false">Sens!J9363*self_build*tk_cxfac/1000</f>
        <v>14.9008938380769</v>
      </c>
      <c r="K9386" s="6" t="n">
        <f aca="false">Sens!K9363*self_build*tk_cxfac/1000</f>
        <v>5.52576771375761</v>
      </c>
    </row>
    <row r="9387" customFormat="false" ht="17.15" hidden="false" customHeight="false" outlineLevel="0" collapsed="false">
      <c r="A9387" s="0" t="s">
        <v>997</v>
      </c>
      <c r="B9387" s="0" t="s">
        <v>98</v>
      </c>
      <c r="F9387" s="15" t="n">
        <f aca="false">capex_floor27-Sens!F9385-Sens!F9386-Sens!F9483</f>
        <v>0.0578704874653084</v>
      </c>
      <c r="L9387" s="12" t="s">
        <v>998</v>
      </c>
    </row>
    <row r="9388" customFormat="false" ht="17.15" hidden="false" customHeight="false" outlineLevel="0" collapsed="false">
      <c r="A9388" s="0" t="s">
        <v>999</v>
      </c>
      <c r="B9388" s="0" t="s">
        <v>98</v>
      </c>
      <c r="F9388" s="6" t="n">
        <f aca="false">MAX(0,Sens!F9387)</f>
        <v>0.0578704874653084</v>
      </c>
    </row>
    <row r="9389" customFormat="false" ht="17.15" hidden="false" customHeight="false" outlineLevel="0" collapsed="false">
      <c r="A9389" s="0" t="s">
        <v>1000</v>
      </c>
      <c r="B9389" s="0" t="s">
        <v>98</v>
      </c>
      <c r="C9389" s="6" t="n">
        <f aca="false">Sens!C9385</f>
        <v>22.5333845916667</v>
      </c>
      <c r="D9389" s="6" t="n">
        <f aca="false">Sens!D9385</f>
        <v>34.0300093833333</v>
      </c>
      <c r="E9389" s="6" t="n">
        <f aca="false">Sens!E9385</f>
        <v>67.600153775</v>
      </c>
      <c r="F9389" s="6" t="n">
        <f aca="false">Sens!F9385</f>
        <v>136.51872432512</v>
      </c>
      <c r="G9389" s="6" t="n">
        <f aca="false">Sens!G9385</f>
        <v>157.399275932048</v>
      </c>
      <c r="H9389" s="6" t="n">
        <f aca="false">Sens!H9385</f>
        <v>162.260804347512</v>
      </c>
      <c r="I9389" s="6" t="n">
        <f aca="false">Sens!I9385</f>
        <v>144.136569485434</v>
      </c>
      <c r="J9389" s="6" t="n">
        <f aca="false">Sens!J9385</f>
        <v>114.029037357864</v>
      </c>
      <c r="K9389" s="6" t="n">
        <f aca="false">Sens!K9385</f>
        <v>113.437085350975</v>
      </c>
    </row>
    <row r="9390" customFormat="false" ht="17.15" hidden="false" customHeight="false" outlineLevel="0" collapsed="false">
      <c r="A9390" s="0" t="s">
        <v>1001</v>
      </c>
      <c r="B9390" s="0" t="s">
        <v>98</v>
      </c>
      <c r="C9390" s="6" t="n">
        <f aca="false">Sens!C9389+Sens!C9386</f>
        <v>28.7416845916667</v>
      </c>
      <c r="D9390" s="6" t="n">
        <f aca="false">Sens!D9389+Sens!D9386</f>
        <v>43.4058093833333</v>
      </c>
      <c r="E9390" s="6" t="n">
        <f aca="false">Sens!E9389+Sens!E9386</f>
        <v>86.225053775</v>
      </c>
      <c r="F9390" s="6" t="n">
        <f aca="false">Sens!F9389+Sens!F9386</f>
        <v>168.45390404212</v>
      </c>
      <c r="G9390" s="6" t="n">
        <f aca="false">Sens!G9389+Sens!G9386</f>
        <v>191.944475649048</v>
      </c>
      <c r="H9390" s="6" t="n">
        <f aca="false">Sens!H9389+Sens!H9386</f>
        <v>196.806004064512</v>
      </c>
      <c r="I9390" s="6" t="n">
        <f aca="false">Sens!I9389+Sens!I9386</f>
        <v>168.61483362161</v>
      </c>
      <c r="J9390" s="6" t="n">
        <f aca="false">Sens!J9389+Sens!J9386</f>
        <v>128.92993119594</v>
      </c>
      <c r="K9390" s="6" t="n">
        <f aca="false">Sens!K9389+Sens!K9386</f>
        <v>118.962853064733</v>
      </c>
      <c r="L9390" s="12" t="s">
        <v>1002</v>
      </c>
    </row>
    <row r="9391" customFormat="false" ht="17.15" hidden="false" customHeight="false" outlineLevel="0" collapsed="false">
      <c r="A9391" s="0" t="s">
        <v>1003</v>
      </c>
      <c r="B9391" s="0" t="s">
        <v>98</v>
      </c>
      <c r="E9391" s="6" t="n">
        <f aca="false">(Sens!C9389*IF(2&lt;life_it,1,IF(2=life_it,0.5,0))+Sens!D9389*IF(1&lt;life_it,1,IF(1=life_it,0.5,0))+Sens!E9389*0.5)/life_it</f>
        <v>15.0605784770833</v>
      </c>
      <c r="F9391" s="6" t="n">
        <f aca="false">(Sens!C9389*IF(3&lt;life_it,1,IF(3=life_it,0.5,0))+Sens!D9389*IF(2&lt;life_it,1,IF(2=life_it,0.5,0))+Sens!E9389*IF(1&lt;life_it,1,IF(1=life_it,0.5,0))+Sens!F9389*0.5)/life_it</f>
        <v>32.0704849854266</v>
      </c>
      <c r="G9391" s="6" t="n">
        <f aca="false">(Sens!C9389*IF(4&lt;life_it,1,IF(4=life_it,0.5,0))+Sens!D9389*IF(3&lt;life_it,1,IF(3=life_it,0.5,0))+Sens!E9389*IF(2&lt;life_it,1,IF(2=life_it,0.5,0))+Sens!F9389*IF(1&lt;life_it,1,IF(1=life_it,0.5,0))+Sens!G9389*0.5)/life_it</f>
        <v>56.5636516735239</v>
      </c>
      <c r="H9391" s="6" t="n">
        <f aca="false">(Sens!C9389*IF(5&lt;life_it,1,IF(5=life_it,0.5,0))+Sens!D9389*IF(4&lt;life_it,1,IF(4=life_it,0.5,0))+Sens!E9389*IF(3&lt;life_it,1,IF(3=life_it,0.5,0))+Sens!F9389*IF(2&lt;life_it,1,IF(2=life_it,0.5,0))+Sens!G9389*IF(1&lt;life_it,1,IF(1=life_it,0.5,0))+Sens!H9389*0.5)/life_it</f>
        <v>83.2019916968207</v>
      </c>
      <c r="I9391" s="6" t="n">
        <f aca="false">(Sens!C9389*IF(6&lt;life_it,1,IF(6=life_it,0.5,0))+Sens!D9389*IF(5&lt;life_it,1,IF(5=life_it,0.5,0))+Sens!E9389*IF(4&lt;life_it,1,IF(4=life_it,0.5,0))+Sens!F9389*IF(3&lt;life_it,1,IF(3=life_it,0.5,0))+Sens!G9389*IF(2&lt;life_it,1,IF(2=life_it,0.5,0))+Sens!H9389*IF(1&lt;life_it,1,IF(1=life_it,0.5,0))+Sens!I9389*0.5)/life_it</f>
        <v>106.857324133594</v>
      </c>
      <c r="J9391" s="6" t="n">
        <f aca="false">(Sens!C9389*IF(7&lt;life_it,1,IF(7=life_it,0.5,0))+Sens!D9389*IF(6&lt;life_it,1,IF(6=life_it,0.5,0))+Sens!E9389*IF(5&lt;life_it,1,IF(5=life_it,0.5,0))+Sens!F9389*IF(4&lt;life_it,1,IF(4=life_it,0.5,0))+Sens!G9389*IF(3&lt;life_it,1,IF(3=life_it,0.5,0))+Sens!H9389*IF(2&lt;life_it,1,IF(2=life_it,0.5,0))+Sens!I9389*IF(1&lt;life_it,1,IF(1=life_it,0.5,0))+Sens!J9389*0.5)/life_it</f>
        <v>123.657508539285</v>
      </c>
      <c r="K9391" s="6" t="n">
        <f aca="false">(Sens!C9389*IF(8&lt;life_it,1,IF(8=life_it,0.5,0))+Sens!D9389*IF(7&lt;life_it,1,IF(7=life_it,0.5,0))+Sens!E9389*IF(6&lt;life_it,1,IF(6=life_it,0.5,0))+Sens!F9389*IF(5&lt;life_it,1,IF(5=life_it,0.5,0))+Sens!G9389*IF(4&lt;life_it,1,IF(4=life_it,0.5,0))+Sens!H9389*IF(3&lt;life_it,1,IF(3=life_it,0.5,0))+Sens!I9389*IF(2&lt;life_it,1,IF(2=life_it,0.5,0))+Sens!J9389*IF(1&lt;life_it,1,IF(1=life_it,0.5,0))+Sens!K9389*0.5)/life_it</f>
        <v>134.143838501827</v>
      </c>
    </row>
    <row r="9392" customFormat="false" ht="17.15" hidden="false" customHeight="false" outlineLevel="0" collapsed="false">
      <c r="A9392" s="0" t="s">
        <v>1004</v>
      </c>
      <c r="B9392" s="0" t="s">
        <v>98</v>
      </c>
      <c r="E9392" s="6" t="n">
        <f aca="false">(Sens!C9386*IF(2&lt;life_fac,1,IF(2=life_fac,0.5,0))+Sens!D9386*IF(1&lt;life_fac,1,IF(1=life_fac,0.5,0))+Sens!E9386*0.5)/life_fac</f>
        <v>1.2448275</v>
      </c>
      <c r="F9392" s="6" t="n">
        <f aca="false">(Sens!C9386*IF(3&lt;life_fac,1,IF(3=life_fac,0.5,0))+Sens!D9386*IF(2&lt;life_fac,1,IF(2=life_fac,0.5,0))+Sens!E9386*IF(1&lt;life_fac,1,IF(1=life_fac,0.5,0))+Sens!F9386*0.5)/life_fac</f>
        <v>2.508829492925</v>
      </c>
      <c r="G9392" s="6" t="n">
        <f aca="false">(Sens!C9386*IF(4&lt;life_fac,1,IF(4=life_fac,0.5,0))+Sens!D9386*IF(3&lt;life_fac,1,IF(3=life_fac,0.5,0))+Sens!E9386*IF(2&lt;life_fac,1,IF(2=life_fac,0.5,0))+Sens!F9386*IF(1&lt;life_fac,1,IF(1=life_fac,0.5,0))+Sens!G9386*0.5)/life_fac</f>
        <v>4.170838978775</v>
      </c>
      <c r="H9392" s="6" t="n">
        <f aca="false">(Sens!C9386*IF(5&lt;life_fac,1,IF(5=life_fac,0.5,0))+Sens!D9386*IF(4&lt;life_fac,1,IF(4=life_fac,0.5,0))+Sens!E9386*IF(3&lt;life_fac,1,IF(3=life_fac,0.5,0))+Sens!F9386*IF(2&lt;life_fac,1,IF(2=life_fac,0.5,0))+Sens!G9386*IF(1&lt;life_fac,1,IF(1=life_fac,0.5,0))+Sens!H9386*0.5)/life_fac</f>
        <v>5.898098964625</v>
      </c>
      <c r="I9392" s="6" t="n">
        <f aca="false">(Sens!C9386*IF(6&lt;life_fac,1,IF(6=life_fac,0.5,0))+Sens!D9386*IF(5&lt;life_fac,1,IF(5=life_fac,0.5,0))+Sens!E9386*IF(4&lt;life_fac,1,IF(4=life_fac,0.5,0))+Sens!F9386*IF(3&lt;life_fac,1,IF(3=life_fac,0.5,0))+Sens!G9386*IF(2&lt;life_fac,1,IF(2=life_fac,0.5,0))+Sens!H9386*IF(1&lt;life_fac,1,IF(1=life_fac,0.5,0))+Sens!I9386*0.5)/life_fac</f>
        <v>7.37368556095442</v>
      </c>
      <c r="J9392" s="6" t="n">
        <f aca="false">(Sens!C9386*IF(7&lt;life_fac,1,IF(7=life_fac,0.5,0))+Sens!D9386*IF(6&lt;life_fac,1,IF(6=life_fac,0.5,0))+Sens!E9386*IF(5&lt;life_fac,1,IF(5=life_fac,0.5,0))+Sens!F9386*IF(4&lt;life_fac,1,IF(4=life_fac,0.5,0))+Sens!G9386*IF(3&lt;life_fac,1,IF(3=life_fac,0.5,0))+Sens!H9386*IF(2&lt;life_fac,1,IF(2=life_fac,0.5,0))+Sens!I9386*IF(1&lt;life_fac,1,IF(1=life_fac,0.5,0))+Sens!J9386*0.5)/life_fac</f>
        <v>8.35816451031075</v>
      </c>
      <c r="K9392" s="6" t="n">
        <f aca="false">(Sens!C9386*IF(8&lt;life_fac,1,IF(8=life_fac,0.5,0))+Sens!D9386*IF(7&lt;life_fac,1,IF(7=life_fac,0.5,0))+Sens!E9386*IF(6&lt;life_fac,1,IF(6=life_fac,0.5,0))+Sens!F9386*IF(5&lt;life_fac,1,IF(5=life_fac,0.5,0))+Sens!G9386*IF(4&lt;life_fac,1,IF(4=life_fac,0.5,0))+Sens!H9386*IF(3&lt;life_fac,1,IF(3=life_fac,0.5,0))+Sens!I9386*IF(2&lt;life_fac,1,IF(2=life_fac,0.5,0))+Sens!J9386*IF(1&lt;life_fac,1,IF(1=life_fac,0.5,0))+Sens!K9386*0.5)/life_fac</f>
        <v>8.86883104910662</v>
      </c>
    </row>
    <row r="9393" customFormat="false" ht="17.15" hidden="false" customHeight="false" outlineLevel="0" collapsed="false">
      <c r="A9393" s="0" t="s">
        <v>1005</v>
      </c>
      <c r="B9393" s="0" t="s">
        <v>98</v>
      </c>
      <c r="E9393" s="6" t="n">
        <f aca="false">Sens!E9391+Sens!E9392</f>
        <v>16.3054059770833</v>
      </c>
      <c r="F9393" s="6" t="n">
        <f aca="false">Sens!F9391+Sens!F9392</f>
        <v>34.5793144783516</v>
      </c>
      <c r="G9393" s="6" t="n">
        <f aca="false">Sens!G9391+Sens!G9392</f>
        <v>60.7344906522989</v>
      </c>
      <c r="H9393" s="6" t="n">
        <f aca="false">Sens!H9391+Sens!H9392</f>
        <v>89.1000906614457</v>
      </c>
      <c r="I9393" s="6" t="n">
        <f aca="false">Sens!I9391+Sens!I9392</f>
        <v>114.231009694548</v>
      </c>
      <c r="J9393" s="6" t="n">
        <f aca="false">Sens!J9391+Sens!J9392</f>
        <v>132.015673049596</v>
      </c>
      <c r="K9393" s="6" t="n">
        <f aca="false">Sens!K9391+Sens!K9392</f>
        <v>143.012669550934</v>
      </c>
    </row>
    <row r="9394" customFormat="false" ht="17.15" hidden="false" customHeight="false" outlineLevel="0" collapsed="false">
      <c r="A9394" s="0" t="s">
        <v>1006</v>
      </c>
      <c r="B9394" s="0" t="s">
        <v>98</v>
      </c>
      <c r="E9394" s="6" t="n">
        <f aca="false">Sens!E9381-Sens!E9380*Sens!E9393</f>
        <v>8.92707889977379</v>
      </c>
      <c r="F9394" s="6" t="n">
        <f aca="false">Sens!F9381-Sens!F9380*Sens!F9393</f>
        <v>18.7770356668733</v>
      </c>
      <c r="G9394" s="6" t="n">
        <f aca="false">Sens!G9381-Sens!G9380*Sens!G9393</f>
        <v>31.1163641458894</v>
      </c>
      <c r="H9394" s="6" t="n">
        <f aca="false">Sens!H9381-Sens!H9380*Sens!H9393</f>
        <v>43.7262635496428</v>
      </c>
      <c r="I9394" s="6" t="n">
        <f aca="false">Sens!I9381-Sens!I9380*Sens!I9393</f>
        <v>54.7541698336361</v>
      </c>
      <c r="J9394" s="6" t="n">
        <f aca="false">Sens!J9381-Sens!J9380*Sens!J9393</f>
        <v>62.3768819327658</v>
      </c>
      <c r="K9394" s="6" t="n">
        <f aca="false">Sens!K9381-Sens!K9380*Sens!K9393</f>
        <v>67.4820630434748</v>
      </c>
    </row>
    <row r="9395" customFormat="false" ht="17.15" hidden="false" customHeight="false" outlineLevel="0" collapsed="false">
      <c r="A9395" s="3" t="s">
        <v>1846</v>
      </c>
    </row>
    <row r="9396" customFormat="false" ht="15" hidden="false" customHeight="false" outlineLevel="0" collapsed="false">
      <c r="A9396" s="4" t="s">
        <v>43</v>
      </c>
      <c r="B9396" s="4" t="s">
        <v>65</v>
      </c>
      <c r="C9396" s="23" t="s">
        <v>942</v>
      </c>
      <c r="D9396" s="23" t="s">
        <v>943</v>
      </c>
      <c r="E9396" s="23" t="s">
        <v>944</v>
      </c>
      <c r="F9396" s="23" t="s">
        <v>945</v>
      </c>
      <c r="G9396" s="23" t="s">
        <v>946</v>
      </c>
      <c r="H9396" s="23" t="s">
        <v>947</v>
      </c>
      <c r="I9396" s="23" t="s">
        <v>948</v>
      </c>
      <c r="J9396" s="23" t="s">
        <v>949</v>
      </c>
      <c r="K9396" s="23" t="s">
        <v>950</v>
      </c>
      <c r="L9396" s="4" t="s">
        <v>47</v>
      </c>
    </row>
    <row r="9397" customFormat="false" ht="17.15" hidden="false" customHeight="false" outlineLevel="0" collapsed="false">
      <c r="A9397" s="0" t="s">
        <v>1025</v>
      </c>
      <c r="B9397" s="0" t="s">
        <v>98</v>
      </c>
      <c r="D9397" s="6" t="n">
        <f aca="false">Sens!D9375</f>
        <v>12.9359794422418</v>
      </c>
      <c r="E9397" s="6" t="n">
        <f aca="false">Sens!E9375</f>
        <v>27.8095064661409</v>
      </c>
      <c r="F9397" s="6" t="n">
        <f aca="false">Sens!F9375</f>
        <v>55.4118315060966</v>
      </c>
      <c r="G9397" s="6" t="n">
        <f aca="false">Sens!G9375</f>
        <v>91.2881100675143</v>
      </c>
      <c r="H9397" s="6" t="n">
        <f aca="false">Sens!H9375</f>
        <v>128.195273603944</v>
      </c>
      <c r="I9397" s="6" t="n">
        <f aca="false">Sens!I9375</f>
        <v>160.601281810405</v>
      </c>
      <c r="J9397" s="6" t="n">
        <f aca="false">Sens!J9375</f>
        <v>183.182719793589</v>
      </c>
      <c r="K9397" s="6" t="n">
        <f aca="false">Sens!K9375</f>
        <v>197.320124937098</v>
      </c>
    </row>
    <row r="9398" customFormat="false" ht="17.15" hidden="false" customHeight="false" outlineLevel="0" collapsed="false">
      <c r="A9398" s="0" t="s">
        <v>1026</v>
      </c>
      <c r="B9398" s="0" t="s">
        <v>98</v>
      </c>
      <c r="D9398" s="6" t="n">
        <f aca="false">Q!L6-Sens!D9397</f>
        <v>59.6740205577583</v>
      </c>
      <c r="E9398" s="6" t="n">
        <f aca="false">Q!M6-Sens!E9397</f>
        <v>74.1284935338591</v>
      </c>
      <c r="F9398" s="6" t="n">
        <f aca="false">Q!$I$6+(Sens!F9397+Sens!E9398*(1+Sens!F9399))*(1-Q!$E$6/Q!M6)-Sens!F9397</f>
        <v>91.0079613500462</v>
      </c>
      <c r="G9398" s="6" t="n">
        <f aca="false">Sens!F9398*(1+Sens!G9399)</f>
        <v>107.22096189638</v>
      </c>
      <c r="H9398" s="6" t="n">
        <f aca="false">Sens!G9398*(1+Sens!H9399)</f>
        <v>122.887224810695</v>
      </c>
      <c r="I9398" s="6" t="n">
        <f aca="false">Sens!H9398*(1+Sens!I9399)</f>
        <v>136.905539227598</v>
      </c>
      <c r="J9398" s="6" t="n">
        <f aca="false">Sens!I9398*(1+Sens!J9399)</f>
        <v>148.136901915644</v>
      </c>
      <c r="K9398" s="6" t="n">
        <f aca="false">Sens!J9398*(1+Sens!K9399)</f>
        <v>155.543747011426</v>
      </c>
      <c r="L9398" s="12" t="s">
        <v>1027</v>
      </c>
    </row>
    <row r="9399" customFormat="false" ht="15" hidden="false" customHeight="false" outlineLevel="0" collapsed="false">
      <c r="A9399" s="1" t="s">
        <v>1028</v>
      </c>
      <c r="B9399" s="0" t="s">
        <v>168</v>
      </c>
      <c r="E9399" s="7" t="n">
        <f aca="false">Sens!E9398/Sens!D9398-1</f>
        <v>0.242223883039864</v>
      </c>
      <c r="F9399" s="7" t="n">
        <f aca="false">Sens!$E$9399+(glt_azo_lo-Sens!$E$9399)*MIN(1,(Sens!F9356-base_fy)/n_conv)</f>
        <v>0.210186569199887</v>
      </c>
      <c r="G9399" s="7" t="n">
        <f aca="false">Sens!$E$9399+(glt_azo_lo-Sens!$E$9399)*MIN(1,(Sens!G9356-base_fy)/n_conv)</f>
        <v>0.17814925535991</v>
      </c>
      <c r="H9399" s="7" t="n">
        <f aca="false">Sens!$E$9399+(glt_azo_lo-Sens!$E$9399)*MIN(1,(Sens!H9356-base_fy)/n_conv)</f>
        <v>0.146111941519932</v>
      </c>
      <c r="I9399" s="7" t="n">
        <f aca="false">Sens!$E$9399+(glt_azo_lo-Sens!$E$9399)*MIN(1,(Sens!I9356-base_fy)/n_conv)</f>
        <v>0.114074627679955</v>
      </c>
      <c r="J9399" s="7" t="n">
        <f aca="false">Sens!$E$9399+(glt_azo_lo-Sens!$E$9399)*MIN(1,(Sens!J9356-base_fy)/n_conv)</f>
        <v>0.0820373138399774</v>
      </c>
      <c r="K9399" s="7" t="n">
        <f aca="false">Sens!$E$9399+(glt_azo_lo-Sens!$E$9399)*MIN(1,(Sens!K9356-base_fy)/n_conv)</f>
        <v>0.05</v>
      </c>
    </row>
    <row r="9400" customFormat="false" ht="15" hidden="false" customHeight="false" outlineLevel="0" collapsed="false">
      <c r="A9400" s="0" t="s">
        <v>1029</v>
      </c>
      <c r="B9400" s="0" t="s">
        <v>98</v>
      </c>
      <c r="D9400" s="6" t="n">
        <f aca="false">Sens!D9397+Sens!D9398</f>
        <v>72.61</v>
      </c>
      <c r="E9400" s="6" t="n">
        <f aca="false">Sens!E9397+Sens!E9398</f>
        <v>101.938</v>
      </c>
      <c r="F9400" s="6" t="n">
        <f aca="false">Sens!F9397+Sens!F9398</f>
        <v>146.419792856143</v>
      </c>
      <c r="G9400" s="6" t="n">
        <f aca="false">Sens!G9397+Sens!G9398</f>
        <v>198.509071963895</v>
      </c>
      <c r="H9400" s="6" t="n">
        <f aca="false">Sens!H9397+Sens!H9398</f>
        <v>251.082498414639</v>
      </c>
      <c r="I9400" s="6" t="n">
        <f aca="false">Sens!I9397+Sens!I9398</f>
        <v>297.506821038003</v>
      </c>
      <c r="J9400" s="6" t="n">
        <f aca="false">Sens!J9397+Sens!J9398</f>
        <v>331.319621709233</v>
      </c>
      <c r="K9400" s="6" t="n">
        <f aca="false">Sens!K9397+Sens!K9398</f>
        <v>352.863871948524</v>
      </c>
    </row>
    <row r="9401" customFormat="false" ht="17.15" hidden="false" customHeight="false" outlineLevel="0" collapsed="false">
      <c r="A9401" s="0" t="s">
        <v>1030</v>
      </c>
      <c r="B9401" s="1" t="s">
        <v>613</v>
      </c>
      <c r="C9401" s="30" t="n">
        <f aca="false">cop_s24</f>
        <v>1</v>
      </c>
      <c r="D9401" s="30" t="n">
        <f aca="false">cop_s25</f>
        <v>5</v>
      </c>
      <c r="E9401" s="30" t="n">
        <f aca="false">cop_s26</f>
        <v>30</v>
      </c>
      <c r="F9401" s="30" t="n">
        <f aca="false">Sens!E9401+cop_add_B</f>
        <v>50</v>
      </c>
      <c r="G9401" s="30" t="n">
        <f aca="false">Sens!F9401+cop_add_B</f>
        <v>70</v>
      </c>
      <c r="H9401" s="30" t="n">
        <f aca="false">Sens!G9401+cop_add_B</f>
        <v>90</v>
      </c>
      <c r="I9401" s="30" t="n">
        <f aca="false">Sens!H9401+cop_add_B*cop_tail</f>
        <v>100</v>
      </c>
      <c r="J9401" s="30" t="n">
        <f aca="false">Sens!I9401+cop_add_B*cop_tail</f>
        <v>110</v>
      </c>
      <c r="K9401" s="30" t="n">
        <f aca="false">Sens!J9401+cop_add_B*cop_tail</f>
        <v>120</v>
      </c>
      <c r="L9401" s="12" t="s">
        <v>1031</v>
      </c>
    </row>
    <row r="9402" customFormat="false" ht="17.15" hidden="false" customHeight="false" outlineLevel="0" collapsed="false">
      <c r="A9402" s="0" t="s">
        <v>1032</v>
      </c>
      <c r="B9402" s="0" t="s">
        <v>98</v>
      </c>
      <c r="D9402" s="6" t="n">
        <f aca="false">(Sens!C9401+Sens!D9401)/2*cop_px*12/1000</f>
        <v>0.9</v>
      </c>
      <c r="E9402" s="6" t="n">
        <f aca="false">(Sens!D9401+Sens!E9401)/2*cop_px*12/1000</f>
        <v>5.25</v>
      </c>
      <c r="F9402" s="6" t="n">
        <f aca="false">(Sens!E9401+Sens!F9401)/2*cop_px*12/1000</f>
        <v>12</v>
      </c>
      <c r="G9402" s="6" t="n">
        <f aca="false">(Sens!F9401+Sens!G9401)/2*cop_px*12/1000</f>
        <v>18</v>
      </c>
      <c r="H9402" s="6" t="n">
        <f aca="false">(Sens!G9401+Sens!H9401)/2*cop_px*12/1000</f>
        <v>24</v>
      </c>
      <c r="I9402" s="6" t="n">
        <f aca="false">(Sens!H9401+Sens!I9401)/2*cop_px*12/1000</f>
        <v>28.5</v>
      </c>
      <c r="J9402" s="6" t="n">
        <f aca="false">(Sens!I9401+Sens!J9401)/2*cop_px*12/1000</f>
        <v>31.5</v>
      </c>
      <c r="K9402" s="6" t="n">
        <f aca="false">(Sens!J9401+Sens!K9401)/2*cop_px*12/1000</f>
        <v>34.5</v>
      </c>
      <c r="L9402" s="1" t="s">
        <v>1033</v>
      </c>
    </row>
    <row r="9403" customFormat="false" ht="17.15" hidden="false" customHeight="false" outlineLevel="0" collapsed="false">
      <c r="A9403" s="0" t="s">
        <v>1034</v>
      </c>
      <c r="B9403" s="0" t="s">
        <v>98</v>
      </c>
      <c r="D9403" s="6" t="n">
        <f aca="false">Q!L7-Sens!D9402</f>
        <v>83.705</v>
      </c>
      <c r="E9403" s="6" t="n">
        <f aca="false">Q!M7-Sens!E9402</f>
        <v>95.049</v>
      </c>
      <c r="F9403" s="6" t="n">
        <f aca="false">Q!$I$7+(Sens!E9403*(1+Sens!F9404)+Sens!F9402)*(1-Q!$E$7/Q!M7)-Sens!F9402</f>
        <v>106.584003697747</v>
      </c>
      <c r="G9403" s="6" t="n">
        <f aca="false">Sens!F9403*(1+Sens!G9404)</f>
        <v>118.700726545688</v>
      </c>
      <c r="H9403" s="6" t="n">
        <f aca="false">Sens!G9403*(1+Sens!H9404)</f>
        <v>130.898624783666</v>
      </c>
      <c r="I9403" s="6" t="n">
        <f aca="false">Sens!H9403*(1+Sens!I9404)</f>
        <v>142.920510030657</v>
      </c>
      <c r="J9403" s="6" t="n">
        <f aca="false">Sens!I9403*(1+Sens!J9404)</f>
        <v>154.485722618572</v>
      </c>
      <c r="K9403" s="6" t="n">
        <f aca="false">Sens!J9403*(1+Sens!K9404)</f>
        <v>165.299723201872</v>
      </c>
      <c r="L9403" s="12" t="s">
        <v>1035</v>
      </c>
    </row>
    <row r="9404" customFormat="false" ht="15" hidden="false" customHeight="false" outlineLevel="0" collapsed="false">
      <c r="A9404" s="1" t="s">
        <v>1028</v>
      </c>
      <c r="B9404" s="0" t="s">
        <v>168</v>
      </c>
      <c r="E9404" s="7" t="n">
        <f aca="false">Sens!E9403/Sens!D9403-1</f>
        <v>0.135523564900544</v>
      </c>
      <c r="F9404" s="7" t="n">
        <f aca="false">Sens!$E$9404+(glt_m365b-Sens!$E$9404)*MIN(1,(Sens!F9356-base_fy)/n_conv)</f>
        <v>0.124602970750453</v>
      </c>
      <c r="G9404" s="7" t="n">
        <f aca="false">Sens!$E$9404+(glt_m365b-Sens!$E$9404)*MIN(1,(Sens!G9356-base_fy)/n_conv)</f>
        <v>0.113682376600363</v>
      </c>
      <c r="H9404" s="7" t="n">
        <f aca="false">Sens!$E$9404+(glt_m365b-Sens!$E$9404)*MIN(1,(Sens!H9356-base_fy)/n_conv)</f>
        <v>0.102761782450272</v>
      </c>
      <c r="I9404" s="7" t="n">
        <f aca="false">Sens!$E$9404+(glt_m365b-Sens!$E$9404)*MIN(1,(Sens!I9356-base_fy)/n_conv)</f>
        <v>0.0918411883001813</v>
      </c>
      <c r="J9404" s="7" t="n">
        <f aca="false">Sens!$E$9404+(glt_m365b-Sens!$E$9404)*MIN(1,(Sens!J9356-base_fy)/n_conv)</f>
        <v>0.0809205941500906</v>
      </c>
      <c r="K9404" s="7" t="n">
        <f aca="false">Sens!$E$9404+(glt_m365b-Sens!$E$9404)*MIN(1,(Sens!K9356-base_fy)/n_conv)</f>
        <v>0.07</v>
      </c>
    </row>
    <row r="9405" customFormat="false" ht="15" hidden="false" customHeight="false" outlineLevel="0" collapsed="false">
      <c r="A9405" s="0" t="s">
        <v>1036</v>
      </c>
      <c r="B9405" s="0" t="s">
        <v>98</v>
      </c>
      <c r="D9405" s="6" t="n">
        <f aca="false">Sens!D9403+Sens!D9402</f>
        <v>84.605</v>
      </c>
      <c r="E9405" s="6" t="n">
        <f aca="false">Sens!E9403+Sens!E9402</f>
        <v>100.299</v>
      </c>
      <c r="F9405" s="6" t="n">
        <f aca="false">Sens!F9403+Sens!F9402</f>
        <v>118.584003697747</v>
      </c>
      <c r="G9405" s="6" t="n">
        <f aca="false">Sens!G9403+Sens!G9402</f>
        <v>136.700726545688</v>
      </c>
      <c r="H9405" s="6" t="n">
        <f aca="false">Sens!H9403+Sens!H9402</f>
        <v>154.898624783666</v>
      </c>
      <c r="I9405" s="6" t="n">
        <f aca="false">Sens!I9403+Sens!I9402</f>
        <v>171.420510030657</v>
      </c>
      <c r="J9405" s="6" t="n">
        <f aca="false">Sens!J9403+Sens!J9402</f>
        <v>185.985722618572</v>
      </c>
      <c r="K9405" s="6" t="n">
        <f aca="false">Sens!K9403+Sens!K9402</f>
        <v>199.799723201872</v>
      </c>
    </row>
    <row r="9406" customFormat="false" ht="17.15" hidden="false" customHeight="false" outlineLevel="0" collapsed="false">
      <c r="A9406" s="0" t="s">
        <v>1037</v>
      </c>
      <c r="B9406" s="0" t="s">
        <v>98</v>
      </c>
      <c r="D9406" s="6" t="n">
        <f aca="false">Q!L8</f>
        <v>35.391</v>
      </c>
      <c r="E9406" s="6" t="n">
        <f aca="false">Q!M8</f>
        <v>37.285</v>
      </c>
      <c r="F9406" s="6" t="n">
        <f aca="false">Q!$I$8+(Q!M8-Q!$E$8)*(1+Sens!F9407)</f>
        <v>38.3851437782675</v>
      </c>
      <c r="G9406" s="6" t="n">
        <f aca="false">Sens!F9406*(1+Sens!G9407)</f>
        <v>40.0105353288615</v>
      </c>
      <c r="H9406" s="6" t="n">
        <f aca="false">Sens!G9406*(1+Sens!H9407)</f>
        <v>41.4812512033683</v>
      </c>
      <c r="I9406" s="6" t="n">
        <f aca="false">Sens!H9406*(1+Sens!I9407)</f>
        <v>42.7743107216329</v>
      </c>
      <c r="J9406" s="6" t="n">
        <f aca="false">Sens!I9406*(1+Sens!J9407)</f>
        <v>43.8687373064601</v>
      </c>
      <c r="K9406" s="6" t="n">
        <f aca="false">Sens!J9406*(1+Sens!K9407)</f>
        <v>44.7461120525893</v>
      </c>
      <c r="L9406" s="12" t="s">
        <v>1038</v>
      </c>
    </row>
    <row r="9407" customFormat="false" ht="15" hidden="false" customHeight="false" outlineLevel="0" collapsed="false">
      <c r="A9407" s="1" t="s">
        <v>1028</v>
      </c>
      <c r="B9407" s="0" t="s">
        <v>168</v>
      </c>
      <c r="E9407" s="7" t="n">
        <f aca="false">Sens!E9406/Sens!D9406-1</f>
        <v>0.0535164307309768</v>
      </c>
      <c r="F9407" s="7" t="n">
        <f aca="false">Sens!$E$9407+(glt_lic-Sens!$E$9407)*MIN(1,(Sens!F9356-base_fy)/n_conv)</f>
        <v>0.0479303589424807</v>
      </c>
      <c r="G9407" s="7" t="n">
        <f aca="false">Sens!$E$9407+(glt_lic-Sens!$E$9407)*MIN(1,(Sens!G9356-base_fy)/n_conv)</f>
        <v>0.0423442871539845</v>
      </c>
      <c r="H9407" s="7" t="n">
        <f aca="false">Sens!$E$9407+(glt_lic-Sens!$E$9407)*MIN(1,(Sens!H9356-base_fy)/n_conv)</f>
        <v>0.0367582153654884</v>
      </c>
      <c r="I9407" s="7" t="n">
        <f aca="false">Sens!$E$9407+(glt_lic-Sens!$E$9407)*MIN(1,(Sens!I9356-base_fy)/n_conv)</f>
        <v>0.0311721435769923</v>
      </c>
      <c r="J9407" s="7" t="n">
        <f aca="false">Sens!$E$9407+(glt_lic-Sens!$E$9407)*MIN(1,(Sens!J9356-base_fy)/n_conv)</f>
        <v>0.0255860717884961</v>
      </c>
      <c r="K9407" s="7" t="n">
        <f aca="false">Sens!$E$9407+(glt_lic-Sens!$E$9407)*MIN(1,(Sens!K9356-base_fy)/n_conv)</f>
        <v>0.02</v>
      </c>
    </row>
    <row r="9408" customFormat="false" ht="17.15" hidden="false" customHeight="false" outlineLevel="0" collapsed="false">
      <c r="A9408" s="0" t="s">
        <v>1039</v>
      </c>
      <c r="B9408" s="0" t="s">
        <v>98</v>
      </c>
      <c r="D9408" s="6" t="n">
        <f aca="false">Q!L9</f>
        <v>18.417</v>
      </c>
      <c r="E9408" s="6" t="n">
        <f aca="false">Q!M9</f>
        <v>20.345</v>
      </c>
      <c r="F9408" s="6" t="n">
        <f aca="false">Q!$I$9+(Q!M9-Q!$E$9)*(1+Sens!F9409)</f>
        <v>22.3161797133988</v>
      </c>
      <c r="G9408" s="6" t="n">
        <f aca="false">Sens!F9408*(1+Sens!G9409)</f>
        <v>24.3943499673233</v>
      </c>
      <c r="H9408" s="6" t="n">
        <f aca="false">Sens!G9408*(1+Sens!H9409)</f>
        <v>26.5250243109019</v>
      </c>
      <c r="I9408" s="6" t="n">
        <f aca="false">Sens!H9408*(1+Sens!I9409)</f>
        <v>28.6884573538181</v>
      </c>
      <c r="J9408" s="6" t="n">
        <f aca="false">Sens!I9408*(1+Sens!J9409)</f>
        <v>30.8624968052127</v>
      </c>
      <c r="K9408" s="6" t="n">
        <f aca="false">Sens!J9408*(1+Sens!K9409)</f>
        <v>33.0228715815776</v>
      </c>
      <c r="L9408" s="12" t="s">
        <v>1038</v>
      </c>
    </row>
    <row r="9409" customFormat="false" ht="15" hidden="false" customHeight="false" outlineLevel="0" collapsed="false">
      <c r="A9409" s="1" t="s">
        <v>1028</v>
      </c>
      <c r="B9409" s="0" t="s">
        <v>168</v>
      </c>
      <c r="E9409" s="7" t="n">
        <f aca="false">Sens!E9408/Sens!D9408-1</f>
        <v>0.104685888038225</v>
      </c>
      <c r="F9409" s="7" t="n">
        <f aca="false">Sens!$E$9409+(glt_ind-Sens!$E$9409)*MIN(1,(Sens!F9356-base_fy)/n_conv)</f>
        <v>0.0989049066985211</v>
      </c>
      <c r="G9409" s="7" t="n">
        <f aca="false">Sens!$E$9409+(glt_ind-Sens!$E$9409)*MIN(1,(Sens!G9356-base_fy)/n_conv)</f>
        <v>0.0931239253588169</v>
      </c>
      <c r="H9409" s="7" t="n">
        <f aca="false">Sens!$E$9409+(glt_ind-Sens!$E$9409)*MIN(1,(Sens!H9356-base_fy)/n_conv)</f>
        <v>0.0873429440191127</v>
      </c>
      <c r="I9409" s="7" t="n">
        <f aca="false">Sens!$E$9409+(glt_ind-Sens!$E$9409)*MIN(1,(Sens!I9356-base_fy)/n_conv)</f>
        <v>0.0815619626794085</v>
      </c>
      <c r="J9409" s="7" t="n">
        <f aca="false">Sens!$E$9409+(glt_ind-Sens!$E$9409)*MIN(1,(Sens!J9356-base_fy)/n_conv)</f>
        <v>0.0757809813397042</v>
      </c>
      <c r="K9409" s="7" t="n">
        <f aca="false">Sens!$E$9409+(glt_ind-Sens!$E$9409)*MIN(1,(Sens!K9356-base_fy)/n_conv)</f>
        <v>0.07</v>
      </c>
    </row>
    <row r="9410" customFormat="false" ht="17.15" hidden="false" customHeight="false" outlineLevel="0" collapsed="false">
      <c r="A9410" s="0" t="s">
        <v>1040</v>
      </c>
      <c r="B9410" s="0" t="s">
        <v>98</v>
      </c>
      <c r="D9410" s="6" t="n">
        <f aca="false">Q!L10</f>
        <v>7.76</v>
      </c>
      <c r="E9410" s="6" t="n">
        <f aca="false">Q!M10</f>
        <v>8.26</v>
      </c>
      <c r="F9410" s="6" t="n">
        <f aca="false">Q!$I$10+(Q!M10-Q!$E$10)*(1+Sens!F9411)</f>
        <v>8.75372082474227</v>
      </c>
      <c r="G9410" s="6" t="n">
        <f aca="false">Sens!F9410*(1+Sens!G9411)</f>
        <v>9.33399324642364</v>
      </c>
      <c r="H9410" s="6" t="n">
        <f aca="false">Sens!G9410*(1+Sens!H9411)</f>
        <v>9.96139155535851</v>
      </c>
      <c r="I9410" s="6" t="n">
        <f aca="false">Sens!H9410*(1+Sens!I9411)</f>
        <v>10.6402039077391</v>
      </c>
      <c r="J9410" s="6" t="n">
        <f aca="false">Sens!I9410*(1+Sens!J9411)</f>
        <v>11.3751458271397</v>
      </c>
      <c r="K9410" s="6" t="n">
        <f aca="false">Sens!J9410*(1+Sens!K9411)</f>
        <v>12.1714060350394</v>
      </c>
      <c r="L9410" s="12" t="s">
        <v>1038</v>
      </c>
    </row>
    <row r="9411" customFormat="false" ht="15" hidden="false" customHeight="false" outlineLevel="0" collapsed="false">
      <c r="A9411" s="1" t="s">
        <v>1028</v>
      </c>
      <c r="B9411" s="0" t="s">
        <v>168</v>
      </c>
      <c r="E9411" s="7" t="n">
        <f aca="false">Sens!E9410/Sens!D9410-1</f>
        <v>0.0644329896907216</v>
      </c>
      <c r="F9411" s="7" t="n">
        <f aca="false">Sens!$E$9411+(glt_fro-Sens!$E$9411)*MIN(1,(Sens!F9356-base_fy)/n_conv)</f>
        <v>0.065360824742268</v>
      </c>
      <c r="G9411" s="7" t="n">
        <f aca="false">Sens!$E$9411+(glt_fro-Sens!$E$9411)*MIN(1,(Sens!G9356-base_fy)/n_conv)</f>
        <v>0.0662886597938144</v>
      </c>
      <c r="H9411" s="7" t="n">
        <f aca="false">Sens!$E$9411+(glt_fro-Sens!$E$9411)*MIN(1,(Sens!H9356-base_fy)/n_conv)</f>
        <v>0.0672164948453608</v>
      </c>
      <c r="I9411" s="7" t="n">
        <f aca="false">Sens!$E$9411+(glt_fro-Sens!$E$9411)*MIN(1,(Sens!I9356-base_fy)/n_conv)</f>
        <v>0.0681443298969072</v>
      </c>
      <c r="J9411" s="7" t="n">
        <f aca="false">Sens!$E$9411+(glt_fro-Sens!$E$9411)*MIN(1,(Sens!J9356-base_fy)/n_conv)</f>
        <v>0.0690721649484536</v>
      </c>
      <c r="K9411" s="7" t="n">
        <f aca="false">Sens!$E$9411+(glt_fro-Sens!$E$9411)*MIN(1,(Sens!K9356-base_fy)/n_conv)</f>
        <v>0.07</v>
      </c>
    </row>
    <row r="9412" customFormat="false" ht="15" hidden="false" customHeight="false" outlineLevel="0" collapsed="false">
      <c r="A9412" s="0" t="s">
        <v>856</v>
      </c>
      <c r="B9412" s="0" t="s">
        <v>98</v>
      </c>
      <c r="D9412" s="6" t="n">
        <f aca="false">Sens!D9400+Sens!D9405+Sens!D9406+Sens!D9408+Sens!D9410</f>
        <v>218.783</v>
      </c>
      <c r="E9412" s="6" t="n">
        <f aca="false">Sens!E9400+Sens!E9405+Sens!E9406+Sens!E9408+Sens!E9410</f>
        <v>268.127</v>
      </c>
      <c r="F9412" s="6" t="n">
        <f aca="false">Sens!F9400+Sens!F9405+Sens!F9406+Sens!F9408+Sens!F9410</f>
        <v>334.458840870298</v>
      </c>
      <c r="G9412" s="6" t="n">
        <f aca="false">Sens!G9400+Sens!G9405+Sens!G9406+Sens!G9408+Sens!G9410</f>
        <v>408.948677052192</v>
      </c>
      <c r="H9412" s="6" t="n">
        <f aca="false">Sens!H9400+Sens!H9405+Sens!H9406+Sens!H9408+Sens!H9410</f>
        <v>483.948790267933</v>
      </c>
      <c r="I9412" s="6" t="n">
        <f aca="false">Sens!I9400+Sens!I9405+Sens!I9406+Sens!I9408+Sens!I9410</f>
        <v>551.03030305185</v>
      </c>
      <c r="J9412" s="6" t="n">
        <f aca="false">Sens!J9400+Sens!J9405+Sens!J9406+Sens!J9408+Sens!J9410</f>
        <v>603.411724266617</v>
      </c>
      <c r="K9412" s="6" t="n">
        <f aca="false">Sens!K9400+Sens!K9405+Sens!K9406+Sens!K9408+Sens!K9410</f>
        <v>642.603984819602</v>
      </c>
    </row>
    <row r="9413" customFormat="false" ht="17.15" hidden="false" customHeight="false" outlineLevel="0" collapsed="false">
      <c r="A9413" s="0" t="s">
        <v>1041</v>
      </c>
      <c r="B9413" s="0" t="s">
        <v>98</v>
      </c>
      <c r="D9413" s="6" t="n">
        <f aca="false">Q!L13</f>
        <v>22.171</v>
      </c>
      <c r="E9413" s="6" t="n">
        <f aca="false">Q!M13</f>
        <v>24.835</v>
      </c>
      <c r="F9413" s="6" t="n">
        <f aca="false">Q!$I$13+(Q!M13-Q!$E$13)*(1+Sens!F9414)</f>
        <v>27.5591895660247</v>
      </c>
      <c r="G9413" s="6" t="n">
        <f aca="false">Sens!F9413*(1+Sens!G9414)</f>
        <v>30.4098563144583</v>
      </c>
      <c r="H9413" s="6" t="n">
        <f aca="false">Sens!G9413*(1+Sens!H9414)</f>
        <v>33.3011792571777</v>
      </c>
      <c r="I9413" s="6" t="n">
        <f aca="false">Sens!H9413*(1+Sens!I9414)</f>
        <v>36.189023797112</v>
      </c>
      <c r="J9413" s="6" t="n">
        <f aca="false">Sens!I9413*(1+Sens!J9414)</f>
        <v>39.0247773769199</v>
      </c>
      <c r="K9413" s="6" t="n">
        <f aca="false">Sens!J9413*(1+Sens!K9414)</f>
        <v>41.7565117933043</v>
      </c>
      <c r="L9413" s="12" t="s">
        <v>1038</v>
      </c>
    </row>
    <row r="9414" customFormat="false" ht="15" hidden="false" customHeight="false" outlineLevel="0" collapsed="false">
      <c r="A9414" s="1" t="s">
        <v>1028</v>
      </c>
      <c r="B9414" s="0" t="s">
        <v>168</v>
      </c>
      <c r="E9414" s="7" t="n">
        <f aca="false">Sens!E9413/Sens!D9413-1</f>
        <v>0.120156961796942</v>
      </c>
      <c r="F9414" s="7" t="n">
        <f aca="false">Sens!$E$9414+(glt_srch-Sens!$E$9414)*MIN(1,(Sens!F9356-base_fy)/n_conv)</f>
        <v>0.111797468164118</v>
      </c>
      <c r="G9414" s="7" t="n">
        <f aca="false">Sens!$E$9414+(glt_srch-Sens!$E$9414)*MIN(1,(Sens!G9356-base_fy)/n_conv)</f>
        <v>0.103437974531295</v>
      </c>
      <c r="H9414" s="7" t="n">
        <f aca="false">Sens!$E$9414+(glt_srch-Sens!$E$9414)*MIN(1,(Sens!H9356-base_fy)/n_conv)</f>
        <v>0.095078480898471</v>
      </c>
      <c r="I9414" s="7" t="n">
        <f aca="false">Sens!$E$9414+(glt_srch-Sens!$E$9414)*MIN(1,(Sens!I9356-base_fy)/n_conv)</f>
        <v>0.0867189872656474</v>
      </c>
      <c r="J9414" s="7" t="n">
        <f aca="false">Sens!$E$9414+(glt_srch-Sens!$E$9414)*MIN(1,(Sens!J9356-base_fy)/n_conv)</f>
        <v>0.0783594936328237</v>
      </c>
      <c r="K9414" s="7" t="n">
        <f aca="false">Sens!$E$9414+(glt_srch-Sens!$E$9414)*MIN(1,(Sens!K9356-base_fy)/n_conv)</f>
        <v>0.07</v>
      </c>
    </row>
    <row r="9415" customFormat="false" ht="17.15" hidden="false" customHeight="false" outlineLevel="0" collapsed="false">
      <c r="A9415" s="0" t="s">
        <v>1042</v>
      </c>
      <c r="B9415" s="0" t="s">
        <v>98</v>
      </c>
      <c r="D9415" s="6" t="n">
        <f aca="false">Q!L14</f>
        <v>23.455</v>
      </c>
      <c r="E9415" s="6" t="n">
        <f aca="false">Q!M14</f>
        <v>21.79</v>
      </c>
      <c r="F9415" s="6" t="n">
        <f aca="false">Q!$I$14+(Q!M14-Q!$E$14)*(1+Sens!F9416)</f>
        <v>20.7520981041711</v>
      </c>
      <c r="G9415" s="6" t="n">
        <f aca="false">Sens!F9415*(1+Sens!G9416)</f>
        <v>19.9083593495882</v>
      </c>
      <c r="H9415" s="6" t="n">
        <f aca="false">Sens!G9415*(1+Sens!H9416)</f>
        <v>19.4008256265831</v>
      </c>
      <c r="I9415" s="6" t="n">
        <f aca="false">Sens!H9415*(1+Sens!I9416)</f>
        <v>19.200434522122</v>
      </c>
      <c r="J9415" s="6" t="n">
        <f aca="false">Sens!I9415*(1+Sens!J9416)</f>
        <v>19.2932782348507</v>
      </c>
      <c r="K9415" s="6" t="n">
        <f aca="false">Sens!J9415*(1+Sens!K9416)</f>
        <v>19.6791437995477</v>
      </c>
      <c r="L9415" s="12" t="s">
        <v>1038</v>
      </c>
    </row>
    <row r="9416" customFormat="false" ht="15" hidden="false" customHeight="false" outlineLevel="0" collapsed="false">
      <c r="A9416" s="1" t="s">
        <v>1028</v>
      </c>
      <c r="B9416" s="0" t="s">
        <v>168</v>
      </c>
      <c r="E9416" s="7" t="n">
        <f aca="false">Sens!E9415/Sens!D9415-1</f>
        <v>-0.0709869963760392</v>
      </c>
      <c r="F9416" s="7" t="n">
        <f aca="false">Sens!$E$9416+(glt_xbox-Sens!$E$9416)*MIN(1,(Sens!F9356-base_fy)/n_conv)</f>
        <v>-0.0558224969800327</v>
      </c>
      <c r="G9416" s="7" t="n">
        <f aca="false">Sens!$E$9416+(glt_xbox-Sens!$E$9416)*MIN(1,(Sens!G9356-base_fy)/n_conv)</f>
        <v>-0.0406579975840262</v>
      </c>
      <c r="H9416" s="7" t="n">
        <f aca="false">Sens!$E$9416+(glt_xbox-Sens!$E$9416)*MIN(1,(Sens!H9356-base_fy)/n_conv)</f>
        <v>-0.0254934981880196</v>
      </c>
      <c r="I9416" s="7" t="n">
        <f aca="false">Sens!$E$9416+(glt_xbox-Sens!$E$9416)*MIN(1,(Sens!I9356-base_fy)/n_conv)</f>
        <v>-0.0103289987920131</v>
      </c>
      <c r="J9416" s="7" t="n">
        <f aca="false">Sens!$E$9416+(glt_xbox-Sens!$E$9416)*MIN(1,(Sens!J9356-base_fy)/n_conv)</f>
        <v>0.00483550060399347</v>
      </c>
      <c r="K9416" s="7" t="n">
        <f aca="false">Sens!$E$9416+(glt_xbox-Sens!$E$9416)*MIN(1,(Sens!K9356-base_fy)/n_conv)</f>
        <v>0.02</v>
      </c>
    </row>
    <row r="9417" customFormat="false" ht="17.15" hidden="false" customHeight="false" outlineLevel="0" collapsed="false">
      <c r="A9417" s="0" t="s">
        <v>1043</v>
      </c>
      <c r="B9417" s="0" t="s">
        <v>98</v>
      </c>
      <c r="D9417" s="6" t="n">
        <f aca="false">Q!L15</f>
        <v>17.315</v>
      </c>
      <c r="E9417" s="6" t="n">
        <f aca="false">Q!M15</f>
        <v>17.087</v>
      </c>
      <c r="F9417" s="6" t="n">
        <f aca="false">Q!$I$15+(Q!M15-Q!$E$15)*(1+Sens!F9418)</f>
        <v>15.9912273250553</v>
      </c>
      <c r="G9417" s="6" t="n">
        <f aca="false">Sens!F9417*(1+Sens!G9418)</f>
        <v>15.9574562664827</v>
      </c>
      <c r="H9417" s="6" t="n">
        <f aca="false">Sens!G9417*(1+Sens!H9418)</f>
        <v>16.0119687434196</v>
      </c>
      <c r="I9417" s="6" t="n">
        <f aca="false">Sens!H9417*(1+Sens!I9418)</f>
        <v>16.1551810001948</v>
      </c>
      <c r="J9417" s="6" t="n">
        <f aca="false">Sens!I9417*(1+Sens!J9418)</f>
        <v>16.3889793892005</v>
      </c>
      <c r="K9417" s="6" t="n">
        <f aca="false">Sens!J9417*(1+Sens!K9418)</f>
        <v>16.7167589769845</v>
      </c>
      <c r="L9417" s="12" t="s">
        <v>1038</v>
      </c>
    </row>
    <row r="9418" customFormat="false" ht="15" hidden="false" customHeight="false" outlineLevel="0" collapsed="false">
      <c r="A9418" s="1" t="s">
        <v>1028</v>
      </c>
      <c r="B9418" s="0" t="s">
        <v>168</v>
      </c>
      <c r="E9418" s="7" t="n">
        <f aca="false">Sens!E9417/Sens!D9417-1</f>
        <v>-0.0131677736066995</v>
      </c>
      <c r="F9418" s="7" t="n">
        <f aca="false">Sens!$E$9418+(glt_win-Sens!$E$9418)*MIN(1,(Sens!F9356-base_fy)/n_conv)</f>
        <v>-0.00763981133891627</v>
      </c>
      <c r="G9418" s="7" t="n">
        <f aca="false">Sens!$E$9418+(glt_win-Sens!$E$9418)*MIN(1,(Sens!G9356-base_fy)/n_conv)</f>
        <v>-0.00211184907113301</v>
      </c>
      <c r="H9418" s="7" t="n">
        <f aca="false">Sens!$E$9418+(glt_win-Sens!$E$9418)*MIN(1,(Sens!H9356-base_fy)/n_conv)</f>
        <v>0.00341611319665024</v>
      </c>
      <c r="I9418" s="7" t="n">
        <f aca="false">Sens!$E$9418+(glt_win-Sens!$E$9418)*MIN(1,(Sens!I9356-base_fy)/n_conv)</f>
        <v>0.00894407546443349</v>
      </c>
      <c r="J9418" s="7" t="n">
        <f aca="false">Sens!$E$9418+(glt_win-Sens!$E$9418)*MIN(1,(Sens!J9356-base_fy)/n_conv)</f>
        <v>0.0144720377322168</v>
      </c>
      <c r="K9418" s="7" t="n">
        <f aca="false">Sens!$E$9418+(glt_win-Sens!$E$9418)*MIN(1,(Sens!K9356-base_fy)/n_conv)</f>
        <v>0.02</v>
      </c>
    </row>
    <row r="9419" customFormat="false" ht="15" hidden="false" customHeight="false" outlineLevel="0" collapsed="false">
      <c r="A9419" s="0" t="s">
        <v>870</v>
      </c>
      <c r="B9419" s="0" t="s">
        <v>98</v>
      </c>
      <c r="D9419" s="6" t="n">
        <f aca="false">Sens!D9413+Sens!D9415+Sens!D9417</f>
        <v>62.941</v>
      </c>
      <c r="E9419" s="6" t="n">
        <f aca="false">Sens!E9413+Sens!E9415+Sens!E9417</f>
        <v>63.712</v>
      </c>
      <c r="F9419" s="6" t="n">
        <f aca="false">Sens!F9413+Sens!F9415+Sens!F9417</f>
        <v>64.3025149952511</v>
      </c>
      <c r="G9419" s="6" t="n">
        <f aca="false">Sens!G9413+Sens!G9415+Sens!G9417</f>
        <v>66.2756719305292</v>
      </c>
      <c r="H9419" s="6" t="n">
        <f aca="false">Sens!H9413+Sens!H9415+Sens!H9417</f>
        <v>68.7139736271804</v>
      </c>
      <c r="I9419" s="6" t="n">
        <f aca="false">Sens!I9413+Sens!I9415+Sens!I9417</f>
        <v>71.5446393194289</v>
      </c>
      <c r="J9419" s="6" t="n">
        <f aca="false">Sens!J9413+Sens!J9415+Sens!J9417</f>
        <v>74.707035000971</v>
      </c>
      <c r="K9419" s="6" t="n">
        <f aca="false">Sens!K9413+Sens!K9415+Sens!K9417</f>
        <v>78.1524145698365</v>
      </c>
    </row>
    <row r="9420" customFormat="false" ht="15" hidden="false" customHeight="false" outlineLevel="0" collapsed="false">
      <c r="A9420" s="1" t="s">
        <v>1044</v>
      </c>
      <c r="B9420" s="0" t="s">
        <v>98</v>
      </c>
      <c r="D9420" s="6" t="n">
        <f aca="false">Sens!D9412+Sens!D9419</f>
        <v>281.724</v>
      </c>
      <c r="E9420" s="6" t="n">
        <f aca="false">Sens!E9412+Sens!E9419</f>
        <v>331.839</v>
      </c>
      <c r="F9420" s="6" t="n">
        <f aca="false">Sens!F9412+Sens!F9419</f>
        <v>398.761355865549</v>
      </c>
      <c r="G9420" s="6" t="n">
        <f aca="false">Sens!G9412+Sens!G9419</f>
        <v>475.224348982721</v>
      </c>
      <c r="H9420" s="6" t="n">
        <f aca="false">Sens!H9412+Sens!H9419</f>
        <v>552.662763895114</v>
      </c>
      <c r="I9420" s="6" t="n">
        <f aca="false">Sens!I9412+Sens!I9419</f>
        <v>622.574942371279</v>
      </c>
      <c r="J9420" s="6" t="n">
        <f aca="false">Sens!J9412+Sens!J9419</f>
        <v>678.118759267588</v>
      </c>
      <c r="K9420" s="6" t="n">
        <f aca="false">Sens!K9412+Sens!K9419</f>
        <v>720.756399389439</v>
      </c>
    </row>
    <row r="9421" customFormat="false" ht="15" hidden="false" customHeight="false" outlineLevel="0" collapsed="false">
      <c r="A9421" s="26" t="s">
        <v>1045</v>
      </c>
      <c r="B9421" s="31" t="s">
        <v>98</v>
      </c>
      <c r="C9421" s="31"/>
      <c r="D9421" s="27" t="n">
        <f aca="false">(Sens!D9400+Sens!D9405+Sens!D9406+Sens!D9408+Sens!D9410-Sens!D9412)+(Sens!D9413+Sens!D9415+Sens!D9417-Sens!D9419)+(Sens!D9412-Q!L5)+(Sens!D9419-Q!L12)+(Sens!D9400-Q!L6)+(Sens!D9405-Q!L7)</f>
        <v>0</v>
      </c>
      <c r="E9421" s="27" t="n">
        <f aca="false">(Sens!E9400+Sens!E9405+Sens!E9406+Sens!E9408+Sens!E9410-Sens!E9412)+(Sens!E9413+Sens!E9415+Sens!E9417-Sens!E9419)+(Sens!E9412-Q!M5)+(Sens!E9419-Q!M12)+(Sens!E9400-Q!M6)+(Sens!E9405-Q!M7)</f>
        <v>0</v>
      </c>
      <c r="F9421" s="27" t="n">
        <f aca="false">(Sens!F9400+Sens!F9405+Sens!F9406+Sens!F9408+Sens!F9410-Sens!F9412)+(Sens!F9413+Sens!F9415+Sens!F9417-Sens!F9419)</f>
        <v>0</v>
      </c>
      <c r="G9421" s="27" t="n">
        <f aca="false">(Sens!G9400+Sens!G9405+Sens!G9406+Sens!G9408+Sens!G9410-Sens!G9412)+(Sens!G9413+Sens!G9415+Sens!G9417-Sens!G9419)</f>
        <v>0</v>
      </c>
      <c r="H9421" s="27" t="n">
        <f aca="false">(Sens!H9400+Sens!H9405+Sens!H9406+Sens!H9408+Sens!H9410-Sens!H9412)+(Sens!H9413+Sens!H9415+Sens!H9417-Sens!H9419)</f>
        <v>0</v>
      </c>
      <c r="I9421" s="27" t="n">
        <f aca="false">(Sens!I9400+Sens!I9405+Sens!I9406+Sens!I9408+Sens!I9410-Sens!I9412)+(Sens!I9413+Sens!I9415+Sens!I9417-Sens!I9419)</f>
        <v>0</v>
      </c>
      <c r="J9421" s="27" t="n">
        <f aca="false">(Sens!J9400+Sens!J9405+Sens!J9406+Sens!J9408+Sens!J9410-Sens!J9412)+(Sens!J9413+Sens!J9415+Sens!J9417-Sens!J9419)</f>
        <v>0</v>
      </c>
      <c r="K9421" s="27" t="n">
        <f aca="false">(Sens!K9400+Sens!K9405+Sens!K9406+Sens!K9408+Sens!K9410-Sens!K9412)+(Sens!K9413+Sens!K9415+Sens!K9417-Sens!K9419)</f>
        <v>0</v>
      </c>
    </row>
    <row r="9422" customFormat="false" ht="17.15" hidden="false" customHeight="false" outlineLevel="0" collapsed="false">
      <c r="A9422" s="3" t="s">
        <v>1847</v>
      </c>
    </row>
    <row r="9423" customFormat="false" ht="15" hidden="false" customHeight="false" outlineLevel="0" collapsed="false">
      <c r="A9423" s="4" t="s">
        <v>43</v>
      </c>
      <c r="B9423" s="4" t="s">
        <v>65</v>
      </c>
      <c r="C9423" s="23" t="s">
        <v>942</v>
      </c>
      <c r="D9423" s="23" t="s">
        <v>943</v>
      </c>
      <c r="E9423" s="23" t="s">
        <v>944</v>
      </c>
      <c r="F9423" s="23" t="s">
        <v>945</v>
      </c>
      <c r="G9423" s="23" t="s">
        <v>946</v>
      </c>
      <c r="H9423" s="23" t="s">
        <v>947</v>
      </c>
      <c r="I9423" s="23" t="s">
        <v>948</v>
      </c>
      <c r="J9423" s="23" t="s">
        <v>949</v>
      </c>
      <c r="K9423" s="23" t="s">
        <v>950</v>
      </c>
      <c r="L9423" s="4" t="s">
        <v>47</v>
      </c>
    </row>
    <row r="9424" customFormat="false" ht="15" hidden="false" customHeight="false" outlineLevel="0" collapsed="false">
      <c r="A9424" s="0" t="s">
        <v>1029</v>
      </c>
      <c r="B9424" s="0" t="s">
        <v>98</v>
      </c>
      <c r="D9424" s="6" t="n">
        <f aca="false">Sens!D9400</f>
        <v>72.61</v>
      </c>
      <c r="E9424" s="6" t="n">
        <f aca="false">Sens!E9400</f>
        <v>101.938</v>
      </c>
      <c r="F9424" s="6" t="n">
        <f aca="false">Sens!F9400</f>
        <v>146.419792856143</v>
      </c>
      <c r="G9424" s="6" t="n">
        <f aca="false">Sens!G9400</f>
        <v>198.509071963895</v>
      </c>
      <c r="H9424" s="6" t="n">
        <f aca="false">Sens!H9400</f>
        <v>251.082498414639</v>
      </c>
      <c r="I9424" s="6" t="n">
        <f aca="false">Sens!I9400</f>
        <v>297.506821038003</v>
      </c>
      <c r="J9424" s="6" t="n">
        <f aca="false">Sens!J9400</f>
        <v>331.319621709233</v>
      </c>
      <c r="K9424" s="6" t="n">
        <f aca="false">Sens!K9400</f>
        <v>352.863871948524</v>
      </c>
    </row>
    <row r="9425" customFormat="false" ht="17.15" hidden="false" customHeight="false" outlineLevel="0" collapsed="false">
      <c r="A9425" s="0" t="s">
        <v>1025</v>
      </c>
      <c r="B9425" s="0" t="s">
        <v>98</v>
      </c>
      <c r="D9425" s="6" t="n">
        <f aca="false">Sens!D9397</f>
        <v>12.9359794422418</v>
      </c>
      <c r="E9425" s="6" t="n">
        <f aca="false">Sens!E9397</f>
        <v>27.8095064661409</v>
      </c>
      <c r="F9425" s="6" t="n">
        <f aca="false">Sens!F9397</f>
        <v>55.4118315060966</v>
      </c>
      <c r="G9425" s="6" t="n">
        <f aca="false">Sens!G9397</f>
        <v>91.2881100675143</v>
      </c>
      <c r="H9425" s="6" t="n">
        <f aca="false">Sens!H9397</f>
        <v>128.195273603944</v>
      </c>
      <c r="I9425" s="6" t="n">
        <f aca="false">Sens!I9397</f>
        <v>160.601281810405</v>
      </c>
      <c r="J9425" s="6" t="n">
        <f aca="false">Sens!J9397</f>
        <v>183.182719793589</v>
      </c>
      <c r="K9425" s="6" t="n">
        <f aca="false">Sens!K9397</f>
        <v>197.320124937098</v>
      </c>
    </row>
    <row r="9426" customFormat="false" ht="17.15" hidden="false" customHeight="false" outlineLevel="0" collapsed="false">
      <c r="A9426" s="0" t="s">
        <v>1056</v>
      </c>
      <c r="B9426" s="0" t="s">
        <v>98</v>
      </c>
      <c r="D9426" s="6" t="n">
        <f aca="false">Sens!D9398</f>
        <v>59.6740205577583</v>
      </c>
      <c r="E9426" s="6" t="n">
        <f aca="false">Sens!E9398</f>
        <v>74.1284935338591</v>
      </c>
      <c r="F9426" s="6" t="n">
        <f aca="false">Sens!F9398</f>
        <v>91.0079613500462</v>
      </c>
      <c r="G9426" s="6" t="n">
        <f aca="false">Sens!G9398</f>
        <v>107.22096189638</v>
      </c>
      <c r="H9426" s="6" t="n">
        <f aca="false">Sens!H9398</f>
        <v>122.887224810695</v>
      </c>
      <c r="I9426" s="6" t="n">
        <f aca="false">Sens!I9398</f>
        <v>136.905539227598</v>
      </c>
      <c r="J9426" s="6" t="n">
        <f aca="false">Sens!J9398</f>
        <v>148.136901915644</v>
      </c>
      <c r="K9426" s="6" t="n">
        <f aca="false">Sens!K9398</f>
        <v>155.543747011426</v>
      </c>
    </row>
    <row r="9427" customFormat="false" ht="15" hidden="false" customHeight="false" outlineLevel="0" collapsed="false">
      <c r="A9427" s="0" t="s">
        <v>1036</v>
      </c>
      <c r="B9427" s="0" t="s">
        <v>98</v>
      </c>
      <c r="D9427" s="6" t="n">
        <f aca="false">Sens!D9405</f>
        <v>84.605</v>
      </c>
      <c r="E9427" s="6" t="n">
        <f aca="false">Sens!E9405</f>
        <v>100.299</v>
      </c>
      <c r="F9427" s="6" t="n">
        <f aca="false">Sens!F9405</f>
        <v>118.584003697747</v>
      </c>
      <c r="G9427" s="6" t="n">
        <f aca="false">Sens!G9405</f>
        <v>136.700726545688</v>
      </c>
      <c r="H9427" s="6" t="n">
        <f aca="false">Sens!H9405</f>
        <v>154.898624783666</v>
      </c>
      <c r="I9427" s="6" t="n">
        <f aca="false">Sens!I9405</f>
        <v>171.420510030657</v>
      </c>
      <c r="J9427" s="6" t="n">
        <f aca="false">Sens!J9405</f>
        <v>185.985722618572</v>
      </c>
      <c r="K9427" s="6" t="n">
        <f aca="false">Sens!K9405</f>
        <v>199.799723201872</v>
      </c>
    </row>
    <row r="9428" customFormat="false" ht="17.15" hidden="false" customHeight="false" outlineLevel="0" collapsed="false">
      <c r="A9428" s="0" t="s">
        <v>1057</v>
      </c>
      <c r="B9428" s="0" t="s">
        <v>98</v>
      </c>
      <c r="D9428" s="6" t="n">
        <f aca="false">Sens!D9403</f>
        <v>83.705</v>
      </c>
      <c r="E9428" s="6" t="n">
        <f aca="false">Sens!E9403</f>
        <v>95.049</v>
      </c>
      <c r="F9428" s="6" t="n">
        <f aca="false">Sens!F9403</f>
        <v>106.584003697747</v>
      </c>
      <c r="G9428" s="6" t="n">
        <f aca="false">Sens!G9403</f>
        <v>118.700726545688</v>
      </c>
      <c r="H9428" s="6" t="n">
        <f aca="false">Sens!H9403</f>
        <v>130.898624783666</v>
      </c>
      <c r="I9428" s="6" t="n">
        <f aca="false">Sens!I9403</f>
        <v>142.920510030657</v>
      </c>
      <c r="J9428" s="6" t="n">
        <f aca="false">Sens!J9403</f>
        <v>154.485722618572</v>
      </c>
      <c r="K9428" s="6" t="n">
        <f aca="false">Sens!K9403</f>
        <v>165.299723201872</v>
      </c>
    </row>
    <row r="9429" customFormat="false" ht="17.15" hidden="false" customHeight="false" outlineLevel="0" collapsed="false">
      <c r="A9429" s="0" t="s">
        <v>1058</v>
      </c>
      <c r="B9429" s="0" t="s">
        <v>98</v>
      </c>
      <c r="D9429" s="6" t="n">
        <f aca="false">Sens!D9402</f>
        <v>0.9</v>
      </c>
      <c r="E9429" s="6" t="n">
        <f aca="false">Sens!E9402</f>
        <v>5.25</v>
      </c>
      <c r="F9429" s="6" t="n">
        <f aca="false">Sens!F9402</f>
        <v>12</v>
      </c>
      <c r="G9429" s="6" t="n">
        <f aca="false">Sens!G9402</f>
        <v>18</v>
      </c>
      <c r="H9429" s="6" t="n">
        <f aca="false">Sens!H9402</f>
        <v>24</v>
      </c>
      <c r="I9429" s="6" t="n">
        <f aca="false">Sens!I9402</f>
        <v>28.5</v>
      </c>
      <c r="J9429" s="6" t="n">
        <f aca="false">Sens!J9402</f>
        <v>31.5</v>
      </c>
      <c r="K9429" s="6" t="n">
        <f aca="false">Sens!K9402</f>
        <v>34.5</v>
      </c>
    </row>
    <row r="9430" customFormat="false" ht="15" hidden="false" customHeight="false" outlineLevel="0" collapsed="false">
      <c r="A9430" s="0" t="s">
        <v>1037</v>
      </c>
      <c r="B9430" s="0" t="s">
        <v>98</v>
      </c>
      <c r="D9430" s="6" t="n">
        <f aca="false">Sens!D9406</f>
        <v>35.391</v>
      </c>
      <c r="E9430" s="6" t="n">
        <f aca="false">Sens!E9406</f>
        <v>37.285</v>
      </c>
      <c r="F9430" s="6" t="n">
        <f aca="false">Sens!F9406</f>
        <v>38.3851437782675</v>
      </c>
      <c r="G9430" s="6" t="n">
        <f aca="false">Sens!G9406</f>
        <v>40.0105353288615</v>
      </c>
      <c r="H9430" s="6" t="n">
        <f aca="false">Sens!H9406</f>
        <v>41.4812512033683</v>
      </c>
      <c r="I9430" s="6" t="n">
        <f aca="false">Sens!I9406</f>
        <v>42.7743107216329</v>
      </c>
      <c r="J9430" s="6" t="n">
        <f aca="false">Sens!J9406</f>
        <v>43.8687373064601</v>
      </c>
      <c r="K9430" s="6" t="n">
        <f aca="false">Sens!K9406</f>
        <v>44.7461120525893</v>
      </c>
    </row>
    <row r="9431" customFormat="false" ht="15" hidden="false" customHeight="false" outlineLevel="0" collapsed="false">
      <c r="A9431" s="0" t="s">
        <v>1039</v>
      </c>
      <c r="B9431" s="0" t="s">
        <v>98</v>
      </c>
      <c r="D9431" s="6" t="n">
        <f aca="false">Sens!D9408</f>
        <v>18.417</v>
      </c>
      <c r="E9431" s="6" t="n">
        <f aca="false">Sens!E9408</f>
        <v>20.345</v>
      </c>
      <c r="F9431" s="6" t="n">
        <f aca="false">Sens!F9408</f>
        <v>22.3161797133988</v>
      </c>
      <c r="G9431" s="6" t="n">
        <f aca="false">Sens!G9408</f>
        <v>24.3943499673233</v>
      </c>
      <c r="H9431" s="6" t="n">
        <f aca="false">Sens!H9408</f>
        <v>26.5250243109019</v>
      </c>
      <c r="I9431" s="6" t="n">
        <f aca="false">Sens!I9408</f>
        <v>28.6884573538181</v>
      </c>
      <c r="J9431" s="6" t="n">
        <f aca="false">Sens!J9408</f>
        <v>30.8624968052127</v>
      </c>
      <c r="K9431" s="6" t="n">
        <f aca="false">Sens!K9408</f>
        <v>33.0228715815776</v>
      </c>
    </row>
    <row r="9432" customFormat="false" ht="15" hidden="false" customHeight="false" outlineLevel="0" collapsed="false">
      <c r="A9432" s="0" t="s">
        <v>1040</v>
      </c>
      <c r="B9432" s="0" t="s">
        <v>98</v>
      </c>
      <c r="D9432" s="6" t="n">
        <f aca="false">Sens!D9410</f>
        <v>7.76</v>
      </c>
      <c r="E9432" s="6" t="n">
        <f aca="false">Sens!E9410</f>
        <v>8.26</v>
      </c>
      <c r="F9432" s="6" t="n">
        <f aca="false">Sens!F9410</f>
        <v>8.75372082474227</v>
      </c>
      <c r="G9432" s="6" t="n">
        <f aca="false">Sens!G9410</f>
        <v>9.33399324642364</v>
      </c>
      <c r="H9432" s="6" t="n">
        <f aca="false">Sens!H9410</f>
        <v>9.96139155535851</v>
      </c>
      <c r="I9432" s="6" t="n">
        <f aca="false">Sens!I9410</f>
        <v>10.6402039077391</v>
      </c>
      <c r="J9432" s="6" t="n">
        <f aca="false">Sens!J9410</f>
        <v>11.3751458271397</v>
      </c>
      <c r="K9432" s="6" t="n">
        <f aca="false">Sens!K9410</f>
        <v>12.1714060350394</v>
      </c>
    </row>
    <row r="9433" customFormat="false" ht="15" hidden="false" customHeight="false" outlineLevel="0" collapsed="false">
      <c r="A9433" s="0" t="s">
        <v>856</v>
      </c>
      <c r="B9433" s="0" t="s">
        <v>98</v>
      </c>
      <c r="D9433" s="6" t="n">
        <f aca="false">Sens!D9412</f>
        <v>218.783</v>
      </c>
      <c r="E9433" s="6" t="n">
        <f aca="false">Sens!E9412</f>
        <v>268.127</v>
      </c>
      <c r="F9433" s="6" t="n">
        <f aca="false">Sens!F9412</f>
        <v>334.458840870298</v>
      </c>
      <c r="G9433" s="6" t="n">
        <f aca="false">Sens!G9412</f>
        <v>408.948677052192</v>
      </c>
      <c r="H9433" s="6" t="n">
        <f aca="false">Sens!H9412</f>
        <v>483.948790267933</v>
      </c>
      <c r="I9433" s="6" t="n">
        <f aca="false">Sens!I9412</f>
        <v>551.03030305185</v>
      </c>
      <c r="J9433" s="6" t="n">
        <f aca="false">Sens!J9412</f>
        <v>603.411724266617</v>
      </c>
      <c r="K9433" s="6" t="n">
        <f aca="false">Sens!K9412</f>
        <v>642.603984819602</v>
      </c>
    </row>
    <row r="9434" customFormat="false" ht="15" hidden="false" customHeight="false" outlineLevel="0" collapsed="false">
      <c r="A9434" s="0" t="s">
        <v>1041</v>
      </c>
      <c r="B9434" s="0" t="s">
        <v>98</v>
      </c>
      <c r="D9434" s="6" t="n">
        <f aca="false">Sens!D9413</f>
        <v>22.171</v>
      </c>
      <c r="E9434" s="6" t="n">
        <f aca="false">Sens!E9413</f>
        <v>24.835</v>
      </c>
      <c r="F9434" s="6" t="n">
        <f aca="false">Sens!F9413</f>
        <v>27.5591895660247</v>
      </c>
      <c r="G9434" s="6" t="n">
        <f aca="false">Sens!G9413</f>
        <v>30.4098563144583</v>
      </c>
      <c r="H9434" s="6" t="n">
        <f aca="false">Sens!H9413</f>
        <v>33.3011792571777</v>
      </c>
      <c r="I9434" s="6" t="n">
        <f aca="false">Sens!I9413</f>
        <v>36.189023797112</v>
      </c>
      <c r="J9434" s="6" t="n">
        <f aca="false">Sens!J9413</f>
        <v>39.0247773769199</v>
      </c>
      <c r="K9434" s="6" t="n">
        <f aca="false">Sens!K9413</f>
        <v>41.7565117933043</v>
      </c>
    </row>
    <row r="9435" customFormat="false" ht="15" hidden="false" customHeight="false" outlineLevel="0" collapsed="false">
      <c r="A9435" s="0" t="s">
        <v>1042</v>
      </c>
      <c r="B9435" s="0" t="s">
        <v>98</v>
      </c>
      <c r="D9435" s="6" t="n">
        <f aca="false">Sens!D9415</f>
        <v>23.455</v>
      </c>
      <c r="E9435" s="6" t="n">
        <f aca="false">Sens!E9415</f>
        <v>21.79</v>
      </c>
      <c r="F9435" s="6" t="n">
        <f aca="false">Sens!F9415</f>
        <v>20.7520981041711</v>
      </c>
      <c r="G9435" s="6" t="n">
        <f aca="false">Sens!G9415</f>
        <v>19.9083593495882</v>
      </c>
      <c r="H9435" s="6" t="n">
        <f aca="false">Sens!H9415</f>
        <v>19.4008256265831</v>
      </c>
      <c r="I9435" s="6" t="n">
        <f aca="false">Sens!I9415</f>
        <v>19.200434522122</v>
      </c>
      <c r="J9435" s="6" t="n">
        <f aca="false">Sens!J9415</f>
        <v>19.2932782348507</v>
      </c>
      <c r="K9435" s="6" t="n">
        <f aca="false">Sens!K9415</f>
        <v>19.6791437995477</v>
      </c>
    </row>
    <row r="9436" customFormat="false" ht="15" hidden="false" customHeight="false" outlineLevel="0" collapsed="false">
      <c r="A9436" s="0" t="s">
        <v>1043</v>
      </c>
      <c r="B9436" s="0" t="s">
        <v>98</v>
      </c>
      <c r="D9436" s="6" t="n">
        <f aca="false">Sens!D9417</f>
        <v>17.315</v>
      </c>
      <c r="E9436" s="6" t="n">
        <f aca="false">Sens!E9417</f>
        <v>17.087</v>
      </c>
      <c r="F9436" s="6" t="n">
        <f aca="false">Sens!F9417</f>
        <v>15.9912273250553</v>
      </c>
      <c r="G9436" s="6" t="n">
        <f aca="false">Sens!G9417</f>
        <v>15.9574562664827</v>
      </c>
      <c r="H9436" s="6" t="n">
        <f aca="false">Sens!H9417</f>
        <v>16.0119687434196</v>
      </c>
      <c r="I9436" s="6" t="n">
        <f aca="false">Sens!I9417</f>
        <v>16.1551810001948</v>
      </c>
      <c r="J9436" s="6" t="n">
        <f aca="false">Sens!J9417</f>
        <v>16.3889793892005</v>
      </c>
      <c r="K9436" s="6" t="n">
        <f aca="false">Sens!K9417</f>
        <v>16.7167589769845</v>
      </c>
    </row>
    <row r="9437" customFormat="false" ht="15" hidden="false" customHeight="false" outlineLevel="0" collapsed="false">
      <c r="A9437" s="0" t="s">
        <v>870</v>
      </c>
      <c r="B9437" s="0" t="s">
        <v>98</v>
      </c>
      <c r="D9437" s="6" t="n">
        <f aca="false">Sens!D9419</f>
        <v>62.941</v>
      </c>
      <c r="E9437" s="6" t="n">
        <f aca="false">Sens!E9419</f>
        <v>63.712</v>
      </c>
      <c r="F9437" s="6" t="n">
        <f aca="false">Sens!F9419</f>
        <v>64.3025149952511</v>
      </c>
      <c r="G9437" s="6" t="n">
        <f aca="false">Sens!G9419</f>
        <v>66.2756719305292</v>
      </c>
      <c r="H9437" s="6" t="n">
        <f aca="false">Sens!H9419</f>
        <v>68.7139736271804</v>
      </c>
      <c r="I9437" s="6" t="n">
        <f aca="false">Sens!I9419</f>
        <v>71.5446393194289</v>
      </c>
      <c r="J9437" s="6" t="n">
        <f aca="false">Sens!J9419</f>
        <v>74.707035000971</v>
      </c>
      <c r="K9437" s="6" t="n">
        <f aca="false">Sens!K9419</f>
        <v>78.1524145698365</v>
      </c>
    </row>
    <row r="9438" customFormat="false" ht="15" hidden="false" customHeight="false" outlineLevel="0" collapsed="false">
      <c r="A9438" s="1" t="s">
        <v>1059</v>
      </c>
      <c r="B9438" s="0" t="s">
        <v>98</v>
      </c>
      <c r="D9438" s="6" t="n">
        <f aca="false">Sens!D9420</f>
        <v>281.724</v>
      </c>
      <c r="E9438" s="6" t="n">
        <f aca="false">Sens!E9420</f>
        <v>331.839</v>
      </c>
      <c r="F9438" s="6" t="n">
        <f aca="false">Sens!F9420</f>
        <v>398.761355865549</v>
      </c>
      <c r="G9438" s="6" t="n">
        <f aca="false">Sens!G9420</f>
        <v>475.224348982721</v>
      </c>
      <c r="H9438" s="6" t="n">
        <f aca="false">Sens!H9420</f>
        <v>552.662763895114</v>
      </c>
      <c r="I9438" s="6" t="n">
        <f aca="false">Sens!I9420</f>
        <v>622.574942371279</v>
      </c>
      <c r="J9438" s="6" t="n">
        <f aca="false">Sens!J9420</f>
        <v>678.118759267588</v>
      </c>
      <c r="K9438" s="6" t="n">
        <f aca="false">Sens!K9420</f>
        <v>720.756399389439</v>
      </c>
    </row>
    <row r="9439" customFormat="false" ht="15" hidden="false" customHeight="false" outlineLevel="0" collapsed="false">
      <c r="A9439" s="1" t="s">
        <v>1060</v>
      </c>
      <c r="B9439" s="0" t="s">
        <v>168</v>
      </c>
      <c r="E9439" s="7" t="n">
        <f aca="false">Sens!E9438/Sens!D9438-1</f>
        <v>0.177886867998467</v>
      </c>
      <c r="F9439" s="7" t="n">
        <f aca="false">Sens!F9438/Sens!E9438-1</f>
        <v>0.201671159404258</v>
      </c>
      <c r="G9439" s="7" t="n">
        <f aca="false">Sens!G9438/Sens!F9438-1</f>
        <v>0.191751261731973</v>
      </c>
      <c r="H9439" s="7" t="n">
        <f aca="false">Sens!H9438/Sens!G9438-1</f>
        <v>0.162951277808386</v>
      </c>
      <c r="I9439" s="7" t="n">
        <f aca="false">Sens!I9438/Sens!H9438-1</f>
        <v>0.126500613110663</v>
      </c>
      <c r="J9439" s="7" t="n">
        <f aca="false">Sens!J9438/Sens!I9438-1</f>
        <v>0.0892162744050584</v>
      </c>
      <c r="K9439" s="7" t="n">
        <f aca="false">Sens!K9438/Sens!J9438-1</f>
        <v>0.0628763613145014</v>
      </c>
    </row>
    <row r="9440" customFormat="false" ht="17.15" hidden="false" customHeight="false" outlineLevel="0" collapsed="false">
      <c r="A9440" s="26" t="s">
        <v>1061</v>
      </c>
      <c r="B9440" s="31" t="s">
        <v>98</v>
      </c>
      <c r="C9440" s="31"/>
      <c r="D9440" s="27" t="n">
        <f aca="false">(Sens!D9433+Sens!D9437-Sens!D9438)+(Sens!D9425+Sens!D9426-Sens!D9424)+(Sens!D9428+Sens!D9429-Sens!D9427)+(Sens!D9438-Q!L18)</f>
        <v>0</v>
      </c>
      <c r="E9440" s="27" t="n">
        <f aca="false">(Sens!E9433+Sens!E9437-Sens!E9438)+(Sens!E9425+Sens!E9426-Sens!E9424)+(Sens!E9428+Sens!E9429-Sens!E9427)+(Sens!E9438-Q!M18)</f>
        <v>0</v>
      </c>
      <c r="F9440" s="27" t="n">
        <f aca="false">(Sens!F9433+Sens!F9437-Sens!F9438)+(Sens!F9425+Sens!F9426-Sens!F9424)+(Sens!F9428+Sens!F9429-Sens!F9427)</f>
        <v>0</v>
      </c>
      <c r="G9440" s="27" t="n">
        <f aca="false">(Sens!G9433+Sens!G9437-Sens!G9438)+(Sens!G9425+Sens!G9426-Sens!G9424)+(Sens!G9428+Sens!G9429-Sens!G9427)</f>
        <v>0</v>
      </c>
      <c r="H9440" s="27" t="n">
        <f aca="false">(Sens!H9433+Sens!H9437-Sens!H9438)+(Sens!H9425+Sens!H9426-Sens!H9424)+(Sens!H9428+Sens!H9429-Sens!H9427)</f>
        <v>0</v>
      </c>
      <c r="I9440" s="27" t="n">
        <f aca="false">(Sens!I9433+Sens!I9437-Sens!I9438)+(Sens!I9425+Sens!I9426-Sens!I9424)+(Sens!I9428+Sens!I9429-Sens!I9427)</f>
        <v>0</v>
      </c>
      <c r="J9440" s="27" t="n">
        <f aca="false">(Sens!J9433+Sens!J9437-Sens!J9438)+(Sens!J9425+Sens!J9426-Sens!J9424)+(Sens!J9428+Sens!J9429-Sens!J9427)</f>
        <v>0</v>
      </c>
      <c r="K9440" s="27" t="n">
        <f aca="false">(Sens!K9433+Sens!K9437-Sens!K9438)+(Sens!K9425+Sens!K9426-Sens!K9424)+(Sens!K9428+Sens!K9429-Sens!K9427)</f>
        <v>0</v>
      </c>
    </row>
    <row r="9441" customFormat="false" ht="17.15" hidden="false" customHeight="false" outlineLevel="0" collapsed="false">
      <c r="A9441" s="0" t="s">
        <v>1062</v>
      </c>
      <c r="B9441" s="0" t="s">
        <v>168</v>
      </c>
      <c r="E9441" s="7" t="n">
        <f aca="false">(Q!M21+Sens!E9377+Sens!E9378+Sens!E9379+Sens!E9393-Sens!E9375)/(Q!M5-Sens!E9375)</f>
        <v>0.570957350878296</v>
      </c>
      <c r="F9441" s="7" t="n">
        <f aca="false">Sens!$E$9441+dm_seg</f>
        <v>0.570957350878296</v>
      </c>
      <c r="G9441" s="7" t="n">
        <f aca="false">Sens!$E$9441+dm_seg</f>
        <v>0.570957350878296</v>
      </c>
      <c r="H9441" s="7" t="n">
        <f aca="false">Sens!$E$9441+dm_seg</f>
        <v>0.570957350878296</v>
      </c>
      <c r="I9441" s="7" t="n">
        <f aca="false">Sens!$E$9441+dm_seg</f>
        <v>0.570957350878296</v>
      </c>
      <c r="J9441" s="7" t="n">
        <f aca="false">Sens!$E$9441+dm_seg</f>
        <v>0.570957350878296</v>
      </c>
      <c r="K9441" s="7" t="n">
        <f aca="false">Sens!$E$9441+dm_seg</f>
        <v>0.570957350878296</v>
      </c>
      <c r="L9441" s="12" t="s">
        <v>1063</v>
      </c>
    </row>
    <row r="9442" customFormat="false" ht="17.15" hidden="false" customHeight="false" outlineLevel="0" collapsed="false">
      <c r="A9442" s="0" t="s">
        <v>884</v>
      </c>
      <c r="B9442" s="0" t="s">
        <v>98</v>
      </c>
      <c r="D9442" s="6" t="n">
        <f aca="false">Q!L21</f>
        <v>110.814</v>
      </c>
      <c r="E9442" s="6" t="n">
        <f aca="false">Q!M21</f>
        <v>136.365</v>
      </c>
      <c r="F9442" s="6" t="n">
        <f aca="false">Q!$I$21+(Sens!F9441*(Sens!F9412-Sens!F9375)+Sens!F9375-(Sens!F9377+Sens!F9378+Sens!F9379)-Sens!F9393-Sens!F9476)*(Sens!F9412-Q!$I$5)/Sens!F9412</f>
        <v>161.926907502765</v>
      </c>
      <c r="G9442" s="6" t="n">
        <f aca="false">(Sens!G9441*(Sens!G9412-Sens!G9375)+Sens!G9375-(Sens!G9377+Sens!G9378+Sens!G9379)-Sens!G9393-Sens!G9476)</f>
        <v>176.847854325003</v>
      </c>
      <c r="H9442" s="6" t="n">
        <f aca="false">(Sens!H9441*(Sens!H9412-Sens!H9375)+Sens!H9375-(Sens!H9377+Sens!H9378+Sens!H9379)-Sens!H9393-Sens!H9476)</f>
        <v>195.009548110733</v>
      </c>
      <c r="I9442" s="6" t="n">
        <f aca="false">(Sens!I9441*(Sens!I9412-Sens!I9375)+Sens!I9375-(Sens!I9377+Sens!I9378+Sens!I9379)-Sens!I9393-Sens!I9476)</f>
        <v>211.584089431276</v>
      </c>
      <c r="J9442" s="6" t="n">
        <f aca="false">(Sens!J9441*(Sens!J9412-Sens!J9375)+Sens!J9375-(Sens!J9377+Sens!J9378+Sens!J9379)-Sens!J9393-Sens!J9476)</f>
        <v>226.249258965678</v>
      </c>
      <c r="K9442" s="6" t="n">
        <f aca="false">(Sens!K9441*(Sens!K9412-Sens!K9375)+Sens!K9375-(Sens!K9377+Sens!K9378+Sens!K9379)-Sens!K9393-Sens!K9476)</f>
        <v>239.638590947355</v>
      </c>
      <c r="L9442" s="1" t="s">
        <v>1064</v>
      </c>
    </row>
    <row r="9443" customFormat="false" ht="17.15" hidden="false" customHeight="false" outlineLevel="0" collapsed="false">
      <c r="A9443" s="0" t="s">
        <v>1065</v>
      </c>
      <c r="B9443" s="0" t="s">
        <v>168</v>
      </c>
      <c r="E9443" s="7" t="n">
        <f aca="false">Q!M22/Q!M12</f>
        <v>0.296207935710698</v>
      </c>
      <c r="F9443" s="7" t="n">
        <f aca="false">Sens!$E$9443+dm_seg</f>
        <v>0.296207935710698</v>
      </c>
      <c r="G9443" s="7" t="n">
        <f aca="false">Sens!$E$9443+dm_seg</f>
        <v>0.296207935710698</v>
      </c>
      <c r="H9443" s="7" t="n">
        <f aca="false">Sens!$E$9443+dm_seg</f>
        <v>0.296207935710698</v>
      </c>
      <c r="I9443" s="7" t="n">
        <f aca="false">Sens!$E$9443+dm_seg</f>
        <v>0.296207935710698</v>
      </c>
      <c r="J9443" s="7" t="n">
        <f aca="false">Sens!$E$9443+dm_seg</f>
        <v>0.296207935710698</v>
      </c>
      <c r="K9443" s="7" t="n">
        <f aca="false">Sens!$E$9443+dm_seg</f>
        <v>0.296207935710698</v>
      </c>
      <c r="L9443" s="12" t="s">
        <v>1066</v>
      </c>
    </row>
    <row r="9444" customFormat="false" ht="17.15" hidden="false" customHeight="false" outlineLevel="0" collapsed="false">
      <c r="A9444" s="0" t="s">
        <v>886</v>
      </c>
      <c r="B9444" s="0" t="s">
        <v>98</v>
      </c>
      <c r="D9444" s="6" t="n">
        <f aca="false">Q!L22</f>
        <v>17.714</v>
      </c>
      <c r="E9444" s="6" t="n">
        <f aca="false">Q!M22</f>
        <v>18.872</v>
      </c>
      <c r="F9444" s="6" t="n">
        <f aca="false">Q!$I$22+(Sens!F9419-Q!$I$12)*Sens!F9443</f>
        <v>19.8174315512051</v>
      </c>
      <c r="G9444" s="6" t="n">
        <f aca="false">Sens!G9419*Sens!G9443</f>
        <v>19.6313799703815</v>
      </c>
      <c r="H9444" s="6" t="n">
        <f aca="false">Sens!H9419*Sens!H9443</f>
        <v>20.3536242825865</v>
      </c>
      <c r="I9444" s="6" t="n">
        <f aca="false">Sens!I9419*Sens!I9443</f>
        <v>21.1920899239745</v>
      </c>
      <c r="J9444" s="6" t="n">
        <f aca="false">Sens!J9419*Sens!J9443</f>
        <v>22.1288166207045</v>
      </c>
      <c r="K9444" s="6" t="n">
        <f aca="false">Sens!K9419*Sens!K9443</f>
        <v>23.1493653905379</v>
      </c>
      <c r="L9444" s="12" t="s">
        <v>1067</v>
      </c>
    </row>
    <row r="9445" customFormat="false" ht="15" hidden="false" customHeight="false" outlineLevel="0" collapsed="false">
      <c r="A9445" s="1" t="s">
        <v>1068</v>
      </c>
      <c r="B9445" s="0" t="s">
        <v>98</v>
      </c>
      <c r="D9445" s="6" t="n">
        <f aca="false">Sens!D9442+Sens!D9444</f>
        <v>128.528</v>
      </c>
      <c r="E9445" s="6" t="n">
        <f aca="false">Sens!E9442+Sens!E9444</f>
        <v>155.237</v>
      </c>
      <c r="F9445" s="6" t="n">
        <f aca="false">Sens!F9442+Sens!F9444</f>
        <v>181.74433905397</v>
      </c>
      <c r="G9445" s="6" t="n">
        <f aca="false">Sens!G9442+Sens!G9444</f>
        <v>196.479234295385</v>
      </c>
      <c r="H9445" s="6" t="n">
        <f aca="false">Sens!H9442+Sens!H9444</f>
        <v>215.36317239332</v>
      </c>
      <c r="I9445" s="6" t="n">
        <f aca="false">Sens!I9442+Sens!I9444</f>
        <v>232.77617935525</v>
      </c>
      <c r="J9445" s="6" t="n">
        <f aca="false">Sens!J9442+Sens!J9444</f>
        <v>248.378075586383</v>
      </c>
      <c r="K9445" s="6" t="n">
        <f aca="false">Sens!K9442+Sens!K9444</f>
        <v>262.787956337893</v>
      </c>
    </row>
    <row r="9446" customFormat="false" ht="15" hidden="false" customHeight="false" outlineLevel="0" collapsed="false">
      <c r="A9446" s="26" t="s">
        <v>1069</v>
      </c>
      <c r="B9446" s="31" t="s">
        <v>98</v>
      </c>
      <c r="C9446" s="31"/>
      <c r="D9446" s="27" t="n">
        <f aca="false">Sens!D9445-Q!L23</f>
        <v>0</v>
      </c>
      <c r="E9446" s="27" t="n">
        <f aca="false">Sens!E9445-Q!M23</f>
        <v>0</v>
      </c>
      <c r="F9446" s="31"/>
      <c r="G9446" s="31"/>
      <c r="H9446" s="31"/>
      <c r="I9446" s="31"/>
      <c r="J9446" s="31"/>
      <c r="K9446" s="31"/>
    </row>
    <row r="9447" customFormat="false" ht="15" hidden="false" customHeight="false" outlineLevel="0" collapsed="false">
      <c r="A9447" s="1" t="s">
        <v>1070</v>
      </c>
      <c r="B9447" s="0" t="s">
        <v>168</v>
      </c>
      <c r="D9447" s="7" t="n">
        <f aca="false">Sens!D9445/Sens!D9438</f>
        <v>0.456219562408598</v>
      </c>
      <c r="E9447" s="7" t="n">
        <f aca="false">Sens!E9445/Sens!E9438</f>
        <v>0.467808184089272</v>
      </c>
      <c r="F9447" s="7" t="n">
        <f aca="false">Sens!F9445/Sens!F9438</f>
        <v>0.455772196529618</v>
      </c>
      <c r="G9447" s="7" t="n">
        <f aca="false">Sens!G9445/Sens!G9438</f>
        <v>0.413445217434615</v>
      </c>
      <c r="H9447" s="7" t="n">
        <f aca="false">Sens!H9445/Sens!H9438</f>
        <v>0.389682798376828</v>
      </c>
      <c r="I9447" s="7" t="n">
        <f aca="false">Sens!I9445/Sens!I9438</f>
        <v>0.373892624827858</v>
      </c>
      <c r="J9447" s="7" t="n">
        <f aca="false">Sens!J9445/Sens!J9438</f>
        <v>0.366275187335397</v>
      </c>
      <c r="K9447" s="7" t="n">
        <f aca="false">Sens!K9445/Sens!K9438</f>
        <v>0.364600240192809</v>
      </c>
    </row>
    <row r="9448" customFormat="false" ht="17.15" hidden="false" customHeight="false" outlineLevel="0" collapsed="false">
      <c r="A9448" s="1" t="s">
        <v>1071</v>
      </c>
      <c r="B9448" s="0" t="s">
        <v>98</v>
      </c>
      <c r="F9448" s="6" t="n">
        <f aca="false">Sens!F9463</f>
        <v>9.7398427716299</v>
      </c>
      <c r="G9448" s="6" t="n">
        <f aca="false">Sens!G9463</f>
        <v>25.2753385959797</v>
      </c>
      <c r="H9448" s="6" t="n">
        <f aca="false">Sens!H9463</f>
        <v>42.2840253697948</v>
      </c>
      <c r="I9448" s="6" t="n">
        <f aca="false">Sens!I9463</f>
        <v>57.704943641581</v>
      </c>
      <c r="J9448" s="6" t="n">
        <f aca="false">Sens!J9463</f>
        <v>68.4828520908201</v>
      </c>
      <c r="K9448" s="6" t="n">
        <f aca="false">Sens!K9463</f>
        <v>74.3598374943249</v>
      </c>
      <c r="L9448" s="1" t="s">
        <v>1072</v>
      </c>
    </row>
    <row r="9449" customFormat="false" ht="17.15" hidden="false" customHeight="false" outlineLevel="0" collapsed="false">
      <c r="A9449" s="1" t="s">
        <v>1073</v>
      </c>
      <c r="B9449" s="0" t="s">
        <v>98</v>
      </c>
      <c r="D9449" s="6" t="n">
        <f aca="false">Sens!D9445</f>
        <v>128.528</v>
      </c>
      <c r="E9449" s="6" t="n">
        <f aca="false">Sens!E9445</f>
        <v>155.237</v>
      </c>
      <c r="F9449" s="6" t="n">
        <f aca="false">Sens!F9445+Sens!F9448</f>
        <v>191.4841818256</v>
      </c>
      <c r="G9449" s="6" t="n">
        <f aca="false">Sens!G9445+Sens!G9448</f>
        <v>221.754572891364</v>
      </c>
      <c r="H9449" s="6" t="n">
        <f aca="false">Sens!H9445+Sens!H9448</f>
        <v>257.647197763115</v>
      </c>
      <c r="I9449" s="6" t="n">
        <f aca="false">Sens!I9445+Sens!I9448</f>
        <v>290.481122996831</v>
      </c>
      <c r="J9449" s="6" t="n">
        <f aca="false">Sens!J9445+Sens!J9448</f>
        <v>316.860927677203</v>
      </c>
      <c r="K9449" s="6" t="n">
        <f aca="false">Sens!K9445+Sens!K9448</f>
        <v>337.147793832218</v>
      </c>
    </row>
    <row r="9450" customFormat="false" ht="17.15" hidden="false" customHeight="false" outlineLevel="0" collapsed="false">
      <c r="A9450" s="1" t="s">
        <v>1074</v>
      </c>
      <c r="B9450" s="0" t="s">
        <v>98</v>
      </c>
      <c r="E9450" s="6" t="n">
        <f aca="false">Sens!E9393</f>
        <v>16.3054059770833</v>
      </c>
      <c r="F9450" s="6" t="n">
        <f aca="false">Sens!F9393</f>
        <v>34.5793144783516</v>
      </c>
      <c r="G9450" s="6" t="n">
        <f aca="false">Sens!G9393</f>
        <v>60.7344906522989</v>
      </c>
      <c r="H9450" s="6" t="n">
        <f aca="false">Sens!H9393</f>
        <v>89.1000906614457</v>
      </c>
      <c r="I9450" s="6" t="n">
        <f aca="false">Sens!I9393</f>
        <v>114.231009694548</v>
      </c>
      <c r="J9450" s="6" t="n">
        <f aca="false">Sens!J9393</f>
        <v>132.015673049596</v>
      </c>
      <c r="K9450" s="6" t="n">
        <f aca="false">Sens!K9393</f>
        <v>143.012669550934</v>
      </c>
    </row>
    <row r="9451" customFormat="false" ht="17.15" hidden="false" customHeight="false" outlineLevel="0" collapsed="false">
      <c r="A9451" s="1" t="s">
        <v>1075</v>
      </c>
      <c r="B9451" s="0" t="s">
        <v>98</v>
      </c>
      <c r="E9451" s="6" t="n">
        <f aca="false">Sens!E9475</f>
        <v>22.2285940229167</v>
      </c>
      <c r="F9451" s="6" t="n">
        <f aca="false">Sens!F9475</f>
        <v>23.580344216413</v>
      </c>
      <c r="G9451" s="6" t="n">
        <f aca="false">Sens!G9475</f>
        <v>25.3332753822466</v>
      </c>
      <c r="H9451" s="6" t="n">
        <f aca="false">Sens!H9475</f>
        <v>27.4447209869779</v>
      </c>
      <c r="I9451" s="6" t="n">
        <f aca="false">Sens!I9475</f>
        <v>29.8303357378336</v>
      </c>
      <c r="J9451" s="6" t="n">
        <f aca="false">Sens!J9475</f>
        <v>32.388068108211</v>
      </c>
      <c r="K9451" s="6" t="n">
        <f aca="false">Sens!K9475</f>
        <v>35.0168368845015</v>
      </c>
    </row>
    <row r="9452" customFormat="false" ht="17.15" hidden="false" customHeight="false" outlineLevel="0" collapsed="false">
      <c r="A9452" s="1" t="s">
        <v>1076</v>
      </c>
      <c r="B9452" s="0" t="s">
        <v>98</v>
      </c>
      <c r="D9452" s="6" t="n">
        <f aca="false">Q!L27</f>
        <v>-4.901</v>
      </c>
      <c r="E9452" s="6" t="n">
        <f aca="false">Q!M27</f>
        <v>10.697</v>
      </c>
      <c r="F9452" s="6" t="n">
        <f aca="false">Q!$I$27+oie_f*(q_per_yr-1)/q_per_yr</f>
        <v>-0.862</v>
      </c>
      <c r="G9452" s="6" t="n">
        <f aca="false">oie_f</f>
        <v>-1.2</v>
      </c>
      <c r="H9452" s="6" t="n">
        <f aca="false">oie_f</f>
        <v>-1.2</v>
      </c>
      <c r="I9452" s="6" t="n">
        <f aca="false">oie_f</f>
        <v>-1.2</v>
      </c>
      <c r="J9452" s="6" t="n">
        <f aca="false">oie_f</f>
        <v>-1.2</v>
      </c>
      <c r="K9452" s="6" t="n">
        <f aca="false">oie_f</f>
        <v>-1.2</v>
      </c>
      <c r="L9452" s="12" t="s">
        <v>1077</v>
      </c>
    </row>
    <row r="9453" customFormat="false" ht="15" hidden="false" customHeight="false" outlineLevel="0" collapsed="false">
      <c r="A9453" s="1" t="s">
        <v>1078</v>
      </c>
      <c r="B9453" s="0" t="s">
        <v>98</v>
      </c>
      <c r="D9453" s="6" t="n">
        <f aca="false">Sens!D9445+Sens!D9452</f>
        <v>123.627</v>
      </c>
      <c r="E9453" s="6" t="n">
        <f aca="false">Sens!E9445+Sens!E9452</f>
        <v>165.934</v>
      </c>
      <c r="F9453" s="6" t="n">
        <f aca="false">Sens!F9445+Sens!F9452</f>
        <v>180.88233905397</v>
      </c>
      <c r="G9453" s="6" t="n">
        <f aca="false">Sens!G9445+Sens!G9452</f>
        <v>195.279234295385</v>
      </c>
      <c r="H9453" s="6" t="n">
        <f aca="false">Sens!H9445+Sens!H9452</f>
        <v>214.16317239332</v>
      </c>
      <c r="I9453" s="6" t="n">
        <f aca="false">Sens!I9445+Sens!I9452</f>
        <v>231.57617935525</v>
      </c>
      <c r="J9453" s="6" t="n">
        <f aca="false">Sens!J9445+Sens!J9452</f>
        <v>247.178075586383</v>
      </c>
      <c r="K9453" s="6" t="n">
        <f aca="false">Sens!K9445+Sens!K9452</f>
        <v>261.587956337893</v>
      </c>
    </row>
    <row r="9454" customFormat="false" ht="15" hidden="false" customHeight="false" outlineLevel="0" collapsed="false">
      <c r="A9454" s="1" t="s">
        <v>1079</v>
      </c>
      <c r="B9454" s="0" t="s">
        <v>98</v>
      </c>
      <c r="D9454" s="6" t="n">
        <f aca="false">Q!L29</f>
        <v>21.795</v>
      </c>
      <c r="E9454" s="6" t="n">
        <f aca="false">Q!M29</f>
        <v>32.185</v>
      </c>
      <c r="F9454" s="6" t="n">
        <f aca="false">Q!$I$29+(Sens!F9453-Q!$I$28)*tax_f</f>
        <v>36.309867810794</v>
      </c>
      <c r="G9454" s="6" t="n">
        <f aca="false">Sens!G9453*tax_f</f>
        <v>39.0558468590769</v>
      </c>
      <c r="H9454" s="6" t="n">
        <f aca="false">Sens!H9453*tax_f</f>
        <v>42.832634478664</v>
      </c>
      <c r="I9454" s="6" t="n">
        <f aca="false">Sens!I9453*tax_f</f>
        <v>46.31523587105</v>
      </c>
      <c r="J9454" s="6" t="n">
        <f aca="false">Sens!J9453*tax_f</f>
        <v>49.4356151172765</v>
      </c>
      <c r="K9454" s="6" t="n">
        <f aca="false">Sens!K9453*tax_f</f>
        <v>52.3175912675787</v>
      </c>
    </row>
    <row r="9455" customFormat="false" ht="15" hidden="false" customHeight="false" outlineLevel="0" collapsed="false">
      <c r="A9455" s="1" t="s">
        <v>1080</v>
      </c>
      <c r="B9455" s="0" t="s">
        <v>98</v>
      </c>
      <c r="D9455" s="6" t="n">
        <f aca="false">Sens!D9453-Sens!D9454</f>
        <v>101.832</v>
      </c>
      <c r="E9455" s="6" t="n">
        <f aca="false">Sens!E9453-Sens!E9454</f>
        <v>133.749</v>
      </c>
      <c r="F9455" s="6" t="n">
        <f aca="false">Sens!F9453-Sens!F9454</f>
        <v>144.572471243176</v>
      </c>
      <c r="G9455" s="6" t="n">
        <f aca="false">Sens!G9453-Sens!G9454</f>
        <v>156.223387436308</v>
      </c>
      <c r="H9455" s="6" t="n">
        <f aca="false">Sens!H9453-Sens!H9454</f>
        <v>171.330537914656</v>
      </c>
      <c r="I9455" s="6" t="n">
        <f aca="false">Sens!I9453-Sens!I9454</f>
        <v>185.2609434842</v>
      </c>
      <c r="J9455" s="6" t="n">
        <f aca="false">Sens!J9453-Sens!J9454</f>
        <v>197.742460469106</v>
      </c>
      <c r="K9455" s="6" t="n">
        <f aca="false">Sens!K9453-Sens!K9454</f>
        <v>209.270365070315</v>
      </c>
    </row>
    <row r="9456" customFormat="false" ht="17.15" hidden="false" customHeight="false" outlineLevel="0" collapsed="false">
      <c r="A9456" s="1" t="s">
        <v>1081</v>
      </c>
      <c r="B9456" s="1" t="s">
        <v>81</v>
      </c>
      <c r="D9456" s="15" t="n">
        <f aca="false">Q!L31</f>
        <v>7.465</v>
      </c>
      <c r="E9456" s="15" t="n">
        <f aca="false">Q!M31</f>
        <v>7.453</v>
      </c>
      <c r="F9456" s="15" t="n">
        <f aca="false">Sens!F9500</f>
        <v>7.47338253818835</v>
      </c>
      <c r="G9456" s="15" t="n">
        <f aca="false">Sens!G9500</f>
        <v>7.5182650763767</v>
      </c>
      <c r="H9456" s="15" t="n">
        <f aca="false">Sens!H9500</f>
        <v>7.5459650154055</v>
      </c>
      <c r="I9456" s="15" t="n">
        <f aca="false">Sens!I9500</f>
        <v>7.55764637946097</v>
      </c>
      <c r="J9456" s="15" t="n">
        <f aca="false">Sens!J9500</f>
        <v>7.57179579062344</v>
      </c>
      <c r="K9456" s="15" t="n">
        <f aca="false">Sens!K9500</f>
        <v>7.5882304305887</v>
      </c>
    </row>
    <row r="9457" customFormat="false" ht="17.15" hidden="false" customHeight="false" outlineLevel="0" collapsed="false">
      <c r="A9457" s="0" t="s">
        <v>1082</v>
      </c>
      <c r="B9457" s="0" t="s">
        <v>75</v>
      </c>
      <c r="D9457" s="8" t="n">
        <f aca="false">Sens!D9455/Sens!D9456</f>
        <v>13.641259209645</v>
      </c>
      <c r="E9457" s="8" t="n">
        <f aca="false">Sens!E9455/Sens!E9456</f>
        <v>17.9456594659869</v>
      </c>
      <c r="F9457" s="8" t="n">
        <f aca="false">Sens!F9455/Sens!F9456</f>
        <v>19.3449847514727</v>
      </c>
      <c r="G9457" s="8" t="n">
        <f aca="false">Sens!G9455/Sens!G9456</f>
        <v>20.7791805488716</v>
      </c>
      <c r="H9457" s="8" t="n">
        <f aca="false">Sens!H9455/Sens!H9456</f>
        <v>22.7049207841376</v>
      </c>
      <c r="I9457" s="8" t="n">
        <f aca="false">Sens!I9455/Sens!I9456</f>
        <v>24.5130473407269</v>
      </c>
      <c r="J9457" s="8" t="n">
        <f aca="false">Sens!J9455/Sens!J9456</f>
        <v>26.1156621146573</v>
      </c>
      <c r="K9457" s="8" t="n">
        <f aca="false">Sens!K9455/Sens!K9456</f>
        <v>27.5782828400586</v>
      </c>
      <c r="L9457" s="1" t="s">
        <v>1083</v>
      </c>
    </row>
    <row r="9458" customFormat="false" ht="17.15" hidden="false" customHeight="false" outlineLevel="0" collapsed="false">
      <c r="A9458" s="1" t="s">
        <v>1084</v>
      </c>
      <c r="B9458" s="0" t="s">
        <v>98</v>
      </c>
      <c r="D9458" s="6" t="n">
        <f aca="false">Sens!D9455</f>
        <v>101.832</v>
      </c>
      <c r="E9458" s="6" t="n">
        <f aca="false">Sens!E9455</f>
        <v>133.749</v>
      </c>
      <c r="F9458" s="6" t="n">
        <f aca="false">Sens!F9455+Sens!F9448*(1-tax_f)</f>
        <v>152.36434546048</v>
      </c>
      <c r="G9458" s="6" t="n">
        <f aca="false">Sens!G9455+Sens!G9448*(1-tax_f)</f>
        <v>176.443658313091</v>
      </c>
      <c r="H9458" s="6" t="n">
        <f aca="false">Sens!H9455+Sens!H9448*(1-tax_f)</f>
        <v>205.157758210492</v>
      </c>
      <c r="I9458" s="6" t="n">
        <f aca="false">Sens!I9455+Sens!I9448*(1-tax_f)</f>
        <v>231.424898397465</v>
      </c>
      <c r="J9458" s="6" t="n">
        <f aca="false">Sens!J9455+Sens!J9448*(1-tax_f)</f>
        <v>252.528742141762</v>
      </c>
      <c r="K9458" s="6" t="n">
        <f aca="false">Sens!K9455+Sens!K9448*(1-tax_f)</f>
        <v>268.758235065775</v>
      </c>
    </row>
    <row r="9459" customFormat="false" ht="17.15" hidden="false" customHeight="false" outlineLevel="0" collapsed="false">
      <c r="A9459" s="0" t="s">
        <v>1085</v>
      </c>
      <c r="B9459" s="0" t="s">
        <v>75</v>
      </c>
      <c r="D9459" s="8" t="n">
        <f aca="false">Sens!D9458/Sens!D9456</f>
        <v>13.641259209645</v>
      </c>
      <c r="E9459" s="8" t="n">
        <f aca="false">Sens!E9458/Sens!E9456</f>
        <v>17.9456594659869</v>
      </c>
      <c r="F9459" s="8" t="n">
        <f aca="false">Sens!F9458/Sens!F9456</f>
        <v>20.3876015555087</v>
      </c>
      <c r="G9459" s="8" t="n">
        <f aca="false">Sens!G9458/Sens!G9456</f>
        <v>23.4686668427665</v>
      </c>
      <c r="H9459" s="8" t="n">
        <f aca="false">Sens!H9458/Sens!H9456</f>
        <v>27.1877430907314</v>
      </c>
      <c r="I9459" s="8" t="n">
        <f aca="false">Sens!I9458/Sens!I9456</f>
        <v>30.6212922354235</v>
      </c>
      <c r="J9459" s="8" t="n">
        <f aca="false">Sens!J9458/Sens!J9456</f>
        <v>33.351235179174</v>
      </c>
      <c r="K9459" s="8" t="n">
        <f aca="false">Sens!K9458/Sens!K9456</f>
        <v>35.4177746082131</v>
      </c>
      <c r="L9459" s="1" t="s">
        <v>1086</v>
      </c>
    </row>
    <row r="9460" customFormat="false" ht="17.15" hidden="false" customHeight="false" outlineLevel="0" collapsed="false">
      <c r="A9460" s="0" t="s">
        <v>1087</v>
      </c>
      <c r="B9460" s="0" t="s">
        <v>168</v>
      </c>
      <c r="E9460" s="7" t="n">
        <f aca="false">Sens!E9459/Sens!D9459-1</f>
        <v>0.315542736208578</v>
      </c>
      <c r="F9460" s="7" t="n">
        <f aca="false">Sens!F9459/Sens!E9459-1</f>
        <v>0.136074246485626</v>
      </c>
      <c r="G9460" s="7" t="n">
        <f aca="false">Sens!G9459/Sens!F9459-1</f>
        <v>0.151124460563404</v>
      </c>
      <c r="H9460" s="7" t="n">
        <f aca="false">Sens!H9459/Sens!G9459-1</f>
        <v>0.158469855696603</v>
      </c>
      <c r="I9460" s="7" t="n">
        <f aca="false">Sens!I9459/Sens!H9459-1</f>
        <v>0.12629033359752</v>
      </c>
      <c r="J9460" s="7" t="n">
        <f aca="false">Sens!J9459/Sens!I9459-1</f>
        <v>0.089151787676433</v>
      </c>
      <c r="K9460" s="7" t="n">
        <f aca="false">Sens!K9459/Sens!J9459-1</f>
        <v>0.0619629053597863</v>
      </c>
    </row>
    <row r="9461" customFormat="false" ht="17.15" hidden="false" customHeight="false" outlineLevel="0" collapsed="false">
      <c r="A9461" s="0" t="s">
        <v>1007</v>
      </c>
      <c r="B9461" s="0" t="s">
        <v>98</v>
      </c>
      <c r="E9461" s="6" t="n">
        <f aca="false">Sens!E9402</f>
        <v>5.25</v>
      </c>
      <c r="F9461" s="6" t="n">
        <f aca="false">Sens!F9402</f>
        <v>12</v>
      </c>
      <c r="G9461" s="6" t="n">
        <f aca="false">Sens!G9402</f>
        <v>18</v>
      </c>
      <c r="H9461" s="6" t="n">
        <f aca="false">Sens!H9402</f>
        <v>24</v>
      </c>
      <c r="I9461" s="6" t="n">
        <f aca="false">Sens!I9402</f>
        <v>28.5</v>
      </c>
      <c r="J9461" s="6" t="n">
        <f aca="false">Sens!J9402</f>
        <v>31.5</v>
      </c>
      <c r="K9461" s="6" t="n">
        <f aca="false">Sens!K9402</f>
        <v>34.5</v>
      </c>
    </row>
    <row r="9462" customFormat="false" ht="17.15" hidden="false" customHeight="false" outlineLevel="0" collapsed="false">
      <c r="A9462" s="1" t="s">
        <v>1008</v>
      </c>
      <c r="B9462" s="0" t="s">
        <v>98</v>
      </c>
      <c r="F9462" s="6" t="n">
        <f aca="false">MAX(0,((Sens!E9362+Sens!F9362)/2-(shadow_base*(Sens!$D$9362+Sens!$E$9362)/2+(1-shadow_base)*Sens!$E$9362))*Sens!F9371/1000-(Sens!F9461-Sens!$E$9461)*Sens!F9441)</f>
        <v>9.7398427716299</v>
      </c>
      <c r="G9462" s="6" t="n">
        <f aca="false">MAX(0,((Sens!F9362+Sens!G9362)/2-(shadow_base*(Sens!$D$9362+Sens!$E$9362)/2+(1-shadow_base)*Sens!$E$9362))*Sens!G9371/1000-(Sens!G9461-Sens!$E$9461)*Sens!G9441)</f>
        <v>25.2753385959797</v>
      </c>
      <c r="H9462" s="6" t="n">
        <f aca="false">MAX(0,((Sens!G9362+Sens!H9362)/2-(shadow_base*(Sens!$D$9362+Sens!$E$9362)/2+(1-shadow_base)*Sens!$E$9362))*Sens!H9371/1000-(Sens!H9461-Sens!$E$9461)*Sens!H9441)</f>
        <v>42.2840253697948</v>
      </c>
      <c r="I9462" s="6" t="n">
        <f aca="false">MAX(0,((Sens!H9362+Sens!I9362)/2-(shadow_base*(Sens!$D$9362+Sens!$E$9362)/2+(1-shadow_base)*Sens!$E$9362))*Sens!I9371/1000-(Sens!I9461-Sens!$E$9461)*Sens!I9441)</f>
        <v>57.704943641581</v>
      </c>
      <c r="J9462" s="6" t="n">
        <f aca="false">MAX(0,((Sens!I9362+Sens!J9362)/2-(shadow_base*(Sens!$D$9362+Sens!$E$9362)/2+(1-shadow_base)*Sens!$E$9362))*Sens!J9371/1000-(Sens!J9461-Sens!$E$9461)*Sens!J9441)</f>
        <v>68.4828520908201</v>
      </c>
      <c r="K9462" s="6" t="n">
        <f aca="false">MAX(0,((Sens!J9362+Sens!K9362)/2-(shadow_base*(Sens!$D$9362+Sens!$E$9362)/2+(1-shadow_base)*Sens!$E$9362))*Sens!K9371/1000-(Sens!K9461-Sens!$E$9461)*Sens!K9441)</f>
        <v>74.3598374943249</v>
      </c>
      <c r="L9462" s="1" t="s">
        <v>1009</v>
      </c>
    </row>
    <row r="9463" customFormat="false" ht="17.15" hidden="false" customHeight="false" outlineLevel="0" collapsed="false">
      <c r="A9463" s="1" t="s">
        <v>1010</v>
      </c>
      <c r="B9463" s="0" t="s">
        <v>98</v>
      </c>
      <c r="F9463" s="6" t="n">
        <f aca="false">IF(internal_ai_reading=2,1,0)*Sens!F9462</f>
        <v>9.7398427716299</v>
      </c>
      <c r="G9463" s="6" t="n">
        <f aca="false">IF(internal_ai_reading=2,1,0)*Sens!G9462</f>
        <v>25.2753385959797</v>
      </c>
      <c r="H9463" s="6" t="n">
        <f aca="false">IF(internal_ai_reading=2,1,0)*Sens!H9462</f>
        <v>42.2840253697948</v>
      </c>
      <c r="I9463" s="6" t="n">
        <f aca="false">IF(internal_ai_reading=2,1,0)*Sens!I9462</f>
        <v>57.704943641581</v>
      </c>
      <c r="J9463" s="6" t="n">
        <f aca="false">IF(internal_ai_reading=2,1,0)*Sens!J9462</f>
        <v>68.4828520908201</v>
      </c>
      <c r="K9463" s="6" t="n">
        <f aca="false">IF(internal_ai_reading=2,1,0)*Sens!K9462</f>
        <v>74.3598374943249</v>
      </c>
    </row>
    <row r="9464" customFormat="false" ht="17.15" hidden="false" customHeight="false" outlineLevel="0" collapsed="false">
      <c r="A9464" s="0" t="s">
        <v>1011</v>
      </c>
      <c r="B9464" s="0" t="s">
        <v>98</v>
      </c>
      <c r="F9464" s="6" t="n">
        <f aca="false">Sens!F9381+Sens!F9461*Sens!F9441+Sens!F9463-Sens!F9382-Sens!F9393</f>
        <v>14.8152827562272</v>
      </c>
      <c r="G9464" s="6" t="n">
        <f aca="false">Sens!G9381+Sens!G9461*Sens!G9441+Sens!G9463-Sens!G9382-Sens!G9393</f>
        <v>31.0349977765951</v>
      </c>
      <c r="H9464" s="6" t="n">
        <f aca="false">Sens!H9381+Sens!H9461*Sens!H9441+Sens!H9463-Sens!H9382-Sens!H9393</f>
        <v>47.8811519709826</v>
      </c>
      <c r="I9464" s="6" t="n">
        <f aca="false">Sens!I9381+Sens!I9461*Sens!I9441+Sens!I9463-Sens!I9382-Sens!I9393</f>
        <v>62.6472166574028</v>
      </c>
      <c r="J9464" s="6" t="n">
        <f aca="false">Sens!J9381+Sens!J9461*Sens!J9441+Sens!J9463-Sens!J9382-Sens!J9393</f>
        <v>72.7882253357034</v>
      </c>
      <c r="K9464" s="6" t="n">
        <f aca="false">Sens!K9381+Sens!K9461*Sens!K9441+Sens!K9463-Sens!K9382-Sens!K9393</f>
        <v>79.4617812140187</v>
      </c>
    </row>
    <row r="9465" customFormat="false" ht="17.15" hidden="false" customHeight="false" outlineLevel="0" collapsed="false">
      <c r="A9465" s="0" t="s">
        <v>1012</v>
      </c>
      <c r="B9465" s="0" t="s">
        <v>98</v>
      </c>
      <c r="E9465" s="6" t="n">
        <f aca="false">Sens!E9361*(cxit_open+self_build*tk_cxfac)/1000*ai_net_open</f>
        <v>126.6980382</v>
      </c>
      <c r="F9465" s="6" t="n">
        <f aca="false">Sens!E9465+Sens!F9390-Sens!F9393</f>
        <v>260.572627763768</v>
      </c>
      <c r="G9465" s="6" t="n">
        <f aca="false">Sens!F9465+Sens!G9390-Sens!G9393</f>
        <v>391.782612760517</v>
      </c>
      <c r="H9465" s="6" t="n">
        <f aca="false">Sens!G9465+Sens!H9390-Sens!H9393</f>
        <v>499.488526163584</v>
      </c>
      <c r="I9465" s="6" t="n">
        <f aca="false">Sens!H9465+Sens!I9390-Sens!I9393</f>
        <v>553.872350090646</v>
      </c>
      <c r="J9465" s="6" t="n">
        <f aca="false">Sens!I9465+Sens!J9390-Sens!J9393</f>
        <v>550.78660823699</v>
      </c>
      <c r="K9465" s="6" t="n">
        <f aca="false">Sens!J9465+Sens!K9390-Sens!K9393</f>
        <v>526.736791750789</v>
      </c>
      <c r="L9465" s="1" t="s">
        <v>1013</v>
      </c>
    </row>
    <row r="9466" customFormat="false" ht="17.15" hidden="false" customHeight="false" outlineLevel="0" collapsed="false">
      <c r="A9466" s="0" t="s">
        <v>1014</v>
      </c>
      <c r="B9466" s="0" t="s">
        <v>168</v>
      </c>
      <c r="F9466" s="7" t="n">
        <f aca="false">Sens!F9464*(1-tax_f)/((Sens!E9465+Sens!F9465)/2)</f>
        <v>0.0612090057246454</v>
      </c>
      <c r="G9466" s="7" t="n">
        <f aca="false">Sens!G9464*(1-tax_f)/((Sens!F9465+Sens!G9465)/2)</f>
        <v>0.0761180310326695</v>
      </c>
      <c r="H9466" s="7" t="n">
        <f aca="false">Sens!H9464*(1-tax_f)/((Sens!G9465+Sens!H9465)/2)</f>
        <v>0.0859557095566361</v>
      </c>
      <c r="I9466" s="7" t="n">
        <f aca="false">Sens!I9464*(1-tax_f)/((Sens!H9465+Sens!I9465)/2)</f>
        <v>0.0951578408800258</v>
      </c>
      <c r="J9466" s="7" t="n">
        <f aca="false">Sens!J9464*(1-tax_f)/((Sens!I9465+Sens!J9465)/2)</f>
        <v>0.105427253958487</v>
      </c>
      <c r="K9466" s="7" t="n">
        <f aca="false">Sens!K9464*(1-tax_f)/((Sens!J9465+Sens!K9465)/2)</f>
        <v>0.117991729872291</v>
      </c>
    </row>
    <row r="9467" customFormat="false" ht="17.15" hidden="false" customHeight="false" outlineLevel="0" collapsed="false">
      <c r="A9467" s="1" t="s">
        <v>1015</v>
      </c>
      <c r="B9467" s="0" t="s">
        <v>168</v>
      </c>
      <c r="F9467" s="7" t="n">
        <f aca="false">(Sens!F9464-Sens!F9463)*(1-tax_f)/((Sens!E9465+Sens!F9465)/2)</f>
        <v>0.0209690655375262</v>
      </c>
      <c r="G9467" s="7" t="n">
        <f aca="false">(Sens!G9464-Sens!G9463)*(1-tax_f)/((Sens!F9465+Sens!G9465)/2)</f>
        <v>0.014126436206105</v>
      </c>
      <c r="H9467" s="7" t="n">
        <f aca="false">(Sens!H9464-Sens!H9463)*(1-tax_f)/((Sens!G9465+Sens!H9465)/2)</f>
        <v>0.010047899197893</v>
      </c>
      <c r="I9467" s="7" t="n">
        <f aca="false">(Sens!I9464-Sens!I9463)*(1-tax_f)/((Sens!H9465+Sens!I9465)/2)</f>
        <v>0.00750705385359908</v>
      </c>
      <c r="J9467" s="7" t="n">
        <f aca="false">(Sens!J9464-Sens!J9463)*(1-tax_f)/((Sens!I9465+Sens!J9465)/2)</f>
        <v>0.00623594924015468</v>
      </c>
      <c r="K9467" s="7" t="n">
        <f aca="false">(Sens!K9464-Sens!K9463)*(1-tax_f)/((Sens!J9465+Sens!K9465)/2)</f>
        <v>0.00757580758951754</v>
      </c>
    </row>
    <row r="9468" customFormat="false" ht="17.15" hidden="false" customHeight="false" outlineLevel="0" collapsed="false">
      <c r="A9468" s="1" t="s">
        <v>1016</v>
      </c>
      <c r="B9468" s="0" t="s">
        <v>168</v>
      </c>
      <c r="F9468" s="7" t="n">
        <f aca="false">(Sens!F9464-Sens!F9463+Sens!F9462)*(1-tax_f)/((Sens!E9465+Sens!F9465)/2)</f>
        <v>0.0612090057246454</v>
      </c>
      <c r="G9468" s="7" t="n">
        <f aca="false">(Sens!G9464-Sens!G9463+Sens!G9462)*(1-tax_f)/((Sens!F9465+Sens!G9465)/2)</f>
        <v>0.0761180310326695</v>
      </c>
      <c r="H9468" s="7" t="n">
        <f aca="false">(Sens!H9464-Sens!H9463+Sens!H9462)*(1-tax_f)/((Sens!G9465+Sens!H9465)/2)</f>
        <v>0.0859557095566361</v>
      </c>
      <c r="I9468" s="7" t="n">
        <f aca="false">(Sens!I9464-Sens!I9463+Sens!I9462)*(1-tax_f)/((Sens!H9465+Sens!I9465)/2)</f>
        <v>0.0951578408800258</v>
      </c>
      <c r="J9468" s="7" t="n">
        <f aca="false">(Sens!J9464-Sens!J9463+Sens!J9462)*(1-tax_f)/((Sens!I9465+Sens!J9465)/2)</f>
        <v>0.105427253958487</v>
      </c>
      <c r="K9468" s="7" t="n">
        <f aca="false">(Sens!K9464-Sens!K9463+Sens!K9462)*(1-tax_f)/((Sens!J9465+Sens!K9465)/2)</f>
        <v>0.117991729872291</v>
      </c>
    </row>
    <row r="9469" customFormat="false" ht="17.15" hidden="false" customHeight="false" outlineLevel="0" collapsed="false">
      <c r="A9469" s="1" t="s">
        <v>1017</v>
      </c>
      <c r="B9469" s="0" t="s">
        <v>168</v>
      </c>
      <c r="F9469" s="7" t="n">
        <f aca="false">Sens!F9394*(1-tax_f)/(Sens!F9380*(Sens!E9465+Sens!F9465)/2)</f>
        <v>0.129294830495493</v>
      </c>
      <c r="G9469" s="7" t="n">
        <f aca="false">Sens!G9394*(1-tax_f)/(Sens!G9380*(Sens!F9465+Sens!G9465)/2)</f>
        <v>0.12719599062164</v>
      </c>
      <c r="H9469" s="7" t="n">
        <f aca="false">Sens!H9394*(1-tax_f)/(Sens!H9380*(Sens!G9465+Sens!H9465)/2)</f>
        <v>0.130828167067624</v>
      </c>
      <c r="I9469" s="7" t="n">
        <f aca="false">Sens!I9394*(1-tax_f)/(Sens!I9380*(Sens!H9465+Sens!I9465)/2)</f>
        <v>0.138614526937417</v>
      </c>
      <c r="J9469" s="7" t="n">
        <f aca="false">Sens!J9394*(1-tax_f)/(Sens!J9380*(Sens!I9465+Sens!J9465)/2)</f>
        <v>0.150578919010924</v>
      </c>
      <c r="K9469" s="7" t="n">
        <f aca="false">Sens!K9394*(1-tax_f)/(Sens!K9380*(Sens!J9465+Sens!K9465)/2)</f>
        <v>0.167005345886664</v>
      </c>
    </row>
    <row r="9470" customFormat="false" ht="17.15" hidden="false" customHeight="false" outlineLevel="0" collapsed="false">
      <c r="A9470" s="0" t="s">
        <v>1018</v>
      </c>
      <c r="B9470" s="0" t="s">
        <v>253</v>
      </c>
      <c r="F9470" s="7" t="n">
        <f aca="false">Sens!F9466-wacc</f>
        <v>-0.0417275852209519</v>
      </c>
      <c r="G9470" s="7" t="n">
        <f aca="false">Sens!G9466-wacc</f>
        <v>-0.0268185599129278</v>
      </c>
      <c r="H9470" s="7" t="n">
        <f aca="false">Sens!H9466-wacc</f>
        <v>-0.0169808813889612</v>
      </c>
      <c r="I9470" s="7" t="n">
        <f aca="false">Sens!I9466-wacc</f>
        <v>-0.00777875006557149</v>
      </c>
      <c r="J9470" s="7" t="n">
        <f aca="false">Sens!J9466-wacc</f>
        <v>0.0024906630128898</v>
      </c>
      <c r="K9470" s="7" t="n">
        <f aca="false">Sens!K9466-wacc</f>
        <v>0.0150551389266932</v>
      </c>
    </row>
    <row r="9471" customFormat="false" ht="17.15" hidden="false" customHeight="false" outlineLevel="0" collapsed="false">
      <c r="A9471" s="0" t="s">
        <v>1019</v>
      </c>
      <c r="B9471" s="0" t="s">
        <v>98</v>
      </c>
      <c r="F9471" s="6" t="n">
        <f aca="false">Sens!F9464*(1-tax_f)-wacc*(Sens!E9465+Sens!F9465)/2</f>
        <v>-8.07993485878896</v>
      </c>
      <c r="G9471" s="6" t="n">
        <f aca="false">Sens!G9464*(1-tax_f)-wacc*(Sens!F9465+Sens!G9465)/2</f>
        <v>-8.74761405125648</v>
      </c>
      <c r="H9471" s="6" t="n">
        <f aca="false">Sens!H9464*(1-tax_f)-wacc*(Sens!G9465+Sens!H9465)/2</f>
        <v>-7.56728474773728</v>
      </c>
      <c r="I9471" s="6" t="n">
        <f aca="false">Sens!I9464*(1-tax_f)-wacc*(Sens!H9465+Sens!I9465)/2</f>
        <v>-4.09691549261652</v>
      </c>
      <c r="J9471" s="6" t="n">
        <f aca="false">Sens!J9464*(1-tax_f)-wacc*(Sens!I9465+Sens!J9465)/2</f>
        <v>1.37566660468201</v>
      </c>
      <c r="K9471" s="6" t="n">
        <f aca="false">Sens!K9464*(1-tax_f)-wacc*(Sens!J9465+Sens!K9465)/2</f>
        <v>8.11113224178941</v>
      </c>
    </row>
    <row r="9472" customFormat="false" ht="17.15" hidden="false" customHeight="false" outlineLevel="0" collapsed="false">
      <c r="A9472" s="3" t="s">
        <v>1848</v>
      </c>
    </row>
    <row r="9473" customFormat="false" ht="15" hidden="false" customHeight="false" outlineLevel="0" collapsed="false">
      <c r="A9473" s="4" t="s">
        <v>43</v>
      </c>
      <c r="B9473" s="4" t="s">
        <v>65</v>
      </c>
      <c r="C9473" s="23" t="s">
        <v>942</v>
      </c>
      <c r="D9473" s="23" t="s">
        <v>943</v>
      </c>
      <c r="E9473" s="23" t="s">
        <v>944</v>
      </c>
      <c r="F9473" s="23" t="s">
        <v>945</v>
      </c>
      <c r="G9473" s="23" t="s">
        <v>946</v>
      </c>
      <c r="H9473" s="23" t="s">
        <v>947</v>
      </c>
      <c r="I9473" s="23" t="s">
        <v>948</v>
      </c>
      <c r="J9473" s="23" t="s">
        <v>949</v>
      </c>
      <c r="K9473" s="23" t="s">
        <v>950</v>
      </c>
      <c r="L9473" s="4" t="s">
        <v>47</v>
      </c>
    </row>
    <row r="9474" customFormat="false" ht="15" hidden="false" customHeight="false" outlineLevel="0" collapsed="false">
      <c r="A9474" s="1" t="s">
        <v>1080</v>
      </c>
      <c r="B9474" s="0" t="s">
        <v>98</v>
      </c>
      <c r="F9474" s="6" t="n">
        <f aca="false">Sens!F9455</f>
        <v>144.572471243176</v>
      </c>
      <c r="G9474" s="6" t="n">
        <f aca="false">Sens!G9455</f>
        <v>156.223387436308</v>
      </c>
      <c r="H9474" s="6" t="n">
        <f aca="false">Sens!H9455</f>
        <v>171.330537914656</v>
      </c>
      <c r="I9474" s="6" t="n">
        <f aca="false">Sens!I9455</f>
        <v>185.2609434842</v>
      </c>
      <c r="J9474" s="6" t="n">
        <f aca="false">Sens!J9455</f>
        <v>197.742460469106</v>
      </c>
      <c r="K9474" s="6" t="n">
        <f aca="false">Sens!K9455</f>
        <v>209.270365070315</v>
      </c>
    </row>
    <row r="9475" customFormat="false" ht="17.15" hidden="false" customHeight="false" outlineLevel="0" collapsed="false">
      <c r="A9475" s="1" t="s">
        <v>1102</v>
      </c>
      <c r="B9475" s="0" t="s">
        <v>98</v>
      </c>
      <c r="E9475" s="6" t="n">
        <f aca="false">Q!M38-Sens!E9393</f>
        <v>22.2285940229167</v>
      </c>
      <c r="F9475" s="6" t="n">
        <f aca="false">Sens!E9475*(1-1/life_nonai)+(Sens!F9483+Sens!F9484)/life_nonai</f>
        <v>23.580344216413</v>
      </c>
      <c r="G9475" s="6" t="n">
        <f aca="false">Sens!F9475*(1-1/life_nonai)+(Sens!G9483)/life_nonai</f>
        <v>25.3332753822466</v>
      </c>
      <c r="H9475" s="6" t="n">
        <f aca="false">Sens!G9475*(1-1/life_nonai)+(Sens!H9483)/life_nonai</f>
        <v>27.4447209869779</v>
      </c>
      <c r="I9475" s="6" t="n">
        <f aca="false">Sens!H9475*(1-1/life_nonai)+(Sens!I9483)/life_nonai</f>
        <v>29.8303357378336</v>
      </c>
      <c r="J9475" s="6" t="n">
        <f aca="false">Sens!I9475*(1-1/life_nonai)+(Sens!J9483)/life_nonai</f>
        <v>32.388068108211</v>
      </c>
      <c r="K9475" s="6" t="n">
        <f aca="false">Sens!J9475*(1-1/life_nonai)+(Sens!K9483)/life_nonai</f>
        <v>35.0168368845015</v>
      </c>
      <c r="L9475" s="12" t="s">
        <v>1103</v>
      </c>
    </row>
    <row r="9476" customFormat="false" ht="17.15" hidden="false" customHeight="false" outlineLevel="0" collapsed="false">
      <c r="A9476" s="1" t="s">
        <v>1104</v>
      </c>
      <c r="B9476" s="0" t="s">
        <v>98</v>
      </c>
      <c r="F9476" s="6" t="n">
        <f aca="false">Sens!$F$9484/life_nonai*(1-1/life_nonai)^(Sens!F9356-2027)</f>
        <v>0.00578704874653084</v>
      </c>
      <c r="G9476" s="6" t="n">
        <f aca="false">Sens!$F$9484/life_nonai*(1-1/life_nonai)^(Sens!G9356-2027)</f>
        <v>0.00520834387187776</v>
      </c>
      <c r="H9476" s="6" t="n">
        <f aca="false">Sens!$F$9484/life_nonai*(1-1/life_nonai)^(Sens!H9356-2027)</f>
        <v>0.00468750948468998</v>
      </c>
      <c r="I9476" s="6" t="n">
        <f aca="false">Sens!$F$9484/life_nonai*(1-1/life_nonai)^(Sens!I9356-2027)</f>
        <v>0.00421875853622099</v>
      </c>
      <c r="J9476" s="6" t="n">
        <f aca="false">Sens!$F$9484/life_nonai*(1-1/life_nonai)^(Sens!J9356-2027)</f>
        <v>0.00379688268259889</v>
      </c>
      <c r="K9476" s="6" t="n">
        <f aca="false">Sens!$F$9484/life_nonai*(1-1/life_nonai)^(Sens!K9356-2027)</f>
        <v>0.003417194414339</v>
      </c>
      <c r="L9476" s="1" t="s">
        <v>1105</v>
      </c>
    </row>
    <row r="9477" customFormat="false" ht="17.15" hidden="false" customHeight="false" outlineLevel="0" collapsed="false">
      <c r="A9477" s="1" t="s">
        <v>1106</v>
      </c>
      <c r="B9477" s="0" t="s">
        <v>98</v>
      </c>
      <c r="E9477" s="6" t="n">
        <f aca="false">Sens!E9393+Sens!E9475</f>
        <v>38.534</v>
      </c>
      <c r="F9477" s="6" t="n">
        <f aca="false">Sens!F9393+Sens!F9475</f>
        <v>58.1596586947647</v>
      </c>
      <c r="G9477" s="6" t="n">
        <f aca="false">Sens!G9393+Sens!G9475</f>
        <v>86.0677660345455</v>
      </c>
      <c r="H9477" s="6" t="n">
        <f aca="false">Sens!H9393+Sens!H9475</f>
        <v>116.544811648424</v>
      </c>
      <c r="I9477" s="6" t="n">
        <f aca="false">Sens!I9393+Sens!I9475</f>
        <v>144.061345432382</v>
      </c>
      <c r="J9477" s="6" t="n">
        <f aca="false">Sens!J9393+Sens!J9475</f>
        <v>164.403741157807</v>
      </c>
      <c r="K9477" s="6" t="n">
        <f aca="false">Sens!K9393+Sens!K9475</f>
        <v>178.029506435436</v>
      </c>
    </row>
    <row r="9478" customFormat="false" ht="17.15" hidden="false" customHeight="false" outlineLevel="0" collapsed="false">
      <c r="A9478" s="1" t="s">
        <v>1107</v>
      </c>
      <c r="B9478" s="0" t="s">
        <v>98</v>
      </c>
      <c r="F9478" s="6" t="n">
        <f aca="false">Sens!F9420*sbc_r</f>
        <v>14.9067307324098</v>
      </c>
      <c r="G9478" s="6" t="n">
        <f aca="false">Sens!G9420*sbc_r</f>
        <v>17.7651151586482</v>
      </c>
      <c r="H9478" s="6" t="n">
        <f aca="false">Sens!H9420*sbc_r</f>
        <v>20.659963374163</v>
      </c>
      <c r="I9478" s="6" t="n">
        <f aca="false">Sens!I9420*sbc_r</f>
        <v>23.2734614078385</v>
      </c>
      <c r="J9478" s="6" t="n">
        <f aca="false">Sens!J9420*sbc_r</f>
        <v>25.3498329271557</v>
      </c>
      <c r="K9478" s="6" t="n">
        <f aca="false">Sens!K9420*sbc_r</f>
        <v>26.9437381815458</v>
      </c>
    </row>
    <row r="9479" customFormat="false" ht="17.15" hidden="false" customHeight="false" outlineLevel="0" collapsed="false">
      <c r="A9479" s="1" t="s">
        <v>1108</v>
      </c>
      <c r="B9479" s="0" t="s">
        <v>98</v>
      </c>
      <c r="F9479" s="6" t="n">
        <f aca="false">wc27-wc26q1</f>
        <v>-4.677</v>
      </c>
      <c r="G9479" s="6" t="n">
        <f aca="false">wc_f</f>
        <v>0</v>
      </c>
      <c r="H9479" s="6" t="n">
        <f aca="false">wc_f</f>
        <v>0</v>
      </c>
      <c r="I9479" s="6" t="n">
        <f aca="false">wc_f</f>
        <v>0</v>
      </c>
      <c r="J9479" s="6" t="n">
        <f aca="false">wc_f</f>
        <v>0</v>
      </c>
      <c r="K9479" s="6" t="n">
        <f aca="false">wc_f</f>
        <v>0</v>
      </c>
      <c r="L9479" s="12" t="s">
        <v>1109</v>
      </c>
    </row>
    <row r="9480" customFormat="false" ht="17.15" hidden="false" customHeight="false" outlineLevel="0" collapsed="false">
      <c r="A9480" s="0" t="s">
        <v>1110</v>
      </c>
      <c r="B9480" s="0" t="s">
        <v>98</v>
      </c>
      <c r="F9480" s="6" t="n">
        <f aca="false">Q!$I$35-Q!$I$26-Q!$I$38-Q!$I$39</f>
        <v>6.493</v>
      </c>
      <c r="L9480" s="1" t="s">
        <v>1111</v>
      </c>
    </row>
    <row r="9481" customFormat="false" ht="15" hidden="false" customHeight="false" outlineLevel="0" collapsed="false">
      <c r="A9481" s="1" t="s">
        <v>908</v>
      </c>
      <c r="B9481" s="0" t="s">
        <v>98</v>
      </c>
      <c r="E9481" s="6" t="n">
        <f aca="false">Q!M35</f>
        <v>182.935</v>
      </c>
      <c r="F9481" s="6" t="n">
        <f aca="false">Sens!F9474+Sens!F9477+Sens!F9478+Sens!F9479+Sens!F9480</f>
        <v>219.454860670351</v>
      </c>
      <c r="G9481" s="6" t="n">
        <f aca="false">Sens!G9474+Sens!G9477+Sens!G9478+Sens!G9479</f>
        <v>260.056268629501</v>
      </c>
      <c r="H9481" s="6" t="n">
        <f aca="false">Sens!H9474+Sens!H9477+Sens!H9478+Sens!H9479</f>
        <v>308.535312937242</v>
      </c>
      <c r="I9481" s="6" t="n">
        <f aca="false">Sens!I9474+Sens!I9477+Sens!I9478+Sens!I9479</f>
        <v>352.59575032442</v>
      </c>
      <c r="J9481" s="6" t="n">
        <f aca="false">Sens!J9474+Sens!J9477+Sens!J9478+Sens!J9479</f>
        <v>387.496034554069</v>
      </c>
      <c r="K9481" s="6" t="n">
        <f aca="false">Sens!K9474+Sens!K9477+Sens!K9478+Sens!K9479</f>
        <v>414.243609687296</v>
      </c>
    </row>
    <row r="9482" customFormat="false" ht="17.15" hidden="false" customHeight="false" outlineLevel="0" collapsed="false">
      <c r="A9482" s="0" t="s">
        <v>1112</v>
      </c>
      <c r="B9482" s="0" t="s">
        <v>98</v>
      </c>
      <c r="F9482" s="6" t="n">
        <f aca="false">Sens!F9390</f>
        <v>168.45390404212</v>
      </c>
      <c r="G9482" s="6" t="n">
        <f aca="false">Sens!G9390</f>
        <v>191.944475649048</v>
      </c>
      <c r="H9482" s="6" t="n">
        <f aca="false">Sens!H9390</f>
        <v>196.806004064512</v>
      </c>
      <c r="I9482" s="6" t="n">
        <f aca="false">Sens!I9390</f>
        <v>168.61483362161</v>
      </c>
      <c r="J9482" s="6" t="n">
        <f aca="false">Sens!J9390</f>
        <v>128.92993119594</v>
      </c>
      <c r="K9482" s="6" t="n">
        <f aca="false">Sens!K9390</f>
        <v>118.962853064733</v>
      </c>
    </row>
    <row r="9483" customFormat="false" ht="17.15" hidden="false" customHeight="false" outlineLevel="0" collapsed="false">
      <c r="A9483" s="1" t="s">
        <v>1113</v>
      </c>
      <c r="B9483" s="0" t="s">
        <v>98</v>
      </c>
      <c r="E9483" s="6" t="n">
        <f aca="false">Sens!E9398*cx_azo+Sens!E9405*cx_m365+Sens!E9406*cx_lic+(Sens!E9408+Sens!E9410)*cx_ind+Sens!E9413*cx_srch+(Sens!E9415+Sens!E9417)*cx_dev</f>
        <v>30.1846587067718</v>
      </c>
      <c r="F9483" s="6" t="n">
        <f aca="false">Sens!F9398*cx_azo+Sens!F9405*cx_m365+Sens!F9406*cx_lic+(Sens!F9408+Sens!F9410)*cx_ind+Sens!F9413*cx_srch+(Sens!F9415+Sens!F9417)*cx_dev</f>
        <v>35.6882254704151</v>
      </c>
      <c r="G9483" s="6" t="n">
        <f aca="false">Sens!G9398*cx_azo+Sens!G9405*cx_m365+Sens!G9406*cx_lic+(Sens!G9408+Sens!G9410)*cx_ind+Sens!G9413*cx_srch+(Sens!G9415+Sens!G9417)*cx_dev</f>
        <v>41.1096558747483</v>
      </c>
      <c r="H9483" s="6" t="n">
        <f aca="false">Sens!H9398*cx_azo+Sens!H9405*cx_m365+Sens!H9406*cx_lic+(Sens!H9408+Sens!H9410)*cx_ind+Sens!H9413*cx_srch+(Sens!H9415+Sens!H9417)*cx_dev</f>
        <v>46.4477314295603</v>
      </c>
      <c r="I9483" s="6" t="n">
        <f aca="false">Sens!I9398*cx_azo+Sens!I9405*cx_m365+Sens!I9406*cx_lic+(Sens!I9408+Sens!I9410)*cx_ind+Sens!I9413*cx_srch+(Sens!I9415+Sens!I9417)*cx_dev</f>
        <v>51.3008684955343</v>
      </c>
      <c r="J9483" s="6" t="n">
        <f aca="false">Sens!J9398*cx_azo+Sens!J9405*cx_m365+Sens!J9406*cx_lic+(Sens!J9408+Sens!J9410)*cx_ind+Sens!J9413*cx_srch+(Sens!J9415+Sens!J9417)*cx_dev</f>
        <v>55.4076594416079</v>
      </c>
      <c r="K9483" s="6" t="n">
        <f aca="false">Sens!K9398*cx_azo+Sens!K9405*cx_m365+Sens!K9406*cx_lic+(Sens!K9408+Sens!K9410)*cx_ind+Sens!K9413*cx_srch+(Sens!K9415+Sens!K9417)*cx_dev</f>
        <v>58.6757558711153</v>
      </c>
    </row>
    <row r="9484" customFormat="false" ht="17.15" hidden="false" customHeight="false" outlineLevel="0" collapsed="false">
      <c r="A9484" s="0" t="s">
        <v>1114</v>
      </c>
      <c r="B9484" s="0" t="s">
        <v>98</v>
      </c>
      <c r="F9484" s="6" t="n">
        <f aca="false">Sens!F9388</f>
        <v>0.0578704874653084</v>
      </c>
      <c r="L9484" s="1" t="s">
        <v>1115</v>
      </c>
    </row>
    <row r="9485" customFormat="false" ht="17.15" hidden="false" customHeight="false" outlineLevel="0" collapsed="false">
      <c r="A9485" s="1" t="s">
        <v>1116</v>
      </c>
      <c r="B9485" s="0" t="s">
        <v>98</v>
      </c>
      <c r="E9485" s="6" t="n">
        <f aca="false">Q!M43</f>
        <v>145.3</v>
      </c>
      <c r="F9485" s="6" t="n">
        <f aca="false">Sens!F9482+Sens!F9483+Sens!F9484</f>
        <v>204.2</v>
      </c>
      <c r="G9485" s="6" t="n">
        <f aca="false">Sens!G9482+Sens!G9483</f>
        <v>233.054131523796</v>
      </c>
      <c r="H9485" s="6" t="n">
        <f aca="false">Sens!H9482+Sens!H9483</f>
        <v>243.253735494073</v>
      </c>
      <c r="I9485" s="6" t="n">
        <f aca="false">Sens!I9482+Sens!I9483</f>
        <v>219.915702117145</v>
      </c>
      <c r="J9485" s="6" t="n">
        <f aca="false">Sens!J9482+Sens!J9483</f>
        <v>184.337590637548</v>
      </c>
      <c r="K9485" s="6" t="n">
        <f aca="false">Sens!K9482+Sens!K9483</f>
        <v>177.638608935848</v>
      </c>
      <c r="L9485" s="1" t="s">
        <v>1117</v>
      </c>
    </row>
    <row r="9486" customFormat="false" ht="15" hidden="false" customHeight="false" outlineLevel="0" collapsed="false">
      <c r="A9486" s="1" t="s">
        <v>1118</v>
      </c>
      <c r="B9486" s="0" t="s">
        <v>98</v>
      </c>
      <c r="E9486" s="6" t="n">
        <f aca="false">fl_liab</f>
        <v>66.594</v>
      </c>
      <c r="F9486" s="6" t="n">
        <f aca="false">Sens!E9486-Sens!F9487</f>
        <v>62.46973</v>
      </c>
      <c r="G9486" s="6" t="n">
        <f aca="false">Sens!F9486-Sens!G9487</f>
        <v>57.98686785</v>
      </c>
      <c r="H9486" s="6" t="n">
        <f aca="false">Sens!G9486-Sens!H9487</f>
        <v>53.92827690325</v>
      </c>
      <c r="I9486" s="6" t="n">
        <f aca="false">Sens!H9486-Sens!I9487</f>
        <v>49.7850493638962</v>
      </c>
      <c r="J9486" s="6" t="n">
        <f aca="false">Sens!I9486-Sens!J9487</f>
        <v>45.4823765852716</v>
      </c>
      <c r="K9486" s="6" t="n">
        <f aca="false">Sens!J9486-Sens!K9487</f>
        <v>40.9860835316088</v>
      </c>
    </row>
    <row r="9487" customFormat="false" ht="15" hidden="false" customHeight="false" outlineLevel="0" collapsed="false">
      <c r="A9487" s="1" t="s">
        <v>1119</v>
      </c>
      <c r="B9487" s="0" t="s">
        <v>98</v>
      </c>
      <c r="F9487" s="6" t="n">
        <f aca="false">fl_pay_27-Sens!E9486*fl_rate</f>
        <v>4.12427</v>
      </c>
      <c r="G9487" s="6" t="n">
        <f aca="false">fl_pay_28-Sens!F9486*fl_rate</f>
        <v>4.48286215</v>
      </c>
      <c r="H9487" s="6" t="n">
        <f aca="false">fl_pay_29-Sens!G9486*fl_rate</f>
        <v>4.05859094675</v>
      </c>
      <c r="I9487" s="6" t="n">
        <f aca="false">fl_pay_30-Sens!H9486*fl_rate</f>
        <v>4.14322753935375</v>
      </c>
      <c r="J9487" s="6" t="n">
        <f aca="false">fl_pay_31-Sens!I9486*fl_rate</f>
        <v>4.30267277862467</v>
      </c>
      <c r="K9487" s="6" t="n">
        <f aca="false">fl_pay_32-Sens!J9486*fl_rate</f>
        <v>4.49629305366278</v>
      </c>
    </row>
    <row r="9488" customFormat="false" ht="17.15" hidden="false" customHeight="false" outlineLevel="0" collapsed="false">
      <c r="A9488" s="1" t="s">
        <v>1120</v>
      </c>
      <c r="B9488" s="0" t="s">
        <v>98</v>
      </c>
      <c r="E9488" s="6" t="n">
        <f aca="false">Q!M35-Q!M36-Q!M44</f>
        <v>63.886</v>
      </c>
      <c r="F9488" s="6" t="n">
        <f aca="false">Sens!F9481-Sens!F9485-Sens!F9487</f>
        <v>11.1305906703507</v>
      </c>
      <c r="G9488" s="6" t="n">
        <f aca="false">Sens!G9481-Sens!G9485-Sens!G9487</f>
        <v>22.5192749557049</v>
      </c>
      <c r="H9488" s="6" t="n">
        <f aca="false">Sens!H9481-Sens!H9485-Sens!H9487</f>
        <v>61.2229864964198</v>
      </c>
      <c r="I9488" s="6" t="n">
        <f aca="false">Sens!I9481-Sens!I9485-Sens!I9487</f>
        <v>128.536820667922</v>
      </c>
      <c r="J9488" s="6" t="n">
        <f aca="false">Sens!J9481-Sens!J9485-Sens!J9487</f>
        <v>198.855771137896</v>
      </c>
      <c r="K9488" s="6" t="n">
        <f aca="false">Sens!K9481-Sens!K9485-Sens!K9487</f>
        <v>232.108707697785</v>
      </c>
      <c r="L9488" s="12" t="s">
        <v>1121</v>
      </c>
    </row>
    <row r="9489" customFormat="false" ht="15" hidden="false" customHeight="false" outlineLevel="0" collapsed="false">
      <c r="A9489" s="1" t="s">
        <v>1122</v>
      </c>
      <c r="B9489" s="0" t="s">
        <v>75</v>
      </c>
      <c r="F9489" s="8" t="n">
        <f aca="false">dps_27</f>
        <v>3.85</v>
      </c>
      <c r="G9489" s="8" t="n">
        <f aca="false">Sens!F9489*(1+dps_g)</f>
        <v>4.158</v>
      </c>
      <c r="H9489" s="8" t="n">
        <f aca="false">Sens!G9489*(1+dps_g)</f>
        <v>4.49064</v>
      </c>
      <c r="I9489" s="8" t="n">
        <f aca="false">Sens!H9489*(1+dps_g)</f>
        <v>4.8498912</v>
      </c>
      <c r="J9489" s="8" t="n">
        <f aca="false">Sens!I9489*(1+dps_g)</f>
        <v>5.237882496</v>
      </c>
      <c r="K9489" s="8" t="n">
        <f aca="false">Sens!J9489*(1+dps_g)</f>
        <v>5.65691309568</v>
      </c>
    </row>
    <row r="9490" customFormat="false" ht="17.15" hidden="false" customHeight="false" outlineLevel="0" collapsed="false">
      <c r="A9490" s="1" t="s">
        <v>1123</v>
      </c>
      <c r="B9490" s="0" t="s">
        <v>98</v>
      </c>
      <c r="E9490" s="6" t="n">
        <f aca="false">Q!M41</f>
        <v>26.445</v>
      </c>
      <c r="F9490" s="6" t="n">
        <f aca="false">Sens!F9489*Sens!E9499</f>
        <v>28.59395</v>
      </c>
      <c r="G9490" s="6" t="n">
        <f aca="false">Sens!G9489*Sens!F9499</f>
        <v>31.0675991875743</v>
      </c>
      <c r="H9490" s="6" t="n">
        <f aca="false">Sens!H9489*Sens!G9499</f>
        <v>33.7550859225803</v>
      </c>
      <c r="I9490" s="6" t="n">
        <f aca="false">Sens!I9489*Sens!H9499</f>
        <v>36.5059310734593</v>
      </c>
      <c r="J9490" s="6" t="n">
        <f aca="false">Sens!J9489*Sens!I9499</f>
        <v>39.4943034447287</v>
      </c>
      <c r="K9490" s="6" t="n">
        <f aca="false">Sens!K9489*Sens!J9499</f>
        <v>42.7406019826853</v>
      </c>
      <c r="L9490" s="1" t="s">
        <v>1124</v>
      </c>
    </row>
    <row r="9491" customFormat="false" ht="15" hidden="false" customHeight="false" outlineLevel="0" collapsed="false">
      <c r="A9491" s="1" t="s">
        <v>1125</v>
      </c>
      <c r="B9491" s="0" t="s">
        <v>98</v>
      </c>
      <c r="E9491" s="6" t="n">
        <f aca="false">Sens!E9488-Sens!E9490</f>
        <v>37.441</v>
      </c>
      <c r="F9491" s="6" t="n">
        <f aca="false">Sens!F9488-Sens!F9490</f>
        <v>-17.4633593296493</v>
      </c>
      <c r="G9491" s="6" t="n">
        <f aca="false">Sens!G9488-Sens!G9490</f>
        <v>-8.54832423186946</v>
      </c>
      <c r="H9491" s="6" t="n">
        <f aca="false">Sens!H9488-Sens!H9490</f>
        <v>27.4679005738395</v>
      </c>
      <c r="I9491" s="6" t="n">
        <f aca="false">Sens!I9488-Sens!I9490</f>
        <v>92.0308895944628</v>
      </c>
      <c r="J9491" s="6" t="n">
        <f aca="false">Sens!J9488-Sens!J9490</f>
        <v>159.361467693167</v>
      </c>
      <c r="K9491" s="6" t="n">
        <f aca="false">Sens!K9488-Sens!K9490</f>
        <v>189.3681057151</v>
      </c>
    </row>
    <row r="9492" customFormat="false" ht="15" hidden="false" customHeight="false" outlineLevel="0" collapsed="false">
      <c r="A9492" s="1" t="s">
        <v>1126</v>
      </c>
      <c r="B9492" s="0" t="s">
        <v>98</v>
      </c>
      <c r="F9492" s="6" t="n">
        <f aca="false">debt_mat_27</f>
        <v>9.25</v>
      </c>
      <c r="G9492" s="6" t="n">
        <f aca="false">debt_mat_28</f>
        <v>0</v>
      </c>
      <c r="H9492" s="6" t="n">
        <f aca="false">debt_mat_29</f>
        <v>2.001</v>
      </c>
      <c r="I9492" s="6" t="n">
        <f aca="false">debt_mat_30</f>
        <v>0</v>
      </c>
      <c r="J9492" s="6" t="n">
        <f aca="false">debt_mat_31</f>
        <v>0.5</v>
      </c>
      <c r="K9492" s="6" t="n">
        <f aca="false">debt_mat_32</f>
        <v>0</v>
      </c>
    </row>
    <row r="9493" customFormat="false" ht="15" hidden="false" customHeight="false" outlineLevel="0" collapsed="false">
      <c r="A9493" s="1" t="s">
        <v>1127</v>
      </c>
      <c r="B9493" s="0" t="s">
        <v>98</v>
      </c>
      <c r="E9493" s="6" t="n">
        <f aca="false">Q!M40</f>
        <v>22.271</v>
      </c>
      <c r="F9493" s="6" t="n">
        <f aca="false">MAX(0,MIN(bb_target,Sens!E9495+Sens!F9491-Sens!F9492-min_cash))</f>
        <v>0.129640670350668</v>
      </c>
      <c r="G9493" s="6" t="n">
        <f aca="false">MAX(0,MIN(bb_target,Sens!F9495+Sens!G9491-Sens!G9492-min_cash))</f>
        <v>0</v>
      </c>
      <c r="H9493" s="6" t="n">
        <f aca="false">MAX(0,MIN(bb_target,Sens!G9495+Sens!H9491-Sens!H9492-min_cash))</f>
        <v>22.271</v>
      </c>
      <c r="I9493" s="6" t="n">
        <f aca="false">MAX(0,MIN(bb_target,Sens!H9495+Sens!I9491-Sens!I9492-min_cash))</f>
        <v>22.271</v>
      </c>
      <c r="J9493" s="6" t="n">
        <f aca="false">MAX(0,MIN(bb_target,Sens!I9495+Sens!J9491-Sens!J9492-min_cash))</f>
        <v>22.271</v>
      </c>
      <c r="K9493" s="6" t="n">
        <f aca="false">MAX(0,MIN(bb_target,Sens!J9495+Sens!K9491-Sens!K9492-min_cash))</f>
        <v>22.271</v>
      </c>
    </row>
    <row r="9494" customFormat="false" ht="15" hidden="false" customHeight="false" outlineLevel="0" collapsed="false">
      <c r="A9494" s="1" t="s">
        <v>1128</v>
      </c>
      <c r="B9494" s="0" t="s">
        <v>98</v>
      </c>
      <c r="F9494" s="6" t="n">
        <f aca="false">MAX(0,min_cash-(Sens!E9495+Sens!F9491-Sens!F9492-Sens!F9493))</f>
        <v>0</v>
      </c>
      <c r="G9494" s="6" t="n">
        <f aca="false">MAX(0,min_cash-(Sens!F9495+Sens!G9491-Sens!G9492-Sens!G9493))</f>
        <v>8.54832423186946</v>
      </c>
      <c r="H9494" s="6" t="n">
        <f aca="false">MAX(0,min_cash-(Sens!G9495+Sens!H9491-Sens!H9492-Sens!H9493))</f>
        <v>0</v>
      </c>
      <c r="I9494" s="6" t="n">
        <f aca="false">MAX(0,min_cash-(Sens!H9495+Sens!I9491-Sens!I9492-Sens!I9493))</f>
        <v>0</v>
      </c>
      <c r="J9494" s="6" t="n">
        <f aca="false">MAX(0,min_cash-(Sens!I9495+Sens!J9491-Sens!J9492-Sens!J9493))</f>
        <v>0</v>
      </c>
      <c r="K9494" s="6" t="n">
        <f aca="false">MAX(0,min_cash-(Sens!J9495+Sens!K9491-Sens!K9492-Sens!K9493))</f>
        <v>0</v>
      </c>
    </row>
    <row r="9495" customFormat="false" ht="15" hidden="false" customHeight="false" outlineLevel="0" collapsed="false">
      <c r="A9495" s="1" t="s">
        <v>1129</v>
      </c>
      <c r="B9495" s="0" t="s">
        <v>98</v>
      </c>
      <c r="E9495" s="6" t="n">
        <f aca="false">cash_open</f>
        <v>76.843</v>
      </c>
      <c r="F9495" s="6" t="n">
        <f aca="false">Sens!E9495+Sens!F9491-Sens!F9492-Sens!F9493+Sens!F9494</f>
        <v>50</v>
      </c>
      <c r="G9495" s="6" t="n">
        <f aca="false">Sens!F9495+Sens!G9491-Sens!G9492-Sens!G9493+Sens!G9494</f>
        <v>50</v>
      </c>
      <c r="H9495" s="6" t="n">
        <f aca="false">Sens!G9495+Sens!H9491-Sens!H9492-Sens!H9493+Sens!H9494</f>
        <v>53.1959005738395</v>
      </c>
      <c r="I9495" s="6" t="n">
        <f aca="false">Sens!H9495+Sens!I9491-Sens!I9492-Sens!I9493+Sens!I9494</f>
        <v>122.955790168302</v>
      </c>
      <c r="J9495" s="6" t="n">
        <f aca="false">Sens!I9495+Sens!J9491-Sens!J9492-Sens!J9493+Sens!J9494</f>
        <v>259.54625786147</v>
      </c>
      <c r="K9495" s="6" t="n">
        <f aca="false">Sens!J9495+Sens!K9491-Sens!K9492-Sens!K9493+Sens!K9494</f>
        <v>426.643363576569</v>
      </c>
    </row>
    <row r="9496" customFormat="false" ht="15" hidden="false" customHeight="false" outlineLevel="0" collapsed="false">
      <c r="A9496" s="1" t="s">
        <v>1130</v>
      </c>
      <c r="B9496" s="0" t="s">
        <v>98</v>
      </c>
      <c r="E9496" s="6" t="n">
        <f aca="false">debt_face</f>
        <v>46.136</v>
      </c>
      <c r="F9496" s="6" t="n">
        <f aca="false">Sens!E9496-Sens!F9492+Sens!F9494</f>
        <v>36.886</v>
      </c>
      <c r="G9496" s="6" t="n">
        <f aca="false">Sens!F9496-Sens!G9492+Sens!G9494</f>
        <v>45.4343242318695</v>
      </c>
      <c r="H9496" s="6" t="n">
        <f aca="false">Sens!G9496-Sens!H9492+Sens!H9494</f>
        <v>43.4333242318695</v>
      </c>
      <c r="I9496" s="6" t="n">
        <f aca="false">Sens!H9496-Sens!I9492+Sens!I9494</f>
        <v>43.4333242318695</v>
      </c>
      <c r="J9496" s="6" t="n">
        <f aca="false">Sens!I9496-Sens!J9492+Sens!J9494</f>
        <v>42.9333242318695</v>
      </c>
      <c r="K9496" s="6" t="n">
        <f aca="false">Sens!J9496-Sens!K9492+Sens!K9494</f>
        <v>42.9333242318695</v>
      </c>
    </row>
    <row r="9497" customFormat="false" ht="15" hidden="false" customHeight="false" outlineLevel="0" collapsed="false">
      <c r="A9497" s="1" t="s">
        <v>1131</v>
      </c>
      <c r="B9497" s="0" t="s">
        <v>98</v>
      </c>
      <c r="E9497" s="6" t="n">
        <f aca="false">Sens!E9495-Sens!E9496</f>
        <v>30.707</v>
      </c>
      <c r="F9497" s="6" t="n">
        <f aca="false">Sens!F9495-Sens!F9496</f>
        <v>13.114</v>
      </c>
      <c r="G9497" s="6" t="n">
        <f aca="false">Sens!G9495-Sens!G9496</f>
        <v>4.56567576813054</v>
      </c>
      <c r="H9497" s="6" t="n">
        <f aca="false">Sens!H9495-Sens!H9496</f>
        <v>9.76257634197006</v>
      </c>
      <c r="I9497" s="6" t="n">
        <f aca="false">Sens!I9495-Sens!I9496</f>
        <v>79.5224659364328</v>
      </c>
      <c r="J9497" s="6" t="n">
        <f aca="false">Sens!J9495-Sens!J9496</f>
        <v>216.6129336296</v>
      </c>
      <c r="K9497" s="6" t="n">
        <f aca="false">Sens!K9495-Sens!K9496</f>
        <v>383.7100393447</v>
      </c>
    </row>
    <row r="9498" customFormat="false" ht="15" hidden="false" customHeight="false" outlineLevel="0" collapsed="false">
      <c r="A9498" s="1" t="s">
        <v>1132</v>
      </c>
      <c r="B9498" s="0" t="s">
        <v>75</v>
      </c>
      <c r="F9498" s="30" t="n">
        <f aca="false">px*(1+bb_g)^(Sens!F9356-base_fy-mid_yr)</f>
        <v>551.84177959629</v>
      </c>
      <c r="G9498" s="30" t="n">
        <f aca="false">px*(1+bb_g)^(Sens!G9356-base_fy-mid_yr)</f>
        <v>595.989121963993</v>
      </c>
      <c r="H9498" s="30" t="n">
        <f aca="false">px*(1+bb_g)^(Sens!H9356-base_fy-mid_yr)</f>
        <v>643.668251721112</v>
      </c>
      <c r="I9498" s="30" t="n">
        <f aca="false">px*(1+bb_g)^(Sens!I9356-base_fy-mid_yr)</f>
        <v>695.161711858801</v>
      </c>
      <c r="J9498" s="30" t="n">
        <f aca="false">px*(1+bb_g)^(Sens!J9356-base_fy-mid_yr)</f>
        <v>750.774648807506</v>
      </c>
      <c r="K9498" s="30" t="n">
        <f aca="false">px*(1+bb_g)^(Sens!K9356-base_fy-mid_yr)</f>
        <v>810.836620712106</v>
      </c>
    </row>
    <row r="9499" customFormat="false" ht="15" hidden="false" customHeight="false" outlineLevel="0" collapsed="false">
      <c r="A9499" s="1" t="s">
        <v>1133</v>
      </c>
      <c r="B9499" s="1" t="s">
        <v>81</v>
      </c>
      <c r="E9499" s="15" t="n">
        <f aca="false">sh_out26</f>
        <v>7.427</v>
      </c>
      <c r="F9499" s="15" t="n">
        <f aca="false">Sens!E9499+sh_iss-Sens!F9493/Sens!F9498</f>
        <v>7.4717650763767</v>
      </c>
      <c r="G9499" s="15" t="n">
        <f aca="false">Sens!F9499+sh_iss-Sens!G9493/Sens!G9498</f>
        <v>7.5167650763767</v>
      </c>
      <c r="H9499" s="15" t="n">
        <f aca="false">Sens!G9499+sh_iss-Sens!H9493/Sens!H9498</f>
        <v>7.5271649544343</v>
      </c>
      <c r="I9499" s="15" t="n">
        <f aca="false">Sens!H9499+sh_iss-Sens!I9493/Sens!I9498</f>
        <v>7.54012780448764</v>
      </c>
      <c r="J9499" s="15" t="n">
        <f aca="false">Sens!I9499+sh_iss-Sens!J9493/Sens!J9498</f>
        <v>7.55546377675925</v>
      </c>
      <c r="K9499" s="15" t="n">
        <f aca="false">Sens!J9499+sh_iss-Sens!K9493/Sens!K9498</f>
        <v>7.57299708441814</v>
      </c>
    </row>
    <row r="9500" customFormat="false" ht="15" hidden="false" customHeight="false" outlineLevel="0" collapsed="false">
      <c r="A9500" s="1" t="s">
        <v>1134</v>
      </c>
      <c r="B9500" s="1" t="s">
        <v>81</v>
      </c>
      <c r="E9500" s="15" t="n">
        <f aca="false">sh_dil26</f>
        <v>7.453</v>
      </c>
      <c r="F9500" s="15" t="n">
        <f aca="false">(Sens!E9499+Sens!F9499)/2+dil_gap</f>
        <v>7.47338253818835</v>
      </c>
      <c r="G9500" s="15" t="n">
        <f aca="false">(Sens!F9499+Sens!G9499)/2+dil_gap</f>
        <v>7.5182650763767</v>
      </c>
      <c r="H9500" s="15" t="n">
        <f aca="false">(Sens!G9499+Sens!H9499)/2+dil_gap</f>
        <v>7.5459650154055</v>
      </c>
      <c r="I9500" s="15" t="n">
        <f aca="false">(Sens!H9499+Sens!I9499)/2+dil_gap</f>
        <v>7.55764637946097</v>
      </c>
      <c r="J9500" s="15" t="n">
        <f aca="false">(Sens!I9499+Sens!J9499)/2+dil_gap</f>
        <v>7.57179579062344</v>
      </c>
      <c r="K9500" s="15" t="n">
        <f aca="false">(Sens!J9499+Sens!K9499)/2+dil_gap</f>
        <v>7.5882304305887</v>
      </c>
    </row>
    <row r="9501" customFormat="false" ht="17.15" hidden="false" customHeight="false" outlineLevel="0" collapsed="false">
      <c r="A9501" s="1" t="s">
        <v>1135</v>
      </c>
      <c r="B9501" s="0" t="s">
        <v>98</v>
      </c>
      <c r="C9501" s="6" t="n">
        <f aca="false">SUM(Sens!F9491:J9491)</f>
        <v>252.848574299951</v>
      </c>
    </row>
    <row r="9502" customFormat="false" ht="15" hidden="false" customHeight="false" outlineLevel="0" collapsed="false">
      <c r="A9502" s="26" t="s">
        <v>1100</v>
      </c>
      <c r="B9502" s="31" t="s">
        <v>98</v>
      </c>
      <c r="C9502" s="27" t="n">
        <f aca="false">Sens!$C$9501-(Sens!F9491+Sens!G9491+Sens!H9491+Sens!I9491+Sens!J9491)</f>
        <v>0</v>
      </c>
      <c r="D9502" s="31"/>
      <c r="E9502" s="31"/>
      <c r="F9502" s="31"/>
      <c r="G9502" s="31"/>
      <c r="H9502" s="31"/>
      <c r="I9502" s="31"/>
      <c r="J9502" s="31"/>
      <c r="K9502" s="31"/>
    </row>
    <row r="9503" customFormat="false" ht="17.15" hidden="false" customHeight="false" outlineLevel="0" collapsed="false">
      <c r="A9503" s="1" t="s">
        <v>1094</v>
      </c>
      <c r="B9503" s="1" t="s">
        <v>1136</v>
      </c>
      <c r="C9503" s="33" t="str">
        <f aca="false">IF(SUM(Sens!F9494:J9494)&gt;0.05,"需要舉債 "&amp;TEXT(SUM(Sens!F9494:J9494),"0.0")&amp;" 十億美元","不需舉債")&amp;"；"&amp;IF(SUM(Sens!F9493:J9493)&lt;COUNT(Sens!F9493:J9493)*bb_target-0.05,"回購較每年 "&amp;TEXT(bb_target,"0.0")&amp;" 的目標少 "&amp;TEXT(COUNT(Sens!F9493:J9493)*bb_target-SUM(Sens!F9493:J9493),"0.0")&amp;" 十億美元（"&amp;TEXT(COUNTIF(Sens!F9493:J9493,"&lt;"&amp;(bb_target-0.05)),"0")&amp;" 年減少）","回購不減")</f>
        <v>需要舉債 8.5 十億美元；回購較每年 22.3 的目標少 44.4 十億美元（2 年減少）</v>
      </c>
    </row>
    <row r="9504" customFormat="false" ht="17.15" hidden="false" customHeight="false" outlineLevel="0" collapsed="false">
      <c r="A9504" s="3" t="s">
        <v>1849</v>
      </c>
    </row>
    <row r="9505" customFormat="false" ht="15" hidden="false" customHeight="false" outlineLevel="0" collapsed="false">
      <c r="A9505" s="4" t="s">
        <v>43</v>
      </c>
      <c r="B9505" s="4" t="s">
        <v>65</v>
      </c>
      <c r="C9505" s="23" t="s">
        <v>942</v>
      </c>
      <c r="D9505" s="23" t="s">
        <v>943</v>
      </c>
      <c r="E9505" s="23" t="s">
        <v>944</v>
      </c>
      <c r="F9505" s="23" t="s">
        <v>945</v>
      </c>
      <c r="G9505" s="23" t="s">
        <v>946</v>
      </c>
      <c r="H9505" s="23" t="s">
        <v>947</v>
      </c>
      <c r="I9505" s="23" t="s">
        <v>948</v>
      </c>
      <c r="J9505" s="23" t="s">
        <v>949</v>
      </c>
      <c r="K9505" s="23" t="s">
        <v>950</v>
      </c>
      <c r="L9505" s="4" t="s">
        <v>47</v>
      </c>
    </row>
    <row r="9506" customFormat="false" ht="17.15" hidden="false" customHeight="false" outlineLevel="0" collapsed="false">
      <c r="A9506" s="1" t="s">
        <v>1216</v>
      </c>
      <c r="B9506" s="1" t="s">
        <v>279</v>
      </c>
      <c r="F9506" s="8" t="n">
        <f aca="false">(1-v_off)*mid_yr</f>
        <v>0.373972602739726</v>
      </c>
      <c r="G9506" s="8" t="n">
        <f aca="false">Sens!G9356-base_fy-mid_yr-v_off</f>
        <v>1.24794520547945</v>
      </c>
      <c r="H9506" s="8" t="n">
        <f aca="false">Sens!H9356-base_fy-mid_yr-v_off</f>
        <v>2.24794520547945</v>
      </c>
      <c r="I9506" s="8" t="n">
        <f aca="false">Sens!I9356-base_fy-mid_yr-v_off</f>
        <v>3.24794520547945</v>
      </c>
      <c r="J9506" s="8" t="n">
        <f aca="false">Sens!J9356-base_fy-mid_yr-v_off</f>
        <v>4.24794520547945</v>
      </c>
      <c r="K9506" s="8" t="n">
        <f aca="false">Sens!K9356-base_fy-mid_yr-v_off</f>
        <v>5.24794520547945</v>
      </c>
      <c r="L9506" s="12" t="s">
        <v>1217</v>
      </c>
    </row>
    <row r="9507" customFormat="false" ht="15" hidden="false" customHeight="false" outlineLevel="0" collapsed="false">
      <c r="A9507" s="1" t="s">
        <v>1218</v>
      </c>
      <c r="B9507" s="1" t="s">
        <v>279</v>
      </c>
      <c r="F9507" s="8" t="n">
        <f aca="false">Sens!F9356-base_fy-v_off</f>
        <v>0.747945205479452</v>
      </c>
      <c r="G9507" s="8" t="n">
        <f aca="false">Sens!G9356-base_fy-v_off</f>
        <v>1.74794520547945</v>
      </c>
      <c r="H9507" s="8" t="n">
        <f aca="false">Sens!H9356-base_fy-v_off</f>
        <v>2.74794520547945</v>
      </c>
      <c r="I9507" s="8" t="n">
        <f aca="false">Sens!I9356-base_fy-v_off</f>
        <v>3.74794520547945</v>
      </c>
      <c r="J9507" s="8" t="n">
        <f aca="false">Sens!J9356-base_fy-v_off</f>
        <v>4.74794520547945</v>
      </c>
      <c r="K9507" s="8" t="n">
        <f aca="false">Sens!K9356-base_fy-v_off</f>
        <v>5.74794520547945</v>
      </c>
    </row>
    <row r="9508" customFormat="false" ht="15" hidden="false" customHeight="false" outlineLevel="0" collapsed="false">
      <c r="A9508" s="1" t="s">
        <v>1219</v>
      </c>
      <c r="B9508" s="0" t="s">
        <v>229</v>
      </c>
      <c r="F9508" s="15" t="n">
        <f aca="false">1/(1+wacc)^Sens!F9506</f>
        <v>0.964022703286649</v>
      </c>
      <c r="G9508" s="15" t="n">
        <f aca="false">1/(1+wacc)^Sens!G9506</f>
        <v>0.884910302296739</v>
      </c>
      <c r="H9508" s="15" t="n">
        <f aca="false">1/(1+wacc)^Sens!H9506</f>
        <v>0.802322009770358</v>
      </c>
      <c r="I9508" s="15" t="n">
        <f aca="false">1/(1+wacc)^Sens!I9506</f>
        <v>0.727441646561469</v>
      </c>
      <c r="J9508" s="15" t="n">
        <f aca="false">1/(1+wacc)^Sens!J9506</f>
        <v>0.659549834988973</v>
      </c>
      <c r="K9508" s="15" t="n">
        <f aca="false">1/(1+wacc)^Sens!K9506</f>
        <v>0.597994336576966</v>
      </c>
    </row>
    <row r="9509" customFormat="false" ht="17.15" hidden="false" customHeight="false" outlineLevel="0" collapsed="false">
      <c r="A9509" s="1" t="s">
        <v>1220</v>
      </c>
      <c r="B9509" s="0" t="s">
        <v>98</v>
      </c>
      <c r="F9509" s="6" t="n">
        <f aca="false">Q!$I$35-Q!$I$39-Q!$I$43</f>
        <v>9.666</v>
      </c>
      <c r="L9509" s="12" t="s">
        <v>1221</v>
      </c>
    </row>
    <row r="9510" customFormat="false" ht="17.15" hidden="false" customHeight="false" outlineLevel="0" collapsed="false">
      <c r="A9510" s="1" t="s">
        <v>1222</v>
      </c>
      <c r="B9510" s="0" t="s">
        <v>98</v>
      </c>
      <c r="F9510" s="6" t="n">
        <f aca="false">Sens!F9481-Sens!F9478-Sens!F9485+Sens!F9463*(1-tax_f)*(1-v_off)-Sens!F9509</f>
        <v>-3.48997509952772</v>
      </c>
      <c r="G9510" s="6" t="n">
        <f aca="false">Sens!G9481-Sens!G9478-Sens!G9485+Sens!G9463*(1-tax_f)</f>
        <v>29.4572928238404</v>
      </c>
      <c r="H9510" s="6" t="n">
        <f aca="false">Sens!H9481-Sens!H9478-Sens!H9485+Sens!H9463*(1-tax_f)</f>
        <v>78.4488343648426</v>
      </c>
      <c r="I9510" s="6" t="n">
        <f aca="false">Sens!I9481-Sens!I9478-Sens!I9485+Sens!I9463*(1-tax_f)</f>
        <v>155.570541712702</v>
      </c>
      <c r="J9510" s="6" t="n">
        <f aca="false">Sens!J9481-Sens!J9478-Sens!J9485+Sens!J9463*(1-tax_f)</f>
        <v>232.594892662021</v>
      </c>
      <c r="K9510" s="6" t="n">
        <f aca="false">Sens!K9481-Sens!K9478-Sens!K9485+Sens!K9463*(1-tax_f)</f>
        <v>269.149132565362</v>
      </c>
      <c r="L9510" s="1" t="s">
        <v>1223</v>
      </c>
    </row>
    <row r="9511" customFormat="false" ht="15" hidden="false" customHeight="false" outlineLevel="0" collapsed="false">
      <c r="A9511" s="1" t="s">
        <v>1224</v>
      </c>
      <c r="B9511" s="0" t="s">
        <v>98</v>
      </c>
      <c r="F9511" s="6" t="n">
        <f aca="false">Sens!F9510*Sens!F9508</f>
        <v>-3.3644152298498</v>
      </c>
      <c r="G9511" s="6" t="n">
        <f aca="false">Sens!G9510*Sens!G9508</f>
        <v>26.0670618975882</v>
      </c>
      <c r="H9511" s="6" t="n">
        <f aca="false">Sens!H9510*Sens!H9508</f>
        <v>62.9412264517424</v>
      </c>
      <c r="I9511" s="6" t="n">
        <f aca="false">Sens!I9510*Sens!I9508</f>
        <v>113.168491019948</v>
      </c>
      <c r="J9511" s="6" t="n">
        <f aca="false">Sens!J9510*Sens!J9508</f>
        <v>153.407923074514</v>
      </c>
      <c r="K9511" s="6" t="n">
        <f aca="false">Sens!K9510*Sens!K9508</f>
        <v>160.949656968689</v>
      </c>
    </row>
    <row r="9512" customFormat="false" ht="17.15" hidden="false" customHeight="false" outlineLevel="0" collapsed="false">
      <c r="A9512" s="1" t="s">
        <v>1225</v>
      </c>
      <c r="B9512" s="0" t="s">
        <v>98</v>
      </c>
      <c r="C9512" s="6" t="n">
        <f aca="false">SUM(Sens!F9511:K9511)</f>
        <v>513.169944182632</v>
      </c>
    </row>
    <row r="9513" customFormat="false" ht="17.15" hidden="false" customHeight="false" outlineLevel="0" collapsed="false">
      <c r="A9513" s="1" t="s">
        <v>1226</v>
      </c>
      <c r="B9513" s="0" t="s">
        <v>98</v>
      </c>
      <c r="C9513" s="6" t="n">
        <f aca="false">Sens!K9449*(1+g_tv)*(1-tax_f)</f>
        <v>277.809782117748</v>
      </c>
    </row>
    <row r="9514" customFormat="false" ht="17.15" hidden="false" customHeight="false" outlineLevel="0" collapsed="false">
      <c r="A9514" s="1" t="s">
        <v>1227</v>
      </c>
      <c r="B9514" s="0" t="s">
        <v>98</v>
      </c>
      <c r="C9514" s="6" t="n">
        <f aca="false">Sens!$C$9513*(1-g_tv/(wacc+ronic_prem))</f>
        <v>196.844467578264</v>
      </c>
    </row>
    <row r="9515" customFormat="false" ht="17.15" hidden="false" customHeight="false" outlineLevel="0" collapsed="false">
      <c r="A9515" s="1" t="s">
        <v>1228</v>
      </c>
      <c r="B9515" s="0" t="s">
        <v>98</v>
      </c>
      <c r="C9515" s="6" t="n">
        <f aca="false">Sens!$C$9514/(wacc-g_tv)</f>
        <v>2698.84381798278</v>
      </c>
    </row>
    <row r="9516" customFormat="false" ht="15" hidden="false" customHeight="false" outlineLevel="0" collapsed="false">
      <c r="A9516" s="1" t="s">
        <v>1229</v>
      </c>
      <c r="B9516" s="0" t="s">
        <v>98</v>
      </c>
      <c r="C9516" s="6" t="n">
        <f aca="false">Sens!$C$9515/(1+wacc)^Sens!K9507</f>
        <v>1536.73701120572</v>
      </c>
    </row>
    <row r="9517" customFormat="false" ht="17.15" hidden="false" customHeight="false" outlineLevel="0" collapsed="false">
      <c r="A9517" s="0" t="s">
        <v>1230</v>
      </c>
      <c r="B9517" s="0" t="s">
        <v>98</v>
      </c>
      <c r="C9517" s="6" t="n">
        <f aca="false">Sens!$C$9512+Sens!$C$9516</f>
        <v>2049.90695538836</v>
      </c>
    </row>
    <row r="9518" customFormat="false" ht="15" hidden="false" customHeight="false" outlineLevel="0" collapsed="false">
      <c r="A9518" s="1" t="s">
        <v>1145</v>
      </c>
      <c r="B9518" s="0" t="s">
        <v>168</v>
      </c>
      <c r="C9518" s="7" t="n">
        <f aca="false">Sens!$C$9516/Sens!$C$9517</f>
        <v>0.749661835707362</v>
      </c>
    </row>
    <row r="9519" customFormat="false" ht="17.15" hidden="false" customHeight="false" outlineLevel="0" collapsed="false">
      <c r="A9519" s="1" t="s">
        <v>1231</v>
      </c>
      <c r="B9519" s="0" t="s">
        <v>98</v>
      </c>
      <c r="C9519" s="6" t="n">
        <f aca="false">Sens!$C$9517+cash_val-debt_val-fl_val+oai_v</f>
        <v>2165.75795538836</v>
      </c>
    </row>
    <row r="9520" customFormat="false" ht="17.15" hidden="false" customHeight="false" outlineLevel="0" collapsed="false">
      <c r="A9520" s="0" t="s">
        <v>1153</v>
      </c>
      <c r="B9520" s="0" t="s">
        <v>75</v>
      </c>
      <c r="C9520" s="5" t="n">
        <f aca="false">Sens!$C$9519/shd_val</f>
        <v>290.86193330491</v>
      </c>
    </row>
    <row r="9521" customFormat="false" ht="15" hidden="false" customHeight="false" outlineLevel="0" collapsed="false">
      <c r="A9521" s="1" t="s">
        <v>1232</v>
      </c>
      <c r="B9521" s="0" t="s">
        <v>75</v>
      </c>
      <c r="C9521" s="8" t="n">
        <f aca="false">div_rem27+Sens!G9489*roll_div_q/q_per_yr</f>
        <v>3.9795</v>
      </c>
    </row>
    <row r="9522" customFormat="false" ht="17.15" hidden="false" customHeight="false" outlineLevel="0" collapsed="false">
      <c r="A9522" s="0" t="s">
        <v>1233</v>
      </c>
      <c r="B9522" s="0" t="s">
        <v>75</v>
      </c>
      <c r="C9522" s="5" t="n">
        <f aca="false">Sens!$C$9520*(1+wacc)^t_roll-Sens!$C$9521</f>
        <v>319.329772089254</v>
      </c>
    </row>
    <row r="9523" customFormat="false" ht="17.15" hidden="false" customHeight="false" outlineLevel="0" collapsed="false">
      <c r="A9523" s="1" t="s">
        <v>1234</v>
      </c>
      <c r="B9523" s="0" t="s">
        <v>168</v>
      </c>
      <c r="F9523" s="7" t="n">
        <f aca="false">Sens!F9475/(Sens!F9420-Sens!F9375)</f>
        <v>0.0686773755123271</v>
      </c>
      <c r="G9523" s="7" t="n">
        <f aca="false">Sens!G9475/(Sens!G9420-Sens!G9375)</f>
        <v>0.0659830274261803</v>
      </c>
      <c r="H9523" s="7" t="n">
        <f aca="false">Sens!H9475/(Sens!H9420-Sens!H9375)</f>
        <v>0.0646568267646406</v>
      </c>
      <c r="I9523" s="7" t="n">
        <f aca="false">Sens!I9475/(Sens!I9420-Sens!I9375)</f>
        <v>0.0645715076085011</v>
      </c>
      <c r="J9523" s="7" t="n">
        <f aca="false">Sens!J9475/(Sens!J9420-Sens!J9375)</f>
        <v>0.0654388961907723</v>
      </c>
      <c r="K9523" s="7" t="n">
        <f aca="false">Sens!K9475/(Sens!K9420-Sens!K9375)</f>
        <v>0.0668979942613621</v>
      </c>
    </row>
    <row r="9524" customFormat="false" ht="17.15" hidden="false" customHeight="false" outlineLevel="0" collapsed="false">
      <c r="A9524" s="0" t="s">
        <v>1235</v>
      </c>
      <c r="B9524" s="0" t="s">
        <v>98</v>
      </c>
      <c r="F9524" s="6" t="n">
        <f aca="false">Sens!F9405*(al_m365+Sens!F9523+sbc_r)</f>
        <v>83.7274171026559</v>
      </c>
      <c r="G9524" s="6" t="n">
        <f aca="false">Sens!G9405*(al_m365+Sens!G9523+sbc_r)</f>
        <v>96.1505904008809</v>
      </c>
      <c r="H9524" s="6" t="n">
        <f aca="false">Sens!H9405*(al_m365+Sens!H9523+sbc_r)</f>
        <v>108.744939601875</v>
      </c>
      <c r="I9524" s="6" t="n">
        <f aca="false">Sens!I9405*(al_m365+Sens!I9523+sbc_r)</f>
        <v>120.329328767385</v>
      </c>
      <c r="J9524" s="6" t="n">
        <f aca="false">Sens!J9405*(al_m365+Sens!J9523+sbc_r)</f>
        <v>130.714761261961</v>
      </c>
      <c r="K9524" s="6" t="n">
        <f aca="false">Sens!K9405*(al_m365+Sens!K9523+sbc_r)</f>
        <v>140.715065019374</v>
      </c>
      <c r="L9524" s="12" t="s">
        <v>1236</v>
      </c>
    </row>
    <row r="9525" customFormat="false" ht="17.15" hidden="false" customHeight="false" outlineLevel="0" collapsed="false">
      <c r="A9525" s="0" t="s">
        <v>1237</v>
      </c>
      <c r="B9525" s="0" t="s">
        <v>98</v>
      </c>
      <c r="F9525" s="6" t="n">
        <f aca="false">Sens!F9406*(al_lic+Sens!F9523+sbc_r)</f>
        <v>32.8599847105985</v>
      </c>
      <c r="G9525" s="6" t="n">
        <f aca="false">Sens!G9406*(al_lic+Sens!G9523+sbc_r)</f>
        <v>34.1436150297706</v>
      </c>
      <c r="H9525" s="6" t="n">
        <f aca="false">Sens!H9406*(al_lic+Sens!H9523+sbc_r)</f>
        <v>35.3436609216039</v>
      </c>
      <c r="I9525" s="6" t="n">
        <f aca="false">Sens!I9406*(al_lic+Sens!I9523+sbc_r)</f>
        <v>36.4417491262934</v>
      </c>
      <c r="J9525" s="6" t="n">
        <f aca="false">Sens!J9406*(al_lic+Sens!J9523+sbc_r)</f>
        <v>37.4122015773954</v>
      </c>
      <c r="K9525" s="6" t="n">
        <f aca="false">Sens!K9406*(al_lic+Sens!K9523+sbc_r)</f>
        <v>38.2257345747056</v>
      </c>
    </row>
    <row r="9526" customFormat="false" ht="17.15" hidden="false" customHeight="false" outlineLevel="0" collapsed="false">
      <c r="A9526" s="0" t="s">
        <v>1238</v>
      </c>
      <c r="B9526" s="0" t="s">
        <v>98</v>
      </c>
      <c r="F9526" s="6" t="n">
        <f aca="false">Sens!F9408*(al_ind+Sens!F9523+sbc_r)</f>
        <v>9.06170707850718</v>
      </c>
      <c r="G9526" s="6" t="n">
        <f aca="false">Sens!G9408*(al_ind+Sens!G9523+sbc_r)</f>
        <v>9.83984194196229</v>
      </c>
      <c r="H9526" s="6" t="n">
        <f aca="false">Sens!H9408*(al_ind+Sens!H9523+sbc_r)</f>
        <v>10.6641052010675</v>
      </c>
      <c r="I9526" s="6" t="n">
        <f aca="false">Sens!I9408*(al_ind+Sens!I9523+sbc_r)</f>
        <v>11.5314428765139</v>
      </c>
      <c r="J9526" s="6" t="n">
        <f aca="false">Sens!J9408*(al_ind+Sens!J9523+sbc_r)</f>
        <v>12.4320767113081</v>
      </c>
      <c r="K9526" s="6" t="n">
        <f aca="false">Sens!K9408*(al_ind+Sens!K9523+sbc_r)</f>
        <v>13.3505056893097</v>
      </c>
    </row>
    <row r="9527" customFormat="false" ht="17.15" hidden="false" customHeight="false" outlineLevel="0" collapsed="false">
      <c r="A9527" s="0" t="s">
        <v>1239</v>
      </c>
      <c r="B9527" s="0" t="s">
        <v>98</v>
      </c>
      <c r="F9527" s="6" t="n">
        <f aca="false">Sens!F9410*(al_fro+Sens!F9523+sbc_r)</f>
        <v>3.55453554235432</v>
      </c>
      <c r="G9527" s="6" t="n">
        <f aca="false">Sens!G9410*(al_fro+Sens!G9523+sbc_r)</f>
        <v>3.76501191280686</v>
      </c>
      <c r="H9527" s="6" t="n">
        <f aca="false">Sens!H9410*(al_fro+Sens!H9523+sbc_r)</f>
        <v>4.0048720125662</v>
      </c>
      <c r="I9527" s="6" t="n">
        <f aca="false">Sens!I9410*(al_fro+Sens!I9523+sbc_r)</f>
        <v>4.27687351896684</v>
      </c>
      <c r="J9527" s="6" t="n">
        <f aca="false">Sens!J9410*(al_fro+Sens!J9523+sbc_r)</f>
        <v>4.58215310374472</v>
      </c>
      <c r="K9527" s="6" t="n">
        <f aca="false">Sens!K9410*(al_fro+Sens!K9523+sbc_r)</f>
        <v>4.92066309606894</v>
      </c>
    </row>
    <row r="9528" customFormat="false" ht="17.15" hidden="false" customHeight="false" outlineLevel="0" collapsed="false">
      <c r="A9528" s="0" t="s">
        <v>1240</v>
      </c>
      <c r="B9528" s="0" t="s">
        <v>98</v>
      </c>
      <c r="F9528" s="6" t="n">
        <f aca="false">Sens!F9413*(al_srch+Sens!F9523+sbc_r)</f>
        <v>11.1906834581738</v>
      </c>
      <c r="G9528" s="6" t="n">
        <f aca="false">Sens!G9413*(al_srch+Sens!G9523+sbc_r)</f>
        <v>12.2662903505473</v>
      </c>
      <c r="H9528" s="6" t="n">
        <f aca="false">Sens!H9413*(al_srch+Sens!H9523+sbc_r)</f>
        <v>13.388386557376</v>
      </c>
      <c r="I9528" s="6" t="n">
        <f aca="false">Sens!I9413*(al_srch+Sens!I9523+sbc_r)</f>
        <v>14.5463262637808</v>
      </c>
      <c r="J9528" s="6" t="n">
        <f aca="false">Sens!J9413*(al_srch+Sens!J9523+sbc_r)</f>
        <v>15.7200186703509</v>
      </c>
      <c r="K9528" s="6" t="n">
        <f aca="false">Sens!K9413*(al_srch+Sens!K9523+sbc_r)</f>
        <v>16.8813468230677</v>
      </c>
    </row>
    <row r="9529" customFormat="false" ht="17.15" hidden="false" customHeight="false" outlineLevel="0" collapsed="false">
      <c r="A9529" s="0" t="s">
        <v>1241</v>
      </c>
      <c r="B9529" s="0" t="s">
        <v>98</v>
      </c>
      <c r="F9529" s="6" t="n">
        <f aca="false">Sens!F9381-Sens!F9382+Sens!F9463</f>
        <v>42.5431090240393</v>
      </c>
      <c r="G9529" s="6" t="n">
        <f aca="false">Sens!G9381-Sens!G9382+Sens!G9463</f>
        <v>81.4922561130847</v>
      </c>
      <c r="H9529" s="6" t="n">
        <f aca="false">Sens!H9381-Sens!H9382+Sens!H9463</f>
        <v>123.278266211349</v>
      </c>
      <c r="I9529" s="6" t="n">
        <f aca="false">Sens!I9381-Sens!I9382+Sens!I9463</f>
        <v>160.60594185192</v>
      </c>
      <c r="J9529" s="6" t="n">
        <f aca="false">Sens!J9381-Sens!J9382+Sens!J9463</f>
        <v>186.818741832633</v>
      </c>
      <c r="K9529" s="6" t="n">
        <f aca="false">Sens!K9381-Sens!K9382+Sens!K9463</f>
        <v>202.776422159652</v>
      </c>
    </row>
    <row r="9530" customFormat="false" ht="17.15" hidden="false" customHeight="false" outlineLevel="0" collapsed="false">
      <c r="A9530" s="0" t="s">
        <v>1242</v>
      </c>
      <c r="B9530" s="0" t="s">
        <v>98</v>
      </c>
      <c r="F9530" s="6" t="n">
        <f aca="false">Sens!F9442+Sens!F9463+Sens!F9393+Sens!F9523*(Sens!F9412-Sens!F9375)+sbc_r*Sens!F9412</f>
        <v>237.913217427434</v>
      </c>
      <c r="G9530" s="6" t="n">
        <f aca="false">Sens!G9442+Sens!G9463+Sens!G9393+Sens!G9523*(Sens!G9412-Sens!G9375)+sbc_r*Sens!G9412</f>
        <v>299.105448620988</v>
      </c>
      <c r="H9530" s="6" t="n">
        <f aca="false">Sens!H9442+Sens!H9463+Sens!H9393+Sens!H9523*(Sens!H9412-Sens!H9375)+sbc_r*Sens!H9412</f>
        <v>367.486814976289</v>
      </c>
      <c r="I9530" s="6" t="n">
        <f aca="false">Sens!I9442+Sens!I9463+Sens!I9393+Sens!I9523*(Sens!I9412-Sens!I9375)+sbc_r*Sens!I9412</f>
        <v>429.329571049157</v>
      </c>
      <c r="J9530" s="6" t="n">
        <f aca="false">Sens!J9442+Sens!J9463+Sens!J9393+Sens!J9523*(Sens!J9412-Sens!J9375)+sbc_r*Sens!J9412</f>
        <v>476.8041970626</v>
      </c>
      <c r="K9530" s="6" t="n">
        <f aca="false">Sens!K9442+Sens!K9463+Sens!K9393+Sens!K9523*(Sens!K9412-Sens!K9375)+sbc_r*Sens!K9412</f>
        <v>510.821893908048</v>
      </c>
    </row>
    <row r="9531" customFormat="false" ht="17.15" hidden="false" customHeight="false" outlineLevel="0" collapsed="false">
      <c r="A9531" s="0" t="s">
        <v>1243</v>
      </c>
      <c r="B9531" s="0" t="s">
        <v>98</v>
      </c>
      <c r="F9531" s="6" t="n">
        <f aca="false">Sens!F9530-Sens!F9524-Sens!F9525-Sens!F9526-Sens!F9527-Sens!F9529</f>
        <v>66.1664639692789</v>
      </c>
      <c r="G9531" s="6" t="n">
        <f aca="false">Sens!G9530-Sens!G9524-Sens!G9525-Sens!G9526-Sens!G9527-Sens!G9529</f>
        <v>73.7141332224826</v>
      </c>
      <c r="H9531" s="6" t="n">
        <f aca="false">Sens!H9530-Sens!H9524-Sens!H9525-Sens!H9526-Sens!H9527-Sens!H9529</f>
        <v>85.4509710278275</v>
      </c>
      <c r="I9531" s="6" t="n">
        <f aca="false">Sens!I9530-Sens!I9524-Sens!I9525-Sens!I9526-Sens!I9527-Sens!I9529</f>
        <v>96.1442349080777</v>
      </c>
      <c r="J9531" s="6" t="n">
        <f aca="false">Sens!J9530-Sens!J9524-Sens!J9525-Sens!J9526-Sens!J9527-Sens!J9529</f>
        <v>104.844262575557</v>
      </c>
      <c r="K9531" s="6" t="n">
        <f aca="false">Sens!K9530-Sens!K9524-Sens!K9525-Sens!K9526-Sens!K9527-Sens!K9529</f>
        <v>110.833503368938</v>
      </c>
    </row>
    <row r="9532" customFormat="false" ht="17.15" hidden="false" customHeight="false" outlineLevel="0" collapsed="false">
      <c r="A9532" s="0" t="s">
        <v>1244</v>
      </c>
      <c r="B9532" s="0" t="s">
        <v>98</v>
      </c>
      <c r="F9532" s="6" t="n">
        <f aca="false">Sens!F9444+Sens!F9523*Sens!F9419+sbc_r*Sens!F9419</f>
        <v>26.6373538253405</v>
      </c>
      <c r="G9532" s="6" t="n">
        <f aca="false">Sens!G9444+Sens!G9523*Sens!G9419+sbc_r*Sens!G9419</f>
        <v>26.4820054635698</v>
      </c>
      <c r="H9532" s="6" t="n">
        <f aca="false">Sens!H9444+Sens!H9523*Sens!H9419+sbc_r*Sens!H9419</f>
        <v>27.3651578094117</v>
      </c>
      <c r="I9532" s="6" t="n">
        <f aca="false">Sens!I9444+Sens!I9523*Sens!I9419+sbc_r*Sens!I9419</f>
        <v>28.486358787895</v>
      </c>
      <c r="J9532" s="6" t="n">
        <f aca="false">Sens!J9444+Sens!J9523*Sens!J9419+sbc_r*Sens!J9419</f>
        <v>29.8103046995659</v>
      </c>
      <c r="K9532" s="6" t="n">
        <f aca="false">Sens!K9444+Sens!K9523*Sens!K9419+sbc_r*Sens!K9419</f>
        <v>31.2991445411511</v>
      </c>
    </row>
    <row r="9533" customFormat="false" ht="17.15" hidden="false" customHeight="false" outlineLevel="0" collapsed="false">
      <c r="A9533" s="0" t="s">
        <v>1245</v>
      </c>
      <c r="B9533" s="0" t="s">
        <v>98</v>
      </c>
      <c r="F9533" s="6" t="n">
        <f aca="false">(Sens!F9532-Sens!F9528)*Sens!F9415/(Sens!F9415+Sens!F9417)</f>
        <v>8.72405573250759</v>
      </c>
      <c r="G9533" s="6" t="n">
        <f aca="false">(Sens!G9532-Sens!G9528)*Sens!G9415/(Sens!G9415+Sens!G9417)</f>
        <v>7.89084424876737</v>
      </c>
      <c r="H9533" s="6" t="n">
        <f aca="false">(Sens!H9532-Sens!H9528)*Sens!H9415/(Sens!H9415+Sens!H9417)</f>
        <v>7.65714501516651</v>
      </c>
      <c r="I9533" s="6" t="n">
        <f aca="false">(Sens!I9532-Sens!I9528)*Sens!I9415/(Sens!I9415+Sens!I9417)</f>
        <v>7.57035842146657</v>
      </c>
      <c r="J9533" s="6" t="n">
        <f aca="false">(Sens!J9532-Sens!J9528)*Sens!J9415/(Sens!J9415+Sens!J9417)</f>
        <v>7.61857087728211</v>
      </c>
      <c r="K9533" s="6" t="n">
        <f aca="false">(Sens!K9532-Sens!K9528)*Sens!K9415/(Sens!K9415+Sens!K9417)</f>
        <v>7.79565536013854</v>
      </c>
    </row>
    <row r="9534" customFormat="false" ht="17.15" hidden="false" customHeight="false" outlineLevel="0" collapsed="false">
      <c r="A9534" s="0" t="s">
        <v>1246</v>
      </c>
      <c r="B9534" s="0" t="s">
        <v>98</v>
      </c>
      <c r="F9534" s="6" t="n">
        <f aca="false">Sens!F9532-Sens!F9528-Sens!F9533</f>
        <v>6.72261463465905</v>
      </c>
      <c r="G9534" s="6" t="n">
        <f aca="false">Sens!G9532-Sens!G9528-Sens!G9533</f>
        <v>6.32487086425511</v>
      </c>
      <c r="H9534" s="6" t="n">
        <f aca="false">Sens!H9532-Sens!H9528-Sens!H9533</f>
        <v>6.31962623686911</v>
      </c>
      <c r="I9534" s="6" t="n">
        <f aca="false">Sens!I9532-Sens!I9528-Sens!I9533</f>
        <v>6.3696741026476</v>
      </c>
      <c r="J9534" s="6" t="n">
        <f aca="false">Sens!J9532-Sens!J9528-Sens!J9533</f>
        <v>6.47171515193284</v>
      </c>
      <c r="K9534" s="6" t="n">
        <f aca="false">Sens!K9532-Sens!K9528-Sens!K9533</f>
        <v>6.62214235794486</v>
      </c>
    </row>
    <row r="9535" customFormat="false" ht="17.15" hidden="false" customHeight="false" outlineLevel="0" collapsed="false">
      <c r="A9535" s="0" t="s">
        <v>1247</v>
      </c>
      <c r="B9535" s="0" t="s">
        <v>98</v>
      </c>
      <c r="F9535" s="6" t="n">
        <f aca="false">Sens!F9529-tax_f*(Sens!F9529-Sens!F9393)-Sens!F9390</f>
        <v>-127.503553927218</v>
      </c>
      <c r="G9535" s="6" t="n">
        <f aca="false">Sens!G9529-tax_f*(Sens!G9529-Sens!G9393)-Sens!G9390</f>
        <v>-114.603772628121</v>
      </c>
      <c r="H9535" s="6" t="n">
        <f aca="false">Sens!H9529-tax_f*(Sens!H9529-Sens!H9393)-Sens!H9390</f>
        <v>-80.3633729631438</v>
      </c>
      <c r="I9535" s="6" t="n">
        <f aca="false">Sens!I9529-tax_f*(Sens!I9529-Sens!I9393)-Sens!I9390</f>
        <v>-17.2838782011649</v>
      </c>
      <c r="J9535" s="6" t="n">
        <f aca="false">Sens!J9529-tax_f*(Sens!J9529-Sens!J9393)-Sens!J9390</f>
        <v>46.9281968800854</v>
      </c>
      <c r="K9535" s="6" t="n">
        <f aca="false">Sens!K9529-tax_f*(Sens!K9529-Sens!K9393)-Sens!K9390</f>
        <v>71.8608185731755</v>
      </c>
    </row>
    <row r="9536" customFormat="false" ht="17.15" hidden="false" customHeight="false" outlineLevel="0" collapsed="false">
      <c r="A9536" s="0" t="s">
        <v>1248</v>
      </c>
      <c r="B9536" s="0" t="s">
        <v>98</v>
      </c>
      <c r="G9536" s="6" t="n">
        <f aca="false">Sens!G9535/(1+wacc)^(Sens!G9506-Sens!F9507)</f>
        <v>-109.124845494465</v>
      </c>
      <c r="H9536" s="6" t="n">
        <f aca="false">Sens!H9535/(1+wacc)^(Sens!H9506-Sens!F9507)</f>
        <v>-69.3796874071025</v>
      </c>
      <c r="I9536" s="6" t="n">
        <f aca="false">Sens!I9535/(1+wacc)^(Sens!I9506-Sens!F9507)</f>
        <v>-13.5289731380471</v>
      </c>
      <c r="J9536" s="6" t="n">
        <f aca="false">Sens!J9535/(1+wacc)^(Sens!J9506-Sens!F9507)</f>
        <v>33.3048099587126</v>
      </c>
      <c r="K9536" s="6" t="n">
        <f aca="false">Sens!K9535/(1+wacc)^(Sens!K9506-Sens!F9507)</f>
        <v>46.2396679904913</v>
      </c>
      <c r="L9536" s="1" t="s">
        <v>1249</v>
      </c>
    </row>
    <row r="9537" customFormat="false" ht="17.15" hidden="false" customHeight="false" outlineLevel="0" collapsed="false">
      <c r="A9537" s="0" t="s">
        <v>1250</v>
      </c>
      <c r="B9537" s="0" t="s">
        <v>98</v>
      </c>
      <c r="C9537" s="6" t="n">
        <f aca="false">(Sens!K9529-Sens!K9393)*(1-tax_f)*(1+g_tv)*(1-g_tv/(wacc+ronic_prem))/(wacc-g_tv)/(1+wacc)^(Sens!K9507-Sens!F9507)</f>
        <v>293.118051086843</v>
      </c>
    </row>
    <row r="9538" customFormat="false" ht="17.15" hidden="false" customHeight="false" outlineLevel="0" collapsed="false">
      <c r="A9538" s="1" t="s">
        <v>1251</v>
      </c>
      <c r="B9538" s="0" t="s">
        <v>98</v>
      </c>
      <c r="C9538" s="6" t="n">
        <f aca="false">(SUM(Sens!G9536:K9536)+Sens!$C$9537)*(1+wacc)^(t_roll-Sens!F9507)</f>
        <v>186.592133308255</v>
      </c>
      <c r="L9538" s="12" t="s">
        <v>1252</v>
      </c>
    </row>
    <row r="9539" customFormat="false" ht="17.15" hidden="false" customHeight="false" outlineLevel="0" collapsed="false">
      <c r="A9539" s="1" t="s">
        <v>1253</v>
      </c>
      <c r="B9539" s="0" t="s">
        <v>98</v>
      </c>
      <c r="C9539" s="6" t="n">
        <f aca="false">(w_ntm28*Sens!G9381+(1-w_ntm28)*Sens!H9381)*m_ai</f>
        <v>463.789109510335</v>
      </c>
    </row>
    <row r="9540" customFormat="false" ht="17.15" hidden="false" customHeight="false" outlineLevel="0" collapsed="false">
      <c r="A9540" s="1" t="s">
        <v>1254</v>
      </c>
      <c r="B9540" s="0" t="s">
        <v>98</v>
      </c>
      <c r="C9540" s="6" t="n">
        <f aca="false">(w_ntm28*Sens!G9531+(1-w_ntm28)*Sens!H9531)*m_cloud</f>
        <v>1072.05636720699</v>
      </c>
    </row>
    <row r="9541" customFormat="false" ht="17.15" hidden="false" customHeight="false" outlineLevel="0" collapsed="false">
      <c r="A9541" s="1" t="s">
        <v>1255</v>
      </c>
      <c r="B9541" s="0" t="s">
        <v>98</v>
      </c>
      <c r="C9541" s="6" t="n">
        <f aca="false">(w_ntm28*Sens!G9524+(1-w_ntm28)*Sens!H9524)*m_sw</f>
        <v>1083.14494225962</v>
      </c>
    </row>
    <row r="9542" customFormat="false" ht="17.15" hidden="false" customHeight="false" outlineLevel="0" collapsed="false">
      <c r="A9542" s="1" t="s">
        <v>1256</v>
      </c>
      <c r="B9542" s="0" t="s">
        <v>98</v>
      </c>
      <c r="C9542" s="6" t="n">
        <f aca="false">(w_ntm28*Sens!G9525+(1-w_ntm28)*Sens!H9525)*m_sw</f>
        <v>373.012027186772</v>
      </c>
    </row>
    <row r="9543" customFormat="false" ht="17.15" hidden="false" customHeight="false" outlineLevel="0" collapsed="false">
      <c r="A9543" s="1" t="s">
        <v>1257</v>
      </c>
      <c r="B9543" s="0" t="s">
        <v>98</v>
      </c>
      <c r="C9543" s="6" t="n">
        <f aca="false">(w_ntm28*Sens!G9526+(1-w_ntm28)*Sens!H9526)*m_sw</f>
        <v>109.196992106893</v>
      </c>
    </row>
    <row r="9544" customFormat="false" ht="17.15" hidden="false" customHeight="false" outlineLevel="0" collapsed="false">
      <c r="A9544" s="1" t="s">
        <v>1258</v>
      </c>
      <c r="B9544" s="0" t="s">
        <v>98</v>
      </c>
      <c r="C9544" s="6" t="n">
        <f aca="false">(w_ntm28*Sens!G9527+(1-w_ntm28)*Sens!H9527)*m_sw</f>
        <v>41.5137963001993</v>
      </c>
    </row>
    <row r="9545" customFormat="false" ht="17.15" hidden="false" customHeight="false" outlineLevel="0" collapsed="false">
      <c r="A9545" s="1" t="s">
        <v>1259</v>
      </c>
      <c r="B9545" s="0" t="s">
        <v>98</v>
      </c>
      <c r="C9545" s="6" t="n">
        <f aca="false">(w_ntm28*Sens!G9528+(1-w_ntm28)*Sens!H9528)*m_ads</f>
        <v>115.106660088843</v>
      </c>
    </row>
    <row r="9546" customFormat="false" ht="17.15" hidden="false" customHeight="false" outlineLevel="0" collapsed="false">
      <c r="A9546" s="1" t="s">
        <v>1260</v>
      </c>
      <c r="B9546" s="0" t="s">
        <v>98</v>
      </c>
      <c r="C9546" s="6" t="n">
        <f aca="false">(w_ntm28*Sens!G9533+(1-w_ntm28)*Sens!H9533)*m_game</f>
        <v>98.6909668113964</v>
      </c>
    </row>
    <row r="9547" customFormat="false" ht="17.15" hidden="false" customHeight="false" outlineLevel="0" collapsed="false">
      <c r="A9547" s="1" t="s">
        <v>1261</v>
      </c>
      <c r="B9547" s="0" t="s">
        <v>98</v>
      </c>
      <c r="C9547" s="6" t="n">
        <f aca="false">(w_ntm28*Sens!G9534+(1-w_ntm28)*Sens!H9534)*m_pc</f>
        <v>91.4959313482562</v>
      </c>
    </row>
    <row r="9548" customFormat="false" ht="17.15" hidden="false" customHeight="false" outlineLevel="0" collapsed="false">
      <c r="A9548" s="1" t="s">
        <v>1262</v>
      </c>
      <c r="B9548" s="0" t="s">
        <v>98</v>
      </c>
      <c r="C9548" s="6" t="n">
        <f aca="false">Sens!$C$9538+Sens!$C$9540+Sens!$C$9541+Sens!$C$9542+Sens!$C$9543+Sens!$C$9544+Sens!$C$9545+Sens!$C$9546+Sens!$C$9547</f>
        <v>3170.80981661723</v>
      </c>
    </row>
    <row r="9549" customFormat="false" ht="17.15" hidden="false" customHeight="false" outlineLevel="0" collapsed="false">
      <c r="A9549" s="1" t="s">
        <v>1263</v>
      </c>
      <c r="B9549" s="0" t="s">
        <v>98</v>
      </c>
      <c r="C9549" s="6" t="n">
        <f aca="false">(Sens!G9510-Sens!G9535)*t_stub</f>
        <v>47.7572299169515</v>
      </c>
      <c r="L9549" s="1" t="s">
        <v>1264</v>
      </c>
    </row>
    <row r="9550" customFormat="false" ht="17.15" hidden="false" customHeight="false" outlineLevel="0" collapsed="false">
      <c r="A9550" s="1" t="s">
        <v>1173</v>
      </c>
      <c r="B9550" s="0" t="s">
        <v>98</v>
      </c>
      <c r="C9550" s="6" t="n">
        <f aca="false">Sens!F9497+oai_v-Sens!F9486+Sens!$C$9549</f>
        <v>161.985499916951</v>
      </c>
      <c r="L9550" s="1" t="s">
        <v>1265</v>
      </c>
    </row>
    <row r="9551" customFormat="false" ht="17.15" hidden="false" customHeight="false" outlineLevel="0" collapsed="false">
      <c r="A9551" s="1" t="s">
        <v>1266</v>
      </c>
      <c r="B9551" s="0" t="s">
        <v>75</v>
      </c>
      <c r="C9551" s="5" t="n">
        <f aca="false">(Sens!$C$9548+Sens!$C$9550)/(Sens!F9499+dil_gap)-Sens!G9489*roll_div_q/q_per_yr</f>
        <v>443.584268564688</v>
      </c>
      <c r="L9551" s="1" t="s">
        <v>1267</v>
      </c>
    </row>
    <row r="9552" customFormat="false" ht="17.15" hidden="false" customHeight="false" outlineLevel="0" collapsed="false">
      <c r="A9552" s="1" t="s">
        <v>1268</v>
      </c>
      <c r="B9552" s="0" t="s">
        <v>75</v>
      </c>
      <c r="C9552" s="5" t="n">
        <f aca="false">w_dcf*Sens!$C$9522+(1-w_dcf)*Sens!$C$9551</f>
        <v>381.45702032697</v>
      </c>
    </row>
    <row r="9553" customFormat="false" ht="17.15" hidden="false" customHeight="false" outlineLevel="0" collapsed="false">
      <c r="A9553" s="3" t="s">
        <v>1850</v>
      </c>
    </row>
    <row r="9554" customFormat="false" ht="15" hidden="false" customHeight="false" outlineLevel="0" collapsed="false">
      <c r="A9554" s="4" t="s">
        <v>43</v>
      </c>
      <c r="B9554" s="4" t="s">
        <v>65</v>
      </c>
      <c r="C9554" s="23" t="s">
        <v>942</v>
      </c>
      <c r="D9554" s="23" t="s">
        <v>943</v>
      </c>
      <c r="E9554" s="23" t="s">
        <v>944</v>
      </c>
      <c r="F9554" s="23" t="s">
        <v>945</v>
      </c>
      <c r="G9554" s="23" t="s">
        <v>946</v>
      </c>
      <c r="H9554" s="23" t="s">
        <v>947</v>
      </c>
      <c r="I9554" s="23" t="s">
        <v>948</v>
      </c>
      <c r="J9554" s="23" t="s">
        <v>949</v>
      </c>
      <c r="K9554" s="23" t="s">
        <v>950</v>
      </c>
      <c r="L9554" s="4" t="s">
        <v>47</v>
      </c>
    </row>
    <row r="9555" customFormat="false" ht="17.15" hidden="false" customHeight="false" outlineLevel="0" collapsed="false">
      <c r="A9555" s="1" t="s">
        <v>951</v>
      </c>
      <c r="B9555" s="1" t="s">
        <v>279</v>
      </c>
      <c r="C9555" s="21" t="n">
        <v>2024</v>
      </c>
      <c r="D9555" s="21" t="n">
        <v>2025</v>
      </c>
      <c r="E9555" s="21" t="n">
        <v>2026</v>
      </c>
      <c r="F9555" s="21" t="n">
        <v>2027</v>
      </c>
      <c r="G9555" s="21" t="n">
        <v>2028</v>
      </c>
      <c r="H9555" s="21" t="n">
        <v>2029</v>
      </c>
      <c r="I9555" s="21" t="n">
        <v>2030</v>
      </c>
      <c r="J9555" s="21" t="n">
        <v>2031</v>
      </c>
      <c r="K9555" s="21" t="n">
        <v>2032</v>
      </c>
    </row>
    <row r="9556" customFormat="false" ht="17.15" hidden="false" customHeight="false" outlineLevel="0" collapsed="false">
      <c r="A9556" s="1" t="s">
        <v>952</v>
      </c>
      <c r="B9556" s="0" t="s">
        <v>459</v>
      </c>
      <c r="F9556" s="30" t="n">
        <f aca="false">pace</f>
        <v>2726.5351</v>
      </c>
      <c r="G9556" s="30" t="n">
        <f aca="false">pace</f>
        <v>2726.5351</v>
      </c>
      <c r="H9556" s="30" t="n">
        <f aca="false">pace</f>
        <v>2726.5351</v>
      </c>
      <c r="I9556" s="30" t="n">
        <f aca="false">pace+(g_tv*Sens!H9557-pace)*MIN(1,(Sens!I9555-pace_y0)/(pace_y1-pace_y0))</f>
        <v>1931.98611966667</v>
      </c>
      <c r="J9556" s="30" t="n">
        <f aca="false">pace+(g_tv*Sens!I9557-pace)*MIN(1,(Sens!J9555-pace_y0)/(pace_y1-pace_y0))</f>
        <v>1176.07686172667</v>
      </c>
      <c r="K9556" s="30" t="n">
        <f aca="false">pace+(g_tv*Sens!J9557-pace)*MIN(1,(Sens!K9555-pace_y0)/(pace_y1-pace_y0))</f>
        <v>436.1300484418</v>
      </c>
      <c r="L9556" s="12" t="s">
        <v>953</v>
      </c>
    </row>
    <row r="9557" customFormat="false" ht="17.15" hidden="false" customHeight="false" outlineLevel="0" collapsed="false">
      <c r="A9557" s="1" t="s">
        <v>954</v>
      </c>
      <c r="B9557" s="0" t="s">
        <v>459</v>
      </c>
      <c r="C9557" s="30" t="n">
        <f aca="false">mw_ext_24</f>
        <v>640</v>
      </c>
      <c r="D9557" s="30" t="n">
        <f aca="false">mw_ext_25</f>
        <v>1630</v>
      </c>
      <c r="E9557" s="30" t="n">
        <f aca="false">mw_ext_26</f>
        <v>3250</v>
      </c>
      <c r="F9557" s="30" t="n">
        <f aca="false">Sens!E9557+Sens!F9556</f>
        <v>5976.5351</v>
      </c>
      <c r="G9557" s="30" t="n">
        <f aca="false">Sens!F9557+Sens!G9556</f>
        <v>8703.0702</v>
      </c>
      <c r="H9557" s="30" t="n">
        <f aca="false">Sens!G9557+Sens!H9556</f>
        <v>11429.6053</v>
      </c>
      <c r="I9557" s="30" t="n">
        <f aca="false">Sens!H9557+Sens!I9556</f>
        <v>13361.5914196667</v>
      </c>
      <c r="J9557" s="30" t="n">
        <f aca="false">Sens!I9557+Sens!J9556</f>
        <v>14537.6682813933</v>
      </c>
      <c r="K9557" s="30" t="n">
        <f aca="false">Sens!J9557+Sens!K9556</f>
        <v>14973.7983298351</v>
      </c>
      <c r="L9557" s="1" t="s">
        <v>955</v>
      </c>
    </row>
    <row r="9558" customFormat="false" ht="17.15" hidden="false" customHeight="false" outlineLevel="0" collapsed="false">
      <c r="A9558" s="1" t="s">
        <v>956</v>
      </c>
      <c r="B9558" s="0" t="s">
        <v>459</v>
      </c>
      <c r="C9558" s="30" t="n">
        <f aca="false">rent_ext_24</f>
        <v>150</v>
      </c>
      <c r="D9558" s="30" t="n">
        <f aca="false">rent_ext_25</f>
        <v>400</v>
      </c>
      <c r="E9558" s="30" t="n">
        <f aca="false">rent_ext_26</f>
        <v>550</v>
      </c>
      <c r="F9558" s="30" t="n">
        <f aca="false">rent_ext_f</f>
        <v>756</v>
      </c>
      <c r="G9558" s="30" t="n">
        <f aca="false">rent_ext_f</f>
        <v>756</v>
      </c>
      <c r="H9558" s="30" t="n">
        <f aca="false">rent_ext_f</f>
        <v>756</v>
      </c>
      <c r="I9558" s="30" t="n">
        <f aca="false">rent_ext_f</f>
        <v>756</v>
      </c>
      <c r="J9558" s="30" t="n">
        <f aca="false">rent_ext_f</f>
        <v>756</v>
      </c>
      <c r="K9558" s="30" t="n">
        <f aca="false">rent_ext_f</f>
        <v>756</v>
      </c>
      <c r="L9558" s="1" t="s">
        <v>957</v>
      </c>
    </row>
    <row r="9559" customFormat="false" ht="17.15" hidden="false" customHeight="false" outlineLevel="0" collapsed="false">
      <c r="A9559" s="1" t="s">
        <v>958</v>
      </c>
      <c r="B9559" s="0" t="s">
        <v>459</v>
      </c>
      <c r="C9559" s="30" t="n">
        <f aca="false">Sens!C9557-Sens!C9558</f>
        <v>490</v>
      </c>
      <c r="D9559" s="30" t="n">
        <f aca="false">Sens!D9557-Sens!D9558</f>
        <v>1230</v>
      </c>
      <c r="E9559" s="30" t="n">
        <f aca="false">Sens!E9557-Sens!E9558</f>
        <v>2700</v>
      </c>
      <c r="F9559" s="30" t="n">
        <f aca="false">Sens!F9557-Sens!F9558</f>
        <v>5220.5351</v>
      </c>
      <c r="G9559" s="30" t="n">
        <f aca="false">Sens!G9557-Sens!G9558</f>
        <v>7947.0702</v>
      </c>
      <c r="H9559" s="30" t="n">
        <f aca="false">Sens!H9557-Sens!H9558</f>
        <v>10673.6053</v>
      </c>
      <c r="I9559" s="30" t="n">
        <f aca="false">Sens!I9557-Sens!I9558</f>
        <v>12605.5914196667</v>
      </c>
      <c r="J9559" s="30" t="n">
        <f aca="false">Sens!J9557-Sens!J9558</f>
        <v>13781.6682813933</v>
      </c>
      <c r="K9559" s="30" t="n">
        <f aca="false">Sens!K9557-Sens!K9558</f>
        <v>14217.7983298351</v>
      </c>
    </row>
    <row r="9560" customFormat="false" ht="17.15" hidden="false" customHeight="false" outlineLevel="0" collapsed="false">
      <c r="A9560" s="1" t="s">
        <v>959</v>
      </c>
      <c r="B9560" s="0" t="s">
        <v>459</v>
      </c>
      <c r="C9560" s="30" t="n">
        <f aca="false">Sens!C9559/ext_sh</f>
        <v>816.666666666667</v>
      </c>
      <c r="D9560" s="30" t="n">
        <f aca="false">Sens!D9559/ext_sh</f>
        <v>2050</v>
      </c>
      <c r="E9560" s="30" t="n">
        <f aca="false">Sens!E9559/ext_sh</f>
        <v>4500</v>
      </c>
      <c r="F9560" s="30" t="n">
        <f aca="false">Sens!F9559/ext_sh</f>
        <v>8700.89183333333</v>
      </c>
      <c r="G9560" s="30" t="n">
        <f aca="false">Sens!G9559/ext_sh</f>
        <v>13245.117</v>
      </c>
      <c r="H9560" s="30" t="n">
        <f aca="false">Sens!H9559/ext_sh</f>
        <v>17789.3421666667</v>
      </c>
      <c r="I9560" s="30" t="n">
        <f aca="false">Sens!I9559/ext_sh</f>
        <v>21009.3190327778</v>
      </c>
      <c r="J9560" s="30" t="n">
        <f aca="false">Sens!J9559/ext_sh</f>
        <v>22969.4471356556</v>
      </c>
      <c r="K9560" s="30" t="n">
        <f aca="false">Sens!K9559/ext_sh</f>
        <v>23696.3305497252</v>
      </c>
      <c r="L9560" s="1" t="s">
        <v>960</v>
      </c>
    </row>
    <row r="9561" customFormat="false" ht="17.15" hidden="false" customHeight="false" outlineLevel="0" collapsed="false">
      <c r="A9561" s="1" t="s">
        <v>961</v>
      </c>
      <c r="B9561" s="0" t="s">
        <v>459</v>
      </c>
      <c r="C9561" s="30" t="n">
        <f aca="false">Sens!C9560-Sens!C9559</f>
        <v>326.666666666667</v>
      </c>
      <c r="D9561" s="30" t="n">
        <f aca="false">Sens!D9560-Sens!D9559</f>
        <v>820</v>
      </c>
      <c r="E9561" s="30" t="n">
        <f aca="false">Sens!E9560-Sens!E9559</f>
        <v>1800</v>
      </c>
      <c r="F9561" s="30" t="n">
        <f aca="false">Sens!F9560-Sens!F9559</f>
        <v>3480.35673333333</v>
      </c>
      <c r="G9561" s="30" t="n">
        <f aca="false">Sens!G9560-Sens!G9559</f>
        <v>5298.0468</v>
      </c>
      <c r="H9561" s="30" t="n">
        <f aca="false">Sens!H9560-Sens!H9559</f>
        <v>7115.73686666667</v>
      </c>
      <c r="I9561" s="30" t="n">
        <f aca="false">Sens!I9560-Sens!I9559</f>
        <v>8403.72761311111</v>
      </c>
      <c r="J9561" s="30" t="n">
        <f aca="false">Sens!J9560-Sens!J9559</f>
        <v>9187.77885426222</v>
      </c>
      <c r="K9561" s="30" t="n">
        <f aca="false">Sens!K9560-Sens!K9559</f>
        <v>9478.53221989009</v>
      </c>
    </row>
    <row r="9562" customFormat="false" ht="17.15" hidden="false" customHeight="false" outlineLevel="0" collapsed="false">
      <c r="A9562" s="1" t="s">
        <v>962</v>
      </c>
      <c r="B9562" s="0" t="s">
        <v>459</v>
      </c>
      <c r="C9562" s="30" t="n">
        <f aca="false">Sens!C9560</f>
        <v>816.666666666667</v>
      </c>
      <c r="D9562" s="30" t="n">
        <f aca="false">Sens!D9560-Sens!C9560</f>
        <v>1233.33333333333</v>
      </c>
      <c r="E9562" s="30" t="n">
        <f aca="false">Sens!E9560-Sens!D9560</f>
        <v>2450</v>
      </c>
      <c r="F9562" s="30" t="n">
        <f aca="false">Sens!F9560-Sens!E9560</f>
        <v>4200.89183333333</v>
      </c>
      <c r="G9562" s="30" t="n">
        <f aca="false">Sens!G9560-Sens!F9560</f>
        <v>4544.22516666667</v>
      </c>
      <c r="H9562" s="30" t="n">
        <f aca="false">Sens!H9560-Sens!G9560</f>
        <v>4544.22516666667</v>
      </c>
      <c r="I9562" s="30" t="n">
        <f aca="false">Sens!I9560-Sens!H9560</f>
        <v>3219.97686611111</v>
      </c>
      <c r="J9562" s="30" t="n">
        <f aca="false">Sens!J9560-Sens!I9560</f>
        <v>1960.12810287778</v>
      </c>
      <c r="K9562" s="30" t="n">
        <f aca="false">Sens!K9560-Sens!J9560</f>
        <v>726.883414069667</v>
      </c>
    </row>
    <row r="9563" customFormat="false" ht="17.15" hidden="false" customHeight="false" outlineLevel="0" collapsed="false">
      <c r="A9563" s="1" t="s">
        <v>963</v>
      </c>
      <c r="B9563" s="0" t="s">
        <v>459</v>
      </c>
      <c r="D9563" s="30" t="n">
        <f aca="false">Sens!D9557-Sens!C9557</f>
        <v>990</v>
      </c>
      <c r="E9563" s="30" t="n">
        <f aca="false">Sens!E9557-Sens!D9557</f>
        <v>1620</v>
      </c>
      <c r="F9563" s="30" t="n">
        <f aca="false">Sens!F9557-Sens!E9557</f>
        <v>2726.5351</v>
      </c>
      <c r="G9563" s="30" t="n">
        <f aca="false">Sens!G9557-Sens!F9557</f>
        <v>2726.5351</v>
      </c>
      <c r="H9563" s="30" t="n">
        <f aca="false">Sens!H9557-Sens!G9557</f>
        <v>2726.5351</v>
      </c>
      <c r="I9563" s="30" t="n">
        <f aca="false">Sens!I9557-Sens!H9557</f>
        <v>1931.98611966667</v>
      </c>
      <c r="J9563" s="30" t="n">
        <f aca="false">Sens!J9557-Sens!I9557</f>
        <v>1176.07686172667</v>
      </c>
      <c r="K9563" s="30" t="n">
        <f aca="false">Sens!K9557-Sens!J9557</f>
        <v>436.130048441799</v>
      </c>
    </row>
    <row r="9564" customFormat="false" ht="17.15" hidden="false" customHeight="false" outlineLevel="0" collapsed="false">
      <c r="A9564" s="1" t="s">
        <v>964</v>
      </c>
      <c r="B9564" s="0" t="s">
        <v>459</v>
      </c>
      <c r="F9564" s="30" t="n">
        <f aca="false">Sens!F9583*ext_sh</f>
        <v>0</v>
      </c>
      <c r="G9564" s="30" t="n">
        <f aca="false">Sens!G9583*ext_sh</f>
        <v>0</v>
      </c>
      <c r="H9564" s="30" t="n">
        <f aca="false">Sens!H9583*ext_sh</f>
        <v>0</v>
      </c>
      <c r="I9564" s="30" t="n">
        <f aca="false">Sens!I9583*ext_sh</f>
        <v>490</v>
      </c>
      <c r="J9564" s="30" t="n">
        <f aca="false">Sens!J9583*ext_sh</f>
        <v>740</v>
      </c>
      <c r="K9564" s="30" t="n">
        <f aca="false">Sens!K9583*ext_sh</f>
        <v>1470</v>
      </c>
      <c r="L9564" s="1" t="s">
        <v>965</v>
      </c>
    </row>
    <row r="9565" customFormat="false" ht="17.15" hidden="false" customHeight="false" outlineLevel="0" collapsed="false">
      <c r="A9565" s="1" t="s">
        <v>966</v>
      </c>
      <c r="B9565" s="0" t="s">
        <v>459</v>
      </c>
      <c r="C9565" s="30" t="n">
        <f aca="false">mix_h*Sens!C9557</f>
        <v>128</v>
      </c>
      <c r="D9565" s="30" t="n">
        <f aca="false">mix_h*Sens!D9557</f>
        <v>326</v>
      </c>
      <c r="E9565" s="30" t="n">
        <f aca="false">mix_h*Sens!E9557</f>
        <v>650</v>
      </c>
      <c r="F9565" s="30" t="n">
        <f aca="false">Sens!E9565-Sens!F9564*mix_h</f>
        <v>650</v>
      </c>
      <c r="G9565" s="30" t="n">
        <f aca="false">Sens!F9565-Sens!G9564*mix_h</f>
        <v>650</v>
      </c>
      <c r="H9565" s="30" t="n">
        <f aca="false">Sens!G9565-Sens!H9564*mix_h</f>
        <v>650</v>
      </c>
      <c r="I9565" s="30" t="n">
        <f aca="false">Sens!H9565-Sens!I9564*mix_h</f>
        <v>552</v>
      </c>
      <c r="J9565" s="30" t="n">
        <f aca="false">Sens!I9565-Sens!J9564*mix_h</f>
        <v>404</v>
      </c>
      <c r="K9565" s="30" t="n">
        <f aca="false">Sens!J9565-Sens!K9564*mix_h</f>
        <v>110</v>
      </c>
    </row>
    <row r="9566" customFormat="false" ht="17.15" hidden="false" customHeight="false" outlineLevel="0" collapsed="false">
      <c r="A9566" s="1" t="s">
        <v>967</v>
      </c>
      <c r="B9566" s="0" t="s">
        <v>459</v>
      </c>
      <c r="C9566" s="30" t="n">
        <f aca="false">mix_g2*Sens!C9557</f>
        <v>288</v>
      </c>
      <c r="D9566" s="30" t="n">
        <f aca="false">mix_g2*Sens!D9557</f>
        <v>733.5</v>
      </c>
      <c r="E9566" s="30" t="n">
        <f aca="false">mix_g2*Sens!E9557</f>
        <v>1462.5</v>
      </c>
      <c r="F9566" s="30" t="n">
        <f aca="false">Sens!E9566-Sens!F9564*mix_g2</f>
        <v>1462.5</v>
      </c>
      <c r="G9566" s="30" t="n">
        <f aca="false">Sens!F9566-Sens!G9564*mix_g2</f>
        <v>1462.5</v>
      </c>
      <c r="H9566" s="30" t="n">
        <f aca="false">Sens!G9566-Sens!H9564*mix_g2</f>
        <v>1462.5</v>
      </c>
      <c r="I9566" s="30" t="n">
        <f aca="false">Sens!H9566-Sens!I9564*mix_g2</f>
        <v>1242</v>
      </c>
      <c r="J9566" s="30" t="n">
        <f aca="false">Sens!I9566-Sens!J9564*mix_g2</f>
        <v>909</v>
      </c>
      <c r="K9566" s="30" t="n">
        <f aca="false">Sens!J9566-Sens!K9564*mix_g2</f>
        <v>247.5</v>
      </c>
    </row>
    <row r="9567" customFormat="false" ht="17.15" hidden="false" customHeight="false" outlineLevel="0" collapsed="false">
      <c r="A9567" s="1" t="s">
        <v>968</v>
      </c>
      <c r="B9567" s="0" t="s">
        <v>459</v>
      </c>
      <c r="C9567" s="30" t="n">
        <f aca="false">mix_g3*Sens!C9557</f>
        <v>224</v>
      </c>
      <c r="D9567" s="30" t="n">
        <f aca="false">mix_g3*Sens!D9557</f>
        <v>570.5</v>
      </c>
      <c r="E9567" s="30" t="n">
        <f aca="false">mix_g3*Sens!E9557</f>
        <v>1137.5</v>
      </c>
      <c r="F9567" s="30" t="n">
        <f aca="false">Sens!E9567+(Sens!F9563+Sens!F9564)*(a_g3_27-nonnv*a_mai)-Sens!F9564*mix_g3</f>
        <v>2773.42106</v>
      </c>
      <c r="G9567" s="30" t="n">
        <f aca="false">Sens!F9567+(Sens!G9563+Sens!G9564)*(a_g3_28-nonnv*a_mai)-Sens!G9564*mix_g3</f>
        <v>3318.72808</v>
      </c>
      <c r="H9567" s="30" t="n">
        <f aca="false">Sens!G9567+(Sens!H9563+Sens!H9564)*(a_g3_29-nonnv*a_mai)-Sens!H9564*mix_g3</f>
        <v>3318.72808</v>
      </c>
      <c r="I9567" s="30" t="n">
        <f aca="false">Sens!H9567+(Sens!I9563+Sens!I9564)*(a_g3_29-nonnv*a_mai)-Sens!I9564*mix_g3</f>
        <v>3147.22808</v>
      </c>
      <c r="J9567" s="30" t="n">
        <f aca="false">Sens!I9567+(Sens!J9563+Sens!J9564)*(a_g3_29-nonnv*a_mai)-Sens!J9564*mix_g3</f>
        <v>2888.22808</v>
      </c>
      <c r="K9567" s="30" t="n">
        <f aca="false">Sens!J9567+(Sens!K9563+Sens!K9564)*(a_g3_29-nonnv*a_mai)-Sens!K9564*mix_g3</f>
        <v>2373.72808</v>
      </c>
    </row>
    <row r="9568" customFormat="false" ht="17.15" hidden="false" customHeight="false" outlineLevel="0" collapsed="false">
      <c r="A9568" s="1" t="s">
        <v>969</v>
      </c>
      <c r="B9568" s="0" t="s">
        <v>459</v>
      </c>
      <c r="C9568" s="30" t="n">
        <v>0</v>
      </c>
      <c r="D9568" s="30" t="n">
        <v>0</v>
      </c>
      <c r="E9568" s="30" t="n">
        <v>0</v>
      </c>
      <c r="F9568" s="30" t="n">
        <f aca="false">Sens!E9568+(Sens!F9563+Sens!F9564)*nonnv*a_mai</f>
        <v>272.65351</v>
      </c>
      <c r="G9568" s="30" t="n">
        <f aca="false">Sens!F9568+(Sens!G9563+Sens!G9564)*nonnv*a_mai</f>
        <v>545.30702</v>
      </c>
      <c r="H9568" s="30" t="n">
        <f aca="false">Sens!G9568+(Sens!H9563+Sens!H9564)*nonnv*a_mai</f>
        <v>817.96053</v>
      </c>
      <c r="I9568" s="30" t="n">
        <f aca="false">Sens!H9568+(Sens!I9563+Sens!I9564)*nonnv*a_mai</f>
        <v>1060.15914196667</v>
      </c>
      <c r="J9568" s="30" t="n">
        <f aca="false">Sens!I9568+(Sens!J9563+Sens!J9564)*nonnv*a_mai</f>
        <v>1251.76682813933</v>
      </c>
      <c r="K9568" s="30" t="n">
        <f aca="false">Sens!J9568+(Sens!K9563+Sens!K9564)*nonnv*a_mai</f>
        <v>1442.37983298351</v>
      </c>
      <c r="L9568" s="12" t="s">
        <v>970</v>
      </c>
    </row>
    <row r="9569" customFormat="false" ht="17.15" hidden="false" customHeight="false" outlineLevel="0" collapsed="false">
      <c r="A9569" s="1" t="s">
        <v>971</v>
      </c>
      <c r="B9569" s="0" t="s">
        <v>459</v>
      </c>
      <c r="C9569" s="30" t="n">
        <v>0</v>
      </c>
      <c r="D9569" s="30" t="n">
        <v>0</v>
      </c>
      <c r="E9569" s="30" t="n">
        <v>0</v>
      </c>
      <c r="F9569" s="30" t="n">
        <f aca="false">Sens!E9569+(Sens!F9563+Sens!F9564)*(1-a_g3_27)</f>
        <v>817.96053</v>
      </c>
      <c r="G9569" s="30" t="n">
        <f aca="false">Sens!F9569+(Sens!G9563+Sens!G9564)*(1-a_g3_28)</f>
        <v>2726.5351</v>
      </c>
      <c r="H9569" s="30" t="n">
        <f aca="false">Sens!G9569+(Sens!H9563+Sens!H9564)*(1-a_g3_29)</f>
        <v>5180.41669</v>
      </c>
      <c r="I9569" s="30" t="n">
        <f aca="false">Sens!H9569+(Sens!I9563+Sens!I9564)*(1-a_g3_29)</f>
        <v>7360.2041977</v>
      </c>
      <c r="J9569" s="30" t="n">
        <f aca="false">Sens!I9569+(Sens!J9563+Sens!J9564)*(1-a_g3_29)</f>
        <v>9084.673373254</v>
      </c>
      <c r="K9569" s="30" t="n">
        <f aca="false">Sens!J9569+(Sens!K9563+Sens!K9564)*(1-a_g3_29)</f>
        <v>10800.1904168516</v>
      </c>
    </row>
    <row r="9570" customFormat="false" ht="17.15" hidden="false" customHeight="false" outlineLevel="0" collapsed="false">
      <c r="A9570" s="1" t="s">
        <v>972</v>
      </c>
      <c r="B9570" s="0" t="s">
        <v>403</v>
      </c>
      <c r="C9570" s="15" t="n">
        <f aca="false">(Sens!C9565*tk_hold_h100+Sens!C9566*tk_hold_gb200+Sens!C9567*tk_hold_gb300+Sens!C9569*tk_hold_vr200+Sens!C9568*nv_hold_mai*tk_hold_vr200)/Sens!C9557</f>
        <v>9.7235358126469</v>
      </c>
      <c r="D9570" s="15" t="n">
        <f aca="false">(Sens!D9565*tk_hold_h100+Sens!D9566*tk_hold_gb200+Sens!D9567*tk_hold_gb300+Sens!D9569*tk_hold_vr200+Sens!D9568*nv_hold_mai*tk_hold_vr200)/Sens!D9557</f>
        <v>9.7235358126469</v>
      </c>
      <c r="E9570" s="15" t="n">
        <f aca="false">(Sens!E9565*tk_hold_h100+Sens!E9566*tk_hold_gb200+Sens!E9567*tk_hold_gb300+Sens!E9569*tk_hold_vr200+Sens!E9568*nv_hold_mai*tk_hold_vr200)/Sens!E9557</f>
        <v>9.7235358126469</v>
      </c>
      <c r="F9570" s="15" t="n">
        <f aca="false">(Sens!F9565*tk_hold_h100+Sens!F9566*tk_hold_gb200+Sens!F9567*tk_hold_gb300+Sens!F9569*tk_hold_vr200+Sens!F9568*nv_hold_mai*tk_hold_vr200)/Sens!F9557</f>
        <v>10.2195353876665</v>
      </c>
      <c r="G9570" s="15" t="n">
        <f aca="false">(Sens!G9565*tk_hold_h100+Sens!G9566*tk_hold_gb200+Sens!G9567*tk_hold_gb300+Sens!G9569*tk_hold_vr200+Sens!G9568*nv_hold_mai*tk_hold_vr200)/Sens!G9557</f>
        <v>10.5725598017306</v>
      </c>
      <c r="H9570" s="15" t="n">
        <f aca="false">(Sens!H9565*tk_hold_h100+Sens!H9566*tk_hold_gb200+Sens!H9567*tk_hold_gb300+Sens!H9569*tk_hold_vr200+Sens!H9568*nv_hold_mai*tk_hold_vr200)/Sens!H9557</f>
        <v>10.8210427149036</v>
      </c>
      <c r="I9570" s="15" t="n">
        <f aca="false">(Sens!I9565*tk_hold_h100+Sens!I9566*tk_hold_gb200+Sens!I9567*tk_hold_gb300+Sens!I9569*tk_hold_vr200+Sens!I9568*nv_hold_mai*tk_hold_vr200)/Sens!I9557</f>
        <v>11.0050618241982</v>
      </c>
      <c r="J9570" s="15" t="n">
        <f aca="false">(Sens!J9565*tk_hold_h100+Sens!J9566*tk_hold_gb200+Sens!J9567*tk_hold_gb300+Sens!J9569*tk_hold_vr200+Sens!J9568*nv_hold_mai*tk_hold_vr200)/Sens!J9557</f>
        <v>11.1505789658881</v>
      </c>
      <c r="K9570" s="15" t="n">
        <f aca="false">(Sens!K9565*tk_hold_h100+Sens!K9566*tk_hold_gb200+Sens!K9567*tk_hold_gb300+Sens!K9569*tk_hold_vr200+Sens!K9568*nv_hold_mai*tk_hold_vr200)/Sens!K9557</f>
        <v>11.3496914757183</v>
      </c>
      <c r="L9570" s="1" t="s">
        <v>973</v>
      </c>
    </row>
    <row r="9571" customFormat="false" ht="17.15" hidden="false" customHeight="false" outlineLevel="0" collapsed="false">
      <c r="A9571" s="1" t="s">
        <v>974</v>
      </c>
      <c r="B9571" s="0" t="s">
        <v>403</v>
      </c>
      <c r="C9571" s="15" t="n">
        <f aca="false">(Sens!C9565*tk_hold_h100+Sens!C9566*tk_hold_gb200+Sens!C9567*tk_hold_gb300+Sens!C9569*tk_hold_vr200+Sens!C9568*nv_out_mai*tk_hold_vr200)/Sens!C9557</f>
        <v>9.7235358126469</v>
      </c>
      <c r="D9571" s="15" t="n">
        <f aca="false">(Sens!D9565*tk_hold_h100+Sens!D9566*tk_hold_gb200+Sens!D9567*tk_hold_gb300+Sens!D9569*tk_hold_vr200+Sens!D9568*nv_out_mai*tk_hold_vr200)/Sens!D9557</f>
        <v>9.7235358126469</v>
      </c>
      <c r="E9571" s="15" t="n">
        <f aca="false">(Sens!E9565*tk_hold_h100+Sens!E9566*tk_hold_gb200+Sens!E9567*tk_hold_gb300+Sens!E9569*tk_hold_vr200+Sens!E9568*nv_out_mai*tk_hold_vr200)/Sens!E9557</f>
        <v>9.7235358126469</v>
      </c>
      <c r="F9571" s="15" t="n">
        <f aca="false">(Sens!F9565*tk_hold_h100+Sens!F9566*tk_hold_gb200+Sens!F9567*tk_hold_gb300+Sens!F9569*tk_hold_vr200+Sens!F9568*nv_out_mai*tk_hold_vr200)/Sens!F9557</f>
        <v>10.247422093969</v>
      </c>
      <c r="G9571" s="15" t="n">
        <f aca="false">(Sens!G9565*tk_hold_h100+Sens!G9566*tk_hold_gb200+Sens!G9567*tk_hold_gb300+Sens!G9569*tk_hold_vr200+Sens!G9568*nv_out_mai*tk_hold_vr200)/Sens!G9557</f>
        <v>10.6108602808053</v>
      </c>
      <c r="H9571" s="15" t="n">
        <f aca="false">(Sens!H9565*tk_hold_h100+Sens!H9566*tk_hold_gb200+Sens!H9567*tk_hold_gb300+Sens!H9569*tk_hold_vr200+Sens!H9568*nv_out_mai*tk_hold_vr200)/Sens!H9557</f>
        <v>10.8647885507393</v>
      </c>
      <c r="I9571" s="15" t="n">
        <f aca="false">(Sens!I9565*tk_hold_h100+Sens!I9566*tk_hold_gb200+Sens!I9567*tk_hold_gb300+Sens!I9569*tk_hold_vr200+Sens!I9568*nv_out_mai*tk_hold_vr200)/Sens!I9557</f>
        <v>11.0535625770025</v>
      </c>
      <c r="J9571" s="15" t="n">
        <f aca="false">(Sens!J9565*tk_hold_h100+Sens!J9566*tk_hold_gb200+Sens!J9567*tk_hold_gb300+Sens!J9569*tk_hold_vr200+Sens!J9568*nv_out_mai*tk_hold_vr200)/Sens!J9557</f>
        <v>11.2032127128058</v>
      </c>
      <c r="K9571" s="15" t="n">
        <f aca="false">(Sens!K9565*tk_hold_h100+Sens!K9566*tk_hold_gb200+Sens!K9567*tk_hold_gb300+Sens!K9569*tk_hold_vr200+Sens!K9568*nv_out_mai*tk_hold_vr200)/Sens!K9557</f>
        <v>11.4085735724225</v>
      </c>
      <c r="L9571" s="12" t="s">
        <v>975</v>
      </c>
    </row>
    <row r="9572" customFormat="false" ht="17.15" hidden="false" customHeight="false" outlineLevel="0" collapsed="false">
      <c r="A9572" s="0" t="s">
        <v>976</v>
      </c>
      <c r="B9572" s="0" t="s">
        <v>229</v>
      </c>
      <c r="C9572" s="15" t="n">
        <f aca="false">k_B</f>
        <v>1.17213932619116</v>
      </c>
      <c r="D9572" s="15" t="n">
        <f aca="false">k_B</f>
        <v>1.17213932619116</v>
      </c>
      <c r="E9572" s="15" t="n">
        <f aca="false">k_B</f>
        <v>1.17213932619116</v>
      </c>
      <c r="F9572" s="15" t="n">
        <f aca="false">(k_B+((ls_C*k_long+(1-ls_C)*k_spot)-k_B)*MIN(1,(Sens!F9555-base_fy)/k_ramp))</f>
        <v>1.07843258004497</v>
      </c>
      <c r="G9572" s="15" t="n">
        <f aca="false">(k_B+((ls_C*k_long+(1-ls_C)*k_spot)-k_B)*MIN(1,(Sens!G9555-base_fy)/k_ramp))</f>
        <v>0.984725833898784</v>
      </c>
      <c r="H9572" s="15" t="n">
        <f aca="false">(k_B+((ls_C*k_long+(1-ls_C)*k_spot)-k_B)*MIN(1,(Sens!H9555-base_fy)/k_ramp))</f>
        <v>0.891019087752599</v>
      </c>
      <c r="I9572" s="15" t="n">
        <f aca="false">(k_B+((ls_C*k_long+(1-ls_C)*k_spot)-k_B)*MIN(1,(Sens!I9555-base_fy)/k_ramp))</f>
        <v>0.891019087752599</v>
      </c>
      <c r="J9572" s="15" t="n">
        <f aca="false">(k_B+((ls_C*k_long+(1-ls_C)*k_spot)-k_B)*MIN(1,(Sens!J9555-base_fy)/k_ramp))</f>
        <v>0.891019087752599</v>
      </c>
      <c r="K9572" s="15" t="n">
        <f aca="false">(k_B+((ls_C*k_long+(1-ls_C)*k_spot)-k_B)*MIN(1,(Sens!K9555-base_fy)/k_ramp))</f>
        <v>0.891019087752599</v>
      </c>
      <c r="L9572" s="1" t="s">
        <v>977</v>
      </c>
    </row>
    <row r="9573" customFormat="false" ht="17.15" hidden="false" customHeight="false" outlineLevel="0" collapsed="false">
      <c r="A9573" s="1" t="s">
        <v>978</v>
      </c>
      <c r="B9573" s="0" t="s">
        <v>403</v>
      </c>
      <c r="C9573" s="15" t="n">
        <f aca="false">Sens!C9571*Sens!C9572*chip_f</f>
        <v>11.3973387156315</v>
      </c>
      <c r="D9573" s="15" t="n">
        <f aca="false">Sens!D9571*Sens!D9572*chip_f</f>
        <v>11.3973387156315</v>
      </c>
      <c r="E9573" s="15" t="n">
        <f aca="false">Sens!E9571*Sens!E9572*chip_f</f>
        <v>11.3973387156315</v>
      </c>
      <c r="F9573" s="15" t="n">
        <f aca="false">Sens!F9571*Sens!F9572*chip_f</f>
        <v>11.0511538476088</v>
      </c>
      <c r="G9573" s="15" t="n">
        <f aca="false">Sens!G9571*Sens!G9572*chip_f</f>
        <v>10.4487882383995</v>
      </c>
      <c r="H9573" s="15" t="n">
        <f aca="false">Sens!H9571*Sens!H9572*chip_f</f>
        <v>9.68073398310464</v>
      </c>
      <c r="I9573" s="15" t="n">
        <f aca="false">Sens!I9571*Sens!I9572*chip_f</f>
        <v>9.84893524377706</v>
      </c>
      <c r="J9573" s="15" t="n">
        <f aca="false">Sens!J9571*Sens!J9572*chip_f</f>
        <v>9.98227637126252</v>
      </c>
      <c r="K9573" s="15" t="n">
        <f aca="false">Sens!K9571*Sens!K9572*chip_f</f>
        <v>10.1652568170583</v>
      </c>
      <c r="L9573" s="1" t="s">
        <v>979</v>
      </c>
    </row>
    <row r="9574" customFormat="false" ht="17.15" hidden="false" customHeight="false" outlineLevel="0" collapsed="false">
      <c r="A9574" s="0" t="s">
        <v>980</v>
      </c>
      <c r="B9574" s="0" t="s">
        <v>98</v>
      </c>
      <c r="D9574" s="6" t="n">
        <f aca="false">(Sens!C9557+Sens!D9557)/2*Sens!D9573/1000</f>
        <v>12.9359794422418</v>
      </c>
      <c r="E9574" s="6" t="n">
        <f aca="false">(Sens!D9557+Sens!E9557)/2*Sens!E9573/1000</f>
        <v>27.8095064661409</v>
      </c>
      <c r="F9574" s="6" t="n">
        <f aca="false">(Sens!E9557+Sens!F9557)/2*Sens!F9573/1000</f>
        <v>50.9819294352312</v>
      </c>
      <c r="G9574" s="6" t="n">
        <f aca="false">(Sens!F9557+Sens!G9557)/2*Sens!G9573/1000</f>
        <v>76.6920436014933</v>
      </c>
      <c r="H9574" s="6" t="n">
        <f aca="false">(Sens!G9557+Sens!H9557)/2*Sens!H9573/1000</f>
        <v>97.4495379418341</v>
      </c>
      <c r="I9574" s="6" t="n">
        <f aca="false">(Sens!H9557+Sens!I9557)/2*Sens!I9573/1000</f>
        <v>122.083445553868</v>
      </c>
      <c r="J9574" s="6" t="n">
        <f aca="false">(Sens!I9557+Sens!J9557)/2*Sens!J9573/1000</f>
        <v>139.249060444804</v>
      </c>
      <c r="K9574" s="6" t="n">
        <f aca="false">(Sens!J9557+Sens!K9557)/2*Sens!K9573/1000</f>
        <v>149.995818575589</v>
      </c>
      <c r="L9574" s="12" t="s">
        <v>981</v>
      </c>
    </row>
    <row r="9575" customFormat="false" ht="17.15" hidden="false" customHeight="false" outlineLevel="0" collapsed="false">
      <c r="A9575" s="1" t="s">
        <v>982</v>
      </c>
      <c r="B9575" s="0" t="s">
        <v>403</v>
      </c>
      <c r="C9575" s="15" t="n">
        <f aca="false">(Sens!C9565*tk_opex_h100+Sens!C9566*tk_opex_gb200+Sens!C9567*tk_opex_gb300+(Sens!C9569+Sens!C9568)*tk_opex_vr200)/Sens!C9557</f>
        <v>1.88636041306092</v>
      </c>
      <c r="D9575" s="15" t="n">
        <f aca="false">(Sens!D9565*tk_opex_h100+Sens!D9566*tk_opex_gb200+Sens!D9567*tk_opex_gb300+(Sens!D9569+Sens!D9568)*tk_opex_vr200)/Sens!D9557</f>
        <v>1.88636041306092</v>
      </c>
      <c r="E9575" s="15" t="n">
        <f aca="false">(Sens!E9565*tk_opex_h100+Sens!E9566*tk_opex_gb200+Sens!E9567*tk_opex_gb300+(Sens!E9569+Sens!E9568)*tk_opex_vr200)/Sens!E9557</f>
        <v>1.88636041306092</v>
      </c>
      <c r="F9575" s="15" t="n">
        <f aca="false">(Sens!F9565*tk_opex_h100+Sens!F9566*tk_opex_gb200+Sens!F9567*tk_opex_gb300+(Sens!F9569+Sens!F9568)*tk_opex_vr200)/Sens!F9557</f>
        <v>1.95051159746876</v>
      </c>
      <c r="G9575" s="15" t="n">
        <f aca="false">(Sens!G9565*tk_opex_h100+Sens!G9566*tk_opex_gb200+Sens!G9567*tk_opex_gb300+(Sens!G9569+Sens!G9568)*tk_opex_vr200)/Sens!G9557</f>
        <v>1.98836003669956</v>
      </c>
      <c r="H9575" s="15" t="n">
        <f aca="false">(Sens!H9565*tk_opex_h100+Sens!H9566*tk_opex_gb200+Sens!H9567*tk_opex_gb300+(Sens!H9569+Sens!H9568)*tk_opex_vr200)/Sens!H9557</f>
        <v>2.01344013834343</v>
      </c>
      <c r="I9575" s="15" t="n">
        <f aca="false">(Sens!I9565*tk_opex_h100+Sens!I9566*tk_opex_gb200+Sens!I9567*tk_opex_gb300+(Sens!I9569+Sens!I9568)*tk_opex_vr200)/Sens!I9557</f>
        <v>2.03261166882178</v>
      </c>
      <c r="J9575" s="15" t="n">
        <f aca="false">(Sens!J9565*tk_opex_h100+Sens!J9566*tk_opex_gb200+Sens!J9567*tk_opex_gb300+(Sens!J9569+Sens!J9568)*tk_opex_vr200)/Sens!J9557</f>
        <v>2.04808073288745</v>
      </c>
      <c r="K9575" s="15" t="n">
        <f aca="false">(Sens!K9565*tk_opex_h100+Sens!K9566*tk_opex_gb200+Sens!K9567*tk_opex_gb300+(Sens!K9569+Sens!K9568)*tk_opex_vr200)/Sens!K9557</f>
        <v>2.06973825807449</v>
      </c>
      <c r="L9575" s="12" t="s">
        <v>983</v>
      </c>
    </row>
    <row r="9576" customFormat="false" ht="17.15" hidden="false" customHeight="false" outlineLevel="0" collapsed="false">
      <c r="A9576" s="0" t="s">
        <v>984</v>
      </c>
      <c r="B9576" s="0" t="s">
        <v>98</v>
      </c>
      <c r="D9576" s="6" t="n">
        <f aca="false">(Sens!C9560+Sens!D9560)/2*Sens!D9575/1000</f>
        <v>2.70378325872065</v>
      </c>
      <c r="E9576" s="6" t="n">
        <f aca="false">(Sens!D9560+Sens!E9560)/2*Sens!E9575/1000</f>
        <v>6.17783035277451</v>
      </c>
      <c r="F9576" s="6" t="n">
        <f aca="false">(Sens!E9560+Sens!F9560)/2*Sens!F9575/1000</f>
        <v>12.8742463089237</v>
      </c>
      <c r="G9576" s="6" t="n">
        <f aca="false">(Sens!F9560+Sens!G9560)/2*Sens!G9575/1000</f>
        <v>21.8182834646277</v>
      </c>
      <c r="H9576" s="6" t="n">
        <f aca="false">(Sens!G9560+Sens!H9560)/2*Sens!H9575/1000</f>
        <v>31.2430128789734</v>
      </c>
      <c r="I9576" s="6" t="n">
        <f aca="false">(Sens!H9560+Sens!I9560)/2*Sens!I9575/1000</f>
        <v>39.4313057443268</v>
      </c>
      <c r="J9576" s="6" t="n">
        <f aca="false">(Sens!I9560+Sens!J9560)/2*Sens!J9575/1000</f>
        <v>45.0360318228653</v>
      </c>
      <c r="K9576" s="6" t="n">
        <f aca="false">(Sens!J9560+Sens!K9560)/2*Sens!K9575/1000</f>
        <v>48.2929727091156</v>
      </c>
    </row>
    <row r="9577" customFormat="false" ht="17.15" hidden="false" customHeight="false" outlineLevel="0" collapsed="false">
      <c r="A9577" s="0" t="s">
        <v>985</v>
      </c>
      <c r="B9577" s="0" t="s">
        <v>98</v>
      </c>
      <c r="D9577" s="6" t="n">
        <f aca="false">(Sens!C9558+Sens!D9558)/2*rent_mw/1000</f>
        <v>2.44475</v>
      </c>
      <c r="E9577" s="6" t="n">
        <f aca="false">(Sens!D9558+Sens!E9558)/2*rent_mw/1000</f>
        <v>4.22275</v>
      </c>
      <c r="F9577" s="6" t="n">
        <f aca="false">(Sens!E9558+Sens!F9558)/2*rent_mw/1000</f>
        <v>5.80517</v>
      </c>
      <c r="G9577" s="6" t="n">
        <f aca="false">(Sens!F9558+Sens!G9558)/2*rent_mw/1000</f>
        <v>6.72084</v>
      </c>
      <c r="H9577" s="6" t="n">
        <f aca="false">(Sens!G9558+Sens!H9558)/2*rent_mw/1000</f>
        <v>6.72084</v>
      </c>
      <c r="I9577" s="6" t="n">
        <f aca="false">(Sens!H9558+Sens!I9558)/2*rent_mw/1000</f>
        <v>6.72084</v>
      </c>
      <c r="J9577" s="6" t="n">
        <f aca="false">(Sens!I9558+Sens!J9558)/2*rent_mw/1000</f>
        <v>6.72084</v>
      </c>
      <c r="K9577" s="6" t="n">
        <f aca="false">(Sens!J9558+Sens!K9558)/2*rent_mw/1000</f>
        <v>6.72084</v>
      </c>
    </row>
    <row r="9578" customFormat="false" ht="17.15" hidden="false" customHeight="false" outlineLevel="0" collapsed="false">
      <c r="A9578" s="0" t="s">
        <v>986</v>
      </c>
      <c r="B9578" s="0" t="s">
        <v>98</v>
      </c>
      <c r="D9578" s="6" t="n">
        <f aca="false">(Sens!C9560+Sens!D9560)/2*(1-self_build)*fac_rent/1000</f>
        <v>0.853242375631075</v>
      </c>
      <c r="E9578" s="6" t="n">
        <f aca="false">(Sens!D9560+Sens!E9560)/2*(1-self_build)*fac_rent/1000</f>
        <v>1.94955961408728</v>
      </c>
      <c r="F9578" s="6" t="n">
        <f aca="false">(Sens!E9560+Sens!F9560)/2*(1-self_build)*fac_rent/1000</f>
        <v>3.92914894476356</v>
      </c>
      <c r="G9578" s="6" t="n">
        <f aca="false">(Sens!F9560+Sens!G9560)/2*(1-self_build)*fac_rent/1000</f>
        <v>6.53206908578159</v>
      </c>
      <c r="H9578" s="6" t="n">
        <f aca="false">(Sens!G9560+Sens!H9560)/2*(1-self_build)*fac_rent/1000</f>
        <v>9.23717988341591</v>
      </c>
      <c r="I9578" s="6" t="n">
        <f aca="false">(Sens!H9560+Sens!I9560)/2*(1-self_build)*fac_rent/1000</f>
        <v>11.5481378557393</v>
      </c>
      <c r="J9578" s="6" t="n">
        <f aca="false">(Sens!I9560+Sens!J9560)/2*(1-self_build)*fac_rent/1000</f>
        <v>13.0899582289108</v>
      </c>
      <c r="K9578" s="6" t="n">
        <f aca="false">(Sens!J9560+Sens!K9560)/2*(1-self_build)*fac_rent/1000</f>
        <v>13.8897275626556</v>
      </c>
      <c r="L9578" s="12" t="s">
        <v>987</v>
      </c>
    </row>
    <row r="9579" customFormat="false" ht="17.15" hidden="false" customHeight="false" outlineLevel="0" collapsed="false">
      <c r="A9579" s="1" t="s">
        <v>988</v>
      </c>
      <c r="B9579" s="0" t="s">
        <v>168</v>
      </c>
      <c r="D9579" s="7" t="n">
        <f aca="false">(Sens!C9559+Sens!D9559)/(Sens!C9560+Sens!D9560)</f>
        <v>0.6</v>
      </c>
      <c r="E9579" s="7" t="n">
        <f aca="false">(Sens!D9559+Sens!E9559)/(Sens!D9560+Sens!E9560)</f>
        <v>0.6</v>
      </c>
      <c r="F9579" s="7" t="n">
        <f aca="false">(Sens!E9559+Sens!F9559)/(Sens!E9560+Sens!F9560)</f>
        <v>0.6</v>
      </c>
      <c r="G9579" s="7" t="n">
        <f aca="false">(Sens!F9559+Sens!G9559)/(Sens!F9560+Sens!G9560)</f>
        <v>0.6</v>
      </c>
      <c r="H9579" s="7" t="n">
        <f aca="false">(Sens!G9559+Sens!H9559)/(Sens!G9560+Sens!H9560)</f>
        <v>0.6</v>
      </c>
      <c r="I9579" s="7" t="n">
        <f aca="false">(Sens!H9559+Sens!I9559)/(Sens!H9560+Sens!I9560)</f>
        <v>0.6</v>
      </c>
      <c r="J9579" s="7" t="n">
        <f aca="false">(Sens!I9559+Sens!J9559)/(Sens!I9560+Sens!J9560)</f>
        <v>0.6</v>
      </c>
      <c r="K9579" s="7" t="n">
        <f aca="false">(Sens!J9559+Sens!K9559)/(Sens!J9560+Sens!K9560)</f>
        <v>0.6</v>
      </c>
    </row>
    <row r="9580" customFormat="false" ht="17.15" hidden="false" customHeight="false" outlineLevel="0" collapsed="false">
      <c r="A9580" s="0" t="s">
        <v>989</v>
      </c>
      <c r="B9580" s="0" t="s">
        <v>98</v>
      </c>
      <c r="D9580" s="6" t="n">
        <f aca="false">Sens!D9574-Sens!D9579*(Sens!D9576+Sens!D9578)-Sens!D9577</f>
        <v>8.35701406163072</v>
      </c>
      <c r="E9580" s="6" t="n">
        <f aca="false">Sens!E9574-Sens!E9579*(Sens!E9576+Sens!E9578)-Sens!E9577</f>
        <v>18.7103224860238</v>
      </c>
      <c r="F9580" s="6" t="n">
        <f aca="false">Sens!F9574-Sens!F9579*(Sens!F9576+Sens!F9578)-Sens!F9577</f>
        <v>35.0947222830189</v>
      </c>
      <c r="G9580" s="6" t="n">
        <f aca="false">Sens!G9574-Sens!G9579*(Sens!G9576+Sens!G9578)-Sens!G9577</f>
        <v>52.9609920712477</v>
      </c>
      <c r="H9580" s="6" t="n">
        <f aca="false">Sens!H9574-Sens!H9579*(Sens!H9576+Sens!H9578)-Sens!H9577</f>
        <v>66.4405822844005</v>
      </c>
      <c r="I9580" s="6" t="n">
        <f aca="false">Sens!I9574-Sens!I9579*(Sens!I9576+Sens!I9578)-Sens!I9577</f>
        <v>84.7749393938279</v>
      </c>
      <c r="J9580" s="6" t="n">
        <f aca="false">Sens!J9574-Sens!J9579*(Sens!J9576+Sens!J9578)-Sens!J9577</f>
        <v>97.6526264137382</v>
      </c>
      <c r="K9580" s="6" t="n">
        <f aca="false">Sens!K9574-Sens!K9579*(Sens!K9576+Sens!K9578)-Sens!K9577</f>
        <v>105.965358412527</v>
      </c>
    </row>
    <row r="9581" customFormat="false" ht="17.15" hidden="false" customHeight="false" outlineLevel="0" collapsed="false">
      <c r="A9581" s="1" t="s">
        <v>990</v>
      </c>
      <c r="B9581" s="0" t="s">
        <v>98</v>
      </c>
      <c r="D9581" s="6" t="n">
        <f aca="false">(1-Sens!D9579)*(Sens!D9576+Sens!D9578)</f>
        <v>1.42281025374069</v>
      </c>
      <c r="E9581" s="6" t="n">
        <f aca="false">(1-Sens!E9579)*(Sens!E9576+Sens!E9578)</f>
        <v>3.25095598674472</v>
      </c>
      <c r="F9581" s="6" t="n">
        <f aca="false">(1-Sens!F9579)*(Sens!F9576+Sens!F9578)</f>
        <v>6.72135810147489</v>
      </c>
      <c r="G9581" s="6" t="n">
        <f aca="false">(1-Sens!G9579)*(Sens!G9576+Sens!G9578)</f>
        <v>11.3401410201637</v>
      </c>
      <c r="H9581" s="6" t="n">
        <f aca="false">(1-Sens!H9579)*(Sens!H9576+Sens!H9578)</f>
        <v>16.1920771049557</v>
      </c>
      <c r="I9581" s="6" t="n">
        <f aca="false">(1-Sens!I9579)*(Sens!I9576+Sens!I9578)</f>
        <v>20.3917774400264</v>
      </c>
      <c r="J9581" s="6" t="n">
        <f aca="false">(1-Sens!J9579)*(Sens!J9576+Sens!J9578)</f>
        <v>23.2503960207104</v>
      </c>
      <c r="K9581" s="6" t="n">
        <f aca="false">(1-Sens!K9579)*(Sens!K9576+Sens!K9578)</f>
        <v>24.8730801087085</v>
      </c>
    </row>
    <row r="9582" customFormat="false" ht="17.15" hidden="false" customHeight="false" outlineLevel="0" collapsed="false">
      <c r="A9582" s="1" t="s">
        <v>991</v>
      </c>
      <c r="B9582" s="0" t="s">
        <v>417</v>
      </c>
      <c r="C9582" s="8" t="n">
        <f aca="false">cxit_open</f>
        <v>27.5918995</v>
      </c>
      <c r="D9582" s="8" t="n">
        <f aca="false">cxit_open</f>
        <v>27.5918995</v>
      </c>
      <c r="E9582" s="8" t="n">
        <f aca="false">cxit_open</f>
        <v>27.5918995</v>
      </c>
      <c r="F9582" s="8" t="n">
        <f aca="false">((a_g3_27-nonnv*a_mai)*tk_cxit_gb300+nonnv*a_mai*nv_hold_mai*tk_cxit_vr200+(1-a_g3_27)*tk_cxit_vr200)</f>
        <v>32.4975576</v>
      </c>
      <c r="G9582" s="8" t="n">
        <f aca="false">((a_g3_28-nonnv*a_mai)*tk_cxit_gb300+nonnv*a_mai*nv_hold_mai*tk_cxit_vr200+(1-a_g3_28)*tk_cxit_vr200)</f>
        <v>34.6372088</v>
      </c>
      <c r="H9582" s="8" t="n">
        <f aca="false">((a_g3_29-nonnv*a_mai)*tk_cxit_gb300+nonnv*a_mai*nv_hold_mai*tk_cxit_vr200+(1-a_g3_29)*tk_cxit_vr200)</f>
        <v>35.7070344</v>
      </c>
      <c r="I9582" s="8" t="n">
        <f aca="false">((a_g3_29-nonnv*a_mai)*tk_cxit_gb300+nonnv*a_mai*nv_hold_mai*tk_cxit_vr200+(1-a_g3_29)*tk_cxit_vr200)</f>
        <v>35.7070344</v>
      </c>
      <c r="J9582" s="8" t="n">
        <f aca="false">((a_g3_29-nonnv*a_mai)*tk_cxit_gb300+nonnv*a_mai*nv_hold_mai*tk_cxit_vr200+(1-a_g3_29)*tk_cxit_vr200)</f>
        <v>35.7070344</v>
      </c>
      <c r="K9582" s="8" t="n">
        <f aca="false">((a_g3_29-nonnv*a_mai)*tk_cxit_gb300+nonnv*a_mai*nv_hold_mai*tk_cxit_vr200+(1-a_g3_29)*tk_cxit_vr200)</f>
        <v>35.7070344</v>
      </c>
      <c r="L9582" s="12" t="s">
        <v>992</v>
      </c>
    </row>
    <row r="9583" customFormat="false" ht="17.15" hidden="false" customHeight="false" outlineLevel="0" collapsed="false">
      <c r="A9583" s="0" t="s">
        <v>993</v>
      </c>
      <c r="B9583" s="0" t="s">
        <v>459</v>
      </c>
      <c r="F9583" s="30" t="n">
        <f aca="false">Sens!C9562*IF(Sens!F9555-Sens!C9555=life_it,1,0)+Sens!D9562*IF(Sens!F9555-Sens!D9555=life_it,1,0)+Sens!E9562*IF(Sens!F9555-Sens!E9555=life_it,1,0)</f>
        <v>0</v>
      </c>
      <c r="G9583" s="30" t="n">
        <f aca="false">Sens!C9562*IF(Sens!G9555-Sens!C9555=life_it,1,0)+Sens!D9562*IF(Sens!G9555-Sens!D9555=life_it,1,0)+Sens!E9562*IF(Sens!G9555-Sens!E9555=life_it,1,0)+Sens!F9562*IF(Sens!G9555-Sens!F9555=life_it,1,0)</f>
        <v>0</v>
      </c>
      <c r="H9583" s="30" t="n">
        <f aca="false">Sens!C9562*IF(Sens!H9555-Sens!C9555=life_it,1,0)+Sens!D9562*IF(Sens!H9555-Sens!D9555=life_it,1,0)+Sens!E9562*IF(Sens!H9555-Sens!E9555=life_it,1,0)+Sens!F9562*IF(Sens!H9555-Sens!F9555=life_it,1,0)+Sens!G9562*IF(Sens!H9555-Sens!G9555=life_it,1,0)</f>
        <v>0</v>
      </c>
      <c r="I9583" s="30" t="n">
        <f aca="false">Sens!C9562*IF(Sens!I9555-Sens!C9555=life_it,1,0)+Sens!D9562*IF(Sens!I9555-Sens!D9555=life_it,1,0)+Sens!E9562*IF(Sens!I9555-Sens!E9555=life_it,1,0)+Sens!F9562*IF(Sens!I9555-Sens!F9555=life_it,1,0)+Sens!G9562*IF(Sens!I9555-Sens!G9555=life_it,1,0)+Sens!H9562*IF(Sens!I9555-Sens!H9555=life_it,1,0)</f>
        <v>816.666666666667</v>
      </c>
      <c r="J9583" s="30" t="n">
        <f aca="false">Sens!C9562*IF(Sens!J9555-Sens!C9555=life_it,1,0)+Sens!D9562*IF(Sens!J9555-Sens!D9555=life_it,1,0)+Sens!E9562*IF(Sens!J9555-Sens!E9555=life_it,1,0)+Sens!F9562*IF(Sens!J9555-Sens!F9555=life_it,1,0)+Sens!G9562*IF(Sens!J9555-Sens!G9555=life_it,1,0)+Sens!H9562*IF(Sens!J9555-Sens!H9555=life_it,1,0)+Sens!I9562*IF(Sens!J9555-Sens!I9555=life_it,1,0)</f>
        <v>1233.33333333333</v>
      </c>
      <c r="K9583" s="30" t="n">
        <f aca="false">Sens!C9562*IF(Sens!K9555-Sens!C9555=life_it,1,0)+Sens!D9562*IF(Sens!K9555-Sens!D9555=life_it,1,0)+Sens!E9562*IF(Sens!K9555-Sens!E9555=life_it,1,0)+Sens!F9562*IF(Sens!K9555-Sens!F9555=life_it,1,0)+Sens!G9562*IF(Sens!K9555-Sens!G9555=life_it,1,0)+Sens!H9562*IF(Sens!K9555-Sens!H9555=life_it,1,0)+Sens!I9562*IF(Sens!K9555-Sens!I9555=life_it,1,0)+Sens!J9562*IF(Sens!K9555-Sens!J9555=life_it,1,0)</f>
        <v>2450</v>
      </c>
      <c r="L9583" s="1" t="s">
        <v>994</v>
      </c>
    </row>
    <row r="9584" customFormat="false" ht="17.15" hidden="false" customHeight="false" outlineLevel="0" collapsed="false">
      <c r="A9584" s="0" t="s">
        <v>995</v>
      </c>
      <c r="B9584" s="0" t="s">
        <v>98</v>
      </c>
      <c r="C9584" s="6" t="n">
        <f aca="false">Sens!C9562*Sens!C9582/1000</f>
        <v>22.5333845916667</v>
      </c>
      <c r="D9584" s="6" t="n">
        <f aca="false">Sens!D9562*Sens!D9582/1000</f>
        <v>34.0300093833333</v>
      </c>
      <c r="E9584" s="6" t="n">
        <f aca="false">Sens!E9562*Sens!E9582/1000</f>
        <v>67.600153775</v>
      </c>
      <c r="F9584" s="6" t="n">
        <f aca="false">(Sens!F9562+Sens!F9583)*Sens!F9582/1000</f>
        <v>136.51872432512</v>
      </c>
      <c r="G9584" s="6" t="n">
        <f aca="false">(Sens!G9562+Sens!G9583)*Sens!G9582/1000</f>
        <v>157.399275932048</v>
      </c>
      <c r="H9584" s="6" t="n">
        <f aca="false">(Sens!H9562+Sens!H9583)*Sens!H9582/1000</f>
        <v>162.260804347512</v>
      </c>
      <c r="I9584" s="6" t="n">
        <f aca="false">(Sens!I9562+Sens!I9583)*Sens!I9582/1000</f>
        <v>144.136569485434</v>
      </c>
      <c r="J9584" s="6" t="n">
        <f aca="false">(Sens!J9562+Sens!J9583)*Sens!J9582/1000</f>
        <v>114.029037357864</v>
      </c>
      <c r="K9584" s="6" t="n">
        <f aca="false">(Sens!K9562+Sens!K9583)*Sens!K9582/1000</f>
        <v>113.437085350975</v>
      </c>
    </row>
    <row r="9585" customFormat="false" ht="17.15" hidden="false" customHeight="false" outlineLevel="0" collapsed="false">
      <c r="A9585" s="0" t="s">
        <v>996</v>
      </c>
      <c r="B9585" s="0" t="s">
        <v>98</v>
      </c>
      <c r="C9585" s="6" t="n">
        <f aca="false">Sens!C9562*self_build*tk_cxfac/1000</f>
        <v>6.2083</v>
      </c>
      <c r="D9585" s="6" t="n">
        <f aca="false">Sens!D9562*self_build*tk_cxfac/1000</f>
        <v>9.3758</v>
      </c>
      <c r="E9585" s="6" t="n">
        <f aca="false">Sens!E9562*self_build*tk_cxfac/1000</f>
        <v>18.6249</v>
      </c>
      <c r="F9585" s="6" t="n">
        <f aca="false">Sens!F9562*self_build*tk_cxfac/1000</f>
        <v>31.935179717</v>
      </c>
      <c r="G9585" s="6" t="n">
        <f aca="false">Sens!G9562*self_build*tk_cxfac/1000</f>
        <v>34.545199717</v>
      </c>
      <c r="H9585" s="6" t="n">
        <f aca="false">Sens!H9562*self_build*tk_cxfac/1000</f>
        <v>34.545199717</v>
      </c>
      <c r="I9585" s="6" t="n">
        <f aca="false">Sens!I9562*self_build*tk_cxfac/1000</f>
        <v>24.4782641361767</v>
      </c>
      <c r="J9585" s="6" t="n">
        <f aca="false">Sens!J9562*self_build*tk_cxfac/1000</f>
        <v>14.9008938380769</v>
      </c>
      <c r="K9585" s="6" t="n">
        <f aca="false">Sens!K9562*self_build*tk_cxfac/1000</f>
        <v>5.52576771375761</v>
      </c>
    </row>
    <row r="9586" customFormat="false" ht="17.15" hidden="false" customHeight="false" outlineLevel="0" collapsed="false">
      <c r="A9586" s="0" t="s">
        <v>997</v>
      </c>
      <c r="B9586" s="0" t="s">
        <v>98</v>
      </c>
      <c r="F9586" s="15" t="n">
        <f aca="false">capex_floor27-Sens!F9584-Sens!F9585-Sens!F9682</f>
        <v>-0.0221120866139728</v>
      </c>
      <c r="L9586" s="12" t="s">
        <v>998</v>
      </c>
    </row>
    <row r="9587" customFormat="false" ht="17.15" hidden="false" customHeight="false" outlineLevel="0" collapsed="false">
      <c r="A9587" s="0" t="s">
        <v>999</v>
      </c>
      <c r="B9587" s="0" t="s">
        <v>98</v>
      </c>
      <c r="F9587" s="6" t="n">
        <f aca="false">MAX(0,Sens!F9586)</f>
        <v>0</v>
      </c>
    </row>
    <row r="9588" customFormat="false" ht="17.15" hidden="false" customHeight="false" outlineLevel="0" collapsed="false">
      <c r="A9588" s="0" t="s">
        <v>1000</v>
      </c>
      <c r="B9588" s="0" t="s">
        <v>98</v>
      </c>
      <c r="C9588" s="6" t="n">
        <f aca="false">Sens!C9584</f>
        <v>22.5333845916667</v>
      </c>
      <c r="D9588" s="6" t="n">
        <f aca="false">Sens!D9584</f>
        <v>34.0300093833333</v>
      </c>
      <c r="E9588" s="6" t="n">
        <f aca="false">Sens!E9584</f>
        <v>67.600153775</v>
      </c>
      <c r="F9588" s="6" t="n">
        <f aca="false">Sens!F9584</f>
        <v>136.51872432512</v>
      </c>
      <c r="G9588" s="6" t="n">
        <f aca="false">Sens!G9584</f>
        <v>157.399275932048</v>
      </c>
      <c r="H9588" s="6" t="n">
        <f aca="false">Sens!H9584</f>
        <v>162.260804347512</v>
      </c>
      <c r="I9588" s="6" t="n">
        <f aca="false">Sens!I9584</f>
        <v>144.136569485434</v>
      </c>
      <c r="J9588" s="6" t="n">
        <f aca="false">Sens!J9584</f>
        <v>114.029037357864</v>
      </c>
      <c r="K9588" s="6" t="n">
        <f aca="false">Sens!K9584</f>
        <v>113.437085350975</v>
      </c>
    </row>
    <row r="9589" customFormat="false" ht="17.15" hidden="false" customHeight="false" outlineLevel="0" collapsed="false">
      <c r="A9589" s="0" t="s">
        <v>1001</v>
      </c>
      <c r="B9589" s="0" t="s">
        <v>98</v>
      </c>
      <c r="C9589" s="6" t="n">
        <f aca="false">Sens!C9588+Sens!C9585</f>
        <v>28.7416845916667</v>
      </c>
      <c r="D9589" s="6" t="n">
        <f aca="false">Sens!D9588+Sens!D9585</f>
        <v>43.4058093833333</v>
      </c>
      <c r="E9589" s="6" t="n">
        <f aca="false">Sens!E9588+Sens!E9585</f>
        <v>86.225053775</v>
      </c>
      <c r="F9589" s="6" t="n">
        <f aca="false">Sens!F9588+Sens!F9585</f>
        <v>168.45390404212</v>
      </c>
      <c r="G9589" s="6" t="n">
        <f aca="false">Sens!G9588+Sens!G9585</f>
        <v>191.944475649048</v>
      </c>
      <c r="H9589" s="6" t="n">
        <f aca="false">Sens!H9588+Sens!H9585</f>
        <v>196.806004064512</v>
      </c>
      <c r="I9589" s="6" t="n">
        <f aca="false">Sens!I9588+Sens!I9585</f>
        <v>168.61483362161</v>
      </c>
      <c r="J9589" s="6" t="n">
        <f aca="false">Sens!J9588+Sens!J9585</f>
        <v>128.92993119594</v>
      </c>
      <c r="K9589" s="6" t="n">
        <f aca="false">Sens!K9588+Sens!K9585</f>
        <v>118.962853064733</v>
      </c>
      <c r="L9589" s="12" t="s">
        <v>1002</v>
      </c>
    </row>
    <row r="9590" customFormat="false" ht="17.15" hidden="false" customHeight="false" outlineLevel="0" collapsed="false">
      <c r="A9590" s="0" t="s">
        <v>1003</v>
      </c>
      <c r="B9590" s="0" t="s">
        <v>98</v>
      </c>
      <c r="E9590" s="6" t="n">
        <f aca="false">(Sens!C9588*IF(2&lt;life_it,1,IF(2=life_it,0.5,0))+Sens!D9588*IF(1&lt;life_it,1,IF(1=life_it,0.5,0))+Sens!E9588*0.5)/life_it</f>
        <v>15.0605784770833</v>
      </c>
      <c r="F9590" s="6" t="n">
        <f aca="false">(Sens!C9588*IF(3&lt;life_it,1,IF(3=life_it,0.5,0))+Sens!D9588*IF(2&lt;life_it,1,IF(2=life_it,0.5,0))+Sens!E9588*IF(1&lt;life_it,1,IF(1=life_it,0.5,0))+Sens!F9588*0.5)/life_it</f>
        <v>32.0704849854266</v>
      </c>
      <c r="G9590" s="6" t="n">
        <f aca="false">(Sens!C9588*IF(4&lt;life_it,1,IF(4=life_it,0.5,0))+Sens!D9588*IF(3&lt;life_it,1,IF(3=life_it,0.5,0))+Sens!E9588*IF(2&lt;life_it,1,IF(2=life_it,0.5,0))+Sens!F9588*IF(1&lt;life_it,1,IF(1=life_it,0.5,0))+Sens!G9588*0.5)/life_it</f>
        <v>56.5636516735239</v>
      </c>
      <c r="H9590" s="6" t="n">
        <f aca="false">(Sens!C9588*IF(5&lt;life_it,1,IF(5=life_it,0.5,0))+Sens!D9588*IF(4&lt;life_it,1,IF(4=life_it,0.5,0))+Sens!E9588*IF(3&lt;life_it,1,IF(3=life_it,0.5,0))+Sens!F9588*IF(2&lt;life_it,1,IF(2=life_it,0.5,0))+Sens!G9588*IF(1&lt;life_it,1,IF(1=life_it,0.5,0))+Sens!H9588*0.5)/life_it</f>
        <v>83.2019916968207</v>
      </c>
      <c r="I9590" s="6" t="n">
        <f aca="false">(Sens!C9588*IF(6&lt;life_it,1,IF(6=life_it,0.5,0))+Sens!D9588*IF(5&lt;life_it,1,IF(5=life_it,0.5,0))+Sens!E9588*IF(4&lt;life_it,1,IF(4=life_it,0.5,0))+Sens!F9588*IF(3&lt;life_it,1,IF(3=life_it,0.5,0))+Sens!G9588*IF(2&lt;life_it,1,IF(2=life_it,0.5,0))+Sens!H9588*IF(1&lt;life_it,1,IF(1=life_it,0.5,0))+Sens!I9588*0.5)/life_it</f>
        <v>106.857324133594</v>
      </c>
      <c r="J9590" s="6" t="n">
        <f aca="false">(Sens!C9588*IF(7&lt;life_it,1,IF(7=life_it,0.5,0))+Sens!D9588*IF(6&lt;life_it,1,IF(6=life_it,0.5,0))+Sens!E9588*IF(5&lt;life_it,1,IF(5=life_it,0.5,0))+Sens!F9588*IF(4&lt;life_it,1,IF(4=life_it,0.5,0))+Sens!G9588*IF(3&lt;life_it,1,IF(3=life_it,0.5,0))+Sens!H9588*IF(2&lt;life_it,1,IF(2=life_it,0.5,0))+Sens!I9588*IF(1&lt;life_it,1,IF(1=life_it,0.5,0))+Sens!J9588*0.5)/life_it</f>
        <v>123.657508539285</v>
      </c>
      <c r="K9590" s="6" t="n">
        <f aca="false">(Sens!C9588*IF(8&lt;life_it,1,IF(8=life_it,0.5,0))+Sens!D9588*IF(7&lt;life_it,1,IF(7=life_it,0.5,0))+Sens!E9588*IF(6&lt;life_it,1,IF(6=life_it,0.5,0))+Sens!F9588*IF(5&lt;life_it,1,IF(5=life_it,0.5,0))+Sens!G9588*IF(4&lt;life_it,1,IF(4=life_it,0.5,0))+Sens!H9588*IF(3&lt;life_it,1,IF(3=life_it,0.5,0))+Sens!I9588*IF(2&lt;life_it,1,IF(2=life_it,0.5,0))+Sens!J9588*IF(1&lt;life_it,1,IF(1=life_it,0.5,0))+Sens!K9588*0.5)/life_it</f>
        <v>134.143838501827</v>
      </c>
    </row>
    <row r="9591" customFormat="false" ht="17.15" hidden="false" customHeight="false" outlineLevel="0" collapsed="false">
      <c r="A9591" s="0" t="s">
        <v>1004</v>
      </c>
      <c r="B9591" s="0" t="s">
        <v>98</v>
      </c>
      <c r="E9591" s="6" t="n">
        <f aca="false">(Sens!C9585*IF(2&lt;life_fac,1,IF(2=life_fac,0.5,0))+Sens!D9585*IF(1&lt;life_fac,1,IF(1=life_fac,0.5,0))+Sens!E9585*0.5)/life_fac</f>
        <v>1.2448275</v>
      </c>
      <c r="F9591" s="6" t="n">
        <f aca="false">(Sens!C9585*IF(3&lt;life_fac,1,IF(3=life_fac,0.5,0))+Sens!D9585*IF(2&lt;life_fac,1,IF(2=life_fac,0.5,0))+Sens!E9585*IF(1&lt;life_fac,1,IF(1=life_fac,0.5,0))+Sens!F9585*0.5)/life_fac</f>
        <v>2.508829492925</v>
      </c>
      <c r="G9591" s="6" t="n">
        <f aca="false">(Sens!C9585*IF(4&lt;life_fac,1,IF(4=life_fac,0.5,0))+Sens!D9585*IF(3&lt;life_fac,1,IF(3=life_fac,0.5,0))+Sens!E9585*IF(2&lt;life_fac,1,IF(2=life_fac,0.5,0))+Sens!F9585*IF(1&lt;life_fac,1,IF(1=life_fac,0.5,0))+Sens!G9585*0.5)/life_fac</f>
        <v>4.170838978775</v>
      </c>
      <c r="H9591" s="6" t="n">
        <f aca="false">(Sens!C9585*IF(5&lt;life_fac,1,IF(5=life_fac,0.5,0))+Sens!D9585*IF(4&lt;life_fac,1,IF(4=life_fac,0.5,0))+Sens!E9585*IF(3&lt;life_fac,1,IF(3=life_fac,0.5,0))+Sens!F9585*IF(2&lt;life_fac,1,IF(2=life_fac,0.5,0))+Sens!G9585*IF(1&lt;life_fac,1,IF(1=life_fac,0.5,0))+Sens!H9585*0.5)/life_fac</f>
        <v>5.898098964625</v>
      </c>
      <c r="I9591" s="6" t="n">
        <f aca="false">(Sens!C9585*IF(6&lt;life_fac,1,IF(6=life_fac,0.5,0))+Sens!D9585*IF(5&lt;life_fac,1,IF(5=life_fac,0.5,0))+Sens!E9585*IF(4&lt;life_fac,1,IF(4=life_fac,0.5,0))+Sens!F9585*IF(3&lt;life_fac,1,IF(3=life_fac,0.5,0))+Sens!G9585*IF(2&lt;life_fac,1,IF(2=life_fac,0.5,0))+Sens!H9585*IF(1&lt;life_fac,1,IF(1=life_fac,0.5,0))+Sens!I9585*0.5)/life_fac</f>
        <v>7.37368556095442</v>
      </c>
      <c r="J9591" s="6" t="n">
        <f aca="false">(Sens!C9585*IF(7&lt;life_fac,1,IF(7=life_fac,0.5,0))+Sens!D9585*IF(6&lt;life_fac,1,IF(6=life_fac,0.5,0))+Sens!E9585*IF(5&lt;life_fac,1,IF(5=life_fac,0.5,0))+Sens!F9585*IF(4&lt;life_fac,1,IF(4=life_fac,0.5,0))+Sens!G9585*IF(3&lt;life_fac,1,IF(3=life_fac,0.5,0))+Sens!H9585*IF(2&lt;life_fac,1,IF(2=life_fac,0.5,0))+Sens!I9585*IF(1&lt;life_fac,1,IF(1=life_fac,0.5,0))+Sens!J9585*0.5)/life_fac</f>
        <v>8.35816451031075</v>
      </c>
      <c r="K9591" s="6" t="n">
        <f aca="false">(Sens!C9585*IF(8&lt;life_fac,1,IF(8=life_fac,0.5,0))+Sens!D9585*IF(7&lt;life_fac,1,IF(7=life_fac,0.5,0))+Sens!E9585*IF(6&lt;life_fac,1,IF(6=life_fac,0.5,0))+Sens!F9585*IF(5&lt;life_fac,1,IF(5=life_fac,0.5,0))+Sens!G9585*IF(4&lt;life_fac,1,IF(4=life_fac,0.5,0))+Sens!H9585*IF(3&lt;life_fac,1,IF(3=life_fac,0.5,0))+Sens!I9585*IF(2&lt;life_fac,1,IF(2=life_fac,0.5,0))+Sens!J9585*IF(1&lt;life_fac,1,IF(1=life_fac,0.5,0))+Sens!K9585*0.5)/life_fac</f>
        <v>8.86883104910662</v>
      </c>
    </row>
    <row r="9592" customFormat="false" ht="17.15" hidden="false" customHeight="false" outlineLevel="0" collapsed="false">
      <c r="A9592" s="0" t="s">
        <v>1005</v>
      </c>
      <c r="B9592" s="0" t="s">
        <v>98</v>
      </c>
      <c r="E9592" s="6" t="n">
        <f aca="false">Sens!E9590+Sens!E9591</f>
        <v>16.3054059770833</v>
      </c>
      <c r="F9592" s="6" t="n">
        <f aca="false">Sens!F9590+Sens!F9591</f>
        <v>34.5793144783516</v>
      </c>
      <c r="G9592" s="6" t="n">
        <f aca="false">Sens!G9590+Sens!G9591</f>
        <v>60.7344906522989</v>
      </c>
      <c r="H9592" s="6" t="n">
        <f aca="false">Sens!H9590+Sens!H9591</f>
        <v>89.1000906614457</v>
      </c>
      <c r="I9592" s="6" t="n">
        <f aca="false">Sens!I9590+Sens!I9591</f>
        <v>114.231009694548</v>
      </c>
      <c r="J9592" s="6" t="n">
        <f aca="false">Sens!J9590+Sens!J9591</f>
        <v>132.015673049596</v>
      </c>
      <c r="K9592" s="6" t="n">
        <f aca="false">Sens!K9590+Sens!K9591</f>
        <v>143.012669550934</v>
      </c>
    </row>
    <row r="9593" customFormat="false" ht="17.15" hidden="false" customHeight="false" outlineLevel="0" collapsed="false">
      <c r="A9593" s="0" t="s">
        <v>1006</v>
      </c>
      <c r="B9593" s="0" t="s">
        <v>98</v>
      </c>
      <c r="E9593" s="6" t="n">
        <f aca="false">Sens!E9580-Sens!E9579*Sens!E9592</f>
        <v>8.92707889977379</v>
      </c>
      <c r="F9593" s="6" t="n">
        <f aca="false">Sens!F9580-Sens!F9579*Sens!F9592</f>
        <v>14.3471335960079</v>
      </c>
      <c r="G9593" s="6" t="n">
        <f aca="false">Sens!G9580-Sens!G9579*Sens!G9592</f>
        <v>16.5202976798683</v>
      </c>
      <c r="H9593" s="6" t="n">
        <f aca="false">Sens!H9580-Sens!H9579*Sens!H9592</f>
        <v>12.9805278875331</v>
      </c>
      <c r="I9593" s="6" t="n">
        <f aca="false">Sens!I9580-Sens!I9579*Sens!I9592</f>
        <v>16.2363335770989</v>
      </c>
      <c r="J9593" s="6" t="n">
        <f aca="false">Sens!J9580-Sens!J9579*Sens!J9592</f>
        <v>18.4432225839805</v>
      </c>
      <c r="K9593" s="6" t="n">
        <f aca="false">Sens!K9580-Sens!K9579*Sens!K9592</f>
        <v>20.1577566819661</v>
      </c>
    </row>
    <row r="9594" customFormat="false" ht="17.15" hidden="false" customHeight="false" outlineLevel="0" collapsed="false">
      <c r="A9594" s="3" t="s">
        <v>1851</v>
      </c>
    </row>
    <row r="9595" customFormat="false" ht="15" hidden="false" customHeight="false" outlineLevel="0" collapsed="false">
      <c r="A9595" s="4" t="s">
        <v>43</v>
      </c>
      <c r="B9595" s="4" t="s">
        <v>65</v>
      </c>
      <c r="C9595" s="23" t="s">
        <v>942</v>
      </c>
      <c r="D9595" s="23" t="s">
        <v>943</v>
      </c>
      <c r="E9595" s="23" t="s">
        <v>944</v>
      </c>
      <c r="F9595" s="23" t="s">
        <v>945</v>
      </c>
      <c r="G9595" s="23" t="s">
        <v>946</v>
      </c>
      <c r="H9595" s="23" t="s">
        <v>947</v>
      </c>
      <c r="I9595" s="23" t="s">
        <v>948</v>
      </c>
      <c r="J9595" s="23" t="s">
        <v>949</v>
      </c>
      <c r="K9595" s="23" t="s">
        <v>950</v>
      </c>
      <c r="L9595" s="4" t="s">
        <v>47</v>
      </c>
    </row>
    <row r="9596" customFormat="false" ht="17.15" hidden="false" customHeight="false" outlineLevel="0" collapsed="false">
      <c r="A9596" s="0" t="s">
        <v>1025</v>
      </c>
      <c r="B9596" s="0" t="s">
        <v>98</v>
      </c>
      <c r="D9596" s="6" t="n">
        <f aca="false">Sens!D9574</f>
        <v>12.9359794422418</v>
      </c>
      <c r="E9596" s="6" t="n">
        <f aca="false">Sens!E9574</f>
        <v>27.8095064661409</v>
      </c>
      <c r="F9596" s="6" t="n">
        <f aca="false">Sens!F9574</f>
        <v>50.9819294352312</v>
      </c>
      <c r="G9596" s="6" t="n">
        <f aca="false">Sens!G9574</f>
        <v>76.6920436014933</v>
      </c>
      <c r="H9596" s="6" t="n">
        <f aca="false">Sens!H9574</f>
        <v>97.4495379418341</v>
      </c>
      <c r="I9596" s="6" t="n">
        <f aca="false">Sens!I9574</f>
        <v>122.083445553868</v>
      </c>
      <c r="J9596" s="6" t="n">
        <f aca="false">Sens!J9574</f>
        <v>139.249060444804</v>
      </c>
      <c r="K9596" s="6" t="n">
        <f aca="false">Sens!K9574</f>
        <v>149.995818575589</v>
      </c>
    </row>
    <row r="9597" customFormat="false" ht="17.15" hidden="false" customHeight="false" outlineLevel="0" collapsed="false">
      <c r="A9597" s="0" t="s">
        <v>1026</v>
      </c>
      <c r="B9597" s="0" t="s">
        <v>98</v>
      </c>
      <c r="D9597" s="6" t="n">
        <f aca="false">Q!L6-Sens!D9596</f>
        <v>59.6740205577583</v>
      </c>
      <c r="E9597" s="6" t="n">
        <f aca="false">Q!M6-Sens!E9596</f>
        <v>74.1284935338591</v>
      </c>
      <c r="F9597" s="6" t="n">
        <f aca="false">Q!$I$6+(Sens!F9596+Sens!E9597*(1+Sens!F9598))*(1-Q!$E$6/Q!M6)-Sens!F9596</f>
        <v>91.9806989744282</v>
      </c>
      <c r="G9597" s="6" t="n">
        <f aca="false">Sens!F9597*(1+Sens!G9598)</f>
        <v>108.366992004207</v>
      </c>
      <c r="H9597" s="6" t="n">
        <f aca="false">Sens!G9597*(1+Sens!H9598)</f>
        <v>124.200703602616</v>
      </c>
      <c r="I9597" s="6" t="n">
        <f aca="false">Sens!H9597*(1+Sens!I9598)</f>
        <v>138.368852623673</v>
      </c>
      <c r="J9597" s="6" t="n">
        <f aca="false">Sens!I9597*(1+Sens!J9598)</f>
        <v>149.720261612039</v>
      </c>
      <c r="K9597" s="6" t="n">
        <f aca="false">Sens!J9597*(1+Sens!K9598)</f>
        <v>157.206274692641</v>
      </c>
      <c r="L9597" s="12" t="s">
        <v>1027</v>
      </c>
    </row>
    <row r="9598" customFormat="false" ht="15" hidden="false" customHeight="false" outlineLevel="0" collapsed="false">
      <c r="A9598" s="1" t="s">
        <v>1028</v>
      </c>
      <c r="B9598" s="0" t="s">
        <v>168</v>
      </c>
      <c r="E9598" s="7" t="n">
        <f aca="false">Sens!E9597/Sens!D9597-1</f>
        <v>0.242223883039864</v>
      </c>
      <c r="F9598" s="7" t="n">
        <f aca="false">Sens!$E$9598+(glt_azo_lo-Sens!$E$9598)*MIN(1,(Sens!F9555-base_fy)/n_conv)</f>
        <v>0.210186569199887</v>
      </c>
      <c r="G9598" s="7" t="n">
        <f aca="false">Sens!$E$9598+(glt_azo_lo-Sens!$E$9598)*MIN(1,(Sens!G9555-base_fy)/n_conv)</f>
        <v>0.17814925535991</v>
      </c>
      <c r="H9598" s="7" t="n">
        <f aca="false">Sens!$E$9598+(glt_azo_lo-Sens!$E$9598)*MIN(1,(Sens!H9555-base_fy)/n_conv)</f>
        <v>0.146111941519932</v>
      </c>
      <c r="I9598" s="7" t="n">
        <f aca="false">Sens!$E$9598+(glt_azo_lo-Sens!$E$9598)*MIN(1,(Sens!I9555-base_fy)/n_conv)</f>
        <v>0.114074627679955</v>
      </c>
      <c r="J9598" s="7" t="n">
        <f aca="false">Sens!$E$9598+(glt_azo_lo-Sens!$E$9598)*MIN(1,(Sens!J9555-base_fy)/n_conv)</f>
        <v>0.0820373138399774</v>
      </c>
      <c r="K9598" s="7" t="n">
        <f aca="false">Sens!$E$9598+(glt_azo_lo-Sens!$E$9598)*MIN(1,(Sens!K9555-base_fy)/n_conv)</f>
        <v>0.05</v>
      </c>
    </row>
    <row r="9599" customFormat="false" ht="15" hidden="false" customHeight="false" outlineLevel="0" collapsed="false">
      <c r="A9599" s="0" t="s">
        <v>1029</v>
      </c>
      <c r="B9599" s="0" t="s">
        <v>98</v>
      </c>
      <c r="D9599" s="6" t="n">
        <f aca="false">Sens!D9596+Sens!D9597</f>
        <v>72.61</v>
      </c>
      <c r="E9599" s="6" t="n">
        <f aca="false">Sens!E9596+Sens!E9597</f>
        <v>101.938</v>
      </c>
      <c r="F9599" s="6" t="n">
        <f aca="false">Sens!F9596+Sens!F9597</f>
        <v>142.962628409659</v>
      </c>
      <c r="G9599" s="6" t="n">
        <f aca="false">Sens!G9596+Sens!G9597</f>
        <v>185.0590356057</v>
      </c>
      <c r="H9599" s="6" t="n">
        <f aca="false">Sens!H9596+Sens!H9597</f>
        <v>221.65024154445</v>
      </c>
      <c r="I9599" s="6" t="n">
        <f aca="false">Sens!I9596+Sens!I9597</f>
        <v>260.452298177541</v>
      </c>
      <c r="J9599" s="6" t="n">
        <f aca="false">Sens!J9596+Sens!J9597</f>
        <v>288.969322056843</v>
      </c>
      <c r="K9599" s="6" t="n">
        <f aca="false">Sens!K9596+Sens!K9597</f>
        <v>307.20209326823</v>
      </c>
    </row>
    <row r="9600" customFormat="false" ht="17.15" hidden="false" customHeight="false" outlineLevel="0" collapsed="false">
      <c r="A9600" s="0" t="s">
        <v>1030</v>
      </c>
      <c r="B9600" s="1" t="s">
        <v>613</v>
      </c>
      <c r="C9600" s="30" t="n">
        <f aca="false">cop_s24</f>
        <v>1</v>
      </c>
      <c r="D9600" s="30" t="n">
        <f aca="false">cop_s25</f>
        <v>5</v>
      </c>
      <c r="E9600" s="30" t="n">
        <f aca="false">cop_s26</f>
        <v>30</v>
      </c>
      <c r="F9600" s="30" t="n">
        <f aca="false">Sens!E9600+cop_add_C</f>
        <v>40</v>
      </c>
      <c r="G9600" s="30" t="n">
        <f aca="false">Sens!F9600+cop_add_C</f>
        <v>50</v>
      </c>
      <c r="H9600" s="30" t="n">
        <f aca="false">Sens!G9600+cop_add_C</f>
        <v>60</v>
      </c>
      <c r="I9600" s="30" t="n">
        <f aca="false">Sens!H9600+cop_add_C*cop_tail</f>
        <v>65</v>
      </c>
      <c r="J9600" s="30" t="n">
        <f aca="false">Sens!I9600+cop_add_C*cop_tail</f>
        <v>70</v>
      </c>
      <c r="K9600" s="30" t="n">
        <f aca="false">Sens!J9600+cop_add_C*cop_tail</f>
        <v>75</v>
      </c>
      <c r="L9600" s="12" t="s">
        <v>1031</v>
      </c>
    </row>
    <row r="9601" customFormat="false" ht="17.15" hidden="false" customHeight="false" outlineLevel="0" collapsed="false">
      <c r="A9601" s="0" t="s">
        <v>1032</v>
      </c>
      <c r="B9601" s="0" t="s">
        <v>98</v>
      </c>
      <c r="D9601" s="6" t="n">
        <f aca="false">(Sens!C9600+Sens!D9600)/2*cop_px*12/1000</f>
        <v>0.9</v>
      </c>
      <c r="E9601" s="6" t="n">
        <f aca="false">(Sens!D9600+Sens!E9600)/2*cop_px*12/1000</f>
        <v>5.25</v>
      </c>
      <c r="F9601" s="6" t="n">
        <f aca="false">(Sens!E9600+Sens!F9600)/2*cop_px*12/1000</f>
        <v>10.5</v>
      </c>
      <c r="G9601" s="6" t="n">
        <f aca="false">(Sens!F9600+Sens!G9600)/2*cop_px*12/1000</f>
        <v>13.5</v>
      </c>
      <c r="H9601" s="6" t="n">
        <f aca="false">(Sens!G9600+Sens!H9600)/2*cop_px*12/1000</f>
        <v>16.5</v>
      </c>
      <c r="I9601" s="6" t="n">
        <f aca="false">(Sens!H9600+Sens!I9600)/2*cop_px*12/1000</f>
        <v>18.75</v>
      </c>
      <c r="J9601" s="6" t="n">
        <f aca="false">(Sens!I9600+Sens!J9600)/2*cop_px*12/1000</f>
        <v>20.25</v>
      </c>
      <c r="K9601" s="6" t="n">
        <f aca="false">(Sens!J9600+Sens!K9600)/2*cop_px*12/1000</f>
        <v>21.75</v>
      </c>
      <c r="L9601" s="1" t="s">
        <v>1033</v>
      </c>
    </row>
    <row r="9602" customFormat="false" ht="17.15" hidden="false" customHeight="false" outlineLevel="0" collapsed="false">
      <c r="A9602" s="0" t="s">
        <v>1034</v>
      </c>
      <c r="B9602" s="0" t="s">
        <v>98</v>
      </c>
      <c r="D9602" s="6" t="n">
        <f aca="false">Q!L7-Sens!D9601</f>
        <v>83.705</v>
      </c>
      <c r="E9602" s="6" t="n">
        <f aca="false">Q!M7-Sens!E9601</f>
        <v>95.049</v>
      </c>
      <c r="F9602" s="6" t="n">
        <f aca="false">Q!$I$7+(Sens!E9602*(1+Sens!F9603)+Sens!F9601)*(1-Q!$E$7/Q!M7)-Sens!F9601</f>
        <v>106.938354189776</v>
      </c>
      <c r="G9602" s="6" t="n">
        <f aca="false">Sens!F9602*(1+Sens!G9603)</f>
        <v>119.095360443801</v>
      </c>
      <c r="H9602" s="6" t="n">
        <f aca="false">Sens!G9602*(1+Sens!H9603)</f>
        <v>131.333811964563</v>
      </c>
      <c r="I9602" s="6" t="n">
        <f aca="false">Sens!H9602*(1+Sens!I9603)</f>
        <v>143.395665319381</v>
      </c>
      <c r="J9602" s="6" t="n">
        <f aca="false">Sens!I9602*(1+Sens!J9603)</f>
        <v>154.999327755573</v>
      </c>
      <c r="K9602" s="6" t="n">
        <f aca="false">Sens!J9602*(1+Sens!K9603)</f>
        <v>165.849280698463</v>
      </c>
      <c r="L9602" s="12" t="s">
        <v>1035</v>
      </c>
    </row>
    <row r="9603" customFormat="false" ht="15" hidden="false" customHeight="false" outlineLevel="0" collapsed="false">
      <c r="A9603" s="1" t="s">
        <v>1028</v>
      </c>
      <c r="B9603" s="0" t="s">
        <v>168</v>
      </c>
      <c r="E9603" s="7" t="n">
        <f aca="false">Sens!E9602/Sens!D9602-1</f>
        <v>0.135523564900544</v>
      </c>
      <c r="F9603" s="7" t="n">
        <f aca="false">Sens!$E$9603+(glt_m365b-Sens!$E$9603)*MIN(1,(Sens!F9555-base_fy)/n_conv)</f>
        <v>0.124602970750453</v>
      </c>
      <c r="G9603" s="7" t="n">
        <f aca="false">Sens!$E$9603+(glt_m365b-Sens!$E$9603)*MIN(1,(Sens!G9555-base_fy)/n_conv)</f>
        <v>0.113682376600363</v>
      </c>
      <c r="H9603" s="7" t="n">
        <f aca="false">Sens!$E$9603+(glt_m365b-Sens!$E$9603)*MIN(1,(Sens!H9555-base_fy)/n_conv)</f>
        <v>0.102761782450272</v>
      </c>
      <c r="I9603" s="7" t="n">
        <f aca="false">Sens!$E$9603+(glt_m365b-Sens!$E$9603)*MIN(1,(Sens!I9555-base_fy)/n_conv)</f>
        <v>0.0918411883001813</v>
      </c>
      <c r="J9603" s="7" t="n">
        <f aca="false">Sens!$E$9603+(glt_m365b-Sens!$E$9603)*MIN(1,(Sens!J9555-base_fy)/n_conv)</f>
        <v>0.0809205941500906</v>
      </c>
      <c r="K9603" s="7" t="n">
        <f aca="false">Sens!$E$9603+(glt_m365b-Sens!$E$9603)*MIN(1,(Sens!K9555-base_fy)/n_conv)</f>
        <v>0.07</v>
      </c>
    </row>
    <row r="9604" customFormat="false" ht="15" hidden="false" customHeight="false" outlineLevel="0" collapsed="false">
      <c r="A9604" s="0" t="s">
        <v>1036</v>
      </c>
      <c r="B9604" s="0" t="s">
        <v>98</v>
      </c>
      <c r="D9604" s="6" t="n">
        <f aca="false">Sens!D9602+Sens!D9601</f>
        <v>84.605</v>
      </c>
      <c r="E9604" s="6" t="n">
        <f aca="false">Sens!E9602+Sens!E9601</f>
        <v>100.299</v>
      </c>
      <c r="F9604" s="6" t="n">
        <f aca="false">Sens!F9602+Sens!F9601</f>
        <v>117.438354189776</v>
      </c>
      <c r="G9604" s="6" t="n">
        <f aca="false">Sens!G9602+Sens!G9601</f>
        <v>132.595360443801</v>
      </c>
      <c r="H9604" s="6" t="n">
        <f aca="false">Sens!H9602+Sens!H9601</f>
        <v>147.833811964563</v>
      </c>
      <c r="I9604" s="6" t="n">
        <f aca="false">Sens!I9602+Sens!I9601</f>
        <v>162.145665319381</v>
      </c>
      <c r="J9604" s="6" t="n">
        <f aca="false">Sens!J9602+Sens!J9601</f>
        <v>175.249327755573</v>
      </c>
      <c r="K9604" s="6" t="n">
        <f aca="false">Sens!K9602+Sens!K9601</f>
        <v>187.599280698463</v>
      </c>
    </row>
    <row r="9605" customFormat="false" ht="17.15" hidden="false" customHeight="false" outlineLevel="0" collapsed="false">
      <c r="A9605" s="0" t="s">
        <v>1037</v>
      </c>
      <c r="B9605" s="0" t="s">
        <v>98</v>
      </c>
      <c r="D9605" s="6" t="n">
        <f aca="false">Q!L8</f>
        <v>35.391</v>
      </c>
      <c r="E9605" s="6" t="n">
        <f aca="false">Q!M8</f>
        <v>37.285</v>
      </c>
      <c r="F9605" s="6" t="n">
        <f aca="false">Q!$I$8+(Q!M8-Q!$E$8)*(1+Sens!F9606)</f>
        <v>38.3851437782675</v>
      </c>
      <c r="G9605" s="6" t="n">
        <f aca="false">Sens!F9605*(1+Sens!G9606)</f>
        <v>40.0105353288615</v>
      </c>
      <c r="H9605" s="6" t="n">
        <f aca="false">Sens!G9605*(1+Sens!H9606)</f>
        <v>41.4812512033683</v>
      </c>
      <c r="I9605" s="6" t="n">
        <f aca="false">Sens!H9605*(1+Sens!I9606)</f>
        <v>42.7743107216329</v>
      </c>
      <c r="J9605" s="6" t="n">
        <f aca="false">Sens!I9605*(1+Sens!J9606)</f>
        <v>43.8687373064601</v>
      </c>
      <c r="K9605" s="6" t="n">
        <f aca="false">Sens!J9605*(1+Sens!K9606)</f>
        <v>44.7461120525893</v>
      </c>
      <c r="L9605" s="12" t="s">
        <v>1038</v>
      </c>
    </row>
    <row r="9606" customFormat="false" ht="15" hidden="false" customHeight="false" outlineLevel="0" collapsed="false">
      <c r="A9606" s="1" t="s">
        <v>1028</v>
      </c>
      <c r="B9606" s="0" t="s">
        <v>168</v>
      </c>
      <c r="E9606" s="7" t="n">
        <f aca="false">Sens!E9605/Sens!D9605-1</f>
        <v>0.0535164307309768</v>
      </c>
      <c r="F9606" s="7" t="n">
        <f aca="false">Sens!$E$9606+(glt_lic-Sens!$E$9606)*MIN(1,(Sens!F9555-base_fy)/n_conv)</f>
        <v>0.0479303589424807</v>
      </c>
      <c r="G9606" s="7" t="n">
        <f aca="false">Sens!$E$9606+(glt_lic-Sens!$E$9606)*MIN(1,(Sens!G9555-base_fy)/n_conv)</f>
        <v>0.0423442871539845</v>
      </c>
      <c r="H9606" s="7" t="n">
        <f aca="false">Sens!$E$9606+(glt_lic-Sens!$E$9606)*MIN(1,(Sens!H9555-base_fy)/n_conv)</f>
        <v>0.0367582153654884</v>
      </c>
      <c r="I9606" s="7" t="n">
        <f aca="false">Sens!$E$9606+(glt_lic-Sens!$E$9606)*MIN(1,(Sens!I9555-base_fy)/n_conv)</f>
        <v>0.0311721435769923</v>
      </c>
      <c r="J9606" s="7" t="n">
        <f aca="false">Sens!$E$9606+(glt_lic-Sens!$E$9606)*MIN(1,(Sens!J9555-base_fy)/n_conv)</f>
        <v>0.0255860717884961</v>
      </c>
      <c r="K9606" s="7" t="n">
        <f aca="false">Sens!$E$9606+(glt_lic-Sens!$E$9606)*MIN(1,(Sens!K9555-base_fy)/n_conv)</f>
        <v>0.02</v>
      </c>
    </row>
    <row r="9607" customFormat="false" ht="17.15" hidden="false" customHeight="false" outlineLevel="0" collapsed="false">
      <c r="A9607" s="0" t="s">
        <v>1039</v>
      </c>
      <c r="B9607" s="0" t="s">
        <v>98</v>
      </c>
      <c r="D9607" s="6" t="n">
        <f aca="false">Q!L9</f>
        <v>18.417</v>
      </c>
      <c r="E9607" s="6" t="n">
        <f aca="false">Q!M9</f>
        <v>20.345</v>
      </c>
      <c r="F9607" s="6" t="n">
        <f aca="false">Q!$I$9+(Q!M9-Q!$E$9)*(1+Sens!F9608)</f>
        <v>22.3161797133988</v>
      </c>
      <c r="G9607" s="6" t="n">
        <f aca="false">Sens!F9607*(1+Sens!G9608)</f>
        <v>24.3943499673233</v>
      </c>
      <c r="H9607" s="6" t="n">
        <f aca="false">Sens!G9607*(1+Sens!H9608)</f>
        <v>26.5250243109019</v>
      </c>
      <c r="I9607" s="6" t="n">
        <f aca="false">Sens!H9607*(1+Sens!I9608)</f>
        <v>28.6884573538181</v>
      </c>
      <c r="J9607" s="6" t="n">
        <f aca="false">Sens!I9607*(1+Sens!J9608)</f>
        <v>30.8624968052127</v>
      </c>
      <c r="K9607" s="6" t="n">
        <f aca="false">Sens!J9607*(1+Sens!K9608)</f>
        <v>33.0228715815776</v>
      </c>
      <c r="L9607" s="12" t="s">
        <v>1038</v>
      </c>
    </row>
    <row r="9608" customFormat="false" ht="15" hidden="false" customHeight="false" outlineLevel="0" collapsed="false">
      <c r="A9608" s="1" t="s">
        <v>1028</v>
      </c>
      <c r="B9608" s="0" t="s">
        <v>168</v>
      </c>
      <c r="E9608" s="7" t="n">
        <f aca="false">Sens!E9607/Sens!D9607-1</f>
        <v>0.104685888038225</v>
      </c>
      <c r="F9608" s="7" t="n">
        <f aca="false">Sens!$E$9608+(glt_ind-Sens!$E$9608)*MIN(1,(Sens!F9555-base_fy)/n_conv)</f>
        <v>0.0989049066985211</v>
      </c>
      <c r="G9608" s="7" t="n">
        <f aca="false">Sens!$E$9608+(glt_ind-Sens!$E$9608)*MIN(1,(Sens!G9555-base_fy)/n_conv)</f>
        <v>0.0931239253588169</v>
      </c>
      <c r="H9608" s="7" t="n">
        <f aca="false">Sens!$E$9608+(glt_ind-Sens!$E$9608)*MIN(1,(Sens!H9555-base_fy)/n_conv)</f>
        <v>0.0873429440191127</v>
      </c>
      <c r="I9608" s="7" t="n">
        <f aca="false">Sens!$E$9608+(glt_ind-Sens!$E$9608)*MIN(1,(Sens!I9555-base_fy)/n_conv)</f>
        <v>0.0815619626794085</v>
      </c>
      <c r="J9608" s="7" t="n">
        <f aca="false">Sens!$E$9608+(glt_ind-Sens!$E$9608)*MIN(1,(Sens!J9555-base_fy)/n_conv)</f>
        <v>0.0757809813397042</v>
      </c>
      <c r="K9608" s="7" t="n">
        <f aca="false">Sens!$E$9608+(glt_ind-Sens!$E$9608)*MIN(1,(Sens!K9555-base_fy)/n_conv)</f>
        <v>0.07</v>
      </c>
    </row>
    <row r="9609" customFormat="false" ht="17.15" hidden="false" customHeight="false" outlineLevel="0" collapsed="false">
      <c r="A9609" s="0" t="s">
        <v>1040</v>
      </c>
      <c r="B9609" s="0" t="s">
        <v>98</v>
      </c>
      <c r="D9609" s="6" t="n">
        <f aca="false">Q!L10</f>
        <v>7.76</v>
      </c>
      <c r="E9609" s="6" t="n">
        <f aca="false">Q!M10</f>
        <v>8.26</v>
      </c>
      <c r="F9609" s="6" t="n">
        <f aca="false">Q!$I$10+(Q!M10-Q!$E$10)*(1+Sens!F9610)</f>
        <v>8.75372082474227</v>
      </c>
      <c r="G9609" s="6" t="n">
        <f aca="false">Sens!F9609*(1+Sens!G9610)</f>
        <v>9.33399324642364</v>
      </c>
      <c r="H9609" s="6" t="n">
        <f aca="false">Sens!G9609*(1+Sens!H9610)</f>
        <v>9.96139155535851</v>
      </c>
      <c r="I9609" s="6" t="n">
        <f aca="false">Sens!H9609*(1+Sens!I9610)</f>
        <v>10.6402039077391</v>
      </c>
      <c r="J9609" s="6" t="n">
        <f aca="false">Sens!I9609*(1+Sens!J9610)</f>
        <v>11.3751458271397</v>
      </c>
      <c r="K9609" s="6" t="n">
        <f aca="false">Sens!J9609*(1+Sens!K9610)</f>
        <v>12.1714060350394</v>
      </c>
      <c r="L9609" s="12" t="s">
        <v>1038</v>
      </c>
    </row>
    <row r="9610" customFormat="false" ht="15" hidden="false" customHeight="false" outlineLevel="0" collapsed="false">
      <c r="A9610" s="1" t="s">
        <v>1028</v>
      </c>
      <c r="B9610" s="0" t="s">
        <v>168</v>
      </c>
      <c r="E9610" s="7" t="n">
        <f aca="false">Sens!E9609/Sens!D9609-1</f>
        <v>0.0644329896907216</v>
      </c>
      <c r="F9610" s="7" t="n">
        <f aca="false">Sens!$E$9610+(glt_fro-Sens!$E$9610)*MIN(1,(Sens!F9555-base_fy)/n_conv)</f>
        <v>0.065360824742268</v>
      </c>
      <c r="G9610" s="7" t="n">
        <f aca="false">Sens!$E$9610+(glt_fro-Sens!$E$9610)*MIN(1,(Sens!G9555-base_fy)/n_conv)</f>
        <v>0.0662886597938144</v>
      </c>
      <c r="H9610" s="7" t="n">
        <f aca="false">Sens!$E$9610+(glt_fro-Sens!$E$9610)*MIN(1,(Sens!H9555-base_fy)/n_conv)</f>
        <v>0.0672164948453608</v>
      </c>
      <c r="I9610" s="7" t="n">
        <f aca="false">Sens!$E$9610+(glt_fro-Sens!$E$9610)*MIN(1,(Sens!I9555-base_fy)/n_conv)</f>
        <v>0.0681443298969072</v>
      </c>
      <c r="J9610" s="7" t="n">
        <f aca="false">Sens!$E$9610+(glt_fro-Sens!$E$9610)*MIN(1,(Sens!J9555-base_fy)/n_conv)</f>
        <v>0.0690721649484536</v>
      </c>
      <c r="K9610" s="7" t="n">
        <f aca="false">Sens!$E$9610+(glt_fro-Sens!$E$9610)*MIN(1,(Sens!K9555-base_fy)/n_conv)</f>
        <v>0.07</v>
      </c>
    </row>
    <row r="9611" customFormat="false" ht="15" hidden="false" customHeight="false" outlineLevel="0" collapsed="false">
      <c r="A9611" s="0" t="s">
        <v>856</v>
      </c>
      <c r="B9611" s="0" t="s">
        <v>98</v>
      </c>
      <c r="D9611" s="6" t="n">
        <f aca="false">Sens!D9599+Sens!D9604+Sens!D9605+Sens!D9607+Sens!D9609</f>
        <v>218.783</v>
      </c>
      <c r="E9611" s="6" t="n">
        <f aca="false">Sens!E9599+Sens!E9604+Sens!E9605+Sens!E9607+Sens!E9609</f>
        <v>268.127</v>
      </c>
      <c r="F9611" s="6" t="n">
        <f aca="false">Sens!F9599+Sens!F9604+Sens!F9605+Sens!F9607+Sens!F9609</f>
        <v>329.856026915844</v>
      </c>
      <c r="G9611" s="6" t="n">
        <f aca="false">Sens!G9599+Sens!G9604+Sens!G9605+Sens!G9607+Sens!G9609</f>
        <v>391.393274592109</v>
      </c>
      <c r="H9611" s="6" t="n">
        <f aca="false">Sens!H9599+Sens!H9604+Sens!H9605+Sens!H9607+Sens!H9609</f>
        <v>447.451720578642</v>
      </c>
      <c r="I9611" s="6" t="n">
        <f aca="false">Sens!I9599+Sens!I9604+Sens!I9605+Sens!I9607+Sens!I9609</f>
        <v>504.700935480112</v>
      </c>
      <c r="J9611" s="6" t="n">
        <f aca="false">Sens!J9599+Sens!J9604+Sens!J9605+Sens!J9607+Sens!J9609</f>
        <v>550.325029751228</v>
      </c>
      <c r="K9611" s="6" t="n">
        <f aca="false">Sens!K9599+Sens!K9604+Sens!K9605+Sens!K9607+Sens!K9609</f>
        <v>584.741763635899</v>
      </c>
    </row>
    <row r="9612" customFormat="false" ht="17.15" hidden="false" customHeight="false" outlineLevel="0" collapsed="false">
      <c r="A9612" s="0" t="s">
        <v>1041</v>
      </c>
      <c r="B9612" s="0" t="s">
        <v>98</v>
      </c>
      <c r="D9612" s="6" t="n">
        <f aca="false">Q!L13</f>
        <v>22.171</v>
      </c>
      <c r="E9612" s="6" t="n">
        <f aca="false">Q!M13</f>
        <v>24.835</v>
      </c>
      <c r="F9612" s="6" t="n">
        <f aca="false">Q!$I$13+(Q!M13-Q!$E$13)*(1+Sens!F9613)</f>
        <v>27.5591895660247</v>
      </c>
      <c r="G9612" s="6" t="n">
        <f aca="false">Sens!F9612*(1+Sens!G9613)</f>
        <v>30.4098563144583</v>
      </c>
      <c r="H9612" s="6" t="n">
        <f aca="false">Sens!G9612*(1+Sens!H9613)</f>
        <v>33.3011792571777</v>
      </c>
      <c r="I9612" s="6" t="n">
        <f aca="false">Sens!H9612*(1+Sens!I9613)</f>
        <v>36.189023797112</v>
      </c>
      <c r="J9612" s="6" t="n">
        <f aca="false">Sens!I9612*(1+Sens!J9613)</f>
        <v>39.0247773769199</v>
      </c>
      <c r="K9612" s="6" t="n">
        <f aca="false">Sens!J9612*(1+Sens!K9613)</f>
        <v>41.7565117933043</v>
      </c>
      <c r="L9612" s="12" t="s">
        <v>1038</v>
      </c>
    </row>
    <row r="9613" customFormat="false" ht="15" hidden="false" customHeight="false" outlineLevel="0" collapsed="false">
      <c r="A9613" s="1" t="s">
        <v>1028</v>
      </c>
      <c r="B9613" s="0" t="s">
        <v>168</v>
      </c>
      <c r="E9613" s="7" t="n">
        <f aca="false">Sens!E9612/Sens!D9612-1</f>
        <v>0.120156961796942</v>
      </c>
      <c r="F9613" s="7" t="n">
        <f aca="false">Sens!$E$9613+(glt_srch-Sens!$E$9613)*MIN(1,(Sens!F9555-base_fy)/n_conv)</f>
        <v>0.111797468164118</v>
      </c>
      <c r="G9613" s="7" t="n">
        <f aca="false">Sens!$E$9613+(glt_srch-Sens!$E$9613)*MIN(1,(Sens!G9555-base_fy)/n_conv)</f>
        <v>0.103437974531295</v>
      </c>
      <c r="H9613" s="7" t="n">
        <f aca="false">Sens!$E$9613+(glt_srch-Sens!$E$9613)*MIN(1,(Sens!H9555-base_fy)/n_conv)</f>
        <v>0.095078480898471</v>
      </c>
      <c r="I9613" s="7" t="n">
        <f aca="false">Sens!$E$9613+(glt_srch-Sens!$E$9613)*MIN(1,(Sens!I9555-base_fy)/n_conv)</f>
        <v>0.0867189872656474</v>
      </c>
      <c r="J9613" s="7" t="n">
        <f aca="false">Sens!$E$9613+(glt_srch-Sens!$E$9613)*MIN(1,(Sens!J9555-base_fy)/n_conv)</f>
        <v>0.0783594936328237</v>
      </c>
      <c r="K9613" s="7" t="n">
        <f aca="false">Sens!$E$9613+(glt_srch-Sens!$E$9613)*MIN(1,(Sens!K9555-base_fy)/n_conv)</f>
        <v>0.07</v>
      </c>
    </row>
    <row r="9614" customFormat="false" ht="17.15" hidden="false" customHeight="false" outlineLevel="0" collapsed="false">
      <c r="A9614" s="0" t="s">
        <v>1042</v>
      </c>
      <c r="B9614" s="0" t="s">
        <v>98</v>
      </c>
      <c r="D9614" s="6" t="n">
        <f aca="false">Q!L14</f>
        <v>23.455</v>
      </c>
      <c r="E9614" s="6" t="n">
        <f aca="false">Q!M14</f>
        <v>21.79</v>
      </c>
      <c r="F9614" s="6" t="n">
        <f aca="false">Q!$I$14+(Q!M14-Q!$E$14)*(1+Sens!F9615)</f>
        <v>20.7520981041711</v>
      </c>
      <c r="G9614" s="6" t="n">
        <f aca="false">Sens!F9614*(1+Sens!G9615)</f>
        <v>19.9083593495882</v>
      </c>
      <c r="H9614" s="6" t="n">
        <f aca="false">Sens!G9614*(1+Sens!H9615)</f>
        <v>19.4008256265831</v>
      </c>
      <c r="I9614" s="6" t="n">
        <f aca="false">Sens!H9614*(1+Sens!I9615)</f>
        <v>19.200434522122</v>
      </c>
      <c r="J9614" s="6" t="n">
        <f aca="false">Sens!I9614*(1+Sens!J9615)</f>
        <v>19.2932782348507</v>
      </c>
      <c r="K9614" s="6" t="n">
        <f aca="false">Sens!J9614*(1+Sens!K9615)</f>
        <v>19.6791437995477</v>
      </c>
      <c r="L9614" s="12" t="s">
        <v>1038</v>
      </c>
    </row>
    <row r="9615" customFormat="false" ht="15" hidden="false" customHeight="false" outlineLevel="0" collapsed="false">
      <c r="A9615" s="1" t="s">
        <v>1028</v>
      </c>
      <c r="B9615" s="0" t="s">
        <v>168</v>
      </c>
      <c r="E9615" s="7" t="n">
        <f aca="false">Sens!E9614/Sens!D9614-1</f>
        <v>-0.0709869963760392</v>
      </c>
      <c r="F9615" s="7" t="n">
        <f aca="false">Sens!$E$9615+(glt_xbox-Sens!$E$9615)*MIN(1,(Sens!F9555-base_fy)/n_conv)</f>
        <v>-0.0558224969800327</v>
      </c>
      <c r="G9615" s="7" t="n">
        <f aca="false">Sens!$E$9615+(glt_xbox-Sens!$E$9615)*MIN(1,(Sens!G9555-base_fy)/n_conv)</f>
        <v>-0.0406579975840262</v>
      </c>
      <c r="H9615" s="7" t="n">
        <f aca="false">Sens!$E$9615+(glt_xbox-Sens!$E$9615)*MIN(1,(Sens!H9555-base_fy)/n_conv)</f>
        <v>-0.0254934981880196</v>
      </c>
      <c r="I9615" s="7" t="n">
        <f aca="false">Sens!$E$9615+(glt_xbox-Sens!$E$9615)*MIN(1,(Sens!I9555-base_fy)/n_conv)</f>
        <v>-0.0103289987920131</v>
      </c>
      <c r="J9615" s="7" t="n">
        <f aca="false">Sens!$E$9615+(glt_xbox-Sens!$E$9615)*MIN(1,(Sens!J9555-base_fy)/n_conv)</f>
        <v>0.00483550060399347</v>
      </c>
      <c r="K9615" s="7" t="n">
        <f aca="false">Sens!$E$9615+(glt_xbox-Sens!$E$9615)*MIN(1,(Sens!K9555-base_fy)/n_conv)</f>
        <v>0.02</v>
      </c>
    </row>
    <row r="9616" customFormat="false" ht="17.15" hidden="false" customHeight="false" outlineLevel="0" collapsed="false">
      <c r="A9616" s="0" t="s">
        <v>1043</v>
      </c>
      <c r="B9616" s="0" t="s">
        <v>98</v>
      </c>
      <c r="D9616" s="6" t="n">
        <f aca="false">Q!L15</f>
        <v>17.315</v>
      </c>
      <c r="E9616" s="6" t="n">
        <f aca="false">Q!M15</f>
        <v>17.087</v>
      </c>
      <c r="F9616" s="6" t="n">
        <f aca="false">Q!$I$15+(Q!M15-Q!$E$15)*(1+Sens!F9617)</f>
        <v>15.9912273250553</v>
      </c>
      <c r="G9616" s="6" t="n">
        <f aca="false">Sens!F9616*(1+Sens!G9617)</f>
        <v>15.9574562664827</v>
      </c>
      <c r="H9616" s="6" t="n">
        <f aca="false">Sens!G9616*(1+Sens!H9617)</f>
        <v>16.0119687434196</v>
      </c>
      <c r="I9616" s="6" t="n">
        <f aca="false">Sens!H9616*(1+Sens!I9617)</f>
        <v>16.1551810001948</v>
      </c>
      <c r="J9616" s="6" t="n">
        <f aca="false">Sens!I9616*(1+Sens!J9617)</f>
        <v>16.3889793892005</v>
      </c>
      <c r="K9616" s="6" t="n">
        <f aca="false">Sens!J9616*(1+Sens!K9617)</f>
        <v>16.7167589769845</v>
      </c>
      <c r="L9616" s="12" t="s">
        <v>1038</v>
      </c>
    </row>
    <row r="9617" customFormat="false" ht="15" hidden="false" customHeight="false" outlineLevel="0" collapsed="false">
      <c r="A9617" s="1" t="s">
        <v>1028</v>
      </c>
      <c r="B9617" s="0" t="s">
        <v>168</v>
      </c>
      <c r="E9617" s="7" t="n">
        <f aca="false">Sens!E9616/Sens!D9616-1</f>
        <v>-0.0131677736066995</v>
      </c>
      <c r="F9617" s="7" t="n">
        <f aca="false">Sens!$E$9617+(glt_win-Sens!$E$9617)*MIN(1,(Sens!F9555-base_fy)/n_conv)</f>
        <v>-0.00763981133891627</v>
      </c>
      <c r="G9617" s="7" t="n">
        <f aca="false">Sens!$E$9617+(glt_win-Sens!$E$9617)*MIN(1,(Sens!G9555-base_fy)/n_conv)</f>
        <v>-0.00211184907113301</v>
      </c>
      <c r="H9617" s="7" t="n">
        <f aca="false">Sens!$E$9617+(glt_win-Sens!$E$9617)*MIN(1,(Sens!H9555-base_fy)/n_conv)</f>
        <v>0.00341611319665024</v>
      </c>
      <c r="I9617" s="7" t="n">
        <f aca="false">Sens!$E$9617+(glt_win-Sens!$E$9617)*MIN(1,(Sens!I9555-base_fy)/n_conv)</f>
        <v>0.00894407546443349</v>
      </c>
      <c r="J9617" s="7" t="n">
        <f aca="false">Sens!$E$9617+(glt_win-Sens!$E$9617)*MIN(1,(Sens!J9555-base_fy)/n_conv)</f>
        <v>0.0144720377322168</v>
      </c>
      <c r="K9617" s="7" t="n">
        <f aca="false">Sens!$E$9617+(glt_win-Sens!$E$9617)*MIN(1,(Sens!K9555-base_fy)/n_conv)</f>
        <v>0.02</v>
      </c>
    </row>
    <row r="9618" customFormat="false" ht="15" hidden="false" customHeight="false" outlineLevel="0" collapsed="false">
      <c r="A9618" s="0" t="s">
        <v>870</v>
      </c>
      <c r="B9618" s="0" t="s">
        <v>98</v>
      </c>
      <c r="D9618" s="6" t="n">
        <f aca="false">Sens!D9612+Sens!D9614+Sens!D9616</f>
        <v>62.941</v>
      </c>
      <c r="E9618" s="6" t="n">
        <f aca="false">Sens!E9612+Sens!E9614+Sens!E9616</f>
        <v>63.712</v>
      </c>
      <c r="F9618" s="6" t="n">
        <f aca="false">Sens!F9612+Sens!F9614+Sens!F9616</f>
        <v>64.3025149952511</v>
      </c>
      <c r="G9618" s="6" t="n">
        <f aca="false">Sens!G9612+Sens!G9614+Sens!G9616</f>
        <v>66.2756719305292</v>
      </c>
      <c r="H9618" s="6" t="n">
        <f aca="false">Sens!H9612+Sens!H9614+Sens!H9616</f>
        <v>68.7139736271804</v>
      </c>
      <c r="I9618" s="6" t="n">
        <f aca="false">Sens!I9612+Sens!I9614+Sens!I9616</f>
        <v>71.5446393194289</v>
      </c>
      <c r="J9618" s="6" t="n">
        <f aca="false">Sens!J9612+Sens!J9614+Sens!J9616</f>
        <v>74.707035000971</v>
      </c>
      <c r="K9618" s="6" t="n">
        <f aca="false">Sens!K9612+Sens!K9614+Sens!K9616</f>
        <v>78.1524145698365</v>
      </c>
    </row>
    <row r="9619" customFormat="false" ht="15" hidden="false" customHeight="false" outlineLevel="0" collapsed="false">
      <c r="A9619" s="1" t="s">
        <v>1044</v>
      </c>
      <c r="B9619" s="0" t="s">
        <v>98</v>
      </c>
      <c r="D9619" s="6" t="n">
        <f aca="false">Sens!D9611+Sens!D9618</f>
        <v>281.724</v>
      </c>
      <c r="E9619" s="6" t="n">
        <f aca="false">Sens!E9611+Sens!E9618</f>
        <v>331.839</v>
      </c>
      <c r="F9619" s="6" t="n">
        <f aca="false">Sens!F9611+Sens!F9618</f>
        <v>394.158541911095</v>
      </c>
      <c r="G9619" s="6" t="n">
        <f aca="false">Sens!G9611+Sens!G9618</f>
        <v>457.668946522638</v>
      </c>
      <c r="H9619" s="6" t="n">
        <f aca="false">Sens!H9611+Sens!H9618</f>
        <v>516.165694205822</v>
      </c>
      <c r="I9619" s="6" t="n">
        <f aca="false">Sens!I9611+Sens!I9618</f>
        <v>576.245574799541</v>
      </c>
      <c r="J9619" s="6" t="n">
        <f aca="false">Sens!J9611+Sens!J9618</f>
        <v>625.032064752199</v>
      </c>
      <c r="K9619" s="6" t="n">
        <f aca="false">Sens!K9611+Sens!K9618</f>
        <v>662.894178205736</v>
      </c>
    </row>
    <row r="9620" customFormat="false" ht="15" hidden="false" customHeight="false" outlineLevel="0" collapsed="false">
      <c r="A9620" s="26" t="s">
        <v>1045</v>
      </c>
      <c r="B9620" s="31" t="s">
        <v>98</v>
      </c>
      <c r="C9620" s="31"/>
      <c r="D9620" s="27" t="n">
        <f aca="false">(Sens!D9599+Sens!D9604+Sens!D9605+Sens!D9607+Sens!D9609-Sens!D9611)+(Sens!D9612+Sens!D9614+Sens!D9616-Sens!D9618)+(Sens!D9611-Q!L5)+(Sens!D9618-Q!L12)+(Sens!D9599-Q!L6)+(Sens!D9604-Q!L7)</f>
        <v>0</v>
      </c>
      <c r="E9620" s="27" t="n">
        <f aca="false">(Sens!E9599+Sens!E9604+Sens!E9605+Sens!E9607+Sens!E9609-Sens!E9611)+(Sens!E9612+Sens!E9614+Sens!E9616-Sens!E9618)+(Sens!E9611-Q!M5)+(Sens!E9618-Q!M12)+(Sens!E9599-Q!M6)+(Sens!E9604-Q!M7)</f>
        <v>0</v>
      </c>
      <c r="F9620" s="27" t="n">
        <f aca="false">(Sens!F9599+Sens!F9604+Sens!F9605+Sens!F9607+Sens!F9609-Sens!F9611)+(Sens!F9612+Sens!F9614+Sens!F9616-Sens!F9618)</f>
        <v>0</v>
      </c>
      <c r="G9620" s="27" t="n">
        <f aca="false">(Sens!G9599+Sens!G9604+Sens!G9605+Sens!G9607+Sens!G9609-Sens!G9611)+(Sens!G9612+Sens!G9614+Sens!G9616-Sens!G9618)</f>
        <v>0</v>
      </c>
      <c r="H9620" s="27" t="n">
        <f aca="false">(Sens!H9599+Sens!H9604+Sens!H9605+Sens!H9607+Sens!H9609-Sens!H9611)+(Sens!H9612+Sens!H9614+Sens!H9616-Sens!H9618)</f>
        <v>0</v>
      </c>
      <c r="I9620" s="27" t="n">
        <f aca="false">(Sens!I9599+Sens!I9604+Sens!I9605+Sens!I9607+Sens!I9609-Sens!I9611)+(Sens!I9612+Sens!I9614+Sens!I9616-Sens!I9618)</f>
        <v>0</v>
      </c>
      <c r="J9620" s="27" t="n">
        <f aca="false">(Sens!J9599+Sens!J9604+Sens!J9605+Sens!J9607+Sens!J9609-Sens!J9611)+(Sens!J9612+Sens!J9614+Sens!J9616-Sens!J9618)</f>
        <v>0</v>
      </c>
      <c r="K9620" s="27" t="n">
        <f aca="false">(Sens!K9599+Sens!K9604+Sens!K9605+Sens!K9607+Sens!K9609-Sens!K9611)+(Sens!K9612+Sens!K9614+Sens!K9616-Sens!K9618)</f>
        <v>0</v>
      </c>
    </row>
    <row r="9621" customFormat="false" ht="17.15" hidden="false" customHeight="false" outlineLevel="0" collapsed="false">
      <c r="A9621" s="3" t="s">
        <v>1852</v>
      </c>
    </row>
    <row r="9622" customFormat="false" ht="15" hidden="false" customHeight="false" outlineLevel="0" collapsed="false">
      <c r="A9622" s="4" t="s">
        <v>43</v>
      </c>
      <c r="B9622" s="4" t="s">
        <v>65</v>
      </c>
      <c r="C9622" s="23" t="s">
        <v>942</v>
      </c>
      <c r="D9622" s="23" t="s">
        <v>943</v>
      </c>
      <c r="E9622" s="23" t="s">
        <v>944</v>
      </c>
      <c r="F9622" s="23" t="s">
        <v>945</v>
      </c>
      <c r="G9622" s="23" t="s">
        <v>946</v>
      </c>
      <c r="H9622" s="23" t="s">
        <v>947</v>
      </c>
      <c r="I9622" s="23" t="s">
        <v>948</v>
      </c>
      <c r="J9622" s="23" t="s">
        <v>949</v>
      </c>
      <c r="K9622" s="23" t="s">
        <v>950</v>
      </c>
      <c r="L9622" s="4" t="s">
        <v>47</v>
      </c>
    </row>
    <row r="9623" customFormat="false" ht="15" hidden="false" customHeight="false" outlineLevel="0" collapsed="false">
      <c r="A9623" s="0" t="s">
        <v>1029</v>
      </c>
      <c r="B9623" s="0" t="s">
        <v>98</v>
      </c>
      <c r="D9623" s="6" t="n">
        <f aca="false">Sens!D9599</f>
        <v>72.61</v>
      </c>
      <c r="E9623" s="6" t="n">
        <f aca="false">Sens!E9599</f>
        <v>101.938</v>
      </c>
      <c r="F9623" s="6" t="n">
        <f aca="false">Sens!F9599</f>
        <v>142.962628409659</v>
      </c>
      <c r="G9623" s="6" t="n">
        <f aca="false">Sens!G9599</f>
        <v>185.0590356057</v>
      </c>
      <c r="H9623" s="6" t="n">
        <f aca="false">Sens!H9599</f>
        <v>221.65024154445</v>
      </c>
      <c r="I9623" s="6" t="n">
        <f aca="false">Sens!I9599</f>
        <v>260.452298177541</v>
      </c>
      <c r="J9623" s="6" t="n">
        <f aca="false">Sens!J9599</f>
        <v>288.969322056843</v>
      </c>
      <c r="K9623" s="6" t="n">
        <f aca="false">Sens!K9599</f>
        <v>307.20209326823</v>
      </c>
    </row>
    <row r="9624" customFormat="false" ht="17.15" hidden="false" customHeight="false" outlineLevel="0" collapsed="false">
      <c r="A9624" s="0" t="s">
        <v>1025</v>
      </c>
      <c r="B9624" s="0" t="s">
        <v>98</v>
      </c>
      <c r="D9624" s="6" t="n">
        <f aca="false">Sens!D9596</f>
        <v>12.9359794422418</v>
      </c>
      <c r="E9624" s="6" t="n">
        <f aca="false">Sens!E9596</f>
        <v>27.8095064661409</v>
      </c>
      <c r="F9624" s="6" t="n">
        <f aca="false">Sens!F9596</f>
        <v>50.9819294352312</v>
      </c>
      <c r="G9624" s="6" t="n">
        <f aca="false">Sens!G9596</f>
        <v>76.6920436014933</v>
      </c>
      <c r="H9624" s="6" t="n">
        <f aca="false">Sens!H9596</f>
        <v>97.4495379418341</v>
      </c>
      <c r="I9624" s="6" t="n">
        <f aca="false">Sens!I9596</f>
        <v>122.083445553868</v>
      </c>
      <c r="J9624" s="6" t="n">
        <f aca="false">Sens!J9596</f>
        <v>139.249060444804</v>
      </c>
      <c r="K9624" s="6" t="n">
        <f aca="false">Sens!K9596</f>
        <v>149.995818575589</v>
      </c>
    </row>
    <row r="9625" customFormat="false" ht="17.15" hidden="false" customHeight="false" outlineLevel="0" collapsed="false">
      <c r="A9625" s="0" t="s">
        <v>1056</v>
      </c>
      <c r="B9625" s="0" t="s">
        <v>98</v>
      </c>
      <c r="D9625" s="6" t="n">
        <f aca="false">Sens!D9597</f>
        <v>59.6740205577583</v>
      </c>
      <c r="E9625" s="6" t="n">
        <f aca="false">Sens!E9597</f>
        <v>74.1284935338591</v>
      </c>
      <c r="F9625" s="6" t="n">
        <f aca="false">Sens!F9597</f>
        <v>91.9806989744282</v>
      </c>
      <c r="G9625" s="6" t="n">
        <f aca="false">Sens!G9597</f>
        <v>108.366992004207</v>
      </c>
      <c r="H9625" s="6" t="n">
        <f aca="false">Sens!H9597</f>
        <v>124.200703602616</v>
      </c>
      <c r="I9625" s="6" t="n">
        <f aca="false">Sens!I9597</f>
        <v>138.368852623673</v>
      </c>
      <c r="J9625" s="6" t="n">
        <f aca="false">Sens!J9597</f>
        <v>149.720261612039</v>
      </c>
      <c r="K9625" s="6" t="n">
        <f aca="false">Sens!K9597</f>
        <v>157.206274692641</v>
      </c>
    </row>
    <row r="9626" customFormat="false" ht="15" hidden="false" customHeight="false" outlineLevel="0" collapsed="false">
      <c r="A9626" s="0" t="s">
        <v>1036</v>
      </c>
      <c r="B9626" s="0" t="s">
        <v>98</v>
      </c>
      <c r="D9626" s="6" t="n">
        <f aca="false">Sens!D9604</f>
        <v>84.605</v>
      </c>
      <c r="E9626" s="6" t="n">
        <f aca="false">Sens!E9604</f>
        <v>100.299</v>
      </c>
      <c r="F9626" s="6" t="n">
        <f aca="false">Sens!F9604</f>
        <v>117.438354189776</v>
      </c>
      <c r="G9626" s="6" t="n">
        <f aca="false">Sens!G9604</f>
        <v>132.595360443801</v>
      </c>
      <c r="H9626" s="6" t="n">
        <f aca="false">Sens!H9604</f>
        <v>147.833811964563</v>
      </c>
      <c r="I9626" s="6" t="n">
        <f aca="false">Sens!I9604</f>
        <v>162.145665319381</v>
      </c>
      <c r="J9626" s="6" t="n">
        <f aca="false">Sens!J9604</f>
        <v>175.249327755573</v>
      </c>
      <c r="K9626" s="6" t="n">
        <f aca="false">Sens!K9604</f>
        <v>187.599280698463</v>
      </c>
    </row>
    <row r="9627" customFormat="false" ht="17.15" hidden="false" customHeight="false" outlineLevel="0" collapsed="false">
      <c r="A9627" s="0" t="s">
        <v>1057</v>
      </c>
      <c r="B9627" s="0" t="s">
        <v>98</v>
      </c>
      <c r="D9627" s="6" t="n">
        <f aca="false">Sens!D9602</f>
        <v>83.705</v>
      </c>
      <c r="E9627" s="6" t="n">
        <f aca="false">Sens!E9602</f>
        <v>95.049</v>
      </c>
      <c r="F9627" s="6" t="n">
        <f aca="false">Sens!F9602</f>
        <v>106.938354189776</v>
      </c>
      <c r="G9627" s="6" t="n">
        <f aca="false">Sens!G9602</f>
        <v>119.095360443801</v>
      </c>
      <c r="H9627" s="6" t="n">
        <f aca="false">Sens!H9602</f>
        <v>131.333811964563</v>
      </c>
      <c r="I9627" s="6" t="n">
        <f aca="false">Sens!I9602</f>
        <v>143.395665319381</v>
      </c>
      <c r="J9627" s="6" t="n">
        <f aca="false">Sens!J9602</f>
        <v>154.999327755573</v>
      </c>
      <c r="K9627" s="6" t="n">
        <f aca="false">Sens!K9602</f>
        <v>165.849280698463</v>
      </c>
    </row>
    <row r="9628" customFormat="false" ht="17.15" hidden="false" customHeight="false" outlineLevel="0" collapsed="false">
      <c r="A9628" s="0" t="s">
        <v>1058</v>
      </c>
      <c r="B9628" s="0" t="s">
        <v>98</v>
      </c>
      <c r="D9628" s="6" t="n">
        <f aca="false">Sens!D9601</f>
        <v>0.9</v>
      </c>
      <c r="E9628" s="6" t="n">
        <f aca="false">Sens!E9601</f>
        <v>5.25</v>
      </c>
      <c r="F9628" s="6" t="n">
        <f aca="false">Sens!F9601</f>
        <v>10.5</v>
      </c>
      <c r="G9628" s="6" t="n">
        <f aca="false">Sens!G9601</f>
        <v>13.5</v>
      </c>
      <c r="H9628" s="6" t="n">
        <f aca="false">Sens!H9601</f>
        <v>16.5</v>
      </c>
      <c r="I9628" s="6" t="n">
        <f aca="false">Sens!I9601</f>
        <v>18.75</v>
      </c>
      <c r="J9628" s="6" t="n">
        <f aca="false">Sens!J9601</f>
        <v>20.25</v>
      </c>
      <c r="K9628" s="6" t="n">
        <f aca="false">Sens!K9601</f>
        <v>21.75</v>
      </c>
    </row>
    <row r="9629" customFormat="false" ht="15" hidden="false" customHeight="false" outlineLevel="0" collapsed="false">
      <c r="A9629" s="0" t="s">
        <v>1037</v>
      </c>
      <c r="B9629" s="0" t="s">
        <v>98</v>
      </c>
      <c r="D9629" s="6" t="n">
        <f aca="false">Sens!D9605</f>
        <v>35.391</v>
      </c>
      <c r="E9629" s="6" t="n">
        <f aca="false">Sens!E9605</f>
        <v>37.285</v>
      </c>
      <c r="F9629" s="6" t="n">
        <f aca="false">Sens!F9605</f>
        <v>38.3851437782675</v>
      </c>
      <c r="G9629" s="6" t="n">
        <f aca="false">Sens!G9605</f>
        <v>40.0105353288615</v>
      </c>
      <c r="H9629" s="6" t="n">
        <f aca="false">Sens!H9605</f>
        <v>41.4812512033683</v>
      </c>
      <c r="I9629" s="6" t="n">
        <f aca="false">Sens!I9605</f>
        <v>42.7743107216329</v>
      </c>
      <c r="J9629" s="6" t="n">
        <f aca="false">Sens!J9605</f>
        <v>43.8687373064601</v>
      </c>
      <c r="K9629" s="6" t="n">
        <f aca="false">Sens!K9605</f>
        <v>44.7461120525893</v>
      </c>
    </row>
    <row r="9630" customFormat="false" ht="15" hidden="false" customHeight="false" outlineLevel="0" collapsed="false">
      <c r="A9630" s="0" t="s">
        <v>1039</v>
      </c>
      <c r="B9630" s="0" t="s">
        <v>98</v>
      </c>
      <c r="D9630" s="6" t="n">
        <f aca="false">Sens!D9607</f>
        <v>18.417</v>
      </c>
      <c r="E9630" s="6" t="n">
        <f aca="false">Sens!E9607</f>
        <v>20.345</v>
      </c>
      <c r="F9630" s="6" t="n">
        <f aca="false">Sens!F9607</f>
        <v>22.3161797133988</v>
      </c>
      <c r="G9630" s="6" t="n">
        <f aca="false">Sens!G9607</f>
        <v>24.3943499673233</v>
      </c>
      <c r="H9630" s="6" t="n">
        <f aca="false">Sens!H9607</f>
        <v>26.5250243109019</v>
      </c>
      <c r="I9630" s="6" t="n">
        <f aca="false">Sens!I9607</f>
        <v>28.6884573538181</v>
      </c>
      <c r="J9630" s="6" t="n">
        <f aca="false">Sens!J9607</f>
        <v>30.8624968052127</v>
      </c>
      <c r="K9630" s="6" t="n">
        <f aca="false">Sens!K9607</f>
        <v>33.0228715815776</v>
      </c>
    </row>
    <row r="9631" customFormat="false" ht="15" hidden="false" customHeight="false" outlineLevel="0" collapsed="false">
      <c r="A9631" s="0" t="s">
        <v>1040</v>
      </c>
      <c r="B9631" s="0" t="s">
        <v>98</v>
      </c>
      <c r="D9631" s="6" t="n">
        <f aca="false">Sens!D9609</f>
        <v>7.76</v>
      </c>
      <c r="E9631" s="6" t="n">
        <f aca="false">Sens!E9609</f>
        <v>8.26</v>
      </c>
      <c r="F9631" s="6" t="n">
        <f aca="false">Sens!F9609</f>
        <v>8.75372082474227</v>
      </c>
      <c r="G9631" s="6" t="n">
        <f aca="false">Sens!G9609</f>
        <v>9.33399324642364</v>
      </c>
      <c r="H9631" s="6" t="n">
        <f aca="false">Sens!H9609</f>
        <v>9.96139155535851</v>
      </c>
      <c r="I9631" s="6" t="n">
        <f aca="false">Sens!I9609</f>
        <v>10.6402039077391</v>
      </c>
      <c r="J9631" s="6" t="n">
        <f aca="false">Sens!J9609</f>
        <v>11.3751458271397</v>
      </c>
      <c r="K9631" s="6" t="n">
        <f aca="false">Sens!K9609</f>
        <v>12.1714060350394</v>
      </c>
    </row>
    <row r="9632" customFormat="false" ht="15" hidden="false" customHeight="false" outlineLevel="0" collapsed="false">
      <c r="A9632" s="0" t="s">
        <v>856</v>
      </c>
      <c r="B9632" s="0" t="s">
        <v>98</v>
      </c>
      <c r="D9632" s="6" t="n">
        <f aca="false">Sens!D9611</f>
        <v>218.783</v>
      </c>
      <c r="E9632" s="6" t="n">
        <f aca="false">Sens!E9611</f>
        <v>268.127</v>
      </c>
      <c r="F9632" s="6" t="n">
        <f aca="false">Sens!F9611</f>
        <v>329.856026915844</v>
      </c>
      <c r="G9632" s="6" t="n">
        <f aca="false">Sens!G9611</f>
        <v>391.393274592109</v>
      </c>
      <c r="H9632" s="6" t="n">
        <f aca="false">Sens!H9611</f>
        <v>447.451720578642</v>
      </c>
      <c r="I9632" s="6" t="n">
        <f aca="false">Sens!I9611</f>
        <v>504.700935480112</v>
      </c>
      <c r="J9632" s="6" t="n">
        <f aca="false">Sens!J9611</f>
        <v>550.325029751228</v>
      </c>
      <c r="K9632" s="6" t="n">
        <f aca="false">Sens!K9611</f>
        <v>584.741763635899</v>
      </c>
    </row>
    <row r="9633" customFormat="false" ht="15" hidden="false" customHeight="false" outlineLevel="0" collapsed="false">
      <c r="A9633" s="0" t="s">
        <v>1041</v>
      </c>
      <c r="B9633" s="0" t="s">
        <v>98</v>
      </c>
      <c r="D9633" s="6" t="n">
        <f aca="false">Sens!D9612</f>
        <v>22.171</v>
      </c>
      <c r="E9633" s="6" t="n">
        <f aca="false">Sens!E9612</f>
        <v>24.835</v>
      </c>
      <c r="F9633" s="6" t="n">
        <f aca="false">Sens!F9612</f>
        <v>27.5591895660247</v>
      </c>
      <c r="G9633" s="6" t="n">
        <f aca="false">Sens!G9612</f>
        <v>30.4098563144583</v>
      </c>
      <c r="H9633" s="6" t="n">
        <f aca="false">Sens!H9612</f>
        <v>33.3011792571777</v>
      </c>
      <c r="I9633" s="6" t="n">
        <f aca="false">Sens!I9612</f>
        <v>36.189023797112</v>
      </c>
      <c r="J9633" s="6" t="n">
        <f aca="false">Sens!J9612</f>
        <v>39.0247773769199</v>
      </c>
      <c r="K9633" s="6" t="n">
        <f aca="false">Sens!K9612</f>
        <v>41.7565117933043</v>
      </c>
    </row>
    <row r="9634" customFormat="false" ht="15" hidden="false" customHeight="false" outlineLevel="0" collapsed="false">
      <c r="A9634" s="0" t="s">
        <v>1042</v>
      </c>
      <c r="B9634" s="0" t="s">
        <v>98</v>
      </c>
      <c r="D9634" s="6" t="n">
        <f aca="false">Sens!D9614</f>
        <v>23.455</v>
      </c>
      <c r="E9634" s="6" t="n">
        <f aca="false">Sens!E9614</f>
        <v>21.79</v>
      </c>
      <c r="F9634" s="6" t="n">
        <f aca="false">Sens!F9614</f>
        <v>20.7520981041711</v>
      </c>
      <c r="G9634" s="6" t="n">
        <f aca="false">Sens!G9614</f>
        <v>19.9083593495882</v>
      </c>
      <c r="H9634" s="6" t="n">
        <f aca="false">Sens!H9614</f>
        <v>19.4008256265831</v>
      </c>
      <c r="I9634" s="6" t="n">
        <f aca="false">Sens!I9614</f>
        <v>19.200434522122</v>
      </c>
      <c r="J9634" s="6" t="n">
        <f aca="false">Sens!J9614</f>
        <v>19.2932782348507</v>
      </c>
      <c r="K9634" s="6" t="n">
        <f aca="false">Sens!K9614</f>
        <v>19.6791437995477</v>
      </c>
    </row>
    <row r="9635" customFormat="false" ht="15" hidden="false" customHeight="false" outlineLevel="0" collapsed="false">
      <c r="A9635" s="0" t="s">
        <v>1043</v>
      </c>
      <c r="B9635" s="0" t="s">
        <v>98</v>
      </c>
      <c r="D9635" s="6" t="n">
        <f aca="false">Sens!D9616</f>
        <v>17.315</v>
      </c>
      <c r="E9635" s="6" t="n">
        <f aca="false">Sens!E9616</f>
        <v>17.087</v>
      </c>
      <c r="F9635" s="6" t="n">
        <f aca="false">Sens!F9616</f>
        <v>15.9912273250553</v>
      </c>
      <c r="G9635" s="6" t="n">
        <f aca="false">Sens!G9616</f>
        <v>15.9574562664827</v>
      </c>
      <c r="H9635" s="6" t="n">
        <f aca="false">Sens!H9616</f>
        <v>16.0119687434196</v>
      </c>
      <c r="I9635" s="6" t="n">
        <f aca="false">Sens!I9616</f>
        <v>16.1551810001948</v>
      </c>
      <c r="J9635" s="6" t="n">
        <f aca="false">Sens!J9616</f>
        <v>16.3889793892005</v>
      </c>
      <c r="K9635" s="6" t="n">
        <f aca="false">Sens!K9616</f>
        <v>16.7167589769845</v>
      </c>
    </row>
    <row r="9636" customFormat="false" ht="15" hidden="false" customHeight="false" outlineLevel="0" collapsed="false">
      <c r="A9636" s="0" t="s">
        <v>870</v>
      </c>
      <c r="B9636" s="0" t="s">
        <v>98</v>
      </c>
      <c r="D9636" s="6" t="n">
        <f aca="false">Sens!D9618</f>
        <v>62.941</v>
      </c>
      <c r="E9636" s="6" t="n">
        <f aca="false">Sens!E9618</f>
        <v>63.712</v>
      </c>
      <c r="F9636" s="6" t="n">
        <f aca="false">Sens!F9618</f>
        <v>64.3025149952511</v>
      </c>
      <c r="G9636" s="6" t="n">
        <f aca="false">Sens!G9618</f>
        <v>66.2756719305292</v>
      </c>
      <c r="H9636" s="6" t="n">
        <f aca="false">Sens!H9618</f>
        <v>68.7139736271804</v>
      </c>
      <c r="I9636" s="6" t="n">
        <f aca="false">Sens!I9618</f>
        <v>71.5446393194289</v>
      </c>
      <c r="J9636" s="6" t="n">
        <f aca="false">Sens!J9618</f>
        <v>74.707035000971</v>
      </c>
      <c r="K9636" s="6" t="n">
        <f aca="false">Sens!K9618</f>
        <v>78.1524145698365</v>
      </c>
    </row>
    <row r="9637" customFormat="false" ht="15" hidden="false" customHeight="false" outlineLevel="0" collapsed="false">
      <c r="A9637" s="1" t="s">
        <v>1059</v>
      </c>
      <c r="B9637" s="0" t="s">
        <v>98</v>
      </c>
      <c r="D9637" s="6" t="n">
        <f aca="false">Sens!D9619</f>
        <v>281.724</v>
      </c>
      <c r="E9637" s="6" t="n">
        <f aca="false">Sens!E9619</f>
        <v>331.839</v>
      </c>
      <c r="F9637" s="6" t="n">
        <f aca="false">Sens!F9619</f>
        <v>394.158541911095</v>
      </c>
      <c r="G9637" s="6" t="n">
        <f aca="false">Sens!G9619</f>
        <v>457.668946522638</v>
      </c>
      <c r="H9637" s="6" t="n">
        <f aca="false">Sens!H9619</f>
        <v>516.165694205822</v>
      </c>
      <c r="I9637" s="6" t="n">
        <f aca="false">Sens!I9619</f>
        <v>576.245574799541</v>
      </c>
      <c r="J9637" s="6" t="n">
        <f aca="false">Sens!J9619</f>
        <v>625.032064752199</v>
      </c>
      <c r="K9637" s="6" t="n">
        <f aca="false">Sens!K9619</f>
        <v>662.894178205736</v>
      </c>
    </row>
    <row r="9638" customFormat="false" ht="15" hidden="false" customHeight="false" outlineLevel="0" collapsed="false">
      <c r="A9638" s="1" t="s">
        <v>1060</v>
      </c>
      <c r="B9638" s="0" t="s">
        <v>168</v>
      </c>
      <c r="E9638" s="7" t="n">
        <f aca="false">Sens!E9637/Sens!D9637-1</f>
        <v>0.177886867998467</v>
      </c>
      <c r="F9638" s="7" t="n">
        <f aca="false">Sens!F9637/Sens!E9637-1</f>
        <v>0.187800535534084</v>
      </c>
      <c r="G9638" s="7" t="n">
        <f aca="false">Sens!G9637/Sens!F9637-1</f>
        <v>0.16112908349927</v>
      </c>
      <c r="H9638" s="7" t="n">
        <f aca="false">Sens!H9637/Sens!G9637-1</f>
        <v>0.127814543957246</v>
      </c>
      <c r="I9638" s="7" t="n">
        <f aca="false">Sens!I9637/Sens!H9637-1</f>
        <v>0.116396500713124</v>
      </c>
      <c r="J9638" s="7" t="n">
        <f aca="false">Sens!J9637/Sens!I9637-1</f>
        <v>0.0846626717604382</v>
      </c>
      <c r="K9638" s="7" t="n">
        <f aca="false">Sens!K9637/Sens!J9637-1</f>
        <v>0.0605762737445277</v>
      </c>
    </row>
    <row r="9639" customFormat="false" ht="17.15" hidden="false" customHeight="false" outlineLevel="0" collapsed="false">
      <c r="A9639" s="26" t="s">
        <v>1061</v>
      </c>
      <c r="B9639" s="31" t="s">
        <v>98</v>
      </c>
      <c r="C9639" s="31"/>
      <c r="D9639" s="27" t="n">
        <f aca="false">(Sens!D9632+Sens!D9636-Sens!D9637)+(Sens!D9624+Sens!D9625-Sens!D9623)+(Sens!D9627+Sens!D9628-Sens!D9626)+(Sens!D9637-Q!L18)</f>
        <v>0</v>
      </c>
      <c r="E9639" s="27" t="n">
        <f aca="false">(Sens!E9632+Sens!E9636-Sens!E9637)+(Sens!E9624+Sens!E9625-Sens!E9623)+(Sens!E9627+Sens!E9628-Sens!E9626)+(Sens!E9637-Q!M18)</f>
        <v>0</v>
      </c>
      <c r="F9639" s="27" t="n">
        <f aca="false">(Sens!F9632+Sens!F9636-Sens!F9637)+(Sens!F9624+Sens!F9625-Sens!F9623)+(Sens!F9627+Sens!F9628-Sens!F9626)</f>
        <v>0</v>
      </c>
      <c r="G9639" s="27" t="n">
        <f aca="false">(Sens!G9632+Sens!G9636-Sens!G9637)+(Sens!G9624+Sens!G9625-Sens!G9623)+(Sens!G9627+Sens!G9628-Sens!G9626)</f>
        <v>0</v>
      </c>
      <c r="H9639" s="27" t="n">
        <f aca="false">(Sens!H9632+Sens!H9636-Sens!H9637)+(Sens!H9624+Sens!H9625-Sens!H9623)+(Sens!H9627+Sens!H9628-Sens!H9626)</f>
        <v>0</v>
      </c>
      <c r="I9639" s="27" t="n">
        <f aca="false">(Sens!I9632+Sens!I9636-Sens!I9637)+(Sens!I9624+Sens!I9625-Sens!I9623)+(Sens!I9627+Sens!I9628-Sens!I9626)</f>
        <v>0</v>
      </c>
      <c r="J9639" s="27" t="n">
        <f aca="false">(Sens!J9632+Sens!J9636-Sens!J9637)+(Sens!J9624+Sens!J9625-Sens!J9623)+(Sens!J9627+Sens!J9628-Sens!J9626)</f>
        <v>0</v>
      </c>
      <c r="K9639" s="27" t="n">
        <f aca="false">(Sens!K9632+Sens!K9636-Sens!K9637)+(Sens!K9624+Sens!K9625-Sens!K9623)+(Sens!K9627+Sens!K9628-Sens!K9626)</f>
        <v>0</v>
      </c>
    </row>
    <row r="9640" customFormat="false" ht="17.15" hidden="false" customHeight="false" outlineLevel="0" collapsed="false">
      <c r="A9640" s="0" t="s">
        <v>1062</v>
      </c>
      <c r="B9640" s="0" t="s">
        <v>168</v>
      </c>
      <c r="E9640" s="7" t="n">
        <f aca="false">(Q!M21+Sens!E9576+Sens!E9577+Sens!E9578+Sens!E9592-Sens!E9574)/(Q!M5-Sens!E9574)</f>
        <v>0.570957350878296</v>
      </c>
      <c r="F9640" s="7" t="n">
        <f aca="false">Sens!$E$9640+dm_seg</f>
        <v>0.570957350878296</v>
      </c>
      <c r="G9640" s="7" t="n">
        <f aca="false">Sens!$E$9640+dm_seg</f>
        <v>0.570957350878296</v>
      </c>
      <c r="H9640" s="7" t="n">
        <f aca="false">Sens!$E$9640+dm_seg</f>
        <v>0.570957350878296</v>
      </c>
      <c r="I9640" s="7" t="n">
        <f aca="false">Sens!$E$9640+dm_seg</f>
        <v>0.570957350878296</v>
      </c>
      <c r="J9640" s="7" t="n">
        <f aca="false">Sens!$E$9640+dm_seg</f>
        <v>0.570957350878296</v>
      </c>
      <c r="K9640" s="7" t="n">
        <f aca="false">Sens!$E$9640+dm_seg</f>
        <v>0.570957350878296</v>
      </c>
      <c r="L9640" s="12" t="s">
        <v>1063</v>
      </c>
    </row>
    <row r="9641" customFormat="false" ht="17.15" hidden="false" customHeight="false" outlineLevel="0" collapsed="false">
      <c r="A9641" s="0" t="s">
        <v>884</v>
      </c>
      <c r="B9641" s="0" t="s">
        <v>98</v>
      </c>
      <c r="D9641" s="6" t="n">
        <f aca="false">Q!L21</f>
        <v>110.814</v>
      </c>
      <c r="E9641" s="6" t="n">
        <f aca="false">Q!M21</f>
        <v>136.365</v>
      </c>
      <c r="F9641" s="6" t="n">
        <f aca="false">Q!$I$21+(Sens!F9640*(Sens!F9611-Sens!F9574)+Sens!F9574-(Sens!F9576+Sens!F9577+Sens!F9578)-Sens!F9592-Sens!F9675)*(Sens!F9611-Q!$I$5)/Sens!F9611</f>
        <v>157.952285198063</v>
      </c>
      <c r="G9641" s="6" t="n">
        <f aca="false">(Sens!G9640*(Sens!G9611-Sens!G9574)+Sens!G9574-(Sens!G9576+Sens!G9577+Sens!G9578)-Sens!G9592-Sens!G9675)</f>
        <v>160.567341563326</v>
      </c>
      <c r="H9641" s="6" t="n">
        <f aca="false">(Sens!H9640*(Sens!H9611-Sens!H9574)+Sens!H9574-(Sens!H9576+Sens!H9577+Sens!H9578)-Sens!H9592-Sens!H9675)</f>
        <v>160.984733517933</v>
      </c>
      <c r="I9641" s="6" t="n">
        <f aca="false">(Sens!I9640*(Sens!I9611-Sens!I9574)+Sens!I9574-(Sens!I9576+Sens!I9577+Sens!I9578)-Sens!I9592-Sens!I9675)</f>
        <v>168.610420707245</v>
      </c>
      <c r="J9641" s="6" t="n">
        <f aca="false">(Sens!J9640*(Sens!J9611-Sens!J9574)+Sens!J9574-(Sens!J9576+Sens!J9577+Sens!J9578)-Sens!J9592-Sens!J9675)</f>
        <v>177.093403788355</v>
      </c>
      <c r="K9641" s="6" t="n">
        <f aca="false">(Sens!K9640*(Sens!K9611-Sens!K9574)+Sens!K9574-(Sens!K9576+Sens!K9577+Sens!K9578)-Sens!K9592-Sens!K9675)</f>
        <v>186.3010018496</v>
      </c>
      <c r="L9641" s="1" t="s">
        <v>1064</v>
      </c>
    </row>
    <row r="9642" customFormat="false" ht="17.15" hidden="false" customHeight="false" outlineLevel="0" collapsed="false">
      <c r="A9642" s="0" t="s">
        <v>1065</v>
      </c>
      <c r="B9642" s="0" t="s">
        <v>168</v>
      </c>
      <c r="E9642" s="7" t="n">
        <f aca="false">Q!M22/Q!M12</f>
        <v>0.296207935710698</v>
      </c>
      <c r="F9642" s="7" t="n">
        <f aca="false">Sens!$E$9642+dm_seg</f>
        <v>0.296207935710698</v>
      </c>
      <c r="G9642" s="7" t="n">
        <f aca="false">Sens!$E$9642+dm_seg</f>
        <v>0.296207935710698</v>
      </c>
      <c r="H9642" s="7" t="n">
        <f aca="false">Sens!$E$9642+dm_seg</f>
        <v>0.296207935710698</v>
      </c>
      <c r="I9642" s="7" t="n">
        <f aca="false">Sens!$E$9642+dm_seg</f>
        <v>0.296207935710698</v>
      </c>
      <c r="J9642" s="7" t="n">
        <f aca="false">Sens!$E$9642+dm_seg</f>
        <v>0.296207935710698</v>
      </c>
      <c r="K9642" s="7" t="n">
        <f aca="false">Sens!$E$9642+dm_seg</f>
        <v>0.296207935710698</v>
      </c>
      <c r="L9642" s="12" t="s">
        <v>1066</v>
      </c>
    </row>
    <row r="9643" customFormat="false" ht="17.15" hidden="false" customHeight="false" outlineLevel="0" collapsed="false">
      <c r="A9643" s="0" t="s">
        <v>886</v>
      </c>
      <c r="B9643" s="0" t="s">
        <v>98</v>
      </c>
      <c r="D9643" s="6" t="n">
        <f aca="false">Q!L22</f>
        <v>17.714</v>
      </c>
      <c r="E9643" s="6" t="n">
        <f aca="false">Q!M22</f>
        <v>18.872</v>
      </c>
      <c r="F9643" s="6" t="n">
        <f aca="false">Q!$I$22+(Sens!F9618-Q!$I$12)*Sens!F9642</f>
        <v>19.8174315512051</v>
      </c>
      <c r="G9643" s="6" t="n">
        <f aca="false">Sens!G9618*Sens!G9642</f>
        <v>19.6313799703815</v>
      </c>
      <c r="H9643" s="6" t="n">
        <f aca="false">Sens!H9618*Sens!H9642</f>
        <v>20.3536242825865</v>
      </c>
      <c r="I9643" s="6" t="n">
        <f aca="false">Sens!I9618*Sens!I9642</f>
        <v>21.1920899239745</v>
      </c>
      <c r="J9643" s="6" t="n">
        <f aca="false">Sens!J9618*Sens!J9642</f>
        <v>22.1288166207045</v>
      </c>
      <c r="K9643" s="6" t="n">
        <f aca="false">Sens!K9618*Sens!K9642</f>
        <v>23.1493653905379</v>
      </c>
      <c r="L9643" s="12" t="s">
        <v>1067</v>
      </c>
    </row>
    <row r="9644" customFormat="false" ht="15" hidden="false" customHeight="false" outlineLevel="0" collapsed="false">
      <c r="A9644" s="1" t="s">
        <v>1068</v>
      </c>
      <c r="B9644" s="0" t="s">
        <v>98</v>
      </c>
      <c r="D9644" s="6" t="n">
        <f aca="false">Sens!D9641+Sens!D9643</f>
        <v>128.528</v>
      </c>
      <c r="E9644" s="6" t="n">
        <f aca="false">Sens!E9641+Sens!E9643</f>
        <v>155.237</v>
      </c>
      <c r="F9644" s="6" t="n">
        <f aca="false">Sens!F9641+Sens!F9643</f>
        <v>177.769716749268</v>
      </c>
      <c r="G9644" s="6" t="n">
        <f aca="false">Sens!G9641+Sens!G9643</f>
        <v>180.198721533707</v>
      </c>
      <c r="H9644" s="6" t="n">
        <f aca="false">Sens!H9641+Sens!H9643</f>
        <v>181.338357800519</v>
      </c>
      <c r="I9644" s="6" t="n">
        <f aca="false">Sens!I9641+Sens!I9643</f>
        <v>189.802510631219</v>
      </c>
      <c r="J9644" s="6" t="n">
        <f aca="false">Sens!J9641+Sens!J9643</f>
        <v>199.22222040906</v>
      </c>
      <c r="K9644" s="6" t="n">
        <f aca="false">Sens!K9641+Sens!K9643</f>
        <v>209.450367240138</v>
      </c>
    </row>
    <row r="9645" customFormat="false" ht="15" hidden="false" customHeight="false" outlineLevel="0" collapsed="false">
      <c r="A9645" s="26" t="s">
        <v>1069</v>
      </c>
      <c r="B9645" s="31" t="s">
        <v>98</v>
      </c>
      <c r="C9645" s="31"/>
      <c r="D9645" s="27" t="n">
        <f aca="false">Sens!D9644-Q!L23</f>
        <v>0</v>
      </c>
      <c r="E9645" s="27" t="n">
        <f aca="false">Sens!E9644-Q!M23</f>
        <v>0</v>
      </c>
      <c r="F9645" s="31"/>
      <c r="G9645" s="31"/>
      <c r="H9645" s="31"/>
      <c r="I9645" s="31"/>
      <c r="J9645" s="31"/>
      <c r="K9645" s="31"/>
    </row>
    <row r="9646" customFormat="false" ht="15" hidden="false" customHeight="false" outlineLevel="0" collapsed="false">
      <c r="A9646" s="1" t="s">
        <v>1070</v>
      </c>
      <c r="B9646" s="0" t="s">
        <v>168</v>
      </c>
      <c r="D9646" s="7" t="n">
        <f aca="false">Sens!D9644/Sens!D9637</f>
        <v>0.456219562408598</v>
      </c>
      <c r="E9646" s="7" t="n">
        <f aca="false">Sens!E9644/Sens!E9637</f>
        <v>0.467808184089272</v>
      </c>
      <c r="F9646" s="7" t="n">
        <f aca="false">Sens!F9644/Sens!F9637</f>
        <v>0.451010692010743</v>
      </c>
      <c r="G9646" s="7" t="n">
        <f aca="false">Sens!G9644/Sens!G9637</f>
        <v>0.393731588963714</v>
      </c>
      <c r="H9646" s="7" t="n">
        <f aca="false">Sens!H9644/Sens!H9637</f>
        <v>0.351318113226273</v>
      </c>
      <c r="I9646" s="7" t="n">
        <f aca="false">Sens!I9644/Sens!I9637</f>
        <v>0.329377818991922</v>
      </c>
      <c r="J9646" s="7" t="n">
        <f aca="false">Sens!J9644/Sens!J9637</f>
        <v>0.318739200184944</v>
      </c>
      <c r="K9646" s="7" t="n">
        <f aca="false">Sens!K9644/Sens!K9637</f>
        <v>0.315963503868837</v>
      </c>
    </row>
    <row r="9647" customFormat="false" ht="17.15" hidden="false" customHeight="false" outlineLevel="0" collapsed="false">
      <c r="A9647" s="1" t="s">
        <v>1071</v>
      </c>
      <c r="B9647" s="0" t="s">
        <v>98</v>
      </c>
      <c r="F9647" s="6" t="n">
        <f aca="false">Sens!F9662</f>
        <v>10.5962787979473</v>
      </c>
      <c r="G9647" s="6" t="n">
        <f aca="false">Sens!G9662</f>
        <v>27.844646674932</v>
      </c>
      <c r="H9647" s="6" t="n">
        <f aca="false">Sens!H9662</f>
        <v>46.566205501382</v>
      </c>
      <c r="I9647" s="6" t="n">
        <f aca="false">Sens!I9662</f>
        <v>63.2717778126444</v>
      </c>
      <c r="J9647" s="6" t="n">
        <f aca="false">Sens!J9662</f>
        <v>74.9061222882009</v>
      </c>
      <c r="K9647" s="6" t="n">
        <f aca="false">Sens!K9662</f>
        <v>81.6395437180232</v>
      </c>
      <c r="L9647" s="1" t="s">
        <v>1072</v>
      </c>
    </row>
    <row r="9648" customFormat="false" ht="17.15" hidden="false" customHeight="false" outlineLevel="0" collapsed="false">
      <c r="A9648" s="1" t="s">
        <v>1073</v>
      </c>
      <c r="B9648" s="0" t="s">
        <v>98</v>
      </c>
      <c r="D9648" s="6" t="n">
        <f aca="false">Sens!D9644</f>
        <v>128.528</v>
      </c>
      <c r="E9648" s="6" t="n">
        <f aca="false">Sens!E9644</f>
        <v>155.237</v>
      </c>
      <c r="F9648" s="6" t="n">
        <f aca="false">Sens!F9644+Sens!F9647</f>
        <v>188.365995547216</v>
      </c>
      <c r="G9648" s="6" t="n">
        <f aca="false">Sens!G9644+Sens!G9647</f>
        <v>208.043368208639</v>
      </c>
      <c r="H9648" s="6" t="n">
        <f aca="false">Sens!H9644+Sens!H9647</f>
        <v>227.904563301901</v>
      </c>
      <c r="I9648" s="6" t="n">
        <f aca="false">Sens!I9644+Sens!I9647</f>
        <v>253.074288443864</v>
      </c>
      <c r="J9648" s="6" t="n">
        <f aca="false">Sens!J9644+Sens!J9647</f>
        <v>274.128342697261</v>
      </c>
      <c r="K9648" s="6" t="n">
        <f aca="false">Sens!K9644+Sens!K9647</f>
        <v>291.089910958161</v>
      </c>
    </row>
    <row r="9649" customFormat="false" ht="17.15" hidden="false" customHeight="false" outlineLevel="0" collapsed="false">
      <c r="A9649" s="1" t="s">
        <v>1074</v>
      </c>
      <c r="B9649" s="0" t="s">
        <v>98</v>
      </c>
      <c r="E9649" s="6" t="n">
        <f aca="false">Sens!E9592</f>
        <v>16.3054059770833</v>
      </c>
      <c r="F9649" s="6" t="n">
        <f aca="false">Sens!F9592</f>
        <v>34.5793144783516</v>
      </c>
      <c r="G9649" s="6" t="n">
        <f aca="false">Sens!G9592</f>
        <v>60.7344906522989</v>
      </c>
      <c r="H9649" s="6" t="n">
        <f aca="false">Sens!H9592</f>
        <v>89.1000906614457</v>
      </c>
      <c r="I9649" s="6" t="n">
        <f aca="false">Sens!I9592</f>
        <v>114.231009694548</v>
      </c>
      <c r="J9649" s="6" t="n">
        <f aca="false">Sens!J9592</f>
        <v>132.015673049596</v>
      </c>
      <c r="K9649" s="6" t="n">
        <f aca="false">Sens!K9592</f>
        <v>143.012669550934</v>
      </c>
    </row>
    <row r="9650" customFormat="false" ht="17.15" hidden="false" customHeight="false" outlineLevel="0" collapsed="false">
      <c r="A9650" s="1" t="s">
        <v>1075</v>
      </c>
      <c r="B9650" s="0" t="s">
        <v>98</v>
      </c>
      <c r="E9650" s="6" t="n">
        <f aca="false">Sens!E9674</f>
        <v>22.2285940229167</v>
      </c>
      <c r="F9650" s="6" t="n">
        <f aca="false">Sens!F9674</f>
        <v>23.5825554250744</v>
      </c>
      <c r="G9650" s="6" t="n">
        <f aca="false">Sens!G9674</f>
        <v>25.3171324111795</v>
      </c>
      <c r="H9650" s="6" t="n">
        <f aca="false">Sens!H9674</f>
        <v>27.3858137606649</v>
      </c>
      <c r="I9650" s="6" t="n">
        <f aca="false">Sens!I9674</f>
        <v>29.7138370549606</v>
      </c>
      <c r="J9650" s="6" t="n">
        <f aca="false">Sens!J9674</f>
        <v>32.2075225389233</v>
      </c>
      <c r="K9650" s="6" t="n">
        <f aca="false">Sens!K9674</f>
        <v>34.7655920007327</v>
      </c>
    </row>
    <row r="9651" customFormat="false" ht="17.15" hidden="false" customHeight="false" outlineLevel="0" collapsed="false">
      <c r="A9651" s="1" t="s">
        <v>1076</v>
      </c>
      <c r="B9651" s="0" t="s">
        <v>98</v>
      </c>
      <c r="D9651" s="6" t="n">
        <f aca="false">Q!L27</f>
        <v>-4.901</v>
      </c>
      <c r="E9651" s="6" t="n">
        <f aca="false">Q!M27</f>
        <v>10.697</v>
      </c>
      <c r="F9651" s="6" t="n">
        <f aca="false">Q!$I$27+oie_f*(q_per_yr-1)/q_per_yr</f>
        <v>-0.862</v>
      </c>
      <c r="G9651" s="6" t="n">
        <f aca="false">oie_f</f>
        <v>-1.2</v>
      </c>
      <c r="H9651" s="6" t="n">
        <f aca="false">oie_f</f>
        <v>-1.2</v>
      </c>
      <c r="I9651" s="6" t="n">
        <f aca="false">oie_f</f>
        <v>-1.2</v>
      </c>
      <c r="J9651" s="6" t="n">
        <f aca="false">oie_f</f>
        <v>-1.2</v>
      </c>
      <c r="K9651" s="6" t="n">
        <f aca="false">oie_f</f>
        <v>-1.2</v>
      </c>
      <c r="L9651" s="12" t="s">
        <v>1077</v>
      </c>
    </row>
    <row r="9652" customFormat="false" ht="15" hidden="false" customHeight="false" outlineLevel="0" collapsed="false">
      <c r="A9652" s="1" t="s">
        <v>1078</v>
      </c>
      <c r="B9652" s="0" t="s">
        <v>98</v>
      </c>
      <c r="D9652" s="6" t="n">
        <f aca="false">Sens!D9644+Sens!D9651</f>
        <v>123.627</v>
      </c>
      <c r="E9652" s="6" t="n">
        <f aca="false">Sens!E9644+Sens!E9651</f>
        <v>165.934</v>
      </c>
      <c r="F9652" s="6" t="n">
        <f aca="false">Sens!F9644+Sens!F9651</f>
        <v>176.907716749268</v>
      </c>
      <c r="G9652" s="6" t="n">
        <f aca="false">Sens!G9644+Sens!G9651</f>
        <v>178.998721533707</v>
      </c>
      <c r="H9652" s="6" t="n">
        <f aca="false">Sens!H9644+Sens!H9651</f>
        <v>180.138357800519</v>
      </c>
      <c r="I9652" s="6" t="n">
        <f aca="false">Sens!I9644+Sens!I9651</f>
        <v>188.602510631219</v>
      </c>
      <c r="J9652" s="6" t="n">
        <f aca="false">Sens!J9644+Sens!J9651</f>
        <v>198.02222040906</v>
      </c>
      <c r="K9652" s="6" t="n">
        <f aca="false">Sens!K9644+Sens!K9651</f>
        <v>208.250367240138</v>
      </c>
    </row>
    <row r="9653" customFormat="false" ht="15" hidden="false" customHeight="false" outlineLevel="0" collapsed="false">
      <c r="A9653" s="1" t="s">
        <v>1079</v>
      </c>
      <c r="B9653" s="0" t="s">
        <v>98</v>
      </c>
      <c r="D9653" s="6" t="n">
        <f aca="false">Q!L29</f>
        <v>21.795</v>
      </c>
      <c r="E9653" s="6" t="n">
        <f aca="false">Q!M29</f>
        <v>32.185</v>
      </c>
      <c r="F9653" s="6" t="n">
        <f aca="false">Q!$I$29+(Sens!F9652-Q!$I$28)*tax_f</f>
        <v>35.5149433498537</v>
      </c>
      <c r="G9653" s="6" t="n">
        <f aca="false">Sens!G9652*tax_f</f>
        <v>35.7997443067414</v>
      </c>
      <c r="H9653" s="6" t="n">
        <f aca="false">Sens!H9652*tax_f</f>
        <v>36.0276715601038</v>
      </c>
      <c r="I9653" s="6" t="n">
        <f aca="false">Sens!I9652*tax_f</f>
        <v>37.7205021262438</v>
      </c>
      <c r="J9653" s="6" t="n">
        <f aca="false">Sens!J9652*tax_f</f>
        <v>39.604444081812</v>
      </c>
      <c r="K9653" s="6" t="n">
        <f aca="false">Sens!K9652*tax_f</f>
        <v>41.6500734480276</v>
      </c>
    </row>
    <row r="9654" customFormat="false" ht="15" hidden="false" customHeight="false" outlineLevel="0" collapsed="false">
      <c r="A9654" s="1" t="s">
        <v>1080</v>
      </c>
      <c r="B9654" s="0" t="s">
        <v>98</v>
      </c>
      <c r="D9654" s="6" t="n">
        <f aca="false">Sens!D9652-Sens!D9653</f>
        <v>101.832</v>
      </c>
      <c r="E9654" s="6" t="n">
        <f aca="false">Sens!E9652-Sens!E9653</f>
        <v>133.749</v>
      </c>
      <c r="F9654" s="6" t="n">
        <f aca="false">Sens!F9652-Sens!F9653</f>
        <v>141.392773399415</v>
      </c>
      <c r="G9654" s="6" t="n">
        <f aca="false">Sens!G9652-Sens!G9653</f>
        <v>143.198977226966</v>
      </c>
      <c r="H9654" s="6" t="n">
        <f aca="false">Sens!H9652-Sens!H9653</f>
        <v>144.110686240415</v>
      </c>
      <c r="I9654" s="6" t="n">
        <f aca="false">Sens!I9652-Sens!I9653</f>
        <v>150.882008504975</v>
      </c>
      <c r="J9654" s="6" t="n">
        <f aca="false">Sens!J9652-Sens!J9653</f>
        <v>158.417776327248</v>
      </c>
      <c r="K9654" s="6" t="n">
        <f aca="false">Sens!K9652-Sens!K9653</f>
        <v>166.60029379211</v>
      </c>
    </row>
    <row r="9655" customFormat="false" ht="17.15" hidden="false" customHeight="false" outlineLevel="0" collapsed="false">
      <c r="A9655" s="1" t="s">
        <v>1081</v>
      </c>
      <c r="B9655" s="1" t="s">
        <v>81</v>
      </c>
      <c r="D9655" s="15" t="n">
        <f aca="false">Q!L31</f>
        <v>7.465</v>
      </c>
      <c r="E9655" s="15" t="n">
        <f aca="false">Q!M31</f>
        <v>7.453</v>
      </c>
      <c r="F9655" s="15" t="n">
        <f aca="false">Sens!F9699</f>
        <v>7.4735</v>
      </c>
      <c r="G9655" s="15" t="n">
        <f aca="false">Sens!G9699</f>
        <v>7.5185</v>
      </c>
      <c r="H9655" s="15" t="n">
        <f aca="false">Sens!H9699</f>
        <v>7.5635</v>
      </c>
      <c r="I9655" s="15" t="n">
        <f aca="false">Sens!I9699</f>
        <v>7.59248142502667</v>
      </c>
      <c r="J9655" s="15" t="n">
        <f aca="false">Sens!J9699</f>
        <v>7.60663083618914</v>
      </c>
      <c r="K9655" s="15" t="n">
        <f aca="false">Sens!K9699</f>
        <v>7.62306547615439</v>
      </c>
    </row>
    <row r="9656" customFormat="false" ht="17.15" hidden="false" customHeight="false" outlineLevel="0" collapsed="false">
      <c r="A9656" s="0" t="s">
        <v>1082</v>
      </c>
      <c r="B9656" s="0" t="s">
        <v>75</v>
      </c>
      <c r="D9656" s="8" t="n">
        <f aca="false">Sens!D9654/Sens!D9655</f>
        <v>13.641259209645</v>
      </c>
      <c r="E9656" s="8" t="n">
        <f aca="false">Sens!E9654/Sens!E9655</f>
        <v>17.9456594659869</v>
      </c>
      <c r="F9656" s="8" t="n">
        <f aca="false">Sens!F9654/Sens!F9655</f>
        <v>18.9192176890901</v>
      </c>
      <c r="G9656" s="8" t="n">
        <f aca="false">Sens!G9654/Sens!G9655</f>
        <v>19.0462162967302</v>
      </c>
      <c r="H9656" s="8" t="n">
        <f aca="false">Sens!H9654/Sens!H9655</f>
        <v>19.0534390481147</v>
      </c>
      <c r="I9656" s="8" t="n">
        <f aca="false">Sens!I9654/Sens!I9655</f>
        <v>19.8725555004496</v>
      </c>
      <c r="J9656" s="8" t="n">
        <f aca="false">Sens!J9654/Sens!J9655</f>
        <v>20.8262737786042</v>
      </c>
      <c r="K9656" s="8" t="n">
        <f aca="false">Sens!K9654/Sens!K9655</f>
        <v>21.8547635873325</v>
      </c>
      <c r="L9656" s="1" t="s">
        <v>1083</v>
      </c>
    </row>
    <row r="9657" customFormat="false" ht="17.15" hidden="false" customHeight="false" outlineLevel="0" collapsed="false">
      <c r="A9657" s="1" t="s">
        <v>1084</v>
      </c>
      <c r="B9657" s="0" t="s">
        <v>98</v>
      </c>
      <c r="D9657" s="6" t="n">
        <f aca="false">Sens!D9654</f>
        <v>101.832</v>
      </c>
      <c r="E9657" s="6" t="n">
        <f aca="false">Sens!E9654</f>
        <v>133.749</v>
      </c>
      <c r="F9657" s="6" t="n">
        <f aca="false">Sens!F9654+Sens!F9647*(1-tax_f)</f>
        <v>149.869796437772</v>
      </c>
      <c r="G9657" s="6" t="n">
        <f aca="false">Sens!G9654+Sens!G9647*(1-tax_f)</f>
        <v>165.474694566911</v>
      </c>
      <c r="H9657" s="6" t="n">
        <f aca="false">Sens!H9654+Sens!H9647*(1-tax_f)</f>
        <v>181.363650641521</v>
      </c>
      <c r="I9657" s="6" t="n">
        <f aca="false">Sens!I9654+Sens!I9647*(1-tax_f)</f>
        <v>201.499430755091</v>
      </c>
      <c r="J9657" s="6" t="n">
        <f aca="false">Sens!J9654+Sens!J9647*(1-tax_f)</f>
        <v>218.342674157809</v>
      </c>
      <c r="K9657" s="6" t="n">
        <f aca="false">Sens!K9654+Sens!K9647*(1-tax_f)</f>
        <v>231.911928766529</v>
      </c>
    </row>
    <row r="9658" customFormat="false" ht="17.15" hidden="false" customHeight="false" outlineLevel="0" collapsed="false">
      <c r="A9658" s="0" t="s">
        <v>1085</v>
      </c>
      <c r="B9658" s="0" t="s">
        <v>75</v>
      </c>
      <c r="D9658" s="8" t="n">
        <f aca="false">Sens!D9657/Sens!D9655</f>
        <v>13.641259209645</v>
      </c>
      <c r="E9658" s="8" t="n">
        <f aca="false">Sens!E9657/Sens!E9655</f>
        <v>17.9456594659869</v>
      </c>
      <c r="F9658" s="8" t="n">
        <f aca="false">Sens!F9657/Sens!F9655</f>
        <v>20.053495208105</v>
      </c>
      <c r="G9658" s="8" t="n">
        <f aca="false">Sens!G9657/Sens!G9655</f>
        <v>22.0090037330467</v>
      </c>
      <c r="H9658" s="8" t="n">
        <f aca="false">Sens!H9657/Sens!H9655</f>
        <v>23.9787995824051</v>
      </c>
      <c r="I9658" s="8" t="n">
        <f aca="false">Sens!I9657/Sens!I9655</f>
        <v>26.5393379944138</v>
      </c>
      <c r="J9658" s="8" t="n">
        <f aca="false">Sens!J9657/Sens!J9655</f>
        <v>28.7042553871586</v>
      </c>
      <c r="K9658" s="8" t="n">
        <f aca="false">Sens!K9657/Sens!K9655</f>
        <v>30.4223975895221</v>
      </c>
      <c r="L9658" s="1" t="s">
        <v>1086</v>
      </c>
    </row>
    <row r="9659" customFormat="false" ht="17.15" hidden="false" customHeight="false" outlineLevel="0" collapsed="false">
      <c r="A9659" s="0" t="s">
        <v>1087</v>
      </c>
      <c r="B9659" s="0" t="s">
        <v>168</v>
      </c>
      <c r="E9659" s="7" t="n">
        <f aca="false">Sens!E9658/Sens!D9658-1</f>
        <v>0.315542736208578</v>
      </c>
      <c r="F9659" s="7" t="n">
        <f aca="false">Sens!F9658/Sens!E9658-1</f>
        <v>0.117456577514645</v>
      </c>
      <c r="G9659" s="7" t="n">
        <f aca="false">Sens!G9658/Sens!F9658-1</f>
        <v>0.0975145980612568</v>
      </c>
      <c r="H9659" s="7" t="n">
        <f aca="false">Sens!H9658/Sens!G9658-1</f>
        <v>0.0894995463334287</v>
      </c>
      <c r="I9659" s="7" t="n">
        <f aca="false">Sens!I9658/Sens!H9658-1</f>
        <v>0.106783427719523</v>
      </c>
      <c r="J9659" s="7" t="n">
        <f aca="false">Sens!J9658/Sens!I9658-1</f>
        <v>0.0815739033581218</v>
      </c>
      <c r="K9659" s="7" t="n">
        <f aca="false">Sens!K9658/Sens!J9658-1</f>
        <v>0.0598567069303668</v>
      </c>
    </row>
    <row r="9660" customFormat="false" ht="17.15" hidden="false" customHeight="false" outlineLevel="0" collapsed="false">
      <c r="A9660" s="0" t="s">
        <v>1007</v>
      </c>
      <c r="B9660" s="0" t="s">
        <v>98</v>
      </c>
      <c r="E9660" s="6" t="n">
        <f aca="false">Sens!E9601</f>
        <v>5.25</v>
      </c>
      <c r="F9660" s="6" t="n">
        <f aca="false">Sens!F9601</f>
        <v>10.5</v>
      </c>
      <c r="G9660" s="6" t="n">
        <f aca="false">Sens!G9601</f>
        <v>13.5</v>
      </c>
      <c r="H9660" s="6" t="n">
        <f aca="false">Sens!H9601</f>
        <v>16.5</v>
      </c>
      <c r="I9660" s="6" t="n">
        <f aca="false">Sens!I9601</f>
        <v>18.75</v>
      </c>
      <c r="J9660" s="6" t="n">
        <f aca="false">Sens!J9601</f>
        <v>20.25</v>
      </c>
      <c r="K9660" s="6" t="n">
        <f aca="false">Sens!K9601</f>
        <v>21.75</v>
      </c>
    </row>
    <row r="9661" customFormat="false" ht="17.15" hidden="false" customHeight="false" outlineLevel="0" collapsed="false">
      <c r="A9661" s="1" t="s">
        <v>1008</v>
      </c>
      <c r="B9661" s="0" t="s">
        <v>98</v>
      </c>
      <c r="F9661" s="6" t="n">
        <f aca="false">MAX(0,((Sens!E9561+Sens!F9561)/2-(shadow_base*(Sens!$D$9561+Sens!$E$9561)/2+(1-shadow_base)*Sens!$E$9561))*Sens!F9570/1000-(Sens!F9660-Sens!$E$9660)*Sens!F9640)</f>
        <v>10.5962787979473</v>
      </c>
      <c r="G9661" s="6" t="n">
        <f aca="false">MAX(0,((Sens!F9561+Sens!G9561)/2-(shadow_base*(Sens!$D$9561+Sens!$E$9561)/2+(1-shadow_base)*Sens!$E$9561))*Sens!G9570/1000-(Sens!G9660-Sens!$E$9660)*Sens!G9640)</f>
        <v>27.844646674932</v>
      </c>
      <c r="H9661" s="6" t="n">
        <f aca="false">MAX(0,((Sens!G9561+Sens!H9561)/2-(shadow_base*(Sens!$D$9561+Sens!$E$9561)/2+(1-shadow_base)*Sens!$E$9561))*Sens!H9570/1000-(Sens!H9660-Sens!$E$9660)*Sens!H9640)</f>
        <v>46.566205501382</v>
      </c>
      <c r="I9661" s="6" t="n">
        <f aca="false">MAX(0,((Sens!H9561+Sens!I9561)/2-(shadow_base*(Sens!$D$9561+Sens!$E$9561)/2+(1-shadow_base)*Sens!$E$9561))*Sens!I9570/1000-(Sens!I9660-Sens!$E$9660)*Sens!I9640)</f>
        <v>63.2717778126444</v>
      </c>
      <c r="J9661" s="6" t="n">
        <f aca="false">MAX(0,((Sens!I9561+Sens!J9561)/2-(shadow_base*(Sens!$D$9561+Sens!$E$9561)/2+(1-shadow_base)*Sens!$E$9561))*Sens!J9570/1000-(Sens!J9660-Sens!$E$9660)*Sens!J9640)</f>
        <v>74.9061222882009</v>
      </c>
      <c r="K9661" s="6" t="n">
        <f aca="false">MAX(0,((Sens!J9561+Sens!K9561)/2-(shadow_base*(Sens!$D$9561+Sens!$E$9561)/2+(1-shadow_base)*Sens!$E$9561))*Sens!K9570/1000-(Sens!K9660-Sens!$E$9660)*Sens!K9640)</f>
        <v>81.6395437180232</v>
      </c>
      <c r="L9661" s="1" t="s">
        <v>1009</v>
      </c>
    </row>
    <row r="9662" customFormat="false" ht="17.15" hidden="false" customHeight="false" outlineLevel="0" collapsed="false">
      <c r="A9662" s="1" t="s">
        <v>1010</v>
      </c>
      <c r="B9662" s="0" t="s">
        <v>98</v>
      </c>
      <c r="F9662" s="6" t="n">
        <f aca="false">IF(internal_ai_reading=2,1,0)*Sens!F9661</f>
        <v>10.5962787979473</v>
      </c>
      <c r="G9662" s="6" t="n">
        <f aca="false">IF(internal_ai_reading=2,1,0)*Sens!G9661</f>
        <v>27.844646674932</v>
      </c>
      <c r="H9662" s="6" t="n">
        <f aca="false">IF(internal_ai_reading=2,1,0)*Sens!H9661</f>
        <v>46.566205501382</v>
      </c>
      <c r="I9662" s="6" t="n">
        <f aca="false">IF(internal_ai_reading=2,1,0)*Sens!I9661</f>
        <v>63.2717778126444</v>
      </c>
      <c r="J9662" s="6" t="n">
        <f aca="false">IF(internal_ai_reading=2,1,0)*Sens!J9661</f>
        <v>74.9061222882009</v>
      </c>
      <c r="K9662" s="6" t="n">
        <f aca="false">IF(internal_ai_reading=2,1,0)*Sens!K9661</f>
        <v>81.6395437180232</v>
      </c>
    </row>
    <row r="9663" customFormat="false" ht="17.15" hidden="false" customHeight="false" outlineLevel="0" collapsed="false">
      <c r="A9663" s="0" t="s">
        <v>1011</v>
      </c>
      <c r="B9663" s="0" t="s">
        <v>98</v>
      </c>
      <c r="F9663" s="6" t="n">
        <f aca="false">Sens!F9580+Sens!F9660*Sens!F9640+Sens!F9662-Sens!F9581-Sens!F9592</f>
        <v>10.3853806853618</v>
      </c>
      <c r="G9663" s="6" t="n">
        <f aca="false">Sens!G9580+Sens!G9660*Sens!G9640+Sens!G9662-Sens!G9581-Sens!G9592</f>
        <v>16.4389313105741</v>
      </c>
      <c r="H9663" s="6" t="n">
        <f aca="false">Sens!H9580+Sens!H9660*Sens!H9640+Sens!H9662-Sens!H9581-Sens!H9592</f>
        <v>17.135416308873</v>
      </c>
      <c r="I9663" s="6" t="n">
        <f aca="false">Sens!I9580+Sens!I9660*Sens!I9640+Sens!I9662-Sens!I9581-Sens!I9592</f>
        <v>24.1293804008657</v>
      </c>
      <c r="J9663" s="6" t="n">
        <f aca="false">Sens!J9580+Sens!J9660*Sens!J9640+Sens!J9662-Sens!J9581-Sens!J9592</f>
        <v>28.8545659869181</v>
      </c>
      <c r="K9663" s="6" t="n">
        <f aca="false">Sens!K9580+Sens!K9660*Sens!K9640+Sens!K9662-Sens!K9581-Sens!K9592</f>
        <v>32.13747485251</v>
      </c>
    </row>
    <row r="9664" customFormat="false" ht="17.15" hidden="false" customHeight="false" outlineLevel="0" collapsed="false">
      <c r="A9664" s="0" t="s">
        <v>1012</v>
      </c>
      <c r="B9664" s="0" t="s">
        <v>98</v>
      </c>
      <c r="E9664" s="6" t="n">
        <f aca="false">Sens!E9560*(cxit_open+self_build*tk_cxfac)/1000*ai_net_open</f>
        <v>126.6980382</v>
      </c>
      <c r="F9664" s="6" t="n">
        <f aca="false">Sens!E9664+Sens!F9589-Sens!F9592</f>
        <v>260.572627763768</v>
      </c>
      <c r="G9664" s="6" t="n">
        <f aca="false">Sens!F9664+Sens!G9589-Sens!G9592</f>
        <v>391.782612760517</v>
      </c>
      <c r="H9664" s="6" t="n">
        <f aca="false">Sens!G9664+Sens!H9589-Sens!H9592</f>
        <v>499.488526163584</v>
      </c>
      <c r="I9664" s="6" t="n">
        <f aca="false">Sens!H9664+Sens!I9589-Sens!I9592</f>
        <v>553.872350090646</v>
      </c>
      <c r="J9664" s="6" t="n">
        <f aca="false">Sens!I9664+Sens!J9589-Sens!J9592</f>
        <v>550.78660823699</v>
      </c>
      <c r="K9664" s="6" t="n">
        <f aca="false">Sens!J9664+Sens!K9589-Sens!K9592</f>
        <v>526.736791750789</v>
      </c>
      <c r="L9664" s="1" t="s">
        <v>1013</v>
      </c>
    </row>
    <row r="9665" customFormat="false" ht="17.15" hidden="false" customHeight="false" outlineLevel="0" collapsed="false">
      <c r="A9665" s="0" t="s">
        <v>1014</v>
      </c>
      <c r="B9665" s="0" t="s">
        <v>168</v>
      </c>
      <c r="F9665" s="7" t="n">
        <f aca="false">Sens!F9663*(1-tax_f)/((Sens!E9664+Sens!F9664)/2)</f>
        <v>0.0429069654816909</v>
      </c>
      <c r="G9665" s="7" t="n">
        <f aca="false">Sens!G9663*(1-tax_f)/((Sens!F9664+Sens!G9664)/2)</f>
        <v>0.0403189680453549</v>
      </c>
      <c r="H9665" s="7" t="n">
        <f aca="false">Sens!H9663*(1-tax_f)/((Sens!G9664+Sens!H9664)/2)</f>
        <v>0.0307613080877867</v>
      </c>
      <c r="I9665" s="7" t="n">
        <f aca="false">Sens!I9663*(1-tax_f)/((Sens!H9664+Sens!I9664)/2)</f>
        <v>0.0366512650238846</v>
      </c>
      <c r="J9665" s="7" t="n">
        <f aca="false">Sens!J9663*(1-tax_f)/((Sens!I9664+Sens!J9664)/2)</f>
        <v>0.0417932659044041</v>
      </c>
      <c r="K9665" s="7" t="n">
        <f aca="false">Sens!K9663*(1-tax_f)/((Sens!J9664+Sens!K9664)/2)</f>
        <v>0.0477205040415821</v>
      </c>
    </row>
    <row r="9666" customFormat="false" ht="17.15" hidden="false" customHeight="false" outlineLevel="0" collapsed="false">
      <c r="A9666" s="1" t="s">
        <v>1015</v>
      </c>
      <c r="B9666" s="0" t="s">
        <v>168</v>
      </c>
      <c r="F9666" s="7" t="n">
        <f aca="false">(Sens!F9663-Sens!F9662)*(1-tax_f)/((Sens!E9664+Sens!F9664)/2)</f>
        <v>-0.000871320783610466</v>
      </c>
      <c r="G9666" s="7" t="n">
        <f aca="false">(Sens!G9663-Sens!G9662)*(1-tax_f)/((Sens!F9664+Sens!G9664)/2)</f>
        <v>-0.0279742438618356</v>
      </c>
      <c r="H9666" s="7" t="n">
        <f aca="false">(Sens!H9663-Sens!H9662)*(1-tax_f)/((Sens!G9664+Sens!H9664)/2)</f>
        <v>-0.0528338242443913</v>
      </c>
      <c r="I9666" s="7" t="n">
        <f aca="false">(Sens!I9663-Sens!I9662)*(1-tax_f)/((Sens!H9664+Sens!I9664)/2)</f>
        <v>-0.059455251538819</v>
      </c>
      <c r="J9666" s="7" t="n">
        <f aca="false">(Sens!J9663-Sens!J9662)*(1-tax_f)/((Sens!I9664+Sens!J9664)/2)</f>
        <v>-0.0667015729394002</v>
      </c>
      <c r="K9666" s="7" t="n">
        <f aca="false">(Sens!K9663-Sens!K9662)*(1-tax_f)/((Sens!J9664+Sens!K9664)/2)</f>
        <v>-0.0735049560740113</v>
      </c>
    </row>
    <row r="9667" customFormat="false" ht="17.15" hidden="false" customHeight="false" outlineLevel="0" collapsed="false">
      <c r="A9667" s="1" t="s">
        <v>1016</v>
      </c>
      <c r="B9667" s="0" t="s">
        <v>168</v>
      </c>
      <c r="F9667" s="7" t="n">
        <f aca="false">(Sens!F9663-Sens!F9662+Sens!F9661)*(1-tax_f)/((Sens!E9664+Sens!F9664)/2)</f>
        <v>0.0429069654816909</v>
      </c>
      <c r="G9667" s="7" t="n">
        <f aca="false">(Sens!G9663-Sens!G9662+Sens!G9661)*(1-tax_f)/((Sens!F9664+Sens!G9664)/2)</f>
        <v>0.0403189680453549</v>
      </c>
      <c r="H9667" s="7" t="n">
        <f aca="false">(Sens!H9663-Sens!H9662+Sens!H9661)*(1-tax_f)/((Sens!G9664+Sens!H9664)/2)</f>
        <v>0.0307613080877867</v>
      </c>
      <c r="I9667" s="7" t="n">
        <f aca="false">(Sens!I9663-Sens!I9662+Sens!I9661)*(1-tax_f)/((Sens!H9664+Sens!I9664)/2)</f>
        <v>0.0366512650238846</v>
      </c>
      <c r="J9667" s="7" t="n">
        <f aca="false">(Sens!J9663-Sens!J9662+Sens!J9661)*(1-tax_f)/((Sens!I9664+Sens!J9664)/2)</f>
        <v>0.0417932659044041</v>
      </c>
      <c r="K9667" s="7" t="n">
        <f aca="false">(Sens!K9663-Sens!K9662+Sens!K9661)*(1-tax_f)/((Sens!J9664+Sens!K9664)/2)</f>
        <v>0.0477205040415821</v>
      </c>
    </row>
    <row r="9668" customFormat="false" ht="17.15" hidden="false" customHeight="false" outlineLevel="0" collapsed="false">
      <c r="A9668" s="1" t="s">
        <v>1017</v>
      </c>
      <c r="B9668" s="0" t="s">
        <v>168</v>
      </c>
      <c r="F9668" s="7" t="n">
        <f aca="false">Sens!F9593*(1-tax_f)/(Sens!F9579*(Sens!E9664+Sens!F9664)/2)</f>
        <v>0.098791430090569</v>
      </c>
      <c r="G9668" s="7" t="n">
        <f aca="false">Sens!G9593*(1-tax_f)/(Sens!G9579*(Sens!F9664+Sens!G9664)/2)</f>
        <v>0.0675308856427828</v>
      </c>
      <c r="H9668" s="7" t="n">
        <f aca="false">Sens!H9593*(1-tax_f)/(Sens!H9579*(Sens!G9664+Sens!H9664)/2)</f>
        <v>0.0388374979528754</v>
      </c>
      <c r="I9668" s="7" t="n">
        <f aca="false">Sens!I9593*(1-tax_f)/(Sens!I9579*(Sens!H9664+Sens!I9664)/2)</f>
        <v>0.0411035671771815</v>
      </c>
      <c r="J9668" s="7" t="n">
        <f aca="false">Sens!J9593*(1-tax_f)/(Sens!J9579*(Sens!I9664+Sens!J9664)/2)</f>
        <v>0.0445222722541192</v>
      </c>
      <c r="K9668" s="7" t="n">
        <f aca="false">Sens!K9593*(1-tax_f)/(Sens!K9579*(Sens!J9664+Sens!K9664)/2)</f>
        <v>0.0498866361688162</v>
      </c>
    </row>
    <row r="9669" customFormat="false" ht="17.15" hidden="false" customHeight="false" outlineLevel="0" collapsed="false">
      <c r="A9669" s="0" t="s">
        <v>1018</v>
      </c>
      <c r="B9669" s="0" t="s">
        <v>253</v>
      </c>
      <c r="F9669" s="7" t="n">
        <f aca="false">Sens!F9665-wacc</f>
        <v>-0.0600296254639064</v>
      </c>
      <c r="G9669" s="7" t="n">
        <f aca="false">Sens!G9665-wacc</f>
        <v>-0.0626176229002424</v>
      </c>
      <c r="H9669" s="7" t="n">
        <f aca="false">Sens!H9665-wacc</f>
        <v>-0.0721752828578106</v>
      </c>
      <c r="I9669" s="7" t="n">
        <f aca="false">Sens!I9665-wacc</f>
        <v>-0.0662853259217127</v>
      </c>
      <c r="J9669" s="7" t="n">
        <f aca="false">Sens!J9665-wacc</f>
        <v>-0.0611433250411932</v>
      </c>
      <c r="K9669" s="7" t="n">
        <f aca="false">Sens!K9665-wacc</f>
        <v>-0.0552160869040152</v>
      </c>
    </row>
    <row r="9670" customFormat="false" ht="17.15" hidden="false" customHeight="false" outlineLevel="0" collapsed="false">
      <c r="A9670" s="0" t="s">
        <v>1019</v>
      </c>
      <c r="B9670" s="0" t="s">
        <v>98</v>
      </c>
      <c r="F9670" s="6" t="n">
        <f aca="false">Sens!F9663*(1-tax_f)-wacc*(Sens!E9664+Sens!F9664)/2</f>
        <v>-11.6238565154813</v>
      </c>
      <c r="G9670" s="6" t="n">
        <f aca="false">Sens!G9663*(1-tax_f)-wacc*(Sens!F9664+Sens!G9664)/2</f>
        <v>-20.4244672240733</v>
      </c>
      <c r="H9670" s="6" t="n">
        <f aca="false">Sens!H9663*(1-tax_f)-wacc*(Sens!G9664+Sens!H9664)/2</f>
        <v>-32.163873277425</v>
      </c>
      <c r="I9670" s="6" t="n">
        <f aca="false">Sens!I9663*(1-tax_f)-wacc*(Sens!H9664+Sens!I9664)/2</f>
        <v>-34.9111844978462</v>
      </c>
      <c r="J9670" s="6" t="n">
        <f aca="false">Sens!J9663*(1-tax_f)-wacc*(Sens!I9664+Sens!J9664)/2</f>
        <v>-33.7712608743463</v>
      </c>
      <c r="K9670" s="6" t="n">
        <f aca="false">Sens!K9663*(1-tax_f)-wacc*(Sens!J9664+Sens!K9664)/2</f>
        <v>-29.7483128474176</v>
      </c>
    </row>
    <row r="9671" customFormat="false" ht="17.15" hidden="false" customHeight="false" outlineLevel="0" collapsed="false">
      <c r="A9671" s="3" t="s">
        <v>1853</v>
      </c>
    </row>
    <row r="9672" customFormat="false" ht="15" hidden="false" customHeight="false" outlineLevel="0" collapsed="false">
      <c r="A9672" s="4" t="s">
        <v>43</v>
      </c>
      <c r="B9672" s="4" t="s">
        <v>65</v>
      </c>
      <c r="C9672" s="23" t="s">
        <v>942</v>
      </c>
      <c r="D9672" s="23" t="s">
        <v>943</v>
      </c>
      <c r="E9672" s="23" t="s">
        <v>944</v>
      </c>
      <c r="F9672" s="23" t="s">
        <v>945</v>
      </c>
      <c r="G9672" s="23" t="s">
        <v>946</v>
      </c>
      <c r="H9672" s="23" t="s">
        <v>947</v>
      </c>
      <c r="I9672" s="23" t="s">
        <v>948</v>
      </c>
      <c r="J9672" s="23" t="s">
        <v>949</v>
      </c>
      <c r="K9672" s="23" t="s">
        <v>950</v>
      </c>
      <c r="L9672" s="4" t="s">
        <v>47</v>
      </c>
    </row>
    <row r="9673" customFormat="false" ht="15" hidden="false" customHeight="false" outlineLevel="0" collapsed="false">
      <c r="A9673" s="1" t="s">
        <v>1080</v>
      </c>
      <c r="B9673" s="0" t="s">
        <v>98</v>
      </c>
      <c r="F9673" s="6" t="n">
        <f aca="false">Sens!F9654</f>
        <v>141.392773399415</v>
      </c>
      <c r="G9673" s="6" t="n">
        <f aca="false">Sens!G9654</f>
        <v>143.198977226966</v>
      </c>
      <c r="H9673" s="6" t="n">
        <f aca="false">Sens!H9654</f>
        <v>144.110686240415</v>
      </c>
      <c r="I9673" s="6" t="n">
        <f aca="false">Sens!I9654</f>
        <v>150.882008504975</v>
      </c>
      <c r="J9673" s="6" t="n">
        <f aca="false">Sens!J9654</f>
        <v>158.417776327248</v>
      </c>
      <c r="K9673" s="6" t="n">
        <f aca="false">Sens!K9654</f>
        <v>166.60029379211</v>
      </c>
    </row>
    <row r="9674" customFormat="false" ht="17.15" hidden="false" customHeight="false" outlineLevel="0" collapsed="false">
      <c r="A9674" s="1" t="s">
        <v>1102</v>
      </c>
      <c r="B9674" s="0" t="s">
        <v>98</v>
      </c>
      <c r="E9674" s="6" t="n">
        <f aca="false">Q!M38-Sens!E9592</f>
        <v>22.2285940229167</v>
      </c>
      <c r="F9674" s="6" t="n">
        <f aca="false">Sens!E9674*(1-1/life_nonai)+(Sens!F9682+Sens!F9683)/life_nonai</f>
        <v>23.5825554250744</v>
      </c>
      <c r="G9674" s="6" t="n">
        <f aca="false">Sens!F9674*(1-1/life_nonai)+(Sens!G9682)/life_nonai</f>
        <v>25.3171324111795</v>
      </c>
      <c r="H9674" s="6" t="n">
        <f aca="false">Sens!G9674*(1-1/life_nonai)+(Sens!H9682)/life_nonai</f>
        <v>27.3858137606649</v>
      </c>
      <c r="I9674" s="6" t="n">
        <f aca="false">Sens!H9674*(1-1/life_nonai)+(Sens!I9682)/life_nonai</f>
        <v>29.7138370549606</v>
      </c>
      <c r="J9674" s="6" t="n">
        <f aca="false">Sens!I9674*(1-1/life_nonai)+(Sens!J9682)/life_nonai</f>
        <v>32.2075225389233</v>
      </c>
      <c r="K9674" s="6" t="n">
        <f aca="false">Sens!J9674*(1-1/life_nonai)+(Sens!K9682)/life_nonai</f>
        <v>34.7655920007327</v>
      </c>
      <c r="L9674" s="12" t="s">
        <v>1103</v>
      </c>
    </row>
    <row r="9675" customFormat="false" ht="17.15" hidden="false" customHeight="false" outlineLevel="0" collapsed="false">
      <c r="A9675" s="1" t="s">
        <v>1104</v>
      </c>
      <c r="B9675" s="0" t="s">
        <v>98</v>
      </c>
      <c r="F9675" s="6" t="n">
        <f aca="false">Sens!$F$9683/life_nonai*(1-1/life_nonai)^(Sens!F9555-2027)</f>
        <v>0</v>
      </c>
      <c r="G9675" s="6" t="n">
        <f aca="false">Sens!$F$9683/life_nonai*(1-1/life_nonai)^(Sens!G9555-2027)</f>
        <v>0</v>
      </c>
      <c r="H9675" s="6" t="n">
        <f aca="false">Sens!$F$9683/life_nonai*(1-1/life_nonai)^(Sens!H9555-2027)</f>
        <v>0</v>
      </c>
      <c r="I9675" s="6" t="n">
        <f aca="false">Sens!$F$9683/life_nonai*(1-1/life_nonai)^(Sens!I9555-2027)</f>
        <v>0</v>
      </c>
      <c r="J9675" s="6" t="n">
        <f aca="false">Sens!$F$9683/life_nonai*(1-1/life_nonai)^(Sens!J9555-2027)</f>
        <v>0</v>
      </c>
      <c r="K9675" s="6" t="n">
        <f aca="false">Sens!$F$9683/life_nonai*(1-1/life_nonai)^(Sens!K9555-2027)</f>
        <v>0</v>
      </c>
      <c r="L9675" s="1" t="s">
        <v>1105</v>
      </c>
    </row>
    <row r="9676" customFormat="false" ht="17.15" hidden="false" customHeight="false" outlineLevel="0" collapsed="false">
      <c r="A9676" s="1" t="s">
        <v>1106</v>
      </c>
      <c r="B9676" s="0" t="s">
        <v>98</v>
      </c>
      <c r="E9676" s="6" t="n">
        <f aca="false">Sens!E9592+Sens!E9674</f>
        <v>38.534</v>
      </c>
      <c r="F9676" s="6" t="n">
        <f aca="false">Sens!F9592+Sens!F9674</f>
        <v>58.1618699034261</v>
      </c>
      <c r="G9676" s="6" t="n">
        <f aca="false">Sens!G9592+Sens!G9674</f>
        <v>86.0516230634784</v>
      </c>
      <c r="H9676" s="6" t="n">
        <f aca="false">Sens!H9592+Sens!H9674</f>
        <v>116.485904422111</v>
      </c>
      <c r="I9676" s="6" t="n">
        <f aca="false">Sens!I9592+Sens!I9674</f>
        <v>143.944846749509</v>
      </c>
      <c r="J9676" s="6" t="n">
        <f aca="false">Sens!J9592+Sens!J9674</f>
        <v>164.223195588519</v>
      </c>
      <c r="K9676" s="6" t="n">
        <f aca="false">Sens!K9592+Sens!K9674</f>
        <v>177.778261551667</v>
      </c>
    </row>
    <row r="9677" customFormat="false" ht="17.15" hidden="false" customHeight="false" outlineLevel="0" collapsed="false">
      <c r="A9677" s="1" t="s">
        <v>1107</v>
      </c>
      <c r="B9677" s="0" t="s">
        <v>98</v>
      </c>
      <c r="F9677" s="6" t="n">
        <f aca="false">Sens!F9619*sbc_r</f>
        <v>14.7346656433003</v>
      </c>
      <c r="G9677" s="6" t="n">
        <f aca="false">Sens!G9619*sbc_r</f>
        <v>17.1088488140735</v>
      </c>
      <c r="H9677" s="6" t="n">
        <f aca="false">Sens!H9619*sbc_r</f>
        <v>19.2956085228777</v>
      </c>
      <c r="I9677" s="6" t="n">
        <f aca="false">Sens!I9619*sbc_r</f>
        <v>21.541549834071</v>
      </c>
      <c r="J9677" s="6" t="n">
        <f aca="false">Sens!J9619*sbc_r</f>
        <v>23.3653149968841</v>
      </c>
      <c r="K9677" s="6" t="n">
        <f aca="false">Sens!K9619*sbc_r</f>
        <v>24.7806987142625</v>
      </c>
    </row>
    <row r="9678" customFormat="false" ht="17.15" hidden="false" customHeight="false" outlineLevel="0" collapsed="false">
      <c r="A9678" s="1" t="s">
        <v>1108</v>
      </c>
      <c r="B9678" s="0" t="s">
        <v>98</v>
      </c>
      <c r="F9678" s="6" t="n">
        <f aca="false">wc27-wc26q1</f>
        <v>-4.677</v>
      </c>
      <c r="G9678" s="6" t="n">
        <f aca="false">wc_f</f>
        <v>0</v>
      </c>
      <c r="H9678" s="6" t="n">
        <f aca="false">wc_f</f>
        <v>0</v>
      </c>
      <c r="I9678" s="6" t="n">
        <f aca="false">wc_f</f>
        <v>0</v>
      </c>
      <c r="J9678" s="6" t="n">
        <f aca="false">wc_f</f>
        <v>0</v>
      </c>
      <c r="K9678" s="6" t="n">
        <f aca="false">wc_f</f>
        <v>0</v>
      </c>
      <c r="L9678" s="12" t="s">
        <v>1109</v>
      </c>
    </row>
    <row r="9679" customFormat="false" ht="17.15" hidden="false" customHeight="false" outlineLevel="0" collapsed="false">
      <c r="A9679" s="0" t="s">
        <v>1110</v>
      </c>
      <c r="B9679" s="0" t="s">
        <v>98</v>
      </c>
      <c r="F9679" s="6" t="n">
        <f aca="false">Q!$I$35-Q!$I$26-Q!$I$38-Q!$I$39</f>
        <v>6.493</v>
      </c>
      <c r="L9679" s="1" t="s">
        <v>1111</v>
      </c>
    </row>
    <row r="9680" customFormat="false" ht="15" hidden="false" customHeight="false" outlineLevel="0" collapsed="false">
      <c r="A9680" s="1" t="s">
        <v>908</v>
      </c>
      <c r="B9680" s="0" t="s">
        <v>98</v>
      </c>
      <c r="E9680" s="6" t="n">
        <f aca="false">Q!M35</f>
        <v>182.935</v>
      </c>
      <c r="F9680" s="6" t="n">
        <f aca="false">Sens!F9673+Sens!F9676+Sens!F9677+Sens!F9678+Sens!F9679</f>
        <v>216.105308946141</v>
      </c>
      <c r="G9680" s="6" t="n">
        <f aca="false">Sens!G9673+Sens!G9676+Sens!G9677+Sens!G9678</f>
        <v>246.359449104518</v>
      </c>
      <c r="H9680" s="6" t="n">
        <f aca="false">Sens!H9673+Sens!H9676+Sens!H9677+Sens!H9678</f>
        <v>279.892199185404</v>
      </c>
      <c r="I9680" s="6" t="n">
        <f aca="false">Sens!I9673+Sens!I9676+Sens!I9677+Sens!I9678</f>
        <v>316.368405088555</v>
      </c>
      <c r="J9680" s="6" t="n">
        <f aca="false">Sens!J9673+Sens!J9676+Sens!J9677+Sens!J9678</f>
        <v>346.006286912651</v>
      </c>
      <c r="K9680" s="6" t="n">
        <f aca="false">Sens!K9673+Sens!K9676+Sens!K9677+Sens!K9678</f>
        <v>369.159254058039</v>
      </c>
    </row>
    <row r="9681" customFormat="false" ht="17.15" hidden="false" customHeight="false" outlineLevel="0" collapsed="false">
      <c r="A9681" s="0" t="s">
        <v>1112</v>
      </c>
      <c r="B9681" s="0" t="s">
        <v>98</v>
      </c>
      <c r="F9681" s="6" t="n">
        <f aca="false">Sens!F9589</f>
        <v>168.45390404212</v>
      </c>
      <c r="G9681" s="6" t="n">
        <f aca="false">Sens!G9589</f>
        <v>191.944475649048</v>
      </c>
      <c r="H9681" s="6" t="n">
        <f aca="false">Sens!H9589</f>
        <v>196.806004064512</v>
      </c>
      <c r="I9681" s="6" t="n">
        <f aca="false">Sens!I9589</f>
        <v>168.61483362161</v>
      </c>
      <c r="J9681" s="6" t="n">
        <f aca="false">Sens!J9589</f>
        <v>128.92993119594</v>
      </c>
      <c r="K9681" s="6" t="n">
        <f aca="false">Sens!K9589</f>
        <v>118.962853064733</v>
      </c>
    </row>
    <row r="9682" customFormat="false" ht="17.15" hidden="false" customHeight="false" outlineLevel="0" collapsed="false">
      <c r="A9682" s="1" t="s">
        <v>1113</v>
      </c>
      <c r="B9682" s="0" t="s">
        <v>98</v>
      </c>
      <c r="E9682" s="6" t="n">
        <f aca="false">Sens!E9597*cx_azo+Sens!E9604*cx_m365+Sens!E9605*cx_lic+(Sens!E9607+Sens!E9609)*cx_ind+Sens!E9612*cx_srch+(Sens!E9614+Sens!E9616)*cx_dev</f>
        <v>30.1846587067718</v>
      </c>
      <c r="F9682" s="6" t="n">
        <f aca="false">Sens!F9597*cx_azo+Sens!F9604*cx_m365+Sens!F9605*cx_lic+(Sens!F9607+Sens!F9609)*cx_ind+Sens!F9612*cx_srch+(Sens!F9614+Sens!F9616)*cx_dev</f>
        <v>35.7682080444944</v>
      </c>
      <c r="G9682" s="6" t="n">
        <f aca="false">Sens!G9597*cx_azo+Sens!G9604*cx_m365+Sens!G9605*cx_lic+(Sens!G9607+Sens!G9609)*cx_ind+Sens!G9612*cx_srch+(Sens!G9614+Sens!G9616)*cx_dev</f>
        <v>40.9283252861247</v>
      </c>
      <c r="H9682" s="6" t="n">
        <f aca="false">Sens!H9597*cx_azo+Sens!H9604*cx_m365+Sens!H9605*cx_lic+(Sens!H9607+Sens!H9609)*cx_ind+Sens!H9612*cx_srch+(Sens!H9614+Sens!H9616)*cx_dev</f>
        <v>46.0039459060342</v>
      </c>
      <c r="I9682" s="6" t="n">
        <f aca="false">Sens!I9597*cx_azo+Sens!I9604*cx_m365+Sens!I9605*cx_lic+(Sens!I9607+Sens!I9609)*cx_ind+Sens!I9612*cx_srch+(Sens!I9614+Sens!I9616)*cx_dev</f>
        <v>50.6660467036217</v>
      </c>
      <c r="J9682" s="6" t="n">
        <f aca="false">Sens!J9597*cx_azo+Sens!J9604*cx_m365+Sens!J9605*cx_lic+(Sens!J9607+Sens!J9609)*cx_ind+Sens!J9612*cx_srch+(Sens!J9614+Sens!J9616)*cx_dev</f>
        <v>54.650691894587</v>
      </c>
      <c r="K9682" s="6" t="n">
        <f aca="false">Sens!K9597*cx_azo+Sens!K9604*cx_m365+Sens!K9605*cx_lic+(Sens!K9607+Sens!K9609)*cx_ind+Sens!K9612*cx_srch+(Sens!K9614+Sens!K9616)*cx_dev</f>
        <v>57.7882171570174</v>
      </c>
    </row>
    <row r="9683" customFormat="false" ht="17.15" hidden="false" customHeight="false" outlineLevel="0" collapsed="false">
      <c r="A9683" s="0" t="s">
        <v>1114</v>
      </c>
      <c r="B9683" s="0" t="s">
        <v>98</v>
      </c>
      <c r="F9683" s="6" t="n">
        <f aca="false">Sens!F9587</f>
        <v>0</v>
      </c>
      <c r="L9683" s="1" t="s">
        <v>1115</v>
      </c>
    </row>
    <row r="9684" customFormat="false" ht="17.15" hidden="false" customHeight="false" outlineLevel="0" collapsed="false">
      <c r="A9684" s="1" t="s">
        <v>1116</v>
      </c>
      <c r="B9684" s="0" t="s">
        <v>98</v>
      </c>
      <c r="E9684" s="6" t="n">
        <f aca="false">Q!M43</f>
        <v>145.3</v>
      </c>
      <c r="F9684" s="6" t="n">
        <f aca="false">Sens!F9681+Sens!F9682+Sens!F9683</f>
        <v>204.222112086614</v>
      </c>
      <c r="G9684" s="6" t="n">
        <f aca="false">Sens!G9681+Sens!G9682</f>
        <v>232.872800935173</v>
      </c>
      <c r="H9684" s="6" t="n">
        <f aca="false">Sens!H9681+Sens!H9682</f>
        <v>242.809949970547</v>
      </c>
      <c r="I9684" s="6" t="n">
        <f aca="false">Sens!I9681+Sens!I9682</f>
        <v>219.280880325232</v>
      </c>
      <c r="J9684" s="6" t="n">
        <f aca="false">Sens!J9681+Sens!J9682</f>
        <v>183.580623090527</v>
      </c>
      <c r="K9684" s="6" t="n">
        <f aca="false">Sens!K9681+Sens!K9682</f>
        <v>176.75107022175</v>
      </c>
      <c r="L9684" s="1" t="s">
        <v>1117</v>
      </c>
    </row>
    <row r="9685" customFormat="false" ht="15" hidden="false" customHeight="false" outlineLevel="0" collapsed="false">
      <c r="A9685" s="1" t="s">
        <v>1118</v>
      </c>
      <c r="B9685" s="0" t="s">
        <v>98</v>
      </c>
      <c r="E9685" s="6" t="n">
        <f aca="false">fl_liab</f>
        <v>66.594</v>
      </c>
      <c r="F9685" s="6" t="n">
        <f aca="false">Sens!E9685-Sens!F9686</f>
        <v>62.46973</v>
      </c>
      <c r="G9685" s="6" t="n">
        <f aca="false">Sens!F9685-Sens!G9686</f>
        <v>57.98686785</v>
      </c>
      <c r="H9685" s="6" t="n">
        <f aca="false">Sens!G9685-Sens!H9686</f>
        <v>53.92827690325</v>
      </c>
      <c r="I9685" s="6" t="n">
        <f aca="false">Sens!H9685-Sens!I9686</f>
        <v>49.7850493638962</v>
      </c>
      <c r="J9685" s="6" t="n">
        <f aca="false">Sens!I9685-Sens!J9686</f>
        <v>45.4823765852716</v>
      </c>
      <c r="K9685" s="6" t="n">
        <f aca="false">Sens!J9685-Sens!K9686</f>
        <v>40.9860835316088</v>
      </c>
    </row>
    <row r="9686" customFormat="false" ht="15" hidden="false" customHeight="false" outlineLevel="0" collapsed="false">
      <c r="A9686" s="1" t="s">
        <v>1119</v>
      </c>
      <c r="B9686" s="0" t="s">
        <v>98</v>
      </c>
      <c r="F9686" s="6" t="n">
        <f aca="false">fl_pay_27-Sens!E9685*fl_rate</f>
        <v>4.12427</v>
      </c>
      <c r="G9686" s="6" t="n">
        <f aca="false">fl_pay_28-Sens!F9685*fl_rate</f>
        <v>4.48286215</v>
      </c>
      <c r="H9686" s="6" t="n">
        <f aca="false">fl_pay_29-Sens!G9685*fl_rate</f>
        <v>4.05859094675</v>
      </c>
      <c r="I9686" s="6" t="n">
        <f aca="false">fl_pay_30-Sens!H9685*fl_rate</f>
        <v>4.14322753935375</v>
      </c>
      <c r="J9686" s="6" t="n">
        <f aca="false">fl_pay_31-Sens!I9685*fl_rate</f>
        <v>4.30267277862467</v>
      </c>
      <c r="K9686" s="6" t="n">
        <f aca="false">fl_pay_32-Sens!J9685*fl_rate</f>
        <v>4.49629305366278</v>
      </c>
    </row>
    <row r="9687" customFormat="false" ht="17.15" hidden="false" customHeight="false" outlineLevel="0" collapsed="false">
      <c r="A9687" s="1" t="s">
        <v>1120</v>
      </c>
      <c r="B9687" s="0" t="s">
        <v>98</v>
      </c>
      <c r="E9687" s="6" t="n">
        <f aca="false">Q!M35-Q!M36-Q!M44</f>
        <v>63.886</v>
      </c>
      <c r="F9687" s="6" t="n">
        <f aca="false">Sens!F9680-Sens!F9684-Sens!F9686</f>
        <v>7.758926859527</v>
      </c>
      <c r="G9687" s="6" t="n">
        <f aca="false">Sens!G9680-Sens!G9684-Sens!G9686</f>
        <v>9.00378601934473</v>
      </c>
      <c r="H9687" s="6" t="n">
        <f aca="false">Sens!H9680-Sens!H9684-Sens!H9686</f>
        <v>33.023658268107</v>
      </c>
      <c r="I9687" s="6" t="n">
        <f aca="false">Sens!I9680-Sens!I9684-Sens!I9686</f>
        <v>92.9442972239696</v>
      </c>
      <c r="J9687" s="6" t="n">
        <f aca="false">Sens!J9680-Sens!J9684-Sens!J9686</f>
        <v>158.122991043499</v>
      </c>
      <c r="K9687" s="6" t="n">
        <f aca="false">Sens!K9680-Sens!K9684-Sens!K9686</f>
        <v>187.911890782627</v>
      </c>
      <c r="L9687" s="12" t="s">
        <v>1121</v>
      </c>
    </row>
    <row r="9688" customFormat="false" ht="15" hidden="false" customHeight="false" outlineLevel="0" collapsed="false">
      <c r="A9688" s="1" t="s">
        <v>1122</v>
      </c>
      <c r="B9688" s="0" t="s">
        <v>75</v>
      </c>
      <c r="F9688" s="8" t="n">
        <f aca="false">dps_27</f>
        <v>3.85</v>
      </c>
      <c r="G9688" s="8" t="n">
        <f aca="false">Sens!F9688*(1+dps_g)</f>
        <v>4.158</v>
      </c>
      <c r="H9688" s="8" t="n">
        <f aca="false">Sens!G9688*(1+dps_g)</f>
        <v>4.49064</v>
      </c>
      <c r="I9688" s="8" t="n">
        <f aca="false">Sens!H9688*(1+dps_g)</f>
        <v>4.8498912</v>
      </c>
      <c r="J9688" s="8" t="n">
        <f aca="false">Sens!I9688*(1+dps_g)</f>
        <v>5.237882496</v>
      </c>
      <c r="K9688" s="8" t="n">
        <f aca="false">Sens!J9688*(1+dps_g)</f>
        <v>5.65691309568</v>
      </c>
    </row>
    <row r="9689" customFormat="false" ht="17.15" hidden="false" customHeight="false" outlineLevel="0" collapsed="false">
      <c r="A9689" s="1" t="s">
        <v>1123</v>
      </c>
      <c r="B9689" s="0" t="s">
        <v>98</v>
      </c>
      <c r="E9689" s="6" t="n">
        <f aca="false">Q!M41</f>
        <v>26.445</v>
      </c>
      <c r="F9689" s="6" t="n">
        <f aca="false">Sens!F9688*Sens!E9698</f>
        <v>28.59395</v>
      </c>
      <c r="G9689" s="6" t="n">
        <f aca="false">Sens!G9688*Sens!F9698</f>
        <v>31.068576</v>
      </c>
      <c r="H9689" s="6" t="n">
        <f aca="false">Sens!H9688*Sens!G9698</f>
        <v>33.75614088</v>
      </c>
      <c r="I9689" s="6" t="n">
        <f aca="false">Sens!I9688*Sens!H9698</f>
        <v>36.6748772544</v>
      </c>
      <c r="J9689" s="6" t="n">
        <f aca="false">Sens!J9688*Sens!I9698</f>
        <v>39.6767653201446</v>
      </c>
      <c r="K9689" s="6" t="n">
        <f aca="false">Sens!K9688*Sens!J9698</f>
        <v>42.9376608081345</v>
      </c>
      <c r="L9689" s="1" t="s">
        <v>1124</v>
      </c>
    </row>
    <row r="9690" customFormat="false" ht="15" hidden="false" customHeight="false" outlineLevel="0" collapsed="false">
      <c r="A9690" s="1" t="s">
        <v>1125</v>
      </c>
      <c r="B9690" s="0" t="s">
        <v>98</v>
      </c>
      <c r="E9690" s="6" t="n">
        <f aca="false">Sens!E9687-Sens!E9689</f>
        <v>37.441</v>
      </c>
      <c r="F9690" s="6" t="n">
        <f aca="false">Sens!F9687-Sens!F9689</f>
        <v>-20.835023140473</v>
      </c>
      <c r="G9690" s="6" t="n">
        <f aca="false">Sens!G9687-Sens!G9689</f>
        <v>-22.0647899806553</v>
      </c>
      <c r="H9690" s="6" t="n">
        <f aca="false">Sens!H9687-Sens!H9689</f>
        <v>-0.732482611893033</v>
      </c>
      <c r="I9690" s="6" t="n">
        <f aca="false">Sens!I9687-Sens!I9689</f>
        <v>56.2694199695696</v>
      </c>
      <c r="J9690" s="6" t="n">
        <f aca="false">Sens!J9687-Sens!J9689</f>
        <v>118.446225723355</v>
      </c>
      <c r="K9690" s="6" t="n">
        <f aca="false">Sens!K9687-Sens!K9689</f>
        <v>144.974229974492</v>
      </c>
    </row>
    <row r="9691" customFormat="false" ht="15" hidden="false" customHeight="false" outlineLevel="0" collapsed="false">
      <c r="A9691" s="1" t="s">
        <v>1126</v>
      </c>
      <c r="B9691" s="0" t="s">
        <v>98</v>
      </c>
      <c r="F9691" s="6" t="n">
        <f aca="false">debt_mat_27</f>
        <v>9.25</v>
      </c>
      <c r="G9691" s="6" t="n">
        <f aca="false">debt_mat_28</f>
        <v>0</v>
      </c>
      <c r="H9691" s="6" t="n">
        <f aca="false">debt_mat_29</f>
        <v>2.001</v>
      </c>
      <c r="I9691" s="6" t="n">
        <f aca="false">debt_mat_30</f>
        <v>0</v>
      </c>
      <c r="J9691" s="6" t="n">
        <f aca="false">debt_mat_31</f>
        <v>0.5</v>
      </c>
      <c r="K9691" s="6" t="n">
        <f aca="false">debt_mat_32</f>
        <v>0</v>
      </c>
    </row>
    <row r="9692" customFormat="false" ht="15" hidden="false" customHeight="false" outlineLevel="0" collapsed="false">
      <c r="A9692" s="1" t="s">
        <v>1127</v>
      </c>
      <c r="B9692" s="0" t="s">
        <v>98</v>
      </c>
      <c r="E9692" s="6" t="n">
        <f aca="false">Q!M40</f>
        <v>22.271</v>
      </c>
      <c r="F9692" s="6" t="n">
        <f aca="false">MAX(0,MIN(bb_target,Sens!E9694+Sens!F9690-Sens!F9691-min_cash))</f>
        <v>0</v>
      </c>
      <c r="G9692" s="6" t="n">
        <f aca="false">MAX(0,MIN(bb_target,Sens!F9694+Sens!G9690-Sens!G9691-min_cash))</f>
        <v>0</v>
      </c>
      <c r="H9692" s="6" t="n">
        <f aca="false">MAX(0,MIN(bb_target,Sens!G9694+Sens!H9690-Sens!H9691-min_cash))</f>
        <v>0</v>
      </c>
      <c r="I9692" s="6" t="n">
        <f aca="false">MAX(0,MIN(bb_target,Sens!H9694+Sens!I9690-Sens!I9691-min_cash))</f>
        <v>22.271</v>
      </c>
      <c r="J9692" s="6" t="n">
        <f aca="false">MAX(0,MIN(bb_target,Sens!I9694+Sens!J9690-Sens!J9691-min_cash))</f>
        <v>22.271</v>
      </c>
      <c r="K9692" s="6" t="n">
        <f aca="false">MAX(0,MIN(bb_target,Sens!J9694+Sens!K9690-Sens!K9691-min_cash))</f>
        <v>22.271</v>
      </c>
    </row>
    <row r="9693" customFormat="false" ht="15" hidden="false" customHeight="false" outlineLevel="0" collapsed="false">
      <c r="A9693" s="1" t="s">
        <v>1128</v>
      </c>
      <c r="B9693" s="0" t="s">
        <v>98</v>
      </c>
      <c r="F9693" s="6" t="n">
        <f aca="false">MAX(0,min_cash-(Sens!E9694+Sens!F9690-Sens!F9691-Sens!F9692))</f>
        <v>3.24202314047299</v>
      </c>
      <c r="G9693" s="6" t="n">
        <f aca="false">MAX(0,min_cash-(Sens!F9694+Sens!G9690-Sens!G9691-Sens!G9692))</f>
        <v>22.0647899806553</v>
      </c>
      <c r="H9693" s="6" t="n">
        <f aca="false">MAX(0,min_cash-(Sens!G9694+Sens!H9690-Sens!H9691-Sens!H9692))</f>
        <v>2.73348261189303</v>
      </c>
      <c r="I9693" s="6" t="n">
        <f aca="false">MAX(0,min_cash-(Sens!H9694+Sens!I9690-Sens!I9691-Sens!I9692))</f>
        <v>0</v>
      </c>
      <c r="J9693" s="6" t="n">
        <f aca="false">MAX(0,min_cash-(Sens!I9694+Sens!J9690-Sens!J9691-Sens!J9692))</f>
        <v>0</v>
      </c>
      <c r="K9693" s="6" t="n">
        <f aca="false">MAX(0,min_cash-(Sens!J9694+Sens!K9690-Sens!K9691-Sens!K9692))</f>
        <v>0</v>
      </c>
    </row>
    <row r="9694" customFormat="false" ht="15" hidden="false" customHeight="false" outlineLevel="0" collapsed="false">
      <c r="A9694" s="1" t="s">
        <v>1129</v>
      </c>
      <c r="B9694" s="0" t="s">
        <v>98</v>
      </c>
      <c r="E9694" s="6" t="n">
        <f aca="false">cash_open</f>
        <v>76.843</v>
      </c>
      <c r="F9694" s="6" t="n">
        <f aca="false">Sens!E9694+Sens!F9690-Sens!F9691-Sens!F9692+Sens!F9693</f>
        <v>50</v>
      </c>
      <c r="G9694" s="6" t="n">
        <f aca="false">Sens!F9694+Sens!G9690-Sens!G9691-Sens!G9692+Sens!G9693</f>
        <v>50</v>
      </c>
      <c r="H9694" s="6" t="n">
        <f aca="false">Sens!G9694+Sens!H9690-Sens!H9691-Sens!H9692+Sens!H9693</f>
        <v>50</v>
      </c>
      <c r="I9694" s="6" t="n">
        <f aca="false">Sens!H9694+Sens!I9690-Sens!I9691-Sens!I9692+Sens!I9693</f>
        <v>83.9984199695696</v>
      </c>
      <c r="J9694" s="6" t="n">
        <f aca="false">Sens!I9694+Sens!J9690-Sens!J9691-Sens!J9692+Sens!J9693</f>
        <v>179.673645692924</v>
      </c>
      <c r="K9694" s="6" t="n">
        <f aca="false">Sens!J9694+Sens!K9690-Sens!K9691-Sens!K9692+Sens!K9693</f>
        <v>302.376875667416</v>
      </c>
    </row>
    <row r="9695" customFormat="false" ht="15" hidden="false" customHeight="false" outlineLevel="0" collapsed="false">
      <c r="A9695" s="1" t="s">
        <v>1130</v>
      </c>
      <c r="B9695" s="0" t="s">
        <v>98</v>
      </c>
      <c r="E9695" s="6" t="n">
        <f aca="false">debt_face</f>
        <v>46.136</v>
      </c>
      <c r="F9695" s="6" t="n">
        <f aca="false">Sens!E9695-Sens!F9691+Sens!F9693</f>
        <v>40.128023140473</v>
      </c>
      <c r="G9695" s="6" t="n">
        <f aca="false">Sens!F9695-Sens!G9691+Sens!G9693</f>
        <v>62.1928131211283</v>
      </c>
      <c r="H9695" s="6" t="n">
        <f aca="false">Sens!G9695-Sens!H9691+Sens!H9693</f>
        <v>62.9252957330213</v>
      </c>
      <c r="I9695" s="6" t="n">
        <f aca="false">Sens!H9695-Sens!I9691+Sens!I9693</f>
        <v>62.9252957330213</v>
      </c>
      <c r="J9695" s="6" t="n">
        <f aca="false">Sens!I9695-Sens!J9691+Sens!J9693</f>
        <v>62.4252957330213</v>
      </c>
      <c r="K9695" s="6" t="n">
        <f aca="false">Sens!J9695-Sens!K9691+Sens!K9693</f>
        <v>62.4252957330213</v>
      </c>
    </row>
    <row r="9696" customFormat="false" ht="15" hidden="false" customHeight="false" outlineLevel="0" collapsed="false">
      <c r="A9696" s="1" t="s">
        <v>1131</v>
      </c>
      <c r="B9696" s="0" t="s">
        <v>98</v>
      </c>
      <c r="E9696" s="6" t="n">
        <f aca="false">Sens!E9694-Sens!E9695</f>
        <v>30.707</v>
      </c>
      <c r="F9696" s="6" t="n">
        <f aca="false">Sens!F9694-Sens!F9695</f>
        <v>9.871976859527</v>
      </c>
      <c r="G9696" s="6" t="n">
        <f aca="false">Sens!G9694-Sens!G9695</f>
        <v>-12.1928131211283</v>
      </c>
      <c r="H9696" s="6" t="n">
        <f aca="false">Sens!H9694-Sens!H9695</f>
        <v>-12.9252957330213</v>
      </c>
      <c r="I9696" s="6" t="n">
        <f aca="false">Sens!I9694-Sens!I9695</f>
        <v>21.0731242365483</v>
      </c>
      <c r="J9696" s="6" t="n">
        <f aca="false">Sens!J9694-Sens!J9695</f>
        <v>117.248349959903</v>
      </c>
      <c r="K9696" s="6" t="n">
        <f aca="false">Sens!K9694-Sens!K9695</f>
        <v>239.951579934395</v>
      </c>
    </row>
    <row r="9697" customFormat="false" ht="15" hidden="false" customHeight="false" outlineLevel="0" collapsed="false">
      <c r="A9697" s="1" t="s">
        <v>1132</v>
      </c>
      <c r="B9697" s="0" t="s">
        <v>75</v>
      </c>
      <c r="F9697" s="30" t="n">
        <f aca="false">px*(1+bb_g)^(Sens!F9555-base_fy-mid_yr)</f>
        <v>551.84177959629</v>
      </c>
      <c r="G9697" s="30" t="n">
        <f aca="false">px*(1+bb_g)^(Sens!G9555-base_fy-mid_yr)</f>
        <v>595.989121963993</v>
      </c>
      <c r="H9697" s="30" t="n">
        <f aca="false">px*(1+bb_g)^(Sens!H9555-base_fy-mid_yr)</f>
        <v>643.668251721112</v>
      </c>
      <c r="I9697" s="30" t="n">
        <f aca="false">px*(1+bb_g)^(Sens!I9555-base_fy-mid_yr)</f>
        <v>695.161711858801</v>
      </c>
      <c r="J9697" s="30" t="n">
        <f aca="false">px*(1+bb_g)^(Sens!J9555-base_fy-mid_yr)</f>
        <v>750.774648807506</v>
      </c>
      <c r="K9697" s="30" t="n">
        <f aca="false">px*(1+bb_g)^(Sens!K9555-base_fy-mid_yr)</f>
        <v>810.836620712106</v>
      </c>
    </row>
    <row r="9698" customFormat="false" ht="15" hidden="false" customHeight="false" outlineLevel="0" collapsed="false">
      <c r="A9698" s="1" t="s">
        <v>1133</v>
      </c>
      <c r="B9698" s="1" t="s">
        <v>81</v>
      </c>
      <c r="E9698" s="15" t="n">
        <f aca="false">sh_out26</f>
        <v>7.427</v>
      </c>
      <c r="F9698" s="15" t="n">
        <f aca="false">Sens!E9698+sh_iss-Sens!F9692/Sens!F9697</f>
        <v>7.472</v>
      </c>
      <c r="G9698" s="15" t="n">
        <f aca="false">Sens!F9698+sh_iss-Sens!G9692/Sens!G9697</f>
        <v>7.517</v>
      </c>
      <c r="H9698" s="15" t="n">
        <f aca="false">Sens!G9698+sh_iss-Sens!H9692/Sens!H9697</f>
        <v>7.562</v>
      </c>
      <c r="I9698" s="15" t="n">
        <f aca="false">Sens!H9698+sh_iss-Sens!I9692/Sens!I9697</f>
        <v>7.57496285005334</v>
      </c>
      <c r="J9698" s="15" t="n">
        <f aca="false">Sens!I9698+sh_iss-Sens!J9692/Sens!J9697</f>
        <v>7.59029882232494</v>
      </c>
      <c r="K9698" s="15" t="n">
        <f aca="false">Sens!J9698+sh_iss-Sens!K9692/Sens!K9697</f>
        <v>7.60783212998384</v>
      </c>
    </row>
    <row r="9699" customFormat="false" ht="15" hidden="false" customHeight="false" outlineLevel="0" collapsed="false">
      <c r="A9699" s="1" t="s">
        <v>1134</v>
      </c>
      <c r="B9699" s="1" t="s">
        <v>81</v>
      </c>
      <c r="E9699" s="15" t="n">
        <f aca="false">sh_dil26</f>
        <v>7.453</v>
      </c>
      <c r="F9699" s="15" t="n">
        <f aca="false">(Sens!E9698+Sens!F9698)/2+dil_gap</f>
        <v>7.4735</v>
      </c>
      <c r="G9699" s="15" t="n">
        <f aca="false">(Sens!F9698+Sens!G9698)/2+dil_gap</f>
        <v>7.5185</v>
      </c>
      <c r="H9699" s="15" t="n">
        <f aca="false">(Sens!G9698+Sens!H9698)/2+dil_gap</f>
        <v>7.5635</v>
      </c>
      <c r="I9699" s="15" t="n">
        <f aca="false">(Sens!H9698+Sens!I9698)/2+dil_gap</f>
        <v>7.59248142502667</v>
      </c>
      <c r="J9699" s="15" t="n">
        <f aca="false">(Sens!I9698+Sens!J9698)/2+dil_gap</f>
        <v>7.60663083618914</v>
      </c>
      <c r="K9699" s="15" t="n">
        <f aca="false">(Sens!J9698+Sens!K9698)/2+dil_gap</f>
        <v>7.62306547615439</v>
      </c>
    </row>
    <row r="9700" customFormat="false" ht="17.15" hidden="false" customHeight="false" outlineLevel="0" collapsed="false">
      <c r="A9700" s="1" t="s">
        <v>1135</v>
      </c>
      <c r="B9700" s="0" t="s">
        <v>98</v>
      </c>
      <c r="C9700" s="6" t="n">
        <f aca="false">SUM(Sens!F9690:J9690)</f>
        <v>131.083349959903</v>
      </c>
    </row>
    <row r="9701" customFormat="false" ht="15" hidden="false" customHeight="false" outlineLevel="0" collapsed="false">
      <c r="A9701" s="26" t="s">
        <v>1100</v>
      </c>
      <c r="B9701" s="31" t="s">
        <v>98</v>
      </c>
      <c r="C9701" s="27" t="n">
        <f aca="false">Sens!$C$9700-(Sens!F9690+Sens!G9690+Sens!H9690+Sens!I9690+Sens!J9690)</f>
        <v>0</v>
      </c>
      <c r="D9701" s="31"/>
      <c r="E9701" s="31"/>
      <c r="F9701" s="31"/>
      <c r="G9701" s="31"/>
      <c r="H9701" s="31"/>
      <c r="I9701" s="31"/>
      <c r="J9701" s="31"/>
      <c r="K9701" s="31"/>
    </row>
    <row r="9702" customFormat="false" ht="17.15" hidden="false" customHeight="false" outlineLevel="0" collapsed="false">
      <c r="A9702" s="1" t="s">
        <v>1094</v>
      </c>
      <c r="B9702" s="1" t="s">
        <v>1136</v>
      </c>
      <c r="C9702" s="33" t="str">
        <f aca="false">IF(SUM(Sens!F9693:J9693)&gt;0.05,"需要舉債 "&amp;TEXT(SUM(Sens!F9693:J9693),"0.0")&amp;" 十億美元","不需舉債")&amp;"；"&amp;IF(SUM(Sens!F9692:J9692)&lt;COUNT(Sens!F9692:J9692)*bb_target-0.05,"回購較每年 "&amp;TEXT(bb_target,"0.0")&amp;" 的目標少 "&amp;TEXT(COUNT(Sens!F9692:J9692)*bb_target-SUM(Sens!F9692:J9692),"0.0")&amp;" 十億美元（"&amp;TEXT(COUNTIF(Sens!F9692:J9692,"&lt;"&amp;(bb_target-0.05)),"0")&amp;" 年減少）","回購不減")</f>
        <v>需要舉債 28.0 十億美元；回購較每年 22.3 的目標少 66.8 十億美元（3 年減少）</v>
      </c>
    </row>
    <row r="9703" customFormat="false" ht="17.15" hidden="false" customHeight="false" outlineLevel="0" collapsed="false">
      <c r="A9703" s="3" t="s">
        <v>1854</v>
      </c>
    </row>
    <row r="9704" customFormat="false" ht="15" hidden="false" customHeight="false" outlineLevel="0" collapsed="false">
      <c r="A9704" s="4" t="s">
        <v>43</v>
      </c>
      <c r="B9704" s="4" t="s">
        <v>65</v>
      </c>
      <c r="C9704" s="23" t="s">
        <v>942</v>
      </c>
      <c r="D9704" s="23" t="s">
        <v>943</v>
      </c>
      <c r="E9704" s="23" t="s">
        <v>944</v>
      </c>
      <c r="F9704" s="23" t="s">
        <v>945</v>
      </c>
      <c r="G9704" s="23" t="s">
        <v>946</v>
      </c>
      <c r="H9704" s="23" t="s">
        <v>947</v>
      </c>
      <c r="I9704" s="23" t="s">
        <v>948</v>
      </c>
      <c r="J9704" s="23" t="s">
        <v>949</v>
      </c>
      <c r="K9704" s="23" t="s">
        <v>950</v>
      </c>
      <c r="L9704" s="4" t="s">
        <v>47</v>
      </c>
    </row>
    <row r="9705" customFormat="false" ht="17.15" hidden="false" customHeight="false" outlineLevel="0" collapsed="false">
      <c r="A9705" s="1" t="s">
        <v>1216</v>
      </c>
      <c r="B9705" s="1" t="s">
        <v>279</v>
      </c>
      <c r="F9705" s="8" t="n">
        <f aca="false">(1-v_off)*mid_yr</f>
        <v>0.373972602739726</v>
      </c>
      <c r="G9705" s="8" t="n">
        <f aca="false">Sens!G9555-base_fy-mid_yr-v_off</f>
        <v>1.24794520547945</v>
      </c>
      <c r="H9705" s="8" t="n">
        <f aca="false">Sens!H9555-base_fy-mid_yr-v_off</f>
        <v>2.24794520547945</v>
      </c>
      <c r="I9705" s="8" t="n">
        <f aca="false">Sens!I9555-base_fy-mid_yr-v_off</f>
        <v>3.24794520547945</v>
      </c>
      <c r="J9705" s="8" t="n">
        <f aca="false">Sens!J9555-base_fy-mid_yr-v_off</f>
        <v>4.24794520547945</v>
      </c>
      <c r="K9705" s="8" t="n">
        <f aca="false">Sens!K9555-base_fy-mid_yr-v_off</f>
        <v>5.24794520547945</v>
      </c>
      <c r="L9705" s="12" t="s">
        <v>1217</v>
      </c>
    </row>
    <row r="9706" customFormat="false" ht="15" hidden="false" customHeight="false" outlineLevel="0" collapsed="false">
      <c r="A9706" s="1" t="s">
        <v>1218</v>
      </c>
      <c r="B9706" s="1" t="s">
        <v>279</v>
      </c>
      <c r="F9706" s="8" t="n">
        <f aca="false">Sens!F9555-base_fy-v_off</f>
        <v>0.747945205479452</v>
      </c>
      <c r="G9706" s="8" t="n">
        <f aca="false">Sens!G9555-base_fy-v_off</f>
        <v>1.74794520547945</v>
      </c>
      <c r="H9706" s="8" t="n">
        <f aca="false">Sens!H9555-base_fy-v_off</f>
        <v>2.74794520547945</v>
      </c>
      <c r="I9706" s="8" t="n">
        <f aca="false">Sens!I9555-base_fy-v_off</f>
        <v>3.74794520547945</v>
      </c>
      <c r="J9706" s="8" t="n">
        <f aca="false">Sens!J9555-base_fy-v_off</f>
        <v>4.74794520547945</v>
      </c>
      <c r="K9706" s="8" t="n">
        <f aca="false">Sens!K9555-base_fy-v_off</f>
        <v>5.74794520547945</v>
      </c>
    </row>
    <row r="9707" customFormat="false" ht="15" hidden="false" customHeight="false" outlineLevel="0" collapsed="false">
      <c r="A9707" s="1" t="s">
        <v>1219</v>
      </c>
      <c r="B9707" s="0" t="s">
        <v>229</v>
      </c>
      <c r="F9707" s="15" t="n">
        <f aca="false">1/(1+wacc)^Sens!F9705</f>
        <v>0.964022703286649</v>
      </c>
      <c r="G9707" s="15" t="n">
        <f aca="false">1/(1+wacc)^Sens!G9705</f>
        <v>0.884910302296739</v>
      </c>
      <c r="H9707" s="15" t="n">
        <f aca="false">1/(1+wacc)^Sens!H9705</f>
        <v>0.802322009770358</v>
      </c>
      <c r="I9707" s="15" t="n">
        <f aca="false">1/(1+wacc)^Sens!I9705</f>
        <v>0.727441646561469</v>
      </c>
      <c r="J9707" s="15" t="n">
        <f aca="false">1/(1+wacc)^Sens!J9705</f>
        <v>0.659549834988973</v>
      </c>
      <c r="K9707" s="15" t="n">
        <f aca="false">1/(1+wacc)^Sens!K9705</f>
        <v>0.597994336576966</v>
      </c>
    </row>
    <row r="9708" customFormat="false" ht="17.15" hidden="false" customHeight="false" outlineLevel="0" collapsed="false">
      <c r="A9708" s="1" t="s">
        <v>1220</v>
      </c>
      <c r="B9708" s="0" t="s">
        <v>98</v>
      </c>
      <c r="F9708" s="6" t="n">
        <f aca="false">Q!$I$35-Q!$I$39-Q!$I$43</f>
        <v>9.666</v>
      </c>
      <c r="L9708" s="12" t="s">
        <v>1221</v>
      </c>
    </row>
    <row r="9709" customFormat="false" ht="17.15" hidden="false" customHeight="false" outlineLevel="0" collapsed="false">
      <c r="A9709" s="1" t="s">
        <v>1222</v>
      </c>
      <c r="B9709" s="0" t="s">
        <v>98</v>
      </c>
      <c r="F9709" s="6" t="n">
        <f aca="false">Sens!F9680-Sens!F9677-Sens!F9684+Sens!F9662*(1-tax_f)*(1-v_off)-Sens!F9708</f>
        <v>-6.17712004549467</v>
      </c>
      <c r="G9709" s="6" t="n">
        <f aca="false">Sens!G9680-Sens!G9677-Sens!G9684+Sens!G9662*(1-tax_f)</f>
        <v>18.6535166952169</v>
      </c>
      <c r="H9709" s="6" t="n">
        <f aca="false">Sens!H9680-Sens!H9677-Sens!H9684+Sens!H9662*(1-tax_f)</f>
        <v>55.0396050930848</v>
      </c>
      <c r="I9709" s="6" t="n">
        <f aca="false">Sens!I9680-Sens!I9677-Sens!I9684+Sens!I9662*(1-tax_f)</f>
        <v>126.163397179368</v>
      </c>
      <c r="J9709" s="6" t="n">
        <f aca="false">Sens!J9680-Sens!J9677-Sens!J9684+Sens!J9662*(1-tax_f)</f>
        <v>198.985246655801</v>
      </c>
      <c r="K9709" s="6" t="n">
        <f aca="false">Sens!K9680-Sens!K9677-Sens!K9684+Sens!K9662*(1-tax_f)</f>
        <v>232.939120096445</v>
      </c>
      <c r="L9709" s="1" t="s">
        <v>1223</v>
      </c>
    </row>
    <row r="9710" customFormat="false" ht="15" hidden="false" customHeight="false" outlineLevel="0" collapsed="false">
      <c r="A9710" s="1" t="s">
        <v>1224</v>
      </c>
      <c r="B9710" s="0" t="s">
        <v>98</v>
      </c>
      <c r="F9710" s="6" t="n">
        <f aca="false">Sens!F9709*Sens!F9707</f>
        <v>-5.95488396478392</v>
      </c>
      <c r="G9710" s="6" t="n">
        <f aca="false">Sens!G9709*Sens!G9707</f>
        <v>16.5066890976616</v>
      </c>
      <c r="H9710" s="6" t="n">
        <f aca="false">Sens!H9709*Sens!H9707</f>
        <v>44.1594865752507</v>
      </c>
      <c r="I9710" s="6" t="n">
        <f aca="false">Sens!I9709*Sens!I9707</f>
        <v>91.7765093799479</v>
      </c>
      <c r="J9710" s="6" t="n">
        <f aca="false">Sens!J9709*Sens!J9707</f>
        <v>131.240686597073</v>
      </c>
      <c r="K9710" s="6" t="n">
        <f aca="false">Sens!K9709*Sens!K9707</f>
        <v>139.296274584896</v>
      </c>
    </row>
    <row r="9711" customFormat="false" ht="17.15" hidden="false" customHeight="false" outlineLevel="0" collapsed="false">
      <c r="A9711" s="1" t="s">
        <v>1225</v>
      </c>
      <c r="B9711" s="0" t="s">
        <v>98</v>
      </c>
      <c r="C9711" s="6" t="n">
        <f aca="false">SUM(Sens!F9710:K9710)</f>
        <v>417.024762270045</v>
      </c>
    </row>
    <row r="9712" customFormat="false" ht="17.15" hidden="false" customHeight="false" outlineLevel="0" collapsed="false">
      <c r="A9712" s="1" t="s">
        <v>1226</v>
      </c>
      <c r="B9712" s="0" t="s">
        <v>98</v>
      </c>
      <c r="C9712" s="6" t="n">
        <f aca="false">Sens!K9648*(1+g_tv)*(1-tax_f)</f>
        <v>239.858086629525</v>
      </c>
    </row>
    <row r="9713" customFormat="false" ht="17.15" hidden="false" customHeight="false" outlineLevel="0" collapsed="false">
      <c r="A9713" s="1" t="s">
        <v>1227</v>
      </c>
      <c r="B9713" s="0" t="s">
        <v>98</v>
      </c>
      <c r="C9713" s="6" t="n">
        <f aca="false">Sens!$C$9712*(1-g_tv/(wacc+ronic_prem))</f>
        <v>169.953473189502</v>
      </c>
    </row>
    <row r="9714" customFormat="false" ht="17.15" hidden="false" customHeight="false" outlineLevel="0" collapsed="false">
      <c r="A9714" s="1" t="s">
        <v>1228</v>
      </c>
      <c r="B9714" s="0" t="s">
        <v>98</v>
      </c>
      <c r="C9714" s="6" t="n">
        <f aca="false">Sens!$C$9713/(wacc-g_tv)</f>
        <v>2330.1537813341</v>
      </c>
    </row>
    <row r="9715" customFormat="false" ht="15" hidden="false" customHeight="false" outlineLevel="0" collapsed="false">
      <c r="A9715" s="1" t="s">
        <v>1229</v>
      </c>
      <c r="B9715" s="0" t="s">
        <v>98</v>
      </c>
      <c r="C9715" s="6" t="n">
        <f aca="false">Sens!$C$9714/(1+wacc)^Sens!K9706</f>
        <v>1326.80280856472</v>
      </c>
    </row>
    <row r="9716" customFormat="false" ht="17.15" hidden="false" customHeight="false" outlineLevel="0" collapsed="false">
      <c r="A9716" s="0" t="s">
        <v>1230</v>
      </c>
      <c r="B9716" s="0" t="s">
        <v>98</v>
      </c>
      <c r="C9716" s="6" t="n">
        <f aca="false">Sens!$C$9711+Sens!$C$9715</f>
        <v>1743.82757083476</v>
      </c>
    </row>
    <row r="9717" customFormat="false" ht="15" hidden="false" customHeight="false" outlineLevel="0" collapsed="false">
      <c r="A9717" s="1" t="s">
        <v>1145</v>
      </c>
      <c r="B9717" s="0" t="s">
        <v>168</v>
      </c>
      <c r="C9717" s="7" t="n">
        <f aca="false">Sens!$C$9715/Sens!$C$9716</f>
        <v>0.760856652776503</v>
      </c>
    </row>
    <row r="9718" customFormat="false" ht="17.15" hidden="false" customHeight="false" outlineLevel="0" collapsed="false">
      <c r="A9718" s="1" t="s">
        <v>1231</v>
      </c>
      <c r="B9718" s="0" t="s">
        <v>98</v>
      </c>
      <c r="C9718" s="6" t="n">
        <f aca="false">Sens!$C$9716+cash_val-debt_val-fl_val+oai_v</f>
        <v>1859.67857083476</v>
      </c>
    </row>
    <row r="9719" customFormat="false" ht="17.15" hidden="false" customHeight="false" outlineLevel="0" collapsed="false">
      <c r="A9719" s="0" t="s">
        <v>1153</v>
      </c>
      <c r="B9719" s="0" t="s">
        <v>75</v>
      </c>
      <c r="C9719" s="5" t="n">
        <f aca="false">Sens!$C$9718/shd_val</f>
        <v>249.755381524948</v>
      </c>
    </row>
    <row r="9720" customFormat="false" ht="15" hidden="false" customHeight="false" outlineLevel="0" collapsed="false">
      <c r="A9720" s="1" t="s">
        <v>1232</v>
      </c>
      <c r="B9720" s="0" t="s">
        <v>75</v>
      </c>
      <c r="C9720" s="8" t="n">
        <f aca="false">div_rem27+Sens!G9688*roll_div_q/q_per_yr</f>
        <v>3.9795</v>
      </c>
    </row>
    <row r="9721" customFormat="false" ht="17.15" hidden="false" customHeight="false" outlineLevel="0" collapsed="false">
      <c r="A9721" s="0" t="s">
        <v>1233</v>
      </c>
      <c r="B9721" s="0" t="s">
        <v>75</v>
      </c>
      <c r="C9721" s="5" t="n">
        <f aca="false">Sens!$C$9719*(1+wacc)^t_roll-Sens!$C$9720</f>
        <v>273.637545598595</v>
      </c>
    </row>
    <row r="9722" customFormat="false" ht="17.15" hidden="false" customHeight="false" outlineLevel="0" collapsed="false">
      <c r="A9722" s="1" t="s">
        <v>1234</v>
      </c>
      <c r="B9722" s="0" t="s">
        <v>168</v>
      </c>
      <c r="F9722" s="7" t="n">
        <f aca="false">Sens!F9674/(Sens!F9619-Sens!F9574)</f>
        <v>0.0687184224325108</v>
      </c>
      <c r="G9722" s="7" t="n">
        <f aca="false">Sens!G9674/(Sens!G9619-Sens!G9574)</f>
        <v>0.066453194976021</v>
      </c>
      <c r="H9722" s="7" t="n">
        <f aca="false">Sens!H9674/(Sens!H9619-Sens!H9574)</f>
        <v>0.0654042442618311</v>
      </c>
      <c r="I9722" s="7" t="n">
        <f aca="false">Sens!I9674/(Sens!I9619-Sens!I9574)</f>
        <v>0.0654256159673924</v>
      </c>
      <c r="J9722" s="7" t="n">
        <f aca="false">Sens!J9674/(Sens!J9619-Sens!J9574)</f>
        <v>0.0663002251073874</v>
      </c>
      <c r="K9722" s="7" t="n">
        <f aca="false">Sens!K9674/(Sens!K9619-Sens!K9574)</f>
        <v>0.0677826149138053</v>
      </c>
    </row>
    <row r="9723" customFormat="false" ht="17.15" hidden="false" customHeight="false" outlineLevel="0" collapsed="false">
      <c r="A9723" s="0" t="s">
        <v>1235</v>
      </c>
      <c r="B9723" s="0" t="s">
        <v>98</v>
      </c>
      <c r="F9723" s="6" t="n">
        <f aca="false">Sens!F9604*(al_m365+Sens!F9722+sbc_r)</f>
        <v>82.923340337749</v>
      </c>
      <c r="G9723" s="6" t="n">
        <f aca="false">Sens!G9604*(al_m365+Sens!G9722+sbc_r)</f>
        <v>93.325359089479</v>
      </c>
      <c r="H9723" s="6" t="n">
        <f aca="false">Sens!H9604*(al_m365+Sens!H9722+sbc_r)</f>
        <v>103.895656135855</v>
      </c>
      <c r="I9723" s="6" t="n">
        <f aca="false">Sens!I9604*(al_m365+Sens!I9722+sbc_r)</f>
        <v>113.95730352159</v>
      </c>
      <c r="J9723" s="6" t="n">
        <f aca="false">Sens!J9604*(al_m365+Sens!J9722+sbc_r)</f>
        <v>123.319939623141</v>
      </c>
      <c r="K9723" s="6" t="n">
        <f aca="false">Sens!K9604*(al_m365+Sens!K9722+sbc_r)</f>
        <v>132.288484490087</v>
      </c>
      <c r="L9723" s="12" t="s">
        <v>1236</v>
      </c>
    </row>
    <row r="9724" customFormat="false" ht="17.15" hidden="false" customHeight="false" outlineLevel="0" collapsed="false">
      <c r="A9724" s="0" t="s">
        <v>1237</v>
      </c>
      <c r="B9724" s="0" t="s">
        <v>98</v>
      </c>
      <c r="F9724" s="6" t="n">
        <f aca="false">Sens!F9605*(al_lic+Sens!F9722+sbc_r)</f>
        <v>32.8615603025314</v>
      </c>
      <c r="G9724" s="6" t="n">
        <f aca="false">Sens!G9605*(al_lic+Sens!G9722+sbc_r)</f>
        <v>34.162426685134</v>
      </c>
      <c r="H9724" s="6" t="n">
        <f aca="false">Sens!H9605*(al_lic+Sens!H9722+sbc_r)</f>
        <v>35.3746647345586</v>
      </c>
      <c r="I9724" s="6" t="n">
        <f aca="false">Sens!I9605*(al_lic+Sens!I9722+sbc_r)</f>
        <v>36.4782830226266</v>
      </c>
      <c r="J9724" s="6" t="n">
        <f aca="false">Sens!J9605*(al_lic+Sens!J9722+sbc_r)</f>
        <v>37.4499869893728</v>
      </c>
      <c r="K9724" s="6" t="n">
        <f aca="false">Sens!K9605*(al_lic+Sens!K9722+sbc_r)</f>
        <v>38.2653179095439</v>
      </c>
    </row>
    <row r="9725" customFormat="false" ht="17.15" hidden="false" customHeight="false" outlineLevel="0" collapsed="false">
      <c r="A9725" s="0" t="s">
        <v>1238</v>
      </c>
      <c r="B9725" s="0" t="s">
        <v>98</v>
      </c>
      <c r="F9725" s="6" t="n">
        <f aca="false">Sens!F9607*(al_ind+Sens!F9722+sbc_r)</f>
        <v>9.06262308895468</v>
      </c>
      <c r="G9725" s="6" t="n">
        <f aca="false">Sens!G9607*(al_ind+Sens!G9722+sbc_r)</f>
        <v>9.85131137371639</v>
      </c>
      <c r="H9725" s="6" t="n">
        <f aca="false">Sens!H9607*(al_ind+Sens!H9722+sbc_r)</f>
        <v>10.6839304683509</v>
      </c>
      <c r="I9725" s="6" t="n">
        <f aca="false">Sens!I9607*(al_ind+Sens!I9722+sbc_r)</f>
        <v>11.5559459277435</v>
      </c>
      <c r="J9725" s="6" t="n">
        <f aca="false">Sens!J9607*(al_ind+Sens!J9722+sbc_r)</f>
        <v>12.4586594722454</v>
      </c>
      <c r="K9725" s="6" t="n">
        <f aca="false">Sens!K9607*(al_ind+Sens!K9722+sbc_r)</f>
        <v>13.3797184035137</v>
      </c>
    </row>
    <row r="9726" customFormat="false" ht="17.15" hidden="false" customHeight="false" outlineLevel="0" collapsed="false">
      <c r="A9726" s="0" t="s">
        <v>1239</v>
      </c>
      <c r="B9726" s="0" t="s">
        <v>98</v>
      </c>
      <c r="F9726" s="6" t="n">
        <f aca="false">Sens!F9609*(al_fro+Sens!F9722+sbc_r)</f>
        <v>3.55489485563433</v>
      </c>
      <c r="G9726" s="6" t="n">
        <f aca="false">Sens!G9609*(al_fro+Sens!G9722+sbc_r)</f>
        <v>3.76940045354176</v>
      </c>
      <c r="H9726" s="6" t="n">
        <f aca="false">Sens!H9609*(al_fro+Sens!H9722+sbc_r)</f>
        <v>4.01231733091104</v>
      </c>
      <c r="I9726" s="6" t="n">
        <f aca="false">Sens!I9609*(al_fro+Sens!I9722+sbc_r)</f>
        <v>4.28596140606474</v>
      </c>
      <c r="J9726" s="6" t="n">
        <f aca="false">Sens!J9609*(al_fro+Sens!J9722+sbc_r)</f>
        <v>4.59195084577635</v>
      </c>
      <c r="K9726" s="6" t="n">
        <f aca="false">Sens!K9609*(al_fro+Sens!K9722+sbc_r)</f>
        <v>4.93143017321681</v>
      </c>
    </row>
    <row r="9727" customFormat="false" ht="17.15" hidden="false" customHeight="false" outlineLevel="0" collapsed="false">
      <c r="A9727" s="0" t="s">
        <v>1240</v>
      </c>
      <c r="B9727" s="0" t="s">
        <v>98</v>
      </c>
      <c r="F9727" s="6" t="n">
        <f aca="false">Sens!F9612*(al_srch+Sens!F9722+sbc_r)</f>
        <v>11.1918146780283</v>
      </c>
      <c r="G9727" s="6" t="n">
        <f aca="false">Sens!G9612*(al_srch+Sens!G9722+sbc_r)</f>
        <v>12.2805880781817</v>
      </c>
      <c r="H9727" s="6" t="n">
        <f aca="false">Sens!H9612*(al_srch+Sens!H9722+sbc_r)</f>
        <v>13.4132764414299</v>
      </c>
      <c r="I9727" s="6" t="n">
        <f aca="false">Sens!I9612*(al_srch+Sens!I9722+sbc_r)</f>
        <v>14.577235611506</v>
      </c>
      <c r="J9727" s="6" t="n">
        <f aca="false">Sens!J9612*(al_srch+Sens!J9722+sbc_r)</f>
        <v>15.7536318395702</v>
      </c>
      <c r="K9727" s="6" t="n">
        <f aca="false">Sens!K9612*(al_srch+Sens!K9722+sbc_r)</f>
        <v>16.918285495774</v>
      </c>
    </row>
    <row r="9728" customFormat="false" ht="17.15" hidden="false" customHeight="false" outlineLevel="0" collapsed="false">
      <c r="A9728" s="0" t="s">
        <v>1241</v>
      </c>
      <c r="B9728" s="0" t="s">
        <v>98</v>
      </c>
      <c r="F9728" s="6" t="n">
        <f aca="false">Sens!F9580-Sens!F9581+Sens!F9662</f>
        <v>38.9696429794913</v>
      </c>
      <c r="G9728" s="6" t="n">
        <f aca="false">Sens!G9580-Sens!G9581+Sens!G9662</f>
        <v>69.465497726016</v>
      </c>
      <c r="H9728" s="6" t="n">
        <f aca="false">Sens!H9580-Sens!H9581+Sens!H9662</f>
        <v>96.8147106808268</v>
      </c>
      <c r="I9728" s="6" t="n">
        <f aca="false">Sens!I9580-Sens!I9581+Sens!I9662</f>
        <v>127.654939766446</v>
      </c>
      <c r="J9728" s="6" t="n">
        <f aca="false">Sens!J9580-Sens!J9581+Sens!J9662</f>
        <v>149.308352681229</v>
      </c>
      <c r="K9728" s="6" t="n">
        <f aca="false">Sens!K9580-Sens!K9581+Sens!K9662</f>
        <v>162.731822021841</v>
      </c>
    </row>
    <row r="9729" customFormat="false" ht="17.15" hidden="false" customHeight="false" outlineLevel="0" collapsed="false">
      <c r="A9729" s="0" t="s">
        <v>1242</v>
      </c>
      <c r="B9729" s="0" t="s">
        <v>98</v>
      </c>
      <c r="F9729" s="6" t="n">
        <f aca="false">Sens!F9641+Sens!F9662+Sens!F9592+Sens!F9722*(Sens!F9611-Sens!F9574)+sbc_r*Sens!F9611</f>
        <v>234.622537848401</v>
      </c>
      <c r="G9729" s="6" t="n">
        <f aca="false">Sens!G9641+Sens!G9662+Sens!G9592+Sens!G9722*(Sens!G9611-Sens!G9574)+sbc_r*Sens!G9611</f>
        <v>284.690673952336</v>
      </c>
      <c r="H9729" s="6" t="n">
        <f aca="false">Sens!H9641+Sens!H9662+Sens!H9592+Sens!H9722*(Sens!H9611-Sens!H9574)+sbc_r*Sens!H9611</f>
        <v>336.269560411287</v>
      </c>
      <c r="I9729" s="6" t="n">
        <f aca="false">Sens!I9641+Sens!I9662+Sens!I9592+Sens!I9722*(Sens!I9611-Sens!I9574)+sbc_r*Sens!I9611</f>
        <v>390.013219365072</v>
      </c>
      <c r="J9729" s="6" t="n">
        <f aca="false">Sens!J9641+Sens!J9662+Sens!J9592+Sens!J9722*(Sens!J9611-Sens!J9574)+sbc_r*Sens!J9611</f>
        <v>431.842201253578</v>
      </c>
      <c r="K9729" s="6" t="n">
        <f aca="false">Sens!K9641+Sens!K9662+Sens!K9592+Sens!K9722*(Sens!K9611-Sens!K9574)+sbc_r*Sens!K9611</f>
        <v>462.280591442972</v>
      </c>
    </row>
    <row r="9730" customFormat="false" ht="17.15" hidden="false" customHeight="false" outlineLevel="0" collapsed="false">
      <c r="A9730" s="0" t="s">
        <v>1243</v>
      </c>
      <c r="B9730" s="0" t="s">
        <v>98</v>
      </c>
      <c r="F9730" s="6" t="n">
        <f aca="false">Sens!F9729-Sens!F9723-Sens!F9724-Sens!F9725-Sens!F9726-Sens!F9728</f>
        <v>67.2504762840401</v>
      </c>
      <c r="G9730" s="6" t="n">
        <f aca="false">Sens!G9729-Sens!G9723-Sens!G9724-Sens!G9725-Sens!G9726-Sens!G9728</f>
        <v>74.1166786244484</v>
      </c>
      <c r="H9730" s="6" t="n">
        <f aca="false">Sens!H9729-Sens!H9723-Sens!H9724-Sens!H9725-Sens!H9726-Sens!H9728</f>
        <v>85.4882810607849</v>
      </c>
      <c r="I9730" s="6" t="n">
        <f aca="false">Sens!I9729-Sens!I9723-Sens!I9724-Sens!I9725-Sens!I9726-Sens!I9728</f>
        <v>96.0807857206018</v>
      </c>
      <c r="J9730" s="6" t="n">
        <f aca="false">Sens!J9729-Sens!J9723-Sens!J9724-Sens!J9725-Sens!J9726-Sens!J9728</f>
        <v>104.713311641813</v>
      </c>
      <c r="K9730" s="6" t="n">
        <f aca="false">Sens!K9729-Sens!K9723-Sens!K9724-Sens!K9725-Sens!K9726-Sens!K9728</f>
        <v>110.683818444769</v>
      </c>
    </row>
    <row r="9731" customFormat="false" ht="17.15" hidden="false" customHeight="false" outlineLevel="0" collapsed="false">
      <c r="A9731" s="0" t="s">
        <v>1244</v>
      </c>
      <c r="B9731" s="0" t="s">
        <v>98</v>
      </c>
      <c r="F9731" s="6" t="n">
        <f aca="false">Sens!F9643+Sens!F9722*Sens!F9618+sbc_r*Sens!F9618</f>
        <v>26.6399932455411</v>
      </c>
      <c r="G9731" s="6" t="n">
        <f aca="false">Sens!G9643+Sens!G9722*Sens!G9618+sbc_r*Sens!G9618</f>
        <v>26.5131661338554</v>
      </c>
      <c r="H9731" s="6" t="n">
        <f aca="false">Sens!H9643+Sens!H9722*Sens!H9618+sbc_r*Sens!H9618</f>
        <v>27.4165158356021</v>
      </c>
      <c r="I9731" s="6" t="n">
        <f aca="false">Sens!I9643+Sens!I9722*Sens!I9618+sbc_r*Sens!I9618</f>
        <v>28.5474656623716</v>
      </c>
      <c r="J9731" s="6" t="n">
        <f aca="false">Sens!J9643+Sens!J9722*Sens!J9618+sbc_r*Sens!J9618</f>
        <v>29.8746520290868</v>
      </c>
      <c r="K9731" s="6" t="n">
        <f aca="false">Sens!K9643+Sens!K9722*Sens!K9618+sbc_r*Sens!K9618</f>
        <v>31.3682797811179</v>
      </c>
    </row>
    <row r="9732" customFormat="false" ht="17.15" hidden="false" customHeight="false" outlineLevel="0" collapsed="false">
      <c r="A9732" s="0" t="s">
        <v>1245</v>
      </c>
      <c r="B9732" s="0" t="s">
        <v>98</v>
      </c>
      <c r="F9732" s="6" t="n">
        <f aca="false">(Sens!F9731-Sens!F9727)*Sens!F9614/(Sens!F9614+Sens!F9616)</f>
        <v>8.72490754222211</v>
      </c>
      <c r="G9732" s="6" t="n">
        <f aca="false">(Sens!G9731-Sens!G9727)*Sens!G9614/(Sens!G9614+Sens!G9616)</f>
        <v>7.90020451330411</v>
      </c>
      <c r="H9732" s="6" t="n">
        <f aca="false">(Sens!H9731-Sens!H9727)*Sens!H9614/(Sens!H9614+Sens!H9616)</f>
        <v>7.67164553169976</v>
      </c>
      <c r="I9732" s="6" t="n">
        <f aca="false">(Sens!I9731-Sens!I9727)*Sens!I9614/(Sens!I9614+Sens!I9616)</f>
        <v>7.58675767308626</v>
      </c>
      <c r="J9732" s="6" t="n">
        <f aca="false">(Sens!J9731-Sens!J9727)*Sens!J9614/(Sens!J9614+Sens!J9616)</f>
        <v>7.63518873572208</v>
      </c>
      <c r="K9732" s="6" t="n">
        <f aca="false">(Sens!K9731-Sens!K9727)*Sens!K9614/(Sens!K9614+Sens!K9616)</f>
        <v>7.81306393716602</v>
      </c>
    </row>
    <row r="9733" customFormat="false" ht="17.15" hidden="false" customHeight="false" outlineLevel="0" collapsed="false">
      <c r="A9733" s="0" t="s">
        <v>1246</v>
      </c>
      <c r="B9733" s="0" t="s">
        <v>98</v>
      </c>
      <c r="F9733" s="6" t="n">
        <f aca="false">Sens!F9731-Sens!F9727-Sens!F9732</f>
        <v>6.7232710252907</v>
      </c>
      <c r="G9733" s="6" t="n">
        <f aca="false">Sens!G9731-Sens!G9727-Sens!G9732</f>
        <v>6.33237354236961</v>
      </c>
      <c r="H9733" s="6" t="n">
        <f aca="false">Sens!H9731-Sens!H9727-Sens!H9732</f>
        <v>6.33159386247241</v>
      </c>
      <c r="I9733" s="6" t="n">
        <f aca="false">Sens!I9731-Sens!I9727-Sens!I9732</f>
        <v>6.38347237777927</v>
      </c>
      <c r="J9733" s="6" t="n">
        <f aca="false">Sens!J9731-Sens!J9727-Sens!J9732</f>
        <v>6.48583145379456</v>
      </c>
      <c r="K9733" s="6" t="n">
        <f aca="false">Sens!K9731-Sens!K9727-Sens!K9732</f>
        <v>6.63693034817782</v>
      </c>
    </row>
    <row r="9734" customFormat="false" ht="17.15" hidden="false" customHeight="false" outlineLevel="0" collapsed="false">
      <c r="A9734" s="0" t="s">
        <v>1247</v>
      </c>
      <c r="B9734" s="0" t="s">
        <v>98</v>
      </c>
      <c r="F9734" s="6" t="n">
        <f aca="false">Sens!F9728-tax_f*(Sens!F9728-Sens!F9592)-Sens!F9589</f>
        <v>-130.362326762856</v>
      </c>
      <c r="G9734" s="6" t="n">
        <f aca="false">Sens!G9728-tax_f*(Sens!G9728-Sens!G9592)-Sens!G9589</f>
        <v>-124.225179337776</v>
      </c>
      <c r="H9734" s="6" t="n">
        <f aca="false">Sens!H9728-tax_f*(Sens!H9728-Sens!H9592)-Sens!H9589</f>
        <v>-101.534217387562</v>
      </c>
      <c r="I9734" s="6" t="n">
        <f aca="false">Sens!I9728-tax_f*(Sens!I9728-Sens!I9592)-Sens!I9589</f>
        <v>-43.6446798695439</v>
      </c>
      <c r="J9734" s="6" t="n">
        <f aca="false">Sens!J9728-tax_f*(Sens!J9728-Sens!J9592)-Sens!J9589</f>
        <v>16.9198855589618</v>
      </c>
      <c r="K9734" s="6" t="n">
        <f aca="false">Sens!K9728-tax_f*(Sens!K9728-Sens!K9592)-Sens!K9589</f>
        <v>39.8251384629271</v>
      </c>
    </row>
    <row r="9735" customFormat="false" ht="17.15" hidden="false" customHeight="false" outlineLevel="0" collapsed="false">
      <c r="A9735" s="0" t="s">
        <v>1248</v>
      </c>
      <c r="B9735" s="0" t="s">
        <v>98</v>
      </c>
      <c r="G9735" s="6" t="n">
        <f aca="false">Sens!G9734/(1+wacc)^(Sens!G9705-Sens!F9706)</f>
        <v>-118.286276192192</v>
      </c>
      <c r="H9735" s="6" t="n">
        <f aca="false">Sens!H9734/(1+wacc)^(Sens!H9705-Sens!F9706)</f>
        <v>-87.6570009910427</v>
      </c>
      <c r="I9735" s="6" t="n">
        <f aca="false">Sens!I9734/(1+wacc)^(Sens!I9705-Sens!F9706)</f>
        <v>-34.1629172979204</v>
      </c>
      <c r="J9735" s="6" t="n">
        <f aca="false">Sens!J9734/(1+wacc)^(Sens!J9705-Sens!F9706)</f>
        <v>12.0079954170053</v>
      </c>
      <c r="K9735" s="6" t="n">
        <f aca="false">Sens!K9734/(1+wacc)^(Sens!K9705-Sens!F9706)</f>
        <v>25.6259421582556</v>
      </c>
      <c r="L9735" s="1" t="s">
        <v>1249</v>
      </c>
    </row>
    <row r="9736" customFormat="false" ht="17.15" hidden="false" customHeight="false" outlineLevel="0" collapsed="false">
      <c r="A9736" s="0" t="s">
        <v>1250</v>
      </c>
      <c r="B9736" s="0" t="s">
        <v>98</v>
      </c>
      <c r="C9736" s="6" t="n">
        <f aca="false">(Sens!K9728-Sens!K9592)*(1-tax_f)*(1+g_tv)*(1-g_tv/(wacc+ronic_prem))/(wacc-g_tv)/(1+wacc)^(Sens!K9706-Sens!F9706)</f>
        <v>96.7148026864948</v>
      </c>
    </row>
    <row r="9737" customFormat="false" ht="17.15" hidden="false" customHeight="false" outlineLevel="0" collapsed="false">
      <c r="A9737" s="1" t="s">
        <v>1251</v>
      </c>
      <c r="B9737" s="0" t="s">
        <v>98</v>
      </c>
      <c r="C9737" s="6" t="n">
        <f aca="false">(SUM(Sens!G9735:K9735)+Sens!$C$9736)*(1+wacc)^(t_roll-Sens!F9706)</f>
        <v>-109.248827617462</v>
      </c>
      <c r="L9737" s="12" t="s">
        <v>1252</v>
      </c>
    </row>
    <row r="9738" customFormat="false" ht="17.15" hidden="false" customHeight="false" outlineLevel="0" collapsed="false">
      <c r="A9738" s="1" t="s">
        <v>1253</v>
      </c>
      <c r="B9738" s="0" t="s">
        <v>98</v>
      </c>
      <c r="C9738" s="6" t="n">
        <f aca="false">(w_ntm28*Sens!G9580+(1-w_ntm28)*Sens!H9580)*m_ai</f>
        <v>344.355829012336</v>
      </c>
    </row>
    <row r="9739" customFormat="false" ht="17.15" hidden="false" customHeight="false" outlineLevel="0" collapsed="false">
      <c r="A9739" s="1" t="s">
        <v>1254</v>
      </c>
      <c r="B9739" s="0" t="s">
        <v>98</v>
      </c>
      <c r="C9739" s="6" t="n">
        <f aca="false">(w_ntm28*Sens!G9730+(1-w_ntm28)*Sens!H9730)*m_cloud</f>
        <v>1075.96007524856</v>
      </c>
    </row>
    <row r="9740" customFormat="false" ht="17.15" hidden="false" customHeight="false" outlineLevel="0" collapsed="false">
      <c r="A9740" s="1" t="s">
        <v>1255</v>
      </c>
      <c r="B9740" s="0" t="s">
        <v>98</v>
      </c>
      <c r="C9740" s="6" t="n">
        <f aca="false">(w_ntm28*Sens!G9723+(1-w_ntm28)*Sens!H9723)*m_sw</f>
        <v>1045.44567261049</v>
      </c>
    </row>
    <row r="9741" customFormat="false" ht="17.15" hidden="false" customHeight="false" outlineLevel="0" collapsed="false">
      <c r="A9741" s="1" t="s">
        <v>1256</v>
      </c>
      <c r="B9741" s="0" t="s">
        <v>98</v>
      </c>
      <c r="C9741" s="6" t="n">
        <f aca="false">(w_ntm28*Sens!G9724+(1-w_ntm28)*Sens!H9724)*m_sw</f>
        <v>373.258483574939</v>
      </c>
    </row>
    <row r="9742" customFormat="false" ht="17.15" hidden="false" customHeight="false" outlineLevel="0" collapsed="false">
      <c r="A9742" s="1" t="s">
        <v>1257</v>
      </c>
      <c r="B9742" s="0" t="s">
        <v>98</v>
      </c>
      <c r="C9742" s="6" t="n">
        <f aca="false">(w_ntm28*Sens!G9725+(1-w_ntm28)*Sens!H9725)*m_sw</f>
        <v>109.350530909141</v>
      </c>
    </row>
    <row r="9743" customFormat="false" ht="17.15" hidden="false" customHeight="false" outlineLevel="0" collapsed="false">
      <c r="A9743" s="1" t="s">
        <v>1258</v>
      </c>
      <c r="B9743" s="0" t="s">
        <v>98</v>
      </c>
      <c r="C9743" s="6" t="n">
        <f aca="false">(w_ntm28*Sens!G9726+(1-w_ntm28)*Sens!H9726)*m_sw</f>
        <v>41.5720461943348</v>
      </c>
    </row>
    <row r="9744" customFormat="false" ht="17.15" hidden="false" customHeight="false" outlineLevel="0" collapsed="false">
      <c r="A9744" s="1" t="s">
        <v>1259</v>
      </c>
      <c r="B9744" s="0" t="s">
        <v>98</v>
      </c>
      <c r="C9744" s="6" t="n">
        <f aca="false">(w_ntm28*Sens!G9727+(1-w_ntm28)*Sens!H9727)*m_ads</f>
        <v>115.268636621559</v>
      </c>
    </row>
    <row r="9745" customFormat="false" ht="17.15" hidden="false" customHeight="false" outlineLevel="0" collapsed="false">
      <c r="A9745" s="1" t="s">
        <v>1260</v>
      </c>
      <c r="B9745" s="0" t="s">
        <v>98</v>
      </c>
      <c r="C9745" s="6" t="n">
        <f aca="false">(w_ntm28*Sens!G9732+(1-w_ntm28)*Sens!H9732)*m_game</f>
        <v>98.8305309687308</v>
      </c>
    </row>
    <row r="9746" customFormat="false" ht="17.15" hidden="false" customHeight="false" outlineLevel="0" collapsed="false">
      <c r="A9746" s="1" t="s">
        <v>1261</v>
      </c>
      <c r="B9746" s="0" t="s">
        <v>98</v>
      </c>
      <c r="C9746" s="6" t="n">
        <f aca="false">(w_ntm28*Sens!G9733+(1-w_ntm28)*Sens!H9733)*m_pc</f>
        <v>91.6257360178869</v>
      </c>
    </row>
    <row r="9747" customFormat="false" ht="17.15" hidden="false" customHeight="false" outlineLevel="0" collapsed="false">
      <c r="A9747" s="1" t="s">
        <v>1262</v>
      </c>
      <c r="B9747" s="0" t="s">
        <v>98</v>
      </c>
      <c r="C9747" s="6" t="n">
        <f aca="false">Sens!$C$9737+Sens!$C$9739+Sens!$C$9740+Sens!$C$9741+Sens!$C$9742+Sens!$C$9743+Sens!$C$9744+Sens!$C$9745+Sens!$C$9746</f>
        <v>2842.06288452818</v>
      </c>
    </row>
    <row r="9748" customFormat="false" ht="17.15" hidden="false" customHeight="false" outlineLevel="0" collapsed="false">
      <c r="A9748" s="1" t="s">
        <v>1263</v>
      </c>
      <c r="B9748" s="0" t="s">
        <v>98</v>
      </c>
      <c r="C9748" s="6" t="n">
        <f aca="false">(Sens!G9709-Sens!G9734)*t_stub</f>
        <v>47.3652663561427</v>
      </c>
      <c r="L9748" s="1" t="s">
        <v>1264</v>
      </c>
    </row>
    <row r="9749" customFormat="false" ht="17.15" hidden="false" customHeight="false" outlineLevel="0" collapsed="false">
      <c r="A9749" s="1" t="s">
        <v>1173</v>
      </c>
      <c r="B9749" s="0" t="s">
        <v>98</v>
      </c>
      <c r="C9749" s="6" t="n">
        <f aca="false">Sens!F9696+oai_v-Sens!F9685+Sens!$C$9748</f>
        <v>158.35151321567</v>
      </c>
      <c r="L9749" s="1" t="s">
        <v>1265</v>
      </c>
    </row>
    <row r="9750" customFormat="false" ht="17.15" hidden="false" customHeight="false" outlineLevel="0" collapsed="false">
      <c r="A9750" s="1" t="s">
        <v>1266</v>
      </c>
      <c r="B9750" s="0" t="s">
        <v>75</v>
      </c>
      <c r="C9750" s="5" t="n">
        <f aca="false">(Sens!$C$9747+Sens!$C$9749)/(Sens!F9698+dil_gap)-Sens!G9688*roll_div_q/q_per_yr</f>
        <v>399.229229688347</v>
      </c>
      <c r="L9750" s="1" t="s">
        <v>1267</v>
      </c>
    </row>
    <row r="9751" customFormat="false" ht="17.15" hidden="false" customHeight="false" outlineLevel="0" collapsed="false">
      <c r="A9751" s="1" t="s">
        <v>1268</v>
      </c>
      <c r="B9751" s="0" t="s">
        <v>75</v>
      </c>
      <c r="C9751" s="5" t="n">
        <f aca="false">w_dcf*Sens!$C$9721+(1-w_dcf)*Sens!$C$9750</f>
        <v>336.433387643471</v>
      </c>
    </row>
    <row r="9752" customFormat="false" ht="17.15" hidden="false" customHeight="false" outlineLevel="0" collapsed="false">
      <c r="A9752" s="3" t="s">
        <v>1855</v>
      </c>
    </row>
    <row r="9753" customFormat="false" ht="15" hidden="false" customHeight="false" outlineLevel="0" collapsed="false">
      <c r="A9753" s="4" t="s">
        <v>43</v>
      </c>
      <c r="B9753" s="4" t="s">
        <v>65</v>
      </c>
      <c r="C9753" s="23" t="s">
        <v>942</v>
      </c>
      <c r="D9753" s="23" t="s">
        <v>943</v>
      </c>
      <c r="E9753" s="23" t="s">
        <v>944</v>
      </c>
      <c r="F9753" s="23" t="s">
        <v>945</v>
      </c>
      <c r="G9753" s="23" t="s">
        <v>946</v>
      </c>
      <c r="H9753" s="23" t="s">
        <v>947</v>
      </c>
      <c r="I9753" s="23" t="s">
        <v>948</v>
      </c>
      <c r="J9753" s="23" t="s">
        <v>949</v>
      </c>
      <c r="K9753" s="23" t="s">
        <v>950</v>
      </c>
      <c r="L9753" s="4" t="s">
        <v>47</v>
      </c>
    </row>
    <row r="9754" customFormat="false" ht="17.15" hidden="false" customHeight="false" outlineLevel="0" collapsed="false">
      <c r="A9754" s="1" t="s">
        <v>951</v>
      </c>
      <c r="B9754" s="1" t="s">
        <v>279</v>
      </c>
      <c r="C9754" s="21" t="n">
        <v>2024</v>
      </c>
      <c r="D9754" s="21" t="n">
        <v>2025</v>
      </c>
      <c r="E9754" s="21" t="n">
        <v>2026</v>
      </c>
      <c r="F9754" s="21" t="n">
        <v>2027</v>
      </c>
      <c r="G9754" s="21" t="n">
        <v>2028</v>
      </c>
      <c r="H9754" s="21" t="n">
        <v>2029</v>
      </c>
      <c r="I9754" s="21" t="n">
        <v>2030</v>
      </c>
      <c r="J9754" s="21" t="n">
        <v>2031</v>
      </c>
      <c r="K9754" s="21" t="n">
        <v>2032</v>
      </c>
    </row>
    <row r="9755" customFormat="false" ht="17.15" hidden="false" customHeight="false" outlineLevel="0" collapsed="false">
      <c r="A9755" s="1" t="s">
        <v>952</v>
      </c>
      <c r="B9755" s="0" t="s">
        <v>459</v>
      </c>
      <c r="F9755" s="30" t="n">
        <f aca="false">pace</f>
        <v>2726.5351</v>
      </c>
      <c r="G9755" s="30" t="n">
        <f aca="false">pace</f>
        <v>2726.5351</v>
      </c>
      <c r="H9755" s="30" t="n">
        <f aca="false">pace</f>
        <v>2726.5351</v>
      </c>
      <c r="I9755" s="30" t="n">
        <f aca="false">pace+(g_tv*Sens!H9756-pace)*MIN(1,(Sens!I9754-pace_y0)/(pace_y1-pace_y0))</f>
        <v>1931.98611966667</v>
      </c>
      <c r="J9755" s="30" t="n">
        <f aca="false">pace+(g_tv*Sens!I9756-pace)*MIN(1,(Sens!J9754-pace_y0)/(pace_y1-pace_y0))</f>
        <v>1176.07686172667</v>
      </c>
      <c r="K9755" s="30" t="n">
        <f aca="false">pace+(g_tv*Sens!J9756-pace)*MIN(1,(Sens!K9754-pace_y0)/(pace_y1-pace_y0))</f>
        <v>436.1300484418</v>
      </c>
      <c r="L9755" s="12" t="s">
        <v>953</v>
      </c>
    </row>
    <row r="9756" customFormat="false" ht="17.15" hidden="false" customHeight="false" outlineLevel="0" collapsed="false">
      <c r="A9756" s="1" t="s">
        <v>954</v>
      </c>
      <c r="B9756" s="0" t="s">
        <v>459</v>
      </c>
      <c r="C9756" s="30" t="n">
        <f aca="false">mw_ext_24</f>
        <v>640</v>
      </c>
      <c r="D9756" s="30" t="n">
        <f aca="false">mw_ext_25</f>
        <v>1630</v>
      </c>
      <c r="E9756" s="30" t="n">
        <f aca="false">mw_ext_26</f>
        <v>3250</v>
      </c>
      <c r="F9756" s="30" t="n">
        <f aca="false">Sens!E9756+Sens!F9755</f>
        <v>5976.5351</v>
      </c>
      <c r="G9756" s="30" t="n">
        <f aca="false">Sens!F9756+Sens!G9755</f>
        <v>8703.0702</v>
      </c>
      <c r="H9756" s="30" t="n">
        <f aca="false">Sens!G9756+Sens!H9755</f>
        <v>11429.6053</v>
      </c>
      <c r="I9756" s="30" t="n">
        <f aca="false">Sens!H9756+Sens!I9755</f>
        <v>13361.5914196667</v>
      </c>
      <c r="J9756" s="30" t="n">
        <f aca="false">Sens!I9756+Sens!J9755</f>
        <v>14537.6682813933</v>
      </c>
      <c r="K9756" s="30" t="n">
        <f aca="false">Sens!J9756+Sens!K9755</f>
        <v>14973.7983298351</v>
      </c>
      <c r="L9756" s="1" t="s">
        <v>955</v>
      </c>
    </row>
    <row r="9757" customFormat="false" ht="17.15" hidden="false" customHeight="false" outlineLevel="0" collapsed="false">
      <c r="A9757" s="1" t="s">
        <v>956</v>
      </c>
      <c r="B9757" s="0" t="s">
        <v>459</v>
      </c>
      <c r="C9757" s="30" t="n">
        <f aca="false">rent_ext_24</f>
        <v>150</v>
      </c>
      <c r="D9757" s="30" t="n">
        <f aca="false">rent_ext_25</f>
        <v>400</v>
      </c>
      <c r="E9757" s="30" t="n">
        <f aca="false">rent_ext_26</f>
        <v>550</v>
      </c>
      <c r="F9757" s="30" t="n">
        <f aca="false">rent_ext_f</f>
        <v>756</v>
      </c>
      <c r="G9757" s="30" t="n">
        <f aca="false">rent_ext_f</f>
        <v>756</v>
      </c>
      <c r="H9757" s="30" t="n">
        <f aca="false">rent_ext_f</f>
        <v>756</v>
      </c>
      <c r="I9757" s="30" t="n">
        <f aca="false">rent_ext_f</f>
        <v>756</v>
      </c>
      <c r="J9757" s="30" t="n">
        <f aca="false">rent_ext_f</f>
        <v>756</v>
      </c>
      <c r="K9757" s="30" t="n">
        <f aca="false">rent_ext_f</f>
        <v>756</v>
      </c>
      <c r="L9757" s="1" t="s">
        <v>957</v>
      </c>
    </row>
    <row r="9758" customFormat="false" ht="17.15" hidden="false" customHeight="false" outlineLevel="0" collapsed="false">
      <c r="A9758" s="1" t="s">
        <v>958</v>
      </c>
      <c r="B9758" s="0" t="s">
        <v>459</v>
      </c>
      <c r="C9758" s="30" t="n">
        <f aca="false">Sens!C9756-Sens!C9757</f>
        <v>490</v>
      </c>
      <c r="D9758" s="30" t="n">
        <f aca="false">Sens!D9756-Sens!D9757</f>
        <v>1230</v>
      </c>
      <c r="E9758" s="30" t="n">
        <f aca="false">Sens!E9756-Sens!E9757</f>
        <v>2700</v>
      </c>
      <c r="F9758" s="30" t="n">
        <f aca="false">Sens!F9756-Sens!F9757</f>
        <v>5220.5351</v>
      </c>
      <c r="G9758" s="30" t="n">
        <f aca="false">Sens!G9756-Sens!G9757</f>
        <v>7947.0702</v>
      </c>
      <c r="H9758" s="30" t="n">
        <f aca="false">Sens!H9756-Sens!H9757</f>
        <v>10673.6053</v>
      </c>
      <c r="I9758" s="30" t="n">
        <f aca="false">Sens!I9756-Sens!I9757</f>
        <v>12605.5914196667</v>
      </c>
      <c r="J9758" s="30" t="n">
        <f aca="false">Sens!J9756-Sens!J9757</f>
        <v>13781.6682813933</v>
      </c>
      <c r="K9758" s="30" t="n">
        <f aca="false">Sens!K9756-Sens!K9757</f>
        <v>14217.7983298351</v>
      </c>
    </row>
    <row r="9759" customFormat="false" ht="17.15" hidden="false" customHeight="false" outlineLevel="0" collapsed="false">
      <c r="A9759" s="1" t="s">
        <v>959</v>
      </c>
      <c r="B9759" s="0" t="s">
        <v>459</v>
      </c>
      <c r="C9759" s="30" t="n">
        <f aca="false">Sens!C9758/ext_sh</f>
        <v>816.666666666667</v>
      </c>
      <c r="D9759" s="30" t="n">
        <f aca="false">Sens!D9758/ext_sh</f>
        <v>2050</v>
      </c>
      <c r="E9759" s="30" t="n">
        <f aca="false">Sens!E9758/ext_sh</f>
        <v>4500</v>
      </c>
      <c r="F9759" s="30" t="n">
        <f aca="false">Sens!F9758/ext_sh</f>
        <v>8700.89183333333</v>
      </c>
      <c r="G9759" s="30" t="n">
        <f aca="false">Sens!G9758/ext_sh</f>
        <v>13245.117</v>
      </c>
      <c r="H9759" s="30" t="n">
        <f aca="false">Sens!H9758/ext_sh</f>
        <v>17789.3421666667</v>
      </c>
      <c r="I9759" s="30" t="n">
        <f aca="false">Sens!I9758/ext_sh</f>
        <v>21009.3190327778</v>
      </c>
      <c r="J9759" s="30" t="n">
        <f aca="false">Sens!J9758/ext_sh</f>
        <v>22969.4471356556</v>
      </c>
      <c r="K9759" s="30" t="n">
        <f aca="false">Sens!K9758/ext_sh</f>
        <v>23696.3305497252</v>
      </c>
      <c r="L9759" s="1" t="s">
        <v>960</v>
      </c>
    </row>
    <row r="9760" customFormat="false" ht="17.15" hidden="false" customHeight="false" outlineLevel="0" collapsed="false">
      <c r="A9760" s="1" t="s">
        <v>961</v>
      </c>
      <c r="B9760" s="0" t="s">
        <v>459</v>
      </c>
      <c r="C9760" s="30" t="n">
        <f aca="false">Sens!C9759-Sens!C9758</f>
        <v>326.666666666667</v>
      </c>
      <c r="D9760" s="30" t="n">
        <f aca="false">Sens!D9759-Sens!D9758</f>
        <v>820</v>
      </c>
      <c r="E9760" s="30" t="n">
        <f aca="false">Sens!E9759-Sens!E9758</f>
        <v>1800</v>
      </c>
      <c r="F9760" s="30" t="n">
        <f aca="false">Sens!F9759-Sens!F9758</f>
        <v>3480.35673333333</v>
      </c>
      <c r="G9760" s="30" t="n">
        <f aca="false">Sens!G9759-Sens!G9758</f>
        <v>5298.0468</v>
      </c>
      <c r="H9760" s="30" t="n">
        <f aca="false">Sens!H9759-Sens!H9758</f>
        <v>7115.73686666667</v>
      </c>
      <c r="I9760" s="30" t="n">
        <f aca="false">Sens!I9759-Sens!I9758</f>
        <v>8403.72761311111</v>
      </c>
      <c r="J9760" s="30" t="n">
        <f aca="false">Sens!J9759-Sens!J9758</f>
        <v>9187.77885426222</v>
      </c>
      <c r="K9760" s="30" t="n">
        <f aca="false">Sens!K9759-Sens!K9758</f>
        <v>9478.53221989009</v>
      </c>
    </row>
    <row r="9761" customFormat="false" ht="17.15" hidden="false" customHeight="false" outlineLevel="0" collapsed="false">
      <c r="A9761" s="1" t="s">
        <v>962</v>
      </c>
      <c r="B9761" s="0" t="s">
        <v>459</v>
      </c>
      <c r="C9761" s="30" t="n">
        <f aca="false">Sens!C9759</f>
        <v>816.666666666667</v>
      </c>
      <c r="D9761" s="30" t="n">
        <f aca="false">Sens!D9759-Sens!C9759</f>
        <v>1233.33333333333</v>
      </c>
      <c r="E9761" s="30" t="n">
        <f aca="false">Sens!E9759-Sens!D9759</f>
        <v>2450</v>
      </c>
      <c r="F9761" s="30" t="n">
        <f aca="false">Sens!F9759-Sens!E9759</f>
        <v>4200.89183333333</v>
      </c>
      <c r="G9761" s="30" t="n">
        <f aca="false">Sens!G9759-Sens!F9759</f>
        <v>4544.22516666667</v>
      </c>
      <c r="H9761" s="30" t="n">
        <f aca="false">Sens!H9759-Sens!G9759</f>
        <v>4544.22516666667</v>
      </c>
      <c r="I9761" s="30" t="n">
        <f aca="false">Sens!I9759-Sens!H9759</f>
        <v>3219.97686611111</v>
      </c>
      <c r="J9761" s="30" t="n">
        <f aca="false">Sens!J9759-Sens!I9759</f>
        <v>1960.12810287778</v>
      </c>
      <c r="K9761" s="30" t="n">
        <f aca="false">Sens!K9759-Sens!J9759</f>
        <v>726.883414069667</v>
      </c>
    </row>
    <row r="9762" customFormat="false" ht="17.15" hidden="false" customHeight="false" outlineLevel="0" collapsed="false">
      <c r="A9762" s="1" t="s">
        <v>963</v>
      </c>
      <c r="B9762" s="0" t="s">
        <v>459</v>
      </c>
      <c r="D9762" s="30" t="n">
        <f aca="false">Sens!D9756-Sens!C9756</f>
        <v>990</v>
      </c>
      <c r="E9762" s="30" t="n">
        <f aca="false">Sens!E9756-Sens!D9756</f>
        <v>1620</v>
      </c>
      <c r="F9762" s="30" t="n">
        <f aca="false">Sens!F9756-Sens!E9756</f>
        <v>2726.5351</v>
      </c>
      <c r="G9762" s="30" t="n">
        <f aca="false">Sens!G9756-Sens!F9756</f>
        <v>2726.5351</v>
      </c>
      <c r="H9762" s="30" t="n">
        <f aca="false">Sens!H9756-Sens!G9756</f>
        <v>2726.5351</v>
      </c>
      <c r="I9762" s="30" t="n">
        <f aca="false">Sens!I9756-Sens!H9756</f>
        <v>1931.98611966667</v>
      </c>
      <c r="J9762" s="30" t="n">
        <f aca="false">Sens!J9756-Sens!I9756</f>
        <v>1176.07686172667</v>
      </c>
      <c r="K9762" s="30" t="n">
        <f aca="false">Sens!K9756-Sens!J9756</f>
        <v>436.130048441799</v>
      </c>
    </row>
    <row r="9763" customFormat="false" ht="17.15" hidden="false" customHeight="false" outlineLevel="0" collapsed="false">
      <c r="A9763" s="1" t="s">
        <v>964</v>
      </c>
      <c r="B9763" s="0" t="s">
        <v>459</v>
      </c>
      <c r="F9763" s="30" t="n">
        <f aca="false">Sens!F9782*ext_sh</f>
        <v>0</v>
      </c>
      <c r="G9763" s="30" t="n">
        <f aca="false">Sens!G9782*ext_sh</f>
        <v>0</v>
      </c>
      <c r="H9763" s="30" t="n">
        <f aca="false">Sens!H9782*ext_sh</f>
        <v>0</v>
      </c>
      <c r="I9763" s="30" t="n">
        <f aca="false">Sens!I9782*ext_sh</f>
        <v>490</v>
      </c>
      <c r="J9763" s="30" t="n">
        <f aca="false">Sens!J9782*ext_sh</f>
        <v>740</v>
      </c>
      <c r="K9763" s="30" t="n">
        <f aca="false">Sens!K9782*ext_sh</f>
        <v>1470</v>
      </c>
      <c r="L9763" s="1" t="s">
        <v>965</v>
      </c>
    </row>
    <row r="9764" customFormat="false" ht="17.15" hidden="false" customHeight="false" outlineLevel="0" collapsed="false">
      <c r="A9764" s="1" t="s">
        <v>966</v>
      </c>
      <c r="B9764" s="0" t="s">
        <v>459</v>
      </c>
      <c r="C9764" s="30" t="n">
        <f aca="false">mix_h*Sens!C9756</f>
        <v>128</v>
      </c>
      <c r="D9764" s="30" t="n">
        <f aca="false">mix_h*Sens!D9756</f>
        <v>326</v>
      </c>
      <c r="E9764" s="30" t="n">
        <f aca="false">mix_h*Sens!E9756</f>
        <v>650</v>
      </c>
      <c r="F9764" s="30" t="n">
        <f aca="false">Sens!E9764-Sens!F9763*mix_h</f>
        <v>650</v>
      </c>
      <c r="G9764" s="30" t="n">
        <f aca="false">Sens!F9764-Sens!G9763*mix_h</f>
        <v>650</v>
      </c>
      <c r="H9764" s="30" t="n">
        <f aca="false">Sens!G9764-Sens!H9763*mix_h</f>
        <v>650</v>
      </c>
      <c r="I9764" s="30" t="n">
        <f aca="false">Sens!H9764-Sens!I9763*mix_h</f>
        <v>552</v>
      </c>
      <c r="J9764" s="30" t="n">
        <f aca="false">Sens!I9764-Sens!J9763*mix_h</f>
        <v>404</v>
      </c>
      <c r="K9764" s="30" t="n">
        <f aca="false">Sens!J9764-Sens!K9763*mix_h</f>
        <v>110</v>
      </c>
    </row>
    <row r="9765" customFormat="false" ht="17.15" hidden="false" customHeight="false" outlineLevel="0" collapsed="false">
      <c r="A9765" s="1" t="s">
        <v>967</v>
      </c>
      <c r="B9765" s="0" t="s">
        <v>459</v>
      </c>
      <c r="C9765" s="30" t="n">
        <f aca="false">mix_g2*Sens!C9756</f>
        <v>288</v>
      </c>
      <c r="D9765" s="30" t="n">
        <f aca="false">mix_g2*Sens!D9756</f>
        <v>733.5</v>
      </c>
      <c r="E9765" s="30" t="n">
        <f aca="false">mix_g2*Sens!E9756</f>
        <v>1462.5</v>
      </c>
      <c r="F9765" s="30" t="n">
        <f aca="false">Sens!E9765-Sens!F9763*mix_g2</f>
        <v>1462.5</v>
      </c>
      <c r="G9765" s="30" t="n">
        <f aca="false">Sens!F9765-Sens!G9763*mix_g2</f>
        <v>1462.5</v>
      </c>
      <c r="H9765" s="30" t="n">
        <f aca="false">Sens!G9765-Sens!H9763*mix_g2</f>
        <v>1462.5</v>
      </c>
      <c r="I9765" s="30" t="n">
        <f aca="false">Sens!H9765-Sens!I9763*mix_g2</f>
        <v>1242</v>
      </c>
      <c r="J9765" s="30" t="n">
        <f aca="false">Sens!I9765-Sens!J9763*mix_g2</f>
        <v>909</v>
      </c>
      <c r="K9765" s="30" t="n">
        <f aca="false">Sens!J9765-Sens!K9763*mix_g2</f>
        <v>247.5</v>
      </c>
    </row>
    <row r="9766" customFormat="false" ht="17.15" hidden="false" customHeight="false" outlineLevel="0" collapsed="false">
      <c r="A9766" s="1" t="s">
        <v>968</v>
      </c>
      <c r="B9766" s="0" t="s">
        <v>459</v>
      </c>
      <c r="C9766" s="30" t="n">
        <f aca="false">mix_g3*Sens!C9756</f>
        <v>224</v>
      </c>
      <c r="D9766" s="30" t="n">
        <f aca="false">mix_g3*Sens!D9756</f>
        <v>570.5</v>
      </c>
      <c r="E9766" s="30" t="n">
        <f aca="false">mix_g3*Sens!E9756</f>
        <v>1137.5</v>
      </c>
      <c r="F9766" s="30" t="n">
        <f aca="false">Sens!E9766+(Sens!F9762+Sens!F9763)*(a_g3_27-nonnv*a_mai)-Sens!F9763*mix_g3</f>
        <v>2773.42106</v>
      </c>
      <c r="G9766" s="30" t="n">
        <f aca="false">Sens!F9766+(Sens!G9762+Sens!G9763)*(a_g3_28-nonnv*a_mai)-Sens!G9763*mix_g3</f>
        <v>3318.72808</v>
      </c>
      <c r="H9766" s="30" t="n">
        <f aca="false">Sens!G9766+(Sens!H9762+Sens!H9763)*(a_g3_29-nonnv*a_mai)-Sens!H9763*mix_g3</f>
        <v>3318.72808</v>
      </c>
      <c r="I9766" s="30" t="n">
        <f aca="false">Sens!H9766+(Sens!I9762+Sens!I9763)*(a_g3_29-nonnv*a_mai)-Sens!I9763*mix_g3</f>
        <v>3147.22808</v>
      </c>
      <c r="J9766" s="30" t="n">
        <f aca="false">Sens!I9766+(Sens!J9762+Sens!J9763)*(a_g3_29-nonnv*a_mai)-Sens!J9763*mix_g3</f>
        <v>2888.22808</v>
      </c>
      <c r="K9766" s="30" t="n">
        <f aca="false">Sens!J9766+(Sens!K9762+Sens!K9763)*(a_g3_29-nonnv*a_mai)-Sens!K9763*mix_g3</f>
        <v>2373.72808</v>
      </c>
    </row>
    <row r="9767" customFormat="false" ht="17.15" hidden="false" customHeight="false" outlineLevel="0" collapsed="false">
      <c r="A9767" s="1" t="s">
        <v>969</v>
      </c>
      <c r="B9767" s="0" t="s">
        <v>459</v>
      </c>
      <c r="C9767" s="30" t="n">
        <v>0</v>
      </c>
      <c r="D9767" s="30" t="n">
        <v>0</v>
      </c>
      <c r="E9767" s="30" t="n">
        <v>0</v>
      </c>
      <c r="F9767" s="30" t="n">
        <f aca="false">Sens!E9767+(Sens!F9762+Sens!F9763)*nonnv*a_mai</f>
        <v>272.65351</v>
      </c>
      <c r="G9767" s="30" t="n">
        <f aca="false">Sens!F9767+(Sens!G9762+Sens!G9763)*nonnv*a_mai</f>
        <v>545.30702</v>
      </c>
      <c r="H9767" s="30" t="n">
        <f aca="false">Sens!G9767+(Sens!H9762+Sens!H9763)*nonnv*a_mai</f>
        <v>817.96053</v>
      </c>
      <c r="I9767" s="30" t="n">
        <f aca="false">Sens!H9767+(Sens!I9762+Sens!I9763)*nonnv*a_mai</f>
        <v>1060.15914196667</v>
      </c>
      <c r="J9767" s="30" t="n">
        <f aca="false">Sens!I9767+(Sens!J9762+Sens!J9763)*nonnv*a_mai</f>
        <v>1251.76682813933</v>
      </c>
      <c r="K9767" s="30" t="n">
        <f aca="false">Sens!J9767+(Sens!K9762+Sens!K9763)*nonnv*a_mai</f>
        <v>1442.37983298351</v>
      </c>
      <c r="L9767" s="12" t="s">
        <v>970</v>
      </c>
    </row>
    <row r="9768" customFormat="false" ht="17.15" hidden="false" customHeight="false" outlineLevel="0" collapsed="false">
      <c r="A9768" s="1" t="s">
        <v>971</v>
      </c>
      <c r="B9768" s="0" t="s">
        <v>459</v>
      </c>
      <c r="C9768" s="30" t="n">
        <v>0</v>
      </c>
      <c r="D9768" s="30" t="n">
        <v>0</v>
      </c>
      <c r="E9768" s="30" t="n">
        <v>0</v>
      </c>
      <c r="F9768" s="30" t="n">
        <f aca="false">Sens!E9768+(Sens!F9762+Sens!F9763)*(1-a_g3_27)</f>
        <v>817.96053</v>
      </c>
      <c r="G9768" s="30" t="n">
        <f aca="false">Sens!F9768+(Sens!G9762+Sens!G9763)*(1-a_g3_28)</f>
        <v>2726.5351</v>
      </c>
      <c r="H9768" s="30" t="n">
        <f aca="false">Sens!G9768+(Sens!H9762+Sens!H9763)*(1-a_g3_29)</f>
        <v>5180.41669</v>
      </c>
      <c r="I9768" s="30" t="n">
        <f aca="false">Sens!H9768+(Sens!I9762+Sens!I9763)*(1-a_g3_29)</f>
        <v>7360.2041977</v>
      </c>
      <c r="J9768" s="30" t="n">
        <f aca="false">Sens!I9768+(Sens!J9762+Sens!J9763)*(1-a_g3_29)</f>
        <v>9084.673373254</v>
      </c>
      <c r="K9768" s="30" t="n">
        <f aca="false">Sens!J9768+(Sens!K9762+Sens!K9763)*(1-a_g3_29)</f>
        <v>10800.1904168516</v>
      </c>
    </row>
    <row r="9769" customFormat="false" ht="17.15" hidden="false" customHeight="false" outlineLevel="0" collapsed="false">
      <c r="A9769" s="1" t="s">
        <v>972</v>
      </c>
      <c r="B9769" s="0" t="s">
        <v>403</v>
      </c>
      <c r="C9769" s="15" t="n">
        <f aca="false">(Sens!C9764*tk_hold_h100+Sens!C9765*tk_hold_gb200+Sens!C9766*tk_hold_gb300+Sens!C9768*tk_hold_vr200+Sens!C9767*nv_hold_mai*tk_hold_vr200)/Sens!C9756</f>
        <v>9.7235358126469</v>
      </c>
      <c r="D9769" s="15" t="n">
        <f aca="false">(Sens!D9764*tk_hold_h100+Sens!D9765*tk_hold_gb200+Sens!D9766*tk_hold_gb300+Sens!D9768*tk_hold_vr200+Sens!D9767*nv_hold_mai*tk_hold_vr200)/Sens!D9756</f>
        <v>9.7235358126469</v>
      </c>
      <c r="E9769" s="15" t="n">
        <f aca="false">(Sens!E9764*tk_hold_h100+Sens!E9765*tk_hold_gb200+Sens!E9766*tk_hold_gb300+Sens!E9768*tk_hold_vr200+Sens!E9767*nv_hold_mai*tk_hold_vr200)/Sens!E9756</f>
        <v>9.7235358126469</v>
      </c>
      <c r="F9769" s="15" t="n">
        <f aca="false">(Sens!F9764*tk_hold_h100+Sens!F9765*tk_hold_gb200+Sens!F9766*tk_hold_gb300+Sens!F9768*tk_hold_vr200+Sens!F9767*nv_hold_mai*tk_hold_vr200)/Sens!F9756</f>
        <v>10.2195353876665</v>
      </c>
      <c r="G9769" s="15" t="n">
        <f aca="false">(Sens!G9764*tk_hold_h100+Sens!G9765*tk_hold_gb200+Sens!G9766*tk_hold_gb300+Sens!G9768*tk_hold_vr200+Sens!G9767*nv_hold_mai*tk_hold_vr200)/Sens!G9756</f>
        <v>10.5725598017306</v>
      </c>
      <c r="H9769" s="15" t="n">
        <f aca="false">(Sens!H9764*tk_hold_h100+Sens!H9765*tk_hold_gb200+Sens!H9766*tk_hold_gb300+Sens!H9768*tk_hold_vr200+Sens!H9767*nv_hold_mai*tk_hold_vr200)/Sens!H9756</f>
        <v>10.8210427149036</v>
      </c>
      <c r="I9769" s="15" t="n">
        <f aca="false">(Sens!I9764*tk_hold_h100+Sens!I9765*tk_hold_gb200+Sens!I9766*tk_hold_gb300+Sens!I9768*tk_hold_vr200+Sens!I9767*nv_hold_mai*tk_hold_vr200)/Sens!I9756</f>
        <v>11.0050618241982</v>
      </c>
      <c r="J9769" s="15" t="n">
        <f aca="false">(Sens!J9764*tk_hold_h100+Sens!J9765*tk_hold_gb200+Sens!J9766*tk_hold_gb300+Sens!J9768*tk_hold_vr200+Sens!J9767*nv_hold_mai*tk_hold_vr200)/Sens!J9756</f>
        <v>11.1505789658881</v>
      </c>
      <c r="K9769" s="15" t="n">
        <f aca="false">(Sens!K9764*tk_hold_h100+Sens!K9765*tk_hold_gb200+Sens!K9766*tk_hold_gb300+Sens!K9768*tk_hold_vr200+Sens!K9767*nv_hold_mai*tk_hold_vr200)/Sens!K9756</f>
        <v>11.3496914757183</v>
      </c>
      <c r="L9769" s="1" t="s">
        <v>973</v>
      </c>
    </row>
    <row r="9770" customFormat="false" ht="17.15" hidden="false" customHeight="false" outlineLevel="0" collapsed="false">
      <c r="A9770" s="1" t="s">
        <v>974</v>
      </c>
      <c r="B9770" s="0" t="s">
        <v>403</v>
      </c>
      <c r="C9770" s="15" t="n">
        <f aca="false">(Sens!C9764*tk_hold_h100+Sens!C9765*tk_hold_gb200+Sens!C9766*tk_hold_gb300+Sens!C9768*tk_hold_vr200+Sens!C9767*nv_out_mai*tk_hold_vr200)/Sens!C9756</f>
        <v>9.7235358126469</v>
      </c>
      <c r="D9770" s="15" t="n">
        <f aca="false">(Sens!D9764*tk_hold_h100+Sens!D9765*tk_hold_gb200+Sens!D9766*tk_hold_gb300+Sens!D9768*tk_hold_vr200+Sens!D9767*nv_out_mai*tk_hold_vr200)/Sens!D9756</f>
        <v>9.7235358126469</v>
      </c>
      <c r="E9770" s="15" t="n">
        <f aca="false">(Sens!E9764*tk_hold_h100+Sens!E9765*tk_hold_gb200+Sens!E9766*tk_hold_gb300+Sens!E9768*tk_hold_vr200+Sens!E9767*nv_out_mai*tk_hold_vr200)/Sens!E9756</f>
        <v>9.7235358126469</v>
      </c>
      <c r="F9770" s="15" t="n">
        <f aca="false">(Sens!F9764*tk_hold_h100+Sens!F9765*tk_hold_gb200+Sens!F9766*tk_hold_gb300+Sens!F9768*tk_hold_vr200+Sens!F9767*nv_out_mai*tk_hold_vr200)/Sens!F9756</f>
        <v>10.247422093969</v>
      </c>
      <c r="G9770" s="15" t="n">
        <f aca="false">(Sens!G9764*tk_hold_h100+Sens!G9765*tk_hold_gb200+Sens!G9766*tk_hold_gb300+Sens!G9768*tk_hold_vr200+Sens!G9767*nv_out_mai*tk_hold_vr200)/Sens!G9756</f>
        <v>10.6108602808053</v>
      </c>
      <c r="H9770" s="15" t="n">
        <f aca="false">(Sens!H9764*tk_hold_h100+Sens!H9765*tk_hold_gb200+Sens!H9766*tk_hold_gb300+Sens!H9768*tk_hold_vr200+Sens!H9767*nv_out_mai*tk_hold_vr200)/Sens!H9756</f>
        <v>10.8647885507393</v>
      </c>
      <c r="I9770" s="15" t="n">
        <f aca="false">(Sens!I9764*tk_hold_h100+Sens!I9765*tk_hold_gb200+Sens!I9766*tk_hold_gb300+Sens!I9768*tk_hold_vr200+Sens!I9767*nv_out_mai*tk_hold_vr200)/Sens!I9756</f>
        <v>11.0535625770025</v>
      </c>
      <c r="J9770" s="15" t="n">
        <f aca="false">(Sens!J9764*tk_hold_h100+Sens!J9765*tk_hold_gb200+Sens!J9766*tk_hold_gb300+Sens!J9768*tk_hold_vr200+Sens!J9767*nv_out_mai*tk_hold_vr200)/Sens!J9756</f>
        <v>11.2032127128058</v>
      </c>
      <c r="K9770" s="15" t="n">
        <f aca="false">(Sens!K9764*tk_hold_h100+Sens!K9765*tk_hold_gb200+Sens!K9766*tk_hold_gb300+Sens!K9768*tk_hold_vr200+Sens!K9767*nv_out_mai*tk_hold_vr200)/Sens!K9756</f>
        <v>11.4085735724225</v>
      </c>
      <c r="L9770" s="12" t="s">
        <v>975</v>
      </c>
    </row>
    <row r="9771" customFormat="false" ht="17.15" hidden="false" customHeight="false" outlineLevel="0" collapsed="false">
      <c r="A9771" s="0" t="s">
        <v>976</v>
      </c>
      <c r="B9771" s="0" t="s">
        <v>229</v>
      </c>
      <c r="C9771" s="15" t="n">
        <f aca="false">k_B</f>
        <v>1.17213932619116</v>
      </c>
      <c r="D9771" s="15" t="n">
        <f aca="false">k_B</f>
        <v>1.17213932619116</v>
      </c>
      <c r="E9771" s="15" t="n">
        <f aca="false">k_B</f>
        <v>1.17213932619116</v>
      </c>
      <c r="F9771" s="15" t="n">
        <f aca="false">(k_B+((ls_A*k_long+(1-ls_A)*k_spot)-k_B)*MIN(1,(Sens!F9754-base_fy)/k_ramp))</f>
        <v>1.25022828131298</v>
      </c>
      <c r="G9771" s="15" t="n">
        <f aca="false">(k_B+((ls_A*k_long+(1-ls_A)*k_spot)-k_B)*MIN(1,(Sens!G9754-base_fy)/k_ramp))</f>
        <v>1.3283172364348</v>
      </c>
      <c r="H9771" s="15" t="n">
        <f aca="false">(k_B+((ls_A*k_long+(1-ls_A)*k_spot)-k_B)*MIN(1,(Sens!H9754-base_fy)/k_ramp))</f>
        <v>1.40640619155662</v>
      </c>
      <c r="I9771" s="15" t="n">
        <f aca="false">(k_B+((ls_A*k_long+(1-ls_A)*k_spot)-k_B)*MIN(1,(Sens!I9754-base_fy)/k_ramp))</f>
        <v>1.40640619155662</v>
      </c>
      <c r="J9771" s="15" t="n">
        <f aca="false">(k_B+((ls_A*k_long+(1-ls_A)*k_spot)-k_B)*MIN(1,(Sens!J9754-base_fy)/k_ramp))</f>
        <v>1.40640619155662</v>
      </c>
      <c r="K9771" s="15" t="n">
        <f aca="false">(k_B+((ls_A*k_long+(1-ls_A)*k_spot)-k_B)*MIN(1,(Sens!K9754-base_fy)/k_ramp))</f>
        <v>1.40640619155662</v>
      </c>
      <c r="L9771" s="1" t="s">
        <v>977</v>
      </c>
    </row>
    <row r="9772" customFormat="false" ht="17.15" hidden="false" customHeight="false" outlineLevel="0" collapsed="false">
      <c r="A9772" s="1" t="s">
        <v>978</v>
      </c>
      <c r="B9772" s="0" t="s">
        <v>403</v>
      </c>
      <c r="C9772" s="15" t="n">
        <f aca="false">Sens!C9770*Sens!C9771*chip_f</f>
        <v>11.3973387156315</v>
      </c>
      <c r="D9772" s="15" t="n">
        <f aca="false">Sens!D9770*Sens!D9771*chip_f</f>
        <v>11.3973387156315</v>
      </c>
      <c r="E9772" s="15" t="n">
        <f aca="false">Sens!E9770*Sens!E9771*chip_f</f>
        <v>11.3973387156315</v>
      </c>
      <c r="F9772" s="15" t="n">
        <f aca="false">Sens!F9770*Sens!F9771*chip_f</f>
        <v>12.8116169124314</v>
      </c>
      <c r="G9772" s="15" t="n">
        <f aca="false">Sens!G9770*Sens!G9771*chip_f</f>
        <v>14.094588604395</v>
      </c>
      <c r="H9772" s="15" t="n">
        <f aca="false">Sens!H9770*Sens!H9771*chip_f</f>
        <v>15.2803058877132</v>
      </c>
      <c r="I9772" s="15" t="n">
        <f aca="false">Sens!I9770*Sens!I9771*chip_f</f>
        <v>15.5457988470549</v>
      </c>
      <c r="J9772" s="15" t="n">
        <f aca="false">Sens!J9770*Sens!J9771*chip_f</f>
        <v>15.7562677246158</v>
      </c>
      <c r="K9772" s="15" t="n">
        <f aca="false">Sens!K9770*Sens!K9771*chip_f</f>
        <v>16.0450885090842</v>
      </c>
      <c r="L9772" s="1" t="s">
        <v>979</v>
      </c>
    </row>
    <row r="9773" customFormat="false" ht="17.15" hidden="false" customHeight="false" outlineLevel="0" collapsed="false">
      <c r="A9773" s="0" t="s">
        <v>980</v>
      </c>
      <c r="B9773" s="0" t="s">
        <v>98</v>
      </c>
      <c r="D9773" s="6" t="n">
        <f aca="false">(Sens!C9756+Sens!D9756)/2*Sens!D9772/1000</f>
        <v>12.9359794422418</v>
      </c>
      <c r="E9773" s="6" t="n">
        <f aca="false">(Sens!D9756+Sens!E9756)/2*Sens!E9772/1000</f>
        <v>27.8095064661409</v>
      </c>
      <c r="F9773" s="6" t="n">
        <f aca="false">(Sens!E9756+Sens!F9756)/2*Sens!F9772/1000</f>
        <v>59.1034165651511</v>
      </c>
      <c r="G9773" s="6" t="n">
        <f aca="false">(Sens!F9756+Sens!G9756)/2*Sens!G9772/1000</f>
        <v>103.451498789198</v>
      </c>
      <c r="H9773" s="6" t="n">
        <f aca="false">(Sens!G9756+Sens!H9756)/2*Sens!H9772/1000</f>
        <v>153.816719989035</v>
      </c>
      <c r="I9773" s="6" t="n">
        <f aca="false">(Sens!H9756+Sens!I9756)/2*Sens!I9772/1000</f>
        <v>192.699478690852</v>
      </c>
      <c r="J9773" s="6" t="n">
        <f aca="false">(Sens!I9756+Sens!J9756)/2*Sens!J9772/1000</f>
        <v>219.794102584244</v>
      </c>
      <c r="K9773" s="6" t="n">
        <f aca="false">(Sens!J9756+Sens!K9756)/2*Sens!K9772/1000</f>
        <v>236.757046905022</v>
      </c>
      <c r="L9773" s="12" t="s">
        <v>981</v>
      </c>
    </row>
    <row r="9774" customFormat="false" ht="17.15" hidden="false" customHeight="false" outlineLevel="0" collapsed="false">
      <c r="A9774" s="1" t="s">
        <v>982</v>
      </c>
      <c r="B9774" s="0" t="s">
        <v>403</v>
      </c>
      <c r="C9774" s="15" t="n">
        <f aca="false">(Sens!C9764*tk_opex_h100+Sens!C9765*tk_opex_gb200+Sens!C9766*tk_opex_gb300+(Sens!C9768+Sens!C9767)*tk_opex_vr200)/Sens!C9756</f>
        <v>1.88636041306092</v>
      </c>
      <c r="D9774" s="15" t="n">
        <f aca="false">(Sens!D9764*tk_opex_h100+Sens!D9765*tk_opex_gb200+Sens!D9766*tk_opex_gb300+(Sens!D9768+Sens!D9767)*tk_opex_vr200)/Sens!D9756</f>
        <v>1.88636041306092</v>
      </c>
      <c r="E9774" s="15" t="n">
        <f aca="false">(Sens!E9764*tk_opex_h100+Sens!E9765*tk_opex_gb200+Sens!E9766*tk_opex_gb300+(Sens!E9768+Sens!E9767)*tk_opex_vr200)/Sens!E9756</f>
        <v>1.88636041306092</v>
      </c>
      <c r="F9774" s="15" t="n">
        <f aca="false">(Sens!F9764*tk_opex_h100+Sens!F9765*tk_opex_gb200+Sens!F9766*tk_opex_gb300+(Sens!F9768+Sens!F9767)*tk_opex_vr200)/Sens!F9756</f>
        <v>1.95051159746876</v>
      </c>
      <c r="G9774" s="15" t="n">
        <f aca="false">(Sens!G9764*tk_opex_h100+Sens!G9765*tk_opex_gb200+Sens!G9766*tk_opex_gb300+(Sens!G9768+Sens!G9767)*tk_opex_vr200)/Sens!G9756</f>
        <v>1.98836003669956</v>
      </c>
      <c r="H9774" s="15" t="n">
        <f aca="false">(Sens!H9764*tk_opex_h100+Sens!H9765*tk_opex_gb200+Sens!H9766*tk_opex_gb300+(Sens!H9768+Sens!H9767)*tk_opex_vr200)/Sens!H9756</f>
        <v>2.01344013834343</v>
      </c>
      <c r="I9774" s="15" t="n">
        <f aca="false">(Sens!I9764*tk_opex_h100+Sens!I9765*tk_opex_gb200+Sens!I9766*tk_opex_gb300+(Sens!I9768+Sens!I9767)*tk_opex_vr200)/Sens!I9756</f>
        <v>2.03261166882178</v>
      </c>
      <c r="J9774" s="15" t="n">
        <f aca="false">(Sens!J9764*tk_opex_h100+Sens!J9765*tk_opex_gb200+Sens!J9766*tk_opex_gb300+(Sens!J9768+Sens!J9767)*tk_opex_vr200)/Sens!J9756</f>
        <v>2.04808073288745</v>
      </c>
      <c r="K9774" s="15" t="n">
        <f aca="false">(Sens!K9764*tk_opex_h100+Sens!K9765*tk_opex_gb200+Sens!K9766*tk_opex_gb300+(Sens!K9768+Sens!K9767)*tk_opex_vr200)/Sens!K9756</f>
        <v>2.06973825807449</v>
      </c>
      <c r="L9774" s="12" t="s">
        <v>983</v>
      </c>
    </row>
    <row r="9775" customFormat="false" ht="17.15" hidden="false" customHeight="false" outlineLevel="0" collapsed="false">
      <c r="A9775" s="0" t="s">
        <v>984</v>
      </c>
      <c r="B9775" s="0" t="s">
        <v>98</v>
      </c>
      <c r="D9775" s="6" t="n">
        <f aca="false">(Sens!C9759+Sens!D9759)/2*Sens!D9774/1000</f>
        <v>2.70378325872065</v>
      </c>
      <c r="E9775" s="6" t="n">
        <f aca="false">(Sens!D9759+Sens!E9759)/2*Sens!E9774/1000</f>
        <v>6.17783035277451</v>
      </c>
      <c r="F9775" s="6" t="n">
        <f aca="false">(Sens!E9759+Sens!F9759)/2*Sens!F9774/1000</f>
        <v>12.8742463089237</v>
      </c>
      <c r="G9775" s="6" t="n">
        <f aca="false">(Sens!F9759+Sens!G9759)/2*Sens!G9774/1000</f>
        <v>21.8182834646277</v>
      </c>
      <c r="H9775" s="6" t="n">
        <f aca="false">(Sens!G9759+Sens!H9759)/2*Sens!H9774/1000</f>
        <v>31.2430128789734</v>
      </c>
      <c r="I9775" s="6" t="n">
        <f aca="false">(Sens!H9759+Sens!I9759)/2*Sens!I9774/1000</f>
        <v>39.4313057443268</v>
      </c>
      <c r="J9775" s="6" t="n">
        <f aca="false">(Sens!I9759+Sens!J9759)/2*Sens!J9774/1000</f>
        <v>45.0360318228653</v>
      </c>
      <c r="K9775" s="6" t="n">
        <f aca="false">(Sens!J9759+Sens!K9759)/2*Sens!K9774/1000</f>
        <v>48.2929727091156</v>
      </c>
    </row>
    <row r="9776" customFormat="false" ht="17.15" hidden="false" customHeight="false" outlineLevel="0" collapsed="false">
      <c r="A9776" s="0" t="s">
        <v>985</v>
      </c>
      <c r="B9776" s="0" t="s">
        <v>98</v>
      </c>
      <c r="D9776" s="6" t="n">
        <f aca="false">(Sens!C9757+Sens!D9757)/2*rent_mw/1000</f>
        <v>2.44475</v>
      </c>
      <c r="E9776" s="6" t="n">
        <f aca="false">(Sens!D9757+Sens!E9757)/2*rent_mw/1000</f>
        <v>4.22275</v>
      </c>
      <c r="F9776" s="6" t="n">
        <f aca="false">(Sens!E9757+Sens!F9757)/2*rent_mw/1000</f>
        <v>5.80517</v>
      </c>
      <c r="G9776" s="6" t="n">
        <f aca="false">(Sens!F9757+Sens!G9757)/2*rent_mw/1000</f>
        <v>6.72084</v>
      </c>
      <c r="H9776" s="6" t="n">
        <f aca="false">(Sens!G9757+Sens!H9757)/2*rent_mw/1000</f>
        <v>6.72084</v>
      </c>
      <c r="I9776" s="6" t="n">
        <f aca="false">(Sens!H9757+Sens!I9757)/2*rent_mw/1000</f>
        <v>6.72084</v>
      </c>
      <c r="J9776" s="6" t="n">
        <f aca="false">(Sens!I9757+Sens!J9757)/2*rent_mw/1000</f>
        <v>6.72084</v>
      </c>
      <c r="K9776" s="6" t="n">
        <f aca="false">(Sens!J9757+Sens!K9757)/2*rent_mw/1000</f>
        <v>6.72084</v>
      </c>
    </row>
    <row r="9777" customFormat="false" ht="17.15" hidden="false" customHeight="false" outlineLevel="0" collapsed="false">
      <c r="A9777" s="0" t="s">
        <v>986</v>
      </c>
      <c r="B9777" s="0" t="s">
        <v>98</v>
      </c>
      <c r="D9777" s="6" t="n">
        <f aca="false">(Sens!C9759+Sens!D9759)/2*(1-self_build)*fac_rent/1000</f>
        <v>0.853242375631075</v>
      </c>
      <c r="E9777" s="6" t="n">
        <f aca="false">(Sens!D9759+Sens!E9759)/2*(1-self_build)*fac_rent/1000</f>
        <v>1.94955961408728</v>
      </c>
      <c r="F9777" s="6" t="n">
        <f aca="false">(Sens!E9759+Sens!F9759)/2*(1-self_build)*fac_rent/1000</f>
        <v>3.92914894476356</v>
      </c>
      <c r="G9777" s="6" t="n">
        <f aca="false">(Sens!F9759+Sens!G9759)/2*(1-self_build)*fac_rent/1000</f>
        <v>6.53206908578159</v>
      </c>
      <c r="H9777" s="6" t="n">
        <f aca="false">(Sens!G9759+Sens!H9759)/2*(1-self_build)*fac_rent/1000</f>
        <v>9.23717988341591</v>
      </c>
      <c r="I9777" s="6" t="n">
        <f aca="false">(Sens!H9759+Sens!I9759)/2*(1-self_build)*fac_rent/1000</f>
        <v>11.5481378557393</v>
      </c>
      <c r="J9777" s="6" t="n">
        <f aca="false">(Sens!I9759+Sens!J9759)/2*(1-self_build)*fac_rent/1000</f>
        <v>13.0899582289108</v>
      </c>
      <c r="K9777" s="6" t="n">
        <f aca="false">(Sens!J9759+Sens!K9759)/2*(1-self_build)*fac_rent/1000</f>
        <v>13.8897275626556</v>
      </c>
      <c r="L9777" s="12" t="s">
        <v>987</v>
      </c>
    </row>
    <row r="9778" customFormat="false" ht="17.15" hidden="false" customHeight="false" outlineLevel="0" collapsed="false">
      <c r="A9778" s="1" t="s">
        <v>988</v>
      </c>
      <c r="B9778" s="0" t="s">
        <v>168</v>
      </c>
      <c r="D9778" s="7" t="n">
        <f aca="false">(Sens!C9758+Sens!D9758)/(Sens!C9759+Sens!D9759)</f>
        <v>0.6</v>
      </c>
      <c r="E9778" s="7" t="n">
        <f aca="false">(Sens!D9758+Sens!E9758)/(Sens!D9759+Sens!E9759)</f>
        <v>0.6</v>
      </c>
      <c r="F9778" s="7" t="n">
        <f aca="false">(Sens!E9758+Sens!F9758)/(Sens!E9759+Sens!F9759)</f>
        <v>0.6</v>
      </c>
      <c r="G9778" s="7" t="n">
        <f aca="false">(Sens!F9758+Sens!G9758)/(Sens!F9759+Sens!G9759)</f>
        <v>0.6</v>
      </c>
      <c r="H9778" s="7" t="n">
        <f aca="false">(Sens!G9758+Sens!H9758)/(Sens!G9759+Sens!H9759)</f>
        <v>0.6</v>
      </c>
      <c r="I9778" s="7" t="n">
        <f aca="false">(Sens!H9758+Sens!I9758)/(Sens!H9759+Sens!I9759)</f>
        <v>0.6</v>
      </c>
      <c r="J9778" s="7" t="n">
        <f aca="false">(Sens!I9758+Sens!J9758)/(Sens!I9759+Sens!J9759)</f>
        <v>0.6</v>
      </c>
      <c r="K9778" s="7" t="n">
        <f aca="false">(Sens!J9758+Sens!K9758)/(Sens!J9759+Sens!K9759)</f>
        <v>0.6</v>
      </c>
    </row>
    <row r="9779" customFormat="false" ht="17.15" hidden="false" customHeight="false" outlineLevel="0" collapsed="false">
      <c r="A9779" s="0" t="s">
        <v>989</v>
      </c>
      <c r="B9779" s="0" t="s">
        <v>98</v>
      </c>
      <c r="D9779" s="6" t="n">
        <f aca="false">Sens!D9773-Sens!D9778*(Sens!D9775+Sens!D9777)-Sens!D9776</f>
        <v>8.35701406163072</v>
      </c>
      <c r="E9779" s="6" t="n">
        <f aca="false">Sens!E9773-Sens!E9778*(Sens!E9775+Sens!E9777)-Sens!E9776</f>
        <v>18.7103224860238</v>
      </c>
      <c r="F9779" s="6" t="n">
        <f aca="false">Sens!F9773-Sens!F9778*(Sens!F9775+Sens!F9777)-Sens!F9776</f>
        <v>43.2162094129388</v>
      </c>
      <c r="G9779" s="6" t="n">
        <f aca="false">Sens!G9773-Sens!G9778*(Sens!G9775+Sens!G9777)-Sens!G9776</f>
        <v>79.7204472589529</v>
      </c>
      <c r="H9779" s="6" t="n">
        <f aca="false">Sens!H9773-Sens!H9778*(Sens!H9775+Sens!H9777)-Sens!H9776</f>
        <v>122.807764331602</v>
      </c>
      <c r="I9779" s="6" t="n">
        <f aca="false">Sens!I9773-Sens!I9778*(Sens!I9775+Sens!I9777)-Sens!I9776</f>
        <v>155.390972530813</v>
      </c>
      <c r="J9779" s="6" t="n">
        <f aca="false">Sens!J9773-Sens!J9778*(Sens!J9775+Sens!J9777)-Sens!J9776</f>
        <v>178.197668553178</v>
      </c>
      <c r="K9779" s="6" t="n">
        <f aca="false">Sens!K9773-Sens!K9778*(Sens!K9775+Sens!K9777)-Sens!K9776</f>
        <v>192.726586741959</v>
      </c>
    </row>
    <row r="9780" customFormat="false" ht="17.15" hidden="false" customHeight="false" outlineLevel="0" collapsed="false">
      <c r="A9780" s="1" t="s">
        <v>990</v>
      </c>
      <c r="B9780" s="0" t="s">
        <v>98</v>
      </c>
      <c r="D9780" s="6" t="n">
        <f aca="false">(1-Sens!D9778)*(Sens!D9775+Sens!D9777)</f>
        <v>1.42281025374069</v>
      </c>
      <c r="E9780" s="6" t="n">
        <f aca="false">(1-Sens!E9778)*(Sens!E9775+Sens!E9777)</f>
        <v>3.25095598674472</v>
      </c>
      <c r="F9780" s="6" t="n">
        <f aca="false">(1-Sens!F9778)*(Sens!F9775+Sens!F9777)</f>
        <v>6.72135810147489</v>
      </c>
      <c r="G9780" s="6" t="n">
        <f aca="false">(1-Sens!G9778)*(Sens!G9775+Sens!G9777)</f>
        <v>11.3401410201637</v>
      </c>
      <c r="H9780" s="6" t="n">
        <f aca="false">(1-Sens!H9778)*(Sens!H9775+Sens!H9777)</f>
        <v>16.1920771049557</v>
      </c>
      <c r="I9780" s="6" t="n">
        <f aca="false">(1-Sens!I9778)*(Sens!I9775+Sens!I9777)</f>
        <v>20.3917774400264</v>
      </c>
      <c r="J9780" s="6" t="n">
        <f aca="false">(1-Sens!J9778)*(Sens!J9775+Sens!J9777)</f>
        <v>23.2503960207104</v>
      </c>
      <c r="K9780" s="6" t="n">
        <f aca="false">(1-Sens!K9778)*(Sens!K9775+Sens!K9777)</f>
        <v>24.8730801087085</v>
      </c>
    </row>
    <row r="9781" customFormat="false" ht="17.15" hidden="false" customHeight="false" outlineLevel="0" collapsed="false">
      <c r="A9781" s="1" t="s">
        <v>991</v>
      </c>
      <c r="B9781" s="0" t="s">
        <v>417</v>
      </c>
      <c r="C9781" s="8" t="n">
        <f aca="false">cxit_open</f>
        <v>27.5918995</v>
      </c>
      <c r="D9781" s="8" t="n">
        <f aca="false">cxit_open</f>
        <v>27.5918995</v>
      </c>
      <c r="E9781" s="8" t="n">
        <f aca="false">cxit_open</f>
        <v>27.5918995</v>
      </c>
      <c r="F9781" s="8" t="n">
        <f aca="false">((a_g3_27-nonnv*a_mai)*tk_cxit_gb300+nonnv*a_mai*nv_hold_mai*tk_cxit_vr200+(1-a_g3_27)*tk_cxit_vr200)</f>
        <v>32.4975576</v>
      </c>
      <c r="G9781" s="8" t="n">
        <f aca="false">((a_g3_28-nonnv*a_mai)*tk_cxit_gb300+nonnv*a_mai*nv_hold_mai*tk_cxit_vr200+(1-a_g3_28)*tk_cxit_vr200)</f>
        <v>34.6372088</v>
      </c>
      <c r="H9781" s="8" t="n">
        <f aca="false">((a_g3_29-nonnv*a_mai)*tk_cxit_gb300+nonnv*a_mai*nv_hold_mai*tk_cxit_vr200+(1-a_g3_29)*tk_cxit_vr200)</f>
        <v>35.7070344</v>
      </c>
      <c r="I9781" s="8" t="n">
        <f aca="false">((a_g3_29-nonnv*a_mai)*tk_cxit_gb300+nonnv*a_mai*nv_hold_mai*tk_cxit_vr200+(1-a_g3_29)*tk_cxit_vr200)</f>
        <v>35.7070344</v>
      </c>
      <c r="J9781" s="8" t="n">
        <f aca="false">((a_g3_29-nonnv*a_mai)*tk_cxit_gb300+nonnv*a_mai*nv_hold_mai*tk_cxit_vr200+(1-a_g3_29)*tk_cxit_vr200)</f>
        <v>35.7070344</v>
      </c>
      <c r="K9781" s="8" t="n">
        <f aca="false">((a_g3_29-nonnv*a_mai)*tk_cxit_gb300+nonnv*a_mai*nv_hold_mai*tk_cxit_vr200+(1-a_g3_29)*tk_cxit_vr200)</f>
        <v>35.7070344</v>
      </c>
      <c r="L9781" s="12" t="s">
        <v>992</v>
      </c>
    </row>
    <row r="9782" customFormat="false" ht="17.15" hidden="false" customHeight="false" outlineLevel="0" collapsed="false">
      <c r="A9782" s="0" t="s">
        <v>993</v>
      </c>
      <c r="B9782" s="0" t="s">
        <v>459</v>
      </c>
      <c r="F9782" s="30" t="n">
        <f aca="false">Sens!C9761*IF(Sens!F9754-Sens!C9754=life_it,1,0)+Sens!D9761*IF(Sens!F9754-Sens!D9754=life_it,1,0)+Sens!E9761*IF(Sens!F9754-Sens!E9754=life_it,1,0)</f>
        <v>0</v>
      </c>
      <c r="G9782" s="30" t="n">
        <f aca="false">Sens!C9761*IF(Sens!G9754-Sens!C9754=life_it,1,0)+Sens!D9761*IF(Sens!G9754-Sens!D9754=life_it,1,0)+Sens!E9761*IF(Sens!G9754-Sens!E9754=life_it,1,0)+Sens!F9761*IF(Sens!G9754-Sens!F9754=life_it,1,0)</f>
        <v>0</v>
      </c>
      <c r="H9782" s="30" t="n">
        <f aca="false">Sens!C9761*IF(Sens!H9754-Sens!C9754=life_it,1,0)+Sens!D9761*IF(Sens!H9754-Sens!D9754=life_it,1,0)+Sens!E9761*IF(Sens!H9754-Sens!E9754=life_it,1,0)+Sens!F9761*IF(Sens!H9754-Sens!F9754=life_it,1,0)+Sens!G9761*IF(Sens!H9754-Sens!G9754=life_it,1,0)</f>
        <v>0</v>
      </c>
      <c r="I9782" s="30" t="n">
        <f aca="false">Sens!C9761*IF(Sens!I9754-Sens!C9754=life_it,1,0)+Sens!D9761*IF(Sens!I9754-Sens!D9754=life_it,1,0)+Sens!E9761*IF(Sens!I9754-Sens!E9754=life_it,1,0)+Sens!F9761*IF(Sens!I9754-Sens!F9754=life_it,1,0)+Sens!G9761*IF(Sens!I9754-Sens!G9754=life_it,1,0)+Sens!H9761*IF(Sens!I9754-Sens!H9754=life_it,1,0)</f>
        <v>816.666666666667</v>
      </c>
      <c r="J9782" s="30" t="n">
        <f aca="false">Sens!C9761*IF(Sens!J9754-Sens!C9754=life_it,1,0)+Sens!D9761*IF(Sens!J9754-Sens!D9754=life_it,1,0)+Sens!E9761*IF(Sens!J9754-Sens!E9754=life_it,1,0)+Sens!F9761*IF(Sens!J9754-Sens!F9754=life_it,1,0)+Sens!G9761*IF(Sens!J9754-Sens!G9754=life_it,1,0)+Sens!H9761*IF(Sens!J9754-Sens!H9754=life_it,1,0)+Sens!I9761*IF(Sens!J9754-Sens!I9754=life_it,1,0)</f>
        <v>1233.33333333333</v>
      </c>
      <c r="K9782" s="30" t="n">
        <f aca="false">Sens!C9761*IF(Sens!K9754-Sens!C9754=life_it,1,0)+Sens!D9761*IF(Sens!K9754-Sens!D9754=life_it,1,0)+Sens!E9761*IF(Sens!K9754-Sens!E9754=life_it,1,0)+Sens!F9761*IF(Sens!K9754-Sens!F9754=life_it,1,0)+Sens!G9761*IF(Sens!K9754-Sens!G9754=life_it,1,0)+Sens!H9761*IF(Sens!K9754-Sens!H9754=life_it,1,0)+Sens!I9761*IF(Sens!K9754-Sens!I9754=life_it,1,0)+Sens!J9761*IF(Sens!K9754-Sens!J9754=life_it,1,0)</f>
        <v>2450</v>
      </c>
      <c r="L9782" s="1" t="s">
        <v>994</v>
      </c>
    </row>
    <row r="9783" customFormat="false" ht="17.15" hidden="false" customHeight="false" outlineLevel="0" collapsed="false">
      <c r="A9783" s="0" t="s">
        <v>995</v>
      </c>
      <c r="B9783" s="0" t="s">
        <v>98</v>
      </c>
      <c r="C9783" s="6" t="n">
        <f aca="false">Sens!C9761*Sens!C9781/1000</f>
        <v>22.5333845916667</v>
      </c>
      <c r="D9783" s="6" t="n">
        <f aca="false">Sens!D9761*Sens!D9781/1000</f>
        <v>34.0300093833333</v>
      </c>
      <c r="E9783" s="6" t="n">
        <f aca="false">Sens!E9761*Sens!E9781/1000</f>
        <v>67.600153775</v>
      </c>
      <c r="F9783" s="6" t="n">
        <f aca="false">(Sens!F9761+Sens!F9782)*Sens!F9781/1000</f>
        <v>136.51872432512</v>
      </c>
      <c r="G9783" s="6" t="n">
        <f aca="false">(Sens!G9761+Sens!G9782)*Sens!G9781/1000</f>
        <v>157.399275932048</v>
      </c>
      <c r="H9783" s="6" t="n">
        <f aca="false">(Sens!H9761+Sens!H9782)*Sens!H9781/1000</f>
        <v>162.260804347512</v>
      </c>
      <c r="I9783" s="6" t="n">
        <f aca="false">(Sens!I9761+Sens!I9782)*Sens!I9781/1000</f>
        <v>144.136569485434</v>
      </c>
      <c r="J9783" s="6" t="n">
        <f aca="false">(Sens!J9761+Sens!J9782)*Sens!J9781/1000</f>
        <v>114.029037357864</v>
      </c>
      <c r="K9783" s="6" t="n">
        <f aca="false">(Sens!K9761+Sens!K9782)*Sens!K9781/1000</f>
        <v>113.437085350975</v>
      </c>
    </row>
    <row r="9784" customFormat="false" ht="17.15" hidden="false" customHeight="false" outlineLevel="0" collapsed="false">
      <c r="A9784" s="0" t="s">
        <v>996</v>
      </c>
      <c r="B9784" s="0" t="s">
        <v>98</v>
      </c>
      <c r="C9784" s="6" t="n">
        <f aca="false">Sens!C9761*self_build*tk_cxfac/1000</f>
        <v>6.2083</v>
      </c>
      <c r="D9784" s="6" t="n">
        <f aca="false">Sens!D9761*self_build*tk_cxfac/1000</f>
        <v>9.3758</v>
      </c>
      <c r="E9784" s="6" t="n">
        <f aca="false">Sens!E9761*self_build*tk_cxfac/1000</f>
        <v>18.6249</v>
      </c>
      <c r="F9784" s="6" t="n">
        <f aca="false">Sens!F9761*self_build*tk_cxfac/1000</f>
        <v>31.935179717</v>
      </c>
      <c r="G9784" s="6" t="n">
        <f aca="false">Sens!G9761*self_build*tk_cxfac/1000</f>
        <v>34.545199717</v>
      </c>
      <c r="H9784" s="6" t="n">
        <f aca="false">Sens!H9761*self_build*tk_cxfac/1000</f>
        <v>34.545199717</v>
      </c>
      <c r="I9784" s="6" t="n">
        <f aca="false">Sens!I9761*self_build*tk_cxfac/1000</f>
        <v>24.4782641361767</v>
      </c>
      <c r="J9784" s="6" t="n">
        <f aca="false">Sens!J9761*self_build*tk_cxfac/1000</f>
        <v>14.9008938380769</v>
      </c>
      <c r="K9784" s="6" t="n">
        <f aca="false">Sens!K9761*self_build*tk_cxfac/1000</f>
        <v>5.52576771375761</v>
      </c>
    </row>
    <row r="9785" customFormat="false" ht="17.15" hidden="false" customHeight="false" outlineLevel="0" collapsed="false">
      <c r="A9785" s="0" t="s">
        <v>997</v>
      </c>
      <c r="B9785" s="0" t="s">
        <v>98</v>
      </c>
      <c r="F9785" s="15" t="n">
        <f aca="false">capex_floor27-Sens!F9783-Sens!F9784-Sens!F9881</f>
        <v>-0.0295572598192848</v>
      </c>
      <c r="L9785" s="12" t="s">
        <v>998</v>
      </c>
    </row>
    <row r="9786" customFormat="false" ht="17.15" hidden="false" customHeight="false" outlineLevel="0" collapsed="false">
      <c r="A9786" s="0" t="s">
        <v>999</v>
      </c>
      <c r="B9786" s="0" t="s">
        <v>98</v>
      </c>
      <c r="F9786" s="6" t="n">
        <f aca="false">MAX(0,Sens!F9785)</f>
        <v>0</v>
      </c>
    </row>
    <row r="9787" customFormat="false" ht="17.15" hidden="false" customHeight="false" outlineLevel="0" collapsed="false">
      <c r="A9787" s="0" t="s">
        <v>1000</v>
      </c>
      <c r="B9787" s="0" t="s">
        <v>98</v>
      </c>
      <c r="C9787" s="6" t="n">
        <f aca="false">Sens!C9783</f>
        <v>22.5333845916667</v>
      </c>
      <c r="D9787" s="6" t="n">
        <f aca="false">Sens!D9783</f>
        <v>34.0300093833333</v>
      </c>
      <c r="E9787" s="6" t="n">
        <f aca="false">Sens!E9783</f>
        <v>67.600153775</v>
      </c>
      <c r="F9787" s="6" t="n">
        <f aca="false">Sens!F9783</f>
        <v>136.51872432512</v>
      </c>
      <c r="G9787" s="6" t="n">
        <f aca="false">Sens!G9783</f>
        <v>157.399275932048</v>
      </c>
      <c r="H9787" s="6" t="n">
        <f aca="false">Sens!H9783</f>
        <v>162.260804347512</v>
      </c>
      <c r="I9787" s="6" t="n">
        <f aca="false">Sens!I9783</f>
        <v>144.136569485434</v>
      </c>
      <c r="J9787" s="6" t="n">
        <f aca="false">Sens!J9783</f>
        <v>114.029037357864</v>
      </c>
      <c r="K9787" s="6" t="n">
        <f aca="false">Sens!K9783</f>
        <v>113.437085350975</v>
      </c>
    </row>
    <row r="9788" customFormat="false" ht="17.15" hidden="false" customHeight="false" outlineLevel="0" collapsed="false">
      <c r="A9788" s="0" t="s">
        <v>1001</v>
      </c>
      <c r="B9788" s="0" t="s">
        <v>98</v>
      </c>
      <c r="C9788" s="6" t="n">
        <f aca="false">Sens!C9787+Sens!C9784</f>
        <v>28.7416845916667</v>
      </c>
      <c r="D9788" s="6" t="n">
        <f aca="false">Sens!D9787+Sens!D9784</f>
        <v>43.4058093833333</v>
      </c>
      <c r="E9788" s="6" t="n">
        <f aca="false">Sens!E9787+Sens!E9784</f>
        <v>86.225053775</v>
      </c>
      <c r="F9788" s="6" t="n">
        <f aca="false">Sens!F9787+Sens!F9784</f>
        <v>168.45390404212</v>
      </c>
      <c r="G9788" s="6" t="n">
        <f aca="false">Sens!G9787+Sens!G9784</f>
        <v>191.944475649048</v>
      </c>
      <c r="H9788" s="6" t="n">
        <f aca="false">Sens!H9787+Sens!H9784</f>
        <v>196.806004064512</v>
      </c>
      <c r="I9788" s="6" t="n">
        <f aca="false">Sens!I9787+Sens!I9784</f>
        <v>168.61483362161</v>
      </c>
      <c r="J9788" s="6" t="n">
        <f aca="false">Sens!J9787+Sens!J9784</f>
        <v>128.92993119594</v>
      </c>
      <c r="K9788" s="6" t="n">
        <f aca="false">Sens!K9787+Sens!K9784</f>
        <v>118.962853064733</v>
      </c>
      <c r="L9788" s="12" t="s">
        <v>1002</v>
      </c>
    </row>
    <row r="9789" customFormat="false" ht="17.15" hidden="false" customHeight="false" outlineLevel="0" collapsed="false">
      <c r="A9789" s="0" t="s">
        <v>1003</v>
      </c>
      <c r="B9789" s="0" t="s">
        <v>98</v>
      </c>
      <c r="E9789" s="6" t="n">
        <f aca="false">(Sens!C9787*IF(2&lt;life_it,1,IF(2=life_it,0.5,0))+Sens!D9787*IF(1&lt;life_it,1,IF(1=life_it,0.5,0))+Sens!E9787*0.5)/life_it</f>
        <v>15.0605784770833</v>
      </c>
      <c r="F9789" s="6" t="n">
        <f aca="false">(Sens!C9787*IF(3&lt;life_it,1,IF(3=life_it,0.5,0))+Sens!D9787*IF(2&lt;life_it,1,IF(2=life_it,0.5,0))+Sens!E9787*IF(1&lt;life_it,1,IF(1=life_it,0.5,0))+Sens!F9787*0.5)/life_it</f>
        <v>32.0704849854266</v>
      </c>
      <c r="G9789" s="6" t="n">
        <f aca="false">(Sens!C9787*IF(4&lt;life_it,1,IF(4=life_it,0.5,0))+Sens!D9787*IF(3&lt;life_it,1,IF(3=life_it,0.5,0))+Sens!E9787*IF(2&lt;life_it,1,IF(2=life_it,0.5,0))+Sens!F9787*IF(1&lt;life_it,1,IF(1=life_it,0.5,0))+Sens!G9787*0.5)/life_it</f>
        <v>56.5636516735239</v>
      </c>
      <c r="H9789" s="6" t="n">
        <f aca="false">(Sens!C9787*IF(5&lt;life_it,1,IF(5=life_it,0.5,0))+Sens!D9787*IF(4&lt;life_it,1,IF(4=life_it,0.5,0))+Sens!E9787*IF(3&lt;life_it,1,IF(3=life_it,0.5,0))+Sens!F9787*IF(2&lt;life_it,1,IF(2=life_it,0.5,0))+Sens!G9787*IF(1&lt;life_it,1,IF(1=life_it,0.5,0))+Sens!H9787*0.5)/life_it</f>
        <v>83.2019916968207</v>
      </c>
      <c r="I9789" s="6" t="n">
        <f aca="false">(Sens!C9787*IF(6&lt;life_it,1,IF(6=life_it,0.5,0))+Sens!D9787*IF(5&lt;life_it,1,IF(5=life_it,0.5,0))+Sens!E9787*IF(4&lt;life_it,1,IF(4=life_it,0.5,0))+Sens!F9787*IF(3&lt;life_it,1,IF(3=life_it,0.5,0))+Sens!G9787*IF(2&lt;life_it,1,IF(2=life_it,0.5,0))+Sens!H9787*IF(1&lt;life_it,1,IF(1=life_it,0.5,0))+Sens!I9787*0.5)/life_it</f>
        <v>106.857324133594</v>
      </c>
      <c r="J9789" s="6" t="n">
        <f aca="false">(Sens!C9787*IF(7&lt;life_it,1,IF(7=life_it,0.5,0))+Sens!D9787*IF(6&lt;life_it,1,IF(6=life_it,0.5,0))+Sens!E9787*IF(5&lt;life_it,1,IF(5=life_it,0.5,0))+Sens!F9787*IF(4&lt;life_it,1,IF(4=life_it,0.5,0))+Sens!G9787*IF(3&lt;life_it,1,IF(3=life_it,0.5,0))+Sens!H9787*IF(2&lt;life_it,1,IF(2=life_it,0.5,0))+Sens!I9787*IF(1&lt;life_it,1,IF(1=life_it,0.5,0))+Sens!J9787*0.5)/life_it</f>
        <v>123.657508539285</v>
      </c>
      <c r="K9789" s="6" t="n">
        <f aca="false">(Sens!C9787*IF(8&lt;life_it,1,IF(8=life_it,0.5,0))+Sens!D9787*IF(7&lt;life_it,1,IF(7=life_it,0.5,0))+Sens!E9787*IF(6&lt;life_it,1,IF(6=life_it,0.5,0))+Sens!F9787*IF(5&lt;life_it,1,IF(5=life_it,0.5,0))+Sens!G9787*IF(4&lt;life_it,1,IF(4=life_it,0.5,0))+Sens!H9787*IF(3&lt;life_it,1,IF(3=life_it,0.5,0))+Sens!I9787*IF(2&lt;life_it,1,IF(2=life_it,0.5,0))+Sens!J9787*IF(1&lt;life_it,1,IF(1=life_it,0.5,0))+Sens!K9787*0.5)/life_it</f>
        <v>134.143838501827</v>
      </c>
    </row>
    <row r="9790" customFormat="false" ht="17.15" hidden="false" customHeight="false" outlineLevel="0" collapsed="false">
      <c r="A9790" s="0" t="s">
        <v>1004</v>
      </c>
      <c r="B9790" s="0" t="s">
        <v>98</v>
      </c>
      <c r="E9790" s="6" t="n">
        <f aca="false">(Sens!C9784*IF(2&lt;life_fac,1,IF(2=life_fac,0.5,0))+Sens!D9784*IF(1&lt;life_fac,1,IF(1=life_fac,0.5,0))+Sens!E9784*0.5)/life_fac</f>
        <v>1.2448275</v>
      </c>
      <c r="F9790" s="6" t="n">
        <f aca="false">(Sens!C9784*IF(3&lt;life_fac,1,IF(3=life_fac,0.5,0))+Sens!D9784*IF(2&lt;life_fac,1,IF(2=life_fac,0.5,0))+Sens!E9784*IF(1&lt;life_fac,1,IF(1=life_fac,0.5,0))+Sens!F9784*0.5)/life_fac</f>
        <v>2.508829492925</v>
      </c>
      <c r="G9790" s="6" t="n">
        <f aca="false">(Sens!C9784*IF(4&lt;life_fac,1,IF(4=life_fac,0.5,0))+Sens!D9784*IF(3&lt;life_fac,1,IF(3=life_fac,0.5,0))+Sens!E9784*IF(2&lt;life_fac,1,IF(2=life_fac,0.5,0))+Sens!F9784*IF(1&lt;life_fac,1,IF(1=life_fac,0.5,0))+Sens!G9784*0.5)/life_fac</f>
        <v>4.170838978775</v>
      </c>
      <c r="H9790" s="6" t="n">
        <f aca="false">(Sens!C9784*IF(5&lt;life_fac,1,IF(5=life_fac,0.5,0))+Sens!D9784*IF(4&lt;life_fac,1,IF(4=life_fac,0.5,0))+Sens!E9784*IF(3&lt;life_fac,1,IF(3=life_fac,0.5,0))+Sens!F9784*IF(2&lt;life_fac,1,IF(2=life_fac,0.5,0))+Sens!G9784*IF(1&lt;life_fac,1,IF(1=life_fac,0.5,0))+Sens!H9784*0.5)/life_fac</f>
        <v>5.898098964625</v>
      </c>
      <c r="I9790" s="6" t="n">
        <f aca="false">(Sens!C9784*IF(6&lt;life_fac,1,IF(6=life_fac,0.5,0))+Sens!D9784*IF(5&lt;life_fac,1,IF(5=life_fac,0.5,0))+Sens!E9784*IF(4&lt;life_fac,1,IF(4=life_fac,0.5,0))+Sens!F9784*IF(3&lt;life_fac,1,IF(3=life_fac,0.5,0))+Sens!G9784*IF(2&lt;life_fac,1,IF(2=life_fac,0.5,0))+Sens!H9784*IF(1&lt;life_fac,1,IF(1=life_fac,0.5,0))+Sens!I9784*0.5)/life_fac</f>
        <v>7.37368556095442</v>
      </c>
      <c r="J9790" s="6" t="n">
        <f aca="false">(Sens!C9784*IF(7&lt;life_fac,1,IF(7=life_fac,0.5,0))+Sens!D9784*IF(6&lt;life_fac,1,IF(6=life_fac,0.5,0))+Sens!E9784*IF(5&lt;life_fac,1,IF(5=life_fac,0.5,0))+Sens!F9784*IF(4&lt;life_fac,1,IF(4=life_fac,0.5,0))+Sens!G9784*IF(3&lt;life_fac,1,IF(3=life_fac,0.5,0))+Sens!H9784*IF(2&lt;life_fac,1,IF(2=life_fac,0.5,0))+Sens!I9784*IF(1&lt;life_fac,1,IF(1=life_fac,0.5,0))+Sens!J9784*0.5)/life_fac</f>
        <v>8.35816451031075</v>
      </c>
      <c r="K9790" s="6" t="n">
        <f aca="false">(Sens!C9784*IF(8&lt;life_fac,1,IF(8=life_fac,0.5,0))+Sens!D9784*IF(7&lt;life_fac,1,IF(7=life_fac,0.5,0))+Sens!E9784*IF(6&lt;life_fac,1,IF(6=life_fac,0.5,0))+Sens!F9784*IF(5&lt;life_fac,1,IF(5=life_fac,0.5,0))+Sens!G9784*IF(4&lt;life_fac,1,IF(4=life_fac,0.5,0))+Sens!H9784*IF(3&lt;life_fac,1,IF(3=life_fac,0.5,0))+Sens!I9784*IF(2&lt;life_fac,1,IF(2=life_fac,0.5,0))+Sens!J9784*IF(1&lt;life_fac,1,IF(1=life_fac,0.5,0))+Sens!K9784*0.5)/life_fac</f>
        <v>8.86883104910662</v>
      </c>
    </row>
    <row r="9791" customFormat="false" ht="17.15" hidden="false" customHeight="false" outlineLevel="0" collapsed="false">
      <c r="A9791" s="0" t="s">
        <v>1005</v>
      </c>
      <c r="B9791" s="0" t="s">
        <v>98</v>
      </c>
      <c r="E9791" s="6" t="n">
        <f aca="false">Sens!E9789+Sens!E9790</f>
        <v>16.3054059770833</v>
      </c>
      <c r="F9791" s="6" t="n">
        <f aca="false">Sens!F9789+Sens!F9790</f>
        <v>34.5793144783516</v>
      </c>
      <c r="G9791" s="6" t="n">
        <f aca="false">Sens!G9789+Sens!G9790</f>
        <v>60.7344906522989</v>
      </c>
      <c r="H9791" s="6" t="n">
        <f aca="false">Sens!H9789+Sens!H9790</f>
        <v>89.1000906614457</v>
      </c>
      <c r="I9791" s="6" t="n">
        <f aca="false">Sens!I9789+Sens!I9790</f>
        <v>114.231009694548</v>
      </c>
      <c r="J9791" s="6" t="n">
        <f aca="false">Sens!J9789+Sens!J9790</f>
        <v>132.015673049596</v>
      </c>
      <c r="K9791" s="6" t="n">
        <f aca="false">Sens!K9789+Sens!K9790</f>
        <v>143.012669550934</v>
      </c>
    </row>
    <row r="9792" customFormat="false" ht="17.15" hidden="false" customHeight="false" outlineLevel="0" collapsed="false">
      <c r="A9792" s="0" t="s">
        <v>1006</v>
      </c>
      <c r="B9792" s="0" t="s">
        <v>98</v>
      </c>
      <c r="E9792" s="6" t="n">
        <f aca="false">Sens!E9779-Sens!E9778*Sens!E9791</f>
        <v>8.92707889977379</v>
      </c>
      <c r="F9792" s="6" t="n">
        <f aca="false">Sens!F9779-Sens!F9778*Sens!F9791</f>
        <v>22.4686207259278</v>
      </c>
      <c r="G9792" s="6" t="n">
        <f aca="false">Sens!G9779-Sens!G9778*Sens!G9791</f>
        <v>43.2797528675735</v>
      </c>
      <c r="H9792" s="6" t="n">
        <f aca="false">Sens!H9779-Sens!H9778*Sens!H9791</f>
        <v>69.3477099347341</v>
      </c>
      <c r="I9792" s="6" t="n">
        <f aca="false">Sens!I9779-Sens!I9778*Sens!I9791</f>
        <v>86.8523667140836</v>
      </c>
      <c r="J9792" s="6" t="n">
        <f aca="false">Sens!J9779-Sens!J9778*Sens!J9791</f>
        <v>98.9882647234202</v>
      </c>
      <c r="K9792" s="6" t="n">
        <f aca="false">Sens!K9779-Sens!K9778*Sens!K9791</f>
        <v>106.918985011399</v>
      </c>
    </row>
    <row r="9793" customFormat="false" ht="17.15" hidden="false" customHeight="false" outlineLevel="0" collapsed="false">
      <c r="A9793" s="3" t="s">
        <v>1856</v>
      </c>
    </row>
    <row r="9794" customFormat="false" ht="15" hidden="false" customHeight="false" outlineLevel="0" collapsed="false">
      <c r="A9794" s="4" t="s">
        <v>43</v>
      </c>
      <c r="B9794" s="4" t="s">
        <v>65</v>
      </c>
      <c r="C9794" s="23" t="s">
        <v>942</v>
      </c>
      <c r="D9794" s="23" t="s">
        <v>943</v>
      </c>
      <c r="E9794" s="23" t="s">
        <v>944</v>
      </c>
      <c r="F9794" s="23" t="s">
        <v>945</v>
      </c>
      <c r="G9794" s="23" t="s">
        <v>946</v>
      </c>
      <c r="H9794" s="23" t="s">
        <v>947</v>
      </c>
      <c r="I9794" s="23" t="s">
        <v>948</v>
      </c>
      <c r="J9794" s="23" t="s">
        <v>949</v>
      </c>
      <c r="K9794" s="23" t="s">
        <v>950</v>
      </c>
      <c r="L9794" s="4" t="s">
        <v>47</v>
      </c>
    </row>
    <row r="9795" customFormat="false" ht="17.15" hidden="false" customHeight="false" outlineLevel="0" collapsed="false">
      <c r="A9795" s="0" t="s">
        <v>1025</v>
      </c>
      <c r="B9795" s="0" t="s">
        <v>98</v>
      </c>
      <c r="D9795" s="6" t="n">
        <f aca="false">Sens!D9773</f>
        <v>12.9359794422418</v>
      </c>
      <c r="E9795" s="6" t="n">
        <f aca="false">Sens!E9773</f>
        <v>27.8095064661409</v>
      </c>
      <c r="F9795" s="6" t="n">
        <f aca="false">Sens!F9773</f>
        <v>59.1034165651511</v>
      </c>
      <c r="G9795" s="6" t="n">
        <f aca="false">Sens!G9773</f>
        <v>103.451498789198</v>
      </c>
      <c r="H9795" s="6" t="n">
        <f aca="false">Sens!H9773</f>
        <v>153.816719989035</v>
      </c>
      <c r="I9795" s="6" t="n">
        <f aca="false">Sens!I9773</f>
        <v>192.699478690852</v>
      </c>
      <c r="J9795" s="6" t="n">
        <f aca="false">Sens!J9773</f>
        <v>219.794102584244</v>
      </c>
      <c r="K9795" s="6" t="n">
        <f aca="false">Sens!K9773</f>
        <v>236.757046905022</v>
      </c>
    </row>
    <row r="9796" customFormat="false" ht="17.15" hidden="false" customHeight="false" outlineLevel="0" collapsed="false">
      <c r="A9796" s="0" t="s">
        <v>1026</v>
      </c>
      <c r="B9796" s="0" t="s">
        <v>98</v>
      </c>
      <c r="D9796" s="6" t="n">
        <f aca="false">Q!L6-Sens!D9795</f>
        <v>59.6740205577583</v>
      </c>
      <c r="E9796" s="6" t="n">
        <f aca="false">Q!M6-Sens!E9795</f>
        <v>74.1284935338591</v>
      </c>
      <c r="F9796" s="6" t="n">
        <f aca="false">Q!$I$6+(Sens!F9795+Sens!E9796*(1+Sens!F9797))*(1-Q!$E$6/Q!M6)-Sens!F9795</f>
        <v>90.8722753324836</v>
      </c>
      <c r="G9796" s="6" t="n">
        <f aca="false">Sens!F9796*(1+Sens!G9797)</f>
        <v>109.181456606918</v>
      </c>
      <c r="H9796" s="6" t="n">
        <f aca="false">Sens!G9796*(1+Sens!H9797)</f>
        <v>128.955522190971</v>
      </c>
      <c r="I9796" s="6" t="n">
        <f aca="false">Sens!H9796*(1+Sens!I9797)</f>
        <v>149.683999741092</v>
      </c>
      <c r="J9796" s="6" t="n">
        <f aca="false">Sens!I9796*(1+Sens!J9797)</f>
        <v>170.695239656238</v>
      </c>
      <c r="K9796" s="6" t="n">
        <f aca="false">Sens!J9796*(1+Sens!K9797)</f>
        <v>191.178668414987</v>
      </c>
      <c r="L9796" s="12" t="s">
        <v>1027</v>
      </c>
    </row>
    <row r="9797" customFormat="false" ht="15" hidden="false" customHeight="false" outlineLevel="0" collapsed="false">
      <c r="A9797" s="1" t="s">
        <v>1028</v>
      </c>
      <c r="B9797" s="0" t="s">
        <v>168</v>
      </c>
      <c r="E9797" s="7" t="n">
        <f aca="false">Sens!E9796/Sens!D9796-1</f>
        <v>0.242223883039864</v>
      </c>
      <c r="F9797" s="7" t="n">
        <f aca="false">Sens!$E$9797+(glt_azo_hi-Sens!$E$9797)*MIN(1,(Sens!F9754-base_fy)/n_conv)</f>
        <v>0.221853235866554</v>
      </c>
      <c r="G9797" s="7" t="n">
        <f aca="false">Sens!$E$9797+(glt_azo_hi-Sens!$E$9797)*MIN(1,(Sens!G9754-base_fy)/n_conv)</f>
        <v>0.201482588693243</v>
      </c>
      <c r="H9797" s="7" t="n">
        <f aca="false">Sens!$E$9797+(glt_azo_hi-Sens!$E$9797)*MIN(1,(Sens!H9754-base_fy)/n_conv)</f>
        <v>0.181111941519932</v>
      </c>
      <c r="I9797" s="7" t="n">
        <f aca="false">Sens!$E$9797+(glt_azo_hi-Sens!$E$9797)*MIN(1,(Sens!I9754-base_fy)/n_conv)</f>
        <v>0.160741294346622</v>
      </c>
      <c r="J9797" s="7" t="n">
        <f aca="false">Sens!$E$9797+(glt_azo_hi-Sens!$E$9797)*MIN(1,(Sens!J9754-base_fy)/n_conv)</f>
        <v>0.140370647173311</v>
      </c>
      <c r="K9797" s="7" t="n">
        <f aca="false">Sens!$E$9797+(glt_azo_hi-Sens!$E$9797)*MIN(1,(Sens!K9754-base_fy)/n_conv)</f>
        <v>0.12</v>
      </c>
    </row>
    <row r="9798" customFormat="false" ht="15" hidden="false" customHeight="false" outlineLevel="0" collapsed="false">
      <c r="A9798" s="0" t="s">
        <v>1029</v>
      </c>
      <c r="B9798" s="0" t="s">
        <v>98</v>
      </c>
      <c r="D9798" s="6" t="n">
        <f aca="false">Sens!D9795+Sens!D9796</f>
        <v>72.61</v>
      </c>
      <c r="E9798" s="6" t="n">
        <f aca="false">Sens!E9795+Sens!E9796</f>
        <v>101.938</v>
      </c>
      <c r="F9798" s="6" t="n">
        <f aca="false">Sens!F9795+Sens!F9796</f>
        <v>149.975691897635</v>
      </c>
      <c r="G9798" s="6" t="n">
        <f aca="false">Sens!G9795+Sens!G9796</f>
        <v>212.632955396116</v>
      </c>
      <c r="H9798" s="6" t="n">
        <f aca="false">Sens!H9795+Sens!H9796</f>
        <v>282.772242180006</v>
      </c>
      <c r="I9798" s="6" t="n">
        <f aca="false">Sens!I9795+Sens!I9796</f>
        <v>342.383478431944</v>
      </c>
      <c r="J9798" s="6" t="n">
        <f aca="false">Sens!J9795+Sens!J9796</f>
        <v>390.489342240482</v>
      </c>
      <c r="K9798" s="6" t="n">
        <f aca="false">Sens!K9795+Sens!K9796</f>
        <v>427.935715320009</v>
      </c>
    </row>
    <row r="9799" customFormat="false" ht="17.15" hidden="false" customHeight="false" outlineLevel="0" collapsed="false">
      <c r="A9799" s="0" t="s">
        <v>1030</v>
      </c>
      <c r="B9799" s="1" t="s">
        <v>613</v>
      </c>
      <c r="C9799" s="30" t="n">
        <f aca="false">cop_s24</f>
        <v>1</v>
      </c>
      <c r="D9799" s="30" t="n">
        <f aca="false">cop_s25</f>
        <v>5</v>
      </c>
      <c r="E9799" s="30" t="n">
        <f aca="false">cop_s26</f>
        <v>30</v>
      </c>
      <c r="F9799" s="30" t="n">
        <f aca="false">Sens!E9799+cop_add_A</f>
        <v>60</v>
      </c>
      <c r="G9799" s="30" t="n">
        <f aca="false">Sens!F9799+cop_add_A</f>
        <v>90</v>
      </c>
      <c r="H9799" s="30" t="n">
        <f aca="false">Sens!G9799+cop_add_A</f>
        <v>120</v>
      </c>
      <c r="I9799" s="30" t="n">
        <f aca="false">Sens!H9799+cop_add_A*cop_tail</f>
        <v>135</v>
      </c>
      <c r="J9799" s="30" t="n">
        <f aca="false">Sens!I9799+cop_add_A*cop_tail</f>
        <v>150</v>
      </c>
      <c r="K9799" s="30" t="n">
        <f aca="false">Sens!J9799+cop_add_A*cop_tail</f>
        <v>165</v>
      </c>
      <c r="L9799" s="12" t="s">
        <v>1031</v>
      </c>
    </row>
    <row r="9800" customFormat="false" ht="17.15" hidden="false" customHeight="false" outlineLevel="0" collapsed="false">
      <c r="A9800" s="0" t="s">
        <v>1032</v>
      </c>
      <c r="B9800" s="0" t="s">
        <v>98</v>
      </c>
      <c r="D9800" s="6" t="n">
        <f aca="false">(Sens!C9799+Sens!D9799)/2*cop_px*12/1000</f>
        <v>0.9</v>
      </c>
      <c r="E9800" s="6" t="n">
        <f aca="false">(Sens!D9799+Sens!E9799)/2*cop_px*12/1000</f>
        <v>5.25</v>
      </c>
      <c r="F9800" s="6" t="n">
        <f aca="false">(Sens!E9799+Sens!F9799)/2*cop_px*12/1000</f>
        <v>13.5</v>
      </c>
      <c r="G9800" s="6" t="n">
        <f aca="false">(Sens!F9799+Sens!G9799)/2*cop_px*12/1000</f>
        <v>22.5</v>
      </c>
      <c r="H9800" s="6" t="n">
        <f aca="false">(Sens!G9799+Sens!H9799)/2*cop_px*12/1000</f>
        <v>31.5</v>
      </c>
      <c r="I9800" s="6" t="n">
        <f aca="false">(Sens!H9799+Sens!I9799)/2*cop_px*12/1000</f>
        <v>38.25</v>
      </c>
      <c r="J9800" s="6" t="n">
        <f aca="false">(Sens!I9799+Sens!J9799)/2*cop_px*12/1000</f>
        <v>42.75</v>
      </c>
      <c r="K9800" s="6" t="n">
        <f aca="false">(Sens!J9799+Sens!K9799)/2*cop_px*12/1000</f>
        <v>47.25</v>
      </c>
      <c r="L9800" s="1" t="s">
        <v>1033</v>
      </c>
    </row>
    <row r="9801" customFormat="false" ht="17.15" hidden="false" customHeight="false" outlineLevel="0" collapsed="false">
      <c r="A9801" s="0" t="s">
        <v>1034</v>
      </c>
      <c r="B9801" s="0" t="s">
        <v>98</v>
      </c>
      <c r="D9801" s="6" t="n">
        <f aca="false">Q!L7-Sens!D9800</f>
        <v>83.705</v>
      </c>
      <c r="E9801" s="6" t="n">
        <f aca="false">Q!M7-Sens!E9800</f>
        <v>95.049</v>
      </c>
      <c r="F9801" s="6" t="n">
        <f aca="false">Q!$I$7+(Sens!E9801*(1+Sens!F9802)+Sens!F9800)*(1-Q!$E$7/Q!M7)-Sens!F9800</f>
        <v>106.229653205718</v>
      </c>
      <c r="G9801" s="6" t="n">
        <f aca="false">Sens!F9801*(1+Sens!G9802)</f>
        <v>118.306092647576</v>
      </c>
      <c r="H9801" s="6" t="n">
        <f aca="false">Sens!G9801*(1+Sens!H9802)</f>
        <v>130.463437602768</v>
      </c>
      <c r="I9801" s="6" t="n">
        <f aca="false">Sens!H9801*(1+Sens!I9802)</f>
        <v>142.445354741933</v>
      </c>
      <c r="J9801" s="6" t="n">
        <f aca="false">Sens!I9801*(1+Sens!J9802)</f>
        <v>153.972117481571</v>
      </c>
      <c r="K9801" s="6" t="n">
        <f aca="false">Sens!J9801*(1+Sens!K9802)</f>
        <v>164.75016570528</v>
      </c>
      <c r="L9801" s="12" t="s">
        <v>1035</v>
      </c>
    </row>
    <row r="9802" customFormat="false" ht="15" hidden="false" customHeight="false" outlineLevel="0" collapsed="false">
      <c r="A9802" s="1" t="s">
        <v>1028</v>
      </c>
      <c r="B9802" s="0" t="s">
        <v>168</v>
      </c>
      <c r="E9802" s="7" t="n">
        <f aca="false">Sens!E9801/Sens!D9801-1</f>
        <v>0.135523564900544</v>
      </c>
      <c r="F9802" s="7" t="n">
        <f aca="false">Sens!$E$9802+(glt_m365b-Sens!$E$9802)*MIN(1,(Sens!F9754-base_fy)/n_conv)</f>
        <v>0.124602970750453</v>
      </c>
      <c r="G9802" s="7" t="n">
        <f aca="false">Sens!$E$9802+(glt_m365b-Sens!$E$9802)*MIN(1,(Sens!G9754-base_fy)/n_conv)</f>
        <v>0.113682376600363</v>
      </c>
      <c r="H9802" s="7" t="n">
        <f aca="false">Sens!$E$9802+(glt_m365b-Sens!$E$9802)*MIN(1,(Sens!H9754-base_fy)/n_conv)</f>
        <v>0.102761782450272</v>
      </c>
      <c r="I9802" s="7" t="n">
        <f aca="false">Sens!$E$9802+(glt_m365b-Sens!$E$9802)*MIN(1,(Sens!I9754-base_fy)/n_conv)</f>
        <v>0.0918411883001813</v>
      </c>
      <c r="J9802" s="7" t="n">
        <f aca="false">Sens!$E$9802+(glt_m365b-Sens!$E$9802)*MIN(1,(Sens!J9754-base_fy)/n_conv)</f>
        <v>0.0809205941500906</v>
      </c>
      <c r="K9802" s="7" t="n">
        <f aca="false">Sens!$E$9802+(glt_m365b-Sens!$E$9802)*MIN(1,(Sens!K9754-base_fy)/n_conv)</f>
        <v>0.07</v>
      </c>
    </row>
    <row r="9803" customFormat="false" ht="15" hidden="false" customHeight="false" outlineLevel="0" collapsed="false">
      <c r="A9803" s="0" t="s">
        <v>1036</v>
      </c>
      <c r="B9803" s="0" t="s">
        <v>98</v>
      </c>
      <c r="D9803" s="6" t="n">
        <f aca="false">Sens!D9801+Sens!D9800</f>
        <v>84.605</v>
      </c>
      <c r="E9803" s="6" t="n">
        <f aca="false">Sens!E9801+Sens!E9800</f>
        <v>100.299</v>
      </c>
      <c r="F9803" s="6" t="n">
        <f aca="false">Sens!F9801+Sens!F9800</f>
        <v>119.729653205718</v>
      </c>
      <c r="G9803" s="6" t="n">
        <f aca="false">Sens!G9801+Sens!G9800</f>
        <v>140.806092647576</v>
      </c>
      <c r="H9803" s="6" t="n">
        <f aca="false">Sens!H9801+Sens!H9800</f>
        <v>161.963437602768</v>
      </c>
      <c r="I9803" s="6" t="n">
        <f aca="false">Sens!I9801+Sens!I9800</f>
        <v>180.695354741933</v>
      </c>
      <c r="J9803" s="6" t="n">
        <f aca="false">Sens!J9801+Sens!J9800</f>
        <v>196.722117481571</v>
      </c>
      <c r="K9803" s="6" t="n">
        <f aca="false">Sens!K9801+Sens!K9800</f>
        <v>212.00016570528</v>
      </c>
    </row>
    <row r="9804" customFormat="false" ht="17.15" hidden="false" customHeight="false" outlineLevel="0" collapsed="false">
      <c r="A9804" s="0" t="s">
        <v>1037</v>
      </c>
      <c r="B9804" s="0" t="s">
        <v>98</v>
      </c>
      <c r="D9804" s="6" t="n">
        <f aca="false">Q!L8</f>
        <v>35.391</v>
      </c>
      <c r="E9804" s="6" t="n">
        <f aca="false">Q!M8</f>
        <v>37.285</v>
      </c>
      <c r="F9804" s="6" t="n">
        <f aca="false">Q!$I$8+(Q!M8-Q!$E$8)*(1+Sens!F9805)</f>
        <v>38.3851437782675</v>
      </c>
      <c r="G9804" s="6" t="n">
        <f aca="false">Sens!F9804*(1+Sens!G9805)</f>
        <v>40.0105353288615</v>
      </c>
      <c r="H9804" s="6" t="n">
        <f aca="false">Sens!G9804*(1+Sens!H9805)</f>
        <v>41.4812512033683</v>
      </c>
      <c r="I9804" s="6" t="n">
        <f aca="false">Sens!H9804*(1+Sens!I9805)</f>
        <v>42.7743107216329</v>
      </c>
      <c r="J9804" s="6" t="n">
        <f aca="false">Sens!I9804*(1+Sens!J9805)</f>
        <v>43.8687373064601</v>
      </c>
      <c r="K9804" s="6" t="n">
        <f aca="false">Sens!J9804*(1+Sens!K9805)</f>
        <v>44.7461120525893</v>
      </c>
      <c r="L9804" s="12" t="s">
        <v>1038</v>
      </c>
    </row>
    <row r="9805" customFormat="false" ht="15" hidden="false" customHeight="false" outlineLevel="0" collapsed="false">
      <c r="A9805" s="1" t="s">
        <v>1028</v>
      </c>
      <c r="B9805" s="0" t="s">
        <v>168</v>
      </c>
      <c r="E9805" s="7" t="n">
        <f aca="false">Sens!E9804/Sens!D9804-1</f>
        <v>0.0535164307309768</v>
      </c>
      <c r="F9805" s="7" t="n">
        <f aca="false">Sens!$E$9805+(glt_lic-Sens!$E$9805)*MIN(1,(Sens!F9754-base_fy)/n_conv)</f>
        <v>0.0479303589424807</v>
      </c>
      <c r="G9805" s="7" t="n">
        <f aca="false">Sens!$E$9805+(glt_lic-Sens!$E$9805)*MIN(1,(Sens!G9754-base_fy)/n_conv)</f>
        <v>0.0423442871539845</v>
      </c>
      <c r="H9805" s="7" t="n">
        <f aca="false">Sens!$E$9805+(glt_lic-Sens!$E$9805)*MIN(1,(Sens!H9754-base_fy)/n_conv)</f>
        <v>0.0367582153654884</v>
      </c>
      <c r="I9805" s="7" t="n">
        <f aca="false">Sens!$E$9805+(glt_lic-Sens!$E$9805)*MIN(1,(Sens!I9754-base_fy)/n_conv)</f>
        <v>0.0311721435769923</v>
      </c>
      <c r="J9805" s="7" t="n">
        <f aca="false">Sens!$E$9805+(glt_lic-Sens!$E$9805)*MIN(1,(Sens!J9754-base_fy)/n_conv)</f>
        <v>0.0255860717884961</v>
      </c>
      <c r="K9805" s="7" t="n">
        <f aca="false">Sens!$E$9805+(glt_lic-Sens!$E$9805)*MIN(1,(Sens!K9754-base_fy)/n_conv)</f>
        <v>0.02</v>
      </c>
    </row>
    <row r="9806" customFormat="false" ht="17.15" hidden="false" customHeight="false" outlineLevel="0" collapsed="false">
      <c r="A9806" s="0" t="s">
        <v>1039</v>
      </c>
      <c r="B9806" s="0" t="s">
        <v>98</v>
      </c>
      <c r="D9806" s="6" t="n">
        <f aca="false">Q!L9</f>
        <v>18.417</v>
      </c>
      <c r="E9806" s="6" t="n">
        <f aca="false">Q!M9</f>
        <v>20.345</v>
      </c>
      <c r="F9806" s="6" t="n">
        <f aca="false">Q!$I$9+(Q!M9-Q!$E$9)*(1+Sens!F9807)</f>
        <v>22.3161797133988</v>
      </c>
      <c r="G9806" s="6" t="n">
        <f aca="false">Sens!F9806*(1+Sens!G9807)</f>
        <v>24.3943499673233</v>
      </c>
      <c r="H9806" s="6" t="n">
        <f aca="false">Sens!G9806*(1+Sens!H9807)</f>
        <v>26.5250243109019</v>
      </c>
      <c r="I9806" s="6" t="n">
        <f aca="false">Sens!H9806*(1+Sens!I9807)</f>
        <v>28.6884573538181</v>
      </c>
      <c r="J9806" s="6" t="n">
        <f aca="false">Sens!I9806*(1+Sens!J9807)</f>
        <v>30.8624968052127</v>
      </c>
      <c r="K9806" s="6" t="n">
        <f aca="false">Sens!J9806*(1+Sens!K9807)</f>
        <v>33.0228715815776</v>
      </c>
      <c r="L9806" s="12" t="s">
        <v>1038</v>
      </c>
    </row>
    <row r="9807" customFormat="false" ht="15" hidden="false" customHeight="false" outlineLevel="0" collapsed="false">
      <c r="A9807" s="1" t="s">
        <v>1028</v>
      </c>
      <c r="B9807" s="0" t="s">
        <v>168</v>
      </c>
      <c r="E9807" s="7" t="n">
        <f aca="false">Sens!E9806/Sens!D9806-1</f>
        <v>0.104685888038225</v>
      </c>
      <c r="F9807" s="7" t="n">
        <f aca="false">Sens!$E$9807+(glt_ind-Sens!$E$9807)*MIN(1,(Sens!F9754-base_fy)/n_conv)</f>
        <v>0.0989049066985211</v>
      </c>
      <c r="G9807" s="7" t="n">
        <f aca="false">Sens!$E$9807+(glt_ind-Sens!$E$9807)*MIN(1,(Sens!G9754-base_fy)/n_conv)</f>
        <v>0.0931239253588169</v>
      </c>
      <c r="H9807" s="7" t="n">
        <f aca="false">Sens!$E$9807+(glt_ind-Sens!$E$9807)*MIN(1,(Sens!H9754-base_fy)/n_conv)</f>
        <v>0.0873429440191127</v>
      </c>
      <c r="I9807" s="7" t="n">
        <f aca="false">Sens!$E$9807+(glt_ind-Sens!$E$9807)*MIN(1,(Sens!I9754-base_fy)/n_conv)</f>
        <v>0.0815619626794085</v>
      </c>
      <c r="J9807" s="7" t="n">
        <f aca="false">Sens!$E$9807+(glt_ind-Sens!$E$9807)*MIN(1,(Sens!J9754-base_fy)/n_conv)</f>
        <v>0.0757809813397042</v>
      </c>
      <c r="K9807" s="7" t="n">
        <f aca="false">Sens!$E$9807+(glt_ind-Sens!$E$9807)*MIN(1,(Sens!K9754-base_fy)/n_conv)</f>
        <v>0.07</v>
      </c>
    </row>
    <row r="9808" customFormat="false" ht="17.15" hidden="false" customHeight="false" outlineLevel="0" collapsed="false">
      <c r="A9808" s="0" t="s">
        <v>1040</v>
      </c>
      <c r="B9808" s="0" t="s">
        <v>98</v>
      </c>
      <c r="D9808" s="6" t="n">
        <f aca="false">Q!L10</f>
        <v>7.76</v>
      </c>
      <c r="E9808" s="6" t="n">
        <f aca="false">Q!M10</f>
        <v>8.26</v>
      </c>
      <c r="F9808" s="6" t="n">
        <f aca="false">Q!$I$10+(Q!M10-Q!$E$10)*(1+Sens!F9809)</f>
        <v>8.75372082474227</v>
      </c>
      <c r="G9808" s="6" t="n">
        <f aca="false">Sens!F9808*(1+Sens!G9809)</f>
        <v>9.33399324642364</v>
      </c>
      <c r="H9808" s="6" t="n">
        <f aca="false">Sens!G9808*(1+Sens!H9809)</f>
        <v>9.96139155535851</v>
      </c>
      <c r="I9808" s="6" t="n">
        <f aca="false">Sens!H9808*(1+Sens!I9809)</f>
        <v>10.6402039077391</v>
      </c>
      <c r="J9808" s="6" t="n">
        <f aca="false">Sens!I9808*(1+Sens!J9809)</f>
        <v>11.3751458271397</v>
      </c>
      <c r="K9808" s="6" t="n">
        <f aca="false">Sens!J9808*(1+Sens!K9809)</f>
        <v>12.1714060350394</v>
      </c>
      <c r="L9808" s="12" t="s">
        <v>1038</v>
      </c>
    </row>
    <row r="9809" customFormat="false" ht="15" hidden="false" customHeight="false" outlineLevel="0" collapsed="false">
      <c r="A9809" s="1" t="s">
        <v>1028</v>
      </c>
      <c r="B9809" s="0" t="s">
        <v>168</v>
      </c>
      <c r="E9809" s="7" t="n">
        <f aca="false">Sens!E9808/Sens!D9808-1</f>
        <v>0.0644329896907216</v>
      </c>
      <c r="F9809" s="7" t="n">
        <f aca="false">Sens!$E$9809+(glt_fro-Sens!$E$9809)*MIN(1,(Sens!F9754-base_fy)/n_conv)</f>
        <v>0.065360824742268</v>
      </c>
      <c r="G9809" s="7" t="n">
        <f aca="false">Sens!$E$9809+(glt_fro-Sens!$E$9809)*MIN(1,(Sens!G9754-base_fy)/n_conv)</f>
        <v>0.0662886597938144</v>
      </c>
      <c r="H9809" s="7" t="n">
        <f aca="false">Sens!$E$9809+(glt_fro-Sens!$E$9809)*MIN(1,(Sens!H9754-base_fy)/n_conv)</f>
        <v>0.0672164948453608</v>
      </c>
      <c r="I9809" s="7" t="n">
        <f aca="false">Sens!$E$9809+(glt_fro-Sens!$E$9809)*MIN(1,(Sens!I9754-base_fy)/n_conv)</f>
        <v>0.0681443298969072</v>
      </c>
      <c r="J9809" s="7" t="n">
        <f aca="false">Sens!$E$9809+(glt_fro-Sens!$E$9809)*MIN(1,(Sens!J9754-base_fy)/n_conv)</f>
        <v>0.0690721649484536</v>
      </c>
      <c r="K9809" s="7" t="n">
        <f aca="false">Sens!$E$9809+(glt_fro-Sens!$E$9809)*MIN(1,(Sens!K9754-base_fy)/n_conv)</f>
        <v>0.07</v>
      </c>
    </row>
    <row r="9810" customFormat="false" ht="15" hidden="false" customHeight="false" outlineLevel="0" collapsed="false">
      <c r="A9810" s="0" t="s">
        <v>856</v>
      </c>
      <c r="B9810" s="0" t="s">
        <v>98</v>
      </c>
      <c r="D9810" s="6" t="n">
        <f aca="false">Sens!D9798+Sens!D9803+Sens!D9804+Sens!D9806+Sens!D9808</f>
        <v>218.783</v>
      </c>
      <c r="E9810" s="6" t="n">
        <f aca="false">Sens!E9798+Sens!E9803+Sens!E9804+Sens!E9806+Sens!E9808</f>
        <v>268.127</v>
      </c>
      <c r="F9810" s="6" t="n">
        <f aca="false">Sens!F9798+Sens!F9803+Sens!F9804+Sens!F9806+Sens!F9808</f>
        <v>339.160389419761</v>
      </c>
      <c r="G9810" s="6" t="n">
        <f aca="false">Sens!G9798+Sens!G9803+Sens!G9804+Sens!G9806+Sens!G9808</f>
        <v>427.177926586301</v>
      </c>
      <c r="H9810" s="6" t="n">
        <f aca="false">Sens!H9798+Sens!H9803+Sens!H9804+Sens!H9806+Sens!H9808</f>
        <v>522.703346852403</v>
      </c>
      <c r="I9810" s="6" t="n">
        <f aca="false">Sens!I9798+Sens!I9803+Sens!I9804+Sens!I9806+Sens!I9808</f>
        <v>605.181805157067</v>
      </c>
      <c r="J9810" s="6" t="n">
        <f aca="false">Sens!J9798+Sens!J9803+Sens!J9804+Sens!J9806+Sens!J9808</f>
        <v>673.317839660865</v>
      </c>
      <c r="K9810" s="6" t="n">
        <f aca="false">Sens!K9798+Sens!K9803+Sens!K9804+Sens!K9806+Sens!K9808</f>
        <v>729.876270694496</v>
      </c>
    </row>
    <row r="9811" customFormat="false" ht="17.15" hidden="false" customHeight="false" outlineLevel="0" collapsed="false">
      <c r="A9811" s="0" t="s">
        <v>1041</v>
      </c>
      <c r="B9811" s="0" t="s">
        <v>98</v>
      </c>
      <c r="D9811" s="6" t="n">
        <f aca="false">Q!L13</f>
        <v>22.171</v>
      </c>
      <c r="E9811" s="6" t="n">
        <f aca="false">Q!M13</f>
        <v>24.835</v>
      </c>
      <c r="F9811" s="6" t="n">
        <f aca="false">Q!$I$13+(Q!M13-Q!$E$13)*(1+Sens!F9812)</f>
        <v>27.5591895660247</v>
      </c>
      <c r="G9811" s="6" t="n">
        <f aca="false">Sens!F9811*(1+Sens!G9812)</f>
        <v>30.4098563144583</v>
      </c>
      <c r="H9811" s="6" t="n">
        <f aca="false">Sens!G9811*(1+Sens!H9812)</f>
        <v>33.3011792571777</v>
      </c>
      <c r="I9811" s="6" t="n">
        <f aca="false">Sens!H9811*(1+Sens!I9812)</f>
        <v>36.189023797112</v>
      </c>
      <c r="J9811" s="6" t="n">
        <f aca="false">Sens!I9811*(1+Sens!J9812)</f>
        <v>39.0247773769199</v>
      </c>
      <c r="K9811" s="6" t="n">
        <f aca="false">Sens!J9811*(1+Sens!K9812)</f>
        <v>41.7565117933043</v>
      </c>
      <c r="L9811" s="12" t="s">
        <v>1038</v>
      </c>
    </row>
    <row r="9812" customFormat="false" ht="15" hidden="false" customHeight="false" outlineLevel="0" collapsed="false">
      <c r="A9812" s="1" t="s">
        <v>1028</v>
      </c>
      <c r="B9812" s="0" t="s">
        <v>168</v>
      </c>
      <c r="E9812" s="7" t="n">
        <f aca="false">Sens!E9811/Sens!D9811-1</f>
        <v>0.120156961796942</v>
      </c>
      <c r="F9812" s="7" t="n">
        <f aca="false">Sens!$E$9812+(glt_srch-Sens!$E$9812)*MIN(1,(Sens!F9754-base_fy)/n_conv)</f>
        <v>0.111797468164118</v>
      </c>
      <c r="G9812" s="7" t="n">
        <f aca="false">Sens!$E$9812+(glt_srch-Sens!$E$9812)*MIN(1,(Sens!G9754-base_fy)/n_conv)</f>
        <v>0.103437974531295</v>
      </c>
      <c r="H9812" s="7" t="n">
        <f aca="false">Sens!$E$9812+(glt_srch-Sens!$E$9812)*MIN(1,(Sens!H9754-base_fy)/n_conv)</f>
        <v>0.095078480898471</v>
      </c>
      <c r="I9812" s="7" t="n">
        <f aca="false">Sens!$E$9812+(glt_srch-Sens!$E$9812)*MIN(1,(Sens!I9754-base_fy)/n_conv)</f>
        <v>0.0867189872656474</v>
      </c>
      <c r="J9812" s="7" t="n">
        <f aca="false">Sens!$E$9812+(glt_srch-Sens!$E$9812)*MIN(1,(Sens!J9754-base_fy)/n_conv)</f>
        <v>0.0783594936328237</v>
      </c>
      <c r="K9812" s="7" t="n">
        <f aca="false">Sens!$E$9812+(glt_srch-Sens!$E$9812)*MIN(1,(Sens!K9754-base_fy)/n_conv)</f>
        <v>0.07</v>
      </c>
    </row>
    <row r="9813" customFormat="false" ht="17.15" hidden="false" customHeight="false" outlineLevel="0" collapsed="false">
      <c r="A9813" s="0" t="s">
        <v>1042</v>
      </c>
      <c r="B9813" s="0" t="s">
        <v>98</v>
      </c>
      <c r="D9813" s="6" t="n">
        <f aca="false">Q!L14</f>
        <v>23.455</v>
      </c>
      <c r="E9813" s="6" t="n">
        <f aca="false">Q!M14</f>
        <v>21.79</v>
      </c>
      <c r="F9813" s="6" t="n">
        <f aca="false">Q!$I$14+(Q!M14-Q!$E$14)*(1+Sens!F9814)</f>
        <v>20.7520981041711</v>
      </c>
      <c r="G9813" s="6" t="n">
        <f aca="false">Sens!F9813*(1+Sens!G9814)</f>
        <v>19.9083593495882</v>
      </c>
      <c r="H9813" s="6" t="n">
        <f aca="false">Sens!G9813*(1+Sens!H9814)</f>
        <v>19.4008256265831</v>
      </c>
      <c r="I9813" s="6" t="n">
        <f aca="false">Sens!H9813*(1+Sens!I9814)</f>
        <v>19.200434522122</v>
      </c>
      <c r="J9813" s="6" t="n">
        <f aca="false">Sens!I9813*(1+Sens!J9814)</f>
        <v>19.2932782348507</v>
      </c>
      <c r="K9813" s="6" t="n">
        <f aca="false">Sens!J9813*(1+Sens!K9814)</f>
        <v>19.6791437995477</v>
      </c>
      <c r="L9813" s="12" t="s">
        <v>1038</v>
      </c>
    </row>
    <row r="9814" customFormat="false" ht="15" hidden="false" customHeight="false" outlineLevel="0" collapsed="false">
      <c r="A9814" s="1" t="s">
        <v>1028</v>
      </c>
      <c r="B9814" s="0" t="s">
        <v>168</v>
      </c>
      <c r="E9814" s="7" t="n">
        <f aca="false">Sens!E9813/Sens!D9813-1</f>
        <v>-0.0709869963760392</v>
      </c>
      <c r="F9814" s="7" t="n">
        <f aca="false">Sens!$E$9814+(glt_xbox-Sens!$E$9814)*MIN(1,(Sens!F9754-base_fy)/n_conv)</f>
        <v>-0.0558224969800327</v>
      </c>
      <c r="G9814" s="7" t="n">
        <f aca="false">Sens!$E$9814+(glt_xbox-Sens!$E$9814)*MIN(1,(Sens!G9754-base_fy)/n_conv)</f>
        <v>-0.0406579975840262</v>
      </c>
      <c r="H9814" s="7" t="n">
        <f aca="false">Sens!$E$9814+(glt_xbox-Sens!$E$9814)*MIN(1,(Sens!H9754-base_fy)/n_conv)</f>
        <v>-0.0254934981880196</v>
      </c>
      <c r="I9814" s="7" t="n">
        <f aca="false">Sens!$E$9814+(glt_xbox-Sens!$E$9814)*MIN(1,(Sens!I9754-base_fy)/n_conv)</f>
        <v>-0.0103289987920131</v>
      </c>
      <c r="J9814" s="7" t="n">
        <f aca="false">Sens!$E$9814+(glt_xbox-Sens!$E$9814)*MIN(1,(Sens!J9754-base_fy)/n_conv)</f>
        <v>0.00483550060399347</v>
      </c>
      <c r="K9814" s="7" t="n">
        <f aca="false">Sens!$E$9814+(glt_xbox-Sens!$E$9814)*MIN(1,(Sens!K9754-base_fy)/n_conv)</f>
        <v>0.02</v>
      </c>
    </row>
    <row r="9815" customFormat="false" ht="17.15" hidden="false" customHeight="false" outlineLevel="0" collapsed="false">
      <c r="A9815" s="0" t="s">
        <v>1043</v>
      </c>
      <c r="B9815" s="0" t="s">
        <v>98</v>
      </c>
      <c r="D9815" s="6" t="n">
        <f aca="false">Q!L15</f>
        <v>17.315</v>
      </c>
      <c r="E9815" s="6" t="n">
        <f aca="false">Q!M15</f>
        <v>17.087</v>
      </c>
      <c r="F9815" s="6" t="n">
        <f aca="false">Q!$I$15+(Q!M15-Q!$E$15)*(1+Sens!F9816)</f>
        <v>15.9912273250553</v>
      </c>
      <c r="G9815" s="6" t="n">
        <f aca="false">Sens!F9815*(1+Sens!G9816)</f>
        <v>15.9574562664827</v>
      </c>
      <c r="H9815" s="6" t="n">
        <f aca="false">Sens!G9815*(1+Sens!H9816)</f>
        <v>16.0119687434196</v>
      </c>
      <c r="I9815" s="6" t="n">
        <f aca="false">Sens!H9815*(1+Sens!I9816)</f>
        <v>16.1551810001948</v>
      </c>
      <c r="J9815" s="6" t="n">
        <f aca="false">Sens!I9815*(1+Sens!J9816)</f>
        <v>16.3889793892005</v>
      </c>
      <c r="K9815" s="6" t="n">
        <f aca="false">Sens!J9815*(1+Sens!K9816)</f>
        <v>16.7167589769845</v>
      </c>
      <c r="L9815" s="12" t="s">
        <v>1038</v>
      </c>
    </row>
    <row r="9816" customFormat="false" ht="15" hidden="false" customHeight="false" outlineLevel="0" collapsed="false">
      <c r="A9816" s="1" t="s">
        <v>1028</v>
      </c>
      <c r="B9816" s="0" t="s">
        <v>168</v>
      </c>
      <c r="E9816" s="7" t="n">
        <f aca="false">Sens!E9815/Sens!D9815-1</f>
        <v>-0.0131677736066995</v>
      </c>
      <c r="F9816" s="7" t="n">
        <f aca="false">Sens!$E$9816+(glt_win-Sens!$E$9816)*MIN(1,(Sens!F9754-base_fy)/n_conv)</f>
        <v>-0.00763981133891627</v>
      </c>
      <c r="G9816" s="7" t="n">
        <f aca="false">Sens!$E$9816+(glt_win-Sens!$E$9816)*MIN(1,(Sens!G9754-base_fy)/n_conv)</f>
        <v>-0.00211184907113301</v>
      </c>
      <c r="H9816" s="7" t="n">
        <f aca="false">Sens!$E$9816+(glt_win-Sens!$E$9816)*MIN(1,(Sens!H9754-base_fy)/n_conv)</f>
        <v>0.00341611319665024</v>
      </c>
      <c r="I9816" s="7" t="n">
        <f aca="false">Sens!$E$9816+(glt_win-Sens!$E$9816)*MIN(1,(Sens!I9754-base_fy)/n_conv)</f>
        <v>0.00894407546443349</v>
      </c>
      <c r="J9816" s="7" t="n">
        <f aca="false">Sens!$E$9816+(glt_win-Sens!$E$9816)*MIN(1,(Sens!J9754-base_fy)/n_conv)</f>
        <v>0.0144720377322168</v>
      </c>
      <c r="K9816" s="7" t="n">
        <f aca="false">Sens!$E$9816+(glt_win-Sens!$E$9816)*MIN(1,(Sens!K9754-base_fy)/n_conv)</f>
        <v>0.02</v>
      </c>
    </row>
    <row r="9817" customFormat="false" ht="15" hidden="false" customHeight="false" outlineLevel="0" collapsed="false">
      <c r="A9817" s="0" t="s">
        <v>870</v>
      </c>
      <c r="B9817" s="0" t="s">
        <v>98</v>
      </c>
      <c r="D9817" s="6" t="n">
        <f aca="false">Sens!D9811+Sens!D9813+Sens!D9815</f>
        <v>62.941</v>
      </c>
      <c r="E9817" s="6" t="n">
        <f aca="false">Sens!E9811+Sens!E9813+Sens!E9815</f>
        <v>63.712</v>
      </c>
      <c r="F9817" s="6" t="n">
        <f aca="false">Sens!F9811+Sens!F9813+Sens!F9815</f>
        <v>64.3025149952511</v>
      </c>
      <c r="G9817" s="6" t="n">
        <f aca="false">Sens!G9811+Sens!G9813+Sens!G9815</f>
        <v>66.2756719305292</v>
      </c>
      <c r="H9817" s="6" t="n">
        <f aca="false">Sens!H9811+Sens!H9813+Sens!H9815</f>
        <v>68.7139736271804</v>
      </c>
      <c r="I9817" s="6" t="n">
        <f aca="false">Sens!I9811+Sens!I9813+Sens!I9815</f>
        <v>71.5446393194289</v>
      </c>
      <c r="J9817" s="6" t="n">
        <f aca="false">Sens!J9811+Sens!J9813+Sens!J9815</f>
        <v>74.707035000971</v>
      </c>
      <c r="K9817" s="6" t="n">
        <f aca="false">Sens!K9811+Sens!K9813+Sens!K9815</f>
        <v>78.1524145698365</v>
      </c>
    </row>
    <row r="9818" customFormat="false" ht="15" hidden="false" customHeight="false" outlineLevel="0" collapsed="false">
      <c r="A9818" s="1" t="s">
        <v>1044</v>
      </c>
      <c r="B9818" s="0" t="s">
        <v>98</v>
      </c>
      <c r="D9818" s="6" t="n">
        <f aca="false">Sens!D9810+Sens!D9817</f>
        <v>281.724</v>
      </c>
      <c r="E9818" s="6" t="n">
        <f aca="false">Sens!E9810+Sens!E9817</f>
        <v>331.839</v>
      </c>
      <c r="F9818" s="6" t="n">
        <f aca="false">Sens!F9810+Sens!F9817</f>
        <v>403.462904415012</v>
      </c>
      <c r="G9818" s="6" t="n">
        <f aca="false">Sens!G9810+Sens!G9817</f>
        <v>493.45359851683</v>
      </c>
      <c r="H9818" s="6" t="n">
        <f aca="false">Sens!H9810+Sens!H9817</f>
        <v>591.417320479583</v>
      </c>
      <c r="I9818" s="6" t="n">
        <f aca="false">Sens!I9810+Sens!I9817</f>
        <v>676.726444476496</v>
      </c>
      <c r="J9818" s="6" t="n">
        <f aca="false">Sens!J9810+Sens!J9817</f>
        <v>748.024874661836</v>
      </c>
      <c r="K9818" s="6" t="n">
        <f aca="false">Sens!K9810+Sens!K9817</f>
        <v>808.028685264332</v>
      </c>
    </row>
    <row r="9819" customFormat="false" ht="15" hidden="false" customHeight="false" outlineLevel="0" collapsed="false">
      <c r="A9819" s="26" t="s">
        <v>1045</v>
      </c>
      <c r="B9819" s="31" t="s">
        <v>98</v>
      </c>
      <c r="C9819" s="31"/>
      <c r="D9819" s="27" t="n">
        <f aca="false">(Sens!D9798+Sens!D9803+Sens!D9804+Sens!D9806+Sens!D9808-Sens!D9810)+(Sens!D9811+Sens!D9813+Sens!D9815-Sens!D9817)+(Sens!D9810-Q!L5)+(Sens!D9817-Q!L12)+(Sens!D9798-Q!L6)+(Sens!D9803-Q!L7)</f>
        <v>0</v>
      </c>
      <c r="E9819" s="27" t="n">
        <f aca="false">(Sens!E9798+Sens!E9803+Sens!E9804+Sens!E9806+Sens!E9808-Sens!E9810)+(Sens!E9811+Sens!E9813+Sens!E9815-Sens!E9817)+(Sens!E9810-Q!M5)+(Sens!E9817-Q!M12)+(Sens!E9798-Q!M6)+(Sens!E9803-Q!M7)</f>
        <v>0</v>
      </c>
      <c r="F9819" s="27" t="n">
        <f aca="false">(Sens!F9798+Sens!F9803+Sens!F9804+Sens!F9806+Sens!F9808-Sens!F9810)+(Sens!F9811+Sens!F9813+Sens!F9815-Sens!F9817)</f>
        <v>0</v>
      </c>
      <c r="G9819" s="27" t="n">
        <f aca="false">(Sens!G9798+Sens!G9803+Sens!G9804+Sens!G9806+Sens!G9808-Sens!G9810)+(Sens!G9811+Sens!G9813+Sens!G9815-Sens!G9817)</f>
        <v>0</v>
      </c>
      <c r="H9819" s="27" t="n">
        <f aca="false">(Sens!H9798+Sens!H9803+Sens!H9804+Sens!H9806+Sens!H9808-Sens!H9810)+(Sens!H9811+Sens!H9813+Sens!H9815-Sens!H9817)</f>
        <v>0</v>
      </c>
      <c r="I9819" s="27" t="n">
        <f aca="false">(Sens!I9798+Sens!I9803+Sens!I9804+Sens!I9806+Sens!I9808-Sens!I9810)+(Sens!I9811+Sens!I9813+Sens!I9815-Sens!I9817)</f>
        <v>0</v>
      </c>
      <c r="J9819" s="27" t="n">
        <f aca="false">(Sens!J9798+Sens!J9803+Sens!J9804+Sens!J9806+Sens!J9808-Sens!J9810)+(Sens!J9811+Sens!J9813+Sens!J9815-Sens!J9817)</f>
        <v>0</v>
      </c>
      <c r="K9819" s="27" t="n">
        <f aca="false">(Sens!K9798+Sens!K9803+Sens!K9804+Sens!K9806+Sens!K9808-Sens!K9810)+(Sens!K9811+Sens!K9813+Sens!K9815-Sens!K9817)</f>
        <v>0</v>
      </c>
    </row>
    <row r="9820" customFormat="false" ht="17.15" hidden="false" customHeight="false" outlineLevel="0" collapsed="false">
      <c r="A9820" s="3" t="s">
        <v>1857</v>
      </c>
    </row>
    <row r="9821" customFormat="false" ht="15" hidden="false" customHeight="false" outlineLevel="0" collapsed="false">
      <c r="A9821" s="4" t="s">
        <v>43</v>
      </c>
      <c r="B9821" s="4" t="s">
        <v>65</v>
      </c>
      <c r="C9821" s="23" t="s">
        <v>942</v>
      </c>
      <c r="D9821" s="23" t="s">
        <v>943</v>
      </c>
      <c r="E9821" s="23" t="s">
        <v>944</v>
      </c>
      <c r="F9821" s="23" t="s">
        <v>945</v>
      </c>
      <c r="G9821" s="23" t="s">
        <v>946</v>
      </c>
      <c r="H9821" s="23" t="s">
        <v>947</v>
      </c>
      <c r="I9821" s="23" t="s">
        <v>948</v>
      </c>
      <c r="J9821" s="23" t="s">
        <v>949</v>
      </c>
      <c r="K9821" s="23" t="s">
        <v>950</v>
      </c>
      <c r="L9821" s="4" t="s">
        <v>47</v>
      </c>
    </row>
    <row r="9822" customFormat="false" ht="15" hidden="false" customHeight="false" outlineLevel="0" collapsed="false">
      <c r="A9822" s="0" t="s">
        <v>1029</v>
      </c>
      <c r="B9822" s="0" t="s">
        <v>98</v>
      </c>
      <c r="D9822" s="6" t="n">
        <f aca="false">Sens!D9798</f>
        <v>72.61</v>
      </c>
      <c r="E9822" s="6" t="n">
        <f aca="false">Sens!E9798</f>
        <v>101.938</v>
      </c>
      <c r="F9822" s="6" t="n">
        <f aca="false">Sens!F9798</f>
        <v>149.975691897635</v>
      </c>
      <c r="G9822" s="6" t="n">
        <f aca="false">Sens!G9798</f>
        <v>212.632955396116</v>
      </c>
      <c r="H9822" s="6" t="n">
        <f aca="false">Sens!H9798</f>
        <v>282.772242180006</v>
      </c>
      <c r="I9822" s="6" t="n">
        <f aca="false">Sens!I9798</f>
        <v>342.383478431944</v>
      </c>
      <c r="J9822" s="6" t="n">
        <f aca="false">Sens!J9798</f>
        <v>390.489342240482</v>
      </c>
      <c r="K9822" s="6" t="n">
        <f aca="false">Sens!K9798</f>
        <v>427.935715320009</v>
      </c>
    </row>
    <row r="9823" customFormat="false" ht="17.15" hidden="false" customHeight="false" outlineLevel="0" collapsed="false">
      <c r="A9823" s="0" t="s">
        <v>1025</v>
      </c>
      <c r="B9823" s="0" t="s">
        <v>98</v>
      </c>
      <c r="D9823" s="6" t="n">
        <f aca="false">Sens!D9795</f>
        <v>12.9359794422418</v>
      </c>
      <c r="E9823" s="6" t="n">
        <f aca="false">Sens!E9795</f>
        <v>27.8095064661409</v>
      </c>
      <c r="F9823" s="6" t="n">
        <f aca="false">Sens!F9795</f>
        <v>59.1034165651511</v>
      </c>
      <c r="G9823" s="6" t="n">
        <f aca="false">Sens!G9795</f>
        <v>103.451498789198</v>
      </c>
      <c r="H9823" s="6" t="n">
        <f aca="false">Sens!H9795</f>
        <v>153.816719989035</v>
      </c>
      <c r="I9823" s="6" t="n">
        <f aca="false">Sens!I9795</f>
        <v>192.699478690852</v>
      </c>
      <c r="J9823" s="6" t="n">
        <f aca="false">Sens!J9795</f>
        <v>219.794102584244</v>
      </c>
      <c r="K9823" s="6" t="n">
        <f aca="false">Sens!K9795</f>
        <v>236.757046905022</v>
      </c>
    </row>
    <row r="9824" customFormat="false" ht="17.15" hidden="false" customHeight="false" outlineLevel="0" collapsed="false">
      <c r="A9824" s="0" t="s">
        <v>1056</v>
      </c>
      <c r="B9824" s="0" t="s">
        <v>98</v>
      </c>
      <c r="D9824" s="6" t="n">
        <f aca="false">Sens!D9796</f>
        <v>59.6740205577583</v>
      </c>
      <c r="E9824" s="6" t="n">
        <f aca="false">Sens!E9796</f>
        <v>74.1284935338591</v>
      </c>
      <c r="F9824" s="6" t="n">
        <f aca="false">Sens!F9796</f>
        <v>90.8722753324836</v>
      </c>
      <c r="G9824" s="6" t="n">
        <f aca="false">Sens!G9796</f>
        <v>109.181456606918</v>
      </c>
      <c r="H9824" s="6" t="n">
        <f aca="false">Sens!H9796</f>
        <v>128.955522190971</v>
      </c>
      <c r="I9824" s="6" t="n">
        <f aca="false">Sens!I9796</f>
        <v>149.683999741092</v>
      </c>
      <c r="J9824" s="6" t="n">
        <f aca="false">Sens!J9796</f>
        <v>170.695239656238</v>
      </c>
      <c r="K9824" s="6" t="n">
        <f aca="false">Sens!K9796</f>
        <v>191.178668414987</v>
      </c>
    </row>
    <row r="9825" customFormat="false" ht="15" hidden="false" customHeight="false" outlineLevel="0" collapsed="false">
      <c r="A9825" s="0" t="s">
        <v>1036</v>
      </c>
      <c r="B9825" s="0" t="s">
        <v>98</v>
      </c>
      <c r="D9825" s="6" t="n">
        <f aca="false">Sens!D9803</f>
        <v>84.605</v>
      </c>
      <c r="E9825" s="6" t="n">
        <f aca="false">Sens!E9803</f>
        <v>100.299</v>
      </c>
      <c r="F9825" s="6" t="n">
        <f aca="false">Sens!F9803</f>
        <v>119.729653205718</v>
      </c>
      <c r="G9825" s="6" t="n">
        <f aca="false">Sens!G9803</f>
        <v>140.806092647576</v>
      </c>
      <c r="H9825" s="6" t="n">
        <f aca="false">Sens!H9803</f>
        <v>161.963437602768</v>
      </c>
      <c r="I9825" s="6" t="n">
        <f aca="false">Sens!I9803</f>
        <v>180.695354741933</v>
      </c>
      <c r="J9825" s="6" t="n">
        <f aca="false">Sens!J9803</f>
        <v>196.722117481571</v>
      </c>
      <c r="K9825" s="6" t="n">
        <f aca="false">Sens!K9803</f>
        <v>212.00016570528</v>
      </c>
    </row>
    <row r="9826" customFormat="false" ht="17.15" hidden="false" customHeight="false" outlineLevel="0" collapsed="false">
      <c r="A9826" s="0" t="s">
        <v>1057</v>
      </c>
      <c r="B9826" s="0" t="s">
        <v>98</v>
      </c>
      <c r="D9826" s="6" t="n">
        <f aca="false">Sens!D9801</f>
        <v>83.705</v>
      </c>
      <c r="E9826" s="6" t="n">
        <f aca="false">Sens!E9801</f>
        <v>95.049</v>
      </c>
      <c r="F9826" s="6" t="n">
        <f aca="false">Sens!F9801</f>
        <v>106.229653205718</v>
      </c>
      <c r="G9826" s="6" t="n">
        <f aca="false">Sens!G9801</f>
        <v>118.306092647576</v>
      </c>
      <c r="H9826" s="6" t="n">
        <f aca="false">Sens!H9801</f>
        <v>130.463437602768</v>
      </c>
      <c r="I9826" s="6" t="n">
        <f aca="false">Sens!I9801</f>
        <v>142.445354741933</v>
      </c>
      <c r="J9826" s="6" t="n">
        <f aca="false">Sens!J9801</f>
        <v>153.972117481571</v>
      </c>
      <c r="K9826" s="6" t="n">
        <f aca="false">Sens!K9801</f>
        <v>164.75016570528</v>
      </c>
    </row>
    <row r="9827" customFormat="false" ht="17.15" hidden="false" customHeight="false" outlineLevel="0" collapsed="false">
      <c r="A9827" s="0" t="s">
        <v>1058</v>
      </c>
      <c r="B9827" s="0" t="s">
        <v>98</v>
      </c>
      <c r="D9827" s="6" t="n">
        <f aca="false">Sens!D9800</f>
        <v>0.9</v>
      </c>
      <c r="E9827" s="6" t="n">
        <f aca="false">Sens!E9800</f>
        <v>5.25</v>
      </c>
      <c r="F9827" s="6" t="n">
        <f aca="false">Sens!F9800</f>
        <v>13.5</v>
      </c>
      <c r="G9827" s="6" t="n">
        <f aca="false">Sens!G9800</f>
        <v>22.5</v>
      </c>
      <c r="H9827" s="6" t="n">
        <f aca="false">Sens!H9800</f>
        <v>31.5</v>
      </c>
      <c r="I9827" s="6" t="n">
        <f aca="false">Sens!I9800</f>
        <v>38.25</v>
      </c>
      <c r="J9827" s="6" t="n">
        <f aca="false">Sens!J9800</f>
        <v>42.75</v>
      </c>
      <c r="K9827" s="6" t="n">
        <f aca="false">Sens!K9800</f>
        <v>47.25</v>
      </c>
    </row>
    <row r="9828" customFormat="false" ht="15" hidden="false" customHeight="false" outlineLevel="0" collapsed="false">
      <c r="A9828" s="0" t="s">
        <v>1037</v>
      </c>
      <c r="B9828" s="0" t="s">
        <v>98</v>
      </c>
      <c r="D9828" s="6" t="n">
        <f aca="false">Sens!D9804</f>
        <v>35.391</v>
      </c>
      <c r="E9828" s="6" t="n">
        <f aca="false">Sens!E9804</f>
        <v>37.285</v>
      </c>
      <c r="F9828" s="6" t="n">
        <f aca="false">Sens!F9804</f>
        <v>38.3851437782675</v>
      </c>
      <c r="G9828" s="6" t="n">
        <f aca="false">Sens!G9804</f>
        <v>40.0105353288615</v>
      </c>
      <c r="H9828" s="6" t="n">
        <f aca="false">Sens!H9804</f>
        <v>41.4812512033683</v>
      </c>
      <c r="I9828" s="6" t="n">
        <f aca="false">Sens!I9804</f>
        <v>42.7743107216329</v>
      </c>
      <c r="J9828" s="6" t="n">
        <f aca="false">Sens!J9804</f>
        <v>43.8687373064601</v>
      </c>
      <c r="K9828" s="6" t="n">
        <f aca="false">Sens!K9804</f>
        <v>44.7461120525893</v>
      </c>
    </row>
    <row r="9829" customFormat="false" ht="15" hidden="false" customHeight="false" outlineLevel="0" collapsed="false">
      <c r="A9829" s="0" t="s">
        <v>1039</v>
      </c>
      <c r="B9829" s="0" t="s">
        <v>98</v>
      </c>
      <c r="D9829" s="6" t="n">
        <f aca="false">Sens!D9806</f>
        <v>18.417</v>
      </c>
      <c r="E9829" s="6" t="n">
        <f aca="false">Sens!E9806</f>
        <v>20.345</v>
      </c>
      <c r="F9829" s="6" t="n">
        <f aca="false">Sens!F9806</f>
        <v>22.3161797133988</v>
      </c>
      <c r="G9829" s="6" t="n">
        <f aca="false">Sens!G9806</f>
        <v>24.3943499673233</v>
      </c>
      <c r="H9829" s="6" t="n">
        <f aca="false">Sens!H9806</f>
        <v>26.5250243109019</v>
      </c>
      <c r="I9829" s="6" t="n">
        <f aca="false">Sens!I9806</f>
        <v>28.6884573538181</v>
      </c>
      <c r="J9829" s="6" t="n">
        <f aca="false">Sens!J9806</f>
        <v>30.8624968052127</v>
      </c>
      <c r="K9829" s="6" t="n">
        <f aca="false">Sens!K9806</f>
        <v>33.0228715815776</v>
      </c>
    </row>
    <row r="9830" customFormat="false" ht="15" hidden="false" customHeight="false" outlineLevel="0" collapsed="false">
      <c r="A9830" s="0" t="s">
        <v>1040</v>
      </c>
      <c r="B9830" s="0" t="s">
        <v>98</v>
      </c>
      <c r="D9830" s="6" t="n">
        <f aca="false">Sens!D9808</f>
        <v>7.76</v>
      </c>
      <c r="E9830" s="6" t="n">
        <f aca="false">Sens!E9808</f>
        <v>8.26</v>
      </c>
      <c r="F9830" s="6" t="n">
        <f aca="false">Sens!F9808</f>
        <v>8.75372082474227</v>
      </c>
      <c r="G9830" s="6" t="n">
        <f aca="false">Sens!G9808</f>
        <v>9.33399324642364</v>
      </c>
      <c r="H9830" s="6" t="n">
        <f aca="false">Sens!H9808</f>
        <v>9.96139155535851</v>
      </c>
      <c r="I9830" s="6" t="n">
        <f aca="false">Sens!I9808</f>
        <v>10.6402039077391</v>
      </c>
      <c r="J9830" s="6" t="n">
        <f aca="false">Sens!J9808</f>
        <v>11.3751458271397</v>
      </c>
      <c r="K9830" s="6" t="n">
        <f aca="false">Sens!K9808</f>
        <v>12.1714060350394</v>
      </c>
    </row>
    <row r="9831" customFormat="false" ht="15" hidden="false" customHeight="false" outlineLevel="0" collapsed="false">
      <c r="A9831" s="0" t="s">
        <v>856</v>
      </c>
      <c r="B9831" s="0" t="s">
        <v>98</v>
      </c>
      <c r="D9831" s="6" t="n">
        <f aca="false">Sens!D9810</f>
        <v>218.783</v>
      </c>
      <c r="E9831" s="6" t="n">
        <f aca="false">Sens!E9810</f>
        <v>268.127</v>
      </c>
      <c r="F9831" s="6" t="n">
        <f aca="false">Sens!F9810</f>
        <v>339.160389419761</v>
      </c>
      <c r="G9831" s="6" t="n">
        <f aca="false">Sens!G9810</f>
        <v>427.177926586301</v>
      </c>
      <c r="H9831" s="6" t="n">
        <f aca="false">Sens!H9810</f>
        <v>522.703346852403</v>
      </c>
      <c r="I9831" s="6" t="n">
        <f aca="false">Sens!I9810</f>
        <v>605.181805157067</v>
      </c>
      <c r="J9831" s="6" t="n">
        <f aca="false">Sens!J9810</f>
        <v>673.317839660865</v>
      </c>
      <c r="K9831" s="6" t="n">
        <f aca="false">Sens!K9810</f>
        <v>729.876270694496</v>
      </c>
    </row>
    <row r="9832" customFormat="false" ht="15" hidden="false" customHeight="false" outlineLevel="0" collapsed="false">
      <c r="A9832" s="0" t="s">
        <v>1041</v>
      </c>
      <c r="B9832" s="0" t="s">
        <v>98</v>
      </c>
      <c r="D9832" s="6" t="n">
        <f aca="false">Sens!D9811</f>
        <v>22.171</v>
      </c>
      <c r="E9832" s="6" t="n">
        <f aca="false">Sens!E9811</f>
        <v>24.835</v>
      </c>
      <c r="F9832" s="6" t="n">
        <f aca="false">Sens!F9811</f>
        <v>27.5591895660247</v>
      </c>
      <c r="G9832" s="6" t="n">
        <f aca="false">Sens!G9811</f>
        <v>30.4098563144583</v>
      </c>
      <c r="H9832" s="6" t="n">
        <f aca="false">Sens!H9811</f>
        <v>33.3011792571777</v>
      </c>
      <c r="I9832" s="6" t="n">
        <f aca="false">Sens!I9811</f>
        <v>36.189023797112</v>
      </c>
      <c r="J9832" s="6" t="n">
        <f aca="false">Sens!J9811</f>
        <v>39.0247773769199</v>
      </c>
      <c r="K9832" s="6" t="n">
        <f aca="false">Sens!K9811</f>
        <v>41.7565117933043</v>
      </c>
    </row>
    <row r="9833" customFormat="false" ht="15" hidden="false" customHeight="false" outlineLevel="0" collapsed="false">
      <c r="A9833" s="0" t="s">
        <v>1042</v>
      </c>
      <c r="B9833" s="0" t="s">
        <v>98</v>
      </c>
      <c r="D9833" s="6" t="n">
        <f aca="false">Sens!D9813</f>
        <v>23.455</v>
      </c>
      <c r="E9833" s="6" t="n">
        <f aca="false">Sens!E9813</f>
        <v>21.79</v>
      </c>
      <c r="F9833" s="6" t="n">
        <f aca="false">Sens!F9813</f>
        <v>20.7520981041711</v>
      </c>
      <c r="G9833" s="6" t="n">
        <f aca="false">Sens!G9813</f>
        <v>19.9083593495882</v>
      </c>
      <c r="H9833" s="6" t="n">
        <f aca="false">Sens!H9813</f>
        <v>19.4008256265831</v>
      </c>
      <c r="I9833" s="6" t="n">
        <f aca="false">Sens!I9813</f>
        <v>19.200434522122</v>
      </c>
      <c r="J9833" s="6" t="n">
        <f aca="false">Sens!J9813</f>
        <v>19.2932782348507</v>
      </c>
      <c r="K9833" s="6" t="n">
        <f aca="false">Sens!K9813</f>
        <v>19.6791437995477</v>
      </c>
    </row>
    <row r="9834" customFormat="false" ht="15" hidden="false" customHeight="false" outlineLevel="0" collapsed="false">
      <c r="A9834" s="0" t="s">
        <v>1043</v>
      </c>
      <c r="B9834" s="0" t="s">
        <v>98</v>
      </c>
      <c r="D9834" s="6" t="n">
        <f aca="false">Sens!D9815</f>
        <v>17.315</v>
      </c>
      <c r="E9834" s="6" t="n">
        <f aca="false">Sens!E9815</f>
        <v>17.087</v>
      </c>
      <c r="F9834" s="6" t="n">
        <f aca="false">Sens!F9815</f>
        <v>15.9912273250553</v>
      </c>
      <c r="G9834" s="6" t="n">
        <f aca="false">Sens!G9815</f>
        <v>15.9574562664827</v>
      </c>
      <c r="H9834" s="6" t="n">
        <f aca="false">Sens!H9815</f>
        <v>16.0119687434196</v>
      </c>
      <c r="I9834" s="6" t="n">
        <f aca="false">Sens!I9815</f>
        <v>16.1551810001948</v>
      </c>
      <c r="J9834" s="6" t="n">
        <f aca="false">Sens!J9815</f>
        <v>16.3889793892005</v>
      </c>
      <c r="K9834" s="6" t="n">
        <f aca="false">Sens!K9815</f>
        <v>16.7167589769845</v>
      </c>
    </row>
    <row r="9835" customFormat="false" ht="15" hidden="false" customHeight="false" outlineLevel="0" collapsed="false">
      <c r="A9835" s="0" t="s">
        <v>870</v>
      </c>
      <c r="B9835" s="0" t="s">
        <v>98</v>
      </c>
      <c r="D9835" s="6" t="n">
        <f aca="false">Sens!D9817</f>
        <v>62.941</v>
      </c>
      <c r="E9835" s="6" t="n">
        <f aca="false">Sens!E9817</f>
        <v>63.712</v>
      </c>
      <c r="F9835" s="6" t="n">
        <f aca="false">Sens!F9817</f>
        <v>64.3025149952511</v>
      </c>
      <c r="G9835" s="6" t="n">
        <f aca="false">Sens!G9817</f>
        <v>66.2756719305292</v>
      </c>
      <c r="H9835" s="6" t="n">
        <f aca="false">Sens!H9817</f>
        <v>68.7139736271804</v>
      </c>
      <c r="I9835" s="6" t="n">
        <f aca="false">Sens!I9817</f>
        <v>71.5446393194289</v>
      </c>
      <c r="J9835" s="6" t="n">
        <f aca="false">Sens!J9817</f>
        <v>74.707035000971</v>
      </c>
      <c r="K9835" s="6" t="n">
        <f aca="false">Sens!K9817</f>
        <v>78.1524145698365</v>
      </c>
    </row>
    <row r="9836" customFormat="false" ht="15" hidden="false" customHeight="false" outlineLevel="0" collapsed="false">
      <c r="A9836" s="1" t="s">
        <v>1059</v>
      </c>
      <c r="B9836" s="0" t="s">
        <v>98</v>
      </c>
      <c r="D9836" s="6" t="n">
        <f aca="false">Sens!D9818</f>
        <v>281.724</v>
      </c>
      <c r="E9836" s="6" t="n">
        <f aca="false">Sens!E9818</f>
        <v>331.839</v>
      </c>
      <c r="F9836" s="6" t="n">
        <f aca="false">Sens!F9818</f>
        <v>403.462904415012</v>
      </c>
      <c r="G9836" s="6" t="n">
        <f aca="false">Sens!G9818</f>
        <v>493.45359851683</v>
      </c>
      <c r="H9836" s="6" t="n">
        <f aca="false">Sens!H9818</f>
        <v>591.417320479583</v>
      </c>
      <c r="I9836" s="6" t="n">
        <f aca="false">Sens!I9818</f>
        <v>676.726444476496</v>
      </c>
      <c r="J9836" s="6" t="n">
        <f aca="false">Sens!J9818</f>
        <v>748.024874661836</v>
      </c>
      <c r="K9836" s="6" t="n">
        <f aca="false">Sens!K9818</f>
        <v>808.028685264332</v>
      </c>
    </row>
    <row r="9837" customFormat="false" ht="15" hidden="false" customHeight="false" outlineLevel="0" collapsed="false">
      <c r="A9837" s="1" t="s">
        <v>1060</v>
      </c>
      <c r="B9837" s="0" t="s">
        <v>168</v>
      </c>
      <c r="E9837" s="7" t="n">
        <f aca="false">Sens!E9836/Sens!D9836-1</f>
        <v>0.177886867998467</v>
      </c>
      <c r="F9837" s="7" t="n">
        <f aca="false">Sens!F9836/Sens!E9836-1</f>
        <v>0.215839320920725</v>
      </c>
      <c r="G9837" s="7" t="n">
        <f aca="false">Sens!G9836/Sens!F9836-1</f>
        <v>0.22304576980205</v>
      </c>
      <c r="H9837" s="7" t="n">
        <f aca="false">Sens!H9836/Sens!G9836-1</f>
        <v>0.198526715089731</v>
      </c>
      <c r="I9837" s="7" t="n">
        <f aca="false">Sens!I9836/Sens!H9836-1</f>
        <v>0.144245224214494</v>
      </c>
      <c r="J9837" s="7" t="n">
        <f aca="false">Sens!J9836/Sens!I9836-1</f>
        <v>0.105357830726558</v>
      </c>
      <c r="K9837" s="7" t="n">
        <f aca="false">Sens!K9836/Sens!J9836-1</f>
        <v>0.0802163305459893</v>
      </c>
    </row>
    <row r="9838" customFormat="false" ht="17.15" hidden="false" customHeight="false" outlineLevel="0" collapsed="false">
      <c r="A9838" s="26" t="s">
        <v>1061</v>
      </c>
      <c r="B9838" s="31" t="s">
        <v>98</v>
      </c>
      <c r="C9838" s="31"/>
      <c r="D9838" s="27" t="n">
        <f aca="false">(Sens!D9831+Sens!D9835-Sens!D9836)+(Sens!D9823+Sens!D9824-Sens!D9822)+(Sens!D9826+Sens!D9827-Sens!D9825)+(Sens!D9836-Q!L18)</f>
        <v>0</v>
      </c>
      <c r="E9838" s="27" t="n">
        <f aca="false">(Sens!E9831+Sens!E9835-Sens!E9836)+(Sens!E9823+Sens!E9824-Sens!E9822)+(Sens!E9826+Sens!E9827-Sens!E9825)+(Sens!E9836-Q!M18)</f>
        <v>0</v>
      </c>
      <c r="F9838" s="27" t="n">
        <f aca="false">(Sens!F9831+Sens!F9835-Sens!F9836)+(Sens!F9823+Sens!F9824-Sens!F9822)+(Sens!F9826+Sens!F9827-Sens!F9825)</f>
        <v>0</v>
      </c>
      <c r="G9838" s="27" t="n">
        <f aca="false">(Sens!G9831+Sens!G9835-Sens!G9836)+(Sens!G9823+Sens!G9824-Sens!G9822)+(Sens!G9826+Sens!G9827-Sens!G9825)</f>
        <v>0</v>
      </c>
      <c r="H9838" s="27" t="n">
        <f aca="false">(Sens!H9831+Sens!H9835-Sens!H9836)+(Sens!H9823+Sens!H9824-Sens!H9822)+(Sens!H9826+Sens!H9827-Sens!H9825)</f>
        <v>0</v>
      </c>
      <c r="I9838" s="27" t="n">
        <f aca="false">(Sens!I9831+Sens!I9835-Sens!I9836)+(Sens!I9823+Sens!I9824-Sens!I9822)+(Sens!I9826+Sens!I9827-Sens!I9825)</f>
        <v>0</v>
      </c>
      <c r="J9838" s="27" t="n">
        <f aca="false">(Sens!J9831+Sens!J9835-Sens!J9836)+(Sens!J9823+Sens!J9824-Sens!J9822)+(Sens!J9826+Sens!J9827-Sens!J9825)</f>
        <v>0</v>
      </c>
      <c r="K9838" s="27" t="n">
        <f aca="false">(Sens!K9831+Sens!K9835-Sens!K9836)+(Sens!K9823+Sens!K9824-Sens!K9822)+(Sens!K9826+Sens!K9827-Sens!K9825)</f>
        <v>0</v>
      </c>
    </row>
    <row r="9839" customFormat="false" ht="17.15" hidden="false" customHeight="false" outlineLevel="0" collapsed="false">
      <c r="A9839" s="0" t="s">
        <v>1062</v>
      </c>
      <c r="B9839" s="0" t="s">
        <v>168</v>
      </c>
      <c r="E9839" s="7" t="n">
        <f aca="false">(Q!M21+Sens!E9775+Sens!E9776+Sens!E9777+Sens!E9791-Sens!E9773)/(Q!M5-Sens!E9773)</f>
        <v>0.570957350878296</v>
      </c>
      <c r="F9839" s="7" t="n">
        <f aca="false">Sens!$E$9839+dm_seg</f>
        <v>0.570957350878296</v>
      </c>
      <c r="G9839" s="7" t="n">
        <f aca="false">Sens!$E$9839+dm_seg</f>
        <v>0.570957350878296</v>
      </c>
      <c r="H9839" s="7" t="n">
        <f aca="false">Sens!$E$9839+dm_seg</f>
        <v>0.570957350878296</v>
      </c>
      <c r="I9839" s="7" t="n">
        <f aca="false">Sens!$E$9839+dm_seg</f>
        <v>0.570957350878296</v>
      </c>
      <c r="J9839" s="7" t="n">
        <f aca="false">Sens!$E$9839+dm_seg</f>
        <v>0.570957350878296</v>
      </c>
      <c r="K9839" s="7" t="n">
        <f aca="false">Sens!$E$9839+dm_seg</f>
        <v>0.570957350878296</v>
      </c>
      <c r="L9839" s="12" t="s">
        <v>1063</v>
      </c>
    </row>
    <row r="9840" customFormat="false" ht="17.15" hidden="false" customHeight="false" outlineLevel="0" collapsed="false">
      <c r="A9840" s="0" t="s">
        <v>884</v>
      </c>
      <c r="B9840" s="0" t="s">
        <v>98</v>
      </c>
      <c r="D9840" s="6" t="n">
        <f aca="false">Q!L21</f>
        <v>110.814</v>
      </c>
      <c r="E9840" s="6" t="n">
        <f aca="false">Q!M21</f>
        <v>136.365</v>
      </c>
      <c r="F9840" s="6" t="n">
        <f aca="false">Q!$I$21+(Sens!F9839*(Sens!F9810-Sens!F9773)+Sens!F9773-(Sens!F9775+Sens!F9776+Sens!F9777)-Sens!F9791-Sens!F9874)*(Sens!F9810-Q!$I$5)/Sens!F9810</f>
        <v>165.734617763139</v>
      </c>
      <c r="G9840" s="6" t="n">
        <f aca="false">(Sens!G9839*(Sens!G9810-Sens!G9773)+Sens!G9773-(Sens!G9775+Sens!G9776+Sens!G9777)-Sens!G9791-Sens!G9874)</f>
        <v>192.479799210818</v>
      </c>
      <c r="H9840" s="6" t="n">
        <f aca="false">(Sens!H9839*(Sens!H9810-Sens!H9773)+Sens!H9773-(Sens!H9775+Sens!H9776+Sens!H9777)-Sens!H9791-Sens!H9874)</f>
        <v>228.134127813539</v>
      </c>
      <c r="I9840" s="6" t="n">
        <f aca="false">(Sens!I9839*(Sens!I9810-Sens!I9773)+Sens!I9773-(Sens!I9775+Sens!I9776+Sens!I9777)-Sens!I9791-Sens!I9874)</f>
        <v>256.278001799504</v>
      </c>
      <c r="J9840" s="6" t="n">
        <f aca="false">(Sens!J9839*(Sens!J9810-Sens!J9773)+Sens!J9773-(Sens!J9775+Sens!J9776+Sens!J9777)-Sens!J9791-Sens!J9874)</f>
        <v>281.874310964564</v>
      </c>
      <c r="K9840" s="6" t="n">
        <f aca="false">(Sens!K9839*(Sens!K9810-Sens!K9773)+Sens!K9773-(Sens!K9775+Sens!K9776+Sens!K9777)-Sens!K9791-Sens!K9874)</f>
        <v>306.390882764316</v>
      </c>
      <c r="L9840" s="1" t="s">
        <v>1064</v>
      </c>
    </row>
    <row r="9841" customFormat="false" ht="17.15" hidden="false" customHeight="false" outlineLevel="0" collapsed="false">
      <c r="A9841" s="0" t="s">
        <v>1065</v>
      </c>
      <c r="B9841" s="0" t="s">
        <v>168</v>
      </c>
      <c r="E9841" s="7" t="n">
        <f aca="false">Q!M22/Q!M12</f>
        <v>0.296207935710698</v>
      </c>
      <c r="F9841" s="7" t="n">
        <f aca="false">Sens!$E$9841+dm_seg</f>
        <v>0.296207935710698</v>
      </c>
      <c r="G9841" s="7" t="n">
        <f aca="false">Sens!$E$9841+dm_seg</f>
        <v>0.296207935710698</v>
      </c>
      <c r="H9841" s="7" t="n">
        <f aca="false">Sens!$E$9841+dm_seg</f>
        <v>0.296207935710698</v>
      </c>
      <c r="I9841" s="7" t="n">
        <f aca="false">Sens!$E$9841+dm_seg</f>
        <v>0.296207935710698</v>
      </c>
      <c r="J9841" s="7" t="n">
        <f aca="false">Sens!$E$9841+dm_seg</f>
        <v>0.296207935710698</v>
      </c>
      <c r="K9841" s="7" t="n">
        <f aca="false">Sens!$E$9841+dm_seg</f>
        <v>0.296207935710698</v>
      </c>
      <c r="L9841" s="12" t="s">
        <v>1066</v>
      </c>
    </row>
    <row r="9842" customFormat="false" ht="17.15" hidden="false" customHeight="false" outlineLevel="0" collapsed="false">
      <c r="A9842" s="0" t="s">
        <v>886</v>
      </c>
      <c r="B9842" s="0" t="s">
        <v>98</v>
      </c>
      <c r="D9842" s="6" t="n">
        <f aca="false">Q!L22</f>
        <v>17.714</v>
      </c>
      <c r="E9842" s="6" t="n">
        <f aca="false">Q!M22</f>
        <v>18.872</v>
      </c>
      <c r="F9842" s="6" t="n">
        <f aca="false">Q!$I$22+(Sens!F9817-Q!$I$12)*Sens!F9841</f>
        <v>19.8174315512051</v>
      </c>
      <c r="G9842" s="6" t="n">
        <f aca="false">Sens!G9817*Sens!G9841</f>
        <v>19.6313799703815</v>
      </c>
      <c r="H9842" s="6" t="n">
        <f aca="false">Sens!H9817*Sens!H9841</f>
        <v>20.3536242825865</v>
      </c>
      <c r="I9842" s="6" t="n">
        <f aca="false">Sens!I9817*Sens!I9841</f>
        <v>21.1920899239745</v>
      </c>
      <c r="J9842" s="6" t="n">
        <f aca="false">Sens!J9817*Sens!J9841</f>
        <v>22.1288166207045</v>
      </c>
      <c r="K9842" s="6" t="n">
        <f aca="false">Sens!K9817*Sens!K9841</f>
        <v>23.1493653905379</v>
      </c>
      <c r="L9842" s="12" t="s">
        <v>1067</v>
      </c>
    </row>
    <row r="9843" customFormat="false" ht="15" hidden="false" customHeight="false" outlineLevel="0" collapsed="false">
      <c r="A9843" s="1" t="s">
        <v>1068</v>
      </c>
      <c r="B9843" s="0" t="s">
        <v>98</v>
      </c>
      <c r="D9843" s="6" t="n">
        <f aca="false">Sens!D9840+Sens!D9842</f>
        <v>128.528</v>
      </c>
      <c r="E9843" s="6" t="n">
        <f aca="false">Sens!E9840+Sens!E9842</f>
        <v>155.237</v>
      </c>
      <c r="F9843" s="6" t="n">
        <f aca="false">Sens!F9840+Sens!F9842</f>
        <v>185.552049314344</v>
      </c>
      <c r="G9843" s="6" t="n">
        <f aca="false">Sens!G9840+Sens!G9842</f>
        <v>212.111179181199</v>
      </c>
      <c r="H9843" s="6" t="n">
        <f aca="false">Sens!H9840+Sens!H9842</f>
        <v>248.487752096125</v>
      </c>
      <c r="I9843" s="6" t="n">
        <f aca="false">Sens!I9840+Sens!I9842</f>
        <v>277.470091723479</v>
      </c>
      <c r="J9843" s="6" t="n">
        <f aca="false">Sens!J9840+Sens!J9842</f>
        <v>304.003127585269</v>
      </c>
      <c r="K9843" s="6" t="n">
        <f aca="false">Sens!K9840+Sens!K9842</f>
        <v>329.540248154854</v>
      </c>
    </row>
    <row r="9844" customFormat="false" ht="15" hidden="false" customHeight="false" outlineLevel="0" collapsed="false">
      <c r="A9844" s="26" t="s">
        <v>1069</v>
      </c>
      <c r="B9844" s="31" t="s">
        <v>98</v>
      </c>
      <c r="C9844" s="31"/>
      <c r="D9844" s="27" t="n">
        <f aca="false">Sens!D9843-Q!L23</f>
        <v>0</v>
      </c>
      <c r="E9844" s="27" t="n">
        <f aca="false">Sens!E9843-Q!M23</f>
        <v>0</v>
      </c>
      <c r="F9844" s="31"/>
      <c r="G9844" s="31"/>
      <c r="H9844" s="31"/>
      <c r="I9844" s="31"/>
      <c r="J9844" s="31"/>
      <c r="K9844" s="31"/>
    </row>
    <row r="9845" customFormat="false" ht="15" hidden="false" customHeight="false" outlineLevel="0" collapsed="false">
      <c r="A9845" s="1" t="s">
        <v>1070</v>
      </c>
      <c r="B9845" s="0" t="s">
        <v>168</v>
      </c>
      <c r="D9845" s="7" t="n">
        <f aca="false">Sens!D9843/Sens!D9836</f>
        <v>0.456219562408598</v>
      </c>
      <c r="E9845" s="7" t="n">
        <f aca="false">Sens!E9843/Sens!E9836</f>
        <v>0.467808184089272</v>
      </c>
      <c r="F9845" s="7" t="n">
        <f aca="false">Sens!F9843/Sens!F9836</f>
        <v>0.459898660530834</v>
      </c>
      <c r="G9845" s="7" t="n">
        <f aca="false">Sens!G9843/Sens!G9836</f>
        <v>0.429850303693681</v>
      </c>
      <c r="H9845" s="7" t="n">
        <f aca="false">Sens!H9843/Sens!H9836</f>
        <v>0.420156365888347</v>
      </c>
      <c r="I9845" s="7" t="n">
        <f aca="false">Sens!I9843/Sens!I9836</f>
        <v>0.410018101092717</v>
      </c>
      <c r="J9845" s="7" t="n">
        <f aca="false">Sens!J9843/Sens!J9836</f>
        <v>0.406407778514987</v>
      </c>
      <c r="K9845" s="7" t="n">
        <f aca="false">Sens!K9843/Sens!K9836</f>
        <v>0.407832363088757</v>
      </c>
    </row>
    <row r="9846" customFormat="false" ht="17.15" hidden="false" customHeight="false" outlineLevel="0" collapsed="false">
      <c r="A9846" s="1" t="s">
        <v>1071</v>
      </c>
      <c r="B9846" s="0" t="s">
        <v>98</v>
      </c>
      <c r="F9846" s="6" t="n">
        <f aca="false">Sens!F9861</f>
        <v>8.88340674531245</v>
      </c>
      <c r="G9846" s="6" t="n">
        <f aca="false">Sens!G9861</f>
        <v>22.7060305170273</v>
      </c>
      <c r="H9846" s="6" t="n">
        <f aca="false">Sens!H9861</f>
        <v>38.0018452382075</v>
      </c>
      <c r="I9846" s="6" t="n">
        <f aca="false">Sens!I9861</f>
        <v>52.1381094705177</v>
      </c>
      <c r="J9846" s="6" t="n">
        <f aca="false">Sens!J9861</f>
        <v>62.0595818934393</v>
      </c>
      <c r="K9846" s="6" t="n">
        <f aca="false">Sens!K9861</f>
        <v>67.0801312706266</v>
      </c>
      <c r="L9846" s="1" t="s">
        <v>1072</v>
      </c>
    </row>
    <row r="9847" customFormat="false" ht="17.15" hidden="false" customHeight="false" outlineLevel="0" collapsed="false">
      <c r="A9847" s="1" t="s">
        <v>1073</v>
      </c>
      <c r="B9847" s="0" t="s">
        <v>98</v>
      </c>
      <c r="D9847" s="6" t="n">
        <f aca="false">Sens!D9843</f>
        <v>128.528</v>
      </c>
      <c r="E9847" s="6" t="n">
        <f aca="false">Sens!E9843</f>
        <v>155.237</v>
      </c>
      <c r="F9847" s="6" t="n">
        <f aca="false">Sens!F9843+Sens!F9846</f>
        <v>194.435456059656</v>
      </c>
      <c r="G9847" s="6" t="n">
        <f aca="false">Sens!G9843+Sens!G9846</f>
        <v>234.817209698226</v>
      </c>
      <c r="H9847" s="6" t="n">
        <f aca="false">Sens!H9843+Sens!H9846</f>
        <v>286.489597334333</v>
      </c>
      <c r="I9847" s="6" t="n">
        <f aca="false">Sens!I9843+Sens!I9846</f>
        <v>329.608201193997</v>
      </c>
      <c r="J9847" s="6" t="n">
        <f aca="false">Sens!J9843+Sens!J9846</f>
        <v>366.062709478708</v>
      </c>
      <c r="K9847" s="6" t="n">
        <f aca="false">Sens!K9843+Sens!K9846</f>
        <v>396.620379425481</v>
      </c>
    </row>
    <row r="9848" customFormat="false" ht="17.15" hidden="false" customHeight="false" outlineLevel="0" collapsed="false">
      <c r="A9848" s="1" t="s">
        <v>1074</v>
      </c>
      <c r="B9848" s="0" t="s">
        <v>98</v>
      </c>
      <c r="E9848" s="6" t="n">
        <f aca="false">Sens!E9791</f>
        <v>16.3054059770833</v>
      </c>
      <c r="F9848" s="6" t="n">
        <f aca="false">Sens!F9791</f>
        <v>34.5793144783516</v>
      </c>
      <c r="G9848" s="6" t="n">
        <f aca="false">Sens!G9791</f>
        <v>60.7344906522989</v>
      </c>
      <c r="H9848" s="6" t="n">
        <f aca="false">Sens!H9791</f>
        <v>89.1000906614457</v>
      </c>
      <c r="I9848" s="6" t="n">
        <f aca="false">Sens!I9791</f>
        <v>114.231009694548</v>
      </c>
      <c r="J9848" s="6" t="n">
        <f aca="false">Sens!J9791</f>
        <v>132.015673049596</v>
      </c>
      <c r="K9848" s="6" t="n">
        <f aca="false">Sens!K9791</f>
        <v>143.012669550934</v>
      </c>
    </row>
    <row r="9849" customFormat="false" ht="17.15" hidden="false" customHeight="false" outlineLevel="0" collapsed="false">
      <c r="A9849" s="1" t="s">
        <v>1075</v>
      </c>
      <c r="B9849" s="0" t="s">
        <v>98</v>
      </c>
      <c r="E9849" s="6" t="n">
        <f aca="false">Sens!E9873</f>
        <v>22.2285940229167</v>
      </c>
      <c r="F9849" s="6" t="n">
        <f aca="false">Sens!F9873</f>
        <v>23.583299942395</v>
      </c>
      <c r="G9849" s="6" t="n">
        <f aca="false">Sens!G9873</f>
        <v>25.4161990908599</v>
      </c>
      <c r="H9849" s="6" t="n">
        <f aca="false">Sens!H9873</f>
        <v>27.7113664005265</v>
      </c>
      <c r="I9849" s="6" t="n">
        <f aca="false">Sens!I9873</f>
        <v>30.4186342674099</v>
      </c>
      <c r="J9849" s="6" t="n">
        <f aca="false">Sens!J9873</f>
        <v>33.4760674882716</v>
      </c>
      <c r="K9849" s="6" t="n">
        <f aca="false">Sens!K9873</f>
        <v>36.8307391796613</v>
      </c>
    </row>
    <row r="9850" customFormat="false" ht="17.15" hidden="false" customHeight="false" outlineLevel="0" collapsed="false">
      <c r="A9850" s="1" t="s">
        <v>1076</v>
      </c>
      <c r="B9850" s="0" t="s">
        <v>98</v>
      </c>
      <c r="D9850" s="6" t="n">
        <f aca="false">Q!L27</f>
        <v>-4.901</v>
      </c>
      <c r="E9850" s="6" t="n">
        <f aca="false">Q!M27</f>
        <v>10.697</v>
      </c>
      <c r="F9850" s="6" t="n">
        <f aca="false">Q!$I$27+oie_f*(q_per_yr-1)/q_per_yr</f>
        <v>-0.862</v>
      </c>
      <c r="G9850" s="6" t="n">
        <f aca="false">oie_f</f>
        <v>-1.2</v>
      </c>
      <c r="H9850" s="6" t="n">
        <f aca="false">oie_f</f>
        <v>-1.2</v>
      </c>
      <c r="I9850" s="6" t="n">
        <f aca="false">oie_f</f>
        <v>-1.2</v>
      </c>
      <c r="J9850" s="6" t="n">
        <f aca="false">oie_f</f>
        <v>-1.2</v>
      </c>
      <c r="K9850" s="6" t="n">
        <f aca="false">oie_f</f>
        <v>-1.2</v>
      </c>
      <c r="L9850" s="12" t="s">
        <v>1077</v>
      </c>
    </row>
    <row r="9851" customFormat="false" ht="15" hidden="false" customHeight="false" outlineLevel="0" collapsed="false">
      <c r="A9851" s="1" t="s">
        <v>1078</v>
      </c>
      <c r="B9851" s="0" t="s">
        <v>98</v>
      </c>
      <c r="D9851" s="6" t="n">
        <f aca="false">Sens!D9843+Sens!D9850</f>
        <v>123.627</v>
      </c>
      <c r="E9851" s="6" t="n">
        <f aca="false">Sens!E9843+Sens!E9850</f>
        <v>165.934</v>
      </c>
      <c r="F9851" s="6" t="n">
        <f aca="false">Sens!F9843+Sens!F9850</f>
        <v>184.690049314344</v>
      </c>
      <c r="G9851" s="6" t="n">
        <f aca="false">Sens!G9843+Sens!G9850</f>
        <v>210.911179181199</v>
      </c>
      <c r="H9851" s="6" t="n">
        <f aca="false">Sens!H9843+Sens!H9850</f>
        <v>247.287752096125</v>
      </c>
      <c r="I9851" s="6" t="n">
        <f aca="false">Sens!I9843+Sens!I9850</f>
        <v>276.270091723479</v>
      </c>
      <c r="J9851" s="6" t="n">
        <f aca="false">Sens!J9843+Sens!J9850</f>
        <v>302.803127585269</v>
      </c>
      <c r="K9851" s="6" t="n">
        <f aca="false">Sens!K9843+Sens!K9850</f>
        <v>328.340248154854</v>
      </c>
    </row>
    <row r="9852" customFormat="false" ht="15" hidden="false" customHeight="false" outlineLevel="0" collapsed="false">
      <c r="A9852" s="1" t="s">
        <v>1079</v>
      </c>
      <c r="B9852" s="0" t="s">
        <v>98</v>
      </c>
      <c r="D9852" s="6" t="n">
        <f aca="false">Q!L29</f>
        <v>21.795</v>
      </c>
      <c r="E9852" s="6" t="n">
        <f aca="false">Q!M29</f>
        <v>32.185</v>
      </c>
      <c r="F9852" s="6" t="n">
        <f aca="false">Q!$I$29+(Sens!F9851-Q!$I$28)*tax_f</f>
        <v>37.0714098628688</v>
      </c>
      <c r="G9852" s="6" t="n">
        <f aca="false">Sens!G9851*tax_f</f>
        <v>42.1822358362398</v>
      </c>
      <c r="H9852" s="6" t="n">
        <f aca="false">Sens!H9851*tax_f</f>
        <v>49.4575504192251</v>
      </c>
      <c r="I9852" s="6" t="n">
        <f aca="false">Sens!I9851*tax_f</f>
        <v>55.2540183446958</v>
      </c>
      <c r="J9852" s="6" t="n">
        <f aca="false">Sens!J9851*tax_f</f>
        <v>60.5606255170537</v>
      </c>
      <c r="K9852" s="6" t="n">
        <f aca="false">Sens!K9851*tax_f</f>
        <v>65.6680496309708</v>
      </c>
    </row>
    <row r="9853" customFormat="false" ht="15" hidden="false" customHeight="false" outlineLevel="0" collapsed="false">
      <c r="A9853" s="1" t="s">
        <v>1080</v>
      </c>
      <c r="B9853" s="0" t="s">
        <v>98</v>
      </c>
      <c r="D9853" s="6" t="n">
        <f aca="false">Sens!D9851-Sens!D9852</f>
        <v>101.832</v>
      </c>
      <c r="E9853" s="6" t="n">
        <f aca="false">Sens!E9851-Sens!E9852</f>
        <v>133.749</v>
      </c>
      <c r="F9853" s="6" t="n">
        <f aca="false">Sens!F9851-Sens!F9852</f>
        <v>147.618639451475</v>
      </c>
      <c r="G9853" s="6" t="n">
        <f aca="false">Sens!G9851-Sens!G9852</f>
        <v>168.728943344959</v>
      </c>
      <c r="H9853" s="6" t="n">
        <f aca="false">Sens!H9851-Sens!H9852</f>
        <v>197.8302016769</v>
      </c>
      <c r="I9853" s="6" t="n">
        <f aca="false">Sens!I9851-Sens!I9852</f>
        <v>221.016073378783</v>
      </c>
      <c r="J9853" s="6" t="n">
        <f aca="false">Sens!J9851-Sens!J9852</f>
        <v>242.242502068215</v>
      </c>
      <c r="K9853" s="6" t="n">
        <f aca="false">Sens!K9851-Sens!K9852</f>
        <v>262.672198523883</v>
      </c>
    </row>
    <row r="9854" customFormat="false" ht="17.15" hidden="false" customHeight="false" outlineLevel="0" collapsed="false">
      <c r="A9854" s="1" t="s">
        <v>1081</v>
      </c>
      <c r="B9854" s="1" t="s">
        <v>81</v>
      </c>
      <c r="D9854" s="15" t="n">
        <f aca="false">Q!L31</f>
        <v>7.465</v>
      </c>
      <c r="E9854" s="15" t="n">
        <f aca="false">Q!M31</f>
        <v>7.453</v>
      </c>
      <c r="F9854" s="15" t="n">
        <f aca="false">Sens!F9898</f>
        <v>7.47048739429365</v>
      </c>
      <c r="G9854" s="15" t="n">
        <f aca="false">Sens!G9898</f>
        <v>7.50916679839481</v>
      </c>
      <c r="H9854" s="15" t="n">
        <f aca="false">Sens!H9898</f>
        <v>7.53355874723111</v>
      </c>
      <c r="I9854" s="15" t="n">
        <f aca="false">Sens!I9898</f>
        <v>7.54524011128658</v>
      </c>
      <c r="J9854" s="15" t="n">
        <f aca="false">Sens!J9898</f>
        <v>7.55938952244905</v>
      </c>
      <c r="K9854" s="15" t="n">
        <f aca="false">Sens!K9898</f>
        <v>7.5758241624143</v>
      </c>
    </row>
    <row r="9855" customFormat="false" ht="17.15" hidden="false" customHeight="false" outlineLevel="0" collapsed="false">
      <c r="A9855" s="0" t="s">
        <v>1082</v>
      </c>
      <c r="B9855" s="0" t="s">
        <v>75</v>
      </c>
      <c r="D9855" s="8" t="n">
        <f aca="false">Sens!D9853/Sens!D9854</f>
        <v>13.641259209645</v>
      </c>
      <c r="E9855" s="8" t="n">
        <f aca="false">Sens!E9853/Sens!E9854</f>
        <v>17.9456594659869</v>
      </c>
      <c r="F9855" s="8" t="n">
        <f aca="false">Sens!F9853/Sens!F9854</f>
        <v>19.7602420913305</v>
      </c>
      <c r="G9855" s="8" t="n">
        <f aca="false">Sens!G9853/Sens!G9854</f>
        <v>22.4697290491706</v>
      </c>
      <c r="H9855" s="8" t="n">
        <f aca="false">Sens!H9853/Sens!H9854</f>
        <v>26.25986048753</v>
      </c>
      <c r="I9855" s="8" t="n">
        <f aca="false">Sens!I9853/Sens!I9854</f>
        <v>29.292119285664</v>
      </c>
      <c r="J9855" s="8" t="n">
        <f aca="false">Sens!J9853/Sens!J9854</f>
        <v>32.0452466894092</v>
      </c>
      <c r="K9855" s="8" t="n">
        <f aca="false">Sens!K9853/Sens!K9854</f>
        <v>34.6724254539949</v>
      </c>
      <c r="L9855" s="1" t="s">
        <v>1083</v>
      </c>
    </row>
    <row r="9856" customFormat="false" ht="17.15" hidden="false" customHeight="false" outlineLevel="0" collapsed="false">
      <c r="A9856" s="1" t="s">
        <v>1084</v>
      </c>
      <c r="B9856" s="0" t="s">
        <v>98</v>
      </c>
      <c r="D9856" s="6" t="n">
        <f aca="false">Sens!D9853</f>
        <v>101.832</v>
      </c>
      <c r="E9856" s="6" t="n">
        <f aca="false">Sens!E9853</f>
        <v>133.749</v>
      </c>
      <c r="F9856" s="6" t="n">
        <f aca="false">Sens!F9853+Sens!F9846*(1-tax_f)</f>
        <v>154.725364847725</v>
      </c>
      <c r="G9856" s="6" t="n">
        <f aca="false">Sens!G9853+Sens!G9846*(1-tax_f)</f>
        <v>186.893767758581</v>
      </c>
      <c r="H9856" s="6" t="n">
        <f aca="false">Sens!H9853+Sens!H9846*(1-tax_f)</f>
        <v>228.231677867466</v>
      </c>
      <c r="I9856" s="6" t="n">
        <f aca="false">Sens!I9853+Sens!I9846*(1-tax_f)</f>
        <v>262.726560955197</v>
      </c>
      <c r="J9856" s="6" t="n">
        <f aca="false">Sens!J9853+Sens!J9846*(1-tax_f)</f>
        <v>291.890167582966</v>
      </c>
      <c r="K9856" s="6" t="n">
        <f aca="false">Sens!K9853+Sens!K9846*(1-tax_f)</f>
        <v>316.336303540385</v>
      </c>
    </row>
    <row r="9857" customFormat="false" ht="17.15" hidden="false" customHeight="false" outlineLevel="0" collapsed="false">
      <c r="A9857" s="0" t="s">
        <v>1085</v>
      </c>
      <c r="B9857" s="0" t="s">
        <v>75</v>
      </c>
      <c r="D9857" s="8" t="n">
        <f aca="false">Sens!D9856/Sens!D9854</f>
        <v>13.641259209645</v>
      </c>
      <c r="E9857" s="8" t="n">
        <f aca="false">Sens!E9856/Sens!E9854</f>
        <v>17.9456594659869</v>
      </c>
      <c r="F9857" s="8" t="n">
        <f aca="false">Sens!F9856/Sens!F9854</f>
        <v>20.7115488831308</v>
      </c>
      <c r="G9857" s="8" t="n">
        <f aca="false">Sens!G9856/Sens!G9854</f>
        <v>24.888749015208</v>
      </c>
      <c r="H9857" s="8" t="n">
        <f aca="false">Sens!H9856/Sens!H9854</f>
        <v>30.29533392188</v>
      </c>
      <c r="I9857" s="8" t="n">
        <f aca="false">Sens!I9856/Sens!I9854</f>
        <v>34.8201723311889</v>
      </c>
      <c r="J9857" s="8" t="n">
        <f aca="false">Sens!J9856/Sens!J9854</f>
        <v>38.6129285593953</v>
      </c>
      <c r="K9857" s="8" t="n">
        <f aca="false">Sens!K9856/Sens!K9854</f>
        <v>41.7560250553087</v>
      </c>
      <c r="L9857" s="1" t="s">
        <v>1086</v>
      </c>
    </row>
    <row r="9858" customFormat="false" ht="17.15" hidden="false" customHeight="false" outlineLevel="0" collapsed="false">
      <c r="A9858" s="0" t="s">
        <v>1087</v>
      </c>
      <c r="B9858" s="0" t="s">
        <v>168</v>
      </c>
      <c r="E9858" s="7" t="n">
        <f aca="false">Sens!E9857/Sens!D9857-1</f>
        <v>0.315542736208578</v>
      </c>
      <c r="F9858" s="7" t="n">
        <f aca="false">Sens!F9857/Sens!E9857-1</f>
        <v>0.154125816461981</v>
      </c>
      <c r="G9858" s="7" t="n">
        <f aca="false">Sens!G9857/Sens!F9857-1</f>
        <v>0.201684584559462</v>
      </c>
      <c r="H9858" s="7" t="n">
        <f aca="false">Sens!H9857/Sens!G9857-1</f>
        <v>0.217230078674038</v>
      </c>
      <c r="I9858" s="7" t="n">
        <f aca="false">Sens!I9857/Sens!H9857-1</f>
        <v>0.149357601437128</v>
      </c>
      <c r="J9858" s="7" t="n">
        <f aca="false">Sens!J9857/Sens!I9857-1</f>
        <v>0.108924108477464</v>
      </c>
      <c r="K9858" s="7" t="n">
        <f aca="false">Sens!K9857/Sens!J9857-1</f>
        <v>0.0814001064715577</v>
      </c>
    </row>
    <row r="9859" customFormat="false" ht="17.15" hidden="false" customHeight="false" outlineLevel="0" collapsed="false">
      <c r="A9859" s="0" t="s">
        <v>1007</v>
      </c>
      <c r="B9859" s="0" t="s">
        <v>98</v>
      </c>
      <c r="E9859" s="6" t="n">
        <f aca="false">Sens!E9800</f>
        <v>5.25</v>
      </c>
      <c r="F9859" s="6" t="n">
        <f aca="false">Sens!F9800</f>
        <v>13.5</v>
      </c>
      <c r="G9859" s="6" t="n">
        <f aca="false">Sens!G9800</f>
        <v>22.5</v>
      </c>
      <c r="H9859" s="6" t="n">
        <f aca="false">Sens!H9800</f>
        <v>31.5</v>
      </c>
      <c r="I9859" s="6" t="n">
        <f aca="false">Sens!I9800</f>
        <v>38.25</v>
      </c>
      <c r="J9859" s="6" t="n">
        <f aca="false">Sens!J9800</f>
        <v>42.75</v>
      </c>
      <c r="K9859" s="6" t="n">
        <f aca="false">Sens!K9800</f>
        <v>47.25</v>
      </c>
    </row>
    <row r="9860" customFormat="false" ht="17.15" hidden="false" customHeight="false" outlineLevel="0" collapsed="false">
      <c r="A9860" s="1" t="s">
        <v>1008</v>
      </c>
      <c r="B9860" s="0" t="s">
        <v>98</v>
      </c>
      <c r="F9860" s="6" t="n">
        <f aca="false">MAX(0,((Sens!E9760+Sens!F9760)/2-(shadow_base*(Sens!$D$9760+Sens!$E$9760)/2+(1-shadow_base)*Sens!$E$9760))*Sens!F9769/1000-(Sens!F9859-Sens!$E$9859)*Sens!F9839)</f>
        <v>8.88340674531245</v>
      </c>
      <c r="G9860" s="6" t="n">
        <f aca="false">MAX(0,((Sens!F9760+Sens!G9760)/2-(shadow_base*(Sens!$D$9760+Sens!$E$9760)/2+(1-shadow_base)*Sens!$E$9760))*Sens!G9769/1000-(Sens!G9859-Sens!$E$9859)*Sens!G9839)</f>
        <v>22.7060305170273</v>
      </c>
      <c r="H9860" s="6" t="n">
        <f aca="false">MAX(0,((Sens!G9760+Sens!H9760)/2-(shadow_base*(Sens!$D$9760+Sens!$E$9760)/2+(1-shadow_base)*Sens!$E$9760))*Sens!H9769/1000-(Sens!H9859-Sens!$E$9859)*Sens!H9839)</f>
        <v>38.0018452382075</v>
      </c>
      <c r="I9860" s="6" t="n">
        <f aca="false">MAX(0,((Sens!H9760+Sens!I9760)/2-(shadow_base*(Sens!$D$9760+Sens!$E$9760)/2+(1-shadow_base)*Sens!$E$9760))*Sens!I9769/1000-(Sens!I9859-Sens!$E$9859)*Sens!I9839)</f>
        <v>52.1381094705177</v>
      </c>
      <c r="J9860" s="6" t="n">
        <f aca="false">MAX(0,((Sens!I9760+Sens!J9760)/2-(shadow_base*(Sens!$D$9760+Sens!$E$9760)/2+(1-shadow_base)*Sens!$E$9760))*Sens!J9769/1000-(Sens!J9859-Sens!$E$9859)*Sens!J9839)</f>
        <v>62.0595818934393</v>
      </c>
      <c r="K9860" s="6" t="n">
        <f aca="false">MAX(0,((Sens!J9760+Sens!K9760)/2-(shadow_base*(Sens!$D$9760+Sens!$E$9760)/2+(1-shadow_base)*Sens!$E$9760))*Sens!K9769/1000-(Sens!K9859-Sens!$E$9859)*Sens!K9839)</f>
        <v>67.0801312706266</v>
      </c>
      <c r="L9860" s="1" t="s">
        <v>1009</v>
      </c>
    </row>
    <row r="9861" customFormat="false" ht="17.15" hidden="false" customHeight="false" outlineLevel="0" collapsed="false">
      <c r="A9861" s="1" t="s">
        <v>1010</v>
      </c>
      <c r="B9861" s="0" t="s">
        <v>98</v>
      </c>
      <c r="F9861" s="6" t="n">
        <f aca="false">IF(internal_ai_reading=2,1,0)*Sens!F9860</f>
        <v>8.88340674531245</v>
      </c>
      <c r="G9861" s="6" t="n">
        <f aca="false">IF(internal_ai_reading=2,1,0)*Sens!G9860</f>
        <v>22.7060305170273</v>
      </c>
      <c r="H9861" s="6" t="n">
        <f aca="false">IF(internal_ai_reading=2,1,0)*Sens!H9860</f>
        <v>38.0018452382075</v>
      </c>
      <c r="I9861" s="6" t="n">
        <f aca="false">IF(internal_ai_reading=2,1,0)*Sens!I9860</f>
        <v>52.1381094705177</v>
      </c>
      <c r="J9861" s="6" t="n">
        <f aca="false">IF(internal_ai_reading=2,1,0)*Sens!J9860</f>
        <v>62.0595818934393</v>
      </c>
      <c r="K9861" s="6" t="n">
        <f aca="false">IF(internal_ai_reading=2,1,0)*Sens!K9860</f>
        <v>67.0801312706266</v>
      </c>
    </row>
    <row r="9862" customFormat="false" ht="17.15" hidden="false" customHeight="false" outlineLevel="0" collapsed="false">
      <c r="A9862" s="0" t="s">
        <v>1011</v>
      </c>
      <c r="B9862" s="0" t="s">
        <v>98</v>
      </c>
      <c r="F9862" s="6" t="n">
        <f aca="false">Sens!F9779+Sens!F9859*Sens!F9839+Sens!F9861-Sens!F9780-Sens!F9791</f>
        <v>18.5068678152817</v>
      </c>
      <c r="G9862" s="6" t="n">
        <f aca="false">Sens!G9779+Sens!G9859*Sens!G9839+Sens!G9861-Sens!G9780-Sens!G9791</f>
        <v>43.1983864982792</v>
      </c>
      <c r="H9862" s="6" t="n">
        <f aca="false">Sens!H9779+Sens!H9859*Sens!H9839+Sens!H9861-Sens!H9780-Sens!H9791</f>
        <v>73.502598356074</v>
      </c>
      <c r="I9862" s="6" t="n">
        <f aca="false">Sens!I9779+Sens!I9859*Sens!I9839+Sens!I9861-Sens!I9780-Sens!I9791</f>
        <v>94.7454135378504</v>
      </c>
      <c r="J9862" s="6" t="n">
        <f aca="false">Sens!J9779+Sens!J9859*Sens!J9839+Sens!J9861-Sens!J9780-Sens!J9791</f>
        <v>109.399608126358</v>
      </c>
      <c r="K9862" s="6" t="n">
        <f aca="false">Sens!K9779+Sens!K9859*Sens!K9839+Sens!K9861-Sens!K9780-Sens!K9791</f>
        <v>118.898703181943</v>
      </c>
    </row>
    <row r="9863" customFormat="false" ht="17.15" hidden="false" customHeight="false" outlineLevel="0" collapsed="false">
      <c r="A9863" s="0" t="s">
        <v>1012</v>
      </c>
      <c r="B9863" s="0" t="s">
        <v>98</v>
      </c>
      <c r="E9863" s="6" t="n">
        <f aca="false">Sens!E9759*(cxit_open+self_build*tk_cxfac)/1000*ai_net_open</f>
        <v>126.6980382</v>
      </c>
      <c r="F9863" s="6" t="n">
        <f aca="false">Sens!E9863+Sens!F9788-Sens!F9791</f>
        <v>260.572627763768</v>
      </c>
      <c r="G9863" s="6" t="n">
        <f aca="false">Sens!F9863+Sens!G9788-Sens!G9791</f>
        <v>391.782612760517</v>
      </c>
      <c r="H9863" s="6" t="n">
        <f aca="false">Sens!G9863+Sens!H9788-Sens!H9791</f>
        <v>499.488526163584</v>
      </c>
      <c r="I9863" s="6" t="n">
        <f aca="false">Sens!H9863+Sens!I9788-Sens!I9791</f>
        <v>553.872350090646</v>
      </c>
      <c r="J9863" s="6" t="n">
        <f aca="false">Sens!I9863+Sens!J9788-Sens!J9791</f>
        <v>550.78660823699</v>
      </c>
      <c r="K9863" s="6" t="n">
        <f aca="false">Sens!J9863+Sens!K9788-Sens!K9791</f>
        <v>526.736791750789</v>
      </c>
      <c r="L9863" s="1" t="s">
        <v>1013</v>
      </c>
    </row>
    <row r="9864" customFormat="false" ht="17.15" hidden="false" customHeight="false" outlineLevel="0" collapsed="false">
      <c r="A9864" s="0" t="s">
        <v>1014</v>
      </c>
      <c r="B9864" s="0" t="s">
        <v>168</v>
      </c>
      <c r="F9864" s="7" t="n">
        <f aca="false">Sens!F9862*(1-tax_f)/((Sens!E9863+Sens!F9863)/2)</f>
        <v>0.0764607059271074</v>
      </c>
      <c r="G9864" s="7" t="n">
        <f aca="false">Sens!G9862*(1-tax_f)/((Sens!F9863+Sens!G9863)/2)</f>
        <v>0.105950583522098</v>
      </c>
      <c r="H9864" s="7" t="n">
        <f aca="false">Sens!H9862*(1-tax_f)/((Sens!G9863+Sens!H9863)/2)</f>
        <v>0.131951044114011</v>
      </c>
      <c r="I9864" s="7" t="n">
        <f aca="false">Sens!I9862*(1-tax_f)/((Sens!H9863+Sens!I9863)/2)</f>
        <v>0.143913320760143</v>
      </c>
      <c r="J9864" s="7" t="n">
        <f aca="false">Sens!J9862*(1-tax_f)/((Sens!I9863+Sens!J9863)/2)</f>
        <v>0.158455577336889</v>
      </c>
      <c r="K9864" s="7" t="n">
        <f aca="false">Sens!K9862*(1-tax_f)/((Sens!J9863+Sens!K9863)/2)</f>
        <v>0.176551084731214</v>
      </c>
    </row>
    <row r="9865" customFormat="false" ht="17.15" hidden="false" customHeight="false" outlineLevel="0" collapsed="false">
      <c r="A9865" s="1" t="s">
        <v>1015</v>
      </c>
      <c r="B9865" s="0" t="s">
        <v>168</v>
      </c>
      <c r="F9865" s="7" t="n">
        <f aca="false">(Sens!F9862-Sens!F9861)*(1-tax_f)/((Sens!E9863+Sens!F9863)/2)</f>
        <v>0.0397591118181705</v>
      </c>
      <c r="G9865" s="7" t="n">
        <f aca="false">(Sens!G9862-Sens!G9861)*(1-tax_f)/((Sens!F9863+Sens!G9863)/2)</f>
        <v>0.0502606057761598</v>
      </c>
      <c r="H9865" s="7" t="n">
        <f aca="false">(Sens!H9862-Sens!H9861)*(1-tax_f)/((Sens!G9863+Sens!H9863)/2)</f>
        <v>0.0637305557287023</v>
      </c>
      <c r="I9865" s="7" t="n">
        <f aca="false">(Sens!I9862-Sens!I9861)*(1-tax_f)/((Sens!H9863+Sens!I9863)/2)</f>
        <v>0.0647182632699936</v>
      </c>
      <c r="J9865" s="7" t="n">
        <f aca="false">(Sens!J9862-Sens!J9861)*(1-tax_f)/((Sens!I9863+Sens!J9863)/2)</f>
        <v>0.0685678067440289</v>
      </c>
      <c r="K9865" s="7" t="n">
        <f aca="false">(Sens!K9862-Sens!K9861)*(1-tax_f)/((Sens!J9863+Sens!K9863)/2)</f>
        <v>0.0769447002812616</v>
      </c>
    </row>
    <row r="9866" customFormat="false" ht="17.15" hidden="false" customHeight="false" outlineLevel="0" collapsed="false">
      <c r="A9866" s="1" t="s">
        <v>1016</v>
      </c>
      <c r="B9866" s="0" t="s">
        <v>168</v>
      </c>
      <c r="F9866" s="7" t="n">
        <f aca="false">(Sens!F9862-Sens!F9861+Sens!F9860)*(1-tax_f)/((Sens!E9863+Sens!F9863)/2)</f>
        <v>0.0764607059271074</v>
      </c>
      <c r="G9866" s="7" t="n">
        <f aca="false">(Sens!G9862-Sens!G9861+Sens!G9860)*(1-tax_f)/((Sens!F9863+Sens!G9863)/2)</f>
        <v>0.105950583522098</v>
      </c>
      <c r="H9866" s="7" t="n">
        <f aca="false">(Sens!H9862-Sens!H9861+Sens!H9860)*(1-tax_f)/((Sens!G9863+Sens!H9863)/2)</f>
        <v>0.131951044114011</v>
      </c>
      <c r="I9866" s="7" t="n">
        <f aca="false">(Sens!I9862-Sens!I9861+Sens!I9860)*(1-tax_f)/((Sens!H9863+Sens!I9863)/2)</f>
        <v>0.143913320760143</v>
      </c>
      <c r="J9866" s="7" t="n">
        <f aca="false">(Sens!J9862-Sens!J9861+Sens!J9860)*(1-tax_f)/((Sens!I9863+Sens!J9863)/2)</f>
        <v>0.158455577336889</v>
      </c>
      <c r="K9866" s="7" t="n">
        <f aca="false">(Sens!K9862-Sens!K9861+Sens!K9860)*(1-tax_f)/((Sens!J9863+Sens!K9863)/2)</f>
        <v>0.176551084731214</v>
      </c>
    </row>
    <row r="9867" customFormat="false" ht="17.15" hidden="false" customHeight="false" outlineLevel="0" collapsed="false">
      <c r="A9867" s="1" t="s">
        <v>1017</v>
      </c>
      <c r="B9867" s="0" t="s">
        <v>168</v>
      </c>
      <c r="F9867" s="7" t="n">
        <f aca="false">Sens!F9792*(1-tax_f)/(Sens!F9778*(Sens!E9863+Sens!F9863)/2)</f>
        <v>0.15471433083293</v>
      </c>
      <c r="G9867" s="7" t="n">
        <f aca="false">Sens!G9792*(1-tax_f)/(Sens!G9778*(Sens!F9863+Sens!G9863)/2)</f>
        <v>0.176916911437355</v>
      </c>
      <c r="H9867" s="7" t="n">
        <f aca="false">Sens!H9792*(1-tax_f)/(Sens!H9778*(Sens!G9863+Sens!H9863)/2)</f>
        <v>0.207487057996582</v>
      </c>
      <c r="I9867" s="7" t="n">
        <f aca="false">Sens!I9792*(1-tax_f)/(Sens!I9778*(Sens!H9863+Sens!I9863)/2)</f>
        <v>0.219873660070946</v>
      </c>
      <c r="J9867" s="7" t="n">
        <f aca="false">Sens!J9792*(1-tax_f)/(Sens!J9778*(Sens!I9863+Sens!J9863)/2)</f>
        <v>0.238959457974928</v>
      </c>
      <c r="K9867" s="7" t="n">
        <f aca="false">Sens!K9792*(1-tax_f)/(Sens!K9778*(Sens!J9863+Sens!K9863)/2)</f>
        <v>0.264604270651536</v>
      </c>
    </row>
    <row r="9868" customFormat="false" ht="17.15" hidden="false" customHeight="false" outlineLevel="0" collapsed="false">
      <c r="A9868" s="0" t="s">
        <v>1018</v>
      </c>
      <c r="B9868" s="0" t="s">
        <v>253</v>
      </c>
      <c r="F9868" s="7" t="n">
        <f aca="false">Sens!F9864-wacc</f>
        <v>-0.0264758850184899</v>
      </c>
      <c r="G9868" s="7" t="n">
        <f aca="false">Sens!G9864-wacc</f>
        <v>0.00301399257650095</v>
      </c>
      <c r="H9868" s="7" t="n">
        <f aca="false">Sens!H9864-wacc</f>
        <v>0.0290144531684132</v>
      </c>
      <c r="I9868" s="7" t="n">
        <f aca="false">Sens!I9864-wacc</f>
        <v>0.0409767298145461</v>
      </c>
      <c r="J9868" s="7" t="n">
        <f aca="false">Sens!J9864-wacc</f>
        <v>0.0555189863912922</v>
      </c>
      <c r="K9868" s="7" t="n">
        <f aca="false">Sens!K9864-wacc</f>
        <v>0.0736144937856168</v>
      </c>
    </row>
    <row r="9869" customFormat="false" ht="17.15" hidden="false" customHeight="false" outlineLevel="0" collapsed="false">
      <c r="A9869" s="0" t="s">
        <v>1019</v>
      </c>
      <c r="B9869" s="0" t="s">
        <v>98</v>
      </c>
      <c r="F9869" s="6" t="n">
        <f aca="false">Sens!F9862*(1-tax_f)-wacc*(Sens!E9863+Sens!F9863)/2</f>
        <v>-5.12666681154535</v>
      </c>
      <c r="G9869" s="6" t="n">
        <f aca="false">Sens!G9862*(1-tax_f)-wacc*(Sens!F9863+Sens!G9863)/2</f>
        <v>0.983096926090845</v>
      </c>
      <c r="H9869" s="6" t="n">
        <f aca="false">Sens!H9862*(1-tax_f)-wacc*(Sens!G9863+Sens!H9863)/2</f>
        <v>12.9298723603358</v>
      </c>
      <c r="I9869" s="6" t="n">
        <f aca="false">Sens!I9862*(1-tax_f)-wacc*(Sens!H9863+Sens!I9863)/2</f>
        <v>21.5816420117415</v>
      </c>
      <c r="J9869" s="6" t="n">
        <f aca="false">Sens!J9862*(1-tax_f)-wacc*(Sens!I9863+Sens!J9863)/2</f>
        <v>30.6647728372055</v>
      </c>
      <c r="K9869" s="6" t="n">
        <f aca="false">Sens!K9862*(1-tax_f)-wacc*(Sens!J9863+Sens!K9863)/2</f>
        <v>39.6606698161285</v>
      </c>
    </row>
    <row r="9870" customFormat="false" ht="17.15" hidden="false" customHeight="false" outlineLevel="0" collapsed="false">
      <c r="A9870" s="3" t="s">
        <v>1858</v>
      </c>
    </row>
    <row r="9871" customFormat="false" ht="15" hidden="false" customHeight="false" outlineLevel="0" collapsed="false">
      <c r="A9871" s="4" t="s">
        <v>43</v>
      </c>
      <c r="B9871" s="4" t="s">
        <v>65</v>
      </c>
      <c r="C9871" s="23" t="s">
        <v>942</v>
      </c>
      <c r="D9871" s="23" t="s">
        <v>943</v>
      </c>
      <c r="E9871" s="23" t="s">
        <v>944</v>
      </c>
      <c r="F9871" s="23" t="s">
        <v>945</v>
      </c>
      <c r="G9871" s="23" t="s">
        <v>946</v>
      </c>
      <c r="H9871" s="23" t="s">
        <v>947</v>
      </c>
      <c r="I9871" s="23" t="s">
        <v>948</v>
      </c>
      <c r="J9871" s="23" t="s">
        <v>949</v>
      </c>
      <c r="K9871" s="23" t="s">
        <v>950</v>
      </c>
      <c r="L9871" s="4" t="s">
        <v>47</v>
      </c>
    </row>
    <row r="9872" customFormat="false" ht="15" hidden="false" customHeight="false" outlineLevel="0" collapsed="false">
      <c r="A9872" s="1" t="s">
        <v>1080</v>
      </c>
      <c r="B9872" s="0" t="s">
        <v>98</v>
      </c>
      <c r="F9872" s="6" t="n">
        <f aca="false">Sens!F9853</f>
        <v>147.618639451475</v>
      </c>
      <c r="G9872" s="6" t="n">
        <f aca="false">Sens!G9853</f>
        <v>168.728943344959</v>
      </c>
      <c r="H9872" s="6" t="n">
        <f aca="false">Sens!H9853</f>
        <v>197.8302016769</v>
      </c>
      <c r="I9872" s="6" t="n">
        <f aca="false">Sens!I9853</f>
        <v>221.016073378783</v>
      </c>
      <c r="J9872" s="6" t="n">
        <f aca="false">Sens!J9853</f>
        <v>242.242502068215</v>
      </c>
      <c r="K9872" s="6" t="n">
        <f aca="false">Sens!K9853</f>
        <v>262.672198523883</v>
      </c>
    </row>
    <row r="9873" customFormat="false" ht="17.15" hidden="false" customHeight="false" outlineLevel="0" collapsed="false">
      <c r="A9873" s="1" t="s">
        <v>1102</v>
      </c>
      <c r="B9873" s="0" t="s">
        <v>98</v>
      </c>
      <c r="E9873" s="6" t="n">
        <f aca="false">Q!M38-Sens!E9791</f>
        <v>22.2285940229167</v>
      </c>
      <c r="F9873" s="6" t="n">
        <f aca="false">Sens!E9873*(1-1/life_nonai)+(Sens!F9881+Sens!F9882)/life_nonai</f>
        <v>23.583299942395</v>
      </c>
      <c r="G9873" s="6" t="n">
        <f aca="false">Sens!F9873*(1-1/life_nonai)+(Sens!G9881)/life_nonai</f>
        <v>25.4161990908599</v>
      </c>
      <c r="H9873" s="6" t="n">
        <f aca="false">Sens!G9873*(1-1/life_nonai)+(Sens!H9881)/life_nonai</f>
        <v>27.7113664005265</v>
      </c>
      <c r="I9873" s="6" t="n">
        <f aca="false">Sens!H9873*(1-1/life_nonai)+(Sens!I9881)/life_nonai</f>
        <v>30.4186342674099</v>
      </c>
      <c r="J9873" s="6" t="n">
        <f aca="false">Sens!I9873*(1-1/life_nonai)+(Sens!J9881)/life_nonai</f>
        <v>33.4760674882716</v>
      </c>
      <c r="K9873" s="6" t="n">
        <f aca="false">Sens!J9873*(1-1/life_nonai)+(Sens!K9881)/life_nonai</f>
        <v>36.8307391796613</v>
      </c>
      <c r="L9873" s="12" t="s">
        <v>1103</v>
      </c>
    </row>
    <row r="9874" customFormat="false" ht="17.15" hidden="false" customHeight="false" outlineLevel="0" collapsed="false">
      <c r="A9874" s="1" t="s">
        <v>1104</v>
      </c>
      <c r="B9874" s="0" t="s">
        <v>98</v>
      </c>
      <c r="F9874" s="6" t="n">
        <f aca="false">Sens!$F$9882/life_nonai*(1-1/life_nonai)^(Sens!F9754-2027)</f>
        <v>0</v>
      </c>
      <c r="G9874" s="6" t="n">
        <f aca="false">Sens!$F$9882/life_nonai*(1-1/life_nonai)^(Sens!G9754-2027)</f>
        <v>0</v>
      </c>
      <c r="H9874" s="6" t="n">
        <f aca="false">Sens!$F$9882/life_nonai*(1-1/life_nonai)^(Sens!H9754-2027)</f>
        <v>0</v>
      </c>
      <c r="I9874" s="6" t="n">
        <f aca="false">Sens!$F$9882/life_nonai*(1-1/life_nonai)^(Sens!I9754-2027)</f>
        <v>0</v>
      </c>
      <c r="J9874" s="6" t="n">
        <f aca="false">Sens!$F$9882/life_nonai*(1-1/life_nonai)^(Sens!J9754-2027)</f>
        <v>0</v>
      </c>
      <c r="K9874" s="6" t="n">
        <f aca="false">Sens!$F$9882/life_nonai*(1-1/life_nonai)^(Sens!K9754-2027)</f>
        <v>0</v>
      </c>
      <c r="L9874" s="1" t="s">
        <v>1105</v>
      </c>
    </row>
    <row r="9875" customFormat="false" ht="17.15" hidden="false" customHeight="false" outlineLevel="0" collapsed="false">
      <c r="A9875" s="1" t="s">
        <v>1106</v>
      </c>
      <c r="B9875" s="0" t="s">
        <v>98</v>
      </c>
      <c r="E9875" s="6" t="n">
        <f aca="false">Sens!E9791+Sens!E9873</f>
        <v>38.534</v>
      </c>
      <c r="F9875" s="6" t="n">
        <f aca="false">Sens!F9791+Sens!F9873</f>
        <v>58.1626144207466</v>
      </c>
      <c r="G9875" s="6" t="n">
        <f aca="false">Sens!G9791+Sens!G9873</f>
        <v>86.1506897431589</v>
      </c>
      <c r="H9875" s="6" t="n">
        <f aca="false">Sens!H9791+Sens!H9873</f>
        <v>116.811457061972</v>
      </c>
      <c r="I9875" s="6" t="n">
        <f aca="false">Sens!I9791+Sens!I9873</f>
        <v>144.649643961958</v>
      </c>
      <c r="J9875" s="6" t="n">
        <f aca="false">Sens!J9791+Sens!J9873</f>
        <v>165.491740537868</v>
      </c>
      <c r="K9875" s="6" t="n">
        <f aca="false">Sens!K9791+Sens!K9873</f>
        <v>179.843408730595</v>
      </c>
    </row>
    <row r="9876" customFormat="false" ht="17.15" hidden="false" customHeight="false" outlineLevel="0" collapsed="false">
      <c r="A9876" s="1" t="s">
        <v>1107</v>
      </c>
      <c r="B9876" s="0" t="s">
        <v>98</v>
      </c>
      <c r="F9876" s="6" t="n">
        <f aca="false">Sens!F9818*sbc_r</f>
        <v>15.0824867760216</v>
      </c>
      <c r="G9876" s="6" t="n">
        <f aca="false">Sens!G9818*sbc_r</f>
        <v>18.4465716495086</v>
      </c>
      <c r="H9876" s="6" t="n">
        <f aca="false">Sens!H9818*sbc_r</f>
        <v>22.1087089237529</v>
      </c>
      <c r="I9876" s="6" t="n">
        <f aca="false">Sens!I9818*sbc_r</f>
        <v>25.2977845995526</v>
      </c>
      <c r="J9876" s="6" t="n">
        <f aca="false">Sens!J9818*sbc_r</f>
        <v>27.9631043071492</v>
      </c>
      <c r="K9876" s="6" t="n">
        <f aca="false">Sens!K9818*sbc_r</f>
        <v>30.2062019253434</v>
      </c>
    </row>
    <row r="9877" customFormat="false" ht="17.15" hidden="false" customHeight="false" outlineLevel="0" collapsed="false">
      <c r="A9877" s="1" t="s">
        <v>1108</v>
      </c>
      <c r="B9877" s="0" t="s">
        <v>98</v>
      </c>
      <c r="F9877" s="6" t="n">
        <f aca="false">wc27-wc26q1</f>
        <v>-4.677</v>
      </c>
      <c r="G9877" s="6" t="n">
        <f aca="false">wc_f</f>
        <v>0</v>
      </c>
      <c r="H9877" s="6" t="n">
        <f aca="false">wc_f</f>
        <v>0</v>
      </c>
      <c r="I9877" s="6" t="n">
        <f aca="false">wc_f</f>
        <v>0</v>
      </c>
      <c r="J9877" s="6" t="n">
        <f aca="false">wc_f</f>
        <v>0</v>
      </c>
      <c r="K9877" s="6" t="n">
        <f aca="false">wc_f</f>
        <v>0</v>
      </c>
      <c r="L9877" s="12" t="s">
        <v>1109</v>
      </c>
    </row>
    <row r="9878" customFormat="false" ht="17.15" hidden="false" customHeight="false" outlineLevel="0" collapsed="false">
      <c r="A9878" s="0" t="s">
        <v>1110</v>
      </c>
      <c r="B9878" s="0" t="s">
        <v>98</v>
      </c>
      <c r="F9878" s="6" t="n">
        <f aca="false">Q!$I$35-Q!$I$26-Q!$I$38-Q!$I$39</f>
        <v>6.493</v>
      </c>
      <c r="L9878" s="1" t="s">
        <v>1111</v>
      </c>
    </row>
    <row r="9879" customFormat="false" ht="15" hidden="false" customHeight="false" outlineLevel="0" collapsed="false">
      <c r="A9879" s="1" t="s">
        <v>908</v>
      </c>
      <c r="B9879" s="0" t="s">
        <v>98</v>
      </c>
      <c r="E9879" s="6" t="n">
        <f aca="false">Q!M35</f>
        <v>182.935</v>
      </c>
      <c r="F9879" s="6" t="n">
        <f aca="false">Sens!F9872+Sens!F9875+Sens!F9876+Sens!F9877+Sens!F9878</f>
        <v>222.679740648243</v>
      </c>
      <c r="G9879" s="6" t="n">
        <f aca="false">Sens!G9872+Sens!G9875+Sens!G9876+Sens!G9877</f>
        <v>273.326204737627</v>
      </c>
      <c r="H9879" s="6" t="n">
        <f aca="false">Sens!H9872+Sens!H9875+Sens!H9876+Sens!H9877</f>
        <v>336.750367662625</v>
      </c>
      <c r="I9879" s="6" t="n">
        <f aca="false">Sens!I9872+Sens!I9875+Sens!I9876+Sens!I9877</f>
        <v>390.963501940294</v>
      </c>
      <c r="J9879" s="6" t="n">
        <f aca="false">Sens!J9872+Sens!J9875+Sens!J9876+Sens!J9877</f>
        <v>435.697346913232</v>
      </c>
      <c r="K9879" s="6" t="n">
        <f aca="false">Sens!K9872+Sens!K9875+Sens!K9876+Sens!K9877</f>
        <v>472.721809179822</v>
      </c>
    </row>
    <row r="9880" customFormat="false" ht="17.15" hidden="false" customHeight="false" outlineLevel="0" collapsed="false">
      <c r="A9880" s="0" t="s">
        <v>1112</v>
      </c>
      <c r="B9880" s="0" t="s">
        <v>98</v>
      </c>
      <c r="F9880" s="6" t="n">
        <f aca="false">Sens!F9788</f>
        <v>168.45390404212</v>
      </c>
      <c r="G9880" s="6" t="n">
        <f aca="false">Sens!G9788</f>
        <v>191.944475649048</v>
      </c>
      <c r="H9880" s="6" t="n">
        <f aca="false">Sens!H9788</f>
        <v>196.806004064512</v>
      </c>
      <c r="I9880" s="6" t="n">
        <f aca="false">Sens!I9788</f>
        <v>168.61483362161</v>
      </c>
      <c r="J9880" s="6" t="n">
        <f aca="false">Sens!J9788</f>
        <v>128.92993119594</v>
      </c>
      <c r="K9880" s="6" t="n">
        <f aca="false">Sens!K9788</f>
        <v>118.962853064733</v>
      </c>
    </row>
    <row r="9881" customFormat="false" ht="17.15" hidden="false" customHeight="false" outlineLevel="0" collapsed="false">
      <c r="A9881" s="1" t="s">
        <v>1113</v>
      </c>
      <c r="B9881" s="0" t="s">
        <v>98</v>
      </c>
      <c r="E9881" s="6" t="n">
        <f aca="false">Sens!E9796*cx_azo+Sens!E9803*cx_m365+Sens!E9804*cx_lic+(Sens!E9806+Sens!E9808)*cx_ind+Sens!E9811*cx_srch+(Sens!E9813+Sens!E9815)*cx_dev</f>
        <v>30.1846587067718</v>
      </c>
      <c r="F9881" s="6" t="n">
        <f aca="false">Sens!F9796*cx_azo+Sens!F9803*cx_m365+Sens!F9804*cx_lic+(Sens!F9806+Sens!F9808)*cx_ind+Sens!F9811*cx_srch+(Sens!F9813+Sens!F9815)*cx_dev</f>
        <v>35.7756532176997</v>
      </c>
      <c r="G9881" s="6" t="n">
        <f aca="false">Sens!G9796*cx_azo+Sens!G9803*cx_m365+Sens!G9804*cx_lic+(Sens!G9806+Sens!G9808)*cx_ind+Sens!G9811*cx_srch+(Sens!G9813+Sens!G9815)*cx_dev</f>
        <v>41.9122914270445</v>
      </c>
      <c r="H9881" s="6" t="n">
        <f aca="false">Sens!H9796*cx_azo+Sens!H9803*cx_m365+Sens!H9804*cx_lic+(Sens!H9806+Sens!H9808)*cx_ind+Sens!H9811*cx_srch+(Sens!H9813+Sens!H9815)*cx_dev</f>
        <v>48.3678721875256</v>
      </c>
      <c r="I9881" s="6" t="n">
        <f aca="false">Sens!I9796*cx_azo+Sens!I9803*cx_m365+Sens!I9804*cx_lic+(Sens!I9806+Sens!I9808)*cx_ind+Sens!I9811*cx_srch+(Sens!I9813+Sens!I9815)*cx_dev</f>
        <v>54.7840450693606</v>
      </c>
      <c r="J9881" s="6" t="n">
        <f aca="false">Sens!J9796*cx_azo+Sens!J9803*cx_m365+Sens!J9804*cx_lic+(Sens!J9806+Sens!J9808)*cx_ind+Sens!J9811*cx_srch+(Sens!J9813+Sens!J9815)*cx_dev</f>
        <v>60.9929664760267</v>
      </c>
      <c r="K9881" s="6" t="n">
        <f aca="false">Sens!K9796*cx_azo+Sens!K9803*cx_m365+Sens!K9804*cx_lic+(Sens!K9806+Sens!K9808)*cx_ind+Sens!K9811*cx_srch+(Sens!K9813+Sens!K9815)*cx_dev</f>
        <v>67.0227844021684</v>
      </c>
    </row>
    <row r="9882" customFormat="false" ht="17.15" hidden="false" customHeight="false" outlineLevel="0" collapsed="false">
      <c r="A9882" s="0" t="s">
        <v>1114</v>
      </c>
      <c r="B9882" s="0" t="s">
        <v>98</v>
      </c>
      <c r="F9882" s="6" t="n">
        <f aca="false">Sens!F9786</f>
        <v>0</v>
      </c>
      <c r="L9882" s="1" t="s">
        <v>1115</v>
      </c>
    </row>
    <row r="9883" customFormat="false" ht="17.15" hidden="false" customHeight="false" outlineLevel="0" collapsed="false">
      <c r="A9883" s="1" t="s">
        <v>1116</v>
      </c>
      <c r="B9883" s="0" t="s">
        <v>98</v>
      </c>
      <c r="E9883" s="6" t="n">
        <f aca="false">Q!M43</f>
        <v>145.3</v>
      </c>
      <c r="F9883" s="6" t="n">
        <f aca="false">Sens!F9880+Sens!F9881+Sens!F9882</f>
        <v>204.229557259819</v>
      </c>
      <c r="G9883" s="6" t="n">
        <f aca="false">Sens!G9880+Sens!G9881</f>
        <v>233.856767076093</v>
      </c>
      <c r="H9883" s="6" t="n">
        <f aca="false">Sens!H9880+Sens!H9881</f>
        <v>245.173876252038</v>
      </c>
      <c r="I9883" s="6" t="n">
        <f aca="false">Sens!I9880+Sens!I9881</f>
        <v>223.398878690971</v>
      </c>
      <c r="J9883" s="6" t="n">
        <f aca="false">Sens!J9880+Sens!J9881</f>
        <v>189.922897671967</v>
      </c>
      <c r="K9883" s="6" t="n">
        <f aca="false">Sens!K9880+Sens!K9881</f>
        <v>185.985637466901</v>
      </c>
      <c r="L9883" s="1" t="s">
        <v>1117</v>
      </c>
    </row>
    <row r="9884" customFormat="false" ht="15" hidden="false" customHeight="false" outlineLevel="0" collapsed="false">
      <c r="A9884" s="1" t="s">
        <v>1118</v>
      </c>
      <c r="B9884" s="0" t="s">
        <v>98</v>
      </c>
      <c r="E9884" s="6" t="n">
        <f aca="false">fl_liab</f>
        <v>66.594</v>
      </c>
      <c r="F9884" s="6" t="n">
        <f aca="false">Sens!E9884-Sens!F9885</f>
        <v>62.46973</v>
      </c>
      <c r="G9884" s="6" t="n">
        <f aca="false">Sens!F9884-Sens!G9885</f>
        <v>57.98686785</v>
      </c>
      <c r="H9884" s="6" t="n">
        <f aca="false">Sens!G9884-Sens!H9885</f>
        <v>53.92827690325</v>
      </c>
      <c r="I9884" s="6" t="n">
        <f aca="false">Sens!H9884-Sens!I9885</f>
        <v>49.7850493638962</v>
      </c>
      <c r="J9884" s="6" t="n">
        <f aca="false">Sens!I9884-Sens!J9885</f>
        <v>45.4823765852716</v>
      </c>
      <c r="K9884" s="6" t="n">
        <f aca="false">Sens!J9884-Sens!K9885</f>
        <v>40.9860835316088</v>
      </c>
    </row>
    <row r="9885" customFormat="false" ht="15" hidden="false" customHeight="false" outlineLevel="0" collapsed="false">
      <c r="A9885" s="1" t="s">
        <v>1119</v>
      </c>
      <c r="B9885" s="0" t="s">
        <v>98</v>
      </c>
      <c r="F9885" s="6" t="n">
        <f aca="false">fl_pay_27-Sens!E9884*fl_rate</f>
        <v>4.12427</v>
      </c>
      <c r="G9885" s="6" t="n">
        <f aca="false">fl_pay_28-Sens!F9884*fl_rate</f>
        <v>4.48286215</v>
      </c>
      <c r="H9885" s="6" t="n">
        <f aca="false">fl_pay_29-Sens!G9884*fl_rate</f>
        <v>4.05859094675</v>
      </c>
      <c r="I9885" s="6" t="n">
        <f aca="false">fl_pay_30-Sens!H9884*fl_rate</f>
        <v>4.14322753935375</v>
      </c>
      <c r="J9885" s="6" t="n">
        <f aca="false">fl_pay_31-Sens!I9884*fl_rate</f>
        <v>4.30267277862467</v>
      </c>
      <c r="K9885" s="6" t="n">
        <f aca="false">fl_pay_32-Sens!J9884*fl_rate</f>
        <v>4.49629305366278</v>
      </c>
    </row>
    <row r="9886" customFormat="false" ht="17.15" hidden="false" customHeight="false" outlineLevel="0" collapsed="false">
      <c r="A9886" s="1" t="s">
        <v>1120</v>
      </c>
      <c r="B9886" s="0" t="s">
        <v>98</v>
      </c>
      <c r="E9886" s="6" t="n">
        <f aca="false">Q!M35-Q!M36-Q!M44</f>
        <v>63.886</v>
      </c>
      <c r="F9886" s="6" t="n">
        <f aca="false">Sens!F9879-Sens!F9883-Sens!F9885</f>
        <v>14.3259133884241</v>
      </c>
      <c r="G9886" s="6" t="n">
        <f aca="false">Sens!G9879-Sens!G9883-Sens!G9885</f>
        <v>34.9865755115341</v>
      </c>
      <c r="H9886" s="6" t="n">
        <f aca="false">Sens!H9879-Sens!H9883-Sens!H9885</f>
        <v>87.5179004638374</v>
      </c>
      <c r="I9886" s="6" t="n">
        <f aca="false">Sens!I9879-Sens!I9883-Sens!I9885</f>
        <v>163.421395709969</v>
      </c>
      <c r="J9886" s="6" t="n">
        <f aca="false">Sens!J9879-Sens!J9883-Sens!J9885</f>
        <v>241.47177646264</v>
      </c>
      <c r="K9886" s="6" t="n">
        <f aca="false">Sens!K9879-Sens!K9883-Sens!K9885</f>
        <v>282.239878659258</v>
      </c>
      <c r="L9886" s="12" t="s">
        <v>1121</v>
      </c>
    </row>
    <row r="9887" customFormat="false" ht="15" hidden="false" customHeight="false" outlineLevel="0" collapsed="false">
      <c r="A9887" s="1" t="s">
        <v>1122</v>
      </c>
      <c r="B9887" s="0" t="s">
        <v>75</v>
      </c>
      <c r="F9887" s="8" t="n">
        <f aca="false">dps_27</f>
        <v>3.85</v>
      </c>
      <c r="G9887" s="8" t="n">
        <f aca="false">Sens!F9887*(1+dps_g)</f>
        <v>4.158</v>
      </c>
      <c r="H9887" s="8" t="n">
        <f aca="false">Sens!G9887*(1+dps_g)</f>
        <v>4.49064</v>
      </c>
      <c r="I9887" s="8" t="n">
        <f aca="false">Sens!H9887*(1+dps_g)</f>
        <v>4.8498912</v>
      </c>
      <c r="J9887" s="8" t="n">
        <f aca="false">Sens!I9887*(1+dps_g)</f>
        <v>5.237882496</v>
      </c>
      <c r="K9887" s="8" t="n">
        <f aca="false">Sens!J9887*(1+dps_g)</f>
        <v>5.65691309568</v>
      </c>
    </row>
    <row r="9888" customFormat="false" ht="17.15" hidden="false" customHeight="false" outlineLevel="0" collapsed="false">
      <c r="A9888" s="1" t="s">
        <v>1123</v>
      </c>
      <c r="B9888" s="0" t="s">
        <v>98</v>
      </c>
      <c r="E9888" s="6" t="n">
        <f aca="false">Q!M41</f>
        <v>26.445</v>
      </c>
      <c r="F9888" s="6" t="n">
        <f aca="false">Sens!F9887*Sens!E9897</f>
        <v>28.59395</v>
      </c>
      <c r="G9888" s="6" t="n">
        <f aca="false">Sens!G9887*Sens!F9897</f>
        <v>31.043523170946</v>
      </c>
      <c r="H9888" s="6" t="n">
        <f aca="false">Sens!H9887*Sens!G9897</f>
        <v>33.6993738384656</v>
      </c>
      <c r="I9888" s="6" t="n">
        <f aca="false">Sens!I9887*Sens!H9897</f>
        <v>36.4457620226155</v>
      </c>
      <c r="J9888" s="6" t="n">
        <f aca="false">Sens!J9887*Sens!I9897</f>
        <v>39.4293208698174</v>
      </c>
      <c r="K9888" s="6" t="n">
        <f aca="false">Sens!K9887*Sens!J9897</f>
        <v>42.670420801781</v>
      </c>
      <c r="L9888" s="1" t="s">
        <v>1124</v>
      </c>
    </row>
    <row r="9889" customFormat="false" ht="15" hidden="false" customHeight="false" outlineLevel="0" collapsed="false">
      <c r="A9889" s="1" t="s">
        <v>1125</v>
      </c>
      <c r="B9889" s="0" t="s">
        <v>98</v>
      </c>
      <c r="E9889" s="6" t="n">
        <f aca="false">Sens!E9886-Sens!E9888</f>
        <v>37.441</v>
      </c>
      <c r="F9889" s="6" t="n">
        <f aca="false">Sens!F9886-Sens!F9888</f>
        <v>-14.2680366115759</v>
      </c>
      <c r="G9889" s="6" t="n">
        <f aca="false">Sens!G9886-Sens!G9888</f>
        <v>3.94305234058805</v>
      </c>
      <c r="H9889" s="6" t="n">
        <f aca="false">Sens!H9886-Sens!H9888</f>
        <v>53.8185266253718</v>
      </c>
      <c r="I9889" s="6" t="n">
        <f aca="false">Sens!I9886-Sens!I9888</f>
        <v>126.975633687354</v>
      </c>
      <c r="J9889" s="6" t="n">
        <f aca="false">Sens!J9886-Sens!J9888</f>
        <v>202.042455592823</v>
      </c>
      <c r="K9889" s="6" t="n">
        <f aca="false">Sens!K9886-Sens!K9888</f>
        <v>239.569457857477</v>
      </c>
    </row>
    <row r="9890" customFormat="false" ht="15" hidden="false" customHeight="false" outlineLevel="0" collapsed="false">
      <c r="A9890" s="1" t="s">
        <v>1126</v>
      </c>
      <c r="B9890" s="0" t="s">
        <v>98</v>
      </c>
      <c r="F9890" s="6" t="n">
        <f aca="false">debt_mat_27</f>
        <v>9.25</v>
      </c>
      <c r="G9890" s="6" t="n">
        <f aca="false">debt_mat_28</f>
        <v>0</v>
      </c>
      <c r="H9890" s="6" t="n">
        <f aca="false">debt_mat_29</f>
        <v>2.001</v>
      </c>
      <c r="I9890" s="6" t="n">
        <f aca="false">debt_mat_30</f>
        <v>0</v>
      </c>
      <c r="J9890" s="6" t="n">
        <f aca="false">debt_mat_31</f>
        <v>0.5</v>
      </c>
      <c r="K9890" s="6" t="n">
        <f aca="false">debt_mat_32</f>
        <v>0</v>
      </c>
    </row>
    <row r="9891" customFormat="false" ht="15" hidden="false" customHeight="false" outlineLevel="0" collapsed="false">
      <c r="A9891" s="1" t="s">
        <v>1127</v>
      </c>
      <c r="B9891" s="0" t="s">
        <v>98</v>
      </c>
      <c r="E9891" s="6" t="n">
        <f aca="false">Q!M40</f>
        <v>22.271</v>
      </c>
      <c r="F9891" s="6" t="n">
        <f aca="false">MAX(0,MIN(bb_target,Sens!E9893+Sens!F9889-Sens!F9890-min_cash))</f>
        <v>3.32496338842411</v>
      </c>
      <c r="G9891" s="6" t="n">
        <f aca="false">MAX(0,MIN(bb_target,Sens!F9893+Sens!G9889-Sens!G9890-min_cash))</f>
        <v>3.94305234058805</v>
      </c>
      <c r="H9891" s="6" t="n">
        <f aca="false">MAX(0,MIN(bb_target,Sens!G9893+Sens!H9889-Sens!H9890-min_cash))</f>
        <v>22.271</v>
      </c>
      <c r="I9891" s="6" t="n">
        <f aca="false">MAX(0,MIN(bb_target,Sens!H9893+Sens!I9889-Sens!I9890-min_cash))</f>
        <v>22.271</v>
      </c>
      <c r="J9891" s="6" t="n">
        <f aca="false">MAX(0,MIN(bb_target,Sens!I9893+Sens!J9889-Sens!J9890-min_cash))</f>
        <v>22.271</v>
      </c>
      <c r="K9891" s="6" t="n">
        <f aca="false">MAX(0,MIN(bb_target,Sens!J9893+Sens!K9889-Sens!K9890-min_cash))</f>
        <v>22.271</v>
      </c>
    </row>
    <row r="9892" customFormat="false" ht="15" hidden="false" customHeight="false" outlineLevel="0" collapsed="false">
      <c r="A9892" s="1" t="s">
        <v>1128</v>
      </c>
      <c r="B9892" s="0" t="s">
        <v>98</v>
      </c>
      <c r="F9892" s="6" t="n">
        <f aca="false">MAX(0,min_cash-(Sens!E9893+Sens!F9889-Sens!F9890-Sens!F9891))</f>
        <v>0</v>
      </c>
      <c r="G9892" s="6" t="n">
        <f aca="false">MAX(0,min_cash-(Sens!F9893+Sens!G9889-Sens!G9890-Sens!G9891))</f>
        <v>0</v>
      </c>
      <c r="H9892" s="6" t="n">
        <f aca="false">MAX(0,min_cash-(Sens!G9893+Sens!H9889-Sens!H9890-Sens!H9891))</f>
        <v>0</v>
      </c>
      <c r="I9892" s="6" t="n">
        <f aca="false">MAX(0,min_cash-(Sens!H9893+Sens!I9889-Sens!I9890-Sens!I9891))</f>
        <v>0</v>
      </c>
      <c r="J9892" s="6" t="n">
        <f aca="false">MAX(0,min_cash-(Sens!I9893+Sens!J9889-Sens!J9890-Sens!J9891))</f>
        <v>0</v>
      </c>
      <c r="K9892" s="6" t="n">
        <f aca="false">MAX(0,min_cash-(Sens!J9893+Sens!K9889-Sens!K9890-Sens!K9891))</f>
        <v>0</v>
      </c>
    </row>
    <row r="9893" customFormat="false" ht="15" hidden="false" customHeight="false" outlineLevel="0" collapsed="false">
      <c r="A9893" s="1" t="s">
        <v>1129</v>
      </c>
      <c r="B9893" s="0" t="s">
        <v>98</v>
      </c>
      <c r="E9893" s="6" t="n">
        <f aca="false">cash_open</f>
        <v>76.843</v>
      </c>
      <c r="F9893" s="6" t="n">
        <f aca="false">Sens!E9893+Sens!F9889-Sens!F9890-Sens!F9891+Sens!F9892</f>
        <v>50</v>
      </c>
      <c r="G9893" s="6" t="n">
        <f aca="false">Sens!F9893+Sens!G9889-Sens!G9890-Sens!G9891+Sens!G9892</f>
        <v>50</v>
      </c>
      <c r="H9893" s="6" t="n">
        <f aca="false">Sens!G9893+Sens!H9889-Sens!H9890-Sens!H9891+Sens!H9892</f>
        <v>79.5465266253718</v>
      </c>
      <c r="I9893" s="6" t="n">
        <f aca="false">Sens!H9893+Sens!I9889-Sens!I9890-Sens!I9891+Sens!I9892</f>
        <v>184.251160312725</v>
      </c>
      <c r="J9893" s="6" t="n">
        <f aca="false">Sens!I9893+Sens!J9889-Sens!J9890-Sens!J9891+Sens!J9892</f>
        <v>363.522615905548</v>
      </c>
      <c r="K9893" s="6" t="n">
        <f aca="false">Sens!J9893+Sens!K9889-Sens!K9890-Sens!K9891+Sens!K9892</f>
        <v>580.821073763025</v>
      </c>
    </row>
    <row r="9894" customFormat="false" ht="15" hidden="false" customHeight="false" outlineLevel="0" collapsed="false">
      <c r="A9894" s="1" t="s">
        <v>1130</v>
      </c>
      <c r="B9894" s="0" t="s">
        <v>98</v>
      </c>
      <c r="E9894" s="6" t="n">
        <f aca="false">debt_face</f>
        <v>46.136</v>
      </c>
      <c r="F9894" s="6" t="n">
        <f aca="false">Sens!E9894-Sens!F9890+Sens!F9892</f>
        <v>36.886</v>
      </c>
      <c r="G9894" s="6" t="n">
        <f aca="false">Sens!F9894-Sens!G9890+Sens!G9892</f>
        <v>36.886</v>
      </c>
      <c r="H9894" s="6" t="n">
        <f aca="false">Sens!G9894-Sens!H9890+Sens!H9892</f>
        <v>34.885</v>
      </c>
      <c r="I9894" s="6" t="n">
        <f aca="false">Sens!H9894-Sens!I9890+Sens!I9892</f>
        <v>34.885</v>
      </c>
      <c r="J9894" s="6" t="n">
        <f aca="false">Sens!I9894-Sens!J9890+Sens!J9892</f>
        <v>34.385</v>
      </c>
      <c r="K9894" s="6" t="n">
        <f aca="false">Sens!J9894-Sens!K9890+Sens!K9892</f>
        <v>34.385</v>
      </c>
    </row>
    <row r="9895" customFormat="false" ht="15" hidden="false" customHeight="false" outlineLevel="0" collapsed="false">
      <c r="A9895" s="1" t="s">
        <v>1131</v>
      </c>
      <c r="B9895" s="0" t="s">
        <v>98</v>
      </c>
      <c r="E9895" s="6" t="n">
        <f aca="false">Sens!E9893-Sens!E9894</f>
        <v>30.707</v>
      </c>
      <c r="F9895" s="6" t="n">
        <f aca="false">Sens!F9893-Sens!F9894</f>
        <v>13.114</v>
      </c>
      <c r="G9895" s="6" t="n">
        <f aca="false">Sens!G9893-Sens!G9894</f>
        <v>13.114</v>
      </c>
      <c r="H9895" s="6" t="n">
        <f aca="false">Sens!H9893-Sens!H9894</f>
        <v>44.6615266253718</v>
      </c>
      <c r="I9895" s="6" t="n">
        <f aca="false">Sens!I9893-Sens!I9894</f>
        <v>149.366160312725</v>
      </c>
      <c r="J9895" s="6" t="n">
        <f aca="false">Sens!J9893-Sens!J9894</f>
        <v>329.137615905548</v>
      </c>
      <c r="K9895" s="6" t="n">
        <f aca="false">Sens!K9893-Sens!K9894</f>
        <v>546.436073763025</v>
      </c>
    </row>
    <row r="9896" customFormat="false" ht="15" hidden="false" customHeight="false" outlineLevel="0" collapsed="false">
      <c r="A9896" s="1" t="s">
        <v>1132</v>
      </c>
      <c r="B9896" s="0" t="s">
        <v>75</v>
      </c>
      <c r="F9896" s="30" t="n">
        <f aca="false">px*(1+bb_g)^(Sens!F9754-base_fy-mid_yr)</f>
        <v>551.84177959629</v>
      </c>
      <c r="G9896" s="30" t="n">
        <f aca="false">px*(1+bb_g)^(Sens!G9754-base_fy-mid_yr)</f>
        <v>595.989121963993</v>
      </c>
      <c r="H9896" s="30" t="n">
        <f aca="false">px*(1+bb_g)^(Sens!H9754-base_fy-mid_yr)</f>
        <v>643.668251721112</v>
      </c>
      <c r="I9896" s="30" t="n">
        <f aca="false">px*(1+bb_g)^(Sens!I9754-base_fy-mid_yr)</f>
        <v>695.161711858801</v>
      </c>
      <c r="J9896" s="30" t="n">
        <f aca="false">px*(1+bb_g)^(Sens!J9754-base_fy-mid_yr)</f>
        <v>750.774648807506</v>
      </c>
      <c r="K9896" s="30" t="n">
        <f aca="false">px*(1+bb_g)^(Sens!K9754-base_fy-mid_yr)</f>
        <v>810.836620712106</v>
      </c>
    </row>
    <row r="9897" customFormat="false" ht="15" hidden="false" customHeight="false" outlineLevel="0" collapsed="false">
      <c r="A9897" s="1" t="s">
        <v>1133</v>
      </c>
      <c r="B9897" s="1" t="s">
        <v>81</v>
      </c>
      <c r="E9897" s="15" t="n">
        <f aca="false">sh_out26</f>
        <v>7.427</v>
      </c>
      <c r="F9897" s="15" t="n">
        <f aca="false">Sens!E9897+sh_iss-Sens!F9891/Sens!F9896</f>
        <v>7.46597478858731</v>
      </c>
      <c r="G9897" s="15" t="n">
        <f aca="false">Sens!F9897+sh_iss-Sens!G9891/Sens!G9896</f>
        <v>7.50435880820231</v>
      </c>
      <c r="H9897" s="15" t="n">
        <f aca="false">Sens!G9897+sh_iss-Sens!H9891/Sens!H9896</f>
        <v>7.51475868625991</v>
      </c>
      <c r="I9897" s="15" t="n">
        <f aca="false">Sens!H9897+sh_iss-Sens!I9891/Sens!I9896</f>
        <v>7.52772153631324</v>
      </c>
      <c r="J9897" s="15" t="n">
        <f aca="false">Sens!I9897+sh_iss-Sens!J9891/Sens!J9896</f>
        <v>7.54305750858485</v>
      </c>
      <c r="K9897" s="15" t="n">
        <f aca="false">Sens!J9897+sh_iss-Sens!K9891/Sens!K9896</f>
        <v>7.56059081624375</v>
      </c>
    </row>
    <row r="9898" customFormat="false" ht="15" hidden="false" customHeight="false" outlineLevel="0" collapsed="false">
      <c r="A9898" s="1" t="s">
        <v>1134</v>
      </c>
      <c r="B9898" s="1" t="s">
        <v>81</v>
      </c>
      <c r="E9898" s="15" t="n">
        <f aca="false">sh_dil26</f>
        <v>7.453</v>
      </c>
      <c r="F9898" s="15" t="n">
        <f aca="false">(Sens!E9897+Sens!F9897)/2+dil_gap</f>
        <v>7.47048739429365</v>
      </c>
      <c r="G9898" s="15" t="n">
        <f aca="false">(Sens!F9897+Sens!G9897)/2+dil_gap</f>
        <v>7.50916679839481</v>
      </c>
      <c r="H9898" s="15" t="n">
        <f aca="false">(Sens!G9897+Sens!H9897)/2+dil_gap</f>
        <v>7.53355874723111</v>
      </c>
      <c r="I9898" s="15" t="n">
        <f aca="false">(Sens!H9897+Sens!I9897)/2+dil_gap</f>
        <v>7.54524011128658</v>
      </c>
      <c r="J9898" s="15" t="n">
        <f aca="false">(Sens!I9897+Sens!J9897)/2+dil_gap</f>
        <v>7.55938952244905</v>
      </c>
      <c r="K9898" s="15" t="n">
        <f aca="false">(Sens!J9897+Sens!K9897)/2+dil_gap</f>
        <v>7.5758241624143</v>
      </c>
    </row>
    <row r="9899" customFormat="false" ht="17.15" hidden="false" customHeight="false" outlineLevel="0" collapsed="false">
      <c r="A9899" s="1" t="s">
        <v>1135</v>
      </c>
      <c r="B9899" s="0" t="s">
        <v>98</v>
      </c>
      <c r="C9899" s="6" t="n">
        <f aca="false">SUM(Sens!F9889:J9889)</f>
        <v>372.51163163456</v>
      </c>
    </row>
    <row r="9900" customFormat="false" ht="15" hidden="false" customHeight="false" outlineLevel="0" collapsed="false">
      <c r="A9900" s="26" t="s">
        <v>1100</v>
      </c>
      <c r="B9900" s="31" t="s">
        <v>98</v>
      </c>
      <c r="C9900" s="27" t="n">
        <f aca="false">Sens!$C$9899-(Sens!F9889+Sens!G9889+Sens!H9889+Sens!I9889+Sens!J9889)</f>
        <v>0</v>
      </c>
      <c r="D9900" s="31"/>
      <c r="E9900" s="31"/>
      <c r="F9900" s="31"/>
      <c r="G9900" s="31"/>
      <c r="H9900" s="31"/>
      <c r="I9900" s="31"/>
      <c r="J9900" s="31"/>
      <c r="K9900" s="31"/>
    </row>
    <row r="9901" customFormat="false" ht="17.15" hidden="false" customHeight="false" outlineLevel="0" collapsed="false">
      <c r="A9901" s="1" t="s">
        <v>1094</v>
      </c>
      <c r="B9901" s="1" t="s">
        <v>1136</v>
      </c>
      <c r="C9901" s="33" t="str">
        <f aca="false">IF(SUM(Sens!F9892:J9892)&gt;0.05,"需要舉債 "&amp;TEXT(SUM(Sens!F9892:J9892),"0.0")&amp;" 十億美元","不需舉債")&amp;"；"&amp;IF(SUM(Sens!F9891:J9891)&lt;COUNT(Sens!F9891:J9891)*bb_target-0.05,"回購較每年 "&amp;TEXT(bb_target,"0.0")&amp;" 的目標少 "&amp;TEXT(COUNT(Sens!F9891:J9891)*bb_target-SUM(Sens!F9891:J9891),"0.0")&amp;" 十億美元（"&amp;TEXT(COUNTIF(Sens!F9891:J9891,"&lt;"&amp;(bb_target-0.05)),"0")&amp;" 年減少）","回購不減")</f>
        <v>不需舉債；回購較每年 22.3 的目標少 37.3 十億美元（2 年減少）</v>
      </c>
    </row>
    <row r="9902" customFormat="false" ht="17.15" hidden="false" customHeight="false" outlineLevel="0" collapsed="false">
      <c r="A9902" s="3" t="s">
        <v>1859</v>
      </c>
    </row>
    <row r="9903" customFormat="false" ht="15" hidden="false" customHeight="false" outlineLevel="0" collapsed="false">
      <c r="A9903" s="4" t="s">
        <v>43</v>
      </c>
      <c r="B9903" s="4" t="s">
        <v>65</v>
      </c>
      <c r="C9903" s="23" t="s">
        <v>942</v>
      </c>
      <c r="D9903" s="23" t="s">
        <v>943</v>
      </c>
      <c r="E9903" s="23" t="s">
        <v>944</v>
      </c>
      <c r="F9903" s="23" t="s">
        <v>945</v>
      </c>
      <c r="G9903" s="23" t="s">
        <v>946</v>
      </c>
      <c r="H9903" s="23" t="s">
        <v>947</v>
      </c>
      <c r="I9903" s="23" t="s">
        <v>948</v>
      </c>
      <c r="J9903" s="23" t="s">
        <v>949</v>
      </c>
      <c r="K9903" s="23" t="s">
        <v>950</v>
      </c>
      <c r="L9903" s="4" t="s">
        <v>47</v>
      </c>
    </row>
    <row r="9904" customFormat="false" ht="17.15" hidden="false" customHeight="false" outlineLevel="0" collapsed="false">
      <c r="A9904" s="1" t="s">
        <v>1216</v>
      </c>
      <c r="B9904" s="1" t="s">
        <v>279</v>
      </c>
      <c r="F9904" s="8" t="n">
        <f aca="false">(1-v_off)*mid_yr</f>
        <v>0.373972602739726</v>
      </c>
      <c r="G9904" s="8" t="n">
        <f aca="false">Sens!G9754-base_fy-mid_yr-v_off</f>
        <v>1.24794520547945</v>
      </c>
      <c r="H9904" s="8" t="n">
        <f aca="false">Sens!H9754-base_fy-mid_yr-v_off</f>
        <v>2.24794520547945</v>
      </c>
      <c r="I9904" s="8" t="n">
        <f aca="false">Sens!I9754-base_fy-mid_yr-v_off</f>
        <v>3.24794520547945</v>
      </c>
      <c r="J9904" s="8" t="n">
        <f aca="false">Sens!J9754-base_fy-mid_yr-v_off</f>
        <v>4.24794520547945</v>
      </c>
      <c r="K9904" s="8" t="n">
        <f aca="false">Sens!K9754-base_fy-mid_yr-v_off</f>
        <v>5.24794520547945</v>
      </c>
      <c r="L9904" s="12" t="s">
        <v>1217</v>
      </c>
    </row>
    <row r="9905" customFormat="false" ht="15" hidden="false" customHeight="false" outlineLevel="0" collapsed="false">
      <c r="A9905" s="1" t="s">
        <v>1218</v>
      </c>
      <c r="B9905" s="1" t="s">
        <v>279</v>
      </c>
      <c r="F9905" s="8" t="n">
        <f aca="false">Sens!F9754-base_fy-v_off</f>
        <v>0.747945205479452</v>
      </c>
      <c r="G9905" s="8" t="n">
        <f aca="false">Sens!G9754-base_fy-v_off</f>
        <v>1.74794520547945</v>
      </c>
      <c r="H9905" s="8" t="n">
        <f aca="false">Sens!H9754-base_fy-v_off</f>
        <v>2.74794520547945</v>
      </c>
      <c r="I9905" s="8" t="n">
        <f aca="false">Sens!I9754-base_fy-v_off</f>
        <v>3.74794520547945</v>
      </c>
      <c r="J9905" s="8" t="n">
        <f aca="false">Sens!J9754-base_fy-v_off</f>
        <v>4.74794520547945</v>
      </c>
      <c r="K9905" s="8" t="n">
        <f aca="false">Sens!K9754-base_fy-v_off</f>
        <v>5.74794520547945</v>
      </c>
    </row>
    <row r="9906" customFormat="false" ht="15" hidden="false" customHeight="false" outlineLevel="0" collapsed="false">
      <c r="A9906" s="1" t="s">
        <v>1219</v>
      </c>
      <c r="B9906" s="0" t="s">
        <v>229</v>
      </c>
      <c r="F9906" s="15" t="n">
        <f aca="false">1/(1+wacc)^Sens!F9904</f>
        <v>0.964022703286649</v>
      </c>
      <c r="G9906" s="15" t="n">
        <f aca="false">1/(1+wacc)^Sens!G9904</f>
        <v>0.884910302296739</v>
      </c>
      <c r="H9906" s="15" t="n">
        <f aca="false">1/(1+wacc)^Sens!H9904</f>
        <v>0.802322009770358</v>
      </c>
      <c r="I9906" s="15" t="n">
        <f aca="false">1/(1+wacc)^Sens!I9904</f>
        <v>0.727441646561469</v>
      </c>
      <c r="J9906" s="15" t="n">
        <f aca="false">1/(1+wacc)^Sens!J9904</f>
        <v>0.659549834988973</v>
      </c>
      <c r="K9906" s="15" t="n">
        <f aca="false">1/(1+wacc)^Sens!K9904</f>
        <v>0.597994336576966</v>
      </c>
    </row>
    <row r="9907" customFormat="false" ht="17.15" hidden="false" customHeight="false" outlineLevel="0" collapsed="false">
      <c r="A9907" s="1" t="s">
        <v>1220</v>
      </c>
      <c r="B9907" s="0" t="s">
        <v>98</v>
      </c>
      <c r="F9907" s="6" t="n">
        <f aca="false">Q!$I$35-Q!$I$39-Q!$I$43</f>
        <v>9.666</v>
      </c>
      <c r="L9907" s="12" t="s">
        <v>1221</v>
      </c>
    </row>
    <row r="9908" customFormat="false" ht="17.15" hidden="false" customHeight="false" outlineLevel="0" collapsed="false">
      <c r="A9908" s="1" t="s">
        <v>1222</v>
      </c>
      <c r="B9908" s="0" t="s">
        <v>98</v>
      </c>
      <c r="F9908" s="6" t="n">
        <f aca="false">Sens!F9879-Sens!F9876-Sens!F9883+Sens!F9861*(1-tax_f)*(1-v_off)-Sens!F9907</f>
        <v>-0.982862200813267</v>
      </c>
      <c r="G9908" s="6" t="n">
        <f aca="false">Sens!G9879-Sens!G9876-Sens!G9883+Sens!G9861*(1-tax_f)</f>
        <v>39.1876904256474</v>
      </c>
      <c r="H9908" s="6" t="n">
        <f aca="false">Sens!H9879-Sens!H9876-Sens!H9883+Sens!H9861*(1-tax_f)</f>
        <v>99.8692586774006</v>
      </c>
      <c r="I9908" s="6" t="n">
        <f aca="false">Sens!I9879-Sens!I9876-Sens!I9883+Sens!I9861*(1-tax_f)</f>
        <v>183.977326226184</v>
      </c>
      <c r="J9908" s="6" t="n">
        <f aca="false">Sens!J9879-Sens!J9876-Sens!J9883+Sens!J9861*(1-tax_f)</f>
        <v>267.459010448867</v>
      </c>
      <c r="K9908" s="6" t="n">
        <f aca="false">Sens!K9879-Sens!K9876-Sens!K9883+Sens!K9861*(1-tax_f)</f>
        <v>310.194074804079</v>
      </c>
      <c r="L9908" s="1" t="s">
        <v>1223</v>
      </c>
    </row>
    <row r="9909" customFormat="false" ht="15" hidden="false" customHeight="false" outlineLevel="0" collapsed="false">
      <c r="A9909" s="1" t="s">
        <v>1224</v>
      </c>
      <c r="B9909" s="0" t="s">
        <v>98</v>
      </c>
      <c r="F9909" s="6" t="n">
        <f aca="false">Sens!F9908*Sens!F9906</f>
        <v>-0.947501475786271</v>
      </c>
      <c r="G9909" s="6" t="n">
        <f aca="false">Sens!G9908*Sens!G9906</f>
        <v>34.6775909808706</v>
      </c>
      <c r="H9909" s="6" t="n">
        <f aca="false">Sens!H9908*Sens!H9906</f>
        <v>80.1273043363278</v>
      </c>
      <c r="I9909" s="6" t="n">
        <f aca="false">Sens!I9908*Sens!I9906</f>
        <v>133.832769119952</v>
      </c>
      <c r="J9909" s="6" t="n">
        <f aca="false">Sens!J9908*Sens!J9906</f>
        <v>176.402546207864</v>
      </c>
      <c r="K9909" s="6" t="n">
        <f aca="false">Sens!K9908*Sens!K9906</f>
        <v>185.494299972571</v>
      </c>
    </row>
    <row r="9910" customFormat="false" ht="17.15" hidden="false" customHeight="false" outlineLevel="0" collapsed="false">
      <c r="A9910" s="1" t="s">
        <v>1225</v>
      </c>
      <c r="B9910" s="0" t="s">
        <v>98</v>
      </c>
      <c r="C9910" s="6" t="n">
        <f aca="false">SUM(Sens!F9909:K9909)</f>
        <v>609.587009141799</v>
      </c>
    </row>
    <row r="9911" customFormat="false" ht="17.15" hidden="false" customHeight="false" outlineLevel="0" collapsed="false">
      <c r="A9911" s="1" t="s">
        <v>1226</v>
      </c>
      <c r="B9911" s="0" t="s">
        <v>98</v>
      </c>
      <c r="C9911" s="6" t="n">
        <f aca="false">Sens!K9847*(1+g_tv)*(1-tax_f)</f>
        <v>326.815192646596</v>
      </c>
    </row>
    <row r="9912" customFormat="false" ht="17.15" hidden="false" customHeight="false" outlineLevel="0" collapsed="false">
      <c r="A9912" s="1" t="s">
        <v>1227</v>
      </c>
      <c r="B9912" s="0" t="s">
        <v>98</v>
      </c>
      <c r="C9912" s="6" t="n">
        <f aca="false">Sens!$C$9911*(1-g_tv/(wacc+ronic_prem))</f>
        <v>231.567665121815</v>
      </c>
    </row>
    <row r="9913" customFormat="false" ht="17.15" hidden="false" customHeight="false" outlineLevel="0" collapsed="false">
      <c r="A9913" s="1" t="s">
        <v>1228</v>
      </c>
      <c r="B9913" s="0" t="s">
        <v>98</v>
      </c>
      <c r="C9913" s="6" t="n">
        <f aca="false">Sens!$C$9912/(wacc-g_tv)</f>
        <v>3174.91758415936</v>
      </c>
    </row>
    <row r="9914" customFormat="false" ht="15" hidden="false" customHeight="false" outlineLevel="0" collapsed="false">
      <c r="A9914" s="1" t="s">
        <v>1229</v>
      </c>
      <c r="B9914" s="0" t="s">
        <v>98</v>
      </c>
      <c r="C9914" s="6" t="n">
        <f aca="false">Sens!$C$9913/(1+wacc)^Sens!K9905</f>
        <v>1807.81611984954</v>
      </c>
    </row>
    <row r="9915" customFormat="false" ht="17.15" hidden="false" customHeight="false" outlineLevel="0" collapsed="false">
      <c r="A9915" s="0" t="s">
        <v>1230</v>
      </c>
      <c r="B9915" s="0" t="s">
        <v>98</v>
      </c>
      <c r="C9915" s="6" t="n">
        <f aca="false">Sens!$C$9910+Sens!$C$9914</f>
        <v>2417.40312899134</v>
      </c>
    </row>
    <row r="9916" customFormat="false" ht="15" hidden="false" customHeight="false" outlineLevel="0" collapsed="false">
      <c r="A9916" s="1" t="s">
        <v>1145</v>
      </c>
      <c r="B9916" s="0" t="s">
        <v>168</v>
      </c>
      <c r="C9916" s="7" t="n">
        <f aca="false">Sens!$C$9914/Sens!$C$9915</f>
        <v>0.747833945513197</v>
      </c>
    </row>
    <row r="9917" customFormat="false" ht="17.15" hidden="false" customHeight="false" outlineLevel="0" collapsed="false">
      <c r="A9917" s="1" t="s">
        <v>1231</v>
      </c>
      <c r="B9917" s="0" t="s">
        <v>98</v>
      </c>
      <c r="C9917" s="6" t="n">
        <f aca="false">Sens!$C$9915+cash_val-debt_val-fl_val+oai_v</f>
        <v>2533.25412899134</v>
      </c>
    </row>
    <row r="9918" customFormat="false" ht="17.15" hidden="false" customHeight="false" outlineLevel="0" collapsed="false">
      <c r="A9918" s="0" t="s">
        <v>1153</v>
      </c>
      <c r="B9918" s="0" t="s">
        <v>75</v>
      </c>
      <c r="C9918" s="5" t="n">
        <f aca="false">Sens!$C$9917/shd_val</f>
        <v>340.216778000449</v>
      </c>
    </row>
    <row r="9919" customFormat="false" ht="15" hidden="false" customHeight="false" outlineLevel="0" collapsed="false">
      <c r="A9919" s="1" t="s">
        <v>1232</v>
      </c>
      <c r="B9919" s="0" t="s">
        <v>75</v>
      </c>
      <c r="C9919" s="8" t="n">
        <f aca="false">div_rem27+Sens!G9887*roll_div_q/q_per_yr</f>
        <v>3.9795</v>
      </c>
    </row>
    <row r="9920" customFormat="false" ht="17.15" hidden="false" customHeight="false" outlineLevel="0" collapsed="false">
      <c r="A9920" s="0" t="s">
        <v>1233</v>
      </c>
      <c r="B9920" s="0" t="s">
        <v>75</v>
      </c>
      <c r="C9920" s="5" t="n">
        <f aca="false">Sens!$C$9918*(1+wacc)^t_roll-Sens!$C$9919</f>
        <v>374.190436498939</v>
      </c>
    </row>
    <row r="9921" customFormat="false" ht="17.15" hidden="false" customHeight="false" outlineLevel="0" collapsed="false">
      <c r="A9921" s="1" t="s">
        <v>1234</v>
      </c>
      <c r="B9921" s="0" t="s">
        <v>168</v>
      </c>
      <c r="F9921" s="7" t="n">
        <f aca="false">Sens!F9873/(Sens!F9818-Sens!F9773)</f>
        <v>0.0684845365802064</v>
      </c>
      <c r="G9921" s="7" t="n">
        <f aca="false">Sens!G9873/(Sens!G9818-Sens!G9773)</f>
        <v>0.0651693903920261</v>
      </c>
      <c r="H9921" s="7" t="n">
        <f aca="false">Sens!H9873/(Sens!H9818-Sens!H9773)</f>
        <v>0.0633257046938743</v>
      </c>
      <c r="I9921" s="7" t="n">
        <f aca="false">Sens!I9873/(Sens!I9818-Sens!I9773)</f>
        <v>0.0628449165389705</v>
      </c>
      <c r="J9921" s="7" t="n">
        <f aca="false">Sens!J9873/(Sens!J9818-Sens!J9773)</f>
        <v>0.0633739442263206</v>
      </c>
      <c r="K9921" s="7" t="n">
        <f aca="false">Sens!K9873/(Sens!K9818-Sens!K9773)</f>
        <v>0.0644714995574417</v>
      </c>
    </row>
    <row r="9922" customFormat="false" ht="17.15" hidden="false" customHeight="false" outlineLevel="0" collapsed="false">
      <c r="A9922" s="0" t="s">
        <v>1235</v>
      </c>
      <c r="B9922" s="0" t="s">
        <v>98</v>
      </c>
      <c r="F9922" s="6" t="n">
        <f aca="false">Sens!F9803*(al_m365+Sens!F9921+sbc_r)</f>
        <v>84.5132258118464</v>
      </c>
      <c r="G9922" s="6" t="n">
        <f aca="false">Sens!G9803*(al_m365+Sens!G9921+sbc_r)</f>
        <v>98.9235986964103</v>
      </c>
      <c r="H9922" s="6" t="n">
        <f aca="false">Sens!H9803*(al_m365+Sens!H9921+sbc_r)</f>
        <v>113.489123539184</v>
      </c>
      <c r="I9922" s="6" t="n">
        <f aca="false">Sens!I9803*(al_m365+Sens!I9921+sbc_r)</f>
        <v>126.527856995485</v>
      </c>
      <c r="J9922" s="6" t="n">
        <f aca="false">Sens!J9803*(al_m365+Sens!J9921+sbc_r)</f>
        <v>137.854308491449</v>
      </c>
      <c r="K9922" s="6" t="n">
        <f aca="false">Sens!K9803*(al_m365+Sens!K9921+sbc_r)</f>
        <v>148.793182467437</v>
      </c>
      <c r="L9922" s="12" t="s">
        <v>1236</v>
      </c>
    </row>
    <row r="9923" customFormat="false" ht="17.15" hidden="false" customHeight="false" outlineLevel="0" collapsed="false">
      <c r="A9923" s="0" t="s">
        <v>1237</v>
      </c>
      <c r="B9923" s="0" t="s">
        <v>98</v>
      </c>
      <c r="F9923" s="6" t="n">
        <f aca="false">Sens!F9804*(al_lic+Sens!F9921+sbc_r)</f>
        <v>32.852582560463</v>
      </c>
      <c r="G9923" s="6" t="n">
        <f aca="false">Sens!G9804*(al_lic+Sens!G9921+sbc_r)</f>
        <v>34.1110609764707</v>
      </c>
      <c r="H9923" s="6" t="n">
        <f aca="false">Sens!H9804*(al_lic+Sens!H9921+sbc_r)</f>
        <v>35.2884443126041</v>
      </c>
      <c r="I9923" s="6" t="n">
        <f aca="false">Sens!I9804*(al_lic+Sens!I9921+sbc_r)</f>
        <v>36.3678953833961</v>
      </c>
      <c r="J9923" s="6" t="n">
        <f aca="false">Sens!J9804*(al_lic+Sens!J9921+sbc_r)</f>
        <v>37.3216147421164</v>
      </c>
      <c r="K9923" s="6" t="n">
        <f aca="false">Sens!K9804*(al_lic+Sens!K9921+sbc_r)</f>
        <v>38.117158370789</v>
      </c>
    </row>
    <row r="9924" customFormat="false" ht="17.15" hidden="false" customHeight="false" outlineLevel="0" collapsed="false">
      <c r="A9924" s="0" t="s">
        <v>1238</v>
      </c>
      <c r="B9924" s="0" t="s">
        <v>98</v>
      </c>
      <c r="F9924" s="6" t="n">
        <f aca="false">Sens!F9806*(al_ind+Sens!F9921+sbc_r)</f>
        <v>9.05740365024223</v>
      </c>
      <c r="G9924" s="6" t="n">
        <f aca="false">Sens!G9806*(al_ind+Sens!G9921+sbc_r)</f>
        <v>9.81999379540476</v>
      </c>
      <c r="H9924" s="6" t="n">
        <f aca="false">Sens!H9806*(al_ind+Sens!H9921+sbc_r)</f>
        <v>10.6287971557797</v>
      </c>
      <c r="I9924" s="6" t="n">
        <f aca="false">Sens!I9806*(al_ind+Sens!I9921+sbc_r)</f>
        <v>11.4819096422482</v>
      </c>
      <c r="J9924" s="6" t="n">
        <f aca="false">Sens!J9806*(al_ind+Sens!J9921+sbc_r)</f>
        <v>12.3683471379023</v>
      </c>
      <c r="K9924" s="6" t="n">
        <f aca="false">Sens!K9806*(al_ind+Sens!K9921+sbc_r)</f>
        <v>13.2703758663088</v>
      </c>
    </row>
    <row r="9925" customFormat="false" ht="17.15" hidden="false" customHeight="false" outlineLevel="0" collapsed="false">
      <c r="A9925" s="0" t="s">
        <v>1239</v>
      </c>
      <c r="B9925" s="0" t="s">
        <v>98</v>
      </c>
      <c r="F9925" s="6" t="n">
        <f aca="false">Sens!F9808*(al_fro+Sens!F9921+sbc_r)</f>
        <v>3.5528474841784</v>
      </c>
      <c r="G9925" s="6" t="n">
        <f aca="false">Sens!G9808*(al_fro+Sens!G9921+sbc_r)</f>
        <v>3.75741743022503</v>
      </c>
      <c r="H9925" s="6" t="n">
        <f aca="false">Sens!H9808*(al_fro+Sens!H9921+sbc_r)</f>
        <v>3.99161218441131</v>
      </c>
      <c r="I9925" s="6" t="n">
        <f aca="false">Sens!I9808*(al_fro+Sens!I9921+sbc_r)</f>
        <v>4.25850223792175</v>
      </c>
      <c r="J9925" s="6" t="n">
        <f aca="false">Sens!J9808*(al_fro+Sens!J9921+sbc_r)</f>
        <v>4.55866397402304</v>
      </c>
      <c r="K9925" s="6" t="n">
        <f aca="false">Sens!K9808*(al_fro+Sens!K9921+sbc_r)</f>
        <v>4.89112924378565</v>
      </c>
    </row>
    <row r="9926" customFormat="false" ht="17.15" hidden="false" customHeight="false" outlineLevel="0" collapsed="false">
      <c r="A9926" s="0" t="s">
        <v>1240</v>
      </c>
      <c r="B9926" s="0" t="s">
        <v>98</v>
      </c>
      <c r="F9926" s="6" t="n">
        <f aca="false">Sens!F9811*(al_srch+Sens!F9921+sbc_r)</f>
        <v>11.1853689734878</v>
      </c>
      <c r="G9926" s="6" t="n">
        <f aca="false">Sens!G9811*(al_srch+Sens!G9921+sbc_r)</f>
        <v>12.2415477652466</v>
      </c>
      <c r="H9926" s="6" t="n">
        <f aca="false">Sens!H9811*(al_srch+Sens!H9921+sbc_r)</f>
        <v>13.3440586226843</v>
      </c>
      <c r="I9926" s="6" t="n">
        <f aca="false">Sens!I9811*(al_srch+Sens!I9921+sbc_r)</f>
        <v>14.4838426184777</v>
      </c>
      <c r="J9926" s="6" t="n">
        <f aca="false">Sens!J9811*(al_srch+Sens!J9921+sbc_r)</f>
        <v>15.6394343796442</v>
      </c>
      <c r="K9926" s="6" t="n">
        <f aca="false">Sens!K9811*(al_srch+Sens!K9921+sbc_r)</f>
        <v>16.780024868347</v>
      </c>
    </row>
    <row r="9927" customFormat="false" ht="17.15" hidden="false" customHeight="false" outlineLevel="0" collapsed="false">
      <c r="A9927" s="0" t="s">
        <v>1241</v>
      </c>
      <c r="B9927" s="0" t="s">
        <v>98</v>
      </c>
      <c r="F9927" s="6" t="n">
        <f aca="false">Sens!F9779-Sens!F9780+Sens!F9861</f>
        <v>45.3782580567763</v>
      </c>
      <c r="G9927" s="6" t="n">
        <f aca="false">Sens!G9779-Sens!G9780+Sens!G9861</f>
        <v>91.0863367558165</v>
      </c>
      <c r="H9927" s="6" t="n">
        <f aca="false">Sens!H9779-Sens!H9780+Sens!H9861</f>
        <v>144.617532464853</v>
      </c>
      <c r="I9927" s="6" t="n">
        <f aca="false">Sens!I9779-Sens!I9780+Sens!I9861</f>
        <v>187.137304561304</v>
      </c>
      <c r="J9927" s="6" t="n">
        <f aca="false">Sens!J9779-Sens!J9780+Sens!J9861</f>
        <v>217.006854425907</v>
      </c>
      <c r="K9927" s="6" t="n">
        <f aca="false">Sens!K9779-Sens!K9780+Sens!K9861</f>
        <v>234.933637903877</v>
      </c>
    </row>
    <row r="9928" customFormat="false" ht="17.15" hidden="false" customHeight="false" outlineLevel="0" collapsed="false">
      <c r="A9928" s="0" t="s">
        <v>1242</v>
      </c>
      <c r="B9928" s="0" t="s">
        <v>98</v>
      </c>
      <c r="F9928" s="6" t="n">
        <f aca="false">Sens!F9840+Sens!F9861+Sens!F9791+Sens!F9921*(Sens!F9810-Sens!F9773)+sbc_r*Sens!F9810</f>
        <v>241.055603459409</v>
      </c>
      <c r="G9928" s="6" t="n">
        <f aca="false">Sens!G9840+Sens!G9861+Sens!G9791+Sens!G9921*(Sens!G9810-Sens!G9773)+sbc_r*Sens!G9810</f>
        <v>312.98638996847</v>
      </c>
      <c r="H9928" s="6" t="n">
        <f aca="false">Sens!H9840+Sens!H9861+Sens!H9791+Sens!H9921*(Sens!H9810-Sens!H9773)+sbc_r*Sens!H9810</f>
        <v>398.136072197512</v>
      </c>
      <c r="I9928" s="6" t="n">
        <f aca="false">Sens!I9840+Sens!I9861+Sens!I9791+Sens!I9921*(Sens!I9810-Sens!I9773)+sbc_r*Sens!I9810</f>
        <v>471.192799302934</v>
      </c>
      <c r="J9928" s="6" t="n">
        <f aca="false">Sens!J9840+Sens!J9861+Sens!J9791+Sens!J9921*(Sens!J9810-Sens!J9773)+sbc_r*Sens!J9810</f>
        <v>529.861516062842</v>
      </c>
      <c r="K9928" s="6" t="n">
        <f aca="false">Sens!K9840+Sens!K9861+Sens!K9791+Sens!K9921*(Sens!K9810-Sens!K9773)+sbc_r*Sens!K9810</f>
        <v>575.560481960321</v>
      </c>
    </row>
    <row r="9929" customFormat="false" ht="17.15" hidden="false" customHeight="false" outlineLevel="0" collapsed="false">
      <c r="A9929" s="0" t="s">
        <v>1243</v>
      </c>
      <c r="B9929" s="0" t="s">
        <v>98</v>
      </c>
      <c r="F9929" s="6" t="n">
        <f aca="false">Sens!F9928-Sens!F9922-Sens!F9923-Sens!F9924-Sens!F9925-Sens!F9927</f>
        <v>65.7012858959022</v>
      </c>
      <c r="G9929" s="6" t="n">
        <f aca="false">Sens!G9928-Sens!G9922-Sens!G9923-Sens!G9924-Sens!G9925-Sens!G9927</f>
        <v>75.2879823141429</v>
      </c>
      <c r="H9929" s="6" t="n">
        <f aca="false">Sens!H9928-Sens!H9922-Sens!H9923-Sens!H9924-Sens!H9925-Sens!H9927</f>
        <v>90.1205625406792</v>
      </c>
      <c r="I9929" s="6" t="n">
        <f aca="false">Sens!I9928-Sens!I9922-Sens!I9923-Sens!I9924-Sens!I9925-Sens!I9927</f>
        <v>105.419330482579</v>
      </c>
      <c r="J9929" s="6" t="n">
        <f aca="false">Sens!J9928-Sens!J9922-Sens!J9923-Sens!J9924-Sens!J9925-Sens!J9927</f>
        <v>120.751727291445</v>
      </c>
      <c r="K9929" s="6" t="n">
        <f aca="false">Sens!K9928-Sens!K9922-Sens!K9923-Sens!K9924-Sens!K9925-Sens!K9927</f>
        <v>135.554998108123</v>
      </c>
    </row>
    <row r="9930" customFormat="false" ht="17.15" hidden="false" customHeight="false" outlineLevel="0" collapsed="false">
      <c r="A9930" s="0" t="s">
        <v>1244</v>
      </c>
      <c r="B9930" s="0" t="s">
        <v>98</v>
      </c>
      <c r="F9930" s="6" t="n">
        <f aca="false">Sens!F9842+Sens!F9921*Sens!F9817+sbc_r*Sens!F9817</f>
        <v>26.6249537970161</v>
      </c>
      <c r="G9930" s="6" t="n">
        <f aca="false">Sens!G9842+Sens!G9921*Sens!G9817+sbc_r*Sens!G9817</f>
        <v>26.4280811224237</v>
      </c>
      <c r="H9930" s="6" t="n">
        <f aca="false">Sens!H9842+Sens!H9921*Sens!H9817+sbc_r*Sens!H9817</f>
        <v>27.2736911225465</v>
      </c>
      <c r="I9930" s="6" t="n">
        <f aca="false">Sens!I9842+Sens!I9921*Sens!I9817+sbc_r*Sens!I9817</f>
        <v>28.3628304525733</v>
      </c>
      <c r="J9930" s="6" t="n">
        <f aca="false">Sens!J9842+Sens!J9921*Sens!J9817+sbc_r*Sens!J9817</f>
        <v>29.6560382608823</v>
      </c>
      <c r="K9930" s="6" t="n">
        <f aca="false">Sens!K9842+Sens!K9921*Sens!K9817+sbc_r*Sens!K9817</f>
        <v>31.1095081210988</v>
      </c>
    </row>
    <row r="9931" customFormat="false" ht="17.15" hidden="false" customHeight="false" outlineLevel="0" collapsed="false">
      <c r="A9931" s="0" t="s">
        <v>1245</v>
      </c>
      <c r="B9931" s="0" t="s">
        <v>98</v>
      </c>
      <c r="F9931" s="6" t="n">
        <f aca="false">(Sens!F9930-Sens!F9926)*Sens!F9813/(Sens!F9813+Sens!F9815)</f>
        <v>8.72005392006991</v>
      </c>
      <c r="G9931" s="6" t="n">
        <f aca="false">(Sens!G9930-Sens!G9926)*Sens!G9813/(Sens!G9813+Sens!G9815)</f>
        <v>7.87464607031129</v>
      </c>
      <c r="H9931" s="6" t="n">
        <f aca="false">(Sens!H9930-Sens!H9926)*Sens!H9813/(Sens!H9813+Sens!H9815)</f>
        <v>7.63132014798388</v>
      </c>
      <c r="I9931" s="6" t="n">
        <f aca="false">(Sens!I9930-Sens!I9926)*Sens!I9813/(Sens!I9813+Sens!I9815)</f>
        <v>7.53720712268957</v>
      </c>
      <c r="J9931" s="6" t="n">
        <f aca="false">(Sens!J9930-Sens!J9926)*Sens!J9813/(Sens!J9813+Sens!J9815)</f>
        <v>7.57873118449034</v>
      </c>
      <c r="K9931" s="6" t="n">
        <f aca="false">(Sens!K9930-Sens!K9926)*Sens!K9813/(Sens!K9813+Sens!K9815)</f>
        <v>7.74790402193125</v>
      </c>
    </row>
    <row r="9932" customFormat="false" ht="17.15" hidden="false" customHeight="false" outlineLevel="0" collapsed="false">
      <c r="A9932" s="0" t="s">
        <v>1246</v>
      </c>
      <c r="B9932" s="0" t="s">
        <v>98</v>
      </c>
      <c r="F9932" s="6" t="n">
        <f aca="false">Sens!F9930-Sens!F9926-Sens!F9931</f>
        <v>6.71953090345839</v>
      </c>
      <c r="G9932" s="6" t="n">
        <f aca="false">Sens!G9930-Sens!G9926-Sens!G9931</f>
        <v>6.3118872868658</v>
      </c>
      <c r="H9932" s="6" t="n">
        <f aca="false">Sens!H9930-Sens!H9926-Sens!H9931</f>
        <v>6.29831235187833</v>
      </c>
      <c r="I9932" s="6" t="n">
        <f aca="false">Sens!I9930-Sens!I9926-Sens!I9931</f>
        <v>6.34178071140601</v>
      </c>
      <c r="J9932" s="6" t="n">
        <f aca="false">Sens!J9930-Sens!J9926-Sens!J9931</f>
        <v>6.43787269674775</v>
      </c>
      <c r="K9932" s="6" t="n">
        <f aca="false">Sens!K9930-Sens!K9926-Sens!K9931</f>
        <v>6.5815792308205</v>
      </c>
    </row>
    <row r="9933" customFormat="false" ht="17.15" hidden="false" customHeight="false" outlineLevel="0" collapsed="false">
      <c r="A9933" s="0" t="s">
        <v>1247</v>
      </c>
      <c r="B9933" s="0" t="s">
        <v>98</v>
      </c>
      <c r="F9933" s="6" t="n">
        <f aca="false">Sens!F9927-tax_f*(Sens!F9927-Sens!F9791)-Sens!F9788</f>
        <v>-125.235434701028</v>
      </c>
      <c r="G9933" s="6" t="n">
        <f aca="false">Sens!G9927-tax_f*(Sens!G9927-Sens!G9791)-Sens!G9788</f>
        <v>-106.928508113935</v>
      </c>
      <c r="H9933" s="6" t="n">
        <f aca="false">Sens!H9927-tax_f*(Sens!H9927-Sens!H9791)-Sens!H9788</f>
        <v>-63.2919599603405</v>
      </c>
      <c r="I9933" s="6" t="n">
        <f aca="false">Sens!I9927-tax_f*(Sens!I9927-Sens!I9791)-Sens!I9788</f>
        <v>3.94121196634245</v>
      </c>
      <c r="J9933" s="6" t="n">
        <f aca="false">Sens!J9927-tax_f*(Sens!J9927-Sens!J9791)-Sens!J9788</f>
        <v>71.0786869547042</v>
      </c>
      <c r="K9933" s="6" t="n">
        <f aca="false">Sens!K9927-tax_f*(Sens!K9927-Sens!K9791)-Sens!K9788</f>
        <v>97.5865911685559</v>
      </c>
    </row>
    <row r="9934" customFormat="false" ht="17.15" hidden="false" customHeight="false" outlineLevel="0" collapsed="false">
      <c r="A9934" s="0" t="s">
        <v>1248</v>
      </c>
      <c r="B9934" s="0" t="s">
        <v>98</v>
      </c>
      <c r="G9934" s="6" t="n">
        <f aca="false">Sens!G9933/(1+wacc)^(Sens!G9904-Sens!F9905)</f>
        <v>-101.81651667568</v>
      </c>
      <c r="H9934" s="6" t="n">
        <f aca="false">Sens!H9933/(1+wacc)^(Sens!H9904-Sens!F9905)</f>
        <v>-54.6415143556151</v>
      </c>
      <c r="I9934" s="6" t="n">
        <f aca="false">Sens!I9933/(1+wacc)^(Sens!I9904-Sens!F9905)</f>
        <v>3.08498765169516</v>
      </c>
      <c r="J9934" s="6" t="n">
        <f aca="false">Sens!J9933/(1+wacc)^(Sens!J9904-Sens!F9905)</f>
        <v>50.4443451596971</v>
      </c>
      <c r="K9934" s="6" t="n">
        <f aca="false">Sens!K9933/(1+wacc)^(Sens!K9904-Sens!F9905)</f>
        <v>62.7932114544856</v>
      </c>
      <c r="L9934" s="1" t="s">
        <v>1249</v>
      </c>
    </row>
    <row r="9935" customFormat="false" ht="17.15" hidden="false" customHeight="false" outlineLevel="0" collapsed="false">
      <c r="A9935" s="0" t="s">
        <v>1250</v>
      </c>
      <c r="B9935" s="0" t="s">
        <v>98</v>
      </c>
      <c r="C9935" s="6" t="n">
        <f aca="false">(Sens!K9927-Sens!K9791)*(1-tax_f)*(1+g_tv)*(1-g_tv/(wacc+ronic_prem))/(wacc-g_tv)/(1+wacc)^(Sens!K9905-Sens!F9905)</f>
        <v>450.836735002813</v>
      </c>
    </row>
    <row r="9936" customFormat="false" ht="17.15" hidden="false" customHeight="false" outlineLevel="0" collapsed="false">
      <c r="A9936" s="1" t="s">
        <v>1251</v>
      </c>
      <c r="B9936" s="0" t="s">
        <v>98</v>
      </c>
      <c r="C9936" s="6" t="n">
        <f aca="false">(SUM(Sens!G9934:K9934)+Sens!$C$9935)*(1+wacc)^(t_roll-Sens!F9905)</f>
        <v>424.259738494477</v>
      </c>
      <c r="L9936" s="12" t="s">
        <v>1252</v>
      </c>
    </row>
    <row r="9937" customFormat="false" ht="17.15" hidden="false" customHeight="false" outlineLevel="0" collapsed="false">
      <c r="A9937" s="1" t="s">
        <v>1253</v>
      </c>
      <c r="B9937" s="0" t="s">
        <v>98</v>
      </c>
      <c r="C9937" s="6" t="n">
        <f aca="false">(w_ntm28*Sens!G9779+(1-w_ntm28)*Sens!H9779)*m_ai</f>
        <v>563.316843258668</v>
      </c>
    </row>
    <row r="9938" customFormat="false" ht="17.15" hidden="false" customHeight="false" outlineLevel="0" collapsed="false">
      <c r="A9938" s="1" t="s">
        <v>1254</v>
      </c>
      <c r="B9938" s="0" t="s">
        <v>98</v>
      </c>
      <c r="C9938" s="6" t="n">
        <f aca="false">(w_ntm28*Sens!G9929+(1-w_ntm28)*Sens!H9929)*m_cloud</f>
        <v>1107.87265817786</v>
      </c>
    </row>
    <row r="9939" customFormat="false" ht="17.15" hidden="false" customHeight="false" outlineLevel="0" collapsed="false">
      <c r="A9939" s="1" t="s">
        <v>1255</v>
      </c>
      <c r="B9939" s="0" t="s">
        <v>98</v>
      </c>
      <c r="C9939" s="6" t="n">
        <f aca="false">(w_ntm28*Sens!G9922+(1-w_ntm28)*Sens!H9922)*m_sw</f>
        <v>1120.09245549996</v>
      </c>
    </row>
    <row r="9940" customFormat="false" ht="17.15" hidden="false" customHeight="false" outlineLevel="0" collapsed="false">
      <c r="A9940" s="1" t="s">
        <v>1256</v>
      </c>
      <c r="B9940" s="0" t="s">
        <v>98</v>
      </c>
      <c r="C9940" s="6" t="n">
        <f aca="false">(w_ntm28*Sens!G9923+(1-w_ntm28)*Sens!H9923)*m_sw</f>
        <v>372.5799758161</v>
      </c>
    </row>
    <row r="9941" customFormat="false" ht="17.15" hidden="false" customHeight="false" outlineLevel="0" collapsed="false">
      <c r="A9941" s="1" t="s">
        <v>1257</v>
      </c>
      <c r="B9941" s="0" t="s">
        <v>98</v>
      </c>
      <c r="C9941" s="6" t="n">
        <f aca="false">(w_ntm28*Sens!G9924+(1-w_ntm28)*Sens!H9924)*m_sw</f>
        <v>108.927738894607</v>
      </c>
    </row>
    <row r="9942" customFormat="false" ht="17.15" hidden="false" customHeight="false" outlineLevel="0" collapsed="false">
      <c r="A9942" s="1" t="s">
        <v>1258</v>
      </c>
      <c r="B9942" s="0" t="s">
        <v>98</v>
      </c>
      <c r="C9942" s="6" t="n">
        <f aca="false">(w_ntm28*Sens!G9925+(1-w_ntm28)*Sens!H9925)*m_sw</f>
        <v>41.4116600311575</v>
      </c>
    </row>
    <row r="9943" customFormat="false" ht="17.15" hidden="false" customHeight="false" outlineLevel="0" collapsed="false">
      <c r="A9943" s="1" t="s">
        <v>1259</v>
      </c>
      <c r="B9943" s="0" t="s">
        <v>98</v>
      </c>
      <c r="C9943" s="6" t="n">
        <f aca="false">(w_ntm28*Sens!G9926+(1-w_ntm28)*Sens!H9926)*m_ads</f>
        <v>114.822595673865</v>
      </c>
    </row>
    <row r="9944" customFormat="false" ht="17.15" hidden="false" customHeight="false" outlineLevel="0" collapsed="false">
      <c r="A9944" s="1" t="s">
        <v>1260</v>
      </c>
      <c r="B9944" s="0" t="s">
        <v>98</v>
      </c>
      <c r="C9944" s="6" t="n">
        <f aca="false">(w_ntm28*Sens!G9931+(1-w_ntm28)*Sens!H9931)*m_game</f>
        <v>98.4464106409647</v>
      </c>
    </row>
    <row r="9945" customFormat="false" ht="17.15" hidden="false" customHeight="false" outlineLevel="0" collapsed="false">
      <c r="A9945" s="1" t="s">
        <v>1261</v>
      </c>
      <c r="B9945" s="0" t="s">
        <v>98</v>
      </c>
      <c r="C9945" s="6" t="n">
        <f aca="false">(w_ntm28*Sens!G9932+(1-w_ntm28)*Sens!H9932)*m_pc</f>
        <v>91.2684295420105</v>
      </c>
    </row>
    <row r="9946" customFormat="false" ht="17.15" hidden="false" customHeight="false" outlineLevel="0" collapsed="false">
      <c r="A9946" s="1" t="s">
        <v>1262</v>
      </c>
      <c r="B9946" s="0" t="s">
        <v>98</v>
      </c>
      <c r="C9946" s="6" t="n">
        <f aca="false">Sens!$C$9936+Sens!$C$9938+Sens!$C$9939+Sens!$C$9940+Sens!$C$9941+Sens!$C$9942+Sens!$C$9943+Sens!$C$9944+Sens!$C$9945</f>
        <v>3479.681662771</v>
      </c>
    </row>
    <row r="9947" customFormat="false" ht="17.15" hidden="false" customHeight="false" outlineLevel="0" collapsed="false">
      <c r="A9947" s="1" t="s">
        <v>1263</v>
      </c>
      <c r="B9947" s="0" t="s">
        <v>98</v>
      </c>
      <c r="C9947" s="6" t="n">
        <f aca="false">(Sens!G9908-Sens!G9933)*t_stub</f>
        <v>48.438520611752</v>
      </c>
      <c r="L9947" s="1" t="s">
        <v>1264</v>
      </c>
    </row>
    <row r="9948" customFormat="false" ht="17.15" hidden="false" customHeight="false" outlineLevel="0" collapsed="false">
      <c r="A9948" s="1" t="s">
        <v>1173</v>
      </c>
      <c r="B9948" s="0" t="s">
        <v>98</v>
      </c>
      <c r="C9948" s="6" t="n">
        <f aca="false">Sens!F9895+oai_v-Sens!F9884+Sens!$C$9947</f>
        <v>162.666790611752</v>
      </c>
      <c r="L9948" s="1" t="s">
        <v>1265</v>
      </c>
    </row>
    <row r="9949" customFormat="false" ht="17.15" hidden="false" customHeight="false" outlineLevel="0" collapsed="false">
      <c r="A9949" s="1" t="s">
        <v>1266</v>
      </c>
      <c r="B9949" s="0" t="s">
        <v>75</v>
      </c>
      <c r="C9949" s="5" t="n">
        <f aca="false">(Sens!$C$9946+Sens!$C$9948)/(Sens!F9897+dil_gap)-Sens!G9887*roll_div_q/q_per_yr</f>
        <v>485.256990467859</v>
      </c>
      <c r="L9949" s="1" t="s">
        <v>1267</v>
      </c>
    </row>
    <row r="9950" customFormat="false" ht="17.15" hidden="false" customHeight="false" outlineLevel="0" collapsed="false">
      <c r="A9950" s="1" t="s">
        <v>1268</v>
      </c>
      <c r="B9950" s="0" t="s">
        <v>75</v>
      </c>
      <c r="C9950" s="5" t="n">
        <f aca="false">w_dcf*Sens!$C$9920+(1-w_dcf)*Sens!$C$9949</f>
        <v>429.723713483399</v>
      </c>
    </row>
    <row r="9951" customFormat="false" ht="17.15" hidden="false" customHeight="false" outlineLevel="0" collapsed="false">
      <c r="A9951" s="3" t="s">
        <v>1860</v>
      </c>
    </row>
    <row r="9952" customFormat="false" ht="15" hidden="false" customHeight="false" outlineLevel="0" collapsed="false">
      <c r="A9952" s="4" t="s">
        <v>43</v>
      </c>
      <c r="B9952" s="4" t="s">
        <v>65</v>
      </c>
      <c r="C9952" s="23" t="s">
        <v>942</v>
      </c>
      <c r="D9952" s="23" t="s">
        <v>943</v>
      </c>
      <c r="E9952" s="23" t="s">
        <v>944</v>
      </c>
      <c r="F9952" s="23" t="s">
        <v>945</v>
      </c>
      <c r="G9952" s="23" t="s">
        <v>946</v>
      </c>
      <c r="H9952" s="23" t="s">
        <v>947</v>
      </c>
      <c r="I9952" s="23" t="s">
        <v>948</v>
      </c>
      <c r="J9952" s="23" t="s">
        <v>949</v>
      </c>
      <c r="K9952" s="23" t="s">
        <v>950</v>
      </c>
      <c r="L9952" s="4" t="s">
        <v>47</v>
      </c>
    </row>
    <row r="9953" customFormat="false" ht="17.15" hidden="false" customHeight="false" outlineLevel="0" collapsed="false">
      <c r="A9953" s="1" t="s">
        <v>951</v>
      </c>
      <c r="B9953" s="1" t="s">
        <v>279</v>
      </c>
      <c r="C9953" s="21" t="n">
        <v>2024</v>
      </c>
      <c r="D9953" s="21" t="n">
        <v>2025</v>
      </c>
      <c r="E9953" s="21" t="n">
        <v>2026</v>
      </c>
      <c r="F9953" s="21" t="n">
        <v>2027</v>
      </c>
      <c r="G9953" s="21" t="n">
        <v>2028</v>
      </c>
      <c r="H9953" s="21" t="n">
        <v>2029</v>
      </c>
      <c r="I9953" s="21" t="n">
        <v>2030</v>
      </c>
      <c r="J9953" s="21" t="n">
        <v>2031</v>
      </c>
      <c r="K9953" s="21" t="n">
        <v>2032</v>
      </c>
    </row>
    <row r="9954" customFormat="false" ht="17.15" hidden="false" customHeight="false" outlineLevel="0" collapsed="false">
      <c r="A9954" s="1" t="s">
        <v>952</v>
      </c>
      <c r="B9954" s="0" t="s">
        <v>459</v>
      </c>
      <c r="F9954" s="30" t="n">
        <f aca="false">pace</f>
        <v>2726.5351</v>
      </c>
      <c r="G9954" s="30" t="n">
        <f aca="false">pace</f>
        <v>2726.5351</v>
      </c>
      <c r="H9954" s="30" t="n">
        <f aca="false">pace</f>
        <v>2726.5351</v>
      </c>
      <c r="I9954" s="30" t="n">
        <f aca="false">pace+(g_tv*Sens!H9955-pace)*MIN(1,(Sens!I9953-pace_y0)/(pace_y1-pace_y0))</f>
        <v>1931.98611966667</v>
      </c>
      <c r="J9954" s="30" t="n">
        <f aca="false">pace+(g_tv*Sens!I9955-pace)*MIN(1,(Sens!J9953-pace_y0)/(pace_y1-pace_y0))</f>
        <v>1176.07686172667</v>
      </c>
      <c r="K9954" s="30" t="n">
        <f aca="false">pace+(g_tv*Sens!J9955-pace)*MIN(1,(Sens!K9953-pace_y0)/(pace_y1-pace_y0))</f>
        <v>436.1300484418</v>
      </c>
      <c r="L9954" s="12" t="s">
        <v>953</v>
      </c>
    </row>
    <row r="9955" customFormat="false" ht="17.15" hidden="false" customHeight="false" outlineLevel="0" collapsed="false">
      <c r="A9955" s="1" t="s">
        <v>954</v>
      </c>
      <c r="B9955" s="0" t="s">
        <v>459</v>
      </c>
      <c r="C9955" s="30" t="n">
        <f aca="false">mw_ext_24</f>
        <v>640</v>
      </c>
      <c r="D9955" s="30" t="n">
        <f aca="false">mw_ext_25</f>
        <v>1630</v>
      </c>
      <c r="E9955" s="30" t="n">
        <f aca="false">mw_ext_26</f>
        <v>3250</v>
      </c>
      <c r="F9955" s="30" t="n">
        <f aca="false">Sens!E9955+Sens!F9954</f>
        <v>5976.5351</v>
      </c>
      <c r="G9955" s="30" t="n">
        <f aca="false">Sens!F9955+Sens!G9954</f>
        <v>8703.0702</v>
      </c>
      <c r="H9955" s="30" t="n">
        <f aca="false">Sens!G9955+Sens!H9954</f>
        <v>11429.6053</v>
      </c>
      <c r="I9955" s="30" t="n">
        <f aca="false">Sens!H9955+Sens!I9954</f>
        <v>13361.5914196667</v>
      </c>
      <c r="J9955" s="30" t="n">
        <f aca="false">Sens!I9955+Sens!J9954</f>
        <v>14537.6682813933</v>
      </c>
      <c r="K9955" s="30" t="n">
        <f aca="false">Sens!J9955+Sens!K9954</f>
        <v>14973.7983298351</v>
      </c>
      <c r="L9955" s="1" t="s">
        <v>955</v>
      </c>
    </row>
    <row r="9956" customFormat="false" ht="17.15" hidden="false" customHeight="false" outlineLevel="0" collapsed="false">
      <c r="A9956" s="1" t="s">
        <v>956</v>
      </c>
      <c r="B9956" s="0" t="s">
        <v>459</v>
      </c>
      <c r="C9956" s="30" t="n">
        <f aca="false">rent_ext_24</f>
        <v>150</v>
      </c>
      <c r="D9956" s="30" t="n">
        <f aca="false">rent_ext_25</f>
        <v>400</v>
      </c>
      <c r="E9956" s="30" t="n">
        <f aca="false">rent_ext_26</f>
        <v>550</v>
      </c>
      <c r="F9956" s="30" t="n">
        <f aca="false">rent_ext_f</f>
        <v>756</v>
      </c>
      <c r="G9956" s="30" t="n">
        <f aca="false">rent_ext_f</f>
        <v>756</v>
      </c>
      <c r="H9956" s="30" t="n">
        <f aca="false">rent_ext_f</f>
        <v>756</v>
      </c>
      <c r="I9956" s="30" t="n">
        <f aca="false">rent_ext_f</f>
        <v>756</v>
      </c>
      <c r="J9956" s="30" t="n">
        <f aca="false">rent_ext_f</f>
        <v>756</v>
      </c>
      <c r="K9956" s="30" t="n">
        <f aca="false">rent_ext_f</f>
        <v>756</v>
      </c>
      <c r="L9956" s="1" t="s">
        <v>957</v>
      </c>
    </row>
    <row r="9957" customFormat="false" ht="17.15" hidden="false" customHeight="false" outlineLevel="0" collapsed="false">
      <c r="A9957" s="1" t="s">
        <v>958</v>
      </c>
      <c r="B9957" s="0" t="s">
        <v>459</v>
      </c>
      <c r="C9957" s="30" t="n">
        <f aca="false">Sens!C9955-Sens!C9956</f>
        <v>490</v>
      </c>
      <c r="D9957" s="30" t="n">
        <f aca="false">Sens!D9955-Sens!D9956</f>
        <v>1230</v>
      </c>
      <c r="E9957" s="30" t="n">
        <f aca="false">Sens!E9955-Sens!E9956</f>
        <v>2700</v>
      </c>
      <c r="F9957" s="30" t="n">
        <f aca="false">Sens!F9955-Sens!F9956</f>
        <v>5220.5351</v>
      </c>
      <c r="G9957" s="30" t="n">
        <f aca="false">Sens!G9955-Sens!G9956</f>
        <v>7947.0702</v>
      </c>
      <c r="H9957" s="30" t="n">
        <f aca="false">Sens!H9955-Sens!H9956</f>
        <v>10673.6053</v>
      </c>
      <c r="I9957" s="30" t="n">
        <f aca="false">Sens!I9955-Sens!I9956</f>
        <v>12605.5914196667</v>
      </c>
      <c r="J9957" s="30" t="n">
        <f aca="false">Sens!J9955-Sens!J9956</f>
        <v>13781.6682813933</v>
      </c>
      <c r="K9957" s="30" t="n">
        <f aca="false">Sens!K9955-Sens!K9956</f>
        <v>14217.7983298351</v>
      </c>
    </row>
    <row r="9958" customFormat="false" ht="17.15" hidden="false" customHeight="false" outlineLevel="0" collapsed="false">
      <c r="A9958" s="1" t="s">
        <v>959</v>
      </c>
      <c r="B9958" s="0" t="s">
        <v>459</v>
      </c>
      <c r="C9958" s="30" t="n">
        <f aca="false">Sens!C9957/ext_sh</f>
        <v>816.666666666667</v>
      </c>
      <c r="D9958" s="30" t="n">
        <f aca="false">Sens!D9957/ext_sh</f>
        <v>2050</v>
      </c>
      <c r="E9958" s="30" t="n">
        <f aca="false">Sens!E9957/ext_sh</f>
        <v>4500</v>
      </c>
      <c r="F9958" s="30" t="n">
        <f aca="false">Sens!F9957/ext_sh</f>
        <v>8700.89183333333</v>
      </c>
      <c r="G9958" s="30" t="n">
        <f aca="false">Sens!G9957/ext_sh</f>
        <v>13245.117</v>
      </c>
      <c r="H9958" s="30" t="n">
        <f aca="false">Sens!H9957/ext_sh</f>
        <v>17789.3421666667</v>
      </c>
      <c r="I9958" s="30" t="n">
        <f aca="false">Sens!I9957/ext_sh</f>
        <v>21009.3190327778</v>
      </c>
      <c r="J9958" s="30" t="n">
        <f aca="false">Sens!J9957/ext_sh</f>
        <v>22969.4471356556</v>
      </c>
      <c r="K9958" s="30" t="n">
        <f aca="false">Sens!K9957/ext_sh</f>
        <v>23696.3305497252</v>
      </c>
      <c r="L9958" s="1" t="s">
        <v>960</v>
      </c>
    </row>
    <row r="9959" customFormat="false" ht="17.15" hidden="false" customHeight="false" outlineLevel="0" collapsed="false">
      <c r="A9959" s="1" t="s">
        <v>961</v>
      </c>
      <c r="B9959" s="0" t="s">
        <v>459</v>
      </c>
      <c r="C9959" s="30" t="n">
        <f aca="false">Sens!C9958-Sens!C9957</f>
        <v>326.666666666667</v>
      </c>
      <c r="D9959" s="30" t="n">
        <f aca="false">Sens!D9958-Sens!D9957</f>
        <v>820</v>
      </c>
      <c r="E9959" s="30" t="n">
        <f aca="false">Sens!E9958-Sens!E9957</f>
        <v>1800</v>
      </c>
      <c r="F9959" s="30" t="n">
        <f aca="false">Sens!F9958-Sens!F9957</f>
        <v>3480.35673333333</v>
      </c>
      <c r="G9959" s="30" t="n">
        <f aca="false">Sens!G9958-Sens!G9957</f>
        <v>5298.0468</v>
      </c>
      <c r="H9959" s="30" t="n">
        <f aca="false">Sens!H9958-Sens!H9957</f>
        <v>7115.73686666667</v>
      </c>
      <c r="I9959" s="30" t="n">
        <f aca="false">Sens!I9958-Sens!I9957</f>
        <v>8403.72761311111</v>
      </c>
      <c r="J9959" s="30" t="n">
        <f aca="false">Sens!J9958-Sens!J9957</f>
        <v>9187.77885426222</v>
      </c>
      <c r="K9959" s="30" t="n">
        <f aca="false">Sens!K9958-Sens!K9957</f>
        <v>9478.53221989009</v>
      </c>
    </row>
    <row r="9960" customFormat="false" ht="17.15" hidden="false" customHeight="false" outlineLevel="0" collapsed="false">
      <c r="A9960" s="1" t="s">
        <v>962</v>
      </c>
      <c r="B9960" s="0" t="s">
        <v>459</v>
      </c>
      <c r="C9960" s="30" t="n">
        <f aca="false">Sens!C9958</f>
        <v>816.666666666667</v>
      </c>
      <c r="D9960" s="30" t="n">
        <f aca="false">Sens!D9958-Sens!C9958</f>
        <v>1233.33333333333</v>
      </c>
      <c r="E9960" s="30" t="n">
        <f aca="false">Sens!E9958-Sens!D9958</f>
        <v>2450</v>
      </c>
      <c r="F9960" s="30" t="n">
        <f aca="false">Sens!F9958-Sens!E9958</f>
        <v>4200.89183333333</v>
      </c>
      <c r="G9960" s="30" t="n">
        <f aca="false">Sens!G9958-Sens!F9958</f>
        <v>4544.22516666667</v>
      </c>
      <c r="H9960" s="30" t="n">
        <f aca="false">Sens!H9958-Sens!G9958</f>
        <v>4544.22516666667</v>
      </c>
      <c r="I9960" s="30" t="n">
        <f aca="false">Sens!I9958-Sens!H9958</f>
        <v>3219.97686611111</v>
      </c>
      <c r="J9960" s="30" t="n">
        <f aca="false">Sens!J9958-Sens!I9958</f>
        <v>1960.12810287778</v>
      </c>
      <c r="K9960" s="30" t="n">
        <f aca="false">Sens!K9958-Sens!J9958</f>
        <v>726.883414069667</v>
      </c>
    </row>
    <row r="9961" customFormat="false" ht="17.15" hidden="false" customHeight="false" outlineLevel="0" collapsed="false">
      <c r="A9961" s="1" t="s">
        <v>963</v>
      </c>
      <c r="B9961" s="0" t="s">
        <v>459</v>
      </c>
      <c r="D9961" s="30" t="n">
        <f aca="false">Sens!D9955-Sens!C9955</f>
        <v>990</v>
      </c>
      <c r="E9961" s="30" t="n">
        <f aca="false">Sens!E9955-Sens!D9955</f>
        <v>1620</v>
      </c>
      <c r="F9961" s="30" t="n">
        <f aca="false">Sens!F9955-Sens!E9955</f>
        <v>2726.5351</v>
      </c>
      <c r="G9961" s="30" t="n">
        <f aca="false">Sens!G9955-Sens!F9955</f>
        <v>2726.5351</v>
      </c>
      <c r="H9961" s="30" t="n">
        <f aca="false">Sens!H9955-Sens!G9955</f>
        <v>2726.5351</v>
      </c>
      <c r="I9961" s="30" t="n">
        <f aca="false">Sens!I9955-Sens!H9955</f>
        <v>1931.98611966667</v>
      </c>
      <c r="J9961" s="30" t="n">
        <f aca="false">Sens!J9955-Sens!I9955</f>
        <v>1176.07686172667</v>
      </c>
      <c r="K9961" s="30" t="n">
        <f aca="false">Sens!K9955-Sens!J9955</f>
        <v>436.130048441799</v>
      </c>
    </row>
    <row r="9962" customFormat="false" ht="17.15" hidden="false" customHeight="false" outlineLevel="0" collapsed="false">
      <c r="A9962" s="1" t="s">
        <v>964</v>
      </c>
      <c r="B9962" s="0" t="s">
        <v>459</v>
      </c>
      <c r="F9962" s="30" t="n">
        <f aca="false">Sens!F9981*ext_sh</f>
        <v>0</v>
      </c>
      <c r="G9962" s="30" t="n">
        <f aca="false">Sens!G9981*ext_sh</f>
        <v>0</v>
      </c>
      <c r="H9962" s="30" t="n">
        <f aca="false">Sens!H9981*ext_sh</f>
        <v>0</v>
      </c>
      <c r="I9962" s="30" t="n">
        <f aca="false">Sens!I9981*ext_sh</f>
        <v>490</v>
      </c>
      <c r="J9962" s="30" t="n">
        <f aca="false">Sens!J9981*ext_sh</f>
        <v>740</v>
      </c>
      <c r="K9962" s="30" t="n">
        <f aca="false">Sens!K9981*ext_sh</f>
        <v>1470</v>
      </c>
      <c r="L9962" s="1" t="s">
        <v>965</v>
      </c>
    </row>
    <row r="9963" customFormat="false" ht="17.15" hidden="false" customHeight="false" outlineLevel="0" collapsed="false">
      <c r="A9963" s="1" t="s">
        <v>966</v>
      </c>
      <c r="B9963" s="0" t="s">
        <v>459</v>
      </c>
      <c r="C9963" s="30" t="n">
        <f aca="false">mix_h*Sens!C9955</f>
        <v>128</v>
      </c>
      <c r="D9963" s="30" t="n">
        <f aca="false">mix_h*Sens!D9955</f>
        <v>326</v>
      </c>
      <c r="E9963" s="30" t="n">
        <f aca="false">mix_h*Sens!E9955</f>
        <v>650</v>
      </c>
      <c r="F9963" s="30" t="n">
        <f aca="false">Sens!E9963-Sens!F9962*mix_h</f>
        <v>650</v>
      </c>
      <c r="G9963" s="30" t="n">
        <f aca="false">Sens!F9963-Sens!G9962*mix_h</f>
        <v>650</v>
      </c>
      <c r="H9963" s="30" t="n">
        <f aca="false">Sens!G9963-Sens!H9962*mix_h</f>
        <v>650</v>
      </c>
      <c r="I9963" s="30" t="n">
        <f aca="false">Sens!H9963-Sens!I9962*mix_h</f>
        <v>552</v>
      </c>
      <c r="J9963" s="30" t="n">
        <f aca="false">Sens!I9963-Sens!J9962*mix_h</f>
        <v>404</v>
      </c>
      <c r="K9963" s="30" t="n">
        <f aca="false">Sens!J9963-Sens!K9962*mix_h</f>
        <v>110</v>
      </c>
    </row>
    <row r="9964" customFormat="false" ht="17.15" hidden="false" customHeight="false" outlineLevel="0" collapsed="false">
      <c r="A9964" s="1" t="s">
        <v>967</v>
      </c>
      <c r="B9964" s="0" t="s">
        <v>459</v>
      </c>
      <c r="C9964" s="30" t="n">
        <f aca="false">mix_g2*Sens!C9955</f>
        <v>288</v>
      </c>
      <c r="D9964" s="30" t="n">
        <f aca="false">mix_g2*Sens!D9955</f>
        <v>733.5</v>
      </c>
      <c r="E9964" s="30" t="n">
        <f aca="false">mix_g2*Sens!E9955</f>
        <v>1462.5</v>
      </c>
      <c r="F9964" s="30" t="n">
        <f aca="false">Sens!E9964-Sens!F9962*mix_g2</f>
        <v>1462.5</v>
      </c>
      <c r="G9964" s="30" t="n">
        <f aca="false">Sens!F9964-Sens!G9962*mix_g2</f>
        <v>1462.5</v>
      </c>
      <c r="H9964" s="30" t="n">
        <f aca="false">Sens!G9964-Sens!H9962*mix_g2</f>
        <v>1462.5</v>
      </c>
      <c r="I9964" s="30" t="n">
        <f aca="false">Sens!H9964-Sens!I9962*mix_g2</f>
        <v>1242</v>
      </c>
      <c r="J9964" s="30" t="n">
        <f aca="false">Sens!I9964-Sens!J9962*mix_g2</f>
        <v>909</v>
      </c>
      <c r="K9964" s="30" t="n">
        <f aca="false">Sens!J9964-Sens!K9962*mix_g2</f>
        <v>247.5</v>
      </c>
    </row>
    <row r="9965" customFormat="false" ht="17.15" hidden="false" customHeight="false" outlineLevel="0" collapsed="false">
      <c r="A9965" s="1" t="s">
        <v>968</v>
      </c>
      <c r="B9965" s="0" t="s">
        <v>459</v>
      </c>
      <c r="C9965" s="30" t="n">
        <f aca="false">mix_g3*Sens!C9955</f>
        <v>224</v>
      </c>
      <c r="D9965" s="30" t="n">
        <f aca="false">mix_g3*Sens!D9955</f>
        <v>570.5</v>
      </c>
      <c r="E9965" s="30" t="n">
        <f aca="false">mix_g3*Sens!E9955</f>
        <v>1137.5</v>
      </c>
      <c r="F9965" s="30" t="n">
        <f aca="false">Sens!E9965+(Sens!F9961+Sens!F9962)*(a_g3_27-nonnv*a_mai)-Sens!F9962*mix_g3</f>
        <v>2773.42106</v>
      </c>
      <c r="G9965" s="30" t="n">
        <f aca="false">Sens!F9965+(Sens!G9961+Sens!G9962)*(a_g3_28-nonnv*a_mai)-Sens!G9962*mix_g3</f>
        <v>3318.72808</v>
      </c>
      <c r="H9965" s="30" t="n">
        <f aca="false">Sens!G9965+(Sens!H9961+Sens!H9962)*(a_g3_29-nonnv*a_mai)-Sens!H9962*mix_g3</f>
        <v>3318.72808</v>
      </c>
      <c r="I9965" s="30" t="n">
        <f aca="false">Sens!H9965+(Sens!I9961+Sens!I9962)*(a_g3_29-nonnv*a_mai)-Sens!I9962*mix_g3</f>
        <v>3147.22808</v>
      </c>
      <c r="J9965" s="30" t="n">
        <f aca="false">Sens!I9965+(Sens!J9961+Sens!J9962)*(a_g3_29-nonnv*a_mai)-Sens!J9962*mix_g3</f>
        <v>2888.22808</v>
      </c>
      <c r="K9965" s="30" t="n">
        <f aca="false">Sens!J9965+(Sens!K9961+Sens!K9962)*(a_g3_29-nonnv*a_mai)-Sens!K9962*mix_g3</f>
        <v>2373.72808</v>
      </c>
    </row>
    <row r="9966" customFormat="false" ht="17.15" hidden="false" customHeight="false" outlineLevel="0" collapsed="false">
      <c r="A9966" s="1" t="s">
        <v>969</v>
      </c>
      <c r="B9966" s="0" t="s">
        <v>459</v>
      </c>
      <c r="C9966" s="30" t="n">
        <v>0</v>
      </c>
      <c r="D9966" s="30" t="n">
        <v>0</v>
      </c>
      <c r="E9966" s="30" t="n">
        <v>0</v>
      </c>
      <c r="F9966" s="30" t="n">
        <f aca="false">Sens!E9966+(Sens!F9961+Sens!F9962)*nonnv*a_mai</f>
        <v>272.65351</v>
      </c>
      <c r="G9966" s="30" t="n">
        <f aca="false">Sens!F9966+(Sens!G9961+Sens!G9962)*nonnv*a_mai</f>
        <v>545.30702</v>
      </c>
      <c r="H9966" s="30" t="n">
        <f aca="false">Sens!G9966+(Sens!H9961+Sens!H9962)*nonnv*a_mai</f>
        <v>817.96053</v>
      </c>
      <c r="I9966" s="30" t="n">
        <f aca="false">Sens!H9966+(Sens!I9961+Sens!I9962)*nonnv*a_mai</f>
        <v>1060.15914196667</v>
      </c>
      <c r="J9966" s="30" t="n">
        <f aca="false">Sens!I9966+(Sens!J9961+Sens!J9962)*nonnv*a_mai</f>
        <v>1251.76682813933</v>
      </c>
      <c r="K9966" s="30" t="n">
        <f aca="false">Sens!J9966+(Sens!K9961+Sens!K9962)*nonnv*a_mai</f>
        <v>1442.37983298351</v>
      </c>
      <c r="L9966" s="12" t="s">
        <v>970</v>
      </c>
    </row>
    <row r="9967" customFormat="false" ht="17.15" hidden="false" customHeight="false" outlineLevel="0" collapsed="false">
      <c r="A9967" s="1" t="s">
        <v>971</v>
      </c>
      <c r="B9967" s="0" t="s">
        <v>459</v>
      </c>
      <c r="C9967" s="30" t="n">
        <v>0</v>
      </c>
      <c r="D9967" s="30" t="n">
        <v>0</v>
      </c>
      <c r="E9967" s="30" t="n">
        <v>0</v>
      </c>
      <c r="F9967" s="30" t="n">
        <f aca="false">Sens!E9967+(Sens!F9961+Sens!F9962)*(1-a_g3_27)</f>
        <v>817.96053</v>
      </c>
      <c r="G9967" s="30" t="n">
        <f aca="false">Sens!F9967+(Sens!G9961+Sens!G9962)*(1-a_g3_28)</f>
        <v>2726.5351</v>
      </c>
      <c r="H9967" s="30" t="n">
        <f aca="false">Sens!G9967+(Sens!H9961+Sens!H9962)*(1-a_g3_29)</f>
        <v>5180.41669</v>
      </c>
      <c r="I9967" s="30" t="n">
        <f aca="false">Sens!H9967+(Sens!I9961+Sens!I9962)*(1-a_g3_29)</f>
        <v>7360.2041977</v>
      </c>
      <c r="J9967" s="30" t="n">
        <f aca="false">Sens!I9967+(Sens!J9961+Sens!J9962)*(1-a_g3_29)</f>
        <v>9084.673373254</v>
      </c>
      <c r="K9967" s="30" t="n">
        <f aca="false">Sens!J9967+(Sens!K9961+Sens!K9962)*(1-a_g3_29)</f>
        <v>10800.1904168516</v>
      </c>
    </row>
    <row r="9968" customFormat="false" ht="17.15" hidden="false" customHeight="false" outlineLevel="0" collapsed="false">
      <c r="A9968" s="1" t="s">
        <v>972</v>
      </c>
      <c r="B9968" s="0" t="s">
        <v>403</v>
      </c>
      <c r="C9968" s="15" t="n">
        <f aca="false">(Sens!C9963*tk_hold_h100+Sens!C9964*tk_hold_gb200+Sens!C9965*tk_hold_gb300+Sens!C9967*tk_hold_vr200+Sens!C9966*nv_hold_mai*tk_hold_vr200)/Sens!C9955</f>
        <v>9.7235358126469</v>
      </c>
      <c r="D9968" s="15" t="n">
        <f aca="false">(Sens!D9963*tk_hold_h100+Sens!D9964*tk_hold_gb200+Sens!D9965*tk_hold_gb300+Sens!D9967*tk_hold_vr200+Sens!D9966*nv_hold_mai*tk_hold_vr200)/Sens!D9955</f>
        <v>9.7235358126469</v>
      </c>
      <c r="E9968" s="15" t="n">
        <f aca="false">(Sens!E9963*tk_hold_h100+Sens!E9964*tk_hold_gb200+Sens!E9965*tk_hold_gb300+Sens!E9967*tk_hold_vr200+Sens!E9966*nv_hold_mai*tk_hold_vr200)/Sens!E9955</f>
        <v>9.7235358126469</v>
      </c>
      <c r="F9968" s="15" t="n">
        <f aca="false">(Sens!F9963*tk_hold_h100+Sens!F9964*tk_hold_gb200+Sens!F9965*tk_hold_gb300+Sens!F9967*tk_hold_vr200+Sens!F9966*nv_hold_mai*tk_hold_vr200)/Sens!F9955</f>
        <v>10.2195353876665</v>
      </c>
      <c r="G9968" s="15" t="n">
        <f aca="false">(Sens!G9963*tk_hold_h100+Sens!G9964*tk_hold_gb200+Sens!G9965*tk_hold_gb300+Sens!G9967*tk_hold_vr200+Sens!G9966*nv_hold_mai*tk_hold_vr200)/Sens!G9955</f>
        <v>10.5725598017306</v>
      </c>
      <c r="H9968" s="15" t="n">
        <f aca="false">(Sens!H9963*tk_hold_h100+Sens!H9964*tk_hold_gb200+Sens!H9965*tk_hold_gb300+Sens!H9967*tk_hold_vr200+Sens!H9966*nv_hold_mai*tk_hold_vr200)/Sens!H9955</f>
        <v>10.8210427149036</v>
      </c>
      <c r="I9968" s="15" t="n">
        <f aca="false">(Sens!I9963*tk_hold_h100+Sens!I9964*tk_hold_gb200+Sens!I9965*tk_hold_gb300+Sens!I9967*tk_hold_vr200+Sens!I9966*nv_hold_mai*tk_hold_vr200)/Sens!I9955</f>
        <v>11.0050618241982</v>
      </c>
      <c r="J9968" s="15" t="n">
        <f aca="false">(Sens!J9963*tk_hold_h100+Sens!J9964*tk_hold_gb200+Sens!J9965*tk_hold_gb300+Sens!J9967*tk_hold_vr200+Sens!J9966*nv_hold_mai*tk_hold_vr200)/Sens!J9955</f>
        <v>11.1505789658881</v>
      </c>
      <c r="K9968" s="15" t="n">
        <f aca="false">(Sens!K9963*tk_hold_h100+Sens!K9964*tk_hold_gb200+Sens!K9965*tk_hold_gb300+Sens!K9967*tk_hold_vr200+Sens!K9966*nv_hold_mai*tk_hold_vr200)/Sens!K9955</f>
        <v>11.3496914757183</v>
      </c>
      <c r="L9968" s="1" t="s">
        <v>973</v>
      </c>
    </row>
    <row r="9969" customFormat="false" ht="17.15" hidden="false" customHeight="false" outlineLevel="0" collapsed="false">
      <c r="A9969" s="1" t="s">
        <v>974</v>
      </c>
      <c r="B9969" s="0" t="s">
        <v>403</v>
      </c>
      <c r="C9969" s="15" t="n">
        <f aca="false">(Sens!C9963*tk_hold_h100+Sens!C9964*tk_hold_gb200+Sens!C9965*tk_hold_gb300+Sens!C9967*tk_hold_vr200+Sens!C9966*nv_out_mai*tk_hold_vr200)/Sens!C9955</f>
        <v>9.7235358126469</v>
      </c>
      <c r="D9969" s="15" t="n">
        <f aca="false">(Sens!D9963*tk_hold_h100+Sens!D9964*tk_hold_gb200+Sens!D9965*tk_hold_gb300+Sens!D9967*tk_hold_vr200+Sens!D9966*nv_out_mai*tk_hold_vr200)/Sens!D9955</f>
        <v>9.7235358126469</v>
      </c>
      <c r="E9969" s="15" t="n">
        <f aca="false">(Sens!E9963*tk_hold_h100+Sens!E9964*tk_hold_gb200+Sens!E9965*tk_hold_gb300+Sens!E9967*tk_hold_vr200+Sens!E9966*nv_out_mai*tk_hold_vr200)/Sens!E9955</f>
        <v>9.7235358126469</v>
      </c>
      <c r="F9969" s="15" t="n">
        <f aca="false">(Sens!F9963*tk_hold_h100+Sens!F9964*tk_hold_gb200+Sens!F9965*tk_hold_gb300+Sens!F9967*tk_hold_vr200+Sens!F9966*nv_out_mai*tk_hold_vr200)/Sens!F9955</f>
        <v>10.247422093969</v>
      </c>
      <c r="G9969" s="15" t="n">
        <f aca="false">(Sens!G9963*tk_hold_h100+Sens!G9964*tk_hold_gb200+Sens!G9965*tk_hold_gb300+Sens!G9967*tk_hold_vr200+Sens!G9966*nv_out_mai*tk_hold_vr200)/Sens!G9955</f>
        <v>10.6108602808053</v>
      </c>
      <c r="H9969" s="15" t="n">
        <f aca="false">(Sens!H9963*tk_hold_h100+Sens!H9964*tk_hold_gb200+Sens!H9965*tk_hold_gb300+Sens!H9967*tk_hold_vr200+Sens!H9966*nv_out_mai*tk_hold_vr200)/Sens!H9955</f>
        <v>10.8647885507393</v>
      </c>
      <c r="I9969" s="15" t="n">
        <f aca="false">(Sens!I9963*tk_hold_h100+Sens!I9964*tk_hold_gb200+Sens!I9965*tk_hold_gb300+Sens!I9967*tk_hold_vr200+Sens!I9966*nv_out_mai*tk_hold_vr200)/Sens!I9955</f>
        <v>11.0535625770025</v>
      </c>
      <c r="J9969" s="15" t="n">
        <f aca="false">(Sens!J9963*tk_hold_h100+Sens!J9964*tk_hold_gb200+Sens!J9965*tk_hold_gb300+Sens!J9967*tk_hold_vr200+Sens!J9966*nv_out_mai*tk_hold_vr200)/Sens!J9955</f>
        <v>11.2032127128058</v>
      </c>
      <c r="K9969" s="15" t="n">
        <f aca="false">(Sens!K9963*tk_hold_h100+Sens!K9964*tk_hold_gb200+Sens!K9965*tk_hold_gb300+Sens!K9967*tk_hold_vr200+Sens!K9966*nv_out_mai*tk_hold_vr200)/Sens!K9955</f>
        <v>11.4085735724225</v>
      </c>
      <c r="L9969" s="12" t="s">
        <v>975</v>
      </c>
    </row>
    <row r="9970" customFormat="false" ht="17.15" hidden="false" customHeight="false" outlineLevel="0" collapsed="false">
      <c r="A9970" s="0" t="s">
        <v>976</v>
      </c>
      <c r="B9970" s="0" t="s">
        <v>229</v>
      </c>
      <c r="C9970" s="15" t="n">
        <f aca="false">k_B</f>
        <v>1.17213932619116</v>
      </c>
      <c r="D9970" s="15" t="n">
        <f aca="false">k_B</f>
        <v>1.17213932619116</v>
      </c>
      <c r="E9970" s="15" t="n">
        <f aca="false">k_B</f>
        <v>1.17213932619116</v>
      </c>
      <c r="F9970" s="15" t="n">
        <f aca="false">(k_B+((ls_B*k_long+(1-ls_B)*k_spot)-k_B)*MIN(1,(Sens!F9953-base_fy)/k_ramp))</f>
        <v>1.17213932619116</v>
      </c>
      <c r="G9970" s="15" t="n">
        <f aca="false">(k_B+((ls_B*k_long+(1-ls_B)*k_spot)-k_B)*MIN(1,(Sens!G9953-base_fy)/k_ramp))</f>
        <v>1.17213932619116</v>
      </c>
      <c r="H9970" s="15" t="n">
        <f aca="false">(k_B+((ls_B*k_long+(1-ls_B)*k_spot)-k_B)*MIN(1,(Sens!H9953-base_fy)/k_ramp))</f>
        <v>1.17213932619116</v>
      </c>
      <c r="I9970" s="15" t="n">
        <f aca="false">(k_B+((ls_B*k_long+(1-ls_B)*k_spot)-k_B)*MIN(1,(Sens!I9953-base_fy)/k_ramp))</f>
        <v>1.17213932619116</v>
      </c>
      <c r="J9970" s="15" t="n">
        <f aca="false">(k_B+((ls_B*k_long+(1-ls_B)*k_spot)-k_B)*MIN(1,(Sens!J9953-base_fy)/k_ramp))</f>
        <v>1.17213932619116</v>
      </c>
      <c r="K9970" s="15" t="n">
        <f aca="false">(k_B+((ls_B*k_long+(1-ls_B)*k_spot)-k_B)*MIN(1,(Sens!K9953-base_fy)/k_ramp))</f>
        <v>1.17213932619116</v>
      </c>
      <c r="L9970" s="1" t="s">
        <v>977</v>
      </c>
    </row>
    <row r="9971" customFormat="false" ht="17.15" hidden="false" customHeight="false" outlineLevel="0" collapsed="false">
      <c r="A9971" s="1" t="s">
        <v>978</v>
      </c>
      <c r="B9971" s="0" t="s">
        <v>403</v>
      </c>
      <c r="C9971" s="15" t="n">
        <f aca="false">Sens!C9969*Sens!C9970*chip_f</f>
        <v>11.3973387156315</v>
      </c>
      <c r="D9971" s="15" t="n">
        <f aca="false">Sens!D9969*Sens!D9970*chip_f</f>
        <v>11.3973387156315</v>
      </c>
      <c r="E9971" s="15" t="n">
        <f aca="false">Sens!E9969*Sens!E9970*chip_f</f>
        <v>11.3973387156315</v>
      </c>
      <c r="F9971" s="15" t="n">
        <f aca="false">Sens!F9969*Sens!F9970*chip_f</f>
        <v>12.0114064284211</v>
      </c>
      <c r="G9971" s="15" t="n">
        <f aca="false">Sens!G9969*Sens!G9970*chip_f</f>
        <v>12.4374066198516</v>
      </c>
      <c r="H9971" s="15" t="n">
        <f aca="false">Sens!H9969*Sens!H9970*chip_f</f>
        <v>12.735045931073</v>
      </c>
      <c r="I9971" s="15" t="n">
        <f aca="false">Sens!I9969*Sens!I9970*chip_f</f>
        <v>12.9563153910195</v>
      </c>
      <c r="J9971" s="15" t="n">
        <f aca="false">Sens!J9969*Sens!J9970*chip_f</f>
        <v>13.1317262003643</v>
      </c>
      <c r="K9971" s="15" t="n">
        <f aca="false">Sens!K9969*Sens!K9970*chip_f</f>
        <v>13.3724377399815</v>
      </c>
      <c r="L9971" s="1" t="s">
        <v>979</v>
      </c>
    </row>
    <row r="9972" customFormat="false" ht="17.15" hidden="false" customHeight="false" outlineLevel="0" collapsed="false">
      <c r="A9972" s="0" t="s">
        <v>980</v>
      </c>
      <c r="B9972" s="0" t="s">
        <v>98</v>
      </c>
      <c r="D9972" s="6" t="n">
        <f aca="false">(Sens!C9955+Sens!D9955)/2*Sens!D9971/1000</f>
        <v>12.9359794422418</v>
      </c>
      <c r="E9972" s="6" t="n">
        <f aca="false">(Sens!D9955+Sens!E9955)/2*Sens!E9971/1000</f>
        <v>27.8095064661409</v>
      </c>
      <c r="F9972" s="6" t="n">
        <f aca="false">(Sens!E9955+Sens!F9955)/2*Sens!F9971/1000</f>
        <v>55.4118315060966</v>
      </c>
      <c r="G9972" s="6" t="n">
        <f aca="false">(Sens!F9955+Sens!G9955)/2*Sens!G9971/1000</f>
        <v>91.2881100675143</v>
      </c>
      <c r="H9972" s="6" t="n">
        <f aca="false">(Sens!G9955+Sens!H9955)/2*Sens!H9971/1000</f>
        <v>128.195273603944</v>
      </c>
      <c r="I9972" s="6" t="n">
        <f aca="false">(Sens!H9955+Sens!I9955)/2*Sens!I9971/1000</f>
        <v>160.601281810405</v>
      </c>
      <c r="J9972" s="6" t="n">
        <f aca="false">(Sens!I9955+Sens!J9955)/2*Sens!J9971/1000</f>
        <v>183.182719793589</v>
      </c>
      <c r="K9972" s="6" t="n">
        <f aca="false">(Sens!J9955+Sens!K9955)/2*Sens!K9971/1000</f>
        <v>197.320124937098</v>
      </c>
      <c r="L9972" s="12" t="s">
        <v>981</v>
      </c>
    </row>
    <row r="9973" customFormat="false" ht="17.15" hidden="false" customHeight="false" outlineLevel="0" collapsed="false">
      <c r="A9973" s="1" t="s">
        <v>982</v>
      </c>
      <c r="B9973" s="0" t="s">
        <v>403</v>
      </c>
      <c r="C9973" s="15" t="n">
        <f aca="false">(Sens!C9963*tk_opex_h100+Sens!C9964*tk_opex_gb200+Sens!C9965*tk_opex_gb300+(Sens!C9967+Sens!C9966)*tk_opex_vr200)/Sens!C9955</f>
        <v>1.88636041306092</v>
      </c>
      <c r="D9973" s="15" t="n">
        <f aca="false">(Sens!D9963*tk_opex_h100+Sens!D9964*tk_opex_gb200+Sens!D9965*tk_opex_gb300+(Sens!D9967+Sens!D9966)*tk_opex_vr200)/Sens!D9955</f>
        <v>1.88636041306092</v>
      </c>
      <c r="E9973" s="15" t="n">
        <f aca="false">(Sens!E9963*tk_opex_h100+Sens!E9964*tk_opex_gb200+Sens!E9965*tk_opex_gb300+(Sens!E9967+Sens!E9966)*tk_opex_vr200)/Sens!E9955</f>
        <v>1.88636041306092</v>
      </c>
      <c r="F9973" s="15" t="n">
        <f aca="false">(Sens!F9963*tk_opex_h100+Sens!F9964*tk_opex_gb200+Sens!F9965*tk_opex_gb300+(Sens!F9967+Sens!F9966)*tk_opex_vr200)/Sens!F9955</f>
        <v>1.95051159746876</v>
      </c>
      <c r="G9973" s="15" t="n">
        <f aca="false">(Sens!G9963*tk_opex_h100+Sens!G9964*tk_opex_gb200+Sens!G9965*tk_opex_gb300+(Sens!G9967+Sens!G9966)*tk_opex_vr200)/Sens!G9955</f>
        <v>1.98836003669956</v>
      </c>
      <c r="H9973" s="15" t="n">
        <f aca="false">(Sens!H9963*tk_opex_h100+Sens!H9964*tk_opex_gb200+Sens!H9965*tk_opex_gb300+(Sens!H9967+Sens!H9966)*tk_opex_vr200)/Sens!H9955</f>
        <v>2.01344013834343</v>
      </c>
      <c r="I9973" s="15" t="n">
        <f aca="false">(Sens!I9963*tk_opex_h100+Sens!I9964*tk_opex_gb200+Sens!I9965*tk_opex_gb300+(Sens!I9967+Sens!I9966)*tk_opex_vr200)/Sens!I9955</f>
        <v>2.03261166882178</v>
      </c>
      <c r="J9973" s="15" t="n">
        <f aca="false">(Sens!J9963*tk_opex_h100+Sens!J9964*tk_opex_gb200+Sens!J9965*tk_opex_gb300+(Sens!J9967+Sens!J9966)*tk_opex_vr200)/Sens!J9955</f>
        <v>2.04808073288745</v>
      </c>
      <c r="K9973" s="15" t="n">
        <f aca="false">(Sens!K9963*tk_opex_h100+Sens!K9964*tk_opex_gb200+Sens!K9965*tk_opex_gb300+(Sens!K9967+Sens!K9966)*tk_opex_vr200)/Sens!K9955</f>
        <v>2.06973825807449</v>
      </c>
      <c r="L9973" s="12" t="s">
        <v>983</v>
      </c>
    </row>
    <row r="9974" customFormat="false" ht="17.15" hidden="false" customHeight="false" outlineLevel="0" collapsed="false">
      <c r="A9974" s="0" t="s">
        <v>984</v>
      </c>
      <c r="B9974" s="0" t="s">
        <v>98</v>
      </c>
      <c r="D9974" s="6" t="n">
        <f aca="false">(Sens!C9958+Sens!D9958)/2*Sens!D9973/1000</f>
        <v>2.70378325872065</v>
      </c>
      <c r="E9974" s="6" t="n">
        <f aca="false">(Sens!D9958+Sens!E9958)/2*Sens!E9973/1000</f>
        <v>6.17783035277451</v>
      </c>
      <c r="F9974" s="6" t="n">
        <f aca="false">(Sens!E9958+Sens!F9958)/2*Sens!F9973/1000</f>
        <v>12.8742463089237</v>
      </c>
      <c r="G9974" s="6" t="n">
        <f aca="false">(Sens!F9958+Sens!G9958)/2*Sens!G9973/1000</f>
        <v>21.8182834646277</v>
      </c>
      <c r="H9974" s="6" t="n">
        <f aca="false">(Sens!G9958+Sens!H9958)/2*Sens!H9973/1000</f>
        <v>31.2430128789734</v>
      </c>
      <c r="I9974" s="6" t="n">
        <f aca="false">(Sens!H9958+Sens!I9958)/2*Sens!I9973/1000</f>
        <v>39.4313057443268</v>
      </c>
      <c r="J9974" s="6" t="n">
        <f aca="false">(Sens!I9958+Sens!J9958)/2*Sens!J9973/1000</f>
        <v>45.0360318228653</v>
      </c>
      <c r="K9974" s="6" t="n">
        <f aca="false">(Sens!J9958+Sens!K9958)/2*Sens!K9973/1000</f>
        <v>48.2929727091156</v>
      </c>
    </row>
    <row r="9975" customFormat="false" ht="17.15" hidden="false" customHeight="false" outlineLevel="0" collapsed="false">
      <c r="A9975" s="0" t="s">
        <v>985</v>
      </c>
      <c r="B9975" s="0" t="s">
        <v>98</v>
      </c>
      <c r="D9975" s="6" t="n">
        <f aca="false">(Sens!C9956+Sens!D9956)/2*rent_mw/1000</f>
        <v>2.44475</v>
      </c>
      <c r="E9975" s="6" t="n">
        <f aca="false">(Sens!D9956+Sens!E9956)/2*rent_mw/1000</f>
        <v>4.22275</v>
      </c>
      <c r="F9975" s="6" t="n">
        <f aca="false">(Sens!E9956+Sens!F9956)/2*rent_mw/1000</f>
        <v>5.80517</v>
      </c>
      <c r="G9975" s="6" t="n">
        <f aca="false">(Sens!F9956+Sens!G9956)/2*rent_mw/1000</f>
        <v>6.72084</v>
      </c>
      <c r="H9975" s="6" t="n">
        <f aca="false">(Sens!G9956+Sens!H9956)/2*rent_mw/1000</f>
        <v>6.72084</v>
      </c>
      <c r="I9975" s="6" t="n">
        <f aca="false">(Sens!H9956+Sens!I9956)/2*rent_mw/1000</f>
        <v>6.72084</v>
      </c>
      <c r="J9975" s="6" t="n">
        <f aca="false">(Sens!I9956+Sens!J9956)/2*rent_mw/1000</f>
        <v>6.72084</v>
      </c>
      <c r="K9975" s="6" t="n">
        <f aca="false">(Sens!J9956+Sens!K9956)/2*rent_mw/1000</f>
        <v>6.72084</v>
      </c>
    </row>
    <row r="9976" customFormat="false" ht="17.15" hidden="false" customHeight="false" outlineLevel="0" collapsed="false">
      <c r="A9976" s="0" t="s">
        <v>986</v>
      </c>
      <c r="B9976" s="0" t="s">
        <v>98</v>
      </c>
      <c r="D9976" s="6" t="n">
        <f aca="false">(Sens!C9958+Sens!D9958)/2*(1-self_build)*fac_rent/1000</f>
        <v>0.853242375631075</v>
      </c>
      <c r="E9976" s="6" t="n">
        <f aca="false">(Sens!D9958+Sens!E9958)/2*(1-self_build)*fac_rent/1000</f>
        <v>1.94955961408728</v>
      </c>
      <c r="F9976" s="6" t="n">
        <f aca="false">(Sens!E9958+Sens!F9958)/2*(1-self_build)*fac_rent/1000</f>
        <v>3.92914894476356</v>
      </c>
      <c r="G9976" s="6" t="n">
        <f aca="false">(Sens!F9958+Sens!G9958)/2*(1-self_build)*fac_rent/1000</f>
        <v>6.53206908578159</v>
      </c>
      <c r="H9976" s="6" t="n">
        <f aca="false">(Sens!G9958+Sens!H9958)/2*(1-self_build)*fac_rent/1000</f>
        <v>9.23717988341591</v>
      </c>
      <c r="I9976" s="6" t="n">
        <f aca="false">(Sens!H9958+Sens!I9958)/2*(1-self_build)*fac_rent/1000</f>
        <v>11.5481378557393</v>
      </c>
      <c r="J9976" s="6" t="n">
        <f aca="false">(Sens!I9958+Sens!J9958)/2*(1-self_build)*fac_rent/1000</f>
        <v>13.0899582289108</v>
      </c>
      <c r="K9976" s="6" t="n">
        <f aca="false">(Sens!J9958+Sens!K9958)/2*(1-self_build)*fac_rent/1000</f>
        <v>13.8897275626556</v>
      </c>
      <c r="L9976" s="12" t="s">
        <v>987</v>
      </c>
    </row>
    <row r="9977" customFormat="false" ht="17.15" hidden="false" customHeight="false" outlineLevel="0" collapsed="false">
      <c r="A9977" s="1" t="s">
        <v>988</v>
      </c>
      <c r="B9977" s="0" t="s">
        <v>168</v>
      </c>
      <c r="D9977" s="7" t="n">
        <f aca="false">(Sens!C9957+Sens!D9957)/(Sens!C9958+Sens!D9958)</f>
        <v>0.6</v>
      </c>
      <c r="E9977" s="7" t="n">
        <f aca="false">(Sens!D9957+Sens!E9957)/(Sens!D9958+Sens!E9958)</f>
        <v>0.6</v>
      </c>
      <c r="F9977" s="7" t="n">
        <f aca="false">(Sens!E9957+Sens!F9957)/(Sens!E9958+Sens!F9958)</f>
        <v>0.6</v>
      </c>
      <c r="G9977" s="7" t="n">
        <f aca="false">(Sens!F9957+Sens!G9957)/(Sens!F9958+Sens!G9958)</f>
        <v>0.6</v>
      </c>
      <c r="H9977" s="7" t="n">
        <f aca="false">(Sens!G9957+Sens!H9957)/(Sens!G9958+Sens!H9958)</f>
        <v>0.6</v>
      </c>
      <c r="I9977" s="7" t="n">
        <f aca="false">(Sens!H9957+Sens!I9957)/(Sens!H9958+Sens!I9958)</f>
        <v>0.6</v>
      </c>
      <c r="J9977" s="7" t="n">
        <f aca="false">(Sens!I9957+Sens!J9957)/(Sens!I9958+Sens!J9958)</f>
        <v>0.6</v>
      </c>
      <c r="K9977" s="7" t="n">
        <f aca="false">(Sens!J9957+Sens!K9957)/(Sens!J9958+Sens!K9958)</f>
        <v>0.6</v>
      </c>
    </row>
    <row r="9978" customFormat="false" ht="17.15" hidden="false" customHeight="false" outlineLevel="0" collapsed="false">
      <c r="A9978" s="0" t="s">
        <v>989</v>
      </c>
      <c r="B9978" s="0" t="s">
        <v>98</v>
      </c>
      <c r="D9978" s="6" t="n">
        <f aca="false">Sens!D9972-Sens!D9977*(Sens!D9974+Sens!D9976)-Sens!D9975</f>
        <v>8.35701406163072</v>
      </c>
      <c r="E9978" s="6" t="n">
        <f aca="false">Sens!E9972-Sens!E9977*(Sens!E9974+Sens!E9976)-Sens!E9975</f>
        <v>18.7103224860238</v>
      </c>
      <c r="F9978" s="6" t="n">
        <f aca="false">Sens!F9972-Sens!F9977*(Sens!F9974+Sens!F9976)-Sens!F9975</f>
        <v>39.5246243538843</v>
      </c>
      <c r="G9978" s="6" t="n">
        <f aca="false">Sens!G9972-Sens!G9977*(Sens!G9974+Sens!G9976)-Sens!G9975</f>
        <v>67.5570585372687</v>
      </c>
      <c r="H9978" s="6" t="n">
        <f aca="false">Sens!H9972-Sens!H9977*(Sens!H9974+Sens!H9976)-Sens!H9975</f>
        <v>97.1863179465102</v>
      </c>
      <c r="I9978" s="6" t="n">
        <f aca="false">Sens!I9972-Sens!I9977*(Sens!I9974+Sens!I9976)-Sens!I9975</f>
        <v>123.292775650365</v>
      </c>
      <c r="J9978" s="6" t="n">
        <f aca="false">Sens!J9972-Sens!J9977*(Sens!J9974+Sens!J9976)-Sens!J9975</f>
        <v>141.586285762524</v>
      </c>
      <c r="K9978" s="6" t="n">
        <f aca="false">Sens!K9972-Sens!K9977*(Sens!K9974+Sens!K9976)-Sens!K9975</f>
        <v>153.289664774035</v>
      </c>
    </row>
    <row r="9979" customFormat="false" ht="17.15" hidden="false" customHeight="false" outlineLevel="0" collapsed="false">
      <c r="A9979" s="1" t="s">
        <v>990</v>
      </c>
      <c r="B9979" s="0" t="s">
        <v>98</v>
      </c>
      <c r="D9979" s="6" t="n">
        <f aca="false">(1-Sens!D9977)*(Sens!D9974+Sens!D9976)</f>
        <v>1.42281025374069</v>
      </c>
      <c r="E9979" s="6" t="n">
        <f aca="false">(1-Sens!E9977)*(Sens!E9974+Sens!E9976)</f>
        <v>3.25095598674472</v>
      </c>
      <c r="F9979" s="6" t="n">
        <f aca="false">(1-Sens!F9977)*(Sens!F9974+Sens!F9976)</f>
        <v>6.72135810147489</v>
      </c>
      <c r="G9979" s="6" t="n">
        <f aca="false">(1-Sens!G9977)*(Sens!G9974+Sens!G9976)</f>
        <v>11.3401410201637</v>
      </c>
      <c r="H9979" s="6" t="n">
        <f aca="false">(1-Sens!H9977)*(Sens!H9974+Sens!H9976)</f>
        <v>16.1920771049557</v>
      </c>
      <c r="I9979" s="6" t="n">
        <f aca="false">(1-Sens!I9977)*(Sens!I9974+Sens!I9976)</f>
        <v>20.3917774400264</v>
      </c>
      <c r="J9979" s="6" t="n">
        <f aca="false">(1-Sens!J9977)*(Sens!J9974+Sens!J9976)</f>
        <v>23.2503960207104</v>
      </c>
      <c r="K9979" s="6" t="n">
        <f aca="false">(1-Sens!K9977)*(Sens!K9974+Sens!K9976)</f>
        <v>24.8730801087085</v>
      </c>
    </row>
    <row r="9980" customFormat="false" ht="17.15" hidden="false" customHeight="false" outlineLevel="0" collapsed="false">
      <c r="A9980" s="1" t="s">
        <v>991</v>
      </c>
      <c r="B9980" s="0" t="s">
        <v>417</v>
      </c>
      <c r="C9980" s="8" t="n">
        <f aca="false">cxit_open</f>
        <v>27.5918995</v>
      </c>
      <c r="D9980" s="8" t="n">
        <f aca="false">cxit_open</f>
        <v>27.5918995</v>
      </c>
      <c r="E9980" s="8" t="n">
        <f aca="false">cxit_open</f>
        <v>27.5918995</v>
      </c>
      <c r="F9980" s="8" t="n">
        <f aca="false">((a_g3_27-nonnv*a_mai)*tk_cxit_gb300+nonnv*a_mai*nv_hold_mai*tk_cxit_vr200+(1-a_g3_27)*tk_cxit_vr200)</f>
        <v>32.4975576</v>
      </c>
      <c r="G9980" s="8" t="n">
        <f aca="false">((a_g3_28-nonnv*a_mai)*tk_cxit_gb300+nonnv*a_mai*nv_hold_mai*tk_cxit_vr200+(1-a_g3_28)*tk_cxit_vr200)</f>
        <v>34.6372088</v>
      </c>
      <c r="H9980" s="8" t="n">
        <f aca="false">((a_g3_29-nonnv*a_mai)*tk_cxit_gb300+nonnv*a_mai*nv_hold_mai*tk_cxit_vr200+(1-a_g3_29)*tk_cxit_vr200)</f>
        <v>35.7070344</v>
      </c>
      <c r="I9980" s="8" t="n">
        <f aca="false">((a_g3_29-nonnv*a_mai)*tk_cxit_gb300+nonnv*a_mai*nv_hold_mai*tk_cxit_vr200+(1-a_g3_29)*tk_cxit_vr200)</f>
        <v>35.7070344</v>
      </c>
      <c r="J9980" s="8" t="n">
        <f aca="false">((a_g3_29-nonnv*a_mai)*tk_cxit_gb300+nonnv*a_mai*nv_hold_mai*tk_cxit_vr200+(1-a_g3_29)*tk_cxit_vr200)</f>
        <v>35.7070344</v>
      </c>
      <c r="K9980" s="8" t="n">
        <f aca="false">((a_g3_29-nonnv*a_mai)*tk_cxit_gb300+nonnv*a_mai*nv_hold_mai*tk_cxit_vr200+(1-a_g3_29)*tk_cxit_vr200)</f>
        <v>35.7070344</v>
      </c>
      <c r="L9980" s="12" t="s">
        <v>992</v>
      </c>
    </row>
    <row r="9981" customFormat="false" ht="17.15" hidden="false" customHeight="false" outlineLevel="0" collapsed="false">
      <c r="A9981" s="0" t="s">
        <v>993</v>
      </c>
      <c r="B9981" s="0" t="s">
        <v>459</v>
      </c>
      <c r="F9981" s="30" t="n">
        <f aca="false">Sens!C9960*IF(Sens!F9953-Sens!C9953=life_it,1,0)+Sens!D9960*IF(Sens!F9953-Sens!D9953=life_it,1,0)+Sens!E9960*IF(Sens!F9953-Sens!E9953=life_it,1,0)</f>
        <v>0</v>
      </c>
      <c r="G9981" s="30" t="n">
        <f aca="false">Sens!C9960*IF(Sens!G9953-Sens!C9953=life_it,1,0)+Sens!D9960*IF(Sens!G9953-Sens!D9953=life_it,1,0)+Sens!E9960*IF(Sens!G9953-Sens!E9953=life_it,1,0)+Sens!F9960*IF(Sens!G9953-Sens!F9953=life_it,1,0)</f>
        <v>0</v>
      </c>
      <c r="H9981" s="30" t="n">
        <f aca="false">Sens!C9960*IF(Sens!H9953-Sens!C9953=life_it,1,0)+Sens!D9960*IF(Sens!H9953-Sens!D9953=life_it,1,0)+Sens!E9960*IF(Sens!H9953-Sens!E9953=life_it,1,0)+Sens!F9960*IF(Sens!H9953-Sens!F9953=life_it,1,0)+Sens!G9960*IF(Sens!H9953-Sens!G9953=life_it,1,0)</f>
        <v>0</v>
      </c>
      <c r="I9981" s="30" t="n">
        <f aca="false">Sens!C9960*IF(Sens!I9953-Sens!C9953=life_it,1,0)+Sens!D9960*IF(Sens!I9953-Sens!D9953=life_it,1,0)+Sens!E9960*IF(Sens!I9953-Sens!E9953=life_it,1,0)+Sens!F9960*IF(Sens!I9953-Sens!F9953=life_it,1,0)+Sens!G9960*IF(Sens!I9953-Sens!G9953=life_it,1,0)+Sens!H9960*IF(Sens!I9953-Sens!H9953=life_it,1,0)</f>
        <v>816.666666666667</v>
      </c>
      <c r="J9981" s="30" t="n">
        <f aca="false">Sens!C9960*IF(Sens!J9953-Sens!C9953=life_it,1,0)+Sens!D9960*IF(Sens!J9953-Sens!D9953=life_it,1,0)+Sens!E9960*IF(Sens!J9953-Sens!E9953=life_it,1,0)+Sens!F9960*IF(Sens!J9953-Sens!F9953=life_it,1,0)+Sens!G9960*IF(Sens!J9953-Sens!G9953=life_it,1,0)+Sens!H9960*IF(Sens!J9953-Sens!H9953=life_it,1,0)+Sens!I9960*IF(Sens!J9953-Sens!I9953=life_it,1,0)</f>
        <v>1233.33333333333</v>
      </c>
      <c r="K9981" s="30" t="n">
        <f aca="false">Sens!C9960*IF(Sens!K9953-Sens!C9953=life_it,1,0)+Sens!D9960*IF(Sens!K9953-Sens!D9953=life_it,1,0)+Sens!E9960*IF(Sens!K9953-Sens!E9953=life_it,1,0)+Sens!F9960*IF(Sens!K9953-Sens!F9953=life_it,1,0)+Sens!G9960*IF(Sens!K9953-Sens!G9953=life_it,1,0)+Sens!H9960*IF(Sens!K9953-Sens!H9953=life_it,1,0)+Sens!I9960*IF(Sens!K9953-Sens!I9953=life_it,1,0)+Sens!J9960*IF(Sens!K9953-Sens!J9953=life_it,1,0)</f>
        <v>2450</v>
      </c>
      <c r="L9981" s="1" t="s">
        <v>994</v>
      </c>
    </row>
    <row r="9982" customFormat="false" ht="17.15" hidden="false" customHeight="false" outlineLevel="0" collapsed="false">
      <c r="A9982" s="0" t="s">
        <v>995</v>
      </c>
      <c r="B9982" s="0" t="s">
        <v>98</v>
      </c>
      <c r="C9982" s="6" t="n">
        <f aca="false">Sens!C9960*Sens!C9980/1000</f>
        <v>22.5333845916667</v>
      </c>
      <c r="D9982" s="6" t="n">
        <f aca="false">Sens!D9960*Sens!D9980/1000</f>
        <v>34.0300093833333</v>
      </c>
      <c r="E9982" s="6" t="n">
        <f aca="false">Sens!E9960*Sens!E9980/1000</f>
        <v>67.600153775</v>
      </c>
      <c r="F9982" s="6" t="n">
        <f aca="false">(Sens!F9960+Sens!F9981)*Sens!F9980/1000</f>
        <v>136.51872432512</v>
      </c>
      <c r="G9982" s="6" t="n">
        <f aca="false">(Sens!G9960+Sens!G9981)*Sens!G9980/1000</f>
        <v>157.399275932048</v>
      </c>
      <c r="H9982" s="6" t="n">
        <f aca="false">(Sens!H9960+Sens!H9981)*Sens!H9980/1000</f>
        <v>162.260804347512</v>
      </c>
      <c r="I9982" s="6" t="n">
        <f aca="false">(Sens!I9960+Sens!I9981)*Sens!I9980/1000</f>
        <v>144.136569485434</v>
      </c>
      <c r="J9982" s="6" t="n">
        <f aca="false">(Sens!J9960+Sens!J9981)*Sens!J9980/1000</f>
        <v>114.029037357864</v>
      </c>
      <c r="K9982" s="6" t="n">
        <f aca="false">(Sens!K9960+Sens!K9981)*Sens!K9980/1000</f>
        <v>113.437085350975</v>
      </c>
    </row>
    <row r="9983" customFormat="false" ht="17.15" hidden="false" customHeight="false" outlineLevel="0" collapsed="false">
      <c r="A9983" s="0" t="s">
        <v>996</v>
      </c>
      <c r="B9983" s="0" t="s">
        <v>98</v>
      </c>
      <c r="C9983" s="6" t="n">
        <f aca="false">Sens!C9960*self_build*tk_cxfac/1000</f>
        <v>6.2083</v>
      </c>
      <c r="D9983" s="6" t="n">
        <f aca="false">Sens!D9960*self_build*tk_cxfac/1000</f>
        <v>9.3758</v>
      </c>
      <c r="E9983" s="6" t="n">
        <f aca="false">Sens!E9960*self_build*tk_cxfac/1000</f>
        <v>18.6249</v>
      </c>
      <c r="F9983" s="6" t="n">
        <f aca="false">Sens!F9960*self_build*tk_cxfac/1000</f>
        <v>31.935179717</v>
      </c>
      <c r="G9983" s="6" t="n">
        <f aca="false">Sens!G9960*self_build*tk_cxfac/1000</f>
        <v>34.545199717</v>
      </c>
      <c r="H9983" s="6" t="n">
        <f aca="false">Sens!H9960*self_build*tk_cxfac/1000</f>
        <v>34.545199717</v>
      </c>
      <c r="I9983" s="6" t="n">
        <f aca="false">Sens!I9960*self_build*tk_cxfac/1000</f>
        <v>24.4782641361767</v>
      </c>
      <c r="J9983" s="6" t="n">
        <f aca="false">Sens!J9960*self_build*tk_cxfac/1000</f>
        <v>14.9008938380769</v>
      </c>
      <c r="K9983" s="6" t="n">
        <f aca="false">Sens!K9960*self_build*tk_cxfac/1000</f>
        <v>5.52576771375761</v>
      </c>
    </row>
    <row r="9984" customFormat="false" ht="17.15" hidden="false" customHeight="false" outlineLevel="0" collapsed="false">
      <c r="A9984" s="0" t="s">
        <v>997</v>
      </c>
      <c r="B9984" s="0" t="s">
        <v>98</v>
      </c>
      <c r="F9984" s="15" t="n">
        <f aca="false">capex_floor27-Sens!F9982-Sens!F9983-Sens!F10080</f>
        <v>-0.0771152464191687</v>
      </c>
      <c r="L9984" s="12" t="s">
        <v>998</v>
      </c>
    </row>
    <row r="9985" customFormat="false" ht="17.15" hidden="false" customHeight="false" outlineLevel="0" collapsed="false">
      <c r="A9985" s="0" t="s">
        <v>999</v>
      </c>
      <c r="B9985" s="0" t="s">
        <v>98</v>
      </c>
      <c r="F9985" s="6" t="n">
        <f aca="false">MAX(0,Sens!F9984)</f>
        <v>0</v>
      </c>
    </row>
    <row r="9986" customFormat="false" ht="17.15" hidden="false" customHeight="false" outlineLevel="0" collapsed="false">
      <c r="A9986" s="0" t="s">
        <v>1000</v>
      </c>
      <c r="B9986" s="0" t="s">
        <v>98</v>
      </c>
      <c r="C9986" s="6" t="n">
        <f aca="false">Sens!C9982</f>
        <v>22.5333845916667</v>
      </c>
      <c r="D9986" s="6" t="n">
        <f aca="false">Sens!D9982</f>
        <v>34.0300093833333</v>
      </c>
      <c r="E9986" s="6" t="n">
        <f aca="false">Sens!E9982</f>
        <v>67.600153775</v>
      </c>
      <c r="F9986" s="6" t="n">
        <f aca="false">Sens!F9982</f>
        <v>136.51872432512</v>
      </c>
      <c r="G9986" s="6" t="n">
        <f aca="false">Sens!G9982</f>
        <v>157.399275932048</v>
      </c>
      <c r="H9986" s="6" t="n">
        <f aca="false">Sens!H9982</f>
        <v>162.260804347512</v>
      </c>
      <c r="I9986" s="6" t="n">
        <f aca="false">Sens!I9982</f>
        <v>144.136569485434</v>
      </c>
      <c r="J9986" s="6" t="n">
        <f aca="false">Sens!J9982</f>
        <v>114.029037357864</v>
      </c>
      <c r="K9986" s="6" t="n">
        <f aca="false">Sens!K9982</f>
        <v>113.437085350975</v>
      </c>
    </row>
    <row r="9987" customFormat="false" ht="17.15" hidden="false" customHeight="false" outlineLevel="0" collapsed="false">
      <c r="A9987" s="0" t="s">
        <v>1001</v>
      </c>
      <c r="B9987" s="0" t="s">
        <v>98</v>
      </c>
      <c r="C9987" s="6" t="n">
        <f aca="false">Sens!C9986+Sens!C9983</f>
        <v>28.7416845916667</v>
      </c>
      <c r="D9987" s="6" t="n">
        <f aca="false">Sens!D9986+Sens!D9983</f>
        <v>43.4058093833333</v>
      </c>
      <c r="E9987" s="6" t="n">
        <f aca="false">Sens!E9986+Sens!E9983</f>
        <v>86.225053775</v>
      </c>
      <c r="F9987" s="6" t="n">
        <f aca="false">Sens!F9986+Sens!F9983</f>
        <v>168.45390404212</v>
      </c>
      <c r="G9987" s="6" t="n">
        <f aca="false">Sens!G9986+Sens!G9983</f>
        <v>191.944475649048</v>
      </c>
      <c r="H9987" s="6" t="n">
        <f aca="false">Sens!H9986+Sens!H9983</f>
        <v>196.806004064512</v>
      </c>
      <c r="I9987" s="6" t="n">
        <f aca="false">Sens!I9986+Sens!I9983</f>
        <v>168.61483362161</v>
      </c>
      <c r="J9987" s="6" t="n">
        <f aca="false">Sens!J9986+Sens!J9983</f>
        <v>128.92993119594</v>
      </c>
      <c r="K9987" s="6" t="n">
        <f aca="false">Sens!K9986+Sens!K9983</f>
        <v>118.962853064733</v>
      </c>
      <c r="L9987" s="12" t="s">
        <v>1002</v>
      </c>
    </row>
    <row r="9988" customFormat="false" ht="17.15" hidden="false" customHeight="false" outlineLevel="0" collapsed="false">
      <c r="A9988" s="0" t="s">
        <v>1003</v>
      </c>
      <c r="B9988" s="0" t="s">
        <v>98</v>
      </c>
      <c r="E9988" s="6" t="n">
        <f aca="false">(Sens!C9986*IF(2&lt;life_it,1,IF(2=life_it,0.5,0))+Sens!D9986*IF(1&lt;life_it,1,IF(1=life_it,0.5,0))+Sens!E9986*0.5)/life_it</f>
        <v>15.0605784770833</v>
      </c>
      <c r="F9988" s="6" t="n">
        <f aca="false">(Sens!C9986*IF(3&lt;life_it,1,IF(3=life_it,0.5,0))+Sens!D9986*IF(2&lt;life_it,1,IF(2=life_it,0.5,0))+Sens!E9986*IF(1&lt;life_it,1,IF(1=life_it,0.5,0))+Sens!F9986*0.5)/life_it</f>
        <v>32.0704849854266</v>
      </c>
      <c r="G9988" s="6" t="n">
        <f aca="false">(Sens!C9986*IF(4&lt;life_it,1,IF(4=life_it,0.5,0))+Sens!D9986*IF(3&lt;life_it,1,IF(3=life_it,0.5,0))+Sens!E9986*IF(2&lt;life_it,1,IF(2=life_it,0.5,0))+Sens!F9986*IF(1&lt;life_it,1,IF(1=life_it,0.5,0))+Sens!G9986*0.5)/life_it</f>
        <v>56.5636516735239</v>
      </c>
      <c r="H9988" s="6" t="n">
        <f aca="false">(Sens!C9986*IF(5&lt;life_it,1,IF(5=life_it,0.5,0))+Sens!D9986*IF(4&lt;life_it,1,IF(4=life_it,0.5,0))+Sens!E9986*IF(3&lt;life_it,1,IF(3=life_it,0.5,0))+Sens!F9986*IF(2&lt;life_it,1,IF(2=life_it,0.5,0))+Sens!G9986*IF(1&lt;life_it,1,IF(1=life_it,0.5,0))+Sens!H9986*0.5)/life_it</f>
        <v>83.2019916968207</v>
      </c>
      <c r="I9988" s="6" t="n">
        <f aca="false">(Sens!C9986*IF(6&lt;life_it,1,IF(6=life_it,0.5,0))+Sens!D9986*IF(5&lt;life_it,1,IF(5=life_it,0.5,0))+Sens!E9986*IF(4&lt;life_it,1,IF(4=life_it,0.5,0))+Sens!F9986*IF(3&lt;life_it,1,IF(3=life_it,0.5,0))+Sens!G9986*IF(2&lt;life_it,1,IF(2=life_it,0.5,0))+Sens!H9986*IF(1&lt;life_it,1,IF(1=life_it,0.5,0))+Sens!I9986*0.5)/life_it</f>
        <v>106.857324133594</v>
      </c>
      <c r="J9988" s="6" t="n">
        <f aca="false">(Sens!C9986*IF(7&lt;life_it,1,IF(7=life_it,0.5,0))+Sens!D9986*IF(6&lt;life_it,1,IF(6=life_it,0.5,0))+Sens!E9986*IF(5&lt;life_it,1,IF(5=life_it,0.5,0))+Sens!F9986*IF(4&lt;life_it,1,IF(4=life_it,0.5,0))+Sens!G9986*IF(3&lt;life_it,1,IF(3=life_it,0.5,0))+Sens!H9986*IF(2&lt;life_it,1,IF(2=life_it,0.5,0))+Sens!I9986*IF(1&lt;life_it,1,IF(1=life_it,0.5,0))+Sens!J9986*0.5)/life_it</f>
        <v>123.657508539285</v>
      </c>
      <c r="K9988" s="6" t="n">
        <f aca="false">(Sens!C9986*IF(8&lt;life_it,1,IF(8=life_it,0.5,0))+Sens!D9986*IF(7&lt;life_it,1,IF(7=life_it,0.5,0))+Sens!E9986*IF(6&lt;life_it,1,IF(6=life_it,0.5,0))+Sens!F9986*IF(5&lt;life_it,1,IF(5=life_it,0.5,0))+Sens!G9986*IF(4&lt;life_it,1,IF(4=life_it,0.5,0))+Sens!H9986*IF(3&lt;life_it,1,IF(3=life_it,0.5,0))+Sens!I9986*IF(2&lt;life_it,1,IF(2=life_it,0.5,0))+Sens!J9986*IF(1&lt;life_it,1,IF(1=life_it,0.5,0))+Sens!K9986*0.5)/life_it</f>
        <v>134.143838501827</v>
      </c>
    </row>
    <row r="9989" customFormat="false" ht="17.15" hidden="false" customHeight="false" outlineLevel="0" collapsed="false">
      <c r="A9989" s="0" t="s">
        <v>1004</v>
      </c>
      <c r="B9989" s="0" t="s">
        <v>98</v>
      </c>
      <c r="E9989" s="6" t="n">
        <f aca="false">(Sens!C9983*IF(2&lt;life_fac,1,IF(2=life_fac,0.5,0))+Sens!D9983*IF(1&lt;life_fac,1,IF(1=life_fac,0.5,0))+Sens!E9983*0.5)/life_fac</f>
        <v>1.2448275</v>
      </c>
      <c r="F9989" s="6" t="n">
        <f aca="false">(Sens!C9983*IF(3&lt;life_fac,1,IF(3=life_fac,0.5,0))+Sens!D9983*IF(2&lt;life_fac,1,IF(2=life_fac,0.5,0))+Sens!E9983*IF(1&lt;life_fac,1,IF(1=life_fac,0.5,0))+Sens!F9983*0.5)/life_fac</f>
        <v>2.508829492925</v>
      </c>
      <c r="G9989" s="6" t="n">
        <f aca="false">(Sens!C9983*IF(4&lt;life_fac,1,IF(4=life_fac,0.5,0))+Sens!D9983*IF(3&lt;life_fac,1,IF(3=life_fac,0.5,0))+Sens!E9983*IF(2&lt;life_fac,1,IF(2=life_fac,0.5,0))+Sens!F9983*IF(1&lt;life_fac,1,IF(1=life_fac,0.5,0))+Sens!G9983*0.5)/life_fac</f>
        <v>4.170838978775</v>
      </c>
      <c r="H9989" s="6" t="n">
        <f aca="false">(Sens!C9983*IF(5&lt;life_fac,1,IF(5=life_fac,0.5,0))+Sens!D9983*IF(4&lt;life_fac,1,IF(4=life_fac,0.5,0))+Sens!E9983*IF(3&lt;life_fac,1,IF(3=life_fac,0.5,0))+Sens!F9983*IF(2&lt;life_fac,1,IF(2=life_fac,0.5,0))+Sens!G9983*IF(1&lt;life_fac,1,IF(1=life_fac,0.5,0))+Sens!H9983*0.5)/life_fac</f>
        <v>5.898098964625</v>
      </c>
      <c r="I9989" s="6" t="n">
        <f aca="false">(Sens!C9983*IF(6&lt;life_fac,1,IF(6=life_fac,0.5,0))+Sens!D9983*IF(5&lt;life_fac,1,IF(5=life_fac,0.5,0))+Sens!E9983*IF(4&lt;life_fac,1,IF(4=life_fac,0.5,0))+Sens!F9983*IF(3&lt;life_fac,1,IF(3=life_fac,0.5,0))+Sens!G9983*IF(2&lt;life_fac,1,IF(2=life_fac,0.5,0))+Sens!H9983*IF(1&lt;life_fac,1,IF(1=life_fac,0.5,0))+Sens!I9983*0.5)/life_fac</f>
        <v>7.37368556095442</v>
      </c>
      <c r="J9989" s="6" t="n">
        <f aca="false">(Sens!C9983*IF(7&lt;life_fac,1,IF(7=life_fac,0.5,0))+Sens!D9983*IF(6&lt;life_fac,1,IF(6=life_fac,0.5,0))+Sens!E9983*IF(5&lt;life_fac,1,IF(5=life_fac,0.5,0))+Sens!F9983*IF(4&lt;life_fac,1,IF(4=life_fac,0.5,0))+Sens!G9983*IF(3&lt;life_fac,1,IF(3=life_fac,0.5,0))+Sens!H9983*IF(2&lt;life_fac,1,IF(2=life_fac,0.5,0))+Sens!I9983*IF(1&lt;life_fac,1,IF(1=life_fac,0.5,0))+Sens!J9983*0.5)/life_fac</f>
        <v>8.35816451031075</v>
      </c>
      <c r="K9989" s="6" t="n">
        <f aca="false">(Sens!C9983*IF(8&lt;life_fac,1,IF(8=life_fac,0.5,0))+Sens!D9983*IF(7&lt;life_fac,1,IF(7=life_fac,0.5,0))+Sens!E9983*IF(6&lt;life_fac,1,IF(6=life_fac,0.5,0))+Sens!F9983*IF(5&lt;life_fac,1,IF(5=life_fac,0.5,0))+Sens!G9983*IF(4&lt;life_fac,1,IF(4=life_fac,0.5,0))+Sens!H9983*IF(3&lt;life_fac,1,IF(3=life_fac,0.5,0))+Sens!I9983*IF(2&lt;life_fac,1,IF(2=life_fac,0.5,0))+Sens!J9983*IF(1&lt;life_fac,1,IF(1=life_fac,0.5,0))+Sens!K9983*0.5)/life_fac</f>
        <v>8.86883104910662</v>
      </c>
    </row>
    <row r="9990" customFormat="false" ht="17.15" hidden="false" customHeight="false" outlineLevel="0" collapsed="false">
      <c r="A9990" s="0" t="s">
        <v>1005</v>
      </c>
      <c r="B9990" s="0" t="s">
        <v>98</v>
      </c>
      <c r="E9990" s="6" t="n">
        <f aca="false">Sens!E9988+Sens!E9989</f>
        <v>16.3054059770833</v>
      </c>
      <c r="F9990" s="6" t="n">
        <f aca="false">Sens!F9988+Sens!F9989</f>
        <v>34.5793144783516</v>
      </c>
      <c r="G9990" s="6" t="n">
        <f aca="false">Sens!G9988+Sens!G9989</f>
        <v>60.7344906522989</v>
      </c>
      <c r="H9990" s="6" t="n">
        <f aca="false">Sens!H9988+Sens!H9989</f>
        <v>89.1000906614457</v>
      </c>
      <c r="I9990" s="6" t="n">
        <f aca="false">Sens!I9988+Sens!I9989</f>
        <v>114.231009694548</v>
      </c>
      <c r="J9990" s="6" t="n">
        <f aca="false">Sens!J9988+Sens!J9989</f>
        <v>132.015673049596</v>
      </c>
      <c r="K9990" s="6" t="n">
        <f aca="false">Sens!K9988+Sens!K9989</f>
        <v>143.012669550934</v>
      </c>
    </row>
    <row r="9991" customFormat="false" ht="17.15" hidden="false" customHeight="false" outlineLevel="0" collapsed="false">
      <c r="A9991" s="0" t="s">
        <v>1006</v>
      </c>
      <c r="B9991" s="0" t="s">
        <v>98</v>
      </c>
      <c r="E9991" s="6" t="n">
        <f aca="false">Sens!E9978-Sens!E9977*Sens!E9990</f>
        <v>8.92707889977379</v>
      </c>
      <c r="F9991" s="6" t="n">
        <f aca="false">Sens!F9978-Sens!F9977*Sens!F9990</f>
        <v>18.7770356668733</v>
      </c>
      <c r="G9991" s="6" t="n">
        <f aca="false">Sens!G9978-Sens!G9977*Sens!G9990</f>
        <v>31.1163641458894</v>
      </c>
      <c r="H9991" s="6" t="n">
        <f aca="false">Sens!H9978-Sens!H9977*Sens!H9990</f>
        <v>43.7262635496428</v>
      </c>
      <c r="I9991" s="6" t="n">
        <f aca="false">Sens!I9978-Sens!I9977*Sens!I9990</f>
        <v>54.7541698336361</v>
      </c>
      <c r="J9991" s="6" t="n">
        <f aca="false">Sens!J9978-Sens!J9977*Sens!J9990</f>
        <v>62.3768819327658</v>
      </c>
      <c r="K9991" s="6" t="n">
        <f aca="false">Sens!K9978-Sens!K9977*Sens!K9990</f>
        <v>67.4820630434748</v>
      </c>
    </row>
    <row r="9992" customFormat="false" ht="17.15" hidden="false" customHeight="false" outlineLevel="0" collapsed="false">
      <c r="A9992" s="3" t="s">
        <v>1861</v>
      </c>
    </row>
    <row r="9993" customFormat="false" ht="15" hidden="false" customHeight="false" outlineLevel="0" collapsed="false">
      <c r="A9993" s="4" t="s">
        <v>43</v>
      </c>
      <c r="B9993" s="4" t="s">
        <v>65</v>
      </c>
      <c r="C9993" s="23" t="s">
        <v>942</v>
      </c>
      <c r="D9993" s="23" t="s">
        <v>943</v>
      </c>
      <c r="E9993" s="23" t="s">
        <v>944</v>
      </c>
      <c r="F9993" s="23" t="s">
        <v>945</v>
      </c>
      <c r="G9993" s="23" t="s">
        <v>946</v>
      </c>
      <c r="H9993" s="23" t="s">
        <v>947</v>
      </c>
      <c r="I9993" s="23" t="s">
        <v>948</v>
      </c>
      <c r="J9993" s="23" t="s">
        <v>949</v>
      </c>
      <c r="K9993" s="23" t="s">
        <v>950</v>
      </c>
      <c r="L9993" s="4" t="s">
        <v>47</v>
      </c>
    </row>
    <row r="9994" customFormat="false" ht="17.15" hidden="false" customHeight="false" outlineLevel="0" collapsed="false">
      <c r="A9994" s="0" t="s">
        <v>1025</v>
      </c>
      <c r="B9994" s="0" t="s">
        <v>98</v>
      </c>
      <c r="D9994" s="6" t="n">
        <f aca="false">Sens!D9972</f>
        <v>12.9359794422418</v>
      </c>
      <c r="E9994" s="6" t="n">
        <f aca="false">Sens!E9972</f>
        <v>27.8095064661409</v>
      </c>
      <c r="F9994" s="6" t="n">
        <f aca="false">Sens!F9972</f>
        <v>55.4118315060966</v>
      </c>
      <c r="G9994" s="6" t="n">
        <f aca="false">Sens!G9972</f>
        <v>91.2881100675143</v>
      </c>
      <c r="H9994" s="6" t="n">
        <f aca="false">Sens!H9972</f>
        <v>128.195273603944</v>
      </c>
      <c r="I9994" s="6" t="n">
        <f aca="false">Sens!I9972</f>
        <v>160.601281810405</v>
      </c>
      <c r="J9994" s="6" t="n">
        <f aca="false">Sens!J9972</f>
        <v>183.182719793589</v>
      </c>
      <c r="K9994" s="6" t="n">
        <f aca="false">Sens!K9972</f>
        <v>197.320124937098</v>
      </c>
    </row>
    <row r="9995" customFormat="false" ht="17.15" hidden="false" customHeight="false" outlineLevel="0" collapsed="false">
      <c r="A9995" s="0" t="s">
        <v>1026</v>
      </c>
      <c r="B9995" s="0" t="s">
        <v>98</v>
      </c>
      <c r="D9995" s="6" t="n">
        <f aca="false">Q!L6-Sens!D9994</f>
        <v>59.6740205577583</v>
      </c>
      <c r="E9995" s="6" t="n">
        <f aca="false">Q!M6-Sens!E9994</f>
        <v>74.1284935338591</v>
      </c>
      <c r="F9995" s="6" t="n">
        <f aca="false">Q!$I$6+(Sens!F9994+Sens!E9995*(1+Sens!F9996))*(1-Q!$E$6/Q!M6)-Sens!F9994</f>
        <v>91.6828900194686</v>
      </c>
      <c r="G9995" s="6" t="n">
        <f aca="false">Sens!F9995*(1+Sens!G9996)</f>
        <v>110.155396039469</v>
      </c>
      <c r="H9995" s="6" t="n">
        <f aca="false">Sens!G9995*(1+Sens!H9996)</f>
        <v>130.105853685074</v>
      </c>
      <c r="I9995" s="6" t="n">
        <f aca="false">Sens!H9995*(1+Sens!I9996)</f>
        <v>151.019237008485</v>
      </c>
      <c r="J9995" s="6" t="n">
        <f aca="false">Sens!I9995*(1+Sens!J9996)</f>
        <v>172.217905042986</v>
      </c>
      <c r="K9995" s="6" t="n">
        <f aca="false">Sens!J9995*(1+Sens!K9996)</f>
        <v>192.884053648144</v>
      </c>
      <c r="L9995" s="12" t="s">
        <v>1027</v>
      </c>
    </row>
    <row r="9996" customFormat="false" ht="15" hidden="false" customHeight="false" outlineLevel="0" collapsed="false">
      <c r="A9996" s="1" t="s">
        <v>1028</v>
      </c>
      <c r="B9996" s="0" t="s">
        <v>168</v>
      </c>
      <c r="E9996" s="7" t="n">
        <f aca="false">Sens!E9995/Sens!D9995-1</f>
        <v>0.242223883039864</v>
      </c>
      <c r="F9996" s="7" t="n">
        <f aca="false">Sens!$E$9996+(glt_azo_hi-Sens!$E$9996)*MIN(1,(Sens!F9953-base_fy)/n_conv)</f>
        <v>0.221853235866554</v>
      </c>
      <c r="G9996" s="7" t="n">
        <f aca="false">Sens!$E$9996+(glt_azo_hi-Sens!$E$9996)*MIN(1,(Sens!G9953-base_fy)/n_conv)</f>
        <v>0.201482588693243</v>
      </c>
      <c r="H9996" s="7" t="n">
        <f aca="false">Sens!$E$9996+(glt_azo_hi-Sens!$E$9996)*MIN(1,(Sens!H9953-base_fy)/n_conv)</f>
        <v>0.181111941519932</v>
      </c>
      <c r="I9996" s="7" t="n">
        <f aca="false">Sens!$E$9996+(glt_azo_hi-Sens!$E$9996)*MIN(1,(Sens!I9953-base_fy)/n_conv)</f>
        <v>0.160741294346622</v>
      </c>
      <c r="J9996" s="7" t="n">
        <f aca="false">Sens!$E$9996+(glt_azo_hi-Sens!$E$9996)*MIN(1,(Sens!J9953-base_fy)/n_conv)</f>
        <v>0.140370647173311</v>
      </c>
      <c r="K9996" s="7" t="n">
        <f aca="false">Sens!$E$9996+(glt_azo_hi-Sens!$E$9996)*MIN(1,(Sens!K9953-base_fy)/n_conv)</f>
        <v>0.12</v>
      </c>
    </row>
    <row r="9997" customFormat="false" ht="15" hidden="false" customHeight="false" outlineLevel="0" collapsed="false">
      <c r="A9997" s="0" t="s">
        <v>1029</v>
      </c>
      <c r="B9997" s="0" t="s">
        <v>98</v>
      </c>
      <c r="D9997" s="6" t="n">
        <f aca="false">Sens!D9994+Sens!D9995</f>
        <v>72.61</v>
      </c>
      <c r="E9997" s="6" t="n">
        <f aca="false">Sens!E9994+Sens!E9995</f>
        <v>101.938</v>
      </c>
      <c r="F9997" s="6" t="n">
        <f aca="false">Sens!F9994+Sens!F9995</f>
        <v>147.094721525565</v>
      </c>
      <c r="G9997" s="6" t="n">
        <f aca="false">Sens!G9994+Sens!G9995</f>
        <v>201.443506106983</v>
      </c>
      <c r="H9997" s="6" t="n">
        <f aca="false">Sens!H9994+Sens!H9995</f>
        <v>258.301127289018</v>
      </c>
      <c r="I9997" s="6" t="n">
        <f aca="false">Sens!I9994+Sens!I9995</f>
        <v>311.62051881889</v>
      </c>
      <c r="J9997" s="6" t="n">
        <f aca="false">Sens!J9994+Sens!J9995</f>
        <v>355.400624836575</v>
      </c>
      <c r="K9997" s="6" t="n">
        <f aca="false">Sens!K9994+Sens!K9995</f>
        <v>390.204178585242</v>
      </c>
    </row>
    <row r="9998" customFormat="false" ht="17.15" hidden="false" customHeight="false" outlineLevel="0" collapsed="false">
      <c r="A9998" s="0" t="s">
        <v>1030</v>
      </c>
      <c r="B9998" s="1" t="s">
        <v>613</v>
      </c>
      <c r="C9998" s="30" t="n">
        <f aca="false">cop_s24</f>
        <v>1</v>
      </c>
      <c r="D9998" s="30" t="n">
        <f aca="false">cop_s25</f>
        <v>5</v>
      </c>
      <c r="E9998" s="30" t="n">
        <f aca="false">cop_s26</f>
        <v>30</v>
      </c>
      <c r="F9998" s="30" t="n">
        <f aca="false">Sens!E9998+cop_add_B</f>
        <v>50</v>
      </c>
      <c r="G9998" s="30" t="n">
        <f aca="false">Sens!F9998+cop_add_B</f>
        <v>70</v>
      </c>
      <c r="H9998" s="30" t="n">
        <f aca="false">Sens!G9998+cop_add_B</f>
        <v>90</v>
      </c>
      <c r="I9998" s="30" t="n">
        <f aca="false">Sens!H9998+cop_add_B*cop_tail</f>
        <v>100</v>
      </c>
      <c r="J9998" s="30" t="n">
        <f aca="false">Sens!I9998+cop_add_B*cop_tail</f>
        <v>110</v>
      </c>
      <c r="K9998" s="30" t="n">
        <f aca="false">Sens!J9998+cop_add_B*cop_tail</f>
        <v>120</v>
      </c>
      <c r="L9998" s="12" t="s">
        <v>1031</v>
      </c>
    </row>
    <row r="9999" customFormat="false" ht="17.15" hidden="false" customHeight="false" outlineLevel="0" collapsed="false">
      <c r="A9999" s="0" t="s">
        <v>1032</v>
      </c>
      <c r="B9999" s="0" t="s">
        <v>98</v>
      </c>
      <c r="D9999" s="6" t="n">
        <f aca="false">(Sens!C9998+Sens!D9998)/2*cop_px*12/1000</f>
        <v>0.9</v>
      </c>
      <c r="E9999" s="6" t="n">
        <f aca="false">(Sens!D9998+Sens!E9998)/2*cop_px*12/1000</f>
        <v>5.25</v>
      </c>
      <c r="F9999" s="6" t="n">
        <f aca="false">(Sens!E9998+Sens!F9998)/2*cop_px*12/1000</f>
        <v>12</v>
      </c>
      <c r="G9999" s="6" t="n">
        <f aca="false">(Sens!F9998+Sens!G9998)/2*cop_px*12/1000</f>
        <v>18</v>
      </c>
      <c r="H9999" s="6" t="n">
        <f aca="false">(Sens!G9998+Sens!H9998)/2*cop_px*12/1000</f>
        <v>24</v>
      </c>
      <c r="I9999" s="6" t="n">
        <f aca="false">(Sens!H9998+Sens!I9998)/2*cop_px*12/1000</f>
        <v>28.5</v>
      </c>
      <c r="J9999" s="6" t="n">
        <f aca="false">(Sens!I9998+Sens!J9998)/2*cop_px*12/1000</f>
        <v>31.5</v>
      </c>
      <c r="K9999" s="6" t="n">
        <f aca="false">(Sens!J9998+Sens!K9998)/2*cop_px*12/1000</f>
        <v>34.5</v>
      </c>
      <c r="L9999" s="1" t="s">
        <v>1033</v>
      </c>
    </row>
    <row r="10000" customFormat="false" ht="17.15" hidden="false" customHeight="false" outlineLevel="0" collapsed="false">
      <c r="A10000" s="0" t="s">
        <v>1034</v>
      </c>
      <c r="B10000" s="0" t="s">
        <v>98</v>
      </c>
      <c r="D10000" s="6" t="n">
        <f aca="false">Q!L7-Sens!D9999</f>
        <v>83.705</v>
      </c>
      <c r="E10000" s="6" t="n">
        <f aca="false">Q!M7-Sens!E9999</f>
        <v>95.049</v>
      </c>
      <c r="F10000" s="6" t="n">
        <f aca="false">Q!$I$7+(Sens!E10000*(1+Sens!F10001)+Sens!F9999)*(1-Q!$E$7/Q!M7)-Sens!F9999</f>
        <v>106.584003697747</v>
      </c>
      <c r="G10000" s="6" t="n">
        <f aca="false">Sens!F10000*(1+Sens!G10001)</f>
        <v>118.700726545688</v>
      </c>
      <c r="H10000" s="6" t="n">
        <f aca="false">Sens!G10000*(1+Sens!H10001)</f>
        <v>130.898624783666</v>
      </c>
      <c r="I10000" s="6" t="n">
        <f aca="false">Sens!H10000*(1+Sens!I10001)</f>
        <v>142.920510030657</v>
      </c>
      <c r="J10000" s="6" t="n">
        <f aca="false">Sens!I10000*(1+Sens!J10001)</f>
        <v>154.485722618572</v>
      </c>
      <c r="K10000" s="6" t="n">
        <f aca="false">Sens!J10000*(1+Sens!K10001)</f>
        <v>165.299723201872</v>
      </c>
      <c r="L10000" s="12" t="s">
        <v>1035</v>
      </c>
    </row>
    <row r="10001" customFormat="false" ht="15" hidden="false" customHeight="false" outlineLevel="0" collapsed="false">
      <c r="A10001" s="1" t="s">
        <v>1028</v>
      </c>
      <c r="B10001" s="0" t="s">
        <v>168</v>
      </c>
      <c r="E10001" s="7" t="n">
        <f aca="false">Sens!E10000/Sens!D10000-1</f>
        <v>0.135523564900544</v>
      </c>
      <c r="F10001" s="7" t="n">
        <f aca="false">Sens!$E$10001+(glt_m365b-Sens!$E$10001)*MIN(1,(Sens!F9953-base_fy)/n_conv)</f>
        <v>0.124602970750453</v>
      </c>
      <c r="G10001" s="7" t="n">
        <f aca="false">Sens!$E$10001+(glt_m365b-Sens!$E$10001)*MIN(1,(Sens!G9953-base_fy)/n_conv)</f>
        <v>0.113682376600363</v>
      </c>
      <c r="H10001" s="7" t="n">
        <f aca="false">Sens!$E$10001+(glt_m365b-Sens!$E$10001)*MIN(1,(Sens!H9953-base_fy)/n_conv)</f>
        <v>0.102761782450272</v>
      </c>
      <c r="I10001" s="7" t="n">
        <f aca="false">Sens!$E$10001+(glt_m365b-Sens!$E$10001)*MIN(1,(Sens!I9953-base_fy)/n_conv)</f>
        <v>0.0918411883001813</v>
      </c>
      <c r="J10001" s="7" t="n">
        <f aca="false">Sens!$E$10001+(glt_m365b-Sens!$E$10001)*MIN(1,(Sens!J9953-base_fy)/n_conv)</f>
        <v>0.0809205941500906</v>
      </c>
      <c r="K10001" s="7" t="n">
        <f aca="false">Sens!$E$10001+(glt_m365b-Sens!$E$10001)*MIN(1,(Sens!K9953-base_fy)/n_conv)</f>
        <v>0.07</v>
      </c>
    </row>
    <row r="10002" customFormat="false" ht="15" hidden="false" customHeight="false" outlineLevel="0" collapsed="false">
      <c r="A10002" s="0" t="s">
        <v>1036</v>
      </c>
      <c r="B10002" s="0" t="s">
        <v>98</v>
      </c>
      <c r="D10002" s="6" t="n">
        <f aca="false">Sens!D10000+Sens!D9999</f>
        <v>84.605</v>
      </c>
      <c r="E10002" s="6" t="n">
        <f aca="false">Sens!E10000+Sens!E9999</f>
        <v>100.299</v>
      </c>
      <c r="F10002" s="6" t="n">
        <f aca="false">Sens!F10000+Sens!F9999</f>
        <v>118.584003697747</v>
      </c>
      <c r="G10002" s="6" t="n">
        <f aca="false">Sens!G10000+Sens!G9999</f>
        <v>136.700726545688</v>
      </c>
      <c r="H10002" s="6" t="n">
        <f aca="false">Sens!H10000+Sens!H9999</f>
        <v>154.898624783666</v>
      </c>
      <c r="I10002" s="6" t="n">
        <f aca="false">Sens!I10000+Sens!I9999</f>
        <v>171.420510030657</v>
      </c>
      <c r="J10002" s="6" t="n">
        <f aca="false">Sens!J10000+Sens!J9999</f>
        <v>185.985722618572</v>
      </c>
      <c r="K10002" s="6" t="n">
        <f aca="false">Sens!K10000+Sens!K9999</f>
        <v>199.799723201872</v>
      </c>
    </row>
    <row r="10003" customFormat="false" ht="17.15" hidden="false" customHeight="false" outlineLevel="0" collapsed="false">
      <c r="A10003" s="0" t="s">
        <v>1037</v>
      </c>
      <c r="B10003" s="0" t="s">
        <v>98</v>
      </c>
      <c r="D10003" s="6" t="n">
        <f aca="false">Q!L8</f>
        <v>35.391</v>
      </c>
      <c r="E10003" s="6" t="n">
        <f aca="false">Q!M8</f>
        <v>37.285</v>
      </c>
      <c r="F10003" s="6" t="n">
        <f aca="false">Q!$I$8+(Q!M8-Q!$E$8)*(1+Sens!F10004)</f>
        <v>38.3851437782675</v>
      </c>
      <c r="G10003" s="6" t="n">
        <f aca="false">Sens!F10003*(1+Sens!G10004)</f>
        <v>40.0105353288615</v>
      </c>
      <c r="H10003" s="6" t="n">
        <f aca="false">Sens!G10003*(1+Sens!H10004)</f>
        <v>41.4812512033683</v>
      </c>
      <c r="I10003" s="6" t="n">
        <f aca="false">Sens!H10003*(1+Sens!I10004)</f>
        <v>42.7743107216329</v>
      </c>
      <c r="J10003" s="6" t="n">
        <f aca="false">Sens!I10003*(1+Sens!J10004)</f>
        <v>43.8687373064601</v>
      </c>
      <c r="K10003" s="6" t="n">
        <f aca="false">Sens!J10003*(1+Sens!K10004)</f>
        <v>44.7461120525893</v>
      </c>
      <c r="L10003" s="12" t="s">
        <v>1038</v>
      </c>
    </row>
    <row r="10004" customFormat="false" ht="15" hidden="false" customHeight="false" outlineLevel="0" collapsed="false">
      <c r="A10004" s="1" t="s">
        <v>1028</v>
      </c>
      <c r="B10004" s="0" t="s">
        <v>168</v>
      </c>
      <c r="E10004" s="7" t="n">
        <f aca="false">Sens!E10003/Sens!D10003-1</f>
        <v>0.0535164307309768</v>
      </c>
      <c r="F10004" s="7" t="n">
        <f aca="false">Sens!$E$10004+(glt_lic-Sens!$E$10004)*MIN(1,(Sens!F9953-base_fy)/n_conv)</f>
        <v>0.0479303589424807</v>
      </c>
      <c r="G10004" s="7" t="n">
        <f aca="false">Sens!$E$10004+(glt_lic-Sens!$E$10004)*MIN(1,(Sens!G9953-base_fy)/n_conv)</f>
        <v>0.0423442871539845</v>
      </c>
      <c r="H10004" s="7" t="n">
        <f aca="false">Sens!$E$10004+(glt_lic-Sens!$E$10004)*MIN(1,(Sens!H9953-base_fy)/n_conv)</f>
        <v>0.0367582153654884</v>
      </c>
      <c r="I10004" s="7" t="n">
        <f aca="false">Sens!$E$10004+(glt_lic-Sens!$E$10004)*MIN(1,(Sens!I9953-base_fy)/n_conv)</f>
        <v>0.0311721435769923</v>
      </c>
      <c r="J10004" s="7" t="n">
        <f aca="false">Sens!$E$10004+(glt_lic-Sens!$E$10004)*MIN(1,(Sens!J9953-base_fy)/n_conv)</f>
        <v>0.0255860717884961</v>
      </c>
      <c r="K10004" s="7" t="n">
        <f aca="false">Sens!$E$10004+(glt_lic-Sens!$E$10004)*MIN(1,(Sens!K9953-base_fy)/n_conv)</f>
        <v>0.02</v>
      </c>
    </row>
    <row r="10005" customFormat="false" ht="17.15" hidden="false" customHeight="false" outlineLevel="0" collapsed="false">
      <c r="A10005" s="0" t="s">
        <v>1039</v>
      </c>
      <c r="B10005" s="0" t="s">
        <v>98</v>
      </c>
      <c r="D10005" s="6" t="n">
        <f aca="false">Q!L9</f>
        <v>18.417</v>
      </c>
      <c r="E10005" s="6" t="n">
        <f aca="false">Q!M9</f>
        <v>20.345</v>
      </c>
      <c r="F10005" s="6" t="n">
        <f aca="false">Q!$I$9+(Q!M9-Q!$E$9)*(1+Sens!F10006)</f>
        <v>22.3161797133988</v>
      </c>
      <c r="G10005" s="6" t="n">
        <f aca="false">Sens!F10005*(1+Sens!G10006)</f>
        <v>24.3943499673233</v>
      </c>
      <c r="H10005" s="6" t="n">
        <f aca="false">Sens!G10005*(1+Sens!H10006)</f>
        <v>26.5250243109019</v>
      </c>
      <c r="I10005" s="6" t="n">
        <f aca="false">Sens!H10005*(1+Sens!I10006)</f>
        <v>28.6884573538181</v>
      </c>
      <c r="J10005" s="6" t="n">
        <f aca="false">Sens!I10005*(1+Sens!J10006)</f>
        <v>30.8624968052127</v>
      </c>
      <c r="K10005" s="6" t="n">
        <f aca="false">Sens!J10005*(1+Sens!K10006)</f>
        <v>33.0228715815776</v>
      </c>
      <c r="L10005" s="12" t="s">
        <v>1038</v>
      </c>
    </row>
    <row r="10006" customFormat="false" ht="15" hidden="false" customHeight="false" outlineLevel="0" collapsed="false">
      <c r="A10006" s="1" t="s">
        <v>1028</v>
      </c>
      <c r="B10006" s="0" t="s">
        <v>168</v>
      </c>
      <c r="E10006" s="7" t="n">
        <f aca="false">Sens!E10005/Sens!D10005-1</f>
        <v>0.104685888038225</v>
      </c>
      <c r="F10006" s="7" t="n">
        <f aca="false">Sens!$E$10006+(glt_ind-Sens!$E$10006)*MIN(1,(Sens!F9953-base_fy)/n_conv)</f>
        <v>0.0989049066985211</v>
      </c>
      <c r="G10006" s="7" t="n">
        <f aca="false">Sens!$E$10006+(glt_ind-Sens!$E$10006)*MIN(1,(Sens!G9953-base_fy)/n_conv)</f>
        <v>0.0931239253588169</v>
      </c>
      <c r="H10006" s="7" t="n">
        <f aca="false">Sens!$E$10006+(glt_ind-Sens!$E$10006)*MIN(1,(Sens!H9953-base_fy)/n_conv)</f>
        <v>0.0873429440191127</v>
      </c>
      <c r="I10006" s="7" t="n">
        <f aca="false">Sens!$E$10006+(glt_ind-Sens!$E$10006)*MIN(1,(Sens!I9953-base_fy)/n_conv)</f>
        <v>0.0815619626794085</v>
      </c>
      <c r="J10006" s="7" t="n">
        <f aca="false">Sens!$E$10006+(glt_ind-Sens!$E$10006)*MIN(1,(Sens!J9953-base_fy)/n_conv)</f>
        <v>0.0757809813397042</v>
      </c>
      <c r="K10006" s="7" t="n">
        <f aca="false">Sens!$E$10006+(glt_ind-Sens!$E$10006)*MIN(1,(Sens!K9953-base_fy)/n_conv)</f>
        <v>0.07</v>
      </c>
    </row>
    <row r="10007" customFormat="false" ht="17.15" hidden="false" customHeight="false" outlineLevel="0" collapsed="false">
      <c r="A10007" s="0" t="s">
        <v>1040</v>
      </c>
      <c r="B10007" s="0" t="s">
        <v>98</v>
      </c>
      <c r="D10007" s="6" t="n">
        <f aca="false">Q!L10</f>
        <v>7.76</v>
      </c>
      <c r="E10007" s="6" t="n">
        <f aca="false">Q!M10</f>
        <v>8.26</v>
      </c>
      <c r="F10007" s="6" t="n">
        <f aca="false">Q!$I$10+(Q!M10-Q!$E$10)*(1+Sens!F10008)</f>
        <v>8.75372082474227</v>
      </c>
      <c r="G10007" s="6" t="n">
        <f aca="false">Sens!F10007*(1+Sens!G10008)</f>
        <v>9.33399324642364</v>
      </c>
      <c r="H10007" s="6" t="n">
        <f aca="false">Sens!G10007*(1+Sens!H10008)</f>
        <v>9.96139155535851</v>
      </c>
      <c r="I10007" s="6" t="n">
        <f aca="false">Sens!H10007*(1+Sens!I10008)</f>
        <v>10.6402039077391</v>
      </c>
      <c r="J10007" s="6" t="n">
        <f aca="false">Sens!I10007*(1+Sens!J10008)</f>
        <v>11.3751458271397</v>
      </c>
      <c r="K10007" s="6" t="n">
        <f aca="false">Sens!J10007*(1+Sens!K10008)</f>
        <v>12.1714060350394</v>
      </c>
      <c r="L10007" s="12" t="s">
        <v>1038</v>
      </c>
    </row>
    <row r="10008" customFormat="false" ht="15" hidden="false" customHeight="false" outlineLevel="0" collapsed="false">
      <c r="A10008" s="1" t="s">
        <v>1028</v>
      </c>
      <c r="B10008" s="0" t="s">
        <v>168</v>
      </c>
      <c r="E10008" s="7" t="n">
        <f aca="false">Sens!E10007/Sens!D10007-1</f>
        <v>0.0644329896907216</v>
      </c>
      <c r="F10008" s="7" t="n">
        <f aca="false">Sens!$E$10008+(glt_fro-Sens!$E$10008)*MIN(1,(Sens!F9953-base_fy)/n_conv)</f>
        <v>0.065360824742268</v>
      </c>
      <c r="G10008" s="7" t="n">
        <f aca="false">Sens!$E$10008+(glt_fro-Sens!$E$10008)*MIN(1,(Sens!G9953-base_fy)/n_conv)</f>
        <v>0.0662886597938144</v>
      </c>
      <c r="H10008" s="7" t="n">
        <f aca="false">Sens!$E$10008+(glt_fro-Sens!$E$10008)*MIN(1,(Sens!H9953-base_fy)/n_conv)</f>
        <v>0.0672164948453608</v>
      </c>
      <c r="I10008" s="7" t="n">
        <f aca="false">Sens!$E$10008+(glt_fro-Sens!$E$10008)*MIN(1,(Sens!I9953-base_fy)/n_conv)</f>
        <v>0.0681443298969072</v>
      </c>
      <c r="J10008" s="7" t="n">
        <f aca="false">Sens!$E$10008+(glt_fro-Sens!$E$10008)*MIN(1,(Sens!J9953-base_fy)/n_conv)</f>
        <v>0.0690721649484536</v>
      </c>
      <c r="K10008" s="7" t="n">
        <f aca="false">Sens!$E$10008+(glt_fro-Sens!$E$10008)*MIN(1,(Sens!K9953-base_fy)/n_conv)</f>
        <v>0.07</v>
      </c>
    </row>
    <row r="10009" customFormat="false" ht="15" hidden="false" customHeight="false" outlineLevel="0" collapsed="false">
      <c r="A10009" s="0" t="s">
        <v>856</v>
      </c>
      <c r="B10009" s="0" t="s">
        <v>98</v>
      </c>
      <c r="D10009" s="6" t="n">
        <f aca="false">Sens!D9997+Sens!D10002+Sens!D10003+Sens!D10005+Sens!D10007</f>
        <v>218.783</v>
      </c>
      <c r="E10009" s="6" t="n">
        <f aca="false">Sens!E9997+Sens!E10002+Sens!E10003+Sens!E10005+Sens!E10007</f>
        <v>268.127</v>
      </c>
      <c r="F10009" s="6" t="n">
        <f aca="false">Sens!F9997+Sens!F10002+Sens!F10003+Sens!F10005+Sens!F10007</f>
        <v>335.133769539721</v>
      </c>
      <c r="G10009" s="6" t="n">
        <f aca="false">Sens!G9997+Sens!G10002+Sens!G10003+Sens!G10005+Sens!G10007</f>
        <v>411.88311119528</v>
      </c>
      <c r="H10009" s="6" t="n">
        <f aca="false">Sens!H9997+Sens!H10002+Sens!H10003+Sens!H10005+Sens!H10007</f>
        <v>491.167419142312</v>
      </c>
      <c r="I10009" s="6" t="n">
        <f aca="false">Sens!I9997+Sens!I10002+Sens!I10003+Sens!I10005+Sens!I10007</f>
        <v>565.144000832737</v>
      </c>
      <c r="J10009" s="6" t="n">
        <f aca="false">Sens!J9997+Sens!J10002+Sens!J10003+Sens!J10005+Sens!J10007</f>
        <v>627.49272739396</v>
      </c>
      <c r="K10009" s="6" t="n">
        <f aca="false">Sens!K9997+Sens!K10002+Sens!K10003+Sens!K10005+Sens!K10007</f>
        <v>679.94429145632</v>
      </c>
    </row>
    <row r="10010" customFormat="false" ht="17.15" hidden="false" customHeight="false" outlineLevel="0" collapsed="false">
      <c r="A10010" s="0" t="s">
        <v>1041</v>
      </c>
      <c r="B10010" s="0" t="s">
        <v>98</v>
      </c>
      <c r="D10010" s="6" t="n">
        <f aca="false">Q!L13</f>
        <v>22.171</v>
      </c>
      <c r="E10010" s="6" t="n">
        <f aca="false">Q!M13</f>
        <v>24.835</v>
      </c>
      <c r="F10010" s="6" t="n">
        <f aca="false">Q!$I$13+(Q!M13-Q!$E$13)*(1+Sens!F10011)</f>
        <v>27.5591895660247</v>
      </c>
      <c r="G10010" s="6" t="n">
        <f aca="false">Sens!F10010*(1+Sens!G10011)</f>
        <v>30.4098563144583</v>
      </c>
      <c r="H10010" s="6" t="n">
        <f aca="false">Sens!G10010*(1+Sens!H10011)</f>
        <v>33.3011792571777</v>
      </c>
      <c r="I10010" s="6" t="n">
        <f aca="false">Sens!H10010*(1+Sens!I10011)</f>
        <v>36.189023797112</v>
      </c>
      <c r="J10010" s="6" t="n">
        <f aca="false">Sens!I10010*(1+Sens!J10011)</f>
        <v>39.0247773769199</v>
      </c>
      <c r="K10010" s="6" t="n">
        <f aca="false">Sens!J10010*(1+Sens!K10011)</f>
        <v>41.7565117933043</v>
      </c>
      <c r="L10010" s="12" t="s">
        <v>1038</v>
      </c>
    </row>
    <row r="10011" customFormat="false" ht="15" hidden="false" customHeight="false" outlineLevel="0" collapsed="false">
      <c r="A10011" s="1" t="s">
        <v>1028</v>
      </c>
      <c r="B10011" s="0" t="s">
        <v>168</v>
      </c>
      <c r="E10011" s="7" t="n">
        <f aca="false">Sens!E10010/Sens!D10010-1</f>
        <v>0.120156961796942</v>
      </c>
      <c r="F10011" s="7" t="n">
        <f aca="false">Sens!$E$10011+(glt_srch-Sens!$E$10011)*MIN(1,(Sens!F9953-base_fy)/n_conv)</f>
        <v>0.111797468164118</v>
      </c>
      <c r="G10011" s="7" t="n">
        <f aca="false">Sens!$E$10011+(glt_srch-Sens!$E$10011)*MIN(1,(Sens!G9953-base_fy)/n_conv)</f>
        <v>0.103437974531295</v>
      </c>
      <c r="H10011" s="7" t="n">
        <f aca="false">Sens!$E$10011+(glt_srch-Sens!$E$10011)*MIN(1,(Sens!H9953-base_fy)/n_conv)</f>
        <v>0.095078480898471</v>
      </c>
      <c r="I10011" s="7" t="n">
        <f aca="false">Sens!$E$10011+(glt_srch-Sens!$E$10011)*MIN(1,(Sens!I9953-base_fy)/n_conv)</f>
        <v>0.0867189872656474</v>
      </c>
      <c r="J10011" s="7" t="n">
        <f aca="false">Sens!$E$10011+(glt_srch-Sens!$E$10011)*MIN(1,(Sens!J9953-base_fy)/n_conv)</f>
        <v>0.0783594936328237</v>
      </c>
      <c r="K10011" s="7" t="n">
        <f aca="false">Sens!$E$10011+(glt_srch-Sens!$E$10011)*MIN(1,(Sens!K9953-base_fy)/n_conv)</f>
        <v>0.07</v>
      </c>
    </row>
    <row r="10012" customFormat="false" ht="17.15" hidden="false" customHeight="false" outlineLevel="0" collapsed="false">
      <c r="A10012" s="0" t="s">
        <v>1042</v>
      </c>
      <c r="B10012" s="0" t="s">
        <v>98</v>
      </c>
      <c r="D10012" s="6" t="n">
        <f aca="false">Q!L14</f>
        <v>23.455</v>
      </c>
      <c r="E10012" s="6" t="n">
        <f aca="false">Q!M14</f>
        <v>21.79</v>
      </c>
      <c r="F10012" s="6" t="n">
        <f aca="false">Q!$I$14+(Q!M14-Q!$E$14)*(1+Sens!F10013)</f>
        <v>20.7520981041711</v>
      </c>
      <c r="G10012" s="6" t="n">
        <f aca="false">Sens!F10012*(1+Sens!G10013)</f>
        <v>19.9083593495882</v>
      </c>
      <c r="H10012" s="6" t="n">
        <f aca="false">Sens!G10012*(1+Sens!H10013)</f>
        <v>19.4008256265831</v>
      </c>
      <c r="I10012" s="6" t="n">
        <f aca="false">Sens!H10012*(1+Sens!I10013)</f>
        <v>19.200434522122</v>
      </c>
      <c r="J10012" s="6" t="n">
        <f aca="false">Sens!I10012*(1+Sens!J10013)</f>
        <v>19.2932782348507</v>
      </c>
      <c r="K10012" s="6" t="n">
        <f aca="false">Sens!J10012*(1+Sens!K10013)</f>
        <v>19.6791437995477</v>
      </c>
      <c r="L10012" s="12" t="s">
        <v>1038</v>
      </c>
    </row>
    <row r="10013" customFormat="false" ht="15" hidden="false" customHeight="false" outlineLevel="0" collapsed="false">
      <c r="A10013" s="1" t="s">
        <v>1028</v>
      </c>
      <c r="B10013" s="0" t="s">
        <v>168</v>
      </c>
      <c r="E10013" s="7" t="n">
        <f aca="false">Sens!E10012/Sens!D10012-1</f>
        <v>-0.0709869963760392</v>
      </c>
      <c r="F10013" s="7" t="n">
        <f aca="false">Sens!$E$10013+(glt_xbox-Sens!$E$10013)*MIN(1,(Sens!F9953-base_fy)/n_conv)</f>
        <v>-0.0558224969800327</v>
      </c>
      <c r="G10013" s="7" t="n">
        <f aca="false">Sens!$E$10013+(glt_xbox-Sens!$E$10013)*MIN(1,(Sens!G9953-base_fy)/n_conv)</f>
        <v>-0.0406579975840262</v>
      </c>
      <c r="H10013" s="7" t="n">
        <f aca="false">Sens!$E$10013+(glt_xbox-Sens!$E$10013)*MIN(1,(Sens!H9953-base_fy)/n_conv)</f>
        <v>-0.0254934981880196</v>
      </c>
      <c r="I10013" s="7" t="n">
        <f aca="false">Sens!$E$10013+(glt_xbox-Sens!$E$10013)*MIN(1,(Sens!I9953-base_fy)/n_conv)</f>
        <v>-0.0103289987920131</v>
      </c>
      <c r="J10013" s="7" t="n">
        <f aca="false">Sens!$E$10013+(glt_xbox-Sens!$E$10013)*MIN(1,(Sens!J9953-base_fy)/n_conv)</f>
        <v>0.00483550060399347</v>
      </c>
      <c r="K10013" s="7" t="n">
        <f aca="false">Sens!$E$10013+(glt_xbox-Sens!$E$10013)*MIN(1,(Sens!K9953-base_fy)/n_conv)</f>
        <v>0.02</v>
      </c>
    </row>
    <row r="10014" customFormat="false" ht="17.15" hidden="false" customHeight="false" outlineLevel="0" collapsed="false">
      <c r="A10014" s="0" t="s">
        <v>1043</v>
      </c>
      <c r="B10014" s="0" t="s">
        <v>98</v>
      </c>
      <c r="D10014" s="6" t="n">
        <f aca="false">Q!L15</f>
        <v>17.315</v>
      </c>
      <c r="E10014" s="6" t="n">
        <f aca="false">Q!M15</f>
        <v>17.087</v>
      </c>
      <c r="F10014" s="6" t="n">
        <f aca="false">Q!$I$15+(Q!M15-Q!$E$15)*(1+Sens!F10015)</f>
        <v>15.9912273250553</v>
      </c>
      <c r="G10014" s="6" t="n">
        <f aca="false">Sens!F10014*(1+Sens!G10015)</f>
        <v>15.9574562664827</v>
      </c>
      <c r="H10014" s="6" t="n">
        <f aca="false">Sens!G10014*(1+Sens!H10015)</f>
        <v>16.0119687434196</v>
      </c>
      <c r="I10014" s="6" t="n">
        <f aca="false">Sens!H10014*(1+Sens!I10015)</f>
        <v>16.1551810001948</v>
      </c>
      <c r="J10014" s="6" t="n">
        <f aca="false">Sens!I10014*(1+Sens!J10015)</f>
        <v>16.3889793892005</v>
      </c>
      <c r="K10014" s="6" t="n">
        <f aca="false">Sens!J10014*(1+Sens!K10015)</f>
        <v>16.7167589769845</v>
      </c>
      <c r="L10014" s="12" t="s">
        <v>1038</v>
      </c>
    </row>
    <row r="10015" customFormat="false" ht="15" hidden="false" customHeight="false" outlineLevel="0" collapsed="false">
      <c r="A10015" s="1" t="s">
        <v>1028</v>
      </c>
      <c r="B10015" s="0" t="s">
        <v>168</v>
      </c>
      <c r="E10015" s="7" t="n">
        <f aca="false">Sens!E10014/Sens!D10014-1</f>
        <v>-0.0131677736066995</v>
      </c>
      <c r="F10015" s="7" t="n">
        <f aca="false">Sens!$E$10015+(glt_win-Sens!$E$10015)*MIN(1,(Sens!F9953-base_fy)/n_conv)</f>
        <v>-0.00763981133891627</v>
      </c>
      <c r="G10015" s="7" t="n">
        <f aca="false">Sens!$E$10015+(glt_win-Sens!$E$10015)*MIN(1,(Sens!G9953-base_fy)/n_conv)</f>
        <v>-0.00211184907113301</v>
      </c>
      <c r="H10015" s="7" t="n">
        <f aca="false">Sens!$E$10015+(glt_win-Sens!$E$10015)*MIN(1,(Sens!H9953-base_fy)/n_conv)</f>
        <v>0.00341611319665024</v>
      </c>
      <c r="I10015" s="7" t="n">
        <f aca="false">Sens!$E$10015+(glt_win-Sens!$E$10015)*MIN(1,(Sens!I9953-base_fy)/n_conv)</f>
        <v>0.00894407546443349</v>
      </c>
      <c r="J10015" s="7" t="n">
        <f aca="false">Sens!$E$10015+(glt_win-Sens!$E$10015)*MIN(1,(Sens!J9953-base_fy)/n_conv)</f>
        <v>0.0144720377322168</v>
      </c>
      <c r="K10015" s="7" t="n">
        <f aca="false">Sens!$E$10015+(glt_win-Sens!$E$10015)*MIN(1,(Sens!K9953-base_fy)/n_conv)</f>
        <v>0.02</v>
      </c>
    </row>
    <row r="10016" customFormat="false" ht="15" hidden="false" customHeight="false" outlineLevel="0" collapsed="false">
      <c r="A10016" s="0" t="s">
        <v>870</v>
      </c>
      <c r="B10016" s="0" t="s">
        <v>98</v>
      </c>
      <c r="D10016" s="6" t="n">
        <f aca="false">Sens!D10010+Sens!D10012+Sens!D10014</f>
        <v>62.941</v>
      </c>
      <c r="E10016" s="6" t="n">
        <f aca="false">Sens!E10010+Sens!E10012+Sens!E10014</f>
        <v>63.712</v>
      </c>
      <c r="F10016" s="6" t="n">
        <f aca="false">Sens!F10010+Sens!F10012+Sens!F10014</f>
        <v>64.3025149952511</v>
      </c>
      <c r="G10016" s="6" t="n">
        <f aca="false">Sens!G10010+Sens!G10012+Sens!G10014</f>
        <v>66.2756719305292</v>
      </c>
      <c r="H10016" s="6" t="n">
        <f aca="false">Sens!H10010+Sens!H10012+Sens!H10014</f>
        <v>68.7139736271804</v>
      </c>
      <c r="I10016" s="6" t="n">
        <f aca="false">Sens!I10010+Sens!I10012+Sens!I10014</f>
        <v>71.5446393194289</v>
      </c>
      <c r="J10016" s="6" t="n">
        <f aca="false">Sens!J10010+Sens!J10012+Sens!J10014</f>
        <v>74.707035000971</v>
      </c>
      <c r="K10016" s="6" t="n">
        <f aca="false">Sens!K10010+Sens!K10012+Sens!K10014</f>
        <v>78.1524145698365</v>
      </c>
    </row>
    <row r="10017" customFormat="false" ht="15" hidden="false" customHeight="false" outlineLevel="0" collapsed="false">
      <c r="A10017" s="1" t="s">
        <v>1044</v>
      </c>
      <c r="B10017" s="0" t="s">
        <v>98</v>
      </c>
      <c r="D10017" s="6" t="n">
        <f aca="false">Sens!D10009+Sens!D10016</f>
        <v>281.724</v>
      </c>
      <c r="E10017" s="6" t="n">
        <f aca="false">Sens!E10009+Sens!E10016</f>
        <v>331.839</v>
      </c>
      <c r="F10017" s="6" t="n">
        <f aca="false">Sens!F10009+Sens!F10016</f>
        <v>399.436284534972</v>
      </c>
      <c r="G10017" s="6" t="n">
        <f aca="false">Sens!G10009+Sens!G10016</f>
        <v>478.158783125809</v>
      </c>
      <c r="H10017" s="6" t="n">
        <f aca="false">Sens!H10009+Sens!H10016</f>
        <v>559.881392769493</v>
      </c>
      <c r="I10017" s="6" t="n">
        <f aca="false">Sens!I10009+Sens!I10016</f>
        <v>636.688640152166</v>
      </c>
      <c r="J10017" s="6" t="n">
        <f aca="false">Sens!J10009+Sens!J10016</f>
        <v>702.199762394931</v>
      </c>
      <c r="K10017" s="6" t="n">
        <f aca="false">Sens!K10009+Sens!K10016</f>
        <v>758.096706026157</v>
      </c>
    </row>
    <row r="10018" customFormat="false" ht="15" hidden="false" customHeight="false" outlineLevel="0" collapsed="false">
      <c r="A10018" s="26" t="s">
        <v>1045</v>
      </c>
      <c r="B10018" s="31" t="s">
        <v>98</v>
      </c>
      <c r="C10018" s="31"/>
      <c r="D10018" s="27" t="n">
        <f aca="false">(Sens!D9997+Sens!D10002+Sens!D10003+Sens!D10005+Sens!D10007-Sens!D10009)+(Sens!D10010+Sens!D10012+Sens!D10014-Sens!D10016)+(Sens!D10009-Q!L5)+(Sens!D10016-Q!L12)+(Sens!D9997-Q!L6)+(Sens!D10002-Q!L7)</f>
        <v>0</v>
      </c>
      <c r="E10018" s="27" t="n">
        <f aca="false">(Sens!E9997+Sens!E10002+Sens!E10003+Sens!E10005+Sens!E10007-Sens!E10009)+(Sens!E10010+Sens!E10012+Sens!E10014-Sens!E10016)+(Sens!E10009-Q!M5)+(Sens!E10016-Q!M12)+(Sens!E9997-Q!M6)+(Sens!E10002-Q!M7)</f>
        <v>0</v>
      </c>
      <c r="F10018" s="27" t="n">
        <f aca="false">(Sens!F9997+Sens!F10002+Sens!F10003+Sens!F10005+Sens!F10007-Sens!F10009)+(Sens!F10010+Sens!F10012+Sens!F10014-Sens!F10016)</f>
        <v>0</v>
      </c>
      <c r="G10018" s="27" t="n">
        <f aca="false">(Sens!G9997+Sens!G10002+Sens!G10003+Sens!G10005+Sens!G10007-Sens!G10009)+(Sens!G10010+Sens!G10012+Sens!G10014-Sens!G10016)</f>
        <v>0</v>
      </c>
      <c r="H10018" s="27" t="n">
        <f aca="false">(Sens!H9997+Sens!H10002+Sens!H10003+Sens!H10005+Sens!H10007-Sens!H10009)+(Sens!H10010+Sens!H10012+Sens!H10014-Sens!H10016)</f>
        <v>0</v>
      </c>
      <c r="I10018" s="27" t="n">
        <f aca="false">(Sens!I9997+Sens!I10002+Sens!I10003+Sens!I10005+Sens!I10007-Sens!I10009)+(Sens!I10010+Sens!I10012+Sens!I10014-Sens!I10016)</f>
        <v>0</v>
      </c>
      <c r="J10018" s="27" t="n">
        <f aca="false">(Sens!J9997+Sens!J10002+Sens!J10003+Sens!J10005+Sens!J10007-Sens!J10009)+(Sens!J10010+Sens!J10012+Sens!J10014-Sens!J10016)</f>
        <v>0</v>
      </c>
      <c r="K10018" s="27" t="n">
        <f aca="false">(Sens!K9997+Sens!K10002+Sens!K10003+Sens!K10005+Sens!K10007-Sens!K10009)+(Sens!K10010+Sens!K10012+Sens!K10014-Sens!K10016)</f>
        <v>0</v>
      </c>
    </row>
    <row r="10019" customFormat="false" ht="17.15" hidden="false" customHeight="false" outlineLevel="0" collapsed="false">
      <c r="A10019" s="3" t="s">
        <v>1862</v>
      </c>
    </row>
    <row r="10020" customFormat="false" ht="15" hidden="false" customHeight="false" outlineLevel="0" collapsed="false">
      <c r="A10020" s="4" t="s">
        <v>43</v>
      </c>
      <c r="B10020" s="4" t="s">
        <v>65</v>
      </c>
      <c r="C10020" s="23" t="s">
        <v>942</v>
      </c>
      <c r="D10020" s="23" t="s">
        <v>943</v>
      </c>
      <c r="E10020" s="23" t="s">
        <v>944</v>
      </c>
      <c r="F10020" s="23" t="s">
        <v>945</v>
      </c>
      <c r="G10020" s="23" t="s">
        <v>946</v>
      </c>
      <c r="H10020" s="23" t="s">
        <v>947</v>
      </c>
      <c r="I10020" s="23" t="s">
        <v>948</v>
      </c>
      <c r="J10020" s="23" t="s">
        <v>949</v>
      </c>
      <c r="K10020" s="23" t="s">
        <v>950</v>
      </c>
      <c r="L10020" s="4" t="s">
        <v>47</v>
      </c>
    </row>
    <row r="10021" customFormat="false" ht="15" hidden="false" customHeight="false" outlineLevel="0" collapsed="false">
      <c r="A10021" s="0" t="s">
        <v>1029</v>
      </c>
      <c r="B10021" s="0" t="s">
        <v>98</v>
      </c>
      <c r="D10021" s="6" t="n">
        <f aca="false">Sens!D9997</f>
        <v>72.61</v>
      </c>
      <c r="E10021" s="6" t="n">
        <f aca="false">Sens!E9997</f>
        <v>101.938</v>
      </c>
      <c r="F10021" s="6" t="n">
        <f aca="false">Sens!F9997</f>
        <v>147.094721525565</v>
      </c>
      <c r="G10021" s="6" t="n">
        <f aca="false">Sens!G9997</f>
        <v>201.443506106983</v>
      </c>
      <c r="H10021" s="6" t="n">
        <f aca="false">Sens!H9997</f>
        <v>258.301127289018</v>
      </c>
      <c r="I10021" s="6" t="n">
        <f aca="false">Sens!I9997</f>
        <v>311.62051881889</v>
      </c>
      <c r="J10021" s="6" t="n">
        <f aca="false">Sens!J9997</f>
        <v>355.400624836575</v>
      </c>
      <c r="K10021" s="6" t="n">
        <f aca="false">Sens!K9997</f>
        <v>390.204178585242</v>
      </c>
    </row>
    <row r="10022" customFormat="false" ht="17.15" hidden="false" customHeight="false" outlineLevel="0" collapsed="false">
      <c r="A10022" s="0" t="s">
        <v>1025</v>
      </c>
      <c r="B10022" s="0" t="s">
        <v>98</v>
      </c>
      <c r="D10022" s="6" t="n">
        <f aca="false">Sens!D9994</f>
        <v>12.9359794422418</v>
      </c>
      <c r="E10022" s="6" t="n">
        <f aca="false">Sens!E9994</f>
        <v>27.8095064661409</v>
      </c>
      <c r="F10022" s="6" t="n">
        <f aca="false">Sens!F9994</f>
        <v>55.4118315060966</v>
      </c>
      <c r="G10022" s="6" t="n">
        <f aca="false">Sens!G9994</f>
        <v>91.2881100675143</v>
      </c>
      <c r="H10022" s="6" t="n">
        <f aca="false">Sens!H9994</f>
        <v>128.195273603944</v>
      </c>
      <c r="I10022" s="6" t="n">
        <f aca="false">Sens!I9994</f>
        <v>160.601281810405</v>
      </c>
      <c r="J10022" s="6" t="n">
        <f aca="false">Sens!J9994</f>
        <v>183.182719793589</v>
      </c>
      <c r="K10022" s="6" t="n">
        <f aca="false">Sens!K9994</f>
        <v>197.320124937098</v>
      </c>
    </row>
    <row r="10023" customFormat="false" ht="17.15" hidden="false" customHeight="false" outlineLevel="0" collapsed="false">
      <c r="A10023" s="0" t="s">
        <v>1056</v>
      </c>
      <c r="B10023" s="0" t="s">
        <v>98</v>
      </c>
      <c r="D10023" s="6" t="n">
        <f aca="false">Sens!D9995</f>
        <v>59.6740205577583</v>
      </c>
      <c r="E10023" s="6" t="n">
        <f aca="false">Sens!E9995</f>
        <v>74.1284935338591</v>
      </c>
      <c r="F10023" s="6" t="n">
        <f aca="false">Sens!F9995</f>
        <v>91.6828900194686</v>
      </c>
      <c r="G10023" s="6" t="n">
        <f aca="false">Sens!G9995</f>
        <v>110.155396039469</v>
      </c>
      <c r="H10023" s="6" t="n">
        <f aca="false">Sens!H9995</f>
        <v>130.105853685074</v>
      </c>
      <c r="I10023" s="6" t="n">
        <f aca="false">Sens!I9995</f>
        <v>151.019237008485</v>
      </c>
      <c r="J10023" s="6" t="n">
        <f aca="false">Sens!J9995</f>
        <v>172.217905042986</v>
      </c>
      <c r="K10023" s="6" t="n">
        <f aca="false">Sens!K9995</f>
        <v>192.884053648144</v>
      </c>
    </row>
    <row r="10024" customFormat="false" ht="15" hidden="false" customHeight="false" outlineLevel="0" collapsed="false">
      <c r="A10024" s="0" t="s">
        <v>1036</v>
      </c>
      <c r="B10024" s="0" t="s">
        <v>98</v>
      </c>
      <c r="D10024" s="6" t="n">
        <f aca="false">Sens!D10002</f>
        <v>84.605</v>
      </c>
      <c r="E10024" s="6" t="n">
        <f aca="false">Sens!E10002</f>
        <v>100.299</v>
      </c>
      <c r="F10024" s="6" t="n">
        <f aca="false">Sens!F10002</f>
        <v>118.584003697747</v>
      </c>
      <c r="G10024" s="6" t="n">
        <f aca="false">Sens!G10002</f>
        <v>136.700726545688</v>
      </c>
      <c r="H10024" s="6" t="n">
        <f aca="false">Sens!H10002</f>
        <v>154.898624783666</v>
      </c>
      <c r="I10024" s="6" t="n">
        <f aca="false">Sens!I10002</f>
        <v>171.420510030657</v>
      </c>
      <c r="J10024" s="6" t="n">
        <f aca="false">Sens!J10002</f>
        <v>185.985722618572</v>
      </c>
      <c r="K10024" s="6" t="n">
        <f aca="false">Sens!K10002</f>
        <v>199.799723201872</v>
      </c>
    </row>
    <row r="10025" customFormat="false" ht="17.15" hidden="false" customHeight="false" outlineLevel="0" collapsed="false">
      <c r="A10025" s="0" t="s">
        <v>1057</v>
      </c>
      <c r="B10025" s="0" t="s">
        <v>98</v>
      </c>
      <c r="D10025" s="6" t="n">
        <f aca="false">Sens!D10000</f>
        <v>83.705</v>
      </c>
      <c r="E10025" s="6" t="n">
        <f aca="false">Sens!E10000</f>
        <v>95.049</v>
      </c>
      <c r="F10025" s="6" t="n">
        <f aca="false">Sens!F10000</f>
        <v>106.584003697747</v>
      </c>
      <c r="G10025" s="6" t="n">
        <f aca="false">Sens!G10000</f>
        <v>118.700726545688</v>
      </c>
      <c r="H10025" s="6" t="n">
        <f aca="false">Sens!H10000</f>
        <v>130.898624783666</v>
      </c>
      <c r="I10025" s="6" t="n">
        <f aca="false">Sens!I10000</f>
        <v>142.920510030657</v>
      </c>
      <c r="J10025" s="6" t="n">
        <f aca="false">Sens!J10000</f>
        <v>154.485722618572</v>
      </c>
      <c r="K10025" s="6" t="n">
        <f aca="false">Sens!K10000</f>
        <v>165.299723201872</v>
      </c>
    </row>
    <row r="10026" customFormat="false" ht="17.15" hidden="false" customHeight="false" outlineLevel="0" collapsed="false">
      <c r="A10026" s="0" t="s">
        <v>1058</v>
      </c>
      <c r="B10026" s="0" t="s">
        <v>98</v>
      </c>
      <c r="D10026" s="6" t="n">
        <f aca="false">Sens!D9999</f>
        <v>0.9</v>
      </c>
      <c r="E10026" s="6" t="n">
        <f aca="false">Sens!E9999</f>
        <v>5.25</v>
      </c>
      <c r="F10026" s="6" t="n">
        <f aca="false">Sens!F9999</f>
        <v>12</v>
      </c>
      <c r="G10026" s="6" t="n">
        <f aca="false">Sens!G9999</f>
        <v>18</v>
      </c>
      <c r="H10026" s="6" t="n">
        <f aca="false">Sens!H9999</f>
        <v>24</v>
      </c>
      <c r="I10026" s="6" t="n">
        <f aca="false">Sens!I9999</f>
        <v>28.5</v>
      </c>
      <c r="J10026" s="6" t="n">
        <f aca="false">Sens!J9999</f>
        <v>31.5</v>
      </c>
      <c r="K10026" s="6" t="n">
        <f aca="false">Sens!K9999</f>
        <v>34.5</v>
      </c>
    </row>
    <row r="10027" customFormat="false" ht="15" hidden="false" customHeight="false" outlineLevel="0" collapsed="false">
      <c r="A10027" s="0" t="s">
        <v>1037</v>
      </c>
      <c r="B10027" s="0" t="s">
        <v>98</v>
      </c>
      <c r="D10027" s="6" t="n">
        <f aca="false">Sens!D10003</f>
        <v>35.391</v>
      </c>
      <c r="E10027" s="6" t="n">
        <f aca="false">Sens!E10003</f>
        <v>37.285</v>
      </c>
      <c r="F10027" s="6" t="n">
        <f aca="false">Sens!F10003</f>
        <v>38.3851437782675</v>
      </c>
      <c r="G10027" s="6" t="n">
        <f aca="false">Sens!G10003</f>
        <v>40.0105353288615</v>
      </c>
      <c r="H10027" s="6" t="n">
        <f aca="false">Sens!H10003</f>
        <v>41.4812512033683</v>
      </c>
      <c r="I10027" s="6" t="n">
        <f aca="false">Sens!I10003</f>
        <v>42.7743107216329</v>
      </c>
      <c r="J10027" s="6" t="n">
        <f aca="false">Sens!J10003</f>
        <v>43.8687373064601</v>
      </c>
      <c r="K10027" s="6" t="n">
        <f aca="false">Sens!K10003</f>
        <v>44.7461120525893</v>
      </c>
    </row>
    <row r="10028" customFormat="false" ht="15" hidden="false" customHeight="false" outlineLevel="0" collapsed="false">
      <c r="A10028" s="0" t="s">
        <v>1039</v>
      </c>
      <c r="B10028" s="0" t="s">
        <v>98</v>
      </c>
      <c r="D10028" s="6" t="n">
        <f aca="false">Sens!D10005</f>
        <v>18.417</v>
      </c>
      <c r="E10028" s="6" t="n">
        <f aca="false">Sens!E10005</f>
        <v>20.345</v>
      </c>
      <c r="F10028" s="6" t="n">
        <f aca="false">Sens!F10005</f>
        <v>22.3161797133988</v>
      </c>
      <c r="G10028" s="6" t="n">
        <f aca="false">Sens!G10005</f>
        <v>24.3943499673233</v>
      </c>
      <c r="H10028" s="6" t="n">
        <f aca="false">Sens!H10005</f>
        <v>26.5250243109019</v>
      </c>
      <c r="I10028" s="6" t="n">
        <f aca="false">Sens!I10005</f>
        <v>28.6884573538181</v>
      </c>
      <c r="J10028" s="6" t="n">
        <f aca="false">Sens!J10005</f>
        <v>30.8624968052127</v>
      </c>
      <c r="K10028" s="6" t="n">
        <f aca="false">Sens!K10005</f>
        <v>33.0228715815776</v>
      </c>
    </row>
    <row r="10029" customFormat="false" ht="15" hidden="false" customHeight="false" outlineLevel="0" collapsed="false">
      <c r="A10029" s="0" t="s">
        <v>1040</v>
      </c>
      <c r="B10029" s="0" t="s">
        <v>98</v>
      </c>
      <c r="D10029" s="6" t="n">
        <f aca="false">Sens!D10007</f>
        <v>7.76</v>
      </c>
      <c r="E10029" s="6" t="n">
        <f aca="false">Sens!E10007</f>
        <v>8.26</v>
      </c>
      <c r="F10029" s="6" t="n">
        <f aca="false">Sens!F10007</f>
        <v>8.75372082474227</v>
      </c>
      <c r="G10029" s="6" t="n">
        <f aca="false">Sens!G10007</f>
        <v>9.33399324642364</v>
      </c>
      <c r="H10029" s="6" t="n">
        <f aca="false">Sens!H10007</f>
        <v>9.96139155535851</v>
      </c>
      <c r="I10029" s="6" t="n">
        <f aca="false">Sens!I10007</f>
        <v>10.6402039077391</v>
      </c>
      <c r="J10029" s="6" t="n">
        <f aca="false">Sens!J10007</f>
        <v>11.3751458271397</v>
      </c>
      <c r="K10029" s="6" t="n">
        <f aca="false">Sens!K10007</f>
        <v>12.1714060350394</v>
      </c>
    </row>
    <row r="10030" customFormat="false" ht="15" hidden="false" customHeight="false" outlineLevel="0" collapsed="false">
      <c r="A10030" s="0" t="s">
        <v>856</v>
      </c>
      <c r="B10030" s="0" t="s">
        <v>98</v>
      </c>
      <c r="D10030" s="6" t="n">
        <f aca="false">Sens!D10009</f>
        <v>218.783</v>
      </c>
      <c r="E10030" s="6" t="n">
        <f aca="false">Sens!E10009</f>
        <v>268.127</v>
      </c>
      <c r="F10030" s="6" t="n">
        <f aca="false">Sens!F10009</f>
        <v>335.133769539721</v>
      </c>
      <c r="G10030" s="6" t="n">
        <f aca="false">Sens!G10009</f>
        <v>411.88311119528</v>
      </c>
      <c r="H10030" s="6" t="n">
        <f aca="false">Sens!H10009</f>
        <v>491.167419142312</v>
      </c>
      <c r="I10030" s="6" t="n">
        <f aca="false">Sens!I10009</f>
        <v>565.144000832737</v>
      </c>
      <c r="J10030" s="6" t="n">
        <f aca="false">Sens!J10009</f>
        <v>627.49272739396</v>
      </c>
      <c r="K10030" s="6" t="n">
        <f aca="false">Sens!K10009</f>
        <v>679.94429145632</v>
      </c>
    </row>
    <row r="10031" customFormat="false" ht="15" hidden="false" customHeight="false" outlineLevel="0" collapsed="false">
      <c r="A10031" s="0" t="s">
        <v>1041</v>
      </c>
      <c r="B10031" s="0" t="s">
        <v>98</v>
      </c>
      <c r="D10031" s="6" t="n">
        <f aca="false">Sens!D10010</f>
        <v>22.171</v>
      </c>
      <c r="E10031" s="6" t="n">
        <f aca="false">Sens!E10010</f>
        <v>24.835</v>
      </c>
      <c r="F10031" s="6" t="n">
        <f aca="false">Sens!F10010</f>
        <v>27.5591895660247</v>
      </c>
      <c r="G10031" s="6" t="n">
        <f aca="false">Sens!G10010</f>
        <v>30.4098563144583</v>
      </c>
      <c r="H10031" s="6" t="n">
        <f aca="false">Sens!H10010</f>
        <v>33.3011792571777</v>
      </c>
      <c r="I10031" s="6" t="n">
        <f aca="false">Sens!I10010</f>
        <v>36.189023797112</v>
      </c>
      <c r="J10031" s="6" t="n">
        <f aca="false">Sens!J10010</f>
        <v>39.0247773769199</v>
      </c>
      <c r="K10031" s="6" t="n">
        <f aca="false">Sens!K10010</f>
        <v>41.7565117933043</v>
      </c>
    </row>
    <row r="10032" customFormat="false" ht="15" hidden="false" customHeight="false" outlineLevel="0" collapsed="false">
      <c r="A10032" s="0" t="s">
        <v>1042</v>
      </c>
      <c r="B10032" s="0" t="s">
        <v>98</v>
      </c>
      <c r="D10032" s="6" t="n">
        <f aca="false">Sens!D10012</f>
        <v>23.455</v>
      </c>
      <c r="E10032" s="6" t="n">
        <f aca="false">Sens!E10012</f>
        <v>21.79</v>
      </c>
      <c r="F10032" s="6" t="n">
        <f aca="false">Sens!F10012</f>
        <v>20.7520981041711</v>
      </c>
      <c r="G10032" s="6" t="n">
        <f aca="false">Sens!G10012</f>
        <v>19.9083593495882</v>
      </c>
      <c r="H10032" s="6" t="n">
        <f aca="false">Sens!H10012</f>
        <v>19.4008256265831</v>
      </c>
      <c r="I10032" s="6" t="n">
        <f aca="false">Sens!I10012</f>
        <v>19.200434522122</v>
      </c>
      <c r="J10032" s="6" t="n">
        <f aca="false">Sens!J10012</f>
        <v>19.2932782348507</v>
      </c>
      <c r="K10032" s="6" t="n">
        <f aca="false">Sens!K10012</f>
        <v>19.6791437995477</v>
      </c>
    </row>
    <row r="10033" customFormat="false" ht="15" hidden="false" customHeight="false" outlineLevel="0" collapsed="false">
      <c r="A10033" s="0" t="s">
        <v>1043</v>
      </c>
      <c r="B10033" s="0" t="s">
        <v>98</v>
      </c>
      <c r="D10033" s="6" t="n">
        <f aca="false">Sens!D10014</f>
        <v>17.315</v>
      </c>
      <c r="E10033" s="6" t="n">
        <f aca="false">Sens!E10014</f>
        <v>17.087</v>
      </c>
      <c r="F10033" s="6" t="n">
        <f aca="false">Sens!F10014</f>
        <v>15.9912273250553</v>
      </c>
      <c r="G10033" s="6" t="n">
        <f aca="false">Sens!G10014</f>
        <v>15.9574562664827</v>
      </c>
      <c r="H10033" s="6" t="n">
        <f aca="false">Sens!H10014</f>
        <v>16.0119687434196</v>
      </c>
      <c r="I10033" s="6" t="n">
        <f aca="false">Sens!I10014</f>
        <v>16.1551810001948</v>
      </c>
      <c r="J10033" s="6" t="n">
        <f aca="false">Sens!J10014</f>
        <v>16.3889793892005</v>
      </c>
      <c r="K10033" s="6" t="n">
        <f aca="false">Sens!K10014</f>
        <v>16.7167589769845</v>
      </c>
    </row>
    <row r="10034" customFormat="false" ht="15" hidden="false" customHeight="false" outlineLevel="0" collapsed="false">
      <c r="A10034" s="0" t="s">
        <v>870</v>
      </c>
      <c r="B10034" s="0" t="s">
        <v>98</v>
      </c>
      <c r="D10034" s="6" t="n">
        <f aca="false">Sens!D10016</f>
        <v>62.941</v>
      </c>
      <c r="E10034" s="6" t="n">
        <f aca="false">Sens!E10016</f>
        <v>63.712</v>
      </c>
      <c r="F10034" s="6" t="n">
        <f aca="false">Sens!F10016</f>
        <v>64.3025149952511</v>
      </c>
      <c r="G10034" s="6" t="n">
        <f aca="false">Sens!G10016</f>
        <v>66.2756719305292</v>
      </c>
      <c r="H10034" s="6" t="n">
        <f aca="false">Sens!H10016</f>
        <v>68.7139736271804</v>
      </c>
      <c r="I10034" s="6" t="n">
        <f aca="false">Sens!I10016</f>
        <v>71.5446393194289</v>
      </c>
      <c r="J10034" s="6" t="n">
        <f aca="false">Sens!J10016</f>
        <v>74.707035000971</v>
      </c>
      <c r="K10034" s="6" t="n">
        <f aca="false">Sens!K10016</f>
        <v>78.1524145698365</v>
      </c>
    </row>
    <row r="10035" customFormat="false" ht="15" hidden="false" customHeight="false" outlineLevel="0" collapsed="false">
      <c r="A10035" s="1" t="s">
        <v>1059</v>
      </c>
      <c r="B10035" s="0" t="s">
        <v>98</v>
      </c>
      <c r="D10035" s="6" t="n">
        <f aca="false">Sens!D10017</f>
        <v>281.724</v>
      </c>
      <c r="E10035" s="6" t="n">
        <f aca="false">Sens!E10017</f>
        <v>331.839</v>
      </c>
      <c r="F10035" s="6" t="n">
        <f aca="false">Sens!F10017</f>
        <v>399.436284534972</v>
      </c>
      <c r="G10035" s="6" t="n">
        <f aca="false">Sens!G10017</f>
        <v>478.158783125809</v>
      </c>
      <c r="H10035" s="6" t="n">
        <f aca="false">Sens!H10017</f>
        <v>559.881392769493</v>
      </c>
      <c r="I10035" s="6" t="n">
        <f aca="false">Sens!I10017</f>
        <v>636.688640152166</v>
      </c>
      <c r="J10035" s="6" t="n">
        <f aca="false">Sens!J10017</f>
        <v>702.199762394931</v>
      </c>
      <c r="K10035" s="6" t="n">
        <f aca="false">Sens!K10017</f>
        <v>758.096706026157</v>
      </c>
    </row>
    <row r="10036" customFormat="false" ht="15" hidden="false" customHeight="false" outlineLevel="0" collapsed="false">
      <c r="A10036" s="1" t="s">
        <v>1060</v>
      </c>
      <c r="B10036" s="0" t="s">
        <v>168</v>
      </c>
      <c r="E10036" s="7" t="n">
        <f aca="false">Sens!E10035/Sens!D10035-1</f>
        <v>0.177886867998467</v>
      </c>
      <c r="F10036" s="7" t="n">
        <f aca="false">Sens!F10035/Sens!E10035-1</f>
        <v>0.203705063404156</v>
      </c>
      <c r="G10036" s="7" t="n">
        <f aca="false">Sens!G10035/Sens!F10035-1</f>
        <v>0.197083994716422</v>
      </c>
      <c r="H10036" s="7" t="n">
        <f aca="false">Sens!H10035/Sens!G10035-1</f>
        <v>0.170911028988003</v>
      </c>
      <c r="I10036" s="7" t="n">
        <f aca="false">Sens!I10035/Sens!H10035-1</f>
        <v>0.137184854461301</v>
      </c>
      <c r="J10036" s="7" t="n">
        <f aca="false">Sens!J10035/Sens!I10035-1</f>
        <v>0.102893499445989</v>
      </c>
      <c r="K10036" s="7" t="n">
        <f aca="false">Sens!K10035/Sens!J10035-1</f>
        <v>0.0796026239607137</v>
      </c>
    </row>
    <row r="10037" customFormat="false" ht="17.15" hidden="false" customHeight="false" outlineLevel="0" collapsed="false">
      <c r="A10037" s="26" t="s">
        <v>1061</v>
      </c>
      <c r="B10037" s="31" t="s">
        <v>98</v>
      </c>
      <c r="C10037" s="31"/>
      <c r="D10037" s="27" t="n">
        <f aca="false">(Sens!D10030+Sens!D10034-Sens!D10035)+(Sens!D10022+Sens!D10023-Sens!D10021)+(Sens!D10025+Sens!D10026-Sens!D10024)+(Sens!D10035-Q!L18)</f>
        <v>0</v>
      </c>
      <c r="E10037" s="27" t="n">
        <f aca="false">(Sens!E10030+Sens!E10034-Sens!E10035)+(Sens!E10022+Sens!E10023-Sens!E10021)+(Sens!E10025+Sens!E10026-Sens!E10024)+(Sens!E10035-Q!M18)</f>
        <v>0</v>
      </c>
      <c r="F10037" s="27" t="n">
        <f aca="false">(Sens!F10030+Sens!F10034-Sens!F10035)+(Sens!F10022+Sens!F10023-Sens!F10021)+(Sens!F10025+Sens!F10026-Sens!F10024)</f>
        <v>0</v>
      </c>
      <c r="G10037" s="27" t="n">
        <f aca="false">(Sens!G10030+Sens!G10034-Sens!G10035)+(Sens!G10022+Sens!G10023-Sens!G10021)+(Sens!G10025+Sens!G10026-Sens!G10024)</f>
        <v>0</v>
      </c>
      <c r="H10037" s="27" t="n">
        <f aca="false">(Sens!H10030+Sens!H10034-Sens!H10035)+(Sens!H10022+Sens!H10023-Sens!H10021)+(Sens!H10025+Sens!H10026-Sens!H10024)</f>
        <v>0</v>
      </c>
      <c r="I10037" s="27" t="n">
        <f aca="false">(Sens!I10030+Sens!I10034-Sens!I10035)+(Sens!I10022+Sens!I10023-Sens!I10021)+(Sens!I10025+Sens!I10026-Sens!I10024)</f>
        <v>0</v>
      </c>
      <c r="J10037" s="27" t="n">
        <f aca="false">(Sens!J10030+Sens!J10034-Sens!J10035)+(Sens!J10022+Sens!J10023-Sens!J10021)+(Sens!J10025+Sens!J10026-Sens!J10024)</f>
        <v>0</v>
      </c>
      <c r="K10037" s="27" t="n">
        <f aca="false">(Sens!K10030+Sens!K10034-Sens!K10035)+(Sens!K10022+Sens!K10023-Sens!K10021)+(Sens!K10025+Sens!K10026-Sens!K10024)</f>
        <v>0</v>
      </c>
    </row>
    <row r="10038" customFormat="false" ht="17.15" hidden="false" customHeight="false" outlineLevel="0" collapsed="false">
      <c r="A10038" s="0" t="s">
        <v>1062</v>
      </c>
      <c r="B10038" s="0" t="s">
        <v>168</v>
      </c>
      <c r="E10038" s="7" t="n">
        <f aca="false">(Q!M21+Sens!E9974+Sens!E9975+Sens!E9976+Sens!E9990-Sens!E9972)/(Q!M5-Sens!E9972)</f>
        <v>0.570957350878296</v>
      </c>
      <c r="F10038" s="7" t="n">
        <f aca="false">Sens!$E$10038+dm_seg</f>
        <v>0.570957350878296</v>
      </c>
      <c r="G10038" s="7" t="n">
        <f aca="false">Sens!$E$10038+dm_seg</f>
        <v>0.570957350878296</v>
      </c>
      <c r="H10038" s="7" t="n">
        <f aca="false">Sens!$E$10038+dm_seg</f>
        <v>0.570957350878296</v>
      </c>
      <c r="I10038" s="7" t="n">
        <f aca="false">Sens!$E$10038+dm_seg</f>
        <v>0.570957350878296</v>
      </c>
      <c r="J10038" s="7" t="n">
        <f aca="false">Sens!$E$10038+dm_seg</f>
        <v>0.570957350878296</v>
      </c>
      <c r="K10038" s="7" t="n">
        <f aca="false">Sens!$E$10038+dm_seg</f>
        <v>0.570957350878296</v>
      </c>
      <c r="L10038" s="12" t="s">
        <v>1063</v>
      </c>
    </row>
    <row r="10039" customFormat="false" ht="17.15" hidden="false" customHeight="false" outlineLevel="0" collapsed="false">
      <c r="A10039" s="0" t="s">
        <v>884</v>
      </c>
      <c r="B10039" s="0" t="s">
        <v>98</v>
      </c>
      <c r="D10039" s="6" t="n">
        <f aca="false">Q!L21</f>
        <v>110.814</v>
      </c>
      <c r="E10039" s="6" t="n">
        <f aca="false">Q!M21</f>
        <v>136.365</v>
      </c>
      <c r="F10039" s="6" t="n">
        <f aca="false">Q!$I$21+(Sens!F10038*(Sens!F10009-Sens!F9972)+Sens!F9972-(Sens!F9974+Sens!F9975+Sens!F9976)-Sens!F9990-Sens!F10073)*(Sens!F10009-Q!$I$5)/Sens!F10009</f>
        <v>162.301270282716</v>
      </c>
      <c r="G10039" s="6" t="n">
        <f aca="false">(Sens!G10038*(Sens!G10009-Sens!G9972)+Sens!G9972-(Sens!G9974+Sens!G9975+Sens!G9976)-Sens!G9990-Sens!G10073)</f>
        <v>178.52849941354</v>
      </c>
      <c r="H10039" s="6" t="n">
        <f aca="false">(Sens!H10038*(Sens!H10009-Sens!H9972)+Sens!H9972-(Sens!H9974+Sens!H9975+Sens!H9976)-Sens!H9990-Sens!H10073)</f>
        <v>199.135764839307</v>
      </c>
      <c r="I10039" s="6" t="n">
        <f aca="false">(Sens!I10038*(Sens!I10009-Sens!I9972)+Sens!I9972-(Sens!I9974+Sens!I9975+Sens!I9976)-Sens!I9990-Sens!I10073)</f>
        <v>219.646627685884</v>
      </c>
      <c r="J10039" s="6" t="n">
        <f aca="false">(Sens!J10038*(Sens!J10009-Sens!J9972)+Sens!J9972-(Sens!J9974+Sens!J9975+Sens!J9976)-Sens!J9990-Sens!J10073)</f>
        <v>240.00228160044</v>
      </c>
      <c r="K10039" s="6" t="n">
        <f aca="false">(Sens!K10038*(Sens!K10009-Sens!K9972)+Sens!K9972-(Sens!K9974+Sens!K9975+Sens!K9976)-Sens!K9990-Sens!K10073)</f>
        <v>260.961730700054</v>
      </c>
      <c r="L10039" s="1" t="s">
        <v>1064</v>
      </c>
    </row>
    <row r="10040" customFormat="false" ht="17.15" hidden="false" customHeight="false" outlineLevel="0" collapsed="false">
      <c r="A10040" s="0" t="s">
        <v>1065</v>
      </c>
      <c r="B10040" s="0" t="s">
        <v>168</v>
      </c>
      <c r="E10040" s="7" t="n">
        <f aca="false">Q!M22/Q!M12</f>
        <v>0.296207935710698</v>
      </c>
      <c r="F10040" s="7" t="n">
        <f aca="false">Sens!$E$10040+dm_seg</f>
        <v>0.296207935710698</v>
      </c>
      <c r="G10040" s="7" t="n">
        <f aca="false">Sens!$E$10040+dm_seg</f>
        <v>0.296207935710698</v>
      </c>
      <c r="H10040" s="7" t="n">
        <f aca="false">Sens!$E$10040+dm_seg</f>
        <v>0.296207935710698</v>
      </c>
      <c r="I10040" s="7" t="n">
        <f aca="false">Sens!$E$10040+dm_seg</f>
        <v>0.296207935710698</v>
      </c>
      <c r="J10040" s="7" t="n">
        <f aca="false">Sens!$E$10040+dm_seg</f>
        <v>0.296207935710698</v>
      </c>
      <c r="K10040" s="7" t="n">
        <f aca="false">Sens!$E$10040+dm_seg</f>
        <v>0.296207935710698</v>
      </c>
      <c r="L10040" s="12" t="s">
        <v>1066</v>
      </c>
    </row>
    <row r="10041" customFormat="false" ht="17.15" hidden="false" customHeight="false" outlineLevel="0" collapsed="false">
      <c r="A10041" s="0" t="s">
        <v>886</v>
      </c>
      <c r="B10041" s="0" t="s">
        <v>98</v>
      </c>
      <c r="D10041" s="6" t="n">
        <f aca="false">Q!L22</f>
        <v>17.714</v>
      </c>
      <c r="E10041" s="6" t="n">
        <f aca="false">Q!M22</f>
        <v>18.872</v>
      </c>
      <c r="F10041" s="6" t="n">
        <f aca="false">Q!$I$22+(Sens!F10016-Q!$I$12)*Sens!F10040</f>
        <v>19.8174315512051</v>
      </c>
      <c r="G10041" s="6" t="n">
        <f aca="false">Sens!G10016*Sens!G10040</f>
        <v>19.6313799703815</v>
      </c>
      <c r="H10041" s="6" t="n">
        <f aca="false">Sens!H10016*Sens!H10040</f>
        <v>20.3536242825865</v>
      </c>
      <c r="I10041" s="6" t="n">
        <f aca="false">Sens!I10016*Sens!I10040</f>
        <v>21.1920899239745</v>
      </c>
      <c r="J10041" s="6" t="n">
        <f aca="false">Sens!J10016*Sens!J10040</f>
        <v>22.1288166207045</v>
      </c>
      <c r="K10041" s="6" t="n">
        <f aca="false">Sens!K10016*Sens!K10040</f>
        <v>23.1493653905379</v>
      </c>
      <c r="L10041" s="12" t="s">
        <v>1067</v>
      </c>
    </row>
    <row r="10042" customFormat="false" ht="15" hidden="false" customHeight="false" outlineLevel="0" collapsed="false">
      <c r="A10042" s="1" t="s">
        <v>1068</v>
      </c>
      <c r="B10042" s="0" t="s">
        <v>98</v>
      </c>
      <c r="D10042" s="6" t="n">
        <f aca="false">Sens!D10039+Sens!D10041</f>
        <v>128.528</v>
      </c>
      <c r="E10042" s="6" t="n">
        <f aca="false">Sens!E10039+Sens!E10041</f>
        <v>155.237</v>
      </c>
      <c r="F10042" s="6" t="n">
        <f aca="false">Sens!F10039+Sens!F10041</f>
        <v>182.118701833921</v>
      </c>
      <c r="G10042" s="6" t="n">
        <f aca="false">Sens!G10039+Sens!G10041</f>
        <v>198.159879383921</v>
      </c>
      <c r="H10042" s="6" t="n">
        <f aca="false">Sens!H10039+Sens!H10041</f>
        <v>219.489389121894</v>
      </c>
      <c r="I10042" s="6" t="n">
        <f aca="false">Sens!I10039+Sens!I10041</f>
        <v>240.838717609859</v>
      </c>
      <c r="J10042" s="6" t="n">
        <f aca="false">Sens!J10039+Sens!J10041</f>
        <v>262.131098221145</v>
      </c>
      <c r="K10042" s="6" t="n">
        <f aca="false">Sens!K10039+Sens!K10041</f>
        <v>284.111096090591</v>
      </c>
    </row>
    <row r="10043" customFormat="false" ht="15" hidden="false" customHeight="false" outlineLevel="0" collapsed="false">
      <c r="A10043" s="26" t="s">
        <v>1069</v>
      </c>
      <c r="B10043" s="31" t="s">
        <v>98</v>
      </c>
      <c r="C10043" s="31"/>
      <c r="D10043" s="27" t="n">
        <f aca="false">Sens!D10042-Q!L23</f>
        <v>0</v>
      </c>
      <c r="E10043" s="27" t="n">
        <f aca="false">Sens!E10042-Q!M23</f>
        <v>0</v>
      </c>
      <c r="F10043" s="31"/>
      <c r="G10043" s="31"/>
      <c r="H10043" s="31"/>
      <c r="I10043" s="31"/>
      <c r="J10043" s="31"/>
      <c r="K10043" s="31"/>
    </row>
    <row r="10044" customFormat="false" ht="15" hidden="false" customHeight="false" outlineLevel="0" collapsed="false">
      <c r="A10044" s="1" t="s">
        <v>1070</v>
      </c>
      <c r="B10044" s="0" t="s">
        <v>168</v>
      </c>
      <c r="D10044" s="7" t="n">
        <f aca="false">Sens!D10042/Sens!D10035</f>
        <v>0.456219562408598</v>
      </c>
      <c r="E10044" s="7" t="n">
        <f aca="false">Sens!E10042/Sens!E10035</f>
        <v>0.467808184089272</v>
      </c>
      <c r="F10044" s="7" t="n">
        <f aca="false">Sens!F10042/Sens!F10035</f>
        <v>0.455939304677704</v>
      </c>
      <c r="G10044" s="7" t="n">
        <f aca="false">Sens!G10042/Sens!G10035</f>
        <v>0.414422753229617</v>
      </c>
      <c r="H10044" s="7" t="n">
        <f aca="false">Sens!H10042/Sens!H10035</f>
        <v>0.392028368787492</v>
      </c>
      <c r="I10044" s="7" t="n">
        <f aca="false">Sens!I10042/Sens!I10035</f>
        <v>0.378267653012152</v>
      </c>
      <c r="J10044" s="7" t="n">
        <f aca="false">Sens!J10042/Sens!J10035</f>
        <v>0.373299895925794</v>
      </c>
      <c r="K10044" s="7" t="n">
        <f aca="false">Sens!K10042/Sens!K10035</f>
        <v>0.374768936248074</v>
      </c>
    </row>
    <row r="10045" customFormat="false" ht="17.15" hidden="false" customHeight="false" outlineLevel="0" collapsed="false">
      <c r="A10045" s="1" t="s">
        <v>1071</v>
      </c>
      <c r="B10045" s="0" t="s">
        <v>98</v>
      </c>
      <c r="F10045" s="6" t="n">
        <f aca="false">Sens!F10060</f>
        <v>9.7398427716299</v>
      </c>
      <c r="G10045" s="6" t="n">
        <f aca="false">Sens!G10060</f>
        <v>25.2753385959797</v>
      </c>
      <c r="H10045" s="6" t="n">
        <f aca="false">Sens!H10060</f>
        <v>42.2840253697948</v>
      </c>
      <c r="I10045" s="6" t="n">
        <f aca="false">Sens!I10060</f>
        <v>57.704943641581</v>
      </c>
      <c r="J10045" s="6" t="n">
        <f aca="false">Sens!J10060</f>
        <v>68.4828520908201</v>
      </c>
      <c r="K10045" s="6" t="n">
        <f aca="false">Sens!K10060</f>
        <v>74.3598374943249</v>
      </c>
      <c r="L10045" s="1" t="s">
        <v>1072</v>
      </c>
    </row>
    <row r="10046" customFormat="false" ht="17.15" hidden="false" customHeight="false" outlineLevel="0" collapsed="false">
      <c r="A10046" s="1" t="s">
        <v>1073</v>
      </c>
      <c r="B10046" s="0" t="s">
        <v>98</v>
      </c>
      <c r="D10046" s="6" t="n">
        <f aca="false">Sens!D10042</f>
        <v>128.528</v>
      </c>
      <c r="E10046" s="6" t="n">
        <f aca="false">Sens!E10042</f>
        <v>155.237</v>
      </c>
      <c r="F10046" s="6" t="n">
        <f aca="false">Sens!F10042+Sens!F10045</f>
        <v>191.858544605551</v>
      </c>
      <c r="G10046" s="6" t="n">
        <f aca="false">Sens!G10042+Sens!G10045</f>
        <v>223.435217979901</v>
      </c>
      <c r="H10046" s="6" t="n">
        <f aca="false">Sens!H10042+Sens!H10045</f>
        <v>261.773414491688</v>
      </c>
      <c r="I10046" s="6" t="n">
        <f aca="false">Sens!I10042+Sens!I10045</f>
        <v>298.54366125144</v>
      </c>
      <c r="J10046" s="6" t="n">
        <f aca="false">Sens!J10042+Sens!J10045</f>
        <v>330.613950311965</v>
      </c>
      <c r="K10046" s="6" t="n">
        <f aca="false">Sens!K10042+Sens!K10045</f>
        <v>358.470933584916</v>
      </c>
    </row>
    <row r="10047" customFormat="false" ht="17.15" hidden="false" customHeight="false" outlineLevel="0" collapsed="false">
      <c r="A10047" s="1" t="s">
        <v>1074</v>
      </c>
      <c r="B10047" s="0" t="s">
        <v>98</v>
      </c>
      <c r="E10047" s="6" t="n">
        <f aca="false">Sens!E9990</f>
        <v>16.3054059770833</v>
      </c>
      <c r="F10047" s="6" t="n">
        <f aca="false">Sens!F9990</f>
        <v>34.5793144783516</v>
      </c>
      <c r="G10047" s="6" t="n">
        <f aca="false">Sens!G9990</f>
        <v>60.7344906522989</v>
      </c>
      <c r="H10047" s="6" t="n">
        <f aca="false">Sens!H9990</f>
        <v>89.1000906614457</v>
      </c>
      <c r="I10047" s="6" t="n">
        <f aca="false">Sens!I9990</f>
        <v>114.231009694548</v>
      </c>
      <c r="J10047" s="6" t="n">
        <f aca="false">Sens!J9990</f>
        <v>132.015673049596</v>
      </c>
      <c r="K10047" s="6" t="n">
        <f aca="false">Sens!K9990</f>
        <v>143.012669550934</v>
      </c>
    </row>
    <row r="10048" customFormat="false" ht="17.15" hidden="false" customHeight="false" outlineLevel="0" collapsed="false">
      <c r="A10048" s="1" t="s">
        <v>1075</v>
      </c>
      <c r="B10048" s="0" t="s">
        <v>98</v>
      </c>
      <c r="E10048" s="6" t="n">
        <f aca="false">Sens!E10072</f>
        <v>22.2285940229167</v>
      </c>
      <c r="F10048" s="6" t="n">
        <f aca="false">Sens!F10072</f>
        <v>23.588055741055</v>
      </c>
      <c r="G10048" s="6" t="n">
        <f aca="false">Sens!G10072</f>
        <v>25.3989044372861</v>
      </c>
      <c r="H10048" s="6" t="n">
        <f aca="false">Sens!H10072</f>
        <v>27.6481597140011</v>
      </c>
      <c r="I10048" s="6" t="n">
        <f aca="false">Sens!I10072</f>
        <v>30.2957045477721</v>
      </c>
      <c r="J10048" s="6" t="n">
        <f aca="false">Sens!J10072</f>
        <v>33.2885200997026</v>
      </c>
      <c r="K10048" s="6" t="n">
        <f aca="false">Sens!K10072</f>
        <v>36.5740498095782</v>
      </c>
    </row>
    <row r="10049" customFormat="false" ht="17.15" hidden="false" customHeight="false" outlineLevel="0" collapsed="false">
      <c r="A10049" s="1" t="s">
        <v>1076</v>
      </c>
      <c r="B10049" s="0" t="s">
        <v>98</v>
      </c>
      <c r="D10049" s="6" t="n">
        <f aca="false">Q!L27</f>
        <v>-4.901</v>
      </c>
      <c r="E10049" s="6" t="n">
        <f aca="false">Q!M27</f>
        <v>10.697</v>
      </c>
      <c r="F10049" s="6" t="n">
        <f aca="false">Q!$I$27+oie_f*(q_per_yr-1)/q_per_yr</f>
        <v>-0.862</v>
      </c>
      <c r="G10049" s="6" t="n">
        <f aca="false">oie_f</f>
        <v>-1.2</v>
      </c>
      <c r="H10049" s="6" t="n">
        <f aca="false">oie_f</f>
        <v>-1.2</v>
      </c>
      <c r="I10049" s="6" t="n">
        <f aca="false">oie_f</f>
        <v>-1.2</v>
      </c>
      <c r="J10049" s="6" t="n">
        <f aca="false">oie_f</f>
        <v>-1.2</v>
      </c>
      <c r="K10049" s="6" t="n">
        <f aca="false">oie_f</f>
        <v>-1.2</v>
      </c>
      <c r="L10049" s="12" t="s">
        <v>1077</v>
      </c>
    </row>
    <row r="10050" customFormat="false" ht="15" hidden="false" customHeight="false" outlineLevel="0" collapsed="false">
      <c r="A10050" s="1" t="s">
        <v>1078</v>
      </c>
      <c r="B10050" s="0" t="s">
        <v>98</v>
      </c>
      <c r="D10050" s="6" t="n">
        <f aca="false">Sens!D10042+Sens!D10049</f>
        <v>123.627</v>
      </c>
      <c r="E10050" s="6" t="n">
        <f aca="false">Sens!E10042+Sens!E10049</f>
        <v>165.934</v>
      </c>
      <c r="F10050" s="6" t="n">
        <f aca="false">Sens!F10042+Sens!F10049</f>
        <v>181.256701833921</v>
      </c>
      <c r="G10050" s="6" t="n">
        <f aca="false">Sens!G10042+Sens!G10049</f>
        <v>196.959879383921</v>
      </c>
      <c r="H10050" s="6" t="n">
        <f aca="false">Sens!H10042+Sens!H10049</f>
        <v>218.289389121894</v>
      </c>
      <c r="I10050" s="6" t="n">
        <f aca="false">Sens!I10042+Sens!I10049</f>
        <v>239.638717609859</v>
      </c>
      <c r="J10050" s="6" t="n">
        <f aca="false">Sens!J10042+Sens!J10049</f>
        <v>260.931098221145</v>
      </c>
      <c r="K10050" s="6" t="n">
        <f aca="false">Sens!K10042+Sens!K10049</f>
        <v>282.911096090591</v>
      </c>
    </row>
    <row r="10051" customFormat="false" ht="15" hidden="false" customHeight="false" outlineLevel="0" collapsed="false">
      <c r="A10051" s="1" t="s">
        <v>1079</v>
      </c>
      <c r="B10051" s="0" t="s">
        <v>98</v>
      </c>
      <c r="D10051" s="6" t="n">
        <f aca="false">Q!L29</f>
        <v>21.795</v>
      </c>
      <c r="E10051" s="6" t="n">
        <f aca="false">Q!M29</f>
        <v>32.185</v>
      </c>
      <c r="F10051" s="6" t="n">
        <f aca="false">Q!$I$29+(Sens!F10050-Q!$I$28)*tax_f</f>
        <v>36.3847403667842</v>
      </c>
      <c r="G10051" s="6" t="n">
        <f aca="false">Sens!G10050*tax_f</f>
        <v>39.3919758767842</v>
      </c>
      <c r="H10051" s="6" t="n">
        <f aca="false">Sens!H10050*tax_f</f>
        <v>43.6578778243787</v>
      </c>
      <c r="I10051" s="6" t="n">
        <f aca="false">Sens!I10050*tax_f</f>
        <v>47.9277435219717</v>
      </c>
      <c r="J10051" s="6" t="n">
        <f aca="false">Sens!J10050*tax_f</f>
        <v>52.1862196442289</v>
      </c>
      <c r="K10051" s="6" t="n">
        <f aca="false">Sens!K10050*tax_f</f>
        <v>56.5822192181183</v>
      </c>
    </row>
    <row r="10052" customFormat="false" ht="15" hidden="false" customHeight="false" outlineLevel="0" collapsed="false">
      <c r="A10052" s="1" t="s">
        <v>1080</v>
      </c>
      <c r="B10052" s="0" t="s">
        <v>98</v>
      </c>
      <c r="D10052" s="6" t="n">
        <f aca="false">Sens!D10050-Sens!D10051</f>
        <v>101.832</v>
      </c>
      <c r="E10052" s="6" t="n">
        <f aca="false">Sens!E10050-Sens!E10051</f>
        <v>133.749</v>
      </c>
      <c r="F10052" s="6" t="n">
        <f aca="false">Sens!F10050-Sens!F10051</f>
        <v>144.871961467137</v>
      </c>
      <c r="G10052" s="6" t="n">
        <f aca="false">Sens!G10050-Sens!G10051</f>
        <v>157.567903507137</v>
      </c>
      <c r="H10052" s="6" t="n">
        <f aca="false">Sens!H10050-Sens!H10051</f>
        <v>174.631511297515</v>
      </c>
      <c r="I10052" s="6" t="n">
        <f aca="false">Sens!I10050-Sens!I10051</f>
        <v>191.710974087887</v>
      </c>
      <c r="J10052" s="6" t="n">
        <f aca="false">Sens!J10050-Sens!J10051</f>
        <v>208.744878576916</v>
      </c>
      <c r="K10052" s="6" t="n">
        <f aca="false">Sens!K10050-Sens!K10051</f>
        <v>226.328876872473</v>
      </c>
    </row>
    <row r="10053" customFormat="false" ht="17.15" hidden="false" customHeight="false" outlineLevel="0" collapsed="false">
      <c r="A10053" s="1" t="s">
        <v>1081</v>
      </c>
      <c r="B10053" s="1" t="s">
        <v>81</v>
      </c>
      <c r="D10053" s="15" t="n">
        <f aca="false">Q!L31</f>
        <v>7.465</v>
      </c>
      <c r="E10053" s="15" t="n">
        <f aca="false">Q!M31</f>
        <v>7.453</v>
      </c>
      <c r="F10053" s="15" t="n">
        <f aca="false">Sens!F10097</f>
        <v>7.47315120640926</v>
      </c>
      <c r="G10053" s="15" t="n">
        <f aca="false">Sens!G10097</f>
        <v>7.51780241281852</v>
      </c>
      <c r="H10053" s="15" t="n">
        <f aca="false">Sens!H10097</f>
        <v>7.54550235184732</v>
      </c>
      <c r="I10053" s="15" t="n">
        <f aca="false">Sens!I10097</f>
        <v>7.55718371590279</v>
      </c>
      <c r="J10053" s="15" t="n">
        <f aca="false">Sens!J10097</f>
        <v>7.57133312706526</v>
      </c>
      <c r="K10053" s="15" t="n">
        <f aca="false">Sens!K10097</f>
        <v>7.58776776703051</v>
      </c>
    </row>
    <row r="10054" customFormat="false" ht="17.15" hidden="false" customHeight="false" outlineLevel="0" collapsed="false">
      <c r="A10054" s="0" t="s">
        <v>1082</v>
      </c>
      <c r="B10054" s="0" t="s">
        <v>75</v>
      </c>
      <c r="D10054" s="8" t="n">
        <f aca="false">Sens!D10052/Sens!D10053</f>
        <v>13.641259209645</v>
      </c>
      <c r="E10054" s="8" t="n">
        <f aca="false">Sens!E10052/Sens!E10053</f>
        <v>17.9456594659869</v>
      </c>
      <c r="F10054" s="8" t="n">
        <f aca="false">Sens!F10052/Sens!F10053</f>
        <v>19.3856590701509</v>
      </c>
      <c r="G10054" s="8" t="n">
        <f aca="false">Sens!G10052/Sens!G10053</f>
        <v>20.95930364417</v>
      </c>
      <c r="H10054" s="8" t="n">
        <f aca="false">Sens!H10052/Sens!H10053</f>
        <v>23.143788598086</v>
      </c>
      <c r="I10054" s="8" t="n">
        <f aca="false">Sens!I10052/Sens!I10053</f>
        <v>25.3680446704589</v>
      </c>
      <c r="J10054" s="8" t="n">
        <f aca="false">Sens!J10052/Sens!J10053</f>
        <v>27.5704258515208</v>
      </c>
      <c r="K10054" s="8" t="n">
        <f aca="false">Sens!K10052/Sens!K10053</f>
        <v>29.8281238727273</v>
      </c>
      <c r="L10054" s="1" t="s">
        <v>1083</v>
      </c>
    </row>
    <row r="10055" customFormat="false" ht="17.15" hidden="false" customHeight="false" outlineLevel="0" collapsed="false">
      <c r="A10055" s="1" t="s">
        <v>1084</v>
      </c>
      <c r="B10055" s="0" t="s">
        <v>98</v>
      </c>
      <c r="D10055" s="6" t="n">
        <f aca="false">Sens!D10052</f>
        <v>101.832</v>
      </c>
      <c r="E10055" s="6" t="n">
        <f aca="false">Sens!E10052</f>
        <v>133.749</v>
      </c>
      <c r="F10055" s="6" t="n">
        <f aca="false">Sens!F10052+Sens!F10045*(1-tax_f)</f>
        <v>152.663835684441</v>
      </c>
      <c r="G10055" s="6" t="n">
        <f aca="false">Sens!G10052+Sens!G10045*(1-tax_f)</f>
        <v>177.788174383921</v>
      </c>
      <c r="H10055" s="6" t="n">
        <f aca="false">Sens!H10052+Sens!H10045*(1-tax_f)</f>
        <v>208.458731593351</v>
      </c>
      <c r="I10055" s="6" t="n">
        <f aca="false">Sens!I10052+Sens!I10045*(1-tax_f)</f>
        <v>237.874929001152</v>
      </c>
      <c r="J10055" s="6" t="n">
        <f aca="false">Sens!J10052+Sens!J10045*(1-tax_f)</f>
        <v>263.531160249572</v>
      </c>
      <c r="K10055" s="6" t="n">
        <f aca="false">Sens!K10052+Sens!K10045*(1-tax_f)</f>
        <v>285.816746867933</v>
      </c>
    </row>
    <row r="10056" customFormat="false" ht="17.15" hidden="false" customHeight="false" outlineLevel="0" collapsed="false">
      <c r="A10056" s="0" t="s">
        <v>1085</v>
      </c>
      <c r="B10056" s="0" t="s">
        <v>75</v>
      </c>
      <c r="D10056" s="8" t="n">
        <f aca="false">Sens!D10055/Sens!D10053</f>
        <v>13.641259209645</v>
      </c>
      <c r="E10056" s="8" t="n">
        <f aca="false">Sens!E10055/Sens!E10053</f>
        <v>17.9456594659869</v>
      </c>
      <c r="F10056" s="8" t="n">
        <f aca="false">Sens!F10055/Sens!F10053</f>
        <v>20.4283081484435</v>
      </c>
      <c r="G10056" s="8" t="n">
        <f aca="false">Sens!G10055/Sens!G10053</f>
        <v>23.64895545549</v>
      </c>
      <c r="H10056" s="8" t="n">
        <f aca="false">Sens!H10055/Sens!H10053</f>
        <v>27.626885775513</v>
      </c>
      <c r="I10056" s="8" t="n">
        <f aca="false">Sens!I10055/Sens!I10053</f>
        <v>31.4766635222305</v>
      </c>
      <c r="J10056" s="8" t="n">
        <f aca="false">Sens!J10055/Sens!J10053</f>
        <v>34.8064410622122</v>
      </c>
      <c r="K10056" s="8" t="n">
        <f aca="false">Sens!K10055/Sens!K10053</f>
        <v>37.6680936532917</v>
      </c>
      <c r="L10056" s="1" t="s">
        <v>1086</v>
      </c>
    </row>
    <row r="10057" customFormat="false" ht="17.15" hidden="false" customHeight="false" outlineLevel="0" collapsed="false">
      <c r="A10057" s="0" t="s">
        <v>1087</v>
      </c>
      <c r="B10057" s="0" t="s">
        <v>168</v>
      </c>
      <c r="E10057" s="7" t="n">
        <f aca="false">Sens!E10056/Sens!D10056-1</f>
        <v>0.315542736208578</v>
      </c>
      <c r="F10057" s="7" t="n">
        <f aca="false">Sens!F10056/Sens!E10056-1</f>
        <v>0.138342571760157</v>
      </c>
      <c r="G10057" s="7" t="n">
        <f aca="false">Sens!G10056/Sens!F10056-1</f>
        <v>0.15765609582759</v>
      </c>
      <c r="H10057" s="7" t="n">
        <f aca="false">Sens!H10056/Sens!G10056-1</f>
        <v>0.168207442713903</v>
      </c>
      <c r="I10057" s="7" t="n">
        <f aca="false">Sens!I10056/Sens!H10056-1</f>
        <v>0.13934895804035</v>
      </c>
      <c r="J10057" s="7" t="n">
        <f aca="false">Sens!J10056/Sens!I10056-1</f>
        <v>0.105785593750431</v>
      </c>
      <c r="K10057" s="7" t="n">
        <f aca="false">Sens!K10056/Sens!J10056-1</f>
        <v>0.0822161790676796</v>
      </c>
    </row>
    <row r="10058" customFormat="false" ht="17.15" hidden="false" customHeight="false" outlineLevel="0" collapsed="false">
      <c r="A10058" s="0" t="s">
        <v>1007</v>
      </c>
      <c r="B10058" s="0" t="s">
        <v>98</v>
      </c>
      <c r="E10058" s="6" t="n">
        <f aca="false">Sens!E9999</f>
        <v>5.25</v>
      </c>
      <c r="F10058" s="6" t="n">
        <f aca="false">Sens!F9999</f>
        <v>12</v>
      </c>
      <c r="G10058" s="6" t="n">
        <f aca="false">Sens!G9999</f>
        <v>18</v>
      </c>
      <c r="H10058" s="6" t="n">
        <f aca="false">Sens!H9999</f>
        <v>24</v>
      </c>
      <c r="I10058" s="6" t="n">
        <f aca="false">Sens!I9999</f>
        <v>28.5</v>
      </c>
      <c r="J10058" s="6" t="n">
        <f aca="false">Sens!J9999</f>
        <v>31.5</v>
      </c>
      <c r="K10058" s="6" t="n">
        <f aca="false">Sens!K9999</f>
        <v>34.5</v>
      </c>
    </row>
    <row r="10059" customFormat="false" ht="17.15" hidden="false" customHeight="false" outlineLevel="0" collapsed="false">
      <c r="A10059" s="1" t="s">
        <v>1008</v>
      </c>
      <c r="B10059" s="0" t="s">
        <v>98</v>
      </c>
      <c r="F10059" s="6" t="n">
        <f aca="false">MAX(0,((Sens!E9959+Sens!F9959)/2-(shadow_base*(Sens!$D$9959+Sens!$E$9959)/2+(1-shadow_base)*Sens!$E$9959))*Sens!F9968/1000-(Sens!F10058-Sens!$E$10058)*Sens!F10038)</f>
        <v>9.7398427716299</v>
      </c>
      <c r="G10059" s="6" t="n">
        <f aca="false">MAX(0,((Sens!F9959+Sens!G9959)/2-(shadow_base*(Sens!$D$9959+Sens!$E$9959)/2+(1-shadow_base)*Sens!$E$9959))*Sens!G9968/1000-(Sens!G10058-Sens!$E$10058)*Sens!G10038)</f>
        <v>25.2753385959797</v>
      </c>
      <c r="H10059" s="6" t="n">
        <f aca="false">MAX(0,((Sens!G9959+Sens!H9959)/2-(shadow_base*(Sens!$D$9959+Sens!$E$9959)/2+(1-shadow_base)*Sens!$E$9959))*Sens!H9968/1000-(Sens!H10058-Sens!$E$10058)*Sens!H10038)</f>
        <v>42.2840253697948</v>
      </c>
      <c r="I10059" s="6" t="n">
        <f aca="false">MAX(0,((Sens!H9959+Sens!I9959)/2-(shadow_base*(Sens!$D$9959+Sens!$E$9959)/2+(1-shadow_base)*Sens!$E$9959))*Sens!I9968/1000-(Sens!I10058-Sens!$E$10058)*Sens!I10038)</f>
        <v>57.704943641581</v>
      </c>
      <c r="J10059" s="6" t="n">
        <f aca="false">MAX(0,((Sens!I9959+Sens!J9959)/2-(shadow_base*(Sens!$D$9959+Sens!$E$9959)/2+(1-shadow_base)*Sens!$E$9959))*Sens!J9968/1000-(Sens!J10058-Sens!$E$10058)*Sens!J10038)</f>
        <v>68.4828520908201</v>
      </c>
      <c r="K10059" s="6" t="n">
        <f aca="false">MAX(0,((Sens!J9959+Sens!K9959)/2-(shadow_base*(Sens!$D$9959+Sens!$E$9959)/2+(1-shadow_base)*Sens!$E$9959))*Sens!K9968/1000-(Sens!K10058-Sens!$E$10058)*Sens!K10038)</f>
        <v>74.3598374943249</v>
      </c>
      <c r="L10059" s="1" t="s">
        <v>1009</v>
      </c>
    </row>
    <row r="10060" customFormat="false" ht="17.15" hidden="false" customHeight="false" outlineLevel="0" collapsed="false">
      <c r="A10060" s="1" t="s">
        <v>1010</v>
      </c>
      <c r="B10060" s="0" t="s">
        <v>98</v>
      </c>
      <c r="F10060" s="6" t="n">
        <f aca="false">IF(internal_ai_reading=2,1,0)*Sens!F10059</f>
        <v>9.7398427716299</v>
      </c>
      <c r="G10060" s="6" t="n">
        <f aca="false">IF(internal_ai_reading=2,1,0)*Sens!G10059</f>
        <v>25.2753385959797</v>
      </c>
      <c r="H10060" s="6" t="n">
        <f aca="false">IF(internal_ai_reading=2,1,0)*Sens!H10059</f>
        <v>42.2840253697948</v>
      </c>
      <c r="I10060" s="6" t="n">
        <f aca="false">IF(internal_ai_reading=2,1,0)*Sens!I10059</f>
        <v>57.704943641581</v>
      </c>
      <c r="J10060" s="6" t="n">
        <f aca="false">IF(internal_ai_reading=2,1,0)*Sens!J10059</f>
        <v>68.4828520908201</v>
      </c>
      <c r="K10060" s="6" t="n">
        <f aca="false">IF(internal_ai_reading=2,1,0)*Sens!K10059</f>
        <v>74.3598374943249</v>
      </c>
    </row>
    <row r="10061" customFormat="false" ht="17.15" hidden="false" customHeight="false" outlineLevel="0" collapsed="false">
      <c r="A10061" s="0" t="s">
        <v>1011</v>
      </c>
      <c r="B10061" s="0" t="s">
        <v>98</v>
      </c>
      <c r="F10061" s="6" t="n">
        <f aca="false">Sens!F9978+Sens!F10058*Sens!F10038+Sens!F10060-Sens!F9979-Sens!F9990</f>
        <v>14.8152827562272</v>
      </c>
      <c r="G10061" s="6" t="n">
        <f aca="false">Sens!G9978+Sens!G10058*Sens!G10038+Sens!G10060-Sens!G9979-Sens!G9990</f>
        <v>31.0349977765951</v>
      </c>
      <c r="H10061" s="6" t="n">
        <f aca="false">Sens!H9978+Sens!H10058*Sens!H10038+Sens!H10060-Sens!H9979-Sens!H9990</f>
        <v>47.8811519709826</v>
      </c>
      <c r="I10061" s="6" t="n">
        <f aca="false">Sens!I9978+Sens!I10058*Sens!I10038+Sens!I10060-Sens!I9979-Sens!I9990</f>
        <v>62.6472166574028</v>
      </c>
      <c r="J10061" s="6" t="n">
        <f aca="false">Sens!J9978+Sens!J10058*Sens!J10038+Sens!J10060-Sens!J9979-Sens!J9990</f>
        <v>72.7882253357034</v>
      </c>
      <c r="K10061" s="6" t="n">
        <f aca="false">Sens!K9978+Sens!K10058*Sens!K10038+Sens!K10060-Sens!K9979-Sens!K9990</f>
        <v>79.4617812140187</v>
      </c>
    </row>
    <row r="10062" customFormat="false" ht="17.15" hidden="false" customHeight="false" outlineLevel="0" collapsed="false">
      <c r="A10062" s="0" t="s">
        <v>1012</v>
      </c>
      <c r="B10062" s="0" t="s">
        <v>98</v>
      </c>
      <c r="E10062" s="6" t="n">
        <f aca="false">Sens!E9958*(cxit_open+self_build*tk_cxfac)/1000*ai_net_open</f>
        <v>126.6980382</v>
      </c>
      <c r="F10062" s="6" t="n">
        <f aca="false">Sens!E10062+Sens!F9987-Sens!F9990</f>
        <v>260.572627763768</v>
      </c>
      <c r="G10062" s="6" t="n">
        <f aca="false">Sens!F10062+Sens!G9987-Sens!G9990</f>
        <v>391.782612760517</v>
      </c>
      <c r="H10062" s="6" t="n">
        <f aca="false">Sens!G10062+Sens!H9987-Sens!H9990</f>
        <v>499.488526163584</v>
      </c>
      <c r="I10062" s="6" t="n">
        <f aca="false">Sens!H10062+Sens!I9987-Sens!I9990</f>
        <v>553.872350090646</v>
      </c>
      <c r="J10062" s="6" t="n">
        <f aca="false">Sens!I10062+Sens!J9987-Sens!J9990</f>
        <v>550.78660823699</v>
      </c>
      <c r="K10062" s="6" t="n">
        <f aca="false">Sens!J10062+Sens!K9987-Sens!K9990</f>
        <v>526.736791750789</v>
      </c>
      <c r="L10062" s="1" t="s">
        <v>1013</v>
      </c>
    </row>
    <row r="10063" customFormat="false" ht="17.15" hidden="false" customHeight="false" outlineLevel="0" collapsed="false">
      <c r="A10063" s="0" t="s">
        <v>1014</v>
      </c>
      <c r="B10063" s="0" t="s">
        <v>168</v>
      </c>
      <c r="F10063" s="7" t="n">
        <f aca="false">Sens!F10061*(1-tax_f)/((Sens!E10062+Sens!F10062)/2)</f>
        <v>0.0612090057246454</v>
      </c>
      <c r="G10063" s="7" t="n">
        <f aca="false">Sens!G10061*(1-tax_f)/((Sens!F10062+Sens!G10062)/2)</f>
        <v>0.0761180310326695</v>
      </c>
      <c r="H10063" s="7" t="n">
        <f aca="false">Sens!H10061*(1-tax_f)/((Sens!G10062+Sens!H10062)/2)</f>
        <v>0.0859557095566361</v>
      </c>
      <c r="I10063" s="7" t="n">
        <f aca="false">Sens!I10061*(1-tax_f)/((Sens!H10062+Sens!I10062)/2)</f>
        <v>0.0951578408800258</v>
      </c>
      <c r="J10063" s="7" t="n">
        <f aca="false">Sens!J10061*(1-tax_f)/((Sens!I10062+Sens!J10062)/2)</f>
        <v>0.105427253958487</v>
      </c>
      <c r="K10063" s="7" t="n">
        <f aca="false">Sens!K10061*(1-tax_f)/((Sens!J10062+Sens!K10062)/2)</f>
        <v>0.117991729872291</v>
      </c>
    </row>
    <row r="10064" customFormat="false" ht="17.15" hidden="false" customHeight="false" outlineLevel="0" collapsed="false">
      <c r="A10064" s="1" t="s">
        <v>1015</v>
      </c>
      <c r="B10064" s="0" t="s">
        <v>168</v>
      </c>
      <c r="F10064" s="7" t="n">
        <f aca="false">(Sens!F10061-Sens!F10060)*(1-tax_f)/((Sens!E10062+Sens!F10062)/2)</f>
        <v>0.0209690655375262</v>
      </c>
      <c r="G10064" s="7" t="n">
        <f aca="false">(Sens!G10061-Sens!G10060)*(1-tax_f)/((Sens!F10062+Sens!G10062)/2)</f>
        <v>0.014126436206105</v>
      </c>
      <c r="H10064" s="7" t="n">
        <f aca="false">(Sens!H10061-Sens!H10060)*(1-tax_f)/((Sens!G10062+Sens!H10062)/2)</f>
        <v>0.010047899197893</v>
      </c>
      <c r="I10064" s="7" t="n">
        <f aca="false">(Sens!I10061-Sens!I10060)*(1-tax_f)/((Sens!H10062+Sens!I10062)/2)</f>
        <v>0.00750705385359908</v>
      </c>
      <c r="J10064" s="7" t="n">
        <f aca="false">(Sens!J10061-Sens!J10060)*(1-tax_f)/((Sens!I10062+Sens!J10062)/2)</f>
        <v>0.00623594924015468</v>
      </c>
      <c r="K10064" s="7" t="n">
        <f aca="false">(Sens!K10061-Sens!K10060)*(1-tax_f)/((Sens!J10062+Sens!K10062)/2)</f>
        <v>0.00757580758951754</v>
      </c>
    </row>
    <row r="10065" customFormat="false" ht="17.15" hidden="false" customHeight="false" outlineLevel="0" collapsed="false">
      <c r="A10065" s="1" t="s">
        <v>1016</v>
      </c>
      <c r="B10065" s="0" t="s">
        <v>168</v>
      </c>
      <c r="F10065" s="7" t="n">
        <f aca="false">(Sens!F10061-Sens!F10060+Sens!F10059)*(1-tax_f)/((Sens!E10062+Sens!F10062)/2)</f>
        <v>0.0612090057246454</v>
      </c>
      <c r="G10065" s="7" t="n">
        <f aca="false">(Sens!G10061-Sens!G10060+Sens!G10059)*(1-tax_f)/((Sens!F10062+Sens!G10062)/2)</f>
        <v>0.0761180310326695</v>
      </c>
      <c r="H10065" s="7" t="n">
        <f aca="false">(Sens!H10061-Sens!H10060+Sens!H10059)*(1-tax_f)/((Sens!G10062+Sens!H10062)/2)</f>
        <v>0.0859557095566361</v>
      </c>
      <c r="I10065" s="7" t="n">
        <f aca="false">(Sens!I10061-Sens!I10060+Sens!I10059)*(1-tax_f)/((Sens!H10062+Sens!I10062)/2)</f>
        <v>0.0951578408800258</v>
      </c>
      <c r="J10065" s="7" t="n">
        <f aca="false">(Sens!J10061-Sens!J10060+Sens!J10059)*(1-tax_f)/((Sens!I10062+Sens!J10062)/2)</f>
        <v>0.105427253958487</v>
      </c>
      <c r="K10065" s="7" t="n">
        <f aca="false">(Sens!K10061-Sens!K10060+Sens!K10059)*(1-tax_f)/((Sens!J10062+Sens!K10062)/2)</f>
        <v>0.117991729872291</v>
      </c>
    </row>
    <row r="10066" customFormat="false" ht="17.15" hidden="false" customHeight="false" outlineLevel="0" collapsed="false">
      <c r="A10066" s="1" t="s">
        <v>1017</v>
      </c>
      <c r="B10066" s="0" t="s">
        <v>168</v>
      </c>
      <c r="F10066" s="7" t="n">
        <f aca="false">Sens!F9991*(1-tax_f)/(Sens!F9977*(Sens!E10062+Sens!F10062)/2)</f>
        <v>0.129294830495493</v>
      </c>
      <c r="G10066" s="7" t="n">
        <f aca="false">Sens!G9991*(1-tax_f)/(Sens!G9977*(Sens!F10062+Sens!G10062)/2)</f>
        <v>0.12719599062164</v>
      </c>
      <c r="H10066" s="7" t="n">
        <f aca="false">Sens!H9991*(1-tax_f)/(Sens!H9977*(Sens!G10062+Sens!H10062)/2)</f>
        <v>0.130828167067624</v>
      </c>
      <c r="I10066" s="7" t="n">
        <f aca="false">Sens!I9991*(1-tax_f)/(Sens!I9977*(Sens!H10062+Sens!I10062)/2)</f>
        <v>0.138614526937417</v>
      </c>
      <c r="J10066" s="7" t="n">
        <f aca="false">Sens!J9991*(1-tax_f)/(Sens!J9977*(Sens!I10062+Sens!J10062)/2)</f>
        <v>0.150578919010924</v>
      </c>
      <c r="K10066" s="7" t="n">
        <f aca="false">Sens!K9991*(1-tax_f)/(Sens!K9977*(Sens!J10062+Sens!K10062)/2)</f>
        <v>0.167005345886664</v>
      </c>
    </row>
    <row r="10067" customFormat="false" ht="17.15" hidden="false" customHeight="false" outlineLevel="0" collapsed="false">
      <c r="A10067" s="0" t="s">
        <v>1018</v>
      </c>
      <c r="B10067" s="0" t="s">
        <v>253</v>
      </c>
      <c r="F10067" s="7" t="n">
        <f aca="false">Sens!F10063-wacc</f>
        <v>-0.0417275852209519</v>
      </c>
      <c r="G10067" s="7" t="n">
        <f aca="false">Sens!G10063-wacc</f>
        <v>-0.0268185599129278</v>
      </c>
      <c r="H10067" s="7" t="n">
        <f aca="false">Sens!H10063-wacc</f>
        <v>-0.0169808813889612</v>
      </c>
      <c r="I10067" s="7" t="n">
        <f aca="false">Sens!I10063-wacc</f>
        <v>-0.00777875006557149</v>
      </c>
      <c r="J10067" s="7" t="n">
        <f aca="false">Sens!J10063-wacc</f>
        <v>0.0024906630128898</v>
      </c>
      <c r="K10067" s="7" t="n">
        <f aca="false">Sens!K10063-wacc</f>
        <v>0.0150551389266932</v>
      </c>
    </row>
    <row r="10068" customFormat="false" ht="17.15" hidden="false" customHeight="false" outlineLevel="0" collapsed="false">
      <c r="A10068" s="0" t="s">
        <v>1019</v>
      </c>
      <c r="B10068" s="0" t="s">
        <v>98</v>
      </c>
      <c r="F10068" s="6" t="n">
        <f aca="false">Sens!F10061*(1-tax_f)-wacc*(Sens!E10062+Sens!F10062)/2</f>
        <v>-8.07993485878896</v>
      </c>
      <c r="G10068" s="6" t="n">
        <f aca="false">Sens!G10061*(1-tax_f)-wacc*(Sens!F10062+Sens!G10062)/2</f>
        <v>-8.74761405125648</v>
      </c>
      <c r="H10068" s="6" t="n">
        <f aca="false">Sens!H10061*(1-tax_f)-wacc*(Sens!G10062+Sens!H10062)/2</f>
        <v>-7.56728474773728</v>
      </c>
      <c r="I10068" s="6" t="n">
        <f aca="false">Sens!I10061*(1-tax_f)-wacc*(Sens!H10062+Sens!I10062)/2</f>
        <v>-4.09691549261652</v>
      </c>
      <c r="J10068" s="6" t="n">
        <f aca="false">Sens!J10061*(1-tax_f)-wacc*(Sens!I10062+Sens!J10062)/2</f>
        <v>1.37566660468201</v>
      </c>
      <c r="K10068" s="6" t="n">
        <f aca="false">Sens!K10061*(1-tax_f)-wacc*(Sens!J10062+Sens!K10062)/2</f>
        <v>8.11113224178941</v>
      </c>
    </row>
    <row r="10069" customFormat="false" ht="17.15" hidden="false" customHeight="false" outlineLevel="0" collapsed="false">
      <c r="A10069" s="3" t="s">
        <v>1863</v>
      </c>
    </row>
    <row r="10070" customFormat="false" ht="15" hidden="false" customHeight="false" outlineLevel="0" collapsed="false">
      <c r="A10070" s="4" t="s">
        <v>43</v>
      </c>
      <c r="B10070" s="4" t="s">
        <v>65</v>
      </c>
      <c r="C10070" s="23" t="s">
        <v>942</v>
      </c>
      <c r="D10070" s="23" t="s">
        <v>943</v>
      </c>
      <c r="E10070" s="23" t="s">
        <v>944</v>
      </c>
      <c r="F10070" s="23" t="s">
        <v>945</v>
      </c>
      <c r="G10070" s="23" t="s">
        <v>946</v>
      </c>
      <c r="H10070" s="23" t="s">
        <v>947</v>
      </c>
      <c r="I10070" s="23" t="s">
        <v>948</v>
      </c>
      <c r="J10070" s="23" t="s">
        <v>949</v>
      </c>
      <c r="K10070" s="23" t="s">
        <v>950</v>
      </c>
      <c r="L10070" s="4" t="s">
        <v>47</v>
      </c>
    </row>
    <row r="10071" customFormat="false" ht="15" hidden="false" customHeight="false" outlineLevel="0" collapsed="false">
      <c r="A10071" s="1" t="s">
        <v>1080</v>
      </c>
      <c r="B10071" s="0" t="s">
        <v>98</v>
      </c>
      <c r="F10071" s="6" t="n">
        <f aca="false">Sens!F10052</f>
        <v>144.871961467137</v>
      </c>
      <c r="G10071" s="6" t="n">
        <f aca="false">Sens!G10052</f>
        <v>157.567903507137</v>
      </c>
      <c r="H10071" s="6" t="n">
        <f aca="false">Sens!H10052</f>
        <v>174.631511297515</v>
      </c>
      <c r="I10071" s="6" t="n">
        <f aca="false">Sens!I10052</f>
        <v>191.710974087887</v>
      </c>
      <c r="J10071" s="6" t="n">
        <f aca="false">Sens!J10052</f>
        <v>208.744878576916</v>
      </c>
      <c r="K10071" s="6" t="n">
        <f aca="false">Sens!K10052</f>
        <v>226.328876872473</v>
      </c>
    </row>
    <row r="10072" customFormat="false" ht="17.15" hidden="false" customHeight="false" outlineLevel="0" collapsed="false">
      <c r="A10072" s="1" t="s">
        <v>1102</v>
      </c>
      <c r="B10072" s="0" t="s">
        <v>98</v>
      </c>
      <c r="E10072" s="6" t="n">
        <f aca="false">Q!M38-Sens!E9990</f>
        <v>22.2285940229167</v>
      </c>
      <c r="F10072" s="6" t="n">
        <f aca="false">Sens!E10072*(1-1/life_nonai)+(Sens!F10080+Sens!F10081)/life_nonai</f>
        <v>23.588055741055</v>
      </c>
      <c r="G10072" s="6" t="n">
        <f aca="false">Sens!F10072*(1-1/life_nonai)+(Sens!G10080)/life_nonai</f>
        <v>25.3989044372861</v>
      </c>
      <c r="H10072" s="6" t="n">
        <f aca="false">Sens!G10072*(1-1/life_nonai)+(Sens!H10080)/life_nonai</f>
        <v>27.6481597140011</v>
      </c>
      <c r="I10072" s="6" t="n">
        <f aca="false">Sens!H10072*(1-1/life_nonai)+(Sens!I10080)/life_nonai</f>
        <v>30.2957045477721</v>
      </c>
      <c r="J10072" s="6" t="n">
        <f aca="false">Sens!I10072*(1-1/life_nonai)+(Sens!J10080)/life_nonai</f>
        <v>33.2885200997026</v>
      </c>
      <c r="K10072" s="6" t="n">
        <f aca="false">Sens!J10072*(1-1/life_nonai)+(Sens!K10080)/life_nonai</f>
        <v>36.5740498095782</v>
      </c>
      <c r="L10072" s="12" t="s">
        <v>1103</v>
      </c>
    </row>
    <row r="10073" customFormat="false" ht="17.15" hidden="false" customHeight="false" outlineLevel="0" collapsed="false">
      <c r="A10073" s="1" t="s">
        <v>1104</v>
      </c>
      <c r="B10073" s="0" t="s">
        <v>98</v>
      </c>
      <c r="F10073" s="6" t="n">
        <f aca="false">Sens!$F$10081/life_nonai*(1-1/life_nonai)^(Sens!F9953-2027)</f>
        <v>0</v>
      </c>
      <c r="G10073" s="6" t="n">
        <f aca="false">Sens!$F$10081/life_nonai*(1-1/life_nonai)^(Sens!G9953-2027)</f>
        <v>0</v>
      </c>
      <c r="H10073" s="6" t="n">
        <f aca="false">Sens!$F$10081/life_nonai*(1-1/life_nonai)^(Sens!H9953-2027)</f>
        <v>0</v>
      </c>
      <c r="I10073" s="6" t="n">
        <f aca="false">Sens!$F$10081/life_nonai*(1-1/life_nonai)^(Sens!I9953-2027)</f>
        <v>0</v>
      </c>
      <c r="J10073" s="6" t="n">
        <f aca="false">Sens!$F$10081/life_nonai*(1-1/life_nonai)^(Sens!J9953-2027)</f>
        <v>0</v>
      </c>
      <c r="K10073" s="6" t="n">
        <f aca="false">Sens!$F$10081/life_nonai*(1-1/life_nonai)^(Sens!K9953-2027)</f>
        <v>0</v>
      </c>
      <c r="L10073" s="1" t="s">
        <v>1105</v>
      </c>
    </row>
    <row r="10074" customFormat="false" ht="17.15" hidden="false" customHeight="false" outlineLevel="0" collapsed="false">
      <c r="A10074" s="1" t="s">
        <v>1106</v>
      </c>
      <c r="B10074" s="0" t="s">
        <v>98</v>
      </c>
      <c r="E10074" s="6" t="n">
        <f aca="false">Sens!E9990+Sens!E10072</f>
        <v>38.534</v>
      </c>
      <c r="F10074" s="6" t="n">
        <f aca="false">Sens!F9990+Sens!F10072</f>
        <v>58.1673702194066</v>
      </c>
      <c r="G10074" s="6" t="n">
        <f aca="false">Sens!G9990+Sens!G10072</f>
        <v>86.133395089585</v>
      </c>
      <c r="H10074" s="6" t="n">
        <f aca="false">Sens!H9990+Sens!H10072</f>
        <v>116.748250375447</v>
      </c>
      <c r="I10074" s="6" t="n">
        <f aca="false">Sens!I9990+Sens!I10072</f>
        <v>144.52671424232</v>
      </c>
      <c r="J10074" s="6" t="n">
        <f aca="false">Sens!J9990+Sens!J10072</f>
        <v>165.304193149299</v>
      </c>
      <c r="K10074" s="6" t="n">
        <f aca="false">Sens!K9990+Sens!K10072</f>
        <v>179.586719360512</v>
      </c>
    </row>
    <row r="10075" customFormat="false" ht="17.15" hidden="false" customHeight="false" outlineLevel="0" collapsed="false">
      <c r="A10075" s="1" t="s">
        <v>1107</v>
      </c>
      <c r="B10075" s="0" t="s">
        <v>98</v>
      </c>
      <c r="F10075" s="6" t="n">
        <f aca="false">Sens!F10017*sbc_r</f>
        <v>14.9319613115286</v>
      </c>
      <c r="G10075" s="6" t="n">
        <f aca="false">Sens!G10017*sbc_r</f>
        <v>17.8748118957557</v>
      </c>
      <c r="H10075" s="6" t="n">
        <f aca="false">Sens!H10017*sbc_r</f>
        <v>20.9298143898263</v>
      </c>
      <c r="I10075" s="6" t="n">
        <f aca="false">Sens!I10017*sbc_r</f>
        <v>23.8010679307966</v>
      </c>
      <c r="J10075" s="6" t="n">
        <f aca="false">Sens!J10017*sbc_r</f>
        <v>26.250043100748</v>
      </c>
      <c r="K10075" s="6" t="n">
        <f aca="false">Sens!K10017*sbc_r</f>
        <v>28.3396154106494</v>
      </c>
    </row>
    <row r="10076" customFormat="false" ht="17.15" hidden="false" customHeight="false" outlineLevel="0" collapsed="false">
      <c r="A10076" s="1" t="s">
        <v>1108</v>
      </c>
      <c r="B10076" s="0" t="s">
        <v>98</v>
      </c>
      <c r="F10076" s="6" t="n">
        <f aca="false">wc27-wc26q1</f>
        <v>-4.677</v>
      </c>
      <c r="G10076" s="6" t="n">
        <f aca="false">wc_f</f>
        <v>0</v>
      </c>
      <c r="H10076" s="6" t="n">
        <f aca="false">wc_f</f>
        <v>0</v>
      </c>
      <c r="I10076" s="6" t="n">
        <f aca="false">wc_f</f>
        <v>0</v>
      </c>
      <c r="J10076" s="6" t="n">
        <f aca="false">wc_f</f>
        <v>0</v>
      </c>
      <c r="K10076" s="6" t="n">
        <f aca="false">wc_f</f>
        <v>0</v>
      </c>
      <c r="L10076" s="12" t="s">
        <v>1109</v>
      </c>
    </row>
    <row r="10077" customFormat="false" ht="17.15" hidden="false" customHeight="false" outlineLevel="0" collapsed="false">
      <c r="A10077" s="0" t="s">
        <v>1110</v>
      </c>
      <c r="B10077" s="0" t="s">
        <v>98</v>
      </c>
      <c r="F10077" s="6" t="n">
        <f aca="false">Q!$I$35-Q!$I$26-Q!$I$38-Q!$I$39</f>
        <v>6.493</v>
      </c>
      <c r="L10077" s="1" t="s">
        <v>1111</v>
      </c>
    </row>
    <row r="10078" customFormat="false" ht="15" hidden="false" customHeight="false" outlineLevel="0" collapsed="false">
      <c r="A10078" s="1" t="s">
        <v>908</v>
      </c>
      <c r="B10078" s="0" t="s">
        <v>98</v>
      </c>
      <c r="E10078" s="6" t="n">
        <f aca="false">Q!M35</f>
        <v>182.935</v>
      </c>
      <c r="F10078" s="6" t="n">
        <f aca="false">Sens!F10071+Sens!F10074+Sens!F10075+Sens!F10076+Sens!F10077</f>
        <v>219.787292998072</v>
      </c>
      <c r="G10078" s="6" t="n">
        <f aca="false">Sens!G10071+Sens!G10074+Sens!G10075+Sens!G10076</f>
        <v>261.576110492478</v>
      </c>
      <c r="H10078" s="6" t="n">
        <f aca="false">Sens!H10071+Sens!H10074+Sens!H10075+Sens!H10076</f>
        <v>312.309576062788</v>
      </c>
      <c r="I10078" s="6" t="n">
        <f aca="false">Sens!I10071+Sens!I10074+Sens!I10075+Sens!I10076</f>
        <v>360.038756261004</v>
      </c>
      <c r="J10078" s="6" t="n">
        <f aca="false">Sens!J10071+Sens!J10074+Sens!J10075+Sens!J10076</f>
        <v>400.299114826962</v>
      </c>
      <c r="K10078" s="6" t="n">
        <f aca="false">Sens!K10071+Sens!K10074+Sens!K10075+Sens!K10076</f>
        <v>434.255211643635</v>
      </c>
    </row>
    <row r="10079" customFormat="false" ht="17.15" hidden="false" customHeight="false" outlineLevel="0" collapsed="false">
      <c r="A10079" s="0" t="s">
        <v>1112</v>
      </c>
      <c r="B10079" s="0" t="s">
        <v>98</v>
      </c>
      <c r="F10079" s="6" t="n">
        <f aca="false">Sens!F9987</f>
        <v>168.45390404212</v>
      </c>
      <c r="G10079" s="6" t="n">
        <f aca="false">Sens!G9987</f>
        <v>191.944475649048</v>
      </c>
      <c r="H10079" s="6" t="n">
        <f aca="false">Sens!H9987</f>
        <v>196.806004064512</v>
      </c>
      <c r="I10079" s="6" t="n">
        <f aca="false">Sens!I9987</f>
        <v>168.61483362161</v>
      </c>
      <c r="J10079" s="6" t="n">
        <f aca="false">Sens!J9987</f>
        <v>128.92993119594</v>
      </c>
      <c r="K10079" s="6" t="n">
        <f aca="false">Sens!K9987</f>
        <v>118.962853064733</v>
      </c>
    </row>
    <row r="10080" customFormat="false" ht="17.15" hidden="false" customHeight="false" outlineLevel="0" collapsed="false">
      <c r="A10080" s="1" t="s">
        <v>1113</v>
      </c>
      <c r="B10080" s="0" t="s">
        <v>98</v>
      </c>
      <c r="E10080" s="6" t="n">
        <f aca="false">Sens!E9995*cx_azo+Sens!E10002*cx_m365+Sens!E10003*cx_lic+(Sens!E10005+Sens!E10007)*cx_ind+Sens!E10010*cx_srch+(Sens!E10012+Sens!E10014)*cx_dev</f>
        <v>30.1846587067718</v>
      </c>
      <c r="F10080" s="6" t="n">
        <f aca="false">Sens!F9995*cx_azo+Sens!F10002*cx_m365+Sens!F10003*cx_lic+(Sens!F10005+Sens!F10007)*cx_ind+Sens!F10010*cx_srch+(Sens!F10012+Sens!F10014)*cx_dev</f>
        <v>35.8232112042996</v>
      </c>
      <c r="G10080" s="6" t="n">
        <f aca="false">Sens!G9995*cx_azo+Sens!G10002*cx_m365+Sens!G10003*cx_lic+(Sens!G10005+Sens!G10007)*cx_ind+Sens!G10010*cx_srch+(Sens!G10012+Sens!G10014)*cx_dev</f>
        <v>41.696542703366</v>
      </c>
      <c r="H10080" s="6" t="n">
        <f aca="false">Sens!H9995*cx_azo+Sens!H10002*cx_m365+Sens!H10003*cx_lic+(Sens!H10005+Sens!H10007)*cx_ind+Sens!H10010*cx_srch+(Sens!H10012+Sens!H10014)*cx_dev</f>
        <v>47.8914572044361</v>
      </c>
      <c r="I10080" s="6" t="n">
        <f aca="false">Sens!I9995*cx_azo+Sens!I10002*cx_m365+Sens!I10003*cx_lic+(Sens!I10005+Sens!I10007)*cx_ind+Sens!I10010*cx_srch+(Sens!I10012+Sens!I10014)*cx_dev</f>
        <v>54.1236080517118</v>
      </c>
      <c r="J10080" s="6" t="n">
        <f aca="false">Sens!J9995*cx_azo+Sens!J10002*cx_m365+Sens!J10003*cx_lic+(Sens!J10005+Sens!J10007)*cx_ind+Sens!J10010*cx_srch+(Sens!J10012+Sens!J10014)*cx_dev</f>
        <v>60.2238600670763</v>
      </c>
      <c r="K10080" s="6" t="n">
        <f aca="false">Sens!K9995*cx_azo+Sens!K10002*cx_m365+Sens!K10003*cx_lic+(Sens!K10005+Sens!K10007)*cx_ind+Sens!K10010*cx_srch+(Sens!K10012+Sens!K10014)*cx_dev</f>
        <v>66.143817198459</v>
      </c>
    </row>
    <row r="10081" customFormat="false" ht="17.15" hidden="false" customHeight="false" outlineLevel="0" collapsed="false">
      <c r="A10081" s="0" t="s">
        <v>1114</v>
      </c>
      <c r="B10081" s="0" t="s">
        <v>98</v>
      </c>
      <c r="F10081" s="6" t="n">
        <f aca="false">Sens!F9985</f>
        <v>0</v>
      </c>
      <c r="L10081" s="1" t="s">
        <v>1115</v>
      </c>
    </row>
    <row r="10082" customFormat="false" ht="17.15" hidden="false" customHeight="false" outlineLevel="0" collapsed="false">
      <c r="A10082" s="1" t="s">
        <v>1116</v>
      </c>
      <c r="B10082" s="0" t="s">
        <v>98</v>
      </c>
      <c r="E10082" s="6" t="n">
        <f aca="false">Q!M43</f>
        <v>145.3</v>
      </c>
      <c r="F10082" s="6" t="n">
        <f aca="false">Sens!F10079+Sens!F10080+Sens!F10081</f>
        <v>204.277115246419</v>
      </c>
      <c r="G10082" s="6" t="n">
        <f aca="false">Sens!G10079+Sens!G10080</f>
        <v>233.641018352414</v>
      </c>
      <c r="H10082" s="6" t="n">
        <f aca="false">Sens!H10079+Sens!H10080</f>
        <v>244.697461268948</v>
      </c>
      <c r="I10082" s="6" t="n">
        <f aca="false">Sens!I10079+Sens!I10080</f>
        <v>222.738441673322</v>
      </c>
      <c r="J10082" s="6" t="n">
        <f aca="false">Sens!J10079+Sens!J10080</f>
        <v>189.153791263017</v>
      </c>
      <c r="K10082" s="6" t="n">
        <f aca="false">Sens!K10079+Sens!K10080</f>
        <v>185.106670263192</v>
      </c>
      <c r="L10082" s="1" t="s">
        <v>1117</v>
      </c>
    </row>
    <row r="10083" customFormat="false" ht="15" hidden="false" customHeight="false" outlineLevel="0" collapsed="false">
      <c r="A10083" s="1" t="s">
        <v>1118</v>
      </c>
      <c r="B10083" s="0" t="s">
        <v>98</v>
      </c>
      <c r="E10083" s="6" t="n">
        <f aca="false">fl_liab</f>
        <v>66.594</v>
      </c>
      <c r="F10083" s="6" t="n">
        <f aca="false">Sens!E10083-Sens!F10084</f>
        <v>62.46973</v>
      </c>
      <c r="G10083" s="6" t="n">
        <f aca="false">Sens!F10083-Sens!G10084</f>
        <v>57.98686785</v>
      </c>
      <c r="H10083" s="6" t="n">
        <f aca="false">Sens!G10083-Sens!H10084</f>
        <v>53.92827690325</v>
      </c>
      <c r="I10083" s="6" t="n">
        <f aca="false">Sens!H10083-Sens!I10084</f>
        <v>49.7850493638962</v>
      </c>
      <c r="J10083" s="6" t="n">
        <f aca="false">Sens!I10083-Sens!J10084</f>
        <v>45.4823765852716</v>
      </c>
      <c r="K10083" s="6" t="n">
        <f aca="false">Sens!J10083-Sens!K10084</f>
        <v>40.9860835316088</v>
      </c>
    </row>
    <row r="10084" customFormat="false" ht="15" hidden="false" customHeight="false" outlineLevel="0" collapsed="false">
      <c r="A10084" s="1" t="s">
        <v>1119</v>
      </c>
      <c r="B10084" s="0" t="s">
        <v>98</v>
      </c>
      <c r="F10084" s="6" t="n">
        <f aca="false">fl_pay_27-Sens!E10083*fl_rate</f>
        <v>4.12427</v>
      </c>
      <c r="G10084" s="6" t="n">
        <f aca="false">fl_pay_28-Sens!F10083*fl_rate</f>
        <v>4.48286215</v>
      </c>
      <c r="H10084" s="6" t="n">
        <f aca="false">fl_pay_29-Sens!G10083*fl_rate</f>
        <v>4.05859094675</v>
      </c>
      <c r="I10084" s="6" t="n">
        <f aca="false">fl_pay_30-Sens!H10083*fl_rate</f>
        <v>4.14322753935375</v>
      </c>
      <c r="J10084" s="6" t="n">
        <f aca="false">fl_pay_31-Sens!I10083*fl_rate</f>
        <v>4.30267277862467</v>
      </c>
      <c r="K10084" s="6" t="n">
        <f aca="false">fl_pay_32-Sens!J10083*fl_rate</f>
        <v>4.49629305366278</v>
      </c>
    </row>
    <row r="10085" customFormat="false" ht="17.15" hidden="false" customHeight="false" outlineLevel="0" collapsed="false">
      <c r="A10085" s="1" t="s">
        <v>1120</v>
      </c>
      <c r="B10085" s="0" t="s">
        <v>98</v>
      </c>
      <c r="E10085" s="6" t="n">
        <f aca="false">Q!M35-Q!M36-Q!M44</f>
        <v>63.886</v>
      </c>
      <c r="F10085" s="6" t="n">
        <f aca="false">Sens!F10078-Sens!F10082-Sens!F10084</f>
        <v>11.3859077516526</v>
      </c>
      <c r="G10085" s="6" t="n">
        <f aca="false">Sens!G10078-Sens!G10082-Sens!G10084</f>
        <v>23.4522299900634</v>
      </c>
      <c r="H10085" s="6" t="n">
        <f aca="false">Sens!H10078-Sens!H10082-Sens!H10084</f>
        <v>63.5535238470894</v>
      </c>
      <c r="I10085" s="6" t="n">
        <f aca="false">Sens!I10078-Sens!I10082-Sens!I10084</f>
        <v>133.157087048328</v>
      </c>
      <c r="J10085" s="6" t="n">
        <f aca="false">Sens!J10078-Sens!J10082-Sens!J10084</f>
        <v>206.842650785321</v>
      </c>
      <c r="K10085" s="6" t="n">
        <f aca="false">Sens!K10078-Sens!K10082-Sens!K10084</f>
        <v>244.65224832678</v>
      </c>
      <c r="L10085" s="12" t="s">
        <v>1121</v>
      </c>
    </row>
    <row r="10086" customFormat="false" ht="15" hidden="false" customHeight="false" outlineLevel="0" collapsed="false">
      <c r="A10086" s="1" t="s">
        <v>1122</v>
      </c>
      <c r="B10086" s="0" t="s">
        <v>75</v>
      </c>
      <c r="F10086" s="8" t="n">
        <f aca="false">dps_27</f>
        <v>3.85</v>
      </c>
      <c r="G10086" s="8" t="n">
        <f aca="false">Sens!F10086*(1+dps_g)</f>
        <v>4.158</v>
      </c>
      <c r="H10086" s="8" t="n">
        <f aca="false">Sens!G10086*(1+dps_g)</f>
        <v>4.49064</v>
      </c>
      <c r="I10086" s="8" t="n">
        <f aca="false">Sens!H10086*(1+dps_g)</f>
        <v>4.8498912</v>
      </c>
      <c r="J10086" s="8" t="n">
        <f aca="false">Sens!I10086*(1+dps_g)</f>
        <v>5.237882496</v>
      </c>
      <c r="K10086" s="8" t="n">
        <f aca="false">Sens!J10086*(1+dps_g)</f>
        <v>5.65691309568</v>
      </c>
    </row>
    <row r="10087" customFormat="false" ht="17.15" hidden="false" customHeight="false" outlineLevel="0" collapsed="false">
      <c r="A10087" s="1" t="s">
        <v>1123</v>
      </c>
      <c r="B10087" s="0" t="s">
        <v>98</v>
      </c>
      <c r="E10087" s="6" t="n">
        <f aca="false">Q!M41</f>
        <v>26.445</v>
      </c>
      <c r="F10087" s="6" t="n">
        <f aca="false">Sens!F10086*Sens!E10096</f>
        <v>28.59395</v>
      </c>
      <c r="G10087" s="6" t="n">
        <f aca="false">Sens!G10086*Sens!F10096</f>
        <v>31.0656754324994</v>
      </c>
      <c r="H10087" s="6" t="n">
        <f aca="false">Sens!H10086*Sens!G10096</f>
        <v>33.7530082670994</v>
      </c>
      <c r="I10087" s="6" t="n">
        <f aca="false">Sens!I10086*Sens!H10096</f>
        <v>36.50368720554</v>
      </c>
      <c r="J10087" s="6" t="n">
        <f aca="false">Sens!J10086*Sens!I10096</f>
        <v>39.4918800673758</v>
      </c>
      <c r="K10087" s="6" t="n">
        <f aca="false">Sens!K10086*Sens!J10096</f>
        <v>42.7379847351441</v>
      </c>
      <c r="L10087" s="1" t="s">
        <v>1124</v>
      </c>
    </row>
    <row r="10088" customFormat="false" ht="15" hidden="false" customHeight="false" outlineLevel="0" collapsed="false">
      <c r="A10088" s="1" t="s">
        <v>1125</v>
      </c>
      <c r="B10088" s="0" t="s">
        <v>98</v>
      </c>
      <c r="E10088" s="6" t="n">
        <f aca="false">Sens!E10085-Sens!E10087</f>
        <v>37.441</v>
      </c>
      <c r="F10088" s="6" t="n">
        <f aca="false">Sens!F10085-Sens!F10087</f>
        <v>-17.2080422483474</v>
      </c>
      <c r="G10088" s="6" t="n">
        <f aca="false">Sens!G10085-Sens!G10087</f>
        <v>-7.61344544243602</v>
      </c>
      <c r="H10088" s="6" t="n">
        <f aca="false">Sens!H10085-Sens!H10087</f>
        <v>29.80051557999</v>
      </c>
      <c r="I10088" s="6" t="n">
        <f aca="false">Sens!I10085-Sens!I10087</f>
        <v>96.6533998427882</v>
      </c>
      <c r="J10088" s="6" t="n">
        <f aca="false">Sens!J10085-Sens!J10087</f>
        <v>167.350770717945</v>
      </c>
      <c r="K10088" s="6" t="n">
        <f aca="false">Sens!K10085-Sens!K10087</f>
        <v>201.914263591636</v>
      </c>
    </row>
    <row r="10089" customFormat="false" ht="15" hidden="false" customHeight="false" outlineLevel="0" collapsed="false">
      <c r="A10089" s="1" t="s">
        <v>1126</v>
      </c>
      <c r="B10089" s="0" t="s">
        <v>98</v>
      </c>
      <c r="F10089" s="6" t="n">
        <f aca="false">debt_mat_27</f>
        <v>9.25</v>
      </c>
      <c r="G10089" s="6" t="n">
        <f aca="false">debt_mat_28</f>
        <v>0</v>
      </c>
      <c r="H10089" s="6" t="n">
        <f aca="false">debt_mat_29</f>
        <v>2.001</v>
      </c>
      <c r="I10089" s="6" t="n">
        <f aca="false">debt_mat_30</f>
        <v>0</v>
      </c>
      <c r="J10089" s="6" t="n">
        <f aca="false">debt_mat_31</f>
        <v>0.5</v>
      </c>
      <c r="K10089" s="6" t="n">
        <f aca="false">debt_mat_32</f>
        <v>0</v>
      </c>
    </row>
    <row r="10090" customFormat="false" ht="15" hidden="false" customHeight="false" outlineLevel="0" collapsed="false">
      <c r="A10090" s="1" t="s">
        <v>1127</v>
      </c>
      <c r="B10090" s="0" t="s">
        <v>98</v>
      </c>
      <c r="E10090" s="6" t="n">
        <f aca="false">Q!M40</f>
        <v>22.271</v>
      </c>
      <c r="F10090" s="6" t="n">
        <f aca="false">MAX(0,MIN(bb_target,Sens!E10092+Sens!F10088-Sens!F10089-min_cash))</f>
        <v>0.384957751652607</v>
      </c>
      <c r="G10090" s="6" t="n">
        <f aca="false">MAX(0,MIN(bb_target,Sens!F10092+Sens!G10088-Sens!G10089-min_cash))</f>
        <v>0</v>
      </c>
      <c r="H10090" s="6" t="n">
        <f aca="false">MAX(0,MIN(bb_target,Sens!G10092+Sens!H10088-Sens!H10089-min_cash))</f>
        <v>22.271</v>
      </c>
      <c r="I10090" s="6" t="n">
        <f aca="false">MAX(0,MIN(bb_target,Sens!H10092+Sens!I10088-Sens!I10089-min_cash))</f>
        <v>22.271</v>
      </c>
      <c r="J10090" s="6" t="n">
        <f aca="false">MAX(0,MIN(bb_target,Sens!I10092+Sens!J10088-Sens!J10089-min_cash))</f>
        <v>22.271</v>
      </c>
      <c r="K10090" s="6" t="n">
        <f aca="false">MAX(0,MIN(bb_target,Sens!J10092+Sens!K10088-Sens!K10089-min_cash))</f>
        <v>22.271</v>
      </c>
    </row>
    <row r="10091" customFormat="false" ht="15" hidden="false" customHeight="false" outlineLevel="0" collapsed="false">
      <c r="A10091" s="1" t="s">
        <v>1128</v>
      </c>
      <c r="B10091" s="0" t="s">
        <v>98</v>
      </c>
      <c r="F10091" s="6" t="n">
        <f aca="false">MAX(0,min_cash-(Sens!E10092+Sens!F10088-Sens!F10089-Sens!F10090))</f>
        <v>0</v>
      </c>
      <c r="G10091" s="6" t="n">
        <f aca="false">MAX(0,min_cash-(Sens!F10092+Sens!G10088-Sens!G10089-Sens!G10090))</f>
        <v>7.61344544243602</v>
      </c>
      <c r="H10091" s="6" t="n">
        <f aca="false">MAX(0,min_cash-(Sens!G10092+Sens!H10088-Sens!H10089-Sens!H10090))</f>
        <v>0</v>
      </c>
      <c r="I10091" s="6" t="n">
        <f aca="false">MAX(0,min_cash-(Sens!H10092+Sens!I10088-Sens!I10089-Sens!I10090))</f>
        <v>0</v>
      </c>
      <c r="J10091" s="6" t="n">
        <f aca="false">MAX(0,min_cash-(Sens!I10092+Sens!J10088-Sens!J10089-Sens!J10090))</f>
        <v>0</v>
      </c>
      <c r="K10091" s="6" t="n">
        <f aca="false">MAX(0,min_cash-(Sens!J10092+Sens!K10088-Sens!K10089-Sens!K10090))</f>
        <v>0</v>
      </c>
    </row>
    <row r="10092" customFormat="false" ht="15" hidden="false" customHeight="false" outlineLevel="0" collapsed="false">
      <c r="A10092" s="1" t="s">
        <v>1129</v>
      </c>
      <c r="B10092" s="0" t="s">
        <v>98</v>
      </c>
      <c r="E10092" s="6" t="n">
        <f aca="false">cash_open</f>
        <v>76.843</v>
      </c>
      <c r="F10092" s="6" t="n">
        <f aca="false">Sens!E10092+Sens!F10088-Sens!F10089-Sens!F10090+Sens!F10091</f>
        <v>50</v>
      </c>
      <c r="G10092" s="6" t="n">
        <f aca="false">Sens!F10092+Sens!G10088-Sens!G10089-Sens!G10090+Sens!G10091</f>
        <v>50</v>
      </c>
      <c r="H10092" s="6" t="n">
        <f aca="false">Sens!G10092+Sens!H10088-Sens!H10089-Sens!H10090+Sens!H10091</f>
        <v>55.52851557999</v>
      </c>
      <c r="I10092" s="6" t="n">
        <f aca="false">Sens!H10092+Sens!I10088-Sens!I10089-Sens!I10090+Sens!I10091</f>
        <v>129.910915422778</v>
      </c>
      <c r="J10092" s="6" t="n">
        <f aca="false">Sens!I10092+Sens!J10088-Sens!J10089-Sens!J10090+Sens!J10091</f>
        <v>274.490686140723</v>
      </c>
      <c r="K10092" s="6" t="n">
        <f aca="false">Sens!J10092+Sens!K10088-Sens!K10089-Sens!K10090+Sens!K10091</f>
        <v>454.13394973236</v>
      </c>
    </row>
    <row r="10093" customFormat="false" ht="15" hidden="false" customHeight="false" outlineLevel="0" collapsed="false">
      <c r="A10093" s="1" t="s">
        <v>1130</v>
      </c>
      <c r="B10093" s="0" t="s">
        <v>98</v>
      </c>
      <c r="E10093" s="6" t="n">
        <f aca="false">debt_face</f>
        <v>46.136</v>
      </c>
      <c r="F10093" s="6" t="n">
        <f aca="false">Sens!E10093-Sens!F10089+Sens!F10091</f>
        <v>36.886</v>
      </c>
      <c r="G10093" s="6" t="n">
        <f aca="false">Sens!F10093-Sens!G10089+Sens!G10091</f>
        <v>44.499445442436</v>
      </c>
      <c r="H10093" s="6" t="n">
        <f aca="false">Sens!G10093-Sens!H10089+Sens!H10091</f>
        <v>42.498445442436</v>
      </c>
      <c r="I10093" s="6" t="n">
        <f aca="false">Sens!H10093-Sens!I10089+Sens!I10091</f>
        <v>42.498445442436</v>
      </c>
      <c r="J10093" s="6" t="n">
        <f aca="false">Sens!I10093-Sens!J10089+Sens!J10091</f>
        <v>41.998445442436</v>
      </c>
      <c r="K10093" s="6" t="n">
        <f aca="false">Sens!J10093-Sens!K10089+Sens!K10091</f>
        <v>41.998445442436</v>
      </c>
    </row>
    <row r="10094" customFormat="false" ht="15" hidden="false" customHeight="false" outlineLevel="0" collapsed="false">
      <c r="A10094" s="1" t="s">
        <v>1131</v>
      </c>
      <c r="B10094" s="0" t="s">
        <v>98</v>
      </c>
      <c r="E10094" s="6" t="n">
        <f aca="false">Sens!E10092-Sens!E10093</f>
        <v>30.707</v>
      </c>
      <c r="F10094" s="6" t="n">
        <f aca="false">Sens!F10092-Sens!F10093</f>
        <v>13.114</v>
      </c>
      <c r="G10094" s="6" t="n">
        <f aca="false">Sens!G10092-Sens!G10093</f>
        <v>5.50055455756397</v>
      </c>
      <c r="H10094" s="6" t="n">
        <f aca="false">Sens!H10092-Sens!H10093</f>
        <v>13.030070137554</v>
      </c>
      <c r="I10094" s="6" t="n">
        <f aca="false">Sens!I10092-Sens!I10093</f>
        <v>87.4124699803422</v>
      </c>
      <c r="J10094" s="6" t="n">
        <f aca="false">Sens!J10092-Sens!J10093</f>
        <v>232.492240698287</v>
      </c>
      <c r="K10094" s="6" t="n">
        <f aca="false">Sens!K10092-Sens!K10093</f>
        <v>412.135504289923</v>
      </c>
    </row>
    <row r="10095" customFormat="false" ht="15" hidden="false" customHeight="false" outlineLevel="0" collapsed="false">
      <c r="A10095" s="1" t="s">
        <v>1132</v>
      </c>
      <c r="B10095" s="0" t="s">
        <v>75</v>
      </c>
      <c r="F10095" s="30" t="n">
        <f aca="false">px*(1+bb_g)^(Sens!F9953-base_fy-mid_yr)</f>
        <v>551.84177959629</v>
      </c>
      <c r="G10095" s="30" t="n">
        <f aca="false">px*(1+bb_g)^(Sens!G9953-base_fy-mid_yr)</f>
        <v>595.989121963993</v>
      </c>
      <c r="H10095" s="30" t="n">
        <f aca="false">px*(1+bb_g)^(Sens!H9953-base_fy-mid_yr)</f>
        <v>643.668251721112</v>
      </c>
      <c r="I10095" s="30" t="n">
        <f aca="false">px*(1+bb_g)^(Sens!I9953-base_fy-mid_yr)</f>
        <v>695.161711858801</v>
      </c>
      <c r="J10095" s="30" t="n">
        <f aca="false">px*(1+bb_g)^(Sens!J9953-base_fy-mid_yr)</f>
        <v>750.774648807506</v>
      </c>
      <c r="K10095" s="30" t="n">
        <f aca="false">px*(1+bb_g)^(Sens!K9953-base_fy-mid_yr)</f>
        <v>810.836620712106</v>
      </c>
    </row>
    <row r="10096" customFormat="false" ht="15" hidden="false" customHeight="false" outlineLevel="0" collapsed="false">
      <c r="A10096" s="1" t="s">
        <v>1133</v>
      </c>
      <c r="B10096" s="1" t="s">
        <v>81</v>
      </c>
      <c r="E10096" s="15" t="n">
        <f aca="false">sh_out26</f>
        <v>7.427</v>
      </c>
      <c r="F10096" s="15" t="n">
        <f aca="false">Sens!E10096+sh_iss-Sens!F10090/Sens!F10095</f>
        <v>7.47130241281852</v>
      </c>
      <c r="G10096" s="15" t="n">
        <f aca="false">Sens!F10096+sh_iss-Sens!G10090/Sens!G10095</f>
        <v>7.51630241281852</v>
      </c>
      <c r="H10096" s="15" t="n">
        <f aca="false">Sens!G10096+sh_iss-Sens!H10090/Sens!H10095</f>
        <v>7.52670229087612</v>
      </c>
      <c r="I10096" s="15" t="n">
        <f aca="false">Sens!H10096+sh_iss-Sens!I10090/Sens!I10095</f>
        <v>7.53966514092946</v>
      </c>
      <c r="J10096" s="15" t="n">
        <f aca="false">Sens!I10096+sh_iss-Sens!J10090/Sens!J10095</f>
        <v>7.55500111320106</v>
      </c>
      <c r="K10096" s="15" t="n">
        <f aca="false">Sens!J10096+sh_iss-Sens!K10090/Sens!K10095</f>
        <v>7.57253442085996</v>
      </c>
    </row>
    <row r="10097" customFormat="false" ht="15" hidden="false" customHeight="false" outlineLevel="0" collapsed="false">
      <c r="A10097" s="1" t="s">
        <v>1134</v>
      </c>
      <c r="B10097" s="1" t="s">
        <v>81</v>
      </c>
      <c r="E10097" s="15" t="n">
        <f aca="false">sh_dil26</f>
        <v>7.453</v>
      </c>
      <c r="F10097" s="15" t="n">
        <f aca="false">(Sens!E10096+Sens!F10096)/2+dil_gap</f>
        <v>7.47315120640926</v>
      </c>
      <c r="G10097" s="15" t="n">
        <f aca="false">(Sens!F10096+Sens!G10096)/2+dil_gap</f>
        <v>7.51780241281852</v>
      </c>
      <c r="H10097" s="15" t="n">
        <f aca="false">(Sens!G10096+Sens!H10096)/2+dil_gap</f>
        <v>7.54550235184732</v>
      </c>
      <c r="I10097" s="15" t="n">
        <f aca="false">(Sens!H10096+Sens!I10096)/2+dil_gap</f>
        <v>7.55718371590279</v>
      </c>
      <c r="J10097" s="15" t="n">
        <f aca="false">(Sens!I10096+Sens!J10096)/2+dil_gap</f>
        <v>7.57133312706526</v>
      </c>
      <c r="K10097" s="15" t="n">
        <f aca="false">(Sens!J10096+Sens!K10096)/2+dil_gap</f>
        <v>7.58776776703051</v>
      </c>
    </row>
    <row r="10098" customFormat="false" ht="17.15" hidden="false" customHeight="false" outlineLevel="0" collapsed="false">
      <c r="A10098" s="1" t="s">
        <v>1135</v>
      </c>
      <c r="B10098" s="0" t="s">
        <v>98</v>
      </c>
      <c r="C10098" s="6" t="n">
        <f aca="false">SUM(Sens!F10088:J10088)</f>
        <v>268.98319844994</v>
      </c>
    </row>
    <row r="10099" customFormat="false" ht="15" hidden="false" customHeight="false" outlineLevel="0" collapsed="false">
      <c r="A10099" s="26" t="s">
        <v>1100</v>
      </c>
      <c r="B10099" s="31" t="s">
        <v>98</v>
      </c>
      <c r="C10099" s="27" t="n">
        <f aca="false">Sens!$C$10098-(Sens!F10088+Sens!G10088+Sens!H10088+Sens!I10088+Sens!J10088)</f>
        <v>0</v>
      </c>
      <c r="D10099" s="31"/>
      <c r="E10099" s="31"/>
      <c r="F10099" s="31"/>
      <c r="G10099" s="31"/>
      <c r="H10099" s="31"/>
      <c r="I10099" s="31"/>
      <c r="J10099" s="31"/>
      <c r="K10099" s="31"/>
    </row>
    <row r="10100" customFormat="false" ht="17.15" hidden="false" customHeight="false" outlineLevel="0" collapsed="false">
      <c r="A10100" s="1" t="s">
        <v>1094</v>
      </c>
      <c r="B10100" s="1" t="s">
        <v>1136</v>
      </c>
      <c r="C10100" s="33" t="str">
        <f aca="false">IF(SUM(Sens!F10091:J10091)&gt;0.05,"需要舉債 "&amp;TEXT(SUM(Sens!F10091:J10091),"0.0")&amp;" 十億美元","不需舉債")&amp;"；"&amp;IF(SUM(Sens!F10090:J10090)&lt;COUNT(Sens!F10090:J10090)*bb_target-0.05,"回購較每年 "&amp;TEXT(bb_target,"0.0")&amp;" 的目標少 "&amp;TEXT(COUNT(Sens!F10090:J10090)*bb_target-SUM(Sens!F10090:J10090),"0.0")&amp;" 十億美元（"&amp;TEXT(COUNTIF(Sens!F10090:J10090,"&lt;"&amp;(bb_target-0.05)),"0")&amp;" 年減少）","回購不減")</f>
        <v>需要舉債 7.6 十億美元；回購較每年 22.3 的目標少 44.2 十億美元（2 年減少）</v>
      </c>
    </row>
    <row r="10101" customFormat="false" ht="17.15" hidden="false" customHeight="false" outlineLevel="0" collapsed="false">
      <c r="A10101" s="3" t="s">
        <v>1864</v>
      </c>
    </row>
    <row r="10102" customFormat="false" ht="15" hidden="false" customHeight="false" outlineLevel="0" collapsed="false">
      <c r="A10102" s="4" t="s">
        <v>43</v>
      </c>
      <c r="B10102" s="4" t="s">
        <v>65</v>
      </c>
      <c r="C10102" s="23" t="s">
        <v>942</v>
      </c>
      <c r="D10102" s="23" t="s">
        <v>943</v>
      </c>
      <c r="E10102" s="23" t="s">
        <v>944</v>
      </c>
      <c r="F10102" s="23" t="s">
        <v>945</v>
      </c>
      <c r="G10102" s="23" t="s">
        <v>946</v>
      </c>
      <c r="H10102" s="23" t="s">
        <v>947</v>
      </c>
      <c r="I10102" s="23" t="s">
        <v>948</v>
      </c>
      <c r="J10102" s="23" t="s">
        <v>949</v>
      </c>
      <c r="K10102" s="23" t="s">
        <v>950</v>
      </c>
      <c r="L10102" s="4" t="s">
        <v>47</v>
      </c>
    </row>
    <row r="10103" customFormat="false" ht="17.15" hidden="false" customHeight="false" outlineLevel="0" collapsed="false">
      <c r="A10103" s="1" t="s">
        <v>1216</v>
      </c>
      <c r="B10103" s="1" t="s">
        <v>279</v>
      </c>
      <c r="F10103" s="8" t="n">
        <f aca="false">(1-v_off)*mid_yr</f>
        <v>0.373972602739726</v>
      </c>
      <c r="G10103" s="8" t="n">
        <f aca="false">Sens!G9953-base_fy-mid_yr-v_off</f>
        <v>1.24794520547945</v>
      </c>
      <c r="H10103" s="8" t="n">
        <f aca="false">Sens!H9953-base_fy-mid_yr-v_off</f>
        <v>2.24794520547945</v>
      </c>
      <c r="I10103" s="8" t="n">
        <f aca="false">Sens!I9953-base_fy-mid_yr-v_off</f>
        <v>3.24794520547945</v>
      </c>
      <c r="J10103" s="8" t="n">
        <f aca="false">Sens!J9953-base_fy-mid_yr-v_off</f>
        <v>4.24794520547945</v>
      </c>
      <c r="K10103" s="8" t="n">
        <f aca="false">Sens!K9953-base_fy-mid_yr-v_off</f>
        <v>5.24794520547945</v>
      </c>
      <c r="L10103" s="12" t="s">
        <v>1217</v>
      </c>
    </row>
    <row r="10104" customFormat="false" ht="15" hidden="false" customHeight="false" outlineLevel="0" collapsed="false">
      <c r="A10104" s="1" t="s">
        <v>1218</v>
      </c>
      <c r="B10104" s="1" t="s">
        <v>279</v>
      </c>
      <c r="F10104" s="8" t="n">
        <f aca="false">Sens!F9953-base_fy-v_off</f>
        <v>0.747945205479452</v>
      </c>
      <c r="G10104" s="8" t="n">
        <f aca="false">Sens!G9953-base_fy-v_off</f>
        <v>1.74794520547945</v>
      </c>
      <c r="H10104" s="8" t="n">
        <f aca="false">Sens!H9953-base_fy-v_off</f>
        <v>2.74794520547945</v>
      </c>
      <c r="I10104" s="8" t="n">
        <f aca="false">Sens!I9953-base_fy-v_off</f>
        <v>3.74794520547945</v>
      </c>
      <c r="J10104" s="8" t="n">
        <f aca="false">Sens!J9953-base_fy-v_off</f>
        <v>4.74794520547945</v>
      </c>
      <c r="K10104" s="8" t="n">
        <f aca="false">Sens!K9953-base_fy-v_off</f>
        <v>5.74794520547945</v>
      </c>
    </row>
    <row r="10105" customFormat="false" ht="15" hidden="false" customHeight="false" outlineLevel="0" collapsed="false">
      <c r="A10105" s="1" t="s">
        <v>1219</v>
      </c>
      <c r="B10105" s="0" t="s">
        <v>229</v>
      </c>
      <c r="F10105" s="15" t="n">
        <f aca="false">1/(1+wacc)^Sens!F10103</f>
        <v>0.964022703286649</v>
      </c>
      <c r="G10105" s="15" t="n">
        <f aca="false">1/(1+wacc)^Sens!G10103</f>
        <v>0.884910302296739</v>
      </c>
      <c r="H10105" s="15" t="n">
        <f aca="false">1/(1+wacc)^Sens!H10103</f>
        <v>0.802322009770358</v>
      </c>
      <c r="I10105" s="15" t="n">
        <f aca="false">1/(1+wacc)^Sens!I10103</f>
        <v>0.727441646561469</v>
      </c>
      <c r="J10105" s="15" t="n">
        <f aca="false">1/(1+wacc)^Sens!J10103</f>
        <v>0.659549834988973</v>
      </c>
      <c r="K10105" s="15" t="n">
        <f aca="false">1/(1+wacc)^Sens!K10103</f>
        <v>0.597994336576966</v>
      </c>
    </row>
    <row r="10106" customFormat="false" ht="17.15" hidden="false" customHeight="false" outlineLevel="0" collapsed="false">
      <c r="A10106" s="1" t="s">
        <v>1220</v>
      </c>
      <c r="B10106" s="0" t="s">
        <v>98</v>
      </c>
      <c r="F10106" s="6" t="n">
        <f aca="false">Q!$I$35-Q!$I$39-Q!$I$43</f>
        <v>9.666</v>
      </c>
      <c r="L10106" s="12" t="s">
        <v>1221</v>
      </c>
    </row>
    <row r="10107" customFormat="false" ht="17.15" hidden="false" customHeight="false" outlineLevel="0" collapsed="false">
      <c r="A10107" s="1" t="s">
        <v>1222</v>
      </c>
      <c r="B10107" s="0" t="s">
        <v>98</v>
      </c>
      <c r="F10107" s="6" t="n">
        <f aca="false">Sens!F10078-Sens!F10075-Sens!F10082+Sens!F10060*(1-tax_f)*(1-v_off)-Sens!F10106</f>
        <v>-3.25988859734454</v>
      </c>
      <c r="G10107" s="6" t="n">
        <f aca="false">Sens!G10078-Sens!G10075-Sens!G10082+Sens!G10060*(1-tax_f)</f>
        <v>30.2805511210915</v>
      </c>
      <c r="H10107" s="6" t="n">
        <f aca="false">Sens!H10078-Sens!H10075-Sens!H10082+Sens!H10060*(1-tax_f)</f>
        <v>80.5095206998489</v>
      </c>
      <c r="I10107" s="6" t="n">
        <f aca="false">Sens!I10078-Sens!I10075-Sens!I10082+Sens!I10060*(1-tax_f)</f>
        <v>159.66320157015</v>
      </c>
      <c r="J10107" s="6" t="n">
        <f aca="false">Sens!J10078-Sens!J10075-Sens!J10082+Sens!J10060*(1-tax_f)</f>
        <v>239.681562135854</v>
      </c>
      <c r="K10107" s="6" t="n">
        <f aca="false">Sens!K10078-Sens!K10075-Sens!K10082+Sens!K10060*(1-tax_f)</f>
        <v>280.296795965254</v>
      </c>
      <c r="L10107" s="1" t="s">
        <v>1223</v>
      </c>
    </row>
    <row r="10108" customFormat="false" ht="15" hidden="false" customHeight="false" outlineLevel="0" collapsed="false">
      <c r="A10108" s="1" t="s">
        <v>1224</v>
      </c>
      <c r="B10108" s="0" t="s">
        <v>98</v>
      </c>
      <c r="F10108" s="6" t="n">
        <f aca="false">Sens!F10107*Sens!F10105</f>
        <v>-3.1426066180254</v>
      </c>
      <c r="G10108" s="6" t="n">
        <f aca="false">Sens!G10107*Sens!G10105</f>
        <v>26.7955716462769</v>
      </c>
      <c r="H10108" s="6" t="n">
        <f aca="false">Sens!H10107*Sens!H10105</f>
        <v>64.594560453551</v>
      </c>
      <c r="I10108" s="6" t="n">
        <f aca="false">Sens!I10107*Sens!I10105</f>
        <v>116.145662245466</v>
      </c>
      <c r="J10108" s="6" t="n">
        <f aca="false">Sens!J10107*Sens!J10105</f>
        <v>158.081934756601</v>
      </c>
      <c r="K10108" s="6" t="n">
        <f aca="false">Sens!K10107*Sens!K10105</f>
        <v>167.615896547891</v>
      </c>
    </row>
    <row r="10109" customFormat="false" ht="17.15" hidden="false" customHeight="false" outlineLevel="0" collapsed="false">
      <c r="A10109" s="1" t="s">
        <v>1225</v>
      </c>
      <c r="B10109" s="0" t="s">
        <v>98</v>
      </c>
      <c r="C10109" s="6" t="n">
        <f aca="false">SUM(Sens!F10108:K10108)</f>
        <v>530.091019031761</v>
      </c>
    </row>
    <row r="10110" customFormat="false" ht="17.15" hidden="false" customHeight="false" outlineLevel="0" collapsed="false">
      <c r="A10110" s="1" t="s">
        <v>1226</v>
      </c>
      <c r="B10110" s="0" t="s">
        <v>98</v>
      </c>
      <c r="C10110" s="6" t="n">
        <f aca="false">Sens!K10046*(1+g_tv)*(1-tax_f)</f>
        <v>295.380049273971</v>
      </c>
    </row>
    <row r="10111" customFormat="false" ht="17.15" hidden="false" customHeight="false" outlineLevel="0" collapsed="false">
      <c r="A10111" s="1" t="s">
        <v>1227</v>
      </c>
      <c r="B10111" s="0" t="s">
        <v>98</v>
      </c>
      <c r="C10111" s="6" t="n">
        <f aca="false">Sens!$C$10110*(1-g_tv/(wacc+ronic_prem))</f>
        <v>209.294028775172</v>
      </c>
    </row>
    <row r="10112" customFormat="false" ht="17.15" hidden="false" customHeight="false" outlineLevel="0" collapsed="false">
      <c r="A10112" s="1" t="s">
        <v>1228</v>
      </c>
      <c r="B10112" s="0" t="s">
        <v>98</v>
      </c>
      <c r="C10112" s="6" t="n">
        <f aca="false">Sens!$C$10111/(wacc-g_tv)</f>
        <v>2869.53401662662</v>
      </c>
    </row>
    <row r="10113" customFormat="false" ht="15" hidden="false" customHeight="false" outlineLevel="0" collapsed="false">
      <c r="A10113" s="1" t="s">
        <v>1229</v>
      </c>
      <c r="B10113" s="0" t="s">
        <v>98</v>
      </c>
      <c r="C10113" s="6" t="n">
        <f aca="false">Sens!$C$10112/(1+wacc)^Sens!K10104</f>
        <v>1633.928980581</v>
      </c>
    </row>
    <row r="10114" customFormat="false" ht="17.15" hidden="false" customHeight="false" outlineLevel="0" collapsed="false">
      <c r="A10114" s="0" t="s">
        <v>1230</v>
      </c>
      <c r="B10114" s="0" t="s">
        <v>98</v>
      </c>
      <c r="C10114" s="6" t="n">
        <f aca="false">Sens!$C$10109+Sens!$C$10113</f>
        <v>2164.01999961276</v>
      </c>
    </row>
    <row r="10115" customFormat="false" ht="15" hidden="false" customHeight="false" outlineLevel="0" collapsed="false">
      <c r="A10115" s="1" t="s">
        <v>1145</v>
      </c>
      <c r="B10115" s="0" t="s">
        <v>168</v>
      </c>
      <c r="C10115" s="7" t="n">
        <f aca="false">Sens!$C$10113/Sens!$C$10114</f>
        <v>0.755043382627417</v>
      </c>
    </row>
    <row r="10116" customFormat="false" ht="17.15" hidden="false" customHeight="false" outlineLevel="0" collapsed="false">
      <c r="A10116" s="1" t="s">
        <v>1231</v>
      </c>
      <c r="B10116" s="0" t="s">
        <v>98</v>
      </c>
      <c r="C10116" s="6" t="n">
        <f aca="false">Sens!$C$10114+cash_val-debt_val-fl_val+oai_v</f>
        <v>2279.87099961276</v>
      </c>
    </row>
    <row r="10117" customFormat="false" ht="17.15" hidden="false" customHeight="false" outlineLevel="0" collapsed="false">
      <c r="A10117" s="0" t="s">
        <v>1153</v>
      </c>
      <c r="B10117" s="0" t="s">
        <v>75</v>
      </c>
      <c r="C10117" s="5" t="n">
        <f aca="false">Sens!$C$10116/shd_val</f>
        <v>306.187348860162</v>
      </c>
    </row>
    <row r="10118" customFormat="false" ht="15" hidden="false" customHeight="false" outlineLevel="0" collapsed="false">
      <c r="A10118" s="1" t="s">
        <v>1232</v>
      </c>
      <c r="B10118" s="0" t="s">
        <v>75</v>
      </c>
      <c r="C10118" s="8" t="n">
        <f aca="false">div_rem27+Sens!G10086*roll_div_q/q_per_yr</f>
        <v>3.9795</v>
      </c>
    </row>
    <row r="10119" customFormat="false" ht="17.15" hidden="false" customHeight="false" outlineLevel="0" collapsed="false">
      <c r="A10119" s="0" t="s">
        <v>1233</v>
      </c>
      <c r="B10119" s="0" t="s">
        <v>75</v>
      </c>
      <c r="C10119" s="5" t="n">
        <f aca="false">Sens!$C$10117*(1+wacc)^t_roll-Sens!$C$10118</f>
        <v>336.364826801758</v>
      </c>
    </row>
    <row r="10120" customFormat="false" ht="17.15" hidden="false" customHeight="false" outlineLevel="0" collapsed="false">
      <c r="A10120" s="1" t="s">
        <v>1234</v>
      </c>
      <c r="B10120" s="0" t="s">
        <v>168</v>
      </c>
      <c r="F10120" s="7" t="n">
        <f aca="false">Sens!F10072/(Sens!F10017-Sens!F9972)</f>
        <v>0.0685650555749162</v>
      </c>
      <c r="G10120" s="7" t="n">
        <f aca="false">Sens!G10072/(Sens!G10017-Sens!G9972)</f>
        <v>0.065652183548839</v>
      </c>
      <c r="H10120" s="7" t="n">
        <f aca="false">Sens!H10072/(Sens!H10017-Sens!H9972)</f>
        <v>0.064046904652494</v>
      </c>
      <c r="I10120" s="7" t="n">
        <f aca="false">Sens!I10072/(Sens!I10017-Sens!I9972)</f>
        <v>0.0636347594972775</v>
      </c>
      <c r="J10120" s="7" t="n">
        <f aca="false">Sens!J10072/(Sens!J10017-Sens!J9972)</f>
        <v>0.0641376243309058</v>
      </c>
      <c r="K10120" s="7" t="n">
        <f aca="false">Sens!K10072/(Sens!K10017-Sens!K9972)</f>
        <v>0.0652203587720254</v>
      </c>
    </row>
    <row r="10121" customFormat="false" ht="17.15" hidden="false" customHeight="false" outlineLevel="0" collapsed="false">
      <c r="A10121" s="0" t="s">
        <v>1235</v>
      </c>
      <c r="B10121" s="0" t="s">
        <v>98</v>
      </c>
      <c r="F10121" s="6" t="n">
        <f aca="false">Sens!F10002*(al_m365+Sens!F10120+sbc_r)</f>
        <v>83.7140977547826</v>
      </c>
      <c r="G10121" s="6" t="n">
        <f aca="false">Sens!G10002*(al_m365+Sens!G10120+sbc_r)</f>
        <v>96.1053638024752</v>
      </c>
      <c r="H10121" s="6" t="n">
        <f aca="false">Sens!H10002*(al_m365+Sens!H10120+sbc_r)</f>
        <v>108.650463505479</v>
      </c>
      <c r="I10121" s="6" t="n">
        <f aca="false">Sens!I10002*(al_m365+Sens!I10120+sbc_r)</f>
        <v>120.168750928389</v>
      </c>
      <c r="J10121" s="6" t="n">
        <f aca="false">Sens!J10002*(al_m365+Sens!J10120+sbc_r)</f>
        <v>130.472743274781</v>
      </c>
      <c r="K10121" s="6" t="n">
        <f aca="false">Sens!K10002*(al_m365+Sens!K10120+sbc_r)</f>
        <v>140.379873912971</v>
      </c>
      <c r="L10121" s="12" t="s">
        <v>1236</v>
      </c>
    </row>
    <row r="10122" customFormat="false" ht="17.15" hidden="false" customHeight="false" outlineLevel="0" collapsed="false">
      <c r="A10122" s="0" t="s">
        <v>1237</v>
      </c>
      <c r="B10122" s="0" t="s">
        <v>98</v>
      </c>
      <c r="F10122" s="6" t="n">
        <f aca="false">Sens!F10003*(al_lic+Sens!F10120+sbc_r)</f>
        <v>32.8556732936519</v>
      </c>
      <c r="G10122" s="6" t="n">
        <f aca="false">Sens!G10003*(al_lic+Sens!G10120+sbc_r)</f>
        <v>34.1303777891279</v>
      </c>
      <c r="H10122" s="6" t="n">
        <f aca="false">Sens!H10003*(al_lic+Sens!H10120+sbc_r)</f>
        <v>35.3183605892554</v>
      </c>
      <c r="I10122" s="6" t="n">
        <f aca="false">Sens!I10003*(al_lic+Sens!I10120+sbc_r)</f>
        <v>36.401680371516</v>
      </c>
      <c r="J10122" s="6" t="n">
        <f aca="false">Sens!J10003*(al_lic+Sens!J10120+sbc_r)</f>
        <v>37.3551164240106</v>
      </c>
      <c r="K10122" s="6" t="n">
        <f aca="false">Sens!K10003*(al_lic+Sens!K10120+sbc_r)</f>
        <v>38.1506669091164</v>
      </c>
    </row>
    <row r="10123" customFormat="false" ht="17.15" hidden="false" customHeight="false" outlineLevel="0" collapsed="false">
      <c r="A10123" s="0" t="s">
        <v>1238</v>
      </c>
      <c r="B10123" s="0" t="s">
        <v>98</v>
      </c>
      <c r="F10123" s="6" t="n">
        <f aca="false">Sens!F10005*(al_ind+Sens!F10120+sbc_r)</f>
        <v>9.05920052659852</v>
      </c>
      <c r="G10123" s="6" t="n">
        <f aca="false">Sens!G10005*(al_ind+Sens!G10120+sbc_r)</f>
        <v>9.83177122063388</v>
      </c>
      <c r="H10123" s="6" t="n">
        <f aca="false">Sens!H10005*(al_ind+Sens!H10120+sbc_r)</f>
        <v>10.6479270022151</v>
      </c>
      <c r="I10123" s="6" t="n">
        <f aca="false">Sens!I10005*(al_ind+Sens!I10120+sbc_r)</f>
        <v>11.5045690182738</v>
      </c>
      <c r="J10123" s="6" t="n">
        <f aca="false">Sens!J10005*(al_ind+Sens!J10120+sbc_r)</f>
        <v>12.3919162126903</v>
      </c>
      <c r="K10123" s="6" t="n">
        <f aca="false">Sens!K10005*(al_ind+Sens!K10120+sbc_r)</f>
        <v>13.2951053479846</v>
      </c>
    </row>
    <row r="10124" customFormat="false" ht="17.15" hidden="false" customHeight="false" outlineLevel="0" collapsed="false">
      <c r="A10124" s="0" t="s">
        <v>1239</v>
      </c>
      <c r="B10124" s="0" t="s">
        <v>98</v>
      </c>
      <c r="F10124" s="6" t="n">
        <f aca="false">Sens!F10007*(al_fro+Sens!F10120+sbc_r)</f>
        <v>3.55355232497918</v>
      </c>
      <c r="G10124" s="6" t="n">
        <f aca="false">Sens!G10007*(al_fro+Sens!G10120+sbc_r)</f>
        <v>3.76192381829014</v>
      </c>
      <c r="H10124" s="6" t="n">
        <f aca="false">Sens!H10007*(al_fro+Sens!H10120+sbc_r)</f>
        <v>3.99879633958883</v>
      </c>
      <c r="I10124" s="6" t="n">
        <f aca="false">Sens!I10007*(al_fro+Sens!I10120+sbc_r)</f>
        <v>4.26690632805323</v>
      </c>
      <c r="J10124" s="6" t="n">
        <f aca="false">Sens!J10007*(al_fro+Sens!J10120+sbc_r)</f>
        <v>4.56735094657798</v>
      </c>
      <c r="K10124" s="6" t="n">
        <f aca="false">Sens!K10007*(al_fro+Sens!K10120+sbc_r)</f>
        <v>4.90024391334943</v>
      </c>
    </row>
    <row r="10125" customFormat="false" ht="17.15" hidden="false" customHeight="false" outlineLevel="0" collapsed="false">
      <c r="A10125" s="0" t="s">
        <v>1240</v>
      </c>
      <c r="B10125" s="0" t="s">
        <v>98</v>
      </c>
      <c r="F10125" s="6" t="n">
        <f aca="false">Sens!F10010*(al_srch+Sens!F10120+sbc_r)</f>
        <v>11.1875880117267</v>
      </c>
      <c r="G10125" s="6" t="n">
        <f aca="false">Sens!G10010*(al_srch+Sens!G10120+sbc_r)</f>
        <v>12.2562294357749</v>
      </c>
      <c r="H10125" s="6" t="n">
        <f aca="false">Sens!H10010*(al_srch+Sens!H10120+sbc_r)</f>
        <v>13.3680754317865</v>
      </c>
      <c r="I10125" s="6" t="n">
        <f aca="false">Sens!I10010*(al_srch+Sens!I10120+sbc_r)</f>
        <v>14.5124262640918</v>
      </c>
      <c r="J10125" s="6" t="n">
        <f aca="false">Sens!J10010*(al_srch+Sens!J10120+sbc_r)</f>
        <v>15.6692368257128</v>
      </c>
      <c r="K10125" s="6" t="n">
        <f aca="false">Sens!K10010*(al_srch+Sens!K10120+sbc_r)</f>
        <v>16.8112946169723</v>
      </c>
    </row>
    <row r="10126" customFormat="false" ht="17.15" hidden="false" customHeight="false" outlineLevel="0" collapsed="false">
      <c r="A10126" s="0" t="s">
        <v>1241</v>
      </c>
      <c r="B10126" s="0" t="s">
        <v>98</v>
      </c>
      <c r="F10126" s="6" t="n">
        <f aca="false">Sens!F9978-Sens!F9979+Sens!F10060</f>
        <v>42.5431090240393</v>
      </c>
      <c r="G10126" s="6" t="n">
        <f aca="false">Sens!G9978-Sens!G9979+Sens!G10060</f>
        <v>81.4922561130847</v>
      </c>
      <c r="H10126" s="6" t="n">
        <f aca="false">Sens!H9978-Sens!H9979+Sens!H10060</f>
        <v>123.278266211349</v>
      </c>
      <c r="I10126" s="6" t="n">
        <f aca="false">Sens!I9978-Sens!I9979+Sens!I10060</f>
        <v>160.60594185192</v>
      </c>
      <c r="J10126" s="6" t="n">
        <f aca="false">Sens!J9978-Sens!J9979+Sens!J10060</f>
        <v>186.818741832633</v>
      </c>
      <c r="K10126" s="6" t="n">
        <f aca="false">Sens!K9978-Sens!K9979+Sens!K10060</f>
        <v>202.776422159652</v>
      </c>
    </row>
    <row r="10127" customFormat="false" ht="17.15" hidden="false" customHeight="false" outlineLevel="0" collapsed="false">
      <c r="A10127" s="0" t="s">
        <v>1242</v>
      </c>
      <c r="B10127" s="0" t="s">
        <v>98</v>
      </c>
      <c r="F10127" s="6" t="n">
        <f aca="false">Sens!F10039+Sens!F10060+Sens!F9990+Sens!F10120*(Sens!F10009-Sens!F9972)+sbc_r*Sens!F10009</f>
        <v>238.327744765605</v>
      </c>
      <c r="G10127" s="6" t="n">
        <f aca="false">Sens!G10039+Sens!G10060+Sens!G9990+Sens!G10120*(Sens!G10009-Sens!G9972)+sbc_r*Sens!G10009</f>
        <v>300.983346401947</v>
      </c>
      <c r="H10127" s="6" t="n">
        <f aca="false">Sens!H10039+Sens!H10060+Sens!H9990+Sens!H10120*(Sens!H10009-Sens!H9972)+sbc_r*Sens!H10009</f>
        <v>372.128231619478</v>
      </c>
      <c r="I10127" s="6" t="n">
        <f aca="false">Sens!I10039+Sens!I10060+Sens!I9990+Sens!I10120*(Sens!I10009-Sens!I9972)+sbc_r*Sens!I10009</f>
        <v>438.452103942412</v>
      </c>
      <c r="J10127" s="6" t="n">
        <f aca="false">Sens!J10039+Sens!J10060+Sens!J9990+Sens!J10120*(Sens!J10009-Sens!J9972)+sbc_r*Sens!J10009</f>
        <v>492.455096024826</v>
      </c>
      <c r="K10127" s="6" t="n">
        <f aca="false">Sens!K10039+Sens!K10060+Sens!K9990+Sens!K10120*(Sens!K10009-Sens!K9972)+sbc_r*Sens!K10009</f>
        <v>535.229235079187</v>
      </c>
    </row>
    <row r="10128" customFormat="false" ht="17.15" hidden="false" customHeight="false" outlineLevel="0" collapsed="false">
      <c r="A10128" s="0" t="s">
        <v>1243</v>
      </c>
      <c r="B10128" s="0" t="s">
        <v>98</v>
      </c>
      <c r="F10128" s="6" t="n">
        <f aca="false">Sens!F10127-Sens!F10121-Sens!F10122-Sens!F10123-Sens!F10124-Sens!F10126</f>
        <v>66.6021118415535</v>
      </c>
      <c r="G10128" s="6" t="n">
        <f aca="false">Sens!G10127-Sens!G10121-Sens!G10122-Sens!G10123-Sens!G10124-Sens!G10126</f>
        <v>75.6616536583348</v>
      </c>
      <c r="H10128" s="6" t="n">
        <f aca="false">Sens!H10127-Sens!H10121-Sens!H10122-Sens!H10123-Sens!H10124-Sens!H10126</f>
        <v>90.2344179715911</v>
      </c>
      <c r="I10128" s="6" t="n">
        <f aca="false">Sens!I10127-Sens!I10121-Sens!I10122-Sens!I10123-Sens!I10124-Sens!I10126</f>
        <v>105.504255444261</v>
      </c>
      <c r="J10128" s="6" t="n">
        <f aca="false">Sens!J10127-Sens!J10121-Sens!J10122-Sens!J10123-Sens!J10124-Sens!J10126</f>
        <v>120.849227334134</v>
      </c>
      <c r="K10128" s="6" t="n">
        <f aca="false">Sens!K10127-Sens!K10121-Sens!K10122-Sens!K10123-Sens!K10124-Sens!K10126</f>
        <v>135.726922836113</v>
      </c>
    </row>
    <row r="10129" customFormat="false" ht="17.15" hidden="false" customHeight="false" outlineLevel="0" collapsed="false">
      <c r="A10129" s="0" t="s">
        <v>1244</v>
      </c>
      <c r="B10129" s="0" t="s">
        <v>98</v>
      </c>
      <c r="F10129" s="6" t="n">
        <f aca="false">Sens!F10041+Sens!F10120*Sens!F10016+sbc_r*Sens!F10016</f>
        <v>26.6301313708808</v>
      </c>
      <c r="G10129" s="6" t="n">
        <f aca="false">Sens!G10041+Sens!G10120*Sens!G10016+sbc_r*Sens!G10016</f>
        <v>26.4600785632949</v>
      </c>
      <c r="H10129" s="6" t="n">
        <f aca="false">Sens!H10041+Sens!H10120*Sens!H10016+sbc_r*Sens!H10016</f>
        <v>27.323247637483</v>
      </c>
      <c r="I10129" s="6" t="n">
        <f aca="false">Sens!I10041+Sens!I10120*Sens!I10016+sbc_r*Sens!I10016</f>
        <v>28.4193394821443</v>
      </c>
      <c r="J10129" s="6" t="n">
        <f aca="false">Sens!J10041+Sens!J10120*Sens!J10016+sbc_r*Sens!J10016</f>
        <v>29.7130905371851</v>
      </c>
      <c r="K10129" s="6" t="n">
        <f aca="false">Sens!K10041+Sens!K10120*Sens!K10016+sbc_r*Sens!K10016</f>
        <v>31.1680332768914</v>
      </c>
    </row>
    <row r="10130" customFormat="false" ht="17.15" hidden="false" customHeight="false" outlineLevel="0" collapsed="false">
      <c r="A10130" s="0" t="s">
        <v>1245</v>
      </c>
      <c r="B10130" s="0" t="s">
        <v>98</v>
      </c>
      <c r="F10130" s="6" t="n">
        <f aca="false">(Sens!F10129-Sens!F10125)*Sens!F10012/(Sens!F10012+Sens!F10014)</f>
        <v>8.72172485814738</v>
      </c>
      <c r="G10130" s="6" t="n">
        <f aca="false">(Sens!G10129-Sens!G10125)*Sens!G10012/(Sens!G10012+Sens!G10014)</f>
        <v>7.88425768996865</v>
      </c>
      <c r="H10130" s="6" t="n">
        <f aca="false">(Sens!H10129-Sens!H10125)*Sens!H10012/(Sens!H10012+Sens!H10014)</f>
        <v>7.64531202262296</v>
      </c>
      <c r="I10130" s="6" t="n">
        <f aca="false">(Sens!I10129-Sens!I10125)*Sens!I10012/(Sens!I10012+Sens!I10014)</f>
        <v>7.5523724506933</v>
      </c>
      <c r="J10130" s="6" t="n">
        <f aca="false">(Sens!J10129-Sens!J10125)*Sens!J10012/(Sens!J10012+Sens!J10014)</f>
        <v>7.59346507723052</v>
      </c>
      <c r="K10130" s="6" t="n">
        <f aca="false">(Sens!K10129-Sens!K10125)*Sens!K10012/(Sens!K10012+Sens!K10014)</f>
        <v>7.76264093010066</v>
      </c>
    </row>
    <row r="10131" customFormat="false" ht="17.15" hidden="false" customHeight="false" outlineLevel="0" collapsed="false">
      <c r="A10131" s="0" t="s">
        <v>1246</v>
      </c>
      <c r="B10131" s="0" t="s">
        <v>98</v>
      </c>
      <c r="F10131" s="6" t="n">
        <f aca="false">Sens!F10129-Sens!F10125-Sens!F10130</f>
        <v>6.72081850100678</v>
      </c>
      <c r="G10131" s="6" t="n">
        <f aca="false">Sens!G10129-Sens!G10125-Sens!G10130</f>
        <v>6.3195914375514</v>
      </c>
      <c r="H10131" s="6" t="n">
        <f aca="false">Sens!H10129-Sens!H10125-Sens!H10130</f>
        <v>6.3098601830735</v>
      </c>
      <c r="I10131" s="6" t="n">
        <f aca="false">Sens!I10129-Sens!I10125-Sens!I10130</f>
        <v>6.35454076735919</v>
      </c>
      <c r="J10131" s="6" t="n">
        <f aca="false">Sens!J10129-Sens!J10125-Sens!J10130</f>
        <v>6.45038863424174</v>
      </c>
      <c r="K10131" s="6" t="n">
        <f aca="false">Sens!K10129-Sens!K10125-Sens!K10130</f>
        <v>6.59409772981839</v>
      </c>
    </row>
    <row r="10132" customFormat="false" ht="17.15" hidden="false" customHeight="false" outlineLevel="0" collapsed="false">
      <c r="A10132" s="0" t="s">
        <v>1247</v>
      </c>
      <c r="B10132" s="0" t="s">
        <v>98</v>
      </c>
      <c r="F10132" s="6" t="n">
        <f aca="false">Sens!F10126-tax_f*(Sens!F10126-Sens!F9990)-Sens!F9987</f>
        <v>-127.503553927218</v>
      </c>
      <c r="G10132" s="6" t="n">
        <f aca="false">Sens!G10126-tax_f*(Sens!G10126-Sens!G9990)-Sens!G9987</f>
        <v>-114.603772628121</v>
      </c>
      <c r="H10132" s="6" t="n">
        <f aca="false">Sens!H10126-tax_f*(Sens!H10126-Sens!H9990)-Sens!H9987</f>
        <v>-80.3633729631438</v>
      </c>
      <c r="I10132" s="6" t="n">
        <f aca="false">Sens!I10126-tax_f*(Sens!I10126-Sens!I9990)-Sens!I9987</f>
        <v>-17.2838782011649</v>
      </c>
      <c r="J10132" s="6" t="n">
        <f aca="false">Sens!J10126-tax_f*(Sens!J10126-Sens!J9990)-Sens!J9987</f>
        <v>46.9281968800854</v>
      </c>
      <c r="K10132" s="6" t="n">
        <f aca="false">Sens!K10126-tax_f*(Sens!K10126-Sens!K9990)-Sens!K9987</f>
        <v>71.8608185731755</v>
      </c>
    </row>
    <row r="10133" customFormat="false" ht="17.15" hidden="false" customHeight="false" outlineLevel="0" collapsed="false">
      <c r="A10133" s="0" t="s">
        <v>1248</v>
      </c>
      <c r="B10133" s="0" t="s">
        <v>98</v>
      </c>
      <c r="G10133" s="6" t="n">
        <f aca="false">Sens!G10132/(1+wacc)^(Sens!G10103-Sens!F10104)</f>
        <v>-109.124845494465</v>
      </c>
      <c r="H10133" s="6" t="n">
        <f aca="false">Sens!H10132/(1+wacc)^(Sens!H10103-Sens!F10104)</f>
        <v>-69.3796874071025</v>
      </c>
      <c r="I10133" s="6" t="n">
        <f aca="false">Sens!I10132/(1+wacc)^(Sens!I10103-Sens!F10104)</f>
        <v>-13.5289731380471</v>
      </c>
      <c r="J10133" s="6" t="n">
        <f aca="false">Sens!J10132/(1+wacc)^(Sens!J10103-Sens!F10104)</f>
        <v>33.3048099587126</v>
      </c>
      <c r="K10133" s="6" t="n">
        <f aca="false">Sens!K10132/(1+wacc)^(Sens!K10103-Sens!F10104)</f>
        <v>46.2396679904913</v>
      </c>
      <c r="L10133" s="1" t="s">
        <v>1249</v>
      </c>
    </row>
    <row r="10134" customFormat="false" ht="17.15" hidden="false" customHeight="false" outlineLevel="0" collapsed="false">
      <c r="A10134" s="0" t="s">
        <v>1250</v>
      </c>
      <c r="B10134" s="0" t="s">
        <v>98</v>
      </c>
      <c r="C10134" s="6" t="n">
        <f aca="false">(Sens!K10126-Sens!K9990)*(1-tax_f)*(1+g_tv)*(1-g_tv/(wacc+ronic_prem))/(wacc-g_tv)/(1+wacc)^(Sens!K10104-Sens!F10104)</f>
        <v>293.118051086843</v>
      </c>
    </row>
    <row r="10135" customFormat="false" ht="17.15" hidden="false" customHeight="false" outlineLevel="0" collapsed="false">
      <c r="A10135" s="1" t="s">
        <v>1251</v>
      </c>
      <c r="B10135" s="0" t="s">
        <v>98</v>
      </c>
      <c r="C10135" s="6" t="n">
        <f aca="false">(SUM(Sens!G10133:K10133)+Sens!$C$10134)*(1+wacc)^(t_roll-Sens!F10104)</f>
        <v>186.592133308255</v>
      </c>
      <c r="L10135" s="12" t="s">
        <v>1252</v>
      </c>
    </row>
    <row r="10136" customFormat="false" ht="17.15" hidden="false" customHeight="false" outlineLevel="0" collapsed="false">
      <c r="A10136" s="1" t="s">
        <v>1253</v>
      </c>
      <c r="B10136" s="0" t="s">
        <v>98</v>
      </c>
      <c r="C10136" s="6" t="n">
        <f aca="false">(w_ntm28*Sens!G9978+(1-w_ntm28)*Sens!H9978)*m_ai</f>
        <v>463.789109510335</v>
      </c>
    </row>
    <row r="10137" customFormat="false" ht="17.15" hidden="false" customHeight="false" outlineLevel="0" collapsed="false">
      <c r="A10137" s="1" t="s">
        <v>1254</v>
      </c>
      <c r="B10137" s="0" t="s">
        <v>98</v>
      </c>
      <c r="C10137" s="6" t="n">
        <f aca="false">(w_ntm28*Sens!G10128+(1-w_ntm28)*Sens!H10128)*m_cloud</f>
        <v>1111.85630653655</v>
      </c>
    </row>
    <row r="10138" customFormat="false" ht="17.15" hidden="false" customHeight="false" outlineLevel="0" collapsed="false">
      <c r="A10138" s="1" t="s">
        <v>1255</v>
      </c>
      <c r="B10138" s="0" t="s">
        <v>98</v>
      </c>
      <c r="C10138" s="6" t="n">
        <f aca="false">(w_ntm28*Sens!G10121+(1-w_ntm28)*Sens!H10121)*m_sw</f>
        <v>1082.48162554644</v>
      </c>
    </row>
    <row r="10139" customFormat="false" ht="17.15" hidden="false" customHeight="false" outlineLevel="0" collapsed="false">
      <c r="A10139" s="1" t="s">
        <v>1256</v>
      </c>
      <c r="B10139" s="0" t="s">
        <v>98</v>
      </c>
      <c r="C10139" s="6" t="n">
        <f aca="false">(w_ntm28*Sens!G10122+(1-w_ntm28)*Sens!H10122)*m_sw</f>
        <v>372.826232749884</v>
      </c>
    </row>
    <row r="10140" customFormat="false" ht="17.15" hidden="false" customHeight="false" outlineLevel="0" collapsed="false">
      <c r="A10140" s="1" t="s">
        <v>1257</v>
      </c>
      <c r="B10140" s="0" t="s">
        <v>98</v>
      </c>
      <c r="C10140" s="6" t="n">
        <f aca="false">(w_ntm28*Sens!G10123+(1-w_ntm28)*Sens!H10123)*m_sw</f>
        <v>109.081041218269</v>
      </c>
    </row>
    <row r="10141" customFormat="false" ht="17.15" hidden="false" customHeight="false" outlineLevel="0" collapsed="false">
      <c r="A10141" s="1" t="s">
        <v>1258</v>
      </c>
      <c r="B10141" s="0" t="s">
        <v>98</v>
      </c>
      <c r="C10141" s="6" t="n">
        <f aca="false">(w_ntm28*Sens!G10124+(1-w_ntm28)*Sens!H10124)*m_sw</f>
        <v>41.4698369295968</v>
      </c>
    </row>
    <row r="10142" customFormat="false" ht="17.15" hidden="false" customHeight="false" outlineLevel="0" collapsed="false">
      <c r="A10142" s="1" t="s">
        <v>1259</v>
      </c>
      <c r="B10142" s="0" t="s">
        <v>98</v>
      </c>
      <c r="C10142" s="6" t="n">
        <f aca="false">(w_ntm28*Sens!G10125+(1-w_ntm28)*Sens!H10125)*m_ads</f>
        <v>114.984305071799</v>
      </c>
    </row>
    <row r="10143" customFormat="false" ht="17.15" hidden="false" customHeight="false" outlineLevel="0" collapsed="false">
      <c r="A10143" s="1" t="s">
        <v>1260</v>
      </c>
      <c r="B10143" s="0" t="s">
        <v>98</v>
      </c>
      <c r="C10143" s="6" t="n">
        <f aca="false">(w_ntm28*Sens!G10130+(1-w_ntm28)*Sens!H10130)*m_game</f>
        <v>98.585993656005</v>
      </c>
    </row>
    <row r="10144" customFormat="false" ht="17.15" hidden="false" customHeight="false" outlineLevel="0" collapsed="false">
      <c r="A10144" s="1" t="s">
        <v>1261</v>
      </c>
      <c r="B10144" s="0" t="s">
        <v>98</v>
      </c>
      <c r="C10144" s="6" t="n">
        <f aca="false">(w_ntm28*Sens!G10131+(1-w_ntm28)*Sens!H10131)*m_pc</f>
        <v>91.3981939910251</v>
      </c>
    </row>
    <row r="10145" customFormat="false" ht="17.15" hidden="false" customHeight="false" outlineLevel="0" collapsed="false">
      <c r="A10145" s="1" t="s">
        <v>1262</v>
      </c>
      <c r="B10145" s="0" t="s">
        <v>98</v>
      </c>
      <c r="C10145" s="6" t="n">
        <f aca="false">Sens!$C$10135+Sens!$C$10137+Sens!$C$10138+Sens!$C$10139+Sens!$C$10140+Sens!$C$10141+Sens!$C$10142+Sens!$C$10143+Sens!$C$10144</f>
        <v>3209.27566900783</v>
      </c>
    </row>
    <row r="10146" customFormat="false" ht="17.15" hidden="false" customHeight="false" outlineLevel="0" collapsed="false">
      <c r="A10146" s="1" t="s">
        <v>1263</v>
      </c>
      <c r="B10146" s="0" t="s">
        <v>98</v>
      </c>
      <c r="C10146" s="6" t="n">
        <f aca="false">(Sens!G10107-Sens!G10132)*t_stub</f>
        <v>48.0301456812456</v>
      </c>
      <c r="L10146" s="1" t="s">
        <v>1264</v>
      </c>
    </row>
    <row r="10147" customFormat="false" ht="17.15" hidden="false" customHeight="false" outlineLevel="0" collapsed="false">
      <c r="A10147" s="1" t="s">
        <v>1173</v>
      </c>
      <c r="B10147" s="0" t="s">
        <v>98</v>
      </c>
      <c r="C10147" s="6" t="n">
        <f aca="false">Sens!F10094+oai_v-Sens!F10083+Sens!$C$10146</f>
        <v>162.258415681246</v>
      </c>
      <c r="L10147" s="1" t="s">
        <v>1265</v>
      </c>
    </row>
    <row r="10148" customFormat="false" ht="17.15" hidden="false" customHeight="false" outlineLevel="0" collapsed="false">
      <c r="A10148" s="1" t="s">
        <v>1266</v>
      </c>
      <c r="B10148" s="0" t="s">
        <v>75</v>
      </c>
      <c r="C10148" s="5" t="n">
        <f aca="false">(Sens!$C$10145+Sens!$C$10147)/(Sens!F10096+dil_gap)-Sens!G10086*roll_div_q/q_per_yr</f>
        <v>448.78012020946</v>
      </c>
      <c r="L10148" s="1" t="s">
        <v>1267</v>
      </c>
    </row>
    <row r="10149" customFormat="false" ht="17.15" hidden="false" customHeight="false" outlineLevel="0" collapsed="false">
      <c r="A10149" s="1" t="s">
        <v>1268</v>
      </c>
      <c r="B10149" s="0" t="s">
        <v>75</v>
      </c>
      <c r="C10149" s="5" t="n">
        <f aca="false">w_dcf*Sens!$C$10119+(1-w_dcf)*Sens!$C$10148</f>
        <v>392.572473505609</v>
      </c>
    </row>
    <row r="10150" customFormat="false" ht="17.15" hidden="false" customHeight="false" outlineLevel="0" collapsed="false">
      <c r="A10150" s="3" t="s">
        <v>1865</v>
      </c>
    </row>
    <row r="10151" customFormat="false" ht="15" hidden="false" customHeight="false" outlineLevel="0" collapsed="false">
      <c r="A10151" s="4" t="s">
        <v>43</v>
      </c>
      <c r="B10151" s="4" t="s">
        <v>65</v>
      </c>
      <c r="C10151" s="23" t="s">
        <v>942</v>
      </c>
      <c r="D10151" s="23" t="s">
        <v>943</v>
      </c>
      <c r="E10151" s="23" t="s">
        <v>944</v>
      </c>
      <c r="F10151" s="23" t="s">
        <v>945</v>
      </c>
      <c r="G10151" s="23" t="s">
        <v>946</v>
      </c>
      <c r="H10151" s="23" t="s">
        <v>947</v>
      </c>
      <c r="I10151" s="23" t="s">
        <v>948</v>
      </c>
      <c r="J10151" s="23" t="s">
        <v>949</v>
      </c>
      <c r="K10151" s="23" t="s">
        <v>950</v>
      </c>
      <c r="L10151" s="4" t="s">
        <v>47</v>
      </c>
    </row>
    <row r="10152" customFormat="false" ht="17.15" hidden="false" customHeight="false" outlineLevel="0" collapsed="false">
      <c r="A10152" s="1" t="s">
        <v>951</v>
      </c>
      <c r="B10152" s="1" t="s">
        <v>279</v>
      </c>
      <c r="C10152" s="21" t="n">
        <v>2024</v>
      </c>
      <c r="D10152" s="21" t="n">
        <v>2025</v>
      </c>
      <c r="E10152" s="21" t="n">
        <v>2026</v>
      </c>
      <c r="F10152" s="21" t="n">
        <v>2027</v>
      </c>
      <c r="G10152" s="21" t="n">
        <v>2028</v>
      </c>
      <c r="H10152" s="21" t="n">
        <v>2029</v>
      </c>
      <c r="I10152" s="21" t="n">
        <v>2030</v>
      </c>
      <c r="J10152" s="21" t="n">
        <v>2031</v>
      </c>
      <c r="K10152" s="21" t="n">
        <v>2032</v>
      </c>
    </row>
    <row r="10153" customFormat="false" ht="17.15" hidden="false" customHeight="false" outlineLevel="0" collapsed="false">
      <c r="A10153" s="1" t="s">
        <v>952</v>
      </c>
      <c r="B10153" s="0" t="s">
        <v>459</v>
      </c>
      <c r="F10153" s="30" t="n">
        <f aca="false">pace</f>
        <v>2726.5351</v>
      </c>
      <c r="G10153" s="30" t="n">
        <f aca="false">pace</f>
        <v>2726.5351</v>
      </c>
      <c r="H10153" s="30" t="n">
        <f aca="false">pace</f>
        <v>2726.5351</v>
      </c>
      <c r="I10153" s="30" t="n">
        <f aca="false">pace+(g_tv*Sens!H10154-pace)*MIN(1,(Sens!I10152-pace_y0)/(pace_y1-pace_y0))</f>
        <v>1931.98611966667</v>
      </c>
      <c r="J10153" s="30" t="n">
        <f aca="false">pace+(g_tv*Sens!I10154-pace)*MIN(1,(Sens!J10152-pace_y0)/(pace_y1-pace_y0))</f>
        <v>1176.07686172667</v>
      </c>
      <c r="K10153" s="30" t="n">
        <f aca="false">pace+(g_tv*Sens!J10154-pace)*MIN(1,(Sens!K10152-pace_y0)/(pace_y1-pace_y0))</f>
        <v>436.1300484418</v>
      </c>
      <c r="L10153" s="12" t="s">
        <v>953</v>
      </c>
    </row>
    <row r="10154" customFormat="false" ht="17.15" hidden="false" customHeight="false" outlineLevel="0" collapsed="false">
      <c r="A10154" s="1" t="s">
        <v>954</v>
      </c>
      <c r="B10154" s="0" t="s">
        <v>459</v>
      </c>
      <c r="C10154" s="30" t="n">
        <f aca="false">mw_ext_24</f>
        <v>640</v>
      </c>
      <c r="D10154" s="30" t="n">
        <f aca="false">mw_ext_25</f>
        <v>1630</v>
      </c>
      <c r="E10154" s="30" t="n">
        <f aca="false">mw_ext_26</f>
        <v>3250</v>
      </c>
      <c r="F10154" s="30" t="n">
        <f aca="false">Sens!E10154+Sens!F10153</f>
        <v>5976.5351</v>
      </c>
      <c r="G10154" s="30" t="n">
        <f aca="false">Sens!F10154+Sens!G10153</f>
        <v>8703.0702</v>
      </c>
      <c r="H10154" s="30" t="n">
        <f aca="false">Sens!G10154+Sens!H10153</f>
        <v>11429.6053</v>
      </c>
      <c r="I10154" s="30" t="n">
        <f aca="false">Sens!H10154+Sens!I10153</f>
        <v>13361.5914196667</v>
      </c>
      <c r="J10154" s="30" t="n">
        <f aca="false">Sens!I10154+Sens!J10153</f>
        <v>14537.6682813933</v>
      </c>
      <c r="K10154" s="30" t="n">
        <f aca="false">Sens!J10154+Sens!K10153</f>
        <v>14973.7983298351</v>
      </c>
      <c r="L10154" s="1" t="s">
        <v>955</v>
      </c>
    </row>
    <row r="10155" customFormat="false" ht="17.15" hidden="false" customHeight="false" outlineLevel="0" collapsed="false">
      <c r="A10155" s="1" t="s">
        <v>956</v>
      </c>
      <c r="B10155" s="0" t="s">
        <v>459</v>
      </c>
      <c r="C10155" s="30" t="n">
        <f aca="false">rent_ext_24</f>
        <v>150</v>
      </c>
      <c r="D10155" s="30" t="n">
        <f aca="false">rent_ext_25</f>
        <v>400</v>
      </c>
      <c r="E10155" s="30" t="n">
        <f aca="false">rent_ext_26</f>
        <v>550</v>
      </c>
      <c r="F10155" s="30" t="n">
        <f aca="false">rent_ext_f</f>
        <v>756</v>
      </c>
      <c r="G10155" s="30" t="n">
        <f aca="false">rent_ext_f</f>
        <v>756</v>
      </c>
      <c r="H10155" s="30" t="n">
        <f aca="false">rent_ext_f</f>
        <v>756</v>
      </c>
      <c r="I10155" s="30" t="n">
        <f aca="false">rent_ext_f</f>
        <v>756</v>
      </c>
      <c r="J10155" s="30" t="n">
        <f aca="false">rent_ext_f</f>
        <v>756</v>
      </c>
      <c r="K10155" s="30" t="n">
        <f aca="false">rent_ext_f</f>
        <v>756</v>
      </c>
      <c r="L10155" s="1" t="s">
        <v>957</v>
      </c>
    </row>
    <row r="10156" customFormat="false" ht="17.15" hidden="false" customHeight="false" outlineLevel="0" collapsed="false">
      <c r="A10156" s="1" t="s">
        <v>958</v>
      </c>
      <c r="B10156" s="0" t="s">
        <v>459</v>
      </c>
      <c r="C10156" s="30" t="n">
        <f aca="false">Sens!C10154-Sens!C10155</f>
        <v>490</v>
      </c>
      <c r="D10156" s="30" t="n">
        <f aca="false">Sens!D10154-Sens!D10155</f>
        <v>1230</v>
      </c>
      <c r="E10156" s="30" t="n">
        <f aca="false">Sens!E10154-Sens!E10155</f>
        <v>2700</v>
      </c>
      <c r="F10156" s="30" t="n">
        <f aca="false">Sens!F10154-Sens!F10155</f>
        <v>5220.5351</v>
      </c>
      <c r="G10156" s="30" t="n">
        <f aca="false">Sens!G10154-Sens!G10155</f>
        <v>7947.0702</v>
      </c>
      <c r="H10156" s="30" t="n">
        <f aca="false">Sens!H10154-Sens!H10155</f>
        <v>10673.6053</v>
      </c>
      <c r="I10156" s="30" t="n">
        <f aca="false">Sens!I10154-Sens!I10155</f>
        <v>12605.5914196667</v>
      </c>
      <c r="J10156" s="30" t="n">
        <f aca="false">Sens!J10154-Sens!J10155</f>
        <v>13781.6682813933</v>
      </c>
      <c r="K10156" s="30" t="n">
        <f aca="false">Sens!K10154-Sens!K10155</f>
        <v>14217.7983298351</v>
      </c>
    </row>
    <row r="10157" customFormat="false" ht="17.15" hidden="false" customHeight="false" outlineLevel="0" collapsed="false">
      <c r="A10157" s="1" t="s">
        <v>959</v>
      </c>
      <c r="B10157" s="0" t="s">
        <v>459</v>
      </c>
      <c r="C10157" s="30" t="n">
        <f aca="false">Sens!C10156/ext_sh</f>
        <v>816.666666666667</v>
      </c>
      <c r="D10157" s="30" t="n">
        <f aca="false">Sens!D10156/ext_sh</f>
        <v>2050</v>
      </c>
      <c r="E10157" s="30" t="n">
        <f aca="false">Sens!E10156/ext_sh</f>
        <v>4500</v>
      </c>
      <c r="F10157" s="30" t="n">
        <f aca="false">Sens!F10156/ext_sh</f>
        <v>8700.89183333333</v>
      </c>
      <c r="G10157" s="30" t="n">
        <f aca="false">Sens!G10156/ext_sh</f>
        <v>13245.117</v>
      </c>
      <c r="H10157" s="30" t="n">
        <f aca="false">Sens!H10156/ext_sh</f>
        <v>17789.3421666667</v>
      </c>
      <c r="I10157" s="30" t="n">
        <f aca="false">Sens!I10156/ext_sh</f>
        <v>21009.3190327778</v>
      </c>
      <c r="J10157" s="30" t="n">
        <f aca="false">Sens!J10156/ext_sh</f>
        <v>22969.4471356556</v>
      </c>
      <c r="K10157" s="30" t="n">
        <f aca="false">Sens!K10156/ext_sh</f>
        <v>23696.3305497252</v>
      </c>
      <c r="L10157" s="1" t="s">
        <v>960</v>
      </c>
    </row>
    <row r="10158" customFormat="false" ht="17.15" hidden="false" customHeight="false" outlineLevel="0" collapsed="false">
      <c r="A10158" s="1" t="s">
        <v>961</v>
      </c>
      <c r="B10158" s="0" t="s">
        <v>459</v>
      </c>
      <c r="C10158" s="30" t="n">
        <f aca="false">Sens!C10157-Sens!C10156</f>
        <v>326.666666666667</v>
      </c>
      <c r="D10158" s="30" t="n">
        <f aca="false">Sens!D10157-Sens!D10156</f>
        <v>820</v>
      </c>
      <c r="E10158" s="30" t="n">
        <f aca="false">Sens!E10157-Sens!E10156</f>
        <v>1800</v>
      </c>
      <c r="F10158" s="30" t="n">
        <f aca="false">Sens!F10157-Sens!F10156</f>
        <v>3480.35673333333</v>
      </c>
      <c r="G10158" s="30" t="n">
        <f aca="false">Sens!G10157-Sens!G10156</f>
        <v>5298.0468</v>
      </c>
      <c r="H10158" s="30" t="n">
        <f aca="false">Sens!H10157-Sens!H10156</f>
        <v>7115.73686666667</v>
      </c>
      <c r="I10158" s="30" t="n">
        <f aca="false">Sens!I10157-Sens!I10156</f>
        <v>8403.72761311111</v>
      </c>
      <c r="J10158" s="30" t="n">
        <f aca="false">Sens!J10157-Sens!J10156</f>
        <v>9187.77885426222</v>
      </c>
      <c r="K10158" s="30" t="n">
        <f aca="false">Sens!K10157-Sens!K10156</f>
        <v>9478.53221989009</v>
      </c>
    </row>
    <row r="10159" customFormat="false" ht="17.15" hidden="false" customHeight="false" outlineLevel="0" collapsed="false">
      <c r="A10159" s="1" t="s">
        <v>962</v>
      </c>
      <c r="B10159" s="0" t="s">
        <v>459</v>
      </c>
      <c r="C10159" s="30" t="n">
        <f aca="false">Sens!C10157</f>
        <v>816.666666666667</v>
      </c>
      <c r="D10159" s="30" t="n">
        <f aca="false">Sens!D10157-Sens!C10157</f>
        <v>1233.33333333333</v>
      </c>
      <c r="E10159" s="30" t="n">
        <f aca="false">Sens!E10157-Sens!D10157</f>
        <v>2450</v>
      </c>
      <c r="F10159" s="30" t="n">
        <f aca="false">Sens!F10157-Sens!E10157</f>
        <v>4200.89183333333</v>
      </c>
      <c r="G10159" s="30" t="n">
        <f aca="false">Sens!G10157-Sens!F10157</f>
        <v>4544.22516666667</v>
      </c>
      <c r="H10159" s="30" t="n">
        <f aca="false">Sens!H10157-Sens!G10157</f>
        <v>4544.22516666667</v>
      </c>
      <c r="I10159" s="30" t="n">
        <f aca="false">Sens!I10157-Sens!H10157</f>
        <v>3219.97686611111</v>
      </c>
      <c r="J10159" s="30" t="n">
        <f aca="false">Sens!J10157-Sens!I10157</f>
        <v>1960.12810287778</v>
      </c>
      <c r="K10159" s="30" t="n">
        <f aca="false">Sens!K10157-Sens!J10157</f>
        <v>726.883414069667</v>
      </c>
    </row>
    <row r="10160" customFormat="false" ht="17.15" hidden="false" customHeight="false" outlineLevel="0" collapsed="false">
      <c r="A10160" s="1" t="s">
        <v>963</v>
      </c>
      <c r="B10160" s="0" t="s">
        <v>459</v>
      </c>
      <c r="D10160" s="30" t="n">
        <f aca="false">Sens!D10154-Sens!C10154</f>
        <v>990</v>
      </c>
      <c r="E10160" s="30" t="n">
        <f aca="false">Sens!E10154-Sens!D10154</f>
        <v>1620</v>
      </c>
      <c r="F10160" s="30" t="n">
        <f aca="false">Sens!F10154-Sens!E10154</f>
        <v>2726.5351</v>
      </c>
      <c r="G10160" s="30" t="n">
        <f aca="false">Sens!G10154-Sens!F10154</f>
        <v>2726.5351</v>
      </c>
      <c r="H10160" s="30" t="n">
        <f aca="false">Sens!H10154-Sens!G10154</f>
        <v>2726.5351</v>
      </c>
      <c r="I10160" s="30" t="n">
        <f aca="false">Sens!I10154-Sens!H10154</f>
        <v>1931.98611966667</v>
      </c>
      <c r="J10160" s="30" t="n">
        <f aca="false">Sens!J10154-Sens!I10154</f>
        <v>1176.07686172667</v>
      </c>
      <c r="K10160" s="30" t="n">
        <f aca="false">Sens!K10154-Sens!J10154</f>
        <v>436.130048441799</v>
      </c>
    </row>
    <row r="10161" customFormat="false" ht="17.15" hidden="false" customHeight="false" outlineLevel="0" collapsed="false">
      <c r="A10161" s="1" t="s">
        <v>964</v>
      </c>
      <c r="B10161" s="0" t="s">
        <v>459</v>
      </c>
      <c r="F10161" s="30" t="n">
        <f aca="false">Sens!F10180*ext_sh</f>
        <v>0</v>
      </c>
      <c r="G10161" s="30" t="n">
        <f aca="false">Sens!G10180*ext_sh</f>
        <v>0</v>
      </c>
      <c r="H10161" s="30" t="n">
        <f aca="false">Sens!H10180*ext_sh</f>
        <v>0</v>
      </c>
      <c r="I10161" s="30" t="n">
        <f aca="false">Sens!I10180*ext_sh</f>
        <v>490</v>
      </c>
      <c r="J10161" s="30" t="n">
        <f aca="false">Sens!J10180*ext_sh</f>
        <v>740</v>
      </c>
      <c r="K10161" s="30" t="n">
        <f aca="false">Sens!K10180*ext_sh</f>
        <v>1470</v>
      </c>
      <c r="L10161" s="1" t="s">
        <v>965</v>
      </c>
    </row>
    <row r="10162" customFormat="false" ht="17.15" hidden="false" customHeight="false" outlineLevel="0" collapsed="false">
      <c r="A10162" s="1" t="s">
        <v>966</v>
      </c>
      <c r="B10162" s="0" t="s">
        <v>459</v>
      </c>
      <c r="C10162" s="30" t="n">
        <f aca="false">mix_h*Sens!C10154</f>
        <v>128</v>
      </c>
      <c r="D10162" s="30" t="n">
        <f aca="false">mix_h*Sens!D10154</f>
        <v>326</v>
      </c>
      <c r="E10162" s="30" t="n">
        <f aca="false">mix_h*Sens!E10154</f>
        <v>650</v>
      </c>
      <c r="F10162" s="30" t="n">
        <f aca="false">Sens!E10162-Sens!F10161*mix_h</f>
        <v>650</v>
      </c>
      <c r="G10162" s="30" t="n">
        <f aca="false">Sens!F10162-Sens!G10161*mix_h</f>
        <v>650</v>
      </c>
      <c r="H10162" s="30" t="n">
        <f aca="false">Sens!G10162-Sens!H10161*mix_h</f>
        <v>650</v>
      </c>
      <c r="I10162" s="30" t="n">
        <f aca="false">Sens!H10162-Sens!I10161*mix_h</f>
        <v>552</v>
      </c>
      <c r="J10162" s="30" t="n">
        <f aca="false">Sens!I10162-Sens!J10161*mix_h</f>
        <v>404</v>
      </c>
      <c r="K10162" s="30" t="n">
        <f aca="false">Sens!J10162-Sens!K10161*mix_h</f>
        <v>110</v>
      </c>
    </row>
    <row r="10163" customFormat="false" ht="17.15" hidden="false" customHeight="false" outlineLevel="0" collapsed="false">
      <c r="A10163" s="1" t="s">
        <v>967</v>
      </c>
      <c r="B10163" s="0" t="s">
        <v>459</v>
      </c>
      <c r="C10163" s="30" t="n">
        <f aca="false">mix_g2*Sens!C10154</f>
        <v>288</v>
      </c>
      <c r="D10163" s="30" t="n">
        <f aca="false">mix_g2*Sens!D10154</f>
        <v>733.5</v>
      </c>
      <c r="E10163" s="30" t="n">
        <f aca="false">mix_g2*Sens!E10154</f>
        <v>1462.5</v>
      </c>
      <c r="F10163" s="30" t="n">
        <f aca="false">Sens!E10163-Sens!F10161*mix_g2</f>
        <v>1462.5</v>
      </c>
      <c r="G10163" s="30" t="n">
        <f aca="false">Sens!F10163-Sens!G10161*mix_g2</f>
        <v>1462.5</v>
      </c>
      <c r="H10163" s="30" t="n">
        <f aca="false">Sens!G10163-Sens!H10161*mix_g2</f>
        <v>1462.5</v>
      </c>
      <c r="I10163" s="30" t="n">
        <f aca="false">Sens!H10163-Sens!I10161*mix_g2</f>
        <v>1242</v>
      </c>
      <c r="J10163" s="30" t="n">
        <f aca="false">Sens!I10163-Sens!J10161*mix_g2</f>
        <v>909</v>
      </c>
      <c r="K10163" s="30" t="n">
        <f aca="false">Sens!J10163-Sens!K10161*mix_g2</f>
        <v>247.5</v>
      </c>
    </row>
    <row r="10164" customFormat="false" ht="17.15" hidden="false" customHeight="false" outlineLevel="0" collapsed="false">
      <c r="A10164" s="1" t="s">
        <v>968</v>
      </c>
      <c r="B10164" s="0" t="s">
        <v>459</v>
      </c>
      <c r="C10164" s="30" t="n">
        <f aca="false">mix_g3*Sens!C10154</f>
        <v>224</v>
      </c>
      <c r="D10164" s="30" t="n">
        <f aca="false">mix_g3*Sens!D10154</f>
        <v>570.5</v>
      </c>
      <c r="E10164" s="30" t="n">
        <f aca="false">mix_g3*Sens!E10154</f>
        <v>1137.5</v>
      </c>
      <c r="F10164" s="30" t="n">
        <f aca="false">Sens!E10164+(Sens!F10160+Sens!F10161)*(a_g3_27-nonnv*a_mai)-Sens!F10161*mix_g3</f>
        <v>2773.42106</v>
      </c>
      <c r="G10164" s="30" t="n">
        <f aca="false">Sens!F10164+(Sens!G10160+Sens!G10161)*(a_g3_28-nonnv*a_mai)-Sens!G10161*mix_g3</f>
        <v>3318.72808</v>
      </c>
      <c r="H10164" s="30" t="n">
        <f aca="false">Sens!G10164+(Sens!H10160+Sens!H10161)*(a_g3_29-nonnv*a_mai)-Sens!H10161*mix_g3</f>
        <v>3318.72808</v>
      </c>
      <c r="I10164" s="30" t="n">
        <f aca="false">Sens!H10164+(Sens!I10160+Sens!I10161)*(a_g3_29-nonnv*a_mai)-Sens!I10161*mix_g3</f>
        <v>3147.22808</v>
      </c>
      <c r="J10164" s="30" t="n">
        <f aca="false">Sens!I10164+(Sens!J10160+Sens!J10161)*(a_g3_29-nonnv*a_mai)-Sens!J10161*mix_g3</f>
        <v>2888.22808</v>
      </c>
      <c r="K10164" s="30" t="n">
        <f aca="false">Sens!J10164+(Sens!K10160+Sens!K10161)*(a_g3_29-nonnv*a_mai)-Sens!K10161*mix_g3</f>
        <v>2373.72808</v>
      </c>
    </row>
    <row r="10165" customFormat="false" ht="17.15" hidden="false" customHeight="false" outlineLevel="0" collapsed="false">
      <c r="A10165" s="1" t="s">
        <v>969</v>
      </c>
      <c r="B10165" s="0" t="s">
        <v>459</v>
      </c>
      <c r="C10165" s="30" t="n">
        <v>0</v>
      </c>
      <c r="D10165" s="30" t="n">
        <v>0</v>
      </c>
      <c r="E10165" s="30" t="n">
        <v>0</v>
      </c>
      <c r="F10165" s="30" t="n">
        <f aca="false">Sens!E10165+(Sens!F10160+Sens!F10161)*nonnv*a_mai</f>
        <v>272.65351</v>
      </c>
      <c r="G10165" s="30" t="n">
        <f aca="false">Sens!F10165+(Sens!G10160+Sens!G10161)*nonnv*a_mai</f>
        <v>545.30702</v>
      </c>
      <c r="H10165" s="30" t="n">
        <f aca="false">Sens!G10165+(Sens!H10160+Sens!H10161)*nonnv*a_mai</f>
        <v>817.96053</v>
      </c>
      <c r="I10165" s="30" t="n">
        <f aca="false">Sens!H10165+(Sens!I10160+Sens!I10161)*nonnv*a_mai</f>
        <v>1060.15914196667</v>
      </c>
      <c r="J10165" s="30" t="n">
        <f aca="false">Sens!I10165+(Sens!J10160+Sens!J10161)*nonnv*a_mai</f>
        <v>1251.76682813933</v>
      </c>
      <c r="K10165" s="30" t="n">
        <f aca="false">Sens!J10165+(Sens!K10160+Sens!K10161)*nonnv*a_mai</f>
        <v>1442.37983298351</v>
      </c>
      <c r="L10165" s="12" t="s">
        <v>970</v>
      </c>
    </row>
    <row r="10166" customFormat="false" ht="17.15" hidden="false" customHeight="false" outlineLevel="0" collapsed="false">
      <c r="A10166" s="1" t="s">
        <v>971</v>
      </c>
      <c r="B10166" s="0" t="s">
        <v>459</v>
      </c>
      <c r="C10166" s="30" t="n">
        <v>0</v>
      </c>
      <c r="D10166" s="30" t="n">
        <v>0</v>
      </c>
      <c r="E10166" s="30" t="n">
        <v>0</v>
      </c>
      <c r="F10166" s="30" t="n">
        <f aca="false">Sens!E10166+(Sens!F10160+Sens!F10161)*(1-a_g3_27)</f>
        <v>817.96053</v>
      </c>
      <c r="G10166" s="30" t="n">
        <f aca="false">Sens!F10166+(Sens!G10160+Sens!G10161)*(1-a_g3_28)</f>
        <v>2726.5351</v>
      </c>
      <c r="H10166" s="30" t="n">
        <f aca="false">Sens!G10166+(Sens!H10160+Sens!H10161)*(1-a_g3_29)</f>
        <v>5180.41669</v>
      </c>
      <c r="I10166" s="30" t="n">
        <f aca="false">Sens!H10166+(Sens!I10160+Sens!I10161)*(1-a_g3_29)</f>
        <v>7360.2041977</v>
      </c>
      <c r="J10166" s="30" t="n">
        <f aca="false">Sens!I10166+(Sens!J10160+Sens!J10161)*(1-a_g3_29)</f>
        <v>9084.673373254</v>
      </c>
      <c r="K10166" s="30" t="n">
        <f aca="false">Sens!J10166+(Sens!K10160+Sens!K10161)*(1-a_g3_29)</f>
        <v>10800.1904168516</v>
      </c>
    </row>
    <row r="10167" customFormat="false" ht="17.15" hidden="false" customHeight="false" outlineLevel="0" collapsed="false">
      <c r="A10167" s="1" t="s">
        <v>972</v>
      </c>
      <c r="B10167" s="0" t="s">
        <v>403</v>
      </c>
      <c r="C10167" s="15" t="n">
        <f aca="false">(Sens!C10162*tk_hold_h100+Sens!C10163*tk_hold_gb200+Sens!C10164*tk_hold_gb300+Sens!C10166*tk_hold_vr200+Sens!C10165*nv_hold_mai*tk_hold_vr200)/Sens!C10154</f>
        <v>9.7235358126469</v>
      </c>
      <c r="D10167" s="15" t="n">
        <f aca="false">(Sens!D10162*tk_hold_h100+Sens!D10163*tk_hold_gb200+Sens!D10164*tk_hold_gb300+Sens!D10166*tk_hold_vr200+Sens!D10165*nv_hold_mai*tk_hold_vr200)/Sens!D10154</f>
        <v>9.7235358126469</v>
      </c>
      <c r="E10167" s="15" t="n">
        <f aca="false">(Sens!E10162*tk_hold_h100+Sens!E10163*tk_hold_gb200+Sens!E10164*tk_hold_gb300+Sens!E10166*tk_hold_vr200+Sens!E10165*nv_hold_mai*tk_hold_vr200)/Sens!E10154</f>
        <v>9.7235358126469</v>
      </c>
      <c r="F10167" s="15" t="n">
        <f aca="false">(Sens!F10162*tk_hold_h100+Sens!F10163*tk_hold_gb200+Sens!F10164*tk_hold_gb300+Sens!F10166*tk_hold_vr200+Sens!F10165*nv_hold_mai*tk_hold_vr200)/Sens!F10154</f>
        <v>10.2195353876665</v>
      </c>
      <c r="G10167" s="15" t="n">
        <f aca="false">(Sens!G10162*tk_hold_h100+Sens!G10163*tk_hold_gb200+Sens!G10164*tk_hold_gb300+Sens!G10166*tk_hold_vr200+Sens!G10165*nv_hold_mai*tk_hold_vr200)/Sens!G10154</f>
        <v>10.5725598017306</v>
      </c>
      <c r="H10167" s="15" t="n">
        <f aca="false">(Sens!H10162*tk_hold_h100+Sens!H10163*tk_hold_gb200+Sens!H10164*tk_hold_gb300+Sens!H10166*tk_hold_vr200+Sens!H10165*nv_hold_mai*tk_hold_vr200)/Sens!H10154</f>
        <v>10.8210427149036</v>
      </c>
      <c r="I10167" s="15" t="n">
        <f aca="false">(Sens!I10162*tk_hold_h100+Sens!I10163*tk_hold_gb200+Sens!I10164*tk_hold_gb300+Sens!I10166*tk_hold_vr200+Sens!I10165*nv_hold_mai*tk_hold_vr200)/Sens!I10154</f>
        <v>11.0050618241982</v>
      </c>
      <c r="J10167" s="15" t="n">
        <f aca="false">(Sens!J10162*tk_hold_h100+Sens!J10163*tk_hold_gb200+Sens!J10164*tk_hold_gb300+Sens!J10166*tk_hold_vr200+Sens!J10165*nv_hold_mai*tk_hold_vr200)/Sens!J10154</f>
        <v>11.1505789658881</v>
      </c>
      <c r="K10167" s="15" t="n">
        <f aca="false">(Sens!K10162*tk_hold_h100+Sens!K10163*tk_hold_gb200+Sens!K10164*tk_hold_gb300+Sens!K10166*tk_hold_vr200+Sens!K10165*nv_hold_mai*tk_hold_vr200)/Sens!K10154</f>
        <v>11.3496914757183</v>
      </c>
      <c r="L10167" s="1" t="s">
        <v>973</v>
      </c>
    </row>
    <row r="10168" customFormat="false" ht="17.15" hidden="false" customHeight="false" outlineLevel="0" collapsed="false">
      <c r="A10168" s="1" t="s">
        <v>974</v>
      </c>
      <c r="B10168" s="0" t="s">
        <v>403</v>
      </c>
      <c r="C10168" s="15" t="n">
        <f aca="false">(Sens!C10162*tk_hold_h100+Sens!C10163*tk_hold_gb200+Sens!C10164*tk_hold_gb300+Sens!C10166*tk_hold_vr200+Sens!C10165*nv_out_mai*tk_hold_vr200)/Sens!C10154</f>
        <v>9.7235358126469</v>
      </c>
      <c r="D10168" s="15" t="n">
        <f aca="false">(Sens!D10162*tk_hold_h100+Sens!D10163*tk_hold_gb200+Sens!D10164*tk_hold_gb300+Sens!D10166*tk_hold_vr200+Sens!D10165*nv_out_mai*tk_hold_vr200)/Sens!D10154</f>
        <v>9.7235358126469</v>
      </c>
      <c r="E10168" s="15" t="n">
        <f aca="false">(Sens!E10162*tk_hold_h100+Sens!E10163*tk_hold_gb200+Sens!E10164*tk_hold_gb300+Sens!E10166*tk_hold_vr200+Sens!E10165*nv_out_mai*tk_hold_vr200)/Sens!E10154</f>
        <v>9.7235358126469</v>
      </c>
      <c r="F10168" s="15" t="n">
        <f aca="false">(Sens!F10162*tk_hold_h100+Sens!F10163*tk_hold_gb200+Sens!F10164*tk_hold_gb300+Sens!F10166*tk_hold_vr200+Sens!F10165*nv_out_mai*tk_hold_vr200)/Sens!F10154</f>
        <v>10.247422093969</v>
      </c>
      <c r="G10168" s="15" t="n">
        <f aca="false">(Sens!G10162*tk_hold_h100+Sens!G10163*tk_hold_gb200+Sens!G10164*tk_hold_gb300+Sens!G10166*tk_hold_vr200+Sens!G10165*nv_out_mai*tk_hold_vr200)/Sens!G10154</f>
        <v>10.6108602808053</v>
      </c>
      <c r="H10168" s="15" t="n">
        <f aca="false">(Sens!H10162*tk_hold_h100+Sens!H10163*tk_hold_gb200+Sens!H10164*tk_hold_gb300+Sens!H10166*tk_hold_vr200+Sens!H10165*nv_out_mai*tk_hold_vr200)/Sens!H10154</f>
        <v>10.8647885507393</v>
      </c>
      <c r="I10168" s="15" t="n">
        <f aca="false">(Sens!I10162*tk_hold_h100+Sens!I10163*tk_hold_gb200+Sens!I10164*tk_hold_gb300+Sens!I10166*tk_hold_vr200+Sens!I10165*nv_out_mai*tk_hold_vr200)/Sens!I10154</f>
        <v>11.0535625770025</v>
      </c>
      <c r="J10168" s="15" t="n">
        <f aca="false">(Sens!J10162*tk_hold_h100+Sens!J10163*tk_hold_gb200+Sens!J10164*tk_hold_gb300+Sens!J10166*tk_hold_vr200+Sens!J10165*nv_out_mai*tk_hold_vr200)/Sens!J10154</f>
        <v>11.2032127128058</v>
      </c>
      <c r="K10168" s="15" t="n">
        <f aca="false">(Sens!K10162*tk_hold_h100+Sens!K10163*tk_hold_gb200+Sens!K10164*tk_hold_gb300+Sens!K10166*tk_hold_vr200+Sens!K10165*nv_out_mai*tk_hold_vr200)/Sens!K10154</f>
        <v>11.4085735724225</v>
      </c>
      <c r="L10168" s="12" t="s">
        <v>975</v>
      </c>
    </row>
    <row r="10169" customFormat="false" ht="17.15" hidden="false" customHeight="false" outlineLevel="0" collapsed="false">
      <c r="A10169" s="0" t="s">
        <v>976</v>
      </c>
      <c r="B10169" s="0" t="s">
        <v>229</v>
      </c>
      <c r="C10169" s="15" t="n">
        <f aca="false">k_B</f>
        <v>1.17213932619116</v>
      </c>
      <c r="D10169" s="15" t="n">
        <f aca="false">k_B</f>
        <v>1.17213932619116</v>
      </c>
      <c r="E10169" s="15" t="n">
        <f aca="false">k_B</f>
        <v>1.17213932619116</v>
      </c>
      <c r="F10169" s="15" t="n">
        <f aca="false">(k_B+((ls_C*k_long+(1-ls_C)*k_spot)-k_B)*MIN(1,(Sens!F10152-base_fy)/k_ramp))</f>
        <v>1.07843258004497</v>
      </c>
      <c r="G10169" s="15" t="n">
        <f aca="false">(k_B+((ls_C*k_long+(1-ls_C)*k_spot)-k_B)*MIN(1,(Sens!G10152-base_fy)/k_ramp))</f>
        <v>0.984725833898784</v>
      </c>
      <c r="H10169" s="15" t="n">
        <f aca="false">(k_B+((ls_C*k_long+(1-ls_C)*k_spot)-k_B)*MIN(1,(Sens!H10152-base_fy)/k_ramp))</f>
        <v>0.891019087752599</v>
      </c>
      <c r="I10169" s="15" t="n">
        <f aca="false">(k_B+((ls_C*k_long+(1-ls_C)*k_spot)-k_B)*MIN(1,(Sens!I10152-base_fy)/k_ramp))</f>
        <v>0.891019087752599</v>
      </c>
      <c r="J10169" s="15" t="n">
        <f aca="false">(k_B+((ls_C*k_long+(1-ls_C)*k_spot)-k_B)*MIN(1,(Sens!J10152-base_fy)/k_ramp))</f>
        <v>0.891019087752599</v>
      </c>
      <c r="K10169" s="15" t="n">
        <f aca="false">(k_B+((ls_C*k_long+(1-ls_C)*k_spot)-k_B)*MIN(1,(Sens!K10152-base_fy)/k_ramp))</f>
        <v>0.891019087752599</v>
      </c>
      <c r="L10169" s="1" t="s">
        <v>977</v>
      </c>
    </row>
    <row r="10170" customFormat="false" ht="17.15" hidden="false" customHeight="false" outlineLevel="0" collapsed="false">
      <c r="A10170" s="1" t="s">
        <v>978</v>
      </c>
      <c r="B10170" s="0" t="s">
        <v>403</v>
      </c>
      <c r="C10170" s="15" t="n">
        <f aca="false">Sens!C10168*Sens!C10169*chip_f</f>
        <v>11.3973387156315</v>
      </c>
      <c r="D10170" s="15" t="n">
        <f aca="false">Sens!D10168*Sens!D10169*chip_f</f>
        <v>11.3973387156315</v>
      </c>
      <c r="E10170" s="15" t="n">
        <f aca="false">Sens!E10168*Sens!E10169*chip_f</f>
        <v>11.3973387156315</v>
      </c>
      <c r="F10170" s="15" t="n">
        <f aca="false">Sens!F10168*Sens!F10169*chip_f</f>
        <v>11.0511538476088</v>
      </c>
      <c r="G10170" s="15" t="n">
        <f aca="false">Sens!G10168*Sens!G10169*chip_f</f>
        <v>10.4487882383995</v>
      </c>
      <c r="H10170" s="15" t="n">
        <f aca="false">Sens!H10168*Sens!H10169*chip_f</f>
        <v>9.68073398310464</v>
      </c>
      <c r="I10170" s="15" t="n">
        <f aca="false">Sens!I10168*Sens!I10169*chip_f</f>
        <v>9.84893524377706</v>
      </c>
      <c r="J10170" s="15" t="n">
        <f aca="false">Sens!J10168*Sens!J10169*chip_f</f>
        <v>9.98227637126252</v>
      </c>
      <c r="K10170" s="15" t="n">
        <f aca="false">Sens!K10168*Sens!K10169*chip_f</f>
        <v>10.1652568170583</v>
      </c>
      <c r="L10170" s="1" t="s">
        <v>979</v>
      </c>
    </row>
    <row r="10171" customFormat="false" ht="17.15" hidden="false" customHeight="false" outlineLevel="0" collapsed="false">
      <c r="A10171" s="0" t="s">
        <v>980</v>
      </c>
      <c r="B10171" s="0" t="s">
        <v>98</v>
      </c>
      <c r="D10171" s="6" t="n">
        <f aca="false">(Sens!C10154+Sens!D10154)/2*Sens!D10170/1000</f>
        <v>12.9359794422418</v>
      </c>
      <c r="E10171" s="6" t="n">
        <f aca="false">(Sens!D10154+Sens!E10154)/2*Sens!E10170/1000</f>
        <v>27.8095064661409</v>
      </c>
      <c r="F10171" s="6" t="n">
        <f aca="false">(Sens!E10154+Sens!F10154)/2*Sens!F10170/1000</f>
        <v>50.9819294352312</v>
      </c>
      <c r="G10171" s="6" t="n">
        <f aca="false">(Sens!F10154+Sens!G10154)/2*Sens!G10170/1000</f>
        <v>76.6920436014933</v>
      </c>
      <c r="H10171" s="6" t="n">
        <f aca="false">(Sens!G10154+Sens!H10154)/2*Sens!H10170/1000</f>
        <v>97.4495379418341</v>
      </c>
      <c r="I10171" s="6" t="n">
        <f aca="false">(Sens!H10154+Sens!I10154)/2*Sens!I10170/1000</f>
        <v>122.083445553868</v>
      </c>
      <c r="J10171" s="6" t="n">
        <f aca="false">(Sens!I10154+Sens!J10154)/2*Sens!J10170/1000</f>
        <v>139.249060444804</v>
      </c>
      <c r="K10171" s="6" t="n">
        <f aca="false">(Sens!J10154+Sens!K10154)/2*Sens!K10170/1000</f>
        <v>149.995818575589</v>
      </c>
      <c r="L10171" s="12" t="s">
        <v>981</v>
      </c>
    </row>
    <row r="10172" customFormat="false" ht="17.15" hidden="false" customHeight="false" outlineLevel="0" collapsed="false">
      <c r="A10172" s="1" t="s">
        <v>982</v>
      </c>
      <c r="B10172" s="0" t="s">
        <v>403</v>
      </c>
      <c r="C10172" s="15" t="n">
        <f aca="false">(Sens!C10162*tk_opex_h100+Sens!C10163*tk_opex_gb200+Sens!C10164*tk_opex_gb300+(Sens!C10166+Sens!C10165)*tk_opex_vr200)/Sens!C10154</f>
        <v>1.88636041306092</v>
      </c>
      <c r="D10172" s="15" t="n">
        <f aca="false">(Sens!D10162*tk_opex_h100+Sens!D10163*tk_opex_gb200+Sens!D10164*tk_opex_gb300+(Sens!D10166+Sens!D10165)*tk_opex_vr200)/Sens!D10154</f>
        <v>1.88636041306092</v>
      </c>
      <c r="E10172" s="15" t="n">
        <f aca="false">(Sens!E10162*tk_opex_h100+Sens!E10163*tk_opex_gb200+Sens!E10164*tk_opex_gb300+(Sens!E10166+Sens!E10165)*tk_opex_vr200)/Sens!E10154</f>
        <v>1.88636041306092</v>
      </c>
      <c r="F10172" s="15" t="n">
        <f aca="false">(Sens!F10162*tk_opex_h100+Sens!F10163*tk_opex_gb200+Sens!F10164*tk_opex_gb300+(Sens!F10166+Sens!F10165)*tk_opex_vr200)/Sens!F10154</f>
        <v>1.95051159746876</v>
      </c>
      <c r="G10172" s="15" t="n">
        <f aca="false">(Sens!G10162*tk_opex_h100+Sens!G10163*tk_opex_gb200+Sens!G10164*tk_opex_gb300+(Sens!G10166+Sens!G10165)*tk_opex_vr200)/Sens!G10154</f>
        <v>1.98836003669956</v>
      </c>
      <c r="H10172" s="15" t="n">
        <f aca="false">(Sens!H10162*tk_opex_h100+Sens!H10163*tk_opex_gb200+Sens!H10164*tk_opex_gb300+(Sens!H10166+Sens!H10165)*tk_opex_vr200)/Sens!H10154</f>
        <v>2.01344013834343</v>
      </c>
      <c r="I10172" s="15" t="n">
        <f aca="false">(Sens!I10162*tk_opex_h100+Sens!I10163*tk_opex_gb200+Sens!I10164*tk_opex_gb300+(Sens!I10166+Sens!I10165)*tk_opex_vr200)/Sens!I10154</f>
        <v>2.03261166882178</v>
      </c>
      <c r="J10172" s="15" t="n">
        <f aca="false">(Sens!J10162*tk_opex_h100+Sens!J10163*tk_opex_gb200+Sens!J10164*tk_opex_gb300+(Sens!J10166+Sens!J10165)*tk_opex_vr200)/Sens!J10154</f>
        <v>2.04808073288745</v>
      </c>
      <c r="K10172" s="15" t="n">
        <f aca="false">(Sens!K10162*tk_opex_h100+Sens!K10163*tk_opex_gb200+Sens!K10164*tk_opex_gb300+(Sens!K10166+Sens!K10165)*tk_opex_vr200)/Sens!K10154</f>
        <v>2.06973825807449</v>
      </c>
      <c r="L10172" s="12" t="s">
        <v>983</v>
      </c>
    </row>
    <row r="10173" customFormat="false" ht="17.15" hidden="false" customHeight="false" outlineLevel="0" collapsed="false">
      <c r="A10173" s="0" t="s">
        <v>984</v>
      </c>
      <c r="B10173" s="0" t="s">
        <v>98</v>
      </c>
      <c r="D10173" s="6" t="n">
        <f aca="false">(Sens!C10157+Sens!D10157)/2*Sens!D10172/1000</f>
        <v>2.70378325872065</v>
      </c>
      <c r="E10173" s="6" t="n">
        <f aca="false">(Sens!D10157+Sens!E10157)/2*Sens!E10172/1000</f>
        <v>6.17783035277451</v>
      </c>
      <c r="F10173" s="6" t="n">
        <f aca="false">(Sens!E10157+Sens!F10157)/2*Sens!F10172/1000</f>
        <v>12.8742463089237</v>
      </c>
      <c r="G10173" s="6" t="n">
        <f aca="false">(Sens!F10157+Sens!G10157)/2*Sens!G10172/1000</f>
        <v>21.8182834646277</v>
      </c>
      <c r="H10173" s="6" t="n">
        <f aca="false">(Sens!G10157+Sens!H10157)/2*Sens!H10172/1000</f>
        <v>31.2430128789734</v>
      </c>
      <c r="I10173" s="6" t="n">
        <f aca="false">(Sens!H10157+Sens!I10157)/2*Sens!I10172/1000</f>
        <v>39.4313057443268</v>
      </c>
      <c r="J10173" s="6" t="n">
        <f aca="false">(Sens!I10157+Sens!J10157)/2*Sens!J10172/1000</f>
        <v>45.0360318228653</v>
      </c>
      <c r="K10173" s="6" t="n">
        <f aca="false">(Sens!J10157+Sens!K10157)/2*Sens!K10172/1000</f>
        <v>48.2929727091156</v>
      </c>
    </row>
    <row r="10174" customFormat="false" ht="17.15" hidden="false" customHeight="false" outlineLevel="0" collapsed="false">
      <c r="A10174" s="0" t="s">
        <v>985</v>
      </c>
      <c r="B10174" s="0" t="s">
        <v>98</v>
      </c>
      <c r="D10174" s="6" t="n">
        <f aca="false">(Sens!C10155+Sens!D10155)/2*rent_mw/1000</f>
        <v>2.44475</v>
      </c>
      <c r="E10174" s="6" t="n">
        <f aca="false">(Sens!D10155+Sens!E10155)/2*rent_mw/1000</f>
        <v>4.22275</v>
      </c>
      <c r="F10174" s="6" t="n">
        <f aca="false">(Sens!E10155+Sens!F10155)/2*rent_mw/1000</f>
        <v>5.80517</v>
      </c>
      <c r="G10174" s="6" t="n">
        <f aca="false">(Sens!F10155+Sens!G10155)/2*rent_mw/1000</f>
        <v>6.72084</v>
      </c>
      <c r="H10174" s="6" t="n">
        <f aca="false">(Sens!G10155+Sens!H10155)/2*rent_mw/1000</f>
        <v>6.72084</v>
      </c>
      <c r="I10174" s="6" t="n">
        <f aca="false">(Sens!H10155+Sens!I10155)/2*rent_mw/1000</f>
        <v>6.72084</v>
      </c>
      <c r="J10174" s="6" t="n">
        <f aca="false">(Sens!I10155+Sens!J10155)/2*rent_mw/1000</f>
        <v>6.72084</v>
      </c>
      <c r="K10174" s="6" t="n">
        <f aca="false">(Sens!J10155+Sens!K10155)/2*rent_mw/1000</f>
        <v>6.72084</v>
      </c>
    </row>
    <row r="10175" customFormat="false" ht="17.15" hidden="false" customHeight="false" outlineLevel="0" collapsed="false">
      <c r="A10175" s="0" t="s">
        <v>986</v>
      </c>
      <c r="B10175" s="0" t="s">
        <v>98</v>
      </c>
      <c r="D10175" s="6" t="n">
        <f aca="false">(Sens!C10157+Sens!D10157)/2*(1-self_build)*fac_rent/1000</f>
        <v>0.853242375631075</v>
      </c>
      <c r="E10175" s="6" t="n">
        <f aca="false">(Sens!D10157+Sens!E10157)/2*(1-self_build)*fac_rent/1000</f>
        <v>1.94955961408728</v>
      </c>
      <c r="F10175" s="6" t="n">
        <f aca="false">(Sens!E10157+Sens!F10157)/2*(1-self_build)*fac_rent/1000</f>
        <v>3.92914894476356</v>
      </c>
      <c r="G10175" s="6" t="n">
        <f aca="false">(Sens!F10157+Sens!G10157)/2*(1-self_build)*fac_rent/1000</f>
        <v>6.53206908578159</v>
      </c>
      <c r="H10175" s="6" t="n">
        <f aca="false">(Sens!G10157+Sens!H10157)/2*(1-self_build)*fac_rent/1000</f>
        <v>9.23717988341591</v>
      </c>
      <c r="I10175" s="6" t="n">
        <f aca="false">(Sens!H10157+Sens!I10157)/2*(1-self_build)*fac_rent/1000</f>
        <v>11.5481378557393</v>
      </c>
      <c r="J10175" s="6" t="n">
        <f aca="false">(Sens!I10157+Sens!J10157)/2*(1-self_build)*fac_rent/1000</f>
        <v>13.0899582289108</v>
      </c>
      <c r="K10175" s="6" t="n">
        <f aca="false">(Sens!J10157+Sens!K10157)/2*(1-self_build)*fac_rent/1000</f>
        <v>13.8897275626556</v>
      </c>
      <c r="L10175" s="12" t="s">
        <v>987</v>
      </c>
    </row>
    <row r="10176" customFormat="false" ht="17.15" hidden="false" customHeight="false" outlineLevel="0" collapsed="false">
      <c r="A10176" s="1" t="s">
        <v>988</v>
      </c>
      <c r="B10176" s="0" t="s">
        <v>168</v>
      </c>
      <c r="D10176" s="7" t="n">
        <f aca="false">(Sens!C10156+Sens!D10156)/(Sens!C10157+Sens!D10157)</f>
        <v>0.6</v>
      </c>
      <c r="E10176" s="7" t="n">
        <f aca="false">(Sens!D10156+Sens!E10156)/(Sens!D10157+Sens!E10157)</f>
        <v>0.6</v>
      </c>
      <c r="F10176" s="7" t="n">
        <f aca="false">(Sens!E10156+Sens!F10156)/(Sens!E10157+Sens!F10157)</f>
        <v>0.6</v>
      </c>
      <c r="G10176" s="7" t="n">
        <f aca="false">(Sens!F10156+Sens!G10156)/(Sens!F10157+Sens!G10157)</f>
        <v>0.6</v>
      </c>
      <c r="H10176" s="7" t="n">
        <f aca="false">(Sens!G10156+Sens!H10156)/(Sens!G10157+Sens!H10157)</f>
        <v>0.6</v>
      </c>
      <c r="I10176" s="7" t="n">
        <f aca="false">(Sens!H10156+Sens!I10156)/(Sens!H10157+Sens!I10157)</f>
        <v>0.6</v>
      </c>
      <c r="J10176" s="7" t="n">
        <f aca="false">(Sens!I10156+Sens!J10156)/(Sens!I10157+Sens!J10157)</f>
        <v>0.6</v>
      </c>
      <c r="K10176" s="7" t="n">
        <f aca="false">(Sens!J10156+Sens!K10156)/(Sens!J10157+Sens!K10157)</f>
        <v>0.6</v>
      </c>
    </row>
    <row r="10177" customFormat="false" ht="17.15" hidden="false" customHeight="false" outlineLevel="0" collapsed="false">
      <c r="A10177" s="0" t="s">
        <v>989</v>
      </c>
      <c r="B10177" s="0" t="s">
        <v>98</v>
      </c>
      <c r="D10177" s="6" t="n">
        <f aca="false">Sens!D10171-Sens!D10176*(Sens!D10173+Sens!D10175)-Sens!D10174</f>
        <v>8.35701406163072</v>
      </c>
      <c r="E10177" s="6" t="n">
        <f aca="false">Sens!E10171-Sens!E10176*(Sens!E10173+Sens!E10175)-Sens!E10174</f>
        <v>18.7103224860238</v>
      </c>
      <c r="F10177" s="6" t="n">
        <f aca="false">Sens!F10171-Sens!F10176*(Sens!F10173+Sens!F10175)-Sens!F10174</f>
        <v>35.0947222830189</v>
      </c>
      <c r="G10177" s="6" t="n">
        <f aca="false">Sens!G10171-Sens!G10176*(Sens!G10173+Sens!G10175)-Sens!G10174</f>
        <v>52.9609920712477</v>
      </c>
      <c r="H10177" s="6" t="n">
        <f aca="false">Sens!H10171-Sens!H10176*(Sens!H10173+Sens!H10175)-Sens!H10174</f>
        <v>66.4405822844005</v>
      </c>
      <c r="I10177" s="6" t="n">
        <f aca="false">Sens!I10171-Sens!I10176*(Sens!I10173+Sens!I10175)-Sens!I10174</f>
        <v>84.7749393938279</v>
      </c>
      <c r="J10177" s="6" t="n">
        <f aca="false">Sens!J10171-Sens!J10176*(Sens!J10173+Sens!J10175)-Sens!J10174</f>
        <v>97.6526264137382</v>
      </c>
      <c r="K10177" s="6" t="n">
        <f aca="false">Sens!K10171-Sens!K10176*(Sens!K10173+Sens!K10175)-Sens!K10174</f>
        <v>105.965358412527</v>
      </c>
    </row>
    <row r="10178" customFormat="false" ht="17.15" hidden="false" customHeight="false" outlineLevel="0" collapsed="false">
      <c r="A10178" s="1" t="s">
        <v>990</v>
      </c>
      <c r="B10178" s="0" t="s">
        <v>98</v>
      </c>
      <c r="D10178" s="6" t="n">
        <f aca="false">(1-Sens!D10176)*(Sens!D10173+Sens!D10175)</f>
        <v>1.42281025374069</v>
      </c>
      <c r="E10178" s="6" t="n">
        <f aca="false">(1-Sens!E10176)*(Sens!E10173+Sens!E10175)</f>
        <v>3.25095598674472</v>
      </c>
      <c r="F10178" s="6" t="n">
        <f aca="false">(1-Sens!F10176)*(Sens!F10173+Sens!F10175)</f>
        <v>6.72135810147489</v>
      </c>
      <c r="G10178" s="6" t="n">
        <f aca="false">(1-Sens!G10176)*(Sens!G10173+Sens!G10175)</f>
        <v>11.3401410201637</v>
      </c>
      <c r="H10178" s="6" t="n">
        <f aca="false">(1-Sens!H10176)*(Sens!H10173+Sens!H10175)</f>
        <v>16.1920771049557</v>
      </c>
      <c r="I10178" s="6" t="n">
        <f aca="false">(1-Sens!I10176)*(Sens!I10173+Sens!I10175)</f>
        <v>20.3917774400264</v>
      </c>
      <c r="J10178" s="6" t="n">
        <f aca="false">(1-Sens!J10176)*(Sens!J10173+Sens!J10175)</f>
        <v>23.2503960207104</v>
      </c>
      <c r="K10178" s="6" t="n">
        <f aca="false">(1-Sens!K10176)*(Sens!K10173+Sens!K10175)</f>
        <v>24.8730801087085</v>
      </c>
    </row>
    <row r="10179" customFormat="false" ht="17.15" hidden="false" customHeight="false" outlineLevel="0" collapsed="false">
      <c r="A10179" s="1" t="s">
        <v>991</v>
      </c>
      <c r="B10179" s="0" t="s">
        <v>417</v>
      </c>
      <c r="C10179" s="8" t="n">
        <f aca="false">cxit_open</f>
        <v>27.5918995</v>
      </c>
      <c r="D10179" s="8" t="n">
        <f aca="false">cxit_open</f>
        <v>27.5918995</v>
      </c>
      <c r="E10179" s="8" t="n">
        <f aca="false">cxit_open</f>
        <v>27.5918995</v>
      </c>
      <c r="F10179" s="8" t="n">
        <f aca="false">((a_g3_27-nonnv*a_mai)*tk_cxit_gb300+nonnv*a_mai*nv_hold_mai*tk_cxit_vr200+(1-a_g3_27)*tk_cxit_vr200)</f>
        <v>32.4975576</v>
      </c>
      <c r="G10179" s="8" t="n">
        <f aca="false">((a_g3_28-nonnv*a_mai)*tk_cxit_gb300+nonnv*a_mai*nv_hold_mai*tk_cxit_vr200+(1-a_g3_28)*tk_cxit_vr200)</f>
        <v>34.6372088</v>
      </c>
      <c r="H10179" s="8" t="n">
        <f aca="false">((a_g3_29-nonnv*a_mai)*tk_cxit_gb300+nonnv*a_mai*nv_hold_mai*tk_cxit_vr200+(1-a_g3_29)*tk_cxit_vr200)</f>
        <v>35.7070344</v>
      </c>
      <c r="I10179" s="8" t="n">
        <f aca="false">((a_g3_29-nonnv*a_mai)*tk_cxit_gb300+nonnv*a_mai*nv_hold_mai*tk_cxit_vr200+(1-a_g3_29)*tk_cxit_vr200)</f>
        <v>35.7070344</v>
      </c>
      <c r="J10179" s="8" t="n">
        <f aca="false">((a_g3_29-nonnv*a_mai)*tk_cxit_gb300+nonnv*a_mai*nv_hold_mai*tk_cxit_vr200+(1-a_g3_29)*tk_cxit_vr200)</f>
        <v>35.7070344</v>
      </c>
      <c r="K10179" s="8" t="n">
        <f aca="false">((a_g3_29-nonnv*a_mai)*tk_cxit_gb300+nonnv*a_mai*nv_hold_mai*tk_cxit_vr200+(1-a_g3_29)*tk_cxit_vr200)</f>
        <v>35.7070344</v>
      </c>
      <c r="L10179" s="12" t="s">
        <v>992</v>
      </c>
    </row>
    <row r="10180" customFormat="false" ht="17.15" hidden="false" customHeight="false" outlineLevel="0" collapsed="false">
      <c r="A10180" s="0" t="s">
        <v>993</v>
      </c>
      <c r="B10180" s="0" t="s">
        <v>459</v>
      </c>
      <c r="F10180" s="30" t="n">
        <f aca="false">Sens!C10159*IF(Sens!F10152-Sens!C10152=life_it,1,0)+Sens!D10159*IF(Sens!F10152-Sens!D10152=life_it,1,0)+Sens!E10159*IF(Sens!F10152-Sens!E10152=life_it,1,0)</f>
        <v>0</v>
      </c>
      <c r="G10180" s="30" t="n">
        <f aca="false">Sens!C10159*IF(Sens!G10152-Sens!C10152=life_it,1,0)+Sens!D10159*IF(Sens!G10152-Sens!D10152=life_it,1,0)+Sens!E10159*IF(Sens!G10152-Sens!E10152=life_it,1,0)+Sens!F10159*IF(Sens!G10152-Sens!F10152=life_it,1,0)</f>
        <v>0</v>
      </c>
      <c r="H10180" s="30" t="n">
        <f aca="false">Sens!C10159*IF(Sens!H10152-Sens!C10152=life_it,1,0)+Sens!D10159*IF(Sens!H10152-Sens!D10152=life_it,1,0)+Sens!E10159*IF(Sens!H10152-Sens!E10152=life_it,1,0)+Sens!F10159*IF(Sens!H10152-Sens!F10152=life_it,1,0)+Sens!G10159*IF(Sens!H10152-Sens!G10152=life_it,1,0)</f>
        <v>0</v>
      </c>
      <c r="I10180" s="30" t="n">
        <f aca="false">Sens!C10159*IF(Sens!I10152-Sens!C10152=life_it,1,0)+Sens!D10159*IF(Sens!I10152-Sens!D10152=life_it,1,0)+Sens!E10159*IF(Sens!I10152-Sens!E10152=life_it,1,0)+Sens!F10159*IF(Sens!I10152-Sens!F10152=life_it,1,0)+Sens!G10159*IF(Sens!I10152-Sens!G10152=life_it,1,0)+Sens!H10159*IF(Sens!I10152-Sens!H10152=life_it,1,0)</f>
        <v>816.666666666667</v>
      </c>
      <c r="J10180" s="30" t="n">
        <f aca="false">Sens!C10159*IF(Sens!J10152-Sens!C10152=life_it,1,0)+Sens!D10159*IF(Sens!J10152-Sens!D10152=life_it,1,0)+Sens!E10159*IF(Sens!J10152-Sens!E10152=life_it,1,0)+Sens!F10159*IF(Sens!J10152-Sens!F10152=life_it,1,0)+Sens!G10159*IF(Sens!J10152-Sens!G10152=life_it,1,0)+Sens!H10159*IF(Sens!J10152-Sens!H10152=life_it,1,0)+Sens!I10159*IF(Sens!J10152-Sens!I10152=life_it,1,0)</f>
        <v>1233.33333333333</v>
      </c>
      <c r="K10180" s="30" t="n">
        <f aca="false">Sens!C10159*IF(Sens!K10152-Sens!C10152=life_it,1,0)+Sens!D10159*IF(Sens!K10152-Sens!D10152=life_it,1,0)+Sens!E10159*IF(Sens!K10152-Sens!E10152=life_it,1,0)+Sens!F10159*IF(Sens!K10152-Sens!F10152=life_it,1,0)+Sens!G10159*IF(Sens!K10152-Sens!G10152=life_it,1,0)+Sens!H10159*IF(Sens!K10152-Sens!H10152=life_it,1,0)+Sens!I10159*IF(Sens!K10152-Sens!I10152=life_it,1,0)+Sens!J10159*IF(Sens!K10152-Sens!J10152=life_it,1,0)</f>
        <v>2450</v>
      </c>
      <c r="L10180" s="1" t="s">
        <v>994</v>
      </c>
    </row>
    <row r="10181" customFormat="false" ht="17.15" hidden="false" customHeight="false" outlineLevel="0" collapsed="false">
      <c r="A10181" s="0" t="s">
        <v>995</v>
      </c>
      <c r="B10181" s="0" t="s">
        <v>98</v>
      </c>
      <c r="C10181" s="6" t="n">
        <f aca="false">Sens!C10159*Sens!C10179/1000</f>
        <v>22.5333845916667</v>
      </c>
      <c r="D10181" s="6" t="n">
        <f aca="false">Sens!D10159*Sens!D10179/1000</f>
        <v>34.0300093833333</v>
      </c>
      <c r="E10181" s="6" t="n">
        <f aca="false">Sens!E10159*Sens!E10179/1000</f>
        <v>67.600153775</v>
      </c>
      <c r="F10181" s="6" t="n">
        <f aca="false">(Sens!F10159+Sens!F10180)*Sens!F10179/1000</f>
        <v>136.51872432512</v>
      </c>
      <c r="G10181" s="6" t="n">
        <f aca="false">(Sens!G10159+Sens!G10180)*Sens!G10179/1000</f>
        <v>157.399275932048</v>
      </c>
      <c r="H10181" s="6" t="n">
        <f aca="false">(Sens!H10159+Sens!H10180)*Sens!H10179/1000</f>
        <v>162.260804347512</v>
      </c>
      <c r="I10181" s="6" t="n">
        <f aca="false">(Sens!I10159+Sens!I10180)*Sens!I10179/1000</f>
        <v>144.136569485434</v>
      </c>
      <c r="J10181" s="6" t="n">
        <f aca="false">(Sens!J10159+Sens!J10180)*Sens!J10179/1000</f>
        <v>114.029037357864</v>
      </c>
      <c r="K10181" s="6" t="n">
        <f aca="false">(Sens!K10159+Sens!K10180)*Sens!K10179/1000</f>
        <v>113.437085350975</v>
      </c>
    </row>
    <row r="10182" customFormat="false" ht="17.15" hidden="false" customHeight="false" outlineLevel="0" collapsed="false">
      <c r="A10182" s="0" t="s">
        <v>996</v>
      </c>
      <c r="B10182" s="0" t="s">
        <v>98</v>
      </c>
      <c r="C10182" s="6" t="n">
        <f aca="false">Sens!C10159*self_build*tk_cxfac/1000</f>
        <v>6.2083</v>
      </c>
      <c r="D10182" s="6" t="n">
        <f aca="false">Sens!D10159*self_build*tk_cxfac/1000</f>
        <v>9.3758</v>
      </c>
      <c r="E10182" s="6" t="n">
        <f aca="false">Sens!E10159*self_build*tk_cxfac/1000</f>
        <v>18.6249</v>
      </c>
      <c r="F10182" s="6" t="n">
        <f aca="false">Sens!F10159*self_build*tk_cxfac/1000</f>
        <v>31.935179717</v>
      </c>
      <c r="G10182" s="6" t="n">
        <f aca="false">Sens!G10159*self_build*tk_cxfac/1000</f>
        <v>34.545199717</v>
      </c>
      <c r="H10182" s="6" t="n">
        <f aca="false">Sens!H10159*self_build*tk_cxfac/1000</f>
        <v>34.545199717</v>
      </c>
      <c r="I10182" s="6" t="n">
        <f aca="false">Sens!I10159*self_build*tk_cxfac/1000</f>
        <v>24.4782641361767</v>
      </c>
      <c r="J10182" s="6" t="n">
        <f aca="false">Sens!J10159*self_build*tk_cxfac/1000</f>
        <v>14.9008938380769</v>
      </c>
      <c r="K10182" s="6" t="n">
        <f aca="false">Sens!K10159*self_build*tk_cxfac/1000</f>
        <v>5.52576771375761</v>
      </c>
    </row>
    <row r="10183" customFormat="false" ht="17.15" hidden="false" customHeight="false" outlineLevel="0" collapsed="false">
      <c r="A10183" s="0" t="s">
        <v>997</v>
      </c>
      <c r="B10183" s="0" t="s">
        <v>98</v>
      </c>
      <c r="F10183" s="15" t="n">
        <f aca="false">capex_floor27-Sens!F10181-Sens!F10182-Sens!F10279</f>
        <v>-0.15709782049845</v>
      </c>
      <c r="L10183" s="12" t="s">
        <v>998</v>
      </c>
    </row>
    <row r="10184" customFormat="false" ht="17.15" hidden="false" customHeight="false" outlineLevel="0" collapsed="false">
      <c r="A10184" s="0" t="s">
        <v>999</v>
      </c>
      <c r="B10184" s="0" t="s">
        <v>98</v>
      </c>
      <c r="F10184" s="6" t="n">
        <f aca="false">MAX(0,Sens!F10183)</f>
        <v>0</v>
      </c>
    </row>
    <row r="10185" customFormat="false" ht="17.15" hidden="false" customHeight="false" outlineLevel="0" collapsed="false">
      <c r="A10185" s="0" t="s">
        <v>1000</v>
      </c>
      <c r="B10185" s="0" t="s">
        <v>98</v>
      </c>
      <c r="C10185" s="6" t="n">
        <f aca="false">Sens!C10181</f>
        <v>22.5333845916667</v>
      </c>
      <c r="D10185" s="6" t="n">
        <f aca="false">Sens!D10181</f>
        <v>34.0300093833333</v>
      </c>
      <c r="E10185" s="6" t="n">
        <f aca="false">Sens!E10181</f>
        <v>67.600153775</v>
      </c>
      <c r="F10185" s="6" t="n">
        <f aca="false">Sens!F10181</f>
        <v>136.51872432512</v>
      </c>
      <c r="G10185" s="6" t="n">
        <f aca="false">Sens!G10181</f>
        <v>157.399275932048</v>
      </c>
      <c r="H10185" s="6" t="n">
        <f aca="false">Sens!H10181</f>
        <v>162.260804347512</v>
      </c>
      <c r="I10185" s="6" t="n">
        <f aca="false">Sens!I10181</f>
        <v>144.136569485434</v>
      </c>
      <c r="J10185" s="6" t="n">
        <f aca="false">Sens!J10181</f>
        <v>114.029037357864</v>
      </c>
      <c r="K10185" s="6" t="n">
        <f aca="false">Sens!K10181</f>
        <v>113.437085350975</v>
      </c>
    </row>
    <row r="10186" customFormat="false" ht="17.15" hidden="false" customHeight="false" outlineLevel="0" collapsed="false">
      <c r="A10186" s="0" t="s">
        <v>1001</v>
      </c>
      <c r="B10186" s="0" t="s">
        <v>98</v>
      </c>
      <c r="C10186" s="6" t="n">
        <f aca="false">Sens!C10185+Sens!C10182</f>
        <v>28.7416845916667</v>
      </c>
      <c r="D10186" s="6" t="n">
        <f aca="false">Sens!D10185+Sens!D10182</f>
        <v>43.4058093833333</v>
      </c>
      <c r="E10186" s="6" t="n">
        <f aca="false">Sens!E10185+Sens!E10182</f>
        <v>86.225053775</v>
      </c>
      <c r="F10186" s="6" t="n">
        <f aca="false">Sens!F10185+Sens!F10182</f>
        <v>168.45390404212</v>
      </c>
      <c r="G10186" s="6" t="n">
        <f aca="false">Sens!G10185+Sens!G10182</f>
        <v>191.944475649048</v>
      </c>
      <c r="H10186" s="6" t="n">
        <f aca="false">Sens!H10185+Sens!H10182</f>
        <v>196.806004064512</v>
      </c>
      <c r="I10186" s="6" t="n">
        <f aca="false">Sens!I10185+Sens!I10182</f>
        <v>168.61483362161</v>
      </c>
      <c r="J10186" s="6" t="n">
        <f aca="false">Sens!J10185+Sens!J10182</f>
        <v>128.92993119594</v>
      </c>
      <c r="K10186" s="6" t="n">
        <f aca="false">Sens!K10185+Sens!K10182</f>
        <v>118.962853064733</v>
      </c>
      <c r="L10186" s="12" t="s">
        <v>1002</v>
      </c>
    </row>
    <row r="10187" customFormat="false" ht="17.15" hidden="false" customHeight="false" outlineLevel="0" collapsed="false">
      <c r="A10187" s="0" t="s">
        <v>1003</v>
      </c>
      <c r="B10187" s="0" t="s">
        <v>98</v>
      </c>
      <c r="E10187" s="6" t="n">
        <f aca="false">(Sens!C10185*IF(2&lt;life_it,1,IF(2=life_it,0.5,0))+Sens!D10185*IF(1&lt;life_it,1,IF(1=life_it,0.5,0))+Sens!E10185*0.5)/life_it</f>
        <v>15.0605784770833</v>
      </c>
      <c r="F10187" s="6" t="n">
        <f aca="false">(Sens!C10185*IF(3&lt;life_it,1,IF(3=life_it,0.5,0))+Sens!D10185*IF(2&lt;life_it,1,IF(2=life_it,0.5,0))+Sens!E10185*IF(1&lt;life_it,1,IF(1=life_it,0.5,0))+Sens!F10185*0.5)/life_it</f>
        <v>32.0704849854266</v>
      </c>
      <c r="G10187" s="6" t="n">
        <f aca="false">(Sens!C10185*IF(4&lt;life_it,1,IF(4=life_it,0.5,0))+Sens!D10185*IF(3&lt;life_it,1,IF(3=life_it,0.5,0))+Sens!E10185*IF(2&lt;life_it,1,IF(2=life_it,0.5,0))+Sens!F10185*IF(1&lt;life_it,1,IF(1=life_it,0.5,0))+Sens!G10185*0.5)/life_it</f>
        <v>56.5636516735239</v>
      </c>
      <c r="H10187" s="6" t="n">
        <f aca="false">(Sens!C10185*IF(5&lt;life_it,1,IF(5=life_it,0.5,0))+Sens!D10185*IF(4&lt;life_it,1,IF(4=life_it,0.5,0))+Sens!E10185*IF(3&lt;life_it,1,IF(3=life_it,0.5,0))+Sens!F10185*IF(2&lt;life_it,1,IF(2=life_it,0.5,0))+Sens!G10185*IF(1&lt;life_it,1,IF(1=life_it,0.5,0))+Sens!H10185*0.5)/life_it</f>
        <v>83.2019916968207</v>
      </c>
      <c r="I10187" s="6" t="n">
        <f aca="false">(Sens!C10185*IF(6&lt;life_it,1,IF(6=life_it,0.5,0))+Sens!D10185*IF(5&lt;life_it,1,IF(5=life_it,0.5,0))+Sens!E10185*IF(4&lt;life_it,1,IF(4=life_it,0.5,0))+Sens!F10185*IF(3&lt;life_it,1,IF(3=life_it,0.5,0))+Sens!G10185*IF(2&lt;life_it,1,IF(2=life_it,0.5,0))+Sens!H10185*IF(1&lt;life_it,1,IF(1=life_it,0.5,0))+Sens!I10185*0.5)/life_it</f>
        <v>106.857324133594</v>
      </c>
      <c r="J10187" s="6" t="n">
        <f aca="false">(Sens!C10185*IF(7&lt;life_it,1,IF(7=life_it,0.5,0))+Sens!D10185*IF(6&lt;life_it,1,IF(6=life_it,0.5,0))+Sens!E10185*IF(5&lt;life_it,1,IF(5=life_it,0.5,0))+Sens!F10185*IF(4&lt;life_it,1,IF(4=life_it,0.5,0))+Sens!G10185*IF(3&lt;life_it,1,IF(3=life_it,0.5,0))+Sens!H10185*IF(2&lt;life_it,1,IF(2=life_it,0.5,0))+Sens!I10185*IF(1&lt;life_it,1,IF(1=life_it,0.5,0))+Sens!J10185*0.5)/life_it</f>
        <v>123.657508539285</v>
      </c>
      <c r="K10187" s="6" t="n">
        <f aca="false">(Sens!C10185*IF(8&lt;life_it,1,IF(8=life_it,0.5,0))+Sens!D10185*IF(7&lt;life_it,1,IF(7=life_it,0.5,0))+Sens!E10185*IF(6&lt;life_it,1,IF(6=life_it,0.5,0))+Sens!F10185*IF(5&lt;life_it,1,IF(5=life_it,0.5,0))+Sens!G10185*IF(4&lt;life_it,1,IF(4=life_it,0.5,0))+Sens!H10185*IF(3&lt;life_it,1,IF(3=life_it,0.5,0))+Sens!I10185*IF(2&lt;life_it,1,IF(2=life_it,0.5,0))+Sens!J10185*IF(1&lt;life_it,1,IF(1=life_it,0.5,0))+Sens!K10185*0.5)/life_it</f>
        <v>134.143838501827</v>
      </c>
    </row>
    <row r="10188" customFormat="false" ht="17.15" hidden="false" customHeight="false" outlineLevel="0" collapsed="false">
      <c r="A10188" s="0" t="s">
        <v>1004</v>
      </c>
      <c r="B10188" s="0" t="s">
        <v>98</v>
      </c>
      <c r="E10188" s="6" t="n">
        <f aca="false">(Sens!C10182*IF(2&lt;life_fac,1,IF(2=life_fac,0.5,0))+Sens!D10182*IF(1&lt;life_fac,1,IF(1=life_fac,0.5,0))+Sens!E10182*0.5)/life_fac</f>
        <v>1.2448275</v>
      </c>
      <c r="F10188" s="6" t="n">
        <f aca="false">(Sens!C10182*IF(3&lt;life_fac,1,IF(3=life_fac,0.5,0))+Sens!D10182*IF(2&lt;life_fac,1,IF(2=life_fac,0.5,0))+Sens!E10182*IF(1&lt;life_fac,1,IF(1=life_fac,0.5,0))+Sens!F10182*0.5)/life_fac</f>
        <v>2.508829492925</v>
      </c>
      <c r="G10188" s="6" t="n">
        <f aca="false">(Sens!C10182*IF(4&lt;life_fac,1,IF(4=life_fac,0.5,0))+Sens!D10182*IF(3&lt;life_fac,1,IF(3=life_fac,0.5,0))+Sens!E10182*IF(2&lt;life_fac,1,IF(2=life_fac,0.5,0))+Sens!F10182*IF(1&lt;life_fac,1,IF(1=life_fac,0.5,0))+Sens!G10182*0.5)/life_fac</f>
        <v>4.170838978775</v>
      </c>
      <c r="H10188" s="6" t="n">
        <f aca="false">(Sens!C10182*IF(5&lt;life_fac,1,IF(5=life_fac,0.5,0))+Sens!D10182*IF(4&lt;life_fac,1,IF(4=life_fac,0.5,0))+Sens!E10182*IF(3&lt;life_fac,1,IF(3=life_fac,0.5,0))+Sens!F10182*IF(2&lt;life_fac,1,IF(2=life_fac,0.5,0))+Sens!G10182*IF(1&lt;life_fac,1,IF(1=life_fac,0.5,0))+Sens!H10182*0.5)/life_fac</f>
        <v>5.898098964625</v>
      </c>
      <c r="I10188" s="6" t="n">
        <f aca="false">(Sens!C10182*IF(6&lt;life_fac,1,IF(6=life_fac,0.5,0))+Sens!D10182*IF(5&lt;life_fac,1,IF(5=life_fac,0.5,0))+Sens!E10182*IF(4&lt;life_fac,1,IF(4=life_fac,0.5,0))+Sens!F10182*IF(3&lt;life_fac,1,IF(3=life_fac,0.5,0))+Sens!G10182*IF(2&lt;life_fac,1,IF(2=life_fac,0.5,0))+Sens!H10182*IF(1&lt;life_fac,1,IF(1=life_fac,0.5,0))+Sens!I10182*0.5)/life_fac</f>
        <v>7.37368556095442</v>
      </c>
      <c r="J10188" s="6" t="n">
        <f aca="false">(Sens!C10182*IF(7&lt;life_fac,1,IF(7=life_fac,0.5,0))+Sens!D10182*IF(6&lt;life_fac,1,IF(6=life_fac,0.5,0))+Sens!E10182*IF(5&lt;life_fac,1,IF(5=life_fac,0.5,0))+Sens!F10182*IF(4&lt;life_fac,1,IF(4=life_fac,0.5,0))+Sens!G10182*IF(3&lt;life_fac,1,IF(3=life_fac,0.5,0))+Sens!H10182*IF(2&lt;life_fac,1,IF(2=life_fac,0.5,0))+Sens!I10182*IF(1&lt;life_fac,1,IF(1=life_fac,0.5,0))+Sens!J10182*0.5)/life_fac</f>
        <v>8.35816451031075</v>
      </c>
      <c r="K10188" s="6" t="n">
        <f aca="false">(Sens!C10182*IF(8&lt;life_fac,1,IF(8=life_fac,0.5,0))+Sens!D10182*IF(7&lt;life_fac,1,IF(7=life_fac,0.5,0))+Sens!E10182*IF(6&lt;life_fac,1,IF(6=life_fac,0.5,0))+Sens!F10182*IF(5&lt;life_fac,1,IF(5=life_fac,0.5,0))+Sens!G10182*IF(4&lt;life_fac,1,IF(4=life_fac,0.5,0))+Sens!H10182*IF(3&lt;life_fac,1,IF(3=life_fac,0.5,0))+Sens!I10182*IF(2&lt;life_fac,1,IF(2=life_fac,0.5,0))+Sens!J10182*IF(1&lt;life_fac,1,IF(1=life_fac,0.5,0))+Sens!K10182*0.5)/life_fac</f>
        <v>8.86883104910662</v>
      </c>
    </row>
    <row r="10189" customFormat="false" ht="17.15" hidden="false" customHeight="false" outlineLevel="0" collapsed="false">
      <c r="A10189" s="0" t="s">
        <v>1005</v>
      </c>
      <c r="B10189" s="0" t="s">
        <v>98</v>
      </c>
      <c r="E10189" s="6" t="n">
        <f aca="false">Sens!E10187+Sens!E10188</f>
        <v>16.3054059770833</v>
      </c>
      <c r="F10189" s="6" t="n">
        <f aca="false">Sens!F10187+Sens!F10188</f>
        <v>34.5793144783516</v>
      </c>
      <c r="G10189" s="6" t="n">
        <f aca="false">Sens!G10187+Sens!G10188</f>
        <v>60.7344906522989</v>
      </c>
      <c r="H10189" s="6" t="n">
        <f aca="false">Sens!H10187+Sens!H10188</f>
        <v>89.1000906614457</v>
      </c>
      <c r="I10189" s="6" t="n">
        <f aca="false">Sens!I10187+Sens!I10188</f>
        <v>114.231009694548</v>
      </c>
      <c r="J10189" s="6" t="n">
        <f aca="false">Sens!J10187+Sens!J10188</f>
        <v>132.015673049596</v>
      </c>
      <c r="K10189" s="6" t="n">
        <f aca="false">Sens!K10187+Sens!K10188</f>
        <v>143.012669550934</v>
      </c>
    </row>
    <row r="10190" customFormat="false" ht="17.15" hidden="false" customHeight="false" outlineLevel="0" collapsed="false">
      <c r="A10190" s="0" t="s">
        <v>1006</v>
      </c>
      <c r="B10190" s="0" t="s">
        <v>98</v>
      </c>
      <c r="E10190" s="6" t="n">
        <f aca="false">Sens!E10177-Sens!E10176*Sens!E10189</f>
        <v>8.92707889977379</v>
      </c>
      <c r="F10190" s="6" t="n">
        <f aca="false">Sens!F10177-Sens!F10176*Sens!F10189</f>
        <v>14.3471335960079</v>
      </c>
      <c r="G10190" s="6" t="n">
        <f aca="false">Sens!G10177-Sens!G10176*Sens!G10189</f>
        <v>16.5202976798683</v>
      </c>
      <c r="H10190" s="6" t="n">
        <f aca="false">Sens!H10177-Sens!H10176*Sens!H10189</f>
        <v>12.9805278875331</v>
      </c>
      <c r="I10190" s="6" t="n">
        <f aca="false">Sens!I10177-Sens!I10176*Sens!I10189</f>
        <v>16.2363335770989</v>
      </c>
      <c r="J10190" s="6" t="n">
        <f aca="false">Sens!J10177-Sens!J10176*Sens!J10189</f>
        <v>18.4432225839805</v>
      </c>
      <c r="K10190" s="6" t="n">
        <f aca="false">Sens!K10177-Sens!K10176*Sens!K10189</f>
        <v>20.1577566819661</v>
      </c>
    </row>
    <row r="10191" customFormat="false" ht="17.15" hidden="false" customHeight="false" outlineLevel="0" collapsed="false">
      <c r="A10191" s="3" t="s">
        <v>1866</v>
      </c>
    </row>
    <row r="10192" customFormat="false" ht="15" hidden="false" customHeight="false" outlineLevel="0" collapsed="false">
      <c r="A10192" s="4" t="s">
        <v>43</v>
      </c>
      <c r="B10192" s="4" t="s">
        <v>65</v>
      </c>
      <c r="C10192" s="23" t="s">
        <v>942</v>
      </c>
      <c r="D10192" s="23" t="s">
        <v>943</v>
      </c>
      <c r="E10192" s="23" t="s">
        <v>944</v>
      </c>
      <c r="F10192" s="23" t="s">
        <v>945</v>
      </c>
      <c r="G10192" s="23" t="s">
        <v>946</v>
      </c>
      <c r="H10192" s="23" t="s">
        <v>947</v>
      </c>
      <c r="I10192" s="23" t="s">
        <v>948</v>
      </c>
      <c r="J10192" s="23" t="s">
        <v>949</v>
      </c>
      <c r="K10192" s="23" t="s">
        <v>950</v>
      </c>
      <c r="L10192" s="4" t="s">
        <v>47</v>
      </c>
    </row>
    <row r="10193" customFormat="false" ht="17.15" hidden="false" customHeight="false" outlineLevel="0" collapsed="false">
      <c r="A10193" s="0" t="s">
        <v>1025</v>
      </c>
      <c r="B10193" s="0" t="s">
        <v>98</v>
      </c>
      <c r="D10193" s="6" t="n">
        <f aca="false">Sens!D10171</f>
        <v>12.9359794422418</v>
      </c>
      <c r="E10193" s="6" t="n">
        <f aca="false">Sens!E10171</f>
        <v>27.8095064661409</v>
      </c>
      <c r="F10193" s="6" t="n">
        <f aca="false">Sens!F10171</f>
        <v>50.9819294352312</v>
      </c>
      <c r="G10193" s="6" t="n">
        <f aca="false">Sens!G10171</f>
        <v>76.6920436014933</v>
      </c>
      <c r="H10193" s="6" t="n">
        <f aca="false">Sens!H10171</f>
        <v>97.4495379418341</v>
      </c>
      <c r="I10193" s="6" t="n">
        <f aca="false">Sens!I10171</f>
        <v>122.083445553868</v>
      </c>
      <c r="J10193" s="6" t="n">
        <f aca="false">Sens!J10171</f>
        <v>139.249060444804</v>
      </c>
      <c r="K10193" s="6" t="n">
        <f aca="false">Sens!K10171</f>
        <v>149.995818575589</v>
      </c>
    </row>
    <row r="10194" customFormat="false" ht="17.15" hidden="false" customHeight="false" outlineLevel="0" collapsed="false">
      <c r="A10194" s="0" t="s">
        <v>1026</v>
      </c>
      <c r="B10194" s="0" t="s">
        <v>98</v>
      </c>
      <c r="D10194" s="6" t="n">
        <f aca="false">Q!L6-Sens!D10193</f>
        <v>59.6740205577583</v>
      </c>
      <c r="E10194" s="6" t="n">
        <f aca="false">Q!M6-Sens!E10193</f>
        <v>74.1284935338591</v>
      </c>
      <c r="F10194" s="6" t="n">
        <f aca="false">Q!$I$6+(Sens!F10193+Sens!E10194*(1+Sens!F10195))*(1-Q!$E$6/Q!M6)-Sens!F10193</f>
        <v>92.6556276438506</v>
      </c>
      <c r="G10194" s="6" t="n">
        <f aca="false">Sens!F10194*(1+Sens!G10195)</f>
        <v>111.324123358531</v>
      </c>
      <c r="H10194" s="6" t="n">
        <f aca="false">Sens!G10194*(1+Sens!H10195)</f>
        <v>131.486251477999</v>
      </c>
      <c r="I10194" s="6" t="n">
        <f aca="false">Sens!H10194*(1+Sens!I10195)</f>
        <v>152.621521729358</v>
      </c>
      <c r="J10194" s="6" t="n">
        <f aca="false">Sens!I10194*(1+Sens!J10195)</f>
        <v>174.045103507083</v>
      </c>
      <c r="K10194" s="6" t="n">
        <f aca="false">Sens!J10194*(1+Sens!K10195)</f>
        <v>194.930515927933</v>
      </c>
      <c r="L10194" s="12" t="s">
        <v>1027</v>
      </c>
    </row>
    <row r="10195" customFormat="false" ht="15" hidden="false" customHeight="false" outlineLevel="0" collapsed="false">
      <c r="A10195" s="1" t="s">
        <v>1028</v>
      </c>
      <c r="B10195" s="0" t="s">
        <v>168</v>
      </c>
      <c r="E10195" s="7" t="n">
        <f aca="false">Sens!E10194/Sens!D10194-1</f>
        <v>0.242223883039864</v>
      </c>
      <c r="F10195" s="7" t="n">
        <f aca="false">Sens!$E$10195+(glt_azo_hi-Sens!$E$10195)*MIN(1,(Sens!F10152-base_fy)/n_conv)</f>
        <v>0.221853235866554</v>
      </c>
      <c r="G10195" s="7" t="n">
        <f aca="false">Sens!$E$10195+(glt_azo_hi-Sens!$E$10195)*MIN(1,(Sens!G10152-base_fy)/n_conv)</f>
        <v>0.201482588693243</v>
      </c>
      <c r="H10195" s="7" t="n">
        <f aca="false">Sens!$E$10195+(glt_azo_hi-Sens!$E$10195)*MIN(1,(Sens!H10152-base_fy)/n_conv)</f>
        <v>0.181111941519932</v>
      </c>
      <c r="I10195" s="7" t="n">
        <f aca="false">Sens!$E$10195+(glt_azo_hi-Sens!$E$10195)*MIN(1,(Sens!I10152-base_fy)/n_conv)</f>
        <v>0.160741294346622</v>
      </c>
      <c r="J10195" s="7" t="n">
        <f aca="false">Sens!$E$10195+(glt_azo_hi-Sens!$E$10195)*MIN(1,(Sens!J10152-base_fy)/n_conv)</f>
        <v>0.140370647173311</v>
      </c>
      <c r="K10195" s="7" t="n">
        <f aca="false">Sens!$E$10195+(glt_azo_hi-Sens!$E$10195)*MIN(1,(Sens!K10152-base_fy)/n_conv)</f>
        <v>0.12</v>
      </c>
    </row>
    <row r="10196" customFormat="false" ht="15" hidden="false" customHeight="false" outlineLevel="0" collapsed="false">
      <c r="A10196" s="0" t="s">
        <v>1029</v>
      </c>
      <c r="B10196" s="0" t="s">
        <v>98</v>
      </c>
      <c r="D10196" s="6" t="n">
        <f aca="false">Sens!D10193+Sens!D10194</f>
        <v>72.61</v>
      </c>
      <c r="E10196" s="6" t="n">
        <f aca="false">Sens!E10193+Sens!E10194</f>
        <v>101.938</v>
      </c>
      <c r="F10196" s="6" t="n">
        <f aca="false">Sens!F10193+Sens!F10194</f>
        <v>143.637557079082</v>
      </c>
      <c r="G10196" s="6" t="n">
        <f aca="false">Sens!G10193+Sens!G10194</f>
        <v>188.016166960024</v>
      </c>
      <c r="H10196" s="6" t="n">
        <f aca="false">Sens!H10193+Sens!H10194</f>
        <v>228.935789419833</v>
      </c>
      <c r="I10196" s="6" t="n">
        <f aca="false">Sens!I10193+Sens!I10194</f>
        <v>274.704967283225</v>
      </c>
      <c r="J10196" s="6" t="n">
        <f aca="false">Sens!J10193+Sens!J10194</f>
        <v>313.294163951887</v>
      </c>
      <c r="K10196" s="6" t="n">
        <f aca="false">Sens!K10193+Sens!K10194</f>
        <v>344.926334503522</v>
      </c>
    </row>
    <row r="10197" customFormat="false" ht="17.15" hidden="false" customHeight="false" outlineLevel="0" collapsed="false">
      <c r="A10197" s="0" t="s">
        <v>1030</v>
      </c>
      <c r="B10197" s="1" t="s">
        <v>613</v>
      </c>
      <c r="C10197" s="30" t="n">
        <f aca="false">cop_s24</f>
        <v>1</v>
      </c>
      <c r="D10197" s="30" t="n">
        <f aca="false">cop_s25</f>
        <v>5</v>
      </c>
      <c r="E10197" s="30" t="n">
        <f aca="false">cop_s26</f>
        <v>30</v>
      </c>
      <c r="F10197" s="30" t="n">
        <f aca="false">Sens!E10197+cop_add_C</f>
        <v>40</v>
      </c>
      <c r="G10197" s="30" t="n">
        <f aca="false">Sens!F10197+cop_add_C</f>
        <v>50</v>
      </c>
      <c r="H10197" s="30" t="n">
        <f aca="false">Sens!G10197+cop_add_C</f>
        <v>60</v>
      </c>
      <c r="I10197" s="30" t="n">
        <f aca="false">Sens!H10197+cop_add_C*cop_tail</f>
        <v>65</v>
      </c>
      <c r="J10197" s="30" t="n">
        <f aca="false">Sens!I10197+cop_add_C*cop_tail</f>
        <v>70</v>
      </c>
      <c r="K10197" s="30" t="n">
        <f aca="false">Sens!J10197+cop_add_C*cop_tail</f>
        <v>75</v>
      </c>
      <c r="L10197" s="12" t="s">
        <v>1031</v>
      </c>
    </row>
    <row r="10198" customFormat="false" ht="17.15" hidden="false" customHeight="false" outlineLevel="0" collapsed="false">
      <c r="A10198" s="0" t="s">
        <v>1032</v>
      </c>
      <c r="B10198" s="0" t="s">
        <v>98</v>
      </c>
      <c r="D10198" s="6" t="n">
        <f aca="false">(Sens!C10197+Sens!D10197)/2*cop_px*12/1000</f>
        <v>0.9</v>
      </c>
      <c r="E10198" s="6" t="n">
        <f aca="false">(Sens!D10197+Sens!E10197)/2*cop_px*12/1000</f>
        <v>5.25</v>
      </c>
      <c r="F10198" s="6" t="n">
        <f aca="false">(Sens!E10197+Sens!F10197)/2*cop_px*12/1000</f>
        <v>10.5</v>
      </c>
      <c r="G10198" s="6" t="n">
        <f aca="false">(Sens!F10197+Sens!G10197)/2*cop_px*12/1000</f>
        <v>13.5</v>
      </c>
      <c r="H10198" s="6" t="n">
        <f aca="false">(Sens!G10197+Sens!H10197)/2*cop_px*12/1000</f>
        <v>16.5</v>
      </c>
      <c r="I10198" s="6" t="n">
        <f aca="false">(Sens!H10197+Sens!I10197)/2*cop_px*12/1000</f>
        <v>18.75</v>
      </c>
      <c r="J10198" s="6" t="n">
        <f aca="false">(Sens!I10197+Sens!J10197)/2*cop_px*12/1000</f>
        <v>20.25</v>
      </c>
      <c r="K10198" s="6" t="n">
        <f aca="false">(Sens!J10197+Sens!K10197)/2*cop_px*12/1000</f>
        <v>21.75</v>
      </c>
      <c r="L10198" s="1" t="s">
        <v>1033</v>
      </c>
    </row>
    <row r="10199" customFormat="false" ht="17.15" hidden="false" customHeight="false" outlineLevel="0" collapsed="false">
      <c r="A10199" s="0" t="s">
        <v>1034</v>
      </c>
      <c r="B10199" s="0" t="s">
        <v>98</v>
      </c>
      <c r="D10199" s="6" t="n">
        <f aca="false">Q!L7-Sens!D10198</f>
        <v>83.705</v>
      </c>
      <c r="E10199" s="6" t="n">
        <f aca="false">Q!M7-Sens!E10198</f>
        <v>95.049</v>
      </c>
      <c r="F10199" s="6" t="n">
        <f aca="false">Q!$I$7+(Sens!E10199*(1+Sens!F10200)+Sens!F10198)*(1-Q!$E$7/Q!M7)-Sens!F10198</f>
        <v>106.938354189776</v>
      </c>
      <c r="G10199" s="6" t="n">
        <f aca="false">Sens!F10199*(1+Sens!G10200)</f>
        <v>119.095360443801</v>
      </c>
      <c r="H10199" s="6" t="n">
        <f aca="false">Sens!G10199*(1+Sens!H10200)</f>
        <v>131.333811964563</v>
      </c>
      <c r="I10199" s="6" t="n">
        <f aca="false">Sens!H10199*(1+Sens!I10200)</f>
        <v>143.395665319381</v>
      </c>
      <c r="J10199" s="6" t="n">
        <f aca="false">Sens!I10199*(1+Sens!J10200)</f>
        <v>154.999327755573</v>
      </c>
      <c r="K10199" s="6" t="n">
        <f aca="false">Sens!J10199*(1+Sens!K10200)</f>
        <v>165.849280698463</v>
      </c>
      <c r="L10199" s="12" t="s">
        <v>1035</v>
      </c>
    </row>
    <row r="10200" customFormat="false" ht="15" hidden="false" customHeight="false" outlineLevel="0" collapsed="false">
      <c r="A10200" s="1" t="s">
        <v>1028</v>
      </c>
      <c r="B10200" s="0" t="s">
        <v>168</v>
      </c>
      <c r="E10200" s="7" t="n">
        <f aca="false">Sens!E10199/Sens!D10199-1</f>
        <v>0.135523564900544</v>
      </c>
      <c r="F10200" s="7" t="n">
        <f aca="false">Sens!$E$10200+(glt_m365b-Sens!$E$10200)*MIN(1,(Sens!F10152-base_fy)/n_conv)</f>
        <v>0.124602970750453</v>
      </c>
      <c r="G10200" s="7" t="n">
        <f aca="false">Sens!$E$10200+(glt_m365b-Sens!$E$10200)*MIN(1,(Sens!G10152-base_fy)/n_conv)</f>
        <v>0.113682376600363</v>
      </c>
      <c r="H10200" s="7" t="n">
        <f aca="false">Sens!$E$10200+(glt_m365b-Sens!$E$10200)*MIN(1,(Sens!H10152-base_fy)/n_conv)</f>
        <v>0.102761782450272</v>
      </c>
      <c r="I10200" s="7" t="n">
        <f aca="false">Sens!$E$10200+(glt_m365b-Sens!$E$10200)*MIN(1,(Sens!I10152-base_fy)/n_conv)</f>
        <v>0.0918411883001813</v>
      </c>
      <c r="J10200" s="7" t="n">
        <f aca="false">Sens!$E$10200+(glt_m365b-Sens!$E$10200)*MIN(1,(Sens!J10152-base_fy)/n_conv)</f>
        <v>0.0809205941500906</v>
      </c>
      <c r="K10200" s="7" t="n">
        <f aca="false">Sens!$E$10200+(glt_m365b-Sens!$E$10200)*MIN(1,(Sens!K10152-base_fy)/n_conv)</f>
        <v>0.07</v>
      </c>
    </row>
    <row r="10201" customFormat="false" ht="15" hidden="false" customHeight="false" outlineLevel="0" collapsed="false">
      <c r="A10201" s="0" t="s">
        <v>1036</v>
      </c>
      <c r="B10201" s="0" t="s">
        <v>98</v>
      </c>
      <c r="D10201" s="6" t="n">
        <f aca="false">Sens!D10199+Sens!D10198</f>
        <v>84.605</v>
      </c>
      <c r="E10201" s="6" t="n">
        <f aca="false">Sens!E10199+Sens!E10198</f>
        <v>100.299</v>
      </c>
      <c r="F10201" s="6" t="n">
        <f aca="false">Sens!F10199+Sens!F10198</f>
        <v>117.438354189776</v>
      </c>
      <c r="G10201" s="6" t="n">
        <f aca="false">Sens!G10199+Sens!G10198</f>
        <v>132.595360443801</v>
      </c>
      <c r="H10201" s="6" t="n">
        <f aca="false">Sens!H10199+Sens!H10198</f>
        <v>147.833811964563</v>
      </c>
      <c r="I10201" s="6" t="n">
        <f aca="false">Sens!I10199+Sens!I10198</f>
        <v>162.145665319381</v>
      </c>
      <c r="J10201" s="6" t="n">
        <f aca="false">Sens!J10199+Sens!J10198</f>
        <v>175.249327755573</v>
      </c>
      <c r="K10201" s="6" t="n">
        <f aca="false">Sens!K10199+Sens!K10198</f>
        <v>187.599280698463</v>
      </c>
    </row>
    <row r="10202" customFormat="false" ht="17.15" hidden="false" customHeight="false" outlineLevel="0" collapsed="false">
      <c r="A10202" s="0" t="s">
        <v>1037</v>
      </c>
      <c r="B10202" s="0" t="s">
        <v>98</v>
      </c>
      <c r="D10202" s="6" t="n">
        <f aca="false">Q!L8</f>
        <v>35.391</v>
      </c>
      <c r="E10202" s="6" t="n">
        <f aca="false">Q!M8</f>
        <v>37.285</v>
      </c>
      <c r="F10202" s="6" t="n">
        <f aca="false">Q!$I$8+(Q!M8-Q!$E$8)*(1+Sens!F10203)</f>
        <v>38.3851437782675</v>
      </c>
      <c r="G10202" s="6" t="n">
        <f aca="false">Sens!F10202*(1+Sens!G10203)</f>
        <v>40.0105353288615</v>
      </c>
      <c r="H10202" s="6" t="n">
        <f aca="false">Sens!G10202*(1+Sens!H10203)</f>
        <v>41.4812512033683</v>
      </c>
      <c r="I10202" s="6" t="n">
        <f aca="false">Sens!H10202*(1+Sens!I10203)</f>
        <v>42.7743107216329</v>
      </c>
      <c r="J10202" s="6" t="n">
        <f aca="false">Sens!I10202*(1+Sens!J10203)</f>
        <v>43.8687373064601</v>
      </c>
      <c r="K10202" s="6" t="n">
        <f aca="false">Sens!J10202*(1+Sens!K10203)</f>
        <v>44.7461120525893</v>
      </c>
      <c r="L10202" s="12" t="s">
        <v>1038</v>
      </c>
    </row>
    <row r="10203" customFormat="false" ht="15" hidden="false" customHeight="false" outlineLevel="0" collapsed="false">
      <c r="A10203" s="1" t="s">
        <v>1028</v>
      </c>
      <c r="B10203" s="0" t="s">
        <v>168</v>
      </c>
      <c r="E10203" s="7" t="n">
        <f aca="false">Sens!E10202/Sens!D10202-1</f>
        <v>0.0535164307309768</v>
      </c>
      <c r="F10203" s="7" t="n">
        <f aca="false">Sens!$E$10203+(glt_lic-Sens!$E$10203)*MIN(1,(Sens!F10152-base_fy)/n_conv)</f>
        <v>0.0479303589424807</v>
      </c>
      <c r="G10203" s="7" t="n">
        <f aca="false">Sens!$E$10203+(glt_lic-Sens!$E$10203)*MIN(1,(Sens!G10152-base_fy)/n_conv)</f>
        <v>0.0423442871539845</v>
      </c>
      <c r="H10203" s="7" t="n">
        <f aca="false">Sens!$E$10203+(glt_lic-Sens!$E$10203)*MIN(1,(Sens!H10152-base_fy)/n_conv)</f>
        <v>0.0367582153654884</v>
      </c>
      <c r="I10203" s="7" t="n">
        <f aca="false">Sens!$E$10203+(glt_lic-Sens!$E$10203)*MIN(1,(Sens!I10152-base_fy)/n_conv)</f>
        <v>0.0311721435769923</v>
      </c>
      <c r="J10203" s="7" t="n">
        <f aca="false">Sens!$E$10203+(glt_lic-Sens!$E$10203)*MIN(1,(Sens!J10152-base_fy)/n_conv)</f>
        <v>0.0255860717884961</v>
      </c>
      <c r="K10203" s="7" t="n">
        <f aca="false">Sens!$E$10203+(glt_lic-Sens!$E$10203)*MIN(1,(Sens!K10152-base_fy)/n_conv)</f>
        <v>0.02</v>
      </c>
    </row>
    <row r="10204" customFormat="false" ht="17.15" hidden="false" customHeight="false" outlineLevel="0" collapsed="false">
      <c r="A10204" s="0" t="s">
        <v>1039</v>
      </c>
      <c r="B10204" s="0" t="s">
        <v>98</v>
      </c>
      <c r="D10204" s="6" t="n">
        <f aca="false">Q!L9</f>
        <v>18.417</v>
      </c>
      <c r="E10204" s="6" t="n">
        <f aca="false">Q!M9</f>
        <v>20.345</v>
      </c>
      <c r="F10204" s="6" t="n">
        <f aca="false">Q!$I$9+(Q!M9-Q!$E$9)*(1+Sens!F10205)</f>
        <v>22.3161797133988</v>
      </c>
      <c r="G10204" s="6" t="n">
        <f aca="false">Sens!F10204*(1+Sens!G10205)</f>
        <v>24.3943499673233</v>
      </c>
      <c r="H10204" s="6" t="n">
        <f aca="false">Sens!G10204*(1+Sens!H10205)</f>
        <v>26.5250243109019</v>
      </c>
      <c r="I10204" s="6" t="n">
        <f aca="false">Sens!H10204*(1+Sens!I10205)</f>
        <v>28.6884573538181</v>
      </c>
      <c r="J10204" s="6" t="n">
        <f aca="false">Sens!I10204*(1+Sens!J10205)</f>
        <v>30.8624968052127</v>
      </c>
      <c r="K10204" s="6" t="n">
        <f aca="false">Sens!J10204*(1+Sens!K10205)</f>
        <v>33.0228715815776</v>
      </c>
      <c r="L10204" s="12" t="s">
        <v>1038</v>
      </c>
    </row>
    <row r="10205" customFormat="false" ht="15" hidden="false" customHeight="false" outlineLevel="0" collapsed="false">
      <c r="A10205" s="1" t="s">
        <v>1028</v>
      </c>
      <c r="B10205" s="0" t="s">
        <v>168</v>
      </c>
      <c r="E10205" s="7" t="n">
        <f aca="false">Sens!E10204/Sens!D10204-1</f>
        <v>0.104685888038225</v>
      </c>
      <c r="F10205" s="7" t="n">
        <f aca="false">Sens!$E$10205+(glt_ind-Sens!$E$10205)*MIN(1,(Sens!F10152-base_fy)/n_conv)</f>
        <v>0.0989049066985211</v>
      </c>
      <c r="G10205" s="7" t="n">
        <f aca="false">Sens!$E$10205+(glt_ind-Sens!$E$10205)*MIN(1,(Sens!G10152-base_fy)/n_conv)</f>
        <v>0.0931239253588169</v>
      </c>
      <c r="H10205" s="7" t="n">
        <f aca="false">Sens!$E$10205+(glt_ind-Sens!$E$10205)*MIN(1,(Sens!H10152-base_fy)/n_conv)</f>
        <v>0.0873429440191127</v>
      </c>
      <c r="I10205" s="7" t="n">
        <f aca="false">Sens!$E$10205+(glt_ind-Sens!$E$10205)*MIN(1,(Sens!I10152-base_fy)/n_conv)</f>
        <v>0.0815619626794085</v>
      </c>
      <c r="J10205" s="7" t="n">
        <f aca="false">Sens!$E$10205+(glt_ind-Sens!$E$10205)*MIN(1,(Sens!J10152-base_fy)/n_conv)</f>
        <v>0.0757809813397042</v>
      </c>
      <c r="K10205" s="7" t="n">
        <f aca="false">Sens!$E$10205+(glt_ind-Sens!$E$10205)*MIN(1,(Sens!K10152-base_fy)/n_conv)</f>
        <v>0.07</v>
      </c>
    </row>
    <row r="10206" customFormat="false" ht="17.15" hidden="false" customHeight="false" outlineLevel="0" collapsed="false">
      <c r="A10206" s="0" t="s">
        <v>1040</v>
      </c>
      <c r="B10206" s="0" t="s">
        <v>98</v>
      </c>
      <c r="D10206" s="6" t="n">
        <f aca="false">Q!L10</f>
        <v>7.76</v>
      </c>
      <c r="E10206" s="6" t="n">
        <f aca="false">Q!M10</f>
        <v>8.26</v>
      </c>
      <c r="F10206" s="6" t="n">
        <f aca="false">Q!$I$10+(Q!M10-Q!$E$10)*(1+Sens!F10207)</f>
        <v>8.75372082474227</v>
      </c>
      <c r="G10206" s="6" t="n">
        <f aca="false">Sens!F10206*(1+Sens!G10207)</f>
        <v>9.33399324642364</v>
      </c>
      <c r="H10206" s="6" t="n">
        <f aca="false">Sens!G10206*(1+Sens!H10207)</f>
        <v>9.96139155535851</v>
      </c>
      <c r="I10206" s="6" t="n">
        <f aca="false">Sens!H10206*(1+Sens!I10207)</f>
        <v>10.6402039077391</v>
      </c>
      <c r="J10206" s="6" t="n">
        <f aca="false">Sens!I10206*(1+Sens!J10207)</f>
        <v>11.3751458271397</v>
      </c>
      <c r="K10206" s="6" t="n">
        <f aca="false">Sens!J10206*(1+Sens!K10207)</f>
        <v>12.1714060350394</v>
      </c>
      <c r="L10206" s="12" t="s">
        <v>1038</v>
      </c>
    </row>
    <row r="10207" customFormat="false" ht="15" hidden="false" customHeight="false" outlineLevel="0" collapsed="false">
      <c r="A10207" s="1" t="s">
        <v>1028</v>
      </c>
      <c r="B10207" s="0" t="s">
        <v>168</v>
      </c>
      <c r="E10207" s="7" t="n">
        <f aca="false">Sens!E10206/Sens!D10206-1</f>
        <v>0.0644329896907216</v>
      </c>
      <c r="F10207" s="7" t="n">
        <f aca="false">Sens!$E$10207+(glt_fro-Sens!$E$10207)*MIN(1,(Sens!F10152-base_fy)/n_conv)</f>
        <v>0.065360824742268</v>
      </c>
      <c r="G10207" s="7" t="n">
        <f aca="false">Sens!$E$10207+(glt_fro-Sens!$E$10207)*MIN(1,(Sens!G10152-base_fy)/n_conv)</f>
        <v>0.0662886597938144</v>
      </c>
      <c r="H10207" s="7" t="n">
        <f aca="false">Sens!$E$10207+(glt_fro-Sens!$E$10207)*MIN(1,(Sens!H10152-base_fy)/n_conv)</f>
        <v>0.0672164948453608</v>
      </c>
      <c r="I10207" s="7" t="n">
        <f aca="false">Sens!$E$10207+(glt_fro-Sens!$E$10207)*MIN(1,(Sens!I10152-base_fy)/n_conv)</f>
        <v>0.0681443298969072</v>
      </c>
      <c r="J10207" s="7" t="n">
        <f aca="false">Sens!$E$10207+(glt_fro-Sens!$E$10207)*MIN(1,(Sens!J10152-base_fy)/n_conv)</f>
        <v>0.0690721649484536</v>
      </c>
      <c r="K10207" s="7" t="n">
        <f aca="false">Sens!$E$10207+(glt_fro-Sens!$E$10207)*MIN(1,(Sens!K10152-base_fy)/n_conv)</f>
        <v>0.07</v>
      </c>
    </row>
    <row r="10208" customFormat="false" ht="15" hidden="false" customHeight="false" outlineLevel="0" collapsed="false">
      <c r="A10208" s="0" t="s">
        <v>856</v>
      </c>
      <c r="B10208" s="0" t="s">
        <v>98</v>
      </c>
      <c r="D10208" s="6" t="n">
        <f aca="false">Sens!D10196+Sens!D10201+Sens!D10202+Sens!D10204+Sens!D10206</f>
        <v>218.783</v>
      </c>
      <c r="E10208" s="6" t="n">
        <f aca="false">Sens!E10196+Sens!E10201+Sens!E10202+Sens!E10204+Sens!E10206</f>
        <v>268.127</v>
      </c>
      <c r="F10208" s="6" t="n">
        <f aca="false">Sens!F10196+Sens!F10201+Sens!F10202+Sens!F10204+Sens!F10206</f>
        <v>330.530955585266</v>
      </c>
      <c r="G10208" s="6" t="n">
        <f aca="false">Sens!G10196+Sens!G10201+Sens!G10202+Sens!G10204+Sens!G10206</f>
        <v>394.350405946433</v>
      </c>
      <c r="H10208" s="6" t="n">
        <f aca="false">Sens!H10196+Sens!H10201+Sens!H10202+Sens!H10204+Sens!H10206</f>
        <v>454.737268454025</v>
      </c>
      <c r="I10208" s="6" t="n">
        <f aca="false">Sens!I10196+Sens!I10201+Sens!I10202+Sens!I10204+Sens!I10206</f>
        <v>518.953604585797</v>
      </c>
      <c r="J10208" s="6" t="n">
        <f aca="false">Sens!J10196+Sens!J10201+Sens!J10202+Sens!J10204+Sens!J10206</f>
        <v>574.649871646273</v>
      </c>
      <c r="K10208" s="6" t="n">
        <f aca="false">Sens!K10196+Sens!K10201+Sens!K10202+Sens!K10204+Sens!K10206</f>
        <v>622.466004871192</v>
      </c>
    </row>
    <row r="10209" customFormat="false" ht="17.15" hidden="false" customHeight="false" outlineLevel="0" collapsed="false">
      <c r="A10209" s="0" t="s">
        <v>1041</v>
      </c>
      <c r="B10209" s="0" t="s">
        <v>98</v>
      </c>
      <c r="D10209" s="6" t="n">
        <f aca="false">Q!L13</f>
        <v>22.171</v>
      </c>
      <c r="E10209" s="6" t="n">
        <f aca="false">Q!M13</f>
        <v>24.835</v>
      </c>
      <c r="F10209" s="6" t="n">
        <f aca="false">Q!$I$13+(Q!M13-Q!$E$13)*(1+Sens!F10210)</f>
        <v>27.5591895660247</v>
      </c>
      <c r="G10209" s="6" t="n">
        <f aca="false">Sens!F10209*(1+Sens!G10210)</f>
        <v>30.4098563144583</v>
      </c>
      <c r="H10209" s="6" t="n">
        <f aca="false">Sens!G10209*(1+Sens!H10210)</f>
        <v>33.3011792571777</v>
      </c>
      <c r="I10209" s="6" t="n">
        <f aca="false">Sens!H10209*(1+Sens!I10210)</f>
        <v>36.189023797112</v>
      </c>
      <c r="J10209" s="6" t="n">
        <f aca="false">Sens!I10209*(1+Sens!J10210)</f>
        <v>39.0247773769199</v>
      </c>
      <c r="K10209" s="6" t="n">
        <f aca="false">Sens!J10209*(1+Sens!K10210)</f>
        <v>41.7565117933043</v>
      </c>
      <c r="L10209" s="12" t="s">
        <v>1038</v>
      </c>
    </row>
    <row r="10210" customFormat="false" ht="15" hidden="false" customHeight="false" outlineLevel="0" collapsed="false">
      <c r="A10210" s="1" t="s">
        <v>1028</v>
      </c>
      <c r="B10210" s="0" t="s">
        <v>168</v>
      </c>
      <c r="E10210" s="7" t="n">
        <f aca="false">Sens!E10209/Sens!D10209-1</f>
        <v>0.120156961796942</v>
      </c>
      <c r="F10210" s="7" t="n">
        <f aca="false">Sens!$E$10210+(glt_srch-Sens!$E$10210)*MIN(1,(Sens!F10152-base_fy)/n_conv)</f>
        <v>0.111797468164118</v>
      </c>
      <c r="G10210" s="7" t="n">
        <f aca="false">Sens!$E$10210+(glt_srch-Sens!$E$10210)*MIN(1,(Sens!G10152-base_fy)/n_conv)</f>
        <v>0.103437974531295</v>
      </c>
      <c r="H10210" s="7" t="n">
        <f aca="false">Sens!$E$10210+(glt_srch-Sens!$E$10210)*MIN(1,(Sens!H10152-base_fy)/n_conv)</f>
        <v>0.095078480898471</v>
      </c>
      <c r="I10210" s="7" t="n">
        <f aca="false">Sens!$E$10210+(glt_srch-Sens!$E$10210)*MIN(1,(Sens!I10152-base_fy)/n_conv)</f>
        <v>0.0867189872656474</v>
      </c>
      <c r="J10210" s="7" t="n">
        <f aca="false">Sens!$E$10210+(glt_srch-Sens!$E$10210)*MIN(1,(Sens!J10152-base_fy)/n_conv)</f>
        <v>0.0783594936328237</v>
      </c>
      <c r="K10210" s="7" t="n">
        <f aca="false">Sens!$E$10210+(glt_srch-Sens!$E$10210)*MIN(1,(Sens!K10152-base_fy)/n_conv)</f>
        <v>0.07</v>
      </c>
    </row>
    <row r="10211" customFormat="false" ht="17.15" hidden="false" customHeight="false" outlineLevel="0" collapsed="false">
      <c r="A10211" s="0" t="s">
        <v>1042</v>
      </c>
      <c r="B10211" s="0" t="s">
        <v>98</v>
      </c>
      <c r="D10211" s="6" t="n">
        <f aca="false">Q!L14</f>
        <v>23.455</v>
      </c>
      <c r="E10211" s="6" t="n">
        <f aca="false">Q!M14</f>
        <v>21.79</v>
      </c>
      <c r="F10211" s="6" t="n">
        <f aca="false">Q!$I$14+(Q!M14-Q!$E$14)*(1+Sens!F10212)</f>
        <v>20.7520981041711</v>
      </c>
      <c r="G10211" s="6" t="n">
        <f aca="false">Sens!F10211*(1+Sens!G10212)</f>
        <v>19.9083593495882</v>
      </c>
      <c r="H10211" s="6" t="n">
        <f aca="false">Sens!G10211*(1+Sens!H10212)</f>
        <v>19.4008256265831</v>
      </c>
      <c r="I10211" s="6" t="n">
        <f aca="false">Sens!H10211*(1+Sens!I10212)</f>
        <v>19.200434522122</v>
      </c>
      <c r="J10211" s="6" t="n">
        <f aca="false">Sens!I10211*(1+Sens!J10212)</f>
        <v>19.2932782348507</v>
      </c>
      <c r="K10211" s="6" t="n">
        <f aca="false">Sens!J10211*(1+Sens!K10212)</f>
        <v>19.6791437995477</v>
      </c>
      <c r="L10211" s="12" t="s">
        <v>1038</v>
      </c>
    </row>
    <row r="10212" customFormat="false" ht="15" hidden="false" customHeight="false" outlineLevel="0" collapsed="false">
      <c r="A10212" s="1" t="s">
        <v>1028</v>
      </c>
      <c r="B10212" s="0" t="s">
        <v>168</v>
      </c>
      <c r="E10212" s="7" t="n">
        <f aca="false">Sens!E10211/Sens!D10211-1</f>
        <v>-0.0709869963760392</v>
      </c>
      <c r="F10212" s="7" t="n">
        <f aca="false">Sens!$E$10212+(glt_xbox-Sens!$E$10212)*MIN(1,(Sens!F10152-base_fy)/n_conv)</f>
        <v>-0.0558224969800327</v>
      </c>
      <c r="G10212" s="7" t="n">
        <f aca="false">Sens!$E$10212+(glt_xbox-Sens!$E$10212)*MIN(1,(Sens!G10152-base_fy)/n_conv)</f>
        <v>-0.0406579975840262</v>
      </c>
      <c r="H10212" s="7" t="n">
        <f aca="false">Sens!$E$10212+(glt_xbox-Sens!$E$10212)*MIN(1,(Sens!H10152-base_fy)/n_conv)</f>
        <v>-0.0254934981880196</v>
      </c>
      <c r="I10212" s="7" t="n">
        <f aca="false">Sens!$E$10212+(glt_xbox-Sens!$E$10212)*MIN(1,(Sens!I10152-base_fy)/n_conv)</f>
        <v>-0.0103289987920131</v>
      </c>
      <c r="J10212" s="7" t="n">
        <f aca="false">Sens!$E$10212+(glt_xbox-Sens!$E$10212)*MIN(1,(Sens!J10152-base_fy)/n_conv)</f>
        <v>0.00483550060399347</v>
      </c>
      <c r="K10212" s="7" t="n">
        <f aca="false">Sens!$E$10212+(glt_xbox-Sens!$E$10212)*MIN(1,(Sens!K10152-base_fy)/n_conv)</f>
        <v>0.02</v>
      </c>
    </row>
    <row r="10213" customFormat="false" ht="17.15" hidden="false" customHeight="false" outlineLevel="0" collapsed="false">
      <c r="A10213" s="0" t="s">
        <v>1043</v>
      </c>
      <c r="B10213" s="0" t="s">
        <v>98</v>
      </c>
      <c r="D10213" s="6" t="n">
        <f aca="false">Q!L15</f>
        <v>17.315</v>
      </c>
      <c r="E10213" s="6" t="n">
        <f aca="false">Q!M15</f>
        <v>17.087</v>
      </c>
      <c r="F10213" s="6" t="n">
        <f aca="false">Q!$I$15+(Q!M15-Q!$E$15)*(1+Sens!F10214)</f>
        <v>15.9912273250553</v>
      </c>
      <c r="G10213" s="6" t="n">
        <f aca="false">Sens!F10213*(1+Sens!G10214)</f>
        <v>15.9574562664827</v>
      </c>
      <c r="H10213" s="6" t="n">
        <f aca="false">Sens!G10213*(1+Sens!H10214)</f>
        <v>16.0119687434196</v>
      </c>
      <c r="I10213" s="6" t="n">
        <f aca="false">Sens!H10213*(1+Sens!I10214)</f>
        <v>16.1551810001948</v>
      </c>
      <c r="J10213" s="6" t="n">
        <f aca="false">Sens!I10213*(1+Sens!J10214)</f>
        <v>16.3889793892005</v>
      </c>
      <c r="K10213" s="6" t="n">
        <f aca="false">Sens!J10213*(1+Sens!K10214)</f>
        <v>16.7167589769845</v>
      </c>
      <c r="L10213" s="12" t="s">
        <v>1038</v>
      </c>
    </row>
    <row r="10214" customFormat="false" ht="15" hidden="false" customHeight="false" outlineLevel="0" collapsed="false">
      <c r="A10214" s="1" t="s">
        <v>1028</v>
      </c>
      <c r="B10214" s="0" t="s">
        <v>168</v>
      </c>
      <c r="E10214" s="7" t="n">
        <f aca="false">Sens!E10213/Sens!D10213-1</f>
        <v>-0.0131677736066995</v>
      </c>
      <c r="F10214" s="7" t="n">
        <f aca="false">Sens!$E$10214+(glt_win-Sens!$E$10214)*MIN(1,(Sens!F10152-base_fy)/n_conv)</f>
        <v>-0.00763981133891627</v>
      </c>
      <c r="G10214" s="7" t="n">
        <f aca="false">Sens!$E$10214+(glt_win-Sens!$E$10214)*MIN(1,(Sens!G10152-base_fy)/n_conv)</f>
        <v>-0.00211184907113301</v>
      </c>
      <c r="H10214" s="7" t="n">
        <f aca="false">Sens!$E$10214+(glt_win-Sens!$E$10214)*MIN(1,(Sens!H10152-base_fy)/n_conv)</f>
        <v>0.00341611319665024</v>
      </c>
      <c r="I10214" s="7" t="n">
        <f aca="false">Sens!$E$10214+(glt_win-Sens!$E$10214)*MIN(1,(Sens!I10152-base_fy)/n_conv)</f>
        <v>0.00894407546443349</v>
      </c>
      <c r="J10214" s="7" t="n">
        <f aca="false">Sens!$E$10214+(glt_win-Sens!$E$10214)*MIN(1,(Sens!J10152-base_fy)/n_conv)</f>
        <v>0.0144720377322168</v>
      </c>
      <c r="K10214" s="7" t="n">
        <f aca="false">Sens!$E$10214+(glt_win-Sens!$E$10214)*MIN(1,(Sens!K10152-base_fy)/n_conv)</f>
        <v>0.02</v>
      </c>
    </row>
    <row r="10215" customFormat="false" ht="15" hidden="false" customHeight="false" outlineLevel="0" collapsed="false">
      <c r="A10215" s="0" t="s">
        <v>870</v>
      </c>
      <c r="B10215" s="0" t="s">
        <v>98</v>
      </c>
      <c r="D10215" s="6" t="n">
        <f aca="false">Sens!D10209+Sens!D10211+Sens!D10213</f>
        <v>62.941</v>
      </c>
      <c r="E10215" s="6" t="n">
        <f aca="false">Sens!E10209+Sens!E10211+Sens!E10213</f>
        <v>63.712</v>
      </c>
      <c r="F10215" s="6" t="n">
        <f aca="false">Sens!F10209+Sens!F10211+Sens!F10213</f>
        <v>64.3025149952511</v>
      </c>
      <c r="G10215" s="6" t="n">
        <f aca="false">Sens!G10209+Sens!G10211+Sens!G10213</f>
        <v>66.2756719305292</v>
      </c>
      <c r="H10215" s="6" t="n">
        <f aca="false">Sens!H10209+Sens!H10211+Sens!H10213</f>
        <v>68.7139736271804</v>
      </c>
      <c r="I10215" s="6" t="n">
        <f aca="false">Sens!I10209+Sens!I10211+Sens!I10213</f>
        <v>71.5446393194289</v>
      </c>
      <c r="J10215" s="6" t="n">
        <f aca="false">Sens!J10209+Sens!J10211+Sens!J10213</f>
        <v>74.707035000971</v>
      </c>
      <c r="K10215" s="6" t="n">
        <f aca="false">Sens!K10209+Sens!K10211+Sens!K10213</f>
        <v>78.1524145698365</v>
      </c>
    </row>
    <row r="10216" customFormat="false" ht="15" hidden="false" customHeight="false" outlineLevel="0" collapsed="false">
      <c r="A10216" s="1" t="s">
        <v>1044</v>
      </c>
      <c r="B10216" s="0" t="s">
        <v>98</v>
      </c>
      <c r="D10216" s="6" t="n">
        <f aca="false">Sens!D10208+Sens!D10215</f>
        <v>281.724</v>
      </c>
      <c r="E10216" s="6" t="n">
        <f aca="false">Sens!E10208+Sens!E10215</f>
        <v>331.839</v>
      </c>
      <c r="F10216" s="6" t="n">
        <f aca="false">Sens!F10208+Sens!F10215</f>
        <v>394.833470580517</v>
      </c>
      <c r="G10216" s="6" t="n">
        <f aca="false">Sens!G10208+Sens!G10215</f>
        <v>460.626077876962</v>
      </c>
      <c r="H10216" s="6" t="n">
        <f aca="false">Sens!H10208+Sens!H10215</f>
        <v>523.451242081205</v>
      </c>
      <c r="I10216" s="6" t="n">
        <f aca="false">Sens!I10208+Sens!I10215</f>
        <v>590.498243905225</v>
      </c>
      <c r="J10216" s="6" t="n">
        <f aca="false">Sens!J10208+Sens!J10215</f>
        <v>649.356906647244</v>
      </c>
      <c r="K10216" s="6" t="n">
        <f aca="false">Sens!K10208+Sens!K10215</f>
        <v>700.618419441028</v>
      </c>
    </row>
    <row r="10217" customFormat="false" ht="15" hidden="false" customHeight="false" outlineLevel="0" collapsed="false">
      <c r="A10217" s="26" t="s">
        <v>1045</v>
      </c>
      <c r="B10217" s="31" t="s">
        <v>98</v>
      </c>
      <c r="C10217" s="31"/>
      <c r="D10217" s="27" t="n">
        <f aca="false">(Sens!D10196+Sens!D10201+Sens!D10202+Sens!D10204+Sens!D10206-Sens!D10208)+(Sens!D10209+Sens!D10211+Sens!D10213-Sens!D10215)+(Sens!D10208-Q!L5)+(Sens!D10215-Q!L12)+(Sens!D10196-Q!L6)+(Sens!D10201-Q!L7)</f>
        <v>0</v>
      </c>
      <c r="E10217" s="27" t="n">
        <f aca="false">(Sens!E10196+Sens!E10201+Sens!E10202+Sens!E10204+Sens!E10206-Sens!E10208)+(Sens!E10209+Sens!E10211+Sens!E10213-Sens!E10215)+(Sens!E10208-Q!M5)+(Sens!E10215-Q!M12)+(Sens!E10196-Q!M6)+(Sens!E10201-Q!M7)</f>
        <v>0</v>
      </c>
      <c r="F10217" s="27" t="n">
        <f aca="false">(Sens!F10196+Sens!F10201+Sens!F10202+Sens!F10204+Sens!F10206-Sens!F10208)+(Sens!F10209+Sens!F10211+Sens!F10213-Sens!F10215)</f>
        <v>0</v>
      </c>
      <c r="G10217" s="27" t="n">
        <f aca="false">(Sens!G10196+Sens!G10201+Sens!G10202+Sens!G10204+Sens!G10206-Sens!G10208)+(Sens!G10209+Sens!G10211+Sens!G10213-Sens!G10215)</f>
        <v>0</v>
      </c>
      <c r="H10217" s="27" t="n">
        <f aca="false">(Sens!H10196+Sens!H10201+Sens!H10202+Sens!H10204+Sens!H10206-Sens!H10208)+(Sens!H10209+Sens!H10211+Sens!H10213-Sens!H10215)</f>
        <v>0</v>
      </c>
      <c r="I10217" s="27" t="n">
        <f aca="false">(Sens!I10196+Sens!I10201+Sens!I10202+Sens!I10204+Sens!I10206-Sens!I10208)+(Sens!I10209+Sens!I10211+Sens!I10213-Sens!I10215)</f>
        <v>0</v>
      </c>
      <c r="J10217" s="27" t="n">
        <f aca="false">(Sens!J10196+Sens!J10201+Sens!J10202+Sens!J10204+Sens!J10206-Sens!J10208)+(Sens!J10209+Sens!J10211+Sens!J10213-Sens!J10215)</f>
        <v>0</v>
      </c>
      <c r="K10217" s="27" t="n">
        <f aca="false">(Sens!K10196+Sens!K10201+Sens!K10202+Sens!K10204+Sens!K10206-Sens!K10208)+(Sens!K10209+Sens!K10211+Sens!K10213-Sens!K10215)</f>
        <v>0</v>
      </c>
    </row>
    <row r="10218" customFormat="false" ht="17.15" hidden="false" customHeight="false" outlineLevel="0" collapsed="false">
      <c r="A10218" s="3" t="s">
        <v>1867</v>
      </c>
    </row>
    <row r="10219" customFormat="false" ht="15" hidden="false" customHeight="false" outlineLevel="0" collapsed="false">
      <c r="A10219" s="4" t="s">
        <v>43</v>
      </c>
      <c r="B10219" s="4" t="s">
        <v>65</v>
      </c>
      <c r="C10219" s="23" t="s">
        <v>942</v>
      </c>
      <c r="D10219" s="23" t="s">
        <v>943</v>
      </c>
      <c r="E10219" s="23" t="s">
        <v>944</v>
      </c>
      <c r="F10219" s="23" t="s">
        <v>945</v>
      </c>
      <c r="G10219" s="23" t="s">
        <v>946</v>
      </c>
      <c r="H10219" s="23" t="s">
        <v>947</v>
      </c>
      <c r="I10219" s="23" t="s">
        <v>948</v>
      </c>
      <c r="J10219" s="23" t="s">
        <v>949</v>
      </c>
      <c r="K10219" s="23" t="s">
        <v>950</v>
      </c>
      <c r="L10219" s="4" t="s">
        <v>47</v>
      </c>
    </row>
    <row r="10220" customFormat="false" ht="15" hidden="false" customHeight="false" outlineLevel="0" collapsed="false">
      <c r="A10220" s="0" t="s">
        <v>1029</v>
      </c>
      <c r="B10220" s="0" t="s">
        <v>98</v>
      </c>
      <c r="D10220" s="6" t="n">
        <f aca="false">Sens!D10196</f>
        <v>72.61</v>
      </c>
      <c r="E10220" s="6" t="n">
        <f aca="false">Sens!E10196</f>
        <v>101.938</v>
      </c>
      <c r="F10220" s="6" t="n">
        <f aca="false">Sens!F10196</f>
        <v>143.637557079082</v>
      </c>
      <c r="G10220" s="6" t="n">
        <f aca="false">Sens!G10196</f>
        <v>188.016166960024</v>
      </c>
      <c r="H10220" s="6" t="n">
        <f aca="false">Sens!H10196</f>
        <v>228.935789419833</v>
      </c>
      <c r="I10220" s="6" t="n">
        <f aca="false">Sens!I10196</f>
        <v>274.704967283225</v>
      </c>
      <c r="J10220" s="6" t="n">
        <f aca="false">Sens!J10196</f>
        <v>313.294163951887</v>
      </c>
      <c r="K10220" s="6" t="n">
        <f aca="false">Sens!K10196</f>
        <v>344.926334503522</v>
      </c>
    </row>
    <row r="10221" customFormat="false" ht="17.15" hidden="false" customHeight="false" outlineLevel="0" collapsed="false">
      <c r="A10221" s="0" t="s">
        <v>1025</v>
      </c>
      <c r="B10221" s="0" t="s">
        <v>98</v>
      </c>
      <c r="D10221" s="6" t="n">
        <f aca="false">Sens!D10193</f>
        <v>12.9359794422418</v>
      </c>
      <c r="E10221" s="6" t="n">
        <f aca="false">Sens!E10193</f>
        <v>27.8095064661409</v>
      </c>
      <c r="F10221" s="6" t="n">
        <f aca="false">Sens!F10193</f>
        <v>50.9819294352312</v>
      </c>
      <c r="G10221" s="6" t="n">
        <f aca="false">Sens!G10193</f>
        <v>76.6920436014933</v>
      </c>
      <c r="H10221" s="6" t="n">
        <f aca="false">Sens!H10193</f>
        <v>97.4495379418341</v>
      </c>
      <c r="I10221" s="6" t="n">
        <f aca="false">Sens!I10193</f>
        <v>122.083445553868</v>
      </c>
      <c r="J10221" s="6" t="n">
        <f aca="false">Sens!J10193</f>
        <v>139.249060444804</v>
      </c>
      <c r="K10221" s="6" t="n">
        <f aca="false">Sens!K10193</f>
        <v>149.995818575589</v>
      </c>
    </row>
    <row r="10222" customFormat="false" ht="17.15" hidden="false" customHeight="false" outlineLevel="0" collapsed="false">
      <c r="A10222" s="0" t="s">
        <v>1056</v>
      </c>
      <c r="B10222" s="0" t="s">
        <v>98</v>
      </c>
      <c r="D10222" s="6" t="n">
        <f aca="false">Sens!D10194</f>
        <v>59.6740205577583</v>
      </c>
      <c r="E10222" s="6" t="n">
        <f aca="false">Sens!E10194</f>
        <v>74.1284935338591</v>
      </c>
      <c r="F10222" s="6" t="n">
        <f aca="false">Sens!F10194</f>
        <v>92.6556276438506</v>
      </c>
      <c r="G10222" s="6" t="n">
        <f aca="false">Sens!G10194</f>
        <v>111.324123358531</v>
      </c>
      <c r="H10222" s="6" t="n">
        <f aca="false">Sens!H10194</f>
        <v>131.486251477999</v>
      </c>
      <c r="I10222" s="6" t="n">
        <f aca="false">Sens!I10194</f>
        <v>152.621521729358</v>
      </c>
      <c r="J10222" s="6" t="n">
        <f aca="false">Sens!J10194</f>
        <v>174.045103507083</v>
      </c>
      <c r="K10222" s="6" t="n">
        <f aca="false">Sens!K10194</f>
        <v>194.930515927933</v>
      </c>
    </row>
    <row r="10223" customFormat="false" ht="15" hidden="false" customHeight="false" outlineLevel="0" collapsed="false">
      <c r="A10223" s="0" t="s">
        <v>1036</v>
      </c>
      <c r="B10223" s="0" t="s">
        <v>98</v>
      </c>
      <c r="D10223" s="6" t="n">
        <f aca="false">Sens!D10201</f>
        <v>84.605</v>
      </c>
      <c r="E10223" s="6" t="n">
        <f aca="false">Sens!E10201</f>
        <v>100.299</v>
      </c>
      <c r="F10223" s="6" t="n">
        <f aca="false">Sens!F10201</f>
        <v>117.438354189776</v>
      </c>
      <c r="G10223" s="6" t="n">
        <f aca="false">Sens!G10201</f>
        <v>132.595360443801</v>
      </c>
      <c r="H10223" s="6" t="n">
        <f aca="false">Sens!H10201</f>
        <v>147.833811964563</v>
      </c>
      <c r="I10223" s="6" t="n">
        <f aca="false">Sens!I10201</f>
        <v>162.145665319381</v>
      </c>
      <c r="J10223" s="6" t="n">
        <f aca="false">Sens!J10201</f>
        <v>175.249327755573</v>
      </c>
      <c r="K10223" s="6" t="n">
        <f aca="false">Sens!K10201</f>
        <v>187.599280698463</v>
      </c>
    </row>
    <row r="10224" customFormat="false" ht="17.15" hidden="false" customHeight="false" outlineLevel="0" collapsed="false">
      <c r="A10224" s="0" t="s">
        <v>1057</v>
      </c>
      <c r="B10224" s="0" t="s">
        <v>98</v>
      </c>
      <c r="D10224" s="6" t="n">
        <f aca="false">Sens!D10199</f>
        <v>83.705</v>
      </c>
      <c r="E10224" s="6" t="n">
        <f aca="false">Sens!E10199</f>
        <v>95.049</v>
      </c>
      <c r="F10224" s="6" t="n">
        <f aca="false">Sens!F10199</f>
        <v>106.938354189776</v>
      </c>
      <c r="G10224" s="6" t="n">
        <f aca="false">Sens!G10199</f>
        <v>119.095360443801</v>
      </c>
      <c r="H10224" s="6" t="n">
        <f aca="false">Sens!H10199</f>
        <v>131.333811964563</v>
      </c>
      <c r="I10224" s="6" t="n">
        <f aca="false">Sens!I10199</f>
        <v>143.395665319381</v>
      </c>
      <c r="J10224" s="6" t="n">
        <f aca="false">Sens!J10199</f>
        <v>154.999327755573</v>
      </c>
      <c r="K10224" s="6" t="n">
        <f aca="false">Sens!K10199</f>
        <v>165.849280698463</v>
      </c>
    </row>
    <row r="10225" customFormat="false" ht="17.15" hidden="false" customHeight="false" outlineLevel="0" collapsed="false">
      <c r="A10225" s="0" t="s">
        <v>1058</v>
      </c>
      <c r="B10225" s="0" t="s">
        <v>98</v>
      </c>
      <c r="D10225" s="6" t="n">
        <f aca="false">Sens!D10198</f>
        <v>0.9</v>
      </c>
      <c r="E10225" s="6" t="n">
        <f aca="false">Sens!E10198</f>
        <v>5.25</v>
      </c>
      <c r="F10225" s="6" t="n">
        <f aca="false">Sens!F10198</f>
        <v>10.5</v>
      </c>
      <c r="G10225" s="6" t="n">
        <f aca="false">Sens!G10198</f>
        <v>13.5</v>
      </c>
      <c r="H10225" s="6" t="n">
        <f aca="false">Sens!H10198</f>
        <v>16.5</v>
      </c>
      <c r="I10225" s="6" t="n">
        <f aca="false">Sens!I10198</f>
        <v>18.75</v>
      </c>
      <c r="J10225" s="6" t="n">
        <f aca="false">Sens!J10198</f>
        <v>20.25</v>
      </c>
      <c r="K10225" s="6" t="n">
        <f aca="false">Sens!K10198</f>
        <v>21.75</v>
      </c>
    </row>
    <row r="10226" customFormat="false" ht="15" hidden="false" customHeight="false" outlineLevel="0" collapsed="false">
      <c r="A10226" s="0" t="s">
        <v>1037</v>
      </c>
      <c r="B10226" s="0" t="s">
        <v>98</v>
      </c>
      <c r="D10226" s="6" t="n">
        <f aca="false">Sens!D10202</f>
        <v>35.391</v>
      </c>
      <c r="E10226" s="6" t="n">
        <f aca="false">Sens!E10202</f>
        <v>37.285</v>
      </c>
      <c r="F10226" s="6" t="n">
        <f aca="false">Sens!F10202</f>
        <v>38.3851437782675</v>
      </c>
      <c r="G10226" s="6" t="n">
        <f aca="false">Sens!G10202</f>
        <v>40.0105353288615</v>
      </c>
      <c r="H10226" s="6" t="n">
        <f aca="false">Sens!H10202</f>
        <v>41.4812512033683</v>
      </c>
      <c r="I10226" s="6" t="n">
        <f aca="false">Sens!I10202</f>
        <v>42.7743107216329</v>
      </c>
      <c r="J10226" s="6" t="n">
        <f aca="false">Sens!J10202</f>
        <v>43.8687373064601</v>
      </c>
      <c r="K10226" s="6" t="n">
        <f aca="false">Sens!K10202</f>
        <v>44.7461120525893</v>
      </c>
    </row>
    <row r="10227" customFormat="false" ht="15" hidden="false" customHeight="false" outlineLevel="0" collapsed="false">
      <c r="A10227" s="0" t="s">
        <v>1039</v>
      </c>
      <c r="B10227" s="0" t="s">
        <v>98</v>
      </c>
      <c r="D10227" s="6" t="n">
        <f aca="false">Sens!D10204</f>
        <v>18.417</v>
      </c>
      <c r="E10227" s="6" t="n">
        <f aca="false">Sens!E10204</f>
        <v>20.345</v>
      </c>
      <c r="F10227" s="6" t="n">
        <f aca="false">Sens!F10204</f>
        <v>22.3161797133988</v>
      </c>
      <c r="G10227" s="6" t="n">
        <f aca="false">Sens!G10204</f>
        <v>24.3943499673233</v>
      </c>
      <c r="H10227" s="6" t="n">
        <f aca="false">Sens!H10204</f>
        <v>26.5250243109019</v>
      </c>
      <c r="I10227" s="6" t="n">
        <f aca="false">Sens!I10204</f>
        <v>28.6884573538181</v>
      </c>
      <c r="J10227" s="6" t="n">
        <f aca="false">Sens!J10204</f>
        <v>30.8624968052127</v>
      </c>
      <c r="K10227" s="6" t="n">
        <f aca="false">Sens!K10204</f>
        <v>33.0228715815776</v>
      </c>
    </row>
    <row r="10228" customFormat="false" ht="15" hidden="false" customHeight="false" outlineLevel="0" collapsed="false">
      <c r="A10228" s="0" t="s">
        <v>1040</v>
      </c>
      <c r="B10228" s="0" t="s">
        <v>98</v>
      </c>
      <c r="D10228" s="6" t="n">
        <f aca="false">Sens!D10206</f>
        <v>7.76</v>
      </c>
      <c r="E10228" s="6" t="n">
        <f aca="false">Sens!E10206</f>
        <v>8.26</v>
      </c>
      <c r="F10228" s="6" t="n">
        <f aca="false">Sens!F10206</f>
        <v>8.75372082474227</v>
      </c>
      <c r="G10228" s="6" t="n">
        <f aca="false">Sens!G10206</f>
        <v>9.33399324642364</v>
      </c>
      <c r="H10228" s="6" t="n">
        <f aca="false">Sens!H10206</f>
        <v>9.96139155535851</v>
      </c>
      <c r="I10228" s="6" t="n">
        <f aca="false">Sens!I10206</f>
        <v>10.6402039077391</v>
      </c>
      <c r="J10228" s="6" t="n">
        <f aca="false">Sens!J10206</f>
        <v>11.3751458271397</v>
      </c>
      <c r="K10228" s="6" t="n">
        <f aca="false">Sens!K10206</f>
        <v>12.1714060350394</v>
      </c>
    </row>
    <row r="10229" customFormat="false" ht="15" hidden="false" customHeight="false" outlineLevel="0" collapsed="false">
      <c r="A10229" s="0" t="s">
        <v>856</v>
      </c>
      <c r="B10229" s="0" t="s">
        <v>98</v>
      </c>
      <c r="D10229" s="6" t="n">
        <f aca="false">Sens!D10208</f>
        <v>218.783</v>
      </c>
      <c r="E10229" s="6" t="n">
        <f aca="false">Sens!E10208</f>
        <v>268.127</v>
      </c>
      <c r="F10229" s="6" t="n">
        <f aca="false">Sens!F10208</f>
        <v>330.530955585266</v>
      </c>
      <c r="G10229" s="6" t="n">
        <f aca="false">Sens!G10208</f>
        <v>394.350405946433</v>
      </c>
      <c r="H10229" s="6" t="n">
        <f aca="false">Sens!H10208</f>
        <v>454.737268454025</v>
      </c>
      <c r="I10229" s="6" t="n">
        <f aca="false">Sens!I10208</f>
        <v>518.953604585797</v>
      </c>
      <c r="J10229" s="6" t="n">
        <f aca="false">Sens!J10208</f>
        <v>574.649871646273</v>
      </c>
      <c r="K10229" s="6" t="n">
        <f aca="false">Sens!K10208</f>
        <v>622.466004871192</v>
      </c>
    </row>
    <row r="10230" customFormat="false" ht="15" hidden="false" customHeight="false" outlineLevel="0" collapsed="false">
      <c r="A10230" s="0" t="s">
        <v>1041</v>
      </c>
      <c r="B10230" s="0" t="s">
        <v>98</v>
      </c>
      <c r="D10230" s="6" t="n">
        <f aca="false">Sens!D10209</f>
        <v>22.171</v>
      </c>
      <c r="E10230" s="6" t="n">
        <f aca="false">Sens!E10209</f>
        <v>24.835</v>
      </c>
      <c r="F10230" s="6" t="n">
        <f aca="false">Sens!F10209</f>
        <v>27.5591895660247</v>
      </c>
      <c r="G10230" s="6" t="n">
        <f aca="false">Sens!G10209</f>
        <v>30.4098563144583</v>
      </c>
      <c r="H10230" s="6" t="n">
        <f aca="false">Sens!H10209</f>
        <v>33.3011792571777</v>
      </c>
      <c r="I10230" s="6" t="n">
        <f aca="false">Sens!I10209</f>
        <v>36.189023797112</v>
      </c>
      <c r="J10230" s="6" t="n">
        <f aca="false">Sens!J10209</f>
        <v>39.0247773769199</v>
      </c>
      <c r="K10230" s="6" t="n">
        <f aca="false">Sens!K10209</f>
        <v>41.7565117933043</v>
      </c>
    </row>
    <row r="10231" customFormat="false" ht="15" hidden="false" customHeight="false" outlineLevel="0" collapsed="false">
      <c r="A10231" s="0" t="s">
        <v>1042</v>
      </c>
      <c r="B10231" s="0" t="s">
        <v>98</v>
      </c>
      <c r="D10231" s="6" t="n">
        <f aca="false">Sens!D10211</f>
        <v>23.455</v>
      </c>
      <c r="E10231" s="6" t="n">
        <f aca="false">Sens!E10211</f>
        <v>21.79</v>
      </c>
      <c r="F10231" s="6" t="n">
        <f aca="false">Sens!F10211</f>
        <v>20.7520981041711</v>
      </c>
      <c r="G10231" s="6" t="n">
        <f aca="false">Sens!G10211</f>
        <v>19.9083593495882</v>
      </c>
      <c r="H10231" s="6" t="n">
        <f aca="false">Sens!H10211</f>
        <v>19.4008256265831</v>
      </c>
      <c r="I10231" s="6" t="n">
        <f aca="false">Sens!I10211</f>
        <v>19.200434522122</v>
      </c>
      <c r="J10231" s="6" t="n">
        <f aca="false">Sens!J10211</f>
        <v>19.2932782348507</v>
      </c>
      <c r="K10231" s="6" t="n">
        <f aca="false">Sens!K10211</f>
        <v>19.6791437995477</v>
      </c>
    </row>
    <row r="10232" customFormat="false" ht="15" hidden="false" customHeight="false" outlineLevel="0" collapsed="false">
      <c r="A10232" s="0" t="s">
        <v>1043</v>
      </c>
      <c r="B10232" s="0" t="s">
        <v>98</v>
      </c>
      <c r="D10232" s="6" t="n">
        <f aca="false">Sens!D10213</f>
        <v>17.315</v>
      </c>
      <c r="E10232" s="6" t="n">
        <f aca="false">Sens!E10213</f>
        <v>17.087</v>
      </c>
      <c r="F10232" s="6" t="n">
        <f aca="false">Sens!F10213</f>
        <v>15.9912273250553</v>
      </c>
      <c r="G10232" s="6" t="n">
        <f aca="false">Sens!G10213</f>
        <v>15.9574562664827</v>
      </c>
      <c r="H10232" s="6" t="n">
        <f aca="false">Sens!H10213</f>
        <v>16.0119687434196</v>
      </c>
      <c r="I10232" s="6" t="n">
        <f aca="false">Sens!I10213</f>
        <v>16.1551810001948</v>
      </c>
      <c r="J10232" s="6" t="n">
        <f aca="false">Sens!J10213</f>
        <v>16.3889793892005</v>
      </c>
      <c r="K10232" s="6" t="n">
        <f aca="false">Sens!K10213</f>
        <v>16.7167589769845</v>
      </c>
    </row>
    <row r="10233" customFormat="false" ht="15" hidden="false" customHeight="false" outlineLevel="0" collapsed="false">
      <c r="A10233" s="0" t="s">
        <v>870</v>
      </c>
      <c r="B10233" s="0" t="s">
        <v>98</v>
      </c>
      <c r="D10233" s="6" t="n">
        <f aca="false">Sens!D10215</f>
        <v>62.941</v>
      </c>
      <c r="E10233" s="6" t="n">
        <f aca="false">Sens!E10215</f>
        <v>63.712</v>
      </c>
      <c r="F10233" s="6" t="n">
        <f aca="false">Sens!F10215</f>
        <v>64.3025149952511</v>
      </c>
      <c r="G10233" s="6" t="n">
        <f aca="false">Sens!G10215</f>
        <v>66.2756719305292</v>
      </c>
      <c r="H10233" s="6" t="n">
        <f aca="false">Sens!H10215</f>
        <v>68.7139736271804</v>
      </c>
      <c r="I10233" s="6" t="n">
        <f aca="false">Sens!I10215</f>
        <v>71.5446393194289</v>
      </c>
      <c r="J10233" s="6" t="n">
        <f aca="false">Sens!J10215</f>
        <v>74.707035000971</v>
      </c>
      <c r="K10233" s="6" t="n">
        <f aca="false">Sens!K10215</f>
        <v>78.1524145698365</v>
      </c>
    </row>
    <row r="10234" customFormat="false" ht="15" hidden="false" customHeight="false" outlineLevel="0" collapsed="false">
      <c r="A10234" s="1" t="s">
        <v>1059</v>
      </c>
      <c r="B10234" s="0" t="s">
        <v>98</v>
      </c>
      <c r="D10234" s="6" t="n">
        <f aca="false">Sens!D10216</f>
        <v>281.724</v>
      </c>
      <c r="E10234" s="6" t="n">
        <f aca="false">Sens!E10216</f>
        <v>331.839</v>
      </c>
      <c r="F10234" s="6" t="n">
        <f aca="false">Sens!F10216</f>
        <v>394.833470580517</v>
      </c>
      <c r="G10234" s="6" t="n">
        <f aca="false">Sens!G10216</f>
        <v>460.626077876962</v>
      </c>
      <c r="H10234" s="6" t="n">
        <f aca="false">Sens!H10216</f>
        <v>523.451242081205</v>
      </c>
      <c r="I10234" s="6" t="n">
        <f aca="false">Sens!I10216</f>
        <v>590.498243905225</v>
      </c>
      <c r="J10234" s="6" t="n">
        <f aca="false">Sens!J10216</f>
        <v>649.356906647244</v>
      </c>
      <c r="K10234" s="6" t="n">
        <f aca="false">Sens!K10216</f>
        <v>700.618419441028</v>
      </c>
    </row>
    <row r="10235" customFormat="false" ht="15" hidden="false" customHeight="false" outlineLevel="0" collapsed="false">
      <c r="A10235" s="1" t="s">
        <v>1060</v>
      </c>
      <c r="B10235" s="0" t="s">
        <v>168</v>
      </c>
      <c r="E10235" s="7" t="n">
        <f aca="false">Sens!E10234/Sens!D10234-1</f>
        <v>0.177886867998467</v>
      </c>
      <c r="F10235" s="7" t="n">
        <f aca="false">Sens!F10234/Sens!E10234-1</f>
        <v>0.189834439533982</v>
      </c>
      <c r="G10235" s="7" t="n">
        <f aca="false">Sens!G10234/Sens!F10234-1</f>
        <v>0.166633814503394</v>
      </c>
      <c r="H10235" s="7" t="n">
        <f aca="false">Sens!H10234/Sens!G10234-1</f>
        <v>0.136390810728315</v>
      </c>
      <c r="I10235" s="7" t="n">
        <f aca="false">Sens!I10234/Sens!H10234-1</f>
        <v>0.128086431808713</v>
      </c>
      <c r="J10235" s="7" t="n">
        <f aca="false">Sens!J10234/Sens!I10234-1</f>
        <v>0.0996762705893244</v>
      </c>
      <c r="K10235" s="7" t="n">
        <f aca="false">Sens!K10234/Sens!J10234-1</f>
        <v>0.078941968998925</v>
      </c>
    </row>
    <row r="10236" customFormat="false" ht="17.15" hidden="false" customHeight="false" outlineLevel="0" collapsed="false">
      <c r="A10236" s="26" t="s">
        <v>1061</v>
      </c>
      <c r="B10236" s="31" t="s">
        <v>98</v>
      </c>
      <c r="C10236" s="31"/>
      <c r="D10236" s="27" t="n">
        <f aca="false">(Sens!D10229+Sens!D10233-Sens!D10234)+(Sens!D10221+Sens!D10222-Sens!D10220)+(Sens!D10224+Sens!D10225-Sens!D10223)+(Sens!D10234-Q!L18)</f>
        <v>0</v>
      </c>
      <c r="E10236" s="27" t="n">
        <f aca="false">(Sens!E10229+Sens!E10233-Sens!E10234)+(Sens!E10221+Sens!E10222-Sens!E10220)+(Sens!E10224+Sens!E10225-Sens!E10223)+(Sens!E10234-Q!M18)</f>
        <v>0</v>
      </c>
      <c r="F10236" s="27" t="n">
        <f aca="false">(Sens!F10229+Sens!F10233-Sens!F10234)+(Sens!F10221+Sens!F10222-Sens!F10220)+(Sens!F10224+Sens!F10225-Sens!F10223)</f>
        <v>0</v>
      </c>
      <c r="G10236" s="27" t="n">
        <f aca="false">(Sens!G10229+Sens!G10233-Sens!G10234)+(Sens!G10221+Sens!G10222-Sens!G10220)+(Sens!G10224+Sens!G10225-Sens!G10223)</f>
        <v>0</v>
      </c>
      <c r="H10236" s="27" t="n">
        <f aca="false">(Sens!H10229+Sens!H10233-Sens!H10234)+(Sens!H10221+Sens!H10222-Sens!H10220)+(Sens!H10224+Sens!H10225-Sens!H10223)</f>
        <v>0</v>
      </c>
      <c r="I10236" s="27" t="n">
        <f aca="false">(Sens!I10229+Sens!I10233-Sens!I10234)+(Sens!I10221+Sens!I10222-Sens!I10220)+(Sens!I10224+Sens!I10225-Sens!I10223)</f>
        <v>0</v>
      </c>
      <c r="J10236" s="27" t="n">
        <f aca="false">(Sens!J10229+Sens!J10233-Sens!J10234)+(Sens!J10221+Sens!J10222-Sens!J10220)+(Sens!J10224+Sens!J10225-Sens!J10223)</f>
        <v>0</v>
      </c>
      <c r="K10236" s="27" t="n">
        <f aca="false">(Sens!K10229+Sens!K10233-Sens!K10234)+(Sens!K10221+Sens!K10222-Sens!K10220)+(Sens!K10224+Sens!K10225-Sens!K10223)</f>
        <v>0</v>
      </c>
    </row>
    <row r="10237" customFormat="false" ht="17.15" hidden="false" customHeight="false" outlineLevel="0" collapsed="false">
      <c r="A10237" s="0" t="s">
        <v>1062</v>
      </c>
      <c r="B10237" s="0" t="s">
        <v>168</v>
      </c>
      <c r="E10237" s="7" t="n">
        <f aca="false">(Q!M21+Sens!E10173+Sens!E10174+Sens!E10175+Sens!E10189-Sens!E10171)/(Q!M5-Sens!E10171)</f>
        <v>0.570957350878296</v>
      </c>
      <c r="F10237" s="7" t="n">
        <f aca="false">Sens!$E$10237+dm_seg</f>
        <v>0.570957350878296</v>
      </c>
      <c r="G10237" s="7" t="n">
        <f aca="false">Sens!$E$10237+dm_seg</f>
        <v>0.570957350878296</v>
      </c>
      <c r="H10237" s="7" t="n">
        <f aca="false">Sens!$E$10237+dm_seg</f>
        <v>0.570957350878296</v>
      </c>
      <c r="I10237" s="7" t="n">
        <f aca="false">Sens!$E$10237+dm_seg</f>
        <v>0.570957350878296</v>
      </c>
      <c r="J10237" s="7" t="n">
        <f aca="false">Sens!$E$10237+dm_seg</f>
        <v>0.570957350878296</v>
      </c>
      <c r="K10237" s="7" t="n">
        <f aca="false">Sens!$E$10237+dm_seg</f>
        <v>0.570957350878296</v>
      </c>
      <c r="L10237" s="12" t="s">
        <v>1063</v>
      </c>
    </row>
    <row r="10238" customFormat="false" ht="17.15" hidden="false" customHeight="false" outlineLevel="0" collapsed="false">
      <c r="A10238" s="0" t="s">
        <v>884</v>
      </c>
      <c r="B10238" s="0" t="s">
        <v>98</v>
      </c>
      <c r="D10238" s="6" t="n">
        <f aca="false">Q!L21</f>
        <v>110.814</v>
      </c>
      <c r="E10238" s="6" t="n">
        <f aca="false">Q!M21</f>
        <v>136.365</v>
      </c>
      <c r="F10238" s="6" t="n">
        <f aca="false">Q!$I$21+(Sens!F10237*(Sens!F10208-Sens!F10171)+Sens!F10171-(Sens!F10173+Sens!F10174+Sens!F10175)-Sens!F10189-Sens!F10272)*(Sens!F10208-Q!$I$5)/Sens!F10208</f>
        <v>158.320852380169</v>
      </c>
      <c r="G10238" s="6" t="n">
        <f aca="false">(Sens!G10237*(Sens!G10208-Sens!G10171)+Sens!G10171-(Sens!G10173+Sens!G10174+Sens!G10175)-Sens!G10189-Sens!G10272)</f>
        <v>162.25573744759</v>
      </c>
      <c r="H10238" s="6" t="n">
        <f aca="false">(Sens!H10237*(Sens!H10208-Sens!H10171)+Sens!H10171-(Sens!H10173+Sens!H10174+Sens!H10175)-Sens!H10189-Sens!H10272)</f>
        <v>165.144470632558</v>
      </c>
      <c r="I10238" s="6" t="n">
        <f aca="false">(Sens!I10237*(Sens!I10208-Sens!I10171)+Sens!I10171-(Sens!I10173+Sens!I10174+Sens!I10175)-Sens!I10189-Sens!I10272)</f>
        <v>176.748086902771</v>
      </c>
      <c r="J10238" s="6" t="n">
        <f aca="false">(Sens!J10237*(Sens!J10208-Sens!J10171)+Sens!J10171-(Sens!J10173+Sens!J10174+Sens!J10175)-Sens!J10189-Sens!J10272)</f>
        <v>190.981851077283</v>
      </c>
      <c r="K10238" s="6" t="n">
        <f aca="false">(Sens!K10237*(Sens!K10208-Sens!K10171)+Sens!K10171-(Sens!K10173+Sens!K10174+Sens!K10175)-Sens!K10189-Sens!K10272)</f>
        <v>207.839934689196</v>
      </c>
      <c r="L10238" s="1" t="s">
        <v>1064</v>
      </c>
    </row>
    <row r="10239" customFormat="false" ht="17.15" hidden="false" customHeight="false" outlineLevel="0" collapsed="false">
      <c r="A10239" s="0" t="s">
        <v>1065</v>
      </c>
      <c r="B10239" s="0" t="s">
        <v>168</v>
      </c>
      <c r="E10239" s="7" t="n">
        <f aca="false">Q!M22/Q!M12</f>
        <v>0.296207935710698</v>
      </c>
      <c r="F10239" s="7" t="n">
        <f aca="false">Sens!$E$10239+dm_seg</f>
        <v>0.296207935710698</v>
      </c>
      <c r="G10239" s="7" t="n">
        <f aca="false">Sens!$E$10239+dm_seg</f>
        <v>0.296207935710698</v>
      </c>
      <c r="H10239" s="7" t="n">
        <f aca="false">Sens!$E$10239+dm_seg</f>
        <v>0.296207935710698</v>
      </c>
      <c r="I10239" s="7" t="n">
        <f aca="false">Sens!$E$10239+dm_seg</f>
        <v>0.296207935710698</v>
      </c>
      <c r="J10239" s="7" t="n">
        <f aca="false">Sens!$E$10239+dm_seg</f>
        <v>0.296207935710698</v>
      </c>
      <c r="K10239" s="7" t="n">
        <f aca="false">Sens!$E$10239+dm_seg</f>
        <v>0.296207935710698</v>
      </c>
      <c r="L10239" s="12" t="s">
        <v>1066</v>
      </c>
    </row>
    <row r="10240" customFormat="false" ht="17.15" hidden="false" customHeight="false" outlineLevel="0" collapsed="false">
      <c r="A10240" s="0" t="s">
        <v>886</v>
      </c>
      <c r="B10240" s="0" t="s">
        <v>98</v>
      </c>
      <c r="D10240" s="6" t="n">
        <f aca="false">Q!L22</f>
        <v>17.714</v>
      </c>
      <c r="E10240" s="6" t="n">
        <f aca="false">Q!M22</f>
        <v>18.872</v>
      </c>
      <c r="F10240" s="6" t="n">
        <f aca="false">Q!$I$22+(Sens!F10215-Q!$I$12)*Sens!F10239</f>
        <v>19.8174315512051</v>
      </c>
      <c r="G10240" s="6" t="n">
        <f aca="false">Sens!G10215*Sens!G10239</f>
        <v>19.6313799703815</v>
      </c>
      <c r="H10240" s="6" t="n">
        <f aca="false">Sens!H10215*Sens!H10239</f>
        <v>20.3536242825865</v>
      </c>
      <c r="I10240" s="6" t="n">
        <f aca="false">Sens!I10215*Sens!I10239</f>
        <v>21.1920899239745</v>
      </c>
      <c r="J10240" s="6" t="n">
        <f aca="false">Sens!J10215*Sens!J10239</f>
        <v>22.1288166207045</v>
      </c>
      <c r="K10240" s="6" t="n">
        <f aca="false">Sens!K10215*Sens!K10239</f>
        <v>23.1493653905379</v>
      </c>
      <c r="L10240" s="12" t="s">
        <v>1067</v>
      </c>
    </row>
    <row r="10241" customFormat="false" ht="15" hidden="false" customHeight="false" outlineLevel="0" collapsed="false">
      <c r="A10241" s="1" t="s">
        <v>1068</v>
      </c>
      <c r="B10241" s="0" t="s">
        <v>98</v>
      </c>
      <c r="D10241" s="6" t="n">
        <f aca="false">Sens!D10238+Sens!D10240</f>
        <v>128.528</v>
      </c>
      <c r="E10241" s="6" t="n">
        <f aca="false">Sens!E10238+Sens!E10240</f>
        <v>155.237</v>
      </c>
      <c r="F10241" s="6" t="n">
        <f aca="false">Sens!F10238+Sens!F10240</f>
        <v>178.138283931374</v>
      </c>
      <c r="G10241" s="6" t="n">
        <f aca="false">Sens!G10238+Sens!G10240</f>
        <v>181.887117417971</v>
      </c>
      <c r="H10241" s="6" t="n">
        <f aca="false">Sens!H10238+Sens!H10240</f>
        <v>185.498094915144</v>
      </c>
      <c r="I10241" s="6" t="n">
        <f aca="false">Sens!I10238+Sens!I10240</f>
        <v>197.940176826746</v>
      </c>
      <c r="J10241" s="6" t="n">
        <f aca="false">Sens!J10238+Sens!J10240</f>
        <v>213.110667697988</v>
      </c>
      <c r="K10241" s="6" t="n">
        <f aca="false">Sens!K10238+Sens!K10240</f>
        <v>230.989300079734</v>
      </c>
    </row>
    <row r="10242" customFormat="false" ht="15" hidden="false" customHeight="false" outlineLevel="0" collapsed="false">
      <c r="A10242" s="26" t="s">
        <v>1069</v>
      </c>
      <c r="B10242" s="31" t="s">
        <v>98</v>
      </c>
      <c r="C10242" s="31"/>
      <c r="D10242" s="27" t="n">
        <f aca="false">Sens!D10241-Q!L23</f>
        <v>0</v>
      </c>
      <c r="E10242" s="27" t="n">
        <f aca="false">Sens!E10241-Q!M23</f>
        <v>0</v>
      </c>
      <c r="F10242" s="31"/>
      <c r="G10242" s="31"/>
      <c r="H10242" s="31"/>
      <c r="I10242" s="31"/>
      <c r="J10242" s="31"/>
      <c r="K10242" s="31"/>
    </row>
    <row r="10243" customFormat="false" ht="15" hidden="false" customHeight="false" outlineLevel="0" collapsed="false">
      <c r="A10243" s="1" t="s">
        <v>1070</v>
      </c>
      <c r="B10243" s="0" t="s">
        <v>168</v>
      </c>
      <c r="D10243" s="7" t="n">
        <f aca="false">Sens!D10241/Sens!D10234</f>
        <v>0.456219562408598</v>
      </c>
      <c r="E10243" s="7" t="n">
        <f aca="false">Sens!E10241/Sens!E10234</f>
        <v>0.467808184089272</v>
      </c>
      <c r="F10243" s="7" t="n">
        <f aca="false">Sens!F10241/Sens!F10234</f>
        <v>0.451173208972027</v>
      </c>
      <c r="G10243" s="7" t="n">
        <f aca="false">Sens!G10241/Sens!G10234</f>
        <v>0.394869344471971</v>
      </c>
      <c r="H10243" s="7" t="n">
        <f aca="false">Sens!H10241/Sens!H10234</f>
        <v>0.354375116539254</v>
      </c>
      <c r="I10243" s="7" t="n">
        <f aca="false">Sens!I10241/Sens!I10234</f>
        <v>0.335208747646191</v>
      </c>
      <c r="J10243" s="7" t="n">
        <f aca="false">Sens!J10241/Sens!J10234</f>
        <v>0.328187265764708</v>
      </c>
      <c r="K10243" s="7" t="n">
        <f aca="false">Sens!K10241/Sens!K10234</f>
        <v>0.329693444634275</v>
      </c>
    </row>
    <row r="10244" customFormat="false" ht="17.15" hidden="false" customHeight="false" outlineLevel="0" collapsed="false">
      <c r="A10244" s="1" t="s">
        <v>1071</v>
      </c>
      <c r="B10244" s="0" t="s">
        <v>98</v>
      </c>
      <c r="F10244" s="6" t="n">
        <f aca="false">Sens!F10259</f>
        <v>10.5962787979473</v>
      </c>
      <c r="G10244" s="6" t="n">
        <f aca="false">Sens!G10259</f>
        <v>27.844646674932</v>
      </c>
      <c r="H10244" s="6" t="n">
        <f aca="false">Sens!H10259</f>
        <v>46.566205501382</v>
      </c>
      <c r="I10244" s="6" t="n">
        <f aca="false">Sens!I10259</f>
        <v>63.2717778126444</v>
      </c>
      <c r="J10244" s="6" t="n">
        <f aca="false">Sens!J10259</f>
        <v>74.9061222882009</v>
      </c>
      <c r="K10244" s="6" t="n">
        <f aca="false">Sens!K10259</f>
        <v>81.6395437180232</v>
      </c>
      <c r="L10244" s="1" t="s">
        <v>1072</v>
      </c>
    </row>
    <row r="10245" customFormat="false" ht="17.15" hidden="false" customHeight="false" outlineLevel="0" collapsed="false">
      <c r="A10245" s="1" t="s">
        <v>1073</v>
      </c>
      <c r="B10245" s="0" t="s">
        <v>98</v>
      </c>
      <c r="D10245" s="6" t="n">
        <f aca="false">Sens!D10241</f>
        <v>128.528</v>
      </c>
      <c r="E10245" s="6" t="n">
        <f aca="false">Sens!E10241</f>
        <v>155.237</v>
      </c>
      <c r="F10245" s="6" t="n">
        <f aca="false">Sens!F10241+Sens!F10244</f>
        <v>188.734562729322</v>
      </c>
      <c r="G10245" s="6" t="n">
        <f aca="false">Sens!G10241+Sens!G10244</f>
        <v>209.731764092903</v>
      </c>
      <c r="H10245" s="6" t="n">
        <f aca="false">Sens!H10241+Sens!H10244</f>
        <v>232.064300416526</v>
      </c>
      <c r="I10245" s="6" t="n">
        <f aca="false">Sens!I10241+Sens!I10244</f>
        <v>261.21195463939</v>
      </c>
      <c r="J10245" s="6" t="n">
        <f aca="false">Sens!J10241+Sens!J10244</f>
        <v>288.016789986189</v>
      </c>
      <c r="K10245" s="6" t="n">
        <f aca="false">Sens!K10241+Sens!K10244</f>
        <v>312.628843797757</v>
      </c>
    </row>
    <row r="10246" customFormat="false" ht="17.15" hidden="false" customHeight="false" outlineLevel="0" collapsed="false">
      <c r="A10246" s="1" t="s">
        <v>1074</v>
      </c>
      <c r="B10246" s="0" t="s">
        <v>98</v>
      </c>
      <c r="E10246" s="6" t="n">
        <f aca="false">Sens!E10189</f>
        <v>16.3054059770833</v>
      </c>
      <c r="F10246" s="6" t="n">
        <f aca="false">Sens!F10189</f>
        <v>34.5793144783516</v>
      </c>
      <c r="G10246" s="6" t="n">
        <f aca="false">Sens!G10189</f>
        <v>60.7344906522989</v>
      </c>
      <c r="H10246" s="6" t="n">
        <f aca="false">Sens!H10189</f>
        <v>89.1000906614457</v>
      </c>
      <c r="I10246" s="6" t="n">
        <f aca="false">Sens!I10189</f>
        <v>114.231009694548</v>
      </c>
      <c r="J10246" s="6" t="n">
        <f aca="false">Sens!J10189</f>
        <v>132.015673049596</v>
      </c>
      <c r="K10246" s="6" t="n">
        <f aca="false">Sens!K10189</f>
        <v>143.012669550934</v>
      </c>
    </row>
    <row r="10247" customFormat="false" ht="17.15" hidden="false" customHeight="false" outlineLevel="0" collapsed="false">
      <c r="A10247" s="1" t="s">
        <v>1075</v>
      </c>
      <c r="B10247" s="0" t="s">
        <v>98</v>
      </c>
      <c r="E10247" s="6" t="n">
        <f aca="false">Sens!E10271</f>
        <v>22.2285940229167</v>
      </c>
      <c r="F10247" s="6" t="n">
        <f aca="false">Sens!F10271</f>
        <v>23.5960539984629</v>
      </c>
      <c r="G10247" s="6" t="n">
        <f aca="false">Sens!G10271</f>
        <v>25.3884237543156</v>
      </c>
      <c r="H10247" s="6" t="n">
        <f aca="false">Sens!H10271</f>
        <v>27.5956869269951</v>
      </c>
      <c r="I10247" s="6" t="n">
        <f aca="false">Sens!I10271</f>
        <v>30.1877762867714</v>
      </c>
      <c r="J10247" s="6" t="n">
        <f aca="false">Sens!J10271</f>
        <v>33.1205646854539</v>
      </c>
      <c r="K10247" s="6" t="n">
        <f aca="false">Sens!K10271</f>
        <v>36.3418147573161</v>
      </c>
    </row>
    <row r="10248" customFormat="false" ht="17.15" hidden="false" customHeight="false" outlineLevel="0" collapsed="false">
      <c r="A10248" s="1" t="s">
        <v>1076</v>
      </c>
      <c r="B10248" s="0" t="s">
        <v>98</v>
      </c>
      <c r="D10248" s="6" t="n">
        <f aca="false">Q!L27</f>
        <v>-4.901</v>
      </c>
      <c r="E10248" s="6" t="n">
        <f aca="false">Q!M27</f>
        <v>10.697</v>
      </c>
      <c r="F10248" s="6" t="n">
        <f aca="false">Q!$I$27+oie_f*(q_per_yr-1)/q_per_yr</f>
        <v>-0.862</v>
      </c>
      <c r="G10248" s="6" t="n">
        <f aca="false">oie_f</f>
        <v>-1.2</v>
      </c>
      <c r="H10248" s="6" t="n">
        <f aca="false">oie_f</f>
        <v>-1.2</v>
      </c>
      <c r="I10248" s="6" t="n">
        <f aca="false">oie_f</f>
        <v>-1.2</v>
      </c>
      <c r="J10248" s="6" t="n">
        <f aca="false">oie_f</f>
        <v>-1.2</v>
      </c>
      <c r="K10248" s="6" t="n">
        <f aca="false">oie_f</f>
        <v>-1.2</v>
      </c>
      <c r="L10248" s="12" t="s">
        <v>1077</v>
      </c>
    </row>
    <row r="10249" customFormat="false" ht="15" hidden="false" customHeight="false" outlineLevel="0" collapsed="false">
      <c r="A10249" s="1" t="s">
        <v>1078</v>
      </c>
      <c r="B10249" s="0" t="s">
        <v>98</v>
      </c>
      <c r="D10249" s="6" t="n">
        <f aca="false">Sens!D10241+Sens!D10248</f>
        <v>123.627</v>
      </c>
      <c r="E10249" s="6" t="n">
        <f aca="false">Sens!E10241+Sens!E10248</f>
        <v>165.934</v>
      </c>
      <c r="F10249" s="6" t="n">
        <f aca="false">Sens!F10241+Sens!F10248</f>
        <v>177.276283931374</v>
      </c>
      <c r="G10249" s="6" t="n">
        <f aca="false">Sens!G10241+Sens!G10248</f>
        <v>180.687117417971</v>
      </c>
      <c r="H10249" s="6" t="n">
        <f aca="false">Sens!H10241+Sens!H10248</f>
        <v>184.298094915144</v>
      </c>
      <c r="I10249" s="6" t="n">
        <f aca="false">Sens!I10241+Sens!I10248</f>
        <v>196.740176826746</v>
      </c>
      <c r="J10249" s="6" t="n">
        <f aca="false">Sens!J10241+Sens!J10248</f>
        <v>211.910667697988</v>
      </c>
      <c r="K10249" s="6" t="n">
        <f aca="false">Sens!K10241+Sens!K10248</f>
        <v>229.789300079734</v>
      </c>
    </row>
    <row r="10250" customFormat="false" ht="15" hidden="false" customHeight="false" outlineLevel="0" collapsed="false">
      <c r="A10250" s="1" t="s">
        <v>1079</v>
      </c>
      <c r="B10250" s="0" t="s">
        <v>98</v>
      </c>
      <c r="D10250" s="6" t="n">
        <f aca="false">Q!L29</f>
        <v>21.795</v>
      </c>
      <c r="E10250" s="6" t="n">
        <f aca="false">Q!M29</f>
        <v>32.185</v>
      </c>
      <c r="F10250" s="6" t="n">
        <f aca="false">Q!$I$29+(Sens!F10249-Q!$I$28)*tax_f</f>
        <v>35.5886567862749</v>
      </c>
      <c r="G10250" s="6" t="n">
        <f aca="false">Sens!G10249*tax_f</f>
        <v>36.1374234835943</v>
      </c>
      <c r="H10250" s="6" t="n">
        <f aca="false">Sens!H10249*tax_f</f>
        <v>36.8596189830289</v>
      </c>
      <c r="I10250" s="6" t="n">
        <f aca="false">Sens!I10249*tax_f</f>
        <v>39.3480353653492</v>
      </c>
      <c r="J10250" s="6" t="n">
        <f aca="false">Sens!J10249*tax_f</f>
        <v>42.3821335395976</v>
      </c>
      <c r="K10250" s="6" t="n">
        <f aca="false">Sens!K10249*tax_f</f>
        <v>45.9578600159468</v>
      </c>
    </row>
    <row r="10251" customFormat="false" ht="15" hidden="false" customHeight="false" outlineLevel="0" collapsed="false">
      <c r="A10251" s="1" t="s">
        <v>1080</v>
      </c>
      <c r="B10251" s="0" t="s">
        <v>98</v>
      </c>
      <c r="D10251" s="6" t="n">
        <f aca="false">Sens!D10249-Sens!D10250</f>
        <v>101.832</v>
      </c>
      <c r="E10251" s="6" t="n">
        <f aca="false">Sens!E10249-Sens!E10250</f>
        <v>133.749</v>
      </c>
      <c r="F10251" s="6" t="n">
        <f aca="false">Sens!F10249-Sens!F10250</f>
        <v>141.6876271451</v>
      </c>
      <c r="G10251" s="6" t="n">
        <f aca="false">Sens!G10249-Sens!G10250</f>
        <v>144.549693934377</v>
      </c>
      <c r="H10251" s="6" t="n">
        <f aca="false">Sens!H10249-Sens!H10250</f>
        <v>147.438475932116</v>
      </c>
      <c r="I10251" s="6" t="n">
        <f aca="false">Sens!I10249-Sens!I10250</f>
        <v>157.392141461397</v>
      </c>
      <c r="J10251" s="6" t="n">
        <f aca="false">Sens!J10249-Sens!J10250</f>
        <v>169.52853415839</v>
      </c>
      <c r="K10251" s="6" t="n">
        <f aca="false">Sens!K10249-Sens!K10250</f>
        <v>183.831440063787</v>
      </c>
    </row>
    <row r="10252" customFormat="false" ht="17.15" hidden="false" customHeight="false" outlineLevel="0" collapsed="false">
      <c r="A10252" s="1" t="s">
        <v>1081</v>
      </c>
      <c r="B10252" s="1" t="s">
        <v>81</v>
      </c>
      <c r="D10252" s="15" t="n">
        <f aca="false">Q!L31</f>
        <v>7.465</v>
      </c>
      <c r="E10252" s="15" t="n">
        <f aca="false">Q!M31</f>
        <v>7.453</v>
      </c>
      <c r="F10252" s="15" t="n">
        <f aca="false">Sens!F10296</f>
        <v>7.4735</v>
      </c>
      <c r="G10252" s="15" t="n">
        <f aca="false">Sens!G10296</f>
        <v>7.5185</v>
      </c>
      <c r="H10252" s="15" t="n">
        <f aca="false">Sens!H10296</f>
        <v>7.5635</v>
      </c>
      <c r="I10252" s="15" t="n">
        <f aca="false">Sens!I10296</f>
        <v>7.59248142502667</v>
      </c>
      <c r="J10252" s="15" t="n">
        <f aca="false">Sens!J10296</f>
        <v>7.60663083618914</v>
      </c>
      <c r="K10252" s="15" t="n">
        <f aca="false">Sens!K10296</f>
        <v>7.62306547615439</v>
      </c>
    </row>
    <row r="10253" customFormat="false" ht="17.15" hidden="false" customHeight="false" outlineLevel="0" collapsed="false">
      <c r="A10253" s="0" t="s">
        <v>1082</v>
      </c>
      <c r="B10253" s="0" t="s">
        <v>75</v>
      </c>
      <c r="D10253" s="8" t="n">
        <f aca="false">Sens!D10251/Sens!D10252</f>
        <v>13.641259209645</v>
      </c>
      <c r="E10253" s="8" t="n">
        <f aca="false">Sens!E10251/Sens!E10252</f>
        <v>17.9456594659869</v>
      </c>
      <c r="F10253" s="8" t="n">
        <f aca="false">Sens!F10251/Sens!F10252</f>
        <v>18.9586709232755</v>
      </c>
      <c r="G10253" s="8" t="n">
        <f aca="false">Sens!G10251/Sens!G10252</f>
        <v>19.2258687150864</v>
      </c>
      <c r="H10253" s="8" t="n">
        <f aca="false">Sens!H10251/Sens!H10252</f>
        <v>19.4934191752648</v>
      </c>
      <c r="I10253" s="8" t="n">
        <f aca="false">Sens!I10251/Sens!I10252</f>
        <v>20.7300002002763</v>
      </c>
      <c r="J10253" s="8" t="n">
        <f aca="false">Sens!J10251/Sens!J10252</f>
        <v>22.2869411976515</v>
      </c>
      <c r="K10253" s="8" t="n">
        <f aca="false">Sens!K10251/Sens!K10252</f>
        <v>24.115159529828</v>
      </c>
      <c r="L10253" s="1" t="s">
        <v>1083</v>
      </c>
    </row>
    <row r="10254" customFormat="false" ht="17.15" hidden="false" customHeight="false" outlineLevel="0" collapsed="false">
      <c r="A10254" s="1" t="s">
        <v>1084</v>
      </c>
      <c r="B10254" s="0" t="s">
        <v>98</v>
      </c>
      <c r="D10254" s="6" t="n">
        <f aca="false">Sens!D10251</f>
        <v>101.832</v>
      </c>
      <c r="E10254" s="6" t="n">
        <f aca="false">Sens!E10251</f>
        <v>133.749</v>
      </c>
      <c r="F10254" s="6" t="n">
        <f aca="false">Sens!F10251+Sens!F10244*(1-tax_f)</f>
        <v>150.164650183457</v>
      </c>
      <c r="G10254" s="6" t="n">
        <f aca="false">Sens!G10251+Sens!G10244*(1-tax_f)</f>
        <v>166.825411274323</v>
      </c>
      <c r="H10254" s="6" t="n">
        <f aca="false">Sens!H10251+Sens!H10244*(1-tax_f)</f>
        <v>184.691440333221</v>
      </c>
      <c r="I10254" s="6" t="n">
        <f aca="false">Sens!I10251+Sens!I10244*(1-tax_f)</f>
        <v>208.009563711512</v>
      </c>
      <c r="J10254" s="6" t="n">
        <f aca="false">Sens!J10251+Sens!J10244*(1-tax_f)</f>
        <v>229.453431988951</v>
      </c>
      <c r="K10254" s="6" t="n">
        <f aca="false">Sens!K10251+Sens!K10244*(1-tax_f)</f>
        <v>249.143075038206</v>
      </c>
    </row>
    <row r="10255" customFormat="false" ht="17.15" hidden="false" customHeight="false" outlineLevel="0" collapsed="false">
      <c r="A10255" s="0" t="s">
        <v>1085</v>
      </c>
      <c r="B10255" s="0" t="s">
        <v>75</v>
      </c>
      <c r="D10255" s="8" t="n">
        <f aca="false">Sens!D10254/Sens!D10252</f>
        <v>13.641259209645</v>
      </c>
      <c r="E10255" s="8" t="n">
        <f aca="false">Sens!E10254/Sens!E10252</f>
        <v>17.9456594659869</v>
      </c>
      <c r="F10255" s="8" t="n">
        <f aca="false">Sens!F10254/Sens!F10252</f>
        <v>20.0929484422904</v>
      </c>
      <c r="G10255" s="8" t="n">
        <f aca="false">Sens!G10254/Sens!G10252</f>
        <v>22.1886561514029</v>
      </c>
      <c r="H10255" s="8" t="n">
        <f aca="false">Sens!H10254/Sens!H10252</f>
        <v>24.4187797095553</v>
      </c>
      <c r="I10255" s="8" t="n">
        <f aca="false">Sens!I10254/Sens!I10252</f>
        <v>27.3967826942404</v>
      </c>
      <c r="J10255" s="8" t="n">
        <f aca="false">Sens!J10254/Sens!J10252</f>
        <v>30.1649228062059</v>
      </c>
      <c r="K10255" s="8" t="n">
        <f aca="false">Sens!K10254/Sens!K10252</f>
        <v>32.6827935320177</v>
      </c>
      <c r="L10255" s="1" t="s">
        <v>1086</v>
      </c>
    </row>
    <row r="10256" customFormat="false" ht="17.15" hidden="false" customHeight="false" outlineLevel="0" collapsed="false">
      <c r="A10256" s="0" t="s">
        <v>1087</v>
      </c>
      <c r="B10256" s="0" t="s">
        <v>168</v>
      </c>
      <c r="E10256" s="7" t="n">
        <f aca="false">Sens!E10255/Sens!D10255-1</f>
        <v>0.315542736208578</v>
      </c>
      <c r="F10256" s="7" t="n">
        <f aca="false">Sens!F10255/Sens!E10255-1</f>
        <v>0.119655060900571</v>
      </c>
      <c r="G10256" s="7" t="n">
        <f aca="false">Sens!G10255/Sens!F10255-1</f>
        <v>0.104300656279073</v>
      </c>
      <c r="H10256" s="7" t="n">
        <f aca="false">Sens!H10255/Sens!G10255-1</f>
        <v>0.100507373810079</v>
      </c>
      <c r="I10256" s="7" t="n">
        <f aca="false">Sens!I10255/Sens!H10255-1</f>
        <v>0.121955438400545</v>
      </c>
      <c r="J10256" s="7" t="n">
        <f aca="false">Sens!J10255/Sens!I10255-1</f>
        <v>0.101038875362087</v>
      </c>
      <c r="K10256" s="7" t="n">
        <f aca="false">Sens!K10255/Sens!J10255-1</f>
        <v>0.0834701531307656</v>
      </c>
    </row>
    <row r="10257" customFormat="false" ht="17.15" hidden="false" customHeight="false" outlineLevel="0" collapsed="false">
      <c r="A10257" s="0" t="s">
        <v>1007</v>
      </c>
      <c r="B10257" s="0" t="s">
        <v>98</v>
      </c>
      <c r="E10257" s="6" t="n">
        <f aca="false">Sens!E10198</f>
        <v>5.25</v>
      </c>
      <c r="F10257" s="6" t="n">
        <f aca="false">Sens!F10198</f>
        <v>10.5</v>
      </c>
      <c r="G10257" s="6" t="n">
        <f aca="false">Sens!G10198</f>
        <v>13.5</v>
      </c>
      <c r="H10257" s="6" t="n">
        <f aca="false">Sens!H10198</f>
        <v>16.5</v>
      </c>
      <c r="I10257" s="6" t="n">
        <f aca="false">Sens!I10198</f>
        <v>18.75</v>
      </c>
      <c r="J10257" s="6" t="n">
        <f aca="false">Sens!J10198</f>
        <v>20.25</v>
      </c>
      <c r="K10257" s="6" t="n">
        <f aca="false">Sens!K10198</f>
        <v>21.75</v>
      </c>
    </row>
    <row r="10258" customFormat="false" ht="17.15" hidden="false" customHeight="false" outlineLevel="0" collapsed="false">
      <c r="A10258" s="1" t="s">
        <v>1008</v>
      </c>
      <c r="B10258" s="0" t="s">
        <v>98</v>
      </c>
      <c r="F10258" s="6" t="n">
        <f aca="false">MAX(0,((Sens!E10158+Sens!F10158)/2-(shadow_base*(Sens!$D$10158+Sens!$E$10158)/2+(1-shadow_base)*Sens!$E$10158))*Sens!F10167/1000-(Sens!F10257-Sens!$E$10257)*Sens!F10237)</f>
        <v>10.5962787979473</v>
      </c>
      <c r="G10258" s="6" t="n">
        <f aca="false">MAX(0,((Sens!F10158+Sens!G10158)/2-(shadow_base*(Sens!$D$10158+Sens!$E$10158)/2+(1-shadow_base)*Sens!$E$10158))*Sens!G10167/1000-(Sens!G10257-Sens!$E$10257)*Sens!G10237)</f>
        <v>27.844646674932</v>
      </c>
      <c r="H10258" s="6" t="n">
        <f aca="false">MAX(0,((Sens!G10158+Sens!H10158)/2-(shadow_base*(Sens!$D$10158+Sens!$E$10158)/2+(1-shadow_base)*Sens!$E$10158))*Sens!H10167/1000-(Sens!H10257-Sens!$E$10257)*Sens!H10237)</f>
        <v>46.566205501382</v>
      </c>
      <c r="I10258" s="6" t="n">
        <f aca="false">MAX(0,((Sens!H10158+Sens!I10158)/2-(shadow_base*(Sens!$D$10158+Sens!$E$10158)/2+(1-shadow_base)*Sens!$E$10158))*Sens!I10167/1000-(Sens!I10257-Sens!$E$10257)*Sens!I10237)</f>
        <v>63.2717778126444</v>
      </c>
      <c r="J10258" s="6" t="n">
        <f aca="false">MAX(0,((Sens!I10158+Sens!J10158)/2-(shadow_base*(Sens!$D$10158+Sens!$E$10158)/2+(1-shadow_base)*Sens!$E$10158))*Sens!J10167/1000-(Sens!J10257-Sens!$E$10257)*Sens!J10237)</f>
        <v>74.9061222882009</v>
      </c>
      <c r="K10258" s="6" t="n">
        <f aca="false">MAX(0,((Sens!J10158+Sens!K10158)/2-(shadow_base*(Sens!$D$10158+Sens!$E$10158)/2+(1-shadow_base)*Sens!$E$10158))*Sens!K10167/1000-(Sens!K10257-Sens!$E$10257)*Sens!K10237)</f>
        <v>81.6395437180232</v>
      </c>
      <c r="L10258" s="1" t="s">
        <v>1009</v>
      </c>
    </row>
    <row r="10259" customFormat="false" ht="17.15" hidden="false" customHeight="false" outlineLevel="0" collapsed="false">
      <c r="A10259" s="1" t="s">
        <v>1010</v>
      </c>
      <c r="B10259" s="0" t="s">
        <v>98</v>
      </c>
      <c r="F10259" s="6" t="n">
        <f aca="false">IF(internal_ai_reading=2,1,0)*Sens!F10258</f>
        <v>10.5962787979473</v>
      </c>
      <c r="G10259" s="6" t="n">
        <f aca="false">IF(internal_ai_reading=2,1,0)*Sens!G10258</f>
        <v>27.844646674932</v>
      </c>
      <c r="H10259" s="6" t="n">
        <f aca="false">IF(internal_ai_reading=2,1,0)*Sens!H10258</f>
        <v>46.566205501382</v>
      </c>
      <c r="I10259" s="6" t="n">
        <f aca="false">IF(internal_ai_reading=2,1,0)*Sens!I10258</f>
        <v>63.2717778126444</v>
      </c>
      <c r="J10259" s="6" t="n">
        <f aca="false">IF(internal_ai_reading=2,1,0)*Sens!J10258</f>
        <v>74.9061222882009</v>
      </c>
      <c r="K10259" s="6" t="n">
        <f aca="false">IF(internal_ai_reading=2,1,0)*Sens!K10258</f>
        <v>81.6395437180232</v>
      </c>
    </row>
    <row r="10260" customFormat="false" ht="17.15" hidden="false" customHeight="false" outlineLevel="0" collapsed="false">
      <c r="A10260" s="0" t="s">
        <v>1011</v>
      </c>
      <c r="B10260" s="0" t="s">
        <v>98</v>
      </c>
      <c r="F10260" s="6" t="n">
        <f aca="false">Sens!F10177+Sens!F10257*Sens!F10237+Sens!F10259-Sens!F10178-Sens!F10189</f>
        <v>10.3853806853618</v>
      </c>
      <c r="G10260" s="6" t="n">
        <f aca="false">Sens!G10177+Sens!G10257*Sens!G10237+Sens!G10259-Sens!G10178-Sens!G10189</f>
        <v>16.4389313105741</v>
      </c>
      <c r="H10260" s="6" t="n">
        <f aca="false">Sens!H10177+Sens!H10257*Sens!H10237+Sens!H10259-Sens!H10178-Sens!H10189</f>
        <v>17.135416308873</v>
      </c>
      <c r="I10260" s="6" t="n">
        <f aca="false">Sens!I10177+Sens!I10257*Sens!I10237+Sens!I10259-Sens!I10178-Sens!I10189</f>
        <v>24.1293804008657</v>
      </c>
      <c r="J10260" s="6" t="n">
        <f aca="false">Sens!J10177+Sens!J10257*Sens!J10237+Sens!J10259-Sens!J10178-Sens!J10189</f>
        <v>28.8545659869181</v>
      </c>
      <c r="K10260" s="6" t="n">
        <f aca="false">Sens!K10177+Sens!K10257*Sens!K10237+Sens!K10259-Sens!K10178-Sens!K10189</f>
        <v>32.13747485251</v>
      </c>
    </row>
    <row r="10261" customFormat="false" ht="17.15" hidden="false" customHeight="false" outlineLevel="0" collapsed="false">
      <c r="A10261" s="0" t="s">
        <v>1012</v>
      </c>
      <c r="B10261" s="0" t="s">
        <v>98</v>
      </c>
      <c r="E10261" s="6" t="n">
        <f aca="false">Sens!E10157*(cxit_open+self_build*tk_cxfac)/1000*ai_net_open</f>
        <v>126.6980382</v>
      </c>
      <c r="F10261" s="6" t="n">
        <f aca="false">Sens!E10261+Sens!F10186-Sens!F10189</f>
        <v>260.572627763768</v>
      </c>
      <c r="G10261" s="6" t="n">
        <f aca="false">Sens!F10261+Sens!G10186-Sens!G10189</f>
        <v>391.782612760517</v>
      </c>
      <c r="H10261" s="6" t="n">
        <f aca="false">Sens!G10261+Sens!H10186-Sens!H10189</f>
        <v>499.488526163584</v>
      </c>
      <c r="I10261" s="6" t="n">
        <f aca="false">Sens!H10261+Sens!I10186-Sens!I10189</f>
        <v>553.872350090646</v>
      </c>
      <c r="J10261" s="6" t="n">
        <f aca="false">Sens!I10261+Sens!J10186-Sens!J10189</f>
        <v>550.78660823699</v>
      </c>
      <c r="K10261" s="6" t="n">
        <f aca="false">Sens!J10261+Sens!K10186-Sens!K10189</f>
        <v>526.736791750789</v>
      </c>
      <c r="L10261" s="1" t="s">
        <v>1013</v>
      </c>
    </row>
    <row r="10262" customFormat="false" ht="17.15" hidden="false" customHeight="false" outlineLevel="0" collapsed="false">
      <c r="A10262" s="0" t="s">
        <v>1014</v>
      </c>
      <c r="B10262" s="0" t="s">
        <v>168</v>
      </c>
      <c r="F10262" s="7" t="n">
        <f aca="false">Sens!F10260*(1-tax_f)/((Sens!E10261+Sens!F10261)/2)</f>
        <v>0.0429069654816909</v>
      </c>
      <c r="G10262" s="7" t="n">
        <f aca="false">Sens!G10260*(1-tax_f)/((Sens!F10261+Sens!G10261)/2)</f>
        <v>0.0403189680453549</v>
      </c>
      <c r="H10262" s="7" t="n">
        <f aca="false">Sens!H10260*(1-tax_f)/((Sens!G10261+Sens!H10261)/2)</f>
        <v>0.0307613080877867</v>
      </c>
      <c r="I10262" s="7" t="n">
        <f aca="false">Sens!I10260*(1-tax_f)/((Sens!H10261+Sens!I10261)/2)</f>
        <v>0.0366512650238846</v>
      </c>
      <c r="J10262" s="7" t="n">
        <f aca="false">Sens!J10260*(1-tax_f)/((Sens!I10261+Sens!J10261)/2)</f>
        <v>0.0417932659044041</v>
      </c>
      <c r="K10262" s="7" t="n">
        <f aca="false">Sens!K10260*(1-tax_f)/((Sens!J10261+Sens!K10261)/2)</f>
        <v>0.0477205040415821</v>
      </c>
    </row>
    <row r="10263" customFormat="false" ht="17.15" hidden="false" customHeight="false" outlineLevel="0" collapsed="false">
      <c r="A10263" s="1" t="s">
        <v>1015</v>
      </c>
      <c r="B10263" s="0" t="s">
        <v>168</v>
      </c>
      <c r="F10263" s="7" t="n">
        <f aca="false">(Sens!F10260-Sens!F10259)*(1-tax_f)/((Sens!E10261+Sens!F10261)/2)</f>
        <v>-0.000871320783610466</v>
      </c>
      <c r="G10263" s="7" t="n">
        <f aca="false">(Sens!G10260-Sens!G10259)*(1-tax_f)/((Sens!F10261+Sens!G10261)/2)</f>
        <v>-0.0279742438618356</v>
      </c>
      <c r="H10263" s="7" t="n">
        <f aca="false">(Sens!H10260-Sens!H10259)*(1-tax_f)/((Sens!G10261+Sens!H10261)/2)</f>
        <v>-0.0528338242443913</v>
      </c>
      <c r="I10263" s="7" t="n">
        <f aca="false">(Sens!I10260-Sens!I10259)*(1-tax_f)/((Sens!H10261+Sens!I10261)/2)</f>
        <v>-0.059455251538819</v>
      </c>
      <c r="J10263" s="7" t="n">
        <f aca="false">(Sens!J10260-Sens!J10259)*(1-tax_f)/((Sens!I10261+Sens!J10261)/2)</f>
        <v>-0.0667015729394002</v>
      </c>
      <c r="K10263" s="7" t="n">
        <f aca="false">(Sens!K10260-Sens!K10259)*(1-tax_f)/((Sens!J10261+Sens!K10261)/2)</f>
        <v>-0.0735049560740113</v>
      </c>
    </row>
    <row r="10264" customFormat="false" ht="17.15" hidden="false" customHeight="false" outlineLevel="0" collapsed="false">
      <c r="A10264" s="1" t="s">
        <v>1016</v>
      </c>
      <c r="B10264" s="0" t="s">
        <v>168</v>
      </c>
      <c r="F10264" s="7" t="n">
        <f aca="false">(Sens!F10260-Sens!F10259+Sens!F10258)*(1-tax_f)/((Sens!E10261+Sens!F10261)/2)</f>
        <v>0.0429069654816909</v>
      </c>
      <c r="G10264" s="7" t="n">
        <f aca="false">(Sens!G10260-Sens!G10259+Sens!G10258)*(1-tax_f)/((Sens!F10261+Sens!G10261)/2)</f>
        <v>0.0403189680453549</v>
      </c>
      <c r="H10264" s="7" t="n">
        <f aca="false">(Sens!H10260-Sens!H10259+Sens!H10258)*(1-tax_f)/((Sens!G10261+Sens!H10261)/2)</f>
        <v>0.0307613080877867</v>
      </c>
      <c r="I10264" s="7" t="n">
        <f aca="false">(Sens!I10260-Sens!I10259+Sens!I10258)*(1-tax_f)/((Sens!H10261+Sens!I10261)/2)</f>
        <v>0.0366512650238846</v>
      </c>
      <c r="J10264" s="7" t="n">
        <f aca="false">(Sens!J10260-Sens!J10259+Sens!J10258)*(1-tax_f)/((Sens!I10261+Sens!J10261)/2)</f>
        <v>0.0417932659044041</v>
      </c>
      <c r="K10264" s="7" t="n">
        <f aca="false">(Sens!K10260-Sens!K10259+Sens!K10258)*(1-tax_f)/((Sens!J10261+Sens!K10261)/2)</f>
        <v>0.0477205040415821</v>
      </c>
    </row>
    <row r="10265" customFormat="false" ht="17.15" hidden="false" customHeight="false" outlineLevel="0" collapsed="false">
      <c r="A10265" s="1" t="s">
        <v>1017</v>
      </c>
      <c r="B10265" s="0" t="s">
        <v>168</v>
      </c>
      <c r="F10265" s="7" t="n">
        <f aca="false">Sens!F10190*(1-tax_f)/(Sens!F10176*(Sens!E10261+Sens!F10261)/2)</f>
        <v>0.098791430090569</v>
      </c>
      <c r="G10265" s="7" t="n">
        <f aca="false">Sens!G10190*(1-tax_f)/(Sens!G10176*(Sens!F10261+Sens!G10261)/2)</f>
        <v>0.0675308856427828</v>
      </c>
      <c r="H10265" s="7" t="n">
        <f aca="false">Sens!H10190*(1-tax_f)/(Sens!H10176*(Sens!G10261+Sens!H10261)/2)</f>
        <v>0.0388374979528754</v>
      </c>
      <c r="I10265" s="7" t="n">
        <f aca="false">Sens!I10190*(1-tax_f)/(Sens!I10176*(Sens!H10261+Sens!I10261)/2)</f>
        <v>0.0411035671771815</v>
      </c>
      <c r="J10265" s="7" t="n">
        <f aca="false">Sens!J10190*(1-tax_f)/(Sens!J10176*(Sens!I10261+Sens!J10261)/2)</f>
        <v>0.0445222722541192</v>
      </c>
      <c r="K10265" s="7" t="n">
        <f aca="false">Sens!K10190*(1-tax_f)/(Sens!K10176*(Sens!J10261+Sens!K10261)/2)</f>
        <v>0.0498866361688162</v>
      </c>
    </row>
    <row r="10266" customFormat="false" ht="17.15" hidden="false" customHeight="false" outlineLevel="0" collapsed="false">
      <c r="A10266" s="0" t="s">
        <v>1018</v>
      </c>
      <c r="B10266" s="0" t="s">
        <v>253</v>
      </c>
      <c r="F10266" s="7" t="n">
        <f aca="false">Sens!F10262-wacc</f>
        <v>-0.0600296254639064</v>
      </c>
      <c r="G10266" s="7" t="n">
        <f aca="false">Sens!G10262-wacc</f>
        <v>-0.0626176229002424</v>
      </c>
      <c r="H10266" s="7" t="n">
        <f aca="false">Sens!H10262-wacc</f>
        <v>-0.0721752828578106</v>
      </c>
      <c r="I10266" s="7" t="n">
        <f aca="false">Sens!I10262-wacc</f>
        <v>-0.0662853259217127</v>
      </c>
      <c r="J10266" s="7" t="n">
        <f aca="false">Sens!J10262-wacc</f>
        <v>-0.0611433250411932</v>
      </c>
      <c r="K10266" s="7" t="n">
        <f aca="false">Sens!K10262-wacc</f>
        <v>-0.0552160869040152</v>
      </c>
    </row>
    <row r="10267" customFormat="false" ht="17.15" hidden="false" customHeight="false" outlineLevel="0" collapsed="false">
      <c r="A10267" s="0" t="s">
        <v>1019</v>
      </c>
      <c r="B10267" s="0" t="s">
        <v>98</v>
      </c>
      <c r="F10267" s="6" t="n">
        <f aca="false">Sens!F10260*(1-tax_f)-wacc*(Sens!E10261+Sens!F10261)/2</f>
        <v>-11.6238565154813</v>
      </c>
      <c r="G10267" s="6" t="n">
        <f aca="false">Sens!G10260*(1-tax_f)-wacc*(Sens!F10261+Sens!G10261)/2</f>
        <v>-20.4244672240733</v>
      </c>
      <c r="H10267" s="6" t="n">
        <f aca="false">Sens!H10260*(1-tax_f)-wacc*(Sens!G10261+Sens!H10261)/2</f>
        <v>-32.163873277425</v>
      </c>
      <c r="I10267" s="6" t="n">
        <f aca="false">Sens!I10260*(1-tax_f)-wacc*(Sens!H10261+Sens!I10261)/2</f>
        <v>-34.9111844978462</v>
      </c>
      <c r="J10267" s="6" t="n">
        <f aca="false">Sens!J10260*(1-tax_f)-wacc*(Sens!I10261+Sens!J10261)/2</f>
        <v>-33.7712608743463</v>
      </c>
      <c r="K10267" s="6" t="n">
        <f aca="false">Sens!K10260*(1-tax_f)-wacc*(Sens!J10261+Sens!K10261)/2</f>
        <v>-29.7483128474176</v>
      </c>
    </row>
    <row r="10268" customFormat="false" ht="17.15" hidden="false" customHeight="false" outlineLevel="0" collapsed="false">
      <c r="A10268" s="3" t="s">
        <v>1868</v>
      </c>
    </row>
    <row r="10269" customFormat="false" ht="15" hidden="false" customHeight="false" outlineLevel="0" collapsed="false">
      <c r="A10269" s="4" t="s">
        <v>43</v>
      </c>
      <c r="B10269" s="4" t="s">
        <v>65</v>
      </c>
      <c r="C10269" s="23" t="s">
        <v>942</v>
      </c>
      <c r="D10269" s="23" t="s">
        <v>943</v>
      </c>
      <c r="E10269" s="23" t="s">
        <v>944</v>
      </c>
      <c r="F10269" s="23" t="s">
        <v>945</v>
      </c>
      <c r="G10269" s="23" t="s">
        <v>946</v>
      </c>
      <c r="H10269" s="23" t="s">
        <v>947</v>
      </c>
      <c r="I10269" s="23" t="s">
        <v>948</v>
      </c>
      <c r="J10269" s="23" t="s">
        <v>949</v>
      </c>
      <c r="K10269" s="23" t="s">
        <v>950</v>
      </c>
      <c r="L10269" s="4" t="s">
        <v>47</v>
      </c>
    </row>
    <row r="10270" customFormat="false" ht="15" hidden="false" customHeight="false" outlineLevel="0" collapsed="false">
      <c r="A10270" s="1" t="s">
        <v>1080</v>
      </c>
      <c r="B10270" s="0" t="s">
        <v>98</v>
      </c>
      <c r="F10270" s="6" t="n">
        <f aca="false">Sens!F10251</f>
        <v>141.6876271451</v>
      </c>
      <c r="G10270" s="6" t="n">
        <f aca="false">Sens!G10251</f>
        <v>144.549693934377</v>
      </c>
      <c r="H10270" s="6" t="n">
        <f aca="false">Sens!H10251</f>
        <v>147.438475932116</v>
      </c>
      <c r="I10270" s="6" t="n">
        <f aca="false">Sens!I10251</f>
        <v>157.392141461397</v>
      </c>
      <c r="J10270" s="6" t="n">
        <f aca="false">Sens!J10251</f>
        <v>169.52853415839</v>
      </c>
      <c r="K10270" s="6" t="n">
        <f aca="false">Sens!K10251</f>
        <v>183.831440063787</v>
      </c>
    </row>
    <row r="10271" customFormat="false" ht="17.15" hidden="false" customHeight="false" outlineLevel="0" collapsed="false">
      <c r="A10271" s="1" t="s">
        <v>1102</v>
      </c>
      <c r="B10271" s="0" t="s">
        <v>98</v>
      </c>
      <c r="E10271" s="6" t="n">
        <f aca="false">Q!M38-Sens!E10189</f>
        <v>22.2285940229167</v>
      </c>
      <c r="F10271" s="6" t="n">
        <f aca="false">Sens!E10271*(1-1/life_nonai)+(Sens!F10279+Sens!F10280)/life_nonai</f>
        <v>23.5960539984629</v>
      </c>
      <c r="G10271" s="6" t="n">
        <f aca="false">Sens!F10271*(1-1/life_nonai)+(Sens!G10279)/life_nonai</f>
        <v>25.3884237543156</v>
      </c>
      <c r="H10271" s="6" t="n">
        <f aca="false">Sens!G10271*(1-1/life_nonai)+(Sens!H10279)/life_nonai</f>
        <v>27.5956869269951</v>
      </c>
      <c r="I10271" s="6" t="n">
        <f aca="false">Sens!H10271*(1-1/life_nonai)+(Sens!I10279)/life_nonai</f>
        <v>30.1877762867714</v>
      </c>
      <c r="J10271" s="6" t="n">
        <f aca="false">Sens!I10271*(1-1/life_nonai)+(Sens!J10279)/life_nonai</f>
        <v>33.1205646854539</v>
      </c>
      <c r="K10271" s="6" t="n">
        <f aca="false">Sens!J10271*(1-1/life_nonai)+(Sens!K10279)/life_nonai</f>
        <v>36.3418147573161</v>
      </c>
      <c r="L10271" s="12" t="s">
        <v>1103</v>
      </c>
    </row>
    <row r="10272" customFormat="false" ht="17.15" hidden="false" customHeight="false" outlineLevel="0" collapsed="false">
      <c r="A10272" s="1" t="s">
        <v>1104</v>
      </c>
      <c r="B10272" s="0" t="s">
        <v>98</v>
      </c>
      <c r="F10272" s="6" t="n">
        <f aca="false">Sens!$F$10280/life_nonai*(1-1/life_nonai)^(Sens!F10152-2027)</f>
        <v>0</v>
      </c>
      <c r="G10272" s="6" t="n">
        <f aca="false">Sens!$F$10280/life_nonai*(1-1/life_nonai)^(Sens!G10152-2027)</f>
        <v>0</v>
      </c>
      <c r="H10272" s="6" t="n">
        <f aca="false">Sens!$F$10280/life_nonai*(1-1/life_nonai)^(Sens!H10152-2027)</f>
        <v>0</v>
      </c>
      <c r="I10272" s="6" t="n">
        <f aca="false">Sens!$F$10280/life_nonai*(1-1/life_nonai)^(Sens!I10152-2027)</f>
        <v>0</v>
      </c>
      <c r="J10272" s="6" t="n">
        <f aca="false">Sens!$F$10280/life_nonai*(1-1/life_nonai)^(Sens!J10152-2027)</f>
        <v>0</v>
      </c>
      <c r="K10272" s="6" t="n">
        <f aca="false">Sens!$F$10280/life_nonai*(1-1/life_nonai)^(Sens!K10152-2027)</f>
        <v>0</v>
      </c>
      <c r="L10272" s="1" t="s">
        <v>1105</v>
      </c>
    </row>
    <row r="10273" customFormat="false" ht="17.15" hidden="false" customHeight="false" outlineLevel="0" collapsed="false">
      <c r="A10273" s="1" t="s">
        <v>1106</v>
      </c>
      <c r="B10273" s="0" t="s">
        <v>98</v>
      </c>
      <c r="E10273" s="6" t="n">
        <f aca="false">Sens!E10189+Sens!E10271</f>
        <v>38.534</v>
      </c>
      <c r="F10273" s="6" t="n">
        <f aca="false">Sens!F10189+Sens!F10271</f>
        <v>58.1753684768145</v>
      </c>
      <c r="G10273" s="6" t="n">
        <f aca="false">Sens!G10189+Sens!G10271</f>
        <v>86.1229144066145</v>
      </c>
      <c r="H10273" s="6" t="n">
        <f aca="false">Sens!H10189+Sens!H10271</f>
        <v>116.695777588441</v>
      </c>
      <c r="I10273" s="6" t="n">
        <f aca="false">Sens!I10189+Sens!I10271</f>
        <v>144.41878598132</v>
      </c>
      <c r="J10273" s="6" t="n">
        <f aca="false">Sens!J10189+Sens!J10271</f>
        <v>165.13623773505</v>
      </c>
      <c r="K10273" s="6" t="n">
        <f aca="false">Sens!K10189+Sens!K10271</f>
        <v>179.35448430825</v>
      </c>
    </row>
    <row r="10274" customFormat="false" ht="17.15" hidden="false" customHeight="false" outlineLevel="0" collapsed="false">
      <c r="A10274" s="1" t="s">
        <v>1107</v>
      </c>
      <c r="B10274" s="0" t="s">
        <v>98</v>
      </c>
      <c r="F10274" s="6" t="n">
        <f aca="false">Sens!F10216*sbc_r</f>
        <v>14.7598962224191</v>
      </c>
      <c r="G10274" s="6" t="n">
        <f aca="false">Sens!G10216*sbc_r</f>
        <v>17.219394031635</v>
      </c>
      <c r="H10274" s="6" t="n">
        <f aca="false">Sens!H10216*sbc_r</f>
        <v>19.56796114386</v>
      </c>
      <c r="I10274" s="6" t="n">
        <f aca="false">Sens!I10216*sbc_r</f>
        <v>22.0743514645485</v>
      </c>
      <c r="J10274" s="6" t="n">
        <f aca="false">Sens!J10216*sbc_r</f>
        <v>24.2746404942127</v>
      </c>
      <c r="K10274" s="6" t="n">
        <f aca="false">Sens!K10216*sbc_r</f>
        <v>26.1909284115669</v>
      </c>
    </row>
    <row r="10275" customFormat="false" ht="17.15" hidden="false" customHeight="false" outlineLevel="0" collapsed="false">
      <c r="A10275" s="1" t="s">
        <v>1108</v>
      </c>
      <c r="B10275" s="0" t="s">
        <v>98</v>
      </c>
      <c r="F10275" s="6" t="n">
        <f aca="false">wc27-wc26q1</f>
        <v>-4.677</v>
      </c>
      <c r="G10275" s="6" t="n">
        <f aca="false">wc_f</f>
        <v>0</v>
      </c>
      <c r="H10275" s="6" t="n">
        <f aca="false">wc_f</f>
        <v>0</v>
      </c>
      <c r="I10275" s="6" t="n">
        <f aca="false">wc_f</f>
        <v>0</v>
      </c>
      <c r="J10275" s="6" t="n">
        <f aca="false">wc_f</f>
        <v>0</v>
      </c>
      <c r="K10275" s="6" t="n">
        <f aca="false">wc_f</f>
        <v>0</v>
      </c>
      <c r="L10275" s="12" t="s">
        <v>1109</v>
      </c>
    </row>
    <row r="10276" customFormat="false" ht="17.15" hidden="false" customHeight="false" outlineLevel="0" collapsed="false">
      <c r="A10276" s="0" t="s">
        <v>1110</v>
      </c>
      <c r="B10276" s="0" t="s">
        <v>98</v>
      </c>
      <c r="F10276" s="6" t="n">
        <f aca="false">Q!$I$35-Q!$I$26-Q!$I$38-Q!$I$39</f>
        <v>6.493</v>
      </c>
      <c r="L10276" s="1" t="s">
        <v>1111</v>
      </c>
    </row>
    <row r="10277" customFormat="false" ht="15" hidden="false" customHeight="false" outlineLevel="0" collapsed="false">
      <c r="A10277" s="1" t="s">
        <v>908</v>
      </c>
      <c r="B10277" s="0" t="s">
        <v>98</v>
      </c>
      <c r="E10277" s="6" t="n">
        <f aca="false">Q!M35</f>
        <v>182.935</v>
      </c>
      <c r="F10277" s="6" t="n">
        <f aca="false">Sens!F10270+Sens!F10273+Sens!F10274+Sens!F10275+Sens!F10276</f>
        <v>216.438891844333</v>
      </c>
      <c r="G10277" s="6" t="n">
        <f aca="false">Sens!G10270+Sens!G10273+Sens!G10274+Sens!G10275</f>
        <v>247.892002372626</v>
      </c>
      <c r="H10277" s="6" t="n">
        <f aca="false">Sens!H10270+Sens!H10273+Sens!H10274+Sens!H10275</f>
        <v>283.702214664416</v>
      </c>
      <c r="I10277" s="6" t="n">
        <f aca="false">Sens!I10270+Sens!I10273+Sens!I10274+Sens!I10275</f>
        <v>323.885278907265</v>
      </c>
      <c r="J10277" s="6" t="n">
        <f aca="false">Sens!J10270+Sens!J10273+Sens!J10274+Sens!J10275</f>
        <v>358.939412387653</v>
      </c>
      <c r="K10277" s="6" t="n">
        <f aca="false">Sens!K10270+Sens!K10273+Sens!K10274+Sens!K10275</f>
        <v>389.376852783604</v>
      </c>
    </row>
    <row r="10278" customFormat="false" ht="17.15" hidden="false" customHeight="false" outlineLevel="0" collapsed="false">
      <c r="A10278" s="0" t="s">
        <v>1112</v>
      </c>
      <c r="B10278" s="0" t="s">
        <v>98</v>
      </c>
      <c r="F10278" s="6" t="n">
        <f aca="false">Sens!F10186</f>
        <v>168.45390404212</v>
      </c>
      <c r="G10278" s="6" t="n">
        <f aca="false">Sens!G10186</f>
        <v>191.944475649048</v>
      </c>
      <c r="H10278" s="6" t="n">
        <f aca="false">Sens!H10186</f>
        <v>196.806004064512</v>
      </c>
      <c r="I10278" s="6" t="n">
        <f aca="false">Sens!I10186</f>
        <v>168.61483362161</v>
      </c>
      <c r="J10278" s="6" t="n">
        <f aca="false">Sens!J10186</f>
        <v>128.92993119594</v>
      </c>
      <c r="K10278" s="6" t="n">
        <f aca="false">Sens!K10186</f>
        <v>118.962853064733</v>
      </c>
    </row>
    <row r="10279" customFormat="false" ht="17.15" hidden="false" customHeight="false" outlineLevel="0" collapsed="false">
      <c r="A10279" s="1" t="s">
        <v>1113</v>
      </c>
      <c r="B10279" s="0" t="s">
        <v>98</v>
      </c>
      <c r="E10279" s="6" t="n">
        <f aca="false">Sens!E10194*cx_azo+Sens!E10201*cx_m365+Sens!E10202*cx_lic+(Sens!E10204+Sens!E10206)*cx_ind+Sens!E10209*cx_srch+(Sens!E10211+Sens!E10213)*cx_dev</f>
        <v>30.1846587067718</v>
      </c>
      <c r="F10279" s="6" t="n">
        <f aca="false">Sens!F10194*cx_azo+Sens!F10201*cx_m365+Sens!F10202*cx_lic+(Sens!F10204+Sens!F10206)*cx_ind+Sens!F10209*cx_srch+(Sens!F10211+Sens!F10213)*cx_dev</f>
        <v>35.9031937783789</v>
      </c>
      <c r="G10279" s="6" t="n">
        <f aca="false">Sens!G10194*cx_azo+Sens!G10201*cx_m365+Sens!G10202*cx_lic+(Sens!G10204+Sens!G10206)*cx_ind+Sens!G10209*cx_srch+(Sens!G10211+Sens!G10213)*cx_dev</f>
        <v>41.5197515569896</v>
      </c>
      <c r="H10279" s="6" t="n">
        <f aca="false">Sens!H10194*cx_azo+Sens!H10201*cx_m365+Sens!H10202*cx_lic+(Sens!H10204+Sens!H10206)*cx_ind+Sens!H10209*cx_srch+(Sens!H10211+Sens!H10213)*cx_dev</f>
        <v>47.4610554811108</v>
      </c>
      <c r="I10279" s="6" t="n">
        <f aca="false">Sens!I10194*cx_azo+Sens!I10201*cx_m365+Sens!I10202*cx_lic+(Sens!I10204+Sens!I10206)*cx_ind+Sens!I10209*cx_srch+(Sens!I10211+Sens!I10213)*cx_dev</f>
        <v>53.5165805247586</v>
      </c>
      <c r="J10279" s="6" t="n">
        <f aca="false">Sens!J10194*cx_azo+Sens!J10201*cx_m365+Sens!J10202*cx_lic+(Sens!J10204+Sens!J10206)*cx_ind+Sens!J10209*cx_srch+(Sens!J10211+Sens!J10213)*cx_dev</f>
        <v>59.5156602735959</v>
      </c>
      <c r="K10279" s="6" t="n">
        <f aca="false">Sens!K10194*cx_azo+Sens!K10201*cx_m365+Sens!K10202*cx_lic+(Sens!K10204+Sens!K10206)*cx_ind+Sens!K10209*cx_srch+(Sens!K10211+Sens!K10213)*cx_dev</f>
        <v>65.3330654040759</v>
      </c>
    </row>
    <row r="10280" customFormat="false" ht="17.15" hidden="false" customHeight="false" outlineLevel="0" collapsed="false">
      <c r="A10280" s="0" t="s">
        <v>1114</v>
      </c>
      <c r="B10280" s="0" t="s">
        <v>98</v>
      </c>
      <c r="F10280" s="6" t="n">
        <f aca="false">Sens!F10184</f>
        <v>0</v>
      </c>
      <c r="L10280" s="1" t="s">
        <v>1115</v>
      </c>
    </row>
    <row r="10281" customFormat="false" ht="17.15" hidden="false" customHeight="false" outlineLevel="0" collapsed="false">
      <c r="A10281" s="1" t="s">
        <v>1116</v>
      </c>
      <c r="B10281" s="0" t="s">
        <v>98</v>
      </c>
      <c r="E10281" s="6" t="n">
        <f aca="false">Q!M43</f>
        <v>145.3</v>
      </c>
      <c r="F10281" s="6" t="n">
        <f aca="false">Sens!F10278+Sens!F10279+Sens!F10280</f>
        <v>204.357097820498</v>
      </c>
      <c r="G10281" s="6" t="n">
        <f aca="false">Sens!G10278+Sens!G10279</f>
        <v>233.464227206038</v>
      </c>
      <c r="H10281" s="6" t="n">
        <f aca="false">Sens!H10278+Sens!H10279</f>
        <v>244.267059545623</v>
      </c>
      <c r="I10281" s="6" t="n">
        <f aca="false">Sens!I10278+Sens!I10279</f>
        <v>222.131414146369</v>
      </c>
      <c r="J10281" s="6" t="n">
        <f aca="false">Sens!J10278+Sens!J10279</f>
        <v>188.445591469536</v>
      </c>
      <c r="K10281" s="6" t="n">
        <f aca="false">Sens!K10278+Sens!K10279</f>
        <v>184.295918468809</v>
      </c>
      <c r="L10281" s="1" t="s">
        <v>1117</v>
      </c>
    </row>
    <row r="10282" customFormat="false" ht="15" hidden="false" customHeight="false" outlineLevel="0" collapsed="false">
      <c r="A10282" s="1" t="s">
        <v>1118</v>
      </c>
      <c r="B10282" s="0" t="s">
        <v>98</v>
      </c>
      <c r="E10282" s="6" t="n">
        <f aca="false">fl_liab</f>
        <v>66.594</v>
      </c>
      <c r="F10282" s="6" t="n">
        <f aca="false">Sens!E10282-Sens!F10283</f>
        <v>62.46973</v>
      </c>
      <c r="G10282" s="6" t="n">
        <f aca="false">Sens!F10282-Sens!G10283</f>
        <v>57.98686785</v>
      </c>
      <c r="H10282" s="6" t="n">
        <f aca="false">Sens!G10282-Sens!H10283</f>
        <v>53.92827690325</v>
      </c>
      <c r="I10282" s="6" t="n">
        <f aca="false">Sens!H10282-Sens!I10283</f>
        <v>49.7850493638962</v>
      </c>
      <c r="J10282" s="6" t="n">
        <f aca="false">Sens!I10282-Sens!J10283</f>
        <v>45.4823765852716</v>
      </c>
      <c r="K10282" s="6" t="n">
        <f aca="false">Sens!J10282-Sens!K10283</f>
        <v>40.9860835316088</v>
      </c>
    </row>
    <row r="10283" customFormat="false" ht="15" hidden="false" customHeight="false" outlineLevel="0" collapsed="false">
      <c r="A10283" s="1" t="s">
        <v>1119</v>
      </c>
      <c r="B10283" s="0" t="s">
        <v>98</v>
      </c>
      <c r="F10283" s="6" t="n">
        <f aca="false">fl_pay_27-Sens!E10282*fl_rate</f>
        <v>4.12427</v>
      </c>
      <c r="G10283" s="6" t="n">
        <f aca="false">fl_pay_28-Sens!F10282*fl_rate</f>
        <v>4.48286215</v>
      </c>
      <c r="H10283" s="6" t="n">
        <f aca="false">fl_pay_29-Sens!G10282*fl_rate</f>
        <v>4.05859094675</v>
      </c>
      <c r="I10283" s="6" t="n">
        <f aca="false">fl_pay_30-Sens!H10282*fl_rate</f>
        <v>4.14322753935375</v>
      </c>
      <c r="J10283" s="6" t="n">
        <f aca="false">fl_pay_31-Sens!I10282*fl_rate</f>
        <v>4.30267277862467</v>
      </c>
      <c r="K10283" s="6" t="n">
        <f aca="false">fl_pay_32-Sens!J10282*fl_rate</f>
        <v>4.49629305366278</v>
      </c>
    </row>
    <row r="10284" customFormat="false" ht="17.15" hidden="false" customHeight="false" outlineLevel="0" collapsed="false">
      <c r="A10284" s="1" t="s">
        <v>1120</v>
      </c>
      <c r="B10284" s="0" t="s">
        <v>98</v>
      </c>
      <c r="E10284" s="6" t="n">
        <f aca="false">Q!M35-Q!M36-Q!M44</f>
        <v>63.886</v>
      </c>
      <c r="F10284" s="6" t="n">
        <f aca="false">Sens!F10277-Sens!F10281-Sens!F10283</f>
        <v>7.9575240238347</v>
      </c>
      <c r="G10284" s="6" t="n">
        <f aca="false">Sens!G10277-Sens!G10281-Sens!G10283</f>
        <v>9.94491301658876</v>
      </c>
      <c r="H10284" s="6" t="n">
        <f aca="false">Sens!H10277-Sens!H10281-Sens!H10283</f>
        <v>35.3765641720432</v>
      </c>
      <c r="I10284" s="6" t="n">
        <f aca="false">Sens!I10277-Sens!I10281-Sens!I10283</f>
        <v>97.6106372215423</v>
      </c>
      <c r="J10284" s="6" t="n">
        <f aca="false">Sens!J10277-Sens!J10281-Sens!J10283</f>
        <v>166.191148139492</v>
      </c>
      <c r="K10284" s="6" t="n">
        <f aca="false">Sens!K10277-Sens!K10281-Sens!K10283</f>
        <v>200.584641261133</v>
      </c>
      <c r="L10284" s="12" t="s">
        <v>1121</v>
      </c>
    </row>
    <row r="10285" customFormat="false" ht="15" hidden="false" customHeight="false" outlineLevel="0" collapsed="false">
      <c r="A10285" s="1" t="s">
        <v>1122</v>
      </c>
      <c r="B10285" s="0" t="s">
        <v>75</v>
      </c>
      <c r="F10285" s="8" t="n">
        <f aca="false">dps_27</f>
        <v>3.85</v>
      </c>
      <c r="G10285" s="8" t="n">
        <f aca="false">Sens!F10285*(1+dps_g)</f>
        <v>4.158</v>
      </c>
      <c r="H10285" s="8" t="n">
        <f aca="false">Sens!G10285*(1+dps_g)</f>
        <v>4.49064</v>
      </c>
      <c r="I10285" s="8" t="n">
        <f aca="false">Sens!H10285*(1+dps_g)</f>
        <v>4.8498912</v>
      </c>
      <c r="J10285" s="8" t="n">
        <f aca="false">Sens!I10285*(1+dps_g)</f>
        <v>5.237882496</v>
      </c>
      <c r="K10285" s="8" t="n">
        <f aca="false">Sens!J10285*(1+dps_g)</f>
        <v>5.65691309568</v>
      </c>
    </row>
    <row r="10286" customFormat="false" ht="17.15" hidden="false" customHeight="false" outlineLevel="0" collapsed="false">
      <c r="A10286" s="1" t="s">
        <v>1123</v>
      </c>
      <c r="B10286" s="0" t="s">
        <v>98</v>
      </c>
      <c r="E10286" s="6" t="n">
        <f aca="false">Q!M41</f>
        <v>26.445</v>
      </c>
      <c r="F10286" s="6" t="n">
        <f aca="false">Sens!F10285*Sens!E10295</f>
        <v>28.59395</v>
      </c>
      <c r="G10286" s="6" t="n">
        <f aca="false">Sens!G10285*Sens!F10295</f>
        <v>31.068576</v>
      </c>
      <c r="H10286" s="6" t="n">
        <f aca="false">Sens!H10285*Sens!G10295</f>
        <v>33.75614088</v>
      </c>
      <c r="I10286" s="6" t="n">
        <f aca="false">Sens!I10285*Sens!H10295</f>
        <v>36.6748772544</v>
      </c>
      <c r="J10286" s="6" t="n">
        <f aca="false">Sens!J10285*Sens!I10295</f>
        <v>39.6767653201446</v>
      </c>
      <c r="K10286" s="6" t="n">
        <f aca="false">Sens!K10285*Sens!J10295</f>
        <v>42.9376608081345</v>
      </c>
      <c r="L10286" s="1" t="s">
        <v>1124</v>
      </c>
    </row>
    <row r="10287" customFormat="false" ht="15" hidden="false" customHeight="false" outlineLevel="0" collapsed="false">
      <c r="A10287" s="1" t="s">
        <v>1125</v>
      </c>
      <c r="B10287" s="0" t="s">
        <v>98</v>
      </c>
      <c r="E10287" s="6" t="n">
        <f aca="false">Sens!E10284-Sens!E10286</f>
        <v>37.441</v>
      </c>
      <c r="F10287" s="6" t="n">
        <f aca="false">Sens!F10284-Sens!F10286</f>
        <v>-20.6364259761653</v>
      </c>
      <c r="G10287" s="6" t="n">
        <f aca="false">Sens!G10284-Sens!G10286</f>
        <v>-21.1236629834112</v>
      </c>
      <c r="H10287" s="6" t="n">
        <f aca="false">Sens!H10284-Sens!H10286</f>
        <v>1.6204232920432</v>
      </c>
      <c r="I10287" s="6" t="n">
        <f aca="false">Sens!I10284-Sens!I10286</f>
        <v>60.9357599671423</v>
      </c>
      <c r="J10287" s="6" t="n">
        <f aca="false">Sens!J10284-Sens!J10286</f>
        <v>126.514382819347</v>
      </c>
      <c r="K10287" s="6" t="n">
        <f aca="false">Sens!K10284-Sens!K10286</f>
        <v>157.646980452999</v>
      </c>
    </row>
    <row r="10288" customFormat="false" ht="15" hidden="false" customHeight="false" outlineLevel="0" collapsed="false">
      <c r="A10288" s="1" t="s">
        <v>1126</v>
      </c>
      <c r="B10288" s="0" t="s">
        <v>98</v>
      </c>
      <c r="F10288" s="6" t="n">
        <f aca="false">debt_mat_27</f>
        <v>9.25</v>
      </c>
      <c r="G10288" s="6" t="n">
        <f aca="false">debt_mat_28</f>
        <v>0</v>
      </c>
      <c r="H10288" s="6" t="n">
        <f aca="false">debt_mat_29</f>
        <v>2.001</v>
      </c>
      <c r="I10288" s="6" t="n">
        <f aca="false">debt_mat_30</f>
        <v>0</v>
      </c>
      <c r="J10288" s="6" t="n">
        <f aca="false">debt_mat_31</f>
        <v>0.5</v>
      </c>
      <c r="K10288" s="6" t="n">
        <f aca="false">debt_mat_32</f>
        <v>0</v>
      </c>
    </row>
    <row r="10289" customFormat="false" ht="15" hidden="false" customHeight="false" outlineLevel="0" collapsed="false">
      <c r="A10289" s="1" t="s">
        <v>1127</v>
      </c>
      <c r="B10289" s="0" t="s">
        <v>98</v>
      </c>
      <c r="E10289" s="6" t="n">
        <f aca="false">Q!M40</f>
        <v>22.271</v>
      </c>
      <c r="F10289" s="6" t="n">
        <f aca="false">MAX(0,MIN(bb_target,Sens!E10291+Sens!F10287-Sens!F10288-min_cash))</f>
        <v>0</v>
      </c>
      <c r="G10289" s="6" t="n">
        <f aca="false">MAX(0,MIN(bb_target,Sens!F10291+Sens!G10287-Sens!G10288-min_cash))</f>
        <v>0</v>
      </c>
      <c r="H10289" s="6" t="n">
        <f aca="false">MAX(0,MIN(bb_target,Sens!G10291+Sens!H10287-Sens!H10288-min_cash))</f>
        <v>0</v>
      </c>
      <c r="I10289" s="6" t="n">
        <f aca="false">MAX(0,MIN(bb_target,Sens!H10291+Sens!I10287-Sens!I10288-min_cash))</f>
        <v>22.271</v>
      </c>
      <c r="J10289" s="6" t="n">
        <f aca="false">MAX(0,MIN(bb_target,Sens!I10291+Sens!J10287-Sens!J10288-min_cash))</f>
        <v>22.271</v>
      </c>
      <c r="K10289" s="6" t="n">
        <f aca="false">MAX(0,MIN(bb_target,Sens!J10291+Sens!K10287-Sens!K10288-min_cash))</f>
        <v>22.271</v>
      </c>
    </row>
    <row r="10290" customFormat="false" ht="15" hidden="false" customHeight="false" outlineLevel="0" collapsed="false">
      <c r="A10290" s="1" t="s">
        <v>1128</v>
      </c>
      <c r="B10290" s="0" t="s">
        <v>98</v>
      </c>
      <c r="F10290" s="6" t="n">
        <f aca="false">MAX(0,min_cash-(Sens!E10291+Sens!F10287-Sens!F10288-Sens!F10289))</f>
        <v>3.0434259761653</v>
      </c>
      <c r="G10290" s="6" t="n">
        <f aca="false">MAX(0,min_cash-(Sens!F10291+Sens!G10287-Sens!G10288-Sens!G10289))</f>
        <v>21.1236629834112</v>
      </c>
      <c r="H10290" s="6" t="n">
        <f aca="false">MAX(0,min_cash-(Sens!G10291+Sens!H10287-Sens!H10288-Sens!H10289))</f>
        <v>0.380576707956799</v>
      </c>
      <c r="I10290" s="6" t="n">
        <f aca="false">MAX(0,min_cash-(Sens!H10291+Sens!I10287-Sens!I10288-Sens!I10289))</f>
        <v>0</v>
      </c>
      <c r="J10290" s="6" t="n">
        <f aca="false">MAX(0,min_cash-(Sens!I10291+Sens!J10287-Sens!J10288-Sens!J10289))</f>
        <v>0</v>
      </c>
      <c r="K10290" s="6" t="n">
        <f aca="false">MAX(0,min_cash-(Sens!J10291+Sens!K10287-Sens!K10288-Sens!K10289))</f>
        <v>0</v>
      </c>
    </row>
    <row r="10291" customFormat="false" ht="15" hidden="false" customHeight="false" outlineLevel="0" collapsed="false">
      <c r="A10291" s="1" t="s">
        <v>1129</v>
      </c>
      <c r="B10291" s="0" t="s">
        <v>98</v>
      </c>
      <c r="E10291" s="6" t="n">
        <f aca="false">cash_open</f>
        <v>76.843</v>
      </c>
      <c r="F10291" s="6" t="n">
        <f aca="false">Sens!E10291+Sens!F10287-Sens!F10288-Sens!F10289+Sens!F10290</f>
        <v>50</v>
      </c>
      <c r="G10291" s="6" t="n">
        <f aca="false">Sens!F10291+Sens!G10287-Sens!G10288-Sens!G10289+Sens!G10290</f>
        <v>50</v>
      </c>
      <c r="H10291" s="6" t="n">
        <f aca="false">Sens!G10291+Sens!H10287-Sens!H10288-Sens!H10289+Sens!H10290</f>
        <v>50</v>
      </c>
      <c r="I10291" s="6" t="n">
        <f aca="false">Sens!H10291+Sens!I10287-Sens!I10288-Sens!I10289+Sens!I10290</f>
        <v>88.6647599671423</v>
      </c>
      <c r="J10291" s="6" t="n">
        <f aca="false">Sens!I10291+Sens!J10287-Sens!J10288-Sens!J10289+Sens!J10290</f>
        <v>192.40814278649</v>
      </c>
      <c r="K10291" s="6" t="n">
        <f aca="false">Sens!J10291+Sens!K10287-Sens!K10288-Sens!K10289+Sens!K10290</f>
        <v>327.784123239488</v>
      </c>
    </row>
    <row r="10292" customFormat="false" ht="15" hidden="false" customHeight="false" outlineLevel="0" collapsed="false">
      <c r="A10292" s="1" t="s">
        <v>1130</v>
      </c>
      <c r="B10292" s="0" t="s">
        <v>98</v>
      </c>
      <c r="E10292" s="6" t="n">
        <f aca="false">debt_face</f>
        <v>46.136</v>
      </c>
      <c r="F10292" s="6" t="n">
        <f aca="false">Sens!E10292-Sens!F10288+Sens!F10290</f>
        <v>39.9294259761653</v>
      </c>
      <c r="G10292" s="6" t="n">
        <f aca="false">Sens!F10292-Sens!G10288+Sens!G10290</f>
        <v>61.0530889595765</v>
      </c>
      <c r="H10292" s="6" t="n">
        <f aca="false">Sens!G10292-Sens!H10288+Sens!H10290</f>
        <v>59.4326656675333</v>
      </c>
      <c r="I10292" s="6" t="n">
        <f aca="false">Sens!H10292-Sens!I10288+Sens!I10290</f>
        <v>59.4326656675333</v>
      </c>
      <c r="J10292" s="6" t="n">
        <f aca="false">Sens!I10292-Sens!J10288+Sens!J10290</f>
        <v>58.9326656675333</v>
      </c>
      <c r="K10292" s="6" t="n">
        <f aca="false">Sens!J10292-Sens!K10288+Sens!K10290</f>
        <v>58.9326656675333</v>
      </c>
    </row>
    <row r="10293" customFormat="false" ht="15" hidden="false" customHeight="false" outlineLevel="0" collapsed="false">
      <c r="A10293" s="1" t="s">
        <v>1131</v>
      </c>
      <c r="B10293" s="0" t="s">
        <v>98</v>
      </c>
      <c r="E10293" s="6" t="n">
        <f aca="false">Sens!E10291-Sens!E10292</f>
        <v>30.707</v>
      </c>
      <c r="F10293" s="6" t="n">
        <f aca="false">Sens!F10291-Sens!F10292</f>
        <v>10.0705740238347</v>
      </c>
      <c r="G10293" s="6" t="n">
        <f aca="false">Sens!G10291-Sens!G10292</f>
        <v>-11.0530889595765</v>
      </c>
      <c r="H10293" s="6" t="n">
        <f aca="false">Sens!H10291-Sens!H10292</f>
        <v>-9.43266566753334</v>
      </c>
      <c r="I10293" s="6" t="n">
        <f aca="false">Sens!I10291-Sens!I10292</f>
        <v>29.2320942996089</v>
      </c>
      <c r="J10293" s="6" t="n">
        <f aca="false">Sens!J10291-Sens!J10292</f>
        <v>133.475477118956</v>
      </c>
      <c r="K10293" s="6" t="n">
        <f aca="false">Sens!K10291-Sens!K10292</f>
        <v>268.851457571955</v>
      </c>
    </row>
    <row r="10294" customFormat="false" ht="15" hidden="false" customHeight="false" outlineLevel="0" collapsed="false">
      <c r="A10294" s="1" t="s">
        <v>1132</v>
      </c>
      <c r="B10294" s="0" t="s">
        <v>75</v>
      </c>
      <c r="F10294" s="30" t="n">
        <f aca="false">px*(1+bb_g)^(Sens!F10152-base_fy-mid_yr)</f>
        <v>551.84177959629</v>
      </c>
      <c r="G10294" s="30" t="n">
        <f aca="false">px*(1+bb_g)^(Sens!G10152-base_fy-mid_yr)</f>
        <v>595.989121963993</v>
      </c>
      <c r="H10294" s="30" t="n">
        <f aca="false">px*(1+bb_g)^(Sens!H10152-base_fy-mid_yr)</f>
        <v>643.668251721112</v>
      </c>
      <c r="I10294" s="30" t="n">
        <f aca="false">px*(1+bb_g)^(Sens!I10152-base_fy-mid_yr)</f>
        <v>695.161711858801</v>
      </c>
      <c r="J10294" s="30" t="n">
        <f aca="false">px*(1+bb_g)^(Sens!J10152-base_fy-mid_yr)</f>
        <v>750.774648807506</v>
      </c>
      <c r="K10294" s="30" t="n">
        <f aca="false">px*(1+bb_g)^(Sens!K10152-base_fy-mid_yr)</f>
        <v>810.836620712106</v>
      </c>
    </row>
    <row r="10295" customFormat="false" ht="15" hidden="false" customHeight="false" outlineLevel="0" collapsed="false">
      <c r="A10295" s="1" t="s">
        <v>1133</v>
      </c>
      <c r="B10295" s="1" t="s">
        <v>81</v>
      </c>
      <c r="E10295" s="15" t="n">
        <f aca="false">sh_out26</f>
        <v>7.427</v>
      </c>
      <c r="F10295" s="15" t="n">
        <f aca="false">Sens!E10295+sh_iss-Sens!F10289/Sens!F10294</f>
        <v>7.472</v>
      </c>
      <c r="G10295" s="15" t="n">
        <f aca="false">Sens!F10295+sh_iss-Sens!G10289/Sens!G10294</f>
        <v>7.517</v>
      </c>
      <c r="H10295" s="15" t="n">
        <f aca="false">Sens!G10295+sh_iss-Sens!H10289/Sens!H10294</f>
        <v>7.562</v>
      </c>
      <c r="I10295" s="15" t="n">
        <f aca="false">Sens!H10295+sh_iss-Sens!I10289/Sens!I10294</f>
        <v>7.57496285005334</v>
      </c>
      <c r="J10295" s="15" t="n">
        <f aca="false">Sens!I10295+sh_iss-Sens!J10289/Sens!J10294</f>
        <v>7.59029882232494</v>
      </c>
      <c r="K10295" s="15" t="n">
        <f aca="false">Sens!J10295+sh_iss-Sens!K10289/Sens!K10294</f>
        <v>7.60783212998384</v>
      </c>
    </row>
    <row r="10296" customFormat="false" ht="15" hidden="false" customHeight="false" outlineLevel="0" collapsed="false">
      <c r="A10296" s="1" t="s">
        <v>1134</v>
      </c>
      <c r="B10296" s="1" t="s">
        <v>81</v>
      </c>
      <c r="E10296" s="15" t="n">
        <f aca="false">sh_dil26</f>
        <v>7.453</v>
      </c>
      <c r="F10296" s="15" t="n">
        <f aca="false">(Sens!E10295+Sens!F10295)/2+dil_gap</f>
        <v>7.4735</v>
      </c>
      <c r="G10296" s="15" t="n">
        <f aca="false">(Sens!F10295+Sens!G10295)/2+dil_gap</f>
        <v>7.5185</v>
      </c>
      <c r="H10296" s="15" t="n">
        <f aca="false">(Sens!G10295+Sens!H10295)/2+dil_gap</f>
        <v>7.5635</v>
      </c>
      <c r="I10296" s="15" t="n">
        <f aca="false">(Sens!H10295+Sens!I10295)/2+dil_gap</f>
        <v>7.59248142502667</v>
      </c>
      <c r="J10296" s="15" t="n">
        <f aca="false">(Sens!I10295+Sens!J10295)/2+dil_gap</f>
        <v>7.60663083618914</v>
      </c>
      <c r="K10296" s="15" t="n">
        <f aca="false">(Sens!J10295+Sens!K10295)/2+dil_gap</f>
        <v>7.62306547615439</v>
      </c>
    </row>
    <row r="10297" customFormat="false" ht="17.15" hidden="false" customHeight="false" outlineLevel="0" collapsed="false">
      <c r="A10297" s="1" t="s">
        <v>1135</v>
      </c>
      <c r="B10297" s="0" t="s">
        <v>98</v>
      </c>
      <c r="C10297" s="6" t="n">
        <f aca="false">SUM(Sens!F10287:J10287)</f>
        <v>147.310477118956</v>
      </c>
    </row>
    <row r="10298" customFormat="false" ht="15" hidden="false" customHeight="false" outlineLevel="0" collapsed="false">
      <c r="A10298" s="26" t="s">
        <v>1100</v>
      </c>
      <c r="B10298" s="31" t="s">
        <v>98</v>
      </c>
      <c r="C10298" s="27" t="n">
        <f aca="false">Sens!$C$10297-(Sens!F10287+Sens!G10287+Sens!H10287+Sens!I10287+Sens!J10287)</f>
        <v>0</v>
      </c>
      <c r="D10298" s="31"/>
      <c r="E10298" s="31"/>
      <c r="F10298" s="31"/>
      <c r="G10298" s="31"/>
      <c r="H10298" s="31"/>
      <c r="I10298" s="31"/>
      <c r="J10298" s="31"/>
      <c r="K10298" s="31"/>
    </row>
    <row r="10299" customFormat="false" ht="17.15" hidden="false" customHeight="false" outlineLevel="0" collapsed="false">
      <c r="A10299" s="1" t="s">
        <v>1094</v>
      </c>
      <c r="B10299" s="1" t="s">
        <v>1136</v>
      </c>
      <c r="C10299" s="33" t="str">
        <f aca="false">IF(SUM(Sens!F10290:J10290)&gt;0.05,"需要舉債 "&amp;TEXT(SUM(Sens!F10290:J10290),"0.0")&amp;" 十億美元","不需舉債")&amp;"；"&amp;IF(SUM(Sens!F10289:J10289)&lt;COUNT(Sens!F10289:J10289)*bb_target-0.05,"回購較每年 "&amp;TEXT(bb_target,"0.0")&amp;" 的目標少 "&amp;TEXT(COUNT(Sens!F10289:J10289)*bb_target-SUM(Sens!F10289:J10289),"0.0")&amp;" 十億美元（"&amp;TEXT(COUNTIF(Sens!F10289:J10289,"&lt;"&amp;(bb_target-0.05)),"0")&amp;" 年減少）","回購不減")</f>
        <v>需要舉債 24.5 十億美元；回購較每年 22.3 的目標少 66.8 十億美元（3 年減少）</v>
      </c>
    </row>
    <row r="10300" customFormat="false" ht="17.15" hidden="false" customHeight="false" outlineLevel="0" collapsed="false">
      <c r="A10300" s="3" t="s">
        <v>1869</v>
      </c>
    </row>
    <row r="10301" customFormat="false" ht="15" hidden="false" customHeight="false" outlineLevel="0" collapsed="false">
      <c r="A10301" s="4" t="s">
        <v>43</v>
      </c>
      <c r="B10301" s="4" t="s">
        <v>65</v>
      </c>
      <c r="C10301" s="23" t="s">
        <v>942</v>
      </c>
      <c r="D10301" s="23" t="s">
        <v>943</v>
      </c>
      <c r="E10301" s="23" t="s">
        <v>944</v>
      </c>
      <c r="F10301" s="23" t="s">
        <v>945</v>
      </c>
      <c r="G10301" s="23" t="s">
        <v>946</v>
      </c>
      <c r="H10301" s="23" t="s">
        <v>947</v>
      </c>
      <c r="I10301" s="23" t="s">
        <v>948</v>
      </c>
      <c r="J10301" s="23" t="s">
        <v>949</v>
      </c>
      <c r="K10301" s="23" t="s">
        <v>950</v>
      </c>
      <c r="L10301" s="4" t="s">
        <v>47</v>
      </c>
    </row>
    <row r="10302" customFormat="false" ht="17.15" hidden="false" customHeight="false" outlineLevel="0" collapsed="false">
      <c r="A10302" s="1" t="s">
        <v>1216</v>
      </c>
      <c r="B10302" s="1" t="s">
        <v>279</v>
      </c>
      <c r="F10302" s="8" t="n">
        <f aca="false">(1-v_off)*mid_yr</f>
        <v>0.373972602739726</v>
      </c>
      <c r="G10302" s="8" t="n">
        <f aca="false">Sens!G10152-base_fy-mid_yr-v_off</f>
        <v>1.24794520547945</v>
      </c>
      <c r="H10302" s="8" t="n">
        <f aca="false">Sens!H10152-base_fy-mid_yr-v_off</f>
        <v>2.24794520547945</v>
      </c>
      <c r="I10302" s="8" t="n">
        <f aca="false">Sens!I10152-base_fy-mid_yr-v_off</f>
        <v>3.24794520547945</v>
      </c>
      <c r="J10302" s="8" t="n">
        <f aca="false">Sens!J10152-base_fy-mid_yr-v_off</f>
        <v>4.24794520547945</v>
      </c>
      <c r="K10302" s="8" t="n">
        <f aca="false">Sens!K10152-base_fy-mid_yr-v_off</f>
        <v>5.24794520547945</v>
      </c>
      <c r="L10302" s="12" t="s">
        <v>1217</v>
      </c>
    </row>
    <row r="10303" customFormat="false" ht="15" hidden="false" customHeight="false" outlineLevel="0" collapsed="false">
      <c r="A10303" s="1" t="s">
        <v>1218</v>
      </c>
      <c r="B10303" s="1" t="s">
        <v>279</v>
      </c>
      <c r="F10303" s="8" t="n">
        <f aca="false">Sens!F10152-base_fy-v_off</f>
        <v>0.747945205479452</v>
      </c>
      <c r="G10303" s="8" t="n">
        <f aca="false">Sens!G10152-base_fy-v_off</f>
        <v>1.74794520547945</v>
      </c>
      <c r="H10303" s="8" t="n">
        <f aca="false">Sens!H10152-base_fy-v_off</f>
        <v>2.74794520547945</v>
      </c>
      <c r="I10303" s="8" t="n">
        <f aca="false">Sens!I10152-base_fy-v_off</f>
        <v>3.74794520547945</v>
      </c>
      <c r="J10303" s="8" t="n">
        <f aca="false">Sens!J10152-base_fy-v_off</f>
        <v>4.74794520547945</v>
      </c>
      <c r="K10303" s="8" t="n">
        <f aca="false">Sens!K10152-base_fy-v_off</f>
        <v>5.74794520547945</v>
      </c>
    </row>
    <row r="10304" customFormat="false" ht="15" hidden="false" customHeight="false" outlineLevel="0" collapsed="false">
      <c r="A10304" s="1" t="s">
        <v>1219</v>
      </c>
      <c r="B10304" s="0" t="s">
        <v>229</v>
      </c>
      <c r="F10304" s="15" t="n">
        <f aca="false">1/(1+wacc)^Sens!F10302</f>
        <v>0.964022703286649</v>
      </c>
      <c r="G10304" s="15" t="n">
        <f aca="false">1/(1+wacc)^Sens!G10302</f>
        <v>0.884910302296739</v>
      </c>
      <c r="H10304" s="15" t="n">
        <f aca="false">1/(1+wacc)^Sens!H10302</f>
        <v>0.802322009770358</v>
      </c>
      <c r="I10304" s="15" t="n">
        <f aca="false">1/(1+wacc)^Sens!I10302</f>
        <v>0.727441646561469</v>
      </c>
      <c r="J10304" s="15" t="n">
        <f aca="false">1/(1+wacc)^Sens!J10302</f>
        <v>0.659549834988973</v>
      </c>
      <c r="K10304" s="15" t="n">
        <f aca="false">1/(1+wacc)^Sens!K10302</f>
        <v>0.597994336576966</v>
      </c>
    </row>
    <row r="10305" customFormat="false" ht="17.15" hidden="false" customHeight="false" outlineLevel="0" collapsed="false">
      <c r="A10305" s="1" t="s">
        <v>1220</v>
      </c>
      <c r="B10305" s="0" t="s">
        <v>98</v>
      </c>
      <c r="F10305" s="6" t="n">
        <f aca="false">Q!$I$35-Q!$I$39-Q!$I$43</f>
        <v>9.666</v>
      </c>
      <c r="L10305" s="12" t="s">
        <v>1221</v>
      </c>
    </row>
    <row r="10306" customFormat="false" ht="17.15" hidden="false" customHeight="false" outlineLevel="0" collapsed="false">
      <c r="A10306" s="1" t="s">
        <v>1222</v>
      </c>
      <c r="B10306" s="0" t="s">
        <v>98</v>
      </c>
      <c r="F10306" s="6" t="n">
        <f aca="false">Sens!F10277-Sens!F10274-Sens!F10281+Sens!F10259*(1-tax_f)*(1-v_off)-Sens!F10305</f>
        <v>-6.00375346030572</v>
      </c>
      <c r="G10306" s="6" t="n">
        <f aca="false">Sens!G10277-Sens!G10274-Sens!G10281+Sens!G10259*(1-tax_f)</f>
        <v>19.4840984748994</v>
      </c>
      <c r="H10306" s="6" t="n">
        <f aca="false">Sens!H10277-Sens!H10274-Sens!H10281+Sens!H10259*(1-tax_f)</f>
        <v>57.1201583760388</v>
      </c>
      <c r="I10306" s="6" t="n">
        <f aca="false">Sens!I10277-Sens!I10274-Sens!I10281+Sens!I10259*(1-tax_f)</f>
        <v>130.296935546463</v>
      </c>
      <c r="J10306" s="6" t="n">
        <f aca="false">Sens!J10277-Sens!J10274-Sens!J10281+Sens!J10259*(1-tax_f)</f>
        <v>206.144078254465</v>
      </c>
      <c r="K10306" s="6" t="n">
        <f aca="false">Sens!K10277-Sens!K10274-Sens!K10281+Sens!K10259*(1-tax_f)</f>
        <v>244.201640877647</v>
      </c>
      <c r="L10306" s="1" t="s">
        <v>1223</v>
      </c>
    </row>
    <row r="10307" customFormat="false" ht="15" hidden="false" customHeight="false" outlineLevel="0" collapsed="false">
      <c r="A10307" s="1" t="s">
        <v>1224</v>
      </c>
      <c r="B10307" s="0" t="s">
        <v>98</v>
      </c>
      <c r="F10307" s="6" t="n">
        <f aca="false">Sens!F10306*Sens!F10304</f>
        <v>-5.7877546406705</v>
      </c>
      <c r="G10307" s="6" t="n">
        <f aca="false">Sens!G10306*Sens!G10304</f>
        <v>17.2416794714027</v>
      </c>
      <c r="H10307" s="6" t="n">
        <f aca="false">Sens!H10306*Sens!H10304</f>
        <v>45.8287602666646</v>
      </c>
      <c r="I10307" s="6" t="n">
        <f aca="false">Sens!I10306*Sens!I10304</f>
        <v>94.7834173358326</v>
      </c>
      <c r="J10307" s="6" t="n">
        <f aca="false">Sens!J10306*Sens!J10304</f>
        <v>135.962292796686</v>
      </c>
      <c r="K10307" s="6" t="n">
        <f aca="false">Sens!K10306*Sens!K10304</f>
        <v>146.031198227635</v>
      </c>
    </row>
    <row r="10308" customFormat="false" ht="17.15" hidden="false" customHeight="false" outlineLevel="0" collapsed="false">
      <c r="A10308" s="1" t="s">
        <v>1225</v>
      </c>
      <c r="B10308" s="0" t="s">
        <v>98</v>
      </c>
      <c r="C10308" s="6" t="n">
        <f aca="false">SUM(Sens!F10307:K10307)</f>
        <v>434.059593457551</v>
      </c>
    </row>
    <row r="10309" customFormat="false" ht="17.15" hidden="false" customHeight="false" outlineLevel="0" collapsed="false">
      <c r="A10309" s="1" t="s">
        <v>1226</v>
      </c>
      <c r="B10309" s="0" t="s">
        <v>98</v>
      </c>
      <c r="C10309" s="6" t="n">
        <f aca="false">Sens!K10245*(1+g_tv)*(1-tax_f)</f>
        <v>257.606167289352</v>
      </c>
    </row>
    <row r="10310" customFormat="false" ht="17.15" hidden="false" customHeight="false" outlineLevel="0" collapsed="false">
      <c r="A10310" s="1" t="s">
        <v>1227</v>
      </c>
      <c r="B10310" s="0" t="s">
        <v>98</v>
      </c>
      <c r="C10310" s="6" t="n">
        <f aca="false">Sens!$C$10309*(1-g_tv/(wacc+ronic_prem))</f>
        <v>182.529025646251</v>
      </c>
    </row>
    <row r="10311" customFormat="false" ht="17.15" hidden="false" customHeight="false" outlineLevel="0" collapsed="false">
      <c r="A10311" s="1" t="s">
        <v>1228</v>
      </c>
      <c r="B10311" s="0" t="s">
        <v>98</v>
      </c>
      <c r="C10311" s="6" t="n">
        <f aca="false">Sens!$C$10310/(wacc-g_tv)</f>
        <v>2502.57138810337</v>
      </c>
    </row>
    <row r="10312" customFormat="false" ht="15" hidden="false" customHeight="false" outlineLevel="0" collapsed="false">
      <c r="A10312" s="1" t="s">
        <v>1229</v>
      </c>
      <c r="B10312" s="0" t="s">
        <v>98</v>
      </c>
      <c r="C10312" s="6" t="n">
        <f aca="false">Sens!$C$10311/(1+wacc)^Sens!K10303</f>
        <v>1424.97837394586</v>
      </c>
    </row>
    <row r="10313" customFormat="false" ht="17.15" hidden="false" customHeight="false" outlineLevel="0" collapsed="false">
      <c r="A10313" s="0" t="s">
        <v>1230</v>
      </c>
      <c r="B10313" s="0" t="s">
        <v>98</v>
      </c>
      <c r="C10313" s="6" t="n">
        <f aca="false">Sens!$C$10308+Sens!$C$10312</f>
        <v>1859.03796740341</v>
      </c>
    </row>
    <row r="10314" customFormat="false" ht="15" hidden="false" customHeight="false" outlineLevel="0" collapsed="false">
      <c r="A10314" s="1" t="s">
        <v>1145</v>
      </c>
      <c r="B10314" s="0" t="s">
        <v>168</v>
      </c>
      <c r="C10314" s="7" t="n">
        <f aca="false">Sens!$C$10312/Sens!$C$10313</f>
        <v>0.76651386304723</v>
      </c>
    </row>
    <row r="10315" customFormat="false" ht="17.15" hidden="false" customHeight="false" outlineLevel="0" collapsed="false">
      <c r="A10315" s="1" t="s">
        <v>1231</v>
      </c>
      <c r="B10315" s="0" t="s">
        <v>98</v>
      </c>
      <c r="C10315" s="6" t="n">
        <f aca="false">Sens!$C$10313+cash_val-debt_val-fl_val+oai_v</f>
        <v>1974.88896740341</v>
      </c>
    </row>
    <row r="10316" customFormat="false" ht="17.15" hidden="false" customHeight="false" outlineLevel="0" collapsed="false">
      <c r="A10316" s="0" t="s">
        <v>1153</v>
      </c>
      <c r="B10316" s="0" t="s">
        <v>75</v>
      </c>
      <c r="C10316" s="5" t="n">
        <f aca="false">Sens!$C$10315/shd_val</f>
        <v>265.228171824256</v>
      </c>
    </row>
    <row r="10317" customFormat="false" ht="15" hidden="false" customHeight="false" outlineLevel="0" collapsed="false">
      <c r="A10317" s="1" t="s">
        <v>1232</v>
      </c>
      <c r="B10317" s="0" t="s">
        <v>75</v>
      </c>
      <c r="C10317" s="8" t="n">
        <f aca="false">div_rem27+Sens!G10285*roll_div_q/q_per_yr</f>
        <v>3.9795</v>
      </c>
    </row>
    <row r="10318" customFormat="false" ht="17.15" hidden="false" customHeight="false" outlineLevel="0" collapsed="false">
      <c r="A10318" s="0" t="s">
        <v>1233</v>
      </c>
      <c r="B10318" s="0" t="s">
        <v>75</v>
      </c>
      <c r="C10318" s="5" t="n">
        <f aca="false">Sens!$C$10316*(1+wacc)^t_roll-Sens!$C$10317</f>
        <v>290.836415564212</v>
      </c>
    </row>
    <row r="10319" customFormat="false" ht="17.15" hidden="false" customHeight="false" outlineLevel="0" collapsed="false">
      <c r="A10319" s="1" t="s">
        <v>1234</v>
      </c>
      <c r="B10319" s="0" t="s">
        <v>168</v>
      </c>
      <c r="F10319" s="7" t="n">
        <f aca="false">Sens!F10271/(Sens!F10216-Sens!F10171)</f>
        <v>0.0686227955235279</v>
      </c>
      <c r="G10319" s="7" t="n">
        <f aca="false">Sens!G10271/(Sens!G10216-Sens!G10171)</f>
        <v>0.0661270465438852</v>
      </c>
      <c r="H10319" s="7" t="n">
        <f aca="false">Sens!H10271/(Sens!H10216-Sens!H10171)</f>
        <v>0.0647783486752599</v>
      </c>
      <c r="I10319" s="7" t="n">
        <f aca="false">Sens!I10271/(Sens!I10216-Sens!I10171)</f>
        <v>0.0644466750261113</v>
      </c>
      <c r="J10319" s="7" t="n">
        <f aca="false">Sens!J10271/(Sens!J10216-Sens!J10171)</f>
        <v>0.0649285537009948</v>
      </c>
      <c r="K10319" s="7" t="n">
        <f aca="false">Sens!K10271/(Sens!K10216-Sens!K10171)</f>
        <v>0.0660013132410402</v>
      </c>
    </row>
    <row r="10320" customFormat="false" ht="17.15" hidden="false" customHeight="false" outlineLevel="0" collapsed="false">
      <c r="A10320" s="0" t="s">
        <v>1235</v>
      </c>
      <c r="B10320" s="0" t="s">
        <v>98</v>
      </c>
      <c r="F10320" s="6" t="n">
        <f aca="false">Sens!F10201*(al_m365+Sens!F10319+sbc_r)</f>
        <v>82.9121100709418</v>
      </c>
      <c r="G10320" s="6" t="n">
        <f aca="false">Sens!G10201*(al_m365+Sens!G10319+sbc_r)</f>
        <v>93.2821133205618</v>
      </c>
      <c r="H10320" s="6" t="n">
        <f aca="false">Sens!H10201*(al_m365+Sens!H10319+sbc_r)</f>
        <v>103.8031276054</v>
      </c>
      <c r="I10320" s="6" t="n">
        <f aca="false">Sens!I10201*(al_m365+Sens!I10319+sbc_r)</f>
        <v>113.798572491357</v>
      </c>
      <c r="J10320" s="6" t="n">
        <f aca="false">Sens!J10201*(al_m365+Sens!J10319+sbc_r)</f>
        <v>123.079555131269</v>
      </c>
      <c r="K10320" s="6" t="n">
        <f aca="false">Sens!K10201*(al_m365+Sens!K10319+sbc_r)</f>
        <v>131.95431357757</v>
      </c>
      <c r="L10320" s="12" t="s">
        <v>1236</v>
      </c>
    </row>
    <row r="10321" customFormat="false" ht="17.15" hidden="false" customHeight="false" outlineLevel="0" collapsed="false">
      <c r="A10321" s="0" t="s">
        <v>1237</v>
      </c>
      <c r="B10321" s="0" t="s">
        <v>98</v>
      </c>
      <c r="F10321" s="6" t="n">
        <f aca="false">Sens!F10202*(al_lic+Sens!F10319+sbc_r)</f>
        <v>32.8578896498811</v>
      </c>
      <c r="G10321" s="6" t="n">
        <f aca="false">Sens!G10202*(al_lic+Sens!G10319+sbc_r)</f>
        <v>34.1493773117676</v>
      </c>
      <c r="H10321" s="6" t="n">
        <f aca="false">Sens!H10202*(al_lic+Sens!H10319+sbc_r)</f>
        <v>35.348701802505</v>
      </c>
      <c r="I10321" s="6" t="n">
        <f aca="false">Sens!I10202*(al_lic+Sens!I10319+sbc_r)</f>
        <v>36.4364094986261</v>
      </c>
      <c r="J10321" s="6" t="n">
        <f aca="false">Sens!J10202*(al_lic+Sens!J10319+sbc_r)</f>
        <v>37.389813496775</v>
      </c>
      <c r="K10321" s="6" t="n">
        <f aca="false">Sens!K10202*(al_lic+Sens!K10319+sbc_r)</f>
        <v>38.1856115852949</v>
      </c>
    </row>
    <row r="10322" customFormat="false" ht="17.15" hidden="false" customHeight="false" outlineLevel="0" collapsed="false">
      <c r="A10322" s="0" t="s">
        <v>1238</v>
      </c>
      <c r="B10322" s="0" t="s">
        <v>98</v>
      </c>
      <c r="F10322" s="6" t="n">
        <f aca="false">Sens!F10204*(al_ind+Sens!F10319+sbc_r)</f>
        <v>9.06048906166838</v>
      </c>
      <c r="G10322" s="6" t="n">
        <f aca="false">Sens!G10204*(al_ind+Sens!G10319+sbc_r)</f>
        <v>9.84335519472157</v>
      </c>
      <c r="H10322" s="6" t="n">
        <f aca="false">Sens!H10204*(al_ind+Sens!H10319+sbc_r)</f>
        <v>10.667328572701</v>
      </c>
      <c r="I10322" s="6" t="n">
        <f aca="false">Sens!I10204*(al_ind+Sens!I10319+sbc_r)</f>
        <v>11.5278616222977</v>
      </c>
      <c r="J10322" s="6" t="n">
        <f aca="false">Sens!J10204*(al_ind+Sens!J10319+sbc_r)</f>
        <v>12.4163262678478</v>
      </c>
      <c r="K10322" s="6" t="n">
        <f aca="false">Sens!K10204*(al_ind+Sens!K10319+sbc_r)</f>
        <v>13.320894707126</v>
      </c>
    </row>
    <row r="10323" customFormat="false" ht="17.15" hidden="false" customHeight="false" outlineLevel="0" collapsed="false">
      <c r="A10323" s="0" t="s">
        <v>1239</v>
      </c>
      <c r="B10323" s="0" t="s">
        <v>98</v>
      </c>
      <c r="F10323" s="6" t="n">
        <f aca="false">Sens!F10206*(al_fro+Sens!F10319+sbc_r)</f>
        <v>3.55405776436976</v>
      </c>
      <c r="G10323" s="6" t="n">
        <f aca="false">Sens!G10206*(al_fro+Sens!G10319+sbc_r)</f>
        <v>3.76635618627888</v>
      </c>
      <c r="H10323" s="6" t="n">
        <f aca="false">Sens!H10206*(al_fro+Sens!H10319+sbc_r)</f>
        <v>4.00608253990043</v>
      </c>
      <c r="I10323" s="6" t="n">
        <f aca="false">Sens!I10206*(al_fro+Sens!I10319+sbc_r)</f>
        <v>4.27554527483588</v>
      </c>
      <c r="J10323" s="6" t="n">
        <f aca="false">Sens!J10206*(al_fro+Sens!J10319+sbc_r)</f>
        <v>4.57634788350171</v>
      </c>
      <c r="K10323" s="6" t="n">
        <f aca="false">Sens!K10206*(al_fro+Sens!K10319+sbc_r)</f>
        <v>4.90974922728669</v>
      </c>
    </row>
    <row r="10324" customFormat="false" ht="17.15" hidden="false" customHeight="false" outlineLevel="0" collapsed="false">
      <c r="A10324" s="0" t="s">
        <v>1240</v>
      </c>
      <c r="B10324" s="0" t="s">
        <v>98</v>
      </c>
      <c r="F10324" s="6" t="n">
        <f aca="false">Sens!F10209*(al_srch+Sens!F10319+sbc_r)</f>
        <v>11.189179277916</v>
      </c>
      <c r="G10324" s="6" t="n">
        <f aca="false">Sens!G10209*(al_srch+Sens!G10319+sbc_r)</f>
        <v>12.2706699512233</v>
      </c>
      <c r="H10324" s="6" t="n">
        <f aca="false">Sens!H10209*(al_srch+Sens!H10319+sbc_r)</f>
        <v>13.3924333803053</v>
      </c>
      <c r="I10324" s="6" t="n">
        <f aca="false">Sens!I10209*(al_srch+Sens!I10319+sbc_r)</f>
        <v>14.5418086944861</v>
      </c>
      <c r="J10324" s="6" t="n">
        <f aca="false">Sens!J10209*(al_srch+Sens!J10319+sbc_r)</f>
        <v>15.7001026683014</v>
      </c>
      <c r="K10324" s="6" t="n">
        <f aca="false">Sens!K10209*(al_srch+Sens!K10319+sbc_r)</f>
        <v>16.8439045514678</v>
      </c>
    </row>
    <row r="10325" customFormat="false" ht="17.15" hidden="false" customHeight="false" outlineLevel="0" collapsed="false">
      <c r="A10325" s="0" t="s">
        <v>1241</v>
      </c>
      <c r="B10325" s="0" t="s">
        <v>98</v>
      </c>
      <c r="F10325" s="6" t="n">
        <f aca="false">Sens!F10177-Sens!F10178+Sens!F10259</f>
        <v>38.9696429794913</v>
      </c>
      <c r="G10325" s="6" t="n">
        <f aca="false">Sens!G10177-Sens!G10178+Sens!G10259</f>
        <v>69.465497726016</v>
      </c>
      <c r="H10325" s="6" t="n">
        <f aca="false">Sens!H10177-Sens!H10178+Sens!H10259</f>
        <v>96.8147106808268</v>
      </c>
      <c r="I10325" s="6" t="n">
        <f aca="false">Sens!I10177-Sens!I10178+Sens!I10259</f>
        <v>127.654939766446</v>
      </c>
      <c r="J10325" s="6" t="n">
        <f aca="false">Sens!J10177-Sens!J10178+Sens!J10259</f>
        <v>149.308352681229</v>
      </c>
      <c r="K10325" s="6" t="n">
        <f aca="false">Sens!K10177-Sens!K10178+Sens!K10259</f>
        <v>162.731822021841</v>
      </c>
    </row>
    <row r="10326" customFormat="false" ht="17.15" hidden="false" customHeight="false" outlineLevel="0" collapsed="false">
      <c r="A10326" s="0" t="s">
        <v>1242</v>
      </c>
      <c r="B10326" s="0" t="s">
        <v>98</v>
      </c>
      <c r="F10326" s="6" t="n">
        <f aca="false">Sens!F10238+Sens!F10259+Sens!F10189+Sens!F10319*(Sens!F10208-Sens!F10171)+sbc_r*Sens!F10208</f>
        <v>235.035983233763</v>
      </c>
      <c r="G10326" s="6" t="n">
        <f aca="false">Sens!G10238+Sens!G10259+Sens!G10189+Sens!G10319*(Sens!G10208-Sens!G10171)+sbc_r*Sens!G10208</f>
        <v>286.582522103786</v>
      </c>
      <c r="H10326" s="6" t="n">
        <f aca="false">Sens!H10238+Sens!H10259+Sens!H10189+Sens!H10319*(Sens!H10208-Sens!H10171)+sbc_r*Sens!H10208</f>
        <v>340.954531086054</v>
      </c>
      <c r="I10326" s="6" t="n">
        <f aca="false">Sens!I10238+Sens!I10259+Sens!I10189+Sens!I10319*(Sens!I10208-Sens!I10171)+sbc_r*Sens!I10208</f>
        <v>399.227664399446</v>
      </c>
      <c r="J10326" s="6" t="n">
        <f aca="false">Sens!J10238+Sens!J10259+Sens!J10189+Sens!J10319*(Sens!J10208-Sens!J10171)+sbc_r*Sens!J10208</f>
        <v>447.655489690132</v>
      </c>
      <c r="K10326" s="6" t="n">
        <f aca="false">Sens!K10238+Sens!K10259+Sens!K10189+Sens!K10319*(Sens!K10208-Sens!K10171)+sbc_r*Sens!K10208</f>
        <v>486.94518976326</v>
      </c>
    </row>
    <row r="10327" customFormat="false" ht="17.15" hidden="false" customHeight="false" outlineLevel="0" collapsed="false">
      <c r="A10327" s="0" t="s">
        <v>1243</v>
      </c>
      <c r="B10327" s="0" t="s">
        <v>98</v>
      </c>
      <c r="F10327" s="6" t="n">
        <f aca="false">Sens!F10326-Sens!F10320-Sens!F10321-Sens!F10322-Sens!F10323-Sens!F10325</f>
        <v>67.6817937074108</v>
      </c>
      <c r="G10327" s="6" t="n">
        <f aca="false">Sens!G10326-Sens!G10320-Sens!G10321-Sens!G10322-Sens!G10323-Sens!G10325</f>
        <v>76.0758223644404</v>
      </c>
      <c r="H10327" s="6" t="n">
        <f aca="false">Sens!H10326-Sens!H10320-Sens!H10321-Sens!H10322-Sens!H10323-Sens!H10325</f>
        <v>90.3145798847204</v>
      </c>
      <c r="I10327" s="6" t="n">
        <f aca="false">Sens!I10326-Sens!I10320-Sens!I10321-Sens!I10322-Sens!I10323-Sens!I10325</f>
        <v>105.534335745883</v>
      </c>
      <c r="J10327" s="6" t="n">
        <f aca="false">Sens!J10326-Sens!J10320-Sens!J10321-Sens!J10322-Sens!J10323-Sens!J10325</f>
        <v>120.885094229509</v>
      </c>
      <c r="K10327" s="6" t="n">
        <f aca="false">Sens!K10326-Sens!K10320-Sens!K10321-Sens!K10322-Sens!K10323-Sens!K10325</f>
        <v>135.842798644142</v>
      </c>
    </row>
    <row r="10328" customFormat="false" ht="17.15" hidden="false" customHeight="false" outlineLevel="0" collapsed="false">
      <c r="A10328" s="0" t="s">
        <v>1244</v>
      </c>
      <c r="B10328" s="0" t="s">
        <v>98</v>
      </c>
      <c r="F10328" s="6" t="n">
        <f aca="false">Sens!F10240+Sens!F10319*Sens!F10215+sbc_r*Sens!F10215</f>
        <v>26.6338441947923</v>
      </c>
      <c r="G10328" s="6" t="n">
        <f aca="false">Sens!G10240+Sens!G10319*Sens!G10215+sbc_r*Sens!G10215</f>
        <v>26.4915504273666</v>
      </c>
      <c r="H10328" s="6" t="n">
        <f aca="false">Sens!H10240+Sens!H10319*Sens!H10215+sbc_r*Sens!H10215</f>
        <v>27.3735080627731</v>
      </c>
      <c r="I10328" s="6" t="n">
        <f aca="false">Sens!I10240+Sens!I10319*Sens!I10215+sbc_r*Sens!I10215</f>
        <v>28.4774276858126</v>
      </c>
      <c r="J10328" s="6" t="n">
        <f aca="false">Sens!J10240+Sens!J10319*Sens!J10215+sbc_r*Sens!J10215</f>
        <v>29.7721785253196</v>
      </c>
      <c r="K10328" s="6" t="n">
        <f aca="false">Sens!K10240+Sens!K10319*Sens!K10215+sbc_r*Sens!K10215</f>
        <v>31.229066754314</v>
      </c>
    </row>
    <row r="10329" customFormat="false" ht="17.15" hidden="false" customHeight="false" outlineLevel="0" collapsed="false">
      <c r="A10329" s="0" t="s">
        <v>1245</v>
      </c>
      <c r="B10329" s="0" t="s">
        <v>98</v>
      </c>
      <c r="F10329" s="6" t="n">
        <f aca="false">(Sens!F10328-Sens!F10324)*Sens!F10211/(Sens!F10211+Sens!F10213)</f>
        <v>8.7229230832255</v>
      </c>
      <c r="G10329" s="6" t="n">
        <f aca="false">(Sens!G10328-Sens!G10324)*Sens!G10211/(Sens!G10211+Sens!G10213)</f>
        <v>7.89371143311585</v>
      </c>
      <c r="H10329" s="6" t="n">
        <f aca="false">(Sens!H10328-Sens!H10324)*Sens!H10211/(Sens!H10211+Sens!H10213)</f>
        <v>7.65950264056425</v>
      </c>
      <c r="I10329" s="6" t="n">
        <f aca="false">(Sens!I10328-Sens!I10324)*Sens!I10211/(Sens!I10211+Sens!I10213)</f>
        <v>7.56796158164217</v>
      </c>
      <c r="J10329" s="6" t="n">
        <f aca="false">(Sens!J10328-Sens!J10324)*Sens!J10211/(Sens!J10211+Sens!J10213)</f>
        <v>7.60872469763176</v>
      </c>
      <c r="K10329" s="6" t="n">
        <f aca="false">(Sens!K10328-Sens!K10324)*Sens!K10211/(Sens!K10211+Sens!K10213)</f>
        <v>7.7780094453973</v>
      </c>
    </row>
    <row r="10330" customFormat="false" ht="17.15" hidden="false" customHeight="false" outlineLevel="0" collapsed="false">
      <c r="A10330" s="0" t="s">
        <v>1246</v>
      </c>
      <c r="B10330" s="0" t="s">
        <v>98</v>
      </c>
      <c r="F10330" s="6" t="n">
        <f aca="false">Sens!F10328-Sens!F10324-Sens!F10329</f>
        <v>6.72174183365076</v>
      </c>
      <c r="G10330" s="6" t="n">
        <f aca="false">Sens!G10328-Sens!G10324-Sens!G10329</f>
        <v>6.32716904302742</v>
      </c>
      <c r="H10330" s="6" t="n">
        <f aca="false">Sens!H10328-Sens!H10324-Sens!H10329</f>
        <v>6.32157204190359</v>
      </c>
      <c r="I10330" s="6" t="n">
        <f aca="false">Sens!I10328-Sens!I10324-Sens!I10329</f>
        <v>6.36765740968437</v>
      </c>
      <c r="J10330" s="6" t="n">
        <f aca="false">Sens!J10328-Sens!J10324-Sens!J10329</f>
        <v>6.46335115938644</v>
      </c>
      <c r="K10330" s="6" t="n">
        <f aca="false">Sens!K10328-Sens!K10324-Sens!K10329</f>
        <v>6.60715275744891</v>
      </c>
    </row>
    <row r="10331" customFormat="false" ht="17.15" hidden="false" customHeight="false" outlineLevel="0" collapsed="false">
      <c r="A10331" s="0" t="s">
        <v>1247</v>
      </c>
      <c r="B10331" s="0" t="s">
        <v>98</v>
      </c>
      <c r="F10331" s="6" t="n">
        <f aca="false">Sens!F10325-tax_f*(Sens!F10325-Sens!F10189)-Sens!F10186</f>
        <v>-130.362326762856</v>
      </c>
      <c r="G10331" s="6" t="n">
        <f aca="false">Sens!G10325-tax_f*(Sens!G10325-Sens!G10189)-Sens!G10186</f>
        <v>-124.225179337776</v>
      </c>
      <c r="H10331" s="6" t="n">
        <f aca="false">Sens!H10325-tax_f*(Sens!H10325-Sens!H10189)-Sens!H10186</f>
        <v>-101.534217387562</v>
      </c>
      <c r="I10331" s="6" t="n">
        <f aca="false">Sens!I10325-tax_f*(Sens!I10325-Sens!I10189)-Sens!I10186</f>
        <v>-43.6446798695439</v>
      </c>
      <c r="J10331" s="6" t="n">
        <f aca="false">Sens!J10325-tax_f*(Sens!J10325-Sens!J10189)-Sens!J10186</f>
        <v>16.9198855589618</v>
      </c>
      <c r="K10331" s="6" t="n">
        <f aca="false">Sens!K10325-tax_f*(Sens!K10325-Sens!K10189)-Sens!K10186</f>
        <v>39.8251384629271</v>
      </c>
    </row>
    <row r="10332" customFormat="false" ht="17.15" hidden="false" customHeight="false" outlineLevel="0" collapsed="false">
      <c r="A10332" s="0" t="s">
        <v>1248</v>
      </c>
      <c r="B10332" s="0" t="s">
        <v>98</v>
      </c>
      <c r="G10332" s="6" t="n">
        <f aca="false">Sens!G10331/(1+wacc)^(Sens!G10302-Sens!F10303)</f>
        <v>-118.286276192192</v>
      </c>
      <c r="H10332" s="6" t="n">
        <f aca="false">Sens!H10331/(1+wacc)^(Sens!H10302-Sens!F10303)</f>
        <v>-87.6570009910427</v>
      </c>
      <c r="I10332" s="6" t="n">
        <f aca="false">Sens!I10331/(1+wacc)^(Sens!I10302-Sens!F10303)</f>
        <v>-34.1629172979204</v>
      </c>
      <c r="J10332" s="6" t="n">
        <f aca="false">Sens!J10331/(1+wacc)^(Sens!J10302-Sens!F10303)</f>
        <v>12.0079954170053</v>
      </c>
      <c r="K10332" s="6" t="n">
        <f aca="false">Sens!K10331/(1+wacc)^(Sens!K10302-Sens!F10303)</f>
        <v>25.6259421582556</v>
      </c>
      <c r="L10332" s="1" t="s">
        <v>1249</v>
      </c>
    </row>
    <row r="10333" customFormat="false" ht="17.15" hidden="false" customHeight="false" outlineLevel="0" collapsed="false">
      <c r="A10333" s="0" t="s">
        <v>1250</v>
      </c>
      <c r="B10333" s="0" t="s">
        <v>98</v>
      </c>
      <c r="C10333" s="6" t="n">
        <f aca="false">(Sens!K10325-Sens!K10189)*(1-tax_f)*(1+g_tv)*(1-g_tv/(wacc+ronic_prem))/(wacc-g_tv)/(1+wacc)^(Sens!K10303-Sens!F10303)</f>
        <v>96.7148026864948</v>
      </c>
    </row>
    <row r="10334" customFormat="false" ht="17.15" hidden="false" customHeight="false" outlineLevel="0" collapsed="false">
      <c r="A10334" s="1" t="s">
        <v>1251</v>
      </c>
      <c r="B10334" s="0" t="s">
        <v>98</v>
      </c>
      <c r="C10334" s="6" t="n">
        <f aca="false">(SUM(Sens!G10332:K10332)+Sens!$C$10333)*(1+wacc)^(t_roll-Sens!F10303)</f>
        <v>-109.248827617462</v>
      </c>
      <c r="L10334" s="12" t="s">
        <v>1252</v>
      </c>
    </row>
    <row r="10335" customFormat="false" ht="17.15" hidden="false" customHeight="false" outlineLevel="0" collapsed="false">
      <c r="A10335" s="1" t="s">
        <v>1253</v>
      </c>
      <c r="B10335" s="0" t="s">
        <v>98</v>
      </c>
      <c r="C10335" s="6" t="n">
        <f aca="false">(w_ntm28*Sens!G10177+(1-w_ntm28)*Sens!H10177)*m_ai</f>
        <v>344.355829012336</v>
      </c>
    </row>
    <row r="10336" customFormat="false" ht="17.15" hidden="false" customHeight="false" outlineLevel="0" collapsed="false">
      <c r="A10336" s="1" t="s">
        <v>1254</v>
      </c>
      <c r="B10336" s="0" t="s">
        <v>98</v>
      </c>
      <c r="C10336" s="6" t="n">
        <f aca="false">(w_ntm28*Sens!G10327+(1-w_ntm28)*Sens!H10327)*m_cloud</f>
        <v>1116.06253760159</v>
      </c>
    </row>
    <row r="10337" customFormat="false" ht="17.15" hidden="false" customHeight="false" outlineLevel="0" collapsed="false">
      <c r="A10337" s="1" t="s">
        <v>1255</v>
      </c>
      <c r="B10337" s="0" t="s">
        <v>98</v>
      </c>
      <c r="C10337" s="6" t="n">
        <f aca="false">(w_ntm28*Sens!G10320+(1-w_ntm28)*Sens!H10320)*m_sw</f>
        <v>1044.80363074741</v>
      </c>
    </row>
    <row r="10338" customFormat="false" ht="17.15" hidden="false" customHeight="false" outlineLevel="0" collapsed="false">
      <c r="A10338" s="1" t="s">
        <v>1256</v>
      </c>
      <c r="B10338" s="0" t="s">
        <v>98</v>
      </c>
      <c r="C10338" s="6" t="n">
        <f aca="false">(w_ntm28*Sens!G10321+(1-w_ntm28)*Sens!H10321)*m_sw</f>
        <v>373.071698364338</v>
      </c>
    </row>
    <row r="10339" customFormat="false" ht="17.15" hidden="false" customHeight="false" outlineLevel="0" collapsed="false">
      <c r="A10339" s="1" t="s">
        <v>1257</v>
      </c>
      <c r="B10339" s="0" t="s">
        <v>98</v>
      </c>
      <c r="C10339" s="6" t="n">
        <f aca="false">(w_ntm28*Sens!G10322+(1-w_ntm28)*Sens!H10322)*m_sw</f>
        <v>109.233905960147</v>
      </c>
    </row>
    <row r="10340" customFormat="false" ht="17.15" hidden="false" customHeight="false" outlineLevel="0" collapsed="false">
      <c r="A10340" s="1" t="s">
        <v>1258</v>
      </c>
      <c r="B10340" s="0" t="s">
        <v>98</v>
      </c>
      <c r="C10340" s="6" t="n">
        <f aca="false">(w_ntm28*Sens!G10323+(1-w_ntm28)*Sens!H10323)*m_sw</f>
        <v>41.527839563301</v>
      </c>
    </row>
    <row r="10341" customFormat="false" ht="17.15" hidden="false" customHeight="false" outlineLevel="0" collapsed="false">
      <c r="A10341" s="1" t="s">
        <v>1259</v>
      </c>
      <c r="B10341" s="0" t="s">
        <v>98</v>
      </c>
      <c r="C10341" s="6" t="n">
        <f aca="false">(w_ntm28*Sens!G10324+(1-w_ntm28)*Sens!H10324)*m_ads</f>
        <v>115.145561558856</v>
      </c>
    </row>
    <row r="10342" customFormat="false" ht="17.15" hidden="false" customHeight="false" outlineLevel="0" collapsed="false">
      <c r="A10342" s="1" t="s">
        <v>1260</v>
      </c>
      <c r="B10342" s="0" t="s">
        <v>98</v>
      </c>
      <c r="C10342" s="6" t="n">
        <f aca="false">(w_ntm28*Sens!G10329+(1-w_ntm28)*Sens!H10329)*m_game</f>
        <v>98.7250634934279</v>
      </c>
    </row>
    <row r="10343" customFormat="false" ht="17.15" hidden="false" customHeight="false" outlineLevel="0" collapsed="false">
      <c r="A10343" s="1" t="s">
        <v>1261</v>
      </c>
      <c r="B10343" s="0" t="s">
        <v>98</v>
      </c>
      <c r="C10343" s="6" t="n">
        <f aca="false">(w_ntm28*Sens!G10330+(1-w_ntm28)*Sens!H10330)*m_pc</f>
        <v>91.527509661507</v>
      </c>
    </row>
    <row r="10344" customFormat="false" ht="17.15" hidden="false" customHeight="false" outlineLevel="0" collapsed="false">
      <c r="A10344" s="1" t="s">
        <v>1262</v>
      </c>
      <c r="B10344" s="0" t="s">
        <v>98</v>
      </c>
      <c r="C10344" s="6" t="n">
        <f aca="false">Sens!$C$10334+Sens!$C$10336+Sens!$C$10337+Sens!$C$10338+Sens!$C$10339+Sens!$C$10340+Sens!$C$10341+Sens!$C$10342+Sens!$C$10343</f>
        <v>2880.84891933311</v>
      </c>
    </row>
    <row r="10345" customFormat="false" ht="17.15" hidden="false" customHeight="false" outlineLevel="0" collapsed="false">
      <c r="A10345" s="1" t="s">
        <v>1263</v>
      </c>
      <c r="B10345" s="0" t="s">
        <v>98</v>
      </c>
      <c r="C10345" s="6" t="n">
        <f aca="false">(Sens!G10306-Sens!G10331)*t_stub</f>
        <v>47.6406099050238</v>
      </c>
      <c r="L10345" s="1" t="s">
        <v>1264</v>
      </c>
    </row>
    <row r="10346" customFormat="false" ht="17.15" hidden="false" customHeight="false" outlineLevel="0" collapsed="false">
      <c r="A10346" s="1" t="s">
        <v>1173</v>
      </c>
      <c r="B10346" s="0" t="s">
        <v>98</v>
      </c>
      <c r="C10346" s="6" t="n">
        <f aca="false">Sens!F10293+oai_v-Sens!F10282+Sens!$C$10345</f>
        <v>158.825453928858</v>
      </c>
      <c r="L10346" s="1" t="s">
        <v>1265</v>
      </c>
    </row>
    <row r="10347" customFormat="false" ht="17.15" hidden="false" customHeight="false" outlineLevel="0" collapsed="false">
      <c r="A10347" s="1" t="s">
        <v>1266</v>
      </c>
      <c r="B10347" s="0" t="s">
        <v>75</v>
      </c>
      <c r="C10347" s="5" t="n">
        <f aca="false">(Sens!$C$10344+Sens!$C$10346)/(Sens!F10295+dil_gap)-Sens!G10285*roll_div_q/q_per_yr</f>
        <v>404.46668640101</v>
      </c>
      <c r="L10347" s="1" t="s">
        <v>1267</v>
      </c>
    </row>
    <row r="10348" customFormat="false" ht="17.15" hidden="false" customHeight="false" outlineLevel="0" collapsed="false">
      <c r="A10348" s="1" t="s">
        <v>1268</v>
      </c>
      <c r="B10348" s="0" t="s">
        <v>75</v>
      </c>
      <c r="C10348" s="5" t="n">
        <f aca="false">w_dcf*Sens!$C$10318+(1-w_dcf)*Sens!$C$10347</f>
        <v>347.651550982611</v>
      </c>
    </row>
    <row r="10349" customFormat="false" ht="17.15" hidden="false" customHeight="false" outlineLevel="0" collapsed="false">
      <c r="A10349" s="3" t="s">
        <v>1870</v>
      </c>
    </row>
    <row r="10350" customFormat="false" ht="15" hidden="false" customHeight="false" outlineLevel="0" collapsed="false">
      <c r="A10350" s="4" t="s">
        <v>43</v>
      </c>
      <c r="B10350" s="4" t="s">
        <v>65</v>
      </c>
      <c r="C10350" s="23" t="s">
        <v>942</v>
      </c>
      <c r="D10350" s="23" t="s">
        <v>943</v>
      </c>
      <c r="E10350" s="23" t="s">
        <v>944</v>
      </c>
      <c r="F10350" s="23" t="s">
        <v>945</v>
      </c>
      <c r="G10350" s="23" t="s">
        <v>946</v>
      </c>
      <c r="H10350" s="23" t="s">
        <v>947</v>
      </c>
      <c r="I10350" s="23" t="s">
        <v>948</v>
      </c>
      <c r="J10350" s="23" t="s">
        <v>949</v>
      </c>
      <c r="K10350" s="23" t="s">
        <v>950</v>
      </c>
      <c r="L10350" s="4" t="s">
        <v>47</v>
      </c>
    </row>
    <row r="10351" customFormat="false" ht="17.15" hidden="false" customHeight="false" outlineLevel="0" collapsed="false">
      <c r="A10351" s="1" t="s">
        <v>951</v>
      </c>
      <c r="B10351" s="1" t="s">
        <v>279</v>
      </c>
      <c r="C10351" s="21" t="n">
        <v>2024</v>
      </c>
      <c r="D10351" s="21" t="n">
        <v>2025</v>
      </c>
      <c r="E10351" s="21" t="n">
        <v>2026</v>
      </c>
      <c r="F10351" s="21" t="n">
        <v>2027</v>
      </c>
      <c r="G10351" s="21" t="n">
        <v>2028</v>
      </c>
      <c r="H10351" s="21" t="n">
        <v>2029</v>
      </c>
      <c r="I10351" s="21" t="n">
        <v>2030</v>
      </c>
      <c r="J10351" s="21" t="n">
        <v>2031</v>
      </c>
      <c r="K10351" s="21" t="n">
        <v>2032</v>
      </c>
    </row>
    <row r="10352" customFormat="false" ht="17.15" hidden="false" customHeight="false" outlineLevel="0" collapsed="false">
      <c r="A10352" s="1" t="s">
        <v>952</v>
      </c>
      <c r="B10352" s="0" t="s">
        <v>459</v>
      </c>
      <c r="F10352" s="30" t="n">
        <f aca="false">pace</f>
        <v>2726.5351</v>
      </c>
      <c r="G10352" s="30" t="n">
        <f aca="false">pace</f>
        <v>2726.5351</v>
      </c>
      <c r="H10352" s="30" t="n">
        <f aca="false">pace</f>
        <v>2726.5351</v>
      </c>
      <c r="I10352" s="30" t="n">
        <f aca="false">pace+(g_tv*Sens!H10353-pace)*MIN(1,(Sens!I10351-pace_y0)/(pace_y1-pace_y0))</f>
        <v>1931.98611966667</v>
      </c>
      <c r="J10352" s="30" t="n">
        <f aca="false">pace+(g_tv*Sens!I10353-pace)*MIN(1,(Sens!J10351-pace_y0)/(pace_y1-pace_y0))</f>
        <v>1176.07686172667</v>
      </c>
      <c r="K10352" s="30" t="n">
        <f aca="false">pace+(g_tv*Sens!J10353-pace)*MIN(1,(Sens!K10351-pace_y0)/(pace_y1-pace_y0))</f>
        <v>436.1300484418</v>
      </c>
      <c r="L10352" s="12" t="s">
        <v>953</v>
      </c>
    </row>
    <row r="10353" customFormat="false" ht="17.15" hidden="false" customHeight="false" outlineLevel="0" collapsed="false">
      <c r="A10353" s="1" t="s">
        <v>954</v>
      </c>
      <c r="B10353" s="0" t="s">
        <v>459</v>
      </c>
      <c r="C10353" s="30" t="n">
        <f aca="false">mw_ext_24</f>
        <v>640</v>
      </c>
      <c r="D10353" s="30" t="n">
        <f aca="false">mw_ext_25</f>
        <v>1630</v>
      </c>
      <c r="E10353" s="30" t="n">
        <f aca="false">mw_ext_26</f>
        <v>3250</v>
      </c>
      <c r="F10353" s="30" t="n">
        <f aca="false">Sens!E10353+Sens!F10352</f>
        <v>5976.5351</v>
      </c>
      <c r="G10353" s="30" t="n">
        <f aca="false">Sens!F10353+Sens!G10352</f>
        <v>8703.0702</v>
      </c>
      <c r="H10353" s="30" t="n">
        <f aca="false">Sens!G10353+Sens!H10352</f>
        <v>11429.6053</v>
      </c>
      <c r="I10353" s="30" t="n">
        <f aca="false">Sens!H10353+Sens!I10352</f>
        <v>13361.5914196667</v>
      </c>
      <c r="J10353" s="30" t="n">
        <f aca="false">Sens!I10353+Sens!J10352</f>
        <v>14537.6682813933</v>
      </c>
      <c r="K10353" s="30" t="n">
        <f aca="false">Sens!J10353+Sens!K10352</f>
        <v>14973.7983298351</v>
      </c>
      <c r="L10353" s="1" t="s">
        <v>955</v>
      </c>
    </row>
    <row r="10354" customFormat="false" ht="17.15" hidden="false" customHeight="false" outlineLevel="0" collapsed="false">
      <c r="A10354" s="1" t="s">
        <v>956</v>
      </c>
      <c r="B10354" s="0" t="s">
        <v>459</v>
      </c>
      <c r="C10354" s="30" t="n">
        <f aca="false">rent_ext_24</f>
        <v>150</v>
      </c>
      <c r="D10354" s="30" t="n">
        <f aca="false">rent_ext_25</f>
        <v>400</v>
      </c>
      <c r="E10354" s="30" t="n">
        <f aca="false">rent_ext_26</f>
        <v>550</v>
      </c>
      <c r="F10354" s="30" t="n">
        <f aca="false">rent_ext_f</f>
        <v>756</v>
      </c>
      <c r="G10354" s="30" t="n">
        <f aca="false">rent_ext_f</f>
        <v>756</v>
      </c>
      <c r="H10354" s="30" t="n">
        <f aca="false">rent_ext_f</f>
        <v>756</v>
      </c>
      <c r="I10354" s="30" t="n">
        <f aca="false">rent_ext_f</f>
        <v>756</v>
      </c>
      <c r="J10354" s="30" t="n">
        <f aca="false">rent_ext_f</f>
        <v>756</v>
      </c>
      <c r="K10354" s="30" t="n">
        <f aca="false">rent_ext_f</f>
        <v>756</v>
      </c>
      <c r="L10354" s="1" t="s">
        <v>957</v>
      </c>
    </row>
    <row r="10355" customFormat="false" ht="17.15" hidden="false" customHeight="false" outlineLevel="0" collapsed="false">
      <c r="A10355" s="1" t="s">
        <v>958</v>
      </c>
      <c r="B10355" s="0" t="s">
        <v>459</v>
      </c>
      <c r="C10355" s="30" t="n">
        <f aca="false">Sens!C10353-Sens!C10354</f>
        <v>490</v>
      </c>
      <c r="D10355" s="30" t="n">
        <f aca="false">Sens!D10353-Sens!D10354</f>
        <v>1230</v>
      </c>
      <c r="E10355" s="30" t="n">
        <f aca="false">Sens!E10353-Sens!E10354</f>
        <v>2700</v>
      </c>
      <c r="F10355" s="30" t="n">
        <f aca="false">Sens!F10353-Sens!F10354</f>
        <v>5220.5351</v>
      </c>
      <c r="G10355" s="30" t="n">
        <f aca="false">Sens!G10353-Sens!G10354</f>
        <v>7947.0702</v>
      </c>
      <c r="H10355" s="30" t="n">
        <f aca="false">Sens!H10353-Sens!H10354</f>
        <v>10673.6053</v>
      </c>
      <c r="I10355" s="30" t="n">
        <f aca="false">Sens!I10353-Sens!I10354</f>
        <v>12605.5914196667</v>
      </c>
      <c r="J10355" s="30" t="n">
        <f aca="false">Sens!J10353-Sens!J10354</f>
        <v>13781.6682813933</v>
      </c>
      <c r="K10355" s="30" t="n">
        <f aca="false">Sens!K10353-Sens!K10354</f>
        <v>14217.7983298351</v>
      </c>
    </row>
    <row r="10356" customFormat="false" ht="17.15" hidden="false" customHeight="false" outlineLevel="0" collapsed="false">
      <c r="A10356" s="1" t="s">
        <v>959</v>
      </c>
      <c r="B10356" s="0" t="s">
        <v>459</v>
      </c>
      <c r="C10356" s="30" t="n">
        <f aca="false">Sens!C10355/ext_sh</f>
        <v>816.666666666667</v>
      </c>
      <c r="D10356" s="30" t="n">
        <f aca="false">Sens!D10355/ext_sh</f>
        <v>2050</v>
      </c>
      <c r="E10356" s="30" t="n">
        <f aca="false">Sens!E10355/ext_sh</f>
        <v>4500</v>
      </c>
      <c r="F10356" s="30" t="n">
        <f aca="false">Sens!F10355/ext_sh</f>
        <v>8700.89183333333</v>
      </c>
      <c r="G10356" s="30" t="n">
        <f aca="false">Sens!G10355/ext_sh</f>
        <v>13245.117</v>
      </c>
      <c r="H10356" s="30" t="n">
        <f aca="false">Sens!H10355/ext_sh</f>
        <v>17789.3421666667</v>
      </c>
      <c r="I10356" s="30" t="n">
        <f aca="false">Sens!I10355/ext_sh</f>
        <v>21009.3190327778</v>
      </c>
      <c r="J10356" s="30" t="n">
        <f aca="false">Sens!J10355/ext_sh</f>
        <v>22969.4471356556</v>
      </c>
      <c r="K10356" s="30" t="n">
        <f aca="false">Sens!K10355/ext_sh</f>
        <v>23696.3305497252</v>
      </c>
      <c r="L10356" s="1" t="s">
        <v>960</v>
      </c>
    </row>
    <row r="10357" customFormat="false" ht="17.15" hidden="false" customHeight="false" outlineLevel="0" collapsed="false">
      <c r="A10357" s="1" t="s">
        <v>961</v>
      </c>
      <c r="B10357" s="0" t="s">
        <v>459</v>
      </c>
      <c r="C10357" s="30" t="n">
        <f aca="false">Sens!C10356-Sens!C10355</f>
        <v>326.666666666667</v>
      </c>
      <c r="D10357" s="30" t="n">
        <f aca="false">Sens!D10356-Sens!D10355</f>
        <v>820</v>
      </c>
      <c r="E10357" s="30" t="n">
        <f aca="false">Sens!E10356-Sens!E10355</f>
        <v>1800</v>
      </c>
      <c r="F10357" s="30" t="n">
        <f aca="false">Sens!F10356-Sens!F10355</f>
        <v>3480.35673333333</v>
      </c>
      <c r="G10357" s="30" t="n">
        <f aca="false">Sens!G10356-Sens!G10355</f>
        <v>5298.0468</v>
      </c>
      <c r="H10357" s="30" t="n">
        <f aca="false">Sens!H10356-Sens!H10355</f>
        <v>7115.73686666667</v>
      </c>
      <c r="I10357" s="30" t="n">
        <f aca="false">Sens!I10356-Sens!I10355</f>
        <v>8403.72761311111</v>
      </c>
      <c r="J10357" s="30" t="n">
        <f aca="false">Sens!J10356-Sens!J10355</f>
        <v>9187.77885426222</v>
      </c>
      <c r="K10357" s="30" t="n">
        <f aca="false">Sens!K10356-Sens!K10355</f>
        <v>9478.53221989009</v>
      </c>
    </row>
    <row r="10358" customFormat="false" ht="17.15" hidden="false" customHeight="false" outlineLevel="0" collapsed="false">
      <c r="A10358" s="1" t="s">
        <v>962</v>
      </c>
      <c r="B10358" s="0" t="s">
        <v>459</v>
      </c>
      <c r="C10358" s="30" t="n">
        <f aca="false">Sens!C10356</f>
        <v>816.666666666667</v>
      </c>
      <c r="D10358" s="30" t="n">
        <f aca="false">Sens!D10356-Sens!C10356</f>
        <v>1233.33333333333</v>
      </c>
      <c r="E10358" s="30" t="n">
        <f aca="false">Sens!E10356-Sens!D10356</f>
        <v>2450</v>
      </c>
      <c r="F10358" s="30" t="n">
        <f aca="false">Sens!F10356-Sens!E10356</f>
        <v>4200.89183333333</v>
      </c>
      <c r="G10358" s="30" t="n">
        <f aca="false">Sens!G10356-Sens!F10356</f>
        <v>4544.22516666667</v>
      </c>
      <c r="H10358" s="30" t="n">
        <f aca="false">Sens!H10356-Sens!G10356</f>
        <v>4544.22516666667</v>
      </c>
      <c r="I10358" s="30" t="n">
        <f aca="false">Sens!I10356-Sens!H10356</f>
        <v>3219.97686611111</v>
      </c>
      <c r="J10358" s="30" t="n">
        <f aca="false">Sens!J10356-Sens!I10356</f>
        <v>1960.12810287778</v>
      </c>
      <c r="K10358" s="30" t="n">
        <f aca="false">Sens!K10356-Sens!J10356</f>
        <v>726.883414069667</v>
      </c>
    </row>
    <row r="10359" customFormat="false" ht="17.15" hidden="false" customHeight="false" outlineLevel="0" collapsed="false">
      <c r="A10359" s="1" t="s">
        <v>963</v>
      </c>
      <c r="B10359" s="0" t="s">
        <v>459</v>
      </c>
      <c r="D10359" s="30" t="n">
        <f aca="false">Sens!D10353-Sens!C10353</f>
        <v>990</v>
      </c>
      <c r="E10359" s="30" t="n">
        <f aca="false">Sens!E10353-Sens!D10353</f>
        <v>1620</v>
      </c>
      <c r="F10359" s="30" t="n">
        <f aca="false">Sens!F10353-Sens!E10353</f>
        <v>2726.5351</v>
      </c>
      <c r="G10359" s="30" t="n">
        <f aca="false">Sens!G10353-Sens!F10353</f>
        <v>2726.5351</v>
      </c>
      <c r="H10359" s="30" t="n">
        <f aca="false">Sens!H10353-Sens!G10353</f>
        <v>2726.5351</v>
      </c>
      <c r="I10359" s="30" t="n">
        <f aca="false">Sens!I10353-Sens!H10353</f>
        <v>1931.98611966667</v>
      </c>
      <c r="J10359" s="30" t="n">
        <f aca="false">Sens!J10353-Sens!I10353</f>
        <v>1176.07686172667</v>
      </c>
      <c r="K10359" s="30" t="n">
        <f aca="false">Sens!K10353-Sens!J10353</f>
        <v>436.130048441799</v>
      </c>
    </row>
    <row r="10360" customFormat="false" ht="17.15" hidden="false" customHeight="false" outlineLevel="0" collapsed="false">
      <c r="A10360" s="1" t="s">
        <v>964</v>
      </c>
      <c r="B10360" s="0" t="s">
        <v>459</v>
      </c>
      <c r="F10360" s="30" t="n">
        <f aca="false">Sens!F10379*ext_sh</f>
        <v>0</v>
      </c>
      <c r="G10360" s="30" t="n">
        <f aca="false">Sens!G10379*ext_sh</f>
        <v>0</v>
      </c>
      <c r="H10360" s="30" t="n">
        <f aca="false">Sens!H10379*ext_sh</f>
        <v>0</v>
      </c>
      <c r="I10360" s="30" t="n">
        <f aca="false">Sens!I10379*ext_sh</f>
        <v>490</v>
      </c>
      <c r="J10360" s="30" t="n">
        <f aca="false">Sens!J10379*ext_sh</f>
        <v>740</v>
      </c>
      <c r="K10360" s="30" t="n">
        <f aca="false">Sens!K10379*ext_sh</f>
        <v>1470</v>
      </c>
      <c r="L10360" s="1" t="s">
        <v>965</v>
      </c>
    </row>
    <row r="10361" customFormat="false" ht="17.15" hidden="false" customHeight="false" outlineLevel="0" collapsed="false">
      <c r="A10361" s="1" t="s">
        <v>966</v>
      </c>
      <c r="B10361" s="0" t="s">
        <v>459</v>
      </c>
      <c r="C10361" s="30" t="n">
        <f aca="false">mix_h*Sens!C10353</f>
        <v>128</v>
      </c>
      <c r="D10361" s="30" t="n">
        <f aca="false">mix_h*Sens!D10353</f>
        <v>326</v>
      </c>
      <c r="E10361" s="30" t="n">
        <f aca="false">mix_h*Sens!E10353</f>
        <v>650</v>
      </c>
      <c r="F10361" s="30" t="n">
        <f aca="false">Sens!E10361-Sens!F10360*mix_h</f>
        <v>650</v>
      </c>
      <c r="G10361" s="30" t="n">
        <f aca="false">Sens!F10361-Sens!G10360*mix_h</f>
        <v>650</v>
      </c>
      <c r="H10361" s="30" t="n">
        <f aca="false">Sens!G10361-Sens!H10360*mix_h</f>
        <v>650</v>
      </c>
      <c r="I10361" s="30" t="n">
        <f aca="false">Sens!H10361-Sens!I10360*mix_h</f>
        <v>552</v>
      </c>
      <c r="J10361" s="30" t="n">
        <f aca="false">Sens!I10361-Sens!J10360*mix_h</f>
        <v>404</v>
      </c>
      <c r="K10361" s="30" t="n">
        <f aca="false">Sens!J10361-Sens!K10360*mix_h</f>
        <v>110</v>
      </c>
    </row>
    <row r="10362" customFormat="false" ht="17.15" hidden="false" customHeight="false" outlineLevel="0" collapsed="false">
      <c r="A10362" s="1" t="s">
        <v>967</v>
      </c>
      <c r="B10362" s="0" t="s">
        <v>459</v>
      </c>
      <c r="C10362" s="30" t="n">
        <f aca="false">mix_g2*Sens!C10353</f>
        <v>288</v>
      </c>
      <c r="D10362" s="30" t="n">
        <f aca="false">mix_g2*Sens!D10353</f>
        <v>733.5</v>
      </c>
      <c r="E10362" s="30" t="n">
        <f aca="false">mix_g2*Sens!E10353</f>
        <v>1462.5</v>
      </c>
      <c r="F10362" s="30" t="n">
        <f aca="false">Sens!E10362-Sens!F10360*mix_g2</f>
        <v>1462.5</v>
      </c>
      <c r="G10362" s="30" t="n">
        <f aca="false">Sens!F10362-Sens!G10360*mix_g2</f>
        <v>1462.5</v>
      </c>
      <c r="H10362" s="30" t="n">
        <f aca="false">Sens!G10362-Sens!H10360*mix_g2</f>
        <v>1462.5</v>
      </c>
      <c r="I10362" s="30" t="n">
        <f aca="false">Sens!H10362-Sens!I10360*mix_g2</f>
        <v>1242</v>
      </c>
      <c r="J10362" s="30" t="n">
        <f aca="false">Sens!I10362-Sens!J10360*mix_g2</f>
        <v>909</v>
      </c>
      <c r="K10362" s="30" t="n">
        <f aca="false">Sens!J10362-Sens!K10360*mix_g2</f>
        <v>247.5</v>
      </c>
    </row>
    <row r="10363" customFormat="false" ht="17.15" hidden="false" customHeight="false" outlineLevel="0" collapsed="false">
      <c r="A10363" s="1" t="s">
        <v>968</v>
      </c>
      <c r="B10363" s="0" t="s">
        <v>459</v>
      </c>
      <c r="C10363" s="30" t="n">
        <f aca="false">mix_g3*Sens!C10353</f>
        <v>224</v>
      </c>
      <c r="D10363" s="30" t="n">
        <f aca="false">mix_g3*Sens!D10353</f>
        <v>570.5</v>
      </c>
      <c r="E10363" s="30" t="n">
        <f aca="false">mix_g3*Sens!E10353</f>
        <v>1137.5</v>
      </c>
      <c r="F10363" s="30" t="n">
        <f aca="false">Sens!E10363+(Sens!F10359+Sens!F10360)*(a_g3_27-nonnv*a_mai)-Sens!F10360*mix_g3</f>
        <v>2773.42106</v>
      </c>
      <c r="G10363" s="30" t="n">
        <f aca="false">Sens!F10363+(Sens!G10359+Sens!G10360)*(a_g3_28-nonnv*a_mai)-Sens!G10360*mix_g3</f>
        <v>3318.72808</v>
      </c>
      <c r="H10363" s="30" t="n">
        <f aca="false">Sens!G10363+(Sens!H10359+Sens!H10360)*(a_g3_29-nonnv*a_mai)-Sens!H10360*mix_g3</f>
        <v>3318.72808</v>
      </c>
      <c r="I10363" s="30" t="n">
        <f aca="false">Sens!H10363+(Sens!I10359+Sens!I10360)*(a_g3_29-nonnv*a_mai)-Sens!I10360*mix_g3</f>
        <v>3147.22808</v>
      </c>
      <c r="J10363" s="30" t="n">
        <f aca="false">Sens!I10363+(Sens!J10359+Sens!J10360)*(a_g3_29-nonnv*a_mai)-Sens!J10360*mix_g3</f>
        <v>2888.22808</v>
      </c>
      <c r="K10363" s="30" t="n">
        <f aca="false">Sens!J10363+(Sens!K10359+Sens!K10360)*(a_g3_29-nonnv*a_mai)-Sens!K10360*mix_g3</f>
        <v>2373.72808</v>
      </c>
    </row>
    <row r="10364" customFormat="false" ht="17.15" hidden="false" customHeight="false" outlineLevel="0" collapsed="false">
      <c r="A10364" s="1" t="s">
        <v>969</v>
      </c>
      <c r="B10364" s="0" t="s">
        <v>459</v>
      </c>
      <c r="C10364" s="30" t="n">
        <v>0</v>
      </c>
      <c r="D10364" s="30" t="n">
        <v>0</v>
      </c>
      <c r="E10364" s="30" t="n">
        <v>0</v>
      </c>
      <c r="F10364" s="30" t="n">
        <f aca="false">Sens!E10364+(Sens!F10359+Sens!F10360)*nonnv*a_mai</f>
        <v>272.65351</v>
      </c>
      <c r="G10364" s="30" t="n">
        <f aca="false">Sens!F10364+(Sens!G10359+Sens!G10360)*nonnv*a_mai</f>
        <v>545.30702</v>
      </c>
      <c r="H10364" s="30" t="n">
        <f aca="false">Sens!G10364+(Sens!H10359+Sens!H10360)*nonnv*a_mai</f>
        <v>817.96053</v>
      </c>
      <c r="I10364" s="30" t="n">
        <f aca="false">Sens!H10364+(Sens!I10359+Sens!I10360)*nonnv*a_mai</f>
        <v>1060.15914196667</v>
      </c>
      <c r="J10364" s="30" t="n">
        <f aca="false">Sens!I10364+(Sens!J10359+Sens!J10360)*nonnv*a_mai</f>
        <v>1251.76682813933</v>
      </c>
      <c r="K10364" s="30" t="n">
        <f aca="false">Sens!J10364+(Sens!K10359+Sens!K10360)*nonnv*a_mai</f>
        <v>1442.37983298351</v>
      </c>
      <c r="L10364" s="12" t="s">
        <v>970</v>
      </c>
    </row>
    <row r="10365" customFormat="false" ht="17.15" hidden="false" customHeight="false" outlineLevel="0" collapsed="false">
      <c r="A10365" s="1" t="s">
        <v>971</v>
      </c>
      <c r="B10365" s="0" t="s">
        <v>459</v>
      </c>
      <c r="C10365" s="30" t="n">
        <v>0</v>
      </c>
      <c r="D10365" s="30" t="n">
        <v>0</v>
      </c>
      <c r="E10365" s="30" t="n">
        <v>0</v>
      </c>
      <c r="F10365" s="30" t="n">
        <f aca="false">Sens!E10365+(Sens!F10359+Sens!F10360)*(1-a_g3_27)</f>
        <v>817.96053</v>
      </c>
      <c r="G10365" s="30" t="n">
        <f aca="false">Sens!F10365+(Sens!G10359+Sens!G10360)*(1-a_g3_28)</f>
        <v>2726.5351</v>
      </c>
      <c r="H10365" s="30" t="n">
        <f aca="false">Sens!G10365+(Sens!H10359+Sens!H10360)*(1-a_g3_29)</f>
        <v>5180.41669</v>
      </c>
      <c r="I10365" s="30" t="n">
        <f aca="false">Sens!H10365+(Sens!I10359+Sens!I10360)*(1-a_g3_29)</f>
        <v>7360.2041977</v>
      </c>
      <c r="J10365" s="30" t="n">
        <f aca="false">Sens!I10365+(Sens!J10359+Sens!J10360)*(1-a_g3_29)</f>
        <v>9084.673373254</v>
      </c>
      <c r="K10365" s="30" t="n">
        <f aca="false">Sens!J10365+(Sens!K10359+Sens!K10360)*(1-a_g3_29)</f>
        <v>10800.1904168516</v>
      </c>
    </row>
    <row r="10366" customFormat="false" ht="17.15" hidden="false" customHeight="false" outlineLevel="0" collapsed="false">
      <c r="A10366" s="1" t="s">
        <v>972</v>
      </c>
      <c r="B10366" s="0" t="s">
        <v>403</v>
      </c>
      <c r="C10366" s="15" t="n">
        <f aca="false">(Sens!C10361*tk_hold_h100+Sens!C10362*tk_hold_gb200+Sens!C10363*tk_hold_gb300+Sens!C10365*tk_hold_vr200+Sens!C10364*nv_hold_mai*tk_hold_vr200)/Sens!C10353</f>
        <v>9.7235358126469</v>
      </c>
      <c r="D10366" s="15" t="n">
        <f aca="false">(Sens!D10361*tk_hold_h100+Sens!D10362*tk_hold_gb200+Sens!D10363*tk_hold_gb300+Sens!D10365*tk_hold_vr200+Sens!D10364*nv_hold_mai*tk_hold_vr200)/Sens!D10353</f>
        <v>9.7235358126469</v>
      </c>
      <c r="E10366" s="15" t="n">
        <f aca="false">(Sens!E10361*tk_hold_h100+Sens!E10362*tk_hold_gb200+Sens!E10363*tk_hold_gb300+Sens!E10365*tk_hold_vr200+Sens!E10364*nv_hold_mai*tk_hold_vr200)/Sens!E10353</f>
        <v>9.7235358126469</v>
      </c>
      <c r="F10366" s="15" t="n">
        <f aca="false">(Sens!F10361*tk_hold_h100+Sens!F10362*tk_hold_gb200+Sens!F10363*tk_hold_gb300+Sens!F10365*tk_hold_vr200+Sens!F10364*nv_hold_mai*tk_hold_vr200)/Sens!F10353</f>
        <v>10.2195353876665</v>
      </c>
      <c r="G10366" s="15" t="n">
        <f aca="false">(Sens!G10361*tk_hold_h100+Sens!G10362*tk_hold_gb200+Sens!G10363*tk_hold_gb300+Sens!G10365*tk_hold_vr200+Sens!G10364*nv_hold_mai*tk_hold_vr200)/Sens!G10353</f>
        <v>10.5725598017306</v>
      </c>
      <c r="H10366" s="15" t="n">
        <f aca="false">(Sens!H10361*tk_hold_h100+Sens!H10362*tk_hold_gb200+Sens!H10363*tk_hold_gb300+Sens!H10365*tk_hold_vr200+Sens!H10364*nv_hold_mai*tk_hold_vr200)/Sens!H10353</f>
        <v>10.8210427149036</v>
      </c>
      <c r="I10366" s="15" t="n">
        <f aca="false">(Sens!I10361*tk_hold_h100+Sens!I10362*tk_hold_gb200+Sens!I10363*tk_hold_gb300+Sens!I10365*tk_hold_vr200+Sens!I10364*nv_hold_mai*tk_hold_vr200)/Sens!I10353</f>
        <v>11.0050618241982</v>
      </c>
      <c r="J10366" s="15" t="n">
        <f aca="false">(Sens!J10361*tk_hold_h100+Sens!J10362*tk_hold_gb200+Sens!J10363*tk_hold_gb300+Sens!J10365*tk_hold_vr200+Sens!J10364*nv_hold_mai*tk_hold_vr200)/Sens!J10353</f>
        <v>11.1505789658881</v>
      </c>
      <c r="K10366" s="15" t="n">
        <f aca="false">(Sens!K10361*tk_hold_h100+Sens!K10362*tk_hold_gb200+Sens!K10363*tk_hold_gb300+Sens!K10365*tk_hold_vr200+Sens!K10364*nv_hold_mai*tk_hold_vr200)/Sens!K10353</f>
        <v>11.3496914757183</v>
      </c>
      <c r="L10366" s="1" t="s">
        <v>973</v>
      </c>
    </row>
    <row r="10367" customFormat="false" ht="17.15" hidden="false" customHeight="false" outlineLevel="0" collapsed="false">
      <c r="A10367" s="1" t="s">
        <v>974</v>
      </c>
      <c r="B10367" s="0" t="s">
        <v>403</v>
      </c>
      <c r="C10367" s="15" t="n">
        <f aca="false">(Sens!C10361*tk_hold_h100+Sens!C10362*tk_hold_gb200+Sens!C10363*tk_hold_gb300+Sens!C10365*tk_hold_vr200+Sens!C10364*nv_out_mai*tk_hold_vr200)/Sens!C10353</f>
        <v>9.7235358126469</v>
      </c>
      <c r="D10367" s="15" t="n">
        <f aca="false">(Sens!D10361*tk_hold_h100+Sens!D10362*tk_hold_gb200+Sens!D10363*tk_hold_gb300+Sens!D10365*tk_hold_vr200+Sens!D10364*nv_out_mai*tk_hold_vr200)/Sens!D10353</f>
        <v>9.7235358126469</v>
      </c>
      <c r="E10367" s="15" t="n">
        <f aca="false">(Sens!E10361*tk_hold_h100+Sens!E10362*tk_hold_gb200+Sens!E10363*tk_hold_gb300+Sens!E10365*tk_hold_vr200+Sens!E10364*nv_out_mai*tk_hold_vr200)/Sens!E10353</f>
        <v>9.7235358126469</v>
      </c>
      <c r="F10367" s="15" t="n">
        <f aca="false">(Sens!F10361*tk_hold_h100+Sens!F10362*tk_hold_gb200+Sens!F10363*tk_hold_gb300+Sens!F10365*tk_hold_vr200+Sens!F10364*nv_out_mai*tk_hold_vr200)/Sens!F10353</f>
        <v>10.247422093969</v>
      </c>
      <c r="G10367" s="15" t="n">
        <f aca="false">(Sens!G10361*tk_hold_h100+Sens!G10362*tk_hold_gb200+Sens!G10363*tk_hold_gb300+Sens!G10365*tk_hold_vr200+Sens!G10364*nv_out_mai*tk_hold_vr200)/Sens!G10353</f>
        <v>10.6108602808053</v>
      </c>
      <c r="H10367" s="15" t="n">
        <f aca="false">(Sens!H10361*tk_hold_h100+Sens!H10362*tk_hold_gb200+Sens!H10363*tk_hold_gb300+Sens!H10365*tk_hold_vr200+Sens!H10364*nv_out_mai*tk_hold_vr200)/Sens!H10353</f>
        <v>10.8647885507393</v>
      </c>
      <c r="I10367" s="15" t="n">
        <f aca="false">(Sens!I10361*tk_hold_h100+Sens!I10362*tk_hold_gb200+Sens!I10363*tk_hold_gb300+Sens!I10365*tk_hold_vr200+Sens!I10364*nv_out_mai*tk_hold_vr200)/Sens!I10353</f>
        <v>11.0535625770025</v>
      </c>
      <c r="J10367" s="15" t="n">
        <f aca="false">(Sens!J10361*tk_hold_h100+Sens!J10362*tk_hold_gb200+Sens!J10363*tk_hold_gb300+Sens!J10365*tk_hold_vr200+Sens!J10364*nv_out_mai*tk_hold_vr200)/Sens!J10353</f>
        <v>11.2032127128058</v>
      </c>
      <c r="K10367" s="15" t="n">
        <f aca="false">(Sens!K10361*tk_hold_h100+Sens!K10362*tk_hold_gb200+Sens!K10363*tk_hold_gb300+Sens!K10365*tk_hold_vr200+Sens!K10364*nv_out_mai*tk_hold_vr200)/Sens!K10353</f>
        <v>11.4085735724225</v>
      </c>
      <c r="L10367" s="12" t="s">
        <v>975</v>
      </c>
    </row>
    <row r="10368" customFormat="false" ht="17.15" hidden="false" customHeight="false" outlineLevel="0" collapsed="false">
      <c r="A10368" s="0" t="s">
        <v>976</v>
      </c>
      <c r="B10368" s="0" t="s">
        <v>229</v>
      </c>
      <c r="C10368" s="15" t="n">
        <f aca="false">k_B</f>
        <v>1.17213932619116</v>
      </c>
      <c r="D10368" s="15" t="n">
        <f aca="false">k_B</f>
        <v>1.17213932619116</v>
      </c>
      <c r="E10368" s="15" t="n">
        <f aca="false">k_B</f>
        <v>1.17213932619116</v>
      </c>
      <c r="F10368" s="15" t="n">
        <f aca="false">(k_B+((ls_A*k_long+(1-ls_A)*k_spot)-k_B)*MIN(1,(Sens!F10351-base_fy)/k_ramp))</f>
        <v>1.25022828131298</v>
      </c>
      <c r="G10368" s="15" t="n">
        <f aca="false">(k_B+((ls_A*k_long+(1-ls_A)*k_spot)-k_B)*MIN(1,(Sens!G10351-base_fy)/k_ramp))</f>
        <v>1.3283172364348</v>
      </c>
      <c r="H10368" s="15" t="n">
        <f aca="false">(k_B+((ls_A*k_long+(1-ls_A)*k_spot)-k_B)*MIN(1,(Sens!H10351-base_fy)/k_ramp))</f>
        <v>1.40640619155662</v>
      </c>
      <c r="I10368" s="15" t="n">
        <f aca="false">(k_B+((ls_A*k_long+(1-ls_A)*k_spot)-k_B)*MIN(1,(Sens!I10351-base_fy)/k_ramp))</f>
        <v>1.40640619155662</v>
      </c>
      <c r="J10368" s="15" t="n">
        <f aca="false">(k_B+((ls_A*k_long+(1-ls_A)*k_spot)-k_B)*MIN(1,(Sens!J10351-base_fy)/k_ramp))</f>
        <v>1.40640619155662</v>
      </c>
      <c r="K10368" s="15" t="n">
        <f aca="false">(k_B+((ls_A*k_long+(1-ls_A)*k_spot)-k_B)*MIN(1,(Sens!K10351-base_fy)/k_ramp))</f>
        <v>1.40640619155662</v>
      </c>
      <c r="L10368" s="1" t="s">
        <v>977</v>
      </c>
    </row>
    <row r="10369" customFormat="false" ht="17.15" hidden="false" customHeight="false" outlineLevel="0" collapsed="false">
      <c r="A10369" s="1" t="s">
        <v>978</v>
      </c>
      <c r="B10369" s="0" t="s">
        <v>403</v>
      </c>
      <c r="C10369" s="15" t="n">
        <f aca="false">Sens!C10367*Sens!C10368*chip_f</f>
        <v>11.3973387156315</v>
      </c>
      <c r="D10369" s="15" t="n">
        <f aca="false">Sens!D10367*Sens!D10368*chip_f</f>
        <v>11.3973387156315</v>
      </c>
      <c r="E10369" s="15" t="n">
        <f aca="false">Sens!E10367*Sens!E10368*chip_f</f>
        <v>11.3973387156315</v>
      </c>
      <c r="F10369" s="15" t="n">
        <f aca="false">Sens!F10367*Sens!F10368*chip_f</f>
        <v>12.8116169124314</v>
      </c>
      <c r="G10369" s="15" t="n">
        <f aca="false">Sens!G10367*Sens!G10368*chip_f</f>
        <v>14.094588604395</v>
      </c>
      <c r="H10369" s="15" t="n">
        <f aca="false">Sens!H10367*Sens!H10368*chip_f</f>
        <v>15.2803058877132</v>
      </c>
      <c r="I10369" s="15" t="n">
        <f aca="false">Sens!I10367*Sens!I10368*chip_f</f>
        <v>15.5457988470549</v>
      </c>
      <c r="J10369" s="15" t="n">
        <f aca="false">Sens!J10367*Sens!J10368*chip_f</f>
        <v>15.7562677246158</v>
      </c>
      <c r="K10369" s="15" t="n">
        <f aca="false">Sens!K10367*Sens!K10368*chip_f</f>
        <v>16.0450885090842</v>
      </c>
      <c r="L10369" s="1" t="s">
        <v>979</v>
      </c>
    </row>
    <row r="10370" customFormat="false" ht="17.15" hidden="false" customHeight="false" outlineLevel="0" collapsed="false">
      <c r="A10370" s="0" t="s">
        <v>980</v>
      </c>
      <c r="B10370" s="0" t="s">
        <v>98</v>
      </c>
      <c r="D10370" s="6" t="n">
        <f aca="false">(Sens!C10353+Sens!D10353)/2*Sens!D10369/1000</f>
        <v>12.9359794422418</v>
      </c>
      <c r="E10370" s="6" t="n">
        <f aca="false">(Sens!D10353+Sens!E10353)/2*Sens!E10369/1000</f>
        <v>27.8095064661409</v>
      </c>
      <c r="F10370" s="6" t="n">
        <f aca="false">(Sens!E10353+Sens!F10353)/2*Sens!F10369/1000</f>
        <v>59.1034165651511</v>
      </c>
      <c r="G10370" s="6" t="n">
        <f aca="false">(Sens!F10353+Sens!G10353)/2*Sens!G10369/1000</f>
        <v>103.451498789198</v>
      </c>
      <c r="H10370" s="6" t="n">
        <f aca="false">(Sens!G10353+Sens!H10353)/2*Sens!H10369/1000</f>
        <v>153.816719989035</v>
      </c>
      <c r="I10370" s="6" t="n">
        <f aca="false">(Sens!H10353+Sens!I10353)/2*Sens!I10369/1000</f>
        <v>192.699478690852</v>
      </c>
      <c r="J10370" s="6" t="n">
        <f aca="false">(Sens!I10353+Sens!J10353)/2*Sens!J10369/1000</f>
        <v>219.794102584244</v>
      </c>
      <c r="K10370" s="6" t="n">
        <f aca="false">(Sens!J10353+Sens!K10353)/2*Sens!K10369/1000</f>
        <v>236.757046905022</v>
      </c>
      <c r="L10370" s="12" t="s">
        <v>981</v>
      </c>
    </row>
    <row r="10371" customFormat="false" ht="17.15" hidden="false" customHeight="false" outlineLevel="0" collapsed="false">
      <c r="A10371" s="1" t="s">
        <v>982</v>
      </c>
      <c r="B10371" s="0" t="s">
        <v>403</v>
      </c>
      <c r="C10371" s="15" t="n">
        <f aca="false">(Sens!C10361*tk_opex_h100+Sens!C10362*tk_opex_gb200+Sens!C10363*tk_opex_gb300+(Sens!C10365+Sens!C10364)*tk_opex_vr200)/Sens!C10353</f>
        <v>1.88636041306092</v>
      </c>
      <c r="D10371" s="15" t="n">
        <f aca="false">(Sens!D10361*tk_opex_h100+Sens!D10362*tk_opex_gb200+Sens!D10363*tk_opex_gb300+(Sens!D10365+Sens!D10364)*tk_opex_vr200)/Sens!D10353</f>
        <v>1.88636041306092</v>
      </c>
      <c r="E10371" s="15" t="n">
        <f aca="false">(Sens!E10361*tk_opex_h100+Sens!E10362*tk_opex_gb200+Sens!E10363*tk_opex_gb300+(Sens!E10365+Sens!E10364)*tk_opex_vr200)/Sens!E10353</f>
        <v>1.88636041306092</v>
      </c>
      <c r="F10371" s="15" t="n">
        <f aca="false">(Sens!F10361*tk_opex_h100+Sens!F10362*tk_opex_gb200+Sens!F10363*tk_opex_gb300+(Sens!F10365+Sens!F10364)*tk_opex_vr200)/Sens!F10353</f>
        <v>1.95051159746876</v>
      </c>
      <c r="G10371" s="15" t="n">
        <f aca="false">(Sens!G10361*tk_opex_h100+Sens!G10362*tk_opex_gb200+Sens!G10363*tk_opex_gb300+(Sens!G10365+Sens!G10364)*tk_opex_vr200)/Sens!G10353</f>
        <v>1.98836003669956</v>
      </c>
      <c r="H10371" s="15" t="n">
        <f aca="false">(Sens!H10361*tk_opex_h100+Sens!H10362*tk_opex_gb200+Sens!H10363*tk_opex_gb300+(Sens!H10365+Sens!H10364)*tk_opex_vr200)/Sens!H10353</f>
        <v>2.01344013834343</v>
      </c>
      <c r="I10371" s="15" t="n">
        <f aca="false">(Sens!I10361*tk_opex_h100+Sens!I10362*tk_opex_gb200+Sens!I10363*tk_opex_gb300+(Sens!I10365+Sens!I10364)*tk_opex_vr200)/Sens!I10353</f>
        <v>2.03261166882178</v>
      </c>
      <c r="J10371" s="15" t="n">
        <f aca="false">(Sens!J10361*tk_opex_h100+Sens!J10362*tk_opex_gb200+Sens!J10363*tk_opex_gb300+(Sens!J10365+Sens!J10364)*tk_opex_vr200)/Sens!J10353</f>
        <v>2.04808073288745</v>
      </c>
      <c r="K10371" s="15" t="n">
        <f aca="false">(Sens!K10361*tk_opex_h100+Sens!K10362*tk_opex_gb200+Sens!K10363*tk_opex_gb300+(Sens!K10365+Sens!K10364)*tk_opex_vr200)/Sens!K10353</f>
        <v>2.06973825807449</v>
      </c>
      <c r="L10371" s="12" t="s">
        <v>983</v>
      </c>
    </row>
    <row r="10372" customFormat="false" ht="17.15" hidden="false" customHeight="false" outlineLevel="0" collapsed="false">
      <c r="A10372" s="0" t="s">
        <v>984</v>
      </c>
      <c r="B10372" s="0" t="s">
        <v>98</v>
      </c>
      <c r="D10372" s="6" t="n">
        <f aca="false">(Sens!C10356+Sens!D10356)/2*Sens!D10371/1000</f>
        <v>2.70378325872065</v>
      </c>
      <c r="E10372" s="6" t="n">
        <f aca="false">(Sens!D10356+Sens!E10356)/2*Sens!E10371/1000</f>
        <v>6.17783035277451</v>
      </c>
      <c r="F10372" s="6" t="n">
        <f aca="false">(Sens!E10356+Sens!F10356)/2*Sens!F10371/1000</f>
        <v>12.8742463089237</v>
      </c>
      <c r="G10372" s="6" t="n">
        <f aca="false">(Sens!F10356+Sens!G10356)/2*Sens!G10371/1000</f>
        <v>21.8182834646277</v>
      </c>
      <c r="H10372" s="6" t="n">
        <f aca="false">(Sens!G10356+Sens!H10356)/2*Sens!H10371/1000</f>
        <v>31.2430128789734</v>
      </c>
      <c r="I10372" s="6" t="n">
        <f aca="false">(Sens!H10356+Sens!I10356)/2*Sens!I10371/1000</f>
        <v>39.4313057443268</v>
      </c>
      <c r="J10372" s="6" t="n">
        <f aca="false">(Sens!I10356+Sens!J10356)/2*Sens!J10371/1000</f>
        <v>45.0360318228653</v>
      </c>
      <c r="K10372" s="6" t="n">
        <f aca="false">(Sens!J10356+Sens!K10356)/2*Sens!K10371/1000</f>
        <v>48.2929727091156</v>
      </c>
    </row>
    <row r="10373" customFormat="false" ht="17.15" hidden="false" customHeight="false" outlineLevel="0" collapsed="false">
      <c r="A10373" s="0" t="s">
        <v>985</v>
      </c>
      <c r="B10373" s="0" t="s">
        <v>98</v>
      </c>
      <c r="D10373" s="6" t="n">
        <f aca="false">(Sens!C10354+Sens!D10354)/2*rent_mw/1000</f>
        <v>2.44475</v>
      </c>
      <c r="E10373" s="6" t="n">
        <f aca="false">(Sens!D10354+Sens!E10354)/2*rent_mw/1000</f>
        <v>4.22275</v>
      </c>
      <c r="F10373" s="6" t="n">
        <f aca="false">(Sens!E10354+Sens!F10354)/2*rent_mw/1000</f>
        <v>5.80517</v>
      </c>
      <c r="G10373" s="6" t="n">
        <f aca="false">(Sens!F10354+Sens!G10354)/2*rent_mw/1000</f>
        <v>6.72084</v>
      </c>
      <c r="H10373" s="6" t="n">
        <f aca="false">(Sens!G10354+Sens!H10354)/2*rent_mw/1000</f>
        <v>6.72084</v>
      </c>
      <c r="I10373" s="6" t="n">
        <f aca="false">(Sens!H10354+Sens!I10354)/2*rent_mw/1000</f>
        <v>6.72084</v>
      </c>
      <c r="J10373" s="6" t="n">
        <f aca="false">(Sens!I10354+Sens!J10354)/2*rent_mw/1000</f>
        <v>6.72084</v>
      </c>
      <c r="K10373" s="6" t="n">
        <f aca="false">(Sens!J10354+Sens!K10354)/2*rent_mw/1000</f>
        <v>6.72084</v>
      </c>
    </row>
    <row r="10374" customFormat="false" ht="17.15" hidden="false" customHeight="false" outlineLevel="0" collapsed="false">
      <c r="A10374" s="0" t="s">
        <v>986</v>
      </c>
      <c r="B10374" s="0" t="s">
        <v>98</v>
      </c>
      <c r="D10374" s="6" t="n">
        <f aca="false">(Sens!C10356+Sens!D10356)/2*(1-self_build)*fac_rent/1000</f>
        <v>0.853242375631075</v>
      </c>
      <c r="E10374" s="6" t="n">
        <f aca="false">(Sens!D10356+Sens!E10356)/2*(1-self_build)*fac_rent/1000</f>
        <v>1.94955961408728</v>
      </c>
      <c r="F10374" s="6" t="n">
        <f aca="false">(Sens!E10356+Sens!F10356)/2*(1-self_build)*fac_rent/1000</f>
        <v>3.92914894476356</v>
      </c>
      <c r="G10374" s="6" t="n">
        <f aca="false">(Sens!F10356+Sens!G10356)/2*(1-self_build)*fac_rent/1000</f>
        <v>6.53206908578159</v>
      </c>
      <c r="H10374" s="6" t="n">
        <f aca="false">(Sens!G10356+Sens!H10356)/2*(1-self_build)*fac_rent/1000</f>
        <v>9.23717988341591</v>
      </c>
      <c r="I10374" s="6" t="n">
        <f aca="false">(Sens!H10356+Sens!I10356)/2*(1-self_build)*fac_rent/1000</f>
        <v>11.5481378557393</v>
      </c>
      <c r="J10374" s="6" t="n">
        <f aca="false">(Sens!I10356+Sens!J10356)/2*(1-self_build)*fac_rent/1000</f>
        <v>13.0899582289108</v>
      </c>
      <c r="K10374" s="6" t="n">
        <f aca="false">(Sens!J10356+Sens!K10356)/2*(1-self_build)*fac_rent/1000</f>
        <v>13.8897275626556</v>
      </c>
      <c r="L10374" s="12" t="s">
        <v>987</v>
      </c>
    </row>
    <row r="10375" customFormat="false" ht="17.15" hidden="false" customHeight="false" outlineLevel="0" collapsed="false">
      <c r="A10375" s="1" t="s">
        <v>988</v>
      </c>
      <c r="B10375" s="0" t="s">
        <v>168</v>
      </c>
      <c r="D10375" s="7" t="n">
        <f aca="false">(Sens!C10355+Sens!D10355)/(Sens!C10356+Sens!D10356)</f>
        <v>0.6</v>
      </c>
      <c r="E10375" s="7" t="n">
        <f aca="false">(Sens!D10355+Sens!E10355)/(Sens!D10356+Sens!E10356)</f>
        <v>0.6</v>
      </c>
      <c r="F10375" s="7" t="n">
        <f aca="false">(Sens!E10355+Sens!F10355)/(Sens!E10356+Sens!F10356)</f>
        <v>0.6</v>
      </c>
      <c r="G10375" s="7" t="n">
        <f aca="false">(Sens!F10355+Sens!G10355)/(Sens!F10356+Sens!G10356)</f>
        <v>0.6</v>
      </c>
      <c r="H10375" s="7" t="n">
        <f aca="false">(Sens!G10355+Sens!H10355)/(Sens!G10356+Sens!H10356)</f>
        <v>0.6</v>
      </c>
      <c r="I10375" s="7" t="n">
        <f aca="false">(Sens!H10355+Sens!I10355)/(Sens!H10356+Sens!I10356)</f>
        <v>0.6</v>
      </c>
      <c r="J10375" s="7" t="n">
        <f aca="false">(Sens!I10355+Sens!J10355)/(Sens!I10356+Sens!J10356)</f>
        <v>0.6</v>
      </c>
      <c r="K10375" s="7" t="n">
        <f aca="false">(Sens!J10355+Sens!K10355)/(Sens!J10356+Sens!K10356)</f>
        <v>0.6</v>
      </c>
    </row>
    <row r="10376" customFormat="false" ht="17.15" hidden="false" customHeight="false" outlineLevel="0" collapsed="false">
      <c r="A10376" s="0" t="s">
        <v>989</v>
      </c>
      <c r="B10376" s="0" t="s">
        <v>98</v>
      </c>
      <c r="D10376" s="6" t="n">
        <f aca="false">Sens!D10370-Sens!D10375*(Sens!D10372+Sens!D10374)-Sens!D10373</f>
        <v>8.35701406163072</v>
      </c>
      <c r="E10376" s="6" t="n">
        <f aca="false">Sens!E10370-Sens!E10375*(Sens!E10372+Sens!E10374)-Sens!E10373</f>
        <v>18.7103224860238</v>
      </c>
      <c r="F10376" s="6" t="n">
        <f aca="false">Sens!F10370-Sens!F10375*(Sens!F10372+Sens!F10374)-Sens!F10373</f>
        <v>43.2162094129388</v>
      </c>
      <c r="G10376" s="6" t="n">
        <f aca="false">Sens!G10370-Sens!G10375*(Sens!G10372+Sens!G10374)-Sens!G10373</f>
        <v>79.7204472589529</v>
      </c>
      <c r="H10376" s="6" t="n">
        <f aca="false">Sens!H10370-Sens!H10375*(Sens!H10372+Sens!H10374)-Sens!H10373</f>
        <v>122.807764331602</v>
      </c>
      <c r="I10376" s="6" t="n">
        <f aca="false">Sens!I10370-Sens!I10375*(Sens!I10372+Sens!I10374)-Sens!I10373</f>
        <v>155.390972530813</v>
      </c>
      <c r="J10376" s="6" t="n">
        <f aca="false">Sens!J10370-Sens!J10375*(Sens!J10372+Sens!J10374)-Sens!J10373</f>
        <v>178.197668553178</v>
      </c>
      <c r="K10376" s="6" t="n">
        <f aca="false">Sens!K10370-Sens!K10375*(Sens!K10372+Sens!K10374)-Sens!K10373</f>
        <v>192.726586741959</v>
      </c>
    </row>
    <row r="10377" customFormat="false" ht="17.15" hidden="false" customHeight="false" outlineLevel="0" collapsed="false">
      <c r="A10377" s="1" t="s">
        <v>990</v>
      </c>
      <c r="B10377" s="0" t="s">
        <v>98</v>
      </c>
      <c r="D10377" s="6" t="n">
        <f aca="false">(1-Sens!D10375)*(Sens!D10372+Sens!D10374)</f>
        <v>1.42281025374069</v>
      </c>
      <c r="E10377" s="6" t="n">
        <f aca="false">(1-Sens!E10375)*(Sens!E10372+Sens!E10374)</f>
        <v>3.25095598674472</v>
      </c>
      <c r="F10377" s="6" t="n">
        <f aca="false">(1-Sens!F10375)*(Sens!F10372+Sens!F10374)</f>
        <v>6.72135810147489</v>
      </c>
      <c r="G10377" s="6" t="n">
        <f aca="false">(1-Sens!G10375)*(Sens!G10372+Sens!G10374)</f>
        <v>11.3401410201637</v>
      </c>
      <c r="H10377" s="6" t="n">
        <f aca="false">(1-Sens!H10375)*(Sens!H10372+Sens!H10374)</f>
        <v>16.1920771049557</v>
      </c>
      <c r="I10377" s="6" t="n">
        <f aca="false">(1-Sens!I10375)*(Sens!I10372+Sens!I10374)</f>
        <v>20.3917774400264</v>
      </c>
      <c r="J10377" s="6" t="n">
        <f aca="false">(1-Sens!J10375)*(Sens!J10372+Sens!J10374)</f>
        <v>23.2503960207104</v>
      </c>
      <c r="K10377" s="6" t="n">
        <f aca="false">(1-Sens!K10375)*(Sens!K10372+Sens!K10374)</f>
        <v>24.8730801087085</v>
      </c>
    </row>
    <row r="10378" customFormat="false" ht="17.15" hidden="false" customHeight="false" outlineLevel="0" collapsed="false">
      <c r="A10378" s="1" t="s">
        <v>991</v>
      </c>
      <c r="B10378" s="0" t="s">
        <v>417</v>
      </c>
      <c r="C10378" s="8" t="n">
        <f aca="false">cxit_open</f>
        <v>27.5918995</v>
      </c>
      <c r="D10378" s="8" t="n">
        <f aca="false">cxit_open</f>
        <v>27.5918995</v>
      </c>
      <c r="E10378" s="8" t="n">
        <f aca="false">cxit_open</f>
        <v>27.5918995</v>
      </c>
      <c r="F10378" s="8" t="n">
        <f aca="false">((a_g3_27-nonnv*a_mai)*tk_cxit_gb300+nonnv*a_mai*nv_hold_mai*tk_cxit_vr200+(1-a_g3_27)*tk_cxit_vr200)</f>
        <v>32.4975576</v>
      </c>
      <c r="G10378" s="8" t="n">
        <f aca="false">((a_g3_28-nonnv*a_mai)*tk_cxit_gb300+nonnv*a_mai*nv_hold_mai*tk_cxit_vr200+(1-a_g3_28)*tk_cxit_vr200)</f>
        <v>34.6372088</v>
      </c>
      <c r="H10378" s="8" t="n">
        <f aca="false">((a_g3_29-nonnv*a_mai)*tk_cxit_gb300+nonnv*a_mai*nv_hold_mai*tk_cxit_vr200+(1-a_g3_29)*tk_cxit_vr200)</f>
        <v>35.7070344</v>
      </c>
      <c r="I10378" s="8" t="n">
        <f aca="false">((a_g3_29-nonnv*a_mai)*tk_cxit_gb300+nonnv*a_mai*nv_hold_mai*tk_cxit_vr200+(1-a_g3_29)*tk_cxit_vr200)</f>
        <v>35.7070344</v>
      </c>
      <c r="J10378" s="8" t="n">
        <f aca="false">((a_g3_29-nonnv*a_mai)*tk_cxit_gb300+nonnv*a_mai*nv_hold_mai*tk_cxit_vr200+(1-a_g3_29)*tk_cxit_vr200)</f>
        <v>35.7070344</v>
      </c>
      <c r="K10378" s="8" t="n">
        <f aca="false">((a_g3_29-nonnv*a_mai)*tk_cxit_gb300+nonnv*a_mai*nv_hold_mai*tk_cxit_vr200+(1-a_g3_29)*tk_cxit_vr200)</f>
        <v>35.7070344</v>
      </c>
      <c r="L10378" s="12" t="s">
        <v>992</v>
      </c>
    </row>
    <row r="10379" customFormat="false" ht="17.15" hidden="false" customHeight="false" outlineLevel="0" collapsed="false">
      <c r="A10379" s="0" t="s">
        <v>993</v>
      </c>
      <c r="B10379" s="0" t="s">
        <v>459</v>
      </c>
      <c r="F10379" s="30" t="n">
        <f aca="false">Sens!C10358*IF(Sens!F10351-Sens!C10351=life_it,1,0)+Sens!D10358*IF(Sens!F10351-Sens!D10351=life_it,1,0)+Sens!E10358*IF(Sens!F10351-Sens!E10351=life_it,1,0)</f>
        <v>0</v>
      </c>
      <c r="G10379" s="30" t="n">
        <f aca="false">Sens!C10358*IF(Sens!G10351-Sens!C10351=life_it,1,0)+Sens!D10358*IF(Sens!G10351-Sens!D10351=life_it,1,0)+Sens!E10358*IF(Sens!G10351-Sens!E10351=life_it,1,0)+Sens!F10358*IF(Sens!G10351-Sens!F10351=life_it,1,0)</f>
        <v>0</v>
      </c>
      <c r="H10379" s="30" t="n">
        <f aca="false">Sens!C10358*IF(Sens!H10351-Sens!C10351=life_it,1,0)+Sens!D10358*IF(Sens!H10351-Sens!D10351=life_it,1,0)+Sens!E10358*IF(Sens!H10351-Sens!E10351=life_it,1,0)+Sens!F10358*IF(Sens!H10351-Sens!F10351=life_it,1,0)+Sens!G10358*IF(Sens!H10351-Sens!G10351=life_it,1,0)</f>
        <v>0</v>
      </c>
      <c r="I10379" s="30" t="n">
        <f aca="false">Sens!C10358*IF(Sens!I10351-Sens!C10351=life_it,1,0)+Sens!D10358*IF(Sens!I10351-Sens!D10351=life_it,1,0)+Sens!E10358*IF(Sens!I10351-Sens!E10351=life_it,1,0)+Sens!F10358*IF(Sens!I10351-Sens!F10351=life_it,1,0)+Sens!G10358*IF(Sens!I10351-Sens!G10351=life_it,1,0)+Sens!H10358*IF(Sens!I10351-Sens!H10351=life_it,1,0)</f>
        <v>816.666666666667</v>
      </c>
      <c r="J10379" s="30" t="n">
        <f aca="false">Sens!C10358*IF(Sens!J10351-Sens!C10351=life_it,1,0)+Sens!D10358*IF(Sens!J10351-Sens!D10351=life_it,1,0)+Sens!E10358*IF(Sens!J10351-Sens!E10351=life_it,1,0)+Sens!F10358*IF(Sens!J10351-Sens!F10351=life_it,1,0)+Sens!G10358*IF(Sens!J10351-Sens!G10351=life_it,1,0)+Sens!H10358*IF(Sens!J10351-Sens!H10351=life_it,1,0)+Sens!I10358*IF(Sens!J10351-Sens!I10351=life_it,1,0)</f>
        <v>1233.33333333333</v>
      </c>
      <c r="K10379" s="30" t="n">
        <f aca="false">Sens!C10358*IF(Sens!K10351-Sens!C10351=life_it,1,0)+Sens!D10358*IF(Sens!K10351-Sens!D10351=life_it,1,0)+Sens!E10358*IF(Sens!K10351-Sens!E10351=life_it,1,0)+Sens!F10358*IF(Sens!K10351-Sens!F10351=life_it,1,0)+Sens!G10358*IF(Sens!K10351-Sens!G10351=life_it,1,0)+Sens!H10358*IF(Sens!K10351-Sens!H10351=life_it,1,0)+Sens!I10358*IF(Sens!K10351-Sens!I10351=life_it,1,0)+Sens!J10358*IF(Sens!K10351-Sens!J10351=life_it,1,0)</f>
        <v>2450</v>
      </c>
      <c r="L10379" s="1" t="s">
        <v>994</v>
      </c>
    </row>
    <row r="10380" customFormat="false" ht="17.15" hidden="false" customHeight="false" outlineLevel="0" collapsed="false">
      <c r="A10380" s="0" t="s">
        <v>995</v>
      </c>
      <c r="B10380" s="0" t="s">
        <v>98</v>
      </c>
      <c r="C10380" s="6" t="n">
        <f aca="false">Sens!C10358*Sens!C10378/1000</f>
        <v>22.5333845916667</v>
      </c>
      <c r="D10380" s="6" t="n">
        <f aca="false">Sens!D10358*Sens!D10378/1000</f>
        <v>34.0300093833333</v>
      </c>
      <c r="E10380" s="6" t="n">
        <f aca="false">Sens!E10358*Sens!E10378/1000</f>
        <v>67.600153775</v>
      </c>
      <c r="F10380" s="6" t="n">
        <f aca="false">(Sens!F10358+Sens!F10379)*Sens!F10378/1000</f>
        <v>136.51872432512</v>
      </c>
      <c r="G10380" s="6" t="n">
        <f aca="false">(Sens!G10358+Sens!G10379)*Sens!G10378/1000</f>
        <v>157.399275932048</v>
      </c>
      <c r="H10380" s="6" t="n">
        <f aca="false">(Sens!H10358+Sens!H10379)*Sens!H10378/1000</f>
        <v>162.260804347512</v>
      </c>
      <c r="I10380" s="6" t="n">
        <f aca="false">(Sens!I10358+Sens!I10379)*Sens!I10378/1000</f>
        <v>144.136569485434</v>
      </c>
      <c r="J10380" s="6" t="n">
        <f aca="false">(Sens!J10358+Sens!J10379)*Sens!J10378/1000</f>
        <v>114.029037357864</v>
      </c>
      <c r="K10380" s="6" t="n">
        <f aca="false">(Sens!K10358+Sens!K10379)*Sens!K10378/1000</f>
        <v>113.437085350975</v>
      </c>
    </row>
    <row r="10381" customFormat="false" ht="17.15" hidden="false" customHeight="false" outlineLevel="0" collapsed="false">
      <c r="A10381" s="0" t="s">
        <v>996</v>
      </c>
      <c r="B10381" s="0" t="s">
        <v>98</v>
      </c>
      <c r="C10381" s="6" t="n">
        <f aca="false">Sens!C10358*self_build*tk_cxfac/1000</f>
        <v>6.2083</v>
      </c>
      <c r="D10381" s="6" t="n">
        <f aca="false">Sens!D10358*self_build*tk_cxfac/1000</f>
        <v>9.3758</v>
      </c>
      <c r="E10381" s="6" t="n">
        <f aca="false">Sens!E10358*self_build*tk_cxfac/1000</f>
        <v>18.6249</v>
      </c>
      <c r="F10381" s="6" t="n">
        <f aca="false">Sens!F10358*self_build*tk_cxfac/1000</f>
        <v>31.935179717</v>
      </c>
      <c r="G10381" s="6" t="n">
        <f aca="false">Sens!G10358*self_build*tk_cxfac/1000</f>
        <v>34.545199717</v>
      </c>
      <c r="H10381" s="6" t="n">
        <f aca="false">Sens!H10358*self_build*tk_cxfac/1000</f>
        <v>34.545199717</v>
      </c>
      <c r="I10381" s="6" t="n">
        <f aca="false">Sens!I10358*self_build*tk_cxfac/1000</f>
        <v>24.4782641361767</v>
      </c>
      <c r="J10381" s="6" t="n">
        <f aca="false">Sens!J10358*self_build*tk_cxfac/1000</f>
        <v>14.9008938380769</v>
      </c>
      <c r="K10381" s="6" t="n">
        <f aca="false">Sens!K10358*self_build*tk_cxfac/1000</f>
        <v>5.52576771375761</v>
      </c>
    </row>
    <row r="10382" customFormat="false" ht="17.15" hidden="false" customHeight="false" outlineLevel="0" collapsed="false">
      <c r="A10382" s="0" t="s">
        <v>997</v>
      </c>
      <c r="B10382" s="0" t="s">
        <v>98</v>
      </c>
      <c r="F10382" s="15" t="n">
        <f aca="false">capex_floor27-Sens!F10380-Sens!F10381-Sens!F10478</f>
        <v>0.0551346452575601</v>
      </c>
      <c r="L10382" s="12" t="s">
        <v>998</v>
      </c>
    </row>
    <row r="10383" customFormat="false" ht="17.15" hidden="false" customHeight="false" outlineLevel="0" collapsed="false">
      <c r="A10383" s="0" t="s">
        <v>999</v>
      </c>
      <c r="B10383" s="0" t="s">
        <v>98</v>
      </c>
      <c r="F10383" s="6" t="n">
        <f aca="false">MAX(0,Sens!F10382)</f>
        <v>0.0551346452575601</v>
      </c>
    </row>
    <row r="10384" customFormat="false" ht="17.15" hidden="false" customHeight="false" outlineLevel="0" collapsed="false">
      <c r="A10384" s="0" t="s">
        <v>1000</v>
      </c>
      <c r="B10384" s="0" t="s">
        <v>98</v>
      </c>
      <c r="C10384" s="6" t="n">
        <f aca="false">Sens!C10380</f>
        <v>22.5333845916667</v>
      </c>
      <c r="D10384" s="6" t="n">
        <f aca="false">Sens!D10380</f>
        <v>34.0300093833333</v>
      </c>
      <c r="E10384" s="6" t="n">
        <f aca="false">Sens!E10380</f>
        <v>67.600153775</v>
      </c>
      <c r="F10384" s="6" t="n">
        <f aca="false">Sens!F10380</f>
        <v>136.51872432512</v>
      </c>
      <c r="G10384" s="6" t="n">
        <f aca="false">Sens!G10380</f>
        <v>157.399275932048</v>
      </c>
      <c r="H10384" s="6" t="n">
        <f aca="false">Sens!H10380</f>
        <v>162.260804347512</v>
      </c>
      <c r="I10384" s="6" t="n">
        <f aca="false">Sens!I10380</f>
        <v>144.136569485434</v>
      </c>
      <c r="J10384" s="6" t="n">
        <f aca="false">Sens!J10380</f>
        <v>114.029037357864</v>
      </c>
      <c r="K10384" s="6" t="n">
        <f aca="false">Sens!K10380</f>
        <v>113.437085350975</v>
      </c>
    </row>
    <row r="10385" customFormat="false" ht="17.15" hidden="false" customHeight="false" outlineLevel="0" collapsed="false">
      <c r="A10385" s="0" t="s">
        <v>1001</v>
      </c>
      <c r="B10385" s="0" t="s">
        <v>98</v>
      </c>
      <c r="C10385" s="6" t="n">
        <f aca="false">Sens!C10384+Sens!C10381</f>
        <v>28.7416845916667</v>
      </c>
      <c r="D10385" s="6" t="n">
        <f aca="false">Sens!D10384+Sens!D10381</f>
        <v>43.4058093833333</v>
      </c>
      <c r="E10385" s="6" t="n">
        <f aca="false">Sens!E10384+Sens!E10381</f>
        <v>86.225053775</v>
      </c>
      <c r="F10385" s="6" t="n">
        <f aca="false">Sens!F10384+Sens!F10381</f>
        <v>168.45390404212</v>
      </c>
      <c r="G10385" s="6" t="n">
        <f aca="false">Sens!G10384+Sens!G10381</f>
        <v>191.944475649048</v>
      </c>
      <c r="H10385" s="6" t="n">
        <f aca="false">Sens!H10384+Sens!H10381</f>
        <v>196.806004064512</v>
      </c>
      <c r="I10385" s="6" t="n">
        <f aca="false">Sens!I10384+Sens!I10381</f>
        <v>168.61483362161</v>
      </c>
      <c r="J10385" s="6" t="n">
        <f aca="false">Sens!J10384+Sens!J10381</f>
        <v>128.92993119594</v>
      </c>
      <c r="K10385" s="6" t="n">
        <f aca="false">Sens!K10384+Sens!K10381</f>
        <v>118.962853064733</v>
      </c>
      <c r="L10385" s="12" t="s">
        <v>1002</v>
      </c>
    </row>
    <row r="10386" customFormat="false" ht="17.15" hidden="false" customHeight="false" outlineLevel="0" collapsed="false">
      <c r="A10386" s="0" t="s">
        <v>1003</v>
      </c>
      <c r="B10386" s="0" t="s">
        <v>98</v>
      </c>
      <c r="E10386" s="6" t="n">
        <f aca="false">(Sens!C10384*IF(2&lt;life_it,1,IF(2=life_it,0.5,0))+Sens!D10384*IF(1&lt;life_it,1,IF(1=life_it,0.5,0))+Sens!E10384*0.5)/life_it</f>
        <v>15.0605784770833</v>
      </c>
      <c r="F10386" s="6" t="n">
        <f aca="false">(Sens!C10384*IF(3&lt;life_it,1,IF(3=life_it,0.5,0))+Sens!D10384*IF(2&lt;life_it,1,IF(2=life_it,0.5,0))+Sens!E10384*IF(1&lt;life_it,1,IF(1=life_it,0.5,0))+Sens!F10384*0.5)/life_it</f>
        <v>32.0704849854266</v>
      </c>
      <c r="G10386" s="6" t="n">
        <f aca="false">(Sens!C10384*IF(4&lt;life_it,1,IF(4=life_it,0.5,0))+Sens!D10384*IF(3&lt;life_it,1,IF(3=life_it,0.5,0))+Sens!E10384*IF(2&lt;life_it,1,IF(2=life_it,0.5,0))+Sens!F10384*IF(1&lt;life_it,1,IF(1=life_it,0.5,0))+Sens!G10384*0.5)/life_it</f>
        <v>56.5636516735239</v>
      </c>
      <c r="H10386" s="6" t="n">
        <f aca="false">(Sens!C10384*IF(5&lt;life_it,1,IF(5=life_it,0.5,0))+Sens!D10384*IF(4&lt;life_it,1,IF(4=life_it,0.5,0))+Sens!E10384*IF(3&lt;life_it,1,IF(3=life_it,0.5,0))+Sens!F10384*IF(2&lt;life_it,1,IF(2=life_it,0.5,0))+Sens!G10384*IF(1&lt;life_it,1,IF(1=life_it,0.5,0))+Sens!H10384*0.5)/life_it</f>
        <v>83.2019916968207</v>
      </c>
      <c r="I10386" s="6" t="n">
        <f aca="false">(Sens!C10384*IF(6&lt;life_it,1,IF(6=life_it,0.5,0))+Sens!D10384*IF(5&lt;life_it,1,IF(5=life_it,0.5,0))+Sens!E10384*IF(4&lt;life_it,1,IF(4=life_it,0.5,0))+Sens!F10384*IF(3&lt;life_it,1,IF(3=life_it,0.5,0))+Sens!G10384*IF(2&lt;life_it,1,IF(2=life_it,0.5,0))+Sens!H10384*IF(1&lt;life_it,1,IF(1=life_it,0.5,0))+Sens!I10384*0.5)/life_it</f>
        <v>106.857324133594</v>
      </c>
      <c r="J10386" s="6" t="n">
        <f aca="false">(Sens!C10384*IF(7&lt;life_it,1,IF(7=life_it,0.5,0))+Sens!D10384*IF(6&lt;life_it,1,IF(6=life_it,0.5,0))+Sens!E10384*IF(5&lt;life_it,1,IF(5=life_it,0.5,0))+Sens!F10384*IF(4&lt;life_it,1,IF(4=life_it,0.5,0))+Sens!G10384*IF(3&lt;life_it,1,IF(3=life_it,0.5,0))+Sens!H10384*IF(2&lt;life_it,1,IF(2=life_it,0.5,0))+Sens!I10384*IF(1&lt;life_it,1,IF(1=life_it,0.5,0))+Sens!J10384*0.5)/life_it</f>
        <v>123.657508539285</v>
      </c>
      <c r="K10386" s="6" t="n">
        <f aca="false">(Sens!C10384*IF(8&lt;life_it,1,IF(8=life_it,0.5,0))+Sens!D10384*IF(7&lt;life_it,1,IF(7=life_it,0.5,0))+Sens!E10384*IF(6&lt;life_it,1,IF(6=life_it,0.5,0))+Sens!F10384*IF(5&lt;life_it,1,IF(5=life_it,0.5,0))+Sens!G10384*IF(4&lt;life_it,1,IF(4=life_it,0.5,0))+Sens!H10384*IF(3&lt;life_it,1,IF(3=life_it,0.5,0))+Sens!I10384*IF(2&lt;life_it,1,IF(2=life_it,0.5,0))+Sens!J10384*IF(1&lt;life_it,1,IF(1=life_it,0.5,0))+Sens!K10384*0.5)/life_it</f>
        <v>134.143838501827</v>
      </c>
    </row>
    <row r="10387" customFormat="false" ht="17.15" hidden="false" customHeight="false" outlineLevel="0" collapsed="false">
      <c r="A10387" s="0" t="s">
        <v>1004</v>
      </c>
      <c r="B10387" s="0" t="s">
        <v>98</v>
      </c>
      <c r="E10387" s="6" t="n">
        <f aca="false">(Sens!C10381*IF(2&lt;life_fac,1,IF(2=life_fac,0.5,0))+Sens!D10381*IF(1&lt;life_fac,1,IF(1=life_fac,0.5,0))+Sens!E10381*0.5)/life_fac</f>
        <v>1.2448275</v>
      </c>
      <c r="F10387" s="6" t="n">
        <f aca="false">(Sens!C10381*IF(3&lt;life_fac,1,IF(3=life_fac,0.5,0))+Sens!D10381*IF(2&lt;life_fac,1,IF(2=life_fac,0.5,0))+Sens!E10381*IF(1&lt;life_fac,1,IF(1=life_fac,0.5,0))+Sens!F10381*0.5)/life_fac</f>
        <v>2.508829492925</v>
      </c>
      <c r="G10387" s="6" t="n">
        <f aca="false">(Sens!C10381*IF(4&lt;life_fac,1,IF(4=life_fac,0.5,0))+Sens!D10381*IF(3&lt;life_fac,1,IF(3=life_fac,0.5,0))+Sens!E10381*IF(2&lt;life_fac,1,IF(2=life_fac,0.5,0))+Sens!F10381*IF(1&lt;life_fac,1,IF(1=life_fac,0.5,0))+Sens!G10381*0.5)/life_fac</f>
        <v>4.170838978775</v>
      </c>
      <c r="H10387" s="6" t="n">
        <f aca="false">(Sens!C10381*IF(5&lt;life_fac,1,IF(5=life_fac,0.5,0))+Sens!D10381*IF(4&lt;life_fac,1,IF(4=life_fac,0.5,0))+Sens!E10381*IF(3&lt;life_fac,1,IF(3=life_fac,0.5,0))+Sens!F10381*IF(2&lt;life_fac,1,IF(2=life_fac,0.5,0))+Sens!G10381*IF(1&lt;life_fac,1,IF(1=life_fac,0.5,0))+Sens!H10381*0.5)/life_fac</f>
        <v>5.898098964625</v>
      </c>
      <c r="I10387" s="6" t="n">
        <f aca="false">(Sens!C10381*IF(6&lt;life_fac,1,IF(6=life_fac,0.5,0))+Sens!D10381*IF(5&lt;life_fac,1,IF(5=life_fac,0.5,0))+Sens!E10381*IF(4&lt;life_fac,1,IF(4=life_fac,0.5,0))+Sens!F10381*IF(3&lt;life_fac,1,IF(3=life_fac,0.5,0))+Sens!G10381*IF(2&lt;life_fac,1,IF(2=life_fac,0.5,0))+Sens!H10381*IF(1&lt;life_fac,1,IF(1=life_fac,0.5,0))+Sens!I10381*0.5)/life_fac</f>
        <v>7.37368556095442</v>
      </c>
      <c r="J10387" s="6" t="n">
        <f aca="false">(Sens!C10381*IF(7&lt;life_fac,1,IF(7=life_fac,0.5,0))+Sens!D10381*IF(6&lt;life_fac,1,IF(6=life_fac,0.5,0))+Sens!E10381*IF(5&lt;life_fac,1,IF(5=life_fac,0.5,0))+Sens!F10381*IF(4&lt;life_fac,1,IF(4=life_fac,0.5,0))+Sens!G10381*IF(3&lt;life_fac,1,IF(3=life_fac,0.5,0))+Sens!H10381*IF(2&lt;life_fac,1,IF(2=life_fac,0.5,0))+Sens!I10381*IF(1&lt;life_fac,1,IF(1=life_fac,0.5,0))+Sens!J10381*0.5)/life_fac</f>
        <v>8.35816451031075</v>
      </c>
      <c r="K10387" s="6" t="n">
        <f aca="false">(Sens!C10381*IF(8&lt;life_fac,1,IF(8=life_fac,0.5,0))+Sens!D10381*IF(7&lt;life_fac,1,IF(7=life_fac,0.5,0))+Sens!E10381*IF(6&lt;life_fac,1,IF(6=life_fac,0.5,0))+Sens!F10381*IF(5&lt;life_fac,1,IF(5=life_fac,0.5,0))+Sens!G10381*IF(4&lt;life_fac,1,IF(4=life_fac,0.5,0))+Sens!H10381*IF(3&lt;life_fac,1,IF(3=life_fac,0.5,0))+Sens!I10381*IF(2&lt;life_fac,1,IF(2=life_fac,0.5,0))+Sens!J10381*IF(1&lt;life_fac,1,IF(1=life_fac,0.5,0))+Sens!K10381*0.5)/life_fac</f>
        <v>8.86883104910662</v>
      </c>
    </row>
    <row r="10388" customFormat="false" ht="17.15" hidden="false" customHeight="false" outlineLevel="0" collapsed="false">
      <c r="A10388" s="0" t="s">
        <v>1005</v>
      </c>
      <c r="B10388" s="0" t="s">
        <v>98</v>
      </c>
      <c r="E10388" s="6" t="n">
        <f aca="false">Sens!E10386+Sens!E10387</f>
        <v>16.3054059770833</v>
      </c>
      <c r="F10388" s="6" t="n">
        <f aca="false">Sens!F10386+Sens!F10387</f>
        <v>34.5793144783516</v>
      </c>
      <c r="G10388" s="6" t="n">
        <f aca="false">Sens!G10386+Sens!G10387</f>
        <v>60.7344906522989</v>
      </c>
      <c r="H10388" s="6" t="n">
        <f aca="false">Sens!H10386+Sens!H10387</f>
        <v>89.1000906614457</v>
      </c>
      <c r="I10388" s="6" t="n">
        <f aca="false">Sens!I10386+Sens!I10387</f>
        <v>114.231009694548</v>
      </c>
      <c r="J10388" s="6" t="n">
        <f aca="false">Sens!J10386+Sens!J10387</f>
        <v>132.015673049596</v>
      </c>
      <c r="K10388" s="6" t="n">
        <f aca="false">Sens!K10386+Sens!K10387</f>
        <v>143.012669550934</v>
      </c>
    </row>
    <row r="10389" customFormat="false" ht="17.15" hidden="false" customHeight="false" outlineLevel="0" collapsed="false">
      <c r="A10389" s="0" t="s">
        <v>1006</v>
      </c>
      <c r="B10389" s="0" t="s">
        <v>98</v>
      </c>
      <c r="E10389" s="6" t="n">
        <f aca="false">Sens!E10376-Sens!E10375*Sens!E10388</f>
        <v>8.92707889977379</v>
      </c>
      <c r="F10389" s="6" t="n">
        <f aca="false">Sens!F10376-Sens!F10375*Sens!F10388</f>
        <v>22.4686207259278</v>
      </c>
      <c r="G10389" s="6" t="n">
        <f aca="false">Sens!G10376-Sens!G10375*Sens!G10388</f>
        <v>43.2797528675735</v>
      </c>
      <c r="H10389" s="6" t="n">
        <f aca="false">Sens!H10376-Sens!H10375*Sens!H10388</f>
        <v>69.3477099347341</v>
      </c>
      <c r="I10389" s="6" t="n">
        <f aca="false">Sens!I10376-Sens!I10375*Sens!I10388</f>
        <v>86.8523667140836</v>
      </c>
      <c r="J10389" s="6" t="n">
        <f aca="false">Sens!J10376-Sens!J10375*Sens!J10388</f>
        <v>98.9882647234202</v>
      </c>
      <c r="K10389" s="6" t="n">
        <f aca="false">Sens!K10376-Sens!K10375*Sens!K10388</f>
        <v>106.918985011399</v>
      </c>
    </row>
    <row r="10390" customFormat="false" ht="17.15" hidden="false" customHeight="false" outlineLevel="0" collapsed="false">
      <c r="A10390" s="3" t="s">
        <v>1871</v>
      </c>
    </row>
    <row r="10391" customFormat="false" ht="15" hidden="false" customHeight="false" outlineLevel="0" collapsed="false">
      <c r="A10391" s="4" t="s">
        <v>43</v>
      </c>
      <c r="B10391" s="4" t="s">
        <v>65</v>
      </c>
      <c r="C10391" s="23" t="s">
        <v>942</v>
      </c>
      <c r="D10391" s="23" t="s">
        <v>943</v>
      </c>
      <c r="E10391" s="23" t="s">
        <v>944</v>
      </c>
      <c r="F10391" s="23" t="s">
        <v>945</v>
      </c>
      <c r="G10391" s="23" t="s">
        <v>946</v>
      </c>
      <c r="H10391" s="23" t="s">
        <v>947</v>
      </c>
      <c r="I10391" s="23" t="s">
        <v>948</v>
      </c>
      <c r="J10391" s="23" t="s">
        <v>949</v>
      </c>
      <c r="K10391" s="23" t="s">
        <v>950</v>
      </c>
      <c r="L10391" s="4" t="s">
        <v>47</v>
      </c>
    </row>
    <row r="10392" customFormat="false" ht="17.15" hidden="false" customHeight="false" outlineLevel="0" collapsed="false">
      <c r="A10392" s="0" t="s">
        <v>1025</v>
      </c>
      <c r="B10392" s="0" t="s">
        <v>98</v>
      </c>
      <c r="D10392" s="6" t="n">
        <f aca="false">Sens!D10370</f>
        <v>12.9359794422418</v>
      </c>
      <c r="E10392" s="6" t="n">
        <f aca="false">Sens!E10370</f>
        <v>27.8095064661409</v>
      </c>
      <c r="F10392" s="6" t="n">
        <f aca="false">Sens!F10370</f>
        <v>59.1034165651511</v>
      </c>
      <c r="G10392" s="6" t="n">
        <f aca="false">Sens!G10370</f>
        <v>103.451498789198</v>
      </c>
      <c r="H10392" s="6" t="n">
        <f aca="false">Sens!H10370</f>
        <v>153.816719989035</v>
      </c>
      <c r="I10392" s="6" t="n">
        <f aca="false">Sens!I10370</f>
        <v>192.699478690852</v>
      </c>
      <c r="J10392" s="6" t="n">
        <f aca="false">Sens!J10370</f>
        <v>219.794102584244</v>
      </c>
      <c r="K10392" s="6" t="n">
        <f aca="false">Sens!K10370</f>
        <v>236.757046905022</v>
      </c>
    </row>
    <row r="10393" customFormat="false" ht="17.15" hidden="false" customHeight="false" outlineLevel="0" collapsed="false">
      <c r="A10393" s="0" t="s">
        <v>1026</v>
      </c>
      <c r="B10393" s="0" t="s">
        <v>98</v>
      </c>
      <c r="D10393" s="6" t="n">
        <f aca="false">Q!L6-Sens!D10392</f>
        <v>59.6740205577583</v>
      </c>
      <c r="E10393" s="6" t="n">
        <f aca="false">Q!M6-Sens!E10392</f>
        <v>74.1284935338591</v>
      </c>
      <c r="F10393" s="6" t="n">
        <f aca="false">Q!$I$6+(Sens!F10392+Sens!E10393*(1+Sens!F10394))*(1-Q!$E$6/Q!M6)-Sens!F10392</f>
        <v>90.4866018070994</v>
      </c>
      <c r="G10393" s="6" t="n">
        <f aca="false">Sens!F10393*(1+Sens!G10394)</f>
        <v>107.511588557154</v>
      </c>
      <c r="H10393" s="6" t="n">
        <f aca="false">Sens!G10393*(1+Sens!H10394)</f>
        <v>124.832989325489</v>
      </c>
      <c r="I10393" s="6" t="n">
        <f aca="false">Sens!H10393*(1+Sens!I10394)</f>
        <v>141.56992589148</v>
      </c>
      <c r="J10393" s="6" t="n">
        <f aca="false">Sens!I10393*(1+Sens!J10394)</f>
        <v>156.723190479428</v>
      </c>
      <c r="K10393" s="6" t="n">
        <f aca="false">Sens!J10393*(1+Sens!K10394)</f>
        <v>169.261045717783</v>
      </c>
      <c r="L10393" s="12" t="s">
        <v>1027</v>
      </c>
    </row>
    <row r="10394" customFormat="false" ht="15" hidden="false" customHeight="false" outlineLevel="0" collapsed="false">
      <c r="A10394" s="1" t="s">
        <v>1028</v>
      </c>
      <c r="B10394" s="0" t="s">
        <v>168</v>
      </c>
      <c r="E10394" s="7" t="n">
        <f aca="false">Sens!E10393/Sens!D10393-1</f>
        <v>0.242223883039864</v>
      </c>
      <c r="F10394" s="7" t="n">
        <f aca="false">Sens!$E$10394+(glt_azo-Sens!$E$10394)*MIN(1,(Sens!F10351-base_fy)/n_conv)</f>
        <v>0.215186569199887</v>
      </c>
      <c r="G10394" s="7" t="n">
        <f aca="false">Sens!$E$10394+(glt_azo-Sens!$E$10394)*MIN(1,(Sens!G10351-base_fy)/n_conv)</f>
        <v>0.18814925535991</v>
      </c>
      <c r="H10394" s="7" t="n">
        <f aca="false">Sens!$E$10394+(glt_azo-Sens!$E$10394)*MIN(1,(Sens!H10351-base_fy)/n_conv)</f>
        <v>0.161111941519932</v>
      </c>
      <c r="I10394" s="7" t="n">
        <f aca="false">Sens!$E$10394+(glt_azo-Sens!$E$10394)*MIN(1,(Sens!I10351-base_fy)/n_conv)</f>
        <v>0.134074627679955</v>
      </c>
      <c r="J10394" s="7" t="n">
        <f aca="false">Sens!$E$10394+(glt_azo-Sens!$E$10394)*MIN(1,(Sens!J10351-base_fy)/n_conv)</f>
        <v>0.107037313839977</v>
      </c>
      <c r="K10394" s="7" t="n">
        <f aca="false">Sens!$E$10394+(glt_azo-Sens!$E$10394)*MIN(1,(Sens!K10351-base_fy)/n_conv)</f>
        <v>0.08</v>
      </c>
    </row>
    <row r="10395" customFormat="false" ht="15" hidden="false" customHeight="false" outlineLevel="0" collapsed="false">
      <c r="A10395" s="0" t="s">
        <v>1029</v>
      </c>
      <c r="B10395" s="0" t="s">
        <v>98</v>
      </c>
      <c r="D10395" s="6" t="n">
        <f aca="false">Sens!D10392+Sens!D10393</f>
        <v>72.61</v>
      </c>
      <c r="E10395" s="6" t="n">
        <f aca="false">Sens!E10392+Sens!E10393</f>
        <v>101.938</v>
      </c>
      <c r="F10395" s="6" t="n">
        <f aca="false">Sens!F10392+Sens!F10393</f>
        <v>149.59001837225</v>
      </c>
      <c r="G10395" s="6" t="n">
        <f aca="false">Sens!G10392+Sens!G10393</f>
        <v>210.963087346352</v>
      </c>
      <c r="H10395" s="6" t="n">
        <f aca="false">Sens!H10392+Sens!H10393</f>
        <v>278.649709314524</v>
      </c>
      <c r="I10395" s="6" t="n">
        <f aca="false">Sens!I10392+Sens!I10393</f>
        <v>334.269404582332</v>
      </c>
      <c r="J10395" s="6" t="n">
        <f aca="false">Sens!J10392+Sens!J10393</f>
        <v>376.517293063672</v>
      </c>
      <c r="K10395" s="6" t="n">
        <f aca="false">Sens!K10392+Sens!K10393</f>
        <v>406.018092622804</v>
      </c>
    </row>
    <row r="10396" customFormat="false" ht="17.15" hidden="false" customHeight="false" outlineLevel="0" collapsed="false">
      <c r="A10396" s="0" t="s">
        <v>1030</v>
      </c>
      <c r="B10396" s="1" t="s">
        <v>613</v>
      </c>
      <c r="C10396" s="30" t="n">
        <f aca="false">cop_s24</f>
        <v>1</v>
      </c>
      <c r="D10396" s="30" t="n">
        <f aca="false">cop_s25</f>
        <v>5</v>
      </c>
      <c r="E10396" s="30" t="n">
        <f aca="false">cop_s26</f>
        <v>30</v>
      </c>
      <c r="F10396" s="30" t="n">
        <f aca="false">Sens!E10396+cop_add_A</f>
        <v>60</v>
      </c>
      <c r="G10396" s="30" t="n">
        <f aca="false">Sens!F10396+cop_add_A</f>
        <v>90</v>
      </c>
      <c r="H10396" s="30" t="n">
        <f aca="false">Sens!G10396+cop_add_A</f>
        <v>120</v>
      </c>
      <c r="I10396" s="30" t="n">
        <f aca="false">Sens!H10396+cop_add_A*cop_tail</f>
        <v>135</v>
      </c>
      <c r="J10396" s="30" t="n">
        <f aca="false">Sens!I10396+cop_add_A*cop_tail</f>
        <v>150</v>
      </c>
      <c r="K10396" s="30" t="n">
        <f aca="false">Sens!J10396+cop_add_A*cop_tail</f>
        <v>165</v>
      </c>
      <c r="L10396" s="12" t="s">
        <v>1031</v>
      </c>
    </row>
    <row r="10397" customFormat="false" ht="17.15" hidden="false" customHeight="false" outlineLevel="0" collapsed="false">
      <c r="A10397" s="0" t="s">
        <v>1032</v>
      </c>
      <c r="B10397" s="0" t="s">
        <v>98</v>
      </c>
      <c r="D10397" s="6" t="n">
        <f aca="false">(Sens!C10396+Sens!D10396)/2*cop_px*12/1000</f>
        <v>0.9</v>
      </c>
      <c r="E10397" s="6" t="n">
        <f aca="false">(Sens!D10396+Sens!E10396)/2*cop_px*12/1000</f>
        <v>5.25</v>
      </c>
      <c r="F10397" s="6" t="n">
        <f aca="false">(Sens!E10396+Sens!F10396)/2*cop_px*12/1000</f>
        <v>13.5</v>
      </c>
      <c r="G10397" s="6" t="n">
        <f aca="false">(Sens!F10396+Sens!G10396)/2*cop_px*12/1000</f>
        <v>22.5</v>
      </c>
      <c r="H10397" s="6" t="n">
        <f aca="false">(Sens!G10396+Sens!H10396)/2*cop_px*12/1000</f>
        <v>31.5</v>
      </c>
      <c r="I10397" s="6" t="n">
        <f aca="false">(Sens!H10396+Sens!I10396)/2*cop_px*12/1000</f>
        <v>38.25</v>
      </c>
      <c r="J10397" s="6" t="n">
        <f aca="false">(Sens!I10396+Sens!J10396)/2*cop_px*12/1000</f>
        <v>42.75</v>
      </c>
      <c r="K10397" s="6" t="n">
        <f aca="false">(Sens!J10396+Sens!K10396)/2*cop_px*12/1000</f>
        <v>47.25</v>
      </c>
      <c r="L10397" s="1" t="s">
        <v>1033</v>
      </c>
    </row>
    <row r="10398" customFormat="false" ht="17.15" hidden="false" customHeight="false" outlineLevel="0" collapsed="false">
      <c r="A10398" s="0" t="s">
        <v>1034</v>
      </c>
      <c r="B10398" s="0" t="s">
        <v>98</v>
      </c>
      <c r="D10398" s="6" t="n">
        <f aca="false">Q!L7-Sens!D10397</f>
        <v>83.705</v>
      </c>
      <c r="E10398" s="6" t="n">
        <f aca="false">Q!M7-Sens!E10397</f>
        <v>95.049</v>
      </c>
      <c r="F10398" s="6" t="n">
        <f aca="false">Q!$I$7+(Sens!E10398*(1+Sens!F10399)+Sens!F10397)*(1-Q!$E$7/Q!M7)-Sens!F10397</f>
        <v>106.229653205718</v>
      </c>
      <c r="G10398" s="6" t="n">
        <f aca="false">Sens!F10398*(1+Sens!G10399)</f>
        <v>118.306092647576</v>
      </c>
      <c r="H10398" s="6" t="n">
        <f aca="false">Sens!G10398*(1+Sens!H10399)</f>
        <v>130.463437602768</v>
      </c>
      <c r="I10398" s="6" t="n">
        <f aca="false">Sens!H10398*(1+Sens!I10399)</f>
        <v>142.445354741933</v>
      </c>
      <c r="J10398" s="6" t="n">
        <f aca="false">Sens!I10398*(1+Sens!J10399)</f>
        <v>153.972117481571</v>
      </c>
      <c r="K10398" s="6" t="n">
        <f aca="false">Sens!J10398*(1+Sens!K10399)</f>
        <v>164.75016570528</v>
      </c>
      <c r="L10398" s="12" t="s">
        <v>1035</v>
      </c>
    </row>
    <row r="10399" customFormat="false" ht="15" hidden="false" customHeight="false" outlineLevel="0" collapsed="false">
      <c r="A10399" s="1" t="s">
        <v>1028</v>
      </c>
      <c r="B10399" s="0" t="s">
        <v>168</v>
      </c>
      <c r="E10399" s="7" t="n">
        <f aca="false">Sens!E10398/Sens!D10398-1</f>
        <v>0.135523564900544</v>
      </c>
      <c r="F10399" s="7" t="n">
        <f aca="false">Sens!$E$10399+(glt_m365b-Sens!$E$10399)*MIN(1,(Sens!F10351-base_fy)/n_conv)</f>
        <v>0.124602970750453</v>
      </c>
      <c r="G10399" s="7" t="n">
        <f aca="false">Sens!$E$10399+(glt_m365b-Sens!$E$10399)*MIN(1,(Sens!G10351-base_fy)/n_conv)</f>
        <v>0.113682376600363</v>
      </c>
      <c r="H10399" s="7" t="n">
        <f aca="false">Sens!$E$10399+(glt_m365b-Sens!$E$10399)*MIN(1,(Sens!H10351-base_fy)/n_conv)</f>
        <v>0.102761782450272</v>
      </c>
      <c r="I10399" s="7" t="n">
        <f aca="false">Sens!$E$10399+(glt_m365b-Sens!$E$10399)*MIN(1,(Sens!I10351-base_fy)/n_conv)</f>
        <v>0.0918411883001813</v>
      </c>
      <c r="J10399" s="7" t="n">
        <f aca="false">Sens!$E$10399+(glt_m365b-Sens!$E$10399)*MIN(1,(Sens!J10351-base_fy)/n_conv)</f>
        <v>0.0809205941500906</v>
      </c>
      <c r="K10399" s="7" t="n">
        <f aca="false">Sens!$E$10399+(glt_m365b-Sens!$E$10399)*MIN(1,(Sens!K10351-base_fy)/n_conv)</f>
        <v>0.07</v>
      </c>
    </row>
    <row r="10400" customFormat="false" ht="15" hidden="false" customHeight="false" outlineLevel="0" collapsed="false">
      <c r="A10400" s="0" t="s">
        <v>1036</v>
      </c>
      <c r="B10400" s="0" t="s">
        <v>98</v>
      </c>
      <c r="D10400" s="6" t="n">
        <f aca="false">Sens!D10398+Sens!D10397</f>
        <v>84.605</v>
      </c>
      <c r="E10400" s="6" t="n">
        <f aca="false">Sens!E10398+Sens!E10397</f>
        <v>100.299</v>
      </c>
      <c r="F10400" s="6" t="n">
        <f aca="false">Sens!F10398+Sens!F10397</f>
        <v>119.729653205718</v>
      </c>
      <c r="G10400" s="6" t="n">
        <f aca="false">Sens!G10398+Sens!G10397</f>
        <v>140.806092647576</v>
      </c>
      <c r="H10400" s="6" t="n">
        <f aca="false">Sens!H10398+Sens!H10397</f>
        <v>161.963437602768</v>
      </c>
      <c r="I10400" s="6" t="n">
        <f aca="false">Sens!I10398+Sens!I10397</f>
        <v>180.695354741933</v>
      </c>
      <c r="J10400" s="6" t="n">
        <f aca="false">Sens!J10398+Sens!J10397</f>
        <v>196.722117481571</v>
      </c>
      <c r="K10400" s="6" t="n">
        <f aca="false">Sens!K10398+Sens!K10397</f>
        <v>212.00016570528</v>
      </c>
    </row>
    <row r="10401" customFormat="false" ht="17.15" hidden="false" customHeight="false" outlineLevel="0" collapsed="false">
      <c r="A10401" s="0" t="s">
        <v>1037</v>
      </c>
      <c r="B10401" s="0" t="s">
        <v>98</v>
      </c>
      <c r="D10401" s="6" t="n">
        <f aca="false">Q!L8</f>
        <v>35.391</v>
      </c>
      <c r="E10401" s="6" t="n">
        <f aca="false">Q!M8</f>
        <v>37.285</v>
      </c>
      <c r="F10401" s="6" t="n">
        <f aca="false">Q!$I$8+(Q!M8-Q!$E$8)*(1+Sens!F10402)</f>
        <v>38.3851437782675</v>
      </c>
      <c r="G10401" s="6" t="n">
        <f aca="false">Sens!F10401*(1+Sens!G10402)</f>
        <v>40.0105353288615</v>
      </c>
      <c r="H10401" s="6" t="n">
        <f aca="false">Sens!G10401*(1+Sens!H10402)</f>
        <v>41.4812512033683</v>
      </c>
      <c r="I10401" s="6" t="n">
        <f aca="false">Sens!H10401*(1+Sens!I10402)</f>
        <v>42.7743107216329</v>
      </c>
      <c r="J10401" s="6" t="n">
        <f aca="false">Sens!I10401*(1+Sens!J10402)</f>
        <v>43.8687373064601</v>
      </c>
      <c r="K10401" s="6" t="n">
        <f aca="false">Sens!J10401*(1+Sens!K10402)</f>
        <v>44.7461120525893</v>
      </c>
      <c r="L10401" s="12" t="s">
        <v>1038</v>
      </c>
    </row>
    <row r="10402" customFormat="false" ht="15" hidden="false" customHeight="false" outlineLevel="0" collapsed="false">
      <c r="A10402" s="1" t="s">
        <v>1028</v>
      </c>
      <c r="B10402" s="0" t="s">
        <v>168</v>
      </c>
      <c r="E10402" s="7" t="n">
        <f aca="false">Sens!E10401/Sens!D10401-1</f>
        <v>0.0535164307309768</v>
      </c>
      <c r="F10402" s="7" t="n">
        <f aca="false">Sens!$E$10402+(glt_lic-Sens!$E$10402)*MIN(1,(Sens!F10351-base_fy)/n_conv)</f>
        <v>0.0479303589424807</v>
      </c>
      <c r="G10402" s="7" t="n">
        <f aca="false">Sens!$E$10402+(glt_lic-Sens!$E$10402)*MIN(1,(Sens!G10351-base_fy)/n_conv)</f>
        <v>0.0423442871539845</v>
      </c>
      <c r="H10402" s="7" t="n">
        <f aca="false">Sens!$E$10402+(glt_lic-Sens!$E$10402)*MIN(1,(Sens!H10351-base_fy)/n_conv)</f>
        <v>0.0367582153654884</v>
      </c>
      <c r="I10402" s="7" t="n">
        <f aca="false">Sens!$E$10402+(glt_lic-Sens!$E$10402)*MIN(1,(Sens!I10351-base_fy)/n_conv)</f>
        <v>0.0311721435769923</v>
      </c>
      <c r="J10402" s="7" t="n">
        <f aca="false">Sens!$E$10402+(glt_lic-Sens!$E$10402)*MIN(1,(Sens!J10351-base_fy)/n_conv)</f>
        <v>0.0255860717884961</v>
      </c>
      <c r="K10402" s="7" t="n">
        <f aca="false">Sens!$E$10402+(glt_lic-Sens!$E$10402)*MIN(1,(Sens!K10351-base_fy)/n_conv)</f>
        <v>0.02</v>
      </c>
    </row>
    <row r="10403" customFormat="false" ht="17.15" hidden="false" customHeight="false" outlineLevel="0" collapsed="false">
      <c r="A10403" s="0" t="s">
        <v>1039</v>
      </c>
      <c r="B10403" s="0" t="s">
        <v>98</v>
      </c>
      <c r="D10403" s="6" t="n">
        <f aca="false">Q!L9</f>
        <v>18.417</v>
      </c>
      <c r="E10403" s="6" t="n">
        <f aca="false">Q!M9</f>
        <v>20.345</v>
      </c>
      <c r="F10403" s="6" t="n">
        <f aca="false">Q!$I$9+(Q!M9-Q!$E$9)*(1+Sens!F10404)</f>
        <v>22.3161797133988</v>
      </c>
      <c r="G10403" s="6" t="n">
        <f aca="false">Sens!F10403*(1+Sens!G10404)</f>
        <v>24.3943499673233</v>
      </c>
      <c r="H10403" s="6" t="n">
        <f aca="false">Sens!G10403*(1+Sens!H10404)</f>
        <v>26.5250243109019</v>
      </c>
      <c r="I10403" s="6" t="n">
        <f aca="false">Sens!H10403*(1+Sens!I10404)</f>
        <v>28.6884573538181</v>
      </c>
      <c r="J10403" s="6" t="n">
        <f aca="false">Sens!I10403*(1+Sens!J10404)</f>
        <v>30.8624968052127</v>
      </c>
      <c r="K10403" s="6" t="n">
        <f aca="false">Sens!J10403*(1+Sens!K10404)</f>
        <v>33.0228715815776</v>
      </c>
      <c r="L10403" s="12" t="s">
        <v>1038</v>
      </c>
    </row>
    <row r="10404" customFormat="false" ht="15" hidden="false" customHeight="false" outlineLevel="0" collapsed="false">
      <c r="A10404" s="1" t="s">
        <v>1028</v>
      </c>
      <c r="B10404" s="0" t="s">
        <v>168</v>
      </c>
      <c r="E10404" s="7" t="n">
        <f aca="false">Sens!E10403/Sens!D10403-1</f>
        <v>0.104685888038225</v>
      </c>
      <c r="F10404" s="7" t="n">
        <f aca="false">Sens!$E$10404+(glt_ind-Sens!$E$10404)*MIN(1,(Sens!F10351-base_fy)/n_conv)</f>
        <v>0.0989049066985211</v>
      </c>
      <c r="G10404" s="7" t="n">
        <f aca="false">Sens!$E$10404+(glt_ind-Sens!$E$10404)*MIN(1,(Sens!G10351-base_fy)/n_conv)</f>
        <v>0.0931239253588169</v>
      </c>
      <c r="H10404" s="7" t="n">
        <f aca="false">Sens!$E$10404+(glt_ind-Sens!$E$10404)*MIN(1,(Sens!H10351-base_fy)/n_conv)</f>
        <v>0.0873429440191127</v>
      </c>
      <c r="I10404" s="7" t="n">
        <f aca="false">Sens!$E$10404+(glt_ind-Sens!$E$10404)*MIN(1,(Sens!I10351-base_fy)/n_conv)</f>
        <v>0.0815619626794085</v>
      </c>
      <c r="J10404" s="7" t="n">
        <f aca="false">Sens!$E$10404+(glt_ind-Sens!$E$10404)*MIN(1,(Sens!J10351-base_fy)/n_conv)</f>
        <v>0.0757809813397042</v>
      </c>
      <c r="K10404" s="7" t="n">
        <f aca="false">Sens!$E$10404+(glt_ind-Sens!$E$10404)*MIN(1,(Sens!K10351-base_fy)/n_conv)</f>
        <v>0.07</v>
      </c>
    </row>
    <row r="10405" customFormat="false" ht="17.15" hidden="false" customHeight="false" outlineLevel="0" collapsed="false">
      <c r="A10405" s="0" t="s">
        <v>1040</v>
      </c>
      <c r="B10405" s="0" t="s">
        <v>98</v>
      </c>
      <c r="D10405" s="6" t="n">
        <f aca="false">Q!L10</f>
        <v>7.76</v>
      </c>
      <c r="E10405" s="6" t="n">
        <f aca="false">Q!M10</f>
        <v>8.26</v>
      </c>
      <c r="F10405" s="6" t="n">
        <f aca="false">Q!$I$10+(Q!M10-Q!$E$10)*(1+Sens!F10406)</f>
        <v>8.75372082474227</v>
      </c>
      <c r="G10405" s="6" t="n">
        <f aca="false">Sens!F10405*(1+Sens!G10406)</f>
        <v>9.33399324642364</v>
      </c>
      <c r="H10405" s="6" t="n">
        <f aca="false">Sens!G10405*(1+Sens!H10406)</f>
        <v>9.96139155535851</v>
      </c>
      <c r="I10405" s="6" t="n">
        <f aca="false">Sens!H10405*(1+Sens!I10406)</f>
        <v>10.6402039077391</v>
      </c>
      <c r="J10405" s="6" t="n">
        <f aca="false">Sens!I10405*(1+Sens!J10406)</f>
        <v>11.3751458271397</v>
      </c>
      <c r="K10405" s="6" t="n">
        <f aca="false">Sens!J10405*(1+Sens!K10406)</f>
        <v>12.1714060350394</v>
      </c>
      <c r="L10405" s="12" t="s">
        <v>1038</v>
      </c>
    </row>
    <row r="10406" customFormat="false" ht="15" hidden="false" customHeight="false" outlineLevel="0" collapsed="false">
      <c r="A10406" s="1" t="s">
        <v>1028</v>
      </c>
      <c r="B10406" s="0" t="s">
        <v>168</v>
      </c>
      <c r="E10406" s="7" t="n">
        <f aca="false">Sens!E10405/Sens!D10405-1</f>
        <v>0.0644329896907216</v>
      </c>
      <c r="F10406" s="7" t="n">
        <f aca="false">Sens!$E$10406+(glt_fro-Sens!$E$10406)*MIN(1,(Sens!F10351-base_fy)/n_conv)</f>
        <v>0.065360824742268</v>
      </c>
      <c r="G10406" s="7" t="n">
        <f aca="false">Sens!$E$10406+(glt_fro-Sens!$E$10406)*MIN(1,(Sens!G10351-base_fy)/n_conv)</f>
        <v>0.0662886597938144</v>
      </c>
      <c r="H10406" s="7" t="n">
        <f aca="false">Sens!$E$10406+(glt_fro-Sens!$E$10406)*MIN(1,(Sens!H10351-base_fy)/n_conv)</f>
        <v>0.0672164948453608</v>
      </c>
      <c r="I10406" s="7" t="n">
        <f aca="false">Sens!$E$10406+(glt_fro-Sens!$E$10406)*MIN(1,(Sens!I10351-base_fy)/n_conv)</f>
        <v>0.0681443298969072</v>
      </c>
      <c r="J10406" s="7" t="n">
        <f aca="false">Sens!$E$10406+(glt_fro-Sens!$E$10406)*MIN(1,(Sens!J10351-base_fy)/n_conv)</f>
        <v>0.0690721649484536</v>
      </c>
      <c r="K10406" s="7" t="n">
        <f aca="false">Sens!$E$10406+(glt_fro-Sens!$E$10406)*MIN(1,(Sens!K10351-base_fy)/n_conv)</f>
        <v>0.07</v>
      </c>
    </row>
    <row r="10407" customFormat="false" ht="15" hidden="false" customHeight="false" outlineLevel="0" collapsed="false">
      <c r="A10407" s="0" t="s">
        <v>856</v>
      </c>
      <c r="B10407" s="0" t="s">
        <v>98</v>
      </c>
      <c r="D10407" s="6" t="n">
        <f aca="false">Sens!D10395+Sens!D10400+Sens!D10401+Sens!D10403+Sens!D10405</f>
        <v>218.783</v>
      </c>
      <c r="E10407" s="6" t="n">
        <f aca="false">Sens!E10395+Sens!E10400+Sens!E10401+Sens!E10403+Sens!E10405</f>
        <v>268.127</v>
      </c>
      <c r="F10407" s="6" t="n">
        <f aca="false">Sens!F10395+Sens!F10400+Sens!F10401+Sens!F10403+Sens!F10405</f>
        <v>338.774715894377</v>
      </c>
      <c r="G10407" s="6" t="n">
        <f aca="false">Sens!G10395+Sens!G10400+Sens!G10401+Sens!G10403+Sens!G10405</f>
        <v>425.508058536537</v>
      </c>
      <c r="H10407" s="6" t="n">
        <f aca="false">Sens!H10395+Sens!H10400+Sens!H10401+Sens!H10403+Sens!H10405</f>
        <v>518.580813986921</v>
      </c>
      <c r="I10407" s="6" t="n">
        <f aca="false">Sens!I10395+Sens!I10400+Sens!I10401+Sens!I10403+Sens!I10405</f>
        <v>597.067731307455</v>
      </c>
      <c r="J10407" s="6" t="n">
        <f aca="false">Sens!J10395+Sens!J10400+Sens!J10401+Sens!J10403+Sens!J10405</f>
        <v>659.345790484055</v>
      </c>
      <c r="K10407" s="6" t="n">
        <f aca="false">Sens!K10395+Sens!K10400+Sens!K10401+Sens!K10403+Sens!K10405</f>
        <v>707.958647997291</v>
      </c>
    </row>
    <row r="10408" customFormat="false" ht="17.15" hidden="false" customHeight="false" outlineLevel="0" collapsed="false">
      <c r="A10408" s="0" t="s">
        <v>1041</v>
      </c>
      <c r="B10408" s="0" t="s">
        <v>98</v>
      </c>
      <c r="D10408" s="6" t="n">
        <f aca="false">Q!L13</f>
        <v>22.171</v>
      </c>
      <c r="E10408" s="6" t="n">
        <f aca="false">Q!M13</f>
        <v>24.835</v>
      </c>
      <c r="F10408" s="6" t="n">
        <f aca="false">Q!$I$13+(Q!M13-Q!$E$13)*(1+Sens!F10409)</f>
        <v>27.4647245660247</v>
      </c>
      <c r="G10408" s="6" t="n">
        <f aca="false">Sens!F10408*(1+Sens!G10409)</f>
        <v>30.0309728005339</v>
      </c>
      <c r="H10408" s="6" t="n">
        <f aca="false">Sens!G10408*(1+Sens!H10409)</f>
        <v>32.435807482304</v>
      </c>
      <c r="I10408" s="6" t="n">
        <f aca="false">Sens!H10408*(1+Sens!I10409)</f>
        <v>34.5998917086668</v>
      </c>
      <c r="J10408" s="6" t="n">
        <f aca="false">Sens!I10408*(1+Sens!J10409)</f>
        <v>36.4461244099918</v>
      </c>
      <c r="K10408" s="6" t="n">
        <f aca="false">Sens!J10408*(1+Sens!K10409)</f>
        <v>37.9039693863915</v>
      </c>
      <c r="L10408" s="12" t="s">
        <v>1038</v>
      </c>
    </row>
    <row r="10409" customFormat="false" ht="15" hidden="false" customHeight="false" outlineLevel="0" collapsed="false">
      <c r="A10409" s="1" t="s">
        <v>1028</v>
      </c>
      <c r="B10409" s="0" t="s">
        <v>168</v>
      </c>
      <c r="E10409" s="7" t="n">
        <f aca="false">Sens!E10408/Sens!D10408-1</f>
        <v>0.120156961796942</v>
      </c>
      <c r="F10409" s="7" t="n">
        <f aca="false">Sens!$E$10409+(glt_srch_lo-Sens!$E$10409)*MIN(1,(Sens!F10351-base_fy)/n_conv)</f>
        <v>0.106797468164118</v>
      </c>
      <c r="G10409" s="7" t="n">
        <f aca="false">Sens!$E$10409+(glt_srch_lo-Sens!$E$10409)*MIN(1,(Sens!G10351-base_fy)/n_conv)</f>
        <v>0.0934379745312947</v>
      </c>
      <c r="H10409" s="7" t="n">
        <f aca="false">Sens!$E$10409+(glt_srch_lo-Sens!$E$10409)*MIN(1,(Sens!H10351-base_fy)/n_conv)</f>
        <v>0.080078480898471</v>
      </c>
      <c r="I10409" s="7" t="n">
        <f aca="false">Sens!$E$10409+(glt_srch_lo-Sens!$E$10409)*MIN(1,(Sens!I10351-base_fy)/n_conv)</f>
        <v>0.0667189872656473</v>
      </c>
      <c r="J10409" s="7" t="n">
        <f aca="false">Sens!$E$10409+(glt_srch_lo-Sens!$E$10409)*MIN(1,(Sens!J10351-base_fy)/n_conv)</f>
        <v>0.0533594936328237</v>
      </c>
      <c r="K10409" s="7" t="n">
        <f aca="false">Sens!$E$10409+(glt_srch_lo-Sens!$E$10409)*MIN(1,(Sens!K10351-base_fy)/n_conv)</f>
        <v>0.04</v>
      </c>
    </row>
    <row r="10410" customFormat="false" ht="17.15" hidden="false" customHeight="false" outlineLevel="0" collapsed="false">
      <c r="A10410" s="0" t="s">
        <v>1042</v>
      </c>
      <c r="B10410" s="0" t="s">
        <v>98</v>
      </c>
      <c r="D10410" s="6" t="n">
        <f aca="false">Q!L14</f>
        <v>23.455</v>
      </c>
      <c r="E10410" s="6" t="n">
        <f aca="false">Q!M14</f>
        <v>21.79</v>
      </c>
      <c r="F10410" s="6" t="n">
        <f aca="false">Q!$I$14+(Q!M14-Q!$E$14)*(1+Sens!F10411)</f>
        <v>20.7520981041711</v>
      </c>
      <c r="G10410" s="6" t="n">
        <f aca="false">Sens!F10410*(1+Sens!G10411)</f>
        <v>19.9083593495882</v>
      </c>
      <c r="H10410" s="6" t="n">
        <f aca="false">Sens!G10410*(1+Sens!H10411)</f>
        <v>19.4008256265831</v>
      </c>
      <c r="I10410" s="6" t="n">
        <f aca="false">Sens!H10410*(1+Sens!I10411)</f>
        <v>19.200434522122</v>
      </c>
      <c r="J10410" s="6" t="n">
        <f aca="false">Sens!I10410*(1+Sens!J10411)</f>
        <v>19.2932782348507</v>
      </c>
      <c r="K10410" s="6" t="n">
        <f aca="false">Sens!J10410*(1+Sens!K10411)</f>
        <v>19.6791437995477</v>
      </c>
      <c r="L10410" s="12" t="s">
        <v>1038</v>
      </c>
    </row>
    <row r="10411" customFormat="false" ht="15" hidden="false" customHeight="false" outlineLevel="0" collapsed="false">
      <c r="A10411" s="1" t="s">
        <v>1028</v>
      </c>
      <c r="B10411" s="0" t="s">
        <v>168</v>
      </c>
      <c r="E10411" s="7" t="n">
        <f aca="false">Sens!E10410/Sens!D10410-1</f>
        <v>-0.0709869963760392</v>
      </c>
      <c r="F10411" s="7" t="n">
        <f aca="false">Sens!$E$10411+(glt_xbox-Sens!$E$10411)*MIN(1,(Sens!F10351-base_fy)/n_conv)</f>
        <v>-0.0558224969800327</v>
      </c>
      <c r="G10411" s="7" t="n">
        <f aca="false">Sens!$E$10411+(glt_xbox-Sens!$E$10411)*MIN(1,(Sens!G10351-base_fy)/n_conv)</f>
        <v>-0.0406579975840262</v>
      </c>
      <c r="H10411" s="7" t="n">
        <f aca="false">Sens!$E$10411+(glt_xbox-Sens!$E$10411)*MIN(1,(Sens!H10351-base_fy)/n_conv)</f>
        <v>-0.0254934981880196</v>
      </c>
      <c r="I10411" s="7" t="n">
        <f aca="false">Sens!$E$10411+(glt_xbox-Sens!$E$10411)*MIN(1,(Sens!I10351-base_fy)/n_conv)</f>
        <v>-0.0103289987920131</v>
      </c>
      <c r="J10411" s="7" t="n">
        <f aca="false">Sens!$E$10411+(glt_xbox-Sens!$E$10411)*MIN(1,(Sens!J10351-base_fy)/n_conv)</f>
        <v>0.00483550060399347</v>
      </c>
      <c r="K10411" s="7" t="n">
        <f aca="false">Sens!$E$10411+(glt_xbox-Sens!$E$10411)*MIN(1,(Sens!K10351-base_fy)/n_conv)</f>
        <v>0.02</v>
      </c>
    </row>
    <row r="10412" customFormat="false" ht="17.15" hidden="false" customHeight="false" outlineLevel="0" collapsed="false">
      <c r="A10412" s="0" t="s">
        <v>1043</v>
      </c>
      <c r="B10412" s="0" t="s">
        <v>98</v>
      </c>
      <c r="D10412" s="6" t="n">
        <f aca="false">Q!L15</f>
        <v>17.315</v>
      </c>
      <c r="E10412" s="6" t="n">
        <f aca="false">Q!M15</f>
        <v>17.087</v>
      </c>
      <c r="F10412" s="6" t="n">
        <f aca="false">Q!$I$15+(Q!M15-Q!$E$15)*(1+Sens!F10413)</f>
        <v>15.9912273250553</v>
      </c>
      <c r="G10412" s="6" t="n">
        <f aca="false">Sens!F10412*(1+Sens!G10413)</f>
        <v>15.9574562664827</v>
      </c>
      <c r="H10412" s="6" t="n">
        <f aca="false">Sens!G10412*(1+Sens!H10413)</f>
        <v>16.0119687434196</v>
      </c>
      <c r="I10412" s="6" t="n">
        <f aca="false">Sens!H10412*(1+Sens!I10413)</f>
        <v>16.1551810001948</v>
      </c>
      <c r="J10412" s="6" t="n">
        <f aca="false">Sens!I10412*(1+Sens!J10413)</f>
        <v>16.3889793892005</v>
      </c>
      <c r="K10412" s="6" t="n">
        <f aca="false">Sens!J10412*(1+Sens!K10413)</f>
        <v>16.7167589769845</v>
      </c>
      <c r="L10412" s="12" t="s">
        <v>1038</v>
      </c>
    </row>
    <row r="10413" customFormat="false" ht="15" hidden="false" customHeight="false" outlineLevel="0" collapsed="false">
      <c r="A10413" s="1" t="s">
        <v>1028</v>
      </c>
      <c r="B10413" s="0" t="s">
        <v>168</v>
      </c>
      <c r="E10413" s="7" t="n">
        <f aca="false">Sens!E10412/Sens!D10412-1</f>
        <v>-0.0131677736066995</v>
      </c>
      <c r="F10413" s="7" t="n">
        <f aca="false">Sens!$E$10413+(glt_win-Sens!$E$10413)*MIN(1,(Sens!F10351-base_fy)/n_conv)</f>
        <v>-0.00763981133891627</v>
      </c>
      <c r="G10413" s="7" t="n">
        <f aca="false">Sens!$E$10413+(glt_win-Sens!$E$10413)*MIN(1,(Sens!G10351-base_fy)/n_conv)</f>
        <v>-0.00211184907113301</v>
      </c>
      <c r="H10413" s="7" t="n">
        <f aca="false">Sens!$E$10413+(glt_win-Sens!$E$10413)*MIN(1,(Sens!H10351-base_fy)/n_conv)</f>
        <v>0.00341611319665024</v>
      </c>
      <c r="I10413" s="7" t="n">
        <f aca="false">Sens!$E$10413+(glt_win-Sens!$E$10413)*MIN(1,(Sens!I10351-base_fy)/n_conv)</f>
        <v>0.00894407546443349</v>
      </c>
      <c r="J10413" s="7" t="n">
        <f aca="false">Sens!$E$10413+(glt_win-Sens!$E$10413)*MIN(1,(Sens!J10351-base_fy)/n_conv)</f>
        <v>0.0144720377322168</v>
      </c>
      <c r="K10413" s="7" t="n">
        <f aca="false">Sens!$E$10413+(glt_win-Sens!$E$10413)*MIN(1,(Sens!K10351-base_fy)/n_conv)</f>
        <v>0.02</v>
      </c>
    </row>
    <row r="10414" customFormat="false" ht="15" hidden="false" customHeight="false" outlineLevel="0" collapsed="false">
      <c r="A10414" s="0" t="s">
        <v>870</v>
      </c>
      <c r="B10414" s="0" t="s">
        <v>98</v>
      </c>
      <c r="D10414" s="6" t="n">
        <f aca="false">Sens!D10408+Sens!D10410+Sens!D10412</f>
        <v>62.941</v>
      </c>
      <c r="E10414" s="6" t="n">
        <f aca="false">Sens!E10408+Sens!E10410+Sens!E10412</f>
        <v>63.712</v>
      </c>
      <c r="F10414" s="6" t="n">
        <f aca="false">Sens!F10408+Sens!F10410+Sens!F10412</f>
        <v>64.2080499952511</v>
      </c>
      <c r="G10414" s="6" t="n">
        <f aca="false">Sens!G10408+Sens!G10410+Sens!G10412</f>
        <v>65.8967884166048</v>
      </c>
      <c r="H10414" s="6" t="n">
        <f aca="false">Sens!H10408+Sens!H10410+Sens!H10412</f>
        <v>67.8486018523066</v>
      </c>
      <c r="I10414" s="6" t="n">
        <f aca="false">Sens!I10408+Sens!I10410+Sens!I10412</f>
        <v>69.9555072309837</v>
      </c>
      <c r="J10414" s="6" t="n">
        <f aca="false">Sens!J10408+Sens!J10410+Sens!J10412</f>
        <v>72.128382034043</v>
      </c>
      <c r="K10414" s="6" t="n">
        <f aca="false">Sens!K10408+Sens!K10410+Sens!K10412</f>
        <v>74.2998721629237</v>
      </c>
    </row>
    <row r="10415" customFormat="false" ht="15" hidden="false" customHeight="false" outlineLevel="0" collapsed="false">
      <c r="A10415" s="1" t="s">
        <v>1044</v>
      </c>
      <c r="B10415" s="0" t="s">
        <v>98</v>
      </c>
      <c r="D10415" s="6" t="n">
        <f aca="false">Sens!D10407+Sens!D10414</f>
        <v>281.724</v>
      </c>
      <c r="E10415" s="6" t="n">
        <f aca="false">Sens!E10407+Sens!E10414</f>
        <v>331.839</v>
      </c>
      <c r="F10415" s="6" t="n">
        <f aca="false">Sens!F10407+Sens!F10414</f>
        <v>402.982765889628</v>
      </c>
      <c r="G10415" s="6" t="n">
        <f aca="false">Sens!G10407+Sens!G10414</f>
        <v>491.404846953142</v>
      </c>
      <c r="H10415" s="6" t="n">
        <f aca="false">Sens!H10407+Sens!H10414</f>
        <v>586.429415839228</v>
      </c>
      <c r="I10415" s="6" t="n">
        <f aca="false">Sens!I10407+Sens!I10414</f>
        <v>667.023238538439</v>
      </c>
      <c r="J10415" s="6" t="n">
        <f aca="false">Sens!J10407+Sens!J10414</f>
        <v>731.474172518098</v>
      </c>
      <c r="K10415" s="6" t="n">
        <f aca="false">Sens!K10407+Sens!K10414</f>
        <v>782.258520160215</v>
      </c>
    </row>
    <row r="10416" customFormat="false" ht="15" hidden="false" customHeight="false" outlineLevel="0" collapsed="false">
      <c r="A10416" s="26" t="s">
        <v>1045</v>
      </c>
      <c r="B10416" s="31" t="s">
        <v>98</v>
      </c>
      <c r="C10416" s="31"/>
      <c r="D10416" s="27" t="n">
        <f aca="false">(Sens!D10395+Sens!D10400+Sens!D10401+Sens!D10403+Sens!D10405-Sens!D10407)+(Sens!D10408+Sens!D10410+Sens!D10412-Sens!D10414)+(Sens!D10407-Q!L5)+(Sens!D10414-Q!L12)+(Sens!D10395-Q!L6)+(Sens!D10400-Q!L7)</f>
        <v>0</v>
      </c>
      <c r="E10416" s="27" t="n">
        <f aca="false">(Sens!E10395+Sens!E10400+Sens!E10401+Sens!E10403+Sens!E10405-Sens!E10407)+(Sens!E10408+Sens!E10410+Sens!E10412-Sens!E10414)+(Sens!E10407-Q!M5)+(Sens!E10414-Q!M12)+(Sens!E10395-Q!M6)+(Sens!E10400-Q!M7)</f>
        <v>0</v>
      </c>
      <c r="F10416" s="27" t="n">
        <f aca="false">(Sens!F10395+Sens!F10400+Sens!F10401+Sens!F10403+Sens!F10405-Sens!F10407)+(Sens!F10408+Sens!F10410+Sens!F10412-Sens!F10414)</f>
        <v>0</v>
      </c>
      <c r="G10416" s="27" t="n">
        <f aca="false">(Sens!G10395+Sens!G10400+Sens!G10401+Sens!G10403+Sens!G10405-Sens!G10407)+(Sens!G10408+Sens!G10410+Sens!G10412-Sens!G10414)</f>
        <v>0</v>
      </c>
      <c r="H10416" s="27" t="n">
        <f aca="false">(Sens!H10395+Sens!H10400+Sens!H10401+Sens!H10403+Sens!H10405-Sens!H10407)+(Sens!H10408+Sens!H10410+Sens!H10412-Sens!H10414)</f>
        <v>0</v>
      </c>
      <c r="I10416" s="27" t="n">
        <f aca="false">(Sens!I10395+Sens!I10400+Sens!I10401+Sens!I10403+Sens!I10405-Sens!I10407)+(Sens!I10408+Sens!I10410+Sens!I10412-Sens!I10414)</f>
        <v>0</v>
      </c>
      <c r="J10416" s="27" t="n">
        <f aca="false">(Sens!J10395+Sens!J10400+Sens!J10401+Sens!J10403+Sens!J10405-Sens!J10407)+(Sens!J10408+Sens!J10410+Sens!J10412-Sens!J10414)</f>
        <v>0</v>
      </c>
      <c r="K10416" s="27" t="n">
        <f aca="false">(Sens!K10395+Sens!K10400+Sens!K10401+Sens!K10403+Sens!K10405-Sens!K10407)+(Sens!K10408+Sens!K10410+Sens!K10412-Sens!K10414)</f>
        <v>0</v>
      </c>
    </row>
    <row r="10417" customFormat="false" ht="17.15" hidden="false" customHeight="false" outlineLevel="0" collapsed="false">
      <c r="A10417" s="3" t="s">
        <v>1872</v>
      </c>
    </row>
    <row r="10418" customFormat="false" ht="15" hidden="false" customHeight="false" outlineLevel="0" collapsed="false">
      <c r="A10418" s="4" t="s">
        <v>43</v>
      </c>
      <c r="B10418" s="4" t="s">
        <v>65</v>
      </c>
      <c r="C10418" s="23" t="s">
        <v>942</v>
      </c>
      <c r="D10418" s="23" t="s">
        <v>943</v>
      </c>
      <c r="E10418" s="23" t="s">
        <v>944</v>
      </c>
      <c r="F10418" s="23" t="s">
        <v>945</v>
      </c>
      <c r="G10418" s="23" t="s">
        <v>946</v>
      </c>
      <c r="H10418" s="23" t="s">
        <v>947</v>
      </c>
      <c r="I10418" s="23" t="s">
        <v>948</v>
      </c>
      <c r="J10418" s="23" t="s">
        <v>949</v>
      </c>
      <c r="K10418" s="23" t="s">
        <v>950</v>
      </c>
      <c r="L10418" s="4" t="s">
        <v>47</v>
      </c>
    </row>
    <row r="10419" customFormat="false" ht="15" hidden="false" customHeight="false" outlineLevel="0" collapsed="false">
      <c r="A10419" s="0" t="s">
        <v>1029</v>
      </c>
      <c r="B10419" s="0" t="s">
        <v>98</v>
      </c>
      <c r="D10419" s="6" t="n">
        <f aca="false">Sens!D10395</f>
        <v>72.61</v>
      </c>
      <c r="E10419" s="6" t="n">
        <f aca="false">Sens!E10395</f>
        <v>101.938</v>
      </c>
      <c r="F10419" s="6" t="n">
        <f aca="false">Sens!F10395</f>
        <v>149.59001837225</v>
      </c>
      <c r="G10419" s="6" t="n">
        <f aca="false">Sens!G10395</f>
        <v>210.963087346352</v>
      </c>
      <c r="H10419" s="6" t="n">
        <f aca="false">Sens!H10395</f>
        <v>278.649709314524</v>
      </c>
      <c r="I10419" s="6" t="n">
        <f aca="false">Sens!I10395</f>
        <v>334.269404582332</v>
      </c>
      <c r="J10419" s="6" t="n">
        <f aca="false">Sens!J10395</f>
        <v>376.517293063672</v>
      </c>
      <c r="K10419" s="6" t="n">
        <f aca="false">Sens!K10395</f>
        <v>406.018092622804</v>
      </c>
    </row>
    <row r="10420" customFormat="false" ht="17.15" hidden="false" customHeight="false" outlineLevel="0" collapsed="false">
      <c r="A10420" s="0" t="s">
        <v>1025</v>
      </c>
      <c r="B10420" s="0" t="s">
        <v>98</v>
      </c>
      <c r="D10420" s="6" t="n">
        <f aca="false">Sens!D10392</f>
        <v>12.9359794422418</v>
      </c>
      <c r="E10420" s="6" t="n">
        <f aca="false">Sens!E10392</f>
        <v>27.8095064661409</v>
      </c>
      <c r="F10420" s="6" t="n">
        <f aca="false">Sens!F10392</f>
        <v>59.1034165651511</v>
      </c>
      <c r="G10420" s="6" t="n">
        <f aca="false">Sens!G10392</f>
        <v>103.451498789198</v>
      </c>
      <c r="H10420" s="6" t="n">
        <f aca="false">Sens!H10392</f>
        <v>153.816719989035</v>
      </c>
      <c r="I10420" s="6" t="n">
        <f aca="false">Sens!I10392</f>
        <v>192.699478690852</v>
      </c>
      <c r="J10420" s="6" t="n">
        <f aca="false">Sens!J10392</f>
        <v>219.794102584244</v>
      </c>
      <c r="K10420" s="6" t="n">
        <f aca="false">Sens!K10392</f>
        <v>236.757046905022</v>
      </c>
    </row>
    <row r="10421" customFormat="false" ht="17.15" hidden="false" customHeight="false" outlineLevel="0" collapsed="false">
      <c r="A10421" s="0" t="s">
        <v>1056</v>
      </c>
      <c r="B10421" s="0" t="s">
        <v>98</v>
      </c>
      <c r="D10421" s="6" t="n">
        <f aca="false">Sens!D10393</f>
        <v>59.6740205577583</v>
      </c>
      <c r="E10421" s="6" t="n">
        <f aca="false">Sens!E10393</f>
        <v>74.1284935338591</v>
      </c>
      <c r="F10421" s="6" t="n">
        <f aca="false">Sens!F10393</f>
        <v>90.4866018070994</v>
      </c>
      <c r="G10421" s="6" t="n">
        <f aca="false">Sens!G10393</f>
        <v>107.511588557154</v>
      </c>
      <c r="H10421" s="6" t="n">
        <f aca="false">Sens!H10393</f>
        <v>124.832989325489</v>
      </c>
      <c r="I10421" s="6" t="n">
        <f aca="false">Sens!I10393</f>
        <v>141.56992589148</v>
      </c>
      <c r="J10421" s="6" t="n">
        <f aca="false">Sens!J10393</f>
        <v>156.723190479428</v>
      </c>
      <c r="K10421" s="6" t="n">
        <f aca="false">Sens!K10393</f>
        <v>169.261045717783</v>
      </c>
    </row>
    <row r="10422" customFormat="false" ht="15" hidden="false" customHeight="false" outlineLevel="0" collapsed="false">
      <c r="A10422" s="0" t="s">
        <v>1036</v>
      </c>
      <c r="B10422" s="0" t="s">
        <v>98</v>
      </c>
      <c r="D10422" s="6" t="n">
        <f aca="false">Sens!D10400</f>
        <v>84.605</v>
      </c>
      <c r="E10422" s="6" t="n">
        <f aca="false">Sens!E10400</f>
        <v>100.299</v>
      </c>
      <c r="F10422" s="6" t="n">
        <f aca="false">Sens!F10400</f>
        <v>119.729653205718</v>
      </c>
      <c r="G10422" s="6" t="n">
        <f aca="false">Sens!G10400</f>
        <v>140.806092647576</v>
      </c>
      <c r="H10422" s="6" t="n">
        <f aca="false">Sens!H10400</f>
        <v>161.963437602768</v>
      </c>
      <c r="I10422" s="6" t="n">
        <f aca="false">Sens!I10400</f>
        <v>180.695354741933</v>
      </c>
      <c r="J10422" s="6" t="n">
        <f aca="false">Sens!J10400</f>
        <v>196.722117481571</v>
      </c>
      <c r="K10422" s="6" t="n">
        <f aca="false">Sens!K10400</f>
        <v>212.00016570528</v>
      </c>
    </row>
    <row r="10423" customFormat="false" ht="17.15" hidden="false" customHeight="false" outlineLevel="0" collapsed="false">
      <c r="A10423" s="0" t="s">
        <v>1057</v>
      </c>
      <c r="B10423" s="0" t="s">
        <v>98</v>
      </c>
      <c r="D10423" s="6" t="n">
        <f aca="false">Sens!D10398</f>
        <v>83.705</v>
      </c>
      <c r="E10423" s="6" t="n">
        <f aca="false">Sens!E10398</f>
        <v>95.049</v>
      </c>
      <c r="F10423" s="6" t="n">
        <f aca="false">Sens!F10398</f>
        <v>106.229653205718</v>
      </c>
      <c r="G10423" s="6" t="n">
        <f aca="false">Sens!G10398</f>
        <v>118.306092647576</v>
      </c>
      <c r="H10423" s="6" t="n">
        <f aca="false">Sens!H10398</f>
        <v>130.463437602768</v>
      </c>
      <c r="I10423" s="6" t="n">
        <f aca="false">Sens!I10398</f>
        <v>142.445354741933</v>
      </c>
      <c r="J10423" s="6" t="n">
        <f aca="false">Sens!J10398</f>
        <v>153.972117481571</v>
      </c>
      <c r="K10423" s="6" t="n">
        <f aca="false">Sens!K10398</f>
        <v>164.75016570528</v>
      </c>
    </row>
    <row r="10424" customFormat="false" ht="17.15" hidden="false" customHeight="false" outlineLevel="0" collapsed="false">
      <c r="A10424" s="0" t="s">
        <v>1058</v>
      </c>
      <c r="B10424" s="0" t="s">
        <v>98</v>
      </c>
      <c r="D10424" s="6" t="n">
        <f aca="false">Sens!D10397</f>
        <v>0.9</v>
      </c>
      <c r="E10424" s="6" t="n">
        <f aca="false">Sens!E10397</f>
        <v>5.25</v>
      </c>
      <c r="F10424" s="6" t="n">
        <f aca="false">Sens!F10397</f>
        <v>13.5</v>
      </c>
      <c r="G10424" s="6" t="n">
        <f aca="false">Sens!G10397</f>
        <v>22.5</v>
      </c>
      <c r="H10424" s="6" t="n">
        <f aca="false">Sens!H10397</f>
        <v>31.5</v>
      </c>
      <c r="I10424" s="6" t="n">
        <f aca="false">Sens!I10397</f>
        <v>38.25</v>
      </c>
      <c r="J10424" s="6" t="n">
        <f aca="false">Sens!J10397</f>
        <v>42.75</v>
      </c>
      <c r="K10424" s="6" t="n">
        <f aca="false">Sens!K10397</f>
        <v>47.25</v>
      </c>
    </row>
    <row r="10425" customFormat="false" ht="15" hidden="false" customHeight="false" outlineLevel="0" collapsed="false">
      <c r="A10425" s="0" t="s">
        <v>1037</v>
      </c>
      <c r="B10425" s="0" t="s">
        <v>98</v>
      </c>
      <c r="D10425" s="6" t="n">
        <f aca="false">Sens!D10401</f>
        <v>35.391</v>
      </c>
      <c r="E10425" s="6" t="n">
        <f aca="false">Sens!E10401</f>
        <v>37.285</v>
      </c>
      <c r="F10425" s="6" t="n">
        <f aca="false">Sens!F10401</f>
        <v>38.3851437782675</v>
      </c>
      <c r="G10425" s="6" t="n">
        <f aca="false">Sens!G10401</f>
        <v>40.0105353288615</v>
      </c>
      <c r="H10425" s="6" t="n">
        <f aca="false">Sens!H10401</f>
        <v>41.4812512033683</v>
      </c>
      <c r="I10425" s="6" t="n">
        <f aca="false">Sens!I10401</f>
        <v>42.7743107216329</v>
      </c>
      <c r="J10425" s="6" t="n">
        <f aca="false">Sens!J10401</f>
        <v>43.8687373064601</v>
      </c>
      <c r="K10425" s="6" t="n">
        <f aca="false">Sens!K10401</f>
        <v>44.7461120525893</v>
      </c>
    </row>
    <row r="10426" customFormat="false" ht="15" hidden="false" customHeight="false" outlineLevel="0" collapsed="false">
      <c r="A10426" s="0" t="s">
        <v>1039</v>
      </c>
      <c r="B10426" s="0" t="s">
        <v>98</v>
      </c>
      <c r="D10426" s="6" t="n">
        <f aca="false">Sens!D10403</f>
        <v>18.417</v>
      </c>
      <c r="E10426" s="6" t="n">
        <f aca="false">Sens!E10403</f>
        <v>20.345</v>
      </c>
      <c r="F10426" s="6" t="n">
        <f aca="false">Sens!F10403</f>
        <v>22.3161797133988</v>
      </c>
      <c r="G10426" s="6" t="n">
        <f aca="false">Sens!G10403</f>
        <v>24.3943499673233</v>
      </c>
      <c r="H10426" s="6" t="n">
        <f aca="false">Sens!H10403</f>
        <v>26.5250243109019</v>
      </c>
      <c r="I10426" s="6" t="n">
        <f aca="false">Sens!I10403</f>
        <v>28.6884573538181</v>
      </c>
      <c r="J10426" s="6" t="n">
        <f aca="false">Sens!J10403</f>
        <v>30.8624968052127</v>
      </c>
      <c r="K10426" s="6" t="n">
        <f aca="false">Sens!K10403</f>
        <v>33.0228715815776</v>
      </c>
    </row>
    <row r="10427" customFormat="false" ht="15" hidden="false" customHeight="false" outlineLevel="0" collapsed="false">
      <c r="A10427" s="0" t="s">
        <v>1040</v>
      </c>
      <c r="B10427" s="0" t="s">
        <v>98</v>
      </c>
      <c r="D10427" s="6" t="n">
        <f aca="false">Sens!D10405</f>
        <v>7.76</v>
      </c>
      <c r="E10427" s="6" t="n">
        <f aca="false">Sens!E10405</f>
        <v>8.26</v>
      </c>
      <c r="F10427" s="6" t="n">
        <f aca="false">Sens!F10405</f>
        <v>8.75372082474227</v>
      </c>
      <c r="G10427" s="6" t="n">
        <f aca="false">Sens!G10405</f>
        <v>9.33399324642364</v>
      </c>
      <c r="H10427" s="6" t="n">
        <f aca="false">Sens!H10405</f>
        <v>9.96139155535851</v>
      </c>
      <c r="I10427" s="6" t="n">
        <f aca="false">Sens!I10405</f>
        <v>10.6402039077391</v>
      </c>
      <c r="J10427" s="6" t="n">
        <f aca="false">Sens!J10405</f>
        <v>11.3751458271397</v>
      </c>
      <c r="K10427" s="6" t="n">
        <f aca="false">Sens!K10405</f>
        <v>12.1714060350394</v>
      </c>
    </row>
    <row r="10428" customFormat="false" ht="15" hidden="false" customHeight="false" outlineLevel="0" collapsed="false">
      <c r="A10428" s="0" t="s">
        <v>856</v>
      </c>
      <c r="B10428" s="0" t="s">
        <v>98</v>
      </c>
      <c r="D10428" s="6" t="n">
        <f aca="false">Sens!D10407</f>
        <v>218.783</v>
      </c>
      <c r="E10428" s="6" t="n">
        <f aca="false">Sens!E10407</f>
        <v>268.127</v>
      </c>
      <c r="F10428" s="6" t="n">
        <f aca="false">Sens!F10407</f>
        <v>338.774715894377</v>
      </c>
      <c r="G10428" s="6" t="n">
        <f aca="false">Sens!G10407</f>
        <v>425.508058536537</v>
      </c>
      <c r="H10428" s="6" t="n">
        <f aca="false">Sens!H10407</f>
        <v>518.580813986921</v>
      </c>
      <c r="I10428" s="6" t="n">
        <f aca="false">Sens!I10407</f>
        <v>597.067731307455</v>
      </c>
      <c r="J10428" s="6" t="n">
        <f aca="false">Sens!J10407</f>
        <v>659.345790484055</v>
      </c>
      <c r="K10428" s="6" t="n">
        <f aca="false">Sens!K10407</f>
        <v>707.958647997291</v>
      </c>
    </row>
    <row r="10429" customFormat="false" ht="15" hidden="false" customHeight="false" outlineLevel="0" collapsed="false">
      <c r="A10429" s="0" t="s">
        <v>1041</v>
      </c>
      <c r="B10429" s="0" t="s">
        <v>98</v>
      </c>
      <c r="D10429" s="6" t="n">
        <f aca="false">Sens!D10408</f>
        <v>22.171</v>
      </c>
      <c r="E10429" s="6" t="n">
        <f aca="false">Sens!E10408</f>
        <v>24.835</v>
      </c>
      <c r="F10429" s="6" t="n">
        <f aca="false">Sens!F10408</f>
        <v>27.4647245660247</v>
      </c>
      <c r="G10429" s="6" t="n">
        <f aca="false">Sens!G10408</f>
        <v>30.0309728005339</v>
      </c>
      <c r="H10429" s="6" t="n">
        <f aca="false">Sens!H10408</f>
        <v>32.435807482304</v>
      </c>
      <c r="I10429" s="6" t="n">
        <f aca="false">Sens!I10408</f>
        <v>34.5998917086668</v>
      </c>
      <c r="J10429" s="6" t="n">
        <f aca="false">Sens!J10408</f>
        <v>36.4461244099918</v>
      </c>
      <c r="K10429" s="6" t="n">
        <f aca="false">Sens!K10408</f>
        <v>37.9039693863915</v>
      </c>
    </row>
    <row r="10430" customFormat="false" ht="15" hidden="false" customHeight="false" outlineLevel="0" collapsed="false">
      <c r="A10430" s="0" t="s">
        <v>1042</v>
      </c>
      <c r="B10430" s="0" t="s">
        <v>98</v>
      </c>
      <c r="D10430" s="6" t="n">
        <f aca="false">Sens!D10410</f>
        <v>23.455</v>
      </c>
      <c r="E10430" s="6" t="n">
        <f aca="false">Sens!E10410</f>
        <v>21.79</v>
      </c>
      <c r="F10430" s="6" t="n">
        <f aca="false">Sens!F10410</f>
        <v>20.7520981041711</v>
      </c>
      <c r="G10430" s="6" t="n">
        <f aca="false">Sens!G10410</f>
        <v>19.9083593495882</v>
      </c>
      <c r="H10430" s="6" t="n">
        <f aca="false">Sens!H10410</f>
        <v>19.4008256265831</v>
      </c>
      <c r="I10430" s="6" t="n">
        <f aca="false">Sens!I10410</f>
        <v>19.200434522122</v>
      </c>
      <c r="J10430" s="6" t="n">
        <f aca="false">Sens!J10410</f>
        <v>19.2932782348507</v>
      </c>
      <c r="K10430" s="6" t="n">
        <f aca="false">Sens!K10410</f>
        <v>19.6791437995477</v>
      </c>
    </row>
    <row r="10431" customFormat="false" ht="15" hidden="false" customHeight="false" outlineLevel="0" collapsed="false">
      <c r="A10431" s="0" t="s">
        <v>1043</v>
      </c>
      <c r="B10431" s="0" t="s">
        <v>98</v>
      </c>
      <c r="D10431" s="6" t="n">
        <f aca="false">Sens!D10412</f>
        <v>17.315</v>
      </c>
      <c r="E10431" s="6" t="n">
        <f aca="false">Sens!E10412</f>
        <v>17.087</v>
      </c>
      <c r="F10431" s="6" t="n">
        <f aca="false">Sens!F10412</f>
        <v>15.9912273250553</v>
      </c>
      <c r="G10431" s="6" t="n">
        <f aca="false">Sens!G10412</f>
        <v>15.9574562664827</v>
      </c>
      <c r="H10431" s="6" t="n">
        <f aca="false">Sens!H10412</f>
        <v>16.0119687434196</v>
      </c>
      <c r="I10431" s="6" t="n">
        <f aca="false">Sens!I10412</f>
        <v>16.1551810001948</v>
      </c>
      <c r="J10431" s="6" t="n">
        <f aca="false">Sens!J10412</f>
        <v>16.3889793892005</v>
      </c>
      <c r="K10431" s="6" t="n">
        <f aca="false">Sens!K10412</f>
        <v>16.7167589769845</v>
      </c>
    </row>
    <row r="10432" customFormat="false" ht="15" hidden="false" customHeight="false" outlineLevel="0" collapsed="false">
      <c r="A10432" s="0" t="s">
        <v>870</v>
      </c>
      <c r="B10432" s="0" t="s">
        <v>98</v>
      </c>
      <c r="D10432" s="6" t="n">
        <f aca="false">Sens!D10414</f>
        <v>62.941</v>
      </c>
      <c r="E10432" s="6" t="n">
        <f aca="false">Sens!E10414</f>
        <v>63.712</v>
      </c>
      <c r="F10432" s="6" t="n">
        <f aca="false">Sens!F10414</f>
        <v>64.2080499952511</v>
      </c>
      <c r="G10432" s="6" t="n">
        <f aca="false">Sens!G10414</f>
        <v>65.8967884166048</v>
      </c>
      <c r="H10432" s="6" t="n">
        <f aca="false">Sens!H10414</f>
        <v>67.8486018523066</v>
      </c>
      <c r="I10432" s="6" t="n">
        <f aca="false">Sens!I10414</f>
        <v>69.9555072309837</v>
      </c>
      <c r="J10432" s="6" t="n">
        <f aca="false">Sens!J10414</f>
        <v>72.128382034043</v>
      </c>
      <c r="K10432" s="6" t="n">
        <f aca="false">Sens!K10414</f>
        <v>74.2998721629237</v>
      </c>
    </row>
    <row r="10433" customFormat="false" ht="15" hidden="false" customHeight="false" outlineLevel="0" collapsed="false">
      <c r="A10433" s="1" t="s">
        <v>1059</v>
      </c>
      <c r="B10433" s="0" t="s">
        <v>98</v>
      </c>
      <c r="D10433" s="6" t="n">
        <f aca="false">Sens!D10415</f>
        <v>281.724</v>
      </c>
      <c r="E10433" s="6" t="n">
        <f aca="false">Sens!E10415</f>
        <v>331.839</v>
      </c>
      <c r="F10433" s="6" t="n">
        <f aca="false">Sens!F10415</f>
        <v>402.982765889628</v>
      </c>
      <c r="G10433" s="6" t="n">
        <f aca="false">Sens!G10415</f>
        <v>491.404846953142</v>
      </c>
      <c r="H10433" s="6" t="n">
        <f aca="false">Sens!H10415</f>
        <v>586.429415839228</v>
      </c>
      <c r="I10433" s="6" t="n">
        <f aca="false">Sens!I10415</f>
        <v>667.023238538439</v>
      </c>
      <c r="J10433" s="6" t="n">
        <f aca="false">Sens!J10415</f>
        <v>731.474172518098</v>
      </c>
      <c r="K10433" s="6" t="n">
        <f aca="false">Sens!K10415</f>
        <v>782.258520160215</v>
      </c>
    </row>
    <row r="10434" customFormat="false" ht="15" hidden="false" customHeight="false" outlineLevel="0" collapsed="false">
      <c r="A10434" s="1" t="s">
        <v>1060</v>
      </c>
      <c r="B10434" s="0" t="s">
        <v>168</v>
      </c>
      <c r="E10434" s="7" t="n">
        <f aca="false">Sens!E10433/Sens!D10433-1</f>
        <v>0.177886867998467</v>
      </c>
      <c r="F10434" s="7" t="n">
        <f aca="false">Sens!F10433/Sens!E10433-1</f>
        <v>0.214392418882736</v>
      </c>
      <c r="G10434" s="7" t="n">
        <f aca="false">Sens!G10433/Sens!F10433-1</f>
        <v>0.219419013784156</v>
      </c>
      <c r="H10434" s="7" t="n">
        <f aca="false">Sens!H10433/Sens!G10433-1</f>
        <v>0.193373283709485</v>
      </c>
      <c r="I10434" s="7" t="n">
        <f aca="false">Sens!I10433/Sens!H10433-1</f>
        <v>0.137431412071775</v>
      </c>
      <c r="J10434" s="7" t="n">
        <f aca="false">Sens!J10433/Sens!I10433-1</f>
        <v>0.0966247204833255</v>
      </c>
      <c r="K10434" s="7" t="n">
        <f aca="false">Sens!K10433/Sens!J10433-1</f>
        <v>0.0694273968242678</v>
      </c>
    </row>
    <row r="10435" customFormat="false" ht="17.15" hidden="false" customHeight="false" outlineLevel="0" collapsed="false">
      <c r="A10435" s="26" t="s">
        <v>1061</v>
      </c>
      <c r="B10435" s="31" t="s">
        <v>98</v>
      </c>
      <c r="C10435" s="31"/>
      <c r="D10435" s="27" t="n">
        <f aca="false">(Sens!D10428+Sens!D10432-Sens!D10433)+(Sens!D10420+Sens!D10421-Sens!D10419)+(Sens!D10423+Sens!D10424-Sens!D10422)+(Sens!D10433-Q!L18)</f>
        <v>0</v>
      </c>
      <c r="E10435" s="27" t="n">
        <f aca="false">(Sens!E10428+Sens!E10432-Sens!E10433)+(Sens!E10420+Sens!E10421-Sens!E10419)+(Sens!E10423+Sens!E10424-Sens!E10422)+(Sens!E10433-Q!M18)</f>
        <v>0</v>
      </c>
      <c r="F10435" s="27" t="n">
        <f aca="false">(Sens!F10428+Sens!F10432-Sens!F10433)+(Sens!F10420+Sens!F10421-Sens!F10419)+(Sens!F10423+Sens!F10424-Sens!F10422)</f>
        <v>0</v>
      </c>
      <c r="G10435" s="27" t="n">
        <f aca="false">(Sens!G10428+Sens!G10432-Sens!G10433)+(Sens!G10420+Sens!G10421-Sens!G10419)+(Sens!G10423+Sens!G10424-Sens!G10422)</f>
        <v>0</v>
      </c>
      <c r="H10435" s="27" t="n">
        <f aca="false">(Sens!H10428+Sens!H10432-Sens!H10433)+(Sens!H10420+Sens!H10421-Sens!H10419)+(Sens!H10423+Sens!H10424-Sens!H10422)</f>
        <v>0</v>
      </c>
      <c r="I10435" s="27" t="n">
        <f aca="false">(Sens!I10428+Sens!I10432-Sens!I10433)+(Sens!I10420+Sens!I10421-Sens!I10419)+(Sens!I10423+Sens!I10424-Sens!I10422)</f>
        <v>0</v>
      </c>
      <c r="J10435" s="27" t="n">
        <f aca="false">(Sens!J10428+Sens!J10432-Sens!J10433)+(Sens!J10420+Sens!J10421-Sens!J10419)+(Sens!J10423+Sens!J10424-Sens!J10422)</f>
        <v>0</v>
      </c>
      <c r="K10435" s="27" t="n">
        <f aca="false">(Sens!K10428+Sens!K10432-Sens!K10433)+(Sens!K10420+Sens!K10421-Sens!K10419)+(Sens!K10423+Sens!K10424-Sens!K10422)</f>
        <v>0</v>
      </c>
    </row>
    <row r="10436" customFormat="false" ht="17.15" hidden="false" customHeight="false" outlineLevel="0" collapsed="false">
      <c r="A10436" s="0" t="s">
        <v>1062</v>
      </c>
      <c r="B10436" s="0" t="s">
        <v>168</v>
      </c>
      <c r="E10436" s="7" t="n">
        <f aca="false">(Q!M21+Sens!E10372+Sens!E10373+Sens!E10374+Sens!E10388-Sens!E10370)/(Q!M5-Sens!E10370)</f>
        <v>0.570957350878296</v>
      </c>
      <c r="F10436" s="7" t="n">
        <f aca="false">Sens!$E$10436+dm_seg</f>
        <v>0.570957350878296</v>
      </c>
      <c r="G10436" s="7" t="n">
        <f aca="false">Sens!$E$10436+dm_seg</f>
        <v>0.570957350878296</v>
      </c>
      <c r="H10436" s="7" t="n">
        <f aca="false">Sens!$E$10436+dm_seg</f>
        <v>0.570957350878296</v>
      </c>
      <c r="I10436" s="7" t="n">
        <f aca="false">Sens!$E$10436+dm_seg</f>
        <v>0.570957350878296</v>
      </c>
      <c r="J10436" s="7" t="n">
        <f aca="false">Sens!$E$10436+dm_seg</f>
        <v>0.570957350878296</v>
      </c>
      <c r="K10436" s="7" t="n">
        <f aca="false">Sens!$E$10436+dm_seg</f>
        <v>0.570957350878296</v>
      </c>
      <c r="L10436" s="12" t="s">
        <v>1063</v>
      </c>
    </row>
    <row r="10437" customFormat="false" ht="17.15" hidden="false" customHeight="false" outlineLevel="0" collapsed="false">
      <c r="A10437" s="0" t="s">
        <v>884</v>
      </c>
      <c r="B10437" s="0" t="s">
        <v>98</v>
      </c>
      <c r="D10437" s="6" t="n">
        <f aca="false">Q!L21</f>
        <v>110.814</v>
      </c>
      <c r="E10437" s="6" t="n">
        <f aca="false">Q!M21</f>
        <v>136.365</v>
      </c>
      <c r="F10437" s="6" t="n">
        <f aca="false">Q!$I$21+(Sens!F10436*(Sens!F10407-Sens!F10370)+Sens!F10370-(Sens!F10372+Sens!F10373+Sens!F10374)-Sens!F10388-Sens!F10471)*(Sens!F10407-Q!$I$5)/Sens!F10407</f>
        <v>165.518355879926</v>
      </c>
      <c r="G10437" s="6" t="n">
        <f aca="false">(Sens!G10436*(Sens!G10407-Sens!G10370)+Sens!G10370-(Sens!G10372+Sens!G10373+Sens!G10374)-Sens!G10388-Sens!G10471)</f>
        <v>191.521413654735</v>
      </c>
      <c r="H10437" s="6" t="n">
        <f aca="false">(Sens!H10436*(Sens!H10407-Sens!H10370)+Sens!H10370-(Sens!H10372+Sens!H10373+Sens!H10374)-Sens!H10388-Sens!H10471)</f>
        <v>225.775871463489</v>
      </c>
      <c r="I10437" s="6" t="n">
        <f aca="false">(Sens!I10436*(Sens!I10407-Sens!I10370)+Sens!I10370-(Sens!I10372+Sens!I10373+Sens!I10374)-Sens!I10388-Sens!I10471)</f>
        <v>251.64119237386</v>
      </c>
      <c r="J10437" s="6" t="n">
        <f aca="false">(Sens!J10436*(Sens!J10407-Sens!J10370)+Sens!J10370-(Sens!J10372+Sens!J10373+Sens!J10374)-Sens!J10388-Sens!J10471)</f>
        <v>273.893249396156</v>
      </c>
      <c r="K10437" s="6" t="n">
        <f aca="false">(Sens!K10436*(Sens!K10407-Sens!K10370)+Sens!K10370-(Sens!K10372+Sens!K10373+Sens!K10374)-Sens!K10388-Sens!K10471)</f>
        <v>293.873599325902</v>
      </c>
      <c r="L10437" s="1" t="s">
        <v>1064</v>
      </c>
    </row>
    <row r="10438" customFormat="false" ht="17.15" hidden="false" customHeight="false" outlineLevel="0" collapsed="false">
      <c r="A10438" s="0" t="s">
        <v>1065</v>
      </c>
      <c r="B10438" s="0" t="s">
        <v>168</v>
      </c>
      <c r="E10438" s="7" t="n">
        <f aca="false">Q!M22/Q!M12</f>
        <v>0.296207935710698</v>
      </c>
      <c r="F10438" s="7" t="n">
        <f aca="false">Sens!$E$10438+dm_seg</f>
        <v>0.296207935710698</v>
      </c>
      <c r="G10438" s="7" t="n">
        <f aca="false">Sens!$E$10438+dm_seg</f>
        <v>0.296207935710698</v>
      </c>
      <c r="H10438" s="7" t="n">
        <f aca="false">Sens!$E$10438+dm_seg</f>
        <v>0.296207935710698</v>
      </c>
      <c r="I10438" s="7" t="n">
        <f aca="false">Sens!$E$10438+dm_seg</f>
        <v>0.296207935710698</v>
      </c>
      <c r="J10438" s="7" t="n">
        <f aca="false">Sens!$E$10438+dm_seg</f>
        <v>0.296207935710698</v>
      </c>
      <c r="K10438" s="7" t="n">
        <f aca="false">Sens!$E$10438+dm_seg</f>
        <v>0.296207935710698</v>
      </c>
      <c r="L10438" s="12" t="s">
        <v>1066</v>
      </c>
    </row>
    <row r="10439" customFormat="false" ht="17.15" hidden="false" customHeight="false" outlineLevel="0" collapsed="false">
      <c r="A10439" s="0" t="s">
        <v>886</v>
      </c>
      <c r="B10439" s="0" t="s">
        <v>98</v>
      </c>
      <c r="D10439" s="6" t="n">
        <f aca="false">Q!L22</f>
        <v>17.714</v>
      </c>
      <c r="E10439" s="6" t="n">
        <f aca="false">Q!M22</f>
        <v>18.872</v>
      </c>
      <c r="F10439" s="6" t="n">
        <f aca="false">Q!$I$22+(Sens!F10414-Q!$I$12)*Sens!F10438</f>
        <v>19.7894502685582</v>
      </c>
      <c r="G10439" s="6" t="n">
        <f aca="false">Sens!G10414*Sens!G10438</f>
        <v>19.5191516668472</v>
      </c>
      <c r="H10439" s="6" t="n">
        <f aca="false">Sens!H10414*Sens!H10438</f>
        <v>20.0972942955288</v>
      </c>
      <c r="I10439" s="6" t="n">
        <f aca="false">Sens!I10414*Sens!I10438</f>
        <v>20.7213763884845</v>
      </c>
      <c r="J10439" s="6" t="n">
        <f aca="false">Sens!J10414*Sens!J10438</f>
        <v>21.3649991484565</v>
      </c>
      <c r="K10439" s="6" t="n">
        <f aca="false">Sens!K10414*Sens!K10438</f>
        <v>22.0082117569484</v>
      </c>
      <c r="L10439" s="12" t="s">
        <v>1067</v>
      </c>
    </row>
    <row r="10440" customFormat="false" ht="15" hidden="false" customHeight="false" outlineLevel="0" collapsed="false">
      <c r="A10440" s="1" t="s">
        <v>1068</v>
      </c>
      <c r="B10440" s="0" t="s">
        <v>98</v>
      </c>
      <c r="D10440" s="6" t="n">
        <f aca="false">Sens!D10437+Sens!D10439</f>
        <v>128.528</v>
      </c>
      <c r="E10440" s="6" t="n">
        <f aca="false">Sens!E10437+Sens!E10439</f>
        <v>155.237</v>
      </c>
      <c r="F10440" s="6" t="n">
        <f aca="false">Sens!F10437+Sens!F10439</f>
        <v>185.307806148484</v>
      </c>
      <c r="G10440" s="6" t="n">
        <f aca="false">Sens!G10437+Sens!G10439</f>
        <v>211.040565321582</v>
      </c>
      <c r="H10440" s="6" t="n">
        <f aca="false">Sens!H10437+Sens!H10439</f>
        <v>245.873165759018</v>
      </c>
      <c r="I10440" s="6" t="n">
        <f aca="false">Sens!I10437+Sens!I10439</f>
        <v>272.362568762344</v>
      </c>
      <c r="J10440" s="6" t="n">
        <f aca="false">Sens!J10437+Sens!J10439</f>
        <v>295.258248544612</v>
      </c>
      <c r="K10440" s="6" t="n">
        <f aca="false">Sens!K10437+Sens!K10439</f>
        <v>315.881811082851</v>
      </c>
    </row>
    <row r="10441" customFormat="false" ht="15" hidden="false" customHeight="false" outlineLevel="0" collapsed="false">
      <c r="A10441" s="26" t="s">
        <v>1069</v>
      </c>
      <c r="B10441" s="31" t="s">
        <v>98</v>
      </c>
      <c r="C10441" s="31"/>
      <c r="D10441" s="27" t="n">
        <f aca="false">Sens!D10440-Q!L23</f>
        <v>0</v>
      </c>
      <c r="E10441" s="27" t="n">
        <f aca="false">Sens!E10440-Q!M23</f>
        <v>0</v>
      </c>
      <c r="F10441" s="31"/>
      <c r="G10441" s="31"/>
      <c r="H10441" s="31"/>
      <c r="I10441" s="31"/>
      <c r="J10441" s="31"/>
      <c r="K10441" s="31"/>
    </row>
    <row r="10442" customFormat="false" ht="15" hidden="false" customHeight="false" outlineLevel="0" collapsed="false">
      <c r="A10442" s="1" t="s">
        <v>1070</v>
      </c>
      <c r="B10442" s="0" t="s">
        <v>168</v>
      </c>
      <c r="D10442" s="7" t="n">
        <f aca="false">Sens!D10440/Sens!D10433</f>
        <v>0.456219562408598</v>
      </c>
      <c r="E10442" s="7" t="n">
        <f aca="false">Sens!E10440/Sens!E10433</f>
        <v>0.467808184089272</v>
      </c>
      <c r="F10442" s="7" t="n">
        <f aca="false">Sens!F10440/Sens!F10433</f>
        <v>0.459840523798573</v>
      </c>
      <c r="G10442" s="7" t="n">
        <f aca="false">Sens!G10440/Sens!G10433</f>
        <v>0.429463743856206</v>
      </c>
      <c r="H10442" s="7" t="n">
        <f aca="false">Sens!H10440/Sens!H10433</f>
        <v>0.419271542521709</v>
      </c>
      <c r="I10442" s="7" t="n">
        <f aca="false">Sens!I10440/Sens!I10433</f>
        <v>0.408325457084729</v>
      </c>
      <c r="J10442" s="7" t="n">
        <f aca="false">Sens!J10440/Sens!J10433</f>
        <v>0.403648221137032</v>
      </c>
      <c r="K10442" s="7" t="n">
        <f aca="false">Sens!K10440/Sens!K10433</f>
        <v>0.403807440816566</v>
      </c>
    </row>
    <row r="10443" customFormat="false" ht="17.15" hidden="false" customHeight="false" outlineLevel="0" collapsed="false">
      <c r="A10443" s="1" t="s">
        <v>1071</v>
      </c>
      <c r="B10443" s="0" t="s">
        <v>98</v>
      </c>
      <c r="F10443" s="6" t="n">
        <f aca="false">Sens!F10458</f>
        <v>8.88340674531245</v>
      </c>
      <c r="G10443" s="6" t="n">
        <f aca="false">Sens!G10458</f>
        <v>22.7060305170273</v>
      </c>
      <c r="H10443" s="6" t="n">
        <f aca="false">Sens!H10458</f>
        <v>38.0018452382075</v>
      </c>
      <c r="I10443" s="6" t="n">
        <f aca="false">Sens!I10458</f>
        <v>52.1381094705177</v>
      </c>
      <c r="J10443" s="6" t="n">
        <f aca="false">Sens!J10458</f>
        <v>62.0595818934393</v>
      </c>
      <c r="K10443" s="6" t="n">
        <f aca="false">Sens!K10458</f>
        <v>67.0801312706266</v>
      </c>
      <c r="L10443" s="1" t="s">
        <v>1072</v>
      </c>
    </row>
    <row r="10444" customFormat="false" ht="17.15" hidden="false" customHeight="false" outlineLevel="0" collapsed="false">
      <c r="A10444" s="1" t="s">
        <v>1073</v>
      </c>
      <c r="B10444" s="0" t="s">
        <v>98</v>
      </c>
      <c r="D10444" s="6" t="n">
        <f aca="false">Sens!D10440</f>
        <v>128.528</v>
      </c>
      <c r="E10444" s="6" t="n">
        <f aca="false">Sens!E10440</f>
        <v>155.237</v>
      </c>
      <c r="F10444" s="6" t="n">
        <f aca="false">Sens!F10440+Sens!F10443</f>
        <v>194.191212893797</v>
      </c>
      <c r="G10444" s="6" t="n">
        <f aca="false">Sens!G10440+Sens!G10443</f>
        <v>233.74659583861</v>
      </c>
      <c r="H10444" s="6" t="n">
        <f aca="false">Sens!H10440+Sens!H10443</f>
        <v>283.875010997225</v>
      </c>
      <c r="I10444" s="6" t="n">
        <f aca="false">Sens!I10440+Sens!I10443</f>
        <v>324.500678232862</v>
      </c>
      <c r="J10444" s="6" t="n">
        <f aca="false">Sens!J10440+Sens!J10443</f>
        <v>357.317830438052</v>
      </c>
      <c r="K10444" s="6" t="n">
        <f aca="false">Sens!K10440+Sens!K10443</f>
        <v>382.961942353477</v>
      </c>
    </row>
    <row r="10445" customFormat="false" ht="17.15" hidden="false" customHeight="false" outlineLevel="0" collapsed="false">
      <c r="A10445" s="1" t="s">
        <v>1074</v>
      </c>
      <c r="B10445" s="0" t="s">
        <v>98</v>
      </c>
      <c r="E10445" s="6" t="n">
        <f aca="false">Sens!E10388</f>
        <v>16.3054059770833</v>
      </c>
      <c r="F10445" s="6" t="n">
        <f aca="false">Sens!F10388</f>
        <v>34.5793144783516</v>
      </c>
      <c r="G10445" s="6" t="n">
        <f aca="false">Sens!G10388</f>
        <v>60.7344906522989</v>
      </c>
      <c r="H10445" s="6" t="n">
        <f aca="false">Sens!H10388</f>
        <v>89.1000906614457</v>
      </c>
      <c r="I10445" s="6" t="n">
        <f aca="false">Sens!I10388</f>
        <v>114.231009694548</v>
      </c>
      <c r="J10445" s="6" t="n">
        <f aca="false">Sens!J10388</f>
        <v>132.015673049596</v>
      </c>
      <c r="K10445" s="6" t="n">
        <f aca="false">Sens!K10388</f>
        <v>143.012669550934</v>
      </c>
    </row>
    <row r="10446" customFormat="false" ht="17.15" hidden="false" customHeight="false" outlineLevel="0" collapsed="false">
      <c r="A10446" s="1" t="s">
        <v>1075</v>
      </c>
      <c r="B10446" s="0" t="s">
        <v>98</v>
      </c>
      <c r="E10446" s="6" t="n">
        <f aca="false">Sens!E10470</f>
        <v>22.2285940229167</v>
      </c>
      <c r="F10446" s="6" t="n">
        <f aca="false">Sens!F10470</f>
        <v>23.580344216413</v>
      </c>
      <c r="G10446" s="6" t="n">
        <f aca="false">Sens!G10470</f>
        <v>25.3771105083695</v>
      </c>
      <c r="H10446" s="6" t="n">
        <f aca="false">Sens!H10470</f>
        <v>27.5868130447765</v>
      </c>
      <c r="I10446" s="6" t="n">
        <f aca="false">Sens!I10470</f>
        <v>30.1315417135351</v>
      </c>
      <c r="J10446" s="6" t="n">
        <f aca="false">Sens!J10470</f>
        <v>32.9176139825127</v>
      </c>
      <c r="K10446" s="6" t="n">
        <f aca="false">Sens!K10470</f>
        <v>35.8589582312788</v>
      </c>
    </row>
    <row r="10447" customFormat="false" ht="17.15" hidden="false" customHeight="false" outlineLevel="0" collapsed="false">
      <c r="A10447" s="1" t="s">
        <v>1076</v>
      </c>
      <c r="B10447" s="0" t="s">
        <v>98</v>
      </c>
      <c r="D10447" s="6" t="n">
        <f aca="false">Q!L27</f>
        <v>-4.901</v>
      </c>
      <c r="E10447" s="6" t="n">
        <f aca="false">Q!M27</f>
        <v>10.697</v>
      </c>
      <c r="F10447" s="6" t="n">
        <f aca="false">Q!$I$27+oie_f*(q_per_yr-1)/q_per_yr</f>
        <v>-0.862</v>
      </c>
      <c r="G10447" s="6" t="n">
        <f aca="false">oie_f</f>
        <v>-1.2</v>
      </c>
      <c r="H10447" s="6" t="n">
        <f aca="false">oie_f</f>
        <v>-1.2</v>
      </c>
      <c r="I10447" s="6" t="n">
        <f aca="false">oie_f</f>
        <v>-1.2</v>
      </c>
      <c r="J10447" s="6" t="n">
        <f aca="false">oie_f</f>
        <v>-1.2</v>
      </c>
      <c r="K10447" s="6" t="n">
        <f aca="false">oie_f</f>
        <v>-1.2</v>
      </c>
      <c r="L10447" s="12" t="s">
        <v>1077</v>
      </c>
    </row>
    <row r="10448" customFormat="false" ht="15" hidden="false" customHeight="false" outlineLevel="0" collapsed="false">
      <c r="A10448" s="1" t="s">
        <v>1078</v>
      </c>
      <c r="B10448" s="0" t="s">
        <v>98</v>
      </c>
      <c r="D10448" s="6" t="n">
        <f aca="false">Sens!D10440+Sens!D10447</f>
        <v>123.627</v>
      </c>
      <c r="E10448" s="6" t="n">
        <f aca="false">Sens!E10440+Sens!E10447</f>
        <v>165.934</v>
      </c>
      <c r="F10448" s="6" t="n">
        <f aca="false">Sens!F10440+Sens!F10447</f>
        <v>184.445806148484</v>
      </c>
      <c r="G10448" s="6" t="n">
        <f aca="false">Sens!G10440+Sens!G10447</f>
        <v>209.840565321582</v>
      </c>
      <c r="H10448" s="6" t="n">
        <f aca="false">Sens!H10440+Sens!H10447</f>
        <v>244.673165759018</v>
      </c>
      <c r="I10448" s="6" t="n">
        <f aca="false">Sens!I10440+Sens!I10447</f>
        <v>271.162568762344</v>
      </c>
      <c r="J10448" s="6" t="n">
        <f aca="false">Sens!J10440+Sens!J10447</f>
        <v>294.058248544612</v>
      </c>
      <c r="K10448" s="6" t="n">
        <f aca="false">Sens!K10440+Sens!K10447</f>
        <v>314.681811082851</v>
      </c>
    </row>
    <row r="10449" customFormat="false" ht="15" hidden="false" customHeight="false" outlineLevel="0" collapsed="false">
      <c r="A10449" s="1" t="s">
        <v>1079</v>
      </c>
      <c r="B10449" s="0" t="s">
        <v>98</v>
      </c>
      <c r="D10449" s="6" t="n">
        <f aca="false">Q!L29</f>
        <v>21.795</v>
      </c>
      <c r="E10449" s="6" t="n">
        <f aca="false">Q!M29</f>
        <v>32.185</v>
      </c>
      <c r="F10449" s="6" t="n">
        <f aca="false">Q!$I$29+(Sens!F10448-Q!$I$28)*tax_f</f>
        <v>37.0225612296968</v>
      </c>
      <c r="G10449" s="6" t="n">
        <f aca="false">Sens!G10448*tax_f</f>
        <v>41.9681130643165</v>
      </c>
      <c r="H10449" s="6" t="n">
        <f aca="false">Sens!H10448*tax_f</f>
        <v>48.9346331518036</v>
      </c>
      <c r="I10449" s="6" t="n">
        <f aca="false">Sens!I10448*tax_f</f>
        <v>54.2325137524688</v>
      </c>
      <c r="J10449" s="6" t="n">
        <f aca="false">Sens!J10448*tax_f</f>
        <v>58.8116497089225</v>
      </c>
      <c r="K10449" s="6" t="n">
        <f aca="false">Sens!K10448*tax_f</f>
        <v>62.9363622165702</v>
      </c>
    </row>
    <row r="10450" customFormat="false" ht="15" hidden="false" customHeight="false" outlineLevel="0" collapsed="false">
      <c r="A10450" s="1" t="s">
        <v>1080</v>
      </c>
      <c r="B10450" s="0" t="s">
        <v>98</v>
      </c>
      <c r="D10450" s="6" t="n">
        <f aca="false">Sens!D10448-Sens!D10449</f>
        <v>101.832</v>
      </c>
      <c r="E10450" s="6" t="n">
        <f aca="false">Sens!E10448-Sens!E10449</f>
        <v>133.749</v>
      </c>
      <c r="F10450" s="6" t="n">
        <f aca="false">Sens!F10448-Sens!F10449</f>
        <v>147.423244918787</v>
      </c>
      <c r="G10450" s="6" t="n">
        <f aca="false">Sens!G10448-Sens!G10449</f>
        <v>167.872452257266</v>
      </c>
      <c r="H10450" s="6" t="n">
        <f aca="false">Sens!H10448-Sens!H10449</f>
        <v>195.738532607214</v>
      </c>
      <c r="I10450" s="6" t="n">
        <f aca="false">Sens!I10448-Sens!I10449</f>
        <v>216.930055009875</v>
      </c>
      <c r="J10450" s="6" t="n">
        <f aca="false">Sens!J10448-Sens!J10449</f>
        <v>235.24659883569</v>
      </c>
      <c r="K10450" s="6" t="n">
        <f aca="false">Sens!K10448-Sens!K10449</f>
        <v>251.745448866281</v>
      </c>
    </row>
    <row r="10451" customFormat="false" ht="17.15" hidden="false" customHeight="false" outlineLevel="0" collapsed="false">
      <c r="A10451" s="1" t="s">
        <v>1081</v>
      </c>
      <c r="B10451" s="1" t="s">
        <v>81</v>
      </c>
      <c r="D10451" s="15" t="n">
        <f aca="false">Q!L31</f>
        <v>7.465</v>
      </c>
      <c r="E10451" s="15" t="n">
        <f aca="false">Q!M31</f>
        <v>7.453</v>
      </c>
      <c r="F10451" s="15" t="n">
        <f aca="false">Sens!F10495</f>
        <v>7.47065659298931</v>
      </c>
      <c r="G10451" s="15" t="n">
        <f aca="false">Sens!G10495</f>
        <v>7.51001635450094</v>
      </c>
      <c r="H10451" s="15" t="n">
        <f aca="false">Sens!H10495</f>
        <v>7.53491946205207</v>
      </c>
      <c r="I10451" s="15" t="n">
        <f aca="false">Sens!I10495</f>
        <v>7.54660082610754</v>
      </c>
      <c r="J10451" s="15" t="n">
        <f aca="false">Sens!J10495</f>
        <v>7.56075023727001</v>
      </c>
      <c r="K10451" s="15" t="n">
        <f aca="false">Sens!K10495</f>
        <v>7.57718487723526</v>
      </c>
    </row>
    <row r="10452" customFormat="false" ht="17.15" hidden="false" customHeight="false" outlineLevel="0" collapsed="false">
      <c r="A10452" s="0" t="s">
        <v>1082</v>
      </c>
      <c r="B10452" s="0" t="s">
        <v>75</v>
      </c>
      <c r="D10452" s="8" t="n">
        <f aca="false">Sens!D10450/Sens!D10451</f>
        <v>13.641259209645</v>
      </c>
      <c r="E10452" s="8" t="n">
        <f aca="false">Sens!E10450/Sens!E10451</f>
        <v>17.9456594659869</v>
      </c>
      <c r="F10452" s="8" t="n">
        <f aca="false">Sens!F10450/Sens!F10451</f>
        <v>19.7336396183883</v>
      </c>
      <c r="G10452" s="8" t="n">
        <f aca="false">Sens!G10450/Sens!G10451</f>
        <v>22.3531407034361</v>
      </c>
      <c r="H10452" s="8" t="n">
        <f aca="false">Sens!H10450/Sens!H10451</f>
        <v>25.9775215372915</v>
      </c>
      <c r="I10452" s="8" t="n">
        <f aca="false">Sens!I10450/Sens!I10451</f>
        <v>28.7453994200149</v>
      </c>
      <c r="J10452" s="8" t="n">
        <f aca="false">Sens!J10450/Sens!J10451</f>
        <v>31.1141872768213</v>
      </c>
      <c r="K10452" s="8" t="n">
        <f aca="false">Sens!K10450/Sens!K10451</f>
        <v>33.2241396963428</v>
      </c>
      <c r="L10452" s="1" t="s">
        <v>1083</v>
      </c>
    </row>
    <row r="10453" customFormat="false" ht="17.15" hidden="false" customHeight="false" outlineLevel="0" collapsed="false">
      <c r="A10453" s="1" t="s">
        <v>1084</v>
      </c>
      <c r="B10453" s="0" t="s">
        <v>98</v>
      </c>
      <c r="D10453" s="6" t="n">
        <f aca="false">Sens!D10450</f>
        <v>101.832</v>
      </c>
      <c r="E10453" s="6" t="n">
        <f aca="false">Sens!E10450</f>
        <v>133.749</v>
      </c>
      <c r="F10453" s="6" t="n">
        <f aca="false">Sens!F10450+Sens!F10443*(1-tax_f)</f>
        <v>154.529970315037</v>
      </c>
      <c r="G10453" s="6" t="n">
        <f aca="false">Sens!G10450+Sens!G10443*(1-tax_f)</f>
        <v>186.037276670888</v>
      </c>
      <c r="H10453" s="6" t="n">
        <f aca="false">Sens!H10450+Sens!H10443*(1-tax_f)</f>
        <v>226.14000879778</v>
      </c>
      <c r="I10453" s="6" t="n">
        <f aca="false">Sens!I10450+Sens!I10443*(1-tax_f)</f>
        <v>258.64054258629</v>
      </c>
      <c r="J10453" s="6" t="n">
        <f aca="false">Sens!J10450+Sens!J10443*(1-tax_f)</f>
        <v>284.894264350441</v>
      </c>
      <c r="K10453" s="6" t="n">
        <f aca="false">Sens!K10450+Sens!K10443*(1-tax_f)</f>
        <v>305.409553882782</v>
      </c>
    </row>
    <row r="10454" customFormat="false" ht="17.15" hidden="false" customHeight="false" outlineLevel="0" collapsed="false">
      <c r="A10454" s="0" t="s">
        <v>1085</v>
      </c>
      <c r="B10454" s="0" t="s">
        <v>75</v>
      </c>
      <c r="D10454" s="8" t="n">
        <f aca="false">Sens!D10453/Sens!D10451</f>
        <v>13.641259209645</v>
      </c>
      <c r="E10454" s="8" t="n">
        <f aca="false">Sens!E10453/Sens!E10451</f>
        <v>17.9456594659869</v>
      </c>
      <c r="F10454" s="8" t="n">
        <f aca="false">Sens!F10453/Sens!F10451</f>
        <v>20.6849248645766</v>
      </c>
      <c r="G10454" s="8" t="n">
        <f aca="false">Sens!G10453/Sens!G10451</f>
        <v>24.7718870225084</v>
      </c>
      <c r="H10454" s="8" t="n">
        <f aca="false">Sens!H10453/Sens!H10451</f>
        <v>30.0122662142155</v>
      </c>
      <c r="I10454" s="8" t="n">
        <f aca="false">Sens!I10453/Sens!I10451</f>
        <v>34.2724557116523</v>
      </c>
      <c r="J10454" s="8" t="n">
        <f aca="false">Sens!J10453/Sens!J10451</f>
        <v>37.6806871553674</v>
      </c>
      <c r="K10454" s="8" t="n">
        <f aca="false">Sens!K10453/Sens!K10451</f>
        <v>40.3064672211375</v>
      </c>
      <c r="L10454" s="1" t="s">
        <v>1086</v>
      </c>
    </row>
    <row r="10455" customFormat="false" ht="17.15" hidden="false" customHeight="false" outlineLevel="0" collapsed="false">
      <c r="A10455" s="0" t="s">
        <v>1087</v>
      </c>
      <c r="B10455" s="0" t="s">
        <v>168</v>
      </c>
      <c r="E10455" s="7" t="n">
        <f aca="false">Sens!E10454/Sens!D10454-1</f>
        <v>0.315542736208578</v>
      </c>
      <c r="F10455" s="7" t="n">
        <f aca="false">Sens!F10454/Sens!E10454-1</f>
        <v>0.152642225479735</v>
      </c>
      <c r="G10455" s="7" t="n">
        <f aca="false">Sens!G10454/Sens!F10454-1</f>
        <v>0.197581677704368</v>
      </c>
      <c r="H10455" s="7" t="n">
        <f aca="false">Sens!H10454/Sens!G10454-1</f>
        <v>0.211545417874124</v>
      </c>
      <c r="I10455" s="7" t="n">
        <f aca="false">Sens!I10454/Sens!H10454-1</f>
        <v>0.141948277648522</v>
      </c>
      <c r="J10455" s="7" t="n">
        <f aca="false">Sens!J10454/Sens!I10454-1</f>
        <v>0.0994452067394847</v>
      </c>
      <c r="K10455" s="7" t="n">
        <f aca="false">Sens!K10454/Sens!J10454-1</f>
        <v>0.0696850366593182</v>
      </c>
    </row>
    <row r="10456" customFormat="false" ht="17.15" hidden="false" customHeight="false" outlineLevel="0" collapsed="false">
      <c r="A10456" s="0" t="s">
        <v>1007</v>
      </c>
      <c r="B10456" s="0" t="s">
        <v>98</v>
      </c>
      <c r="E10456" s="6" t="n">
        <f aca="false">Sens!E10397</f>
        <v>5.25</v>
      </c>
      <c r="F10456" s="6" t="n">
        <f aca="false">Sens!F10397</f>
        <v>13.5</v>
      </c>
      <c r="G10456" s="6" t="n">
        <f aca="false">Sens!G10397</f>
        <v>22.5</v>
      </c>
      <c r="H10456" s="6" t="n">
        <f aca="false">Sens!H10397</f>
        <v>31.5</v>
      </c>
      <c r="I10456" s="6" t="n">
        <f aca="false">Sens!I10397</f>
        <v>38.25</v>
      </c>
      <c r="J10456" s="6" t="n">
        <f aca="false">Sens!J10397</f>
        <v>42.75</v>
      </c>
      <c r="K10456" s="6" t="n">
        <f aca="false">Sens!K10397</f>
        <v>47.25</v>
      </c>
    </row>
    <row r="10457" customFormat="false" ht="17.15" hidden="false" customHeight="false" outlineLevel="0" collapsed="false">
      <c r="A10457" s="1" t="s">
        <v>1008</v>
      </c>
      <c r="B10457" s="0" t="s">
        <v>98</v>
      </c>
      <c r="F10457" s="6" t="n">
        <f aca="false">MAX(0,((Sens!E10357+Sens!F10357)/2-(shadow_base*(Sens!$D$10357+Sens!$E$10357)/2+(1-shadow_base)*Sens!$E$10357))*Sens!F10366/1000-(Sens!F10456-Sens!$E$10456)*Sens!F10436)</f>
        <v>8.88340674531245</v>
      </c>
      <c r="G10457" s="6" t="n">
        <f aca="false">MAX(0,((Sens!F10357+Sens!G10357)/2-(shadow_base*(Sens!$D$10357+Sens!$E$10357)/2+(1-shadow_base)*Sens!$E$10357))*Sens!G10366/1000-(Sens!G10456-Sens!$E$10456)*Sens!G10436)</f>
        <v>22.7060305170273</v>
      </c>
      <c r="H10457" s="6" t="n">
        <f aca="false">MAX(0,((Sens!G10357+Sens!H10357)/2-(shadow_base*(Sens!$D$10357+Sens!$E$10357)/2+(1-shadow_base)*Sens!$E$10357))*Sens!H10366/1000-(Sens!H10456-Sens!$E$10456)*Sens!H10436)</f>
        <v>38.0018452382075</v>
      </c>
      <c r="I10457" s="6" t="n">
        <f aca="false">MAX(0,((Sens!H10357+Sens!I10357)/2-(shadow_base*(Sens!$D$10357+Sens!$E$10357)/2+(1-shadow_base)*Sens!$E$10357))*Sens!I10366/1000-(Sens!I10456-Sens!$E$10456)*Sens!I10436)</f>
        <v>52.1381094705177</v>
      </c>
      <c r="J10457" s="6" t="n">
        <f aca="false">MAX(0,((Sens!I10357+Sens!J10357)/2-(shadow_base*(Sens!$D$10357+Sens!$E$10357)/2+(1-shadow_base)*Sens!$E$10357))*Sens!J10366/1000-(Sens!J10456-Sens!$E$10456)*Sens!J10436)</f>
        <v>62.0595818934393</v>
      </c>
      <c r="K10457" s="6" t="n">
        <f aca="false">MAX(0,((Sens!J10357+Sens!K10357)/2-(shadow_base*(Sens!$D$10357+Sens!$E$10357)/2+(1-shadow_base)*Sens!$E$10357))*Sens!K10366/1000-(Sens!K10456-Sens!$E$10456)*Sens!K10436)</f>
        <v>67.0801312706266</v>
      </c>
      <c r="L10457" s="1" t="s">
        <v>1009</v>
      </c>
    </row>
    <row r="10458" customFormat="false" ht="17.15" hidden="false" customHeight="false" outlineLevel="0" collapsed="false">
      <c r="A10458" s="1" t="s">
        <v>1010</v>
      </c>
      <c r="B10458" s="0" t="s">
        <v>98</v>
      </c>
      <c r="F10458" s="6" t="n">
        <f aca="false">IF(internal_ai_reading=2,1,0)*Sens!F10457</f>
        <v>8.88340674531245</v>
      </c>
      <c r="G10458" s="6" t="n">
        <f aca="false">IF(internal_ai_reading=2,1,0)*Sens!G10457</f>
        <v>22.7060305170273</v>
      </c>
      <c r="H10458" s="6" t="n">
        <f aca="false">IF(internal_ai_reading=2,1,0)*Sens!H10457</f>
        <v>38.0018452382075</v>
      </c>
      <c r="I10458" s="6" t="n">
        <f aca="false">IF(internal_ai_reading=2,1,0)*Sens!I10457</f>
        <v>52.1381094705177</v>
      </c>
      <c r="J10458" s="6" t="n">
        <f aca="false">IF(internal_ai_reading=2,1,0)*Sens!J10457</f>
        <v>62.0595818934393</v>
      </c>
      <c r="K10458" s="6" t="n">
        <f aca="false">IF(internal_ai_reading=2,1,0)*Sens!K10457</f>
        <v>67.0801312706266</v>
      </c>
    </row>
    <row r="10459" customFormat="false" ht="17.15" hidden="false" customHeight="false" outlineLevel="0" collapsed="false">
      <c r="A10459" s="0" t="s">
        <v>1011</v>
      </c>
      <c r="B10459" s="0" t="s">
        <v>98</v>
      </c>
      <c r="F10459" s="6" t="n">
        <f aca="false">Sens!F10376+Sens!F10456*Sens!F10436+Sens!F10458-Sens!F10377-Sens!F10388</f>
        <v>18.5068678152817</v>
      </c>
      <c r="G10459" s="6" t="n">
        <f aca="false">Sens!G10376+Sens!G10456*Sens!G10436+Sens!G10458-Sens!G10377-Sens!G10388</f>
        <v>43.1983864982792</v>
      </c>
      <c r="H10459" s="6" t="n">
        <f aca="false">Sens!H10376+Sens!H10456*Sens!H10436+Sens!H10458-Sens!H10377-Sens!H10388</f>
        <v>73.502598356074</v>
      </c>
      <c r="I10459" s="6" t="n">
        <f aca="false">Sens!I10376+Sens!I10456*Sens!I10436+Sens!I10458-Sens!I10377-Sens!I10388</f>
        <v>94.7454135378504</v>
      </c>
      <c r="J10459" s="6" t="n">
        <f aca="false">Sens!J10376+Sens!J10456*Sens!J10436+Sens!J10458-Sens!J10377-Sens!J10388</f>
        <v>109.399608126358</v>
      </c>
      <c r="K10459" s="6" t="n">
        <f aca="false">Sens!K10376+Sens!K10456*Sens!K10436+Sens!K10458-Sens!K10377-Sens!K10388</f>
        <v>118.898703181943</v>
      </c>
    </row>
    <row r="10460" customFormat="false" ht="17.15" hidden="false" customHeight="false" outlineLevel="0" collapsed="false">
      <c r="A10460" s="0" t="s">
        <v>1012</v>
      </c>
      <c r="B10460" s="0" t="s">
        <v>98</v>
      </c>
      <c r="E10460" s="6" t="n">
        <f aca="false">Sens!E10356*(cxit_open+self_build*tk_cxfac)/1000*ai_net_open</f>
        <v>126.6980382</v>
      </c>
      <c r="F10460" s="6" t="n">
        <f aca="false">Sens!E10460+Sens!F10385-Sens!F10388</f>
        <v>260.572627763768</v>
      </c>
      <c r="G10460" s="6" t="n">
        <f aca="false">Sens!F10460+Sens!G10385-Sens!G10388</f>
        <v>391.782612760517</v>
      </c>
      <c r="H10460" s="6" t="n">
        <f aca="false">Sens!G10460+Sens!H10385-Sens!H10388</f>
        <v>499.488526163584</v>
      </c>
      <c r="I10460" s="6" t="n">
        <f aca="false">Sens!H10460+Sens!I10385-Sens!I10388</f>
        <v>553.872350090646</v>
      </c>
      <c r="J10460" s="6" t="n">
        <f aca="false">Sens!I10460+Sens!J10385-Sens!J10388</f>
        <v>550.78660823699</v>
      </c>
      <c r="K10460" s="6" t="n">
        <f aca="false">Sens!J10460+Sens!K10385-Sens!K10388</f>
        <v>526.736791750789</v>
      </c>
      <c r="L10460" s="1" t="s">
        <v>1013</v>
      </c>
    </row>
    <row r="10461" customFormat="false" ht="17.15" hidden="false" customHeight="false" outlineLevel="0" collapsed="false">
      <c r="A10461" s="0" t="s">
        <v>1014</v>
      </c>
      <c r="B10461" s="0" t="s">
        <v>168</v>
      </c>
      <c r="F10461" s="7" t="n">
        <f aca="false">Sens!F10459*(1-tax_f)/((Sens!E10460+Sens!F10460)/2)</f>
        <v>0.0764607059271074</v>
      </c>
      <c r="G10461" s="7" t="n">
        <f aca="false">Sens!G10459*(1-tax_f)/((Sens!F10460+Sens!G10460)/2)</f>
        <v>0.105950583522098</v>
      </c>
      <c r="H10461" s="7" t="n">
        <f aca="false">Sens!H10459*(1-tax_f)/((Sens!G10460+Sens!H10460)/2)</f>
        <v>0.131951044114011</v>
      </c>
      <c r="I10461" s="7" t="n">
        <f aca="false">Sens!I10459*(1-tax_f)/((Sens!H10460+Sens!I10460)/2)</f>
        <v>0.143913320760143</v>
      </c>
      <c r="J10461" s="7" t="n">
        <f aca="false">Sens!J10459*(1-tax_f)/((Sens!I10460+Sens!J10460)/2)</f>
        <v>0.158455577336889</v>
      </c>
      <c r="K10461" s="7" t="n">
        <f aca="false">Sens!K10459*(1-tax_f)/((Sens!J10460+Sens!K10460)/2)</f>
        <v>0.176551084731214</v>
      </c>
    </row>
    <row r="10462" customFormat="false" ht="17.15" hidden="false" customHeight="false" outlineLevel="0" collapsed="false">
      <c r="A10462" s="1" t="s">
        <v>1015</v>
      </c>
      <c r="B10462" s="0" t="s">
        <v>168</v>
      </c>
      <c r="F10462" s="7" t="n">
        <f aca="false">(Sens!F10459-Sens!F10458)*(1-tax_f)/((Sens!E10460+Sens!F10460)/2)</f>
        <v>0.0397591118181705</v>
      </c>
      <c r="G10462" s="7" t="n">
        <f aca="false">(Sens!G10459-Sens!G10458)*(1-tax_f)/((Sens!F10460+Sens!G10460)/2)</f>
        <v>0.0502606057761598</v>
      </c>
      <c r="H10462" s="7" t="n">
        <f aca="false">(Sens!H10459-Sens!H10458)*(1-tax_f)/((Sens!G10460+Sens!H10460)/2)</f>
        <v>0.0637305557287023</v>
      </c>
      <c r="I10462" s="7" t="n">
        <f aca="false">(Sens!I10459-Sens!I10458)*(1-tax_f)/((Sens!H10460+Sens!I10460)/2)</f>
        <v>0.0647182632699936</v>
      </c>
      <c r="J10462" s="7" t="n">
        <f aca="false">(Sens!J10459-Sens!J10458)*(1-tax_f)/((Sens!I10460+Sens!J10460)/2)</f>
        <v>0.0685678067440289</v>
      </c>
      <c r="K10462" s="7" t="n">
        <f aca="false">(Sens!K10459-Sens!K10458)*(1-tax_f)/((Sens!J10460+Sens!K10460)/2)</f>
        <v>0.0769447002812616</v>
      </c>
    </row>
    <row r="10463" customFormat="false" ht="17.15" hidden="false" customHeight="false" outlineLevel="0" collapsed="false">
      <c r="A10463" s="1" t="s">
        <v>1016</v>
      </c>
      <c r="B10463" s="0" t="s">
        <v>168</v>
      </c>
      <c r="F10463" s="7" t="n">
        <f aca="false">(Sens!F10459-Sens!F10458+Sens!F10457)*(1-tax_f)/((Sens!E10460+Sens!F10460)/2)</f>
        <v>0.0764607059271074</v>
      </c>
      <c r="G10463" s="7" t="n">
        <f aca="false">(Sens!G10459-Sens!G10458+Sens!G10457)*(1-tax_f)/((Sens!F10460+Sens!G10460)/2)</f>
        <v>0.105950583522098</v>
      </c>
      <c r="H10463" s="7" t="n">
        <f aca="false">(Sens!H10459-Sens!H10458+Sens!H10457)*(1-tax_f)/((Sens!G10460+Sens!H10460)/2)</f>
        <v>0.131951044114011</v>
      </c>
      <c r="I10463" s="7" t="n">
        <f aca="false">(Sens!I10459-Sens!I10458+Sens!I10457)*(1-tax_f)/((Sens!H10460+Sens!I10460)/2)</f>
        <v>0.143913320760143</v>
      </c>
      <c r="J10463" s="7" t="n">
        <f aca="false">(Sens!J10459-Sens!J10458+Sens!J10457)*(1-tax_f)/((Sens!I10460+Sens!J10460)/2)</f>
        <v>0.158455577336889</v>
      </c>
      <c r="K10463" s="7" t="n">
        <f aca="false">(Sens!K10459-Sens!K10458+Sens!K10457)*(1-tax_f)/((Sens!J10460+Sens!K10460)/2)</f>
        <v>0.176551084731214</v>
      </c>
    </row>
    <row r="10464" customFormat="false" ht="17.15" hidden="false" customHeight="false" outlineLevel="0" collapsed="false">
      <c r="A10464" s="1" t="s">
        <v>1017</v>
      </c>
      <c r="B10464" s="0" t="s">
        <v>168</v>
      </c>
      <c r="F10464" s="7" t="n">
        <f aca="false">Sens!F10389*(1-tax_f)/(Sens!F10375*(Sens!E10460+Sens!F10460)/2)</f>
        <v>0.15471433083293</v>
      </c>
      <c r="G10464" s="7" t="n">
        <f aca="false">Sens!G10389*(1-tax_f)/(Sens!G10375*(Sens!F10460+Sens!G10460)/2)</f>
        <v>0.176916911437355</v>
      </c>
      <c r="H10464" s="7" t="n">
        <f aca="false">Sens!H10389*(1-tax_f)/(Sens!H10375*(Sens!G10460+Sens!H10460)/2)</f>
        <v>0.207487057996582</v>
      </c>
      <c r="I10464" s="7" t="n">
        <f aca="false">Sens!I10389*(1-tax_f)/(Sens!I10375*(Sens!H10460+Sens!I10460)/2)</f>
        <v>0.219873660070946</v>
      </c>
      <c r="J10464" s="7" t="n">
        <f aca="false">Sens!J10389*(1-tax_f)/(Sens!J10375*(Sens!I10460+Sens!J10460)/2)</f>
        <v>0.238959457974928</v>
      </c>
      <c r="K10464" s="7" t="n">
        <f aca="false">Sens!K10389*(1-tax_f)/(Sens!K10375*(Sens!J10460+Sens!K10460)/2)</f>
        <v>0.264604270651536</v>
      </c>
    </row>
    <row r="10465" customFormat="false" ht="17.15" hidden="false" customHeight="false" outlineLevel="0" collapsed="false">
      <c r="A10465" s="0" t="s">
        <v>1018</v>
      </c>
      <c r="B10465" s="0" t="s">
        <v>253</v>
      </c>
      <c r="F10465" s="7" t="n">
        <f aca="false">Sens!F10461-wacc</f>
        <v>-0.0264758850184899</v>
      </c>
      <c r="G10465" s="7" t="n">
        <f aca="false">Sens!G10461-wacc</f>
        <v>0.00301399257650095</v>
      </c>
      <c r="H10465" s="7" t="n">
        <f aca="false">Sens!H10461-wacc</f>
        <v>0.0290144531684132</v>
      </c>
      <c r="I10465" s="7" t="n">
        <f aca="false">Sens!I10461-wacc</f>
        <v>0.0409767298145461</v>
      </c>
      <c r="J10465" s="7" t="n">
        <f aca="false">Sens!J10461-wacc</f>
        <v>0.0555189863912922</v>
      </c>
      <c r="K10465" s="7" t="n">
        <f aca="false">Sens!K10461-wacc</f>
        <v>0.0736144937856168</v>
      </c>
    </row>
    <row r="10466" customFormat="false" ht="17.15" hidden="false" customHeight="false" outlineLevel="0" collapsed="false">
      <c r="A10466" s="0" t="s">
        <v>1019</v>
      </c>
      <c r="B10466" s="0" t="s">
        <v>98</v>
      </c>
      <c r="F10466" s="6" t="n">
        <f aca="false">Sens!F10459*(1-tax_f)-wacc*(Sens!E10460+Sens!F10460)/2</f>
        <v>-5.12666681154535</v>
      </c>
      <c r="G10466" s="6" t="n">
        <f aca="false">Sens!G10459*(1-tax_f)-wacc*(Sens!F10460+Sens!G10460)/2</f>
        <v>0.983096926090845</v>
      </c>
      <c r="H10466" s="6" t="n">
        <f aca="false">Sens!H10459*(1-tax_f)-wacc*(Sens!G10460+Sens!H10460)/2</f>
        <v>12.9298723603358</v>
      </c>
      <c r="I10466" s="6" t="n">
        <f aca="false">Sens!I10459*(1-tax_f)-wacc*(Sens!H10460+Sens!I10460)/2</f>
        <v>21.5816420117415</v>
      </c>
      <c r="J10466" s="6" t="n">
        <f aca="false">Sens!J10459*(1-tax_f)-wacc*(Sens!I10460+Sens!J10460)/2</f>
        <v>30.6647728372055</v>
      </c>
      <c r="K10466" s="6" t="n">
        <f aca="false">Sens!K10459*(1-tax_f)-wacc*(Sens!J10460+Sens!K10460)/2</f>
        <v>39.6606698161285</v>
      </c>
    </row>
    <row r="10467" customFormat="false" ht="17.15" hidden="false" customHeight="false" outlineLevel="0" collapsed="false">
      <c r="A10467" s="3" t="s">
        <v>1873</v>
      </c>
    </row>
    <row r="10468" customFormat="false" ht="15" hidden="false" customHeight="false" outlineLevel="0" collapsed="false">
      <c r="A10468" s="4" t="s">
        <v>43</v>
      </c>
      <c r="B10468" s="4" t="s">
        <v>65</v>
      </c>
      <c r="C10468" s="23" t="s">
        <v>942</v>
      </c>
      <c r="D10468" s="23" t="s">
        <v>943</v>
      </c>
      <c r="E10468" s="23" t="s">
        <v>944</v>
      </c>
      <c r="F10468" s="23" t="s">
        <v>945</v>
      </c>
      <c r="G10468" s="23" t="s">
        <v>946</v>
      </c>
      <c r="H10468" s="23" t="s">
        <v>947</v>
      </c>
      <c r="I10468" s="23" t="s">
        <v>948</v>
      </c>
      <c r="J10468" s="23" t="s">
        <v>949</v>
      </c>
      <c r="K10468" s="23" t="s">
        <v>950</v>
      </c>
      <c r="L10468" s="4" t="s">
        <v>47</v>
      </c>
    </row>
    <row r="10469" customFormat="false" ht="15" hidden="false" customHeight="false" outlineLevel="0" collapsed="false">
      <c r="A10469" s="1" t="s">
        <v>1080</v>
      </c>
      <c r="B10469" s="0" t="s">
        <v>98</v>
      </c>
      <c r="F10469" s="6" t="n">
        <f aca="false">Sens!F10450</f>
        <v>147.423244918787</v>
      </c>
      <c r="G10469" s="6" t="n">
        <f aca="false">Sens!G10450</f>
        <v>167.872452257266</v>
      </c>
      <c r="H10469" s="6" t="n">
        <f aca="false">Sens!H10450</f>
        <v>195.738532607214</v>
      </c>
      <c r="I10469" s="6" t="n">
        <f aca="false">Sens!I10450</f>
        <v>216.930055009875</v>
      </c>
      <c r="J10469" s="6" t="n">
        <f aca="false">Sens!J10450</f>
        <v>235.24659883569</v>
      </c>
      <c r="K10469" s="6" t="n">
        <f aca="false">Sens!K10450</f>
        <v>251.745448866281</v>
      </c>
    </row>
    <row r="10470" customFormat="false" ht="17.15" hidden="false" customHeight="false" outlineLevel="0" collapsed="false">
      <c r="A10470" s="1" t="s">
        <v>1102</v>
      </c>
      <c r="B10470" s="0" t="s">
        <v>98</v>
      </c>
      <c r="E10470" s="6" t="n">
        <f aca="false">Q!M38-Sens!E10388</f>
        <v>22.2285940229167</v>
      </c>
      <c r="F10470" s="6" t="n">
        <f aca="false">Sens!E10470*(1-1/life_nonai)+(Sens!F10478+Sens!F10479)/life_nonai</f>
        <v>23.580344216413</v>
      </c>
      <c r="G10470" s="6" t="n">
        <f aca="false">Sens!F10470*(1-1/life_nonai)+(Sens!G10478)/life_nonai</f>
        <v>25.3771105083695</v>
      </c>
      <c r="H10470" s="6" t="n">
        <f aca="false">Sens!G10470*(1-1/life_nonai)+(Sens!H10478)/life_nonai</f>
        <v>27.5868130447765</v>
      </c>
      <c r="I10470" s="6" t="n">
        <f aca="false">Sens!H10470*(1-1/life_nonai)+(Sens!I10478)/life_nonai</f>
        <v>30.1315417135351</v>
      </c>
      <c r="J10470" s="6" t="n">
        <f aca="false">Sens!I10470*(1-1/life_nonai)+(Sens!J10478)/life_nonai</f>
        <v>32.9176139825127</v>
      </c>
      <c r="K10470" s="6" t="n">
        <f aca="false">Sens!J10470*(1-1/life_nonai)+(Sens!K10478)/life_nonai</f>
        <v>35.8589582312788</v>
      </c>
      <c r="L10470" s="12" t="s">
        <v>1103</v>
      </c>
    </row>
    <row r="10471" customFormat="false" ht="17.15" hidden="false" customHeight="false" outlineLevel="0" collapsed="false">
      <c r="A10471" s="1" t="s">
        <v>1104</v>
      </c>
      <c r="B10471" s="0" t="s">
        <v>98</v>
      </c>
      <c r="F10471" s="6" t="n">
        <f aca="false">Sens!$F$10479/life_nonai*(1-1/life_nonai)^(Sens!F10351-2027)</f>
        <v>0.00551346452575601</v>
      </c>
      <c r="G10471" s="6" t="n">
        <f aca="false">Sens!$F$10479/life_nonai*(1-1/life_nonai)^(Sens!G10351-2027)</f>
        <v>0.00496211807318041</v>
      </c>
      <c r="H10471" s="6" t="n">
        <f aca="false">Sens!$F$10479/life_nonai*(1-1/life_nonai)^(Sens!H10351-2027)</f>
        <v>0.00446590626586237</v>
      </c>
      <c r="I10471" s="6" t="n">
        <f aca="false">Sens!$F$10479/life_nonai*(1-1/life_nonai)^(Sens!I10351-2027)</f>
        <v>0.00401931563927613</v>
      </c>
      <c r="J10471" s="6" t="n">
        <f aca="false">Sens!$F$10479/life_nonai*(1-1/life_nonai)^(Sens!J10351-2027)</f>
        <v>0.00361738407534852</v>
      </c>
      <c r="K10471" s="6" t="n">
        <f aca="false">Sens!$F$10479/life_nonai*(1-1/life_nonai)^(Sens!K10351-2027)</f>
        <v>0.00325564566781366</v>
      </c>
      <c r="L10471" s="1" t="s">
        <v>1105</v>
      </c>
    </row>
    <row r="10472" customFormat="false" ht="17.15" hidden="false" customHeight="false" outlineLevel="0" collapsed="false">
      <c r="A10472" s="1" t="s">
        <v>1106</v>
      </c>
      <c r="B10472" s="0" t="s">
        <v>98</v>
      </c>
      <c r="E10472" s="6" t="n">
        <f aca="false">Sens!E10388+Sens!E10470</f>
        <v>38.534</v>
      </c>
      <c r="F10472" s="6" t="n">
        <f aca="false">Sens!F10388+Sens!F10470</f>
        <v>58.1596586947647</v>
      </c>
      <c r="G10472" s="6" t="n">
        <f aca="false">Sens!G10388+Sens!G10470</f>
        <v>86.1116011606685</v>
      </c>
      <c r="H10472" s="6" t="n">
        <f aca="false">Sens!H10388+Sens!H10470</f>
        <v>116.686903706222</v>
      </c>
      <c r="I10472" s="6" t="n">
        <f aca="false">Sens!I10388+Sens!I10470</f>
        <v>144.362551408083</v>
      </c>
      <c r="J10472" s="6" t="n">
        <f aca="false">Sens!J10388+Sens!J10470</f>
        <v>164.933287032109</v>
      </c>
      <c r="K10472" s="6" t="n">
        <f aca="false">Sens!K10388+Sens!K10470</f>
        <v>178.871627782213</v>
      </c>
    </row>
    <row r="10473" customFormat="false" ht="17.15" hidden="false" customHeight="false" outlineLevel="0" collapsed="false">
      <c r="A10473" s="1" t="s">
        <v>1107</v>
      </c>
      <c r="B10473" s="0" t="s">
        <v>98</v>
      </c>
      <c r="F10473" s="6" t="n">
        <f aca="false">Sens!F10415*sbc_r</f>
        <v>15.0645379562403</v>
      </c>
      <c r="G10473" s="6" t="n">
        <f aca="false">Sens!G10415*sbc_r</f>
        <v>18.3699840177126</v>
      </c>
      <c r="H10473" s="6" t="n">
        <f aca="false">Sens!H10415*sbc_r</f>
        <v>21.9222481489084</v>
      </c>
      <c r="I10473" s="6" t="n">
        <f aca="false">Sens!I10415*sbc_r</f>
        <v>24.9350536678007</v>
      </c>
      <c r="J10473" s="6" t="n">
        <f aca="false">Sens!J10415*sbc_r</f>
        <v>27.3443962586887</v>
      </c>
      <c r="K10473" s="6" t="n">
        <f aca="false">Sens!K10415*sbc_r</f>
        <v>29.2428465086607</v>
      </c>
    </row>
    <row r="10474" customFormat="false" ht="17.15" hidden="false" customHeight="false" outlineLevel="0" collapsed="false">
      <c r="A10474" s="1" t="s">
        <v>1108</v>
      </c>
      <c r="B10474" s="0" t="s">
        <v>98</v>
      </c>
      <c r="F10474" s="6" t="n">
        <f aca="false">wc27-wc26q1</f>
        <v>-4.677</v>
      </c>
      <c r="G10474" s="6" t="n">
        <f aca="false">wc_f</f>
        <v>0</v>
      </c>
      <c r="H10474" s="6" t="n">
        <f aca="false">wc_f</f>
        <v>0</v>
      </c>
      <c r="I10474" s="6" t="n">
        <f aca="false">wc_f</f>
        <v>0</v>
      </c>
      <c r="J10474" s="6" t="n">
        <f aca="false">wc_f</f>
        <v>0</v>
      </c>
      <c r="K10474" s="6" t="n">
        <f aca="false">wc_f</f>
        <v>0</v>
      </c>
      <c r="L10474" s="12" t="s">
        <v>1109</v>
      </c>
    </row>
    <row r="10475" customFormat="false" ht="17.15" hidden="false" customHeight="false" outlineLevel="0" collapsed="false">
      <c r="A10475" s="0" t="s">
        <v>1110</v>
      </c>
      <c r="B10475" s="0" t="s">
        <v>98</v>
      </c>
      <c r="F10475" s="6" t="n">
        <f aca="false">Q!$I$35-Q!$I$26-Q!$I$38-Q!$I$39</f>
        <v>6.493</v>
      </c>
      <c r="L10475" s="1" t="s">
        <v>1111</v>
      </c>
    </row>
    <row r="10476" customFormat="false" ht="15" hidden="false" customHeight="false" outlineLevel="0" collapsed="false">
      <c r="A10476" s="1" t="s">
        <v>908</v>
      </c>
      <c r="B10476" s="0" t="s">
        <v>98</v>
      </c>
      <c r="E10476" s="6" t="n">
        <f aca="false">Q!M35</f>
        <v>182.935</v>
      </c>
      <c r="F10476" s="6" t="n">
        <f aca="false">Sens!F10469+Sens!F10472+Sens!F10473+Sens!F10474+Sens!F10475</f>
        <v>222.463441569792</v>
      </c>
      <c r="G10476" s="6" t="n">
        <f aca="false">Sens!G10469+Sens!G10472+Sens!G10473+Sens!G10474</f>
        <v>272.354037435647</v>
      </c>
      <c r="H10476" s="6" t="n">
        <f aca="false">Sens!H10469+Sens!H10472+Sens!H10473+Sens!H10474</f>
        <v>334.347684462345</v>
      </c>
      <c r="I10476" s="6" t="n">
        <f aca="false">Sens!I10469+Sens!I10472+Sens!I10473+Sens!I10474</f>
        <v>386.22766008576</v>
      </c>
      <c r="J10476" s="6" t="n">
        <f aca="false">Sens!J10469+Sens!J10472+Sens!J10473+Sens!J10474</f>
        <v>427.524282126487</v>
      </c>
      <c r="K10476" s="6" t="n">
        <f aca="false">Sens!K10469+Sens!K10472+Sens!K10473+Sens!K10474</f>
        <v>459.859923157154</v>
      </c>
    </row>
    <row r="10477" customFormat="false" ht="17.15" hidden="false" customHeight="false" outlineLevel="0" collapsed="false">
      <c r="A10477" s="0" t="s">
        <v>1112</v>
      </c>
      <c r="B10477" s="0" t="s">
        <v>98</v>
      </c>
      <c r="F10477" s="6" t="n">
        <f aca="false">Sens!F10385</f>
        <v>168.45390404212</v>
      </c>
      <c r="G10477" s="6" t="n">
        <f aca="false">Sens!G10385</f>
        <v>191.944475649048</v>
      </c>
      <c r="H10477" s="6" t="n">
        <f aca="false">Sens!H10385</f>
        <v>196.806004064512</v>
      </c>
      <c r="I10477" s="6" t="n">
        <f aca="false">Sens!I10385</f>
        <v>168.61483362161</v>
      </c>
      <c r="J10477" s="6" t="n">
        <f aca="false">Sens!J10385</f>
        <v>128.92993119594</v>
      </c>
      <c r="K10477" s="6" t="n">
        <f aca="false">Sens!K10385</f>
        <v>118.962853064733</v>
      </c>
    </row>
    <row r="10478" customFormat="false" ht="17.15" hidden="false" customHeight="false" outlineLevel="0" collapsed="false">
      <c r="A10478" s="1" t="s">
        <v>1113</v>
      </c>
      <c r="B10478" s="0" t="s">
        <v>98</v>
      </c>
      <c r="E10478" s="6" t="n">
        <f aca="false">Sens!E10393*cx_azo+Sens!E10400*cx_m365+Sens!E10401*cx_lic+(Sens!E10403+Sens!E10405)*cx_ind+Sens!E10408*cx_srch+(Sens!E10410+Sens!E10412)*cx_dev</f>
        <v>30.1846587067718</v>
      </c>
      <c r="F10478" s="6" t="n">
        <f aca="false">Sens!F10393*cx_azo+Sens!F10400*cx_m365+Sens!F10401*cx_lic+(Sens!F10403+Sens!F10405)*cx_ind+Sens!F10408*cx_srch+(Sens!F10410+Sens!F10412)*cx_dev</f>
        <v>35.6909613126228</v>
      </c>
      <c r="G10478" s="6" t="n">
        <f aca="false">Sens!G10393*cx_azo+Sens!G10400*cx_m365+Sens!G10401*cx_lic+(Sens!G10403+Sens!G10405)*cx_ind+Sens!G10408*cx_srch+(Sens!G10410+Sens!G10412)*cx_dev</f>
        <v>41.5480071359778</v>
      </c>
      <c r="H10478" s="6" t="n">
        <f aca="false">Sens!H10393*cx_azo+Sens!H10400*cx_m365+Sens!H10401*cx_lic+(Sens!H10403+Sens!H10405)*cx_ind+Sens!H10408*cx_srch+(Sens!H10410+Sens!H10412)*cx_dev</f>
        <v>47.4741358724394</v>
      </c>
      <c r="I10478" s="6" t="n">
        <f aca="false">Sens!I10393*cx_azo+Sens!I10400*cx_m365+Sens!I10401*cx_lic+(Sens!I10403+Sens!I10405)*cx_ind+Sens!I10408*cx_srch+(Sens!I10410+Sens!I10412)*cx_dev</f>
        <v>53.0340997323626</v>
      </c>
      <c r="J10478" s="6" t="n">
        <f aca="false">Sens!J10393*cx_azo+Sens!J10400*cx_m365+Sens!J10401*cx_lic+(Sens!J10403+Sens!J10405)*cx_ind+Sens!J10408*cx_srch+(Sens!J10410+Sens!J10412)*cx_dev</f>
        <v>57.9922644033104</v>
      </c>
      <c r="K10478" s="6" t="n">
        <f aca="false">Sens!K10393*cx_azo+Sens!K10400*cx_m365+Sens!K10401*cx_lic+(Sens!K10403+Sens!K10405)*cx_ind+Sens!K10408*cx_srch+(Sens!K10410+Sens!K10412)*cx_dev</f>
        <v>62.3310564701745</v>
      </c>
    </row>
    <row r="10479" customFormat="false" ht="17.15" hidden="false" customHeight="false" outlineLevel="0" collapsed="false">
      <c r="A10479" s="0" t="s">
        <v>1114</v>
      </c>
      <c r="B10479" s="0" t="s">
        <v>98</v>
      </c>
      <c r="F10479" s="6" t="n">
        <f aca="false">Sens!F10383</f>
        <v>0.0551346452575601</v>
      </c>
      <c r="L10479" s="1" t="s">
        <v>1115</v>
      </c>
    </row>
    <row r="10480" customFormat="false" ht="17.15" hidden="false" customHeight="false" outlineLevel="0" collapsed="false">
      <c r="A10480" s="1" t="s">
        <v>1116</v>
      </c>
      <c r="B10480" s="0" t="s">
        <v>98</v>
      </c>
      <c r="E10480" s="6" t="n">
        <f aca="false">Q!M43</f>
        <v>145.3</v>
      </c>
      <c r="F10480" s="6" t="n">
        <f aca="false">Sens!F10477+Sens!F10478+Sens!F10479</f>
        <v>204.2</v>
      </c>
      <c r="G10480" s="6" t="n">
        <f aca="false">Sens!G10477+Sens!G10478</f>
        <v>233.492482785026</v>
      </c>
      <c r="H10480" s="6" t="n">
        <f aca="false">Sens!H10477+Sens!H10478</f>
        <v>244.280139936952</v>
      </c>
      <c r="I10480" s="6" t="n">
        <f aca="false">Sens!I10477+Sens!I10478</f>
        <v>221.648933353973</v>
      </c>
      <c r="J10480" s="6" t="n">
        <f aca="false">Sens!J10477+Sens!J10478</f>
        <v>186.922195599251</v>
      </c>
      <c r="K10480" s="6" t="n">
        <f aca="false">Sens!K10477+Sens!K10478</f>
        <v>181.293909534907</v>
      </c>
      <c r="L10480" s="1" t="s">
        <v>1117</v>
      </c>
    </row>
    <row r="10481" customFormat="false" ht="15" hidden="false" customHeight="false" outlineLevel="0" collapsed="false">
      <c r="A10481" s="1" t="s">
        <v>1118</v>
      </c>
      <c r="B10481" s="0" t="s">
        <v>98</v>
      </c>
      <c r="E10481" s="6" t="n">
        <f aca="false">fl_liab</f>
        <v>66.594</v>
      </c>
      <c r="F10481" s="6" t="n">
        <f aca="false">Sens!E10481-Sens!F10482</f>
        <v>62.46973</v>
      </c>
      <c r="G10481" s="6" t="n">
        <f aca="false">Sens!F10481-Sens!G10482</f>
        <v>57.98686785</v>
      </c>
      <c r="H10481" s="6" t="n">
        <f aca="false">Sens!G10481-Sens!H10482</f>
        <v>53.92827690325</v>
      </c>
      <c r="I10481" s="6" t="n">
        <f aca="false">Sens!H10481-Sens!I10482</f>
        <v>49.7850493638962</v>
      </c>
      <c r="J10481" s="6" t="n">
        <f aca="false">Sens!I10481-Sens!J10482</f>
        <v>45.4823765852716</v>
      </c>
      <c r="K10481" s="6" t="n">
        <f aca="false">Sens!J10481-Sens!K10482</f>
        <v>40.9860835316088</v>
      </c>
    </row>
    <row r="10482" customFormat="false" ht="15" hidden="false" customHeight="false" outlineLevel="0" collapsed="false">
      <c r="A10482" s="1" t="s">
        <v>1119</v>
      </c>
      <c r="B10482" s="0" t="s">
        <v>98</v>
      </c>
      <c r="F10482" s="6" t="n">
        <f aca="false">fl_pay_27-Sens!E10481*fl_rate</f>
        <v>4.12427</v>
      </c>
      <c r="G10482" s="6" t="n">
        <f aca="false">fl_pay_28-Sens!F10481*fl_rate</f>
        <v>4.48286215</v>
      </c>
      <c r="H10482" s="6" t="n">
        <f aca="false">fl_pay_29-Sens!G10481*fl_rate</f>
        <v>4.05859094675</v>
      </c>
      <c r="I10482" s="6" t="n">
        <f aca="false">fl_pay_30-Sens!H10481*fl_rate</f>
        <v>4.14322753935375</v>
      </c>
      <c r="J10482" s="6" t="n">
        <f aca="false">fl_pay_31-Sens!I10481*fl_rate</f>
        <v>4.30267277862467</v>
      </c>
      <c r="K10482" s="6" t="n">
        <f aca="false">fl_pay_32-Sens!J10481*fl_rate</f>
        <v>4.49629305366278</v>
      </c>
    </row>
    <row r="10483" customFormat="false" ht="17.15" hidden="false" customHeight="false" outlineLevel="0" collapsed="false">
      <c r="A10483" s="1" t="s">
        <v>1120</v>
      </c>
      <c r="B10483" s="0" t="s">
        <v>98</v>
      </c>
      <c r="E10483" s="6" t="n">
        <f aca="false">Q!M35-Q!M36-Q!M44</f>
        <v>63.886</v>
      </c>
      <c r="F10483" s="6" t="n">
        <f aca="false">Sens!F10476-Sens!F10480-Sens!F10482</f>
        <v>14.1391715697923</v>
      </c>
      <c r="G10483" s="6" t="n">
        <f aca="false">Sens!G10476-Sens!G10480-Sens!G10482</f>
        <v>34.3786925006209</v>
      </c>
      <c r="H10483" s="6" t="n">
        <f aca="false">Sens!H10476-Sens!H10480-Sens!H10482</f>
        <v>86.0089535786431</v>
      </c>
      <c r="I10483" s="6" t="n">
        <f aca="false">Sens!I10476-Sens!I10480-Sens!I10482</f>
        <v>160.435499192433</v>
      </c>
      <c r="J10483" s="6" t="n">
        <f aca="false">Sens!J10476-Sens!J10480-Sens!J10482</f>
        <v>236.299413748612</v>
      </c>
      <c r="K10483" s="6" t="n">
        <f aca="false">Sens!K10476-Sens!K10480-Sens!K10482</f>
        <v>274.069720568584</v>
      </c>
      <c r="L10483" s="12" t="s">
        <v>1121</v>
      </c>
    </row>
    <row r="10484" customFormat="false" ht="15" hidden="false" customHeight="false" outlineLevel="0" collapsed="false">
      <c r="A10484" s="1" t="s">
        <v>1122</v>
      </c>
      <c r="B10484" s="0" t="s">
        <v>75</v>
      </c>
      <c r="F10484" s="8" t="n">
        <f aca="false">dps_27</f>
        <v>3.85</v>
      </c>
      <c r="G10484" s="8" t="n">
        <f aca="false">Sens!F10484*(1+dps_g)</f>
        <v>4.158</v>
      </c>
      <c r="H10484" s="8" t="n">
        <f aca="false">Sens!G10484*(1+dps_g)</f>
        <v>4.49064</v>
      </c>
      <c r="I10484" s="8" t="n">
        <f aca="false">Sens!H10484*(1+dps_g)</f>
        <v>4.8498912</v>
      </c>
      <c r="J10484" s="8" t="n">
        <f aca="false">Sens!I10484*(1+dps_g)</f>
        <v>5.237882496</v>
      </c>
      <c r="K10484" s="8" t="n">
        <f aca="false">Sens!J10484*(1+dps_g)</f>
        <v>5.65691309568</v>
      </c>
    </row>
    <row r="10485" customFormat="false" ht="17.15" hidden="false" customHeight="false" outlineLevel="0" collapsed="false">
      <c r="A10485" s="1" t="s">
        <v>1123</v>
      </c>
      <c r="B10485" s="0" t="s">
        <v>98</v>
      </c>
      <c r="E10485" s="6" t="n">
        <f aca="false">Q!M41</f>
        <v>26.445</v>
      </c>
      <c r="F10485" s="6" t="n">
        <f aca="false">Sens!F10484*Sens!E10494</f>
        <v>28.59395</v>
      </c>
      <c r="G10485" s="6" t="n">
        <f aca="false">Sens!G10484*Sens!F10494</f>
        <v>31.0449302272991</v>
      </c>
      <c r="H10485" s="6" t="n">
        <f aca="false">Sens!H10484*Sens!G10494</f>
        <v>33.7054843188692</v>
      </c>
      <c r="I10485" s="6" t="n">
        <f aca="false">Sens!I10484*Sens!H10494</f>
        <v>36.4523613414514</v>
      </c>
      <c r="J10485" s="6" t="n">
        <f aca="false">Sens!J10484*Sens!I10494</f>
        <v>39.4364481341601</v>
      </c>
      <c r="K10485" s="6" t="n">
        <f aca="false">Sens!K10484*Sens!J10494</f>
        <v>42.6781182472712</v>
      </c>
      <c r="L10485" s="1" t="s">
        <v>1124</v>
      </c>
    </row>
    <row r="10486" customFormat="false" ht="15" hidden="false" customHeight="false" outlineLevel="0" collapsed="false">
      <c r="A10486" s="1" t="s">
        <v>1125</v>
      </c>
      <c r="B10486" s="0" t="s">
        <v>98</v>
      </c>
      <c r="E10486" s="6" t="n">
        <f aca="false">Sens!E10483-Sens!E10485</f>
        <v>37.441</v>
      </c>
      <c r="F10486" s="6" t="n">
        <f aca="false">Sens!F10483-Sens!F10485</f>
        <v>-14.4547784302077</v>
      </c>
      <c r="G10486" s="6" t="n">
        <f aca="false">Sens!G10483-Sens!G10485</f>
        <v>3.33376227332179</v>
      </c>
      <c r="H10486" s="6" t="n">
        <f aca="false">Sens!H10483-Sens!H10485</f>
        <v>52.3034692597739</v>
      </c>
      <c r="I10486" s="6" t="n">
        <f aca="false">Sens!I10483-Sens!I10485</f>
        <v>123.983137850981</v>
      </c>
      <c r="J10486" s="6" t="n">
        <f aca="false">Sens!J10483-Sens!J10485</f>
        <v>196.862965614452</v>
      </c>
      <c r="K10486" s="6" t="n">
        <f aca="false">Sens!K10483-Sens!K10485</f>
        <v>231.391602321313</v>
      </c>
    </row>
    <row r="10487" customFormat="false" ht="15" hidden="false" customHeight="false" outlineLevel="0" collapsed="false">
      <c r="A10487" s="1" t="s">
        <v>1126</v>
      </c>
      <c r="B10487" s="0" t="s">
        <v>98</v>
      </c>
      <c r="F10487" s="6" t="n">
        <f aca="false">debt_mat_27</f>
        <v>9.25</v>
      </c>
      <c r="G10487" s="6" t="n">
        <f aca="false">debt_mat_28</f>
        <v>0</v>
      </c>
      <c r="H10487" s="6" t="n">
        <f aca="false">debt_mat_29</f>
        <v>2.001</v>
      </c>
      <c r="I10487" s="6" t="n">
        <f aca="false">debt_mat_30</f>
        <v>0</v>
      </c>
      <c r="J10487" s="6" t="n">
        <f aca="false">debt_mat_31</f>
        <v>0.5</v>
      </c>
      <c r="K10487" s="6" t="n">
        <f aca="false">debt_mat_32</f>
        <v>0</v>
      </c>
    </row>
    <row r="10488" customFormat="false" ht="15" hidden="false" customHeight="false" outlineLevel="0" collapsed="false">
      <c r="A10488" s="1" t="s">
        <v>1127</v>
      </c>
      <c r="B10488" s="0" t="s">
        <v>98</v>
      </c>
      <c r="E10488" s="6" t="n">
        <f aca="false">Q!M40</f>
        <v>22.271</v>
      </c>
      <c r="F10488" s="6" t="n">
        <f aca="false">MAX(0,MIN(bb_target,Sens!E10490+Sens!F10486-Sens!F10487-min_cash))</f>
        <v>3.13822156979235</v>
      </c>
      <c r="G10488" s="6" t="n">
        <f aca="false">MAX(0,MIN(bb_target,Sens!F10490+Sens!G10486-Sens!G10487-min_cash))</f>
        <v>3.3337622733218</v>
      </c>
      <c r="H10488" s="6" t="n">
        <f aca="false">MAX(0,MIN(bb_target,Sens!G10490+Sens!H10486-Sens!H10487-min_cash))</f>
        <v>22.271</v>
      </c>
      <c r="I10488" s="6" t="n">
        <f aca="false">MAX(0,MIN(bb_target,Sens!H10490+Sens!I10486-Sens!I10487-min_cash))</f>
        <v>22.271</v>
      </c>
      <c r="J10488" s="6" t="n">
        <f aca="false">MAX(0,MIN(bb_target,Sens!I10490+Sens!J10486-Sens!J10487-min_cash))</f>
        <v>22.271</v>
      </c>
      <c r="K10488" s="6" t="n">
        <f aca="false">MAX(0,MIN(bb_target,Sens!J10490+Sens!K10486-Sens!K10487-min_cash))</f>
        <v>22.271</v>
      </c>
    </row>
    <row r="10489" customFormat="false" ht="15" hidden="false" customHeight="false" outlineLevel="0" collapsed="false">
      <c r="A10489" s="1" t="s">
        <v>1128</v>
      </c>
      <c r="B10489" s="0" t="s">
        <v>98</v>
      </c>
      <c r="F10489" s="6" t="n">
        <f aca="false">MAX(0,min_cash-(Sens!E10490+Sens!F10486-Sens!F10487-Sens!F10488))</f>
        <v>0</v>
      </c>
      <c r="G10489" s="6" t="n">
        <f aca="false">MAX(0,min_cash-(Sens!F10490+Sens!G10486-Sens!G10487-Sens!G10488))</f>
        <v>0</v>
      </c>
      <c r="H10489" s="6" t="n">
        <f aca="false">MAX(0,min_cash-(Sens!G10490+Sens!H10486-Sens!H10487-Sens!H10488))</f>
        <v>0</v>
      </c>
      <c r="I10489" s="6" t="n">
        <f aca="false">MAX(0,min_cash-(Sens!H10490+Sens!I10486-Sens!I10487-Sens!I10488))</f>
        <v>0</v>
      </c>
      <c r="J10489" s="6" t="n">
        <f aca="false">MAX(0,min_cash-(Sens!I10490+Sens!J10486-Sens!J10487-Sens!J10488))</f>
        <v>0</v>
      </c>
      <c r="K10489" s="6" t="n">
        <f aca="false">MAX(0,min_cash-(Sens!J10490+Sens!K10486-Sens!K10487-Sens!K10488))</f>
        <v>0</v>
      </c>
    </row>
    <row r="10490" customFormat="false" ht="15" hidden="false" customHeight="false" outlineLevel="0" collapsed="false">
      <c r="A10490" s="1" t="s">
        <v>1129</v>
      </c>
      <c r="B10490" s="0" t="s">
        <v>98</v>
      </c>
      <c r="E10490" s="6" t="n">
        <f aca="false">cash_open</f>
        <v>76.843</v>
      </c>
      <c r="F10490" s="6" t="n">
        <f aca="false">Sens!E10490+Sens!F10486-Sens!F10487-Sens!F10488+Sens!F10489</f>
        <v>50</v>
      </c>
      <c r="G10490" s="6" t="n">
        <f aca="false">Sens!F10490+Sens!G10486-Sens!G10487-Sens!G10488+Sens!G10489</f>
        <v>50</v>
      </c>
      <c r="H10490" s="6" t="n">
        <f aca="false">Sens!G10490+Sens!H10486-Sens!H10487-Sens!H10488+Sens!H10489</f>
        <v>78.0314692597739</v>
      </c>
      <c r="I10490" s="6" t="n">
        <f aca="false">Sens!H10490+Sens!I10486-Sens!I10487-Sens!I10488+Sens!I10489</f>
        <v>179.743607110755</v>
      </c>
      <c r="J10490" s="6" t="n">
        <f aca="false">Sens!I10490+Sens!J10486-Sens!J10487-Sens!J10488+Sens!J10489</f>
        <v>353.835572725207</v>
      </c>
      <c r="K10490" s="6" t="n">
        <f aca="false">Sens!J10490+Sens!K10486-Sens!K10487-Sens!K10488+Sens!K10489</f>
        <v>562.95617504652</v>
      </c>
    </row>
    <row r="10491" customFormat="false" ht="15" hidden="false" customHeight="false" outlineLevel="0" collapsed="false">
      <c r="A10491" s="1" t="s">
        <v>1130</v>
      </c>
      <c r="B10491" s="0" t="s">
        <v>98</v>
      </c>
      <c r="E10491" s="6" t="n">
        <f aca="false">debt_face</f>
        <v>46.136</v>
      </c>
      <c r="F10491" s="6" t="n">
        <f aca="false">Sens!E10491-Sens!F10487+Sens!F10489</f>
        <v>36.886</v>
      </c>
      <c r="G10491" s="6" t="n">
        <f aca="false">Sens!F10491-Sens!G10487+Sens!G10489</f>
        <v>36.886</v>
      </c>
      <c r="H10491" s="6" t="n">
        <f aca="false">Sens!G10491-Sens!H10487+Sens!H10489</f>
        <v>34.885</v>
      </c>
      <c r="I10491" s="6" t="n">
        <f aca="false">Sens!H10491-Sens!I10487+Sens!I10489</f>
        <v>34.885</v>
      </c>
      <c r="J10491" s="6" t="n">
        <f aca="false">Sens!I10491-Sens!J10487+Sens!J10489</f>
        <v>34.385</v>
      </c>
      <c r="K10491" s="6" t="n">
        <f aca="false">Sens!J10491-Sens!K10487+Sens!K10489</f>
        <v>34.385</v>
      </c>
    </row>
    <row r="10492" customFormat="false" ht="15" hidden="false" customHeight="false" outlineLevel="0" collapsed="false">
      <c r="A10492" s="1" t="s">
        <v>1131</v>
      </c>
      <c r="B10492" s="0" t="s">
        <v>98</v>
      </c>
      <c r="E10492" s="6" t="n">
        <f aca="false">Sens!E10490-Sens!E10491</f>
        <v>30.707</v>
      </c>
      <c r="F10492" s="6" t="n">
        <f aca="false">Sens!F10490-Sens!F10491</f>
        <v>13.114</v>
      </c>
      <c r="G10492" s="6" t="n">
        <f aca="false">Sens!G10490-Sens!G10491</f>
        <v>13.114</v>
      </c>
      <c r="H10492" s="6" t="n">
        <f aca="false">Sens!H10490-Sens!H10491</f>
        <v>43.1464692597739</v>
      </c>
      <c r="I10492" s="6" t="n">
        <f aca="false">Sens!I10490-Sens!I10491</f>
        <v>144.858607110755</v>
      </c>
      <c r="J10492" s="6" t="n">
        <f aca="false">Sens!J10490-Sens!J10491</f>
        <v>319.450572725207</v>
      </c>
      <c r="K10492" s="6" t="n">
        <f aca="false">Sens!K10490-Sens!K10491</f>
        <v>528.57117504652</v>
      </c>
    </row>
    <row r="10493" customFormat="false" ht="15" hidden="false" customHeight="false" outlineLevel="0" collapsed="false">
      <c r="A10493" s="1" t="s">
        <v>1132</v>
      </c>
      <c r="B10493" s="0" t="s">
        <v>75</v>
      </c>
      <c r="F10493" s="30" t="n">
        <f aca="false">px*(1+bb_g)^(Sens!F10351-base_fy-mid_yr)</f>
        <v>551.84177959629</v>
      </c>
      <c r="G10493" s="30" t="n">
        <f aca="false">px*(1+bb_g)^(Sens!G10351-base_fy-mid_yr)</f>
        <v>595.989121963993</v>
      </c>
      <c r="H10493" s="30" t="n">
        <f aca="false">px*(1+bb_g)^(Sens!H10351-base_fy-mid_yr)</f>
        <v>643.668251721112</v>
      </c>
      <c r="I10493" s="30" t="n">
        <f aca="false">px*(1+bb_g)^(Sens!I10351-base_fy-mid_yr)</f>
        <v>695.161711858801</v>
      </c>
      <c r="J10493" s="30" t="n">
        <f aca="false">px*(1+bb_g)^(Sens!J10351-base_fy-mid_yr)</f>
        <v>750.774648807506</v>
      </c>
      <c r="K10493" s="30" t="n">
        <f aca="false">px*(1+bb_g)^(Sens!K10351-base_fy-mid_yr)</f>
        <v>810.836620712106</v>
      </c>
    </row>
    <row r="10494" customFormat="false" ht="15" hidden="false" customHeight="false" outlineLevel="0" collapsed="false">
      <c r="A10494" s="1" t="s">
        <v>1133</v>
      </c>
      <c r="B10494" s="1" t="s">
        <v>81</v>
      </c>
      <c r="E10494" s="15" t="n">
        <f aca="false">sh_out26</f>
        <v>7.427</v>
      </c>
      <c r="F10494" s="15" t="n">
        <f aca="false">Sens!E10494+sh_iss-Sens!F10488/Sens!F10493</f>
        <v>7.46631318597862</v>
      </c>
      <c r="G10494" s="15" t="n">
        <f aca="false">Sens!F10494+sh_iss-Sens!G10488/Sens!G10493</f>
        <v>7.50571952302327</v>
      </c>
      <c r="H10494" s="15" t="n">
        <f aca="false">Sens!G10494+sh_iss-Sens!H10488/Sens!H10493</f>
        <v>7.51611940108087</v>
      </c>
      <c r="I10494" s="15" t="n">
        <f aca="false">Sens!H10494+sh_iss-Sens!I10488/Sens!I10493</f>
        <v>7.52908225113421</v>
      </c>
      <c r="J10494" s="15" t="n">
        <f aca="false">Sens!I10494+sh_iss-Sens!J10488/Sens!J10493</f>
        <v>7.54441822340581</v>
      </c>
      <c r="K10494" s="15" t="n">
        <f aca="false">Sens!J10494+sh_iss-Sens!K10488/Sens!K10493</f>
        <v>7.56195153106471</v>
      </c>
    </row>
    <row r="10495" customFormat="false" ht="15" hidden="false" customHeight="false" outlineLevel="0" collapsed="false">
      <c r="A10495" s="1" t="s">
        <v>1134</v>
      </c>
      <c r="B10495" s="1" t="s">
        <v>81</v>
      </c>
      <c r="E10495" s="15" t="n">
        <f aca="false">sh_dil26</f>
        <v>7.453</v>
      </c>
      <c r="F10495" s="15" t="n">
        <f aca="false">(Sens!E10494+Sens!F10494)/2+dil_gap</f>
        <v>7.47065659298931</v>
      </c>
      <c r="G10495" s="15" t="n">
        <f aca="false">(Sens!F10494+Sens!G10494)/2+dil_gap</f>
        <v>7.51001635450094</v>
      </c>
      <c r="H10495" s="15" t="n">
        <f aca="false">(Sens!G10494+Sens!H10494)/2+dil_gap</f>
        <v>7.53491946205207</v>
      </c>
      <c r="I10495" s="15" t="n">
        <f aca="false">(Sens!H10494+Sens!I10494)/2+dil_gap</f>
        <v>7.54660082610754</v>
      </c>
      <c r="J10495" s="15" t="n">
        <f aca="false">(Sens!I10494+Sens!J10494)/2+dil_gap</f>
        <v>7.56075023727001</v>
      </c>
      <c r="K10495" s="15" t="n">
        <f aca="false">(Sens!J10494+Sens!K10494)/2+dil_gap</f>
        <v>7.57718487723526</v>
      </c>
    </row>
    <row r="10496" customFormat="false" ht="17.15" hidden="false" customHeight="false" outlineLevel="0" collapsed="false">
      <c r="A10496" s="1" t="s">
        <v>1135</v>
      </c>
      <c r="B10496" s="0" t="s">
        <v>98</v>
      </c>
      <c r="C10496" s="6" t="n">
        <f aca="false">SUM(Sens!F10486:J10486)</f>
        <v>362.028556568321</v>
      </c>
    </row>
    <row r="10497" customFormat="false" ht="15" hidden="false" customHeight="false" outlineLevel="0" collapsed="false">
      <c r="A10497" s="26" t="s">
        <v>1100</v>
      </c>
      <c r="B10497" s="31" t="s">
        <v>98</v>
      </c>
      <c r="C10497" s="27" t="n">
        <f aca="false">Sens!$C$10496-(Sens!F10486+Sens!G10486+Sens!H10486+Sens!I10486+Sens!J10486)</f>
        <v>0</v>
      </c>
      <c r="D10497" s="31"/>
      <c r="E10497" s="31"/>
      <c r="F10497" s="31"/>
      <c r="G10497" s="31"/>
      <c r="H10497" s="31"/>
      <c r="I10497" s="31"/>
      <c r="J10497" s="31"/>
      <c r="K10497" s="31"/>
    </row>
    <row r="10498" customFormat="false" ht="17.15" hidden="false" customHeight="false" outlineLevel="0" collapsed="false">
      <c r="A10498" s="1" t="s">
        <v>1094</v>
      </c>
      <c r="B10498" s="1" t="s">
        <v>1136</v>
      </c>
      <c r="C10498" s="33" t="str">
        <f aca="false">IF(SUM(Sens!F10489:J10489)&gt;0.05,"需要舉債 "&amp;TEXT(SUM(Sens!F10489:J10489),"0.0")&amp;" 十億美元","不需舉債")&amp;"；"&amp;IF(SUM(Sens!F10488:J10488)&lt;COUNT(Sens!F10488:J10488)*bb_target-0.05,"回購較每年 "&amp;TEXT(bb_target,"0.0")&amp;" 的目標少 "&amp;TEXT(COUNT(Sens!F10488:J10488)*bb_target-SUM(Sens!F10488:J10488),"0.0")&amp;" 十億美元（"&amp;TEXT(COUNTIF(Sens!F10488:J10488,"&lt;"&amp;(bb_target-0.05)),"0")&amp;" 年減少）","回購不減")</f>
        <v>不需舉債；回購較每年 22.3 的目標少 38.1 十億美元（2 年減少）</v>
      </c>
    </row>
    <row r="10499" customFormat="false" ht="17.15" hidden="false" customHeight="false" outlineLevel="0" collapsed="false">
      <c r="A10499" s="3" t="s">
        <v>1874</v>
      </c>
    </row>
    <row r="10500" customFormat="false" ht="15" hidden="false" customHeight="false" outlineLevel="0" collapsed="false">
      <c r="A10500" s="4" t="s">
        <v>43</v>
      </c>
      <c r="B10500" s="4" t="s">
        <v>65</v>
      </c>
      <c r="C10500" s="23" t="s">
        <v>942</v>
      </c>
      <c r="D10500" s="23" t="s">
        <v>943</v>
      </c>
      <c r="E10500" s="23" t="s">
        <v>944</v>
      </c>
      <c r="F10500" s="23" t="s">
        <v>945</v>
      </c>
      <c r="G10500" s="23" t="s">
        <v>946</v>
      </c>
      <c r="H10500" s="23" t="s">
        <v>947</v>
      </c>
      <c r="I10500" s="23" t="s">
        <v>948</v>
      </c>
      <c r="J10500" s="23" t="s">
        <v>949</v>
      </c>
      <c r="K10500" s="23" t="s">
        <v>950</v>
      </c>
      <c r="L10500" s="4" t="s">
        <v>47</v>
      </c>
    </row>
    <row r="10501" customFormat="false" ht="17.15" hidden="false" customHeight="false" outlineLevel="0" collapsed="false">
      <c r="A10501" s="1" t="s">
        <v>1216</v>
      </c>
      <c r="B10501" s="1" t="s">
        <v>279</v>
      </c>
      <c r="F10501" s="8" t="n">
        <f aca="false">(1-v_off)*mid_yr</f>
        <v>0.373972602739726</v>
      </c>
      <c r="G10501" s="8" t="n">
        <f aca="false">Sens!G10351-base_fy-mid_yr-v_off</f>
        <v>1.24794520547945</v>
      </c>
      <c r="H10501" s="8" t="n">
        <f aca="false">Sens!H10351-base_fy-mid_yr-v_off</f>
        <v>2.24794520547945</v>
      </c>
      <c r="I10501" s="8" t="n">
        <f aca="false">Sens!I10351-base_fy-mid_yr-v_off</f>
        <v>3.24794520547945</v>
      </c>
      <c r="J10501" s="8" t="n">
        <f aca="false">Sens!J10351-base_fy-mid_yr-v_off</f>
        <v>4.24794520547945</v>
      </c>
      <c r="K10501" s="8" t="n">
        <f aca="false">Sens!K10351-base_fy-mid_yr-v_off</f>
        <v>5.24794520547945</v>
      </c>
      <c r="L10501" s="12" t="s">
        <v>1217</v>
      </c>
    </row>
    <row r="10502" customFormat="false" ht="15" hidden="false" customHeight="false" outlineLevel="0" collapsed="false">
      <c r="A10502" s="1" t="s">
        <v>1218</v>
      </c>
      <c r="B10502" s="1" t="s">
        <v>279</v>
      </c>
      <c r="F10502" s="8" t="n">
        <f aca="false">Sens!F10351-base_fy-v_off</f>
        <v>0.747945205479452</v>
      </c>
      <c r="G10502" s="8" t="n">
        <f aca="false">Sens!G10351-base_fy-v_off</f>
        <v>1.74794520547945</v>
      </c>
      <c r="H10502" s="8" t="n">
        <f aca="false">Sens!H10351-base_fy-v_off</f>
        <v>2.74794520547945</v>
      </c>
      <c r="I10502" s="8" t="n">
        <f aca="false">Sens!I10351-base_fy-v_off</f>
        <v>3.74794520547945</v>
      </c>
      <c r="J10502" s="8" t="n">
        <f aca="false">Sens!J10351-base_fy-v_off</f>
        <v>4.74794520547945</v>
      </c>
      <c r="K10502" s="8" t="n">
        <f aca="false">Sens!K10351-base_fy-v_off</f>
        <v>5.74794520547945</v>
      </c>
    </row>
    <row r="10503" customFormat="false" ht="15" hidden="false" customHeight="false" outlineLevel="0" collapsed="false">
      <c r="A10503" s="1" t="s">
        <v>1219</v>
      </c>
      <c r="B10503" s="0" t="s">
        <v>229</v>
      </c>
      <c r="F10503" s="15" t="n">
        <f aca="false">1/(1+wacc)^Sens!F10501</f>
        <v>0.964022703286649</v>
      </c>
      <c r="G10503" s="15" t="n">
        <f aca="false">1/(1+wacc)^Sens!G10501</f>
        <v>0.884910302296739</v>
      </c>
      <c r="H10503" s="15" t="n">
        <f aca="false">1/(1+wacc)^Sens!H10501</f>
        <v>0.802322009770358</v>
      </c>
      <c r="I10503" s="15" t="n">
        <f aca="false">1/(1+wacc)^Sens!I10501</f>
        <v>0.727441646561469</v>
      </c>
      <c r="J10503" s="15" t="n">
        <f aca="false">1/(1+wacc)^Sens!J10501</f>
        <v>0.659549834988973</v>
      </c>
      <c r="K10503" s="15" t="n">
        <f aca="false">1/(1+wacc)^Sens!K10501</f>
        <v>0.597994336576966</v>
      </c>
    </row>
    <row r="10504" customFormat="false" ht="17.15" hidden="false" customHeight="false" outlineLevel="0" collapsed="false">
      <c r="A10504" s="1" t="s">
        <v>1220</v>
      </c>
      <c r="B10504" s="0" t="s">
        <v>98</v>
      </c>
      <c r="F10504" s="6" t="n">
        <f aca="false">Q!$I$35-Q!$I$39-Q!$I$43</f>
        <v>9.666</v>
      </c>
      <c r="L10504" s="12" t="s">
        <v>1221</v>
      </c>
    </row>
    <row r="10505" customFormat="false" ht="17.15" hidden="false" customHeight="false" outlineLevel="0" collapsed="false">
      <c r="A10505" s="1" t="s">
        <v>1222</v>
      </c>
      <c r="B10505" s="0" t="s">
        <v>98</v>
      </c>
      <c r="F10505" s="6" t="n">
        <f aca="false">Sens!F10476-Sens!F10473-Sens!F10480+Sens!F10458*(1-tax_f)*(1-v_off)-Sens!F10504</f>
        <v>-1.15165519966377</v>
      </c>
      <c r="G10505" s="6" t="n">
        <f aca="false">Sens!G10476-Sens!G10473-Sens!G10480+Sens!G10458*(1-tax_f)</f>
        <v>38.6563950465302</v>
      </c>
      <c r="H10505" s="6" t="n">
        <f aca="false">Sens!H10476-Sens!H10473-Sens!H10480+Sens!H10458*(1-tax_f)</f>
        <v>98.5467725670508</v>
      </c>
      <c r="I10505" s="6" t="n">
        <f aca="false">Sens!I10476-Sens!I10473-Sens!I10480+Sens!I10458*(1-tax_f)</f>
        <v>181.3541606404</v>
      </c>
      <c r="J10505" s="6" t="n">
        <f aca="false">Sens!J10476-Sens!J10473-Sens!J10480+Sens!J10458*(1-tax_f)</f>
        <v>262.905355783299</v>
      </c>
      <c r="K10505" s="6" t="n">
        <f aca="false">Sens!K10476-Sens!K10473-Sens!K10480+Sens!K10458*(1-tax_f)</f>
        <v>302.987272130088</v>
      </c>
      <c r="L10505" s="1" t="s">
        <v>1223</v>
      </c>
    </row>
    <row r="10506" customFormat="false" ht="15" hidden="false" customHeight="false" outlineLevel="0" collapsed="false">
      <c r="A10506" s="1" t="s">
        <v>1224</v>
      </c>
      <c r="B10506" s="0" t="s">
        <v>98</v>
      </c>
      <c r="F10506" s="6" t="n">
        <f aca="false">Sens!F10505*Sens!F10503</f>
        <v>-1.110221758834</v>
      </c>
      <c r="G10506" s="6" t="n">
        <f aca="false">Sens!G10505*Sens!G10503</f>
        <v>34.2074422263272</v>
      </c>
      <c r="H10506" s="6" t="n">
        <f aca="false">Sens!H10505*Sens!H10503</f>
        <v>79.0662446223786</v>
      </c>
      <c r="I10506" s="6" t="n">
        <f aca="false">Sens!I10505*Sens!I10503</f>
        <v>131.924569227026</v>
      </c>
      <c r="J10506" s="6" t="n">
        <f aca="false">Sens!J10505*Sens!J10503</f>
        <v>173.399184024592</v>
      </c>
      <c r="K10506" s="6" t="n">
        <f aca="false">Sens!K10505*Sens!K10503</f>
        <v>181.184672788696</v>
      </c>
    </row>
    <row r="10507" customFormat="false" ht="17.15" hidden="false" customHeight="false" outlineLevel="0" collapsed="false">
      <c r="A10507" s="1" t="s">
        <v>1225</v>
      </c>
      <c r="B10507" s="0" t="s">
        <v>98</v>
      </c>
      <c r="C10507" s="6" t="n">
        <f aca="false">SUM(Sens!F10506:K10506)</f>
        <v>598.671891130186</v>
      </c>
    </row>
    <row r="10508" customFormat="false" ht="17.15" hidden="false" customHeight="false" outlineLevel="0" collapsed="false">
      <c r="A10508" s="1" t="s">
        <v>1226</v>
      </c>
      <c r="B10508" s="0" t="s">
        <v>98</v>
      </c>
      <c r="C10508" s="6" t="n">
        <f aca="false">Sens!K10444*(1+g_tv)*(1-tax_f)</f>
        <v>315.560640499265</v>
      </c>
    </row>
    <row r="10509" customFormat="false" ht="17.15" hidden="false" customHeight="false" outlineLevel="0" collapsed="false">
      <c r="A10509" s="1" t="s">
        <v>1227</v>
      </c>
      <c r="B10509" s="0" t="s">
        <v>98</v>
      </c>
      <c r="C10509" s="6" t="n">
        <f aca="false">Sens!$C$10508*(1-g_tv/(wacc+ronic_prem))</f>
        <v>223.593157138745</v>
      </c>
    </row>
    <row r="10510" customFormat="false" ht="17.15" hidden="false" customHeight="false" outlineLevel="0" collapsed="false">
      <c r="A10510" s="1" t="s">
        <v>1228</v>
      </c>
      <c r="B10510" s="0" t="s">
        <v>98</v>
      </c>
      <c r="C10510" s="6" t="n">
        <f aca="false">Sens!$C$10509/(wacc-g_tv)</f>
        <v>3065.58277868403</v>
      </c>
    </row>
    <row r="10511" customFormat="false" ht="15" hidden="false" customHeight="false" outlineLevel="0" collapsed="false">
      <c r="A10511" s="1" t="s">
        <v>1229</v>
      </c>
      <c r="B10511" s="0" t="s">
        <v>98</v>
      </c>
      <c r="C10511" s="6" t="n">
        <f aca="false">Sens!$C$10510/(1+wacc)^Sens!K10502</f>
        <v>1745.56026011161</v>
      </c>
    </row>
    <row r="10512" customFormat="false" ht="17.15" hidden="false" customHeight="false" outlineLevel="0" collapsed="false">
      <c r="A10512" s="0" t="s">
        <v>1230</v>
      </c>
      <c r="B10512" s="0" t="s">
        <v>98</v>
      </c>
      <c r="C10512" s="6" t="n">
        <f aca="false">Sens!$C$10507+Sens!$C$10511</f>
        <v>2344.2321512418</v>
      </c>
    </row>
    <row r="10513" customFormat="false" ht="15" hidden="false" customHeight="false" outlineLevel="0" collapsed="false">
      <c r="A10513" s="1" t="s">
        <v>1145</v>
      </c>
      <c r="B10513" s="0" t="s">
        <v>168</v>
      </c>
      <c r="C10513" s="7" t="n">
        <f aca="false">Sens!$C$10511/Sens!$C$10512</f>
        <v>0.74461919617771</v>
      </c>
    </row>
    <row r="10514" customFormat="false" ht="17.15" hidden="false" customHeight="false" outlineLevel="0" collapsed="false">
      <c r="A10514" s="1" t="s">
        <v>1231</v>
      </c>
      <c r="B10514" s="0" t="s">
        <v>98</v>
      </c>
      <c r="C10514" s="6" t="n">
        <f aca="false">Sens!$C$10512+cash_val-debt_val-fl_val+oai_v</f>
        <v>2460.0831512418</v>
      </c>
    </row>
    <row r="10515" customFormat="false" ht="17.15" hidden="false" customHeight="false" outlineLevel="0" collapsed="false">
      <c r="A10515" s="0" t="s">
        <v>1153</v>
      </c>
      <c r="B10515" s="0" t="s">
        <v>75</v>
      </c>
      <c r="C10515" s="5" t="n">
        <f aca="false">Sens!$C$10514/shd_val</f>
        <v>330.38989406954</v>
      </c>
    </row>
    <row r="10516" customFormat="false" ht="15" hidden="false" customHeight="false" outlineLevel="0" collapsed="false">
      <c r="A10516" s="1" t="s">
        <v>1232</v>
      </c>
      <c r="B10516" s="0" t="s">
        <v>75</v>
      </c>
      <c r="C10516" s="8" t="n">
        <f aca="false">div_rem27+Sens!G10484*roll_div_q/q_per_yr</f>
        <v>3.9795</v>
      </c>
    </row>
    <row r="10517" customFormat="false" ht="17.15" hidden="false" customHeight="false" outlineLevel="0" collapsed="false">
      <c r="A10517" s="0" t="s">
        <v>1233</v>
      </c>
      <c r="B10517" s="0" t="s">
        <v>75</v>
      </c>
      <c r="C10517" s="5" t="n">
        <f aca="false">Sens!$C$10515*(1+wacc)^t_roll-Sens!$C$10516</f>
        <v>363.267306564032</v>
      </c>
    </row>
    <row r="10518" customFormat="false" ht="17.15" hidden="false" customHeight="false" outlineLevel="0" collapsed="false">
      <c r="A10518" s="1" t="s">
        <v>1234</v>
      </c>
      <c r="B10518" s="0" t="s">
        <v>168</v>
      </c>
      <c r="F10518" s="7" t="n">
        <f aca="false">Sens!F10470/(Sens!F10415-Sens!F10370)</f>
        <v>0.0685715622724502</v>
      </c>
      <c r="G10518" s="7" t="n">
        <f aca="false">Sens!G10470/(Sens!G10415-Sens!G10370)</f>
        <v>0.0654127890079339</v>
      </c>
      <c r="H10518" s="7" t="n">
        <f aca="false">Sens!H10470/(Sens!H10415-Sens!H10370)</f>
        <v>0.0637679229236708</v>
      </c>
      <c r="I10518" s="7" t="n">
        <f aca="false">Sens!I10470/(Sens!I10415-Sens!I10370)</f>
        <v>0.0635252632573524</v>
      </c>
      <c r="J10518" s="7" t="n">
        <f aca="false">Sens!J10470/(Sens!J10415-Sens!J10370)</f>
        <v>0.0643324137810722</v>
      </c>
      <c r="K10518" s="7" t="n">
        <f aca="false">Sens!K10470/(Sens!K10415-Sens!K10370)</f>
        <v>0.0657357678931575</v>
      </c>
    </row>
    <row r="10519" customFormat="false" ht="17.15" hidden="false" customHeight="false" outlineLevel="0" collapsed="false">
      <c r="A10519" s="0" t="s">
        <v>1235</v>
      </c>
      <c r="B10519" s="0" t="s">
        <v>98</v>
      </c>
      <c r="F10519" s="6" t="n">
        <f aca="false">Sens!F10400*(al_m365+Sens!F10518+sbc_r)</f>
        <v>84.5236453677987</v>
      </c>
      <c r="G10519" s="6" t="n">
        <f aca="false">Sens!G10400*(al_m365+Sens!G10518+sbc_r)</f>
        <v>98.9578707044721</v>
      </c>
      <c r="H10519" s="6" t="n">
        <f aca="false">Sens!H10400*(al_m365+Sens!H10518+sbc_r)</f>
        <v>113.560746723852</v>
      </c>
      <c r="I10519" s="6" t="n">
        <f aca="false">Sens!I10400*(al_m365+Sens!I10518+sbc_r)</f>
        <v>126.65079248711</v>
      </c>
      <c r="J10519" s="6" t="n">
        <f aca="false">Sens!J10400*(al_m365+Sens!J10518+sbc_r)</f>
        <v>138.042860651802</v>
      </c>
      <c r="K10519" s="6" t="n">
        <f aca="false">Sens!K10400*(al_m365+Sens!K10518+sbc_r)</f>
        <v>149.061207564105</v>
      </c>
      <c r="L10519" s="12" t="s">
        <v>1236</v>
      </c>
    </row>
    <row r="10520" customFormat="false" ht="17.15" hidden="false" customHeight="false" outlineLevel="0" collapsed="false">
      <c r="A10520" s="0" t="s">
        <v>1237</v>
      </c>
      <c r="B10520" s="0" t="s">
        <v>98</v>
      </c>
      <c r="F10520" s="6" t="n">
        <f aca="false">Sens!F10401*(al_lic+Sens!F10518+sbc_r)</f>
        <v>32.8559230541722</v>
      </c>
      <c r="G10520" s="6" t="n">
        <f aca="false">Sens!G10401*(al_lic+Sens!G10518+sbc_r)</f>
        <v>34.1207994853915</v>
      </c>
      <c r="H10520" s="6" t="n">
        <f aca="false">Sens!H10401*(al_lic+Sens!H10518+sbc_r)</f>
        <v>35.306788078081</v>
      </c>
      <c r="I10520" s="6" t="n">
        <f aca="false">Sens!I10401*(al_lic+Sens!I10518+sbc_r)</f>
        <v>36.3969967453266</v>
      </c>
      <c r="J10520" s="6" t="n">
        <f aca="false">Sens!J10401*(al_lic+Sens!J10518+sbc_r)</f>
        <v>37.3636615912301</v>
      </c>
      <c r="K10520" s="6" t="n">
        <f aca="false">Sens!K10401*(al_lic+Sens!K10518+sbc_r)</f>
        <v>38.1737294634035</v>
      </c>
    </row>
    <row r="10521" customFormat="false" ht="17.15" hidden="false" customHeight="false" outlineLevel="0" collapsed="false">
      <c r="A10521" s="0" t="s">
        <v>1238</v>
      </c>
      <c r="B10521" s="0" t="s">
        <v>98</v>
      </c>
      <c r="F10521" s="6" t="n">
        <f aca="false">Sens!F10403*(al_ind+Sens!F10518+sbc_r)</f>
        <v>9.05934573123003</v>
      </c>
      <c r="G10521" s="6" t="n">
        <f aca="false">Sens!G10403*(al_ind+Sens!G10518+sbc_r)</f>
        <v>9.82593134642278</v>
      </c>
      <c r="H10521" s="6" t="n">
        <f aca="false">Sens!H10403*(al_ind+Sens!H10518+sbc_r)</f>
        <v>10.6405270050758</v>
      </c>
      <c r="I10521" s="6" t="n">
        <f aca="false">Sens!I10403*(al_ind+Sens!I10518+sbc_r)</f>
        <v>11.5014277400643</v>
      </c>
      <c r="J10521" s="6" t="n">
        <f aca="false">Sens!J10403*(al_ind+Sens!J10518+sbc_r)</f>
        <v>12.3979279014737</v>
      </c>
      <c r="K10521" s="6" t="n">
        <f aca="false">Sens!K10403*(al_ind+Sens!K10518+sbc_r)</f>
        <v>13.3121256372038</v>
      </c>
    </row>
    <row r="10522" customFormat="false" ht="17.15" hidden="false" customHeight="false" outlineLevel="0" collapsed="false">
      <c r="A10522" s="0" t="s">
        <v>1239</v>
      </c>
      <c r="B10522" s="0" t="s">
        <v>98</v>
      </c>
      <c r="F10522" s="6" t="n">
        <f aca="false">Sens!F10405*(al_fro+Sens!F10518+sbc_r)</f>
        <v>3.55360928279288</v>
      </c>
      <c r="G10522" s="6" t="n">
        <f aca="false">Sens!G10405*(al_fro+Sens!G10518+sbc_r)</f>
        <v>3.7596893112621</v>
      </c>
      <c r="H10522" s="6" t="n">
        <f aca="false">Sens!H10405*(al_fro+Sens!H10518+sbc_r)</f>
        <v>3.99601729335123</v>
      </c>
      <c r="I10522" s="6" t="n">
        <f aca="false">Sens!I10405*(al_fro+Sens!I10518+sbc_r)</f>
        <v>4.26574126573329</v>
      </c>
      <c r="J10522" s="6" t="n">
        <f aca="false">Sens!J10405*(al_fro+Sens!J10518+sbc_r)</f>
        <v>4.56956670497921</v>
      </c>
      <c r="K10522" s="6" t="n">
        <f aca="false">Sens!K10405*(al_fro+Sens!K10518+sbc_r)</f>
        <v>4.90651716703689</v>
      </c>
    </row>
    <row r="10523" customFormat="false" ht="17.15" hidden="false" customHeight="false" outlineLevel="0" collapsed="false">
      <c r="A10523" s="0" t="s">
        <v>1240</v>
      </c>
      <c r="B10523" s="0" t="s">
        <v>98</v>
      </c>
      <c r="F10523" s="6" t="n">
        <f aca="false">Sens!F10408*(al_srch+Sens!F10518+sbc_r)</f>
        <v>11.1494188724083</v>
      </c>
      <c r="G10523" s="6" t="n">
        <f aca="false">Sens!G10408*(al_srch+Sens!G10518+sbc_r)</f>
        <v>12.0963369550574</v>
      </c>
      <c r="H10523" s="6" t="n">
        <f aca="false">Sens!H10408*(al_srch+Sens!H10518+sbc_r)</f>
        <v>13.0116406832111</v>
      </c>
      <c r="I10523" s="6" t="n">
        <f aca="false">Sens!I10408*(al_srch+Sens!I10518+sbc_r)</f>
        <v>13.8713681740827</v>
      </c>
      <c r="J10523" s="6" t="n">
        <f aca="false">Sens!J10408*(al_srch+Sens!J10518+sbc_r)</f>
        <v>14.6409548642513</v>
      </c>
      <c r="K10523" s="6" t="n">
        <f aca="false">Sens!K10408*(al_srch+Sens!K10518+sbc_r)</f>
        <v>15.2797857501241</v>
      </c>
    </row>
    <row r="10524" customFormat="false" ht="17.15" hidden="false" customHeight="false" outlineLevel="0" collapsed="false">
      <c r="A10524" s="0" t="s">
        <v>1241</v>
      </c>
      <c r="B10524" s="0" t="s">
        <v>98</v>
      </c>
      <c r="F10524" s="6" t="n">
        <f aca="false">Sens!F10376-Sens!F10377+Sens!F10458</f>
        <v>45.3782580567763</v>
      </c>
      <c r="G10524" s="6" t="n">
        <f aca="false">Sens!G10376-Sens!G10377+Sens!G10458</f>
        <v>91.0863367558165</v>
      </c>
      <c r="H10524" s="6" t="n">
        <f aca="false">Sens!H10376-Sens!H10377+Sens!H10458</f>
        <v>144.617532464853</v>
      </c>
      <c r="I10524" s="6" t="n">
        <f aca="false">Sens!I10376-Sens!I10377+Sens!I10458</f>
        <v>187.137304561304</v>
      </c>
      <c r="J10524" s="6" t="n">
        <f aca="false">Sens!J10376-Sens!J10377+Sens!J10458</f>
        <v>217.006854425907</v>
      </c>
      <c r="K10524" s="6" t="n">
        <f aca="false">Sens!K10376-Sens!K10377+Sens!K10458</f>
        <v>234.933637903877</v>
      </c>
    </row>
    <row r="10525" customFormat="false" ht="17.15" hidden="false" customHeight="false" outlineLevel="0" collapsed="false">
      <c r="A10525" s="0" t="s">
        <v>1242</v>
      </c>
      <c r="B10525" s="0" t="s">
        <v>98</v>
      </c>
      <c r="F10525" s="6" t="n">
        <f aca="false">Sens!F10437+Sens!F10458+Sens!F10388+Sens!F10518*(Sens!F10407-Sens!F10370)+sbc_r*Sens!F10407</f>
        <v>240.822850018181</v>
      </c>
      <c r="G10525" s="6" t="n">
        <f aca="false">Sens!G10437+Sens!G10458+Sens!G10388+Sens!G10518*(Sens!G10407-Sens!G10370)+sbc_r*Sens!G10407</f>
        <v>311.935144264234</v>
      </c>
      <c r="H10525" s="6" t="n">
        <f aca="false">Sens!H10437+Sens!H10458+Sens!H10388+Sens!H10518*(Sens!H10407-Sens!H10370)+sbc_r*Sens!H10407</f>
        <v>395.52394794064</v>
      </c>
      <c r="I10525" s="6" t="n">
        <f aca="false">Sens!I10437+Sens!I10458+Sens!I10388+Sens!I10518*(Sens!I10407-Sens!I10370)+sbc_r*Sens!I10407</f>
        <v>466.017847132527</v>
      </c>
      <c r="J10525" s="6" t="n">
        <f aca="false">Sens!J10437+Sens!J10458+Sens!J10388+Sens!J10518*(Sens!J10407-Sens!J10370)+sbc_r*Sens!J10407</f>
        <v>520.893976207952</v>
      </c>
      <c r="K10525" s="6" t="n">
        <f aca="false">Sens!K10437+Sens!K10458+Sens!K10388+Sens!K10518*(Sens!K10407-Sens!K10370)+sbc_r*Sens!K10407</f>
        <v>561.406524365561</v>
      </c>
    </row>
    <row r="10526" customFormat="false" ht="17.15" hidden="false" customHeight="false" outlineLevel="0" collapsed="false">
      <c r="A10526" s="0" t="s">
        <v>1243</v>
      </c>
      <c r="B10526" s="0" t="s">
        <v>98</v>
      </c>
      <c r="F10526" s="6" t="n">
        <f aca="false">Sens!F10525-Sens!F10519-Sens!F10520-Sens!F10521-Sens!F10522-Sens!F10524</f>
        <v>65.452068525411</v>
      </c>
      <c r="G10526" s="6" t="n">
        <f aca="false">Sens!G10525-Sens!G10519-Sens!G10520-Sens!G10521-Sens!G10522-Sens!G10524</f>
        <v>74.1845166608689</v>
      </c>
      <c r="H10526" s="6" t="n">
        <f aca="false">Sens!H10525-Sens!H10519-Sens!H10520-Sens!H10521-Sens!H10522-Sens!H10524</f>
        <v>87.402336375426</v>
      </c>
      <c r="I10526" s="6" t="n">
        <f aca="false">Sens!I10525-Sens!I10519-Sens!I10520-Sens!I10521-Sens!I10522-Sens!I10524</f>
        <v>100.065584332989</v>
      </c>
      <c r="J10526" s="6" t="n">
        <f aca="false">Sens!J10525-Sens!J10519-Sens!J10520-Sens!J10521-Sens!J10522-Sens!J10524</f>
        <v>111.51310493256</v>
      </c>
      <c r="K10526" s="6" t="n">
        <f aca="false">Sens!K10525-Sens!K10519-Sens!K10520-Sens!K10521-Sens!K10522-Sens!K10524</f>
        <v>121.019306629935</v>
      </c>
    </row>
    <row r="10527" customFormat="false" ht="17.15" hidden="false" customHeight="false" outlineLevel="0" collapsed="false">
      <c r="A10527" s="0" t="s">
        <v>1244</v>
      </c>
      <c r="B10527" s="0" t="s">
        <v>98</v>
      </c>
      <c r="F10527" s="6" t="n">
        <f aca="false">Sens!F10439+Sens!F10518*Sens!F10414+sbc_r*Sens!F10414</f>
        <v>26.5925595266205</v>
      </c>
      <c r="G10527" s="6" t="n">
        <f aca="false">Sens!G10439+Sens!G10518*Sens!G10414+sbc_r*Sens!G10414</f>
        <v>26.2930367527568</v>
      </c>
      <c r="H10527" s="6" t="n">
        <f aca="false">Sens!H10439+Sens!H10518*Sens!H10414+sbc_r*Sens!H10414</f>
        <v>26.9602149117162</v>
      </c>
      <c r="I10527" s="6" t="n">
        <f aca="false">Sens!I10439+Sens!I10518*Sens!I10414+sbc_r*Sens!I10414</f>
        <v>27.7804361762189</v>
      </c>
      <c r="J10527" s="6" t="n">
        <f aca="false">Sens!J10439+Sens!J10518*Sens!J10414+sbc_r*Sens!J10414</f>
        <v>28.7015375208973</v>
      </c>
      <c r="K10527" s="6" t="n">
        <f aca="false">Sens!K10439+Sens!K10518*Sens!K10414+sbc_r*Sens!K10414</f>
        <v>29.6698922787903</v>
      </c>
    </row>
    <row r="10528" customFormat="false" ht="17.15" hidden="false" customHeight="false" outlineLevel="0" collapsed="false">
      <c r="A10528" s="0" t="s">
        <v>1245</v>
      </c>
      <c r="B10528" s="0" t="s">
        <v>98</v>
      </c>
      <c r="F10528" s="6" t="n">
        <f aca="false">(Sens!F10527-Sens!F10523)*Sens!F10410/(Sens!F10410+Sens!F10412)</f>
        <v>8.72206220174644</v>
      </c>
      <c r="G10528" s="6" t="n">
        <f aca="false">(Sens!G10527-Sens!G10523)*Sens!G10410/(Sens!G10410+Sens!G10412)</f>
        <v>7.88028924746335</v>
      </c>
      <c r="H10528" s="6" t="n">
        <f aca="false">(Sens!H10527-Sens!H10523)*Sens!H10410/(Sens!H10410+Sens!H10412)</f>
        <v>7.64169733456305</v>
      </c>
      <c r="I10528" s="6" t="n">
        <f aca="false">(Sens!I10527-Sens!I10523)*Sens!I10410/(Sens!I10410+Sens!I10412)</f>
        <v>7.55354264077756</v>
      </c>
      <c r="J10528" s="6" t="n">
        <f aca="false">(Sens!J10527-Sens!J10523)*Sens!J10410/(Sens!J10410+Sens!J10412)</f>
        <v>7.60251036234706</v>
      </c>
      <c r="K10528" s="6" t="n">
        <f aca="false">(Sens!K10527-Sens!K10523)*Sens!K10410/(Sens!K10410+Sens!K10412)</f>
        <v>7.78068282595336</v>
      </c>
    </row>
    <row r="10529" customFormat="false" ht="17.15" hidden="false" customHeight="false" outlineLevel="0" collapsed="false">
      <c r="A10529" s="0" t="s">
        <v>1246</v>
      </c>
      <c r="B10529" s="0" t="s">
        <v>98</v>
      </c>
      <c r="F10529" s="6" t="n">
        <f aca="false">Sens!F10527-Sens!F10523-Sens!F10528</f>
        <v>6.72107845246577</v>
      </c>
      <c r="G10529" s="6" t="n">
        <f aca="false">Sens!G10527-Sens!G10523-Sens!G10528</f>
        <v>6.31641055023606</v>
      </c>
      <c r="H10529" s="6" t="n">
        <f aca="false">Sens!H10527-Sens!H10523-Sens!H10528</f>
        <v>6.30687689394208</v>
      </c>
      <c r="I10529" s="6" t="n">
        <f aca="false">Sens!I10527-Sens!I10523-Sens!I10528</f>
        <v>6.35552536135857</v>
      </c>
      <c r="J10529" s="6" t="n">
        <f aca="false">Sens!J10527-Sens!J10523-Sens!J10528</f>
        <v>6.45807229429887</v>
      </c>
      <c r="K10529" s="6" t="n">
        <f aca="false">Sens!K10527-Sens!K10523-Sens!K10528</f>
        <v>6.60942370271282</v>
      </c>
    </row>
    <row r="10530" customFormat="false" ht="17.15" hidden="false" customHeight="false" outlineLevel="0" collapsed="false">
      <c r="A10530" s="0" t="s">
        <v>1247</v>
      </c>
      <c r="B10530" s="0" t="s">
        <v>98</v>
      </c>
      <c r="F10530" s="6" t="n">
        <f aca="false">Sens!F10524-tax_f*(Sens!F10524-Sens!F10388)-Sens!F10385</f>
        <v>-125.235434701028</v>
      </c>
      <c r="G10530" s="6" t="n">
        <f aca="false">Sens!G10524-tax_f*(Sens!G10524-Sens!G10388)-Sens!G10385</f>
        <v>-106.928508113935</v>
      </c>
      <c r="H10530" s="6" t="n">
        <f aca="false">Sens!H10524-tax_f*(Sens!H10524-Sens!H10388)-Sens!H10385</f>
        <v>-63.2919599603405</v>
      </c>
      <c r="I10530" s="6" t="n">
        <f aca="false">Sens!I10524-tax_f*(Sens!I10524-Sens!I10388)-Sens!I10385</f>
        <v>3.94121196634245</v>
      </c>
      <c r="J10530" s="6" t="n">
        <f aca="false">Sens!J10524-tax_f*(Sens!J10524-Sens!J10388)-Sens!J10385</f>
        <v>71.0786869547042</v>
      </c>
      <c r="K10530" s="6" t="n">
        <f aca="false">Sens!K10524-tax_f*(Sens!K10524-Sens!K10388)-Sens!K10385</f>
        <v>97.5865911685559</v>
      </c>
    </row>
    <row r="10531" customFormat="false" ht="17.15" hidden="false" customHeight="false" outlineLevel="0" collapsed="false">
      <c r="A10531" s="0" t="s">
        <v>1248</v>
      </c>
      <c r="B10531" s="0" t="s">
        <v>98</v>
      </c>
      <c r="G10531" s="6" t="n">
        <f aca="false">Sens!G10530/(1+wacc)^(Sens!G10501-Sens!F10502)</f>
        <v>-101.81651667568</v>
      </c>
      <c r="H10531" s="6" t="n">
        <f aca="false">Sens!H10530/(1+wacc)^(Sens!H10501-Sens!F10502)</f>
        <v>-54.6415143556151</v>
      </c>
      <c r="I10531" s="6" t="n">
        <f aca="false">Sens!I10530/(1+wacc)^(Sens!I10501-Sens!F10502)</f>
        <v>3.08498765169516</v>
      </c>
      <c r="J10531" s="6" t="n">
        <f aca="false">Sens!J10530/(1+wacc)^(Sens!J10501-Sens!F10502)</f>
        <v>50.4443451596971</v>
      </c>
      <c r="K10531" s="6" t="n">
        <f aca="false">Sens!K10530/(1+wacc)^(Sens!K10501-Sens!F10502)</f>
        <v>62.7932114544856</v>
      </c>
      <c r="L10531" s="1" t="s">
        <v>1249</v>
      </c>
    </row>
    <row r="10532" customFormat="false" ht="17.15" hidden="false" customHeight="false" outlineLevel="0" collapsed="false">
      <c r="A10532" s="0" t="s">
        <v>1250</v>
      </c>
      <c r="B10532" s="0" t="s">
        <v>98</v>
      </c>
      <c r="C10532" s="6" t="n">
        <f aca="false">(Sens!K10524-Sens!K10388)*(1-tax_f)*(1+g_tv)*(1-g_tv/(wacc+ronic_prem))/(wacc-g_tv)/(1+wacc)^(Sens!K10502-Sens!F10502)</f>
        <v>450.836735002813</v>
      </c>
    </row>
    <row r="10533" customFormat="false" ht="17.15" hidden="false" customHeight="false" outlineLevel="0" collapsed="false">
      <c r="A10533" s="1" t="s">
        <v>1251</v>
      </c>
      <c r="B10533" s="0" t="s">
        <v>98</v>
      </c>
      <c r="C10533" s="6" t="n">
        <f aca="false">(SUM(Sens!G10531:K10531)+Sens!$C$10532)*(1+wacc)^(t_roll-Sens!F10502)</f>
        <v>424.259738494477</v>
      </c>
      <c r="L10533" s="12" t="s">
        <v>1252</v>
      </c>
    </row>
    <row r="10534" customFormat="false" ht="17.15" hidden="false" customHeight="false" outlineLevel="0" collapsed="false">
      <c r="A10534" s="1" t="s">
        <v>1253</v>
      </c>
      <c r="B10534" s="0" t="s">
        <v>98</v>
      </c>
      <c r="C10534" s="6" t="n">
        <f aca="false">(w_ntm28*Sens!G10376+(1-w_ntm28)*Sens!H10376)*m_ai</f>
        <v>563.316843258668</v>
      </c>
    </row>
    <row r="10535" customFormat="false" ht="17.15" hidden="false" customHeight="false" outlineLevel="0" collapsed="false">
      <c r="A10535" s="1" t="s">
        <v>1254</v>
      </c>
      <c r="B10535" s="0" t="s">
        <v>98</v>
      </c>
      <c r="C10535" s="6" t="n">
        <f aca="false">(w_ntm28*Sens!G10526+(1-w_ntm28)*Sens!H10526)*m_cloud</f>
        <v>1085.2859989234</v>
      </c>
    </row>
    <row r="10536" customFormat="false" ht="17.15" hidden="false" customHeight="false" outlineLevel="0" collapsed="false">
      <c r="A10536" s="1" t="s">
        <v>1255</v>
      </c>
      <c r="B10536" s="0" t="s">
        <v>98</v>
      </c>
      <c r="C10536" s="6" t="n">
        <f aca="false">(w_ntm28*Sens!G10519+(1-w_ntm28)*Sens!H10519)*m_sw</f>
        <v>1120.59521544697</v>
      </c>
    </row>
    <row r="10537" customFormat="false" ht="17.15" hidden="false" customHeight="false" outlineLevel="0" collapsed="false">
      <c r="A10537" s="1" t="s">
        <v>1256</v>
      </c>
      <c r="B10537" s="0" t="s">
        <v>98</v>
      </c>
      <c r="C10537" s="6" t="n">
        <f aca="false">(w_ntm28*Sens!G10520+(1-w_ntm28)*Sens!H10520)*m_sw</f>
        <v>372.71570626723</v>
      </c>
    </row>
    <row r="10538" customFormat="false" ht="17.15" hidden="false" customHeight="false" outlineLevel="0" collapsed="false">
      <c r="A10538" s="1" t="s">
        <v>1257</v>
      </c>
      <c r="B10538" s="0" t="s">
        <v>98</v>
      </c>
      <c r="C10538" s="6" t="n">
        <f aca="false">(w_ntm28*Sens!G10521+(1-w_ntm28)*Sens!H10521)*m_sw</f>
        <v>109.012431071816</v>
      </c>
    </row>
    <row r="10539" customFormat="false" ht="17.15" hidden="false" customHeight="false" outlineLevel="0" collapsed="false">
      <c r="A10539" s="1" t="s">
        <v>1258</v>
      </c>
      <c r="B10539" s="0" t="s">
        <v>98</v>
      </c>
      <c r="C10539" s="6" t="n">
        <f aca="false">(w_ntm28*Sens!G10522+(1-w_ntm28)*Sens!H10522)*m_sw</f>
        <v>41.443770766528</v>
      </c>
    </row>
    <row r="10540" customFormat="false" ht="17.15" hidden="false" customHeight="false" outlineLevel="0" collapsed="false">
      <c r="A10540" s="1" t="s">
        <v>1259</v>
      </c>
      <c r="B10540" s="0" t="s">
        <v>98</v>
      </c>
      <c r="C10540" s="6" t="n">
        <f aca="false">(w_ntm28*Sens!G10523+(1-w_ntm28)*Sens!H10523)*m_ads</f>
        <v>112.939027018429</v>
      </c>
    </row>
    <row r="10541" customFormat="false" ht="17.15" hidden="false" customHeight="false" outlineLevel="0" collapsed="false">
      <c r="A10541" s="1" t="s">
        <v>1260</v>
      </c>
      <c r="B10541" s="0" t="s">
        <v>98</v>
      </c>
      <c r="C10541" s="6" t="n">
        <f aca="false">(w_ntm28*Sens!G10528+(1-w_ntm28)*Sens!H10528)*m_game</f>
        <v>98.5373411319232</v>
      </c>
    </row>
    <row r="10542" customFormat="false" ht="17.15" hidden="false" customHeight="false" outlineLevel="0" collapsed="false">
      <c r="A10542" s="1" t="s">
        <v>1261</v>
      </c>
      <c r="B10542" s="0" t="s">
        <v>98</v>
      </c>
      <c r="C10542" s="6" t="n">
        <f aca="false">(w_ntm28*Sens!G10529+(1-w_ntm28)*Sens!H10529)*m_pc</f>
        <v>91.3531065775627</v>
      </c>
    </row>
    <row r="10543" customFormat="false" ht="17.15" hidden="false" customHeight="false" outlineLevel="0" collapsed="false">
      <c r="A10543" s="1" t="s">
        <v>1262</v>
      </c>
      <c r="B10543" s="0" t="s">
        <v>98</v>
      </c>
      <c r="C10543" s="6" t="n">
        <f aca="false">Sens!$C$10533+Sens!$C$10535+Sens!$C$10536+Sens!$C$10537+Sens!$C$10538+Sens!$C$10539+Sens!$C$10540+Sens!$C$10541+Sens!$C$10542</f>
        <v>3456.14233569835</v>
      </c>
    </row>
    <row r="10544" customFormat="false" ht="17.15" hidden="false" customHeight="false" outlineLevel="0" collapsed="false">
      <c r="A10544" s="1" t="s">
        <v>1263</v>
      </c>
      <c r="B10544" s="0" t="s">
        <v>98</v>
      </c>
      <c r="C10544" s="6" t="n">
        <f aca="false">(Sens!G10505-Sens!G10530)*t_stub</f>
        <v>48.2623925545652</v>
      </c>
      <c r="L10544" s="1" t="s">
        <v>1264</v>
      </c>
    </row>
    <row r="10545" customFormat="false" ht="17.15" hidden="false" customHeight="false" outlineLevel="0" collapsed="false">
      <c r="A10545" s="1" t="s">
        <v>1173</v>
      </c>
      <c r="B10545" s="0" t="s">
        <v>98</v>
      </c>
      <c r="C10545" s="6" t="n">
        <f aca="false">Sens!F10492+oai_v-Sens!F10481+Sens!$C$10544</f>
        <v>162.490662554565</v>
      </c>
      <c r="L10545" s="1" t="s">
        <v>1265</v>
      </c>
    </row>
    <row r="10546" customFormat="false" ht="17.15" hidden="false" customHeight="false" outlineLevel="0" collapsed="false">
      <c r="A10546" s="1" t="s">
        <v>1266</v>
      </c>
      <c r="B10546" s="0" t="s">
        <v>75</v>
      </c>
      <c r="C10546" s="5" t="n">
        <f aca="false">(Sens!$C$10543+Sens!$C$10545)/(Sens!F10494+dil_gap)-Sens!G10484*roll_div_q/q_per_yr</f>
        <v>482.068870558758</v>
      </c>
      <c r="L10546" s="1" t="s">
        <v>1267</v>
      </c>
    </row>
    <row r="10547" customFormat="false" ht="17.15" hidden="false" customHeight="false" outlineLevel="0" collapsed="false">
      <c r="A10547" s="1" t="s">
        <v>1268</v>
      </c>
      <c r="B10547" s="0" t="s">
        <v>75</v>
      </c>
      <c r="C10547" s="5" t="n">
        <f aca="false">w_dcf*Sens!$C$10517+(1-w_dcf)*Sens!$C$10546</f>
        <v>422.668088561395</v>
      </c>
    </row>
    <row r="10548" customFormat="false" ht="17.15" hidden="false" customHeight="false" outlineLevel="0" collapsed="false">
      <c r="A10548" s="3" t="s">
        <v>1875</v>
      </c>
    </row>
    <row r="10549" customFormat="false" ht="15" hidden="false" customHeight="false" outlineLevel="0" collapsed="false">
      <c r="A10549" s="4" t="s">
        <v>43</v>
      </c>
      <c r="B10549" s="4" t="s">
        <v>65</v>
      </c>
      <c r="C10549" s="23" t="s">
        <v>942</v>
      </c>
      <c r="D10549" s="23" t="s">
        <v>943</v>
      </c>
      <c r="E10549" s="23" t="s">
        <v>944</v>
      </c>
      <c r="F10549" s="23" t="s">
        <v>945</v>
      </c>
      <c r="G10549" s="23" t="s">
        <v>946</v>
      </c>
      <c r="H10549" s="23" t="s">
        <v>947</v>
      </c>
      <c r="I10549" s="23" t="s">
        <v>948</v>
      </c>
      <c r="J10549" s="23" t="s">
        <v>949</v>
      </c>
      <c r="K10549" s="23" t="s">
        <v>950</v>
      </c>
      <c r="L10549" s="4" t="s">
        <v>47</v>
      </c>
    </row>
    <row r="10550" customFormat="false" ht="17.15" hidden="false" customHeight="false" outlineLevel="0" collapsed="false">
      <c r="A10550" s="1" t="s">
        <v>951</v>
      </c>
      <c r="B10550" s="1" t="s">
        <v>279</v>
      </c>
      <c r="C10550" s="21" t="n">
        <v>2024</v>
      </c>
      <c r="D10550" s="21" t="n">
        <v>2025</v>
      </c>
      <c r="E10550" s="21" t="n">
        <v>2026</v>
      </c>
      <c r="F10550" s="21" t="n">
        <v>2027</v>
      </c>
      <c r="G10550" s="21" t="n">
        <v>2028</v>
      </c>
      <c r="H10550" s="21" t="n">
        <v>2029</v>
      </c>
      <c r="I10550" s="21" t="n">
        <v>2030</v>
      </c>
      <c r="J10550" s="21" t="n">
        <v>2031</v>
      </c>
      <c r="K10550" s="21" t="n">
        <v>2032</v>
      </c>
    </row>
    <row r="10551" customFormat="false" ht="17.15" hidden="false" customHeight="false" outlineLevel="0" collapsed="false">
      <c r="A10551" s="1" t="s">
        <v>952</v>
      </c>
      <c r="B10551" s="0" t="s">
        <v>459</v>
      </c>
      <c r="F10551" s="30" t="n">
        <f aca="false">pace</f>
        <v>2726.5351</v>
      </c>
      <c r="G10551" s="30" t="n">
        <f aca="false">pace</f>
        <v>2726.5351</v>
      </c>
      <c r="H10551" s="30" t="n">
        <f aca="false">pace</f>
        <v>2726.5351</v>
      </c>
      <c r="I10551" s="30" t="n">
        <f aca="false">pace+(g_tv*Sens!H10552-pace)*MIN(1,(Sens!I10550-pace_y0)/(pace_y1-pace_y0))</f>
        <v>1931.98611966667</v>
      </c>
      <c r="J10551" s="30" t="n">
        <f aca="false">pace+(g_tv*Sens!I10552-pace)*MIN(1,(Sens!J10550-pace_y0)/(pace_y1-pace_y0))</f>
        <v>1176.07686172667</v>
      </c>
      <c r="K10551" s="30" t="n">
        <f aca="false">pace+(g_tv*Sens!J10552-pace)*MIN(1,(Sens!K10550-pace_y0)/(pace_y1-pace_y0))</f>
        <v>436.1300484418</v>
      </c>
      <c r="L10551" s="12" t="s">
        <v>953</v>
      </c>
    </row>
    <row r="10552" customFormat="false" ht="17.15" hidden="false" customHeight="false" outlineLevel="0" collapsed="false">
      <c r="A10552" s="1" t="s">
        <v>954</v>
      </c>
      <c r="B10552" s="0" t="s">
        <v>459</v>
      </c>
      <c r="C10552" s="30" t="n">
        <f aca="false">mw_ext_24</f>
        <v>640</v>
      </c>
      <c r="D10552" s="30" t="n">
        <f aca="false">mw_ext_25</f>
        <v>1630</v>
      </c>
      <c r="E10552" s="30" t="n">
        <f aca="false">mw_ext_26</f>
        <v>3250</v>
      </c>
      <c r="F10552" s="30" t="n">
        <f aca="false">Sens!E10552+Sens!F10551</f>
        <v>5976.5351</v>
      </c>
      <c r="G10552" s="30" t="n">
        <f aca="false">Sens!F10552+Sens!G10551</f>
        <v>8703.0702</v>
      </c>
      <c r="H10552" s="30" t="n">
        <f aca="false">Sens!G10552+Sens!H10551</f>
        <v>11429.6053</v>
      </c>
      <c r="I10552" s="30" t="n">
        <f aca="false">Sens!H10552+Sens!I10551</f>
        <v>13361.5914196667</v>
      </c>
      <c r="J10552" s="30" t="n">
        <f aca="false">Sens!I10552+Sens!J10551</f>
        <v>14537.6682813933</v>
      </c>
      <c r="K10552" s="30" t="n">
        <f aca="false">Sens!J10552+Sens!K10551</f>
        <v>14973.7983298351</v>
      </c>
      <c r="L10552" s="1" t="s">
        <v>955</v>
      </c>
    </row>
    <row r="10553" customFormat="false" ht="17.15" hidden="false" customHeight="false" outlineLevel="0" collapsed="false">
      <c r="A10553" s="1" t="s">
        <v>956</v>
      </c>
      <c r="B10553" s="0" t="s">
        <v>459</v>
      </c>
      <c r="C10553" s="30" t="n">
        <f aca="false">rent_ext_24</f>
        <v>150</v>
      </c>
      <c r="D10553" s="30" t="n">
        <f aca="false">rent_ext_25</f>
        <v>400</v>
      </c>
      <c r="E10553" s="30" t="n">
        <f aca="false">rent_ext_26</f>
        <v>550</v>
      </c>
      <c r="F10553" s="30" t="n">
        <f aca="false">rent_ext_f</f>
        <v>756</v>
      </c>
      <c r="G10553" s="30" t="n">
        <f aca="false">rent_ext_f</f>
        <v>756</v>
      </c>
      <c r="H10553" s="30" t="n">
        <f aca="false">rent_ext_f</f>
        <v>756</v>
      </c>
      <c r="I10553" s="30" t="n">
        <f aca="false">rent_ext_f</f>
        <v>756</v>
      </c>
      <c r="J10553" s="30" t="n">
        <f aca="false">rent_ext_f</f>
        <v>756</v>
      </c>
      <c r="K10553" s="30" t="n">
        <f aca="false">rent_ext_f</f>
        <v>756</v>
      </c>
      <c r="L10553" s="1" t="s">
        <v>957</v>
      </c>
    </row>
    <row r="10554" customFormat="false" ht="17.15" hidden="false" customHeight="false" outlineLevel="0" collapsed="false">
      <c r="A10554" s="1" t="s">
        <v>958</v>
      </c>
      <c r="B10554" s="0" t="s">
        <v>459</v>
      </c>
      <c r="C10554" s="30" t="n">
        <f aca="false">Sens!C10552-Sens!C10553</f>
        <v>490</v>
      </c>
      <c r="D10554" s="30" t="n">
        <f aca="false">Sens!D10552-Sens!D10553</f>
        <v>1230</v>
      </c>
      <c r="E10554" s="30" t="n">
        <f aca="false">Sens!E10552-Sens!E10553</f>
        <v>2700</v>
      </c>
      <c r="F10554" s="30" t="n">
        <f aca="false">Sens!F10552-Sens!F10553</f>
        <v>5220.5351</v>
      </c>
      <c r="G10554" s="30" t="n">
        <f aca="false">Sens!G10552-Sens!G10553</f>
        <v>7947.0702</v>
      </c>
      <c r="H10554" s="30" t="n">
        <f aca="false">Sens!H10552-Sens!H10553</f>
        <v>10673.6053</v>
      </c>
      <c r="I10554" s="30" t="n">
        <f aca="false">Sens!I10552-Sens!I10553</f>
        <v>12605.5914196667</v>
      </c>
      <c r="J10554" s="30" t="n">
        <f aca="false">Sens!J10552-Sens!J10553</f>
        <v>13781.6682813933</v>
      </c>
      <c r="K10554" s="30" t="n">
        <f aca="false">Sens!K10552-Sens!K10553</f>
        <v>14217.7983298351</v>
      </c>
    </row>
    <row r="10555" customFormat="false" ht="17.15" hidden="false" customHeight="false" outlineLevel="0" collapsed="false">
      <c r="A10555" s="1" t="s">
        <v>959</v>
      </c>
      <c r="B10555" s="0" t="s">
        <v>459</v>
      </c>
      <c r="C10555" s="30" t="n">
        <f aca="false">Sens!C10554/ext_sh</f>
        <v>816.666666666667</v>
      </c>
      <c r="D10555" s="30" t="n">
        <f aca="false">Sens!D10554/ext_sh</f>
        <v>2050</v>
      </c>
      <c r="E10555" s="30" t="n">
        <f aca="false">Sens!E10554/ext_sh</f>
        <v>4500</v>
      </c>
      <c r="F10555" s="30" t="n">
        <f aca="false">Sens!F10554/ext_sh</f>
        <v>8700.89183333333</v>
      </c>
      <c r="G10555" s="30" t="n">
        <f aca="false">Sens!G10554/ext_sh</f>
        <v>13245.117</v>
      </c>
      <c r="H10555" s="30" t="n">
        <f aca="false">Sens!H10554/ext_sh</f>
        <v>17789.3421666667</v>
      </c>
      <c r="I10555" s="30" t="n">
        <f aca="false">Sens!I10554/ext_sh</f>
        <v>21009.3190327778</v>
      </c>
      <c r="J10555" s="30" t="n">
        <f aca="false">Sens!J10554/ext_sh</f>
        <v>22969.4471356556</v>
      </c>
      <c r="K10555" s="30" t="n">
        <f aca="false">Sens!K10554/ext_sh</f>
        <v>23696.3305497252</v>
      </c>
      <c r="L10555" s="1" t="s">
        <v>960</v>
      </c>
    </row>
    <row r="10556" customFormat="false" ht="17.15" hidden="false" customHeight="false" outlineLevel="0" collapsed="false">
      <c r="A10556" s="1" t="s">
        <v>961</v>
      </c>
      <c r="B10556" s="0" t="s">
        <v>459</v>
      </c>
      <c r="C10556" s="30" t="n">
        <f aca="false">Sens!C10555-Sens!C10554</f>
        <v>326.666666666667</v>
      </c>
      <c r="D10556" s="30" t="n">
        <f aca="false">Sens!D10555-Sens!D10554</f>
        <v>820</v>
      </c>
      <c r="E10556" s="30" t="n">
        <f aca="false">Sens!E10555-Sens!E10554</f>
        <v>1800</v>
      </c>
      <c r="F10556" s="30" t="n">
        <f aca="false">Sens!F10555-Sens!F10554</f>
        <v>3480.35673333333</v>
      </c>
      <c r="G10556" s="30" t="n">
        <f aca="false">Sens!G10555-Sens!G10554</f>
        <v>5298.0468</v>
      </c>
      <c r="H10556" s="30" t="n">
        <f aca="false">Sens!H10555-Sens!H10554</f>
        <v>7115.73686666667</v>
      </c>
      <c r="I10556" s="30" t="n">
        <f aca="false">Sens!I10555-Sens!I10554</f>
        <v>8403.72761311111</v>
      </c>
      <c r="J10556" s="30" t="n">
        <f aca="false">Sens!J10555-Sens!J10554</f>
        <v>9187.77885426222</v>
      </c>
      <c r="K10556" s="30" t="n">
        <f aca="false">Sens!K10555-Sens!K10554</f>
        <v>9478.53221989009</v>
      </c>
    </row>
    <row r="10557" customFormat="false" ht="17.15" hidden="false" customHeight="false" outlineLevel="0" collapsed="false">
      <c r="A10557" s="1" t="s">
        <v>962</v>
      </c>
      <c r="B10557" s="0" t="s">
        <v>459</v>
      </c>
      <c r="C10557" s="30" t="n">
        <f aca="false">Sens!C10555</f>
        <v>816.666666666667</v>
      </c>
      <c r="D10557" s="30" t="n">
        <f aca="false">Sens!D10555-Sens!C10555</f>
        <v>1233.33333333333</v>
      </c>
      <c r="E10557" s="30" t="n">
        <f aca="false">Sens!E10555-Sens!D10555</f>
        <v>2450</v>
      </c>
      <c r="F10557" s="30" t="n">
        <f aca="false">Sens!F10555-Sens!E10555</f>
        <v>4200.89183333333</v>
      </c>
      <c r="G10557" s="30" t="n">
        <f aca="false">Sens!G10555-Sens!F10555</f>
        <v>4544.22516666667</v>
      </c>
      <c r="H10557" s="30" t="n">
        <f aca="false">Sens!H10555-Sens!G10555</f>
        <v>4544.22516666667</v>
      </c>
      <c r="I10557" s="30" t="n">
        <f aca="false">Sens!I10555-Sens!H10555</f>
        <v>3219.97686611111</v>
      </c>
      <c r="J10557" s="30" t="n">
        <f aca="false">Sens!J10555-Sens!I10555</f>
        <v>1960.12810287778</v>
      </c>
      <c r="K10557" s="30" t="n">
        <f aca="false">Sens!K10555-Sens!J10555</f>
        <v>726.883414069667</v>
      </c>
    </row>
    <row r="10558" customFormat="false" ht="17.15" hidden="false" customHeight="false" outlineLevel="0" collapsed="false">
      <c r="A10558" s="1" t="s">
        <v>963</v>
      </c>
      <c r="B10558" s="0" t="s">
        <v>459</v>
      </c>
      <c r="D10558" s="30" t="n">
        <f aca="false">Sens!D10552-Sens!C10552</f>
        <v>990</v>
      </c>
      <c r="E10558" s="30" t="n">
        <f aca="false">Sens!E10552-Sens!D10552</f>
        <v>1620</v>
      </c>
      <c r="F10558" s="30" t="n">
        <f aca="false">Sens!F10552-Sens!E10552</f>
        <v>2726.5351</v>
      </c>
      <c r="G10558" s="30" t="n">
        <f aca="false">Sens!G10552-Sens!F10552</f>
        <v>2726.5351</v>
      </c>
      <c r="H10558" s="30" t="n">
        <f aca="false">Sens!H10552-Sens!G10552</f>
        <v>2726.5351</v>
      </c>
      <c r="I10558" s="30" t="n">
        <f aca="false">Sens!I10552-Sens!H10552</f>
        <v>1931.98611966667</v>
      </c>
      <c r="J10558" s="30" t="n">
        <f aca="false">Sens!J10552-Sens!I10552</f>
        <v>1176.07686172667</v>
      </c>
      <c r="K10558" s="30" t="n">
        <f aca="false">Sens!K10552-Sens!J10552</f>
        <v>436.130048441799</v>
      </c>
    </row>
    <row r="10559" customFormat="false" ht="17.15" hidden="false" customHeight="false" outlineLevel="0" collapsed="false">
      <c r="A10559" s="1" t="s">
        <v>964</v>
      </c>
      <c r="B10559" s="0" t="s">
        <v>459</v>
      </c>
      <c r="F10559" s="30" t="n">
        <f aca="false">Sens!F10578*ext_sh</f>
        <v>0</v>
      </c>
      <c r="G10559" s="30" t="n">
        <f aca="false">Sens!G10578*ext_sh</f>
        <v>0</v>
      </c>
      <c r="H10559" s="30" t="n">
        <f aca="false">Sens!H10578*ext_sh</f>
        <v>0</v>
      </c>
      <c r="I10559" s="30" t="n">
        <f aca="false">Sens!I10578*ext_sh</f>
        <v>490</v>
      </c>
      <c r="J10559" s="30" t="n">
        <f aca="false">Sens!J10578*ext_sh</f>
        <v>740</v>
      </c>
      <c r="K10559" s="30" t="n">
        <f aca="false">Sens!K10578*ext_sh</f>
        <v>1470</v>
      </c>
      <c r="L10559" s="1" t="s">
        <v>965</v>
      </c>
    </row>
    <row r="10560" customFormat="false" ht="17.15" hidden="false" customHeight="false" outlineLevel="0" collapsed="false">
      <c r="A10560" s="1" t="s">
        <v>966</v>
      </c>
      <c r="B10560" s="0" t="s">
        <v>459</v>
      </c>
      <c r="C10560" s="30" t="n">
        <f aca="false">mix_h*Sens!C10552</f>
        <v>128</v>
      </c>
      <c r="D10560" s="30" t="n">
        <f aca="false">mix_h*Sens!D10552</f>
        <v>326</v>
      </c>
      <c r="E10560" s="30" t="n">
        <f aca="false">mix_h*Sens!E10552</f>
        <v>650</v>
      </c>
      <c r="F10560" s="30" t="n">
        <f aca="false">Sens!E10560-Sens!F10559*mix_h</f>
        <v>650</v>
      </c>
      <c r="G10560" s="30" t="n">
        <f aca="false">Sens!F10560-Sens!G10559*mix_h</f>
        <v>650</v>
      </c>
      <c r="H10560" s="30" t="n">
        <f aca="false">Sens!G10560-Sens!H10559*mix_h</f>
        <v>650</v>
      </c>
      <c r="I10560" s="30" t="n">
        <f aca="false">Sens!H10560-Sens!I10559*mix_h</f>
        <v>552</v>
      </c>
      <c r="J10560" s="30" t="n">
        <f aca="false">Sens!I10560-Sens!J10559*mix_h</f>
        <v>404</v>
      </c>
      <c r="K10560" s="30" t="n">
        <f aca="false">Sens!J10560-Sens!K10559*mix_h</f>
        <v>110</v>
      </c>
    </row>
    <row r="10561" customFormat="false" ht="17.15" hidden="false" customHeight="false" outlineLevel="0" collapsed="false">
      <c r="A10561" s="1" t="s">
        <v>967</v>
      </c>
      <c r="B10561" s="0" t="s">
        <v>459</v>
      </c>
      <c r="C10561" s="30" t="n">
        <f aca="false">mix_g2*Sens!C10552</f>
        <v>288</v>
      </c>
      <c r="D10561" s="30" t="n">
        <f aca="false">mix_g2*Sens!D10552</f>
        <v>733.5</v>
      </c>
      <c r="E10561" s="30" t="n">
        <f aca="false">mix_g2*Sens!E10552</f>
        <v>1462.5</v>
      </c>
      <c r="F10561" s="30" t="n">
        <f aca="false">Sens!E10561-Sens!F10559*mix_g2</f>
        <v>1462.5</v>
      </c>
      <c r="G10561" s="30" t="n">
        <f aca="false">Sens!F10561-Sens!G10559*mix_g2</f>
        <v>1462.5</v>
      </c>
      <c r="H10561" s="30" t="n">
        <f aca="false">Sens!G10561-Sens!H10559*mix_g2</f>
        <v>1462.5</v>
      </c>
      <c r="I10561" s="30" t="n">
        <f aca="false">Sens!H10561-Sens!I10559*mix_g2</f>
        <v>1242</v>
      </c>
      <c r="J10561" s="30" t="n">
        <f aca="false">Sens!I10561-Sens!J10559*mix_g2</f>
        <v>909</v>
      </c>
      <c r="K10561" s="30" t="n">
        <f aca="false">Sens!J10561-Sens!K10559*mix_g2</f>
        <v>247.5</v>
      </c>
    </row>
    <row r="10562" customFormat="false" ht="17.15" hidden="false" customHeight="false" outlineLevel="0" collapsed="false">
      <c r="A10562" s="1" t="s">
        <v>968</v>
      </c>
      <c r="B10562" s="0" t="s">
        <v>459</v>
      </c>
      <c r="C10562" s="30" t="n">
        <f aca="false">mix_g3*Sens!C10552</f>
        <v>224</v>
      </c>
      <c r="D10562" s="30" t="n">
        <f aca="false">mix_g3*Sens!D10552</f>
        <v>570.5</v>
      </c>
      <c r="E10562" s="30" t="n">
        <f aca="false">mix_g3*Sens!E10552</f>
        <v>1137.5</v>
      </c>
      <c r="F10562" s="30" t="n">
        <f aca="false">Sens!E10562+(Sens!F10558+Sens!F10559)*(a_g3_27-nonnv*a_mai)-Sens!F10559*mix_g3</f>
        <v>2773.42106</v>
      </c>
      <c r="G10562" s="30" t="n">
        <f aca="false">Sens!F10562+(Sens!G10558+Sens!G10559)*(a_g3_28-nonnv*a_mai)-Sens!G10559*mix_g3</f>
        <v>3318.72808</v>
      </c>
      <c r="H10562" s="30" t="n">
        <f aca="false">Sens!G10562+(Sens!H10558+Sens!H10559)*(a_g3_29-nonnv*a_mai)-Sens!H10559*mix_g3</f>
        <v>3318.72808</v>
      </c>
      <c r="I10562" s="30" t="n">
        <f aca="false">Sens!H10562+(Sens!I10558+Sens!I10559)*(a_g3_29-nonnv*a_mai)-Sens!I10559*mix_g3</f>
        <v>3147.22808</v>
      </c>
      <c r="J10562" s="30" t="n">
        <f aca="false">Sens!I10562+(Sens!J10558+Sens!J10559)*(a_g3_29-nonnv*a_mai)-Sens!J10559*mix_g3</f>
        <v>2888.22808</v>
      </c>
      <c r="K10562" s="30" t="n">
        <f aca="false">Sens!J10562+(Sens!K10558+Sens!K10559)*(a_g3_29-nonnv*a_mai)-Sens!K10559*mix_g3</f>
        <v>2373.72808</v>
      </c>
    </row>
    <row r="10563" customFormat="false" ht="17.15" hidden="false" customHeight="false" outlineLevel="0" collapsed="false">
      <c r="A10563" s="1" t="s">
        <v>969</v>
      </c>
      <c r="B10563" s="0" t="s">
        <v>459</v>
      </c>
      <c r="C10563" s="30" t="n">
        <v>0</v>
      </c>
      <c r="D10563" s="30" t="n">
        <v>0</v>
      </c>
      <c r="E10563" s="30" t="n">
        <v>0</v>
      </c>
      <c r="F10563" s="30" t="n">
        <f aca="false">Sens!E10563+(Sens!F10558+Sens!F10559)*nonnv*a_mai</f>
        <v>272.65351</v>
      </c>
      <c r="G10563" s="30" t="n">
        <f aca="false">Sens!F10563+(Sens!G10558+Sens!G10559)*nonnv*a_mai</f>
        <v>545.30702</v>
      </c>
      <c r="H10563" s="30" t="n">
        <f aca="false">Sens!G10563+(Sens!H10558+Sens!H10559)*nonnv*a_mai</f>
        <v>817.96053</v>
      </c>
      <c r="I10563" s="30" t="n">
        <f aca="false">Sens!H10563+(Sens!I10558+Sens!I10559)*nonnv*a_mai</f>
        <v>1060.15914196667</v>
      </c>
      <c r="J10563" s="30" t="n">
        <f aca="false">Sens!I10563+(Sens!J10558+Sens!J10559)*nonnv*a_mai</f>
        <v>1251.76682813933</v>
      </c>
      <c r="K10563" s="30" t="n">
        <f aca="false">Sens!J10563+(Sens!K10558+Sens!K10559)*nonnv*a_mai</f>
        <v>1442.37983298351</v>
      </c>
      <c r="L10563" s="12" t="s">
        <v>970</v>
      </c>
    </row>
    <row r="10564" customFormat="false" ht="17.15" hidden="false" customHeight="false" outlineLevel="0" collapsed="false">
      <c r="A10564" s="1" t="s">
        <v>971</v>
      </c>
      <c r="B10564" s="0" t="s">
        <v>459</v>
      </c>
      <c r="C10564" s="30" t="n">
        <v>0</v>
      </c>
      <c r="D10564" s="30" t="n">
        <v>0</v>
      </c>
      <c r="E10564" s="30" t="n">
        <v>0</v>
      </c>
      <c r="F10564" s="30" t="n">
        <f aca="false">Sens!E10564+(Sens!F10558+Sens!F10559)*(1-a_g3_27)</f>
        <v>817.96053</v>
      </c>
      <c r="G10564" s="30" t="n">
        <f aca="false">Sens!F10564+(Sens!G10558+Sens!G10559)*(1-a_g3_28)</f>
        <v>2726.5351</v>
      </c>
      <c r="H10564" s="30" t="n">
        <f aca="false">Sens!G10564+(Sens!H10558+Sens!H10559)*(1-a_g3_29)</f>
        <v>5180.41669</v>
      </c>
      <c r="I10564" s="30" t="n">
        <f aca="false">Sens!H10564+(Sens!I10558+Sens!I10559)*(1-a_g3_29)</f>
        <v>7360.2041977</v>
      </c>
      <c r="J10564" s="30" t="n">
        <f aca="false">Sens!I10564+(Sens!J10558+Sens!J10559)*(1-a_g3_29)</f>
        <v>9084.673373254</v>
      </c>
      <c r="K10564" s="30" t="n">
        <f aca="false">Sens!J10564+(Sens!K10558+Sens!K10559)*(1-a_g3_29)</f>
        <v>10800.1904168516</v>
      </c>
    </row>
    <row r="10565" customFormat="false" ht="17.15" hidden="false" customHeight="false" outlineLevel="0" collapsed="false">
      <c r="A10565" s="1" t="s">
        <v>972</v>
      </c>
      <c r="B10565" s="0" t="s">
        <v>403</v>
      </c>
      <c r="C10565" s="15" t="n">
        <f aca="false">(Sens!C10560*tk_hold_h100+Sens!C10561*tk_hold_gb200+Sens!C10562*tk_hold_gb300+Sens!C10564*tk_hold_vr200+Sens!C10563*nv_hold_mai*tk_hold_vr200)/Sens!C10552</f>
        <v>9.7235358126469</v>
      </c>
      <c r="D10565" s="15" t="n">
        <f aca="false">(Sens!D10560*tk_hold_h100+Sens!D10561*tk_hold_gb200+Sens!D10562*tk_hold_gb300+Sens!D10564*tk_hold_vr200+Sens!D10563*nv_hold_mai*tk_hold_vr200)/Sens!D10552</f>
        <v>9.7235358126469</v>
      </c>
      <c r="E10565" s="15" t="n">
        <f aca="false">(Sens!E10560*tk_hold_h100+Sens!E10561*tk_hold_gb200+Sens!E10562*tk_hold_gb300+Sens!E10564*tk_hold_vr200+Sens!E10563*nv_hold_mai*tk_hold_vr200)/Sens!E10552</f>
        <v>9.7235358126469</v>
      </c>
      <c r="F10565" s="15" t="n">
        <f aca="false">(Sens!F10560*tk_hold_h100+Sens!F10561*tk_hold_gb200+Sens!F10562*tk_hold_gb300+Sens!F10564*tk_hold_vr200+Sens!F10563*nv_hold_mai*tk_hold_vr200)/Sens!F10552</f>
        <v>10.2195353876665</v>
      </c>
      <c r="G10565" s="15" t="n">
        <f aca="false">(Sens!G10560*tk_hold_h100+Sens!G10561*tk_hold_gb200+Sens!G10562*tk_hold_gb300+Sens!G10564*tk_hold_vr200+Sens!G10563*nv_hold_mai*tk_hold_vr200)/Sens!G10552</f>
        <v>10.5725598017306</v>
      </c>
      <c r="H10565" s="15" t="n">
        <f aca="false">(Sens!H10560*tk_hold_h100+Sens!H10561*tk_hold_gb200+Sens!H10562*tk_hold_gb300+Sens!H10564*tk_hold_vr200+Sens!H10563*nv_hold_mai*tk_hold_vr200)/Sens!H10552</f>
        <v>10.8210427149036</v>
      </c>
      <c r="I10565" s="15" t="n">
        <f aca="false">(Sens!I10560*tk_hold_h100+Sens!I10561*tk_hold_gb200+Sens!I10562*tk_hold_gb300+Sens!I10564*tk_hold_vr200+Sens!I10563*nv_hold_mai*tk_hold_vr200)/Sens!I10552</f>
        <v>11.0050618241982</v>
      </c>
      <c r="J10565" s="15" t="n">
        <f aca="false">(Sens!J10560*tk_hold_h100+Sens!J10561*tk_hold_gb200+Sens!J10562*tk_hold_gb300+Sens!J10564*tk_hold_vr200+Sens!J10563*nv_hold_mai*tk_hold_vr200)/Sens!J10552</f>
        <v>11.1505789658881</v>
      </c>
      <c r="K10565" s="15" t="n">
        <f aca="false">(Sens!K10560*tk_hold_h100+Sens!K10561*tk_hold_gb200+Sens!K10562*tk_hold_gb300+Sens!K10564*tk_hold_vr200+Sens!K10563*nv_hold_mai*tk_hold_vr200)/Sens!K10552</f>
        <v>11.3496914757183</v>
      </c>
      <c r="L10565" s="1" t="s">
        <v>973</v>
      </c>
    </row>
    <row r="10566" customFormat="false" ht="17.15" hidden="false" customHeight="false" outlineLevel="0" collapsed="false">
      <c r="A10566" s="1" t="s">
        <v>974</v>
      </c>
      <c r="B10566" s="0" t="s">
        <v>403</v>
      </c>
      <c r="C10566" s="15" t="n">
        <f aca="false">(Sens!C10560*tk_hold_h100+Sens!C10561*tk_hold_gb200+Sens!C10562*tk_hold_gb300+Sens!C10564*tk_hold_vr200+Sens!C10563*nv_out_mai*tk_hold_vr200)/Sens!C10552</f>
        <v>9.7235358126469</v>
      </c>
      <c r="D10566" s="15" t="n">
        <f aca="false">(Sens!D10560*tk_hold_h100+Sens!D10561*tk_hold_gb200+Sens!D10562*tk_hold_gb300+Sens!D10564*tk_hold_vr200+Sens!D10563*nv_out_mai*tk_hold_vr200)/Sens!D10552</f>
        <v>9.7235358126469</v>
      </c>
      <c r="E10566" s="15" t="n">
        <f aca="false">(Sens!E10560*tk_hold_h100+Sens!E10561*tk_hold_gb200+Sens!E10562*tk_hold_gb300+Sens!E10564*tk_hold_vr200+Sens!E10563*nv_out_mai*tk_hold_vr200)/Sens!E10552</f>
        <v>9.7235358126469</v>
      </c>
      <c r="F10566" s="15" t="n">
        <f aca="false">(Sens!F10560*tk_hold_h100+Sens!F10561*tk_hold_gb200+Sens!F10562*tk_hold_gb300+Sens!F10564*tk_hold_vr200+Sens!F10563*nv_out_mai*tk_hold_vr200)/Sens!F10552</f>
        <v>10.247422093969</v>
      </c>
      <c r="G10566" s="15" t="n">
        <f aca="false">(Sens!G10560*tk_hold_h100+Sens!G10561*tk_hold_gb200+Sens!G10562*tk_hold_gb300+Sens!G10564*tk_hold_vr200+Sens!G10563*nv_out_mai*tk_hold_vr200)/Sens!G10552</f>
        <v>10.6108602808053</v>
      </c>
      <c r="H10566" s="15" t="n">
        <f aca="false">(Sens!H10560*tk_hold_h100+Sens!H10561*tk_hold_gb200+Sens!H10562*tk_hold_gb300+Sens!H10564*tk_hold_vr200+Sens!H10563*nv_out_mai*tk_hold_vr200)/Sens!H10552</f>
        <v>10.8647885507393</v>
      </c>
      <c r="I10566" s="15" t="n">
        <f aca="false">(Sens!I10560*tk_hold_h100+Sens!I10561*tk_hold_gb200+Sens!I10562*tk_hold_gb300+Sens!I10564*tk_hold_vr200+Sens!I10563*nv_out_mai*tk_hold_vr200)/Sens!I10552</f>
        <v>11.0535625770025</v>
      </c>
      <c r="J10566" s="15" t="n">
        <f aca="false">(Sens!J10560*tk_hold_h100+Sens!J10561*tk_hold_gb200+Sens!J10562*tk_hold_gb300+Sens!J10564*tk_hold_vr200+Sens!J10563*nv_out_mai*tk_hold_vr200)/Sens!J10552</f>
        <v>11.2032127128058</v>
      </c>
      <c r="K10566" s="15" t="n">
        <f aca="false">(Sens!K10560*tk_hold_h100+Sens!K10561*tk_hold_gb200+Sens!K10562*tk_hold_gb300+Sens!K10564*tk_hold_vr200+Sens!K10563*nv_out_mai*tk_hold_vr200)/Sens!K10552</f>
        <v>11.4085735724225</v>
      </c>
      <c r="L10566" s="12" t="s">
        <v>975</v>
      </c>
    </row>
    <row r="10567" customFormat="false" ht="17.15" hidden="false" customHeight="false" outlineLevel="0" collapsed="false">
      <c r="A10567" s="0" t="s">
        <v>976</v>
      </c>
      <c r="B10567" s="0" t="s">
        <v>229</v>
      </c>
      <c r="C10567" s="15" t="n">
        <f aca="false">k_B</f>
        <v>1.17213932619116</v>
      </c>
      <c r="D10567" s="15" t="n">
        <f aca="false">k_B</f>
        <v>1.17213932619116</v>
      </c>
      <c r="E10567" s="15" t="n">
        <f aca="false">k_B</f>
        <v>1.17213932619116</v>
      </c>
      <c r="F10567" s="15" t="n">
        <f aca="false">(k_B+((ls_B*k_long+(1-ls_B)*k_spot)-k_B)*MIN(1,(Sens!F10550-base_fy)/k_ramp))</f>
        <v>1.17213932619116</v>
      </c>
      <c r="G10567" s="15" t="n">
        <f aca="false">(k_B+((ls_B*k_long+(1-ls_B)*k_spot)-k_B)*MIN(1,(Sens!G10550-base_fy)/k_ramp))</f>
        <v>1.17213932619116</v>
      </c>
      <c r="H10567" s="15" t="n">
        <f aca="false">(k_B+((ls_B*k_long+(1-ls_B)*k_spot)-k_B)*MIN(1,(Sens!H10550-base_fy)/k_ramp))</f>
        <v>1.17213932619116</v>
      </c>
      <c r="I10567" s="15" t="n">
        <f aca="false">(k_B+((ls_B*k_long+(1-ls_B)*k_spot)-k_B)*MIN(1,(Sens!I10550-base_fy)/k_ramp))</f>
        <v>1.17213932619116</v>
      </c>
      <c r="J10567" s="15" t="n">
        <f aca="false">(k_B+((ls_B*k_long+(1-ls_B)*k_spot)-k_B)*MIN(1,(Sens!J10550-base_fy)/k_ramp))</f>
        <v>1.17213932619116</v>
      </c>
      <c r="K10567" s="15" t="n">
        <f aca="false">(k_B+((ls_B*k_long+(1-ls_B)*k_spot)-k_B)*MIN(1,(Sens!K10550-base_fy)/k_ramp))</f>
        <v>1.17213932619116</v>
      </c>
      <c r="L10567" s="1" t="s">
        <v>977</v>
      </c>
    </row>
    <row r="10568" customFormat="false" ht="17.15" hidden="false" customHeight="false" outlineLevel="0" collapsed="false">
      <c r="A10568" s="1" t="s">
        <v>978</v>
      </c>
      <c r="B10568" s="0" t="s">
        <v>403</v>
      </c>
      <c r="C10568" s="15" t="n">
        <f aca="false">Sens!C10566*Sens!C10567*chip_f</f>
        <v>11.3973387156315</v>
      </c>
      <c r="D10568" s="15" t="n">
        <f aca="false">Sens!D10566*Sens!D10567*chip_f</f>
        <v>11.3973387156315</v>
      </c>
      <c r="E10568" s="15" t="n">
        <f aca="false">Sens!E10566*Sens!E10567*chip_f</f>
        <v>11.3973387156315</v>
      </c>
      <c r="F10568" s="15" t="n">
        <f aca="false">Sens!F10566*Sens!F10567*chip_f</f>
        <v>12.0114064284211</v>
      </c>
      <c r="G10568" s="15" t="n">
        <f aca="false">Sens!G10566*Sens!G10567*chip_f</f>
        <v>12.4374066198516</v>
      </c>
      <c r="H10568" s="15" t="n">
        <f aca="false">Sens!H10566*Sens!H10567*chip_f</f>
        <v>12.735045931073</v>
      </c>
      <c r="I10568" s="15" t="n">
        <f aca="false">Sens!I10566*Sens!I10567*chip_f</f>
        <v>12.9563153910195</v>
      </c>
      <c r="J10568" s="15" t="n">
        <f aca="false">Sens!J10566*Sens!J10567*chip_f</f>
        <v>13.1317262003643</v>
      </c>
      <c r="K10568" s="15" t="n">
        <f aca="false">Sens!K10566*Sens!K10567*chip_f</f>
        <v>13.3724377399815</v>
      </c>
      <c r="L10568" s="1" t="s">
        <v>979</v>
      </c>
    </row>
    <row r="10569" customFormat="false" ht="17.15" hidden="false" customHeight="false" outlineLevel="0" collapsed="false">
      <c r="A10569" s="0" t="s">
        <v>980</v>
      </c>
      <c r="B10569" s="0" t="s">
        <v>98</v>
      </c>
      <c r="D10569" s="6" t="n">
        <f aca="false">(Sens!C10552+Sens!D10552)/2*Sens!D10568/1000</f>
        <v>12.9359794422418</v>
      </c>
      <c r="E10569" s="6" t="n">
        <f aca="false">(Sens!D10552+Sens!E10552)/2*Sens!E10568/1000</f>
        <v>27.8095064661409</v>
      </c>
      <c r="F10569" s="6" t="n">
        <f aca="false">(Sens!E10552+Sens!F10552)/2*Sens!F10568/1000</f>
        <v>55.4118315060966</v>
      </c>
      <c r="G10569" s="6" t="n">
        <f aca="false">(Sens!F10552+Sens!G10552)/2*Sens!G10568/1000</f>
        <v>91.2881100675143</v>
      </c>
      <c r="H10569" s="6" t="n">
        <f aca="false">(Sens!G10552+Sens!H10552)/2*Sens!H10568/1000</f>
        <v>128.195273603944</v>
      </c>
      <c r="I10569" s="6" t="n">
        <f aca="false">(Sens!H10552+Sens!I10552)/2*Sens!I10568/1000</f>
        <v>160.601281810405</v>
      </c>
      <c r="J10569" s="6" t="n">
        <f aca="false">(Sens!I10552+Sens!J10552)/2*Sens!J10568/1000</f>
        <v>183.182719793589</v>
      </c>
      <c r="K10569" s="6" t="n">
        <f aca="false">(Sens!J10552+Sens!K10552)/2*Sens!K10568/1000</f>
        <v>197.320124937098</v>
      </c>
      <c r="L10569" s="12" t="s">
        <v>981</v>
      </c>
    </row>
    <row r="10570" customFormat="false" ht="17.15" hidden="false" customHeight="false" outlineLevel="0" collapsed="false">
      <c r="A10570" s="1" t="s">
        <v>982</v>
      </c>
      <c r="B10570" s="0" t="s">
        <v>403</v>
      </c>
      <c r="C10570" s="15" t="n">
        <f aca="false">(Sens!C10560*tk_opex_h100+Sens!C10561*tk_opex_gb200+Sens!C10562*tk_opex_gb300+(Sens!C10564+Sens!C10563)*tk_opex_vr200)/Sens!C10552</f>
        <v>1.88636041306092</v>
      </c>
      <c r="D10570" s="15" t="n">
        <f aca="false">(Sens!D10560*tk_opex_h100+Sens!D10561*tk_opex_gb200+Sens!D10562*tk_opex_gb300+(Sens!D10564+Sens!D10563)*tk_opex_vr200)/Sens!D10552</f>
        <v>1.88636041306092</v>
      </c>
      <c r="E10570" s="15" t="n">
        <f aca="false">(Sens!E10560*tk_opex_h100+Sens!E10561*tk_opex_gb200+Sens!E10562*tk_opex_gb300+(Sens!E10564+Sens!E10563)*tk_opex_vr200)/Sens!E10552</f>
        <v>1.88636041306092</v>
      </c>
      <c r="F10570" s="15" t="n">
        <f aca="false">(Sens!F10560*tk_opex_h100+Sens!F10561*tk_opex_gb200+Sens!F10562*tk_opex_gb300+(Sens!F10564+Sens!F10563)*tk_opex_vr200)/Sens!F10552</f>
        <v>1.95051159746876</v>
      </c>
      <c r="G10570" s="15" t="n">
        <f aca="false">(Sens!G10560*tk_opex_h100+Sens!G10561*tk_opex_gb200+Sens!G10562*tk_opex_gb300+(Sens!G10564+Sens!G10563)*tk_opex_vr200)/Sens!G10552</f>
        <v>1.98836003669956</v>
      </c>
      <c r="H10570" s="15" t="n">
        <f aca="false">(Sens!H10560*tk_opex_h100+Sens!H10561*tk_opex_gb200+Sens!H10562*tk_opex_gb300+(Sens!H10564+Sens!H10563)*tk_opex_vr200)/Sens!H10552</f>
        <v>2.01344013834343</v>
      </c>
      <c r="I10570" s="15" t="n">
        <f aca="false">(Sens!I10560*tk_opex_h100+Sens!I10561*tk_opex_gb200+Sens!I10562*tk_opex_gb300+(Sens!I10564+Sens!I10563)*tk_opex_vr200)/Sens!I10552</f>
        <v>2.03261166882178</v>
      </c>
      <c r="J10570" s="15" t="n">
        <f aca="false">(Sens!J10560*tk_opex_h100+Sens!J10561*tk_opex_gb200+Sens!J10562*tk_opex_gb300+(Sens!J10564+Sens!J10563)*tk_opex_vr200)/Sens!J10552</f>
        <v>2.04808073288745</v>
      </c>
      <c r="K10570" s="15" t="n">
        <f aca="false">(Sens!K10560*tk_opex_h100+Sens!K10561*tk_opex_gb200+Sens!K10562*tk_opex_gb300+(Sens!K10564+Sens!K10563)*tk_opex_vr200)/Sens!K10552</f>
        <v>2.06973825807449</v>
      </c>
      <c r="L10570" s="12" t="s">
        <v>983</v>
      </c>
    </row>
    <row r="10571" customFormat="false" ht="17.15" hidden="false" customHeight="false" outlineLevel="0" collapsed="false">
      <c r="A10571" s="0" t="s">
        <v>984</v>
      </c>
      <c r="B10571" s="0" t="s">
        <v>98</v>
      </c>
      <c r="D10571" s="6" t="n">
        <f aca="false">(Sens!C10555+Sens!D10555)/2*Sens!D10570/1000</f>
        <v>2.70378325872065</v>
      </c>
      <c r="E10571" s="6" t="n">
        <f aca="false">(Sens!D10555+Sens!E10555)/2*Sens!E10570/1000</f>
        <v>6.17783035277451</v>
      </c>
      <c r="F10571" s="6" t="n">
        <f aca="false">(Sens!E10555+Sens!F10555)/2*Sens!F10570/1000</f>
        <v>12.8742463089237</v>
      </c>
      <c r="G10571" s="6" t="n">
        <f aca="false">(Sens!F10555+Sens!G10555)/2*Sens!G10570/1000</f>
        <v>21.8182834646277</v>
      </c>
      <c r="H10571" s="6" t="n">
        <f aca="false">(Sens!G10555+Sens!H10555)/2*Sens!H10570/1000</f>
        <v>31.2430128789734</v>
      </c>
      <c r="I10571" s="6" t="n">
        <f aca="false">(Sens!H10555+Sens!I10555)/2*Sens!I10570/1000</f>
        <v>39.4313057443268</v>
      </c>
      <c r="J10571" s="6" t="n">
        <f aca="false">(Sens!I10555+Sens!J10555)/2*Sens!J10570/1000</f>
        <v>45.0360318228653</v>
      </c>
      <c r="K10571" s="6" t="n">
        <f aca="false">(Sens!J10555+Sens!K10555)/2*Sens!K10570/1000</f>
        <v>48.2929727091156</v>
      </c>
    </row>
    <row r="10572" customFormat="false" ht="17.15" hidden="false" customHeight="false" outlineLevel="0" collapsed="false">
      <c r="A10572" s="0" t="s">
        <v>985</v>
      </c>
      <c r="B10572" s="0" t="s">
        <v>98</v>
      </c>
      <c r="D10572" s="6" t="n">
        <f aca="false">(Sens!C10553+Sens!D10553)/2*rent_mw/1000</f>
        <v>2.44475</v>
      </c>
      <c r="E10572" s="6" t="n">
        <f aca="false">(Sens!D10553+Sens!E10553)/2*rent_mw/1000</f>
        <v>4.22275</v>
      </c>
      <c r="F10572" s="6" t="n">
        <f aca="false">(Sens!E10553+Sens!F10553)/2*rent_mw/1000</f>
        <v>5.80517</v>
      </c>
      <c r="G10572" s="6" t="n">
        <f aca="false">(Sens!F10553+Sens!G10553)/2*rent_mw/1000</f>
        <v>6.72084</v>
      </c>
      <c r="H10572" s="6" t="n">
        <f aca="false">(Sens!G10553+Sens!H10553)/2*rent_mw/1000</f>
        <v>6.72084</v>
      </c>
      <c r="I10572" s="6" t="n">
        <f aca="false">(Sens!H10553+Sens!I10553)/2*rent_mw/1000</f>
        <v>6.72084</v>
      </c>
      <c r="J10572" s="6" t="n">
        <f aca="false">(Sens!I10553+Sens!J10553)/2*rent_mw/1000</f>
        <v>6.72084</v>
      </c>
      <c r="K10572" s="6" t="n">
        <f aca="false">(Sens!J10553+Sens!K10553)/2*rent_mw/1000</f>
        <v>6.72084</v>
      </c>
    </row>
    <row r="10573" customFormat="false" ht="17.15" hidden="false" customHeight="false" outlineLevel="0" collapsed="false">
      <c r="A10573" s="0" t="s">
        <v>986</v>
      </c>
      <c r="B10573" s="0" t="s">
        <v>98</v>
      </c>
      <c r="D10573" s="6" t="n">
        <f aca="false">(Sens!C10555+Sens!D10555)/2*(1-self_build)*fac_rent/1000</f>
        <v>0.853242375631075</v>
      </c>
      <c r="E10573" s="6" t="n">
        <f aca="false">(Sens!D10555+Sens!E10555)/2*(1-self_build)*fac_rent/1000</f>
        <v>1.94955961408728</v>
      </c>
      <c r="F10573" s="6" t="n">
        <f aca="false">(Sens!E10555+Sens!F10555)/2*(1-self_build)*fac_rent/1000</f>
        <v>3.92914894476356</v>
      </c>
      <c r="G10573" s="6" t="n">
        <f aca="false">(Sens!F10555+Sens!G10555)/2*(1-self_build)*fac_rent/1000</f>
        <v>6.53206908578159</v>
      </c>
      <c r="H10573" s="6" t="n">
        <f aca="false">(Sens!G10555+Sens!H10555)/2*(1-self_build)*fac_rent/1000</f>
        <v>9.23717988341591</v>
      </c>
      <c r="I10573" s="6" t="n">
        <f aca="false">(Sens!H10555+Sens!I10555)/2*(1-self_build)*fac_rent/1000</f>
        <v>11.5481378557393</v>
      </c>
      <c r="J10573" s="6" t="n">
        <f aca="false">(Sens!I10555+Sens!J10555)/2*(1-self_build)*fac_rent/1000</f>
        <v>13.0899582289108</v>
      </c>
      <c r="K10573" s="6" t="n">
        <f aca="false">(Sens!J10555+Sens!K10555)/2*(1-self_build)*fac_rent/1000</f>
        <v>13.8897275626556</v>
      </c>
      <c r="L10573" s="12" t="s">
        <v>987</v>
      </c>
    </row>
    <row r="10574" customFormat="false" ht="17.15" hidden="false" customHeight="false" outlineLevel="0" collapsed="false">
      <c r="A10574" s="1" t="s">
        <v>988</v>
      </c>
      <c r="B10574" s="0" t="s">
        <v>168</v>
      </c>
      <c r="D10574" s="7" t="n">
        <f aca="false">(Sens!C10554+Sens!D10554)/(Sens!C10555+Sens!D10555)</f>
        <v>0.6</v>
      </c>
      <c r="E10574" s="7" t="n">
        <f aca="false">(Sens!D10554+Sens!E10554)/(Sens!D10555+Sens!E10555)</f>
        <v>0.6</v>
      </c>
      <c r="F10574" s="7" t="n">
        <f aca="false">(Sens!E10554+Sens!F10554)/(Sens!E10555+Sens!F10555)</f>
        <v>0.6</v>
      </c>
      <c r="G10574" s="7" t="n">
        <f aca="false">(Sens!F10554+Sens!G10554)/(Sens!F10555+Sens!G10555)</f>
        <v>0.6</v>
      </c>
      <c r="H10574" s="7" t="n">
        <f aca="false">(Sens!G10554+Sens!H10554)/(Sens!G10555+Sens!H10555)</f>
        <v>0.6</v>
      </c>
      <c r="I10574" s="7" t="n">
        <f aca="false">(Sens!H10554+Sens!I10554)/(Sens!H10555+Sens!I10555)</f>
        <v>0.6</v>
      </c>
      <c r="J10574" s="7" t="n">
        <f aca="false">(Sens!I10554+Sens!J10554)/(Sens!I10555+Sens!J10555)</f>
        <v>0.6</v>
      </c>
      <c r="K10574" s="7" t="n">
        <f aca="false">(Sens!J10554+Sens!K10554)/(Sens!J10555+Sens!K10555)</f>
        <v>0.6</v>
      </c>
    </row>
    <row r="10575" customFormat="false" ht="17.15" hidden="false" customHeight="false" outlineLevel="0" collapsed="false">
      <c r="A10575" s="0" t="s">
        <v>989</v>
      </c>
      <c r="B10575" s="0" t="s">
        <v>98</v>
      </c>
      <c r="D10575" s="6" t="n">
        <f aca="false">Sens!D10569-Sens!D10574*(Sens!D10571+Sens!D10573)-Sens!D10572</f>
        <v>8.35701406163072</v>
      </c>
      <c r="E10575" s="6" t="n">
        <f aca="false">Sens!E10569-Sens!E10574*(Sens!E10571+Sens!E10573)-Sens!E10572</f>
        <v>18.7103224860238</v>
      </c>
      <c r="F10575" s="6" t="n">
        <f aca="false">Sens!F10569-Sens!F10574*(Sens!F10571+Sens!F10573)-Sens!F10572</f>
        <v>39.5246243538843</v>
      </c>
      <c r="G10575" s="6" t="n">
        <f aca="false">Sens!G10569-Sens!G10574*(Sens!G10571+Sens!G10573)-Sens!G10572</f>
        <v>67.5570585372687</v>
      </c>
      <c r="H10575" s="6" t="n">
        <f aca="false">Sens!H10569-Sens!H10574*(Sens!H10571+Sens!H10573)-Sens!H10572</f>
        <v>97.1863179465102</v>
      </c>
      <c r="I10575" s="6" t="n">
        <f aca="false">Sens!I10569-Sens!I10574*(Sens!I10571+Sens!I10573)-Sens!I10572</f>
        <v>123.292775650365</v>
      </c>
      <c r="J10575" s="6" t="n">
        <f aca="false">Sens!J10569-Sens!J10574*(Sens!J10571+Sens!J10573)-Sens!J10572</f>
        <v>141.586285762524</v>
      </c>
      <c r="K10575" s="6" t="n">
        <f aca="false">Sens!K10569-Sens!K10574*(Sens!K10571+Sens!K10573)-Sens!K10572</f>
        <v>153.289664774035</v>
      </c>
    </row>
    <row r="10576" customFormat="false" ht="17.15" hidden="false" customHeight="false" outlineLevel="0" collapsed="false">
      <c r="A10576" s="1" t="s">
        <v>990</v>
      </c>
      <c r="B10576" s="0" t="s">
        <v>98</v>
      </c>
      <c r="D10576" s="6" t="n">
        <f aca="false">(1-Sens!D10574)*(Sens!D10571+Sens!D10573)</f>
        <v>1.42281025374069</v>
      </c>
      <c r="E10576" s="6" t="n">
        <f aca="false">(1-Sens!E10574)*(Sens!E10571+Sens!E10573)</f>
        <v>3.25095598674472</v>
      </c>
      <c r="F10576" s="6" t="n">
        <f aca="false">(1-Sens!F10574)*(Sens!F10571+Sens!F10573)</f>
        <v>6.72135810147489</v>
      </c>
      <c r="G10576" s="6" t="n">
        <f aca="false">(1-Sens!G10574)*(Sens!G10571+Sens!G10573)</f>
        <v>11.3401410201637</v>
      </c>
      <c r="H10576" s="6" t="n">
        <f aca="false">(1-Sens!H10574)*(Sens!H10571+Sens!H10573)</f>
        <v>16.1920771049557</v>
      </c>
      <c r="I10576" s="6" t="n">
        <f aca="false">(1-Sens!I10574)*(Sens!I10571+Sens!I10573)</f>
        <v>20.3917774400264</v>
      </c>
      <c r="J10576" s="6" t="n">
        <f aca="false">(1-Sens!J10574)*(Sens!J10571+Sens!J10573)</f>
        <v>23.2503960207104</v>
      </c>
      <c r="K10576" s="6" t="n">
        <f aca="false">(1-Sens!K10574)*(Sens!K10571+Sens!K10573)</f>
        <v>24.8730801087085</v>
      </c>
    </row>
    <row r="10577" customFormat="false" ht="17.15" hidden="false" customHeight="false" outlineLevel="0" collapsed="false">
      <c r="A10577" s="1" t="s">
        <v>991</v>
      </c>
      <c r="B10577" s="0" t="s">
        <v>417</v>
      </c>
      <c r="C10577" s="8" t="n">
        <f aca="false">cxit_open</f>
        <v>27.5918995</v>
      </c>
      <c r="D10577" s="8" t="n">
        <f aca="false">cxit_open</f>
        <v>27.5918995</v>
      </c>
      <c r="E10577" s="8" t="n">
        <f aca="false">cxit_open</f>
        <v>27.5918995</v>
      </c>
      <c r="F10577" s="8" t="n">
        <f aca="false">((a_g3_27-nonnv*a_mai)*tk_cxit_gb300+nonnv*a_mai*nv_hold_mai*tk_cxit_vr200+(1-a_g3_27)*tk_cxit_vr200)</f>
        <v>32.4975576</v>
      </c>
      <c r="G10577" s="8" t="n">
        <f aca="false">((a_g3_28-nonnv*a_mai)*tk_cxit_gb300+nonnv*a_mai*nv_hold_mai*tk_cxit_vr200+(1-a_g3_28)*tk_cxit_vr200)</f>
        <v>34.6372088</v>
      </c>
      <c r="H10577" s="8" t="n">
        <f aca="false">((a_g3_29-nonnv*a_mai)*tk_cxit_gb300+nonnv*a_mai*nv_hold_mai*tk_cxit_vr200+(1-a_g3_29)*tk_cxit_vr200)</f>
        <v>35.7070344</v>
      </c>
      <c r="I10577" s="8" t="n">
        <f aca="false">((a_g3_29-nonnv*a_mai)*tk_cxit_gb300+nonnv*a_mai*nv_hold_mai*tk_cxit_vr200+(1-a_g3_29)*tk_cxit_vr200)</f>
        <v>35.7070344</v>
      </c>
      <c r="J10577" s="8" t="n">
        <f aca="false">((a_g3_29-nonnv*a_mai)*tk_cxit_gb300+nonnv*a_mai*nv_hold_mai*tk_cxit_vr200+(1-a_g3_29)*tk_cxit_vr200)</f>
        <v>35.7070344</v>
      </c>
      <c r="K10577" s="8" t="n">
        <f aca="false">((a_g3_29-nonnv*a_mai)*tk_cxit_gb300+nonnv*a_mai*nv_hold_mai*tk_cxit_vr200+(1-a_g3_29)*tk_cxit_vr200)</f>
        <v>35.7070344</v>
      </c>
      <c r="L10577" s="12" t="s">
        <v>992</v>
      </c>
    </row>
    <row r="10578" customFormat="false" ht="17.15" hidden="false" customHeight="false" outlineLevel="0" collapsed="false">
      <c r="A10578" s="0" t="s">
        <v>993</v>
      </c>
      <c r="B10578" s="0" t="s">
        <v>459</v>
      </c>
      <c r="F10578" s="30" t="n">
        <f aca="false">Sens!C10557*IF(Sens!F10550-Sens!C10550=life_it,1,0)+Sens!D10557*IF(Sens!F10550-Sens!D10550=life_it,1,0)+Sens!E10557*IF(Sens!F10550-Sens!E10550=life_it,1,0)</f>
        <v>0</v>
      </c>
      <c r="G10578" s="30" t="n">
        <f aca="false">Sens!C10557*IF(Sens!G10550-Sens!C10550=life_it,1,0)+Sens!D10557*IF(Sens!G10550-Sens!D10550=life_it,1,0)+Sens!E10557*IF(Sens!G10550-Sens!E10550=life_it,1,0)+Sens!F10557*IF(Sens!G10550-Sens!F10550=life_it,1,0)</f>
        <v>0</v>
      </c>
      <c r="H10578" s="30" t="n">
        <f aca="false">Sens!C10557*IF(Sens!H10550-Sens!C10550=life_it,1,0)+Sens!D10557*IF(Sens!H10550-Sens!D10550=life_it,1,0)+Sens!E10557*IF(Sens!H10550-Sens!E10550=life_it,1,0)+Sens!F10557*IF(Sens!H10550-Sens!F10550=life_it,1,0)+Sens!G10557*IF(Sens!H10550-Sens!G10550=life_it,1,0)</f>
        <v>0</v>
      </c>
      <c r="I10578" s="30" t="n">
        <f aca="false">Sens!C10557*IF(Sens!I10550-Sens!C10550=life_it,1,0)+Sens!D10557*IF(Sens!I10550-Sens!D10550=life_it,1,0)+Sens!E10557*IF(Sens!I10550-Sens!E10550=life_it,1,0)+Sens!F10557*IF(Sens!I10550-Sens!F10550=life_it,1,0)+Sens!G10557*IF(Sens!I10550-Sens!G10550=life_it,1,0)+Sens!H10557*IF(Sens!I10550-Sens!H10550=life_it,1,0)</f>
        <v>816.666666666667</v>
      </c>
      <c r="J10578" s="30" t="n">
        <f aca="false">Sens!C10557*IF(Sens!J10550-Sens!C10550=life_it,1,0)+Sens!D10557*IF(Sens!J10550-Sens!D10550=life_it,1,0)+Sens!E10557*IF(Sens!J10550-Sens!E10550=life_it,1,0)+Sens!F10557*IF(Sens!J10550-Sens!F10550=life_it,1,0)+Sens!G10557*IF(Sens!J10550-Sens!G10550=life_it,1,0)+Sens!H10557*IF(Sens!J10550-Sens!H10550=life_it,1,0)+Sens!I10557*IF(Sens!J10550-Sens!I10550=life_it,1,0)</f>
        <v>1233.33333333333</v>
      </c>
      <c r="K10578" s="30" t="n">
        <f aca="false">Sens!C10557*IF(Sens!K10550-Sens!C10550=life_it,1,0)+Sens!D10557*IF(Sens!K10550-Sens!D10550=life_it,1,0)+Sens!E10557*IF(Sens!K10550-Sens!E10550=life_it,1,0)+Sens!F10557*IF(Sens!K10550-Sens!F10550=life_it,1,0)+Sens!G10557*IF(Sens!K10550-Sens!G10550=life_it,1,0)+Sens!H10557*IF(Sens!K10550-Sens!H10550=life_it,1,0)+Sens!I10557*IF(Sens!K10550-Sens!I10550=life_it,1,0)+Sens!J10557*IF(Sens!K10550-Sens!J10550=life_it,1,0)</f>
        <v>2450</v>
      </c>
      <c r="L10578" s="1" t="s">
        <v>994</v>
      </c>
    </row>
    <row r="10579" customFormat="false" ht="17.15" hidden="false" customHeight="false" outlineLevel="0" collapsed="false">
      <c r="A10579" s="0" t="s">
        <v>995</v>
      </c>
      <c r="B10579" s="0" t="s">
        <v>98</v>
      </c>
      <c r="C10579" s="6" t="n">
        <f aca="false">Sens!C10557*Sens!C10577/1000</f>
        <v>22.5333845916667</v>
      </c>
      <c r="D10579" s="6" t="n">
        <f aca="false">Sens!D10557*Sens!D10577/1000</f>
        <v>34.0300093833333</v>
      </c>
      <c r="E10579" s="6" t="n">
        <f aca="false">Sens!E10557*Sens!E10577/1000</f>
        <v>67.600153775</v>
      </c>
      <c r="F10579" s="6" t="n">
        <f aca="false">(Sens!F10557+Sens!F10578)*Sens!F10577/1000</f>
        <v>136.51872432512</v>
      </c>
      <c r="G10579" s="6" t="n">
        <f aca="false">(Sens!G10557+Sens!G10578)*Sens!G10577/1000</f>
        <v>157.399275932048</v>
      </c>
      <c r="H10579" s="6" t="n">
        <f aca="false">(Sens!H10557+Sens!H10578)*Sens!H10577/1000</f>
        <v>162.260804347512</v>
      </c>
      <c r="I10579" s="6" t="n">
        <f aca="false">(Sens!I10557+Sens!I10578)*Sens!I10577/1000</f>
        <v>144.136569485434</v>
      </c>
      <c r="J10579" s="6" t="n">
        <f aca="false">(Sens!J10557+Sens!J10578)*Sens!J10577/1000</f>
        <v>114.029037357864</v>
      </c>
      <c r="K10579" s="6" t="n">
        <f aca="false">(Sens!K10557+Sens!K10578)*Sens!K10577/1000</f>
        <v>113.437085350975</v>
      </c>
    </row>
    <row r="10580" customFormat="false" ht="17.15" hidden="false" customHeight="false" outlineLevel="0" collapsed="false">
      <c r="A10580" s="0" t="s">
        <v>996</v>
      </c>
      <c r="B10580" s="0" t="s">
        <v>98</v>
      </c>
      <c r="C10580" s="6" t="n">
        <f aca="false">Sens!C10557*self_build*tk_cxfac/1000</f>
        <v>6.2083</v>
      </c>
      <c r="D10580" s="6" t="n">
        <f aca="false">Sens!D10557*self_build*tk_cxfac/1000</f>
        <v>9.3758</v>
      </c>
      <c r="E10580" s="6" t="n">
        <f aca="false">Sens!E10557*self_build*tk_cxfac/1000</f>
        <v>18.6249</v>
      </c>
      <c r="F10580" s="6" t="n">
        <f aca="false">Sens!F10557*self_build*tk_cxfac/1000</f>
        <v>31.935179717</v>
      </c>
      <c r="G10580" s="6" t="n">
        <f aca="false">Sens!G10557*self_build*tk_cxfac/1000</f>
        <v>34.545199717</v>
      </c>
      <c r="H10580" s="6" t="n">
        <f aca="false">Sens!H10557*self_build*tk_cxfac/1000</f>
        <v>34.545199717</v>
      </c>
      <c r="I10580" s="6" t="n">
        <f aca="false">Sens!I10557*self_build*tk_cxfac/1000</f>
        <v>24.4782641361767</v>
      </c>
      <c r="J10580" s="6" t="n">
        <f aca="false">Sens!J10557*self_build*tk_cxfac/1000</f>
        <v>14.9008938380769</v>
      </c>
      <c r="K10580" s="6" t="n">
        <f aca="false">Sens!K10557*self_build*tk_cxfac/1000</f>
        <v>5.52576771375761</v>
      </c>
    </row>
    <row r="10581" customFormat="false" ht="17.15" hidden="false" customHeight="false" outlineLevel="0" collapsed="false">
      <c r="A10581" s="0" t="s">
        <v>997</v>
      </c>
      <c r="B10581" s="0" t="s">
        <v>98</v>
      </c>
      <c r="F10581" s="15" t="n">
        <f aca="false">capex_floor27-Sens!F10579-Sens!F10580-Sens!F10677</f>
        <v>0.00757665865767621</v>
      </c>
      <c r="L10581" s="12" t="s">
        <v>998</v>
      </c>
    </row>
    <row r="10582" customFormat="false" ht="17.15" hidden="false" customHeight="false" outlineLevel="0" collapsed="false">
      <c r="A10582" s="0" t="s">
        <v>999</v>
      </c>
      <c r="B10582" s="0" t="s">
        <v>98</v>
      </c>
      <c r="F10582" s="6" t="n">
        <f aca="false">MAX(0,Sens!F10581)</f>
        <v>0.00757665865767621</v>
      </c>
    </row>
    <row r="10583" customFormat="false" ht="17.15" hidden="false" customHeight="false" outlineLevel="0" collapsed="false">
      <c r="A10583" s="0" t="s">
        <v>1000</v>
      </c>
      <c r="B10583" s="0" t="s">
        <v>98</v>
      </c>
      <c r="C10583" s="6" t="n">
        <f aca="false">Sens!C10579</f>
        <v>22.5333845916667</v>
      </c>
      <c r="D10583" s="6" t="n">
        <f aca="false">Sens!D10579</f>
        <v>34.0300093833333</v>
      </c>
      <c r="E10583" s="6" t="n">
        <f aca="false">Sens!E10579</f>
        <v>67.600153775</v>
      </c>
      <c r="F10583" s="6" t="n">
        <f aca="false">Sens!F10579</f>
        <v>136.51872432512</v>
      </c>
      <c r="G10583" s="6" t="n">
        <f aca="false">Sens!G10579</f>
        <v>157.399275932048</v>
      </c>
      <c r="H10583" s="6" t="n">
        <f aca="false">Sens!H10579</f>
        <v>162.260804347512</v>
      </c>
      <c r="I10583" s="6" t="n">
        <f aca="false">Sens!I10579</f>
        <v>144.136569485434</v>
      </c>
      <c r="J10583" s="6" t="n">
        <f aca="false">Sens!J10579</f>
        <v>114.029037357864</v>
      </c>
      <c r="K10583" s="6" t="n">
        <f aca="false">Sens!K10579</f>
        <v>113.437085350975</v>
      </c>
    </row>
    <row r="10584" customFormat="false" ht="17.15" hidden="false" customHeight="false" outlineLevel="0" collapsed="false">
      <c r="A10584" s="0" t="s">
        <v>1001</v>
      </c>
      <c r="B10584" s="0" t="s">
        <v>98</v>
      </c>
      <c r="C10584" s="6" t="n">
        <f aca="false">Sens!C10583+Sens!C10580</f>
        <v>28.7416845916667</v>
      </c>
      <c r="D10584" s="6" t="n">
        <f aca="false">Sens!D10583+Sens!D10580</f>
        <v>43.4058093833333</v>
      </c>
      <c r="E10584" s="6" t="n">
        <f aca="false">Sens!E10583+Sens!E10580</f>
        <v>86.225053775</v>
      </c>
      <c r="F10584" s="6" t="n">
        <f aca="false">Sens!F10583+Sens!F10580</f>
        <v>168.45390404212</v>
      </c>
      <c r="G10584" s="6" t="n">
        <f aca="false">Sens!G10583+Sens!G10580</f>
        <v>191.944475649048</v>
      </c>
      <c r="H10584" s="6" t="n">
        <f aca="false">Sens!H10583+Sens!H10580</f>
        <v>196.806004064512</v>
      </c>
      <c r="I10584" s="6" t="n">
        <f aca="false">Sens!I10583+Sens!I10580</f>
        <v>168.61483362161</v>
      </c>
      <c r="J10584" s="6" t="n">
        <f aca="false">Sens!J10583+Sens!J10580</f>
        <v>128.92993119594</v>
      </c>
      <c r="K10584" s="6" t="n">
        <f aca="false">Sens!K10583+Sens!K10580</f>
        <v>118.962853064733</v>
      </c>
      <c r="L10584" s="12" t="s">
        <v>1002</v>
      </c>
    </row>
    <row r="10585" customFormat="false" ht="17.15" hidden="false" customHeight="false" outlineLevel="0" collapsed="false">
      <c r="A10585" s="0" t="s">
        <v>1003</v>
      </c>
      <c r="B10585" s="0" t="s">
        <v>98</v>
      </c>
      <c r="E10585" s="6" t="n">
        <f aca="false">(Sens!C10583*IF(2&lt;life_it,1,IF(2=life_it,0.5,0))+Sens!D10583*IF(1&lt;life_it,1,IF(1=life_it,0.5,0))+Sens!E10583*0.5)/life_it</f>
        <v>15.0605784770833</v>
      </c>
      <c r="F10585" s="6" t="n">
        <f aca="false">(Sens!C10583*IF(3&lt;life_it,1,IF(3=life_it,0.5,0))+Sens!D10583*IF(2&lt;life_it,1,IF(2=life_it,0.5,0))+Sens!E10583*IF(1&lt;life_it,1,IF(1=life_it,0.5,0))+Sens!F10583*0.5)/life_it</f>
        <v>32.0704849854266</v>
      </c>
      <c r="G10585" s="6" t="n">
        <f aca="false">(Sens!C10583*IF(4&lt;life_it,1,IF(4=life_it,0.5,0))+Sens!D10583*IF(3&lt;life_it,1,IF(3=life_it,0.5,0))+Sens!E10583*IF(2&lt;life_it,1,IF(2=life_it,0.5,0))+Sens!F10583*IF(1&lt;life_it,1,IF(1=life_it,0.5,0))+Sens!G10583*0.5)/life_it</f>
        <v>56.5636516735239</v>
      </c>
      <c r="H10585" s="6" t="n">
        <f aca="false">(Sens!C10583*IF(5&lt;life_it,1,IF(5=life_it,0.5,0))+Sens!D10583*IF(4&lt;life_it,1,IF(4=life_it,0.5,0))+Sens!E10583*IF(3&lt;life_it,1,IF(3=life_it,0.5,0))+Sens!F10583*IF(2&lt;life_it,1,IF(2=life_it,0.5,0))+Sens!G10583*IF(1&lt;life_it,1,IF(1=life_it,0.5,0))+Sens!H10583*0.5)/life_it</f>
        <v>83.2019916968207</v>
      </c>
      <c r="I10585" s="6" t="n">
        <f aca="false">(Sens!C10583*IF(6&lt;life_it,1,IF(6=life_it,0.5,0))+Sens!D10583*IF(5&lt;life_it,1,IF(5=life_it,0.5,0))+Sens!E10583*IF(4&lt;life_it,1,IF(4=life_it,0.5,0))+Sens!F10583*IF(3&lt;life_it,1,IF(3=life_it,0.5,0))+Sens!G10583*IF(2&lt;life_it,1,IF(2=life_it,0.5,0))+Sens!H10583*IF(1&lt;life_it,1,IF(1=life_it,0.5,0))+Sens!I10583*0.5)/life_it</f>
        <v>106.857324133594</v>
      </c>
      <c r="J10585" s="6" t="n">
        <f aca="false">(Sens!C10583*IF(7&lt;life_it,1,IF(7=life_it,0.5,0))+Sens!D10583*IF(6&lt;life_it,1,IF(6=life_it,0.5,0))+Sens!E10583*IF(5&lt;life_it,1,IF(5=life_it,0.5,0))+Sens!F10583*IF(4&lt;life_it,1,IF(4=life_it,0.5,0))+Sens!G10583*IF(3&lt;life_it,1,IF(3=life_it,0.5,0))+Sens!H10583*IF(2&lt;life_it,1,IF(2=life_it,0.5,0))+Sens!I10583*IF(1&lt;life_it,1,IF(1=life_it,0.5,0))+Sens!J10583*0.5)/life_it</f>
        <v>123.657508539285</v>
      </c>
      <c r="K10585" s="6" t="n">
        <f aca="false">(Sens!C10583*IF(8&lt;life_it,1,IF(8=life_it,0.5,0))+Sens!D10583*IF(7&lt;life_it,1,IF(7=life_it,0.5,0))+Sens!E10583*IF(6&lt;life_it,1,IF(6=life_it,0.5,0))+Sens!F10583*IF(5&lt;life_it,1,IF(5=life_it,0.5,0))+Sens!G10583*IF(4&lt;life_it,1,IF(4=life_it,0.5,0))+Sens!H10583*IF(3&lt;life_it,1,IF(3=life_it,0.5,0))+Sens!I10583*IF(2&lt;life_it,1,IF(2=life_it,0.5,0))+Sens!J10583*IF(1&lt;life_it,1,IF(1=life_it,0.5,0))+Sens!K10583*0.5)/life_it</f>
        <v>134.143838501827</v>
      </c>
    </row>
    <row r="10586" customFormat="false" ht="17.15" hidden="false" customHeight="false" outlineLevel="0" collapsed="false">
      <c r="A10586" s="0" t="s">
        <v>1004</v>
      </c>
      <c r="B10586" s="0" t="s">
        <v>98</v>
      </c>
      <c r="E10586" s="6" t="n">
        <f aca="false">(Sens!C10580*IF(2&lt;life_fac,1,IF(2=life_fac,0.5,0))+Sens!D10580*IF(1&lt;life_fac,1,IF(1=life_fac,0.5,0))+Sens!E10580*0.5)/life_fac</f>
        <v>1.2448275</v>
      </c>
      <c r="F10586" s="6" t="n">
        <f aca="false">(Sens!C10580*IF(3&lt;life_fac,1,IF(3=life_fac,0.5,0))+Sens!D10580*IF(2&lt;life_fac,1,IF(2=life_fac,0.5,0))+Sens!E10580*IF(1&lt;life_fac,1,IF(1=life_fac,0.5,0))+Sens!F10580*0.5)/life_fac</f>
        <v>2.508829492925</v>
      </c>
      <c r="G10586" s="6" t="n">
        <f aca="false">(Sens!C10580*IF(4&lt;life_fac,1,IF(4=life_fac,0.5,0))+Sens!D10580*IF(3&lt;life_fac,1,IF(3=life_fac,0.5,0))+Sens!E10580*IF(2&lt;life_fac,1,IF(2=life_fac,0.5,0))+Sens!F10580*IF(1&lt;life_fac,1,IF(1=life_fac,0.5,0))+Sens!G10580*0.5)/life_fac</f>
        <v>4.170838978775</v>
      </c>
      <c r="H10586" s="6" t="n">
        <f aca="false">(Sens!C10580*IF(5&lt;life_fac,1,IF(5=life_fac,0.5,0))+Sens!D10580*IF(4&lt;life_fac,1,IF(4=life_fac,0.5,0))+Sens!E10580*IF(3&lt;life_fac,1,IF(3=life_fac,0.5,0))+Sens!F10580*IF(2&lt;life_fac,1,IF(2=life_fac,0.5,0))+Sens!G10580*IF(1&lt;life_fac,1,IF(1=life_fac,0.5,0))+Sens!H10580*0.5)/life_fac</f>
        <v>5.898098964625</v>
      </c>
      <c r="I10586" s="6" t="n">
        <f aca="false">(Sens!C10580*IF(6&lt;life_fac,1,IF(6=life_fac,0.5,0))+Sens!D10580*IF(5&lt;life_fac,1,IF(5=life_fac,0.5,0))+Sens!E10580*IF(4&lt;life_fac,1,IF(4=life_fac,0.5,0))+Sens!F10580*IF(3&lt;life_fac,1,IF(3=life_fac,0.5,0))+Sens!G10580*IF(2&lt;life_fac,1,IF(2=life_fac,0.5,0))+Sens!H10580*IF(1&lt;life_fac,1,IF(1=life_fac,0.5,0))+Sens!I10580*0.5)/life_fac</f>
        <v>7.37368556095442</v>
      </c>
      <c r="J10586" s="6" t="n">
        <f aca="false">(Sens!C10580*IF(7&lt;life_fac,1,IF(7=life_fac,0.5,0))+Sens!D10580*IF(6&lt;life_fac,1,IF(6=life_fac,0.5,0))+Sens!E10580*IF(5&lt;life_fac,1,IF(5=life_fac,0.5,0))+Sens!F10580*IF(4&lt;life_fac,1,IF(4=life_fac,0.5,0))+Sens!G10580*IF(3&lt;life_fac,1,IF(3=life_fac,0.5,0))+Sens!H10580*IF(2&lt;life_fac,1,IF(2=life_fac,0.5,0))+Sens!I10580*IF(1&lt;life_fac,1,IF(1=life_fac,0.5,0))+Sens!J10580*0.5)/life_fac</f>
        <v>8.35816451031075</v>
      </c>
      <c r="K10586" s="6" t="n">
        <f aca="false">(Sens!C10580*IF(8&lt;life_fac,1,IF(8=life_fac,0.5,0))+Sens!D10580*IF(7&lt;life_fac,1,IF(7=life_fac,0.5,0))+Sens!E10580*IF(6&lt;life_fac,1,IF(6=life_fac,0.5,0))+Sens!F10580*IF(5&lt;life_fac,1,IF(5=life_fac,0.5,0))+Sens!G10580*IF(4&lt;life_fac,1,IF(4=life_fac,0.5,0))+Sens!H10580*IF(3&lt;life_fac,1,IF(3=life_fac,0.5,0))+Sens!I10580*IF(2&lt;life_fac,1,IF(2=life_fac,0.5,0))+Sens!J10580*IF(1&lt;life_fac,1,IF(1=life_fac,0.5,0))+Sens!K10580*0.5)/life_fac</f>
        <v>8.86883104910662</v>
      </c>
    </row>
    <row r="10587" customFormat="false" ht="17.15" hidden="false" customHeight="false" outlineLevel="0" collapsed="false">
      <c r="A10587" s="0" t="s">
        <v>1005</v>
      </c>
      <c r="B10587" s="0" t="s">
        <v>98</v>
      </c>
      <c r="E10587" s="6" t="n">
        <f aca="false">Sens!E10585+Sens!E10586</f>
        <v>16.3054059770833</v>
      </c>
      <c r="F10587" s="6" t="n">
        <f aca="false">Sens!F10585+Sens!F10586</f>
        <v>34.5793144783516</v>
      </c>
      <c r="G10587" s="6" t="n">
        <f aca="false">Sens!G10585+Sens!G10586</f>
        <v>60.7344906522989</v>
      </c>
      <c r="H10587" s="6" t="n">
        <f aca="false">Sens!H10585+Sens!H10586</f>
        <v>89.1000906614457</v>
      </c>
      <c r="I10587" s="6" t="n">
        <f aca="false">Sens!I10585+Sens!I10586</f>
        <v>114.231009694548</v>
      </c>
      <c r="J10587" s="6" t="n">
        <f aca="false">Sens!J10585+Sens!J10586</f>
        <v>132.015673049596</v>
      </c>
      <c r="K10587" s="6" t="n">
        <f aca="false">Sens!K10585+Sens!K10586</f>
        <v>143.012669550934</v>
      </c>
    </row>
    <row r="10588" customFormat="false" ht="17.15" hidden="false" customHeight="false" outlineLevel="0" collapsed="false">
      <c r="A10588" s="0" t="s">
        <v>1006</v>
      </c>
      <c r="B10588" s="0" t="s">
        <v>98</v>
      </c>
      <c r="E10588" s="6" t="n">
        <f aca="false">Sens!E10575-Sens!E10574*Sens!E10587</f>
        <v>8.92707889977379</v>
      </c>
      <c r="F10588" s="6" t="n">
        <f aca="false">Sens!F10575-Sens!F10574*Sens!F10587</f>
        <v>18.7770356668733</v>
      </c>
      <c r="G10588" s="6" t="n">
        <f aca="false">Sens!G10575-Sens!G10574*Sens!G10587</f>
        <v>31.1163641458894</v>
      </c>
      <c r="H10588" s="6" t="n">
        <f aca="false">Sens!H10575-Sens!H10574*Sens!H10587</f>
        <v>43.7262635496428</v>
      </c>
      <c r="I10588" s="6" t="n">
        <f aca="false">Sens!I10575-Sens!I10574*Sens!I10587</f>
        <v>54.7541698336361</v>
      </c>
      <c r="J10588" s="6" t="n">
        <f aca="false">Sens!J10575-Sens!J10574*Sens!J10587</f>
        <v>62.3768819327658</v>
      </c>
      <c r="K10588" s="6" t="n">
        <f aca="false">Sens!K10575-Sens!K10574*Sens!K10587</f>
        <v>67.4820630434748</v>
      </c>
    </row>
    <row r="10589" customFormat="false" ht="17.15" hidden="false" customHeight="false" outlineLevel="0" collapsed="false">
      <c r="A10589" s="3" t="s">
        <v>1876</v>
      </c>
    </row>
    <row r="10590" customFormat="false" ht="15" hidden="false" customHeight="false" outlineLevel="0" collapsed="false">
      <c r="A10590" s="4" t="s">
        <v>43</v>
      </c>
      <c r="B10590" s="4" t="s">
        <v>65</v>
      </c>
      <c r="C10590" s="23" t="s">
        <v>942</v>
      </c>
      <c r="D10590" s="23" t="s">
        <v>943</v>
      </c>
      <c r="E10590" s="23" t="s">
        <v>944</v>
      </c>
      <c r="F10590" s="23" t="s">
        <v>945</v>
      </c>
      <c r="G10590" s="23" t="s">
        <v>946</v>
      </c>
      <c r="H10590" s="23" t="s">
        <v>947</v>
      </c>
      <c r="I10590" s="23" t="s">
        <v>948</v>
      </c>
      <c r="J10590" s="23" t="s">
        <v>949</v>
      </c>
      <c r="K10590" s="23" t="s">
        <v>950</v>
      </c>
      <c r="L10590" s="4" t="s">
        <v>47</v>
      </c>
    </row>
    <row r="10591" customFormat="false" ht="17.15" hidden="false" customHeight="false" outlineLevel="0" collapsed="false">
      <c r="A10591" s="0" t="s">
        <v>1025</v>
      </c>
      <c r="B10591" s="0" t="s">
        <v>98</v>
      </c>
      <c r="D10591" s="6" t="n">
        <f aca="false">Sens!D10569</f>
        <v>12.9359794422418</v>
      </c>
      <c r="E10591" s="6" t="n">
        <f aca="false">Sens!E10569</f>
        <v>27.8095064661409</v>
      </c>
      <c r="F10591" s="6" t="n">
        <f aca="false">Sens!F10569</f>
        <v>55.4118315060966</v>
      </c>
      <c r="G10591" s="6" t="n">
        <f aca="false">Sens!G10569</f>
        <v>91.2881100675143</v>
      </c>
      <c r="H10591" s="6" t="n">
        <f aca="false">Sens!H10569</f>
        <v>128.195273603944</v>
      </c>
      <c r="I10591" s="6" t="n">
        <f aca="false">Sens!I10569</f>
        <v>160.601281810405</v>
      </c>
      <c r="J10591" s="6" t="n">
        <f aca="false">Sens!J10569</f>
        <v>183.182719793589</v>
      </c>
      <c r="K10591" s="6" t="n">
        <f aca="false">Sens!K10569</f>
        <v>197.320124937098</v>
      </c>
    </row>
    <row r="10592" customFormat="false" ht="17.15" hidden="false" customHeight="false" outlineLevel="0" collapsed="false">
      <c r="A10592" s="0" t="s">
        <v>1026</v>
      </c>
      <c r="B10592" s="0" t="s">
        <v>98</v>
      </c>
      <c r="D10592" s="6" t="n">
        <f aca="false">Q!L6-Sens!D10591</f>
        <v>59.6740205577583</v>
      </c>
      <c r="E10592" s="6" t="n">
        <f aca="false">Q!M6-Sens!E10591</f>
        <v>74.1284935338591</v>
      </c>
      <c r="F10592" s="6" t="n">
        <f aca="false">Q!$I$6+(Sens!F10591+Sens!E10592*(1+Sens!F10593))*(1-Q!$E$6/Q!M6)-Sens!F10591</f>
        <v>91.2972164940844</v>
      </c>
      <c r="G10592" s="6" t="n">
        <f aca="false">Sens!F10592*(1+Sens!G10593)</f>
        <v>108.474719793879</v>
      </c>
      <c r="H10592" s="6" t="n">
        <f aca="false">Sens!G10592*(1+Sens!H10593)</f>
        <v>125.951292505701</v>
      </c>
      <c r="I10592" s="6" t="n">
        <f aca="false">Sens!H10592*(1+Sens!I10593)</f>
        <v>142.838165154212</v>
      </c>
      <c r="J10592" s="6" t="n">
        <f aca="false">Sens!I10592*(1+Sens!J10593)</f>
        <v>158.12717866615</v>
      </c>
      <c r="K10592" s="6" t="n">
        <f aca="false">Sens!J10592*(1+Sens!K10593)</f>
        <v>170.777352959442</v>
      </c>
      <c r="L10592" s="12" t="s">
        <v>1027</v>
      </c>
    </row>
    <row r="10593" customFormat="false" ht="15" hidden="false" customHeight="false" outlineLevel="0" collapsed="false">
      <c r="A10593" s="1" t="s">
        <v>1028</v>
      </c>
      <c r="B10593" s="0" t="s">
        <v>168</v>
      </c>
      <c r="E10593" s="7" t="n">
        <f aca="false">Sens!E10592/Sens!D10592-1</f>
        <v>0.242223883039864</v>
      </c>
      <c r="F10593" s="7" t="n">
        <f aca="false">Sens!$E$10593+(glt_azo-Sens!$E$10593)*MIN(1,(Sens!F10550-base_fy)/n_conv)</f>
        <v>0.215186569199887</v>
      </c>
      <c r="G10593" s="7" t="n">
        <f aca="false">Sens!$E$10593+(glt_azo-Sens!$E$10593)*MIN(1,(Sens!G10550-base_fy)/n_conv)</f>
        <v>0.18814925535991</v>
      </c>
      <c r="H10593" s="7" t="n">
        <f aca="false">Sens!$E$10593+(glt_azo-Sens!$E$10593)*MIN(1,(Sens!H10550-base_fy)/n_conv)</f>
        <v>0.161111941519932</v>
      </c>
      <c r="I10593" s="7" t="n">
        <f aca="false">Sens!$E$10593+(glt_azo-Sens!$E$10593)*MIN(1,(Sens!I10550-base_fy)/n_conv)</f>
        <v>0.134074627679955</v>
      </c>
      <c r="J10593" s="7" t="n">
        <f aca="false">Sens!$E$10593+(glt_azo-Sens!$E$10593)*MIN(1,(Sens!J10550-base_fy)/n_conv)</f>
        <v>0.107037313839977</v>
      </c>
      <c r="K10593" s="7" t="n">
        <f aca="false">Sens!$E$10593+(glt_azo-Sens!$E$10593)*MIN(1,(Sens!K10550-base_fy)/n_conv)</f>
        <v>0.08</v>
      </c>
    </row>
    <row r="10594" customFormat="false" ht="15" hidden="false" customHeight="false" outlineLevel="0" collapsed="false">
      <c r="A10594" s="0" t="s">
        <v>1029</v>
      </c>
      <c r="B10594" s="0" t="s">
        <v>98</v>
      </c>
      <c r="D10594" s="6" t="n">
        <f aca="false">Sens!D10591+Sens!D10592</f>
        <v>72.61</v>
      </c>
      <c r="E10594" s="6" t="n">
        <f aca="false">Sens!E10591+Sens!E10592</f>
        <v>101.938</v>
      </c>
      <c r="F10594" s="6" t="n">
        <f aca="false">Sens!F10591+Sens!F10592</f>
        <v>146.709048000181</v>
      </c>
      <c r="G10594" s="6" t="n">
        <f aca="false">Sens!G10591+Sens!G10592</f>
        <v>199.762829861393</v>
      </c>
      <c r="H10594" s="6" t="n">
        <f aca="false">Sens!H10591+Sens!H10592</f>
        <v>254.146566109645</v>
      </c>
      <c r="I10594" s="6" t="n">
        <f aca="false">Sens!I10591+Sens!I10592</f>
        <v>303.439446964617</v>
      </c>
      <c r="J10594" s="6" t="n">
        <f aca="false">Sens!J10591+Sens!J10592</f>
        <v>341.309898459739</v>
      </c>
      <c r="K10594" s="6" t="n">
        <f aca="false">Sens!K10591+Sens!K10592</f>
        <v>368.09747789654</v>
      </c>
    </row>
    <row r="10595" customFormat="false" ht="17.15" hidden="false" customHeight="false" outlineLevel="0" collapsed="false">
      <c r="A10595" s="0" t="s">
        <v>1030</v>
      </c>
      <c r="B10595" s="1" t="s">
        <v>613</v>
      </c>
      <c r="C10595" s="30" t="n">
        <f aca="false">cop_s24</f>
        <v>1</v>
      </c>
      <c r="D10595" s="30" t="n">
        <f aca="false">cop_s25</f>
        <v>5</v>
      </c>
      <c r="E10595" s="30" t="n">
        <f aca="false">cop_s26</f>
        <v>30</v>
      </c>
      <c r="F10595" s="30" t="n">
        <f aca="false">Sens!E10595+cop_add_B</f>
        <v>50</v>
      </c>
      <c r="G10595" s="30" t="n">
        <f aca="false">Sens!F10595+cop_add_B</f>
        <v>70</v>
      </c>
      <c r="H10595" s="30" t="n">
        <f aca="false">Sens!G10595+cop_add_B</f>
        <v>90</v>
      </c>
      <c r="I10595" s="30" t="n">
        <f aca="false">Sens!H10595+cop_add_B*cop_tail</f>
        <v>100</v>
      </c>
      <c r="J10595" s="30" t="n">
        <f aca="false">Sens!I10595+cop_add_B*cop_tail</f>
        <v>110</v>
      </c>
      <c r="K10595" s="30" t="n">
        <f aca="false">Sens!J10595+cop_add_B*cop_tail</f>
        <v>120</v>
      </c>
      <c r="L10595" s="12" t="s">
        <v>1031</v>
      </c>
    </row>
    <row r="10596" customFormat="false" ht="17.15" hidden="false" customHeight="false" outlineLevel="0" collapsed="false">
      <c r="A10596" s="0" t="s">
        <v>1032</v>
      </c>
      <c r="B10596" s="0" t="s">
        <v>98</v>
      </c>
      <c r="D10596" s="6" t="n">
        <f aca="false">(Sens!C10595+Sens!D10595)/2*cop_px*12/1000</f>
        <v>0.9</v>
      </c>
      <c r="E10596" s="6" t="n">
        <f aca="false">(Sens!D10595+Sens!E10595)/2*cop_px*12/1000</f>
        <v>5.25</v>
      </c>
      <c r="F10596" s="6" t="n">
        <f aca="false">(Sens!E10595+Sens!F10595)/2*cop_px*12/1000</f>
        <v>12</v>
      </c>
      <c r="G10596" s="6" t="n">
        <f aca="false">(Sens!F10595+Sens!G10595)/2*cop_px*12/1000</f>
        <v>18</v>
      </c>
      <c r="H10596" s="6" t="n">
        <f aca="false">(Sens!G10595+Sens!H10595)/2*cop_px*12/1000</f>
        <v>24</v>
      </c>
      <c r="I10596" s="6" t="n">
        <f aca="false">(Sens!H10595+Sens!I10595)/2*cop_px*12/1000</f>
        <v>28.5</v>
      </c>
      <c r="J10596" s="6" t="n">
        <f aca="false">(Sens!I10595+Sens!J10595)/2*cop_px*12/1000</f>
        <v>31.5</v>
      </c>
      <c r="K10596" s="6" t="n">
        <f aca="false">(Sens!J10595+Sens!K10595)/2*cop_px*12/1000</f>
        <v>34.5</v>
      </c>
      <c r="L10596" s="1" t="s">
        <v>1033</v>
      </c>
    </row>
    <row r="10597" customFormat="false" ht="17.15" hidden="false" customHeight="false" outlineLevel="0" collapsed="false">
      <c r="A10597" s="0" t="s">
        <v>1034</v>
      </c>
      <c r="B10597" s="0" t="s">
        <v>98</v>
      </c>
      <c r="D10597" s="6" t="n">
        <f aca="false">Q!L7-Sens!D10596</f>
        <v>83.705</v>
      </c>
      <c r="E10597" s="6" t="n">
        <f aca="false">Q!M7-Sens!E10596</f>
        <v>95.049</v>
      </c>
      <c r="F10597" s="6" t="n">
        <f aca="false">Q!$I$7+(Sens!E10597*(1+Sens!F10598)+Sens!F10596)*(1-Q!$E$7/Q!M7)-Sens!F10596</f>
        <v>106.584003697747</v>
      </c>
      <c r="G10597" s="6" t="n">
        <f aca="false">Sens!F10597*(1+Sens!G10598)</f>
        <v>118.700726545688</v>
      </c>
      <c r="H10597" s="6" t="n">
        <f aca="false">Sens!G10597*(1+Sens!H10598)</f>
        <v>130.898624783666</v>
      </c>
      <c r="I10597" s="6" t="n">
        <f aca="false">Sens!H10597*(1+Sens!I10598)</f>
        <v>142.920510030657</v>
      </c>
      <c r="J10597" s="6" t="n">
        <f aca="false">Sens!I10597*(1+Sens!J10598)</f>
        <v>154.485722618572</v>
      </c>
      <c r="K10597" s="6" t="n">
        <f aca="false">Sens!J10597*(1+Sens!K10598)</f>
        <v>165.299723201872</v>
      </c>
      <c r="L10597" s="12" t="s">
        <v>1035</v>
      </c>
    </row>
    <row r="10598" customFormat="false" ht="15" hidden="false" customHeight="false" outlineLevel="0" collapsed="false">
      <c r="A10598" s="1" t="s">
        <v>1028</v>
      </c>
      <c r="B10598" s="0" t="s">
        <v>168</v>
      </c>
      <c r="E10598" s="7" t="n">
        <f aca="false">Sens!E10597/Sens!D10597-1</f>
        <v>0.135523564900544</v>
      </c>
      <c r="F10598" s="7" t="n">
        <f aca="false">Sens!$E$10598+(glt_m365b-Sens!$E$10598)*MIN(1,(Sens!F10550-base_fy)/n_conv)</f>
        <v>0.124602970750453</v>
      </c>
      <c r="G10598" s="7" t="n">
        <f aca="false">Sens!$E$10598+(glt_m365b-Sens!$E$10598)*MIN(1,(Sens!G10550-base_fy)/n_conv)</f>
        <v>0.113682376600363</v>
      </c>
      <c r="H10598" s="7" t="n">
        <f aca="false">Sens!$E$10598+(glt_m365b-Sens!$E$10598)*MIN(1,(Sens!H10550-base_fy)/n_conv)</f>
        <v>0.102761782450272</v>
      </c>
      <c r="I10598" s="7" t="n">
        <f aca="false">Sens!$E$10598+(glt_m365b-Sens!$E$10598)*MIN(1,(Sens!I10550-base_fy)/n_conv)</f>
        <v>0.0918411883001813</v>
      </c>
      <c r="J10598" s="7" t="n">
        <f aca="false">Sens!$E$10598+(glt_m365b-Sens!$E$10598)*MIN(1,(Sens!J10550-base_fy)/n_conv)</f>
        <v>0.0809205941500906</v>
      </c>
      <c r="K10598" s="7" t="n">
        <f aca="false">Sens!$E$10598+(glt_m365b-Sens!$E$10598)*MIN(1,(Sens!K10550-base_fy)/n_conv)</f>
        <v>0.07</v>
      </c>
    </row>
    <row r="10599" customFormat="false" ht="15" hidden="false" customHeight="false" outlineLevel="0" collapsed="false">
      <c r="A10599" s="0" t="s">
        <v>1036</v>
      </c>
      <c r="B10599" s="0" t="s">
        <v>98</v>
      </c>
      <c r="D10599" s="6" t="n">
        <f aca="false">Sens!D10597+Sens!D10596</f>
        <v>84.605</v>
      </c>
      <c r="E10599" s="6" t="n">
        <f aca="false">Sens!E10597+Sens!E10596</f>
        <v>100.299</v>
      </c>
      <c r="F10599" s="6" t="n">
        <f aca="false">Sens!F10597+Sens!F10596</f>
        <v>118.584003697747</v>
      </c>
      <c r="G10599" s="6" t="n">
        <f aca="false">Sens!G10597+Sens!G10596</f>
        <v>136.700726545688</v>
      </c>
      <c r="H10599" s="6" t="n">
        <f aca="false">Sens!H10597+Sens!H10596</f>
        <v>154.898624783666</v>
      </c>
      <c r="I10599" s="6" t="n">
        <f aca="false">Sens!I10597+Sens!I10596</f>
        <v>171.420510030657</v>
      </c>
      <c r="J10599" s="6" t="n">
        <f aca="false">Sens!J10597+Sens!J10596</f>
        <v>185.985722618572</v>
      </c>
      <c r="K10599" s="6" t="n">
        <f aca="false">Sens!K10597+Sens!K10596</f>
        <v>199.799723201872</v>
      </c>
    </row>
    <row r="10600" customFormat="false" ht="17.15" hidden="false" customHeight="false" outlineLevel="0" collapsed="false">
      <c r="A10600" s="0" t="s">
        <v>1037</v>
      </c>
      <c r="B10600" s="0" t="s">
        <v>98</v>
      </c>
      <c r="D10600" s="6" t="n">
        <f aca="false">Q!L8</f>
        <v>35.391</v>
      </c>
      <c r="E10600" s="6" t="n">
        <f aca="false">Q!M8</f>
        <v>37.285</v>
      </c>
      <c r="F10600" s="6" t="n">
        <f aca="false">Q!$I$8+(Q!M8-Q!$E$8)*(1+Sens!F10601)</f>
        <v>38.3851437782675</v>
      </c>
      <c r="G10600" s="6" t="n">
        <f aca="false">Sens!F10600*(1+Sens!G10601)</f>
        <v>40.0105353288615</v>
      </c>
      <c r="H10600" s="6" t="n">
        <f aca="false">Sens!G10600*(1+Sens!H10601)</f>
        <v>41.4812512033683</v>
      </c>
      <c r="I10600" s="6" t="n">
        <f aca="false">Sens!H10600*(1+Sens!I10601)</f>
        <v>42.7743107216329</v>
      </c>
      <c r="J10600" s="6" t="n">
        <f aca="false">Sens!I10600*(1+Sens!J10601)</f>
        <v>43.8687373064601</v>
      </c>
      <c r="K10600" s="6" t="n">
        <f aca="false">Sens!J10600*(1+Sens!K10601)</f>
        <v>44.7461120525893</v>
      </c>
      <c r="L10600" s="12" t="s">
        <v>1038</v>
      </c>
    </row>
    <row r="10601" customFormat="false" ht="15" hidden="false" customHeight="false" outlineLevel="0" collapsed="false">
      <c r="A10601" s="1" t="s">
        <v>1028</v>
      </c>
      <c r="B10601" s="0" t="s">
        <v>168</v>
      </c>
      <c r="E10601" s="7" t="n">
        <f aca="false">Sens!E10600/Sens!D10600-1</f>
        <v>0.0535164307309768</v>
      </c>
      <c r="F10601" s="7" t="n">
        <f aca="false">Sens!$E$10601+(glt_lic-Sens!$E$10601)*MIN(1,(Sens!F10550-base_fy)/n_conv)</f>
        <v>0.0479303589424807</v>
      </c>
      <c r="G10601" s="7" t="n">
        <f aca="false">Sens!$E$10601+(glt_lic-Sens!$E$10601)*MIN(1,(Sens!G10550-base_fy)/n_conv)</f>
        <v>0.0423442871539845</v>
      </c>
      <c r="H10601" s="7" t="n">
        <f aca="false">Sens!$E$10601+(glt_lic-Sens!$E$10601)*MIN(1,(Sens!H10550-base_fy)/n_conv)</f>
        <v>0.0367582153654884</v>
      </c>
      <c r="I10601" s="7" t="n">
        <f aca="false">Sens!$E$10601+(glt_lic-Sens!$E$10601)*MIN(1,(Sens!I10550-base_fy)/n_conv)</f>
        <v>0.0311721435769923</v>
      </c>
      <c r="J10601" s="7" t="n">
        <f aca="false">Sens!$E$10601+(glt_lic-Sens!$E$10601)*MIN(1,(Sens!J10550-base_fy)/n_conv)</f>
        <v>0.0255860717884961</v>
      </c>
      <c r="K10601" s="7" t="n">
        <f aca="false">Sens!$E$10601+(glt_lic-Sens!$E$10601)*MIN(1,(Sens!K10550-base_fy)/n_conv)</f>
        <v>0.02</v>
      </c>
    </row>
    <row r="10602" customFormat="false" ht="17.15" hidden="false" customHeight="false" outlineLevel="0" collapsed="false">
      <c r="A10602" s="0" t="s">
        <v>1039</v>
      </c>
      <c r="B10602" s="0" t="s">
        <v>98</v>
      </c>
      <c r="D10602" s="6" t="n">
        <f aca="false">Q!L9</f>
        <v>18.417</v>
      </c>
      <c r="E10602" s="6" t="n">
        <f aca="false">Q!M9</f>
        <v>20.345</v>
      </c>
      <c r="F10602" s="6" t="n">
        <f aca="false">Q!$I$9+(Q!M9-Q!$E$9)*(1+Sens!F10603)</f>
        <v>22.3161797133988</v>
      </c>
      <c r="G10602" s="6" t="n">
        <f aca="false">Sens!F10602*(1+Sens!G10603)</f>
        <v>24.3943499673233</v>
      </c>
      <c r="H10602" s="6" t="n">
        <f aca="false">Sens!G10602*(1+Sens!H10603)</f>
        <v>26.5250243109019</v>
      </c>
      <c r="I10602" s="6" t="n">
        <f aca="false">Sens!H10602*(1+Sens!I10603)</f>
        <v>28.6884573538181</v>
      </c>
      <c r="J10602" s="6" t="n">
        <f aca="false">Sens!I10602*(1+Sens!J10603)</f>
        <v>30.8624968052127</v>
      </c>
      <c r="K10602" s="6" t="n">
        <f aca="false">Sens!J10602*(1+Sens!K10603)</f>
        <v>33.0228715815776</v>
      </c>
      <c r="L10602" s="12" t="s">
        <v>1038</v>
      </c>
    </row>
    <row r="10603" customFormat="false" ht="15" hidden="false" customHeight="false" outlineLevel="0" collapsed="false">
      <c r="A10603" s="1" t="s">
        <v>1028</v>
      </c>
      <c r="B10603" s="0" t="s">
        <v>168</v>
      </c>
      <c r="E10603" s="7" t="n">
        <f aca="false">Sens!E10602/Sens!D10602-1</f>
        <v>0.104685888038225</v>
      </c>
      <c r="F10603" s="7" t="n">
        <f aca="false">Sens!$E$10603+(glt_ind-Sens!$E$10603)*MIN(1,(Sens!F10550-base_fy)/n_conv)</f>
        <v>0.0989049066985211</v>
      </c>
      <c r="G10603" s="7" t="n">
        <f aca="false">Sens!$E$10603+(glt_ind-Sens!$E$10603)*MIN(1,(Sens!G10550-base_fy)/n_conv)</f>
        <v>0.0931239253588169</v>
      </c>
      <c r="H10603" s="7" t="n">
        <f aca="false">Sens!$E$10603+(glt_ind-Sens!$E$10603)*MIN(1,(Sens!H10550-base_fy)/n_conv)</f>
        <v>0.0873429440191127</v>
      </c>
      <c r="I10603" s="7" t="n">
        <f aca="false">Sens!$E$10603+(glt_ind-Sens!$E$10603)*MIN(1,(Sens!I10550-base_fy)/n_conv)</f>
        <v>0.0815619626794085</v>
      </c>
      <c r="J10603" s="7" t="n">
        <f aca="false">Sens!$E$10603+(glt_ind-Sens!$E$10603)*MIN(1,(Sens!J10550-base_fy)/n_conv)</f>
        <v>0.0757809813397042</v>
      </c>
      <c r="K10603" s="7" t="n">
        <f aca="false">Sens!$E$10603+(glt_ind-Sens!$E$10603)*MIN(1,(Sens!K10550-base_fy)/n_conv)</f>
        <v>0.07</v>
      </c>
    </row>
    <row r="10604" customFormat="false" ht="17.15" hidden="false" customHeight="false" outlineLevel="0" collapsed="false">
      <c r="A10604" s="0" t="s">
        <v>1040</v>
      </c>
      <c r="B10604" s="0" t="s">
        <v>98</v>
      </c>
      <c r="D10604" s="6" t="n">
        <f aca="false">Q!L10</f>
        <v>7.76</v>
      </c>
      <c r="E10604" s="6" t="n">
        <f aca="false">Q!M10</f>
        <v>8.26</v>
      </c>
      <c r="F10604" s="6" t="n">
        <f aca="false">Q!$I$10+(Q!M10-Q!$E$10)*(1+Sens!F10605)</f>
        <v>8.75372082474227</v>
      </c>
      <c r="G10604" s="6" t="n">
        <f aca="false">Sens!F10604*(1+Sens!G10605)</f>
        <v>9.33399324642364</v>
      </c>
      <c r="H10604" s="6" t="n">
        <f aca="false">Sens!G10604*(1+Sens!H10605)</f>
        <v>9.96139155535851</v>
      </c>
      <c r="I10604" s="6" t="n">
        <f aca="false">Sens!H10604*(1+Sens!I10605)</f>
        <v>10.6402039077391</v>
      </c>
      <c r="J10604" s="6" t="n">
        <f aca="false">Sens!I10604*(1+Sens!J10605)</f>
        <v>11.3751458271397</v>
      </c>
      <c r="K10604" s="6" t="n">
        <f aca="false">Sens!J10604*(1+Sens!K10605)</f>
        <v>12.1714060350394</v>
      </c>
      <c r="L10604" s="12" t="s">
        <v>1038</v>
      </c>
    </row>
    <row r="10605" customFormat="false" ht="15" hidden="false" customHeight="false" outlineLevel="0" collapsed="false">
      <c r="A10605" s="1" t="s">
        <v>1028</v>
      </c>
      <c r="B10605" s="0" t="s">
        <v>168</v>
      </c>
      <c r="E10605" s="7" t="n">
        <f aca="false">Sens!E10604/Sens!D10604-1</f>
        <v>0.0644329896907216</v>
      </c>
      <c r="F10605" s="7" t="n">
        <f aca="false">Sens!$E$10605+(glt_fro-Sens!$E$10605)*MIN(1,(Sens!F10550-base_fy)/n_conv)</f>
        <v>0.065360824742268</v>
      </c>
      <c r="G10605" s="7" t="n">
        <f aca="false">Sens!$E$10605+(glt_fro-Sens!$E$10605)*MIN(1,(Sens!G10550-base_fy)/n_conv)</f>
        <v>0.0662886597938144</v>
      </c>
      <c r="H10605" s="7" t="n">
        <f aca="false">Sens!$E$10605+(glt_fro-Sens!$E$10605)*MIN(1,(Sens!H10550-base_fy)/n_conv)</f>
        <v>0.0672164948453608</v>
      </c>
      <c r="I10605" s="7" t="n">
        <f aca="false">Sens!$E$10605+(glt_fro-Sens!$E$10605)*MIN(1,(Sens!I10550-base_fy)/n_conv)</f>
        <v>0.0681443298969072</v>
      </c>
      <c r="J10605" s="7" t="n">
        <f aca="false">Sens!$E$10605+(glt_fro-Sens!$E$10605)*MIN(1,(Sens!J10550-base_fy)/n_conv)</f>
        <v>0.0690721649484536</v>
      </c>
      <c r="K10605" s="7" t="n">
        <f aca="false">Sens!$E$10605+(glt_fro-Sens!$E$10605)*MIN(1,(Sens!K10550-base_fy)/n_conv)</f>
        <v>0.07</v>
      </c>
    </row>
    <row r="10606" customFormat="false" ht="15" hidden="false" customHeight="false" outlineLevel="0" collapsed="false">
      <c r="A10606" s="0" t="s">
        <v>856</v>
      </c>
      <c r="B10606" s="0" t="s">
        <v>98</v>
      </c>
      <c r="D10606" s="6" t="n">
        <f aca="false">Sens!D10594+Sens!D10599+Sens!D10600+Sens!D10602+Sens!D10604</f>
        <v>218.783</v>
      </c>
      <c r="E10606" s="6" t="n">
        <f aca="false">Sens!E10594+Sens!E10599+Sens!E10600+Sens!E10602+Sens!E10604</f>
        <v>268.127</v>
      </c>
      <c r="F10606" s="6" t="n">
        <f aca="false">Sens!F10594+Sens!F10599+Sens!F10600+Sens!F10602+Sens!F10604</f>
        <v>334.748096014336</v>
      </c>
      <c r="G10606" s="6" t="n">
        <f aca="false">Sens!G10594+Sens!G10599+Sens!G10600+Sens!G10602+Sens!G10604</f>
        <v>410.20243494969</v>
      </c>
      <c r="H10606" s="6" t="n">
        <f aca="false">Sens!H10594+Sens!H10599+Sens!H10600+Sens!H10602+Sens!H10604</f>
        <v>487.012857962939</v>
      </c>
      <c r="I10606" s="6" t="n">
        <f aca="false">Sens!I10594+Sens!I10599+Sens!I10600+Sens!I10602+Sens!I10604</f>
        <v>556.962928978464</v>
      </c>
      <c r="J10606" s="6" t="n">
        <f aca="false">Sens!J10594+Sens!J10599+Sens!J10600+Sens!J10602+Sens!J10604</f>
        <v>613.402001017124</v>
      </c>
      <c r="K10606" s="6" t="n">
        <f aca="false">Sens!K10594+Sens!K10599+Sens!K10600+Sens!K10602+Sens!K10604</f>
        <v>657.837590767618</v>
      </c>
    </row>
    <row r="10607" customFormat="false" ht="17.15" hidden="false" customHeight="false" outlineLevel="0" collapsed="false">
      <c r="A10607" s="0" t="s">
        <v>1041</v>
      </c>
      <c r="B10607" s="0" t="s">
        <v>98</v>
      </c>
      <c r="D10607" s="6" t="n">
        <f aca="false">Q!L13</f>
        <v>22.171</v>
      </c>
      <c r="E10607" s="6" t="n">
        <f aca="false">Q!M13</f>
        <v>24.835</v>
      </c>
      <c r="F10607" s="6" t="n">
        <f aca="false">Q!$I$13+(Q!M13-Q!$E$13)*(1+Sens!F10608)</f>
        <v>27.4647245660247</v>
      </c>
      <c r="G10607" s="6" t="n">
        <f aca="false">Sens!F10607*(1+Sens!G10608)</f>
        <v>30.0309728005339</v>
      </c>
      <c r="H10607" s="6" t="n">
        <f aca="false">Sens!G10607*(1+Sens!H10608)</f>
        <v>32.435807482304</v>
      </c>
      <c r="I10607" s="6" t="n">
        <f aca="false">Sens!H10607*(1+Sens!I10608)</f>
        <v>34.5998917086668</v>
      </c>
      <c r="J10607" s="6" t="n">
        <f aca="false">Sens!I10607*(1+Sens!J10608)</f>
        <v>36.4461244099918</v>
      </c>
      <c r="K10607" s="6" t="n">
        <f aca="false">Sens!J10607*(1+Sens!K10608)</f>
        <v>37.9039693863915</v>
      </c>
      <c r="L10607" s="12" t="s">
        <v>1038</v>
      </c>
    </row>
    <row r="10608" customFormat="false" ht="15" hidden="false" customHeight="false" outlineLevel="0" collapsed="false">
      <c r="A10608" s="1" t="s">
        <v>1028</v>
      </c>
      <c r="B10608" s="0" t="s">
        <v>168</v>
      </c>
      <c r="E10608" s="7" t="n">
        <f aca="false">Sens!E10607/Sens!D10607-1</f>
        <v>0.120156961796942</v>
      </c>
      <c r="F10608" s="7" t="n">
        <f aca="false">Sens!$E$10608+(glt_srch_lo-Sens!$E$10608)*MIN(1,(Sens!F10550-base_fy)/n_conv)</f>
        <v>0.106797468164118</v>
      </c>
      <c r="G10608" s="7" t="n">
        <f aca="false">Sens!$E$10608+(glt_srch_lo-Sens!$E$10608)*MIN(1,(Sens!G10550-base_fy)/n_conv)</f>
        <v>0.0934379745312947</v>
      </c>
      <c r="H10608" s="7" t="n">
        <f aca="false">Sens!$E$10608+(glt_srch_lo-Sens!$E$10608)*MIN(1,(Sens!H10550-base_fy)/n_conv)</f>
        <v>0.080078480898471</v>
      </c>
      <c r="I10608" s="7" t="n">
        <f aca="false">Sens!$E$10608+(glt_srch_lo-Sens!$E$10608)*MIN(1,(Sens!I10550-base_fy)/n_conv)</f>
        <v>0.0667189872656473</v>
      </c>
      <c r="J10608" s="7" t="n">
        <f aca="false">Sens!$E$10608+(glt_srch_lo-Sens!$E$10608)*MIN(1,(Sens!J10550-base_fy)/n_conv)</f>
        <v>0.0533594936328237</v>
      </c>
      <c r="K10608" s="7" t="n">
        <f aca="false">Sens!$E$10608+(glt_srch_lo-Sens!$E$10608)*MIN(1,(Sens!K10550-base_fy)/n_conv)</f>
        <v>0.04</v>
      </c>
    </row>
    <row r="10609" customFormat="false" ht="17.15" hidden="false" customHeight="false" outlineLevel="0" collapsed="false">
      <c r="A10609" s="0" t="s">
        <v>1042</v>
      </c>
      <c r="B10609" s="0" t="s">
        <v>98</v>
      </c>
      <c r="D10609" s="6" t="n">
        <f aca="false">Q!L14</f>
        <v>23.455</v>
      </c>
      <c r="E10609" s="6" t="n">
        <f aca="false">Q!M14</f>
        <v>21.79</v>
      </c>
      <c r="F10609" s="6" t="n">
        <f aca="false">Q!$I$14+(Q!M14-Q!$E$14)*(1+Sens!F10610)</f>
        <v>20.7520981041711</v>
      </c>
      <c r="G10609" s="6" t="n">
        <f aca="false">Sens!F10609*(1+Sens!G10610)</f>
        <v>19.9083593495882</v>
      </c>
      <c r="H10609" s="6" t="n">
        <f aca="false">Sens!G10609*(1+Sens!H10610)</f>
        <v>19.4008256265831</v>
      </c>
      <c r="I10609" s="6" t="n">
        <f aca="false">Sens!H10609*(1+Sens!I10610)</f>
        <v>19.200434522122</v>
      </c>
      <c r="J10609" s="6" t="n">
        <f aca="false">Sens!I10609*(1+Sens!J10610)</f>
        <v>19.2932782348507</v>
      </c>
      <c r="K10609" s="6" t="n">
        <f aca="false">Sens!J10609*(1+Sens!K10610)</f>
        <v>19.6791437995477</v>
      </c>
      <c r="L10609" s="12" t="s">
        <v>1038</v>
      </c>
    </row>
    <row r="10610" customFormat="false" ht="15" hidden="false" customHeight="false" outlineLevel="0" collapsed="false">
      <c r="A10610" s="1" t="s">
        <v>1028</v>
      </c>
      <c r="B10610" s="0" t="s">
        <v>168</v>
      </c>
      <c r="E10610" s="7" t="n">
        <f aca="false">Sens!E10609/Sens!D10609-1</f>
        <v>-0.0709869963760392</v>
      </c>
      <c r="F10610" s="7" t="n">
        <f aca="false">Sens!$E$10610+(glt_xbox-Sens!$E$10610)*MIN(1,(Sens!F10550-base_fy)/n_conv)</f>
        <v>-0.0558224969800327</v>
      </c>
      <c r="G10610" s="7" t="n">
        <f aca="false">Sens!$E$10610+(glt_xbox-Sens!$E$10610)*MIN(1,(Sens!G10550-base_fy)/n_conv)</f>
        <v>-0.0406579975840262</v>
      </c>
      <c r="H10610" s="7" t="n">
        <f aca="false">Sens!$E$10610+(glt_xbox-Sens!$E$10610)*MIN(1,(Sens!H10550-base_fy)/n_conv)</f>
        <v>-0.0254934981880196</v>
      </c>
      <c r="I10610" s="7" t="n">
        <f aca="false">Sens!$E$10610+(glt_xbox-Sens!$E$10610)*MIN(1,(Sens!I10550-base_fy)/n_conv)</f>
        <v>-0.0103289987920131</v>
      </c>
      <c r="J10610" s="7" t="n">
        <f aca="false">Sens!$E$10610+(glt_xbox-Sens!$E$10610)*MIN(1,(Sens!J10550-base_fy)/n_conv)</f>
        <v>0.00483550060399347</v>
      </c>
      <c r="K10610" s="7" t="n">
        <f aca="false">Sens!$E$10610+(glt_xbox-Sens!$E$10610)*MIN(1,(Sens!K10550-base_fy)/n_conv)</f>
        <v>0.02</v>
      </c>
    </row>
    <row r="10611" customFormat="false" ht="17.15" hidden="false" customHeight="false" outlineLevel="0" collapsed="false">
      <c r="A10611" s="0" t="s">
        <v>1043</v>
      </c>
      <c r="B10611" s="0" t="s">
        <v>98</v>
      </c>
      <c r="D10611" s="6" t="n">
        <f aca="false">Q!L15</f>
        <v>17.315</v>
      </c>
      <c r="E10611" s="6" t="n">
        <f aca="false">Q!M15</f>
        <v>17.087</v>
      </c>
      <c r="F10611" s="6" t="n">
        <f aca="false">Q!$I$15+(Q!M15-Q!$E$15)*(1+Sens!F10612)</f>
        <v>15.9912273250553</v>
      </c>
      <c r="G10611" s="6" t="n">
        <f aca="false">Sens!F10611*(1+Sens!G10612)</f>
        <v>15.9574562664827</v>
      </c>
      <c r="H10611" s="6" t="n">
        <f aca="false">Sens!G10611*(1+Sens!H10612)</f>
        <v>16.0119687434196</v>
      </c>
      <c r="I10611" s="6" t="n">
        <f aca="false">Sens!H10611*(1+Sens!I10612)</f>
        <v>16.1551810001948</v>
      </c>
      <c r="J10611" s="6" t="n">
        <f aca="false">Sens!I10611*(1+Sens!J10612)</f>
        <v>16.3889793892005</v>
      </c>
      <c r="K10611" s="6" t="n">
        <f aca="false">Sens!J10611*(1+Sens!K10612)</f>
        <v>16.7167589769845</v>
      </c>
      <c r="L10611" s="12" t="s">
        <v>1038</v>
      </c>
    </row>
    <row r="10612" customFormat="false" ht="15" hidden="false" customHeight="false" outlineLevel="0" collapsed="false">
      <c r="A10612" s="1" t="s">
        <v>1028</v>
      </c>
      <c r="B10612" s="0" t="s">
        <v>168</v>
      </c>
      <c r="E10612" s="7" t="n">
        <f aca="false">Sens!E10611/Sens!D10611-1</f>
        <v>-0.0131677736066995</v>
      </c>
      <c r="F10612" s="7" t="n">
        <f aca="false">Sens!$E$10612+(glt_win-Sens!$E$10612)*MIN(1,(Sens!F10550-base_fy)/n_conv)</f>
        <v>-0.00763981133891627</v>
      </c>
      <c r="G10612" s="7" t="n">
        <f aca="false">Sens!$E$10612+(glt_win-Sens!$E$10612)*MIN(1,(Sens!G10550-base_fy)/n_conv)</f>
        <v>-0.00211184907113301</v>
      </c>
      <c r="H10612" s="7" t="n">
        <f aca="false">Sens!$E$10612+(glt_win-Sens!$E$10612)*MIN(1,(Sens!H10550-base_fy)/n_conv)</f>
        <v>0.00341611319665024</v>
      </c>
      <c r="I10612" s="7" t="n">
        <f aca="false">Sens!$E$10612+(glt_win-Sens!$E$10612)*MIN(1,(Sens!I10550-base_fy)/n_conv)</f>
        <v>0.00894407546443349</v>
      </c>
      <c r="J10612" s="7" t="n">
        <f aca="false">Sens!$E$10612+(glt_win-Sens!$E$10612)*MIN(1,(Sens!J10550-base_fy)/n_conv)</f>
        <v>0.0144720377322168</v>
      </c>
      <c r="K10612" s="7" t="n">
        <f aca="false">Sens!$E$10612+(glt_win-Sens!$E$10612)*MIN(1,(Sens!K10550-base_fy)/n_conv)</f>
        <v>0.02</v>
      </c>
    </row>
    <row r="10613" customFormat="false" ht="15" hidden="false" customHeight="false" outlineLevel="0" collapsed="false">
      <c r="A10613" s="0" t="s">
        <v>870</v>
      </c>
      <c r="B10613" s="0" t="s">
        <v>98</v>
      </c>
      <c r="D10613" s="6" t="n">
        <f aca="false">Sens!D10607+Sens!D10609+Sens!D10611</f>
        <v>62.941</v>
      </c>
      <c r="E10613" s="6" t="n">
        <f aca="false">Sens!E10607+Sens!E10609+Sens!E10611</f>
        <v>63.712</v>
      </c>
      <c r="F10613" s="6" t="n">
        <f aca="false">Sens!F10607+Sens!F10609+Sens!F10611</f>
        <v>64.2080499952511</v>
      </c>
      <c r="G10613" s="6" t="n">
        <f aca="false">Sens!G10607+Sens!G10609+Sens!G10611</f>
        <v>65.8967884166048</v>
      </c>
      <c r="H10613" s="6" t="n">
        <f aca="false">Sens!H10607+Sens!H10609+Sens!H10611</f>
        <v>67.8486018523066</v>
      </c>
      <c r="I10613" s="6" t="n">
        <f aca="false">Sens!I10607+Sens!I10609+Sens!I10611</f>
        <v>69.9555072309837</v>
      </c>
      <c r="J10613" s="6" t="n">
        <f aca="false">Sens!J10607+Sens!J10609+Sens!J10611</f>
        <v>72.128382034043</v>
      </c>
      <c r="K10613" s="6" t="n">
        <f aca="false">Sens!K10607+Sens!K10609+Sens!K10611</f>
        <v>74.2998721629237</v>
      </c>
    </row>
    <row r="10614" customFormat="false" ht="15" hidden="false" customHeight="false" outlineLevel="0" collapsed="false">
      <c r="A10614" s="1" t="s">
        <v>1044</v>
      </c>
      <c r="B10614" s="0" t="s">
        <v>98</v>
      </c>
      <c r="D10614" s="6" t="n">
        <f aca="false">Sens!D10606+Sens!D10613</f>
        <v>281.724</v>
      </c>
      <c r="E10614" s="6" t="n">
        <f aca="false">Sens!E10606+Sens!E10613</f>
        <v>331.839</v>
      </c>
      <c r="F10614" s="6" t="n">
        <f aca="false">Sens!F10606+Sens!F10613</f>
        <v>398.956146009588</v>
      </c>
      <c r="G10614" s="6" t="n">
        <f aca="false">Sens!G10606+Sens!G10613</f>
        <v>476.099223366295</v>
      </c>
      <c r="H10614" s="6" t="n">
        <f aca="false">Sens!H10606+Sens!H10613</f>
        <v>554.861459815246</v>
      </c>
      <c r="I10614" s="6" t="n">
        <f aca="false">Sens!I10606+Sens!I10613</f>
        <v>626.918436209448</v>
      </c>
      <c r="J10614" s="6" t="n">
        <f aca="false">Sens!J10606+Sens!J10613</f>
        <v>685.530383051167</v>
      </c>
      <c r="K10614" s="6" t="n">
        <f aca="false">Sens!K10606+Sens!K10613</f>
        <v>732.137462930542</v>
      </c>
    </row>
    <row r="10615" customFormat="false" ht="15" hidden="false" customHeight="false" outlineLevel="0" collapsed="false">
      <c r="A10615" s="26" t="s">
        <v>1045</v>
      </c>
      <c r="B10615" s="31" t="s">
        <v>98</v>
      </c>
      <c r="C10615" s="31"/>
      <c r="D10615" s="27" t="n">
        <f aca="false">(Sens!D10594+Sens!D10599+Sens!D10600+Sens!D10602+Sens!D10604-Sens!D10606)+(Sens!D10607+Sens!D10609+Sens!D10611-Sens!D10613)+(Sens!D10606-Q!L5)+(Sens!D10613-Q!L12)+(Sens!D10594-Q!L6)+(Sens!D10599-Q!L7)</f>
        <v>0</v>
      </c>
      <c r="E10615" s="27" t="n">
        <f aca="false">(Sens!E10594+Sens!E10599+Sens!E10600+Sens!E10602+Sens!E10604-Sens!E10606)+(Sens!E10607+Sens!E10609+Sens!E10611-Sens!E10613)+(Sens!E10606-Q!M5)+(Sens!E10613-Q!M12)+(Sens!E10594-Q!M6)+(Sens!E10599-Q!M7)</f>
        <v>0</v>
      </c>
      <c r="F10615" s="27" t="n">
        <f aca="false">(Sens!F10594+Sens!F10599+Sens!F10600+Sens!F10602+Sens!F10604-Sens!F10606)+(Sens!F10607+Sens!F10609+Sens!F10611-Sens!F10613)</f>
        <v>0</v>
      </c>
      <c r="G10615" s="27" t="n">
        <f aca="false">(Sens!G10594+Sens!G10599+Sens!G10600+Sens!G10602+Sens!G10604-Sens!G10606)+(Sens!G10607+Sens!G10609+Sens!G10611-Sens!G10613)</f>
        <v>0</v>
      </c>
      <c r="H10615" s="27" t="n">
        <f aca="false">(Sens!H10594+Sens!H10599+Sens!H10600+Sens!H10602+Sens!H10604-Sens!H10606)+(Sens!H10607+Sens!H10609+Sens!H10611-Sens!H10613)</f>
        <v>0</v>
      </c>
      <c r="I10615" s="27" t="n">
        <f aca="false">(Sens!I10594+Sens!I10599+Sens!I10600+Sens!I10602+Sens!I10604-Sens!I10606)+(Sens!I10607+Sens!I10609+Sens!I10611-Sens!I10613)</f>
        <v>0</v>
      </c>
      <c r="J10615" s="27" t="n">
        <f aca="false">(Sens!J10594+Sens!J10599+Sens!J10600+Sens!J10602+Sens!J10604-Sens!J10606)+(Sens!J10607+Sens!J10609+Sens!J10611-Sens!J10613)</f>
        <v>0</v>
      </c>
      <c r="K10615" s="27" t="n">
        <f aca="false">(Sens!K10594+Sens!K10599+Sens!K10600+Sens!K10602+Sens!K10604-Sens!K10606)+(Sens!K10607+Sens!K10609+Sens!K10611-Sens!K10613)</f>
        <v>0</v>
      </c>
    </row>
    <row r="10616" customFormat="false" ht="17.15" hidden="false" customHeight="false" outlineLevel="0" collapsed="false">
      <c r="A10616" s="3" t="s">
        <v>1877</v>
      </c>
    </row>
    <row r="10617" customFormat="false" ht="15" hidden="false" customHeight="false" outlineLevel="0" collapsed="false">
      <c r="A10617" s="4" t="s">
        <v>43</v>
      </c>
      <c r="B10617" s="4" t="s">
        <v>65</v>
      </c>
      <c r="C10617" s="23" t="s">
        <v>942</v>
      </c>
      <c r="D10617" s="23" t="s">
        <v>943</v>
      </c>
      <c r="E10617" s="23" t="s">
        <v>944</v>
      </c>
      <c r="F10617" s="23" t="s">
        <v>945</v>
      </c>
      <c r="G10617" s="23" t="s">
        <v>946</v>
      </c>
      <c r="H10617" s="23" t="s">
        <v>947</v>
      </c>
      <c r="I10617" s="23" t="s">
        <v>948</v>
      </c>
      <c r="J10617" s="23" t="s">
        <v>949</v>
      </c>
      <c r="K10617" s="23" t="s">
        <v>950</v>
      </c>
      <c r="L10617" s="4" t="s">
        <v>47</v>
      </c>
    </row>
    <row r="10618" customFormat="false" ht="15" hidden="false" customHeight="false" outlineLevel="0" collapsed="false">
      <c r="A10618" s="0" t="s">
        <v>1029</v>
      </c>
      <c r="B10618" s="0" t="s">
        <v>98</v>
      </c>
      <c r="D10618" s="6" t="n">
        <f aca="false">Sens!D10594</f>
        <v>72.61</v>
      </c>
      <c r="E10618" s="6" t="n">
        <f aca="false">Sens!E10594</f>
        <v>101.938</v>
      </c>
      <c r="F10618" s="6" t="n">
        <f aca="false">Sens!F10594</f>
        <v>146.709048000181</v>
      </c>
      <c r="G10618" s="6" t="n">
        <f aca="false">Sens!G10594</f>
        <v>199.762829861393</v>
      </c>
      <c r="H10618" s="6" t="n">
        <f aca="false">Sens!H10594</f>
        <v>254.146566109645</v>
      </c>
      <c r="I10618" s="6" t="n">
        <f aca="false">Sens!I10594</f>
        <v>303.439446964617</v>
      </c>
      <c r="J10618" s="6" t="n">
        <f aca="false">Sens!J10594</f>
        <v>341.309898459739</v>
      </c>
      <c r="K10618" s="6" t="n">
        <f aca="false">Sens!K10594</f>
        <v>368.09747789654</v>
      </c>
    </row>
    <row r="10619" customFormat="false" ht="17.15" hidden="false" customHeight="false" outlineLevel="0" collapsed="false">
      <c r="A10619" s="0" t="s">
        <v>1025</v>
      </c>
      <c r="B10619" s="0" t="s">
        <v>98</v>
      </c>
      <c r="D10619" s="6" t="n">
        <f aca="false">Sens!D10591</f>
        <v>12.9359794422418</v>
      </c>
      <c r="E10619" s="6" t="n">
        <f aca="false">Sens!E10591</f>
        <v>27.8095064661409</v>
      </c>
      <c r="F10619" s="6" t="n">
        <f aca="false">Sens!F10591</f>
        <v>55.4118315060966</v>
      </c>
      <c r="G10619" s="6" t="n">
        <f aca="false">Sens!G10591</f>
        <v>91.2881100675143</v>
      </c>
      <c r="H10619" s="6" t="n">
        <f aca="false">Sens!H10591</f>
        <v>128.195273603944</v>
      </c>
      <c r="I10619" s="6" t="n">
        <f aca="false">Sens!I10591</f>
        <v>160.601281810405</v>
      </c>
      <c r="J10619" s="6" t="n">
        <f aca="false">Sens!J10591</f>
        <v>183.182719793589</v>
      </c>
      <c r="K10619" s="6" t="n">
        <f aca="false">Sens!K10591</f>
        <v>197.320124937098</v>
      </c>
    </row>
    <row r="10620" customFormat="false" ht="17.15" hidden="false" customHeight="false" outlineLevel="0" collapsed="false">
      <c r="A10620" s="0" t="s">
        <v>1056</v>
      </c>
      <c r="B10620" s="0" t="s">
        <v>98</v>
      </c>
      <c r="D10620" s="6" t="n">
        <f aca="false">Sens!D10592</f>
        <v>59.6740205577583</v>
      </c>
      <c r="E10620" s="6" t="n">
        <f aca="false">Sens!E10592</f>
        <v>74.1284935338591</v>
      </c>
      <c r="F10620" s="6" t="n">
        <f aca="false">Sens!F10592</f>
        <v>91.2972164940844</v>
      </c>
      <c r="G10620" s="6" t="n">
        <f aca="false">Sens!G10592</f>
        <v>108.474719793879</v>
      </c>
      <c r="H10620" s="6" t="n">
        <f aca="false">Sens!H10592</f>
        <v>125.951292505701</v>
      </c>
      <c r="I10620" s="6" t="n">
        <f aca="false">Sens!I10592</f>
        <v>142.838165154212</v>
      </c>
      <c r="J10620" s="6" t="n">
        <f aca="false">Sens!J10592</f>
        <v>158.12717866615</v>
      </c>
      <c r="K10620" s="6" t="n">
        <f aca="false">Sens!K10592</f>
        <v>170.777352959442</v>
      </c>
    </row>
    <row r="10621" customFormat="false" ht="15" hidden="false" customHeight="false" outlineLevel="0" collapsed="false">
      <c r="A10621" s="0" t="s">
        <v>1036</v>
      </c>
      <c r="B10621" s="0" t="s">
        <v>98</v>
      </c>
      <c r="D10621" s="6" t="n">
        <f aca="false">Sens!D10599</f>
        <v>84.605</v>
      </c>
      <c r="E10621" s="6" t="n">
        <f aca="false">Sens!E10599</f>
        <v>100.299</v>
      </c>
      <c r="F10621" s="6" t="n">
        <f aca="false">Sens!F10599</f>
        <v>118.584003697747</v>
      </c>
      <c r="G10621" s="6" t="n">
        <f aca="false">Sens!G10599</f>
        <v>136.700726545688</v>
      </c>
      <c r="H10621" s="6" t="n">
        <f aca="false">Sens!H10599</f>
        <v>154.898624783666</v>
      </c>
      <c r="I10621" s="6" t="n">
        <f aca="false">Sens!I10599</f>
        <v>171.420510030657</v>
      </c>
      <c r="J10621" s="6" t="n">
        <f aca="false">Sens!J10599</f>
        <v>185.985722618572</v>
      </c>
      <c r="K10621" s="6" t="n">
        <f aca="false">Sens!K10599</f>
        <v>199.799723201872</v>
      </c>
    </row>
    <row r="10622" customFormat="false" ht="17.15" hidden="false" customHeight="false" outlineLevel="0" collapsed="false">
      <c r="A10622" s="0" t="s">
        <v>1057</v>
      </c>
      <c r="B10622" s="0" t="s">
        <v>98</v>
      </c>
      <c r="D10622" s="6" t="n">
        <f aca="false">Sens!D10597</f>
        <v>83.705</v>
      </c>
      <c r="E10622" s="6" t="n">
        <f aca="false">Sens!E10597</f>
        <v>95.049</v>
      </c>
      <c r="F10622" s="6" t="n">
        <f aca="false">Sens!F10597</f>
        <v>106.584003697747</v>
      </c>
      <c r="G10622" s="6" t="n">
        <f aca="false">Sens!G10597</f>
        <v>118.700726545688</v>
      </c>
      <c r="H10622" s="6" t="n">
        <f aca="false">Sens!H10597</f>
        <v>130.898624783666</v>
      </c>
      <c r="I10622" s="6" t="n">
        <f aca="false">Sens!I10597</f>
        <v>142.920510030657</v>
      </c>
      <c r="J10622" s="6" t="n">
        <f aca="false">Sens!J10597</f>
        <v>154.485722618572</v>
      </c>
      <c r="K10622" s="6" t="n">
        <f aca="false">Sens!K10597</f>
        <v>165.299723201872</v>
      </c>
    </row>
    <row r="10623" customFormat="false" ht="17.15" hidden="false" customHeight="false" outlineLevel="0" collapsed="false">
      <c r="A10623" s="0" t="s">
        <v>1058</v>
      </c>
      <c r="B10623" s="0" t="s">
        <v>98</v>
      </c>
      <c r="D10623" s="6" t="n">
        <f aca="false">Sens!D10596</f>
        <v>0.9</v>
      </c>
      <c r="E10623" s="6" t="n">
        <f aca="false">Sens!E10596</f>
        <v>5.25</v>
      </c>
      <c r="F10623" s="6" t="n">
        <f aca="false">Sens!F10596</f>
        <v>12</v>
      </c>
      <c r="G10623" s="6" t="n">
        <f aca="false">Sens!G10596</f>
        <v>18</v>
      </c>
      <c r="H10623" s="6" t="n">
        <f aca="false">Sens!H10596</f>
        <v>24</v>
      </c>
      <c r="I10623" s="6" t="n">
        <f aca="false">Sens!I10596</f>
        <v>28.5</v>
      </c>
      <c r="J10623" s="6" t="n">
        <f aca="false">Sens!J10596</f>
        <v>31.5</v>
      </c>
      <c r="K10623" s="6" t="n">
        <f aca="false">Sens!K10596</f>
        <v>34.5</v>
      </c>
    </row>
    <row r="10624" customFormat="false" ht="15" hidden="false" customHeight="false" outlineLevel="0" collapsed="false">
      <c r="A10624" s="0" t="s">
        <v>1037</v>
      </c>
      <c r="B10624" s="0" t="s">
        <v>98</v>
      </c>
      <c r="D10624" s="6" t="n">
        <f aca="false">Sens!D10600</f>
        <v>35.391</v>
      </c>
      <c r="E10624" s="6" t="n">
        <f aca="false">Sens!E10600</f>
        <v>37.285</v>
      </c>
      <c r="F10624" s="6" t="n">
        <f aca="false">Sens!F10600</f>
        <v>38.3851437782675</v>
      </c>
      <c r="G10624" s="6" t="n">
        <f aca="false">Sens!G10600</f>
        <v>40.0105353288615</v>
      </c>
      <c r="H10624" s="6" t="n">
        <f aca="false">Sens!H10600</f>
        <v>41.4812512033683</v>
      </c>
      <c r="I10624" s="6" t="n">
        <f aca="false">Sens!I10600</f>
        <v>42.7743107216329</v>
      </c>
      <c r="J10624" s="6" t="n">
        <f aca="false">Sens!J10600</f>
        <v>43.8687373064601</v>
      </c>
      <c r="K10624" s="6" t="n">
        <f aca="false">Sens!K10600</f>
        <v>44.7461120525893</v>
      </c>
    </row>
    <row r="10625" customFormat="false" ht="15" hidden="false" customHeight="false" outlineLevel="0" collapsed="false">
      <c r="A10625" s="0" t="s">
        <v>1039</v>
      </c>
      <c r="B10625" s="0" t="s">
        <v>98</v>
      </c>
      <c r="D10625" s="6" t="n">
        <f aca="false">Sens!D10602</f>
        <v>18.417</v>
      </c>
      <c r="E10625" s="6" t="n">
        <f aca="false">Sens!E10602</f>
        <v>20.345</v>
      </c>
      <c r="F10625" s="6" t="n">
        <f aca="false">Sens!F10602</f>
        <v>22.3161797133988</v>
      </c>
      <c r="G10625" s="6" t="n">
        <f aca="false">Sens!G10602</f>
        <v>24.3943499673233</v>
      </c>
      <c r="H10625" s="6" t="n">
        <f aca="false">Sens!H10602</f>
        <v>26.5250243109019</v>
      </c>
      <c r="I10625" s="6" t="n">
        <f aca="false">Sens!I10602</f>
        <v>28.6884573538181</v>
      </c>
      <c r="J10625" s="6" t="n">
        <f aca="false">Sens!J10602</f>
        <v>30.8624968052127</v>
      </c>
      <c r="K10625" s="6" t="n">
        <f aca="false">Sens!K10602</f>
        <v>33.0228715815776</v>
      </c>
    </row>
    <row r="10626" customFormat="false" ht="15" hidden="false" customHeight="false" outlineLevel="0" collapsed="false">
      <c r="A10626" s="0" t="s">
        <v>1040</v>
      </c>
      <c r="B10626" s="0" t="s">
        <v>98</v>
      </c>
      <c r="D10626" s="6" t="n">
        <f aca="false">Sens!D10604</f>
        <v>7.76</v>
      </c>
      <c r="E10626" s="6" t="n">
        <f aca="false">Sens!E10604</f>
        <v>8.26</v>
      </c>
      <c r="F10626" s="6" t="n">
        <f aca="false">Sens!F10604</f>
        <v>8.75372082474227</v>
      </c>
      <c r="G10626" s="6" t="n">
        <f aca="false">Sens!G10604</f>
        <v>9.33399324642364</v>
      </c>
      <c r="H10626" s="6" t="n">
        <f aca="false">Sens!H10604</f>
        <v>9.96139155535851</v>
      </c>
      <c r="I10626" s="6" t="n">
        <f aca="false">Sens!I10604</f>
        <v>10.6402039077391</v>
      </c>
      <c r="J10626" s="6" t="n">
        <f aca="false">Sens!J10604</f>
        <v>11.3751458271397</v>
      </c>
      <c r="K10626" s="6" t="n">
        <f aca="false">Sens!K10604</f>
        <v>12.1714060350394</v>
      </c>
    </row>
    <row r="10627" customFormat="false" ht="15" hidden="false" customHeight="false" outlineLevel="0" collapsed="false">
      <c r="A10627" s="0" t="s">
        <v>856</v>
      </c>
      <c r="B10627" s="0" t="s">
        <v>98</v>
      </c>
      <c r="D10627" s="6" t="n">
        <f aca="false">Sens!D10606</f>
        <v>218.783</v>
      </c>
      <c r="E10627" s="6" t="n">
        <f aca="false">Sens!E10606</f>
        <v>268.127</v>
      </c>
      <c r="F10627" s="6" t="n">
        <f aca="false">Sens!F10606</f>
        <v>334.748096014336</v>
      </c>
      <c r="G10627" s="6" t="n">
        <f aca="false">Sens!G10606</f>
        <v>410.20243494969</v>
      </c>
      <c r="H10627" s="6" t="n">
        <f aca="false">Sens!H10606</f>
        <v>487.012857962939</v>
      </c>
      <c r="I10627" s="6" t="n">
        <f aca="false">Sens!I10606</f>
        <v>556.962928978464</v>
      </c>
      <c r="J10627" s="6" t="n">
        <f aca="false">Sens!J10606</f>
        <v>613.402001017124</v>
      </c>
      <c r="K10627" s="6" t="n">
        <f aca="false">Sens!K10606</f>
        <v>657.837590767618</v>
      </c>
    </row>
    <row r="10628" customFormat="false" ht="15" hidden="false" customHeight="false" outlineLevel="0" collapsed="false">
      <c r="A10628" s="0" t="s">
        <v>1041</v>
      </c>
      <c r="B10628" s="0" t="s">
        <v>98</v>
      </c>
      <c r="D10628" s="6" t="n">
        <f aca="false">Sens!D10607</f>
        <v>22.171</v>
      </c>
      <c r="E10628" s="6" t="n">
        <f aca="false">Sens!E10607</f>
        <v>24.835</v>
      </c>
      <c r="F10628" s="6" t="n">
        <f aca="false">Sens!F10607</f>
        <v>27.4647245660247</v>
      </c>
      <c r="G10628" s="6" t="n">
        <f aca="false">Sens!G10607</f>
        <v>30.0309728005339</v>
      </c>
      <c r="H10628" s="6" t="n">
        <f aca="false">Sens!H10607</f>
        <v>32.435807482304</v>
      </c>
      <c r="I10628" s="6" t="n">
        <f aca="false">Sens!I10607</f>
        <v>34.5998917086668</v>
      </c>
      <c r="J10628" s="6" t="n">
        <f aca="false">Sens!J10607</f>
        <v>36.4461244099918</v>
      </c>
      <c r="K10628" s="6" t="n">
        <f aca="false">Sens!K10607</f>
        <v>37.9039693863915</v>
      </c>
    </row>
    <row r="10629" customFormat="false" ht="15" hidden="false" customHeight="false" outlineLevel="0" collapsed="false">
      <c r="A10629" s="0" t="s">
        <v>1042</v>
      </c>
      <c r="B10629" s="0" t="s">
        <v>98</v>
      </c>
      <c r="D10629" s="6" t="n">
        <f aca="false">Sens!D10609</f>
        <v>23.455</v>
      </c>
      <c r="E10629" s="6" t="n">
        <f aca="false">Sens!E10609</f>
        <v>21.79</v>
      </c>
      <c r="F10629" s="6" t="n">
        <f aca="false">Sens!F10609</f>
        <v>20.7520981041711</v>
      </c>
      <c r="G10629" s="6" t="n">
        <f aca="false">Sens!G10609</f>
        <v>19.9083593495882</v>
      </c>
      <c r="H10629" s="6" t="n">
        <f aca="false">Sens!H10609</f>
        <v>19.4008256265831</v>
      </c>
      <c r="I10629" s="6" t="n">
        <f aca="false">Sens!I10609</f>
        <v>19.200434522122</v>
      </c>
      <c r="J10629" s="6" t="n">
        <f aca="false">Sens!J10609</f>
        <v>19.2932782348507</v>
      </c>
      <c r="K10629" s="6" t="n">
        <f aca="false">Sens!K10609</f>
        <v>19.6791437995477</v>
      </c>
    </row>
    <row r="10630" customFormat="false" ht="15" hidden="false" customHeight="false" outlineLevel="0" collapsed="false">
      <c r="A10630" s="0" t="s">
        <v>1043</v>
      </c>
      <c r="B10630" s="0" t="s">
        <v>98</v>
      </c>
      <c r="D10630" s="6" t="n">
        <f aca="false">Sens!D10611</f>
        <v>17.315</v>
      </c>
      <c r="E10630" s="6" t="n">
        <f aca="false">Sens!E10611</f>
        <v>17.087</v>
      </c>
      <c r="F10630" s="6" t="n">
        <f aca="false">Sens!F10611</f>
        <v>15.9912273250553</v>
      </c>
      <c r="G10630" s="6" t="n">
        <f aca="false">Sens!G10611</f>
        <v>15.9574562664827</v>
      </c>
      <c r="H10630" s="6" t="n">
        <f aca="false">Sens!H10611</f>
        <v>16.0119687434196</v>
      </c>
      <c r="I10630" s="6" t="n">
        <f aca="false">Sens!I10611</f>
        <v>16.1551810001948</v>
      </c>
      <c r="J10630" s="6" t="n">
        <f aca="false">Sens!J10611</f>
        <v>16.3889793892005</v>
      </c>
      <c r="K10630" s="6" t="n">
        <f aca="false">Sens!K10611</f>
        <v>16.7167589769845</v>
      </c>
    </row>
    <row r="10631" customFormat="false" ht="15" hidden="false" customHeight="false" outlineLevel="0" collapsed="false">
      <c r="A10631" s="0" t="s">
        <v>870</v>
      </c>
      <c r="B10631" s="0" t="s">
        <v>98</v>
      </c>
      <c r="D10631" s="6" t="n">
        <f aca="false">Sens!D10613</f>
        <v>62.941</v>
      </c>
      <c r="E10631" s="6" t="n">
        <f aca="false">Sens!E10613</f>
        <v>63.712</v>
      </c>
      <c r="F10631" s="6" t="n">
        <f aca="false">Sens!F10613</f>
        <v>64.2080499952511</v>
      </c>
      <c r="G10631" s="6" t="n">
        <f aca="false">Sens!G10613</f>
        <v>65.8967884166048</v>
      </c>
      <c r="H10631" s="6" t="n">
        <f aca="false">Sens!H10613</f>
        <v>67.8486018523066</v>
      </c>
      <c r="I10631" s="6" t="n">
        <f aca="false">Sens!I10613</f>
        <v>69.9555072309837</v>
      </c>
      <c r="J10631" s="6" t="n">
        <f aca="false">Sens!J10613</f>
        <v>72.128382034043</v>
      </c>
      <c r="K10631" s="6" t="n">
        <f aca="false">Sens!K10613</f>
        <v>74.2998721629237</v>
      </c>
    </row>
    <row r="10632" customFormat="false" ht="15" hidden="false" customHeight="false" outlineLevel="0" collapsed="false">
      <c r="A10632" s="1" t="s">
        <v>1059</v>
      </c>
      <c r="B10632" s="0" t="s">
        <v>98</v>
      </c>
      <c r="D10632" s="6" t="n">
        <f aca="false">Sens!D10614</f>
        <v>281.724</v>
      </c>
      <c r="E10632" s="6" t="n">
        <f aca="false">Sens!E10614</f>
        <v>331.839</v>
      </c>
      <c r="F10632" s="6" t="n">
        <f aca="false">Sens!F10614</f>
        <v>398.956146009588</v>
      </c>
      <c r="G10632" s="6" t="n">
        <f aca="false">Sens!G10614</f>
        <v>476.099223366295</v>
      </c>
      <c r="H10632" s="6" t="n">
        <f aca="false">Sens!H10614</f>
        <v>554.861459815246</v>
      </c>
      <c r="I10632" s="6" t="n">
        <f aca="false">Sens!I10614</f>
        <v>626.918436209448</v>
      </c>
      <c r="J10632" s="6" t="n">
        <f aca="false">Sens!J10614</f>
        <v>685.530383051167</v>
      </c>
      <c r="K10632" s="6" t="n">
        <f aca="false">Sens!K10614</f>
        <v>732.137462930542</v>
      </c>
    </row>
    <row r="10633" customFormat="false" ht="15" hidden="false" customHeight="false" outlineLevel="0" collapsed="false">
      <c r="A10633" s="1" t="s">
        <v>1060</v>
      </c>
      <c r="B10633" s="0" t="s">
        <v>168</v>
      </c>
      <c r="E10633" s="7" t="n">
        <f aca="false">Sens!E10632/Sens!D10632-1</f>
        <v>0.177886867998467</v>
      </c>
      <c r="F10633" s="7" t="n">
        <f aca="false">Sens!F10632/Sens!E10632-1</f>
        <v>0.202258161366167</v>
      </c>
      <c r="G10633" s="7" t="n">
        <f aca="false">Sens!G10632/Sens!F10632-1</f>
        <v>0.193362298408741</v>
      </c>
      <c r="H10633" s="7" t="n">
        <f aca="false">Sens!H10632/Sens!G10632-1</f>
        <v>0.165432398507305</v>
      </c>
      <c r="I10633" s="7" t="n">
        <f aca="false">Sens!I10632/Sens!H10632-1</f>
        <v>0.12986480700641</v>
      </c>
      <c r="J10633" s="7" t="n">
        <f aca="false">Sens!J10632/Sens!I10632-1</f>
        <v>0.0934921410129612</v>
      </c>
      <c r="K10633" s="7" t="n">
        <f aca="false">Sens!K10632/Sens!J10632-1</f>
        <v>0.0679868916559701</v>
      </c>
    </row>
    <row r="10634" customFormat="false" ht="17.15" hidden="false" customHeight="false" outlineLevel="0" collapsed="false">
      <c r="A10634" s="26" t="s">
        <v>1061</v>
      </c>
      <c r="B10634" s="31" t="s">
        <v>98</v>
      </c>
      <c r="C10634" s="31"/>
      <c r="D10634" s="27" t="n">
        <f aca="false">(Sens!D10627+Sens!D10631-Sens!D10632)+(Sens!D10619+Sens!D10620-Sens!D10618)+(Sens!D10622+Sens!D10623-Sens!D10621)+(Sens!D10632-Q!L18)</f>
        <v>0</v>
      </c>
      <c r="E10634" s="27" t="n">
        <f aca="false">(Sens!E10627+Sens!E10631-Sens!E10632)+(Sens!E10619+Sens!E10620-Sens!E10618)+(Sens!E10622+Sens!E10623-Sens!E10621)+(Sens!E10632-Q!M18)</f>
        <v>0</v>
      </c>
      <c r="F10634" s="27" t="n">
        <f aca="false">(Sens!F10627+Sens!F10631-Sens!F10632)+(Sens!F10619+Sens!F10620-Sens!F10618)+(Sens!F10622+Sens!F10623-Sens!F10621)</f>
        <v>0</v>
      </c>
      <c r="G10634" s="27" t="n">
        <f aca="false">(Sens!G10627+Sens!G10631-Sens!G10632)+(Sens!G10619+Sens!G10620-Sens!G10618)+(Sens!G10622+Sens!G10623-Sens!G10621)</f>
        <v>0</v>
      </c>
      <c r="H10634" s="27" t="n">
        <f aca="false">(Sens!H10627+Sens!H10631-Sens!H10632)+(Sens!H10619+Sens!H10620-Sens!H10618)+(Sens!H10622+Sens!H10623-Sens!H10621)</f>
        <v>0</v>
      </c>
      <c r="I10634" s="27" t="n">
        <f aca="false">(Sens!I10627+Sens!I10631-Sens!I10632)+(Sens!I10619+Sens!I10620-Sens!I10618)+(Sens!I10622+Sens!I10623-Sens!I10621)</f>
        <v>0</v>
      </c>
      <c r="J10634" s="27" t="n">
        <f aca="false">(Sens!J10627+Sens!J10631-Sens!J10632)+(Sens!J10619+Sens!J10620-Sens!J10618)+(Sens!J10622+Sens!J10623-Sens!J10621)</f>
        <v>0</v>
      </c>
      <c r="K10634" s="27" t="n">
        <f aca="false">(Sens!K10627+Sens!K10631-Sens!K10632)+(Sens!K10619+Sens!K10620-Sens!K10618)+(Sens!K10622+Sens!K10623-Sens!K10621)</f>
        <v>0</v>
      </c>
    </row>
    <row r="10635" customFormat="false" ht="17.15" hidden="false" customHeight="false" outlineLevel="0" collapsed="false">
      <c r="A10635" s="0" t="s">
        <v>1062</v>
      </c>
      <c r="B10635" s="0" t="s">
        <v>168</v>
      </c>
      <c r="E10635" s="7" t="n">
        <f aca="false">(Q!M21+Sens!E10571+Sens!E10572+Sens!E10573+Sens!E10587-Sens!E10569)/(Q!M5-Sens!E10569)</f>
        <v>0.570957350878296</v>
      </c>
      <c r="F10635" s="7" t="n">
        <f aca="false">Sens!$E$10635+dm_seg</f>
        <v>0.570957350878296</v>
      </c>
      <c r="G10635" s="7" t="n">
        <f aca="false">Sens!$E$10635+dm_seg</f>
        <v>0.570957350878296</v>
      </c>
      <c r="H10635" s="7" t="n">
        <f aca="false">Sens!$E$10635+dm_seg</f>
        <v>0.570957350878296</v>
      </c>
      <c r="I10635" s="7" t="n">
        <f aca="false">Sens!$E$10635+dm_seg</f>
        <v>0.570957350878296</v>
      </c>
      <c r="J10635" s="7" t="n">
        <f aca="false">Sens!$E$10635+dm_seg</f>
        <v>0.570957350878296</v>
      </c>
      <c r="K10635" s="7" t="n">
        <f aca="false">Sens!$E$10635+dm_seg</f>
        <v>0.570957350878296</v>
      </c>
      <c r="L10635" s="12" t="s">
        <v>1063</v>
      </c>
    </row>
    <row r="10636" customFormat="false" ht="17.15" hidden="false" customHeight="false" outlineLevel="0" collapsed="false">
      <c r="A10636" s="0" t="s">
        <v>884</v>
      </c>
      <c r="B10636" s="0" t="s">
        <v>98</v>
      </c>
      <c r="D10636" s="6" t="n">
        <f aca="false">Q!L21</f>
        <v>110.814</v>
      </c>
      <c r="E10636" s="6" t="n">
        <f aca="false">Q!M21</f>
        <v>136.365</v>
      </c>
      <c r="F10636" s="6" t="n">
        <f aca="false">Q!$I$21+(Sens!F10635*(Sens!F10606-Sens!F10569)+Sens!F10569-(Sens!F10571+Sens!F10572+Sens!F10573)-Sens!F10587-Sens!F10670)*(Sens!F10606-Q!$I$5)/Sens!F10606</f>
        <v>162.089304808255</v>
      </c>
      <c r="G10636" s="6" t="n">
        <f aca="false">(Sens!G10635*(Sens!G10606-Sens!G10569)+Sens!G10569-(Sens!G10571+Sens!G10572+Sens!G10573)-Sens!G10587-Sens!G10670)</f>
        <v>177.568223057394</v>
      </c>
      <c r="H10636" s="6" t="n">
        <f aca="false">(Sens!H10635*(Sens!H10606-Sens!H10569)+Sens!H10569-(Sens!H10571+Sens!H10572+Sens!H10573)-Sens!H10587-Sens!H10670)</f>
        <v>196.763073884919</v>
      </c>
      <c r="I10636" s="6" t="n">
        <f aca="false">(Sens!I10635*(Sens!I10606-Sens!I10569)+Sens!I10569-(Sens!I10571+Sens!I10572+Sens!I10573)-Sens!I10587-Sens!I10670)</f>
        <v>214.975032234207</v>
      </c>
      <c r="J10636" s="6" t="n">
        <f aca="false">(Sens!J10635*(Sens!J10606-Sens!J10569)+Sens!J10569-(Sens!J10571+Sens!J10572+Sens!J10573)-Sens!J10587-Sens!J10670)</f>
        <v>231.956580691796</v>
      </c>
      <c r="K10636" s="6" t="n">
        <f aca="false">(Sens!K10635*(Sens!K10606-Sens!K10569)+Sens!K10569-(Sens!K10571+Sens!K10572+Sens!K10573)-Sens!K10587-Sens!K10670)</f>
        <v>248.339300044056</v>
      </c>
      <c r="L10636" s="1" t="s">
        <v>1064</v>
      </c>
    </row>
    <row r="10637" customFormat="false" ht="17.15" hidden="false" customHeight="false" outlineLevel="0" collapsed="false">
      <c r="A10637" s="0" t="s">
        <v>1065</v>
      </c>
      <c r="B10637" s="0" t="s">
        <v>168</v>
      </c>
      <c r="E10637" s="7" t="n">
        <f aca="false">Q!M22/Q!M12</f>
        <v>0.296207935710698</v>
      </c>
      <c r="F10637" s="7" t="n">
        <f aca="false">Sens!$E$10637+dm_seg</f>
        <v>0.296207935710698</v>
      </c>
      <c r="G10637" s="7" t="n">
        <f aca="false">Sens!$E$10637+dm_seg</f>
        <v>0.296207935710698</v>
      </c>
      <c r="H10637" s="7" t="n">
        <f aca="false">Sens!$E$10637+dm_seg</f>
        <v>0.296207935710698</v>
      </c>
      <c r="I10637" s="7" t="n">
        <f aca="false">Sens!$E$10637+dm_seg</f>
        <v>0.296207935710698</v>
      </c>
      <c r="J10637" s="7" t="n">
        <f aca="false">Sens!$E$10637+dm_seg</f>
        <v>0.296207935710698</v>
      </c>
      <c r="K10637" s="7" t="n">
        <f aca="false">Sens!$E$10637+dm_seg</f>
        <v>0.296207935710698</v>
      </c>
      <c r="L10637" s="12" t="s">
        <v>1066</v>
      </c>
    </row>
    <row r="10638" customFormat="false" ht="17.15" hidden="false" customHeight="false" outlineLevel="0" collapsed="false">
      <c r="A10638" s="0" t="s">
        <v>886</v>
      </c>
      <c r="B10638" s="0" t="s">
        <v>98</v>
      </c>
      <c r="D10638" s="6" t="n">
        <f aca="false">Q!L22</f>
        <v>17.714</v>
      </c>
      <c r="E10638" s="6" t="n">
        <f aca="false">Q!M22</f>
        <v>18.872</v>
      </c>
      <c r="F10638" s="6" t="n">
        <f aca="false">Q!$I$22+(Sens!F10613-Q!$I$12)*Sens!F10637</f>
        <v>19.7894502685582</v>
      </c>
      <c r="G10638" s="6" t="n">
        <f aca="false">Sens!G10613*Sens!G10637</f>
        <v>19.5191516668472</v>
      </c>
      <c r="H10638" s="6" t="n">
        <f aca="false">Sens!H10613*Sens!H10637</f>
        <v>20.0972942955288</v>
      </c>
      <c r="I10638" s="6" t="n">
        <f aca="false">Sens!I10613*Sens!I10637</f>
        <v>20.7213763884845</v>
      </c>
      <c r="J10638" s="6" t="n">
        <f aca="false">Sens!J10613*Sens!J10637</f>
        <v>21.3649991484565</v>
      </c>
      <c r="K10638" s="6" t="n">
        <f aca="false">Sens!K10613*Sens!K10637</f>
        <v>22.0082117569484</v>
      </c>
      <c r="L10638" s="12" t="s">
        <v>1067</v>
      </c>
    </row>
    <row r="10639" customFormat="false" ht="15" hidden="false" customHeight="false" outlineLevel="0" collapsed="false">
      <c r="A10639" s="1" t="s">
        <v>1068</v>
      </c>
      <c r="B10639" s="0" t="s">
        <v>98</v>
      </c>
      <c r="D10639" s="6" t="n">
        <f aca="false">Sens!D10636+Sens!D10638</f>
        <v>128.528</v>
      </c>
      <c r="E10639" s="6" t="n">
        <f aca="false">Sens!E10636+Sens!E10638</f>
        <v>155.237</v>
      </c>
      <c r="F10639" s="6" t="n">
        <f aca="false">Sens!F10636+Sens!F10638</f>
        <v>181.878755076813</v>
      </c>
      <c r="G10639" s="6" t="n">
        <f aca="false">Sens!G10636+Sens!G10638</f>
        <v>197.087374724241</v>
      </c>
      <c r="H10639" s="6" t="n">
        <f aca="false">Sens!H10636+Sens!H10638</f>
        <v>216.860368180448</v>
      </c>
      <c r="I10639" s="6" t="n">
        <f aca="false">Sens!I10636+Sens!I10638</f>
        <v>235.696408622692</v>
      </c>
      <c r="J10639" s="6" t="n">
        <f aca="false">Sens!J10636+Sens!J10638</f>
        <v>253.321579840253</v>
      </c>
      <c r="K10639" s="6" t="n">
        <f aca="false">Sens!K10636+Sens!K10638</f>
        <v>270.347511801004</v>
      </c>
    </row>
    <row r="10640" customFormat="false" ht="15" hidden="false" customHeight="false" outlineLevel="0" collapsed="false">
      <c r="A10640" s="26" t="s">
        <v>1069</v>
      </c>
      <c r="B10640" s="31" t="s">
        <v>98</v>
      </c>
      <c r="C10640" s="31"/>
      <c r="D10640" s="27" t="n">
        <f aca="false">Sens!D10639-Q!L23</f>
        <v>0</v>
      </c>
      <c r="E10640" s="27" t="n">
        <f aca="false">Sens!E10639-Q!M23</f>
        <v>0</v>
      </c>
      <c r="F10640" s="31"/>
      <c r="G10640" s="31"/>
      <c r="H10640" s="31"/>
      <c r="I10640" s="31"/>
      <c r="J10640" s="31"/>
      <c r="K10640" s="31"/>
    </row>
    <row r="10641" customFormat="false" ht="15" hidden="false" customHeight="false" outlineLevel="0" collapsed="false">
      <c r="A10641" s="1" t="s">
        <v>1070</v>
      </c>
      <c r="B10641" s="0" t="s">
        <v>168</v>
      </c>
      <c r="D10641" s="7" t="n">
        <f aca="false">Sens!D10639/Sens!D10632</f>
        <v>0.456219562408598</v>
      </c>
      <c r="E10641" s="7" t="n">
        <f aca="false">Sens!E10639/Sens!E10632</f>
        <v>0.467808184089272</v>
      </c>
      <c r="F10641" s="7" t="n">
        <f aca="false">Sens!F10639/Sens!F10632</f>
        <v>0.455886585270057</v>
      </c>
      <c r="G10641" s="7" t="n">
        <f aca="false">Sens!G10639/Sens!G10632</f>
        <v>0.413962815000454</v>
      </c>
      <c r="H10641" s="7" t="n">
        <f aca="false">Sens!H10639/Sens!H10632</f>
        <v>0.390836963613686</v>
      </c>
      <c r="I10641" s="7" t="n">
        <f aca="false">Sens!I10639/Sens!I10632</f>
        <v>0.375960244601816</v>
      </c>
      <c r="J10641" s="7" t="n">
        <f aca="false">Sens!J10639/Sens!J10632</f>
        <v>0.369526407732311</v>
      </c>
      <c r="K10641" s="7" t="n">
        <f aca="false">Sens!K10639/Sens!K10632</f>
        <v>0.369257858652497</v>
      </c>
    </row>
    <row r="10642" customFormat="false" ht="17.15" hidden="false" customHeight="false" outlineLevel="0" collapsed="false">
      <c r="A10642" s="1" t="s">
        <v>1071</v>
      </c>
      <c r="B10642" s="0" t="s">
        <v>98</v>
      </c>
      <c r="F10642" s="6" t="n">
        <f aca="false">Sens!F10657</f>
        <v>9.7398427716299</v>
      </c>
      <c r="G10642" s="6" t="n">
        <f aca="false">Sens!G10657</f>
        <v>25.2753385959797</v>
      </c>
      <c r="H10642" s="6" t="n">
        <f aca="false">Sens!H10657</f>
        <v>42.2840253697948</v>
      </c>
      <c r="I10642" s="6" t="n">
        <f aca="false">Sens!I10657</f>
        <v>57.704943641581</v>
      </c>
      <c r="J10642" s="6" t="n">
        <f aca="false">Sens!J10657</f>
        <v>68.4828520908201</v>
      </c>
      <c r="K10642" s="6" t="n">
        <f aca="false">Sens!K10657</f>
        <v>74.3598374943249</v>
      </c>
      <c r="L10642" s="1" t="s">
        <v>1072</v>
      </c>
    </row>
    <row r="10643" customFormat="false" ht="17.15" hidden="false" customHeight="false" outlineLevel="0" collapsed="false">
      <c r="A10643" s="1" t="s">
        <v>1073</v>
      </c>
      <c r="B10643" s="0" t="s">
        <v>98</v>
      </c>
      <c r="D10643" s="6" t="n">
        <f aca="false">Sens!D10639</f>
        <v>128.528</v>
      </c>
      <c r="E10643" s="6" t="n">
        <f aca="false">Sens!E10639</f>
        <v>155.237</v>
      </c>
      <c r="F10643" s="6" t="n">
        <f aca="false">Sens!F10639+Sens!F10642</f>
        <v>191.618597848443</v>
      </c>
      <c r="G10643" s="6" t="n">
        <f aca="false">Sens!G10639+Sens!G10642</f>
        <v>222.362713320221</v>
      </c>
      <c r="H10643" s="6" t="n">
        <f aca="false">Sens!H10639+Sens!H10642</f>
        <v>259.144393550243</v>
      </c>
      <c r="I10643" s="6" t="n">
        <f aca="false">Sens!I10639+Sens!I10642</f>
        <v>293.401352264273</v>
      </c>
      <c r="J10643" s="6" t="n">
        <f aca="false">Sens!J10639+Sens!J10642</f>
        <v>321.804431931073</v>
      </c>
      <c r="K10643" s="6" t="n">
        <f aca="false">Sens!K10639+Sens!K10642</f>
        <v>344.707349295329</v>
      </c>
    </row>
    <row r="10644" customFormat="false" ht="17.15" hidden="false" customHeight="false" outlineLevel="0" collapsed="false">
      <c r="A10644" s="1" t="s">
        <v>1074</v>
      </c>
      <c r="B10644" s="0" t="s">
        <v>98</v>
      </c>
      <c r="E10644" s="6" t="n">
        <f aca="false">Sens!E10587</f>
        <v>16.3054059770833</v>
      </c>
      <c r="F10644" s="6" t="n">
        <f aca="false">Sens!F10587</f>
        <v>34.5793144783516</v>
      </c>
      <c r="G10644" s="6" t="n">
        <f aca="false">Sens!G10587</f>
        <v>60.7344906522989</v>
      </c>
      <c r="H10644" s="6" t="n">
        <f aca="false">Sens!H10587</f>
        <v>89.1000906614457</v>
      </c>
      <c r="I10644" s="6" t="n">
        <f aca="false">Sens!I10587</f>
        <v>114.231009694548</v>
      </c>
      <c r="J10644" s="6" t="n">
        <f aca="false">Sens!J10587</f>
        <v>132.015673049596</v>
      </c>
      <c r="K10644" s="6" t="n">
        <f aca="false">Sens!K10587</f>
        <v>143.012669550934</v>
      </c>
    </row>
    <row r="10645" customFormat="false" ht="17.15" hidden="false" customHeight="false" outlineLevel="0" collapsed="false">
      <c r="A10645" s="1" t="s">
        <v>1075</v>
      </c>
      <c r="B10645" s="0" t="s">
        <v>98</v>
      </c>
      <c r="E10645" s="6" t="n">
        <f aca="false">Sens!E10669</f>
        <v>22.2285940229167</v>
      </c>
      <c r="F10645" s="6" t="n">
        <f aca="false">Sens!F10669</f>
        <v>23.580344216413</v>
      </c>
      <c r="G10645" s="6" t="n">
        <f aca="false">Sens!G10669</f>
        <v>25.3553194720851</v>
      </c>
      <c r="H10645" s="6" t="n">
        <f aca="false">Sens!H10669</f>
        <v>27.5189190475338</v>
      </c>
      <c r="I10645" s="6" t="n">
        <f aca="false">Sens!I10669</f>
        <v>30.0030534541586</v>
      </c>
      <c r="J10645" s="6" t="n">
        <f aca="false">Sens!J10669</f>
        <v>32.7226903641782</v>
      </c>
      <c r="K10645" s="6" t="n">
        <f aca="false">Sens!K10669</f>
        <v>35.5918486945769</v>
      </c>
    </row>
    <row r="10646" customFormat="false" ht="17.15" hidden="false" customHeight="false" outlineLevel="0" collapsed="false">
      <c r="A10646" s="1" t="s">
        <v>1076</v>
      </c>
      <c r="B10646" s="0" t="s">
        <v>98</v>
      </c>
      <c r="D10646" s="6" t="n">
        <f aca="false">Q!L27</f>
        <v>-4.901</v>
      </c>
      <c r="E10646" s="6" t="n">
        <f aca="false">Q!M27</f>
        <v>10.697</v>
      </c>
      <c r="F10646" s="6" t="n">
        <f aca="false">Q!$I$27+oie_f*(q_per_yr-1)/q_per_yr</f>
        <v>-0.862</v>
      </c>
      <c r="G10646" s="6" t="n">
        <f aca="false">oie_f</f>
        <v>-1.2</v>
      </c>
      <c r="H10646" s="6" t="n">
        <f aca="false">oie_f</f>
        <v>-1.2</v>
      </c>
      <c r="I10646" s="6" t="n">
        <f aca="false">oie_f</f>
        <v>-1.2</v>
      </c>
      <c r="J10646" s="6" t="n">
        <f aca="false">oie_f</f>
        <v>-1.2</v>
      </c>
      <c r="K10646" s="6" t="n">
        <f aca="false">oie_f</f>
        <v>-1.2</v>
      </c>
      <c r="L10646" s="12" t="s">
        <v>1077</v>
      </c>
    </row>
    <row r="10647" customFormat="false" ht="15" hidden="false" customHeight="false" outlineLevel="0" collapsed="false">
      <c r="A10647" s="1" t="s">
        <v>1078</v>
      </c>
      <c r="B10647" s="0" t="s">
        <v>98</v>
      </c>
      <c r="D10647" s="6" t="n">
        <f aca="false">Sens!D10639+Sens!D10646</f>
        <v>123.627</v>
      </c>
      <c r="E10647" s="6" t="n">
        <f aca="false">Sens!E10639+Sens!E10646</f>
        <v>165.934</v>
      </c>
      <c r="F10647" s="6" t="n">
        <f aca="false">Sens!F10639+Sens!F10646</f>
        <v>181.016755076813</v>
      </c>
      <c r="G10647" s="6" t="n">
        <f aca="false">Sens!G10639+Sens!G10646</f>
        <v>195.887374724241</v>
      </c>
      <c r="H10647" s="6" t="n">
        <f aca="false">Sens!H10639+Sens!H10646</f>
        <v>215.660368180448</v>
      </c>
      <c r="I10647" s="6" t="n">
        <f aca="false">Sens!I10639+Sens!I10646</f>
        <v>234.496408622692</v>
      </c>
      <c r="J10647" s="6" t="n">
        <f aca="false">Sens!J10639+Sens!J10646</f>
        <v>252.121579840253</v>
      </c>
      <c r="K10647" s="6" t="n">
        <f aca="false">Sens!K10639+Sens!K10646</f>
        <v>269.147511801004</v>
      </c>
    </row>
    <row r="10648" customFormat="false" ht="15" hidden="false" customHeight="false" outlineLevel="0" collapsed="false">
      <c r="A10648" s="1" t="s">
        <v>1079</v>
      </c>
      <c r="B10648" s="0" t="s">
        <v>98</v>
      </c>
      <c r="D10648" s="6" t="n">
        <f aca="false">Q!L29</f>
        <v>21.795</v>
      </c>
      <c r="E10648" s="6" t="n">
        <f aca="false">Q!M29</f>
        <v>32.185</v>
      </c>
      <c r="F10648" s="6" t="n">
        <f aca="false">Q!$I$29+(Sens!F10647-Q!$I$28)*tax_f</f>
        <v>36.3367510153626</v>
      </c>
      <c r="G10648" s="6" t="n">
        <f aca="false">Sens!G10647*tax_f</f>
        <v>39.1774749448483</v>
      </c>
      <c r="H10648" s="6" t="n">
        <f aca="false">Sens!H10647*tax_f</f>
        <v>43.1320736360896</v>
      </c>
      <c r="I10648" s="6" t="n">
        <f aca="false">Sens!I10647*tax_f</f>
        <v>46.8992817245383</v>
      </c>
      <c r="J10648" s="6" t="n">
        <f aca="false">Sens!J10647*tax_f</f>
        <v>50.4243159680506</v>
      </c>
      <c r="K10648" s="6" t="n">
        <f aca="false">Sens!K10647*tax_f</f>
        <v>53.8295023602008</v>
      </c>
    </row>
    <row r="10649" customFormat="false" ht="15" hidden="false" customHeight="false" outlineLevel="0" collapsed="false">
      <c r="A10649" s="1" t="s">
        <v>1080</v>
      </c>
      <c r="B10649" s="0" t="s">
        <v>98</v>
      </c>
      <c r="D10649" s="6" t="n">
        <f aca="false">Sens!D10647-Sens!D10648</f>
        <v>101.832</v>
      </c>
      <c r="E10649" s="6" t="n">
        <f aca="false">Sens!E10647-Sens!E10648</f>
        <v>133.749</v>
      </c>
      <c r="F10649" s="6" t="n">
        <f aca="false">Sens!F10647-Sens!F10648</f>
        <v>144.68000406145</v>
      </c>
      <c r="G10649" s="6" t="n">
        <f aca="false">Sens!G10647-Sens!G10648</f>
        <v>156.709899779393</v>
      </c>
      <c r="H10649" s="6" t="n">
        <f aca="false">Sens!H10647-Sens!H10648</f>
        <v>172.528294544358</v>
      </c>
      <c r="I10649" s="6" t="n">
        <f aca="false">Sens!I10647-Sens!I10648</f>
        <v>187.597126898153</v>
      </c>
      <c r="J10649" s="6" t="n">
        <f aca="false">Sens!J10647-Sens!J10648</f>
        <v>201.697263872202</v>
      </c>
      <c r="K10649" s="6" t="n">
        <f aca="false">Sens!K10647-Sens!K10648</f>
        <v>215.318009440803</v>
      </c>
    </row>
    <row r="10650" customFormat="false" ht="17.15" hidden="false" customHeight="false" outlineLevel="0" collapsed="false">
      <c r="A10650" s="1" t="s">
        <v>1081</v>
      </c>
      <c r="B10650" s="1" t="s">
        <v>81</v>
      </c>
      <c r="D10650" s="15" t="n">
        <f aca="false">Q!L31</f>
        <v>7.465</v>
      </c>
      <c r="E10650" s="15" t="n">
        <f aca="false">Q!M31</f>
        <v>7.453</v>
      </c>
      <c r="F10650" s="15" t="n">
        <f aca="false">Sens!F10694</f>
        <v>7.47327850965893</v>
      </c>
      <c r="G10650" s="15" t="n">
        <f aca="false">Sens!G10694</f>
        <v>7.51805701931785</v>
      </c>
      <c r="H10650" s="15" t="n">
        <f aca="false">Sens!H10694</f>
        <v>7.54575695834665</v>
      </c>
      <c r="I10650" s="15" t="n">
        <f aca="false">Sens!I10694</f>
        <v>7.55743832240212</v>
      </c>
      <c r="J10650" s="15" t="n">
        <f aca="false">Sens!J10694</f>
        <v>7.5715877335646</v>
      </c>
      <c r="K10650" s="15" t="n">
        <f aca="false">Sens!K10694</f>
        <v>7.58802237352985</v>
      </c>
    </row>
    <row r="10651" customFormat="false" ht="17.15" hidden="false" customHeight="false" outlineLevel="0" collapsed="false">
      <c r="A10651" s="0" t="s">
        <v>1082</v>
      </c>
      <c r="B10651" s="0" t="s">
        <v>75</v>
      </c>
      <c r="D10651" s="8" t="n">
        <f aca="false">Sens!D10649/Sens!D10650</f>
        <v>13.641259209645</v>
      </c>
      <c r="E10651" s="8" t="n">
        <f aca="false">Sens!E10649/Sens!E10650</f>
        <v>17.9456594659869</v>
      </c>
      <c r="F10651" s="8" t="n">
        <f aca="false">Sens!F10649/Sens!F10650</f>
        <v>19.3596430100199</v>
      </c>
      <c r="G10651" s="8" t="n">
        <f aca="false">Sens!G10649/Sens!G10650</f>
        <v>20.8444681088109</v>
      </c>
      <c r="H10651" s="8" t="n">
        <f aca="false">Sens!H10649/Sens!H10650</f>
        <v>22.8642792892392</v>
      </c>
      <c r="I10651" s="8" t="n">
        <f aca="false">Sens!I10649/Sens!I10650</f>
        <v>24.8228459029654</v>
      </c>
      <c r="J10651" s="8" t="n">
        <f aca="false">Sens!J10649/Sens!J10650</f>
        <v>26.6387012829667</v>
      </c>
      <c r="K10651" s="8" t="n">
        <f aca="false">Sens!K10649/Sens!K10650</f>
        <v>28.3760377660352</v>
      </c>
      <c r="L10651" s="1" t="s">
        <v>1083</v>
      </c>
    </row>
    <row r="10652" customFormat="false" ht="17.15" hidden="false" customHeight="false" outlineLevel="0" collapsed="false">
      <c r="A10652" s="1" t="s">
        <v>1084</v>
      </c>
      <c r="B10652" s="0" t="s">
        <v>98</v>
      </c>
      <c r="D10652" s="6" t="n">
        <f aca="false">Sens!D10649</f>
        <v>101.832</v>
      </c>
      <c r="E10652" s="6" t="n">
        <f aca="false">Sens!E10649</f>
        <v>133.749</v>
      </c>
      <c r="F10652" s="6" t="n">
        <f aca="false">Sens!F10649+Sens!F10642*(1-tax_f)</f>
        <v>152.471878278754</v>
      </c>
      <c r="G10652" s="6" t="n">
        <f aca="false">Sens!G10649+Sens!G10642*(1-tax_f)</f>
        <v>176.930170656177</v>
      </c>
      <c r="H10652" s="6" t="n">
        <f aca="false">Sens!H10649+Sens!H10642*(1-tax_f)</f>
        <v>206.355514840194</v>
      </c>
      <c r="I10652" s="6" t="n">
        <f aca="false">Sens!I10649+Sens!I10642*(1-tax_f)</f>
        <v>233.761081811418</v>
      </c>
      <c r="J10652" s="6" t="n">
        <f aca="false">Sens!J10649+Sens!J10642*(1-tax_f)</f>
        <v>256.483545544858</v>
      </c>
      <c r="K10652" s="6" t="n">
        <f aca="false">Sens!K10649+Sens!K10642*(1-tax_f)</f>
        <v>274.805879436263</v>
      </c>
    </row>
    <row r="10653" customFormat="false" ht="17.15" hidden="false" customHeight="false" outlineLevel="0" collapsed="false">
      <c r="A10653" s="0" t="s">
        <v>1085</v>
      </c>
      <c r="B10653" s="0" t="s">
        <v>75</v>
      </c>
      <c r="D10653" s="8" t="n">
        <f aca="false">Sens!D10652/Sens!D10650</f>
        <v>13.641259209645</v>
      </c>
      <c r="E10653" s="8" t="n">
        <f aca="false">Sens!E10652/Sens!E10650</f>
        <v>17.9456594659869</v>
      </c>
      <c r="F10653" s="8" t="n">
        <f aca="false">Sens!F10652/Sens!F10650</f>
        <v>20.4022743273505</v>
      </c>
      <c r="G10653" s="8" t="n">
        <f aca="false">Sens!G10652/Sens!G10650</f>
        <v>23.5340288323898</v>
      </c>
      <c r="H10653" s="8" t="n">
        <f aca="false">Sens!H10652/Sens!H10650</f>
        <v>27.3472251994462</v>
      </c>
      <c r="I10653" s="8" t="n">
        <f aca="false">Sens!I10652/Sens!I10650</f>
        <v>30.9312589582759</v>
      </c>
      <c r="J10653" s="8" t="n">
        <f aca="false">Sens!J10652/Sens!J10650</f>
        <v>33.8744731713106</v>
      </c>
      <c r="K10653" s="8" t="n">
        <f aca="false">Sens!K10652/Sens!K10650</f>
        <v>36.2157444863235</v>
      </c>
      <c r="L10653" s="1" t="s">
        <v>1086</v>
      </c>
    </row>
    <row r="10654" customFormat="false" ht="17.15" hidden="false" customHeight="false" outlineLevel="0" collapsed="false">
      <c r="A10654" s="0" t="s">
        <v>1087</v>
      </c>
      <c r="B10654" s="0" t="s">
        <v>168</v>
      </c>
      <c r="E10654" s="7" t="n">
        <f aca="false">Sens!E10653/Sens!D10653-1</f>
        <v>0.315542736208578</v>
      </c>
      <c r="F10654" s="7" t="n">
        <f aca="false">Sens!F10653/Sens!E10653-1</f>
        <v>0.136891868812052</v>
      </c>
      <c r="G10654" s="7" t="n">
        <f aca="false">Sens!G10653/Sens!F10653-1</f>
        <v>0.153500264470074</v>
      </c>
      <c r="H10654" s="7" t="n">
        <f aca="false">Sens!H10653/Sens!G10653-1</f>
        <v>0.162029051388274</v>
      </c>
      <c r="I10654" s="7" t="n">
        <f aca="false">Sens!I10653/Sens!H10653-1</f>
        <v>0.131056578233841</v>
      </c>
      <c r="J10654" s="7" t="n">
        <f aca="false">Sens!J10653/Sens!I10653-1</f>
        <v>0.0951533921398062</v>
      </c>
      <c r="K10654" s="7" t="n">
        <f aca="false">Sens!K10653/Sens!J10653-1</f>
        <v>0.0691160952724668</v>
      </c>
    </row>
    <row r="10655" customFormat="false" ht="17.15" hidden="false" customHeight="false" outlineLevel="0" collapsed="false">
      <c r="A10655" s="0" t="s">
        <v>1007</v>
      </c>
      <c r="B10655" s="0" t="s">
        <v>98</v>
      </c>
      <c r="E10655" s="6" t="n">
        <f aca="false">Sens!E10596</f>
        <v>5.25</v>
      </c>
      <c r="F10655" s="6" t="n">
        <f aca="false">Sens!F10596</f>
        <v>12</v>
      </c>
      <c r="G10655" s="6" t="n">
        <f aca="false">Sens!G10596</f>
        <v>18</v>
      </c>
      <c r="H10655" s="6" t="n">
        <f aca="false">Sens!H10596</f>
        <v>24</v>
      </c>
      <c r="I10655" s="6" t="n">
        <f aca="false">Sens!I10596</f>
        <v>28.5</v>
      </c>
      <c r="J10655" s="6" t="n">
        <f aca="false">Sens!J10596</f>
        <v>31.5</v>
      </c>
      <c r="K10655" s="6" t="n">
        <f aca="false">Sens!K10596</f>
        <v>34.5</v>
      </c>
    </row>
    <row r="10656" customFormat="false" ht="17.15" hidden="false" customHeight="false" outlineLevel="0" collapsed="false">
      <c r="A10656" s="1" t="s">
        <v>1008</v>
      </c>
      <c r="B10656" s="0" t="s">
        <v>98</v>
      </c>
      <c r="F10656" s="6" t="n">
        <f aca="false">MAX(0,((Sens!E10556+Sens!F10556)/2-(shadow_base*(Sens!$D$10556+Sens!$E$10556)/2+(1-shadow_base)*Sens!$E$10556))*Sens!F10565/1000-(Sens!F10655-Sens!$E$10655)*Sens!F10635)</f>
        <v>9.7398427716299</v>
      </c>
      <c r="G10656" s="6" t="n">
        <f aca="false">MAX(0,((Sens!F10556+Sens!G10556)/2-(shadow_base*(Sens!$D$10556+Sens!$E$10556)/2+(1-shadow_base)*Sens!$E$10556))*Sens!G10565/1000-(Sens!G10655-Sens!$E$10655)*Sens!G10635)</f>
        <v>25.2753385959797</v>
      </c>
      <c r="H10656" s="6" t="n">
        <f aca="false">MAX(0,((Sens!G10556+Sens!H10556)/2-(shadow_base*(Sens!$D$10556+Sens!$E$10556)/2+(1-shadow_base)*Sens!$E$10556))*Sens!H10565/1000-(Sens!H10655-Sens!$E$10655)*Sens!H10635)</f>
        <v>42.2840253697948</v>
      </c>
      <c r="I10656" s="6" t="n">
        <f aca="false">MAX(0,((Sens!H10556+Sens!I10556)/2-(shadow_base*(Sens!$D$10556+Sens!$E$10556)/2+(1-shadow_base)*Sens!$E$10556))*Sens!I10565/1000-(Sens!I10655-Sens!$E$10655)*Sens!I10635)</f>
        <v>57.704943641581</v>
      </c>
      <c r="J10656" s="6" t="n">
        <f aca="false">MAX(0,((Sens!I10556+Sens!J10556)/2-(shadow_base*(Sens!$D$10556+Sens!$E$10556)/2+(1-shadow_base)*Sens!$E$10556))*Sens!J10565/1000-(Sens!J10655-Sens!$E$10655)*Sens!J10635)</f>
        <v>68.4828520908201</v>
      </c>
      <c r="K10656" s="6" t="n">
        <f aca="false">MAX(0,((Sens!J10556+Sens!K10556)/2-(shadow_base*(Sens!$D$10556+Sens!$E$10556)/2+(1-shadow_base)*Sens!$E$10556))*Sens!K10565/1000-(Sens!K10655-Sens!$E$10655)*Sens!K10635)</f>
        <v>74.3598374943249</v>
      </c>
      <c r="L10656" s="1" t="s">
        <v>1009</v>
      </c>
    </row>
    <row r="10657" customFormat="false" ht="17.15" hidden="false" customHeight="false" outlineLevel="0" collapsed="false">
      <c r="A10657" s="1" t="s">
        <v>1010</v>
      </c>
      <c r="B10657" s="0" t="s">
        <v>98</v>
      </c>
      <c r="F10657" s="6" t="n">
        <f aca="false">IF(internal_ai_reading=2,1,0)*Sens!F10656</f>
        <v>9.7398427716299</v>
      </c>
      <c r="G10657" s="6" t="n">
        <f aca="false">IF(internal_ai_reading=2,1,0)*Sens!G10656</f>
        <v>25.2753385959797</v>
      </c>
      <c r="H10657" s="6" t="n">
        <f aca="false">IF(internal_ai_reading=2,1,0)*Sens!H10656</f>
        <v>42.2840253697948</v>
      </c>
      <c r="I10657" s="6" t="n">
        <f aca="false">IF(internal_ai_reading=2,1,0)*Sens!I10656</f>
        <v>57.704943641581</v>
      </c>
      <c r="J10657" s="6" t="n">
        <f aca="false">IF(internal_ai_reading=2,1,0)*Sens!J10656</f>
        <v>68.4828520908201</v>
      </c>
      <c r="K10657" s="6" t="n">
        <f aca="false">IF(internal_ai_reading=2,1,0)*Sens!K10656</f>
        <v>74.3598374943249</v>
      </c>
    </row>
    <row r="10658" customFormat="false" ht="17.15" hidden="false" customHeight="false" outlineLevel="0" collapsed="false">
      <c r="A10658" s="0" t="s">
        <v>1011</v>
      </c>
      <c r="B10658" s="0" t="s">
        <v>98</v>
      </c>
      <c r="F10658" s="6" t="n">
        <f aca="false">Sens!F10575+Sens!F10655*Sens!F10635+Sens!F10657-Sens!F10576-Sens!F10587</f>
        <v>14.8152827562272</v>
      </c>
      <c r="G10658" s="6" t="n">
        <f aca="false">Sens!G10575+Sens!G10655*Sens!G10635+Sens!G10657-Sens!G10576-Sens!G10587</f>
        <v>31.0349977765951</v>
      </c>
      <c r="H10658" s="6" t="n">
        <f aca="false">Sens!H10575+Sens!H10655*Sens!H10635+Sens!H10657-Sens!H10576-Sens!H10587</f>
        <v>47.8811519709826</v>
      </c>
      <c r="I10658" s="6" t="n">
        <f aca="false">Sens!I10575+Sens!I10655*Sens!I10635+Sens!I10657-Sens!I10576-Sens!I10587</f>
        <v>62.6472166574028</v>
      </c>
      <c r="J10658" s="6" t="n">
        <f aca="false">Sens!J10575+Sens!J10655*Sens!J10635+Sens!J10657-Sens!J10576-Sens!J10587</f>
        <v>72.7882253357034</v>
      </c>
      <c r="K10658" s="6" t="n">
        <f aca="false">Sens!K10575+Sens!K10655*Sens!K10635+Sens!K10657-Sens!K10576-Sens!K10587</f>
        <v>79.4617812140187</v>
      </c>
    </row>
    <row r="10659" customFormat="false" ht="17.15" hidden="false" customHeight="false" outlineLevel="0" collapsed="false">
      <c r="A10659" s="0" t="s">
        <v>1012</v>
      </c>
      <c r="B10659" s="0" t="s">
        <v>98</v>
      </c>
      <c r="E10659" s="6" t="n">
        <f aca="false">Sens!E10555*(cxit_open+self_build*tk_cxfac)/1000*ai_net_open</f>
        <v>126.6980382</v>
      </c>
      <c r="F10659" s="6" t="n">
        <f aca="false">Sens!E10659+Sens!F10584-Sens!F10587</f>
        <v>260.572627763768</v>
      </c>
      <c r="G10659" s="6" t="n">
        <f aca="false">Sens!F10659+Sens!G10584-Sens!G10587</f>
        <v>391.782612760517</v>
      </c>
      <c r="H10659" s="6" t="n">
        <f aca="false">Sens!G10659+Sens!H10584-Sens!H10587</f>
        <v>499.488526163584</v>
      </c>
      <c r="I10659" s="6" t="n">
        <f aca="false">Sens!H10659+Sens!I10584-Sens!I10587</f>
        <v>553.872350090646</v>
      </c>
      <c r="J10659" s="6" t="n">
        <f aca="false">Sens!I10659+Sens!J10584-Sens!J10587</f>
        <v>550.78660823699</v>
      </c>
      <c r="K10659" s="6" t="n">
        <f aca="false">Sens!J10659+Sens!K10584-Sens!K10587</f>
        <v>526.736791750789</v>
      </c>
      <c r="L10659" s="1" t="s">
        <v>1013</v>
      </c>
    </row>
    <row r="10660" customFormat="false" ht="17.15" hidden="false" customHeight="false" outlineLevel="0" collapsed="false">
      <c r="A10660" s="0" t="s">
        <v>1014</v>
      </c>
      <c r="B10660" s="0" t="s">
        <v>168</v>
      </c>
      <c r="F10660" s="7" t="n">
        <f aca="false">Sens!F10658*(1-tax_f)/((Sens!E10659+Sens!F10659)/2)</f>
        <v>0.0612090057246454</v>
      </c>
      <c r="G10660" s="7" t="n">
        <f aca="false">Sens!G10658*(1-tax_f)/((Sens!F10659+Sens!G10659)/2)</f>
        <v>0.0761180310326695</v>
      </c>
      <c r="H10660" s="7" t="n">
        <f aca="false">Sens!H10658*(1-tax_f)/((Sens!G10659+Sens!H10659)/2)</f>
        <v>0.0859557095566361</v>
      </c>
      <c r="I10660" s="7" t="n">
        <f aca="false">Sens!I10658*(1-tax_f)/((Sens!H10659+Sens!I10659)/2)</f>
        <v>0.0951578408800258</v>
      </c>
      <c r="J10660" s="7" t="n">
        <f aca="false">Sens!J10658*(1-tax_f)/((Sens!I10659+Sens!J10659)/2)</f>
        <v>0.105427253958487</v>
      </c>
      <c r="K10660" s="7" t="n">
        <f aca="false">Sens!K10658*(1-tax_f)/((Sens!J10659+Sens!K10659)/2)</f>
        <v>0.117991729872291</v>
      </c>
    </row>
    <row r="10661" customFormat="false" ht="17.15" hidden="false" customHeight="false" outlineLevel="0" collapsed="false">
      <c r="A10661" s="1" t="s">
        <v>1015</v>
      </c>
      <c r="B10661" s="0" t="s">
        <v>168</v>
      </c>
      <c r="F10661" s="7" t="n">
        <f aca="false">(Sens!F10658-Sens!F10657)*(1-tax_f)/((Sens!E10659+Sens!F10659)/2)</f>
        <v>0.0209690655375262</v>
      </c>
      <c r="G10661" s="7" t="n">
        <f aca="false">(Sens!G10658-Sens!G10657)*(1-tax_f)/((Sens!F10659+Sens!G10659)/2)</f>
        <v>0.014126436206105</v>
      </c>
      <c r="H10661" s="7" t="n">
        <f aca="false">(Sens!H10658-Sens!H10657)*(1-tax_f)/((Sens!G10659+Sens!H10659)/2)</f>
        <v>0.010047899197893</v>
      </c>
      <c r="I10661" s="7" t="n">
        <f aca="false">(Sens!I10658-Sens!I10657)*(1-tax_f)/((Sens!H10659+Sens!I10659)/2)</f>
        <v>0.00750705385359908</v>
      </c>
      <c r="J10661" s="7" t="n">
        <f aca="false">(Sens!J10658-Sens!J10657)*(1-tax_f)/((Sens!I10659+Sens!J10659)/2)</f>
        <v>0.00623594924015468</v>
      </c>
      <c r="K10661" s="7" t="n">
        <f aca="false">(Sens!K10658-Sens!K10657)*(1-tax_f)/((Sens!J10659+Sens!K10659)/2)</f>
        <v>0.00757580758951754</v>
      </c>
    </row>
    <row r="10662" customFormat="false" ht="17.15" hidden="false" customHeight="false" outlineLevel="0" collapsed="false">
      <c r="A10662" s="1" t="s">
        <v>1016</v>
      </c>
      <c r="B10662" s="0" t="s">
        <v>168</v>
      </c>
      <c r="F10662" s="7" t="n">
        <f aca="false">(Sens!F10658-Sens!F10657+Sens!F10656)*(1-tax_f)/((Sens!E10659+Sens!F10659)/2)</f>
        <v>0.0612090057246454</v>
      </c>
      <c r="G10662" s="7" t="n">
        <f aca="false">(Sens!G10658-Sens!G10657+Sens!G10656)*(1-tax_f)/((Sens!F10659+Sens!G10659)/2)</f>
        <v>0.0761180310326695</v>
      </c>
      <c r="H10662" s="7" t="n">
        <f aca="false">(Sens!H10658-Sens!H10657+Sens!H10656)*(1-tax_f)/((Sens!G10659+Sens!H10659)/2)</f>
        <v>0.0859557095566361</v>
      </c>
      <c r="I10662" s="7" t="n">
        <f aca="false">(Sens!I10658-Sens!I10657+Sens!I10656)*(1-tax_f)/((Sens!H10659+Sens!I10659)/2)</f>
        <v>0.0951578408800258</v>
      </c>
      <c r="J10662" s="7" t="n">
        <f aca="false">(Sens!J10658-Sens!J10657+Sens!J10656)*(1-tax_f)/((Sens!I10659+Sens!J10659)/2)</f>
        <v>0.105427253958487</v>
      </c>
      <c r="K10662" s="7" t="n">
        <f aca="false">(Sens!K10658-Sens!K10657+Sens!K10656)*(1-tax_f)/((Sens!J10659+Sens!K10659)/2)</f>
        <v>0.117991729872291</v>
      </c>
    </row>
    <row r="10663" customFormat="false" ht="17.15" hidden="false" customHeight="false" outlineLevel="0" collapsed="false">
      <c r="A10663" s="1" t="s">
        <v>1017</v>
      </c>
      <c r="B10663" s="0" t="s">
        <v>168</v>
      </c>
      <c r="F10663" s="7" t="n">
        <f aca="false">Sens!F10588*(1-tax_f)/(Sens!F10574*(Sens!E10659+Sens!F10659)/2)</f>
        <v>0.129294830495493</v>
      </c>
      <c r="G10663" s="7" t="n">
        <f aca="false">Sens!G10588*(1-tax_f)/(Sens!G10574*(Sens!F10659+Sens!G10659)/2)</f>
        <v>0.12719599062164</v>
      </c>
      <c r="H10663" s="7" t="n">
        <f aca="false">Sens!H10588*(1-tax_f)/(Sens!H10574*(Sens!G10659+Sens!H10659)/2)</f>
        <v>0.130828167067624</v>
      </c>
      <c r="I10663" s="7" t="n">
        <f aca="false">Sens!I10588*(1-tax_f)/(Sens!I10574*(Sens!H10659+Sens!I10659)/2)</f>
        <v>0.138614526937417</v>
      </c>
      <c r="J10663" s="7" t="n">
        <f aca="false">Sens!J10588*(1-tax_f)/(Sens!J10574*(Sens!I10659+Sens!J10659)/2)</f>
        <v>0.150578919010924</v>
      </c>
      <c r="K10663" s="7" t="n">
        <f aca="false">Sens!K10588*(1-tax_f)/(Sens!K10574*(Sens!J10659+Sens!K10659)/2)</f>
        <v>0.167005345886664</v>
      </c>
    </row>
    <row r="10664" customFormat="false" ht="17.15" hidden="false" customHeight="false" outlineLevel="0" collapsed="false">
      <c r="A10664" s="0" t="s">
        <v>1018</v>
      </c>
      <c r="B10664" s="0" t="s">
        <v>253</v>
      </c>
      <c r="F10664" s="7" t="n">
        <f aca="false">Sens!F10660-wacc</f>
        <v>-0.0417275852209519</v>
      </c>
      <c r="G10664" s="7" t="n">
        <f aca="false">Sens!G10660-wacc</f>
        <v>-0.0268185599129278</v>
      </c>
      <c r="H10664" s="7" t="n">
        <f aca="false">Sens!H10660-wacc</f>
        <v>-0.0169808813889612</v>
      </c>
      <c r="I10664" s="7" t="n">
        <f aca="false">Sens!I10660-wacc</f>
        <v>-0.00777875006557149</v>
      </c>
      <c r="J10664" s="7" t="n">
        <f aca="false">Sens!J10660-wacc</f>
        <v>0.0024906630128898</v>
      </c>
      <c r="K10664" s="7" t="n">
        <f aca="false">Sens!K10660-wacc</f>
        <v>0.0150551389266932</v>
      </c>
    </row>
    <row r="10665" customFormat="false" ht="17.15" hidden="false" customHeight="false" outlineLevel="0" collapsed="false">
      <c r="A10665" s="0" t="s">
        <v>1019</v>
      </c>
      <c r="B10665" s="0" t="s">
        <v>98</v>
      </c>
      <c r="F10665" s="6" t="n">
        <f aca="false">Sens!F10658*(1-tax_f)-wacc*(Sens!E10659+Sens!F10659)/2</f>
        <v>-8.07993485878896</v>
      </c>
      <c r="G10665" s="6" t="n">
        <f aca="false">Sens!G10658*(1-tax_f)-wacc*(Sens!F10659+Sens!G10659)/2</f>
        <v>-8.74761405125648</v>
      </c>
      <c r="H10665" s="6" t="n">
        <f aca="false">Sens!H10658*(1-tax_f)-wacc*(Sens!G10659+Sens!H10659)/2</f>
        <v>-7.56728474773728</v>
      </c>
      <c r="I10665" s="6" t="n">
        <f aca="false">Sens!I10658*(1-tax_f)-wacc*(Sens!H10659+Sens!I10659)/2</f>
        <v>-4.09691549261652</v>
      </c>
      <c r="J10665" s="6" t="n">
        <f aca="false">Sens!J10658*(1-tax_f)-wacc*(Sens!I10659+Sens!J10659)/2</f>
        <v>1.37566660468201</v>
      </c>
      <c r="K10665" s="6" t="n">
        <f aca="false">Sens!K10658*(1-tax_f)-wacc*(Sens!J10659+Sens!K10659)/2</f>
        <v>8.11113224178941</v>
      </c>
    </row>
    <row r="10666" customFormat="false" ht="17.15" hidden="false" customHeight="false" outlineLevel="0" collapsed="false">
      <c r="A10666" s="3" t="s">
        <v>1878</v>
      </c>
    </row>
    <row r="10667" customFormat="false" ht="15" hidden="false" customHeight="false" outlineLevel="0" collapsed="false">
      <c r="A10667" s="4" t="s">
        <v>43</v>
      </c>
      <c r="B10667" s="4" t="s">
        <v>65</v>
      </c>
      <c r="C10667" s="23" t="s">
        <v>942</v>
      </c>
      <c r="D10667" s="23" t="s">
        <v>943</v>
      </c>
      <c r="E10667" s="23" t="s">
        <v>944</v>
      </c>
      <c r="F10667" s="23" t="s">
        <v>945</v>
      </c>
      <c r="G10667" s="23" t="s">
        <v>946</v>
      </c>
      <c r="H10667" s="23" t="s">
        <v>947</v>
      </c>
      <c r="I10667" s="23" t="s">
        <v>948</v>
      </c>
      <c r="J10667" s="23" t="s">
        <v>949</v>
      </c>
      <c r="K10667" s="23" t="s">
        <v>950</v>
      </c>
      <c r="L10667" s="4" t="s">
        <v>47</v>
      </c>
    </row>
    <row r="10668" customFormat="false" ht="15" hidden="false" customHeight="false" outlineLevel="0" collapsed="false">
      <c r="A10668" s="1" t="s">
        <v>1080</v>
      </c>
      <c r="B10668" s="0" t="s">
        <v>98</v>
      </c>
      <c r="F10668" s="6" t="n">
        <f aca="false">Sens!F10649</f>
        <v>144.68000406145</v>
      </c>
      <c r="G10668" s="6" t="n">
        <f aca="false">Sens!G10649</f>
        <v>156.709899779393</v>
      </c>
      <c r="H10668" s="6" t="n">
        <f aca="false">Sens!H10649</f>
        <v>172.528294544358</v>
      </c>
      <c r="I10668" s="6" t="n">
        <f aca="false">Sens!I10649</f>
        <v>187.597126898153</v>
      </c>
      <c r="J10668" s="6" t="n">
        <f aca="false">Sens!J10649</f>
        <v>201.697263872202</v>
      </c>
      <c r="K10668" s="6" t="n">
        <f aca="false">Sens!K10649</f>
        <v>215.318009440803</v>
      </c>
    </row>
    <row r="10669" customFormat="false" ht="17.15" hidden="false" customHeight="false" outlineLevel="0" collapsed="false">
      <c r="A10669" s="1" t="s">
        <v>1102</v>
      </c>
      <c r="B10669" s="0" t="s">
        <v>98</v>
      </c>
      <c r="E10669" s="6" t="n">
        <f aca="false">Q!M38-Sens!E10587</f>
        <v>22.2285940229167</v>
      </c>
      <c r="F10669" s="6" t="n">
        <f aca="false">Sens!E10669*(1-1/life_nonai)+(Sens!F10677+Sens!F10678)/life_nonai</f>
        <v>23.580344216413</v>
      </c>
      <c r="G10669" s="6" t="n">
        <f aca="false">Sens!F10669*(1-1/life_nonai)+(Sens!G10677)/life_nonai</f>
        <v>25.3553194720851</v>
      </c>
      <c r="H10669" s="6" t="n">
        <f aca="false">Sens!G10669*(1-1/life_nonai)+(Sens!H10677)/life_nonai</f>
        <v>27.5189190475338</v>
      </c>
      <c r="I10669" s="6" t="n">
        <f aca="false">Sens!H10669*(1-1/life_nonai)+(Sens!I10677)/life_nonai</f>
        <v>30.0030534541586</v>
      </c>
      <c r="J10669" s="6" t="n">
        <f aca="false">Sens!I10669*(1-1/life_nonai)+(Sens!J10677)/life_nonai</f>
        <v>32.7226903641782</v>
      </c>
      <c r="K10669" s="6" t="n">
        <f aca="false">Sens!J10669*(1-1/life_nonai)+(Sens!K10677)/life_nonai</f>
        <v>35.5918486945769</v>
      </c>
      <c r="L10669" s="12" t="s">
        <v>1103</v>
      </c>
    </row>
    <row r="10670" customFormat="false" ht="17.15" hidden="false" customHeight="false" outlineLevel="0" collapsed="false">
      <c r="A10670" s="1" t="s">
        <v>1104</v>
      </c>
      <c r="B10670" s="0" t="s">
        <v>98</v>
      </c>
      <c r="F10670" s="6" t="n">
        <f aca="false">Sens!$F$10678/life_nonai*(1-1/life_nonai)^(Sens!F10550-2027)</f>
        <v>0.000757665865767621</v>
      </c>
      <c r="G10670" s="6" t="n">
        <f aca="false">Sens!$F$10678/life_nonai*(1-1/life_nonai)^(Sens!G10550-2027)</f>
        <v>0.000681899279190859</v>
      </c>
      <c r="H10670" s="6" t="n">
        <f aca="false">Sens!$F$10678/life_nonai*(1-1/life_nonai)^(Sens!H10550-2027)</f>
        <v>0.000613709351271773</v>
      </c>
      <c r="I10670" s="6" t="n">
        <f aca="false">Sens!$F$10678/life_nonai*(1-1/life_nonai)^(Sens!I10550-2027)</f>
        <v>0.000552338416144595</v>
      </c>
      <c r="J10670" s="6" t="n">
        <f aca="false">Sens!$F$10678/life_nonai*(1-1/life_nonai)^(Sens!J10550-2027)</f>
        <v>0.000497104574530136</v>
      </c>
      <c r="K10670" s="6" t="n">
        <f aca="false">Sens!$F$10678/life_nonai*(1-1/life_nonai)^(Sens!K10550-2027)</f>
        <v>0.000447394117077122</v>
      </c>
      <c r="L10670" s="1" t="s">
        <v>1105</v>
      </c>
    </row>
    <row r="10671" customFormat="false" ht="17.15" hidden="false" customHeight="false" outlineLevel="0" collapsed="false">
      <c r="A10671" s="1" t="s">
        <v>1106</v>
      </c>
      <c r="B10671" s="0" t="s">
        <v>98</v>
      </c>
      <c r="E10671" s="6" t="n">
        <f aca="false">Sens!E10587+Sens!E10669</f>
        <v>38.534</v>
      </c>
      <c r="F10671" s="6" t="n">
        <f aca="false">Sens!F10587+Sens!F10669</f>
        <v>58.1596586947647</v>
      </c>
      <c r="G10671" s="6" t="n">
        <f aca="false">Sens!G10587+Sens!G10669</f>
        <v>86.0898101243841</v>
      </c>
      <c r="H10671" s="6" t="n">
        <f aca="false">Sens!H10587+Sens!H10669</f>
        <v>116.619009708979</v>
      </c>
      <c r="I10671" s="6" t="n">
        <f aca="false">Sens!I10587+Sens!I10669</f>
        <v>144.234063148707</v>
      </c>
      <c r="J10671" s="6" t="n">
        <f aca="false">Sens!J10587+Sens!J10669</f>
        <v>164.738363413774</v>
      </c>
      <c r="K10671" s="6" t="n">
        <f aca="false">Sens!K10587+Sens!K10669</f>
        <v>178.604518245511</v>
      </c>
    </row>
    <row r="10672" customFormat="false" ht="17.15" hidden="false" customHeight="false" outlineLevel="0" collapsed="false">
      <c r="A10672" s="1" t="s">
        <v>1107</v>
      </c>
      <c r="B10672" s="0" t="s">
        <v>98</v>
      </c>
      <c r="F10672" s="6" t="n">
        <f aca="false">Sens!F10614*sbc_r</f>
        <v>14.9140124917473</v>
      </c>
      <c r="G10672" s="6" t="n">
        <f aca="false">Sens!G10614*sbc_r</f>
        <v>17.7978202256482</v>
      </c>
      <c r="H10672" s="6" t="n">
        <f aca="false">Sens!H10614*sbc_r</f>
        <v>20.742156313779</v>
      </c>
      <c r="I10672" s="6" t="n">
        <f aca="false">Sens!I10614*sbc_r</f>
        <v>23.4358324403648</v>
      </c>
      <c r="J10672" s="6" t="n">
        <f aca="false">Sens!J10614*sbc_r</f>
        <v>25.6268985916355</v>
      </c>
      <c r="K10672" s="6" t="n">
        <f aca="false">Sens!K10614*sbc_r</f>
        <v>27.3691917696635</v>
      </c>
    </row>
    <row r="10673" customFormat="false" ht="17.15" hidden="false" customHeight="false" outlineLevel="0" collapsed="false">
      <c r="A10673" s="1" t="s">
        <v>1108</v>
      </c>
      <c r="B10673" s="0" t="s">
        <v>98</v>
      </c>
      <c r="F10673" s="6" t="n">
        <f aca="false">wc27-wc26q1</f>
        <v>-4.677</v>
      </c>
      <c r="G10673" s="6" t="n">
        <f aca="false">wc_f</f>
        <v>0</v>
      </c>
      <c r="H10673" s="6" t="n">
        <f aca="false">wc_f</f>
        <v>0</v>
      </c>
      <c r="I10673" s="6" t="n">
        <f aca="false">wc_f</f>
        <v>0</v>
      </c>
      <c r="J10673" s="6" t="n">
        <f aca="false">wc_f</f>
        <v>0</v>
      </c>
      <c r="K10673" s="6" t="n">
        <f aca="false">wc_f</f>
        <v>0</v>
      </c>
      <c r="L10673" s="12" t="s">
        <v>1109</v>
      </c>
    </row>
    <row r="10674" customFormat="false" ht="17.15" hidden="false" customHeight="false" outlineLevel="0" collapsed="false">
      <c r="A10674" s="0" t="s">
        <v>1110</v>
      </c>
      <c r="B10674" s="0" t="s">
        <v>98</v>
      </c>
      <c r="F10674" s="6" t="n">
        <f aca="false">Q!$I$35-Q!$I$26-Q!$I$38-Q!$I$39</f>
        <v>6.493</v>
      </c>
      <c r="L10674" s="1" t="s">
        <v>1111</v>
      </c>
    </row>
    <row r="10675" customFormat="false" ht="15" hidden="false" customHeight="false" outlineLevel="0" collapsed="false">
      <c r="A10675" s="1" t="s">
        <v>908</v>
      </c>
      <c r="B10675" s="0" t="s">
        <v>98</v>
      </c>
      <c r="E10675" s="6" t="n">
        <f aca="false">Q!M35</f>
        <v>182.935</v>
      </c>
      <c r="F10675" s="6" t="n">
        <f aca="false">Sens!F10668+Sens!F10671+Sens!F10672+Sens!F10673+Sens!F10674</f>
        <v>219.569675247962</v>
      </c>
      <c r="G10675" s="6" t="n">
        <f aca="false">Sens!G10668+Sens!G10671+Sens!G10672+Sens!G10673</f>
        <v>260.597530129425</v>
      </c>
      <c r="H10675" s="6" t="n">
        <f aca="false">Sens!H10668+Sens!H10671+Sens!H10672+Sens!H10673</f>
        <v>309.889460567117</v>
      </c>
      <c r="I10675" s="6" t="n">
        <f aca="false">Sens!I10668+Sens!I10671+Sens!I10672+Sens!I10673</f>
        <v>355.267022487225</v>
      </c>
      <c r="J10675" s="6" t="n">
        <f aca="false">Sens!J10668+Sens!J10671+Sens!J10672+Sens!J10673</f>
        <v>392.062525877612</v>
      </c>
      <c r="K10675" s="6" t="n">
        <f aca="false">Sens!K10668+Sens!K10671+Sens!K10672+Sens!K10673</f>
        <v>421.291719455978</v>
      </c>
    </row>
    <row r="10676" customFormat="false" ht="17.15" hidden="false" customHeight="false" outlineLevel="0" collapsed="false">
      <c r="A10676" s="0" t="s">
        <v>1112</v>
      </c>
      <c r="B10676" s="0" t="s">
        <v>98</v>
      </c>
      <c r="F10676" s="6" t="n">
        <f aca="false">Sens!F10584</f>
        <v>168.45390404212</v>
      </c>
      <c r="G10676" s="6" t="n">
        <f aca="false">Sens!G10584</f>
        <v>191.944475649048</v>
      </c>
      <c r="H10676" s="6" t="n">
        <f aca="false">Sens!H10584</f>
        <v>196.806004064512</v>
      </c>
      <c r="I10676" s="6" t="n">
        <f aca="false">Sens!I10584</f>
        <v>168.61483362161</v>
      </c>
      <c r="J10676" s="6" t="n">
        <f aca="false">Sens!J10584</f>
        <v>128.92993119594</v>
      </c>
      <c r="K10676" s="6" t="n">
        <f aca="false">Sens!K10584</f>
        <v>118.962853064733</v>
      </c>
    </row>
    <row r="10677" customFormat="false" ht="17.15" hidden="false" customHeight="false" outlineLevel="0" collapsed="false">
      <c r="A10677" s="1" t="s">
        <v>1113</v>
      </c>
      <c r="B10677" s="0" t="s">
        <v>98</v>
      </c>
      <c r="E10677" s="6" t="n">
        <f aca="false">Sens!E10592*cx_azo+Sens!E10599*cx_m365+Sens!E10600*cx_lic+(Sens!E10602+Sens!E10604)*cx_ind+Sens!E10607*cx_srch+(Sens!E10609+Sens!E10611)*cx_dev</f>
        <v>30.1846587067718</v>
      </c>
      <c r="F10677" s="6" t="n">
        <f aca="false">Sens!F10592*cx_azo+Sens!F10599*cx_m365+Sens!F10600*cx_lic+(Sens!F10602+Sens!F10604)*cx_ind+Sens!F10607*cx_srch+(Sens!F10609+Sens!F10611)*cx_dev</f>
        <v>35.7385192992227</v>
      </c>
      <c r="G10677" s="6" t="n">
        <f aca="false">Sens!G10592*cx_azo+Sens!G10599*cx_m365+Sens!G10600*cx_lic+(Sens!G10602+Sens!G10604)*cx_ind+Sens!G10607*cx_srch+(Sens!G10609+Sens!G10611)*cx_dev</f>
        <v>41.330096773134</v>
      </c>
      <c r="H10677" s="6" t="n">
        <f aca="false">Sens!H10592*cx_azo+Sens!H10599*cx_m365+Sens!H10600*cx_lic+(Sens!H10602+Sens!H10604)*cx_ind+Sens!H10607*cx_srch+(Sens!H10609+Sens!H10611)*cx_dev</f>
        <v>46.9913152265716</v>
      </c>
      <c r="I10677" s="6" t="n">
        <f aca="false">Sens!I10592*cx_azo+Sens!I10599*cx_m365+Sens!I10600*cx_lic+(Sens!I10602+Sens!I10604)*cx_ind+Sens!I10607*cx_srch+(Sens!I10609+Sens!I10611)*cx_dev</f>
        <v>52.3602631137815</v>
      </c>
      <c r="J10677" s="6" t="n">
        <f aca="false">Sens!J10592*cx_azo+Sens!J10599*cx_m365+Sens!J10600*cx_lic+(Sens!J10602+Sens!J10604)*cx_ind+Sens!J10607*cx_srch+(Sens!J10609+Sens!J10611)*cx_dev</f>
        <v>57.1994225543549</v>
      </c>
      <c r="K10677" s="6" t="n">
        <f aca="false">Sens!K10592*cx_azo+Sens!K10599*cx_m365+Sens!K10600*cx_lic+(Sens!K10602+Sens!K10604)*cx_ind+Sens!K10607*cx_srch+(Sens!K10609+Sens!K10611)*cx_dev</f>
        <v>61.4142736681655</v>
      </c>
    </row>
    <row r="10678" customFormat="false" ht="17.15" hidden="false" customHeight="false" outlineLevel="0" collapsed="false">
      <c r="A10678" s="0" t="s">
        <v>1114</v>
      </c>
      <c r="B10678" s="0" t="s">
        <v>98</v>
      </c>
      <c r="F10678" s="6" t="n">
        <f aca="false">Sens!F10582</f>
        <v>0.00757665865767621</v>
      </c>
      <c r="L10678" s="1" t="s">
        <v>1115</v>
      </c>
    </row>
    <row r="10679" customFormat="false" ht="17.15" hidden="false" customHeight="false" outlineLevel="0" collapsed="false">
      <c r="A10679" s="1" t="s">
        <v>1116</v>
      </c>
      <c r="B10679" s="0" t="s">
        <v>98</v>
      </c>
      <c r="E10679" s="6" t="n">
        <f aca="false">Q!M43</f>
        <v>145.3</v>
      </c>
      <c r="F10679" s="6" t="n">
        <f aca="false">Sens!F10676+Sens!F10677+Sens!F10678</f>
        <v>204.2</v>
      </c>
      <c r="G10679" s="6" t="n">
        <f aca="false">Sens!G10676+Sens!G10677</f>
        <v>233.274572422182</v>
      </c>
      <c r="H10679" s="6" t="n">
        <f aca="false">Sens!H10676+Sens!H10677</f>
        <v>243.797319291084</v>
      </c>
      <c r="I10679" s="6" t="n">
        <f aca="false">Sens!I10676+Sens!I10677</f>
        <v>220.975096735392</v>
      </c>
      <c r="J10679" s="6" t="n">
        <f aca="false">Sens!J10676+Sens!J10677</f>
        <v>186.129353750295</v>
      </c>
      <c r="K10679" s="6" t="n">
        <f aca="false">Sens!K10676+Sens!K10677</f>
        <v>180.377126732898</v>
      </c>
      <c r="L10679" s="1" t="s">
        <v>1117</v>
      </c>
    </row>
    <row r="10680" customFormat="false" ht="15" hidden="false" customHeight="false" outlineLevel="0" collapsed="false">
      <c r="A10680" s="1" t="s">
        <v>1118</v>
      </c>
      <c r="B10680" s="0" t="s">
        <v>98</v>
      </c>
      <c r="E10680" s="6" t="n">
        <f aca="false">fl_liab</f>
        <v>66.594</v>
      </c>
      <c r="F10680" s="6" t="n">
        <f aca="false">Sens!E10680-Sens!F10681</f>
        <v>62.46973</v>
      </c>
      <c r="G10680" s="6" t="n">
        <f aca="false">Sens!F10680-Sens!G10681</f>
        <v>57.98686785</v>
      </c>
      <c r="H10680" s="6" t="n">
        <f aca="false">Sens!G10680-Sens!H10681</f>
        <v>53.92827690325</v>
      </c>
      <c r="I10680" s="6" t="n">
        <f aca="false">Sens!H10680-Sens!I10681</f>
        <v>49.7850493638962</v>
      </c>
      <c r="J10680" s="6" t="n">
        <f aca="false">Sens!I10680-Sens!J10681</f>
        <v>45.4823765852716</v>
      </c>
      <c r="K10680" s="6" t="n">
        <f aca="false">Sens!J10680-Sens!K10681</f>
        <v>40.9860835316088</v>
      </c>
    </row>
    <row r="10681" customFormat="false" ht="15" hidden="false" customHeight="false" outlineLevel="0" collapsed="false">
      <c r="A10681" s="1" t="s">
        <v>1119</v>
      </c>
      <c r="B10681" s="0" t="s">
        <v>98</v>
      </c>
      <c r="F10681" s="6" t="n">
        <f aca="false">fl_pay_27-Sens!E10680*fl_rate</f>
        <v>4.12427</v>
      </c>
      <c r="G10681" s="6" t="n">
        <f aca="false">fl_pay_28-Sens!F10680*fl_rate</f>
        <v>4.48286215</v>
      </c>
      <c r="H10681" s="6" t="n">
        <f aca="false">fl_pay_29-Sens!G10680*fl_rate</f>
        <v>4.05859094675</v>
      </c>
      <c r="I10681" s="6" t="n">
        <f aca="false">fl_pay_30-Sens!H10680*fl_rate</f>
        <v>4.14322753935375</v>
      </c>
      <c r="J10681" s="6" t="n">
        <f aca="false">fl_pay_31-Sens!I10680*fl_rate</f>
        <v>4.30267277862467</v>
      </c>
      <c r="K10681" s="6" t="n">
        <f aca="false">fl_pay_32-Sens!J10680*fl_rate</f>
        <v>4.49629305366278</v>
      </c>
    </row>
    <row r="10682" customFormat="false" ht="17.15" hidden="false" customHeight="false" outlineLevel="0" collapsed="false">
      <c r="A10682" s="1" t="s">
        <v>1120</v>
      </c>
      <c r="B10682" s="0" t="s">
        <v>98</v>
      </c>
      <c r="E10682" s="6" t="n">
        <f aca="false">Q!M35-Q!M36-Q!M44</f>
        <v>63.886</v>
      </c>
      <c r="F10682" s="6" t="n">
        <f aca="false">Sens!F10675-Sens!F10679-Sens!F10681</f>
        <v>11.2454052479624</v>
      </c>
      <c r="G10682" s="6" t="n">
        <f aca="false">Sens!G10675-Sens!G10679-Sens!G10681</f>
        <v>22.8400955572432</v>
      </c>
      <c r="H10682" s="6" t="n">
        <f aca="false">Sens!H10675-Sens!H10679-Sens!H10681</f>
        <v>62.0335503292829</v>
      </c>
      <c r="I10682" s="6" t="n">
        <f aca="false">Sens!I10675-Sens!I10679-Sens!I10681</f>
        <v>130.148698212479</v>
      </c>
      <c r="J10682" s="6" t="n">
        <f aca="false">Sens!J10675-Sens!J10679-Sens!J10681</f>
        <v>201.630499348692</v>
      </c>
      <c r="K10682" s="6" t="n">
        <f aca="false">Sens!K10675-Sens!K10679-Sens!K10681</f>
        <v>236.418299669417</v>
      </c>
      <c r="L10682" s="12" t="s">
        <v>1121</v>
      </c>
    </row>
    <row r="10683" customFormat="false" ht="15" hidden="false" customHeight="false" outlineLevel="0" collapsed="false">
      <c r="A10683" s="1" t="s">
        <v>1122</v>
      </c>
      <c r="B10683" s="0" t="s">
        <v>75</v>
      </c>
      <c r="F10683" s="8" t="n">
        <f aca="false">dps_27</f>
        <v>3.85</v>
      </c>
      <c r="G10683" s="8" t="n">
        <f aca="false">Sens!F10683*(1+dps_g)</f>
        <v>4.158</v>
      </c>
      <c r="H10683" s="8" t="n">
        <f aca="false">Sens!G10683*(1+dps_g)</f>
        <v>4.49064</v>
      </c>
      <c r="I10683" s="8" t="n">
        <f aca="false">Sens!H10683*(1+dps_g)</f>
        <v>4.8498912</v>
      </c>
      <c r="J10683" s="8" t="n">
        <f aca="false">Sens!I10683*(1+dps_g)</f>
        <v>5.237882496</v>
      </c>
      <c r="K10683" s="8" t="n">
        <f aca="false">Sens!J10683*(1+dps_g)</f>
        <v>5.65691309568</v>
      </c>
    </row>
    <row r="10684" customFormat="false" ht="17.15" hidden="false" customHeight="false" outlineLevel="0" collapsed="false">
      <c r="A10684" s="1" t="s">
        <v>1123</v>
      </c>
      <c r="B10684" s="0" t="s">
        <v>98</v>
      </c>
      <c r="E10684" s="6" t="n">
        <f aca="false">Q!M41</f>
        <v>26.445</v>
      </c>
      <c r="F10684" s="6" t="n">
        <f aca="false">Sens!F10683*Sens!E10693</f>
        <v>28.59395</v>
      </c>
      <c r="G10684" s="6" t="n">
        <f aca="false">Sens!G10683*Sens!F10693</f>
        <v>31.0667340863236</v>
      </c>
      <c r="H10684" s="6" t="n">
        <f aca="false">Sens!H10683*Sens!G10693</f>
        <v>33.7541516132295</v>
      </c>
      <c r="I10684" s="6" t="n">
        <f aca="false">Sens!I10683*Sens!H10693</f>
        <v>36.5049220193605</v>
      </c>
      <c r="J10684" s="6" t="n">
        <f aca="false">Sens!J10683*Sens!I10693</f>
        <v>39.493213666302</v>
      </c>
      <c r="K10684" s="6" t="n">
        <f aca="false">Sens!K10683*Sens!J10693</f>
        <v>42.7394250219844</v>
      </c>
      <c r="L10684" s="1" t="s">
        <v>1124</v>
      </c>
    </row>
    <row r="10685" customFormat="false" ht="15" hidden="false" customHeight="false" outlineLevel="0" collapsed="false">
      <c r="A10685" s="1" t="s">
        <v>1125</v>
      </c>
      <c r="B10685" s="0" t="s">
        <v>98</v>
      </c>
      <c r="E10685" s="6" t="n">
        <f aca="false">Sens!E10682-Sens!E10684</f>
        <v>37.441</v>
      </c>
      <c r="F10685" s="6" t="n">
        <f aca="false">Sens!F10682-Sens!F10684</f>
        <v>-17.3485447520376</v>
      </c>
      <c r="G10685" s="6" t="n">
        <f aca="false">Sens!G10682-Sens!G10684</f>
        <v>-8.22663852908049</v>
      </c>
      <c r="H10685" s="6" t="n">
        <f aca="false">Sens!H10682-Sens!H10684</f>
        <v>28.2793987160533</v>
      </c>
      <c r="I10685" s="6" t="n">
        <f aca="false">Sens!I10682-Sens!I10684</f>
        <v>93.6437761931188</v>
      </c>
      <c r="J10685" s="6" t="n">
        <f aca="false">Sens!J10682-Sens!J10684</f>
        <v>162.13728568239</v>
      </c>
      <c r="K10685" s="6" t="n">
        <f aca="false">Sens!K10682-Sens!K10684</f>
        <v>193.678874647432</v>
      </c>
    </row>
    <row r="10686" customFormat="false" ht="15" hidden="false" customHeight="false" outlineLevel="0" collapsed="false">
      <c r="A10686" s="1" t="s">
        <v>1126</v>
      </c>
      <c r="B10686" s="0" t="s">
        <v>98</v>
      </c>
      <c r="F10686" s="6" t="n">
        <f aca="false">debt_mat_27</f>
        <v>9.25</v>
      </c>
      <c r="G10686" s="6" t="n">
        <f aca="false">debt_mat_28</f>
        <v>0</v>
      </c>
      <c r="H10686" s="6" t="n">
        <f aca="false">debt_mat_29</f>
        <v>2.001</v>
      </c>
      <c r="I10686" s="6" t="n">
        <f aca="false">debt_mat_30</f>
        <v>0</v>
      </c>
      <c r="J10686" s="6" t="n">
        <f aca="false">debt_mat_31</f>
        <v>0.5</v>
      </c>
      <c r="K10686" s="6" t="n">
        <f aca="false">debt_mat_32</f>
        <v>0</v>
      </c>
    </row>
    <row r="10687" customFormat="false" ht="15" hidden="false" customHeight="false" outlineLevel="0" collapsed="false">
      <c r="A10687" s="1" t="s">
        <v>1127</v>
      </c>
      <c r="B10687" s="0" t="s">
        <v>98</v>
      </c>
      <c r="E10687" s="6" t="n">
        <f aca="false">Q!M40</f>
        <v>22.271</v>
      </c>
      <c r="F10687" s="6" t="n">
        <f aca="false">MAX(0,MIN(bb_target,Sens!E10689+Sens!F10685-Sens!F10686-min_cash))</f>
        <v>0.244455247962421</v>
      </c>
      <c r="G10687" s="6" t="n">
        <f aca="false">MAX(0,MIN(bb_target,Sens!F10689+Sens!G10685-Sens!G10686-min_cash))</f>
        <v>0</v>
      </c>
      <c r="H10687" s="6" t="n">
        <f aca="false">MAX(0,MIN(bb_target,Sens!G10689+Sens!H10685-Sens!H10686-min_cash))</f>
        <v>22.271</v>
      </c>
      <c r="I10687" s="6" t="n">
        <f aca="false">MAX(0,MIN(bb_target,Sens!H10689+Sens!I10685-Sens!I10686-min_cash))</f>
        <v>22.271</v>
      </c>
      <c r="J10687" s="6" t="n">
        <f aca="false">MAX(0,MIN(bb_target,Sens!I10689+Sens!J10685-Sens!J10686-min_cash))</f>
        <v>22.271</v>
      </c>
      <c r="K10687" s="6" t="n">
        <f aca="false">MAX(0,MIN(bb_target,Sens!J10689+Sens!K10685-Sens!K10686-min_cash))</f>
        <v>22.271</v>
      </c>
    </row>
    <row r="10688" customFormat="false" ht="15" hidden="false" customHeight="false" outlineLevel="0" collapsed="false">
      <c r="A10688" s="1" t="s">
        <v>1128</v>
      </c>
      <c r="B10688" s="0" t="s">
        <v>98</v>
      </c>
      <c r="F10688" s="6" t="n">
        <f aca="false">MAX(0,min_cash-(Sens!E10689+Sens!F10685-Sens!F10686-Sens!F10687))</f>
        <v>0</v>
      </c>
      <c r="G10688" s="6" t="n">
        <f aca="false">MAX(0,min_cash-(Sens!F10689+Sens!G10685-Sens!G10686-Sens!G10687))</f>
        <v>8.22663852908049</v>
      </c>
      <c r="H10688" s="6" t="n">
        <f aca="false">MAX(0,min_cash-(Sens!G10689+Sens!H10685-Sens!H10686-Sens!H10687))</f>
        <v>0</v>
      </c>
      <c r="I10688" s="6" t="n">
        <f aca="false">MAX(0,min_cash-(Sens!H10689+Sens!I10685-Sens!I10686-Sens!I10687))</f>
        <v>0</v>
      </c>
      <c r="J10688" s="6" t="n">
        <f aca="false">MAX(0,min_cash-(Sens!I10689+Sens!J10685-Sens!J10686-Sens!J10687))</f>
        <v>0</v>
      </c>
      <c r="K10688" s="6" t="n">
        <f aca="false">MAX(0,min_cash-(Sens!J10689+Sens!K10685-Sens!K10686-Sens!K10687))</f>
        <v>0</v>
      </c>
    </row>
    <row r="10689" customFormat="false" ht="15" hidden="false" customHeight="false" outlineLevel="0" collapsed="false">
      <c r="A10689" s="1" t="s">
        <v>1129</v>
      </c>
      <c r="B10689" s="0" t="s">
        <v>98</v>
      </c>
      <c r="E10689" s="6" t="n">
        <f aca="false">cash_open</f>
        <v>76.843</v>
      </c>
      <c r="F10689" s="6" t="n">
        <f aca="false">Sens!E10689+Sens!F10685-Sens!F10686-Sens!F10687+Sens!F10688</f>
        <v>50</v>
      </c>
      <c r="G10689" s="6" t="n">
        <f aca="false">Sens!F10689+Sens!G10685-Sens!G10686-Sens!G10687+Sens!G10688</f>
        <v>50</v>
      </c>
      <c r="H10689" s="6" t="n">
        <f aca="false">Sens!G10689+Sens!H10685-Sens!H10686-Sens!H10687+Sens!H10688</f>
        <v>54.0073987160533</v>
      </c>
      <c r="I10689" s="6" t="n">
        <f aca="false">Sens!H10689+Sens!I10685-Sens!I10686-Sens!I10687+Sens!I10688</f>
        <v>125.380174909172</v>
      </c>
      <c r="J10689" s="6" t="n">
        <f aca="false">Sens!I10689+Sens!J10685-Sens!J10686-Sens!J10687+Sens!J10688</f>
        <v>264.746460591562</v>
      </c>
      <c r="K10689" s="6" t="n">
        <f aca="false">Sens!J10689+Sens!K10685-Sens!K10686-Sens!K10687+Sens!K10688</f>
        <v>436.154335238994</v>
      </c>
    </row>
    <row r="10690" customFormat="false" ht="15" hidden="false" customHeight="false" outlineLevel="0" collapsed="false">
      <c r="A10690" s="1" t="s">
        <v>1130</v>
      </c>
      <c r="B10690" s="0" t="s">
        <v>98</v>
      </c>
      <c r="E10690" s="6" t="n">
        <f aca="false">debt_face</f>
        <v>46.136</v>
      </c>
      <c r="F10690" s="6" t="n">
        <f aca="false">Sens!E10690-Sens!F10686+Sens!F10688</f>
        <v>36.886</v>
      </c>
      <c r="G10690" s="6" t="n">
        <f aca="false">Sens!F10690-Sens!G10686+Sens!G10688</f>
        <v>45.1126385290805</v>
      </c>
      <c r="H10690" s="6" t="n">
        <f aca="false">Sens!G10690-Sens!H10686+Sens!H10688</f>
        <v>43.1116385290805</v>
      </c>
      <c r="I10690" s="6" t="n">
        <f aca="false">Sens!H10690-Sens!I10686+Sens!I10688</f>
        <v>43.1116385290805</v>
      </c>
      <c r="J10690" s="6" t="n">
        <f aca="false">Sens!I10690-Sens!J10686+Sens!J10688</f>
        <v>42.6116385290805</v>
      </c>
      <c r="K10690" s="6" t="n">
        <f aca="false">Sens!J10690-Sens!K10686+Sens!K10688</f>
        <v>42.6116385290805</v>
      </c>
    </row>
    <row r="10691" customFormat="false" ht="15" hidden="false" customHeight="false" outlineLevel="0" collapsed="false">
      <c r="A10691" s="1" t="s">
        <v>1131</v>
      </c>
      <c r="B10691" s="0" t="s">
        <v>98</v>
      </c>
      <c r="E10691" s="6" t="n">
        <f aca="false">Sens!E10689-Sens!E10690</f>
        <v>30.707</v>
      </c>
      <c r="F10691" s="6" t="n">
        <f aca="false">Sens!F10689-Sens!F10690</f>
        <v>13.114</v>
      </c>
      <c r="G10691" s="6" t="n">
        <f aca="false">Sens!G10689-Sens!G10690</f>
        <v>4.88736147091951</v>
      </c>
      <c r="H10691" s="6" t="n">
        <f aca="false">Sens!H10689-Sens!H10690</f>
        <v>10.8957601869728</v>
      </c>
      <c r="I10691" s="6" t="n">
        <f aca="false">Sens!I10689-Sens!I10690</f>
        <v>82.2685363800917</v>
      </c>
      <c r="J10691" s="6" t="n">
        <f aca="false">Sens!J10689-Sens!J10690</f>
        <v>222.134822062482</v>
      </c>
      <c r="K10691" s="6" t="n">
        <f aca="false">Sens!K10689-Sens!K10690</f>
        <v>393.542696709914</v>
      </c>
    </row>
    <row r="10692" customFormat="false" ht="15" hidden="false" customHeight="false" outlineLevel="0" collapsed="false">
      <c r="A10692" s="1" t="s">
        <v>1132</v>
      </c>
      <c r="B10692" s="0" t="s">
        <v>75</v>
      </c>
      <c r="F10692" s="30" t="n">
        <f aca="false">px*(1+bb_g)^(Sens!F10550-base_fy-mid_yr)</f>
        <v>551.84177959629</v>
      </c>
      <c r="G10692" s="30" t="n">
        <f aca="false">px*(1+bb_g)^(Sens!G10550-base_fy-mid_yr)</f>
        <v>595.989121963993</v>
      </c>
      <c r="H10692" s="30" t="n">
        <f aca="false">px*(1+bb_g)^(Sens!H10550-base_fy-mid_yr)</f>
        <v>643.668251721112</v>
      </c>
      <c r="I10692" s="30" t="n">
        <f aca="false">px*(1+bb_g)^(Sens!I10550-base_fy-mid_yr)</f>
        <v>695.161711858801</v>
      </c>
      <c r="J10692" s="30" t="n">
        <f aca="false">px*(1+bb_g)^(Sens!J10550-base_fy-mid_yr)</f>
        <v>750.774648807506</v>
      </c>
      <c r="K10692" s="30" t="n">
        <f aca="false">px*(1+bb_g)^(Sens!K10550-base_fy-mid_yr)</f>
        <v>810.836620712106</v>
      </c>
    </row>
    <row r="10693" customFormat="false" ht="15" hidden="false" customHeight="false" outlineLevel="0" collapsed="false">
      <c r="A10693" s="1" t="s">
        <v>1133</v>
      </c>
      <c r="B10693" s="1" t="s">
        <v>81</v>
      </c>
      <c r="E10693" s="15" t="n">
        <f aca="false">sh_out26</f>
        <v>7.427</v>
      </c>
      <c r="F10693" s="15" t="n">
        <f aca="false">Sens!E10693+sh_iss-Sens!F10687/Sens!F10692</f>
        <v>7.47155701931785</v>
      </c>
      <c r="G10693" s="15" t="n">
        <f aca="false">Sens!F10693+sh_iss-Sens!G10687/Sens!G10692</f>
        <v>7.51655701931785</v>
      </c>
      <c r="H10693" s="15" t="n">
        <f aca="false">Sens!G10693+sh_iss-Sens!H10687/Sens!H10692</f>
        <v>7.52695689737546</v>
      </c>
      <c r="I10693" s="15" t="n">
        <f aca="false">Sens!H10693+sh_iss-Sens!I10687/Sens!I10692</f>
        <v>7.53991974742879</v>
      </c>
      <c r="J10693" s="15" t="n">
        <f aca="false">Sens!I10693+sh_iss-Sens!J10687/Sens!J10692</f>
        <v>7.5552557197004</v>
      </c>
      <c r="K10693" s="15" t="n">
        <f aca="false">Sens!J10693+sh_iss-Sens!K10687/Sens!K10692</f>
        <v>7.5727890273593</v>
      </c>
    </row>
    <row r="10694" customFormat="false" ht="15" hidden="false" customHeight="false" outlineLevel="0" collapsed="false">
      <c r="A10694" s="1" t="s">
        <v>1134</v>
      </c>
      <c r="B10694" s="1" t="s">
        <v>81</v>
      </c>
      <c r="E10694" s="15" t="n">
        <f aca="false">sh_dil26</f>
        <v>7.453</v>
      </c>
      <c r="F10694" s="15" t="n">
        <f aca="false">(Sens!E10693+Sens!F10693)/2+dil_gap</f>
        <v>7.47327850965893</v>
      </c>
      <c r="G10694" s="15" t="n">
        <f aca="false">(Sens!F10693+Sens!G10693)/2+dil_gap</f>
        <v>7.51805701931785</v>
      </c>
      <c r="H10694" s="15" t="n">
        <f aca="false">(Sens!G10693+Sens!H10693)/2+dil_gap</f>
        <v>7.54575695834665</v>
      </c>
      <c r="I10694" s="15" t="n">
        <f aca="false">(Sens!H10693+Sens!I10693)/2+dil_gap</f>
        <v>7.55743832240212</v>
      </c>
      <c r="J10694" s="15" t="n">
        <f aca="false">(Sens!I10693+Sens!J10693)/2+dil_gap</f>
        <v>7.5715877335646</v>
      </c>
      <c r="K10694" s="15" t="n">
        <f aca="false">(Sens!J10693+Sens!K10693)/2+dil_gap</f>
        <v>7.58802237352985</v>
      </c>
    </row>
    <row r="10695" customFormat="false" ht="17.15" hidden="false" customHeight="false" outlineLevel="0" collapsed="false">
      <c r="A10695" s="1" t="s">
        <v>1135</v>
      </c>
      <c r="B10695" s="0" t="s">
        <v>98</v>
      </c>
      <c r="C10695" s="6" t="n">
        <f aca="false">SUM(Sens!F10685:J10685)</f>
        <v>258.485277310444</v>
      </c>
    </row>
    <row r="10696" customFormat="false" ht="15" hidden="false" customHeight="false" outlineLevel="0" collapsed="false">
      <c r="A10696" s="26" t="s">
        <v>1100</v>
      </c>
      <c r="B10696" s="31" t="s">
        <v>98</v>
      </c>
      <c r="C10696" s="27" t="n">
        <f aca="false">Sens!$C$10695-(Sens!F10685+Sens!G10685+Sens!H10685+Sens!I10685+Sens!J10685)</f>
        <v>0</v>
      </c>
      <c r="D10696" s="31"/>
      <c r="E10696" s="31"/>
      <c r="F10696" s="31"/>
      <c r="G10696" s="31"/>
      <c r="H10696" s="31"/>
      <c r="I10696" s="31"/>
      <c r="J10696" s="31"/>
      <c r="K10696" s="31"/>
    </row>
    <row r="10697" customFormat="false" ht="17.15" hidden="false" customHeight="false" outlineLevel="0" collapsed="false">
      <c r="A10697" s="1" t="s">
        <v>1094</v>
      </c>
      <c r="B10697" s="1" t="s">
        <v>1136</v>
      </c>
      <c r="C10697" s="33" t="str">
        <f aca="false">IF(SUM(Sens!F10688:J10688)&gt;0.05,"需要舉債 "&amp;TEXT(SUM(Sens!F10688:J10688),"0.0")&amp;" 十億美元","不需舉債")&amp;"；"&amp;IF(SUM(Sens!F10687:J10687)&lt;COUNT(Sens!F10687:J10687)*bb_target-0.05,"回購較每年 "&amp;TEXT(bb_target,"0.0")&amp;" 的目標少 "&amp;TEXT(COUNT(Sens!F10687:J10687)*bb_target-SUM(Sens!F10687:J10687),"0.0")&amp;" 十億美元（"&amp;TEXT(COUNTIF(Sens!F10687:J10687,"&lt;"&amp;(bb_target-0.05)),"0")&amp;" 年減少）","回購不減")</f>
        <v>需要舉債 8.2 十億美元；回購較每年 22.3 的目標少 44.3 十億美元（2 年減少）</v>
      </c>
    </row>
    <row r="10698" customFormat="false" ht="17.15" hidden="false" customHeight="false" outlineLevel="0" collapsed="false">
      <c r="A10698" s="3" t="s">
        <v>1879</v>
      </c>
    </row>
    <row r="10699" customFormat="false" ht="15" hidden="false" customHeight="false" outlineLevel="0" collapsed="false">
      <c r="A10699" s="4" t="s">
        <v>43</v>
      </c>
      <c r="B10699" s="4" t="s">
        <v>65</v>
      </c>
      <c r="C10699" s="23" t="s">
        <v>942</v>
      </c>
      <c r="D10699" s="23" t="s">
        <v>943</v>
      </c>
      <c r="E10699" s="23" t="s">
        <v>944</v>
      </c>
      <c r="F10699" s="23" t="s">
        <v>945</v>
      </c>
      <c r="G10699" s="23" t="s">
        <v>946</v>
      </c>
      <c r="H10699" s="23" t="s">
        <v>947</v>
      </c>
      <c r="I10699" s="23" t="s">
        <v>948</v>
      </c>
      <c r="J10699" s="23" t="s">
        <v>949</v>
      </c>
      <c r="K10699" s="23" t="s">
        <v>950</v>
      </c>
      <c r="L10699" s="4" t="s">
        <v>47</v>
      </c>
    </row>
    <row r="10700" customFormat="false" ht="17.15" hidden="false" customHeight="false" outlineLevel="0" collapsed="false">
      <c r="A10700" s="1" t="s">
        <v>1216</v>
      </c>
      <c r="B10700" s="1" t="s">
        <v>279</v>
      </c>
      <c r="F10700" s="8" t="n">
        <f aca="false">(1-v_off)*mid_yr</f>
        <v>0.373972602739726</v>
      </c>
      <c r="G10700" s="8" t="n">
        <f aca="false">Sens!G10550-base_fy-mid_yr-v_off</f>
        <v>1.24794520547945</v>
      </c>
      <c r="H10700" s="8" t="n">
        <f aca="false">Sens!H10550-base_fy-mid_yr-v_off</f>
        <v>2.24794520547945</v>
      </c>
      <c r="I10700" s="8" t="n">
        <f aca="false">Sens!I10550-base_fy-mid_yr-v_off</f>
        <v>3.24794520547945</v>
      </c>
      <c r="J10700" s="8" t="n">
        <f aca="false">Sens!J10550-base_fy-mid_yr-v_off</f>
        <v>4.24794520547945</v>
      </c>
      <c r="K10700" s="8" t="n">
        <f aca="false">Sens!K10550-base_fy-mid_yr-v_off</f>
        <v>5.24794520547945</v>
      </c>
      <c r="L10700" s="12" t="s">
        <v>1217</v>
      </c>
    </row>
    <row r="10701" customFormat="false" ht="15" hidden="false" customHeight="false" outlineLevel="0" collapsed="false">
      <c r="A10701" s="1" t="s">
        <v>1218</v>
      </c>
      <c r="B10701" s="1" t="s">
        <v>279</v>
      </c>
      <c r="F10701" s="8" t="n">
        <f aca="false">Sens!F10550-base_fy-v_off</f>
        <v>0.747945205479452</v>
      </c>
      <c r="G10701" s="8" t="n">
        <f aca="false">Sens!G10550-base_fy-v_off</f>
        <v>1.74794520547945</v>
      </c>
      <c r="H10701" s="8" t="n">
        <f aca="false">Sens!H10550-base_fy-v_off</f>
        <v>2.74794520547945</v>
      </c>
      <c r="I10701" s="8" t="n">
        <f aca="false">Sens!I10550-base_fy-v_off</f>
        <v>3.74794520547945</v>
      </c>
      <c r="J10701" s="8" t="n">
        <f aca="false">Sens!J10550-base_fy-v_off</f>
        <v>4.74794520547945</v>
      </c>
      <c r="K10701" s="8" t="n">
        <f aca="false">Sens!K10550-base_fy-v_off</f>
        <v>5.74794520547945</v>
      </c>
    </row>
    <row r="10702" customFormat="false" ht="15" hidden="false" customHeight="false" outlineLevel="0" collapsed="false">
      <c r="A10702" s="1" t="s">
        <v>1219</v>
      </c>
      <c r="B10702" s="0" t="s">
        <v>229</v>
      </c>
      <c r="F10702" s="15" t="n">
        <f aca="false">1/(1+wacc)^Sens!F10700</f>
        <v>0.964022703286649</v>
      </c>
      <c r="G10702" s="15" t="n">
        <f aca="false">1/(1+wacc)^Sens!G10700</f>
        <v>0.884910302296739</v>
      </c>
      <c r="H10702" s="15" t="n">
        <f aca="false">1/(1+wacc)^Sens!H10700</f>
        <v>0.802322009770358</v>
      </c>
      <c r="I10702" s="15" t="n">
        <f aca="false">1/(1+wacc)^Sens!I10700</f>
        <v>0.727441646561469</v>
      </c>
      <c r="J10702" s="15" t="n">
        <f aca="false">1/(1+wacc)^Sens!J10700</f>
        <v>0.659549834988973</v>
      </c>
      <c r="K10702" s="15" t="n">
        <f aca="false">1/(1+wacc)^Sens!K10700</f>
        <v>0.597994336576966</v>
      </c>
    </row>
    <row r="10703" customFormat="false" ht="17.15" hidden="false" customHeight="false" outlineLevel="0" collapsed="false">
      <c r="A10703" s="1" t="s">
        <v>1220</v>
      </c>
      <c r="B10703" s="0" t="s">
        <v>98</v>
      </c>
      <c r="F10703" s="6" t="n">
        <f aca="false">Q!$I$35-Q!$I$39-Q!$I$43</f>
        <v>9.666</v>
      </c>
      <c r="L10703" s="12" t="s">
        <v>1221</v>
      </c>
    </row>
    <row r="10704" customFormat="false" ht="17.15" hidden="false" customHeight="false" outlineLevel="0" collapsed="false">
      <c r="A10704" s="1" t="s">
        <v>1222</v>
      </c>
      <c r="B10704" s="0" t="s">
        <v>98</v>
      </c>
      <c r="F10704" s="6" t="n">
        <f aca="false">Sens!F10675-Sens!F10672-Sens!F10679+Sens!F10657*(1-tax_f)*(1-v_off)-Sens!F10703</f>
        <v>-3.38244228125347</v>
      </c>
      <c r="G10704" s="6" t="n">
        <f aca="false">Sens!G10675-Sens!G10672-Sens!G10679+Sens!G10657*(1-tax_f)</f>
        <v>29.7454083583786</v>
      </c>
      <c r="H10704" s="6" t="n">
        <f aca="false">Sens!H10675-Sens!H10672-Sens!H10679+Sens!H10657*(1-tax_f)</f>
        <v>79.1772052580896</v>
      </c>
      <c r="I10704" s="6" t="n">
        <f aca="false">Sens!I10675-Sens!I10672-Sens!I10679+Sens!I10657*(1-tax_f)</f>
        <v>157.020048224733</v>
      </c>
      <c r="J10704" s="6" t="n">
        <f aca="false">Sens!J10675-Sens!J10672-Sens!J10679+Sens!J10657*(1-tax_f)</f>
        <v>235.092555208337</v>
      </c>
      <c r="K10704" s="6" t="n">
        <f aca="false">Sens!K10675-Sens!K10672-Sens!K10679+Sens!K10657*(1-tax_f)</f>
        <v>273.033270948876</v>
      </c>
      <c r="L10704" s="1" t="s">
        <v>1223</v>
      </c>
    </row>
    <row r="10705" customFormat="false" ht="15" hidden="false" customHeight="false" outlineLevel="0" collapsed="false">
      <c r="A10705" s="1" t="s">
        <v>1224</v>
      </c>
      <c r="B10705" s="0" t="s">
        <v>98</v>
      </c>
      <c r="F10705" s="6" t="n">
        <f aca="false">Sens!F10704*Sens!F10702</f>
        <v>-3.26075115168503</v>
      </c>
      <c r="G10705" s="6" t="n">
        <f aca="false">Sens!G10704*Sens!G10702</f>
        <v>26.3220183023528</v>
      </c>
      <c r="H10705" s="6" t="n">
        <f aca="false">Sens!H10704*Sens!H10702</f>
        <v>63.5256144506706</v>
      </c>
      <c r="I10705" s="6" t="n">
        <f aca="false">Sens!I10704*Sens!I10702</f>
        <v>114.222922423761</v>
      </c>
      <c r="J10705" s="6" t="n">
        <f aca="false">Sens!J10704*Sens!J10702</f>
        <v>155.055255994795</v>
      </c>
      <c r="K10705" s="6" t="n">
        <f aca="false">Sens!K10704*Sens!K10702</f>
        <v>163.272349724512</v>
      </c>
    </row>
    <row r="10706" customFormat="false" ht="17.15" hidden="false" customHeight="false" outlineLevel="0" collapsed="false">
      <c r="A10706" s="1" t="s">
        <v>1225</v>
      </c>
      <c r="B10706" s="0" t="s">
        <v>98</v>
      </c>
      <c r="C10706" s="6" t="n">
        <f aca="false">SUM(Sens!F10705:K10705)</f>
        <v>519.137409744406</v>
      </c>
    </row>
    <row r="10707" customFormat="false" ht="17.15" hidden="false" customHeight="false" outlineLevel="0" collapsed="false">
      <c r="A10707" s="1" t="s">
        <v>1226</v>
      </c>
      <c r="B10707" s="0" t="s">
        <v>98</v>
      </c>
      <c r="C10707" s="6" t="n">
        <f aca="false">Sens!K10643*(1+g_tv)*(1-tax_f)</f>
        <v>284.038855819351</v>
      </c>
    </row>
    <row r="10708" customFormat="false" ht="17.15" hidden="false" customHeight="false" outlineLevel="0" collapsed="false">
      <c r="A10708" s="1" t="s">
        <v>1227</v>
      </c>
      <c r="B10708" s="0" t="s">
        <v>98</v>
      </c>
      <c r="C10708" s="6" t="n">
        <f aca="false">Sens!$C$10707*(1-g_tv/(wacc+ronic_prem))</f>
        <v>201.258130362025</v>
      </c>
    </row>
    <row r="10709" customFormat="false" ht="17.15" hidden="false" customHeight="false" outlineLevel="0" collapsed="false">
      <c r="A10709" s="1" t="s">
        <v>1228</v>
      </c>
      <c r="B10709" s="0" t="s">
        <v>98</v>
      </c>
      <c r="C10709" s="6" t="n">
        <f aca="false">Sens!$C$10708/(wacc-g_tv)</f>
        <v>2759.35751524419</v>
      </c>
    </row>
    <row r="10710" customFormat="false" ht="15" hidden="false" customHeight="false" outlineLevel="0" collapsed="false">
      <c r="A10710" s="1" t="s">
        <v>1229</v>
      </c>
      <c r="B10710" s="0" t="s">
        <v>98</v>
      </c>
      <c r="C10710" s="6" t="n">
        <f aca="false">Sens!$C$10709/(1+wacc)^Sens!K10701</f>
        <v>1571.19385440905</v>
      </c>
    </row>
    <row r="10711" customFormat="false" ht="17.15" hidden="false" customHeight="false" outlineLevel="0" collapsed="false">
      <c r="A10711" s="0" t="s">
        <v>1230</v>
      </c>
      <c r="B10711" s="0" t="s">
        <v>98</v>
      </c>
      <c r="C10711" s="6" t="n">
        <f aca="false">Sens!$C$10706+Sens!$C$10710</f>
        <v>2090.33126415346</v>
      </c>
    </row>
    <row r="10712" customFormat="false" ht="15" hidden="false" customHeight="false" outlineLevel="0" collapsed="false">
      <c r="A10712" s="1" t="s">
        <v>1145</v>
      </c>
      <c r="B10712" s="0" t="s">
        <v>168</v>
      </c>
      <c r="C10712" s="7" t="n">
        <f aca="false">Sens!$C$10710/Sens!$C$10711</f>
        <v>0.751648258509569</v>
      </c>
    </row>
    <row r="10713" customFormat="false" ht="17.15" hidden="false" customHeight="false" outlineLevel="0" collapsed="false">
      <c r="A10713" s="1" t="s">
        <v>1231</v>
      </c>
      <c r="B10713" s="0" t="s">
        <v>98</v>
      </c>
      <c r="C10713" s="6" t="n">
        <f aca="false">Sens!$C$10711+cash_val-debt_val-fl_val+oai_v</f>
        <v>2206.18226415346</v>
      </c>
    </row>
    <row r="10714" customFormat="false" ht="17.15" hidden="false" customHeight="false" outlineLevel="0" collapsed="false">
      <c r="A10714" s="0" t="s">
        <v>1153</v>
      </c>
      <c r="B10714" s="0" t="s">
        <v>75</v>
      </c>
      <c r="C10714" s="5" t="n">
        <f aca="false">Sens!$C$10713/shd_val</f>
        <v>296.290929915855</v>
      </c>
    </row>
    <row r="10715" customFormat="false" ht="15" hidden="false" customHeight="false" outlineLevel="0" collapsed="false">
      <c r="A10715" s="1" t="s">
        <v>1232</v>
      </c>
      <c r="B10715" s="0" t="s">
        <v>75</v>
      </c>
      <c r="C10715" s="8" t="n">
        <f aca="false">div_rem27+Sens!G10683*roll_div_q/q_per_yr</f>
        <v>3.9795</v>
      </c>
    </row>
    <row r="10716" customFormat="false" ht="17.15" hidden="false" customHeight="false" outlineLevel="0" collapsed="false">
      <c r="A10716" s="0" t="s">
        <v>1233</v>
      </c>
      <c r="B10716" s="0" t="s">
        <v>75</v>
      </c>
      <c r="C10716" s="5" t="n">
        <f aca="false">Sens!$C$10714*(1+wacc)^t_roll-Sens!$C$10715</f>
        <v>325.364404818659</v>
      </c>
    </row>
    <row r="10717" customFormat="false" ht="17.15" hidden="false" customHeight="false" outlineLevel="0" collapsed="false">
      <c r="A10717" s="1" t="s">
        <v>1234</v>
      </c>
      <c r="B10717" s="0" t="s">
        <v>168</v>
      </c>
      <c r="F10717" s="7" t="n">
        <f aca="false">Sens!F10669/(Sens!F10614-Sens!F10569)</f>
        <v>0.0686384353369161</v>
      </c>
      <c r="G10717" s="7" t="n">
        <f aca="false">Sens!G10669/(Sens!G10614-Sens!G10569)</f>
        <v>0.0658902994113853</v>
      </c>
      <c r="H10717" s="7" t="n">
        <f aca="false">Sens!H10669/(Sens!H10614-Sens!H10569)</f>
        <v>0.0644975391462246</v>
      </c>
      <c r="I10717" s="7" t="n">
        <f aca="false">Sens!I10669/(Sens!I10614-Sens!I10569)</f>
        <v>0.0643404454910616</v>
      </c>
      <c r="J10717" s="7" t="n">
        <f aca="false">Sens!J10669/(Sens!J10614-Sens!J10569)</f>
        <v>0.0651395293689258</v>
      </c>
      <c r="K10717" s="7" t="n">
        <f aca="false">Sens!K10669/(Sens!K10614-Sens!K10569)</f>
        <v>0.0665495416212801</v>
      </c>
    </row>
    <row r="10718" customFormat="false" ht="17.15" hidden="false" customHeight="false" outlineLevel="0" collapsed="false">
      <c r="A10718" s="0" t="s">
        <v>1235</v>
      </c>
      <c r="B10718" s="0" t="s">
        <v>98</v>
      </c>
      <c r="F10718" s="6" t="n">
        <f aca="false">Sens!F10599*(al_m365+Sens!F10717+sbc_r)</f>
        <v>83.722799420751</v>
      </c>
      <c r="G10718" s="6" t="n">
        <f aca="false">Sens!G10599*(al_m365+Sens!G10717+sbc_r)</f>
        <v>96.1379144138873</v>
      </c>
      <c r="H10718" s="6" t="n">
        <f aca="false">Sens!H10599*(al_m365+Sens!H10717+sbc_r)</f>
        <v>108.720266168838</v>
      </c>
      <c r="I10718" s="6" t="n">
        <f aca="false">Sens!I10599*(al_m365+Sens!I10717+sbc_r)</f>
        <v>120.289719981365</v>
      </c>
      <c r="J10718" s="6" t="n">
        <f aca="false">Sens!J10599*(al_m365+Sens!J10717+sbc_r)</f>
        <v>130.659083307272</v>
      </c>
      <c r="K10718" s="6" t="n">
        <f aca="false">Sens!K10599*(al_m365+Sens!K10717+sbc_r)</f>
        <v>140.645444278337</v>
      </c>
      <c r="L10718" s="12" t="s">
        <v>1236</v>
      </c>
    </row>
    <row r="10719" customFormat="false" ht="17.15" hidden="false" customHeight="false" outlineLevel="0" collapsed="false">
      <c r="A10719" s="0" t="s">
        <v>1237</v>
      </c>
      <c r="B10719" s="0" t="s">
        <v>98</v>
      </c>
      <c r="F10719" s="6" t="n">
        <f aca="false">Sens!F10600*(al_lic+Sens!F10717+sbc_r)</f>
        <v>32.8584899863666</v>
      </c>
      <c r="G10719" s="6" t="n">
        <f aca="false">Sens!G10600*(al_lic+Sens!G10717+sbc_r)</f>
        <v>34.1399049322587</v>
      </c>
      <c r="H10719" s="6" t="n">
        <f aca="false">Sens!H10600*(al_lic+Sens!H10717+sbc_r)</f>
        <v>35.3370534718908</v>
      </c>
      <c r="I10719" s="6" t="n">
        <f aca="false">Sens!I10600*(al_lic+Sens!I10717+sbc_r)</f>
        <v>36.4318656034861</v>
      </c>
      <c r="J10719" s="6" t="n">
        <f aca="false">Sens!J10600*(al_lic+Sens!J10717+sbc_r)</f>
        <v>37.3990687329295</v>
      </c>
      <c r="K10719" s="6" t="n">
        <f aca="false">Sens!K10600*(al_lic+Sens!K10717+sbc_r)</f>
        <v>38.2101426738275</v>
      </c>
    </row>
    <row r="10720" customFormat="false" ht="17.15" hidden="false" customHeight="false" outlineLevel="0" collapsed="false">
      <c r="A10720" s="0" t="s">
        <v>1238</v>
      </c>
      <c r="B10720" s="0" t="s">
        <v>98</v>
      </c>
      <c r="F10720" s="6" t="n">
        <f aca="false">Sens!F10602*(al_ind+Sens!F10717+sbc_r)</f>
        <v>9.06083808255464</v>
      </c>
      <c r="G10720" s="6" t="n">
        <f aca="false">Sens!G10602*(al_ind+Sens!G10717+sbc_r)</f>
        <v>9.83757990231761</v>
      </c>
      <c r="H10720" s="6" t="n">
        <f aca="false">Sens!H10602*(al_ind+Sens!H10717+sbc_r)</f>
        <v>10.6598800931166</v>
      </c>
      <c r="I10720" s="6" t="n">
        <f aca="false">Sens!I10602*(al_ind+Sens!I10717+sbc_r)</f>
        <v>11.5248140608117</v>
      </c>
      <c r="J10720" s="6" t="n">
        <f aca="false">Sens!J10602*(al_ind+Sens!J10717+sbc_r)</f>
        <v>12.4228375037253</v>
      </c>
      <c r="K10720" s="6" t="n">
        <f aca="false">Sens!K10602*(al_ind+Sens!K10717+sbc_r)</f>
        <v>13.338998782524</v>
      </c>
    </row>
    <row r="10721" customFormat="false" ht="17.15" hidden="false" customHeight="false" outlineLevel="0" collapsed="false">
      <c r="A10721" s="0" t="s">
        <v>1239</v>
      </c>
      <c r="B10721" s="0" t="s">
        <v>98</v>
      </c>
      <c r="F10721" s="6" t="n">
        <f aca="false">Sens!F10604*(al_fro+Sens!F10717+sbc_r)</f>
        <v>3.55419467092991</v>
      </c>
      <c r="G10721" s="6" t="n">
        <f aca="false">Sens!G10604*(al_fro+Sens!G10717+sbc_r)</f>
        <v>3.76414639014301</v>
      </c>
      <c r="H10721" s="6" t="n">
        <f aca="false">Sens!H10604*(al_fro+Sens!H10717+sbc_r)</f>
        <v>4.00328528622923</v>
      </c>
      <c r="I10721" s="6" t="n">
        <f aca="false">Sens!I10604*(al_fro+Sens!I10717+sbc_r)</f>
        <v>4.27441497092193</v>
      </c>
      <c r="J10721" s="6" t="n">
        <f aca="false">Sens!J10604*(al_fro+Sens!J10717+sbc_r)</f>
        <v>4.57874776249041</v>
      </c>
      <c r="K10721" s="6" t="n">
        <f aca="false">Sens!K10604*(al_fro+Sens!K10717+sbc_r)</f>
        <v>4.91642193750252</v>
      </c>
    </row>
    <row r="10722" customFormat="false" ht="17.15" hidden="false" customHeight="false" outlineLevel="0" collapsed="false">
      <c r="A10722" s="0" t="s">
        <v>1240</v>
      </c>
      <c r="B10722" s="0" t="s">
        <v>98</v>
      </c>
      <c r="F10722" s="6" t="n">
        <f aca="false">Sens!F10607*(al_srch+Sens!F10717+sbc_r)</f>
        <v>11.1512555227047</v>
      </c>
      <c r="G10722" s="6" t="n">
        <f aca="false">Sens!G10607*(al_srch+Sens!G10717+sbc_r)</f>
        <v>12.1106770569954</v>
      </c>
      <c r="H10722" s="6" t="n">
        <f aca="false">Sens!H10607*(al_srch+Sens!H10717+sbc_r)</f>
        <v>13.0353063745418</v>
      </c>
      <c r="I10722" s="6" t="n">
        <f aca="false">Sens!I10607*(al_srch+Sens!I10717+sbc_r)</f>
        <v>13.8995733910919</v>
      </c>
      <c r="J10722" s="6" t="n">
        <f aca="false">Sens!J10607*(al_srch+Sens!J10717+sbc_r)</f>
        <v>14.6703710993795</v>
      </c>
      <c r="K10722" s="6" t="n">
        <f aca="false">Sens!K10607*(al_srch+Sens!K10717+sbc_r)</f>
        <v>15.3106310046024</v>
      </c>
    </row>
    <row r="10723" customFormat="false" ht="17.15" hidden="false" customHeight="false" outlineLevel="0" collapsed="false">
      <c r="A10723" s="0" t="s">
        <v>1241</v>
      </c>
      <c r="B10723" s="0" t="s">
        <v>98</v>
      </c>
      <c r="F10723" s="6" t="n">
        <f aca="false">Sens!F10575-Sens!F10576+Sens!F10657</f>
        <v>42.5431090240393</v>
      </c>
      <c r="G10723" s="6" t="n">
        <f aca="false">Sens!G10575-Sens!G10576+Sens!G10657</f>
        <v>81.4922561130847</v>
      </c>
      <c r="H10723" s="6" t="n">
        <f aca="false">Sens!H10575-Sens!H10576+Sens!H10657</f>
        <v>123.278266211349</v>
      </c>
      <c r="I10723" s="6" t="n">
        <f aca="false">Sens!I10575-Sens!I10576+Sens!I10657</f>
        <v>160.60594185192</v>
      </c>
      <c r="J10723" s="6" t="n">
        <f aca="false">Sens!J10575-Sens!J10576+Sens!J10657</f>
        <v>186.818741832633</v>
      </c>
      <c r="K10723" s="6" t="n">
        <f aca="false">Sens!K10575-Sens!K10576+Sens!K10657</f>
        <v>202.776422159652</v>
      </c>
    </row>
    <row r="10724" customFormat="false" ht="17.15" hidden="false" customHeight="false" outlineLevel="0" collapsed="false">
      <c r="A10724" s="0" t="s">
        <v>1242</v>
      </c>
      <c r="B10724" s="0" t="s">
        <v>98</v>
      </c>
      <c r="F10724" s="6" t="n">
        <f aca="false">Sens!F10636+Sens!F10657+Sens!F10587+Sens!F10717*(Sens!F10606-Sens!F10569)+sbc_r*Sens!F10606</f>
        <v>238.095415719268</v>
      </c>
      <c r="G10724" s="6" t="n">
        <f aca="false">Sens!G10636+Sens!G10657+Sens!G10587+Sens!G10717*(Sens!G10606-Sens!G10569)+sbc_r*Sens!G10606</f>
        <v>299.925840515474</v>
      </c>
      <c r="H10724" s="6" t="n">
        <f aca="false">Sens!H10636+Sens!H10657+Sens!H10587+Sens!H10717*(Sens!H10606-Sens!H10569)+sbc_r*Sens!H10606</f>
        <v>369.495841220696</v>
      </c>
      <c r="I10724" s="6" t="n">
        <f aca="false">Sens!I10636+Sens!I10657+Sens!I10587+Sens!I10717*(Sens!I10606-Sens!I10569)+sbc_r*Sens!I10606</f>
        <v>433.233785190481</v>
      </c>
      <c r="J10724" s="6" t="n">
        <f aca="false">Sens!J10636+Sens!J10657+Sens!J10587+Sens!J10717*(Sens!J10606-Sens!J10569)+sbc_r*Sens!J10606</f>
        <v>483.409940474119</v>
      </c>
      <c r="K10724" s="6" t="n">
        <f aca="false">Sens!K10636+Sens!K10657+Sens!K10587+Sens!K10717*(Sens!K10606-Sens!K10569)+sbc_r*Sens!K10606</f>
        <v>520.950703747744</v>
      </c>
    </row>
    <row r="10725" customFormat="false" ht="17.15" hidden="false" customHeight="false" outlineLevel="0" collapsed="false">
      <c r="A10725" s="0" t="s">
        <v>1243</v>
      </c>
      <c r="B10725" s="0" t="s">
        <v>98</v>
      </c>
      <c r="F10725" s="6" t="n">
        <f aca="false">Sens!F10724-Sens!F10718-Sens!F10719-Sens!F10720-Sens!F10721-Sens!F10723</f>
        <v>66.3559845346264</v>
      </c>
      <c r="G10725" s="6" t="n">
        <f aca="false">Sens!G10724-Sens!G10718-Sens!G10719-Sens!G10720-Sens!G10721-Sens!G10723</f>
        <v>74.5540387637822</v>
      </c>
      <c r="H10725" s="6" t="n">
        <f aca="false">Sens!H10724-Sens!H10718-Sens!H10719-Sens!H10720-Sens!H10721-Sens!H10723</f>
        <v>87.4970899892725</v>
      </c>
      <c r="I10725" s="6" t="n">
        <f aca="false">Sens!I10724-Sens!I10718-Sens!I10719-Sens!I10720-Sens!I10721-Sens!I10723</f>
        <v>100.107028721976</v>
      </c>
      <c r="J10725" s="6" t="n">
        <f aca="false">Sens!J10724-Sens!J10718-Sens!J10719-Sens!J10720-Sens!J10721-Sens!J10723</f>
        <v>111.531461335069</v>
      </c>
      <c r="K10725" s="6" t="n">
        <f aca="false">Sens!K10724-Sens!K10718-Sens!K10719-Sens!K10720-Sens!K10721-Sens!K10723</f>
        <v>121.063273915901</v>
      </c>
    </row>
    <row r="10726" customFormat="false" ht="17.15" hidden="false" customHeight="false" outlineLevel="0" collapsed="false">
      <c r="A10726" s="0" t="s">
        <v>1244</v>
      </c>
      <c r="B10726" s="0" t="s">
        <v>98</v>
      </c>
      <c r="F10726" s="6" t="n">
        <f aca="false">Sens!F10638+Sens!F10717*Sens!F10613+sbc_r*Sens!F10613</f>
        <v>26.5968533156871</v>
      </c>
      <c r="G10726" s="6" t="n">
        <f aca="false">Sens!G10638+Sens!G10717*Sens!G10613+sbc_r*Sens!G10613</f>
        <v>26.3245031547797</v>
      </c>
      <c r="H10726" s="6" t="n">
        <f aca="false">Sens!H10638+Sens!H10717*Sens!H10613+sbc_r*Sens!H10613</f>
        <v>27.0097183523052</v>
      </c>
      <c r="I10726" s="6" t="n">
        <f aca="false">Sens!I10638+Sens!I10717*Sens!I10613+sbc_r*Sens!I10613</f>
        <v>27.8374626628637</v>
      </c>
      <c r="J10726" s="6" t="n">
        <f aca="false">Sens!J10638+Sens!J10717*Sens!J10613+sbc_r*Sens!J10613</f>
        <v>28.7597534623636</v>
      </c>
      <c r="K10726" s="6" t="n">
        <f aca="false">Sens!K10638+Sens!K10717*Sens!K10613+sbc_r*Sens!K10613</f>
        <v>29.7303555627594</v>
      </c>
    </row>
    <row r="10727" customFormat="false" ht="17.15" hidden="false" customHeight="false" outlineLevel="0" collapsed="false">
      <c r="A10727" s="0" t="s">
        <v>1245</v>
      </c>
      <c r="B10727" s="0" t="s">
        <v>98</v>
      </c>
      <c r="F10727" s="6" t="n">
        <f aca="false">(Sens!F10726-Sens!F10722)*Sens!F10609/(Sens!F10609+Sens!F10611)</f>
        <v>8.72344995814077</v>
      </c>
      <c r="G10727" s="6" t="n">
        <f aca="false">(Sens!G10726-Sens!G10722)*Sens!G10609/(Sens!G10609+Sens!G10611)</f>
        <v>7.88979569616842</v>
      </c>
      <c r="H10727" s="6" t="n">
        <f aca="false">(Sens!H10726-Sens!H10722)*Sens!H10609/(Sens!H10609+Sens!H10611)</f>
        <v>7.65585249167114</v>
      </c>
      <c r="I10727" s="6" t="n">
        <f aca="false">(Sens!I10726-Sens!I10722)*Sens!I10609/(Sens!I10609+Sens!I10611)</f>
        <v>7.56919449387949</v>
      </c>
      <c r="J10727" s="6" t="n">
        <f aca="false">(Sens!J10726-Sens!J10722)*Sens!J10609/(Sens!J10609+Sens!J10611)</f>
        <v>7.6180822679512</v>
      </c>
      <c r="K10727" s="6" t="n">
        <f aca="false">(Sens!K10726-Sens!K10722)*Sens!K10609/(Sens!K10609+Sens!K10611)</f>
        <v>7.79669719616938</v>
      </c>
    </row>
    <row r="10728" customFormat="false" ht="17.15" hidden="false" customHeight="false" outlineLevel="0" collapsed="false">
      <c r="A10728" s="0" t="s">
        <v>1246</v>
      </c>
      <c r="B10728" s="0" t="s">
        <v>98</v>
      </c>
      <c r="F10728" s="6" t="n">
        <f aca="false">Sens!F10726-Sens!F10722-Sens!F10727</f>
        <v>6.72214783484156</v>
      </c>
      <c r="G10728" s="6" t="n">
        <f aca="false">Sens!G10726-Sens!G10722-Sens!G10727</f>
        <v>6.32403040161592</v>
      </c>
      <c r="H10728" s="6" t="n">
        <f aca="false">Sens!H10726-Sens!H10722-Sens!H10727</f>
        <v>6.3185594860923</v>
      </c>
      <c r="I10728" s="6" t="n">
        <f aca="false">Sens!I10726-Sens!I10722-Sens!I10727</f>
        <v>6.36869477789228</v>
      </c>
      <c r="J10728" s="6" t="n">
        <f aca="false">Sens!J10726-Sens!J10722-Sens!J10727</f>
        <v>6.47130009503291</v>
      </c>
      <c r="K10728" s="6" t="n">
        <f aca="false">Sens!K10726-Sens!K10722-Sens!K10727</f>
        <v>6.62302736198765</v>
      </c>
    </row>
    <row r="10729" customFormat="false" ht="17.15" hidden="false" customHeight="false" outlineLevel="0" collapsed="false">
      <c r="A10729" s="0" t="s">
        <v>1247</v>
      </c>
      <c r="B10729" s="0" t="s">
        <v>98</v>
      </c>
      <c r="F10729" s="6" t="n">
        <f aca="false">Sens!F10723-tax_f*(Sens!F10723-Sens!F10587)-Sens!F10584</f>
        <v>-127.503553927218</v>
      </c>
      <c r="G10729" s="6" t="n">
        <f aca="false">Sens!G10723-tax_f*(Sens!G10723-Sens!G10587)-Sens!G10584</f>
        <v>-114.603772628121</v>
      </c>
      <c r="H10729" s="6" t="n">
        <f aca="false">Sens!H10723-tax_f*(Sens!H10723-Sens!H10587)-Sens!H10584</f>
        <v>-80.3633729631438</v>
      </c>
      <c r="I10729" s="6" t="n">
        <f aca="false">Sens!I10723-tax_f*(Sens!I10723-Sens!I10587)-Sens!I10584</f>
        <v>-17.2838782011649</v>
      </c>
      <c r="J10729" s="6" t="n">
        <f aca="false">Sens!J10723-tax_f*(Sens!J10723-Sens!J10587)-Sens!J10584</f>
        <v>46.9281968800854</v>
      </c>
      <c r="K10729" s="6" t="n">
        <f aca="false">Sens!K10723-tax_f*(Sens!K10723-Sens!K10587)-Sens!K10584</f>
        <v>71.8608185731755</v>
      </c>
    </row>
    <row r="10730" customFormat="false" ht="17.15" hidden="false" customHeight="false" outlineLevel="0" collapsed="false">
      <c r="A10730" s="0" t="s">
        <v>1248</v>
      </c>
      <c r="B10730" s="0" t="s">
        <v>98</v>
      </c>
      <c r="G10730" s="6" t="n">
        <f aca="false">Sens!G10729/(1+wacc)^(Sens!G10700-Sens!F10701)</f>
        <v>-109.124845494465</v>
      </c>
      <c r="H10730" s="6" t="n">
        <f aca="false">Sens!H10729/(1+wacc)^(Sens!H10700-Sens!F10701)</f>
        <v>-69.3796874071025</v>
      </c>
      <c r="I10730" s="6" t="n">
        <f aca="false">Sens!I10729/(1+wacc)^(Sens!I10700-Sens!F10701)</f>
        <v>-13.5289731380471</v>
      </c>
      <c r="J10730" s="6" t="n">
        <f aca="false">Sens!J10729/(1+wacc)^(Sens!J10700-Sens!F10701)</f>
        <v>33.3048099587126</v>
      </c>
      <c r="K10730" s="6" t="n">
        <f aca="false">Sens!K10729/(1+wacc)^(Sens!K10700-Sens!F10701)</f>
        <v>46.2396679904913</v>
      </c>
      <c r="L10730" s="1" t="s">
        <v>1249</v>
      </c>
    </row>
    <row r="10731" customFormat="false" ht="17.15" hidden="false" customHeight="false" outlineLevel="0" collapsed="false">
      <c r="A10731" s="0" t="s">
        <v>1250</v>
      </c>
      <c r="B10731" s="0" t="s">
        <v>98</v>
      </c>
      <c r="C10731" s="6" t="n">
        <f aca="false">(Sens!K10723-Sens!K10587)*(1-tax_f)*(1+g_tv)*(1-g_tv/(wacc+ronic_prem))/(wacc-g_tv)/(1+wacc)^(Sens!K10701-Sens!F10701)</f>
        <v>293.118051086843</v>
      </c>
    </row>
    <row r="10732" customFormat="false" ht="17.15" hidden="false" customHeight="false" outlineLevel="0" collapsed="false">
      <c r="A10732" s="1" t="s">
        <v>1251</v>
      </c>
      <c r="B10732" s="0" t="s">
        <v>98</v>
      </c>
      <c r="C10732" s="6" t="n">
        <f aca="false">(SUM(Sens!G10730:K10730)+Sens!$C$10731)*(1+wacc)^(t_roll-Sens!F10701)</f>
        <v>186.592133308255</v>
      </c>
      <c r="L10732" s="12" t="s">
        <v>1252</v>
      </c>
    </row>
    <row r="10733" customFormat="false" ht="17.15" hidden="false" customHeight="false" outlineLevel="0" collapsed="false">
      <c r="A10733" s="1" t="s">
        <v>1253</v>
      </c>
      <c r="B10733" s="0" t="s">
        <v>98</v>
      </c>
      <c r="C10733" s="6" t="n">
        <f aca="false">(w_ntm28*Sens!G10575+(1-w_ntm28)*Sens!H10575)*m_ai</f>
        <v>463.789109510335</v>
      </c>
    </row>
    <row r="10734" customFormat="false" ht="17.15" hidden="false" customHeight="false" outlineLevel="0" collapsed="false">
      <c r="A10734" s="1" t="s">
        <v>1254</v>
      </c>
      <c r="B10734" s="0" t="s">
        <v>98</v>
      </c>
      <c r="C10734" s="6" t="n">
        <f aca="false">(w_ntm28*Sens!G10725+(1-w_ntm28)*Sens!H10725)*m_cloud</f>
        <v>1089.14436681781</v>
      </c>
    </row>
    <row r="10735" customFormat="false" ht="17.15" hidden="false" customHeight="false" outlineLevel="0" collapsed="false">
      <c r="A10735" s="1" t="s">
        <v>1255</v>
      </c>
      <c r="B10735" s="0" t="s">
        <v>98</v>
      </c>
      <c r="C10735" s="6" t="n">
        <f aca="false">(w_ntm28*Sens!G10718+(1-w_ntm28)*Sens!H10718)*m_sw</f>
        <v>1082.9654424492</v>
      </c>
    </row>
    <row r="10736" customFormat="false" ht="17.15" hidden="false" customHeight="false" outlineLevel="0" collapsed="false">
      <c r="A10736" s="1" t="s">
        <v>1256</v>
      </c>
      <c r="B10736" s="0" t="s">
        <v>98</v>
      </c>
      <c r="C10736" s="6" t="n">
        <f aca="false">(w_ntm28*Sens!G10719+(1-w_ntm28)*Sens!H10719)*m_sw</f>
        <v>372.961670548841</v>
      </c>
    </row>
    <row r="10737" customFormat="false" ht="17.15" hidden="false" customHeight="false" outlineLevel="0" collapsed="false">
      <c r="A10737" s="1" t="s">
        <v>1257</v>
      </c>
      <c r="B10737" s="0" t="s">
        <v>98</v>
      </c>
      <c r="C10737" s="6" t="n">
        <f aca="false">(w_ntm28*Sens!G10720+(1-w_ntm28)*Sens!H10720)*m_sw</f>
        <v>109.165591841676</v>
      </c>
    </row>
    <row r="10738" customFormat="false" ht="17.15" hidden="false" customHeight="false" outlineLevel="0" collapsed="false">
      <c r="A10738" s="1" t="s">
        <v>1258</v>
      </c>
      <c r="B10738" s="0" t="s">
        <v>98</v>
      </c>
      <c r="C10738" s="6" t="n">
        <f aca="false">(w_ntm28*Sens!G10721+(1-w_ntm28)*Sens!H10721)*m_sw</f>
        <v>41.5018878884151</v>
      </c>
    </row>
    <row r="10739" customFormat="false" ht="17.15" hidden="false" customHeight="false" outlineLevel="0" collapsed="false">
      <c r="A10739" s="1" t="s">
        <v>1259</v>
      </c>
      <c r="B10739" s="0" t="s">
        <v>98</v>
      </c>
      <c r="C10739" s="6" t="n">
        <f aca="false">(w_ntm28*Sens!G10722+(1-w_ntm28)*Sens!H10722)*m_ads</f>
        <v>113.097596126055</v>
      </c>
    </row>
    <row r="10740" customFormat="false" ht="17.15" hidden="false" customHeight="false" outlineLevel="0" collapsed="false">
      <c r="A10740" s="1" t="s">
        <v>1260</v>
      </c>
      <c r="B10740" s="0" t="s">
        <v>98</v>
      </c>
      <c r="C10740" s="6" t="n">
        <f aca="false">(w_ntm28*Sens!G10727+(1-w_ntm28)*Sens!H10727)*m_game</f>
        <v>98.6767105447001</v>
      </c>
    </row>
    <row r="10741" customFormat="false" ht="17.15" hidden="false" customHeight="false" outlineLevel="0" collapsed="false">
      <c r="A10741" s="1" t="s">
        <v>1261</v>
      </c>
      <c r="B10741" s="0" t="s">
        <v>98</v>
      </c>
      <c r="C10741" s="6" t="n">
        <f aca="false">(w_ntm28*Sens!G10728+(1-w_ntm28)*Sens!H10728)*m_pc</f>
        <v>91.4826933422996</v>
      </c>
    </row>
    <row r="10742" customFormat="false" ht="17.15" hidden="false" customHeight="false" outlineLevel="0" collapsed="false">
      <c r="A10742" s="1" t="s">
        <v>1262</v>
      </c>
      <c r="B10742" s="0" t="s">
        <v>98</v>
      </c>
      <c r="C10742" s="6" t="n">
        <f aca="false">Sens!$C$10732+Sens!$C$10734+Sens!$C$10735+Sens!$C$10736+Sens!$C$10737+Sens!$C$10738+Sens!$C$10739+Sens!$C$10740+Sens!$C$10741</f>
        <v>3185.58809286725</v>
      </c>
    </row>
    <row r="10743" customFormat="false" ht="17.15" hidden="false" customHeight="false" outlineLevel="0" collapsed="false">
      <c r="A10743" s="1" t="s">
        <v>1263</v>
      </c>
      <c r="B10743" s="0" t="s">
        <v>98</v>
      </c>
      <c r="C10743" s="6" t="n">
        <f aca="false">(Sens!G10704-Sens!G10729)*t_stub</f>
        <v>47.852742190045</v>
      </c>
      <c r="L10743" s="1" t="s">
        <v>1264</v>
      </c>
    </row>
    <row r="10744" customFormat="false" ht="17.15" hidden="false" customHeight="false" outlineLevel="0" collapsed="false">
      <c r="A10744" s="1" t="s">
        <v>1173</v>
      </c>
      <c r="B10744" s="0" t="s">
        <v>98</v>
      </c>
      <c r="C10744" s="6" t="n">
        <f aca="false">Sens!F10691+oai_v-Sens!F10680+Sens!$C$10743</f>
        <v>162.081012190045</v>
      </c>
      <c r="L10744" s="1" t="s">
        <v>1265</v>
      </c>
    </row>
    <row r="10745" customFormat="false" ht="17.15" hidden="false" customHeight="false" outlineLevel="0" collapsed="false">
      <c r="A10745" s="1" t="s">
        <v>1266</v>
      </c>
      <c r="B10745" s="0" t="s">
        <v>75</v>
      </c>
      <c r="C10745" s="5" t="n">
        <f aca="false">(Sens!$C$10742+Sens!$C$10744)/(Sens!F10693+dil_gap)-Sens!G10683*roll_div_q/q_per_yr</f>
        <v>445.580957482953</v>
      </c>
      <c r="L10745" s="1" t="s">
        <v>1267</v>
      </c>
    </row>
    <row r="10746" customFormat="false" ht="17.15" hidden="false" customHeight="false" outlineLevel="0" collapsed="false">
      <c r="A10746" s="1" t="s">
        <v>1268</v>
      </c>
      <c r="B10746" s="0" t="s">
        <v>75</v>
      </c>
      <c r="C10746" s="5" t="n">
        <f aca="false">w_dcf*Sens!$C$10716+(1-w_dcf)*Sens!$C$10745</f>
        <v>385.472681150806</v>
      </c>
    </row>
    <row r="10747" customFormat="false" ht="17.15" hidden="false" customHeight="false" outlineLevel="0" collapsed="false">
      <c r="A10747" s="3" t="s">
        <v>1880</v>
      </c>
    </row>
    <row r="10748" customFormat="false" ht="15" hidden="false" customHeight="false" outlineLevel="0" collapsed="false">
      <c r="A10748" s="4" t="s">
        <v>43</v>
      </c>
      <c r="B10748" s="4" t="s">
        <v>65</v>
      </c>
      <c r="C10748" s="23" t="s">
        <v>942</v>
      </c>
      <c r="D10748" s="23" t="s">
        <v>943</v>
      </c>
      <c r="E10748" s="23" t="s">
        <v>944</v>
      </c>
      <c r="F10748" s="23" t="s">
        <v>945</v>
      </c>
      <c r="G10748" s="23" t="s">
        <v>946</v>
      </c>
      <c r="H10748" s="23" t="s">
        <v>947</v>
      </c>
      <c r="I10748" s="23" t="s">
        <v>948</v>
      </c>
      <c r="J10748" s="23" t="s">
        <v>949</v>
      </c>
      <c r="K10748" s="23" t="s">
        <v>950</v>
      </c>
      <c r="L10748" s="4" t="s">
        <v>47</v>
      </c>
    </row>
    <row r="10749" customFormat="false" ht="17.15" hidden="false" customHeight="false" outlineLevel="0" collapsed="false">
      <c r="A10749" s="1" t="s">
        <v>951</v>
      </c>
      <c r="B10749" s="1" t="s">
        <v>279</v>
      </c>
      <c r="C10749" s="21" t="n">
        <v>2024</v>
      </c>
      <c r="D10749" s="21" t="n">
        <v>2025</v>
      </c>
      <c r="E10749" s="21" t="n">
        <v>2026</v>
      </c>
      <c r="F10749" s="21" t="n">
        <v>2027</v>
      </c>
      <c r="G10749" s="21" t="n">
        <v>2028</v>
      </c>
      <c r="H10749" s="21" t="n">
        <v>2029</v>
      </c>
      <c r="I10749" s="21" t="n">
        <v>2030</v>
      </c>
      <c r="J10749" s="21" t="n">
        <v>2031</v>
      </c>
      <c r="K10749" s="21" t="n">
        <v>2032</v>
      </c>
    </row>
    <row r="10750" customFormat="false" ht="17.15" hidden="false" customHeight="false" outlineLevel="0" collapsed="false">
      <c r="A10750" s="1" t="s">
        <v>952</v>
      </c>
      <c r="B10750" s="0" t="s">
        <v>459</v>
      </c>
      <c r="F10750" s="30" t="n">
        <f aca="false">pace</f>
        <v>2726.5351</v>
      </c>
      <c r="G10750" s="30" t="n">
        <f aca="false">pace</f>
        <v>2726.5351</v>
      </c>
      <c r="H10750" s="30" t="n">
        <f aca="false">pace</f>
        <v>2726.5351</v>
      </c>
      <c r="I10750" s="30" t="n">
        <f aca="false">pace+(g_tv*Sens!H10751-pace)*MIN(1,(Sens!I10749-pace_y0)/(pace_y1-pace_y0))</f>
        <v>1931.98611966667</v>
      </c>
      <c r="J10750" s="30" t="n">
        <f aca="false">pace+(g_tv*Sens!I10751-pace)*MIN(1,(Sens!J10749-pace_y0)/(pace_y1-pace_y0))</f>
        <v>1176.07686172667</v>
      </c>
      <c r="K10750" s="30" t="n">
        <f aca="false">pace+(g_tv*Sens!J10751-pace)*MIN(1,(Sens!K10749-pace_y0)/(pace_y1-pace_y0))</f>
        <v>436.1300484418</v>
      </c>
      <c r="L10750" s="12" t="s">
        <v>953</v>
      </c>
    </row>
    <row r="10751" customFormat="false" ht="17.15" hidden="false" customHeight="false" outlineLevel="0" collapsed="false">
      <c r="A10751" s="1" t="s">
        <v>954</v>
      </c>
      <c r="B10751" s="0" t="s">
        <v>459</v>
      </c>
      <c r="C10751" s="30" t="n">
        <f aca="false">mw_ext_24</f>
        <v>640</v>
      </c>
      <c r="D10751" s="30" t="n">
        <f aca="false">mw_ext_25</f>
        <v>1630</v>
      </c>
      <c r="E10751" s="30" t="n">
        <f aca="false">mw_ext_26</f>
        <v>3250</v>
      </c>
      <c r="F10751" s="30" t="n">
        <f aca="false">Sens!E10751+Sens!F10750</f>
        <v>5976.5351</v>
      </c>
      <c r="G10751" s="30" t="n">
        <f aca="false">Sens!F10751+Sens!G10750</f>
        <v>8703.0702</v>
      </c>
      <c r="H10751" s="30" t="n">
        <f aca="false">Sens!G10751+Sens!H10750</f>
        <v>11429.6053</v>
      </c>
      <c r="I10751" s="30" t="n">
        <f aca="false">Sens!H10751+Sens!I10750</f>
        <v>13361.5914196667</v>
      </c>
      <c r="J10751" s="30" t="n">
        <f aca="false">Sens!I10751+Sens!J10750</f>
        <v>14537.6682813933</v>
      </c>
      <c r="K10751" s="30" t="n">
        <f aca="false">Sens!J10751+Sens!K10750</f>
        <v>14973.7983298351</v>
      </c>
      <c r="L10751" s="1" t="s">
        <v>955</v>
      </c>
    </row>
    <row r="10752" customFormat="false" ht="17.15" hidden="false" customHeight="false" outlineLevel="0" collapsed="false">
      <c r="A10752" s="1" t="s">
        <v>956</v>
      </c>
      <c r="B10752" s="0" t="s">
        <v>459</v>
      </c>
      <c r="C10752" s="30" t="n">
        <f aca="false">rent_ext_24</f>
        <v>150</v>
      </c>
      <c r="D10752" s="30" t="n">
        <f aca="false">rent_ext_25</f>
        <v>400</v>
      </c>
      <c r="E10752" s="30" t="n">
        <f aca="false">rent_ext_26</f>
        <v>550</v>
      </c>
      <c r="F10752" s="30" t="n">
        <f aca="false">rent_ext_f</f>
        <v>756</v>
      </c>
      <c r="G10752" s="30" t="n">
        <f aca="false">rent_ext_f</f>
        <v>756</v>
      </c>
      <c r="H10752" s="30" t="n">
        <f aca="false">rent_ext_f</f>
        <v>756</v>
      </c>
      <c r="I10752" s="30" t="n">
        <f aca="false">rent_ext_f</f>
        <v>756</v>
      </c>
      <c r="J10752" s="30" t="n">
        <f aca="false">rent_ext_f</f>
        <v>756</v>
      </c>
      <c r="K10752" s="30" t="n">
        <f aca="false">rent_ext_f</f>
        <v>756</v>
      </c>
      <c r="L10752" s="1" t="s">
        <v>957</v>
      </c>
    </row>
    <row r="10753" customFormat="false" ht="17.15" hidden="false" customHeight="false" outlineLevel="0" collapsed="false">
      <c r="A10753" s="1" t="s">
        <v>958</v>
      </c>
      <c r="B10753" s="0" t="s">
        <v>459</v>
      </c>
      <c r="C10753" s="30" t="n">
        <f aca="false">Sens!C10751-Sens!C10752</f>
        <v>490</v>
      </c>
      <c r="D10753" s="30" t="n">
        <f aca="false">Sens!D10751-Sens!D10752</f>
        <v>1230</v>
      </c>
      <c r="E10753" s="30" t="n">
        <f aca="false">Sens!E10751-Sens!E10752</f>
        <v>2700</v>
      </c>
      <c r="F10753" s="30" t="n">
        <f aca="false">Sens!F10751-Sens!F10752</f>
        <v>5220.5351</v>
      </c>
      <c r="G10753" s="30" t="n">
        <f aca="false">Sens!G10751-Sens!G10752</f>
        <v>7947.0702</v>
      </c>
      <c r="H10753" s="30" t="n">
        <f aca="false">Sens!H10751-Sens!H10752</f>
        <v>10673.6053</v>
      </c>
      <c r="I10753" s="30" t="n">
        <f aca="false">Sens!I10751-Sens!I10752</f>
        <v>12605.5914196667</v>
      </c>
      <c r="J10753" s="30" t="n">
        <f aca="false">Sens!J10751-Sens!J10752</f>
        <v>13781.6682813933</v>
      </c>
      <c r="K10753" s="30" t="n">
        <f aca="false">Sens!K10751-Sens!K10752</f>
        <v>14217.7983298351</v>
      </c>
    </row>
    <row r="10754" customFormat="false" ht="17.15" hidden="false" customHeight="false" outlineLevel="0" collapsed="false">
      <c r="A10754" s="1" t="s">
        <v>959</v>
      </c>
      <c r="B10754" s="0" t="s">
        <v>459</v>
      </c>
      <c r="C10754" s="30" t="n">
        <f aca="false">Sens!C10753/ext_sh</f>
        <v>816.666666666667</v>
      </c>
      <c r="D10754" s="30" t="n">
        <f aca="false">Sens!D10753/ext_sh</f>
        <v>2050</v>
      </c>
      <c r="E10754" s="30" t="n">
        <f aca="false">Sens!E10753/ext_sh</f>
        <v>4500</v>
      </c>
      <c r="F10754" s="30" t="n">
        <f aca="false">Sens!F10753/ext_sh</f>
        <v>8700.89183333333</v>
      </c>
      <c r="G10754" s="30" t="n">
        <f aca="false">Sens!G10753/ext_sh</f>
        <v>13245.117</v>
      </c>
      <c r="H10754" s="30" t="n">
        <f aca="false">Sens!H10753/ext_sh</f>
        <v>17789.3421666667</v>
      </c>
      <c r="I10754" s="30" t="n">
        <f aca="false">Sens!I10753/ext_sh</f>
        <v>21009.3190327778</v>
      </c>
      <c r="J10754" s="30" t="n">
        <f aca="false">Sens!J10753/ext_sh</f>
        <v>22969.4471356556</v>
      </c>
      <c r="K10754" s="30" t="n">
        <f aca="false">Sens!K10753/ext_sh</f>
        <v>23696.3305497252</v>
      </c>
      <c r="L10754" s="1" t="s">
        <v>960</v>
      </c>
    </row>
    <row r="10755" customFormat="false" ht="17.15" hidden="false" customHeight="false" outlineLevel="0" collapsed="false">
      <c r="A10755" s="1" t="s">
        <v>961</v>
      </c>
      <c r="B10755" s="0" t="s">
        <v>459</v>
      </c>
      <c r="C10755" s="30" t="n">
        <f aca="false">Sens!C10754-Sens!C10753</f>
        <v>326.666666666667</v>
      </c>
      <c r="D10755" s="30" t="n">
        <f aca="false">Sens!D10754-Sens!D10753</f>
        <v>820</v>
      </c>
      <c r="E10755" s="30" t="n">
        <f aca="false">Sens!E10754-Sens!E10753</f>
        <v>1800</v>
      </c>
      <c r="F10755" s="30" t="n">
        <f aca="false">Sens!F10754-Sens!F10753</f>
        <v>3480.35673333333</v>
      </c>
      <c r="G10755" s="30" t="n">
        <f aca="false">Sens!G10754-Sens!G10753</f>
        <v>5298.0468</v>
      </c>
      <c r="H10755" s="30" t="n">
        <f aca="false">Sens!H10754-Sens!H10753</f>
        <v>7115.73686666667</v>
      </c>
      <c r="I10755" s="30" t="n">
        <f aca="false">Sens!I10754-Sens!I10753</f>
        <v>8403.72761311111</v>
      </c>
      <c r="J10755" s="30" t="n">
        <f aca="false">Sens!J10754-Sens!J10753</f>
        <v>9187.77885426222</v>
      </c>
      <c r="K10755" s="30" t="n">
        <f aca="false">Sens!K10754-Sens!K10753</f>
        <v>9478.53221989009</v>
      </c>
    </row>
    <row r="10756" customFormat="false" ht="17.15" hidden="false" customHeight="false" outlineLevel="0" collapsed="false">
      <c r="A10756" s="1" t="s">
        <v>962</v>
      </c>
      <c r="B10756" s="0" t="s">
        <v>459</v>
      </c>
      <c r="C10756" s="30" t="n">
        <f aca="false">Sens!C10754</f>
        <v>816.666666666667</v>
      </c>
      <c r="D10756" s="30" t="n">
        <f aca="false">Sens!D10754-Sens!C10754</f>
        <v>1233.33333333333</v>
      </c>
      <c r="E10756" s="30" t="n">
        <f aca="false">Sens!E10754-Sens!D10754</f>
        <v>2450</v>
      </c>
      <c r="F10756" s="30" t="n">
        <f aca="false">Sens!F10754-Sens!E10754</f>
        <v>4200.89183333333</v>
      </c>
      <c r="G10756" s="30" t="n">
        <f aca="false">Sens!G10754-Sens!F10754</f>
        <v>4544.22516666667</v>
      </c>
      <c r="H10756" s="30" t="n">
        <f aca="false">Sens!H10754-Sens!G10754</f>
        <v>4544.22516666667</v>
      </c>
      <c r="I10756" s="30" t="n">
        <f aca="false">Sens!I10754-Sens!H10754</f>
        <v>3219.97686611111</v>
      </c>
      <c r="J10756" s="30" t="n">
        <f aca="false">Sens!J10754-Sens!I10754</f>
        <v>1960.12810287778</v>
      </c>
      <c r="K10756" s="30" t="n">
        <f aca="false">Sens!K10754-Sens!J10754</f>
        <v>726.883414069667</v>
      </c>
    </row>
    <row r="10757" customFormat="false" ht="17.15" hidden="false" customHeight="false" outlineLevel="0" collapsed="false">
      <c r="A10757" s="1" t="s">
        <v>963</v>
      </c>
      <c r="B10757" s="0" t="s">
        <v>459</v>
      </c>
      <c r="D10757" s="30" t="n">
        <f aca="false">Sens!D10751-Sens!C10751</f>
        <v>990</v>
      </c>
      <c r="E10757" s="30" t="n">
        <f aca="false">Sens!E10751-Sens!D10751</f>
        <v>1620</v>
      </c>
      <c r="F10757" s="30" t="n">
        <f aca="false">Sens!F10751-Sens!E10751</f>
        <v>2726.5351</v>
      </c>
      <c r="G10757" s="30" t="n">
        <f aca="false">Sens!G10751-Sens!F10751</f>
        <v>2726.5351</v>
      </c>
      <c r="H10757" s="30" t="n">
        <f aca="false">Sens!H10751-Sens!G10751</f>
        <v>2726.5351</v>
      </c>
      <c r="I10757" s="30" t="n">
        <f aca="false">Sens!I10751-Sens!H10751</f>
        <v>1931.98611966667</v>
      </c>
      <c r="J10757" s="30" t="n">
        <f aca="false">Sens!J10751-Sens!I10751</f>
        <v>1176.07686172667</v>
      </c>
      <c r="K10757" s="30" t="n">
        <f aca="false">Sens!K10751-Sens!J10751</f>
        <v>436.130048441799</v>
      </c>
    </row>
    <row r="10758" customFormat="false" ht="17.15" hidden="false" customHeight="false" outlineLevel="0" collapsed="false">
      <c r="A10758" s="1" t="s">
        <v>964</v>
      </c>
      <c r="B10758" s="0" t="s">
        <v>459</v>
      </c>
      <c r="F10758" s="30" t="n">
        <f aca="false">Sens!F10777*ext_sh</f>
        <v>0</v>
      </c>
      <c r="G10758" s="30" t="n">
        <f aca="false">Sens!G10777*ext_sh</f>
        <v>0</v>
      </c>
      <c r="H10758" s="30" t="n">
        <f aca="false">Sens!H10777*ext_sh</f>
        <v>0</v>
      </c>
      <c r="I10758" s="30" t="n">
        <f aca="false">Sens!I10777*ext_sh</f>
        <v>490</v>
      </c>
      <c r="J10758" s="30" t="n">
        <f aca="false">Sens!J10777*ext_sh</f>
        <v>740</v>
      </c>
      <c r="K10758" s="30" t="n">
        <f aca="false">Sens!K10777*ext_sh</f>
        <v>1470</v>
      </c>
      <c r="L10758" s="1" t="s">
        <v>965</v>
      </c>
    </row>
    <row r="10759" customFormat="false" ht="17.15" hidden="false" customHeight="false" outlineLevel="0" collapsed="false">
      <c r="A10759" s="1" t="s">
        <v>966</v>
      </c>
      <c r="B10759" s="0" t="s">
        <v>459</v>
      </c>
      <c r="C10759" s="30" t="n">
        <f aca="false">mix_h*Sens!C10751</f>
        <v>128</v>
      </c>
      <c r="D10759" s="30" t="n">
        <f aca="false">mix_h*Sens!D10751</f>
        <v>326</v>
      </c>
      <c r="E10759" s="30" t="n">
        <f aca="false">mix_h*Sens!E10751</f>
        <v>650</v>
      </c>
      <c r="F10759" s="30" t="n">
        <f aca="false">Sens!E10759-Sens!F10758*mix_h</f>
        <v>650</v>
      </c>
      <c r="G10759" s="30" t="n">
        <f aca="false">Sens!F10759-Sens!G10758*mix_h</f>
        <v>650</v>
      </c>
      <c r="H10759" s="30" t="n">
        <f aca="false">Sens!G10759-Sens!H10758*mix_h</f>
        <v>650</v>
      </c>
      <c r="I10759" s="30" t="n">
        <f aca="false">Sens!H10759-Sens!I10758*mix_h</f>
        <v>552</v>
      </c>
      <c r="J10759" s="30" t="n">
        <f aca="false">Sens!I10759-Sens!J10758*mix_h</f>
        <v>404</v>
      </c>
      <c r="K10759" s="30" t="n">
        <f aca="false">Sens!J10759-Sens!K10758*mix_h</f>
        <v>110</v>
      </c>
    </row>
    <row r="10760" customFormat="false" ht="17.15" hidden="false" customHeight="false" outlineLevel="0" collapsed="false">
      <c r="A10760" s="1" t="s">
        <v>967</v>
      </c>
      <c r="B10760" s="0" t="s">
        <v>459</v>
      </c>
      <c r="C10760" s="30" t="n">
        <f aca="false">mix_g2*Sens!C10751</f>
        <v>288</v>
      </c>
      <c r="D10760" s="30" t="n">
        <f aca="false">mix_g2*Sens!D10751</f>
        <v>733.5</v>
      </c>
      <c r="E10760" s="30" t="n">
        <f aca="false">mix_g2*Sens!E10751</f>
        <v>1462.5</v>
      </c>
      <c r="F10760" s="30" t="n">
        <f aca="false">Sens!E10760-Sens!F10758*mix_g2</f>
        <v>1462.5</v>
      </c>
      <c r="G10760" s="30" t="n">
        <f aca="false">Sens!F10760-Sens!G10758*mix_g2</f>
        <v>1462.5</v>
      </c>
      <c r="H10760" s="30" t="n">
        <f aca="false">Sens!G10760-Sens!H10758*mix_g2</f>
        <v>1462.5</v>
      </c>
      <c r="I10760" s="30" t="n">
        <f aca="false">Sens!H10760-Sens!I10758*mix_g2</f>
        <v>1242</v>
      </c>
      <c r="J10760" s="30" t="n">
        <f aca="false">Sens!I10760-Sens!J10758*mix_g2</f>
        <v>909</v>
      </c>
      <c r="K10760" s="30" t="n">
        <f aca="false">Sens!J10760-Sens!K10758*mix_g2</f>
        <v>247.5</v>
      </c>
    </row>
    <row r="10761" customFormat="false" ht="17.15" hidden="false" customHeight="false" outlineLevel="0" collapsed="false">
      <c r="A10761" s="1" t="s">
        <v>968</v>
      </c>
      <c r="B10761" s="0" t="s">
        <v>459</v>
      </c>
      <c r="C10761" s="30" t="n">
        <f aca="false">mix_g3*Sens!C10751</f>
        <v>224</v>
      </c>
      <c r="D10761" s="30" t="n">
        <f aca="false">mix_g3*Sens!D10751</f>
        <v>570.5</v>
      </c>
      <c r="E10761" s="30" t="n">
        <f aca="false">mix_g3*Sens!E10751</f>
        <v>1137.5</v>
      </c>
      <c r="F10761" s="30" t="n">
        <f aca="false">Sens!E10761+(Sens!F10757+Sens!F10758)*(a_g3_27-nonnv*a_mai)-Sens!F10758*mix_g3</f>
        <v>2773.42106</v>
      </c>
      <c r="G10761" s="30" t="n">
        <f aca="false">Sens!F10761+(Sens!G10757+Sens!G10758)*(a_g3_28-nonnv*a_mai)-Sens!G10758*mix_g3</f>
        <v>3318.72808</v>
      </c>
      <c r="H10761" s="30" t="n">
        <f aca="false">Sens!G10761+(Sens!H10757+Sens!H10758)*(a_g3_29-nonnv*a_mai)-Sens!H10758*mix_g3</f>
        <v>3318.72808</v>
      </c>
      <c r="I10761" s="30" t="n">
        <f aca="false">Sens!H10761+(Sens!I10757+Sens!I10758)*(a_g3_29-nonnv*a_mai)-Sens!I10758*mix_g3</f>
        <v>3147.22808</v>
      </c>
      <c r="J10761" s="30" t="n">
        <f aca="false">Sens!I10761+(Sens!J10757+Sens!J10758)*(a_g3_29-nonnv*a_mai)-Sens!J10758*mix_g3</f>
        <v>2888.22808</v>
      </c>
      <c r="K10761" s="30" t="n">
        <f aca="false">Sens!J10761+(Sens!K10757+Sens!K10758)*(a_g3_29-nonnv*a_mai)-Sens!K10758*mix_g3</f>
        <v>2373.72808</v>
      </c>
    </row>
    <row r="10762" customFormat="false" ht="17.15" hidden="false" customHeight="false" outlineLevel="0" collapsed="false">
      <c r="A10762" s="1" t="s">
        <v>969</v>
      </c>
      <c r="B10762" s="0" t="s">
        <v>459</v>
      </c>
      <c r="C10762" s="30" t="n">
        <v>0</v>
      </c>
      <c r="D10762" s="30" t="n">
        <v>0</v>
      </c>
      <c r="E10762" s="30" t="n">
        <v>0</v>
      </c>
      <c r="F10762" s="30" t="n">
        <f aca="false">Sens!E10762+(Sens!F10757+Sens!F10758)*nonnv*a_mai</f>
        <v>272.65351</v>
      </c>
      <c r="G10762" s="30" t="n">
        <f aca="false">Sens!F10762+(Sens!G10757+Sens!G10758)*nonnv*a_mai</f>
        <v>545.30702</v>
      </c>
      <c r="H10762" s="30" t="n">
        <f aca="false">Sens!G10762+(Sens!H10757+Sens!H10758)*nonnv*a_mai</f>
        <v>817.96053</v>
      </c>
      <c r="I10762" s="30" t="n">
        <f aca="false">Sens!H10762+(Sens!I10757+Sens!I10758)*nonnv*a_mai</f>
        <v>1060.15914196667</v>
      </c>
      <c r="J10762" s="30" t="n">
        <f aca="false">Sens!I10762+(Sens!J10757+Sens!J10758)*nonnv*a_mai</f>
        <v>1251.76682813933</v>
      </c>
      <c r="K10762" s="30" t="n">
        <f aca="false">Sens!J10762+(Sens!K10757+Sens!K10758)*nonnv*a_mai</f>
        <v>1442.37983298351</v>
      </c>
      <c r="L10762" s="12" t="s">
        <v>970</v>
      </c>
    </row>
    <row r="10763" customFormat="false" ht="17.15" hidden="false" customHeight="false" outlineLevel="0" collapsed="false">
      <c r="A10763" s="1" t="s">
        <v>971</v>
      </c>
      <c r="B10763" s="0" t="s">
        <v>459</v>
      </c>
      <c r="C10763" s="30" t="n">
        <v>0</v>
      </c>
      <c r="D10763" s="30" t="n">
        <v>0</v>
      </c>
      <c r="E10763" s="30" t="n">
        <v>0</v>
      </c>
      <c r="F10763" s="30" t="n">
        <f aca="false">Sens!E10763+(Sens!F10757+Sens!F10758)*(1-a_g3_27)</f>
        <v>817.96053</v>
      </c>
      <c r="G10763" s="30" t="n">
        <f aca="false">Sens!F10763+(Sens!G10757+Sens!G10758)*(1-a_g3_28)</f>
        <v>2726.5351</v>
      </c>
      <c r="H10763" s="30" t="n">
        <f aca="false">Sens!G10763+(Sens!H10757+Sens!H10758)*(1-a_g3_29)</f>
        <v>5180.41669</v>
      </c>
      <c r="I10763" s="30" t="n">
        <f aca="false">Sens!H10763+(Sens!I10757+Sens!I10758)*(1-a_g3_29)</f>
        <v>7360.2041977</v>
      </c>
      <c r="J10763" s="30" t="n">
        <f aca="false">Sens!I10763+(Sens!J10757+Sens!J10758)*(1-a_g3_29)</f>
        <v>9084.673373254</v>
      </c>
      <c r="K10763" s="30" t="n">
        <f aca="false">Sens!J10763+(Sens!K10757+Sens!K10758)*(1-a_g3_29)</f>
        <v>10800.1904168516</v>
      </c>
    </row>
    <row r="10764" customFormat="false" ht="17.15" hidden="false" customHeight="false" outlineLevel="0" collapsed="false">
      <c r="A10764" s="1" t="s">
        <v>972</v>
      </c>
      <c r="B10764" s="0" t="s">
        <v>403</v>
      </c>
      <c r="C10764" s="15" t="n">
        <f aca="false">(Sens!C10759*tk_hold_h100+Sens!C10760*tk_hold_gb200+Sens!C10761*tk_hold_gb300+Sens!C10763*tk_hold_vr200+Sens!C10762*nv_hold_mai*tk_hold_vr200)/Sens!C10751</f>
        <v>9.7235358126469</v>
      </c>
      <c r="D10764" s="15" t="n">
        <f aca="false">(Sens!D10759*tk_hold_h100+Sens!D10760*tk_hold_gb200+Sens!D10761*tk_hold_gb300+Sens!D10763*tk_hold_vr200+Sens!D10762*nv_hold_mai*tk_hold_vr200)/Sens!D10751</f>
        <v>9.7235358126469</v>
      </c>
      <c r="E10764" s="15" t="n">
        <f aca="false">(Sens!E10759*tk_hold_h100+Sens!E10760*tk_hold_gb200+Sens!E10761*tk_hold_gb300+Sens!E10763*tk_hold_vr200+Sens!E10762*nv_hold_mai*tk_hold_vr200)/Sens!E10751</f>
        <v>9.7235358126469</v>
      </c>
      <c r="F10764" s="15" t="n">
        <f aca="false">(Sens!F10759*tk_hold_h100+Sens!F10760*tk_hold_gb200+Sens!F10761*tk_hold_gb300+Sens!F10763*tk_hold_vr200+Sens!F10762*nv_hold_mai*tk_hold_vr200)/Sens!F10751</f>
        <v>10.2195353876665</v>
      </c>
      <c r="G10764" s="15" t="n">
        <f aca="false">(Sens!G10759*tk_hold_h100+Sens!G10760*tk_hold_gb200+Sens!G10761*tk_hold_gb300+Sens!G10763*tk_hold_vr200+Sens!G10762*nv_hold_mai*tk_hold_vr200)/Sens!G10751</f>
        <v>10.5725598017306</v>
      </c>
      <c r="H10764" s="15" t="n">
        <f aca="false">(Sens!H10759*tk_hold_h100+Sens!H10760*tk_hold_gb200+Sens!H10761*tk_hold_gb300+Sens!H10763*tk_hold_vr200+Sens!H10762*nv_hold_mai*tk_hold_vr200)/Sens!H10751</f>
        <v>10.8210427149036</v>
      </c>
      <c r="I10764" s="15" t="n">
        <f aca="false">(Sens!I10759*tk_hold_h100+Sens!I10760*tk_hold_gb200+Sens!I10761*tk_hold_gb300+Sens!I10763*tk_hold_vr200+Sens!I10762*nv_hold_mai*tk_hold_vr200)/Sens!I10751</f>
        <v>11.0050618241982</v>
      </c>
      <c r="J10764" s="15" t="n">
        <f aca="false">(Sens!J10759*tk_hold_h100+Sens!J10760*tk_hold_gb200+Sens!J10761*tk_hold_gb300+Sens!J10763*tk_hold_vr200+Sens!J10762*nv_hold_mai*tk_hold_vr200)/Sens!J10751</f>
        <v>11.1505789658881</v>
      </c>
      <c r="K10764" s="15" t="n">
        <f aca="false">(Sens!K10759*tk_hold_h100+Sens!K10760*tk_hold_gb200+Sens!K10761*tk_hold_gb300+Sens!K10763*tk_hold_vr200+Sens!K10762*nv_hold_mai*tk_hold_vr200)/Sens!K10751</f>
        <v>11.3496914757183</v>
      </c>
      <c r="L10764" s="1" t="s">
        <v>973</v>
      </c>
    </row>
    <row r="10765" customFormat="false" ht="17.15" hidden="false" customHeight="false" outlineLevel="0" collapsed="false">
      <c r="A10765" s="1" t="s">
        <v>974</v>
      </c>
      <c r="B10765" s="0" t="s">
        <v>403</v>
      </c>
      <c r="C10765" s="15" t="n">
        <f aca="false">(Sens!C10759*tk_hold_h100+Sens!C10760*tk_hold_gb200+Sens!C10761*tk_hold_gb300+Sens!C10763*tk_hold_vr200+Sens!C10762*nv_out_mai*tk_hold_vr200)/Sens!C10751</f>
        <v>9.7235358126469</v>
      </c>
      <c r="D10765" s="15" t="n">
        <f aca="false">(Sens!D10759*tk_hold_h100+Sens!D10760*tk_hold_gb200+Sens!D10761*tk_hold_gb300+Sens!D10763*tk_hold_vr200+Sens!D10762*nv_out_mai*tk_hold_vr200)/Sens!D10751</f>
        <v>9.7235358126469</v>
      </c>
      <c r="E10765" s="15" t="n">
        <f aca="false">(Sens!E10759*tk_hold_h100+Sens!E10760*tk_hold_gb200+Sens!E10761*tk_hold_gb300+Sens!E10763*tk_hold_vr200+Sens!E10762*nv_out_mai*tk_hold_vr200)/Sens!E10751</f>
        <v>9.7235358126469</v>
      </c>
      <c r="F10765" s="15" t="n">
        <f aca="false">(Sens!F10759*tk_hold_h100+Sens!F10760*tk_hold_gb200+Sens!F10761*tk_hold_gb300+Sens!F10763*tk_hold_vr200+Sens!F10762*nv_out_mai*tk_hold_vr200)/Sens!F10751</f>
        <v>10.247422093969</v>
      </c>
      <c r="G10765" s="15" t="n">
        <f aca="false">(Sens!G10759*tk_hold_h100+Sens!G10760*tk_hold_gb200+Sens!G10761*tk_hold_gb300+Sens!G10763*tk_hold_vr200+Sens!G10762*nv_out_mai*tk_hold_vr200)/Sens!G10751</f>
        <v>10.6108602808053</v>
      </c>
      <c r="H10765" s="15" t="n">
        <f aca="false">(Sens!H10759*tk_hold_h100+Sens!H10760*tk_hold_gb200+Sens!H10761*tk_hold_gb300+Sens!H10763*tk_hold_vr200+Sens!H10762*nv_out_mai*tk_hold_vr200)/Sens!H10751</f>
        <v>10.8647885507393</v>
      </c>
      <c r="I10765" s="15" t="n">
        <f aca="false">(Sens!I10759*tk_hold_h100+Sens!I10760*tk_hold_gb200+Sens!I10761*tk_hold_gb300+Sens!I10763*tk_hold_vr200+Sens!I10762*nv_out_mai*tk_hold_vr200)/Sens!I10751</f>
        <v>11.0535625770025</v>
      </c>
      <c r="J10765" s="15" t="n">
        <f aca="false">(Sens!J10759*tk_hold_h100+Sens!J10760*tk_hold_gb200+Sens!J10761*tk_hold_gb300+Sens!J10763*tk_hold_vr200+Sens!J10762*nv_out_mai*tk_hold_vr200)/Sens!J10751</f>
        <v>11.2032127128058</v>
      </c>
      <c r="K10765" s="15" t="n">
        <f aca="false">(Sens!K10759*tk_hold_h100+Sens!K10760*tk_hold_gb200+Sens!K10761*tk_hold_gb300+Sens!K10763*tk_hold_vr200+Sens!K10762*nv_out_mai*tk_hold_vr200)/Sens!K10751</f>
        <v>11.4085735724225</v>
      </c>
      <c r="L10765" s="12" t="s">
        <v>975</v>
      </c>
    </row>
    <row r="10766" customFormat="false" ht="17.15" hidden="false" customHeight="false" outlineLevel="0" collapsed="false">
      <c r="A10766" s="0" t="s">
        <v>976</v>
      </c>
      <c r="B10766" s="0" t="s">
        <v>229</v>
      </c>
      <c r="C10766" s="15" t="n">
        <f aca="false">k_B</f>
        <v>1.17213932619116</v>
      </c>
      <c r="D10766" s="15" t="n">
        <f aca="false">k_B</f>
        <v>1.17213932619116</v>
      </c>
      <c r="E10766" s="15" t="n">
        <f aca="false">k_B</f>
        <v>1.17213932619116</v>
      </c>
      <c r="F10766" s="15" t="n">
        <f aca="false">(k_B+((ls_C*k_long+(1-ls_C)*k_spot)-k_B)*MIN(1,(Sens!F10749-base_fy)/k_ramp))</f>
        <v>1.07843258004497</v>
      </c>
      <c r="G10766" s="15" t="n">
        <f aca="false">(k_B+((ls_C*k_long+(1-ls_C)*k_spot)-k_B)*MIN(1,(Sens!G10749-base_fy)/k_ramp))</f>
        <v>0.984725833898784</v>
      </c>
      <c r="H10766" s="15" t="n">
        <f aca="false">(k_B+((ls_C*k_long+(1-ls_C)*k_spot)-k_B)*MIN(1,(Sens!H10749-base_fy)/k_ramp))</f>
        <v>0.891019087752599</v>
      </c>
      <c r="I10766" s="15" t="n">
        <f aca="false">(k_B+((ls_C*k_long+(1-ls_C)*k_spot)-k_B)*MIN(1,(Sens!I10749-base_fy)/k_ramp))</f>
        <v>0.891019087752599</v>
      </c>
      <c r="J10766" s="15" t="n">
        <f aca="false">(k_B+((ls_C*k_long+(1-ls_C)*k_spot)-k_B)*MIN(1,(Sens!J10749-base_fy)/k_ramp))</f>
        <v>0.891019087752599</v>
      </c>
      <c r="K10766" s="15" t="n">
        <f aca="false">(k_B+((ls_C*k_long+(1-ls_C)*k_spot)-k_B)*MIN(1,(Sens!K10749-base_fy)/k_ramp))</f>
        <v>0.891019087752599</v>
      </c>
      <c r="L10766" s="1" t="s">
        <v>977</v>
      </c>
    </row>
    <row r="10767" customFormat="false" ht="17.15" hidden="false" customHeight="false" outlineLevel="0" collapsed="false">
      <c r="A10767" s="1" t="s">
        <v>978</v>
      </c>
      <c r="B10767" s="0" t="s">
        <v>403</v>
      </c>
      <c r="C10767" s="15" t="n">
        <f aca="false">Sens!C10765*Sens!C10766*chip_f</f>
        <v>11.3973387156315</v>
      </c>
      <c r="D10767" s="15" t="n">
        <f aca="false">Sens!D10765*Sens!D10766*chip_f</f>
        <v>11.3973387156315</v>
      </c>
      <c r="E10767" s="15" t="n">
        <f aca="false">Sens!E10765*Sens!E10766*chip_f</f>
        <v>11.3973387156315</v>
      </c>
      <c r="F10767" s="15" t="n">
        <f aca="false">Sens!F10765*Sens!F10766*chip_f</f>
        <v>11.0511538476088</v>
      </c>
      <c r="G10767" s="15" t="n">
        <f aca="false">Sens!G10765*Sens!G10766*chip_f</f>
        <v>10.4487882383995</v>
      </c>
      <c r="H10767" s="15" t="n">
        <f aca="false">Sens!H10765*Sens!H10766*chip_f</f>
        <v>9.68073398310464</v>
      </c>
      <c r="I10767" s="15" t="n">
        <f aca="false">Sens!I10765*Sens!I10766*chip_f</f>
        <v>9.84893524377706</v>
      </c>
      <c r="J10767" s="15" t="n">
        <f aca="false">Sens!J10765*Sens!J10766*chip_f</f>
        <v>9.98227637126252</v>
      </c>
      <c r="K10767" s="15" t="n">
        <f aca="false">Sens!K10765*Sens!K10766*chip_f</f>
        <v>10.1652568170583</v>
      </c>
      <c r="L10767" s="1" t="s">
        <v>979</v>
      </c>
    </row>
    <row r="10768" customFormat="false" ht="17.15" hidden="false" customHeight="false" outlineLevel="0" collapsed="false">
      <c r="A10768" s="0" t="s">
        <v>980</v>
      </c>
      <c r="B10768" s="0" t="s">
        <v>98</v>
      </c>
      <c r="D10768" s="6" t="n">
        <f aca="false">(Sens!C10751+Sens!D10751)/2*Sens!D10767/1000</f>
        <v>12.9359794422418</v>
      </c>
      <c r="E10768" s="6" t="n">
        <f aca="false">(Sens!D10751+Sens!E10751)/2*Sens!E10767/1000</f>
        <v>27.8095064661409</v>
      </c>
      <c r="F10768" s="6" t="n">
        <f aca="false">(Sens!E10751+Sens!F10751)/2*Sens!F10767/1000</f>
        <v>50.9819294352312</v>
      </c>
      <c r="G10768" s="6" t="n">
        <f aca="false">(Sens!F10751+Sens!G10751)/2*Sens!G10767/1000</f>
        <v>76.6920436014933</v>
      </c>
      <c r="H10768" s="6" t="n">
        <f aca="false">(Sens!G10751+Sens!H10751)/2*Sens!H10767/1000</f>
        <v>97.4495379418341</v>
      </c>
      <c r="I10768" s="6" t="n">
        <f aca="false">(Sens!H10751+Sens!I10751)/2*Sens!I10767/1000</f>
        <v>122.083445553868</v>
      </c>
      <c r="J10768" s="6" t="n">
        <f aca="false">(Sens!I10751+Sens!J10751)/2*Sens!J10767/1000</f>
        <v>139.249060444804</v>
      </c>
      <c r="K10768" s="6" t="n">
        <f aca="false">(Sens!J10751+Sens!K10751)/2*Sens!K10767/1000</f>
        <v>149.995818575589</v>
      </c>
      <c r="L10768" s="12" t="s">
        <v>981</v>
      </c>
    </row>
    <row r="10769" customFormat="false" ht="17.15" hidden="false" customHeight="false" outlineLevel="0" collapsed="false">
      <c r="A10769" s="1" t="s">
        <v>982</v>
      </c>
      <c r="B10769" s="0" t="s">
        <v>403</v>
      </c>
      <c r="C10769" s="15" t="n">
        <f aca="false">(Sens!C10759*tk_opex_h100+Sens!C10760*tk_opex_gb200+Sens!C10761*tk_opex_gb300+(Sens!C10763+Sens!C10762)*tk_opex_vr200)/Sens!C10751</f>
        <v>1.88636041306092</v>
      </c>
      <c r="D10769" s="15" t="n">
        <f aca="false">(Sens!D10759*tk_opex_h100+Sens!D10760*tk_opex_gb200+Sens!D10761*tk_opex_gb300+(Sens!D10763+Sens!D10762)*tk_opex_vr200)/Sens!D10751</f>
        <v>1.88636041306092</v>
      </c>
      <c r="E10769" s="15" t="n">
        <f aca="false">(Sens!E10759*tk_opex_h100+Sens!E10760*tk_opex_gb200+Sens!E10761*tk_opex_gb300+(Sens!E10763+Sens!E10762)*tk_opex_vr200)/Sens!E10751</f>
        <v>1.88636041306092</v>
      </c>
      <c r="F10769" s="15" t="n">
        <f aca="false">(Sens!F10759*tk_opex_h100+Sens!F10760*tk_opex_gb200+Sens!F10761*tk_opex_gb300+(Sens!F10763+Sens!F10762)*tk_opex_vr200)/Sens!F10751</f>
        <v>1.95051159746876</v>
      </c>
      <c r="G10769" s="15" t="n">
        <f aca="false">(Sens!G10759*tk_opex_h100+Sens!G10760*tk_opex_gb200+Sens!G10761*tk_opex_gb300+(Sens!G10763+Sens!G10762)*tk_opex_vr200)/Sens!G10751</f>
        <v>1.98836003669956</v>
      </c>
      <c r="H10769" s="15" t="n">
        <f aca="false">(Sens!H10759*tk_opex_h100+Sens!H10760*tk_opex_gb200+Sens!H10761*tk_opex_gb300+(Sens!H10763+Sens!H10762)*tk_opex_vr200)/Sens!H10751</f>
        <v>2.01344013834343</v>
      </c>
      <c r="I10769" s="15" t="n">
        <f aca="false">(Sens!I10759*tk_opex_h100+Sens!I10760*tk_opex_gb200+Sens!I10761*tk_opex_gb300+(Sens!I10763+Sens!I10762)*tk_opex_vr200)/Sens!I10751</f>
        <v>2.03261166882178</v>
      </c>
      <c r="J10769" s="15" t="n">
        <f aca="false">(Sens!J10759*tk_opex_h100+Sens!J10760*tk_opex_gb200+Sens!J10761*tk_opex_gb300+(Sens!J10763+Sens!J10762)*tk_opex_vr200)/Sens!J10751</f>
        <v>2.04808073288745</v>
      </c>
      <c r="K10769" s="15" t="n">
        <f aca="false">(Sens!K10759*tk_opex_h100+Sens!K10760*tk_opex_gb200+Sens!K10761*tk_opex_gb300+(Sens!K10763+Sens!K10762)*tk_opex_vr200)/Sens!K10751</f>
        <v>2.06973825807449</v>
      </c>
      <c r="L10769" s="12" t="s">
        <v>983</v>
      </c>
    </row>
    <row r="10770" customFormat="false" ht="17.15" hidden="false" customHeight="false" outlineLevel="0" collapsed="false">
      <c r="A10770" s="0" t="s">
        <v>984</v>
      </c>
      <c r="B10770" s="0" t="s">
        <v>98</v>
      </c>
      <c r="D10770" s="6" t="n">
        <f aca="false">(Sens!C10754+Sens!D10754)/2*Sens!D10769/1000</f>
        <v>2.70378325872065</v>
      </c>
      <c r="E10770" s="6" t="n">
        <f aca="false">(Sens!D10754+Sens!E10754)/2*Sens!E10769/1000</f>
        <v>6.17783035277451</v>
      </c>
      <c r="F10770" s="6" t="n">
        <f aca="false">(Sens!E10754+Sens!F10754)/2*Sens!F10769/1000</f>
        <v>12.8742463089237</v>
      </c>
      <c r="G10770" s="6" t="n">
        <f aca="false">(Sens!F10754+Sens!G10754)/2*Sens!G10769/1000</f>
        <v>21.8182834646277</v>
      </c>
      <c r="H10770" s="6" t="n">
        <f aca="false">(Sens!G10754+Sens!H10754)/2*Sens!H10769/1000</f>
        <v>31.2430128789734</v>
      </c>
      <c r="I10770" s="6" t="n">
        <f aca="false">(Sens!H10754+Sens!I10754)/2*Sens!I10769/1000</f>
        <v>39.4313057443268</v>
      </c>
      <c r="J10770" s="6" t="n">
        <f aca="false">(Sens!I10754+Sens!J10754)/2*Sens!J10769/1000</f>
        <v>45.0360318228653</v>
      </c>
      <c r="K10770" s="6" t="n">
        <f aca="false">(Sens!J10754+Sens!K10754)/2*Sens!K10769/1000</f>
        <v>48.2929727091156</v>
      </c>
    </row>
    <row r="10771" customFormat="false" ht="17.15" hidden="false" customHeight="false" outlineLevel="0" collapsed="false">
      <c r="A10771" s="0" t="s">
        <v>985</v>
      </c>
      <c r="B10771" s="0" t="s">
        <v>98</v>
      </c>
      <c r="D10771" s="6" t="n">
        <f aca="false">(Sens!C10752+Sens!D10752)/2*rent_mw/1000</f>
        <v>2.44475</v>
      </c>
      <c r="E10771" s="6" t="n">
        <f aca="false">(Sens!D10752+Sens!E10752)/2*rent_mw/1000</f>
        <v>4.22275</v>
      </c>
      <c r="F10771" s="6" t="n">
        <f aca="false">(Sens!E10752+Sens!F10752)/2*rent_mw/1000</f>
        <v>5.80517</v>
      </c>
      <c r="G10771" s="6" t="n">
        <f aca="false">(Sens!F10752+Sens!G10752)/2*rent_mw/1000</f>
        <v>6.72084</v>
      </c>
      <c r="H10771" s="6" t="n">
        <f aca="false">(Sens!G10752+Sens!H10752)/2*rent_mw/1000</f>
        <v>6.72084</v>
      </c>
      <c r="I10771" s="6" t="n">
        <f aca="false">(Sens!H10752+Sens!I10752)/2*rent_mw/1000</f>
        <v>6.72084</v>
      </c>
      <c r="J10771" s="6" t="n">
        <f aca="false">(Sens!I10752+Sens!J10752)/2*rent_mw/1000</f>
        <v>6.72084</v>
      </c>
      <c r="K10771" s="6" t="n">
        <f aca="false">(Sens!J10752+Sens!K10752)/2*rent_mw/1000</f>
        <v>6.72084</v>
      </c>
    </row>
    <row r="10772" customFormat="false" ht="17.15" hidden="false" customHeight="false" outlineLevel="0" collapsed="false">
      <c r="A10772" s="0" t="s">
        <v>986</v>
      </c>
      <c r="B10772" s="0" t="s">
        <v>98</v>
      </c>
      <c r="D10772" s="6" t="n">
        <f aca="false">(Sens!C10754+Sens!D10754)/2*(1-self_build)*fac_rent/1000</f>
        <v>0.853242375631075</v>
      </c>
      <c r="E10772" s="6" t="n">
        <f aca="false">(Sens!D10754+Sens!E10754)/2*(1-self_build)*fac_rent/1000</f>
        <v>1.94955961408728</v>
      </c>
      <c r="F10772" s="6" t="n">
        <f aca="false">(Sens!E10754+Sens!F10754)/2*(1-self_build)*fac_rent/1000</f>
        <v>3.92914894476356</v>
      </c>
      <c r="G10772" s="6" t="n">
        <f aca="false">(Sens!F10754+Sens!G10754)/2*(1-self_build)*fac_rent/1000</f>
        <v>6.53206908578159</v>
      </c>
      <c r="H10772" s="6" t="n">
        <f aca="false">(Sens!G10754+Sens!H10754)/2*(1-self_build)*fac_rent/1000</f>
        <v>9.23717988341591</v>
      </c>
      <c r="I10772" s="6" t="n">
        <f aca="false">(Sens!H10754+Sens!I10754)/2*(1-self_build)*fac_rent/1000</f>
        <v>11.5481378557393</v>
      </c>
      <c r="J10772" s="6" t="n">
        <f aca="false">(Sens!I10754+Sens!J10754)/2*(1-self_build)*fac_rent/1000</f>
        <v>13.0899582289108</v>
      </c>
      <c r="K10772" s="6" t="n">
        <f aca="false">(Sens!J10754+Sens!K10754)/2*(1-self_build)*fac_rent/1000</f>
        <v>13.8897275626556</v>
      </c>
      <c r="L10772" s="12" t="s">
        <v>987</v>
      </c>
    </row>
    <row r="10773" customFormat="false" ht="17.15" hidden="false" customHeight="false" outlineLevel="0" collapsed="false">
      <c r="A10773" s="1" t="s">
        <v>988</v>
      </c>
      <c r="B10773" s="0" t="s">
        <v>168</v>
      </c>
      <c r="D10773" s="7" t="n">
        <f aca="false">(Sens!C10753+Sens!D10753)/(Sens!C10754+Sens!D10754)</f>
        <v>0.6</v>
      </c>
      <c r="E10773" s="7" t="n">
        <f aca="false">(Sens!D10753+Sens!E10753)/(Sens!D10754+Sens!E10754)</f>
        <v>0.6</v>
      </c>
      <c r="F10773" s="7" t="n">
        <f aca="false">(Sens!E10753+Sens!F10753)/(Sens!E10754+Sens!F10754)</f>
        <v>0.6</v>
      </c>
      <c r="G10773" s="7" t="n">
        <f aca="false">(Sens!F10753+Sens!G10753)/(Sens!F10754+Sens!G10754)</f>
        <v>0.6</v>
      </c>
      <c r="H10773" s="7" t="n">
        <f aca="false">(Sens!G10753+Sens!H10753)/(Sens!G10754+Sens!H10754)</f>
        <v>0.6</v>
      </c>
      <c r="I10773" s="7" t="n">
        <f aca="false">(Sens!H10753+Sens!I10753)/(Sens!H10754+Sens!I10754)</f>
        <v>0.6</v>
      </c>
      <c r="J10773" s="7" t="n">
        <f aca="false">(Sens!I10753+Sens!J10753)/(Sens!I10754+Sens!J10754)</f>
        <v>0.6</v>
      </c>
      <c r="K10773" s="7" t="n">
        <f aca="false">(Sens!J10753+Sens!K10753)/(Sens!J10754+Sens!K10754)</f>
        <v>0.6</v>
      </c>
    </row>
    <row r="10774" customFormat="false" ht="17.15" hidden="false" customHeight="false" outlineLevel="0" collapsed="false">
      <c r="A10774" s="0" t="s">
        <v>989</v>
      </c>
      <c r="B10774" s="0" t="s">
        <v>98</v>
      </c>
      <c r="D10774" s="6" t="n">
        <f aca="false">Sens!D10768-Sens!D10773*(Sens!D10770+Sens!D10772)-Sens!D10771</f>
        <v>8.35701406163072</v>
      </c>
      <c r="E10774" s="6" t="n">
        <f aca="false">Sens!E10768-Sens!E10773*(Sens!E10770+Sens!E10772)-Sens!E10771</f>
        <v>18.7103224860238</v>
      </c>
      <c r="F10774" s="6" t="n">
        <f aca="false">Sens!F10768-Sens!F10773*(Sens!F10770+Sens!F10772)-Sens!F10771</f>
        <v>35.0947222830189</v>
      </c>
      <c r="G10774" s="6" t="n">
        <f aca="false">Sens!G10768-Sens!G10773*(Sens!G10770+Sens!G10772)-Sens!G10771</f>
        <v>52.9609920712477</v>
      </c>
      <c r="H10774" s="6" t="n">
        <f aca="false">Sens!H10768-Sens!H10773*(Sens!H10770+Sens!H10772)-Sens!H10771</f>
        <v>66.4405822844005</v>
      </c>
      <c r="I10774" s="6" t="n">
        <f aca="false">Sens!I10768-Sens!I10773*(Sens!I10770+Sens!I10772)-Sens!I10771</f>
        <v>84.7749393938279</v>
      </c>
      <c r="J10774" s="6" t="n">
        <f aca="false">Sens!J10768-Sens!J10773*(Sens!J10770+Sens!J10772)-Sens!J10771</f>
        <v>97.6526264137382</v>
      </c>
      <c r="K10774" s="6" t="n">
        <f aca="false">Sens!K10768-Sens!K10773*(Sens!K10770+Sens!K10772)-Sens!K10771</f>
        <v>105.965358412527</v>
      </c>
    </row>
    <row r="10775" customFormat="false" ht="17.15" hidden="false" customHeight="false" outlineLevel="0" collapsed="false">
      <c r="A10775" s="1" t="s">
        <v>990</v>
      </c>
      <c r="B10775" s="0" t="s">
        <v>98</v>
      </c>
      <c r="D10775" s="6" t="n">
        <f aca="false">(1-Sens!D10773)*(Sens!D10770+Sens!D10772)</f>
        <v>1.42281025374069</v>
      </c>
      <c r="E10775" s="6" t="n">
        <f aca="false">(1-Sens!E10773)*(Sens!E10770+Sens!E10772)</f>
        <v>3.25095598674472</v>
      </c>
      <c r="F10775" s="6" t="n">
        <f aca="false">(1-Sens!F10773)*(Sens!F10770+Sens!F10772)</f>
        <v>6.72135810147489</v>
      </c>
      <c r="G10775" s="6" t="n">
        <f aca="false">(1-Sens!G10773)*(Sens!G10770+Sens!G10772)</f>
        <v>11.3401410201637</v>
      </c>
      <c r="H10775" s="6" t="n">
        <f aca="false">(1-Sens!H10773)*(Sens!H10770+Sens!H10772)</f>
        <v>16.1920771049557</v>
      </c>
      <c r="I10775" s="6" t="n">
        <f aca="false">(1-Sens!I10773)*(Sens!I10770+Sens!I10772)</f>
        <v>20.3917774400264</v>
      </c>
      <c r="J10775" s="6" t="n">
        <f aca="false">(1-Sens!J10773)*(Sens!J10770+Sens!J10772)</f>
        <v>23.2503960207104</v>
      </c>
      <c r="K10775" s="6" t="n">
        <f aca="false">(1-Sens!K10773)*(Sens!K10770+Sens!K10772)</f>
        <v>24.8730801087085</v>
      </c>
    </row>
    <row r="10776" customFormat="false" ht="17.15" hidden="false" customHeight="false" outlineLevel="0" collapsed="false">
      <c r="A10776" s="1" t="s">
        <v>991</v>
      </c>
      <c r="B10776" s="0" t="s">
        <v>417</v>
      </c>
      <c r="C10776" s="8" t="n">
        <f aca="false">cxit_open</f>
        <v>27.5918995</v>
      </c>
      <c r="D10776" s="8" t="n">
        <f aca="false">cxit_open</f>
        <v>27.5918995</v>
      </c>
      <c r="E10776" s="8" t="n">
        <f aca="false">cxit_open</f>
        <v>27.5918995</v>
      </c>
      <c r="F10776" s="8" t="n">
        <f aca="false">((a_g3_27-nonnv*a_mai)*tk_cxit_gb300+nonnv*a_mai*nv_hold_mai*tk_cxit_vr200+(1-a_g3_27)*tk_cxit_vr200)</f>
        <v>32.4975576</v>
      </c>
      <c r="G10776" s="8" t="n">
        <f aca="false">((a_g3_28-nonnv*a_mai)*tk_cxit_gb300+nonnv*a_mai*nv_hold_mai*tk_cxit_vr200+(1-a_g3_28)*tk_cxit_vr200)</f>
        <v>34.6372088</v>
      </c>
      <c r="H10776" s="8" t="n">
        <f aca="false">((a_g3_29-nonnv*a_mai)*tk_cxit_gb300+nonnv*a_mai*nv_hold_mai*tk_cxit_vr200+(1-a_g3_29)*tk_cxit_vr200)</f>
        <v>35.7070344</v>
      </c>
      <c r="I10776" s="8" t="n">
        <f aca="false">((a_g3_29-nonnv*a_mai)*tk_cxit_gb300+nonnv*a_mai*nv_hold_mai*tk_cxit_vr200+(1-a_g3_29)*tk_cxit_vr200)</f>
        <v>35.7070344</v>
      </c>
      <c r="J10776" s="8" t="n">
        <f aca="false">((a_g3_29-nonnv*a_mai)*tk_cxit_gb300+nonnv*a_mai*nv_hold_mai*tk_cxit_vr200+(1-a_g3_29)*tk_cxit_vr200)</f>
        <v>35.7070344</v>
      </c>
      <c r="K10776" s="8" t="n">
        <f aca="false">((a_g3_29-nonnv*a_mai)*tk_cxit_gb300+nonnv*a_mai*nv_hold_mai*tk_cxit_vr200+(1-a_g3_29)*tk_cxit_vr200)</f>
        <v>35.7070344</v>
      </c>
      <c r="L10776" s="12" t="s">
        <v>992</v>
      </c>
    </row>
    <row r="10777" customFormat="false" ht="17.15" hidden="false" customHeight="false" outlineLevel="0" collapsed="false">
      <c r="A10777" s="0" t="s">
        <v>993</v>
      </c>
      <c r="B10777" s="0" t="s">
        <v>459</v>
      </c>
      <c r="F10777" s="30" t="n">
        <f aca="false">Sens!C10756*IF(Sens!F10749-Sens!C10749=life_it,1,0)+Sens!D10756*IF(Sens!F10749-Sens!D10749=life_it,1,0)+Sens!E10756*IF(Sens!F10749-Sens!E10749=life_it,1,0)</f>
        <v>0</v>
      </c>
      <c r="G10777" s="30" t="n">
        <f aca="false">Sens!C10756*IF(Sens!G10749-Sens!C10749=life_it,1,0)+Sens!D10756*IF(Sens!G10749-Sens!D10749=life_it,1,0)+Sens!E10756*IF(Sens!G10749-Sens!E10749=life_it,1,0)+Sens!F10756*IF(Sens!G10749-Sens!F10749=life_it,1,0)</f>
        <v>0</v>
      </c>
      <c r="H10777" s="30" t="n">
        <f aca="false">Sens!C10756*IF(Sens!H10749-Sens!C10749=life_it,1,0)+Sens!D10756*IF(Sens!H10749-Sens!D10749=life_it,1,0)+Sens!E10756*IF(Sens!H10749-Sens!E10749=life_it,1,0)+Sens!F10756*IF(Sens!H10749-Sens!F10749=life_it,1,0)+Sens!G10756*IF(Sens!H10749-Sens!G10749=life_it,1,0)</f>
        <v>0</v>
      </c>
      <c r="I10777" s="30" t="n">
        <f aca="false">Sens!C10756*IF(Sens!I10749-Sens!C10749=life_it,1,0)+Sens!D10756*IF(Sens!I10749-Sens!D10749=life_it,1,0)+Sens!E10756*IF(Sens!I10749-Sens!E10749=life_it,1,0)+Sens!F10756*IF(Sens!I10749-Sens!F10749=life_it,1,0)+Sens!G10756*IF(Sens!I10749-Sens!G10749=life_it,1,0)+Sens!H10756*IF(Sens!I10749-Sens!H10749=life_it,1,0)</f>
        <v>816.666666666667</v>
      </c>
      <c r="J10777" s="30" t="n">
        <f aca="false">Sens!C10756*IF(Sens!J10749-Sens!C10749=life_it,1,0)+Sens!D10756*IF(Sens!J10749-Sens!D10749=life_it,1,0)+Sens!E10756*IF(Sens!J10749-Sens!E10749=life_it,1,0)+Sens!F10756*IF(Sens!J10749-Sens!F10749=life_it,1,0)+Sens!G10756*IF(Sens!J10749-Sens!G10749=life_it,1,0)+Sens!H10756*IF(Sens!J10749-Sens!H10749=life_it,1,0)+Sens!I10756*IF(Sens!J10749-Sens!I10749=life_it,1,0)</f>
        <v>1233.33333333333</v>
      </c>
      <c r="K10777" s="30" t="n">
        <f aca="false">Sens!C10756*IF(Sens!K10749-Sens!C10749=life_it,1,0)+Sens!D10756*IF(Sens!K10749-Sens!D10749=life_it,1,0)+Sens!E10756*IF(Sens!K10749-Sens!E10749=life_it,1,0)+Sens!F10756*IF(Sens!K10749-Sens!F10749=life_it,1,0)+Sens!G10756*IF(Sens!K10749-Sens!G10749=life_it,1,0)+Sens!H10756*IF(Sens!K10749-Sens!H10749=life_it,1,0)+Sens!I10756*IF(Sens!K10749-Sens!I10749=life_it,1,0)+Sens!J10756*IF(Sens!K10749-Sens!J10749=life_it,1,0)</f>
        <v>2450</v>
      </c>
      <c r="L10777" s="1" t="s">
        <v>994</v>
      </c>
    </row>
    <row r="10778" customFormat="false" ht="17.15" hidden="false" customHeight="false" outlineLevel="0" collapsed="false">
      <c r="A10778" s="0" t="s">
        <v>995</v>
      </c>
      <c r="B10778" s="0" t="s">
        <v>98</v>
      </c>
      <c r="C10778" s="6" t="n">
        <f aca="false">Sens!C10756*Sens!C10776/1000</f>
        <v>22.5333845916667</v>
      </c>
      <c r="D10778" s="6" t="n">
        <f aca="false">Sens!D10756*Sens!D10776/1000</f>
        <v>34.0300093833333</v>
      </c>
      <c r="E10778" s="6" t="n">
        <f aca="false">Sens!E10756*Sens!E10776/1000</f>
        <v>67.600153775</v>
      </c>
      <c r="F10778" s="6" t="n">
        <f aca="false">(Sens!F10756+Sens!F10777)*Sens!F10776/1000</f>
        <v>136.51872432512</v>
      </c>
      <c r="G10778" s="6" t="n">
        <f aca="false">(Sens!G10756+Sens!G10777)*Sens!G10776/1000</f>
        <v>157.399275932048</v>
      </c>
      <c r="H10778" s="6" t="n">
        <f aca="false">(Sens!H10756+Sens!H10777)*Sens!H10776/1000</f>
        <v>162.260804347512</v>
      </c>
      <c r="I10778" s="6" t="n">
        <f aca="false">(Sens!I10756+Sens!I10777)*Sens!I10776/1000</f>
        <v>144.136569485434</v>
      </c>
      <c r="J10778" s="6" t="n">
        <f aca="false">(Sens!J10756+Sens!J10777)*Sens!J10776/1000</f>
        <v>114.029037357864</v>
      </c>
      <c r="K10778" s="6" t="n">
        <f aca="false">(Sens!K10756+Sens!K10777)*Sens!K10776/1000</f>
        <v>113.437085350975</v>
      </c>
    </row>
    <row r="10779" customFormat="false" ht="17.15" hidden="false" customHeight="false" outlineLevel="0" collapsed="false">
      <c r="A10779" s="0" t="s">
        <v>996</v>
      </c>
      <c r="B10779" s="0" t="s">
        <v>98</v>
      </c>
      <c r="C10779" s="6" t="n">
        <f aca="false">Sens!C10756*self_build*tk_cxfac/1000</f>
        <v>6.2083</v>
      </c>
      <c r="D10779" s="6" t="n">
        <f aca="false">Sens!D10756*self_build*tk_cxfac/1000</f>
        <v>9.3758</v>
      </c>
      <c r="E10779" s="6" t="n">
        <f aca="false">Sens!E10756*self_build*tk_cxfac/1000</f>
        <v>18.6249</v>
      </c>
      <c r="F10779" s="6" t="n">
        <f aca="false">Sens!F10756*self_build*tk_cxfac/1000</f>
        <v>31.935179717</v>
      </c>
      <c r="G10779" s="6" t="n">
        <f aca="false">Sens!G10756*self_build*tk_cxfac/1000</f>
        <v>34.545199717</v>
      </c>
      <c r="H10779" s="6" t="n">
        <f aca="false">Sens!H10756*self_build*tk_cxfac/1000</f>
        <v>34.545199717</v>
      </c>
      <c r="I10779" s="6" t="n">
        <f aca="false">Sens!I10756*self_build*tk_cxfac/1000</f>
        <v>24.4782641361767</v>
      </c>
      <c r="J10779" s="6" t="n">
        <f aca="false">Sens!J10756*self_build*tk_cxfac/1000</f>
        <v>14.9008938380769</v>
      </c>
      <c r="K10779" s="6" t="n">
        <f aca="false">Sens!K10756*self_build*tk_cxfac/1000</f>
        <v>5.52576771375761</v>
      </c>
    </row>
    <row r="10780" customFormat="false" ht="17.15" hidden="false" customHeight="false" outlineLevel="0" collapsed="false">
      <c r="A10780" s="0" t="s">
        <v>997</v>
      </c>
      <c r="B10780" s="0" t="s">
        <v>98</v>
      </c>
      <c r="F10780" s="15" t="n">
        <f aca="false">capex_floor27-Sens!F10778-Sens!F10779-Sens!F10876</f>
        <v>-0.072405915421605</v>
      </c>
      <c r="L10780" s="12" t="s">
        <v>998</v>
      </c>
    </row>
    <row r="10781" customFormat="false" ht="17.15" hidden="false" customHeight="false" outlineLevel="0" collapsed="false">
      <c r="A10781" s="0" t="s">
        <v>999</v>
      </c>
      <c r="B10781" s="0" t="s">
        <v>98</v>
      </c>
      <c r="F10781" s="6" t="n">
        <f aca="false">MAX(0,Sens!F10780)</f>
        <v>0</v>
      </c>
    </row>
    <row r="10782" customFormat="false" ht="17.15" hidden="false" customHeight="false" outlineLevel="0" collapsed="false">
      <c r="A10782" s="0" t="s">
        <v>1000</v>
      </c>
      <c r="B10782" s="0" t="s">
        <v>98</v>
      </c>
      <c r="C10782" s="6" t="n">
        <f aca="false">Sens!C10778</f>
        <v>22.5333845916667</v>
      </c>
      <c r="D10782" s="6" t="n">
        <f aca="false">Sens!D10778</f>
        <v>34.0300093833333</v>
      </c>
      <c r="E10782" s="6" t="n">
        <f aca="false">Sens!E10778</f>
        <v>67.600153775</v>
      </c>
      <c r="F10782" s="6" t="n">
        <f aca="false">Sens!F10778</f>
        <v>136.51872432512</v>
      </c>
      <c r="G10782" s="6" t="n">
        <f aca="false">Sens!G10778</f>
        <v>157.399275932048</v>
      </c>
      <c r="H10782" s="6" t="n">
        <f aca="false">Sens!H10778</f>
        <v>162.260804347512</v>
      </c>
      <c r="I10782" s="6" t="n">
        <f aca="false">Sens!I10778</f>
        <v>144.136569485434</v>
      </c>
      <c r="J10782" s="6" t="n">
        <f aca="false">Sens!J10778</f>
        <v>114.029037357864</v>
      </c>
      <c r="K10782" s="6" t="n">
        <f aca="false">Sens!K10778</f>
        <v>113.437085350975</v>
      </c>
    </row>
    <row r="10783" customFormat="false" ht="17.15" hidden="false" customHeight="false" outlineLevel="0" collapsed="false">
      <c r="A10783" s="0" t="s">
        <v>1001</v>
      </c>
      <c r="B10783" s="0" t="s">
        <v>98</v>
      </c>
      <c r="C10783" s="6" t="n">
        <f aca="false">Sens!C10782+Sens!C10779</f>
        <v>28.7416845916667</v>
      </c>
      <c r="D10783" s="6" t="n">
        <f aca="false">Sens!D10782+Sens!D10779</f>
        <v>43.4058093833333</v>
      </c>
      <c r="E10783" s="6" t="n">
        <f aca="false">Sens!E10782+Sens!E10779</f>
        <v>86.225053775</v>
      </c>
      <c r="F10783" s="6" t="n">
        <f aca="false">Sens!F10782+Sens!F10779</f>
        <v>168.45390404212</v>
      </c>
      <c r="G10783" s="6" t="n">
        <f aca="false">Sens!G10782+Sens!G10779</f>
        <v>191.944475649048</v>
      </c>
      <c r="H10783" s="6" t="n">
        <f aca="false">Sens!H10782+Sens!H10779</f>
        <v>196.806004064512</v>
      </c>
      <c r="I10783" s="6" t="n">
        <f aca="false">Sens!I10782+Sens!I10779</f>
        <v>168.61483362161</v>
      </c>
      <c r="J10783" s="6" t="n">
        <f aca="false">Sens!J10782+Sens!J10779</f>
        <v>128.92993119594</v>
      </c>
      <c r="K10783" s="6" t="n">
        <f aca="false">Sens!K10782+Sens!K10779</f>
        <v>118.962853064733</v>
      </c>
      <c r="L10783" s="12" t="s">
        <v>1002</v>
      </c>
    </row>
    <row r="10784" customFormat="false" ht="17.15" hidden="false" customHeight="false" outlineLevel="0" collapsed="false">
      <c r="A10784" s="0" t="s">
        <v>1003</v>
      </c>
      <c r="B10784" s="0" t="s">
        <v>98</v>
      </c>
      <c r="E10784" s="6" t="n">
        <f aca="false">(Sens!C10782*IF(2&lt;life_it,1,IF(2=life_it,0.5,0))+Sens!D10782*IF(1&lt;life_it,1,IF(1=life_it,0.5,0))+Sens!E10782*0.5)/life_it</f>
        <v>15.0605784770833</v>
      </c>
      <c r="F10784" s="6" t="n">
        <f aca="false">(Sens!C10782*IF(3&lt;life_it,1,IF(3=life_it,0.5,0))+Sens!D10782*IF(2&lt;life_it,1,IF(2=life_it,0.5,0))+Sens!E10782*IF(1&lt;life_it,1,IF(1=life_it,0.5,0))+Sens!F10782*0.5)/life_it</f>
        <v>32.0704849854266</v>
      </c>
      <c r="G10784" s="6" t="n">
        <f aca="false">(Sens!C10782*IF(4&lt;life_it,1,IF(4=life_it,0.5,0))+Sens!D10782*IF(3&lt;life_it,1,IF(3=life_it,0.5,0))+Sens!E10782*IF(2&lt;life_it,1,IF(2=life_it,0.5,0))+Sens!F10782*IF(1&lt;life_it,1,IF(1=life_it,0.5,0))+Sens!G10782*0.5)/life_it</f>
        <v>56.5636516735239</v>
      </c>
      <c r="H10784" s="6" t="n">
        <f aca="false">(Sens!C10782*IF(5&lt;life_it,1,IF(5=life_it,0.5,0))+Sens!D10782*IF(4&lt;life_it,1,IF(4=life_it,0.5,0))+Sens!E10782*IF(3&lt;life_it,1,IF(3=life_it,0.5,0))+Sens!F10782*IF(2&lt;life_it,1,IF(2=life_it,0.5,0))+Sens!G10782*IF(1&lt;life_it,1,IF(1=life_it,0.5,0))+Sens!H10782*0.5)/life_it</f>
        <v>83.2019916968207</v>
      </c>
      <c r="I10784" s="6" t="n">
        <f aca="false">(Sens!C10782*IF(6&lt;life_it,1,IF(6=life_it,0.5,0))+Sens!D10782*IF(5&lt;life_it,1,IF(5=life_it,0.5,0))+Sens!E10782*IF(4&lt;life_it,1,IF(4=life_it,0.5,0))+Sens!F10782*IF(3&lt;life_it,1,IF(3=life_it,0.5,0))+Sens!G10782*IF(2&lt;life_it,1,IF(2=life_it,0.5,0))+Sens!H10782*IF(1&lt;life_it,1,IF(1=life_it,0.5,0))+Sens!I10782*0.5)/life_it</f>
        <v>106.857324133594</v>
      </c>
      <c r="J10784" s="6" t="n">
        <f aca="false">(Sens!C10782*IF(7&lt;life_it,1,IF(7=life_it,0.5,0))+Sens!D10782*IF(6&lt;life_it,1,IF(6=life_it,0.5,0))+Sens!E10782*IF(5&lt;life_it,1,IF(5=life_it,0.5,0))+Sens!F10782*IF(4&lt;life_it,1,IF(4=life_it,0.5,0))+Sens!G10782*IF(3&lt;life_it,1,IF(3=life_it,0.5,0))+Sens!H10782*IF(2&lt;life_it,1,IF(2=life_it,0.5,0))+Sens!I10782*IF(1&lt;life_it,1,IF(1=life_it,0.5,0))+Sens!J10782*0.5)/life_it</f>
        <v>123.657508539285</v>
      </c>
      <c r="K10784" s="6" t="n">
        <f aca="false">(Sens!C10782*IF(8&lt;life_it,1,IF(8=life_it,0.5,0))+Sens!D10782*IF(7&lt;life_it,1,IF(7=life_it,0.5,0))+Sens!E10782*IF(6&lt;life_it,1,IF(6=life_it,0.5,0))+Sens!F10782*IF(5&lt;life_it,1,IF(5=life_it,0.5,0))+Sens!G10782*IF(4&lt;life_it,1,IF(4=life_it,0.5,0))+Sens!H10782*IF(3&lt;life_it,1,IF(3=life_it,0.5,0))+Sens!I10782*IF(2&lt;life_it,1,IF(2=life_it,0.5,0))+Sens!J10782*IF(1&lt;life_it,1,IF(1=life_it,0.5,0))+Sens!K10782*0.5)/life_it</f>
        <v>134.143838501827</v>
      </c>
    </row>
    <row r="10785" customFormat="false" ht="17.15" hidden="false" customHeight="false" outlineLevel="0" collapsed="false">
      <c r="A10785" s="0" t="s">
        <v>1004</v>
      </c>
      <c r="B10785" s="0" t="s">
        <v>98</v>
      </c>
      <c r="E10785" s="6" t="n">
        <f aca="false">(Sens!C10779*IF(2&lt;life_fac,1,IF(2=life_fac,0.5,0))+Sens!D10779*IF(1&lt;life_fac,1,IF(1=life_fac,0.5,0))+Sens!E10779*0.5)/life_fac</f>
        <v>1.2448275</v>
      </c>
      <c r="F10785" s="6" t="n">
        <f aca="false">(Sens!C10779*IF(3&lt;life_fac,1,IF(3=life_fac,0.5,0))+Sens!D10779*IF(2&lt;life_fac,1,IF(2=life_fac,0.5,0))+Sens!E10779*IF(1&lt;life_fac,1,IF(1=life_fac,0.5,0))+Sens!F10779*0.5)/life_fac</f>
        <v>2.508829492925</v>
      </c>
      <c r="G10785" s="6" t="n">
        <f aca="false">(Sens!C10779*IF(4&lt;life_fac,1,IF(4=life_fac,0.5,0))+Sens!D10779*IF(3&lt;life_fac,1,IF(3=life_fac,0.5,0))+Sens!E10779*IF(2&lt;life_fac,1,IF(2=life_fac,0.5,0))+Sens!F10779*IF(1&lt;life_fac,1,IF(1=life_fac,0.5,0))+Sens!G10779*0.5)/life_fac</f>
        <v>4.170838978775</v>
      </c>
      <c r="H10785" s="6" t="n">
        <f aca="false">(Sens!C10779*IF(5&lt;life_fac,1,IF(5=life_fac,0.5,0))+Sens!D10779*IF(4&lt;life_fac,1,IF(4=life_fac,0.5,0))+Sens!E10779*IF(3&lt;life_fac,1,IF(3=life_fac,0.5,0))+Sens!F10779*IF(2&lt;life_fac,1,IF(2=life_fac,0.5,0))+Sens!G10779*IF(1&lt;life_fac,1,IF(1=life_fac,0.5,0))+Sens!H10779*0.5)/life_fac</f>
        <v>5.898098964625</v>
      </c>
      <c r="I10785" s="6" t="n">
        <f aca="false">(Sens!C10779*IF(6&lt;life_fac,1,IF(6=life_fac,0.5,0))+Sens!D10779*IF(5&lt;life_fac,1,IF(5=life_fac,0.5,0))+Sens!E10779*IF(4&lt;life_fac,1,IF(4=life_fac,0.5,0))+Sens!F10779*IF(3&lt;life_fac,1,IF(3=life_fac,0.5,0))+Sens!G10779*IF(2&lt;life_fac,1,IF(2=life_fac,0.5,0))+Sens!H10779*IF(1&lt;life_fac,1,IF(1=life_fac,0.5,0))+Sens!I10779*0.5)/life_fac</f>
        <v>7.37368556095442</v>
      </c>
      <c r="J10785" s="6" t="n">
        <f aca="false">(Sens!C10779*IF(7&lt;life_fac,1,IF(7=life_fac,0.5,0))+Sens!D10779*IF(6&lt;life_fac,1,IF(6=life_fac,0.5,0))+Sens!E10779*IF(5&lt;life_fac,1,IF(5=life_fac,0.5,0))+Sens!F10779*IF(4&lt;life_fac,1,IF(4=life_fac,0.5,0))+Sens!G10779*IF(3&lt;life_fac,1,IF(3=life_fac,0.5,0))+Sens!H10779*IF(2&lt;life_fac,1,IF(2=life_fac,0.5,0))+Sens!I10779*IF(1&lt;life_fac,1,IF(1=life_fac,0.5,0))+Sens!J10779*0.5)/life_fac</f>
        <v>8.35816451031075</v>
      </c>
      <c r="K10785" s="6" t="n">
        <f aca="false">(Sens!C10779*IF(8&lt;life_fac,1,IF(8=life_fac,0.5,0))+Sens!D10779*IF(7&lt;life_fac,1,IF(7=life_fac,0.5,0))+Sens!E10779*IF(6&lt;life_fac,1,IF(6=life_fac,0.5,0))+Sens!F10779*IF(5&lt;life_fac,1,IF(5=life_fac,0.5,0))+Sens!G10779*IF(4&lt;life_fac,1,IF(4=life_fac,0.5,0))+Sens!H10779*IF(3&lt;life_fac,1,IF(3=life_fac,0.5,0))+Sens!I10779*IF(2&lt;life_fac,1,IF(2=life_fac,0.5,0))+Sens!J10779*IF(1&lt;life_fac,1,IF(1=life_fac,0.5,0))+Sens!K10779*0.5)/life_fac</f>
        <v>8.86883104910662</v>
      </c>
    </row>
    <row r="10786" customFormat="false" ht="17.15" hidden="false" customHeight="false" outlineLevel="0" collapsed="false">
      <c r="A10786" s="0" t="s">
        <v>1005</v>
      </c>
      <c r="B10786" s="0" t="s">
        <v>98</v>
      </c>
      <c r="E10786" s="6" t="n">
        <f aca="false">Sens!E10784+Sens!E10785</f>
        <v>16.3054059770833</v>
      </c>
      <c r="F10786" s="6" t="n">
        <f aca="false">Sens!F10784+Sens!F10785</f>
        <v>34.5793144783516</v>
      </c>
      <c r="G10786" s="6" t="n">
        <f aca="false">Sens!G10784+Sens!G10785</f>
        <v>60.7344906522989</v>
      </c>
      <c r="H10786" s="6" t="n">
        <f aca="false">Sens!H10784+Sens!H10785</f>
        <v>89.1000906614457</v>
      </c>
      <c r="I10786" s="6" t="n">
        <f aca="false">Sens!I10784+Sens!I10785</f>
        <v>114.231009694548</v>
      </c>
      <c r="J10786" s="6" t="n">
        <f aca="false">Sens!J10784+Sens!J10785</f>
        <v>132.015673049596</v>
      </c>
      <c r="K10786" s="6" t="n">
        <f aca="false">Sens!K10784+Sens!K10785</f>
        <v>143.012669550934</v>
      </c>
    </row>
    <row r="10787" customFormat="false" ht="17.15" hidden="false" customHeight="false" outlineLevel="0" collapsed="false">
      <c r="A10787" s="0" t="s">
        <v>1006</v>
      </c>
      <c r="B10787" s="0" t="s">
        <v>98</v>
      </c>
      <c r="E10787" s="6" t="n">
        <f aca="false">Sens!E10774-Sens!E10773*Sens!E10786</f>
        <v>8.92707889977379</v>
      </c>
      <c r="F10787" s="6" t="n">
        <f aca="false">Sens!F10774-Sens!F10773*Sens!F10786</f>
        <v>14.3471335960079</v>
      </c>
      <c r="G10787" s="6" t="n">
        <f aca="false">Sens!G10774-Sens!G10773*Sens!G10786</f>
        <v>16.5202976798683</v>
      </c>
      <c r="H10787" s="6" t="n">
        <f aca="false">Sens!H10774-Sens!H10773*Sens!H10786</f>
        <v>12.9805278875331</v>
      </c>
      <c r="I10787" s="6" t="n">
        <f aca="false">Sens!I10774-Sens!I10773*Sens!I10786</f>
        <v>16.2363335770989</v>
      </c>
      <c r="J10787" s="6" t="n">
        <f aca="false">Sens!J10774-Sens!J10773*Sens!J10786</f>
        <v>18.4432225839805</v>
      </c>
      <c r="K10787" s="6" t="n">
        <f aca="false">Sens!K10774-Sens!K10773*Sens!K10786</f>
        <v>20.1577566819661</v>
      </c>
    </row>
    <row r="10788" customFormat="false" ht="17.15" hidden="false" customHeight="false" outlineLevel="0" collapsed="false">
      <c r="A10788" s="3" t="s">
        <v>1881</v>
      </c>
    </row>
    <row r="10789" customFormat="false" ht="15" hidden="false" customHeight="false" outlineLevel="0" collapsed="false">
      <c r="A10789" s="4" t="s">
        <v>43</v>
      </c>
      <c r="B10789" s="4" t="s">
        <v>65</v>
      </c>
      <c r="C10789" s="23" t="s">
        <v>942</v>
      </c>
      <c r="D10789" s="23" t="s">
        <v>943</v>
      </c>
      <c r="E10789" s="23" t="s">
        <v>944</v>
      </c>
      <c r="F10789" s="23" t="s">
        <v>945</v>
      </c>
      <c r="G10789" s="23" t="s">
        <v>946</v>
      </c>
      <c r="H10789" s="23" t="s">
        <v>947</v>
      </c>
      <c r="I10789" s="23" t="s">
        <v>948</v>
      </c>
      <c r="J10789" s="23" t="s">
        <v>949</v>
      </c>
      <c r="K10789" s="23" t="s">
        <v>950</v>
      </c>
      <c r="L10789" s="4" t="s">
        <v>47</v>
      </c>
    </row>
    <row r="10790" customFormat="false" ht="17.15" hidden="false" customHeight="false" outlineLevel="0" collapsed="false">
      <c r="A10790" s="0" t="s">
        <v>1025</v>
      </c>
      <c r="B10790" s="0" t="s">
        <v>98</v>
      </c>
      <c r="D10790" s="6" t="n">
        <f aca="false">Sens!D10768</f>
        <v>12.9359794422418</v>
      </c>
      <c r="E10790" s="6" t="n">
        <f aca="false">Sens!E10768</f>
        <v>27.8095064661409</v>
      </c>
      <c r="F10790" s="6" t="n">
        <f aca="false">Sens!F10768</f>
        <v>50.9819294352312</v>
      </c>
      <c r="G10790" s="6" t="n">
        <f aca="false">Sens!G10768</f>
        <v>76.6920436014933</v>
      </c>
      <c r="H10790" s="6" t="n">
        <f aca="false">Sens!H10768</f>
        <v>97.4495379418341</v>
      </c>
      <c r="I10790" s="6" t="n">
        <f aca="false">Sens!I10768</f>
        <v>122.083445553868</v>
      </c>
      <c r="J10790" s="6" t="n">
        <f aca="false">Sens!J10768</f>
        <v>139.249060444804</v>
      </c>
      <c r="K10790" s="6" t="n">
        <f aca="false">Sens!K10768</f>
        <v>149.995818575589</v>
      </c>
    </row>
    <row r="10791" customFormat="false" ht="17.15" hidden="false" customHeight="false" outlineLevel="0" collapsed="false">
      <c r="A10791" s="0" t="s">
        <v>1026</v>
      </c>
      <c r="B10791" s="0" t="s">
        <v>98</v>
      </c>
      <c r="D10791" s="6" t="n">
        <f aca="false">Q!L6-Sens!D10790</f>
        <v>59.6740205577583</v>
      </c>
      <c r="E10791" s="6" t="n">
        <f aca="false">Q!M6-Sens!E10790</f>
        <v>74.1284935338591</v>
      </c>
      <c r="F10791" s="6" t="n">
        <f aca="false">Q!$I$6+(Sens!F10790+Sens!E10791*(1+Sens!F10792))*(1-Q!$E$6/Q!M6)-Sens!F10790</f>
        <v>92.2699541184664</v>
      </c>
      <c r="G10791" s="6" t="n">
        <f aca="false">Sens!F10791*(1+Sens!G10792)</f>
        <v>109.630477277949</v>
      </c>
      <c r="H10791" s="6" t="n">
        <f aca="false">Sens!G10791*(1+Sens!H10792)</f>
        <v>127.293256321956</v>
      </c>
      <c r="I10791" s="6" t="n">
        <f aca="false">Sens!H10791*(1+Sens!I10792)</f>
        <v>144.360052269491</v>
      </c>
      <c r="J10791" s="6" t="n">
        <f aca="false">Sens!I10791*(1+Sens!J10792)</f>
        <v>159.811964490216</v>
      </c>
      <c r="K10791" s="6" t="n">
        <f aca="false">Sens!J10791*(1+Sens!K10792)</f>
        <v>172.596921649434</v>
      </c>
      <c r="L10791" s="12" t="s">
        <v>1027</v>
      </c>
    </row>
    <row r="10792" customFormat="false" ht="15" hidden="false" customHeight="false" outlineLevel="0" collapsed="false">
      <c r="A10792" s="1" t="s">
        <v>1028</v>
      </c>
      <c r="B10792" s="0" t="s">
        <v>168</v>
      </c>
      <c r="E10792" s="7" t="n">
        <f aca="false">Sens!E10791/Sens!D10791-1</f>
        <v>0.242223883039864</v>
      </c>
      <c r="F10792" s="7" t="n">
        <f aca="false">Sens!$E$10792+(glt_azo-Sens!$E$10792)*MIN(1,(Sens!F10749-base_fy)/n_conv)</f>
        <v>0.215186569199887</v>
      </c>
      <c r="G10792" s="7" t="n">
        <f aca="false">Sens!$E$10792+(glt_azo-Sens!$E$10792)*MIN(1,(Sens!G10749-base_fy)/n_conv)</f>
        <v>0.18814925535991</v>
      </c>
      <c r="H10792" s="7" t="n">
        <f aca="false">Sens!$E$10792+(glt_azo-Sens!$E$10792)*MIN(1,(Sens!H10749-base_fy)/n_conv)</f>
        <v>0.161111941519932</v>
      </c>
      <c r="I10792" s="7" t="n">
        <f aca="false">Sens!$E$10792+(glt_azo-Sens!$E$10792)*MIN(1,(Sens!I10749-base_fy)/n_conv)</f>
        <v>0.134074627679955</v>
      </c>
      <c r="J10792" s="7" t="n">
        <f aca="false">Sens!$E$10792+(glt_azo-Sens!$E$10792)*MIN(1,(Sens!J10749-base_fy)/n_conv)</f>
        <v>0.107037313839977</v>
      </c>
      <c r="K10792" s="7" t="n">
        <f aca="false">Sens!$E$10792+(glt_azo-Sens!$E$10792)*MIN(1,(Sens!K10749-base_fy)/n_conv)</f>
        <v>0.08</v>
      </c>
    </row>
    <row r="10793" customFormat="false" ht="15" hidden="false" customHeight="false" outlineLevel="0" collapsed="false">
      <c r="A10793" s="0" t="s">
        <v>1029</v>
      </c>
      <c r="B10793" s="0" t="s">
        <v>98</v>
      </c>
      <c r="D10793" s="6" t="n">
        <f aca="false">Sens!D10790+Sens!D10791</f>
        <v>72.61</v>
      </c>
      <c r="E10793" s="6" t="n">
        <f aca="false">Sens!E10790+Sens!E10791</f>
        <v>101.938</v>
      </c>
      <c r="F10793" s="6" t="n">
        <f aca="false">Sens!F10790+Sens!F10791</f>
        <v>143.251883553698</v>
      </c>
      <c r="G10793" s="6" t="n">
        <f aca="false">Sens!G10790+Sens!G10791</f>
        <v>186.322520879442</v>
      </c>
      <c r="H10793" s="6" t="n">
        <f aca="false">Sens!H10790+Sens!H10791</f>
        <v>224.74279426379</v>
      </c>
      <c r="I10793" s="6" t="n">
        <f aca="false">Sens!I10790+Sens!I10791</f>
        <v>266.443497823359</v>
      </c>
      <c r="J10793" s="6" t="n">
        <f aca="false">Sens!J10790+Sens!J10791</f>
        <v>299.06102493502</v>
      </c>
      <c r="K10793" s="6" t="n">
        <f aca="false">Sens!K10790+Sens!K10791</f>
        <v>322.592740225023</v>
      </c>
    </row>
    <row r="10794" customFormat="false" ht="17.15" hidden="false" customHeight="false" outlineLevel="0" collapsed="false">
      <c r="A10794" s="0" t="s">
        <v>1030</v>
      </c>
      <c r="B10794" s="1" t="s">
        <v>613</v>
      </c>
      <c r="C10794" s="30" t="n">
        <f aca="false">cop_s24</f>
        <v>1</v>
      </c>
      <c r="D10794" s="30" t="n">
        <f aca="false">cop_s25</f>
        <v>5</v>
      </c>
      <c r="E10794" s="30" t="n">
        <f aca="false">cop_s26</f>
        <v>30</v>
      </c>
      <c r="F10794" s="30" t="n">
        <f aca="false">Sens!E10794+cop_add_C</f>
        <v>40</v>
      </c>
      <c r="G10794" s="30" t="n">
        <f aca="false">Sens!F10794+cop_add_C</f>
        <v>50</v>
      </c>
      <c r="H10794" s="30" t="n">
        <f aca="false">Sens!G10794+cop_add_C</f>
        <v>60</v>
      </c>
      <c r="I10794" s="30" t="n">
        <f aca="false">Sens!H10794+cop_add_C*cop_tail</f>
        <v>65</v>
      </c>
      <c r="J10794" s="30" t="n">
        <f aca="false">Sens!I10794+cop_add_C*cop_tail</f>
        <v>70</v>
      </c>
      <c r="K10794" s="30" t="n">
        <f aca="false">Sens!J10794+cop_add_C*cop_tail</f>
        <v>75</v>
      </c>
      <c r="L10794" s="12" t="s">
        <v>1031</v>
      </c>
    </row>
    <row r="10795" customFormat="false" ht="17.15" hidden="false" customHeight="false" outlineLevel="0" collapsed="false">
      <c r="A10795" s="0" t="s">
        <v>1032</v>
      </c>
      <c r="B10795" s="0" t="s">
        <v>98</v>
      </c>
      <c r="D10795" s="6" t="n">
        <f aca="false">(Sens!C10794+Sens!D10794)/2*cop_px*12/1000</f>
        <v>0.9</v>
      </c>
      <c r="E10795" s="6" t="n">
        <f aca="false">(Sens!D10794+Sens!E10794)/2*cop_px*12/1000</f>
        <v>5.25</v>
      </c>
      <c r="F10795" s="6" t="n">
        <f aca="false">(Sens!E10794+Sens!F10794)/2*cop_px*12/1000</f>
        <v>10.5</v>
      </c>
      <c r="G10795" s="6" t="n">
        <f aca="false">(Sens!F10794+Sens!G10794)/2*cop_px*12/1000</f>
        <v>13.5</v>
      </c>
      <c r="H10795" s="6" t="n">
        <f aca="false">(Sens!G10794+Sens!H10794)/2*cop_px*12/1000</f>
        <v>16.5</v>
      </c>
      <c r="I10795" s="6" t="n">
        <f aca="false">(Sens!H10794+Sens!I10794)/2*cop_px*12/1000</f>
        <v>18.75</v>
      </c>
      <c r="J10795" s="6" t="n">
        <f aca="false">(Sens!I10794+Sens!J10794)/2*cop_px*12/1000</f>
        <v>20.25</v>
      </c>
      <c r="K10795" s="6" t="n">
        <f aca="false">(Sens!J10794+Sens!K10794)/2*cop_px*12/1000</f>
        <v>21.75</v>
      </c>
      <c r="L10795" s="1" t="s">
        <v>1033</v>
      </c>
    </row>
    <row r="10796" customFormat="false" ht="17.15" hidden="false" customHeight="false" outlineLevel="0" collapsed="false">
      <c r="A10796" s="0" t="s">
        <v>1034</v>
      </c>
      <c r="B10796" s="0" t="s">
        <v>98</v>
      </c>
      <c r="D10796" s="6" t="n">
        <f aca="false">Q!L7-Sens!D10795</f>
        <v>83.705</v>
      </c>
      <c r="E10796" s="6" t="n">
        <f aca="false">Q!M7-Sens!E10795</f>
        <v>95.049</v>
      </c>
      <c r="F10796" s="6" t="n">
        <f aca="false">Q!$I$7+(Sens!E10796*(1+Sens!F10797)+Sens!F10795)*(1-Q!$E$7/Q!M7)-Sens!F10795</f>
        <v>106.938354189776</v>
      </c>
      <c r="G10796" s="6" t="n">
        <f aca="false">Sens!F10796*(1+Sens!G10797)</f>
        <v>119.095360443801</v>
      </c>
      <c r="H10796" s="6" t="n">
        <f aca="false">Sens!G10796*(1+Sens!H10797)</f>
        <v>131.333811964563</v>
      </c>
      <c r="I10796" s="6" t="n">
        <f aca="false">Sens!H10796*(1+Sens!I10797)</f>
        <v>143.395665319381</v>
      </c>
      <c r="J10796" s="6" t="n">
        <f aca="false">Sens!I10796*(1+Sens!J10797)</f>
        <v>154.999327755573</v>
      </c>
      <c r="K10796" s="6" t="n">
        <f aca="false">Sens!J10796*(1+Sens!K10797)</f>
        <v>165.849280698463</v>
      </c>
      <c r="L10796" s="12" t="s">
        <v>1035</v>
      </c>
    </row>
    <row r="10797" customFormat="false" ht="15" hidden="false" customHeight="false" outlineLevel="0" collapsed="false">
      <c r="A10797" s="1" t="s">
        <v>1028</v>
      </c>
      <c r="B10797" s="0" t="s">
        <v>168</v>
      </c>
      <c r="E10797" s="7" t="n">
        <f aca="false">Sens!E10796/Sens!D10796-1</f>
        <v>0.135523564900544</v>
      </c>
      <c r="F10797" s="7" t="n">
        <f aca="false">Sens!$E$10797+(glt_m365b-Sens!$E$10797)*MIN(1,(Sens!F10749-base_fy)/n_conv)</f>
        <v>0.124602970750453</v>
      </c>
      <c r="G10797" s="7" t="n">
        <f aca="false">Sens!$E$10797+(glt_m365b-Sens!$E$10797)*MIN(1,(Sens!G10749-base_fy)/n_conv)</f>
        <v>0.113682376600363</v>
      </c>
      <c r="H10797" s="7" t="n">
        <f aca="false">Sens!$E$10797+(glt_m365b-Sens!$E$10797)*MIN(1,(Sens!H10749-base_fy)/n_conv)</f>
        <v>0.102761782450272</v>
      </c>
      <c r="I10797" s="7" t="n">
        <f aca="false">Sens!$E$10797+(glt_m365b-Sens!$E$10797)*MIN(1,(Sens!I10749-base_fy)/n_conv)</f>
        <v>0.0918411883001813</v>
      </c>
      <c r="J10797" s="7" t="n">
        <f aca="false">Sens!$E$10797+(glt_m365b-Sens!$E$10797)*MIN(1,(Sens!J10749-base_fy)/n_conv)</f>
        <v>0.0809205941500906</v>
      </c>
      <c r="K10797" s="7" t="n">
        <f aca="false">Sens!$E$10797+(glt_m365b-Sens!$E$10797)*MIN(1,(Sens!K10749-base_fy)/n_conv)</f>
        <v>0.07</v>
      </c>
    </row>
    <row r="10798" customFormat="false" ht="15" hidden="false" customHeight="false" outlineLevel="0" collapsed="false">
      <c r="A10798" s="0" t="s">
        <v>1036</v>
      </c>
      <c r="B10798" s="0" t="s">
        <v>98</v>
      </c>
      <c r="D10798" s="6" t="n">
        <f aca="false">Sens!D10796+Sens!D10795</f>
        <v>84.605</v>
      </c>
      <c r="E10798" s="6" t="n">
        <f aca="false">Sens!E10796+Sens!E10795</f>
        <v>100.299</v>
      </c>
      <c r="F10798" s="6" t="n">
        <f aca="false">Sens!F10796+Sens!F10795</f>
        <v>117.438354189776</v>
      </c>
      <c r="G10798" s="6" t="n">
        <f aca="false">Sens!G10796+Sens!G10795</f>
        <v>132.595360443801</v>
      </c>
      <c r="H10798" s="6" t="n">
        <f aca="false">Sens!H10796+Sens!H10795</f>
        <v>147.833811964563</v>
      </c>
      <c r="I10798" s="6" t="n">
        <f aca="false">Sens!I10796+Sens!I10795</f>
        <v>162.145665319381</v>
      </c>
      <c r="J10798" s="6" t="n">
        <f aca="false">Sens!J10796+Sens!J10795</f>
        <v>175.249327755573</v>
      </c>
      <c r="K10798" s="6" t="n">
        <f aca="false">Sens!K10796+Sens!K10795</f>
        <v>187.599280698463</v>
      </c>
    </row>
    <row r="10799" customFormat="false" ht="17.15" hidden="false" customHeight="false" outlineLevel="0" collapsed="false">
      <c r="A10799" s="0" t="s">
        <v>1037</v>
      </c>
      <c r="B10799" s="0" t="s">
        <v>98</v>
      </c>
      <c r="D10799" s="6" t="n">
        <f aca="false">Q!L8</f>
        <v>35.391</v>
      </c>
      <c r="E10799" s="6" t="n">
        <f aca="false">Q!M8</f>
        <v>37.285</v>
      </c>
      <c r="F10799" s="6" t="n">
        <f aca="false">Q!$I$8+(Q!M8-Q!$E$8)*(1+Sens!F10800)</f>
        <v>38.3851437782675</v>
      </c>
      <c r="G10799" s="6" t="n">
        <f aca="false">Sens!F10799*(1+Sens!G10800)</f>
        <v>40.0105353288615</v>
      </c>
      <c r="H10799" s="6" t="n">
        <f aca="false">Sens!G10799*(1+Sens!H10800)</f>
        <v>41.4812512033683</v>
      </c>
      <c r="I10799" s="6" t="n">
        <f aca="false">Sens!H10799*(1+Sens!I10800)</f>
        <v>42.7743107216329</v>
      </c>
      <c r="J10799" s="6" t="n">
        <f aca="false">Sens!I10799*(1+Sens!J10800)</f>
        <v>43.8687373064601</v>
      </c>
      <c r="K10799" s="6" t="n">
        <f aca="false">Sens!J10799*(1+Sens!K10800)</f>
        <v>44.7461120525893</v>
      </c>
      <c r="L10799" s="12" t="s">
        <v>1038</v>
      </c>
    </row>
    <row r="10800" customFormat="false" ht="15" hidden="false" customHeight="false" outlineLevel="0" collapsed="false">
      <c r="A10800" s="1" t="s">
        <v>1028</v>
      </c>
      <c r="B10800" s="0" t="s">
        <v>168</v>
      </c>
      <c r="E10800" s="7" t="n">
        <f aca="false">Sens!E10799/Sens!D10799-1</f>
        <v>0.0535164307309768</v>
      </c>
      <c r="F10800" s="7" t="n">
        <f aca="false">Sens!$E$10800+(glt_lic-Sens!$E$10800)*MIN(1,(Sens!F10749-base_fy)/n_conv)</f>
        <v>0.0479303589424807</v>
      </c>
      <c r="G10800" s="7" t="n">
        <f aca="false">Sens!$E$10800+(glt_lic-Sens!$E$10800)*MIN(1,(Sens!G10749-base_fy)/n_conv)</f>
        <v>0.0423442871539845</v>
      </c>
      <c r="H10800" s="7" t="n">
        <f aca="false">Sens!$E$10800+(glt_lic-Sens!$E$10800)*MIN(1,(Sens!H10749-base_fy)/n_conv)</f>
        <v>0.0367582153654884</v>
      </c>
      <c r="I10800" s="7" t="n">
        <f aca="false">Sens!$E$10800+(glt_lic-Sens!$E$10800)*MIN(1,(Sens!I10749-base_fy)/n_conv)</f>
        <v>0.0311721435769923</v>
      </c>
      <c r="J10800" s="7" t="n">
        <f aca="false">Sens!$E$10800+(glt_lic-Sens!$E$10800)*MIN(1,(Sens!J10749-base_fy)/n_conv)</f>
        <v>0.0255860717884961</v>
      </c>
      <c r="K10800" s="7" t="n">
        <f aca="false">Sens!$E$10800+(glt_lic-Sens!$E$10800)*MIN(1,(Sens!K10749-base_fy)/n_conv)</f>
        <v>0.02</v>
      </c>
    </row>
    <row r="10801" customFormat="false" ht="17.15" hidden="false" customHeight="false" outlineLevel="0" collapsed="false">
      <c r="A10801" s="0" t="s">
        <v>1039</v>
      </c>
      <c r="B10801" s="0" t="s">
        <v>98</v>
      </c>
      <c r="D10801" s="6" t="n">
        <f aca="false">Q!L9</f>
        <v>18.417</v>
      </c>
      <c r="E10801" s="6" t="n">
        <f aca="false">Q!M9</f>
        <v>20.345</v>
      </c>
      <c r="F10801" s="6" t="n">
        <f aca="false">Q!$I$9+(Q!M9-Q!$E$9)*(1+Sens!F10802)</f>
        <v>22.3161797133988</v>
      </c>
      <c r="G10801" s="6" t="n">
        <f aca="false">Sens!F10801*(1+Sens!G10802)</f>
        <v>24.3943499673233</v>
      </c>
      <c r="H10801" s="6" t="n">
        <f aca="false">Sens!G10801*(1+Sens!H10802)</f>
        <v>26.5250243109019</v>
      </c>
      <c r="I10801" s="6" t="n">
        <f aca="false">Sens!H10801*(1+Sens!I10802)</f>
        <v>28.6884573538181</v>
      </c>
      <c r="J10801" s="6" t="n">
        <f aca="false">Sens!I10801*(1+Sens!J10802)</f>
        <v>30.8624968052127</v>
      </c>
      <c r="K10801" s="6" t="n">
        <f aca="false">Sens!J10801*(1+Sens!K10802)</f>
        <v>33.0228715815776</v>
      </c>
      <c r="L10801" s="12" t="s">
        <v>1038</v>
      </c>
    </row>
    <row r="10802" customFormat="false" ht="15" hidden="false" customHeight="false" outlineLevel="0" collapsed="false">
      <c r="A10802" s="1" t="s">
        <v>1028</v>
      </c>
      <c r="B10802" s="0" t="s">
        <v>168</v>
      </c>
      <c r="E10802" s="7" t="n">
        <f aca="false">Sens!E10801/Sens!D10801-1</f>
        <v>0.104685888038225</v>
      </c>
      <c r="F10802" s="7" t="n">
        <f aca="false">Sens!$E$10802+(glt_ind-Sens!$E$10802)*MIN(1,(Sens!F10749-base_fy)/n_conv)</f>
        <v>0.0989049066985211</v>
      </c>
      <c r="G10802" s="7" t="n">
        <f aca="false">Sens!$E$10802+(glt_ind-Sens!$E$10802)*MIN(1,(Sens!G10749-base_fy)/n_conv)</f>
        <v>0.0931239253588169</v>
      </c>
      <c r="H10802" s="7" t="n">
        <f aca="false">Sens!$E$10802+(glt_ind-Sens!$E$10802)*MIN(1,(Sens!H10749-base_fy)/n_conv)</f>
        <v>0.0873429440191127</v>
      </c>
      <c r="I10802" s="7" t="n">
        <f aca="false">Sens!$E$10802+(glt_ind-Sens!$E$10802)*MIN(1,(Sens!I10749-base_fy)/n_conv)</f>
        <v>0.0815619626794085</v>
      </c>
      <c r="J10802" s="7" t="n">
        <f aca="false">Sens!$E$10802+(glt_ind-Sens!$E$10802)*MIN(1,(Sens!J10749-base_fy)/n_conv)</f>
        <v>0.0757809813397042</v>
      </c>
      <c r="K10802" s="7" t="n">
        <f aca="false">Sens!$E$10802+(glt_ind-Sens!$E$10802)*MIN(1,(Sens!K10749-base_fy)/n_conv)</f>
        <v>0.07</v>
      </c>
    </row>
    <row r="10803" customFormat="false" ht="17.15" hidden="false" customHeight="false" outlineLevel="0" collapsed="false">
      <c r="A10803" s="0" t="s">
        <v>1040</v>
      </c>
      <c r="B10803" s="0" t="s">
        <v>98</v>
      </c>
      <c r="D10803" s="6" t="n">
        <f aca="false">Q!L10</f>
        <v>7.76</v>
      </c>
      <c r="E10803" s="6" t="n">
        <f aca="false">Q!M10</f>
        <v>8.26</v>
      </c>
      <c r="F10803" s="6" t="n">
        <f aca="false">Q!$I$10+(Q!M10-Q!$E$10)*(1+Sens!F10804)</f>
        <v>8.75372082474227</v>
      </c>
      <c r="G10803" s="6" t="n">
        <f aca="false">Sens!F10803*(1+Sens!G10804)</f>
        <v>9.33399324642364</v>
      </c>
      <c r="H10803" s="6" t="n">
        <f aca="false">Sens!G10803*(1+Sens!H10804)</f>
        <v>9.96139155535851</v>
      </c>
      <c r="I10803" s="6" t="n">
        <f aca="false">Sens!H10803*(1+Sens!I10804)</f>
        <v>10.6402039077391</v>
      </c>
      <c r="J10803" s="6" t="n">
        <f aca="false">Sens!I10803*(1+Sens!J10804)</f>
        <v>11.3751458271397</v>
      </c>
      <c r="K10803" s="6" t="n">
        <f aca="false">Sens!J10803*(1+Sens!K10804)</f>
        <v>12.1714060350394</v>
      </c>
      <c r="L10803" s="12" t="s">
        <v>1038</v>
      </c>
    </row>
    <row r="10804" customFormat="false" ht="15" hidden="false" customHeight="false" outlineLevel="0" collapsed="false">
      <c r="A10804" s="1" t="s">
        <v>1028</v>
      </c>
      <c r="B10804" s="0" t="s">
        <v>168</v>
      </c>
      <c r="E10804" s="7" t="n">
        <f aca="false">Sens!E10803/Sens!D10803-1</f>
        <v>0.0644329896907216</v>
      </c>
      <c r="F10804" s="7" t="n">
        <f aca="false">Sens!$E$10804+(glt_fro-Sens!$E$10804)*MIN(1,(Sens!F10749-base_fy)/n_conv)</f>
        <v>0.065360824742268</v>
      </c>
      <c r="G10804" s="7" t="n">
        <f aca="false">Sens!$E$10804+(glt_fro-Sens!$E$10804)*MIN(1,(Sens!G10749-base_fy)/n_conv)</f>
        <v>0.0662886597938144</v>
      </c>
      <c r="H10804" s="7" t="n">
        <f aca="false">Sens!$E$10804+(glt_fro-Sens!$E$10804)*MIN(1,(Sens!H10749-base_fy)/n_conv)</f>
        <v>0.0672164948453608</v>
      </c>
      <c r="I10804" s="7" t="n">
        <f aca="false">Sens!$E$10804+(glt_fro-Sens!$E$10804)*MIN(1,(Sens!I10749-base_fy)/n_conv)</f>
        <v>0.0681443298969072</v>
      </c>
      <c r="J10804" s="7" t="n">
        <f aca="false">Sens!$E$10804+(glt_fro-Sens!$E$10804)*MIN(1,(Sens!J10749-base_fy)/n_conv)</f>
        <v>0.0690721649484536</v>
      </c>
      <c r="K10804" s="7" t="n">
        <f aca="false">Sens!$E$10804+(glt_fro-Sens!$E$10804)*MIN(1,(Sens!K10749-base_fy)/n_conv)</f>
        <v>0.07</v>
      </c>
    </row>
    <row r="10805" customFormat="false" ht="15" hidden="false" customHeight="false" outlineLevel="0" collapsed="false">
      <c r="A10805" s="0" t="s">
        <v>856</v>
      </c>
      <c r="B10805" s="0" t="s">
        <v>98</v>
      </c>
      <c r="D10805" s="6" t="n">
        <f aca="false">Sens!D10793+Sens!D10798+Sens!D10799+Sens!D10801+Sens!D10803</f>
        <v>218.783</v>
      </c>
      <c r="E10805" s="6" t="n">
        <f aca="false">Sens!E10793+Sens!E10798+Sens!E10799+Sens!E10801+Sens!E10803</f>
        <v>268.127</v>
      </c>
      <c r="F10805" s="6" t="n">
        <f aca="false">Sens!F10793+Sens!F10798+Sens!F10799+Sens!F10801+Sens!F10803</f>
        <v>330.145282059882</v>
      </c>
      <c r="G10805" s="6" t="n">
        <f aca="false">Sens!G10793+Sens!G10798+Sens!G10799+Sens!G10801+Sens!G10803</f>
        <v>392.656759865851</v>
      </c>
      <c r="H10805" s="6" t="n">
        <f aca="false">Sens!H10793+Sens!H10798+Sens!H10799+Sens!H10801+Sens!H10803</f>
        <v>450.544273297982</v>
      </c>
      <c r="I10805" s="6" t="n">
        <f aca="false">Sens!I10793+Sens!I10798+Sens!I10799+Sens!I10801+Sens!I10803</f>
        <v>510.69213512593</v>
      </c>
      <c r="J10805" s="6" t="n">
        <f aca="false">Sens!J10793+Sens!J10798+Sens!J10799+Sens!J10801+Sens!J10803</f>
        <v>560.416732629406</v>
      </c>
      <c r="K10805" s="6" t="n">
        <f aca="false">Sens!K10793+Sens!K10798+Sens!K10799+Sens!K10801+Sens!K10803</f>
        <v>600.132410592692</v>
      </c>
    </row>
    <row r="10806" customFormat="false" ht="17.15" hidden="false" customHeight="false" outlineLevel="0" collapsed="false">
      <c r="A10806" s="0" t="s">
        <v>1041</v>
      </c>
      <c r="B10806" s="0" t="s">
        <v>98</v>
      </c>
      <c r="D10806" s="6" t="n">
        <f aca="false">Q!L13</f>
        <v>22.171</v>
      </c>
      <c r="E10806" s="6" t="n">
        <f aca="false">Q!M13</f>
        <v>24.835</v>
      </c>
      <c r="F10806" s="6" t="n">
        <f aca="false">Q!$I$13+(Q!M13-Q!$E$13)*(1+Sens!F10807)</f>
        <v>27.4647245660247</v>
      </c>
      <c r="G10806" s="6" t="n">
        <f aca="false">Sens!F10806*(1+Sens!G10807)</f>
        <v>30.0309728005339</v>
      </c>
      <c r="H10806" s="6" t="n">
        <f aca="false">Sens!G10806*(1+Sens!H10807)</f>
        <v>32.435807482304</v>
      </c>
      <c r="I10806" s="6" t="n">
        <f aca="false">Sens!H10806*(1+Sens!I10807)</f>
        <v>34.5998917086668</v>
      </c>
      <c r="J10806" s="6" t="n">
        <f aca="false">Sens!I10806*(1+Sens!J10807)</f>
        <v>36.4461244099918</v>
      </c>
      <c r="K10806" s="6" t="n">
        <f aca="false">Sens!J10806*(1+Sens!K10807)</f>
        <v>37.9039693863915</v>
      </c>
      <c r="L10806" s="12" t="s">
        <v>1038</v>
      </c>
    </row>
    <row r="10807" customFormat="false" ht="15" hidden="false" customHeight="false" outlineLevel="0" collapsed="false">
      <c r="A10807" s="1" t="s">
        <v>1028</v>
      </c>
      <c r="B10807" s="0" t="s">
        <v>168</v>
      </c>
      <c r="E10807" s="7" t="n">
        <f aca="false">Sens!E10806/Sens!D10806-1</f>
        <v>0.120156961796942</v>
      </c>
      <c r="F10807" s="7" t="n">
        <f aca="false">Sens!$E$10807+(glt_srch_lo-Sens!$E$10807)*MIN(1,(Sens!F10749-base_fy)/n_conv)</f>
        <v>0.106797468164118</v>
      </c>
      <c r="G10807" s="7" t="n">
        <f aca="false">Sens!$E$10807+(glt_srch_lo-Sens!$E$10807)*MIN(1,(Sens!G10749-base_fy)/n_conv)</f>
        <v>0.0934379745312947</v>
      </c>
      <c r="H10807" s="7" t="n">
        <f aca="false">Sens!$E$10807+(glt_srch_lo-Sens!$E$10807)*MIN(1,(Sens!H10749-base_fy)/n_conv)</f>
        <v>0.080078480898471</v>
      </c>
      <c r="I10807" s="7" t="n">
        <f aca="false">Sens!$E$10807+(glt_srch_lo-Sens!$E$10807)*MIN(1,(Sens!I10749-base_fy)/n_conv)</f>
        <v>0.0667189872656473</v>
      </c>
      <c r="J10807" s="7" t="n">
        <f aca="false">Sens!$E$10807+(glt_srch_lo-Sens!$E$10807)*MIN(1,(Sens!J10749-base_fy)/n_conv)</f>
        <v>0.0533594936328237</v>
      </c>
      <c r="K10807" s="7" t="n">
        <f aca="false">Sens!$E$10807+(glt_srch_lo-Sens!$E$10807)*MIN(1,(Sens!K10749-base_fy)/n_conv)</f>
        <v>0.04</v>
      </c>
    </row>
    <row r="10808" customFormat="false" ht="17.15" hidden="false" customHeight="false" outlineLevel="0" collapsed="false">
      <c r="A10808" s="0" t="s">
        <v>1042</v>
      </c>
      <c r="B10808" s="0" t="s">
        <v>98</v>
      </c>
      <c r="D10808" s="6" t="n">
        <f aca="false">Q!L14</f>
        <v>23.455</v>
      </c>
      <c r="E10808" s="6" t="n">
        <f aca="false">Q!M14</f>
        <v>21.79</v>
      </c>
      <c r="F10808" s="6" t="n">
        <f aca="false">Q!$I$14+(Q!M14-Q!$E$14)*(1+Sens!F10809)</f>
        <v>20.7520981041711</v>
      </c>
      <c r="G10808" s="6" t="n">
        <f aca="false">Sens!F10808*(1+Sens!G10809)</f>
        <v>19.9083593495882</v>
      </c>
      <c r="H10808" s="6" t="n">
        <f aca="false">Sens!G10808*(1+Sens!H10809)</f>
        <v>19.4008256265831</v>
      </c>
      <c r="I10808" s="6" t="n">
        <f aca="false">Sens!H10808*(1+Sens!I10809)</f>
        <v>19.200434522122</v>
      </c>
      <c r="J10808" s="6" t="n">
        <f aca="false">Sens!I10808*(1+Sens!J10809)</f>
        <v>19.2932782348507</v>
      </c>
      <c r="K10808" s="6" t="n">
        <f aca="false">Sens!J10808*(1+Sens!K10809)</f>
        <v>19.6791437995477</v>
      </c>
      <c r="L10808" s="12" t="s">
        <v>1038</v>
      </c>
    </row>
    <row r="10809" customFormat="false" ht="15" hidden="false" customHeight="false" outlineLevel="0" collapsed="false">
      <c r="A10809" s="1" t="s">
        <v>1028</v>
      </c>
      <c r="B10809" s="0" t="s">
        <v>168</v>
      </c>
      <c r="E10809" s="7" t="n">
        <f aca="false">Sens!E10808/Sens!D10808-1</f>
        <v>-0.0709869963760392</v>
      </c>
      <c r="F10809" s="7" t="n">
        <f aca="false">Sens!$E$10809+(glt_xbox-Sens!$E$10809)*MIN(1,(Sens!F10749-base_fy)/n_conv)</f>
        <v>-0.0558224969800327</v>
      </c>
      <c r="G10809" s="7" t="n">
        <f aca="false">Sens!$E$10809+(glt_xbox-Sens!$E$10809)*MIN(1,(Sens!G10749-base_fy)/n_conv)</f>
        <v>-0.0406579975840262</v>
      </c>
      <c r="H10809" s="7" t="n">
        <f aca="false">Sens!$E$10809+(glt_xbox-Sens!$E$10809)*MIN(1,(Sens!H10749-base_fy)/n_conv)</f>
        <v>-0.0254934981880196</v>
      </c>
      <c r="I10809" s="7" t="n">
        <f aca="false">Sens!$E$10809+(glt_xbox-Sens!$E$10809)*MIN(1,(Sens!I10749-base_fy)/n_conv)</f>
        <v>-0.0103289987920131</v>
      </c>
      <c r="J10809" s="7" t="n">
        <f aca="false">Sens!$E$10809+(glt_xbox-Sens!$E$10809)*MIN(1,(Sens!J10749-base_fy)/n_conv)</f>
        <v>0.00483550060399347</v>
      </c>
      <c r="K10809" s="7" t="n">
        <f aca="false">Sens!$E$10809+(glt_xbox-Sens!$E$10809)*MIN(1,(Sens!K10749-base_fy)/n_conv)</f>
        <v>0.02</v>
      </c>
    </row>
    <row r="10810" customFormat="false" ht="17.15" hidden="false" customHeight="false" outlineLevel="0" collapsed="false">
      <c r="A10810" s="0" t="s">
        <v>1043</v>
      </c>
      <c r="B10810" s="0" t="s">
        <v>98</v>
      </c>
      <c r="D10810" s="6" t="n">
        <f aca="false">Q!L15</f>
        <v>17.315</v>
      </c>
      <c r="E10810" s="6" t="n">
        <f aca="false">Q!M15</f>
        <v>17.087</v>
      </c>
      <c r="F10810" s="6" t="n">
        <f aca="false">Q!$I$15+(Q!M15-Q!$E$15)*(1+Sens!F10811)</f>
        <v>15.9912273250553</v>
      </c>
      <c r="G10810" s="6" t="n">
        <f aca="false">Sens!F10810*(1+Sens!G10811)</f>
        <v>15.9574562664827</v>
      </c>
      <c r="H10810" s="6" t="n">
        <f aca="false">Sens!G10810*(1+Sens!H10811)</f>
        <v>16.0119687434196</v>
      </c>
      <c r="I10810" s="6" t="n">
        <f aca="false">Sens!H10810*(1+Sens!I10811)</f>
        <v>16.1551810001948</v>
      </c>
      <c r="J10810" s="6" t="n">
        <f aca="false">Sens!I10810*(1+Sens!J10811)</f>
        <v>16.3889793892005</v>
      </c>
      <c r="K10810" s="6" t="n">
        <f aca="false">Sens!J10810*(1+Sens!K10811)</f>
        <v>16.7167589769845</v>
      </c>
      <c r="L10810" s="12" t="s">
        <v>1038</v>
      </c>
    </row>
    <row r="10811" customFormat="false" ht="15" hidden="false" customHeight="false" outlineLevel="0" collapsed="false">
      <c r="A10811" s="1" t="s">
        <v>1028</v>
      </c>
      <c r="B10811" s="0" t="s">
        <v>168</v>
      </c>
      <c r="E10811" s="7" t="n">
        <f aca="false">Sens!E10810/Sens!D10810-1</f>
        <v>-0.0131677736066995</v>
      </c>
      <c r="F10811" s="7" t="n">
        <f aca="false">Sens!$E$10811+(glt_win-Sens!$E$10811)*MIN(1,(Sens!F10749-base_fy)/n_conv)</f>
        <v>-0.00763981133891627</v>
      </c>
      <c r="G10811" s="7" t="n">
        <f aca="false">Sens!$E$10811+(glt_win-Sens!$E$10811)*MIN(1,(Sens!G10749-base_fy)/n_conv)</f>
        <v>-0.00211184907113301</v>
      </c>
      <c r="H10811" s="7" t="n">
        <f aca="false">Sens!$E$10811+(glt_win-Sens!$E$10811)*MIN(1,(Sens!H10749-base_fy)/n_conv)</f>
        <v>0.00341611319665024</v>
      </c>
      <c r="I10811" s="7" t="n">
        <f aca="false">Sens!$E$10811+(glt_win-Sens!$E$10811)*MIN(1,(Sens!I10749-base_fy)/n_conv)</f>
        <v>0.00894407546443349</v>
      </c>
      <c r="J10811" s="7" t="n">
        <f aca="false">Sens!$E$10811+(glt_win-Sens!$E$10811)*MIN(1,(Sens!J10749-base_fy)/n_conv)</f>
        <v>0.0144720377322168</v>
      </c>
      <c r="K10811" s="7" t="n">
        <f aca="false">Sens!$E$10811+(glt_win-Sens!$E$10811)*MIN(1,(Sens!K10749-base_fy)/n_conv)</f>
        <v>0.02</v>
      </c>
    </row>
    <row r="10812" customFormat="false" ht="15" hidden="false" customHeight="false" outlineLevel="0" collapsed="false">
      <c r="A10812" s="0" t="s">
        <v>870</v>
      </c>
      <c r="B10812" s="0" t="s">
        <v>98</v>
      </c>
      <c r="D10812" s="6" t="n">
        <f aca="false">Sens!D10806+Sens!D10808+Sens!D10810</f>
        <v>62.941</v>
      </c>
      <c r="E10812" s="6" t="n">
        <f aca="false">Sens!E10806+Sens!E10808+Sens!E10810</f>
        <v>63.712</v>
      </c>
      <c r="F10812" s="6" t="n">
        <f aca="false">Sens!F10806+Sens!F10808+Sens!F10810</f>
        <v>64.2080499952511</v>
      </c>
      <c r="G10812" s="6" t="n">
        <f aca="false">Sens!G10806+Sens!G10808+Sens!G10810</f>
        <v>65.8967884166048</v>
      </c>
      <c r="H10812" s="6" t="n">
        <f aca="false">Sens!H10806+Sens!H10808+Sens!H10810</f>
        <v>67.8486018523066</v>
      </c>
      <c r="I10812" s="6" t="n">
        <f aca="false">Sens!I10806+Sens!I10808+Sens!I10810</f>
        <v>69.9555072309837</v>
      </c>
      <c r="J10812" s="6" t="n">
        <f aca="false">Sens!J10806+Sens!J10808+Sens!J10810</f>
        <v>72.128382034043</v>
      </c>
      <c r="K10812" s="6" t="n">
        <f aca="false">Sens!K10806+Sens!K10808+Sens!K10810</f>
        <v>74.2998721629237</v>
      </c>
    </row>
    <row r="10813" customFormat="false" ht="15" hidden="false" customHeight="false" outlineLevel="0" collapsed="false">
      <c r="A10813" s="1" t="s">
        <v>1044</v>
      </c>
      <c r="B10813" s="0" t="s">
        <v>98</v>
      </c>
      <c r="D10813" s="6" t="n">
        <f aca="false">Sens!D10805+Sens!D10812</f>
        <v>281.724</v>
      </c>
      <c r="E10813" s="6" t="n">
        <f aca="false">Sens!E10805+Sens!E10812</f>
        <v>331.839</v>
      </c>
      <c r="F10813" s="6" t="n">
        <f aca="false">Sens!F10805+Sens!F10812</f>
        <v>394.353332055133</v>
      </c>
      <c r="G10813" s="6" t="n">
        <f aca="false">Sens!G10805+Sens!G10812</f>
        <v>458.553548282456</v>
      </c>
      <c r="H10813" s="6" t="n">
        <f aca="false">Sens!H10805+Sens!H10812</f>
        <v>518.392875150289</v>
      </c>
      <c r="I10813" s="6" t="n">
        <f aca="false">Sens!I10805+Sens!I10812</f>
        <v>580.647642356914</v>
      </c>
      <c r="J10813" s="6" t="n">
        <f aca="false">Sens!J10805+Sens!J10812</f>
        <v>632.545114663449</v>
      </c>
      <c r="K10813" s="6" t="n">
        <f aca="false">Sens!K10805+Sens!K10812</f>
        <v>674.432282755616</v>
      </c>
    </row>
    <row r="10814" customFormat="false" ht="15" hidden="false" customHeight="false" outlineLevel="0" collapsed="false">
      <c r="A10814" s="26" t="s">
        <v>1045</v>
      </c>
      <c r="B10814" s="31" t="s">
        <v>98</v>
      </c>
      <c r="C10814" s="31"/>
      <c r="D10814" s="27" t="n">
        <f aca="false">(Sens!D10793+Sens!D10798+Sens!D10799+Sens!D10801+Sens!D10803-Sens!D10805)+(Sens!D10806+Sens!D10808+Sens!D10810-Sens!D10812)+(Sens!D10805-Q!L5)+(Sens!D10812-Q!L12)+(Sens!D10793-Q!L6)+(Sens!D10798-Q!L7)</f>
        <v>0</v>
      </c>
      <c r="E10814" s="27" t="n">
        <f aca="false">(Sens!E10793+Sens!E10798+Sens!E10799+Sens!E10801+Sens!E10803-Sens!E10805)+(Sens!E10806+Sens!E10808+Sens!E10810-Sens!E10812)+(Sens!E10805-Q!M5)+(Sens!E10812-Q!M12)+(Sens!E10793-Q!M6)+(Sens!E10798-Q!M7)</f>
        <v>0</v>
      </c>
      <c r="F10814" s="27" t="n">
        <f aca="false">(Sens!F10793+Sens!F10798+Sens!F10799+Sens!F10801+Sens!F10803-Sens!F10805)+(Sens!F10806+Sens!F10808+Sens!F10810-Sens!F10812)</f>
        <v>0</v>
      </c>
      <c r="G10814" s="27" t="n">
        <f aca="false">(Sens!G10793+Sens!G10798+Sens!G10799+Sens!G10801+Sens!G10803-Sens!G10805)+(Sens!G10806+Sens!G10808+Sens!G10810-Sens!G10812)</f>
        <v>0</v>
      </c>
      <c r="H10814" s="27" t="n">
        <f aca="false">(Sens!H10793+Sens!H10798+Sens!H10799+Sens!H10801+Sens!H10803-Sens!H10805)+(Sens!H10806+Sens!H10808+Sens!H10810-Sens!H10812)</f>
        <v>0</v>
      </c>
      <c r="I10814" s="27" t="n">
        <f aca="false">(Sens!I10793+Sens!I10798+Sens!I10799+Sens!I10801+Sens!I10803-Sens!I10805)+(Sens!I10806+Sens!I10808+Sens!I10810-Sens!I10812)</f>
        <v>0</v>
      </c>
      <c r="J10814" s="27" t="n">
        <f aca="false">(Sens!J10793+Sens!J10798+Sens!J10799+Sens!J10801+Sens!J10803-Sens!J10805)+(Sens!J10806+Sens!J10808+Sens!J10810-Sens!J10812)</f>
        <v>0</v>
      </c>
      <c r="K10814" s="27" t="n">
        <f aca="false">(Sens!K10793+Sens!K10798+Sens!K10799+Sens!K10801+Sens!K10803-Sens!K10805)+(Sens!K10806+Sens!K10808+Sens!K10810-Sens!K10812)</f>
        <v>0</v>
      </c>
    </row>
    <row r="10815" customFormat="false" ht="17.15" hidden="false" customHeight="false" outlineLevel="0" collapsed="false">
      <c r="A10815" s="3" t="s">
        <v>1882</v>
      </c>
    </row>
    <row r="10816" customFormat="false" ht="15" hidden="false" customHeight="false" outlineLevel="0" collapsed="false">
      <c r="A10816" s="4" t="s">
        <v>43</v>
      </c>
      <c r="B10816" s="4" t="s">
        <v>65</v>
      </c>
      <c r="C10816" s="23" t="s">
        <v>942</v>
      </c>
      <c r="D10816" s="23" t="s">
        <v>943</v>
      </c>
      <c r="E10816" s="23" t="s">
        <v>944</v>
      </c>
      <c r="F10816" s="23" t="s">
        <v>945</v>
      </c>
      <c r="G10816" s="23" t="s">
        <v>946</v>
      </c>
      <c r="H10816" s="23" t="s">
        <v>947</v>
      </c>
      <c r="I10816" s="23" t="s">
        <v>948</v>
      </c>
      <c r="J10816" s="23" t="s">
        <v>949</v>
      </c>
      <c r="K10816" s="23" t="s">
        <v>950</v>
      </c>
      <c r="L10816" s="4" t="s">
        <v>47</v>
      </c>
    </row>
    <row r="10817" customFormat="false" ht="15" hidden="false" customHeight="false" outlineLevel="0" collapsed="false">
      <c r="A10817" s="0" t="s">
        <v>1029</v>
      </c>
      <c r="B10817" s="0" t="s">
        <v>98</v>
      </c>
      <c r="D10817" s="6" t="n">
        <f aca="false">Sens!D10793</f>
        <v>72.61</v>
      </c>
      <c r="E10817" s="6" t="n">
        <f aca="false">Sens!E10793</f>
        <v>101.938</v>
      </c>
      <c r="F10817" s="6" t="n">
        <f aca="false">Sens!F10793</f>
        <v>143.251883553698</v>
      </c>
      <c r="G10817" s="6" t="n">
        <f aca="false">Sens!G10793</f>
        <v>186.322520879442</v>
      </c>
      <c r="H10817" s="6" t="n">
        <f aca="false">Sens!H10793</f>
        <v>224.74279426379</v>
      </c>
      <c r="I10817" s="6" t="n">
        <f aca="false">Sens!I10793</f>
        <v>266.443497823359</v>
      </c>
      <c r="J10817" s="6" t="n">
        <f aca="false">Sens!J10793</f>
        <v>299.06102493502</v>
      </c>
      <c r="K10817" s="6" t="n">
        <f aca="false">Sens!K10793</f>
        <v>322.592740225023</v>
      </c>
    </row>
    <row r="10818" customFormat="false" ht="17.15" hidden="false" customHeight="false" outlineLevel="0" collapsed="false">
      <c r="A10818" s="0" t="s">
        <v>1025</v>
      </c>
      <c r="B10818" s="0" t="s">
        <v>98</v>
      </c>
      <c r="D10818" s="6" t="n">
        <f aca="false">Sens!D10790</f>
        <v>12.9359794422418</v>
      </c>
      <c r="E10818" s="6" t="n">
        <f aca="false">Sens!E10790</f>
        <v>27.8095064661409</v>
      </c>
      <c r="F10818" s="6" t="n">
        <f aca="false">Sens!F10790</f>
        <v>50.9819294352312</v>
      </c>
      <c r="G10818" s="6" t="n">
        <f aca="false">Sens!G10790</f>
        <v>76.6920436014933</v>
      </c>
      <c r="H10818" s="6" t="n">
        <f aca="false">Sens!H10790</f>
        <v>97.4495379418341</v>
      </c>
      <c r="I10818" s="6" t="n">
        <f aca="false">Sens!I10790</f>
        <v>122.083445553868</v>
      </c>
      <c r="J10818" s="6" t="n">
        <f aca="false">Sens!J10790</f>
        <v>139.249060444804</v>
      </c>
      <c r="K10818" s="6" t="n">
        <f aca="false">Sens!K10790</f>
        <v>149.995818575589</v>
      </c>
    </row>
    <row r="10819" customFormat="false" ht="17.15" hidden="false" customHeight="false" outlineLevel="0" collapsed="false">
      <c r="A10819" s="0" t="s">
        <v>1056</v>
      </c>
      <c r="B10819" s="0" t="s">
        <v>98</v>
      </c>
      <c r="D10819" s="6" t="n">
        <f aca="false">Sens!D10791</f>
        <v>59.6740205577583</v>
      </c>
      <c r="E10819" s="6" t="n">
        <f aca="false">Sens!E10791</f>
        <v>74.1284935338591</v>
      </c>
      <c r="F10819" s="6" t="n">
        <f aca="false">Sens!F10791</f>
        <v>92.2699541184664</v>
      </c>
      <c r="G10819" s="6" t="n">
        <f aca="false">Sens!G10791</f>
        <v>109.630477277949</v>
      </c>
      <c r="H10819" s="6" t="n">
        <f aca="false">Sens!H10791</f>
        <v>127.293256321956</v>
      </c>
      <c r="I10819" s="6" t="n">
        <f aca="false">Sens!I10791</f>
        <v>144.360052269491</v>
      </c>
      <c r="J10819" s="6" t="n">
        <f aca="false">Sens!J10791</f>
        <v>159.811964490216</v>
      </c>
      <c r="K10819" s="6" t="n">
        <f aca="false">Sens!K10791</f>
        <v>172.596921649434</v>
      </c>
    </row>
    <row r="10820" customFormat="false" ht="15" hidden="false" customHeight="false" outlineLevel="0" collapsed="false">
      <c r="A10820" s="0" t="s">
        <v>1036</v>
      </c>
      <c r="B10820" s="0" t="s">
        <v>98</v>
      </c>
      <c r="D10820" s="6" t="n">
        <f aca="false">Sens!D10798</f>
        <v>84.605</v>
      </c>
      <c r="E10820" s="6" t="n">
        <f aca="false">Sens!E10798</f>
        <v>100.299</v>
      </c>
      <c r="F10820" s="6" t="n">
        <f aca="false">Sens!F10798</f>
        <v>117.438354189776</v>
      </c>
      <c r="G10820" s="6" t="n">
        <f aca="false">Sens!G10798</f>
        <v>132.595360443801</v>
      </c>
      <c r="H10820" s="6" t="n">
        <f aca="false">Sens!H10798</f>
        <v>147.833811964563</v>
      </c>
      <c r="I10820" s="6" t="n">
        <f aca="false">Sens!I10798</f>
        <v>162.145665319381</v>
      </c>
      <c r="J10820" s="6" t="n">
        <f aca="false">Sens!J10798</f>
        <v>175.249327755573</v>
      </c>
      <c r="K10820" s="6" t="n">
        <f aca="false">Sens!K10798</f>
        <v>187.599280698463</v>
      </c>
    </row>
    <row r="10821" customFormat="false" ht="17.15" hidden="false" customHeight="false" outlineLevel="0" collapsed="false">
      <c r="A10821" s="0" t="s">
        <v>1057</v>
      </c>
      <c r="B10821" s="0" t="s">
        <v>98</v>
      </c>
      <c r="D10821" s="6" t="n">
        <f aca="false">Sens!D10796</f>
        <v>83.705</v>
      </c>
      <c r="E10821" s="6" t="n">
        <f aca="false">Sens!E10796</f>
        <v>95.049</v>
      </c>
      <c r="F10821" s="6" t="n">
        <f aca="false">Sens!F10796</f>
        <v>106.938354189776</v>
      </c>
      <c r="G10821" s="6" t="n">
        <f aca="false">Sens!G10796</f>
        <v>119.095360443801</v>
      </c>
      <c r="H10821" s="6" t="n">
        <f aca="false">Sens!H10796</f>
        <v>131.333811964563</v>
      </c>
      <c r="I10821" s="6" t="n">
        <f aca="false">Sens!I10796</f>
        <v>143.395665319381</v>
      </c>
      <c r="J10821" s="6" t="n">
        <f aca="false">Sens!J10796</f>
        <v>154.999327755573</v>
      </c>
      <c r="K10821" s="6" t="n">
        <f aca="false">Sens!K10796</f>
        <v>165.849280698463</v>
      </c>
    </row>
    <row r="10822" customFormat="false" ht="17.15" hidden="false" customHeight="false" outlineLevel="0" collapsed="false">
      <c r="A10822" s="0" t="s">
        <v>1058</v>
      </c>
      <c r="B10822" s="0" t="s">
        <v>98</v>
      </c>
      <c r="D10822" s="6" t="n">
        <f aca="false">Sens!D10795</f>
        <v>0.9</v>
      </c>
      <c r="E10822" s="6" t="n">
        <f aca="false">Sens!E10795</f>
        <v>5.25</v>
      </c>
      <c r="F10822" s="6" t="n">
        <f aca="false">Sens!F10795</f>
        <v>10.5</v>
      </c>
      <c r="G10822" s="6" t="n">
        <f aca="false">Sens!G10795</f>
        <v>13.5</v>
      </c>
      <c r="H10822" s="6" t="n">
        <f aca="false">Sens!H10795</f>
        <v>16.5</v>
      </c>
      <c r="I10822" s="6" t="n">
        <f aca="false">Sens!I10795</f>
        <v>18.75</v>
      </c>
      <c r="J10822" s="6" t="n">
        <f aca="false">Sens!J10795</f>
        <v>20.25</v>
      </c>
      <c r="K10822" s="6" t="n">
        <f aca="false">Sens!K10795</f>
        <v>21.75</v>
      </c>
    </row>
    <row r="10823" customFormat="false" ht="15" hidden="false" customHeight="false" outlineLevel="0" collapsed="false">
      <c r="A10823" s="0" t="s">
        <v>1037</v>
      </c>
      <c r="B10823" s="0" t="s">
        <v>98</v>
      </c>
      <c r="D10823" s="6" t="n">
        <f aca="false">Sens!D10799</f>
        <v>35.391</v>
      </c>
      <c r="E10823" s="6" t="n">
        <f aca="false">Sens!E10799</f>
        <v>37.285</v>
      </c>
      <c r="F10823" s="6" t="n">
        <f aca="false">Sens!F10799</f>
        <v>38.3851437782675</v>
      </c>
      <c r="G10823" s="6" t="n">
        <f aca="false">Sens!G10799</f>
        <v>40.0105353288615</v>
      </c>
      <c r="H10823" s="6" t="n">
        <f aca="false">Sens!H10799</f>
        <v>41.4812512033683</v>
      </c>
      <c r="I10823" s="6" t="n">
        <f aca="false">Sens!I10799</f>
        <v>42.7743107216329</v>
      </c>
      <c r="J10823" s="6" t="n">
        <f aca="false">Sens!J10799</f>
        <v>43.8687373064601</v>
      </c>
      <c r="K10823" s="6" t="n">
        <f aca="false">Sens!K10799</f>
        <v>44.7461120525893</v>
      </c>
    </row>
    <row r="10824" customFormat="false" ht="15" hidden="false" customHeight="false" outlineLevel="0" collapsed="false">
      <c r="A10824" s="0" t="s">
        <v>1039</v>
      </c>
      <c r="B10824" s="0" t="s">
        <v>98</v>
      </c>
      <c r="D10824" s="6" t="n">
        <f aca="false">Sens!D10801</f>
        <v>18.417</v>
      </c>
      <c r="E10824" s="6" t="n">
        <f aca="false">Sens!E10801</f>
        <v>20.345</v>
      </c>
      <c r="F10824" s="6" t="n">
        <f aca="false">Sens!F10801</f>
        <v>22.3161797133988</v>
      </c>
      <c r="G10824" s="6" t="n">
        <f aca="false">Sens!G10801</f>
        <v>24.3943499673233</v>
      </c>
      <c r="H10824" s="6" t="n">
        <f aca="false">Sens!H10801</f>
        <v>26.5250243109019</v>
      </c>
      <c r="I10824" s="6" t="n">
        <f aca="false">Sens!I10801</f>
        <v>28.6884573538181</v>
      </c>
      <c r="J10824" s="6" t="n">
        <f aca="false">Sens!J10801</f>
        <v>30.8624968052127</v>
      </c>
      <c r="K10824" s="6" t="n">
        <f aca="false">Sens!K10801</f>
        <v>33.0228715815776</v>
      </c>
    </row>
    <row r="10825" customFormat="false" ht="15" hidden="false" customHeight="false" outlineLevel="0" collapsed="false">
      <c r="A10825" s="0" t="s">
        <v>1040</v>
      </c>
      <c r="B10825" s="0" t="s">
        <v>98</v>
      </c>
      <c r="D10825" s="6" t="n">
        <f aca="false">Sens!D10803</f>
        <v>7.76</v>
      </c>
      <c r="E10825" s="6" t="n">
        <f aca="false">Sens!E10803</f>
        <v>8.26</v>
      </c>
      <c r="F10825" s="6" t="n">
        <f aca="false">Sens!F10803</f>
        <v>8.75372082474227</v>
      </c>
      <c r="G10825" s="6" t="n">
        <f aca="false">Sens!G10803</f>
        <v>9.33399324642364</v>
      </c>
      <c r="H10825" s="6" t="n">
        <f aca="false">Sens!H10803</f>
        <v>9.96139155535851</v>
      </c>
      <c r="I10825" s="6" t="n">
        <f aca="false">Sens!I10803</f>
        <v>10.6402039077391</v>
      </c>
      <c r="J10825" s="6" t="n">
        <f aca="false">Sens!J10803</f>
        <v>11.3751458271397</v>
      </c>
      <c r="K10825" s="6" t="n">
        <f aca="false">Sens!K10803</f>
        <v>12.1714060350394</v>
      </c>
    </row>
    <row r="10826" customFormat="false" ht="15" hidden="false" customHeight="false" outlineLevel="0" collapsed="false">
      <c r="A10826" s="0" t="s">
        <v>856</v>
      </c>
      <c r="B10826" s="0" t="s">
        <v>98</v>
      </c>
      <c r="D10826" s="6" t="n">
        <f aca="false">Sens!D10805</f>
        <v>218.783</v>
      </c>
      <c r="E10826" s="6" t="n">
        <f aca="false">Sens!E10805</f>
        <v>268.127</v>
      </c>
      <c r="F10826" s="6" t="n">
        <f aca="false">Sens!F10805</f>
        <v>330.145282059882</v>
      </c>
      <c r="G10826" s="6" t="n">
        <f aca="false">Sens!G10805</f>
        <v>392.656759865851</v>
      </c>
      <c r="H10826" s="6" t="n">
        <f aca="false">Sens!H10805</f>
        <v>450.544273297982</v>
      </c>
      <c r="I10826" s="6" t="n">
        <f aca="false">Sens!I10805</f>
        <v>510.69213512593</v>
      </c>
      <c r="J10826" s="6" t="n">
        <f aca="false">Sens!J10805</f>
        <v>560.416732629406</v>
      </c>
      <c r="K10826" s="6" t="n">
        <f aca="false">Sens!K10805</f>
        <v>600.132410592692</v>
      </c>
    </row>
    <row r="10827" customFormat="false" ht="15" hidden="false" customHeight="false" outlineLevel="0" collapsed="false">
      <c r="A10827" s="0" t="s">
        <v>1041</v>
      </c>
      <c r="B10827" s="0" t="s">
        <v>98</v>
      </c>
      <c r="D10827" s="6" t="n">
        <f aca="false">Sens!D10806</f>
        <v>22.171</v>
      </c>
      <c r="E10827" s="6" t="n">
        <f aca="false">Sens!E10806</f>
        <v>24.835</v>
      </c>
      <c r="F10827" s="6" t="n">
        <f aca="false">Sens!F10806</f>
        <v>27.4647245660247</v>
      </c>
      <c r="G10827" s="6" t="n">
        <f aca="false">Sens!G10806</f>
        <v>30.0309728005339</v>
      </c>
      <c r="H10827" s="6" t="n">
        <f aca="false">Sens!H10806</f>
        <v>32.435807482304</v>
      </c>
      <c r="I10827" s="6" t="n">
        <f aca="false">Sens!I10806</f>
        <v>34.5998917086668</v>
      </c>
      <c r="J10827" s="6" t="n">
        <f aca="false">Sens!J10806</f>
        <v>36.4461244099918</v>
      </c>
      <c r="K10827" s="6" t="n">
        <f aca="false">Sens!K10806</f>
        <v>37.9039693863915</v>
      </c>
    </row>
    <row r="10828" customFormat="false" ht="15" hidden="false" customHeight="false" outlineLevel="0" collapsed="false">
      <c r="A10828" s="0" t="s">
        <v>1042</v>
      </c>
      <c r="B10828" s="0" t="s">
        <v>98</v>
      </c>
      <c r="D10828" s="6" t="n">
        <f aca="false">Sens!D10808</f>
        <v>23.455</v>
      </c>
      <c r="E10828" s="6" t="n">
        <f aca="false">Sens!E10808</f>
        <v>21.79</v>
      </c>
      <c r="F10828" s="6" t="n">
        <f aca="false">Sens!F10808</f>
        <v>20.7520981041711</v>
      </c>
      <c r="G10828" s="6" t="n">
        <f aca="false">Sens!G10808</f>
        <v>19.9083593495882</v>
      </c>
      <c r="H10828" s="6" t="n">
        <f aca="false">Sens!H10808</f>
        <v>19.4008256265831</v>
      </c>
      <c r="I10828" s="6" t="n">
        <f aca="false">Sens!I10808</f>
        <v>19.200434522122</v>
      </c>
      <c r="J10828" s="6" t="n">
        <f aca="false">Sens!J10808</f>
        <v>19.2932782348507</v>
      </c>
      <c r="K10828" s="6" t="n">
        <f aca="false">Sens!K10808</f>
        <v>19.6791437995477</v>
      </c>
    </row>
    <row r="10829" customFormat="false" ht="15" hidden="false" customHeight="false" outlineLevel="0" collapsed="false">
      <c r="A10829" s="0" t="s">
        <v>1043</v>
      </c>
      <c r="B10829" s="0" t="s">
        <v>98</v>
      </c>
      <c r="D10829" s="6" t="n">
        <f aca="false">Sens!D10810</f>
        <v>17.315</v>
      </c>
      <c r="E10829" s="6" t="n">
        <f aca="false">Sens!E10810</f>
        <v>17.087</v>
      </c>
      <c r="F10829" s="6" t="n">
        <f aca="false">Sens!F10810</f>
        <v>15.9912273250553</v>
      </c>
      <c r="G10829" s="6" t="n">
        <f aca="false">Sens!G10810</f>
        <v>15.9574562664827</v>
      </c>
      <c r="H10829" s="6" t="n">
        <f aca="false">Sens!H10810</f>
        <v>16.0119687434196</v>
      </c>
      <c r="I10829" s="6" t="n">
        <f aca="false">Sens!I10810</f>
        <v>16.1551810001948</v>
      </c>
      <c r="J10829" s="6" t="n">
        <f aca="false">Sens!J10810</f>
        <v>16.3889793892005</v>
      </c>
      <c r="K10829" s="6" t="n">
        <f aca="false">Sens!K10810</f>
        <v>16.7167589769845</v>
      </c>
    </row>
    <row r="10830" customFormat="false" ht="15" hidden="false" customHeight="false" outlineLevel="0" collapsed="false">
      <c r="A10830" s="0" t="s">
        <v>870</v>
      </c>
      <c r="B10830" s="0" t="s">
        <v>98</v>
      </c>
      <c r="D10830" s="6" t="n">
        <f aca="false">Sens!D10812</f>
        <v>62.941</v>
      </c>
      <c r="E10830" s="6" t="n">
        <f aca="false">Sens!E10812</f>
        <v>63.712</v>
      </c>
      <c r="F10830" s="6" t="n">
        <f aca="false">Sens!F10812</f>
        <v>64.2080499952511</v>
      </c>
      <c r="G10830" s="6" t="n">
        <f aca="false">Sens!G10812</f>
        <v>65.8967884166048</v>
      </c>
      <c r="H10830" s="6" t="n">
        <f aca="false">Sens!H10812</f>
        <v>67.8486018523066</v>
      </c>
      <c r="I10830" s="6" t="n">
        <f aca="false">Sens!I10812</f>
        <v>69.9555072309837</v>
      </c>
      <c r="J10830" s="6" t="n">
        <f aca="false">Sens!J10812</f>
        <v>72.128382034043</v>
      </c>
      <c r="K10830" s="6" t="n">
        <f aca="false">Sens!K10812</f>
        <v>74.2998721629237</v>
      </c>
    </row>
    <row r="10831" customFormat="false" ht="15" hidden="false" customHeight="false" outlineLevel="0" collapsed="false">
      <c r="A10831" s="1" t="s">
        <v>1059</v>
      </c>
      <c r="B10831" s="0" t="s">
        <v>98</v>
      </c>
      <c r="D10831" s="6" t="n">
        <f aca="false">Sens!D10813</f>
        <v>281.724</v>
      </c>
      <c r="E10831" s="6" t="n">
        <f aca="false">Sens!E10813</f>
        <v>331.839</v>
      </c>
      <c r="F10831" s="6" t="n">
        <f aca="false">Sens!F10813</f>
        <v>394.353332055133</v>
      </c>
      <c r="G10831" s="6" t="n">
        <f aca="false">Sens!G10813</f>
        <v>458.553548282456</v>
      </c>
      <c r="H10831" s="6" t="n">
        <f aca="false">Sens!H10813</f>
        <v>518.392875150289</v>
      </c>
      <c r="I10831" s="6" t="n">
        <f aca="false">Sens!I10813</f>
        <v>580.647642356914</v>
      </c>
      <c r="J10831" s="6" t="n">
        <f aca="false">Sens!J10813</f>
        <v>632.545114663449</v>
      </c>
      <c r="K10831" s="6" t="n">
        <f aca="false">Sens!K10813</f>
        <v>674.432282755616</v>
      </c>
    </row>
    <row r="10832" customFormat="false" ht="15" hidden="false" customHeight="false" outlineLevel="0" collapsed="false">
      <c r="A10832" s="1" t="s">
        <v>1060</v>
      </c>
      <c r="B10832" s="0" t="s">
        <v>168</v>
      </c>
      <c r="E10832" s="7" t="n">
        <f aca="false">Sens!E10831/Sens!D10831-1</f>
        <v>0.177886867998467</v>
      </c>
      <c r="F10832" s="7" t="n">
        <f aca="false">Sens!F10831/Sens!E10831-1</f>
        <v>0.188387537495993</v>
      </c>
      <c r="G10832" s="7" t="n">
        <f aca="false">Sens!G10831/Sens!F10831-1</f>
        <v>0.162798716300304</v>
      </c>
      <c r="H10832" s="7" t="n">
        <f aca="false">Sens!H10831/Sens!G10831-1</f>
        <v>0.130495832148644</v>
      </c>
      <c r="I10832" s="7" t="n">
        <f aca="false">Sens!I10831/Sens!H10831-1</f>
        <v>0.120091865052306</v>
      </c>
      <c r="J10832" s="7" t="n">
        <f aca="false">Sens!J10831/Sens!I10831-1</f>
        <v>0.0893785981733728</v>
      </c>
      <c r="K10832" s="7" t="n">
        <f aca="false">Sens!K10831/Sens!J10831-1</f>
        <v>0.0662200483746582</v>
      </c>
    </row>
    <row r="10833" customFormat="false" ht="17.15" hidden="false" customHeight="false" outlineLevel="0" collapsed="false">
      <c r="A10833" s="26" t="s">
        <v>1061</v>
      </c>
      <c r="B10833" s="31" t="s">
        <v>98</v>
      </c>
      <c r="C10833" s="31"/>
      <c r="D10833" s="27" t="n">
        <f aca="false">(Sens!D10826+Sens!D10830-Sens!D10831)+(Sens!D10818+Sens!D10819-Sens!D10817)+(Sens!D10821+Sens!D10822-Sens!D10820)+(Sens!D10831-Q!L18)</f>
        <v>0</v>
      </c>
      <c r="E10833" s="27" t="n">
        <f aca="false">(Sens!E10826+Sens!E10830-Sens!E10831)+(Sens!E10818+Sens!E10819-Sens!E10817)+(Sens!E10821+Sens!E10822-Sens!E10820)+(Sens!E10831-Q!M18)</f>
        <v>0</v>
      </c>
      <c r="F10833" s="27" t="n">
        <f aca="false">(Sens!F10826+Sens!F10830-Sens!F10831)+(Sens!F10818+Sens!F10819-Sens!F10817)+(Sens!F10821+Sens!F10822-Sens!F10820)</f>
        <v>0</v>
      </c>
      <c r="G10833" s="27" t="n">
        <f aca="false">(Sens!G10826+Sens!G10830-Sens!G10831)+(Sens!G10818+Sens!G10819-Sens!G10817)+(Sens!G10821+Sens!G10822-Sens!G10820)</f>
        <v>0</v>
      </c>
      <c r="H10833" s="27" t="n">
        <f aca="false">(Sens!H10826+Sens!H10830-Sens!H10831)+(Sens!H10818+Sens!H10819-Sens!H10817)+(Sens!H10821+Sens!H10822-Sens!H10820)</f>
        <v>0</v>
      </c>
      <c r="I10833" s="27" t="n">
        <f aca="false">(Sens!I10826+Sens!I10830-Sens!I10831)+(Sens!I10818+Sens!I10819-Sens!I10817)+(Sens!I10821+Sens!I10822-Sens!I10820)</f>
        <v>0</v>
      </c>
      <c r="J10833" s="27" t="n">
        <f aca="false">(Sens!J10826+Sens!J10830-Sens!J10831)+(Sens!J10818+Sens!J10819-Sens!J10817)+(Sens!J10821+Sens!J10822-Sens!J10820)</f>
        <v>0</v>
      </c>
      <c r="K10833" s="27" t="n">
        <f aca="false">(Sens!K10826+Sens!K10830-Sens!K10831)+(Sens!K10818+Sens!K10819-Sens!K10817)+(Sens!K10821+Sens!K10822-Sens!K10820)</f>
        <v>0</v>
      </c>
    </row>
    <row r="10834" customFormat="false" ht="17.15" hidden="false" customHeight="false" outlineLevel="0" collapsed="false">
      <c r="A10834" s="0" t="s">
        <v>1062</v>
      </c>
      <c r="B10834" s="0" t="s">
        <v>168</v>
      </c>
      <c r="E10834" s="7" t="n">
        <f aca="false">(Q!M21+Sens!E10770+Sens!E10771+Sens!E10772+Sens!E10786-Sens!E10768)/(Q!M5-Sens!E10768)</f>
        <v>0.570957350878296</v>
      </c>
      <c r="F10834" s="7" t="n">
        <f aca="false">Sens!$E$10834+dm_seg</f>
        <v>0.570957350878296</v>
      </c>
      <c r="G10834" s="7" t="n">
        <f aca="false">Sens!$E$10834+dm_seg</f>
        <v>0.570957350878296</v>
      </c>
      <c r="H10834" s="7" t="n">
        <f aca="false">Sens!$E$10834+dm_seg</f>
        <v>0.570957350878296</v>
      </c>
      <c r="I10834" s="7" t="n">
        <f aca="false">Sens!$E$10834+dm_seg</f>
        <v>0.570957350878296</v>
      </c>
      <c r="J10834" s="7" t="n">
        <f aca="false">Sens!$E$10834+dm_seg</f>
        <v>0.570957350878296</v>
      </c>
      <c r="K10834" s="7" t="n">
        <f aca="false">Sens!$E$10834+dm_seg</f>
        <v>0.570957350878296</v>
      </c>
      <c r="L10834" s="12" t="s">
        <v>1063</v>
      </c>
    </row>
    <row r="10835" customFormat="false" ht="17.15" hidden="false" customHeight="false" outlineLevel="0" collapsed="false">
      <c r="A10835" s="0" t="s">
        <v>884</v>
      </c>
      <c r="B10835" s="0" t="s">
        <v>98</v>
      </c>
      <c r="D10835" s="6" t="n">
        <f aca="false">Q!L21</f>
        <v>110.814</v>
      </c>
      <c r="E10835" s="6" t="n">
        <f aca="false">Q!M21</f>
        <v>136.365</v>
      </c>
      <c r="F10835" s="6" t="n">
        <f aca="false">Q!$I$21+(Sens!F10834*(Sens!F10805-Sens!F10768)+Sens!F10768-(Sens!F10770+Sens!F10771+Sens!F10772)-Sens!F10786-Sens!F10869)*(Sens!F10805-Q!$I$5)/Sens!F10805</f>
        <v>158.110234156687</v>
      </c>
      <c r="G10835" s="6" t="n">
        <f aca="false">(Sens!G10834*(Sens!G10805-Sens!G10768)+Sens!G10768-(Sens!G10770+Sens!G10771+Sens!G10772)-Sens!G10786-Sens!G10869)</f>
        <v>161.288737768095</v>
      </c>
      <c r="H10835" s="6" t="n">
        <f aca="false">(Sens!H10834*(Sens!H10805-Sens!H10768)+Sens!H10768-(Sens!H10770+Sens!H10771+Sens!H10772)-Sens!H10786-Sens!H10869)</f>
        <v>162.750449226018</v>
      </c>
      <c r="I10835" s="6" t="n">
        <f aca="false">(Sens!I10834*(Sens!I10805-Sens!I10768)+Sens!I10768-(Sens!I10770+Sens!I10771+Sens!I10772)-Sens!I10786-Sens!I10869)</f>
        <v>172.031140185604</v>
      </c>
      <c r="J10835" s="6" t="n">
        <f aca="false">(Sens!J10834*(Sens!J10805-Sens!J10768)+Sens!J10768-(Sens!J10770+Sens!J10771+Sens!J10772)-Sens!J10786-Sens!J10869)</f>
        <v>182.855335729531</v>
      </c>
      <c r="K10835" s="6" t="n">
        <f aca="false">(Sens!K10834*(Sens!K10805-Sens!K10768)+Sens!K10768-(Sens!K10770+Sens!K10771+Sens!K10772)-Sens!K10786-Sens!K10869)</f>
        <v>195.088404864353</v>
      </c>
      <c r="L10835" s="1" t="s">
        <v>1064</v>
      </c>
    </row>
    <row r="10836" customFormat="false" ht="17.15" hidden="false" customHeight="false" outlineLevel="0" collapsed="false">
      <c r="A10836" s="0" t="s">
        <v>1065</v>
      </c>
      <c r="B10836" s="0" t="s">
        <v>168</v>
      </c>
      <c r="E10836" s="7" t="n">
        <f aca="false">Q!M22/Q!M12</f>
        <v>0.296207935710698</v>
      </c>
      <c r="F10836" s="7" t="n">
        <f aca="false">Sens!$E$10836+dm_seg</f>
        <v>0.296207935710698</v>
      </c>
      <c r="G10836" s="7" t="n">
        <f aca="false">Sens!$E$10836+dm_seg</f>
        <v>0.296207935710698</v>
      </c>
      <c r="H10836" s="7" t="n">
        <f aca="false">Sens!$E$10836+dm_seg</f>
        <v>0.296207935710698</v>
      </c>
      <c r="I10836" s="7" t="n">
        <f aca="false">Sens!$E$10836+dm_seg</f>
        <v>0.296207935710698</v>
      </c>
      <c r="J10836" s="7" t="n">
        <f aca="false">Sens!$E$10836+dm_seg</f>
        <v>0.296207935710698</v>
      </c>
      <c r="K10836" s="7" t="n">
        <f aca="false">Sens!$E$10836+dm_seg</f>
        <v>0.296207935710698</v>
      </c>
      <c r="L10836" s="12" t="s">
        <v>1066</v>
      </c>
    </row>
    <row r="10837" customFormat="false" ht="17.15" hidden="false" customHeight="false" outlineLevel="0" collapsed="false">
      <c r="A10837" s="0" t="s">
        <v>886</v>
      </c>
      <c r="B10837" s="0" t="s">
        <v>98</v>
      </c>
      <c r="D10837" s="6" t="n">
        <f aca="false">Q!L22</f>
        <v>17.714</v>
      </c>
      <c r="E10837" s="6" t="n">
        <f aca="false">Q!M22</f>
        <v>18.872</v>
      </c>
      <c r="F10837" s="6" t="n">
        <f aca="false">Q!$I$22+(Sens!F10812-Q!$I$12)*Sens!F10836</f>
        <v>19.7894502685582</v>
      </c>
      <c r="G10837" s="6" t="n">
        <f aca="false">Sens!G10812*Sens!G10836</f>
        <v>19.5191516668472</v>
      </c>
      <c r="H10837" s="6" t="n">
        <f aca="false">Sens!H10812*Sens!H10836</f>
        <v>20.0972942955288</v>
      </c>
      <c r="I10837" s="6" t="n">
        <f aca="false">Sens!I10812*Sens!I10836</f>
        <v>20.7213763884845</v>
      </c>
      <c r="J10837" s="6" t="n">
        <f aca="false">Sens!J10812*Sens!J10836</f>
        <v>21.3649991484565</v>
      </c>
      <c r="K10837" s="6" t="n">
        <f aca="false">Sens!K10812*Sens!K10836</f>
        <v>22.0082117569484</v>
      </c>
      <c r="L10837" s="12" t="s">
        <v>1067</v>
      </c>
    </row>
    <row r="10838" customFormat="false" ht="15" hidden="false" customHeight="false" outlineLevel="0" collapsed="false">
      <c r="A10838" s="1" t="s">
        <v>1068</v>
      </c>
      <c r="B10838" s="0" t="s">
        <v>98</v>
      </c>
      <c r="D10838" s="6" t="n">
        <f aca="false">Sens!D10835+Sens!D10837</f>
        <v>128.528</v>
      </c>
      <c r="E10838" s="6" t="n">
        <f aca="false">Sens!E10835+Sens!E10837</f>
        <v>155.237</v>
      </c>
      <c r="F10838" s="6" t="n">
        <f aca="false">Sens!F10835+Sens!F10837</f>
        <v>177.899684425245</v>
      </c>
      <c r="G10838" s="6" t="n">
        <f aca="false">Sens!G10835+Sens!G10837</f>
        <v>180.807889434942</v>
      </c>
      <c r="H10838" s="6" t="n">
        <f aca="false">Sens!H10835+Sens!H10837</f>
        <v>182.847743521547</v>
      </c>
      <c r="I10838" s="6" t="n">
        <f aca="false">Sens!I10835+Sens!I10837</f>
        <v>192.752516574089</v>
      </c>
      <c r="J10838" s="6" t="n">
        <f aca="false">Sens!J10835+Sens!J10837</f>
        <v>204.220334877987</v>
      </c>
      <c r="K10838" s="6" t="n">
        <f aca="false">Sens!K10835+Sens!K10837</f>
        <v>217.096616621302</v>
      </c>
    </row>
    <row r="10839" customFormat="false" ht="15" hidden="false" customHeight="false" outlineLevel="0" collapsed="false">
      <c r="A10839" s="26" t="s">
        <v>1069</v>
      </c>
      <c r="B10839" s="31" t="s">
        <v>98</v>
      </c>
      <c r="C10839" s="31"/>
      <c r="D10839" s="27" t="n">
        <f aca="false">Sens!D10838-Q!L23</f>
        <v>0</v>
      </c>
      <c r="E10839" s="27" t="n">
        <f aca="false">Sens!E10838-Q!M23</f>
        <v>0</v>
      </c>
      <c r="F10839" s="31"/>
      <c r="G10839" s="31"/>
      <c r="H10839" s="31"/>
      <c r="I10839" s="31"/>
      <c r="J10839" s="31"/>
      <c r="K10839" s="31"/>
    </row>
    <row r="10840" customFormat="false" ht="15" hidden="false" customHeight="false" outlineLevel="0" collapsed="false">
      <c r="A10840" s="1" t="s">
        <v>1070</v>
      </c>
      <c r="B10840" s="0" t="s">
        <v>168</v>
      </c>
      <c r="D10840" s="7" t="n">
        <f aca="false">Sens!D10838/Sens!D10831</f>
        <v>0.456219562408598</v>
      </c>
      <c r="E10840" s="7" t="n">
        <f aca="false">Sens!E10838/Sens!E10831</f>
        <v>0.467808184089272</v>
      </c>
      <c r="F10840" s="7" t="n">
        <f aca="false">Sens!F10838/Sens!F10831</f>
        <v>0.45111748770611</v>
      </c>
      <c r="G10840" s="7" t="n">
        <f aca="false">Sens!G10838/Sens!G10831</f>
        <v>0.394300491430436</v>
      </c>
      <c r="H10840" s="7" t="n">
        <f aca="false">Sens!H10838/Sens!H10831</f>
        <v>0.352720402394684</v>
      </c>
      <c r="I10840" s="7" t="n">
        <f aca="false">Sens!I10838/Sens!I10831</f>
        <v>0.331961248979992</v>
      </c>
      <c r="J10840" s="7" t="n">
        <f aca="false">Sens!J10838/Sens!J10831</f>
        <v>0.32285497135907</v>
      </c>
      <c r="K10840" s="7" t="n">
        <f aca="false">Sens!K10838/Sens!K10831</f>
        <v>0.321895351352818</v>
      </c>
    </row>
    <row r="10841" customFormat="false" ht="17.15" hidden="false" customHeight="false" outlineLevel="0" collapsed="false">
      <c r="A10841" s="1" t="s">
        <v>1071</v>
      </c>
      <c r="B10841" s="0" t="s">
        <v>98</v>
      </c>
      <c r="F10841" s="6" t="n">
        <f aca="false">Sens!F10856</f>
        <v>10.5962787979473</v>
      </c>
      <c r="G10841" s="6" t="n">
        <f aca="false">Sens!G10856</f>
        <v>27.844646674932</v>
      </c>
      <c r="H10841" s="6" t="n">
        <f aca="false">Sens!H10856</f>
        <v>46.566205501382</v>
      </c>
      <c r="I10841" s="6" t="n">
        <f aca="false">Sens!I10856</f>
        <v>63.2717778126444</v>
      </c>
      <c r="J10841" s="6" t="n">
        <f aca="false">Sens!J10856</f>
        <v>74.9061222882009</v>
      </c>
      <c r="K10841" s="6" t="n">
        <f aca="false">Sens!K10856</f>
        <v>81.6395437180232</v>
      </c>
      <c r="L10841" s="1" t="s">
        <v>1072</v>
      </c>
    </row>
    <row r="10842" customFormat="false" ht="17.15" hidden="false" customHeight="false" outlineLevel="0" collapsed="false">
      <c r="A10842" s="1" t="s">
        <v>1073</v>
      </c>
      <c r="B10842" s="0" t="s">
        <v>98</v>
      </c>
      <c r="D10842" s="6" t="n">
        <f aca="false">Sens!D10838</f>
        <v>128.528</v>
      </c>
      <c r="E10842" s="6" t="n">
        <f aca="false">Sens!E10838</f>
        <v>155.237</v>
      </c>
      <c r="F10842" s="6" t="n">
        <f aca="false">Sens!F10838+Sens!F10841</f>
        <v>188.495963223192</v>
      </c>
      <c r="G10842" s="6" t="n">
        <f aca="false">Sens!G10838+Sens!G10841</f>
        <v>208.652536109874</v>
      </c>
      <c r="H10842" s="6" t="n">
        <f aca="false">Sens!H10838+Sens!H10841</f>
        <v>229.413949022929</v>
      </c>
      <c r="I10842" s="6" t="n">
        <f aca="false">Sens!I10838+Sens!I10841</f>
        <v>256.024294386733</v>
      </c>
      <c r="J10842" s="6" t="n">
        <f aca="false">Sens!J10838+Sens!J10841</f>
        <v>279.126457166188</v>
      </c>
      <c r="K10842" s="6" t="n">
        <f aca="false">Sens!K10838+Sens!K10841</f>
        <v>298.736160339325</v>
      </c>
    </row>
    <row r="10843" customFormat="false" ht="17.15" hidden="false" customHeight="false" outlineLevel="0" collapsed="false">
      <c r="A10843" s="1" t="s">
        <v>1074</v>
      </c>
      <c r="B10843" s="0" t="s">
        <v>98</v>
      </c>
      <c r="E10843" s="6" t="n">
        <f aca="false">Sens!E10786</f>
        <v>16.3054059770833</v>
      </c>
      <c r="F10843" s="6" t="n">
        <f aca="false">Sens!F10786</f>
        <v>34.5793144783516</v>
      </c>
      <c r="G10843" s="6" t="n">
        <f aca="false">Sens!G10786</f>
        <v>60.7344906522989</v>
      </c>
      <c r="H10843" s="6" t="n">
        <f aca="false">Sens!H10786</f>
        <v>89.1000906614457</v>
      </c>
      <c r="I10843" s="6" t="n">
        <f aca="false">Sens!I10786</f>
        <v>114.231009694548</v>
      </c>
      <c r="J10843" s="6" t="n">
        <f aca="false">Sens!J10786</f>
        <v>132.015673049596</v>
      </c>
      <c r="K10843" s="6" t="n">
        <f aca="false">Sens!K10786</f>
        <v>143.012669550934</v>
      </c>
    </row>
    <row r="10844" customFormat="false" ht="17.15" hidden="false" customHeight="false" outlineLevel="0" collapsed="false">
      <c r="A10844" s="1" t="s">
        <v>1075</v>
      </c>
      <c r="B10844" s="0" t="s">
        <v>98</v>
      </c>
      <c r="E10844" s="6" t="n">
        <f aca="false">Sens!E10868</f>
        <v>22.2285940229167</v>
      </c>
      <c r="F10844" s="6" t="n">
        <f aca="false">Sens!F10868</f>
        <v>23.5875848079552</v>
      </c>
      <c r="G10844" s="6" t="n">
        <f aca="false">Sens!G10868</f>
        <v>25.3438974931356</v>
      </c>
      <c r="H10844" s="6" t="n">
        <f aca="false">Sens!H10868</f>
        <v>27.4648304146133</v>
      </c>
      <c r="I10844" s="6" t="n">
        <f aca="false">Sens!I10868</f>
        <v>29.8920629797229</v>
      </c>
      <c r="J10844" s="6" t="n">
        <f aca="false">Sens!J10868</f>
        <v>32.5491307050375</v>
      </c>
      <c r="K10844" s="6" t="n">
        <f aca="false">Sens!K10868</f>
        <v>35.350031950116</v>
      </c>
    </row>
    <row r="10845" customFormat="false" ht="17.15" hidden="false" customHeight="false" outlineLevel="0" collapsed="false">
      <c r="A10845" s="1" t="s">
        <v>1076</v>
      </c>
      <c r="B10845" s="0" t="s">
        <v>98</v>
      </c>
      <c r="D10845" s="6" t="n">
        <f aca="false">Q!L27</f>
        <v>-4.901</v>
      </c>
      <c r="E10845" s="6" t="n">
        <f aca="false">Q!M27</f>
        <v>10.697</v>
      </c>
      <c r="F10845" s="6" t="n">
        <f aca="false">Q!$I$27+oie_f*(q_per_yr-1)/q_per_yr</f>
        <v>-0.862</v>
      </c>
      <c r="G10845" s="6" t="n">
        <f aca="false">oie_f</f>
        <v>-1.2</v>
      </c>
      <c r="H10845" s="6" t="n">
        <f aca="false">oie_f</f>
        <v>-1.2</v>
      </c>
      <c r="I10845" s="6" t="n">
        <f aca="false">oie_f</f>
        <v>-1.2</v>
      </c>
      <c r="J10845" s="6" t="n">
        <f aca="false">oie_f</f>
        <v>-1.2</v>
      </c>
      <c r="K10845" s="6" t="n">
        <f aca="false">oie_f</f>
        <v>-1.2</v>
      </c>
      <c r="L10845" s="12" t="s">
        <v>1077</v>
      </c>
    </row>
    <row r="10846" customFormat="false" ht="15" hidden="false" customHeight="false" outlineLevel="0" collapsed="false">
      <c r="A10846" s="1" t="s">
        <v>1078</v>
      </c>
      <c r="B10846" s="0" t="s">
        <v>98</v>
      </c>
      <c r="D10846" s="6" t="n">
        <f aca="false">Sens!D10838+Sens!D10845</f>
        <v>123.627</v>
      </c>
      <c r="E10846" s="6" t="n">
        <f aca="false">Sens!E10838+Sens!E10845</f>
        <v>165.934</v>
      </c>
      <c r="F10846" s="6" t="n">
        <f aca="false">Sens!F10838+Sens!F10845</f>
        <v>177.037684425245</v>
      </c>
      <c r="G10846" s="6" t="n">
        <f aca="false">Sens!G10838+Sens!G10845</f>
        <v>179.607889434942</v>
      </c>
      <c r="H10846" s="6" t="n">
        <f aca="false">Sens!H10838+Sens!H10845</f>
        <v>181.647743521547</v>
      </c>
      <c r="I10846" s="6" t="n">
        <f aca="false">Sens!I10838+Sens!I10845</f>
        <v>191.552516574089</v>
      </c>
      <c r="J10846" s="6" t="n">
        <f aca="false">Sens!J10838+Sens!J10845</f>
        <v>203.020334877987</v>
      </c>
      <c r="K10846" s="6" t="n">
        <f aca="false">Sens!K10838+Sens!K10845</f>
        <v>215.896616621302</v>
      </c>
    </row>
    <row r="10847" customFormat="false" ht="15" hidden="false" customHeight="false" outlineLevel="0" collapsed="false">
      <c r="A10847" s="1" t="s">
        <v>1079</v>
      </c>
      <c r="B10847" s="0" t="s">
        <v>98</v>
      </c>
      <c r="D10847" s="6" t="n">
        <f aca="false">Q!L29</f>
        <v>21.795</v>
      </c>
      <c r="E10847" s="6" t="n">
        <f aca="false">Q!M29</f>
        <v>32.185</v>
      </c>
      <c r="F10847" s="6" t="n">
        <f aca="false">Q!$I$29+(Sens!F10846-Q!$I$28)*tax_f</f>
        <v>35.540936885049</v>
      </c>
      <c r="G10847" s="6" t="n">
        <f aca="false">Sens!G10846*tax_f</f>
        <v>35.9215778869885</v>
      </c>
      <c r="H10847" s="6" t="n">
        <f aca="false">Sens!H10846*tax_f</f>
        <v>36.3295487043094</v>
      </c>
      <c r="I10847" s="6" t="n">
        <f aca="false">Sens!I10846*tax_f</f>
        <v>38.3105033148177</v>
      </c>
      <c r="J10847" s="6" t="n">
        <f aca="false">Sens!J10846*tax_f</f>
        <v>40.6040669755974</v>
      </c>
      <c r="K10847" s="6" t="n">
        <f aca="false">Sens!K10846*tax_f</f>
        <v>43.1793233242604</v>
      </c>
    </row>
    <row r="10848" customFormat="false" ht="15" hidden="false" customHeight="false" outlineLevel="0" collapsed="false">
      <c r="A10848" s="1" t="s">
        <v>1080</v>
      </c>
      <c r="B10848" s="0" t="s">
        <v>98</v>
      </c>
      <c r="D10848" s="6" t="n">
        <f aca="false">Sens!D10846-Sens!D10847</f>
        <v>101.832</v>
      </c>
      <c r="E10848" s="6" t="n">
        <f aca="false">Sens!E10846-Sens!E10847</f>
        <v>133.749</v>
      </c>
      <c r="F10848" s="6" t="n">
        <f aca="false">Sens!F10846-Sens!F10847</f>
        <v>141.496747540196</v>
      </c>
      <c r="G10848" s="6" t="n">
        <f aca="false">Sens!G10846-Sens!G10847</f>
        <v>143.686311547954</v>
      </c>
      <c r="H10848" s="6" t="n">
        <f aca="false">Sens!H10846-Sens!H10847</f>
        <v>145.318194817238</v>
      </c>
      <c r="I10848" s="6" t="n">
        <f aca="false">Sens!I10846-Sens!I10847</f>
        <v>153.242013259271</v>
      </c>
      <c r="J10848" s="6" t="n">
        <f aca="false">Sens!J10846-Sens!J10847</f>
        <v>162.41626790239</v>
      </c>
      <c r="K10848" s="6" t="n">
        <f aca="false">Sens!K10846-Sens!K10847</f>
        <v>172.717293297042</v>
      </c>
    </row>
    <row r="10849" customFormat="false" ht="17.15" hidden="false" customHeight="false" outlineLevel="0" collapsed="false">
      <c r="A10849" s="1" t="s">
        <v>1081</v>
      </c>
      <c r="B10849" s="1" t="s">
        <v>81</v>
      </c>
      <c r="D10849" s="15" t="n">
        <f aca="false">Q!L31</f>
        <v>7.465</v>
      </c>
      <c r="E10849" s="15" t="n">
        <f aca="false">Q!M31</f>
        <v>7.453</v>
      </c>
      <c r="F10849" s="15" t="n">
        <f aca="false">Sens!F10893</f>
        <v>7.4735</v>
      </c>
      <c r="G10849" s="15" t="n">
        <f aca="false">Sens!G10893</f>
        <v>7.5185</v>
      </c>
      <c r="H10849" s="15" t="n">
        <f aca="false">Sens!H10893</f>
        <v>7.5635</v>
      </c>
      <c r="I10849" s="15" t="n">
        <f aca="false">Sens!I10893</f>
        <v>7.59248142502667</v>
      </c>
      <c r="J10849" s="15" t="n">
        <f aca="false">Sens!J10893</f>
        <v>7.60663083618914</v>
      </c>
      <c r="K10849" s="15" t="n">
        <f aca="false">Sens!K10893</f>
        <v>7.62306547615439</v>
      </c>
    </row>
    <row r="10850" customFormat="false" ht="17.15" hidden="false" customHeight="false" outlineLevel="0" collapsed="false">
      <c r="A10850" s="0" t="s">
        <v>1082</v>
      </c>
      <c r="B10850" s="0" t="s">
        <v>75</v>
      </c>
      <c r="D10850" s="8" t="n">
        <f aca="false">Sens!D10848/Sens!D10849</f>
        <v>13.641259209645</v>
      </c>
      <c r="E10850" s="8" t="n">
        <f aca="false">Sens!E10848/Sens!E10849</f>
        <v>17.9456594659869</v>
      </c>
      <c r="F10850" s="8" t="n">
        <f aca="false">Sens!F10848/Sens!F10849</f>
        <v>18.9331300649222</v>
      </c>
      <c r="G10850" s="8" t="n">
        <f aca="false">Sens!G10848/Sens!G10849</f>
        <v>19.1110343217336</v>
      </c>
      <c r="H10850" s="8" t="n">
        <f aca="false">Sens!H10848/Sens!H10849</f>
        <v>19.2130884930571</v>
      </c>
      <c r="I10850" s="8" t="n">
        <f aca="false">Sens!I10848/Sens!I10849</f>
        <v>20.1833899460258</v>
      </c>
      <c r="J10850" s="8" t="n">
        <f aca="false">Sens!J10848/Sens!J10849</f>
        <v>21.3519324652488</v>
      </c>
      <c r="K10850" s="8" t="n">
        <f aca="false">Sens!K10848/Sens!K10849</f>
        <v>22.6571966143169</v>
      </c>
      <c r="L10850" s="1" t="s">
        <v>1083</v>
      </c>
    </row>
    <row r="10851" customFormat="false" ht="17.15" hidden="false" customHeight="false" outlineLevel="0" collapsed="false">
      <c r="A10851" s="1" t="s">
        <v>1084</v>
      </c>
      <c r="B10851" s="0" t="s">
        <v>98</v>
      </c>
      <c r="D10851" s="6" t="n">
        <f aca="false">Sens!D10848</f>
        <v>101.832</v>
      </c>
      <c r="E10851" s="6" t="n">
        <f aca="false">Sens!E10848</f>
        <v>133.749</v>
      </c>
      <c r="F10851" s="6" t="n">
        <f aca="false">Sens!F10848+Sens!F10841*(1-tax_f)</f>
        <v>149.973770578554</v>
      </c>
      <c r="G10851" s="6" t="n">
        <f aca="false">Sens!G10848+Sens!G10841*(1-tax_f)</f>
        <v>165.9620288879</v>
      </c>
      <c r="H10851" s="6" t="n">
        <f aca="false">Sens!H10848+Sens!H10841*(1-tax_f)</f>
        <v>182.571159218343</v>
      </c>
      <c r="I10851" s="6" t="n">
        <f aca="false">Sens!I10848+Sens!I10841*(1-tax_f)</f>
        <v>203.859435509386</v>
      </c>
      <c r="J10851" s="6" t="n">
        <f aca="false">Sens!J10848+Sens!J10841*(1-tax_f)</f>
        <v>222.34116573295</v>
      </c>
      <c r="K10851" s="6" t="n">
        <f aca="false">Sens!K10848+Sens!K10841*(1-tax_f)</f>
        <v>238.02892827146</v>
      </c>
    </row>
    <row r="10852" customFormat="false" ht="17.15" hidden="false" customHeight="false" outlineLevel="0" collapsed="false">
      <c r="A10852" s="0" t="s">
        <v>1085</v>
      </c>
      <c r="B10852" s="0" t="s">
        <v>75</v>
      </c>
      <c r="D10852" s="8" t="n">
        <f aca="false">Sens!D10851/Sens!D10849</f>
        <v>13.641259209645</v>
      </c>
      <c r="E10852" s="8" t="n">
        <f aca="false">Sens!E10851/Sens!E10849</f>
        <v>17.9456594659869</v>
      </c>
      <c r="F10852" s="8" t="n">
        <f aca="false">Sens!F10851/Sens!F10849</f>
        <v>20.0674075839371</v>
      </c>
      <c r="G10852" s="8" t="n">
        <f aca="false">Sens!G10851/Sens!G10849</f>
        <v>22.0738217580501</v>
      </c>
      <c r="H10852" s="8" t="n">
        <f aca="false">Sens!H10851/Sens!H10849</f>
        <v>24.1384490273476</v>
      </c>
      <c r="I10852" s="8" t="n">
        <f aca="false">Sens!I10851/Sens!I10849</f>
        <v>26.8501724399899</v>
      </c>
      <c r="J10852" s="8" t="n">
        <f aca="false">Sens!J10851/Sens!J10849</f>
        <v>29.2299140738032</v>
      </c>
      <c r="K10852" s="8" t="n">
        <f aca="false">Sens!K10851/Sens!K10849</f>
        <v>31.2248306165066</v>
      </c>
      <c r="L10852" s="1" t="s">
        <v>1086</v>
      </c>
    </row>
    <row r="10853" customFormat="false" ht="17.15" hidden="false" customHeight="false" outlineLevel="0" collapsed="false">
      <c r="A10853" s="0" t="s">
        <v>1087</v>
      </c>
      <c r="B10853" s="0" t="s">
        <v>168</v>
      </c>
      <c r="E10853" s="7" t="n">
        <f aca="false">Sens!E10852/Sens!D10852-1</f>
        <v>0.315542736208578</v>
      </c>
      <c r="F10853" s="7" t="n">
        <f aca="false">Sens!F10852/Sens!E10852-1</f>
        <v>0.118231827700269</v>
      </c>
      <c r="G10853" s="7" t="n">
        <f aca="false">Sens!G10852/Sens!F10852-1</f>
        <v>0.0999837256367386</v>
      </c>
      <c r="H10853" s="7" t="n">
        <f aca="false">Sens!H10852/Sens!G10852-1</f>
        <v>0.0935328413868584</v>
      </c>
      <c r="I10853" s="7" t="n">
        <f aca="false">Sens!I10852/Sens!H10852-1</f>
        <v>0.112340416303058</v>
      </c>
      <c r="J10853" s="7" t="n">
        <f aca="false">Sens!J10852/Sens!I10852-1</f>
        <v>0.0886304041112587</v>
      </c>
      <c r="K10853" s="7" t="n">
        <f aca="false">Sens!K10852/Sens!J10852-1</f>
        <v>0.0682491415358379</v>
      </c>
    </row>
    <row r="10854" customFormat="false" ht="17.15" hidden="false" customHeight="false" outlineLevel="0" collapsed="false">
      <c r="A10854" s="0" t="s">
        <v>1007</v>
      </c>
      <c r="B10854" s="0" t="s">
        <v>98</v>
      </c>
      <c r="E10854" s="6" t="n">
        <f aca="false">Sens!E10795</f>
        <v>5.25</v>
      </c>
      <c r="F10854" s="6" t="n">
        <f aca="false">Sens!F10795</f>
        <v>10.5</v>
      </c>
      <c r="G10854" s="6" t="n">
        <f aca="false">Sens!G10795</f>
        <v>13.5</v>
      </c>
      <c r="H10854" s="6" t="n">
        <f aca="false">Sens!H10795</f>
        <v>16.5</v>
      </c>
      <c r="I10854" s="6" t="n">
        <f aca="false">Sens!I10795</f>
        <v>18.75</v>
      </c>
      <c r="J10854" s="6" t="n">
        <f aca="false">Sens!J10795</f>
        <v>20.25</v>
      </c>
      <c r="K10854" s="6" t="n">
        <f aca="false">Sens!K10795</f>
        <v>21.75</v>
      </c>
    </row>
    <row r="10855" customFormat="false" ht="17.15" hidden="false" customHeight="false" outlineLevel="0" collapsed="false">
      <c r="A10855" s="1" t="s">
        <v>1008</v>
      </c>
      <c r="B10855" s="0" t="s">
        <v>98</v>
      </c>
      <c r="F10855" s="6" t="n">
        <f aca="false">MAX(0,((Sens!E10755+Sens!F10755)/2-(shadow_base*(Sens!$D$10755+Sens!$E$10755)/2+(1-shadow_base)*Sens!$E$10755))*Sens!F10764/1000-(Sens!F10854-Sens!$E$10854)*Sens!F10834)</f>
        <v>10.5962787979473</v>
      </c>
      <c r="G10855" s="6" t="n">
        <f aca="false">MAX(0,((Sens!F10755+Sens!G10755)/2-(shadow_base*(Sens!$D$10755+Sens!$E$10755)/2+(1-shadow_base)*Sens!$E$10755))*Sens!G10764/1000-(Sens!G10854-Sens!$E$10854)*Sens!G10834)</f>
        <v>27.844646674932</v>
      </c>
      <c r="H10855" s="6" t="n">
        <f aca="false">MAX(0,((Sens!G10755+Sens!H10755)/2-(shadow_base*(Sens!$D$10755+Sens!$E$10755)/2+(1-shadow_base)*Sens!$E$10755))*Sens!H10764/1000-(Sens!H10854-Sens!$E$10854)*Sens!H10834)</f>
        <v>46.566205501382</v>
      </c>
      <c r="I10855" s="6" t="n">
        <f aca="false">MAX(0,((Sens!H10755+Sens!I10755)/2-(shadow_base*(Sens!$D$10755+Sens!$E$10755)/2+(1-shadow_base)*Sens!$E$10755))*Sens!I10764/1000-(Sens!I10854-Sens!$E$10854)*Sens!I10834)</f>
        <v>63.2717778126444</v>
      </c>
      <c r="J10855" s="6" t="n">
        <f aca="false">MAX(0,((Sens!I10755+Sens!J10755)/2-(shadow_base*(Sens!$D$10755+Sens!$E$10755)/2+(1-shadow_base)*Sens!$E$10755))*Sens!J10764/1000-(Sens!J10854-Sens!$E$10854)*Sens!J10834)</f>
        <v>74.9061222882009</v>
      </c>
      <c r="K10855" s="6" t="n">
        <f aca="false">MAX(0,((Sens!J10755+Sens!K10755)/2-(shadow_base*(Sens!$D$10755+Sens!$E$10755)/2+(1-shadow_base)*Sens!$E$10755))*Sens!K10764/1000-(Sens!K10854-Sens!$E$10854)*Sens!K10834)</f>
        <v>81.6395437180232</v>
      </c>
      <c r="L10855" s="1" t="s">
        <v>1009</v>
      </c>
    </row>
    <row r="10856" customFormat="false" ht="17.15" hidden="false" customHeight="false" outlineLevel="0" collapsed="false">
      <c r="A10856" s="1" t="s">
        <v>1010</v>
      </c>
      <c r="B10856" s="0" t="s">
        <v>98</v>
      </c>
      <c r="F10856" s="6" t="n">
        <f aca="false">IF(internal_ai_reading=2,1,0)*Sens!F10855</f>
        <v>10.5962787979473</v>
      </c>
      <c r="G10856" s="6" t="n">
        <f aca="false">IF(internal_ai_reading=2,1,0)*Sens!G10855</f>
        <v>27.844646674932</v>
      </c>
      <c r="H10856" s="6" t="n">
        <f aca="false">IF(internal_ai_reading=2,1,0)*Sens!H10855</f>
        <v>46.566205501382</v>
      </c>
      <c r="I10856" s="6" t="n">
        <f aca="false">IF(internal_ai_reading=2,1,0)*Sens!I10855</f>
        <v>63.2717778126444</v>
      </c>
      <c r="J10856" s="6" t="n">
        <f aca="false">IF(internal_ai_reading=2,1,0)*Sens!J10855</f>
        <v>74.9061222882009</v>
      </c>
      <c r="K10856" s="6" t="n">
        <f aca="false">IF(internal_ai_reading=2,1,0)*Sens!K10855</f>
        <v>81.6395437180232</v>
      </c>
    </row>
    <row r="10857" customFormat="false" ht="17.15" hidden="false" customHeight="false" outlineLevel="0" collapsed="false">
      <c r="A10857" s="0" t="s">
        <v>1011</v>
      </c>
      <c r="B10857" s="0" t="s">
        <v>98</v>
      </c>
      <c r="F10857" s="6" t="n">
        <f aca="false">Sens!F10774+Sens!F10854*Sens!F10834+Sens!F10856-Sens!F10775-Sens!F10786</f>
        <v>10.3853806853618</v>
      </c>
      <c r="G10857" s="6" t="n">
        <f aca="false">Sens!G10774+Sens!G10854*Sens!G10834+Sens!G10856-Sens!G10775-Sens!G10786</f>
        <v>16.4389313105741</v>
      </c>
      <c r="H10857" s="6" t="n">
        <f aca="false">Sens!H10774+Sens!H10854*Sens!H10834+Sens!H10856-Sens!H10775-Sens!H10786</f>
        <v>17.135416308873</v>
      </c>
      <c r="I10857" s="6" t="n">
        <f aca="false">Sens!I10774+Sens!I10854*Sens!I10834+Sens!I10856-Sens!I10775-Sens!I10786</f>
        <v>24.1293804008657</v>
      </c>
      <c r="J10857" s="6" t="n">
        <f aca="false">Sens!J10774+Sens!J10854*Sens!J10834+Sens!J10856-Sens!J10775-Sens!J10786</f>
        <v>28.8545659869181</v>
      </c>
      <c r="K10857" s="6" t="n">
        <f aca="false">Sens!K10774+Sens!K10854*Sens!K10834+Sens!K10856-Sens!K10775-Sens!K10786</f>
        <v>32.13747485251</v>
      </c>
    </row>
    <row r="10858" customFormat="false" ht="17.15" hidden="false" customHeight="false" outlineLevel="0" collapsed="false">
      <c r="A10858" s="0" t="s">
        <v>1012</v>
      </c>
      <c r="B10858" s="0" t="s">
        <v>98</v>
      </c>
      <c r="E10858" s="6" t="n">
        <f aca="false">Sens!E10754*(cxit_open+self_build*tk_cxfac)/1000*ai_net_open</f>
        <v>126.6980382</v>
      </c>
      <c r="F10858" s="6" t="n">
        <f aca="false">Sens!E10858+Sens!F10783-Sens!F10786</f>
        <v>260.572627763768</v>
      </c>
      <c r="G10858" s="6" t="n">
        <f aca="false">Sens!F10858+Sens!G10783-Sens!G10786</f>
        <v>391.782612760517</v>
      </c>
      <c r="H10858" s="6" t="n">
        <f aca="false">Sens!G10858+Sens!H10783-Sens!H10786</f>
        <v>499.488526163584</v>
      </c>
      <c r="I10858" s="6" t="n">
        <f aca="false">Sens!H10858+Sens!I10783-Sens!I10786</f>
        <v>553.872350090646</v>
      </c>
      <c r="J10858" s="6" t="n">
        <f aca="false">Sens!I10858+Sens!J10783-Sens!J10786</f>
        <v>550.78660823699</v>
      </c>
      <c r="K10858" s="6" t="n">
        <f aca="false">Sens!J10858+Sens!K10783-Sens!K10786</f>
        <v>526.736791750789</v>
      </c>
      <c r="L10858" s="1" t="s">
        <v>1013</v>
      </c>
    </row>
    <row r="10859" customFormat="false" ht="17.15" hidden="false" customHeight="false" outlineLevel="0" collapsed="false">
      <c r="A10859" s="0" t="s">
        <v>1014</v>
      </c>
      <c r="B10859" s="0" t="s">
        <v>168</v>
      </c>
      <c r="F10859" s="7" t="n">
        <f aca="false">Sens!F10857*(1-tax_f)/((Sens!E10858+Sens!F10858)/2)</f>
        <v>0.0429069654816909</v>
      </c>
      <c r="G10859" s="7" t="n">
        <f aca="false">Sens!G10857*(1-tax_f)/((Sens!F10858+Sens!G10858)/2)</f>
        <v>0.0403189680453549</v>
      </c>
      <c r="H10859" s="7" t="n">
        <f aca="false">Sens!H10857*(1-tax_f)/((Sens!G10858+Sens!H10858)/2)</f>
        <v>0.0307613080877867</v>
      </c>
      <c r="I10859" s="7" t="n">
        <f aca="false">Sens!I10857*(1-tax_f)/((Sens!H10858+Sens!I10858)/2)</f>
        <v>0.0366512650238846</v>
      </c>
      <c r="J10859" s="7" t="n">
        <f aca="false">Sens!J10857*(1-tax_f)/((Sens!I10858+Sens!J10858)/2)</f>
        <v>0.0417932659044041</v>
      </c>
      <c r="K10859" s="7" t="n">
        <f aca="false">Sens!K10857*(1-tax_f)/((Sens!J10858+Sens!K10858)/2)</f>
        <v>0.0477205040415821</v>
      </c>
    </row>
    <row r="10860" customFormat="false" ht="17.15" hidden="false" customHeight="false" outlineLevel="0" collapsed="false">
      <c r="A10860" s="1" t="s">
        <v>1015</v>
      </c>
      <c r="B10860" s="0" t="s">
        <v>168</v>
      </c>
      <c r="F10860" s="7" t="n">
        <f aca="false">(Sens!F10857-Sens!F10856)*(1-tax_f)/((Sens!E10858+Sens!F10858)/2)</f>
        <v>-0.000871320783610466</v>
      </c>
      <c r="G10860" s="7" t="n">
        <f aca="false">(Sens!G10857-Sens!G10856)*(1-tax_f)/((Sens!F10858+Sens!G10858)/2)</f>
        <v>-0.0279742438618356</v>
      </c>
      <c r="H10860" s="7" t="n">
        <f aca="false">(Sens!H10857-Sens!H10856)*(1-tax_f)/((Sens!G10858+Sens!H10858)/2)</f>
        <v>-0.0528338242443913</v>
      </c>
      <c r="I10860" s="7" t="n">
        <f aca="false">(Sens!I10857-Sens!I10856)*(1-tax_f)/((Sens!H10858+Sens!I10858)/2)</f>
        <v>-0.059455251538819</v>
      </c>
      <c r="J10860" s="7" t="n">
        <f aca="false">(Sens!J10857-Sens!J10856)*(1-tax_f)/((Sens!I10858+Sens!J10858)/2)</f>
        <v>-0.0667015729394002</v>
      </c>
      <c r="K10860" s="7" t="n">
        <f aca="false">(Sens!K10857-Sens!K10856)*(1-tax_f)/((Sens!J10858+Sens!K10858)/2)</f>
        <v>-0.0735049560740113</v>
      </c>
    </row>
    <row r="10861" customFormat="false" ht="17.15" hidden="false" customHeight="false" outlineLevel="0" collapsed="false">
      <c r="A10861" s="1" t="s">
        <v>1016</v>
      </c>
      <c r="B10861" s="0" t="s">
        <v>168</v>
      </c>
      <c r="F10861" s="7" t="n">
        <f aca="false">(Sens!F10857-Sens!F10856+Sens!F10855)*(1-tax_f)/((Sens!E10858+Sens!F10858)/2)</f>
        <v>0.0429069654816909</v>
      </c>
      <c r="G10861" s="7" t="n">
        <f aca="false">(Sens!G10857-Sens!G10856+Sens!G10855)*(1-tax_f)/((Sens!F10858+Sens!G10858)/2)</f>
        <v>0.0403189680453549</v>
      </c>
      <c r="H10861" s="7" t="n">
        <f aca="false">(Sens!H10857-Sens!H10856+Sens!H10855)*(1-tax_f)/((Sens!G10858+Sens!H10858)/2)</f>
        <v>0.0307613080877867</v>
      </c>
      <c r="I10861" s="7" t="n">
        <f aca="false">(Sens!I10857-Sens!I10856+Sens!I10855)*(1-tax_f)/((Sens!H10858+Sens!I10858)/2)</f>
        <v>0.0366512650238846</v>
      </c>
      <c r="J10861" s="7" t="n">
        <f aca="false">(Sens!J10857-Sens!J10856+Sens!J10855)*(1-tax_f)/((Sens!I10858+Sens!J10858)/2)</f>
        <v>0.0417932659044041</v>
      </c>
      <c r="K10861" s="7" t="n">
        <f aca="false">(Sens!K10857-Sens!K10856+Sens!K10855)*(1-tax_f)/((Sens!J10858+Sens!K10858)/2)</f>
        <v>0.0477205040415821</v>
      </c>
    </row>
    <row r="10862" customFormat="false" ht="17.15" hidden="false" customHeight="false" outlineLevel="0" collapsed="false">
      <c r="A10862" s="1" t="s">
        <v>1017</v>
      </c>
      <c r="B10862" s="0" t="s">
        <v>168</v>
      </c>
      <c r="F10862" s="7" t="n">
        <f aca="false">Sens!F10787*(1-tax_f)/(Sens!F10773*(Sens!E10858+Sens!F10858)/2)</f>
        <v>0.098791430090569</v>
      </c>
      <c r="G10862" s="7" t="n">
        <f aca="false">Sens!G10787*(1-tax_f)/(Sens!G10773*(Sens!F10858+Sens!G10858)/2)</f>
        <v>0.0675308856427828</v>
      </c>
      <c r="H10862" s="7" t="n">
        <f aca="false">Sens!H10787*(1-tax_f)/(Sens!H10773*(Sens!G10858+Sens!H10858)/2)</f>
        <v>0.0388374979528754</v>
      </c>
      <c r="I10862" s="7" t="n">
        <f aca="false">Sens!I10787*(1-tax_f)/(Sens!I10773*(Sens!H10858+Sens!I10858)/2)</f>
        <v>0.0411035671771815</v>
      </c>
      <c r="J10862" s="7" t="n">
        <f aca="false">Sens!J10787*(1-tax_f)/(Sens!J10773*(Sens!I10858+Sens!J10858)/2)</f>
        <v>0.0445222722541192</v>
      </c>
      <c r="K10862" s="7" t="n">
        <f aca="false">Sens!K10787*(1-tax_f)/(Sens!K10773*(Sens!J10858+Sens!K10858)/2)</f>
        <v>0.0498866361688162</v>
      </c>
    </row>
    <row r="10863" customFormat="false" ht="17.15" hidden="false" customHeight="false" outlineLevel="0" collapsed="false">
      <c r="A10863" s="0" t="s">
        <v>1018</v>
      </c>
      <c r="B10863" s="0" t="s">
        <v>253</v>
      </c>
      <c r="F10863" s="7" t="n">
        <f aca="false">Sens!F10859-wacc</f>
        <v>-0.0600296254639064</v>
      </c>
      <c r="G10863" s="7" t="n">
        <f aca="false">Sens!G10859-wacc</f>
        <v>-0.0626176229002424</v>
      </c>
      <c r="H10863" s="7" t="n">
        <f aca="false">Sens!H10859-wacc</f>
        <v>-0.0721752828578106</v>
      </c>
      <c r="I10863" s="7" t="n">
        <f aca="false">Sens!I10859-wacc</f>
        <v>-0.0662853259217127</v>
      </c>
      <c r="J10863" s="7" t="n">
        <f aca="false">Sens!J10859-wacc</f>
        <v>-0.0611433250411932</v>
      </c>
      <c r="K10863" s="7" t="n">
        <f aca="false">Sens!K10859-wacc</f>
        <v>-0.0552160869040152</v>
      </c>
    </row>
    <row r="10864" customFormat="false" ht="17.15" hidden="false" customHeight="false" outlineLevel="0" collapsed="false">
      <c r="A10864" s="0" t="s">
        <v>1019</v>
      </c>
      <c r="B10864" s="0" t="s">
        <v>98</v>
      </c>
      <c r="F10864" s="6" t="n">
        <f aca="false">Sens!F10857*(1-tax_f)-wacc*(Sens!E10858+Sens!F10858)/2</f>
        <v>-11.6238565154813</v>
      </c>
      <c r="G10864" s="6" t="n">
        <f aca="false">Sens!G10857*(1-tax_f)-wacc*(Sens!F10858+Sens!G10858)/2</f>
        <v>-20.4244672240733</v>
      </c>
      <c r="H10864" s="6" t="n">
        <f aca="false">Sens!H10857*(1-tax_f)-wacc*(Sens!G10858+Sens!H10858)/2</f>
        <v>-32.163873277425</v>
      </c>
      <c r="I10864" s="6" t="n">
        <f aca="false">Sens!I10857*(1-tax_f)-wacc*(Sens!H10858+Sens!I10858)/2</f>
        <v>-34.9111844978462</v>
      </c>
      <c r="J10864" s="6" t="n">
        <f aca="false">Sens!J10857*(1-tax_f)-wacc*(Sens!I10858+Sens!J10858)/2</f>
        <v>-33.7712608743463</v>
      </c>
      <c r="K10864" s="6" t="n">
        <f aca="false">Sens!K10857*(1-tax_f)-wacc*(Sens!J10858+Sens!K10858)/2</f>
        <v>-29.7483128474176</v>
      </c>
    </row>
    <row r="10865" customFormat="false" ht="17.15" hidden="false" customHeight="false" outlineLevel="0" collapsed="false">
      <c r="A10865" s="3" t="s">
        <v>1883</v>
      </c>
    </row>
    <row r="10866" customFormat="false" ht="15" hidden="false" customHeight="false" outlineLevel="0" collapsed="false">
      <c r="A10866" s="4" t="s">
        <v>43</v>
      </c>
      <c r="B10866" s="4" t="s">
        <v>65</v>
      </c>
      <c r="C10866" s="23" t="s">
        <v>942</v>
      </c>
      <c r="D10866" s="23" t="s">
        <v>943</v>
      </c>
      <c r="E10866" s="23" t="s">
        <v>944</v>
      </c>
      <c r="F10866" s="23" t="s">
        <v>945</v>
      </c>
      <c r="G10866" s="23" t="s">
        <v>946</v>
      </c>
      <c r="H10866" s="23" t="s">
        <v>947</v>
      </c>
      <c r="I10866" s="23" t="s">
        <v>948</v>
      </c>
      <c r="J10866" s="23" t="s">
        <v>949</v>
      </c>
      <c r="K10866" s="23" t="s">
        <v>950</v>
      </c>
      <c r="L10866" s="4" t="s">
        <v>47</v>
      </c>
    </row>
    <row r="10867" customFormat="false" ht="15" hidden="false" customHeight="false" outlineLevel="0" collapsed="false">
      <c r="A10867" s="1" t="s">
        <v>1080</v>
      </c>
      <c r="B10867" s="0" t="s">
        <v>98</v>
      </c>
      <c r="F10867" s="6" t="n">
        <f aca="false">Sens!F10848</f>
        <v>141.496747540196</v>
      </c>
      <c r="G10867" s="6" t="n">
        <f aca="false">Sens!G10848</f>
        <v>143.686311547954</v>
      </c>
      <c r="H10867" s="6" t="n">
        <f aca="false">Sens!H10848</f>
        <v>145.318194817238</v>
      </c>
      <c r="I10867" s="6" t="n">
        <f aca="false">Sens!I10848</f>
        <v>153.242013259271</v>
      </c>
      <c r="J10867" s="6" t="n">
        <f aca="false">Sens!J10848</f>
        <v>162.41626790239</v>
      </c>
      <c r="K10867" s="6" t="n">
        <f aca="false">Sens!K10848</f>
        <v>172.717293297042</v>
      </c>
    </row>
    <row r="10868" customFormat="false" ht="17.15" hidden="false" customHeight="false" outlineLevel="0" collapsed="false">
      <c r="A10868" s="1" t="s">
        <v>1102</v>
      </c>
      <c r="B10868" s="0" t="s">
        <v>98</v>
      </c>
      <c r="E10868" s="6" t="n">
        <f aca="false">Q!M38-Sens!E10786</f>
        <v>22.2285940229167</v>
      </c>
      <c r="F10868" s="6" t="n">
        <f aca="false">Sens!E10868*(1-1/life_nonai)+(Sens!F10876+Sens!F10877)/life_nonai</f>
        <v>23.5875848079552</v>
      </c>
      <c r="G10868" s="6" t="n">
        <f aca="false">Sens!F10868*(1-1/life_nonai)+(Sens!G10876)/life_nonai</f>
        <v>25.3438974931356</v>
      </c>
      <c r="H10868" s="6" t="n">
        <f aca="false">Sens!G10868*(1-1/life_nonai)+(Sens!H10876)/life_nonai</f>
        <v>27.4648304146133</v>
      </c>
      <c r="I10868" s="6" t="n">
        <f aca="false">Sens!H10868*(1-1/life_nonai)+(Sens!I10876)/life_nonai</f>
        <v>29.8920629797229</v>
      </c>
      <c r="J10868" s="6" t="n">
        <f aca="false">Sens!I10868*(1-1/life_nonai)+(Sens!J10876)/life_nonai</f>
        <v>32.5491307050375</v>
      </c>
      <c r="K10868" s="6" t="n">
        <f aca="false">Sens!J10868*(1-1/life_nonai)+(Sens!K10876)/life_nonai</f>
        <v>35.350031950116</v>
      </c>
      <c r="L10868" s="12" t="s">
        <v>1103</v>
      </c>
    </row>
    <row r="10869" customFormat="false" ht="17.15" hidden="false" customHeight="false" outlineLevel="0" collapsed="false">
      <c r="A10869" s="1" t="s">
        <v>1104</v>
      </c>
      <c r="B10869" s="0" t="s">
        <v>98</v>
      </c>
      <c r="F10869" s="6" t="n">
        <f aca="false">Sens!$F$10877/life_nonai*(1-1/life_nonai)^(Sens!F10749-2027)</f>
        <v>0</v>
      </c>
      <c r="G10869" s="6" t="n">
        <f aca="false">Sens!$F$10877/life_nonai*(1-1/life_nonai)^(Sens!G10749-2027)</f>
        <v>0</v>
      </c>
      <c r="H10869" s="6" t="n">
        <f aca="false">Sens!$F$10877/life_nonai*(1-1/life_nonai)^(Sens!H10749-2027)</f>
        <v>0</v>
      </c>
      <c r="I10869" s="6" t="n">
        <f aca="false">Sens!$F$10877/life_nonai*(1-1/life_nonai)^(Sens!I10749-2027)</f>
        <v>0</v>
      </c>
      <c r="J10869" s="6" t="n">
        <f aca="false">Sens!$F$10877/life_nonai*(1-1/life_nonai)^(Sens!J10749-2027)</f>
        <v>0</v>
      </c>
      <c r="K10869" s="6" t="n">
        <f aca="false">Sens!$F$10877/life_nonai*(1-1/life_nonai)^(Sens!K10749-2027)</f>
        <v>0</v>
      </c>
      <c r="L10869" s="1" t="s">
        <v>1105</v>
      </c>
    </row>
    <row r="10870" customFormat="false" ht="17.15" hidden="false" customHeight="false" outlineLevel="0" collapsed="false">
      <c r="A10870" s="1" t="s">
        <v>1106</v>
      </c>
      <c r="B10870" s="0" t="s">
        <v>98</v>
      </c>
      <c r="E10870" s="6" t="n">
        <f aca="false">Sens!E10786+Sens!E10868</f>
        <v>38.534</v>
      </c>
      <c r="F10870" s="6" t="n">
        <f aca="false">Sens!F10786+Sens!F10868</f>
        <v>58.1668992863068</v>
      </c>
      <c r="G10870" s="6" t="n">
        <f aca="false">Sens!G10786+Sens!G10868</f>
        <v>86.0783881454346</v>
      </c>
      <c r="H10870" s="6" t="n">
        <f aca="false">Sens!H10786+Sens!H10868</f>
        <v>116.564921076059</v>
      </c>
      <c r="I10870" s="6" t="n">
        <f aca="false">Sens!I10786+Sens!I10868</f>
        <v>144.123072674271</v>
      </c>
      <c r="J10870" s="6" t="n">
        <f aca="false">Sens!J10786+Sens!J10868</f>
        <v>164.564803754634</v>
      </c>
      <c r="K10870" s="6" t="n">
        <f aca="false">Sens!K10786+Sens!K10868</f>
        <v>178.36270150105</v>
      </c>
    </row>
    <row r="10871" customFormat="false" ht="17.15" hidden="false" customHeight="false" outlineLevel="0" collapsed="false">
      <c r="A10871" s="1" t="s">
        <v>1107</v>
      </c>
      <c r="B10871" s="0" t="s">
        <v>98</v>
      </c>
      <c r="F10871" s="6" t="n">
        <f aca="false">Sens!F10813*sbc_r</f>
        <v>14.7419474026378</v>
      </c>
      <c r="G10871" s="6" t="n">
        <f aca="false">Sens!G10813*sbc_r</f>
        <v>17.1419175155538</v>
      </c>
      <c r="H10871" s="6" t="n">
        <f aca="false">Sens!H10813*sbc_r</f>
        <v>19.3788663063694</v>
      </c>
      <c r="I10871" s="6" t="n">
        <f aca="false">Sens!I10813*sbc_r</f>
        <v>21.7061105037006</v>
      </c>
      <c r="J10871" s="6" t="n">
        <f aca="false">Sens!J10813*sbc_r</f>
        <v>23.6461722323177</v>
      </c>
      <c r="K10871" s="6" t="n">
        <f aca="false">Sens!K10813*sbc_r</f>
        <v>25.2120229014173</v>
      </c>
    </row>
    <row r="10872" customFormat="false" ht="17.15" hidden="false" customHeight="false" outlineLevel="0" collapsed="false">
      <c r="A10872" s="1" t="s">
        <v>1108</v>
      </c>
      <c r="B10872" s="0" t="s">
        <v>98</v>
      </c>
      <c r="F10872" s="6" t="n">
        <f aca="false">wc27-wc26q1</f>
        <v>-4.677</v>
      </c>
      <c r="G10872" s="6" t="n">
        <f aca="false">wc_f</f>
        <v>0</v>
      </c>
      <c r="H10872" s="6" t="n">
        <f aca="false">wc_f</f>
        <v>0</v>
      </c>
      <c r="I10872" s="6" t="n">
        <f aca="false">wc_f</f>
        <v>0</v>
      </c>
      <c r="J10872" s="6" t="n">
        <f aca="false">wc_f</f>
        <v>0</v>
      </c>
      <c r="K10872" s="6" t="n">
        <f aca="false">wc_f</f>
        <v>0</v>
      </c>
      <c r="L10872" s="12" t="s">
        <v>1109</v>
      </c>
    </row>
    <row r="10873" customFormat="false" ht="17.15" hidden="false" customHeight="false" outlineLevel="0" collapsed="false">
      <c r="A10873" s="0" t="s">
        <v>1110</v>
      </c>
      <c r="B10873" s="0" t="s">
        <v>98</v>
      </c>
      <c r="F10873" s="6" t="n">
        <f aca="false">Q!$I$35-Q!$I$26-Q!$I$38-Q!$I$39</f>
        <v>6.493</v>
      </c>
      <c r="L10873" s="1" t="s">
        <v>1111</v>
      </c>
    </row>
    <row r="10874" customFormat="false" ht="15" hidden="false" customHeight="false" outlineLevel="0" collapsed="false">
      <c r="A10874" s="1" t="s">
        <v>908</v>
      </c>
      <c r="B10874" s="0" t="s">
        <v>98</v>
      </c>
      <c r="E10874" s="6" t="n">
        <f aca="false">Q!M35</f>
        <v>182.935</v>
      </c>
      <c r="F10874" s="6" t="n">
        <f aca="false">Sens!F10867+Sens!F10870+Sens!F10871+Sens!F10872+Sens!F10873</f>
        <v>216.221594229141</v>
      </c>
      <c r="G10874" s="6" t="n">
        <f aca="false">Sens!G10867+Sens!G10870+Sens!G10871+Sens!G10872</f>
        <v>246.906617208942</v>
      </c>
      <c r="H10874" s="6" t="n">
        <f aca="false">Sens!H10867+Sens!H10870+Sens!H10871+Sens!H10872</f>
        <v>281.261982199666</v>
      </c>
      <c r="I10874" s="6" t="n">
        <f aca="false">Sens!I10867+Sens!I10870+Sens!I10871+Sens!I10872</f>
        <v>319.071196437243</v>
      </c>
      <c r="J10874" s="6" t="n">
        <f aca="false">Sens!J10867+Sens!J10870+Sens!J10871+Sens!J10872</f>
        <v>350.627243889341</v>
      </c>
      <c r="K10874" s="6" t="n">
        <f aca="false">Sens!K10867+Sens!K10870+Sens!K10871+Sens!K10872</f>
        <v>376.292017699509</v>
      </c>
    </row>
    <row r="10875" customFormat="false" ht="17.15" hidden="false" customHeight="false" outlineLevel="0" collapsed="false">
      <c r="A10875" s="0" t="s">
        <v>1112</v>
      </c>
      <c r="B10875" s="0" t="s">
        <v>98</v>
      </c>
      <c r="F10875" s="6" t="n">
        <f aca="false">Sens!F10783</f>
        <v>168.45390404212</v>
      </c>
      <c r="G10875" s="6" t="n">
        <f aca="false">Sens!G10783</f>
        <v>191.944475649048</v>
      </c>
      <c r="H10875" s="6" t="n">
        <f aca="false">Sens!H10783</f>
        <v>196.806004064512</v>
      </c>
      <c r="I10875" s="6" t="n">
        <f aca="false">Sens!I10783</f>
        <v>168.61483362161</v>
      </c>
      <c r="J10875" s="6" t="n">
        <f aca="false">Sens!J10783</f>
        <v>128.92993119594</v>
      </c>
      <c r="K10875" s="6" t="n">
        <f aca="false">Sens!K10783</f>
        <v>118.962853064733</v>
      </c>
    </row>
    <row r="10876" customFormat="false" ht="17.15" hidden="false" customHeight="false" outlineLevel="0" collapsed="false">
      <c r="A10876" s="1" t="s">
        <v>1113</v>
      </c>
      <c r="B10876" s="0" t="s">
        <v>98</v>
      </c>
      <c r="E10876" s="6" t="n">
        <f aca="false">Sens!E10791*cx_azo+Sens!E10798*cx_m365+Sens!E10799*cx_lic+(Sens!E10801+Sens!E10803)*cx_ind+Sens!E10806*cx_srch+(Sens!E10808+Sens!E10810)*cx_dev</f>
        <v>30.1846587067718</v>
      </c>
      <c r="F10876" s="6" t="n">
        <f aca="false">Sens!F10791*cx_azo+Sens!F10798*cx_m365+Sens!F10799*cx_lic+(Sens!F10801+Sens!F10803)*cx_ind+Sens!F10806*cx_srch+(Sens!F10808+Sens!F10810)*cx_dev</f>
        <v>35.818501873302</v>
      </c>
      <c r="G10876" s="6" t="n">
        <f aca="false">Sens!G10791*cx_azo+Sens!G10798*cx_m365+Sens!G10799*cx_lic+(Sens!G10801+Sens!G10803)*cx_ind+Sens!G10806*cx_srch+(Sens!G10808+Sens!G10810)*cx_dev</f>
        <v>41.1507116597592</v>
      </c>
      <c r="H10876" s="6" t="n">
        <f aca="false">Sens!H10791*cx_azo+Sens!H10798*cx_m365+Sens!H10799*cx_lic+(Sens!H10801+Sens!H10803)*cx_ind+Sens!H10806*cx_srch+(Sens!H10808+Sens!H10810)*cx_dev</f>
        <v>46.5532267079123</v>
      </c>
      <c r="I10876" s="6" t="n">
        <f aca="false">Sens!I10791*cx_azo+Sens!I10798*cx_m365+Sens!I10799*cx_lic+(Sens!I10801+Sens!I10803)*cx_ind+Sens!I10806*cx_srch+(Sens!I10808+Sens!I10810)*cx_dev</f>
        <v>51.7371560657097</v>
      </c>
      <c r="J10876" s="6" t="n">
        <f aca="false">Sens!J10791*cx_azo+Sens!J10798*cx_m365+Sens!J10799*cx_lic+(Sens!J10801+Sens!J10803)*cx_ind+Sens!J10806*cx_srch+(Sens!J10808+Sens!J10810)*cx_dev</f>
        <v>56.4627402328683</v>
      </c>
      <c r="K10876" s="6" t="n">
        <f aca="false">Sens!K10791*cx_azo+Sens!K10798*cx_m365+Sens!K10799*cx_lic+(Sens!K10801+Sens!K10803)*cx_ind+Sens!K10806*cx_srch+(Sens!K10808+Sens!K10810)*cx_dev</f>
        <v>60.558143155823</v>
      </c>
    </row>
    <row r="10877" customFormat="false" ht="17.15" hidden="false" customHeight="false" outlineLevel="0" collapsed="false">
      <c r="A10877" s="0" t="s">
        <v>1114</v>
      </c>
      <c r="B10877" s="0" t="s">
        <v>98</v>
      </c>
      <c r="F10877" s="6" t="n">
        <f aca="false">Sens!F10781</f>
        <v>0</v>
      </c>
      <c r="L10877" s="1" t="s">
        <v>1115</v>
      </c>
    </row>
    <row r="10878" customFormat="false" ht="17.15" hidden="false" customHeight="false" outlineLevel="0" collapsed="false">
      <c r="A10878" s="1" t="s">
        <v>1116</v>
      </c>
      <c r="B10878" s="0" t="s">
        <v>98</v>
      </c>
      <c r="E10878" s="6" t="n">
        <f aca="false">Q!M43</f>
        <v>145.3</v>
      </c>
      <c r="F10878" s="6" t="n">
        <f aca="false">Sens!F10875+Sens!F10876+Sens!F10877</f>
        <v>204.272405915422</v>
      </c>
      <c r="G10878" s="6" t="n">
        <f aca="false">Sens!G10875+Sens!G10876</f>
        <v>233.095187308807</v>
      </c>
      <c r="H10878" s="6" t="n">
        <f aca="false">Sens!H10875+Sens!H10876</f>
        <v>243.359230772425</v>
      </c>
      <c r="I10878" s="6" t="n">
        <f aca="false">Sens!I10875+Sens!I10876</f>
        <v>220.35198968732</v>
      </c>
      <c r="J10878" s="6" t="n">
        <f aca="false">Sens!J10875+Sens!J10876</f>
        <v>185.392671428809</v>
      </c>
      <c r="K10878" s="6" t="n">
        <f aca="false">Sens!K10875+Sens!K10876</f>
        <v>179.520996220556</v>
      </c>
      <c r="L10878" s="1" t="s">
        <v>1117</v>
      </c>
    </row>
    <row r="10879" customFormat="false" ht="15" hidden="false" customHeight="false" outlineLevel="0" collapsed="false">
      <c r="A10879" s="1" t="s">
        <v>1118</v>
      </c>
      <c r="B10879" s="0" t="s">
        <v>98</v>
      </c>
      <c r="E10879" s="6" t="n">
        <f aca="false">fl_liab</f>
        <v>66.594</v>
      </c>
      <c r="F10879" s="6" t="n">
        <f aca="false">Sens!E10879-Sens!F10880</f>
        <v>62.46973</v>
      </c>
      <c r="G10879" s="6" t="n">
        <f aca="false">Sens!F10879-Sens!G10880</f>
        <v>57.98686785</v>
      </c>
      <c r="H10879" s="6" t="n">
        <f aca="false">Sens!G10879-Sens!H10880</f>
        <v>53.92827690325</v>
      </c>
      <c r="I10879" s="6" t="n">
        <f aca="false">Sens!H10879-Sens!I10880</f>
        <v>49.7850493638962</v>
      </c>
      <c r="J10879" s="6" t="n">
        <f aca="false">Sens!I10879-Sens!J10880</f>
        <v>45.4823765852716</v>
      </c>
      <c r="K10879" s="6" t="n">
        <f aca="false">Sens!J10879-Sens!K10880</f>
        <v>40.9860835316088</v>
      </c>
    </row>
    <row r="10880" customFormat="false" ht="15" hidden="false" customHeight="false" outlineLevel="0" collapsed="false">
      <c r="A10880" s="1" t="s">
        <v>1119</v>
      </c>
      <c r="B10880" s="0" t="s">
        <v>98</v>
      </c>
      <c r="F10880" s="6" t="n">
        <f aca="false">fl_pay_27-Sens!E10879*fl_rate</f>
        <v>4.12427</v>
      </c>
      <c r="G10880" s="6" t="n">
        <f aca="false">fl_pay_28-Sens!F10879*fl_rate</f>
        <v>4.48286215</v>
      </c>
      <c r="H10880" s="6" t="n">
        <f aca="false">fl_pay_29-Sens!G10879*fl_rate</f>
        <v>4.05859094675</v>
      </c>
      <c r="I10880" s="6" t="n">
        <f aca="false">fl_pay_30-Sens!H10879*fl_rate</f>
        <v>4.14322753935375</v>
      </c>
      <c r="J10880" s="6" t="n">
        <f aca="false">fl_pay_31-Sens!I10879*fl_rate</f>
        <v>4.30267277862467</v>
      </c>
      <c r="K10880" s="6" t="n">
        <f aca="false">fl_pay_32-Sens!J10879*fl_rate</f>
        <v>4.49629305366278</v>
      </c>
    </row>
    <row r="10881" customFormat="false" ht="17.15" hidden="false" customHeight="false" outlineLevel="0" collapsed="false">
      <c r="A10881" s="1" t="s">
        <v>1120</v>
      </c>
      <c r="B10881" s="0" t="s">
        <v>98</v>
      </c>
      <c r="E10881" s="6" t="n">
        <f aca="false">Q!M35-Q!M36-Q!M44</f>
        <v>63.886</v>
      </c>
      <c r="F10881" s="6" t="n">
        <f aca="false">Sens!F10874-Sens!F10878-Sens!F10880</f>
        <v>7.8249183137191</v>
      </c>
      <c r="G10881" s="6" t="n">
        <f aca="false">Sens!G10874-Sens!G10878-Sens!G10880</f>
        <v>9.3285677501349</v>
      </c>
      <c r="H10881" s="6" t="n">
        <f aca="false">Sens!H10874-Sens!H10878-Sens!H10880</f>
        <v>33.8441604804914</v>
      </c>
      <c r="I10881" s="6" t="n">
        <f aca="false">Sens!I10874-Sens!I10878-Sens!I10880</f>
        <v>94.575979210569</v>
      </c>
      <c r="J10881" s="6" t="n">
        <f aca="false">Sens!J10874-Sens!J10878-Sens!J10880</f>
        <v>160.931899681908</v>
      </c>
      <c r="K10881" s="6" t="n">
        <f aca="false">Sens!K10874-Sens!K10878-Sens!K10880</f>
        <v>192.27472842529</v>
      </c>
      <c r="L10881" s="12" t="s">
        <v>1121</v>
      </c>
    </row>
    <row r="10882" customFormat="false" ht="15" hidden="false" customHeight="false" outlineLevel="0" collapsed="false">
      <c r="A10882" s="1" t="s">
        <v>1122</v>
      </c>
      <c r="B10882" s="0" t="s">
        <v>75</v>
      </c>
      <c r="F10882" s="8" t="n">
        <f aca="false">dps_27</f>
        <v>3.85</v>
      </c>
      <c r="G10882" s="8" t="n">
        <f aca="false">Sens!F10882*(1+dps_g)</f>
        <v>4.158</v>
      </c>
      <c r="H10882" s="8" t="n">
        <f aca="false">Sens!G10882*(1+dps_g)</f>
        <v>4.49064</v>
      </c>
      <c r="I10882" s="8" t="n">
        <f aca="false">Sens!H10882*(1+dps_g)</f>
        <v>4.8498912</v>
      </c>
      <c r="J10882" s="8" t="n">
        <f aca="false">Sens!I10882*(1+dps_g)</f>
        <v>5.237882496</v>
      </c>
      <c r="K10882" s="8" t="n">
        <f aca="false">Sens!J10882*(1+dps_g)</f>
        <v>5.65691309568</v>
      </c>
    </row>
    <row r="10883" customFormat="false" ht="17.15" hidden="false" customHeight="false" outlineLevel="0" collapsed="false">
      <c r="A10883" s="1" t="s">
        <v>1123</v>
      </c>
      <c r="B10883" s="0" t="s">
        <v>98</v>
      </c>
      <c r="E10883" s="6" t="n">
        <f aca="false">Q!M41</f>
        <v>26.445</v>
      </c>
      <c r="F10883" s="6" t="n">
        <f aca="false">Sens!F10882*Sens!E10892</f>
        <v>28.59395</v>
      </c>
      <c r="G10883" s="6" t="n">
        <f aca="false">Sens!G10882*Sens!F10892</f>
        <v>31.068576</v>
      </c>
      <c r="H10883" s="6" t="n">
        <f aca="false">Sens!H10882*Sens!G10892</f>
        <v>33.75614088</v>
      </c>
      <c r="I10883" s="6" t="n">
        <f aca="false">Sens!I10882*Sens!H10892</f>
        <v>36.6748772544</v>
      </c>
      <c r="J10883" s="6" t="n">
        <f aca="false">Sens!J10882*Sens!I10892</f>
        <v>39.6767653201446</v>
      </c>
      <c r="K10883" s="6" t="n">
        <f aca="false">Sens!K10882*Sens!J10892</f>
        <v>42.9376608081345</v>
      </c>
      <c r="L10883" s="1" t="s">
        <v>1124</v>
      </c>
    </row>
    <row r="10884" customFormat="false" ht="15" hidden="false" customHeight="false" outlineLevel="0" collapsed="false">
      <c r="A10884" s="1" t="s">
        <v>1125</v>
      </c>
      <c r="B10884" s="0" t="s">
        <v>98</v>
      </c>
      <c r="E10884" s="6" t="n">
        <f aca="false">Sens!E10881-Sens!E10883</f>
        <v>37.441</v>
      </c>
      <c r="F10884" s="6" t="n">
        <f aca="false">Sens!F10881-Sens!F10883</f>
        <v>-20.7690316862809</v>
      </c>
      <c r="G10884" s="6" t="n">
        <f aca="false">Sens!G10881-Sens!G10883</f>
        <v>-21.7400082498651</v>
      </c>
      <c r="H10884" s="6" t="n">
        <f aca="false">Sens!H10881-Sens!H10883</f>
        <v>0.0880196004914069</v>
      </c>
      <c r="I10884" s="6" t="n">
        <f aca="false">Sens!I10881-Sens!I10883</f>
        <v>57.901101956169</v>
      </c>
      <c r="J10884" s="6" t="n">
        <f aca="false">Sens!J10881-Sens!J10883</f>
        <v>121.255134361763</v>
      </c>
      <c r="K10884" s="6" t="n">
        <f aca="false">Sens!K10881-Sens!K10883</f>
        <v>149.337067617156</v>
      </c>
    </row>
    <row r="10885" customFormat="false" ht="15" hidden="false" customHeight="false" outlineLevel="0" collapsed="false">
      <c r="A10885" s="1" t="s">
        <v>1126</v>
      </c>
      <c r="B10885" s="0" t="s">
        <v>98</v>
      </c>
      <c r="F10885" s="6" t="n">
        <f aca="false">debt_mat_27</f>
        <v>9.25</v>
      </c>
      <c r="G10885" s="6" t="n">
        <f aca="false">debt_mat_28</f>
        <v>0</v>
      </c>
      <c r="H10885" s="6" t="n">
        <f aca="false">debt_mat_29</f>
        <v>2.001</v>
      </c>
      <c r="I10885" s="6" t="n">
        <f aca="false">debt_mat_30</f>
        <v>0</v>
      </c>
      <c r="J10885" s="6" t="n">
        <f aca="false">debt_mat_31</f>
        <v>0.5</v>
      </c>
      <c r="K10885" s="6" t="n">
        <f aca="false">debt_mat_32</f>
        <v>0</v>
      </c>
    </row>
    <row r="10886" customFormat="false" ht="15" hidden="false" customHeight="false" outlineLevel="0" collapsed="false">
      <c r="A10886" s="1" t="s">
        <v>1127</v>
      </c>
      <c r="B10886" s="0" t="s">
        <v>98</v>
      </c>
      <c r="E10886" s="6" t="n">
        <f aca="false">Q!M40</f>
        <v>22.271</v>
      </c>
      <c r="F10886" s="6" t="n">
        <f aca="false">MAX(0,MIN(bb_target,Sens!E10888+Sens!F10884-Sens!F10885-min_cash))</f>
        <v>0</v>
      </c>
      <c r="G10886" s="6" t="n">
        <f aca="false">MAX(0,MIN(bb_target,Sens!F10888+Sens!G10884-Sens!G10885-min_cash))</f>
        <v>0</v>
      </c>
      <c r="H10886" s="6" t="n">
        <f aca="false">MAX(0,MIN(bb_target,Sens!G10888+Sens!H10884-Sens!H10885-min_cash))</f>
        <v>0</v>
      </c>
      <c r="I10886" s="6" t="n">
        <f aca="false">MAX(0,MIN(bb_target,Sens!H10888+Sens!I10884-Sens!I10885-min_cash))</f>
        <v>22.271</v>
      </c>
      <c r="J10886" s="6" t="n">
        <f aca="false">MAX(0,MIN(bb_target,Sens!I10888+Sens!J10884-Sens!J10885-min_cash))</f>
        <v>22.271</v>
      </c>
      <c r="K10886" s="6" t="n">
        <f aca="false">MAX(0,MIN(bb_target,Sens!J10888+Sens!K10884-Sens!K10885-min_cash))</f>
        <v>22.271</v>
      </c>
    </row>
    <row r="10887" customFormat="false" ht="15" hidden="false" customHeight="false" outlineLevel="0" collapsed="false">
      <c r="A10887" s="1" t="s">
        <v>1128</v>
      </c>
      <c r="B10887" s="0" t="s">
        <v>98</v>
      </c>
      <c r="F10887" s="6" t="n">
        <f aca="false">MAX(0,min_cash-(Sens!E10888+Sens!F10884-Sens!F10885-Sens!F10886))</f>
        <v>3.17603168628089</v>
      </c>
      <c r="G10887" s="6" t="n">
        <f aca="false">MAX(0,min_cash-(Sens!F10888+Sens!G10884-Sens!G10885-Sens!G10886))</f>
        <v>21.7400082498651</v>
      </c>
      <c r="H10887" s="6" t="n">
        <f aca="false">MAX(0,min_cash-(Sens!G10888+Sens!H10884-Sens!H10885-Sens!H10886))</f>
        <v>1.91298039950859</v>
      </c>
      <c r="I10887" s="6" t="n">
        <f aca="false">MAX(0,min_cash-(Sens!H10888+Sens!I10884-Sens!I10885-Sens!I10886))</f>
        <v>0</v>
      </c>
      <c r="J10887" s="6" t="n">
        <f aca="false">MAX(0,min_cash-(Sens!I10888+Sens!J10884-Sens!J10885-Sens!J10886))</f>
        <v>0</v>
      </c>
      <c r="K10887" s="6" t="n">
        <f aca="false">MAX(0,min_cash-(Sens!J10888+Sens!K10884-Sens!K10885-Sens!K10886))</f>
        <v>0</v>
      </c>
    </row>
    <row r="10888" customFormat="false" ht="15" hidden="false" customHeight="false" outlineLevel="0" collapsed="false">
      <c r="A10888" s="1" t="s">
        <v>1129</v>
      </c>
      <c r="B10888" s="0" t="s">
        <v>98</v>
      </c>
      <c r="E10888" s="6" t="n">
        <f aca="false">cash_open</f>
        <v>76.843</v>
      </c>
      <c r="F10888" s="6" t="n">
        <f aca="false">Sens!E10888+Sens!F10884-Sens!F10885-Sens!F10886+Sens!F10887</f>
        <v>50</v>
      </c>
      <c r="G10888" s="6" t="n">
        <f aca="false">Sens!F10888+Sens!G10884-Sens!G10885-Sens!G10886+Sens!G10887</f>
        <v>50</v>
      </c>
      <c r="H10888" s="6" t="n">
        <f aca="false">Sens!G10888+Sens!H10884-Sens!H10885-Sens!H10886+Sens!H10887</f>
        <v>50</v>
      </c>
      <c r="I10888" s="6" t="n">
        <f aca="false">Sens!H10888+Sens!I10884-Sens!I10885-Sens!I10886+Sens!I10887</f>
        <v>85.630101956169</v>
      </c>
      <c r="J10888" s="6" t="n">
        <f aca="false">Sens!I10888+Sens!J10884-Sens!J10885-Sens!J10886+Sens!J10887</f>
        <v>184.114236317932</v>
      </c>
      <c r="K10888" s="6" t="n">
        <f aca="false">Sens!J10888+Sens!K10884-Sens!K10885-Sens!K10886+Sens!K10887</f>
        <v>311.180303935088</v>
      </c>
    </row>
    <row r="10889" customFormat="false" ht="15" hidden="false" customHeight="false" outlineLevel="0" collapsed="false">
      <c r="A10889" s="1" t="s">
        <v>1130</v>
      </c>
      <c r="B10889" s="0" t="s">
        <v>98</v>
      </c>
      <c r="E10889" s="6" t="n">
        <f aca="false">debt_face</f>
        <v>46.136</v>
      </c>
      <c r="F10889" s="6" t="n">
        <f aca="false">Sens!E10889-Sens!F10885+Sens!F10887</f>
        <v>40.0620316862809</v>
      </c>
      <c r="G10889" s="6" t="n">
        <f aca="false">Sens!F10889-Sens!G10885+Sens!G10887</f>
        <v>61.802039936146</v>
      </c>
      <c r="H10889" s="6" t="n">
        <f aca="false">Sens!G10889-Sens!H10885+Sens!H10887</f>
        <v>61.7140203356546</v>
      </c>
      <c r="I10889" s="6" t="n">
        <f aca="false">Sens!H10889-Sens!I10885+Sens!I10887</f>
        <v>61.7140203356546</v>
      </c>
      <c r="J10889" s="6" t="n">
        <f aca="false">Sens!I10889-Sens!J10885+Sens!J10887</f>
        <v>61.2140203356546</v>
      </c>
      <c r="K10889" s="6" t="n">
        <f aca="false">Sens!J10889-Sens!K10885+Sens!K10887</f>
        <v>61.2140203356546</v>
      </c>
    </row>
    <row r="10890" customFormat="false" ht="15" hidden="false" customHeight="false" outlineLevel="0" collapsed="false">
      <c r="A10890" s="1" t="s">
        <v>1131</v>
      </c>
      <c r="B10890" s="0" t="s">
        <v>98</v>
      </c>
      <c r="E10890" s="6" t="n">
        <f aca="false">Sens!E10888-Sens!E10889</f>
        <v>30.707</v>
      </c>
      <c r="F10890" s="6" t="n">
        <f aca="false">Sens!F10888-Sens!F10889</f>
        <v>9.9379683137191</v>
      </c>
      <c r="G10890" s="6" t="n">
        <f aca="false">Sens!G10888-Sens!G10889</f>
        <v>-11.802039936146</v>
      </c>
      <c r="H10890" s="6" t="n">
        <f aca="false">Sens!H10888-Sens!H10889</f>
        <v>-11.7140203356546</v>
      </c>
      <c r="I10890" s="6" t="n">
        <f aca="false">Sens!I10888-Sens!I10889</f>
        <v>23.9160816205144</v>
      </c>
      <c r="J10890" s="6" t="n">
        <f aca="false">Sens!J10888-Sens!J10889</f>
        <v>122.900215982277</v>
      </c>
      <c r="K10890" s="6" t="n">
        <f aca="false">Sens!K10888-Sens!K10889</f>
        <v>249.966283599433</v>
      </c>
    </row>
    <row r="10891" customFormat="false" ht="15" hidden="false" customHeight="false" outlineLevel="0" collapsed="false">
      <c r="A10891" s="1" t="s">
        <v>1132</v>
      </c>
      <c r="B10891" s="0" t="s">
        <v>75</v>
      </c>
      <c r="F10891" s="30" t="n">
        <f aca="false">px*(1+bb_g)^(Sens!F10749-base_fy-mid_yr)</f>
        <v>551.84177959629</v>
      </c>
      <c r="G10891" s="30" t="n">
        <f aca="false">px*(1+bb_g)^(Sens!G10749-base_fy-mid_yr)</f>
        <v>595.989121963993</v>
      </c>
      <c r="H10891" s="30" t="n">
        <f aca="false">px*(1+bb_g)^(Sens!H10749-base_fy-mid_yr)</f>
        <v>643.668251721112</v>
      </c>
      <c r="I10891" s="30" t="n">
        <f aca="false">px*(1+bb_g)^(Sens!I10749-base_fy-mid_yr)</f>
        <v>695.161711858801</v>
      </c>
      <c r="J10891" s="30" t="n">
        <f aca="false">px*(1+bb_g)^(Sens!J10749-base_fy-mid_yr)</f>
        <v>750.774648807506</v>
      </c>
      <c r="K10891" s="30" t="n">
        <f aca="false">px*(1+bb_g)^(Sens!K10749-base_fy-mid_yr)</f>
        <v>810.836620712106</v>
      </c>
    </row>
    <row r="10892" customFormat="false" ht="15" hidden="false" customHeight="false" outlineLevel="0" collapsed="false">
      <c r="A10892" s="1" t="s">
        <v>1133</v>
      </c>
      <c r="B10892" s="1" t="s">
        <v>81</v>
      </c>
      <c r="E10892" s="15" t="n">
        <f aca="false">sh_out26</f>
        <v>7.427</v>
      </c>
      <c r="F10892" s="15" t="n">
        <f aca="false">Sens!E10892+sh_iss-Sens!F10886/Sens!F10891</f>
        <v>7.472</v>
      </c>
      <c r="G10892" s="15" t="n">
        <f aca="false">Sens!F10892+sh_iss-Sens!G10886/Sens!G10891</f>
        <v>7.517</v>
      </c>
      <c r="H10892" s="15" t="n">
        <f aca="false">Sens!G10892+sh_iss-Sens!H10886/Sens!H10891</f>
        <v>7.562</v>
      </c>
      <c r="I10892" s="15" t="n">
        <f aca="false">Sens!H10892+sh_iss-Sens!I10886/Sens!I10891</f>
        <v>7.57496285005334</v>
      </c>
      <c r="J10892" s="15" t="n">
        <f aca="false">Sens!I10892+sh_iss-Sens!J10886/Sens!J10891</f>
        <v>7.59029882232494</v>
      </c>
      <c r="K10892" s="15" t="n">
        <f aca="false">Sens!J10892+sh_iss-Sens!K10886/Sens!K10891</f>
        <v>7.60783212998384</v>
      </c>
    </row>
    <row r="10893" customFormat="false" ht="15" hidden="false" customHeight="false" outlineLevel="0" collapsed="false">
      <c r="A10893" s="1" t="s">
        <v>1134</v>
      </c>
      <c r="B10893" s="1" t="s">
        <v>81</v>
      </c>
      <c r="E10893" s="15" t="n">
        <f aca="false">sh_dil26</f>
        <v>7.453</v>
      </c>
      <c r="F10893" s="15" t="n">
        <f aca="false">(Sens!E10892+Sens!F10892)/2+dil_gap</f>
        <v>7.4735</v>
      </c>
      <c r="G10893" s="15" t="n">
        <f aca="false">(Sens!F10892+Sens!G10892)/2+dil_gap</f>
        <v>7.5185</v>
      </c>
      <c r="H10893" s="15" t="n">
        <f aca="false">(Sens!G10892+Sens!H10892)/2+dil_gap</f>
        <v>7.5635</v>
      </c>
      <c r="I10893" s="15" t="n">
        <f aca="false">(Sens!H10892+Sens!I10892)/2+dil_gap</f>
        <v>7.59248142502667</v>
      </c>
      <c r="J10893" s="15" t="n">
        <f aca="false">(Sens!I10892+Sens!J10892)/2+dil_gap</f>
        <v>7.60663083618914</v>
      </c>
      <c r="K10893" s="15" t="n">
        <f aca="false">(Sens!J10892+Sens!K10892)/2+dil_gap</f>
        <v>7.62306547615439</v>
      </c>
    </row>
    <row r="10894" customFormat="false" ht="17.15" hidden="false" customHeight="false" outlineLevel="0" collapsed="false">
      <c r="A10894" s="1" t="s">
        <v>1135</v>
      </c>
      <c r="B10894" s="0" t="s">
        <v>98</v>
      </c>
      <c r="C10894" s="6" t="n">
        <f aca="false">SUM(Sens!F10884:J10884)</f>
        <v>136.735215982277</v>
      </c>
    </row>
    <row r="10895" customFormat="false" ht="15" hidden="false" customHeight="false" outlineLevel="0" collapsed="false">
      <c r="A10895" s="26" t="s">
        <v>1100</v>
      </c>
      <c r="B10895" s="31" t="s">
        <v>98</v>
      </c>
      <c r="C10895" s="27" t="n">
        <f aca="false">Sens!$C$10894-(Sens!F10884+Sens!G10884+Sens!H10884+Sens!I10884+Sens!J10884)</f>
        <v>0</v>
      </c>
      <c r="D10895" s="31"/>
      <c r="E10895" s="31"/>
      <c r="F10895" s="31"/>
      <c r="G10895" s="31"/>
      <c r="H10895" s="31"/>
      <c r="I10895" s="31"/>
      <c r="J10895" s="31"/>
      <c r="K10895" s="31"/>
    </row>
    <row r="10896" customFormat="false" ht="17.15" hidden="false" customHeight="false" outlineLevel="0" collapsed="false">
      <c r="A10896" s="1" t="s">
        <v>1094</v>
      </c>
      <c r="B10896" s="1" t="s">
        <v>1136</v>
      </c>
      <c r="C10896" s="33" t="str">
        <f aca="false">IF(SUM(Sens!F10887:J10887)&gt;0.05,"需要舉債 "&amp;TEXT(SUM(Sens!F10887:J10887),"0.0")&amp;" 十億美元","不需舉債")&amp;"；"&amp;IF(SUM(Sens!F10886:J10886)&lt;COUNT(Sens!F10886:J10886)*bb_target-0.05,"回購較每年 "&amp;TEXT(bb_target,"0.0")&amp;" 的目標少 "&amp;TEXT(COUNT(Sens!F10886:J10886)*bb_target-SUM(Sens!F10886:J10886),"0.0")&amp;" 十億美元（"&amp;TEXT(COUNTIF(Sens!F10886:J10886,"&lt;"&amp;(bb_target-0.05)),"0")&amp;" 年減少）","回購不減")</f>
        <v>需要舉債 26.8 十億美元；回購較每年 22.3 的目標少 66.8 十億美元（3 年減少）</v>
      </c>
    </row>
    <row r="10897" customFormat="false" ht="17.15" hidden="false" customHeight="false" outlineLevel="0" collapsed="false">
      <c r="A10897" s="3" t="s">
        <v>1884</v>
      </c>
    </row>
    <row r="10898" customFormat="false" ht="15" hidden="false" customHeight="false" outlineLevel="0" collapsed="false">
      <c r="A10898" s="4" t="s">
        <v>43</v>
      </c>
      <c r="B10898" s="4" t="s">
        <v>65</v>
      </c>
      <c r="C10898" s="23" t="s">
        <v>942</v>
      </c>
      <c r="D10898" s="23" t="s">
        <v>943</v>
      </c>
      <c r="E10898" s="23" t="s">
        <v>944</v>
      </c>
      <c r="F10898" s="23" t="s">
        <v>945</v>
      </c>
      <c r="G10898" s="23" t="s">
        <v>946</v>
      </c>
      <c r="H10898" s="23" t="s">
        <v>947</v>
      </c>
      <c r="I10898" s="23" t="s">
        <v>948</v>
      </c>
      <c r="J10898" s="23" t="s">
        <v>949</v>
      </c>
      <c r="K10898" s="23" t="s">
        <v>950</v>
      </c>
      <c r="L10898" s="4" t="s">
        <v>47</v>
      </c>
    </row>
    <row r="10899" customFormat="false" ht="17.15" hidden="false" customHeight="false" outlineLevel="0" collapsed="false">
      <c r="A10899" s="1" t="s">
        <v>1216</v>
      </c>
      <c r="B10899" s="1" t="s">
        <v>279</v>
      </c>
      <c r="F10899" s="8" t="n">
        <f aca="false">(1-v_off)*mid_yr</f>
        <v>0.373972602739726</v>
      </c>
      <c r="G10899" s="8" t="n">
        <f aca="false">Sens!G10749-base_fy-mid_yr-v_off</f>
        <v>1.24794520547945</v>
      </c>
      <c r="H10899" s="8" t="n">
        <f aca="false">Sens!H10749-base_fy-mid_yr-v_off</f>
        <v>2.24794520547945</v>
      </c>
      <c r="I10899" s="8" t="n">
        <f aca="false">Sens!I10749-base_fy-mid_yr-v_off</f>
        <v>3.24794520547945</v>
      </c>
      <c r="J10899" s="8" t="n">
        <f aca="false">Sens!J10749-base_fy-mid_yr-v_off</f>
        <v>4.24794520547945</v>
      </c>
      <c r="K10899" s="8" t="n">
        <f aca="false">Sens!K10749-base_fy-mid_yr-v_off</f>
        <v>5.24794520547945</v>
      </c>
      <c r="L10899" s="12" t="s">
        <v>1217</v>
      </c>
    </row>
    <row r="10900" customFormat="false" ht="15" hidden="false" customHeight="false" outlineLevel="0" collapsed="false">
      <c r="A10900" s="1" t="s">
        <v>1218</v>
      </c>
      <c r="B10900" s="1" t="s">
        <v>279</v>
      </c>
      <c r="F10900" s="8" t="n">
        <f aca="false">Sens!F10749-base_fy-v_off</f>
        <v>0.747945205479452</v>
      </c>
      <c r="G10900" s="8" t="n">
        <f aca="false">Sens!G10749-base_fy-v_off</f>
        <v>1.74794520547945</v>
      </c>
      <c r="H10900" s="8" t="n">
        <f aca="false">Sens!H10749-base_fy-v_off</f>
        <v>2.74794520547945</v>
      </c>
      <c r="I10900" s="8" t="n">
        <f aca="false">Sens!I10749-base_fy-v_off</f>
        <v>3.74794520547945</v>
      </c>
      <c r="J10900" s="8" t="n">
        <f aca="false">Sens!J10749-base_fy-v_off</f>
        <v>4.74794520547945</v>
      </c>
      <c r="K10900" s="8" t="n">
        <f aca="false">Sens!K10749-base_fy-v_off</f>
        <v>5.74794520547945</v>
      </c>
    </row>
    <row r="10901" customFormat="false" ht="15" hidden="false" customHeight="false" outlineLevel="0" collapsed="false">
      <c r="A10901" s="1" t="s">
        <v>1219</v>
      </c>
      <c r="B10901" s="0" t="s">
        <v>229</v>
      </c>
      <c r="F10901" s="15" t="n">
        <f aca="false">1/(1+wacc)^Sens!F10899</f>
        <v>0.964022703286649</v>
      </c>
      <c r="G10901" s="15" t="n">
        <f aca="false">1/(1+wacc)^Sens!G10899</f>
        <v>0.884910302296739</v>
      </c>
      <c r="H10901" s="15" t="n">
        <f aca="false">1/(1+wacc)^Sens!H10899</f>
        <v>0.802322009770358</v>
      </c>
      <c r="I10901" s="15" t="n">
        <f aca="false">1/(1+wacc)^Sens!I10899</f>
        <v>0.727441646561469</v>
      </c>
      <c r="J10901" s="15" t="n">
        <f aca="false">1/(1+wacc)^Sens!J10899</f>
        <v>0.659549834988973</v>
      </c>
      <c r="K10901" s="15" t="n">
        <f aca="false">1/(1+wacc)^Sens!K10899</f>
        <v>0.597994336576966</v>
      </c>
    </row>
    <row r="10902" customFormat="false" ht="17.15" hidden="false" customHeight="false" outlineLevel="0" collapsed="false">
      <c r="A10902" s="1" t="s">
        <v>1220</v>
      </c>
      <c r="B10902" s="0" t="s">
        <v>98</v>
      </c>
      <c r="F10902" s="6" t="n">
        <f aca="false">Q!$I$35-Q!$I$39-Q!$I$43</f>
        <v>9.666</v>
      </c>
      <c r="L10902" s="12" t="s">
        <v>1221</v>
      </c>
    </row>
    <row r="10903" customFormat="false" ht="17.15" hidden="false" customHeight="false" outlineLevel="0" collapsed="false">
      <c r="A10903" s="1" t="s">
        <v>1222</v>
      </c>
      <c r="B10903" s="0" t="s">
        <v>98</v>
      </c>
      <c r="F10903" s="6" t="n">
        <f aca="false">Sens!F10874-Sens!F10871-Sens!F10878+Sens!F10856*(1-tax_f)*(1-v_off)-Sens!F10902</f>
        <v>-6.11841035064007</v>
      </c>
      <c r="G10903" s="6" t="n">
        <f aca="false">Sens!G10874-Sens!G10871-Sens!G10878+Sens!G10856*(1-tax_f)</f>
        <v>18.9452297245267</v>
      </c>
      <c r="H10903" s="6" t="n">
        <f aca="false">Sens!H10874-Sens!H10871-Sens!H10878+Sens!H10856*(1-tax_f)</f>
        <v>55.7768495219776</v>
      </c>
      <c r="I10903" s="6" t="n">
        <f aca="false">Sens!I10874-Sens!I10871-Sens!I10878+Sens!I10856*(1-tax_f)</f>
        <v>127.630518496338</v>
      </c>
      <c r="J10903" s="6" t="n">
        <f aca="false">Sens!J10874-Sens!J10871-Sens!J10878+Sens!J10856*(1-tax_f)</f>
        <v>201.513298058775</v>
      </c>
      <c r="K10903" s="6" t="n">
        <f aca="false">Sens!K10874-Sens!K10871-Sens!K10878+Sens!K10856*(1-tax_f)</f>
        <v>236.870633551954</v>
      </c>
      <c r="L10903" s="1" t="s">
        <v>1223</v>
      </c>
    </row>
    <row r="10904" customFormat="false" ht="15" hidden="false" customHeight="false" outlineLevel="0" collapsed="false">
      <c r="A10904" s="1" t="s">
        <v>1224</v>
      </c>
      <c r="B10904" s="0" t="s">
        <v>98</v>
      </c>
      <c r="F10904" s="6" t="n">
        <f aca="false">Sens!F10903*Sens!F10901</f>
        <v>-5.89828648604105</v>
      </c>
      <c r="G10904" s="6" t="n">
        <f aca="false">Sens!G10903*Sens!G10901</f>
        <v>16.7648289626121</v>
      </c>
      <c r="H10904" s="6" t="n">
        <f aca="false">Sens!H10903*Sens!H10901</f>
        <v>44.7509940071319</v>
      </c>
      <c r="I10904" s="6" t="n">
        <f aca="false">Sens!I10903*Sens!I10901</f>
        <v>92.8437545264698</v>
      </c>
      <c r="J10904" s="6" t="n">
        <f aca="false">Sens!J10903*Sens!J10901</f>
        <v>132.908062482749</v>
      </c>
      <c r="K10904" s="6" t="n">
        <f aca="false">Sens!K10903*Sens!K10901</f>
        <v>141.647297365467</v>
      </c>
    </row>
    <row r="10905" customFormat="false" ht="17.15" hidden="false" customHeight="false" outlineLevel="0" collapsed="false">
      <c r="A10905" s="1" t="s">
        <v>1225</v>
      </c>
      <c r="B10905" s="0" t="s">
        <v>98</v>
      </c>
      <c r="C10905" s="6" t="n">
        <f aca="false">SUM(Sens!F10904:K10904)</f>
        <v>423.016650858388</v>
      </c>
    </row>
    <row r="10906" customFormat="false" ht="17.15" hidden="false" customHeight="false" outlineLevel="0" collapsed="false">
      <c r="A10906" s="1" t="s">
        <v>1226</v>
      </c>
      <c r="B10906" s="0" t="s">
        <v>98</v>
      </c>
      <c r="C10906" s="6" t="n">
        <f aca="false">Sens!K10842*(1+g_tv)*(1-tax_f)</f>
        <v>246.158596119604</v>
      </c>
    </row>
    <row r="10907" customFormat="false" ht="17.15" hidden="false" customHeight="false" outlineLevel="0" collapsed="false">
      <c r="A10907" s="1" t="s">
        <v>1227</v>
      </c>
      <c r="B10907" s="0" t="s">
        <v>98</v>
      </c>
      <c r="C10907" s="6" t="n">
        <f aca="false">Sens!$C$10906*(1-g_tv/(wacc+ronic_prem))</f>
        <v>174.417752404554</v>
      </c>
    </row>
    <row r="10908" customFormat="false" ht="17.15" hidden="false" customHeight="false" outlineLevel="0" collapsed="false">
      <c r="A10908" s="1" t="s">
        <v>1228</v>
      </c>
      <c r="B10908" s="0" t="s">
        <v>98</v>
      </c>
      <c r="C10908" s="6" t="n">
        <f aca="false">Sens!$C$10907/(wacc-g_tv)</f>
        <v>2391.36145716833</v>
      </c>
    </row>
    <row r="10909" customFormat="false" ht="15" hidden="false" customHeight="false" outlineLevel="0" collapsed="false">
      <c r="A10909" s="1" t="s">
        <v>1229</v>
      </c>
      <c r="B10909" s="0" t="s">
        <v>98</v>
      </c>
      <c r="C10909" s="6" t="n">
        <f aca="false">Sens!$C$10908/(1+wacc)^Sens!K10900</f>
        <v>1361.65480711225</v>
      </c>
    </row>
    <row r="10910" customFormat="false" ht="17.15" hidden="false" customHeight="false" outlineLevel="0" collapsed="false">
      <c r="A10910" s="0" t="s">
        <v>1230</v>
      </c>
      <c r="B10910" s="0" t="s">
        <v>98</v>
      </c>
      <c r="C10910" s="6" t="n">
        <f aca="false">Sens!$C$10905+Sens!$C$10909</f>
        <v>1784.67145797064</v>
      </c>
    </row>
    <row r="10911" customFormat="false" ht="15" hidden="false" customHeight="false" outlineLevel="0" collapsed="false">
      <c r="A10911" s="1" t="s">
        <v>1145</v>
      </c>
      <c r="B10911" s="0" t="s">
        <v>168</v>
      </c>
      <c r="C10911" s="7" t="n">
        <f aca="false">Sens!$C$10909/Sens!$C$10910</f>
        <v>0.76297225521867</v>
      </c>
    </row>
    <row r="10912" customFormat="false" ht="17.15" hidden="false" customHeight="false" outlineLevel="0" collapsed="false">
      <c r="A10912" s="1" t="s">
        <v>1231</v>
      </c>
      <c r="B10912" s="0" t="s">
        <v>98</v>
      </c>
      <c r="C10912" s="6" t="n">
        <f aca="false">Sens!$C$10910+cash_val-debt_val-fl_val+oai_v</f>
        <v>1900.52245797064</v>
      </c>
    </row>
    <row r="10913" customFormat="false" ht="17.15" hidden="false" customHeight="false" outlineLevel="0" collapsed="false">
      <c r="A10913" s="0" t="s">
        <v>1153</v>
      </c>
      <c r="B10913" s="0" t="s">
        <v>75</v>
      </c>
      <c r="C10913" s="5" t="n">
        <f aca="false">Sens!$C$10912/shd_val</f>
        <v>255.240727635057</v>
      </c>
    </row>
    <row r="10914" customFormat="false" ht="15" hidden="false" customHeight="false" outlineLevel="0" collapsed="false">
      <c r="A10914" s="1" t="s">
        <v>1232</v>
      </c>
      <c r="B10914" s="0" t="s">
        <v>75</v>
      </c>
      <c r="C10914" s="8" t="n">
        <f aca="false">div_rem27+Sens!G10882*roll_div_q/q_per_yr</f>
        <v>3.9795</v>
      </c>
    </row>
    <row r="10915" customFormat="false" ht="17.15" hidden="false" customHeight="false" outlineLevel="0" collapsed="false">
      <c r="A10915" s="0" t="s">
        <v>1233</v>
      </c>
      <c r="B10915" s="0" t="s">
        <v>75</v>
      </c>
      <c r="C10915" s="5" t="n">
        <f aca="false">Sens!$C$10913*(1+wacc)^t_roll-Sens!$C$10914</f>
        <v>279.734813941228</v>
      </c>
    </row>
    <row r="10916" customFormat="false" ht="17.15" hidden="false" customHeight="false" outlineLevel="0" collapsed="false">
      <c r="A10916" s="1" t="s">
        <v>1234</v>
      </c>
      <c r="B10916" s="0" t="s">
        <v>168</v>
      </c>
      <c r="F10916" s="7" t="n">
        <f aca="false">Sens!F10868/(Sens!F10813-Sens!F10768)</f>
        <v>0.0686940864264859</v>
      </c>
      <c r="G10916" s="7" t="n">
        <f aca="false">Sens!G10868/(Sens!G10813-Sens!G10768)</f>
        <v>0.06636934381304</v>
      </c>
      <c r="H10916" s="7" t="n">
        <f aca="false">Sens!H10868/(Sens!H10813-Sens!H10768)</f>
        <v>0.0652459083846063</v>
      </c>
      <c r="I10916" s="7" t="n">
        <f aca="false">Sens!I10868/(Sens!I10813-Sens!I10768)</f>
        <v>0.065186212068278</v>
      </c>
      <c r="J10916" s="7" t="n">
        <f aca="false">Sens!J10868/(Sens!J10813-Sens!J10768)</f>
        <v>0.0659829536982484</v>
      </c>
      <c r="K10916" s="7" t="n">
        <f aca="false">Sens!K10868/(Sens!K10813-Sens!K10768)</f>
        <v>0.0674057476254763</v>
      </c>
    </row>
    <row r="10917" customFormat="false" ht="17.15" hidden="false" customHeight="false" outlineLevel="0" collapsed="false">
      <c r="A10917" s="0" t="s">
        <v>1235</v>
      </c>
      <c r="B10917" s="0" t="s">
        <v>98</v>
      </c>
      <c r="F10917" s="6" t="n">
        <f aca="false">Sens!F10798*(al_m365+Sens!F10916+sbc_r)</f>
        <v>82.9204823572539</v>
      </c>
      <c r="G10917" s="6" t="n">
        <f aca="false">Sens!G10798*(al_m365+Sens!G10916+sbc_r)</f>
        <v>93.3142408142999</v>
      </c>
      <c r="H10917" s="6" t="n">
        <f aca="false">Sens!H10798*(al_m365+Sens!H10916+sbc_r)</f>
        <v>103.872248739554</v>
      </c>
      <c r="I10917" s="6" t="n">
        <f aca="false">Sens!I10798*(al_m365+Sens!I10916+sbc_r)</f>
        <v>113.918485217088</v>
      </c>
      <c r="J10917" s="6" t="n">
        <f aca="false">Sens!J10798*(al_m365+Sens!J10916+sbc_r)</f>
        <v>123.264338021974</v>
      </c>
      <c r="K10917" s="6" t="n">
        <f aca="false">Sens!K10798*(al_m365+Sens!K10916+sbc_r)</f>
        <v>132.217784457878</v>
      </c>
      <c r="L10917" s="12" t="s">
        <v>1236</v>
      </c>
    </row>
    <row r="10918" customFormat="false" ht="17.15" hidden="false" customHeight="false" outlineLevel="0" collapsed="false">
      <c r="A10918" s="0" t="s">
        <v>1237</v>
      </c>
      <c r="B10918" s="0" t="s">
        <v>98</v>
      </c>
      <c r="F10918" s="6" t="n">
        <f aca="false">Sens!F10799*(al_lic+Sens!F10916+sbc_r)</f>
        <v>32.8606261614412</v>
      </c>
      <c r="G10918" s="6" t="n">
        <f aca="false">Sens!G10799*(al_lic+Sens!G10916+sbc_r)</f>
        <v>34.1590717552152</v>
      </c>
      <c r="H10918" s="6" t="n">
        <f aca="false">Sens!H10799*(al_lic+Sens!H10916+sbc_r)</f>
        <v>35.368096764261</v>
      </c>
      <c r="I10918" s="6" t="n">
        <f aca="false">Sens!I10799*(al_lic+Sens!I10916+sbc_r)</f>
        <v>36.4680426858579</v>
      </c>
      <c r="J10918" s="6" t="n">
        <f aca="false">Sens!J10799*(al_lic+Sens!J10916+sbc_r)</f>
        <v>37.4360686932705</v>
      </c>
      <c r="K10918" s="6" t="n">
        <f aca="false">Sens!K10799*(al_lic+Sens!K10916+sbc_r)</f>
        <v>38.2484545636314</v>
      </c>
    </row>
    <row r="10919" customFormat="false" ht="17.15" hidden="false" customHeight="false" outlineLevel="0" collapsed="false">
      <c r="A10919" s="0" t="s">
        <v>1238</v>
      </c>
      <c r="B10919" s="0" t="s">
        <v>98</v>
      </c>
      <c r="F10919" s="6" t="n">
        <f aca="false">Sens!F10801*(al_ind+Sens!F10916+sbc_r)</f>
        <v>9.06208000227072</v>
      </c>
      <c r="G10919" s="6" t="n">
        <f aca="false">Sens!G10801*(al_ind+Sens!G10916+sbc_r)</f>
        <v>9.84926587910146</v>
      </c>
      <c r="H10919" s="6" t="n">
        <f aca="false">Sens!H10801*(al_ind+Sens!H10916+sbc_r)</f>
        <v>10.6797306053582</v>
      </c>
      <c r="I10919" s="6" t="n">
        <f aca="false">Sens!I10801*(al_ind+Sens!I10916+sbc_r)</f>
        <v>11.5490777991934</v>
      </c>
      <c r="J10919" s="6" t="n">
        <f aca="false">Sens!J10801*(al_ind+Sens!J10916+sbc_r)</f>
        <v>12.4488676843945</v>
      </c>
      <c r="K10919" s="6" t="n">
        <f aca="false">Sens!K10801*(al_ind+Sens!K10916+sbc_r)</f>
        <v>13.367273163448</v>
      </c>
    </row>
    <row r="10920" customFormat="false" ht="17.15" hidden="false" customHeight="false" outlineLevel="0" collapsed="false">
      <c r="A10920" s="0" t="s">
        <v>1239</v>
      </c>
      <c r="B10920" s="0" t="s">
        <v>98</v>
      </c>
      <c r="F10920" s="6" t="n">
        <f aca="false">Sens!F10803*(al_fro+Sens!F10916+sbc_r)</f>
        <v>3.5546818250316</v>
      </c>
      <c r="G10920" s="6" t="n">
        <f aca="false">Sens!G10803*(al_fro+Sens!G10916+sbc_r)</f>
        <v>3.76861778735279</v>
      </c>
      <c r="H10920" s="6" t="n">
        <f aca="false">Sens!H10803*(al_fro+Sens!H10916+sbc_r)</f>
        <v>4.01074008524074</v>
      </c>
      <c r="I10920" s="6" t="n">
        <f aca="false">Sens!I10803*(al_fro+Sens!I10916+sbc_r)</f>
        <v>4.28341409976186</v>
      </c>
      <c r="J10920" s="6" t="n">
        <f aca="false">Sens!J10803*(al_fro+Sens!J10916+sbc_r)</f>
        <v>4.58834183723061</v>
      </c>
      <c r="K10920" s="6" t="n">
        <f aca="false">Sens!K10803*(al_fro+Sens!K10916+sbc_r)</f>
        <v>4.92684316842923</v>
      </c>
    </row>
    <row r="10921" customFormat="false" ht="17.15" hidden="false" customHeight="false" outlineLevel="0" collapsed="false">
      <c r="A10921" s="0" t="s">
        <v>1240</v>
      </c>
      <c r="B10921" s="0" t="s">
        <v>98</v>
      </c>
      <c r="F10921" s="6" t="n">
        <f aca="false">Sens!F10806*(al_srch+Sens!F10916+sbc_r)</f>
        <v>11.1527839645516</v>
      </c>
      <c r="G10921" s="6" t="n">
        <f aca="false">Sens!G10806*(al_srch+Sens!G10916+sbc_r)</f>
        <v>12.1250632263917</v>
      </c>
      <c r="H10921" s="6" t="n">
        <f aca="false">Sens!H10806*(al_srch+Sens!H10916+sbc_r)</f>
        <v>13.0595803350836</v>
      </c>
      <c r="I10921" s="6" t="n">
        <f aca="false">Sens!I10806*(al_srch+Sens!I10916+sbc_r)</f>
        <v>13.9288368230744</v>
      </c>
      <c r="J10921" s="6" t="n">
        <f aca="false">Sens!J10806*(al_srch+Sens!J10916+sbc_r)</f>
        <v>14.7011106474164</v>
      </c>
      <c r="K10921" s="6" t="n">
        <f aca="false">Sens!K10806*(al_srch+Sens!K10916+sbc_r)</f>
        <v>15.3430846107739</v>
      </c>
    </row>
    <row r="10922" customFormat="false" ht="17.15" hidden="false" customHeight="false" outlineLevel="0" collapsed="false">
      <c r="A10922" s="0" t="s">
        <v>1241</v>
      </c>
      <c r="B10922" s="0" t="s">
        <v>98</v>
      </c>
      <c r="F10922" s="6" t="n">
        <f aca="false">Sens!F10774-Sens!F10775+Sens!F10856</f>
        <v>38.9696429794913</v>
      </c>
      <c r="G10922" s="6" t="n">
        <f aca="false">Sens!G10774-Sens!G10775+Sens!G10856</f>
        <v>69.465497726016</v>
      </c>
      <c r="H10922" s="6" t="n">
        <f aca="false">Sens!H10774-Sens!H10775+Sens!H10856</f>
        <v>96.8147106808268</v>
      </c>
      <c r="I10922" s="6" t="n">
        <f aca="false">Sens!I10774-Sens!I10775+Sens!I10856</f>
        <v>127.654939766446</v>
      </c>
      <c r="J10922" s="6" t="n">
        <f aca="false">Sens!J10774-Sens!J10775+Sens!J10856</f>
        <v>149.308352681229</v>
      </c>
      <c r="K10922" s="6" t="n">
        <f aca="false">Sens!K10774-Sens!K10775+Sens!K10856</f>
        <v>162.731822021841</v>
      </c>
    </row>
    <row r="10923" customFormat="false" ht="17.15" hidden="false" customHeight="false" outlineLevel="0" collapsed="false">
      <c r="A10923" s="0" t="s">
        <v>1242</v>
      </c>
      <c r="B10923" s="0" t="s">
        <v>98</v>
      </c>
      <c r="F10923" s="6" t="n">
        <f aca="false">Sens!F10835+Sens!F10856+Sens!F10786+Sens!F10916*(Sens!F10805-Sens!F10768)+sbc_r*Sens!F10805</f>
        <v>234.804383348509</v>
      </c>
      <c r="G10923" s="6" t="n">
        <f aca="false">Sens!G10835+Sens!G10856+Sens!G10786+Sens!G10916*(Sens!G10805-Sens!G10768)+sbc_r*Sens!G10805</f>
        <v>285.516771128505</v>
      </c>
      <c r="H10923" s="6" t="n">
        <f aca="false">Sens!H10835+Sens!H10856+Sens!H10786+Sens!H10916*(Sens!H10805-Sens!H10768)+sbc_r*Sens!H10805</f>
        <v>338.297242246559</v>
      </c>
      <c r="I10923" s="6" t="n">
        <f aca="false">Sens!I10835+Sens!I10856+Sens!I10786+Sens!I10916*(Sens!I10805-Sens!I10768)+sbc_r*Sens!I10805</f>
        <v>393.956848871933</v>
      </c>
      <c r="J10923" s="6" t="n">
        <f aca="false">Sens!J10835+Sens!J10856+Sens!J10786+Sens!J10916*(Sens!J10805-Sens!J10768)+sbc_r*Sens!J10805</f>
        <v>438.516844858533</v>
      </c>
      <c r="K10923" s="6" t="n">
        <f aca="false">Sens!K10835+Sens!K10856+Sens!K10786+Sens!K10916*(Sens!K10805-Sens!K10768)+sbc_r*Sens!K10805</f>
        <v>472.516913182376</v>
      </c>
    </row>
    <row r="10924" customFormat="false" ht="17.15" hidden="false" customHeight="false" outlineLevel="0" collapsed="false">
      <c r="A10924" s="0" t="s">
        <v>1243</v>
      </c>
      <c r="B10924" s="0" t="s">
        <v>98</v>
      </c>
      <c r="F10924" s="6" t="n">
        <f aca="false">Sens!F10923-Sens!F10917-Sens!F10918-Sens!F10919-Sens!F10920-Sens!F10922</f>
        <v>67.4368700230199</v>
      </c>
      <c r="G10924" s="6" t="n">
        <f aca="false">Sens!G10923-Sens!G10917-Sens!G10918-Sens!G10919-Sens!G10920-Sens!G10922</f>
        <v>74.9600771665197</v>
      </c>
      <c r="H10924" s="6" t="n">
        <f aca="false">Sens!H10923-Sens!H10917-Sens!H10918-Sens!H10919-Sens!H10920-Sens!H10922</f>
        <v>87.551715371318</v>
      </c>
      <c r="I10924" s="6" t="n">
        <f aca="false">Sens!I10923-Sens!I10917-Sens!I10918-Sens!I10919-Sens!I10920-Sens!I10922</f>
        <v>100.082889303586</v>
      </c>
      <c r="J10924" s="6" t="n">
        <f aca="false">Sens!J10923-Sens!J10917-Sens!J10918-Sens!J10919-Sens!J10920-Sens!J10922</f>
        <v>111.470875940436</v>
      </c>
      <c r="K10924" s="6" t="n">
        <f aca="false">Sens!K10923-Sens!K10917-Sens!K10918-Sens!K10919-Sens!K10920-Sens!K10922</f>
        <v>121.024735807148</v>
      </c>
    </row>
    <row r="10925" customFormat="false" ht="17.15" hidden="false" customHeight="false" outlineLevel="0" collapsed="false">
      <c r="A10925" s="0" t="s">
        <v>1244</v>
      </c>
      <c r="B10925" s="0" t="s">
        <v>98</v>
      </c>
      <c r="F10925" s="6" t="n">
        <f aca="false">Sens!F10837+Sens!F10916*Sens!F10812+sbc_r*Sens!F10812</f>
        <v>26.6004265636285</v>
      </c>
      <c r="G10925" s="6" t="n">
        <f aca="false">Sens!G10837+Sens!G10916*Sens!G10812+sbc_r*Sens!G10812</f>
        <v>26.3560706423578</v>
      </c>
      <c r="H10925" s="6" t="n">
        <f aca="false">Sens!H10837+Sens!H10916*Sens!H10812+sbc_r*Sens!H10812</f>
        <v>27.0604941587987</v>
      </c>
      <c r="I10925" s="6" t="n">
        <f aca="false">Sens!I10837+Sens!I10916*Sens!I10812+sbc_r*Sens!I10812</f>
        <v>27.8966286927719</v>
      </c>
      <c r="J10925" s="6" t="n">
        <f aca="false">Sens!J10837+Sens!J10916*Sens!J10812+sbc_r*Sens!J10812</f>
        <v>28.8205882946058</v>
      </c>
      <c r="K10925" s="6" t="n">
        <f aca="false">Sens!K10837+Sens!K10916*Sens!K10812+sbc_r*Sens!K10812</f>
        <v>29.7939715594163</v>
      </c>
    </row>
    <row r="10926" customFormat="false" ht="17.15" hidden="false" customHeight="false" outlineLevel="0" collapsed="false">
      <c r="A10926" s="0" t="s">
        <v>1245</v>
      </c>
      <c r="B10926" s="0" t="s">
        <v>98</v>
      </c>
      <c r="F10926" s="6" t="n">
        <f aca="false">(Sens!F10925-Sens!F10921)*Sens!F10808/(Sens!F10808+Sens!F10810)</f>
        <v>8.72460483501112</v>
      </c>
      <c r="G10926" s="6" t="n">
        <f aca="false">(Sens!G10925-Sens!G10921)*Sens!G10808/(Sens!G10808+Sens!G10810)</f>
        <v>7.89933268426098</v>
      </c>
      <c r="H10926" s="6" t="n">
        <f aca="false">(Sens!H10925-Sens!H10921)*Sens!H10808/(Sens!H10808+Sens!H10810)</f>
        <v>7.67037147276929</v>
      </c>
      <c r="I10926" s="6" t="n">
        <f aca="false">(Sens!I10925-Sens!I10921)*Sens!I10808/(Sens!I10808+Sens!I10810)</f>
        <v>7.58543357966634</v>
      </c>
      <c r="J10926" s="6" t="n">
        <f aca="false">(Sens!J10925-Sens!J10921)*Sens!J10808/(Sens!J10808+Sens!J10810)</f>
        <v>7.63435468820686</v>
      </c>
      <c r="K10926" s="6" t="n">
        <f aca="false">(Sens!K10925-Sens!K10921)*Sens!K10808/(Sens!K10808+Sens!K10810)</f>
        <v>7.81354659724799</v>
      </c>
    </row>
    <row r="10927" customFormat="false" ht="17.15" hidden="false" customHeight="false" outlineLevel="0" collapsed="false">
      <c r="A10927" s="0" t="s">
        <v>1246</v>
      </c>
      <c r="B10927" s="0" t="s">
        <v>98</v>
      </c>
      <c r="F10927" s="6" t="n">
        <f aca="false">Sens!F10925-Sens!F10921-Sens!F10926</f>
        <v>6.72303776406576</v>
      </c>
      <c r="G10927" s="6" t="n">
        <f aca="false">Sens!G10925-Sens!G10921-Sens!G10926</f>
        <v>6.33167473170503</v>
      </c>
      <c r="H10927" s="6" t="n">
        <f aca="false">Sens!H10925-Sens!H10921-Sens!H10926</f>
        <v>6.33054235094581</v>
      </c>
      <c r="I10927" s="6" t="n">
        <f aca="false">Sens!I10925-Sens!I10921-Sens!I10926</f>
        <v>6.38235829003113</v>
      </c>
      <c r="J10927" s="6" t="n">
        <f aca="false">Sens!J10925-Sens!J10921-Sens!J10926</f>
        <v>6.48512295898253</v>
      </c>
      <c r="K10927" s="6" t="n">
        <f aca="false">Sens!K10925-Sens!K10921-Sens!K10926</f>
        <v>6.63734035139444</v>
      </c>
    </row>
    <row r="10928" customFormat="false" ht="17.15" hidden="false" customHeight="false" outlineLevel="0" collapsed="false">
      <c r="A10928" s="0" t="s">
        <v>1247</v>
      </c>
      <c r="B10928" s="0" t="s">
        <v>98</v>
      </c>
      <c r="F10928" s="6" t="n">
        <f aca="false">Sens!F10922-tax_f*(Sens!F10922-Sens!F10786)-Sens!F10783</f>
        <v>-130.362326762856</v>
      </c>
      <c r="G10928" s="6" t="n">
        <f aca="false">Sens!G10922-tax_f*(Sens!G10922-Sens!G10786)-Sens!G10783</f>
        <v>-124.225179337776</v>
      </c>
      <c r="H10928" s="6" t="n">
        <f aca="false">Sens!H10922-tax_f*(Sens!H10922-Sens!H10786)-Sens!H10783</f>
        <v>-101.534217387562</v>
      </c>
      <c r="I10928" s="6" t="n">
        <f aca="false">Sens!I10922-tax_f*(Sens!I10922-Sens!I10786)-Sens!I10783</f>
        <v>-43.6446798695439</v>
      </c>
      <c r="J10928" s="6" t="n">
        <f aca="false">Sens!J10922-tax_f*(Sens!J10922-Sens!J10786)-Sens!J10783</f>
        <v>16.9198855589618</v>
      </c>
      <c r="K10928" s="6" t="n">
        <f aca="false">Sens!K10922-tax_f*(Sens!K10922-Sens!K10786)-Sens!K10783</f>
        <v>39.8251384629271</v>
      </c>
    </row>
    <row r="10929" customFormat="false" ht="17.15" hidden="false" customHeight="false" outlineLevel="0" collapsed="false">
      <c r="A10929" s="0" t="s">
        <v>1248</v>
      </c>
      <c r="B10929" s="0" t="s">
        <v>98</v>
      </c>
      <c r="G10929" s="6" t="n">
        <f aca="false">Sens!G10928/(1+wacc)^(Sens!G10899-Sens!F10900)</f>
        <v>-118.286276192192</v>
      </c>
      <c r="H10929" s="6" t="n">
        <f aca="false">Sens!H10928/(1+wacc)^(Sens!H10899-Sens!F10900)</f>
        <v>-87.6570009910427</v>
      </c>
      <c r="I10929" s="6" t="n">
        <f aca="false">Sens!I10928/(1+wacc)^(Sens!I10899-Sens!F10900)</f>
        <v>-34.1629172979204</v>
      </c>
      <c r="J10929" s="6" t="n">
        <f aca="false">Sens!J10928/(1+wacc)^(Sens!J10899-Sens!F10900)</f>
        <v>12.0079954170053</v>
      </c>
      <c r="K10929" s="6" t="n">
        <f aca="false">Sens!K10928/(1+wacc)^(Sens!K10899-Sens!F10900)</f>
        <v>25.6259421582556</v>
      </c>
      <c r="L10929" s="1" t="s">
        <v>1249</v>
      </c>
    </row>
    <row r="10930" customFormat="false" ht="17.15" hidden="false" customHeight="false" outlineLevel="0" collapsed="false">
      <c r="A10930" s="0" t="s">
        <v>1250</v>
      </c>
      <c r="B10930" s="0" t="s">
        <v>98</v>
      </c>
      <c r="C10930" s="6" t="n">
        <f aca="false">(Sens!K10922-Sens!K10786)*(1-tax_f)*(1+g_tv)*(1-g_tv/(wacc+ronic_prem))/(wacc-g_tv)/(1+wacc)^(Sens!K10900-Sens!F10900)</f>
        <v>96.7148026864948</v>
      </c>
    </row>
    <row r="10931" customFormat="false" ht="17.15" hidden="false" customHeight="false" outlineLevel="0" collapsed="false">
      <c r="A10931" s="1" t="s">
        <v>1251</v>
      </c>
      <c r="B10931" s="0" t="s">
        <v>98</v>
      </c>
      <c r="C10931" s="6" t="n">
        <f aca="false">(SUM(Sens!G10929:K10929)+Sens!$C$10930)*(1+wacc)^(t_roll-Sens!F10900)</f>
        <v>-109.248827617462</v>
      </c>
      <c r="L10931" s="12" t="s">
        <v>1252</v>
      </c>
    </row>
    <row r="10932" customFormat="false" ht="17.15" hidden="false" customHeight="false" outlineLevel="0" collapsed="false">
      <c r="A10932" s="1" t="s">
        <v>1253</v>
      </c>
      <c r="B10932" s="0" t="s">
        <v>98</v>
      </c>
      <c r="C10932" s="6" t="n">
        <f aca="false">(w_ntm28*Sens!G10774+(1-w_ntm28)*Sens!H10774)*m_ai</f>
        <v>344.355829012336</v>
      </c>
    </row>
    <row r="10933" customFormat="false" ht="17.15" hidden="false" customHeight="false" outlineLevel="0" collapsed="false">
      <c r="A10933" s="1" t="s">
        <v>1254</v>
      </c>
      <c r="B10933" s="0" t="s">
        <v>98</v>
      </c>
      <c r="C10933" s="6" t="n">
        <f aca="false">(w_ntm28*Sens!G10924+(1-w_ntm28)*Sens!H10924)*m_cloud</f>
        <v>1093.15915082168</v>
      </c>
    </row>
    <row r="10934" customFormat="false" ht="17.15" hidden="false" customHeight="false" outlineLevel="0" collapsed="false">
      <c r="A10934" s="1" t="s">
        <v>1255</v>
      </c>
      <c r="B10934" s="0" t="s">
        <v>98</v>
      </c>
      <c r="C10934" s="6" t="n">
        <f aca="false">(w_ntm28*Sens!G10917+(1-w_ntm28)*Sens!H10917)*m_sw</f>
        <v>1045.28196044137</v>
      </c>
    </row>
    <row r="10935" customFormat="false" ht="17.15" hidden="false" customHeight="false" outlineLevel="0" collapsed="false">
      <c r="A10935" s="1" t="s">
        <v>1256</v>
      </c>
      <c r="B10935" s="0" t="s">
        <v>98</v>
      </c>
      <c r="C10935" s="6" t="n">
        <f aca="false">(w_ntm28*Sens!G10918+(1-w_ntm28)*Sens!H10918)*m_sw</f>
        <v>373.210841837758</v>
      </c>
    </row>
    <row r="10936" customFormat="false" ht="17.15" hidden="false" customHeight="false" outlineLevel="0" collapsed="false">
      <c r="A10936" s="1" t="s">
        <v>1257</v>
      </c>
      <c r="B10936" s="0" t="s">
        <v>98</v>
      </c>
      <c r="C10936" s="6" t="n">
        <f aca="false">(w_ntm28*Sens!G10919+(1-w_ntm28)*Sens!H10919)*m_sw</f>
        <v>109.320790083964</v>
      </c>
    </row>
    <row r="10937" customFormat="false" ht="17.15" hidden="false" customHeight="false" outlineLevel="0" collapsed="false">
      <c r="A10937" s="1" t="s">
        <v>1258</v>
      </c>
      <c r="B10937" s="0" t="s">
        <v>98</v>
      </c>
      <c r="C10937" s="6" t="n">
        <f aca="false">(w_ntm28*Sens!G10920+(1-w_ntm28)*Sens!H10920)*m_sw</f>
        <v>41.5607720981027</v>
      </c>
    </row>
    <row r="10938" customFormat="false" ht="17.15" hidden="false" customHeight="false" outlineLevel="0" collapsed="false">
      <c r="A10938" s="1" t="s">
        <v>1259</v>
      </c>
      <c r="B10938" s="0" t="s">
        <v>98</v>
      </c>
      <c r="C10938" s="6" t="n">
        <f aca="false">(w_ntm28*Sens!G10921+(1-w_ntm28)*Sens!H10921)*m_ads</f>
        <v>113.258268740982</v>
      </c>
    </row>
    <row r="10939" customFormat="false" ht="17.15" hidden="false" customHeight="false" outlineLevel="0" collapsed="false">
      <c r="A10939" s="1" t="s">
        <v>1260</v>
      </c>
      <c r="B10939" s="0" t="s">
        <v>98</v>
      </c>
      <c r="C10939" s="6" t="n">
        <f aca="false">(w_ntm28*Sens!G10926+(1-w_ntm28)*Sens!H10926)*m_game</f>
        <v>98.8178495771838</v>
      </c>
    </row>
    <row r="10940" customFormat="false" ht="17.15" hidden="false" customHeight="false" outlineLevel="0" collapsed="false">
      <c r="A10940" s="1" t="s">
        <v>1261</v>
      </c>
      <c r="B10940" s="0" t="s">
        <v>98</v>
      </c>
      <c r="C10940" s="6" t="n">
        <f aca="false">(w_ntm28*Sens!G10927+(1-w_ntm28)*Sens!H10927)*m_pc</f>
        <v>91.6139463377709</v>
      </c>
    </row>
    <row r="10941" customFormat="false" ht="17.15" hidden="false" customHeight="false" outlineLevel="0" collapsed="false">
      <c r="A10941" s="1" t="s">
        <v>1262</v>
      </c>
      <c r="B10941" s="0" t="s">
        <v>98</v>
      </c>
      <c r="C10941" s="6" t="n">
        <f aca="false">Sens!$C$10931+Sens!$C$10933+Sens!$C$10934+Sens!$C$10935+Sens!$C$10936+Sens!$C$10937+Sens!$C$10938+Sens!$C$10939+Sens!$C$10940</f>
        <v>2856.97475232135</v>
      </c>
    </row>
    <row r="10942" customFormat="false" ht="17.15" hidden="false" customHeight="false" outlineLevel="0" collapsed="false">
      <c r="A10942" s="1" t="s">
        <v>1263</v>
      </c>
      <c r="B10942" s="0" t="s">
        <v>98</v>
      </c>
      <c r="C10942" s="6" t="n">
        <f aca="false">(Sens!G10903-Sens!G10928)*t_stub</f>
        <v>47.4619712233934</v>
      </c>
      <c r="L10942" s="1" t="s">
        <v>1264</v>
      </c>
    </row>
    <row r="10943" customFormat="false" ht="17.15" hidden="false" customHeight="false" outlineLevel="0" collapsed="false">
      <c r="A10943" s="1" t="s">
        <v>1173</v>
      </c>
      <c r="B10943" s="0" t="s">
        <v>98</v>
      </c>
      <c r="C10943" s="6" t="n">
        <f aca="false">Sens!F10890+oai_v-Sens!F10879+Sens!$C$10942</f>
        <v>158.514209537112</v>
      </c>
      <c r="L10943" s="1" t="s">
        <v>1265</v>
      </c>
    </row>
    <row r="10944" customFormat="false" ht="17.15" hidden="false" customHeight="false" outlineLevel="0" collapsed="false">
      <c r="A10944" s="1" t="s">
        <v>1266</v>
      </c>
      <c r="B10944" s="0" t="s">
        <v>75</v>
      </c>
      <c r="C10944" s="5" t="n">
        <f aca="false">(Sens!$C$10941+Sens!$C$10943)/(Sens!F10892+dil_gap)-Sens!G10882*roll_div_q/q_per_yr</f>
        <v>401.240244111321</v>
      </c>
      <c r="L10944" s="1" t="s">
        <v>1267</v>
      </c>
    </row>
    <row r="10945" customFormat="false" ht="17.15" hidden="false" customHeight="false" outlineLevel="0" collapsed="false">
      <c r="A10945" s="1" t="s">
        <v>1268</v>
      </c>
      <c r="B10945" s="0" t="s">
        <v>75</v>
      </c>
      <c r="C10945" s="5" t="n">
        <f aca="false">w_dcf*Sens!$C$10915+(1-w_dcf)*Sens!$C$10944</f>
        <v>340.487529026275</v>
      </c>
    </row>
    <row r="10946" customFormat="false" ht="17.15" hidden="false" customHeight="false" outlineLevel="0" collapsed="false">
      <c r="A10946" s="3" t="s">
        <v>1885</v>
      </c>
    </row>
    <row r="10947" customFormat="false" ht="15" hidden="false" customHeight="false" outlineLevel="0" collapsed="false">
      <c r="A10947" s="4" t="s">
        <v>43</v>
      </c>
      <c r="B10947" s="4" t="s">
        <v>65</v>
      </c>
      <c r="C10947" s="23" t="s">
        <v>942</v>
      </c>
      <c r="D10947" s="23" t="s">
        <v>943</v>
      </c>
      <c r="E10947" s="23" t="s">
        <v>944</v>
      </c>
      <c r="F10947" s="23" t="s">
        <v>945</v>
      </c>
      <c r="G10947" s="23" t="s">
        <v>946</v>
      </c>
      <c r="H10947" s="23" t="s">
        <v>947</v>
      </c>
      <c r="I10947" s="23" t="s">
        <v>948</v>
      </c>
      <c r="J10947" s="23" t="s">
        <v>949</v>
      </c>
      <c r="K10947" s="23" t="s">
        <v>950</v>
      </c>
      <c r="L10947" s="4" t="s">
        <v>47</v>
      </c>
    </row>
    <row r="10948" customFormat="false" ht="17.15" hidden="false" customHeight="false" outlineLevel="0" collapsed="false">
      <c r="A10948" s="1" t="s">
        <v>951</v>
      </c>
      <c r="B10948" s="1" t="s">
        <v>279</v>
      </c>
      <c r="C10948" s="21" t="n">
        <v>2024</v>
      </c>
      <c r="D10948" s="21" t="n">
        <v>2025</v>
      </c>
      <c r="E10948" s="21" t="n">
        <v>2026</v>
      </c>
      <c r="F10948" s="21" t="n">
        <v>2027</v>
      </c>
      <c r="G10948" s="21" t="n">
        <v>2028</v>
      </c>
      <c r="H10948" s="21" t="n">
        <v>2029</v>
      </c>
      <c r="I10948" s="21" t="n">
        <v>2030</v>
      </c>
      <c r="J10948" s="21" t="n">
        <v>2031</v>
      </c>
      <c r="K10948" s="21" t="n">
        <v>2032</v>
      </c>
    </row>
    <row r="10949" customFormat="false" ht="17.15" hidden="false" customHeight="false" outlineLevel="0" collapsed="false">
      <c r="A10949" s="1" t="s">
        <v>952</v>
      </c>
      <c r="B10949" s="0" t="s">
        <v>459</v>
      </c>
      <c r="F10949" s="30" t="n">
        <f aca="false">pace</f>
        <v>2726.5351</v>
      </c>
      <c r="G10949" s="30" t="n">
        <f aca="false">pace</f>
        <v>2726.5351</v>
      </c>
      <c r="H10949" s="30" t="n">
        <f aca="false">pace</f>
        <v>2726.5351</v>
      </c>
      <c r="I10949" s="30" t="n">
        <f aca="false">pace+(g_tv*Sens!H10950-pace)*MIN(1,(Sens!I10948-pace_y0)/(pace_y1-pace_y0))</f>
        <v>1931.98611966667</v>
      </c>
      <c r="J10949" s="30" t="n">
        <f aca="false">pace+(g_tv*Sens!I10950-pace)*MIN(1,(Sens!J10948-pace_y0)/(pace_y1-pace_y0))</f>
        <v>1176.07686172667</v>
      </c>
      <c r="K10949" s="30" t="n">
        <f aca="false">pace+(g_tv*Sens!J10950-pace)*MIN(1,(Sens!K10948-pace_y0)/(pace_y1-pace_y0))</f>
        <v>436.1300484418</v>
      </c>
      <c r="L10949" s="12" t="s">
        <v>953</v>
      </c>
    </row>
    <row r="10950" customFormat="false" ht="17.15" hidden="false" customHeight="false" outlineLevel="0" collapsed="false">
      <c r="A10950" s="1" t="s">
        <v>954</v>
      </c>
      <c r="B10950" s="0" t="s">
        <v>459</v>
      </c>
      <c r="C10950" s="30" t="n">
        <f aca="false">mw_ext_24</f>
        <v>640</v>
      </c>
      <c r="D10950" s="30" t="n">
        <f aca="false">mw_ext_25</f>
        <v>1630</v>
      </c>
      <c r="E10950" s="30" t="n">
        <f aca="false">mw_ext_26</f>
        <v>3250</v>
      </c>
      <c r="F10950" s="30" t="n">
        <f aca="false">Sens!E10950+Sens!F10949</f>
        <v>5976.5351</v>
      </c>
      <c r="G10950" s="30" t="n">
        <f aca="false">Sens!F10950+Sens!G10949</f>
        <v>8703.0702</v>
      </c>
      <c r="H10950" s="30" t="n">
        <f aca="false">Sens!G10950+Sens!H10949</f>
        <v>11429.6053</v>
      </c>
      <c r="I10950" s="30" t="n">
        <f aca="false">Sens!H10950+Sens!I10949</f>
        <v>13361.5914196667</v>
      </c>
      <c r="J10950" s="30" t="n">
        <f aca="false">Sens!I10950+Sens!J10949</f>
        <v>14537.6682813933</v>
      </c>
      <c r="K10950" s="30" t="n">
        <f aca="false">Sens!J10950+Sens!K10949</f>
        <v>14973.7983298351</v>
      </c>
      <c r="L10950" s="1" t="s">
        <v>955</v>
      </c>
    </row>
    <row r="10951" customFormat="false" ht="17.15" hidden="false" customHeight="false" outlineLevel="0" collapsed="false">
      <c r="A10951" s="1" t="s">
        <v>956</v>
      </c>
      <c r="B10951" s="0" t="s">
        <v>459</v>
      </c>
      <c r="C10951" s="30" t="n">
        <f aca="false">rent_ext_24</f>
        <v>150</v>
      </c>
      <c r="D10951" s="30" t="n">
        <f aca="false">rent_ext_25</f>
        <v>400</v>
      </c>
      <c r="E10951" s="30" t="n">
        <f aca="false">rent_ext_26</f>
        <v>550</v>
      </c>
      <c r="F10951" s="30" t="n">
        <f aca="false">rent_ext_f</f>
        <v>756</v>
      </c>
      <c r="G10951" s="30" t="n">
        <f aca="false">rent_ext_f</f>
        <v>756</v>
      </c>
      <c r="H10951" s="30" t="n">
        <f aca="false">rent_ext_f</f>
        <v>756</v>
      </c>
      <c r="I10951" s="30" t="n">
        <f aca="false">rent_ext_f</f>
        <v>756</v>
      </c>
      <c r="J10951" s="30" t="n">
        <f aca="false">rent_ext_f</f>
        <v>756</v>
      </c>
      <c r="K10951" s="30" t="n">
        <f aca="false">rent_ext_f</f>
        <v>756</v>
      </c>
      <c r="L10951" s="1" t="s">
        <v>957</v>
      </c>
    </row>
    <row r="10952" customFormat="false" ht="17.15" hidden="false" customHeight="false" outlineLevel="0" collapsed="false">
      <c r="A10952" s="1" t="s">
        <v>958</v>
      </c>
      <c r="B10952" s="0" t="s">
        <v>459</v>
      </c>
      <c r="C10952" s="30" t="n">
        <f aca="false">Sens!C10950-Sens!C10951</f>
        <v>490</v>
      </c>
      <c r="D10952" s="30" t="n">
        <f aca="false">Sens!D10950-Sens!D10951</f>
        <v>1230</v>
      </c>
      <c r="E10952" s="30" t="n">
        <f aca="false">Sens!E10950-Sens!E10951</f>
        <v>2700</v>
      </c>
      <c r="F10952" s="30" t="n">
        <f aca="false">Sens!F10950-Sens!F10951</f>
        <v>5220.5351</v>
      </c>
      <c r="G10952" s="30" t="n">
        <f aca="false">Sens!G10950-Sens!G10951</f>
        <v>7947.0702</v>
      </c>
      <c r="H10952" s="30" t="n">
        <f aca="false">Sens!H10950-Sens!H10951</f>
        <v>10673.6053</v>
      </c>
      <c r="I10952" s="30" t="n">
        <f aca="false">Sens!I10950-Sens!I10951</f>
        <v>12605.5914196667</v>
      </c>
      <c r="J10952" s="30" t="n">
        <f aca="false">Sens!J10950-Sens!J10951</f>
        <v>13781.6682813933</v>
      </c>
      <c r="K10952" s="30" t="n">
        <f aca="false">Sens!K10950-Sens!K10951</f>
        <v>14217.7983298351</v>
      </c>
    </row>
    <row r="10953" customFormat="false" ht="17.15" hidden="false" customHeight="false" outlineLevel="0" collapsed="false">
      <c r="A10953" s="1" t="s">
        <v>959</v>
      </c>
      <c r="B10953" s="0" t="s">
        <v>459</v>
      </c>
      <c r="C10953" s="30" t="n">
        <f aca="false">Sens!C10952/ext_sh</f>
        <v>816.666666666667</v>
      </c>
      <c r="D10953" s="30" t="n">
        <f aca="false">Sens!D10952/ext_sh</f>
        <v>2050</v>
      </c>
      <c r="E10953" s="30" t="n">
        <f aca="false">Sens!E10952/ext_sh</f>
        <v>4500</v>
      </c>
      <c r="F10953" s="30" t="n">
        <f aca="false">Sens!F10952/ext_sh</f>
        <v>8700.89183333333</v>
      </c>
      <c r="G10953" s="30" t="n">
        <f aca="false">Sens!G10952/ext_sh</f>
        <v>13245.117</v>
      </c>
      <c r="H10953" s="30" t="n">
        <f aca="false">Sens!H10952/ext_sh</f>
        <v>17789.3421666667</v>
      </c>
      <c r="I10953" s="30" t="n">
        <f aca="false">Sens!I10952/ext_sh</f>
        <v>21009.3190327778</v>
      </c>
      <c r="J10953" s="30" t="n">
        <f aca="false">Sens!J10952/ext_sh</f>
        <v>22969.4471356556</v>
      </c>
      <c r="K10953" s="30" t="n">
        <f aca="false">Sens!K10952/ext_sh</f>
        <v>23696.3305497252</v>
      </c>
      <c r="L10953" s="1" t="s">
        <v>960</v>
      </c>
    </row>
    <row r="10954" customFormat="false" ht="17.15" hidden="false" customHeight="false" outlineLevel="0" collapsed="false">
      <c r="A10954" s="1" t="s">
        <v>961</v>
      </c>
      <c r="B10954" s="0" t="s">
        <v>459</v>
      </c>
      <c r="C10954" s="30" t="n">
        <f aca="false">Sens!C10953-Sens!C10952</f>
        <v>326.666666666667</v>
      </c>
      <c r="D10954" s="30" t="n">
        <f aca="false">Sens!D10953-Sens!D10952</f>
        <v>820</v>
      </c>
      <c r="E10954" s="30" t="n">
        <f aca="false">Sens!E10953-Sens!E10952</f>
        <v>1800</v>
      </c>
      <c r="F10954" s="30" t="n">
        <f aca="false">Sens!F10953-Sens!F10952</f>
        <v>3480.35673333333</v>
      </c>
      <c r="G10954" s="30" t="n">
        <f aca="false">Sens!G10953-Sens!G10952</f>
        <v>5298.0468</v>
      </c>
      <c r="H10954" s="30" t="n">
        <f aca="false">Sens!H10953-Sens!H10952</f>
        <v>7115.73686666667</v>
      </c>
      <c r="I10954" s="30" t="n">
        <f aca="false">Sens!I10953-Sens!I10952</f>
        <v>8403.72761311111</v>
      </c>
      <c r="J10954" s="30" t="n">
        <f aca="false">Sens!J10953-Sens!J10952</f>
        <v>9187.77885426222</v>
      </c>
      <c r="K10954" s="30" t="n">
        <f aca="false">Sens!K10953-Sens!K10952</f>
        <v>9478.53221989009</v>
      </c>
    </row>
    <row r="10955" customFormat="false" ht="17.15" hidden="false" customHeight="false" outlineLevel="0" collapsed="false">
      <c r="A10955" s="1" t="s">
        <v>962</v>
      </c>
      <c r="B10955" s="0" t="s">
        <v>459</v>
      </c>
      <c r="C10955" s="30" t="n">
        <f aca="false">Sens!C10953</f>
        <v>816.666666666667</v>
      </c>
      <c r="D10955" s="30" t="n">
        <f aca="false">Sens!D10953-Sens!C10953</f>
        <v>1233.33333333333</v>
      </c>
      <c r="E10955" s="30" t="n">
        <f aca="false">Sens!E10953-Sens!D10953</f>
        <v>2450</v>
      </c>
      <c r="F10955" s="30" t="n">
        <f aca="false">Sens!F10953-Sens!E10953</f>
        <v>4200.89183333333</v>
      </c>
      <c r="G10955" s="30" t="n">
        <f aca="false">Sens!G10953-Sens!F10953</f>
        <v>4544.22516666667</v>
      </c>
      <c r="H10955" s="30" t="n">
        <f aca="false">Sens!H10953-Sens!G10953</f>
        <v>4544.22516666667</v>
      </c>
      <c r="I10955" s="30" t="n">
        <f aca="false">Sens!I10953-Sens!H10953</f>
        <v>3219.97686611111</v>
      </c>
      <c r="J10955" s="30" t="n">
        <f aca="false">Sens!J10953-Sens!I10953</f>
        <v>1960.12810287778</v>
      </c>
      <c r="K10955" s="30" t="n">
        <f aca="false">Sens!K10953-Sens!J10953</f>
        <v>726.883414069667</v>
      </c>
    </row>
    <row r="10956" customFormat="false" ht="17.15" hidden="false" customHeight="false" outlineLevel="0" collapsed="false">
      <c r="A10956" s="1" t="s">
        <v>963</v>
      </c>
      <c r="B10956" s="0" t="s">
        <v>459</v>
      </c>
      <c r="D10956" s="30" t="n">
        <f aca="false">Sens!D10950-Sens!C10950</f>
        <v>990</v>
      </c>
      <c r="E10956" s="30" t="n">
        <f aca="false">Sens!E10950-Sens!D10950</f>
        <v>1620</v>
      </c>
      <c r="F10956" s="30" t="n">
        <f aca="false">Sens!F10950-Sens!E10950</f>
        <v>2726.5351</v>
      </c>
      <c r="G10956" s="30" t="n">
        <f aca="false">Sens!G10950-Sens!F10950</f>
        <v>2726.5351</v>
      </c>
      <c r="H10956" s="30" t="n">
        <f aca="false">Sens!H10950-Sens!G10950</f>
        <v>2726.5351</v>
      </c>
      <c r="I10956" s="30" t="n">
        <f aca="false">Sens!I10950-Sens!H10950</f>
        <v>1931.98611966667</v>
      </c>
      <c r="J10956" s="30" t="n">
        <f aca="false">Sens!J10950-Sens!I10950</f>
        <v>1176.07686172667</v>
      </c>
      <c r="K10956" s="30" t="n">
        <f aca="false">Sens!K10950-Sens!J10950</f>
        <v>436.130048441799</v>
      </c>
    </row>
    <row r="10957" customFormat="false" ht="17.15" hidden="false" customHeight="false" outlineLevel="0" collapsed="false">
      <c r="A10957" s="1" t="s">
        <v>964</v>
      </c>
      <c r="B10957" s="0" t="s">
        <v>459</v>
      </c>
      <c r="F10957" s="30" t="n">
        <f aca="false">Sens!F10976*ext_sh</f>
        <v>0</v>
      </c>
      <c r="G10957" s="30" t="n">
        <f aca="false">Sens!G10976*ext_sh</f>
        <v>0</v>
      </c>
      <c r="H10957" s="30" t="n">
        <f aca="false">Sens!H10976*ext_sh</f>
        <v>0</v>
      </c>
      <c r="I10957" s="30" t="n">
        <f aca="false">Sens!I10976*ext_sh</f>
        <v>490</v>
      </c>
      <c r="J10957" s="30" t="n">
        <f aca="false">Sens!J10976*ext_sh</f>
        <v>740</v>
      </c>
      <c r="K10957" s="30" t="n">
        <f aca="false">Sens!K10976*ext_sh</f>
        <v>1470</v>
      </c>
      <c r="L10957" s="1" t="s">
        <v>965</v>
      </c>
    </row>
    <row r="10958" customFormat="false" ht="17.15" hidden="false" customHeight="false" outlineLevel="0" collapsed="false">
      <c r="A10958" s="1" t="s">
        <v>966</v>
      </c>
      <c r="B10958" s="0" t="s">
        <v>459</v>
      </c>
      <c r="C10958" s="30" t="n">
        <f aca="false">mix_h*Sens!C10950</f>
        <v>128</v>
      </c>
      <c r="D10958" s="30" t="n">
        <f aca="false">mix_h*Sens!D10950</f>
        <v>326</v>
      </c>
      <c r="E10958" s="30" t="n">
        <f aca="false">mix_h*Sens!E10950</f>
        <v>650</v>
      </c>
      <c r="F10958" s="30" t="n">
        <f aca="false">Sens!E10958-Sens!F10957*mix_h</f>
        <v>650</v>
      </c>
      <c r="G10958" s="30" t="n">
        <f aca="false">Sens!F10958-Sens!G10957*mix_h</f>
        <v>650</v>
      </c>
      <c r="H10958" s="30" t="n">
        <f aca="false">Sens!G10958-Sens!H10957*mix_h</f>
        <v>650</v>
      </c>
      <c r="I10958" s="30" t="n">
        <f aca="false">Sens!H10958-Sens!I10957*mix_h</f>
        <v>552</v>
      </c>
      <c r="J10958" s="30" t="n">
        <f aca="false">Sens!I10958-Sens!J10957*mix_h</f>
        <v>404</v>
      </c>
      <c r="K10958" s="30" t="n">
        <f aca="false">Sens!J10958-Sens!K10957*mix_h</f>
        <v>110</v>
      </c>
    </row>
    <row r="10959" customFormat="false" ht="17.15" hidden="false" customHeight="false" outlineLevel="0" collapsed="false">
      <c r="A10959" s="1" t="s">
        <v>967</v>
      </c>
      <c r="B10959" s="0" t="s">
        <v>459</v>
      </c>
      <c r="C10959" s="30" t="n">
        <f aca="false">mix_g2*Sens!C10950</f>
        <v>288</v>
      </c>
      <c r="D10959" s="30" t="n">
        <f aca="false">mix_g2*Sens!D10950</f>
        <v>733.5</v>
      </c>
      <c r="E10959" s="30" t="n">
        <f aca="false">mix_g2*Sens!E10950</f>
        <v>1462.5</v>
      </c>
      <c r="F10959" s="30" t="n">
        <f aca="false">Sens!E10959-Sens!F10957*mix_g2</f>
        <v>1462.5</v>
      </c>
      <c r="G10959" s="30" t="n">
        <f aca="false">Sens!F10959-Sens!G10957*mix_g2</f>
        <v>1462.5</v>
      </c>
      <c r="H10959" s="30" t="n">
        <f aca="false">Sens!G10959-Sens!H10957*mix_g2</f>
        <v>1462.5</v>
      </c>
      <c r="I10959" s="30" t="n">
        <f aca="false">Sens!H10959-Sens!I10957*mix_g2</f>
        <v>1242</v>
      </c>
      <c r="J10959" s="30" t="n">
        <f aca="false">Sens!I10959-Sens!J10957*mix_g2</f>
        <v>909</v>
      </c>
      <c r="K10959" s="30" t="n">
        <f aca="false">Sens!J10959-Sens!K10957*mix_g2</f>
        <v>247.5</v>
      </c>
    </row>
    <row r="10960" customFormat="false" ht="17.15" hidden="false" customHeight="false" outlineLevel="0" collapsed="false">
      <c r="A10960" s="1" t="s">
        <v>968</v>
      </c>
      <c r="B10960" s="0" t="s">
        <v>459</v>
      </c>
      <c r="C10960" s="30" t="n">
        <f aca="false">mix_g3*Sens!C10950</f>
        <v>224</v>
      </c>
      <c r="D10960" s="30" t="n">
        <f aca="false">mix_g3*Sens!D10950</f>
        <v>570.5</v>
      </c>
      <c r="E10960" s="30" t="n">
        <f aca="false">mix_g3*Sens!E10950</f>
        <v>1137.5</v>
      </c>
      <c r="F10960" s="30" t="n">
        <f aca="false">Sens!E10960+(Sens!F10956+Sens!F10957)*(a_g3_27-nonnv*a_mai)-Sens!F10957*mix_g3</f>
        <v>2773.42106</v>
      </c>
      <c r="G10960" s="30" t="n">
        <f aca="false">Sens!F10960+(Sens!G10956+Sens!G10957)*(a_g3_28-nonnv*a_mai)-Sens!G10957*mix_g3</f>
        <v>3318.72808</v>
      </c>
      <c r="H10960" s="30" t="n">
        <f aca="false">Sens!G10960+(Sens!H10956+Sens!H10957)*(a_g3_29-nonnv*a_mai)-Sens!H10957*mix_g3</f>
        <v>3318.72808</v>
      </c>
      <c r="I10960" s="30" t="n">
        <f aca="false">Sens!H10960+(Sens!I10956+Sens!I10957)*(a_g3_29-nonnv*a_mai)-Sens!I10957*mix_g3</f>
        <v>3147.22808</v>
      </c>
      <c r="J10960" s="30" t="n">
        <f aca="false">Sens!I10960+(Sens!J10956+Sens!J10957)*(a_g3_29-nonnv*a_mai)-Sens!J10957*mix_g3</f>
        <v>2888.22808</v>
      </c>
      <c r="K10960" s="30" t="n">
        <f aca="false">Sens!J10960+(Sens!K10956+Sens!K10957)*(a_g3_29-nonnv*a_mai)-Sens!K10957*mix_g3</f>
        <v>2373.72808</v>
      </c>
    </row>
    <row r="10961" customFormat="false" ht="17.15" hidden="false" customHeight="false" outlineLevel="0" collapsed="false">
      <c r="A10961" s="1" t="s">
        <v>969</v>
      </c>
      <c r="B10961" s="0" t="s">
        <v>459</v>
      </c>
      <c r="C10961" s="30" t="n">
        <v>0</v>
      </c>
      <c r="D10961" s="30" t="n">
        <v>0</v>
      </c>
      <c r="E10961" s="30" t="n">
        <v>0</v>
      </c>
      <c r="F10961" s="30" t="n">
        <f aca="false">Sens!E10961+(Sens!F10956+Sens!F10957)*nonnv*a_mai</f>
        <v>272.65351</v>
      </c>
      <c r="G10961" s="30" t="n">
        <f aca="false">Sens!F10961+(Sens!G10956+Sens!G10957)*nonnv*a_mai</f>
        <v>545.30702</v>
      </c>
      <c r="H10961" s="30" t="n">
        <f aca="false">Sens!G10961+(Sens!H10956+Sens!H10957)*nonnv*a_mai</f>
        <v>817.96053</v>
      </c>
      <c r="I10961" s="30" t="n">
        <f aca="false">Sens!H10961+(Sens!I10956+Sens!I10957)*nonnv*a_mai</f>
        <v>1060.15914196667</v>
      </c>
      <c r="J10961" s="30" t="n">
        <f aca="false">Sens!I10961+(Sens!J10956+Sens!J10957)*nonnv*a_mai</f>
        <v>1251.76682813933</v>
      </c>
      <c r="K10961" s="30" t="n">
        <f aca="false">Sens!J10961+(Sens!K10956+Sens!K10957)*nonnv*a_mai</f>
        <v>1442.37983298351</v>
      </c>
      <c r="L10961" s="12" t="s">
        <v>970</v>
      </c>
    </row>
    <row r="10962" customFormat="false" ht="17.15" hidden="false" customHeight="false" outlineLevel="0" collapsed="false">
      <c r="A10962" s="1" t="s">
        <v>971</v>
      </c>
      <c r="B10962" s="0" t="s">
        <v>459</v>
      </c>
      <c r="C10962" s="30" t="n">
        <v>0</v>
      </c>
      <c r="D10962" s="30" t="n">
        <v>0</v>
      </c>
      <c r="E10962" s="30" t="n">
        <v>0</v>
      </c>
      <c r="F10962" s="30" t="n">
        <f aca="false">Sens!E10962+(Sens!F10956+Sens!F10957)*(1-a_g3_27)</f>
        <v>817.96053</v>
      </c>
      <c r="G10962" s="30" t="n">
        <f aca="false">Sens!F10962+(Sens!G10956+Sens!G10957)*(1-a_g3_28)</f>
        <v>2726.5351</v>
      </c>
      <c r="H10962" s="30" t="n">
        <f aca="false">Sens!G10962+(Sens!H10956+Sens!H10957)*(1-a_g3_29)</f>
        <v>5180.41669</v>
      </c>
      <c r="I10962" s="30" t="n">
        <f aca="false">Sens!H10962+(Sens!I10956+Sens!I10957)*(1-a_g3_29)</f>
        <v>7360.2041977</v>
      </c>
      <c r="J10962" s="30" t="n">
        <f aca="false">Sens!I10962+(Sens!J10956+Sens!J10957)*(1-a_g3_29)</f>
        <v>9084.673373254</v>
      </c>
      <c r="K10962" s="30" t="n">
        <f aca="false">Sens!J10962+(Sens!K10956+Sens!K10957)*(1-a_g3_29)</f>
        <v>10800.1904168516</v>
      </c>
    </row>
    <row r="10963" customFormat="false" ht="17.15" hidden="false" customHeight="false" outlineLevel="0" collapsed="false">
      <c r="A10963" s="1" t="s">
        <v>972</v>
      </c>
      <c r="B10963" s="0" t="s">
        <v>403</v>
      </c>
      <c r="C10963" s="15" t="n">
        <f aca="false">(Sens!C10958*tk_hold_h100+Sens!C10959*tk_hold_gb200+Sens!C10960*tk_hold_gb300+Sens!C10962*tk_hold_vr200+Sens!C10961*nv_hold_mai*tk_hold_vr200)/Sens!C10950</f>
        <v>9.7235358126469</v>
      </c>
      <c r="D10963" s="15" t="n">
        <f aca="false">(Sens!D10958*tk_hold_h100+Sens!D10959*tk_hold_gb200+Sens!D10960*tk_hold_gb300+Sens!D10962*tk_hold_vr200+Sens!D10961*nv_hold_mai*tk_hold_vr200)/Sens!D10950</f>
        <v>9.7235358126469</v>
      </c>
      <c r="E10963" s="15" t="n">
        <f aca="false">(Sens!E10958*tk_hold_h100+Sens!E10959*tk_hold_gb200+Sens!E10960*tk_hold_gb300+Sens!E10962*tk_hold_vr200+Sens!E10961*nv_hold_mai*tk_hold_vr200)/Sens!E10950</f>
        <v>9.7235358126469</v>
      </c>
      <c r="F10963" s="15" t="n">
        <f aca="false">(Sens!F10958*tk_hold_h100+Sens!F10959*tk_hold_gb200+Sens!F10960*tk_hold_gb300+Sens!F10962*tk_hold_vr200+Sens!F10961*nv_hold_mai*tk_hold_vr200)/Sens!F10950</f>
        <v>10.2195353876665</v>
      </c>
      <c r="G10963" s="15" t="n">
        <f aca="false">(Sens!G10958*tk_hold_h100+Sens!G10959*tk_hold_gb200+Sens!G10960*tk_hold_gb300+Sens!G10962*tk_hold_vr200+Sens!G10961*nv_hold_mai*tk_hold_vr200)/Sens!G10950</f>
        <v>10.5725598017306</v>
      </c>
      <c r="H10963" s="15" t="n">
        <f aca="false">(Sens!H10958*tk_hold_h100+Sens!H10959*tk_hold_gb200+Sens!H10960*tk_hold_gb300+Sens!H10962*tk_hold_vr200+Sens!H10961*nv_hold_mai*tk_hold_vr200)/Sens!H10950</f>
        <v>10.8210427149036</v>
      </c>
      <c r="I10963" s="15" t="n">
        <f aca="false">(Sens!I10958*tk_hold_h100+Sens!I10959*tk_hold_gb200+Sens!I10960*tk_hold_gb300+Sens!I10962*tk_hold_vr200+Sens!I10961*nv_hold_mai*tk_hold_vr200)/Sens!I10950</f>
        <v>11.0050618241982</v>
      </c>
      <c r="J10963" s="15" t="n">
        <f aca="false">(Sens!J10958*tk_hold_h100+Sens!J10959*tk_hold_gb200+Sens!J10960*tk_hold_gb300+Sens!J10962*tk_hold_vr200+Sens!J10961*nv_hold_mai*tk_hold_vr200)/Sens!J10950</f>
        <v>11.1505789658881</v>
      </c>
      <c r="K10963" s="15" t="n">
        <f aca="false">(Sens!K10958*tk_hold_h100+Sens!K10959*tk_hold_gb200+Sens!K10960*tk_hold_gb300+Sens!K10962*tk_hold_vr200+Sens!K10961*nv_hold_mai*tk_hold_vr200)/Sens!K10950</f>
        <v>11.3496914757183</v>
      </c>
      <c r="L10963" s="1" t="s">
        <v>973</v>
      </c>
    </row>
    <row r="10964" customFormat="false" ht="17.15" hidden="false" customHeight="false" outlineLevel="0" collapsed="false">
      <c r="A10964" s="1" t="s">
        <v>974</v>
      </c>
      <c r="B10964" s="0" t="s">
        <v>403</v>
      </c>
      <c r="C10964" s="15" t="n">
        <f aca="false">(Sens!C10958*tk_hold_h100+Sens!C10959*tk_hold_gb200+Sens!C10960*tk_hold_gb300+Sens!C10962*tk_hold_vr200+Sens!C10961*nv_out_mai*tk_hold_vr200)/Sens!C10950</f>
        <v>9.7235358126469</v>
      </c>
      <c r="D10964" s="15" t="n">
        <f aca="false">(Sens!D10958*tk_hold_h100+Sens!D10959*tk_hold_gb200+Sens!D10960*tk_hold_gb300+Sens!D10962*tk_hold_vr200+Sens!D10961*nv_out_mai*tk_hold_vr200)/Sens!D10950</f>
        <v>9.7235358126469</v>
      </c>
      <c r="E10964" s="15" t="n">
        <f aca="false">(Sens!E10958*tk_hold_h100+Sens!E10959*tk_hold_gb200+Sens!E10960*tk_hold_gb300+Sens!E10962*tk_hold_vr200+Sens!E10961*nv_out_mai*tk_hold_vr200)/Sens!E10950</f>
        <v>9.7235358126469</v>
      </c>
      <c r="F10964" s="15" t="n">
        <f aca="false">(Sens!F10958*tk_hold_h100+Sens!F10959*tk_hold_gb200+Sens!F10960*tk_hold_gb300+Sens!F10962*tk_hold_vr200+Sens!F10961*nv_out_mai*tk_hold_vr200)/Sens!F10950</f>
        <v>10.247422093969</v>
      </c>
      <c r="G10964" s="15" t="n">
        <f aca="false">(Sens!G10958*tk_hold_h100+Sens!G10959*tk_hold_gb200+Sens!G10960*tk_hold_gb300+Sens!G10962*tk_hold_vr200+Sens!G10961*nv_out_mai*tk_hold_vr200)/Sens!G10950</f>
        <v>10.6108602808053</v>
      </c>
      <c r="H10964" s="15" t="n">
        <f aca="false">(Sens!H10958*tk_hold_h100+Sens!H10959*tk_hold_gb200+Sens!H10960*tk_hold_gb300+Sens!H10962*tk_hold_vr200+Sens!H10961*nv_out_mai*tk_hold_vr200)/Sens!H10950</f>
        <v>10.8647885507393</v>
      </c>
      <c r="I10964" s="15" t="n">
        <f aca="false">(Sens!I10958*tk_hold_h100+Sens!I10959*tk_hold_gb200+Sens!I10960*tk_hold_gb300+Sens!I10962*tk_hold_vr200+Sens!I10961*nv_out_mai*tk_hold_vr200)/Sens!I10950</f>
        <v>11.0535625770025</v>
      </c>
      <c r="J10964" s="15" t="n">
        <f aca="false">(Sens!J10958*tk_hold_h100+Sens!J10959*tk_hold_gb200+Sens!J10960*tk_hold_gb300+Sens!J10962*tk_hold_vr200+Sens!J10961*nv_out_mai*tk_hold_vr200)/Sens!J10950</f>
        <v>11.2032127128058</v>
      </c>
      <c r="K10964" s="15" t="n">
        <f aca="false">(Sens!K10958*tk_hold_h100+Sens!K10959*tk_hold_gb200+Sens!K10960*tk_hold_gb300+Sens!K10962*tk_hold_vr200+Sens!K10961*nv_out_mai*tk_hold_vr200)/Sens!K10950</f>
        <v>11.4085735724225</v>
      </c>
      <c r="L10964" s="12" t="s">
        <v>975</v>
      </c>
    </row>
    <row r="10965" customFormat="false" ht="17.15" hidden="false" customHeight="false" outlineLevel="0" collapsed="false">
      <c r="A10965" s="0" t="s">
        <v>976</v>
      </c>
      <c r="B10965" s="0" t="s">
        <v>229</v>
      </c>
      <c r="C10965" s="15" t="n">
        <f aca="false">k_B</f>
        <v>1.17213932619116</v>
      </c>
      <c r="D10965" s="15" t="n">
        <f aca="false">k_B</f>
        <v>1.17213932619116</v>
      </c>
      <c r="E10965" s="15" t="n">
        <f aca="false">k_B</f>
        <v>1.17213932619116</v>
      </c>
      <c r="F10965" s="15" t="n">
        <f aca="false">(k_B+((ls_A*k_long+(1-ls_A)*k_spot)-k_B)*MIN(1,(Sens!F10948-base_fy)/k_ramp))</f>
        <v>1.25022828131298</v>
      </c>
      <c r="G10965" s="15" t="n">
        <f aca="false">(k_B+((ls_A*k_long+(1-ls_A)*k_spot)-k_B)*MIN(1,(Sens!G10948-base_fy)/k_ramp))</f>
        <v>1.3283172364348</v>
      </c>
      <c r="H10965" s="15" t="n">
        <f aca="false">(k_B+((ls_A*k_long+(1-ls_A)*k_spot)-k_B)*MIN(1,(Sens!H10948-base_fy)/k_ramp))</f>
        <v>1.40640619155662</v>
      </c>
      <c r="I10965" s="15" t="n">
        <f aca="false">(k_B+((ls_A*k_long+(1-ls_A)*k_spot)-k_B)*MIN(1,(Sens!I10948-base_fy)/k_ramp))</f>
        <v>1.40640619155662</v>
      </c>
      <c r="J10965" s="15" t="n">
        <f aca="false">(k_B+((ls_A*k_long+(1-ls_A)*k_spot)-k_B)*MIN(1,(Sens!J10948-base_fy)/k_ramp))</f>
        <v>1.40640619155662</v>
      </c>
      <c r="K10965" s="15" t="n">
        <f aca="false">(k_B+((ls_A*k_long+(1-ls_A)*k_spot)-k_B)*MIN(1,(Sens!K10948-base_fy)/k_ramp))</f>
        <v>1.40640619155662</v>
      </c>
      <c r="L10965" s="1" t="s">
        <v>977</v>
      </c>
    </row>
    <row r="10966" customFormat="false" ht="17.15" hidden="false" customHeight="false" outlineLevel="0" collapsed="false">
      <c r="A10966" s="1" t="s">
        <v>978</v>
      </c>
      <c r="B10966" s="0" t="s">
        <v>403</v>
      </c>
      <c r="C10966" s="15" t="n">
        <f aca="false">Sens!C10964*Sens!C10965*chip_f</f>
        <v>11.3973387156315</v>
      </c>
      <c r="D10966" s="15" t="n">
        <f aca="false">Sens!D10964*Sens!D10965*chip_f</f>
        <v>11.3973387156315</v>
      </c>
      <c r="E10966" s="15" t="n">
        <f aca="false">Sens!E10964*Sens!E10965*chip_f</f>
        <v>11.3973387156315</v>
      </c>
      <c r="F10966" s="15" t="n">
        <f aca="false">Sens!F10964*Sens!F10965*chip_f</f>
        <v>12.8116169124314</v>
      </c>
      <c r="G10966" s="15" t="n">
        <f aca="false">Sens!G10964*Sens!G10965*chip_f</f>
        <v>14.094588604395</v>
      </c>
      <c r="H10966" s="15" t="n">
        <f aca="false">Sens!H10964*Sens!H10965*chip_f</f>
        <v>15.2803058877132</v>
      </c>
      <c r="I10966" s="15" t="n">
        <f aca="false">Sens!I10964*Sens!I10965*chip_f</f>
        <v>15.5457988470549</v>
      </c>
      <c r="J10966" s="15" t="n">
        <f aca="false">Sens!J10964*Sens!J10965*chip_f</f>
        <v>15.7562677246158</v>
      </c>
      <c r="K10966" s="15" t="n">
        <f aca="false">Sens!K10964*Sens!K10965*chip_f</f>
        <v>16.0450885090842</v>
      </c>
      <c r="L10966" s="1" t="s">
        <v>979</v>
      </c>
    </row>
    <row r="10967" customFormat="false" ht="17.15" hidden="false" customHeight="false" outlineLevel="0" collapsed="false">
      <c r="A10967" s="0" t="s">
        <v>980</v>
      </c>
      <c r="B10967" s="0" t="s">
        <v>98</v>
      </c>
      <c r="D10967" s="6" t="n">
        <f aca="false">(Sens!C10950+Sens!D10950)/2*Sens!D10966/1000</f>
        <v>12.9359794422418</v>
      </c>
      <c r="E10967" s="6" t="n">
        <f aca="false">(Sens!D10950+Sens!E10950)/2*Sens!E10966/1000</f>
        <v>27.8095064661409</v>
      </c>
      <c r="F10967" s="6" t="n">
        <f aca="false">(Sens!E10950+Sens!F10950)/2*Sens!F10966/1000</f>
        <v>59.1034165651511</v>
      </c>
      <c r="G10967" s="6" t="n">
        <f aca="false">(Sens!F10950+Sens!G10950)/2*Sens!G10966/1000</f>
        <v>103.451498789198</v>
      </c>
      <c r="H10967" s="6" t="n">
        <f aca="false">(Sens!G10950+Sens!H10950)/2*Sens!H10966/1000</f>
        <v>153.816719989035</v>
      </c>
      <c r="I10967" s="6" t="n">
        <f aca="false">(Sens!H10950+Sens!I10950)/2*Sens!I10966/1000</f>
        <v>192.699478690852</v>
      </c>
      <c r="J10967" s="6" t="n">
        <f aca="false">(Sens!I10950+Sens!J10950)/2*Sens!J10966/1000</f>
        <v>219.794102584244</v>
      </c>
      <c r="K10967" s="6" t="n">
        <f aca="false">(Sens!J10950+Sens!K10950)/2*Sens!K10966/1000</f>
        <v>236.757046905022</v>
      </c>
      <c r="L10967" s="12" t="s">
        <v>981</v>
      </c>
    </row>
    <row r="10968" customFormat="false" ht="17.15" hidden="false" customHeight="false" outlineLevel="0" collapsed="false">
      <c r="A10968" s="1" t="s">
        <v>982</v>
      </c>
      <c r="B10968" s="0" t="s">
        <v>403</v>
      </c>
      <c r="C10968" s="15" t="n">
        <f aca="false">(Sens!C10958*tk_opex_h100+Sens!C10959*tk_opex_gb200+Sens!C10960*tk_opex_gb300+(Sens!C10962+Sens!C10961)*tk_opex_vr200)/Sens!C10950</f>
        <v>1.88636041306092</v>
      </c>
      <c r="D10968" s="15" t="n">
        <f aca="false">(Sens!D10958*tk_opex_h100+Sens!D10959*tk_opex_gb200+Sens!D10960*tk_opex_gb300+(Sens!D10962+Sens!D10961)*tk_opex_vr200)/Sens!D10950</f>
        <v>1.88636041306092</v>
      </c>
      <c r="E10968" s="15" t="n">
        <f aca="false">(Sens!E10958*tk_opex_h100+Sens!E10959*tk_opex_gb200+Sens!E10960*tk_opex_gb300+(Sens!E10962+Sens!E10961)*tk_opex_vr200)/Sens!E10950</f>
        <v>1.88636041306092</v>
      </c>
      <c r="F10968" s="15" t="n">
        <f aca="false">(Sens!F10958*tk_opex_h100+Sens!F10959*tk_opex_gb200+Sens!F10960*tk_opex_gb300+(Sens!F10962+Sens!F10961)*tk_opex_vr200)/Sens!F10950</f>
        <v>1.95051159746876</v>
      </c>
      <c r="G10968" s="15" t="n">
        <f aca="false">(Sens!G10958*tk_opex_h100+Sens!G10959*tk_opex_gb200+Sens!G10960*tk_opex_gb300+(Sens!G10962+Sens!G10961)*tk_opex_vr200)/Sens!G10950</f>
        <v>1.98836003669956</v>
      </c>
      <c r="H10968" s="15" t="n">
        <f aca="false">(Sens!H10958*tk_opex_h100+Sens!H10959*tk_opex_gb200+Sens!H10960*tk_opex_gb300+(Sens!H10962+Sens!H10961)*tk_opex_vr200)/Sens!H10950</f>
        <v>2.01344013834343</v>
      </c>
      <c r="I10968" s="15" t="n">
        <f aca="false">(Sens!I10958*tk_opex_h100+Sens!I10959*tk_opex_gb200+Sens!I10960*tk_opex_gb300+(Sens!I10962+Sens!I10961)*tk_opex_vr200)/Sens!I10950</f>
        <v>2.03261166882178</v>
      </c>
      <c r="J10968" s="15" t="n">
        <f aca="false">(Sens!J10958*tk_opex_h100+Sens!J10959*tk_opex_gb200+Sens!J10960*tk_opex_gb300+(Sens!J10962+Sens!J10961)*tk_opex_vr200)/Sens!J10950</f>
        <v>2.04808073288745</v>
      </c>
      <c r="K10968" s="15" t="n">
        <f aca="false">(Sens!K10958*tk_opex_h100+Sens!K10959*tk_opex_gb200+Sens!K10960*tk_opex_gb300+(Sens!K10962+Sens!K10961)*tk_opex_vr200)/Sens!K10950</f>
        <v>2.06973825807449</v>
      </c>
      <c r="L10968" s="12" t="s">
        <v>983</v>
      </c>
    </row>
    <row r="10969" customFormat="false" ht="17.15" hidden="false" customHeight="false" outlineLevel="0" collapsed="false">
      <c r="A10969" s="0" t="s">
        <v>984</v>
      </c>
      <c r="B10969" s="0" t="s">
        <v>98</v>
      </c>
      <c r="D10969" s="6" t="n">
        <f aca="false">(Sens!C10953+Sens!D10953)/2*Sens!D10968/1000</f>
        <v>2.70378325872065</v>
      </c>
      <c r="E10969" s="6" t="n">
        <f aca="false">(Sens!D10953+Sens!E10953)/2*Sens!E10968/1000</f>
        <v>6.17783035277451</v>
      </c>
      <c r="F10969" s="6" t="n">
        <f aca="false">(Sens!E10953+Sens!F10953)/2*Sens!F10968/1000</f>
        <v>12.8742463089237</v>
      </c>
      <c r="G10969" s="6" t="n">
        <f aca="false">(Sens!F10953+Sens!G10953)/2*Sens!G10968/1000</f>
        <v>21.8182834646277</v>
      </c>
      <c r="H10969" s="6" t="n">
        <f aca="false">(Sens!G10953+Sens!H10953)/2*Sens!H10968/1000</f>
        <v>31.2430128789734</v>
      </c>
      <c r="I10969" s="6" t="n">
        <f aca="false">(Sens!H10953+Sens!I10953)/2*Sens!I10968/1000</f>
        <v>39.4313057443268</v>
      </c>
      <c r="J10969" s="6" t="n">
        <f aca="false">(Sens!I10953+Sens!J10953)/2*Sens!J10968/1000</f>
        <v>45.0360318228653</v>
      </c>
      <c r="K10969" s="6" t="n">
        <f aca="false">(Sens!J10953+Sens!K10953)/2*Sens!K10968/1000</f>
        <v>48.2929727091156</v>
      </c>
    </row>
    <row r="10970" customFormat="false" ht="17.15" hidden="false" customHeight="false" outlineLevel="0" collapsed="false">
      <c r="A10970" s="0" t="s">
        <v>985</v>
      </c>
      <c r="B10970" s="0" t="s">
        <v>98</v>
      </c>
      <c r="D10970" s="6" t="n">
        <f aca="false">(Sens!C10951+Sens!D10951)/2*rent_mw/1000</f>
        <v>2.44475</v>
      </c>
      <c r="E10970" s="6" t="n">
        <f aca="false">(Sens!D10951+Sens!E10951)/2*rent_mw/1000</f>
        <v>4.22275</v>
      </c>
      <c r="F10970" s="6" t="n">
        <f aca="false">(Sens!E10951+Sens!F10951)/2*rent_mw/1000</f>
        <v>5.80517</v>
      </c>
      <c r="G10970" s="6" t="n">
        <f aca="false">(Sens!F10951+Sens!G10951)/2*rent_mw/1000</f>
        <v>6.72084</v>
      </c>
      <c r="H10970" s="6" t="n">
        <f aca="false">(Sens!G10951+Sens!H10951)/2*rent_mw/1000</f>
        <v>6.72084</v>
      </c>
      <c r="I10970" s="6" t="n">
        <f aca="false">(Sens!H10951+Sens!I10951)/2*rent_mw/1000</f>
        <v>6.72084</v>
      </c>
      <c r="J10970" s="6" t="n">
        <f aca="false">(Sens!I10951+Sens!J10951)/2*rent_mw/1000</f>
        <v>6.72084</v>
      </c>
      <c r="K10970" s="6" t="n">
        <f aca="false">(Sens!J10951+Sens!K10951)/2*rent_mw/1000</f>
        <v>6.72084</v>
      </c>
    </row>
    <row r="10971" customFormat="false" ht="17.15" hidden="false" customHeight="false" outlineLevel="0" collapsed="false">
      <c r="A10971" s="0" t="s">
        <v>986</v>
      </c>
      <c r="B10971" s="0" t="s">
        <v>98</v>
      </c>
      <c r="D10971" s="6" t="n">
        <f aca="false">(Sens!C10953+Sens!D10953)/2*(1-self_build)*fac_rent/1000</f>
        <v>0.853242375631075</v>
      </c>
      <c r="E10971" s="6" t="n">
        <f aca="false">(Sens!D10953+Sens!E10953)/2*(1-self_build)*fac_rent/1000</f>
        <v>1.94955961408728</v>
      </c>
      <c r="F10971" s="6" t="n">
        <f aca="false">(Sens!E10953+Sens!F10953)/2*(1-self_build)*fac_rent/1000</f>
        <v>3.92914894476356</v>
      </c>
      <c r="G10971" s="6" t="n">
        <f aca="false">(Sens!F10953+Sens!G10953)/2*(1-self_build)*fac_rent/1000</f>
        <v>6.53206908578159</v>
      </c>
      <c r="H10971" s="6" t="n">
        <f aca="false">(Sens!G10953+Sens!H10953)/2*(1-self_build)*fac_rent/1000</f>
        <v>9.23717988341591</v>
      </c>
      <c r="I10971" s="6" t="n">
        <f aca="false">(Sens!H10953+Sens!I10953)/2*(1-self_build)*fac_rent/1000</f>
        <v>11.5481378557393</v>
      </c>
      <c r="J10971" s="6" t="n">
        <f aca="false">(Sens!I10953+Sens!J10953)/2*(1-self_build)*fac_rent/1000</f>
        <v>13.0899582289108</v>
      </c>
      <c r="K10971" s="6" t="n">
        <f aca="false">(Sens!J10953+Sens!K10953)/2*(1-self_build)*fac_rent/1000</f>
        <v>13.8897275626556</v>
      </c>
      <c r="L10971" s="12" t="s">
        <v>987</v>
      </c>
    </row>
    <row r="10972" customFormat="false" ht="17.15" hidden="false" customHeight="false" outlineLevel="0" collapsed="false">
      <c r="A10972" s="1" t="s">
        <v>988</v>
      </c>
      <c r="B10972" s="0" t="s">
        <v>168</v>
      </c>
      <c r="D10972" s="7" t="n">
        <f aca="false">(Sens!C10952+Sens!D10952)/(Sens!C10953+Sens!D10953)</f>
        <v>0.6</v>
      </c>
      <c r="E10972" s="7" t="n">
        <f aca="false">(Sens!D10952+Sens!E10952)/(Sens!D10953+Sens!E10953)</f>
        <v>0.6</v>
      </c>
      <c r="F10972" s="7" t="n">
        <f aca="false">(Sens!E10952+Sens!F10952)/(Sens!E10953+Sens!F10953)</f>
        <v>0.6</v>
      </c>
      <c r="G10972" s="7" t="n">
        <f aca="false">(Sens!F10952+Sens!G10952)/(Sens!F10953+Sens!G10953)</f>
        <v>0.6</v>
      </c>
      <c r="H10972" s="7" t="n">
        <f aca="false">(Sens!G10952+Sens!H10952)/(Sens!G10953+Sens!H10953)</f>
        <v>0.6</v>
      </c>
      <c r="I10972" s="7" t="n">
        <f aca="false">(Sens!H10952+Sens!I10952)/(Sens!H10953+Sens!I10953)</f>
        <v>0.6</v>
      </c>
      <c r="J10972" s="7" t="n">
        <f aca="false">(Sens!I10952+Sens!J10952)/(Sens!I10953+Sens!J10953)</f>
        <v>0.6</v>
      </c>
      <c r="K10972" s="7" t="n">
        <f aca="false">(Sens!J10952+Sens!K10952)/(Sens!J10953+Sens!K10953)</f>
        <v>0.6</v>
      </c>
    </row>
    <row r="10973" customFormat="false" ht="17.15" hidden="false" customHeight="false" outlineLevel="0" collapsed="false">
      <c r="A10973" s="0" t="s">
        <v>989</v>
      </c>
      <c r="B10973" s="0" t="s">
        <v>98</v>
      </c>
      <c r="D10973" s="6" t="n">
        <f aca="false">Sens!D10967-Sens!D10972*(Sens!D10969+Sens!D10971)-Sens!D10970</f>
        <v>8.35701406163072</v>
      </c>
      <c r="E10973" s="6" t="n">
        <f aca="false">Sens!E10967-Sens!E10972*(Sens!E10969+Sens!E10971)-Sens!E10970</f>
        <v>18.7103224860238</v>
      </c>
      <c r="F10973" s="6" t="n">
        <f aca="false">Sens!F10967-Sens!F10972*(Sens!F10969+Sens!F10971)-Sens!F10970</f>
        <v>43.2162094129388</v>
      </c>
      <c r="G10973" s="6" t="n">
        <f aca="false">Sens!G10967-Sens!G10972*(Sens!G10969+Sens!G10971)-Sens!G10970</f>
        <v>79.7204472589529</v>
      </c>
      <c r="H10973" s="6" t="n">
        <f aca="false">Sens!H10967-Sens!H10972*(Sens!H10969+Sens!H10971)-Sens!H10970</f>
        <v>122.807764331602</v>
      </c>
      <c r="I10973" s="6" t="n">
        <f aca="false">Sens!I10967-Sens!I10972*(Sens!I10969+Sens!I10971)-Sens!I10970</f>
        <v>155.390972530813</v>
      </c>
      <c r="J10973" s="6" t="n">
        <f aca="false">Sens!J10967-Sens!J10972*(Sens!J10969+Sens!J10971)-Sens!J10970</f>
        <v>178.197668553178</v>
      </c>
      <c r="K10973" s="6" t="n">
        <f aca="false">Sens!K10967-Sens!K10972*(Sens!K10969+Sens!K10971)-Sens!K10970</f>
        <v>192.726586741959</v>
      </c>
    </row>
    <row r="10974" customFormat="false" ht="17.15" hidden="false" customHeight="false" outlineLevel="0" collapsed="false">
      <c r="A10974" s="1" t="s">
        <v>990</v>
      </c>
      <c r="B10974" s="0" t="s">
        <v>98</v>
      </c>
      <c r="D10974" s="6" t="n">
        <f aca="false">(1-Sens!D10972)*(Sens!D10969+Sens!D10971)</f>
        <v>1.42281025374069</v>
      </c>
      <c r="E10974" s="6" t="n">
        <f aca="false">(1-Sens!E10972)*(Sens!E10969+Sens!E10971)</f>
        <v>3.25095598674472</v>
      </c>
      <c r="F10974" s="6" t="n">
        <f aca="false">(1-Sens!F10972)*(Sens!F10969+Sens!F10971)</f>
        <v>6.72135810147489</v>
      </c>
      <c r="G10974" s="6" t="n">
        <f aca="false">(1-Sens!G10972)*(Sens!G10969+Sens!G10971)</f>
        <v>11.3401410201637</v>
      </c>
      <c r="H10974" s="6" t="n">
        <f aca="false">(1-Sens!H10972)*(Sens!H10969+Sens!H10971)</f>
        <v>16.1920771049557</v>
      </c>
      <c r="I10974" s="6" t="n">
        <f aca="false">(1-Sens!I10972)*(Sens!I10969+Sens!I10971)</f>
        <v>20.3917774400264</v>
      </c>
      <c r="J10974" s="6" t="n">
        <f aca="false">(1-Sens!J10972)*(Sens!J10969+Sens!J10971)</f>
        <v>23.2503960207104</v>
      </c>
      <c r="K10974" s="6" t="n">
        <f aca="false">(1-Sens!K10972)*(Sens!K10969+Sens!K10971)</f>
        <v>24.8730801087085</v>
      </c>
    </row>
    <row r="10975" customFormat="false" ht="17.15" hidden="false" customHeight="false" outlineLevel="0" collapsed="false">
      <c r="A10975" s="1" t="s">
        <v>991</v>
      </c>
      <c r="B10975" s="0" t="s">
        <v>417</v>
      </c>
      <c r="C10975" s="8" t="n">
        <f aca="false">cxit_open</f>
        <v>27.5918995</v>
      </c>
      <c r="D10975" s="8" t="n">
        <f aca="false">cxit_open</f>
        <v>27.5918995</v>
      </c>
      <c r="E10975" s="8" t="n">
        <f aca="false">cxit_open</f>
        <v>27.5918995</v>
      </c>
      <c r="F10975" s="8" t="n">
        <f aca="false">((a_g3_27-nonnv*a_mai)*tk_cxit_gb300+nonnv*a_mai*nv_hold_mai*tk_cxit_vr200+(1-a_g3_27)*tk_cxit_vr200)</f>
        <v>32.4975576</v>
      </c>
      <c r="G10975" s="8" t="n">
        <f aca="false">((a_g3_28-nonnv*a_mai)*tk_cxit_gb300+nonnv*a_mai*nv_hold_mai*tk_cxit_vr200+(1-a_g3_28)*tk_cxit_vr200)</f>
        <v>34.6372088</v>
      </c>
      <c r="H10975" s="8" t="n">
        <f aca="false">((a_g3_29-nonnv*a_mai)*tk_cxit_gb300+nonnv*a_mai*nv_hold_mai*tk_cxit_vr200+(1-a_g3_29)*tk_cxit_vr200)</f>
        <v>35.7070344</v>
      </c>
      <c r="I10975" s="8" t="n">
        <f aca="false">((a_g3_29-nonnv*a_mai)*tk_cxit_gb300+nonnv*a_mai*nv_hold_mai*tk_cxit_vr200+(1-a_g3_29)*tk_cxit_vr200)</f>
        <v>35.7070344</v>
      </c>
      <c r="J10975" s="8" t="n">
        <f aca="false">((a_g3_29-nonnv*a_mai)*tk_cxit_gb300+nonnv*a_mai*nv_hold_mai*tk_cxit_vr200+(1-a_g3_29)*tk_cxit_vr200)</f>
        <v>35.7070344</v>
      </c>
      <c r="K10975" s="8" t="n">
        <f aca="false">((a_g3_29-nonnv*a_mai)*tk_cxit_gb300+nonnv*a_mai*nv_hold_mai*tk_cxit_vr200+(1-a_g3_29)*tk_cxit_vr200)</f>
        <v>35.7070344</v>
      </c>
      <c r="L10975" s="12" t="s">
        <v>992</v>
      </c>
    </row>
    <row r="10976" customFormat="false" ht="17.15" hidden="false" customHeight="false" outlineLevel="0" collapsed="false">
      <c r="A10976" s="0" t="s">
        <v>993</v>
      </c>
      <c r="B10976" s="0" t="s">
        <v>459</v>
      </c>
      <c r="F10976" s="30" t="n">
        <f aca="false">Sens!C10955*IF(Sens!F10948-Sens!C10948=life_it,1,0)+Sens!D10955*IF(Sens!F10948-Sens!D10948=life_it,1,0)+Sens!E10955*IF(Sens!F10948-Sens!E10948=life_it,1,0)</f>
        <v>0</v>
      </c>
      <c r="G10976" s="30" t="n">
        <f aca="false">Sens!C10955*IF(Sens!G10948-Sens!C10948=life_it,1,0)+Sens!D10955*IF(Sens!G10948-Sens!D10948=life_it,1,0)+Sens!E10955*IF(Sens!G10948-Sens!E10948=life_it,1,0)+Sens!F10955*IF(Sens!G10948-Sens!F10948=life_it,1,0)</f>
        <v>0</v>
      </c>
      <c r="H10976" s="30" t="n">
        <f aca="false">Sens!C10955*IF(Sens!H10948-Sens!C10948=life_it,1,0)+Sens!D10955*IF(Sens!H10948-Sens!D10948=life_it,1,0)+Sens!E10955*IF(Sens!H10948-Sens!E10948=life_it,1,0)+Sens!F10955*IF(Sens!H10948-Sens!F10948=life_it,1,0)+Sens!G10955*IF(Sens!H10948-Sens!G10948=life_it,1,0)</f>
        <v>0</v>
      </c>
      <c r="I10976" s="30" t="n">
        <f aca="false">Sens!C10955*IF(Sens!I10948-Sens!C10948=life_it,1,0)+Sens!D10955*IF(Sens!I10948-Sens!D10948=life_it,1,0)+Sens!E10955*IF(Sens!I10948-Sens!E10948=life_it,1,0)+Sens!F10955*IF(Sens!I10948-Sens!F10948=life_it,1,0)+Sens!G10955*IF(Sens!I10948-Sens!G10948=life_it,1,0)+Sens!H10955*IF(Sens!I10948-Sens!H10948=life_it,1,0)</f>
        <v>816.666666666667</v>
      </c>
      <c r="J10976" s="30" t="n">
        <f aca="false">Sens!C10955*IF(Sens!J10948-Sens!C10948=life_it,1,0)+Sens!D10955*IF(Sens!J10948-Sens!D10948=life_it,1,0)+Sens!E10955*IF(Sens!J10948-Sens!E10948=life_it,1,0)+Sens!F10955*IF(Sens!J10948-Sens!F10948=life_it,1,0)+Sens!G10955*IF(Sens!J10948-Sens!G10948=life_it,1,0)+Sens!H10955*IF(Sens!J10948-Sens!H10948=life_it,1,0)+Sens!I10955*IF(Sens!J10948-Sens!I10948=life_it,1,0)</f>
        <v>1233.33333333333</v>
      </c>
      <c r="K10976" s="30" t="n">
        <f aca="false">Sens!C10955*IF(Sens!K10948-Sens!C10948=life_it,1,0)+Sens!D10955*IF(Sens!K10948-Sens!D10948=life_it,1,0)+Sens!E10955*IF(Sens!K10948-Sens!E10948=life_it,1,0)+Sens!F10955*IF(Sens!K10948-Sens!F10948=life_it,1,0)+Sens!G10955*IF(Sens!K10948-Sens!G10948=life_it,1,0)+Sens!H10955*IF(Sens!K10948-Sens!H10948=life_it,1,0)+Sens!I10955*IF(Sens!K10948-Sens!I10948=life_it,1,0)+Sens!J10955*IF(Sens!K10948-Sens!J10948=life_it,1,0)</f>
        <v>2450</v>
      </c>
      <c r="L10976" s="1" t="s">
        <v>994</v>
      </c>
    </row>
    <row r="10977" customFormat="false" ht="17.15" hidden="false" customHeight="false" outlineLevel="0" collapsed="false">
      <c r="A10977" s="0" t="s">
        <v>995</v>
      </c>
      <c r="B10977" s="0" t="s">
        <v>98</v>
      </c>
      <c r="C10977" s="6" t="n">
        <f aca="false">Sens!C10955*Sens!C10975/1000</f>
        <v>22.5333845916667</v>
      </c>
      <c r="D10977" s="6" t="n">
        <f aca="false">Sens!D10955*Sens!D10975/1000</f>
        <v>34.0300093833333</v>
      </c>
      <c r="E10977" s="6" t="n">
        <f aca="false">Sens!E10955*Sens!E10975/1000</f>
        <v>67.600153775</v>
      </c>
      <c r="F10977" s="6" t="n">
        <f aca="false">(Sens!F10955+Sens!F10976)*Sens!F10975/1000</f>
        <v>136.51872432512</v>
      </c>
      <c r="G10977" s="6" t="n">
        <f aca="false">(Sens!G10955+Sens!G10976)*Sens!G10975/1000</f>
        <v>157.399275932048</v>
      </c>
      <c r="H10977" s="6" t="n">
        <f aca="false">(Sens!H10955+Sens!H10976)*Sens!H10975/1000</f>
        <v>162.260804347512</v>
      </c>
      <c r="I10977" s="6" t="n">
        <f aca="false">(Sens!I10955+Sens!I10976)*Sens!I10975/1000</f>
        <v>144.136569485434</v>
      </c>
      <c r="J10977" s="6" t="n">
        <f aca="false">(Sens!J10955+Sens!J10976)*Sens!J10975/1000</f>
        <v>114.029037357864</v>
      </c>
      <c r="K10977" s="6" t="n">
        <f aca="false">(Sens!K10955+Sens!K10976)*Sens!K10975/1000</f>
        <v>113.437085350975</v>
      </c>
    </row>
    <row r="10978" customFormat="false" ht="17.15" hidden="false" customHeight="false" outlineLevel="0" collapsed="false">
      <c r="A10978" s="0" t="s">
        <v>996</v>
      </c>
      <c r="B10978" s="0" t="s">
        <v>98</v>
      </c>
      <c r="C10978" s="6" t="n">
        <f aca="false">Sens!C10955*self_build*tk_cxfac/1000</f>
        <v>6.2083</v>
      </c>
      <c r="D10978" s="6" t="n">
        <f aca="false">Sens!D10955*self_build*tk_cxfac/1000</f>
        <v>9.3758</v>
      </c>
      <c r="E10978" s="6" t="n">
        <f aca="false">Sens!E10955*self_build*tk_cxfac/1000</f>
        <v>18.6249</v>
      </c>
      <c r="F10978" s="6" t="n">
        <f aca="false">Sens!F10955*self_build*tk_cxfac/1000</f>
        <v>31.935179717</v>
      </c>
      <c r="G10978" s="6" t="n">
        <f aca="false">Sens!G10955*self_build*tk_cxfac/1000</f>
        <v>34.545199717</v>
      </c>
      <c r="H10978" s="6" t="n">
        <f aca="false">Sens!H10955*self_build*tk_cxfac/1000</f>
        <v>34.545199717</v>
      </c>
      <c r="I10978" s="6" t="n">
        <f aca="false">Sens!I10955*self_build*tk_cxfac/1000</f>
        <v>24.4782641361767</v>
      </c>
      <c r="J10978" s="6" t="n">
        <f aca="false">Sens!J10955*self_build*tk_cxfac/1000</f>
        <v>14.9008938380769</v>
      </c>
      <c r="K10978" s="6" t="n">
        <f aca="false">Sens!K10955*self_build*tk_cxfac/1000</f>
        <v>5.52576771375761</v>
      </c>
    </row>
    <row r="10979" customFormat="false" ht="17.15" hidden="false" customHeight="false" outlineLevel="0" collapsed="false">
      <c r="A10979" s="0" t="s">
        <v>997</v>
      </c>
      <c r="B10979" s="0" t="s">
        <v>98</v>
      </c>
      <c r="F10979" s="15" t="n">
        <f aca="false">capex_floor27-Sens!F10977-Sens!F10978-Sens!F11075</f>
        <v>0.0400202452575584</v>
      </c>
      <c r="L10979" s="12" t="s">
        <v>998</v>
      </c>
    </row>
    <row r="10980" customFormat="false" ht="17.15" hidden="false" customHeight="false" outlineLevel="0" collapsed="false">
      <c r="A10980" s="0" t="s">
        <v>999</v>
      </c>
      <c r="B10980" s="0" t="s">
        <v>98</v>
      </c>
      <c r="F10980" s="6" t="n">
        <f aca="false">MAX(0,Sens!F10979)</f>
        <v>0.0400202452575584</v>
      </c>
    </row>
    <row r="10981" customFormat="false" ht="17.15" hidden="false" customHeight="false" outlineLevel="0" collapsed="false">
      <c r="A10981" s="0" t="s">
        <v>1000</v>
      </c>
      <c r="B10981" s="0" t="s">
        <v>98</v>
      </c>
      <c r="C10981" s="6" t="n">
        <f aca="false">Sens!C10977</f>
        <v>22.5333845916667</v>
      </c>
      <c r="D10981" s="6" t="n">
        <f aca="false">Sens!D10977</f>
        <v>34.0300093833333</v>
      </c>
      <c r="E10981" s="6" t="n">
        <f aca="false">Sens!E10977</f>
        <v>67.600153775</v>
      </c>
      <c r="F10981" s="6" t="n">
        <f aca="false">Sens!F10977</f>
        <v>136.51872432512</v>
      </c>
      <c r="G10981" s="6" t="n">
        <f aca="false">Sens!G10977</f>
        <v>157.399275932048</v>
      </c>
      <c r="H10981" s="6" t="n">
        <f aca="false">Sens!H10977</f>
        <v>162.260804347512</v>
      </c>
      <c r="I10981" s="6" t="n">
        <f aca="false">Sens!I10977</f>
        <v>144.136569485434</v>
      </c>
      <c r="J10981" s="6" t="n">
        <f aca="false">Sens!J10977</f>
        <v>114.029037357864</v>
      </c>
      <c r="K10981" s="6" t="n">
        <f aca="false">Sens!K10977</f>
        <v>113.437085350975</v>
      </c>
    </row>
    <row r="10982" customFormat="false" ht="17.15" hidden="false" customHeight="false" outlineLevel="0" collapsed="false">
      <c r="A10982" s="0" t="s">
        <v>1001</v>
      </c>
      <c r="B10982" s="0" t="s">
        <v>98</v>
      </c>
      <c r="C10982" s="6" t="n">
        <f aca="false">Sens!C10981+Sens!C10978</f>
        <v>28.7416845916667</v>
      </c>
      <c r="D10982" s="6" t="n">
        <f aca="false">Sens!D10981+Sens!D10978</f>
        <v>43.4058093833333</v>
      </c>
      <c r="E10982" s="6" t="n">
        <f aca="false">Sens!E10981+Sens!E10978</f>
        <v>86.225053775</v>
      </c>
      <c r="F10982" s="6" t="n">
        <f aca="false">Sens!F10981+Sens!F10978</f>
        <v>168.45390404212</v>
      </c>
      <c r="G10982" s="6" t="n">
        <f aca="false">Sens!G10981+Sens!G10978</f>
        <v>191.944475649048</v>
      </c>
      <c r="H10982" s="6" t="n">
        <f aca="false">Sens!H10981+Sens!H10978</f>
        <v>196.806004064512</v>
      </c>
      <c r="I10982" s="6" t="n">
        <f aca="false">Sens!I10981+Sens!I10978</f>
        <v>168.61483362161</v>
      </c>
      <c r="J10982" s="6" t="n">
        <f aca="false">Sens!J10981+Sens!J10978</f>
        <v>128.92993119594</v>
      </c>
      <c r="K10982" s="6" t="n">
        <f aca="false">Sens!K10981+Sens!K10978</f>
        <v>118.962853064733</v>
      </c>
      <c r="L10982" s="12" t="s">
        <v>1002</v>
      </c>
    </row>
    <row r="10983" customFormat="false" ht="17.15" hidden="false" customHeight="false" outlineLevel="0" collapsed="false">
      <c r="A10983" s="0" t="s">
        <v>1003</v>
      </c>
      <c r="B10983" s="0" t="s">
        <v>98</v>
      </c>
      <c r="E10983" s="6" t="n">
        <f aca="false">(Sens!C10981*IF(2&lt;life_it,1,IF(2=life_it,0.5,0))+Sens!D10981*IF(1&lt;life_it,1,IF(1=life_it,0.5,0))+Sens!E10981*0.5)/life_it</f>
        <v>15.0605784770833</v>
      </c>
      <c r="F10983" s="6" t="n">
        <f aca="false">(Sens!C10981*IF(3&lt;life_it,1,IF(3=life_it,0.5,0))+Sens!D10981*IF(2&lt;life_it,1,IF(2=life_it,0.5,0))+Sens!E10981*IF(1&lt;life_it,1,IF(1=life_it,0.5,0))+Sens!F10981*0.5)/life_it</f>
        <v>32.0704849854266</v>
      </c>
      <c r="G10983" s="6" t="n">
        <f aca="false">(Sens!C10981*IF(4&lt;life_it,1,IF(4=life_it,0.5,0))+Sens!D10981*IF(3&lt;life_it,1,IF(3=life_it,0.5,0))+Sens!E10981*IF(2&lt;life_it,1,IF(2=life_it,0.5,0))+Sens!F10981*IF(1&lt;life_it,1,IF(1=life_it,0.5,0))+Sens!G10981*0.5)/life_it</f>
        <v>56.5636516735239</v>
      </c>
      <c r="H10983" s="6" t="n">
        <f aca="false">(Sens!C10981*IF(5&lt;life_it,1,IF(5=life_it,0.5,0))+Sens!D10981*IF(4&lt;life_it,1,IF(4=life_it,0.5,0))+Sens!E10981*IF(3&lt;life_it,1,IF(3=life_it,0.5,0))+Sens!F10981*IF(2&lt;life_it,1,IF(2=life_it,0.5,0))+Sens!G10981*IF(1&lt;life_it,1,IF(1=life_it,0.5,0))+Sens!H10981*0.5)/life_it</f>
        <v>83.2019916968207</v>
      </c>
      <c r="I10983" s="6" t="n">
        <f aca="false">(Sens!C10981*IF(6&lt;life_it,1,IF(6=life_it,0.5,0))+Sens!D10981*IF(5&lt;life_it,1,IF(5=life_it,0.5,0))+Sens!E10981*IF(4&lt;life_it,1,IF(4=life_it,0.5,0))+Sens!F10981*IF(3&lt;life_it,1,IF(3=life_it,0.5,0))+Sens!G10981*IF(2&lt;life_it,1,IF(2=life_it,0.5,0))+Sens!H10981*IF(1&lt;life_it,1,IF(1=life_it,0.5,0))+Sens!I10981*0.5)/life_it</f>
        <v>106.857324133594</v>
      </c>
      <c r="J10983" s="6" t="n">
        <f aca="false">(Sens!C10981*IF(7&lt;life_it,1,IF(7=life_it,0.5,0))+Sens!D10981*IF(6&lt;life_it,1,IF(6=life_it,0.5,0))+Sens!E10981*IF(5&lt;life_it,1,IF(5=life_it,0.5,0))+Sens!F10981*IF(4&lt;life_it,1,IF(4=life_it,0.5,0))+Sens!G10981*IF(3&lt;life_it,1,IF(3=life_it,0.5,0))+Sens!H10981*IF(2&lt;life_it,1,IF(2=life_it,0.5,0))+Sens!I10981*IF(1&lt;life_it,1,IF(1=life_it,0.5,0))+Sens!J10981*0.5)/life_it</f>
        <v>123.657508539285</v>
      </c>
      <c r="K10983" s="6" t="n">
        <f aca="false">(Sens!C10981*IF(8&lt;life_it,1,IF(8=life_it,0.5,0))+Sens!D10981*IF(7&lt;life_it,1,IF(7=life_it,0.5,0))+Sens!E10981*IF(6&lt;life_it,1,IF(6=life_it,0.5,0))+Sens!F10981*IF(5&lt;life_it,1,IF(5=life_it,0.5,0))+Sens!G10981*IF(4&lt;life_it,1,IF(4=life_it,0.5,0))+Sens!H10981*IF(3&lt;life_it,1,IF(3=life_it,0.5,0))+Sens!I10981*IF(2&lt;life_it,1,IF(2=life_it,0.5,0))+Sens!J10981*IF(1&lt;life_it,1,IF(1=life_it,0.5,0))+Sens!K10981*0.5)/life_it</f>
        <v>134.143838501827</v>
      </c>
    </row>
    <row r="10984" customFormat="false" ht="17.15" hidden="false" customHeight="false" outlineLevel="0" collapsed="false">
      <c r="A10984" s="0" t="s">
        <v>1004</v>
      </c>
      <c r="B10984" s="0" t="s">
        <v>98</v>
      </c>
      <c r="E10984" s="6" t="n">
        <f aca="false">(Sens!C10978*IF(2&lt;life_fac,1,IF(2=life_fac,0.5,0))+Sens!D10978*IF(1&lt;life_fac,1,IF(1=life_fac,0.5,0))+Sens!E10978*0.5)/life_fac</f>
        <v>1.2448275</v>
      </c>
      <c r="F10984" s="6" t="n">
        <f aca="false">(Sens!C10978*IF(3&lt;life_fac,1,IF(3=life_fac,0.5,0))+Sens!D10978*IF(2&lt;life_fac,1,IF(2=life_fac,0.5,0))+Sens!E10978*IF(1&lt;life_fac,1,IF(1=life_fac,0.5,0))+Sens!F10978*0.5)/life_fac</f>
        <v>2.508829492925</v>
      </c>
      <c r="G10984" s="6" t="n">
        <f aca="false">(Sens!C10978*IF(4&lt;life_fac,1,IF(4=life_fac,0.5,0))+Sens!D10978*IF(3&lt;life_fac,1,IF(3=life_fac,0.5,0))+Sens!E10978*IF(2&lt;life_fac,1,IF(2=life_fac,0.5,0))+Sens!F10978*IF(1&lt;life_fac,1,IF(1=life_fac,0.5,0))+Sens!G10978*0.5)/life_fac</f>
        <v>4.170838978775</v>
      </c>
      <c r="H10984" s="6" t="n">
        <f aca="false">(Sens!C10978*IF(5&lt;life_fac,1,IF(5=life_fac,0.5,0))+Sens!D10978*IF(4&lt;life_fac,1,IF(4=life_fac,0.5,0))+Sens!E10978*IF(3&lt;life_fac,1,IF(3=life_fac,0.5,0))+Sens!F10978*IF(2&lt;life_fac,1,IF(2=life_fac,0.5,0))+Sens!G10978*IF(1&lt;life_fac,1,IF(1=life_fac,0.5,0))+Sens!H10978*0.5)/life_fac</f>
        <v>5.898098964625</v>
      </c>
      <c r="I10984" s="6" t="n">
        <f aca="false">(Sens!C10978*IF(6&lt;life_fac,1,IF(6=life_fac,0.5,0))+Sens!D10978*IF(5&lt;life_fac,1,IF(5=life_fac,0.5,0))+Sens!E10978*IF(4&lt;life_fac,1,IF(4=life_fac,0.5,0))+Sens!F10978*IF(3&lt;life_fac,1,IF(3=life_fac,0.5,0))+Sens!G10978*IF(2&lt;life_fac,1,IF(2=life_fac,0.5,0))+Sens!H10978*IF(1&lt;life_fac,1,IF(1=life_fac,0.5,0))+Sens!I10978*0.5)/life_fac</f>
        <v>7.37368556095442</v>
      </c>
      <c r="J10984" s="6" t="n">
        <f aca="false">(Sens!C10978*IF(7&lt;life_fac,1,IF(7=life_fac,0.5,0))+Sens!D10978*IF(6&lt;life_fac,1,IF(6=life_fac,0.5,0))+Sens!E10978*IF(5&lt;life_fac,1,IF(5=life_fac,0.5,0))+Sens!F10978*IF(4&lt;life_fac,1,IF(4=life_fac,0.5,0))+Sens!G10978*IF(3&lt;life_fac,1,IF(3=life_fac,0.5,0))+Sens!H10978*IF(2&lt;life_fac,1,IF(2=life_fac,0.5,0))+Sens!I10978*IF(1&lt;life_fac,1,IF(1=life_fac,0.5,0))+Sens!J10978*0.5)/life_fac</f>
        <v>8.35816451031075</v>
      </c>
      <c r="K10984" s="6" t="n">
        <f aca="false">(Sens!C10978*IF(8&lt;life_fac,1,IF(8=life_fac,0.5,0))+Sens!D10978*IF(7&lt;life_fac,1,IF(7=life_fac,0.5,0))+Sens!E10978*IF(6&lt;life_fac,1,IF(6=life_fac,0.5,0))+Sens!F10978*IF(5&lt;life_fac,1,IF(5=life_fac,0.5,0))+Sens!G10978*IF(4&lt;life_fac,1,IF(4=life_fac,0.5,0))+Sens!H10978*IF(3&lt;life_fac,1,IF(3=life_fac,0.5,0))+Sens!I10978*IF(2&lt;life_fac,1,IF(2=life_fac,0.5,0))+Sens!J10978*IF(1&lt;life_fac,1,IF(1=life_fac,0.5,0))+Sens!K10978*0.5)/life_fac</f>
        <v>8.86883104910662</v>
      </c>
    </row>
    <row r="10985" customFormat="false" ht="17.15" hidden="false" customHeight="false" outlineLevel="0" collapsed="false">
      <c r="A10985" s="0" t="s">
        <v>1005</v>
      </c>
      <c r="B10985" s="0" t="s">
        <v>98</v>
      </c>
      <c r="E10985" s="6" t="n">
        <f aca="false">Sens!E10983+Sens!E10984</f>
        <v>16.3054059770833</v>
      </c>
      <c r="F10985" s="6" t="n">
        <f aca="false">Sens!F10983+Sens!F10984</f>
        <v>34.5793144783516</v>
      </c>
      <c r="G10985" s="6" t="n">
        <f aca="false">Sens!G10983+Sens!G10984</f>
        <v>60.7344906522989</v>
      </c>
      <c r="H10985" s="6" t="n">
        <f aca="false">Sens!H10983+Sens!H10984</f>
        <v>89.1000906614457</v>
      </c>
      <c r="I10985" s="6" t="n">
        <f aca="false">Sens!I10983+Sens!I10984</f>
        <v>114.231009694548</v>
      </c>
      <c r="J10985" s="6" t="n">
        <f aca="false">Sens!J10983+Sens!J10984</f>
        <v>132.015673049596</v>
      </c>
      <c r="K10985" s="6" t="n">
        <f aca="false">Sens!K10983+Sens!K10984</f>
        <v>143.012669550934</v>
      </c>
    </row>
    <row r="10986" customFormat="false" ht="17.15" hidden="false" customHeight="false" outlineLevel="0" collapsed="false">
      <c r="A10986" s="0" t="s">
        <v>1006</v>
      </c>
      <c r="B10986" s="0" t="s">
        <v>98</v>
      </c>
      <c r="E10986" s="6" t="n">
        <f aca="false">Sens!E10973-Sens!E10972*Sens!E10985</f>
        <v>8.92707889977379</v>
      </c>
      <c r="F10986" s="6" t="n">
        <f aca="false">Sens!F10973-Sens!F10972*Sens!F10985</f>
        <v>22.4686207259278</v>
      </c>
      <c r="G10986" s="6" t="n">
        <f aca="false">Sens!G10973-Sens!G10972*Sens!G10985</f>
        <v>43.2797528675735</v>
      </c>
      <c r="H10986" s="6" t="n">
        <f aca="false">Sens!H10973-Sens!H10972*Sens!H10985</f>
        <v>69.3477099347341</v>
      </c>
      <c r="I10986" s="6" t="n">
        <f aca="false">Sens!I10973-Sens!I10972*Sens!I10985</f>
        <v>86.8523667140836</v>
      </c>
      <c r="J10986" s="6" t="n">
        <f aca="false">Sens!J10973-Sens!J10972*Sens!J10985</f>
        <v>98.9882647234202</v>
      </c>
      <c r="K10986" s="6" t="n">
        <f aca="false">Sens!K10973-Sens!K10972*Sens!K10985</f>
        <v>106.918985011399</v>
      </c>
    </row>
    <row r="10987" customFormat="false" ht="17.15" hidden="false" customHeight="false" outlineLevel="0" collapsed="false">
      <c r="A10987" s="3" t="s">
        <v>1886</v>
      </c>
    </row>
    <row r="10988" customFormat="false" ht="15" hidden="false" customHeight="false" outlineLevel="0" collapsed="false">
      <c r="A10988" s="4" t="s">
        <v>43</v>
      </c>
      <c r="B10988" s="4" t="s">
        <v>65</v>
      </c>
      <c r="C10988" s="23" t="s">
        <v>942</v>
      </c>
      <c r="D10988" s="23" t="s">
        <v>943</v>
      </c>
      <c r="E10988" s="23" t="s">
        <v>944</v>
      </c>
      <c r="F10988" s="23" t="s">
        <v>945</v>
      </c>
      <c r="G10988" s="23" t="s">
        <v>946</v>
      </c>
      <c r="H10988" s="23" t="s">
        <v>947</v>
      </c>
      <c r="I10988" s="23" t="s">
        <v>948</v>
      </c>
      <c r="J10988" s="23" t="s">
        <v>949</v>
      </c>
      <c r="K10988" s="23" t="s">
        <v>950</v>
      </c>
      <c r="L10988" s="4" t="s">
        <v>47</v>
      </c>
    </row>
    <row r="10989" customFormat="false" ht="17.15" hidden="false" customHeight="false" outlineLevel="0" collapsed="false">
      <c r="A10989" s="0" t="s">
        <v>1025</v>
      </c>
      <c r="B10989" s="0" t="s">
        <v>98</v>
      </c>
      <c r="D10989" s="6" t="n">
        <f aca="false">Sens!D10967</f>
        <v>12.9359794422418</v>
      </c>
      <c r="E10989" s="6" t="n">
        <f aca="false">Sens!E10967</f>
        <v>27.8095064661409</v>
      </c>
      <c r="F10989" s="6" t="n">
        <f aca="false">Sens!F10967</f>
        <v>59.1034165651511</v>
      </c>
      <c r="G10989" s="6" t="n">
        <f aca="false">Sens!G10967</f>
        <v>103.451498789198</v>
      </c>
      <c r="H10989" s="6" t="n">
        <f aca="false">Sens!H10967</f>
        <v>153.816719989035</v>
      </c>
      <c r="I10989" s="6" t="n">
        <f aca="false">Sens!I10967</f>
        <v>192.699478690852</v>
      </c>
      <c r="J10989" s="6" t="n">
        <f aca="false">Sens!J10967</f>
        <v>219.794102584244</v>
      </c>
      <c r="K10989" s="6" t="n">
        <f aca="false">Sens!K10967</f>
        <v>236.757046905022</v>
      </c>
    </row>
    <row r="10990" customFormat="false" ht="17.15" hidden="false" customHeight="false" outlineLevel="0" collapsed="false">
      <c r="A10990" s="0" t="s">
        <v>1026</v>
      </c>
      <c r="B10990" s="0" t="s">
        <v>98</v>
      </c>
      <c r="D10990" s="6" t="n">
        <f aca="false">Q!L6-Sens!D10989</f>
        <v>59.6740205577583</v>
      </c>
      <c r="E10990" s="6" t="n">
        <f aca="false">Q!M6-Sens!E10989</f>
        <v>74.1284935338591</v>
      </c>
      <c r="F10990" s="6" t="n">
        <f aca="false">Q!$I$6+(Sens!F10989+Sens!E10990*(1+Sens!F10991))*(1-Q!$E$6/Q!M6)-Sens!F10989</f>
        <v>90.4866018070994</v>
      </c>
      <c r="G10990" s="6" t="n">
        <f aca="false">Sens!F10990*(1+Sens!G10991)</f>
        <v>107.511588557154</v>
      </c>
      <c r="H10990" s="6" t="n">
        <f aca="false">Sens!G10990*(1+Sens!H10991)</f>
        <v>124.832989325489</v>
      </c>
      <c r="I10990" s="6" t="n">
        <f aca="false">Sens!H10990*(1+Sens!I10991)</f>
        <v>141.56992589148</v>
      </c>
      <c r="J10990" s="6" t="n">
        <f aca="false">Sens!I10990*(1+Sens!J10991)</f>
        <v>156.723190479428</v>
      </c>
      <c r="K10990" s="6" t="n">
        <f aca="false">Sens!J10990*(1+Sens!K10991)</f>
        <v>169.261045717783</v>
      </c>
      <c r="L10990" s="12" t="s">
        <v>1027</v>
      </c>
    </row>
    <row r="10991" customFormat="false" ht="15" hidden="false" customHeight="false" outlineLevel="0" collapsed="false">
      <c r="A10991" s="1" t="s">
        <v>1028</v>
      </c>
      <c r="B10991" s="0" t="s">
        <v>168</v>
      </c>
      <c r="E10991" s="7" t="n">
        <f aca="false">Sens!E10990/Sens!D10990-1</f>
        <v>0.242223883039864</v>
      </c>
      <c r="F10991" s="7" t="n">
        <f aca="false">Sens!$E$10991+(glt_azo-Sens!$E$10991)*MIN(1,(Sens!F10948-base_fy)/n_conv)</f>
        <v>0.215186569199887</v>
      </c>
      <c r="G10991" s="7" t="n">
        <f aca="false">Sens!$E$10991+(glt_azo-Sens!$E$10991)*MIN(1,(Sens!G10948-base_fy)/n_conv)</f>
        <v>0.18814925535991</v>
      </c>
      <c r="H10991" s="7" t="n">
        <f aca="false">Sens!$E$10991+(glt_azo-Sens!$E$10991)*MIN(1,(Sens!H10948-base_fy)/n_conv)</f>
        <v>0.161111941519932</v>
      </c>
      <c r="I10991" s="7" t="n">
        <f aca="false">Sens!$E$10991+(glt_azo-Sens!$E$10991)*MIN(1,(Sens!I10948-base_fy)/n_conv)</f>
        <v>0.134074627679955</v>
      </c>
      <c r="J10991" s="7" t="n">
        <f aca="false">Sens!$E$10991+(glt_azo-Sens!$E$10991)*MIN(1,(Sens!J10948-base_fy)/n_conv)</f>
        <v>0.107037313839977</v>
      </c>
      <c r="K10991" s="7" t="n">
        <f aca="false">Sens!$E$10991+(glt_azo-Sens!$E$10991)*MIN(1,(Sens!K10948-base_fy)/n_conv)</f>
        <v>0.08</v>
      </c>
    </row>
    <row r="10992" customFormat="false" ht="15" hidden="false" customHeight="false" outlineLevel="0" collapsed="false">
      <c r="A10992" s="0" t="s">
        <v>1029</v>
      </c>
      <c r="B10992" s="0" t="s">
        <v>98</v>
      </c>
      <c r="D10992" s="6" t="n">
        <f aca="false">Sens!D10989+Sens!D10990</f>
        <v>72.61</v>
      </c>
      <c r="E10992" s="6" t="n">
        <f aca="false">Sens!E10989+Sens!E10990</f>
        <v>101.938</v>
      </c>
      <c r="F10992" s="6" t="n">
        <f aca="false">Sens!F10989+Sens!F10990</f>
        <v>149.59001837225</v>
      </c>
      <c r="G10992" s="6" t="n">
        <f aca="false">Sens!G10989+Sens!G10990</f>
        <v>210.963087346352</v>
      </c>
      <c r="H10992" s="6" t="n">
        <f aca="false">Sens!H10989+Sens!H10990</f>
        <v>278.649709314524</v>
      </c>
      <c r="I10992" s="6" t="n">
        <f aca="false">Sens!I10989+Sens!I10990</f>
        <v>334.269404582332</v>
      </c>
      <c r="J10992" s="6" t="n">
        <f aca="false">Sens!J10989+Sens!J10990</f>
        <v>376.517293063672</v>
      </c>
      <c r="K10992" s="6" t="n">
        <f aca="false">Sens!K10989+Sens!K10990</f>
        <v>406.018092622804</v>
      </c>
    </row>
    <row r="10993" customFormat="false" ht="17.15" hidden="false" customHeight="false" outlineLevel="0" collapsed="false">
      <c r="A10993" s="0" t="s">
        <v>1030</v>
      </c>
      <c r="B10993" s="1" t="s">
        <v>613</v>
      </c>
      <c r="C10993" s="30" t="n">
        <f aca="false">cop_s24</f>
        <v>1</v>
      </c>
      <c r="D10993" s="30" t="n">
        <f aca="false">cop_s25</f>
        <v>5</v>
      </c>
      <c r="E10993" s="30" t="n">
        <f aca="false">cop_s26</f>
        <v>30</v>
      </c>
      <c r="F10993" s="30" t="n">
        <f aca="false">Sens!E10993+cop_add_A</f>
        <v>60</v>
      </c>
      <c r="G10993" s="30" t="n">
        <f aca="false">Sens!F10993+cop_add_A</f>
        <v>90</v>
      </c>
      <c r="H10993" s="30" t="n">
        <f aca="false">Sens!G10993+cop_add_A</f>
        <v>120</v>
      </c>
      <c r="I10993" s="30" t="n">
        <f aca="false">Sens!H10993+cop_add_A*cop_tail</f>
        <v>135</v>
      </c>
      <c r="J10993" s="30" t="n">
        <f aca="false">Sens!I10993+cop_add_A*cop_tail</f>
        <v>150</v>
      </c>
      <c r="K10993" s="30" t="n">
        <f aca="false">Sens!J10993+cop_add_A*cop_tail</f>
        <v>165</v>
      </c>
      <c r="L10993" s="12" t="s">
        <v>1031</v>
      </c>
    </row>
    <row r="10994" customFormat="false" ht="17.15" hidden="false" customHeight="false" outlineLevel="0" collapsed="false">
      <c r="A10994" s="0" t="s">
        <v>1032</v>
      </c>
      <c r="B10994" s="0" t="s">
        <v>98</v>
      </c>
      <c r="D10994" s="6" t="n">
        <f aca="false">(Sens!C10993+Sens!D10993)/2*cop_px*12/1000</f>
        <v>0.9</v>
      </c>
      <c r="E10994" s="6" t="n">
        <f aca="false">(Sens!D10993+Sens!E10993)/2*cop_px*12/1000</f>
        <v>5.25</v>
      </c>
      <c r="F10994" s="6" t="n">
        <f aca="false">(Sens!E10993+Sens!F10993)/2*cop_px*12/1000</f>
        <v>13.5</v>
      </c>
      <c r="G10994" s="6" t="n">
        <f aca="false">(Sens!F10993+Sens!G10993)/2*cop_px*12/1000</f>
        <v>22.5</v>
      </c>
      <c r="H10994" s="6" t="n">
        <f aca="false">(Sens!G10993+Sens!H10993)/2*cop_px*12/1000</f>
        <v>31.5</v>
      </c>
      <c r="I10994" s="6" t="n">
        <f aca="false">(Sens!H10993+Sens!I10993)/2*cop_px*12/1000</f>
        <v>38.25</v>
      </c>
      <c r="J10994" s="6" t="n">
        <f aca="false">(Sens!I10993+Sens!J10993)/2*cop_px*12/1000</f>
        <v>42.75</v>
      </c>
      <c r="K10994" s="6" t="n">
        <f aca="false">(Sens!J10993+Sens!K10993)/2*cop_px*12/1000</f>
        <v>47.25</v>
      </c>
      <c r="L10994" s="1" t="s">
        <v>1033</v>
      </c>
    </row>
    <row r="10995" customFormat="false" ht="17.15" hidden="false" customHeight="false" outlineLevel="0" collapsed="false">
      <c r="A10995" s="0" t="s">
        <v>1034</v>
      </c>
      <c r="B10995" s="0" t="s">
        <v>98</v>
      </c>
      <c r="D10995" s="6" t="n">
        <f aca="false">Q!L7-Sens!D10994</f>
        <v>83.705</v>
      </c>
      <c r="E10995" s="6" t="n">
        <f aca="false">Q!M7-Sens!E10994</f>
        <v>95.049</v>
      </c>
      <c r="F10995" s="6" t="n">
        <f aca="false">Q!$I$7+(Sens!E10995*(1+Sens!F10996)+Sens!F10994)*(1-Q!$E$7/Q!M7)-Sens!F10994</f>
        <v>106.229653205718</v>
      </c>
      <c r="G10995" s="6" t="n">
        <f aca="false">Sens!F10995*(1+Sens!G10996)</f>
        <v>118.306092647576</v>
      </c>
      <c r="H10995" s="6" t="n">
        <f aca="false">Sens!G10995*(1+Sens!H10996)</f>
        <v>130.463437602768</v>
      </c>
      <c r="I10995" s="6" t="n">
        <f aca="false">Sens!H10995*(1+Sens!I10996)</f>
        <v>142.445354741933</v>
      </c>
      <c r="J10995" s="6" t="n">
        <f aca="false">Sens!I10995*(1+Sens!J10996)</f>
        <v>153.972117481571</v>
      </c>
      <c r="K10995" s="6" t="n">
        <f aca="false">Sens!J10995*(1+Sens!K10996)</f>
        <v>164.75016570528</v>
      </c>
      <c r="L10995" s="12" t="s">
        <v>1035</v>
      </c>
    </row>
    <row r="10996" customFormat="false" ht="15" hidden="false" customHeight="false" outlineLevel="0" collapsed="false">
      <c r="A10996" s="1" t="s">
        <v>1028</v>
      </c>
      <c r="B10996" s="0" t="s">
        <v>168</v>
      </c>
      <c r="E10996" s="7" t="n">
        <f aca="false">Sens!E10995/Sens!D10995-1</f>
        <v>0.135523564900544</v>
      </c>
      <c r="F10996" s="7" t="n">
        <f aca="false">Sens!$E$10996+(glt_m365b-Sens!$E$10996)*MIN(1,(Sens!F10948-base_fy)/n_conv)</f>
        <v>0.124602970750453</v>
      </c>
      <c r="G10996" s="7" t="n">
        <f aca="false">Sens!$E$10996+(glt_m365b-Sens!$E$10996)*MIN(1,(Sens!G10948-base_fy)/n_conv)</f>
        <v>0.113682376600363</v>
      </c>
      <c r="H10996" s="7" t="n">
        <f aca="false">Sens!$E$10996+(glt_m365b-Sens!$E$10996)*MIN(1,(Sens!H10948-base_fy)/n_conv)</f>
        <v>0.102761782450272</v>
      </c>
      <c r="I10996" s="7" t="n">
        <f aca="false">Sens!$E$10996+(glt_m365b-Sens!$E$10996)*MIN(1,(Sens!I10948-base_fy)/n_conv)</f>
        <v>0.0918411883001813</v>
      </c>
      <c r="J10996" s="7" t="n">
        <f aca="false">Sens!$E$10996+(glt_m365b-Sens!$E$10996)*MIN(1,(Sens!J10948-base_fy)/n_conv)</f>
        <v>0.0809205941500906</v>
      </c>
      <c r="K10996" s="7" t="n">
        <f aca="false">Sens!$E$10996+(glt_m365b-Sens!$E$10996)*MIN(1,(Sens!K10948-base_fy)/n_conv)</f>
        <v>0.07</v>
      </c>
    </row>
    <row r="10997" customFormat="false" ht="15" hidden="false" customHeight="false" outlineLevel="0" collapsed="false">
      <c r="A10997" s="0" t="s">
        <v>1036</v>
      </c>
      <c r="B10997" s="0" t="s">
        <v>98</v>
      </c>
      <c r="D10997" s="6" t="n">
        <f aca="false">Sens!D10995+Sens!D10994</f>
        <v>84.605</v>
      </c>
      <c r="E10997" s="6" t="n">
        <f aca="false">Sens!E10995+Sens!E10994</f>
        <v>100.299</v>
      </c>
      <c r="F10997" s="6" t="n">
        <f aca="false">Sens!F10995+Sens!F10994</f>
        <v>119.729653205718</v>
      </c>
      <c r="G10997" s="6" t="n">
        <f aca="false">Sens!G10995+Sens!G10994</f>
        <v>140.806092647576</v>
      </c>
      <c r="H10997" s="6" t="n">
        <f aca="false">Sens!H10995+Sens!H10994</f>
        <v>161.963437602768</v>
      </c>
      <c r="I10997" s="6" t="n">
        <f aca="false">Sens!I10995+Sens!I10994</f>
        <v>180.695354741933</v>
      </c>
      <c r="J10997" s="6" t="n">
        <f aca="false">Sens!J10995+Sens!J10994</f>
        <v>196.722117481571</v>
      </c>
      <c r="K10997" s="6" t="n">
        <f aca="false">Sens!K10995+Sens!K10994</f>
        <v>212.00016570528</v>
      </c>
    </row>
    <row r="10998" customFormat="false" ht="17.15" hidden="false" customHeight="false" outlineLevel="0" collapsed="false">
      <c r="A10998" s="0" t="s">
        <v>1037</v>
      </c>
      <c r="B10998" s="0" t="s">
        <v>98</v>
      </c>
      <c r="D10998" s="6" t="n">
        <f aca="false">Q!L8</f>
        <v>35.391</v>
      </c>
      <c r="E10998" s="6" t="n">
        <f aca="false">Q!M8</f>
        <v>37.285</v>
      </c>
      <c r="F10998" s="6" t="n">
        <f aca="false">Q!$I$8+(Q!M8-Q!$E$8)*(1+Sens!F10999)</f>
        <v>38.3851437782675</v>
      </c>
      <c r="G10998" s="6" t="n">
        <f aca="false">Sens!F10998*(1+Sens!G10999)</f>
        <v>40.0105353288615</v>
      </c>
      <c r="H10998" s="6" t="n">
        <f aca="false">Sens!G10998*(1+Sens!H10999)</f>
        <v>41.4812512033683</v>
      </c>
      <c r="I10998" s="6" t="n">
        <f aca="false">Sens!H10998*(1+Sens!I10999)</f>
        <v>42.7743107216329</v>
      </c>
      <c r="J10998" s="6" t="n">
        <f aca="false">Sens!I10998*(1+Sens!J10999)</f>
        <v>43.8687373064601</v>
      </c>
      <c r="K10998" s="6" t="n">
        <f aca="false">Sens!J10998*(1+Sens!K10999)</f>
        <v>44.7461120525893</v>
      </c>
      <c r="L10998" s="12" t="s">
        <v>1038</v>
      </c>
    </row>
    <row r="10999" customFormat="false" ht="15" hidden="false" customHeight="false" outlineLevel="0" collapsed="false">
      <c r="A10999" s="1" t="s">
        <v>1028</v>
      </c>
      <c r="B10999" s="0" t="s">
        <v>168</v>
      </c>
      <c r="E10999" s="7" t="n">
        <f aca="false">Sens!E10998/Sens!D10998-1</f>
        <v>0.0535164307309768</v>
      </c>
      <c r="F10999" s="7" t="n">
        <f aca="false">Sens!$E$10999+(glt_lic-Sens!$E$10999)*MIN(1,(Sens!F10948-base_fy)/n_conv)</f>
        <v>0.0479303589424807</v>
      </c>
      <c r="G10999" s="7" t="n">
        <f aca="false">Sens!$E$10999+(glt_lic-Sens!$E$10999)*MIN(1,(Sens!G10948-base_fy)/n_conv)</f>
        <v>0.0423442871539845</v>
      </c>
      <c r="H10999" s="7" t="n">
        <f aca="false">Sens!$E$10999+(glt_lic-Sens!$E$10999)*MIN(1,(Sens!H10948-base_fy)/n_conv)</f>
        <v>0.0367582153654884</v>
      </c>
      <c r="I10999" s="7" t="n">
        <f aca="false">Sens!$E$10999+(glt_lic-Sens!$E$10999)*MIN(1,(Sens!I10948-base_fy)/n_conv)</f>
        <v>0.0311721435769923</v>
      </c>
      <c r="J10999" s="7" t="n">
        <f aca="false">Sens!$E$10999+(glt_lic-Sens!$E$10999)*MIN(1,(Sens!J10948-base_fy)/n_conv)</f>
        <v>0.0255860717884961</v>
      </c>
      <c r="K10999" s="7" t="n">
        <f aca="false">Sens!$E$10999+(glt_lic-Sens!$E$10999)*MIN(1,(Sens!K10948-base_fy)/n_conv)</f>
        <v>0.02</v>
      </c>
    </row>
    <row r="11000" customFormat="false" ht="17.15" hidden="false" customHeight="false" outlineLevel="0" collapsed="false">
      <c r="A11000" s="0" t="s">
        <v>1039</v>
      </c>
      <c r="B11000" s="0" t="s">
        <v>98</v>
      </c>
      <c r="D11000" s="6" t="n">
        <f aca="false">Q!L9</f>
        <v>18.417</v>
      </c>
      <c r="E11000" s="6" t="n">
        <f aca="false">Q!M9</f>
        <v>20.345</v>
      </c>
      <c r="F11000" s="6" t="n">
        <f aca="false">Q!$I$9+(Q!M9-Q!$E$9)*(1+Sens!F11001)</f>
        <v>22.3161797133988</v>
      </c>
      <c r="G11000" s="6" t="n">
        <f aca="false">Sens!F11000*(1+Sens!G11001)</f>
        <v>24.3943499673233</v>
      </c>
      <c r="H11000" s="6" t="n">
        <f aca="false">Sens!G11000*(1+Sens!H11001)</f>
        <v>26.5250243109019</v>
      </c>
      <c r="I11000" s="6" t="n">
        <f aca="false">Sens!H11000*(1+Sens!I11001)</f>
        <v>28.6884573538181</v>
      </c>
      <c r="J11000" s="6" t="n">
        <f aca="false">Sens!I11000*(1+Sens!J11001)</f>
        <v>30.8624968052127</v>
      </c>
      <c r="K11000" s="6" t="n">
        <f aca="false">Sens!J11000*(1+Sens!K11001)</f>
        <v>33.0228715815776</v>
      </c>
      <c r="L11000" s="12" t="s">
        <v>1038</v>
      </c>
    </row>
    <row r="11001" customFormat="false" ht="15" hidden="false" customHeight="false" outlineLevel="0" collapsed="false">
      <c r="A11001" s="1" t="s">
        <v>1028</v>
      </c>
      <c r="B11001" s="0" t="s">
        <v>168</v>
      </c>
      <c r="E11001" s="7" t="n">
        <f aca="false">Sens!E11000/Sens!D11000-1</f>
        <v>0.104685888038225</v>
      </c>
      <c r="F11001" s="7" t="n">
        <f aca="false">Sens!$E$11001+(glt_ind-Sens!$E$11001)*MIN(1,(Sens!F10948-base_fy)/n_conv)</f>
        <v>0.0989049066985211</v>
      </c>
      <c r="G11001" s="7" t="n">
        <f aca="false">Sens!$E$11001+(glt_ind-Sens!$E$11001)*MIN(1,(Sens!G10948-base_fy)/n_conv)</f>
        <v>0.0931239253588169</v>
      </c>
      <c r="H11001" s="7" t="n">
        <f aca="false">Sens!$E$11001+(glt_ind-Sens!$E$11001)*MIN(1,(Sens!H10948-base_fy)/n_conv)</f>
        <v>0.0873429440191127</v>
      </c>
      <c r="I11001" s="7" t="n">
        <f aca="false">Sens!$E$11001+(glt_ind-Sens!$E$11001)*MIN(1,(Sens!I10948-base_fy)/n_conv)</f>
        <v>0.0815619626794085</v>
      </c>
      <c r="J11001" s="7" t="n">
        <f aca="false">Sens!$E$11001+(glt_ind-Sens!$E$11001)*MIN(1,(Sens!J10948-base_fy)/n_conv)</f>
        <v>0.0757809813397042</v>
      </c>
      <c r="K11001" s="7" t="n">
        <f aca="false">Sens!$E$11001+(glt_ind-Sens!$E$11001)*MIN(1,(Sens!K10948-base_fy)/n_conv)</f>
        <v>0.07</v>
      </c>
    </row>
    <row r="11002" customFormat="false" ht="17.15" hidden="false" customHeight="false" outlineLevel="0" collapsed="false">
      <c r="A11002" s="0" t="s">
        <v>1040</v>
      </c>
      <c r="B11002" s="0" t="s">
        <v>98</v>
      </c>
      <c r="D11002" s="6" t="n">
        <f aca="false">Q!L10</f>
        <v>7.76</v>
      </c>
      <c r="E11002" s="6" t="n">
        <f aca="false">Q!M10</f>
        <v>8.26</v>
      </c>
      <c r="F11002" s="6" t="n">
        <f aca="false">Q!$I$10+(Q!M10-Q!$E$10)*(1+Sens!F11003)</f>
        <v>8.75372082474227</v>
      </c>
      <c r="G11002" s="6" t="n">
        <f aca="false">Sens!F11002*(1+Sens!G11003)</f>
        <v>9.33399324642364</v>
      </c>
      <c r="H11002" s="6" t="n">
        <f aca="false">Sens!G11002*(1+Sens!H11003)</f>
        <v>9.96139155535851</v>
      </c>
      <c r="I11002" s="6" t="n">
        <f aca="false">Sens!H11002*(1+Sens!I11003)</f>
        <v>10.6402039077391</v>
      </c>
      <c r="J11002" s="6" t="n">
        <f aca="false">Sens!I11002*(1+Sens!J11003)</f>
        <v>11.3751458271397</v>
      </c>
      <c r="K11002" s="6" t="n">
        <f aca="false">Sens!J11002*(1+Sens!K11003)</f>
        <v>12.1714060350394</v>
      </c>
      <c r="L11002" s="12" t="s">
        <v>1038</v>
      </c>
    </row>
    <row r="11003" customFormat="false" ht="15" hidden="false" customHeight="false" outlineLevel="0" collapsed="false">
      <c r="A11003" s="1" t="s">
        <v>1028</v>
      </c>
      <c r="B11003" s="0" t="s">
        <v>168</v>
      </c>
      <c r="E11003" s="7" t="n">
        <f aca="false">Sens!E11002/Sens!D11002-1</f>
        <v>0.0644329896907216</v>
      </c>
      <c r="F11003" s="7" t="n">
        <f aca="false">Sens!$E$11003+(glt_fro-Sens!$E$11003)*MIN(1,(Sens!F10948-base_fy)/n_conv)</f>
        <v>0.065360824742268</v>
      </c>
      <c r="G11003" s="7" t="n">
        <f aca="false">Sens!$E$11003+(glt_fro-Sens!$E$11003)*MIN(1,(Sens!G10948-base_fy)/n_conv)</f>
        <v>0.0662886597938144</v>
      </c>
      <c r="H11003" s="7" t="n">
        <f aca="false">Sens!$E$11003+(glt_fro-Sens!$E$11003)*MIN(1,(Sens!H10948-base_fy)/n_conv)</f>
        <v>0.0672164948453608</v>
      </c>
      <c r="I11003" s="7" t="n">
        <f aca="false">Sens!$E$11003+(glt_fro-Sens!$E$11003)*MIN(1,(Sens!I10948-base_fy)/n_conv)</f>
        <v>0.0681443298969072</v>
      </c>
      <c r="J11003" s="7" t="n">
        <f aca="false">Sens!$E$11003+(glt_fro-Sens!$E$11003)*MIN(1,(Sens!J10948-base_fy)/n_conv)</f>
        <v>0.0690721649484536</v>
      </c>
      <c r="K11003" s="7" t="n">
        <f aca="false">Sens!$E$11003+(glt_fro-Sens!$E$11003)*MIN(1,(Sens!K10948-base_fy)/n_conv)</f>
        <v>0.07</v>
      </c>
    </row>
    <row r="11004" customFormat="false" ht="15" hidden="false" customHeight="false" outlineLevel="0" collapsed="false">
      <c r="A11004" s="0" t="s">
        <v>856</v>
      </c>
      <c r="B11004" s="0" t="s">
        <v>98</v>
      </c>
      <c r="D11004" s="6" t="n">
        <f aca="false">Sens!D10992+Sens!D10997+Sens!D10998+Sens!D11000+Sens!D11002</f>
        <v>218.783</v>
      </c>
      <c r="E11004" s="6" t="n">
        <f aca="false">Sens!E10992+Sens!E10997+Sens!E10998+Sens!E11000+Sens!E11002</f>
        <v>268.127</v>
      </c>
      <c r="F11004" s="6" t="n">
        <f aca="false">Sens!F10992+Sens!F10997+Sens!F10998+Sens!F11000+Sens!F11002</f>
        <v>338.774715894377</v>
      </c>
      <c r="G11004" s="6" t="n">
        <f aca="false">Sens!G10992+Sens!G10997+Sens!G10998+Sens!G11000+Sens!G11002</f>
        <v>425.508058536537</v>
      </c>
      <c r="H11004" s="6" t="n">
        <f aca="false">Sens!H10992+Sens!H10997+Sens!H10998+Sens!H11000+Sens!H11002</f>
        <v>518.580813986921</v>
      </c>
      <c r="I11004" s="6" t="n">
        <f aca="false">Sens!I10992+Sens!I10997+Sens!I10998+Sens!I11000+Sens!I11002</f>
        <v>597.067731307455</v>
      </c>
      <c r="J11004" s="6" t="n">
        <f aca="false">Sens!J10992+Sens!J10997+Sens!J10998+Sens!J11000+Sens!J11002</f>
        <v>659.345790484055</v>
      </c>
      <c r="K11004" s="6" t="n">
        <f aca="false">Sens!K10992+Sens!K10997+Sens!K10998+Sens!K11000+Sens!K11002</f>
        <v>707.958647997291</v>
      </c>
    </row>
    <row r="11005" customFormat="false" ht="17.15" hidden="false" customHeight="false" outlineLevel="0" collapsed="false">
      <c r="A11005" s="0" t="s">
        <v>1041</v>
      </c>
      <c r="B11005" s="0" t="s">
        <v>98</v>
      </c>
      <c r="D11005" s="6" t="n">
        <f aca="false">Q!L13</f>
        <v>22.171</v>
      </c>
      <c r="E11005" s="6" t="n">
        <f aca="false">Q!M13</f>
        <v>24.835</v>
      </c>
      <c r="F11005" s="6" t="n">
        <f aca="false">Q!$I$13+(Q!M13-Q!$E$13)*(1+Sens!F11006)</f>
        <v>27.6536545660247</v>
      </c>
      <c r="G11005" s="6" t="n">
        <f aca="false">Sens!F11005*(1+Sens!G11006)</f>
        <v>30.7906291283826</v>
      </c>
      <c r="H11005" s="6" t="n">
        <f aca="false">Sens!G11005*(1+Sens!H11006)</f>
        <v>34.1800148087432</v>
      </c>
      <c r="I11005" s="6" t="n">
        <f aca="false">Sens!H11005*(1+Sens!I11006)</f>
        <v>37.8276713738571</v>
      </c>
      <c r="J11005" s="6" t="n">
        <f aca="false">Sens!I11005*(1+Sens!J11006)</f>
        <v>41.7375203323678</v>
      </c>
      <c r="K11005" s="6" t="n">
        <f aca="false">Sens!J11005*(1+Sens!K11006)</f>
        <v>45.9112723656046</v>
      </c>
      <c r="L11005" s="12" t="s">
        <v>1038</v>
      </c>
    </row>
    <row r="11006" customFormat="false" ht="15" hidden="false" customHeight="false" outlineLevel="0" collapsed="false">
      <c r="A11006" s="1" t="s">
        <v>1028</v>
      </c>
      <c r="B11006" s="0" t="s">
        <v>168</v>
      </c>
      <c r="E11006" s="7" t="n">
        <f aca="false">Sens!E11005/Sens!D11005-1</f>
        <v>0.120156961796942</v>
      </c>
      <c r="F11006" s="7" t="n">
        <f aca="false">Sens!$E$11006+(glt_srch_hi-Sens!$E$11006)*MIN(1,(Sens!F10948-base_fy)/n_conv)</f>
        <v>0.116797468164118</v>
      </c>
      <c r="G11006" s="7" t="n">
        <f aca="false">Sens!$E$11006+(glt_srch_hi-Sens!$E$11006)*MIN(1,(Sens!G10948-base_fy)/n_conv)</f>
        <v>0.113437974531295</v>
      </c>
      <c r="H11006" s="7" t="n">
        <f aca="false">Sens!$E$11006+(glt_srch_hi-Sens!$E$11006)*MIN(1,(Sens!H10948-base_fy)/n_conv)</f>
        <v>0.110078480898471</v>
      </c>
      <c r="I11006" s="7" t="n">
        <f aca="false">Sens!$E$11006+(glt_srch_hi-Sens!$E$11006)*MIN(1,(Sens!I10948-base_fy)/n_conv)</f>
        <v>0.106718987265647</v>
      </c>
      <c r="J11006" s="7" t="n">
        <f aca="false">Sens!$E$11006+(glt_srch_hi-Sens!$E$11006)*MIN(1,(Sens!J10948-base_fy)/n_conv)</f>
        <v>0.103359493632824</v>
      </c>
      <c r="K11006" s="7" t="n">
        <f aca="false">Sens!$E$11006+(glt_srch_hi-Sens!$E$11006)*MIN(1,(Sens!K10948-base_fy)/n_conv)</f>
        <v>0.1</v>
      </c>
    </row>
    <row r="11007" customFormat="false" ht="17.15" hidden="false" customHeight="false" outlineLevel="0" collapsed="false">
      <c r="A11007" s="0" t="s">
        <v>1042</v>
      </c>
      <c r="B11007" s="0" t="s">
        <v>98</v>
      </c>
      <c r="D11007" s="6" t="n">
        <f aca="false">Q!L14</f>
        <v>23.455</v>
      </c>
      <c r="E11007" s="6" t="n">
        <f aca="false">Q!M14</f>
        <v>21.79</v>
      </c>
      <c r="F11007" s="6" t="n">
        <f aca="false">Q!$I$14+(Q!M14-Q!$E$14)*(1+Sens!F11008)</f>
        <v>20.7520981041711</v>
      </c>
      <c r="G11007" s="6" t="n">
        <f aca="false">Sens!F11007*(1+Sens!G11008)</f>
        <v>19.9083593495882</v>
      </c>
      <c r="H11007" s="6" t="n">
        <f aca="false">Sens!G11007*(1+Sens!H11008)</f>
        <v>19.4008256265831</v>
      </c>
      <c r="I11007" s="6" t="n">
        <f aca="false">Sens!H11007*(1+Sens!I11008)</f>
        <v>19.200434522122</v>
      </c>
      <c r="J11007" s="6" t="n">
        <f aca="false">Sens!I11007*(1+Sens!J11008)</f>
        <v>19.2932782348507</v>
      </c>
      <c r="K11007" s="6" t="n">
        <f aca="false">Sens!J11007*(1+Sens!K11008)</f>
        <v>19.6791437995477</v>
      </c>
      <c r="L11007" s="12" t="s">
        <v>1038</v>
      </c>
    </row>
    <row r="11008" customFormat="false" ht="15" hidden="false" customHeight="false" outlineLevel="0" collapsed="false">
      <c r="A11008" s="1" t="s">
        <v>1028</v>
      </c>
      <c r="B11008" s="0" t="s">
        <v>168</v>
      </c>
      <c r="E11008" s="7" t="n">
        <f aca="false">Sens!E11007/Sens!D11007-1</f>
        <v>-0.0709869963760392</v>
      </c>
      <c r="F11008" s="7" t="n">
        <f aca="false">Sens!$E$11008+(glt_xbox-Sens!$E$11008)*MIN(1,(Sens!F10948-base_fy)/n_conv)</f>
        <v>-0.0558224969800327</v>
      </c>
      <c r="G11008" s="7" t="n">
        <f aca="false">Sens!$E$11008+(glt_xbox-Sens!$E$11008)*MIN(1,(Sens!G10948-base_fy)/n_conv)</f>
        <v>-0.0406579975840262</v>
      </c>
      <c r="H11008" s="7" t="n">
        <f aca="false">Sens!$E$11008+(glt_xbox-Sens!$E$11008)*MIN(1,(Sens!H10948-base_fy)/n_conv)</f>
        <v>-0.0254934981880196</v>
      </c>
      <c r="I11008" s="7" t="n">
        <f aca="false">Sens!$E$11008+(glt_xbox-Sens!$E$11008)*MIN(1,(Sens!I10948-base_fy)/n_conv)</f>
        <v>-0.0103289987920131</v>
      </c>
      <c r="J11008" s="7" t="n">
        <f aca="false">Sens!$E$11008+(glt_xbox-Sens!$E$11008)*MIN(1,(Sens!J10948-base_fy)/n_conv)</f>
        <v>0.00483550060399347</v>
      </c>
      <c r="K11008" s="7" t="n">
        <f aca="false">Sens!$E$11008+(glt_xbox-Sens!$E$11008)*MIN(1,(Sens!K10948-base_fy)/n_conv)</f>
        <v>0.02</v>
      </c>
    </row>
    <row r="11009" customFormat="false" ht="17.15" hidden="false" customHeight="false" outlineLevel="0" collapsed="false">
      <c r="A11009" s="0" t="s">
        <v>1043</v>
      </c>
      <c r="B11009" s="0" t="s">
        <v>98</v>
      </c>
      <c r="D11009" s="6" t="n">
        <f aca="false">Q!L15</f>
        <v>17.315</v>
      </c>
      <c r="E11009" s="6" t="n">
        <f aca="false">Q!M15</f>
        <v>17.087</v>
      </c>
      <c r="F11009" s="6" t="n">
        <f aca="false">Q!$I$15+(Q!M15-Q!$E$15)*(1+Sens!F11010)</f>
        <v>15.9912273250553</v>
      </c>
      <c r="G11009" s="6" t="n">
        <f aca="false">Sens!F11009*(1+Sens!G11010)</f>
        <v>15.9574562664827</v>
      </c>
      <c r="H11009" s="6" t="n">
        <f aca="false">Sens!G11009*(1+Sens!H11010)</f>
        <v>16.0119687434196</v>
      </c>
      <c r="I11009" s="6" t="n">
        <f aca="false">Sens!H11009*(1+Sens!I11010)</f>
        <v>16.1551810001948</v>
      </c>
      <c r="J11009" s="6" t="n">
        <f aca="false">Sens!I11009*(1+Sens!J11010)</f>
        <v>16.3889793892005</v>
      </c>
      <c r="K11009" s="6" t="n">
        <f aca="false">Sens!J11009*(1+Sens!K11010)</f>
        <v>16.7167589769845</v>
      </c>
      <c r="L11009" s="12" t="s">
        <v>1038</v>
      </c>
    </row>
    <row r="11010" customFormat="false" ht="15" hidden="false" customHeight="false" outlineLevel="0" collapsed="false">
      <c r="A11010" s="1" t="s">
        <v>1028</v>
      </c>
      <c r="B11010" s="0" t="s">
        <v>168</v>
      </c>
      <c r="E11010" s="7" t="n">
        <f aca="false">Sens!E11009/Sens!D11009-1</f>
        <v>-0.0131677736066995</v>
      </c>
      <c r="F11010" s="7" t="n">
        <f aca="false">Sens!$E$11010+(glt_win-Sens!$E$11010)*MIN(1,(Sens!F10948-base_fy)/n_conv)</f>
        <v>-0.00763981133891627</v>
      </c>
      <c r="G11010" s="7" t="n">
        <f aca="false">Sens!$E$11010+(glt_win-Sens!$E$11010)*MIN(1,(Sens!G10948-base_fy)/n_conv)</f>
        <v>-0.00211184907113301</v>
      </c>
      <c r="H11010" s="7" t="n">
        <f aca="false">Sens!$E$11010+(glt_win-Sens!$E$11010)*MIN(1,(Sens!H10948-base_fy)/n_conv)</f>
        <v>0.00341611319665024</v>
      </c>
      <c r="I11010" s="7" t="n">
        <f aca="false">Sens!$E$11010+(glt_win-Sens!$E$11010)*MIN(1,(Sens!I10948-base_fy)/n_conv)</f>
        <v>0.00894407546443349</v>
      </c>
      <c r="J11010" s="7" t="n">
        <f aca="false">Sens!$E$11010+(glt_win-Sens!$E$11010)*MIN(1,(Sens!J10948-base_fy)/n_conv)</f>
        <v>0.0144720377322168</v>
      </c>
      <c r="K11010" s="7" t="n">
        <f aca="false">Sens!$E$11010+(glt_win-Sens!$E$11010)*MIN(1,(Sens!K10948-base_fy)/n_conv)</f>
        <v>0.02</v>
      </c>
    </row>
    <row r="11011" customFormat="false" ht="15" hidden="false" customHeight="false" outlineLevel="0" collapsed="false">
      <c r="A11011" s="0" t="s">
        <v>870</v>
      </c>
      <c r="B11011" s="0" t="s">
        <v>98</v>
      </c>
      <c r="D11011" s="6" t="n">
        <f aca="false">Sens!D11005+Sens!D11007+Sens!D11009</f>
        <v>62.941</v>
      </c>
      <c r="E11011" s="6" t="n">
        <f aca="false">Sens!E11005+Sens!E11007+Sens!E11009</f>
        <v>63.712</v>
      </c>
      <c r="F11011" s="6" t="n">
        <f aca="false">Sens!F11005+Sens!F11007+Sens!F11009</f>
        <v>64.3969799952511</v>
      </c>
      <c r="G11011" s="6" t="n">
        <f aca="false">Sens!G11005+Sens!G11007+Sens!G11009</f>
        <v>66.6564447444535</v>
      </c>
      <c r="H11011" s="6" t="n">
        <f aca="false">Sens!H11005+Sens!H11007+Sens!H11009</f>
        <v>69.5928091787458</v>
      </c>
      <c r="I11011" s="6" t="n">
        <f aca="false">Sens!I11005+Sens!I11007+Sens!I11009</f>
        <v>73.183286896174</v>
      </c>
      <c r="J11011" s="6" t="n">
        <f aca="false">Sens!J11005+Sens!J11007+Sens!J11009</f>
        <v>77.419777956419</v>
      </c>
      <c r="K11011" s="6" t="n">
        <f aca="false">Sens!K11005+Sens!K11007+Sens!K11009</f>
        <v>82.3071751421368</v>
      </c>
    </row>
    <row r="11012" customFormat="false" ht="15" hidden="false" customHeight="false" outlineLevel="0" collapsed="false">
      <c r="A11012" s="1" t="s">
        <v>1044</v>
      </c>
      <c r="B11012" s="0" t="s">
        <v>98</v>
      </c>
      <c r="D11012" s="6" t="n">
        <f aca="false">Sens!D11004+Sens!D11011</f>
        <v>281.724</v>
      </c>
      <c r="E11012" s="6" t="n">
        <f aca="false">Sens!E11004+Sens!E11011</f>
        <v>331.839</v>
      </c>
      <c r="F11012" s="6" t="n">
        <f aca="false">Sens!F11004+Sens!F11011</f>
        <v>403.171695889628</v>
      </c>
      <c r="G11012" s="6" t="n">
        <f aca="false">Sens!G11004+Sens!G11011</f>
        <v>492.16450328099</v>
      </c>
      <c r="H11012" s="6" t="n">
        <f aca="false">Sens!H11004+Sens!H11011</f>
        <v>588.173623165667</v>
      </c>
      <c r="I11012" s="6" t="n">
        <f aca="false">Sens!I11004+Sens!I11011</f>
        <v>670.251018203629</v>
      </c>
      <c r="J11012" s="6" t="n">
        <f aca="false">Sens!J11004+Sens!J11011</f>
        <v>736.765568440474</v>
      </c>
      <c r="K11012" s="6" t="n">
        <f aca="false">Sens!K11004+Sens!K11011</f>
        <v>790.265823139428</v>
      </c>
    </row>
    <row r="11013" customFormat="false" ht="15" hidden="false" customHeight="false" outlineLevel="0" collapsed="false">
      <c r="A11013" s="26" t="s">
        <v>1045</v>
      </c>
      <c r="B11013" s="31" t="s">
        <v>98</v>
      </c>
      <c r="C11013" s="31"/>
      <c r="D11013" s="27" t="n">
        <f aca="false">(Sens!D10992+Sens!D10997+Sens!D10998+Sens!D11000+Sens!D11002-Sens!D11004)+(Sens!D11005+Sens!D11007+Sens!D11009-Sens!D11011)+(Sens!D11004-Q!L5)+(Sens!D11011-Q!L12)+(Sens!D10992-Q!L6)+(Sens!D10997-Q!L7)</f>
        <v>0</v>
      </c>
      <c r="E11013" s="27" t="n">
        <f aca="false">(Sens!E10992+Sens!E10997+Sens!E10998+Sens!E11000+Sens!E11002-Sens!E11004)+(Sens!E11005+Sens!E11007+Sens!E11009-Sens!E11011)+(Sens!E11004-Q!M5)+(Sens!E11011-Q!M12)+(Sens!E10992-Q!M6)+(Sens!E10997-Q!M7)</f>
        <v>0</v>
      </c>
      <c r="F11013" s="27" t="n">
        <f aca="false">(Sens!F10992+Sens!F10997+Sens!F10998+Sens!F11000+Sens!F11002-Sens!F11004)+(Sens!F11005+Sens!F11007+Sens!F11009-Sens!F11011)</f>
        <v>0</v>
      </c>
      <c r="G11013" s="27" t="n">
        <f aca="false">(Sens!G10992+Sens!G10997+Sens!G10998+Sens!G11000+Sens!G11002-Sens!G11004)+(Sens!G11005+Sens!G11007+Sens!G11009-Sens!G11011)</f>
        <v>0</v>
      </c>
      <c r="H11013" s="27" t="n">
        <f aca="false">(Sens!H10992+Sens!H10997+Sens!H10998+Sens!H11000+Sens!H11002-Sens!H11004)+(Sens!H11005+Sens!H11007+Sens!H11009-Sens!H11011)</f>
        <v>0</v>
      </c>
      <c r="I11013" s="27" t="n">
        <f aca="false">(Sens!I10992+Sens!I10997+Sens!I10998+Sens!I11000+Sens!I11002-Sens!I11004)+(Sens!I11005+Sens!I11007+Sens!I11009-Sens!I11011)</f>
        <v>0</v>
      </c>
      <c r="J11013" s="27" t="n">
        <f aca="false">(Sens!J10992+Sens!J10997+Sens!J10998+Sens!J11000+Sens!J11002-Sens!J11004)+(Sens!J11005+Sens!J11007+Sens!J11009-Sens!J11011)</f>
        <v>0</v>
      </c>
      <c r="K11013" s="27" t="n">
        <f aca="false">(Sens!K10992+Sens!K10997+Sens!K10998+Sens!K11000+Sens!K11002-Sens!K11004)+(Sens!K11005+Sens!K11007+Sens!K11009-Sens!K11011)</f>
        <v>0</v>
      </c>
    </row>
    <row r="11014" customFormat="false" ht="17.15" hidden="false" customHeight="false" outlineLevel="0" collapsed="false">
      <c r="A11014" s="3" t="s">
        <v>1887</v>
      </c>
    </row>
    <row r="11015" customFormat="false" ht="15" hidden="false" customHeight="false" outlineLevel="0" collapsed="false">
      <c r="A11015" s="4" t="s">
        <v>43</v>
      </c>
      <c r="B11015" s="4" t="s">
        <v>65</v>
      </c>
      <c r="C11015" s="23" t="s">
        <v>942</v>
      </c>
      <c r="D11015" s="23" t="s">
        <v>943</v>
      </c>
      <c r="E11015" s="23" t="s">
        <v>944</v>
      </c>
      <c r="F11015" s="23" t="s">
        <v>945</v>
      </c>
      <c r="G11015" s="23" t="s">
        <v>946</v>
      </c>
      <c r="H11015" s="23" t="s">
        <v>947</v>
      </c>
      <c r="I11015" s="23" t="s">
        <v>948</v>
      </c>
      <c r="J11015" s="23" t="s">
        <v>949</v>
      </c>
      <c r="K11015" s="23" t="s">
        <v>950</v>
      </c>
      <c r="L11015" s="4" t="s">
        <v>47</v>
      </c>
    </row>
    <row r="11016" customFormat="false" ht="15" hidden="false" customHeight="false" outlineLevel="0" collapsed="false">
      <c r="A11016" s="0" t="s">
        <v>1029</v>
      </c>
      <c r="B11016" s="0" t="s">
        <v>98</v>
      </c>
      <c r="D11016" s="6" t="n">
        <f aca="false">Sens!D10992</f>
        <v>72.61</v>
      </c>
      <c r="E11016" s="6" t="n">
        <f aca="false">Sens!E10992</f>
        <v>101.938</v>
      </c>
      <c r="F11016" s="6" t="n">
        <f aca="false">Sens!F10992</f>
        <v>149.59001837225</v>
      </c>
      <c r="G11016" s="6" t="n">
        <f aca="false">Sens!G10992</f>
        <v>210.963087346352</v>
      </c>
      <c r="H11016" s="6" t="n">
        <f aca="false">Sens!H10992</f>
        <v>278.649709314524</v>
      </c>
      <c r="I11016" s="6" t="n">
        <f aca="false">Sens!I10992</f>
        <v>334.269404582332</v>
      </c>
      <c r="J11016" s="6" t="n">
        <f aca="false">Sens!J10992</f>
        <v>376.517293063672</v>
      </c>
      <c r="K11016" s="6" t="n">
        <f aca="false">Sens!K10992</f>
        <v>406.018092622804</v>
      </c>
    </row>
    <row r="11017" customFormat="false" ht="17.15" hidden="false" customHeight="false" outlineLevel="0" collapsed="false">
      <c r="A11017" s="0" t="s">
        <v>1025</v>
      </c>
      <c r="B11017" s="0" t="s">
        <v>98</v>
      </c>
      <c r="D11017" s="6" t="n">
        <f aca="false">Sens!D10989</f>
        <v>12.9359794422418</v>
      </c>
      <c r="E11017" s="6" t="n">
        <f aca="false">Sens!E10989</f>
        <v>27.8095064661409</v>
      </c>
      <c r="F11017" s="6" t="n">
        <f aca="false">Sens!F10989</f>
        <v>59.1034165651511</v>
      </c>
      <c r="G11017" s="6" t="n">
        <f aca="false">Sens!G10989</f>
        <v>103.451498789198</v>
      </c>
      <c r="H11017" s="6" t="n">
        <f aca="false">Sens!H10989</f>
        <v>153.816719989035</v>
      </c>
      <c r="I11017" s="6" t="n">
        <f aca="false">Sens!I10989</f>
        <v>192.699478690852</v>
      </c>
      <c r="J11017" s="6" t="n">
        <f aca="false">Sens!J10989</f>
        <v>219.794102584244</v>
      </c>
      <c r="K11017" s="6" t="n">
        <f aca="false">Sens!K10989</f>
        <v>236.757046905022</v>
      </c>
    </row>
    <row r="11018" customFormat="false" ht="17.15" hidden="false" customHeight="false" outlineLevel="0" collapsed="false">
      <c r="A11018" s="0" t="s">
        <v>1056</v>
      </c>
      <c r="B11018" s="0" t="s">
        <v>98</v>
      </c>
      <c r="D11018" s="6" t="n">
        <f aca="false">Sens!D10990</f>
        <v>59.6740205577583</v>
      </c>
      <c r="E11018" s="6" t="n">
        <f aca="false">Sens!E10990</f>
        <v>74.1284935338591</v>
      </c>
      <c r="F11018" s="6" t="n">
        <f aca="false">Sens!F10990</f>
        <v>90.4866018070994</v>
      </c>
      <c r="G11018" s="6" t="n">
        <f aca="false">Sens!G10990</f>
        <v>107.511588557154</v>
      </c>
      <c r="H11018" s="6" t="n">
        <f aca="false">Sens!H10990</f>
        <v>124.832989325489</v>
      </c>
      <c r="I11018" s="6" t="n">
        <f aca="false">Sens!I10990</f>
        <v>141.56992589148</v>
      </c>
      <c r="J11018" s="6" t="n">
        <f aca="false">Sens!J10990</f>
        <v>156.723190479428</v>
      </c>
      <c r="K11018" s="6" t="n">
        <f aca="false">Sens!K10990</f>
        <v>169.261045717783</v>
      </c>
    </row>
    <row r="11019" customFormat="false" ht="15" hidden="false" customHeight="false" outlineLevel="0" collapsed="false">
      <c r="A11019" s="0" t="s">
        <v>1036</v>
      </c>
      <c r="B11019" s="0" t="s">
        <v>98</v>
      </c>
      <c r="D11019" s="6" t="n">
        <f aca="false">Sens!D10997</f>
        <v>84.605</v>
      </c>
      <c r="E11019" s="6" t="n">
        <f aca="false">Sens!E10997</f>
        <v>100.299</v>
      </c>
      <c r="F11019" s="6" t="n">
        <f aca="false">Sens!F10997</f>
        <v>119.729653205718</v>
      </c>
      <c r="G11019" s="6" t="n">
        <f aca="false">Sens!G10997</f>
        <v>140.806092647576</v>
      </c>
      <c r="H11019" s="6" t="n">
        <f aca="false">Sens!H10997</f>
        <v>161.963437602768</v>
      </c>
      <c r="I11019" s="6" t="n">
        <f aca="false">Sens!I10997</f>
        <v>180.695354741933</v>
      </c>
      <c r="J11019" s="6" t="n">
        <f aca="false">Sens!J10997</f>
        <v>196.722117481571</v>
      </c>
      <c r="K11019" s="6" t="n">
        <f aca="false">Sens!K10997</f>
        <v>212.00016570528</v>
      </c>
    </row>
    <row r="11020" customFormat="false" ht="17.15" hidden="false" customHeight="false" outlineLevel="0" collapsed="false">
      <c r="A11020" s="0" t="s">
        <v>1057</v>
      </c>
      <c r="B11020" s="0" t="s">
        <v>98</v>
      </c>
      <c r="D11020" s="6" t="n">
        <f aca="false">Sens!D10995</f>
        <v>83.705</v>
      </c>
      <c r="E11020" s="6" t="n">
        <f aca="false">Sens!E10995</f>
        <v>95.049</v>
      </c>
      <c r="F11020" s="6" t="n">
        <f aca="false">Sens!F10995</f>
        <v>106.229653205718</v>
      </c>
      <c r="G11020" s="6" t="n">
        <f aca="false">Sens!G10995</f>
        <v>118.306092647576</v>
      </c>
      <c r="H11020" s="6" t="n">
        <f aca="false">Sens!H10995</f>
        <v>130.463437602768</v>
      </c>
      <c r="I11020" s="6" t="n">
        <f aca="false">Sens!I10995</f>
        <v>142.445354741933</v>
      </c>
      <c r="J11020" s="6" t="n">
        <f aca="false">Sens!J10995</f>
        <v>153.972117481571</v>
      </c>
      <c r="K11020" s="6" t="n">
        <f aca="false">Sens!K10995</f>
        <v>164.75016570528</v>
      </c>
    </row>
    <row r="11021" customFormat="false" ht="17.15" hidden="false" customHeight="false" outlineLevel="0" collapsed="false">
      <c r="A11021" s="0" t="s">
        <v>1058</v>
      </c>
      <c r="B11021" s="0" t="s">
        <v>98</v>
      </c>
      <c r="D11021" s="6" t="n">
        <f aca="false">Sens!D10994</f>
        <v>0.9</v>
      </c>
      <c r="E11021" s="6" t="n">
        <f aca="false">Sens!E10994</f>
        <v>5.25</v>
      </c>
      <c r="F11021" s="6" t="n">
        <f aca="false">Sens!F10994</f>
        <v>13.5</v>
      </c>
      <c r="G11021" s="6" t="n">
        <f aca="false">Sens!G10994</f>
        <v>22.5</v>
      </c>
      <c r="H11021" s="6" t="n">
        <f aca="false">Sens!H10994</f>
        <v>31.5</v>
      </c>
      <c r="I11021" s="6" t="n">
        <f aca="false">Sens!I10994</f>
        <v>38.25</v>
      </c>
      <c r="J11021" s="6" t="n">
        <f aca="false">Sens!J10994</f>
        <v>42.75</v>
      </c>
      <c r="K11021" s="6" t="n">
        <f aca="false">Sens!K10994</f>
        <v>47.25</v>
      </c>
    </row>
    <row r="11022" customFormat="false" ht="15" hidden="false" customHeight="false" outlineLevel="0" collapsed="false">
      <c r="A11022" s="0" t="s">
        <v>1037</v>
      </c>
      <c r="B11022" s="0" t="s">
        <v>98</v>
      </c>
      <c r="D11022" s="6" t="n">
        <f aca="false">Sens!D10998</f>
        <v>35.391</v>
      </c>
      <c r="E11022" s="6" t="n">
        <f aca="false">Sens!E10998</f>
        <v>37.285</v>
      </c>
      <c r="F11022" s="6" t="n">
        <f aca="false">Sens!F10998</f>
        <v>38.3851437782675</v>
      </c>
      <c r="G11022" s="6" t="n">
        <f aca="false">Sens!G10998</f>
        <v>40.0105353288615</v>
      </c>
      <c r="H11022" s="6" t="n">
        <f aca="false">Sens!H10998</f>
        <v>41.4812512033683</v>
      </c>
      <c r="I11022" s="6" t="n">
        <f aca="false">Sens!I10998</f>
        <v>42.7743107216329</v>
      </c>
      <c r="J11022" s="6" t="n">
        <f aca="false">Sens!J10998</f>
        <v>43.8687373064601</v>
      </c>
      <c r="K11022" s="6" t="n">
        <f aca="false">Sens!K10998</f>
        <v>44.7461120525893</v>
      </c>
    </row>
    <row r="11023" customFormat="false" ht="15" hidden="false" customHeight="false" outlineLevel="0" collapsed="false">
      <c r="A11023" s="0" t="s">
        <v>1039</v>
      </c>
      <c r="B11023" s="0" t="s">
        <v>98</v>
      </c>
      <c r="D11023" s="6" t="n">
        <f aca="false">Sens!D11000</f>
        <v>18.417</v>
      </c>
      <c r="E11023" s="6" t="n">
        <f aca="false">Sens!E11000</f>
        <v>20.345</v>
      </c>
      <c r="F11023" s="6" t="n">
        <f aca="false">Sens!F11000</f>
        <v>22.3161797133988</v>
      </c>
      <c r="G11023" s="6" t="n">
        <f aca="false">Sens!G11000</f>
        <v>24.3943499673233</v>
      </c>
      <c r="H11023" s="6" t="n">
        <f aca="false">Sens!H11000</f>
        <v>26.5250243109019</v>
      </c>
      <c r="I11023" s="6" t="n">
        <f aca="false">Sens!I11000</f>
        <v>28.6884573538181</v>
      </c>
      <c r="J11023" s="6" t="n">
        <f aca="false">Sens!J11000</f>
        <v>30.8624968052127</v>
      </c>
      <c r="K11023" s="6" t="n">
        <f aca="false">Sens!K11000</f>
        <v>33.0228715815776</v>
      </c>
    </row>
    <row r="11024" customFormat="false" ht="15" hidden="false" customHeight="false" outlineLevel="0" collapsed="false">
      <c r="A11024" s="0" t="s">
        <v>1040</v>
      </c>
      <c r="B11024" s="0" t="s">
        <v>98</v>
      </c>
      <c r="D11024" s="6" t="n">
        <f aca="false">Sens!D11002</f>
        <v>7.76</v>
      </c>
      <c r="E11024" s="6" t="n">
        <f aca="false">Sens!E11002</f>
        <v>8.26</v>
      </c>
      <c r="F11024" s="6" t="n">
        <f aca="false">Sens!F11002</f>
        <v>8.75372082474227</v>
      </c>
      <c r="G11024" s="6" t="n">
        <f aca="false">Sens!G11002</f>
        <v>9.33399324642364</v>
      </c>
      <c r="H11024" s="6" t="n">
        <f aca="false">Sens!H11002</f>
        <v>9.96139155535851</v>
      </c>
      <c r="I11024" s="6" t="n">
        <f aca="false">Sens!I11002</f>
        <v>10.6402039077391</v>
      </c>
      <c r="J11024" s="6" t="n">
        <f aca="false">Sens!J11002</f>
        <v>11.3751458271397</v>
      </c>
      <c r="K11024" s="6" t="n">
        <f aca="false">Sens!K11002</f>
        <v>12.1714060350394</v>
      </c>
    </row>
    <row r="11025" customFormat="false" ht="15" hidden="false" customHeight="false" outlineLevel="0" collapsed="false">
      <c r="A11025" s="0" t="s">
        <v>856</v>
      </c>
      <c r="B11025" s="0" t="s">
        <v>98</v>
      </c>
      <c r="D11025" s="6" t="n">
        <f aca="false">Sens!D11004</f>
        <v>218.783</v>
      </c>
      <c r="E11025" s="6" t="n">
        <f aca="false">Sens!E11004</f>
        <v>268.127</v>
      </c>
      <c r="F11025" s="6" t="n">
        <f aca="false">Sens!F11004</f>
        <v>338.774715894377</v>
      </c>
      <c r="G11025" s="6" t="n">
        <f aca="false">Sens!G11004</f>
        <v>425.508058536537</v>
      </c>
      <c r="H11025" s="6" t="n">
        <f aca="false">Sens!H11004</f>
        <v>518.580813986921</v>
      </c>
      <c r="I11025" s="6" t="n">
        <f aca="false">Sens!I11004</f>
        <v>597.067731307455</v>
      </c>
      <c r="J11025" s="6" t="n">
        <f aca="false">Sens!J11004</f>
        <v>659.345790484055</v>
      </c>
      <c r="K11025" s="6" t="n">
        <f aca="false">Sens!K11004</f>
        <v>707.958647997291</v>
      </c>
    </row>
    <row r="11026" customFormat="false" ht="15" hidden="false" customHeight="false" outlineLevel="0" collapsed="false">
      <c r="A11026" s="0" t="s">
        <v>1041</v>
      </c>
      <c r="B11026" s="0" t="s">
        <v>98</v>
      </c>
      <c r="D11026" s="6" t="n">
        <f aca="false">Sens!D11005</f>
        <v>22.171</v>
      </c>
      <c r="E11026" s="6" t="n">
        <f aca="false">Sens!E11005</f>
        <v>24.835</v>
      </c>
      <c r="F11026" s="6" t="n">
        <f aca="false">Sens!F11005</f>
        <v>27.6536545660247</v>
      </c>
      <c r="G11026" s="6" t="n">
        <f aca="false">Sens!G11005</f>
        <v>30.7906291283826</v>
      </c>
      <c r="H11026" s="6" t="n">
        <f aca="false">Sens!H11005</f>
        <v>34.1800148087432</v>
      </c>
      <c r="I11026" s="6" t="n">
        <f aca="false">Sens!I11005</f>
        <v>37.8276713738571</v>
      </c>
      <c r="J11026" s="6" t="n">
        <f aca="false">Sens!J11005</f>
        <v>41.7375203323678</v>
      </c>
      <c r="K11026" s="6" t="n">
        <f aca="false">Sens!K11005</f>
        <v>45.9112723656046</v>
      </c>
    </row>
    <row r="11027" customFormat="false" ht="15" hidden="false" customHeight="false" outlineLevel="0" collapsed="false">
      <c r="A11027" s="0" t="s">
        <v>1042</v>
      </c>
      <c r="B11027" s="0" t="s">
        <v>98</v>
      </c>
      <c r="D11027" s="6" t="n">
        <f aca="false">Sens!D11007</f>
        <v>23.455</v>
      </c>
      <c r="E11027" s="6" t="n">
        <f aca="false">Sens!E11007</f>
        <v>21.79</v>
      </c>
      <c r="F11027" s="6" t="n">
        <f aca="false">Sens!F11007</f>
        <v>20.7520981041711</v>
      </c>
      <c r="G11027" s="6" t="n">
        <f aca="false">Sens!G11007</f>
        <v>19.9083593495882</v>
      </c>
      <c r="H11027" s="6" t="n">
        <f aca="false">Sens!H11007</f>
        <v>19.4008256265831</v>
      </c>
      <c r="I11027" s="6" t="n">
        <f aca="false">Sens!I11007</f>
        <v>19.200434522122</v>
      </c>
      <c r="J11027" s="6" t="n">
        <f aca="false">Sens!J11007</f>
        <v>19.2932782348507</v>
      </c>
      <c r="K11027" s="6" t="n">
        <f aca="false">Sens!K11007</f>
        <v>19.6791437995477</v>
      </c>
    </row>
    <row r="11028" customFormat="false" ht="15" hidden="false" customHeight="false" outlineLevel="0" collapsed="false">
      <c r="A11028" s="0" t="s">
        <v>1043</v>
      </c>
      <c r="B11028" s="0" t="s">
        <v>98</v>
      </c>
      <c r="D11028" s="6" t="n">
        <f aca="false">Sens!D11009</f>
        <v>17.315</v>
      </c>
      <c r="E11028" s="6" t="n">
        <f aca="false">Sens!E11009</f>
        <v>17.087</v>
      </c>
      <c r="F11028" s="6" t="n">
        <f aca="false">Sens!F11009</f>
        <v>15.9912273250553</v>
      </c>
      <c r="G11028" s="6" t="n">
        <f aca="false">Sens!G11009</f>
        <v>15.9574562664827</v>
      </c>
      <c r="H11028" s="6" t="n">
        <f aca="false">Sens!H11009</f>
        <v>16.0119687434196</v>
      </c>
      <c r="I11028" s="6" t="n">
        <f aca="false">Sens!I11009</f>
        <v>16.1551810001948</v>
      </c>
      <c r="J11028" s="6" t="n">
        <f aca="false">Sens!J11009</f>
        <v>16.3889793892005</v>
      </c>
      <c r="K11028" s="6" t="n">
        <f aca="false">Sens!K11009</f>
        <v>16.7167589769845</v>
      </c>
    </row>
    <row r="11029" customFormat="false" ht="15" hidden="false" customHeight="false" outlineLevel="0" collapsed="false">
      <c r="A11029" s="0" t="s">
        <v>870</v>
      </c>
      <c r="B11029" s="0" t="s">
        <v>98</v>
      </c>
      <c r="D11029" s="6" t="n">
        <f aca="false">Sens!D11011</f>
        <v>62.941</v>
      </c>
      <c r="E11029" s="6" t="n">
        <f aca="false">Sens!E11011</f>
        <v>63.712</v>
      </c>
      <c r="F11029" s="6" t="n">
        <f aca="false">Sens!F11011</f>
        <v>64.3969799952511</v>
      </c>
      <c r="G11029" s="6" t="n">
        <f aca="false">Sens!G11011</f>
        <v>66.6564447444535</v>
      </c>
      <c r="H11029" s="6" t="n">
        <f aca="false">Sens!H11011</f>
        <v>69.5928091787458</v>
      </c>
      <c r="I11029" s="6" t="n">
        <f aca="false">Sens!I11011</f>
        <v>73.183286896174</v>
      </c>
      <c r="J11029" s="6" t="n">
        <f aca="false">Sens!J11011</f>
        <v>77.419777956419</v>
      </c>
      <c r="K11029" s="6" t="n">
        <f aca="false">Sens!K11011</f>
        <v>82.3071751421368</v>
      </c>
    </row>
    <row r="11030" customFormat="false" ht="15" hidden="false" customHeight="false" outlineLevel="0" collapsed="false">
      <c r="A11030" s="1" t="s">
        <v>1059</v>
      </c>
      <c r="B11030" s="0" t="s">
        <v>98</v>
      </c>
      <c r="D11030" s="6" t="n">
        <f aca="false">Sens!D11012</f>
        <v>281.724</v>
      </c>
      <c r="E11030" s="6" t="n">
        <f aca="false">Sens!E11012</f>
        <v>331.839</v>
      </c>
      <c r="F11030" s="6" t="n">
        <f aca="false">Sens!F11012</f>
        <v>403.171695889628</v>
      </c>
      <c r="G11030" s="6" t="n">
        <f aca="false">Sens!G11012</f>
        <v>492.16450328099</v>
      </c>
      <c r="H11030" s="6" t="n">
        <f aca="false">Sens!H11012</f>
        <v>588.173623165667</v>
      </c>
      <c r="I11030" s="6" t="n">
        <f aca="false">Sens!I11012</f>
        <v>670.251018203629</v>
      </c>
      <c r="J11030" s="6" t="n">
        <f aca="false">Sens!J11012</f>
        <v>736.765568440474</v>
      </c>
      <c r="K11030" s="6" t="n">
        <f aca="false">Sens!K11012</f>
        <v>790.265823139428</v>
      </c>
    </row>
    <row r="11031" customFormat="false" ht="15" hidden="false" customHeight="false" outlineLevel="0" collapsed="false">
      <c r="A11031" s="1" t="s">
        <v>1060</v>
      </c>
      <c r="B11031" s="0" t="s">
        <v>168</v>
      </c>
      <c r="E11031" s="7" t="n">
        <f aca="false">Sens!E11030/Sens!D11030-1</f>
        <v>0.177886867998467</v>
      </c>
      <c r="F11031" s="7" t="n">
        <f aca="false">Sens!F11030/Sens!E11030-1</f>
        <v>0.214961761244544</v>
      </c>
      <c r="G11031" s="7" t="n">
        <f aca="false">Sens!G11030/Sens!F11030-1</f>
        <v>0.220731783254261</v>
      </c>
      <c r="H11031" s="7" t="n">
        <f aca="false">Sens!H11030/Sens!G11030-1</f>
        <v>0.195075262934723</v>
      </c>
      <c r="I11031" s="7" t="n">
        <f aca="false">Sens!I11030/Sens!H11030-1</f>
        <v>0.13954620167461</v>
      </c>
      <c r="J11031" s="7" t="n">
        <f aca="false">Sens!J11030/Sens!I11030-1</f>
        <v>0.0992382680970987</v>
      </c>
      <c r="K11031" s="7" t="n">
        <f aca="false">Sens!K11030/Sens!J11030-1</f>
        <v>0.0726150311451159</v>
      </c>
    </row>
    <row r="11032" customFormat="false" ht="17.15" hidden="false" customHeight="false" outlineLevel="0" collapsed="false">
      <c r="A11032" s="26" t="s">
        <v>1061</v>
      </c>
      <c r="B11032" s="31" t="s">
        <v>98</v>
      </c>
      <c r="C11032" s="31"/>
      <c r="D11032" s="27" t="n">
        <f aca="false">(Sens!D11025+Sens!D11029-Sens!D11030)+(Sens!D11017+Sens!D11018-Sens!D11016)+(Sens!D11020+Sens!D11021-Sens!D11019)+(Sens!D11030-Q!L18)</f>
        <v>0</v>
      </c>
      <c r="E11032" s="27" t="n">
        <f aca="false">(Sens!E11025+Sens!E11029-Sens!E11030)+(Sens!E11017+Sens!E11018-Sens!E11016)+(Sens!E11020+Sens!E11021-Sens!E11019)+(Sens!E11030-Q!M18)</f>
        <v>0</v>
      </c>
      <c r="F11032" s="27" t="n">
        <f aca="false">(Sens!F11025+Sens!F11029-Sens!F11030)+(Sens!F11017+Sens!F11018-Sens!F11016)+(Sens!F11020+Sens!F11021-Sens!F11019)</f>
        <v>0</v>
      </c>
      <c r="G11032" s="27" t="n">
        <f aca="false">(Sens!G11025+Sens!G11029-Sens!G11030)+(Sens!G11017+Sens!G11018-Sens!G11016)+(Sens!G11020+Sens!G11021-Sens!G11019)</f>
        <v>0</v>
      </c>
      <c r="H11032" s="27" t="n">
        <f aca="false">(Sens!H11025+Sens!H11029-Sens!H11030)+(Sens!H11017+Sens!H11018-Sens!H11016)+(Sens!H11020+Sens!H11021-Sens!H11019)</f>
        <v>0</v>
      </c>
      <c r="I11032" s="27" t="n">
        <f aca="false">(Sens!I11025+Sens!I11029-Sens!I11030)+(Sens!I11017+Sens!I11018-Sens!I11016)+(Sens!I11020+Sens!I11021-Sens!I11019)</f>
        <v>0</v>
      </c>
      <c r="J11032" s="27" t="n">
        <f aca="false">(Sens!J11025+Sens!J11029-Sens!J11030)+(Sens!J11017+Sens!J11018-Sens!J11016)+(Sens!J11020+Sens!J11021-Sens!J11019)</f>
        <v>0</v>
      </c>
      <c r="K11032" s="27" t="n">
        <f aca="false">(Sens!K11025+Sens!K11029-Sens!K11030)+(Sens!K11017+Sens!K11018-Sens!K11016)+(Sens!K11020+Sens!K11021-Sens!K11019)</f>
        <v>0</v>
      </c>
    </row>
    <row r="11033" customFormat="false" ht="17.15" hidden="false" customHeight="false" outlineLevel="0" collapsed="false">
      <c r="A11033" s="0" t="s">
        <v>1062</v>
      </c>
      <c r="B11033" s="0" t="s">
        <v>168</v>
      </c>
      <c r="E11033" s="7" t="n">
        <f aca="false">(Q!M21+Sens!E10969+Sens!E10970+Sens!E10971+Sens!E10985-Sens!E10967)/(Q!M5-Sens!E10967)</f>
        <v>0.570957350878296</v>
      </c>
      <c r="F11033" s="7" t="n">
        <f aca="false">Sens!$E$11033+dm_seg</f>
        <v>0.570957350878296</v>
      </c>
      <c r="G11033" s="7" t="n">
        <f aca="false">Sens!$E$11033+dm_seg</f>
        <v>0.570957350878296</v>
      </c>
      <c r="H11033" s="7" t="n">
        <f aca="false">Sens!$E$11033+dm_seg</f>
        <v>0.570957350878296</v>
      </c>
      <c r="I11033" s="7" t="n">
        <f aca="false">Sens!$E$11033+dm_seg</f>
        <v>0.570957350878296</v>
      </c>
      <c r="J11033" s="7" t="n">
        <f aca="false">Sens!$E$11033+dm_seg</f>
        <v>0.570957350878296</v>
      </c>
      <c r="K11033" s="7" t="n">
        <f aca="false">Sens!$E$11033+dm_seg</f>
        <v>0.570957350878296</v>
      </c>
      <c r="L11033" s="12" t="s">
        <v>1063</v>
      </c>
    </row>
    <row r="11034" customFormat="false" ht="17.15" hidden="false" customHeight="false" outlineLevel="0" collapsed="false">
      <c r="A11034" s="0" t="s">
        <v>884</v>
      </c>
      <c r="B11034" s="0" t="s">
        <v>98</v>
      </c>
      <c r="D11034" s="6" t="n">
        <f aca="false">Q!L21</f>
        <v>110.814</v>
      </c>
      <c r="E11034" s="6" t="n">
        <f aca="false">Q!M21</f>
        <v>136.365</v>
      </c>
      <c r="F11034" s="6" t="n">
        <f aca="false">Q!$I$21+(Sens!F11033*(Sens!F11004-Sens!F10967)+Sens!F10967-(Sens!F10969+Sens!F10970+Sens!F10971)-Sens!F10985-Sens!F11068)*(Sens!F11004-Q!$I$5)/Sens!F11004</f>
        <v>165.519524699803</v>
      </c>
      <c r="G11034" s="6" t="n">
        <f aca="false">(Sens!G11033*(Sens!G11004-Sens!G10967)+Sens!G10967-(Sens!G10969+Sens!G10970+Sens!G10971)-Sens!G10985-Sens!G11068)</f>
        <v>191.522773950735</v>
      </c>
      <c r="H11034" s="6" t="n">
        <f aca="false">(Sens!H11033*(Sens!H11004-Sens!H10967)+Sens!H10967-(Sens!H10969+Sens!H10970+Sens!H10971)-Sens!H10985-Sens!H11068)</f>
        <v>225.777095729889</v>
      </c>
      <c r="I11034" s="6" t="n">
        <f aca="false">(Sens!I11033*(Sens!I11004-Sens!I10967)+Sens!I10967-(Sens!I10969+Sens!I10970+Sens!I10971)-Sens!I10985-Sens!I11068)</f>
        <v>251.64229421362</v>
      </c>
      <c r="J11034" s="6" t="n">
        <f aca="false">(Sens!J11033*(Sens!J11004-Sens!J10967)+Sens!J10967-(Sens!J10969+Sens!J10970+Sens!J10971)-Sens!J10985-Sens!J11068)</f>
        <v>273.89424105194</v>
      </c>
      <c r="K11034" s="6" t="n">
        <f aca="false">(Sens!K11033*(Sens!K11004-Sens!K10967)+Sens!K10967-(Sens!K10969+Sens!K10970+Sens!K10971)-Sens!K10985-Sens!K11068)</f>
        <v>293.874491816108</v>
      </c>
      <c r="L11034" s="1" t="s">
        <v>1064</v>
      </c>
    </row>
    <row r="11035" customFormat="false" ht="17.15" hidden="false" customHeight="false" outlineLevel="0" collapsed="false">
      <c r="A11035" s="0" t="s">
        <v>1065</v>
      </c>
      <c r="B11035" s="0" t="s">
        <v>168</v>
      </c>
      <c r="E11035" s="7" t="n">
        <f aca="false">Q!M22/Q!M12</f>
        <v>0.296207935710698</v>
      </c>
      <c r="F11035" s="7" t="n">
        <f aca="false">Sens!$E$11035+dm_seg</f>
        <v>0.296207935710698</v>
      </c>
      <c r="G11035" s="7" t="n">
        <f aca="false">Sens!$E$11035+dm_seg</f>
        <v>0.296207935710698</v>
      </c>
      <c r="H11035" s="7" t="n">
        <f aca="false">Sens!$E$11035+dm_seg</f>
        <v>0.296207935710698</v>
      </c>
      <c r="I11035" s="7" t="n">
        <f aca="false">Sens!$E$11035+dm_seg</f>
        <v>0.296207935710698</v>
      </c>
      <c r="J11035" s="7" t="n">
        <f aca="false">Sens!$E$11035+dm_seg</f>
        <v>0.296207935710698</v>
      </c>
      <c r="K11035" s="7" t="n">
        <f aca="false">Sens!$E$11035+dm_seg</f>
        <v>0.296207935710698</v>
      </c>
      <c r="L11035" s="12" t="s">
        <v>1066</v>
      </c>
    </row>
    <row r="11036" customFormat="false" ht="17.15" hidden="false" customHeight="false" outlineLevel="0" collapsed="false">
      <c r="A11036" s="0" t="s">
        <v>886</v>
      </c>
      <c r="B11036" s="0" t="s">
        <v>98</v>
      </c>
      <c r="D11036" s="6" t="n">
        <f aca="false">Q!L22</f>
        <v>17.714</v>
      </c>
      <c r="E11036" s="6" t="n">
        <f aca="false">Q!M22</f>
        <v>18.872</v>
      </c>
      <c r="F11036" s="6" t="n">
        <f aca="false">Q!$I$22+(Sens!F11011-Q!$I$12)*Sens!F11035</f>
        <v>19.845412833852</v>
      </c>
      <c r="G11036" s="6" t="n">
        <f aca="false">Sens!G11011*Sens!G11035</f>
        <v>19.7441678995688</v>
      </c>
      <c r="H11036" s="6" t="n">
        <f aca="false">Sens!H11011*Sens!H11035</f>
        <v>20.6139423471448</v>
      </c>
      <c r="I11036" s="6" t="n">
        <f aca="false">Sens!I11011*Sens!I11035</f>
        <v>21.6774703400395</v>
      </c>
      <c r="J11036" s="6" t="n">
        <f aca="false">Sens!J11011*Sens!J11035</f>
        <v>22.9323526116515</v>
      </c>
      <c r="K11036" s="6" t="n">
        <f aca="false">Sens!K11011*Sens!K11035</f>
        <v>24.3800384430312</v>
      </c>
      <c r="L11036" s="12" t="s">
        <v>1067</v>
      </c>
    </row>
    <row r="11037" customFormat="false" ht="15" hidden="false" customHeight="false" outlineLevel="0" collapsed="false">
      <c r="A11037" s="1" t="s">
        <v>1068</v>
      </c>
      <c r="B11037" s="0" t="s">
        <v>98</v>
      </c>
      <c r="D11037" s="6" t="n">
        <f aca="false">Sens!D11034+Sens!D11036</f>
        <v>128.528</v>
      </c>
      <c r="E11037" s="6" t="n">
        <f aca="false">Sens!E11034+Sens!E11036</f>
        <v>155.237</v>
      </c>
      <c r="F11037" s="6" t="n">
        <f aca="false">Sens!F11034+Sens!F11036</f>
        <v>185.364937533655</v>
      </c>
      <c r="G11037" s="6" t="n">
        <f aca="false">Sens!G11034+Sens!G11036</f>
        <v>211.266941850304</v>
      </c>
      <c r="H11037" s="6" t="n">
        <f aca="false">Sens!H11034+Sens!H11036</f>
        <v>246.391038077034</v>
      </c>
      <c r="I11037" s="6" t="n">
        <f aca="false">Sens!I11034+Sens!I11036</f>
        <v>273.319764553659</v>
      </c>
      <c r="J11037" s="6" t="n">
        <f aca="false">Sens!J11034+Sens!J11036</f>
        <v>296.826593663591</v>
      </c>
      <c r="K11037" s="6" t="n">
        <f aca="false">Sens!K11034+Sens!K11036</f>
        <v>318.254530259139</v>
      </c>
    </row>
    <row r="11038" customFormat="false" ht="15" hidden="false" customHeight="false" outlineLevel="0" collapsed="false">
      <c r="A11038" s="26" t="s">
        <v>1069</v>
      </c>
      <c r="B11038" s="31" t="s">
        <v>98</v>
      </c>
      <c r="C11038" s="31"/>
      <c r="D11038" s="27" t="n">
        <f aca="false">Sens!D11037-Q!L23</f>
        <v>0</v>
      </c>
      <c r="E11038" s="27" t="n">
        <f aca="false">Sens!E11037-Q!M23</f>
        <v>0</v>
      </c>
      <c r="F11038" s="31"/>
      <c r="G11038" s="31"/>
      <c r="H11038" s="31"/>
      <c r="I11038" s="31"/>
      <c r="J11038" s="31"/>
      <c r="K11038" s="31"/>
    </row>
    <row r="11039" customFormat="false" ht="15" hidden="false" customHeight="false" outlineLevel="0" collapsed="false">
      <c r="A11039" s="1" t="s">
        <v>1070</v>
      </c>
      <c r="B11039" s="0" t="s">
        <v>168</v>
      </c>
      <c r="D11039" s="7" t="n">
        <f aca="false">Sens!D11037/Sens!D11030</f>
        <v>0.456219562408598</v>
      </c>
      <c r="E11039" s="7" t="n">
        <f aca="false">Sens!E11037/Sens!E11030</f>
        <v>0.467808184089272</v>
      </c>
      <c r="F11039" s="7" t="n">
        <f aca="false">Sens!F11037/Sens!F11030</f>
        <v>0.459766743110857</v>
      </c>
      <c r="G11039" s="7" t="n">
        <f aca="false">Sens!G11037/Sens!G11030</f>
        <v>0.429260827308559</v>
      </c>
      <c r="H11039" s="7" t="n">
        <f aca="false">Sens!H11037/Sens!H11030</f>
        <v>0.418908683376362</v>
      </c>
      <c r="I11039" s="7" t="n">
        <f aca="false">Sens!I11037/Sens!I11030</f>
        <v>0.407787167986997</v>
      </c>
      <c r="J11039" s="7" t="n">
        <f aca="false">Sens!J11037/Sens!J11030</f>
        <v>0.402877938897023</v>
      </c>
      <c r="K11039" s="7" t="n">
        <f aca="false">Sens!K11037/Sens!K11030</f>
        <v>0.402718327100157</v>
      </c>
    </row>
    <row r="11040" customFormat="false" ht="17.15" hidden="false" customHeight="false" outlineLevel="0" collapsed="false">
      <c r="A11040" s="1" t="s">
        <v>1071</v>
      </c>
      <c r="B11040" s="0" t="s">
        <v>98</v>
      </c>
      <c r="F11040" s="6" t="n">
        <f aca="false">Sens!F11055</f>
        <v>8.88340674531245</v>
      </c>
      <c r="G11040" s="6" t="n">
        <f aca="false">Sens!G11055</f>
        <v>22.7060305170273</v>
      </c>
      <c r="H11040" s="6" t="n">
        <f aca="false">Sens!H11055</f>
        <v>38.0018452382075</v>
      </c>
      <c r="I11040" s="6" t="n">
        <f aca="false">Sens!I11055</f>
        <v>52.1381094705177</v>
      </c>
      <c r="J11040" s="6" t="n">
        <f aca="false">Sens!J11055</f>
        <v>62.0595818934393</v>
      </c>
      <c r="K11040" s="6" t="n">
        <f aca="false">Sens!K11055</f>
        <v>67.0801312706266</v>
      </c>
      <c r="L11040" s="1" t="s">
        <v>1072</v>
      </c>
    </row>
    <row r="11041" customFormat="false" ht="17.15" hidden="false" customHeight="false" outlineLevel="0" collapsed="false">
      <c r="A11041" s="1" t="s">
        <v>1073</v>
      </c>
      <c r="B11041" s="0" t="s">
        <v>98</v>
      </c>
      <c r="D11041" s="6" t="n">
        <f aca="false">Sens!D11037</f>
        <v>128.528</v>
      </c>
      <c r="E11041" s="6" t="n">
        <f aca="false">Sens!E11037</f>
        <v>155.237</v>
      </c>
      <c r="F11041" s="6" t="n">
        <f aca="false">Sens!F11037+Sens!F11040</f>
        <v>194.248344278968</v>
      </c>
      <c r="G11041" s="6" t="n">
        <f aca="false">Sens!G11037+Sens!G11040</f>
        <v>233.972972367331</v>
      </c>
      <c r="H11041" s="6" t="n">
        <f aca="false">Sens!H11037+Sens!H11040</f>
        <v>284.392883315241</v>
      </c>
      <c r="I11041" s="6" t="n">
        <f aca="false">Sens!I11037+Sens!I11040</f>
        <v>325.457874024177</v>
      </c>
      <c r="J11041" s="6" t="n">
        <f aca="false">Sens!J11037+Sens!J11040</f>
        <v>358.886175557031</v>
      </c>
      <c r="K11041" s="6" t="n">
        <f aca="false">Sens!K11037+Sens!K11040</f>
        <v>385.334661529766</v>
      </c>
    </row>
    <row r="11042" customFormat="false" ht="17.15" hidden="false" customHeight="false" outlineLevel="0" collapsed="false">
      <c r="A11042" s="1" t="s">
        <v>1074</v>
      </c>
      <c r="B11042" s="0" t="s">
        <v>98</v>
      </c>
      <c r="E11042" s="6" t="n">
        <f aca="false">Sens!E10985</f>
        <v>16.3054059770833</v>
      </c>
      <c r="F11042" s="6" t="n">
        <f aca="false">Sens!F10985</f>
        <v>34.5793144783516</v>
      </c>
      <c r="G11042" s="6" t="n">
        <f aca="false">Sens!G10985</f>
        <v>60.7344906522989</v>
      </c>
      <c r="H11042" s="6" t="n">
        <f aca="false">Sens!H10985</f>
        <v>89.1000906614457</v>
      </c>
      <c r="I11042" s="6" t="n">
        <f aca="false">Sens!I10985</f>
        <v>114.231009694548</v>
      </c>
      <c r="J11042" s="6" t="n">
        <f aca="false">Sens!J10985</f>
        <v>132.015673049596</v>
      </c>
      <c r="K11042" s="6" t="n">
        <f aca="false">Sens!K10985</f>
        <v>143.012669550934</v>
      </c>
    </row>
    <row r="11043" customFormat="false" ht="17.15" hidden="false" customHeight="false" outlineLevel="0" collapsed="false">
      <c r="A11043" s="1" t="s">
        <v>1075</v>
      </c>
      <c r="B11043" s="0" t="s">
        <v>98</v>
      </c>
      <c r="E11043" s="6" t="n">
        <f aca="false">Sens!E11067</f>
        <v>22.2285940229167</v>
      </c>
      <c r="F11043" s="6" t="n">
        <f aca="false">Sens!F11067</f>
        <v>23.580344216413</v>
      </c>
      <c r="G11043" s="6" t="n">
        <f aca="false">Sens!G11067</f>
        <v>25.3831877589923</v>
      </c>
      <c r="H11043" s="6" t="n">
        <f aca="false">Sens!H11067</f>
        <v>27.6062362289485</v>
      </c>
      <c r="I11043" s="6" t="n">
        <f aca="false">Sens!I11067</f>
        <v>30.1748448166115</v>
      </c>
      <c r="J11043" s="6" t="n">
        <f aca="false">Sens!J11067</f>
        <v>32.9989179426604</v>
      </c>
      <c r="K11043" s="6" t="n">
        <f aca="false">Sens!K11067</f>
        <v>35.9961902192455</v>
      </c>
    </row>
    <row r="11044" customFormat="false" ht="17.15" hidden="false" customHeight="false" outlineLevel="0" collapsed="false">
      <c r="A11044" s="1" t="s">
        <v>1076</v>
      </c>
      <c r="B11044" s="0" t="s">
        <v>98</v>
      </c>
      <c r="D11044" s="6" t="n">
        <f aca="false">Q!L27</f>
        <v>-4.901</v>
      </c>
      <c r="E11044" s="6" t="n">
        <f aca="false">Q!M27</f>
        <v>10.697</v>
      </c>
      <c r="F11044" s="6" t="n">
        <f aca="false">Q!$I$27+oie_f*(q_per_yr-1)/q_per_yr</f>
        <v>-0.862</v>
      </c>
      <c r="G11044" s="6" t="n">
        <f aca="false">oie_f</f>
        <v>-1.2</v>
      </c>
      <c r="H11044" s="6" t="n">
        <f aca="false">oie_f</f>
        <v>-1.2</v>
      </c>
      <c r="I11044" s="6" t="n">
        <f aca="false">oie_f</f>
        <v>-1.2</v>
      </c>
      <c r="J11044" s="6" t="n">
        <f aca="false">oie_f</f>
        <v>-1.2</v>
      </c>
      <c r="K11044" s="6" t="n">
        <f aca="false">oie_f</f>
        <v>-1.2</v>
      </c>
      <c r="L11044" s="12" t="s">
        <v>1077</v>
      </c>
    </row>
    <row r="11045" customFormat="false" ht="15" hidden="false" customHeight="false" outlineLevel="0" collapsed="false">
      <c r="A11045" s="1" t="s">
        <v>1078</v>
      </c>
      <c r="B11045" s="0" t="s">
        <v>98</v>
      </c>
      <c r="D11045" s="6" t="n">
        <f aca="false">Sens!D11037+Sens!D11044</f>
        <v>123.627</v>
      </c>
      <c r="E11045" s="6" t="n">
        <f aca="false">Sens!E11037+Sens!E11044</f>
        <v>165.934</v>
      </c>
      <c r="F11045" s="6" t="n">
        <f aca="false">Sens!F11037+Sens!F11044</f>
        <v>184.502937533655</v>
      </c>
      <c r="G11045" s="6" t="n">
        <f aca="false">Sens!G11037+Sens!G11044</f>
        <v>210.066941850304</v>
      </c>
      <c r="H11045" s="6" t="n">
        <f aca="false">Sens!H11037+Sens!H11044</f>
        <v>245.191038077034</v>
      </c>
      <c r="I11045" s="6" t="n">
        <f aca="false">Sens!I11037+Sens!I11044</f>
        <v>272.119764553659</v>
      </c>
      <c r="J11045" s="6" t="n">
        <f aca="false">Sens!J11037+Sens!J11044</f>
        <v>295.626593663591</v>
      </c>
      <c r="K11045" s="6" t="n">
        <f aca="false">Sens!K11037+Sens!K11044</f>
        <v>317.054530259139</v>
      </c>
    </row>
    <row r="11046" customFormat="false" ht="15" hidden="false" customHeight="false" outlineLevel="0" collapsed="false">
      <c r="A11046" s="1" t="s">
        <v>1079</v>
      </c>
      <c r="B11046" s="0" t="s">
        <v>98</v>
      </c>
      <c r="D11046" s="6" t="n">
        <f aca="false">Q!L29</f>
        <v>21.795</v>
      </c>
      <c r="E11046" s="6" t="n">
        <f aca="false">Q!M29</f>
        <v>32.185</v>
      </c>
      <c r="F11046" s="6" t="n">
        <f aca="false">Q!$I$29+(Sens!F11045-Q!$I$28)*tax_f</f>
        <v>37.033987506731</v>
      </c>
      <c r="G11046" s="6" t="n">
        <f aca="false">Sens!G11045*tax_f</f>
        <v>42.0133883700608</v>
      </c>
      <c r="H11046" s="6" t="n">
        <f aca="false">Sens!H11045*tax_f</f>
        <v>49.0382076154068</v>
      </c>
      <c r="I11046" s="6" t="n">
        <f aca="false">Sens!I11045*tax_f</f>
        <v>54.4239529107318</v>
      </c>
      <c r="J11046" s="6" t="n">
        <f aca="false">Sens!J11045*tax_f</f>
        <v>59.1253187327183</v>
      </c>
      <c r="K11046" s="6" t="n">
        <f aca="false">Sens!K11045*tax_f</f>
        <v>63.4109060518279</v>
      </c>
    </row>
    <row r="11047" customFormat="false" ht="15" hidden="false" customHeight="false" outlineLevel="0" collapsed="false">
      <c r="A11047" s="1" t="s">
        <v>1080</v>
      </c>
      <c r="B11047" s="0" t="s">
        <v>98</v>
      </c>
      <c r="D11047" s="6" t="n">
        <f aca="false">Sens!D11045-Sens!D11046</f>
        <v>101.832</v>
      </c>
      <c r="E11047" s="6" t="n">
        <f aca="false">Sens!E11045-Sens!E11046</f>
        <v>133.749</v>
      </c>
      <c r="F11047" s="6" t="n">
        <f aca="false">Sens!F11045-Sens!F11046</f>
        <v>147.468950026924</v>
      </c>
      <c r="G11047" s="6" t="n">
        <f aca="false">Sens!G11045-Sens!G11046</f>
        <v>168.053553480243</v>
      </c>
      <c r="H11047" s="6" t="n">
        <f aca="false">Sens!H11045-Sens!H11046</f>
        <v>196.152830461627</v>
      </c>
      <c r="I11047" s="6" t="n">
        <f aca="false">Sens!I11045-Sens!I11046</f>
        <v>217.695811642927</v>
      </c>
      <c r="J11047" s="6" t="n">
        <f aca="false">Sens!J11045-Sens!J11046</f>
        <v>236.501274930873</v>
      </c>
      <c r="K11047" s="6" t="n">
        <f aca="false">Sens!K11045-Sens!K11046</f>
        <v>253.643624207311</v>
      </c>
    </row>
    <row r="11048" customFormat="false" ht="17.15" hidden="false" customHeight="false" outlineLevel="0" collapsed="false">
      <c r="A11048" s="1" t="s">
        <v>1081</v>
      </c>
      <c r="B11048" s="1" t="s">
        <v>81</v>
      </c>
      <c r="D11048" s="15" t="n">
        <f aca="false">Q!L31</f>
        <v>7.465</v>
      </c>
      <c r="E11048" s="15" t="n">
        <f aca="false">Q!M31</f>
        <v>7.453</v>
      </c>
      <c r="F11048" s="15" t="n">
        <f aca="false">Sens!F11092</f>
        <v>7.47060878236488</v>
      </c>
      <c r="G11048" s="15" t="n">
        <f aca="false">Sens!G11092</f>
        <v>7.50979052829288</v>
      </c>
      <c r="H11048" s="15" t="n">
        <f aca="false">Sens!H11092</f>
        <v>7.53456343088479</v>
      </c>
      <c r="I11048" s="15" t="n">
        <f aca="false">Sens!I11092</f>
        <v>7.54624479494026</v>
      </c>
      <c r="J11048" s="15" t="n">
        <f aca="false">Sens!J11092</f>
        <v>7.56039420610273</v>
      </c>
      <c r="K11048" s="15" t="n">
        <f aca="false">Sens!K11092</f>
        <v>7.57682884606798</v>
      </c>
    </row>
    <row r="11049" customFormat="false" ht="17.15" hidden="false" customHeight="false" outlineLevel="0" collapsed="false">
      <c r="A11049" s="0" t="s">
        <v>1082</v>
      </c>
      <c r="B11049" s="0" t="s">
        <v>75</v>
      </c>
      <c r="D11049" s="8" t="n">
        <f aca="false">Sens!D11047/Sens!D11048</f>
        <v>13.641259209645</v>
      </c>
      <c r="E11049" s="8" t="n">
        <f aca="false">Sens!E11047/Sens!E11048</f>
        <v>17.9456594659869</v>
      </c>
      <c r="F11049" s="8" t="n">
        <f aca="false">Sens!F11047/Sens!F11048</f>
        <v>19.7398839000965</v>
      </c>
      <c r="G11049" s="8" t="n">
        <f aca="false">Sens!G11047/Sens!G11048</f>
        <v>22.3779282321001</v>
      </c>
      <c r="H11049" s="8" t="n">
        <f aca="false">Sens!H11047/Sens!H11048</f>
        <v>26.033735366482</v>
      </c>
      <c r="I11049" s="8" t="n">
        <f aca="false">Sens!I11047/Sens!I11048</f>
        <v>28.84823081659</v>
      </c>
      <c r="J11049" s="8" t="n">
        <f aca="false">Sens!J11047/Sens!J11048</f>
        <v>31.2816062871391</v>
      </c>
      <c r="K11049" s="8" t="n">
        <f aca="false">Sens!K11047/Sens!K11048</f>
        <v>33.4762246000767</v>
      </c>
      <c r="L11049" s="1" t="s">
        <v>1083</v>
      </c>
    </row>
    <row r="11050" customFormat="false" ht="17.15" hidden="false" customHeight="false" outlineLevel="0" collapsed="false">
      <c r="A11050" s="1" t="s">
        <v>1084</v>
      </c>
      <c r="B11050" s="0" t="s">
        <v>98</v>
      </c>
      <c r="D11050" s="6" t="n">
        <f aca="false">Sens!D11047</f>
        <v>101.832</v>
      </c>
      <c r="E11050" s="6" t="n">
        <f aca="false">Sens!E11047</f>
        <v>133.749</v>
      </c>
      <c r="F11050" s="6" t="n">
        <f aca="false">Sens!F11047+Sens!F11040*(1-tax_f)</f>
        <v>154.575675423174</v>
      </c>
      <c r="G11050" s="6" t="n">
        <f aca="false">Sens!G11047+Sens!G11040*(1-tax_f)</f>
        <v>186.218377893865</v>
      </c>
      <c r="H11050" s="6" t="n">
        <f aca="false">Sens!H11047+Sens!H11040*(1-tax_f)</f>
        <v>226.554306652193</v>
      </c>
      <c r="I11050" s="6" t="n">
        <f aca="false">Sens!I11047+Sens!I11040*(1-tax_f)</f>
        <v>259.406299219341</v>
      </c>
      <c r="J11050" s="6" t="n">
        <f aca="false">Sens!J11047+Sens!J11040*(1-tax_f)</f>
        <v>286.148940445625</v>
      </c>
      <c r="K11050" s="6" t="n">
        <f aca="false">Sens!K11047+Sens!K11040*(1-tax_f)</f>
        <v>307.307729223813</v>
      </c>
    </row>
    <row r="11051" customFormat="false" ht="17.15" hidden="false" customHeight="false" outlineLevel="0" collapsed="false">
      <c r="A11051" s="0" t="s">
        <v>1085</v>
      </c>
      <c r="B11051" s="0" t="s">
        <v>75</v>
      </c>
      <c r="D11051" s="8" t="n">
        <f aca="false">Sens!D11050/Sens!D11048</f>
        <v>13.641259209645</v>
      </c>
      <c r="E11051" s="8" t="n">
        <f aca="false">Sens!E11050/Sens!E11048</f>
        <v>17.9456594659869</v>
      </c>
      <c r="F11051" s="8" t="n">
        <f aca="false">Sens!F11050/Sens!F11048</f>
        <v>20.6911752343484</v>
      </c>
      <c r="G11051" s="8" t="n">
        <f aca="false">Sens!G11050/Sens!G11048</f>
        <v>24.7967472850666</v>
      </c>
      <c r="H11051" s="8" t="n">
        <f aca="false">Sens!H11050/Sens!H11048</f>
        <v>30.0686706974326</v>
      </c>
      <c r="I11051" s="8" t="n">
        <f aca="false">Sens!I11050/Sens!I11048</f>
        <v>34.3755478742583</v>
      </c>
      <c r="J11051" s="8" t="n">
        <f aca="false">Sens!J11050/Sens!J11048</f>
        <v>37.8484153927643</v>
      </c>
      <c r="K11051" s="8" t="n">
        <f aca="false">Sens!K11050/Sens!K11048</f>
        <v>40.5588849196839</v>
      </c>
      <c r="L11051" s="1" t="s">
        <v>1086</v>
      </c>
    </row>
    <row r="11052" customFormat="false" ht="17.15" hidden="false" customHeight="false" outlineLevel="0" collapsed="false">
      <c r="A11052" s="0" t="s">
        <v>1087</v>
      </c>
      <c r="B11052" s="0" t="s">
        <v>168</v>
      </c>
      <c r="E11052" s="7" t="n">
        <f aca="false">Sens!E11051/Sens!D11051-1</f>
        <v>0.315542736208578</v>
      </c>
      <c r="F11052" s="7" t="n">
        <f aca="false">Sens!F11051/Sens!E11051-1</f>
        <v>0.152990519716773</v>
      </c>
      <c r="G11052" s="7" t="n">
        <f aca="false">Sens!G11051/Sens!F11051-1</f>
        <v>0.198421404498217</v>
      </c>
      <c r="H11052" s="7" t="n">
        <f aca="false">Sens!H11051/Sens!G11051-1</f>
        <v>0.212605441825066</v>
      </c>
      <c r="I11052" s="7" t="n">
        <f aca="false">Sens!I11051/Sens!H11051-1</f>
        <v>0.143234704991245</v>
      </c>
      <c r="J11052" s="7" t="n">
        <f aca="false">Sens!J11051/Sens!I11051-1</f>
        <v>0.10102726307692</v>
      </c>
      <c r="K11052" s="7" t="n">
        <f aca="false">Sens!K11051/Sens!J11051-1</f>
        <v>0.0716138178782986</v>
      </c>
    </row>
    <row r="11053" customFormat="false" ht="17.15" hidden="false" customHeight="false" outlineLevel="0" collapsed="false">
      <c r="A11053" s="0" t="s">
        <v>1007</v>
      </c>
      <c r="B11053" s="0" t="s">
        <v>98</v>
      </c>
      <c r="E11053" s="6" t="n">
        <f aca="false">Sens!E10994</f>
        <v>5.25</v>
      </c>
      <c r="F11053" s="6" t="n">
        <f aca="false">Sens!F10994</f>
        <v>13.5</v>
      </c>
      <c r="G11053" s="6" t="n">
        <f aca="false">Sens!G10994</f>
        <v>22.5</v>
      </c>
      <c r="H11053" s="6" t="n">
        <f aca="false">Sens!H10994</f>
        <v>31.5</v>
      </c>
      <c r="I11053" s="6" t="n">
        <f aca="false">Sens!I10994</f>
        <v>38.25</v>
      </c>
      <c r="J11053" s="6" t="n">
        <f aca="false">Sens!J10994</f>
        <v>42.75</v>
      </c>
      <c r="K11053" s="6" t="n">
        <f aca="false">Sens!K10994</f>
        <v>47.25</v>
      </c>
    </row>
    <row r="11054" customFormat="false" ht="17.15" hidden="false" customHeight="false" outlineLevel="0" collapsed="false">
      <c r="A11054" s="1" t="s">
        <v>1008</v>
      </c>
      <c r="B11054" s="0" t="s">
        <v>98</v>
      </c>
      <c r="F11054" s="6" t="n">
        <f aca="false">MAX(0,((Sens!E10954+Sens!F10954)/2-(shadow_base*(Sens!$D$10954+Sens!$E$10954)/2+(1-shadow_base)*Sens!$E$10954))*Sens!F10963/1000-(Sens!F11053-Sens!$E$11053)*Sens!F11033)</f>
        <v>8.88340674531245</v>
      </c>
      <c r="G11054" s="6" t="n">
        <f aca="false">MAX(0,((Sens!F10954+Sens!G10954)/2-(shadow_base*(Sens!$D$10954+Sens!$E$10954)/2+(1-shadow_base)*Sens!$E$10954))*Sens!G10963/1000-(Sens!G11053-Sens!$E$11053)*Sens!G11033)</f>
        <v>22.7060305170273</v>
      </c>
      <c r="H11054" s="6" t="n">
        <f aca="false">MAX(0,((Sens!G10954+Sens!H10954)/2-(shadow_base*(Sens!$D$10954+Sens!$E$10954)/2+(1-shadow_base)*Sens!$E$10954))*Sens!H10963/1000-(Sens!H11053-Sens!$E$11053)*Sens!H11033)</f>
        <v>38.0018452382075</v>
      </c>
      <c r="I11054" s="6" t="n">
        <f aca="false">MAX(0,((Sens!H10954+Sens!I10954)/2-(shadow_base*(Sens!$D$10954+Sens!$E$10954)/2+(1-shadow_base)*Sens!$E$10954))*Sens!I10963/1000-(Sens!I11053-Sens!$E$11053)*Sens!I11033)</f>
        <v>52.1381094705177</v>
      </c>
      <c r="J11054" s="6" t="n">
        <f aca="false">MAX(0,((Sens!I10954+Sens!J10954)/2-(shadow_base*(Sens!$D$10954+Sens!$E$10954)/2+(1-shadow_base)*Sens!$E$10954))*Sens!J10963/1000-(Sens!J11053-Sens!$E$11053)*Sens!J11033)</f>
        <v>62.0595818934393</v>
      </c>
      <c r="K11054" s="6" t="n">
        <f aca="false">MAX(0,((Sens!J10954+Sens!K10954)/2-(shadow_base*(Sens!$D$10954+Sens!$E$10954)/2+(1-shadow_base)*Sens!$E$10954))*Sens!K10963/1000-(Sens!K11053-Sens!$E$11053)*Sens!K11033)</f>
        <v>67.0801312706266</v>
      </c>
      <c r="L11054" s="1" t="s">
        <v>1009</v>
      </c>
    </row>
    <row r="11055" customFormat="false" ht="17.15" hidden="false" customHeight="false" outlineLevel="0" collapsed="false">
      <c r="A11055" s="1" t="s">
        <v>1010</v>
      </c>
      <c r="B11055" s="0" t="s">
        <v>98</v>
      </c>
      <c r="F11055" s="6" t="n">
        <f aca="false">IF(internal_ai_reading=2,1,0)*Sens!F11054</f>
        <v>8.88340674531245</v>
      </c>
      <c r="G11055" s="6" t="n">
        <f aca="false">IF(internal_ai_reading=2,1,0)*Sens!G11054</f>
        <v>22.7060305170273</v>
      </c>
      <c r="H11055" s="6" t="n">
        <f aca="false">IF(internal_ai_reading=2,1,0)*Sens!H11054</f>
        <v>38.0018452382075</v>
      </c>
      <c r="I11055" s="6" t="n">
        <f aca="false">IF(internal_ai_reading=2,1,0)*Sens!I11054</f>
        <v>52.1381094705177</v>
      </c>
      <c r="J11055" s="6" t="n">
        <f aca="false">IF(internal_ai_reading=2,1,0)*Sens!J11054</f>
        <v>62.0595818934393</v>
      </c>
      <c r="K11055" s="6" t="n">
        <f aca="false">IF(internal_ai_reading=2,1,0)*Sens!K11054</f>
        <v>67.0801312706266</v>
      </c>
    </row>
    <row r="11056" customFormat="false" ht="17.15" hidden="false" customHeight="false" outlineLevel="0" collapsed="false">
      <c r="A11056" s="0" t="s">
        <v>1011</v>
      </c>
      <c r="B11056" s="0" t="s">
        <v>98</v>
      </c>
      <c r="F11056" s="6" t="n">
        <f aca="false">Sens!F10973+Sens!F11053*Sens!F11033+Sens!F11055-Sens!F10974-Sens!F10985</f>
        <v>18.5068678152817</v>
      </c>
      <c r="G11056" s="6" t="n">
        <f aca="false">Sens!G10973+Sens!G11053*Sens!G11033+Sens!G11055-Sens!G10974-Sens!G10985</f>
        <v>43.1983864982792</v>
      </c>
      <c r="H11056" s="6" t="n">
        <f aca="false">Sens!H10973+Sens!H11053*Sens!H11033+Sens!H11055-Sens!H10974-Sens!H10985</f>
        <v>73.502598356074</v>
      </c>
      <c r="I11056" s="6" t="n">
        <f aca="false">Sens!I10973+Sens!I11053*Sens!I11033+Sens!I11055-Sens!I10974-Sens!I10985</f>
        <v>94.7454135378504</v>
      </c>
      <c r="J11056" s="6" t="n">
        <f aca="false">Sens!J10973+Sens!J11053*Sens!J11033+Sens!J11055-Sens!J10974-Sens!J10985</f>
        <v>109.399608126358</v>
      </c>
      <c r="K11056" s="6" t="n">
        <f aca="false">Sens!K10973+Sens!K11053*Sens!K11033+Sens!K11055-Sens!K10974-Sens!K10985</f>
        <v>118.898703181943</v>
      </c>
    </row>
    <row r="11057" customFormat="false" ht="17.15" hidden="false" customHeight="false" outlineLevel="0" collapsed="false">
      <c r="A11057" s="0" t="s">
        <v>1012</v>
      </c>
      <c r="B11057" s="0" t="s">
        <v>98</v>
      </c>
      <c r="E11057" s="6" t="n">
        <f aca="false">Sens!E10953*(cxit_open+self_build*tk_cxfac)/1000*ai_net_open</f>
        <v>126.6980382</v>
      </c>
      <c r="F11057" s="6" t="n">
        <f aca="false">Sens!E11057+Sens!F10982-Sens!F10985</f>
        <v>260.572627763768</v>
      </c>
      <c r="G11057" s="6" t="n">
        <f aca="false">Sens!F11057+Sens!G10982-Sens!G10985</f>
        <v>391.782612760517</v>
      </c>
      <c r="H11057" s="6" t="n">
        <f aca="false">Sens!G11057+Sens!H10982-Sens!H10985</f>
        <v>499.488526163584</v>
      </c>
      <c r="I11057" s="6" t="n">
        <f aca="false">Sens!H11057+Sens!I10982-Sens!I10985</f>
        <v>553.872350090646</v>
      </c>
      <c r="J11057" s="6" t="n">
        <f aca="false">Sens!I11057+Sens!J10982-Sens!J10985</f>
        <v>550.78660823699</v>
      </c>
      <c r="K11057" s="6" t="n">
        <f aca="false">Sens!J11057+Sens!K10982-Sens!K10985</f>
        <v>526.736791750789</v>
      </c>
      <c r="L11057" s="1" t="s">
        <v>1013</v>
      </c>
    </row>
    <row r="11058" customFormat="false" ht="17.15" hidden="false" customHeight="false" outlineLevel="0" collapsed="false">
      <c r="A11058" s="0" t="s">
        <v>1014</v>
      </c>
      <c r="B11058" s="0" t="s">
        <v>168</v>
      </c>
      <c r="F11058" s="7" t="n">
        <f aca="false">Sens!F11056*(1-tax_f)/((Sens!E11057+Sens!F11057)/2)</f>
        <v>0.0764607059271074</v>
      </c>
      <c r="G11058" s="7" t="n">
        <f aca="false">Sens!G11056*(1-tax_f)/((Sens!F11057+Sens!G11057)/2)</f>
        <v>0.105950583522098</v>
      </c>
      <c r="H11058" s="7" t="n">
        <f aca="false">Sens!H11056*(1-tax_f)/((Sens!G11057+Sens!H11057)/2)</f>
        <v>0.131951044114011</v>
      </c>
      <c r="I11058" s="7" t="n">
        <f aca="false">Sens!I11056*(1-tax_f)/((Sens!H11057+Sens!I11057)/2)</f>
        <v>0.143913320760143</v>
      </c>
      <c r="J11058" s="7" t="n">
        <f aca="false">Sens!J11056*(1-tax_f)/((Sens!I11057+Sens!J11057)/2)</f>
        <v>0.158455577336889</v>
      </c>
      <c r="K11058" s="7" t="n">
        <f aca="false">Sens!K11056*(1-tax_f)/((Sens!J11057+Sens!K11057)/2)</f>
        <v>0.176551084731214</v>
      </c>
    </row>
    <row r="11059" customFormat="false" ht="17.15" hidden="false" customHeight="false" outlineLevel="0" collapsed="false">
      <c r="A11059" s="1" t="s">
        <v>1015</v>
      </c>
      <c r="B11059" s="0" t="s">
        <v>168</v>
      </c>
      <c r="F11059" s="7" t="n">
        <f aca="false">(Sens!F11056-Sens!F11055)*(1-tax_f)/((Sens!E11057+Sens!F11057)/2)</f>
        <v>0.0397591118181705</v>
      </c>
      <c r="G11059" s="7" t="n">
        <f aca="false">(Sens!G11056-Sens!G11055)*(1-tax_f)/((Sens!F11057+Sens!G11057)/2)</f>
        <v>0.0502606057761598</v>
      </c>
      <c r="H11059" s="7" t="n">
        <f aca="false">(Sens!H11056-Sens!H11055)*(1-tax_f)/((Sens!G11057+Sens!H11057)/2)</f>
        <v>0.0637305557287023</v>
      </c>
      <c r="I11059" s="7" t="n">
        <f aca="false">(Sens!I11056-Sens!I11055)*(1-tax_f)/((Sens!H11057+Sens!I11057)/2)</f>
        <v>0.0647182632699936</v>
      </c>
      <c r="J11059" s="7" t="n">
        <f aca="false">(Sens!J11056-Sens!J11055)*(1-tax_f)/((Sens!I11057+Sens!J11057)/2)</f>
        <v>0.0685678067440289</v>
      </c>
      <c r="K11059" s="7" t="n">
        <f aca="false">(Sens!K11056-Sens!K11055)*(1-tax_f)/((Sens!J11057+Sens!K11057)/2)</f>
        <v>0.0769447002812616</v>
      </c>
    </row>
    <row r="11060" customFormat="false" ht="17.15" hidden="false" customHeight="false" outlineLevel="0" collapsed="false">
      <c r="A11060" s="1" t="s">
        <v>1016</v>
      </c>
      <c r="B11060" s="0" t="s">
        <v>168</v>
      </c>
      <c r="F11060" s="7" t="n">
        <f aca="false">(Sens!F11056-Sens!F11055+Sens!F11054)*(1-tax_f)/((Sens!E11057+Sens!F11057)/2)</f>
        <v>0.0764607059271074</v>
      </c>
      <c r="G11060" s="7" t="n">
        <f aca="false">(Sens!G11056-Sens!G11055+Sens!G11054)*(1-tax_f)/((Sens!F11057+Sens!G11057)/2)</f>
        <v>0.105950583522098</v>
      </c>
      <c r="H11060" s="7" t="n">
        <f aca="false">(Sens!H11056-Sens!H11055+Sens!H11054)*(1-tax_f)/((Sens!G11057+Sens!H11057)/2)</f>
        <v>0.131951044114011</v>
      </c>
      <c r="I11060" s="7" t="n">
        <f aca="false">(Sens!I11056-Sens!I11055+Sens!I11054)*(1-tax_f)/((Sens!H11057+Sens!I11057)/2)</f>
        <v>0.143913320760143</v>
      </c>
      <c r="J11060" s="7" t="n">
        <f aca="false">(Sens!J11056-Sens!J11055+Sens!J11054)*(1-tax_f)/((Sens!I11057+Sens!J11057)/2)</f>
        <v>0.158455577336889</v>
      </c>
      <c r="K11060" s="7" t="n">
        <f aca="false">(Sens!K11056-Sens!K11055+Sens!K11054)*(1-tax_f)/((Sens!J11057+Sens!K11057)/2)</f>
        <v>0.176551084731214</v>
      </c>
    </row>
    <row r="11061" customFormat="false" ht="17.15" hidden="false" customHeight="false" outlineLevel="0" collapsed="false">
      <c r="A11061" s="1" t="s">
        <v>1017</v>
      </c>
      <c r="B11061" s="0" t="s">
        <v>168</v>
      </c>
      <c r="F11061" s="7" t="n">
        <f aca="false">Sens!F10986*(1-tax_f)/(Sens!F10972*(Sens!E11057+Sens!F11057)/2)</f>
        <v>0.15471433083293</v>
      </c>
      <c r="G11061" s="7" t="n">
        <f aca="false">Sens!G10986*(1-tax_f)/(Sens!G10972*(Sens!F11057+Sens!G11057)/2)</f>
        <v>0.176916911437355</v>
      </c>
      <c r="H11061" s="7" t="n">
        <f aca="false">Sens!H10986*(1-tax_f)/(Sens!H10972*(Sens!G11057+Sens!H11057)/2)</f>
        <v>0.207487057996582</v>
      </c>
      <c r="I11061" s="7" t="n">
        <f aca="false">Sens!I10986*(1-tax_f)/(Sens!I10972*(Sens!H11057+Sens!I11057)/2)</f>
        <v>0.219873660070946</v>
      </c>
      <c r="J11061" s="7" t="n">
        <f aca="false">Sens!J10986*(1-tax_f)/(Sens!J10972*(Sens!I11057+Sens!J11057)/2)</f>
        <v>0.238959457974928</v>
      </c>
      <c r="K11061" s="7" t="n">
        <f aca="false">Sens!K10986*(1-tax_f)/(Sens!K10972*(Sens!J11057+Sens!K11057)/2)</f>
        <v>0.264604270651536</v>
      </c>
    </row>
    <row r="11062" customFormat="false" ht="17.15" hidden="false" customHeight="false" outlineLevel="0" collapsed="false">
      <c r="A11062" s="0" t="s">
        <v>1018</v>
      </c>
      <c r="B11062" s="0" t="s">
        <v>253</v>
      </c>
      <c r="F11062" s="7" t="n">
        <f aca="false">Sens!F11058-wacc</f>
        <v>-0.0264758850184899</v>
      </c>
      <c r="G11062" s="7" t="n">
        <f aca="false">Sens!G11058-wacc</f>
        <v>0.00301399257650095</v>
      </c>
      <c r="H11062" s="7" t="n">
        <f aca="false">Sens!H11058-wacc</f>
        <v>0.0290144531684132</v>
      </c>
      <c r="I11062" s="7" t="n">
        <f aca="false">Sens!I11058-wacc</f>
        <v>0.0409767298145461</v>
      </c>
      <c r="J11062" s="7" t="n">
        <f aca="false">Sens!J11058-wacc</f>
        <v>0.0555189863912922</v>
      </c>
      <c r="K11062" s="7" t="n">
        <f aca="false">Sens!K11058-wacc</f>
        <v>0.0736144937856168</v>
      </c>
    </row>
    <row r="11063" customFormat="false" ht="17.15" hidden="false" customHeight="false" outlineLevel="0" collapsed="false">
      <c r="A11063" s="0" t="s">
        <v>1019</v>
      </c>
      <c r="B11063" s="0" t="s">
        <v>98</v>
      </c>
      <c r="F11063" s="6" t="n">
        <f aca="false">Sens!F11056*(1-tax_f)-wacc*(Sens!E11057+Sens!F11057)/2</f>
        <v>-5.12666681154535</v>
      </c>
      <c r="G11063" s="6" t="n">
        <f aca="false">Sens!G11056*(1-tax_f)-wacc*(Sens!F11057+Sens!G11057)/2</f>
        <v>0.983096926090845</v>
      </c>
      <c r="H11063" s="6" t="n">
        <f aca="false">Sens!H11056*(1-tax_f)-wacc*(Sens!G11057+Sens!H11057)/2</f>
        <v>12.9298723603358</v>
      </c>
      <c r="I11063" s="6" t="n">
        <f aca="false">Sens!I11056*(1-tax_f)-wacc*(Sens!H11057+Sens!I11057)/2</f>
        <v>21.5816420117415</v>
      </c>
      <c r="J11063" s="6" t="n">
        <f aca="false">Sens!J11056*(1-tax_f)-wacc*(Sens!I11057+Sens!J11057)/2</f>
        <v>30.6647728372055</v>
      </c>
      <c r="K11063" s="6" t="n">
        <f aca="false">Sens!K11056*(1-tax_f)-wacc*(Sens!J11057+Sens!K11057)/2</f>
        <v>39.6606698161285</v>
      </c>
    </row>
    <row r="11064" customFormat="false" ht="17.15" hidden="false" customHeight="false" outlineLevel="0" collapsed="false">
      <c r="A11064" s="3" t="s">
        <v>1888</v>
      </c>
    </row>
    <row r="11065" customFormat="false" ht="15" hidden="false" customHeight="false" outlineLevel="0" collapsed="false">
      <c r="A11065" s="4" t="s">
        <v>43</v>
      </c>
      <c r="B11065" s="4" t="s">
        <v>65</v>
      </c>
      <c r="C11065" s="23" t="s">
        <v>942</v>
      </c>
      <c r="D11065" s="23" t="s">
        <v>943</v>
      </c>
      <c r="E11065" s="23" t="s">
        <v>944</v>
      </c>
      <c r="F11065" s="23" t="s">
        <v>945</v>
      </c>
      <c r="G11065" s="23" t="s">
        <v>946</v>
      </c>
      <c r="H11065" s="23" t="s">
        <v>947</v>
      </c>
      <c r="I11065" s="23" t="s">
        <v>948</v>
      </c>
      <c r="J11065" s="23" t="s">
        <v>949</v>
      </c>
      <c r="K11065" s="23" t="s">
        <v>950</v>
      </c>
      <c r="L11065" s="4" t="s">
        <v>47</v>
      </c>
    </row>
    <row r="11066" customFormat="false" ht="15" hidden="false" customHeight="false" outlineLevel="0" collapsed="false">
      <c r="A11066" s="1" t="s">
        <v>1080</v>
      </c>
      <c r="B11066" s="0" t="s">
        <v>98</v>
      </c>
      <c r="F11066" s="6" t="n">
        <f aca="false">Sens!F11047</f>
        <v>147.468950026924</v>
      </c>
      <c r="G11066" s="6" t="n">
        <f aca="false">Sens!G11047</f>
        <v>168.053553480243</v>
      </c>
      <c r="H11066" s="6" t="n">
        <f aca="false">Sens!H11047</f>
        <v>196.152830461627</v>
      </c>
      <c r="I11066" s="6" t="n">
        <f aca="false">Sens!I11047</f>
        <v>217.695811642927</v>
      </c>
      <c r="J11066" s="6" t="n">
        <f aca="false">Sens!J11047</f>
        <v>236.501274930873</v>
      </c>
      <c r="K11066" s="6" t="n">
        <f aca="false">Sens!K11047</f>
        <v>253.643624207311</v>
      </c>
    </row>
    <row r="11067" customFormat="false" ht="17.15" hidden="false" customHeight="false" outlineLevel="0" collapsed="false">
      <c r="A11067" s="1" t="s">
        <v>1102</v>
      </c>
      <c r="B11067" s="0" t="s">
        <v>98</v>
      </c>
      <c r="E11067" s="6" t="n">
        <f aca="false">Q!M38-Sens!E10985</f>
        <v>22.2285940229167</v>
      </c>
      <c r="F11067" s="6" t="n">
        <f aca="false">Sens!E11067*(1-1/life_nonai)+(Sens!F11075+Sens!F11076)/life_nonai</f>
        <v>23.580344216413</v>
      </c>
      <c r="G11067" s="6" t="n">
        <f aca="false">Sens!F11067*(1-1/life_nonai)+(Sens!G11075)/life_nonai</f>
        <v>25.3831877589923</v>
      </c>
      <c r="H11067" s="6" t="n">
        <f aca="false">Sens!G11067*(1-1/life_nonai)+(Sens!H11075)/life_nonai</f>
        <v>27.6062362289485</v>
      </c>
      <c r="I11067" s="6" t="n">
        <f aca="false">Sens!H11067*(1-1/life_nonai)+(Sens!I11075)/life_nonai</f>
        <v>30.1748448166115</v>
      </c>
      <c r="J11067" s="6" t="n">
        <f aca="false">Sens!I11067*(1-1/life_nonai)+(Sens!J11075)/life_nonai</f>
        <v>32.9989179426604</v>
      </c>
      <c r="K11067" s="6" t="n">
        <f aca="false">Sens!J11067*(1-1/life_nonai)+(Sens!K11075)/life_nonai</f>
        <v>35.9961902192455</v>
      </c>
      <c r="L11067" s="12" t="s">
        <v>1103</v>
      </c>
    </row>
    <row r="11068" customFormat="false" ht="17.15" hidden="false" customHeight="false" outlineLevel="0" collapsed="false">
      <c r="A11068" s="1" t="s">
        <v>1104</v>
      </c>
      <c r="B11068" s="0" t="s">
        <v>98</v>
      </c>
      <c r="F11068" s="6" t="n">
        <f aca="false">Sens!$F$11076/life_nonai*(1-1/life_nonai)^(Sens!F10948-2027)</f>
        <v>0.00400202452575584</v>
      </c>
      <c r="G11068" s="6" t="n">
        <f aca="false">Sens!$F$11076/life_nonai*(1-1/life_nonai)^(Sens!G10948-2027)</f>
        <v>0.00360182207318026</v>
      </c>
      <c r="H11068" s="6" t="n">
        <f aca="false">Sens!$F$11076/life_nonai*(1-1/life_nonai)^(Sens!H10948-2027)</f>
        <v>0.00324163986586223</v>
      </c>
      <c r="I11068" s="6" t="n">
        <f aca="false">Sens!$F$11076/life_nonai*(1-1/life_nonai)^(Sens!I10948-2027)</f>
        <v>0.00291747587927601</v>
      </c>
      <c r="J11068" s="6" t="n">
        <f aca="false">Sens!$F$11076/life_nonai*(1-1/life_nonai)^(Sens!J10948-2027)</f>
        <v>0.00262572829134841</v>
      </c>
      <c r="K11068" s="6" t="n">
        <f aca="false">Sens!$F$11076/life_nonai*(1-1/life_nonai)^(Sens!K10948-2027)</f>
        <v>0.00236315546221357</v>
      </c>
      <c r="L11068" s="1" t="s">
        <v>1105</v>
      </c>
    </row>
    <row r="11069" customFormat="false" ht="17.15" hidden="false" customHeight="false" outlineLevel="0" collapsed="false">
      <c r="A11069" s="1" t="s">
        <v>1106</v>
      </c>
      <c r="B11069" s="0" t="s">
        <v>98</v>
      </c>
      <c r="E11069" s="6" t="n">
        <f aca="false">Sens!E10985+Sens!E11067</f>
        <v>38.534</v>
      </c>
      <c r="F11069" s="6" t="n">
        <f aca="false">Sens!F10985+Sens!F11067</f>
        <v>58.1596586947647</v>
      </c>
      <c r="G11069" s="6" t="n">
        <f aca="false">Sens!G10985+Sens!G11067</f>
        <v>86.1176784112913</v>
      </c>
      <c r="H11069" s="6" t="n">
        <f aca="false">Sens!H10985+Sens!H11067</f>
        <v>116.706326890394</v>
      </c>
      <c r="I11069" s="6" t="n">
        <f aca="false">Sens!I10985+Sens!I11067</f>
        <v>144.40585451116</v>
      </c>
      <c r="J11069" s="6" t="n">
        <f aca="false">Sens!J10985+Sens!J11067</f>
        <v>165.014590992256</v>
      </c>
      <c r="K11069" s="6" t="n">
        <f aca="false">Sens!K10985+Sens!K11067</f>
        <v>179.00885977018</v>
      </c>
    </row>
    <row r="11070" customFormat="false" ht="17.15" hidden="false" customHeight="false" outlineLevel="0" collapsed="false">
      <c r="A11070" s="1" t="s">
        <v>1107</v>
      </c>
      <c r="B11070" s="0" t="s">
        <v>98</v>
      </c>
      <c r="F11070" s="6" t="n">
        <f aca="false">Sens!F11012*sbc_r</f>
        <v>15.0716006482386</v>
      </c>
      <c r="G11070" s="6" t="n">
        <f aca="false">Sens!G11012*sbc_r</f>
        <v>18.3983819358203</v>
      </c>
      <c r="H11070" s="6" t="n">
        <f aca="false">Sens!H11012*sbc_r</f>
        <v>21.9874511295239</v>
      </c>
      <c r="I11070" s="6" t="n">
        <f aca="false">Sens!I11012*sbc_r</f>
        <v>25.0557164191551</v>
      </c>
      <c r="J11070" s="6" t="n">
        <f aca="false">Sens!J11012*sbc_r</f>
        <v>27.5422023225241</v>
      </c>
      <c r="K11070" s="6" t="n">
        <f aca="false">Sens!K11012*sbc_r</f>
        <v>29.5421802019793</v>
      </c>
    </row>
    <row r="11071" customFormat="false" ht="17.15" hidden="false" customHeight="false" outlineLevel="0" collapsed="false">
      <c r="A11071" s="1" t="s">
        <v>1108</v>
      </c>
      <c r="B11071" s="0" t="s">
        <v>98</v>
      </c>
      <c r="F11071" s="6" t="n">
        <f aca="false">wc27-wc26q1</f>
        <v>-4.677</v>
      </c>
      <c r="G11071" s="6" t="n">
        <f aca="false">wc_f</f>
        <v>0</v>
      </c>
      <c r="H11071" s="6" t="n">
        <f aca="false">wc_f</f>
        <v>0</v>
      </c>
      <c r="I11071" s="6" t="n">
        <f aca="false">wc_f</f>
        <v>0</v>
      </c>
      <c r="J11071" s="6" t="n">
        <f aca="false">wc_f</f>
        <v>0</v>
      </c>
      <c r="K11071" s="6" t="n">
        <f aca="false">wc_f</f>
        <v>0</v>
      </c>
      <c r="L11071" s="12" t="s">
        <v>1109</v>
      </c>
    </row>
    <row r="11072" customFormat="false" ht="17.15" hidden="false" customHeight="false" outlineLevel="0" collapsed="false">
      <c r="A11072" s="0" t="s">
        <v>1110</v>
      </c>
      <c r="B11072" s="0" t="s">
        <v>98</v>
      </c>
      <c r="F11072" s="6" t="n">
        <f aca="false">Q!$I$35-Q!$I$26-Q!$I$38-Q!$I$39</f>
        <v>6.493</v>
      </c>
      <c r="L11072" s="1" t="s">
        <v>1111</v>
      </c>
    </row>
    <row r="11073" customFormat="false" ht="15" hidden="false" customHeight="false" outlineLevel="0" collapsed="false">
      <c r="A11073" s="1" t="s">
        <v>908</v>
      </c>
      <c r="B11073" s="0" t="s">
        <v>98</v>
      </c>
      <c r="E11073" s="6" t="n">
        <f aca="false">Q!M35</f>
        <v>182.935</v>
      </c>
      <c r="F11073" s="6" t="n">
        <f aca="false">Sens!F11066+Sens!F11069+Sens!F11070+Sens!F11071+Sens!F11072</f>
        <v>222.516209369927</v>
      </c>
      <c r="G11073" s="6" t="n">
        <f aca="false">Sens!G11066+Sens!G11069+Sens!G11070+Sens!G11071</f>
        <v>272.569613827355</v>
      </c>
      <c r="H11073" s="6" t="n">
        <f aca="false">Sens!H11066+Sens!H11069+Sens!H11070+Sens!H11071</f>
        <v>334.846608481545</v>
      </c>
      <c r="I11073" s="6" t="n">
        <f aca="false">Sens!I11066+Sens!I11069+Sens!I11070+Sens!I11071</f>
        <v>387.157382573242</v>
      </c>
      <c r="J11073" s="6" t="n">
        <f aca="false">Sens!J11066+Sens!J11069+Sens!J11070+Sens!J11071</f>
        <v>429.058068245654</v>
      </c>
      <c r="K11073" s="6" t="n">
        <f aca="false">Sens!K11066+Sens!K11069+Sens!K11070+Sens!K11071</f>
        <v>462.19466417947</v>
      </c>
    </row>
    <row r="11074" customFormat="false" ht="17.15" hidden="false" customHeight="false" outlineLevel="0" collapsed="false">
      <c r="A11074" s="0" t="s">
        <v>1112</v>
      </c>
      <c r="B11074" s="0" t="s">
        <v>98</v>
      </c>
      <c r="F11074" s="6" t="n">
        <f aca="false">Sens!F10982</f>
        <v>168.45390404212</v>
      </c>
      <c r="G11074" s="6" t="n">
        <f aca="false">Sens!G10982</f>
        <v>191.944475649048</v>
      </c>
      <c r="H11074" s="6" t="n">
        <f aca="false">Sens!H10982</f>
        <v>196.806004064512</v>
      </c>
      <c r="I11074" s="6" t="n">
        <f aca="false">Sens!I10982</f>
        <v>168.61483362161</v>
      </c>
      <c r="J11074" s="6" t="n">
        <f aca="false">Sens!J10982</f>
        <v>128.92993119594</v>
      </c>
      <c r="K11074" s="6" t="n">
        <f aca="false">Sens!K10982</f>
        <v>118.962853064733</v>
      </c>
    </row>
    <row r="11075" customFormat="false" ht="17.15" hidden="false" customHeight="false" outlineLevel="0" collapsed="false">
      <c r="A11075" s="1" t="s">
        <v>1113</v>
      </c>
      <c r="B11075" s="0" t="s">
        <v>98</v>
      </c>
      <c r="E11075" s="6" t="n">
        <f aca="false">Sens!E10990*cx_azo+Sens!E10997*cx_m365+Sens!E10998*cx_lic+(Sens!E11000+Sens!E11002)*cx_ind+Sens!E11005*cx_srch+(Sens!E11007+Sens!E11009)*cx_dev</f>
        <v>30.1846587067718</v>
      </c>
      <c r="F11075" s="6" t="n">
        <f aca="false">Sens!F10990*cx_azo+Sens!F10997*cx_m365+Sens!F10998*cx_lic+(Sens!F11000+Sens!F11002)*cx_ind+Sens!F11005*cx_srch+(Sens!F11007+Sens!F11009)*cx_dev</f>
        <v>35.7060757126228</v>
      </c>
      <c r="G11075" s="6" t="n">
        <f aca="false">Sens!G10990*cx_azo+Sens!G10997*cx_m365+Sens!G10998*cx_lic+(Sens!G11000+Sens!G11002)*cx_ind+Sens!G11005*cx_srch+(Sens!G11007+Sens!G11009)*cx_dev</f>
        <v>41.6087796422057</v>
      </c>
      <c r="H11075" s="6" t="n">
        <f aca="false">Sens!H10990*cx_azo+Sens!H10997*cx_m365+Sens!H10998*cx_lic+(Sens!H11000+Sens!H11002)*cx_ind+Sens!H11005*cx_srch+(Sens!H11007+Sens!H11009)*cx_dev</f>
        <v>47.6136724585545</v>
      </c>
      <c r="I11075" s="6" t="n">
        <f aca="false">Sens!I10990*cx_azo+Sens!I10997*cx_m365+Sens!I10998*cx_lic+(Sens!I11000+Sens!I11002)*cx_ind+Sens!I11005*cx_srch+(Sens!I11007+Sens!I11009)*cx_dev</f>
        <v>53.2923221055778</v>
      </c>
      <c r="J11075" s="6" t="n">
        <f aca="false">Sens!J10990*cx_azo+Sens!J10997*cx_m365+Sens!J10998*cx_lic+(Sens!J11000+Sens!J11002)*cx_ind+Sens!J11005*cx_srch+(Sens!J11007+Sens!J11009)*cx_dev</f>
        <v>58.4155760771005</v>
      </c>
      <c r="K11075" s="6" t="n">
        <f aca="false">Sens!K10990*cx_azo+Sens!K10997*cx_m365+Sens!K10998*cx_lic+(Sens!K11000+Sens!K11002)*cx_ind+Sens!K11005*cx_srch+(Sens!K11007+Sens!K11009)*cx_dev</f>
        <v>62.9716407085115</v>
      </c>
    </row>
    <row r="11076" customFormat="false" ht="17.15" hidden="false" customHeight="false" outlineLevel="0" collapsed="false">
      <c r="A11076" s="0" t="s">
        <v>1114</v>
      </c>
      <c r="B11076" s="0" t="s">
        <v>98</v>
      </c>
      <c r="F11076" s="6" t="n">
        <f aca="false">Sens!F10980</f>
        <v>0.0400202452575584</v>
      </c>
      <c r="L11076" s="1" t="s">
        <v>1115</v>
      </c>
    </row>
    <row r="11077" customFormat="false" ht="17.15" hidden="false" customHeight="false" outlineLevel="0" collapsed="false">
      <c r="A11077" s="1" t="s">
        <v>1116</v>
      </c>
      <c r="B11077" s="0" t="s">
        <v>98</v>
      </c>
      <c r="E11077" s="6" t="n">
        <f aca="false">Q!M43</f>
        <v>145.3</v>
      </c>
      <c r="F11077" s="6" t="n">
        <f aca="false">Sens!F11074+Sens!F11075+Sens!F11076</f>
        <v>204.2</v>
      </c>
      <c r="G11077" s="6" t="n">
        <f aca="false">Sens!G11074+Sens!G11075</f>
        <v>233.553255291254</v>
      </c>
      <c r="H11077" s="6" t="n">
        <f aca="false">Sens!H11074+Sens!H11075</f>
        <v>244.419676523067</v>
      </c>
      <c r="I11077" s="6" t="n">
        <f aca="false">Sens!I11074+Sens!I11075</f>
        <v>221.907155727188</v>
      </c>
      <c r="J11077" s="6" t="n">
        <f aca="false">Sens!J11074+Sens!J11075</f>
        <v>187.345507273041</v>
      </c>
      <c r="K11077" s="6" t="n">
        <f aca="false">Sens!K11074+Sens!K11075</f>
        <v>181.934493773244</v>
      </c>
      <c r="L11077" s="1" t="s">
        <v>1117</v>
      </c>
    </row>
    <row r="11078" customFormat="false" ht="15" hidden="false" customHeight="false" outlineLevel="0" collapsed="false">
      <c r="A11078" s="1" t="s">
        <v>1118</v>
      </c>
      <c r="B11078" s="0" t="s">
        <v>98</v>
      </c>
      <c r="E11078" s="6" t="n">
        <f aca="false">fl_liab</f>
        <v>66.594</v>
      </c>
      <c r="F11078" s="6" t="n">
        <f aca="false">Sens!E11078-Sens!F11079</f>
        <v>62.46973</v>
      </c>
      <c r="G11078" s="6" t="n">
        <f aca="false">Sens!F11078-Sens!G11079</f>
        <v>57.98686785</v>
      </c>
      <c r="H11078" s="6" t="n">
        <f aca="false">Sens!G11078-Sens!H11079</f>
        <v>53.92827690325</v>
      </c>
      <c r="I11078" s="6" t="n">
        <f aca="false">Sens!H11078-Sens!I11079</f>
        <v>49.7850493638962</v>
      </c>
      <c r="J11078" s="6" t="n">
        <f aca="false">Sens!I11078-Sens!J11079</f>
        <v>45.4823765852716</v>
      </c>
      <c r="K11078" s="6" t="n">
        <f aca="false">Sens!J11078-Sens!K11079</f>
        <v>40.9860835316088</v>
      </c>
    </row>
    <row r="11079" customFormat="false" ht="15" hidden="false" customHeight="false" outlineLevel="0" collapsed="false">
      <c r="A11079" s="1" t="s">
        <v>1119</v>
      </c>
      <c r="B11079" s="0" t="s">
        <v>98</v>
      </c>
      <c r="F11079" s="6" t="n">
        <f aca="false">fl_pay_27-Sens!E11078*fl_rate</f>
        <v>4.12427</v>
      </c>
      <c r="G11079" s="6" t="n">
        <f aca="false">fl_pay_28-Sens!F11078*fl_rate</f>
        <v>4.48286215</v>
      </c>
      <c r="H11079" s="6" t="n">
        <f aca="false">fl_pay_29-Sens!G11078*fl_rate</f>
        <v>4.05859094675</v>
      </c>
      <c r="I11079" s="6" t="n">
        <f aca="false">fl_pay_30-Sens!H11078*fl_rate</f>
        <v>4.14322753935375</v>
      </c>
      <c r="J11079" s="6" t="n">
        <f aca="false">fl_pay_31-Sens!I11078*fl_rate</f>
        <v>4.30267277862467</v>
      </c>
      <c r="K11079" s="6" t="n">
        <f aca="false">fl_pay_32-Sens!J11078*fl_rate</f>
        <v>4.49629305366278</v>
      </c>
    </row>
    <row r="11080" customFormat="false" ht="17.15" hidden="false" customHeight="false" outlineLevel="0" collapsed="false">
      <c r="A11080" s="1" t="s">
        <v>1120</v>
      </c>
      <c r="B11080" s="0" t="s">
        <v>98</v>
      </c>
      <c r="E11080" s="6" t="n">
        <f aca="false">Q!M35-Q!M36-Q!M44</f>
        <v>63.886</v>
      </c>
      <c r="F11080" s="6" t="n">
        <f aca="false">Sens!F11073-Sens!F11077-Sens!F11079</f>
        <v>14.1919393699273</v>
      </c>
      <c r="G11080" s="6" t="n">
        <f aca="false">Sens!G11073-Sens!G11077-Sens!G11079</f>
        <v>34.5334963861008</v>
      </c>
      <c r="H11080" s="6" t="n">
        <f aca="false">Sens!H11073-Sens!H11077-Sens!H11079</f>
        <v>86.3683410117284</v>
      </c>
      <c r="I11080" s="6" t="n">
        <f aca="false">Sens!I11073-Sens!I11077-Sens!I11079</f>
        <v>161.1069993067</v>
      </c>
      <c r="J11080" s="6" t="n">
        <f aca="false">Sens!J11073-Sens!J11077-Sens!J11079</f>
        <v>237.409888193988</v>
      </c>
      <c r="K11080" s="6" t="n">
        <f aca="false">Sens!K11073-Sens!K11077-Sens!K11079</f>
        <v>275.763877352563</v>
      </c>
      <c r="L11080" s="12" t="s">
        <v>1121</v>
      </c>
    </row>
    <row r="11081" customFormat="false" ht="15" hidden="false" customHeight="false" outlineLevel="0" collapsed="false">
      <c r="A11081" s="1" t="s">
        <v>1122</v>
      </c>
      <c r="B11081" s="0" t="s">
        <v>75</v>
      </c>
      <c r="F11081" s="8" t="n">
        <f aca="false">dps_27</f>
        <v>3.85</v>
      </c>
      <c r="G11081" s="8" t="n">
        <f aca="false">Sens!F11081*(1+dps_g)</f>
        <v>4.158</v>
      </c>
      <c r="H11081" s="8" t="n">
        <f aca="false">Sens!G11081*(1+dps_g)</f>
        <v>4.49064</v>
      </c>
      <c r="I11081" s="8" t="n">
        <f aca="false">Sens!H11081*(1+dps_g)</f>
        <v>4.8498912</v>
      </c>
      <c r="J11081" s="8" t="n">
        <f aca="false">Sens!I11081*(1+dps_g)</f>
        <v>5.237882496</v>
      </c>
      <c r="K11081" s="8" t="n">
        <f aca="false">Sens!J11081*(1+dps_g)</f>
        <v>5.65691309568</v>
      </c>
    </row>
    <row r="11082" customFormat="false" ht="17.15" hidden="false" customHeight="false" outlineLevel="0" collapsed="false">
      <c r="A11082" s="1" t="s">
        <v>1123</v>
      </c>
      <c r="B11082" s="0" t="s">
        <v>98</v>
      </c>
      <c r="E11082" s="6" t="n">
        <f aca="false">Q!M41</f>
        <v>26.445</v>
      </c>
      <c r="F11082" s="6" t="n">
        <f aca="false">Sens!F11081*Sens!E11091</f>
        <v>28.59395</v>
      </c>
      <c r="G11082" s="6" t="n">
        <f aca="false">Sens!G11081*Sens!F11091</f>
        <v>31.0445326341464</v>
      </c>
      <c r="H11082" s="6" t="n">
        <f aca="false">Sens!H11081*Sens!G11091</f>
        <v>33.7038855110682</v>
      </c>
      <c r="I11082" s="6" t="n">
        <f aca="false">Sens!I11081*Sens!H11091</f>
        <v>36.4506346290263</v>
      </c>
      <c r="J11082" s="6" t="n">
        <f aca="false">Sens!J11081*Sens!I11091</f>
        <v>39.434583284741</v>
      </c>
      <c r="K11082" s="6" t="n">
        <f aca="false">Sens!K11081*Sens!J11091</f>
        <v>42.6761042098986</v>
      </c>
      <c r="L11082" s="1" t="s">
        <v>1124</v>
      </c>
    </row>
    <row r="11083" customFormat="false" ht="15" hidden="false" customHeight="false" outlineLevel="0" collapsed="false">
      <c r="A11083" s="1" t="s">
        <v>1125</v>
      </c>
      <c r="B11083" s="0" t="s">
        <v>98</v>
      </c>
      <c r="E11083" s="6" t="n">
        <f aca="false">Sens!E11080-Sens!E11082</f>
        <v>37.441</v>
      </c>
      <c r="F11083" s="6" t="n">
        <f aca="false">Sens!F11080-Sens!F11082</f>
        <v>-14.4020106300727</v>
      </c>
      <c r="G11083" s="6" t="n">
        <f aca="false">Sens!G11080-Sens!G11082</f>
        <v>3.48896375195446</v>
      </c>
      <c r="H11083" s="6" t="n">
        <f aca="false">Sens!H11080-Sens!H11082</f>
        <v>52.6644555006602</v>
      </c>
      <c r="I11083" s="6" t="n">
        <f aca="false">Sens!I11080-Sens!I11082</f>
        <v>124.656364677674</v>
      </c>
      <c r="J11083" s="6" t="n">
        <f aca="false">Sens!J11080-Sens!J11082</f>
        <v>197.975304909247</v>
      </c>
      <c r="K11083" s="6" t="n">
        <f aca="false">Sens!K11080-Sens!K11082</f>
        <v>233.087773142665</v>
      </c>
    </row>
    <row r="11084" customFormat="false" ht="15" hidden="false" customHeight="false" outlineLevel="0" collapsed="false">
      <c r="A11084" s="1" t="s">
        <v>1126</v>
      </c>
      <c r="B11084" s="0" t="s">
        <v>98</v>
      </c>
      <c r="F11084" s="6" t="n">
        <f aca="false">debt_mat_27</f>
        <v>9.25</v>
      </c>
      <c r="G11084" s="6" t="n">
        <f aca="false">debt_mat_28</f>
        <v>0</v>
      </c>
      <c r="H11084" s="6" t="n">
        <f aca="false">debt_mat_29</f>
        <v>2.001</v>
      </c>
      <c r="I11084" s="6" t="n">
        <f aca="false">debt_mat_30</f>
        <v>0</v>
      </c>
      <c r="J11084" s="6" t="n">
        <f aca="false">debt_mat_31</f>
        <v>0.5</v>
      </c>
      <c r="K11084" s="6" t="n">
        <f aca="false">debt_mat_32</f>
        <v>0</v>
      </c>
    </row>
    <row r="11085" customFormat="false" ht="15" hidden="false" customHeight="false" outlineLevel="0" collapsed="false">
      <c r="A11085" s="1" t="s">
        <v>1127</v>
      </c>
      <c r="B11085" s="0" t="s">
        <v>98</v>
      </c>
      <c r="E11085" s="6" t="n">
        <f aca="false">Q!M40</f>
        <v>22.271</v>
      </c>
      <c r="F11085" s="6" t="n">
        <f aca="false">MAX(0,MIN(bb_target,Sens!E11087+Sens!F11083-Sens!F11084-min_cash))</f>
        <v>3.19098936992735</v>
      </c>
      <c r="G11085" s="6" t="n">
        <f aca="false">MAX(0,MIN(bb_target,Sens!F11087+Sens!G11083-Sens!G11084-min_cash))</f>
        <v>3.48896375195446</v>
      </c>
      <c r="H11085" s="6" t="n">
        <f aca="false">MAX(0,MIN(bb_target,Sens!G11087+Sens!H11083-Sens!H11084-min_cash))</f>
        <v>22.271</v>
      </c>
      <c r="I11085" s="6" t="n">
        <f aca="false">MAX(0,MIN(bb_target,Sens!H11087+Sens!I11083-Sens!I11084-min_cash))</f>
        <v>22.271</v>
      </c>
      <c r="J11085" s="6" t="n">
        <f aca="false">MAX(0,MIN(bb_target,Sens!I11087+Sens!J11083-Sens!J11084-min_cash))</f>
        <v>22.271</v>
      </c>
      <c r="K11085" s="6" t="n">
        <f aca="false">MAX(0,MIN(bb_target,Sens!J11087+Sens!K11083-Sens!K11084-min_cash))</f>
        <v>22.271</v>
      </c>
    </row>
    <row r="11086" customFormat="false" ht="15" hidden="false" customHeight="false" outlineLevel="0" collapsed="false">
      <c r="A11086" s="1" t="s">
        <v>1128</v>
      </c>
      <c r="B11086" s="0" t="s">
        <v>98</v>
      </c>
      <c r="F11086" s="6" t="n">
        <f aca="false">MAX(0,min_cash-(Sens!E11087+Sens!F11083-Sens!F11084-Sens!F11085))</f>
        <v>0</v>
      </c>
      <c r="G11086" s="6" t="n">
        <f aca="false">MAX(0,min_cash-(Sens!F11087+Sens!G11083-Sens!G11084-Sens!G11085))</f>
        <v>0</v>
      </c>
      <c r="H11086" s="6" t="n">
        <f aca="false">MAX(0,min_cash-(Sens!G11087+Sens!H11083-Sens!H11084-Sens!H11085))</f>
        <v>0</v>
      </c>
      <c r="I11086" s="6" t="n">
        <f aca="false">MAX(0,min_cash-(Sens!H11087+Sens!I11083-Sens!I11084-Sens!I11085))</f>
        <v>0</v>
      </c>
      <c r="J11086" s="6" t="n">
        <f aca="false">MAX(0,min_cash-(Sens!I11087+Sens!J11083-Sens!J11084-Sens!J11085))</f>
        <v>0</v>
      </c>
      <c r="K11086" s="6" t="n">
        <f aca="false">MAX(0,min_cash-(Sens!J11087+Sens!K11083-Sens!K11084-Sens!K11085))</f>
        <v>0</v>
      </c>
    </row>
    <row r="11087" customFormat="false" ht="15" hidden="false" customHeight="false" outlineLevel="0" collapsed="false">
      <c r="A11087" s="1" t="s">
        <v>1129</v>
      </c>
      <c r="B11087" s="0" t="s">
        <v>98</v>
      </c>
      <c r="E11087" s="6" t="n">
        <f aca="false">cash_open</f>
        <v>76.843</v>
      </c>
      <c r="F11087" s="6" t="n">
        <f aca="false">Sens!E11087+Sens!F11083-Sens!F11084-Sens!F11085+Sens!F11086</f>
        <v>50</v>
      </c>
      <c r="G11087" s="6" t="n">
        <f aca="false">Sens!F11087+Sens!G11083-Sens!G11084-Sens!G11085+Sens!G11086</f>
        <v>50</v>
      </c>
      <c r="H11087" s="6" t="n">
        <f aca="false">Sens!G11087+Sens!H11083-Sens!H11084-Sens!H11085+Sens!H11086</f>
        <v>78.3924555006602</v>
      </c>
      <c r="I11087" s="6" t="n">
        <f aca="false">Sens!H11087+Sens!I11083-Sens!I11084-Sens!I11085+Sens!I11086</f>
        <v>180.777820178334</v>
      </c>
      <c r="J11087" s="6" t="n">
        <f aca="false">Sens!I11087+Sens!J11083-Sens!J11084-Sens!J11085+Sens!J11086</f>
        <v>355.982125087581</v>
      </c>
      <c r="K11087" s="6" t="n">
        <f aca="false">Sens!J11087+Sens!K11083-Sens!K11084-Sens!K11085+Sens!K11086</f>
        <v>566.798898230246</v>
      </c>
    </row>
    <row r="11088" customFormat="false" ht="15" hidden="false" customHeight="false" outlineLevel="0" collapsed="false">
      <c r="A11088" s="1" t="s">
        <v>1130</v>
      </c>
      <c r="B11088" s="0" t="s">
        <v>98</v>
      </c>
      <c r="E11088" s="6" t="n">
        <f aca="false">debt_face</f>
        <v>46.136</v>
      </c>
      <c r="F11088" s="6" t="n">
        <f aca="false">Sens!E11088-Sens!F11084+Sens!F11086</f>
        <v>36.886</v>
      </c>
      <c r="G11088" s="6" t="n">
        <f aca="false">Sens!F11088-Sens!G11084+Sens!G11086</f>
        <v>36.886</v>
      </c>
      <c r="H11088" s="6" t="n">
        <f aca="false">Sens!G11088-Sens!H11084+Sens!H11086</f>
        <v>34.885</v>
      </c>
      <c r="I11088" s="6" t="n">
        <f aca="false">Sens!H11088-Sens!I11084+Sens!I11086</f>
        <v>34.885</v>
      </c>
      <c r="J11088" s="6" t="n">
        <f aca="false">Sens!I11088-Sens!J11084+Sens!J11086</f>
        <v>34.385</v>
      </c>
      <c r="K11088" s="6" t="n">
        <f aca="false">Sens!J11088-Sens!K11084+Sens!K11086</f>
        <v>34.385</v>
      </c>
    </row>
    <row r="11089" customFormat="false" ht="15" hidden="false" customHeight="false" outlineLevel="0" collapsed="false">
      <c r="A11089" s="1" t="s">
        <v>1131</v>
      </c>
      <c r="B11089" s="0" t="s">
        <v>98</v>
      </c>
      <c r="E11089" s="6" t="n">
        <f aca="false">Sens!E11087-Sens!E11088</f>
        <v>30.707</v>
      </c>
      <c r="F11089" s="6" t="n">
        <f aca="false">Sens!F11087-Sens!F11088</f>
        <v>13.114</v>
      </c>
      <c r="G11089" s="6" t="n">
        <f aca="false">Sens!G11087-Sens!G11088</f>
        <v>13.114</v>
      </c>
      <c r="H11089" s="6" t="n">
        <f aca="false">Sens!H11087-Sens!H11088</f>
        <v>43.5074555006602</v>
      </c>
      <c r="I11089" s="6" t="n">
        <f aca="false">Sens!I11087-Sens!I11088</f>
        <v>145.892820178334</v>
      </c>
      <c r="J11089" s="6" t="n">
        <f aca="false">Sens!J11087-Sens!J11088</f>
        <v>321.597125087581</v>
      </c>
      <c r="K11089" s="6" t="n">
        <f aca="false">Sens!K11087-Sens!K11088</f>
        <v>532.413898230246</v>
      </c>
    </row>
    <row r="11090" customFormat="false" ht="15" hidden="false" customHeight="false" outlineLevel="0" collapsed="false">
      <c r="A11090" s="1" t="s">
        <v>1132</v>
      </c>
      <c r="B11090" s="0" t="s">
        <v>75</v>
      </c>
      <c r="F11090" s="30" t="n">
        <f aca="false">px*(1+bb_g)^(Sens!F10948-base_fy-mid_yr)</f>
        <v>551.84177959629</v>
      </c>
      <c r="G11090" s="30" t="n">
        <f aca="false">px*(1+bb_g)^(Sens!G10948-base_fy-mid_yr)</f>
        <v>595.989121963993</v>
      </c>
      <c r="H11090" s="30" t="n">
        <f aca="false">px*(1+bb_g)^(Sens!H10948-base_fy-mid_yr)</f>
        <v>643.668251721112</v>
      </c>
      <c r="I11090" s="30" t="n">
        <f aca="false">px*(1+bb_g)^(Sens!I10948-base_fy-mid_yr)</f>
        <v>695.161711858801</v>
      </c>
      <c r="J11090" s="30" t="n">
        <f aca="false">px*(1+bb_g)^(Sens!J10948-base_fy-mid_yr)</f>
        <v>750.774648807506</v>
      </c>
      <c r="K11090" s="30" t="n">
        <f aca="false">px*(1+bb_g)^(Sens!K10948-base_fy-mid_yr)</f>
        <v>810.836620712106</v>
      </c>
    </row>
    <row r="11091" customFormat="false" ht="15" hidden="false" customHeight="false" outlineLevel="0" collapsed="false">
      <c r="A11091" s="1" t="s">
        <v>1133</v>
      </c>
      <c r="B11091" s="1" t="s">
        <v>81</v>
      </c>
      <c r="E11091" s="15" t="n">
        <f aca="false">sh_out26</f>
        <v>7.427</v>
      </c>
      <c r="F11091" s="15" t="n">
        <f aca="false">Sens!E11091+sh_iss-Sens!F11085/Sens!F11090</f>
        <v>7.46621756472976</v>
      </c>
      <c r="G11091" s="15" t="n">
        <f aca="false">Sens!F11091+sh_iss-Sens!G11085/Sens!G11090</f>
        <v>7.50536349185599</v>
      </c>
      <c r="H11091" s="15" t="n">
        <f aca="false">Sens!G11091+sh_iss-Sens!H11085/Sens!H11090</f>
        <v>7.51576336991359</v>
      </c>
      <c r="I11091" s="15" t="n">
        <f aca="false">Sens!H11091+sh_iss-Sens!I11085/Sens!I11090</f>
        <v>7.52872621996693</v>
      </c>
      <c r="J11091" s="15" t="n">
        <f aca="false">Sens!I11091+sh_iss-Sens!J11085/Sens!J11090</f>
        <v>7.54406219223854</v>
      </c>
      <c r="K11091" s="15" t="n">
        <f aca="false">Sens!J11091+sh_iss-Sens!K11085/Sens!K11090</f>
        <v>7.56159549989743</v>
      </c>
    </row>
    <row r="11092" customFormat="false" ht="15" hidden="false" customHeight="false" outlineLevel="0" collapsed="false">
      <c r="A11092" s="1" t="s">
        <v>1134</v>
      </c>
      <c r="B11092" s="1" t="s">
        <v>81</v>
      </c>
      <c r="E11092" s="15" t="n">
        <f aca="false">sh_dil26</f>
        <v>7.453</v>
      </c>
      <c r="F11092" s="15" t="n">
        <f aca="false">(Sens!E11091+Sens!F11091)/2+dil_gap</f>
        <v>7.47060878236488</v>
      </c>
      <c r="G11092" s="15" t="n">
        <f aca="false">(Sens!F11091+Sens!G11091)/2+dil_gap</f>
        <v>7.50979052829288</v>
      </c>
      <c r="H11092" s="15" t="n">
        <f aca="false">(Sens!G11091+Sens!H11091)/2+dil_gap</f>
        <v>7.53456343088479</v>
      </c>
      <c r="I11092" s="15" t="n">
        <f aca="false">(Sens!H11091+Sens!I11091)/2+dil_gap</f>
        <v>7.54624479494026</v>
      </c>
      <c r="J11092" s="15" t="n">
        <f aca="false">(Sens!I11091+Sens!J11091)/2+dil_gap</f>
        <v>7.56039420610273</v>
      </c>
      <c r="K11092" s="15" t="n">
        <f aca="false">(Sens!J11091+Sens!K11091)/2+dil_gap</f>
        <v>7.57682884606798</v>
      </c>
    </row>
    <row r="11093" customFormat="false" ht="17.15" hidden="false" customHeight="false" outlineLevel="0" collapsed="false">
      <c r="A11093" s="1" t="s">
        <v>1135</v>
      </c>
      <c r="B11093" s="0" t="s">
        <v>98</v>
      </c>
      <c r="C11093" s="6" t="n">
        <f aca="false">SUM(Sens!F11083:J11083)</f>
        <v>364.383078209463</v>
      </c>
    </row>
    <row r="11094" customFormat="false" ht="15" hidden="false" customHeight="false" outlineLevel="0" collapsed="false">
      <c r="A11094" s="26" t="s">
        <v>1100</v>
      </c>
      <c r="B11094" s="31" t="s">
        <v>98</v>
      </c>
      <c r="C11094" s="27" t="n">
        <f aca="false">Sens!$C$11093-(Sens!F11083+Sens!G11083+Sens!H11083+Sens!I11083+Sens!J11083)</f>
        <v>0</v>
      </c>
      <c r="D11094" s="31"/>
      <c r="E11094" s="31"/>
      <c r="F11094" s="31"/>
      <c r="G11094" s="31"/>
      <c r="H11094" s="31"/>
      <c r="I11094" s="31"/>
      <c r="J11094" s="31"/>
      <c r="K11094" s="31"/>
    </row>
    <row r="11095" customFormat="false" ht="17.15" hidden="false" customHeight="false" outlineLevel="0" collapsed="false">
      <c r="A11095" s="1" t="s">
        <v>1094</v>
      </c>
      <c r="B11095" s="1" t="s">
        <v>1136</v>
      </c>
      <c r="C11095" s="33" t="str">
        <f aca="false">IF(SUM(Sens!F11086:J11086)&gt;0.05,"需要舉債 "&amp;TEXT(SUM(Sens!F11086:J11086),"0.0")&amp;" 十億美元","不需舉債")&amp;"；"&amp;IF(SUM(Sens!F11085:J11085)&lt;COUNT(Sens!F11085:J11085)*bb_target-0.05,"回購較每年 "&amp;TEXT(bb_target,"0.0")&amp;" 的目標少 "&amp;TEXT(COUNT(Sens!F11085:J11085)*bb_target-SUM(Sens!F11085:J11085),"0.0")&amp;" 十億美元（"&amp;TEXT(COUNTIF(Sens!F11085:J11085,"&lt;"&amp;(bb_target-0.05)),"0")&amp;" 年減少）","回購不減")</f>
        <v>不需舉債；回購較每年 22.3 的目標少 37.9 十億美元（2 年減少）</v>
      </c>
    </row>
    <row r="11096" customFormat="false" ht="17.15" hidden="false" customHeight="false" outlineLevel="0" collapsed="false">
      <c r="A11096" s="3" t="s">
        <v>1889</v>
      </c>
    </row>
    <row r="11097" customFormat="false" ht="15" hidden="false" customHeight="false" outlineLevel="0" collapsed="false">
      <c r="A11097" s="4" t="s">
        <v>43</v>
      </c>
      <c r="B11097" s="4" t="s">
        <v>65</v>
      </c>
      <c r="C11097" s="23" t="s">
        <v>942</v>
      </c>
      <c r="D11097" s="23" t="s">
        <v>943</v>
      </c>
      <c r="E11097" s="23" t="s">
        <v>944</v>
      </c>
      <c r="F11097" s="23" t="s">
        <v>945</v>
      </c>
      <c r="G11097" s="23" t="s">
        <v>946</v>
      </c>
      <c r="H11097" s="23" t="s">
        <v>947</v>
      </c>
      <c r="I11097" s="23" t="s">
        <v>948</v>
      </c>
      <c r="J11097" s="23" t="s">
        <v>949</v>
      </c>
      <c r="K11097" s="23" t="s">
        <v>950</v>
      </c>
      <c r="L11097" s="4" t="s">
        <v>47</v>
      </c>
    </row>
    <row r="11098" customFormat="false" ht="17.15" hidden="false" customHeight="false" outlineLevel="0" collapsed="false">
      <c r="A11098" s="1" t="s">
        <v>1216</v>
      </c>
      <c r="B11098" s="1" t="s">
        <v>279</v>
      </c>
      <c r="F11098" s="8" t="n">
        <f aca="false">(1-v_off)*mid_yr</f>
        <v>0.373972602739726</v>
      </c>
      <c r="G11098" s="8" t="n">
        <f aca="false">Sens!G10948-base_fy-mid_yr-v_off</f>
        <v>1.24794520547945</v>
      </c>
      <c r="H11098" s="8" t="n">
        <f aca="false">Sens!H10948-base_fy-mid_yr-v_off</f>
        <v>2.24794520547945</v>
      </c>
      <c r="I11098" s="8" t="n">
        <f aca="false">Sens!I10948-base_fy-mid_yr-v_off</f>
        <v>3.24794520547945</v>
      </c>
      <c r="J11098" s="8" t="n">
        <f aca="false">Sens!J10948-base_fy-mid_yr-v_off</f>
        <v>4.24794520547945</v>
      </c>
      <c r="K11098" s="8" t="n">
        <f aca="false">Sens!K10948-base_fy-mid_yr-v_off</f>
        <v>5.24794520547945</v>
      </c>
      <c r="L11098" s="12" t="s">
        <v>1217</v>
      </c>
    </row>
    <row r="11099" customFormat="false" ht="15" hidden="false" customHeight="false" outlineLevel="0" collapsed="false">
      <c r="A11099" s="1" t="s">
        <v>1218</v>
      </c>
      <c r="B11099" s="1" t="s">
        <v>279</v>
      </c>
      <c r="F11099" s="8" t="n">
        <f aca="false">Sens!F10948-base_fy-v_off</f>
        <v>0.747945205479452</v>
      </c>
      <c r="G11099" s="8" t="n">
        <f aca="false">Sens!G10948-base_fy-v_off</f>
        <v>1.74794520547945</v>
      </c>
      <c r="H11099" s="8" t="n">
        <f aca="false">Sens!H10948-base_fy-v_off</f>
        <v>2.74794520547945</v>
      </c>
      <c r="I11099" s="8" t="n">
        <f aca="false">Sens!I10948-base_fy-v_off</f>
        <v>3.74794520547945</v>
      </c>
      <c r="J11099" s="8" t="n">
        <f aca="false">Sens!J10948-base_fy-v_off</f>
        <v>4.74794520547945</v>
      </c>
      <c r="K11099" s="8" t="n">
        <f aca="false">Sens!K10948-base_fy-v_off</f>
        <v>5.74794520547945</v>
      </c>
    </row>
    <row r="11100" customFormat="false" ht="15" hidden="false" customHeight="false" outlineLevel="0" collapsed="false">
      <c r="A11100" s="1" t="s">
        <v>1219</v>
      </c>
      <c r="B11100" s="0" t="s">
        <v>229</v>
      </c>
      <c r="F11100" s="15" t="n">
        <f aca="false">1/(1+wacc)^Sens!F11098</f>
        <v>0.964022703286649</v>
      </c>
      <c r="G11100" s="15" t="n">
        <f aca="false">1/(1+wacc)^Sens!G11098</f>
        <v>0.884910302296739</v>
      </c>
      <c r="H11100" s="15" t="n">
        <f aca="false">1/(1+wacc)^Sens!H11098</f>
        <v>0.802322009770358</v>
      </c>
      <c r="I11100" s="15" t="n">
        <f aca="false">1/(1+wacc)^Sens!I11098</f>
        <v>0.727441646561469</v>
      </c>
      <c r="J11100" s="15" t="n">
        <f aca="false">1/(1+wacc)^Sens!J11098</f>
        <v>0.659549834988973</v>
      </c>
      <c r="K11100" s="15" t="n">
        <f aca="false">1/(1+wacc)^Sens!K11098</f>
        <v>0.597994336576966</v>
      </c>
    </row>
    <row r="11101" customFormat="false" ht="17.15" hidden="false" customHeight="false" outlineLevel="0" collapsed="false">
      <c r="A11101" s="1" t="s">
        <v>1220</v>
      </c>
      <c r="B11101" s="0" t="s">
        <v>98</v>
      </c>
      <c r="F11101" s="6" t="n">
        <f aca="false">Q!$I$35-Q!$I$39-Q!$I$43</f>
        <v>9.666</v>
      </c>
      <c r="L11101" s="12" t="s">
        <v>1221</v>
      </c>
    </row>
    <row r="11102" customFormat="false" ht="17.15" hidden="false" customHeight="false" outlineLevel="0" collapsed="false">
      <c r="A11102" s="1" t="s">
        <v>1222</v>
      </c>
      <c r="B11102" s="0" t="s">
        <v>98</v>
      </c>
      <c r="F11102" s="6" t="n">
        <f aca="false">Sens!F11073-Sens!F11070-Sens!F11077+Sens!F11055*(1-tax_f)*(1-v_off)-Sens!F11101</f>
        <v>-1.10595009152699</v>
      </c>
      <c r="G11102" s="6" t="n">
        <f aca="false">Sens!G11073-Sens!G11070-Sens!G11077+Sens!G11055*(1-tax_f)</f>
        <v>38.7828010139024</v>
      </c>
      <c r="H11102" s="6" t="n">
        <f aca="false">Sens!H11073-Sens!H11070-Sens!H11077+Sens!H11055*(1-tax_f)</f>
        <v>98.8409570195205</v>
      </c>
      <c r="I11102" s="6" t="n">
        <f aca="false">Sens!I11073-Sens!I11070-Sens!I11077+Sens!I11055*(1-tax_f)</f>
        <v>181.904998003313</v>
      </c>
      <c r="J11102" s="6" t="n">
        <f aca="false">Sens!J11073-Sens!J11070-Sens!J11077+Sens!J11055*(1-tax_f)</f>
        <v>263.81802416484</v>
      </c>
      <c r="K11102" s="6" t="n">
        <f aca="false">Sens!K11073-Sens!K11070-Sens!K11077+Sens!K11055*(1-tax_f)</f>
        <v>304.382095220748</v>
      </c>
      <c r="L11102" s="1" t="s">
        <v>1223</v>
      </c>
    </row>
    <row r="11103" customFormat="false" ht="15" hidden="false" customHeight="false" outlineLevel="0" collapsed="false">
      <c r="A11103" s="1" t="s">
        <v>1224</v>
      </c>
      <c r="B11103" s="0" t="s">
        <v>98</v>
      </c>
      <c r="F11103" s="6" t="n">
        <f aca="false">Sens!F11102*Sens!F11100</f>
        <v>-1.06616099693396</v>
      </c>
      <c r="G11103" s="6" t="n">
        <f aca="false">Sens!G11102*Sens!G11100</f>
        <v>34.3193001691266</v>
      </c>
      <c r="H11103" s="6" t="n">
        <f aca="false">Sens!H11102*Sens!H11100</f>
        <v>79.3022752835272</v>
      </c>
      <c r="I11103" s="6" t="n">
        <f aca="false">Sens!I11102*Sens!I11100</f>
        <v>132.325271265291</v>
      </c>
      <c r="J11103" s="6" t="n">
        <f aca="false">Sens!J11102*Sens!J11100</f>
        <v>174.001134305037</v>
      </c>
      <c r="K11103" s="6" t="n">
        <f aca="false">Sens!K11102*Sens!K11100</f>
        <v>182.018769097438</v>
      </c>
    </row>
    <row r="11104" customFormat="false" ht="17.15" hidden="false" customHeight="false" outlineLevel="0" collapsed="false">
      <c r="A11104" s="1" t="s">
        <v>1225</v>
      </c>
      <c r="B11104" s="0" t="s">
        <v>98</v>
      </c>
      <c r="C11104" s="6" t="n">
        <f aca="false">SUM(Sens!F11103:K11103)</f>
        <v>600.900589123486</v>
      </c>
    </row>
    <row r="11105" customFormat="false" ht="17.15" hidden="false" customHeight="false" outlineLevel="0" collapsed="false">
      <c r="A11105" s="1" t="s">
        <v>1226</v>
      </c>
      <c r="B11105" s="0" t="s">
        <v>98</v>
      </c>
      <c r="C11105" s="6" t="n">
        <f aca="false">Sens!K11041*(1+g_tv)*(1-tax_f)</f>
        <v>317.515761100527</v>
      </c>
    </row>
    <row r="11106" customFormat="false" ht="17.15" hidden="false" customHeight="false" outlineLevel="0" collapsed="false">
      <c r="A11106" s="1" t="s">
        <v>1227</v>
      </c>
      <c r="B11106" s="0" t="s">
        <v>98</v>
      </c>
      <c r="C11106" s="6" t="n">
        <f aca="false">Sens!$C$11105*(1-g_tv/(wacc+ronic_prem))</f>
        <v>224.978474354261</v>
      </c>
    </row>
    <row r="11107" customFormat="false" ht="17.15" hidden="false" customHeight="false" outlineLevel="0" collapsed="false">
      <c r="A11107" s="1" t="s">
        <v>1228</v>
      </c>
      <c r="B11107" s="0" t="s">
        <v>98</v>
      </c>
      <c r="C11107" s="6" t="n">
        <f aca="false">Sens!$C$11106/(wacc-g_tv)</f>
        <v>3084.57622487553</v>
      </c>
    </row>
    <row r="11108" customFormat="false" ht="15" hidden="false" customHeight="false" outlineLevel="0" collapsed="false">
      <c r="A11108" s="1" t="s">
        <v>1229</v>
      </c>
      <c r="B11108" s="0" t="s">
        <v>98</v>
      </c>
      <c r="C11108" s="6" t="n">
        <f aca="false">Sens!$C$11107/(1+wacc)^Sens!K11099</f>
        <v>1756.37523633896</v>
      </c>
    </row>
    <row r="11109" customFormat="false" ht="17.15" hidden="false" customHeight="false" outlineLevel="0" collapsed="false">
      <c r="A11109" s="0" t="s">
        <v>1230</v>
      </c>
      <c r="B11109" s="0" t="s">
        <v>98</v>
      </c>
      <c r="C11109" s="6" t="n">
        <f aca="false">Sens!$C$11104+Sens!$C$11108</f>
        <v>2357.27582546245</v>
      </c>
    </row>
    <row r="11110" customFormat="false" ht="15" hidden="false" customHeight="false" outlineLevel="0" collapsed="false">
      <c r="A11110" s="1" t="s">
        <v>1145</v>
      </c>
      <c r="B11110" s="0" t="s">
        <v>168</v>
      </c>
      <c r="C11110" s="7" t="n">
        <f aca="false">Sens!$C$11108/Sens!$C$11109</f>
        <v>0.745086857196441</v>
      </c>
    </row>
    <row r="11111" customFormat="false" ht="17.15" hidden="false" customHeight="false" outlineLevel="0" collapsed="false">
      <c r="A11111" s="1" t="s">
        <v>1231</v>
      </c>
      <c r="B11111" s="0" t="s">
        <v>98</v>
      </c>
      <c r="C11111" s="6" t="n">
        <f aca="false">Sens!$C$11109+cash_val-debt_val-fl_val+oai_v</f>
        <v>2473.12682546245</v>
      </c>
    </row>
    <row r="11112" customFormat="false" ht="17.15" hidden="false" customHeight="false" outlineLevel="0" collapsed="false">
      <c r="A11112" s="0" t="s">
        <v>1153</v>
      </c>
      <c r="B11112" s="0" t="s">
        <v>75</v>
      </c>
      <c r="C11112" s="5" t="n">
        <f aca="false">Sens!$C$11111/shd_val</f>
        <v>332.141663371266</v>
      </c>
    </row>
    <row r="11113" customFormat="false" ht="15" hidden="false" customHeight="false" outlineLevel="0" collapsed="false">
      <c r="A11113" s="1" t="s">
        <v>1232</v>
      </c>
      <c r="B11113" s="0" t="s">
        <v>75</v>
      </c>
      <c r="C11113" s="8" t="n">
        <f aca="false">div_rem27+Sens!G11081*roll_div_q/q_per_yr</f>
        <v>3.9795</v>
      </c>
    </row>
    <row r="11114" customFormat="false" ht="17.15" hidden="false" customHeight="false" outlineLevel="0" collapsed="false">
      <c r="A11114" s="0" t="s">
        <v>1233</v>
      </c>
      <c r="B11114" s="0" t="s">
        <v>75</v>
      </c>
      <c r="C11114" s="5" t="n">
        <f aca="false">Sens!$C$11112*(1+wacc)^t_roll-Sens!$C$11113</f>
        <v>365.214495910449</v>
      </c>
    </row>
    <row r="11115" customFormat="false" ht="17.15" hidden="false" customHeight="false" outlineLevel="0" collapsed="false">
      <c r="A11115" s="1" t="s">
        <v>1234</v>
      </c>
      <c r="B11115" s="0" t="s">
        <v>168</v>
      </c>
      <c r="F11115" s="7" t="n">
        <f aca="false">Sens!F11067/(Sens!F11012-Sens!F10967)</f>
        <v>0.068533909207525</v>
      </c>
      <c r="G11115" s="7" t="n">
        <f aca="false">Sens!G11067/(Sens!G11012-Sens!G10967)</f>
        <v>0.0653005880062557</v>
      </c>
      <c r="H11115" s="7" t="n">
        <f aca="false">Sens!H11067/(Sens!H11012-Sens!H10967)</f>
        <v>0.0635565730095521</v>
      </c>
      <c r="I11115" s="7" t="n">
        <f aca="false">Sens!I11067/(Sens!I11012-Sens!I10967)</f>
        <v>0.0631865721706131</v>
      </c>
      <c r="J11115" s="7" t="n">
        <f aca="false">Sens!J11067/(Sens!J11012-Sens!J10967)</f>
        <v>0.0638312172375049</v>
      </c>
      <c r="K11115" s="7" t="n">
        <f aca="false">Sens!K11067/(Sens!K11012-Sens!K10967)</f>
        <v>0.0650327361819488</v>
      </c>
    </row>
    <row r="11116" customFormat="false" ht="17.15" hidden="false" customHeight="false" outlineLevel="0" collapsed="false">
      <c r="A11116" s="0" t="s">
        <v>1235</v>
      </c>
      <c r="B11116" s="0" t="s">
        <v>98</v>
      </c>
      <c r="F11116" s="6" t="n">
        <f aca="false">Sens!F10997*(al_m365+Sens!F11115+sbc_r)</f>
        <v>84.5191371793931</v>
      </c>
      <c r="G11116" s="6" t="n">
        <f aca="false">Sens!G10997*(al_m365+Sens!G11115+sbc_r)</f>
        <v>98.9420721198347</v>
      </c>
      <c r="H11116" s="6" t="n">
        <f aca="false">Sens!H10997*(al_m365+Sens!H11115+sbc_r)</f>
        <v>113.526515765225</v>
      </c>
      <c r="I11116" s="6" t="n">
        <f aca="false">Sens!I10997*(al_m365+Sens!I11115+sbc_r)</f>
        <v>126.589592581044</v>
      </c>
      <c r="J11116" s="6" t="n">
        <f aca="false">Sens!J10997*(al_m365+Sens!J11115+sbc_r)</f>
        <v>137.944264206477</v>
      </c>
      <c r="K11116" s="6" t="n">
        <f aca="false">Sens!K10997*(al_m365+Sens!K11115+sbc_r)</f>
        <v>148.912164724832</v>
      </c>
      <c r="L11116" s="12" t="s">
        <v>1236</v>
      </c>
    </row>
    <row r="11117" customFormat="false" ht="17.15" hidden="false" customHeight="false" outlineLevel="0" collapsed="false">
      <c r="A11117" s="0" t="s">
        <v>1237</v>
      </c>
      <c r="B11117" s="0" t="s">
        <v>98</v>
      </c>
      <c r="F11117" s="6" t="n">
        <f aca="false">Sens!F10998*(al_lic+Sens!F11115+sbc_r)</f>
        <v>32.8544777358614</v>
      </c>
      <c r="G11117" s="6" t="n">
        <f aca="false">Sens!G10998*(al_lic+Sens!G11115+sbc_r)</f>
        <v>34.1163102632499</v>
      </c>
      <c r="H11117" s="6" t="n">
        <f aca="false">Sens!H10998*(al_lic+Sens!H11115+sbc_r)</f>
        <v>35.2980210192016</v>
      </c>
      <c r="I11117" s="6" t="n">
        <f aca="false">Sens!I10998*(al_lic+Sens!I11115+sbc_r)</f>
        <v>36.3825094675438</v>
      </c>
      <c r="J11117" s="6" t="n">
        <f aca="false">Sens!J10998*(al_lic+Sens!J11115+sbc_r)</f>
        <v>37.3416747317214</v>
      </c>
      <c r="K11117" s="6" t="n">
        <f aca="false">Sens!K10998*(al_lic+Sens!K11115+sbc_r)</f>
        <v>38.1422715276772</v>
      </c>
    </row>
    <row r="11118" customFormat="false" ht="17.15" hidden="false" customHeight="false" outlineLevel="0" collapsed="false">
      <c r="A11118" s="0" t="s">
        <v>1238</v>
      </c>
      <c r="B11118" s="0" t="s">
        <v>98</v>
      </c>
      <c r="F11118" s="6" t="n">
        <f aca="false">Sens!F11000*(al_ind+Sens!F11115+sbc_r)</f>
        <v>9.0585054586664</v>
      </c>
      <c r="G11118" s="6" t="n">
        <f aca="false">Sens!G11000*(al_ind+Sens!G11115+sbc_r)</f>
        <v>9.82319427592115</v>
      </c>
      <c r="H11118" s="6" t="n">
        <f aca="false">Sens!H11000*(al_ind+Sens!H11115+sbc_r)</f>
        <v>10.6349209434657</v>
      </c>
      <c r="I11118" s="6" t="n">
        <f aca="false">Sens!I11000*(al_ind+Sens!I11115+sbc_r)</f>
        <v>11.4917112152663</v>
      </c>
      <c r="J11118" s="6" t="n">
        <f aca="false">Sens!J11000*(al_ind+Sens!J11115+sbc_r)</f>
        <v>12.3824597247491</v>
      </c>
      <c r="K11118" s="6" t="n">
        <f aca="false">Sens!K11000*(al_ind+Sens!K11115+sbc_r)</f>
        <v>13.2889095112867</v>
      </c>
    </row>
    <row r="11119" customFormat="false" ht="17.15" hidden="false" customHeight="false" outlineLevel="0" collapsed="false">
      <c r="A11119" s="0" t="s">
        <v>1239</v>
      </c>
      <c r="B11119" s="0" t="s">
        <v>98</v>
      </c>
      <c r="F11119" s="6" t="n">
        <f aca="false">Sens!F11002*(al_fro+Sens!F11115+sbc_r)</f>
        <v>3.55327967837433</v>
      </c>
      <c r="G11119" s="6" t="n">
        <f aca="false">Sens!G11002*(al_fro+Sens!G11115+sbc_r)</f>
        <v>3.75864202787019</v>
      </c>
      <c r="H11119" s="6" t="n">
        <f aca="false">Sens!H11002*(al_fro+Sens!H11115+sbc_r)</f>
        <v>3.9939119541015</v>
      </c>
      <c r="I11119" s="6" t="n">
        <f aca="false">Sens!I11002*(al_fro+Sens!I11115+sbc_r)</f>
        <v>4.26213752350865</v>
      </c>
      <c r="J11119" s="6" t="n">
        <f aca="false">Sens!J11002*(al_fro+Sens!J11115+sbc_r)</f>
        <v>4.56386552120808</v>
      </c>
      <c r="K11119" s="6" t="n">
        <f aca="false">Sens!K11002*(al_fro+Sens!K11115+sbc_r)</f>
        <v>4.89796028262426</v>
      </c>
    </row>
    <row r="11120" customFormat="false" ht="17.15" hidden="false" customHeight="false" outlineLevel="0" collapsed="false">
      <c r="A11120" s="0" t="s">
        <v>1240</v>
      </c>
      <c r="B11120" s="0" t="s">
        <v>98</v>
      </c>
      <c r="F11120" s="6" t="n">
        <f aca="false">Sens!F11005*(al_srch+Sens!F11115+sbc_r)</f>
        <v>11.2250745448159</v>
      </c>
      <c r="G11120" s="6" t="n">
        <f aca="false">Sens!G11005*(al_srch+Sens!G11115+sbc_r)</f>
        <v>12.3988682711814</v>
      </c>
      <c r="H11120" s="6" t="n">
        <f aca="false">Sens!H11005*(al_srch+Sens!H11115+sbc_r)</f>
        <v>13.7041063969192</v>
      </c>
      <c r="I11120" s="6" t="n">
        <f aca="false">Sens!I11005*(al_srch+Sens!I11115+sbc_r)</f>
        <v>15.1525984828357</v>
      </c>
      <c r="J11120" s="6" t="n">
        <f aca="false">Sens!J11005*(al_srch+Sens!J11115+sbc_r)</f>
        <v>16.7456692758297</v>
      </c>
      <c r="K11120" s="6" t="n">
        <f aca="false">Sens!K11005*(al_srch+Sens!K11115+sbc_r)</f>
        <v>18.4753994669234</v>
      </c>
    </row>
    <row r="11121" customFormat="false" ht="17.15" hidden="false" customHeight="false" outlineLevel="0" collapsed="false">
      <c r="A11121" s="0" t="s">
        <v>1241</v>
      </c>
      <c r="B11121" s="0" t="s">
        <v>98</v>
      </c>
      <c r="F11121" s="6" t="n">
        <f aca="false">Sens!F10973-Sens!F10974+Sens!F11055</f>
        <v>45.3782580567763</v>
      </c>
      <c r="G11121" s="6" t="n">
        <f aca="false">Sens!G10973-Sens!G10974+Sens!G11055</f>
        <v>91.0863367558165</v>
      </c>
      <c r="H11121" s="6" t="n">
        <f aca="false">Sens!H10973-Sens!H10974+Sens!H11055</f>
        <v>144.617532464853</v>
      </c>
      <c r="I11121" s="6" t="n">
        <f aca="false">Sens!I10973-Sens!I10974+Sens!I11055</f>
        <v>187.137304561304</v>
      </c>
      <c r="J11121" s="6" t="n">
        <f aca="false">Sens!J10973-Sens!J10974+Sens!J11055</f>
        <v>217.006854425907</v>
      </c>
      <c r="K11121" s="6" t="n">
        <f aca="false">Sens!K10973-Sens!K10974+Sens!K11055</f>
        <v>234.933637903877</v>
      </c>
    </row>
    <row r="11122" customFormat="false" ht="17.15" hidden="false" customHeight="false" outlineLevel="0" collapsed="false">
      <c r="A11122" s="0" t="s">
        <v>1242</v>
      </c>
      <c r="B11122" s="0" t="s">
        <v>98</v>
      </c>
      <c r="F11122" s="6" t="n">
        <f aca="false">Sens!F11034+Sens!F11055+Sens!F10985+Sens!F11115*(Sens!F11004-Sens!F10967)+sbc_r*Sens!F11004</f>
        <v>240.813488356467</v>
      </c>
      <c r="G11122" s="6" t="n">
        <f aca="false">Sens!G11034+Sens!G11055+Sens!G10985+Sens!G11115*(Sens!G11004-Sens!G10967)+sbc_r*Sens!G11004</f>
        <v>311.900369491633</v>
      </c>
      <c r="H11122" s="6" t="n">
        <f aca="false">Sens!H11034+Sens!H11055+Sens!H10985+Sens!H11115*(Sens!H11004-Sens!H10967)+sbc_r*Sens!H11004</f>
        <v>395.4480793471</v>
      </c>
      <c r="I11122" s="6" t="n">
        <f aca="false">Sens!I11034+Sens!I11055+Sens!I10985+Sens!I11115*(Sens!I11004-Sens!I10967)+sbc_r*Sens!I11004</f>
        <v>465.881993049366</v>
      </c>
      <c r="J11122" s="6" t="n">
        <f aca="false">Sens!J11034+Sens!J11055+Sens!J10985+Sens!J11115*(Sens!J11004-Sens!J10967)+sbc_r*Sens!J11004</f>
        <v>520.674666077041</v>
      </c>
      <c r="K11122" s="6" t="n">
        <f aca="false">Sens!K11034+Sens!K11055+Sens!K10985+Sens!K11115*(Sens!K11004-Sens!K10967)+sbc_r*Sens!K11004</f>
        <v>561.076147187826</v>
      </c>
    </row>
    <row r="11123" customFormat="false" ht="17.15" hidden="false" customHeight="false" outlineLevel="0" collapsed="false">
      <c r="A11123" s="0" t="s">
        <v>1243</v>
      </c>
      <c r="B11123" s="0" t="s">
        <v>98</v>
      </c>
      <c r="F11123" s="6" t="n">
        <f aca="false">Sens!F11122-Sens!F11116-Sens!F11117-Sens!F11118-Sens!F11119-Sens!F11121</f>
        <v>65.4498302473953</v>
      </c>
      <c r="G11123" s="6" t="n">
        <f aca="false">Sens!G11122-Sens!G11116-Sens!G11117-Sens!G11118-Sens!G11119-Sens!G11121</f>
        <v>74.1738140489407</v>
      </c>
      <c r="H11123" s="6" t="n">
        <f aca="false">Sens!H11122-Sens!H11116-Sens!H11117-Sens!H11118-Sens!H11119-Sens!H11121</f>
        <v>87.3771772002528</v>
      </c>
      <c r="I11123" s="6" t="n">
        <f aca="false">Sens!I11122-Sens!I11116-Sens!I11117-Sens!I11118-Sens!I11119-Sens!I11121</f>
        <v>100.018737700699</v>
      </c>
      <c r="J11123" s="6" t="n">
        <f aca="false">Sens!J11122-Sens!J11116-Sens!J11117-Sens!J11118-Sens!J11119-Sens!J11121</f>
        <v>111.435547466979</v>
      </c>
      <c r="K11123" s="6" t="n">
        <f aca="false">Sens!K11122-Sens!K11116-Sens!K11117-Sens!K11118-Sens!K11119-Sens!K11121</f>
        <v>120.901203237528</v>
      </c>
    </row>
    <row r="11124" customFormat="false" ht="17.15" hidden="false" customHeight="false" outlineLevel="0" collapsed="false">
      <c r="A11124" s="0" t="s">
        <v>1244</v>
      </c>
      <c r="B11124" s="0" t="s">
        <v>98</v>
      </c>
      <c r="F11124" s="6" t="n">
        <f aca="false">Sens!F11036+Sens!F11115*Sens!F11011+sbc_r*Sens!F11011</f>
        <v>26.6661152655039</v>
      </c>
      <c r="G11124" s="6" t="n">
        <f aca="false">Sens!G11036+Sens!G11115*Sens!G11011+sbc_r*Sens!G11011</f>
        <v>26.5886632228097</v>
      </c>
      <c r="H11124" s="6" t="n">
        <f aca="false">Sens!H11036+Sens!H11115*Sens!H11011+sbc_r*Sens!H11011</f>
        <v>27.6385819880598</v>
      </c>
      <c r="I11124" s="6" t="n">
        <f aca="false">Sens!I11036+Sens!I11115*Sens!I11011+sbc_r*Sens!I11011</f>
        <v>29.0374519051262</v>
      </c>
      <c r="J11124" s="6" t="n">
        <f aca="false">Sens!J11036+Sens!J11115*Sens!J11011+sbc_r*Sens!J11011</f>
        <v>30.7683027947699</v>
      </c>
      <c r="K11124" s="6" t="n">
        <f aca="false">Sens!K11036+Sens!K11115*Sens!K11011+sbc_r*Sens!K11011</f>
        <v>32.8095543140986</v>
      </c>
    </row>
    <row r="11125" customFormat="false" ht="17.15" hidden="false" customHeight="false" outlineLevel="0" collapsed="false">
      <c r="A11125" s="0" t="s">
        <v>1245</v>
      </c>
      <c r="B11125" s="0" t="s">
        <v>98</v>
      </c>
      <c r="F11125" s="6" t="n">
        <f aca="false">(Sens!F11124-Sens!F11120)*Sens!F11007/(Sens!F11007+Sens!F11009)</f>
        <v>8.72087618970219</v>
      </c>
      <c r="G11125" s="6" t="n">
        <f aca="false">(Sens!G11124-Sens!G11120)*Sens!G11007/(Sens!G11007+Sens!G11009)</f>
        <v>7.87645651274156</v>
      </c>
      <c r="H11125" s="6" t="n">
        <f aca="false">(Sens!H11124-Sens!H11120)*Sens!H11007/(Sens!H11007+Sens!H11009)</f>
        <v>7.63397342545201</v>
      </c>
      <c r="I11125" s="6" t="n">
        <f aca="false">(Sens!I11124-Sens!I11120)*Sens!I11007/(Sens!I11007+Sens!I11009)</f>
        <v>7.54039252451062</v>
      </c>
      <c r="J11125" s="6" t="n">
        <f aca="false">(Sens!J11124-Sens!J11120)*Sens!J11007/(Sens!J11007+Sens!J11009)</f>
        <v>7.58199138957796</v>
      </c>
      <c r="K11125" s="6" t="n">
        <f aca="false">(Sens!K11124-Sens!K11120)*Sens!K11007/(Sens!K11007+Sens!K11009)</f>
        <v>7.75042993752661</v>
      </c>
    </row>
    <row r="11126" customFormat="false" ht="17.15" hidden="false" customHeight="false" outlineLevel="0" collapsed="false">
      <c r="A11126" s="0" t="s">
        <v>1246</v>
      </c>
      <c r="B11126" s="0" t="s">
        <v>98</v>
      </c>
      <c r="F11126" s="6" t="n">
        <f aca="false">Sens!F11124-Sens!F11120-Sens!F11125</f>
        <v>6.72016453098589</v>
      </c>
      <c r="G11126" s="6" t="n">
        <f aca="false">Sens!G11124-Sens!G11120-Sens!G11125</f>
        <v>6.31333843888675</v>
      </c>
      <c r="H11126" s="6" t="n">
        <f aca="false">Sens!H11124-Sens!H11120-Sens!H11125</f>
        <v>6.30050216568858</v>
      </c>
      <c r="I11126" s="6" t="n">
        <f aca="false">Sens!I11124-Sens!I11120-Sens!I11125</f>
        <v>6.34446089777982</v>
      </c>
      <c r="J11126" s="6" t="n">
        <f aca="false">Sens!J11124-Sens!J11120-Sens!J11125</f>
        <v>6.44064212936232</v>
      </c>
      <c r="K11126" s="6" t="n">
        <f aca="false">Sens!K11124-Sens!K11120-Sens!K11125</f>
        <v>6.5837249096485</v>
      </c>
    </row>
    <row r="11127" customFormat="false" ht="17.15" hidden="false" customHeight="false" outlineLevel="0" collapsed="false">
      <c r="A11127" s="0" t="s">
        <v>1247</v>
      </c>
      <c r="B11127" s="0" t="s">
        <v>98</v>
      </c>
      <c r="F11127" s="6" t="n">
        <f aca="false">Sens!F11121-tax_f*(Sens!F11121-Sens!F10985)-Sens!F10982</f>
        <v>-125.235434701028</v>
      </c>
      <c r="G11127" s="6" t="n">
        <f aca="false">Sens!G11121-tax_f*(Sens!G11121-Sens!G10985)-Sens!G10982</f>
        <v>-106.928508113935</v>
      </c>
      <c r="H11127" s="6" t="n">
        <f aca="false">Sens!H11121-tax_f*(Sens!H11121-Sens!H10985)-Sens!H10982</f>
        <v>-63.2919599603405</v>
      </c>
      <c r="I11127" s="6" t="n">
        <f aca="false">Sens!I11121-tax_f*(Sens!I11121-Sens!I10985)-Sens!I10982</f>
        <v>3.94121196634245</v>
      </c>
      <c r="J11127" s="6" t="n">
        <f aca="false">Sens!J11121-tax_f*(Sens!J11121-Sens!J10985)-Sens!J10982</f>
        <v>71.0786869547042</v>
      </c>
      <c r="K11127" s="6" t="n">
        <f aca="false">Sens!K11121-tax_f*(Sens!K11121-Sens!K10985)-Sens!K10982</f>
        <v>97.5865911685559</v>
      </c>
    </row>
    <row r="11128" customFormat="false" ht="17.15" hidden="false" customHeight="false" outlineLevel="0" collapsed="false">
      <c r="A11128" s="0" t="s">
        <v>1248</v>
      </c>
      <c r="B11128" s="0" t="s">
        <v>98</v>
      </c>
      <c r="G11128" s="6" t="n">
        <f aca="false">Sens!G11127/(1+wacc)^(Sens!G11098-Sens!F11099)</f>
        <v>-101.81651667568</v>
      </c>
      <c r="H11128" s="6" t="n">
        <f aca="false">Sens!H11127/(1+wacc)^(Sens!H11098-Sens!F11099)</f>
        <v>-54.6415143556151</v>
      </c>
      <c r="I11128" s="6" t="n">
        <f aca="false">Sens!I11127/(1+wacc)^(Sens!I11098-Sens!F11099)</f>
        <v>3.08498765169516</v>
      </c>
      <c r="J11128" s="6" t="n">
        <f aca="false">Sens!J11127/(1+wacc)^(Sens!J11098-Sens!F11099)</f>
        <v>50.4443451596971</v>
      </c>
      <c r="K11128" s="6" t="n">
        <f aca="false">Sens!K11127/(1+wacc)^(Sens!K11098-Sens!F11099)</f>
        <v>62.7932114544856</v>
      </c>
      <c r="L11128" s="1" t="s">
        <v>1249</v>
      </c>
    </row>
    <row r="11129" customFormat="false" ht="17.15" hidden="false" customHeight="false" outlineLevel="0" collapsed="false">
      <c r="A11129" s="0" t="s">
        <v>1250</v>
      </c>
      <c r="B11129" s="0" t="s">
        <v>98</v>
      </c>
      <c r="C11129" s="6" t="n">
        <f aca="false">(Sens!K11121-Sens!K10985)*(1-tax_f)*(1+g_tv)*(1-g_tv/(wacc+ronic_prem))/(wacc-g_tv)/(1+wacc)^(Sens!K11099-Sens!F11099)</f>
        <v>450.836735002813</v>
      </c>
    </row>
    <row r="11130" customFormat="false" ht="17.15" hidden="false" customHeight="false" outlineLevel="0" collapsed="false">
      <c r="A11130" s="1" t="s">
        <v>1251</v>
      </c>
      <c r="B11130" s="0" t="s">
        <v>98</v>
      </c>
      <c r="C11130" s="6" t="n">
        <f aca="false">(SUM(Sens!G11128:K11128)+Sens!$C$11129)*(1+wacc)^(t_roll-Sens!F11099)</f>
        <v>424.259738494477</v>
      </c>
      <c r="L11130" s="12" t="s">
        <v>1252</v>
      </c>
    </row>
    <row r="11131" customFormat="false" ht="17.15" hidden="false" customHeight="false" outlineLevel="0" collapsed="false">
      <c r="A11131" s="1" t="s">
        <v>1253</v>
      </c>
      <c r="B11131" s="0" t="s">
        <v>98</v>
      </c>
      <c r="C11131" s="6" t="n">
        <f aca="false">(w_ntm28*Sens!G10973+(1-w_ntm28)*Sens!H10973)*m_ai</f>
        <v>563.316843258668</v>
      </c>
    </row>
    <row r="11132" customFormat="false" ht="17.15" hidden="false" customHeight="false" outlineLevel="0" collapsed="false">
      <c r="A11132" s="1" t="s">
        <v>1254</v>
      </c>
      <c r="B11132" s="0" t="s">
        <v>98</v>
      </c>
      <c r="C11132" s="6" t="n">
        <f aca="false">(w_ntm28*Sens!G11123+(1-w_ntm28)*Sens!H11123)*m_cloud</f>
        <v>1085.07240454029</v>
      </c>
    </row>
    <row r="11133" customFormat="false" ht="17.15" hidden="false" customHeight="false" outlineLevel="0" collapsed="false">
      <c r="A11133" s="1" t="s">
        <v>1255</v>
      </c>
      <c r="B11133" s="0" t="s">
        <v>98</v>
      </c>
      <c r="C11133" s="6" t="n">
        <f aca="false">(w_ntm28*Sens!G11116+(1-w_ntm28)*Sens!H11116)*m_sw</f>
        <v>1120.35914318031</v>
      </c>
    </row>
    <row r="11134" customFormat="false" ht="17.15" hidden="false" customHeight="false" outlineLevel="0" collapsed="false">
      <c r="A11134" s="1" t="s">
        <v>1256</v>
      </c>
      <c r="B11134" s="0" t="s">
        <v>98</v>
      </c>
      <c r="C11134" s="6" t="n">
        <f aca="false">(w_ntm28*Sens!G11117+(1-w_ntm28)*Sens!H11117)*m_sw</f>
        <v>372.652033417656</v>
      </c>
    </row>
    <row r="11135" customFormat="false" ht="17.15" hidden="false" customHeight="false" outlineLevel="0" collapsed="false">
      <c r="A11135" s="1" t="s">
        <v>1257</v>
      </c>
      <c r="B11135" s="0" t="s">
        <v>98</v>
      </c>
      <c r="C11135" s="6" t="n">
        <f aca="false">(w_ntm28*Sens!G11118+(1-w_ntm28)*Sens!H11118)*m_sw</f>
        <v>108.972683826901</v>
      </c>
    </row>
    <row r="11136" customFormat="false" ht="17.15" hidden="false" customHeight="false" outlineLevel="0" collapsed="false">
      <c r="A11136" s="1" t="s">
        <v>1258</v>
      </c>
      <c r="B11136" s="0" t="s">
        <v>98</v>
      </c>
      <c r="C11136" s="6" t="n">
        <f aca="false">(w_ntm28*Sens!G11119+(1-w_ntm28)*Sens!H11119)*m_sw</f>
        <v>41.4287032829043</v>
      </c>
    </row>
    <row r="11137" customFormat="false" ht="17.15" hidden="false" customHeight="false" outlineLevel="0" collapsed="false">
      <c r="A11137" s="1" t="s">
        <v>1259</v>
      </c>
      <c r="B11137" s="0" t="s">
        <v>98</v>
      </c>
      <c r="C11137" s="6" t="n">
        <f aca="false">(w_ntm28*Sens!G11120+(1-w_ntm28)*Sens!H11120)*m_ads</f>
        <v>116.862967536919</v>
      </c>
    </row>
    <row r="11138" customFormat="false" ht="17.15" hidden="false" customHeight="false" outlineLevel="0" collapsed="false">
      <c r="A11138" s="1" t="s">
        <v>1260</v>
      </c>
      <c r="B11138" s="0" t="s">
        <v>98</v>
      </c>
      <c r="C11138" s="6" t="n">
        <f aca="false">(w_ntm28*Sens!G11125+(1-w_ntm28)*Sens!H11125)*m_game</f>
        <v>98.4727762570326</v>
      </c>
    </row>
    <row r="11139" customFormat="false" ht="17.15" hidden="false" customHeight="false" outlineLevel="0" collapsed="false">
      <c r="A11139" s="1" t="s">
        <v>1261</v>
      </c>
      <c r="B11139" s="0" t="s">
        <v>98</v>
      </c>
      <c r="C11139" s="6" t="n">
        <f aca="false">(w_ntm28*Sens!G11126+(1-w_ntm28)*Sens!H11126)*m_pc</f>
        <v>91.2929417181397</v>
      </c>
    </row>
    <row r="11140" customFormat="false" ht="17.15" hidden="false" customHeight="false" outlineLevel="0" collapsed="false">
      <c r="A11140" s="1" t="s">
        <v>1262</v>
      </c>
      <c r="B11140" s="0" t="s">
        <v>98</v>
      </c>
      <c r="C11140" s="6" t="n">
        <f aca="false">Sens!$C$11130+Sens!$C$11132+Sens!$C$11133+Sens!$C$11134+Sens!$C$11135+Sens!$C$11136+Sens!$C$11137+Sens!$C$11138+Sens!$C$11139</f>
        <v>3459.37339225464</v>
      </c>
    </row>
    <row r="11141" customFormat="false" ht="17.15" hidden="false" customHeight="false" outlineLevel="0" collapsed="false">
      <c r="A11141" s="1" t="s">
        <v>1263</v>
      </c>
      <c r="B11141" s="0" t="s">
        <v>98</v>
      </c>
      <c r="C11141" s="6" t="n">
        <f aca="false">(Sens!G11102-Sens!G11127)*t_stub</f>
        <v>48.3042969985434</v>
      </c>
      <c r="L11141" s="1" t="s">
        <v>1264</v>
      </c>
    </row>
    <row r="11142" customFormat="false" ht="17.15" hidden="false" customHeight="false" outlineLevel="0" collapsed="false">
      <c r="A11142" s="1" t="s">
        <v>1173</v>
      </c>
      <c r="B11142" s="0" t="s">
        <v>98</v>
      </c>
      <c r="C11142" s="6" t="n">
        <f aca="false">Sens!F11089+oai_v-Sens!F11078+Sens!$C$11141</f>
        <v>162.532566998543</v>
      </c>
      <c r="L11142" s="1" t="s">
        <v>1265</v>
      </c>
    </row>
    <row r="11143" customFormat="false" ht="17.15" hidden="false" customHeight="false" outlineLevel="0" collapsed="false">
      <c r="A11143" s="1" t="s">
        <v>1266</v>
      </c>
      <c r="B11143" s="0" t="s">
        <v>75</v>
      </c>
      <c r="C11143" s="5" t="n">
        <f aca="false">(Sens!$C$11140+Sens!$C$11142)/(Sens!F11091+dil_gap)-Sens!G11081*roll_div_q/q_per_yr</f>
        <v>482.512002737138</v>
      </c>
      <c r="L11143" s="1" t="s">
        <v>1267</v>
      </c>
    </row>
    <row r="11144" customFormat="false" ht="17.15" hidden="false" customHeight="false" outlineLevel="0" collapsed="false">
      <c r="A11144" s="1" t="s">
        <v>1268</v>
      </c>
      <c r="B11144" s="0" t="s">
        <v>75</v>
      </c>
      <c r="C11144" s="5" t="n">
        <f aca="false">w_dcf*Sens!$C$11114+(1-w_dcf)*Sens!$C$11143</f>
        <v>423.863249323793</v>
      </c>
    </row>
    <row r="11145" customFormat="false" ht="17.15" hidden="false" customHeight="false" outlineLevel="0" collapsed="false">
      <c r="A11145" s="3" t="s">
        <v>1890</v>
      </c>
    </row>
    <row r="11146" customFormat="false" ht="15" hidden="false" customHeight="false" outlineLevel="0" collapsed="false">
      <c r="A11146" s="4" t="s">
        <v>43</v>
      </c>
      <c r="B11146" s="4" t="s">
        <v>65</v>
      </c>
      <c r="C11146" s="23" t="s">
        <v>942</v>
      </c>
      <c r="D11146" s="23" t="s">
        <v>943</v>
      </c>
      <c r="E11146" s="23" t="s">
        <v>944</v>
      </c>
      <c r="F11146" s="23" t="s">
        <v>945</v>
      </c>
      <c r="G11146" s="23" t="s">
        <v>946</v>
      </c>
      <c r="H11146" s="23" t="s">
        <v>947</v>
      </c>
      <c r="I11146" s="23" t="s">
        <v>948</v>
      </c>
      <c r="J11146" s="23" t="s">
        <v>949</v>
      </c>
      <c r="K11146" s="23" t="s">
        <v>950</v>
      </c>
      <c r="L11146" s="4" t="s">
        <v>47</v>
      </c>
    </row>
    <row r="11147" customFormat="false" ht="17.15" hidden="false" customHeight="false" outlineLevel="0" collapsed="false">
      <c r="A11147" s="1" t="s">
        <v>951</v>
      </c>
      <c r="B11147" s="1" t="s">
        <v>279</v>
      </c>
      <c r="C11147" s="21" t="n">
        <v>2024</v>
      </c>
      <c r="D11147" s="21" t="n">
        <v>2025</v>
      </c>
      <c r="E11147" s="21" t="n">
        <v>2026</v>
      </c>
      <c r="F11147" s="21" t="n">
        <v>2027</v>
      </c>
      <c r="G11147" s="21" t="n">
        <v>2028</v>
      </c>
      <c r="H11147" s="21" t="n">
        <v>2029</v>
      </c>
      <c r="I11147" s="21" t="n">
        <v>2030</v>
      </c>
      <c r="J11147" s="21" t="n">
        <v>2031</v>
      </c>
      <c r="K11147" s="21" t="n">
        <v>2032</v>
      </c>
    </row>
    <row r="11148" customFormat="false" ht="17.15" hidden="false" customHeight="false" outlineLevel="0" collapsed="false">
      <c r="A11148" s="1" t="s">
        <v>952</v>
      </c>
      <c r="B11148" s="0" t="s">
        <v>459</v>
      </c>
      <c r="F11148" s="30" t="n">
        <f aca="false">pace</f>
        <v>2726.5351</v>
      </c>
      <c r="G11148" s="30" t="n">
        <f aca="false">pace</f>
        <v>2726.5351</v>
      </c>
      <c r="H11148" s="30" t="n">
        <f aca="false">pace</f>
        <v>2726.5351</v>
      </c>
      <c r="I11148" s="30" t="n">
        <f aca="false">pace+(g_tv*Sens!H11149-pace)*MIN(1,(Sens!I11147-pace_y0)/(pace_y1-pace_y0))</f>
        <v>1931.98611966667</v>
      </c>
      <c r="J11148" s="30" t="n">
        <f aca="false">pace+(g_tv*Sens!I11149-pace)*MIN(1,(Sens!J11147-pace_y0)/(pace_y1-pace_y0))</f>
        <v>1176.07686172667</v>
      </c>
      <c r="K11148" s="30" t="n">
        <f aca="false">pace+(g_tv*Sens!J11149-pace)*MIN(1,(Sens!K11147-pace_y0)/(pace_y1-pace_y0))</f>
        <v>436.1300484418</v>
      </c>
      <c r="L11148" s="12" t="s">
        <v>953</v>
      </c>
    </row>
    <row r="11149" customFormat="false" ht="17.15" hidden="false" customHeight="false" outlineLevel="0" collapsed="false">
      <c r="A11149" s="1" t="s">
        <v>954</v>
      </c>
      <c r="B11149" s="0" t="s">
        <v>459</v>
      </c>
      <c r="C11149" s="30" t="n">
        <f aca="false">mw_ext_24</f>
        <v>640</v>
      </c>
      <c r="D11149" s="30" t="n">
        <f aca="false">mw_ext_25</f>
        <v>1630</v>
      </c>
      <c r="E11149" s="30" t="n">
        <f aca="false">mw_ext_26</f>
        <v>3250</v>
      </c>
      <c r="F11149" s="30" t="n">
        <f aca="false">Sens!E11149+Sens!F11148</f>
        <v>5976.5351</v>
      </c>
      <c r="G11149" s="30" t="n">
        <f aca="false">Sens!F11149+Sens!G11148</f>
        <v>8703.0702</v>
      </c>
      <c r="H11149" s="30" t="n">
        <f aca="false">Sens!G11149+Sens!H11148</f>
        <v>11429.6053</v>
      </c>
      <c r="I11149" s="30" t="n">
        <f aca="false">Sens!H11149+Sens!I11148</f>
        <v>13361.5914196667</v>
      </c>
      <c r="J11149" s="30" t="n">
        <f aca="false">Sens!I11149+Sens!J11148</f>
        <v>14537.6682813933</v>
      </c>
      <c r="K11149" s="30" t="n">
        <f aca="false">Sens!J11149+Sens!K11148</f>
        <v>14973.7983298351</v>
      </c>
      <c r="L11149" s="1" t="s">
        <v>955</v>
      </c>
    </row>
    <row r="11150" customFormat="false" ht="17.15" hidden="false" customHeight="false" outlineLevel="0" collapsed="false">
      <c r="A11150" s="1" t="s">
        <v>956</v>
      </c>
      <c r="B11150" s="0" t="s">
        <v>459</v>
      </c>
      <c r="C11150" s="30" t="n">
        <f aca="false">rent_ext_24</f>
        <v>150</v>
      </c>
      <c r="D11150" s="30" t="n">
        <f aca="false">rent_ext_25</f>
        <v>400</v>
      </c>
      <c r="E11150" s="30" t="n">
        <f aca="false">rent_ext_26</f>
        <v>550</v>
      </c>
      <c r="F11150" s="30" t="n">
        <f aca="false">rent_ext_f</f>
        <v>756</v>
      </c>
      <c r="G11150" s="30" t="n">
        <f aca="false">rent_ext_f</f>
        <v>756</v>
      </c>
      <c r="H11150" s="30" t="n">
        <f aca="false">rent_ext_f</f>
        <v>756</v>
      </c>
      <c r="I11150" s="30" t="n">
        <f aca="false">rent_ext_f</f>
        <v>756</v>
      </c>
      <c r="J11150" s="30" t="n">
        <f aca="false">rent_ext_f</f>
        <v>756</v>
      </c>
      <c r="K11150" s="30" t="n">
        <f aca="false">rent_ext_f</f>
        <v>756</v>
      </c>
      <c r="L11150" s="1" t="s">
        <v>957</v>
      </c>
    </row>
    <row r="11151" customFormat="false" ht="17.15" hidden="false" customHeight="false" outlineLevel="0" collapsed="false">
      <c r="A11151" s="1" t="s">
        <v>958</v>
      </c>
      <c r="B11151" s="0" t="s">
        <v>459</v>
      </c>
      <c r="C11151" s="30" t="n">
        <f aca="false">Sens!C11149-Sens!C11150</f>
        <v>490</v>
      </c>
      <c r="D11151" s="30" t="n">
        <f aca="false">Sens!D11149-Sens!D11150</f>
        <v>1230</v>
      </c>
      <c r="E11151" s="30" t="n">
        <f aca="false">Sens!E11149-Sens!E11150</f>
        <v>2700</v>
      </c>
      <c r="F11151" s="30" t="n">
        <f aca="false">Sens!F11149-Sens!F11150</f>
        <v>5220.5351</v>
      </c>
      <c r="G11151" s="30" t="n">
        <f aca="false">Sens!G11149-Sens!G11150</f>
        <v>7947.0702</v>
      </c>
      <c r="H11151" s="30" t="n">
        <f aca="false">Sens!H11149-Sens!H11150</f>
        <v>10673.6053</v>
      </c>
      <c r="I11151" s="30" t="n">
        <f aca="false">Sens!I11149-Sens!I11150</f>
        <v>12605.5914196667</v>
      </c>
      <c r="J11151" s="30" t="n">
        <f aca="false">Sens!J11149-Sens!J11150</f>
        <v>13781.6682813933</v>
      </c>
      <c r="K11151" s="30" t="n">
        <f aca="false">Sens!K11149-Sens!K11150</f>
        <v>14217.7983298351</v>
      </c>
    </row>
    <row r="11152" customFormat="false" ht="17.15" hidden="false" customHeight="false" outlineLevel="0" collapsed="false">
      <c r="A11152" s="1" t="s">
        <v>959</v>
      </c>
      <c r="B11152" s="0" t="s">
        <v>459</v>
      </c>
      <c r="C11152" s="30" t="n">
        <f aca="false">Sens!C11151/ext_sh</f>
        <v>816.666666666667</v>
      </c>
      <c r="D11152" s="30" t="n">
        <f aca="false">Sens!D11151/ext_sh</f>
        <v>2050</v>
      </c>
      <c r="E11152" s="30" t="n">
        <f aca="false">Sens!E11151/ext_sh</f>
        <v>4500</v>
      </c>
      <c r="F11152" s="30" t="n">
        <f aca="false">Sens!F11151/ext_sh</f>
        <v>8700.89183333333</v>
      </c>
      <c r="G11152" s="30" t="n">
        <f aca="false">Sens!G11151/ext_sh</f>
        <v>13245.117</v>
      </c>
      <c r="H11152" s="30" t="n">
        <f aca="false">Sens!H11151/ext_sh</f>
        <v>17789.3421666667</v>
      </c>
      <c r="I11152" s="30" t="n">
        <f aca="false">Sens!I11151/ext_sh</f>
        <v>21009.3190327778</v>
      </c>
      <c r="J11152" s="30" t="n">
        <f aca="false">Sens!J11151/ext_sh</f>
        <v>22969.4471356556</v>
      </c>
      <c r="K11152" s="30" t="n">
        <f aca="false">Sens!K11151/ext_sh</f>
        <v>23696.3305497252</v>
      </c>
      <c r="L11152" s="1" t="s">
        <v>960</v>
      </c>
    </row>
    <row r="11153" customFormat="false" ht="17.15" hidden="false" customHeight="false" outlineLevel="0" collapsed="false">
      <c r="A11153" s="1" t="s">
        <v>961</v>
      </c>
      <c r="B11153" s="0" t="s">
        <v>459</v>
      </c>
      <c r="C11153" s="30" t="n">
        <f aca="false">Sens!C11152-Sens!C11151</f>
        <v>326.666666666667</v>
      </c>
      <c r="D11153" s="30" t="n">
        <f aca="false">Sens!D11152-Sens!D11151</f>
        <v>820</v>
      </c>
      <c r="E11153" s="30" t="n">
        <f aca="false">Sens!E11152-Sens!E11151</f>
        <v>1800</v>
      </c>
      <c r="F11153" s="30" t="n">
        <f aca="false">Sens!F11152-Sens!F11151</f>
        <v>3480.35673333333</v>
      </c>
      <c r="G11153" s="30" t="n">
        <f aca="false">Sens!G11152-Sens!G11151</f>
        <v>5298.0468</v>
      </c>
      <c r="H11153" s="30" t="n">
        <f aca="false">Sens!H11152-Sens!H11151</f>
        <v>7115.73686666667</v>
      </c>
      <c r="I11153" s="30" t="n">
        <f aca="false">Sens!I11152-Sens!I11151</f>
        <v>8403.72761311111</v>
      </c>
      <c r="J11153" s="30" t="n">
        <f aca="false">Sens!J11152-Sens!J11151</f>
        <v>9187.77885426222</v>
      </c>
      <c r="K11153" s="30" t="n">
        <f aca="false">Sens!K11152-Sens!K11151</f>
        <v>9478.53221989009</v>
      </c>
    </row>
    <row r="11154" customFormat="false" ht="17.15" hidden="false" customHeight="false" outlineLevel="0" collapsed="false">
      <c r="A11154" s="1" t="s">
        <v>962</v>
      </c>
      <c r="B11154" s="0" t="s">
        <v>459</v>
      </c>
      <c r="C11154" s="30" t="n">
        <f aca="false">Sens!C11152</f>
        <v>816.666666666667</v>
      </c>
      <c r="D11154" s="30" t="n">
        <f aca="false">Sens!D11152-Sens!C11152</f>
        <v>1233.33333333333</v>
      </c>
      <c r="E11154" s="30" t="n">
        <f aca="false">Sens!E11152-Sens!D11152</f>
        <v>2450</v>
      </c>
      <c r="F11154" s="30" t="n">
        <f aca="false">Sens!F11152-Sens!E11152</f>
        <v>4200.89183333333</v>
      </c>
      <c r="G11154" s="30" t="n">
        <f aca="false">Sens!G11152-Sens!F11152</f>
        <v>4544.22516666667</v>
      </c>
      <c r="H11154" s="30" t="n">
        <f aca="false">Sens!H11152-Sens!G11152</f>
        <v>4544.22516666667</v>
      </c>
      <c r="I11154" s="30" t="n">
        <f aca="false">Sens!I11152-Sens!H11152</f>
        <v>3219.97686611111</v>
      </c>
      <c r="J11154" s="30" t="n">
        <f aca="false">Sens!J11152-Sens!I11152</f>
        <v>1960.12810287778</v>
      </c>
      <c r="K11154" s="30" t="n">
        <f aca="false">Sens!K11152-Sens!J11152</f>
        <v>726.883414069667</v>
      </c>
    </row>
    <row r="11155" customFormat="false" ht="17.15" hidden="false" customHeight="false" outlineLevel="0" collapsed="false">
      <c r="A11155" s="1" t="s">
        <v>963</v>
      </c>
      <c r="B11155" s="0" t="s">
        <v>459</v>
      </c>
      <c r="D11155" s="30" t="n">
        <f aca="false">Sens!D11149-Sens!C11149</f>
        <v>990</v>
      </c>
      <c r="E11155" s="30" t="n">
        <f aca="false">Sens!E11149-Sens!D11149</f>
        <v>1620</v>
      </c>
      <c r="F11155" s="30" t="n">
        <f aca="false">Sens!F11149-Sens!E11149</f>
        <v>2726.5351</v>
      </c>
      <c r="G11155" s="30" t="n">
        <f aca="false">Sens!G11149-Sens!F11149</f>
        <v>2726.5351</v>
      </c>
      <c r="H11155" s="30" t="n">
        <f aca="false">Sens!H11149-Sens!G11149</f>
        <v>2726.5351</v>
      </c>
      <c r="I11155" s="30" t="n">
        <f aca="false">Sens!I11149-Sens!H11149</f>
        <v>1931.98611966667</v>
      </c>
      <c r="J11155" s="30" t="n">
        <f aca="false">Sens!J11149-Sens!I11149</f>
        <v>1176.07686172667</v>
      </c>
      <c r="K11155" s="30" t="n">
        <f aca="false">Sens!K11149-Sens!J11149</f>
        <v>436.130048441799</v>
      </c>
    </row>
    <row r="11156" customFormat="false" ht="17.15" hidden="false" customHeight="false" outlineLevel="0" collapsed="false">
      <c r="A11156" s="1" t="s">
        <v>964</v>
      </c>
      <c r="B11156" s="0" t="s">
        <v>459</v>
      </c>
      <c r="F11156" s="30" t="n">
        <f aca="false">Sens!F11175*ext_sh</f>
        <v>0</v>
      </c>
      <c r="G11156" s="30" t="n">
        <f aca="false">Sens!G11175*ext_sh</f>
        <v>0</v>
      </c>
      <c r="H11156" s="30" t="n">
        <f aca="false">Sens!H11175*ext_sh</f>
        <v>0</v>
      </c>
      <c r="I11156" s="30" t="n">
        <f aca="false">Sens!I11175*ext_sh</f>
        <v>490</v>
      </c>
      <c r="J11156" s="30" t="n">
        <f aca="false">Sens!J11175*ext_sh</f>
        <v>740</v>
      </c>
      <c r="K11156" s="30" t="n">
        <f aca="false">Sens!K11175*ext_sh</f>
        <v>1470</v>
      </c>
      <c r="L11156" s="1" t="s">
        <v>965</v>
      </c>
    </row>
    <row r="11157" customFormat="false" ht="17.15" hidden="false" customHeight="false" outlineLevel="0" collapsed="false">
      <c r="A11157" s="1" t="s">
        <v>966</v>
      </c>
      <c r="B11157" s="0" t="s">
        <v>459</v>
      </c>
      <c r="C11157" s="30" t="n">
        <f aca="false">mix_h*Sens!C11149</f>
        <v>128</v>
      </c>
      <c r="D11157" s="30" t="n">
        <f aca="false">mix_h*Sens!D11149</f>
        <v>326</v>
      </c>
      <c r="E11157" s="30" t="n">
        <f aca="false">mix_h*Sens!E11149</f>
        <v>650</v>
      </c>
      <c r="F11157" s="30" t="n">
        <f aca="false">Sens!E11157-Sens!F11156*mix_h</f>
        <v>650</v>
      </c>
      <c r="G11157" s="30" t="n">
        <f aca="false">Sens!F11157-Sens!G11156*mix_h</f>
        <v>650</v>
      </c>
      <c r="H11157" s="30" t="n">
        <f aca="false">Sens!G11157-Sens!H11156*mix_h</f>
        <v>650</v>
      </c>
      <c r="I11157" s="30" t="n">
        <f aca="false">Sens!H11157-Sens!I11156*mix_h</f>
        <v>552</v>
      </c>
      <c r="J11157" s="30" t="n">
        <f aca="false">Sens!I11157-Sens!J11156*mix_h</f>
        <v>404</v>
      </c>
      <c r="K11157" s="30" t="n">
        <f aca="false">Sens!J11157-Sens!K11156*mix_h</f>
        <v>110</v>
      </c>
    </row>
    <row r="11158" customFormat="false" ht="17.15" hidden="false" customHeight="false" outlineLevel="0" collapsed="false">
      <c r="A11158" s="1" t="s">
        <v>967</v>
      </c>
      <c r="B11158" s="0" t="s">
        <v>459</v>
      </c>
      <c r="C11158" s="30" t="n">
        <f aca="false">mix_g2*Sens!C11149</f>
        <v>288</v>
      </c>
      <c r="D11158" s="30" t="n">
        <f aca="false">mix_g2*Sens!D11149</f>
        <v>733.5</v>
      </c>
      <c r="E11158" s="30" t="n">
        <f aca="false">mix_g2*Sens!E11149</f>
        <v>1462.5</v>
      </c>
      <c r="F11158" s="30" t="n">
        <f aca="false">Sens!E11158-Sens!F11156*mix_g2</f>
        <v>1462.5</v>
      </c>
      <c r="G11158" s="30" t="n">
        <f aca="false">Sens!F11158-Sens!G11156*mix_g2</f>
        <v>1462.5</v>
      </c>
      <c r="H11158" s="30" t="n">
        <f aca="false">Sens!G11158-Sens!H11156*mix_g2</f>
        <v>1462.5</v>
      </c>
      <c r="I11158" s="30" t="n">
        <f aca="false">Sens!H11158-Sens!I11156*mix_g2</f>
        <v>1242</v>
      </c>
      <c r="J11158" s="30" t="n">
        <f aca="false">Sens!I11158-Sens!J11156*mix_g2</f>
        <v>909</v>
      </c>
      <c r="K11158" s="30" t="n">
        <f aca="false">Sens!J11158-Sens!K11156*mix_g2</f>
        <v>247.5</v>
      </c>
    </row>
    <row r="11159" customFormat="false" ht="17.15" hidden="false" customHeight="false" outlineLevel="0" collapsed="false">
      <c r="A11159" s="1" t="s">
        <v>968</v>
      </c>
      <c r="B11159" s="0" t="s">
        <v>459</v>
      </c>
      <c r="C11159" s="30" t="n">
        <f aca="false">mix_g3*Sens!C11149</f>
        <v>224</v>
      </c>
      <c r="D11159" s="30" t="n">
        <f aca="false">mix_g3*Sens!D11149</f>
        <v>570.5</v>
      </c>
      <c r="E11159" s="30" t="n">
        <f aca="false">mix_g3*Sens!E11149</f>
        <v>1137.5</v>
      </c>
      <c r="F11159" s="30" t="n">
        <f aca="false">Sens!E11159+(Sens!F11155+Sens!F11156)*(a_g3_27-nonnv*a_mai)-Sens!F11156*mix_g3</f>
        <v>2773.42106</v>
      </c>
      <c r="G11159" s="30" t="n">
        <f aca="false">Sens!F11159+(Sens!G11155+Sens!G11156)*(a_g3_28-nonnv*a_mai)-Sens!G11156*mix_g3</f>
        <v>3318.72808</v>
      </c>
      <c r="H11159" s="30" t="n">
        <f aca="false">Sens!G11159+(Sens!H11155+Sens!H11156)*(a_g3_29-nonnv*a_mai)-Sens!H11156*mix_g3</f>
        <v>3318.72808</v>
      </c>
      <c r="I11159" s="30" t="n">
        <f aca="false">Sens!H11159+(Sens!I11155+Sens!I11156)*(a_g3_29-nonnv*a_mai)-Sens!I11156*mix_g3</f>
        <v>3147.22808</v>
      </c>
      <c r="J11159" s="30" t="n">
        <f aca="false">Sens!I11159+(Sens!J11155+Sens!J11156)*(a_g3_29-nonnv*a_mai)-Sens!J11156*mix_g3</f>
        <v>2888.22808</v>
      </c>
      <c r="K11159" s="30" t="n">
        <f aca="false">Sens!J11159+(Sens!K11155+Sens!K11156)*(a_g3_29-nonnv*a_mai)-Sens!K11156*mix_g3</f>
        <v>2373.72808</v>
      </c>
    </row>
    <row r="11160" customFormat="false" ht="17.15" hidden="false" customHeight="false" outlineLevel="0" collapsed="false">
      <c r="A11160" s="1" t="s">
        <v>969</v>
      </c>
      <c r="B11160" s="0" t="s">
        <v>459</v>
      </c>
      <c r="C11160" s="30" t="n">
        <v>0</v>
      </c>
      <c r="D11160" s="30" t="n">
        <v>0</v>
      </c>
      <c r="E11160" s="30" t="n">
        <v>0</v>
      </c>
      <c r="F11160" s="30" t="n">
        <f aca="false">Sens!E11160+(Sens!F11155+Sens!F11156)*nonnv*a_mai</f>
        <v>272.65351</v>
      </c>
      <c r="G11160" s="30" t="n">
        <f aca="false">Sens!F11160+(Sens!G11155+Sens!G11156)*nonnv*a_mai</f>
        <v>545.30702</v>
      </c>
      <c r="H11160" s="30" t="n">
        <f aca="false">Sens!G11160+(Sens!H11155+Sens!H11156)*nonnv*a_mai</f>
        <v>817.96053</v>
      </c>
      <c r="I11160" s="30" t="n">
        <f aca="false">Sens!H11160+(Sens!I11155+Sens!I11156)*nonnv*a_mai</f>
        <v>1060.15914196667</v>
      </c>
      <c r="J11160" s="30" t="n">
        <f aca="false">Sens!I11160+(Sens!J11155+Sens!J11156)*nonnv*a_mai</f>
        <v>1251.76682813933</v>
      </c>
      <c r="K11160" s="30" t="n">
        <f aca="false">Sens!J11160+(Sens!K11155+Sens!K11156)*nonnv*a_mai</f>
        <v>1442.37983298351</v>
      </c>
      <c r="L11160" s="12" t="s">
        <v>970</v>
      </c>
    </row>
    <row r="11161" customFormat="false" ht="17.15" hidden="false" customHeight="false" outlineLevel="0" collapsed="false">
      <c r="A11161" s="1" t="s">
        <v>971</v>
      </c>
      <c r="B11161" s="0" t="s">
        <v>459</v>
      </c>
      <c r="C11161" s="30" t="n">
        <v>0</v>
      </c>
      <c r="D11161" s="30" t="n">
        <v>0</v>
      </c>
      <c r="E11161" s="30" t="n">
        <v>0</v>
      </c>
      <c r="F11161" s="30" t="n">
        <f aca="false">Sens!E11161+(Sens!F11155+Sens!F11156)*(1-a_g3_27)</f>
        <v>817.96053</v>
      </c>
      <c r="G11161" s="30" t="n">
        <f aca="false">Sens!F11161+(Sens!G11155+Sens!G11156)*(1-a_g3_28)</f>
        <v>2726.5351</v>
      </c>
      <c r="H11161" s="30" t="n">
        <f aca="false">Sens!G11161+(Sens!H11155+Sens!H11156)*(1-a_g3_29)</f>
        <v>5180.41669</v>
      </c>
      <c r="I11161" s="30" t="n">
        <f aca="false">Sens!H11161+(Sens!I11155+Sens!I11156)*(1-a_g3_29)</f>
        <v>7360.2041977</v>
      </c>
      <c r="J11161" s="30" t="n">
        <f aca="false">Sens!I11161+(Sens!J11155+Sens!J11156)*(1-a_g3_29)</f>
        <v>9084.673373254</v>
      </c>
      <c r="K11161" s="30" t="n">
        <f aca="false">Sens!J11161+(Sens!K11155+Sens!K11156)*(1-a_g3_29)</f>
        <v>10800.1904168516</v>
      </c>
    </row>
    <row r="11162" customFormat="false" ht="17.15" hidden="false" customHeight="false" outlineLevel="0" collapsed="false">
      <c r="A11162" s="1" t="s">
        <v>972</v>
      </c>
      <c r="B11162" s="0" t="s">
        <v>403</v>
      </c>
      <c r="C11162" s="15" t="n">
        <f aca="false">(Sens!C11157*tk_hold_h100+Sens!C11158*tk_hold_gb200+Sens!C11159*tk_hold_gb300+Sens!C11161*tk_hold_vr200+Sens!C11160*nv_hold_mai*tk_hold_vr200)/Sens!C11149</f>
        <v>9.7235358126469</v>
      </c>
      <c r="D11162" s="15" t="n">
        <f aca="false">(Sens!D11157*tk_hold_h100+Sens!D11158*tk_hold_gb200+Sens!D11159*tk_hold_gb300+Sens!D11161*tk_hold_vr200+Sens!D11160*nv_hold_mai*tk_hold_vr200)/Sens!D11149</f>
        <v>9.7235358126469</v>
      </c>
      <c r="E11162" s="15" t="n">
        <f aca="false">(Sens!E11157*tk_hold_h100+Sens!E11158*tk_hold_gb200+Sens!E11159*tk_hold_gb300+Sens!E11161*tk_hold_vr200+Sens!E11160*nv_hold_mai*tk_hold_vr200)/Sens!E11149</f>
        <v>9.7235358126469</v>
      </c>
      <c r="F11162" s="15" t="n">
        <f aca="false">(Sens!F11157*tk_hold_h100+Sens!F11158*tk_hold_gb200+Sens!F11159*tk_hold_gb300+Sens!F11161*tk_hold_vr200+Sens!F11160*nv_hold_mai*tk_hold_vr200)/Sens!F11149</f>
        <v>10.2195353876665</v>
      </c>
      <c r="G11162" s="15" t="n">
        <f aca="false">(Sens!G11157*tk_hold_h100+Sens!G11158*tk_hold_gb200+Sens!G11159*tk_hold_gb300+Sens!G11161*tk_hold_vr200+Sens!G11160*nv_hold_mai*tk_hold_vr200)/Sens!G11149</f>
        <v>10.5725598017306</v>
      </c>
      <c r="H11162" s="15" t="n">
        <f aca="false">(Sens!H11157*tk_hold_h100+Sens!H11158*tk_hold_gb200+Sens!H11159*tk_hold_gb300+Sens!H11161*tk_hold_vr200+Sens!H11160*nv_hold_mai*tk_hold_vr200)/Sens!H11149</f>
        <v>10.8210427149036</v>
      </c>
      <c r="I11162" s="15" t="n">
        <f aca="false">(Sens!I11157*tk_hold_h100+Sens!I11158*tk_hold_gb200+Sens!I11159*tk_hold_gb300+Sens!I11161*tk_hold_vr200+Sens!I11160*nv_hold_mai*tk_hold_vr200)/Sens!I11149</f>
        <v>11.0050618241982</v>
      </c>
      <c r="J11162" s="15" t="n">
        <f aca="false">(Sens!J11157*tk_hold_h100+Sens!J11158*tk_hold_gb200+Sens!J11159*tk_hold_gb300+Sens!J11161*tk_hold_vr200+Sens!J11160*nv_hold_mai*tk_hold_vr200)/Sens!J11149</f>
        <v>11.1505789658881</v>
      </c>
      <c r="K11162" s="15" t="n">
        <f aca="false">(Sens!K11157*tk_hold_h100+Sens!K11158*tk_hold_gb200+Sens!K11159*tk_hold_gb300+Sens!K11161*tk_hold_vr200+Sens!K11160*nv_hold_mai*tk_hold_vr200)/Sens!K11149</f>
        <v>11.3496914757183</v>
      </c>
      <c r="L11162" s="1" t="s">
        <v>973</v>
      </c>
    </row>
    <row r="11163" customFormat="false" ht="17.15" hidden="false" customHeight="false" outlineLevel="0" collapsed="false">
      <c r="A11163" s="1" t="s">
        <v>974</v>
      </c>
      <c r="B11163" s="0" t="s">
        <v>403</v>
      </c>
      <c r="C11163" s="15" t="n">
        <f aca="false">(Sens!C11157*tk_hold_h100+Sens!C11158*tk_hold_gb200+Sens!C11159*tk_hold_gb300+Sens!C11161*tk_hold_vr200+Sens!C11160*nv_out_mai*tk_hold_vr200)/Sens!C11149</f>
        <v>9.7235358126469</v>
      </c>
      <c r="D11163" s="15" t="n">
        <f aca="false">(Sens!D11157*tk_hold_h100+Sens!D11158*tk_hold_gb200+Sens!D11159*tk_hold_gb300+Sens!D11161*tk_hold_vr200+Sens!D11160*nv_out_mai*tk_hold_vr200)/Sens!D11149</f>
        <v>9.7235358126469</v>
      </c>
      <c r="E11163" s="15" t="n">
        <f aca="false">(Sens!E11157*tk_hold_h100+Sens!E11158*tk_hold_gb200+Sens!E11159*tk_hold_gb300+Sens!E11161*tk_hold_vr200+Sens!E11160*nv_out_mai*tk_hold_vr200)/Sens!E11149</f>
        <v>9.7235358126469</v>
      </c>
      <c r="F11163" s="15" t="n">
        <f aca="false">(Sens!F11157*tk_hold_h100+Sens!F11158*tk_hold_gb200+Sens!F11159*tk_hold_gb300+Sens!F11161*tk_hold_vr200+Sens!F11160*nv_out_mai*tk_hold_vr200)/Sens!F11149</f>
        <v>10.247422093969</v>
      </c>
      <c r="G11163" s="15" t="n">
        <f aca="false">(Sens!G11157*tk_hold_h100+Sens!G11158*tk_hold_gb200+Sens!G11159*tk_hold_gb300+Sens!G11161*tk_hold_vr200+Sens!G11160*nv_out_mai*tk_hold_vr200)/Sens!G11149</f>
        <v>10.6108602808053</v>
      </c>
      <c r="H11163" s="15" t="n">
        <f aca="false">(Sens!H11157*tk_hold_h100+Sens!H11158*tk_hold_gb200+Sens!H11159*tk_hold_gb300+Sens!H11161*tk_hold_vr200+Sens!H11160*nv_out_mai*tk_hold_vr200)/Sens!H11149</f>
        <v>10.8647885507393</v>
      </c>
      <c r="I11163" s="15" t="n">
        <f aca="false">(Sens!I11157*tk_hold_h100+Sens!I11158*tk_hold_gb200+Sens!I11159*tk_hold_gb300+Sens!I11161*tk_hold_vr200+Sens!I11160*nv_out_mai*tk_hold_vr200)/Sens!I11149</f>
        <v>11.0535625770025</v>
      </c>
      <c r="J11163" s="15" t="n">
        <f aca="false">(Sens!J11157*tk_hold_h100+Sens!J11158*tk_hold_gb200+Sens!J11159*tk_hold_gb300+Sens!J11161*tk_hold_vr200+Sens!J11160*nv_out_mai*tk_hold_vr200)/Sens!J11149</f>
        <v>11.2032127128058</v>
      </c>
      <c r="K11163" s="15" t="n">
        <f aca="false">(Sens!K11157*tk_hold_h100+Sens!K11158*tk_hold_gb200+Sens!K11159*tk_hold_gb300+Sens!K11161*tk_hold_vr200+Sens!K11160*nv_out_mai*tk_hold_vr200)/Sens!K11149</f>
        <v>11.4085735724225</v>
      </c>
      <c r="L11163" s="12" t="s">
        <v>975</v>
      </c>
    </row>
    <row r="11164" customFormat="false" ht="17.15" hidden="false" customHeight="false" outlineLevel="0" collapsed="false">
      <c r="A11164" s="0" t="s">
        <v>976</v>
      </c>
      <c r="B11164" s="0" t="s">
        <v>229</v>
      </c>
      <c r="C11164" s="15" t="n">
        <f aca="false">k_B</f>
        <v>1.17213932619116</v>
      </c>
      <c r="D11164" s="15" t="n">
        <f aca="false">k_B</f>
        <v>1.17213932619116</v>
      </c>
      <c r="E11164" s="15" t="n">
        <f aca="false">k_B</f>
        <v>1.17213932619116</v>
      </c>
      <c r="F11164" s="15" t="n">
        <f aca="false">(k_B+((ls_B*k_long+(1-ls_B)*k_spot)-k_B)*MIN(1,(Sens!F11147-base_fy)/k_ramp))</f>
        <v>1.17213932619116</v>
      </c>
      <c r="G11164" s="15" t="n">
        <f aca="false">(k_B+((ls_B*k_long+(1-ls_B)*k_spot)-k_B)*MIN(1,(Sens!G11147-base_fy)/k_ramp))</f>
        <v>1.17213932619116</v>
      </c>
      <c r="H11164" s="15" t="n">
        <f aca="false">(k_B+((ls_B*k_long+(1-ls_B)*k_spot)-k_B)*MIN(1,(Sens!H11147-base_fy)/k_ramp))</f>
        <v>1.17213932619116</v>
      </c>
      <c r="I11164" s="15" t="n">
        <f aca="false">(k_B+((ls_B*k_long+(1-ls_B)*k_spot)-k_B)*MIN(1,(Sens!I11147-base_fy)/k_ramp))</f>
        <v>1.17213932619116</v>
      </c>
      <c r="J11164" s="15" t="n">
        <f aca="false">(k_B+((ls_B*k_long+(1-ls_B)*k_spot)-k_B)*MIN(1,(Sens!J11147-base_fy)/k_ramp))</f>
        <v>1.17213932619116</v>
      </c>
      <c r="K11164" s="15" t="n">
        <f aca="false">(k_B+((ls_B*k_long+(1-ls_B)*k_spot)-k_B)*MIN(1,(Sens!K11147-base_fy)/k_ramp))</f>
        <v>1.17213932619116</v>
      </c>
      <c r="L11164" s="1" t="s">
        <v>977</v>
      </c>
    </row>
    <row r="11165" customFormat="false" ht="17.15" hidden="false" customHeight="false" outlineLevel="0" collapsed="false">
      <c r="A11165" s="1" t="s">
        <v>978</v>
      </c>
      <c r="B11165" s="0" t="s">
        <v>403</v>
      </c>
      <c r="C11165" s="15" t="n">
        <f aca="false">Sens!C11163*Sens!C11164*chip_f</f>
        <v>11.3973387156315</v>
      </c>
      <c r="D11165" s="15" t="n">
        <f aca="false">Sens!D11163*Sens!D11164*chip_f</f>
        <v>11.3973387156315</v>
      </c>
      <c r="E11165" s="15" t="n">
        <f aca="false">Sens!E11163*Sens!E11164*chip_f</f>
        <v>11.3973387156315</v>
      </c>
      <c r="F11165" s="15" t="n">
        <f aca="false">Sens!F11163*Sens!F11164*chip_f</f>
        <v>12.0114064284211</v>
      </c>
      <c r="G11165" s="15" t="n">
        <f aca="false">Sens!G11163*Sens!G11164*chip_f</f>
        <v>12.4374066198516</v>
      </c>
      <c r="H11165" s="15" t="n">
        <f aca="false">Sens!H11163*Sens!H11164*chip_f</f>
        <v>12.735045931073</v>
      </c>
      <c r="I11165" s="15" t="n">
        <f aca="false">Sens!I11163*Sens!I11164*chip_f</f>
        <v>12.9563153910195</v>
      </c>
      <c r="J11165" s="15" t="n">
        <f aca="false">Sens!J11163*Sens!J11164*chip_f</f>
        <v>13.1317262003643</v>
      </c>
      <c r="K11165" s="15" t="n">
        <f aca="false">Sens!K11163*Sens!K11164*chip_f</f>
        <v>13.3724377399815</v>
      </c>
      <c r="L11165" s="1" t="s">
        <v>979</v>
      </c>
    </row>
    <row r="11166" customFormat="false" ht="17.15" hidden="false" customHeight="false" outlineLevel="0" collapsed="false">
      <c r="A11166" s="0" t="s">
        <v>980</v>
      </c>
      <c r="B11166" s="0" t="s">
        <v>98</v>
      </c>
      <c r="D11166" s="6" t="n">
        <f aca="false">(Sens!C11149+Sens!D11149)/2*Sens!D11165/1000</f>
        <v>12.9359794422418</v>
      </c>
      <c r="E11166" s="6" t="n">
        <f aca="false">(Sens!D11149+Sens!E11149)/2*Sens!E11165/1000</f>
        <v>27.8095064661409</v>
      </c>
      <c r="F11166" s="6" t="n">
        <f aca="false">(Sens!E11149+Sens!F11149)/2*Sens!F11165/1000</f>
        <v>55.4118315060966</v>
      </c>
      <c r="G11166" s="6" t="n">
        <f aca="false">(Sens!F11149+Sens!G11149)/2*Sens!G11165/1000</f>
        <v>91.2881100675143</v>
      </c>
      <c r="H11166" s="6" t="n">
        <f aca="false">(Sens!G11149+Sens!H11149)/2*Sens!H11165/1000</f>
        <v>128.195273603944</v>
      </c>
      <c r="I11166" s="6" t="n">
        <f aca="false">(Sens!H11149+Sens!I11149)/2*Sens!I11165/1000</f>
        <v>160.601281810405</v>
      </c>
      <c r="J11166" s="6" t="n">
        <f aca="false">(Sens!I11149+Sens!J11149)/2*Sens!J11165/1000</f>
        <v>183.182719793589</v>
      </c>
      <c r="K11166" s="6" t="n">
        <f aca="false">(Sens!J11149+Sens!K11149)/2*Sens!K11165/1000</f>
        <v>197.320124937098</v>
      </c>
      <c r="L11166" s="12" t="s">
        <v>981</v>
      </c>
    </row>
    <row r="11167" customFormat="false" ht="17.15" hidden="false" customHeight="false" outlineLevel="0" collapsed="false">
      <c r="A11167" s="1" t="s">
        <v>982</v>
      </c>
      <c r="B11167" s="0" t="s">
        <v>403</v>
      </c>
      <c r="C11167" s="15" t="n">
        <f aca="false">(Sens!C11157*tk_opex_h100+Sens!C11158*tk_opex_gb200+Sens!C11159*tk_opex_gb300+(Sens!C11161+Sens!C11160)*tk_opex_vr200)/Sens!C11149</f>
        <v>1.88636041306092</v>
      </c>
      <c r="D11167" s="15" t="n">
        <f aca="false">(Sens!D11157*tk_opex_h100+Sens!D11158*tk_opex_gb200+Sens!D11159*tk_opex_gb300+(Sens!D11161+Sens!D11160)*tk_opex_vr200)/Sens!D11149</f>
        <v>1.88636041306092</v>
      </c>
      <c r="E11167" s="15" t="n">
        <f aca="false">(Sens!E11157*tk_opex_h100+Sens!E11158*tk_opex_gb200+Sens!E11159*tk_opex_gb300+(Sens!E11161+Sens!E11160)*tk_opex_vr200)/Sens!E11149</f>
        <v>1.88636041306092</v>
      </c>
      <c r="F11167" s="15" t="n">
        <f aca="false">(Sens!F11157*tk_opex_h100+Sens!F11158*tk_opex_gb200+Sens!F11159*tk_opex_gb300+(Sens!F11161+Sens!F11160)*tk_opex_vr200)/Sens!F11149</f>
        <v>1.95051159746876</v>
      </c>
      <c r="G11167" s="15" t="n">
        <f aca="false">(Sens!G11157*tk_opex_h100+Sens!G11158*tk_opex_gb200+Sens!G11159*tk_opex_gb300+(Sens!G11161+Sens!G11160)*tk_opex_vr200)/Sens!G11149</f>
        <v>1.98836003669956</v>
      </c>
      <c r="H11167" s="15" t="n">
        <f aca="false">(Sens!H11157*tk_opex_h100+Sens!H11158*tk_opex_gb200+Sens!H11159*tk_opex_gb300+(Sens!H11161+Sens!H11160)*tk_opex_vr200)/Sens!H11149</f>
        <v>2.01344013834343</v>
      </c>
      <c r="I11167" s="15" t="n">
        <f aca="false">(Sens!I11157*tk_opex_h100+Sens!I11158*tk_opex_gb200+Sens!I11159*tk_opex_gb300+(Sens!I11161+Sens!I11160)*tk_opex_vr200)/Sens!I11149</f>
        <v>2.03261166882178</v>
      </c>
      <c r="J11167" s="15" t="n">
        <f aca="false">(Sens!J11157*tk_opex_h100+Sens!J11158*tk_opex_gb200+Sens!J11159*tk_opex_gb300+(Sens!J11161+Sens!J11160)*tk_opex_vr200)/Sens!J11149</f>
        <v>2.04808073288745</v>
      </c>
      <c r="K11167" s="15" t="n">
        <f aca="false">(Sens!K11157*tk_opex_h100+Sens!K11158*tk_opex_gb200+Sens!K11159*tk_opex_gb300+(Sens!K11161+Sens!K11160)*tk_opex_vr200)/Sens!K11149</f>
        <v>2.06973825807449</v>
      </c>
      <c r="L11167" s="12" t="s">
        <v>983</v>
      </c>
    </row>
    <row r="11168" customFormat="false" ht="17.15" hidden="false" customHeight="false" outlineLevel="0" collapsed="false">
      <c r="A11168" s="0" t="s">
        <v>984</v>
      </c>
      <c r="B11168" s="0" t="s">
        <v>98</v>
      </c>
      <c r="D11168" s="6" t="n">
        <f aca="false">(Sens!C11152+Sens!D11152)/2*Sens!D11167/1000</f>
        <v>2.70378325872065</v>
      </c>
      <c r="E11168" s="6" t="n">
        <f aca="false">(Sens!D11152+Sens!E11152)/2*Sens!E11167/1000</f>
        <v>6.17783035277451</v>
      </c>
      <c r="F11168" s="6" t="n">
        <f aca="false">(Sens!E11152+Sens!F11152)/2*Sens!F11167/1000</f>
        <v>12.8742463089237</v>
      </c>
      <c r="G11168" s="6" t="n">
        <f aca="false">(Sens!F11152+Sens!G11152)/2*Sens!G11167/1000</f>
        <v>21.8182834646277</v>
      </c>
      <c r="H11168" s="6" t="n">
        <f aca="false">(Sens!G11152+Sens!H11152)/2*Sens!H11167/1000</f>
        <v>31.2430128789734</v>
      </c>
      <c r="I11168" s="6" t="n">
        <f aca="false">(Sens!H11152+Sens!I11152)/2*Sens!I11167/1000</f>
        <v>39.4313057443268</v>
      </c>
      <c r="J11168" s="6" t="n">
        <f aca="false">(Sens!I11152+Sens!J11152)/2*Sens!J11167/1000</f>
        <v>45.0360318228653</v>
      </c>
      <c r="K11168" s="6" t="n">
        <f aca="false">(Sens!J11152+Sens!K11152)/2*Sens!K11167/1000</f>
        <v>48.2929727091156</v>
      </c>
    </row>
    <row r="11169" customFormat="false" ht="17.15" hidden="false" customHeight="false" outlineLevel="0" collapsed="false">
      <c r="A11169" s="0" t="s">
        <v>985</v>
      </c>
      <c r="B11169" s="0" t="s">
        <v>98</v>
      </c>
      <c r="D11169" s="6" t="n">
        <f aca="false">(Sens!C11150+Sens!D11150)/2*rent_mw/1000</f>
        <v>2.44475</v>
      </c>
      <c r="E11169" s="6" t="n">
        <f aca="false">(Sens!D11150+Sens!E11150)/2*rent_mw/1000</f>
        <v>4.22275</v>
      </c>
      <c r="F11169" s="6" t="n">
        <f aca="false">(Sens!E11150+Sens!F11150)/2*rent_mw/1000</f>
        <v>5.80517</v>
      </c>
      <c r="G11169" s="6" t="n">
        <f aca="false">(Sens!F11150+Sens!G11150)/2*rent_mw/1000</f>
        <v>6.72084</v>
      </c>
      <c r="H11169" s="6" t="n">
        <f aca="false">(Sens!G11150+Sens!H11150)/2*rent_mw/1000</f>
        <v>6.72084</v>
      </c>
      <c r="I11169" s="6" t="n">
        <f aca="false">(Sens!H11150+Sens!I11150)/2*rent_mw/1000</f>
        <v>6.72084</v>
      </c>
      <c r="J11169" s="6" t="n">
        <f aca="false">(Sens!I11150+Sens!J11150)/2*rent_mw/1000</f>
        <v>6.72084</v>
      </c>
      <c r="K11169" s="6" t="n">
        <f aca="false">(Sens!J11150+Sens!K11150)/2*rent_mw/1000</f>
        <v>6.72084</v>
      </c>
    </row>
    <row r="11170" customFormat="false" ht="17.15" hidden="false" customHeight="false" outlineLevel="0" collapsed="false">
      <c r="A11170" s="0" t="s">
        <v>986</v>
      </c>
      <c r="B11170" s="0" t="s">
        <v>98</v>
      </c>
      <c r="D11170" s="6" t="n">
        <f aca="false">(Sens!C11152+Sens!D11152)/2*(1-self_build)*fac_rent/1000</f>
        <v>0.853242375631075</v>
      </c>
      <c r="E11170" s="6" t="n">
        <f aca="false">(Sens!D11152+Sens!E11152)/2*(1-self_build)*fac_rent/1000</f>
        <v>1.94955961408728</v>
      </c>
      <c r="F11170" s="6" t="n">
        <f aca="false">(Sens!E11152+Sens!F11152)/2*(1-self_build)*fac_rent/1000</f>
        <v>3.92914894476356</v>
      </c>
      <c r="G11170" s="6" t="n">
        <f aca="false">(Sens!F11152+Sens!G11152)/2*(1-self_build)*fac_rent/1000</f>
        <v>6.53206908578159</v>
      </c>
      <c r="H11170" s="6" t="n">
        <f aca="false">(Sens!G11152+Sens!H11152)/2*(1-self_build)*fac_rent/1000</f>
        <v>9.23717988341591</v>
      </c>
      <c r="I11170" s="6" t="n">
        <f aca="false">(Sens!H11152+Sens!I11152)/2*(1-self_build)*fac_rent/1000</f>
        <v>11.5481378557393</v>
      </c>
      <c r="J11170" s="6" t="n">
        <f aca="false">(Sens!I11152+Sens!J11152)/2*(1-self_build)*fac_rent/1000</f>
        <v>13.0899582289108</v>
      </c>
      <c r="K11170" s="6" t="n">
        <f aca="false">(Sens!J11152+Sens!K11152)/2*(1-self_build)*fac_rent/1000</f>
        <v>13.8897275626556</v>
      </c>
      <c r="L11170" s="12" t="s">
        <v>987</v>
      </c>
    </row>
    <row r="11171" customFormat="false" ht="17.15" hidden="false" customHeight="false" outlineLevel="0" collapsed="false">
      <c r="A11171" s="1" t="s">
        <v>988</v>
      </c>
      <c r="B11171" s="0" t="s">
        <v>168</v>
      </c>
      <c r="D11171" s="7" t="n">
        <f aca="false">(Sens!C11151+Sens!D11151)/(Sens!C11152+Sens!D11152)</f>
        <v>0.6</v>
      </c>
      <c r="E11171" s="7" t="n">
        <f aca="false">(Sens!D11151+Sens!E11151)/(Sens!D11152+Sens!E11152)</f>
        <v>0.6</v>
      </c>
      <c r="F11171" s="7" t="n">
        <f aca="false">(Sens!E11151+Sens!F11151)/(Sens!E11152+Sens!F11152)</f>
        <v>0.6</v>
      </c>
      <c r="G11171" s="7" t="n">
        <f aca="false">(Sens!F11151+Sens!G11151)/(Sens!F11152+Sens!G11152)</f>
        <v>0.6</v>
      </c>
      <c r="H11171" s="7" t="n">
        <f aca="false">(Sens!G11151+Sens!H11151)/(Sens!G11152+Sens!H11152)</f>
        <v>0.6</v>
      </c>
      <c r="I11171" s="7" t="n">
        <f aca="false">(Sens!H11151+Sens!I11151)/(Sens!H11152+Sens!I11152)</f>
        <v>0.6</v>
      </c>
      <c r="J11171" s="7" t="n">
        <f aca="false">(Sens!I11151+Sens!J11151)/(Sens!I11152+Sens!J11152)</f>
        <v>0.6</v>
      </c>
      <c r="K11171" s="7" t="n">
        <f aca="false">(Sens!J11151+Sens!K11151)/(Sens!J11152+Sens!K11152)</f>
        <v>0.6</v>
      </c>
    </row>
    <row r="11172" customFormat="false" ht="17.15" hidden="false" customHeight="false" outlineLevel="0" collapsed="false">
      <c r="A11172" s="0" t="s">
        <v>989</v>
      </c>
      <c r="B11172" s="0" t="s">
        <v>98</v>
      </c>
      <c r="D11172" s="6" t="n">
        <f aca="false">Sens!D11166-Sens!D11171*(Sens!D11168+Sens!D11170)-Sens!D11169</f>
        <v>8.35701406163072</v>
      </c>
      <c r="E11172" s="6" t="n">
        <f aca="false">Sens!E11166-Sens!E11171*(Sens!E11168+Sens!E11170)-Sens!E11169</f>
        <v>18.7103224860238</v>
      </c>
      <c r="F11172" s="6" t="n">
        <f aca="false">Sens!F11166-Sens!F11171*(Sens!F11168+Sens!F11170)-Sens!F11169</f>
        <v>39.5246243538843</v>
      </c>
      <c r="G11172" s="6" t="n">
        <f aca="false">Sens!G11166-Sens!G11171*(Sens!G11168+Sens!G11170)-Sens!G11169</f>
        <v>67.5570585372687</v>
      </c>
      <c r="H11172" s="6" t="n">
        <f aca="false">Sens!H11166-Sens!H11171*(Sens!H11168+Sens!H11170)-Sens!H11169</f>
        <v>97.1863179465102</v>
      </c>
      <c r="I11172" s="6" t="n">
        <f aca="false">Sens!I11166-Sens!I11171*(Sens!I11168+Sens!I11170)-Sens!I11169</f>
        <v>123.292775650365</v>
      </c>
      <c r="J11172" s="6" t="n">
        <f aca="false">Sens!J11166-Sens!J11171*(Sens!J11168+Sens!J11170)-Sens!J11169</f>
        <v>141.586285762524</v>
      </c>
      <c r="K11172" s="6" t="n">
        <f aca="false">Sens!K11166-Sens!K11171*(Sens!K11168+Sens!K11170)-Sens!K11169</f>
        <v>153.289664774035</v>
      </c>
    </row>
    <row r="11173" customFormat="false" ht="17.15" hidden="false" customHeight="false" outlineLevel="0" collapsed="false">
      <c r="A11173" s="1" t="s">
        <v>990</v>
      </c>
      <c r="B11173" s="0" t="s">
        <v>98</v>
      </c>
      <c r="D11173" s="6" t="n">
        <f aca="false">(1-Sens!D11171)*(Sens!D11168+Sens!D11170)</f>
        <v>1.42281025374069</v>
      </c>
      <c r="E11173" s="6" t="n">
        <f aca="false">(1-Sens!E11171)*(Sens!E11168+Sens!E11170)</f>
        <v>3.25095598674472</v>
      </c>
      <c r="F11173" s="6" t="n">
        <f aca="false">(1-Sens!F11171)*(Sens!F11168+Sens!F11170)</f>
        <v>6.72135810147489</v>
      </c>
      <c r="G11173" s="6" t="n">
        <f aca="false">(1-Sens!G11171)*(Sens!G11168+Sens!G11170)</f>
        <v>11.3401410201637</v>
      </c>
      <c r="H11173" s="6" t="n">
        <f aca="false">(1-Sens!H11171)*(Sens!H11168+Sens!H11170)</f>
        <v>16.1920771049557</v>
      </c>
      <c r="I11173" s="6" t="n">
        <f aca="false">(1-Sens!I11171)*(Sens!I11168+Sens!I11170)</f>
        <v>20.3917774400264</v>
      </c>
      <c r="J11173" s="6" t="n">
        <f aca="false">(1-Sens!J11171)*(Sens!J11168+Sens!J11170)</f>
        <v>23.2503960207104</v>
      </c>
      <c r="K11173" s="6" t="n">
        <f aca="false">(1-Sens!K11171)*(Sens!K11168+Sens!K11170)</f>
        <v>24.8730801087085</v>
      </c>
    </row>
    <row r="11174" customFormat="false" ht="17.15" hidden="false" customHeight="false" outlineLevel="0" collapsed="false">
      <c r="A11174" s="1" t="s">
        <v>991</v>
      </c>
      <c r="B11174" s="0" t="s">
        <v>417</v>
      </c>
      <c r="C11174" s="8" t="n">
        <f aca="false">cxit_open</f>
        <v>27.5918995</v>
      </c>
      <c r="D11174" s="8" t="n">
        <f aca="false">cxit_open</f>
        <v>27.5918995</v>
      </c>
      <c r="E11174" s="8" t="n">
        <f aca="false">cxit_open</f>
        <v>27.5918995</v>
      </c>
      <c r="F11174" s="8" t="n">
        <f aca="false">((a_g3_27-nonnv*a_mai)*tk_cxit_gb300+nonnv*a_mai*nv_hold_mai*tk_cxit_vr200+(1-a_g3_27)*tk_cxit_vr200)</f>
        <v>32.4975576</v>
      </c>
      <c r="G11174" s="8" t="n">
        <f aca="false">((a_g3_28-nonnv*a_mai)*tk_cxit_gb300+nonnv*a_mai*nv_hold_mai*tk_cxit_vr200+(1-a_g3_28)*tk_cxit_vr200)</f>
        <v>34.6372088</v>
      </c>
      <c r="H11174" s="8" t="n">
        <f aca="false">((a_g3_29-nonnv*a_mai)*tk_cxit_gb300+nonnv*a_mai*nv_hold_mai*tk_cxit_vr200+(1-a_g3_29)*tk_cxit_vr200)</f>
        <v>35.7070344</v>
      </c>
      <c r="I11174" s="8" t="n">
        <f aca="false">((a_g3_29-nonnv*a_mai)*tk_cxit_gb300+nonnv*a_mai*nv_hold_mai*tk_cxit_vr200+(1-a_g3_29)*tk_cxit_vr200)</f>
        <v>35.7070344</v>
      </c>
      <c r="J11174" s="8" t="n">
        <f aca="false">((a_g3_29-nonnv*a_mai)*tk_cxit_gb300+nonnv*a_mai*nv_hold_mai*tk_cxit_vr200+(1-a_g3_29)*tk_cxit_vr200)</f>
        <v>35.7070344</v>
      </c>
      <c r="K11174" s="8" t="n">
        <f aca="false">((a_g3_29-nonnv*a_mai)*tk_cxit_gb300+nonnv*a_mai*nv_hold_mai*tk_cxit_vr200+(1-a_g3_29)*tk_cxit_vr200)</f>
        <v>35.7070344</v>
      </c>
      <c r="L11174" s="12" t="s">
        <v>992</v>
      </c>
    </row>
    <row r="11175" customFormat="false" ht="17.15" hidden="false" customHeight="false" outlineLevel="0" collapsed="false">
      <c r="A11175" s="0" t="s">
        <v>993</v>
      </c>
      <c r="B11175" s="0" t="s">
        <v>459</v>
      </c>
      <c r="F11175" s="30" t="n">
        <f aca="false">Sens!C11154*IF(Sens!F11147-Sens!C11147=life_it,1,0)+Sens!D11154*IF(Sens!F11147-Sens!D11147=life_it,1,0)+Sens!E11154*IF(Sens!F11147-Sens!E11147=life_it,1,0)</f>
        <v>0</v>
      </c>
      <c r="G11175" s="30" t="n">
        <f aca="false">Sens!C11154*IF(Sens!G11147-Sens!C11147=life_it,1,0)+Sens!D11154*IF(Sens!G11147-Sens!D11147=life_it,1,0)+Sens!E11154*IF(Sens!G11147-Sens!E11147=life_it,1,0)+Sens!F11154*IF(Sens!G11147-Sens!F11147=life_it,1,0)</f>
        <v>0</v>
      </c>
      <c r="H11175" s="30" t="n">
        <f aca="false">Sens!C11154*IF(Sens!H11147-Sens!C11147=life_it,1,0)+Sens!D11154*IF(Sens!H11147-Sens!D11147=life_it,1,0)+Sens!E11154*IF(Sens!H11147-Sens!E11147=life_it,1,0)+Sens!F11154*IF(Sens!H11147-Sens!F11147=life_it,1,0)+Sens!G11154*IF(Sens!H11147-Sens!G11147=life_it,1,0)</f>
        <v>0</v>
      </c>
      <c r="I11175" s="30" t="n">
        <f aca="false">Sens!C11154*IF(Sens!I11147-Sens!C11147=life_it,1,0)+Sens!D11154*IF(Sens!I11147-Sens!D11147=life_it,1,0)+Sens!E11154*IF(Sens!I11147-Sens!E11147=life_it,1,0)+Sens!F11154*IF(Sens!I11147-Sens!F11147=life_it,1,0)+Sens!G11154*IF(Sens!I11147-Sens!G11147=life_it,1,0)+Sens!H11154*IF(Sens!I11147-Sens!H11147=life_it,1,0)</f>
        <v>816.666666666667</v>
      </c>
      <c r="J11175" s="30" t="n">
        <f aca="false">Sens!C11154*IF(Sens!J11147-Sens!C11147=life_it,1,0)+Sens!D11154*IF(Sens!J11147-Sens!D11147=life_it,1,0)+Sens!E11154*IF(Sens!J11147-Sens!E11147=life_it,1,0)+Sens!F11154*IF(Sens!J11147-Sens!F11147=life_it,1,0)+Sens!G11154*IF(Sens!J11147-Sens!G11147=life_it,1,0)+Sens!H11154*IF(Sens!J11147-Sens!H11147=life_it,1,0)+Sens!I11154*IF(Sens!J11147-Sens!I11147=life_it,1,0)</f>
        <v>1233.33333333333</v>
      </c>
      <c r="K11175" s="30" t="n">
        <f aca="false">Sens!C11154*IF(Sens!K11147-Sens!C11147=life_it,1,0)+Sens!D11154*IF(Sens!K11147-Sens!D11147=life_it,1,0)+Sens!E11154*IF(Sens!K11147-Sens!E11147=life_it,1,0)+Sens!F11154*IF(Sens!K11147-Sens!F11147=life_it,1,0)+Sens!G11154*IF(Sens!K11147-Sens!G11147=life_it,1,0)+Sens!H11154*IF(Sens!K11147-Sens!H11147=life_it,1,0)+Sens!I11154*IF(Sens!K11147-Sens!I11147=life_it,1,0)+Sens!J11154*IF(Sens!K11147-Sens!J11147=life_it,1,0)</f>
        <v>2450</v>
      </c>
      <c r="L11175" s="1" t="s">
        <v>994</v>
      </c>
    </row>
    <row r="11176" customFormat="false" ht="17.15" hidden="false" customHeight="false" outlineLevel="0" collapsed="false">
      <c r="A11176" s="0" t="s">
        <v>995</v>
      </c>
      <c r="B11176" s="0" t="s">
        <v>98</v>
      </c>
      <c r="C11176" s="6" t="n">
        <f aca="false">Sens!C11154*Sens!C11174/1000</f>
        <v>22.5333845916667</v>
      </c>
      <c r="D11176" s="6" t="n">
        <f aca="false">Sens!D11154*Sens!D11174/1000</f>
        <v>34.0300093833333</v>
      </c>
      <c r="E11176" s="6" t="n">
        <f aca="false">Sens!E11154*Sens!E11174/1000</f>
        <v>67.600153775</v>
      </c>
      <c r="F11176" s="6" t="n">
        <f aca="false">(Sens!F11154+Sens!F11175)*Sens!F11174/1000</f>
        <v>136.51872432512</v>
      </c>
      <c r="G11176" s="6" t="n">
        <f aca="false">(Sens!G11154+Sens!G11175)*Sens!G11174/1000</f>
        <v>157.399275932048</v>
      </c>
      <c r="H11176" s="6" t="n">
        <f aca="false">(Sens!H11154+Sens!H11175)*Sens!H11174/1000</f>
        <v>162.260804347512</v>
      </c>
      <c r="I11176" s="6" t="n">
        <f aca="false">(Sens!I11154+Sens!I11175)*Sens!I11174/1000</f>
        <v>144.136569485434</v>
      </c>
      <c r="J11176" s="6" t="n">
        <f aca="false">(Sens!J11154+Sens!J11175)*Sens!J11174/1000</f>
        <v>114.029037357864</v>
      </c>
      <c r="K11176" s="6" t="n">
        <f aca="false">(Sens!K11154+Sens!K11175)*Sens!K11174/1000</f>
        <v>113.437085350975</v>
      </c>
    </row>
    <row r="11177" customFormat="false" ht="17.15" hidden="false" customHeight="false" outlineLevel="0" collapsed="false">
      <c r="A11177" s="0" t="s">
        <v>996</v>
      </c>
      <c r="B11177" s="0" t="s">
        <v>98</v>
      </c>
      <c r="C11177" s="6" t="n">
        <f aca="false">Sens!C11154*self_build*tk_cxfac/1000</f>
        <v>6.2083</v>
      </c>
      <c r="D11177" s="6" t="n">
        <f aca="false">Sens!D11154*self_build*tk_cxfac/1000</f>
        <v>9.3758</v>
      </c>
      <c r="E11177" s="6" t="n">
        <f aca="false">Sens!E11154*self_build*tk_cxfac/1000</f>
        <v>18.6249</v>
      </c>
      <c r="F11177" s="6" t="n">
        <f aca="false">Sens!F11154*self_build*tk_cxfac/1000</f>
        <v>31.935179717</v>
      </c>
      <c r="G11177" s="6" t="n">
        <f aca="false">Sens!G11154*self_build*tk_cxfac/1000</f>
        <v>34.545199717</v>
      </c>
      <c r="H11177" s="6" t="n">
        <f aca="false">Sens!H11154*self_build*tk_cxfac/1000</f>
        <v>34.545199717</v>
      </c>
      <c r="I11177" s="6" t="n">
        <f aca="false">Sens!I11154*self_build*tk_cxfac/1000</f>
        <v>24.4782641361767</v>
      </c>
      <c r="J11177" s="6" t="n">
        <f aca="false">Sens!J11154*self_build*tk_cxfac/1000</f>
        <v>14.9008938380769</v>
      </c>
      <c r="K11177" s="6" t="n">
        <f aca="false">Sens!K11154*self_build*tk_cxfac/1000</f>
        <v>5.52576771375761</v>
      </c>
    </row>
    <row r="11178" customFormat="false" ht="17.15" hidden="false" customHeight="false" outlineLevel="0" collapsed="false">
      <c r="A11178" s="0" t="s">
        <v>997</v>
      </c>
      <c r="B11178" s="0" t="s">
        <v>98</v>
      </c>
      <c r="F11178" s="15" t="n">
        <f aca="false">capex_floor27-Sens!F11176-Sens!F11177-Sens!F11274</f>
        <v>-0.00753774134232543</v>
      </c>
      <c r="L11178" s="12" t="s">
        <v>998</v>
      </c>
    </row>
    <row r="11179" customFormat="false" ht="17.15" hidden="false" customHeight="false" outlineLevel="0" collapsed="false">
      <c r="A11179" s="0" t="s">
        <v>999</v>
      </c>
      <c r="B11179" s="0" t="s">
        <v>98</v>
      </c>
      <c r="F11179" s="6" t="n">
        <f aca="false">MAX(0,Sens!F11178)</f>
        <v>0</v>
      </c>
    </row>
    <row r="11180" customFormat="false" ht="17.15" hidden="false" customHeight="false" outlineLevel="0" collapsed="false">
      <c r="A11180" s="0" t="s">
        <v>1000</v>
      </c>
      <c r="B11180" s="0" t="s">
        <v>98</v>
      </c>
      <c r="C11180" s="6" t="n">
        <f aca="false">Sens!C11176</f>
        <v>22.5333845916667</v>
      </c>
      <c r="D11180" s="6" t="n">
        <f aca="false">Sens!D11176</f>
        <v>34.0300093833333</v>
      </c>
      <c r="E11180" s="6" t="n">
        <f aca="false">Sens!E11176</f>
        <v>67.600153775</v>
      </c>
      <c r="F11180" s="6" t="n">
        <f aca="false">Sens!F11176</f>
        <v>136.51872432512</v>
      </c>
      <c r="G11180" s="6" t="n">
        <f aca="false">Sens!G11176</f>
        <v>157.399275932048</v>
      </c>
      <c r="H11180" s="6" t="n">
        <f aca="false">Sens!H11176</f>
        <v>162.260804347512</v>
      </c>
      <c r="I11180" s="6" t="n">
        <f aca="false">Sens!I11176</f>
        <v>144.136569485434</v>
      </c>
      <c r="J11180" s="6" t="n">
        <f aca="false">Sens!J11176</f>
        <v>114.029037357864</v>
      </c>
      <c r="K11180" s="6" t="n">
        <f aca="false">Sens!K11176</f>
        <v>113.437085350975</v>
      </c>
    </row>
    <row r="11181" customFormat="false" ht="17.15" hidden="false" customHeight="false" outlineLevel="0" collapsed="false">
      <c r="A11181" s="0" t="s">
        <v>1001</v>
      </c>
      <c r="B11181" s="0" t="s">
        <v>98</v>
      </c>
      <c r="C11181" s="6" t="n">
        <f aca="false">Sens!C11180+Sens!C11177</f>
        <v>28.7416845916667</v>
      </c>
      <c r="D11181" s="6" t="n">
        <f aca="false">Sens!D11180+Sens!D11177</f>
        <v>43.4058093833333</v>
      </c>
      <c r="E11181" s="6" t="n">
        <f aca="false">Sens!E11180+Sens!E11177</f>
        <v>86.225053775</v>
      </c>
      <c r="F11181" s="6" t="n">
        <f aca="false">Sens!F11180+Sens!F11177</f>
        <v>168.45390404212</v>
      </c>
      <c r="G11181" s="6" t="n">
        <f aca="false">Sens!G11180+Sens!G11177</f>
        <v>191.944475649048</v>
      </c>
      <c r="H11181" s="6" t="n">
        <f aca="false">Sens!H11180+Sens!H11177</f>
        <v>196.806004064512</v>
      </c>
      <c r="I11181" s="6" t="n">
        <f aca="false">Sens!I11180+Sens!I11177</f>
        <v>168.61483362161</v>
      </c>
      <c r="J11181" s="6" t="n">
        <f aca="false">Sens!J11180+Sens!J11177</f>
        <v>128.92993119594</v>
      </c>
      <c r="K11181" s="6" t="n">
        <f aca="false">Sens!K11180+Sens!K11177</f>
        <v>118.962853064733</v>
      </c>
      <c r="L11181" s="12" t="s">
        <v>1002</v>
      </c>
    </row>
    <row r="11182" customFormat="false" ht="17.15" hidden="false" customHeight="false" outlineLevel="0" collapsed="false">
      <c r="A11182" s="0" t="s">
        <v>1003</v>
      </c>
      <c r="B11182" s="0" t="s">
        <v>98</v>
      </c>
      <c r="E11182" s="6" t="n">
        <f aca="false">(Sens!C11180*IF(2&lt;life_it,1,IF(2=life_it,0.5,0))+Sens!D11180*IF(1&lt;life_it,1,IF(1=life_it,0.5,0))+Sens!E11180*0.5)/life_it</f>
        <v>15.0605784770833</v>
      </c>
      <c r="F11182" s="6" t="n">
        <f aca="false">(Sens!C11180*IF(3&lt;life_it,1,IF(3=life_it,0.5,0))+Sens!D11180*IF(2&lt;life_it,1,IF(2=life_it,0.5,0))+Sens!E11180*IF(1&lt;life_it,1,IF(1=life_it,0.5,0))+Sens!F11180*0.5)/life_it</f>
        <v>32.0704849854266</v>
      </c>
      <c r="G11182" s="6" t="n">
        <f aca="false">(Sens!C11180*IF(4&lt;life_it,1,IF(4=life_it,0.5,0))+Sens!D11180*IF(3&lt;life_it,1,IF(3=life_it,0.5,0))+Sens!E11180*IF(2&lt;life_it,1,IF(2=life_it,0.5,0))+Sens!F11180*IF(1&lt;life_it,1,IF(1=life_it,0.5,0))+Sens!G11180*0.5)/life_it</f>
        <v>56.5636516735239</v>
      </c>
      <c r="H11182" s="6" t="n">
        <f aca="false">(Sens!C11180*IF(5&lt;life_it,1,IF(5=life_it,0.5,0))+Sens!D11180*IF(4&lt;life_it,1,IF(4=life_it,0.5,0))+Sens!E11180*IF(3&lt;life_it,1,IF(3=life_it,0.5,0))+Sens!F11180*IF(2&lt;life_it,1,IF(2=life_it,0.5,0))+Sens!G11180*IF(1&lt;life_it,1,IF(1=life_it,0.5,0))+Sens!H11180*0.5)/life_it</f>
        <v>83.2019916968207</v>
      </c>
      <c r="I11182" s="6" t="n">
        <f aca="false">(Sens!C11180*IF(6&lt;life_it,1,IF(6=life_it,0.5,0))+Sens!D11180*IF(5&lt;life_it,1,IF(5=life_it,0.5,0))+Sens!E11180*IF(4&lt;life_it,1,IF(4=life_it,0.5,0))+Sens!F11180*IF(3&lt;life_it,1,IF(3=life_it,0.5,0))+Sens!G11180*IF(2&lt;life_it,1,IF(2=life_it,0.5,0))+Sens!H11180*IF(1&lt;life_it,1,IF(1=life_it,0.5,0))+Sens!I11180*0.5)/life_it</f>
        <v>106.857324133594</v>
      </c>
      <c r="J11182" s="6" t="n">
        <f aca="false">(Sens!C11180*IF(7&lt;life_it,1,IF(7=life_it,0.5,0))+Sens!D11180*IF(6&lt;life_it,1,IF(6=life_it,0.5,0))+Sens!E11180*IF(5&lt;life_it,1,IF(5=life_it,0.5,0))+Sens!F11180*IF(4&lt;life_it,1,IF(4=life_it,0.5,0))+Sens!G11180*IF(3&lt;life_it,1,IF(3=life_it,0.5,0))+Sens!H11180*IF(2&lt;life_it,1,IF(2=life_it,0.5,0))+Sens!I11180*IF(1&lt;life_it,1,IF(1=life_it,0.5,0))+Sens!J11180*0.5)/life_it</f>
        <v>123.657508539285</v>
      </c>
      <c r="K11182" s="6" t="n">
        <f aca="false">(Sens!C11180*IF(8&lt;life_it,1,IF(8=life_it,0.5,0))+Sens!D11180*IF(7&lt;life_it,1,IF(7=life_it,0.5,0))+Sens!E11180*IF(6&lt;life_it,1,IF(6=life_it,0.5,0))+Sens!F11180*IF(5&lt;life_it,1,IF(5=life_it,0.5,0))+Sens!G11180*IF(4&lt;life_it,1,IF(4=life_it,0.5,0))+Sens!H11180*IF(3&lt;life_it,1,IF(3=life_it,0.5,0))+Sens!I11180*IF(2&lt;life_it,1,IF(2=life_it,0.5,0))+Sens!J11180*IF(1&lt;life_it,1,IF(1=life_it,0.5,0))+Sens!K11180*0.5)/life_it</f>
        <v>134.143838501827</v>
      </c>
    </row>
    <row r="11183" customFormat="false" ht="17.15" hidden="false" customHeight="false" outlineLevel="0" collapsed="false">
      <c r="A11183" s="0" t="s">
        <v>1004</v>
      </c>
      <c r="B11183" s="0" t="s">
        <v>98</v>
      </c>
      <c r="E11183" s="6" t="n">
        <f aca="false">(Sens!C11177*IF(2&lt;life_fac,1,IF(2=life_fac,0.5,0))+Sens!D11177*IF(1&lt;life_fac,1,IF(1=life_fac,0.5,0))+Sens!E11177*0.5)/life_fac</f>
        <v>1.2448275</v>
      </c>
      <c r="F11183" s="6" t="n">
        <f aca="false">(Sens!C11177*IF(3&lt;life_fac,1,IF(3=life_fac,0.5,0))+Sens!D11177*IF(2&lt;life_fac,1,IF(2=life_fac,0.5,0))+Sens!E11177*IF(1&lt;life_fac,1,IF(1=life_fac,0.5,0))+Sens!F11177*0.5)/life_fac</f>
        <v>2.508829492925</v>
      </c>
      <c r="G11183" s="6" t="n">
        <f aca="false">(Sens!C11177*IF(4&lt;life_fac,1,IF(4=life_fac,0.5,0))+Sens!D11177*IF(3&lt;life_fac,1,IF(3=life_fac,0.5,0))+Sens!E11177*IF(2&lt;life_fac,1,IF(2=life_fac,0.5,0))+Sens!F11177*IF(1&lt;life_fac,1,IF(1=life_fac,0.5,0))+Sens!G11177*0.5)/life_fac</f>
        <v>4.170838978775</v>
      </c>
      <c r="H11183" s="6" t="n">
        <f aca="false">(Sens!C11177*IF(5&lt;life_fac,1,IF(5=life_fac,0.5,0))+Sens!D11177*IF(4&lt;life_fac,1,IF(4=life_fac,0.5,0))+Sens!E11177*IF(3&lt;life_fac,1,IF(3=life_fac,0.5,0))+Sens!F11177*IF(2&lt;life_fac,1,IF(2=life_fac,0.5,0))+Sens!G11177*IF(1&lt;life_fac,1,IF(1=life_fac,0.5,0))+Sens!H11177*0.5)/life_fac</f>
        <v>5.898098964625</v>
      </c>
      <c r="I11183" s="6" t="n">
        <f aca="false">(Sens!C11177*IF(6&lt;life_fac,1,IF(6=life_fac,0.5,0))+Sens!D11177*IF(5&lt;life_fac,1,IF(5=life_fac,0.5,0))+Sens!E11177*IF(4&lt;life_fac,1,IF(4=life_fac,0.5,0))+Sens!F11177*IF(3&lt;life_fac,1,IF(3=life_fac,0.5,0))+Sens!G11177*IF(2&lt;life_fac,1,IF(2=life_fac,0.5,0))+Sens!H11177*IF(1&lt;life_fac,1,IF(1=life_fac,0.5,0))+Sens!I11177*0.5)/life_fac</f>
        <v>7.37368556095442</v>
      </c>
      <c r="J11183" s="6" t="n">
        <f aca="false">(Sens!C11177*IF(7&lt;life_fac,1,IF(7=life_fac,0.5,0))+Sens!D11177*IF(6&lt;life_fac,1,IF(6=life_fac,0.5,0))+Sens!E11177*IF(5&lt;life_fac,1,IF(5=life_fac,0.5,0))+Sens!F11177*IF(4&lt;life_fac,1,IF(4=life_fac,0.5,0))+Sens!G11177*IF(3&lt;life_fac,1,IF(3=life_fac,0.5,0))+Sens!H11177*IF(2&lt;life_fac,1,IF(2=life_fac,0.5,0))+Sens!I11177*IF(1&lt;life_fac,1,IF(1=life_fac,0.5,0))+Sens!J11177*0.5)/life_fac</f>
        <v>8.35816451031075</v>
      </c>
      <c r="K11183" s="6" t="n">
        <f aca="false">(Sens!C11177*IF(8&lt;life_fac,1,IF(8=life_fac,0.5,0))+Sens!D11177*IF(7&lt;life_fac,1,IF(7=life_fac,0.5,0))+Sens!E11177*IF(6&lt;life_fac,1,IF(6=life_fac,0.5,0))+Sens!F11177*IF(5&lt;life_fac,1,IF(5=life_fac,0.5,0))+Sens!G11177*IF(4&lt;life_fac,1,IF(4=life_fac,0.5,0))+Sens!H11177*IF(3&lt;life_fac,1,IF(3=life_fac,0.5,0))+Sens!I11177*IF(2&lt;life_fac,1,IF(2=life_fac,0.5,0))+Sens!J11177*IF(1&lt;life_fac,1,IF(1=life_fac,0.5,0))+Sens!K11177*0.5)/life_fac</f>
        <v>8.86883104910662</v>
      </c>
    </row>
    <row r="11184" customFormat="false" ht="17.15" hidden="false" customHeight="false" outlineLevel="0" collapsed="false">
      <c r="A11184" s="0" t="s">
        <v>1005</v>
      </c>
      <c r="B11184" s="0" t="s">
        <v>98</v>
      </c>
      <c r="E11184" s="6" t="n">
        <f aca="false">Sens!E11182+Sens!E11183</f>
        <v>16.3054059770833</v>
      </c>
      <c r="F11184" s="6" t="n">
        <f aca="false">Sens!F11182+Sens!F11183</f>
        <v>34.5793144783516</v>
      </c>
      <c r="G11184" s="6" t="n">
        <f aca="false">Sens!G11182+Sens!G11183</f>
        <v>60.7344906522989</v>
      </c>
      <c r="H11184" s="6" t="n">
        <f aca="false">Sens!H11182+Sens!H11183</f>
        <v>89.1000906614457</v>
      </c>
      <c r="I11184" s="6" t="n">
        <f aca="false">Sens!I11182+Sens!I11183</f>
        <v>114.231009694548</v>
      </c>
      <c r="J11184" s="6" t="n">
        <f aca="false">Sens!J11182+Sens!J11183</f>
        <v>132.015673049596</v>
      </c>
      <c r="K11184" s="6" t="n">
        <f aca="false">Sens!K11182+Sens!K11183</f>
        <v>143.012669550934</v>
      </c>
    </row>
    <row r="11185" customFormat="false" ht="17.15" hidden="false" customHeight="false" outlineLevel="0" collapsed="false">
      <c r="A11185" s="0" t="s">
        <v>1006</v>
      </c>
      <c r="B11185" s="0" t="s">
        <v>98</v>
      </c>
      <c r="E11185" s="6" t="n">
        <f aca="false">Sens!E11172-Sens!E11171*Sens!E11184</f>
        <v>8.92707889977379</v>
      </c>
      <c r="F11185" s="6" t="n">
        <f aca="false">Sens!F11172-Sens!F11171*Sens!F11184</f>
        <v>18.7770356668733</v>
      </c>
      <c r="G11185" s="6" t="n">
        <f aca="false">Sens!G11172-Sens!G11171*Sens!G11184</f>
        <v>31.1163641458894</v>
      </c>
      <c r="H11185" s="6" t="n">
        <f aca="false">Sens!H11172-Sens!H11171*Sens!H11184</f>
        <v>43.7262635496428</v>
      </c>
      <c r="I11185" s="6" t="n">
        <f aca="false">Sens!I11172-Sens!I11171*Sens!I11184</f>
        <v>54.7541698336361</v>
      </c>
      <c r="J11185" s="6" t="n">
        <f aca="false">Sens!J11172-Sens!J11171*Sens!J11184</f>
        <v>62.3768819327658</v>
      </c>
      <c r="K11185" s="6" t="n">
        <f aca="false">Sens!K11172-Sens!K11171*Sens!K11184</f>
        <v>67.4820630434748</v>
      </c>
    </row>
    <row r="11186" customFormat="false" ht="17.15" hidden="false" customHeight="false" outlineLevel="0" collapsed="false">
      <c r="A11186" s="3" t="s">
        <v>1891</v>
      </c>
    </row>
    <row r="11187" customFormat="false" ht="15" hidden="false" customHeight="false" outlineLevel="0" collapsed="false">
      <c r="A11187" s="4" t="s">
        <v>43</v>
      </c>
      <c r="B11187" s="4" t="s">
        <v>65</v>
      </c>
      <c r="C11187" s="23" t="s">
        <v>942</v>
      </c>
      <c r="D11187" s="23" t="s">
        <v>943</v>
      </c>
      <c r="E11187" s="23" t="s">
        <v>944</v>
      </c>
      <c r="F11187" s="23" t="s">
        <v>945</v>
      </c>
      <c r="G11187" s="23" t="s">
        <v>946</v>
      </c>
      <c r="H11187" s="23" t="s">
        <v>947</v>
      </c>
      <c r="I11187" s="23" t="s">
        <v>948</v>
      </c>
      <c r="J11187" s="23" t="s">
        <v>949</v>
      </c>
      <c r="K11187" s="23" t="s">
        <v>950</v>
      </c>
      <c r="L11187" s="4" t="s">
        <v>47</v>
      </c>
    </row>
    <row r="11188" customFormat="false" ht="17.15" hidden="false" customHeight="false" outlineLevel="0" collapsed="false">
      <c r="A11188" s="0" t="s">
        <v>1025</v>
      </c>
      <c r="B11188" s="0" t="s">
        <v>98</v>
      </c>
      <c r="D11188" s="6" t="n">
        <f aca="false">Sens!D11166</f>
        <v>12.9359794422418</v>
      </c>
      <c r="E11188" s="6" t="n">
        <f aca="false">Sens!E11166</f>
        <v>27.8095064661409</v>
      </c>
      <c r="F11188" s="6" t="n">
        <f aca="false">Sens!F11166</f>
        <v>55.4118315060966</v>
      </c>
      <c r="G11188" s="6" t="n">
        <f aca="false">Sens!G11166</f>
        <v>91.2881100675143</v>
      </c>
      <c r="H11188" s="6" t="n">
        <f aca="false">Sens!H11166</f>
        <v>128.195273603944</v>
      </c>
      <c r="I11188" s="6" t="n">
        <f aca="false">Sens!I11166</f>
        <v>160.601281810405</v>
      </c>
      <c r="J11188" s="6" t="n">
        <f aca="false">Sens!J11166</f>
        <v>183.182719793589</v>
      </c>
      <c r="K11188" s="6" t="n">
        <f aca="false">Sens!K11166</f>
        <v>197.320124937098</v>
      </c>
    </row>
    <row r="11189" customFormat="false" ht="17.15" hidden="false" customHeight="false" outlineLevel="0" collapsed="false">
      <c r="A11189" s="0" t="s">
        <v>1026</v>
      </c>
      <c r="B11189" s="0" t="s">
        <v>98</v>
      </c>
      <c r="D11189" s="6" t="n">
        <f aca="false">Q!L6-Sens!D11188</f>
        <v>59.6740205577583</v>
      </c>
      <c r="E11189" s="6" t="n">
        <f aca="false">Q!M6-Sens!E11188</f>
        <v>74.1284935338591</v>
      </c>
      <c r="F11189" s="6" t="n">
        <f aca="false">Q!$I$6+(Sens!F11188+Sens!E11189*(1+Sens!F11190))*(1-Q!$E$6/Q!M6)-Sens!F11188</f>
        <v>91.2972164940844</v>
      </c>
      <c r="G11189" s="6" t="n">
        <f aca="false">Sens!F11189*(1+Sens!G11190)</f>
        <v>108.474719793879</v>
      </c>
      <c r="H11189" s="6" t="n">
        <f aca="false">Sens!G11189*(1+Sens!H11190)</f>
        <v>125.951292505701</v>
      </c>
      <c r="I11189" s="6" t="n">
        <f aca="false">Sens!H11189*(1+Sens!I11190)</f>
        <v>142.838165154212</v>
      </c>
      <c r="J11189" s="6" t="n">
        <f aca="false">Sens!I11189*(1+Sens!J11190)</f>
        <v>158.12717866615</v>
      </c>
      <c r="K11189" s="6" t="n">
        <f aca="false">Sens!J11189*(1+Sens!K11190)</f>
        <v>170.777352959442</v>
      </c>
      <c r="L11189" s="12" t="s">
        <v>1027</v>
      </c>
    </row>
    <row r="11190" customFormat="false" ht="15" hidden="false" customHeight="false" outlineLevel="0" collapsed="false">
      <c r="A11190" s="1" t="s">
        <v>1028</v>
      </c>
      <c r="B11190" s="0" t="s">
        <v>168</v>
      </c>
      <c r="E11190" s="7" t="n">
        <f aca="false">Sens!E11189/Sens!D11189-1</f>
        <v>0.242223883039864</v>
      </c>
      <c r="F11190" s="7" t="n">
        <f aca="false">Sens!$E$11190+(glt_azo-Sens!$E$11190)*MIN(1,(Sens!F11147-base_fy)/n_conv)</f>
        <v>0.215186569199887</v>
      </c>
      <c r="G11190" s="7" t="n">
        <f aca="false">Sens!$E$11190+(glt_azo-Sens!$E$11190)*MIN(1,(Sens!G11147-base_fy)/n_conv)</f>
        <v>0.18814925535991</v>
      </c>
      <c r="H11190" s="7" t="n">
        <f aca="false">Sens!$E$11190+(glt_azo-Sens!$E$11190)*MIN(1,(Sens!H11147-base_fy)/n_conv)</f>
        <v>0.161111941519932</v>
      </c>
      <c r="I11190" s="7" t="n">
        <f aca="false">Sens!$E$11190+(glt_azo-Sens!$E$11190)*MIN(1,(Sens!I11147-base_fy)/n_conv)</f>
        <v>0.134074627679955</v>
      </c>
      <c r="J11190" s="7" t="n">
        <f aca="false">Sens!$E$11190+(glt_azo-Sens!$E$11190)*MIN(1,(Sens!J11147-base_fy)/n_conv)</f>
        <v>0.107037313839977</v>
      </c>
      <c r="K11190" s="7" t="n">
        <f aca="false">Sens!$E$11190+(glt_azo-Sens!$E$11190)*MIN(1,(Sens!K11147-base_fy)/n_conv)</f>
        <v>0.08</v>
      </c>
    </row>
    <row r="11191" customFormat="false" ht="15" hidden="false" customHeight="false" outlineLevel="0" collapsed="false">
      <c r="A11191" s="0" t="s">
        <v>1029</v>
      </c>
      <c r="B11191" s="0" t="s">
        <v>98</v>
      </c>
      <c r="D11191" s="6" t="n">
        <f aca="false">Sens!D11188+Sens!D11189</f>
        <v>72.61</v>
      </c>
      <c r="E11191" s="6" t="n">
        <f aca="false">Sens!E11188+Sens!E11189</f>
        <v>101.938</v>
      </c>
      <c r="F11191" s="6" t="n">
        <f aca="false">Sens!F11188+Sens!F11189</f>
        <v>146.709048000181</v>
      </c>
      <c r="G11191" s="6" t="n">
        <f aca="false">Sens!G11188+Sens!G11189</f>
        <v>199.762829861393</v>
      </c>
      <c r="H11191" s="6" t="n">
        <f aca="false">Sens!H11188+Sens!H11189</f>
        <v>254.146566109645</v>
      </c>
      <c r="I11191" s="6" t="n">
        <f aca="false">Sens!I11188+Sens!I11189</f>
        <v>303.439446964617</v>
      </c>
      <c r="J11191" s="6" t="n">
        <f aca="false">Sens!J11188+Sens!J11189</f>
        <v>341.309898459739</v>
      </c>
      <c r="K11191" s="6" t="n">
        <f aca="false">Sens!K11188+Sens!K11189</f>
        <v>368.09747789654</v>
      </c>
    </row>
    <row r="11192" customFormat="false" ht="17.15" hidden="false" customHeight="false" outlineLevel="0" collapsed="false">
      <c r="A11192" s="0" t="s">
        <v>1030</v>
      </c>
      <c r="B11192" s="1" t="s">
        <v>613</v>
      </c>
      <c r="C11192" s="30" t="n">
        <f aca="false">cop_s24</f>
        <v>1</v>
      </c>
      <c r="D11192" s="30" t="n">
        <f aca="false">cop_s25</f>
        <v>5</v>
      </c>
      <c r="E11192" s="30" t="n">
        <f aca="false">cop_s26</f>
        <v>30</v>
      </c>
      <c r="F11192" s="30" t="n">
        <f aca="false">Sens!E11192+cop_add_B</f>
        <v>50</v>
      </c>
      <c r="G11192" s="30" t="n">
        <f aca="false">Sens!F11192+cop_add_B</f>
        <v>70</v>
      </c>
      <c r="H11192" s="30" t="n">
        <f aca="false">Sens!G11192+cop_add_B</f>
        <v>90</v>
      </c>
      <c r="I11192" s="30" t="n">
        <f aca="false">Sens!H11192+cop_add_B*cop_tail</f>
        <v>100</v>
      </c>
      <c r="J11192" s="30" t="n">
        <f aca="false">Sens!I11192+cop_add_B*cop_tail</f>
        <v>110</v>
      </c>
      <c r="K11192" s="30" t="n">
        <f aca="false">Sens!J11192+cop_add_B*cop_tail</f>
        <v>120</v>
      </c>
      <c r="L11192" s="12" t="s">
        <v>1031</v>
      </c>
    </row>
    <row r="11193" customFormat="false" ht="17.15" hidden="false" customHeight="false" outlineLevel="0" collapsed="false">
      <c r="A11193" s="0" t="s">
        <v>1032</v>
      </c>
      <c r="B11193" s="0" t="s">
        <v>98</v>
      </c>
      <c r="D11193" s="6" t="n">
        <f aca="false">(Sens!C11192+Sens!D11192)/2*cop_px*12/1000</f>
        <v>0.9</v>
      </c>
      <c r="E11193" s="6" t="n">
        <f aca="false">(Sens!D11192+Sens!E11192)/2*cop_px*12/1000</f>
        <v>5.25</v>
      </c>
      <c r="F11193" s="6" t="n">
        <f aca="false">(Sens!E11192+Sens!F11192)/2*cop_px*12/1000</f>
        <v>12</v>
      </c>
      <c r="G11193" s="6" t="n">
        <f aca="false">(Sens!F11192+Sens!G11192)/2*cop_px*12/1000</f>
        <v>18</v>
      </c>
      <c r="H11193" s="6" t="n">
        <f aca="false">(Sens!G11192+Sens!H11192)/2*cop_px*12/1000</f>
        <v>24</v>
      </c>
      <c r="I11193" s="6" t="n">
        <f aca="false">(Sens!H11192+Sens!I11192)/2*cop_px*12/1000</f>
        <v>28.5</v>
      </c>
      <c r="J11193" s="6" t="n">
        <f aca="false">(Sens!I11192+Sens!J11192)/2*cop_px*12/1000</f>
        <v>31.5</v>
      </c>
      <c r="K11193" s="6" t="n">
        <f aca="false">(Sens!J11192+Sens!K11192)/2*cop_px*12/1000</f>
        <v>34.5</v>
      </c>
      <c r="L11193" s="1" t="s">
        <v>1033</v>
      </c>
    </row>
    <row r="11194" customFormat="false" ht="17.15" hidden="false" customHeight="false" outlineLevel="0" collapsed="false">
      <c r="A11194" s="0" t="s">
        <v>1034</v>
      </c>
      <c r="B11194" s="0" t="s">
        <v>98</v>
      </c>
      <c r="D11194" s="6" t="n">
        <f aca="false">Q!L7-Sens!D11193</f>
        <v>83.705</v>
      </c>
      <c r="E11194" s="6" t="n">
        <f aca="false">Q!M7-Sens!E11193</f>
        <v>95.049</v>
      </c>
      <c r="F11194" s="6" t="n">
        <f aca="false">Q!$I$7+(Sens!E11194*(1+Sens!F11195)+Sens!F11193)*(1-Q!$E$7/Q!M7)-Sens!F11193</f>
        <v>106.584003697747</v>
      </c>
      <c r="G11194" s="6" t="n">
        <f aca="false">Sens!F11194*(1+Sens!G11195)</f>
        <v>118.700726545688</v>
      </c>
      <c r="H11194" s="6" t="n">
        <f aca="false">Sens!G11194*(1+Sens!H11195)</f>
        <v>130.898624783666</v>
      </c>
      <c r="I11194" s="6" t="n">
        <f aca="false">Sens!H11194*(1+Sens!I11195)</f>
        <v>142.920510030657</v>
      </c>
      <c r="J11194" s="6" t="n">
        <f aca="false">Sens!I11194*(1+Sens!J11195)</f>
        <v>154.485722618572</v>
      </c>
      <c r="K11194" s="6" t="n">
        <f aca="false">Sens!J11194*(1+Sens!K11195)</f>
        <v>165.299723201872</v>
      </c>
      <c r="L11194" s="12" t="s">
        <v>1035</v>
      </c>
    </row>
    <row r="11195" customFormat="false" ht="15" hidden="false" customHeight="false" outlineLevel="0" collapsed="false">
      <c r="A11195" s="1" t="s">
        <v>1028</v>
      </c>
      <c r="B11195" s="0" t="s">
        <v>168</v>
      </c>
      <c r="E11195" s="7" t="n">
        <f aca="false">Sens!E11194/Sens!D11194-1</f>
        <v>0.135523564900544</v>
      </c>
      <c r="F11195" s="7" t="n">
        <f aca="false">Sens!$E$11195+(glt_m365b-Sens!$E$11195)*MIN(1,(Sens!F11147-base_fy)/n_conv)</f>
        <v>0.124602970750453</v>
      </c>
      <c r="G11195" s="7" t="n">
        <f aca="false">Sens!$E$11195+(glt_m365b-Sens!$E$11195)*MIN(1,(Sens!G11147-base_fy)/n_conv)</f>
        <v>0.113682376600363</v>
      </c>
      <c r="H11195" s="7" t="n">
        <f aca="false">Sens!$E$11195+(glt_m365b-Sens!$E$11195)*MIN(1,(Sens!H11147-base_fy)/n_conv)</f>
        <v>0.102761782450272</v>
      </c>
      <c r="I11195" s="7" t="n">
        <f aca="false">Sens!$E$11195+(glt_m365b-Sens!$E$11195)*MIN(1,(Sens!I11147-base_fy)/n_conv)</f>
        <v>0.0918411883001813</v>
      </c>
      <c r="J11195" s="7" t="n">
        <f aca="false">Sens!$E$11195+(glt_m365b-Sens!$E$11195)*MIN(1,(Sens!J11147-base_fy)/n_conv)</f>
        <v>0.0809205941500906</v>
      </c>
      <c r="K11195" s="7" t="n">
        <f aca="false">Sens!$E$11195+(glt_m365b-Sens!$E$11195)*MIN(1,(Sens!K11147-base_fy)/n_conv)</f>
        <v>0.07</v>
      </c>
    </row>
    <row r="11196" customFormat="false" ht="15" hidden="false" customHeight="false" outlineLevel="0" collapsed="false">
      <c r="A11196" s="0" t="s">
        <v>1036</v>
      </c>
      <c r="B11196" s="0" t="s">
        <v>98</v>
      </c>
      <c r="D11196" s="6" t="n">
        <f aca="false">Sens!D11194+Sens!D11193</f>
        <v>84.605</v>
      </c>
      <c r="E11196" s="6" t="n">
        <f aca="false">Sens!E11194+Sens!E11193</f>
        <v>100.299</v>
      </c>
      <c r="F11196" s="6" t="n">
        <f aca="false">Sens!F11194+Sens!F11193</f>
        <v>118.584003697747</v>
      </c>
      <c r="G11196" s="6" t="n">
        <f aca="false">Sens!G11194+Sens!G11193</f>
        <v>136.700726545688</v>
      </c>
      <c r="H11196" s="6" t="n">
        <f aca="false">Sens!H11194+Sens!H11193</f>
        <v>154.898624783666</v>
      </c>
      <c r="I11196" s="6" t="n">
        <f aca="false">Sens!I11194+Sens!I11193</f>
        <v>171.420510030657</v>
      </c>
      <c r="J11196" s="6" t="n">
        <f aca="false">Sens!J11194+Sens!J11193</f>
        <v>185.985722618572</v>
      </c>
      <c r="K11196" s="6" t="n">
        <f aca="false">Sens!K11194+Sens!K11193</f>
        <v>199.799723201872</v>
      </c>
    </row>
    <row r="11197" customFormat="false" ht="17.15" hidden="false" customHeight="false" outlineLevel="0" collapsed="false">
      <c r="A11197" s="0" t="s">
        <v>1037</v>
      </c>
      <c r="B11197" s="0" t="s">
        <v>98</v>
      </c>
      <c r="D11197" s="6" t="n">
        <f aca="false">Q!L8</f>
        <v>35.391</v>
      </c>
      <c r="E11197" s="6" t="n">
        <f aca="false">Q!M8</f>
        <v>37.285</v>
      </c>
      <c r="F11197" s="6" t="n">
        <f aca="false">Q!$I$8+(Q!M8-Q!$E$8)*(1+Sens!F11198)</f>
        <v>38.3851437782675</v>
      </c>
      <c r="G11197" s="6" t="n">
        <f aca="false">Sens!F11197*(1+Sens!G11198)</f>
        <v>40.0105353288615</v>
      </c>
      <c r="H11197" s="6" t="n">
        <f aca="false">Sens!G11197*(1+Sens!H11198)</f>
        <v>41.4812512033683</v>
      </c>
      <c r="I11197" s="6" t="n">
        <f aca="false">Sens!H11197*(1+Sens!I11198)</f>
        <v>42.7743107216329</v>
      </c>
      <c r="J11197" s="6" t="n">
        <f aca="false">Sens!I11197*(1+Sens!J11198)</f>
        <v>43.8687373064601</v>
      </c>
      <c r="K11197" s="6" t="n">
        <f aca="false">Sens!J11197*(1+Sens!K11198)</f>
        <v>44.7461120525893</v>
      </c>
      <c r="L11197" s="12" t="s">
        <v>1038</v>
      </c>
    </row>
    <row r="11198" customFormat="false" ht="15" hidden="false" customHeight="false" outlineLevel="0" collapsed="false">
      <c r="A11198" s="1" t="s">
        <v>1028</v>
      </c>
      <c r="B11198" s="0" t="s">
        <v>168</v>
      </c>
      <c r="E11198" s="7" t="n">
        <f aca="false">Sens!E11197/Sens!D11197-1</f>
        <v>0.0535164307309768</v>
      </c>
      <c r="F11198" s="7" t="n">
        <f aca="false">Sens!$E$11198+(glt_lic-Sens!$E$11198)*MIN(1,(Sens!F11147-base_fy)/n_conv)</f>
        <v>0.0479303589424807</v>
      </c>
      <c r="G11198" s="7" t="n">
        <f aca="false">Sens!$E$11198+(glt_lic-Sens!$E$11198)*MIN(1,(Sens!G11147-base_fy)/n_conv)</f>
        <v>0.0423442871539845</v>
      </c>
      <c r="H11198" s="7" t="n">
        <f aca="false">Sens!$E$11198+(glt_lic-Sens!$E$11198)*MIN(1,(Sens!H11147-base_fy)/n_conv)</f>
        <v>0.0367582153654884</v>
      </c>
      <c r="I11198" s="7" t="n">
        <f aca="false">Sens!$E$11198+(glt_lic-Sens!$E$11198)*MIN(1,(Sens!I11147-base_fy)/n_conv)</f>
        <v>0.0311721435769923</v>
      </c>
      <c r="J11198" s="7" t="n">
        <f aca="false">Sens!$E$11198+(glt_lic-Sens!$E$11198)*MIN(1,(Sens!J11147-base_fy)/n_conv)</f>
        <v>0.0255860717884961</v>
      </c>
      <c r="K11198" s="7" t="n">
        <f aca="false">Sens!$E$11198+(glt_lic-Sens!$E$11198)*MIN(1,(Sens!K11147-base_fy)/n_conv)</f>
        <v>0.02</v>
      </c>
    </row>
    <row r="11199" customFormat="false" ht="17.15" hidden="false" customHeight="false" outlineLevel="0" collapsed="false">
      <c r="A11199" s="0" t="s">
        <v>1039</v>
      </c>
      <c r="B11199" s="0" t="s">
        <v>98</v>
      </c>
      <c r="D11199" s="6" t="n">
        <f aca="false">Q!L9</f>
        <v>18.417</v>
      </c>
      <c r="E11199" s="6" t="n">
        <f aca="false">Q!M9</f>
        <v>20.345</v>
      </c>
      <c r="F11199" s="6" t="n">
        <f aca="false">Q!$I$9+(Q!M9-Q!$E$9)*(1+Sens!F11200)</f>
        <v>22.3161797133988</v>
      </c>
      <c r="G11199" s="6" t="n">
        <f aca="false">Sens!F11199*(1+Sens!G11200)</f>
        <v>24.3943499673233</v>
      </c>
      <c r="H11199" s="6" t="n">
        <f aca="false">Sens!G11199*(1+Sens!H11200)</f>
        <v>26.5250243109019</v>
      </c>
      <c r="I11199" s="6" t="n">
        <f aca="false">Sens!H11199*(1+Sens!I11200)</f>
        <v>28.6884573538181</v>
      </c>
      <c r="J11199" s="6" t="n">
        <f aca="false">Sens!I11199*(1+Sens!J11200)</f>
        <v>30.8624968052127</v>
      </c>
      <c r="K11199" s="6" t="n">
        <f aca="false">Sens!J11199*(1+Sens!K11200)</f>
        <v>33.0228715815776</v>
      </c>
      <c r="L11199" s="12" t="s">
        <v>1038</v>
      </c>
    </row>
    <row r="11200" customFormat="false" ht="15" hidden="false" customHeight="false" outlineLevel="0" collapsed="false">
      <c r="A11200" s="1" t="s">
        <v>1028</v>
      </c>
      <c r="B11200" s="0" t="s">
        <v>168</v>
      </c>
      <c r="E11200" s="7" t="n">
        <f aca="false">Sens!E11199/Sens!D11199-1</f>
        <v>0.104685888038225</v>
      </c>
      <c r="F11200" s="7" t="n">
        <f aca="false">Sens!$E$11200+(glt_ind-Sens!$E$11200)*MIN(1,(Sens!F11147-base_fy)/n_conv)</f>
        <v>0.0989049066985211</v>
      </c>
      <c r="G11200" s="7" t="n">
        <f aca="false">Sens!$E$11200+(glt_ind-Sens!$E$11200)*MIN(1,(Sens!G11147-base_fy)/n_conv)</f>
        <v>0.0931239253588169</v>
      </c>
      <c r="H11200" s="7" t="n">
        <f aca="false">Sens!$E$11200+(glt_ind-Sens!$E$11200)*MIN(1,(Sens!H11147-base_fy)/n_conv)</f>
        <v>0.0873429440191127</v>
      </c>
      <c r="I11200" s="7" t="n">
        <f aca="false">Sens!$E$11200+(glt_ind-Sens!$E$11200)*MIN(1,(Sens!I11147-base_fy)/n_conv)</f>
        <v>0.0815619626794085</v>
      </c>
      <c r="J11200" s="7" t="n">
        <f aca="false">Sens!$E$11200+(glt_ind-Sens!$E$11200)*MIN(1,(Sens!J11147-base_fy)/n_conv)</f>
        <v>0.0757809813397042</v>
      </c>
      <c r="K11200" s="7" t="n">
        <f aca="false">Sens!$E$11200+(glt_ind-Sens!$E$11200)*MIN(1,(Sens!K11147-base_fy)/n_conv)</f>
        <v>0.07</v>
      </c>
    </row>
    <row r="11201" customFormat="false" ht="17.15" hidden="false" customHeight="false" outlineLevel="0" collapsed="false">
      <c r="A11201" s="0" t="s">
        <v>1040</v>
      </c>
      <c r="B11201" s="0" t="s">
        <v>98</v>
      </c>
      <c r="D11201" s="6" t="n">
        <f aca="false">Q!L10</f>
        <v>7.76</v>
      </c>
      <c r="E11201" s="6" t="n">
        <f aca="false">Q!M10</f>
        <v>8.26</v>
      </c>
      <c r="F11201" s="6" t="n">
        <f aca="false">Q!$I$10+(Q!M10-Q!$E$10)*(1+Sens!F11202)</f>
        <v>8.75372082474227</v>
      </c>
      <c r="G11201" s="6" t="n">
        <f aca="false">Sens!F11201*(1+Sens!G11202)</f>
        <v>9.33399324642364</v>
      </c>
      <c r="H11201" s="6" t="n">
        <f aca="false">Sens!G11201*(1+Sens!H11202)</f>
        <v>9.96139155535851</v>
      </c>
      <c r="I11201" s="6" t="n">
        <f aca="false">Sens!H11201*(1+Sens!I11202)</f>
        <v>10.6402039077391</v>
      </c>
      <c r="J11201" s="6" t="n">
        <f aca="false">Sens!I11201*(1+Sens!J11202)</f>
        <v>11.3751458271397</v>
      </c>
      <c r="K11201" s="6" t="n">
        <f aca="false">Sens!J11201*(1+Sens!K11202)</f>
        <v>12.1714060350394</v>
      </c>
      <c r="L11201" s="12" t="s">
        <v>1038</v>
      </c>
    </row>
    <row r="11202" customFormat="false" ht="15" hidden="false" customHeight="false" outlineLevel="0" collapsed="false">
      <c r="A11202" s="1" t="s">
        <v>1028</v>
      </c>
      <c r="B11202" s="0" t="s">
        <v>168</v>
      </c>
      <c r="E11202" s="7" t="n">
        <f aca="false">Sens!E11201/Sens!D11201-1</f>
        <v>0.0644329896907216</v>
      </c>
      <c r="F11202" s="7" t="n">
        <f aca="false">Sens!$E$11202+(glt_fro-Sens!$E$11202)*MIN(1,(Sens!F11147-base_fy)/n_conv)</f>
        <v>0.065360824742268</v>
      </c>
      <c r="G11202" s="7" t="n">
        <f aca="false">Sens!$E$11202+(glt_fro-Sens!$E$11202)*MIN(1,(Sens!G11147-base_fy)/n_conv)</f>
        <v>0.0662886597938144</v>
      </c>
      <c r="H11202" s="7" t="n">
        <f aca="false">Sens!$E$11202+(glt_fro-Sens!$E$11202)*MIN(1,(Sens!H11147-base_fy)/n_conv)</f>
        <v>0.0672164948453608</v>
      </c>
      <c r="I11202" s="7" t="n">
        <f aca="false">Sens!$E$11202+(glt_fro-Sens!$E$11202)*MIN(1,(Sens!I11147-base_fy)/n_conv)</f>
        <v>0.0681443298969072</v>
      </c>
      <c r="J11202" s="7" t="n">
        <f aca="false">Sens!$E$11202+(glt_fro-Sens!$E$11202)*MIN(1,(Sens!J11147-base_fy)/n_conv)</f>
        <v>0.0690721649484536</v>
      </c>
      <c r="K11202" s="7" t="n">
        <f aca="false">Sens!$E$11202+(glt_fro-Sens!$E$11202)*MIN(1,(Sens!K11147-base_fy)/n_conv)</f>
        <v>0.07</v>
      </c>
    </row>
    <row r="11203" customFormat="false" ht="15" hidden="false" customHeight="false" outlineLevel="0" collapsed="false">
      <c r="A11203" s="0" t="s">
        <v>856</v>
      </c>
      <c r="B11203" s="0" t="s">
        <v>98</v>
      </c>
      <c r="D11203" s="6" t="n">
        <f aca="false">Sens!D11191+Sens!D11196+Sens!D11197+Sens!D11199+Sens!D11201</f>
        <v>218.783</v>
      </c>
      <c r="E11203" s="6" t="n">
        <f aca="false">Sens!E11191+Sens!E11196+Sens!E11197+Sens!E11199+Sens!E11201</f>
        <v>268.127</v>
      </c>
      <c r="F11203" s="6" t="n">
        <f aca="false">Sens!F11191+Sens!F11196+Sens!F11197+Sens!F11199+Sens!F11201</f>
        <v>334.748096014336</v>
      </c>
      <c r="G11203" s="6" t="n">
        <f aca="false">Sens!G11191+Sens!G11196+Sens!G11197+Sens!G11199+Sens!G11201</f>
        <v>410.20243494969</v>
      </c>
      <c r="H11203" s="6" t="n">
        <f aca="false">Sens!H11191+Sens!H11196+Sens!H11197+Sens!H11199+Sens!H11201</f>
        <v>487.012857962939</v>
      </c>
      <c r="I11203" s="6" t="n">
        <f aca="false">Sens!I11191+Sens!I11196+Sens!I11197+Sens!I11199+Sens!I11201</f>
        <v>556.962928978464</v>
      </c>
      <c r="J11203" s="6" t="n">
        <f aca="false">Sens!J11191+Sens!J11196+Sens!J11197+Sens!J11199+Sens!J11201</f>
        <v>613.402001017124</v>
      </c>
      <c r="K11203" s="6" t="n">
        <f aca="false">Sens!K11191+Sens!K11196+Sens!K11197+Sens!K11199+Sens!K11201</f>
        <v>657.837590767618</v>
      </c>
    </row>
    <row r="11204" customFormat="false" ht="17.15" hidden="false" customHeight="false" outlineLevel="0" collapsed="false">
      <c r="A11204" s="0" t="s">
        <v>1041</v>
      </c>
      <c r="B11204" s="0" t="s">
        <v>98</v>
      </c>
      <c r="D11204" s="6" t="n">
        <f aca="false">Q!L13</f>
        <v>22.171</v>
      </c>
      <c r="E11204" s="6" t="n">
        <f aca="false">Q!M13</f>
        <v>24.835</v>
      </c>
      <c r="F11204" s="6" t="n">
        <f aca="false">Q!$I$13+(Q!M13-Q!$E$13)*(1+Sens!F11205)</f>
        <v>27.6536545660247</v>
      </c>
      <c r="G11204" s="6" t="n">
        <f aca="false">Sens!F11204*(1+Sens!G11205)</f>
        <v>30.7906291283826</v>
      </c>
      <c r="H11204" s="6" t="n">
        <f aca="false">Sens!G11204*(1+Sens!H11205)</f>
        <v>34.1800148087432</v>
      </c>
      <c r="I11204" s="6" t="n">
        <f aca="false">Sens!H11204*(1+Sens!I11205)</f>
        <v>37.8276713738571</v>
      </c>
      <c r="J11204" s="6" t="n">
        <f aca="false">Sens!I11204*(1+Sens!J11205)</f>
        <v>41.7375203323678</v>
      </c>
      <c r="K11204" s="6" t="n">
        <f aca="false">Sens!J11204*(1+Sens!K11205)</f>
        <v>45.9112723656046</v>
      </c>
      <c r="L11204" s="12" t="s">
        <v>1038</v>
      </c>
    </row>
    <row r="11205" customFormat="false" ht="15" hidden="false" customHeight="false" outlineLevel="0" collapsed="false">
      <c r="A11205" s="1" t="s">
        <v>1028</v>
      </c>
      <c r="B11205" s="0" t="s">
        <v>168</v>
      </c>
      <c r="E11205" s="7" t="n">
        <f aca="false">Sens!E11204/Sens!D11204-1</f>
        <v>0.120156961796942</v>
      </c>
      <c r="F11205" s="7" t="n">
        <f aca="false">Sens!$E$11205+(glt_srch_hi-Sens!$E$11205)*MIN(1,(Sens!F11147-base_fy)/n_conv)</f>
        <v>0.116797468164118</v>
      </c>
      <c r="G11205" s="7" t="n">
        <f aca="false">Sens!$E$11205+(glt_srch_hi-Sens!$E$11205)*MIN(1,(Sens!G11147-base_fy)/n_conv)</f>
        <v>0.113437974531295</v>
      </c>
      <c r="H11205" s="7" t="n">
        <f aca="false">Sens!$E$11205+(glt_srch_hi-Sens!$E$11205)*MIN(1,(Sens!H11147-base_fy)/n_conv)</f>
        <v>0.110078480898471</v>
      </c>
      <c r="I11205" s="7" t="n">
        <f aca="false">Sens!$E$11205+(glt_srch_hi-Sens!$E$11205)*MIN(1,(Sens!I11147-base_fy)/n_conv)</f>
        <v>0.106718987265647</v>
      </c>
      <c r="J11205" s="7" t="n">
        <f aca="false">Sens!$E$11205+(glt_srch_hi-Sens!$E$11205)*MIN(1,(Sens!J11147-base_fy)/n_conv)</f>
        <v>0.103359493632824</v>
      </c>
      <c r="K11205" s="7" t="n">
        <f aca="false">Sens!$E$11205+(glt_srch_hi-Sens!$E$11205)*MIN(1,(Sens!K11147-base_fy)/n_conv)</f>
        <v>0.1</v>
      </c>
    </row>
    <row r="11206" customFormat="false" ht="17.15" hidden="false" customHeight="false" outlineLevel="0" collapsed="false">
      <c r="A11206" s="0" t="s">
        <v>1042</v>
      </c>
      <c r="B11206" s="0" t="s">
        <v>98</v>
      </c>
      <c r="D11206" s="6" t="n">
        <f aca="false">Q!L14</f>
        <v>23.455</v>
      </c>
      <c r="E11206" s="6" t="n">
        <f aca="false">Q!M14</f>
        <v>21.79</v>
      </c>
      <c r="F11206" s="6" t="n">
        <f aca="false">Q!$I$14+(Q!M14-Q!$E$14)*(1+Sens!F11207)</f>
        <v>20.7520981041711</v>
      </c>
      <c r="G11206" s="6" t="n">
        <f aca="false">Sens!F11206*(1+Sens!G11207)</f>
        <v>19.9083593495882</v>
      </c>
      <c r="H11206" s="6" t="n">
        <f aca="false">Sens!G11206*(1+Sens!H11207)</f>
        <v>19.4008256265831</v>
      </c>
      <c r="I11206" s="6" t="n">
        <f aca="false">Sens!H11206*(1+Sens!I11207)</f>
        <v>19.200434522122</v>
      </c>
      <c r="J11206" s="6" t="n">
        <f aca="false">Sens!I11206*(1+Sens!J11207)</f>
        <v>19.2932782348507</v>
      </c>
      <c r="K11206" s="6" t="n">
        <f aca="false">Sens!J11206*(1+Sens!K11207)</f>
        <v>19.6791437995477</v>
      </c>
      <c r="L11206" s="12" t="s">
        <v>1038</v>
      </c>
    </row>
    <row r="11207" customFormat="false" ht="15" hidden="false" customHeight="false" outlineLevel="0" collapsed="false">
      <c r="A11207" s="1" t="s">
        <v>1028</v>
      </c>
      <c r="B11207" s="0" t="s">
        <v>168</v>
      </c>
      <c r="E11207" s="7" t="n">
        <f aca="false">Sens!E11206/Sens!D11206-1</f>
        <v>-0.0709869963760392</v>
      </c>
      <c r="F11207" s="7" t="n">
        <f aca="false">Sens!$E$11207+(glt_xbox-Sens!$E$11207)*MIN(1,(Sens!F11147-base_fy)/n_conv)</f>
        <v>-0.0558224969800327</v>
      </c>
      <c r="G11207" s="7" t="n">
        <f aca="false">Sens!$E$11207+(glt_xbox-Sens!$E$11207)*MIN(1,(Sens!G11147-base_fy)/n_conv)</f>
        <v>-0.0406579975840262</v>
      </c>
      <c r="H11207" s="7" t="n">
        <f aca="false">Sens!$E$11207+(glt_xbox-Sens!$E$11207)*MIN(1,(Sens!H11147-base_fy)/n_conv)</f>
        <v>-0.0254934981880196</v>
      </c>
      <c r="I11207" s="7" t="n">
        <f aca="false">Sens!$E$11207+(glt_xbox-Sens!$E$11207)*MIN(1,(Sens!I11147-base_fy)/n_conv)</f>
        <v>-0.0103289987920131</v>
      </c>
      <c r="J11207" s="7" t="n">
        <f aca="false">Sens!$E$11207+(glt_xbox-Sens!$E$11207)*MIN(1,(Sens!J11147-base_fy)/n_conv)</f>
        <v>0.00483550060399347</v>
      </c>
      <c r="K11207" s="7" t="n">
        <f aca="false">Sens!$E$11207+(glt_xbox-Sens!$E$11207)*MIN(1,(Sens!K11147-base_fy)/n_conv)</f>
        <v>0.02</v>
      </c>
    </row>
    <row r="11208" customFormat="false" ht="17.15" hidden="false" customHeight="false" outlineLevel="0" collapsed="false">
      <c r="A11208" s="0" t="s">
        <v>1043</v>
      </c>
      <c r="B11208" s="0" t="s">
        <v>98</v>
      </c>
      <c r="D11208" s="6" t="n">
        <f aca="false">Q!L15</f>
        <v>17.315</v>
      </c>
      <c r="E11208" s="6" t="n">
        <f aca="false">Q!M15</f>
        <v>17.087</v>
      </c>
      <c r="F11208" s="6" t="n">
        <f aca="false">Q!$I$15+(Q!M15-Q!$E$15)*(1+Sens!F11209)</f>
        <v>15.9912273250553</v>
      </c>
      <c r="G11208" s="6" t="n">
        <f aca="false">Sens!F11208*(1+Sens!G11209)</f>
        <v>15.9574562664827</v>
      </c>
      <c r="H11208" s="6" t="n">
        <f aca="false">Sens!G11208*(1+Sens!H11209)</f>
        <v>16.0119687434196</v>
      </c>
      <c r="I11208" s="6" t="n">
        <f aca="false">Sens!H11208*(1+Sens!I11209)</f>
        <v>16.1551810001948</v>
      </c>
      <c r="J11208" s="6" t="n">
        <f aca="false">Sens!I11208*(1+Sens!J11209)</f>
        <v>16.3889793892005</v>
      </c>
      <c r="K11208" s="6" t="n">
        <f aca="false">Sens!J11208*(1+Sens!K11209)</f>
        <v>16.7167589769845</v>
      </c>
      <c r="L11208" s="12" t="s">
        <v>1038</v>
      </c>
    </row>
    <row r="11209" customFormat="false" ht="15" hidden="false" customHeight="false" outlineLevel="0" collapsed="false">
      <c r="A11209" s="1" t="s">
        <v>1028</v>
      </c>
      <c r="B11209" s="0" t="s">
        <v>168</v>
      </c>
      <c r="E11209" s="7" t="n">
        <f aca="false">Sens!E11208/Sens!D11208-1</f>
        <v>-0.0131677736066995</v>
      </c>
      <c r="F11209" s="7" t="n">
        <f aca="false">Sens!$E$11209+(glt_win-Sens!$E$11209)*MIN(1,(Sens!F11147-base_fy)/n_conv)</f>
        <v>-0.00763981133891627</v>
      </c>
      <c r="G11209" s="7" t="n">
        <f aca="false">Sens!$E$11209+(glt_win-Sens!$E$11209)*MIN(1,(Sens!G11147-base_fy)/n_conv)</f>
        <v>-0.00211184907113301</v>
      </c>
      <c r="H11209" s="7" t="n">
        <f aca="false">Sens!$E$11209+(glt_win-Sens!$E$11209)*MIN(1,(Sens!H11147-base_fy)/n_conv)</f>
        <v>0.00341611319665024</v>
      </c>
      <c r="I11209" s="7" t="n">
        <f aca="false">Sens!$E$11209+(glt_win-Sens!$E$11209)*MIN(1,(Sens!I11147-base_fy)/n_conv)</f>
        <v>0.00894407546443349</v>
      </c>
      <c r="J11209" s="7" t="n">
        <f aca="false">Sens!$E$11209+(glt_win-Sens!$E$11209)*MIN(1,(Sens!J11147-base_fy)/n_conv)</f>
        <v>0.0144720377322168</v>
      </c>
      <c r="K11209" s="7" t="n">
        <f aca="false">Sens!$E$11209+(glt_win-Sens!$E$11209)*MIN(1,(Sens!K11147-base_fy)/n_conv)</f>
        <v>0.02</v>
      </c>
    </row>
    <row r="11210" customFormat="false" ht="15" hidden="false" customHeight="false" outlineLevel="0" collapsed="false">
      <c r="A11210" s="0" t="s">
        <v>870</v>
      </c>
      <c r="B11210" s="0" t="s">
        <v>98</v>
      </c>
      <c r="D11210" s="6" t="n">
        <f aca="false">Sens!D11204+Sens!D11206+Sens!D11208</f>
        <v>62.941</v>
      </c>
      <c r="E11210" s="6" t="n">
        <f aca="false">Sens!E11204+Sens!E11206+Sens!E11208</f>
        <v>63.712</v>
      </c>
      <c r="F11210" s="6" t="n">
        <f aca="false">Sens!F11204+Sens!F11206+Sens!F11208</f>
        <v>64.3969799952511</v>
      </c>
      <c r="G11210" s="6" t="n">
        <f aca="false">Sens!G11204+Sens!G11206+Sens!G11208</f>
        <v>66.6564447444535</v>
      </c>
      <c r="H11210" s="6" t="n">
        <f aca="false">Sens!H11204+Sens!H11206+Sens!H11208</f>
        <v>69.5928091787458</v>
      </c>
      <c r="I11210" s="6" t="n">
        <f aca="false">Sens!I11204+Sens!I11206+Sens!I11208</f>
        <v>73.183286896174</v>
      </c>
      <c r="J11210" s="6" t="n">
        <f aca="false">Sens!J11204+Sens!J11206+Sens!J11208</f>
        <v>77.419777956419</v>
      </c>
      <c r="K11210" s="6" t="n">
        <f aca="false">Sens!K11204+Sens!K11206+Sens!K11208</f>
        <v>82.3071751421368</v>
      </c>
    </row>
    <row r="11211" customFormat="false" ht="15" hidden="false" customHeight="false" outlineLevel="0" collapsed="false">
      <c r="A11211" s="1" t="s">
        <v>1044</v>
      </c>
      <c r="B11211" s="0" t="s">
        <v>98</v>
      </c>
      <c r="D11211" s="6" t="n">
        <f aca="false">Sens!D11203+Sens!D11210</f>
        <v>281.724</v>
      </c>
      <c r="E11211" s="6" t="n">
        <f aca="false">Sens!E11203+Sens!E11210</f>
        <v>331.839</v>
      </c>
      <c r="F11211" s="6" t="n">
        <f aca="false">Sens!F11203+Sens!F11210</f>
        <v>399.145076009588</v>
      </c>
      <c r="G11211" s="6" t="n">
        <f aca="false">Sens!G11203+Sens!G11210</f>
        <v>476.858879694143</v>
      </c>
      <c r="H11211" s="6" t="n">
        <f aca="false">Sens!H11203+Sens!H11210</f>
        <v>556.605667141685</v>
      </c>
      <c r="I11211" s="6" t="n">
        <f aca="false">Sens!I11203+Sens!I11210</f>
        <v>630.146215874638</v>
      </c>
      <c r="J11211" s="6" t="n">
        <f aca="false">Sens!J11203+Sens!J11210</f>
        <v>690.821778973543</v>
      </c>
      <c r="K11211" s="6" t="n">
        <f aca="false">Sens!K11203+Sens!K11210</f>
        <v>740.144765909755</v>
      </c>
    </row>
    <row r="11212" customFormat="false" ht="15" hidden="false" customHeight="false" outlineLevel="0" collapsed="false">
      <c r="A11212" s="26" t="s">
        <v>1045</v>
      </c>
      <c r="B11212" s="31" t="s">
        <v>98</v>
      </c>
      <c r="C11212" s="31"/>
      <c r="D11212" s="27" t="n">
        <f aca="false">(Sens!D11191+Sens!D11196+Sens!D11197+Sens!D11199+Sens!D11201-Sens!D11203)+(Sens!D11204+Sens!D11206+Sens!D11208-Sens!D11210)+(Sens!D11203-Q!L5)+(Sens!D11210-Q!L12)+(Sens!D11191-Q!L6)+(Sens!D11196-Q!L7)</f>
        <v>0</v>
      </c>
      <c r="E11212" s="27" t="n">
        <f aca="false">(Sens!E11191+Sens!E11196+Sens!E11197+Sens!E11199+Sens!E11201-Sens!E11203)+(Sens!E11204+Sens!E11206+Sens!E11208-Sens!E11210)+(Sens!E11203-Q!M5)+(Sens!E11210-Q!M12)+(Sens!E11191-Q!M6)+(Sens!E11196-Q!M7)</f>
        <v>0</v>
      </c>
      <c r="F11212" s="27" t="n">
        <f aca="false">(Sens!F11191+Sens!F11196+Sens!F11197+Sens!F11199+Sens!F11201-Sens!F11203)+(Sens!F11204+Sens!F11206+Sens!F11208-Sens!F11210)</f>
        <v>0</v>
      </c>
      <c r="G11212" s="27" t="n">
        <f aca="false">(Sens!G11191+Sens!G11196+Sens!G11197+Sens!G11199+Sens!G11201-Sens!G11203)+(Sens!G11204+Sens!G11206+Sens!G11208-Sens!G11210)</f>
        <v>0</v>
      </c>
      <c r="H11212" s="27" t="n">
        <f aca="false">(Sens!H11191+Sens!H11196+Sens!H11197+Sens!H11199+Sens!H11201-Sens!H11203)+(Sens!H11204+Sens!H11206+Sens!H11208-Sens!H11210)</f>
        <v>0</v>
      </c>
      <c r="I11212" s="27" t="n">
        <f aca="false">(Sens!I11191+Sens!I11196+Sens!I11197+Sens!I11199+Sens!I11201-Sens!I11203)+(Sens!I11204+Sens!I11206+Sens!I11208-Sens!I11210)</f>
        <v>0</v>
      </c>
      <c r="J11212" s="27" t="n">
        <f aca="false">(Sens!J11191+Sens!J11196+Sens!J11197+Sens!J11199+Sens!J11201-Sens!J11203)+(Sens!J11204+Sens!J11206+Sens!J11208-Sens!J11210)</f>
        <v>0</v>
      </c>
      <c r="K11212" s="27" t="n">
        <f aca="false">(Sens!K11191+Sens!K11196+Sens!K11197+Sens!K11199+Sens!K11201-Sens!K11203)+(Sens!K11204+Sens!K11206+Sens!K11208-Sens!K11210)</f>
        <v>0</v>
      </c>
    </row>
    <row r="11213" customFormat="false" ht="17.15" hidden="false" customHeight="false" outlineLevel="0" collapsed="false">
      <c r="A11213" s="3" t="s">
        <v>1892</v>
      </c>
    </row>
    <row r="11214" customFormat="false" ht="15" hidden="false" customHeight="false" outlineLevel="0" collapsed="false">
      <c r="A11214" s="4" t="s">
        <v>43</v>
      </c>
      <c r="B11214" s="4" t="s">
        <v>65</v>
      </c>
      <c r="C11214" s="23" t="s">
        <v>942</v>
      </c>
      <c r="D11214" s="23" t="s">
        <v>943</v>
      </c>
      <c r="E11214" s="23" t="s">
        <v>944</v>
      </c>
      <c r="F11214" s="23" t="s">
        <v>945</v>
      </c>
      <c r="G11214" s="23" t="s">
        <v>946</v>
      </c>
      <c r="H11214" s="23" t="s">
        <v>947</v>
      </c>
      <c r="I11214" s="23" t="s">
        <v>948</v>
      </c>
      <c r="J11214" s="23" t="s">
        <v>949</v>
      </c>
      <c r="K11214" s="23" t="s">
        <v>950</v>
      </c>
      <c r="L11214" s="4" t="s">
        <v>47</v>
      </c>
    </row>
    <row r="11215" customFormat="false" ht="15" hidden="false" customHeight="false" outlineLevel="0" collapsed="false">
      <c r="A11215" s="0" t="s">
        <v>1029</v>
      </c>
      <c r="B11215" s="0" t="s">
        <v>98</v>
      </c>
      <c r="D11215" s="6" t="n">
        <f aca="false">Sens!D11191</f>
        <v>72.61</v>
      </c>
      <c r="E11215" s="6" t="n">
        <f aca="false">Sens!E11191</f>
        <v>101.938</v>
      </c>
      <c r="F11215" s="6" t="n">
        <f aca="false">Sens!F11191</f>
        <v>146.709048000181</v>
      </c>
      <c r="G11215" s="6" t="n">
        <f aca="false">Sens!G11191</f>
        <v>199.762829861393</v>
      </c>
      <c r="H11215" s="6" t="n">
        <f aca="false">Sens!H11191</f>
        <v>254.146566109645</v>
      </c>
      <c r="I11215" s="6" t="n">
        <f aca="false">Sens!I11191</f>
        <v>303.439446964617</v>
      </c>
      <c r="J11215" s="6" t="n">
        <f aca="false">Sens!J11191</f>
        <v>341.309898459739</v>
      </c>
      <c r="K11215" s="6" t="n">
        <f aca="false">Sens!K11191</f>
        <v>368.09747789654</v>
      </c>
    </row>
    <row r="11216" customFormat="false" ht="17.15" hidden="false" customHeight="false" outlineLevel="0" collapsed="false">
      <c r="A11216" s="0" t="s">
        <v>1025</v>
      </c>
      <c r="B11216" s="0" t="s">
        <v>98</v>
      </c>
      <c r="D11216" s="6" t="n">
        <f aca="false">Sens!D11188</f>
        <v>12.9359794422418</v>
      </c>
      <c r="E11216" s="6" t="n">
        <f aca="false">Sens!E11188</f>
        <v>27.8095064661409</v>
      </c>
      <c r="F11216" s="6" t="n">
        <f aca="false">Sens!F11188</f>
        <v>55.4118315060966</v>
      </c>
      <c r="G11216" s="6" t="n">
        <f aca="false">Sens!G11188</f>
        <v>91.2881100675143</v>
      </c>
      <c r="H11216" s="6" t="n">
        <f aca="false">Sens!H11188</f>
        <v>128.195273603944</v>
      </c>
      <c r="I11216" s="6" t="n">
        <f aca="false">Sens!I11188</f>
        <v>160.601281810405</v>
      </c>
      <c r="J11216" s="6" t="n">
        <f aca="false">Sens!J11188</f>
        <v>183.182719793589</v>
      </c>
      <c r="K11216" s="6" t="n">
        <f aca="false">Sens!K11188</f>
        <v>197.320124937098</v>
      </c>
    </row>
    <row r="11217" customFormat="false" ht="17.15" hidden="false" customHeight="false" outlineLevel="0" collapsed="false">
      <c r="A11217" s="0" t="s">
        <v>1056</v>
      </c>
      <c r="B11217" s="0" t="s">
        <v>98</v>
      </c>
      <c r="D11217" s="6" t="n">
        <f aca="false">Sens!D11189</f>
        <v>59.6740205577583</v>
      </c>
      <c r="E11217" s="6" t="n">
        <f aca="false">Sens!E11189</f>
        <v>74.1284935338591</v>
      </c>
      <c r="F11217" s="6" t="n">
        <f aca="false">Sens!F11189</f>
        <v>91.2972164940844</v>
      </c>
      <c r="G11217" s="6" t="n">
        <f aca="false">Sens!G11189</f>
        <v>108.474719793879</v>
      </c>
      <c r="H11217" s="6" t="n">
        <f aca="false">Sens!H11189</f>
        <v>125.951292505701</v>
      </c>
      <c r="I11217" s="6" t="n">
        <f aca="false">Sens!I11189</f>
        <v>142.838165154212</v>
      </c>
      <c r="J11217" s="6" t="n">
        <f aca="false">Sens!J11189</f>
        <v>158.12717866615</v>
      </c>
      <c r="K11217" s="6" t="n">
        <f aca="false">Sens!K11189</f>
        <v>170.777352959442</v>
      </c>
    </row>
    <row r="11218" customFormat="false" ht="15" hidden="false" customHeight="false" outlineLevel="0" collapsed="false">
      <c r="A11218" s="0" t="s">
        <v>1036</v>
      </c>
      <c r="B11218" s="0" t="s">
        <v>98</v>
      </c>
      <c r="D11218" s="6" t="n">
        <f aca="false">Sens!D11196</f>
        <v>84.605</v>
      </c>
      <c r="E11218" s="6" t="n">
        <f aca="false">Sens!E11196</f>
        <v>100.299</v>
      </c>
      <c r="F11218" s="6" t="n">
        <f aca="false">Sens!F11196</f>
        <v>118.584003697747</v>
      </c>
      <c r="G11218" s="6" t="n">
        <f aca="false">Sens!G11196</f>
        <v>136.700726545688</v>
      </c>
      <c r="H11218" s="6" t="n">
        <f aca="false">Sens!H11196</f>
        <v>154.898624783666</v>
      </c>
      <c r="I11218" s="6" t="n">
        <f aca="false">Sens!I11196</f>
        <v>171.420510030657</v>
      </c>
      <c r="J11218" s="6" t="n">
        <f aca="false">Sens!J11196</f>
        <v>185.985722618572</v>
      </c>
      <c r="K11218" s="6" t="n">
        <f aca="false">Sens!K11196</f>
        <v>199.799723201872</v>
      </c>
    </row>
    <row r="11219" customFormat="false" ht="17.15" hidden="false" customHeight="false" outlineLevel="0" collapsed="false">
      <c r="A11219" s="0" t="s">
        <v>1057</v>
      </c>
      <c r="B11219" s="0" t="s">
        <v>98</v>
      </c>
      <c r="D11219" s="6" t="n">
        <f aca="false">Sens!D11194</f>
        <v>83.705</v>
      </c>
      <c r="E11219" s="6" t="n">
        <f aca="false">Sens!E11194</f>
        <v>95.049</v>
      </c>
      <c r="F11219" s="6" t="n">
        <f aca="false">Sens!F11194</f>
        <v>106.584003697747</v>
      </c>
      <c r="G11219" s="6" t="n">
        <f aca="false">Sens!G11194</f>
        <v>118.700726545688</v>
      </c>
      <c r="H11219" s="6" t="n">
        <f aca="false">Sens!H11194</f>
        <v>130.898624783666</v>
      </c>
      <c r="I11219" s="6" t="n">
        <f aca="false">Sens!I11194</f>
        <v>142.920510030657</v>
      </c>
      <c r="J11219" s="6" t="n">
        <f aca="false">Sens!J11194</f>
        <v>154.485722618572</v>
      </c>
      <c r="K11219" s="6" t="n">
        <f aca="false">Sens!K11194</f>
        <v>165.299723201872</v>
      </c>
    </row>
    <row r="11220" customFormat="false" ht="17.15" hidden="false" customHeight="false" outlineLevel="0" collapsed="false">
      <c r="A11220" s="0" t="s">
        <v>1058</v>
      </c>
      <c r="B11220" s="0" t="s">
        <v>98</v>
      </c>
      <c r="D11220" s="6" t="n">
        <f aca="false">Sens!D11193</f>
        <v>0.9</v>
      </c>
      <c r="E11220" s="6" t="n">
        <f aca="false">Sens!E11193</f>
        <v>5.25</v>
      </c>
      <c r="F11220" s="6" t="n">
        <f aca="false">Sens!F11193</f>
        <v>12</v>
      </c>
      <c r="G11220" s="6" t="n">
        <f aca="false">Sens!G11193</f>
        <v>18</v>
      </c>
      <c r="H11220" s="6" t="n">
        <f aca="false">Sens!H11193</f>
        <v>24</v>
      </c>
      <c r="I11220" s="6" t="n">
        <f aca="false">Sens!I11193</f>
        <v>28.5</v>
      </c>
      <c r="J11220" s="6" t="n">
        <f aca="false">Sens!J11193</f>
        <v>31.5</v>
      </c>
      <c r="K11220" s="6" t="n">
        <f aca="false">Sens!K11193</f>
        <v>34.5</v>
      </c>
    </row>
    <row r="11221" customFormat="false" ht="15" hidden="false" customHeight="false" outlineLevel="0" collapsed="false">
      <c r="A11221" s="0" t="s">
        <v>1037</v>
      </c>
      <c r="B11221" s="0" t="s">
        <v>98</v>
      </c>
      <c r="D11221" s="6" t="n">
        <f aca="false">Sens!D11197</f>
        <v>35.391</v>
      </c>
      <c r="E11221" s="6" t="n">
        <f aca="false">Sens!E11197</f>
        <v>37.285</v>
      </c>
      <c r="F11221" s="6" t="n">
        <f aca="false">Sens!F11197</f>
        <v>38.3851437782675</v>
      </c>
      <c r="G11221" s="6" t="n">
        <f aca="false">Sens!G11197</f>
        <v>40.0105353288615</v>
      </c>
      <c r="H11221" s="6" t="n">
        <f aca="false">Sens!H11197</f>
        <v>41.4812512033683</v>
      </c>
      <c r="I11221" s="6" t="n">
        <f aca="false">Sens!I11197</f>
        <v>42.7743107216329</v>
      </c>
      <c r="J11221" s="6" t="n">
        <f aca="false">Sens!J11197</f>
        <v>43.8687373064601</v>
      </c>
      <c r="K11221" s="6" t="n">
        <f aca="false">Sens!K11197</f>
        <v>44.7461120525893</v>
      </c>
    </row>
    <row r="11222" customFormat="false" ht="15" hidden="false" customHeight="false" outlineLevel="0" collapsed="false">
      <c r="A11222" s="0" t="s">
        <v>1039</v>
      </c>
      <c r="B11222" s="0" t="s">
        <v>98</v>
      </c>
      <c r="D11222" s="6" t="n">
        <f aca="false">Sens!D11199</f>
        <v>18.417</v>
      </c>
      <c r="E11222" s="6" t="n">
        <f aca="false">Sens!E11199</f>
        <v>20.345</v>
      </c>
      <c r="F11222" s="6" t="n">
        <f aca="false">Sens!F11199</f>
        <v>22.3161797133988</v>
      </c>
      <c r="G11222" s="6" t="n">
        <f aca="false">Sens!G11199</f>
        <v>24.3943499673233</v>
      </c>
      <c r="H11222" s="6" t="n">
        <f aca="false">Sens!H11199</f>
        <v>26.5250243109019</v>
      </c>
      <c r="I11222" s="6" t="n">
        <f aca="false">Sens!I11199</f>
        <v>28.6884573538181</v>
      </c>
      <c r="J11222" s="6" t="n">
        <f aca="false">Sens!J11199</f>
        <v>30.8624968052127</v>
      </c>
      <c r="K11222" s="6" t="n">
        <f aca="false">Sens!K11199</f>
        <v>33.0228715815776</v>
      </c>
    </row>
    <row r="11223" customFormat="false" ht="15" hidden="false" customHeight="false" outlineLevel="0" collapsed="false">
      <c r="A11223" s="0" t="s">
        <v>1040</v>
      </c>
      <c r="B11223" s="0" t="s">
        <v>98</v>
      </c>
      <c r="D11223" s="6" t="n">
        <f aca="false">Sens!D11201</f>
        <v>7.76</v>
      </c>
      <c r="E11223" s="6" t="n">
        <f aca="false">Sens!E11201</f>
        <v>8.26</v>
      </c>
      <c r="F11223" s="6" t="n">
        <f aca="false">Sens!F11201</f>
        <v>8.75372082474227</v>
      </c>
      <c r="G11223" s="6" t="n">
        <f aca="false">Sens!G11201</f>
        <v>9.33399324642364</v>
      </c>
      <c r="H11223" s="6" t="n">
        <f aca="false">Sens!H11201</f>
        <v>9.96139155535851</v>
      </c>
      <c r="I11223" s="6" t="n">
        <f aca="false">Sens!I11201</f>
        <v>10.6402039077391</v>
      </c>
      <c r="J11223" s="6" t="n">
        <f aca="false">Sens!J11201</f>
        <v>11.3751458271397</v>
      </c>
      <c r="K11223" s="6" t="n">
        <f aca="false">Sens!K11201</f>
        <v>12.1714060350394</v>
      </c>
    </row>
    <row r="11224" customFormat="false" ht="15" hidden="false" customHeight="false" outlineLevel="0" collapsed="false">
      <c r="A11224" s="0" t="s">
        <v>856</v>
      </c>
      <c r="B11224" s="0" t="s">
        <v>98</v>
      </c>
      <c r="D11224" s="6" t="n">
        <f aca="false">Sens!D11203</f>
        <v>218.783</v>
      </c>
      <c r="E11224" s="6" t="n">
        <f aca="false">Sens!E11203</f>
        <v>268.127</v>
      </c>
      <c r="F11224" s="6" t="n">
        <f aca="false">Sens!F11203</f>
        <v>334.748096014336</v>
      </c>
      <c r="G11224" s="6" t="n">
        <f aca="false">Sens!G11203</f>
        <v>410.20243494969</v>
      </c>
      <c r="H11224" s="6" t="n">
        <f aca="false">Sens!H11203</f>
        <v>487.012857962939</v>
      </c>
      <c r="I11224" s="6" t="n">
        <f aca="false">Sens!I11203</f>
        <v>556.962928978464</v>
      </c>
      <c r="J11224" s="6" t="n">
        <f aca="false">Sens!J11203</f>
        <v>613.402001017124</v>
      </c>
      <c r="K11224" s="6" t="n">
        <f aca="false">Sens!K11203</f>
        <v>657.837590767618</v>
      </c>
    </row>
    <row r="11225" customFormat="false" ht="15" hidden="false" customHeight="false" outlineLevel="0" collapsed="false">
      <c r="A11225" s="0" t="s">
        <v>1041</v>
      </c>
      <c r="B11225" s="0" t="s">
        <v>98</v>
      </c>
      <c r="D11225" s="6" t="n">
        <f aca="false">Sens!D11204</f>
        <v>22.171</v>
      </c>
      <c r="E11225" s="6" t="n">
        <f aca="false">Sens!E11204</f>
        <v>24.835</v>
      </c>
      <c r="F11225" s="6" t="n">
        <f aca="false">Sens!F11204</f>
        <v>27.6536545660247</v>
      </c>
      <c r="G11225" s="6" t="n">
        <f aca="false">Sens!G11204</f>
        <v>30.7906291283826</v>
      </c>
      <c r="H11225" s="6" t="n">
        <f aca="false">Sens!H11204</f>
        <v>34.1800148087432</v>
      </c>
      <c r="I11225" s="6" t="n">
        <f aca="false">Sens!I11204</f>
        <v>37.8276713738571</v>
      </c>
      <c r="J11225" s="6" t="n">
        <f aca="false">Sens!J11204</f>
        <v>41.7375203323678</v>
      </c>
      <c r="K11225" s="6" t="n">
        <f aca="false">Sens!K11204</f>
        <v>45.9112723656046</v>
      </c>
    </row>
    <row r="11226" customFormat="false" ht="15" hidden="false" customHeight="false" outlineLevel="0" collapsed="false">
      <c r="A11226" s="0" t="s">
        <v>1042</v>
      </c>
      <c r="B11226" s="0" t="s">
        <v>98</v>
      </c>
      <c r="D11226" s="6" t="n">
        <f aca="false">Sens!D11206</f>
        <v>23.455</v>
      </c>
      <c r="E11226" s="6" t="n">
        <f aca="false">Sens!E11206</f>
        <v>21.79</v>
      </c>
      <c r="F11226" s="6" t="n">
        <f aca="false">Sens!F11206</f>
        <v>20.7520981041711</v>
      </c>
      <c r="G11226" s="6" t="n">
        <f aca="false">Sens!G11206</f>
        <v>19.9083593495882</v>
      </c>
      <c r="H11226" s="6" t="n">
        <f aca="false">Sens!H11206</f>
        <v>19.4008256265831</v>
      </c>
      <c r="I11226" s="6" t="n">
        <f aca="false">Sens!I11206</f>
        <v>19.200434522122</v>
      </c>
      <c r="J11226" s="6" t="n">
        <f aca="false">Sens!J11206</f>
        <v>19.2932782348507</v>
      </c>
      <c r="K11226" s="6" t="n">
        <f aca="false">Sens!K11206</f>
        <v>19.6791437995477</v>
      </c>
    </row>
    <row r="11227" customFormat="false" ht="15" hidden="false" customHeight="false" outlineLevel="0" collapsed="false">
      <c r="A11227" s="0" t="s">
        <v>1043</v>
      </c>
      <c r="B11227" s="0" t="s">
        <v>98</v>
      </c>
      <c r="D11227" s="6" t="n">
        <f aca="false">Sens!D11208</f>
        <v>17.315</v>
      </c>
      <c r="E11227" s="6" t="n">
        <f aca="false">Sens!E11208</f>
        <v>17.087</v>
      </c>
      <c r="F11227" s="6" t="n">
        <f aca="false">Sens!F11208</f>
        <v>15.9912273250553</v>
      </c>
      <c r="G11227" s="6" t="n">
        <f aca="false">Sens!G11208</f>
        <v>15.9574562664827</v>
      </c>
      <c r="H11227" s="6" t="n">
        <f aca="false">Sens!H11208</f>
        <v>16.0119687434196</v>
      </c>
      <c r="I11227" s="6" t="n">
        <f aca="false">Sens!I11208</f>
        <v>16.1551810001948</v>
      </c>
      <c r="J11227" s="6" t="n">
        <f aca="false">Sens!J11208</f>
        <v>16.3889793892005</v>
      </c>
      <c r="K11227" s="6" t="n">
        <f aca="false">Sens!K11208</f>
        <v>16.7167589769845</v>
      </c>
    </row>
    <row r="11228" customFormat="false" ht="15" hidden="false" customHeight="false" outlineLevel="0" collapsed="false">
      <c r="A11228" s="0" t="s">
        <v>870</v>
      </c>
      <c r="B11228" s="0" t="s">
        <v>98</v>
      </c>
      <c r="D11228" s="6" t="n">
        <f aca="false">Sens!D11210</f>
        <v>62.941</v>
      </c>
      <c r="E11228" s="6" t="n">
        <f aca="false">Sens!E11210</f>
        <v>63.712</v>
      </c>
      <c r="F11228" s="6" t="n">
        <f aca="false">Sens!F11210</f>
        <v>64.3969799952511</v>
      </c>
      <c r="G11228" s="6" t="n">
        <f aca="false">Sens!G11210</f>
        <v>66.6564447444535</v>
      </c>
      <c r="H11228" s="6" t="n">
        <f aca="false">Sens!H11210</f>
        <v>69.5928091787458</v>
      </c>
      <c r="I11228" s="6" t="n">
        <f aca="false">Sens!I11210</f>
        <v>73.183286896174</v>
      </c>
      <c r="J11228" s="6" t="n">
        <f aca="false">Sens!J11210</f>
        <v>77.419777956419</v>
      </c>
      <c r="K11228" s="6" t="n">
        <f aca="false">Sens!K11210</f>
        <v>82.3071751421368</v>
      </c>
    </row>
    <row r="11229" customFormat="false" ht="15" hidden="false" customHeight="false" outlineLevel="0" collapsed="false">
      <c r="A11229" s="1" t="s">
        <v>1059</v>
      </c>
      <c r="B11229" s="0" t="s">
        <v>98</v>
      </c>
      <c r="D11229" s="6" t="n">
        <f aca="false">Sens!D11211</f>
        <v>281.724</v>
      </c>
      <c r="E11229" s="6" t="n">
        <f aca="false">Sens!E11211</f>
        <v>331.839</v>
      </c>
      <c r="F11229" s="6" t="n">
        <f aca="false">Sens!F11211</f>
        <v>399.145076009588</v>
      </c>
      <c r="G11229" s="6" t="n">
        <f aca="false">Sens!G11211</f>
        <v>476.858879694143</v>
      </c>
      <c r="H11229" s="6" t="n">
        <f aca="false">Sens!H11211</f>
        <v>556.605667141685</v>
      </c>
      <c r="I11229" s="6" t="n">
        <f aca="false">Sens!I11211</f>
        <v>630.146215874638</v>
      </c>
      <c r="J11229" s="6" t="n">
        <f aca="false">Sens!J11211</f>
        <v>690.821778973543</v>
      </c>
      <c r="K11229" s="6" t="n">
        <f aca="false">Sens!K11211</f>
        <v>740.144765909755</v>
      </c>
    </row>
    <row r="11230" customFormat="false" ht="15" hidden="false" customHeight="false" outlineLevel="0" collapsed="false">
      <c r="A11230" s="1" t="s">
        <v>1060</v>
      </c>
      <c r="B11230" s="0" t="s">
        <v>168</v>
      </c>
      <c r="E11230" s="7" t="n">
        <f aca="false">Sens!E11229/Sens!D11229-1</f>
        <v>0.177886867998467</v>
      </c>
      <c r="F11230" s="7" t="n">
        <f aca="false">Sens!F11229/Sens!E11229-1</f>
        <v>0.202827503727975</v>
      </c>
      <c r="G11230" s="7" t="n">
        <f aca="false">Sens!G11229/Sens!F11229-1</f>
        <v>0.19470064484195</v>
      </c>
      <c r="H11230" s="7" t="n">
        <f aca="false">Sens!H11229/Sens!G11229-1</f>
        <v>0.167233516755924</v>
      </c>
      <c r="I11230" s="7" t="n">
        <f aca="false">Sens!I11229/Sens!H11229-1</f>
        <v>0.132123248242518</v>
      </c>
      <c r="J11230" s="7" t="n">
        <f aca="false">Sens!J11229/Sens!I11229-1</f>
        <v>0.0962880702452325</v>
      </c>
      <c r="K11230" s="7" t="n">
        <f aca="false">Sens!K11229/Sens!J11229-1</f>
        <v>0.0713975564138973</v>
      </c>
    </row>
    <row r="11231" customFormat="false" ht="17.15" hidden="false" customHeight="false" outlineLevel="0" collapsed="false">
      <c r="A11231" s="26" t="s">
        <v>1061</v>
      </c>
      <c r="B11231" s="31" t="s">
        <v>98</v>
      </c>
      <c r="C11231" s="31"/>
      <c r="D11231" s="27" t="n">
        <f aca="false">(Sens!D11224+Sens!D11228-Sens!D11229)+(Sens!D11216+Sens!D11217-Sens!D11215)+(Sens!D11219+Sens!D11220-Sens!D11218)+(Sens!D11229-Q!L18)</f>
        <v>0</v>
      </c>
      <c r="E11231" s="27" t="n">
        <f aca="false">(Sens!E11224+Sens!E11228-Sens!E11229)+(Sens!E11216+Sens!E11217-Sens!E11215)+(Sens!E11219+Sens!E11220-Sens!E11218)+(Sens!E11229-Q!M18)</f>
        <v>0</v>
      </c>
      <c r="F11231" s="27" t="n">
        <f aca="false">(Sens!F11224+Sens!F11228-Sens!F11229)+(Sens!F11216+Sens!F11217-Sens!F11215)+(Sens!F11219+Sens!F11220-Sens!F11218)</f>
        <v>0</v>
      </c>
      <c r="G11231" s="27" t="n">
        <f aca="false">(Sens!G11224+Sens!G11228-Sens!G11229)+(Sens!G11216+Sens!G11217-Sens!G11215)+(Sens!G11219+Sens!G11220-Sens!G11218)</f>
        <v>0</v>
      </c>
      <c r="H11231" s="27" t="n">
        <f aca="false">(Sens!H11224+Sens!H11228-Sens!H11229)+(Sens!H11216+Sens!H11217-Sens!H11215)+(Sens!H11219+Sens!H11220-Sens!H11218)</f>
        <v>0</v>
      </c>
      <c r="I11231" s="27" t="n">
        <f aca="false">(Sens!I11224+Sens!I11228-Sens!I11229)+(Sens!I11216+Sens!I11217-Sens!I11215)+(Sens!I11219+Sens!I11220-Sens!I11218)</f>
        <v>0</v>
      </c>
      <c r="J11231" s="27" t="n">
        <f aca="false">(Sens!J11224+Sens!J11228-Sens!J11229)+(Sens!J11216+Sens!J11217-Sens!J11215)+(Sens!J11219+Sens!J11220-Sens!J11218)</f>
        <v>0</v>
      </c>
      <c r="K11231" s="27" t="n">
        <f aca="false">(Sens!K11224+Sens!K11228-Sens!K11229)+(Sens!K11216+Sens!K11217-Sens!K11215)+(Sens!K11219+Sens!K11220-Sens!K11218)</f>
        <v>0</v>
      </c>
    </row>
    <row r="11232" customFormat="false" ht="17.15" hidden="false" customHeight="false" outlineLevel="0" collapsed="false">
      <c r="A11232" s="0" t="s">
        <v>1062</v>
      </c>
      <c r="B11232" s="0" t="s">
        <v>168</v>
      </c>
      <c r="E11232" s="7" t="n">
        <f aca="false">(Q!M21+Sens!E11168+Sens!E11169+Sens!E11170+Sens!E11184-Sens!E11166)/(Q!M5-Sens!E11166)</f>
        <v>0.570957350878296</v>
      </c>
      <c r="F11232" s="7" t="n">
        <f aca="false">Sens!$E$11232+dm_seg</f>
        <v>0.570957350878296</v>
      </c>
      <c r="G11232" s="7" t="n">
        <f aca="false">Sens!$E$11232+dm_seg</f>
        <v>0.570957350878296</v>
      </c>
      <c r="H11232" s="7" t="n">
        <f aca="false">Sens!$E$11232+dm_seg</f>
        <v>0.570957350878296</v>
      </c>
      <c r="I11232" s="7" t="n">
        <f aca="false">Sens!$E$11232+dm_seg</f>
        <v>0.570957350878296</v>
      </c>
      <c r="J11232" s="7" t="n">
        <f aca="false">Sens!$E$11232+dm_seg</f>
        <v>0.570957350878296</v>
      </c>
      <c r="K11232" s="7" t="n">
        <f aca="false">Sens!$E$11232+dm_seg</f>
        <v>0.570957350878296</v>
      </c>
      <c r="L11232" s="12" t="s">
        <v>1063</v>
      </c>
    </row>
    <row r="11233" customFormat="false" ht="17.15" hidden="false" customHeight="false" outlineLevel="0" collapsed="false">
      <c r="A11233" s="0" t="s">
        <v>884</v>
      </c>
      <c r="B11233" s="0" t="s">
        <v>98</v>
      </c>
      <c r="D11233" s="6" t="n">
        <f aca="false">Q!L21</f>
        <v>110.814</v>
      </c>
      <c r="E11233" s="6" t="n">
        <f aca="false">Q!M21</f>
        <v>136.365</v>
      </c>
      <c r="F11233" s="6" t="n">
        <f aca="false">Q!$I$21+(Sens!F11232*(Sens!F11203-Sens!F11166)+Sens!F11166-(Sens!F11168+Sens!F11169+Sens!F11170)-Sens!F11184-Sens!F11267)*(Sens!F11203-Q!$I$5)/Sens!F11203</f>
        <v>162.089888657</v>
      </c>
      <c r="G11233" s="6" t="n">
        <f aca="false">(Sens!G11232*(Sens!G11203-Sens!G11166)+Sens!G11166-(Sens!G11168+Sens!G11169+Sens!G11170)-Sens!G11184-Sens!G11267)</f>
        <v>177.568904956673</v>
      </c>
      <c r="H11233" s="6" t="n">
        <f aca="false">(Sens!H11232*(Sens!H11203-Sens!H11166)+Sens!H11166-(Sens!H11168+Sens!H11169+Sens!H11170)-Sens!H11184-Sens!H11267)</f>
        <v>196.76368759427</v>
      </c>
      <c r="I11233" s="6" t="n">
        <f aca="false">(Sens!I11232*(Sens!I11203-Sens!I11166)+Sens!I11166-(Sens!I11168+Sens!I11169+Sens!I11170)-Sens!I11184-Sens!I11267)</f>
        <v>214.975584572623</v>
      </c>
      <c r="J11233" s="6" t="n">
        <f aca="false">(Sens!J11232*(Sens!J11203-Sens!J11166)+Sens!J11166-(Sens!J11168+Sens!J11169+Sens!J11170)-Sens!J11184-Sens!J11267)</f>
        <v>231.957077796371</v>
      </c>
      <c r="K11233" s="6" t="n">
        <f aca="false">(Sens!K11232*(Sens!K11203-Sens!K11166)+Sens!K11166-(Sens!K11168+Sens!K11169+Sens!K11170)-Sens!K11184-Sens!K11267)</f>
        <v>248.339747438173</v>
      </c>
      <c r="L11233" s="1" t="s">
        <v>1064</v>
      </c>
    </row>
    <row r="11234" customFormat="false" ht="17.15" hidden="false" customHeight="false" outlineLevel="0" collapsed="false">
      <c r="A11234" s="0" t="s">
        <v>1065</v>
      </c>
      <c r="B11234" s="0" t="s">
        <v>168</v>
      </c>
      <c r="E11234" s="7" t="n">
        <f aca="false">Q!M22/Q!M12</f>
        <v>0.296207935710698</v>
      </c>
      <c r="F11234" s="7" t="n">
        <f aca="false">Sens!$E$11234+dm_seg</f>
        <v>0.296207935710698</v>
      </c>
      <c r="G11234" s="7" t="n">
        <f aca="false">Sens!$E$11234+dm_seg</f>
        <v>0.296207935710698</v>
      </c>
      <c r="H11234" s="7" t="n">
        <f aca="false">Sens!$E$11234+dm_seg</f>
        <v>0.296207935710698</v>
      </c>
      <c r="I11234" s="7" t="n">
        <f aca="false">Sens!$E$11234+dm_seg</f>
        <v>0.296207935710698</v>
      </c>
      <c r="J11234" s="7" t="n">
        <f aca="false">Sens!$E$11234+dm_seg</f>
        <v>0.296207935710698</v>
      </c>
      <c r="K11234" s="7" t="n">
        <f aca="false">Sens!$E$11234+dm_seg</f>
        <v>0.296207935710698</v>
      </c>
      <c r="L11234" s="12" t="s">
        <v>1066</v>
      </c>
    </row>
    <row r="11235" customFormat="false" ht="17.15" hidden="false" customHeight="false" outlineLevel="0" collapsed="false">
      <c r="A11235" s="0" t="s">
        <v>886</v>
      </c>
      <c r="B11235" s="0" t="s">
        <v>98</v>
      </c>
      <c r="D11235" s="6" t="n">
        <f aca="false">Q!L22</f>
        <v>17.714</v>
      </c>
      <c r="E11235" s="6" t="n">
        <f aca="false">Q!M22</f>
        <v>18.872</v>
      </c>
      <c r="F11235" s="6" t="n">
        <f aca="false">Q!$I$22+(Sens!F11210-Q!$I$12)*Sens!F11234</f>
        <v>19.845412833852</v>
      </c>
      <c r="G11235" s="6" t="n">
        <f aca="false">Sens!G11210*Sens!G11234</f>
        <v>19.7441678995688</v>
      </c>
      <c r="H11235" s="6" t="n">
        <f aca="false">Sens!H11210*Sens!H11234</f>
        <v>20.6139423471448</v>
      </c>
      <c r="I11235" s="6" t="n">
        <f aca="false">Sens!I11210*Sens!I11234</f>
        <v>21.6774703400395</v>
      </c>
      <c r="J11235" s="6" t="n">
        <f aca="false">Sens!J11210*Sens!J11234</f>
        <v>22.9323526116515</v>
      </c>
      <c r="K11235" s="6" t="n">
        <f aca="false">Sens!K11210*Sens!K11234</f>
        <v>24.3800384430312</v>
      </c>
      <c r="L11235" s="12" t="s">
        <v>1067</v>
      </c>
    </row>
    <row r="11236" customFormat="false" ht="15" hidden="false" customHeight="false" outlineLevel="0" collapsed="false">
      <c r="A11236" s="1" t="s">
        <v>1068</v>
      </c>
      <c r="B11236" s="0" t="s">
        <v>98</v>
      </c>
      <c r="D11236" s="6" t="n">
        <f aca="false">Sens!D11233+Sens!D11235</f>
        <v>128.528</v>
      </c>
      <c r="E11236" s="6" t="n">
        <f aca="false">Sens!E11233+Sens!E11235</f>
        <v>155.237</v>
      </c>
      <c r="F11236" s="6" t="n">
        <f aca="false">Sens!F11233+Sens!F11235</f>
        <v>181.935301490852</v>
      </c>
      <c r="G11236" s="6" t="n">
        <f aca="false">Sens!G11233+Sens!G11235</f>
        <v>197.313072856242</v>
      </c>
      <c r="H11236" s="6" t="n">
        <f aca="false">Sens!H11233+Sens!H11235</f>
        <v>217.377629941415</v>
      </c>
      <c r="I11236" s="6" t="n">
        <f aca="false">Sens!I11233+Sens!I11235</f>
        <v>236.653054912663</v>
      </c>
      <c r="J11236" s="6" t="n">
        <f aca="false">Sens!J11233+Sens!J11235</f>
        <v>254.889430408022</v>
      </c>
      <c r="K11236" s="6" t="n">
        <f aca="false">Sens!K11233+Sens!K11235</f>
        <v>272.719785881204</v>
      </c>
    </row>
    <row r="11237" customFormat="false" ht="15" hidden="false" customHeight="false" outlineLevel="0" collapsed="false">
      <c r="A11237" s="26" t="s">
        <v>1069</v>
      </c>
      <c r="B11237" s="31" t="s">
        <v>98</v>
      </c>
      <c r="C11237" s="31"/>
      <c r="D11237" s="27" t="n">
        <f aca="false">Sens!D11236-Q!L23</f>
        <v>0</v>
      </c>
      <c r="E11237" s="27" t="n">
        <f aca="false">Sens!E11236-Q!M23</f>
        <v>0</v>
      </c>
      <c r="F11237" s="31"/>
      <c r="G11237" s="31"/>
      <c r="H11237" s="31"/>
      <c r="I11237" s="31"/>
      <c r="J11237" s="31"/>
      <c r="K11237" s="31"/>
    </row>
    <row r="11238" customFormat="false" ht="15" hidden="false" customHeight="false" outlineLevel="0" collapsed="false">
      <c r="A11238" s="1" t="s">
        <v>1070</v>
      </c>
      <c r="B11238" s="0" t="s">
        <v>168</v>
      </c>
      <c r="D11238" s="7" t="n">
        <f aca="false">Sens!D11236/Sens!D11229</f>
        <v>0.456219562408598</v>
      </c>
      <c r="E11238" s="7" t="n">
        <f aca="false">Sens!E11236/Sens!E11229</f>
        <v>0.467808184089272</v>
      </c>
      <c r="F11238" s="7" t="n">
        <f aca="false">Sens!F11236/Sens!F11229</f>
        <v>0.455812466258464</v>
      </c>
      <c r="G11238" s="7" t="n">
        <f aca="false">Sens!G11236/Sens!G11229</f>
        <v>0.413776656487551</v>
      </c>
      <c r="H11238" s="7" t="n">
        <f aca="false">Sens!H11236/Sens!H11229</f>
        <v>0.390541531956917</v>
      </c>
      <c r="I11238" s="7" t="n">
        <f aca="false">Sens!I11236/Sens!I11229</f>
        <v>0.375552608189815</v>
      </c>
      <c r="J11238" s="7" t="n">
        <f aca="false">Sens!J11236/Sens!J11229</f>
        <v>0.368965539544439</v>
      </c>
      <c r="K11238" s="7" t="n">
        <f aca="false">Sens!K11236/Sens!K11229</f>
        <v>0.36846816790765</v>
      </c>
    </row>
    <row r="11239" customFormat="false" ht="17.15" hidden="false" customHeight="false" outlineLevel="0" collapsed="false">
      <c r="A11239" s="1" t="s">
        <v>1071</v>
      </c>
      <c r="B11239" s="0" t="s">
        <v>98</v>
      </c>
      <c r="F11239" s="6" t="n">
        <f aca="false">Sens!F11254</f>
        <v>9.7398427716299</v>
      </c>
      <c r="G11239" s="6" t="n">
        <f aca="false">Sens!G11254</f>
        <v>25.2753385959797</v>
      </c>
      <c r="H11239" s="6" t="n">
        <f aca="false">Sens!H11254</f>
        <v>42.2840253697948</v>
      </c>
      <c r="I11239" s="6" t="n">
        <f aca="false">Sens!I11254</f>
        <v>57.704943641581</v>
      </c>
      <c r="J11239" s="6" t="n">
        <f aca="false">Sens!J11254</f>
        <v>68.4828520908201</v>
      </c>
      <c r="K11239" s="6" t="n">
        <f aca="false">Sens!K11254</f>
        <v>74.3598374943249</v>
      </c>
      <c r="L11239" s="1" t="s">
        <v>1072</v>
      </c>
    </row>
    <row r="11240" customFormat="false" ht="17.15" hidden="false" customHeight="false" outlineLevel="0" collapsed="false">
      <c r="A11240" s="1" t="s">
        <v>1073</v>
      </c>
      <c r="B11240" s="0" t="s">
        <v>98</v>
      </c>
      <c r="D11240" s="6" t="n">
        <f aca="false">Sens!D11236</f>
        <v>128.528</v>
      </c>
      <c r="E11240" s="6" t="n">
        <f aca="false">Sens!E11236</f>
        <v>155.237</v>
      </c>
      <c r="F11240" s="6" t="n">
        <f aca="false">Sens!F11236+Sens!F11239</f>
        <v>191.675144262482</v>
      </c>
      <c r="G11240" s="6" t="n">
        <f aca="false">Sens!G11236+Sens!G11239</f>
        <v>222.588411452222</v>
      </c>
      <c r="H11240" s="6" t="n">
        <f aca="false">Sens!H11236+Sens!H11239</f>
        <v>259.66165531121</v>
      </c>
      <c r="I11240" s="6" t="n">
        <f aca="false">Sens!I11236+Sens!I11239</f>
        <v>294.357998554244</v>
      </c>
      <c r="J11240" s="6" t="n">
        <f aca="false">Sens!J11236+Sens!J11239</f>
        <v>323.372282498842</v>
      </c>
      <c r="K11240" s="6" t="n">
        <f aca="false">Sens!K11236+Sens!K11239</f>
        <v>347.079623375529</v>
      </c>
    </row>
    <row r="11241" customFormat="false" ht="17.15" hidden="false" customHeight="false" outlineLevel="0" collapsed="false">
      <c r="A11241" s="1" t="s">
        <v>1074</v>
      </c>
      <c r="B11241" s="0" t="s">
        <v>98</v>
      </c>
      <c r="E11241" s="6" t="n">
        <f aca="false">Sens!E11184</f>
        <v>16.3054059770833</v>
      </c>
      <c r="F11241" s="6" t="n">
        <f aca="false">Sens!F11184</f>
        <v>34.5793144783516</v>
      </c>
      <c r="G11241" s="6" t="n">
        <f aca="false">Sens!G11184</f>
        <v>60.7344906522989</v>
      </c>
      <c r="H11241" s="6" t="n">
        <f aca="false">Sens!H11184</f>
        <v>89.1000906614457</v>
      </c>
      <c r="I11241" s="6" t="n">
        <f aca="false">Sens!I11184</f>
        <v>114.231009694548</v>
      </c>
      <c r="J11241" s="6" t="n">
        <f aca="false">Sens!J11184</f>
        <v>132.015673049596</v>
      </c>
      <c r="K11241" s="6" t="n">
        <f aca="false">Sens!K11184</f>
        <v>143.012669550934</v>
      </c>
    </row>
    <row r="11242" customFormat="false" ht="17.15" hidden="false" customHeight="false" outlineLevel="0" collapsed="false">
      <c r="A11242" s="1" t="s">
        <v>1075</v>
      </c>
      <c r="B11242" s="0" t="s">
        <v>98</v>
      </c>
      <c r="E11242" s="6" t="n">
        <f aca="false">Sens!E11266</f>
        <v>22.2285940229167</v>
      </c>
      <c r="F11242" s="6" t="n">
        <f aca="false">Sens!F11266</f>
        <v>23.5810979905473</v>
      </c>
      <c r="G11242" s="6" t="n">
        <f aca="false">Sens!G11266</f>
        <v>25.3620751194287</v>
      </c>
      <c r="H11242" s="6" t="n">
        <f aca="false">Sens!H11266</f>
        <v>27.5389527887545</v>
      </c>
      <c r="I11242" s="6" t="n">
        <f aca="false">Sens!I11266</f>
        <v>30.0469060585788</v>
      </c>
      <c r="J11242" s="6" t="n">
        <f aca="false">Sens!J11266</f>
        <v>32.8044888755354</v>
      </c>
      <c r="K11242" s="6" t="n">
        <f aca="false">Sens!K11266</f>
        <v>35.7295257786321</v>
      </c>
    </row>
    <row r="11243" customFormat="false" ht="17.15" hidden="false" customHeight="false" outlineLevel="0" collapsed="false">
      <c r="A11243" s="1" t="s">
        <v>1076</v>
      </c>
      <c r="B11243" s="0" t="s">
        <v>98</v>
      </c>
      <c r="D11243" s="6" t="n">
        <f aca="false">Q!L27</f>
        <v>-4.901</v>
      </c>
      <c r="E11243" s="6" t="n">
        <f aca="false">Q!M27</f>
        <v>10.697</v>
      </c>
      <c r="F11243" s="6" t="n">
        <f aca="false">Q!$I$27+oie_f*(q_per_yr-1)/q_per_yr</f>
        <v>-0.862</v>
      </c>
      <c r="G11243" s="6" t="n">
        <f aca="false">oie_f</f>
        <v>-1.2</v>
      </c>
      <c r="H11243" s="6" t="n">
        <f aca="false">oie_f</f>
        <v>-1.2</v>
      </c>
      <c r="I11243" s="6" t="n">
        <f aca="false">oie_f</f>
        <v>-1.2</v>
      </c>
      <c r="J11243" s="6" t="n">
        <f aca="false">oie_f</f>
        <v>-1.2</v>
      </c>
      <c r="K11243" s="6" t="n">
        <f aca="false">oie_f</f>
        <v>-1.2</v>
      </c>
      <c r="L11243" s="12" t="s">
        <v>1077</v>
      </c>
    </row>
    <row r="11244" customFormat="false" ht="15" hidden="false" customHeight="false" outlineLevel="0" collapsed="false">
      <c r="A11244" s="1" t="s">
        <v>1078</v>
      </c>
      <c r="B11244" s="0" t="s">
        <v>98</v>
      </c>
      <c r="D11244" s="6" t="n">
        <f aca="false">Sens!D11236+Sens!D11243</f>
        <v>123.627</v>
      </c>
      <c r="E11244" s="6" t="n">
        <f aca="false">Sens!E11236+Sens!E11243</f>
        <v>165.934</v>
      </c>
      <c r="F11244" s="6" t="n">
        <f aca="false">Sens!F11236+Sens!F11243</f>
        <v>181.073301490852</v>
      </c>
      <c r="G11244" s="6" t="n">
        <f aca="false">Sens!G11236+Sens!G11243</f>
        <v>196.113072856242</v>
      </c>
      <c r="H11244" s="6" t="n">
        <f aca="false">Sens!H11236+Sens!H11243</f>
        <v>216.177629941415</v>
      </c>
      <c r="I11244" s="6" t="n">
        <f aca="false">Sens!I11236+Sens!I11243</f>
        <v>235.453054912663</v>
      </c>
      <c r="J11244" s="6" t="n">
        <f aca="false">Sens!J11236+Sens!J11243</f>
        <v>253.689430408022</v>
      </c>
      <c r="K11244" s="6" t="n">
        <f aca="false">Sens!K11236+Sens!K11243</f>
        <v>271.519785881204</v>
      </c>
    </row>
    <row r="11245" customFormat="false" ht="15" hidden="false" customHeight="false" outlineLevel="0" collapsed="false">
      <c r="A11245" s="1" t="s">
        <v>1079</v>
      </c>
      <c r="B11245" s="0" t="s">
        <v>98</v>
      </c>
      <c r="D11245" s="6" t="n">
        <f aca="false">Q!L29</f>
        <v>21.795</v>
      </c>
      <c r="E11245" s="6" t="n">
        <f aca="false">Q!M29</f>
        <v>32.185</v>
      </c>
      <c r="F11245" s="6" t="n">
        <f aca="false">Q!$I$29+(Sens!F11244-Q!$I$28)*tax_f</f>
        <v>36.3480602981704</v>
      </c>
      <c r="G11245" s="6" t="n">
        <f aca="false">Sens!G11244*tax_f</f>
        <v>39.2226145712484</v>
      </c>
      <c r="H11245" s="6" t="n">
        <f aca="false">Sens!H11244*tax_f</f>
        <v>43.235525988283</v>
      </c>
      <c r="I11245" s="6" t="n">
        <f aca="false">Sens!I11244*tax_f</f>
        <v>47.0906109825326</v>
      </c>
      <c r="J11245" s="6" t="n">
        <f aca="false">Sens!J11244*tax_f</f>
        <v>50.7378860816045</v>
      </c>
      <c r="K11245" s="6" t="n">
        <f aca="false">Sens!K11244*tax_f</f>
        <v>54.3039571762408</v>
      </c>
    </row>
    <row r="11246" customFormat="false" ht="15" hidden="false" customHeight="false" outlineLevel="0" collapsed="false">
      <c r="A11246" s="1" t="s">
        <v>1080</v>
      </c>
      <c r="B11246" s="0" t="s">
        <v>98</v>
      </c>
      <c r="D11246" s="6" t="n">
        <f aca="false">Sens!D11244-Sens!D11245</f>
        <v>101.832</v>
      </c>
      <c r="E11246" s="6" t="n">
        <f aca="false">Sens!E11244-Sens!E11245</f>
        <v>133.749</v>
      </c>
      <c r="F11246" s="6" t="n">
        <f aca="false">Sens!F11244-Sens!F11245</f>
        <v>144.725241192682</v>
      </c>
      <c r="G11246" s="6" t="n">
        <f aca="false">Sens!G11244-Sens!G11245</f>
        <v>156.890458284994</v>
      </c>
      <c r="H11246" s="6" t="n">
        <f aca="false">Sens!H11244-Sens!H11245</f>
        <v>172.942103953132</v>
      </c>
      <c r="I11246" s="6" t="n">
        <f aca="false">Sens!I11244-Sens!I11245</f>
        <v>188.36244393013</v>
      </c>
      <c r="J11246" s="6" t="n">
        <f aca="false">Sens!J11244-Sens!J11245</f>
        <v>202.951544326418</v>
      </c>
      <c r="K11246" s="6" t="n">
        <f aca="false">Sens!K11244-Sens!K11245</f>
        <v>217.215828704963</v>
      </c>
    </row>
    <row r="11247" customFormat="false" ht="17.15" hidden="false" customHeight="false" outlineLevel="0" collapsed="false">
      <c r="A11247" s="1" t="s">
        <v>1081</v>
      </c>
      <c r="B11247" s="1" t="s">
        <v>81</v>
      </c>
      <c r="D11247" s="15" t="n">
        <f aca="false">Q!L31</f>
        <v>7.465</v>
      </c>
      <c r="E11247" s="15" t="n">
        <f aca="false">Q!M31</f>
        <v>7.453</v>
      </c>
      <c r="F11247" s="15" t="n">
        <f aca="false">Sens!F11291</f>
        <v>7.47323726970782</v>
      </c>
      <c r="G11247" s="15" t="n">
        <f aca="false">Sens!G11291</f>
        <v>7.51797453941563</v>
      </c>
      <c r="H11247" s="15" t="n">
        <f aca="false">Sens!H11291</f>
        <v>7.54567447844444</v>
      </c>
      <c r="I11247" s="15" t="n">
        <f aca="false">Sens!I11291</f>
        <v>7.55735584249991</v>
      </c>
      <c r="J11247" s="15" t="n">
        <f aca="false">Sens!J11291</f>
        <v>7.57150525366238</v>
      </c>
      <c r="K11247" s="15" t="n">
        <f aca="false">Sens!K11291</f>
        <v>7.58793989362763</v>
      </c>
    </row>
    <row r="11248" customFormat="false" ht="17.15" hidden="false" customHeight="false" outlineLevel="0" collapsed="false">
      <c r="A11248" s="0" t="s">
        <v>1082</v>
      </c>
      <c r="B11248" s="0" t="s">
        <v>75</v>
      </c>
      <c r="D11248" s="8" t="n">
        <f aca="false">Sens!D11246/Sens!D11247</f>
        <v>13.641259209645</v>
      </c>
      <c r="E11248" s="8" t="n">
        <f aca="false">Sens!E11246/Sens!E11247</f>
        <v>17.9456594659869</v>
      </c>
      <c r="F11248" s="8" t="n">
        <f aca="false">Sens!F11246/Sens!F11247</f>
        <v>19.365803060919</v>
      </c>
      <c r="G11248" s="8" t="n">
        <f aca="false">Sens!G11246/Sens!G11247</f>
        <v>20.8687137023995</v>
      </c>
      <c r="H11248" s="8" t="n">
        <f aca="false">Sens!H11246/Sens!H11247</f>
        <v>22.9193698253446</v>
      </c>
      <c r="I11248" s="8" t="n">
        <f aca="false">Sens!I11246/Sens!I11247</f>
        <v>24.9243846466573</v>
      </c>
      <c r="J11248" s="8" t="n">
        <f aca="false">Sens!J11246/Sens!J11247</f>
        <v>26.804649475512</v>
      </c>
      <c r="K11248" s="8" t="n">
        <f aca="false">Sens!K11246/Sens!K11247</f>
        <v>28.6264561593828</v>
      </c>
      <c r="L11248" s="1" t="s">
        <v>1083</v>
      </c>
    </row>
    <row r="11249" customFormat="false" ht="17.15" hidden="false" customHeight="false" outlineLevel="0" collapsed="false">
      <c r="A11249" s="1" t="s">
        <v>1084</v>
      </c>
      <c r="B11249" s="0" t="s">
        <v>98</v>
      </c>
      <c r="D11249" s="6" t="n">
        <f aca="false">Sens!D11246</f>
        <v>101.832</v>
      </c>
      <c r="E11249" s="6" t="n">
        <f aca="false">Sens!E11246</f>
        <v>133.749</v>
      </c>
      <c r="F11249" s="6" t="n">
        <f aca="false">Sens!F11246+Sens!F11239*(1-tax_f)</f>
        <v>152.517115409986</v>
      </c>
      <c r="G11249" s="6" t="n">
        <f aca="false">Sens!G11246+Sens!G11239*(1-tax_f)</f>
        <v>177.110729161777</v>
      </c>
      <c r="H11249" s="6" t="n">
        <f aca="false">Sens!H11246+Sens!H11239*(1-tax_f)</f>
        <v>206.769324248968</v>
      </c>
      <c r="I11249" s="6" t="n">
        <f aca="false">Sens!I11246+Sens!I11239*(1-tax_f)</f>
        <v>234.526398843395</v>
      </c>
      <c r="J11249" s="6" t="n">
        <f aca="false">Sens!J11246+Sens!J11239*(1-tax_f)</f>
        <v>257.737825999074</v>
      </c>
      <c r="K11249" s="6" t="n">
        <f aca="false">Sens!K11246+Sens!K11239*(1-tax_f)</f>
        <v>276.703698700423</v>
      </c>
    </row>
    <row r="11250" customFormat="false" ht="17.15" hidden="false" customHeight="false" outlineLevel="0" collapsed="false">
      <c r="A11250" s="0" t="s">
        <v>1085</v>
      </c>
      <c r="B11250" s="0" t="s">
        <v>75</v>
      </c>
      <c r="D11250" s="8" t="n">
        <f aca="false">Sens!D11249/Sens!D11247</f>
        <v>13.641259209645</v>
      </c>
      <c r="E11250" s="8" t="n">
        <f aca="false">Sens!E11249/Sens!E11247</f>
        <v>17.9456594659869</v>
      </c>
      <c r="F11250" s="8" t="n">
        <f aca="false">Sens!F11249/Sens!F11247</f>
        <v>20.4084401318558</v>
      </c>
      <c r="G11250" s="8" t="n">
        <f aca="false">Sens!G11249/Sens!G11247</f>
        <v>23.5583039332219</v>
      </c>
      <c r="H11250" s="8" t="n">
        <f aca="false">Sens!H11249/Sens!H11247</f>
        <v>27.402364737525</v>
      </c>
      <c r="I11250" s="8" t="n">
        <f aca="false">Sens!I11249/Sens!I11247</f>
        <v>31.0328643683153</v>
      </c>
      <c r="J11250" s="8" t="n">
        <f aca="false">Sens!J11249/Sens!J11247</f>
        <v>34.0405001864596</v>
      </c>
      <c r="K11250" s="8" t="n">
        <f aca="false">Sens!K11249/Sens!K11247</f>
        <v>36.4662480962454</v>
      </c>
      <c r="L11250" s="1" t="s">
        <v>1086</v>
      </c>
    </row>
    <row r="11251" customFormat="false" ht="17.15" hidden="false" customHeight="false" outlineLevel="0" collapsed="false">
      <c r="A11251" s="0" t="s">
        <v>1087</v>
      </c>
      <c r="B11251" s="0" t="s">
        <v>168</v>
      </c>
      <c r="E11251" s="7" t="n">
        <f aca="false">Sens!E11250/Sens!D11250-1</f>
        <v>0.315542736208578</v>
      </c>
      <c r="F11251" s="7" t="n">
        <f aca="false">Sens!F11250/Sens!E11250-1</f>
        <v>0.137235450752688</v>
      </c>
      <c r="G11251" s="7" t="n">
        <f aca="false">Sens!G11250/Sens!F11250-1</f>
        <v>0.154341232402638</v>
      </c>
      <c r="H11251" s="7" t="n">
        <f aca="false">Sens!H11250/Sens!G11250-1</f>
        <v>0.163172222210878</v>
      </c>
      <c r="I11251" s="7" t="n">
        <f aca="false">Sens!I11250/Sens!H11250-1</f>
        <v>0.132488552194867</v>
      </c>
      <c r="J11251" s="7" t="n">
        <f aca="false">Sens!J11250/Sens!I11250-1</f>
        <v>0.0969177637761038</v>
      </c>
      <c r="K11251" s="7" t="n">
        <f aca="false">Sens!K11250/Sens!J11250-1</f>
        <v>0.0712606423671385</v>
      </c>
    </row>
    <row r="11252" customFormat="false" ht="17.15" hidden="false" customHeight="false" outlineLevel="0" collapsed="false">
      <c r="A11252" s="0" t="s">
        <v>1007</v>
      </c>
      <c r="B11252" s="0" t="s">
        <v>98</v>
      </c>
      <c r="E11252" s="6" t="n">
        <f aca="false">Sens!E11193</f>
        <v>5.25</v>
      </c>
      <c r="F11252" s="6" t="n">
        <f aca="false">Sens!F11193</f>
        <v>12</v>
      </c>
      <c r="G11252" s="6" t="n">
        <f aca="false">Sens!G11193</f>
        <v>18</v>
      </c>
      <c r="H11252" s="6" t="n">
        <f aca="false">Sens!H11193</f>
        <v>24</v>
      </c>
      <c r="I11252" s="6" t="n">
        <f aca="false">Sens!I11193</f>
        <v>28.5</v>
      </c>
      <c r="J11252" s="6" t="n">
        <f aca="false">Sens!J11193</f>
        <v>31.5</v>
      </c>
      <c r="K11252" s="6" t="n">
        <f aca="false">Sens!K11193</f>
        <v>34.5</v>
      </c>
    </row>
    <row r="11253" customFormat="false" ht="17.15" hidden="false" customHeight="false" outlineLevel="0" collapsed="false">
      <c r="A11253" s="1" t="s">
        <v>1008</v>
      </c>
      <c r="B11253" s="0" t="s">
        <v>98</v>
      </c>
      <c r="F11253" s="6" t="n">
        <f aca="false">MAX(0,((Sens!E11153+Sens!F11153)/2-(shadow_base*(Sens!$D$11153+Sens!$E$11153)/2+(1-shadow_base)*Sens!$E$11153))*Sens!F11162/1000-(Sens!F11252-Sens!$E$11252)*Sens!F11232)</f>
        <v>9.7398427716299</v>
      </c>
      <c r="G11253" s="6" t="n">
        <f aca="false">MAX(0,((Sens!F11153+Sens!G11153)/2-(shadow_base*(Sens!$D$11153+Sens!$E$11153)/2+(1-shadow_base)*Sens!$E$11153))*Sens!G11162/1000-(Sens!G11252-Sens!$E$11252)*Sens!G11232)</f>
        <v>25.2753385959797</v>
      </c>
      <c r="H11253" s="6" t="n">
        <f aca="false">MAX(0,((Sens!G11153+Sens!H11153)/2-(shadow_base*(Sens!$D$11153+Sens!$E$11153)/2+(1-shadow_base)*Sens!$E$11153))*Sens!H11162/1000-(Sens!H11252-Sens!$E$11252)*Sens!H11232)</f>
        <v>42.2840253697948</v>
      </c>
      <c r="I11253" s="6" t="n">
        <f aca="false">MAX(0,((Sens!H11153+Sens!I11153)/2-(shadow_base*(Sens!$D$11153+Sens!$E$11153)/2+(1-shadow_base)*Sens!$E$11153))*Sens!I11162/1000-(Sens!I11252-Sens!$E$11252)*Sens!I11232)</f>
        <v>57.704943641581</v>
      </c>
      <c r="J11253" s="6" t="n">
        <f aca="false">MAX(0,((Sens!I11153+Sens!J11153)/2-(shadow_base*(Sens!$D$11153+Sens!$E$11153)/2+(1-shadow_base)*Sens!$E$11153))*Sens!J11162/1000-(Sens!J11252-Sens!$E$11252)*Sens!J11232)</f>
        <v>68.4828520908201</v>
      </c>
      <c r="K11253" s="6" t="n">
        <f aca="false">MAX(0,((Sens!J11153+Sens!K11153)/2-(shadow_base*(Sens!$D$11153+Sens!$E$11153)/2+(1-shadow_base)*Sens!$E$11153))*Sens!K11162/1000-(Sens!K11252-Sens!$E$11252)*Sens!K11232)</f>
        <v>74.3598374943249</v>
      </c>
      <c r="L11253" s="1" t="s">
        <v>1009</v>
      </c>
    </row>
    <row r="11254" customFormat="false" ht="17.15" hidden="false" customHeight="false" outlineLevel="0" collapsed="false">
      <c r="A11254" s="1" t="s">
        <v>1010</v>
      </c>
      <c r="B11254" s="0" t="s">
        <v>98</v>
      </c>
      <c r="F11254" s="6" t="n">
        <f aca="false">IF(internal_ai_reading=2,1,0)*Sens!F11253</f>
        <v>9.7398427716299</v>
      </c>
      <c r="G11254" s="6" t="n">
        <f aca="false">IF(internal_ai_reading=2,1,0)*Sens!G11253</f>
        <v>25.2753385959797</v>
      </c>
      <c r="H11254" s="6" t="n">
        <f aca="false">IF(internal_ai_reading=2,1,0)*Sens!H11253</f>
        <v>42.2840253697948</v>
      </c>
      <c r="I11254" s="6" t="n">
        <f aca="false">IF(internal_ai_reading=2,1,0)*Sens!I11253</f>
        <v>57.704943641581</v>
      </c>
      <c r="J11254" s="6" t="n">
        <f aca="false">IF(internal_ai_reading=2,1,0)*Sens!J11253</f>
        <v>68.4828520908201</v>
      </c>
      <c r="K11254" s="6" t="n">
        <f aca="false">IF(internal_ai_reading=2,1,0)*Sens!K11253</f>
        <v>74.3598374943249</v>
      </c>
    </row>
    <row r="11255" customFormat="false" ht="17.15" hidden="false" customHeight="false" outlineLevel="0" collapsed="false">
      <c r="A11255" s="0" t="s">
        <v>1011</v>
      </c>
      <c r="B11255" s="0" t="s">
        <v>98</v>
      </c>
      <c r="F11255" s="6" t="n">
        <f aca="false">Sens!F11172+Sens!F11252*Sens!F11232+Sens!F11254-Sens!F11173-Sens!F11184</f>
        <v>14.8152827562272</v>
      </c>
      <c r="G11255" s="6" t="n">
        <f aca="false">Sens!G11172+Sens!G11252*Sens!G11232+Sens!G11254-Sens!G11173-Sens!G11184</f>
        <v>31.0349977765951</v>
      </c>
      <c r="H11255" s="6" t="n">
        <f aca="false">Sens!H11172+Sens!H11252*Sens!H11232+Sens!H11254-Sens!H11173-Sens!H11184</f>
        <v>47.8811519709826</v>
      </c>
      <c r="I11255" s="6" t="n">
        <f aca="false">Sens!I11172+Sens!I11252*Sens!I11232+Sens!I11254-Sens!I11173-Sens!I11184</f>
        <v>62.6472166574028</v>
      </c>
      <c r="J11255" s="6" t="n">
        <f aca="false">Sens!J11172+Sens!J11252*Sens!J11232+Sens!J11254-Sens!J11173-Sens!J11184</f>
        <v>72.7882253357034</v>
      </c>
      <c r="K11255" s="6" t="n">
        <f aca="false">Sens!K11172+Sens!K11252*Sens!K11232+Sens!K11254-Sens!K11173-Sens!K11184</f>
        <v>79.4617812140187</v>
      </c>
    </row>
    <row r="11256" customFormat="false" ht="17.15" hidden="false" customHeight="false" outlineLevel="0" collapsed="false">
      <c r="A11256" s="0" t="s">
        <v>1012</v>
      </c>
      <c r="B11256" s="0" t="s">
        <v>98</v>
      </c>
      <c r="E11256" s="6" t="n">
        <f aca="false">Sens!E11152*(cxit_open+self_build*tk_cxfac)/1000*ai_net_open</f>
        <v>126.6980382</v>
      </c>
      <c r="F11256" s="6" t="n">
        <f aca="false">Sens!E11256+Sens!F11181-Sens!F11184</f>
        <v>260.572627763768</v>
      </c>
      <c r="G11256" s="6" t="n">
        <f aca="false">Sens!F11256+Sens!G11181-Sens!G11184</f>
        <v>391.782612760517</v>
      </c>
      <c r="H11256" s="6" t="n">
        <f aca="false">Sens!G11256+Sens!H11181-Sens!H11184</f>
        <v>499.488526163584</v>
      </c>
      <c r="I11256" s="6" t="n">
        <f aca="false">Sens!H11256+Sens!I11181-Sens!I11184</f>
        <v>553.872350090646</v>
      </c>
      <c r="J11256" s="6" t="n">
        <f aca="false">Sens!I11256+Sens!J11181-Sens!J11184</f>
        <v>550.78660823699</v>
      </c>
      <c r="K11256" s="6" t="n">
        <f aca="false">Sens!J11256+Sens!K11181-Sens!K11184</f>
        <v>526.736791750789</v>
      </c>
      <c r="L11256" s="1" t="s">
        <v>1013</v>
      </c>
    </row>
    <row r="11257" customFormat="false" ht="17.15" hidden="false" customHeight="false" outlineLevel="0" collapsed="false">
      <c r="A11257" s="0" t="s">
        <v>1014</v>
      </c>
      <c r="B11257" s="0" t="s">
        <v>168</v>
      </c>
      <c r="F11257" s="7" t="n">
        <f aca="false">Sens!F11255*(1-tax_f)/((Sens!E11256+Sens!F11256)/2)</f>
        <v>0.0612090057246454</v>
      </c>
      <c r="G11257" s="7" t="n">
        <f aca="false">Sens!G11255*(1-tax_f)/((Sens!F11256+Sens!G11256)/2)</f>
        <v>0.0761180310326695</v>
      </c>
      <c r="H11257" s="7" t="n">
        <f aca="false">Sens!H11255*(1-tax_f)/((Sens!G11256+Sens!H11256)/2)</f>
        <v>0.0859557095566361</v>
      </c>
      <c r="I11257" s="7" t="n">
        <f aca="false">Sens!I11255*(1-tax_f)/((Sens!H11256+Sens!I11256)/2)</f>
        <v>0.0951578408800258</v>
      </c>
      <c r="J11257" s="7" t="n">
        <f aca="false">Sens!J11255*(1-tax_f)/((Sens!I11256+Sens!J11256)/2)</f>
        <v>0.105427253958487</v>
      </c>
      <c r="K11257" s="7" t="n">
        <f aca="false">Sens!K11255*(1-tax_f)/((Sens!J11256+Sens!K11256)/2)</f>
        <v>0.117991729872291</v>
      </c>
    </row>
    <row r="11258" customFormat="false" ht="17.15" hidden="false" customHeight="false" outlineLevel="0" collapsed="false">
      <c r="A11258" s="1" t="s">
        <v>1015</v>
      </c>
      <c r="B11258" s="0" t="s">
        <v>168</v>
      </c>
      <c r="F11258" s="7" t="n">
        <f aca="false">(Sens!F11255-Sens!F11254)*(1-tax_f)/((Sens!E11256+Sens!F11256)/2)</f>
        <v>0.0209690655375262</v>
      </c>
      <c r="G11258" s="7" t="n">
        <f aca="false">(Sens!G11255-Sens!G11254)*(1-tax_f)/((Sens!F11256+Sens!G11256)/2)</f>
        <v>0.014126436206105</v>
      </c>
      <c r="H11258" s="7" t="n">
        <f aca="false">(Sens!H11255-Sens!H11254)*(1-tax_f)/((Sens!G11256+Sens!H11256)/2)</f>
        <v>0.010047899197893</v>
      </c>
      <c r="I11258" s="7" t="n">
        <f aca="false">(Sens!I11255-Sens!I11254)*(1-tax_f)/((Sens!H11256+Sens!I11256)/2)</f>
        <v>0.00750705385359908</v>
      </c>
      <c r="J11258" s="7" t="n">
        <f aca="false">(Sens!J11255-Sens!J11254)*(1-tax_f)/((Sens!I11256+Sens!J11256)/2)</f>
        <v>0.00623594924015468</v>
      </c>
      <c r="K11258" s="7" t="n">
        <f aca="false">(Sens!K11255-Sens!K11254)*(1-tax_f)/((Sens!J11256+Sens!K11256)/2)</f>
        <v>0.00757580758951754</v>
      </c>
    </row>
    <row r="11259" customFormat="false" ht="17.15" hidden="false" customHeight="false" outlineLevel="0" collapsed="false">
      <c r="A11259" s="1" t="s">
        <v>1016</v>
      </c>
      <c r="B11259" s="0" t="s">
        <v>168</v>
      </c>
      <c r="F11259" s="7" t="n">
        <f aca="false">(Sens!F11255-Sens!F11254+Sens!F11253)*(1-tax_f)/((Sens!E11256+Sens!F11256)/2)</f>
        <v>0.0612090057246454</v>
      </c>
      <c r="G11259" s="7" t="n">
        <f aca="false">(Sens!G11255-Sens!G11254+Sens!G11253)*(1-tax_f)/((Sens!F11256+Sens!G11256)/2)</f>
        <v>0.0761180310326695</v>
      </c>
      <c r="H11259" s="7" t="n">
        <f aca="false">(Sens!H11255-Sens!H11254+Sens!H11253)*(1-tax_f)/((Sens!G11256+Sens!H11256)/2)</f>
        <v>0.0859557095566361</v>
      </c>
      <c r="I11259" s="7" t="n">
        <f aca="false">(Sens!I11255-Sens!I11254+Sens!I11253)*(1-tax_f)/((Sens!H11256+Sens!I11256)/2)</f>
        <v>0.0951578408800258</v>
      </c>
      <c r="J11259" s="7" t="n">
        <f aca="false">(Sens!J11255-Sens!J11254+Sens!J11253)*(1-tax_f)/((Sens!I11256+Sens!J11256)/2)</f>
        <v>0.105427253958487</v>
      </c>
      <c r="K11259" s="7" t="n">
        <f aca="false">(Sens!K11255-Sens!K11254+Sens!K11253)*(1-tax_f)/((Sens!J11256+Sens!K11256)/2)</f>
        <v>0.117991729872291</v>
      </c>
    </row>
    <row r="11260" customFormat="false" ht="17.15" hidden="false" customHeight="false" outlineLevel="0" collapsed="false">
      <c r="A11260" s="1" t="s">
        <v>1017</v>
      </c>
      <c r="B11260" s="0" t="s">
        <v>168</v>
      </c>
      <c r="F11260" s="7" t="n">
        <f aca="false">Sens!F11185*(1-tax_f)/(Sens!F11171*(Sens!E11256+Sens!F11256)/2)</f>
        <v>0.129294830495493</v>
      </c>
      <c r="G11260" s="7" t="n">
        <f aca="false">Sens!G11185*(1-tax_f)/(Sens!G11171*(Sens!F11256+Sens!G11256)/2)</f>
        <v>0.12719599062164</v>
      </c>
      <c r="H11260" s="7" t="n">
        <f aca="false">Sens!H11185*(1-tax_f)/(Sens!H11171*(Sens!G11256+Sens!H11256)/2)</f>
        <v>0.130828167067624</v>
      </c>
      <c r="I11260" s="7" t="n">
        <f aca="false">Sens!I11185*(1-tax_f)/(Sens!I11171*(Sens!H11256+Sens!I11256)/2)</f>
        <v>0.138614526937417</v>
      </c>
      <c r="J11260" s="7" t="n">
        <f aca="false">Sens!J11185*(1-tax_f)/(Sens!J11171*(Sens!I11256+Sens!J11256)/2)</f>
        <v>0.150578919010924</v>
      </c>
      <c r="K11260" s="7" t="n">
        <f aca="false">Sens!K11185*(1-tax_f)/(Sens!K11171*(Sens!J11256+Sens!K11256)/2)</f>
        <v>0.167005345886664</v>
      </c>
    </row>
    <row r="11261" customFormat="false" ht="17.15" hidden="false" customHeight="false" outlineLevel="0" collapsed="false">
      <c r="A11261" s="0" t="s">
        <v>1018</v>
      </c>
      <c r="B11261" s="0" t="s">
        <v>253</v>
      </c>
      <c r="F11261" s="7" t="n">
        <f aca="false">Sens!F11257-wacc</f>
        <v>-0.0417275852209519</v>
      </c>
      <c r="G11261" s="7" t="n">
        <f aca="false">Sens!G11257-wacc</f>
        <v>-0.0268185599129278</v>
      </c>
      <c r="H11261" s="7" t="n">
        <f aca="false">Sens!H11257-wacc</f>
        <v>-0.0169808813889612</v>
      </c>
      <c r="I11261" s="7" t="n">
        <f aca="false">Sens!I11257-wacc</f>
        <v>-0.00777875006557149</v>
      </c>
      <c r="J11261" s="7" t="n">
        <f aca="false">Sens!J11257-wacc</f>
        <v>0.0024906630128898</v>
      </c>
      <c r="K11261" s="7" t="n">
        <f aca="false">Sens!K11257-wacc</f>
        <v>0.0150551389266932</v>
      </c>
    </row>
    <row r="11262" customFormat="false" ht="17.15" hidden="false" customHeight="false" outlineLevel="0" collapsed="false">
      <c r="A11262" s="0" t="s">
        <v>1019</v>
      </c>
      <c r="B11262" s="0" t="s">
        <v>98</v>
      </c>
      <c r="F11262" s="6" t="n">
        <f aca="false">Sens!F11255*(1-tax_f)-wacc*(Sens!E11256+Sens!F11256)/2</f>
        <v>-8.07993485878896</v>
      </c>
      <c r="G11262" s="6" t="n">
        <f aca="false">Sens!G11255*(1-tax_f)-wacc*(Sens!F11256+Sens!G11256)/2</f>
        <v>-8.74761405125648</v>
      </c>
      <c r="H11262" s="6" t="n">
        <f aca="false">Sens!H11255*(1-tax_f)-wacc*(Sens!G11256+Sens!H11256)/2</f>
        <v>-7.56728474773728</v>
      </c>
      <c r="I11262" s="6" t="n">
        <f aca="false">Sens!I11255*(1-tax_f)-wacc*(Sens!H11256+Sens!I11256)/2</f>
        <v>-4.09691549261652</v>
      </c>
      <c r="J11262" s="6" t="n">
        <f aca="false">Sens!J11255*(1-tax_f)-wacc*(Sens!I11256+Sens!J11256)/2</f>
        <v>1.37566660468201</v>
      </c>
      <c r="K11262" s="6" t="n">
        <f aca="false">Sens!K11255*(1-tax_f)-wacc*(Sens!J11256+Sens!K11256)/2</f>
        <v>8.11113224178941</v>
      </c>
    </row>
    <row r="11263" customFormat="false" ht="17.15" hidden="false" customHeight="false" outlineLevel="0" collapsed="false">
      <c r="A11263" s="3" t="s">
        <v>1893</v>
      </c>
    </row>
    <row r="11264" customFormat="false" ht="15" hidden="false" customHeight="false" outlineLevel="0" collapsed="false">
      <c r="A11264" s="4" t="s">
        <v>43</v>
      </c>
      <c r="B11264" s="4" t="s">
        <v>65</v>
      </c>
      <c r="C11264" s="23" t="s">
        <v>942</v>
      </c>
      <c r="D11264" s="23" t="s">
        <v>943</v>
      </c>
      <c r="E11264" s="23" t="s">
        <v>944</v>
      </c>
      <c r="F11264" s="23" t="s">
        <v>945</v>
      </c>
      <c r="G11264" s="23" t="s">
        <v>946</v>
      </c>
      <c r="H11264" s="23" t="s">
        <v>947</v>
      </c>
      <c r="I11264" s="23" t="s">
        <v>948</v>
      </c>
      <c r="J11264" s="23" t="s">
        <v>949</v>
      </c>
      <c r="K11264" s="23" t="s">
        <v>950</v>
      </c>
      <c r="L11264" s="4" t="s">
        <v>47</v>
      </c>
    </row>
    <row r="11265" customFormat="false" ht="15" hidden="false" customHeight="false" outlineLevel="0" collapsed="false">
      <c r="A11265" s="1" t="s">
        <v>1080</v>
      </c>
      <c r="B11265" s="0" t="s">
        <v>98</v>
      </c>
      <c r="F11265" s="6" t="n">
        <f aca="false">Sens!F11246</f>
        <v>144.725241192682</v>
      </c>
      <c r="G11265" s="6" t="n">
        <f aca="false">Sens!G11246</f>
        <v>156.890458284994</v>
      </c>
      <c r="H11265" s="6" t="n">
        <f aca="false">Sens!H11246</f>
        <v>172.942103953132</v>
      </c>
      <c r="I11265" s="6" t="n">
        <f aca="false">Sens!I11246</f>
        <v>188.36244393013</v>
      </c>
      <c r="J11265" s="6" t="n">
        <f aca="false">Sens!J11246</f>
        <v>202.951544326418</v>
      </c>
      <c r="K11265" s="6" t="n">
        <f aca="false">Sens!K11246</f>
        <v>217.215828704963</v>
      </c>
    </row>
    <row r="11266" customFormat="false" ht="17.15" hidden="false" customHeight="false" outlineLevel="0" collapsed="false">
      <c r="A11266" s="1" t="s">
        <v>1102</v>
      </c>
      <c r="B11266" s="0" t="s">
        <v>98</v>
      </c>
      <c r="E11266" s="6" t="n">
        <f aca="false">Q!M38-Sens!E11184</f>
        <v>22.2285940229167</v>
      </c>
      <c r="F11266" s="6" t="n">
        <f aca="false">Sens!E11266*(1-1/life_nonai)+(Sens!F11274+Sens!F11275)/life_nonai</f>
        <v>23.5810979905473</v>
      </c>
      <c r="G11266" s="6" t="n">
        <f aca="false">Sens!F11266*(1-1/life_nonai)+(Sens!G11274)/life_nonai</f>
        <v>25.3620751194287</v>
      </c>
      <c r="H11266" s="6" t="n">
        <f aca="false">Sens!G11266*(1-1/life_nonai)+(Sens!H11274)/life_nonai</f>
        <v>27.5389527887545</v>
      </c>
      <c r="I11266" s="6" t="n">
        <f aca="false">Sens!H11266*(1-1/life_nonai)+(Sens!I11274)/life_nonai</f>
        <v>30.0469060585788</v>
      </c>
      <c r="J11266" s="6" t="n">
        <f aca="false">Sens!I11266*(1-1/life_nonai)+(Sens!J11274)/life_nonai</f>
        <v>32.8044888755354</v>
      </c>
      <c r="K11266" s="6" t="n">
        <f aca="false">Sens!J11266*(1-1/life_nonai)+(Sens!K11274)/life_nonai</f>
        <v>35.7295257786321</v>
      </c>
      <c r="L11266" s="12" t="s">
        <v>1103</v>
      </c>
    </row>
    <row r="11267" customFormat="false" ht="17.15" hidden="false" customHeight="false" outlineLevel="0" collapsed="false">
      <c r="A11267" s="1" t="s">
        <v>1104</v>
      </c>
      <c r="B11267" s="0" t="s">
        <v>98</v>
      </c>
      <c r="F11267" s="6" t="n">
        <f aca="false">Sens!$F$11275/life_nonai*(1-1/life_nonai)^(Sens!F11147-2027)</f>
        <v>0</v>
      </c>
      <c r="G11267" s="6" t="n">
        <f aca="false">Sens!$F$11275/life_nonai*(1-1/life_nonai)^(Sens!G11147-2027)</f>
        <v>0</v>
      </c>
      <c r="H11267" s="6" t="n">
        <f aca="false">Sens!$F$11275/life_nonai*(1-1/life_nonai)^(Sens!H11147-2027)</f>
        <v>0</v>
      </c>
      <c r="I11267" s="6" t="n">
        <f aca="false">Sens!$F$11275/life_nonai*(1-1/life_nonai)^(Sens!I11147-2027)</f>
        <v>0</v>
      </c>
      <c r="J11267" s="6" t="n">
        <f aca="false">Sens!$F$11275/life_nonai*(1-1/life_nonai)^(Sens!J11147-2027)</f>
        <v>0</v>
      </c>
      <c r="K11267" s="6" t="n">
        <f aca="false">Sens!$F$11275/life_nonai*(1-1/life_nonai)^(Sens!K11147-2027)</f>
        <v>0</v>
      </c>
      <c r="L11267" s="1" t="s">
        <v>1105</v>
      </c>
    </row>
    <row r="11268" customFormat="false" ht="17.15" hidden="false" customHeight="false" outlineLevel="0" collapsed="false">
      <c r="A11268" s="1" t="s">
        <v>1106</v>
      </c>
      <c r="B11268" s="0" t="s">
        <v>98</v>
      </c>
      <c r="E11268" s="6" t="n">
        <f aca="false">Sens!E11184+Sens!E11266</f>
        <v>38.534</v>
      </c>
      <c r="F11268" s="6" t="n">
        <f aca="false">Sens!F11184+Sens!F11266</f>
        <v>58.1604124688989</v>
      </c>
      <c r="G11268" s="6" t="n">
        <f aca="false">Sens!G11184+Sens!G11266</f>
        <v>86.0965657717277</v>
      </c>
      <c r="H11268" s="6" t="n">
        <f aca="false">Sens!H11184+Sens!H11266</f>
        <v>116.6390434502</v>
      </c>
      <c r="I11268" s="6" t="n">
        <f aca="false">Sens!I11184+Sens!I11266</f>
        <v>144.277915753127</v>
      </c>
      <c r="J11268" s="6" t="n">
        <f aca="false">Sens!J11184+Sens!J11266</f>
        <v>164.820161925132</v>
      </c>
      <c r="K11268" s="6" t="n">
        <f aca="false">Sens!K11184+Sens!K11266</f>
        <v>178.742195329566</v>
      </c>
    </row>
    <row r="11269" customFormat="false" ht="17.15" hidden="false" customHeight="false" outlineLevel="0" collapsed="false">
      <c r="A11269" s="1" t="s">
        <v>1107</v>
      </c>
      <c r="B11269" s="0" t="s">
        <v>98</v>
      </c>
      <c r="F11269" s="6" t="n">
        <f aca="false">Sens!F11211*sbc_r</f>
        <v>14.9210751837455</v>
      </c>
      <c r="G11269" s="6" t="n">
        <f aca="false">Sens!G11211*sbc_r</f>
        <v>17.826218143756</v>
      </c>
      <c r="H11269" s="6" t="n">
        <f aca="false">Sens!H11211*sbc_r</f>
        <v>20.8073592943946</v>
      </c>
      <c r="I11269" s="6" t="n">
        <f aca="false">Sens!I11211*sbc_r</f>
        <v>23.5564951917191</v>
      </c>
      <c r="J11269" s="6" t="n">
        <f aca="false">Sens!J11211*sbc_r</f>
        <v>25.8247046554709</v>
      </c>
      <c r="K11269" s="6" t="n">
        <f aca="false">Sens!K11211*sbc_r</f>
        <v>27.6685254629821</v>
      </c>
    </row>
    <row r="11270" customFormat="false" ht="17.15" hidden="false" customHeight="false" outlineLevel="0" collapsed="false">
      <c r="A11270" s="1" t="s">
        <v>1108</v>
      </c>
      <c r="B11270" s="0" t="s">
        <v>98</v>
      </c>
      <c r="F11270" s="6" t="n">
        <f aca="false">wc27-wc26q1</f>
        <v>-4.677</v>
      </c>
      <c r="G11270" s="6" t="n">
        <f aca="false">wc_f</f>
        <v>0</v>
      </c>
      <c r="H11270" s="6" t="n">
        <f aca="false">wc_f</f>
        <v>0</v>
      </c>
      <c r="I11270" s="6" t="n">
        <f aca="false">wc_f</f>
        <v>0</v>
      </c>
      <c r="J11270" s="6" t="n">
        <f aca="false">wc_f</f>
        <v>0</v>
      </c>
      <c r="K11270" s="6" t="n">
        <f aca="false">wc_f</f>
        <v>0</v>
      </c>
      <c r="L11270" s="12" t="s">
        <v>1109</v>
      </c>
    </row>
    <row r="11271" customFormat="false" ht="17.15" hidden="false" customHeight="false" outlineLevel="0" collapsed="false">
      <c r="A11271" s="0" t="s">
        <v>1110</v>
      </c>
      <c r="B11271" s="0" t="s">
        <v>98</v>
      </c>
      <c r="F11271" s="6" t="n">
        <f aca="false">Q!$I$35-Q!$I$26-Q!$I$38-Q!$I$39</f>
        <v>6.493</v>
      </c>
      <c r="L11271" s="1" t="s">
        <v>1111</v>
      </c>
    </row>
    <row r="11272" customFormat="false" ht="15" hidden="false" customHeight="false" outlineLevel="0" collapsed="false">
      <c r="A11272" s="1" t="s">
        <v>908</v>
      </c>
      <c r="B11272" s="0" t="s">
        <v>98</v>
      </c>
      <c r="E11272" s="6" t="n">
        <f aca="false">Q!M35</f>
        <v>182.935</v>
      </c>
      <c r="F11272" s="6" t="n">
        <f aca="false">Sens!F11265+Sens!F11268+Sens!F11269+Sens!F11270+Sens!F11271</f>
        <v>219.622728845326</v>
      </c>
      <c r="G11272" s="6" t="n">
        <f aca="false">Sens!G11265+Sens!G11268+Sens!G11269+Sens!G11270</f>
        <v>260.813242200477</v>
      </c>
      <c r="H11272" s="6" t="n">
        <f aca="false">Sens!H11265+Sens!H11268+Sens!H11269+Sens!H11270</f>
        <v>310.388506697727</v>
      </c>
      <c r="I11272" s="6" t="n">
        <f aca="false">Sens!I11265+Sens!I11268+Sens!I11269+Sens!I11270</f>
        <v>356.196854874976</v>
      </c>
      <c r="J11272" s="6" t="n">
        <f aca="false">Sens!J11265+Sens!J11268+Sens!J11269+Sens!J11270</f>
        <v>393.59641090702</v>
      </c>
      <c r="K11272" s="6" t="n">
        <f aca="false">Sens!K11265+Sens!K11268+Sens!K11269+Sens!K11270</f>
        <v>423.626549497511</v>
      </c>
    </row>
    <row r="11273" customFormat="false" ht="17.15" hidden="false" customHeight="false" outlineLevel="0" collapsed="false">
      <c r="A11273" s="0" t="s">
        <v>1112</v>
      </c>
      <c r="B11273" s="0" t="s">
        <v>98</v>
      </c>
      <c r="F11273" s="6" t="n">
        <f aca="false">Sens!F11181</f>
        <v>168.45390404212</v>
      </c>
      <c r="G11273" s="6" t="n">
        <f aca="false">Sens!G11181</f>
        <v>191.944475649048</v>
      </c>
      <c r="H11273" s="6" t="n">
        <f aca="false">Sens!H11181</f>
        <v>196.806004064512</v>
      </c>
      <c r="I11273" s="6" t="n">
        <f aca="false">Sens!I11181</f>
        <v>168.61483362161</v>
      </c>
      <c r="J11273" s="6" t="n">
        <f aca="false">Sens!J11181</f>
        <v>128.92993119594</v>
      </c>
      <c r="K11273" s="6" t="n">
        <f aca="false">Sens!K11181</f>
        <v>118.962853064733</v>
      </c>
    </row>
    <row r="11274" customFormat="false" ht="17.15" hidden="false" customHeight="false" outlineLevel="0" collapsed="false">
      <c r="A11274" s="1" t="s">
        <v>1113</v>
      </c>
      <c r="B11274" s="0" t="s">
        <v>98</v>
      </c>
      <c r="E11274" s="6" t="n">
        <f aca="false">Sens!E11189*cx_azo+Sens!E11196*cx_m365+Sens!E11197*cx_lic+(Sens!E11199+Sens!E11201)*cx_ind+Sens!E11204*cx_srch+(Sens!E11206+Sens!E11208)*cx_dev</f>
        <v>30.1846587067718</v>
      </c>
      <c r="F11274" s="6" t="n">
        <f aca="false">Sens!F11189*cx_azo+Sens!F11196*cx_m365+Sens!F11197*cx_lic+(Sens!F11199+Sens!F11201)*cx_ind+Sens!F11204*cx_srch+(Sens!F11206+Sens!F11208)*cx_dev</f>
        <v>35.7536336992227</v>
      </c>
      <c r="G11274" s="6" t="n">
        <f aca="false">Sens!G11189*cx_azo+Sens!G11196*cx_m365+Sens!G11197*cx_lic+(Sens!G11199+Sens!G11201)*cx_ind+Sens!G11204*cx_srch+(Sens!G11206+Sens!G11208)*cx_dev</f>
        <v>41.3908692793619</v>
      </c>
      <c r="H11274" s="6" t="n">
        <f aca="false">Sens!H11189*cx_azo+Sens!H11196*cx_m365+Sens!H11197*cx_lic+(Sens!H11199+Sens!H11201)*cx_ind+Sens!H11204*cx_srch+(Sens!H11206+Sens!H11208)*cx_dev</f>
        <v>47.1308518126867</v>
      </c>
      <c r="I11274" s="6" t="n">
        <f aca="false">Sens!I11189*cx_azo+Sens!I11196*cx_m365+Sens!I11197*cx_lic+(Sens!I11199+Sens!I11201)*cx_ind+Sens!I11204*cx_srch+(Sens!I11206+Sens!I11208)*cx_dev</f>
        <v>52.6184854869967</v>
      </c>
      <c r="J11274" s="6" t="n">
        <f aca="false">Sens!J11189*cx_azo+Sens!J11196*cx_m365+Sens!J11197*cx_lic+(Sens!J11199+Sens!J11201)*cx_ind+Sens!J11204*cx_srch+(Sens!J11206+Sens!J11208)*cx_dev</f>
        <v>57.622734228145</v>
      </c>
      <c r="K11274" s="6" t="n">
        <f aca="false">Sens!K11189*cx_azo+Sens!K11196*cx_m365+Sens!K11197*cx_lic+(Sens!K11199+Sens!K11201)*cx_ind+Sens!K11204*cx_srch+(Sens!K11206+Sens!K11208)*cx_dev</f>
        <v>62.0548579065026</v>
      </c>
    </row>
    <row r="11275" customFormat="false" ht="17.15" hidden="false" customHeight="false" outlineLevel="0" collapsed="false">
      <c r="A11275" s="0" t="s">
        <v>1114</v>
      </c>
      <c r="B11275" s="0" t="s">
        <v>98</v>
      </c>
      <c r="F11275" s="6" t="n">
        <f aca="false">Sens!F11179</f>
        <v>0</v>
      </c>
      <c r="L11275" s="1" t="s">
        <v>1115</v>
      </c>
    </row>
    <row r="11276" customFormat="false" ht="17.15" hidden="false" customHeight="false" outlineLevel="0" collapsed="false">
      <c r="A11276" s="1" t="s">
        <v>1116</v>
      </c>
      <c r="B11276" s="0" t="s">
        <v>98</v>
      </c>
      <c r="E11276" s="6" t="n">
        <f aca="false">Q!M43</f>
        <v>145.3</v>
      </c>
      <c r="F11276" s="6" t="n">
        <f aca="false">Sens!F11273+Sens!F11274+Sens!F11275</f>
        <v>204.207537741342</v>
      </c>
      <c r="G11276" s="6" t="n">
        <f aca="false">Sens!G11273+Sens!G11274</f>
        <v>233.33534492841</v>
      </c>
      <c r="H11276" s="6" t="n">
        <f aca="false">Sens!H11273+Sens!H11274</f>
        <v>243.936855877199</v>
      </c>
      <c r="I11276" s="6" t="n">
        <f aca="false">Sens!I11273+Sens!I11274</f>
        <v>221.233319108607</v>
      </c>
      <c r="J11276" s="6" t="n">
        <f aca="false">Sens!J11273+Sens!J11274</f>
        <v>186.552665424085</v>
      </c>
      <c r="K11276" s="6" t="n">
        <f aca="false">Sens!K11273+Sens!K11274</f>
        <v>181.017710971235</v>
      </c>
      <c r="L11276" s="1" t="s">
        <v>1117</v>
      </c>
    </row>
    <row r="11277" customFormat="false" ht="15" hidden="false" customHeight="false" outlineLevel="0" collapsed="false">
      <c r="A11277" s="1" t="s">
        <v>1118</v>
      </c>
      <c r="B11277" s="0" t="s">
        <v>98</v>
      </c>
      <c r="E11277" s="6" t="n">
        <f aca="false">fl_liab</f>
        <v>66.594</v>
      </c>
      <c r="F11277" s="6" t="n">
        <f aca="false">Sens!E11277-Sens!F11278</f>
        <v>62.46973</v>
      </c>
      <c r="G11277" s="6" t="n">
        <f aca="false">Sens!F11277-Sens!G11278</f>
        <v>57.98686785</v>
      </c>
      <c r="H11277" s="6" t="n">
        <f aca="false">Sens!G11277-Sens!H11278</f>
        <v>53.92827690325</v>
      </c>
      <c r="I11277" s="6" t="n">
        <f aca="false">Sens!H11277-Sens!I11278</f>
        <v>49.7850493638962</v>
      </c>
      <c r="J11277" s="6" t="n">
        <f aca="false">Sens!I11277-Sens!J11278</f>
        <v>45.4823765852716</v>
      </c>
      <c r="K11277" s="6" t="n">
        <f aca="false">Sens!J11277-Sens!K11278</f>
        <v>40.9860835316088</v>
      </c>
    </row>
    <row r="11278" customFormat="false" ht="15" hidden="false" customHeight="false" outlineLevel="0" collapsed="false">
      <c r="A11278" s="1" t="s">
        <v>1119</v>
      </c>
      <c r="B11278" s="0" t="s">
        <v>98</v>
      </c>
      <c r="F11278" s="6" t="n">
        <f aca="false">fl_pay_27-Sens!E11277*fl_rate</f>
        <v>4.12427</v>
      </c>
      <c r="G11278" s="6" t="n">
        <f aca="false">fl_pay_28-Sens!F11277*fl_rate</f>
        <v>4.48286215</v>
      </c>
      <c r="H11278" s="6" t="n">
        <f aca="false">fl_pay_29-Sens!G11277*fl_rate</f>
        <v>4.05859094675</v>
      </c>
      <c r="I11278" s="6" t="n">
        <f aca="false">fl_pay_30-Sens!H11277*fl_rate</f>
        <v>4.14322753935375</v>
      </c>
      <c r="J11278" s="6" t="n">
        <f aca="false">fl_pay_31-Sens!I11277*fl_rate</f>
        <v>4.30267277862467</v>
      </c>
      <c r="K11278" s="6" t="n">
        <f aca="false">fl_pay_32-Sens!J11277*fl_rate</f>
        <v>4.49629305366278</v>
      </c>
    </row>
    <row r="11279" customFormat="false" ht="17.15" hidden="false" customHeight="false" outlineLevel="0" collapsed="false">
      <c r="A11279" s="1" t="s">
        <v>1120</v>
      </c>
      <c r="B11279" s="0" t="s">
        <v>98</v>
      </c>
      <c r="E11279" s="6" t="n">
        <f aca="false">Q!M35-Q!M36-Q!M44</f>
        <v>63.886</v>
      </c>
      <c r="F11279" s="6" t="n">
        <f aca="false">Sens!F11272-Sens!F11276-Sens!F11278</f>
        <v>11.2909211039838</v>
      </c>
      <c r="G11279" s="6" t="n">
        <f aca="false">Sens!G11272-Sens!G11276-Sens!G11278</f>
        <v>22.9950351220673</v>
      </c>
      <c r="H11279" s="6" t="n">
        <f aca="false">Sens!H11272-Sens!H11276-Sens!H11278</f>
        <v>62.3930598737779</v>
      </c>
      <c r="I11279" s="6" t="n">
        <f aca="false">Sens!I11272-Sens!I11276-Sens!I11278</f>
        <v>130.820308227016</v>
      </c>
      <c r="J11279" s="6" t="n">
        <f aca="false">Sens!J11272-Sens!J11276-Sens!J11278</f>
        <v>202.74107270431</v>
      </c>
      <c r="K11279" s="6" t="n">
        <f aca="false">Sens!K11272-Sens!K11276-Sens!K11278</f>
        <v>238.112545472613</v>
      </c>
      <c r="L11279" s="12" t="s">
        <v>1121</v>
      </c>
    </row>
    <row r="11280" customFormat="false" ht="15" hidden="false" customHeight="false" outlineLevel="0" collapsed="false">
      <c r="A11280" s="1" t="s">
        <v>1122</v>
      </c>
      <c r="B11280" s="0" t="s">
        <v>75</v>
      </c>
      <c r="F11280" s="8" t="n">
        <f aca="false">dps_27</f>
        <v>3.85</v>
      </c>
      <c r="G11280" s="8" t="n">
        <f aca="false">Sens!F11280*(1+dps_g)</f>
        <v>4.158</v>
      </c>
      <c r="H11280" s="8" t="n">
        <f aca="false">Sens!G11280*(1+dps_g)</f>
        <v>4.49064</v>
      </c>
      <c r="I11280" s="8" t="n">
        <f aca="false">Sens!H11280*(1+dps_g)</f>
        <v>4.8498912</v>
      </c>
      <c r="J11280" s="8" t="n">
        <f aca="false">Sens!I11280*(1+dps_g)</f>
        <v>5.237882496</v>
      </c>
      <c r="K11280" s="8" t="n">
        <f aca="false">Sens!J11280*(1+dps_g)</f>
        <v>5.65691309568</v>
      </c>
    </row>
    <row r="11281" customFormat="false" ht="17.15" hidden="false" customHeight="false" outlineLevel="0" collapsed="false">
      <c r="A11281" s="1" t="s">
        <v>1123</v>
      </c>
      <c r="B11281" s="0" t="s">
        <v>98</v>
      </c>
      <c r="E11281" s="6" t="n">
        <f aca="false">Q!M41</f>
        <v>26.445</v>
      </c>
      <c r="F11281" s="6" t="n">
        <f aca="false">Sens!F11280*Sens!E11290</f>
        <v>28.59395</v>
      </c>
      <c r="G11281" s="6" t="n">
        <f aca="false">Sens!G11280*Sens!F11290</f>
        <v>31.0663911348902</v>
      </c>
      <c r="H11281" s="6" t="n">
        <f aca="false">Sens!H11280*Sens!G11290</f>
        <v>33.7537812256814</v>
      </c>
      <c r="I11281" s="6" t="n">
        <f aca="false">Sens!I11280*Sens!H11290</f>
        <v>36.5045220008086</v>
      </c>
      <c r="J11281" s="6" t="n">
        <f aca="false">Sens!J11280*Sens!I11290</f>
        <v>39.4927816462659</v>
      </c>
      <c r="K11281" s="6" t="n">
        <f aca="false">Sens!K11280*Sens!J11290</f>
        <v>42.7389584403454</v>
      </c>
      <c r="L11281" s="1" t="s">
        <v>1124</v>
      </c>
    </row>
    <row r="11282" customFormat="false" ht="15" hidden="false" customHeight="false" outlineLevel="0" collapsed="false">
      <c r="A11282" s="1" t="s">
        <v>1125</v>
      </c>
      <c r="B11282" s="0" t="s">
        <v>98</v>
      </c>
      <c r="E11282" s="6" t="n">
        <f aca="false">Sens!E11279-Sens!E11281</f>
        <v>37.441</v>
      </c>
      <c r="F11282" s="6" t="n">
        <f aca="false">Sens!F11279-Sens!F11281</f>
        <v>-17.3030288960162</v>
      </c>
      <c r="G11282" s="6" t="n">
        <f aca="false">Sens!G11279-Sens!G11281</f>
        <v>-8.0713560128229</v>
      </c>
      <c r="H11282" s="6" t="n">
        <f aca="false">Sens!H11279-Sens!H11281</f>
        <v>28.6392786480965</v>
      </c>
      <c r="I11282" s="6" t="n">
        <f aca="false">Sens!I11279-Sens!I11281</f>
        <v>94.3157862262071</v>
      </c>
      <c r="J11282" s="6" t="n">
        <f aca="false">Sens!J11279-Sens!J11281</f>
        <v>163.248291058044</v>
      </c>
      <c r="K11282" s="6" t="n">
        <f aca="false">Sens!K11279-Sens!K11281</f>
        <v>195.373587032268</v>
      </c>
    </row>
    <row r="11283" customFormat="false" ht="15" hidden="false" customHeight="false" outlineLevel="0" collapsed="false">
      <c r="A11283" s="1" t="s">
        <v>1126</v>
      </c>
      <c r="B11283" s="0" t="s">
        <v>98</v>
      </c>
      <c r="F11283" s="6" t="n">
        <f aca="false">debt_mat_27</f>
        <v>9.25</v>
      </c>
      <c r="G11283" s="6" t="n">
        <f aca="false">debt_mat_28</f>
        <v>0</v>
      </c>
      <c r="H11283" s="6" t="n">
        <f aca="false">debt_mat_29</f>
        <v>2.001</v>
      </c>
      <c r="I11283" s="6" t="n">
        <f aca="false">debt_mat_30</f>
        <v>0</v>
      </c>
      <c r="J11283" s="6" t="n">
        <f aca="false">debt_mat_31</f>
        <v>0.5</v>
      </c>
      <c r="K11283" s="6" t="n">
        <f aca="false">debt_mat_32</f>
        <v>0</v>
      </c>
    </row>
    <row r="11284" customFormat="false" ht="15" hidden="false" customHeight="false" outlineLevel="0" collapsed="false">
      <c r="A11284" s="1" t="s">
        <v>1127</v>
      </c>
      <c r="B11284" s="0" t="s">
        <v>98</v>
      </c>
      <c r="E11284" s="6" t="n">
        <f aca="false">Q!M40</f>
        <v>22.271</v>
      </c>
      <c r="F11284" s="6" t="n">
        <f aca="false">MAX(0,MIN(bb_target,Sens!E11286+Sens!F11282-Sens!F11283-min_cash))</f>
        <v>0.289971103983774</v>
      </c>
      <c r="G11284" s="6" t="n">
        <f aca="false">MAX(0,MIN(bb_target,Sens!F11286+Sens!G11282-Sens!G11283-min_cash))</f>
        <v>0</v>
      </c>
      <c r="H11284" s="6" t="n">
        <f aca="false">MAX(0,MIN(bb_target,Sens!G11286+Sens!H11282-Sens!H11283-min_cash))</f>
        <v>22.271</v>
      </c>
      <c r="I11284" s="6" t="n">
        <f aca="false">MAX(0,MIN(bb_target,Sens!H11286+Sens!I11282-Sens!I11283-min_cash))</f>
        <v>22.271</v>
      </c>
      <c r="J11284" s="6" t="n">
        <f aca="false">MAX(0,MIN(bb_target,Sens!I11286+Sens!J11282-Sens!J11283-min_cash))</f>
        <v>22.271</v>
      </c>
      <c r="K11284" s="6" t="n">
        <f aca="false">MAX(0,MIN(bb_target,Sens!J11286+Sens!K11282-Sens!K11283-min_cash))</f>
        <v>22.271</v>
      </c>
    </row>
    <row r="11285" customFormat="false" ht="15" hidden="false" customHeight="false" outlineLevel="0" collapsed="false">
      <c r="A11285" s="1" t="s">
        <v>1128</v>
      </c>
      <c r="B11285" s="0" t="s">
        <v>98</v>
      </c>
      <c r="F11285" s="6" t="n">
        <f aca="false">MAX(0,min_cash-(Sens!E11286+Sens!F11282-Sens!F11283-Sens!F11284))</f>
        <v>0</v>
      </c>
      <c r="G11285" s="6" t="n">
        <f aca="false">MAX(0,min_cash-(Sens!F11286+Sens!G11282-Sens!G11283-Sens!G11284))</f>
        <v>8.0713560128229</v>
      </c>
      <c r="H11285" s="6" t="n">
        <f aca="false">MAX(0,min_cash-(Sens!G11286+Sens!H11282-Sens!H11283-Sens!H11284))</f>
        <v>0</v>
      </c>
      <c r="I11285" s="6" t="n">
        <f aca="false">MAX(0,min_cash-(Sens!H11286+Sens!I11282-Sens!I11283-Sens!I11284))</f>
        <v>0</v>
      </c>
      <c r="J11285" s="6" t="n">
        <f aca="false">MAX(0,min_cash-(Sens!I11286+Sens!J11282-Sens!J11283-Sens!J11284))</f>
        <v>0</v>
      </c>
      <c r="K11285" s="6" t="n">
        <f aca="false">MAX(0,min_cash-(Sens!J11286+Sens!K11282-Sens!K11283-Sens!K11284))</f>
        <v>0</v>
      </c>
    </row>
    <row r="11286" customFormat="false" ht="15" hidden="false" customHeight="false" outlineLevel="0" collapsed="false">
      <c r="A11286" s="1" t="s">
        <v>1129</v>
      </c>
      <c r="B11286" s="0" t="s">
        <v>98</v>
      </c>
      <c r="E11286" s="6" t="n">
        <f aca="false">cash_open</f>
        <v>76.843</v>
      </c>
      <c r="F11286" s="6" t="n">
        <f aca="false">Sens!E11286+Sens!F11282-Sens!F11283-Sens!F11284+Sens!F11285</f>
        <v>50</v>
      </c>
      <c r="G11286" s="6" t="n">
        <f aca="false">Sens!F11286+Sens!G11282-Sens!G11283-Sens!G11284+Sens!G11285</f>
        <v>50</v>
      </c>
      <c r="H11286" s="6" t="n">
        <f aca="false">Sens!G11286+Sens!H11282-Sens!H11283-Sens!H11284+Sens!H11285</f>
        <v>54.3672786480965</v>
      </c>
      <c r="I11286" s="6" t="n">
        <f aca="false">Sens!H11286+Sens!I11282-Sens!I11283-Sens!I11284+Sens!I11285</f>
        <v>126.412064874304</v>
      </c>
      <c r="J11286" s="6" t="n">
        <f aca="false">Sens!I11286+Sens!J11282-Sens!J11283-Sens!J11284+Sens!J11285</f>
        <v>266.889355932348</v>
      </c>
      <c r="K11286" s="6" t="n">
        <f aca="false">Sens!J11286+Sens!K11282-Sens!K11283-Sens!K11284+Sens!K11285</f>
        <v>439.991942964616</v>
      </c>
    </row>
    <row r="11287" customFormat="false" ht="15" hidden="false" customHeight="false" outlineLevel="0" collapsed="false">
      <c r="A11287" s="1" t="s">
        <v>1130</v>
      </c>
      <c r="B11287" s="0" t="s">
        <v>98</v>
      </c>
      <c r="E11287" s="6" t="n">
        <f aca="false">debt_face</f>
        <v>46.136</v>
      </c>
      <c r="F11287" s="6" t="n">
        <f aca="false">Sens!E11287-Sens!F11283+Sens!F11285</f>
        <v>36.886</v>
      </c>
      <c r="G11287" s="6" t="n">
        <f aca="false">Sens!F11287-Sens!G11283+Sens!G11285</f>
        <v>44.9573560128229</v>
      </c>
      <c r="H11287" s="6" t="n">
        <f aca="false">Sens!G11287-Sens!H11283+Sens!H11285</f>
        <v>42.9563560128229</v>
      </c>
      <c r="I11287" s="6" t="n">
        <f aca="false">Sens!H11287-Sens!I11283+Sens!I11285</f>
        <v>42.9563560128229</v>
      </c>
      <c r="J11287" s="6" t="n">
        <f aca="false">Sens!I11287-Sens!J11283+Sens!J11285</f>
        <v>42.4563560128229</v>
      </c>
      <c r="K11287" s="6" t="n">
        <f aca="false">Sens!J11287-Sens!K11283+Sens!K11285</f>
        <v>42.4563560128229</v>
      </c>
    </row>
    <row r="11288" customFormat="false" ht="15" hidden="false" customHeight="false" outlineLevel="0" collapsed="false">
      <c r="A11288" s="1" t="s">
        <v>1131</v>
      </c>
      <c r="B11288" s="0" t="s">
        <v>98</v>
      </c>
      <c r="E11288" s="6" t="n">
        <f aca="false">Sens!E11286-Sens!E11287</f>
        <v>30.707</v>
      </c>
      <c r="F11288" s="6" t="n">
        <f aca="false">Sens!F11286-Sens!F11287</f>
        <v>13.114</v>
      </c>
      <c r="G11288" s="6" t="n">
        <f aca="false">Sens!G11286-Sens!G11287</f>
        <v>5.04264398717709</v>
      </c>
      <c r="H11288" s="6" t="n">
        <f aca="false">Sens!H11286-Sens!H11287</f>
        <v>11.4109226352736</v>
      </c>
      <c r="I11288" s="6" t="n">
        <f aca="false">Sens!I11286-Sens!I11287</f>
        <v>83.4557088614806</v>
      </c>
      <c r="J11288" s="6" t="n">
        <f aca="false">Sens!J11286-Sens!J11287</f>
        <v>224.432999919525</v>
      </c>
      <c r="K11288" s="6" t="n">
        <f aca="false">Sens!K11286-Sens!K11287</f>
        <v>397.535586951793</v>
      </c>
    </row>
    <row r="11289" customFormat="false" ht="15" hidden="false" customHeight="false" outlineLevel="0" collapsed="false">
      <c r="A11289" s="1" t="s">
        <v>1132</v>
      </c>
      <c r="B11289" s="0" t="s">
        <v>75</v>
      </c>
      <c r="F11289" s="30" t="n">
        <f aca="false">px*(1+bb_g)^(Sens!F11147-base_fy-mid_yr)</f>
        <v>551.84177959629</v>
      </c>
      <c r="G11289" s="30" t="n">
        <f aca="false">px*(1+bb_g)^(Sens!G11147-base_fy-mid_yr)</f>
        <v>595.989121963993</v>
      </c>
      <c r="H11289" s="30" t="n">
        <f aca="false">px*(1+bb_g)^(Sens!H11147-base_fy-mid_yr)</f>
        <v>643.668251721112</v>
      </c>
      <c r="I11289" s="30" t="n">
        <f aca="false">px*(1+bb_g)^(Sens!I11147-base_fy-mid_yr)</f>
        <v>695.161711858801</v>
      </c>
      <c r="J11289" s="30" t="n">
        <f aca="false">px*(1+bb_g)^(Sens!J11147-base_fy-mid_yr)</f>
        <v>750.774648807506</v>
      </c>
      <c r="K11289" s="30" t="n">
        <f aca="false">px*(1+bb_g)^(Sens!K11147-base_fy-mid_yr)</f>
        <v>810.836620712106</v>
      </c>
    </row>
    <row r="11290" customFormat="false" ht="15" hidden="false" customHeight="false" outlineLevel="0" collapsed="false">
      <c r="A11290" s="1" t="s">
        <v>1133</v>
      </c>
      <c r="B11290" s="1" t="s">
        <v>81</v>
      </c>
      <c r="E11290" s="15" t="n">
        <f aca="false">sh_out26</f>
        <v>7.427</v>
      </c>
      <c r="F11290" s="15" t="n">
        <f aca="false">Sens!E11290+sh_iss-Sens!F11284/Sens!F11289</f>
        <v>7.47147453941563</v>
      </c>
      <c r="G11290" s="15" t="n">
        <f aca="false">Sens!F11290+sh_iss-Sens!G11284/Sens!G11289</f>
        <v>7.51647453941563</v>
      </c>
      <c r="H11290" s="15" t="n">
        <f aca="false">Sens!G11290+sh_iss-Sens!H11284/Sens!H11289</f>
        <v>7.52687441747324</v>
      </c>
      <c r="I11290" s="15" t="n">
        <f aca="false">Sens!H11290+sh_iss-Sens!I11284/Sens!I11289</f>
        <v>7.53983726752657</v>
      </c>
      <c r="J11290" s="15" t="n">
        <f aca="false">Sens!I11290+sh_iss-Sens!J11284/Sens!J11289</f>
        <v>7.55517323979818</v>
      </c>
      <c r="K11290" s="15" t="n">
        <f aca="false">Sens!J11290+sh_iss-Sens!K11284/Sens!K11289</f>
        <v>7.57270654745708</v>
      </c>
    </row>
    <row r="11291" customFormat="false" ht="15" hidden="false" customHeight="false" outlineLevel="0" collapsed="false">
      <c r="A11291" s="1" t="s">
        <v>1134</v>
      </c>
      <c r="B11291" s="1" t="s">
        <v>81</v>
      </c>
      <c r="E11291" s="15" t="n">
        <f aca="false">sh_dil26</f>
        <v>7.453</v>
      </c>
      <c r="F11291" s="15" t="n">
        <f aca="false">(Sens!E11290+Sens!F11290)/2+dil_gap</f>
        <v>7.47323726970782</v>
      </c>
      <c r="G11291" s="15" t="n">
        <f aca="false">(Sens!F11290+Sens!G11290)/2+dil_gap</f>
        <v>7.51797453941563</v>
      </c>
      <c r="H11291" s="15" t="n">
        <f aca="false">(Sens!G11290+Sens!H11290)/2+dil_gap</f>
        <v>7.54567447844444</v>
      </c>
      <c r="I11291" s="15" t="n">
        <f aca="false">(Sens!H11290+Sens!I11290)/2+dil_gap</f>
        <v>7.55735584249991</v>
      </c>
      <c r="J11291" s="15" t="n">
        <f aca="false">(Sens!I11290+Sens!J11290)/2+dil_gap</f>
        <v>7.57150525366238</v>
      </c>
      <c r="K11291" s="15" t="n">
        <f aca="false">(Sens!J11290+Sens!K11290)/2+dil_gap</f>
        <v>7.58793989362763</v>
      </c>
    </row>
    <row r="11292" customFormat="false" ht="17.15" hidden="false" customHeight="false" outlineLevel="0" collapsed="false">
      <c r="A11292" s="1" t="s">
        <v>1135</v>
      </c>
      <c r="B11292" s="0" t="s">
        <v>98</v>
      </c>
      <c r="C11292" s="6" t="n">
        <f aca="false">SUM(Sens!F11282:J11282)</f>
        <v>260.828971023509</v>
      </c>
    </row>
    <row r="11293" customFormat="false" ht="15" hidden="false" customHeight="false" outlineLevel="0" collapsed="false">
      <c r="A11293" s="26" t="s">
        <v>1100</v>
      </c>
      <c r="B11293" s="31" t="s">
        <v>98</v>
      </c>
      <c r="C11293" s="27" t="n">
        <f aca="false">Sens!$C$11292-(Sens!F11282+Sens!G11282+Sens!H11282+Sens!I11282+Sens!J11282)</f>
        <v>0</v>
      </c>
      <c r="D11293" s="31"/>
      <c r="E11293" s="31"/>
      <c r="F11293" s="31"/>
      <c r="G11293" s="31"/>
      <c r="H11293" s="31"/>
      <c r="I11293" s="31"/>
      <c r="J11293" s="31"/>
      <c r="K11293" s="31"/>
    </row>
    <row r="11294" customFormat="false" ht="17.15" hidden="false" customHeight="false" outlineLevel="0" collapsed="false">
      <c r="A11294" s="1" t="s">
        <v>1094</v>
      </c>
      <c r="B11294" s="1" t="s">
        <v>1136</v>
      </c>
      <c r="C11294" s="33" t="str">
        <f aca="false">IF(SUM(Sens!F11285:J11285)&gt;0.05,"需要舉債 "&amp;TEXT(SUM(Sens!F11285:J11285),"0.0")&amp;" 十億美元","不需舉債")&amp;"；"&amp;IF(SUM(Sens!F11284:J11284)&lt;COUNT(Sens!F11284:J11284)*bb_target-0.05,"回購較每年 "&amp;TEXT(bb_target,"0.0")&amp;" 的目標少 "&amp;TEXT(COUNT(Sens!F11284:J11284)*bb_target-SUM(Sens!F11284:J11284),"0.0")&amp;" 十億美元（"&amp;TEXT(COUNTIF(Sens!F11284:J11284,"&lt;"&amp;(bb_target-0.05)),"0")&amp;" 年減少）","回購不減")</f>
        <v>需要舉債 8.1 十億美元；回購較每年 22.3 的目標少 44.3 十億美元（2 年減少）</v>
      </c>
    </row>
    <row r="11295" customFormat="false" ht="17.15" hidden="false" customHeight="false" outlineLevel="0" collapsed="false">
      <c r="A11295" s="3" t="s">
        <v>1894</v>
      </c>
    </row>
    <row r="11296" customFormat="false" ht="15" hidden="false" customHeight="false" outlineLevel="0" collapsed="false">
      <c r="A11296" s="4" t="s">
        <v>43</v>
      </c>
      <c r="B11296" s="4" t="s">
        <v>65</v>
      </c>
      <c r="C11296" s="23" t="s">
        <v>942</v>
      </c>
      <c r="D11296" s="23" t="s">
        <v>943</v>
      </c>
      <c r="E11296" s="23" t="s">
        <v>944</v>
      </c>
      <c r="F11296" s="23" t="s">
        <v>945</v>
      </c>
      <c r="G11296" s="23" t="s">
        <v>946</v>
      </c>
      <c r="H11296" s="23" t="s">
        <v>947</v>
      </c>
      <c r="I11296" s="23" t="s">
        <v>948</v>
      </c>
      <c r="J11296" s="23" t="s">
        <v>949</v>
      </c>
      <c r="K11296" s="23" t="s">
        <v>950</v>
      </c>
      <c r="L11296" s="4" t="s">
        <v>47</v>
      </c>
    </row>
    <row r="11297" customFormat="false" ht="17.15" hidden="false" customHeight="false" outlineLevel="0" collapsed="false">
      <c r="A11297" s="1" t="s">
        <v>1216</v>
      </c>
      <c r="B11297" s="1" t="s">
        <v>279</v>
      </c>
      <c r="F11297" s="8" t="n">
        <f aca="false">(1-v_off)*mid_yr</f>
        <v>0.373972602739726</v>
      </c>
      <c r="G11297" s="8" t="n">
        <f aca="false">Sens!G11147-base_fy-mid_yr-v_off</f>
        <v>1.24794520547945</v>
      </c>
      <c r="H11297" s="8" t="n">
        <f aca="false">Sens!H11147-base_fy-mid_yr-v_off</f>
        <v>2.24794520547945</v>
      </c>
      <c r="I11297" s="8" t="n">
        <f aca="false">Sens!I11147-base_fy-mid_yr-v_off</f>
        <v>3.24794520547945</v>
      </c>
      <c r="J11297" s="8" t="n">
        <f aca="false">Sens!J11147-base_fy-mid_yr-v_off</f>
        <v>4.24794520547945</v>
      </c>
      <c r="K11297" s="8" t="n">
        <f aca="false">Sens!K11147-base_fy-mid_yr-v_off</f>
        <v>5.24794520547945</v>
      </c>
      <c r="L11297" s="12" t="s">
        <v>1217</v>
      </c>
    </row>
    <row r="11298" customFormat="false" ht="15" hidden="false" customHeight="false" outlineLevel="0" collapsed="false">
      <c r="A11298" s="1" t="s">
        <v>1218</v>
      </c>
      <c r="B11298" s="1" t="s">
        <v>279</v>
      </c>
      <c r="F11298" s="8" t="n">
        <f aca="false">Sens!F11147-base_fy-v_off</f>
        <v>0.747945205479452</v>
      </c>
      <c r="G11298" s="8" t="n">
        <f aca="false">Sens!G11147-base_fy-v_off</f>
        <v>1.74794520547945</v>
      </c>
      <c r="H11298" s="8" t="n">
        <f aca="false">Sens!H11147-base_fy-v_off</f>
        <v>2.74794520547945</v>
      </c>
      <c r="I11298" s="8" t="n">
        <f aca="false">Sens!I11147-base_fy-v_off</f>
        <v>3.74794520547945</v>
      </c>
      <c r="J11298" s="8" t="n">
        <f aca="false">Sens!J11147-base_fy-v_off</f>
        <v>4.74794520547945</v>
      </c>
      <c r="K11298" s="8" t="n">
        <f aca="false">Sens!K11147-base_fy-v_off</f>
        <v>5.74794520547945</v>
      </c>
    </row>
    <row r="11299" customFormat="false" ht="15" hidden="false" customHeight="false" outlineLevel="0" collapsed="false">
      <c r="A11299" s="1" t="s">
        <v>1219</v>
      </c>
      <c r="B11299" s="0" t="s">
        <v>229</v>
      </c>
      <c r="F11299" s="15" t="n">
        <f aca="false">1/(1+wacc)^Sens!F11297</f>
        <v>0.964022703286649</v>
      </c>
      <c r="G11299" s="15" t="n">
        <f aca="false">1/(1+wacc)^Sens!G11297</f>
        <v>0.884910302296739</v>
      </c>
      <c r="H11299" s="15" t="n">
        <f aca="false">1/(1+wacc)^Sens!H11297</f>
        <v>0.802322009770358</v>
      </c>
      <c r="I11299" s="15" t="n">
        <f aca="false">1/(1+wacc)^Sens!I11297</f>
        <v>0.727441646561469</v>
      </c>
      <c r="J11299" s="15" t="n">
        <f aca="false">1/(1+wacc)^Sens!J11297</f>
        <v>0.659549834988973</v>
      </c>
      <c r="K11299" s="15" t="n">
        <f aca="false">1/(1+wacc)^Sens!K11297</f>
        <v>0.597994336576966</v>
      </c>
    </row>
    <row r="11300" customFormat="false" ht="17.15" hidden="false" customHeight="false" outlineLevel="0" collapsed="false">
      <c r="A11300" s="1" t="s">
        <v>1220</v>
      </c>
      <c r="B11300" s="0" t="s">
        <v>98</v>
      </c>
      <c r="F11300" s="6" t="n">
        <f aca="false">Q!$I$35-Q!$I$39-Q!$I$43</f>
        <v>9.666</v>
      </c>
      <c r="L11300" s="12" t="s">
        <v>1221</v>
      </c>
    </row>
    <row r="11301" customFormat="false" ht="17.15" hidden="false" customHeight="false" outlineLevel="0" collapsed="false">
      <c r="A11301" s="1" t="s">
        <v>1222</v>
      </c>
      <c r="B11301" s="0" t="s">
        <v>98</v>
      </c>
      <c r="F11301" s="6" t="n">
        <f aca="false">Sens!F11272-Sens!F11269-Sens!F11276+Sens!F11254*(1-tax_f)*(1-v_off)-Sens!F11300</f>
        <v>-3.34398911723033</v>
      </c>
      <c r="G11301" s="6" t="n">
        <f aca="false">Sens!G11272-Sens!G11269-Sens!G11276+Sens!G11254*(1-tax_f)</f>
        <v>29.8719500050951</v>
      </c>
      <c r="H11301" s="6" t="n">
        <f aca="false">Sens!H11272-Sens!H11269-Sens!H11276+Sens!H11254*(1-tax_f)</f>
        <v>79.4715118219691</v>
      </c>
      <c r="I11301" s="6" t="n">
        <f aca="false">Sens!I11272-Sens!I11269-Sens!I11276+Sens!I11254*(1-tax_f)</f>
        <v>157.570995487915</v>
      </c>
      <c r="J11301" s="6" t="n">
        <f aca="false">Sens!J11272-Sens!J11269-Sens!J11276+Sens!J11254*(1-tax_f)</f>
        <v>236.00532250012</v>
      </c>
      <c r="K11301" s="6" t="n">
        <f aca="false">Sens!K11272-Sens!K11269-Sens!K11276+Sens!K11254*(1-tax_f)</f>
        <v>274.428183058754</v>
      </c>
      <c r="L11301" s="1" t="s">
        <v>1223</v>
      </c>
    </row>
    <row r="11302" customFormat="false" ht="15" hidden="false" customHeight="false" outlineLevel="0" collapsed="false">
      <c r="A11302" s="1" t="s">
        <v>1224</v>
      </c>
      <c r="B11302" s="0" t="s">
        <v>98</v>
      </c>
      <c r="F11302" s="6" t="n">
        <f aca="false">Sens!F11301*Sens!F11299</f>
        <v>-3.22368142855352</v>
      </c>
      <c r="G11302" s="6" t="n">
        <f aca="false">Sens!G11301*Sens!G11299</f>
        <v>26.4339963092017</v>
      </c>
      <c r="H11302" s="6" t="n">
        <f aca="false">Sens!H11301*Sens!H11299</f>
        <v>63.761743084491</v>
      </c>
      <c r="I11302" s="6" t="n">
        <f aca="false">Sens!I11301*Sens!I11299</f>
        <v>114.623704408059</v>
      </c>
      <c r="J11302" s="6" t="n">
        <f aca="false">Sens!J11301*Sens!J11299</f>
        <v>155.657271511473</v>
      </c>
      <c r="K11302" s="6" t="n">
        <f aca="false">Sens!K11301*Sens!K11299</f>
        <v>164.106499266242</v>
      </c>
    </row>
    <row r="11303" customFormat="false" ht="17.15" hidden="false" customHeight="false" outlineLevel="0" collapsed="false">
      <c r="A11303" s="1" t="s">
        <v>1225</v>
      </c>
      <c r="B11303" s="0" t="s">
        <v>98</v>
      </c>
      <c r="C11303" s="6" t="n">
        <f aca="false">SUM(Sens!F11302:K11302)</f>
        <v>521.359533150913</v>
      </c>
    </row>
    <row r="11304" customFormat="false" ht="17.15" hidden="false" customHeight="false" outlineLevel="0" collapsed="false">
      <c r="A11304" s="1" t="s">
        <v>1226</v>
      </c>
      <c r="B11304" s="0" t="s">
        <v>98</v>
      </c>
      <c r="C11304" s="6" t="n">
        <f aca="false">Sens!K11240*(1+g_tv)*(1-tax_f)</f>
        <v>285.993609661436</v>
      </c>
    </row>
    <row r="11305" customFormat="false" ht="17.15" hidden="false" customHeight="false" outlineLevel="0" collapsed="false">
      <c r="A11305" s="1" t="s">
        <v>1227</v>
      </c>
      <c r="B11305" s="0" t="s">
        <v>98</v>
      </c>
      <c r="C11305" s="6" t="n">
        <f aca="false">Sens!$C$11304*(1-g_tv/(wacc+ronic_prem))</f>
        <v>202.643187707229</v>
      </c>
    </row>
    <row r="11306" customFormat="false" ht="17.15" hidden="false" customHeight="false" outlineLevel="0" collapsed="false">
      <c r="A11306" s="1" t="s">
        <v>1228</v>
      </c>
      <c r="B11306" s="0" t="s">
        <v>98</v>
      </c>
      <c r="C11306" s="6" t="n">
        <f aca="false">Sens!$C$11305/(wacc-g_tv)</f>
        <v>2778.34739847355</v>
      </c>
    </row>
    <row r="11307" customFormat="false" ht="15" hidden="false" customHeight="false" outlineLevel="0" collapsed="false">
      <c r="A11307" s="1" t="s">
        <v>1229</v>
      </c>
      <c r="B11307" s="0" t="s">
        <v>98</v>
      </c>
      <c r="C11307" s="6" t="n">
        <f aca="false">Sens!$C$11306/(1+wacc)^Sens!K11298</f>
        <v>1582.00680186551</v>
      </c>
    </row>
    <row r="11308" customFormat="false" ht="17.15" hidden="false" customHeight="false" outlineLevel="0" collapsed="false">
      <c r="A11308" s="0" t="s">
        <v>1230</v>
      </c>
      <c r="B11308" s="0" t="s">
        <v>98</v>
      </c>
      <c r="C11308" s="6" t="n">
        <f aca="false">Sens!$C$11303+Sens!$C$11307</f>
        <v>2103.36633501642</v>
      </c>
    </row>
    <row r="11309" customFormat="false" ht="15" hidden="false" customHeight="false" outlineLevel="0" collapsed="false">
      <c r="A11309" s="1" t="s">
        <v>1145</v>
      </c>
      <c r="B11309" s="0" t="s">
        <v>168</v>
      </c>
      <c r="C11309" s="7" t="n">
        <f aca="false">Sens!$C$11307/Sens!$C$11308</f>
        <v>0.752130893952506</v>
      </c>
    </row>
    <row r="11310" customFormat="false" ht="17.15" hidden="false" customHeight="false" outlineLevel="0" collapsed="false">
      <c r="A11310" s="1" t="s">
        <v>1231</v>
      </c>
      <c r="B11310" s="0" t="s">
        <v>98</v>
      </c>
      <c r="C11310" s="6" t="n">
        <f aca="false">Sens!$C$11308+cash_val-debt_val-fl_val+oai_v</f>
        <v>2219.21733501642</v>
      </c>
    </row>
    <row r="11311" customFormat="false" ht="17.15" hidden="false" customHeight="false" outlineLevel="0" collapsed="false">
      <c r="A11311" s="0" t="s">
        <v>1153</v>
      </c>
      <c r="B11311" s="0" t="s">
        <v>75</v>
      </c>
      <c r="C11311" s="5" t="n">
        <f aca="false">Sens!$C$11310/shd_val</f>
        <v>298.041543784102</v>
      </c>
    </row>
    <row r="11312" customFormat="false" ht="15" hidden="false" customHeight="false" outlineLevel="0" collapsed="false">
      <c r="A11312" s="1" t="s">
        <v>1232</v>
      </c>
      <c r="B11312" s="0" t="s">
        <v>75</v>
      </c>
      <c r="C11312" s="8" t="n">
        <f aca="false">div_rem27+Sens!G11280*roll_div_q/q_per_yr</f>
        <v>3.9795</v>
      </c>
    </row>
    <row r="11313" customFormat="false" ht="17.15" hidden="false" customHeight="false" outlineLevel="0" collapsed="false">
      <c r="A11313" s="0" t="s">
        <v>1233</v>
      </c>
      <c r="B11313" s="0" t="s">
        <v>75</v>
      </c>
      <c r="C11313" s="5" t="n">
        <f aca="false">Sens!$C$11311*(1+wacc)^t_roll-Sens!$C$11312</f>
        <v>327.310309836277</v>
      </c>
    </row>
    <row r="11314" customFormat="false" ht="17.15" hidden="false" customHeight="false" outlineLevel="0" collapsed="false">
      <c r="A11314" s="1" t="s">
        <v>1234</v>
      </c>
      <c r="B11314" s="0" t="s">
        <v>168</v>
      </c>
      <c r="F11314" s="7" t="n">
        <f aca="false">Sens!F11266/(Sens!F11211-Sens!F11166)</f>
        <v>0.0686029017199347</v>
      </c>
      <c r="G11314" s="7" t="n">
        <f aca="false">Sens!G11266/(Sens!G11211-Sens!G11166)</f>
        <v>0.0657780026841462</v>
      </c>
      <c r="H11314" s="7" t="n">
        <f aca="false">Sens!H11266/(Sens!H11211-Sens!H11166)</f>
        <v>0.0642817102576398</v>
      </c>
      <c r="I11314" s="7" t="n">
        <f aca="false">Sens!I11266/(Sens!I11211-Sens!I11166)</f>
        <v>0.0639915455982076</v>
      </c>
      <c r="J11314" s="7" t="n">
        <f aca="false">Sens!J11266/(Sens!J11211-Sens!J11166)</f>
        <v>0.0646216800742799</v>
      </c>
      <c r="K11314" s="7" t="n">
        <f aca="false">Sens!K11266/(Sens!K11211-Sens!K11166)</f>
        <v>0.0658214883440265</v>
      </c>
    </row>
    <row r="11315" customFormat="false" ht="17.15" hidden="false" customHeight="false" outlineLevel="0" collapsed="false">
      <c r="A11315" s="0" t="s">
        <v>1235</v>
      </c>
      <c r="B11315" s="0" t="s">
        <v>98</v>
      </c>
      <c r="F11315" s="6" t="n">
        <f aca="false">Sens!F11196*(al_m365+Sens!F11314+sbc_r)</f>
        <v>83.7185857021835</v>
      </c>
      <c r="G11315" s="6" t="n">
        <f aca="false">Sens!G11196*(al_m365+Sens!G11314+sbc_r)</f>
        <v>96.122563369685</v>
      </c>
      <c r="H11315" s="6" t="n">
        <f aca="false">Sens!H11196*(al_m365+Sens!H11314+sbc_r)</f>
        <v>108.686834570807</v>
      </c>
      <c r="I11315" s="6" t="n">
        <f aca="false">Sens!I11196*(al_m365+Sens!I11314+sbc_r)</f>
        <v>120.229911383782</v>
      </c>
      <c r="J11315" s="6" t="n">
        <f aca="false">Sens!J11196*(al_m365+Sens!J11314+sbc_r)</f>
        <v>130.562770732</v>
      </c>
      <c r="K11315" s="6" t="n">
        <f aca="false">Sens!K11196*(al_m365+Sens!K11314+sbc_r)</f>
        <v>140.499979435066</v>
      </c>
      <c r="L11315" s="12" t="s">
        <v>1236</v>
      </c>
    </row>
    <row r="11316" customFormat="false" ht="17.15" hidden="false" customHeight="false" outlineLevel="0" collapsed="false">
      <c r="A11316" s="0" t="s">
        <v>1237</v>
      </c>
      <c r="B11316" s="0" t="s">
        <v>98</v>
      </c>
      <c r="F11316" s="6" t="n">
        <f aca="false">Sens!F11197*(al_lic+Sens!F11314+sbc_r)</f>
        <v>32.8571260233698</v>
      </c>
      <c r="G11316" s="6" t="n">
        <f aca="false">Sens!G11197*(al_lic+Sens!G11314+sbc_r)</f>
        <v>34.1354118800862</v>
      </c>
      <c r="H11316" s="6" t="n">
        <f aca="false">Sens!H11197*(al_lic+Sens!H11314+sbc_r)</f>
        <v>35.3281006195464</v>
      </c>
      <c r="I11316" s="6" t="n">
        <f aca="false">Sens!I11197*(al_lic+Sens!I11314+sbc_r)</f>
        <v>36.4169416510584</v>
      </c>
      <c r="J11316" s="6" t="n">
        <f aca="false">Sens!J11197*(al_lic+Sens!J11314+sbc_r)</f>
        <v>37.3763513382584</v>
      </c>
      <c r="K11316" s="6" t="n">
        <f aca="false">Sens!K11197*(al_lic+Sens!K11314+sbc_r)</f>
        <v>38.1775651203033</v>
      </c>
    </row>
    <row r="11317" customFormat="false" ht="17.15" hidden="false" customHeight="false" outlineLevel="0" collapsed="false">
      <c r="A11317" s="0" t="s">
        <v>1238</v>
      </c>
      <c r="B11317" s="0" t="s">
        <v>98</v>
      </c>
      <c r="F11317" s="6" t="n">
        <f aca="false">Sens!F11199*(al_ind+Sens!F11314+sbc_r)</f>
        <v>9.06004510797221</v>
      </c>
      <c r="G11317" s="6" t="n">
        <f aca="false">Sens!G11199*(al_ind+Sens!G11314+sbc_r)</f>
        <v>9.83484049665315</v>
      </c>
      <c r="H11317" s="6" t="n">
        <f aca="false">Sens!H11199*(al_ind+Sens!H11314+sbc_r)</f>
        <v>10.6541552265999</v>
      </c>
      <c r="I11317" s="6" t="n">
        <f aca="false">Sens!I11199*(al_ind+Sens!I11314+sbc_r)</f>
        <v>11.5148046611148</v>
      </c>
      <c r="J11317" s="6" t="n">
        <f aca="false">Sens!J11199*(al_ind+Sens!J11314+sbc_r)</f>
        <v>12.4068553815237</v>
      </c>
      <c r="K11317" s="6" t="n">
        <f aca="false">Sens!K11199*(al_ind+Sens!K11314+sbc_r)</f>
        <v>13.3149563726447</v>
      </c>
    </row>
    <row r="11318" customFormat="false" ht="17.15" hidden="false" customHeight="false" outlineLevel="0" collapsed="false">
      <c r="A11318" s="0" t="s">
        <v>1239</v>
      </c>
      <c r="B11318" s="0" t="s">
        <v>98</v>
      </c>
      <c r="F11318" s="6" t="n">
        <f aca="false">Sens!F11201*(al_fro+Sens!F11314+sbc_r)</f>
        <v>3.55388361956696</v>
      </c>
      <c r="G11318" s="6" t="n">
        <f aca="false">Sens!G11201*(al_fro+Sens!G11314+sbc_r)</f>
        <v>3.76309821324937</v>
      </c>
      <c r="H11318" s="6" t="n">
        <f aca="false">Sens!H11201*(al_fro+Sens!H11314+sbc_r)</f>
        <v>4.00113533016108</v>
      </c>
      <c r="I11318" s="6" t="n">
        <f aca="false">Sens!I11201*(al_fro+Sens!I11314+sbc_r)</f>
        <v>4.27070260491857</v>
      </c>
      <c r="J11318" s="6" t="n">
        <f aca="false">Sens!J11201*(al_fro+Sens!J11314+sbc_r)</f>
        <v>4.57285715124733</v>
      </c>
      <c r="K11318" s="6" t="n">
        <f aca="false">Sens!K11201*(al_fro+Sens!K11314+sbc_r)</f>
        <v>4.90756050544992</v>
      </c>
    </row>
    <row r="11319" customFormat="false" ht="17.15" hidden="false" customHeight="false" outlineLevel="0" collapsed="false">
      <c r="A11319" s="0" t="s">
        <v>1240</v>
      </c>
      <c r="B11319" s="0" t="s">
        <v>98</v>
      </c>
      <c r="F11319" s="6" t="n">
        <f aca="false">Sens!F11204*(al_srch+Sens!F11314+sbc_r)</f>
        <v>11.2269824399217</v>
      </c>
      <c r="G11319" s="6" t="n">
        <f aca="false">Sens!G11204*(al_srch+Sens!G11314+sbc_r)</f>
        <v>12.4135681694687</v>
      </c>
      <c r="H11319" s="6" t="n">
        <f aca="false">Sens!H11204*(al_srch+Sens!H11314+sbc_r)</f>
        <v>13.7288915987973</v>
      </c>
      <c r="I11319" s="6" t="n">
        <f aca="false">Sens!I11204*(al_srch+Sens!I11314+sbc_r)</f>
        <v>15.1830487531194</v>
      </c>
      <c r="J11319" s="6" t="n">
        <f aca="false">Sens!J11204*(al_srch+Sens!J11314+sbc_r)</f>
        <v>16.7786612345515</v>
      </c>
      <c r="K11319" s="6" t="n">
        <f aca="false">Sens!K11204*(al_srch+Sens!K11314+sbc_r)</f>
        <v>18.5116120822655</v>
      </c>
    </row>
    <row r="11320" customFormat="false" ht="17.15" hidden="false" customHeight="false" outlineLevel="0" collapsed="false">
      <c r="A11320" s="0" t="s">
        <v>1241</v>
      </c>
      <c r="B11320" s="0" t="s">
        <v>98</v>
      </c>
      <c r="F11320" s="6" t="n">
        <f aca="false">Sens!F11172-Sens!F11173+Sens!F11254</f>
        <v>42.5431090240393</v>
      </c>
      <c r="G11320" s="6" t="n">
        <f aca="false">Sens!G11172-Sens!G11173+Sens!G11254</f>
        <v>81.4922561130847</v>
      </c>
      <c r="H11320" s="6" t="n">
        <f aca="false">Sens!H11172-Sens!H11173+Sens!H11254</f>
        <v>123.278266211349</v>
      </c>
      <c r="I11320" s="6" t="n">
        <f aca="false">Sens!I11172-Sens!I11173+Sens!I11254</f>
        <v>160.60594185192</v>
      </c>
      <c r="J11320" s="6" t="n">
        <f aca="false">Sens!J11172-Sens!J11173+Sens!J11254</f>
        <v>186.818741832633</v>
      </c>
      <c r="K11320" s="6" t="n">
        <f aca="false">Sens!K11172-Sens!K11173+Sens!K11254</f>
        <v>202.776422159652</v>
      </c>
    </row>
    <row r="11321" customFormat="false" ht="17.15" hidden="false" customHeight="false" outlineLevel="0" collapsed="false">
      <c r="A11321" s="0" t="s">
        <v>1242</v>
      </c>
      <c r="B11321" s="0" t="s">
        <v>98</v>
      </c>
      <c r="F11321" s="6" t="n">
        <f aca="false">Sens!F11233+Sens!F11254+Sens!F11184+Sens!F11314*(Sens!F11203-Sens!F11166)+sbc_r*Sens!F11203</f>
        <v>238.086073740181</v>
      </c>
      <c r="G11321" s="6" t="n">
        <f aca="false">Sens!G11233+Sens!G11254+Sens!G11184+Sens!G11314*(Sens!G11203-Sens!G11166)+sbc_r*Sens!G11203</f>
        <v>299.890709379799</v>
      </c>
      <c r="H11321" s="6" t="n">
        <f aca="false">Sens!H11233+Sens!H11254+Sens!H11184+Sens!H11314*(Sens!H11203-Sens!H11166)+sbc_r*Sens!H11203</f>
        <v>369.41901172961</v>
      </c>
      <c r="I11321" s="6" t="n">
        <f aca="false">Sens!I11233+Sens!I11254+Sens!I11184+Sens!I11314*(Sens!I11203-Sens!I11166)+sbc_r*Sens!I11203</f>
        <v>433.096046992668</v>
      </c>
      <c r="J11321" s="6" t="n">
        <f aca="false">Sens!J11233+Sens!J11254+Sens!J11184+Sens!J11314*(Sens!J11203-Sens!J11166)+sbc_r*Sens!J11203</f>
        <v>483.187648827369</v>
      </c>
      <c r="K11321" s="6" t="n">
        <f aca="false">Sens!K11233+Sens!K11254+Sens!K11184+Sens!K11314*(Sens!K11203-Sens!K11166)+sbc_r*Sens!K11203</f>
        <v>520.615869891631</v>
      </c>
    </row>
    <row r="11322" customFormat="false" ht="17.15" hidden="false" customHeight="false" outlineLevel="0" collapsed="false">
      <c r="A11322" s="0" t="s">
        <v>1243</v>
      </c>
      <c r="B11322" s="0" t="s">
        <v>98</v>
      </c>
      <c r="F11322" s="6" t="n">
        <f aca="false">Sens!F11321-Sens!F11315-Sens!F11316-Sens!F11317-Sens!F11318-Sens!F11320</f>
        <v>66.3533242630492</v>
      </c>
      <c r="G11322" s="6" t="n">
        <f aca="false">Sens!G11321-Sens!G11315-Sens!G11316-Sens!G11317-Sens!G11318-Sens!G11320</f>
        <v>74.5425393070404</v>
      </c>
      <c r="H11322" s="6" t="n">
        <f aca="false">Sens!H11321-Sens!H11315-Sens!H11316-Sens!H11317-Sens!H11318-Sens!H11320</f>
        <v>87.4705197711465</v>
      </c>
      <c r="I11322" s="6" t="n">
        <f aca="false">Sens!I11321-Sens!I11315-Sens!I11316-Sens!I11317-Sens!I11318-Sens!I11320</f>
        <v>100.057744839875</v>
      </c>
      <c r="J11322" s="6" t="n">
        <f aca="false">Sens!J11321-Sens!J11315-Sens!J11316-Sens!J11317-Sens!J11318-Sens!J11320</f>
        <v>111.450072391707</v>
      </c>
      <c r="K11322" s="6" t="n">
        <f aca="false">Sens!K11321-Sens!K11315-Sens!K11316-Sens!K11317-Sens!K11318-Sens!K11320</f>
        <v>120.939386298516</v>
      </c>
    </row>
    <row r="11323" customFormat="false" ht="17.15" hidden="false" customHeight="false" outlineLevel="0" collapsed="false">
      <c r="A11323" s="0" t="s">
        <v>1244</v>
      </c>
      <c r="B11323" s="0" t="s">
        <v>98</v>
      </c>
      <c r="F11323" s="6" t="n">
        <f aca="false">Sens!F11235+Sens!F11314*Sens!F11210+sbc_r*Sens!F11210</f>
        <v>26.6705581749454</v>
      </c>
      <c r="G11323" s="6" t="n">
        <f aca="false">Sens!G11235+Sens!G11314*Sens!G11210+sbc_r*Sens!G11210</f>
        <v>26.6204859879067</v>
      </c>
      <c r="H11323" s="6" t="n">
        <f aca="false">Sens!H11235+Sens!H11314*Sens!H11210+sbc_r*Sens!H11210</f>
        <v>27.6890463261944</v>
      </c>
      <c r="I11323" s="6" t="n">
        <f aca="false">Sens!I11235+Sens!I11314*Sens!I11210+sbc_r*Sens!I11210</f>
        <v>29.0963625064216</v>
      </c>
      <c r="J11323" s="6" t="n">
        <f aca="false">Sens!J11235+Sens!J11314*Sens!J11210+sbc_r*Sens!J11210</f>
        <v>30.8295002520759</v>
      </c>
      <c r="K11323" s="6" t="n">
        <f aca="false">Sens!K11235+Sens!K11314*Sens!K11210+sbc_r*Sens!K11210</f>
        <v>32.8744742764464</v>
      </c>
    </row>
    <row r="11324" customFormat="false" ht="17.15" hidden="false" customHeight="false" outlineLevel="0" collapsed="false">
      <c r="A11324" s="0" t="s">
        <v>1245</v>
      </c>
      <c r="B11324" s="0" t="s">
        <v>98</v>
      </c>
      <c r="F11324" s="6" t="n">
        <f aca="false">(Sens!F11323-Sens!F11319)*Sens!F11206/(Sens!F11206+Sens!F11208)</f>
        <v>8.72230792908817</v>
      </c>
      <c r="G11324" s="6" t="n">
        <f aca="false">(Sens!G11323-Sens!G11319)*Sens!G11206/(Sens!G11206+Sens!G11208)</f>
        <v>7.88596105570777</v>
      </c>
      <c r="H11324" s="6" t="n">
        <f aca="false">(Sens!H11323-Sens!H11319)*Sens!H11206/(Sens!H11206+Sens!H11208)</f>
        <v>7.64804168675751</v>
      </c>
      <c r="I11324" s="6" t="n">
        <f aca="false">(Sens!I11323-Sens!I11319)*Sens!I11206/(Sens!I11206+Sens!I11208)</f>
        <v>7.5558483640992</v>
      </c>
      <c r="J11324" s="6" t="n">
        <f aca="false">(Sens!J11323-Sens!J11319)*Sens!J11206/(Sens!J11206+Sens!J11208)</f>
        <v>7.59724200902217</v>
      </c>
      <c r="K11324" s="6" t="n">
        <f aca="false">(Sens!K11323-Sens!K11319)*Sens!K11206/(Sens!K11206+Sens!K11208)</f>
        <v>7.76595190474634</v>
      </c>
    </row>
    <row r="11325" customFormat="false" ht="17.15" hidden="false" customHeight="false" outlineLevel="0" collapsed="false">
      <c r="A11325" s="0" t="s">
        <v>1246</v>
      </c>
      <c r="B11325" s="0" t="s">
        <v>98</v>
      </c>
      <c r="F11325" s="6" t="n">
        <f aca="false">Sens!F11323-Sens!F11319-Sens!F11324</f>
        <v>6.72126780593556</v>
      </c>
      <c r="G11325" s="6" t="n">
        <f aca="false">Sens!G11323-Sens!G11319-Sens!G11324</f>
        <v>6.32095676273016</v>
      </c>
      <c r="H11325" s="6" t="n">
        <f aca="false">Sens!H11323-Sens!H11319-Sens!H11324</f>
        <v>6.31211304063965</v>
      </c>
      <c r="I11325" s="6" t="n">
        <f aca="false">Sens!I11323-Sens!I11319-Sens!I11324</f>
        <v>6.35746538920296</v>
      </c>
      <c r="J11325" s="6" t="n">
        <f aca="false">Sens!J11323-Sens!J11319-Sens!J11324</f>
        <v>6.45359700850215</v>
      </c>
      <c r="K11325" s="6" t="n">
        <f aca="false">Sens!K11323-Sens!K11319-Sens!K11324</f>
        <v>6.59691028943453</v>
      </c>
    </row>
    <row r="11326" customFormat="false" ht="17.15" hidden="false" customHeight="false" outlineLevel="0" collapsed="false">
      <c r="A11326" s="0" t="s">
        <v>1247</v>
      </c>
      <c r="B11326" s="0" t="s">
        <v>98</v>
      </c>
      <c r="F11326" s="6" t="n">
        <f aca="false">Sens!F11320-tax_f*(Sens!F11320-Sens!F11184)-Sens!F11181</f>
        <v>-127.503553927218</v>
      </c>
      <c r="G11326" s="6" t="n">
        <f aca="false">Sens!G11320-tax_f*(Sens!G11320-Sens!G11184)-Sens!G11181</f>
        <v>-114.603772628121</v>
      </c>
      <c r="H11326" s="6" t="n">
        <f aca="false">Sens!H11320-tax_f*(Sens!H11320-Sens!H11184)-Sens!H11181</f>
        <v>-80.3633729631438</v>
      </c>
      <c r="I11326" s="6" t="n">
        <f aca="false">Sens!I11320-tax_f*(Sens!I11320-Sens!I11184)-Sens!I11181</f>
        <v>-17.2838782011649</v>
      </c>
      <c r="J11326" s="6" t="n">
        <f aca="false">Sens!J11320-tax_f*(Sens!J11320-Sens!J11184)-Sens!J11181</f>
        <v>46.9281968800854</v>
      </c>
      <c r="K11326" s="6" t="n">
        <f aca="false">Sens!K11320-tax_f*(Sens!K11320-Sens!K11184)-Sens!K11181</f>
        <v>71.8608185731755</v>
      </c>
    </row>
    <row r="11327" customFormat="false" ht="17.15" hidden="false" customHeight="false" outlineLevel="0" collapsed="false">
      <c r="A11327" s="0" t="s">
        <v>1248</v>
      </c>
      <c r="B11327" s="0" t="s">
        <v>98</v>
      </c>
      <c r="G11327" s="6" t="n">
        <f aca="false">Sens!G11326/(1+wacc)^(Sens!G11297-Sens!F11298)</f>
        <v>-109.124845494465</v>
      </c>
      <c r="H11327" s="6" t="n">
        <f aca="false">Sens!H11326/(1+wacc)^(Sens!H11297-Sens!F11298)</f>
        <v>-69.3796874071025</v>
      </c>
      <c r="I11327" s="6" t="n">
        <f aca="false">Sens!I11326/(1+wacc)^(Sens!I11297-Sens!F11298)</f>
        <v>-13.5289731380471</v>
      </c>
      <c r="J11327" s="6" t="n">
        <f aca="false">Sens!J11326/(1+wacc)^(Sens!J11297-Sens!F11298)</f>
        <v>33.3048099587126</v>
      </c>
      <c r="K11327" s="6" t="n">
        <f aca="false">Sens!K11326/(1+wacc)^(Sens!K11297-Sens!F11298)</f>
        <v>46.2396679904913</v>
      </c>
      <c r="L11327" s="1" t="s">
        <v>1249</v>
      </c>
    </row>
    <row r="11328" customFormat="false" ht="17.15" hidden="false" customHeight="false" outlineLevel="0" collapsed="false">
      <c r="A11328" s="0" t="s">
        <v>1250</v>
      </c>
      <c r="B11328" s="0" t="s">
        <v>98</v>
      </c>
      <c r="C11328" s="6" t="n">
        <f aca="false">(Sens!K11320-Sens!K11184)*(1-tax_f)*(1+g_tv)*(1-g_tv/(wacc+ronic_prem))/(wacc-g_tv)/(1+wacc)^(Sens!K11298-Sens!F11298)</f>
        <v>293.118051086843</v>
      </c>
    </row>
    <row r="11329" customFormat="false" ht="17.15" hidden="false" customHeight="false" outlineLevel="0" collapsed="false">
      <c r="A11329" s="1" t="s">
        <v>1251</v>
      </c>
      <c r="B11329" s="0" t="s">
        <v>98</v>
      </c>
      <c r="C11329" s="6" t="n">
        <f aca="false">(SUM(Sens!G11327:K11327)+Sens!$C$11328)*(1+wacc)^(t_roll-Sens!F11298)</f>
        <v>186.592133308255</v>
      </c>
      <c r="L11329" s="12" t="s">
        <v>1252</v>
      </c>
    </row>
    <row r="11330" customFormat="false" ht="17.15" hidden="false" customHeight="false" outlineLevel="0" collapsed="false">
      <c r="A11330" s="1" t="s">
        <v>1253</v>
      </c>
      <c r="B11330" s="0" t="s">
        <v>98</v>
      </c>
      <c r="C11330" s="6" t="n">
        <f aca="false">(w_ntm28*Sens!G11172+(1-w_ntm28)*Sens!H11172)*m_ai</f>
        <v>463.789109510335</v>
      </c>
    </row>
    <row r="11331" customFormat="false" ht="17.15" hidden="false" customHeight="false" outlineLevel="0" collapsed="false">
      <c r="A11331" s="1" t="s">
        <v>1254</v>
      </c>
      <c r="B11331" s="0" t="s">
        <v>98</v>
      </c>
      <c r="C11331" s="6" t="n">
        <f aca="false">(w_ntm28*Sens!G11322+(1-w_ntm28)*Sens!H11322)*m_cloud</f>
        <v>1088.91696939227</v>
      </c>
    </row>
    <row r="11332" customFormat="false" ht="17.15" hidden="false" customHeight="false" outlineLevel="0" collapsed="false">
      <c r="A11332" s="1" t="s">
        <v>1255</v>
      </c>
      <c r="B11332" s="0" t="s">
        <v>98</v>
      </c>
      <c r="C11332" s="6" t="n">
        <f aca="false">(w_ntm28*Sens!G11315+(1-w_ntm28)*Sens!H11315)*m_sw</f>
        <v>1082.73545282179</v>
      </c>
    </row>
    <row r="11333" customFormat="false" ht="17.15" hidden="false" customHeight="false" outlineLevel="0" collapsed="false">
      <c r="A11333" s="1" t="s">
        <v>1256</v>
      </c>
      <c r="B11333" s="0" t="s">
        <v>98</v>
      </c>
      <c r="C11333" s="6" t="n">
        <f aca="false">(w_ntm28*Sens!G11316+(1-w_ntm28)*Sens!H11316)*m_sw</f>
        <v>372.89731024011</v>
      </c>
    </row>
    <row r="11334" customFormat="false" ht="17.15" hidden="false" customHeight="false" outlineLevel="0" collapsed="false">
      <c r="A11334" s="1" t="s">
        <v>1257</v>
      </c>
      <c r="B11334" s="0" t="s">
        <v>98</v>
      </c>
      <c r="C11334" s="6" t="n">
        <f aca="false">(w_ntm28*Sens!G11317+(1-w_ntm28)*Sens!H11317)*m_sw</f>
        <v>109.125405829638</v>
      </c>
    </row>
    <row r="11335" customFormat="false" ht="17.15" hidden="false" customHeight="false" outlineLevel="0" collapsed="false">
      <c r="A11335" s="1" t="s">
        <v>1258</v>
      </c>
      <c r="B11335" s="0" t="s">
        <v>98</v>
      </c>
      <c r="C11335" s="6" t="n">
        <f aca="false">(w_ntm28*Sens!G11318+(1-w_ntm28)*Sens!H11318)*m_sw</f>
        <v>41.4866555072509</v>
      </c>
    </row>
    <row r="11336" customFormat="false" ht="17.15" hidden="false" customHeight="false" outlineLevel="0" collapsed="false">
      <c r="A11336" s="1" t="s">
        <v>1259</v>
      </c>
      <c r="B11336" s="0" t="s">
        <v>98</v>
      </c>
      <c r="C11336" s="6" t="n">
        <f aca="false">(w_ntm28*Sens!G11319+(1-w_ntm28)*Sens!H11319)*m_ads</f>
        <v>117.027089785345</v>
      </c>
    </row>
    <row r="11337" customFormat="false" ht="17.15" hidden="false" customHeight="false" outlineLevel="0" collapsed="false">
      <c r="A11337" s="1" t="s">
        <v>1260</v>
      </c>
      <c r="B11337" s="0" t="s">
        <v>98</v>
      </c>
      <c r="C11337" s="6" t="n">
        <f aca="false">(w_ntm28*Sens!G11324+(1-w_ntm28)*Sens!H11324)*m_game</f>
        <v>98.6117686936411</v>
      </c>
    </row>
    <row r="11338" customFormat="false" ht="17.15" hidden="false" customHeight="false" outlineLevel="0" collapsed="false">
      <c r="A11338" s="1" t="s">
        <v>1261</v>
      </c>
      <c r="B11338" s="0" t="s">
        <v>98</v>
      </c>
      <c r="C11338" s="6" t="n">
        <f aca="false">(w_ntm28*Sens!G11325+(1-w_ntm28)*Sens!H11325)*m_pc</f>
        <v>91.4221724689302</v>
      </c>
    </row>
    <row r="11339" customFormat="false" ht="17.15" hidden="false" customHeight="false" outlineLevel="0" collapsed="false">
      <c r="A11339" s="1" t="s">
        <v>1262</v>
      </c>
      <c r="B11339" s="0" t="s">
        <v>98</v>
      </c>
      <c r="C11339" s="6" t="n">
        <f aca="false">Sens!$C$11329+Sens!$C$11331+Sens!$C$11332+Sens!$C$11333+Sens!$C$11334+Sens!$C$11335+Sens!$C$11336+Sens!$C$11337+Sens!$C$11338</f>
        <v>3188.81495804723</v>
      </c>
    </row>
    <row r="11340" customFormat="false" ht="17.15" hidden="false" customHeight="false" outlineLevel="0" collapsed="false">
      <c r="A11340" s="1" t="s">
        <v>1263</v>
      </c>
      <c r="B11340" s="0" t="s">
        <v>98</v>
      </c>
      <c r="C11340" s="6" t="n">
        <f aca="false">(Sens!G11301-Sens!G11326)*t_stub</f>
        <v>47.8946916126551</v>
      </c>
      <c r="L11340" s="1" t="s">
        <v>1264</v>
      </c>
    </row>
    <row r="11341" customFormat="false" ht="17.15" hidden="false" customHeight="false" outlineLevel="0" collapsed="false">
      <c r="A11341" s="1" t="s">
        <v>1173</v>
      </c>
      <c r="B11341" s="0" t="s">
        <v>98</v>
      </c>
      <c r="C11341" s="6" t="n">
        <f aca="false">Sens!F11288+oai_v-Sens!F11277+Sens!$C$11340</f>
        <v>162.122961612655</v>
      </c>
      <c r="L11341" s="1" t="s">
        <v>1265</v>
      </c>
    </row>
    <row r="11342" customFormat="false" ht="17.15" hidden="false" customHeight="false" outlineLevel="0" collapsed="false">
      <c r="A11342" s="1" t="s">
        <v>1266</v>
      </c>
      <c r="B11342" s="0" t="s">
        <v>75</v>
      </c>
      <c r="C11342" s="5" t="n">
        <f aca="false">(Sens!$C$11339+Sens!$C$11341)/(Sens!F11290+dil_gap)-Sens!G11280*roll_div_q/q_per_yr</f>
        <v>446.021977167145</v>
      </c>
      <c r="L11342" s="1" t="s">
        <v>1267</v>
      </c>
    </row>
    <row r="11343" customFormat="false" ht="17.15" hidden="false" customHeight="false" outlineLevel="0" collapsed="false">
      <c r="A11343" s="1" t="s">
        <v>1268</v>
      </c>
      <c r="B11343" s="0" t="s">
        <v>75</v>
      </c>
      <c r="C11343" s="5" t="n">
        <f aca="false">w_dcf*Sens!$C$11313+(1-w_dcf)*Sens!$C$11342</f>
        <v>386.666143501711</v>
      </c>
    </row>
    <row r="11344" customFormat="false" ht="17.15" hidden="false" customHeight="false" outlineLevel="0" collapsed="false">
      <c r="A11344" s="3" t="s">
        <v>1895</v>
      </c>
    </row>
    <row r="11345" customFormat="false" ht="15" hidden="false" customHeight="false" outlineLevel="0" collapsed="false">
      <c r="A11345" s="4" t="s">
        <v>43</v>
      </c>
      <c r="B11345" s="4" t="s">
        <v>65</v>
      </c>
      <c r="C11345" s="23" t="s">
        <v>942</v>
      </c>
      <c r="D11345" s="23" t="s">
        <v>943</v>
      </c>
      <c r="E11345" s="23" t="s">
        <v>944</v>
      </c>
      <c r="F11345" s="23" t="s">
        <v>945</v>
      </c>
      <c r="G11345" s="23" t="s">
        <v>946</v>
      </c>
      <c r="H11345" s="23" t="s">
        <v>947</v>
      </c>
      <c r="I11345" s="23" t="s">
        <v>948</v>
      </c>
      <c r="J11345" s="23" t="s">
        <v>949</v>
      </c>
      <c r="K11345" s="23" t="s">
        <v>950</v>
      </c>
      <c r="L11345" s="4" t="s">
        <v>47</v>
      </c>
    </row>
    <row r="11346" customFormat="false" ht="17.15" hidden="false" customHeight="false" outlineLevel="0" collapsed="false">
      <c r="A11346" s="1" t="s">
        <v>951</v>
      </c>
      <c r="B11346" s="1" t="s">
        <v>279</v>
      </c>
      <c r="C11346" s="21" t="n">
        <v>2024</v>
      </c>
      <c r="D11346" s="21" t="n">
        <v>2025</v>
      </c>
      <c r="E11346" s="21" t="n">
        <v>2026</v>
      </c>
      <c r="F11346" s="21" t="n">
        <v>2027</v>
      </c>
      <c r="G11346" s="21" t="n">
        <v>2028</v>
      </c>
      <c r="H11346" s="21" t="n">
        <v>2029</v>
      </c>
      <c r="I11346" s="21" t="n">
        <v>2030</v>
      </c>
      <c r="J11346" s="21" t="n">
        <v>2031</v>
      </c>
      <c r="K11346" s="21" t="n">
        <v>2032</v>
      </c>
    </row>
    <row r="11347" customFormat="false" ht="17.15" hidden="false" customHeight="false" outlineLevel="0" collapsed="false">
      <c r="A11347" s="1" t="s">
        <v>952</v>
      </c>
      <c r="B11347" s="0" t="s">
        <v>459</v>
      </c>
      <c r="F11347" s="30" t="n">
        <f aca="false">pace</f>
        <v>2726.5351</v>
      </c>
      <c r="G11347" s="30" t="n">
        <f aca="false">pace</f>
        <v>2726.5351</v>
      </c>
      <c r="H11347" s="30" t="n">
        <f aca="false">pace</f>
        <v>2726.5351</v>
      </c>
      <c r="I11347" s="30" t="n">
        <f aca="false">pace+(g_tv*Sens!H11348-pace)*MIN(1,(Sens!I11346-pace_y0)/(pace_y1-pace_y0))</f>
        <v>1931.98611966667</v>
      </c>
      <c r="J11347" s="30" t="n">
        <f aca="false">pace+(g_tv*Sens!I11348-pace)*MIN(1,(Sens!J11346-pace_y0)/(pace_y1-pace_y0))</f>
        <v>1176.07686172667</v>
      </c>
      <c r="K11347" s="30" t="n">
        <f aca="false">pace+(g_tv*Sens!J11348-pace)*MIN(1,(Sens!K11346-pace_y0)/(pace_y1-pace_y0))</f>
        <v>436.1300484418</v>
      </c>
      <c r="L11347" s="12" t="s">
        <v>953</v>
      </c>
    </row>
    <row r="11348" customFormat="false" ht="17.15" hidden="false" customHeight="false" outlineLevel="0" collapsed="false">
      <c r="A11348" s="1" t="s">
        <v>954</v>
      </c>
      <c r="B11348" s="0" t="s">
        <v>459</v>
      </c>
      <c r="C11348" s="30" t="n">
        <f aca="false">mw_ext_24</f>
        <v>640</v>
      </c>
      <c r="D11348" s="30" t="n">
        <f aca="false">mw_ext_25</f>
        <v>1630</v>
      </c>
      <c r="E11348" s="30" t="n">
        <f aca="false">mw_ext_26</f>
        <v>3250</v>
      </c>
      <c r="F11348" s="30" t="n">
        <f aca="false">Sens!E11348+Sens!F11347</f>
        <v>5976.5351</v>
      </c>
      <c r="G11348" s="30" t="n">
        <f aca="false">Sens!F11348+Sens!G11347</f>
        <v>8703.0702</v>
      </c>
      <c r="H11348" s="30" t="n">
        <f aca="false">Sens!G11348+Sens!H11347</f>
        <v>11429.6053</v>
      </c>
      <c r="I11348" s="30" t="n">
        <f aca="false">Sens!H11348+Sens!I11347</f>
        <v>13361.5914196667</v>
      </c>
      <c r="J11348" s="30" t="n">
        <f aca="false">Sens!I11348+Sens!J11347</f>
        <v>14537.6682813933</v>
      </c>
      <c r="K11348" s="30" t="n">
        <f aca="false">Sens!J11348+Sens!K11347</f>
        <v>14973.7983298351</v>
      </c>
      <c r="L11348" s="1" t="s">
        <v>955</v>
      </c>
    </row>
    <row r="11349" customFormat="false" ht="17.15" hidden="false" customHeight="false" outlineLevel="0" collapsed="false">
      <c r="A11349" s="1" t="s">
        <v>956</v>
      </c>
      <c r="B11349" s="0" t="s">
        <v>459</v>
      </c>
      <c r="C11349" s="30" t="n">
        <f aca="false">rent_ext_24</f>
        <v>150</v>
      </c>
      <c r="D11349" s="30" t="n">
        <f aca="false">rent_ext_25</f>
        <v>400</v>
      </c>
      <c r="E11349" s="30" t="n">
        <f aca="false">rent_ext_26</f>
        <v>550</v>
      </c>
      <c r="F11349" s="30" t="n">
        <f aca="false">rent_ext_f</f>
        <v>756</v>
      </c>
      <c r="G11349" s="30" t="n">
        <f aca="false">rent_ext_f</f>
        <v>756</v>
      </c>
      <c r="H11349" s="30" t="n">
        <f aca="false">rent_ext_f</f>
        <v>756</v>
      </c>
      <c r="I11349" s="30" t="n">
        <f aca="false">rent_ext_f</f>
        <v>756</v>
      </c>
      <c r="J11349" s="30" t="n">
        <f aca="false">rent_ext_f</f>
        <v>756</v>
      </c>
      <c r="K11349" s="30" t="n">
        <f aca="false">rent_ext_f</f>
        <v>756</v>
      </c>
      <c r="L11349" s="1" t="s">
        <v>957</v>
      </c>
    </row>
    <row r="11350" customFormat="false" ht="17.15" hidden="false" customHeight="false" outlineLevel="0" collapsed="false">
      <c r="A11350" s="1" t="s">
        <v>958</v>
      </c>
      <c r="B11350" s="0" t="s">
        <v>459</v>
      </c>
      <c r="C11350" s="30" t="n">
        <f aca="false">Sens!C11348-Sens!C11349</f>
        <v>490</v>
      </c>
      <c r="D11350" s="30" t="n">
        <f aca="false">Sens!D11348-Sens!D11349</f>
        <v>1230</v>
      </c>
      <c r="E11350" s="30" t="n">
        <f aca="false">Sens!E11348-Sens!E11349</f>
        <v>2700</v>
      </c>
      <c r="F11350" s="30" t="n">
        <f aca="false">Sens!F11348-Sens!F11349</f>
        <v>5220.5351</v>
      </c>
      <c r="G11350" s="30" t="n">
        <f aca="false">Sens!G11348-Sens!G11349</f>
        <v>7947.0702</v>
      </c>
      <c r="H11350" s="30" t="n">
        <f aca="false">Sens!H11348-Sens!H11349</f>
        <v>10673.6053</v>
      </c>
      <c r="I11350" s="30" t="n">
        <f aca="false">Sens!I11348-Sens!I11349</f>
        <v>12605.5914196667</v>
      </c>
      <c r="J11350" s="30" t="n">
        <f aca="false">Sens!J11348-Sens!J11349</f>
        <v>13781.6682813933</v>
      </c>
      <c r="K11350" s="30" t="n">
        <f aca="false">Sens!K11348-Sens!K11349</f>
        <v>14217.7983298351</v>
      </c>
    </row>
    <row r="11351" customFormat="false" ht="17.15" hidden="false" customHeight="false" outlineLevel="0" collapsed="false">
      <c r="A11351" s="1" t="s">
        <v>959</v>
      </c>
      <c r="B11351" s="0" t="s">
        <v>459</v>
      </c>
      <c r="C11351" s="30" t="n">
        <f aca="false">Sens!C11350/ext_sh</f>
        <v>816.666666666667</v>
      </c>
      <c r="D11351" s="30" t="n">
        <f aca="false">Sens!D11350/ext_sh</f>
        <v>2050</v>
      </c>
      <c r="E11351" s="30" t="n">
        <f aca="false">Sens!E11350/ext_sh</f>
        <v>4500</v>
      </c>
      <c r="F11351" s="30" t="n">
        <f aca="false">Sens!F11350/ext_sh</f>
        <v>8700.89183333333</v>
      </c>
      <c r="G11351" s="30" t="n">
        <f aca="false">Sens!G11350/ext_sh</f>
        <v>13245.117</v>
      </c>
      <c r="H11351" s="30" t="n">
        <f aca="false">Sens!H11350/ext_sh</f>
        <v>17789.3421666667</v>
      </c>
      <c r="I11351" s="30" t="n">
        <f aca="false">Sens!I11350/ext_sh</f>
        <v>21009.3190327778</v>
      </c>
      <c r="J11351" s="30" t="n">
        <f aca="false">Sens!J11350/ext_sh</f>
        <v>22969.4471356556</v>
      </c>
      <c r="K11351" s="30" t="n">
        <f aca="false">Sens!K11350/ext_sh</f>
        <v>23696.3305497252</v>
      </c>
      <c r="L11351" s="1" t="s">
        <v>960</v>
      </c>
    </row>
    <row r="11352" customFormat="false" ht="17.15" hidden="false" customHeight="false" outlineLevel="0" collapsed="false">
      <c r="A11352" s="1" t="s">
        <v>961</v>
      </c>
      <c r="B11352" s="0" t="s">
        <v>459</v>
      </c>
      <c r="C11352" s="30" t="n">
        <f aca="false">Sens!C11351-Sens!C11350</f>
        <v>326.666666666667</v>
      </c>
      <c r="D11352" s="30" t="n">
        <f aca="false">Sens!D11351-Sens!D11350</f>
        <v>820</v>
      </c>
      <c r="E11352" s="30" t="n">
        <f aca="false">Sens!E11351-Sens!E11350</f>
        <v>1800</v>
      </c>
      <c r="F11352" s="30" t="n">
        <f aca="false">Sens!F11351-Sens!F11350</f>
        <v>3480.35673333333</v>
      </c>
      <c r="G11352" s="30" t="n">
        <f aca="false">Sens!G11351-Sens!G11350</f>
        <v>5298.0468</v>
      </c>
      <c r="H11352" s="30" t="n">
        <f aca="false">Sens!H11351-Sens!H11350</f>
        <v>7115.73686666667</v>
      </c>
      <c r="I11352" s="30" t="n">
        <f aca="false">Sens!I11351-Sens!I11350</f>
        <v>8403.72761311111</v>
      </c>
      <c r="J11352" s="30" t="n">
        <f aca="false">Sens!J11351-Sens!J11350</f>
        <v>9187.77885426222</v>
      </c>
      <c r="K11352" s="30" t="n">
        <f aca="false">Sens!K11351-Sens!K11350</f>
        <v>9478.53221989009</v>
      </c>
    </row>
    <row r="11353" customFormat="false" ht="17.15" hidden="false" customHeight="false" outlineLevel="0" collapsed="false">
      <c r="A11353" s="1" t="s">
        <v>962</v>
      </c>
      <c r="B11353" s="0" t="s">
        <v>459</v>
      </c>
      <c r="C11353" s="30" t="n">
        <f aca="false">Sens!C11351</f>
        <v>816.666666666667</v>
      </c>
      <c r="D11353" s="30" t="n">
        <f aca="false">Sens!D11351-Sens!C11351</f>
        <v>1233.33333333333</v>
      </c>
      <c r="E11353" s="30" t="n">
        <f aca="false">Sens!E11351-Sens!D11351</f>
        <v>2450</v>
      </c>
      <c r="F11353" s="30" t="n">
        <f aca="false">Sens!F11351-Sens!E11351</f>
        <v>4200.89183333333</v>
      </c>
      <c r="G11353" s="30" t="n">
        <f aca="false">Sens!G11351-Sens!F11351</f>
        <v>4544.22516666667</v>
      </c>
      <c r="H11353" s="30" t="n">
        <f aca="false">Sens!H11351-Sens!G11351</f>
        <v>4544.22516666667</v>
      </c>
      <c r="I11353" s="30" t="n">
        <f aca="false">Sens!I11351-Sens!H11351</f>
        <v>3219.97686611111</v>
      </c>
      <c r="J11353" s="30" t="n">
        <f aca="false">Sens!J11351-Sens!I11351</f>
        <v>1960.12810287778</v>
      </c>
      <c r="K11353" s="30" t="n">
        <f aca="false">Sens!K11351-Sens!J11351</f>
        <v>726.883414069667</v>
      </c>
    </row>
    <row r="11354" customFormat="false" ht="17.15" hidden="false" customHeight="false" outlineLevel="0" collapsed="false">
      <c r="A11354" s="1" t="s">
        <v>963</v>
      </c>
      <c r="B11354" s="0" t="s">
        <v>459</v>
      </c>
      <c r="D11354" s="30" t="n">
        <f aca="false">Sens!D11348-Sens!C11348</f>
        <v>990</v>
      </c>
      <c r="E11354" s="30" t="n">
        <f aca="false">Sens!E11348-Sens!D11348</f>
        <v>1620</v>
      </c>
      <c r="F11354" s="30" t="n">
        <f aca="false">Sens!F11348-Sens!E11348</f>
        <v>2726.5351</v>
      </c>
      <c r="G11354" s="30" t="n">
        <f aca="false">Sens!G11348-Sens!F11348</f>
        <v>2726.5351</v>
      </c>
      <c r="H11354" s="30" t="n">
        <f aca="false">Sens!H11348-Sens!G11348</f>
        <v>2726.5351</v>
      </c>
      <c r="I11354" s="30" t="n">
        <f aca="false">Sens!I11348-Sens!H11348</f>
        <v>1931.98611966667</v>
      </c>
      <c r="J11354" s="30" t="n">
        <f aca="false">Sens!J11348-Sens!I11348</f>
        <v>1176.07686172667</v>
      </c>
      <c r="K11354" s="30" t="n">
        <f aca="false">Sens!K11348-Sens!J11348</f>
        <v>436.130048441799</v>
      </c>
    </row>
    <row r="11355" customFormat="false" ht="17.15" hidden="false" customHeight="false" outlineLevel="0" collapsed="false">
      <c r="A11355" s="1" t="s">
        <v>964</v>
      </c>
      <c r="B11355" s="0" t="s">
        <v>459</v>
      </c>
      <c r="F11355" s="30" t="n">
        <f aca="false">Sens!F11374*ext_sh</f>
        <v>0</v>
      </c>
      <c r="G11355" s="30" t="n">
        <f aca="false">Sens!G11374*ext_sh</f>
        <v>0</v>
      </c>
      <c r="H11355" s="30" t="n">
        <f aca="false">Sens!H11374*ext_sh</f>
        <v>0</v>
      </c>
      <c r="I11355" s="30" t="n">
        <f aca="false">Sens!I11374*ext_sh</f>
        <v>490</v>
      </c>
      <c r="J11355" s="30" t="n">
        <f aca="false">Sens!J11374*ext_sh</f>
        <v>740</v>
      </c>
      <c r="K11355" s="30" t="n">
        <f aca="false">Sens!K11374*ext_sh</f>
        <v>1470</v>
      </c>
      <c r="L11355" s="1" t="s">
        <v>965</v>
      </c>
    </row>
    <row r="11356" customFormat="false" ht="17.15" hidden="false" customHeight="false" outlineLevel="0" collapsed="false">
      <c r="A11356" s="1" t="s">
        <v>966</v>
      </c>
      <c r="B11356" s="0" t="s">
        <v>459</v>
      </c>
      <c r="C11356" s="30" t="n">
        <f aca="false">mix_h*Sens!C11348</f>
        <v>128</v>
      </c>
      <c r="D11356" s="30" t="n">
        <f aca="false">mix_h*Sens!D11348</f>
        <v>326</v>
      </c>
      <c r="E11356" s="30" t="n">
        <f aca="false">mix_h*Sens!E11348</f>
        <v>650</v>
      </c>
      <c r="F11356" s="30" t="n">
        <f aca="false">Sens!E11356-Sens!F11355*mix_h</f>
        <v>650</v>
      </c>
      <c r="G11356" s="30" t="n">
        <f aca="false">Sens!F11356-Sens!G11355*mix_h</f>
        <v>650</v>
      </c>
      <c r="H11356" s="30" t="n">
        <f aca="false">Sens!G11356-Sens!H11355*mix_h</f>
        <v>650</v>
      </c>
      <c r="I11356" s="30" t="n">
        <f aca="false">Sens!H11356-Sens!I11355*mix_h</f>
        <v>552</v>
      </c>
      <c r="J11356" s="30" t="n">
        <f aca="false">Sens!I11356-Sens!J11355*mix_h</f>
        <v>404</v>
      </c>
      <c r="K11356" s="30" t="n">
        <f aca="false">Sens!J11356-Sens!K11355*mix_h</f>
        <v>110</v>
      </c>
    </row>
    <row r="11357" customFormat="false" ht="17.15" hidden="false" customHeight="false" outlineLevel="0" collapsed="false">
      <c r="A11357" s="1" t="s">
        <v>967</v>
      </c>
      <c r="B11357" s="0" t="s">
        <v>459</v>
      </c>
      <c r="C11357" s="30" t="n">
        <f aca="false">mix_g2*Sens!C11348</f>
        <v>288</v>
      </c>
      <c r="D11357" s="30" t="n">
        <f aca="false">mix_g2*Sens!D11348</f>
        <v>733.5</v>
      </c>
      <c r="E11357" s="30" t="n">
        <f aca="false">mix_g2*Sens!E11348</f>
        <v>1462.5</v>
      </c>
      <c r="F11357" s="30" t="n">
        <f aca="false">Sens!E11357-Sens!F11355*mix_g2</f>
        <v>1462.5</v>
      </c>
      <c r="G11357" s="30" t="n">
        <f aca="false">Sens!F11357-Sens!G11355*mix_g2</f>
        <v>1462.5</v>
      </c>
      <c r="H11357" s="30" t="n">
        <f aca="false">Sens!G11357-Sens!H11355*mix_g2</f>
        <v>1462.5</v>
      </c>
      <c r="I11357" s="30" t="n">
        <f aca="false">Sens!H11357-Sens!I11355*mix_g2</f>
        <v>1242</v>
      </c>
      <c r="J11357" s="30" t="n">
        <f aca="false">Sens!I11357-Sens!J11355*mix_g2</f>
        <v>909</v>
      </c>
      <c r="K11357" s="30" t="n">
        <f aca="false">Sens!J11357-Sens!K11355*mix_g2</f>
        <v>247.5</v>
      </c>
    </row>
    <row r="11358" customFormat="false" ht="17.15" hidden="false" customHeight="false" outlineLevel="0" collapsed="false">
      <c r="A11358" s="1" t="s">
        <v>968</v>
      </c>
      <c r="B11358" s="0" t="s">
        <v>459</v>
      </c>
      <c r="C11358" s="30" t="n">
        <f aca="false">mix_g3*Sens!C11348</f>
        <v>224</v>
      </c>
      <c r="D11358" s="30" t="n">
        <f aca="false">mix_g3*Sens!D11348</f>
        <v>570.5</v>
      </c>
      <c r="E11358" s="30" t="n">
        <f aca="false">mix_g3*Sens!E11348</f>
        <v>1137.5</v>
      </c>
      <c r="F11358" s="30" t="n">
        <f aca="false">Sens!E11358+(Sens!F11354+Sens!F11355)*(a_g3_27-nonnv*a_mai)-Sens!F11355*mix_g3</f>
        <v>2773.42106</v>
      </c>
      <c r="G11358" s="30" t="n">
        <f aca="false">Sens!F11358+(Sens!G11354+Sens!G11355)*(a_g3_28-nonnv*a_mai)-Sens!G11355*mix_g3</f>
        <v>3318.72808</v>
      </c>
      <c r="H11358" s="30" t="n">
        <f aca="false">Sens!G11358+(Sens!H11354+Sens!H11355)*(a_g3_29-nonnv*a_mai)-Sens!H11355*mix_g3</f>
        <v>3318.72808</v>
      </c>
      <c r="I11358" s="30" t="n">
        <f aca="false">Sens!H11358+(Sens!I11354+Sens!I11355)*(a_g3_29-nonnv*a_mai)-Sens!I11355*mix_g3</f>
        <v>3147.22808</v>
      </c>
      <c r="J11358" s="30" t="n">
        <f aca="false">Sens!I11358+(Sens!J11354+Sens!J11355)*(a_g3_29-nonnv*a_mai)-Sens!J11355*mix_g3</f>
        <v>2888.22808</v>
      </c>
      <c r="K11358" s="30" t="n">
        <f aca="false">Sens!J11358+(Sens!K11354+Sens!K11355)*(a_g3_29-nonnv*a_mai)-Sens!K11355*mix_g3</f>
        <v>2373.72808</v>
      </c>
    </row>
    <row r="11359" customFormat="false" ht="17.15" hidden="false" customHeight="false" outlineLevel="0" collapsed="false">
      <c r="A11359" s="1" t="s">
        <v>969</v>
      </c>
      <c r="B11359" s="0" t="s">
        <v>459</v>
      </c>
      <c r="C11359" s="30" t="n">
        <v>0</v>
      </c>
      <c r="D11359" s="30" t="n">
        <v>0</v>
      </c>
      <c r="E11359" s="30" t="n">
        <v>0</v>
      </c>
      <c r="F11359" s="30" t="n">
        <f aca="false">Sens!E11359+(Sens!F11354+Sens!F11355)*nonnv*a_mai</f>
        <v>272.65351</v>
      </c>
      <c r="G11359" s="30" t="n">
        <f aca="false">Sens!F11359+(Sens!G11354+Sens!G11355)*nonnv*a_mai</f>
        <v>545.30702</v>
      </c>
      <c r="H11359" s="30" t="n">
        <f aca="false">Sens!G11359+(Sens!H11354+Sens!H11355)*nonnv*a_mai</f>
        <v>817.96053</v>
      </c>
      <c r="I11359" s="30" t="n">
        <f aca="false">Sens!H11359+(Sens!I11354+Sens!I11355)*nonnv*a_mai</f>
        <v>1060.15914196667</v>
      </c>
      <c r="J11359" s="30" t="n">
        <f aca="false">Sens!I11359+(Sens!J11354+Sens!J11355)*nonnv*a_mai</f>
        <v>1251.76682813933</v>
      </c>
      <c r="K11359" s="30" t="n">
        <f aca="false">Sens!J11359+(Sens!K11354+Sens!K11355)*nonnv*a_mai</f>
        <v>1442.37983298351</v>
      </c>
      <c r="L11359" s="12" t="s">
        <v>970</v>
      </c>
    </row>
    <row r="11360" customFormat="false" ht="17.15" hidden="false" customHeight="false" outlineLevel="0" collapsed="false">
      <c r="A11360" s="1" t="s">
        <v>971</v>
      </c>
      <c r="B11360" s="0" t="s">
        <v>459</v>
      </c>
      <c r="C11360" s="30" t="n">
        <v>0</v>
      </c>
      <c r="D11360" s="30" t="n">
        <v>0</v>
      </c>
      <c r="E11360" s="30" t="n">
        <v>0</v>
      </c>
      <c r="F11360" s="30" t="n">
        <f aca="false">Sens!E11360+(Sens!F11354+Sens!F11355)*(1-a_g3_27)</f>
        <v>817.96053</v>
      </c>
      <c r="G11360" s="30" t="n">
        <f aca="false">Sens!F11360+(Sens!G11354+Sens!G11355)*(1-a_g3_28)</f>
        <v>2726.5351</v>
      </c>
      <c r="H11360" s="30" t="n">
        <f aca="false">Sens!G11360+(Sens!H11354+Sens!H11355)*(1-a_g3_29)</f>
        <v>5180.41669</v>
      </c>
      <c r="I11360" s="30" t="n">
        <f aca="false">Sens!H11360+(Sens!I11354+Sens!I11355)*(1-a_g3_29)</f>
        <v>7360.2041977</v>
      </c>
      <c r="J11360" s="30" t="n">
        <f aca="false">Sens!I11360+(Sens!J11354+Sens!J11355)*(1-a_g3_29)</f>
        <v>9084.673373254</v>
      </c>
      <c r="K11360" s="30" t="n">
        <f aca="false">Sens!J11360+(Sens!K11354+Sens!K11355)*(1-a_g3_29)</f>
        <v>10800.1904168516</v>
      </c>
    </row>
    <row r="11361" customFormat="false" ht="17.15" hidden="false" customHeight="false" outlineLevel="0" collapsed="false">
      <c r="A11361" s="1" t="s">
        <v>972</v>
      </c>
      <c r="B11361" s="0" t="s">
        <v>403</v>
      </c>
      <c r="C11361" s="15" t="n">
        <f aca="false">(Sens!C11356*tk_hold_h100+Sens!C11357*tk_hold_gb200+Sens!C11358*tk_hold_gb300+Sens!C11360*tk_hold_vr200+Sens!C11359*nv_hold_mai*tk_hold_vr200)/Sens!C11348</f>
        <v>9.7235358126469</v>
      </c>
      <c r="D11361" s="15" t="n">
        <f aca="false">(Sens!D11356*tk_hold_h100+Sens!D11357*tk_hold_gb200+Sens!D11358*tk_hold_gb300+Sens!D11360*tk_hold_vr200+Sens!D11359*nv_hold_mai*tk_hold_vr200)/Sens!D11348</f>
        <v>9.7235358126469</v>
      </c>
      <c r="E11361" s="15" t="n">
        <f aca="false">(Sens!E11356*tk_hold_h100+Sens!E11357*tk_hold_gb200+Sens!E11358*tk_hold_gb300+Sens!E11360*tk_hold_vr200+Sens!E11359*nv_hold_mai*tk_hold_vr200)/Sens!E11348</f>
        <v>9.7235358126469</v>
      </c>
      <c r="F11361" s="15" t="n">
        <f aca="false">(Sens!F11356*tk_hold_h100+Sens!F11357*tk_hold_gb200+Sens!F11358*tk_hold_gb300+Sens!F11360*tk_hold_vr200+Sens!F11359*nv_hold_mai*tk_hold_vr200)/Sens!F11348</f>
        <v>10.2195353876665</v>
      </c>
      <c r="G11361" s="15" t="n">
        <f aca="false">(Sens!G11356*tk_hold_h100+Sens!G11357*tk_hold_gb200+Sens!G11358*tk_hold_gb300+Sens!G11360*tk_hold_vr200+Sens!G11359*nv_hold_mai*tk_hold_vr200)/Sens!G11348</f>
        <v>10.5725598017306</v>
      </c>
      <c r="H11361" s="15" t="n">
        <f aca="false">(Sens!H11356*tk_hold_h100+Sens!H11357*tk_hold_gb200+Sens!H11358*tk_hold_gb300+Sens!H11360*tk_hold_vr200+Sens!H11359*nv_hold_mai*tk_hold_vr200)/Sens!H11348</f>
        <v>10.8210427149036</v>
      </c>
      <c r="I11361" s="15" t="n">
        <f aca="false">(Sens!I11356*tk_hold_h100+Sens!I11357*tk_hold_gb200+Sens!I11358*tk_hold_gb300+Sens!I11360*tk_hold_vr200+Sens!I11359*nv_hold_mai*tk_hold_vr200)/Sens!I11348</f>
        <v>11.0050618241982</v>
      </c>
      <c r="J11361" s="15" t="n">
        <f aca="false">(Sens!J11356*tk_hold_h100+Sens!J11357*tk_hold_gb200+Sens!J11358*tk_hold_gb300+Sens!J11360*tk_hold_vr200+Sens!J11359*nv_hold_mai*tk_hold_vr200)/Sens!J11348</f>
        <v>11.1505789658881</v>
      </c>
      <c r="K11361" s="15" t="n">
        <f aca="false">(Sens!K11356*tk_hold_h100+Sens!K11357*tk_hold_gb200+Sens!K11358*tk_hold_gb300+Sens!K11360*tk_hold_vr200+Sens!K11359*nv_hold_mai*tk_hold_vr200)/Sens!K11348</f>
        <v>11.3496914757183</v>
      </c>
      <c r="L11361" s="1" t="s">
        <v>973</v>
      </c>
    </row>
    <row r="11362" customFormat="false" ht="17.15" hidden="false" customHeight="false" outlineLevel="0" collapsed="false">
      <c r="A11362" s="1" t="s">
        <v>974</v>
      </c>
      <c r="B11362" s="0" t="s">
        <v>403</v>
      </c>
      <c r="C11362" s="15" t="n">
        <f aca="false">(Sens!C11356*tk_hold_h100+Sens!C11357*tk_hold_gb200+Sens!C11358*tk_hold_gb300+Sens!C11360*tk_hold_vr200+Sens!C11359*nv_out_mai*tk_hold_vr200)/Sens!C11348</f>
        <v>9.7235358126469</v>
      </c>
      <c r="D11362" s="15" t="n">
        <f aca="false">(Sens!D11356*tk_hold_h100+Sens!D11357*tk_hold_gb200+Sens!D11358*tk_hold_gb300+Sens!D11360*tk_hold_vr200+Sens!D11359*nv_out_mai*tk_hold_vr200)/Sens!D11348</f>
        <v>9.7235358126469</v>
      </c>
      <c r="E11362" s="15" t="n">
        <f aca="false">(Sens!E11356*tk_hold_h100+Sens!E11357*tk_hold_gb200+Sens!E11358*tk_hold_gb300+Sens!E11360*tk_hold_vr200+Sens!E11359*nv_out_mai*tk_hold_vr200)/Sens!E11348</f>
        <v>9.7235358126469</v>
      </c>
      <c r="F11362" s="15" t="n">
        <f aca="false">(Sens!F11356*tk_hold_h100+Sens!F11357*tk_hold_gb200+Sens!F11358*tk_hold_gb300+Sens!F11360*tk_hold_vr200+Sens!F11359*nv_out_mai*tk_hold_vr200)/Sens!F11348</f>
        <v>10.247422093969</v>
      </c>
      <c r="G11362" s="15" t="n">
        <f aca="false">(Sens!G11356*tk_hold_h100+Sens!G11357*tk_hold_gb200+Sens!G11358*tk_hold_gb300+Sens!G11360*tk_hold_vr200+Sens!G11359*nv_out_mai*tk_hold_vr200)/Sens!G11348</f>
        <v>10.6108602808053</v>
      </c>
      <c r="H11362" s="15" t="n">
        <f aca="false">(Sens!H11356*tk_hold_h100+Sens!H11357*tk_hold_gb200+Sens!H11358*tk_hold_gb300+Sens!H11360*tk_hold_vr200+Sens!H11359*nv_out_mai*tk_hold_vr200)/Sens!H11348</f>
        <v>10.8647885507393</v>
      </c>
      <c r="I11362" s="15" t="n">
        <f aca="false">(Sens!I11356*tk_hold_h100+Sens!I11357*tk_hold_gb200+Sens!I11358*tk_hold_gb300+Sens!I11360*tk_hold_vr200+Sens!I11359*nv_out_mai*tk_hold_vr200)/Sens!I11348</f>
        <v>11.0535625770025</v>
      </c>
      <c r="J11362" s="15" t="n">
        <f aca="false">(Sens!J11356*tk_hold_h100+Sens!J11357*tk_hold_gb200+Sens!J11358*tk_hold_gb300+Sens!J11360*tk_hold_vr200+Sens!J11359*nv_out_mai*tk_hold_vr200)/Sens!J11348</f>
        <v>11.2032127128058</v>
      </c>
      <c r="K11362" s="15" t="n">
        <f aca="false">(Sens!K11356*tk_hold_h100+Sens!K11357*tk_hold_gb200+Sens!K11358*tk_hold_gb300+Sens!K11360*tk_hold_vr200+Sens!K11359*nv_out_mai*tk_hold_vr200)/Sens!K11348</f>
        <v>11.4085735724225</v>
      </c>
      <c r="L11362" s="12" t="s">
        <v>975</v>
      </c>
    </row>
    <row r="11363" customFormat="false" ht="17.15" hidden="false" customHeight="false" outlineLevel="0" collapsed="false">
      <c r="A11363" s="0" t="s">
        <v>976</v>
      </c>
      <c r="B11363" s="0" t="s">
        <v>229</v>
      </c>
      <c r="C11363" s="15" t="n">
        <f aca="false">k_B</f>
        <v>1.17213932619116</v>
      </c>
      <c r="D11363" s="15" t="n">
        <f aca="false">k_B</f>
        <v>1.17213932619116</v>
      </c>
      <c r="E11363" s="15" t="n">
        <f aca="false">k_B</f>
        <v>1.17213932619116</v>
      </c>
      <c r="F11363" s="15" t="n">
        <f aca="false">(k_B+((ls_C*k_long+(1-ls_C)*k_spot)-k_B)*MIN(1,(Sens!F11346-base_fy)/k_ramp))</f>
        <v>1.07843258004497</v>
      </c>
      <c r="G11363" s="15" t="n">
        <f aca="false">(k_B+((ls_C*k_long+(1-ls_C)*k_spot)-k_B)*MIN(1,(Sens!G11346-base_fy)/k_ramp))</f>
        <v>0.984725833898784</v>
      </c>
      <c r="H11363" s="15" t="n">
        <f aca="false">(k_B+((ls_C*k_long+(1-ls_C)*k_spot)-k_B)*MIN(1,(Sens!H11346-base_fy)/k_ramp))</f>
        <v>0.891019087752599</v>
      </c>
      <c r="I11363" s="15" t="n">
        <f aca="false">(k_B+((ls_C*k_long+(1-ls_C)*k_spot)-k_B)*MIN(1,(Sens!I11346-base_fy)/k_ramp))</f>
        <v>0.891019087752599</v>
      </c>
      <c r="J11363" s="15" t="n">
        <f aca="false">(k_B+((ls_C*k_long+(1-ls_C)*k_spot)-k_B)*MIN(1,(Sens!J11346-base_fy)/k_ramp))</f>
        <v>0.891019087752599</v>
      </c>
      <c r="K11363" s="15" t="n">
        <f aca="false">(k_B+((ls_C*k_long+(1-ls_C)*k_spot)-k_B)*MIN(1,(Sens!K11346-base_fy)/k_ramp))</f>
        <v>0.891019087752599</v>
      </c>
      <c r="L11363" s="1" t="s">
        <v>977</v>
      </c>
    </row>
    <row r="11364" customFormat="false" ht="17.15" hidden="false" customHeight="false" outlineLevel="0" collapsed="false">
      <c r="A11364" s="1" t="s">
        <v>978</v>
      </c>
      <c r="B11364" s="0" t="s">
        <v>403</v>
      </c>
      <c r="C11364" s="15" t="n">
        <f aca="false">Sens!C11362*Sens!C11363*chip_f</f>
        <v>11.3973387156315</v>
      </c>
      <c r="D11364" s="15" t="n">
        <f aca="false">Sens!D11362*Sens!D11363*chip_f</f>
        <v>11.3973387156315</v>
      </c>
      <c r="E11364" s="15" t="n">
        <f aca="false">Sens!E11362*Sens!E11363*chip_f</f>
        <v>11.3973387156315</v>
      </c>
      <c r="F11364" s="15" t="n">
        <f aca="false">Sens!F11362*Sens!F11363*chip_f</f>
        <v>11.0511538476088</v>
      </c>
      <c r="G11364" s="15" t="n">
        <f aca="false">Sens!G11362*Sens!G11363*chip_f</f>
        <v>10.4487882383995</v>
      </c>
      <c r="H11364" s="15" t="n">
        <f aca="false">Sens!H11362*Sens!H11363*chip_f</f>
        <v>9.68073398310464</v>
      </c>
      <c r="I11364" s="15" t="n">
        <f aca="false">Sens!I11362*Sens!I11363*chip_f</f>
        <v>9.84893524377706</v>
      </c>
      <c r="J11364" s="15" t="n">
        <f aca="false">Sens!J11362*Sens!J11363*chip_f</f>
        <v>9.98227637126252</v>
      </c>
      <c r="K11364" s="15" t="n">
        <f aca="false">Sens!K11362*Sens!K11363*chip_f</f>
        <v>10.1652568170583</v>
      </c>
      <c r="L11364" s="1" t="s">
        <v>979</v>
      </c>
    </row>
    <row r="11365" customFormat="false" ht="17.15" hidden="false" customHeight="false" outlineLevel="0" collapsed="false">
      <c r="A11365" s="0" t="s">
        <v>980</v>
      </c>
      <c r="B11365" s="0" t="s">
        <v>98</v>
      </c>
      <c r="D11365" s="6" t="n">
        <f aca="false">(Sens!C11348+Sens!D11348)/2*Sens!D11364/1000</f>
        <v>12.9359794422418</v>
      </c>
      <c r="E11365" s="6" t="n">
        <f aca="false">(Sens!D11348+Sens!E11348)/2*Sens!E11364/1000</f>
        <v>27.8095064661409</v>
      </c>
      <c r="F11365" s="6" t="n">
        <f aca="false">(Sens!E11348+Sens!F11348)/2*Sens!F11364/1000</f>
        <v>50.9819294352312</v>
      </c>
      <c r="G11365" s="6" t="n">
        <f aca="false">(Sens!F11348+Sens!G11348)/2*Sens!G11364/1000</f>
        <v>76.6920436014933</v>
      </c>
      <c r="H11365" s="6" t="n">
        <f aca="false">(Sens!G11348+Sens!H11348)/2*Sens!H11364/1000</f>
        <v>97.4495379418341</v>
      </c>
      <c r="I11365" s="6" t="n">
        <f aca="false">(Sens!H11348+Sens!I11348)/2*Sens!I11364/1000</f>
        <v>122.083445553868</v>
      </c>
      <c r="J11365" s="6" t="n">
        <f aca="false">(Sens!I11348+Sens!J11348)/2*Sens!J11364/1000</f>
        <v>139.249060444804</v>
      </c>
      <c r="K11365" s="6" t="n">
        <f aca="false">(Sens!J11348+Sens!K11348)/2*Sens!K11364/1000</f>
        <v>149.995818575589</v>
      </c>
      <c r="L11365" s="12" t="s">
        <v>981</v>
      </c>
    </row>
    <row r="11366" customFormat="false" ht="17.15" hidden="false" customHeight="false" outlineLevel="0" collapsed="false">
      <c r="A11366" s="1" t="s">
        <v>982</v>
      </c>
      <c r="B11366" s="0" t="s">
        <v>403</v>
      </c>
      <c r="C11366" s="15" t="n">
        <f aca="false">(Sens!C11356*tk_opex_h100+Sens!C11357*tk_opex_gb200+Sens!C11358*tk_opex_gb300+(Sens!C11360+Sens!C11359)*tk_opex_vr200)/Sens!C11348</f>
        <v>1.88636041306092</v>
      </c>
      <c r="D11366" s="15" t="n">
        <f aca="false">(Sens!D11356*tk_opex_h100+Sens!D11357*tk_opex_gb200+Sens!D11358*tk_opex_gb300+(Sens!D11360+Sens!D11359)*tk_opex_vr200)/Sens!D11348</f>
        <v>1.88636041306092</v>
      </c>
      <c r="E11366" s="15" t="n">
        <f aca="false">(Sens!E11356*tk_opex_h100+Sens!E11357*tk_opex_gb200+Sens!E11358*tk_opex_gb300+(Sens!E11360+Sens!E11359)*tk_opex_vr200)/Sens!E11348</f>
        <v>1.88636041306092</v>
      </c>
      <c r="F11366" s="15" t="n">
        <f aca="false">(Sens!F11356*tk_opex_h100+Sens!F11357*tk_opex_gb200+Sens!F11358*tk_opex_gb300+(Sens!F11360+Sens!F11359)*tk_opex_vr200)/Sens!F11348</f>
        <v>1.95051159746876</v>
      </c>
      <c r="G11366" s="15" t="n">
        <f aca="false">(Sens!G11356*tk_opex_h100+Sens!G11357*tk_opex_gb200+Sens!G11358*tk_opex_gb300+(Sens!G11360+Sens!G11359)*tk_opex_vr200)/Sens!G11348</f>
        <v>1.98836003669956</v>
      </c>
      <c r="H11366" s="15" t="n">
        <f aca="false">(Sens!H11356*tk_opex_h100+Sens!H11357*tk_opex_gb200+Sens!H11358*tk_opex_gb300+(Sens!H11360+Sens!H11359)*tk_opex_vr200)/Sens!H11348</f>
        <v>2.01344013834343</v>
      </c>
      <c r="I11366" s="15" t="n">
        <f aca="false">(Sens!I11356*tk_opex_h100+Sens!I11357*tk_opex_gb200+Sens!I11358*tk_opex_gb300+(Sens!I11360+Sens!I11359)*tk_opex_vr200)/Sens!I11348</f>
        <v>2.03261166882178</v>
      </c>
      <c r="J11366" s="15" t="n">
        <f aca="false">(Sens!J11356*tk_opex_h100+Sens!J11357*tk_opex_gb200+Sens!J11358*tk_opex_gb300+(Sens!J11360+Sens!J11359)*tk_opex_vr200)/Sens!J11348</f>
        <v>2.04808073288745</v>
      </c>
      <c r="K11366" s="15" t="n">
        <f aca="false">(Sens!K11356*tk_opex_h100+Sens!K11357*tk_opex_gb200+Sens!K11358*tk_opex_gb300+(Sens!K11360+Sens!K11359)*tk_opex_vr200)/Sens!K11348</f>
        <v>2.06973825807449</v>
      </c>
      <c r="L11366" s="12" t="s">
        <v>983</v>
      </c>
    </row>
    <row r="11367" customFormat="false" ht="17.15" hidden="false" customHeight="false" outlineLevel="0" collapsed="false">
      <c r="A11367" s="0" t="s">
        <v>984</v>
      </c>
      <c r="B11367" s="0" t="s">
        <v>98</v>
      </c>
      <c r="D11367" s="6" t="n">
        <f aca="false">(Sens!C11351+Sens!D11351)/2*Sens!D11366/1000</f>
        <v>2.70378325872065</v>
      </c>
      <c r="E11367" s="6" t="n">
        <f aca="false">(Sens!D11351+Sens!E11351)/2*Sens!E11366/1000</f>
        <v>6.17783035277451</v>
      </c>
      <c r="F11367" s="6" t="n">
        <f aca="false">(Sens!E11351+Sens!F11351)/2*Sens!F11366/1000</f>
        <v>12.8742463089237</v>
      </c>
      <c r="G11367" s="6" t="n">
        <f aca="false">(Sens!F11351+Sens!G11351)/2*Sens!G11366/1000</f>
        <v>21.8182834646277</v>
      </c>
      <c r="H11367" s="6" t="n">
        <f aca="false">(Sens!G11351+Sens!H11351)/2*Sens!H11366/1000</f>
        <v>31.2430128789734</v>
      </c>
      <c r="I11367" s="6" t="n">
        <f aca="false">(Sens!H11351+Sens!I11351)/2*Sens!I11366/1000</f>
        <v>39.4313057443268</v>
      </c>
      <c r="J11367" s="6" t="n">
        <f aca="false">(Sens!I11351+Sens!J11351)/2*Sens!J11366/1000</f>
        <v>45.0360318228653</v>
      </c>
      <c r="K11367" s="6" t="n">
        <f aca="false">(Sens!J11351+Sens!K11351)/2*Sens!K11366/1000</f>
        <v>48.2929727091156</v>
      </c>
    </row>
    <row r="11368" customFormat="false" ht="17.15" hidden="false" customHeight="false" outlineLevel="0" collapsed="false">
      <c r="A11368" s="0" t="s">
        <v>985</v>
      </c>
      <c r="B11368" s="0" t="s">
        <v>98</v>
      </c>
      <c r="D11368" s="6" t="n">
        <f aca="false">(Sens!C11349+Sens!D11349)/2*rent_mw/1000</f>
        <v>2.44475</v>
      </c>
      <c r="E11368" s="6" t="n">
        <f aca="false">(Sens!D11349+Sens!E11349)/2*rent_mw/1000</f>
        <v>4.22275</v>
      </c>
      <c r="F11368" s="6" t="n">
        <f aca="false">(Sens!E11349+Sens!F11349)/2*rent_mw/1000</f>
        <v>5.80517</v>
      </c>
      <c r="G11368" s="6" t="n">
        <f aca="false">(Sens!F11349+Sens!G11349)/2*rent_mw/1000</f>
        <v>6.72084</v>
      </c>
      <c r="H11368" s="6" t="n">
        <f aca="false">(Sens!G11349+Sens!H11349)/2*rent_mw/1000</f>
        <v>6.72084</v>
      </c>
      <c r="I11368" s="6" t="n">
        <f aca="false">(Sens!H11349+Sens!I11349)/2*rent_mw/1000</f>
        <v>6.72084</v>
      </c>
      <c r="J11368" s="6" t="n">
        <f aca="false">(Sens!I11349+Sens!J11349)/2*rent_mw/1000</f>
        <v>6.72084</v>
      </c>
      <c r="K11368" s="6" t="n">
        <f aca="false">(Sens!J11349+Sens!K11349)/2*rent_mw/1000</f>
        <v>6.72084</v>
      </c>
    </row>
    <row r="11369" customFormat="false" ht="17.15" hidden="false" customHeight="false" outlineLevel="0" collapsed="false">
      <c r="A11369" s="0" t="s">
        <v>986</v>
      </c>
      <c r="B11369" s="0" t="s">
        <v>98</v>
      </c>
      <c r="D11369" s="6" t="n">
        <f aca="false">(Sens!C11351+Sens!D11351)/2*(1-self_build)*fac_rent/1000</f>
        <v>0.853242375631075</v>
      </c>
      <c r="E11369" s="6" t="n">
        <f aca="false">(Sens!D11351+Sens!E11351)/2*(1-self_build)*fac_rent/1000</f>
        <v>1.94955961408728</v>
      </c>
      <c r="F11369" s="6" t="n">
        <f aca="false">(Sens!E11351+Sens!F11351)/2*(1-self_build)*fac_rent/1000</f>
        <v>3.92914894476356</v>
      </c>
      <c r="G11369" s="6" t="n">
        <f aca="false">(Sens!F11351+Sens!G11351)/2*(1-self_build)*fac_rent/1000</f>
        <v>6.53206908578159</v>
      </c>
      <c r="H11369" s="6" t="n">
        <f aca="false">(Sens!G11351+Sens!H11351)/2*(1-self_build)*fac_rent/1000</f>
        <v>9.23717988341591</v>
      </c>
      <c r="I11369" s="6" t="n">
        <f aca="false">(Sens!H11351+Sens!I11351)/2*(1-self_build)*fac_rent/1000</f>
        <v>11.5481378557393</v>
      </c>
      <c r="J11369" s="6" t="n">
        <f aca="false">(Sens!I11351+Sens!J11351)/2*(1-self_build)*fac_rent/1000</f>
        <v>13.0899582289108</v>
      </c>
      <c r="K11369" s="6" t="n">
        <f aca="false">(Sens!J11351+Sens!K11351)/2*(1-self_build)*fac_rent/1000</f>
        <v>13.8897275626556</v>
      </c>
      <c r="L11369" s="12" t="s">
        <v>987</v>
      </c>
    </row>
    <row r="11370" customFormat="false" ht="17.15" hidden="false" customHeight="false" outlineLevel="0" collapsed="false">
      <c r="A11370" s="1" t="s">
        <v>988</v>
      </c>
      <c r="B11370" s="0" t="s">
        <v>168</v>
      </c>
      <c r="D11370" s="7" t="n">
        <f aca="false">(Sens!C11350+Sens!D11350)/(Sens!C11351+Sens!D11351)</f>
        <v>0.6</v>
      </c>
      <c r="E11370" s="7" t="n">
        <f aca="false">(Sens!D11350+Sens!E11350)/(Sens!D11351+Sens!E11351)</f>
        <v>0.6</v>
      </c>
      <c r="F11370" s="7" t="n">
        <f aca="false">(Sens!E11350+Sens!F11350)/(Sens!E11351+Sens!F11351)</f>
        <v>0.6</v>
      </c>
      <c r="G11370" s="7" t="n">
        <f aca="false">(Sens!F11350+Sens!G11350)/(Sens!F11351+Sens!G11351)</f>
        <v>0.6</v>
      </c>
      <c r="H11370" s="7" t="n">
        <f aca="false">(Sens!G11350+Sens!H11350)/(Sens!G11351+Sens!H11351)</f>
        <v>0.6</v>
      </c>
      <c r="I11370" s="7" t="n">
        <f aca="false">(Sens!H11350+Sens!I11350)/(Sens!H11351+Sens!I11351)</f>
        <v>0.6</v>
      </c>
      <c r="J11370" s="7" t="n">
        <f aca="false">(Sens!I11350+Sens!J11350)/(Sens!I11351+Sens!J11351)</f>
        <v>0.6</v>
      </c>
      <c r="K11370" s="7" t="n">
        <f aca="false">(Sens!J11350+Sens!K11350)/(Sens!J11351+Sens!K11351)</f>
        <v>0.6</v>
      </c>
    </row>
    <row r="11371" customFormat="false" ht="17.15" hidden="false" customHeight="false" outlineLevel="0" collapsed="false">
      <c r="A11371" s="0" t="s">
        <v>989</v>
      </c>
      <c r="B11371" s="0" t="s">
        <v>98</v>
      </c>
      <c r="D11371" s="6" t="n">
        <f aca="false">Sens!D11365-Sens!D11370*(Sens!D11367+Sens!D11369)-Sens!D11368</f>
        <v>8.35701406163072</v>
      </c>
      <c r="E11371" s="6" t="n">
        <f aca="false">Sens!E11365-Sens!E11370*(Sens!E11367+Sens!E11369)-Sens!E11368</f>
        <v>18.7103224860238</v>
      </c>
      <c r="F11371" s="6" t="n">
        <f aca="false">Sens!F11365-Sens!F11370*(Sens!F11367+Sens!F11369)-Sens!F11368</f>
        <v>35.0947222830189</v>
      </c>
      <c r="G11371" s="6" t="n">
        <f aca="false">Sens!G11365-Sens!G11370*(Sens!G11367+Sens!G11369)-Sens!G11368</f>
        <v>52.9609920712477</v>
      </c>
      <c r="H11371" s="6" t="n">
        <f aca="false">Sens!H11365-Sens!H11370*(Sens!H11367+Sens!H11369)-Sens!H11368</f>
        <v>66.4405822844005</v>
      </c>
      <c r="I11371" s="6" t="n">
        <f aca="false">Sens!I11365-Sens!I11370*(Sens!I11367+Sens!I11369)-Sens!I11368</f>
        <v>84.7749393938279</v>
      </c>
      <c r="J11371" s="6" t="n">
        <f aca="false">Sens!J11365-Sens!J11370*(Sens!J11367+Sens!J11369)-Sens!J11368</f>
        <v>97.6526264137382</v>
      </c>
      <c r="K11371" s="6" t="n">
        <f aca="false">Sens!K11365-Sens!K11370*(Sens!K11367+Sens!K11369)-Sens!K11368</f>
        <v>105.965358412527</v>
      </c>
    </row>
    <row r="11372" customFormat="false" ht="17.15" hidden="false" customHeight="false" outlineLevel="0" collapsed="false">
      <c r="A11372" s="1" t="s">
        <v>990</v>
      </c>
      <c r="B11372" s="0" t="s">
        <v>98</v>
      </c>
      <c r="D11372" s="6" t="n">
        <f aca="false">(1-Sens!D11370)*(Sens!D11367+Sens!D11369)</f>
        <v>1.42281025374069</v>
      </c>
      <c r="E11372" s="6" t="n">
        <f aca="false">(1-Sens!E11370)*(Sens!E11367+Sens!E11369)</f>
        <v>3.25095598674472</v>
      </c>
      <c r="F11372" s="6" t="n">
        <f aca="false">(1-Sens!F11370)*(Sens!F11367+Sens!F11369)</f>
        <v>6.72135810147489</v>
      </c>
      <c r="G11372" s="6" t="n">
        <f aca="false">(1-Sens!G11370)*(Sens!G11367+Sens!G11369)</f>
        <v>11.3401410201637</v>
      </c>
      <c r="H11372" s="6" t="n">
        <f aca="false">(1-Sens!H11370)*(Sens!H11367+Sens!H11369)</f>
        <v>16.1920771049557</v>
      </c>
      <c r="I11372" s="6" t="n">
        <f aca="false">(1-Sens!I11370)*(Sens!I11367+Sens!I11369)</f>
        <v>20.3917774400264</v>
      </c>
      <c r="J11372" s="6" t="n">
        <f aca="false">(1-Sens!J11370)*(Sens!J11367+Sens!J11369)</f>
        <v>23.2503960207104</v>
      </c>
      <c r="K11372" s="6" t="n">
        <f aca="false">(1-Sens!K11370)*(Sens!K11367+Sens!K11369)</f>
        <v>24.8730801087085</v>
      </c>
    </row>
    <row r="11373" customFormat="false" ht="17.15" hidden="false" customHeight="false" outlineLevel="0" collapsed="false">
      <c r="A11373" s="1" t="s">
        <v>991</v>
      </c>
      <c r="B11373" s="0" t="s">
        <v>417</v>
      </c>
      <c r="C11373" s="8" t="n">
        <f aca="false">cxit_open</f>
        <v>27.5918995</v>
      </c>
      <c r="D11373" s="8" t="n">
        <f aca="false">cxit_open</f>
        <v>27.5918995</v>
      </c>
      <c r="E11373" s="8" t="n">
        <f aca="false">cxit_open</f>
        <v>27.5918995</v>
      </c>
      <c r="F11373" s="8" t="n">
        <f aca="false">((a_g3_27-nonnv*a_mai)*tk_cxit_gb300+nonnv*a_mai*nv_hold_mai*tk_cxit_vr200+(1-a_g3_27)*tk_cxit_vr200)</f>
        <v>32.4975576</v>
      </c>
      <c r="G11373" s="8" t="n">
        <f aca="false">((a_g3_28-nonnv*a_mai)*tk_cxit_gb300+nonnv*a_mai*nv_hold_mai*tk_cxit_vr200+(1-a_g3_28)*tk_cxit_vr200)</f>
        <v>34.6372088</v>
      </c>
      <c r="H11373" s="8" t="n">
        <f aca="false">((a_g3_29-nonnv*a_mai)*tk_cxit_gb300+nonnv*a_mai*nv_hold_mai*tk_cxit_vr200+(1-a_g3_29)*tk_cxit_vr200)</f>
        <v>35.7070344</v>
      </c>
      <c r="I11373" s="8" t="n">
        <f aca="false">((a_g3_29-nonnv*a_mai)*tk_cxit_gb300+nonnv*a_mai*nv_hold_mai*tk_cxit_vr200+(1-a_g3_29)*tk_cxit_vr200)</f>
        <v>35.7070344</v>
      </c>
      <c r="J11373" s="8" t="n">
        <f aca="false">((a_g3_29-nonnv*a_mai)*tk_cxit_gb300+nonnv*a_mai*nv_hold_mai*tk_cxit_vr200+(1-a_g3_29)*tk_cxit_vr200)</f>
        <v>35.7070344</v>
      </c>
      <c r="K11373" s="8" t="n">
        <f aca="false">((a_g3_29-nonnv*a_mai)*tk_cxit_gb300+nonnv*a_mai*nv_hold_mai*tk_cxit_vr200+(1-a_g3_29)*tk_cxit_vr200)</f>
        <v>35.7070344</v>
      </c>
      <c r="L11373" s="12" t="s">
        <v>992</v>
      </c>
    </row>
    <row r="11374" customFormat="false" ht="17.15" hidden="false" customHeight="false" outlineLevel="0" collapsed="false">
      <c r="A11374" s="0" t="s">
        <v>993</v>
      </c>
      <c r="B11374" s="0" t="s">
        <v>459</v>
      </c>
      <c r="F11374" s="30" t="n">
        <f aca="false">Sens!C11353*IF(Sens!F11346-Sens!C11346=life_it,1,0)+Sens!D11353*IF(Sens!F11346-Sens!D11346=life_it,1,0)+Sens!E11353*IF(Sens!F11346-Sens!E11346=life_it,1,0)</f>
        <v>0</v>
      </c>
      <c r="G11374" s="30" t="n">
        <f aca="false">Sens!C11353*IF(Sens!G11346-Sens!C11346=life_it,1,0)+Sens!D11353*IF(Sens!G11346-Sens!D11346=life_it,1,0)+Sens!E11353*IF(Sens!G11346-Sens!E11346=life_it,1,0)+Sens!F11353*IF(Sens!G11346-Sens!F11346=life_it,1,0)</f>
        <v>0</v>
      </c>
      <c r="H11374" s="30" t="n">
        <f aca="false">Sens!C11353*IF(Sens!H11346-Sens!C11346=life_it,1,0)+Sens!D11353*IF(Sens!H11346-Sens!D11346=life_it,1,0)+Sens!E11353*IF(Sens!H11346-Sens!E11346=life_it,1,0)+Sens!F11353*IF(Sens!H11346-Sens!F11346=life_it,1,0)+Sens!G11353*IF(Sens!H11346-Sens!G11346=life_it,1,0)</f>
        <v>0</v>
      </c>
      <c r="I11374" s="30" t="n">
        <f aca="false">Sens!C11353*IF(Sens!I11346-Sens!C11346=life_it,1,0)+Sens!D11353*IF(Sens!I11346-Sens!D11346=life_it,1,0)+Sens!E11353*IF(Sens!I11346-Sens!E11346=life_it,1,0)+Sens!F11353*IF(Sens!I11346-Sens!F11346=life_it,1,0)+Sens!G11353*IF(Sens!I11346-Sens!G11346=life_it,1,0)+Sens!H11353*IF(Sens!I11346-Sens!H11346=life_it,1,0)</f>
        <v>816.666666666667</v>
      </c>
      <c r="J11374" s="30" t="n">
        <f aca="false">Sens!C11353*IF(Sens!J11346-Sens!C11346=life_it,1,0)+Sens!D11353*IF(Sens!J11346-Sens!D11346=life_it,1,0)+Sens!E11353*IF(Sens!J11346-Sens!E11346=life_it,1,0)+Sens!F11353*IF(Sens!J11346-Sens!F11346=life_it,1,0)+Sens!G11353*IF(Sens!J11346-Sens!G11346=life_it,1,0)+Sens!H11353*IF(Sens!J11346-Sens!H11346=life_it,1,0)+Sens!I11353*IF(Sens!J11346-Sens!I11346=life_it,1,0)</f>
        <v>1233.33333333333</v>
      </c>
      <c r="K11374" s="30" t="n">
        <f aca="false">Sens!C11353*IF(Sens!K11346-Sens!C11346=life_it,1,0)+Sens!D11353*IF(Sens!K11346-Sens!D11346=life_it,1,0)+Sens!E11353*IF(Sens!K11346-Sens!E11346=life_it,1,0)+Sens!F11353*IF(Sens!K11346-Sens!F11346=life_it,1,0)+Sens!G11353*IF(Sens!K11346-Sens!G11346=life_it,1,0)+Sens!H11353*IF(Sens!K11346-Sens!H11346=life_it,1,0)+Sens!I11353*IF(Sens!K11346-Sens!I11346=life_it,1,0)+Sens!J11353*IF(Sens!K11346-Sens!J11346=life_it,1,0)</f>
        <v>2450</v>
      </c>
      <c r="L11374" s="1" t="s">
        <v>994</v>
      </c>
    </row>
    <row r="11375" customFormat="false" ht="17.15" hidden="false" customHeight="false" outlineLevel="0" collapsed="false">
      <c r="A11375" s="0" t="s">
        <v>995</v>
      </c>
      <c r="B11375" s="0" t="s">
        <v>98</v>
      </c>
      <c r="C11375" s="6" t="n">
        <f aca="false">Sens!C11353*Sens!C11373/1000</f>
        <v>22.5333845916667</v>
      </c>
      <c r="D11375" s="6" t="n">
        <f aca="false">Sens!D11353*Sens!D11373/1000</f>
        <v>34.0300093833333</v>
      </c>
      <c r="E11375" s="6" t="n">
        <f aca="false">Sens!E11353*Sens!E11373/1000</f>
        <v>67.600153775</v>
      </c>
      <c r="F11375" s="6" t="n">
        <f aca="false">(Sens!F11353+Sens!F11374)*Sens!F11373/1000</f>
        <v>136.51872432512</v>
      </c>
      <c r="G11375" s="6" t="n">
        <f aca="false">(Sens!G11353+Sens!G11374)*Sens!G11373/1000</f>
        <v>157.399275932048</v>
      </c>
      <c r="H11375" s="6" t="n">
        <f aca="false">(Sens!H11353+Sens!H11374)*Sens!H11373/1000</f>
        <v>162.260804347512</v>
      </c>
      <c r="I11375" s="6" t="n">
        <f aca="false">(Sens!I11353+Sens!I11374)*Sens!I11373/1000</f>
        <v>144.136569485434</v>
      </c>
      <c r="J11375" s="6" t="n">
        <f aca="false">(Sens!J11353+Sens!J11374)*Sens!J11373/1000</f>
        <v>114.029037357864</v>
      </c>
      <c r="K11375" s="6" t="n">
        <f aca="false">(Sens!K11353+Sens!K11374)*Sens!K11373/1000</f>
        <v>113.437085350975</v>
      </c>
    </row>
    <row r="11376" customFormat="false" ht="17.15" hidden="false" customHeight="false" outlineLevel="0" collapsed="false">
      <c r="A11376" s="0" t="s">
        <v>996</v>
      </c>
      <c r="B11376" s="0" t="s">
        <v>98</v>
      </c>
      <c r="C11376" s="6" t="n">
        <f aca="false">Sens!C11353*self_build*tk_cxfac/1000</f>
        <v>6.2083</v>
      </c>
      <c r="D11376" s="6" t="n">
        <f aca="false">Sens!D11353*self_build*tk_cxfac/1000</f>
        <v>9.3758</v>
      </c>
      <c r="E11376" s="6" t="n">
        <f aca="false">Sens!E11353*self_build*tk_cxfac/1000</f>
        <v>18.6249</v>
      </c>
      <c r="F11376" s="6" t="n">
        <f aca="false">Sens!F11353*self_build*tk_cxfac/1000</f>
        <v>31.935179717</v>
      </c>
      <c r="G11376" s="6" t="n">
        <f aca="false">Sens!G11353*self_build*tk_cxfac/1000</f>
        <v>34.545199717</v>
      </c>
      <c r="H11376" s="6" t="n">
        <f aca="false">Sens!H11353*self_build*tk_cxfac/1000</f>
        <v>34.545199717</v>
      </c>
      <c r="I11376" s="6" t="n">
        <f aca="false">Sens!I11353*self_build*tk_cxfac/1000</f>
        <v>24.4782641361767</v>
      </c>
      <c r="J11376" s="6" t="n">
        <f aca="false">Sens!J11353*self_build*tk_cxfac/1000</f>
        <v>14.9008938380769</v>
      </c>
      <c r="K11376" s="6" t="n">
        <f aca="false">Sens!K11353*self_build*tk_cxfac/1000</f>
        <v>5.52576771375761</v>
      </c>
    </row>
    <row r="11377" customFormat="false" ht="17.15" hidden="false" customHeight="false" outlineLevel="0" collapsed="false">
      <c r="A11377" s="0" t="s">
        <v>997</v>
      </c>
      <c r="B11377" s="0" t="s">
        <v>98</v>
      </c>
      <c r="F11377" s="15" t="n">
        <f aca="false">capex_floor27-Sens!F11375-Sens!F11376-Sens!F11473</f>
        <v>-0.0875203154216067</v>
      </c>
      <c r="L11377" s="12" t="s">
        <v>998</v>
      </c>
    </row>
    <row r="11378" customFormat="false" ht="17.15" hidden="false" customHeight="false" outlineLevel="0" collapsed="false">
      <c r="A11378" s="0" t="s">
        <v>999</v>
      </c>
      <c r="B11378" s="0" t="s">
        <v>98</v>
      </c>
      <c r="F11378" s="6" t="n">
        <f aca="false">MAX(0,Sens!F11377)</f>
        <v>0</v>
      </c>
    </row>
    <row r="11379" customFormat="false" ht="17.15" hidden="false" customHeight="false" outlineLevel="0" collapsed="false">
      <c r="A11379" s="0" t="s">
        <v>1000</v>
      </c>
      <c r="B11379" s="0" t="s">
        <v>98</v>
      </c>
      <c r="C11379" s="6" t="n">
        <f aca="false">Sens!C11375</f>
        <v>22.5333845916667</v>
      </c>
      <c r="D11379" s="6" t="n">
        <f aca="false">Sens!D11375</f>
        <v>34.0300093833333</v>
      </c>
      <c r="E11379" s="6" t="n">
        <f aca="false">Sens!E11375</f>
        <v>67.600153775</v>
      </c>
      <c r="F11379" s="6" t="n">
        <f aca="false">Sens!F11375</f>
        <v>136.51872432512</v>
      </c>
      <c r="G11379" s="6" t="n">
        <f aca="false">Sens!G11375</f>
        <v>157.399275932048</v>
      </c>
      <c r="H11379" s="6" t="n">
        <f aca="false">Sens!H11375</f>
        <v>162.260804347512</v>
      </c>
      <c r="I11379" s="6" t="n">
        <f aca="false">Sens!I11375</f>
        <v>144.136569485434</v>
      </c>
      <c r="J11379" s="6" t="n">
        <f aca="false">Sens!J11375</f>
        <v>114.029037357864</v>
      </c>
      <c r="K11379" s="6" t="n">
        <f aca="false">Sens!K11375</f>
        <v>113.437085350975</v>
      </c>
    </row>
    <row r="11380" customFormat="false" ht="17.15" hidden="false" customHeight="false" outlineLevel="0" collapsed="false">
      <c r="A11380" s="0" t="s">
        <v>1001</v>
      </c>
      <c r="B11380" s="0" t="s">
        <v>98</v>
      </c>
      <c r="C11380" s="6" t="n">
        <f aca="false">Sens!C11379+Sens!C11376</f>
        <v>28.7416845916667</v>
      </c>
      <c r="D11380" s="6" t="n">
        <f aca="false">Sens!D11379+Sens!D11376</f>
        <v>43.4058093833333</v>
      </c>
      <c r="E11380" s="6" t="n">
        <f aca="false">Sens!E11379+Sens!E11376</f>
        <v>86.225053775</v>
      </c>
      <c r="F11380" s="6" t="n">
        <f aca="false">Sens!F11379+Sens!F11376</f>
        <v>168.45390404212</v>
      </c>
      <c r="G11380" s="6" t="n">
        <f aca="false">Sens!G11379+Sens!G11376</f>
        <v>191.944475649048</v>
      </c>
      <c r="H11380" s="6" t="n">
        <f aca="false">Sens!H11379+Sens!H11376</f>
        <v>196.806004064512</v>
      </c>
      <c r="I11380" s="6" t="n">
        <f aca="false">Sens!I11379+Sens!I11376</f>
        <v>168.61483362161</v>
      </c>
      <c r="J11380" s="6" t="n">
        <f aca="false">Sens!J11379+Sens!J11376</f>
        <v>128.92993119594</v>
      </c>
      <c r="K11380" s="6" t="n">
        <f aca="false">Sens!K11379+Sens!K11376</f>
        <v>118.962853064733</v>
      </c>
      <c r="L11380" s="12" t="s">
        <v>1002</v>
      </c>
    </row>
    <row r="11381" customFormat="false" ht="17.15" hidden="false" customHeight="false" outlineLevel="0" collapsed="false">
      <c r="A11381" s="0" t="s">
        <v>1003</v>
      </c>
      <c r="B11381" s="0" t="s">
        <v>98</v>
      </c>
      <c r="E11381" s="6" t="n">
        <f aca="false">(Sens!C11379*IF(2&lt;life_it,1,IF(2=life_it,0.5,0))+Sens!D11379*IF(1&lt;life_it,1,IF(1=life_it,0.5,0))+Sens!E11379*0.5)/life_it</f>
        <v>15.0605784770833</v>
      </c>
      <c r="F11381" s="6" t="n">
        <f aca="false">(Sens!C11379*IF(3&lt;life_it,1,IF(3=life_it,0.5,0))+Sens!D11379*IF(2&lt;life_it,1,IF(2=life_it,0.5,0))+Sens!E11379*IF(1&lt;life_it,1,IF(1=life_it,0.5,0))+Sens!F11379*0.5)/life_it</f>
        <v>32.0704849854266</v>
      </c>
      <c r="G11381" s="6" t="n">
        <f aca="false">(Sens!C11379*IF(4&lt;life_it,1,IF(4=life_it,0.5,0))+Sens!D11379*IF(3&lt;life_it,1,IF(3=life_it,0.5,0))+Sens!E11379*IF(2&lt;life_it,1,IF(2=life_it,0.5,0))+Sens!F11379*IF(1&lt;life_it,1,IF(1=life_it,0.5,0))+Sens!G11379*0.5)/life_it</f>
        <v>56.5636516735239</v>
      </c>
      <c r="H11381" s="6" t="n">
        <f aca="false">(Sens!C11379*IF(5&lt;life_it,1,IF(5=life_it,0.5,0))+Sens!D11379*IF(4&lt;life_it,1,IF(4=life_it,0.5,0))+Sens!E11379*IF(3&lt;life_it,1,IF(3=life_it,0.5,0))+Sens!F11379*IF(2&lt;life_it,1,IF(2=life_it,0.5,0))+Sens!G11379*IF(1&lt;life_it,1,IF(1=life_it,0.5,0))+Sens!H11379*0.5)/life_it</f>
        <v>83.2019916968207</v>
      </c>
      <c r="I11381" s="6" t="n">
        <f aca="false">(Sens!C11379*IF(6&lt;life_it,1,IF(6=life_it,0.5,0))+Sens!D11379*IF(5&lt;life_it,1,IF(5=life_it,0.5,0))+Sens!E11379*IF(4&lt;life_it,1,IF(4=life_it,0.5,0))+Sens!F11379*IF(3&lt;life_it,1,IF(3=life_it,0.5,0))+Sens!G11379*IF(2&lt;life_it,1,IF(2=life_it,0.5,0))+Sens!H11379*IF(1&lt;life_it,1,IF(1=life_it,0.5,0))+Sens!I11379*0.5)/life_it</f>
        <v>106.857324133594</v>
      </c>
      <c r="J11381" s="6" t="n">
        <f aca="false">(Sens!C11379*IF(7&lt;life_it,1,IF(7=life_it,0.5,0))+Sens!D11379*IF(6&lt;life_it,1,IF(6=life_it,0.5,0))+Sens!E11379*IF(5&lt;life_it,1,IF(5=life_it,0.5,0))+Sens!F11379*IF(4&lt;life_it,1,IF(4=life_it,0.5,0))+Sens!G11379*IF(3&lt;life_it,1,IF(3=life_it,0.5,0))+Sens!H11379*IF(2&lt;life_it,1,IF(2=life_it,0.5,0))+Sens!I11379*IF(1&lt;life_it,1,IF(1=life_it,0.5,0))+Sens!J11379*0.5)/life_it</f>
        <v>123.657508539285</v>
      </c>
      <c r="K11381" s="6" t="n">
        <f aca="false">(Sens!C11379*IF(8&lt;life_it,1,IF(8=life_it,0.5,0))+Sens!D11379*IF(7&lt;life_it,1,IF(7=life_it,0.5,0))+Sens!E11379*IF(6&lt;life_it,1,IF(6=life_it,0.5,0))+Sens!F11379*IF(5&lt;life_it,1,IF(5=life_it,0.5,0))+Sens!G11379*IF(4&lt;life_it,1,IF(4=life_it,0.5,0))+Sens!H11379*IF(3&lt;life_it,1,IF(3=life_it,0.5,0))+Sens!I11379*IF(2&lt;life_it,1,IF(2=life_it,0.5,0))+Sens!J11379*IF(1&lt;life_it,1,IF(1=life_it,0.5,0))+Sens!K11379*0.5)/life_it</f>
        <v>134.143838501827</v>
      </c>
    </row>
    <row r="11382" customFormat="false" ht="17.15" hidden="false" customHeight="false" outlineLevel="0" collapsed="false">
      <c r="A11382" s="0" t="s">
        <v>1004</v>
      </c>
      <c r="B11382" s="0" t="s">
        <v>98</v>
      </c>
      <c r="E11382" s="6" t="n">
        <f aca="false">(Sens!C11376*IF(2&lt;life_fac,1,IF(2=life_fac,0.5,0))+Sens!D11376*IF(1&lt;life_fac,1,IF(1=life_fac,0.5,0))+Sens!E11376*0.5)/life_fac</f>
        <v>1.2448275</v>
      </c>
      <c r="F11382" s="6" t="n">
        <f aca="false">(Sens!C11376*IF(3&lt;life_fac,1,IF(3=life_fac,0.5,0))+Sens!D11376*IF(2&lt;life_fac,1,IF(2=life_fac,0.5,0))+Sens!E11376*IF(1&lt;life_fac,1,IF(1=life_fac,0.5,0))+Sens!F11376*0.5)/life_fac</f>
        <v>2.508829492925</v>
      </c>
      <c r="G11382" s="6" t="n">
        <f aca="false">(Sens!C11376*IF(4&lt;life_fac,1,IF(4=life_fac,0.5,0))+Sens!D11376*IF(3&lt;life_fac,1,IF(3=life_fac,0.5,0))+Sens!E11376*IF(2&lt;life_fac,1,IF(2=life_fac,0.5,0))+Sens!F11376*IF(1&lt;life_fac,1,IF(1=life_fac,0.5,0))+Sens!G11376*0.5)/life_fac</f>
        <v>4.170838978775</v>
      </c>
      <c r="H11382" s="6" t="n">
        <f aca="false">(Sens!C11376*IF(5&lt;life_fac,1,IF(5=life_fac,0.5,0))+Sens!D11376*IF(4&lt;life_fac,1,IF(4=life_fac,0.5,0))+Sens!E11376*IF(3&lt;life_fac,1,IF(3=life_fac,0.5,0))+Sens!F11376*IF(2&lt;life_fac,1,IF(2=life_fac,0.5,0))+Sens!G11376*IF(1&lt;life_fac,1,IF(1=life_fac,0.5,0))+Sens!H11376*0.5)/life_fac</f>
        <v>5.898098964625</v>
      </c>
      <c r="I11382" s="6" t="n">
        <f aca="false">(Sens!C11376*IF(6&lt;life_fac,1,IF(6=life_fac,0.5,0))+Sens!D11376*IF(5&lt;life_fac,1,IF(5=life_fac,0.5,0))+Sens!E11376*IF(4&lt;life_fac,1,IF(4=life_fac,0.5,0))+Sens!F11376*IF(3&lt;life_fac,1,IF(3=life_fac,0.5,0))+Sens!G11376*IF(2&lt;life_fac,1,IF(2=life_fac,0.5,0))+Sens!H11376*IF(1&lt;life_fac,1,IF(1=life_fac,0.5,0))+Sens!I11376*0.5)/life_fac</f>
        <v>7.37368556095442</v>
      </c>
      <c r="J11382" s="6" t="n">
        <f aca="false">(Sens!C11376*IF(7&lt;life_fac,1,IF(7=life_fac,0.5,0))+Sens!D11376*IF(6&lt;life_fac,1,IF(6=life_fac,0.5,0))+Sens!E11376*IF(5&lt;life_fac,1,IF(5=life_fac,0.5,0))+Sens!F11376*IF(4&lt;life_fac,1,IF(4=life_fac,0.5,0))+Sens!G11376*IF(3&lt;life_fac,1,IF(3=life_fac,0.5,0))+Sens!H11376*IF(2&lt;life_fac,1,IF(2=life_fac,0.5,0))+Sens!I11376*IF(1&lt;life_fac,1,IF(1=life_fac,0.5,0))+Sens!J11376*0.5)/life_fac</f>
        <v>8.35816451031075</v>
      </c>
      <c r="K11382" s="6" t="n">
        <f aca="false">(Sens!C11376*IF(8&lt;life_fac,1,IF(8=life_fac,0.5,0))+Sens!D11376*IF(7&lt;life_fac,1,IF(7=life_fac,0.5,0))+Sens!E11376*IF(6&lt;life_fac,1,IF(6=life_fac,0.5,0))+Sens!F11376*IF(5&lt;life_fac,1,IF(5=life_fac,0.5,0))+Sens!G11376*IF(4&lt;life_fac,1,IF(4=life_fac,0.5,0))+Sens!H11376*IF(3&lt;life_fac,1,IF(3=life_fac,0.5,0))+Sens!I11376*IF(2&lt;life_fac,1,IF(2=life_fac,0.5,0))+Sens!J11376*IF(1&lt;life_fac,1,IF(1=life_fac,0.5,0))+Sens!K11376*0.5)/life_fac</f>
        <v>8.86883104910662</v>
      </c>
    </row>
    <row r="11383" customFormat="false" ht="17.15" hidden="false" customHeight="false" outlineLevel="0" collapsed="false">
      <c r="A11383" s="0" t="s">
        <v>1005</v>
      </c>
      <c r="B11383" s="0" t="s">
        <v>98</v>
      </c>
      <c r="E11383" s="6" t="n">
        <f aca="false">Sens!E11381+Sens!E11382</f>
        <v>16.3054059770833</v>
      </c>
      <c r="F11383" s="6" t="n">
        <f aca="false">Sens!F11381+Sens!F11382</f>
        <v>34.5793144783516</v>
      </c>
      <c r="G11383" s="6" t="n">
        <f aca="false">Sens!G11381+Sens!G11382</f>
        <v>60.7344906522989</v>
      </c>
      <c r="H11383" s="6" t="n">
        <f aca="false">Sens!H11381+Sens!H11382</f>
        <v>89.1000906614457</v>
      </c>
      <c r="I11383" s="6" t="n">
        <f aca="false">Sens!I11381+Sens!I11382</f>
        <v>114.231009694548</v>
      </c>
      <c r="J11383" s="6" t="n">
        <f aca="false">Sens!J11381+Sens!J11382</f>
        <v>132.015673049596</v>
      </c>
      <c r="K11383" s="6" t="n">
        <f aca="false">Sens!K11381+Sens!K11382</f>
        <v>143.012669550934</v>
      </c>
    </row>
    <row r="11384" customFormat="false" ht="17.15" hidden="false" customHeight="false" outlineLevel="0" collapsed="false">
      <c r="A11384" s="0" t="s">
        <v>1006</v>
      </c>
      <c r="B11384" s="0" t="s">
        <v>98</v>
      </c>
      <c r="E11384" s="6" t="n">
        <f aca="false">Sens!E11371-Sens!E11370*Sens!E11383</f>
        <v>8.92707889977379</v>
      </c>
      <c r="F11384" s="6" t="n">
        <f aca="false">Sens!F11371-Sens!F11370*Sens!F11383</f>
        <v>14.3471335960079</v>
      </c>
      <c r="G11384" s="6" t="n">
        <f aca="false">Sens!G11371-Sens!G11370*Sens!G11383</f>
        <v>16.5202976798683</v>
      </c>
      <c r="H11384" s="6" t="n">
        <f aca="false">Sens!H11371-Sens!H11370*Sens!H11383</f>
        <v>12.9805278875331</v>
      </c>
      <c r="I11384" s="6" t="n">
        <f aca="false">Sens!I11371-Sens!I11370*Sens!I11383</f>
        <v>16.2363335770989</v>
      </c>
      <c r="J11384" s="6" t="n">
        <f aca="false">Sens!J11371-Sens!J11370*Sens!J11383</f>
        <v>18.4432225839805</v>
      </c>
      <c r="K11384" s="6" t="n">
        <f aca="false">Sens!K11371-Sens!K11370*Sens!K11383</f>
        <v>20.1577566819661</v>
      </c>
    </row>
    <row r="11385" customFormat="false" ht="17.15" hidden="false" customHeight="false" outlineLevel="0" collapsed="false">
      <c r="A11385" s="3" t="s">
        <v>1896</v>
      </c>
    </row>
    <row r="11386" customFormat="false" ht="15" hidden="false" customHeight="false" outlineLevel="0" collapsed="false">
      <c r="A11386" s="4" t="s">
        <v>43</v>
      </c>
      <c r="B11386" s="4" t="s">
        <v>65</v>
      </c>
      <c r="C11386" s="23" t="s">
        <v>942</v>
      </c>
      <c r="D11386" s="23" t="s">
        <v>943</v>
      </c>
      <c r="E11386" s="23" t="s">
        <v>944</v>
      </c>
      <c r="F11386" s="23" t="s">
        <v>945</v>
      </c>
      <c r="G11386" s="23" t="s">
        <v>946</v>
      </c>
      <c r="H11386" s="23" t="s">
        <v>947</v>
      </c>
      <c r="I11386" s="23" t="s">
        <v>948</v>
      </c>
      <c r="J11386" s="23" t="s">
        <v>949</v>
      </c>
      <c r="K11386" s="23" t="s">
        <v>950</v>
      </c>
      <c r="L11386" s="4" t="s">
        <v>47</v>
      </c>
    </row>
    <row r="11387" customFormat="false" ht="17.15" hidden="false" customHeight="false" outlineLevel="0" collapsed="false">
      <c r="A11387" s="0" t="s">
        <v>1025</v>
      </c>
      <c r="B11387" s="0" t="s">
        <v>98</v>
      </c>
      <c r="D11387" s="6" t="n">
        <f aca="false">Sens!D11365</f>
        <v>12.9359794422418</v>
      </c>
      <c r="E11387" s="6" t="n">
        <f aca="false">Sens!E11365</f>
        <v>27.8095064661409</v>
      </c>
      <c r="F11387" s="6" t="n">
        <f aca="false">Sens!F11365</f>
        <v>50.9819294352312</v>
      </c>
      <c r="G11387" s="6" t="n">
        <f aca="false">Sens!G11365</f>
        <v>76.6920436014933</v>
      </c>
      <c r="H11387" s="6" t="n">
        <f aca="false">Sens!H11365</f>
        <v>97.4495379418341</v>
      </c>
      <c r="I11387" s="6" t="n">
        <f aca="false">Sens!I11365</f>
        <v>122.083445553868</v>
      </c>
      <c r="J11387" s="6" t="n">
        <f aca="false">Sens!J11365</f>
        <v>139.249060444804</v>
      </c>
      <c r="K11387" s="6" t="n">
        <f aca="false">Sens!K11365</f>
        <v>149.995818575589</v>
      </c>
    </row>
    <row r="11388" customFormat="false" ht="17.15" hidden="false" customHeight="false" outlineLevel="0" collapsed="false">
      <c r="A11388" s="0" t="s">
        <v>1026</v>
      </c>
      <c r="B11388" s="0" t="s">
        <v>98</v>
      </c>
      <c r="D11388" s="6" t="n">
        <f aca="false">Q!L6-Sens!D11387</f>
        <v>59.6740205577583</v>
      </c>
      <c r="E11388" s="6" t="n">
        <f aca="false">Q!M6-Sens!E11387</f>
        <v>74.1284935338591</v>
      </c>
      <c r="F11388" s="6" t="n">
        <f aca="false">Q!$I$6+(Sens!F11387+Sens!E11388*(1+Sens!F11389))*(1-Q!$E$6/Q!M6)-Sens!F11387</f>
        <v>92.2699541184664</v>
      </c>
      <c r="G11388" s="6" t="n">
        <f aca="false">Sens!F11388*(1+Sens!G11389)</f>
        <v>109.630477277949</v>
      </c>
      <c r="H11388" s="6" t="n">
        <f aca="false">Sens!G11388*(1+Sens!H11389)</f>
        <v>127.293256321956</v>
      </c>
      <c r="I11388" s="6" t="n">
        <f aca="false">Sens!H11388*(1+Sens!I11389)</f>
        <v>144.360052269491</v>
      </c>
      <c r="J11388" s="6" t="n">
        <f aca="false">Sens!I11388*(1+Sens!J11389)</f>
        <v>159.811964490216</v>
      </c>
      <c r="K11388" s="6" t="n">
        <f aca="false">Sens!J11388*(1+Sens!K11389)</f>
        <v>172.596921649434</v>
      </c>
      <c r="L11388" s="12" t="s">
        <v>1027</v>
      </c>
    </row>
    <row r="11389" customFormat="false" ht="15" hidden="false" customHeight="false" outlineLevel="0" collapsed="false">
      <c r="A11389" s="1" t="s">
        <v>1028</v>
      </c>
      <c r="B11389" s="0" t="s">
        <v>168</v>
      </c>
      <c r="E11389" s="7" t="n">
        <f aca="false">Sens!E11388/Sens!D11388-1</f>
        <v>0.242223883039864</v>
      </c>
      <c r="F11389" s="7" t="n">
        <f aca="false">Sens!$E$11389+(glt_azo-Sens!$E$11389)*MIN(1,(Sens!F11346-base_fy)/n_conv)</f>
        <v>0.215186569199887</v>
      </c>
      <c r="G11389" s="7" t="n">
        <f aca="false">Sens!$E$11389+(glt_azo-Sens!$E$11389)*MIN(1,(Sens!G11346-base_fy)/n_conv)</f>
        <v>0.18814925535991</v>
      </c>
      <c r="H11389" s="7" t="n">
        <f aca="false">Sens!$E$11389+(glt_azo-Sens!$E$11389)*MIN(1,(Sens!H11346-base_fy)/n_conv)</f>
        <v>0.161111941519932</v>
      </c>
      <c r="I11389" s="7" t="n">
        <f aca="false">Sens!$E$11389+(glt_azo-Sens!$E$11389)*MIN(1,(Sens!I11346-base_fy)/n_conv)</f>
        <v>0.134074627679955</v>
      </c>
      <c r="J11389" s="7" t="n">
        <f aca="false">Sens!$E$11389+(glt_azo-Sens!$E$11389)*MIN(1,(Sens!J11346-base_fy)/n_conv)</f>
        <v>0.107037313839977</v>
      </c>
      <c r="K11389" s="7" t="n">
        <f aca="false">Sens!$E$11389+(glt_azo-Sens!$E$11389)*MIN(1,(Sens!K11346-base_fy)/n_conv)</f>
        <v>0.08</v>
      </c>
    </row>
    <row r="11390" customFormat="false" ht="15" hidden="false" customHeight="false" outlineLevel="0" collapsed="false">
      <c r="A11390" s="0" t="s">
        <v>1029</v>
      </c>
      <c r="B11390" s="0" t="s">
        <v>98</v>
      </c>
      <c r="D11390" s="6" t="n">
        <f aca="false">Sens!D11387+Sens!D11388</f>
        <v>72.61</v>
      </c>
      <c r="E11390" s="6" t="n">
        <f aca="false">Sens!E11387+Sens!E11388</f>
        <v>101.938</v>
      </c>
      <c r="F11390" s="6" t="n">
        <f aca="false">Sens!F11387+Sens!F11388</f>
        <v>143.251883553698</v>
      </c>
      <c r="G11390" s="6" t="n">
        <f aca="false">Sens!G11387+Sens!G11388</f>
        <v>186.322520879442</v>
      </c>
      <c r="H11390" s="6" t="n">
        <f aca="false">Sens!H11387+Sens!H11388</f>
        <v>224.74279426379</v>
      </c>
      <c r="I11390" s="6" t="n">
        <f aca="false">Sens!I11387+Sens!I11388</f>
        <v>266.443497823359</v>
      </c>
      <c r="J11390" s="6" t="n">
        <f aca="false">Sens!J11387+Sens!J11388</f>
        <v>299.06102493502</v>
      </c>
      <c r="K11390" s="6" t="n">
        <f aca="false">Sens!K11387+Sens!K11388</f>
        <v>322.592740225023</v>
      </c>
    </row>
    <row r="11391" customFormat="false" ht="17.15" hidden="false" customHeight="false" outlineLevel="0" collapsed="false">
      <c r="A11391" s="0" t="s">
        <v>1030</v>
      </c>
      <c r="B11391" s="1" t="s">
        <v>613</v>
      </c>
      <c r="C11391" s="30" t="n">
        <f aca="false">cop_s24</f>
        <v>1</v>
      </c>
      <c r="D11391" s="30" t="n">
        <f aca="false">cop_s25</f>
        <v>5</v>
      </c>
      <c r="E11391" s="30" t="n">
        <f aca="false">cop_s26</f>
        <v>30</v>
      </c>
      <c r="F11391" s="30" t="n">
        <f aca="false">Sens!E11391+cop_add_C</f>
        <v>40</v>
      </c>
      <c r="G11391" s="30" t="n">
        <f aca="false">Sens!F11391+cop_add_C</f>
        <v>50</v>
      </c>
      <c r="H11391" s="30" t="n">
        <f aca="false">Sens!G11391+cop_add_C</f>
        <v>60</v>
      </c>
      <c r="I11391" s="30" t="n">
        <f aca="false">Sens!H11391+cop_add_C*cop_tail</f>
        <v>65</v>
      </c>
      <c r="J11391" s="30" t="n">
        <f aca="false">Sens!I11391+cop_add_C*cop_tail</f>
        <v>70</v>
      </c>
      <c r="K11391" s="30" t="n">
        <f aca="false">Sens!J11391+cop_add_C*cop_tail</f>
        <v>75</v>
      </c>
      <c r="L11391" s="12" t="s">
        <v>1031</v>
      </c>
    </row>
    <row r="11392" customFormat="false" ht="17.15" hidden="false" customHeight="false" outlineLevel="0" collapsed="false">
      <c r="A11392" s="0" t="s">
        <v>1032</v>
      </c>
      <c r="B11392" s="0" t="s">
        <v>98</v>
      </c>
      <c r="D11392" s="6" t="n">
        <f aca="false">(Sens!C11391+Sens!D11391)/2*cop_px*12/1000</f>
        <v>0.9</v>
      </c>
      <c r="E11392" s="6" t="n">
        <f aca="false">(Sens!D11391+Sens!E11391)/2*cop_px*12/1000</f>
        <v>5.25</v>
      </c>
      <c r="F11392" s="6" t="n">
        <f aca="false">(Sens!E11391+Sens!F11391)/2*cop_px*12/1000</f>
        <v>10.5</v>
      </c>
      <c r="G11392" s="6" t="n">
        <f aca="false">(Sens!F11391+Sens!G11391)/2*cop_px*12/1000</f>
        <v>13.5</v>
      </c>
      <c r="H11392" s="6" t="n">
        <f aca="false">(Sens!G11391+Sens!H11391)/2*cop_px*12/1000</f>
        <v>16.5</v>
      </c>
      <c r="I11392" s="6" t="n">
        <f aca="false">(Sens!H11391+Sens!I11391)/2*cop_px*12/1000</f>
        <v>18.75</v>
      </c>
      <c r="J11392" s="6" t="n">
        <f aca="false">(Sens!I11391+Sens!J11391)/2*cop_px*12/1000</f>
        <v>20.25</v>
      </c>
      <c r="K11392" s="6" t="n">
        <f aca="false">(Sens!J11391+Sens!K11391)/2*cop_px*12/1000</f>
        <v>21.75</v>
      </c>
      <c r="L11392" s="1" t="s">
        <v>1033</v>
      </c>
    </row>
    <row r="11393" customFormat="false" ht="17.15" hidden="false" customHeight="false" outlineLevel="0" collapsed="false">
      <c r="A11393" s="0" t="s">
        <v>1034</v>
      </c>
      <c r="B11393" s="0" t="s">
        <v>98</v>
      </c>
      <c r="D11393" s="6" t="n">
        <f aca="false">Q!L7-Sens!D11392</f>
        <v>83.705</v>
      </c>
      <c r="E11393" s="6" t="n">
        <f aca="false">Q!M7-Sens!E11392</f>
        <v>95.049</v>
      </c>
      <c r="F11393" s="6" t="n">
        <f aca="false">Q!$I$7+(Sens!E11393*(1+Sens!F11394)+Sens!F11392)*(1-Q!$E$7/Q!M7)-Sens!F11392</f>
        <v>106.938354189776</v>
      </c>
      <c r="G11393" s="6" t="n">
        <f aca="false">Sens!F11393*(1+Sens!G11394)</f>
        <v>119.095360443801</v>
      </c>
      <c r="H11393" s="6" t="n">
        <f aca="false">Sens!G11393*(1+Sens!H11394)</f>
        <v>131.333811964563</v>
      </c>
      <c r="I11393" s="6" t="n">
        <f aca="false">Sens!H11393*(1+Sens!I11394)</f>
        <v>143.395665319381</v>
      </c>
      <c r="J11393" s="6" t="n">
        <f aca="false">Sens!I11393*(1+Sens!J11394)</f>
        <v>154.999327755573</v>
      </c>
      <c r="K11393" s="6" t="n">
        <f aca="false">Sens!J11393*(1+Sens!K11394)</f>
        <v>165.849280698463</v>
      </c>
      <c r="L11393" s="12" t="s">
        <v>1035</v>
      </c>
    </row>
    <row r="11394" customFormat="false" ht="15" hidden="false" customHeight="false" outlineLevel="0" collapsed="false">
      <c r="A11394" s="1" t="s">
        <v>1028</v>
      </c>
      <c r="B11394" s="0" t="s">
        <v>168</v>
      </c>
      <c r="E11394" s="7" t="n">
        <f aca="false">Sens!E11393/Sens!D11393-1</f>
        <v>0.135523564900544</v>
      </c>
      <c r="F11394" s="7" t="n">
        <f aca="false">Sens!$E$11394+(glt_m365b-Sens!$E$11394)*MIN(1,(Sens!F11346-base_fy)/n_conv)</f>
        <v>0.124602970750453</v>
      </c>
      <c r="G11394" s="7" t="n">
        <f aca="false">Sens!$E$11394+(glt_m365b-Sens!$E$11394)*MIN(1,(Sens!G11346-base_fy)/n_conv)</f>
        <v>0.113682376600363</v>
      </c>
      <c r="H11394" s="7" t="n">
        <f aca="false">Sens!$E$11394+(glt_m365b-Sens!$E$11394)*MIN(1,(Sens!H11346-base_fy)/n_conv)</f>
        <v>0.102761782450272</v>
      </c>
      <c r="I11394" s="7" t="n">
        <f aca="false">Sens!$E$11394+(glt_m365b-Sens!$E$11394)*MIN(1,(Sens!I11346-base_fy)/n_conv)</f>
        <v>0.0918411883001813</v>
      </c>
      <c r="J11394" s="7" t="n">
        <f aca="false">Sens!$E$11394+(glt_m365b-Sens!$E$11394)*MIN(1,(Sens!J11346-base_fy)/n_conv)</f>
        <v>0.0809205941500906</v>
      </c>
      <c r="K11394" s="7" t="n">
        <f aca="false">Sens!$E$11394+(glt_m365b-Sens!$E$11394)*MIN(1,(Sens!K11346-base_fy)/n_conv)</f>
        <v>0.07</v>
      </c>
    </row>
    <row r="11395" customFormat="false" ht="15" hidden="false" customHeight="false" outlineLevel="0" collapsed="false">
      <c r="A11395" s="0" t="s">
        <v>1036</v>
      </c>
      <c r="B11395" s="0" t="s">
        <v>98</v>
      </c>
      <c r="D11395" s="6" t="n">
        <f aca="false">Sens!D11393+Sens!D11392</f>
        <v>84.605</v>
      </c>
      <c r="E11395" s="6" t="n">
        <f aca="false">Sens!E11393+Sens!E11392</f>
        <v>100.299</v>
      </c>
      <c r="F11395" s="6" t="n">
        <f aca="false">Sens!F11393+Sens!F11392</f>
        <v>117.438354189776</v>
      </c>
      <c r="G11395" s="6" t="n">
        <f aca="false">Sens!G11393+Sens!G11392</f>
        <v>132.595360443801</v>
      </c>
      <c r="H11395" s="6" t="n">
        <f aca="false">Sens!H11393+Sens!H11392</f>
        <v>147.833811964563</v>
      </c>
      <c r="I11395" s="6" t="n">
        <f aca="false">Sens!I11393+Sens!I11392</f>
        <v>162.145665319381</v>
      </c>
      <c r="J11395" s="6" t="n">
        <f aca="false">Sens!J11393+Sens!J11392</f>
        <v>175.249327755573</v>
      </c>
      <c r="K11395" s="6" t="n">
        <f aca="false">Sens!K11393+Sens!K11392</f>
        <v>187.599280698463</v>
      </c>
    </row>
    <row r="11396" customFormat="false" ht="17.15" hidden="false" customHeight="false" outlineLevel="0" collapsed="false">
      <c r="A11396" s="0" t="s">
        <v>1037</v>
      </c>
      <c r="B11396" s="0" t="s">
        <v>98</v>
      </c>
      <c r="D11396" s="6" t="n">
        <f aca="false">Q!L8</f>
        <v>35.391</v>
      </c>
      <c r="E11396" s="6" t="n">
        <f aca="false">Q!M8</f>
        <v>37.285</v>
      </c>
      <c r="F11396" s="6" t="n">
        <f aca="false">Q!$I$8+(Q!M8-Q!$E$8)*(1+Sens!F11397)</f>
        <v>38.3851437782675</v>
      </c>
      <c r="G11396" s="6" t="n">
        <f aca="false">Sens!F11396*(1+Sens!G11397)</f>
        <v>40.0105353288615</v>
      </c>
      <c r="H11396" s="6" t="n">
        <f aca="false">Sens!G11396*(1+Sens!H11397)</f>
        <v>41.4812512033683</v>
      </c>
      <c r="I11396" s="6" t="n">
        <f aca="false">Sens!H11396*(1+Sens!I11397)</f>
        <v>42.7743107216329</v>
      </c>
      <c r="J11396" s="6" t="n">
        <f aca="false">Sens!I11396*(1+Sens!J11397)</f>
        <v>43.8687373064601</v>
      </c>
      <c r="K11396" s="6" t="n">
        <f aca="false">Sens!J11396*(1+Sens!K11397)</f>
        <v>44.7461120525893</v>
      </c>
      <c r="L11396" s="12" t="s">
        <v>1038</v>
      </c>
    </row>
    <row r="11397" customFormat="false" ht="15" hidden="false" customHeight="false" outlineLevel="0" collapsed="false">
      <c r="A11397" s="1" t="s">
        <v>1028</v>
      </c>
      <c r="B11397" s="0" t="s">
        <v>168</v>
      </c>
      <c r="E11397" s="7" t="n">
        <f aca="false">Sens!E11396/Sens!D11396-1</f>
        <v>0.0535164307309768</v>
      </c>
      <c r="F11397" s="7" t="n">
        <f aca="false">Sens!$E$11397+(glt_lic-Sens!$E$11397)*MIN(1,(Sens!F11346-base_fy)/n_conv)</f>
        <v>0.0479303589424807</v>
      </c>
      <c r="G11397" s="7" t="n">
        <f aca="false">Sens!$E$11397+(glt_lic-Sens!$E$11397)*MIN(1,(Sens!G11346-base_fy)/n_conv)</f>
        <v>0.0423442871539845</v>
      </c>
      <c r="H11397" s="7" t="n">
        <f aca="false">Sens!$E$11397+(glt_lic-Sens!$E$11397)*MIN(1,(Sens!H11346-base_fy)/n_conv)</f>
        <v>0.0367582153654884</v>
      </c>
      <c r="I11397" s="7" t="n">
        <f aca="false">Sens!$E$11397+(glt_lic-Sens!$E$11397)*MIN(1,(Sens!I11346-base_fy)/n_conv)</f>
        <v>0.0311721435769923</v>
      </c>
      <c r="J11397" s="7" t="n">
        <f aca="false">Sens!$E$11397+(glt_lic-Sens!$E$11397)*MIN(1,(Sens!J11346-base_fy)/n_conv)</f>
        <v>0.0255860717884961</v>
      </c>
      <c r="K11397" s="7" t="n">
        <f aca="false">Sens!$E$11397+(glt_lic-Sens!$E$11397)*MIN(1,(Sens!K11346-base_fy)/n_conv)</f>
        <v>0.02</v>
      </c>
    </row>
    <row r="11398" customFormat="false" ht="17.15" hidden="false" customHeight="false" outlineLevel="0" collapsed="false">
      <c r="A11398" s="0" t="s">
        <v>1039</v>
      </c>
      <c r="B11398" s="0" t="s">
        <v>98</v>
      </c>
      <c r="D11398" s="6" t="n">
        <f aca="false">Q!L9</f>
        <v>18.417</v>
      </c>
      <c r="E11398" s="6" t="n">
        <f aca="false">Q!M9</f>
        <v>20.345</v>
      </c>
      <c r="F11398" s="6" t="n">
        <f aca="false">Q!$I$9+(Q!M9-Q!$E$9)*(1+Sens!F11399)</f>
        <v>22.3161797133988</v>
      </c>
      <c r="G11398" s="6" t="n">
        <f aca="false">Sens!F11398*(1+Sens!G11399)</f>
        <v>24.3943499673233</v>
      </c>
      <c r="H11398" s="6" t="n">
        <f aca="false">Sens!G11398*(1+Sens!H11399)</f>
        <v>26.5250243109019</v>
      </c>
      <c r="I11398" s="6" t="n">
        <f aca="false">Sens!H11398*(1+Sens!I11399)</f>
        <v>28.6884573538181</v>
      </c>
      <c r="J11398" s="6" t="n">
        <f aca="false">Sens!I11398*(1+Sens!J11399)</f>
        <v>30.8624968052127</v>
      </c>
      <c r="K11398" s="6" t="n">
        <f aca="false">Sens!J11398*(1+Sens!K11399)</f>
        <v>33.0228715815776</v>
      </c>
      <c r="L11398" s="12" t="s">
        <v>1038</v>
      </c>
    </row>
    <row r="11399" customFormat="false" ht="15" hidden="false" customHeight="false" outlineLevel="0" collapsed="false">
      <c r="A11399" s="1" t="s">
        <v>1028</v>
      </c>
      <c r="B11399" s="0" t="s">
        <v>168</v>
      </c>
      <c r="E11399" s="7" t="n">
        <f aca="false">Sens!E11398/Sens!D11398-1</f>
        <v>0.104685888038225</v>
      </c>
      <c r="F11399" s="7" t="n">
        <f aca="false">Sens!$E$11399+(glt_ind-Sens!$E$11399)*MIN(1,(Sens!F11346-base_fy)/n_conv)</f>
        <v>0.0989049066985211</v>
      </c>
      <c r="G11399" s="7" t="n">
        <f aca="false">Sens!$E$11399+(glt_ind-Sens!$E$11399)*MIN(1,(Sens!G11346-base_fy)/n_conv)</f>
        <v>0.0931239253588169</v>
      </c>
      <c r="H11399" s="7" t="n">
        <f aca="false">Sens!$E$11399+(glt_ind-Sens!$E$11399)*MIN(1,(Sens!H11346-base_fy)/n_conv)</f>
        <v>0.0873429440191127</v>
      </c>
      <c r="I11399" s="7" t="n">
        <f aca="false">Sens!$E$11399+(glt_ind-Sens!$E$11399)*MIN(1,(Sens!I11346-base_fy)/n_conv)</f>
        <v>0.0815619626794085</v>
      </c>
      <c r="J11399" s="7" t="n">
        <f aca="false">Sens!$E$11399+(glt_ind-Sens!$E$11399)*MIN(1,(Sens!J11346-base_fy)/n_conv)</f>
        <v>0.0757809813397042</v>
      </c>
      <c r="K11399" s="7" t="n">
        <f aca="false">Sens!$E$11399+(glt_ind-Sens!$E$11399)*MIN(1,(Sens!K11346-base_fy)/n_conv)</f>
        <v>0.07</v>
      </c>
    </row>
    <row r="11400" customFormat="false" ht="17.15" hidden="false" customHeight="false" outlineLevel="0" collapsed="false">
      <c r="A11400" s="0" t="s">
        <v>1040</v>
      </c>
      <c r="B11400" s="0" t="s">
        <v>98</v>
      </c>
      <c r="D11400" s="6" t="n">
        <f aca="false">Q!L10</f>
        <v>7.76</v>
      </c>
      <c r="E11400" s="6" t="n">
        <f aca="false">Q!M10</f>
        <v>8.26</v>
      </c>
      <c r="F11400" s="6" t="n">
        <f aca="false">Q!$I$10+(Q!M10-Q!$E$10)*(1+Sens!F11401)</f>
        <v>8.75372082474227</v>
      </c>
      <c r="G11400" s="6" t="n">
        <f aca="false">Sens!F11400*(1+Sens!G11401)</f>
        <v>9.33399324642364</v>
      </c>
      <c r="H11400" s="6" t="n">
        <f aca="false">Sens!G11400*(1+Sens!H11401)</f>
        <v>9.96139155535851</v>
      </c>
      <c r="I11400" s="6" t="n">
        <f aca="false">Sens!H11400*(1+Sens!I11401)</f>
        <v>10.6402039077391</v>
      </c>
      <c r="J11400" s="6" t="n">
        <f aca="false">Sens!I11400*(1+Sens!J11401)</f>
        <v>11.3751458271397</v>
      </c>
      <c r="K11400" s="6" t="n">
        <f aca="false">Sens!J11400*(1+Sens!K11401)</f>
        <v>12.1714060350394</v>
      </c>
      <c r="L11400" s="12" t="s">
        <v>1038</v>
      </c>
    </row>
    <row r="11401" customFormat="false" ht="15" hidden="false" customHeight="false" outlineLevel="0" collapsed="false">
      <c r="A11401" s="1" t="s">
        <v>1028</v>
      </c>
      <c r="B11401" s="0" t="s">
        <v>168</v>
      </c>
      <c r="E11401" s="7" t="n">
        <f aca="false">Sens!E11400/Sens!D11400-1</f>
        <v>0.0644329896907216</v>
      </c>
      <c r="F11401" s="7" t="n">
        <f aca="false">Sens!$E$11401+(glt_fro-Sens!$E$11401)*MIN(1,(Sens!F11346-base_fy)/n_conv)</f>
        <v>0.065360824742268</v>
      </c>
      <c r="G11401" s="7" t="n">
        <f aca="false">Sens!$E$11401+(glt_fro-Sens!$E$11401)*MIN(1,(Sens!G11346-base_fy)/n_conv)</f>
        <v>0.0662886597938144</v>
      </c>
      <c r="H11401" s="7" t="n">
        <f aca="false">Sens!$E$11401+(glt_fro-Sens!$E$11401)*MIN(1,(Sens!H11346-base_fy)/n_conv)</f>
        <v>0.0672164948453608</v>
      </c>
      <c r="I11401" s="7" t="n">
        <f aca="false">Sens!$E$11401+(glt_fro-Sens!$E$11401)*MIN(1,(Sens!I11346-base_fy)/n_conv)</f>
        <v>0.0681443298969072</v>
      </c>
      <c r="J11401" s="7" t="n">
        <f aca="false">Sens!$E$11401+(glt_fro-Sens!$E$11401)*MIN(1,(Sens!J11346-base_fy)/n_conv)</f>
        <v>0.0690721649484536</v>
      </c>
      <c r="K11401" s="7" t="n">
        <f aca="false">Sens!$E$11401+(glt_fro-Sens!$E$11401)*MIN(1,(Sens!K11346-base_fy)/n_conv)</f>
        <v>0.07</v>
      </c>
    </row>
    <row r="11402" customFormat="false" ht="15" hidden="false" customHeight="false" outlineLevel="0" collapsed="false">
      <c r="A11402" s="0" t="s">
        <v>856</v>
      </c>
      <c r="B11402" s="0" t="s">
        <v>98</v>
      </c>
      <c r="D11402" s="6" t="n">
        <f aca="false">Sens!D11390+Sens!D11395+Sens!D11396+Sens!D11398+Sens!D11400</f>
        <v>218.783</v>
      </c>
      <c r="E11402" s="6" t="n">
        <f aca="false">Sens!E11390+Sens!E11395+Sens!E11396+Sens!E11398+Sens!E11400</f>
        <v>268.127</v>
      </c>
      <c r="F11402" s="6" t="n">
        <f aca="false">Sens!F11390+Sens!F11395+Sens!F11396+Sens!F11398+Sens!F11400</f>
        <v>330.145282059882</v>
      </c>
      <c r="G11402" s="6" t="n">
        <f aca="false">Sens!G11390+Sens!G11395+Sens!G11396+Sens!G11398+Sens!G11400</f>
        <v>392.656759865851</v>
      </c>
      <c r="H11402" s="6" t="n">
        <f aca="false">Sens!H11390+Sens!H11395+Sens!H11396+Sens!H11398+Sens!H11400</f>
        <v>450.544273297982</v>
      </c>
      <c r="I11402" s="6" t="n">
        <f aca="false">Sens!I11390+Sens!I11395+Sens!I11396+Sens!I11398+Sens!I11400</f>
        <v>510.69213512593</v>
      </c>
      <c r="J11402" s="6" t="n">
        <f aca="false">Sens!J11390+Sens!J11395+Sens!J11396+Sens!J11398+Sens!J11400</f>
        <v>560.416732629406</v>
      </c>
      <c r="K11402" s="6" t="n">
        <f aca="false">Sens!K11390+Sens!K11395+Sens!K11396+Sens!K11398+Sens!K11400</f>
        <v>600.132410592692</v>
      </c>
    </row>
    <row r="11403" customFormat="false" ht="17.15" hidden="false" customHeight="false" outlineLevel="0" collapsed="false">
      <c r="A11403" s="0" t="s">
        <v>1041</v>
      </c>
      <c r="B11403" s="0" t="s">
        <v>98</v>
      </c>
      <c r="D11403" s="6" t="n">
        <f aca="false">Q!L13</f>
        <v>22.171</v>
      </c>
      <c r="E11403" s="6" t="n">
        <f aca="false">Q!M13</f>
        <v>24.835</v>
      </c>
      <c r="F11403" s="6" t="n">
        <f aca="false">Q!$I$13+(Q!M13-Q!$E$13)*(1+Sens!F11404)</f>
        <v>27.6536545660247</v>
      </c>
      <c r="G11403" s="6" t="n">
        <f aca="false">Sens!F11403*(1+Sens!G11404)</f>
        <v>30.7906291283826</v>
      </c>
      <c r="H11403" s="6" t="n">
        <f aca="false">Sens!G11403*(1+Sens!H11404)</f>
        <v>34.1800148087432</v>
      </c>
      <c r="I11403" s="6" t="n">
        <f aca="false">Sens!H11403*(1+Sens!I11404)</f>
        <v>37.8276713738571</v>
      </c>
      <c r="J11403" s="6" t="n">
        <f aca="false">Sens!I11403*(1+Sens!J11404)</f>
        <v>41.7375203323678</v>
      </c>
      <c r="K11403" s="6" t="n">
        <f aca="false">Sens!J11403*(1+Sens!K11404)</f>
        <v>45.9112723656046</v>
      </c>
      <c r="L11403" s="12" t="s">
        <v>1038</v>
      </c>
    </row>
    <row r="11404" customFormat="false" ht="15" hidden="false" customHeight="false" outlineLevel="0" collapsed="false">
      <c r="A11404" s="1" t="s">
        <v>1028</v>
      </c>
      <c r="B11404" s="0" t="s">
        <v>168</v>
      </c>
      <c r="E11404" s="7" t="n">
        <f aca="false">Sens!E11403/Sens!D11403-1</f>
        <v>0.120156961796942</v>
      </c>
      <c r="F11404" s="7" t="n">
        <f aca="false">Sens!$E$11404+(glt_srch_hi-Sens!$E$11404)*MIN(1,(Sens!F11346-base_fy)/n_conv)</f>
        <v>0.116797468164118</v>
      </c>
      <c r="G11404" s="7" t="n">
        <f aca="false">Sens!$E$11404+(glt_srch_hi-Sens!$E$11404)*MIN(1,(Sens!G11346-base_fy)/n_conv)</f>
        <v>0.113437974531295</v>
      </c>
      <c r="H11404" s="7" t="n">
        <f aca="false">Sens!$E$11404+(glt_srch_hi-Sens!$E$11404)*MIN(1,(Sens!H11346-base_fy)/n_conv)</f>
        <v>0.110078480898471</v>
      </c>
      <c r="I11404" s="7" t="n">
        <f aca="false">Sens!$E$11404+(glt_srch_hi-Sens!$E$11404)*MIN(1,(Sens!I11346-base_fy)/n_conv)</f>
        <v>0.106718987265647</v>
      </c>
      <c r="J11404" s="7" t="n">
        <f aca="false">Sens!$E$11404+(glt_srch_hi-Sens!$E$11404)*MIN(1,(Sens!J11346-base_fy)/n_conv)</f>
        <v>0.103359493632824</v>
      </c>
      <c r="K11404" s="7" t="n">
        <f aca="false">Sens!$E$11404+(glt_srch_hi-Sens!$E$11404)*MIN(1,(Sens!K11346-base_fy)/n_conv)</f>
        <v>0.1</v>
      </c>
    </row>
    <row r="11405" customFormat="false" ht="17.15" hidden="false" customHeight="false" outlineLevel="0" collapsed="false">
      <c r="A11405" s="0" t="s">
        <v>1042</v>
      </c>
      <c r="B11405" s="0" t="s">
        <v>98</v>
      </c>
      <c r="D11405" s="6" t="n">
        <f aca="false">Q!L14</f>
        <v>23.455</v>
      </c>
      <c r="E11405" s="6" t="n">
        <f aca="false">Q!M14</f>
        <v>21.79</v>
      </c>
      <c r="F11405" s="6" t="n">
        <f aca="false">Q!$I$14+(Q!M14-Q!$E$14)*(1+Sens!F11406)</f>
        <v>20.7520981041711</v>
      </c>
      <c r="G11405" s="6" t="n">
        <f aca="false">Sens!F11405*(1+Sens!G11406)</f>
        <v>19.9083593495882</v>
      </c>
      <c r="H11405" s="6" t="n">
        <f aca="false">Sens!G11405*(1+Sens!H11406)</f>
        <v>19.4008256265831</v>
      </c>
      <c r="I11405" s="6" t="n">
        <f aca="false">Sens!H11405*(1+Sens!I11406)</f>
        <v>19.200434522122</v>
      </c>
      <c r="J11405" s="6" t="n">
        <f aca="false">Sens!I11405*(1+Sens!J11406)</f>
        <v>19.2932782348507</v>
      </c>
      <c r="K11405" s="6" t="n">
        <f aca="false">Sens!J11405*(1+Sens!K11406)</f>
        <v>19.6791437995477</v>
      </c>
      <c r="L11405" s="12" t="s">
        <v>1038</v>
      </c>
    </row>
    <row r="11406" customFormat="false" ht="15" hidden="false" customHeight="false" outlineLevel="0" collapsed="false">
      <c r="A11406" s="1" t="s">
        <v>1028</v>
      </c>
      <c r="B11406" s="0" t="s">
        <v>168</v>
      </c>
      <c r="E11406" s="7" t="n">
        <f aca="false">Sens!E11405/Sens!D11405-1</f>
        <v>-0.0709869963760392</v>
      </c>
      <c r="F11406" s="7" t="n">
        <f aca="false">Sens!$E$11406+(glt_xbox-Sens!$E$11406)*MIN(1,(Sens!F11346-base_fy)/n_conv)</f>
        <v>-0.0558224969800327</v>
      </c>
      <c r="G11406" s="7" t="n">
        <f aca="false">Sens!$E$11406+(glt_xbox-Sens!$E$11406)*MIN(1,(Sens!G11346-base_fy)/n_conv)</f>
        <v>-0.0406579975840262</v>
      </c>
      <c r="H11406" s="7" t="n">
        <f aca="false">Sens!$E$11406+(glt_xbox-Sens!$E$11406)*MIN(1,(Sens!H11346-base_fy)/n_conv)</f>
        <v>-0.0254934981880196</v>
      </c>
      <c r="I11406" s="7" t="n">
        <f aca="false">Sens!$E$11406+(glt_xbox-Sens!$E$11406)*MIN(1,(Sens!I11346-base_fy)/n_conv)</f>
        <v>-0.0103289987920131</v>
      </c>
      <c r="J11406" s="7" t="n">
        <f aca="false">Sens!$E$11406+(glt_xbox-Sens!$E$11406)*MIN(1,(Sens!J11346-base_fy)/n_conv)</f>
        <v>0.00483550060399347</v>
      </c>
      <c r="K11406" s="7" t="n">
        <f aca="false">Sens!$E$11406+(glt_xbox-Sens!$E$11406)*MIN(1,(Sens!K11346-base_fy)/n_conv)</f>
        <v>0.02</v>
      </c>
    </row>
    <row r="11407" customFormat="false" ht="17.15" hidden="false" customHeight="false" outlineLevel="0" collapsed="false">
      <c r="A11407" s="0" t="s">
        <v>1043</v>
      </c>
      <c r="B11407" s="0" t="s">
        <v>98</v>
      </c>
      <c r="D11407" s="6" t="n">
        <f aca="false">Q!L15</f>
        <v>17.315</v>
      </c>
      <c r="E11407" s="6" t="n">
        <f aca="false">Q!M15</f>
        <v>17.087</v>
      </c>
      <c r="F11407" s="6" t="n">
        <f aca="false">Q!$I$15+(Q!M15-Q!$E$15)*(1+Sens!F11408)</f>
        <v>15.9912273250553</v>
      </c>
      <c r="G11407" s="6" t="n">
        <f aca="false">Sens!F11407*(1+Sens!G11408)</f>
        <v>15.9574562664827</v>
      </c>
      <c r="H11407" s="6" t="n">
        <f aca="false">Sens!G11407*(1+Sens!H11408)</f>
        <v>16.0119687434196</v>
      </c>
      <c r="I11407" s="6" t="n">
        <f aca="false">Sens!H11407*(1+Sens!I11408)</f>
        <v>16.1551810001948</v>
      </c>
      <c r="J11407" s="6" t="n">
        <f aca="false">Sens!I11407*(1+Sens!J11408)</f>
        <v>16.3889793892005</v>
      </c>
      <c r="K11407" s="6" t="n">
        <f aca="false">Sens!J11407*(1+Sens!K11408)</f>
        <v>16.7167589769845</v>
      </c>
      <c r="L11407" s="12" t="s">
        <v>1038</v>
      </c>
    </row>
    <row r="11408" customFormat="false" ht="15" hidden="false" customHeight="false" outlineLevel="0" collapsed="false">
      <c r="A11408" s="1" t="s">
        <v>1028</v>
      </c>
      <c r="B11408" s="0" t="s">
        <v>168</v>
      </c>
      <c r="E11408" s="7" t="n">
        <f aca="false">Sens!E11407/Sens!D11407-1</f>
        <v>-0.0131677736066995</v>
      </c>
      <c r="F11408" s="7" t="n">
        <f aca="false">Sens!$E$11408+(glt_win-Sens!$E$11408)*MIN(1,(Sens!F11346-base_fy)/n_conv)</f>
        <v>-0.00763981133891627</v>
      </c>
      <c r="G11408" s="7" t="n">
        <f aca="false">Sens!$E$11408+(glt_win-Sens!$E$11408)*MIN(1,(Sens!G11346-base_fy)/n_conv)</f>
        <v>-0.00211184907113301</v>
      </c>
      <c r="H11408" s="7" t="n">
        <f aca="false">Sens!$E$11408+(glt_win-Sens!$E$11408)*MIN(1,(Sens!H11346-base_fy)/n_conv)</f>
        <v>0.00341611319665024</v>
      </c>
      <c r="I11408" s="7" t="n">
        <f aca="false">Sens!$E$11408+(glt_win-Sens!$E$11408)*MIN(1,(Sens!I11346-base_fy)/n_conv)</f>
        <v>0.00894407546443349</v>
      </c>
      <c r="J11408" s="7" t="n">
        <f aca="false">Sens!$E$11408+(glt_win-Sens!$E$11408)*MIN(1,(Sens!J11346-base_fy)/n_conv)</f>
        <v>0.0144720377322168</v>
      </c>
      <c r="K11408" s="7" t="n">
        <f aca="false">Sens!$E$11408+(glt_win-Sens!$E$11408)*MIN(1,(Sens!K11346-base_fy)/n_conv)</f>
        <v>0.02</v>
      </c>
    </row>
    <row r="11409" customFormat="false" ht="15" hidden="false" customHeight="false" outlineLevel="0" collapsed="false">
      <c r="A11409" s="0" t="s">
        <v>870</v>
      </c>
      <c r="B11409" s="0" t="s">
        <v>98</v>
      </c>
      <c r="D11409" s="6" t="n">
        <f aca="false">Sens!D11403+Sens!D11405+Sens!D11407</f>
        <v>62.941</v>
      </c>
      <c r="E11409" s="6" t="n">
        <f aca="false">Sens!E11403+Sens!E11405+Sens!E11407</f>
        <v>63.712</v>
      </c>
      <c r="F11409" s="6" t="n">
        <f aca="false">Sens!F11403+Sens!F11405+Sens!F11407</f>
        <v>64.3969799952511</v>
      </c>
      <c r="G11409" s="6" t="n">
        <f aca="false">Sens!G11403+Sens!G11405+Sens!G11407</f>
        <v>66.6564447444535</v>
      </c>
      <c r="H11409" s="6" t="n">
        <f aca="false">Sens!H11403+Sens!H11405+Sens!H11407</f>
        <v>69.5928091787458</v>
      </c>
      <c r="I11409" s="6" t="n">
        <f aca="false">Sens!I11403+Sens!I11405+Sens!I11407</f>
        <v>73.183286896174</v>
      </c>
      <c r="J11409" s="6" t="n">
        <f aca="false">Sens!J11403+Sens!J11405+Sens!J11407</f>
        <v>77.419777956419</v>
      </c>
      <c r="K11409" s="6" t="n">
        <f aca="false">Sens!K11403+Sens!K11405+Sens!K11407</f>
        <v>82.3071751421368</v>
      </c>
    </row>
    <row r="11410" customFormat="false" ht="15" hidden="false" customHeight="false" outlineLevel="0" collapsed="false">
      <c r="A11410" s="1" t="s">
        <v>1044</v>
      </c>
      <c r="B11410" s="0" t="s">
        <v>98</v>
      </c>
      <c r="D11410" s="6" t="n">
        <f aca="false">Sens!D11402+Sens!D11409</f>
        <v>281.724</v>
      </c>
      <c r="E11410" s="6" t="n">
        <f aca="false">Sens!E11402+Sens!E11409</f>
        <v>331.839</v>
      </c>
      <c r="F11410" s="6" t="n">
        <f aca="false">Sens!F11402+Sens!F11409</f>
        <v>394.542262055133</v>
      </c>
      <c r="G11410" s="6" t="n">
        <f aca="false">Sens!G11402+Sens!G11409</f>
        <v>459.313204610305</v>
      </c>
      <c r="H11410" s="6" t="n">
        <f aca="false">Sens!H11402+Sens!H11409</f>
        <v>520.137082476728</v>
      </c>
      <c r="I11410" s="6" t="n">
        <f aca="false">Sens!I11402+Sens!I11409</f>
        <v>583.875422022104</v>
      </c>
      <c r="J11410" s="6" t="n">
        <f aca="false">Sens!J11402+Sens!J11409</f>
        <v>637.836510585825</v>
      </c>
      <c r="K11410" s="6" t="n">
        <f aca="false">Sens!K11402+Sens!K11409</f>
        <v>682.439585734829</v>
      </c>
    </row>
    <row r="11411" customFormat="false" ht="15" hidden="false" customHeight="false" outlineLevel="0" collapsed="false">
      <c r="A11411" s="26" t="s">
        <v>1045</v>
      </c>
      <c r="B11411" s="31" t="s">
        <v>98</v>
      </c>
      <c r="C11411" s="31"/>
      <c r="D11411" s="27" t="n">
        <f aca="false">(Sens!D11390+Sens!D11395+Sens!D11396+Sens!D11398+Sens!D11400-Sens!D11402)+(Sens!D11403+Sens!D11405+Sens!D11407-Sens!D11409)+(Sens!D11402-Q!L5)+(Sens!D11409-Q!L12)+(Sens!D11390-Q!L6)+(Sens!D11395-Q!L7)</f>
        <v>0</v>
      </c>
      <c r="E11411" s="27" t="n">
        <f aca="false">(Sens!E11390+Sens!E11395+Sens!E11396+Sens!E11398+Sens!E11400-Sens!E11402)+(Sens!E11403+Sens!E11405+Sens!E11407-Sens!E11409)+(Sens!E11402-Q!M5)+(Sens!E11409-Q!M12)+(Sens!E11390-Q!M6)+(Sens!E11395-Q!M7)</f>
        <v>0</v>
      </c>
      <c r="F11411" s="27" t="n">
        <f aca="false">(Sens!F11390+Sens!F11395+Sens!F11396+Sens!F11398+Sens!F11400-Sens!F11402)+(Sens!F11403+Sens!F11405+Sens!F11407-Sens!F11409)</f>
        <v>0</v>
      </c>
      <c r="G11411" s="27" t="n">
        <f aca="false">(Sens!G11390+Sens!G11395+Sens!G11396+Sens!G11398+Sens!G11400-Sens!G11402)+(Sens!G11403+Sens!G11405+Sens!G11407-Sens!G11409)</f>
        <v>0</v>
      </c>
      <c r="H11411" s="27" t="n">
        <f aca="false">(Sens!H11390+Sens!H11395+Sens!H11396+Sens!H11398+Sens!H11400-Sens!H11402)+(Sens!H11403+Sens!H11405+Sens!H11407-Sens!H11409)</f>
        <v>0</v>
      </c>
      <c r="I11411" s="27" t="n">
        <f aca="false">(Sens!I11390+Sens!I11395+Sens!I11396+Sens!I11398+Sens!I11400-Sens!I11402)+(Sens!I11403+Sens!I11405+Sens!I11407-Sens!I11409)</f>
        <v>0</v>
      </c>
      <c r="J11411" s="27" t="n">
        <f aca="false">(Sens!J11390+Sens!J11395+Sens!J11396+Sens!J11398+Sens!J11400-Sens!J11402)+(Sens!J11403+Sens!J11405+Sens!J11407-Sens!J11409)</f>
        <v>0</v>
      </c>
      <c r="K11411" s="27" t="n">
        <f aca="false">(Sens!K11390+Sens!K11395+Sens!K11396+Sens!K11398+Sens!K11400-Sens!K11402)+(Sens!K11403+Sens!K11405+Sens!K11407-Sens!K11409)</f>
        <v>0</v>
      </c>
    </row>
    <row r="11412" customFormat="false" ht="17.15" hidden="false" customHeight="false" outlineLevel="0" collapsed="false">
      <c r="A11412" s="3" t="s">
        <v>1897</v>
      </c>
    </row>
    <row r="11413" customFormat="false" ht="15" hidden="false" customHeight="false" outlineLevel="0" collapsed="false">
      <c r="A11413" s="4" t="s">
        <v>43</v>
      </c>
      <c r="B11413" s="4" t="s">
        <v>65</v>
      </c>
      <c r="C11413" s="23" t="s">
        <v>942</v>
      </c>
      <c r="D11413" s="23" t="s">
        <v>943</v>
      </c>
      <c r="E11413" s="23" t="s">
        <v>944</v>
      </c>
      <c r="F11413" s="23" t="s">
        <v>945</v>
      </c>
      <c r="G11413" s="23" t="s">
        <v>946</v>
      </c>
      <c r="H11413" s="23" t="s">
        <v>947</v>
      </c>
      <c r="I11413" s="23" t="s">
        <v>948</v>
      </c>
      <c r="J11413" s="23" t="s">
        <v>949</v>
      </c>
      <c r="K11413" s="23" t="s">
        <v>950</v>
      </c>
      <c r="L11413" s="4" t="s">
        <v>47</v>
      </c>
    </row>
    <row r="11414" customFormat="false" ht="15" hidden="false" customHeight="false" outlineLevel="0" collapsed="false">
      <c r="A11414" s="0" t="s">
        <v>1029</v>
      </c>
      <c r="B11414" s="0" t="s">
        <v>98</v>
      </c>
      <c r="D11414" s="6" t="n">
        <f aca="false">Sens!D11390</f>
        <v>72.61</v>
      </c>
      <c r="E11414" s="6" t="n">
        <f aca="false">Sens!E11390</f>
        <v>101.938</v>
      </c>
      <c r="F11414" s="6" t="n">
        <f aca="false">Sens!F11390</f>
        <v>143.251883553698</v>
      </c>
      <c r="G11414" s="6" t="n">
        <f aca="false">Sens!G11390</f>
        <v>186.322520879442</v>
      </c>
      <c r="H11414" s="6" t="n">
        <f aca="false">Sens!H11390</f>
        <v>224.74279426379</v>
      </c>
      <c r="I11414" s="6" t="n">
        <f aca="false">Sens!I11390</f>
        <v>266.443497823359</v>
      </c>
      <c r="J11414" s="6" t="n">
        <f aca="false">Sens!J11390</f>
        <v>299.06102493502</v>
      </c>
      <c r="K11414" s="6" t="n">
        <f aca="false">Sens!K11390</f>
        <v>322.592740225023</v>
      </c>
    </row>
    <row r="11415" customFormat="false" ht="17.15" hidden="false" customHeight="false" outlineLevel="0" collapsed="false">
      <c r="A11415" s="0" t="s">
        <v>1025</v>
      </c>
      <c r="B11415" s="0" t="s">
        <v>98</v>
      </c>
      <c r="D11415" s="6" t="n">
        <f aca="false">Sens!D11387</f>
        <v>12.9359794422418</v>
      </c>
      <c r="E11415" s="6" t="n">
        <f aca="false">Sens!E11387</f>
        <v>27.8095064661409</v>
      </c>
      <c r="F11415" s="6" t="n">
        <f aca="false">Sens!F11387</f>
        <v>50.9819294352312</v>
      </c>
      <c r="G11415" s="6" t="n">
        <f aca="false">Sens!G11387</f>
        <v>76.6920436014933</v>
      </c>
      <c r="H11415" s="6" t="n">
        <f aca="false">Sens!H11387</f>
        <v>97.4495379418341</v>
      </c>
      <c r="I11415" s="6" t="n">
        <f aca="false">Sens!I11387</f>
        <v>122.083445553868</v>
      </c>
      <c r="J11415" s="6" t="n">
        <f aca="false">Sens!J11387</f>
        <v>139.249060444804</v>
      </c>
      <c r="K11415" s="6" t="n">
        <f aca="false">Sens!K11387</f>
        <v>149.995818575589</v>
      </c>
    </row>
    <row r="11416" customFormat="false" ht="17.15" hidden="false" customHeight="false" outlineLevel="0" collapsed="false">
      <c r="A11416" s="0" t="s">
        <v>1056</v>
      </c>
      <c r="B11416" s="0" t="s">
        <v>98</v>
      </c>
      <c r="D11416" s="6" t="n">
        <f aca="false">Sens!D11388</f>
        <v>59.6740205577583</v>
      </c>
      <c r="E11416" s="6" t="n">
        <f aca="false">Sens!E11388</f>
        <v>74.1284935338591</v>
      </c>
      <c r="F11416" s="6" t="n">
        <f aca="false">Sens!F11388</f>
        <v>92.2699541184664</v>
      </c>
      <c r="G11416" s="6" t="n">
        <f aca="false">Sens!G11388</f>
        <v>109.630477277949</v>
      </c>
      <c r="H11416" s="6" t="n">
        <f aca="false">Sens!H11388</f>
        <v>127.293256321956</v>
      </c>
      <c r="I11416" s="6" t="n">
        <f aca="false">Sens!I11388</f>
        <v>144.360052269491</v>
      </c>
      <c r="J11416" s="6" t="n">
        <f aca="false">Sens!J11388</f>
        <v>159.811964490216</v>
      </c>
      <c r="K11416" s="6" t="n">
        <f aca="false">Sens!K11388</f>
        <v>172.596921649434</v>
      </c>
    </row>
    <row r="11417" customFormat="false" ht="15" hidden="false" customHeight="false" outlineLevel="0" collapsed="false">
      <c r="A11417" s="0" t="s">
        <v>1036</v>
      </c>
      <c r="B11417" s="0" t="s">
        <v>98</v>
      </c>
      <c r="D11417" s="6" t="n">
        <f aca="false">Sens!D11395</f>
        <v>84.605</v>
      </c>
      <c r="E11417" s="6" t="n">
        <f aca="false">Sens!E11395</f>
        <v>100.299</v>
      </c>
      <c r="F11417" s="6" t="n">
        <f aca="false">Sens!F11395</f>
        <v>117.438354189776</v>
      </c>
      <c r="G11417" s="6" t="n">
        <f aca="false">Sens!G11395</f>
        <v>132.595360443801</v>
      </c>
      <c r="H11417" s="6" t="n">
        <f aca="false">Sens!H11395</f>
        <v>147.833811964563</v>
      </c>
      <c r="I11417" s="6" t="n">
        <f aca="false">Sens!I11395</f>
        <v>162.145665319381</v>
      </c>
      <c r="J11417" s="6" t="n">
        <f aca="false">Sens!J11395</f>
        <v>175.249327755573</v>
      </c>
      <c r="K11417" s="6" t="n">
        <f aca="false">Sens!K11395</f>
        <v>187.599280698463</v>
      </c>
    </row>
    <row r="11418" customFormat="false" ht="17.15" hidden="false" customHeight="false" outlineLevel="0" collapsed="false">
      <c r="A11418" s="0" t="s">
        <v>1057</v>
      </c>
      <c r="B11418" s="0" t="s">
        <v>98</v>
      </c>
      <c r="D11418" s="6" t="n">
        <f aca="false">Sens!D11393</f>
        <v>83.705</v>
      </c>
      <c r="E11418" s="6" t="n">
        <f aca="false">Sens!E11393</f>
        <v>95.049</v>
      </c>
      <c r="F11418" s="6" t="n">
        <f aca="false">Sens!F11393</f>
        <v>106.938354189776</v>
      </c>
      <c r="G11418" s="6" t="n">
        <f aca="false">Sens!G11393</f>
        <v>119.095360443801</v>
      </c>
      <c r="H11418" s="6" t="n">
        <f aca="false">Sens!H11393</f>
        <v>131.333811964563</v>
      </c>
      <c r="I11418" s="6" t="n">
        <f aca="false">Sens!I11393</f>
        <v>143.395665319381</v>
      </c>
      <c r="J11418" s="6" t="n">
        <f aca="false">Sens!J11393</f>
        <v>154.999327755573</v>
      </c>
      <c r="K11418" s="6" t="n">
        <f aca="false">Sens!K11393</f>
        <v>165.849280698463</v>
      </c>
    </row>
    <row r="11419" customFormat="false" ht="17.15" hidden="false" customHeight="false" outlineLevel="0" collapsed="false">
      <c r="A11419" s="0" t="s">
        <v>1058</v>
      </c>
      <c r="B11419" s="0" t="s">
        <v>98</v>
      </c>
      <c r="D11419" s="6" t="n">
        <f aca="false">Sens!D11392</f>
        <v>0.9</v>
      </c>
      <c r="E11419" s="6" t="n">
        <f aca="false">Sens!E11392</f>
        <v>5.25</v>
      </c>
      <c r="F11419" s="6" t="n">
        <f aca="false">Sens!F11392</f>
        <v>10.5</v>
      </c>
      <c r="G11419" s="6" t="n">
        <f aca="false">Sens!G11392</f>
        <v>13.5</v>
      </c>
      <c r="H11419" s="6" t="n">
        <f aca="false">Sens!H11392</f>
        <v>16.5</v>
      </c>
      <c r="I11419" s="6" t="n">
        <f aca="false">Sens!I11392</f>
        <v>18.75</v>
      </c>
      <c r="J11419" s="6" t="n">
        <f aca="false">Sens!J11392</f>
        <v>20.25</v>
      </c>
      <c r="K11419" s="6" t="n">
        <f aca="false">Sens!K11392</f>
        <v>21.75</v>
      </c>
    </row>
    <row r="11420" customFormat="false" ht="15" hidden="false" customHeight="false" outlineLevel="0" collapsed="false">
      <c r="A11420" s="0" t="s">
        <v>1037</v>
      </c>
      <c r="B11420" s="0" t="s">
        <v>98</v>
      </c>
      <c r="D11420" s="6" t="n">
        <f aca="false">Sens!D11396</f>
        <v>35.391</v>
      </c>
      <c r="E11420" s="6" t="n">
        <f aca="false">Sens!E11396</f>
        <v>37.285</v>
      </c>
      <c r="F11420" s="6" t="n">
        <f aca="false">Sens!F11396</f>
        <v>38.3851437782675</v>
      </c>
      <c r="G11420" s="6" t="n">
        <f aca="false">Sens!G11396</f>
        <v>40.0105353288615</v>
      </c>
      <c r="H11420" s="6" t="n">
        <f aca="false">Sens!H11396</f>
        <v>41.4812512033683</v>
      </c>
      <c r="I11420" s="6" t="n">
        <f aca="false">Sens!I11396</f>
        <v>42.7743107216329</v>
      </c>
      <c r="J11420" s="6" t="n">
        <f aca="false">Sens!J11396</f>
        <v>43.8687373064601</v>
      </c>
      <c r="K11420" s="6" t="n">
        <f aca="false">Sens!K11396</f>
        <v>44.7461120525893</v>
      </c>
    </row>
    <row r="11421" customFormat="false" ht="15" hidden="false" customHeight="false" outlineLevel="0" collapsed="false">
      <c r="A11421" s="0" t="s">
        <v>1039</v>
      </c>
      <c r="B11421" s="0" t="s">
        <v>98</v>
      </c>
      <c r="D11421" s="6" t="n">
        <f aca="false">Sens!D11398</f>
        <v>18.417</v>
      </c>
      <c r="E11421" s="6" t="n">
        <f aca="false">Sens!E11398</f>
        <v>20.345</v>
      </c>
      <c r="F11421" s="6" t="n">
        <f aca="false">Sens!F11398</f>
        <v>22.3161797133988</v>
      </c>
      <c r="G11421" s="6" t="n">
        <f aca="false">Sens!G11398</f>
        <v>24.3943499673233</v>
      </c>
      <c r="H11421" s="6" t="n">
        <f aca="false">Sens!H11398</f>
        <v>26.5250243109019</v>
      </c>
      <c r="I11421" s="6" t="n">
        <f aca="false">Sens!I11398</f>
        <v>28.6884573538181</v>
      </c>
      <c r="J11421" s="6" t="n">
        <f aca="false">Sens!J11398</f>
        <v>30.8624968052127</v>
      </c>
      <c r="K11421" s="6" t="n">
        <f aca="false">Sens!K11398</f>
        <v>33.0228715815776</v>
      </c>
    </row>
    <row r="11422" customFormat="false" ht="15" hidden="false" customHeight="false" outlineLevel="0" collapsed="false">
      <c r="A11422" s="0" t="s">
        <v>1040</v>
      </c>
      <c r="B11422" s="0" t="s">
        <v>98</v>
      </c>
      <c r="D11422" s="6" t="n">
        <f aca="false">Sens!D11400</f>
        <v>7.76</v>
      </c>
      <c r="E11422" s="6" t="n">
        <f aca="false">Sens!E11400</f>
        <v>8.26</v>
      </c>
      <c r="F11422" s="6" t="n">
        <f aca="false">Sens!F11400</f>
        <v>8.75372082474227</v>
      </c>
      <c r="G11422" s="6" t="n">
        <f aca="false">Sens!G11400</f>
        <v>9.33399324642364</v>
      </c>
      <c r="H11422" s="6" t="n">
        <f aca="false">Sens!H11400</f>
        <v>9.96139155535851</v>
      </c>
      <c r="I11422" s="6" t="n">
        <f aca="false">Sens!I11400</f>
        <v>10.6402039077391</v>
      </c>
      <c r="J11422" s="6" t="n">
        <f aca="false">Sens!J11400</f>
        <v>11.3751458271397</v>
      </c>
      <c r="K11422" s="6" t="n">
        <f aca="false">Sens!K11400</f>
        <v>12.1714060350394</v>
      </c>
    </row>
    <row r="11423" customFormat="false" ht="15" hidden="false" customHeight="false" outlineLevel="0" collapsed="false">
      <c r="A11423" s="0" t="s">
        <v>856</v>
      </c>
      <c r="B11423" s="0" t="s">
        <v>98</v>
      </c>
      <c r="D11423" s="6" t="n">
        <f aca="false">Sens!D11402</f>
        <v>218.783</v>
      </c>
      <c r="E11423" s="6" t="n">
        <f aca="false">Sens!E11402</f>
        <v>268.127</v>
      </c>
      <c r="F11423" s="6" t="n">
        <f aca="false">Sens!F11402</f>
        <v>330.145282059882</v>
      </c>
      <c r="G11423" s="6" t="n">
        <f aca="false">Sens!G11402</f>
        <v>392.656759865851</v>
      </c>
      <c r="H11423" s="6" t="n">
        <f aca="false">Sens!H11402</f>
        <v>450.544273297982</v>
      </c>
      <c r="I11423" s="6" t="n">
        <f aca="false">Sens!I11402</f>
        <v>510.69213512593</v>
      </c>
      <c r="J11423" s="6" t="n">
        <f aca="false">Sens!J11402</f>
        <v>560.416732629406</v>
      </c>
      <c r="K11423" s="6" t="n">
        <f aca="false">Sens!K11402</f>
        <v>600.132410592692</v>
      </c>
    </row>
    <row r="11424" customFormat="false" ht="15" hidden="false" customHeight="false" outlineLevel="0" collapsed="false">
      <c r="A11424" s="0" t="s">
        <v>1041</v>
      </c>
      <c r="B11424" s="0" t="s">
        <v>98</v>
      </c>
      <c r="D11424" s="6" t="n">
        <f aca="false">Sens!D11403</f>
        <v>22.171</v>
      </c>
      <c r="E11424" s="6" t="n">
        <f aca="false">Sens!E11403</f>
        <v>24.835</v>
      </c>
      <c r="F11424" s="6" t="n">
        <f aca="false">Sens!F11403</f>
        <v>27.6536545660247</v>
      </c>
      <c r="G11424" s="6" t="n">
        <f aca="false">Sens!G11403</f>
        <v>30.7906291283826</v>
      </c>
      <c r="H11424" s="6" t="n">
        <f aca="false">Sens!H11403</f>
        <v>34.1800148087432</v>
      </c>
      <c r="I11424" s="6" t="n">
        <f aca="false">Sens!I11403</f>
        <v>37.8276713738571</v>
      </c>
      <c r="J11424" s="6" t="n">
        <f aca="false">Sens!J11403</f>
        <v>41.7375203323678</v>
      </c>
      <c r="K11424" s="6" t="n">
        <f aca="false">Sens!K11403</f>
        <v>45.9112723656046</v>
      </c>
    </row>
    <row r="11425" customFormat="false" ht="15" hidden="false" customHeight="false" outlineLevel="0" collapsed="false">
      <c r="A11425" s="0" t="s">
        <v>1042</v>
      </c>
      <c r="B11425" s="0" t="s">
        <v>98</v>
      </c>
      <c r="D11425" s="6" t="n">
        <f aca="false">Sens!D11405</f>
        <v>23.455</v>
      </c>
      <c r="E11425" s="6" t="n">
        <f aca="false">Sens!E11405</f>
        <v>21.79</v>
      </c>
      <c r="F11425" s="6" t="n">
        <f aca="false">Sens!F11405</f>
        <v>20.7520981041711</v>
      </c>
      <c r="G11425" s="6" t="n">
        <f aca="false">Sens!G11405</f>
        <v>19.9083593495882</v>
      </c>
      <c r="H11425" s="6" t="n">
        <f aca="false">Sens!H11405</f>
        <v>19.4008256265831</v>
      </c>
      <c r="I11425" s="6" t="n">
        <f aca="false">Sens!I11405</f>
        <v>19.200434522122</v>
      </c>
      <c r="J11425" s="6" t="n">
        <f aca="false">Sens!J11405</f>
        <v>19.2932782348507</v>
      </c>
      <c r="K11425" s="6" t="n">
        <f aca="false">Sens!K11405</f>
        <v>19.6791437995477</v>
      </c>
    </row>
    <row r="11426" customFormat="false" ht="15" hidden="false" customHeight="false" outlineLevel="0" collapsed="false">
      <c r="A11426" s="0" t="s">
        <v>1043</v>
      </c>
      <c r="B11426" s="0" t="s">
        <v>98</v>
      </c>
      <c r="D11426" s="6" t="n">
        <f aca="false">Sens!D11407</f>
        <v>17.315</v>
      </c>
      <c r="E11426" s="6" t="n">
        <f aca="false">Sens!E11407</f>
        <v>17.087</v>
      </c>
      <c r="F11426" s="6" t="n">
        <f aca="false">Sens!F11407</f>
        <v>15.9912273250553</v>
      </c>
      <c r="G11426" s="6" t="n">
        <f aca="false">Sens!G11407</f>
        <v>15.9574562664827</v>
      </c>
      <c r="H11426" s="6" t="n">
        <f aca="false">Sens!H11407</f>
        <v>16.0119687434196</v>
      </c>
      <c r="I11426" s="6" t="n">
        <f aca="false">Sens!I11407</f>
        <v>16.1551810001948</v>
      </c>
      <c r="J11426" s="6" t="n">
        <f aca="false">Sens!J11407</f>
        <v>16.3889793892005</v>
      </c>
      <c r="K11426" s="6" t="n">
        <f aca="false">Sens!K11407</f>
        <v>16.7167589769845</v>
      </c>
    </row>
    <row r="11427" customFormat="false" ht="15" hidden="false" customHeight="false" outlineLevel="0" collapsed="false">
      <c r="A11427" s="0" t="s">
        <v>870</v>
      </c>
      <c r="B11427" s="0" t="s">
        <v>98</v>
      </c>
      <c r="D11427" s="6" t="n">
        <f aca="false">Sens!D11409</f>
        <v>62.941</v>
      </c>
      <c r="E11427" s="6" t="n">
        <f aca="false">Sens!E11409</f>
        <v>63.712</v>
      </c>
      <c r="F11427" s="6" t="n">
        <f aca="false">Sens!F11409</f>
        <v>64.3969799952511</v>
      </c>
      <c r="G11427" s="6" t="n">
        <f aca="false">Sens!G11409</f>
        <v>66.6564447444535</v>
      </c>
      <c r="H11427" s="6" t="n">
        <f aca="false">Sens!H11409</f>
        <v>69.5928091787458</v>
      </c>
      <c r="I11427" s="6" t="n">
        <f aca="false">Sens!I11409</f>
        <v>73.183286896174</v>
      </c>
      <c r="J11427" s="6" t="n">
        <f aca="false">Sens!J11409</f>
        <v>77.419777956419</v>
      </c>
      <c r="K11427" s="6" t="n">
        <f aca="false">Sens!K11409</f>
        <v>82.3071751421368</v>
      </c>
    </row>
    <row r="11428" customFormat="false" ht="15" hidden="false" customHeight="false" outlineLevel="0" collapsed="false">
      <c r="A11428" s="1" t="s">
        <v>1059</v>
      </c>
      <c r="B11428" s="0" t="s">
        <v>98</v>
      </c>
      <c r="D11428" s="6" t="n">
        <f aca="false">Sens!D11410</f>
        <v>281.724</v>
      </c>
      <c r="E11428" s="6" t="n">
        <f aca="false">Sens!E11410</f>
        <v>331.839</v>
      </c>
      <c r="F11428" s="6" t="n">
        <f aca="false">Sens!F11410</f>
        <v>394.542262055133</v>
      </c>
      <c r="G11428" s="6" t="n">
        <f aca="false">Sens!G11410</f>
        <v>459.313204610305</v>
      </c>
      <c r="H11428" s="6" t="n">
        <f aca="false">Sens!H11410</f>
        <v>520.137082476728</v>
      </c>
      <c r="I11428" s="6" t="n">
        <f aca="false">Sens!I11410</f>
        <v>583.875422022104</v>
      </c>
      <c r="J11428" s="6" t="n">
        <f aca="false">Sens!J11410</f>
        <v>637.836510585825</v>
      </c>
      <c r="K11428" s="6" t="n">
        <f aca="false">Sens!K11410</f>
        <v>682.439585734829</v>
      </c>
    </row>
    <row r="11429" customFormat="false" ht="15" hidden="false" customHeight="false" outlineLevel="0" collapsed="false">
      <c r="A11429" s="1" t="s">
        <v>1060</v>
      </c>
      <c r="B11429" s="0" t="s">
        <v>168</v>
      </c>
      <c r="E11429" s="7" t="n">
        <f aca="false">Sens!E11428/Sens!D11428-1</f>
        <v>0.177886867998467</v>
      </c>
      <c r="F11429" s="7" t="n">
        <f aca="false">Sens!F11428/Sens!E11428-1</f>
        <v>0.188956879857801</v>
      </c>
      <c r="G11429" s="7" t="n">
        <f aca="false">Sens!G11428/Sens!F11428-1</f>
        <v>0.164167311805296</v>
      </c>
      <c r="H11429" s="7" t="n">
        <f aca="false">Sens!H11428/Sens!G11428-1</f>
        <v>0.132423534215673</v>
      </c>
      <c r="I11429" s="7" t="n">
        <f aca="false">Sens!I11428/Sens!H11428-1</f>
        <v>0.122541425506281</v>
      </c>
      <c r="J11429" s="7" t="n">
        <f aca="false">Sens!J11428/Sens!I11428-1</f>
        <v>0.0924188388969005</v>
      </c>
      <c r="K11429" s="7" t="n">
        <f aca="false">Sens!K11428/Sens!J11428-1</f>
        <v>0.0699286955336538</v>
      </c>
    </row>
    <row r="11430" customFormat="false" ht="17.15" hidden="false" customHeight="false" outlineLevel="0" collapsed="false">
      <c r="A11430" s="26" t="s">
        <v>1061</v>
      </c>
      <c r="B11430" s="31" t="s">
        <v>98</v>
      </c>
      <c r="C11430" s="31"/>
      <c r="D11430" s="27" t="n">
        <f aca="false">(Sens!D11423+Sens!D11427-Sens!D11428)+(Sens!D11415+Sens!D11416-Sens!D11414)+(Sens!D11418+Sens!D11419-Sens!D11417)+(Sens!D11428-Q!L18)</f>
        <v>0</v>
      </c>
      <c r="E11430" s="27" t="n">
        <f aca="false">(Sens!E11423+Sens!E11427-Sens!E11428)+(Sens!E11415+Sens!E11416-Sens!E11414)+(Sens!E11418+Sens!E11419-Sens!E11417)+(Sens!E11428-Q!M18)</f>
        <v>0</v>
      </c>
      <c r="F11430" s="27" t="n">
        <f aca="false">(Sens!F11423+Sens!F11427-Sens!F11428)+(Sens!F11415+Sens!F11416-Sens!F11414)+(Sens!F11418+Sens!F11419-Sens!F11417)</f>
        <v>0</v>
      </c>
      <c r="G11430" s="27" t="n">
        <f aca="false">(Sens!G11423+Sens!G11427-Sens!G11428)+(Sens!G11415+Sens!G11416-Sens!G11414)+(Sens!G11418+Sens!G11419-Sens!G11417)</f>
        <v>0</v>
      </c>
      <c r="H11430" s="27" t="n">
        <f aca="false">(Sens!H11423+Sens!H11427-Sens!H11428)+(Sens!H11415+Sens!H11416-Sens!H11414)+(Sens!H11418+Sens!H11419-Sens!H11417)</f>
        <v>0</v>
      </c>
      <c r="I11430" s="27" t="n">
        <f aca="false">(Sens!I11423+Sens!I11427-Sens!I11428)+(Sens!I11415+Sens!I11416-Sens!I11414)+(Sens!I11418+Sens!I11419-Sens!I11417)</f>
        <v>0</v>
      </c>
      <c r="J11430" s="27" t="n">
        <f aca="false">(Sens!J11423+Sens!J11427-Sens!J11428)+(Sens!J11415+Sens!J11416-Sens!J11414)+(Sens!J11418+Sens!J11419-Sens!J11417)</f>
        <v>0</v>
      </c>
      <c r="K11430" s="27" t="n">
        <f aca="false">(Sens!K11423+Sens!K11427-Sens!K11428)+(Sens!K11415+Sens!K11416-Sens!K11414)+(Sens!K11418+Sens!K11419-Sens!K11417)</f>
        <v>0</v>
      </c>
    </row>
    <row r="11431" customFormat="false" ht="17.15" hidden="false" customHeight="false" outlineLevel="0" collapsed="false">
      <c r="A11431" s="0" t="s">
        <v>1062</v>
      </c>
      <c r="B11431" s="0" t="s">
        <v>168</v>
      </c>
      <c r="E11431" s="7" t="n">
        <f aca="false">(Q!M21+Sens!E11367+Sens!E11368+Sens!E11369+Sens!E11383-Sens!E11365)/(Q!M5-Sens!E11365)</f>
        <v>0.570957350878296</v>
      </c>
      <c r="F11431" s="7" t="n">
        <f aca="false">Sens!$E$11431+dm_seg</f>
        <v>0.570957350878296</v>
      </c>
      <c r="G11431" s="7" t="n">
        <f aca="false">Sens!$E$11431+dm_seg</f>
        <v>0.570957350878296</v>
      </c>
      <c r="H11431" s="7" t="n">
        <f aca="false">Sens!$E$11431+dm_seg</f>
        <v>0.570957350878296</v>
      </c>
      <c r="I11431" s="7" t="n">
        <f aca="false">Sens!$E$11431+dm_seg</f>
        <v>0.570957350878296</v>
      </c>
      <c r="J11431" s="7" t="n">
        <f aca="false">Sens!$E$11431+dm_seg</f>
        <v>0.570957350878296</v>
      </c>
      <c r="K11431" s="7" t="n">
        <f aca="false">Sens!$E$11431+dm_seg</f>
        <v>0.570957350878296</v>
      </c>
      <c r="L11431" s="12" t="s">
        <v>1063</v>
      </c>
    </row>
    <row r="11432" customFormat="false" ht="17.15" hidden="false" customHeight="false" outlineLevel="0" collapsed="false">
      <c r="A11432" s="0" t="s">
        <v>884</v>
      </c>
      <c r="B11432" s="0" t="s">
        <v>98</v>
      </c>
      <c r="D11432" s="6" t="n">
        <f aca="false">Q!L21</f>
        <v>110.814</v>
      </c>
      <c r="E11432" s="6" t="n">
        <f aca="false">Q!M21</f>
        <v>136.365</v>
      </c>
      <c r="F11432" s="6" t="n">
        <f aca="false">Q!$I$21+(Sens!F11431*(Sens!F11402-Sens!F11365)+Sens!F11365-(Sens!F11367+Sens!F11368+Sens!F11369)-Sens!F11383-Sens!F11466)*(Sens!F11402-Q!$I$5)/Sens!F11402</f>
        <v>158.110234156687</v>
      </c>
      <c r="G11432" s="6" t="n">
        <f aca="false">(Sens!G11431*(Sens!G11402-Sens!G11365)+Sens!G11365-(Sens!G11367+Sens!G11368+Sens!G11369)-Sens!G11383-Sens!G11466)</f>
        <v>161.288737768095</v>
      </c>
      <c r="H11432" s="6" t="n">
        <f aca="false">(Sens!H11431*(Sens!H11402-Sens!H11365)+Sens!H11365-(Sens!H11367+Sens!H11368+Sens!H11369)-Sens!H11383-Sens!H11466)</f>
        <v>162.750449226018</v>
      </c>
      <c r="I11432" s="6" t="n">
        <f aca="false">(Sens!I11431*(Sens!I11402-Sens!I11365)+Sens!I11365-(Sens!I11367+Sens!I11368+Sens!I11369)-Sens!I11383-Sens!I11466)</f>
        <v>172.031140185604</v>
      </c>
      <c r="J11432" s="6" t="n">
        <f aca="false">(Sens!J11431*(Sens!J11402-Sens!J11365)+Sens!J11365-(Sens!J11367+Sens!J11368+Sens!J11369)-Sens!J11383-Sens!J11466)</f>
        <v>182.855335729531</v>
      </c>
      <c r="K11432" s="6" t="n">
        <f aca="false">(Sens!K11431*(Sens!K11402-Sens!K11365)+Sens!K11365-(Sens!K11367+Sens!K11368+Sens!K11369)-Sens!K11383-Sens!K11466)</f>
        <v>195.088404864353</v>
      </c>
      <c r="L11432" s="1" t="s">
        <v>1064</v>
      </c>
    </row>
    <row r="11433" customFormat="false" ht="17.15" hidden="false" customHeight="false" outlineLevel="0" collapsed="false">
      <c r="A11433" s="0" t="s">
        <v>1065</v>
      </c>
      <c r="B11433" s="0" t="s">
        <v>168</v>
      </c>
      <c r="E11433" s="7" t="n">
        <f aca="false">Q!M22/Q!M12</f>
        <v>0.296207935710698</v>
      </c>
      <c r="F11433" s="7" t="n">
        <f aca="false">Sens!$E$11433+dm_seg</f>
        <v>0.296207935710698</v>
      </c>
      <c r="G11433" s="7" t="n">
        <f aca="false">Sens!$E$11433+dm_seg</f>
        <v>0.296207935710698</v>
      </c>
      <c r="H11433" s="7" t="n">
        <f aca="false">Sens!$E$11433+dm_seg</f>
        <v>0.296207935710698</v>
      </c>
      <c r="I11433" s="7" t="n">
        <f aca="false">Sens!$E$11433+dm_seg</f>
        <v>0.296207935710698</v>
      </c>
      <c r="J11433" s="7" t="n">
        <f aca="false">Sens!$E$11433+dm_seg</f>
        <v>0.296207935710698</v>
      </c>
      <c r="K11433" s="7" t="n">
        <f aca="false">Sens!$E$11433+dm_seg</f>
        <v>0.296207935710698</v>
      </c>
      <c r="L11433" s="12" t="s">
        <v>1066</v>
      </c>
    </row>
    <row r="11434" customFormat="false" ht="17.15" hidden="false" customHeight="false" outlineLevel="0" collapsed="false">
      <c r="A11434" s="0" t="s">
        <v>886</v>
      </c>
      <c r="B11434" s="0" t="s">
        <v>98</v>
      </c>
      <c r="D11434" s="6" t="n">
        <f aca="false">Q!L22</f>
        <v>17.714</v>
      </c>
      <c r="E11434" s="6" t="n">
        <f aca="false">Q!M22</f>
        <v>18.872</v>
      </c>
      <c r="F11434" s="6" t="n">
        <f aca="false">Q!$I$22+(Sens!F11409-Q!$I$12)*Sens!F11433</f>
        <v>19.845412833852</v>
      </c>
      <c r="G11434" s="6" t="n">
        <f aca="false">Sens!G11409*Sens!G11433</f>
        <v>19.7441678995688</v>
      </c>
      <c r="H11434" s="6" t="n">
        <f aca="false">Sens!H11409*Sens!H11433</f>
        <v>20.6139423471448</v>
      </c>
      <c r="I11434" s="6" t="n">
        <f aca="false">Sens!I11409*Sens!I11433</f>
        <v>21.6774703400395</v>
      </c>
      <c r="J11434" s="6" t="n">
        <f aca="false">Sens!J11409*Sens!J11433</f>
        <v>22.9323526116515</v>
      </c>
      <c r="K11434" s="6" t="n">
        <f aca="false">Sens!K11409*Sens!K11433</f>
        <v>24.3800384430312</v>
      </c>
      <c r="L11434" s="12" t="s">
        <v>1067</v>
      </c>
    </row>
    <row r="11435" customFormat="false" ht="15" hidden="false" customHeight="false" outlineLevel="0" collapsed="false">
      <c r="A11435" s="1" t="s">
        <v>1068</v>
      </c>
      <c r="B11435" s="0" t="s">
        <v>98</v>
      </c>
      <c r="D11435" s="6" t="n">
        <f aca="false">Sens!D11432+Sens!D11434</f>
        <v>128.528</v>
      </c>
      <c r="E11435" s="6" t="n">
        <f aca="false">Sens!E11432+Sens!E11434</f>
        <v>155.237</v>
      </c>
      <c r="F11435" s="6" t="n">
        <f aca="false">Sens!F11432+Sens!F11434</f>
        <v>177.955646990539</v>
      </c>
      <c r="G11435" s="6" t="n">
        <f aca="false">Sens!G11432+Sens!G11434</f>
        <v>181.032905667664</v>
      </c>
      <c r="H11435" s="6" t="n">
        <f aca="false">Sens!H11432+Sens!H11434</f>
        <v>183.364391573163</v>
      </c>
      <c r="I11435" s="6" t="n">
        <f aca="false">Sens!I11432+Sens!I11434</f>
        <v>193.708610525644</v>
      </c>
      <c r="J11435" s="6" t="n">
        <f aca="false">Sens!J11432+Sens!J11434</f>
        <v>205.787688341182</v>
      </c>
      <c r="K11435" s="6" t="n">
        <f aca="false">Sens!K11432+Sens!K11434</f>
        <v>219.468443307385</v>
      </c>
    </row>
    <row r="11436" customFormat="false" ht="15" hidden="false" customHeight="false" outlineLevel="0" collapsed="false">
      <c r="A11436" s="26" t="s">
        <v>1069</v>
      </c>
      <c r="B11436" s="31" t="s">
        <v>98</v>
      </c>
      <c r="C11436" s="31"/>
      <c r="D11436" s="27" t="n">
        <f aca="false">Sens!D11435-Q!L23</f>
        <v>0</v>
      </c>
      <c r="E11436" s="27" t="n">
        <f aca="false">Sens!E11435-Q!M23</f>
        <v>0</v>
      </c>
      <c r="F11436" s="31"/>
      <c r="G11436" s="31"/>
      <c r="H11436" s="31"/>
      <c r="I11436" s="31"/>
      <c r="J11436" s="31"/>
      <c r="K11436" s="31"/>
    </row>
    <row r="11437" customFormat="false" ht="15" hidden="false" customHeight="false" outlineLevel="0" collapsed="false">
      <c r="A11437" s="1" t="s">
        <v>1070</v>
      </c>
      <c r="B11437" s="0" t="s">
        <v>168</v>
      </c>
      <c r="D11437" s="7" t="n">
        <f aca="false">Sens!D11435/Sens!D11428</f>
        <v>0.456219562408598</v>
      </c>
      <c r="E11437" s="7" t="n">
        <f aca="false">Sens!E11435/Sens!E11428</f>
        <v>0.467808184089272</v>
      </c>
      <c r="F11437" s="7" t="n">
        <f aca="false">Sens!F11435/Sens!F11428</f>
        <v>0.451043307917344</v>
      </c>
      <c r="G11437" s="7" t="n">
        <f aca="false">Sens!G11435/Sens!G11428</f>
        <v>0.394138256532942</v>
      </c>
      <c r="H11437" s="7" t="n">
        <f aca="false">Sens!H11435/Sens!H11428</f>
        <v>0.352530895701649</v>
      </c>
      <c r="I11437" s="7" t="n">
        <f aca="false">Sens!I11435/Sens!I11428</f>
        <v>0.331763597540693</v>
      </c>
      <c r="J11437" s="7" t="n">
        <f aca="false">Sens!J11435/Sens!J11428</f>
        <v>0.322633911552312</v>
      </c>
      <c r="K11437" s="7" t="n">
        <f aca="false">Sens!K11435/Sens!K11428</f>
        <v>0.321593951896955</v>
      </c>
    </row>
    <row r="11438" customFormat="false" ht="17.15" hidden="false" customHeight="false" outlineLevel="0" collapsed="false">
      <c r="A11438" s="1" t="s">
        <v>1071</v>
      </c>
      <c r="B11438" s="0" t="s">
        <v>98</v>
      </c>
      <c r="F11438" s="6" t="n">
        <f aca="false">Sens!F11453</f>
        <v>10.5962787979473</v>
      </c>
      <c r="G11438" s="6" t="n">
        <f aca="false">Sens!G11453</f>
        <v>27.844646674932</v>
      </c>
      <c r="H11438" s="6" t="n">
        <f aca="false">Sens!H11453</f>
        <v>46.566205501382</v>
      </c>
      <c r="I11438" s="6" t="n">
        <f aca="false">Sens!I11453</f>
        <v>63.2717778126444</v>
      </c>
      <c r="J11438" s="6" t="n">
        <f aca="false">Sens!J11453</f>
        <v>74.9061222882009</v>
      </c>
      <c r="K11438" s="6" t="n">
        <f aca="false">Sens!K11453</f>
        <v>81.6395437180232</v>
      </c>
      <c r="L11438" s="1" t="s">
        <v>1072</v>
      </c>
    </row>
    <row r="11439" customFormat="false" ht="17.15" hidden="false" customHeight="false" outlineLevel="0" collapsed="false">
      <c r="A11439" s="1" t="s">
        <v>1073</v>
      </c>
      <c r="B11439" s="0" t="s">
        <v>98</v>
      </c>
      <c r="D11439" s="6" t="n">
        <f aca="false">Sens!D11435</f>
        <v>128.528</v>
      </c>
      <c r="E11439" s="6" t="n">
        <f aca="false">Sens!E11435</f>
        <v>155.237</v>
      </c>
      <c r="F11439" s="6" t="n">
        <f aca="false">Sens!F11435+Sens!F11438</f>
        <v>188.551925788486</v>
      </c>
      <c r="G11439" s="6" t="n">
        <f aca="false">Sens!G11435+Sens!G11438</f>
        <v>208.877552342596</v>
      </c>
      <c r="H11439" s="6" t="n">
        <f aca="false">Sens!H11435+Sens!H11438</f>
        <v>229.930597074545</v>
      </c>
      <c r="I11439" s="6" t="n">
        <f aca="false">Sens!I11435+Sens!I11438</f>
        <v>256.980388338288</v>
      </c>
      <c r="J11439" s="6" t="n">
        <f aca="false">Sens!J11435+Sens!J11438</f>
        <v>280.693810629383</v>
      </c>
      <c r="K11439" s="6" t="n">
        <f aca="false">Sens!K11435+Sens!K11438</f>
        <v>301.107987025408</v>
      </c>
    </row>
    <row r="11440" customFormat="false" ht="17.15" hidden="false" customHeight="false" outlineLevel="0" collapsed="false">
      <c r="A11440" s="1" t="s">
        <v>1074</v>
      </c>
      <c r="B11440" s="0" t="s">
        <v>98</v>
      </c>
      <c r="E11440" s="6" t="n">
        <f aca="false">Sens!E11383</f>
        <v>16.3054059770833</v>
      </c>
      <c r="F11440" s="6" t="n">
        <f aca="false">Sens!F11383</f>
        <v>34.5793144783516</v>
      </c>
      <c r="G11440" s="6" t="n">
        <f aca="false">Sens!G11383</f>
        <v>60.7344906522989</v>
      </c>
      <c r="H11440" s="6" t="n">
        <f aca="false">Sens!H11383</f>
        <v>89.1000906614457</v>
      </c>
      <c r="I11440" s="6" t="n">
        <f aca="false">Sens!I11383</f>
        <v>114.231009694548</v>
      </c>
      <c r="J11440" s="6" t="n">
        <f aca="false">Sens!J11383</f>
        <v>132.015673049596</v>
      </c>
      <c r="K11440" s="6" t="n">
        <f aca="false">Sens!K11383</f>
        <v>143.012669550934</v>
      </c>
    </row>
    <row r="11441" customFormat="false" ht="17.15" hidden="false" customHeight="false" outlineLevel="0" collapsed="false">
      <c r="A11441" s="1" t="s">
        <v>1075</v>
      </c>
      <c r="B11441" s="0" t="s">
        <v>98</v>
      </c>
      <c r="E11441" s="6" t="n">
        <f aca="false">Sens!E11465</f>
        <v>22.2285940229167</v>
      </c>
      <c r="F11441" s="6" t="n">
        <f aca="false">Sens!F11465</f>
        <v>23.5890962479552</v>
      </c>
      <c r="G11441" s="6" t="n">
        <f aca="false">Sens!G11465</f>
        <v>25.3513350397584</v>
      </c>
      <c r="H11441" s="6" t="n">
        <f aca="false">Sens!H11465</f>
        <v>27.4854778651853</v>
      </c>
      <c r="I11441" s="6" t="n">
        <f aca="false">Sens!I11465</f>
        <v>29.9364679225593</v>
      </c>
      <c r="J11441" s="6" t="n">
        <f aca="false">Sens!J11465</f>
        <v>32.6314263209692</v>
      </c>
      <c r="K11441" s="6" t="n">
        <f aca="false">Sens!K11465</f>
        <v>35.4881564282883</v>
      </c>
    </row>
    <row r="11442" customFormat="false" ht="17.15" hidden="false" customHeight="false" outlineLevel="0" collapsed="false">
      <c r="A11442" s="1" t="s">
        <v>1076</v>
      </c>
      <c r="B11442" s="0" t="s">
        <v>98</v>
      </c>
      <c r="D11442" s="6" t="n">
        <f aca="false">Q!L27</f>
        <v>-4.901</v>
      </c>
      <c r="E11442" s="6" t="n">
        <f aca="false">Q!M27</f>
        <v>10.697</v>
      </c>
      <c r="F11442" s="6" t="n">
        <f aca="false">Q!$I$27+oie_f*(q_per_yr-1)/q_per_yr</f>
        <v>-0.862</v>
      </c>
      <c r="G11442" s="6" t="n">
        <f aca="false">oie_f</f>
        <v>-1.2</v>
      </c>
      <c r="H11442" s="6" t="n">
        <f aca="false">oie_f</f>
        <v>-1.2</v>
      </c>
      <c r="I11442" s="6" t="n">
        <f aca="false">oie_f</f>
        <v>-1.2</v>
      </c>
      <c r="J11442" s="6" t="n">
        <f aca="false">oie_f</f>
        <v>-1.2</v>
      </c>
      <c r="K11442" s="6" t="n">
        <f aca="false">oie_f</f>
        <v>-1.2</v>
      </c>
      <c r="L11442" s="12" t="s">
        <v>1077</v>
      </c>
    </row>
    <row r="11443" customFormat="false" ht="15" hidden="false" customHeight="false" outlineLevel="0" collapsed="false">
      <c r="A11443" s="1" t="s">
        <v>1078</v>
      </c>
      <c r="B11443" s="0" t="s">
        <v>98</v>
      </c>
      <c r="D11443" s="6" t="n">
        <f aca="false">Sens!D11435+Sens!D11442</f>
        <v>123.627</v>
      </c>
      <c r="E11443" s="6" t="n">
        <f aca="false">Sens!E11435+Sens!E11442</f>
        <v>165.934</v>
      </c>
      <c r="F11443" s="6" t="n">
        <f aca="false">Sens!F11435+Sens!F11442</f>
        <v>177.093646990539</v>
      </c>
      <c r="G11443" s="6" t="n">
        <f aca="false">Sens!G11435+Sens!G11442</f>
        <v>179.832905667664</v>
      </c>
      <c r="H11443" s="6" t="n">
        <f aca="false">Sens!H11435+Sens!H11442</f>
        <v>182.164391573163</v>
      </c>
      <c r="I11443" s="6" t="n">
        <f aca="false">Sens!I11435+Sens!I11442</f>
        <v>192.508610525644</v>
      </c>
      <c r="J11443" s="6" t="n">
        <f aca="false">Sens!J11435+Sens!J11442</f>
        <v>204.587688341182</v>
      </c>
      <c r="K11443" s="6" t="n">
        <f aca="false">Sens!K11435+Sens!K11442</f>
        <v>218.268443307385</v>
      </c>
    </row>
    <row r="11444" customFormat="false" ht="15" hidden="false" customHeight="false" outlineLevel="0" collapsed="false">
      <c r="A11444" s="1" t="s">
        <v>1079</v>
      </c>
      <c r="B11444" s="0" t="s">
        <v>98</v>
      </c>
      <c r="D11444" s="6" t="n">
        <f aca="false">Q!L29</f>
        <v>21.795</v>
      </c>
      <c r="E11444" s="6" t="n">
        <f aca="false">Q!M29</f>
        <v>32.185</v>
      </c>
      <c r="F11444" s="6" t="n">
        <f aca="false">Q!$I$29+(Sens!F11443-Q!$I$28)*tax_f</f>
        <v>35.5521293981078</v>
      </c>
      <c r="G11444" s="6" t="n">
        <f aca="false">Sens!G11443*tax_f</f>
        <v>35.9665811335328</v>
      </c>
      <c r="H11444" s="6" t="n">
        <f aca="false">Sens!H11443*tax_f</f>
        <v>36.4328783146326</v>
      </c>
      <c r="I11444" s="6" t="n">
        <f aca="false">Sens!I11443*tax_f</f>
        <v>38.5017221051287</v>
      </c>
      <c r="J11444" s="6" t="n">
        <f aca="false">Sens!J11443*tax_f</f>
        <v>40.9175376682364</v>
      </c>
      <c r="K11444" s="6" t="n">
        <f aca="false">Sens!K11443*tax_f</f>
        <v>43.6536886614769</v>
      </c>
    </row>
    <row r="11445" customFormat="false" ht="15" hidden="false" customHeight="false" outlineLevel="0" collapsed="false">
      <c r="A11445" s="1" t="s">
        <v>1080</v>
      </c>
      <c r="B11445" s="0" t="s">
        <v>98</v>
      </c>
      <c r="D11445" s="6" t="n">
        <f aca="false">Sens!D11443-Sens!D11444</f>
        <v>101.832</v>
      </c>
      <c r="E11445" s="6" t="n">
        <f aca="false">Sens!E11443-Sens!E11444</f>
        <v>133.749</v>
      </c>
      <c r="F11445" s="6" t="n">
        <f aca="false">Sens!F11443-Sens!F11444</f>
        <v>141.541517592431</v>
      </c>
      <c r="G11445" s="6" t="n">
        <f aca="false">Sens!G11443-Sens!G11444</f>
        <v>143.866324534131</v>
      </c>
      <c r="H11445" s="6" t="n">
        <f aca="false">Sens!H11443-Sens!H11444</f>
        <v>145.731513258531</v>
      </c>
      <c r="I11445" s="6" t="n">
        <f aca="false">Sens!I11443-Sens!I11444</f>
        <v>154.006888420515</v>
      </c>
      <c r="J11445" s="6" t="n">
        <f aca="false">Sens!J11443-Sens!J11444</f>
        <v>163.670150672946</v>
      </c>
      <c r="K11445" s="6" t="n">
        <f aca="false">Sens!K11443-Sens!K11444</f>
        <v>174.614754645908</v>
      </c>
    </row>
    <row r="11446" customFormat="false" ht="17.15" hidden="false" customHeight="false" outlineLevel="0" collapsed="false">
      <c r="A11446" s="1" t="s">
        <v>1081</v>
      </c>
      <c r="B11446" s="1" t="s">
        <v>81</v>
      </c>
      <c r="D11446" s="15" t="n">
        <f aca="false">Q!L31</f>
        <v>7.465</v>
      </c>
      <c r="E11446" s="15" t="n">
        <f aca="false">Q!M31</f>
        <v>7.453</v>
      </c>
      <c r="F11446" s="15" t="n">
        <f aca="false">Sens!F11490</f>
        <v>7.4735</v>
      </c>
      <c r="G11446" s="15" t="n">
        <f aca="false">Sens!G11490</f>
        <v>7.5185</v>
      </c>
      <c r="H11446" s="15" t="n">
        <f aca="false">Sens!H11490</f>
        <v>7.5635</v>
      </c>
      <c r="I11446" s="15" t="n">
        <f aca="false">Sens!I11490</f>
        <v>7.59248142502667</v>
      </c>
      <c r="J11446" s="15" t="n">
        <f aca="false">Sens!J11490</f>
        <v>7.60663083618914</v>
      </c>
      <c r="K11446" s="15" t="n">
        <f aca="false">Sens!K11490</f>
        <v>7.62306547615439</v>
      </c>
    </row>
    <row r="11447" customFormat="false" ht="17.15" hidden="false" customHeight="false" outlineLevel="0" collapsed="false">
      <c r="A11447" s="0" t="s">
        <v>1082</v>
      </c>
      <c r="B11447" s="0" t="s">
        <v>75</v>
      </c>
      <c r="D11447" s="8" t="n">
        <f aca="false">Sens!D11445/Sens!D11446</f>
        <v>13.641259209645</v>
      </c>
      <c r="E11447" s="8" t="n">
        <f aca="false">Sens!E11445/Sens!E11446</f>
        <v>17.9456594659869</v>
      </c>
      <c r="F11447" s="8" t="n">
        <f aca="false">Sens!F11445/Sens!F11446</f>
        <v>18.9391205716774</v>
      </c>
      <c r="G11447" s="8" t="n">
        <f aca="false">Sens!G11445/Sens!G11446</f>
        <v>19.1349769946307</v>
      </c>
      <c r="H11447" s="8" t="n">
        <f aca="false">Sens!H11445/Sens!H11446</f>
        <v>19.2677349452675</v>
      </c>
      <c r="I11447" s="8" t="n">
        <f aca="false">Sens!I11445/Sens!I11446</f>
        <v>20.2841310764187</v>
      </c>
      <c r="J11447" s="8" t="n">
        <f aca="false">Sens!J11445/Sens!J11446</f>
        <v>21.5167732203162</v>
      </c>
      <c r="K11447" s="8" t="n">
        <f aca="false">Sens!K11445/Sens!K11446</f>
        <v>22.9061071549389</v>
      </c>
      <c r="L11447" s="1" t="s">
        <v>1083</v>
      </c>
    </row>
    <row r="11448" customFormat="false" ht="17.15" hidden="false" customHeight="false" outlineLevel="0" collapsed="false">
      <c r="A11448" s="1" t="s">
        <v>1084</v>
      </c>
      <c r="B11448" s="0" t="s">
        <v>98</v>
      </c>
      <c r="D11448" s="6" t="n">
        <f aca="false">Sens!D11445</f>
        <v>101.832</v>
      </c>
      <c r="E11448" s="6" t="n">
        <f aca="false">Sens!E11445</f>
        <v>133.749</v>
      </c>
      <c r="F11448" s="6" t="n">
        <f aca="false">Sens!F11445+Sens!F11438*(1-tax_f)</f>
        <v>150.018540630789</v>
      </c>
      <c r="G11448" s="6" t="n">
        <f aca="false">Sens!G11445+Sens!G11438*(1-tax_f)</f>
        <v>166.142041874077</v>
      </c>
      <c r="H11448" s="6" t="n">
        <f aca="false">Sens!H11445+Sens!H11438*(1-tax_f)</f>
        <v>182.984477659636</v>
      </c>
      <c r="I11448" s="6" t="n">
        <f aca="false">Sens!I11445+Sens!I11438*(1-tax_f)</f>
        <v>204.62431067063</v>
      </c>
      <c r="J11448" s="6" t="n">
        <f aca="false">Sens!J11445+Sens!J11438*(1-tax_f)</f>
        <v>223.595048503506</v>
      </c>
      <c r="K11448" s="6" t="n">
        <f aca="false">Sens!K11445+Sens!K11438*(1-tax_f)</f>
        <v>239.926389620326</v>
      </c>
    </row>
    <row r="11449" customFormat="false" ht="17.15" hidden="false" customHeight="false" outlineLevel="0" collapsed="false">
      <c r="A11449" s="0" t="s">
        <v>1085</v>
      </c>
      <c r="B11449" s="0" t="s">
        <v>75</v>
      </c>
      <c r="D11449" s="8" t="n">
        <f aca="false">Sens!D11448/Sens!D11446</f>
        <v>13.641259209645</v>
      </c>
      <c r="E11449" s="8" t="n">
        <f aca="false">Sens!E11448/Sens!E11446</f>
        <v>17.9456594659869</v>
      </c>
      <c r="F11449" s="8" t="n">
        <f aca="false">Sens!F11448/Sens!F11446</f>
        <v>20.0733980906923</v>
      </c>
      <c r="G11449" s="8" t="n">
        <f aca="false">Sens!G11448/Sens!G11446</f>
        <v>22.0977644309472</v>
      </c>
      <c r="H11449" s="8" t="n">
        <f aca="false">Sens!H11448/Sens!H11446</f>
        <v>24.1930954795579</v>
      </c>
      <c r="I11449" s="8" t="n">
        <f aca="false">Sens!I11448/Sens!I11446</f>
        <v>26.9509135703828</v>
      </c>
      <c r="J11449" s="8" t="n">
        <f aca="false">Sens!J11448/Sens!J11446</f>
        <v>29.3947548288706</v>
      </c>
      <c r="K11449" s="8" t="n">
        <f aca="false">Sens!K11448/Sens!K11446</f>
        <v>31.4737411571286</v>
      </c>
      <c r="L11449" s="1" t="s">
        <v>1086</v>
      </c>
    </row>
    <row r="11450" customFormat="false" ht="17.15" hidden="false" customHeight="false" outlineLevel="0" collapsed="false">
      <c r="A11450" s="0" t="s">
        <v>1087</v>
      </c>
      <c r="B11450" s="0" t="s">
        <v>168</v>
      </c>
      <c r="E11450" s="7" t="n">
        <f aca="false">Sens!E11449/Sens!D11449-1</f>
        <v>0.315542736208578</v>
      </c>
      <c r="F11450" s="7" t="n">
        <f aca="false">Sens!F11449/Sens!E11449-1</f>
        <v>0.118565641387448</v>
      </c>
      <c r="G11450" s="7" t="n">
        <f aca="false">Sens!G11449/Sens!F11449-1</f>
        <v>0.100848213695996</v>
      </c>
      <c r="H11450" s="7" t="n">
        <f aca="false">Sens!H11449/Sens!G11449-1</f>
        <v>0.0948209514658505</v>
      </c>
      <c r="I11450" s="7" t="n">
        <f aca="false">Sens!I11449/Sens!H11449-1</f>
        <v>0.113991948370358</v>
      </c>
      <c r="J11450" s="7" t="n">
        <f aca="false">Sens!J11449/Sens!I11449-1</f>
        <v>0.0906774923271392</v>
      </c>
      <c r="K11450" s="7" t="n">
        <f aca="false">Sens!K11449/Sens!J11449-1</f>
        <v>0.0707264387936344</v>
      </c>
    </row>
    <row r="11451" customFormat="false" ht="17.15" hidden="false" customHeight="false" outlineLevel="0" collapsed="false">
      <c r="A11451" s="0" t="s">
        <v>1007</v>
      </c>
      <c r="B11451" s="0" t="s">
        <v>98</v>
      </c>
      <c r="E11451" s="6" t="n">
        <f aca="false">Sens!E11392</f>
        <v>5.25</v>
      </c>
      <c r="F11451" s="6" t="n">
        <f aca="false">Sens!F11392</f>
        <v>10.5</v>
      </c>
      <c r="G11451" s="6" t="n">
        <f aca="false">Sens!G11392</f>
        <v>13.5</v>
      </c>
      <c r="H11451" s="6" t="n">
        <f aca="false">Sens!H11392</f>
        <v>16.5</v>
      </c>
      <c r="I11451" s="6" t="n">
        <f aca="false">Sens!I11392</f>
        <v>18.75</v>
      </c>
      <c r="J11451" s="6" t="n">
        <f aca="false">Sens!J11392</f>
        <v>20.25</v>
      </c>
      <c r="K11451" s="6" t="n">
        <f aca="false">Sens!K11392</f>
        <v>21.75</v>
      </c>
    </row>
    <row r="11452" customFormat="false" ht="17.15" hidden="false" customHeight="false" outlineLevel="0" collapsed="false">
      <c r="A11452" s="1" t="s">
        <v>1008</v>
      </c>
      <c r="B11452" s="0" t="s">
        <v>98</v>
      </c>
      <c r="F11452" s="6" t="n">
        <f aca="false">MAX(0,((Sens!E11352+Sens!F11352)/2-(shadow_base*(Sens!$D$11352+Sens!$E$11352)/2+(1-shadow_base)*Sens!$E$11352))*Sens!F11361/1000-(Sens!F11451-Sens!$E$11451)*Sens!F11431)</f>
        <v>10.5962787979473</v>
      </c>
      <c r="G11452" s="6" t="n">
        <f aca="false">MAX(0,((Sens!F11352+Sens!G11352)/2-(shadow_base*(Sens!$D$11352+Sens!$E$11352)/2+(1-shadow_base)*Sens!$E$11352))*Sens!G11361/1000-(Sens!G11451-Sens!$E$11451)*Sens!G11431)</f>
        <v>27.844646674932</v>
      </c>
      <c r="H11452" s="6" t="n">
        <f aca="false">MAX(0,((Sens!G11352+Sens!H11352)/2-(shadow_base*(Sens!$D$11352+Sens!$E$11352)/2+(1-shadow_base)*Sens!$E$11352))*Sens!H11361/1000-(Sens!H11451-Sens!$E$11451)*Sens!H11431)</f>
        <v>46.566205501382</v>
      </c>
      <c r="I11452" s="6" t="n">
        <f aca="false">MAX(0,((Sens!H11352+Sens!I11352)/2-(shadow_base*(Sens!$D$11352+Sens!$E$11352)/2+(1-shadow_base)*Sens!$E$11352))*Sens!I11361/1000-(Sens!I11451-Sens!$E$11451)*Sens!I11431)</f>
        <v>63.2717778126444</v>
      </c>
      <c r="J11452" s="6" t="n">
        <f aca="false">MAX(0,((Sens!I11352+Sens!J11352)/2-(shadow_base*(Sens!$D$11352+Sens!$E$11352)/2+(1-shadow_base)*Sens!$E$11352))*Sens!J11361/1000-(Sens!J11451-Sens!$E$11451)*Sens!J11431)</f>
        <v>74.9061222882009</v>
      </c>
      <c r="K11452" s="6" t="n">
        <f aca="false">MAX(0,((Sens!J11352+Sens!K11352)/2-(shadow_base*(Sens!$D$11352+Sens!$E$11352)/2+(1-shadow_base)*Sens!$E$11352))*Sens!K11361/1000-(Sens!K11451-Sens!$E$11451)*Sens!K11431)</f>
        <v>81.6395437180232</v>
      </c>
      <c r="L11452" s="1" t="s">
        <v>1009</v>
      </c>
    </row>
    <row r="11453" customFormat="false" ht="17.15" hidden="false" customHeight="false" outlineLevel="0" collapsed="false">
      <c r="A11453" s="1" t="s">
        <v>1010</v>
      </c>
      <c r="B11453" s="0" t="s">
        <v>98</v>
      </c>
      <c r="F11453" s="6" t="n">
        <f aca="false">IF(internal_ai_reading=2,1,0)*Sens!F11452</f>
        <v>10.5962787979473</v>
      </c>
      <c r="G11453" s="6" t="n">
        <f aca="false">IF(internal_ai_reading=2,1,0)*Sens!G11452</f>
        <v>27.844646674932</v>
      </c>
      <c r="H11453" s="6" t="n">
        <f aca="false">IF(internal_ai_reading=2,1,0)*Sens!H11452</f>
        <v>46.566205501382</v>
      </c>
      <c r="I11453" s="6" t="n">
        <f aca="false">IF(internal_ai_reading=2,1,0)*Sens!I11452</f>
        <v>63.2717778126444</v>
      </c>
      <c r="J11453" s="6" t="n">
        <f aca="false">IF(internal_ai_reading=2,1,0)*Sens!J11452</f>
        <v>74.9061222882009</v>
      </c>
      <c r="K11453" s="6" t="n">
        <f aca="false">IF(internal_ai_reading=2,1,0)*Sens!K11452</f>
        <v>81.6395437180232</v>
      </c>
    </row>
    <row r="11454" customFormat="false" ht="17.15" hidden="false" customHeight="false" outlineLevel="0" collapsed="false">
      <c r="A11454" s="0" t="s">
        <v>1011</v>
      </c>
      <c r="B11454" s="0" t="s">
        <v>98</v>
      </c>
      <c r="F11454" s="6" t="n">
        <f aca="false">Sens!F11371+Sens!F11451*Sens!F11431+Sens!F11453-Sens!F11372-Sens!F11383</f>
        <v>10.3853806853618</v>
      </c>
      <c r="G11454" s="6" t="n">
        <f aca="false">Sens!G11371+Sens!G11451*Sens!G11431+Sens!G11453-Sens!G11372-Sens!G11383</f>
        <v>16.4389313105741</v>
      </c>
      <c r="H11454" s="6" t="n">
        <f aca="false">Sens!H11371+Sens!H11451*Sens!H11431+Sens!H11453-Sens!H11372-Sens!H11383</f>
        <v>17.135416308873</v>
      </c>
      <c r="I11454" s="6" t="n">
        <f aca="false">Sens!I11371+Sens!I11451*Sens!I11431+Sens!I11453-Sens!I11372-Sens!I11383</f>
        <v>24.1293804008657</v>
      </c>
      <c r="J11454" s="6" t="n">
        <f aca="false">Sens!J11371+Sens!J11451*Sens!J11431+Sens!J11453-Sens!J11372-Sens!J11383</f>
        <v>28.8545659869181</v>
      </c>
      <c r="K11454" s="6" t="n">
        <f aca="false">Sens!K11371+Sens!K11451*Sens!K11431+Sens!K11453-Sens!K11372-Sens!K11383</f>
        <v>32.13747485251</v>
      </c>
    </row>
    <row r="11455" customFormat="false" ht="17.15" hidden="false" customHeight="false" outlineLevel="0" collapsed="false">
      <c r="A11455" s="0" t="s">
        <v>1012</v>
      </c>
      <c r="B11455" s="0" t="s">
        <v>98</v>
      </c>
      <c r="E11455" s="6" t="n">
        <f aca="false">Sens!E11351*(cxit_open+self_build*tk_cxfac)/1000*ai_net_open</f>
        <v>126.6980382</v>
      </c>
      <c r="F11455" s="6" t="n">
        <f aca="false">Sens!E11455+Sens!F11380-Sens!F11383</f>
        <v>260.572627763768</v>
      </c>
      <c r="G11455" s="6" t="n">
        <f aca="false">Sens!F11455+Sens!G11380-Sens!G11383</f>
        <v>391.782612760517</v>
      </c>
      <c r="H11455" s="6" t="n">
        <f aca="false">Sens!G11455+Sens!H11380-Sens!H11383</f>
        <v>499.488526163584</v>
      </c>
      <c r="I11455" s="6" t="n">
        <f aca="false">Sens!H11455+Sens!I11380-Sens!I11383</f>
        <v>553.872350090646</v>
      </c>
      <c r="J11455" s="6" t="n">
        <f aca="false">Sens!I11455+Sens!J11380-Sens!J11383</f>
        <v>550.78660823699</v>
      </c>
      <c r="K11455" s="6" t="n">
        <f aca="false">Sens!J11455+Sens!K11380-Sens!K11383</f>
        <v>526.736791750789</v>
      </c>
      <c r="L11455" s="1" t="s">
        <v>1013</v>
      </c>
    </row>
    <row r="11456" customFormat="false" ht="17.15" hidden="false" customHeight="false" outlineLevel="0" collapsed="false">
      <c r="A11456" s="0" t="s">
        <v>1014</v>
      </c>
      <c r="B11456" s="0" t="s">
        <v>168</v>
      </c>
      <c r="F11456" s="7" t="n">
        <f aca="false">Sens!F11454*(1-tax_f)/((Sens!E11455+Sens!F11455)/2)</f>
        <v>0.0429069654816909</v>
      </c>
      <c r="G11456" s="7" t="n">
        <f aca="false">Sens!G11454*(1-tax_f)/((Sens!F11455+Sens!G11455)/2)</f>
        <v>0.0403189680453549</v>
      </c>
      <c r="H11456" s="7" t="n">
        <f aca="false">Sens!H11454*(1-tax_f)/((Sens!G11455+Sens!H11455)/2)</f>
        <v>0.0307613080877867</v>
      </c>
      <c r="I11456" s="7" t="n">
        <f aca="false">Sens!I11454*(1-tax_f)/((Sens!H11455+Sens!I11455)/2)</f>
        <v>0.0366512650238846</v>
      </c>
      <c r="J11456" s="7" t="n">
        <f aca="false">Sens!J11454*(1-tax_f)/((Sens!I11455+Sens!J11455)/2)</f>
        <v>0.0417932659044041</v>
      </c>
      <c r="K11456" s="7" t="n">
        <f aca="false">Sens!K11454*(1-tax_f)/((Sens!J11455+Sens!K11455)/2)</f>
        <v>0.0477205040415821</v>
      </c>
    </row>
    <row r="11457" customFormat="false" ht="17.15" hidden="false" customHeight="false" outlineLevel="0" collapsed="false">
      <c r="A11457" s="1" t="s">
        <v>1015</v>
      </c>
      <c r="B11457" s="0" t="s">
        <v>168</v>
      </c>
      <c r="F11457" s="7" t="n">
        <f aca="false">(Sens!F11454-Sens!F11453)*(1-tax_f)/((Sens!E11455+Sens!F11455)/2)</f>
        <v>-0.000871320783610466</v>
      </c>
      <c r="G11457" s="7" t="n">
        <f aca="false">(Sens!G11454-Sens!G11453)*(1-tax_f)/((Sens!F11455+Sens!G11455)/2)</f>
        <v>-0.0279742438618356</v>
      </c>
      <c r="H11457" s="7" t="n">
        <f aca="false">(Sens!H11454-Sens!H11453)*(1-tax_f)/((Sens!G11455+Sens!H11455)/2)</f>
        <v>-0.0528338242443913</v>
      </c>
      <c r="I11457" s="7" t="n">
        <f aca="false">(Sens!I11454-Sens!I11453)*(1-tax_f)/((Sens!H11455+Sens!I11455)/2)</f>
        <v>-0.059455251538819</v>
      </c>
      <c r="J11457" s="7" t="n">
        <f aca="false">(Sens!J11454-Sens!J11453)*(1-tax_f)/((Sens!I11455+Sens!J11455)/2)</f>
        <v>-0.0667015729394002</v>
      </c>
      <c r="K11457" s="7" t="n">
        <f aca="false">(Sens!K11454-Sens!K11453)*(1-tax_f)/((Sens!J11455+Sens!K11455)/2)</f>
        <v>-0.0735049560740113</v>
      </c>
    </row>
    <row r="11458" customFormat="false" ht="17.15" hidden="false" customHeight="false" outlineLevel="0" collapsed="false">
      <c r="A11458" s="1" t="s">
        <v>1016</v>
      </c>
      <c r="B11458" s="0" t="s">
        <v>168</v>
      </c>
      <c r="F11458" s="7" t="n">
        <f aca="false">(Sens!F11454-Sens!F11453+Sens!F11452)*(1-tax_f)/((Sens!E11455+Sens!F11455)/2)</f>
        <v>0.0429069654816909</v>
      </c>
      <c r="G11458" s="7" t="n">
        <f aca="false">(Sens!G11454-Sens!G11453+Sens!G11452)*(1-tax_f)/((Sens!F11455+Sens!G11455)/2)</f>
        <v>0.0403189680453549</v>
      </c>
      <c r="H11458" s="7" t="n">
        <f aca="false">(Sens!H11454-Sens!H11453+Sens!H11452)*(1-tax_f)/((Sens!G11455+Sens!H11455)/2)</f>
        <v>0.0307613080877867</v>
      </c>
      <c r="I11458" s="7" t="n">
        <f aca="false">(Sens!I11454-Sens!I11453+Sens!I11452)*(1-tax_f)/((Sens!H11455+Sens!I11455)/2)</f>
        <v>0.0366512650238846</v>
      </c>
      <c r="J11458" s="7" t="n">
        <f aca="false">(Sens!J11454-Sens!J11453+Sens!J11452)*(1-tax_f)/((Sens!I11455+Sens!J11455)/2)</f>
        <v>0.0417932659044041</v>
      </c>
      <c r="K11458" s="7" t="n">
        <f aca="false">(Sens!K11454-Sens!K11453+Sens!K11452)*(1-tax_f)/((Sens!J11455+Sens!K11455)/2)</f>
        <v>0.0477205040415821</v>
      </c>
    </row>
    <row r="11459" customFormat="false" ht="17.15" hidden="false" customHeight="false" outlineLevel="0" collapsed="false">
      <c r="A11459" s="1" t="s">
        <v>1017</v>
      </c>
      <c r="B11459" s="0" t="s">
        <v>168</v>
      </c>
      <c r="F11459" s="7" t="n">
        <f aca="false">Sens!F11384*(1-tax_f)/(Sens!F11370*(Sens!E11455+Sens!F11455)/2)</f>
        <v>0.098791430090569</v>
      </c>
      <c r="G11459" s="7" t="n">
        <f aca="false">Sens!G11384*(1-tax_f)/(Sens!G11370*(Sens!F11455+Sens!G11455)/2)</f>
        <v>0.0675308856427828</v>
      </c>
      <c r="H11459" s="7" t="n">
        <f aca="false">Sens!H11384*(1-tax_f)/(Sens!H11370*(Sens!G11455+Sens!H11455)/2)</f>
        <v>0.0388374979528754</v>
      </c>
      <c r="I11459" s="7" t="n">
        <f aca="false">Sens!I11384*(1-tax_f)/(Sens!I11370*(Sens!H11455+Sens!I11455)/2)</f>
        <v>0.0411035671771815</v>
      </c>
      <c r="J11459" s="7" t="n">
        <f aca="false">Sens!J11384*(1-tax_f)/(Sens!J11370*(Sens!I11455+Sens!J11455)/2)</f>
        <v>0.0445222722541192</v>
      </c>
      <c r="K11459" s="7" t="n">
        <f aca="false">Sens!K11384*(1-tax_f)/(Sens!K11370*(Sens!J11455+Sens!K11455)/2)</f>
        <v>0.0498866361688162</v>
      </c>
    </row>
    <row r="11460" customFormat="false" ht="17.15" hidden="false" customHeight="false" outlineLevel="0" collapsed="false">
      <c r="A11460" s="0" t="s">
        <v>1018</v>
      </c>
      <c r="B11460" s="0" t="s">
        <v>253</v>
      </c>
      <c r="F11460" s="7" t="n">
        <f aca="false">Sens!F11456-wacc</f>
        <v>-0.0600296254639064</v>
      </c>
      <c r="G11460" s="7" t="n">
        <f aca="false">Sens!G11456-wacc</f>
        <v>-0.0626176229002424</v>
      </c>
      <c r="H11460" s="7" t="n">
        <f aca="false">Sens!H11456-wacc</f>
        <v>-0.0721752828578106</v>
      </c>
      <c r="I11460" s="7" t="n">
        <f aca="false">Sens!I11456-wacc</f>
        <v>-0.0662853259217127</v>
      </c>
      <c r="J11460" s="7" t="n">
        <f aca="false">Sens!J11456-wacc</f>
        <v>-0.0611433250411932</v>
      </c>
      <c r="K11460" s="7" t="n">
        <f aca="false">Sens!K11456-wacc</f>
        <v>-0.0552160869040152</v>
      </c>
    </row>
    <row r="11461" customFormat="false" ht="17.15" hidden="false" customHeight="false" outlineLevel="0" collapsed="false">
      <c r="A11461" s="0" t="s">
        <v>1019</v>
      </c>
      <c r="B11461" s="0" t="s">
        <v>98</v>
      </c>
      <c r="F11461" s="6" t="n">
        <f aca="false">Sens!F11454*(1-tax_f)-wacc*(Sens!E11455+Sens!F11455)/2</f>
        <v>-11.6238565154813</v>
      </c>
      <c r="G11461" s="6" t="n">
        <f aca="false">Sens!G11454*(1-tax_f)-wacc*(Sens!F11455+Sens!G11455)/2</f>
        <v>-20.4244672240733</v>
      </c>
      <c r="H11461" s="6" t="n">
        <f aca="false">Sens!H11454*(1-tax_f)-wacc*(Sens!G11455+Sens!H11455)/2</f>
        <v>-32.163873277425</v>
      </c>
      <c r="I11461" s="6" t="n">
        <f aca="false">Sens!I11454*(1-tax_f)-wacc*(Sens!H11455+Sens!I11455)/2</f>
        <v>-34.9111844978462</v>
      </c>
      <c r="J11461" s="6" t="n">
        <f aca="false">Sens!J11454*(1-tax_f)-wacc*(Sens!I11455+Sens!J11455)/2</f>
        <v>-33.7712608743463</v>
      </c>
      <c r="K11461" s="6" t="n">
        <f aca="false">Sens!K11454*(1-tax_f)-wacc*(Sens!J11455+Sens!K11455)/2</f>
        <v>-29.7483128474176</v>
      </c>
    </row>
    <row r="11462" customFormat="false" ht="17.15" hidden="false" customHeight="false" outlineLevel="0" collapsed="false">
      <c r="A11462" s="3" t="s">
        <v>1898</v>
      </c>
    </row>
    <row r="11463" customFormat="false" ht="15" hidden="false" customHeight="false" outlineLevel="0" collapsed="false">
      <c r="A11463" s="4" t="s">
        <v>43</v>
      </c>
      <c r="B11463" s="4" t="s">
        <v>65</v>
      </c>
      <c r="C11463" s="23" t="s">
        <v>942</v>
      </c>
      <c r="D11463" s="23" t="s">
        <v>943</v>
      </c>
      <c r="E11463" s="23" t="s">
        <v>944</v>
      </c>
      <c r="F11463" s="23" t="s">
        <v>945</v>
      </c>
      <c r="G11463" s="23" t="s">
        <v>946</v>
      </c>
      <c r="H11463" s="23" t="s">
        <v>947</v>
      </c>
      <c r="I11463" s="23" t="s">
        <v>948</v>
      </c>
      <c r="J11463" s="23" t="s">
        <v>949</v>
      </c>
      <c r="K11463" s="23" t="s">
        <v>950</v>
      </c>
      <c r="L11463" s="4" t="s">
        <v>47</v>
      </c>
    </row>
    <row r="11464" customFormat="false" ht="15" hidden="false" customHeight="false" outlineLevel="0" collapsed="false">
      <c r="A11464" s="1" t="s">
        <v>1080</v>
      </c>
      <c r="B11464" s="0" t="s">
        <v>98</v>
      </c>
      <c r="F11464" s="6" t="n">
        <f aca="false">Sens!F11445</f>
        <v>141.541517592431</v>
      </c>
      <c r="G11464" s="6" t="n">
        <f aca="false">Sens!G11445</f>
        <v>143.866324534131</v>
      </c>
      <c r="H11464" s="6" t="n">
        <f aca="false">Sens!H11445</f>
        <v>145.731513258531</v>
      </c>
      <c r="I11464" s="6" t="n">
        <f aca="false">Sens!I11445</f>
        <v>154.006888420515</v>
      </c>
      <c r="J11464" s="6" t="n">
        <f aca="false">Sens!J11445</f>
        <v>163.670150672946</v>
      </c>
      <c r="K11464" s="6" t="n">
        <f aca="false">Sens!K11445</f>
        <v>174.614754645908</v>
      </c>
    </row>
    <row r="11465" customFormat="false" ht="17.15" hidden="false" customHeight="false" outlineLevel="0" collapsed="false">
      <c r="A11465" s="1" t="s">
        <v>1102</v>
      </c>
      <c r="B11465" s="0" t="s">
        <v>98</v>
      </c>
      <c r="E11465" s="6" t="n">
        <f aca="false">Q!M38-Sens!E11383</f>
        <v>22.2285940229167</v>
      </c>
      <c r="F11465" s="6" t="n">
        <f aca="false">Sens!E11465*(1-1/life_nonai)+(Sens!F11473+Sens!F11474)/life_nonai</f>
        <v>23.5890962479552</v>
      </c>
      <c r="G11465" s="6" t="n">
        <f aca="false">Sens!F11465*(1-1/life_nonai)+(Sens!G11473)/life_nonai</f>
        <v>25.3513350397584</v>
      </c>
      <c r="H11465" s="6" t="n">
        <f aca="false">Sens!G11465*(1-1/life_nonai)+(Sens!H11473)/life_nonai</f>
        <v>27.4854778651853</v>
      </c>
      <c r="I11465" s="6" t="n">
        <f aca="false">Sens!H11465*(1-1/life_nonai)+(Sens!I11473)/life_nonai</f>
        <v>29.9364679225593</v>
      </c>
      <c r="J11465" s="6" t="n">
        <f aca="false">Sens!I11465*(1-1/life_nonai)+(Sens!J11473)/life_nonai</f>
        <v>32.6314263209692</v>
      </c>
      <c r="K11465" s="6" t="n">
        <f aca="false">Sens!J11465*(1-1/life_nonai)+(Sens!K11473)/life_nonai</f>
        <v>35.4881564282883</v>
      </c>
      <c r="L11465" s="12" t="s">
        <v>1103</v>
      </c>
    </row>
    <row r="11466" customFormat="false" ht="17.15" hidden="false" customHeight="false" outlineLevel="0" collapsed="false">
      <c r="A11466" s="1" t="s">
        <v>1104</v>
      </c>
      <c r="B11466" s="0" t="s">
        <v>98</v>
      </c>
      <c r="F11466" s="6" t="n">
        <f aca="false">Sens!$F$11474/life_nonai*(1-1/life_nonai)^(Sens!F11346-2027)</f>
        <v>0</v>
      </c>
      <c r="G11466" s="6" t="n">
        <f aca="false">Sens!$F$11474/life_nonai*(1-1/life_nonai)^(Sens!G11346-2027)</f>
        <v>0</v>
      </c>
      <c r="H11466" s="6" t="n">
        <f aca="false">Sens!$F$11474/life_nonai*(1-1/life_nonai)^(Sens!H11346-2027)</f>
        <v>0</v>
      </c>
      <c r="I11466" s="6" t="n">
        <f aca="false">Sens!$F$11474/life_nonai*(1-1/life_nonai)^(Sens!I11346-2027)</f>
        <v>0</v>
      </c>
      <c r="J11466" s="6" t="n">
        <f aca="false">Sens!$F$11474/life_nonai*(1-1/life_nonai)^(Sens!J11346-2027)</f>
        <v>0</v>
      </c>
      <c r="K11466" s="6" t="n">
        <f aca="false">Sens!$F$11474/life_nonai*(1-1/life_nonai)^(Sens!K11346-2027)</f>
        <v>0</v>
      </c>
      <c r="L11466" s="1" t="s">
        <v>1105</v>
      </c>
    </row>
    <row r="11467" customFormat="false" ht="17.15" hidden="false" customHeight="false" outlineLevel="0" collapsed="false">
      <c r="A11467" s="1" t="s">
        <v>1106</v>
      </c>
      <c r="B11467" s="0" t="s">
        <v>98</v>
      </c>
      <c r="E11467" s="6" t="n">
        <f aca="false">Sens!E11383+Sens!E11465</f>
        <v>38.534</v>
      </c>
      <c r="F11467" s="6" t="n">
        <f aca="false">Sens!F11383+Sens!F11465</f>
        <v>58.1684107263068</v>
      </c>
      <c r="G11467" s="6" t="n">
        <f aca="false">Sens!G11383+Sens!G11465</f>
        <v>86.0858256920573</v>
      </c>
      <c r="H11467" s="6" t="n">
        <f aca="false">Sens!H11383+Sens!H11465</f>
        <v>116.585568526631</v>
      </c>
      <c r="I11467" s="6" t="n">
        <f aca="false">Sens!I11383+Sens!I11465</f>
        <v>144.167477617108</v>
      </c>
      <c r="J11467" s="6" t="n">
        <f aca="false">Sens!J11383+Sens!J11465</f>
        <v>164.647099370565</v>
      </c>
      <c r="K11467" s="6" t="n">
        <f aca="false">Sens!K11383+Sens!K11465</f>
        <v>178.500825979222</v>
      </c>
    </row>
    <row r="11468" customFormat="false" ht="17.15" hidden="false" customHeight="false" outlineLevel="0" collapsed="false">
      <c r="A11468" s="1" t="s">
        <v>1107</v>
      </c>
      <c r="B11468" s="0" t="s">
        <v>98</v>
      </c>
      <c r="F11468" s="6" t="n">
        <f aca="false">Sens!F11410*sbc_r</f>
        <v>14.749010094636</v>
      </c>
      <c r="G11468" s="6" t="n">
        <f aca="false">Sens!G11410*sbc_r</f>
        <v>17.1703154336616</v>
      </c>
      <c r="H11468" s="6" t="n">
        <f aca="false">Sens!H11410*sbc_r</f>
        <v>19.444069286985</v>
      </c>
      <c r="I11468" s="6" t="n">
        <f aca="false">Sens!I11410*sbc_r</f>
        <v>21.826773255055</v>
      </c>
      <c r="J11468" s="6" t="n">
        <f aca="false">Sens!J11410*sbc_r</f>
        <v>23.8439782961531</v>
      </c>
      <c r="K11468" s="6" t="n">
        <f aca="false">Sens!K11410*sbc_r</f>
        <v>25.5113565947359</v>
      </c>
    </row>
    <row r="11469" customFormat="false" ht="17.15" hidden="false" customHeight="false" outlineLevel="0" collapsed="false">
      <c r="A11469" s="1" t="s">
        <v>1108</v>
      </c>
      <c r="B11469" s="0" t="s">
        <v>98</v>
      </c>
      <c r="F11469" s="6" t="n">
        <f aca="false">wc27-wc26q1</f>
        <v>-4.677</v>
      </c>
      <c r="G11469" s="6" t="n">
        <f aca="false">wc_f</f>
        <v>0</v>
      </c>
      <c r="H11469" s="6" t="n">
        <f aca="false">wc_f</f>
        <v>0</v>
      </c>
      <c r="I11469" s="6" t="n">
        <f aca="false">wc_f</f>
        <v>0</v>
      </c>
      <c r="J11469" s="6" t="n">
        <f aca="false">wc_f</f>
        <v>0</v>
      </c>
      <c r="K11469" s="6" t="n">
        <f aca="false">wc_f</f>
        <v>0</v>
      </c>
      <c r="L11469" s="12" t="s">
        <v>1109</v>
      </c>
    </row>
    <row r="11470" customFormat="false" ht="17.15" hidden="false" customHeight="false" outlineLevel="0" collapsed="false">
      <c r="A11470" s="0" t="s">
        <v>1110</v>
      </c>
      <c r="B11470" s="0" t="s">
        <v>98</v>
      </c>
      <c r="F11470" s="6" t="n">
        <f aca="false">Q!$I$35-Q!$I$26-Q!$I$38-Q!$I$39</f>
        <v>6.493</v>
      </c>
      <c r="L11470" s="1" t="s">
        <v>1111</v>
      </c>
    </row>
    <row r="11471" customFormat="false" ht="15" hidden="false" customHeight="false" outlineLevel="0" collapsed="false">
      <c r="A11471" s="1" t="s">
        <v>908</v>
      </c>
      <c r="B11471" s="0" t="s">
        <v>98</v>
      </c>
      <c r="E11471" s="6" t="n">
        <f aca="false">Q!M35</f>
        <v>182.935</v>
      </c>
      <c r="F11471" s="6" t="n">
        <f aca="false">Sens!F11464+Sens!F11467+Sens!F11468+Sens!F11469+Sens!F11470</f>
        <v>216.274938413374</v>
      </c>
      <c r="G11471" s="6" t="n">
        <f aca="false">Sens!G11464+Sens!G11467+Sens!G11468+Sens!G11469</f>
        <v>247.12246565985</v>
      </c>
      <c r="H11471" s="6" t="n">
        <f aca="false">Sens!H11464+Sens!H11467+Sens!H11468+Sens!H11469</f>
        <v>281.761151072146</v>
      </c>
      <c r="I11471" s="6" t="n">
        <f aca="false">Sens!I11464+Sens!I11467+Sens!I11468+Sens!I11469</f>
        <v>320.001139292677</v>
      </c>
      <c r="J11471" s="6" t="n">
        <f aca="false">Sens!J11464+Sens!J11467+Sens!J11468+Sens!J11469</f>
        <v>352.161228339664</v>
      </c>
      <c r="K11471" s="6" t="n">
        <f aca="false">Sens!K11464+Sens!K11467+Sens!K11468+Sens!K11469</f>
        <v>378.626937219866</v>
      </c>
    </row>
    <row r="11472" customFormat="false" ht="17.15" hidden="false" customHeight="false" outlineLevel="0" collapsed="false">
      <c r="A11472" s="0" t="s">
        <v>1112</v>
      </c>
      <c r="B11472" s="0" t="s">
        <v>98</v>
      </c>
      <c r="F11472" s="6" t="n">
        <f aca="false">Sens!F11380</f>
        <v>168.45390404212</v>
      </c>
      <c r="G11472" s="6" t="n">
        <f aca="false">Sens!G11380</f>
        <v>191.944475649048</v>
      </c>
      <c r="H11472" s="6" t="n">
        <f aca="false">Sens!H11380</f>
        <v>196.806004064512</v>
      </c>
      <c r="I11472" s="6" t="n">
        <f aca="false">Sens!I11380</f>
        <v>168.61483362161</v>
      </c>
      <c r="J11472" s="6" t="n">
        <f aca="false">Sens!J11380</f>
        <v>128.92993119594</v>
      </c>
      <c r="K11472" s="6" t="n">
        <f aca="false">Sens!K11380</f>
        <v>118.962853064733</v>
      </c>
    </row>
    <row r="11473" customFormat="false" ht="17.15" hidden="false" customHeight="false" outlineLevel="0" collapsed="false">
      <c r="A11473" s="1" t="s">
        <v>1113</v>
      </c>
      <c r="B11473" s="0" t="s">
        <v>98</v>
      </c>
      <c r="E11473" s="6" t="n">
        <f aca="false">Sens!E11388*cx_azo+Sens!E11395*cx_m365+Sens!E11396*cx_lic+(Sens!E11398+Sens!E11400)*cx_ind+Sens!E11403*cx_srch+(Sens!E11405+Sens!E11407)*cx_dev</f>
        <v>30.1846587067718</v>
      </c>
      <c r="F11473" s="6" t="n">
        <f aca="false">Sens!F11388*cx_azo+Sens!F11395*cx_m365+Sens!F11396*cx_lic+(Sens!F11398+Sens!F11400)*cx_ind+Sens!F11403*cx_srch+(Sens!F11405+Sens!F11407)*cx_dev</f>
        <v>35.833616273302</v>
      </c>
      <c r="G11473" s="6" t="n">
        <f aca="false">Sens!G11388*cx_azo+Sens!G11395*cx_m365+Sens!G11396*cx_lic+(Sens!G11398+Sens!G11400)*cx_ind+Sens!G11403*cx_srch+(Sens!G11405+Sens!G11407)*cx_dev</f>
        <v>41.2114841659871</v>
      </c>
      <c r="H11473" s="6" t="n">
        <f aca="false">Sens!H11388*cx_azo+Sens!H11395*cx_m365+Sens!H11396*cx_lic+(Sens!H11398+Sens!H11400)*cx_ind+Sens!H11403*cx_srch+(Sens!H11405+Sens!H11407)*cx_dev</f>
        <v>46.6927632940274</v>
      </c>
      <c r="I11473" s="6" t="n">
        <f aca="false">Sens!I11388*cx_azo+Sens!I11395*cx_m365+Sens!I11396*cx_lic+(Sens!I11398+Sens!I11400)*cx_ind+Sens!I11403*cx_srch+(Sens!I11405+Sens!I11407)*cx_dev</f>
        <v>51.995378438925</v>
      </c>
      <c r="J11473" s="6" t="n">
        <f aca="false">Sens!J11388*cx_azo+Sens!J11395*cx_m365+Sens!J11396*cx_lic+(Sens!J11398+Sens!J11400)*cx_ind+Sens!J11403*cx_srch+(Sens!J11405+Sens!J11407)*cx_dev</f>
        <v>56.8860519066583</v>
      </c>
      <c r="K11473" s="6" t="n">
        <f aca="false">Sens!K11388*cx_azo+Sens!K11395*cx_m365+Sens!K11396*cx_lic+(Sens!K11398+Sens!K11400)*cx_ind+Sens!K11403*cx_srch+(Sens!K11405+Sens!K11407)*cx_dev</f>
        <v>61.19872739416</v>
      </c>
    </row>
    <row r="11474" customFormat="false" ht="17.15" hidden="false" customHeight="false" outlineLevel="0" collapsed="false">
      <c r="A11474" s="0" t="s">
        <v>1114</v>
      </c>
      <c r="B11474" s="0" t="s">
        <v>98</v>
      </c>
      <c r="F11474" s="6" t="n">
        <f aca="false">Sens!F11378</f>
        <v>0</v>
      </c>
      <c r="L11474" s="1" t="s">
        <v>1115</v>
      </c>
    </row>
    <row r="11475" customFormat="false" ht="17.15" hidden="false" customHeight="false" outlineLevel="0" collapsed="false">
      <c r="A11475" s="1" t="s">
        <v>1116</v>
      </c>
      <c r="B11475" s="0" t="s">
        <v>98</v>
      </c>
      <c r="E11475" s="6" t="n">
        <f aca="false">Q!M43</f>
        <v>145.3</v>
      </c>
      <c r="F11475" s="6" t="n">
        <f aca="false">Sens!F11472+Sens!F11473+Sens!F11474</f>
        <v>204.287520315422</v>
      </c>
      <c r="G11475" s="6" t="n">
        <f aca="false">Sens!G11472+Sens!G11473</f>
        <v>233.155959815035</v>
      </c>
      <c r="H11475" s="6" t="n">
        <f aca="false">Sens!H11472+Sens!H11473</f>
        <v>243.49876735854</v>
      </c>
      <c r="I11475" s="6" t="n">
        <f aca="false">Sens!I11472+Sens!I11473</f>
        <v>220.610212060535</v>
      </c>
      <c r="J11475" s="6" t="n">
        <f aca="false">Sens!J11472+Sens!J11473</f>
        <v>185.815983102599</v>
      </c>
      <c r="K11475" s="6" t="n">
        <f aca="false">Sens!K11472+Sens!K11473</f>
        <v>180.161580458893</v>
      </c>
      <c r="L11475" s="1" t="s">
        <v>1117</v>
      </c>
    </row>
    <row r="11476" customFormat="false" ht="15" hidden="false" customHeight="false" outlineLevel="0" collapsed="false">
      <c r="A11476" s="1" t="s">
        <v>1118</v>
      </c>
      <c r="B11476" s="0" t="s">
        <v>98</v>
      </c>
      <c r="E11476" s="6" t="n">
        <f aca="false">fl_liab</f>
        <v>66.594</v>
      </c>
      <c r="F11476" s="6" t="n">
        <f aca="false">Sens!E11476-Sens!F11477</f>
        <v>62.46973</v>
      </c>
      <c r="G11476" s="6" t="n">
        <f aca="false">Sens!F11476-Sens!G11477</f>
        <v>57.98686785</v>
      </c>
      <c r="H11476" s="6" t="n">
        <f aca="false">Sens!G11476-Sens!H11477</f>
        <v>53.92827690325</v>
      </c>
      <c r="I11476" s="6" t="n">
        <f aca="false">Sens!H11476-Sens!I11477</f>
        <v>49.7850493638962</v>
      </c>
      <c r="J11476" s="6" t="n">
        <f aca="false">Sens!I11476-Sens!J11477</f>
        <v>45.4823765852716</v>
      </c>
      <c r="K11476" s="6" t="n">
        <f aca="false">Sens!J11476-Sens!K11477</f>
        <v>40.9860835316088</v>
      </c>
    </row>
    <row r="11477" customFormat="false" ht="15" hidden="false" customHeight="false" outlineLevel="0" collapsed="false">
      <c r="A11477" s="1" t="s">
        <v>1119</v>
      </c>
      <c r="B11477" s="0" t="s">
        <v>98</v>
      </c>
      <c r="F11477" s="6" t="n">
        <f aca="false">fl_pay_27-Sens!E11476*fl_rate</f>
        <v>4.12427</v>
      </c>
      <c r="G11477" s="6" t="n">
        <f aca="false">fl_pay_28-Sens!F11476*fl_rate</f>
        <v>4.48286215</v>
      </c>
      <c r="H11477" s="6" t="n">
        <f aca="false">fl_pay_29-Sens!G11476*fl_rate</f>
        <v>4.05859094675</v>
      </c>
      <c r="I11477" s="6" t="n">
        <f aca="false">fl_pay_30-Sens!H11476*fl_rate</f>
        <v>4.14322753935375</v>
      </c>
      <c r="J11477" s="6" t="n">
        <f aca="false">fl_pay_31-Sens!I11476*fl_rate</f>
        <v>4.30267277862467</v>
      </c>
      <c r="K11477" s="6" t="n">
        <f aca="false">fl_pay_32-Sens!J11476*fl_rate</f>
        <v>4.49629305366278</v>
      </c>
    </row>
    <row r="11478" customFormat="false" ht="17.15" hidden="false" customHeight="false" outlineLevel="0" collapsed="false">
      <c r="A11478" s="1" t="s">
        <v>1120</v>
      </c>
      <c r="B11478" s="0" t="s">
        <v>98</v>
      </c>
      <c r="E11478" s="6" t="n">
        <f aca="false">Q!M35-Q!M36-Q!M44</f>
        <v>63.886</v>
      </c>
      <c r="F11478" s="6" t="n">
        <f aca="false">Sens!F11471-Sens!F11475-Sens!F11477</f>
        <v>7.86314809795237</v>
      </c>
      <c r="G11478" s="6" t="n">
        <f aca="false">Sens!G11471-Sens!G11475-Sens!G11477</f>
        <v>9.48364369481486</v>
      </c>
      <c r="H11478" s="6" t="n">
        <f aca="false">Sens!H11471-Sens!H11475-Sens!H11477</f>
        <v>34.2037927668567</v>
      </c>
      <c r="I11478" s="6" t="n">
        <f aca="false">Sens!I11471-Sens!I11475-Sens!I11477</f>
        <v>95.2476996927884</v>
      </c>
      <c r="J11478" s="6" t="n">
        <f aca="false">Sens!J11471-Sens!J11475-Sens!J11477</f>
        <v>162.042572458441</v>
      </c>
      <c r="K11478" s="6" t="n">
        <f aca="false">Sens!K11471-Sens!K11475-Sens!K11477</f>
        <v>193.96906370731</v>
      </c>
      <c r="L11478" s="12" t="s">
        <v>1121</v>
      </c>
    </row>
    <row r="11479" customFormat="false" ht="15" hidden="false" customHeight="false" outlineLevel="0" collapsed="false">
      <c r="A11479" s="1" t="s">
        <v>1122</v>
      </c>
      <c r="B11479" s="0" t="s">
        <v>75</v>
      </c>
      <c r="F11479" s="8" t="n">
        <f aca="false">dps_27</f>
        <v>3.85</v>
      </c>
      <c r="G11479" s="8" t="n">
        <f aca="false">Sens!F11479*(1+dps_g)</f>
        <v>4.158</v>
      </c>
      <c r="H11479" s="8" t="n">
        <f aca="false">Sens!G11479*(1+dps_g)</f>
        <v>4.49064</v>
      </c>
      <c r="I11479" s="8" t="n">
        <f aca="false">Sens!H11479*(1+dps_g)</f>
        <v>4.8498912</v>
      </c>
      <c r="J11479" s="8" t="n">
        <f aca="false">Sens!I11479*(1+dps_g)</f>
        <v>5.237882496</v>
      </c>
      <c r="K11479" s="8" t="n">
        <f aca="false">Sens!J11479*(1+dps_g)</f>
        <v>5.65691309568</v>
      </c>
    </row>
    <row r="11480" customFormat="false" ht="17.15" hidden="false" customHeight="false" outlineLevel="0" collapsed="false">
      <c r="A11480" s="1" t="s">
        <v>1123</v>
      </c>
      <c r="B11480" s="0" t="s">
        <v>98</v>
      </c>
      <c r="E11480" s="6" t="n">
        <f aca="false">Q!M41</f>
        <v>26.445</v>
      </c>
      <c r="F11480" s="6" t="n">
        <f aca="false">Sens!F11479*Sens!E11489</f>
        <v>28.59395</v>
      </c>
      <c r="G11480" s="6" t="n">
        <f aca="false">Sens!G11479*Sens!F11489</f>
        <v>31.068576</v>
      </c>
      <c r="H11480" s="6" t="n">
        <f aca="false">Sens!H11479*Sens!G11489</f>
        <v>33.75614088</v>
      </c>
      <c r="I11480" s="6" t="n">
        <f aca="false">Sens!I11479*Sens!H11489</f>
        <v>36.6748772544</v>
      </c>
      <c r="J11480" s="6" t="n">
        <f aca="false">Sens!J11479*Sens!I11489</f>
        <v>39.6767653201446</v>
      </c>
      <c r="K11480" s="6" t="n">
        <f aca="false">Sens!K11479*Sens!J11489</f>
        <v>42.9376608081345</v>
      </c>
      <c r="L11480" s="1" t="s">
        <v>1124</v>
      </c>
    </row>
    <row r="11481" customFormat="false" ht="15" hidden="false" customHeight="false" outlineLevel="0" collapsed="false">
      <c r="A11481" s="1" t="s">
        <v>1125</v>
      </c>
      <c r="B11481" s="0" t="s">
        <v>98</v>
      </c>
      <c r="E11481" s="6" t="n">
        <f aca="false">Sens!E11478-Sens!E11480</f>
        <v>37.441</v>
      </c>
      <c r="F11481" s="6" t="n">
        <f aca="false">Sens!F11478-Sens!F11480</f>
        <v>-20.7308019020476</v>
      </c>
      <c r="G11481" s="6" t="n">
        <f aca="false">Sens!G11478-Sens!G11480</f>
        <v>-21.5849323051851</v>
      </c>
      <c r="H11481" s="6" t="n">
        <f aca="false">Sens!H11478-Sens!H11480</f>
        <v>0.447651886856704</v>
      </c>
      <c r="I11481" s="6" t="n">
        <f aca="false">Sens!I11478-Sens!I11480</f>
        <v>58.5728224383884</v>
      </c>
      <c r="J11481" s="6" t="n">
        <f aca="false">Sens!J11478-Sens!J11480</f>
        <v>122.365807138296</v>
      </c>
      <c r="K11481" s="6" t="n">
        <f aca="false">Sens!K11478-Sens!K11480</f>
        <v>151.031402899176</v>
      </c>
    </row>
    <row r="11482" customFormat="false" ht="15" hidden="false" customHeight="false" outlineLevel="0" collapsed="false">
      <c r="A11482" s="1" t="s">
        <v>1126</v>
      </c>
      <c r="B11482" s="0" t="s">
        <v>98</v>
      </c>
      <c r="F11482" s="6" t="n">
        <f aca="false">debt_mat_27</f>
        <v>9.25</v>
      </c>
      <c r="G11482" s="6" t="n">
        <f aca="false">debt_mat_28</f>
        <v>0</v>
      </c>
      <c r="H11482" s="6" t="n">
        <f aca="false">debt_mat_29</f>
        <v>2.001</v>
      </c>
      <c r="I11482" s="6" t="n">
        <f aca="false">debt_mat_30</f>
        <v>0</v>
      </c>
      <c r="J11482" s="6" t="n">
        <f aca="false">debt_mat_31</f>
        <v>0.5</v>
      </c>
      <c r="K11482" s="6" t="n">
        <f aca="false">debt_mat_32</f>
        <v>0</v>
      </c>
    </row>
    <row r="11483" customFormat="false" ht="15" hidden="false" customHeight="false" outlineLevel="0" collapsed="false">
      <c r="A11483" s="1" t="s">
        <v>1127</v>
      </c>
      <c r="B11483" s="0" t="s">
        <v>98</v>
      </c>
      <c r="E11483" s="6" t="n">
        <f aca="false">Q!M40</f>
        <v>22.271</v>
      </c>
      <c r="F11483" s="6" t="n">
        <f aca="false">MAX(0,MIN(bb_target,Sens!E11485+Sens!F11481-Sens!F11482-min_cash))</f>
        <v>0</v>
      </c>
      <c r="G11483" s="6" t="n">
        <f aca="false">MAX(0,MIN(bb_target,Sens!F11485+Sens!G11481-Sens!G11482-min_cash))</f>
        <v>0</v>
      </c>
      <c r="H11483" s="6" t="n">
        <f aca="false">MAX(0,MIN(bb_target,Sens!G11485+Sens!H11481-Sens!H11482-min_cash))</f>
        <v>0</v>
      </c>
      <c r="I11483" s="6" t="n">
        <f aca="false">MAX(0,MIN(bb_target,Sens!H11485+Sens!I11481-Sens!I11482-min_cash))</f>
        <v>22.271</v>
      </c>
      <c r="J11483" s="6" t="n">
        <f aca="false">MAX(0,MIN(bb_target,Sens!I11485+Sens!J11481-Sens!J11482-min_cash))</f>
        <v>22.271</v>
      </c>
      <c r="K11483" s="6" t="n">
        <f aca="false">MAX(0,MIN(bb_target,Sens!J11485+Sens!K11481-Sens!K11482-min_cash))</f>
        <v>22.271</v>
      </c>
    </row>
    <row r="11484" customFormat="false" ht="15" hidden="false" customHeight="false" outlineLevel="0" collapsed="false">
      <c r="A11484" s="1" t="s">
        <v>1128</v>
      </c>
      <c r="B11484" s="0" t="s">
        <v>98</v>
      </c>
      <c r="F11484" s="6" t="n">
        <f aca="false">MAX(0,min_cash-(Sens!E11485+Sens!F11481-Sens!F11482-Sens!F11483))</f>
        <v>3.13780190204763</v>
      </c>
      <c r="G11484" s="6" t="n">
        <f aca="false">MAX(0,min_cash-(Sens!F11485+Sens!G11481-Sens!G11482-Sens!G11483))</f>
        <v>21.5849323051851</v>
      </c>
      <c r="H11484" s="6" t="n">
        <f aca="false">MAX(0,min_cash-(Sens!G11485+Sens!H11481-Sens!H11482-Sens!H11483))</f>
        <v>1.55334811314329</v>
      </c>
      <c r="I11484" s="6" t="n">
        <f aca="false">MAX(0,min_cash-(Sens!H11485+Sens!I11481-Sens!I11482-Sens!I11483))</f>
        <v>0</v>
      </c>
      <c r="J11484" s="6" t="n">
        <f aca="false">MAX(0,min_cash-(Sens!I11485+Sens!J11481-Sens!J11482-Sens!J11483))</f>
        <v>0</v>
      </c>
      <c r="K11484" s="6" t="n">
        <f aca="false">MAX(0,min_cash-(Sens!J11485+Sens!K11481-Sens!K11482-Sens!K11483))</f>
        <v>0</v>
      </c>
    </row>
    <row r="11485" customFormat="false" ht="15" hidden="false" customHeight="false" outlineLevel="0" collapsed="false">
      <c r="A11485" s="1" t="s">
        <v>1129</v>
      </c>
      <c r="B11485" s="0" t="s">
        <v>98</v>
      </c>
      <c r="E11485" s="6" t="n">
        <f aca="false">cash_open</f>
        <v>76.843</v>
      </c>
      <c r="F11485" s="6" t="n">
        <f aca="false">Sens!E11485+Sens!F11481-Sens!F11482-Sens!F11483+Sens!F11484</f>
        <v>50</v>
      </c>
      <c r="G11485" s="6" t="n">
        <f aca="false">Sens!F11485+Sens!G11481-Sens!G11482-Sens!G11483+Sens!G11484</f>
        <v>50</v>
      </c>
      <c r="H11485" s="6" t="n">
        <f aca="false">Sens!G11485+Sens!H11481-Sens!H11482-Sens!H11483+Sens!H11484</f>
        <v>50</v>
      </c>
      <c r="I11485" s="6" t="n">
        <f aca="false">Sens!H11485+Sens!I11481-Sens!I11482-Sens!I11483+Sens!I11484</f>
        <v>86.3018224383884</v>
      </c>
      <c r="J11485" s="6" t="n">
        <f aca="false">Sens!I11485+Sens!J11481-Sens!J11482-Sens!J11483+Sens!J11484</f>
        <v>185.896629576684</v>
      </c>
      <c r="K11485" s="6" t="n">
        <f aca="false">Sens!J11485+Sens!K11481-Sens!K11482-Sens!K11483+Sens!K11484</f>
        <v>314.65703247586</v>
      </c>
    </row>
    <row r="11486" customFormat="false" ht="15" hidden="false" customHeight="false" outlineLevel="0" collapsed="false">
      <c r="A11486" s="1" t="s">
        <v>1130</v>
      </c>
      <c r="B11486" s="0" t="s">
        <v>98</v>
      </c>
      <c r="E11486" s="6" t="n">
        <f aca="false">debt_face</f>
        <v>46.136</v>
      </c>
      <c r="F11486" s="6" t="n">
        <f aca="false">Sens!E11486-Sens!F11482+Sens!F11484</f>
        <v>40.0238019020476</v>
      </c>
      <c r="G11486" s="6" t="n">
        <f aca="false">Sens!F11486-Sens!G11482+Sens!G11484</f>
        <v>61.6087342072328</v>
      </c>
      <c r="H11486" s="6" t="n">
        <f aca="false">Sens!G11486-Sens!H11482+Sens!H11484</f>
        <v>61.1610823203761</v>
      </c>
      <c r="I11486" s="6" t="n">
        <f aca="false">Sens!H11486-Sens!I11482+Sens!I11484</f>
        <v>61.1610823203761</v>
      </c>
      <c r="J11486" s="6" t="n">
        <f aca="false">Sens!I11486-Sens!J11482+Sens!J11484</f>
        <v>60.6610823203761</v>
      </c>
      <c r="K11486" s="6" t="n">
        <f aca="false">Sens!J11486-Sens!K11482+Sens!K11484</f>
        <v>60.6610823203761</v>
      </c>
    </row>
    <row r="11487" customFormat="false" ht="15" hidden="false" customHeight="false" outlineLevel="0" collapsed="false">
      <c r="A11487" s="1" t="s">
        <v>1131</v>
      </c>
      <c r="B11487" s="0" t="s">
        <v>98</v>
      </c>
      <c r="E11487" s="6" t="n">
        <f aca="false">Sens!E11485-Sens!E11486</f>
        <v>30.707</v>
      </c>
      <c r="F11487" s="6" t="n">
        <f aca="false">Sens!F11485-Sens!F11486</f>
        <v>9.97619809795237</v>
      </c>
      <c r="G11487" s="6" t="n">
        <f aca="false">Sens!G11485-Sens!G11486</f>
        <v>-11.6087342072328</v>
      </c>
      <c r="H11487" s="6" t="n">
        <f aca="false">Sens!H11485-Sens!H11486</f>
        <v>-11.1610823203761</v>
      </c>
      <c r="I11487" s="6" t="n">
        <f aca="false">Sens!I11485-Sens!I11486</f>
        <v>25.1407401180123</v>
      </c>
      <c r="J11487" s="6" t="n">
        <f aca="false">Sens!J11485-Sens!J11486</f>
        <v>125.235547256308</v>
      </c>
      <c r="K11487" s="6" t="n">
        <f aca="false">Sens!K11485-Sens!K11486</f>
        <v>253.995950155484</v>
      </c>
    </row>
    <row r="11488" customFormat="false" ht="15" hidden="false" customHeight="false" outlineLevel="0" collapsed="false">
      <c r="A11488" s="1" t="s">
        <v>1132</v>
      </c>
      <c r="B11488" s="0" t="s">
        <v>75</v>
      </c>
      <c r="F11488" s="30" t="n">
        <f aca="false">px*(1+bb_g)^(Sens!F11346-base_fy-mid_yr)</f>
        <v>551.84177959629</v>
      </c>
      <c r="G11488" s="30" t="n">
        <f aca="false">px*(1+bb_g)^(Sens!G11346-base_fy-mid_yr)</f>
        <v>595.989121963993</v>
      </c>
      <c r="H11488" s="30" t="n">
        <f aca="false">px*(1+bb_g)^(Sens!H11346-base_fy-mid_yr)</f>
        <v>643.668251721112</v>
      </c>
      <c r="I11488" s="30" t="n">
        <f aca="false">px*(1+bb_g)^(Sens!I11346-base_fy-mid_yr)</f>
        <v>695.161711858801</v>
      </c>
      <c r="J11488" s="30" t="n">
        <f aca="false">px*(1+bb_g)^(Sens!J11346-base_fy-mid_yr)</f>
        <v>750.774648807506</v>
      </c>
      <c r="K11488" s="30" t="n">
        <f aca="false">px*(1+bb_g)^(Sens!K11346-base_fy-mid_yr)</f>
        <v>810.836620712106</v>
      </c>
    </row>
    <row r="11489" customFormat="false" ht="15" hidden="false" customHeight="false" outlineLevel="0" collapsed="false">
      <c r="A11489" s="1" t="s">
        <v>1133</v>
      </c>
      <c r="B11489" s="1" t="s">
        <v>81</v>
      </c>
      <c r="E11489" s="15" t="n">
        <f aca="false">sh_out26</f>
        <v>7.427</v>
      </c>
      <c r="F11489" s="15" t="n">
        <f aca="false">Sens!E11489+sh_iss-Sens!F11483/Sens!F11488</f>
        <v>7.472</v>
      </c>
      <c r="G11489" s="15" t="n">
        <f aca="false">Sens!F11489+sh_iss-Sens!G11483/Sens!G11488</f>
        <v>7.517</v>
      </c>
      <c r="H11489" s="15" t="n">
        <f aca="false">Sens!G11489+sh_iss-Sens!H11483/Sens!H11488</f>
        <v>7.562</v>
      </c>
      <c r="I11489" s="15" t="n">
        <f aca="false">Sens!H11489+sh_iss-Sens!I11483/Sens!I11488</f>
        <v>7.57496285005334</v>
      </c>
      <c r="J11489" s="15" t="n">
        <f aca="false">Sens!I11489+sh_iss-Sens!J11483/Sens!J11488</f>
        <v>7.59029882232494</v>
      </c>
      <c r="K11489" s="15" t="n">
        <f aca="false">Sens!J11489+sh_iss-Sens!K11483/Sens!K11488</f>
        <v>7.60783212998384</v>
      </c>
    </row>
    <row r="11490" customFormat="false" ht="15" hidden="false" customHeight="false" outlineLevel="0" collapsed="false">
      <c r="A11490" s="1" t="s">
        <v>1134</v>
      </c>
      <c r="B11490" s="1" t="s">
        <v>81</v>
      </c>
      <c r="E11490" s="15" t="n">
        <f aca="false">sh_dil26</f>
        <v>7.453</v>
      </c>
      <c r="F11490" s="15" t="n">
        <f aca="false">(Sens!E11489+Sens!F11489)/2+dil_gap</f>
        <v>7.4735</v>
      </c>
      <c r="G11490" s="15" t="n">
        <f aca="false">(Sens!F11489+Sens!G11489)/2+dil_gap</f>
        <v>7.5185</v>
      </c>
      <c r="H11490" s="15" t="n">
        <f aca="false">(Sens!G11489+Sens!H11489)/2+dil_gap</f>
        <v>7.5635</v>
      </c>
      <c r="I11490" s="15" t="n">
        <f aca="false">(Sens!H11489+Sens!I11489)/2+dil_gap</f>
        <v>7.59248142502667</v>
      </c>
      <c r="J11490" s="15" t="n">
        <f aca="false">(Sens!I11489+Sens!J11489)/2+dil_gap</f>
        <v>7.60663083618914</v>
      </c>
      <c r="K11490" s="15" t="n">
        <f aca="false">(Sens!J11489+Sens!K11489)/2+dil_gap</f>
        <v>7.62306547615439</v>
      </c>
    </row>
    <row r="11491" customFormat="false" ht="17.15" hidden="false" customHeight="false" outlineLevel="0" collapsed="false">
      <c r="A11491" s="1" t="s">
        <v>1135</v>
      </c>
      <c r="B11491" s="0" t="s">
        <v>98</v>
      </c>
      <c r="C11491" s="6" t="n">
        <f aca="false">SUM(Sens!F11481:J11481)</f>
        <v>139.070547256308</v>
      </c>
    </row>
    <row r="11492" customFormat="false" ht="15" hidden="false" customHeight="false" outlineLevel="0" collapsed="false">
      <c r="A11492" s="26" t="s">
        <v>1100</v>
      </c>
      <c r="B11492" s="31" t="s">
        <v>98</v>
      </c>
      <c r="C11492" s="27" t="n">
        <f aca="false">Sens!$C$11491-(Sens!F11481+Sens!G11481+Sens!H11481+Sens!I11481+Sens!J11481)</f>
        <v>0</v>
      </c>
      <c r="D11492" s="31"/>
      <c r="E11492" s="31"/>
      <c r="F11492" s="31"/>
      <c r="G11492" s="31"/>
      <c r="H11492" s="31"/>
      <c r="I11492" s="31"/>
      <c r="J11492" s="31"/>
      <c r="K11492" s="31"/>
    </row>
    <row r="11493" customFormat="false" ht="17.15" hidden="false" customHeight="false" outlineLevel="0" collapsed="false">
      <c r="A11493" s="1" t="s">
        <v>1094</v>
      </c>
      <c r="B11493" s="1" t="s">
        <v>1136</v>
      </c>
      <c r="C11493" s="33" t="str">
        <f aca="false">IF(SUM(Sens!F11484:J11484)&gt;0.05,"需要舉債 "&amp;TEXT(SUM(Sens!F11484:J11484),"0.0")&amp;" 十億美元","不需舉債")&amp;"；"&amp;IF(SUM(Sens!F11483:J11483)&lt;COUNT(Sens!F11483:J11483)*bb_target-0.05,"回購較每年 "&amp;TEXT(bb_target,"0.0")&amp;" 的目標少 "&amp;TEXT(COUNT(Sens!F11483:J11483)*bb_target-SUM(Sens!F11483:J11483),"0.0")&amp;" 十億美元（"&amp;TEXT(COUNTIF(Sens!F11483:J11483,"&lt;"&amp;(bb_target-0.05)),"0")&amp;" 年減少）","回購不減")</f>
        <v>需要舉債 26.3 十億美元；回購較每年 22.3 的目標少 66.8 十億美元（3 年減少）</v>
      </c>
    </row>
    <row r="11494" customFormat="false" ht="17.15" hidden="false" customHeight="false" outlineLevel="0" collapsed="false">
      <c r="A11494" s="3" t="s">
        <v>1899</v>
      </c>
    </row>
    <row r="11495" customFormat="false" ht="15" hidden="false" customHeight="false" outlineLevel="0" collapsed="false">
      <c r="A11495" s="4" t="s">
        <v>43</v>
      </c>
      <c r="B11495" s="4" t="s">
        <v>65</v>
      </c>
      <c r="C11495" s="23" t="s">
        <v>942</v>
      </c>
      <c r="D11495" s="23" t="s">
        <v>943</v>
      </c>
      <c r="E11495" s="23" t="s">
        <v>944</v>
      </c>
      <c r="F11495" s="23" t="s">
        <v>945</v>
      </c>
      <c r="G11495" s="23" t="s">
        <v>946</v>
      </c>
      <c r="H11495" s="23" t="s">
        <v>947</v>
      </c>
      <c r="I11495" s="23" t="s">
        <v>948</v>
      </c>
      <c r="J11495" s="23" t="s">
        <v>949</v>
      </c>
      <c r="K11495" s="23" t="s">
        <v>950</v>
      </c>
      <c r="L11495" s="4" t="s">
        <v>47</v>
      </c>
    </row>
    <row r="11496" customFormat="false" ht="17.15" hidden="false" customHeight="false" outlineLevel="0" collapsed="false">
      <c r="A11496" s="1" t="s">
        <v>1216</v>
      </c>
      <c r="B11496" s="1" t="s">
        <v>279</v>
      </c>
      <c r="F11496" s="8" t="n">
        <f aca="false">(1-v_off)*mid_yr</f>
        <v>0.373972602739726</v>
      </c>
      <c r="G11496" s="8" t="n">
        <f aca="false">Sens!G11346-base_fy-mid_yr-v_off</f>
        <v>1.24794520547945</v>
      </c>
      <c r="H11496" s="8" t="n">
        <f aca="false">Sens!H11346-base_fy-mid_yr-v_off</f>
        <v>2.24794520547945</v>
      </c>
      <c r="I11496" s="8" t="n">
        <f aca="false">Sens!I11346-base_fy-mid_yr-v_off</f>
        <v>3.24794520547945</v>
      </c>
      <c r="J11496" s="8" t="n">
        <f aca="false">Sens!J11346-base_fy-mid_yr-v_off</f>
        <v>4.24794520547945</v>
      </c>
      <c r="K11496" s="8" t="n">
        <f aca="false">Sens!K11346-base_fy-mid_yr-v_off</f>
        <v>5.24794520547945</v>
      </c>
      <c r="L11496" s="12" t="s">
        <v>1217</v>
      </c>
    </row>
    <row r="11497" customFormat="false" ht="15" hidden="false" customHeight="false" outlineLevel="0" collapsed="false">
      <c r="A11497" s="1" t="s">
        <v>1218</v>
      </c>
      <c r="B11497" s="1" t="s">
        <v>279</v>
      </c>
      <c r="F11497" s="8" t="n">
        <f aca="false">Sens!F11346-base_fy-v_off</f>
        <v>0.747945205479452</v>
      </c>
      <c r="G11497" s="8" t="n">
        <f aca="false">Sens!G11346-base_fy-v_off</f>
        <v>1.74794520547945</v>
      </c>
      <c r="H11497" s="8" t="n">
        <f aca="false">Sens!H11346-base_fy-v_off</f>
        <v>2.74794520547945</v>
      </c>
      <c r="I11497" s="8" t="n">
        <f aca="false">Sens!I11346-base_fy-v_off</f>
        <v>3.74794520547945</v>
      </c>
      <c r="J11497" s="8" t="n">
        <f aca="false">Sens!J11346-base_fy-v_off</f>
        <v>4.74794520547945</v>
      </c>
      <c r="K11497" s="8" t="n">
        <f aca="false">Sens!K11346-base_fy-v_off</f>
        <v>5.74794520547945</v>
      </c>
    </row>
    <row r="11498" customFormat="false" ht="15" hidden="false" customHeight="false" outlineLevel="0" collapsed="false">
      <c r="A11498" s="1" t="s">
        <v>1219</v>
      </c>
      <c r="B11498" s="0" t="s">
        <v>229</v>
      </c>
      <c r="F11498" s="15" t="n">
        <f aca="false">1/(1+wacc)^Sens!F11496</f>
        <v>0.964022703286649</v>
      </c>
      <c r="G11498" s="15" t="n">
        <f aca="false">1/(1+wacc)^Sens!G11496</f>
        <v>0.884910302296739</v>
      </c>
      <c r="H11498" s="15" t="n">
        <f aca="false">1/(1+wacc)^Sens!H11496</f>
        <v>0.802322009770358</v>
      </c>
      <c r="I11498" s="15" t="n">
        <f aca="false">1/(1+wacc)^Sens!I11496</f>
        <v>0.727441646561469</v>
      </c>
      <c r="J11498" s="15" t="n">
        <f aca="false">1/(1+wacc)^Sens!J11496</f>
        <v>0.659549834988973</v>
      </c>
      <c r="K11498" s="15" t="n">
        <f aca="false">1/(1+wacc)^Sens!K11496</f>
        <v>0.597994336576966</v>
      </c>
    </row>
    <row r="11499" customFormat="false" ht="17.15" hidden="false" customHeight="false" outlineLevel="0" collapsed="false">
      <c r="A11499" s="1" t="s">
        <v>1220</v>
      </c>
      <c r="B11499" s="0" t="s">
        <v>98</v>
      </c>
      <c r="F11499" s="6" t="n">
        <f aca="false">Q!$I$35-Q!$I$39-Q!$I$43</f>
        <v>9.666</v>
      </c>
      <c r="L11499" s="12" t="s">
        <v>1221</v>
      </c>
    </row>
    <row r="11500" customFormat="false" ht="17.15" hidden="false" customHeight="false" outlineLevel="0" collapsed="false">
      <c r="A11500" s="1" t="s">
        <v>1222</v>
      </c>
      <c r="B11500" s="0" t="s">
        <v>98</v>
      </c>
      <c r="F11500" s="6" t="n">
        <f aca="false">Sens!F11471-Sens!F11468-Sens!F11475+Sens!F11453*(1-tax_f)*(1-v_off)-Sens!F11499</f>
        <v>-6.08724325840502</v>
      </c>
      <c r="G11500" s="6" t="n">
        <f aca="false">Sens!G11471-Sens!G11468-Sens!G11475+Sens!G11453*(1-tax_f)</f>
        <v>19.0719077510989</v>
      </c>
      <c r="H11500" s="6" t="n">
        <f aca="false">Sens!H11471-Sens!H11468-Sens!H11475+Sens!H11453*(1-tax_f)</f>
        <v>56.0712788277273</v>
      </c>
      <c r="I11500" s="6" t="n">
        <f aca="false">Sens!I11471-Sens!I11468-Sens!I11475+Sens!I11453*(1-tax_f)</f>
        <v>128.181576227203</v>
      </c>
      <c r="J11500" s="6" t="n">
        <f aca="false">Sens!J11471-Sens!J11468-Sens!J11475+Sens!J11453*(1-tax_f)</f>
        <v>202.426164771473</v>
      </c>
      <c r="K11500" s="6" t="n">
        <f aca="false">Sens!K11471-Sens!K11468-Sens!K11475+Sens!K11453*(1-tax_f)</f>
        <v>238.265635140656</v>
      </c>
      <c r="L11500" s="1" t="s">
        <v>1223</v>
      </c>
    </row>
    <row r="11501" customFormat="false" ht="15" hidden="false" customHeight="false" outlineLevel="0" collapsed="false">
      <c r="A11501" s="1" t="s">
        <v>1224</v>
      </c>
      <c r="B11501" s="0" t="s">
        <v>98</v>
      </c>
      <c r="F11501" s="6" t="n">
        <f aca="false">Sens!F11500*Sens!F11498</f>
        <v>-5.86824070153103</v>
      </c>
      <c r="G11501" s="6" t="n">
        <f aca="false">Sens!G11500*Sens!G11498</f>
        <v>16.8769276534004</v>
      </c>
      <c r="H11501" s="6" t="n">
        <f aca="false">Sens!H11500*Sens!H11498</f>
        <v>44.9872211194563</v>
      </c>
      <c r="I11501" s="6" t="n">
        <f aca="false">Sens!I11500*Sens!I11498</f>
        <v>93.2446168695607</v>
      </c>
      <c r="J11501" s="6" t="n">
        <f aca="false">Sens!J11500*Sens!J11498</f>
        <v>133.510143572476</v>
      </c>
      <c r="K11501" s="6" t="n">
        <f aca="false">Sens!K11500*Sens!K11498</f>
        <v>142.481500415026</v>
      </c>
    </row>
    <row r="11502" customFormat="false" ht="17.15" hidden="false" customHeight="false" outlineLevel="0" collapsed="false">
      <c r="A11502" s="1" t="s">
        <v>1225</v>
      </c>
      <c r="B11502" s="0" t="s">
        <v>98</v>
      </c>
      <c r="C11502" s="6" t="n">
        <f aca="false">SUM(Sens!F11501:K11501)</f>
        <v>425.232168928388</v>
      </c>
    </row>
    <row r="11503" customFormat="false" ht="17.15" hidden="false" customHeight="false" outlineLevel="0" collapsed="false">
      <c r="A11503" s="1" t="s">
        <v>1226</v>
      </c>
      <c r="B11503" s="0" t="s">
        <v>98</v>
      </c>
      <c r="C11503" s="6" t="n">
        <f aca="false">Sens!K11439*(1+g_tv)*(1-tax_f)</f>
        <v>248.112981308936</v>
      </c>
    </row>
    <row r="11504" customFormat="false" ht="17.15" hidden="false" customHeight="false" outlineLevel="0" collapsed="false">
      <c r="A11504" s="1" t="s">
        <v>1227</v>
      </c>
      <c r="B11504" s="0" t="s">
        <v>98</v>
      </c>
      <c r="C11504" s="6" t="n">
        <f aca="false">Sens!$C$11503*(1-g_tv/(wacc+ronic_prem))</f>
        <v>175.802548537737</v>
      </c>
    </row>
    <row r="11505" customFormat="false" ht="17.15" hidden="false" customHeight="false" outlineLevel="0" collapsed="false">
      <c r="A11505" s="1" t="s">
        <v>1228</v>
      </c>
      <c r="B11505" s="0" t="s">
        <v>98</v>
      </c>
      <c r="C11505" s="6" t="n">
        <f aca="false">Sens!$C$11504/(wacc-g_tv)</f>
        <v>2410.34775903999</v>
      </c>
    </row>
    <row r="11506" customFormat="false" ht="15" hidden="false" customHeight="false" outlineLevel="0" collapsed="false">
      <c r="A11506" s="1" t="s">
        <v>1229</v>
      </c>
      <c r="B11506" s="0" t="s">
        <v>98</v>
      </c>
      <c r="C11506" s="6" t="n">
        <f aca="false">Sens!$C$11505/(1+wacc)^Sens!K11497</f>
        <v>1372.46571532327</v>
      </c>
    </row>
    <row r="11507" customFormat="false" ht="17.15" hidden="false" customHeight="false" outlineLevel="0" collapsed="false">
      <c r="A11507" s="0" t="s">
        <v>1230</v>
      </c>
      <c r="B11507" s="0" t="s">
        <v>98</v>
      </c>
      <c r="C11507" s="6" t="n">
        <f aca="false">Sens!$C$11502+Sens!$C$11506</f>
        <v>1797.69788425166</v>
      </c>
    </row>
    <row r="11508" customFormat="false" ht="15" hidden="false" customHeight="false" outlineLevel="0" collapsed="false">
      <c r="A11508" s="1" t="s">
        <v>1145</v>
      </c>
      <c r="B11508" s="0" t="s">
        <v>168</v>
      </c>
      <c r="C11508" s="7" t="n">
        <f aca="false">Sens!$C$11506/Sens!$C$11507</f>
        <v>0.763457379210633</v>
      </c>
    </row>
    <row r="11509" customFormat="false" ht="17.15" hidden="false" customHeight="false" outlineLevel="0" collapsed="false">
      <c r="A11509" s="1" t="s">
        <v>1231</v>
      </c>
      <c r="B11509" s="0" t="s">
        <v>98</v>
      </c>
      <c r="C11509" s="6" t="n">
        <f aca="false">Sens!$C$11507+cash_val-debt_val-fl_val+oai_v</f>
        <v>1913.54888425166</v>
      </c>
    </row>
    <row r="11510" customFormat="false" ht="17.15" hidden="false" customHeight="false" outlineLevel="0" collapsed="false">
      <c r="A11510" s="0" t="s">
        <v>1153</v>
      </c>
      <c r="B11510" s="0" t="s">
        <v>75</v>
      </c>
      <c r="C11510" s="5" t="n">
        <f aca="false">Sens!$C$11509/shd_val</f>
        <v>256.990180533395</v>
      </c>
    </row>
    <row r="11511" customFormat="false" ht="15" hidden="false" customHeight="false" outlineLevel="0" collapsed="false">
      <c r="A11511" s="1" t="s">
        <v>1232</v>
      </c>
      <c r="B11511" s="0" t="s">
        <v>75</v>
      </c>
      <c r="C11511" s="8" t="n">
        <f aca="false">div_rem27+Sens!G11479*roll_div_q/q_per_yr</f>
        <v>3.9795</v>
      </c>
    </row>
    <row r="11512" customFormat="false" ht="17.15" hidden="false" customHeight="false" outlineLevel="0" collapsed="false">
      <c r="A11512" s="0" t="s">
        <v>1233</v>
      </c>
      <c r="B11512" s="0" t="s">
        <v>75</v>
      </c>
      <c r="C11512" s="5" t="n">
        <f aca="false">Sens!$C$11510*(1+wacc)^t_roll-Sens!$C$11511</f>
        <v>281.679428475998</v>
      </c>
    </row>
    <row r="11513" customFormat="false" ht="17.15" hidden="false" customHeight="false" outlineLevel="0" collapsed="false">
      <c r="A11513" s="1" t="s">
        <v>1234</v>
      </c>
      <c r="B11513" s="0" t="s">
        <v>168</v>
      </c>
      <c r="F11513" s="7" t="n">
        <f aca="false">Sens!F11465/(Sens!F11410-Sens!F11365)</f>
        <v>0.0686607096578085</v>
      </c>
      <c r="G11513" s="7" t="n">
        <f aca="false">Sens!G11465/(Sens!G11410-Sens!G11365)</f>
        <v>0.066257012479178</v>
      </c>
      <c r="H11513" s="7" t="n">
        <f aca="false">Sens!H11465/(Sens!H11410-Sens!H11365)</f>
        <v>0.0650255211457179</v>
      </c>
      <c r="I11513" s="7" t="n">
        <f aca="false">Sens!I11465/(Sens!I11410-Sens!I11365)</f>
        <v>0.0648267389821538</v>
      </c>
      <c r="J11513" s="7" t="n">
        <f aca="false">Sens!J11465/(Sens!J11410-Sens!J11365)</f>
        <v>0.0654477490593469</v>
      </c>
      <c r="K11513" s="7" t="n">
        <f aca="false">Sens!K11465/(Sens!K11410-Sens!K11365)</f>
        <v>0.0666514637172468</v>
      </c>
    </row>
    <row r="11514" customFormat="false" ht="17.15" hidden="false" customHeight="false" outlineLevel="0" collapsed="false">
      <c r="A11514" s="0" t="s">
        <v>1235</v>
      </c>
      <c r="B11514" s="0" t="s">
        <v>98</v>
      </c>
      <c r="F11514" s="6" t="n">
        <f aca="false">Sens!F11395*(al_m365+Sens!F11513+sbc_r)</f>
        <v>82.9165626444723</v>
      </c>
      <c r="G11514" s="6" t="n">
        <f aca="false">Sens!G11395*(al_m365+Sens!G11513+sbc_r)</f>
        <v>93.2993462005974</v>
      </c>
      <c r="H11514" s="6" t="n">
        <f aca="false">Sens!H11395*(al_m365+Sens!H11513+sbc_r)</f>
        <v>103.839668053921</v>
      </c>
      <c r="I11514" s="6" t="n">
        <f aca="false">Sens!I11395*(al_m365+Sens!I11513+sbc_r)</f>
        <v>113.860198214374</v>
      </c>
      <c r="J11514" s="6" t="n">
        <f aca="false">Sens!J11395*(al_m365+Sens!J11513+sbc_r)</f>
        <v>123.170543768794</v>
      </c>
      <c r="K11514" s="6" t="n">
        <f aca="false">Sens!K11395*(al_m365+Sens!K11513+sbc_r)</f>
        <v>132.076281339252</v>
      </c>
      <c r="L11514" s="12" t="s">
        <v>1236</v>
      </c>
    </row>
    <row r="11515" customFormat="false" ht="17.15" hidden="false" customHeight="false" outlineLevel="0" collapsed="false">
      <c r="A11515" s="0" t="s">
        <v>1237</v>
      </c>
      <c r="B11515" s="0" t="s">
        <v>98</v>
      </c>
      <c r="F11515" s="6" t="n">
        <f aca="false">Sens!F11396*(al_lic+Sens!F11513+sbc_r)</f>
        <v>32.8593449893767</v>
      </c>
      <c r="G11515" s="6" t="n">
        <f aca="false">Sens!G11396*(al_lic+Sens!G11513+sbc_r)</f>
        <v>34.1545773184132</v>
      </c>
      <c r="H11515" s="6" t="n">
        <f aca="false">Sens!H11396*(al_lic+Sens!H11513+sbc_r)</f>
        <v>35.3589548258426</v>
      </c>
      <c r="I11515" s="6" t="n">
        <f aca="false">Sens!I11396*(al_lic+Sens!I11513+sbc_r)</f>
        <v>36.4526664723759</v>
      </c>
      <c r="J11515" s="6" t="n">
        <f aca="false">Sens!J11396*(al_lic+Sens!J11513+sbc_r)</f>
        <v>37.4125899415613</v>
      </c>
      <c r="K11515" s="6" t="n">
        <f aca="false">Sens!K11396*(al_lic+Sens!K11513+sbc_r)</f>
        <v>38.2147032913543</v>
      </c>
    </row>
    <row r="11516" customFormat="false" ht="17.15" hidden="false" customHeight="false" outlineLevel="0" collapsed="false">
      <c r="A11516" s="0" t="s">
        <v>1238</v>
      </c>
      <c r="B11516" s="0" t="s">
        <v>98</v>
      </c>
      <c r="F11516" s="6" t="n">
        <f aca="false">Sens!F11398*(al_ind+Sens!F11513+sbc_r)</f>
        <v>9.06133516030267</v>
      </c>
      <c r="G11516" s="6" t="n">
        <f aca="false">Sens!G11398*(al_ind+Sens!G11513+sbc_r)</f>
        <v>9.84652562923094</v>
      </c>
      <c r="H11516" s="6" t="n">
        <f aca="false">Sens!H11398*(al_ind+Sens!H11513+sbc_r)</f>
        <v>10.6738848284889</v>
      </c>
      <c r="I11516" s="6" t="n">
        <f aca="false">Sens!I11398*(al_ind+Sens!I11513+sbc_r)</f>
        <v>11.5387650708923</v>
      </c>
      <c r="J11516" s="6" t="n">
        <f aca="false">Sens!J11398*(al_ind+Sens!J11513+sbc_r)</f>
        <v>12.4323499329362</v>
      </c>
      <c r="K11516" s="6" t="n">
        <f aca="false">Sens!K11398*(al_ind+Sens!K11513+sbc_r)</f>
        <v>13.3423645428104</v>
      </c>
    </row>
    <row r="11517" customFormat="false" ht="17.15" hidden="false" customHeight="false" outlineLevel="0" collapsed="false">
      <c r="A11517" s="0" t="s">
        <v>1239</v>
      </c>
      <c r="B11517" s="0" t="s">
        <v>98</v>
      </c>
      <c r="F11517" s="6" t="n">
        <f aca="false">Sens!F11400*(al_fro+Sens!F11513+sbc_r)</f>
        <v>3.55438965411656</v>
      </c>
      <c r="G11517" s="6" t="n">
        <f aca="false">Sens!G11400*(al_fro+Sens!G11513+sbc_r)</f>
        <v>3.76756928744116</v>
      </c>
      <c r="H11517" s="6" t="n">
        <f aca="false">Sens!H11400*(al_fro+Sens!H11513+sbc_r)</f>
        <v>4.00854472166037</v>
      </c>
      <c r="I11517" s="6" t="n">
        <f aca="false">Sens!I11400*(al_fro+Sens!I11513+sbc_r)</f>
        <v>4.27958923282615</v>
      </c>
      <c r="J11517" s="6" t="n">
        <f aca="false">Sens!J11400*(al_fro+Sens!J11513+sbc_r)</f>
        <v>4.58225380641574</v>
      </c>
      <c r="K11517" s="6" t="n">
        <f aca="false">Sens!K11400*(al_fro+Sens!K11513+sbc_r)</f>
        <v>4.91766247271647</v>
      </c>
    </row>
    <row r="11518" customFormat="false" ht="17.15" hidden="false" customHeight="false" outlineLevel="0" collapsed="false">
      <c r="A11518" s="0" t="s">
        <v>1240</v>
      </c>
      <c r="B11518" s="0" t="s">
        <v>98</v>
      </c>
      <c r="F11518" s="6" t="n">
        <f aca="false">Sens!F11403*(al_srch+Sens!F11513+sbc_r)</f>
        <v>11.2285810406668</v>
      </c>
      <c r="G11518" s="6" t="n">
        <f aca="false">Sens!G11403*(al_srch+Sens!G11513+sbc_r)</f>
        <v>12.4283171824164</v>
      </c>
      <c r="H11518" s="6" t="n">
        <f aca="false">Sens!H11403*(al_srch+Sens!H11513+sbc_r)</f>
        <v>13.7543150659667</v>
      </c>
      <c r="I11518" s="6" t="n">
        <f aca="false">Sens!I11403*(al_srch+Sens!I11513+sbc_r)</f>
        <v>15.214642173981</v>
      </c>
      <c r="J11518" s="6" t="n">
        <f aca="false">Sens!J11403*(al_srch+Sens!J11513+sbc_r)</f>
        <v>16.8131393056117</v>
      </c>
      <c r="K11518" s="6" t="n">
        <f aca="false">Sens!K11403*(al_srch+Sens!K11513+sbc_r)</f>
        <v>18.5497173076822</v>
      </c>
    </row>
    <row r="11519" customFormat="false" ht="17.15" hidden="false" customHeight="false" outlineLevel="0" collapsed="false">
      <c r="A11519" s="0" t="s">
        <v>1241</v>
      </c>
      <c r="B11519" s="0" t="s">
        <v>98</v>
      </c>
      <c r="F11519" s="6" t="n">
        <f aca="false">Sens!F11371-Sens!F11372+Sens!F11453</f>
        <v>38.9696429794913</v>
      </c>
      <c r="G11519" s="6" t="n">
        <f aca="false">Sens!G11371-Sens!G11372+Sens!G11453</f>
        <v>69.465497726016</v>
      </c>
      <c r="H11519" s="6" t="n">
        <f aca="false">Sens!H11371-Sens!H11372+Sens!H11453</f>
        <v>96.8147106808268</v>
      </c>
      <c r="I11519" s="6" t="n">
        <f aca="false">Sens!I11371-Sens!I11372+Sens!I11453</f>
        <v>127.654939766446</v>
      </c>
      <c r="J11519" s="6" t="n">
        <f aca="false">Sens!J11371-Sens!J11372+Sens!J11453</f>
        <v>149.308352681229</v>
      </c>
      <c r="K11519" s="6" t="n">
        <f aca="false">Sens!K11371-Sens!K11372+Sens!K11453</f>
        <v>162.731822021841</v>
      </c>
    </row>
    <row r="11520" customFormat="false" ht="17.15" hidden="false" customHeight="false" outlineLevel="0" collapsed="false">
      <c r="A11520" s="0" t="s">
        <v>1242</v>
      </c>
      <c r="B11520" s="0" t="s">
        <v>98</v>
      </c>
      <c r="F11520" s="6" t="n">
        <f aca="false">Sens!F11432+Sens!F11453+Sens!F11383+Sens!F11513*(Sens!F11402-Sens!F11365)+sbc_r*Sens!F11402</f>
        <v>234.795065777865</v>
      </c>
      <c r="G11520" s="6" t="n">
        <f aca="false">Sens!G11432+Sens!G11453+Sens!G11383+Sens!G11513*(Sens!G11402-Sens!G11365)+sbc_r*Sens!G11402</f>
        <v>285.481278390474</v>
      </c>
      <c r="H11520" s="6" t="n">
        <f aca="false">Sens!H11432+Sens!H11453+Sens!H11383+Sens!H11513*(Sens!H11402-Sens!H11365)+sbc_r*Sens!H11402</f>
        <v>338.219424672768</v>
      </c>
      <c r="I11520" s="6" t="n">
        <f aca="false">Sens!I11432+Sens!I11453+Sens!I11383+Sens!I11513*(Sens!I11402-Sens!I11365)+sbc_r*Sens!I11402</f>
        <v>393.817154506998</v>
      </c>
      <c r="J11520" s="6" t="n">
        <f aca="false">Sens!J11432+Sens!J11453+Sens!J11383+Sens!J11513*(Sens!J11402-Sens!J11365)+sbc_r*Sens!J11402</f>
        <v>438.291433966625</v>
      </c>
      <c r="K11520" s="6" t="n">
        <f aca="false">Sens!K11432+Sens!K11453+Sens!K11383+Sens!K11513*(Sens!K11402-Sens!K11365)+sbc_r*Sens!K11402</f>
        <v>472.177382394512</v>
      </c>
    </row>
    <row r="11521" customFormat="false" ht="17.15" hidden="false" customHeight="false" outlineLevel="0" collapsed="false">
      <c r="A11521" s="0" t="s">
        <v>1243</v>
      </c>
      <c r="B11521" s="0" t="s">
        <v>98</v>
      </c>
      <c r="F11521" s="6" t="n">
        <f aca="false">Sens!F11520-Sens!F11514-Sens!F11515-Sens!F11516-Sens!F11517-Sens!F11519</f>
        <v>67.4337903501054</v>
      </c>
      <c r="G11521" s="6" t="n">
        <f aca="false">Sens!G11520-Sens!G11514-Sens!G11515-Sens!G11516-Sens!G11517-Sens!G11519</f>
        <v>74.9477622287751</v>
      </c>
      <c r="H11521" s="6" t="n">
        <f aca="false">Sens!H11520-Sens!H11514-Sens!H11515-Sens!H11516-Sens!H11517-Sens!H11519</f>
        <v>87.523661562028</v>
      </c>
      <c r="I11521" s="6" t="n">
        <f aca="false">Sens!I11520-Sens!I11514-Sens!I11515-Sens!I11516-Sens!I11517-Sens!I11519</f>
        <v>100.030995750084</v>
      </c>
      <c r="J11521" s="6" t="n">
        <f aca="false">Sens!J11520-Sens!J11514-Sens!J11515-Sens!J11516-Sens!J11517-Sens!J11519</f>
        <v>111.385343835689</v>
      </c>
      <c r="K11521" s="6" t="n">
        <f aca="false">Sens!K11520-Sens!K11514-Sens!K11515-Sens!K11516-Sens!K11517-Sens!K11519</f>
        <v>120.894548726538</v>
      </c>
    </row>
    <row r="11522" customFormat="false" ht="17.15" hidden="false" customHeight="false" outlineLevel="0" collapsed="false">
      <c r="A11522" s="0" t="s">
        <v>1244</v>
      </c>
      <c r="B11522" s="0" t="s">
        <v>98</v>
      </c>
      <c r="F11522" s="6" t="n">
        <f aca="false">Sens!F11434+Sens!F11513*Sens!F11409+sbc_r*Sens!F11409</f>
        <v>26.6742808315642</v>
      </c>
      <c r="G11522" s="6" t="n">
        <f aca="false">Sens!G11434+Sens!G11513*Sens!G11409+sbc_r*Sens!G11409</f>
        <v>26.6524150778412</v>
      </c>
      <c r="H11522" s="6" t="n">
        <f aca="false">Sens!H11434+Sens!H11513*Sens!H11409+sbc_r*Sens!H11409</f>
        <v>27.7408102153935</v>
      </c>
      <c r="I11522" s="6" t="n">
        <f aca="false">Sens!I11434+Sens!I11513*Sens!I11409+sbc_r*Sens!I11409</f>
        <v>29.1574847034527</v>
      </c>
      <c r="J11522" s="6" t="n">
        <f aca="false">Sens!J11434+Sens!J11513*Sens!J11409+sbc_r*Sens!J11409</f>
        <v>30.8934543294764</v>
      </c>
      <c r="K11522" s="6" t="n">
        <f aca="false">Sens!K11434+Sens!K11513*Sens!K11409+sbc_r*Sens!K11409</f>
        <v>32.9427872048537</v>
      </c>
    </row>
    <row r="11523" customFormat="false" ht="17.15" hidden="false" customHeight="false" outlineLevel="0" collapsed="false">
      <c r="A11523" s="0" t="s">
        <v>1245</v>
      </c>
      <c r="B11523" s="0" t="s">
        <v>98</v>
      </c>
      <c r="F11523" s="6" t="n">
        <f aca="false">(Sens!F11522-Sens!F11518)*Sens!F11405/(Sens!F11405+Sens!F11407)</f>
        <v>8.72350756508613</v>
      </c>
      <c r="G11523" s="6" t="n">
        <f aca="false">(Sens!G11522-Sens!G11518)*Sens!G11405/(Sens!G11405+Sens!G11407)</f>
        <v>7.89549735483923</v>
      </c>
      <c r="H11523" s="6" t="n">
        <f aca="false">(Sens!H11522-Sens!H11518)*Sens!H11405/(Sens!H11405+Sens!H11407)</f>
        <v>7.66247223209626</v>
      </c>
      <c r="I11523" s="6" t="n">
        <f aca="false">(Sens!I11522-Sens!I11518)*Sens!I11405/(Sens!I11405+Sens!I11407)</f>
        <v>7.57188443998096</v>
      </c>
      <c r="J11523" s="6" t="n">
        <f aca="false">(Sens!J11522-Sens!J11518)*Sens!J11405/(Sens!J11405+Sens!J11407)</f>
        <v>7.61317958779225</v>
      </c>
      <c r="K11523" s="6" t="n">
        <f aca="false">(Sens!K11522-Sens!K11518)*Sens!K11405/(Sens!K11405+Sens!K11407)</f>
        <v>7.78228510946603</v>
      </c>
    </row>
    <row r="11524" customFormat="false" ht="17.15" hidden="false" customHeight="false" outlineLevel="0" collapsed="false">
      <c r="A11524" s="0" t="s">
        <v>1246</v>
      </c>
      <c r="B11524" s="0" t="s">
        <v>98</v>
      </c>
      <c r="F11524" s="6" t="n">
        <f aca="false">Sens!F11522-Sens!F11518-Sens!F11523</f>
        <v>6.72219222581129</v>
      </c>
      <c r="G11524" s="6" t="n">
        <f aca="false">Sens!G11522-Sens!G11518-Sens!G11523</f>
        <v>6.3286005405856</v>
      </c>
      <c r="H11524" s="6" t="n">
        <f aca="false">Sens!H11522-Sens!H11518-Sens!H11523</f>
        <v>6.32402291733057</v>
      </c>
      <c r="I11524" s="6" t="n">
        <f aca="false">Sens!I11522-Sens!I11518-Sens!I11523</f>
        <v>6.37095808949078</v>
      </c>
      <c r="J11524" s="6" t="n">
        <f aca="false">Sens!J11522-Sens!J11518-Sens!J11523</f>
        <v>6.46713543607247</v>
      </c>
      <c r="K11524" s="6" t="n">
        <f aca="false">Sens!K11522-Sens!K11518-Sens!K11523</f>
        <v>6.61078478770548</v>
      </c>
    </row>
    <row r="11525" customFormat="false" ht="17.15" hidden="false" customHeight="false" outlineLevel="0" collapsed="false">
      <c r="A11525" s="0" t="s">
        <v>1247</v>
      </c>
      <c r="B11525" s="0" t="s">
        <v>98</v>
      </c>
      <c r="F11525" s="6" t="n">
        <f aca="false">Sens!F11519-tax_f*(Sens!F11519-Sens!F11383)-Sens!F11380</f>
        <v>-130.362326762856</v>
      </c>
      <c r="G11525" s="6" t="n">
        <f aca="false">Sens!G11519-tax_f*(Sens!G11519-Sens!G11383)-Sens!G11380</f>
        <v>-124.225179337776</v>
      </c>
      <c r="H11525" s="6" t="n">
        <f aca="false">Sens!H11519-tax_f*(Sens!H11519-Sens!H11383)-Sens!H11380</f>
        <v>-101.534217387562</v>
      </c>
      <c r="I11525" s="6" t="n">
        <f aca="false">Sens!I11519-tax_f*(Sens!I11519-Sens!I11383)-Sens!I11380</f>
        <v>-43.6446798695439</v>
      </c>
      <c r="J11525" s="6" t="n">
        <f aca="false">Sens!J11519-tax_f*(Sens!J11519-Sens!J11383)-Sens!J11380</f>
        <v>16.9198855589618</v>
      </c>
      <c r="K11525" s="6" t="n">
        <f aca="false">Sens!K11519-tax_f*(Sens!K11519-Sens!K11383)-Sens!K11380</f>
        <v>39.8251384629271</v>
      </c>
    </row>
    <row r="11526" customFormat="false" ht="17.15" hidden="false" customHeight="false" outlineLevel="0" collapsed="false">
      <c r="A11526" s="0" t="s">
        <v>1248</v>
      </c>
      <c r="B11526" s="0" t="s">
        <v>98</v>
      </c>
      <c r="G11526" s="6" t="n">
        <f aca="false">Sens!G11525/(1+wacc)^(Sens!G11496-Sens!F11497)</f>
        <v>-118.286276192192</v>
      </c>
      <c r="H11526" s="6" t="n">
        <f aca="false">Sens!H11525/(1+wacc)^(Sens!H11496-Sens!F11497)</f>
        <v>-87.6570009910427</v>
      </c>
      <c r="I11526" s="6" t="n">
        <f aca="false">Sens!I11525/(1+wacc)^(Sens!I11496-Sens!F11497)</f>
        <v>-34.1629172979204</v>
      </c>
      <c r="J11526" s="6" t="n">
        <f aca="false">Sens!J11525/(1+wacc)^(Sens!J11496-Sens!F11497)</f>
        <v>12.0079954170053</v>
      </c>
      <c r="K11526" s="6" t="n">
        <f aca="false">Sens!K11525/(1+wacc)^(Sens!K11496-Sens!F11497)</f>
        <v>25.6259421582556</v>
      </c>
      <c r="L11526" s="1" t="s">
        <v>1249</v>
      </c>
    </row>
    <row r="11527" customFormat="false" ht="17.15" hidden="false" customHeight="false" outlineLevel="0" collapsed="false">
      <c r="A11527" s="0" t="s">
        <v>1250</v>
      </c>
      <c r="B11527" s="0" t="s">
        <v>98</v>
      </c>
      <c r="C11527" s="6" t="n">
        <f aca="false">(Sens!K11519-Sens!K11383)*(1-tax_f)*(1+g_tv)*(1-g_tv/(wacc+ronic_prem))/(wacc-g_tv)/(1+wacc)^(Sens!K11497-Sens!F11497)</f>
        <v>96.7148026864948</v>
      </c>
    </row>
    <row r="11528" customFormat="false" ht="17.15" hidden="false" customHeight="false" outlineLevel="0" collapsed="false">
      <c r="A11528" s="1" t="s">
        <v>1251</v>
      </c>
      <c r="B11528" s="0" t="s">
        <v>98</v>
      </c>
      <c r="C11528" s="6" t="n">
        <f aca="false">(SUM(Sens!G11526:K11526)+Sens!$C$11527)*(1+wacc)^(t_roll-Sens!F11497)</f>
        <v>-109.248827617462</v>
      </c>
      <c r="L11528" s="12" t="s">
        <v>1252</v>
      </c>
    </row>
    <row r="11529" customFormat="false" ht="17.15" hidden="false" customHeight="false" outlineLevel="0" collapsed="false">
      <c r="A11529" s="1" t="s">
        <v>1253</v>
      </c>
      <c r="B11529" s="0" t="s">
        <v>98</v>
      </c>
      <c r="C11529" s="6" t="n">
        <f aca="false">(w_ntm28*Sens!G11371+(1-w_ntm28)*Sens!H11371)*m_ai</f>
        <v>344.355829012336</v>
      </c>
    </row>
    <row r="11530" customFormat="false" ht="17.15" hidden="false" customHeight="false" outlineLevel="0" collapsed="false">
      <c r="A11530" s="1" t="s">
        <v>1254</v>
      </c>
      <c r="B11530" s="0" t="s">
        <v>98</v>
      </c>
      <c r="C11530" s="6" t="n">
        <f aca="false">(w_ntm28*Sens!G11521+(1-w_ntm28)*Sens!H11521)*m_cloud</f>
        <v>1092.91744784898</v>
      </c>
    </row>
    <row r="11531" customFormat="false" ht="17.15" hidden="false" customHeight="false" outlineLevel="0" collapsed="false">
      <c r="A11531" s="1" t="s">
        <v>1255</v>
      </c>
      <c r="B11531" s="0" t="s">
        <v>98</v>
      </c>
      <c r="C11531" s="6" t="n">
        <f aca="false">(w_ntm28*Sens!G11514+(1-w_ntm28)*Sens!H11514)*m_sw</f>
        <v>1045.05830094428</v>
      </c>
    </row>
    <row r="11532" customFormat="false" ht="17.15" hidden="false" customHeight="false" outlineLevel="0" collapsed="false">
      <c r="A11532" s="1" t="s">
        <v>1256</v>
      </c>
      <c r="B11532" s="0" t="s">
        <v>98</v>
      </c>
      <c r="C11532" s="6" t="n">
        <f aca="false">(w_ntm28*Sens!G11515+(1-w_ntm28)*Sens!H11515)*m_sw</f>
        <v>373.145800106338</v>
      </c>
    </row>
    <row r="11533" customFormat="false" ht="17.15" hidden="false" customHeight="false" outlineLevel="0" collapsed="false">
      <c r="A11533" s="1" t="s">
        <v>1257</v>
      </c>
      <c r="B11533" s="0" t="s">
        <v>98</v>
      </c>
      <c r="C11533" s="6" t="n">
        <f aca="false">(w_ntm28*Sens!G11516+(1-w_ntm28)*Sens!H11516)*m_sw</f>
        <v>109.280168637443</v>
      </c>
    </row>
    <row r="11534" customFormat="false" ht="17.15" hidden="false" customHeight="false" outlineLevel="0" collapsed="false">
      <c r="A11534" s="1" t="s">
        <v>1258</v>
      </c>
      <c r="B11534" s="0" t="s">
        <v>98</v>
      </c>
      <c r="C11534" s="6" t="n">
        <f aca="false">(w_ntm28*Sens!G11517+(1-w_ntm28)*Sens!H11517)*m_sw</f>
        <v>41.54537614751</v>
      </c>
    </row>
    <row r="11535" customFormat="false" ht="17.15" hidden="false" customHeight="false" outlineLevel="0" collapsed="false">
      <c r="A11535" s="1" t="s">
        <v>1259</v>
      </c>
      <c r="B11535" s="0" t="s">
        <v>98</v>
      </c>
      <c r="C11535" s="6" t="n">
        <f aca="false">(w_ntm28*Sens!G11518+(1-w_ntm28)*Sens!H11518)*m_ads</f>
        <v>117.193424014819</v>
      </c>
    </row>
    <row r="11536" customFormat="false" ht="17.15" hidden="false" customHeight="false" outlineLevel="0" collapsed="false">
      <c r="A11536" s="1" t="s">
        <v>1260</v>
      </c>
      <c r="B11536" s="0" t="s">
        <v>98</v>
      </c>
      <c r="C11536" s="6" t="n">
        <f aca="false">(w_ntm28*Sens!G11523+(1-w_ntm28)*Sens!H11523)*m_game</f>
        <v>98.7525346709915</v>
      </c>
    </row>
    <row r="11537" customFormat="false" ht="17.15" hidden="false" customHeight="false" outlineLevel="0" collapsed="false">
      <c r="A11537" s="1" t="s">
        <v>1261</v>
      </c>
      <c r="B11537" s="0" t="s">
        <v>98</v>
      </c>
      <c r="C11537" s="6" t="n">
        <f aca="false">(w_ntm28*Sens!G11524+(1-w_ntm28)*Sens!H11524)*m_pc</f>
        <v>91.5530728770133</v>
      </c>
    </row>
    <row r="11538" customFormat="false" ht="17.15" hidden="false" customHeight="false" outlineLevel="0" collapsed="false">
      <c r="A11538" s="1" t="s">
        <v>1262</v>
      </c>
      <c r="B11538" s="0" t="s">
        <v>98</v>
      </c>
      <c r="C11538" s="6" t="n">
        <f aca="false">Sens!$C$11528+Sens!$C$11530+Sens!$C$11531+Sens!$C$11532+Sens!$C$11533+Sens!$C$11534+Sens!$C$11535+Sens!$C$11536+Sens!$C$11537</f>
        <v>2860.19729762991</v>
      </c>
    </row>
    <row r="11539" customFormat="false" ht="17.15" hidden="false" customHeight="false" outlineLevel="0" collapsed="false">
      <c r="A11539" s="1" t="s">
        <v>1263</v>
      </c>
      <c r="B11539" s="0" t="s">
        <v>98</v>
      </c>
      <c r="C11539" s="6" t="n">
        <f aca="false">(Sens!G11500-Sens!G11525)*t_stub</f>
        <v>47.5039658568598</v>
      </c>
      <c r="L11539" s="1" t="s">
        <v>1264</v>
      </c>
    </row>
    <row r="11540" customFormat="false" ht="17.15" hidden="false" customHeight="false" outlineLevel="0" collapsed="false">
      <c r="A11540" s="1" t="s">
        <v>1173</v>
      </c>
      <c r="B11540" s="0" t="s">
        <v>98</v>
      </c>
      <c r="C11540" s="6" t="n">
        <f aca="false">Sens!F11487+oai_v-Sens!F11476+Sens!$C$11539</f>
        <v>158.594433954812</v>
      </c>
      <c r="L11540" s="1" t="s">
        <v>1265</v>
      </c>
    </row>
    <row r="11541" customFormat="false" ht="17.15" hidden="false" customHeight="false" outlineLevel="0" collapsed="false">
      <c r="A11541" s="1" t="s">
        <v>1266</v>
      </c>
      <c r="B11541" s="0" t="s">
        <v>75</v>
      </c>
      <c r="C11541" s="5" t="n">
        <f aca="false">(Sens!$C$11538+Sens!$C$11540)/(Sens!F11489+dil_gap)-Sens!G11479*roll_div_q/q_per_yr</f>
        <v>401.680848397108</v>
      </c>
      <c r="L11541" s="1" t="s">
        <v>1267</v>
      </c>
    </row>
    <row r="11542" customFormat="false" ht="17.15" hidden="false" customHeight="false" outlineLevel="0" collapsed="false">
      <c r="A11542" s="1" t="s">
        <v>1268</v>
      </c>
      <c r="B11542" s="0" t="s">
        <v>75</v>
      </c>
      <c r="C11542" s="5" t="n">
        <f aca="false">w_dcf*Sens!$C$11512+(1-w_dcf)*Sens!$C$11541</f>
        <v>341.680138436553</v>
      </c>
    </row>
    <row r="11543" customFormat="false" ht="17.15" hidden="false" customHeight="false" outlineLevel="0" collapsed="false">
      <c r="A11543" s="3" t="s">
        <v>1900</v>
      </c>
    </row>
    <row r="11544" customFormat="false" ht="15" hidden="false" customHeight="false" outlineLevel="0" collapsed="false">
      <c r="A11544" s="4" t="s">
        <v>43</v>
      </c>
      <c r="B11544" s="4" t="s">
        <v>65</v>
      </c>
      <c r="C11544" s="23" t="s">
        <v>942</v>
      </c>
      <c r="D11544" s="23" t="s">
        <v>943</v>
      </c>
      <c r="E11544" s="23" t="s">
        <v>944</v>
      </c>
      <c r="F11544" s="23" t="s">
        <v>945</v>
      </c>
      <c r="G11544" s="23" t="s">
        <v>946</v>
      </c>
      <c r="H11544" s="23" t="s">
        <v>947</v>
      </c>
      <c r="I11544" s="23" t="s">
        <v>948</v>
      </c>
      <c r="J11544" s="23" t="s">
        <v>949</v>
      </c>
      <c r="K11544" s="23" t="s">
        <v>950</v>
      </c>
      <c r="L11544" s="4" t="s">
        <v>47</v>
      </c>
    </row>
    <row r="11545" customFormat="false" ht="17.15" hidden="false" customHeight="false" outlineLevel="0" collapsed="false">
      <c r="A11545" s="1" t="s">
        <v>951</v>
      </c>
      <c r="B11545" s="1" t="s">
        <v>279</v>
      </c>
      <c r="C11545" s="21" t="n">
        <v>2024</v>
      </c>
      <c r="D11545" s="21" t="n">
        <v>2025</v>
      </c>
      <c r="E11545" s="21" t="n">
        <v>2026</v>
      </c>
      <c r="F11545" s="21" t="n">
        <v>2027</v>
      </c>
      <c r="G11545" s="21" t="n">
        <v>2028</v>
      </c>
      <c r="H11545" s="21" t="n">
        <v>2029</v>
      </c>
      <c r="I11545" s="21" t="n">
        <v>2030</v>
      </c>
      <c r="J11545" s="21" t="n">
        <v>2031</v>
      </c>
      <c r="K11545" s="21" t="n">
        <v>2032</v>
      </c>
    </row>
    <row r="11546" customFormat="false" ht="17.15" hidden="false" customHeight="false" outlineLevel="0" collapsed="false">
      <c r="A11546" s="1" t="s">
        <v>952</v>
      </c>
      <c r="B11546" s="0" t="s">
        <v>459</v>
      </c>
      <c r="F11546" s="30" t="n">
        <f aca="false">pace</f>
        <v>2726.5351</v>
      </c>
      <c r="G11546" s="30" t="n">
        <f aca="false">pace</f>
        <v>2726.5351</v>
      </c>
      <c r="H11546" s="30" t="n">
        <f aca="false">pace</f>
        <v>2726.5351</v>
      </c>
      <c r="I11546" s="30" t="n">
        <f aca="false">pace+(g_tv*Sens!H11547-pace)*MIN(1,(Sens!I11545-pace_y0)/(pace_y1-pace_y0))</f>
        <v>1931.98611966667</v>
      </c>
      <c r="J11546" s="30" t="n">
        <f aca="false">pace+(g_tv*Sens!I11547-pace)*MIN(1,(Sens!J11545-pace_y0)/(pace_y1-pace_y0))</f>
        <v>1176.07686172667</v>
      </c>
      <c r="K11546" s="30" t="n">
        <f aca="false">pace+(g_tv*Sens!J11547-pace)*MIN(1,(Sens!K11545-pace_y0)/(pace_y1-pace_y0))</f>
        <v>436.1300484418</v>
      </c>
      <c r="L11546" s="12" t="s">
        <v>953</v>
      </c>
    </row>
    <row r="11547" customFormat="false" ht="17.15" hidden="false" customHeight="false" outlineLevel="0" collapsed="false">
      <c r="A11547" s="1" t="s">
        <v>954</v>
      </c>
      <c r="B11547" s="0" t="s">
        <v>459</v>
      </c>
      <c r="C11547" s="30" t="n">
        <f aca="false">mw_ext_24</f>
        <v>640</v>
      </c>
      <c r="D11547" s="30" t="n">
        <f aca="false">mw_ext_25</f>
        <v>1630</v>
      </c>
      <c r="E11547" s="30" t="n">
        <f aca="false">mw_ext_26</f>
        <v>3250</v>
      </c>
      <c r="F11547" s="30" t="n">
        <f aca="false">Sens!E11547+Sens!F11546</f>
        <v>5976.5351</v>
      </c>
      <c r="G11547" s="30" t="n">
        <f aca="false">Sens!F11547+Sens!G11546</f>
        <v>8703.0702</v>
      </c>
      <c r="H11547" s="30" t="n">
        <f aca="false">Sens!G11547+Sens!H11546</f>
        <v>11429.6053</v>
      </c>
      <c r="I11547" s="30" t="n">
        <f aca="false">Sens!H11547+Sens!I11546</f>
        <v>13361.5914196667</v>
      </c>
      <c r="J11547" s="30" t="n">
        <f aca="false">Sens!I11547+Sens!J11546</f>
        <v>14537.6682813933</v>
      </c>
      <c r="K11547" s="30" t="n">
        <f aca="false">Sens!J11547+Sens!K11546</f>
        <v>14973.7983298351</v>
      </c>
      <c r="L11547" s="1" t="s">
        <v>955</v>
      </c>
    </row>
    <row r="11548" customFormat="false" ht="17.15" hidden="false" customHeight="false" outlineLevel="0" collapsed="false">
      <c r="A11548" s="1" t="s">
        <v>956</v>
      </c>
      <c r="B11548" s="0" t="s">
        <v>459</v>
      </c>
      <c r="C11548" s="30" t="n">
        <f aca="false">rent_ext_24</f>
        <v>150</v>
      </c>
      <c r="D11548" s="30" t="n">
        <f aca="false">rent_ext_25</f>
        <v>400</v>
      </c>
      <c r="E11548" s="30" t="n">
        <f aca="false">rent_ext_26</f>
        <v>550</v>
      </c>
      <c r="F11548" s="30" t="n">
        <f aca="false">rent_ext_f</f>
        <v>756</v>
      </c>
      <c r="G11548" s="30" t="n">
        <f aca="false">rent_ext_f</f>
        <v>756</v>
      </c>
      <c r="H11548" s="30" t="n">
        <f aca="false">rent_ext_f</f>
        <v>756</v>
      </c>
      <c r="I11548" s="30" t="n">
        <f aca="false">rent_ext_f</f>
        <v>756</v>
      </c>
      <c r="J11548" s="30" t="n">
        <f aca="false">rent_ext_f</f>
        <v>756</v>
      </c>
      <c r="K11548" s="30" t="n">
        <f aca="false">rent_ext_f</f>
        <v>756</v>
      </c>
      <c r="L11548" s="1" t="s">
        <v>957</v>
      </c>
    </row>
    <row r="11549" customFormat="false" ht="17.15" hidden="false" customHeight="false" outlineLevel="0" collapsed="false">
      <c r="A11549" s="1" t="s">
        <v>958</v>
      </c>
      <c r="B11549" s="0" t="s">
        <v>459</v>
      </c>
      <c r="C11549" s="30" t="n">
        <f aca="false">Sens!C11547-Sens!C11548</f>
        <v>490</v>
      </c>
      <c r="D11549" s="30" t="n">
        <f aca="false">Sens!D11547-Sens!D11548</f>
        <v>1230</v>
      </c>
      <c r="E11549" s="30" t="n">
        <f aca="false">Sens!E11547-Sens!E11548</f>
        <v>2700</v>
      </c>
      <c r="F11549" s="30" t="n">
        <f aca="false">Sens!F11547-Sens!F11548</f>
        <v>5220.5351</v>
      </c>
      <c r="G11549" s="30" t="n">
        <f aca="false">Sens!G11547-Sens!G11548</f>
        <v>7947.0702</v>
      </c>
      <c r="H11549" s="30" t="n">
        <f aca="false">Sens!H11547-Sens!H11548</f>
        <v>10673.6053</v>
      </c>
      <c r="I11549" s="30" t="n">
        <f aca="false">Sens!I11547-Sens!I11548</f>
        <v>12605.5914196667</v>
      </c>
      <c r="J11549" s="30" t="n">
        <f aca="false">Sens!J11547-Sens!J11548</f>
        <v>13781.6682813933</v>
      </c>
      <c r="K11549" s="30" t="n">
        <f aca="false">Sens!K11547-Sens!K11548</f>
        <v>14217.7983298351</v>
      </c>
    </row>
    <row r="11550" customFormat="false" ht="17.15" hidden="false" customHeight="false" outlineLevel="0" collapsed="false">
      <c r="A11550" s="1" t="s">
        <v>959</v>
      </c>
      <c r="B11550" s="0" t="s">
        <v>459</v>
      </c>
      <c r="C11550" s="30" t="n">
        <f aca="false">Sens!C11549/ext_sh</f>
        <v>816.666666666667</v>
      </c>
      <c r="D11550" s="30" t="n">
        <f aca="false">Sens!D11549/ext_sh</f>
        <v>2050</v>
      </c>
      <c r="E11550" s="30" t="n">
        <f aca="false">Sens!E11549/ext_sh</f>
        <v>4500</v>
      </c>
      <c r="F11550" s="30" t="n">
        <f aca="false">Sens!F11549/ext_sh</f>
        <v>8700.89183333333</v>
      </c>
      <c r="G11550" s="30" t="n">
        <f aca="false">Sens!G11549/ext_sh</f>
        <v>13245.117</v>
      </c>
      <c r="H11550" s="30" t="n">
        <f aca="false">Sens!H11549/ext_sh</f>
        <v>17789.3421666667</v>
      </c>
      <c r="I11550" s="30" t="n">
        <f aca="false">Sens!I11549/ext_sh</f>
        <v>21009.3190327778</v>
      </c>
      <c r="J11550" s="30" t="n">
        <f aca="false">Sens!J11549/ext_sh</f>
        <v>22969.4471356556</v>
      </c>
      <c r="K11550" s="30" t="n">
        <f aca="false">Sens!K11549/ext_sh</f>
        <v>23696.3305497252</v>
      </c>
      <c r="L11550" s="1" t="s">
        <v>960</v>
      </c>
    </row>
    <row r="11551" customFormat="false" ht="17.15" hidden="false" customHeight="false" outlineLevel="0" collapsed="false">
      <c r="A11551" s="1" t="s">
        <v>961</v>
      </c>
      <c r="B11551" s="0" t="s">
        <v>459</v>
      </c>
      <c r="C11551" s="30" t="n">
        <f aca="false">Sens!C11550-Sens!C11549</f>
        <v>326.666666666667</v>
      </c>
      <c r="D11551" s="30" t="n">
        <f aca="false">Sens!D11550-Sens!D11549</f>
        <v>820</v>
      </c>
      <c r="E11551" s="30" t="n">
        <f aca="false">Sens!E11550-Sens!E11549</f>
        <v>1800</v>
      </c>
      <c r="F11551" s="30" t="n">
        <f aca="false">Sens!F11550-Sens!F11549</f>
        <v>3480.35673333333</v>
      </c>
      <c r="G11551" s="30" t="n">
        <f aca="false">Sens!G11550-Sens!G11549</f>
        <v>5298.0468</v>
      </c>
      <c r="H11551" s="30" t="n">
        <f aca="false">Sens!H11550-Sens!H11549</f>
        <v>7115.73686666667</v>
      </c>
      <c r="I11551" s="30" t="n">
        <f aca="false">Sens!I11550-Sens!I11549</f>
        <v>8403.72761311111</v>
      </c>
      <c r="J11551" s="30" t="n">
        <f aca="false">Sens!J11550-Sens!J11549</f>
        <v>9187.77885426222</v>
      </c>
      <c r="K11551" s="30" t="n">
        <f aca="false">Sens!K11550-Sens!K11549</f>
        <v>9478.53221989009</v>
      </c>
    </row>
    <row r="11552" customFormat="false" ht="17.15" hidden="false" customHeight="false" outlineLevel="0" collapsed="false">
      <c r="A11552" s="1" t="s">
        <v>962</v>
      </c>
      <c r="B11552" s="0" t="s">
        <v>459</v>
      </c>
      <c r="C11552" s="30" t="n">
        <f aca="false">Sens!C11550</f>
        <v>816.666666666667</v>
      </c>
      <c r="D11552" s="30" t="n">
        <f aca="false">Sens!D11550-Sens!C11550</f>
        <v>1233.33333333333</v>
      </c>
      <c r="E11552" s="30" t="n">
        <f aca="false">Sens!E11550-Sens!D11550</f>
        <v>2450</v>
      </c>
      <c r="F11552" s="30" t="n">
        <f aca="false">Sens!F11550-Sens!E11550</f>
        <v>4200.89183333333</v>
      </c>
      <c r="G11552" s="30" t="n">
        <f aca="false">Sens!G11550-Sens!F11550</f>
        <v>4544.22516666667</v>
      </c>
      <c r="H11552" s="30" t="n">
        <f aca="false">Sens!H11550-Sens!G11550</f>
        <v>4544.22516666667</v>
      </c>
      <c r="I11552" s="30" t="n">
        <f aca="false">Sens!I11550-Sens!H11550</f>
        <v>3219.97686611111</v>
      </c>
      <c r="J11552" s="30" t="n">
        <f aca="false">Sens!J11550-Sens!I11550</f>
        <v>1960.12810287778</v>
      </c>
      <c r="K11552" s="30" t="n">
        <f aca="false">Sens!K11550-Sens!J11550</f>
        <v>726.883414069667</v>
      </c>
    </row>
    <row r="11553" customFormat="false" ht="17.15" hidden="false" customHeight="false" outlineLevel="0" collapsed="false">
      <c r="A11553" s="1" t="s">
        <v>963</v>
      </c>
      <c r="B11553" s="0" t="s">
        <v>459</v>
      </c>
      <c r="D11553" s="30" t="n">
        <f aca="false">Sens!D11547-Sens!C11547</f>
        <v>990</v>
      </c>
      <c r="E11553" s="30" t="n">
        <f aca="false">Sens!E11547-Sens!D11547</f>
        <v>1620</v>
      </c>
      <c r="F11553" s="30" t="n">
        <f aca="false">Sens!F11547-Sens!E11547</f>
        <v>2726.5351</v>
      </c>
      <c r="G11553" s="30" t="n">
        <f aca="false">Sens!G11547-Sens!F11547</f>
        <v>2726.5351</v>
      </c>
      <c r="H11553" s="30" t="n">
        <f aca="false">Sens!H11547-Sens!G11547</f>
        <v>2726.5351</v>
      </c>
      <c r="I11553" s="30" t="n">
        <f aca="false">Sens!I11547-Sens!H11547</f>
        <v>1931.98611966667</v>
      </c>
      <c r="J11553" s="30" t="n">
        <f aca="false">Sens!J11547-Sens!I11547</f>
        <v>1176.07686172667</v>
      </c>
      <c r="K11553" s="30" t="n">
        <f aca="false">Sens!K11547-Sens!J11547</f>
        <v>436.130048441799</v>
      </c>
    </row>
    <row r="11554" customFormat="false" ht="17.15" hidden="false" customHeight="false" outlineLevel="0" collapsed="false">
      <c r="A11554" s="1" t="s">
        <v>964</v>
      </c>
      <c r="B11554" s="0" t="s">
        <v>459</v>
      </c>
      <c r="F11554" s="30" t="n">
        <f aca="false">Sens!F11573*ext_sh</f>
        <v>0</v>
      </c>
      <c r="G11554" s="30" t="n">
        <f aca="false">Sens!G11573*ext_sh</f>
        <v>0</v>
      </c>
      <c r="H11554" s="30" t="n">
        <f aca="false">Sens!H11573*ext_sh</f>
        <v>0</v>
      </c>
      <c r="I11554" s="30" t="n">
        <f aca="false">Sens!I11573*ext_sh</f>
        <v>490</v>
      </c>
      <c r="J11554" s="30" t="n">
        <f aca="false">Sens!J11573*ext_sh</f>
        <v>740</v>
      </c>
      <c r="K11554" s="30" t="n">
        <f aca="false">Sens!K11573*ext_sh</f>
        <v>1470</v>
      </c>
      <c r="L11554" s="1" t="s">
        <v>965</v>
      </c>
    </row>
    <row r="11555" customFormat="false" ht="17.15" hidden="false" customHeight="false" outlineLevel="0" collapsed="false">
      <c r="A11555" s="1" t="s">
        <v>966</v>
      </c>
      <c r="B11555" s="0" t="s">
        <v>459</v>
      </c>
      <c r="C11555" s="30" t="n">
        <f aca="false">mix_h*Sens!C11547</f>
        <v>128</v>
      </c>
      <c r="D11555" s="30" t="n">
        <f aca="false">mix_h*Sens!D11547</f>
        <v>326</v>
      </c>
      <c r="E11555" s="30" t="n">
        <f aca="false">mix_h*Sens!E11547</f>
        <v>650</v>
      </c>
      <c r="F11555" s="30" t="n">
        <f aca="false">Sens!E11555-Sens!F11554*mix_h</f>
        <v>650</v>
      </c>
      <c r="G11555" s="30" t="n">
        <f aca="false">Sens!F11555-Sens!G11554*mix_h</f>
        <v>650</v>
      </c>
      <c r="H11555" s="30" t="n">
        <f aca="false">Sens!G11555-Sens!H11554*mix_h</f>
        <v>650</v>
      </c>
      <c r="I11555" s="30" t="n">
        <f aca="false">Sens!H11555-Sens!I11554*mix_h</f>
        <v>552</v>
      </c>
      <c r="J11555" s="30" t="n">
        <f aca="false">Sens!I11555-Sens!J11554*mix_h</f>
        <v>404</v>
      </c>
      <c r="K11555" s="30" t="n">
        <f aca="false">Sens!J11555-Sens!K11554*mix_h</f>
        <v>110</v>
      </c>
    </row>
    <row r="11556" customFormat="false" ht="17.15" hidden="false" customHeight="false" outlineLevel="0" collapsed="false">
      <c r="A11556" s="1" t="s">
        <v>967</v>
      </c>
      <c r="B11556" s="0" t="s">
        <v>459</v>
      </c>
      <c r="C11556" s="30" t="n">
        <f aca="false">mix_g2*Sens!C11547</f>
        <v>288</v>
      </c>
      <c r="D11556" s="30" t="n">
        <f aca="false">mix_g2*Sens!D11547</f>
        <v>733.5</v>
      </c>
      <c r="E11556" s="30" t="n">
        <f aca="false">mix_g2*Sens!E11547</f>
        <v>1462.5</v>
      </c>
      <c r="F11556" s="30" t="n">
        <f aca="false">Sens!E11556-Sens!F11554*mix_g2</f>
        <v>1462.5</v>
      </c>
      <c r="G11556" s="30" t="n">
        <f aca="false">Sens!F11556-Sens!G11554*mix_g2</f>
        <v>1462.5</v>
      </c>
      <c r="H11556" s="30" t="n">
        <f aca="false">Sens!G11556-Sens!H11554*mix_g2</f>
        <v>1462.5</v>
      </c>
      <c r="I11556" s="30" t="n">
        <f aca="false">Sens!H11556-Sens!I11554*mix_g2</f>
        <v>1242</v>
      </c>
      <c r="J11556" s="30" t="n">
        <f aca="false">Sens!I11556-Sens!J11554*mix_g2</f>
        <v>909</v>
      </c>
      <c r="K11556" s="30" t="n">
        <f aca="false">Sens!J11556-Sens!K11554*mix_g2</f>
        <v>247.5</v>
      </c>
    </row>
    <row r="11557" customFormat="false" ht="17.15" hidden="false" customHeight="false" outlineLevel="0" collapsed="false">
      <c r="A11557" s="1" t="s">
        <v>968</v>
      </c>
      <c r="B11557" s="0" t="s">
        <v>459</v>
      </c>
      <c r="C11557" s="30" t="n">
        <f aca="false">mix_g3*Sens!C11547</f>
        <v>224</v>
      </c>
      <c r="D11557" s="30" t="n">
        <f aca="false">mix_g3*Sens!D11547</f>
        <v>570.5</v>
      </c>
      <c r="E11557" s="30" t="n">
        <f aca="false">mix_g3*Sens!E11547</f>
        <v>1137.5</v>
      </c>
      <c r="F11557" s="30" t="n">
        <f aca="false">Sens!E11557+(Sens!F11553+Sens!F11554)*(a_g3_27-nonnv*a_mai)-Sens!F11554*mix_g3</f>
        <v>2773.42106</v>
      </c>
      <c r="G11557" s="30" t="n">
        <f aca="false">Sens!F11557+(Sens!G11553+Sens!G11554)*(a_g3_28-nonnv*a_mai)-Sens!G11554*mix_g3</f>
        <v>3318.72808</v>
      </c>
      <c r="H11557" s="30" t="n">
        <f aca="false">Sens!G11557+(Sens!H11553+Sens!H11554)*(a_g3_29-nonnv*a_mai)-Sens!H11554*mix_g3</f>
        <v>3318.72808</v>
      </c>
      <c r="I11557" s="30" t="n">
        <f aca="false">Sens!H11557+(Sens!I11553+Sens!I11554)*(a_g3_29-nonnv*a_mai)-Sens!I11554*mix_g3</f>
        <v>3147.22808</v>
      </c>
      <c r="J11557" s="30" t="n">
        <f aca="false">Sens!I11557+(Sens!J11553+Sens!J11554)*(a_g3_29-nonnv*a_mai)-Sens!J11554*mix_g3</f>
        <v>2888.22808</v>
      </c>
      <c r="K11557" s="30" t="n">
        <f aca="false">Sens!J11557+(Sens!K11553+Sens!K11554)*(a_g3_29-nonnv*a_mai)-Sens!K11554*mix_g3</f>
        <v>2373.72808</v>
      </c>
    </row>
    <row r="11558" customFormat="false" ht="17.15" hidden="false" customHeight="false" outlineLevel="0" collapsed="false">
      <c r="A11558" s="1" t="s">
        <v>969</v>
      </c>
      <c r="B11558" s="0" t="s">
        <v>459</v>
      </c>
      <c r="C11558" s="30" t="n">
        <v>0</v>
      </c>
      <c r="D11558" s="30" t="n">
        <v>0</v>
      </c>
      <c r="E11558" s="30" t="n">
        <v>0</v>
      </c>
      <c r="F11558" s="30" t="n">
        <f aca="false">Sens!E11558+(Sens!F11553+Sens!F11554)*nonnv*a_mai</f>
        <v>272.65351</v>
      </c>
      <c r="G11558" s="30" t="n">
        <f aca="false">Sens!F11558+(Sens!G11553+Sens!G11554)*nonnv*a_mai</f>
        <v>545.30702</v>
      </c>
      <c r="H11558" s="30" t="n">
        <f aca="false">Sens!G11558+(Sens!H11553+Sens!H11554)*nonnv*a_mai</f>
        <v>817.96053</v>
      </c>
      <c r="I11558" s="30" t="n">
        <f aca="false">Sens!H11558+(Sens!I11553+Sens!I11554)*nonnv*a_mai</f>
        <v>1060.15914196667</v>
      </c>
      <c r="J11558" s="30" t="n">
        <f aca="false">Sens!I11558+(Sens!J11553+Sens!J11554)*nonnv*a_mai</f>
        <v>1251.76682813933</v>
      </c>
      <c r="K11558" s="30" t="n">
        <f aca="false">Sens!J11558+(Sens!K11553+Sens!K11554)*nonnv*a_mai</f>
        <v>1442.37983298351</v>
      </c>
      <c r="L11558" s="12" t="s">
        <v>970</v>
      </c>
    </row>
    <row r="11559" customFormat="false" ht="17.15" hidden="false" customHeight="false" outlineLevel="0" collapsed="false">
      <c r="A11559" s="1" t="s">
        <v>971</v>
      </c>
      <c r="B11559" s="0" t="s">
        <v>459</v>
      </c>
      <c r="C11559" s="30" t="n">
        <v>0</v>
      </c>
      <c r="D11559" s="30" t="n">
        <v>0</v>
      </c>
      <c r="E11559" s="30" t="n">
        <v>0</v>
      </c>
      <c r="F11559" s="30" t="n">
        <f aca="false">Sens!E11559+(Sens!F11553+Sens!F11554)*(1-a_g3_27)</f>
        <v>817.96053</v>
      </c>
      <c r="G11559" s="30" t="n">
        <f aca="false">Sens!F11559+(Sens!G11553+Sens!G11554)*(1-a_g3_28)</f>
        <v>2726.5351</v>
      </c>
      <c r="H11559" s="30" t="n">
        <f aca="false">Sens!G11559+(Sens!H11553+Sens!H11554)*(1-a_g3_29)</f>
        <v>5180.41669</v>
      </c>
      <c r="I11559" s="30" t="n">
        <f aca="false">Sens!H11559+(Sens!I11553+Sens!I11554)*(1-a_g3_29)</f>
        <v>7360.2041977</v>
      </c>
      <c r="J11559" s="30" t="n">
        <f aca="false">Sens!I11559+(Sens!J11553+Sens!J11554)*(1-a_g3_29)</f>
        <v>9084.673373254</v>
      </c>
      <c r="K11559" s="30" t="n">
        <f aca="false">Sens!J11559+(Sens!K11553+Sens!K11554)*(1-a_g3_29)</f>
        <v>10800.1904168516</v>
      </c>
    </row>
    <row r="11560" customFormat="false" ht="17.15" hidden="false" customHeight="false" outlineLevel="0" collapsed="false">
      <c r="A11560" s="1" t="s">
        <v>972</v>
      </c>
      <c r="B11560" s="0" t="s">
        <v>403</v>
      </c>
      <c r="C11560" s="15" t="n">
        <f aca="false">(Sens!C11555*tk_hold_h100+Sens!C11556*tk_hold_gb200+Sens!C11557*tk_hold_gb300+Sens!C11559*tk_hold_vr200+Sens!C11558*nv_hold_mai*tk_hold_vr200)/Sens!C11547</f>
        <v>9.7235358126469</v>
      </c>
      <c r="D11560" s="15" t="n">
        <f aca="false">(Sens!D11555*tk_hold_h100+Sens!D11556*tk_hold_gb200+Sens!D11557*tk_hold_gb300+Sens!D11559*tk_hold_vr200+Sens!D11558*nv_hold_mai*tk_hold_vr200)/Sens!D11547</f>
        <v>9.7235358126469</v>
      </c>
      <c r="E11560" s="15" t="n">
        <f aca="false">(Sens!E11555*tk_hold_h100+Sens!E11556*tk_hold_gb200+Sens!E11557*tk_hold_gb300+Sens!E11559*tk_hold_vr200+Sens!E11558*nv_hold_mai*tk_hold_vr200)/Sens!E11547</f>
        <v>9.7235358126469</v>
      </c>
      <c r="F11560" s="15" t="n">
        <f aca="false">(Sens!F11555*tk_hold_h100+Sens!F11556*tk_hold_gb200+Sens!F11557*tk_hold_gb300+Sens!F11559*tk_hold_vr200+Sens!F11558*nv_hold_mai*tk_hold_vr200)/Sens!F11547</f>
        <v>10.2195353876665</v>
      </c>
      <c r="G11560" s="15" t="n">
        <f aca="false">(Sens!G11555*tk_hold_h100+Sens!G11556*tk_hold_gb200+Sens!G11557*tk_hold_gb300+Sens!G11559*tk_hold_vr200+Sens!G11558*nv_hold_mai*tk_hold_vr200)/Sens!G11547</f>
        <v>10.5725598017306</v>
      </c>
      <c r="H11560" s="15" t="n">
        <f aca="false">(Sens!H11555*tk_hold_h100+Sens!H11556*tk_hold_gb200+Sens!H11557*tk_hold_gb300+Sens!H11559*tk_hold_vr200+Sens!H11558*nv_hold_mai*tk_hold_vr200)/Sens!H11547</f>
        <v>10.8210427149036</v>
      </c>
      <c r="I11560" s="15" t="n">
        <f aca="false">(Sens!I11555*tk_hold_h100+Sens!I11556*tk_hold_gb200+Sens!I11557*tk_hold_gb300+Sens!I11559*tk_hold_vr200+Sens!I11558*nv_hold_mai*tk_hold_vr200)/Sens!I11547</f>
        <v>11.0050618241982</v>
      </c>
      <c r="J11560" s="15" t="n">
        <f aca="false">(Sens!J11555*tk_hold_h100+Sens!J11556*tk_hold_gb200+Sens!J11557*tk_hold_gb300+Sens!J11559*tk_hold_vr200+Sens!J11558*nv_hold_mai*tk_hold_vr200)/Sens!J11547</f>
        <v>11.1505789658881</v>
      </c>
      <c r="K11560" s="15" t="n">
        <f aca="false">(Sens!K11555*tk_hold_h100+Sens!K11556*tk_hold_gb200+Sens!K11557*tk_hold_gb300+Sens!K11559*tk_hold_vr200+Sens!K11558*nv_hold_mai*tk_hold_vr200)/Sens!K11547</f>
        <v>11.3496914757183</v>
      </c>
      <c r="L11560" s="1" t="s">
        <v>973</v>
      </c>
    </row>
    <row r="11561" customFormat="false" ht="17.15" hidden="false" customHeight="false" outlineLevel="0" collapsed="false">
      <c r="A11561" s="1" t="s">
        <v>974</v>
      </c>
      <c r="B11561" s="0" t="s">
        <v>403</v>
      </c>
      <c r="C11561" s="15" t="n">
        <f aca="false">(Sens!C11555*tk_hold_h100+Sens!C11556*tk_hold_gb200+Sens!C11557*tk_hold_gb300+Sens!C11559*tk_hold_vr200+Sens!C11558*nv_out_mai*tk_hold_vr200)/Sens!C11547</f>
        <v>9.7235358126469</v>
      </c>
      <c r="D11561" s="15" t="n">
        <f aca="false">(Sens!D11555*tk_hold_h100+Sens!D11556*tk_hold_gb200+Sens!D11557*tk_hold_gb300+Sens!D11559*tk_hold_vr200+Sens!D11558*nv_out_mai*tk_hold_vr200)/Sens!D11547</f>
        <v>9.7235358126469</v>
      </c>
      <c r="E11561" s="15" t="n">
        <f aca="false">(Sens!E11555*tk_hold_h100+Sens!E11556*tk_hold_gb200+Sens!E11557*tk_hold_gb300+Sens!E11559*tk_hold_vr200+Sens!E11558*nv_out_mai*tk_hold_vr200)/Sens!E11547</f>
        <v>9.7235358126469</v>
      </c>
      <c r="F11561" s="15" t="n">
        <f aca="false">(Sens!F11555*tk_hold_h100+Sens!F11556*tk_hold_gb200+Sens!F11557*tk_hold_gb300+Sens!F11559*tk_hold_vr200+Sens!F11558*nv_out_mai*tk_hold_vr200)/Sens!F11547</f>
        <v>10.247422093969</v>
      </c>
      <c r="G11561" s="15" t="n">
        <f aca="false">(Sens!G11555*tk_hold_h100+Sens!G11556*tk_hold_gb200+Sens!G11557*tk_hold_gb300+Sens!G11559*tk_hold_vr200+Sens!G11558*nv_out_mai*tk_hold_vr200)/Sens!G11547</f>
        <v>10.6108602808053</v>
      </c>
      <c r="H11561" s="15" t="n">
        <f aca="false">(Sens!H11555*tk_hold_h100+Sens!H11556*tk_hold_gb200+Sens!H11557*tk_hold_gb300+Sens!H11559*tk_hold_vr200+Sens!H11558*nv_out_mai*tk_hold_vr200)/Sens!H11547</f>
        <v>10.8647885507393</v>
      </c>
      <c r="I11561" s="15" t="n">
        <f aca="false">(Sens!I11555*tk_hold_h100+Sens!I11556*tk_hold_gb200+Sens!I11557*tk_hold_gb300+Sens!I11559*tk_hold_vr200+Sens!I11558*nv_out_mai*tk_hold_vr200)/Sens!I11547</f>
        <v>11.0535625770025</v>
      </c>
      <c r="J11561" s="15" t="n">
        <f aca="false">(Sens!J11555*tk_hold_h100+Sens!J11556*tk_hold_gb200+Sens!J11557*tk_hold_gb300+Sens!J11559*tk_hold_vr200+Sens!J11558*nv_out_mai*tk_hold_vr200)/Sens!J11547</f>
        <v>11.2032127128058</v>
      </c>
      <c r="K11561" s="15" t="n">
        <f aca="false">(Sens!K11555*tk_hold_h100+Sens!K11556*tk_hold_gb200+Sens!K11557*tk_hold_gb300+Sens!K11559*tk_hold_vr200+Sens!K11558*nv_out_mai*tk_hold_vr200)/Sens!K11547</f>
        <v>11.4085735724225</v>
      </c>
      <c r="L11561" s="12" t="s">
        <v>975</v>
      </c>
    </row>
    <row r="11562" customFormat="false" ht="17.15" hidden="false" customHeight="false" outlineLevel="0" collapsed="false">
      <c r="A11562" s="0" t="s">
        <v>976</v>
      </c>
      <c r="B11562" s="0" t="s">
        <v>229</v>
      </c>
      <c r="C11562" s="15" t="n">
        <f aca="false">k_B</f>
        <v>1.17213932619116</v>
      </c>
      <c r="D11562" s="15" t="n">
        <f aca="false">k_B</f>
        <v>1.17213932619116</v>
      </c>
      <c r="E11562" s="15" t="n">
        <f aca="false">k_B</f>
        <v>1.17213932619116</v>
      </c>
      <c r="F11562" s="15" t="n">
        <f aca="false">(k_B+((ls_A*k_long+(1-ls_A)*k_spot)-k_B)*MIN(1,(Sens!F11545-base_fy)/k_ramp))</f>
        <v>1.25022828131298</v>
      </c>
      <c r="G11562" s="15" t="n">
        <f aca="false">(k_B+((ls_A*k_long+(1-ls_A)*k_spot)-k_B)*MIN(1,(Sens!G11545-base_fy)/k_ramp))</f>
        <v>1.3283172364348</v>
      </c>
      <c r="H11562" s="15" t="n">
        <f aca="false">(k_B+((ls_A*k_long+(1-ls_A)*k_spot)-k_B)*MIN(1,(Sens!H11545-base_fy)/k_ramp))</f>
        <v>1.40640619155662</v>
      </c>
      <c r="I11562" s="15" t="n">
        <f aca="false">(k_B+((ls_A*k_long+(1-ls_A)*k_spot)-k_B)*MIN(1,(Sens!I11545-base_fy)/k_ramp))</f>
        <v>1.40640619155662</v>
      </c>
      <c r="J11562" s="15" t="n">
        <f aca="false">(k_B+((ls_A*k_long+(1-ls_A)*k_spot)-k_B)*MIN(1,(Sens!J11545-base_fy)/k_ramp))</f>
        <v>1.40640619155662</v>
      </c>
      <c r="K11562" s="15" t="n">
        <f aca="false">(k_B+((ls_A*k_long+(1-ls_A)*k_spot)-k_B)*MIN(1,(Sens!K11545-base_fy)/k_ramp))</f>
        <v>1.40640619155662</v>
      </c>
      <c r="L11562" s="1" t="s">
        <v>977</v>
      </c>
    </row>
    <row r="11563" customFormat="false" ht="17.15" hidden="false" customHeight="false" outlineLevel="0" collapsed="false">
      <c r="A11563" s="1" t="s">
        <v>978</v>
      </c>
      <c r="B11563" s="0" t="s">
        <v>403</v>
      </c>
      <c r="C11563" s="15" t="n">
        <f aca="false">Sens!C11561*Sens!C11562*chip_f</f>
        <v>11.3973387156315</v>
      </c>
      <c r="D11563" s="15" t="n">
        <f aca="false">Sens!D11561*Sens!D11562*chip_f</f>
        <v>11.3973387156315</v>
      </c>
      <c r="E11563" s="15" t="n">
        <f aca="false">Sens!E11561*Sens!E11562*chip_f</f>
        <v>11.3973387156315</v>
      </c>
      <c r="F11563" s="15" t="n">
        <f aca="false">Sens!F11561*Sens!F11562*chip_f</f>
        <v>12.8116169124314</v>
      </c>
      <c r="G11563" s="15" t="n">
        <f aca="false">Sens!G11561*Sens!G11562*chip_f</f>
        <v>14.094588604395</v>
      </c>
      <c r="H11563" s="15" t="n">
        <f aca="false">Sens!H11561*Sens!H11562*chip_f</f>
        <v>15.2803058877132</v>
      </c>
      <c r="I11563" s="15" t="n">
        <f aca="false">Sens!I11561*Sens!I11562*chip_f</f>
        <v>15.5457988470549</v>
      </c>
      <c r="J11563" s="15" t="n">
        <f aca="false">Sens!J11561*Sens!J11562*chip_f</f>
        <v>15.7562677246158</v>
      </c>
      <c r="K11563" s="15" t="n">
        <f aca="false">Sens!K11561*Sens!K11562*chip_f</f>
        <v>16.0450885090842</v>
      </c>
      <c r="L11563" s="1" t="s">
        <v>979</v>
      </c>
    </row>
    <row r="11564" customFormat="false" ht="17.15" hidden="false" customHeight="false" outlineLevel="0" collapsed="false">
      <c r="A11564" s="0" t="s">
        <v>980</v>
      </c>
      <c r="B11564" s="0" t="s">
        <v>98</v>
      </c>
      <c r="D11564" s="6" t="n">
        <f aca="false">(Sens!C11547+Sens!D11547)/2*Sens!D11563/1000</f>
        <v>12.9359794422418</v>
      </c>
      <c r="E11564" s="6" t="n">
        <f aca="false">(Sens!D11547+Sens!E11547)/2*Sens!E11563/1000</f>
        <v>27.8095064661409</v>
      </c>
      <c r="F11564" s="6" t="n">
        <f aca="false">(Sens!E11547+Sens!F11547)/2*Sens!F11563/1000</f>
        <v>59.1034165651511</v>
      </c>
      <c r="G11564" s="6" t="n">
        <f aca="false">(Sens!F11547+Sens!G11547)/2*Sens!G11563/1000</f>
        <v>103.451498789198</v>
      </c>
      <c r="H11564" s="6" t="n">
        <f aca="false">(Sens!G11547+Sens!H11547)/2*Sens!H11563/1000</f>
        <v>153.816719989035</v>
      </c>
      <c r="I11564" s="6" t="n">
        <f aca="false">(Sens!H11547+Sens!I11547)/2*Sens!I11563/1000</f>
        <v>192.699478690852</v>
      </c>
      <c r="J11564" s="6" t="n">
        <f aca="false">(Sens!I11547+Sens!J11547)/2*Sens!J11563/1000</f>
        <v>219.794102584244</v>
      </c>
      <c r="K11564" s="6" t="n">
        <f aca="false">(Sens!J11547+Sens!K11547)/2*Sens!K11563/1000</f>
        <v>236.757046905022</v>
      </c>
      <c r="L11564" s="12" t="s">
        <v>981</v>
      </c>
    </row>
    <row r="11565" customFormat="false" ht="17.15" hidden="false" customHeight="false" outlineLevel="0" collapsed="false">
      <c r="A11565" s="1" t="s">
        <v>982</v>
      </c>
      <c r="B11565" s="0" t="s">
        <v>403</v>
      </c>
      <c r="C11565" s="15" t="n">
        <f aca="false">(Sens!C11555*tk_opex_h100+Sens!C11556*tk_opex_gb200+Sens!C11557*tk_opex_gb300+(Sens!C11559+Sens!C11558)*tk_opex_vr200)/Sens!C11547</f>
        <v>1.88636041306092</v>
      </c>
      <c r="D11565" s="15" t="n">
        <f aca="false">(Sens!D11555*tk_opex_h100+Sens!D11556*tk_opex_gb200+Sens!D11557*tk_opex_gb300+(Sens!D11559+Sens!D11558)*tk_opex_vr200)/Sens!D11547</f>
        <v>1.88636041306092</v>
      </c>
      <c r="E11565" s="15" t="n">
        <f aca="false">(Sens!E11555*tk_opex_h100+Sens!E11556*tk_opex_gb200+Sens!E11557*tk_opex_gb300+(Sens!E11559+Sens!E11558)*tk_opex_vr200)/Sens!E11547</f>
        <v>1.88636041306092</v>
      </c>
      <c r="F11565" s="15" t="n">
        <f aca="false">(Sens!F11555*tk_opex_h100+Sens!F11556*tk_opex_gb200+Sens!F11557*tk_opex_gb300+(Sens!F11559+Sens!F11558)*tk_opex_vr200)/Sens!F11547</f>
        <v>1.95051159746876</v>
      </c>
      <c r="G11565" s="15" t="n">
        <f aca="false">(Sens!G11555*tk_opex_h100+Sens!G11556*tk_opex_gb200+Sens!G11557*tk_opex_gb300+(Sens!G11559+Sens!G11558)*tk_opex_vr200)/Sens!G11547</f>
        <v>1.98836003669956</v>
      </c>
      <c r="H11565" s="15" t="n">
        <f aca="false">(Sens!H11555*tk_opex_h100+Sens!H11556*tk_opex_gb200+Sens!H11557*tk_opex_gb300+(Sens!H11559+Sens!H11558)*tk_opex_vr200)/Sens!H11547</f>
        <v>2.01344013834343</v>
      </c>
      <c r="I11565" s="15" t="n">
        <f aca="false">(Sens!I11555*tk_opex_h100+Sens!I11556*tk_opex_gb200+Sens!I11557*tk_opex_gb300+(Sens!I11559+Sens!I11558)*tk_opex_vr200)/Sens!I11547</f>
        <v>2.03261166882178</v>
      </c>
      <c r="J11565" s="15" t="n">
        <f aca="false">(Sens!J11555*tk_opex_h100+Sens!J11556*tk_opex_gb200+Sens!J11557*tk_opex_gb300+(Sens!J11559+Sens!J11558)*tk_opex_vr200)/Sens!J11547</f>
        <v>2.04808073288745</v>
      </c>
      <c r="K11565" s="15" t="n">
        <f aca="false">(Sens!K11555*tk_opex_h100+Sens!K11556*tk_opex_gb200+Sens!K11557*tk_opex_gb300+(Sens!K11559+Sens!K11558)*tk_opex_vr200)/Sens!K11547</f>
        <v>2.06973825807449</v>
      </c>
      <c r="L11565" s="12" t="s">
        <v>983</v>
      </c>
    </row>
    <row r="11566" customFormat="false" ht="17.15" hidden="false" customHeight="false" outlineLevel="0" collapsed="false">
      <c r="A11566" s="0" t="s">
        <v>984</v>
      </c>
      <c r="B11566" s="0" t="s">
        <v>98</v>
      </c>
      <c r="D11566" s="6" t="n">
        <f aca="false">(Sens!C11550+Sens!D11550)/2*Sens!D11565/1000</f>
        <v>2.70378325872065</v>
      </c>
      <c r="E11566" s="6" t="n">
        <f aca="false">(Sens!D11550+Sens!E11550)/2*Sens!E11565/1000</f>
        <v>6.17783035277451</v>
      </c>
      <c r="F11566" s="6" t="n">
        <f aca="false">(Sens!E11550+Sens!F11550)/2*Sens!F11565/1000</f>
        <v>12.8742463089237</v>
      </c>
      <c r="G11566" s="6" t="n">
        <f aca="false">(Sens!F11550+Sens!G11550)/2*Sens!G11565/1000</f>
        <v>21.8182834646277</v>
      </c>
      <c r="H11566" s="6" t="n">
        <f aca="false">(Sens!G11550+Sens!H11550)/2*Sens!H11565/1000</f>
        <v>31.2430128789734</v>
      </c>
      <c r="I11566" s="6" t="n">
        <f aca="false">(Sens!H11550+Sens!I11550)/2*Sens!I11565/1000</f>
        <v>39.4313057443268</v>
      </c>
      <c r="J11566" s="6" t="n">
        <f aca="false">(Sens!I11550+Sens!J11550)/2*Sens!J11565/1000</f>
        <v>45.0360318228653</v>
      </c>
      <c r="K11566" s="6" t="n">
        <f aca="false">(Sens!J11550+Sens!K11550)/2*Sens!K11565/1000</f>
        <v>48.2929727091156</v>
      </c>
    </row>
    <row r="11567" customFormat="false" ht="17.15" hidden="false" customHeight="false" outlineLevel="0" collapsed="false">
      <c r="A11567" s="0" t="s">
        <v>985</v>
      </c>
      <c r="B11567" s="0" t="s">
        <v>98</v>
      </c>
      <c r="D11567" s="6" t="n">
        <f aca="false">(Sens!C11548+Sens!D11548)/2*rent_mw/1000</f>
        <v>2.44475</v>
      </c>
      <c r="E11567" s="6" t="n">
        <f aca="false">(Sens!D11548+Sens!E11548)/2*rent_mw/1000</f>
        <v>4.22275</v>
      </c>
      <c r="F11567" s="6" t="n">
        <f aca="false">(Sens!E11548+Sens!F11548)/2*rent_mw/1000</f>
        <v>5.80517</v>
      </c>
      <c r="G11567" s="6" t="n">
        <f aca="false">(Sens!F11548+Sens!G11548)/2*rent_mw/1000</f>
        <v>6.72084</v>
      </c>
      <c r="H11567" s="6" t="n">
        <f aca="false">(Sens!G11548+Sens!H11548)/2*rent_mw/1000</f>
        <v>6.72084</v>
      </c>
      <c r="I11567" s="6" t="n">
        <f aca="false">(Sens!H11548+Sens!I11548)/2*rent_mw/1000</f>
        <v>6.72084</v>
      </c>
      <c r="J11567" s="6" t="n">
        <f aca="false">(Sens!I11548+Sens!J11548)/2*rent_mw/1000</f>
        <v>6.72084</v>
      </c>
      <c r="K11567" s="6" t="n">
        <f aca="false">(Sens!J11548+Sens!K11548)/2*rent_mw/1000</f>
        <v>6.72084</v>
      </c>
    </row>
    <row r="11568" customFormat="false" ht="17.15" hidden="false" customHeight="false" outlineLevel="0" collapsed="false">
      <c r="A11568" s="0" t="s">
        <v>986</v>
      </c>
      <c r="B11568" s="0" t="s">
        <v>98</v>
      </c>
      <c r="D11568" s="6" t="n">
        <f aca="false">(Sens!C11550+Sens!D11550)/2*(1-self_build)*fac_rent/1000</f>
        <v>0.853242375631075</v>
      </c>
      <c r="E11568" s="6" t="n">
        <f aca="false">(Sens!D11550+Sens!E11550)/2*(1-self_build)*fac_rent/1000</f>
        <v>1.94955961408728</v>
      </c>
      <c r="F11568" s="6" t="n">
        <f aca="false">(Sens!E11550+Sens!F11550)/2*(1-self_build)*fac_rent/1000</f>
        <v>3.92914894476356</v>
      </c>
      <c r="G11568" s="6" t="n">
        <f aca="false">(Sens!F11550+Sens!G11550)/2*(1-self_build)*fac_rent/1000</f>
        <v>6.53206908578159</v>
      </c>
      <c r="H11568" s="6" t="n">
        <f aca="false">(Sens!G11550+Sens!H11550)/2*(1-self_build)*fac_rent/1000</f>
        <v>9.23717988341591</v>
      </c>
      <c r="I11568" s="6" t="n">
        <f aca="false">(Sens!H11550+Sens!I11550)/2*(1-self_build)*fac_rent/1000</f>
        <v>11.5481378557393</v>
      </c>
      <c r="J11568" s="6" t="n">
        <f aca="false">(Sens!I11550+Sens!J11550)/2*(1-self_build)*fac_rent/1000</f>
        <v>13.0899582289108</v>
      </c>
      <c r="K11568" s="6" t="n">
        <f aca="false">(Sens!J11550+Sens!K11550)/2*(1-self_build)*fac_rent/1000</f>
        <v>13.8897275626556</v>
      </c>
      <c r="L11568" s="12" t="s">
        <v>987</v>
      </c>
    </row>
    <row r="11569" customFormat="false" ht="17.15" hidden="false" customHeight="false" outlineLevel="0" collapsed="false">
      <c r="A11569" s="1" t="s">
        <v>988</v>
      </c>
      <c r="B11569" s="0" t="s">
        <v>168</v>
      </c>
      <c r="D11569" s="7" t="n">
        <f aca="false">(Sens!C11549+Sens!D11549)/(Sens!C11550+Sens!D11550)</f>
        <v>0.6</v>
      </c>
      <c r="E11569" s="7" t="n">
        <f aca="false">(Sens!D11549+Sens!E11549)/(Sens!D11550+Sens!E11550)</f>
        <v>0.6</v>
      </c>
      <c r="F11569" s="7" t="n">
        <f aca="false">(Sens!E11549+Sens!F11549)/(Sens!E11550+Sens!F11550)</f>
        <v>0.6</v>
      </c>
      <c r="G11569" s="7" t="n">
        <f aca="false">(Sens!F11549+Sens!G11549)/(Sens!F11550+Sens!G11550)</f>
        <v>0.6</v>
      </c>
      <c r="H11569" s="7" t="n">
        <f aca="false">(Sens!G11549+Sens!H11549)/(Sens!G11550+Sens!H11550)</f>
        <v>0.6</v>
      </c>
      <c r="I11569" s="7" t="n">
        <f aca="false">(Sens!H11549+Sens!I11549)/(Sens!H11550+Sens!I11550)</f>
        <v>0.6</v>
      </c>
      <c r="J11569" s="7" t="n">
        <f aca="false">(Sens!I11549+Sens!J11549)/(Sens!I11550+Sens!J11550)</f>
        <v>0.6</v>
      </c>
      <c r="K11569" s="7" t="n">
        <f aca="false">(Sens!J11549+Sens!K11549)/(Sens!J11550+Sens!K11550)</f>
        <v>0.6</v>
      </c>
    </row>
    <row r="11570" customFormat="false" ht="17.15" hidden="false" customHeight="false" outlineLevel="0" collapsed="false">
      <c r="A11570" s="0" t="s">
        <v>989</v>
      </c>
      <c r="B11570" s="0" t="s">
        <v>98</v>
      </c>
      <c r="D11570" s="6" t="n">
        <f aca="false">Sens!D11564-Sens!D11569*(Sens!D11566+Sens!D11568)-Sens!D11567</f>
        <v>8.35701406163072</v>
      </c>
      <c r="E11570" s="6" t="n">
        <f aca="false">Sens!E11564-Sens!E11569*(Sens!E11566+Sens!E11568)-Sens!E11567</f>
        <v>18.7103224860238</v>
      </c>
      <c r="F11570" s="6" t="n">
        <f aca="false">Sens!F11564-Sens!F11569*(Sens!F11566+Sens!F11568)-Sens!F11567</f>
        <v>43.2162094129388</v>
      </c>
      <c r="G11570" s="6" t="n">
        <f aca="false">Sens!G11564-Sens!G11569*(Sens!G11566+Sens!G11568)-Sens!G11567</f>
        <v>79.7204472589529</v>
      </c>
      <c r="H11570" s="6" t="n">
        <f aca="false">Sens!H11564-Sens!H11569*(Sens!H11566+Sens!H11568)-Sens!H11567</f>
        <v>122.807764331602</v>
      </c>
      <c r="I11570" s="6" t="n">
        <f aca="false">Sens!I11564-Sens!I11569*(Sens!I11566+Sens!I11568)-Sens!I11567</f>
        <v>155.390972530813</v>
      </c>
      <c r="J11570" s="6" t="n">
        <f aca="false">Sens!J11564-Sens!J11569*(Sens!J11566+Sens!J11568)-Sens!J11567</f>
        <v>178.197668553178</v>
      </c>
      <c r="K11570" s="6" t="n">
        <f aca="false">Sens!K11564-Sens!K11569*(Sens!K11566+Sens!K11568)-Sens!K11567</f>
        <v>192.726586741959</v>
      </c>
    </row>
    <row r="11571" customFormat="false" ht="17.15" hidden="false" customHeight="false" outlineLevel="0" collapsed="false">
      <c r="A11571" s="1" t="s">
        <v>990</v>
      </c>
      <c r="B11571" s="0" t="s">
        <v>98</v>
      </c>
      <c r="D11571" s="6" t="n">
        <f aca="false">(1-Sens!D11569)*(Sens!D11566+Sens!D11568)</f>
        <v>1.42281025374069</v>
      </c>
      <c r="E11571" s="6" t="n">
        <f aca="false">(1-Sens!E11569)*(Sens!E11566+Sens!E11568)</f>
        <v>3.25095598674472</v>
      </c>
      <c r="F11571" s="6" t="n">
        <f aca="false">(1-Sens!F11569)*(Sens!F11566+Sens!F11568)</f>
        <v>6.72135810147489</v>
      </c>
      <c r="G11571" s="6" t="n">
        <f aca="false">(1-Sens!G11569)*(Sens!G11566+Sens!G11568)</f>
        <v>11.3401410201637</v>
      </c>
      <c r="H11571" s="6" t="n">
        <f aca="false">(1-Sens!H11569)*(Sens!H11566+Sens!H11568)</f>
        <v>16.1920771049557</v>
      </c>
      <c r="I11571" s="6" t="n">
        <f aca="false">(1-Sens!I11569)*(Sens!I11566+Sens!I11568)</f>
        <v>20.3917774400264</v>
      </c>
      <c r="J11571" s="6" t="n">
        <f aca="false">(1-Sens!J11569)*(Sens!J11566+Sens!J11568)</f>
        <v>23.2503960207104</v>
      </c>
      <c r="K11571" s="6" t="n">
        <f aca="false">(1-Sens!K11569)*(Sens!K11566+Sens!K11568)</f>
        <v>24.8730801087085</v>
      </c>
    </row>
    <row r="11572" customFormat="false" ht="17.15" hidden="false" customHeight="false" outlineLevel="0" collapsed="false">
      <c r="A11572" s="1" t="s">
        <v>991</v>
      </c>
      <c r="B11572" s="0" t="s">
        <v>417</v>
      </c>
      <c r="C11572" s="8" t="n">
        <f aca="false">cxit_open</f>
        <v>27.5918995</v>
      </c>
      <c r="D11572" s="8" t="n">
        <f aca="false">cxit_open</f>
        <v>27.5918995</v>
      </c>
      <c r="E11572" s="8" t="n">
        <f aca="false">cxit_open</f>
        <v>27.5918995</v>
      </c>
      <c r="F11572" s="8" t="n">
        <f aca="false">((a_g3_27-nonnv*a_mai)*tk_cxit_gb300+nonnv*a_mai*nv_hold_mai*tk_cxit_vr200+(1-a_g3_27)*tk_cxit_vr200)</f>
        <v>32.4975576</v>
      </c>
      <c r="G11572" s="8" t="n">
        <f aca="false">((a_g3_28-nonnv*a_mai)*tk_cxit_gb300+nonnv*a_mai*nv_hold_mai*tk_cxit_vr200+(1-a_g3_28)*tk_cxit_vr200)</f>
        <v>34.6372088</v>
      </c>
      <c r="H11572" s="8" t="n">
        <f aca="false">((a_g3_29-nonnv*a_mai)*tk_cxit_gb300+nonnv*a_mai*nv_hold_mai*tk_cxit_vr200+(1-a_g3_29)*tk_cxit_vr200)</f>
        <v>35.7070344</v>
      </c>
      <c r="I11572" s="8" t="n">
        <f aca="false">((a_g3_29-nonnv*a_mai)*tk_cxit_gb300+nonnv*a_mai*nv_hold_mai*tk_cxit_vr200+(1-a_g3_29)*tk_cxit_vr200)</f>
        <v>35.7070344</v>
      </c>
      <c r="J11572" s="8" t="n">
        <f aca="false">((a_g3_29-nonnv*a_mai)*tk_cxit_gb300+nonnv*a_mai*nv_hold_mai*tk_cxit_vr200+(1-a_g3_29)*tk_cxit_vr200)</f>
        <v>35.7070344</v>
      </c>
      <c r="K11572" s="8" t="n">
        <f aca="false">((a_g3_29-nonnv*a_mai)*tk_cxit_gb300+nonnv*a_mai*nv_hold_mai*tk_cxit_vr200+(1-a_g3_29)*tk_cxit_vr200)</f>
        <v>35.7070344</v>
      </c>
      <c r="L11572" s="12" t="s">
        <v>992</v>
      </c>
    </row>
    <row r="11573" customFormat="false" ht="17.15" hidden="false" customHeight="false" outlineLevel="0" collapsed="false">
      <c r="A11573" s="0" t="s">
        <v>993</v>
      </c>
      <c r="B11573" s="0" t="s">
        <v>459</v>
      </c>
      <c r="F11573" s="30" t="n">
        <f aca="false">Sens!C11552*IF(Sens!F11545-Sens!C11545=life_it,1,0)+Sens!D11552*IF(Sens!F11545-Sens!D11545=life_it,1,0)+Sens!E11552*IF(Sens!F11545-Sens!E11545=life_it,1,0)</f>
        <v>0</v>
      </c>
      <c r="G11573" s="30" t="n">
        <f aca="false">Sens!C11552*IF(Sens!G11545-Sens!C11545=life_it,1,0)+Sens!D11552*IF(Sens!G11545-Sens!D11545=life_it,1,0)+Sens!E11552*IF(Sens!G11545-Sens!E11545=life_it,1,0)+Sens!F11552*IF(Sens!G11545-Sens!F11545=life_it,1,0)</f>
        <v>0</v>
      </c>
      <c r="H11573" s="30" t="n">
        <f aca="false">Sens!C11552*IF(Sens!H11545-Sens!C11545=life_it,1,0)+Sens!D11552*IF(Sens!H11545-Sens!D11545=life_it,1,0)+Sens!E11552*IF(Sens!H11545-Sens!E11545=life_it,1,0)+Sens!F11552*IF(Sens!H11545-Sens!F11545=life_it,1,0)+Sens!G11552*IF(Sens!H11545-Sens!G11545=life_it,1,0)</f>
        <v>0</v>
      </c>
      <c r="I11573" s="30" t="n">
        <f aca="false">Sens!C11552*IF(Sens!I11545-Sens!C11545=life_it,1,0)+Sens!D11552*IF(Sens!I11545-Sens!D11545=life_it,1,0)+Sens!E11552*IF(Sens!I11545-Sens!E11545=life_it,1,0)+Sens!F11552*IF(Sens!I11545-Sens!F11545=life_it,1,0)+Sens!G11552*IF(Sens!I11545-Sens!G11545=life_it,1,0)+Sens!H11552*IF(Sens!I11545-Sens!H11545=life_it,1,0)</f>
        <v>816.666666666667</v>
      </c>
      <c r="J11573" s="30" t="n">
        <f aca="false">Sens!C11552*IF(Sens!J11545-Sens!C11545=life_it,1,0)+Sens!D11552*IF(Sens!J11545-Sens!D11545=life_it,1,0)+Sens!E11552*IF(Sens!J11545-Sens!E11545=life_it,1,0)+Sens!F11552*IF(Sens!J11545-Sens!F11545=life_it,1,0)+Sens!G11552*IF(Sens!J11545-Sens!G11545=life_it,1,0)+Sens!H11552*IF(Sens!J11545-Sens!H11545=life_it,1,0)+Sens!I11552*IF(Sens!J11545-Sens!I11545=life_it,1,0)</f>
        <v>1233.33333333333</v>
      </c>
      <c r="K11573" s="30" t="n">
        <f aca="false">Sens!C11552*IF(Sens!K11545-Sens!C11545=life_it,1,0)+Sens!D11552*IF(Sens!K11545-Sens!D11545=life_it,1,0)+Sens!E11552*IF(Sens!K11545-Sens!E11545=life_it,1,0)+Sens!F11552*IF(Sens!K11545-Sens!F11545=life_it,1,0)+Sens!G11552*IF(Sens!K11545-Sens!G11545=life_it,1,0)+Sens!H11552*IF(Sens!K11545-Sens!H11545=life_it,1,0)+Sens!I11552*IF(Sens!K11545-Sens!I11545=life_it,1,0)+Sens!J11552*IF(Sens!K11545-Sens!J11545=life_it,1,0)</f>
        <v>2450</v>
      </c>
      <c r="L11573" s="1" t="s">
        <v>994</v>
      </c>
    </row>
    <row r="11574" customFormat="false" ht="17.15" hidden="false" customHeight="false" outlineLevel="0" collapsed="false">
      <c r="A11574" s="0" t="s">
        <v>995</v>
      </c>
      <c r="B11574" s="0" t="s">
        <v>98</v>
      </c>
      <c r="C11574" s="6" t="n">
        <f aca="false">Sens!C11552*Sens!C11572/1000</f>
        <v>22.5333845916667</v>
      </c>
      <c r="D11574" s="6" t="n">
        <f aca="false">Sens!D11552*Sens!D11572/1000</f>
        <v>34.0300093833333</v>
      </c>
      <c r="E11574" s="6" t="n">
        <f aca="false">Sens!E11552*Sens!E11572/1000</f>
        <v>67.600153775</v>
      </c>
      <c r="F11574" s="6" t="n">
        <f aca="false">(Sens!F11552+Sens!F11573)*Sens!F11572/1000</f>
        <v>136.51872432512</v>
      </c>
      <c r="G11574" s="6" t="n">
        <f aca="false">(Sens!G11552+Sens!G11573)*Sens!G11572/1000</f>
        <v>157.399275932048</v>
      </c>
      <c r="H11574" s="6" t="n">
        <f aca="false">(Sens!H11552+Sens!H11573)*Sens!H11572/1000</f>
        <v>162.260804347512</v>
      </c>
      <c r="I11574" s="6" t="n">
        <f aca="false">(Sens!I11552+Sens!I11573)*Sens!I11572/1000</f>
        <v>144.136569485434</v>
      </c>
      <c r="J11574" s="6" t="n">
        <f aca="false">(Sens!J11552+Sens!J11573)*Sens!J11572/1000</f>
        <v>114.029037357864</v>
      </c>
      <c r="K11574" s="6" t="n">
        <f aca="false">(Sens!K11552+Sens!K11573)*Sens!K11572/1000</f>
        <v>113.437085350975</v>
      </c>
    </row>
    <row r="11575" customFormat="false" ht="17.15" hidden="false" customHeight="false" outlineLevel="0" collapsed="false">
      <c r="A11575" s="0" t="s">
        <v>996</v>
      </c>
      <c r="B11575" s="0" t="s">
        <v>98</v>
      </c>
      <c r="C11575" s="6" t="n">
        <f aca="false">Sens!C11552*self_build*tk_cxfac/1000</f>
        <v>6.2083</v>
      </c>
      <c r="D11575" s="6" t="n">
        <f aca="false">Sens!D11552*self_build*tk_cxfac/1000</f>
        <v>9.3758</v>
      </c>
      <c r="E11575" s="6" t="n">
        <f aca="false">Sens!E11552*self_build*tk_cxfac/1000</f>
        <v>18.6249</v>
      </c>
      <c r="F11575" s="6" t="n">
        <f aca="false">Sens!F11552*self_build*tk_cxfac/1000</f>
        <v>31.935179717</v>
      </c>
      <c r="G11575" s="6" t="n">
        <f aca="false">Sens!G11552*self_build*tk_cxfac/1000</f>
        <v>34.545199717</v>
      </c>
      <c r="H11575" s="6" t="n">
        <f aca="false">Sens!H11552*self_build*tk_cxfac/1000</f>
        <v>34.545199717</v>
      </c>
      <c r="I11575" s="6" t="n">
        <f aca="false">Sens!I11552*self_build*tk_cxfac/1000</f>
        <v>24.4782641361767</v>
      </c>
      <c r="J11575" s="6" t="n">
        <f aca="false">Sens!J11552*self_build*tk_cxfac/1000</f>
        <v>14.9008938380769</v>
      </c>
      <c r="K11575" s="6" t="n">
        <f aca="false">Sens!K11552*self_build*tk_cxfac/1000</f>
        <v>5.52576771375761</v>
      </c>
    </row>
    <row r="11576" customFormat="false" ht="17.15" hidden="false" customHeight="false" outlineLevel="0" collapsed="false">
      <c r="A11576" s="0" t="s">
        <v>997</v>
      </c>
      <c r="B11576" s="0" t="s">
        <v>98</v>
      </c>
      <c r="F11576" s="15" t="n">
        <f aca="false">capex_floor27-Sens!F11574-Sens!F11575-Sens!F11672</f>
        <v>0.0508338452575643</v>
      </c>
      <c r="L11576" s="12" t="s">
        <v>998</v>
      </c>
    </row>
    <row r="11577" customFormat="false" ht="17.15" hidden="false" customHeight="false" outlineLevel="0" collapsed="false">
      <c r="A11577" s="0" t="s">
        <v>999</v>
      </c>
      <c r="B11577" s="0" t="s">
        <v>98</v>
      </c>
      <c r="F11577" s="6" t="n">
        <f aca="false">MAX(0,Sens!F11576)</f>
        <v>0.0508338452575643</v>
      </c>
    </row>
    <row r="11578" customFormat="false" ht="17.15" hidden="false" customHeight="false" outlineLevel="0" collapsed="false">
      <c r="A11578" s="0" t="s">
        <v>1000</v>
      </c>
      <c r="B11578" s="0" t="s">
        <v>98</v>
      </c>
      <c r="C11578" s="6" t="n">
        <f aca="false">Sens!C11574</f>
        <v>22.5333845916667</v>
      </c>
      <c r="D11578" s="6" t="n">
        <f aca="false">Sens!D11574</f>
        <v>34.0300093833333</v>
      </c>
      <c r="E11578" s="6" t="n">
        <f aca="false">Sens!E11574</f>
        <v>67.600153775</v>
      </c>
      <c r="F11578" s="6" t="n">
        <f aca="false">Sens!F11574</f>
        <v>136.51872432512</v>
      </c>
      <c r="G11578" s="6" t="n">
        <f aca="false">Sens!G11574</f>
        <v>157.399275932048</v>
      </c>
      <c r="H11578" s="6" t="n">
        <f aca="false">Sens!H11574</f>
        <v>162.260804347512</v>
      </c>
      <c r="I11578" s="6" t="n">
        <f aca="false">Sens!I11574</f>
        <v>144.136569485434</v>
      </c>
      <c r="J11578" s="6" t="n">
        <f aca="false">Sens!J11574</f>
        <v>114.029037357864</v>
      </c>
      <c r="K11578" s="6" t="n">
        <f aca="false">Sens!K11574</f>
        <v>113.437085350975</v>
      </c>
    </row>
    <row r="11579" customFormat="false" ht="17.15" hidden="false" customHeight="false" outlineLevel="0" collapsed="false">
      <c r="A11579" s="0" t="s">
        <v>1001</v>
      </c>
      <c r="B11579" s="0" t="s">
        <v>98</v>
      </c>
      <c r="C11579" s="6" t="n">
        <f aca="false">Sens!C11578+Sens!C11575</f>
        <v>28.7416845916667</v>
      </c>
      <c r="D11579" s="6" t="n">
        <f aca="false">Sens!D11578+Sens!D11575</f>
        <v>43.4058093833333</v>
      </c>
      <c r="E11579" s="6" t="n">
        <f aca="false">Sens!E11578+Sens!E11575</f>
        <v>86.225053775</v>
      </c>
      <c r="F11579" s="6" t="n">
        <f aca="false">Sens!F11578+Sens!F11575</f>
        <v>168.45390404212</v>
      </c>
      <c r="G11579" s="6" t="n">
        <f aca="false">Sens!G11578+Sens!G11575</f>
        <v>191.944475649048</v>
      </c>
      <c r="H11579" s="6" t="n">
        <f aca="false">Sens!H11578+Sens!H11575</f>
        <v>196.806004064512</v>
      </c>
      <c r="I11579" s="6" t="n">
        <f aca="false">Sens!I11578+Sens!I11575</f>
        <v>168.61483362161</v>
      </c>
      <c r="J11579" s="6" t="n">
        <f aca="false">Sens!J11578+Sens!J11575</f>
        <v>128.92993119594</v>
      </c>
      <c r="K11579" s="6" t="n">
        <f aca="false">Sens!K11578+Sens!K11575</f>
        <v>118.962853064733</v>
      </c>
      <c r="L11579" s="12" t="s">
        <v>1002</v>
      </c>
    </row>
    <row r="11580" customFormat="false" ht="17.15" hidden="false" customHeight="false" outlineLevel="0" collapsed="false">
      <c r="A11580" s="0" t="s">
        <v>1003</v>
      </c>
      <c r="B11580" s="0" t="s">
        <v>98</v>
      </c>
      <c r="E11580" s="6" t="n">
        <f aca="false">(Sens!C11578*IF(2&lt;life_it,1,IF(2=life_it,0.5,0))+Sens!D11578*IF(1&lt;life_it,1,IF(1=life_it,0.5,0))+Sens!E11578*0.5)/life_it</f>
        <v>15.0605784770833</v>
      </c>
      <c r="F11580" s="6" t="n">
        <f aca="false">(Sens!C11578*IF(3&lt;life_it,1,IF(3=life_it,0.5,0))+Sens!D11578*IF(2&lt;life_it,1,IF(2=life_it,0.5,0))+Sens!E11578*IF(1&lt;life_it,1,IF(1=life_it,0.5,0))+Sens!F11578*0.5)/life_it</f>
        <v>32.0704849854266</v>
      </c>
      <c r="G11580" s="6" t="n">
        <f aca="false">(Sens!C11578*IF(4&lt;life_it,1,IF(4=life_it,0.5,0))+Sens!D11578*IF(3&lt;life_it,1,IF(3=life_it,0.5,0))+Sens!E11578*IF(2&lt;life_it,1,IF(2=life_it,0.5,0))+Sens!F11578*IF(1&lt;life_it,1,IF(1=life_it,0.5,0))+Sens!G11578*0.5)/life_it</f>
        <v>56.5636516735239</v>
      </c>
      <c r="H11580" s="6" t="n">
        <f aca="false">(Sens!C11578*IF(5&lt;life_it,1,IF(5=life_it,0.5,0))+Sens!D11578*IF(4&lt;life_it,1,IF(4=life_it,0.5,0))+Sens!E11578*IF(3&lt;life_it,1,IF(3=life_it,0.5,0))+Sens!F11578*IF(2&lt;life_it,1,IF(2=life_it,0.5,0))+Sens!G11578*IF(1&lt;life_it,1,IF(1=life_it,0.5,0))+Sens!H11578*0.5)/life_it</f>
        <v>83.2019916968207</v>
      </c>
      <c r="I11580" s="6" t="n">
        <f aca="false">(Sens!C11578*IF(6&lt;life_it,1,IF(6=life_it,0.5,0))+Sens!D11578*IF(5&lt;life_it,1,IF(5=life_it,0.5,0))+Sens!E11578*IF(4&lt;life_it,1,IF(4=life_it,0.5,0))+Sens!F11578*IF(3&lt;life_it,1,IF(3=life_it,0.5,0))+Sens!G11578*IF(2&lt;life_it,1,IF(2=life_it,0.5,0))+Sens!H11578*IF(1&lt;life_it,1,IF(1=life_it,0.5,0))+Sens!I11578*0.5)/life_it</f>
        <v>106.857324133594</v>
      </c>
      <c r="J11580" s="6" t="n">
        <f aca="false">(Sens!C11578*IF(7&lt;life_it,1,IF(7=life_it,0.5,0))+Sens!D11578*IF(6&lt;life_it,1,IF(6=life_it,0.5,0))+Sens!E11578*IF(5&lt;life_it,1,IF(5=life_it,0.5,0))+Sens!F11578*IF(4&lt;life_it,1,IF(4=life_it,0.5,0))+Sens!G11578*IF(3&lt;life_it,1,IF(3=life_it,0.5,0))+Sens!H11578*IF(2&lt;life_it,1,IF(2=life_it,0.5,0))+Sens!I11578*IF(1&lt;life_it,1,IF(1=life_it,0.5,0))+Sens!J11578*0.5)/life_it</f>
        <v>123.657508539285</v>
      </c>
      <c r="K11580" s="6" t="n">
        <f aca="false">(Sens!C11578*IF(8&lt;life_it,1,IF(8=life_it,0.5,0))+Sens!D11578*IF(7&lt;life_it,1,IF(7=life_it,0.5,0))+Sens!E11578*IF(6&lt;life_it,1,IF(6=life_it,0.5,0))+Sens!F11578*IF(5&lt;life_it,1,IF(5=life_it,0.5,0))+Sens!G11578*IF(4&lt;life_it,1,IF(4=life_it,0.5,0))+Sens!H11578*IF(3&lt;life_it,1,IF(3=life_it,0.5,0))+Sens!I11578*IF(2&lt;life_it,1,IF(2=life_it,0.5,0))+Sens!J11578*IF(1&lt;life_it,1,IF(1=life_it,0.5,0))+Sens!K11578*0.5)/life_it</f>
        <v>134.143838501827</v>
      </c>
    </row>
    <row r="11581" customFormat="false" ht="17.15" hidden="false" customHeight="false" outlineLevel="0" collapsed="false">
      <c r="A11581" s="0" t="s">
        <v>1004</v>
      </c>
      <c r="B11581" s="0" t="s">
        <v>98</v>
      </c>
      <c r="E11581" s="6" t="n">
        <f aca="false">(Sens!C11575*IF(2&lt;life_fac,1,IF(2=life_fac,0.5,0))+Sens!D11575*IF(1&lt;life_fac,1,IF(1=life_fac,0.5,0))+Sens!E11575*0.5)/life_fac</f>
        <v>1.2448275</v>
      </c>
      <c r="F11581" s="6" t="n">
        <f aca="false">(Sens!C11575*IF(3&lt;life_fac,1,IF(3=life_fac,0.5,0))+Sens!D11575*IF(2&lt;life_fac,1,IF(2=life_fac,0.5,0))+Sens!E11575*IF(1&lt;life_fac,1,IF(1=life_fac,0.5,0))+Sens!F11575*0.5)/life_fac</f>
        <v>2.508829492925</v>
      </c>
      <c r="G11581" s="6" t="n">
        <f aca="false">(Sens!C11575*IF(4&lt;life_fac,1,IF(4=life_fac,0.5,0))+Sens!D11575*IF(3&lt;life_fac,1,IF(3=life_fac,0.5,0))+Sens!E11575*IF(2&lt;life_fac,1,IF(2=life_fac,0.5,0))+Sens!F11575*IF(1&lt;life_fac,1,IF(1=life_fac,0.5,0))+Sens!G11575*0.5)/life_fac</f>
        <v>4.170838978775</v>
      </c>
      <c r="H11581" s="6" t="n">
        <f aca="false">(Sens!C11575*IF(5&lt;life_fac,1,IF(5=life_fac,0.5,0))+Sens!D11575*IF(4&lt;life_fac,1,IF(4=life_fac,0.5,0))+Sens!E11575*IF(3&lt;life_fac,1,IF(3=life_fac,0.5,0))+Sens!F11575*IF(2&lt;life_fac,1,IF(2=life_fac,0.5,0))+Sens!G11575*IF(1&lt;life_fac,1,IF(1=life_fac,0.5,0))+Sens!H11575*0.5)/life_fac</f>
        <v>5.898098964625</v>
      </c>
      <c r="I11581" s="6" t="n">
        <f aca="false">(Sens!C11575*IF(6&lt;life_fac,1,IF(6=life_fac,0.5,0))+Sens!D11575*IF(5&lt;life_fac,1,IF(5=life_fac,0.5,0))+Sens!E11575*IF(4&lt;life_fac,1,IF(4=life_fac,0.5,0))+Sens!F11575*IF(3&lt;life_fac,1,IF(3=life_fac,0.5,0))+Sens!G11575*IF(2&lt;life_fac,1,IF(2=life_fac,0.5,0))+Sens!H11575*IF(1&lt;life_fac,1,IF(1=life_fac,0.5,0))+Sens!I11575*0.5)/life_fac</f>
        <v>7.37368556095442</v>
      </c>
      <c r="J11581" s="6" t="n">
        <f aca="false">(Sens!C11575*IF(7&lt;life_fac,1,IF(7=life_fac,0.5,0))+Sens!D11575*IF(6&lt;life_fac,1,IF(6=life_fac,0.5,0))+Sens!E11575*IF(5&lt;life_fac,1,IF(5=life_fac,0.5,0))+Sens!F11575*IF(4&lt;life_fac,1,IF(4=life_fac,0.5,0))+Sens!G11575*IF(3&lt;life_fac,1,IF(3=life_fac,0.5,0))+Sens!H11575*IF(2&lt;life_fac,1,IF(2=life_fac,0.5,0))+Sens!I11575*IF(1&lt;life_fac,1,IF(1=life_fac,0.5,0))+Sens!J11575*0.5)/life_fac</f>
        <v>8.35816451031075</v>
      </c>
      <c r="K11581" s="6" t="n">
        <f aca="false">(Sens!C11575*IF(8&lt;life_fac,1,IF(8=life_fac,0.5,0))+Sens!D11575*IF(7&lt;life_fac,1,IF(7=life_fac,0.5,0))+Sens!E11575*IF(6&lt;life_fac,1,IF(6=life_fac,0.5,0))+Sens!F11575*IF(5&lt;life_fac,1,IF(5=life_fac,0.5,0))+Sens!G11575*IF(4&lt;life_fac,1,IF(4=life_fac,0.5,0))+Sens!H11575*IF(3&lt;life_fac,1,IF(3=life_fac,0.5,0))+Sens!I11575*IF(2&lt;life_fac,1,IF(2=life_fac,0.5,0))+Sens!J11575*IF(1&lt;life_fac,1,IF(1=life_fac,0.5,0))+Sens!K11575*0.5)/life_fac</f>
        <v>8.86883104910662</v>
      </c>
    </row>
    <row r="11582" customFormat="false" ht="17.15" hidden="false" customHeight="false" outlineLevel="0" collapsed="false">
      <c r="A11582" s="0" t="s">
        <v>1005</v>
      </c>
      <c r="B11582" s="0" t="s">
        <v>98</v>
      </c>
      <c r="E11582" s="6" t="n">
        <f aca="false">Sens!E11580+Sens!E11581</f>
        <v>16.3054059770833</v>
      </c>
      <c r="F11582" s="6" t="n">
        <f aca="false">Sens!F11580+Sens!F11581</f>
        <v>34.5793144783516</v>
      </c>
      <c r="G11582" s="6" t="n">
        <f aca="false">Sens!G11580+Sens!G11581</f>
        <v>60.7344906522989</v>
      </c>
      <c r="H11582" s="6" t="n">
        <f aca="false">Sens!H11580+Sens!H11581</f>
        <v>89.1000906614457</v>
      </c>
      <c r="I11582" s="6" t="n">
        <f aca="false">Sens!I11580+Sens!I11581</f>
        <v>114.231009694548</v>
      </c>
      <c r="J11582" s="6" t="n">
        <f aca="false">Sens!J11580+Sens!J11581</f>
        <v>132.015673049596</v>
      </c>
      <c r="K11582" s="6" t="n">
        <f aca="false">Sens!K11580+Sens!K11581</f>
        <v>143.012669550934</v>
      </c>
    </row>
    <row r="11583" customFormat="false" ht="17.15" hidden="false" customHeight="false" outlineLevel="0" collapsed="false">
      <c r="A11583" s="0" t="s">
        <v>1006</v>
      </c>
      <c r="B11583" s="0" t="s">
        <v>98</v>
      </c>
      <c r="E11583" s="6" t="n">
        <f aca="false">Sens!E11570-Sens!E11569*Sens!E11582</f>
        <v>8.92707889977379</v>
      </c>
      <c r="F11583" s="6" t="n">
        <f aca="false">Sens!F11570-Sens!F11569*Sens!F11582</f>
        <v>22.4686207259278</v>
      </c>
      <c r="G11583" s="6" t="n">
        <f aca="false">Sens!G11570-Sens!G11569*Sens!G11582</f>
        <v>43.2797528675735</v>
      </c>
      <c r="H11583" s="6" t="n">
        <f aca="false">Sens!H11570-Sens!H11569*Sens!H11582</f>
        <v>69.3477099347341</v>
      </c>
      <c r="I11583" s="6" t="n">
        <f aca="false">Sens!I11570-Sens!I11569*Sens!I11582</f>
        <v>86.8523667140836</v>
      </c>
      <c r="J11583" s="6" t="n">
        <f aca="false">Sens!J11570-Sens!J11569*Sens!J11582</f>
        <v>98.9882647234202</v>
      </c>
      <c r="K11583" s="6" t="n">
        <f aca="false">Sens!K11570-Sens!K11569*Sens!K11582</f>
        <v>106.918985011399</v>
      </c>
    </row>
    <row r="11584" customFormat="false" ht="17.15" hidden="false" customHeight="false" outlineLevel="0" collapsed="false">
      <c r="A11584" s="3" t="s">
        <v>1901</v>
      </c>
    </row>
    <row r="11585" customFormat="false" ht="15" hidden="false" customHeight="false" outlineLevel="0" collapsed="false">
      <c r="A11585" s="4" t="s">
        <v>43</v>
      </c>
      <c r="B11585" s="4" t="s">
        <v>65</v>
      </c>
      <c r="C11585" s="23" t="s">
        <v>942</v>
      </c>
      <c r="D11585" s="23" t="s">
        <v>943</v>
      </c>
      <c r="E11585" s="23" t="s">
        <v>944</v>
      </c>
      <c r="F11585" s="23" t="s">
        <v>945</v>
      </c>
      <c r="G11585" s="23" t="s">
        <v>946</v>
      </c>
      <c r="H11585" s="23" t="s">
        <v>947</v>
      </c>
      <c r="I11585" s="23" t="s">
        <v>948</v>
      </c>
      <c r="J11585" s="23" t="s">
        <v>949</v>
      </c>
      <c r="K11585" s="23" t="s">
        <v>950</v>
      </c>
      <c r="L11585" s="4" t="s">
        <v>47</v>
      </c>
    </row>
    <row r="11586" customFormat="false" ht="17.15" hidden="false" customHeight="false" outlineLevel="0" collapsed="false">
      <c r="A11586" s="0" t="s">
        <v>1025</v>
      </c>
      <c r="B11586" s="0" t="s">
        <v>98</v>
      </c>
      <c r="D11586" s="6" t="n">
        <f aca="false">Sens!D11564</f>
        <v>12.9359794422418</v>
      </c>
      <c r="E11586" s="6" t="n">
        <f aca="false">Sens!E11564</f>
        <v>27.8095064661409</v>
      </c>
      <c r="F11586" s="6" t="n">
        <f aca="false">Sens!F11564</f>
        <v>59.1034165651511</v>
      </c>
      <c r="G11586" s="6" t="n">
        <f aca="false">Sens!G11564</f>
        <v>103.451498789198</v>
      </c>
      <c r="H11586" s="6" t="n">
        <f aca="false">Sens!H11564</f>
        <v>153.816719989035</v>
      </c>
      <c r="I11586" s="6" t="n">
        <f aca="false">Sens!I11564</f>
        <v>192.699478690852</v>
      </c>
      <c r="J11586" s="6" t="n">
        <f aca="false">Sens!J11564</f>
        <v>219.794102584244</v>
      </c>
      <c r="K11586" s="6" t="n">
        <f aca="false">Sens!K11564</f>
        <v>236.757046905022</v>
      </c>
    </row>
    <row r="11587" customFormat="false" ht="17.15" hidden="false" customHeight="false" outlineLevel="0" collapsed="false">
      <c r="A11587" s="0" t="s">
        <v>1026</v>
      </c>
      <c r="B11587" s="0" t="s">
        <v>98</v>
      </c>
      <c r="D11587" s="6" t="n">
        <f aca="false">Q!L6-Sens!D11586</f>
        <v>59.6740205577583</v>
      </c>
      <c r="E11587" s="6" t="n">
        <f aca="false">Q!M6-Sens!E11586</f>
        <v>74.1284935338591</v>
      </c>
      <c r="F11587" s="6" t="n">
        <f aca="false">Q!$I$6+(Sens!F11586+Sens!E11587*(1+Sens!F11588))*(1-Q!$E$6/Q!M6)-Sens!F11586</f>
        <v>90.4866018070994</v>
      </c>
      <c r="G11587" s="6" t="n">
        <f aca="false">Sens!F11587*(1+Sens!G11588)</f>
        <v>107.511588557154</v>
      </c>
      <c r="H11587" s="6" t="n">
        <f aca="false">Sens!G11587*(1+Sens!H11588)</f>
        <v>124.832989325489</v>
      </c>
      <c r="I11587" s="6" t="n">
        <f aca="false">Sens!H11587*(1+Sens!I11588)</f>
        <v>141.56992589148</v>
      </c>
      <c r="J11587" s="6" t="n">
        <f aca="false">Sens!I11587*(1+Sens!J11588)</f>
        <v>156.723190479428</v>
      </c>
      <c r="K11587" s="6" t="n">
        <f aca="false">Sens!J11587*(1+Sens!K11588)</f>
        <v>169.261045717783</v>
      </c>
      <c r="L11587" s="12" t="s">
        <v>1027</v>
      </c>
    </row>
    <row r="11588" customFormat="false" ht="15" hidden="false" customHeight="false" outlineLevel="0" collapsed="false">
      <c r="A11588" s="1" t="s">
        <v>1028</v>
      </c>
      <c r="B11588" s="0" t="s">
        <v>168</v>
      </c>
      <c r="E11588" s="7" t="n">
        <f aca="false">Sens!E11587/Sens!D11587-1</f>
        <v>0.242223883039864</v>
      </c>
      <c r="F11588" s="7" t="n">
        <f aca="false">Sens!$E$11588+(glt_azo-Sens!$E$11588)*MIN(1,(Sens!F11545-base_fy)/n_conv)</f>
        <v>0.215186569199887</v>
      </c>
      <c r="G11588" s="7" t="n">
        <f aca="false">Sens!$E$11588+(glt_azo-Sens!$E$11588)*MIN(1,(Sens!G11545-base_fy)/n_conv)</f>
        <v>0.18814925535991</v>
      </c>
      <c r="H11588" s="7" t="n">
        <f aca="false">Sens!$E$11588+(glt_azo-Sens!$E$11588)*MIN(1,(Sens!H11545-base_fy)/n_conv)</f>
        <v>0.161111941519932</v>
      </c>
      <c r="I11588" s="7" t="n">
        <f aca="false">Sens!$E$11588+(glt_azo-Sens!$E$11588)*MIN(1,(Sens!I11545-base_fy)/n_conv)</f>
        <v>0.134074627679955</v>
      </c>
      <c r="J11588" s="7" t="n">
        <f aca="false">Sens!$E$11588+(glt_azo-Sens!$E$11588)*MIN(1,(Sens!J11545-base_fy)/n_conv)</f>
        <v>0.107037313839977</v>
      </c>
      <c r="K11588" s="7" t="n">
        <f aca="false">Sens!$E$11588+(glt_azo-Sens!$E$11588)*MIN(1,(Sens!K11545-base_fy)/n_conv)</f>
        <v>0.08</v>
      </c>
    </row>
    <row r="11589" customFormat="false" ht="15" hidden="false" customHeight="false" outlineLevel="0" collapsed="false">
      <c r="A11589" s="0" t="s">
        <v>1029</v>
      </c>
      <c r="B11589" s="0" t="s">
        <v>98</v>
      </c>
      <c r="D11589" s="6" t="n">
        <f aca="false">Sens!D11586+Sens!D11587</f>
        <v>72.61</v>
      </c>
      <c r="E11589" s="6" t="n">
        <f aca="false">Sens!E11586+Sens!E11587</f>
        <v>101.938</v>
      </c>
      <c r="F11589" s="6" t="n">
        <f aca="false">Sens!F11586+Sens!F11587</f>
        <v>149.59001837225</v>
      </c>
      <c r="G11589" s="6" t="n">
        <f aca="false">Sens!G11586+Sens!G11587</f>
        <v>210.963087346352</v>
      </c>
      <c r="H11589" s="6" t="n">
        <f aca="false">Sens!H11586+Sens!H11587</f>
        <v>278.649709314524</v>
      </c>
      <c r="I11589" s="6" t="n">
        <f aca="false">Sens!I11586+Sens!I11587</f>
        <v>334.269404582332</v>
      </c>
      <c r="J11589" s="6" t="n">
        <f aca="false">Sens!J11586+Sens!J11587</f>
        <v>376.517293063672</v>
      </c>
      <c r="K11589" s="6" t="n">
        <f aca="false">Sens!K11586+Sens!K11587</f>
        <v>406.018092622804</v>
      </c>
    </row>
    <row r="11590" customFormat="false" ht="17.15" hidden="false" customHeight="false" outlineLevel="0" collapsed="false">
      <c r="A11590" s="0" t="s">
        <v>1030</v>
      </c>
      <c r="B11590" s="1" t="s">
        <v>613</v>
      </c>
      <c r="C11590" s="30" t="n">
        <f aca="false">cop_s24</f>
        <v>1</v>
      </c>
      <c r="D11590" s="30" t="n">
        <f aca="false">cop_s25</f>
        <v>5</v>
      </c>
      <c r="E11590" s="30" t="n">
        <f aca="false">cop_s26</f>
        <v>30</v>
      </c>
      <c r="F11590" s="30" t="n">
        <f aca="false">Sens!E11590+cop_add_A</f>
        <v>60</v>
      </c>
      <c r="G11590" s="30" t="n">
        <f aca="false">Sens!F11590+cop_add_A</f>
        <v>90</v>
      </c>
      <c r="H11590" s="30" t="n">
        <f aca="false">Sens!G11590+cop_add_A</f>
        <v>120</v>
      </c>
      <c r="I11590" s="30" t="n">
        <f aca="false">Sens!H11590+cop_add_A*cop_tail</f>
        <v>135</v>
      </c>
      <c r="J11590" s="30" t="n">
        <f aca="false">Sens!I11590+cop_add_A*cop_tail</f>
        <v>150</v>
      </c>
      <c r="K11590" s="30" t="n">
        <f aca="false">Sens!J11590+cop_add_A*cop_tail</f>
        <v>165</v>
      </c>
      <c r="L11590" s="12" t="s">
        <v>1031</v>
      </c>
    </row>
    <row r="11591" customFormat="false" ht="17.15" hidden="false" customHeight="false" outlineLevel="0" collapsed="false">
      <c r="A11591" s="0" t="s">
        <v>1032</v>
      </c>
      <c r="B11591" s="0" t="s">
        <v>98</v>
      </c>
      <c r="D11591" s="6" t="n">
        <f aca="false">(Sens!C11590+Sens!D11590)/2*cop_px*12/1000</f>
        <v>0.9</v>
      </c>
      <c r="E11591" s="6" t="n">
        <f aca="false">(Sens!D11590+Sens!E11590)/2*cop_px*12/1000</f>
        <v>5.25</v>
      </c>
      <c r="F11591" s="6" t="n">
        <f aca="false">(Sens!E11590+Sens!F11590)/2*cop_px*12/1000</f>
        <v>13.5</v>
      </c>
      <c r="G11591" s="6" t="n">
        <f aca="false">(Sens!F11590+Sens!G11590)/2*cop_px*12/1000</f>
        <v>22.5</v>
      </c>
      <c r="H11591" s="6" t="n">
        <f aca="false">(Sens!G11590+Sens!H11590)/2*cop_px*12/1000</f>
        <v>31.5</v>
      </c>
      <c r="I11591" s="6" t="n">
        <f aca="false">(Sens!H11590+Sens!I11590)/2*cop_px*12/1000</f>
        <v>38.25</v>
      </c>
      <c r="J11591" s="6" t="n">
        <f aca="false">(Sens!I11590+Sens!J11590)/2*cop_px*12/1000</f>
        <v>42.75</v>
      </c>
      <c r="K11591" s="6" t="n">
        <f aca="false">(Sens!J11590+Sens!K11590)/2*cop_px*12/1000</f>
        <v>47.25</v>
      </c>
      <c r="L11591" s="1" t="s">
        <v>1033</v>
      </c>
    </row>
    <row r="11592" customFormat="false" ht="17.15" hidden="false" customHeight="false" outlineLevel="0" collapsed="false">
      <c r="A11592" s="0" t="s">
        <v>1034</v>
      </c>
      <c r="B11592" s="0" t="s">
        <v>98</v>
      </c>
      <c r="D11592" s="6" t="n">
        <f aca="false">Q!L7-Sens!D11591</f>
        <v>83.705</v>
      </c>
      <c r="E11592" s="6" t="n">
        <f aca="false">Q!M7-Sens!E11591</f>
        <v>95.049</v>
      </c>
      <c r="F11592" s="6" t="n">
        <f aca="false">Q!$I$7+(Sens!E11592*(1+Sens!F11593)+Sens!F11591)*(1-Q!$E$7/Q!M7)-Sens!F11591</f>
        <v>106.229653205718</v>
      </c>
      <c r="G11592" s="6" t="n">
        <f aca="false">Sens!F11592*(1+Sens!G11593)</f>
        <v>118.306092647576</v>
      </c>
      <c r="H11592" s="6" t="n">
        <f aca="false">Sens!G11592*(1+Sens!H11593)</f>
        <v>130.463437602768</v>
      </c>
      <c r="I11592" s="6" t="n">
        <f aca="false">Sens!H11592*(1+Sens!I11593)</f>
        <v>142.445354741933</v>
      </c>
      <c r="J11592" s="6" t="n">
        <f aca="false">Sens!I11592*(1+Sens!J11593)</f>
        <v>153.972117481571</v>
      </c>
      <c r="K11592" s="6" t="n">
        <f aca="false">Sens!J11592*(1+Sens!K11593)</f>
        <v>164.75016570528</v>
      </c>
      <c r="L11592" s="12" t="s">
        <v>1035</v>
      </c>
    </row>
    <row r="11593" customFormat="false" ht="15" hidden="false" customHeight="false" outlineLevel="0" collapsed="false">
      <c r="A11593" s="1" t="s">
        <v>1028</v>
      </c>
      <c r="B11593" s="0" t="s">
        <v>168</v>
      </c>
      <c r="E11593" s="7" t="n">
        <f aca="false">Sens!E11592/Sens!D11592-1</f>
        <v>0.135523564900544</v>
      </c>
      <c r="F11593" s="7" t="n">
        <f aca="false">Sens!$E$11593+(glt_m365b-Sens!$E$11593)*MIN(1,(Sens!F11545-base_fy)/n_conv)</f>
        <v>0.124602970750453</v>
      </c>
      <c r="G11593" s="7" t="n">
        <f aca="false">Sens!$E$11593+(glt_m365b-Sens!$E$11593)*MIN(1,(Sens!G11545-base_fy)/n_conv)</f>
        <v>0.113682376600363</v>
      </c>
      <c r="H11593" s="7" t="n">
        <f aca="false">Sens!$E$11593+(glt_m365b-Sens!$E$11593)*MIN(1,(Sens!H11545-base_fy)/n_conv)</f>
        <v>0.102761782450272</v>
      </c>
      <c r="I11593" s="7" t="n">
        <f aca="false">Sens!$E$11593+(glt_m365b-Sens!$E$11593)*MIN(1,(Sens!I11545-base_fy)/n_conv)</f>
        <v>0.0918411883001813</v>
      </c>
      <c r="J11593" s="7" t="n">
        <f aca="false">Sens!$E$11593+(glt_m365b-Sens!$E$11593)*MIN(1,(Sens!J11545-base_fy)/n_conv)</f>
        <v>0.0809205941500906</v>
      </c>
      <c r="K11593" s="7" t="n">
        <f aca="false">Sens!$E$11593+(glt_m365b-Sens!$E$11593)*MIN(1,(Sens!K11545-base_fy)/n_conv)</f>
        <v>0.07</v>
      </c>
    </row>
    <row r="11594" customFormat="false" ht="15" hidden="false" customHeight="false" outlineLevel="0" collapsed="false">
      <c r="A11594" s="0" t="s">
        <v>1036</v>
      </c>
      <c r="B11594" s="0" t="s">
        <v>98</v>
      </c>
      <c r="D11594" s="6" t="n">
        <f aca="false">Sens!D11592+Sens!D11591</f>
        <v>84.605</v>
      </c>
      <c r="E11594" s="6" t="n">
        <f aca="false">Sens!E11592+Sens!E11591</f>
        <v>100.299</v>
      </c>
      <c r="F11594" s="6" t="n">
        <f aca="false">Sens!F11592+Sens!F11591</f>
        <v>119.729653205718</v>
      </c>
      <c r="G11594" s="6" t="n">
        <f aca="false">Sens!G11592+Sens!G11591</f>
        <v>140.806092647576</v>
      </c>
      <c r="H11594" s="6" t="n">
        <f aca="false">Sens!H11592+Sens!H11591</f>
        <v>161.963437602768</v>
      </c>
      <c r="I11594" s="6" t="n">
        <f aca="false">Sens!I11592+Sens!I11591</f>
        <v>180.695354741933</v>
      </c>
      <c r="J11594" s="6" t="n">
        <f aca="false">Sens!J11592+Sens!J11591</f>
        <v>196.722117481571</v>
      </c>
      <c r="K11594" s="6" t="n">
        <f aca="false">Sens!K11592+Sens!K11591</f>
        <v>212.00016570528</v>
      </c>
    </row>
    <row r="11595" customFormat="false" ht="17.15" hidden="false" customHeight="false" outlineLevel="0" collapsed="false">
      <c r="A11595" s="0" t="s">
        <v>1037</v>
      </c>
      <c r="B11595" s="0" t="s">
        <v>98</v>
      </c>
      <c r="D11595" s="6" t="n">
        <f aca="false">Q!L8</f>
        <v>35.391</v>
      </c>
      <c r="E11595" s="6" t="n">
        <f aca="false">Q!M8</f>
        <v>37.285</v>
      </c>
      <c r="F11595" s="6" t="n">
        <f aca="false">Q!$I$8+(Q!M8-Q!$E$8)*(1+Sens!F11596)</f>
        <v>38.3851437782675</v>
      </c>
      <c r="G11595" s="6" t="n">
        <f aca="false">Sens!F11595*(1+Sens!G11596)</f>
        <v>40.0105353288615</v>
      </c>
      <c r="H11595" s="6" t="n">
        <f aca="false">Sens!G11595*(1+Sens!H11596)</f>
        <v>41.4812512033683</v>
      </c>
      <c r="I11595" s="6" t="n">
        <f aca="false">Sens!H11595*(1+Sens!I11596)</f>
        <v>42.7743107216329</v>
      </c>
      <c r="J11595" s="6" t="n">
        <f aca="false">Sens!I11595*(1+Sens!J11596)</f>
        <v>43.8687373064601</v>
      </c>
      <c r="K11595" s="6" t="n">
        <f aca="false">Sens!J11595*(1+Sens!K11596)</f>
        <v>44.7461120525893</v>
      </c>
      <c r="L11595" s="12" t="s">
        <v>1038</v>
      </c>
    </row>
    <row r="11596" customFormat="false" ht="15" hidden="false" customHeight="false" outlineLevel="0" collapsed="false">
      <c r="A11596" s="1" t="s">
        <v>1028</v>
      </c>
      <c r="B11596" s="0" t="s">
        <v>168</v>
      </c>
      <c r="E11596" s="7" t="n">
        <f aca="false">Sens!E11595/Sens!D11595-1</f>
        <v>0.0535164307309768</v>
      </c>
      <c r="F11596" s="7" t="n">
        <f aca="false">Sens!$E$11596+(glt_lic-Sens!$E$11596)*MIN(1,(Sens!F11545-base_fy)/n_conv)</f>
        <v>0.0479303589424807</v>
      </c>
      <c r="G11596" s="7" t="n">
        <f aca="false">Sens!$E$11596+(glt_lic-Sens!$E$11596)*MIN(1,(Sens!G11545-base_fy)/n_conv)</f>
        <v>0.0423442871539845</v>
      </c>
      <c r="H11596" s="7" t="n">
        <f aca="false">Sens!$E$11596+(glt_lic-Sens!$E$11596)*MIN(1,(Sens!H11545-base_fy)/n_conv)</f>
        <v>0.0367582153654884</v>
      </c>
      <c r="I11596" s="7" t="n">
        <f aca="false">Sens!$E$11596+(glt_lic-Sens!$E$11596)*MIN(1,(Sens!I11545-base_fy)/n_conv)</f>
        <v>0.0311721435769923</v>
      </c>
      <c r="J11596" s="7" t="n">
        <f aca="false">Sens!$E$11596+(glt_lic-Sens!$E$11596)*MIN(1,(Sens!J11545-base_fy)/n_conv)</f>
        <v>0.0255860717884961</v>
      </c>
      <c r="K11596" s="7" t="n">
        <f aca="false">Sens!$E$11596+(glt_lic-Sens!$E$11596)*MIN(1,(Sens!K11545-base_fy)/n_conv)</f>
        <v>0.02</v>
      </c>
    </row>
    <row r="11597" customFormat="false" ht="17.15" hidden="false" customHeight="false" outlineLevel="0" collapsed="false">
      <c r="A11597" s="0" t="s">
        <v>1039</v>
      </c>
      <c r="B11597" s="0" t="s">
        <v>98</v>
      </c>
      <c r="D11597" s="6" t="n">
        <f aca="false">Q!L9</f>
        <v>18.417</v>
      </c>
      <c r="E11597" s="6" t="n">
        <f aca="false">Q!M9</f>
        <v>20.345</v>
      </c>
      <c r="F11597" s="6" t="n">
        <f aca="false">Q!$I$9+(Q!M9-Q!$E$9)*(1+Sens!F11598)</f>
        <v>22.3161797133988</v>
      </c>
      <c r="G11597" s="6" t="n">
        <f aca="false">Sens!F11597*(1+Sens!G11598)</f>
        <v>24.3943499673233</v>
      </c>
      <c r="H11597" s="6" t="n">
        <f aca="false">Sens!G11597*(1+Sens!H11598)</f>
        <v>26.5250243109019</v>
      </c>
      <c r="I11597" s="6" t="n">
        <f aca="false">Sens!H11597*(1+Sens!I11598)</f>
        <v>28.6884573538181</v>
      </c>
      <c r="J11597" s="6" t="n">
        <f aca="false">Sens!I11597*(1+Sens!J11598)</f>
        <v>30.8624968052127</v>
      </c>
      <c r="K11597" s="6" t="n">
        <f aca="false">Sens!J11597*(1+Sens!K11598)</f>
        <v>33.0228715815776</v>
      </c>
      <c r="L11597" s="12" t="s">
        <v>1038</v>
      </c>
    </row>
    <row r="11598" customFormat="false" ht="15" hidden="false" customHeight="false" outlineLevel="0" collapsed="false">
      <c r="A11598" s="1" t="s">
        <v>1028</v>
      </c>
      <c r="B11598" s="0" t="s">
        <v>168</v>
      </c>
      <c r="E11598" s="7" t="n">
        <f aca="false">Sens!E11597/Sens!D11597-1</f>
        <v>0.104685888038225</v>
      </c>
      <c r="F11598" s="7" t="n">
        <f aca="false">Sens!$E$11598+(glt_ind-Sens!$E$11598)*MIN(1,(Sens!F11545-base_fy)/n_conv)</f>
        <v>0.0989049066985211</v>
      </c>
      <c r="G11598" s="7" t="n">
        <f aca="false">Sens!$E$11598+(glt_ind-Sens!$E$11598)*MIN(1,(Sens!G11545-base_fy)/n_conv)</f>
        <v>0.0931239253588169</v>
      </c>
      <c r="H11598" s="7" t="n">
        <f aca="false">Sens!$E$11598+(glt_ind-Sens!$E$11598)*MIN(1,(Sens!H11545-base_fy)/n_conv)</f>
        <v>0.0873429440191127</v>
      </c>
      <c r="I11598" s="7" t="n">
        <f aca="false">Sens!$E$11598+(glt_ind-Sens!$E$11598)*MIN(1,(Sens!I11545-base_fy)/n_conv)</f>
        <v>0.0815619626794085</v>
      </c>
      <c r="J11598" s="7" t="n">
        <f aca="false">Sens!$E$11598+(glt_ind-Sens!$E$11598)*MIN(1,(Sens!J11545-base_fy)/n_conv)</f>
        <v>0.0757809813397042</v>
      </c>
      <c r="K11598" s="7" t="n">
        <f aca="false">Sens!$E$11598+(glt_ind-Sens!$E$11598)*MIN(1,(Sens!K11545-base_fy)/n_conv)</f>
        <v>0.07</v>
      </c>
    </row>
    <row r="11599" customFormat="false" ht="17.15" hidden="false" customHeight="false" outlineLevel="0" collapsed="false">
      <c r="A11599" s="0" t="s">
        <v>1040</v>
      </c>
      <c r="B11599" s="0" t="s">
        <v>98</v>
      </c>
      <c r="D11599" s="6" t="n">
        <f aca="false">Q!L10</f>
        <v>7.76</v>
      </c>
      <c r="E11599" s="6" t="n">
        <f aca="false">Q!M10</f>
        <v>8.26</v>
      </c>
      <c r="F11599" s="6" t="n">
        <f aca="false">Q!$I$10+(Q!M10-Q!$E$10)*(1+Sens!F11600)</f>
        <v>8.75372082474227</v>
      </c>
      <c r="G11599" s="6" t="n">
        <f aca="false">Sens!F11599*(1+Sens!G11600)</f>
        <v>9.33399324642364</v>
      </c>
      <c r="H11599" s="6" t="n">
        <f aca="false">Sens!G11599*(1+Sens!H11600)</f>
        <v>9.96139155535851</v>
      </c>
      <c r="I11599" s="6" t="n">
        <f aca="false">Sens!H11599*(1+Sens!I11600)</f>
        <v>10.6402039077391</v>
      </c>
      <c r="J11599" s="6" t="n">
        <f aca="false">Sens!I11599*(1+Sens!J11600)</f>
        <v>11.3751458271397</v>
      </c>
      <c r="K11599" s="6" t="n">
        <f aca="false">Sens!J11599*(1+Sens!K11600)</f>
        <v>12.1714060350394</v>
      </c>
      <c r="L11599" s="12" t="s">
        <v>1038</v>
      </c>
    </row>
    <row r="11600" customFormat="false" ht="15" hidden="false" customHeight="false" outlineLevel="0" collapsed="false">
      <c r="A11600" s="1" t="s">
        <v>1028</v>
      </c>
      <c r="B11600" s="0" t="s">
        <v>168</v>
      </c>
      <c r="E11600" s="7" t="n">
        <f aca="false">Sens!E11599/Sens!D11599-1</f>
        <v>0.0644329896907216</v>
      </c>
      <c r="F11600" s="7" t="n">
        <f aca="false">Sens!$E$11600+(glt_fro-Sens!$E$11600)*MIN(1,(Sens!F11545-base_fy)/n_conv)</f>
        <v>0.065360824742268</v>
      </c>
      <c r="G11600" s="7" t="n">
        <f aca="false">Sens!$E$11600+(glt_fro-Sens!$E$11600)*MIN(1,(Sens!G11545-base_fy)/n_conv)</f>
        <v>0.0662886597938144</v>
      </c>
      <c r="H11600" s="7" t="n">
        <f aca="false">Sens!$E$11600+(glt_fro-Sens!$E$11600)*MIN(1,(Sens!H11545-base_fy)/n_conv)</f>
        <v>0.0672164948453608</v>
      </c>
      <c r="I11600" s="7" t="n">
        <f aca="false">Sens!$E$11600+(glt_fro-Sens!$E$11600)*MIN(1,(Sens!I11545-base_fy)/n_conv)</f>
        <v>0.0681443298969072</v>
      </c>
      <c r="J11600" s="7" t="n">
        <f aca="false">Sens!$E$11600+(glt_fro-Sens!$E$11600)*MIN(1,(Sens!J11545-base_fy)/n_conv)</f>
        <v>0.0690721649484536</v>
      </c>
      <c r="K11600" s="7" t="n">
        <f aca="false">Sens!$E$11600+(glt_fro-Sens!$E$11600)*MIN(1,(Sens!K11545-base_fy)/n_conv)</f>
        <v>0.07</v>
      </c>
    </row>
    <row r="11601" customFormat="false" ht="15" hidden="false" customHeight="false" outlineLevel="0" collapsed="false">
      <c r="A11601" s="0" t="s">
        <v>856</v>
      </c>
      <c r="B11601" s="0" t="s">
        <v>98</v>
      </c>
      <c r="D11601" s="6" t="n">
        <f aca="false">Sens!D11589+Sens!D11594+Sens!D11595+Sens!D11597+Sens!D11599</f>
        <v>218.783</v>
      </c>
      <c r="E11601" s="6" t="n">
        <f aca="false">Sens!E11589+Sens!E11594+Sens!E11595+Sens!E11597+Sens!E11599</f>
        <v>268.127</v>
      </c>
      <c r="F11601" s="6" t="n">
        <f aca="false">Sens!F11589+Sens!F11594+Sens!F11595+Sens!F11597+Sens!F11599</f>
        <v>338.774715894377</v>
      </c>
      <c r="G11601" s="6" t="n">
        <f aca="false">Sens!G11589+Sens!G11594+Sens!G11595+Sens!G11597+Sens!G11599</f>
        <v>425.508058536537</v>
      </c>
      <c r="H11601" s="6" t="n">
        <f aca="false">Sens!H11589+Sens!H11594+Sens!H11595+Sens!H11597+Sens!H11599</f>
        <v>518.580813986921</v>
      </c>
      <c r="I11601" s="6" t="n">
        <f aca="false">Sens!I11589+Sens!I11594+Sens!I11595+Sens!I11597+Sens!I11599</f>
        <v>597.067731307455</v>
      </c>
      <c r="J11601" s="6" t="n">
        <f aca="false">Sens!J11589+Sens!J11594+Sens!J11595+Sens!J11597+Sens!J11599</f>
        <v>659.345790484055</v>
      </c>
      <c r="K11601" s="6" t="n">
        <f aca="false">Sens!K11589+Sens!K11594+Sens!K11595+Sens!K11597+Sens!K11599</f>
        <v>707.958647997291</v>
      </c>
    </row>
    <row r="11602" customFormat="false" ht="17.15" hidden="false" customHeight="false" outlineLevel="0" collapsed="false">
      <c r="A11602" s="0" t="s">
        <v>1041</v>
      </c>
      <c r="B11602" s="0" t="s">
        <v>98</v>
      </c>
      <c r="D11602" s="6" t="n">
        <f aca="false">Q!L13</f>
        <v>22.171</v>
      </c>
      <c r="E11602" s="6" t="n">
        <f aca="false">Q!M13</f>
        <v>24.835</v>
      </c>
      <c r="F11602" s="6" t="n">
        <f aca="false">Q!$I$13+(Q!M13-Q!$E$13)*(1+Sens!F11603)</f>
        <v>27.5591895660247</v>
      </c>
      <c r="G11602" s="6" t="n">
        <f aca="false">Sens!F11602*(1+Sens!G11603)</f>
        <v>30.4098563144583</v>
      </c>
      <c r="H11602" s="6" t="n">
        <f aca="false">Sens!G11602*(1+Sens!H11603)</f>
        <v>33.3011792571777</v>
      </c>
      <c r="I11602" s="6" t="n">
        <f aca="false">Sens!H11602*(1+Sens!I11603)</f>
        <v>36.189023797112</v>
      </c>
      <c r="J11602" s="6" t="n">
        <f aca="false">Sens!I11602*(1+Sens!J11603)</f>
        <v>39.0247773769199</v>
      </c>
      <c r="K11602" s="6" t="n">
        <f aca="false">Sens!J11602*(1+Sens!K11603)</f>
        <v>41.7565117933043</v>
      </c>
      <c r="L11602" s="12" t="s">
        <v>1038</v>
      </c>
    </row>
    <row r="11603" customFormat="false" ht="15" hidden="false" customHeight="false" outlineLevel="0" collapsed="false">
      <c r="A11603" s="1" t="s">
        <v>1028</v>
      </c>
      <c r="B11603" s="0" t="s">
        <v>168</v>
      </c>
      <c r="E11603" s="7" t="n">
        <f aca="false">Sens!E11602/Sens!D11602-1</f>
        <v>0.120156961796942</v>
      </c>
      <c r="F11603" s="7" t="n">
        <f aca="false">Sens!$E$11603+(glt_srch-Sens!$E$11603)*MIN(1,(Sens!F11545-base_fy)/n_conv)</f>
        <v>0.111797468164118</v>
      </c>
      <c r="G11603" s="7" t="n">
        <f aca="false">Sens!$E$11603+(glt_srch-Sens!$E$11603)*MIN(1,(Sens!G11545-base_fy)/n_conv)</f>
        <v>0.103437974531295</v>
      </c>
      <c r="H11603" s="7" t="n">
        <f aca="false">Sens!$E$11603+(glt_srch-Sens!$E$11603)*MIN(1,(Sens!H11545-base_fy)/n_conv)</f>
        <v>0.095078480898471</v>
      </c>
      <c r="I11603" s="7" t="n">
        <f aca="false">Sens!$E$11603+(glt_srch-Sens!$E$11603)*MIN(1,(Sens!I11545-base_fy)/n_conv)</f>
        <v>0.0867189872656474</v>
      </c>
      <c r="J11603" s="7" t="n">
        <f aca="false">Sens!$E$11603+(glt_srch-Sens!$E$11603)*MIN(1,(Sens!J11545-base_fy)/n_conv)</f>
        <v>0.0783594936328237</v>
      </c>
      <c r="K11603" s="7" t="n">
        <f aca="false">Sens!$E$11603+(glt_srch-Sens!$E$11603)*MIN(1,(Sens!K11545-base_fy)/n_conv)</f>
        <v>0.07</v>
      </c>
    </row>
    <row r="11604" customFormat="false" ht="17.15" hidden="false" customHeight="false" outlineLevel="0" collapsed="false">
      <c r="A11604" s="0" t="s">
        <v>1042</v>
      </c>
      <c r="B11604" s="0" t="s">
        <v>98</v>
      </c>
      <c r="D11604" s="6" t="n">
        <f aca="false">Q!L14</f>
        <v>23.455</v>
      </c>
      <c r="E11604" s="6" t="n">
        <f aca="false">Q!M14</f>
        <v>21.79</v>
      </c>
      <c r="F11604" s="6" t="n">
        <f aca="false">Q!$I$14+(Q!M14-Q!$E$14)*(1+Sens!F11605)</f>
        <v>20.6435514375044</v>
      </c>
      <c r="G11604" s="6" t="n">
        <f aca="false">Sens!F11604*(1+Sens!G11605)</f>
        <v>19.5289786205326</v>
      </c>
      <c r="H11604" s="6" t="n">
        <f aca="false">Sens!G11604*(1+Sens!H11605)</f>
        <v>18.6405370670455</v>
      </c>
      <c r="I11604" s="6" t="n">
        <f aca="false">Sens!H11604*(1+Sens!I11605)</f>
        <v>17.950917993743</v>
      </c>
      <c r="J11604" s="6" t="n">
        <f aca="false">Sens!I11604*(1+Sens!J11605)</f>
        <v>17.4393557354192</v>
      </c>
      <c r="K11604" s="6" t="n">
        <f aca="false">Sens!J11604*(1+Sens!K11605)</f>
        <v>17.0905686207108</v>
      </c>
      <c r="L11604" s="12" t="s">
        <v>1038</v>
      </c>
    </row>
    <row r="11605" customFormat="false" ht="15" hidden="false" customHeight="false" outlineLevel="0" collapsed="false">
      <c r="A11605" s="1" t="s">
        <v>1028</v>
      </c>
      <c r="B11605" s="0" t="s">
        <v>168</v>
      </c>
      <c r="E11605" s="7" t="n">
        <f aca="false">Sens!E11604/Sens!D11604-1</f>
        <v>-0.0709869963760392</v>
      </c>
      <c r="F11605" s="7" t="n">
        <f aca="false">Sens!$E$11605+(glt_xbox_lo-Sens!$E$11605)*MIN(1,(Sens!F11545-base_fy)/n_conv)</f>
        <v>-0.0624891636466994</v>
      </c>
      <c r="G11605" s="7" t="n">
        <f aca="false">Sens!$E$11605+(glt_xbox_lo-Sens!$E$11605)*MIN(1,(Sens!G11545-base_fy)/n_conv)</f>
        <v>-0.0539913309173595</v>
      </c>
      <c r="H11605" s="7" t="n">
        <f aca="false">Sens!$E$11605+(glt_xbox_lo-Sens!$E$11605)*MIN(1,(Sens!H11545-base_fy)/n_conv)</f>
        <v>-0.0454934981880196</v>
      </c>
      <c r="I11605" s="7" t="n">
        <f aca="false">Sens!$E$11605+(glt_xbox_lo-Sens!$E$11605)*MIN(1,(Sens!I11545-base_fy)/n_conv)</f>
        <v>-0.0369956654586797</v>
      </c>
      <c r="J11605" s="7" t="n">
        <f aca="false">Sens!$E$11605+(glt_xbox_lo-Sens!$E$11605)*MIN(1,(Sens!J11545-base_fy)/n_conv)</f>
        <v>-0.0284978327293399</v>
      </c>
      <c r="K11605" s="7" t="n">
        <f aca="false">Sens!$E$11605+(glt_xbox_lo-Sens!$E$11605)*MIN(1,(Sens!K11545-base_fy)/n_conv)</f>
        <v>-0.02</v>
      </c>
    </row>
    <row r="11606" customFormat="false" ht="17.15" hidden="false" customHeight="false" outlineLevel="0" collapsed="false">
      <c r="A11606" s="0" t="s">
        <v>1043</v>
      </c>
      <c r="B11606" s="0" t="s">
        <v>98</v>
      </c>
      <c r="D11606" s="6" t="n">
        <f aca="false">Q!L15</f>
        <v>17.315</v>
      </c>
      <c r="E11606" s="6" t="n">
        <f aca="false">Q!M15</f>
        <v>17.087</v>
      </c>
      <c r="F11606" s="6" t="n">
        <f aca="false">Q!$I$15+(Q!M15-Q!$E$15)*(1+Sens!F11607)</f>
        <v>15.9912273250553</v>
      </c>
      <c r="G11606" s="6" t="n">
        <f aca="false">Sens!F11606*(1+Sens!G11607)</f>
        <v>15.9574562664827</v>
      </c>
      <c r="H11606" s="6" t="n">
        <f aca="false">Sens!G11606*(1+Sens!H11607)</f>
        <v>16.0119687434196</v>
      </c>
      <c r="I11606" s="6" t="n">
        <f aca="false">Sens!H11606*(1+Sens!I11607)</f>
        <v>16.1551810001948</v>
      </c>
      <c r="J11606" s="6" t="n">
        <f aca="false">Sens!I11606*(1+Sens!J11607)</f>
        <v>16.3889793892005</v>
      </c>
      <c r="K11606" s="6" t="n">
        <f aca="false">Sens!J11606*(1+Sens!K11607)</f>
        <v>16.7167589769845</v>
      </c>
      <c r="L11606" s="12" t="s">
        <v>1038</v>
      </c>
    </row>
    <row r="11607" customFormat="false" ht="15" hidden="false" customHeight="false" outlineLevel="0" collapsed="false">
      <c r="A11607" s="1" t="s">
        <v>1028</v>
      </c>
      <c r="B11607" s="0" t="s">
        <v>168</v>
      </c>
      <c r="E11607" s="7" t="n">
        <f aca="false">Sens!E11606/Sens!D11606-1</f>
        <v>-0.0131677736066995</v>
      </c>
      <c r="F11607" s="7" t="n">
        <f aca="false">Sens!$E$11607+(glt_win-Sens!$E$11607)*MIN(1,(Sens!F11545-base_fy)/n_conv)</f>
        <v>-0.00763981133891627</v>
      </c>
      <c r="G11607" s="7" t="n">
        <f aca="false">Sens!$E$11607+(glt_win-Sens!$E$11607)*MIN(1,(Sens!G11545-base_fy)/n_conv)</f>
        <v>-0.00211184907113301</v>
      </c>
      <c r="H11607" s="7" t="n">
        <f aca="false">Sens!$E$11607+(glt_win-Sens!$E$11607)*MIN(1,(Sens!H11545-base_fy)/n_conv)</f>
        <v>0.00341611319665024</v>
      </c>
      <c r="I11607" s="7" t="n">
        <f aca="false">Sens!$E$11607+(glt_win-Sens!$E$11607)*MIN(1,(Sens!I11545-base_fy)/n_conv)</f>
        <v>0.00894407546443349</v>
      </c>
      <c r="J11607" s="7" t="n">
        <f aca="false">Sens!$E$11607+(glt_win-Sens!$E$11607)*MIN(1,(Sens!J11545-base_fy)/n_conv)</f>
        <v>0.0144720377322168</v>
      </c>
      <c r="K11607" s="7" t="n">
        <f aca="false">Sens!$E$11607+(glt_win-Sens!$E$11607)*MIN(1,(Sens!K11545-base_fy)/n_conv)</f>
        <v>0.02</v>
      </c>
    </row>
    <row r="11608" customFormat="false" ht="15" hidden="false" customHeight="false" outlineLevel="0" collapsed="false">
      <c r="A11608" s="0" t="s">
        <v>870</v>
      </c>
      <c r="B11608" s="0" t="s">
        <v>98</v>
      </c>
      <c r="D11608" s="6" t="n">
        <f aca="false">Sens!D11602+Sens!D11604+Sens!D11606</f>
        <v>62.941</v>
      </c>
      <c r="E11608" s="6" t="n">
        <f aca="false">Sens!E11602+Sens!E11604+Sens!E11606</f>
        <v>63.712</v>
      </c>
      <c r="F11608" s="6" t="n">
        <f aca="false">Sens!F11602+Sens!F11604+Sens!F11606</f>
        <v>64.1939683285845</v>
      </c>
      <c r="G11608" s="6" t="n">
        <f aca="false">Sens!G11602+Sens!G11604+Sens!G11606</f>
        <v>65.8962912014735</v>
      </c>
      <c r="H11608" s="6" t="n">
        <f aca="false">Sens!H11602+Sens!H11604+Sens!H11606</f>
        <v>67.9536850676428</v>
      </c>
      <c r="I11608" s="6" t="n">
        <f aca="false">Sens!I11602+Sens!I11604+Sens!I11606</f>
        <v>70.2951227910498</v>
      </c>
      <c r="J11608" s="6" t="n">
        <f aca="false">Sens!J11602+Sens!J11604+Sens!J11606</f>
        <v>72.8531125015395</v>
      </c>
      <c r="K11608" s="6" t="n">
        <f aca="false">Sens!K11602+Sens!K11604+Sens!K11606</f>
        <v>75.5638393909996</v>
      </c>
    </row>
    <row r="11609" customFormat="false" ht="15" hidden="false" customHeight="false" outlineLevel="0" collapsed="false">
      <c r="A11609" s="1" t="s">
        <v>1044</v>
      </c>
      <c r="B11609" s="0" t="s">
        <v>98</v>
      </c>
      <c r="D11609" s="6" t="n">
        <f aca="false">Sens!D11601+Sens!D11608</f>
        <v>281.724</v>
      </c>
      <c r="E11609" s="6" t="n">
        <f aca="false">Sens!E11601+Sens!E11608</f>
        <v>331.839</v>
      </c>
      <c r="F11609" s="6" t="n">
        <f aca="false">Sens!F11601+Sens!F11608</f>
        <v>402.968684222962</v>
      </c>
      <c r="G11609" s="6" t="n">
        <f aca="false">Sens!G11601+Sens!G11608</f>
        <v>491.40434973801</v>
      </c>
      <c r="H11609" s="6" t="n">
        <f aca="false">Sens!H11601+Sens!H11608</f>
        <v>586.534499054564</v>
      </c>
      <c r="I11609" s="6" t="n">
        <f aca="false">Sens!I11601+Sens!I11608</f>
        <v>667.362854098505</v>
      </c>
      <c r="J11609" s="6" t="n">
        <f aca="false">Sens!J11601+Sens!J11608</f>
        <v>732.198902985594</v>
      </c>
      <c r="K11609" s="6" t="n">
        <f aca="false">Sens!K11601+Sens!K11608</f>
        <v>783.522487388291</v>
      </c>
    </row>
    <row r="11610" customFormat="false" ht="15" hidden="false" customHeight="false" outlineLevel="0" collapsed="false">
      <c r="A11610" s="26" t="s">
        <v>1045</v>
      </c>
      <c r="B11610" s="31" t="s">
        <v>98</v>
      </c>
      <c r="C11610" s="31"/>
      <c r="D11610" s="27" t="n">
        <f aca="false">(Sens!D11589+Sens!D11594+Sens!D11595+Sens!D11597+Sens!D11599-Sens!D11601)+(Sens!D11602+Sens!D11604+Sens!D11606-Sens!D11608)+(Sens!D11601-Q!L5)+(Sens!D11608-Q!L12)+(Sens!D11589-Q!L6)+(Sens!D11594-Q!L7)</f>
        <v>0</v>
      </c>
      <c r="E11610" s="27" t="n">
        <f aca="false">(Sens!E11589+Sens!E11594+Sens!E11595+Sens!E11597+Sens!E11599-Sens!E11601)+(Sens!E11602+Sens!E11604+Sens!E11606-Sens!E11608)+(Sens!E11601-Q!M5)+(Sens!E11608-Q!M12)+(Sens!E11589-Q!M6)+(Sens!E11594-Q!M7)</f>
        <v>0</v>
      </c>
      <c r="F11610" s="27" t="n">
        <f aca="false">(Sens!F11589+Sens!F11594+Sens!F11595+Sens!F11597+Sens!F11599-Sens!F11601)+(Sens!F11602+Sens!F11604+Sens!F11606-Sens!F11608)</f>
        <v>0</v>
      </c>
      <c r="G11610" s="27" t="n">
        <f aca="false">(Sens!G11589+Sens!G11594+Sens!G11595+Sens!G11597+Sens!G11599-Sens!G11601)+(Sens!G11602+Sens!G11604+Sens!G11606-Sens!G11608)</f>
        <v>0</v>
      </c>
      <c r="H11610" s="27" t="n">
        <f aca="false">(Sens!H11589+Sens!H11594+Sens!H11595+Sens!H11597+Sens!H11599-Sens!H11601)+(Sens!H11602+Sens!H11604+Sens!H11606-Sens!H11608)</f>
        <v>0</v>
      </c>
      <c r="I11610" s="27" t="n">
        <f aca="false">(Sens!I11589+Sens!I11594+Sens!I11595+Sens!I11597+Sens!I11599-Sens!I11601)+(Sens!I11602+Sens!I11604+Sens!I11606-Sens!I11608)</f>
        <v>0</v>
      </c>
      <c r="J11610" s="27" t="n">
        <f aca="false">(Sens!J11589+Sens!J11594+Sens!J11595+Sens!J11597+Sens!J11599-Sens!J11601)+(Sens!J11602+Sens!J11604+Sens!J11606-Sens!J11608)</f>
        <v>0</v>
      </c>
      <c r="K11610" s="27" t="n">
        <f aca="false">(Sens!K11589+Sens!K11594+Sens!K11595+Sens!K11597+Sens!K11599-Sens!K11601)+(Sens!K11602+Sens!K11604+Sens!K11606-Sens!K11608)</f>
        <v>0</v>
      </c>
    </row>
    <row r="11611" customFormat="false" ht="17.15" hidden="false" customHeight="false" outlineLevel="0" collapsed="false">
      <c r="A11611" s="3" t="s">
        <v>1902</v>
      </c>
    </row>
    <row r="11612" customFormat="false" ht="15" hidden="false" customHeight="false" outlineLevel="0" collapsed="false">
      <c r="A11612" s="4" t="s">
        <v>43</v>
      </c>
      <c r="B11612" s="4" t="s">
        <v>65</v>
      </c>
      <c r="C11612" s="23" t="s">
        <v>942</v>
      </c>
      <c r="D11612" s="23" t="s">
        <v>943</v>
      </c>
      <c r="E11612" s="23" t="s">
        <v>944</v>
      </c>
      <c r="F11612" s="23" t="s">
        <v>945</v>
      </c>
      <c r="G11612" s="23" t="s">
        <v>946</v>
      </c>
      <c r="H11612" s="23" t="s">
        <v>947</v>
      </c>
      <c r="I11612" s="23" t="s">
        <v>948</v>
      </c>
      <c r="J11612" s="23" t="s">
        <v>949</v>
      </c>
      <c r="K11612" s="23" t="s">
        <v>950</v>
      </c>
      <c r="L11612" s="4" t="s">
        <v>47</v>
      </c>
    </row>
    <row r="11613" customFormat="false" ht="15" hidden="false" customHeight="false" outlineLevel="0" collapsed="false">
      <c r="A11613" s="0" t="s">
        <v>1029</v>
      </c>
      <c r="B11613" s="0" t="s">
        <v>98</v>
      </c>
      <c r="D11613" s="6" t="n">
        <f aca="false">Sens!D11589</f>
        <v>72.61</v>
      </c>
      <c r="E11613" s="6" t="n">
        <f aca="false">Sens!E11589</f>
        <v>101.938</v>
      </c>
      <c r="F11613" s="6" t="n">
        <f aca="false">Sens!F11589</f>
        <v>149.59001837225</v>
      </c>
      <c r="G11613" s="6" t="n">
        <f aca="false">Sens!G11589</f>
        <v>210.963087346352</v>
      </c>
      <c r="H11613" s="6" t="n">
        <f aca="false">Sens!H11589</f>
        <v>278.649709314524</v>
      </c>
      <c r="I11613" s="6" t="n">
        <f aca="false">Sens!I11589</f>
        <v>334.269404582332</v>
      </c>
      <c r="J11613" s="6" t="n">
        <f aca="false">Sens!J11589</f>
        <v>376.517293063672</v>
      </c>
      <c r="K11613" s="6" t="n">
        <f aca="false">Sens!K11589</f>
        <v>406.018092622804</v>
      </c>
    </row>
    <row r="11614" customFormat="false" ht="17.15" hidden="false" customHeight="false" outlineLevel="0" collapsed="false">
      <c r="A11614" s="0" t="s">
        <v>1025</v>
      </c>
      <c r="B11614" s="0" t="s">
        <v>98</v>
      </c>
      <c r="D11614" s="6" t="n">
        <f aca="false">Sens!D11586</f>
        <v>12.9359794422418</v>
      </c>
      <c r="E11614" s="6" t="n">
        <f aca="false">Sens!E11586</f>
        <v>27.8095064661409</v>
      </c>
      <c r="F11614" s="6" t="n">
        <f aca="false">Sens!F11586</f>
        <v>59.1034165651511</v>
      </c>
      <c r="G11614" s="6" t="n">
        <f aca="false">Sens!G11586</f>
        <v>103.451498789198</v>
      </c>
      <c r="H11614" s="6" t="n">
        <f aca="false">Sens!H11586</f>
        <v>153.816719989035</v>
      </c>
      <c r="I11614" s="6" t="n">
        <f aca="false">Sens!I11586</f>
        <v>192.699478690852</v>
      </c>
      <c r="J11614" s="6" t="n">
        <f aca="false">Sens!J11586</f>
        <v>219.794102584244</v>
      </c>
      <c r="K11614" s="6" t="n">
        <f aca="false">Sens!K11586</f>
        <v>236.757046905022</v>
      </c>
    </row>
    <row r="11615" customFormat="false" ht="17.15" hidden="false" customHeight="false" outlineLevel="0" collapsed="false">
      <c r="A11615" s="0" t="s">
        <v>1056</v>
      </c>
      <c r="B11615" s="0" t="s">
        <v>98</v>
      </c>
      <c r="D11615" s="6" t="n">
        <f aca="false">Sens!D11587</f>
        <v>59.6740205577583</v>
      </c>
      <c r="E11615" s="6" t="n">
        <f aca="false">Sens!E11587</f>
        <v>74.1284935338591</v>
      </c>
      <c r="F11615" s="6" t="n">
        <f aca="false">Sens!F11587</f>
        <v>90.4866018070994</v>
      </c>
      <c r="G11615" s="6" t="n">
        <f aca="false">Sens!G11587</f>
        <v>107.511588557154</v>
      </c>
      <c r="H11615" s="6" t="n">
        <f aca="false">Sens!H11587</f>
        <v>124.832989325489</v>
      </c>
      <c r="I11615" s="6" t="n">
        <f aca="false">Sens!I11587</f>
        <v>141.56992589148</v>
      </c>
      <c r="J11615" s="6" t="n">
        <f aca="false">Sens!J11587</f>
        <v>156.723190479428</v>
      </c>
      <c r="K11615" s="6" t="n">
        <f aca="false">Sens!K11587</f>
        <v>169.261045717783</v>
      </c>
    </row>
    <row r="11616" customFormat="false" ht="15" hidden="false" customHeight="false" outlineLevel="0" collapsed="false">
      <c r="A11616" s="0" t="s">
        <v>1036</v>
      </c>
      <c r="B11616" s="0" t="s">
        <v>98</v>
      </c>
      <c r="D11616" s="6" t="n">
        <f aca="false">Sens!D11594</f>
        <v>84.605</v>
      </c>
      <c r="E11616" s="6" t="n">
        <f aca="false">Sens!E11594</f>
        <v>100.299</v>
      </c>
      <c r="F11616" s="6" t="n">
        <f aca="false">Sens!F11594</f>
        <v>119.729653205718</v>
      </c>
      <c r="G11616" s="6" t="n">
        <f aca="false">Sens!G11594</f>
        <v>140.806092647576</v>
      </c>
      <c r="H11616" s="6" t="n">
        <f aca="false">Sens!H11594</f>
        <v>161.963437602768</v>
      </c>
      <c r="I11616" s="6" t="n">
        <f aca="false">Sens!I11594</f>
        <v>180.695354741933</v>
      </c>
      <c r="J11616" s="6" t="n">
        <f aca="false">Sens!J11594</f>
        <v>196.722117481571</v>
      </c>
      <c r="K11616" s="6" t="n">
        <f aca="false">Sens!K11594</f>
        <v>212.00016570528</v>
      </c>
    </row>
    <row r="11617" customFormat="false" ht="17.15" hidden="false" customHeight="false" outlineLevel="0" collapsed="false">
      <c r="A11617" s="0" t="s">
        <v>1057</v>
      </c>
      <c r="B11617" s="0" t="s">
        <v>98</v>
      </c>
      <c r="D11617" s="6" t="n">
        <f aca="false">Sens!D11592</f>
        <v>83.705</v>
      </c>
      <c r="E11617" s="6" t="n">
        <f aca="false">Sens!E11592</f>
        <v>95.049</v>
      </c>
      <c r="F11617" s="6" t="n">
        <f aca="false">Sens!F11592</f>
        <v>106.229653205718</v>
      </c>
      <c r="G11617" s="6" t="n">
        <f aca="false">Sens!G11592</f>
        <v>118.306092647576</v>
      </c>
      <c r="H11617" s="6" t="n">
        <f aca="false">Sens!H11592</f>
        <v>130.463437602768</v>
      </c>
      <c r="I11617" s="6" t="n">
        <f aca="false">Sens!I11592</f>
        <v>142.445354741933</v>
      </c>
      <c r="J11617" s="6" t="n">
        <f aca="false">Sens!J11592</f>
        <v>153.972117481571</v>
      </c>
      <c r="K11617" s="6" t="n">
        <f aca="false">Sens!K11592</f>
        <v>164.75016570528</v>
      </c>
    </row>
    <row r="11618" customFormat="false" ht="17.15" hidden="false" customHeight="false" outlineLevel="0" collapsed="false">
      <c r="A11618" s="0" t="s">
        <v>1058</v>
      </c>
      <c r="B11618" s="0" t="s">
        <v>98</v>
      </c>
      <c r="D11618" s="6" t="n">
        <f aca="false">Sens!D11591</f>
        <v>0.9</v>
      </c>
      <c r="E11618" s="6" t="n">
        <f aca="false">Sens!E11591</f>
        <v>5.25</v>
      </c>
      <c r="F11618" s="6" t="n">
        <f aca="false">Sens!F11591</f>
        <v>13.5</v>
      </c>
      <c r="G11618" s="6" t="n">
        <f aca="false">Sens!G11591</f>
        <v>22.5</v>
      </c>
      <c r="H11618" s="6" t="n">
        <f aca="false">Sens!H11591</f>
        <v>31.5</v>
      </c>
      <c r="I11618" s="6" t="n">
        <f aca="false">Sens!I11591</f>
        <v>38.25</v>
      </c>
      <c r="J11618" s="6" t="n">
        <f aca="false">Sens!J11591</f>
        <v>42.75</v>
      </c>
      <c r="K11618" s="6" t="n">
        <f aca="false">Sens!K11591</f>
        <v>47.25</v>
      </c>
    </row>
    <row r="11619" customFormat="false" ht="15" hidden="false" customHeight="false" outlineLevel="0" collapsed="false">
      <c r="A11619" s="0" t="s">
        <v>1037</v>
      </c>
      <c r="B11619" s="0" t="s">
        <v>98</v>
      </c>
      <c r="D11619" s="6" t="n">
        <f aca="false">Sens!D11595</f>
        <v>35.391</v>
      </c>
      <c r="E11619" s="6" t="n">
        <f aca="false">Sens!E11595</f>
        <v>37.285</v>
      </c>
      <c r="F11619" s="6" t="n">
        <f aca="false">Sens!F11595</f>
        <v>38.3851437782675</v>
      </c>
      <c r="G11619" s="6" t="n">
        <f aca="false">Sens!G11595</f>
        <v>40.0105353288615</v>
      </c>
      <c r="H11619" s="6" t="n">
        <f aca="false">Sens!H11595</f>
        <v>41.4812512033683</v>
      </c>
      <c r="I11619" s="6" t="n">
        <f aca="false">Sens!I11595</f>
        <v>42.7743107216329</v>
      </c>
      <c r="J11619" s="6" t="n">
        <f aca="false">Sens!J11595</f>
        <v>43.8687373064601</v>
      </c>
      <c r="K11619" s="6" t="n">
        <f aca="false">Sens!K11595</f>
        <v>44.7461120525893</v>
      </c>
    </row>
    <row r="11620" customFormat="false" ht="15" hidden="false" customHeight="false" outlineLevel="0" collapsed="false">
      <c r="A11620" s="0" t="s">
        <v>1039</v>
      </c>
      <c r="B11620" s="0" t="s">
        <v>98</v>
      </c>
      <c r="D11620" s="6" t="n">
        <f aca="false">Sens!D11597</f>
        <v>18.417</v>
      </c>
      <c r="E11620" s="6" t="n">
        <f aca="false">Sens!E11597</f>
        <v>20.345</v>
      </c>
      <c r="F11620" s="6" t="n">
        <f aca="false">Sens!F11597</f>
        <v>22.3161797133988</v>
      </c>
      <c r="G11620" s="6" t="n">
        <f aca="false">Sens!G11597</f>
        <v>24.3943499673233</v>
      </c>
      <c r="H11620" s="6" t="n">
        <f aca="false">Sens!H11597</f>
        <v>26.5250243109019</v>
      </c>
      <c r="I11620" s="6" t="n">
        <f aca="false">Sens!I11597</f>
        <v>28.6884573538181</v>
      </c>
      <c r="J11620" s="6" t="n">
        <f aca="false">Sens!J11597</f>
        <v>30.8624968052127</v>
      </c>
      <c r="K11620" s="6" t="n">
        <f aca="false">Sens!K11597</f>
        <v>33.0228715815776</v>
      </c>
    </row>
    <row r="11621" customFormat="false" ht="15" hidden="false" customHeight="false" outlineLevel="0" collapsed="false">
      <c r="A11621" s="0" t="s">
        <v>1040</v>
      </c>
      <c r="B11621" s="0" t="s">
        <v>98</v>
      </c>
      <c r="D11621" s="6" t="n">
        <f aca="false">Sens!D11599</f>
        <v>7.76</v>
      </c>
      <c r="E11621" s="6" t="n">
        <f aca="false">Sens!E11599</f>
        <v>8.26</v>
      </c>
      <c r="F11621" s="6" t="n">
        <f aca="false">Sens!F11599</f>
        <v>8.75372082474227</v>
      </c>
      <c r="G11621" s="6" t="n">
        <f aca="false">Sens!G11599</f>
        <v>9.33399324642364</v>
      </c>
      <c r="H11621" s="6" t="n">
        <f aca="false">Sens!H11599</f>
        <v>9.96139155535851</v>
      </c>
      <c r="I11621" s="6" t="n">
        <f aca="false">Sens!I11599</f>
        <v>10.6402039077391</v>
      </c>
      <c r="J11621" s="6" t="n">
        <f aca="false">Sens!J11599</f>
        <v>11.3751458271397</v>
      </c>
      <c r="K11621" s="6" t="n">
        <f aca="false">Sens!K11599</f>
        <v>12.1714060350394</v>
      </c>
    </row>
    <row r="11622" customFormat="false" ht="15" hidden="false" customHeight="false" outlineLevel="0" collapsed="false">
      <c r="A11622" s="0" t="s">
        <v>856</v>
      </c>
      <c r="B11622" s="0" t="s">
        <v>98</v>
      </c>
      <c r="D11622" s="6" t="n">
        <f aca="false">Sens!D11601</f>
        <v>218.783</v>
      </c>
      <c r="E11622" s="6" t="n">
        <f aca="false">Sens!E11601</f>
        <v>268.127</v>
      </c>
      <c r="F11622" s="6" t="n">
        <f aca="false">Sens!F11601</f>
        <v>338.774715894377</v>
      </c>
      <c r="G11622" s="6" t="n">
        <f aca="false">Sens!G11601</f>
        <v>425.508058536537</v>
      </c>
      <c r="H11622" s="6" t="n">
        <f aca="false">Sens!H11601</f>
        <v>518.580813986921</v>
      </c>
      <c r="I11622" s="6" t="n">
        <f aca="false">Sens!I11601</f>
        <v>597.067731307455</v>
      </c>
      <c r="J11622" s="6" t="n">
        <f aca="false">Sens!J11601</f>
        <v>659.345790484055</v>
      </c>
      <c r="K11622" s="6" t="n">
        <f aca="false">Sens!K11601</f>
        <v>707.958647997291</v>
      </c>
    </row>
    <row r="11623" customFormat="false" ht="15" hidden="false" customHeight="false" outlineLevel="0" collapsed="false">
      <c r="A11623" s="0" t="s">
        <v>1041</v>
      </c>
      <c r="B11623" s="0" t="s">
        <v>98</v>
      </c>
      <c r="D11623" s="6" t="n">
        <f aca="false">Sens!D11602</f>
        <v>22.171</v>
      </c>
      <c r="E11623" s="6" t="n">
        <f aca="false">Sens!E11602</f>
        <v>24.835</v>
      </c>
      <c r="F11623" s="6" t="n">
        <f aca="false">Sens!F11602</f>
        <v>27.5591895660247</v>
      </c>
      <c r="G11623" s="6" t="n">
        <f aca="false">Sens!G11602</f>
        <v>30.4098563144583</v>
      </c>
      <c r="H11623" s="6" t="n">
        <f aca="false">Sens!H11602</f>
        <v>33.3011792571777</v>
      </c>
      <c r="I11623" s="6" t="n">
        <f aca="false">Sens!I11602</f>
        <v>36.189023797112</v>
      </c>
      <c r="J11623" s="6" t="n">
        <f aca="false">Sens!J11602</f>
        <v>39.0247773769199</v>
      </c>
      <c r="K11623" s="6" t="n">
        <f aca="false">Sens!K11602</f>
        <v>41.7565117933043</v>
      </c>
    </row>
    <row r="11624" customFormat="false" ht="15" hidden="false" customHeight="false" outlineLevel="0" collapsed="false">
      <c r="A11624" s="0" t="s">
        <v>1042</v>
      </c>
      <c r="B11624" s="0" t="s">
        <v>98</v>
      </c>
      <c r="D11624" s="6" t="n">
        <f aca="false">Sens!D11604</f>
        <v>23.455</v>
      </c>
      <c r="E11624" s="6" t="n">
        <f aca="false">Sens!E11604</f>
        <v>21.79</v>
      </c>
      <c r="F11624" s="6" t="n">
        <f aca="false">Sens!F11604</f>
        <v>20.6435514375044</v>
      </c>
      <c r="G11624" s="6" t="n">
        <f aca="false">Sens!G11604</f>
        <v>19.5289786205326</v>
      </c>
      <c r="H11624" s="6" t="n">
        <f aca="false">Sens!H11604</f>
        <v>18.6405370670455</v>
      </c>
      <c r="I11624" s="6" t="n">
        <f aca="false">Sens!I11604</f>
        <v>17.950917993743</v>
      </c>
      <c r="J11624" s="6" t="n">
        <f aca="false">Sens!J11604</f>
        <v>17.4393557354192</v>
      </c>
      <c r="K11624" s="6" t="n">
        <f aca="false">Sens!K11604</f>
        <v>17.0905686207108</v>
      </c>
    </row>
    <row r="11625" customFormat="false" ht="15" hidden="false" customHeight="false" outlineLevel="0" collapsed="false">
      <c r="A11625" s="0" t="s">
        <v>1043</v>
      </c>
      <c r="B11625" s="0" t="s">
        <v>98</v>
      </c>
      <c r="D11625" s="6" t="n">
        <f aca="false">Sens!D11606</f>
        <v>17.315</v>
      </c>
      <c r="E11625" s="6" t="n">
        <f aca="false">Sens!E11606</f>
        <v>17.087</v>
      </c>
      <c r="F11625" s="6" t="n">
        <f aca="false">Sens!F11606</f>
        <v>15.9912273250553</v>
      </c>
      <c r="G11625" s="6" t="n">
        <f aca="false">Sens!G11606</f>
        <v>15.9574562664827</v>
      </c>
      <c r="H11625" s="6" t="n">
        <f aca="false">Sens!H11606</f>
        <v>16.0119687434196</v>
      </c>
      <c r="I11625" s="6" t="n">
        <f aca="false">Sens!I11606</f>
        <v>16.1551810001948</v>
      </c>
      <c r="J11625" s="6" t="n">
        <f aca="false">Sens!J11606</f>
        <v>16.3889793892005</v>
      </c>
      <c r="K11625" s="6" t="n">
        <f aca="false">Sens!K11606</f>
        <v>16.7167589769845</v>
      </c>
    </row>
    <row r="11626" customFormat="false" ht="15" hidden="false" customHeight="false" outlineLevel="0" collapsed="false">
      <c r="A11626" s="0" t="s">
        <v>870</v>
      </c>
      <c r="B11626" s="0" t="s">
        <v>98</v>
      </c>
      <c r="D11626" s="6" t="n">
        <f aca="false">Sens!D11608</f>
        <v>62.941</v>
      </c>
      <c r="E11626" s="6" t="n">
        <f aca="false">Sens!E11608</f>
        <v>63.712</v>
      </c>
      <c r="F11626" s="6" t="n">
        <f aca="false">Sens!F11608</f>
        <v>64.1939683285845</v>
      </c>
      <c r="G11626" s="6" t="n">
        <f aca="false">Sens!G11608</f>
        <v>65.8962912014735</v>
      </c>
      <c r="H11626" s="6" t="n">
        <f aca="false">Sens!H11608</f>
        <v>67.9536850676428</v>
      </c>
      <c r="I11626" s="6" t="n">
        <f aca="false">Sens!I11608</f>
        <v>70.2951227910498</v>
      </c>
      <c r="J11626" s="6" t="n">
        <f aca="false">Sens!J11608</f>
        <v>72.8531125015395</v>
      </c>
      <c r="K11626" s="6" t="n">
        <f aca="false">Sens!K11608</f>
        <v>75.5638393909996</v>
      </c>
    </row>
    <row r="11627" customFormat="false" ht="15" hidden="false" customHeight="false" outlineLevel="0" collapsed="false">
      <c r="A11627" s="1" t="s">
        <v>1059</v>
      </c>
      <c r="B11627" s="0" t="s">
        <v>98</v>
      </c>
      <c r="D11627" s="6" t="n">
        <f aca="false">Sens!D11609</f>
        <v>281.724</v>
      </c>
      <c r="E11627" s="6" t="n">
        <f aca="false">Sens!E11609</f>
        <v>331.839</v>
      </c>
      <c r="F11627" s="6" t="n">
        <f aca="false">Sens!F11609</f>
        <v>402.968684222962</v>
      </c>
      <c r="G11627" s="6" t="n">
        <f aca="false">Sens!G11609</f>
        <v>491.40434973801</v>
      </c>
      <c r="H11627" s="6" t="n">
        <f aca="false">Sens!H11609</f>
        <v>586.534499054564</v>
      </c>
      <c r="I11627" s="6" t="n">
        <f aca="false">Sens!I11609</f>
        <v>667.362854098505</v>
      </c>
      <c r="J11627" s="6" t="n">
        <f aca="false">Sens!J11609</f>
        <v>732.198902985594</v>
      </c>
      <c r="K11627" s="6" t="n">
        <f aca="false">Sens!K11609</f>
        <v>783.522487388291</v>
      </c>
    </row>
    <row r="11628" customFormat="false" ht="15" hidden="false" customHeight="false" outlineLevel="0" collapsed="false">
      <c r="A11628" s="1" t="s">
        <v>1060</v>
      </c>
      <c r="B11628" s="0" t="s">
        <v>168</v>
      </c>
      <c r="E11628" s="7" t="n">
        <f aca="false">Sens!E11627/Sens!D11627-1</f>
        <v>0.177886867998467</v>
      </c>
      <c r="F11628" s="7" t="n">
        <f aca="false">Sens!F11627/Sens!E11627-1</f>
        <v>0.214349983645568</v>
      </c>
      <c r="G11628" s="7" t="n">
        <f aca="false">Sens!G11627/Sens!F11627-1</f>
        <v>0.219460392277326</v>
      </c>
      <c r="H11628" s="7" t="n">
        <f aca="false">Sens!H11627/Sens!G11627-1</f>
        <v>0.193588333858403</v>
      </c>
      <c r="I11628" s="7" t="n">
        <f aca="false">Sens!I11627/Sens!H11627-1</f>
        <v>0.137806651056721</v>
      </c>
      <c r="J11628" s="7" t="n">
        <f aca="false">Sens!J11627/Sens!I11627-1</f>
        <v>0.0971526186824891</v>
      </c>
      <c r="K11628" s="7" t="n">
        <f aca="false">Sens!K11627/Sens!J11627-1</f>
        <v>0.0700951397132945</v>
      </c>
    </row>
    <row r="11629" customFormat="false" ht="17.15" hidden="false" customHeight="false" outlineLevel="0" collapsed="false">
      <c r="A11629" s="26" t="s">
        <v>1061</v>
      </c>
      <c r="B11629" s="31" t="s">
        <v>98</v>
      </c>
      <c r="C11629" s="31"/>
      <c r="D11629" s="27" t="n">
        <f aca="false">(Sens!D11622+Sens!D11626-Sens!D11627)+(Sens!D11614+Sens!D11615-Sens!D11613)+(Sens!D11617+Sens!D11618-Sens!D11616)+(Sens!D11627-Q!L18)</f>
        <v>0</v>
      </c>
      <c r="E11629" s="27" t="n">
        <f aca="false">(Sens!E11622+Sens!E11626-Sens!E11627)+(Sens!E11614+Sens!E11615-Sens!E11613)+(Sens!E11617+Sens!E11618-Sens!E11616)+(Sens!E11627-Q!M18)</f>
        <v>0</v>
      </c>
      <c r="F11629" s="27" t="n">
        <f aca="false">(Sens!F11622+Sens!F11626-Sens!F11627)+(Sens!F11614+Sens!F11615-Sens!F11613)+(Sens!F11617+Sens!F11618-Sens!F11616)</f>
        <v>0</v>
      </c>
      <c r="G11629" s="27" t="n">
        <f aca="false">(Sens!G11622+Sens!G11626-Sens!G11627)+(Sens!G11614+Sens!G11615-Sens!G11613)+(Sens!G11617+Sens!G11618-Sens!G11616)</f>
        <v>0</v>
      </c>
      <c r="H11629" s="27" t="n">
        <f aca="false">(Sens!H11622+Sens!H11626-Sens!H11627)+(Sens!H11614+Sens!H11615-Sens!H11613)+(Sens!H11617+Sens!H11618-Sens!H11616)</f>
        <v>0</v>
      </c>
      <c r="I11629" s="27" t="n">
        <f aca="false">(Sens!I11622+Sens!I11626-Sens!I11627)+(Sens!I11614+Sens!I11615-Sens!I11613)+(Sens!I11617+Sens!I11618-Sens!I11616)</f>
        <v>0</v>
      </c>
      <c r="J11629" s="27" t="n">
        <f aca="false">(Sens!J11622+Sens!J11626-Sens!J11627)+(Sens!J11614+Sens!J11615-Sens!J11613)+(Sens!J11617+Sens!J11618-Sens!J11616)</f>
        <v>0</v>
      </c>
      <c r="K11629" s="27" t="n">
        <f aca="false">(Sens!K11622+Sens!K11626-Sens!K11627)+(Sens!K11614+Sens!K11615-Sens!K11613)+(Sens!K11617+Sens!K11618-Sens!K11616)</f>
        <v>0</v>
      </c>
    </row>
    <row r="11630" customFormat="false" ht="17.15" hidden="false" customHeight="false" outlineLevel="0" collapsed="false">
      <c r="A11630" s="0" t="s">
        <v>1062</v>
      </c>
      <c r="B11630" s="0" t="s">
        <v>168</v>
      </c>
      <c r="E11630" s="7" t="n">
        <f aca="false">(Q!M21+Sens!E11566+Sens!E11567+Sens!E11568+Sens!E11582-Sens!E11564)/(Q!M5-Sens!E11564)</f>
        <v>0.570957350878296</v>
      </c>
      <c r="F11630" s="7" t="n">
        <f aca="false">Sens!$E$11630+dm_seg</f>
        <v>0.570957350878296</v>
      </c>
      <c r="G11630" s="7" t="n">
        <f aca="false">Sens!$E$11630+dm_seg</f>
        <v>0.570957350878296</v>
      </c>
      <c r="H11630" s="7" t="n">
        <f aca="false">Sens!$E$11630+dm_seg</f>
        <v>0.570957350878296</v>
      </c>
      <c r="I11630" s="7" t="n">
        <f aca="false">Sens!$E$11630+dm_seg</f>
        <v>0.570957350878296</v>
      </c>
      <c r="J11630" s="7" t="n">
        <f aca="false">Sens!$E$11630+dm_seg</f>
        <v>0.570957350878296</v>
      </c>
      <c r="K11630" s="7" t="n">
        <f aca="false">Sens!$E$11630+dm_seg</f>
        <v>0.570957350878296</v>
      </c>
      <c r="L11630" s="12" t="s">
        <v>1063</v>
      </c>
    </row>
    <row r="11631" customFormat="false" ht="17.15" hidden="false" customHeight="false" outlineLevel="0" collapsed="false">
      <c r="A11631" s="0" t="s">
        <v>884</v>
      </c>
      <c r="B11631" s="0" t="s">
        <v>98</v>
      </c>
      <c r="D11631" s="6" t="n">
        <f aca="false">Q!L21</f>
        <v>110.814</v>
      </c>
      <c r="E11631" s="6" t="n">
        <f aca="false">Q!M21</f>
        <v>136.365</v>
      </c>
      <c r="F11631" s="6" t="n">
        <f aca="false">Q!$I$21+(Sens!F11630*(Sens!F11601-Sens!F11564)+Sens!F11564-(Sens!F11566+Sens!F11567+Sens!F11568)-Sens!F11582-Sens!F11665)*(Sens!F11601-Q!$I$5)/Sens!F11601</f>
        <v>165.518688467427</v>
      </c>
      <c r="G11631" s="6" t="n">
        <f aca="false">(Sens!G11630*(Sens!G11601-Sens!G11564)+Sens!G11564-(Sens!G11566+Sens!G11567+Sens!G11568)-Sens!G11582-Sens!G11665)</f>
        <v>191.521800726735</v>
      </c>
      <c r="H11631" s="6" t="n">
        <f aca="false">(Sens!H11630*(Sens!H11601-Sens!H11564)+Sens!H11564-(Sens!H11566+Sens!H11567+Sens!H11568)-Sens!H11582-Sens!H11665)</f>
        <v>225.776219828289</v>
      </c>
      <c r="I11631" s="6" t="n">
        <f aca="false">(Sens!I11630*(Sens!I11601-Sens!I11564)+Sens!I11564-(Sens!I11566+Sens!I11567+Sens!I11568)-Sens!I11582-Sens!I11665)</f>
        <v>251.64150590218</v>
      </c>
      <c r="J11631" s="6" t="n">
        <f aca="false">(Sens!J11630*(Sens!J11601-Sens!J11564)+Sens!J11564-(Sens!J11566+Sens!J11567+Sens!J11568)-Sens!J11582-Sens!J11665)</f>
        <v>273.893531571644</v>
      </c>
      <c r="K11631" s="6" t="n">
        <f aca="false">(Sens!K11630*(Sens!K11601-Sens!K11564)+Sens!K11564-(Sens!K11566+Sens!K11567+Sens!K11568)-Sens!K11582-Sens!K11665)</f>
        <v>293.873853283842</v>
      </c>
      <c r="L11631" s="1" t="s">
        <v>1064</v>
      </c>
    </row>
    <row r="11632" customFormat="false" ht="17.15" hidden="false" customHeight="false" outlineLevel="0" collapsed="false">
      <c r="A11632" s="0" t="s">
        <v>1065</v>
      </c>
      <c r="B11632" s="0" t="s">
        <v>168</v>
      </c>
      <c r="E11632" s="7" t="n">
        <f aca="false">Q!M22/Q!M12</f>
        <v>0.296207935710698</v>
      </c>
      <c r="F11632" s="7" t="n">
        <f aca="false">Sens!$E$11632+dm_seg</f>
        <v>0.296207935710698</v>
      </c>
      <c r="G11632" s="7" t="n">
        <f aca="false">Sens!$E$11632+dm_seg</f>
        <v>0.296207935710698</v>
      </c>
      <c r="H11632" s="7" t="n">
        <f aca="false">Sens!$E$11632+dm_seg</f>
        <v>0.296207935710698</v>
      </c>
      <c r="I11632" s="7" t="n">
        <f aca="false">Sens!$E$11632+dm_seg</f>
        <v>0.296207935710698</v>
      </c>
      <c r="J11632" s="7" t="n">
        <f aca="false">Sens!$E$11632+dm_seg</f>
        <v>0.296207935710698</v>
      </c>
      <c r="K11632" s="7" t="n">
        <f aca="false">Sens!$E$11632+dm_seg</f>
        <v>0.296207935710698</v>
      </c>
      <c r="L11632" s="12" t="s">
        <v>1066</v>
      </c>
    </row>
    <row r="11633" customFormat="false" ht="17.15" hidden="false" customHeight="false" outlineLevel="0" collapsed="false">
      <c r="A11633" s="0" t="s">
        <v>886</v>
      </c>
      <c r="B11633" s="0" t="s">
        <v>98</v>
      </c>
      <c r="D11633" s="6" t="n">
        <f aca="false">Q!L22</f>
        <v>17.714</v>
      </c>
      <c r="E11633" s="6" t="n">
        <f aca="false">Q!M22</f>
        <v>18.872</v>
      </c>
      <c r="F11633" s="6" t="n">
        <f aca="false">Q!$I$22+(Sens!F11608-Q!$I$12)*Sens!F11632</f>
        <v>19.7852791671435</v>
      </c>
      <c r="G11633" s="6" t="n">
        <f aca="false">Sens!G11608*Sens!G11632</f>
        <v>19.5190043877795</v>
      </c>
      <c r="H11633" s="6" t="n">
        <f aca="false">Sens!H11608*Sens!H11632</f>
        <v>20.1284207778214</v>
      </c>
      <c r="I11633" s="6" t="n">
        <f aca="false">Sens!I11608*Sens!I11632</f>
        <v>20.8219732124669</v>
      </c>
      <c r="J11633" s="6" t="n">
        <f aca="false">Sens!J11608*Sens!J11632</f>
        <v>21.5796700641803</v>
      </c>
      <c r="K11633" s="6" t="n">
        <f aca="false">Sens!K11608*Sens!K11632</f>
        <v>22.3826088803827</v>
      </c>
      <c r="L11633" s="12" t="s">
        <v>1067</v>
      </c>
    </row>
    <row r="11634" customFormat="false" ht="15" hidden="false" customHeight="false" outlineLevel="0" collapsed="false">
      <c r="A11634" s="1" t="s">
        <v>1068</v>
      </c>
      <c r="B11634" s="0" t="s">
        <v>98</v>
      </c>
      <c r="D11634" s="6" t="n">
        <f aca="false">Sens!D11631+Sens!D11633</f>
        <v>128.528</v>
      </c>
      <c r="E11634" s="6" t="n">
        <f aca="false">Sens!E11631+Sens!E11633</f>
        <v>155.237</v>
      </c>
      <c r="F11634" s="6" t="n">
        <f aca="false">Sens!F11631+Sens!F11633</f>
        <v>185.303967634571</v>
      </c>
      <c r="G11634" s="6" t="n">
        <f aca="false">Sens!G11631+Sens!G11633</f>
        <v>211.040805114515</v>
      </c>
      <c r="H11634" s="6" t="n">
        <f aca="false">Sens!H11631+Sens!H11633</f>
        <v>245.90464060611</v>
      </c>
      <c r="I11634" s="6" t="n">
        <f aca="false">Sens!I11631+Sens!I11633</f>
        <v>272.463479114647</v>
      </c>
      <c r="J11634" s="6" t="n">
        <f aca="false">Sens!J11631+Sens!J11633</f>
        <v>295.473201635824</v>
      </c>
      <c r="K11634" s="6" t="n">
        <f aca="false">Sens!K11631+Sens!K11633</f>
        <v>316.256462164224</v>
      </c>
    </row>
    <row r="11635" customFormat="false" ht="15" hidden="false" customHeight="false" outlineLevel="0" collapsed="false">
      <c r="A11635" s="26" t="s">
        <v>1069</v>
      </c>
      <c r="B11635" s="31" t="s">
        <v>98</v>
      </c>
      <c r="C11635" s="31"/>
      <c r="D11635" s="27" t="n">
        <f aca="false">Sens!D11634-Q!L23</f>
        <v>0</v>
      </c>
      <c r="E11635" s="27" t="n">
        <f aca="false">Sens!E11634-Q!M23</f>
        <v>0</v>
      </c>
      <c r="F11635" s="31"/>
      <c r="G11635" s="31"/>
      <c r="H11635" s="31"/>
      <c r="I11635" s="31"/>
      <c r="J11635" s="31"/>
      <c r="K11635" s="31"/>
    </row>
    <row r="11636" customFormat="false" ht="15" hidden="false" customHeight="false" outlineLevel="0" collapsed="false">
      <c r="A11636" s="1" t="s">
        <v>1070</v>
      </c>
      <c r="B11636" s="0" t="s">
        <v>168</v>
      </c>
      <c r="D11636" s="7" t="n">
        <f aca="false">Sens!D11634/Sens!D11627</f>
        <v>0.456219562408598</v>
      </c>
      <c r="E11636" s="7" t="n">
        <f aca="false">Sens!E11634/Sens!E11627</f>
        <v>0.467808184089272</v>
      </c>
      <c r="F11636" s="7" t="n">
        <f aca="false">Sens!F11634/Sens!F11627</f>
        <v>0.459847067252607</v>
      </c>
      <c r="G11636" s="7" t="n">
        <f aca="false">Sens!G11634/Sens!G11627</f>
        <v>0.429464666373079</v>
      </c>
      <c r="H11636" s="7" t="n">
        <f aca="false">Sens!H11634/Sens!H11627</f>
        <v>0.419250088447456</v>
      </c>
      <c r="I11636" s="7" t="n">
        <f aca="false">Sens!I11634/Sens!I11627</f>
        <v>0.408268871186574</v>
      </c>
      <c r="J11636" s="7" t="n">
        <f aca="false">Sens!J11634/Sens!J11627</f>
        <v>0.403542262124418</v>
      </c>
      <c r="K11636" s="7" t="n">
        <f aca="false">Sens!K11634/Sens!K11627</f>
        <v>0.403634186963031</v>
      </c>
    </row>
    <row r="11637" customFormat="false" ht="17.15" hidden="false" customHeight="false" outlineLevel="0" collapsed="false">
      <c r="A11637" s="1" t="s">
        <v>1071</v>
      </c>
      <c r="B11637" s="0" t="s">
        <v>98</v>
      </c>
      <c r="F11637" s="6" t="n">
        <f aca="false">Sens!F11652</f>
        <v>8.88340674531245</v>
      </c>
      <c r="G11637" s="6" t="n">
        <f aca="false">Sens!G11652</f>
        <v>22.7060305170273</v>
      </c>
      <c r="H11637" s="6" t="n">
        <f aca="false">Sens!H11652</f>
        <v>38.0018452382075</v>
      </c>
      <c r="I11637" s="6" t="n">
        <f aca="false">Sens!I11652</f>
        <v>52.1381094705177</v>
      </c>
      <c r="J11637" s="6" t="n">
        <f aca="false">Sens!J11652</f>
        <v>62.0595818934393</v>
      </c>
      <c r="K11637" s="6" t="n">
        <f aca="false">Sens!K11652</f>
        <v>67.0801312706266</v>
      </c>
      <c r="L11637" s="1" t="s">
        <v>1072</v>
      </c>
    </row>
    <row r="11638" customFormat="false" ht="17.15" hidden="false" customHeight="false" outlineLevel="0" collapsed="false">
      <c r="A11638" s="1" t="s">
        <v>1073</v>
      </c>
      <c r="B11638" s="0" t="s">
        <v>98</v>
      </c>
      <c r="D11638" s="6" t="n">
        <f aca="false">Sens!D11634</f>
        <v>128.528</v>
      </c>
      <c r="E11638" s="6" t="n">
        <f aca="false">Sens!E11634</f>
        <v>155.237</v>
      </c>
      <c r="F11638" s="6" t="n">
        <f aca="false">Sens!F11634+Sens!F11637</f>
        <v>194.187374379883</v>
      </c>
      <c r="G11638" s="6" t="n">
        <f aca="false">Sens!G11634+Sens!G11637</f>
        <v>233.746835631542</v>
      </c>
      <c r="H11638" s="6" t="n">
        <f aca="false">Sens!H11634+Sens!H11637</f>
        <v>283.906485844318</v>
      </c>
      <c r="I11638" s="6" t="n">
        <f aca="false">Sens!I11634+Sens!I11637</f>
        <v>324.601588585164</v>
      </c>
      <c r="J11638" s="6" t="n">
        <f aca="false">Sens!J11634+Sens!J11637</f>
        <v>357.532783529263</v>
      </c>
      <c r="K11638" s="6" t="n">
        <f aca="false">Sens!K11634+Sens!K11637</f>
        <v>383.336593434851</v>
      </c>
    </row>
    <row r="11639" customFormat="false" ht="17.15" hidden="false" customHeight="false" outlineLevel="0" collapsed="false">
      <c r="A11639" s="1" t="s">
        <v>1074</v>
      </c>
      <c r="B11639" s="0" t="s">
        <v>98</v>
      </c>
      <c r="E11639" s="6" t="n">
        <f aca="false">Sens!E11582</f>
        <v>16.3054059770833</v>
      </c>
      <c r="F11639" s="6" t="n">
        <f aca="false">Sens!F11582</f>
        <v>34.5793144783516</v>
      </c>
      <c r="G11639" s="6" t="n">
        <f aca="false">Sens!G11582</f>
        <v>60.7344906522989</v>
      </c>
      <c r="H11639" s="6" t="n">
        <f aca="false">Sens!H11582</f>
        <v>89.1000906614457</v>
      </c>
      <c r="I11639" s="6" t="n">
        <f aca="false">Sens!I11582</f>
        <v>114.231009694548</v>
      </c>
      <c r="J11639" s="6" t="n">
        <f aca="false">Sens!J11582</f>
        <v>132.015673049596</v>
      </c>
      <c r="K11639" s="6" t="n">
        <f aca="false">Sens!K11582</f>
        <v>143.012669550934</v>
      </c>
    </row>
    <row r="11640" customFormat="false" ht="17.15" hidden="false" customHeight="false" outlineLevel="0" collapsed="false">
      <c r="A11640" s="1" t="s">
        <v>1075</v>
      </c>
      <c r="B11640" s="0" t="s">
        <v>98</v>
      </c>
      <c r="E11640" s="6" t="n">
        <f aca="false">Sens!E11664</f>
        <v>22.2285940229167</v>
      </c>
      <c r="F11640" s="6" t="n">
        <f aca="false">Sens!F11664</f>
        <v>23.580344216413</v>
      </c>
      <c r="G11640" s="6" t="n">
        <f aca="false">Sens!G11664</f>
        <v>25.3790034342937</v>
      </c>
      <c r="H11640" s="6" t="n">
        <f aca="false">Sens!H11664</f>
        <v>27.5931587866287</v>
      </c>
      <c r="I11640" s="6" t="n">
        <f aca="false">Sens!I11664</f>
        <v>30.1462173883245</v>
      </c>
      <c r="J11640" s="6" t="n">
        <f aca="false">Sens!J11664</f>
        <v>32.9458895460602</v>
      </c>
      <c r="K11640" s="6" t="n">
        <f aca="false">Sens!K11664</f>
        <v>35.9074608521905</v>
      </c>
    </row>
    <row r="11641" customFormat="false" ht="17.15" hidden="false" customHeight="false" outlineLevel="0" collapsed="false">
      <c r="A11641" s="1" t="s">
        <v>1076</v>
      </c>
      <c r="B11641" s="0" t="s">
        <v>98</v>
      </c>
      <c r="D11641" s="6" t="n">
        <f aca="false">Q!L27</f>
        <v>-4.901</v>
      </c>
      <c r="E11641" s="6" t="n">
        <f aca="false">Q!M27</f>
        <v>10.697</v>
      </c>
      <c r="F11641" s="6" t="n">
        <f aca="false">Q!$I$27+oie_f*(q_per_yr-1)/q_per_yr</f>
        <v>-0.862</v>
      </c>
      <c r="G11641" s="6" t="n">
        <f aca="false">oie_f</f>
        <v>-1.2</v>
      </c>
      <c r="H11641" s="6" t="n">
        <f aca="false">oie_f</f>
        <v>-1.2</v>
      </c>
      <c r="I11641" s="6" t="n">
        <f aca="false">oie_f</f>
        <v>-1.2</v>
      </c>
      <c r="J11641" s="6" t="n">
        <f aca="false">oie_f</f>
        <v>-1.2</v>
      </c>
      <c r="K11641" s="6" t="n">
        <f aca="false">oie_f</f>
        <v>-1.2</v>
      </c>
      <c r="L11641" s="12" t="s">
        <v>1077</v>
      </c>
    </row>
    <row r="11642" customFormat="false" ht="15" hidden="false" customHeight="false" outlineLevel="0" collapsed="false">
      <c r="A11642" s="1" t="s">
        <v>1078</v>
      </c>
      <c r="B11642" s="0" t="s">
        <v>98</v>
      </c>
      <c r="D11642" s="6" t="n">
        <f aca="false">Sens!D11634+Sens!D11641</f>
        <v>123.627</v>
      </c>
      <c r="E11642" s="6" t="n">
        <f aca="false">Sens!E11634+Sens!E11641</f>
        <v>165.934</v>
      </c>
      <c r="F11642" s="6" t="n">
        <f aca="false">Sens!F11634+Sens!F11641</f>
        <v>184.441967634571</v>
      </c>
      <c r="G11642" s="6" t="n">
        <f aca="false">Sens!G11634+Sens!G11641</f>
        <v>209.840805114515</v>
      </c>
      <c r="H11642" s="6" t="n">
        <f aca="false">Sens!H11634+Sens!H11641</f>
        <v>244.70464060611</v>
      </c>
      <c r="I11642" s="6" t="n">
        <f aca="false">Sens!I11634+Sens!I11641</f>
        <v>271.263479114647</v>
      </c>
      <c r="J11642" s="6" t="n">
        <f aca="false">Sens!J11634+Sens!J11641</f>
        <v>294.273201635824</v>
      </c>
      <c r="K11642" s="6" t="n">
        <f aca="false">Sens!K11634+Sens!K11641</f>
        <v>315.056462164224</v>
      </c>
    </row>
    <row r="11643" customFormat="false" ht="15" hidden="false" customHeight="false" outlineLevel="0" collapsed="false">
      <c r="A11643" s="1" t="s">
        <v>1079</v>
      </c>
      <c r="B11643" s="0" t="s">
        <v>98</v>
      </c>
      <c r="D11643" s="6" t="n">
        <f aca="false">Q!L29</f>
        <v>21.795</v>
      </c>
      <c r="E11643" s="6" t="n">
        <f aca="false">Q!M29</f>
        <v>32.185</v>
      </c>
      <c r="F11643" s="6" t="n">
        <f aca="false">Q!$I$29+(Sens!F11642-Q!$I$28)*tax_f</f>
        <v>37.0217935269141</v>
      </c>
      <c r="G11643" s="6" t="n">
        <f aca="false">Sens!G11642*tax_f</f>
        <v>41.9681610229029</v>
      </c>
      <c r="H11643" s="6" t="n">
        <f aca="false">Sens!H11642*tax_f</f>
        <v>48.9409281212221</v>
      </c>
      <c r="I11643" s="6" t="n">
        <f aca="false">Sens!I11642*tax_f</f>
        <v>54.2526958229293</v>
      </c>
      <c r="J11643" s="6" t="n">
        <f aca="false">Sens!J11642*tax_f</f>
        <v>58.8546403271648</v>
      </c>
      <c r="K11643" s="6" t="n">
        <f aca="false">Sens!K11642*tax_f</f>
        <v>63.0112924328449</v>
      </c>
    </row>
    <row r="11644" customFormat="false" ht="15" hidden="false" customHeight="false" outlineLevel="0" collapsed="false">
      <c r="A11644" s="1" t="s">
        <v>1080</v>
      </c>
      <c r="B11644" s="0" t="s">
        <v>98</v>
      </c>
      <c r="D11644" s="6" t="n">
        <f aca="false">Sens!D11642-Sens!D11643</f>
        <v>101.832</v>
      </c>
      <c r="E11644" s="6" t="n">
        <f aca="false">Sens!E11642-Sens!E11643</f>
        <v>133.749</v>
      </c>
      <c r="F11644" s="6" t="n">
        <f aca="false">Sens!F11642-Sens!F11643</f>
        <v>147.420174107657</v>
      </c>
      <c r="G11644" s="6" t="n">
        <f aca="false">Sens!G11642-Sens!G11643</f>
        <v>167.872644091612</v>
      </c>
      <c r="H11644" s="6" t="n">
        <f aca="false">Sens!H11642-Sens!H11643</f>
        <v>195.763712484888</v>
      </c>
      <c r="I11644" s="6" t="n">
        <f aca="false">Sens!I11642-Sens!I11643</f>
        <v>217.010783291717</v>
      </c>
      <c r="J11644" s="6" t="n">
        <f aca="false">Sens!J11642-Sens!J11643</f>
        <v>235.418561308659</v>
      </c>
      <c r="K11644" s="6" t="n">
        <f aca="false">Sens!K11642-Sens!K11643</f>
        <v>252.045169731379</v>
      </c>
    </row>
    <row r="11645" customFormat="false" ht="17.15" hidden="false" customHeight="false" outlineLevel="0" collapsed="false">
      <c r="A11645" s="1" t="s">
        <v>1081</v>
      </c>
      <c r="B11645" s="1" t="s">
        <v>81</v>
      </c>
      <c r="D11645" s="15" t="n">
        <f aca="false">Q!L31</f>
        <v>7.465</v>
      </c>
      <c r="E11645" s="15" t="n">
        <f aca="false">Q!M31</f>
        <v>7.453</v>
      </c>
      <c r="F11645" s="15" t="n">
        <f aca="false">Sens!F11689</f>
        <v>7.4706598522752</v>
      </c>
      <c r="G11645" s="15" t="n">
        <f aca="false">Sens!G11689</f>
        <v>7.51003704295414</v>
      </c>
      <c r="H11645" s="15" t="n">
        <f aca="false">Sens!H11689</f>
        <v>7.5349543203867</v>
      </c>
      <c r="I11645" s="15" t="n">
        <f aca="false">Sens!I11689</f>
        <v>7.54663568444217</v>
      </c>
      <c r="J11645" s="15" t="n">
        <f aca="false">Sens!J11689</f>
        <v>7.56078509560464</v>
      </c>
      <c r="K11645" s="15" t="n">
        <f aca="false">Sens!K11689</f>
        <v>7.57721973556989</v>
      </c>
    </row>
    <row r="11646" customFormat="false" ht="17.15" hidden="false" customHeight="false" outlineLevel="0" collapsed="false">
      <c r="A11646" s="0" t="s">
        <v>1082</v>
      </c>
      <c r="B11646" s="0" t="s">
        <v>75</v>
      </c>
      <c r="D11646" s="8" t="n">
        <f aca="false">Sens!D11644/Sens!D11645</f>
        <v>13.641259209645</v>
      </c>
      <c r="E11646" s="8" t="n">
        <f aca="false">Sens!E11644/Sens!E11645</f>
        <v>17.9456594659869</v>
      </c>
      <c r="F11646" s="8" t="n">
        <f aca="false">Sens!F11644/Sens!F11645</f>
        <v>19.733219959514</v>
      </c>
      <c r="G11646" s="8" t="n">
        <f aca="false">Sens!G11644/Sens!G11645</f>
        <v>22.3531046693183</v>
      </c>
      <c r="H11646" s="8" t="n">
        <f aca="false">Sens!H11644/Sens!H11645</f>
        <v>25.9807431022145</v>
      </c>
      <c r="I11646" s="8" t="n">
        <f aca="false">Sens!I11644/Sens!I11645</f>
        <v>28.7559638978065</v>
      </c>
      <c r="J11646" s="8" t="n">
        <f aca="false">Sens!J11644/Sens!J11645</f>
        <v>31.1367878245232</v>
      </c>
      <c r="K11646" s="8" t="n">
        <f aca="false">Sens!K11644/Sens!K11645</f>
        <v>33.2635423713792</v>
      </c>
      <c r="L11646" s="1" t="s">
        <v>1083</v>
      </c>
    </row>
    <row r="11647" customFormat="false" ht="17.15" hidden="false" customHeight="false" outlineLevel="0" collapsed="false">
      <c r="A11647" s="1" t="s">
        <v>1084</v>
      </c>
      <c r="B11647" s="0" t="s">
        <v>98</v>
      </c>
      <c r="D11647" s="6" t="n">
        <f aca="false">Sens!D11644</f>
        <v>101.832</v>
      </c>
      <c r="E11647" s="6" t="n">
        <f aca="false">Sens!E11644</f>
        <v>133.749</v>
      </c>
      <c r="F11647" s="6" t="n">
        <f aca="false">Sens!F11644+Sens!F11637*(1-tax_f)</f>
        <v>154.526899503907</v>
      </c>
      <c r="G11647" s="6" t="n">
        <f aca="false">Sens!G11644+Sens!G11637*(1-tax_f)</f>
        <v>186.037468505234</v>
      </c>
      <c r="H11647" s="6" t="n">
        <f aca="false">Sens!H11644+Sens!H11637*(1-tax_f)</f>
        <v>226.165188675454</v>
      </c>
      <c r="I11647" s="6" t="n">
        <f aca="false">Sens!I11644+Sens!I11637*(1-tax_f)</f>
        <v>258.721270868131</v>
      </c>
      <c r="J11647" s="6" t="n">
        <f aca="false">Sens!J11644+Sens!J11637*(1-tax_f)</f>
        <v>285.066226823411</v>
      </c>
      <c r="K11647" s="6" t="n">
        <f aca="false">Sens!K11644+Sens!K11637*(1-tax_f)</f>
        <v>305.709274747881</v>
      </c>
    </row>
    <row r="11648" customFormat="false" ht="17.15" hidden="false" customHeight="false" outlineLevel="0" collapsed="false">
      <c r="A11648" s="0" t="s">
        <v>1085</v>
      </c>
      <c r="B11648" s="0" t="s">
        <v>75</v>
      </c>
      <c r="D11648" s="8" t="n">
        <f aca="false">Sens!D11647/Sens!D11645</f>
        <v>13.641259209645</v>
      </c>
      <c r="E11648" s="8" t="n">
        <f aca="false">Sens!E11647/Sens!E11645</f>
        <v>17.9456594659869</v>
      </c>
      <c r="F11648" s="8" t="n">
        <f aca="false">Sens!F11647/Sens!F11645</f>
        <v>20.6845047906773</v>
      </c>
      <c r="G11648" s="8" t="n">
        <f aca="false">Sens!G11647/Sens!G11645</f>
        <v>24.7718443252916</v>
      </c>
      <c r="H11648" s="8" t="n">
        <f aca="false">Sens!H11647/Sens!H11645</f>
        <v>30.0154691135337</v>
      </c>
      <c r="I11648" s="8" t="n">
        <f aca="false">Sens!I11647/Sens!I11645</f>
        <v>34.2829946596601</v>
      </c>
      <c r="J11648" s="8" t="n">
        <f aca="false">Sens!J11647/Sens!J11645</f>
        <v>37.7032574287993</v>
      </c>
      <c r="K11648" s="8" t="n">
        <f aca="false">Sens!K11647/Sens!K11645</f>
        <v>40.3458373145474</v>
      </c>
      <c r="L11648" s="1" t="s">
        <v>1086</v>
      </c>
    </row>
    <row r="11649" customFormat="false" ht="17.15" hidden="false" customHeight="false" outlineLevel="0" collapsed="false">
      <c r="A11649" s="0" t="s">
        <v>1087</v>
      </c>
      <c r="B11649" s="0" t="s">
        <v>168</v>
      </c>
      <c r="E11649" s="7" t="n">
        <f aca="false">Sens!E11648/Sens!D11648-1</f>
        <v>0.315542736208578</v>
      </c>
      <c r="F11649" s="7" t="n">
        <f aca="false">Sens!F11648/Sens!E11648-1</f>
        <v>0.152618817373719</v>
      </c>
      <c r="G11649" s="7" t="n">
        <f aca="false">Sens!G11648/Sens!F11648-1</f>
        <v>0.197603934731693</v>
      </c>
      <c r="H11649" s="7" t="n">
        <f aca="false">Sens!H11648/Sens!G11648-1</f>
        <v>0.211676802073571</v>
      </c>
      <c r="I11649" s="7" t="n">
        <f aca="false">Sens!I11648/Sens!H11648-1</f>
        <v>0.142177539520854</v>
      </c>
      <c r="J11649" s="7" t="n">
        <f aca="false">Sens!J11648/Sens!I11648-1</f>
        <v>0.0997655777476088</v>
      </c>
      <c r="K11649" s="7" t="n">
        <f aca="false">Sens!K11648/Sens!J11648-1</f>
        <v>0.0700889012239456</v>
      </c>
    </row>
    <row r="11650" customFormat="false" ht="17.15" hidden="false" customHeight="false" outlineLevel="0" collapsed="false">
      <c r="A11650" s="0" t="s">
        <v>1007</v>
      </c>
      <c r="B11650" s="0" t="s">
        <v>98</v>
      </c>
      <c r="E11650" s="6" t="n">
        <f aca="false">Sens!E11591</f>
        <v>5.25</v>
      </c>
      <c r="F11650" s="6" t="n">
        <f aca="false">Sens!F11591</f>
        <v>13.5</v>
      </c>
      <c r="G11650" s="6" t="n">
        <f aca="false">Sens!G11591</f>
        <v>22.5</v>
      </c>
      <c r="H11650" s="6" t="n">
        <f aca="false">Sens!H11591</f>
        <v>31.5</v>
      </c>
      <c r="I11650" s="6" t="n">
        <f aca="false">Sens!I11591</f>
        <v>38.25</v>
      </c>
      <c r="J11650" s="6" t="n">
        <f aca="false">Sens!J11591</f>
        <v>42.75</v>
      </c>
      <c r="K11650" s="6" t="n">
        <f aca="false">Sens!K11591</f>
        <v>47.25</v>
      </c>
    </row>
    <row r="11651" customFormat="false" ht="17.15" hidden="false" customHeight="false" outlineLevel="0" collapsed="false">
      <c r="A11651" s="1" t="s">
        <v>1008</v>
      </c>
      <c r="B11651" s="0" t="s">
        <v>98</v>
      </c>
      <c r="F11651" s="6" t="n">
        <f aca="false">MAX(0,((Sens!E11551+Sens!F11551)/2-(shadow_base*(Sens!$D$11551+Sens!$E$11551)/2+(1-shadow_base)*Sens!$E$11551))*Sens!F11560/1000-(Sens!F11650-Sens!$E$11650)*Sens!F11630)</f>
        <v>8.88340674531245</v>
      </c>
      <c r="G11651" s="6" t="n">
        <f aca="false">MAX(0,((Sens!F11551+Sens!G11551)/2-(shadow_base*(Sens!$D$11551+Sens!$E$11551)/2+(1-shadow_base)*Sens!$E$11551))*Sens!G11560/1000-(Sens!G11650-Sens!$E$11650)*Sens!G11630)</f>
        <v>22.7060305170273</v>
      </c>
      <c r="H11651" s="6" t="n">
        <f aca="false">MAX(0,((Sens!G11551+Sens!H11551)/2-(shadow_base*(Sens!$D$11551+Sens!$E$11551)/2+(1-shadow_base)*Sens!$E$11551))*Sens!H11560/1000-(Sens!H11650-Sens!$E$11650)*Sens!H11630)</f>
        <v>38.0018452382075</v>
      </c>
      <c r="I11651" s="6" t="n">
        <f aca="false">MAX(0,((Sens!H11551+Sens!I11551)/2-(shadow_base*(Sens!$D$11551+Sens!$E$11551)/2+(1-shadow_base)*Sens!$E$11551))*Sens!I11560/1000-(Sens!I11650-Sens!$E$11650)*Sens!I11630)</f>
        <v>52.1381094705177</v>
      </c>
      <c r="J11651" s="6" t="n">
        <f aca="false">MAX(0,((Sens!I11551+Sens!J11551)/2-(shadow_base*(Sens!$D$11551+Sens!$E$11551)/2+(1-shadow_base)*Sens!$E$11551))*Sens!J11560/1000-(Sens!J11650-Sens!$E$11650)*Sens!J11630)</f>
        <v>62.0595818934393</v>
      </c>
      <c r="K11651" s="6" t="n">
        <f aca="false">MAX(0,((Sens!J11551+Sens!K11551)/2-(shadow_base*(Sens!$D$11551+Sens!$E$11551)/2+(1-shadow_base)*Sens!$E$11551))*Sens!K11560/1000-(Sens!K11650-Sens!$E$11650)*Sens!K11630)</f>
        <v>67.0801312706266</v>
      </c>
      <c r="L11651" s="1" t="s">
        <v>1009</v>
      </c>
    </row>
    <row r="11652" customFormat="false" ht="17.15" hidden="false" customHeight="false" outlineLevel="0" collapsed="false">
      <c r="A11652" s="1" t="s">
        <v>1010</v>
      </c>
      <c r="B11652" s="0" t="s">
        <v>98</v>
      </c>
      <c r="F11652" s="6" t="n">
        <f aca="false">IF(internal_ai_reading=2,1,0)*Sens!F11651</f>
        <v>8.88340674531245</v>
      </c>
      <c r="G11652" s="6" t="n">
        <f aca="false">IF(internal_ai_reading=2,1,0)*Sens!G11651</f>
        <v>22.7060305170273</v>
      </c>
      <c r="H11652" s="6" t="n">
        <f aca="false">IF(internal_ai_reading=2,1,0)*Sens!H11651</f>
        <v>38.0018452382075</v>
      </c>
      <c r="I11652" s="6" t="n">
        <f aca="false">IF(internal_ai_reading=2,1,0)*Sens!I11651</f>
        <v>52.1381094705177</v>
      </c>
      <c r="J11652" s="6" t="n">
        <f aca="false">IF(internal_ai_reading=2,1,0)*Sens!J11651</f>
        <v>62.0595818934393</v>
      </c>
      <c r="K11652" s="6" t="n">
        <f aca="false">IF(internal_ai_reading=2,1,0)*Sens!K11651</f>
        <v>67.0801312706266</v>
      </c>
    </row>
    <row r="11653" customFormat="false" ht="17.15" hidden="false" customHeight="false" outlineLevel="0" collapsed="false">
      <c r="A11653" s="0" t="s">
        <v>1011</v>
      </c>
      <c r="B11653" s="0" t="s">
        <v>98</v>
      </c>
      <c r="F11653" s="6" t="n">
        <f aca="false">Sens!F11570+Sens!F11650*Sens!F11630+Sens!F11652-Sens!F11571-Sens!F11582</f>
        <v>18.5068678152817</v>
      </c>
      <c r="G11653" s="6" t="n">
        <f aca="false">Sens!G11570+Sens!G11650*Sens!G11630+Sens!G11652-Sens!G11571-Sens!G11582</f>
        <v>43.1983864982792</v>
      </c>
      <c r="H11653" s="6" t="n">
        <f aca="false">Sens!H11570+Sens!H11650*Sens!H11630+Sens!H11652-Sens!H11571-Sens!H11582</f>
        <v>73.502598356074</v>
      </c>
      <c r="I11653" s="6" t="n">
        <f aca="false">Sens!I11570+Sens!I11650*Sens!I11630+Sens!I11652-Sens!I11571-Sens!I11582</f>
        <v>94.7454135378504</v>
      </c>
      <c r="J11653" s="6" t="n">
        <f aca="false">Sens!J11570+Sens!J11650*Sens!J11630+Sens!J11652-Sens!J11571-Sens!J11582</f>
        <v>109.399608126358</v>
      </c>
      <c r="K11653" s="6" t="n">
        <f aca="false">Sens!K11570+Sens!K11650*Sens!K11630+Sens!K11652-Sens!K11571-Sens!K11582</f>
        <v>118.898703181943</v>
      </c>
    </row>
    <row r="11654" customFormat="false" ht="17.15" hidden="false" customHeight="false" outlineLevel="0" collapsed="false">
      <c r="A11654" s="0" t="s">
        <v>1012</v>
      </c>
      <c r="B11654" s="0" t="s">
        <v>98</v>
      </c>
      <c r="E11654" s="6" t="n">
        <f aca="false">Sens!E11550*(cxit_open+self_build*tk_cxfac)/1000*ai_net_open</f>
        <v>126.6980382</v>
      </c>
      <c r="F11654" s="6" t="n">
        <f aca="false">Sens!E11654+Sens!F11579-Sens!F11582</f>
        <v>260.572627763768</v>
      </c>
      <c r="G11654" s="6" t="n">
        <f aca="false">Sens!F11654+Sens!G11579-Sens!G11582</f>
        <v>391.782612760517</v>
      </c>
      <c r="H11654" s="6" t="n">
        <f aca="false">Sens!G11654+Sens!H11579-Sens!H11582</f>
        <v>499.488526163584</v>
      </c>
      <c r="I11654" s="6" t="n">
        <f aca="false">Sens!H11654+Sens!I11579-Sens!I11582</f>
        <v>553.872350090646</v>
      </c>
      <c r="J11654" s="6" t="n">
        <f aca="false">Sens!I11654+Sens!J11579-Sens!J11582</f>
        <v>550.78660823699</v>
      </c>
      <c r="K11654" s="6" t="n">
        <f aca="false">Sens!J11654+Sens!K11579-Sens!K11582</f>
        <v>526.736791750789</v>
      </c>
      <c r="L11654" s="1" t="s">
        <v>1013</v>
      </c>
    </row>
    <row r="11655" customFormat="false" ht="17.15" hidden="false" customHeight="false" outlineLevel="0" collapsed="false">
      <c r="A11655" s="0" t="s">
        <v>1014</v>
      </c>
      <c r="B11655" s="0" t="s">
        <v>168</v>
      </c>
      <c r="F11655" s="7" t="n">
        <f aca="false">Sens!F11653*(1-tax_f)/((Sens!E11654+Sens!F11654)/2)</f>
        <v>0.0764607059271074</v>
      </c>
      <c r="G11655" s="7" t="n">
        <f aca="false">Sens!G11653*(1-tax_f)/((Sens!F11654+Sens!G11654)/2)</f>
        <v>0.105950583522098</v>
      </c>
      <c r="H11655" s="7" t="n">
        <f aca="false">Sens!H11653*(1-tax_f)/((Sens!G11654+Sens!H11654)/2)</f>
        <v>0.131951044114011</v>
      </c>
      <c r="I11655" s="7" t="n">
        <f aca="false">Sens!I11653*(1-tax_f)/((Sens!H11654+Sens!I11654)/2)</f>
        <v>0.143913320760143</v>
      </c>
      <c r="J11655" s="7" t="n">
        <f aca="false">Sens!J11653*(1-tax_f)/((Sens!I11654+Sens!J11654)/2)</f>
        <v>0.158455577336889</v>
      </c>
      <c r="K11655" s="7" t="n">
        <f aca="false">Sens!K11653*(1-tax_f)/((Sens!J11654+Sens!K11654)/2)</f>
        <v>0.176551084731214</v>
      </c>
    </row>
    <row r="11656" customFormat="false" ht="17.15" hidden="false" customHeight="false" outlineLevel="0" collapsed="false">
      <c r="A11656" s="1" t="s">
        <v>1015</v>
      </c>
      <c r="B11656" s="0" t="s">
        <v>168</v>
      </c>
      <c r="F11656" s="7" t="n">
        <f aca="false">(Sens!F11653-Sens!F11652)*(1-tax_f)/((Sens!E11654+Sens!F11654)/2)</f>
        <v>0.0397591118181705</v>
      </c>
      <c r="G11656" s="7" t="n">
        <f aca="false">(Sens!G11653-Sens!G11652)*(1-tax_f)/((Sens!F11654+Sens!G11654)/2)</f>
        <v>0.0502606057761598</v>
      </c>
      <c r="H11656" s="7" t="n">
        <f aca="false">(Sens!H11653-Sens!H11652)*(1-tax_f)/((Sens!G11654+Sens!H11654)/2)</f>
        <v>0.0637305557287023</v>
      </c>
      <c r="I11656" s="7" t="n">
        <f aca="false">(Sens!I11653-Sens!I11652)*(1-tax_f)/((Sens!H11654+Sens!I11654)/2)</f>
        <v>0.0647182632699936</v>
      </c>
      <c r="J11656" s="7" t="n">
        <f aca="false">(Sens!J11653-Sens!J11652)*(1-tax_f)/((Sens!I11654+Sens!J11654)/2)</f>
        <v>0.0685678067440289</v>
      </c>
      <c r="K11656" s="7" t="n">
        <f aca="false">(Sens!K11653-Sens!K11652)*(1-tax_f)/((Sens!J11654+Sens!K11654)/2)</f>
        <v>0.0769447002812616</v>
      </c>
    </row>
    <row r="11657" customFormat="false" ht="17.15" hidden="false" customHeight="false" outlineLevel="0" collapsed="false">
      <c r="A11657" s="1" t="s">
        <v>1016</v>
      </c>
      <c r="B11657" s="0" t="s">
        <v>168</v>
      </c>
      <c r="F11657" s="7" t="n">
        <f aca="false">(Sens!F11653-Sens!F11652+Sens!F11651)*(1-tax_f)/((Sens!E11654+Sens!F11654)/2)</f>
        <v>0.0764607059271074</v>
      </c>
      <c r="G11657" s="7" t="n">
        <f aca="false">(Sens!G11653-Sens!G11652+Sens!G11651)*(1-tax_f)/((Sens!F11654+Sens!G11654)/2)</f>
        <v>0.105950583522098</v>
      </c>
      <c r="H11657" s="7" t="n">
        <f aca="false">(Sens!H11653-Sens!H11652+Sens!H11651)*(1-tax_f)/((Sens!G11654+Sens!H11654)/2)</f>
        <v>0.131951044114011</v>
      </c>
      <c r="I11657" s="7" t="n">
        <f aca="false">(Sens!I11653-Sens!I11652+Sens!I11651)*(1-tax_f)/((Sens!H11654+Sens!I11654)/2)</f>
        <v>0.143913320760143</v>
      </c>
      <c r="J11657" s="7" t="n">
        <f aca="false">(Sens!J11653-Sens!J11652+Sens!J11651)*(1-tax_f)/((Sens!I11654+Sens!J11654)/2)</f>
        <v>0.158455577336889</v>
      </c>
      <c r="K11657" s="7" t="n">
        <f aca="false">(Sens!K11653-Sens!K11652+Sens!K11651)*(1-tax_f)/((Sens!J11654+Sens!K11654)/2)</f>
        <v>0.176551084731214</v>
      </c>
    </row>
    <row r="11658" customFormat="false" ht="17.15" hidden="false" customHeight="false" outlineLevel="0" collapsed="false">
      <c r="A11658" s="1" t="s">
        <v>1017</v>
      </c>
      <c r="B11658" s="0" t="s">
        <v>168</v>
      </c>
      <c r="F11658" s="7" t="n">
        <f aca="false">Sens!F11583*(1-tax_f)/(Sens!F11569*(Sens!E11654+Sens!F11654)/2)</f>
        <v>0.15471433083293</v>
      </c>
      <c r="G11658" s="7" t="n">
        <f aca="false">Sens!G11583*(1-tax_f)/(Sens!G11569*(Sens!F11654+Sens!G11654)/2)</f>
        <v>0.176916911437355</v>
      </c>
      <c r="H11658" s="7" t="n">
        <f aca="false">Sens!H11583*(1-tax_f)/(Sens!H11569*(Sens!G11654+Sens!H11654)/2)</f>
        <v>0.207487057996582</v>
      </c>
      <c r="I11658" s="7" t="n">
        <f aca="false">Sens!I11583*(1-tax_f)/(Sens!I11569*(Sens!H11654+Sens!I11654)/2)</f>
        <v>0.219873660070946</v>
      </c>
      <c r="J11658" s="7" t="n">
        <f aca="false">Sens!J11583*(1-tax_f)/(Sens!J11569*(Sens!I11654+Sens!J11654)/2)</f>
        <v>0.238959457974928</v>
      </c>
      <c r="K11658" s="7" t="n">
        <f aca="false">Sens!K11583*(1-tax_f)/(Sens!K11569*(Sens!J11654+Sens!K11654)/2)</f>
        <v>0.264604270651536</v>
      </c>
    </row>
    <row r="11659" customFormat="false" ht="17.15" hidden="false" customHeight="false" outlineLevel="0" collapsed="false">
      <c r="A11659" s="0" t="s">
        <v>1018</v>
      </c>
      <c r="B11659" s="0" t="s">
        <v>253</v>
      </c>
      <c r="F11659" s="7" t="n">
        <f aca="false">Sens!F11655-wacc</f>
        <v>-0.0264758850184899</v>
      </c>
      <c r="G11659" s="7" t="n">
        <f aca="false">Sens!G11655-wacc</f>
        <v>0.00301399257650095</v>
      </c>
      <c r="H11659" s="7" t="n">
        <f aca="false">Sens!H11655-wacc</f>
        <v>0.0290144531684132</v>
      </c>
      <c r="I11659" s="7" t="n">
        <f aca="false">Sens!I11655-wacc</f>
        <v>0.0409767298145461</v>
      </c>
      <c r="J11659" s="7" t="n">
        <f aca="false">Sens!J11655-wacc</f>
        <v>0.0555189863912922</v>
      </c>
      <c r="K11659" s="7" t="n">
        <f aca="false">Sens!K11655-wacc</f>
        <v>0.0736144937856168</v>
      </c>
    </row>
    <row r="11660" customFormat="false" ht="17.15" hidden="false" customHeight="false" outlineLevel="0" collapsed="false">
      <c r="A11660" s="0" t="s">
        <v>1019</v>
      </c>
      <c r="B11660" s="0" t="s">
        <v>98</v>
      </c>
      <c r="F11660" s="6" t="n">
        <f aca="false">Sens!F11653*(1-tax_f)-wacc*(Sens!E11654+Sens!F11654)/2</f>
        <v>-5.12666681154535</v>
      </c>
      <c r="G11660" s="6" t="n">
        <f aca="false">Sens!G11653*(1-tax_f)-wacc*(Sens!F11654+Sens!G11654)/2</f>
        <v>0.983096926090845</v>
      </c>
      <c r="H11660" s="6" t="n">
        <f aca="false">Sens!H11653*(1-tax_f)-wacc*(Sens!G11654+Sens!H11654)/2</f>
        <v>12.9298723603358</v>
      </c>
      <c r="I11660" s="6" t="n">
        <f aca="false">Sens!I11653*(1-tax_f)-wacc*(Sens!H11654+Sens!I11654)/2</f>
        <v>21.5816420117415</v>
      </c>
      <c r="J11660" s="6" t="n">
        <f aca="false">Sens!J11653*(1-tax_f)-wacc*(Sens!I11654+Sens!J11654)/2</f>
        <v>30.6647728372055</v>
      </c>
      <c r="K11660" s="6" t="n">
        <f aca="false">Sens!K11653*(1-tax_f)-wacc*(Sens!J11654+Sens!K11654)/2</f>
        <v>39.6606698161285</v>
      </c>
    </row>
    <row r="11661" customFormat="false" ht="17.15" hidden="false" customHeight="false" outlineLevel="0" collapsed="false">
      <c r="A11661" s="3" t="s">
        <v>1903</v>
      </c>
    </row>
    <row r="11662" customFormat="false" ht="15" hidden="false" customHeight="false" outlineLevel="0" collapsed="false">
      <c r="A11662" s="4" t="s">
        <v>43</v>
      </c>
      <c r="B11662" s="4" t="s">
        <v>65</v>
      </c>
      <c r="C11662" s="23" t="s">
        <v>942</v>
      </c>
      <c r="D11662" s="23" t="s">
        <v>943</v>
      </c>
      <c r="E11662" s="23" t="s">
        <v>944</v>
      </c>
      <c r="F11662" s="23" t="s">
        <v>945</v>
      </c>
      <c r="G11662" s="23" t="s">
        <v>946</v>
      </c>
      <c r="H11662" s="23" t="s">
        <v>947</v>
      </c>
      <c r="I11662" s="23" t="s">
        <v>948</v>
      </c>
      <c r="J11662" s="23" t="s">
        <v>949</v>
      </c>
      <c r="K11662" s="23" t="s">
        <v>950</v>
      </c>
      <c r="L11662" s="4" t="s">
        <v>47</v>
      </c>
    </row>
    <row r="11663" customFormat="false" ht="15" hidden="false" customHeight="false" outlineLevel="0" collapsed="false">
      <c r="A11663" s="1" t="s">
        <v>1080</v>
      </c>
      <c r="B11663" s="0" t="s">
        <v>98</v>
      </c>
      <c r="F11663" s="6" t="n">
        <f aca="false">Sens!F11644</f>
        <v>147.420174107657</v>
      </c>
      <c r="G11663" s="6" t="n">
        <f aca="false">Sens!G11644</f>
        <v>167.872644091612</v>
      </c>
      <c r="H11663" s="6" t="n">
        <f aca="false">Sens!H11644</f>
        <v>195.763712484888</v>
      </c>
      <c r="I11663" s="6" t="n">
        <f aca="false">Sens!I11644</f>
        <v>217.010783291717</v>
      </c>
      <c r="J11663" s="6" t="n">
        <f aca="false">Sens!J11644</f>
        <v>235.418561308659</v>
      </c>
      <c r="K11663" s="6" t="n">
        <f aca="false">Sens!K11644</f>
        <v>252.045169731379</v>
      </c>
    </row>
    <row r="11664" customFormat="false" ht="17.15" hidden="false" customHeight="false" outlineLevel="0" collapsed="false">
      <c r="A11664" s="1" t="s">
        <v>1102</v>
      </c>
      <c r="B11664" s="0" t="s">
        <v>98</v>
      </c>
      <c r="E11664" s="6" t="n">
        <f aca="false">Q!M38-Sens!E11582</f>
        <v>22.2285940229167</v>
      </c>
      <c r="F11664" s="6" t="n">
        <f aca="false">Sens!E11664*(1-1/life_nonai)+(Sens!F11672+Sens!F11673)/life_nonai</f>
        <v>23.580344216413</v>
      </c>
      <c r="G11664" s="6" t="n">
        <f aca="false">Sens!F11664*(1-1/life_nonai)+(Sens!G11672)/life_nonai</f>
        <v>25.3790034342937</v>
      </c>
      <c r="H11664" s="6" t="n">
        <f aca="false">Sens!G11664*(1-1/life_nonai)+(Sens!H11672)/life_nonai</f>
        <v>27.5931587866287</v>
      </c>
      <c r="I11664" s="6" t="n">
        <f aca="false">Sens!H11664*(1-1/life_nonai)+(Sens!I11672)/life_nonai</f>
        <v>30.1462173883245</v>
      </c>
      <c r="J11664" s="6" t="n">
        <f aca="false">Sens!I11664*(1-1/life_nonai)+(Sens!J11672)/life_nonai</f>
        <v>32.9458895460602</v>
      </c>
      <c r="K11664" s="6" t="n">
        <f aca="false">Sens!J11664*(1-1/life_nonai)+(Sens!K11672)/life_nonai</f>
        <v>35.9074608521905</v>
      </c>
      <c r="L11664" s="12" t="s">
        <v>1103</v>
      </c>
    </row>
    <row r="11665" customFormat="false" ht="17.15" hidden="false" customHeight="false" outlineLevel="0" collapsed="false">
      <c r="A11665" s="1" t="s">
        <v>1104</v>
      </c>
      <c r="B11665" s="0" t="s">
        <v>98</v>
      </c>
      <c r="F11665" s="6" t="n">
        <f aca="false">Sens!$F$11673/life_nonai*(1-1/life_nonai)^(Sens!F11545-2027)</f>
        <v>0.00508338452575643</v>
      </c>
      <c r="G11665" s="6" t="n">
        <f aca="false">Sens!$F$11673/life_nonai*(1-1/life_nonai)^(Sens!G11545-2027)</f>
        <v>0.00457504607318079</v>
      </c>
      <c r="H11665" s="6" t="n">
        <f aca="false">Sens!$F$11673/life_nonai*(1-1/life_nonai)^(Sens!H11545-2027)</f>
        <v>0.00411754146586271</v>
      </c>
      <c r="I11665" s="6" t="n">
        <f aca="false">Sens!$F$11673/life_nonai*(1-1/life_nonai)^(Sens!I11545-2027)</f>
        <v>0.00370578731927644</v>
      </c>
      <c r="J11665" s="6" t="n">
        <f aca="false">Sens!$F$11673/life_nonai*(1-1/life_nonai)^(Sens!J11545-2027)</f>
        <v>0.00333520858734879</v>
      </c>
      <c r="K11665" s="6" t="n">
        <f aca="false">Sens!$F$11673/life_nonai*(1-1/life_nonai)^(Sens!K11545-2027)</f>
        <v>0.00300168772861391</v>
      </c>
      <c r="L11665" s="1" t="s">
        <v>1105</v>
      </c>
    </row>
    <row r="11666" customFormat="false" ht="17.15" hidden="false" customHeight="false" outlineLevel="0" collapsed="false">
      <c r="A11666" s="1" t="s">
        <v>1106</v>
      </c>
      <c r="B11666" s="0" t="s">
        <v>98</v>
      </c>
      <c r="E11666" s="6" t="n">
        <f aca="false">Sens!E11582+Sens!E11664</f>
        <v>38.534</v>
      </c>
      <c r="F11666" s="6" t="n">
        <f aca="false">Sens!F11582+Sens!F11664</f>
        <v>58.1596586947647</v>
      </c>
      <c r="G11666" s="6" t="n">
        <f aca="false">Sens!G11582+Sens!G11664</f>
        <v>86.1134940865927</v>
      </c>
      <c r="H11666" s="6" t="n">
        <f aca="false">Sens!H11582+Sens!H11664</f>
        <v>116.693249448074</v>
      </c>
      <c r="I11666" s="6" t="n">
        <f aca="false">Sens!I11582+Sens!I11664</f>
        <v>144.377227082873</v>
      </c>
      <c r="J11666" s="6" t="n">
        <f aca="false">Sens!J11582+Sens!J11664</f>
        <v>164.961562595656</v>
      </c>
      <c r="K11666" s="6" t="n">
        <f aca="false">Sens!K11582+Sens!K11664</f>
        <v>178.920130403125</v>
      </c>
    </row>
    <row r="11667" customFormat="false" ht="17.15" hidden="false" customHeight="false" outlineLevel="0" collapsed="false">
      <c r="A11667" s="1" t="s">
        <v>1107</v>
      </c>
      <c r="B11667" s="0" t="s">
        <v>98</v>
      </c>
      <c r="F11667" s="6" t="n">
        <f aca="false">Sens!F11609*sbc_r</f>
        <v>15.0640115471233</v>
      </c>
      <c r="G11667" s="6" t="n">
        <f aca="false">Sens!G11609*sbc_r</f>
        <v>18.3699654305251</v>
      </c>
      <c r="H11667" s="6" t="n">
        <f aca="false">Sens!H11609*sbc_r</f>
        <v>21.9261764312569</v>
      </c>
      <c r="I11667" s="6" t="n">
        <f aca="false">Sens!I11609*sbc_r</f>
        <v>24.9477493757272</v>
      </c>
      <c r="J11667" s="6" t="n">
        <f aca="false">Sens!J11609*sbc_r</f>
        <v>27.3714885578136</v>
      </c>
      <c r="K11667" s="6" t="n">
        <f aca="false">Sens!K11609*sbc_r</f>
        <v>29.2900968724344</v>
      </c>
    </row>
    <row r="11668" customFormat="false" ht="17.15" hidden="false" customHeight="false" outlineLevel="0" collapsed="false">
      <c r="A11668" s="1" t="s">
        <v>1108</v>
      </c>
      <c r="B11668" s="0" t="s">
        <v>98</v>
      </c>
      <c r="F11668" s="6" t="n">
        <f aca="false">wc27-wc26q1</f>
        <v>-4.677</v>
      </c>
      <c r="G11668" s="6" t="n">
        <f aca="false">wc_f</f>
        <v>0</v>
      </c>
      <c r="H11668" s="6" t="n">
        <f aca="false">wc_f</f>
        <v>0</v>
      </c>
      <c r="I11668" s="6" t="n">
        <f aca="false">wc_f</f>
        <v>0</v>
      </c>
      <c r="J11668" s="6" t="n">
        <f aca="false">wc_f</f>
        <v>0</v>
      </c>
      <c r="K11668" s="6" t="n">
        <f aca="false">wc_f</f>
        <v>0</v>
      </c>
      <c r="L11668" s="12" t="s">
        <v>1109</v>
      </c>
    </row>
    <row r="11669" customFormat="false" ht="17.15" hidden="false" customHeight="false" outlineLevel="0" collapsed="false">
      <c r="A11669" s="0" t="s">
        <v>1110</v>
      </c>
      <c r="B11669" s="0" t="s">
        <v>98</v>
      </c>
      <c r="F11669" s="6" t="n">
        <f aca="false">Q!$I$35-Q!$I$26-Q!$I$38-Q!$I$39</f>
        <v>6.493</v>
      </c>
      <c r="L11669" s="1" t="s">
        <v>1111</v>
      </c>
    </row>
    <row r="11670" customFormat="false" ht="15" hidden="false" customHeight="false" outlineLevel="0" collapsed="false">
      <c r="A11670" s="1" t="s">
        <v>908</v>
      </c>
      <c r="B11670" s="0" t="s">
        <v>98</v>
      </c>
      <c r="E11670" s="6" t="n">
        <f aca="false">Q!M35</f>
        <v>182.935</v>
      </c>
      <c r="F11670" s="6" t="n">
        <f aca="false">Sens!F11663+Sens!F11666+Sens!F11667+Sens!F11668+Sens!F11669</f>
        <v>222.459844349544</v>
      </c>
      <c r="G11670" s="6" t="n">
        <f aca="false">Sens!G11663+Sens!G11666+Sens!G11667+Sens!G11668</f>
        <v>272.35610360873</v>
      </c>
      <c r="H11670" s="6" t="n">
        <f aca="false">Sens!H11663+Sens!H11666+Sens!H11667+Sens!H11668</f>
        <v>334.38313836422</v>
      </c>
      <c r="I11670" s="6" t="n">
        <f aca="false">Sens!I11663+Sens!I11666+Sens!I11667+Sens!I11668</f>
        <v>386.335759750317</v>
      </c>
      <c r="J11670" s="6" t="n">
        <f aca="false">Sens!J11663+Sens!J11666+Sens!J11667+Sens!J11668</f>
        <v>427.751612462129</v>
      </c>
      <c r="K11670" s="6" t="n">
        <f aca="false">Sens!K11663+Sens!K11666+Sens!K11667+Sens!K11668</f>
        <v>460.255397006938</v>
      </c>
    </row>
    <row r="11671" customFormat="false" ht="17.15" hidden="false" customHeight="false" outlineLevel="0" collapsed="false">
      <c r="A11671" s="0" t="s">
        <v>1112</v>
      </c>
      <c r="B11671" s="0" t="s">
        <v>98</v>
      </c>
      <c r="F11671" s="6" t="n">
        <f aca="false">Sens!F11579</f>
        <v>168.45390404212</v>
      </c>
      <c r="G11671" s="6" t="n">
        <f aca="false">Sens!G11579</f>
        <v>191.944475649048</v>
      </c>
      <c r="H11671" s="6" t="n">
        <f aca="false">Sens!H11579</f>
        <v>196.806004064512</v>
      </c>
      <c r="I11671" s="6" t="n">
        <f aca="false">Sens!I11579</f>
        <v>168.61483362161</v>
      </c>
      <c r="J11671" s="6" t="n">
        <f aca="false">Sens!J11579</f>
        <v>128.92993119594</v>
      </c>
      <c r="K11671" s="6" t="n">
        <f aca="false">Sens!K11579</f>
        <v>118.962853064733</v>
      </c>
    </row>
    <row r="11672" customFormat="false" ht="17.15" hidden="false" customHeight="false" outlineLevel="0" collapsed="false">
      <c r="A11672" s="1" t="s">
        <v>1113</v>
      </c>
      <c r="B11672" s="0" t="s">
        <v>98</v>
      </c>
      <c r="E11672" s="6" t="n">
        <f aca="false">Sens!E11587*cx_azo+Sens!E11594*cx_m365+Sens!E11595*cx_lic+(Sens!E11597+Sens!E11599)*cx_ind+Sens!E11602*cx_srch+(Sens!E11604+Sens!E11606)*cx_dev</f>
        <v>30.1846587067718</v>
      </c>
      <c r="F11672" s="6" t="n">
        <f aca="false">Sens!F11587*cx_azo+Sens!F11594*cx_m365+Sens!F11595*cx_lic+(Sens!F11597+Sens!F11599)*cx_ind+Sens!F11602*cx_srch+(Sens!F11604+Sens!F11606)*cx_dev</f>
        <v>35.6952621126228</v>
      </c>
      <c r="G11672" s="6" t="n">
        <f aca="false">Sens!G11587*cx_azo+Sens!G11594*cx_m365+Sens!G11595*cx_lic+(Sens!G11597+Sens!G11599)*cx_ind+Sens!G11602*cx_srch+(Sens!G11604+Sens!G11606)*cx_dev</f>
        <v>41.5669363952201</v>
      </c>
      <c r="H11672" s="6" t="n">
        <f aca="false">Sens!H11587*cx_azo+Sens!H11594*cx_m365+Sens!H11595*cx_lic+(Sens!H11597+Sens!H11599)*cx_ind+Sens!H11602*cx_srch+(Sens!H11604+Sens!H11606)*cx_dev</f>
        <v>47.5205569576432</v>
      </c>
      <c r="I11672" s="6" t="n">
        <f aca="false">Sens!I11587*cx_azo+Sens!I11594*cx_m365+Sens!I11595*cx_lic+(Sens!I11597+Sens!I11599)*cx_ind+Sens!I11602*cx_srch+(Sens!I11604+Sens!I11606)*cx_dev</f>
        <v>53.1237448035868</v>
      </c>
      <c r="J11672" s="6" t="n">
        <f aca="false">Sens!J11587*cx_azo+Sens!J11594*cx_m365+Sens!J11595*cx_lic+(Sens!J11597+Sens!J11599)*cx_ind+Sens!J11602*cx_srch+(Sens!J11604+Sens!J11606)*cx_dev</f>
        <v>58.1429389656817</v>
      </c>
      <c r="K11672" s="6" t="n">
        <f aca="false">Sens!K11587*cx_azo+Sens!K11594*cx_m365+Sens!K11595*cx_lic+(Sens!K11597+Sens!K11599)*cx_ind+Sens!K11602*cx_srch+(Sens!K11604+Sens!K11606)*cx_dev</f>
        <v>62.5616026073624</v>
      </c>
    </row>
    <row r="11673" customFormat="false" ht="17.15" hidden="false" customHeight="false" outlineLevel="0" collapsed="false">
      <c r="A11673" s="0" t="s">
        <v>1114</v>
      </c>
      <c r="B11673" s="0" t="s">
        <v>98</v>
      </c>
      <c r="F11673" s="6" t="n">
        <f aca="false">Sens!F11577</f>
        <v>0.0508338452575643</v>
      </c>
      <c r="L11673" s="1" t="s">
        <v>1115</v>
      </c>
    </row>
    <row r="11674" customFormat="false" ht="17.15" hidden="false" customHeight="false" outlineLevel="0" collapsed="false">
      <c r="A11674" s="1" t="s">
        <v>1116</v>
      </c>
      <c r="B11674" s="0" t="s">
        <v>98</v>
      </c>
      <c r="E11674" s="6" t="n">
        <f aca="false">Q!M43</f>
        <v>145.3</v>
      </c>
      <c r="F11674" s="6" t="n">
        <f aca="false">Sens!F11671+Sens!F11672+Sens!F11673</f>
        <v>204.2</v>
      </c>
      <c r="G11674" s="6" t="n">
        <f aca="false">Sens!G11671+Sens!G11672</f>
        <v>233.511412044268</v>
      </c>
      <c r="H11674" s="6" t="n">
        <f aca="false">Sens!H11671+Sens!H11672</f>
        <v>244.326561022156</v>
      </c>
      <c r="I11674" s="6" t="n">
        <f aca="false">Sens!I11671+Sens!I11672</f>
        <v>221.738578425197</v>
      </c>
      <c r="J11674" s="6" t="n">
        <f aca="false">Sens!J11671+Sens!J11672</f>
        <v>187.072870161622</v>
      </c>
      <c r="K11674" s="6" t="n">
        <f aca="false">Sens!K11671+Sens!K11672</f>
        <v>181.524455672095</v>
      </c>
      <c r="L11674" s="1" t="s">
        <v>1117</v>
      </c>
    </row>
    <row r="11675" customFormat="false" ht="15" hidden="false" customHeight="false" outlineLevel="0" collapsed="false">
      <c r="A11675" s="1" t="s">
        <v>1118</v>
      </c>
      <c r="B11675" s="0" t="s">
        <v>98</v>
      </c>
      <c r="E11675" s="6" t="n">
        <f aca="false">fl_liab</f>
        <v>66.594</v>
      </c>
      <c r="F11675" s="6" t="n">
        <f aca="false">Sens!E11675-Sens!F11676</f>
        <v>62.46973</v>
      </c>
      <c r="G11675" s="6" t="n">
        <f aca="false">Sens!F11675-Sens!G11676</f>
        <v>57.98686785</v>
      </c>
      <c r="H11675" s="6" t="n">
        <f aca="false">Sens!G11675-Sens!H11676</f>
        <v>53.92827690325</v>
      </c>
      <c r="I11675" s="6" t="n">
        <f aca="false">Sens!H11675-Sens!I11676</f>
        <v>49.7850493638962</v>
      </c>
      <c r="J11675" s="6" t="n">
        <f aca="false">Sens!I11675-Sens!J11676</f>
        <v>45.4823765852716</v>
      </c>
      <c r="K11675" s="6" t="n">
        <f aca="false">Sens!J11675-Sens!K11676</f>
        <v>40.9860835316088</v>
      </c>
    </row>
    <row r="11676" customFormat="false" ht="15" hidden="false" customHeight="false" outlineLevel="0" collapsed="false">
      <c r="A11676" s="1" t="s">
        <v>1119</v>
      </c>
      <c r="B11676" s="0" t="s">
        <v>98</v>
      </c>
      <c r="F11676" s="6" t="n">
        <f aca="false">fl_pay_27-Sens!E11675*fl_rate</f>
        <v>4.12427</v>
      </c>
      <c r="G11676" s="6" t="n">
        <f aca="false">fl_pay_28-Sens!F11675*fl_rate</f>
        <v>4.48286215</v>
      </c>
      <c r="H11676" s="6" t="n">
        <f aca="false">fl_pay_29-Sens!G11675*fl_rate</f>
        <v>4.05859094675</v>
      </c>
      <c r="I11676" s="6" t="n">
        <f aca="false">fl_pay_30-Sens!H11675*fl_rate</f>
        <v>4.14322753935375</v>
      </c>
      <c r="J11676" s="6" t="n">
        <f aca="false">fl_pay_31-Sens!I11675*fl_rate</f>
        <v>4.30267277862467</v>
      </c>
      <c r="K11676" s="6" t="n">
        <f aca="false">fl_pay_32-Sens!J11675*fl_rate</f>
        <v>4.49629305366278</v>
      </c>
    </row>
    <row r="11677" customFormat="false" ht="17.15" hidden="false" customHeight="false" outlineLevel="0" collapsed="false">
      <c r="A11677" s="1" t="s">
        <v>1120</v>
      </c>
      <c r="B11677" s="0" t="s">
        <v>98</v>
      </c>
      <c r="E11677" s="6" t="n">
        <f aca="false">Q!M35-Q!M36-Q!M44</f>
        <v>63.886</v>
      </c>
      <c r="F11677" s="6" t="n">
        <f aca="false">Sens!F11670-Sens!F11674-Sens!F11676</f>
        <v>14.1355743495445</v>
      </c>
      <c r="G11677" s="6" t="n">
        <f aca="false">Sens!G11670-Sens!G11674-Sens!G11676</f>
        <v>34.3618294144613</v>
      </c>
      <c r="H11677" s="6" t="n">
        <f aca="false">Sens!H11670-Sens!H11674-Sens!H11676</f>
        <v>85.9979863953141</v>
      </c>
      <c r="I11677" s="6" t="n">
        <f aca="false">Sens!I11670-Sens!I11674-Sens!I11676</f>
        <v>160.453953785766</v>
      </c>
      <c r="J11677" s="6" t="n">
        <f aca="false">Sens!J11670-Sens!J11674-Sens!J11676</f>
        <v>236.376069521882</v>
      </c>
      <c r="K11677" s="6" t="n">
        <f aca="false">Sens!K11670-Sens!K11674-Sens!K11676</f>
        <v>274.23464828118</v>
      </c>
      <c r="L11677" s="12" t="s">
        <v>1121</v>
      </c>
    </row>
    <row r="11678" customFormat="false" ht="15" hidden="false" customHeight="false" outlineLevel="0" collapsed="false">
      <c r="A11678" s="1" t="s">
        <v>1122</v>
      </c>
      <c r="B11678" s="0" t="s">
        <v>75</v>
      </c>
      <c r="F11678" s="8" t="n">
        <f aca="false">dps_27</f>
        <v>3.85</v>
      </c>
      <c r="G11678" s="8" t="n">
        <f aca="false">Sens!F11678*(1+dps_g)</f>
        <v>4.158</v>
      </c>
      <c r="H11678" s="8" t="n">
        <f aca="false">Sens!G11678*(1+dps_g)</f>
        <v>4.49064</v>
      </c>
      <c r="I11678" s="8" t="n">
        <f aca="false">Sens!H11678*(1+dps_g)</f>
        <v>4.8498912</v>
      </c>
      <c r="J11678" s="8" t="n">
        <f aca="false">Sens!I11678*(1+dps_g)</f>
        <v>5.237882496</v>
      </c>
      <c r="K11678" s="8" t="n">
        <f aca="false">Sens!J11678*(1+dps_g)</f>
        <v>5.65691309568</v>
      </c>
    </row>
    <row r="11679" customFormat="false" ht="17.15" hidden="false" customHeight="false" outlineLevel="0" collapsed="false">
      <c r="A11679" s="1" t="s">
        <v>1123</v>
      </c>
      <c r="B11679" s="0" t="s">
        <v>98</v>
      </c>
      <c r="E11679" s="6" t="n">
        <f aca="false">Q!M41</f>
        <v>26.445</v>
      </c>
      <c r="F11679" s="6" t="n">
        <f aca="false">Sens!F11678*Sens!E11688</f>
        <v>28.59395</v>
      </c>
      <c r="G11679" s="6" t="n">
        <f aca="false">Sens!G11678*Sens!F11688</f>
        <v>31.0449573315205</v>
      </c>
      <c r="H11679" s="6" t="n">
        <f aca="false">Sens!H11678*Sens!G11688</f>
        <v>33.705640855101</v>
      </c>
      <c r="I11679" s="6" t="n">
        <f aca="false">Sens!I11678*Sens!H11688</f>
        <v>36.4525304005818</v>
      </c>
      <c r="J11679" s="6" t="n">
        <f aca="false">Sens!J11678*Sens!I11688</f>
        <v>39.4366307180209</v>
      </c>
      <c r="K11679" s="6" t="n">
        <f aca="false">Sens!K11678*Sens!J11688</f>
        <v>42.6783154378409</v>
      </c>
      <c r="L11679" s="1" t="s">
        <v>1124</v>
      </c>
    </row>
    <row r="11680" customFormat="false" ht="15" hidden="false" customHeight="false" outlineLevel="0" collapsed="false">
      <c r="A11680" s="1" t="s">
        <v>1125</v>
      </c>
      <c r="B11680" s="0" t="s">
        <v>98</v>
      </c>
      <c r="E11680" s="6" t="n">
        <f aca="false">Sens!E11677-Sens!E11679</f>
        <v>37.441</v>
      </c>
      <c r="F11680" s="6" t="n">
        <f aca="false">Sens!F11677-Sens!F11679</f>
        <v>-14.4583756504555</v>
      </c>
      <c r="G11680" s="6" t="n">
        <f aca="false">Sens!G11677-Sens!G11679</f>
        <v>3.31687208294074</v>
      </c>
      <c r="H11680" s="6" t="n">
        <f aca="false">Sens!H11677-Sens!H11679</f>
        <v>52.2923455402131</v>
      </c>
      <c r="I11680" s="6" t="n">
        <f aca="false">Sens!I11677-Sens!I11679</f>
        <v>124.001423385185</v>
      </c>
      <c r="J11680" s="6" t="n">
        <f aca="false">Sens!J11677-Sens!J11679</f>
        <v>196.939438803862</v>
      </c>
      <c r="K11680" s="6" t="n">
        <f aca="false">Sens!K11677-Sens!K11679</f>
        <v>231.55633284334</v>
      </c>
    </row>
    <row r="11681" customFormat="false" ht="15" hidden="false" customHeight="false" outlineLevel="0" collapsed="false">
      <c r="A11681" s="1" t="s">
        <v>1126</v>
      </c>
      <c r="B11681" s="0" t="s">
        <v>98</v>
      </c>
      <c r="F11681" s="6" t="n">
        <f aca="false">debt_mat_27</f>
        <v>9.25</v>
      </c>
      <c r="G11681" s="6" t="n">
        <f aca="false">debt_mat_28</f>
        <v>0</v>
      </c>
      <c r="H11681" s="6" t="n">
        <f aca="false">debt_mat_29</f>
        <v>2.001</v>
      </c>
      <c r="I11681" s="6" t="n">
        <f aca="false">debt_mat_30</f>
        <v>0</v>
      </c>
      <c r="J11681" s="6" t="n">
        <f aca="false">debt_mat_31</f>
        <v>0.5</v>
      </c>
      <c r="K11681" s="6" t="n">
        <f aca="false">debt_mat_32</f>
        <v>0</v>
      </c>
    </row>
    <row r="11682" customFormat="false" ht="15" hidden="false" customHeight="false" outlineLevel="0" collapsed="false">
      <c r="A11682" s="1" t="s">
        <v>1127</v>
      </c>
      <c r="B11682" s="0" t="s">
        <v>98</v>
      </c>
      <c r="E11682" s="6" t="n">
        <f aca="false">Q!M40</f>
        <v>22.271</v>
      </c>
      <c r="F11682" s="6" t="n">
        <f aca="false">MAX(0,MIN(bb_target,Sens!E11684+Sens!F11680-Sens!F11681-min_cash))</f>
        <v>3.13462434954452</v>
      </c>
      <c r="G11682" s="6" t="n">
        <f aca="false">MAX(0,MIN(bb_target,Sens!F11684+Sens!G11680-Sens!G11681-min_cash))</f>
        <v>3.31687208294074</v>
      </c>
      <c r="H11682" s="6" t="n">
        <f aca="false">MAX(0,MIN(bb_target,Sens!G11684+Sens!H11680-Sens!H11681-min_cash))</f>
        <v>22.271</v>
      </c>
      <c r="I11682" s="6" t="n">
        <f aca="false">MAX(0,MIN(bb_target,Sens!H11684+Sens!I11680-Sens!I11681-min_cash))</f>
        <v>22.271</v>
      </c>
      <c r="J11682" s="6" t="n">
        <f aca="false">MAX(0,MIN(bb_target,Sens!I11684+Sens!J11680-Sens!J11681-min_cash))</f>
        <v>22.271</v>
      </c>
      <c r="K11682" s="6" t="n">
        <f aca="false">MAX(0,MIN(bb_target,Sens!J11684+Sens!K11680-Sens!K11681-min_cash))</f>
        <v>22.271</v>
      </c>
    </row>
    <row r="11683" customFormat="false" ht="15" hidden="false" customHeight="false" outlineLevel="0" collapsed="false">
      <c r="A11683" s="1" t="s">
        <v>1128</v>
      </c>
      <c r="B11683" s="0" t="s">
        <v>98</v>
      </c>
      <c r="F11683" s="6" t="n">
        <f aca="false">MAX(0,min_cash-(Sens!E11684+Sens!F11680-Sens!F11681-Sens!F11682))</f>
        <v>0</v>
      </c>
      <c r="G11683" s="6" t="n">
        <f aca="false">MAX(0,min_cash-(Sens!F11684+Sens!G11680-Sens!G11681-Sens!G11682))</f>
        <v>0</v>
      </c>
      <c r="H11683" s="6" t="n">
        <f aca="false">MAX(0,min_cash-(Sens!G11684+Sens!H11680-Sens!H11681-Sens!H11682))</f>
        <v>0</v>
      </c>
      <c r="I11683" s="6" t="n">
        <f aca="false">MAX(0,min_cash-(Sens!H11684+Sens!I11680-Sens!I11681-Sens!I11682))</f>
        <v>0</v>
      </c>
      <c r="J11683" s="6" t="n">
        <f aca="false">MAX(0,min_cash-(Sens!I11684+Sens!J11680-Sens!J11681-Sens!J11682))</f>
        <v>0</v>
      </c>
      <c r="K11683" s="6" t="n">
        <f aca="false">MAX(0,min_cash-(Sens!J11684+Sens!K11680-Sens!K11681-Sens!K11682))</f>
        <v>0</v>
      </c>
    </row>
    <row r="11684" customFormat="false" ht="15" hidden="false" customHeight="false" outlineLevel="0" collapsed="false">
      <c r="A11684" s="1" t="s">
        <v>1129</v>
      </c>
      <c r="B11684" s="0" t="s">
        <v>98</v>
      </c>
      <c r="E11684" s="6" t="n">
        <f aca="false">cash_open</f>
        <v>76.843</v>
      </c>
      <c r="F11684" s="6" t="n">
        <f aca="false">Sens!E11684+Sens!F11680-Sens!F11681-Sens!F11682+Sens!F11683</f>
        <v>50</v>
      </c>
      <c r="G11684" s="6" t="n">
        <f aca="false">Sens!F11684+Sens!G11680-Sens!G11681-Sens!G11682+Sens!G11683</f>
        <v>50</v>
      </c>
      <c r="H11684" s="6" t="n">
        <f aca="false">Sens!G11684+Sens!H11680-Sens!H11681-Sens!H11682+Sens!H11683</f>
        <v>78.0203455402131</v>
      </c>
      <c r="I11684" s="6" t="n">
        <f aca="false">Sens!H11684+Sens!I11680-Sens!I11681-Sens!I11682+Sens!I11683</f>
        <v>179.750768925398</v>
      </c>
      <c r="J11684" s="6" t="n">
        <f aca="false">Sens!I11684+Sens!J11680-Sens!J11681-Sens!J11682+Sens!J11683</f>
        <v>353.919207729259</v>
      </c>
      <c r="K11684" s="6" t="n">
        <f aca="false">Sens!J11684+Sens!K11680-Sens!K11681-Sens!K11682+Sens!K11683</f>
        <v>563.204540572599</v>
      </c>
    </row>
    <row r="11685" customFormat="false" ht="15" hidden="false" customHeight="false" outlineLevel="0" collapsed="false">
      <c r="A11685" s="1" t="s">
        <v>1130</v>
      </c>
      <c r="B11685" s="0" t="s">
        <v>98</v>
      </c>
      <c r="E11685" s="6" t="n">
        <f aca="false">debt_face</f>
        <v>46.136</v>
      </c>
      <c r="F11685" s="6" t="n">
        <f aca="false">Sens!E11685-Sens!F11681+Sens!F11683</f>
        <v>36.886</v>
      </c>
      <c r="G11685" s="6" t="n">
        <f aca="false">Sens!F11685-Sens!G11681+Sens!G11683</f>
        <v>36.886</v>
      </c>
      <c r="H11685" s="6" t="n">
        <f aca="false">Sens!G11685-Sens!H11681+Sens!H11683</f>
        <v>34.885</v>
      </c>
      <c r="I11685" s="6" t="n">
        <f aca="false">Sens!H11685-Sens!I11681+Sens!I11683</f>
        <v>34.885</v>
      </c>
      <c r="J11685" s="6" t="n">
        <f aca="false">Sens!I11685-Sens!J11681+Sens!J11683</f>
        <v>34.385</v>
      </c>
      <c r="K11685" s="6" t="n">
        <f aca="false">Sens!J11685-Sens!K11681+Sens!K11683</f>
        <v>34.385</v>
      </c>
    </row>
    <row r="11686" customFormat="false" ht="15" hidden="false" customHeight="false" outlineLevel="0" collapsed="false">
      <c r="A11686" s="1" t="s">
        <v>1131</v>
      </c>
      <c r="B11686" s="0" t="s">
        <v>98</v>
      </c>
      <c r="E11686" s="6" t="n">
        <f aca="false">Sens!E11684-Sens!E11685</f>
        <v>30.707</v>
      </c>
      <c r="F11686" s="6" t="n">
        <f aca="false">Sens!F11684-Sens!F11685</f>
        <v>13.114</v>
      </c>
      <c r="G11686" s="6" t="n">
        <f aca="false">Sens!G11684-Sens!G11685</f>
        <v>13.114</v>
      </c>
      <c r="H11686" s="6" t="n">
        <f aca="false">Sens!H11684-Sens!H11685</f>
        <v>43.1353455402131</v>
      </c>
      <c r="I11686" s="6" t="n">
        <f aca="false">Sens!I11684-Sens!I11685</f>
        <v>144.865768925398</v>
      </c>
      <c r="J11686" s="6" t="n">
        <f aca="false">Sens!J11684-Sens!J11685</f>
        <v>319.534207729259</v>
      </c>
      <c r="K11686" s="6" t="n">
        <f aca="false">Sens!K11684-Sens!K11685</f>
        <v>528.819540572599</v>
      </c>
    </row>
    <row r="11687" customFormat="false" ht="15" hidden="false" customHeight="false" outlineLevel="0" collapsed="false">
      <c r="A11687" s="1" t="s">
        <v>1132</v>
      </c>
      <c r="B11687" s="0" t="s">
        <v>75</v>
      </c>
      <c r="F11687" s="30" t="n">
        <f aca="false">px*(1+bb_g)^(Sens!F11545-base_fy-mid_yr)</f>
        <v>551.84177959629</v>
      </c>
      <c r="G11687" s="30" t="n">
        <f aca="false">px*(1+bb_g)^(Sens!G11545-base_fy-mid_yr)</f>
        <v>595.989121963993</v>
      </c>
      <c r="H11687" s="30" t="n">
        <f aca="false">px*(1+bb_g)^(Sens!H11545-base_fy-mid_yr)</f>
        <v>643.668251721112</v>
      </c>
      <c r="I11687" s="30" t="n">
        <f aca="false">px*(1+bb_g)^(Sens!I11545-base_fy-mid_yr)</f>
        <v>695.161711858801</v>
      </c>
      <c r="J11687" s="30" t="n">
        <f aca="false">px*(1+bb_g)^(Sens!J11545-base_fy-mid_yr)</f>
        <v>750.774648807506</v>
      </c>
      <c r="K11687" s="30" t="n">
        <f aca="false">px*(1+bb_g)^(Sens!K11545-base_fy-mid_yr)</f>
        <v>810.836620712106</v>
      </c>
    </row>
    <row r="11688" customFormat="false" ht="15" hidden="false" customHeight="false" outlineLevel="0" collapsed="false">
      <c r="A11688" s="1" t="s">
        <v>1133</v>
      </c>
      <c r="B11688" s="1" t="s">
        <v>81</v>
      </c>
      <c r="E11688" s="15" t="n">
        <f aca="false">sh_out26</f>
        <v>7.427</v>
      </c>
      <c r="F11688" s="15" t="n">
        <f aca="false">Sens!E11688+sh_iss-Sens!F11682/Sens!F11687</f>
        <v>7.46631970455039</v>
      </c>
      <c r="G11688" s="15" t="n">
        <f aca="false">Sens!F11688+sh_iss-Sens!G11682/Sens!G11687</f>
        <v>7.5057543813579</v>
      </c>
      <c r="H11688" s="15" t="n">
        <f aca="false">Sens!G11688+sh_iss-Sens!H11682/Sens!H11687</f>
        <v>7.5161542594155</v>
      </c>
      <c r="I11688" s="15" t="n">
        <f aca="false">Sens!H11688+sh_iss-Sens!I11682/Sens!I11687</f>
        <v>7.52911710946884</v>
      </c>
      <c r="J11688" s="15" t="n">
        <f aca="false">Sens!I11688+sh_iss-Sens!J11682/Sens!J11687</f>
        <v>7.54445308174044</v>
      </c>
      <c r="K11688" s="15" t="n">
        <f aca="false">Sens!J11688+sh_iss-Sens!K11682/Sens!K11687</f>
        <v>7.56198638939934</v>
      </c>
    </row>
    <row r="11689" customFormat="false" ht="15" hidden="false" customHeight="false" outlineLevel="0" collapsed="false">
      <c r="A11689" s="1" t="s">
        <v>1134</v>
      </c>
      <c r="B11689" s="1" t="s">
        <v>81</v>
      </c>
      <c r="E11689" s="15" t="n">
        <f aca="false">sh_dil26</f>
        <v>7.453</v>
      </c>
      <c r="F11689" s="15" t="n">
        <f aca="false">(Sens!E11688+Sens!F11688)/2+dil_gap</f>
        <v>7.4706598522752</v>
      </c>
      <c r="G11689" s="15" t="n">
        <f aca="false">(Sens!F11688+Sens!G11688)/2+dil_gap</f>
        <v>7.51003704295414</v>
      </c>
      <c r="H11689" s="15" t="n">
        <f aca="false">(Sens!G11688+Sens!H11688)/2+dil_gap</f>
        <v>7.5349543203867</v>
      </c>
      <c r="I11689" s="15" t="n">
        <f aca="false">(Sens!H11688+Sens!I11688)/2+dil_gap</f>
        <v>7.54663568444217</v>
      </c>
      <c r="J11689" s="15" t="n">
        <f aca="false">(Sens!I11688+Sens!J11688)/2+dil_gap</f>
        <v>7.56078509560464</v>
      </c>
      <c r="K11689" s="15" t="n">
        <f aca="false">(Sens!J11688+Sens!K11688)/2+dil_gap</f>
        <v>7.57721973556989</v>
      </c>
    </row>
    <row r="11690" customFormat="false" ht="17.15" hidden="false" customHeight="false" outlineLevel="0" collapsed="false">
      <c r="A11690" s="1" t="s">
        <v>1135</v>
      </c>
      <c r="B11690" s="0" t="s">
        <v>98</v>
      </c>
      <c r="C11690" s="6" t="n">
        <f aca="false">SUM(Sens!F11680:J11680)</f>
        <v>362.091704161745</v>
      </c>
    </row>
    <row r="11691" customFormat="false" ht="15" hidden="false" customHeight="false" outlineLevel="0" collapsed="false">
      <c r="A11691" s="26" t="s">
        <v>1100</v>
      </c>
      <c r="B11691" s="31" t="s">
        <v>98</v>
      </c>
      <c r="C11691" s="27" t="n">
        <f aca="false">Sens!$C$11690-(Sens!F11680+Sens!G11680+Sens!H11680+Sens!I11680+Sens!J11680)</f>
        <v>0</v>
      </c>
      <c r="D11691" s="31"/>
      <c r="E11691" s="31"/>
      <c r="F11691" s="31"/>
      <c r="G11691" s="31"/>
      <c r="H11691" s="31"/>
      <c r="I11691" s="31"/>
      <c r="J11691" s="31"/>
      <c r="K11691" s="31"/>
    </row>
    <row r="11692" customFormat="false" ht="17.15" hidden="false" customHeight="false" outlineLevel="0" collapsed="false">
      <c r="A11692" s="1" t="s">
        <v>1094</v>
      </c>
      <c r="B11692" s="1" t="s">
        <v>1136</v>
      </c>
      <c r="C11692" s="33" t="str">
        <f aca="false">IF(SUM(Sens!F11683:J11683)&gt;0.05,"需要舉債 "&amp;TEXT(SUM(Sens!F11683:J11683),"0.0")&amp;" 十億美元","不需舉債")&amp;"；"&amp;IF(SUM(Sens!F11682:J11682)&lt;COUNT(Sens!F11682:J11682)*bb_target-0.05,"回購較每年 "&amp;TEXT(bb_target,"0.0")&amp;" 的目標少 "&amp;TEXT(COUNT(Sens!F11682:J11682)*bb_target-SUM(Sens!F11682:J11682),"0.0")&amp;" 十億美元（"&amp;TEXT(COUNTIF(Sens!F11682:J11682,"&lt;"&amp;(bb_target-0.05)),"0")&amp;" 年減少）","回購不減")</f>
        <v>不需舉債；回購較每年 22.3 的目標少 38.1 十億美元（2 年減少）</v>
      </c>
    </row>
    <row r="11693" customFormat="false" ht="17.15" hidden="false" customHeight="false" outlineLevel="0" collapsed="false">
      <c r="A11693" s="3" t="s">
        <v>1904</v>
      </c>
    </row>
    <row r="11694" customFormat="false" ht="15" hidden="false" customHeight="false" outlineLevel="0" collapsed="false">
      <c r="A11694" s="4" t="s">
        <v>43</v>
      </c>
      <c r="B11694" s="4" t="s">
        <v>65</v>
      </c>
      <c r="C11694" s="23" t="s">
        <v>942</v>
      </c>
      <c r="D11694" s="23" t="s">
        <v>943</v>
      </c>
      <c r="E11694" s="23" t="s">
        <v>944</v>
      </c>
      <c r="F11694" s="23" t="s">
        <v>945</v>
      </c>
      <c r="G11694" s="23" t="s">
        <v>946</v>
      </c>
      <c r="H11694" s="23" t="s">
        <v>947</v>
      </c>
      <c r="I11694" s="23" t="s">
        <v>948</v>
      </c>
      <c r="J11694" s="23" t="s">
        <v>949</v>
      </c>
      <c r="K11694" s="23" t="s">
        <v>950</v>
      </c>
      <c r="L11694" s="4" t="s">
        <v>47</v>
      </c>
    </row>
    <row r="11695" customFormat="false" ht="17.15" hidden="false" customHeight="false" outlineLevel="0" collapsed="false">
      <c r="A11695" s="1" t="s">
        <v>1216</v>
      </c>
      <c r="B11695" s="1" t="s">
        <v>279</v>
      </c>
      <c r="F11695" s="8" t="n">
        <f aca="false">(1-v_off)*mid_yr</f>
        <v>0.373972602739726</v>
      </c>
      <c r="G11695" s="8" t="n">
        <f aca="false">Sens!G11545-base_fy-mid_yr-v_off</f>
        <v>1.24794520547945</v>
      </c>
      <c r="H11695" s="8" t="n">
        <f aca="false">Sens!H11545-base_fy-mid_yr-v_off</f>
        <v>2.24794520547945</v>
      </c>
      <c r="I11695" s="8" t="n">
        <f aca="false">Sens!I11545-base_fy-mid_yr-v_off</f>
        <v>3.24794520547945</v>
      </c>
      <c r="J11695" s="8" t="n">
        <f aca="false">Sens!J11545-base_fy-mid_yr-v_off</f>
        <v>4.24794520547945</v>
      </c>
      <c r="K11695" s="8" t="n">
        <f aca="false">Sens!K11545-base_fy-mid_yr-v_off</f>
        <v>5.24794520547945</v>
      </c>
      <c r="L11695" s="12" t="s">
        <v>1217</v>
      </c>
    </row>
    <row r="11696" customFormat="false" ht="15" hidden="false" customHeight="false" outlineLevel="0" collapsed="false">
      <c r="A11696" s="1" t="s">
        <v>1218</v>
      </c>
      <c r="B11696" s="1" t="s">
        <v>279</v>
      </c>
      <c r="F11696" s="8" t="n">
        <f aca="false">Sens!F11545-base_fy-v_off</f>
        <v>0.747945205479452</v>
      </c>
      <c r="G11696" s="8" t="n">
        <f aca="false">Sens!G11545-base_fy-v_off</f>
        <v>1.74794520547945</v>
      </c>
      <c r="H11696" s="8" t="n">
        <f aca="false">Sens!H11545-base_fy-v_off</f>
        <v>2.74794520547945</v>
      </c>
      <c r="I11696" s="8" t="n">
        <f aca="false">Sens!I11545-base_fy-v_off</f>
        <v>3.74794520547945</v>
      </c>
      <c r="J11696" s="8" t="n">
        <f aca="false">Sens!J11545-base_fy-v_off</f>
        <v>4.74794520547945</v>
      </c>
      <c r="K11696" s="8" t="n">
        <f aca="false">Sens!K11545-base_fy-v_off</f>
        <v>5.74794520547945</v>
      </c>
    </row>
    <row r="11697" customFormat="false" ht="15" hidden="false" customHeight="false" outlineLevel="0" collapsed="false">
      <c r="A11697" s="1" t="s">
        <v>1219</v>
      </c>
      <c r="B11697" s="0" t="s">
        <v>229</v>
      </c>
      <c r="F11697" s="15" t="n">
        <f aca="false">1/(1+wacc)^Sens!F11695</f>
        <v>0.964022703286649</v>
      </c>
      <c r="G11697" s="15" t="n">
        <f aca="false">1/(1+wacc)^Sens!G11695</f>
        <v>0.884910302296739</v>
      </c>
      <c r="H11697" s="15" t="n">
        <f aca="false">1/(1+wacc)^Sens!H11695</f>
        <v>0.802322009770358</v>
      </c>
      <c r="I11697" s="15" t="n">
        <f aca="false">1/(1+wacc)^Sens!I11695</f>
        <v>0.727441646561469</v>
      </c>
      <c r="J11697" s="15" t="n">
        <f aca="false">1/(1+wacc)^Sens!J11695</f>
        <v>0.659549834988973</v>
      </c>
      <c r="K11697" s="15" t="n">
        <f aca="false">1/(1+wacc)^Sens!K11695</f>
        <v>0.597994336576966</v>
      </c>
    </row>
    <row r="11698" customFormat="false" ht="17.15" hidden="false" customHeight="false" outlineLevel="0" collapsed="false">
      <c r="A11698" s="1" t="s">
        <v>1220</v>
      </c>
      <c r="B11698" s="0" t="s">
        <v>98</v>
      </c>
      <c r="F11698" s="6" t="n">
        <f aca="false">Q!$I$35-Q!$I$39-Q!$I$43</f>
        <v>9.666</v>
      </c>
      <c r="L11698" s="12" t="s">
        <v>1221</v>
      </c>
    </row>
    <row r="11699" customFormat="false" ht="17.15" hidden="false" customHeight="false" outlineLevel="0" collapsed="false">
      <c r="A11699" s="1" t="s">
        <v>1222</v>
      </c>
      <c r="B11699" s="0" t="s">
        <v>98</v>
      </c>
      <c r="F11699" s="6" t="n">
        <f aca="false">Sens!F11670-Sens!F11667-Sens!F11674+Sens!F11652*(1-tax_f)*(1-v_off)-Sens!F11698</f>
        <v>-1.15472601079453</v>
      </c>
      <c r="G11699" s="6" t="n">
        <f aca="false">Sens!G11670-Sens!G11667-Sens!G11674+Sens!G11652*(1-tax_f)</f>
        <v>38.639550547558</v>
      </c>
      <c r="H11699" s="6" t="n">
        <f aca="false">Sens!H11670-Sens!H11667-Sens!H11674+Sens!H11652*(1-tax_f)</f>
        <v>98.5318771013732</v>
      </c>
      <c r="I11699" s="6" t="n">
        <f aca="false">Sens!I11670-Sens!I11667-Sens!I11674+Sens!I11652*(1-tax_f)</f>
        <v>181.359919525807</v>
      </c>
      <c r="J11699" s="6" t="n">
        <f aca="false">Sens!J11670-Sens!J11667-Sens!J11674+Sens!J11652*(1-tax_f)</f>
        <v>262.954919257445</v>
      </c>
      <c r="K11699" s="6" t="n">
        <f aca="false">Sens!K11670-Sens!K11667-Sens!K11674+Sens!K11652*(1-tax_f)</f>
        <v>303.10494947891</v>
      </c>
      <c r="L11699" s="1" t="s">
        <v>1223</v>
      </c>
    </row>
    <row r="11700" customFormat="false" ht="15" hidden="false" customHeight="false" outlineLevel="0" collapsed="false">
      <c r="A11700" s="1" t="s">
        <v>1224</v>
      </c>
      <c r="B11700" s="0" t="s">
        <v>98</v>
      </c>
      <c r="F11700" s="6" t="n">
        <f aca="false">Sens!F11699*Sens!F11697</f>
        <v>-1.11318209048155</v>
      </c>
      <c r="G11700" s="6" t="n">
        <f aca="false">Sens!G11699*Sens!G11697</f>
        <v>34.1925363556497</v>
      </c>
      <c r="H11700" s="6" t="n">
        <f aca="false">Sens!H11699*Sens!H11697</f>
        <v>79.0542936624197</v>
      </c>
      <c r="I11700" s="6" t="n">
        <f aca="false">Sens!I11699*Sens!I11697</f>
        <v>131.928758480109</v>
      </c>
      <c r="J11700" s="6" t="n">
        <f aca="false">Sens!J11699*Sens!J11697</f>
        <v>173.431873605786</v>
      </c>
      <c r="K11700" s="6" t="n">
        <f aca="false">Sens!K11699*Sens!K11697</f>
        <v>181.255043176836</v>
      </c>
    </row>
    <row r="11701" customFormat="false" ht="17.15" hidden="false" customHeight="false" outlineLevel="0" collapsed="false">
      <c r="A11701" s="1" t="s">
        <v>1225</v>
      </c>
      <c r="B11701" s="0" t="s">
        <v>98</v>
      </c>
      <c r="C11701" s="6" t="n">
        <f aca="false">SUM(Sens!F11700:K11700)</f>
        <v>598.749323190318</v>
      </c>
    </row>
    <row r="11702" customFormat="false" ht="17.15" hidden="false" customHeight="false" outlineLevel="0" collapsed="false">
      <c r="A11702" s="1" t="s">
        <v>1226</v>
      </c>
      <c r="B11702" s="0" t="s">
        <v>98</v>
      </c>
      <c r="C11702" s="6" t="n">
        <f aca="false">Sens!K11638*(1+g_tv)*(1-tax_f)</f>
        <v>315.869352990317</v>
      </c>
    </row>
    <row r="11703" customFormat="false" ht="17.15" hidden="false" customHeight="false" outlineLevel="0" collapsed="false">
      <c r="A11703" s="1" t="s">
        <v>1227</v>
      </c>
      <c r="B11703" s="0" t="s">
        <v>98</v>
      </c>
      <c r="C11703" s="6" t="n">
        <f aca="false">Sens!$C$11702*(1-g_tv/(wacc+ronic_prem))</f>
        <v>223.811897981751</v>
      </c>
    </row>
    <row r="11704" customFormat="false" ht="17.15" hidden="false" customHeight="false" outlineLevel="0" collapsed="false">
      <c r="A11704" s="1" t="s">
        <v>1228</v>
      </c>
      <c r="B11704" s="0" t="s">
        <v>98</v>
      </c>
      <c r="C11704" s="6" t="n">
        <f aca="false">Sens!$C$11703/(wacc-g_tv)</f>
        <v>3068.58183361888</v>
      </c>
    </row>
    <row r="11705" customFormat="false" ht="15" hidden="false" customHeight="false" outlineLevel="0" collapsed="false">
      <c r="A11705" s="1" t="s">
        <v>1229</v>
      </c>
      <c r="B11705" s="0" t="s">
        <v>98</v>
      </c>
      <c r="C11705" s="6" t="n">
        <f aca="false">Sens!$C$11704/(1+wacc)^Sens!K11696</f>
        <v>1747.26793903927</v>
      </c>
    </row>
    <row r="11706" customFormat="false" ht="17.15" hidden="false" customHeight="false" outlineLevel="0" collapsed="false">
      <c r="A11706" s="0" t="s">
        <v>1230</v>
      </c>
      <c r="B11706" s="0" t="s">
        <v>98</v>
      </c>
      <c r="C11706" s="6" t="n">
        <f aca="false">Sens!$C$11701+Sens!$C$11705</f>
        <v>2346.01726222959</v>
      </c>
    </row>
    <row r="11707" customFormat="false" ht="15" hidden="false" customHeight="false" outlineLevel="0" collapsed="false">
      <c r="A11707" s="1" t="s">
        <v>1145</v>
      </c>
      <c r="B11707" s="0" t="s">
        <v>168</v>
      </c>
      <c r="C11707" s="7" t="n">
        <f aca="false">Sens!$C$11705/Sens!$C$11706</f>
        <v>0.744780512560558</v>
      </c>
    </row>
    <row r="11708" customFormat="false" ht="17.15" hidden="false" customHeight="false" outlineLevel="0" collapsed="false">
      <c r="A11708" s="1" t="s">
        <v>1231</v>
      </c>
      <c r="B11708" s="0" t="s">
        <v>98</v>
      </c>
      <c r="C11708" s="6" t="n">
        <f aca="false">Sens!$C$11706+cash_val-debt_val-fl_val+oai_v</f>
        <v>2461.86826222959</v>
      </c>
    </row>
    <row r="11709" customFormat="false" ht="17.15" hidden="false" customHeight="false" outlineLevel="0" collapsed="false">
      <c r="A11709" s="0" t="s">
        <v>1153</v>
      </c>
      <c r="B11709" s="0" t="s">
        <v>75</v>
      </c>
      <c r="C11709" s="5" t="n">
        <f aca="false">Sens!$C$11708/shd_val</f>
        <v>330.629635002631</v>
      </c>
    </row>
    <row r="11710" customFormat="false" ht="15" hidden="false" customHeight="false" outlineLevel="0" collapsed="false">
      <c r="A11710" s="1" t="s">
        <v>1232</v>
      </c>
      <c r="B11710" s="0" t="s">
        <v>75</v>
      </c>
      <c r="C11710" s="8" t="n">
        <f aca="false">div_rem27+Sens!G11678*roll_div_q/q_per_yr</f>
        <v>3.9795</v>
      </c>
    </row>
    <row r="11711" customFormat="false" ht="17.15" hidden="false" customHeight="false" outlineLevel="0" collapsed="false">
      <c r="A11711" s="0" t="s">
        <v>1233</v>
      </c>
      <c r="B11711" s="0" t="s">
        <v>75</v>
      </c>
      <c r="C11711" s="5" t="n">
        <f aca="false">Sens!$C$11709*(1+wacc)^t_roll-Sens!$C$11710</f>
        <v>363.533791991283</v>
      </c>
    </row>
    <row r="11712" customFormat="false" ht="17.15" hidden="false" customHeight="false" outlineLevel="0" collapsed="false">
      <c r="A11712" s="1" t="s">
        <v>1234</v>
      </c>
      <c r="B11712" s="0" t="s">
        <v>168</v>
      </c>
      <c r="F11712" s="7" t="n">
        <f aca="false">Sens!F11664/(Sens!F11609-Sens!F11564)</f>
        <v>0.0685743703544915</v>
      </c>
      <c r="G11712" s="7" t="n">
        <f aca="false">Sens!G11664/(Sens!G11609-Sens!G11564)</f>
        <v>0.0654177521114347</v>
      </c>
      <c r="H11712" s="7" t="n">
        <f aca="false">Sens!H11664/(Sens!H11609-Sens!H11564)</f>
        <v>0.0637671020733588</v>
      </c>
      <c r="I11712" s="7" t="n">
        <f aca="false">Sens!I11664/(Sens!I11609-Sens!I11564)</f>
        <v>0.0635107298144379</v>
      </c>
      <c r="J11712" s="7" t="n">
        <f aca="false">Sens!J11664/(Sens!J11609-Sens!J11564)</f>
        <v>0.0642966059651563</v>
      </c>
      <c r="K11712" s="7" t="n">
        <f aca="false">Sens!K11664/(Sens!K11609-Sens!K11564)</f>
        <v>0.065672513647631</v>
      </c>
    </row>
    <row r="11713" customFormat="false" ht="17.15" hidden="false" customHeight="false" outlineLevel="0" collapsed="false">
      <c r="A11713" s="0" t="s">
        <v>1235</v>
      </c>
      <c r="B11713" s="0" t="s">
        <v>98</v>
      </c>
      <c r="F11713" s="6" t="n">
        <f aca="false">Sens!F11594*(al_m365+Sens!F11712+sbc_r)</f>
        <v>84.5239815784877</v>
      </c>
      <c r="G11713" s="6" t="n">
        <f aca="false">Sens!G11594*(al_m365+Sens!G11712+sbc_r)</f>
        <v>98.9585695396834</v>
      </c>
      <c r="H11713" s="6" t="n">
        <f aca="false">Sens!H11594*(al_m365+Sens!H11712+sbc_r)</f>
        <v>113.560613776114</v>
      </c>
      <c r="I11713" s="6" t="n">
        <f aca="false">Sens!I11594*(al_m365+Sens!I11712+sbc_r)</f>
        <v>126.648166361487</v>
      </c>
      <c r="J11713" s="6" t="n">
        <f aca="false">Sens!J11594*(al_m365+Sens!J11712+sbc_r)</f>
        <v>138.035816462432</v>
      </c>
      <c r="K11713" s="6" t="n">
        <f aca="false">Sens!K11594*(al_m365+Sens!K11712+sbc_r)</f>
        <v>149.047797653571</v>
      </c>
      <c r="L11713" s="12" t="s">
        <v>1236</v>
      </c>
    </row>
    <row r="11714" customFormat="false" ht="17.15" hidden="false" customHeight="false" outlineLevel="0" collapsed="false">
      <c r="A11714" s="0" t="s">
        <v>1237</v>
      </c>
      <c r="B11714" s="0" t="s">
        <v>98</v>
      </c>
      <c r="F11714" s="6" t="n">
        <f aca="false">Sens!F11595*(al_lic+Sens!F11712+sbc_r)</f>
        <v>32.8560308428051</v>
      </c>
      <c r="G11714" s="6" t="n">
        <f aca="false">Sens!G11595*(al_lic+Sens!G11712+sbc_r)</f>
        <v>34.1209980618195</v>
      </c>
      <c r="H11714" s="6" t="n">
        <f aca="false">Sens!H11595*(al_lic+Sens!H11712+sbc_r)</f>
        <v>35.306754028183</v>
      </c>
      <c r="I11714" s="6" t="n">
        <f aca="false">Sens!I11595*(al_lic+Sens!I11712+sbc_r)</f>
        <v>36.3963750873235</v>
      </c>
      <c r="J11714" s="6" t="n">
        <f aca="false">Sens!J11595*(al_lic+Sens!J11712+sbc_r)</f>
        <v>37.3620907475601</v>
      </c>
      <c r="K11714" s="6" t="n">
        <f aca="false">Sens!K11595*(al_lic+Sens!K11712+sbc_r)</f>
        <v>38.1708990818454</v>
      </c>
    </row>
    <row r="11715" customFormat="false" ht="17.15" hidden="false" customHeight="false" outlineLevel="0" collapsed="false">
      <c r="A11715" s="0" t="s">
        <v>1238</v>
      </c>
      <c r="B11715" s="0" t="s">
        <v>98</v>
      </c>
      <c r="F11715" s="6" t="n">
        <f aca="false">Sens!F11597*(al_ind+Sens!F11712+sbc_r)</f>
        <v>9.05940839689351</v>
      </c>
      <c r="G11715" s="6" t="n">
        <f aca="false">Sens!G11597*(al_ind+Sens!G11712+sbc_r)</f>
        <v>9.8260524181065</v>
      </c>
      <c r="H11715" s="6" t="n">
        <f aca="false">Sens!H11597*(al_ind+Sens!H11712+sbc_r)</f>
        <v>10.6405052320013</v>
      </c>
      <c r="I11715" s="6" t="n">
        <f aca="false">Sens!I11597*(al_ind+Sens!I11712+sbc_r)</f>
        <v>11.5010107980071</v>
      </c>
      <c r="J11715" s="6" t="n">
        <f aca="false">Sens!J11597*(al_ind+Sens!J11712+sbc_r)</f>
        <v>12.3968227828694</v>
      </c>
      <c r="K11715" s="6" t="n">
        <f aca="false">Sens!K11597*(al_ind+Sens!K11712+sbc_r)</f>
        <v>13.3100368003767</v>
      </c>
    </row>
    <row r="11716" customFormat="false" ht="17.15" hidden="false" customHeight="false" outlineLevel="0" collapsed="false">
      <c r="A11716" s="0" t="s">
        <v>1239</v>
      </c>
      <c r="B11716" s="0" t="s">
        <v>98</v>
      </c>
      <c r="F11716" s="6" t="n">
        <f aca="false">Sens!F11599*(al_fro+Sens!F11712+sbc_r)</f>
        <v>3.55363386395912</v>
      </c>
      <c r="G11716" s="6" t="n">
        <f aca="false">Sens!G11599*(al_fro+Sens!G11712+sbc_r)</f>
        <v>3.75973563683666</v>
      </c>
      <c r="H11716" s="6" t="n">
        <f aca="false">Sens!H11599*(al_fro+Sens!H11712+sbc_r)</f>
        <v>3.99600911653987</v>
      </c>
      <c r="I11716" s="6" t="n">
        <f aca="false">Sens!I11599*(al_fro+Sens!I11712+sbc_r)</f>
        <v>4.2655866269372</v>
      </c>
      <c r="J11716" s="6" t="n">
        <f aca="false">Sens!J11599*(al_fro+Sens!J11712+sbc_r)</f>
        <v>4.56915938585142</v>
      </c>
      <c r="K11716" s="6" t="n">
        <f aca="false">Sens!K11599*(al_fro+Sens!K11712+sbc_r)</f>
        <v>4.90574727393115</v>
      </c>
    </row>
    <row r="11717" customFormat="false" ht="17.15" hidden="false" customHeight="false" outlineLevel="0" collapsed="false">
      <c r="A11717" s="0" t="s">
        <v>1240</v>
      </c>
      <c r="B11717" s="0" t="s">
        <v>98</v>
      </c>
      <c r="F11717" s="6" t="n">
        <f aca="false">Sens!F11602*(al_srch+Sens!F11712+sbc_r)</f>
        <v>11.1878447195028</v>
      </c>
      <c r="G11717" s="6" t="n">
        <f aca="false">Sens!G11602*(al_srch+Sens!G11712+sbc_r)</f>
        <v>12.2491004094478</v>
      </c>
      <c r="H11717" s="6" t="n">
        <f aca="false">Sens!H11602*(al_srch+Sens!H11712+sbc_r)</f>
        <v>13.3587576759421</v>
      </c>
      <c r="I11717" s="6" t="n">
        <f aca="false">Sens!I11602*(al_srch+Sens!I11712+sbc_r)</f>
        <v>14.507937750948</v>
      </c>
      <c r="J11717" s="6" t="n">
        <f aca="false">Sens!J11602*(al_srch+Sens!J11712+sbc_r)</f>
        <v>15.6754410485964</v>
      </c>
      <c r="K11717" s="6" t="n">
        <f aca="false">Sens!K11602*(al_srch+Sens!K11712+sbc_r)</f>
        <v>16.830175027368</v>
      </c>
    </row>
    <row r="11718" customFormat="false" ht="17.15" hidden="false" customHeight="false" outlineLevel="0" collapsed="false">
      <c r="A11718" s="0" t="s">
        <v>1241</v>
      </c>
      <c r="B11718" s="0" t="s">
        <v>98</v>
      </c>
      <c r="F11718" s="6" t="n">
        <f aca="false">Sens!F11570-Sens!F11571+Sens!F11652</f>
        <v>45.3782580567763</v>
      </c>
      <c r="G11718" s="6" t="n">
        <f aca="false">Sens!G11570-Sens!G11571+Sens!G11652</f>
        <v>91.0863367558165</v>
      </c>
      <c r="H11718" s="6" t="n">
        <f aca="false">Sens!H11570-Sens!H11571+Sens!H11652</f>
        <v>144.617532464853</v>
      </c>
      <c r="I11718" s="6" t="n">
        <f aca="false">Sens!I11570-Sens!I11571+Sens!I11652</f>
        <v>187.137304561304</v>
      </c>
      <c r="J11718" s="6" t="n">
        <f aca="false">Sens!J11570-Sens!J11571+Sens!J11652</f>
        <v>217.006854425907</v>
      </c>
      <c r="K11718" s="6" t="n">
        <f aca="false">Sens!K11570-Sens!K11571+Sens!K11652</f>
        <v>234.933637903877</v>
      </c>
    </row>
    <row r="11719" customFormat="false" ht="17.15" hidden="false" customHeight="false" outlineLevel="0" collapsed="false">
      <c r="A11719" s="0" t="s">
        <v>1242</v>
      </c>
      <c r="B11719" s="0" t="s">
        <v>98</v>
      </c>
      <c r="F11719" s="6" t="n">
        <f aca="false">Sens!F11631+Sens!F11652+Sens!F11582+Sens!F11712*(Sens!F11601-Sens!F11564)+sbc_r*Sens!F11601</f>
        <v>240.823967945635</v>
      </c>
      <c r="G11719" s="6" t="n">
        <f aca="false">Sens!G11631+Sens!G11652+Sens!G11582+Sens!G11712*(Sens!G11601-Sens!G11564)+sbc_r*Sens!G11601</f>
        <v>311.937129736273</v>
      </c>
      <c r="H11719" s="6" t="n">
        <f aca="false">Sens!H11631+Sens!H11652+Sens!H11582+Sens!H11712*(Sens!H11601-Sens!H11564)+sbc_r*Sens!H11601</f>
        <v>395.523996888719</v>
      </c>
      <c r="I11719" s="6" t="n">
        <f aca="false">Sens!I11631+Sens!I11652+Sens!I11582+Sens!I11712*(Sens!I11601-Sens!I11564)+sbc_r*Sens!I11601</f>
        <v>466.012283797931</v>
      </c>
      <c r="J11719" s="6" t="n">
        <f aca="false">Sens!J11631+Sens!J11652+Sens!J11582+Sens!J11712*(Sens!J11601-Sens!J11564)+sbc_r*Sens!J11601</f>
        <v>520.878518997514</v>
      </c>
      <c r="K11719" s="6" t="n">
        <f aca="false">Sens!K11631+Sens!K11652+Sens!K11582+Sens!K11712*(Sens!K11601-Sens!K11564)+sbc_r*Sens!K11601</f>
        <v>561.376972821732</v>
      </c>
    </row>
    <row r="11720" customFormat="false" ht="17.15" hidden="false" customHeight="false" outlineLevel="0" collapsed="false">
      <c r="A11720" s="0" t="s">
        <v>1243</v>
      </c>
      <c r="B11720" s="0" t="s">
        <v>98</v>
      </c>
      <c r="F11720" s="6" t="n">
        <f aca="false">Sens!F11719-Sens!F11713-Sens!F11714-Sens!F11715-Sens!F11716-Sens!F11718</f>
        <v>65.4526552067136</v>
      </c>
      <c r="G11720" s="6" t="n">
        <f aca="false">Sens!G11719-Sens!G11713-Sens!G11714-Sens!G11715-Sens!G11716-Sens!G11718</f>
        <v>74.1854373240104</v>
      </c>
      <c r="H11720" s="6" t="n">
        <f aca="false">Sens!H11719-Sens!H11713-Sens!H11714-Sens!H11715-Sens!H11716-Sens!H11718</f>
        <v>87.4025822710278</v>
      </c>
      <c r="I11720" s="6" t="n">
        <f aca="false">Sens!I11719-Sens!I11713-Sens!I11714-Sens!I11715-Sens!I11716-Sens!I11718</f>
        <v>100.063840362873</v>
      </c>
      <c r="J11720" s="6" t="n">
        <f aca="false">Sens!J11719-Sens!J11713-Sens!J11714-Sens!J11715-Sens!J11716-Sens!J11718</f>
        <v>111.507775192894</v>
      </c>
      <c r="K11720" s="6" t="n">
        <f aca="false">Sens!K11719-Sens!K11713-Sens!K11714-Sens!K11715-Sens!K11716-Sens!K11718</f>
        <v>121.00885410813</v>
      </c>
    </row>
    <row r="11721" customFormat="false" ht="17.15" hidden="false" customHeight="false" outlineLevel="0" collapsed="false">
      <c r="A11721" s="0" t="s">
        <v>1244</v>
      </c>
      <c r="B11721" s="0" t="s">
        <v>98</v>
      </c>
      <c r="F11721" s="6" t="n">
        <f aca="false">Sens!F11633+Sens!F11712*Sens!F11608+sbc_r*Sens!F11608</f>
        <v>26.5870766761356</v>
      </c>
      <c r="G11721" s="6" t="n">
        <f aca="false">Sens!G11633+Sens!G11712*Sens!G11608+sbc_r*Sens!G11608</f>
        <v>26.2931654123867</v>
      </c>
      <c r="H11721" s="6" t="n">
        <f aca="false">Sens!H11633+Sens!H11712*Sens!H11608+sbc_r*Sens!H11608</f>
        <v>27.0019148349298</v>
      </c>
      <c r="I11721" s="6" t="n">
        <f aca="false">Sens!I11633+Sens!I11712*Sens!I11608+sbc_r*Sens!I11608</f>
        <v>27.914281245833</v>
      </c>
      <c r="J11721" s="6" t="n">
        <f aca="false">Sens!J11633+Sens!J11712*Sens!J11608+sbc_r*Sens!J11608</f>
        <v>28.9873156852193</v>
      </c>
      <c r="K11721" s="6" t="n">
        <f aca="false">Sens!K11633+Sens!K11712*Sens!K11608+sbc_r*Sens!K11608</f>
        <v>30.1698478886779</v>
      </c>
    </row>
    <row r="11722" customFormat="false" ht="17.15" hidden="false" customHeight="false" outlineLevel="0" collapsed="false">
      <c r="A11722" s="0" t="s">
        <v>1245</v>
      </c>
      <c r="B11722" s="0" t="s">
        <v>98</v>
      </c>
      <c r="F11722" s="6" t="n">
        <f aca="false">(Sens!F11721-Sens!F11717)*Sens!F11604/(Sens!F11604+Sens!F11606)</f>
        <v>8.67740567112954</v>
      </c>
      <c r="G11722" s="6" t="n">
        <f aca="false">(Sens!G11721-Sens!G11717)*Sens!G11604/(Sens!G11604+Sens!G11606)</f>
        <v>7.72876300651211</v>
      </c>
      <c r="H11722" s="6" t="n">
        <f aca="false">(Sens!H11721-Sens!H11717)*Sens!H11604/(Sens!H11604+Sens!H11606)</f>
        <v>7.33902991387233</v>
      </c>
      <c r="I11722" s="6" t="n">
        <f aca="false">(Sens!I11721-Sens!I11717)*Sens!I11604/(Sens!I11604+Sens!I11606)</f>
        <v>7.05610374013768</v>
      </c>
      <c r="J11722" s="6" t="n">
        <f aca="false">(Sens!J11721-Sens!J11717)*Sens!J11604/(Sens!J11604+Sens!J11606)</f>
        <v>6.86260545894899</v>
      </c>
      <c r="K11722" s="6" t="n">
        <f aca="false">(Sens!K11721-Sens!K11717)*Sens!K11604/(Sens!K11604+Sens!K11606)</f>
        <v>6.74358521108286</v>
      </c>
    </row>
    <row r="11723" customFormat="false" ht="17.15" hidden="false" customHeight="false" outlineLevel="0" collapsed="false">
      <c r="A11723" s="0" t="s">
        <v>1246</v>
      </c>
      <c r="B11723" s="0" t="s">
        <v>98</v>
      </c>
      <c r="F11723" s="6" t="n">
        <f aca="false">Sens!F11721-Sens!F11717-Sens!F11722</f>
        <v>6.72182628550331</v>
      </c>
      <c r="G11723" s="6" t="n">
        <f aca="false">Sens!G11721-Sens!G11717-Sens!G11722</f>
        <v>6.31530199642681</v>
      </c>
      <c r="H11723" s="6" t="n">
        <f aca="false">Sens!H11721-Sens!H11717-Sens!H11722</f>
        <v>6.30412724511538</v>
      </c>
      <c r="I11723" s="6" t="n">
        <f aca="false">Sens!I11721-Sens!I11717-Sens!I11722</f>
        <v>6.35023975474733</v>
      </c>
      <c r="J11723" s="6" t="n">
        <f aca="false">Sens!J11721-Sens!J11717-Sens!J11722</f>
        <v>6.44926917767389</v>
      </c>
      <c r="K11723" s="6" t="n">
        <f aca="false">Sens!K11721-Sens!K11717-Sens!K11722</f>
        <v>6.59608765022708</v>
      </c>
    </row>
    <row r="11724" customFormat="false" ht="17.15" hidden="false" customHeight="false" outlineLevel="0" collapsed="false">
      <c r="A11724" s="0" t="s">
        <v>1247</v>
      </c>
      <c r="B11724" s="0" t="s">
        <v>98</v>
      </c>
      <c r="F11724" s="6" t="n">
        <f aca="false">Sens!F11718-tax_f*(Sens!F11718-Sens!F11582)-Sens!F11579</f>
        <v>-125.235434701028</v>
      </c>
      <c r="G11724" s="6" t="n">
        <f aca="false">Sens!G11718-tax_f*(Sens!G11718-Sens!G11582)-Sens!G11579</f>
        <v>-106.928508113935</v>
      </c>
      <c r="H11724" s="6" t="n">
        <f aca="false">Sens!H11718-tax_f*(Sens!H11718-Sens!H11582)-Sens!H11579</f>
        <v>-63.2919599603405</v>
      </c>
      <c r="I11724" s="6" t="n">
        <f aca="false">Sens!I11718-tax_f*(Sens!I11718-Sens!I11582)-Sens!I11579</f>
        <v>3.94121196634245</v>
      </c>
      <c r="J11724" s="6" t="n">
        <f aca="false">Sens!J11718-tax_f*(Sens!J11718-Sens!J11582)-Sens!J11579</f>
        <v>71.0786869547042</v>
      </c>
      <c r="K11724" s="6" t="n">
        <f aca="false">Sens!K11718-tax_f*(Sens!K11718-Sens!K11582)-Sens!K11579</f>
        <v>97.5865911685559</v>
      </c>
    </row>
    <row r="11725" customFormat="false" ht="17.15" hidden="false" customHeight="false" outlineLevel="0" collapsed="false">
      <c r="A11725" s="0" t="s">
        <v>1248</v>
      </c>
      <c r="B11725" s="0" t="s">
        <v>98</v>
      </c>
      <c r="G11725" s="6" t="n">
        <f aca="false">Sens!G11724/(1+wacc)^(Sens!G11695-Sens!F11696)</f>
        <v>-101.81651667568</v>
      </c>
      <c r="H11725" s="6" t="n">
        <f aca="false">Sens!H11724/(1+wacc)^(Sens!H11695-Sens!F11696)</f>
        <v>-54.6415143556151</v>
      </c>
      <c r="I11725" s="6" t="n">
        <f aca="false">Sens!I11724/(1+wacc)^(Sens!I11695-Sens!F11696)</f>
        <v>3.08498765169516</v>
      </c>
      <c r="J11725" s="6" t="n">
        <f aca="false">Sens!J11724/(1+wacc)^(Sens!J11695-Sens!F11696)</f>
        <v>50.4443451596971</v>
      </c>
      <c r="K11725" s="6" t="n">
        <f aca="false">Sens!K11724/(1+wacc)^(Sens!K11695-Sens!F11696)</f>
        <v>62.7932114544856</v>
      </c>
      <c r="L11725" s="1" t="s">
        <v>1249</v>
      </c>
    </row>
    <row r="11726" customFormat="false" ht="17.15" hidden="false" customHeight="false" outlineLevel="0" collapsed="false">
      <c r="A11726" s="0" t="s">
        <v>1250</v>
      </c>
      <c r="B11726" s="0" t="s">
        <v>98</v>
      </c>
      <c r="C11726" s="6" t="n">
        <f aca="false">(Sens!K11718-Sens!K11582)*(1-tax_f)*(1+g_tv)*(1-g_tv/(wacc+ronic_prem))/(wacc-g_tv)/(1+wacc)^(Sens!K11696-Sens!F11696)</f>
        <v>450.836735002813</v>
      </c>
    </row>
    <row r="11727" customFormat="false" ht="17.15" hidden="false" customHeight="false" outlineLevel="0" collapsed="false">
      <c r="A11727" s="1" t="s">
        <v>1251</v>
      </c>
      <c r="B11727" s="0" t="s">
        <v>98</v>
      </c>
      <c r="C11727" s="6" t="n">
        <f aca="false">(SUM(Sens!G11725:K11725)+Sens!$C$11726)*(1+wacc)^(t_roll-Sens!F11696)</f>
        <v>424.259738494477</v>
      </c>
      <c r="L11727" s="12" t="s">
        <v>1252</v>
      </c>
    </row>
    <row r="11728" customFormat="false" ht="17.15" hidden="false" customHeight="false" outlineLevel="0" collapsed="false">
      <c r="A11728" s="1" t="s">
        <v>1253</v>
      </c>
      <c r="B11728" s="0" t="s">
        <v>98</v>
      </c>
      <c r="C11728" s="6" t="n">
        <f aca="false">(w_ntm28*Sens!G11570+(1-w_ntm28)*Sens!H11570)*m_ai</f>
        <v>563.316843258668</v>
      </c>
    </row>
    <row r="11729" customFormat="false" ht="17.15" hidden="false" customHeight="false" outlineLevel="0" collapsed="false">
      <c r="A11729" s="1" t="s">
        <v>1254</v>
      </c>
      <c r="B11729" s="0" t="s">
        <v>98</v>
      </c>
      <c r="C11729" s="6" t="n">
        <f aca="false">(w_ntm28*Sens!G11720+(1-w_ntm28)*Sens!H11720)*m_cloud</f>
        <v>1085.29565664011</v>
      </c>
    </row>
    <row r="11730" customFormat="false" ht="17.15" hidden="false" customHeight="false" outlineLevel="0" collapsed="false">
      <c r="A11730" s="1" t="s">
        <v>1255</v>
      </c>
      <c r="B11730" s="0" t="s">
        <v>98</v>
      </c>
      <c r="C11730" s="6" t="n">
        <f aca="false">(w_ntm28*Sens!G11713+(1-w_ntm28)*Sens!H11713)*m_sw</f>
        <v>1120.59980946807</v>
      </c>
    </row>
    <row r="11731" customFormat="false" ht="17.15" hidden="false" customHeight="false" outlineLevel="0" collapsed="false">
      <c r="A11731" s="1" t="s">
        <v>1256</v>
      </c>
      <c r="B11731" s="0" t="s">
        <v>98</v>
      </c>
      <c r="C11731" s="6" t="n">
        <f aca="false">(w_ntm28*Sens!G11714+(1-w_ntm28)*Sens!H11714)*m_sw</f>
        <v>372.717024909862</v>
      </c>
    </row>
    <row r="11732" customFormat="false" ht="17.15" hidden="false" customHeight="false" outlineLevel="0" collapsed="false">
      <c r="A11732" s="1" t="s">
        <v>1257</v>
      </c>
      <c r="B11732" s="0" t="s">
        <v>98</v>
      </c>
      <c r="C11732" s="6" t="n">
        <f aca="false">(w_ntm28*Sens!G11715+(1-w_ntm28)*Sens!H11715)*m_sw</f>
        <v>109.01323144927</v>
      </c>
    </row>
    <row r="11733" customFormat="false" ht="17.15" hidden="false" customHeight="false" outlineLevel="0" collapsed="false">
      <c r="A11733" s="1" t="s">
        <v>1258</v>
      </c>
      <c r="B11733" s="0" t="s">
        <v>98</v>
      </c>
      <c r="C11733" s="6" t="n">
        <f aca="false">(w_ntm28*Sens!G11716+(1-w_ntm28)*Sens!H11716)*m_sw</f>
        <v>41.4440775619328</v>
      </c>
    </row>
    <row r="11734" customFormat="false" ht="17.15" hidden="false" customHeight="false" outlineLevel="0" collapsed="false">
      <c r="A11734" s="1" t="s">
        <v>1259</v>
      </c>
      <c r="B11734" s="0" t="s">
        <v>98</v>
      </c>
      <c r="C11734" s="6" t="n">
        <f aca="false">(w_ntm28*Sens!G11717+(1-w_ntm28)*Sens!H11717)*m_ads</f>
        <v>114.912804247142</v>
      </c>
    </row>
    <row r="11735" customFormat="false" ht="17.15" hidden="false" customHeight="false" outlineLevel="0" collapsed="false">
      <c r="A11735" s="1" t="s">
        <v>1260</v>
      </c>
      <c r="B11735" s="0" t="s">
        <v>98</v>
      </c>
      <c r="C11735" s="6" t="n">
        <f aca="false">(w_ntm28*Sens!G11722+(1-w_ntm28)*Sens!H11722)*m_game</f>
        <v>95.9959768401799</v>
      </c>
    </row>
    <row r="11736" customFormat="false" ht="17.15" hidden="false" customHeight="false" outlineLevel="0" collapsed="false">
      <c r="A11736" s="1" t="s">
        <v>1261</v>
      </c>
      <c r="B11736" s="0" t="s">
        <v>98</v>
      </c>
      <c r="C11736" s="6" t="n">
        <f aca="false">(w_ntm28*Sens!G11723+(1-w_ntm28)*Sens!H11723)*m_pc</f>
        <v>91.3292586878105</v>
      </c>
    </row>
    <row r="11737" customFormat="false" ht="17.15" hidden="false" customHeight="false" outlineLevel="0" collapsed="false">
      <c r="A11737" s="1" t="s">
        <v>1262</v>
      </c>
      <c r="B11737" s="0" t="s">
        <v>98</v>
      </c>
      <c r="C11737" s="6" t="n">
        <f aca="false">Sens!$C$11727+Sens!$C$11729+Sens!$C$11730+Sens!$C$11731+Sens!$C$11732+Sens!$C$11733+Sens!$C$11734+Sens!$C$11735+Sens!$C$11736</f>
        <v>3455.56757829885</v>
      </c>
    </row>
    <row r="11738" customFormat="false" ht="17.15" hidden="false" customHeight="false" outlineLevel="0" collapsed="false">
      <c r="A11738" s="1" t="s">
        <v>1263</v>
      </c>
      <c r="B11738" s="0" t="s">
        <v>98</v>
      </c>
      <c r="C11738" s="6" t="n">
        <f aca="false">(Sens!G11699-Sens!G11724)*t_stub</f>
        <v>48.2568084877827</v>
      </c>
      <c r="L11738" s="1" t="s">
        <v>1264</v>
      </c>
    </row>
    <row r="11739" customFormat="false" ht="17.15" hidden="false" customHeight="false" outlineLevel="0" collapsed="false">
      <c r="A11739" s="1" t="s">
        <v>1173</v>
      </c>
      <c r="B11739" s="0" t="s">
        <v>98</v>
      </c>
      <c r="C11739" s="6" t="n">
        <f aca="false">Sens!F11686+oai_v-Sens!F11675+Sens!$C$11738</f>
        <v>162.485078487783</v>
      </c>
      <c r="L11739" s="1" t="s">
        <v>1265</v>
      </c>
    </row>
    <row r="11740" customFormat="false" ht="17.15" hidden="false" customHeight="false" outlineLevel="0" collapsed="false">
      <c r="A11740" s="1" t="s">
        <v>1266</v>
      </c>
      <c r="B11740" s="0" t="s">
        <v>75</v>
      </c>
      <c r="C11740" s="5" t="n">
        <f aca="false">(Sens!$C$11737+Sens!$C$11739)/(Sens!F11688+dil_gap)-Sens!G11678*roll_div_q/q_per_yr</f>
        <v>481.990971261281</v>
      </c>
      <c r="L11740" s="1" t="s">
        <v>1267</v>
      </c>
    </row>
    <row r="11741" customFormat="false" ht="17.15" hidden="false" customHeight="false" outlineLevel="0" collapsed="false">
      <c r="A11741" s="1" t="s">
        <v>1268</v>
      </c>
      <c r="B11741" s="0" t="s">
        <v>75</v>
      </c>
      <c r="C11741" s="5" t="n">
        <f aca="false">w_dcf*Sens!$C$11711+(1-w_dcf)*Sens!$C$11740</f>
        <v>422.762381626282</v>
      </c>
    </row>
    <row r="11742" customFormat="false" ht="17.15" hidden="false" customHeight="false" outlineLevel="0" collapsed="false">
      <c r="A11742" s="3" t="s">
        <v>1905</v>
      </c>
    </row>
    <row r="11743" customFormat="false" ht="15" hidden="false" customHeight="false" outlineLevel="0" collapsed="false">
      <c r="A11743" s="4" t="s">
        <v>43</v>
      </c>
      <c r="B11743" s="4" t="s">
        <v>65</v>
      </c>
      <c r="C11743" s="23" t="s">
        <v>942</v>
      </c>
      <c r="D11743" s="23" t="s">
        <v>943</v>
      </c>
      <c r="E11743" s="23" t="s">
        <v>944</v>
      </c>
      <c r="F11743" s="23" t="s">
        <v>945</v>
      </c>
      <c r="G11743" s="23" t="s">
        <v>946</v>
      </c>
      <c r="H11743" s="23" t="s">
        <v>947</v>
      </c>
      <c r="I11743" s="23" t="s">
        <v>948</v>
      </c>
      <c r="J11743" s="23" t="s">
        <v>949</v>
      </c>
      <c r="K11743" s="23" t="s">
        <v>950</v>
      </c>
      <c r="L11743" s="4" t="s">
        <v>47</v>
      </c>
    </row>
    <row r="11744" customFormat="false" ht="17.15" hidden="false" customHeight="false" outlineLevel="0" collapsed="false">
      <c r="A11744" s="1" t="s">
        <v>951</v>
      </c>
      <c r="B11744" s="1" t="s">
        <v>279</v>
      </c>
      <c r="C11744" s="21" t="n">
        <v>2024</v>
      </c>
      <c r="D11744" s="21" t="n">
        <v>2025</v>
      </c>
      <c r="E11744" s="21" t="n">
        <v>2026</v>
      </c>
      <c r="F11744" s="21" t="n">
        <v>2027</v>
      </c>
      <c r="G11744" s="21" t="n">
        <v>2028</v>
      </c>
      <c r="H11744" s="21" t="n">
        <v>2029</v>
      </c>
      <c r="I11744" s="21" t="n">
        <v>2030</v>
      </c>
      <c r="J11744" s="21" t="n">
        <v>2031</v>
      </c>
      <c r="K11744" s="21" t="n">
        <v>2032</v>
      </c>
    </row>
    <row r="11745" customFormat="false" ht="17.15" hidden="false" customHeight="false" outlineLevel="0" collapsed="false">
      <c r="A11745" s="1" t="s">
        <v>952</v>
      </c>
      <c r="B11745" s="0" t="s">
        <v>459</v>
      </c>
      <c r="F11745" s="30" t="n">
        <f aca="false">pace</f>
        <v>2726.5351</v>
      </c>
      <c r="G11745" s="30" t="n">
        <f aca="false">pace</f>
        <v>2726.5351</v>
      </c>
      <c r="H11745" s="30" t="n">
        <f aca="false">pace</f>
        <v>2726.5351</v>
      </c>
      <c r="I11745" s="30" t="n">
        <f aca="false">pace+(g_tv*Sens!H11746-pace)*MIN(1,(Sens!I11744-pace_y0)/(pace_y1-pace_y0))</f>
        <v>1931.98611966667</v>
      </c>
      <c r="J11745" s="30" t="n">
        <f aca="false">pace+(g_tv*Sens!I11746-pace)*MIN(1,(Sens!J11744-pace_y0)/(pace_y1-pace_y0))</f>
        <v>1176.07686172667</v>
      </c>
      <c r="K11745" s="30" t="n">
        <f aca="false">pace+(g_tv*Sens!J11746-pace)*MIN(1,(Sens!K11744-pace_y0)/(pace_y1-pace_y0))</f>
        <v>436.1300484418</v>
      </c>
      <c r="L11745" s="12" t="s">
        <v>953</v>
      </c>
    </row>
    <row r="11746" customFormat="false" ht="17.15" hidden="false" customHeight="false" outlineLevel="0" collapsed="false">
      <c r="A11746" s="1" t="s">
        <v>954</v>
      </c>
      <c r="B11746" s="0" t="s">
        <v>459</v>
      </c>
      <c r="C11746" s="30" t="n">
        <f aca="false">mw_ext_24</f>
        <v>640</v>
      </c>
      <c r="D11746" s="30" t="n">
        <f aca="false">mw_ext_25</f>
        <v>1630</v>
      </c>
      <c r="E11746" s="30" t="n">
        <f aca="false">mw_ext_26</f>
        <v>3250</v>
      </c>
      <c r="F11746" s="30" t="n">
        <f aca="false">Sens!E11746+Sens!F11745</f>
        <v>5976.5351</v>
      </c>
      <c r="G11746" s="30" t="n">
        <f aca="false">Sens!F11746+Sens!G11745</f>
        <v>8703.0702</v>
      </c>
      <c r="H11746" s="30" t="n">
        <f aca="false">Sens!G11746+Sens!H11745</f>
        <v>11429.6053</v>
      </c>
      <c r="I11746" s="30" t="n">
        <f aca="false">Sens!H11746+Sens!I11745</f>
        <v>13361.5914196667</v>
      </c>
      <c r="J11746" s="30" t="n">
        <f aca="false">Sens!I11746+Sens!J11745</f>
        <v>14537.6682813933</v>
      </c>
      <c r="K11746" s="30" t="n">
        <f aca="false">Sens!J11746+Sens!K11745</f>
        <v>14973.7983298351</v>
      </c>
      <c r="L11746" s="1" t="s">
        <v>955</v>
      </c>
    </row>
    <row r="11747" customFormat="false" ht="17.15" hidden="false" customHeight="false" outlineLevel="0" collapsed="false">
      <c r="A11747" s="1" t="s">
        <v>956</v>
      </c>
      <c r="B11747" s="0" t="s">
        <v>459</v>
      </c>
      <c r="C11747" s="30" t="n">
        <f aca="false">rent_ext_24</f>
        <v>150</v>
      </c>
      <c r="D11747" s="30" t="n">
        <f aca="false">rent_ext_25</f>
        <v>400</v>
      </c>
      <c r="E11747" s="30" t="n">
        <f aca="false">rent_ext_26</f>
        <v>550</v>
      </c>
      <c r="F11747" s="30" t="n">
        <f aca="false">rent_ext_f</f>
        <v>756</v>
      </c>
      <c r="G11747" s="30" t="n">
        <f aca="false">rent_ext_f</f>
        <v>756</v>
      </c>
      <c r="H11747" s="30" t="n">
        <f aca="false">rent_ext_f</f>
        <v>756</v>
      </c>
      <c r="I11747" s="30" t="n">
        <f aca="false">rent_ext_f</f>
        <v>756</v>
      </c>
      <c r="J11747" s="30" t="n">
        <f aca="false">rent_ext_f</f>
        <v>756</v>
      </c>
      <c r="K11747" s="30" t="n">
        <f aca="false">rent_ext_f</f>
        <v>756</v>
      </c>
      <c r="L11747" s="1" t="s">
        <v>957</v>
      </c>
    </row>
    <row r="11748" customFormat="false" ht="17.15" hidden="false" customHeight="false" outlineLevel="0" collapsed="false">
      <c r="A11748" s="1" t="s">
        <v>958</v>
      </c>
      <c r="B11748" s="0" t="s">
        <v>459</v>
      </c>
      <c r="C11748" s="30" t="n">
        <f aca="false">Sens!C11746-Sens!C11747</f>
        <v>490</v>
      </c>
      <c r="D11748" s="30" t="n">
        <f aca="false">Sens!D11746-Sens!D11747</f>
        <v>1230</v>
      </c>
      <c r="E11748" s="30" t="n">
        <f aca="false">Sens!E11746-Sens!E11747</f>
        <v>2700</v>
      </c>
      <c r="F11748" s="30" t="n">
        <f aca="false">Sens!F11746-Sens!F11747</f>
        <v>5220.5351</v>
      </c>
      <c r="G11748" s="30" t="n">
        <f aca="false">Sens!G11746-Sens!G11747</f>
        <v>7947.0702</v>
      </c>
      <c r="H11748" s="30" t="n">
        <f aca="false">Sens!H11746-Sens!H11747</f>
        <v>10673.6053</v>
      </c>
      <c r="I11748" s="30" t="n">
        <f aca="false">Sens!I11746-Sens!I11747</f>
        <v>12605.5914196667</v>
      </c>
      <c r="J11748" s="30" t="n">
        <f aca="false">Sens!J11746-Sens!J11747</f>
        <v>13781.6682813933</v>
      </c>
      <c r="K11748" s="30" t="n">
        <f aca="false">Sens!K11746-Sens!K11747</f>
        <v>14217.7983298351</v>
      </c>
    </row>
    <row r="11749" customFormat="false" ht="17.15" hidden="false" customHeight="false" outlineLevel="0" collapsed="false">
      <c r="A11749" s="1" t="s">
        <v>959</v>
      </c>
      <c r="B11749" s="0" t="s">
        <v>459</v>
      </c>
      <c r="C11749" s="30" t="n">
        <f aca="false">Sens!C11748/ext_sh</f>
        <v>816.666666666667</v>
      </c>
      <c r="D11749" s="30" t="n">
        <f aca="false">Sens!D11748/ext_sh</f>
        <v>2050</v>
      </c>
      <c r="E11749" s="30" t="n">
        <f aca="false">Sens!E11748/ext_sh</f>
        <v>4500</v>
      </c>
      <c r="F11749" s="30" t="n">
        <f aca="false">Sens!F11748/ext_sh</f>
        <v>8700.89183333333</v>
      </c>
      <c r="G11749" s="30" t="n">
        <f aca="false">Sens!G11748/ext_sh</f>
        <v>13245.117</v>
      </c>
      <c r="H11749" s="30" t="n">
        <f aca="false">Sens!H11748/ext_sh</f>
        <v>17789.3421666667</v>
      </c>
      <c r="I11749" s="30" t="n">
        <f aca="false">Sens!I11748/ext_sh</f>
        <v>21009.3190327778</v>
      </c>
      <c r="J11749" s="30" t="n">
        <f aca="false">Sens!J11748/ext_sh</f>
        <v>22969.4471356556</v>
      </c>
      <c r="K11749" s="30" t="n">
        <f aca="false">Sens!K11748/ext_sh</f>
        <v>23696.3305497252</v>
      </c>
      <c r="L11749" s="1" t="s">
        <v>960</v>
      </c>
    </row>
    <row r="11750" customFormat="false" ht="17.15" hidden="false" customHeight="false" outlineLevel="0" collapsed="false">
      <c r="A11750" s="1" t="s">
        <v>961</v>
      </c>
      <c r="B11750" s="0" t="s">
        <v>459</v>
      </c>
      <c r="C11750" s="30" t="n">
        <f aca="false">Sens!C11749-Sens!C11748</f>
        <v>326.666666666667</v>
      </c>
      <c r="D11750" s="30" t="n">
        <f aca="false">Sens!D11749-Sens!D11748</f>
        <v>820</v>
      </c>
      <c r="E11750" s="30" t="n">
        <f aca="false">Sens!E11749-Sens!E11748</f>
        <v>1800</v>
      </c>
      <c r="F11750" s="30" t="n">
        <f aca="false">Sens!F11749-Sens!F11748</f>
        <v>3480.35673333333</v>
      </c>
      <c r="G11750" s="30" t="n">
        <f aca="false">Sens!G11749-Sens!G11748</f>
        <v>5298.0468</v>
      </c>
      <c r="H11750" s="30" t="n">
        <f aca="false">Sens!H11749-Sens!H11748</f>
        <v>7115.73686666667</v>
      </c>
      <c r="I11750" s="30" t="n">
        <f aca="false">Sens!I11749-Sens!I11748</f>
        <v>8403.72761311111</v>
      </c>
      <c r="J11750" s="30" t="n">
        <f aca="false">Sens!J11749-Sens!J11748</f>
        <v>9187.77885426222</v>
      </c>
      <c r="K11750" s="30" t="n">
        <f aca="false">Sens!K11749-Sens!K11748</f>
        <v>9478.53221989009</v>
      </c>
    </row>
    <row r="11751" customFormat="false" ht="17.15" hidden="false" customHeight="false" outlineLevel="0" collapsed="false">
      <c r="A11751" s="1" t="s">
        <v>962</v>
      </c>
      <c r="B11751" s="0" t="s">
        <v>459</v>
      </c>
      <c r="C11751" s="30" t="n">
        <f aca="false">Sens!C11749</f>
        <v>816.666666666667</v>
      </c>
      <c r="D11751" s="30" t="n">
        <f aca="false">Sens!D11749-Sens!C11749</f>
        <v>1233.33333333333</v>
      </c>
      <c r="E11751" s="30" t="n">
        <f aca="false">Sens!E11749-Sens!D11749</f>
        <v>2450</v>
      </c>
      <c r="F11751" s="30" t="n">
        <f aca="false">Sens!F11749-Sens!E11749</f>
        <v>4200.89183333333</v>
      </c>
      <c r="G11751" s="30" t="n">
        <f aca="false">Sens!G11749-Sens!F11749</f>
        <v>4544.22516666667</v>
      </c>
      <c r="H11751" s="30" t="n">
        <f aca="false">Sens!H11749-Sens!G11749</f>
        <v>4544.22516666667</v>
      </c>
      <c r="I11751" s="30" t="n">
        <f aca="false">Sens!I11749-Sens!H11749</f>
        <v>3219.97686611111</v>
      </c>
      <c r="J11751" s="30" t="n">
        <f aca="false">Sens!J11749-Sens!I11749</f>
        <v>1960.12810287778</v>
      </c>
      <c r="K11751" s="30" t="n">
        <f aca="false">Sens!K11749-Sens!J11749</f>
        <v>726.883414069667</v>
      </c>
    </row>
    <row r="11752" customFormat="false" ht="17.15" hidden="false" customHeight="false" outlineLevel="0" collapsed="false">
      <c r="A11752" s="1" t="s">
        <v>963</v>
      </c>
      <c r="B11752" s="0" t="s">
        <v>459</v>
      </c>
      <c r="D11752" s="30" t="n">
        <f aca="false">Sens!D11746-Sens!C11746</f>
        <v>990</v>
      </c>
      <c r="E11752" s="30" t="n">
        <f aca="false">Sens!E11746-Sens!D11746</f>
        <v>1620</v>
      </c>
      <c r="F11752" s="30" t="n">
        <f aca="false">Sens!F11746-Sens!E11746</f>
        <v>2726.5351</v>
      </c>
      <c r="G11752" s="30" t="n">
        <f aca="false">Sens!G11746-Sens!F11746</f>
        <v>2726.5351</v>
      </c>
      <c r="H11752" s="30" t="n">
        <f aca="false">Sens!H11746-Sens!G11746</f>
        <v>2726.5351</v>
      </c>
      <c r="I11752" s="30" t="n">
        <f aca="false">Sens!I11746-Sens!H11746</f>
        <v>1931.98611966667</v>
      </c>
      <c r="J11752" s="30" t="n">
        <f aca="false">Sens!J11746-Sens!I11746</f>
        <v>1176.07686172667</v>
      </c>
      <c r="K11752" s="30" t="n">
        <f aca="false">Sens!K11746-Sens!J11746</f>
        <v>436.130048441799</v>
      </c>
    </row>
    <row r="11753" customFormat="false" ht="17.15" hidden="false" customHeight="false" outlineLevel="0" collapsed="false">
      <c r="A11753" s="1" t="s">
        <v>964</v>
      </c>
      <c r="B11753" s="0" t="s">
        <v>459</v>
      </c>
      <c r="F11753" s="30" t="n">
        <f aca="false">Sens!F11772*ext_sh</f>
        <v>0</v>
      </c>
      <c r="G11753" s="30" t="n">
        <f aca="false">Sens!G11772*ext_sh</f>
        <v>0</v>
      </c>
      <c r="H11753" s="30" t="n">
        <f aca="false">Sens!H11772*ext_sh</f>
        <v>0</v>
      </c>
      <c r="I11753" s="30" t="n">
        <f aca="false">Sens!I11772*ext_sh</f>
        <v>490</v>
      </c>
      <c r="J11753" s="30" t="n">
        <f aca="false">Sens!J11772*ext_sh</f>
        <v>740</v>
      </c>
      <c r="K11753" s="30" t="n">
        <f aca="false">Sens!K11772*ext_sh</f>
        <v>1470</v>
      </c>
      <c r="L11753" s="1" t="s">
        <v>965</v>
      </c>
    </row>
    <row r="11754" customFormat="false" ht="17.15" hidden="false" customHeight="false" outlineLevel="0" collapsed="false">
      <c r="A11754" s="1" t="s">
        <v>966</v>
      </c>
      <c r="B11754" s="0" t="s">
        <v>459</v>
      </c>
      <c r="C11754" s="30" t="n">
        <f aca="false">mix_h*Sens!C11746</f>
        <v>128</v>
      </c>
      <c r="D11754" s="30" t="n">
        <f aca="false">mix_h*Sens!D11746</f>
        <v>326</v>
      </c>
      <c r="E11754" s="30" t="n">
        <f aca="false">mix_h*Sens!E11746</f>
        <v>650</v>
      </c>
      <c r="F11754" s="30" t="n">
        <f aca="false">Sens!E11754-Sens!F11753*mix_h</f>
        <v>650</v>
      </c>
      <c r="G11754" s="30" t="n">
        <f aca="false">Sens!F11754-Sens!G11753*mix_h</f>
        <v>650</v>
      </c>
      <c r="H11754" s="30" t="n">
        <f aca="false">Sens!G11754-Sens!H11753*mix_h</f>
        <v>650</v>
      </c>
      <c r="I11754" s="30" t="n">
        <f aca="false">Sens!H11754-Sens!I11753*mix_h</f>
        <v>552</v>
      </c>
      <c r="J11754" s="30" t="n">
        <f aca="false">Sens!I11754-Sens!J11753*mix_h</f>
        <v>404</v>
      </c>
      <c r="K11754" s="30" t="n">
        <f aca="false">Sens!J11754-Sens!K11753*mix_h</f>
        <v>110</v>
      </c>
    </row>
    <row r="11755" customFormat="false" ht="17.15" hidden="false" customHeight="false" outlineLevel="0" collapsed="false">
      <c r="A11755" s="1" t="s">
        <v>967</v>
      </c>
      <c r="B11755" s="0" t="s">
        <v>459</v>
      </c>
      <c r="C11755" s="30" t="n">
        <f aca="false">mix_g2*Sens!C11746</f>
        <v>288</v>
      </c>
      <c r="D11755" s="30" t="n">
        <f aca="false">mix_g2*Sens!D11746</f>
        <v>733.5</v>
      </c>
      <c r="E11755" s="30" t="n">
        <f aca="false">mix_g2*Sens!E11746</f>
        <v>1462.5</v>
      </c>
      <c r="F11755" s="30" t="n">
        <f aca="false">Sens!E11755-Sens!F11753*mix_g2</f>
        <v>1462.5</v>
      </c>
      <c r="G11755" s="30" t="n">
        <f aca="false">Sens!F11755-Sens!G11753*mix_g2</f>
        <v>1462.5</v>
      </c>
      <c r="H11755" s="30" t="n">
        <f aca="false">Sens!G11755-Sens!H11753*mix_g2</f>
        <v>1462.5</v>
      </c>
      <c r="I11755" s="30" t="n">
        <f aca="false">Sens!H11755-Sens!I11753*mix_g2</f>
        <v>1242</v>
      </c>
      <c r="J11755" s="30" t="n">
        <f aca="false">Sens!I11755-Sens!J11753*mix_g2</f>
        <v>909</v>
      </c>
      <c r="K11755" s="30" t="n">
        <f aca="false">Sens!J11755-Sens!K11753*mix_g2</f>
        <v>247.5</v>
      </c>
    </row>
    <row r="11756" customFormat="false" ht="17.15" hidden="false" customHeight="false" outlineLevel="0" collapsed="false">
      <c r="A11756" s="1" t="s">
        <v>968</v>
      </c>
      <c r="B11756" s="0" t="s">
        <v>459</v>
      </c>
      <c r="C11756" s="30" t="n">
        <f aca="false">mix_g3*Sens!C11746</f>
        <v>224</v>
      </c>
      <c r="D11756" s="30" t="n">
        <f aca="false">mix_g3*Sens!D11746</f>
        <v>570.5</v>
      </c>
      <c r="E11756" s="30" t="n">
        <f aca="false">mix_g3*Sens!E11746</f>
        <v>1137.5</v>
      </c>
      <c r="F11756" s="30" t="n">
        <f aca="false">Sens!E11756+(Sens!F11752+Sens!F11753)*(a_g3_27-nonnv*a_mai)-Sens!F11753*mix_g3</f>
        <v>2773.42106</v>
      </c>
      <c r="G11756" s="30" t="n">
        <f aca="false">Sens!F11756+(Sens!G11752+Sens!G11753)*(a_g3_28-nonnv*a_mai)-Sens!G11753*mix_g3</f>
        <v>3318.72808</v>
      </c>
      <c r="H11756" s="30" t="n">
        <f aca="false">Sens!G11756+(Sens!H11752+Sens!H11753)*(a_g3_29-nonnv*a_mai)-Sens!H11753*mix_g3</f>
        <v>3318.72808</v>
      </c>
      <c r="I11756" s="30" t="n">
        <f aca="false">Sens!H11756+(Sens!I11752+Sens!I11753)*(a_g3_29-nonnv*a_mai)-Sens!I11753*mix_g3</f>
        <v>3147.22808</v>
      </c>
      <c r="J11756" s="30" t="n">
        <f aca="false">Sens!I11756+(Sens!J11752+Sens!J11753)*(a_g3_29-nonnv*a_mai)-Sens!J11753*mix_g3</f>
        <v>2888.22808</v>
      </c>
      <c r="K11756" s="30" t="n">
        <f aca="false">Sens!J11756+(Sens!K11752+Sens!K11753)*(a_g3_29-nonnv*a_mai)-Sens!K11753*mix_g3</f>
        <v>2373.72808</v>
      </c>
    </row>
    <row r="11757" customFormat="false" ht="17.15" hidden="false" customHeight="false" outlineLevel="0" collapsed="false">
      <c r="A11757" s="1" t="s">
        <v>969</v>
      </c>
      <c r="B11757" s="0" t="s">
        <v>459</v>
      </c>
      <c r="C11757" s="30" t="n">
        <v>0</v>
      </c>
      <c r="D11757" s="30" t="n">
        <v>0</v>
      </c>
      <c r="E11757" s="30" t="n">
        <v>0</v>
      </c>
      <c r="F11757" s="30" t="n">
        <f aca="false">Sens!E11757+(Sens!F11752+Sens!F11753)*nonnv*a_mai</f>
        <v>272.65351</v>
      </c>
      <c r="G11757" s="30" t="n">
        <f aca="false">Sens!F11757+(Sens!G11752+Sens!G11753)*nonnv*a_mai</f>
        <v>545.30702</v>
      </c>
      <c r="H11757" s="30" t="n">
        <f aca="false">Sens!G11757+(Sens!H11752+Sens!H11753)*nonnv*a_mai</f>
        <v>817.96053</v>
      </c>
      <c r="I11757" s="30" t="n">
        <f aca="false">Sens!H11757+(Sens!I11752+Sens!I11753)*nonnv*a_mai</f>
        <v>1060.15914196667</v>
      </c>
      <c r="J11757" s="30" t="n">
        <f aca="false">Sens!I11757+(Sens!J11752+Sens!J11753)*nonnv*a_mai</f>
        <v>1251.76682813933</v>
      </c>
      <c r="K11757" s="30" t="n">
        <f aca="false">Sens!J11757+(Sens!K11752+Sens!K11753)*nonnv*a_mai</f>
        <v>1442.37983298351</v>
      </c>
      <c r="L11757" s="12" t="s">
        <v>970</v>
      </c>
    </row>
    <row r="11758" customFormat="false" ht="17.15" hidden="false" customHeight="false" outlineLevel="0" collapsed="false">
      <c r="A11758" s="1" t="s">
        <v>971</v>
      </c>
      <c r="B11758" s="0" t="s">
        <v>459</v>
      </c>
      <c r="C11758" s="30" t="n">
        <v>0</v>
      </c>
      <c r="D11758" s="30" t="n">
        <v>0</v>
      </c>
      <c r="E11758" s="30" t="n">
        <v>0</v>
      </c>
      <c r="F11758" s="30" t="n">
        <f aca="false">Sens!E11758+(Sens!F11752+Sens!F11753)*(1-a_g3_27)</f>
        <v>817.96053</v>
      </c>
      <c r="G11758" s="30" t="n">
        <f aca="false">Sens!F11758+(Sens!G11752+Sens!G11753)*(1-a_g3_28)</f>
        <v>2726.5351</v>
      </c>
      <c r="H11758" s="30" t="n">
        <f aca="false">Sens!G11758+(Sens!H11752+Sens!H11753)*(1-a_g3_29)</f>
        <v>5180.41669</v>
      </c>
      <c r="I11758" s="30" t="n">
        <f aca="false">Sens!H11758+(Sens!I11752+Sens!I11753)*(1-a_g3_29)</f>
        <v>7360.2041977</v>
      </c>
      <c r="J11758" s="30" t="n">
        <f aca="false">Sens!I11758+(Sens!J11752+Sens!J11753)*(1-a_g3_29)</f>
        <v>9084.673373254</v>
      </c>
      <c r="K11758" s="30" t="n">
        <f aca="false">Sens!J11758+(Sens!K11752+Sens!K11753)*(1-a_g3_29)</f>
        <v>10800.1904168516</v>
      </c>
    </row>
    <row r="11759" customFormat="false" ht="17.15" hidden="false" customHeight="false" outlineLevel="0" collapsed="false">
      <c r="A11759" s="1" t="s">
        <v>972</v>
      </c>
      <c r="B11759" s="0" t="s">
        <v>403</v>
      </c>
      <c r="C11759" s="15" t="n">
        <f aca="false">(Sens!C11754*tk_hold_h100+Sens!C11755*tk_hold_gb200+Sens!C11756*tk_hold_gb300+Sens!C11758*tk_hold_vr200+Sens!C11757*nv_hold_mai*tk_hold_vr200)/Sens!C11746</f>
        <v>9.7235358126469</v>
      </c>
      <c r="D11759" s="15" t="n">
        <f aca="false">(Sens!D11754*tk_hold_h100+Sens!D11755*tk_hold_gb200+Sens!D11756*tk_hold_gb300+Sens!D11758*tk_hold_vr200+Sens!D11757*nv_hold_mai*tk_hold_vr200)/Sens!D11746</f>
        <v>9.7235358126469</v>
      </c>
      <c r="E11759" s="15" t="n">
        <f aca="false">(Sens!E11754*tk_hold_h100+Sens!E11755*tk_hold_gb200+Sens!E11756*tk_hold_gb300+Sens!E11758*tk_hold_vr200+Sens!E11757*nv_hold_mai*tk_hold_vr200)/Sens!E11746</f>
        <v>9.7235358126469</v>
      </c>
      <c r="F11759" s="15" t="n">
        <f aca="false">(Sens!F11754*tk_hold_h100+Sens!F11755*tk_hold_gb200+Sens!F11756*tk_hold_gb300+Sens!F11758*tk_hold_vr200+Sens!F11757*nv_hold_mai*tk_hold_vr200)/Sens!F11746</f>
        <v>10.2195353876665</v>
      </c>
      <c r="G11759" s="15" t="n">
        <f aca="false">(Sens!G11754*tk_hold_h100+Sens!G11755*tk_hold_gb200+Sens!G11756*tk_hold_gb300+Sens!G11758*tk_hold_vr200+Sens!G11757*nv_hold_mai*tk_hold_vr200)/Sens!G11746</f>
        <v>10.5725598017306</v>
      </c>
      <c r="H11759" s="15" t="n">
        <f aca="false">(Sens!H11754*tk_hold_h100+Sens!H11755*tk_hold_gb200+Sens!H11756*tk_hold_gb300+Sens!H11758*tk_hold_vr200+Sens!H11757*nv_hold_mai*tk_hold_vr200)/Sens!H11746</f>
        <v>10.8210427149036</v>
      </c>
      <c r="I11759" s="15" t="n">
        <f aca="false">(Sens!I11754*tk_hold_h100+Sens!I11755*tk_hold_gb200+Sens!I11756*tk_hold_gb300+Sens!I11758*tk_hold_vr200+Sens!I11757*nv_hold_mai*tk_hold_vr200)/Sens!I11746</f>
        <v>11.0050618241982</v>
      </c>
      <c r="J11759" s="15" t="n">
        <f aca="false">(Sens!J11754*tk_hold_h100+Sens!J11755*tk_hold_gb200+Sens!J11756*tk_hold_gb300+Sens!J11758*tk_hold_vr200+Sens!J11757*nv_hold_mai*tk_hold_vr200)/Sens!J11746</f>
        <v>11.1505789658881</v>
      </c>
      <c r="K11759" s="15" t="n">
        <f aca="false">(Sens!K11754*tk_hold_h100+Sens!K11755*tk_hold_gb200+Sens!K11756*tk_hold_gb300+Sens!K11758*tk_hold_vr200+Sens!K11757*nv_hold_mai*tk_hold_vr200)/Sens!K11746</f>
        <v>11.3496914757183</v>
      </c>
      <c r="L11759" s="1" t="s">
        <v>973</v>
      </c>
    </row>
    <row r="11760" customFormat="false" ht="17.15" hidden="false" customHeight="false" outlineLevel="0" collapsed="false">
      <c r="A11760" s="1" t="s">
        <v>974</v>
      </c>
      <c r="B11760" s="0" t="s">
        <v>403</v>
      </c>
      <c r="C11760" s="15" t="n">
        <f aca="false">(Sens!C11754*tk_hold_h100+Sens!C11755*tk_hold_gb200+Sens!C11756*tk_hold_gb300+Sens!C11758*tk_hold_vr200+Sens!C11757*nv_out_mai*tk_hold_vr200)/Sens!C11746</f>
        <v>9.7235358126469</v>
      </c>
      <c r="D11760" s="15" t="n">
        <f aca="false">(Sens!D11754*tk_hold_h100+Sens!D11755*tk_hold_gb200+Sens!D11756*tk_hold_gb300+Sens!D11758*tk_hold_vr200+Sens!D11757*nv_out_mai*tk_hold_vr200)/Sens!D11746</f>
        <v>9.7235358126469</v>
      </c>
      <c r="E11760" s="15" t="n">
        <f aca="false">(Sens!E11754*tk_hold_h100+Sens!E11755*tk_hold_gb200+Sens!E11756*tk_hold_gb300+Sens!E11758*tk_hold_vr200+Sens!E11757*nv_out_mai*tk_hold_vr200)/Sens!E11746</f>
        <v>9.7235358126469</v>
      </c>
      <c r="F11760" s="15" t="n">
        <f aca="false">(Sens!F11754*tk_hold_h100+Sens!F11755*tk_hold_gb200+Sens!F11756*tk_hold_gb300+Sens!F11758*tk_hold_vr200+Sens!F11757*nv_out_mai*tk_hold_vr200)/Sens!F11746</f>
        <v>10.247422093969</v>
      </c>
      <c r="G11760" s="15" t="n">
        <f aca="false">(Sens!G11754*tk_hold_h100+Sens!G11755*tk_hold_gb200+Sens!G11756*tk_hold_gb300+Sens!G11758*tk_hold_vr200+Sens!G11757*nv_out_mai*tk_hold_vr200)/Sens!G11746</f>
        <v>10.6108602808053</v>
      </c>
      <c r="H11760" s="15" t="n">
        <f aca="false">(Sens!H11754*tk_hold_h100+Sens!H11755*tk_hold_gb200+Sens!H11756*tk_hold_gb300+Sens!H11758*tk_hold_vr200+Sens!H11757*nv_out_mai*tk_hold_vr200)/Sens!H11746</f>
        <v>10.8647885507393</v>
      </c>
      <c r="I11760" s="15" t="n">
        <f aca="false">(Sens!I11754*tk_hold_h100+Sens!I11755*tk_hold_gb200+Sens!I11756*tk_hold_gb300+Sens!I11758*tk_hold_vr200+Sens!I11757*nv_out_mai*tk_hold_vr200)/Sens!I11746</f>
        <v>11.0535625770025</v>
      </c>
      <c r="J11760" s="15" t="n">
        <f aca="false">(Sens!J11754*tk_hold_h100+Sens!J11755*tk_hold_gb200+Sens!J11756*tk_hold_gb300+Sens!J11758*tk_hold_vr200+Sens!J11757*nv_out_mai*tk_hold_vr200)/Sens!J11746</f>
        <v>11.2032127128058</v>
      </c>
      <c r="K11760" s="15" t="n">
        <f aca="false">(Sens!K11754*tk_hold_h100+Sens!K11755*tk_hold_gb200+Sens!K11756*tk_hold_gb300+Sens!K11758*tk_hold_vr200+Sens!K11757*nv_out_mai*tk_hold_vr200)/Sens!K11746</f>
        <v>11.4085735724225</v>
      </c>
      <c r="L11760" s="12" t="s">
        <v>975</v>
      </c>
    </row>
    <row r="11761" customFormat="false" ht="17.15" hidden="false" customHeight="false" outlineLevel="0" collapsed="false">
      <c r="A11761" s="0" t="s">
        <v>976</v>
      </c>
      <c r="B11761" s="0" t="s">
        <v>229</v>
      </c>
      <c r="C11761" s="15" t="n">
        <f aca="false">k_B</f>
        <v>1.17213932619116</v>
      </c>
      <c r="D11761" s="15" t="n">
        <f aca="false">k_B</f>
        <v>1.17213932619116</v>
      </c>
      <c r="E11761" s="15" t="n">
        <f aca="false">k_B</f>
        <v>1.17213932619116</v>
      </c>
      <c r="F11761" s="15" t="n">
        <f aca="false">(k_B+((ls_B*k_long+(1-ls_B)*k_spot)-k_B)*MIN(1,(Sens!F11744-base_fy)/k_ramp))</f>
        <v>1.17213932619116</v>
      </c>
      <c r="G11761" s="15" t="n">
        <f aca="false">(k_B+((ls_B*k_long+(1-ls_B)*k_spot)-k_B)*MIN(1,(Sens!G11744-base_fy)/k_ramp))</f>
        <v>1.17213932619116</v>
      </c>
      <c r="H11761" s="15" t="n">
        <f aca="false">(k_B+((ls_B*k_long+(1-ls_B)*k_spot)-k_B)*MIN(1,(Sens!H11744-base_fy)/k_ramp))</f>
        <v>1.17213932619116</v>
      </c>
      <c r="I11761" s="15" t="n">
        <f aca="false">(k_B+((ls_B*k_long+(1-ls_B)*k_spot)-k_B)*MIN(1,(Sens!I11744-base_fy)/k_ramp))</f>
        <v>1.17213932619116</v>
      </c>
      <c r="J11761" s="15" t="n">
        <f aca="false">(k_B+((ls_B*k_long+(1-ls_B)*k_spot)-k_B)*MIN(1,(Sens!J11744-base_fy)/k_ramp))</f>
        <v>1.17213932619116</v>
      </c>
      <c r="K11761" s="15" t="n">
        <f aca="false">(k_B+((ls_B*k_long+(1-ls_B)*k_spot)-k_B)*MIN(1,(Sens!K11744-base_fy)/k_ramp))</f>
        <v>1.17213932619116</v>
      </c>
      <c r="L11761" s="1" t="s">
        <v>977</v>
      </c>
    </row>
    <row r="11762" customFormat="false" ht="17.15" hidden="false" customHeight="false" outlineLevel="0" collapsed="false">
      <c r="A11762" s="1" t="s">
        <v>978</v>
      </c>
      <c r="B11762" s="0" t="s">
        <v>403</v>
      </c>
      <c r="C11762" s="15" t="n">
        <f aca="false">Sens!C11760*Sens!C11761*chip_f</f>
        <v>11.3973387156315</v>
      </c>
      <c r="D11762" s="15" t="n">
        <f aca="false">Sens!D11760*Sens!D11761*chip_f</f>
        <v>11.3973387156315</v>
      </c>
      <c r="E11762" s="15" t="n">
        <f aca="false">Sens!E11760*Sens!E11761*chip_f</f>
        <v>11.3973387156315</v>
      </c>
      <c r="F11762" s="15" t="n">
        <f aca="false">Sens!F11760*Sens!F11761*chip_f</f>
        <v>12.0114064284211</v>
      </c>
      <c r="G11762" s="15" t="n">
        <f aca="false">Sens!G11760*Sens!G11761*chip_f</f>
        <v>12.4374066198516</v>
      </c>
      <c r="H11762" s="15" t="n">
        <f aca="false">Sens!H11760*Sens!H11761*chip_f</f>
        <v>12.735045931073</v>
      </c>
      <c r="I11762" s="15" t="n">
        <f aca="false">Sens!I11760*Sens!I11761*chip_f</f>
        <v>12.9563153910195</v>
      </c>
      <c r="J11762" s="15" t="n">
        <f aca="false">Sens!J11760*Sens!J11761*chip_f</f>
        <v>13.1317262003643</v>
      </c>
      <c r="K11762" s="15" t="n">
        <f aca="false">Sens!K11760*Sens!K11761*chip_f</f>
        <v>13.3724377399815</v>
      </c>
      <c r="L11762" s="1" t="s">
        <v>979</v>
      </c>
    </row>
    <row r="11763" customFormat="false" ht="17.15" hidden="false" customHeight="false" outlineLevel="0" collapsed="false">
      <c r="A11763" s="0" t="s">
        <v>980</v>
      </c>
      <c r="B11763" s="0" t="s">
        <v>98</v>
      </c>
      <c r="D11763" s="6" t="n">
        <f aca="false">(Sens!C11746+Sens!D11746)/2*Sens!D11762/1000</f>
        <v>12.9359794422418</v>
      </c>
      <c r="E11763" s="6" t="n">
        <f aca="false">(Sens!D11746+Sens!E11746)/2*Sens!E11762/1000</f>
        <v>27.8095064661409</v>
      </c>
      <c r="F11763" s="6" t="n">
        <f aca="false">(Sens!E11746+Sens!F11746)/2*Sens!F11762/1000</f>
        <v>55.4118315060966</v>
      </c>
      <c r="G11763" s="6" t="n">
        <f aca="false">(Sens!F11746+Sens!G11746)/2*Sens!G11762/1000</f>
        <v>91.2881100675143</v>
      </c>
      <c r="H11763" s="6" t="n">
        <f aca="false">(Sens!G11746+Sens!H11746)/2*Sens!H11762/1000</f>
        <v>128.195273603944</v>
      </c>
      <c r="I11763" s="6" t="n">
        <f aca="false">(Sens!H11746+Sens!I11746)/2*Sens!I11762/1000</f>
        <v>160.601281810405</v>
      </c>
      <c r="J11763" s="6" t="n">
        <f aca="false">(Sens!I11746+Sens!J11746)/2*Sens!J11762/1000</f>
        <v>183.182719793589</v>
      </c>
      <c r="K11763" s="6" t="n">
        <f aca="false">(Sens!J11746+Sens!K11746)/2*Sens!K11762/1000</f>
        <v>197.320124937098</v>
      </c>
      <c r="L11763" s="12" t="s">
        <v>981</v>
      </c>
    </row>
    <row r="11764" customFormat="false" ht="17.15" hidden="false" customHeight="false" outlineLevel="0" collapsed="false">
      <c r="A11764" s="1" t="s">
        <v>982</v>
      </c>
      <c r="B11764" s="0" t="s">
        <v>403</v>
      </c>
      <c r="C11764" s="15" t="n">
        <f aca="false">(Sens!C11754*tk_opex_h100+Sens!C11755*tk_opex_gb200+Sens!C11756*tk_opex_gb300+(Sens!C11758+Sens!C11757)*tk_opex_vr200)/Sens!C11746</f>
        <v>1.88636041306092</v>
      </c>
      <c r="D11764" s="15" t="n">
        <f aca="false">(Sens!D11754*tk_opex_h100+Sens!D11755*tk_opex_gb200+Sens!D11756*tk_opex_gb300+(Sens!D11758+Sens!D11757)*tk_opex_vr200)/Sens!D11746</f>
        <v>1.88636041306092</v>
      </c>
      <c r="E11764" s="15" t="n">
        <f aca="false">(Sens!E11754*tk_opex_h100+Sens!E11755*tk_opex_gb200+Sens!E11756*tk_opex_gb300+(Sens!E11758+Sens!E11757)*tk_opex_vr200)/Sens!E11746</f>
        <v>1.88636041306092</v>
      </c>
      <c r="F11764" s="15" t="n">
        <f aca="false">(Sens!F11754*tk_opex_h100+Sens!F11755*tk_opex_gb200+Sens!F11756*tk_opex_gb300+(Sens!F11758+Sens!F11757)*tk_opex_vr200)/Sens!F11746</f>
        <v>1.95051159746876</v>
      </c>
      <c r="G11764" s="15" t="n">
        <f aca="false">(Sens!G11754*tk_opex_h100+Sens!G11755*tk_opex_gb200+Sens!G11756*tk_opex_gb300+(Sens!G11758+Sens!G11757)*tk_opex_vr200)/Sens!G11746</f>
        <v>1.98836003669956</v>
      </c>
      <c r="H11764" s="15" t="n">
        <f aca="false">(Sens!H11754*tk_opex_h100+Sens!H11755*tk_opex_gb200+Sens!H11756*tk_opex_gb300+(Sens!H11758+Sens!H11757)*tk_opex_vr200)/Sens!H11746</f>
        <v>2.01344013834343</v>
      </c>
      <c r="I11764" s="15" t="n">
        <f aca="false">(Sens!I11754*tk_opex_h100+Sens!I11755*tk_opex_gb200+Sens!I11756*tk_opex_gb300+(Sens!I11758+Sens!I11757)*tk_opex_vr200)/Sens!I11746</f>
        <v>2.03261166882178</v>
      </c>
      <c r="J11764" s="15" t="n">
        <f aca="false">(Sens!J11754*tk_opex_h100+Sens!J11755*tk_opex_gb200+Sens!J11756*tk_opex_gb300+(Sens!J11758+Sens!J11757)*tk_opex_vr200)/Sens!J11746</f>
        <v>2.04808073288745</v>
      </c>
      <c r="K11764" s="15" t="n">
        <f aca="false">(Sens!K11754*tk_opex_h100+Sens!K11755*tk_opex_gb200+Sens!K11756*tk_opex_gb300+(Sens!K11758+Sens!K11757)*tk_opex_vr200)/Sens!K11746</f>
        <v>2.06973825807449</v>
      </c>
      <c r="L11764" s="12" t="s">
        <v>983</v>
      </c>
    </row>
    <row r="11765" customFormat="false" ht="17.15" hidden="false" customHeight="false" outlineLevel="0" collapsed="false">
      <c r="A11765" s="0" t="s">
        <v>984</v>
      </c>
      <c r="B11765" s="0" t="s">
        <v>98</v>
      </c>
      <c r="D11765" s="6" t="n">
        <f aca="false">(Sens!C11749+Sens!D11749)/2*Sens!D11764/1000</f>
        <v>2.70378325872065</v>
      </c>
      <c r="E11765" s="6" t="n">
        <f aca="false">(Sens!D11749+Sens!E11749)/2*Sens!E11764/1000</f>
        <v>6.17783035277451</v>
      </c>
      <c r="F11765" s="6" t="n">
        <f aca="false">(Sens!E11749+Sens!F11749)/2*Sens!F11764/1000</f>
        <v>12.8742463089237</v>
      </c>
      <c r="G11765" s="6" t="n">
        <f aca="false">(Sens!F11749+Sens!G11749)/2*Sens!G11764/1000</f>
        <v>21.8182834646277</v>
      </c>
      <c r="H11765" s="6" t="n">
        <f aca="false">(Sens!G11749+Sens!H11749)/2*Sens!H11764/1000</f>
        <v>31.2430128789734</v>
      </c>
      <c r="I11765" s="6" t="n">
        <f aca="false">(Sens!H11749+Sens!I11749)/2*Sens!I11764/1000</f>
        <v>39.4313057443268</v>
      </c>
      <c r="J11765" s="6" t="n">
        <f aca="false">(Sens!I11749+Sens!J11749)/2*Sens!J11764/1000</f>
        <v>45.0360318228653</v>
      </c>
      <c r="K11765" s="6" t="n">
        <f aca="false">(Sens!J11749+Sens!K11749)/2*Sens!K11764/1000</f>
        <v>48.2929727091156</v>
      </c>
    </row>
    <row r="11766" customFormat="false" ht="17.15" hidden="false" customHeight="false" outlineLevel="0" collapsed="false">
      <c r="A11766" s="0" t="s">
        <v>985</v>
      </c>
      <c r="B11766" s="0" t="s">
        <v>98</v>
      </c>
      <c r="D11766" s="6" t="n">
        <f aca="false">(Sens!C11747+Sens!D11747)/2*rent_mw/1000</f>
        <v>2.44475</v>
      </c>
      <c r="E11766" s="6" t="n">
        <f aca="false">(Sens!D11747+Sens!E11747)/2*rent_mw/1000</f>
        <v>4.22275</v>
      </c>
      <c r="F11766" s="6" t="n">
        <f aca="false">(Sens!E11747+Sens!F11747)/2*rent_mw/1000</f>
        <v>5.80517</v>
      </c>
      <c r="G11766" s="6" t="n">
        <f aca="false">(Sens!F11747+Sens!G11747)/2*rent_mw/1000</f>
        <v>6.72084</v>
      </c>
      <c r="H11766" s="6" t="n">
        <f aca="false">(Sens!G11747+Sens!H11747)/2*rent_mw/1000</f>
        <v>6.72084</v>
      </c>
      <c r="I11766" s="6" t="n">
        <f aca="false">(Sens!H11747+Sens!I11747)/2*rent_mw/1000</f>
        <v>6.72084</v>
      </c>
      <c r="J11766" s="6" t="n">
        <f aca="false">(Sens!I11747+Sens!J11747)/2*rent_mw/1000</f>
        <v>6.72084</v>
      </c>
      <c r="K11766" s="6" t="n">
        <f aca="false">(Sens!J11747+Sens!K11747)/2*rent_mw/1000</f>
        <v>6.72084</v>
      </c>
    </row>
    <row r="11767" customFormat="false" ht="17.15" hidden="false" customHeight="false" outlineLevel="0" collapsed="false">
      <c r="A11767" s="0" t="s">
        <v>986</v>
      </c>
      <c r="B11767" s="0" t="s">
        <v>98</v>
      </c>
      <c r="D11767" s="6" t="n">
        <f aca="false">(Sens!C11749+Sens!D11749)/2*(1-self_build)*fac_rent/1000</f>
        <v>0.853242375631075</v>
      </c>
      <c r="E11767" s="6" t="n">
        <f aca="false">(Sens!D11749+Sens!E11749)/2*(1-self_build)*fac_rent/1000</f>
        <v>1.94955961408728</v>
      </c>
      <c r="F11767" s="6" t="n">
        <f aca="false">(Sens!E11749+Sens!F11749)/2*(1-self_build)*fac_rent/1000</f>
        <v>3.92914894476356</v>
      </c>
      <c r="G11767" s="6" t="n">
        <f aca="false">(Sens!F11749+Sens!G11749)/2*(1-self_build)*fac_rent/1000</f>
        <v>6.53206908578159</v>
      </c>
      <c r="H11767" s="6" t="n">
        <f aca="false">(Sens!G11749+Sens!H11749)/2*(1-self_build)*fac_rent/1000</f>
        <v>9.23717988341591</v>
      </c>
      <c r="I11767" s="6" t="n">
        <f aca="false">(Sens!H11749+Sens!I11749)/2*(1-self_build)*fac_rent/1000</f>
        <v>11.5481378557393</v>
      </c>
      <c r="J11767" s="6" t="n">
        <f aca="false">(Sens!I11749+Sens!J11749)/2*(1-self_build)*fac_rent/1000</f>
        <v>13.0899582289108</v>
      </c>
      <c r="K11767" s="6" t="n">
        <f aca="false">(Sens!J11749+Sens!K11749)/2*(1-self_build)*fac_rent/1000</f>
        <v>13.8897275626556</v>
      </c>
      <c r="L11767" s="12" t="s">
        <v>987</v>
      </c>
    </row>
    <row r="11768" customFormat="false" ht="17.15" hidden="false" customHeight="false" outlineLevel="0" collapsed="false">
      <c r="A11768" s="1" t="s">
        <v>988</v>
      </c>
      <c r="B11768" s="0" t="s">
        <v>168</v>
      </c>
      <c r="D11768" s="7" t="n">
        <f aca="false">(Sens!C11748+Sens!D11748)/(Sens!C11749+Sens!D11749)</f>
        <v>0.6</v>
      </c>
      <c r="E11768" s="7" t="n">
        <f aca="false">(Sens!D11748+Sens!E11748)/(Sens!D11749+Sens!E11749)</f>
        <v>0.6</v>
      </c>
      <c r="F11768" s="7" t="n">
        <f aca="false">(Sens!E11748+Sens!F11748)/(Sens!E11749+Sens!F11749)</f>
        <v>0.6</v>
      </c>
      <c r="G11768" s="7" t="n">
        <f aca="false">(Sens!F11748+Sens!G11748)/(Sens!F11749+Sens!G11749)</f>
        <v>0.6</v>
      </c>
      <c r="H11768" s="7" t="n">
        <f aca="false">(Sens!G11748+Sens!H11748)/(Sens!G11749+Sens!H11749)</f>
        <v>0.6</v>
      </c>
      <c r="I11768" s="7" t="n">
        <f aca="false">(Sens!H11748+Sens!I11748)/(Sens!H11749+Sens!I11749)</f>
        <v>0.6</v>
      </c>
      <c r="J11768" s="7" t="n">
        <f aca="false">(Sens!I11748+Sens!J11748)/(Sens!I11749+Sens!J11749)</f>
        <v>0.6</v>
      </c>
      <c r="K11768" s="7" t="n">
        <f aca="false">(Sens!J11748+Sens!K11748)/(Sens!J11749+Sens!K11749)</f>
        <v>0.6</v>
      </c>
    </row>
    <row r="11769" customFormat="false" ht="17.15" hidden="false" customHeight="false" outlineLevel="0" collapsed="false">
      <c r="A11769" s="0" t="s">
        <v>989</v>
      </c>
      <c r="B11769" s="0" t="s">
        <v>98</v>
      </c>
      <c r="D11769" s="6" t="n">
        <f aca="false">Sens!D11763-Sens!D11768*(Sens!D11765+Sens!D11767)-Sens!D11766</f>
        <v>8.35701406163072</v>
      </c>
      <c r="E11769" s="6" t="n">
        <f aca="false">Sens!E11763-Sens!E11768*(Sens!E11765+Sens!E11767)-Sens!E11766</f>
        <v>18.7103224860238</v>
      </c>
      <c r="F11769" s="6" t="n">
        <f aca="false">Sens!F11763-Sens!F11768*(Sens!F11765+Sens!F11767)-Sens!F11766</f>
        <v>39.5246243538843</v>
      </c>
      <c r="G11769" s="6" t="n">
        <f aca="false">Sens!G11763-Sens!G11768*(Sens!G11765+Sens!G11767)-Sens!G11766</f>
        <v>67.5570585372687</v>
      </c>
      <c r="H11769" s="6" t="n">
        <f aca="false">Sens!H11763-Sens!H11768*(Sens!H11765+Sens!H11767)-Sens!H11766</f>
        <v>97.1863179465102</v>
      </c>
      <c r="I11769" s="6" t="n">
        <f aca="false">Sens!I11763-Sens!I11768*(Sens!I11765+Sens!I11767)-Sens!I11766</f>
        <v>123.292775650365</v>
      </c>
      <c r="J11769" s="6" t="n">
        <f aca="false">Sens!J11763-Sens!J11768*(Sens!J11765+Sens!J11767)-Sens!J11766</f>
        <v>141.586285762524</v>
      </c>
      <c r="K11769" s="6" t="n">
        <f aca="false">Sens!K11763-Sens!K11768*(Sens!K11765+Sens!K11767)-Sens!K11766</f>
        <v>153.289664774035</v>
      </c>
    </row>
    <row r="11770" customFormat="false" ht="17.15" hidden="false" customHeight="false" outlineLevel="0" collapsed="false">
      <c r="A11770" s="1" t="s">
        <v>990</v>
      </c>
      <c r="B11770" s="0" t="s">
        <v>98</v>
      </c>
      <c r="D11770" s="6" t="n">
        <f aca="false">(1-Sens!D11768)*(Sens!D11765+Sens!D11767)</f>
        <v>1.42281025374069</v>
      </c>
      <c r="E11770" s="6" t="n">
        <f aca="false">(1-Sens!E11768)*(Sens!E11765+Sens!E11767)</f>
        <v>3.25095598674472</v>
      </c>
      <c r="F11770" s="6" t="n">
        <f aca="false">(1-Sens!F11768)*(Sens!F11765+Sens!F11767)</f>
        <v>6.72135810147489</v>
      </c>
      <c r="G11770" s="6" t="n">
        <f aca="false">(1-Sens!G11768)*(Sens!G11765+Sens!G11767)</f>
        <v>11.3401410201637</v>
      </c>
      <c r="H11770" s="6" t="n">
        <f aca="false">(1-Sens!H11768)*(Sens!H11765+Sens!H11767)</f>
        <v>16.1920771049557</v>
      </c>
      <c r="I11770" s="6" t="n">
        <f aca="false">(1-Sens!I11768)*(Sens!I11765+Sens!I11767)</f>
        <v>20.3917774400264</v>
      </c>
      <c r="J11770" s="6" t="n">
        <f aca="false">(1-Sens!J11768)*(Sens!J11765+Sens!J11767)</f>
        <v>23.2503960207104</v>
      </c>
      <c r="K11770" s="6" t="n">
        <f aca="false">(1-Sens!K11768)*(Sens!K11765+Sens!K11767)</f>
        <v>24.8730801087085</v>
      </c>
    </row>
    <row r="11771" customFormat="false" ht="17.15" hidden="false" customHeight="false" outlineLevel="0" collapsed="false">
      <c r="A11771" s="1" t="s">
        <v>991</v>
      </c>
      <c r="B11771" s="0" t="s">
        <v>417</v>
      </c>
      <c r="C11771" s="8" t="n">
        <f aca="false">cxit_open</f>
        <v>27.5918995</v>
      </c>
      <c r="D11771" s="8" t="n">
        <f aca="false">cxit_open</f>
        <v>27.5918995</v>
      </c>
      <c r="E11771" s="8" t="n">
        <f aca="false">cxit_open</f>
        <v>27.5918995</v>
      </c>
      <c r="F11771" s="8" t="n">
        <f aca="false">((a_g3_27-nonnv*a_mai)*tk_cxit_gb300+nonnv*a_mai*nv_hold_mai*tk_cxit_vr200+(1-a_g3_27)*tk_cxit_vr200)</f>
        <v>32.4975576</v>
      </c>
      <c r="G11771" s="8" t="n">
        <f aca="false">((a_g3_28-nonnv*a_mai)*tk_cxit_gb300+nonnv*a_mai*nv_hold_mai*tk_cxit_vr200+(1-a_g3_28)*tk_cxit_vr200)</f>
        <v>34.6372088</v>
      </c>
      <c r="H11771" s="8" t="n">
        <f aca="false">((a_g3_29-nonnv*a_mai)*tk_cxit_gb300+nonnv*a_mai*nv_hold_mai*tk_cxit_vr200+(1-a_g3_29)*tk_cxit_vr200)</f>
        <v>35.7070344</v>
      </c>
      <c r="I11771" s="8" t="n">
        <f aca="false">((a_g3_29-nonnv*a_mai)*tk_cxit_gb300+nonnv*a_mai*nv_hold_mai*tk_cxit_vr200+(1-a_g3_29)*tk_cxit_vr200)</f>
        <v>35.7070344</v>
      </c>
      <c r="J11771" s="8" t="n">
        <f aca="false">((a_g3_29-nonnv*a_mai)*tk_cxit_gb300+nonnv*a_mai*nv_hold_mai*tk_cxit_vr200+(1-a_g3_29)*tk_cxit_vr200)</f>
        <v>35.7070344</v>
      </c>
      <c r="K11771" s="8" t="n">
        <f aca="false">((a_g3_29-nonnv*a_mai)*tk_cxit_gb300+nonnv*a_mai*nv_hold_mai*tk_cxit_vr200+(1-a_g3_29)*tk_cxit_vr200)</f>
        <v>35.7070344</v>
      </c>
      <c r="L11771" s="12" t="s">
        <v>992</v>
      </c>
    </row>
    <row r="11772" customFormat="false" ht="17.15" hidden="false" customHeight="false" outlineLevel="0" collapsed="false">
      <c r="A11772" s="0" t="s">
        <v>993</v>
      </c>
      <c r="B11772" s="0" t="s">
        <v>459</v>
      </c>
      <c r="F11772" s="30" t="n">
        <f aca="false">Sens!C11751*IF(Sens!F11744-Sens!C11744=life_it,1,0)+Sens!D11751*IF(Sens!F11744-Sens!D11744=life_it,1,0)+Sens!E11751*IF(Sens!F11744-Sens!E11744=life_it,1,0)</f>
        <v>0</v>
      </c>
      <c r="G11772" s="30" t="n">
        <f aca="false">Sens!C11751*IF(Sens!G11744-Sens!C11744=life_it,1,0)+Sens!D11751*IF(Sens!G11744-Sens!D11744=life_it,1,0)+Sens!E11751*IF(Sens!G11744-Sens!E11744=life_it,1,0)+Sens!F11751*IF(Sens!G11744-Sens!F11744=life_it,1,0)</f>
        <v>0</v>
      </c>
      <c r="H11772" s="30" t="n">
        <f aca="false">Sens!C11751*IF(Sens!H11744-Sens!C11744=life_it,1,0)+Sens!D11751*IF(Sens!H11744-Sens!D11744=life_it,1,0)+Sens!E11751*IF(Sens!H11744-Sens!E11744=life_it,1,0)+Sens!F11751*IF(Sens!H11744-Sens!F11744=life_it,1,0)+Sens!G11751*IF(Sens!H11744-Sens!G11744=life_it,1,0)</f>
        <v>0</v>
      </c>
      <c r="I11772" s="30" t="n">
        <f aca="false">Sens!C11751*IF(Sens!I11744-Sens!C11744=life_it,1,0)+Sens!D11751*IF(Sens!I11744-Sens!D11744=life_it,1,0)+Sens!E11751*IF(Sens!I11744-Sens!E11744=life_it,1,0)+Sens!F11751*IF(Sens!I11744-Sens!F11744=life_it,1,0)+Sens!G11751*IF(Sens!I11744-Sens!G11744=life_it,1,0)+Sens!H11751*IF(Sens!I11744-Sens!H11744=life_it,1,0)</f>
        <v>816.666666666667</v>
      </c>
      <c r="J11772" s="30" t="n">
        <f aca="false">Sens!C11751*IF(Sens!J11744-Sens!C11744=life_it,1,0)+Sens!D11751*IF(Sens!J11744-Sens!D11744=life_it,1,0)+Sens!E11751*IF(Sens!J11744-Sens!E11744=life_it,1,0)+Sens!F11751*IF(Sens!J11744-Sens!F11744=life_it,1,0)+Sens!G11751*IF(Sens!J11744-Sens!G11744=life_it,1,0)+Sens!H11751*IF(Sens!J11744-Sens!H11744=life_it,1,0)+Sens!I11751*IF(Sens!J11744-Sens!I11744=life_it,1,0)</f>
        <v>1233.33333333333</v>
      </c>
      <c r="K11772" s="30" t="n">
        <f aca="false">Sens!C11751*IF(Sens!K11744-Sens!C11744=life_it,1,0)+Sens!D11751*IF(Sens!K11744-Sens!D11744=life_it,1,0)+Sens!E11751*IF(Sens!K11744-Sens!E11744=life_it,1,0)+Sens!F11751*IF(Sens!K11744-Sens!F11744=life_it,1,0)+Sens!G11751*IF(Sens!K11744-Sens!G11744=life_it,1,0)+Sens!H11751*IF(Sens!K11744-Sens!H11744=life_it,1,0)+Sens!I11751*IF(Sens!K11744-Sens!I11744=life_it,1,0)+Sens!J11751*IF(Sens!K11744-Sens!J11744=life_it,1,0)</f>
        <v>2450</v>
      </c>
      <c r="L11772" s="1" t="s">
        <v>994</v>
      </c>
    </row>
    <row r="11773" customFormat="false" ht="17.15" hidden="false" customHeight="false" outlineLevel="0" collapsed="false">
      <c r="A11773" s="0" t="s">
        <v>995</v>
      </c>
      <c r="B11773" s="0" t="s">
        <v>98</v>
      </c>
      <c r="C11773" s="6" t="n">
        <f aca="false">Sens!C11751*Sens!C11771/1000</f>
        <v>22.5333845916667</v>
      </c>
      <c r="D11773" s="6" t="n">
        <f aca="false">Sens!D11751*Sens!D11771/1000</f>
        <v>34.0300093833333</v>
      </c>
      <c r="E11773" s="6" t="n">
        <f aca="false">Sens!E11751*Sens!E11771/1000</f>
        <v>67.600153775</v>
      </c>
      <c r="F11773" s="6" t="n">
        <f aca="false">(Sens!F11751+Sens!F11772)*Sens!F11771/1000</f>
        <v>136.51872432512</v>
      </c>
      <c r="G11773" s="6" t="n">
        <f aca="false">(Sens!G11751+Sens!G11772)*Sens!G11771/1000</f>
        <v>157.399275932048</v>
      </c>
      <c r="H11773" s="6" t="n">
        <f aca="false">(Sens!H11751+Sens!H11772)*Sens!H11771/1000</f>
        <v>162.260804347512</v>
      </c>
      <c r="I11773" s="6" t="n">
        <f aca="false">(Sens!I11751+Sens!I11772)*Sens!I11771/1000</f>
        <v>144.136569485434</v>
      </c>
      <c r="J11773" s="6" t="n">
        <f aca="false">(Sens!J11751+Sens!J11772)*Sens!J11771/1000</f>
        <v>114.029037357864</v>
      </c>
      <c r="K11773" s="6" t="n">
        <f aca="false">(Sens!K11751+Sens!K11772)*Sens!K11771/1000</f>
        <v>113.437085350975</v>
      </c>
    </row>
    <row r="11774" customFormat="false" ht="17.15" hidden="false" customHeight="false" outlineLevel="0" collapsed="false">
      <c r="A11774" s="0" t="s">
        <v>996</v>
      </c>
      <c r="B11774" s="0" t="s">
        <v>98</v>
      </c>
      <c r="C11774" s="6" t="n">
        <f aca="false">Sens!C11751*self_build*tk_cxfac/1000</f>
        <v>6.2083</v>
      </c>
      <c r="D11774" s="6" t="n">
        <f aca="false">Sens!D11751*self_build*tk_cxfac/1000</f>
        <v>9.3758</v>
      </c>
      <c r="E11774" s="6" t="n">
        <f aca="false">Sens!E11751*self_build*tk_cxfac/1000</f>
        <v>18.6249</v>
      </c>
      <c r="F11774" s="6" t="n">
        <f aca="false">Sens!F11751*self_build*tk_cxfac/1000</f>
        <v>31.935179717</v>
      </c>
      <c r="G11774" s="6" t="n">
        <f aca="false">Sens!G11751*self_build*tk_cxfac/1000</f>
        <v>34.545199717</v>
      </c>
      <c r="H11774" s="6" t="n">
        <f aca="false">Sens!H11751*self_build*tk_cxfac/1000</f>
        <v>34.545199717</v>
      </c>
      <c r="I11774" s="6" t="n">
        <f aca="false">Sens!I11751*self_build*tk_cxfac/1000</f>
        <v>24.4782641361767</v>
      </c>
      <c r="J11774" s="6" t="n">
        <f aca="false">Sens!J11751*self_build*tk_cxfac/1000</f>
        <v>14.9008938380769</v>
      </c>
      <c r="K11774" s="6" t="n">
        <f aca="false">Sens!K11751*self_build*tk_cxfac/1000</f>
        <v>5.52576771375761</v>
      </c>
    </row>
    <row r="11775" customFormat="false" ht="17.15" hidden="false" customHeight="false" outlineLevel="0" collapsed="false">
      <c r="A11775" s="0" t="s">
        <v>997</v>
      </c>
      <c r="B11775" s="0" t="s">
        <v>98</v>
      </c>
      <c r="F11775" s="15" t="n">
        <f aca="false">capex_floor27-Sens!F11773-Sens!F11774-Sens!F11871</f>
        <v>0.00327585865768043</v>
      </c>
      <c r="L11775" s="12" t="s">
        <v>998</v>
      </c>
    </row>
    <row r="11776" customFormat="false" ht="17.15" hidden="false" customHeight="false" outlineLevel="0" collapsed="false">
      <c r="A11776" s="0" t="s">
        <v>999</v>
      </c>
      <c r="B11776" s="0" t="s">
        <v>98</v>
      </c>
      <c r="F11776" s="6" t="n">
        <f aca="false">MAX(0,Sens!F11775)</f>
        <v>0.00327585865768043</v>
      </c>
    </row>
    <row r="11777" customFormat="false" ht="17.15" hidden="false" customHeight="false" outlineLevel="0" collapsed="false">
      <c r="A11777" s="0" t="s">
        <v>1000</v>
      </c>
      <c r="B11777" s="0" t="s">
        <v>98</v>
      </c>
      <c r="C11777" s="6" t="n">
        <f aca="false">Sens!C11773</f>
        <v>22.5333845916667</v>
      </c>
      <c r="D11777" s="6" t="n">
        <f aca="false">Sens!D11773</f>
        <v>34.0300093833333</v>
      </c>
      <c r="E11777" s="6" t="n">
        <f aca="false">Sens!E11773</f>
        <v>67.600153775</v>
      </c>
      <c r="F11777" s="6" t="n">
        <f aca="false">Sens!F11773</f>
        <v>136.51872432512</v>
      </c>
      <c r="G11777" s="6" t="n">
        <f aca="false">Sens!G11773</f>
        <v>157.399275932048</v>
      </c>
      <c r="H11777" s="6" t="n">
        <f aca="false">Sens!H11773</f>
        <v>162.260804347512</v>
      </c>
      <c r="I11777" s="6" t="n">
        <f aca="false">Sens!I11773</f>
        <v>144.136569485434</v>
      </c>
      <c r="J11777" s="6" t="n">
        <f aca="false">Sens!J11773</f>
        <v>114.029037357864</v>
      </c>
      <c r="K11777" s="6" t="n">
        <f aca="false">Sens!K11773</f>
        <v>113.437085350975</v>
      </c>
    </row>
    <row r="11778" customFormat="false" ht="17.15" hidden="false" customHeight="false" outlineLevel="0" collapsed="false">
      <c r="A11778" s="0" t="s">
        <v>1001</v>
      </c>
      <c r="B11778" s="0" t="s">
        <v>98</v>
      </c>
      <c r="C11778" s="6" t="n">
        <f aca="false">Sens!C11777+Sens!C11774</f>
        <v>28.7416845916667</v>
      </c>
      <c r="D11778" s="6" t="n">
        <f aca="false">Sens!D11777+Sens!D11774</f>
        <v>43.4058093833333</v>
      </c>
      <c r="E11778" s="6" t="n">
        <f aca="false">Sens!E11777+Sens!E11774</f>
        <v>86.225053775</v>
      </c>
      <c r="F11778" s="6" t="n">
        <f aca="false">Sens!F11777+Sens!F11774</f>
        <v>168.45390404212</v>
      </c>
      <c r="G11778" s="6" t="n">
        <f aca="false">Sens!G11777+Sens!G11774</f>
        <v>191.944475649048</v>
      </c>
      <c r="H11778" s="6" t="n">
        <f aca="false">Sens!H11777+Sens!H11774</f>
        <v>196.806004064512</v>
      </c>
      <c r="I11778" s="6" t="n">
        <f aca="false">Sens!I11777+Sens!I11774</f>
        <v>168.61483362161</v>
      </c>
      <c r="J11778" s="6" t="n">
        <f aca="false">Sens!J11777+Sens!J11774</f>
        <v>128.92993119594</v>
      </c>
      <c r="K11778" s="6" t="n">
        <f aca="false">Sens!K11777+Sens!K11774</f>
        <v>118.962853064733</v>
      </c>
      <c r="L11778" s="12" t="s">
        <v>1002</v>
      </c>
    </row>
    <row r="11779" customFormat="false" ht="17.15" hidden="false" customHeight="false" outlineLevel="0" collapsed="false">
      <c r="A11779" s="0" t="s">
        <v>1003</v>
      </c>
      <c r="B11779" s="0" t="s">
        <v>98</v>
      </c>
      <c r="E11779" s="6" t="n">
        <f aca="false">(Sens!C11777*IF(2&lt;life_it,1,IF(2=life_it,0.5,0))+Sens!D11777*IF(1&lt;life_it,1,IF(1=life_it,0.5,0))+Sens!E11777*0.5)/life_it</f>
        <v>15.0605784770833</v>
      </c>
      <c r="F11779" s="6" t="n">
        <f aca="false">(Sens!C11777*IF(3&lt;life_it,1,IF(3=life_it,0.5,0))+Sens!D11777*IF(2&lt;life_it,1,IF(2=life_it,0.5,0))+Sens!E11777*IF(1&lt;life_it,1,IF(1=life_it,0.5,0))+Sens!F11777*0.5)/life_it</f>
        <v>32.0704849854266</v>
      </c>
      <c r="G11779" s="6" t="n">
        <f aca="false">(Sens!C11777*IF(4&lt;life_it,1,IF(4=life_it,0.5,0))+Sens!D11777*IF(3&lt;life_it,1,IF(3=life_it,0.5,0))+Sens!E11777*IF(2&lt;life_it,1,IF(2=life_it,0.5,0))+Sens!F11777*IF(1&lt;life_it,1,IF(1=life_it,0.5,0))+Sens!G11777*0.5)/life_it</f>
        <v>56.5636516735239</v>
      </c>
      <c r="H11779" s="6" t="n">
        <f aca="false">(Sens!C11777*IF(5&lt;life_it,1,IF(5=life_it,0.5,0))+Sens!D11777*IF(4&lt;life_it,1,IF(4=life_it,0.5,0))+Sens!E11777*IF(3&lt;life_it,1,IF(3=life_it,0.5,0))+Sens!F11777*IF(2&lt;life_it,1,IF(2=life_it,0.5,0))+Sens!G11777*IF(1&lt;life_it,1,IF(1=life_it,0.5,0))+Sens!H11777*0.5)/life_it</f>
        <v>83.2019916968207</v>
      </c>
      <c r="I11779" s="6" t="n">
        <f aca="false">(Sens!C11777*IF(6&lt;life_it,1,IF(6=life_it,0.5,0))+Sens!D11777*IF(5&lt;life_it,1,IF(5=life_it,0.5,0))+Sens!E11777*IF(4&lt;life_it,1,IF(4=life_it,0.5,0))+Sens!F11777*IF(3&lt;life_it,1,IF(3=life_it,0.5,0))+Sens!G11777*IF(2&lt;life_it,1,IF(2=life_it,0.5,0))+Sens!H11777*IF(1&lt;life_it,1,IF(1=life_it,0.5,0))+Sens!I11777*0.5)/life_it</f>
        <v>106.857324133594</v>
      </c>
      <c r="J11779" s="6" t="n">
        <f aca="false">(Sens!C11777*IF(7&lt;life_it,1,IF(7=life_it,0.5,0))+Sens!D11777*IF(6&lt;life_it,1,IF(6=life_it,0.5,0))+Sens!E11777*IF(5&lt;life_it,1,IF(5=life_it,0.5,0))+Sens!F11777*IF(4&lt;life_it,1,IF(4=life_it,0.5,0))+Sens!G11777*IF(3&lt;life_it,1,IF(3=life_it,0.5,0))+Sens!H11777*IF(2&lt;life_it,1,IF(2=life_it,0.5,0))+Sens!I11777*IF(1&lt;life_it,1,IF(1=life_it,0.5,0))+Sens!J11777*0.5)/life_it</f>
        <v>123.657508539285</v>
      </c>
      <c r="K11779" s="6" t="n">
        <f aca="false">(Sens!C11777*IF(8&lt;life_it,1,IF(8=life_it,0.5,0))+Sens!D11777*IF(7&lt;life_it,1,IF(7=life_it,0.5,0))+Sens!E11777*IF(6&lt;life_it,1,IF(6=life_it,0.5,0))+Sens!F11777*IF(5&lt;life_it,1,IF(5=life_it,0.5,0))+Sens!G11777*IF(4&lt;life_it,1,IF(4=life_it,0.5,0))+Sens!H11777*IF(3&lt;life_it,1,IF(3=life_it,0.5,0))+Sens!I11777*IF(2&lt;life_it,1,IF(2=life_it,0.5,0))+Sens!J11777*IF(1&lt;life_it,1,IF(1=life_it,0.5,0))+Sens!K11777*0.5)/life_it</f>
        <v>134.143838501827</v>
      </c>
    </row>
    <row r="11780" customFormat="false" ht="17.15" hidden="false" customHeight="false" outlineLevel="0" collapsed="false">
      <c r="A11780" s="0" t="s">
        <v>1004</v>
      </c>
      <c r="B11780" s="0" t="s">
        <v>98</v>
      </c>
      <c r="E11780" s="6" t="n">
        <f aca="false">(Sens!C11774*IF(2&lt;life_fac,1,IF(2=life_fac,0.5,0))+Sens!D11774*IF(1&lt;life_fac,1,IF(1=life_fac,0.5,0))+Sens!E11774*0.5)/life_fac</f>
        <v>1.2448275</v>
      </c>
      <c r="F11780" s="6" t="n">
        <f aca="false">(Sens!C11774*IF(3&lt;life_fac,1,IF(3=life_fac,0.5,0))+Sens!D11774*IF(2&lt;life_fac,1,IF(2=life_fac,0.5,0))+Sens!E11774*IF(1&lt;life_fac,1,IF(1=life_fac,0.5,0))+Sens!F11774*0.5)/life_fac</f>
        <v>2.508829492925</v>
      </c>
      <c r="G11780" s="6" t="n">
        <f aca="false">(Sens!C11774*IF(4&lt;life_fac,1,IF(4=life_fac,0.5,0))+Sens!D11774*IF(3&lt;life_fac,1,IF(3=life_fac,0.5,0))+Sens!E11774*IF(2&lt;life_fac,1,IF(2=life_fac,0.5,0))+Sens!F11774*IF(1&lt;life_fac,1,IF(1=life_fac,0.5,0))+Sens!G11774*0.5)/life_fac</f>
        <v>4.170838978775</v>
      </c>
      <c r="H11780" s="6" t="n">
        <f aca="false">(Sens!C11774*IF(5&lt;life_fac,1,IF(5=life_fac,0.5,0))+Sens!D11774*IF(4&lt;life_fac,1,IF(4=life_fac,0.5,0))+Sens!E11774*IF(3&lt;life_fac,1,IF(3=life_fac,0.5,0))+Sens!F11774*IF(2&lt;life_fac,1,IF(2=life_fac,0.5,0))+Sens!G11774*IF(1&lt;life_fac,1,IF(1=life_fac,0.5,0))+Sens!H11774*0.5)/life_fac</f>
        <v>5.898098964625</v>
      </c>
      <c r="I11780" s="6" t="n">
        <f aca="false">(Sens!C11774*IF(6&lt;life_fac,1,IF(6=life_fac,0.5,0))+Sens!D11774*IF(5&lt;life_fac,1,IF(5=life_fac,0.5,0))+Sens!E11774*IF(4&lt;life_fac,1,IF(4=life_fac,0.5,0))+Sens!F11774*IF(3&lt;life_fac,1,IF(3=life_fac,0.5,0))+Sens!G11774*IF(2&lt;life_fac,1,IF(2=life_fac,0.5,0))+Sens!H11774*IF(1&lt;life_fac,1,IF(1=life_fac,0.5,0))+Sens!I11774*0.5)/life_fac</f>
        <v>7.37368556095442</v>
      </c>
      <c r="J11780" s="6" t="n">
        <f aca="false">(Sens!C11774*IF(7&lt;life_fac,1,IF(7=life_fac,0.5,0))+Sens!D11774*IF(6&lt;life_fac,1,IF(6=life_fac,0.5,0))+Sens!E11774*IF(5&lt;life_fac,1,IF(5=life_fac,0.5,0))+Sens!F11774*IF(4&lt;life_fac,1,IF(4=life_fac,0.5,0))+Sens!G11774*IF(3&lt;life_fac,1,IF(3=life_fac,0.5,0))+Sens!H11774*IF(2&lt;life_fac,1,IF(2=life_fac,0.5,0))+Sens!I11774*IF(1&lt;life_fac,1,IF(1=life_fac,0.5,0))+Sens!J11774*0.5)/life_fac</f>
        <v>8.35816451031075</v>
      </c>
      <c r="K11780" s="6" t="n">
        <f aca="false">(Sens!C11774*IF(8&lt;life_fac,1,IF(8=life_fac,0.5,0))+Sens!D11774*IF(7&lt;life_fac,1,IF(7=life_fac,0.5,0))+Sens!E11774*IF(6&lt;life_fac,1,IF(6=life_fac,0.5,0))+Sens!F11774*IF(5&lt;life_fac,1,IF(5=life_fac,0.5,0))+Sens!G11774*IF(4&lt;life_fac,1,IF(4=life_fac,0.5,0))+Sens!H11774*IF(3&lt;life_fac,1,IF(3=life_fac,0.5,0))+Sens!I11774*IF(2&lt;life_fac,1,IF(2=life_fac,0.5,0))+Sens!J11774*IF(1&lt;life_fac,1,IF(1=life_fac,0.5,0))+Sens!K11774*0.5)/life_fac</f>
        <v>8.86883104910662</v>
      </c>
    </row>
    <row r="11781" customFormat="false" ht="17.15" hidden="false" customHeight="false" outlineLevel="0" collapsed="false">
      <c r="A11781" s="0" t="s">
        <v>1005</v>
      </c>
      <c r="B11781" s="0" t="s">
        <v>98</v>
      </c>
      <c r="E11781" s="6" t="n">
        <f aca="false">Sens!E11779+Sens!E11780</f>
        <v>16.3054059770833</v>
      </c>
      <c r="F11781" s="6" t="n">
        <f aca="false">Sens!F11779+Sens!F11780</f>
        <v>34.5793144783516</v>
      </c>
      <c r="G11781" s="6" t="n">
        <f aca="false">Sens!G11779+Sens!G11780</f>
        <v>60.7344906522989</v>
      </c>
      <c r="H11781" s="6" t="n">
        <f aca="false">Sens!H11779+Sens!H11780</f>
        <v>89.1000906614457</v>
      </c>
      <c r="I11781" s="6" t="n">
        <f aca="false">Sens!I11779+Sens!I11780</f>
        <v>114.231009694548</v>
      </c>
      <c r="J11781" s="6" t="n">
        <f aca="false">Sens!J11779+Sens!J11780</f>
        <v>132.015673049596</v>
      </c>
      <c r="K11781" s="6" t="n">
        <f aca="false">Sens!K11779+Sens!K11780</f>
        <v>143.012669550934</v>
      </c>
    </row>
    <row r="11782" customFormat="false" ht="17.15" hidden="false" customHeight="false" outlineLevel="0" collapsed="false">
      <c r="A11782" s="0" t="s">
        <v>1006</v>
      </c>
      <c r="B11782" s="0" t="s">
        <v>98</v>
      </c>
      <c r="E11782" s="6" t="n">
        <f aca="false">Sens!E11769-Sens!E11768*Sens!E11781</f>
        <v>8.92707889977379</v>
      </c>
      <c r="F11782" s="6" t="n">
        <f aca="false">Sens!F11769-Sens!F11768*Sens!F11781</f>
        <v>18.7770356668733</v>
      </c>
      <c r="G11782" s="6" t="n">
        <f aca="false">Sens!G11769-Sens!G11768*Sens!G11781</f>
        <v>31.1163641458894</v>
      </c>
      <c r="H11782" s="6" t="n">
        <f aca="false">Sens!H11769-Sens!H11768*Sens!H11781</f>
        <v>43.7262635496428</v>
      </c>
      <c r="I11782" s="6" t="n">
        <f aca="false">Sens!I11769-Sens!I11768*Sens!I11781</f>
        <v>54.7541698336361</v>
      </c>
      <c r="J11782" s="6" t="n">
        <f aca="false">Sens!J11769-Sens!J11768*Sens!J11781</f>
        <v>62.3768819327658</v>
      </c>
      <c r="K11782" s="6" t="n">
        <f aca="false">Sens!K11769-Sens!K11768*Sens!K11781</f>
        <v>67.4820630434748</v>
      </c>
    </row>
    <row r="11783" customFormat="false" ht="17.15" hidden="false" customHeight="false" outlineLevel="0" collapsed="false">
      <c r="A11783" s="3" t="s">
        <v>1906</v>
      </c>
    </row>
    <row r="11784" customFormat="false" ht="15" hidden="false" customHeight="false" outlineLevel="0" collapsed="false">
      <c r="A11784" s="4" t="s">
        <v>43</v>
      </c>
      <c r="B11784" s="4" t="s">
        <v>65</v>
      </c>
      <c r="C11784" s="23" t="s">
        <v>942</v>
      </c>
      <c r="D11784" s="23" t="s">
        <v>943</v>
      </c>
      <c r="E11784" s="23" t="s">
        <v>944</v>
      </c>
      <c r="F11784" s="23" t="s">
        <v>945</v>
      </c>
      <c r="G11784" s="23" t="s">
        <v>946</v>
      </c>
      <c r="H11784" s="23" t="s">
        <v>947</v>
      </c>
      <c r="I11784" s="23" t="s">
        <v>948</v>
      </c>
      <c r="J11784" s="23" t="s">
        <v>949</v>
      </c>
      <c r="K11784" s="23" t="s">
        <v>950</v>
      </c>
      <c r="L11784" s="4" t="s">
        <v>47</v>
      </c>
    </row>
    <row r="11785" customFormat="false" ht="17.15" hidden="false" customHeight="false" outlineLevel="0" collapsed="false">
      <c r="A11785" s="0" t="s">
        <v>1025</v>
      </c>
      <c r="B11785" s="0" t="s">
        <v>98</v>
      </c>
      <c r="D11785" s="6" t="n">
        <f aca="false">Sens!D11763</f>
        <v>12.9359794422418</v>
      </c>
      <c r="E11785" s="6" t="n">
        <f aca="false">Sens!E11763</f>
        <v>27.8095064661409</v>
      </c>
      <c r="F11785" s="6" t="n">
        <f aca="false">Sens!F11763</f>
        <v>55.4118315060966</v>
      </c>
      <c r="G11785" s="6" t="n">
        <f aca="false">Sens!G11763</f>
        <v>91.2881100675143</v>
      </c>
      <c r="H11785" s="6" t="n">
        <f aca="false">Sens!H11763</f>
        <v>128.195273603944</v>
      </c>
      <c r="I11785" s="6" t="n">
        <f aca="false">Sens!I11763</f>
        <v>160.601281810405</v>
      </c>
      <c r="J11785" s="6" t="n">
        <f aca="false">Sens!J11763</f>
        <v>183.182719793589</v>
      </c>
      <c r="K11785" s="6" t="n">
        <f aca="false">Sens!K11763</f>
        <v>197.320124937098</v>
      </c>
    </row>
    <row r="11786" customFormat="false" ht="17.15" hidden="false" customHeight="false" outlineLevel="0" collapsed="false">
      <c r="A11786" s="0" t="s">
        <v>1026</v>
      </c>
      <c r="B11786" s="0" t="s">
        <v>98</v>
      </c>
      <c r="D11786" s="6" t="n">
        <f aca="false">Q!L6-Sens!D11785</f>
        <v>59.6740205577583</v>
      </c>
      <c r="E11786" s="6" t="n">
        <f aca="false">Q!M6-Sens!E11785</f>
        <v>74.1284935338591</v>
      </c>
      <c r="F11786" s="6" t="n">
        <f aca="false">Q!$I$6+(Sens!F11785+Sens!E11786*(1+Sens!F11787))*(1-Q!$E$6/Q!M6)-Sens!F11785</f>
        <v>91.2972164940844</v>
      </c>
      <c r="G11786" s="6" t="n">
        <f aca="false">Sens!F11786*(1+Sens!G11787)</f>
        <v>108.474719793879</v>
      </c>
      <c r="H11786" s="6" t="n">
        <f aca="false">Sens!G11786*(1+Sens!H11787)</f>
        <v>125.951292505701</v>
      </c>
      <c r="I11786" s="6" t="n">
        <f aca="false">Sens!H11786*(1+Sens!I11787)</f>
        <v>142.838165154212</v>
      </c>
      <c r="J11786" s="6" t="n">
        <f aca="false">Sens!I11786*(1+Sens!J11787)</f>
        <v>158.12717866615</v>
      </c>
      <c r="K11786" s="6" t="n">
        <f aca="false">Sens!J11786*(1+Sens!K11787)</f>
        <v>170.777352959442</v>
      </c>
      <c r="L11786" s="12" t="s">
        <v>1027</v>
      </c>
    </row>
    <row r="11787" customFormat="false" ht="15" hidden="false" customHeight="false" outlineLevel="0" collapsed="false">
      <c r="A11787" s="1" t="s">
        <v>1028</v>
      </c>
      <c r="B11787" s="0" t="s">
        <v>168</v>
      </c>
      <c r="E11787" s="7" t="n">
        <f aca="false">Sens!E11786/Sens!D11786-1</f>
        <v>0.242223883039864</v>
      </c>
      <c r="F11787" s="7" t="n">
        <f aca="false">Sens!$E$11787+(glt_azo-Sens!$E$11787)*MIN(1,(Sens!F11744-base_fy)/n_conv)</f>
        <v>0.215186569199887</v>
      </c>
      <c r="G11787" s="7" t="n">
        <f aca="false">Sens!$E$11787+(glt_azo-Sens!$E$11787)*MIN(1,(Sens!G11744-base_fy)/n_conv)</f>
        <v>0.18814925535991</v>
      </c>
      <c r="H11787" s="7" t="n">
        <f aca="false">Sens!$E$11787+(glt_azo-Sens!$E$11787)*MIN(1,(Sens!H11744-base_fy)/n_conv)</f>
        <v>0.161111941519932</v>
      </c>
      <c r="I11787" s="7" t="n">
        <f aca="false">Sens!$E$11787+(glt_azo-Sens!$E$11787)*MIN(1,(Sens!I11744-base_fy)/n_conv)</f>
        <v>0.134074627679955</v>
      </c>
      <c r="J11787" s="7" t="n">
        <f aca="false">Sens!$E$11787+(glt_azo-Sens!$E$11787)*MIN(1,(Sens!J11744-base_fy)/n_conv)</f>
        <v>0.107037313839977</v>
      </c>
      <c r="K11787" s="7" t="n">
        <f aca="false">Sens!$E$11787+(glt_azo-Sens!$E$11787)*MIN(1,(Sens!K11744-base_fy)/n_conv)</f>
        <v>0.08</v>
      </c>
    </row>
    <row r="11788" customFormat="false" ht="15" hidden="false" customHeight="false" outlineLevel="0" collapsed="false">
      <c r="A11788" s="0" t="s">
        <v>1029</v>
      </c>
      <c r="B11788" s="0" t="s">
        <v>98</v>
      </c>
      <c r="D11788" s="6" t="n">
        <f aca="false">Sens!D11785+Sens!D11786</f>
        <v>72.61</v>
      </c>
      <c r="E11788" s="6" t="n">
        <f aca="false">Sens!E11785+Sens!E11786</f>
        <v>101.938</v>
      </c>
      <c r="F11788" s="6" t="n">
        <f aca="false">Sens!F11785+Sens!F11786</f>
        <v>146.709048000181</v>
      </c>
      <c r="G11788" s="6" t="n">
        <f aca="false">Sens!G11785+Sens!G11786</f>
        <v>199.762829861393</v>
      </c>
      <c r="H11788" s="6" t="n">
        <f aca="false">Sens!H11785+Sens!H11786</f>
        <v>254.146566109645</v>
      </c>
      <c r="I11788" s="6" t="n">
        <f aca="false">Sens!I11785+Sens!I11786</f>
        <v>303.439446964617</v>
      </c>
      <c r="J11788" s="6" t="n">
        <f aca="false">Sens!J11785+Sens!J11786</f>
        <v>341.309898459739</v>
      </c>
      <c r="K11788" s="6" t="n">
        <f aca="false">Sens!K11785+Sens!K11786</f>
        <v>368.09747789654</v>
      </c>
    </row>
    <row r="11789" customFormat="false" ht="17.15" hidden="false" customHeight="false" outlineLevel="0" collapsed="false">
      <c r="A11789" s="0" t="s">
        <v>1030</v>
      </c>
      <c r="B11789" s="1" t="s">
        <v>613</v>
      </c>
      <c r="C11789" s="30" t="n">
        <f aca="false">cop_s24</f>
        <v>1</v>
      </c>
      <c r="D11789" s="30" t="n">
        <f aca="false">cop_s25</f>
        <v>5</v>
      </c>
      <c r="E11789" s="30" t="n">
        <f aca="false">cop_s26</f>
        <v>30</v>
      </c>
      <c r="F11789" s="30" t="n">
        <f aca="false">Sens!E11789+cop_add_B</f>
        <v>50</v>
      </c>
      <c r="G11789" s="30" t="n">
        <f aca="false">Sens!F11789+cop_add_B</f>
        <v>70</v>
      </c>
      <c r="H11789" s="30" t="n">
        <f aca="false">Sens!G11789+cop_add_B</f>
        <v>90</v>
      </c>
      <c r="I11789" s="30" t="n">
        <f aca="false">Sens!H11789+cop_add_B*cop_tail</f>
        <v>100</v>
      </c>
      <c r="J11789" s="30" t="n">
        <f aca="false">Sens!I11789+cop_add_B*cop_tail</f>
        <v>110</v>
      </c>
      <c r="K11789" s="30" t="n">
        <f aca="false">Sens!J11789+cop_add_B*cop_tail</f>
        <v>120</v>
      </c>
      <c r="L11789" s="12" t="s">
        <v>1031</v>
      </c>
    </row>
    <row r="11790" customFormat="false" ht="17.15" hidden="false" customHeight="false" outlineLevel="0" collapsed="false">
      <c r="A11790" s="0" t="s">
        <v>1032</v>
      </c>
      <c r="B11790" s="0" t="s">
        <v>98</v>
      </c>
      <c r="D11790" s="6" t="n">
        <f aca="false">(Sens!C11789+Sens!D11789)/2*cop_px*12/1000</f>
        <v>0.9</v>
      </c>
      <c r="E11790" s="6" t="n">
        <f aca="false">(Sens!D11789+Sens!E11789)/2*cop_px*12/1000</f>
        <v>5.25</v>
      </c>
      <c r="F11790" s="6" t="n">
        <f aca="false">(Sens!E11789+Sens!F11789)/2*cop_px*12/1000</f>
        <v>12</v>
      </c>
      <c r="G11790" s="6" t="n">
        <f aca="false">(Sens!F11789+Sens!G11789)/2*cop_px*12/1000</f>
        <v>18</v>
      </c>
      <c r="H11790" s="6" t="n">
        <f aca="false">(Sens!G11789+Sens!H11789)/2*cop_px*12/1000</f>
        <v>24</v>
      </c>
      <c r="I11790" s="6" t="n">
        <f aca="false">(Sens!H11789+Sens!I11789)/2*cop_px*12/1000</f>
        <v>28.5</v>
      </c>
      <c r="J11790" s="6" t="n">
        <f aca="false">(Sens!I11789+Sens!J11789)/2*cop_px*12/1000</f>
        <v>31.5</v>
      </c>
      <c r="K11790" s="6" t="n">
        <f aca="false">(Sens!J11789+Sens!K11789)/2*cop_px*12/1000</f>
        <v>34.5</v>
      </c>
      <c r="L11790" s="1" t="s">
        <v>1033</v>
      </c>
    </row>
    <row r="11791" customFormat="false" ht="17.15" hidden="false" customHeight="false" outlineLevel="0" collapsed="false">
      <c r="A11791" s="0" t="s">
        <v>1034</v>
      </c>
      <c r="B11791" s="0" t="s">
        <v>98</v>
      </c>
      <c r="D11791" s="6" t="n">
        <f aca="false">Q!L7-Sens!D11790</f>
        <v>83.705</v>
      </c>
      <c r="E11791" s="6" t="n">
        <f aca="false">Q!M7-Sens!E11790</f>
        <v>95.049</v>
      </c>
      <c r="F11791" s="6" t="n">
        <f aca="false">Q!$I$7+(Sens!E11791*(1+Sens!F11792)+Sens!F11790)*(1-Q!$E$7/Q!M7)-Sens!F11790</f>
        <v>106.584003697747</v>
      </c>
      <c r="G11791" s="6" t="n">
        <f aca="false">Sens!F11791*(1+Sens!G11792)</f>
        <v>118.700726545688</v>
      </c>
      <c r="H11791" s="6" t="n">
        <f aca="false">Sens!G11791*(1+Sens!H11792)</f>
        <v>130.898624783666</v>
      </c>
      <c r="I11791" s="6" t="n">
        <f aca="false">Sens!H11791*(1+Sens!I11792)</f>
        <v>142.920510030657</v>
      </c>
      <c r="J11791" s="6" t="n">
        <f aca="false">Sens!I11791*(1+Sens!J11792)</f>
        <v>154.485722618572</v>
      </c>
      <c r="K11791" s="6" t="n">
        <f aca="false">Sens!J11791*(1+Sens!K11792)</f>
        <v>165.299723201872</v>
      </c>
      <c r="L11791" s="12" t="s">
        <v>1035</v>
      </c>
    </row>
    <row r="11792" customFormat="false" ht="15" hidden="false" customHeight="false" outlineLevel="0" collapsed="false">
      <c r="A11792" s="1" t="s">
        <v>1028</v>
      </c>
      <c r="B11792" s="0" t="s">
        <v>168</v>
      </c>
      <c r="E11792" s="7" t="n">
        <f aca="false">Sens!E11791/Sens!D11791-1</f>
        <v>0.135523564900544</v>
      </c>
      <c r="F11792" s="7" t="n">
        <f aca="false">Sens!$E$11792+(glt_m365b-Sens!$E$11792)*MIN(1,(Sens!F11744-base_fy)/n_conv)</f>
        <v>0.124602970750453</v>
      </c>
      <c r="G11792" s="7" t="n">
        <f aca="false">Sens!$E$11792+(glt_m365b-Sens!$E$11792)*MIN(1,(Sens!G11744-base_fy)/n_conv)</f>
        <v>0.113682376600363</v>
      </c>
      <c r="H11792" s="7" t="n">
        <f aca="false">Sens!$E$11792+(glt_m365b-Sens!$E$11792)*MIN(1,(Sens!H11744-base_fy)/n_conv)</f>
        <v>0.102761782450272</v>
      </c>
      <c r="I11792" s="7" t="n">
        <f aca="false">Sens!$E$11792+(glt_m365b-Sens!$E$11792)*MIN(1,(Sens!I11744-base_fy)/n_conv)</f>
        <v>0.0918411883001813</v>
      </c>
      <c r="J11792" s="7" t="n">
        <f aca="false">Sens!$E$11792+(glt_m365b-Sens!$E$11792)*MIN(1,(Sens!J11744-base_fy)/n_conv)</f>
        <v>0.0809205941500906</v>
      </c>
      <c r="K11792" s="7" t="n">
        <f aca="false">Sens!$E$11792+(glt_m365b-Sens!$E$11792)*MIN(1,(Sens!K11744-base_fy)/n_conv)</f>
        <v>0.07</v>
      </c>
    </row>
    <row r="11793" customFormat="false" ht="15" hidden="false" customHeight="false" outlineLevel="0" collapsed="false">
      <c r="A11793" s="0" t="s">
        <v>1036</v>
      </c>
      <c r="B11793" s="0" t="s">
        <v>98</v>
      </c>
      <c r="D11793" s="6" t="n">
        <f aca="false">Sens!D11791+Sens!D11790</f>
        <v>84.605</v>
      </c>
      <c r="E11793" s="6" t="n">
        <f aca="false">Sens!E11791+Sens!E11790</f>
        <v>100.299</v>
      </c>
      <c r="F11793" s="6" t="n">
        <f aca="false">Sens!F11791+Sens!F11790</f>
        <v>118.584003697747</v>
      </c>
      <c r="G11793" s="6" t="n">
        <f aca="false">Sens!G11791+Sens!G11790</f>
        <v>136.700726545688</v>
      </c>
      <c r="H11793" s="6" t="n">
        <f aca="false">Sens!H11791+Sens!H11790</f>
        <v>154.898624783666</v>
      </c>
      <c r="I11793" s="6" t="n">
        <f aca="false">Sens!I11791+Sens!I11790</f>
        <v>171.420510030657</v>
      </c>
      <c r="J11793" s="6" t="n">
        <f aca="false">Sens!J11791+Sens!J11790</f>
        <v>185.985722618572</v>
      </c>
      <c r="K11793" s="6" t="n">
        <f aca="false">Sens!K11791+Sens!K11790</f>
        <v>199.799723201872</v>
      </c>
    </row>
    <row r="11794" customFormat="false" ht="17.15" hidden="false" customHeight="false" outlineLevel="0" collapsed="false">
      <c r="A11794" s="0" t="s">
        <v>1037</v>
      </c>
      <c r="B11794" s="0" t="s">
        <v>98</v>
      </c>
      <c r="D11794" s="6" t="n">
        <f aca="false">Q!L8</f>
        <v>35.391</v>
      </c>
      <c r="E11794" s="6" t="n">
        <f aca="false">Q!M8</f>
        <v>37.285</v>
      </c>
      <c r="F11794" s="6" t="n">
        <f aca="false">Q!$I$8+(Q!M8-Q!$E$8)*(1+Sens!F11795)</f>
        <v>38.3851437782675</v>
      </c>
      <c r="G11794" s="6" t="n">
        <f aca="false">Sens!F11794*(1+Sens!G11795)</f>
        <v>40.0105353288615</v>
      </c>
      <c r="H11794" s="6" t="n">
        <f aca="false">Sens!G11794*(1+Sens!H11795)</f>
        <v>41.4812512033683</v>
      </c>
      <c r="I11794" s="6" t="n">
        <f aca="false">Sens!H11794*(1+Sens!I11795)</f>
        <v>42.7743107216329</v>
      </c>
      <c r="J11794" s="6" t="n">
        <f aca="false">Sens!I11794*(1+Sens!J11795)</f>
        <v>43.8687373064601</v>
      </c>
      <c r="K11794" s="6" t="n">
        <f aca="false">Sens!J11794*(1+Sens!K11795)</f>
        <v>44.7461120525893</v>
      </c>
      <c r="L11794" s="12" t="s">
        <v>1038</v>
      </c>
    </row>
    <row r="11795" customFormat="false" ht="15" hidden="false" customHeight="false" outlineLevel="0" collapsed="false">
      <c r="A11795" s="1" t="s">
        <v>1028</v>
      </c>
      <c r="B11795" s="0" t="s">
        <v>168</v>
      </c>
      <c r="E11795" s="7" t="n">
        <f aca="false">Sens!E11794/Sens!D11794-1</f>
        <v>0.0535164307309768</v>
      </c>
      <c r="F11795" s="7" t="n">
        <f aca="false">Sens!$E$11795+(glt_lic-Sens!$E$11795)*MIN(1,(Sens!F11744-base_fy)/n_conv)</f>
        <v>0.0479303589424807</v>
      </c>
      <c r="G11795" s="7" t="n">
        <f aca="false">Sens!$E$11795+(glt_lic-Sens!$E$11795)*MIN(1,(Sens!G11744-base_fy)/n_conv)</f>
        <v>0.0423442871539845</v>
      </c>
      <c r="H11795" s="7" t="n">
        <f aca="false">Sens!$E$11795+(glt_lic-Sens!$E$11795)*MIN(1,(Sens!H11744-base_fy)/n_conv)</f>
        <v>0.0367582153654884</v>
      </c>
      <c r="I11795" s="7" t="n">
        <f aca="false">Sens!$E$11795+(glt_lic-Sens!$E$11795)*MIN(1,(Sens!I11744-base_fy)/n_conv)</f>
        <v>0.0311721435769923</v>
      </c>
      <c r="J11795" s="7" t="n">
        <f aca="false">Sens!$E$11795+(glt_lic-Sens!$E$11795)*MIN(1,(Sens!J11744-base_fy)/n_conv)</f>
        <v>0.0255860717884961</v>
      </c>
      <c r="K11795" s="7" t="n">
        <f aca="false">Sens!$E$11795+(glt_lic-Sens!$E$11795)*MIN(1,(Sens!K11744-base_fy)/n_conv)</f>
        <v>0.02</v>
      </c>
    </row>
    <row r="11796" customFormat="false" ht="17.15" hidden="false" customHeight="false" outlineLevel="0" collapsed="false">
      <c r="A11796" s="0" t="s">
        <v>1039</v>
      </c>
      <c r="B11796" s="0" t="s">
        <v>98</v>
      </c>
      <c r="D11796" s="6" t="n">
        <f aca="false">Q!L9</f>
        <v>18.417</v>
      </c>
      <c r="E11796" s="6" t="n">
        <f aca="false">Q!M9</f>
        <v>20.345</v>
      </c>
      <c r="F11796" s="6" t="n">
        <f aca="false">Q!$I$9+(Q!M9-Q!$E$9)*(1+Sens!F11797)</f>
        <v>22.3161797133988</v>
      </c>
      <c r="G11796" s="6" t="n">
        <f aca="false">Sens!F11796*(1+Sens!G11797)</f>
        <v>24.3943499673233</v>
      </c>
      <c r="H11796" s="6" t="n">
        <f aca="false">Sens!G11796*(1+Sens!H11797)</f>
        <v>26.5250243109019</v>
      </c>
      <c r="I11796" s="6" t="n">
        <f aca="false">Sens!H11796*(1+Sens!I11797)</f>
        <v>28.6884573538181</v>
      </c>
      <c r="J11796" s="6" t="n">
        <f aca="false">Sens!I11796*(1+Sens!J11797)</f>
        <v>30.8624968052127</v>
      </c>
      <c r="K11796" s="6" t="n">
        <f aca="false">Sens!J11796*(1+Sens!K11797)</f>
        <v>33.0228715815776</v>
      </c>
      <c r="L11796" s="12" t="s">
        <v>1038</v>
      </c>
    </row>
    <row r="11797" customFormat="false" ht="15" hidden="false" customHeight="false" outlineLevel="0" collapsed="false">
      <c r="A11797" s="1" t="s">
        <v>1028</v>
      </c>
      <c r="B11797" s="0" t="s">
        <v>168</v>
      </c>
      <c r="E11797" s="7" t="n">
        <f aca="false">Sens!E11796/Sens!D11796-1</f>
        <v>0.104685888038225</v>
      </c>
      <c r="F11797" s="7" t="n">
        <f aca="false">Sens!$E$11797+(glt_ind-Sens!$E$11797)*MIN(1,(Sens!F11744-base_fy)/n_conv)</f>
        <v>0.0989049066985211</v>
      </c>
      <c r="G11797" s="7" t="n">
        <f aca="false">Sens!$E$11797+(glt_ind-Sens!$E$11797)*MIN(1,(Sens!G11744-base_fy)/n_conv)</f>
        <v>0.0931239253588169</v>
      </c>
      <c r="H11797" s="7" t="n">
        <f aca="false">Sens!$E$11797+(glt_ind-Sens!$E$11797)*MIN(1,(Sens!H11744-base_fy)/n_conv)</f>
        <v>0.0873429440191127</v>
      </c>
      <c r="I11797" s="7" t="n">
        <f aca="false">Sens!$E$11797+(glt_ind-Sens!$E$11797)*MIN(1,(Sens!I11744-base_fy)/n_conv)</f>
        <v>0.0815619626794085</v>
      </c>
      <c r="J11797" s="7" t="n">
        <f aca="false">Sens!$E$11797+(glt_ind-Sens!$E$11797)*MIN(1,(Sens!J11744-base_fy)/n_conv)</f>
        <v>0.0757809813397042</v>
      </c>
      <c r="K11797" s="7" t="n">
        <f aca="false">Sens!$E$11797+(glt_ind-Sens!$E$11797)*MIN(1,(Sens!K11744-base_fy)/n_conv)</f>
        <v>0.07</v>
      </c>
    </row>
    <row r="11798" customFormat="false" ht="17.15" hidden="false" customHeight="false" outlineLevel="0" collapsed="false">
      <c r="A11798" s="0" t="s">
        <v>1040</v>
      </c>
      <c r="B11798" s="0" t="s">
        <v>98</v>
      </c>
      <c r="D11798" s="6" t="n">
        <f aca="false">Q!L10</f>
        <v>7.76</v>
      </c>
      <c r="E11798" s="6" t="n">
        <f aca="false">Q!M10</f>
        <v>8.26</v>
      </c>
      <c r="F11798" s="6" t="n">
        <f aca="false">Q!$I$10+(Q!M10-Q!$E$10)*(1+Sens!F11799)</f>
        <v>8.75372082474227</v>
      </c>
      <c r="G11798" s="6" t="n">
        <f aca="false">Sens!F11798*(1+Sens!G11799)</f>
        <v>9.33399324642364</v>
      </c>
      <c r="H11798" s="6" t="n">
        <f aca="false">Sens!G11798*(1+Sens!H11799)</f>
        <v>9.96139155535851</v>
      </c>
      <c r="I11798" s="6" t="n">
        <f aca="false">Sens!H11798*(1+Sens!I11799)</f>
        <v>10.6402039077391</v>
      </c>
      <c r="J11798" s="6" t="n">
        <f aca="false">Sens!I11798*(1+Sens!J11799)</f>
        <v>11.3751458271397</v>
      </c>
      <c r="K11798" s="6" t="n">
        <f aca="false">Sens!J11798*(1+Sens!K11799)</f>
        <v>12.1714060350394</v>
      </c>
      <c r="L11798" s="12" t="s">
        <v>1038</v>
      </c>
    </row>
    <row r="11799" customFormat="false" ht="15" hidden="false" customHeight="false" outlineLevel="0" collapsed="false">
      <c r="A11799" s="1" t="s">
        <v>1028</v>
      </c>
      <c r="B11799" s="0" t="s">
        <v>168</v>
      </c>
      <c r="E11799" s="7" t="n">
        <f aca="false">Sens!E11798/Sens!D11798-1</f>
        <v>0.0644329896907216</v>
      </c>
      <c r="F11799" s="7" t="n">
        <f aca="false">Sens!$E$11799+(glt_fro-Sens!$E$11799)*MIN(1,(Sens!F11744-base_fy)/n_conv)</f>
        <v>0.065360824742268</v>
      </c>
      <c r="G11799" s="7" t="n">
        <f aca="false">Sens!$E$11799+(glt_fro-Sens!$E$11799)*MIN(1,(Sens!G11744-base_fy)/n_conv)</f>
        <v>0.0662886597938144</v>
      </c>
      <c r="H11799" s="7" t="n">
        <f aca="false">Sens!$E$11799+(glt_fro-Sens!$E$11799)*MIN(1,(Sens!H11744-base_fy)/n_conv)</f>
        <v>0.0672164948453608</v>
      </c>
      <c r="I11799" s="7" t="n">
        <f aca="false">Sens!$E$11799+(glt_fro-Sens!$E$11799)*MIN(1,(Sens!I11744-base_fy)/n_conv)</f>
        <v>0.0681443298969072</v>
      </c>
      <c r="J11799" s="7" t="n">
        <f aca="false">Sens!$E$11799+(glt_fro-Sens!$E$11799)*MIN(1,(Sens!J11744-base_fy)/n_conv)</f>
        <v>0.0690721649484536</v>
      </c>
      <c r="K11799" s="7" t="n">
        <f aca="false">Sens!$E$11799+(glt_fro-Sens!$E$11799)*MIN(1,(Sens!K11744-base_fy)/n_conv)</f>
        <v>0.07</v>
      </c>
    </row>
    <row r="11800" customFormat="false" ht="15" hidden="false" customHeight="false" outlineLevel="0" collapsed="false">
      <c r="A11800" s="0" t="s">
        <v>856</v>
      </c>
      <c r="B11800" s="0" t="s">
        <v>98</v>
      </c>
      <c r="D11800" s="6" t="n">
        <f aca="false">Sens!D11788+Sens!D11793+Sens!D11794+Sens!D11796+Sens!D11798</f>
        <v>218.783</v>
      </c>
      <c r="E11800" s="6" t="n">
        <f aca="false">Sens!E11788+Sens!E11793+Sens!E11794+Sens!E11796+Sens!E11798</f>
        <v>268.127</v>
      </c>
      <c r="F11800" s="6" t="n">
        <f aca="false">Sens!F11788+Sens!F11793+Sens!F11794+Sens!F11796+Sens!F11798</f>
        <v>334.748096014336</v>
      </c>
      <c r="G11800" s="6" t="n">
        <f aca="false">Sens!G11788+Sens!G11793+Sens!G11794+Sens!G11796+Sens!G11798</f>
        <v>410.20243494969</v>
      </c>
      <c r="H11800" s="6" t="n">
        <f aca="false">Sens!H11788+Sens!H11793+Sens!H11794+Sens!H11796+Sens!H11798</f>
        <v>487.012857962939</v>
      </c>
      <c r="I11800" s="6" t="n">
        <f aca="false">Sens!I11788+Sens!I11793+Sens!I11794+Sens!I11796+Sens!I11798</f>
        <v>556.962928978464</v>
      </c>
      <c r="J11800" s="6" t="n">
        <f aca="false">Sens!J11788+Sens!J11793+Sens!J11794+Sens!J11796+Sens!J11798</f>
        <v>613.402001017124</v>
      </c>
      <c r="K11800" s="6" t="n">
        <f aca="false">Sens!K11788+Sens!K11793+Sens!K11794+Sens!K11796+Sens!K11798</f>
        <v>657.837590767618</v>
      </c>
    </row>
    <row r="11801" customFormat="false" ht="17.15" hidden="false" customHeight="false" outlineLevel="0" collapsed="false">
      <c r="A11801" s="0" t="s">
        <v>1041</v>
      </c>
      <c r="B11801" s="0" t="s">
        <v>98</v>
      </c>
      <c r="D11801" s="6" t="n">
        <f aca="false">Q!L13</f>
        <v>22.171</v>
      </c>
      <c r="E11801" s="6" t="n">
        <f aca="false">Q!M13</f>
        <v>24.835</v>
      </c>
      <c r="F11801" s="6" t="n">
        <f aca="false">Q!$I$13+(Q!M13-Q!$E$13)*(1+Sens!F11802)</f>
        <v>27.5591895660247</v>
      </c>
      <c r="G11801" s="6" t="n">
        <f aca="false">Sens!F11801*(1+Sens!G11802)</f>
        <v>30.4098563144583</v>
      </c>
      <c r="H11801" s="6" t="n">
        <f aca="false">Sens!G11801*(1+Sens!H11802)</f>
        <v>33.3011792571777</v>
      </c>
      <c r="I11801" s="6" t="n">
        <f aca="false">Sens!H11801*(1+Sens!I11802)</f>
        <v>36.189023797112</v>
      </c>
      <c r="J11801" s="6" t="n">
        <f aca="false">Sens!I11801*(1+Sens!J11802)</f>
        <v>39.0247773769199</v>
      </c>
      <c r="K11801" s="6" t="n">
        <f aca="false">Sens!J11801*(1+Sens!K11802)</f>
        <v>41.7565117933043</v>
      </c>
      <c r="L11801" s="12" t="s">
        <v>1038</v>
      </c>
    </row>
    <row r="11802" customFormat="false" ht="15" hidden="false" customHeight="false" outlineLevel="0" collapsed="false">
      <c r="A11802" s="1" t="s">
        <v>1028</v>
      </c>
      <c r="B11802" s="0" t="s">
        <v>168</v>
      </c>
      <c r="E11802" s="7" t="n">
        <f aca="false">Sens!E11801/Sens!D11801-1</f>
        <v>0.120156961796942</v>
      </c>
      <c r="F11802" s="7" t="n">
        <f aca="false">Sens!$E$11802+(glt_srch-Sens!$E$11802)*MIN(1,(Sens!F11744-base_fy)/n_conv)</f>
        <v>0.111797468164118</v>
      </c>
      <c r="G11802" s="7" t="n">
        <f aca="false">Sens!$E$11802+(glt_srch-Sens!$E$11802)*MIN(1,(Sens!G11744-base_fy)/n_conv)</f>
        <v>0.103437974531295</v>
      </c>
      <c r="H11802" s="7" t="n">
        <f aca="false">Sens!$E$11802+(glt_srch-Sens!$E$11802)*MIN(1,(Sens!H11744-base_fy)/n_conv)</f>
        <v>0.095078480898471</v>
      </c>
      <c r="I11802" s="7" t="n">
        <f aca="false">Sens!$E$11802+(glt_srch-Sens!$E$11802)*MIN(1,(Sens!I11744-base_fy)/n_conv)</f>
        <v>0.0867189872656474</v>
      </c>
      <c r="J11802" s="7" t="n">
        <f aca="false">Sens!$E$11802+(glt_srch-Sens!$E$11802)*MIN(1,(Sens!J11744-base_fy)/n_conv)</f>
        <v>0.0783594936328237</v>
      </c>
      <c r="K11802" s="7" t="n">
        <f aca="false">Sens!$E$11802+(glt_srch-Sens!$E$11802)*MIN(1,(Sens!K11744-base_fy)/n_conv)</f>
        <v>0.07</v>
      </c>
    </row>
    <row r="11803" customFormat="false" ht="17.15" hidden="false" customHeight="false" outlineLevel="0" collapsed="false">
      <c r="A11803" s="0" t="s">
        <v>1042</v>
      </c>
      <c r="B11803" s="0" t="s">
        <v>98</v>
      </c>
      <c r="D11803" s="6" t="n">
        <f aca="false">Q!L14</f>
        <v>23.455</v>
      </c>
      <c r="E11803" s="6" t="n">
        <f aca="false">Q!M14</f>
        <v>21.79</v>
      </c>
      <c r="F11803" s="6" t="n">
        <f aca="false">Q!$I$14+(Q!M14-Q!$E$14)*(1+Sens!F11804)</f>
        <v>20.6435514375044</v>
      </c>
      <c r="G11803" s="6" t="n">
        <f aca="false">Sens!F11803*(1+Sens!G11804)</f>
        <v>19.5289786205326</v>
      </c>
      <c r="H11803" s="6" t="n">
        <f aca="false">Sens!G11803*(1+Sens!H11804)</f>
        <v>18.6405370670455</v>
      </c>
      <c r="I11803" s="6" t="n">
        <f aca="false">Sens!H11803*(1+Sens!I11804)</f>
        <v>17.950917993743</v>
      </c>
      <c r="J11803" s="6" t="n">
        <f aca="false">Sens!I11803*(1+Sens!J11804)</f>
        <v>17.4393557354192</v>
      </c>
      <c r="K11803" s="6" t="n">
        <f aca="false">Sens!J11803*(1+Sens!K11804)</f>
        <v>17.0905686207108</v>
      </c>
      <c r="L11803" s="12" t="s">
        <v>1038</v>
      </c>
    </row>
    <row r="11804" customFormat="false" ht="15" hidden="false" customHeight="false" outlineLevel="0" collapsed="false">
      <c r="A11804" s="1" t="s">
        <v>1028</v>
      </c>
      <c r="B11804" s="0" t="s">
        <v>168</v>
      </c>
      <c r="E11804" s="7" t="n">
        <f aca="false">Sens!E11803/Sens!D11803-1</f>
        <v>-0.0709869963760392</v>
      </c>
      <c r="F11804" s="7" t="n">
        <f aca="false">Sens!$E$11804+(glt_xbox_lo-Sens!$E$11804)*MIN(1,(Sens!F11744-base_fy)/n_conv)</f>
        <v>-0.0624891636466994</v>
      </c>
      <c r="G11804" s="7" t="n">
        <f aca="false">Sens!$E$11804+(glt_xbox_lo-Sens!$E$11804)*MIN(1,(Sens!G11744-base_fy)/n_conv)</f>
        <v>-0.0539913309173595</v>
      </c>
      <c r="H11804" s="7" t="n">
        <f aca="false">Sens!$E$11804+(glt_xbox_lo-Sens!$E$11804)*MIN(1,(Sens!H11744-base_fy)/n_conv)</f>
        <v>-0.0454934981880196</v>
      </c>
      <c r="I11804" s="7" t="n">
        <f aca="false">Sens!$E$11804+(glt_xbox_lo-Sens!$E$11804)*MIN(1,(Sens!I11744-base_fy)/n_conv)</f>
        <v>-0.0369956654586797</v>
      </c>
      <c r="J11804" s="7" t="n">
        <f aca="false">Sens!$E$11804+(glt_xbox_lo-Sens!$E$11804)*MIN(1,(Sens!J11744-base_fy)/n_conv)</f>
        <v>-0.0284978327293399</v>
      </c>
      <c r="K11804" s="7" t="n">
        <f aca="false">Sens!$E$11804+(glt_xbox_lo-Sens!$E$11804)*MIN(1,(Sens!K11744-base_fy)/n_conv)</f>
        <v>-0.02</v>
      </c>
    </row>
    <row r="11805" customFormat="false" ht="17.15" hidden="false" customHeight="false" outlineLevel="0" collapsed="false">
      <c r="A11805" s="0" t="s">
        <v>1043</v>
      </c>
      <c r="B11805" s="0" t="s">
        <v>98</v>
      </c>
      <c r="D11805" s="6" t="n">
        <f aca="false">Q!L15</f>
        <v>17.315</v>
      </c>
      <c r="E11805" s="6" t="n">
        <f aca="false">Q!M15</f>
        <v>17.087</v>
      </c>
      <c r="F11805" s="6" t="n">
        <f aca="false">Q!$I$15+(Q!M15-Q!$E$15)*(1+Sens!F11806)</f>
        <v>15.9912273250553</v>
      </c>
      <c r="G11805" s="6" t="n">
        <f aca="false">Sens!F11805*(1+Sens!G11806)</f>
        <v>15.9574562664827</v>
      </c>
      <c r="H11805" s="6" t="n">
        <f aca="false">Sens!G11805*(1+Sens!H11806)</f>
        <v>16.0119687434196</v>
      </c>
      <c r="I11805" s="6" t="n">
        <f aca="false">Sens!H11805*(1+Sens!I11806)</f>
        <v>16.1551810001948</v>
      </c>
      <c r="J11805" s="6" t="n">
        <f aca="false">Sens!I11805*(1+Sens!J11806)</f>
        <v>16.3889793892005</v>
      </c>
      <c r="K11805" s="6" t="n">
        <f aca="false">Sens!J11805*(1+Sens!K11806)</f>
        <v>16.7167589769845</v>
      </c>
      <c r="L11805" s="12" t="s">
        <v>1038</v>
      </c>
    </row>
    <row r="11806" customFormat="false" ht="15" hidden="false" customHeight="false" outlineLevel="0" collapsed="false">
      <c r="A11806" s="1" t="s">
        <v>1028</v>
      </c>
      <c r="B11806" s="0" t="s">
        <v>168</v>
      </c>
      <c r="E11806" s="7" t="n">
        <f aca="false">Sens!E11805/Sens!D11805-1</f>
        <v>-0.0131677736066995</v>
      </c>
      <c r="F11806" s="7" t="n">
        <f aca="false">Sens!$E$11806+(glt_win-Sens!$E$11806)*MIN(1,(Sens!F11744-base_fy)/n_conv)</f>
        <v>-0.00763981133891627</v>
      </c>
      <c r="G11806" s="7" t="n">
        <f aca="false">Sens!$E$11806+(glt_win-Sens!$E$11806)*MIN(1,(Sens!G11744-base_fy)/n_conv)</f>
        <v>-0.00211184907113301</v>
      </c>
      <c r="H11806" s="7" t="n">
        <f aca="false">Sens!$E$11806+(glt_win-Sens!$E$11806)*MIN(1,(Sens!H11744-base_fy)/n_conv)</f>
        <v>0.00341611319665024</v>
      </c>
      <c r="I11806" s="7" t="n">
        <f aca="false">Sens!$E$11806+(glt_win-Sens!$E$11806)*MIN(1,(Sens!I11744-base_fy)/n_conv)</f>
        <v>0.00894407546443349</v>
      </c>
      <c r="J11806" s="7" t="n">
        <f aca="false">Sens!$E$11806+(glt_win-Sens!$E$11806)*MIN(1,(Sens!J11744-base_fy)/n_conv)</f>
        <v>0.0144720377322168</v>
      </c>
      <c r="K11806" s="7" t="n">
        <f aca="false">Sens!$E$11806+(glt_win-Sens!$E$11806)*MIN(1,(Sens!K11744-base_fy)/n_conv)</f>
        <v>0.02</v>
      </c>
    </row>
    <row r="11807" customFormat="false" ht="15" hidden="false" customHeight="false" outlineLevel="0" collapsed="false">
      <c r="A11807" s="0" t="s">
        <v>870</v>
      </c>
      <c r="B11807" s="0" t="s">
        <v>98</v>
      </c>
      <c r="D11807" s="6" t="n">
        <f aca="false">Sens!D11801+Sens!D11803+Sens!D11805</f>
        <v>62.941</v>
      </c>
      <c r="E11807" s="6" t="n">
        <f aca="false">Sens!E11801+Sens!E11803+Sens!E11805</f>
        <v>63.712</v>
      </c>
      <c r="F11807" s="6" t="n">
        <f aca="false">Sens!F11801+Sens!F11803+Sens!F11805</f>
        <v>64.1939683285845</v>
      </c>
      <c r="G11807" s="6" t="n">
        <f aca="false">Sens!G11801+Sens!G11803+Sens!G11805</f>
        <v>65.8962912014735</v>
      </c>
      <c r="H11807" s="6" t="n">
        <f aca="false">Sens!H11801+Sens!H11803+Sens!H11805</f>
        <v>67.9536850676428</v>
      </c>
      <c r="I11807" s="6" t="n">
        <f aca="false">Sens!I11801+Sens!I11803+Sens!I11805</f>
        <v>70.2951227910498</v>
      </c>
      <c r="J11807" s="6" t="n">
        <f aca="false">Sens!J11801+Sens!J11803+Sens!J11805</f>
        <v>72.8531125015395</v>
      </c>
      <c r="K11807" s="6" t="n">
        <f aca="false">Sens!K11801+Sens!K11803+Sens!K11805</f>
        <v>75.5638393909996</v>
      </c>
    </row>
    <row r="11808" customFormat="false" ht="15" hidden="false" customHeight="false" outlineLevel="0" collapsed="false">
      <c r="A11808" s="1" t="s">
        <v>1044</v>
      </c>
      <c r="B11808" s="0" t="s">
        <v>98</v>
      </c>
      <c r="D11808" s="6" t="n">
        <f aca="false">Sens!D11800+Sens!D11807</f>
        <v>281.724</v>
      </c>
      <c r="E11808" s="6" t="n">
        <f aca="false">Sens!E11800+Sens!E11807</f>
        <v>331.839</v>
      </c>
      <c r="F11808" s="6" t="n">
        <f aca="false">Sens!F11800+Sens!F11807</f>
        <v>398.942064342921</v>
      </c>
      <c r="G11808" s="6" t="n">
        <f aca="false">Sens!G11800+Sens!G11807</f>
        <v>476.098726151163</v>
      </c>
      <c r="H11808" s="6" t="n">
        <f aca="false">Sens!H11800+Sens!H11807</f>
        <v>554.966543030582</v>
      </c>
      <c r="I11808" s="6" t="n">
        <f aca="false">Sens!I11800+Sens!I11807</f>
        <v>627.258051769514</v>
      </c>
      <c r="J11808" s="6" t="n">
        <f aca="false">Sens!J11800+Sens!J11807</f>
        <v>686.255113518663</v>
      </c>
      <c r="K11808" s="6" t="n">
        <f aca="false">Sens!K11800+Sens!K11807</f>
        <v>733.401430158618</v>
      </c>
    </row>
    <row r="11809" customFormat="false" ht="15" hidden="false" customHeight="false" outlineLevel="0" collapsed="false">
      <c r="A11809" s="26" t="s">
        <v>1045</v>
      </c>
      <c r="B11809" s="31" t="s">
        <v>98</v>
      </c>
      <c r="C11809" s="31"/>
      <c r="D11809" s="27" t="n">
        <f aca="false">(Sens!D11788+Sens!D11793+Sens!D11794+Sens!D11796+Sens!D11798-Sens!D11800)+(Sens!D11801+Sens!D11803+Sens!D11805-Sens!D11807)+(Sens!D11800-Q!L5)+(Sens!D11807-Q!L12)+(Sens!D11788-Q!L6)+(Sens!D11793-Q!L7)</f>
        <v>0</v>
      </c>
      <c r="E11809" s="27" t="n">
        <f aca="false">(Sens!E11788+Sens!E11793+Sens!E11794+Sens!E11796+Sens!E11798-Sens!E11800)+(Sens!E11801+Sens!E11803+Sens!E11805-Sens!E11807)+(Sens!E11800-Q!M5)+(Sens!E11807-Q!M12)+(Sens!E11788-Q!M6)+(Sens!E11793-Q!M7)</f>
        <v>0</v>
      </c>
      <c r="F11809" s="27" t="n">
        <f aca="false">(Sens!F11788+Sens!F11793+Sens!F11794+Sens!F11796+Sens!F11798-Sens!F11800)+(Sens!F11801+Sens!F11803+Sens!F11805-Sens!F11807)</f>
        <v>0</v>
      </c>
      <c r="G11809" s="27" t="n">
        <f aca="false">(Sens!G11788+Sens!G11793+Sens!G11794+Sens!G11796+Sens!G11798-Sens!G11800)+(Sens!G11801+Sens!G11803+Sens!G11805-Sens!G11807)</f>
        <v>0</v>
      </c>
      <c r="H11809" s="27" t="n">
        <f aca="false">(Sens!H11788+Sens!H11793+Sens!H11794+Sens!H11796+Sens!H11798-Sens!H11800)+(Sens!H11801+Sens!H11803+Sens!H11805-Sens!H11807)</f>
        <v>0</v>
      </c>
      <c r="I11809" s="27" t="n">
        <f aca="false">(Sens!I11788+Sens!I11793+Sens!I11794+Sens!I11796+Sens!I11798-Sens!I11800)+(Sens!I11801+Sens!I11803+Sens!I11805-Sens!I11807)</f>
        <v>0</v>
      </c>
      <c r="J11809" s="27" t="n">
        <f aca="false">(Sens!J11788+Sens!J11793+Sens!J11794+Sens!J11796+Sens!J11798-Sens!J11800)+(Sens!J11801+Sens!J11803+Sens!J11805-Sens!J11807)</f>
        <v>0</v>
      </c>
      <c r="K11809" s="27" t="n">
        <f aca="false">(Sens!K11788+Sens!K11793+Sens!K11794+Sens!K11796+Sens!K11798-Sens!K11800)+(Sens!K11801+Sens!K11803+Sens!K11805-Sens!K11807)</f>
        <v>0</v>
      </c>
    </row>
    <row r="11810" customFormat="false" ht="17.15" hidden="false" customHeight="false" outlineLevel="0" collapsed="false">
      <c r="A11810" s="3" t="s">
        <v>1907</v>
      </c>
    </row>
    <row r="11811" customFormat="false" ht="15" hidden="false" customHeight="false" outlineLevel="0" collapsed="false">
      <c r="A11811" s="4" t="s">
        <v>43</v>
      </c>
      <c r="B11811" s="4" t="s">
        <v>65</v>
      </c>
      <c r="C11811" s="23" t="s">
        <v>942</v>
      </c>
      <c r="D11811" s="23" t="s">
        <v>943</v>
      </c>
      <c r="E11811" s="23" t="s">
        <v>944</v>
      </c>
      <c r="F11811" s="23" t="s">
        <v>945</v>
      </c>
      <c r="G11811" s="23" t="s">
        <v>946</v>
      </c>
      <c r="H11811" s="23" t="s">
        <v>947</v>
      </c>
      <c r="I11811" s="23" t="s">
        <v>948</v>
      </c>
      <c r="J11811" s="23" t="s">
        <v>949</v>
      </c>
      <c r="K11811" s="23" t="s">
        <v>950</v>
      </c>
      <c r="L11811" s="4" t="s">
        <v>47</v>
      </c>
    </row>
    <row r="11812" customFormat="false" ht="15" hidden="false" customHeight="false" outlineLevel="0" collapsed="false">
      <c r="A11812" s="0" t="s">
        <v>1029</v>
      </c>
      <c r="B11812" s="0" t="s">
        <v>98</v>
      </c>
      <c r="D11812" s="6" t="n">
        <f aca="false">Sens!D11788</f>
        <v>72.61</v>
      </c>
      <c r="E11812" s="6" t="n">
        <f aca="false">Sens!E11788</f>
        <v>101.938</v>
      </c>
      <c r="F11812" s="6" t="n">
        <f aca="false">Sens!F11788</f>
        <v>146.709048000181</v>
      </c>
      <c r="G11812" s="6" t="n">
        <f aca="false">Sens!G11788</f>
        <v>199.762829861393</v>
      </c>
      <c r="H11812" s="6" t="n">
        <f aca="false">Sens!H11788</f>
        <v>254.146566109645</v>
      </c>
      <c r="I11812" s="6" t="n">
        <f aca="false">Sens!I11788</f>
        <v>303.439446964617</v>
      </c>
      <c r="J11812" s="6" t="n">
        <f aca="false">Sens!J11788</f>
        <v>341.309898459739</v>
      </c>
      <c r="K11812" s="6" t="n">
        <f aca="false">Sens!K11788</f>
        <v>368.09747789654</v>
      </c>
    </row>
    <row r="11813" customFormat="false" ht="17.15" hidden="false" customHeight="false" outlineLevel="0" collapsed="false">
      <c r="A11813" s="0" t="s">
        <v>1025</v>
      </c>
      <c r="B11813" s="0" t="s">
        <v>98</v>
      </c>
      <c r="D11813" s="6" t="n">
        <f aca="false">Sens!D11785</f>
        <v>12.9359794422418</v>
      </c>
      <c r="E11813" s="6" t="n">
        <f aca="false">Sens!E11785</f>
        <v>27.8095064661409</v>
      </c>
      <c r="F11813" s="6" t="n">
        <f aca="false">Sens!F11785</f>
        <v>55.4118315060966</v>
      </c>
      <c r="G11813" s="6" t="n">
        <f aca="false">Sens!G11785</f>
        <v>91.2881100675143</v>
      </c>
      <c r="H11813" s="6" t="n">
        <f aca="false">Sens!H11785</f>
        <v>128.195273603944</v>
      </c>
      <c r="I11813" s="6" t="n">
        <f aca="false">Sens!I11785</f>
        <v>160.601281810405</v>
      </c>
      <c r="J11813" s="6" t="n">
        <f aca="false">Sens!J11785</f>
        <v>183.182719793589</v>
      </c>
      <c r="K11813" s="6" t="n">
        <f aca="false">Sens!K11785</f>
        <v>197.320124937098</v>
      </c>
    </row>
    <row r="11814" customFormat="false" ht="17.15" hidden="false" customHeight="false" outlineLevel="0" collapsed="false">
      <c r="A11814" s="0" t="s">
        <v>1056</v>
      </c>
      <c r="B11814" s="0" t="s">
        <v>98</v>
      </c>
      <c r="D11814" s="6" t="n">
        <f aca="false">Sens!D11786</f>
        <v>59.6740205577583</v>
      </c>
      <c r="E11814" s="6" t="n">
        <f aca="false">Sens!E11786</f>
        <v>74.1284935338591</v>
      </c>
      <c r="F11814" s="6" t="n">
        <f aca="false">Sens!F11786</f>
        <v>91.2972164940844</v>
      </c>
      <c r="G11814" s="6" t="n">
        <f aca="false">Sens!G11786</f>
        <v>108.474719793879</v>
      </c>
      <c r="H11814" s="6" t="n">
        <f aca="false">Sens!H11786</f>
        <v>125.951292505701</v>
      </c>
      <c r="I11814" s="6" t="n">
        <f aca="false">Sens!I11786</f>
        <v>142.838165154212</v>
      </c>
      <c r="J11814" s="6" t="n">
        <f aca="false">Sens!J11786</f>
        <v>158.12717866615</v>
      </c>
      <c r="K11814" s="6" t="n">
        <f aca="false">Sens!K11786</f>
        <v>170.777352959442</v>
      </c>
    </row>
    <row r="11815" customFormat="false" ht="15" hidden="false" customHeight="false" outlineLevel="0" collapsed="false">
      <c r="A11815" s="0" t="s">
        <v>1036</v>
      </c>
      <c r="B11815" s="0" t="s">
        <v>98</v>
      </c>
      <c r="D11815" s="6" t="n">
        <f aca="false">Sens!D11793</f>
        <v>84.605</v>
      </c>
      <c r="E11815" s="6" t="n">
        <f aca="false">Sens!E11793</f>
        <v>100.299</v>
      </c>
      <c r="F11815" s="6" t="n">
        <f aca="false">Sens!F11793</f>
        <v>118.584003697747</v>
      </c>
      <c r="G11815" s="6" t="n">
        <f aca="false">Sens!G11793</f>
        <v>136.700726545688</v>
      </c>
      <c r="H11815" s="6" t="n">
        <f aca="false">Sens!H11793</f>
        <v>154.898624783666</v>
      </c>
      <c r="I11815" s="6" t="n">
        <f aca="false">Sens!I11793</f>
        <v>171.420510030657</v>
      </c>
      <c r="J11815" s="6" t="n">
        <f aca="false">Sens!J11793</f>
        <v>185.985722618572</v>
      </c>
      <c r="K11815" s="6" t="n">
        <f aca="false">Sens!K11793</f>
        <v>199.799723201872</v>
      </c>
    </row>
    <row r="11816" customFormat="false" ht="17.15" hidden="false" customHeight="false" outlineLevel="0" collapsed="false">
      <c r="A11816" s="0" t="s">
        <v>1057</v>
      </c>
      <c r="B11816" s="0" t="s">
        <v>98</v>
      </c>
      <c r="D11816" s="6" t="n">
        <f aca="false">Sens!D11791</f>
        <v>83.705</v>
      </c>
      <c r="E11816" s="6" t="n">
        <f aca="false">Sens!E11791</f>
        <v>95.049</v>
      </c>
      <c r="F11816" s="6" t="n">
        <f aca="false">Sens!F11791</f>
        <v>106.584003697747</v>
      </c>
      <c r="G11816" s="6" t="n">
        <f aca="false">Sens!G11791</f>
        <v>118.700726545688</v>
      </c>
      <c r="H11816" s="6" t="n">
        <f aca="false">Sens!H11791</f>
        <v>130.898624783666</v>
      </c>
      <c r="I11816" s="6" t="n">
        <f aca="false">Sens!I11791</f>
        <v>142.920510030657</v>
      </c>
      <c r="J11816" s="6" t="n">
        <f aca="false">Sens!J11791</f>
        <v>154.485722618572</v>
      </c>
      <c r="K11816" s="6" t="n">
        <f aca="false">Sens!K11791</f>
        <v>165.299723201872</v>
      </c>
    </row>
    <row r="11817" customFormat="false" ht="17.15" hidden="false" customHeight="false" outlineLevel="0" collapsed="false">
      <c r="A11817" s="0" t="s">
        <v>1058</v>
      </c>
      <c r="B11817" s="0" t="s">
        <v>98</v>
      </c>
      <c r="D11817" s="6" t="n">
        <f aca="false">Sens!D11790</f>
        <v>0.9</v>
      </c>
      <c r="E11817" s="6" t="n">
        <f aca="false">Sens!E11790</f>
        <v>5.25</v>
      </c>
      <c r="F11817" s="6" t="n">
        <f aca="false">Sens!F11790</f>
        <v>12</v>
      </c>
      <c r="G11817" s="6" t="n">
        <f aca="false">Sens!G11790</f>
        <v>18</v>
      </c>
      <c r="H11817" s="6" t="n">
        <f aca="false">Sens!H11790</f>
        <v>24</v>
      </c>
      <c r="I11817" s="6" t="n">
        <f aca="false">Sens!I11790</f>
        <v>28.5</v>
      </c>
      <c r="J11817" s="6" t="n">
        <f aca="false">Sens!J11790</f>
        <v>31.5</v>
      </c>
      <c r="K11817" s="6" t="n">
        <f aca="false">Sens!K11790</f>
        <v>34.5</v>
      </c>
    </row>
    <row r="11818" customFormat="false" ht="15" hidden="false" customHeight="false" outlineLevel="0" collapsed="false">
      <c r="A11818" s="0" t="s">
        <v>1037</v>
      </c>
      <c r="B11818" s="0" t="s">
        <v>98</v>
      </c>
      <c r="D11818" s="6" t="n">
        <f aca="false">Sens!D11794</f>
        <v>35.391</v>
      </c>
      <c r="E11818" s="6" t="n">
        <f aca="false">Sens!E11794</f>
        <v>37.285</v>
      </c>
      <c r="F11818" s="6" t="n">
        <f aca="false">Sens!F11794</f>
        <v>38.3851437782675</v>
      </c>
      <c r="G11818" s="6" t="n">
        <f aca="false">Sens!G11794</f>
        <v>40.0105353288615</v>
      </c>
      <c r="H11818" s="6" t="n">
        <f aca="false">Sens!H11794</f>
        <v>41.4812512033683</v>
      </c>
      <c r="I11818" s="6" t="n">
        <f aca="false">Sens!I11794</f>
        <v>42.7743107216329</v>
      </c>
      <c r="J11818" s="6" t="n">
        <f aca="false">Sens!J11794</f>
        <v>43.8687373064601</v>
      </c>
      <c r="K11818" s="6" t="n">
        <f aca="false">Sens!K11794</f>
        <v>44.7461120525893</v>
      </c>
    </row>
    <row r="11819" customFormat="false" ht="15" hidden="false" customHeight="false" outlineLevel="0" collapsed="false">
      <c r="A11819" s="0" t="s">
        <v>1039</v>
      </c>
      <c r="B11819" s="0" t="s">
        <v>98</v>
      </c>
      <c r="D11819" s="6" t="n">
        <f aca="false">Sens!D11796</f>
        <v>18.417</v>
      </c>
      <c r="E11819" s="6" t="n">
        <f aca="false">Sens!E11796</f>
        <v>20.345</v>
      </c>
      <c r="F11819" s="6" t="n">
        <f aca="false">Sens!F11796</f>
        <v>22.3161797133988</v>
      </c>
      <c r="G11819" s="6" t="n">
        <f aca="false">Sens!G11796</f>
        <v>24.3943499673233</v>
      </c>
      <c r="H11819" s="6" t="n">
        <f aca="false">Sens!H11796</f>
        <v>26.5250243109019</v>
      </c>
      <c r="I11819" s="6" t="n">
        <f aca="false">Sens!I11796</f>
        <v>28.6884573538181</v>
      </c>
      <c r="J11819" s="6" t="n">
        <f aca="false">Sens!J11796</f>
        <v>30.8624968052127</v>
      </c>
      <c r="K11819" s="6" t="n">
        <f aca="false">Sens!K11796</f>
        <v>33.0228715815776</v>
      </c>
    </row>
    <row r="11820" customFormat="false" ht="15" hidden="false" customHeight="false" outlineLevel="0" collapsed="false">
      <c r="A11820" s="0" t="s">
        <v>1040</v>
      </c>
      <c r="B11820" s="0" t="s">
        <v>98</v>
      </c>
      <c r="D11820" s="6" t="n">
        <f aca="false">Sens!D11798</f>
        <v>7.76</v>
      </c>
      <c r="E11820" s="6" t="n">
        <f aca="false">Sens!E11798</f>
        <v>8.26</v>
      </c>
      <c r="F11820" s="6" t="n">
        <f aca="false">Sens!F11798</f>
        <v>8.75372082474227</v>
      </c>
      <c r="G11820" s="6" t="n">
        <f aca="false">Sens!G11798</f>
        <v>9.33399324642364</v>
      </c>
      <c r="H11820" s="6" t="n">
        <f aca="false">Sens!H11798</f>
        <v>9.96139155535851</v>
      </c>
      <c r="I11820" s="6" t="n">
        <f aca="false">Sens!I11798</f>
        <v>10.6402039077391</v>
      </c>
      <c r="J11820" s="6" t="n">
        <f aca="false">Sens!J11798</f>
        <v>11.3751458271397</v>
      </c>
      <c r="K11820" s="6" t="n">
        <f aca="false">Sens!K11798</f>
        <v>12.1714060350394</v>
      </c>
    </row>
    <row r="11821" customFormat="false" ht="15" hidden="false" customHeight="false" outlineLevel="0" collapsed="false">
      <c r="A11821" s="0" t="s">
        <v>856</v>
      </c>
      <c r="B11821" s="0" t="s">
        <v>98</v>
      </c>
      <c r="D11821" s="6" t="n">
        <f aca="false">Sens!D11800</f>
        <v>218.783</v>
      </c>
      <c r="E11821" s="6" t="n">
        <f aca="false">Sens!E11800</f>
        <v>268.127</v>
      </c>
      <c r="F11821" s="6" t="n">
        <f aca="false">Sens!F11800</f>
        <v>334.748096014336</v>
      </c>
      <c r="G11821" s="6" t="n">
        <f aca="false">Sens!G11800</f>
        <v>410.20243494969</v>
      </c>
      <c r="H11821" s="6" t="n">
        <f aca="false">Sens!H11800</f>
        <v>487.012857962939</v>
      </c>
      <c r="I11821" s="6" t="n">
        <f aca="false">Sens!I11800</f>
        <v>556.962928978464</v>
      </c>
      <c r="J11821" s="6" t="n">
        <f aca="false">Sens!J11800</f>
        <v>613.402001017124</v>
      </c>
      <c r="K11821" s="6" t="n">
        <f aca="false">Sens!K11800</f>
        <v>657.837590767618</v>
      </c>
    </row>
    <row r="11822" customFormat="false" ht="15" hidden="false" customHeight="false" outlineLevel="0" collapsed="false">
      <c r="A11822" s="0" t="s">
        <v>1041</v>
      </c>
      <c r="B11822" s="0" t="s">
        <v>98</v>
      </c>
      <c r="D11822" s="6" t="n">
        <f aca="false">Sens!D11801</f>
        <v>22.171</v>
      </c>
      <c r="E11822" s="6" t="n">
        <f aca="false">Sens!E11801</f>
        <v>24.835</v>
      </c>
      <c r="F11822" s="6" t="n">
        <f aca="false">Sens!F11801</f>
        <v>27.5591895660247</v>
      </c>
      <c r="G11822" s="6" t="n">
        <f aca="false">Sens!G11801</f>
        <v>30.4098563144583</v>
      </c>
      <c r="H11822" s="6" t="n">
        <f aca="false">Sens!H11801</f>
        <v>33.3011792571777</v>
      </c>
      <c r="I11822" s="6" t="n">
        <f aca="false">Sens!I11801</f>
        <v>36.189023797112</v>
      </c>
      <c r="J11822" s="6" t="n">
        <f aca="false">Sens!J11801</f>
        <v>39.0247773769199</v>
      </c>
      <c r="K11822" s="6" t="n">
        <f aca="false">Sens!K11801</f>
        <v>41.7565117933043</v>
      </c>
    </row>
    <row r="11823" customFormat="false" ht="15" hidden="false" customHeight="false" outlineLevel="0" collapsed="false">
      <c r="A11823" s="0" t="s">
        <v>1042</v>
      </c>
      <c r="B11823" s="0" t="s">
        <v>98</v>
      </c>
      <c r="D11823" s="6" t="n">
        <f aca="false">Sens!D11803</f>
        <v>23.455</v>
      </c>
      <c r="E11823" s="6" t="n">
        <f aca="false">Sens!E11803</f>
        <v>21.79</v>
      </c>
      <c r="F11823" s="6" t="n">
        <f aca="false">Sens!F11803</f>
        <v>20.6435514375044</v>
      </c>
      <c r="G11823" s="6" t="n">
        <f aca="false">Sens!G11803</f>
        <v>19.5289786205326</v>
      </c>
      <c r="H11823" s="6" t="n">
        <f aca="false">Sens!H11803</f>
        <v>18.6405370670455</v>
      </c>
      <c r="I11823" s="6" t="n">
        <f aca="false">Sens!I11803</f>
        <v>17.950917993743</v>
      </c>
      <c r="J11823" s="6" t="n">
        <f aca="false">Sens!J11803</f>
        <v>17.4393557354192</v>
      </c>
      <c r="K11823" s="6" t="n">
        <f aca="false">Sens!K11803</f>
        <v>17.0905686207108</v>
      </c>
    </row>
    <row r="11824" customFormat="false" ht="15" hidden="false" customHeight="false" outlineLevel="0" collapsed="false">
      <c r="A11824" s="0" t="s">
        <v>1043</v>
      </c>
      <c r="B11824" s="0" t="s">
        <v>98</v>
      </c>
      <c r="D11824" s="6" t="n">
        <f aca="false">Sens!D11805</f>
        <v>17.315</v>
      </c>
      <c r="E11824" s="6" t="n">
        <f aca="false">Sens!E11805</f>
        <v>17.087</v>
      </c>
      <c r="F11824" s="6" t="n">
        <f aca="false">Sens!F11805</f>
        <v>15.9912273250553</v>
      </c>
      <c r="G11824" s="6" t="n">
        <f aca="false">Sens!G11805</f>
        <v>15.9574562664827</v>
      </c>
      <c r="H11824" s="6" t="n">
        <f aca="false">Sens!H11805</f>
        <v>16.0119687434196</v>
      </c>
      <c r="I11824" s="6" t="n">
        <f aca="false">Sens!I11805</f>
        <v>16.1551810001948</v>
      </c>
      <c r="J11824" s="6" t="n">
        <f aca="false">Sens!J11805</f>
        <v>16.3889793892005</v>
      </c>
      <c r="K11824" s="6" t="n">
        <f aca="false">Sens!K11805</f>
        <v>16.7167589769845</v>
      </c>
    </row>
    <row r="11825" customFormat="false" ht="15" hidden="false" customHeight="false" outlineLevel="0" collapsed="false">
      <c r="A11825" s="0" t="s">
        <v>870</v>
      </c>
      <c r="B11825" s="0" t="s">
        <v>98</v>
      </c>
      <c r="D11825" s="6" t="n">
        <f aca="false">Sens!D11807</f>
        <v>62.941</v>
      </c>
      <c r="E11825" s="6" t="n">
        <f aca="false">Sens!E11807</f>
        <v>63.712</v>
      </c>
      <c r="F11825" s="6" t="n">
        <f aca="false">Sens!F11807</f>
        <v>64.1939683285845</v>
      </c>
      <c r="G11825" s="6" t="n">
        <f aca="false">Sens!G11807</f>
        <v>65.8962912014735</v>
      </c>
      <c r="H11825" s="6" t="n">
        <f aca="false">Sens!H11807</f>
        <v>67.9536850676428</v>
      </c>
      <c r="I11825" s="6" t="n">
        <f aca="false">Sens!I11807</f>
        <v>70.2951227910498</v>
      </c>
      <c r="J11825" s="6" t="n">
        <f aca="false">Sens!J11807</f>
        <v>72.8531125015395</v>
      </c>
      <c r="K11825" s="6" t="n">
        <f aca="false">Sens!K11807</f>
        <v>75.5638393909996</v>
      </c>
    </row>
    <row r="11826" customFormat="false" ht="15" hidden="false" customHeight="false" outlineLevel="0" collapsed="false">
      <c r="A11826" s="1" t="s">
        <v>1059</v>
      </c>
      <c r="B11826" s="0" t="s">
        <v>98</v>
      </c>
      <c r="D11826" s="6" t="n">
        <f aca="false">Sens!D11808</f>
        <v>281.724</v>
      </c>
      <c r="E11826" s="6" t="n">
        <f aca="false">Sens!E11808</f>
        <v>331.839</v>
      </c>
      <c r="F11826" s="6" t="n">
        <f aca="false">Sens!F11808</f>
        <v>398.942064342921</v>
      </c>
      <c r="G11826" s="6" t="n">
        <f aca="false">Sens!G11808</f>
        <v>476.098726151163</v>
      </c>
      <c r="H11826" s="6" t="n">
        <f aca="false">Sens!H11808</f>
        <v>554.966543030582</v>
      </c>
      <c r="I11826" s="6" t="n">
        <f aca="false">Sens!I11808</f>
        <v>627.258051769514</v>
      </c>
      <c r="J11826" s="6" t="n">
        <f aca="false">Sens!J11808</f>
        <v>686.255113518663</v>
      </c>
      <c r="K11826" s="6" t="n">
        <f aca="false">Sens!K11808</f>
        <v>733.401430158618</v>
      </c>
    </row>
    <row r="11827" customFormat="false" ht="15" hidden="false" customHeight="false" outlineLevel="0" collapsed="false">
      <c r="A11827" s="1" t="s">
        <v>1060</v>
      </c>
      <c r="B11827" s="0" t="s">
        <v>168</v>
      </c>
      <c r="E11827" s="7" t="n">
        <f aca="false">Sens!E11826/Sens!D11826-1</f>
        <v>0.177886867998467</v>
      </c>
      <c r="F11827" s="7" t="n">
        <f aca="false">Sens!F11826/Sens!E11826-1</f>
        <v>0.202215726128999</v>
      </c>
      <c r="G11827" s="7" t="n">
        <f aca="false">Sens!G11826/Sens!F11826-1</f>
        <v>0.19340317480766</v>
      </c>
      <c r="H11827" s="7" t="n">
        <f aca="false">Sens!H11826/Sens!G11826-1</f>
        <v>0.165654332909048</v>
      </c>
      <c r="I11827" s="7" t="n">
        <f aca="false">Sens!I11826/Sens!H11826-1</f>
        <v>0.130262823312122</v>
      </c>
      <c r="J11827" s="7" t="n">
        <f aca="false">Sens!J11826/Sens!I11826-1</f>
        <v>0.0940554873432342</v>
      </c>
      <c r="K11827" s="7" t="n">
        <f aca="false">Sens!K11826/Sens!J11826-1</f>
        <v>0.0687008602358086</v>
      </c>
    </row>
    <row r="11828" customFormat="false" ht="17.15" hidden="false" customHeight="false" outlineLevel="0" collapsed="false">
      <c r="A11828" s="26" t="s">
        <v>1061</v>
      </c>
      <c r="B11828" s="31" t="s">
        <v>98</v>
      </c>
      <c r="C11828" s="31"/>
      <c r="D11828" s="27" t="n">
        <f aca="false">(Sens!D11821+Sens!D11825-Sens!D11826)+(Sens!D11813+Sens!D11814-Sens!D11812)+(Sens!D11816+Sens!D11817-Sens!D11815)+(Sens!D11826-Q!L18)</f>
        <v>0</v>
      </c>
      <c r="E11828" s="27" t="n">
        <f aca="false">(Sens!E11821+Sens!E11825-Sens!E11826)+(Sens!E11813+Sens!E11814-Sens!E11812)+(Sens!E11816+Sens!E11817-Sens!E11815)+(Sens!E11826-Q!M18)</f>
        <v>0</v>
      </c>
      <c r="F11828" s="27" t="n">
        <f aca="false">(Sens!F11821+Sens!F11825-Sens!F11826)+(Sens!F11813+Sens!F11814-Sens!F11812)+(Sens!F11816+Sens!F11817-Sens!F11815)</f>
        <v>0</v>
      </c>
      <c r="G11828" s="27" t="n">
        <f aca="false">(Sens!G11821+Sens!G11825-Sens!G11826)+(Sens!G11813+Sens!G11814-Sens!G11812)+(Sens!G11816+Sens!G11817-Sens!G11815)</f>
        <v>0</v>
      </c>
      <c r="H11828" s="27" t="n">
        <f aca="false">(Sens!H11821+Sens!H11825-Sens!H11826)+(Sens!H11813+Sens!H11814-Sens!H11812)+(Sens!H11816+Sens!H11817-Sens!H11815)</f>
        <v>0</v>
      </c>
      <c r="I11828" s="27" t="n">
        <f aca="false">(Sens!I11821+Sens!I11825-Sens!I11826)+(Sens!I11813+Sens!I11814-Sens!I11812)+(Sens!I11816+Sens!I11817-Sens!I11815)</f>
        <v>0</v>
      </c>
      <c r="J11828" s="27" t="n">
        <f aca="false">(Sens!J11821+Sens!J11825-Sens!J11826)+(Sens!J11813+Sens!J11814-Sens!J11812)+(Sens!J11816+Sens!J11817-Sens!J11815)</f>
        <v>0</v>
      </c>
      <c r="K11828" s="27" t="n">
        <f aca="false">(Sens!K11821+Sens!K11825-Sens!K11826)+(Sens!K11813+Sens!K11814-Sens!K11812)+(Sens!K11816+Sens!K11817-Sens!K11815)</f>
        <v>0</v>
      </c>
    </row>
    <row r="11829" customFormat="false" ht="17.15" hidden="false" customHeight="false" outlineLevel="0" collapsed="false">
      <c r="A11829" s="0" t="s">
        <v>1062</v>
      </c>
      <c r="B11829" s="0" t="s">
        <v>168</v>
      </c>
      <c r="E11829" s="7" t="n">
        <f aca="false">(Q!M21+Sens!E11765+Sens!E11766+Sens!E11767+Sens!E11781-Sens!E11763)/(Q!M5-Sens!E11763)</f>
        <v>0.570957350878296</v>
      </c>
      <c r="F11829" s="7" t="n">
        <f aca="false">Sens!$E$11829+dm_seg</f>
        <v>0.570957350878296</v>
      </c>
      <c r="G11829" s="7" t="n">
        <f aca="false">Sens!$E$11829+dm_seg</f>
        <v>0.570957350878296</v>
      </c>
      <c r="H11829" s="7" t="n">
        <f aca="false">Sens!$E$11829+dm_seg</f>
        <v>0.570957350878296</v>
      </c>
      <c r="I11829" s="7" t="n">
        <f aca="false">Sens!$E$11829+dm_seg</f>
        <v>0.570957350878296</v>
      </c>
      <c r="J11829" s="7" t="n">
        <f aca="false">Sens!$E$11829+dm_seg</f>
        <v>0.570957350878296</v>
      </c>
      <c r="K11829" s="7" t="n">
        <f aca="false">Sens!$E$11829+dm_seg</f>
        <v>0.570957350878296</v>
      </c>
      <c r="L11829" s="12" t="s">
        <v>1063</v>
      </c>
    </row>
    <row r="11830" customFormat="false" ht="17.15" hidden="false" customHeight="false" outlineLevel="0" collapsed="false">
      <c r="A11830" s="0" t="s">
        <v>884</v>
      </c>
      <c r="B11830" s="0" t="s">
        <v>98</v>
      </c>
      <c r="D11830" s="6" t="n">
        <f aca="false">Q!L21</f>
        <v>110.814</v>
      </c>
      <c r="E11830" s="6" t="n">
        <f aca="false">Q!M21</f>
        <v>136.365</v>
      </c>
      <c r="F11830" s="6" t="n">
        <f aca="false">Q!$I$21+(Sens!F11829*(Sens!F11800-Sens!F11763)+Sens!F11763-(Sens!F11765+Sens!F11766+Sens!F11767)-Sens!F11781-Sens!F11864)*(Sens!F11800-Q!$I$5)/Sens!F11800</f>
        <v>162.089636223038</v>
      </c>
      <c r="G11830" s="6" t="n">
        <f aca="false">(Sens!G11829*(Sens!G11800-Sens!G11763)+Sens!G11763-(Sens!G11765+Sens!G11766+Sens!G11767)-Sens!G11781-Sens!G11864)</f>
        <v>177.568610129394</v>
      </c>
      <c r="H11830" s="6" t="n">
        <f aca="false">(Sens!H11829*(Sens!H11800-Sens!H11763)+Sens!H11763-(Sens!H11765+Sens!H11766+Sens!H11767)-Sens!H11781-Sens!H11864)</f>
        <v>196.763422249719</v>
      </c>
      <c r="I11830" s="6" t="n">
        <f aca="false">(Sens!I11829*(Sens!I11800-Sens!I11763)+Sens!I11763-(Sens!I11765+Sens!I11766+Sens!I11767)-Sens!I11781-Sens!I11864)</f>
        <v>214.975345762527</v>
      </c>
      <c r="J11830" s="6" t="n">
        <f aca="false">(Sens!J11829*(Sens!J11800-Sens!J11763)+Sens!J11763-(Sens!J11765+Sens!J11766+Sens!J11767)-Sens!J11781-Sens!J11864)</f>
        <v>231.956862867284</v>
      </c>
      <c r="K11830" s="6" t="n">
        <f aca="false">(Sens!K11829*(Sens!K11800-Sens!K11763)+Sens!K11763-(Sens!K11765+Sens!K11766+Sens!K11767)-Sens!K11781-Sens!K11864)</f>
        <v>248.339554001995</v>
      </c>
      <c r="L11830" s="1" t="s">
        <v>1064</v>
      </c>
    </row>
    <row r="11831" customFormat="false" ht="17.15" hidden="false" customHeight="false" outlineLevel="0" collapsed="false">
      <c r="A11831" s="0" t="s">
        <v>1065</v>
      </c>
      <c r="B11831" s="0" t="s">
        <v>168</v>
      </c>
      <c r="E11831" s="7" t="n">
        <f aca="false">Q!M22/Q!M12</f>
        <v>0.296207935710698</v>
      </c>
      <c r="F11831" s="7" t="n">
        <f aca="false">Sens!$E$11831+dm_seg</f>
        <v>0.296207935710698</v>
      </c>
      <c r="G11831" s="7" t="n">
        <f aca="false">Sens!$E$11831+dm_seg</f>
        <v>0.296207935710698</v>
      </c>
      <c r="H11831" s="7" t="n">
        <f aca="false">Sens!$E$11831+dm_seg</f>
        <v>0.296207935710698</v>
      </c>
      <c r="I11831" s="7" t="n">
        <f aca="false">Sens!$E$11831+dm_seg</f>
        <v>0.296207935710698</v>
      </c>
      <c r="J11831" s="7" t="n">
        <f aca="false">Sens!$E$11831+dm_seg</f>
        <v>0.296207935710698</v>
      </c>
      <c r="K11831" s="7" t="n">
        <f aca="false">Sens!$E$11831+dm_seg</f>
        <v>0.296207935710698</v>
      </c>
      <c r="L11831" s="12" t="s">
        <v>1066</v>
      </c>
    </row>
    <row r="11832" customFormat="false" ht="17.15" hidden="false" customHeight="false" outlineLevel="0" collapsed="false">
      <c r="A11832" s="0" t="s">
        <v>886</v>
      </c>
      <c r="B11832" s="0" t="s">
        <v>98</v>
      </c>
      <c r="D11832" s="6" t="n">
        <f aca="false">Q!L22</f>
        <v>17.714</v>
      </c>
      <c r="E11832" s="6" t="n">
        <f aca="false">Q!M22</f>
        <v>18.872</v>
      </c>
      <c r="F11832" s="6" t="n">
        <f aca="false">Q!$I$22+(Sens!F11807-Q!$I$12)*Sens!F11831</f>
        <v>19.7852791671435</v>
      </c>
      <c r="G11832" s="6" t="n">
        <f aca="false">Sens!G11807*Sens!G11831</f>
        <v>19.5190043877795</v>
      </c>
      <c r="H11832" s="6" t="n">
        <f aca="false">Sens!H11807*Sens!H11831</f>
        <v>20.1284207778214</v>
      </c>
      <c r="I11832" s="6" t="n">
        <f aca="false">Sens!I11807*Sens!I11831</f>
        <v>20.8219732124669</v>
      </c>
      <c r="J11832" s="6" t="n">
        <f aca="false">Sens!J11807*Sens!J11831</f>
        <v>21.5796700641803</v>
      </c>
      <c r="K11832" s="6" t="n">
        <f aca="false">Sens!K11807*Sens!K11831</f>
        <v>22.3826088803827</v>
      </c>
      <c r="L11832" s="12" t="s">
        <v>1067</v>
      </c>
    </row>
    <row r="11833" customFormat="false" ht="15" hidden="false" customHeight="false" outlineLevel="0" collapsed="false">
      <c r="A11833" s="1" t="s">
        <v>1068</v>
      </c>
      <c r="B11833" s="0" t="s">
        <v>98</v>
      </c>
      <c r="D11833" s="6" t="n">
        <f aca="false">Sens!D11830+Sens!D11832</f>
        <v>128.528</v>
      </c>
      <c r="E11833" s="6" t="n">
        <f aca="false">Sens!E11830+Sens!E11832</f>
        <v>155.237</v>
      </c>
      <c r="F11833" s="6" t="n">
        <f aca="false">Sens!F11830+Sens!F11832</f>
        <v>181.874915390181</v>
      </c>
      <c r="G11833" s="6" t="n">
        <f aca="false">Sens!G11830+Sens!G11832</f>
        <v>197.087614517174</v>
      </c>
      <c r="H11833" s="6" t="n">
        <f aca="false">Sens!H11830+Sens!H11832</f>
        <v>216.89184302754</v>
      </c>
      <c r="I11833" s="6" t="n">
        <f aca="false">Sens!I11830+Sens!I11832</f>
        <v>235.797318974994</v>
      </c>
      <c r="J11833" s="6" t="n">
        <f aca="false">Sens!J11830+Sens!J11832</f>
        <v>253.536532931465</v>
      </c>
      <c r="K11833" s="6" t="n">
        <f aca="false">Sens!K11830+Sens!K11832</f>
        <v>270.722162882378</v>
      </c>
    </row>
    <row r="11834" customFormat="false" ht="15" hidden="false" customHeight="false" outlineLevel="0" collapsed="false">
      <c r="A11834" s="26" t="s">
        <v>1069</v>
      </c>
      <c r="B11834" s="31" t="s">
        <v>98</v>
      </c>
      <c r="C11834" s="31"/>
      <c r="D11834" s="27" t="n">
        <f aca="false">Sens!D11833-Q!L23</f>
        <v>0</v>
      </c>
      <c r="E11834" s="27" t="n">
        <f aca="false">Sens!E11833-Q!M23</f>
        <v>0</v>
      </c>
      <c r="F11834" s="31"/>
      <c r="G11834" s="31"/>
      <c r="H11834" s="31"/>
      <c r="I11834" s="31"/>
      <c r="J11834" s="31"/>
      <c r="K11834" s="31"/>
    </row>
    <row r="11835" customFormat="false" ht="15" hidden="false" customHeight="false" outlineLevel="0" collapsed="false">
      <c r="A11835" s="1" t="s">
        <v>1070</v>
      </c>
      <c r="B11835" s="0" t="s">
        <v>168</v>
      </c>
      <c r="D11835" s="7" t="n">
        <f aca="false">Sens!D11833/Sens!D11826</f>
        <v>0.456219562408598</v>
      </c>
      <c r="E11835" s="7" t="n">
        <f aca="false">Sens!E11833/Sens!E11826</f>
        <v>0.467808184089272</v>
      </c>
      <c r="F11835" s="7" t="n">
        <f aca="false">Sens!F11833/Sens!F11826</f>
        <v>0.455893052264967</v>
      </c>
      <c r="G11835" s="7" t="n">
        <f aca="false">Sens!G11833/Sens!G11826</f>
        <v>0.413963750985961</v>
      </c>
      <c r="H11835" s="7" t="n">
        <f aca="false">Sens!H11833/Sens!H11826</f>
        <v>0.390819673278193</v>
      </c>
      <c r="I11835" s="7" t="n">
        <f aca="false">Sens!I11833/Sens!I11826</f>
        <v>0.375917564246171</v>
      </c>
      <c r="J11835" s="7" t="n">
        <f aca="false">Sens!J11833/Sens!J11826</f>
        <v>0.369449389792517</v>
      </c>
      <c r="K11835" s="7" t="n">
        <f aca="false">Sens!K11833/Sens!K11826</f>
        <v>0.369132308378273</v>
      </c>
    </row>
    <row r="11836" customFormat="false" ht="17.15" hidden="false" customHeight="false" outlineLevel="0" collapsed="false">
      <c r="A11836" s="1" t="s">
        <v>1071</v>
      </c>
      <c r="B11836" s="0" t="s">
        <v>98</v>
      </c>
      <c r="F11836" s="6" t="n">
        <f aca="false">Sens!F11851</f>
        <v>9.7398427716299</v>
      </c>
      <c r="G11836" s="6" t="n">
        <f aca="false">Sens!G11851</f>
        <v>25.2753385959797</v>
      </c>
      <c r="H11836" s="6" t="n">
        <f aca="false">Sens!H11851</f>
        <v>42.2840253697948</v>
      </c>
      <c r="I11836" s="6" t="n">
        <f aca="false">Sens!I11851</f>
        <v>57.704943641581</v>
      </c>
      <c r="J11836" s="6" t="n">
        <f aca="false">Sens!J11851</f>
        <v>68.4828520908201</v>
      </c>
      <c r="K11836" s="6" t="n">
        <f aca="false">Sens!K11851</f>
        <v>74.3598374943249</v>
      </c>
      <c r="L11836" s="1" t="s">
        <v>1072</v>
      </c>
    </row>
    <row r="11837" customFormat="false" ht="17.15" hidden="false" customHeight="false" outlineLevel="0" collapsed="false">
      <c r="A11837" s="1" t="s">
        <v>1073</v>
      </c>
      <c r="B11837" s="0" t="s">
        <v>98</v>
      </c>
      <c r="D11837" s="6" t="n">
        <f aca="false">Sens!D11833</f>
        <v>128.528</v>
      </c>
      <c r="E11837" s="6" t="n">
        <f aca="false">Sens!E11833</f>
        <v>155.237</v>
      </c>
      <c r="F11837" s="6" t="n">
        <f aca="false">Sens!F11833+Sens!F11836</f>
        <v>191.614758161811</v>
      </c>
      <c r="G11837" s="6" t="n">
        <f aca="false">Sens!G11833+Sens!G11836</f>
        <v>222.362953113153</v>
      </c>
      <c r="H11837" s="6" t="n">
        <f aca="false">Sens!H11833+Sens!H11836</f>
        <v>259.175868397335</v>
      </c>
      <c r="I11837" s="6" t="n">
        <f aca="false">Sens!I11833+Sens!I11836</f>
        <v>293.502262616575</v>
      </c>
      <c r="J11837" s="6" t="n">
        <f aca="false">Sens!J11833+Sens!J11836</f>
        <v>322.019385022285</v>
      </c>
      <c r="K11837" s="6" t="n">
        <f aca="false">Sens!K11833+Sens!K11836</f>
        <v>345.082000376702</v>
      </c>
    </row>
    <row r="11838" customFormat="false" ht="17.15" hidden="false" customHeight="false" outlineLevel="0" collapsed="false">
      <c r="A11838" s="1" t="s">
        <v>1074</v>
      </c>
      <c r="B11838" s="0" t="s">
        <v>98</v>
      </c>
      <c r="E11838" s="6" t="n">
        <f aca="false">Sens!E11781</f>
        <v>16.3054059770833</v>
      </c>
      <c r="F11838" s="6" t="n">
        <f aca="false">Sens!F11781</f>
        <v>34.5793144783516</v>
      </c>
      <c r="G11838" s="6" t="n">
        <f aca="false">Sens!G11781</f>
        <v>60.7344906522989</v>
      </c>
      <c r="H11838" s="6" t="n">
        <f aca="false">Sens!H11781</f>
        <v>89.1000906614457</v>
      </c>
      <c r="I11838" s="6" t="n">
        <f aca="false">Sens!I11781</f>
        <v>114.231009694548</v>
      </c>
      <c r="J11838" s="6" t="n">
        <f aca="false">Sens!J11781</f>
        <v>132.015673049596</v>
      </c>
      <c r="K11838" s="6" t="n">
        <f aca="false">Sens!K11781</f>
        <v>143.012669550934</v>
      </c>
    </row>
    <row r="11839" customFormat="false" ht="17.15" hidden="false" customHeight="false" outlineLevel="0" collapsed="false">
      <c r="A11839" s="1" t="s">
        <v>1075</v>
      </c>
      <c r="B11839" s="0" t="s">
        <v>98</v>
      </c>
      <c r="E11839" s="6" t="n">
        <f aca="false">Sens!E11863</f>
        <v>22.2285940229167</v>
      </c>
      <c r="F11839" s="6" t="n">
        <f aca="false">Sens!F11863</f>
        <v>23.580344216413</v>
      </c>
      <c r="G11839" s="6" t="n">
        <f aca="false">Sens!G11863</f>
        <v>25.3572123980094</v>
      </c>
      <c r="H11839" s="6" t="n">
        <f aca="false">Sens!H11863</f>
        <v>27.525264789386</v>
      </c>
      <c r="I11839" s="6" t="n">
        <f aca="false">Sens!I11863</f>
        <v>30.017729128948</v>
      </c>
      <c r="J11839" s="6" t="n">
        <f aca="false">Sens!J11863</f>
        <v>32.7509659277258</v>
      </c>
      <c r="K11839" s="6" t="n">
        <f aca="false">Sens!K11863</f>
        <v>35.6403513154885</v>
      </c>
    </row>
    <row r="11840" customFormat="false" ht="17.15" hidden="false" customHeight="false" outlineLevel="0" collapsed="false">
      <c r="A11840" s="1" t="s">
        <v>1076</v>
      </c>
      <c r="B11840" s="0" t="s">
        <v>98</v>
      </c>
      <c r="D11840" s="6" t="n">
        <f aca="false">Q!L27</f>
        <v>-4.901</v>
      </c>
      <c r="E11840" s="6" t="n">
        <f aca="false">Q!M27</f>
        <v>10.697</v>
      </c>
      <c r="F11840" s="6" t="n">
        <f aca="false">Q!$I$27+oie_f*(q_per_yr-1)/q_per_yr</f>
        <v>-0.862</v>
      </c>
      <c r="G11840" s="6" t="n">
        <f aca="false">oie_f</f>
        <v>-1.2</v>
      </c>
      <c r="H11840" s="6" t="n">
        <f aca="false">oie_f</f>
        <v>-1.2</v>
      </c>
      <c r="I11840" s="6" t="n">
        <f aca="false">oie_f</f>
        <v>-1.2</v>
      </c>
      <c r="J11840" s="6" t="n">
        <f aca="false">oie_f</f>
        <v>-1.2</v>
      </c>
      <c r="K11840" s="6" t="n">
        <f aca="false">oie_f</f>
        <v>-1.2</v>
      </c>
      <c r="L11840" s="12" t="s">
        <v>1077</v>
      </c>
    </row>
    <row r="11841" customFormat="false" ht="15" hidden="false" customHeight="false" outlineLevel="0" collapsed="false">
      <c r="A11841" s="1" t="s">
        <v>1078</v>
      </c>
      <c r="B11841" s="0" t="s">
        <v>98</v>
      </c>
      <c r="D11841" s="6" t="n">
        <f aca="false">Sens!D11833+Sens!D11840</f>
        <v>123.627</v>
      </c>
      <c r="E11841" s="6" t="n">
        <f aca="false">Sens!E11833+Sens!E11840</f>
        <v>165.934</v>
      </c>
      <c r="F11841" s="6" t="n">
        <f aca="false">Sens!F11833+Sens!F11840</f>
        <v>181.012915390181</v>
      </c>
      <c r="G11841" s="6" t="n">
        <f aca="false">Sens!G11833+Sens!G11840</f>
        <v>195.887614517174</v>
      </c>
      <c r="H11841" s="6" t="n">
        <f aca="false">Sens!H11833+Sens!H11840</f>
        <v>215.69184302754</v>
      </c>
      <c r="I11841" s="6" t="n">
        <f aca="false">Sens!I11833+Sens!I11840</f>
        <v>234.597318974994</v>
      </c>
      <c r="J11841" s="6" t="n">
        <f aca="false">Sens!J11833+Sens!J11840</f>
        <v>252.336532931465</v>
      </c>
      <c r="K11841" s="6" t="n">
        <f aca="false">Sens!K11833+Sens!K11840</f>
        <v>269.522162882378</v>
      </c>
    </row>
    <row r="11842" customFormat="false" ht="15" hidden="false" customHeight="false" outlineLevel="0" collapsed="false">
      <c r="A11842" s="1" t="s">
        <v>1079</v>
      </c>
      <c r="B11842" s="0" t="s">
        <v>98</v>
      </c>
      <c r="D11842" s="6" t="n">
        <f aca="false">Q!L29</f>
        <v>21.795</v>
      </c>
      <c r="E11842" s="6" t="n">
        <f aca="false">Q!M29</f>
        <v>32.185</v>
      </c>
      <c r="F11842" s="6" t="n">
        <f aca="false">Q!$I$29+(Sens!F11841-Q!$I$28)*tax_f</f>
        <v>36.3359830780362</v>
      </c>
      <c r="G11842" s="6" t="n">
        <f aca="false">Sens!G11841*tax_f</f>
        <v>39.1775229034347</v>
      </c>
      <c r="H11842" s="6" t="n">
        <f aca="false">Sens!H11841*tax_f</f>
        <v>43.1383686055081</v>
      </c>
      <c r="I11842" s="6" t="n">
        <f aca="false">Sens!I11841*tax_f</f>
        <v>46.9194637949988</v>
      </c>
      <c r="J11842" s="6" t="n">
        <f aca="false">Sens!J11841*tax_f</f>
        <v>50.4673065862929</v>
      </c>
      <c r="K11842" s="6" t="n">
        <f aca="false">Sens!K11841*tax_f</f>
        <v>53.9044325764755</v>
      </c>
    </row>
    <row r="11843" customFormat="false" ht="15" hidden="false" customHeight="false" outlineLevel="0" collapsed="false">
      <c r="A11843" s="1" t="s">
        <v>1080</v>
      </c>
      <c r="B11843" s="0" t="s">
        <v>98</v>
      </c>
      <c r="D11843" s="6" t="n">
        <f aca="false">Sens!D11841-Sens!D11842</f>
        <v>101.832</v>
      </c>
      <c r="E11843" s="6" t="n">
        <f aca="false">Sens!E11841-Sens!E11842</f>
        <v>133.749</v>
      </c>
      <c r="F11843" s="6" t="n">
        <f aca="false">Sens!F11841-Sens!F11842</f>
        <v>144.676932312145</v>
      </c>
      <c r="G11843" s="6" t="n">
        <f aca="false">Sens!G11841-Sens!G11842</f>
        <v>156.710091613739</v>
      </c>
      <c r="H11843" s="6" t="n">
        <f aca="false">Sens!H11841-Sens!H11842</f>
        <v>172.553474422032</v>
      </c>
      <c r="I11843" s="6" t="n">
        <f aca="false">Sens!I11841-Sens!I11842</f>
        <v>187.677855179995</v>
      </c>
      <c r="J11843" s="6" t="n">
        <f aca="false">Sens!J11841-Sens!J11842</f>
        <v>201.869226345172</v>
      </c>
      <c r="K11843" s="6" t="n">
        <f aca="false">Sens!K11841-Sens!K11842</f>
        <v>215.617730305902</v>
      </c>
    </row>
    <row r="11844" customFormat="false" ht="17.15" hidden="false" customHeight="false" outlineLevel="0" collapsed="false">
      <c r="A11844" s="1" t="s">
        <v>1081</v>
      </c>
      <c r="B11844" s="1" t="s">
        <v>81</v>
      </c>
      <c r="D11844" s="15" t="n">
        <f aca="false">Q!L31</f>
        <v>7.465</v>
      </c>
      <c r="E11844" s="15" t="n">
        <f aca="false">Q!M31</f>
        <v>7.453</v>
      </c>
      <c r="F11844" s="15" t="n">
        <f aca="false">Sens!F11888</f>
        <v>7.47328176979485</v>
      </c>
      <c r="G11844" s="15" t="n">
        <f aca="false">Sens!G11888</f>
        <v>7.51806353958971</v>
      </c>
      <c r="H11844" s="15" t="n">
        <f aca="false">Sens!H11888</f>
        <v>7.54576347861851</v>
      </c>
      <c r="I11844" s="15" t="n">
        <f aca="false">Sens!I11888</f>
        <v>7.55744484267398</v>
      </c>
      <c r="J11844" s="15" t="n">
        <f aca="false">Sens!J11888</f>
        <v>7.57159425383645</v>
      </c>
      <c r="K11844" s="15" t="n">
        <f aca="false">Sens!K11888</f>
        <v>7.5880288938017</v>
      </c>
    </row>
    <row r="11845" customFormat="false" ht="17.15" hidden="false" customHeight="false" outlineLevel="0" collapsed="false">
      <c r="A11845" s="0" t="s">
        <v>1082</v>
      </c>
      <c r="B11845" s="0" t="s">
        <v>75</v>
      </c>
      <c r="D11845" s="8" t="n">
        <f aca="false">Sens!D11843/Sens!D11844</f>
        <v>13.641259209645</v>
      </c>
      <c r="E11845" s="8" t="n">
        <f aca="false">Sens!E11843/Sens!E11844</f>
        <v>17.9456594659869</v>
      </c>
      <c r="F11845" s="8" t="n">
        <f aca="false">Sens!F11843/Sens!F11844</f>
        <v>19.3592235337483</v>
      </c>
      <c r="G11845" s="8" t="n">
        <f aca="false">Sens!G11843/Sens!G11844</f>
        <v>20.8444755472619</v>
      </c>
      <c r="H11845" s="8" t="n">
        <f aca="false">Sens!H11843/Sens!H11844</f>
        <v>22.8675964878803</v>
      </c>
      <c r="I11845" s="8" t="n">
        <f aca="false">Sens!I11843/Sens!I11844</f>
        <v>24.8335064412579</v>
      </c>
      <c r="J11845" s="8" t="n">
        <f aca="false">Sens!J11843/Sens!J11844</f>
        <v>26.661389870817</v>
      </c>
      <c r="K11845" s="8" t="n">
        <f aca="false">Sens!K11843/Sens!K11844</f>
        <v>28.4155125558404</v>
      </c>
      <c r="L11845" s="1" t="s">
        <v>1083</v>
      </c>
    </row>
    <row r="11846" customFormat="false" ht="17.15" hidden="false" customHeight="false" outlineLevel="0" collapsed="false">
      <c r="A11846" s="1" t="s">
        <v>1084</v>
      </c>
      <c r="B11846" s="0" t="s">
        <v>98</v>
      </c>
      <c r="D11846" s="6" t="n">
        <f aca="false">Sens!D11843</f>
        <v>101.832</v>
      </c>
      <c r="E11846" s="6" t="n">
        <f aca="false">Sens!E11843</f>
        <v>133.749</v>
      </c>
      <c r="F11846" s="6" t="n">
        <f aca="false">Sens!F11843+Sens!F11836*(1-tax_f)</f>
        <v>152.468806529449</v>
      </c>
      <c r="G11846" s="6" t="n">
        <f aca="false">Sens!G11843+Sens!G11836*(1-tax_f)</f>
        <v>176.930362490523</v>
      </c>
      <c r="H11846" s="6" t="n">
        <f aca="false">Sens!H11843+Sens!H11836*(1-tax_f)</f>
        <v>206.380694717868</v>
      </c>
      <c r="I11846" s="6" t="n">
        <f aca="false">Sens!I11843+Sens!I11836*(1-tax_f)</f>
        <v>233.84181009326</v>
      </c>
      <c r="J11846" s="6" t="n">
        <f aca="false">Sens!J11843+Sens!J11836*(1-tax_f)</f>
        <v>256.655508017828</v>
      </c>
      <c r="K11846" s="6" t="n">
        <f aca="false">Sens!K11843+Sens!K11836*(1-tax_f)</f>
        <v>275.105600301362</v>
      </c>
    </row>
    <row r="11847" customFormat="false" ht="17.15" hidden="false" customHeight="false" outlineLevel="0" collapsed="false">
      <c r="A11847" s="0" t="s">
        <v>1085</v>
      </c>
      <c r="B11847" s="0" t="s">
        <v>75</v>
      </c>
      <c r="D11847" s="8" t="n">
        <f aca="false">Sens!D11846/Sens!D11844</f>
        <v>13.641259209645</v>
      </c>
      <c r="E11847" s="8" t="n">
        <f aca="false">Sens!E11846/Sens!E11844</f>
        <v>17.9456594659869</v>
      </c>
      <c r="F11847" s="8" t="n">
        <f aca="false">Sens!F11846/Sens!F11844</f>
        <v>20.4018543962426</v>
      </c>
      <c r="G11847" s="8" t="n">
        <f aca="false">Sens!G11846/Sens!G11844</f>
        <v>23.5340339382365</v>
      </c>
      <c r="H11847" s="8" t="n">
        <f aca="false">Sens!H11846/Sens!H11844</f>
        <v>27.350538524387</v>
      </c>
      <c r="I11847" s="8" t="n">
        <f aca="false">Sens!I11846/Sens!I11844</f>
        <v>30.9419142264652</v>
      </c>
      <c r="J11847" s="8" t="n">
        <f aca="false">Sens!J11846/Sens!J11844</f>
        <v>33.8971555280822</v>
      </c>
      <c r="K11847" s="8" t="n">
        <f aca="false">Sens!K11846/Sens!K11844</f>
        <v>36.2552125395941</v>
      </c>
      <c r="L11847" s="1" t="s">
        <v>1086</v>
      </c>
    </row>
    <row r="11848" customFormat="false" ht="17.15" hidden="false" customHeight="false" outlineLevel="0" collapsed="false">
      <c r="A11848" s="0" t="s">
        <v>1087</v>
      </c>
      <c r="B11848" s="0" t="s">
        <v>168</v>
      </c>
      <c r="E11848" s="7" t="n">
        <f aca="false">Sens!E11847/Sens!D11847-1</f>
        <v>0.315542736208578</v>
      </c>
      <c r="F11848" s="7" t="n">
        <f aca="false">Sens!F11847/Sens!E11847-1</f>
        <v>0.136868468662914</v>
      </c>
      <c r="G11848" s="7" t="n">
        <f aca="false">Sens!G11847/Sens!F11847-1</f>
        <v>0.153524257215106</v>
      </c>
      <c r="H11848" s="7" t="n">
        <f aca="false">Sens!H11847/Sens!G11847-1</f>
        <v>0.162169587932383</v>
      </c>
      <c r="I11848" s="7" t="n">
        <f aca="false">Sens!I11847/Sens!H11847-1</f>
        <v>0.131309140362116</v>
      </c>
      <c r="J11848" s="7" t="n">
        <f aca="false">Sens!J11847/Sens!I11847-1</f>
        <v>0.0955093236956015</v>
      </c>
      <c r="K11848" s="7" t="n">
        <f aca="false">Sens!K11847/Sens!J11847-1</f>
        <v>0.0695650409238136</v>
      </c>
    </row>
    <row r="11849" customFormat="false" ht="17.15" hidden="false" customHeight="false" outlineLevel="0" collapsed="false">
      <c r="A11849" s="0" t="s">
        <v>1007</v>
      </c>
      <c r="B11849" s="0" t="s">
        <v>98</v>
      </c>
      <c r="E11849" s="6" t="n">
        <f aca="false">Sens!E11790</f>
        <v>5.25</v>
      </c>
      <c r="F11849" s="6" t="n">
        <f aca="false">Sens!F11790</f>
        <v>12</v>
      </c>
      <c r="G11849" s="6" t="n">
        <f aca="false">Sens!G11790</f>
        <v>18</v>
      </c>
      <c r="H11849" s="6" t="n">
        <f aca="false">Sens!H11790</f>
        <v>24</v>
      </c>
      <c r="I11849" s="6" t="n">
        <f aca="false">Sens!I11790</f>
        <v>28.5</v>
      </c>
      <c r="J11849" s="6" t="n">
        <f aca="false">Sens!J11790</f>
        <v>31.5</v>
      </c>
      <c r="K11849" s="6" t="n">
        <f aca="false">Sens!K11790</f>
        <v>34.5</v>
      </c>
    </row>
    <row r="11850" customFormat="false" ht="17.15" hidden="false" customHeight="false" outlineLevel="0" collapsed="false">
      <c r="A11850" s="1" t="s">
        <v>1008</v>
      </c>
      <c r="B11850" s="0" t="s">
        <v>98</v>
      </c>
      <c r="F11850" s="6" t="n">
        <f aca="false">MAX(0,((Sens!E11750+Sens!F11750)/2-(shadow_base*(Sens!$D$11750+Sens!$E$11750)/2+(1-shadow_base)*Sens!$E$11750))*Sens!F11759/1000-(Sens!F11849-Sens!$E$11849)*Sens!F11829)</f>
        <v>9.7398427716299</v>
      </c>
      <c r="G11850" s="6" t="n">
        <f aca="false">MAX(0,((Sens!F11750+Sens!G11750)/2-(shadow_base*(Sens!$D$11750+Sens!$E$11750)/2+(1-shadow_base)*Sens!$E$11750))*Sens!G11759/1000-(Sens!G11849-Sens!$E$11849)*Sens!G11829)</f>
        <v>25.2753385959797</v>
      </c>
      <c r="H11850" s="6" t="n">
        <f aca="false">MAX(0,((Sens!G11750+Sens!H11750)/2-(shadow_base*(Sens!$D$11750+Sens!$E$11750)/2+(1-shadow_base)*Sens!$E$11750))*Sens!H11759/1000-(Sens!H11849-Sens!$E$11849)*Sens!H11829)</f>
        <v>42.2840253697948</v>
      </c>
      <c r="I11850" s="6" t="n">
        <f aca="false">MAX(0,((Sens!H11750+Sens!I11750)/2-(shadow_base*(Sens!$D$11750+Sens!$E$11750)/2+(1-shadow_base)*Sens!$E$11750))*Sens!I11759/1000-(Sens!I11849-Sens!$E$11849)*Sens!I11829)</f>
        <v>57.704943641581</v>
      </c>
      <c r="J11850" s="6" t="n">
        <f aca="false">MAX(0,((Sens!I11750+Sens!J11750)/2-(shadow_base*(Sens!$D$11750+Sens!$E$11750)/2+(1-shadow_base)*Sens!$E$11750))*Sens!J11759/1000-(Sens!J11849-Sens!$E$11849)*Sens!J11829)</f>
        <v>68.4828520908201</v>
      </c>
      <c r="K11850" s="6" t="n">
        <f aca="false">MAX(0,((Sens!J11750+Sens!K11750)/2-(shadow_base*(Sens!$D$11750+Sens!$E$11750)/2+(1-shadow_base)*Sens!$E$11750))*Sens!K11759/1000-(Sens!K11849-Sens!$E$11849)*Sens!K11829)</f>
        <v>74.3598374943249</v>
      </c>
      <c r="L11850" s="1" t="s">
        <v>1009</v>
      </c>
    </row>
    <row r="11851" customFormat="false" ht="17.15" hidden="false" customHeight="false" outlineLevel="0" collapsed="false">
      <c r="A11851" s="1" t="s">
        <v>1010</v>
      </c>
      <c r="B11851" s="0" t="s">
        <v>98</v>
      </c>
      <c r="F11851" s="6" t="n">
        <f aca="false">IF(internal_ai_reading=2,1,0)*Sens!F11850</f>
        <v>9.7398427716299</v>
      </c>
      <c r="G11851" s="6" t="n">
        <f aca="false">IF(internal_ai_reading=2,1,0)*Sens!G11850</f>
        <v>25.2753385959797</v>
      </c>
      <c r="H11851" s="6" t="n">
        <f aca="false">IF(internal_ai_reading=2,1,0)*Sens!H11850</f>
        <v>42.2840253697948</v>
      </c>
      <c r="I11851" s="6" t="n">
        <f aca="false">IF(internal_ai_reading=2,1,0)*Sens!I11850</f>
        <v>57.704943641581</v>
      </c>
      <c r="J11851" s="6" t="n">
        <f aca="false">IF(internal_ai_reading=2,1,0)*Sens!J11850</f>
        <v>68.4828520908201</v>
      </c>
      <c r="K11851" s="6" t="n">
        <f aca="false">IF(internal_ai_reading=2,1,0)*Sens!K11850</f>
        <v>74.3598374943249</v>
      </c>
    </row>
    <row r="11852" customFormat="false" ht="17.15" hidden="false" customHeight="false" outlineLevel="0" collapsed="false">
      <c r="A11852" s="0" t="s">
        <v>1011</v>
      </c>
      <c r="B11852" s="0" t="s">
        <v>98</v>
      </c>
      <c r="F11852" s="6" t="n">
        <f aca="false">Sens!F11769+Sens!F11849*Sens!F11829+Sens!F11851-Sens!F11770-Sens!F11781</f>
        <v>14.8152827562272</v>
      </c>
      <c r="G11852" s="6" t="n">
        <f aca="false">Sens!G11769+Sens!G11849*Sens!G11829+Sens!G11851-Sens!G11770-Sens!G11781</f>
        <v>31.0349977765951</v>
      </c>
      <c r="H11852" s="6" t="n">
        <f aca="false">Sens!H11769+Sens!H11849*Sens!H11829+Sens!H11851-Sens!H11770-Sens!H11781</f>
        <v>47.8811519709826</v>
      </c>
      <c r="I11852" s="6" t="n">
        <f aca="false">Sens!I11769+Sens!I11849*Sens!I11829+Sens!I11851-Sens!I11770-Sens!I11781</f>
        <v>62.6472166574028</v>
      </c>
      <c r="J11852" s="6" t="n">
        <f aca="false">Sens!J11769+Sens!J11849*Sens!J11829+Sens!J11851-Sens!J11770-Sens!J11781</f>
        <v>72.7882253357034</v>
      </c>
      <c r="K11852" s="6" t="n">
        <f aca="false">Sens!K11769+Sens!K11849*Sens!K11829+Sens!K11851-Sens!K11770-Sens!K11781</f>
        <v>79.4617812140187</v>
      </c>
    </row>
    <row r="11853" customFormat="false" ht="17.15" hidden="false" customHeight="false" outlineLevel="0" collapsed="false">
      <c r="A11853" s="0" t="s">
        <v>1012</v>
      </c>
      <c r="B11853" s="0" t="s">
        <v>98</v>
      </c>
      <c r="E11853" s="6" t="n">
        <f aca="false">Sens!E11749*(cxit_open+self_build*tk_cxfac)/1000*ai_net_open</f>
        <v>126.6980382</v>
      </c>
      <c r="F11853" s="6" t="n">
        <f aca="false">Sens!E11853+Sens!F11778-Sens!F11781</f>
        <v>260.572627763768</v>
      </c>
      <c r="G11853" s="6" t="n">
        <f aca="false">Sens!F11853+Sens!G11778-Sens!G11781</f>
        <v>391.782612760517</v>
      </c>
      <c r="H11853" s="6" t="n">
        <f aca="false">Sens!G11853+Sens!H11778-Sens!H11781</f>
        <v>499.488526163584</v>
      </c>
      <c r="I11853" s="6" t="n">
        <f aca="false">Sens!H11853+Sens!I11778-Sens!I11781</f>
        <v>553.872350090646</v>
      </c>
      <c r="J11853" s="6" t="n">
        <f aca="false">Sens!I11853+Sens!J11778-Sens!J11781</f>
        <v>550.78660823699</v>
      </c>
      <c r="K11853" s="6" t="n">
        <f aca="false">Sens!J11853+Sens!K11778-Sens!K11781</f>
        <v>526.736791750789</v>
      </c>
      <c r="L11853" s="1" t="s">
        <v>1013</v>
      </c>
    </row>
    <row r="11854" customFormat="false" ht="17.15" hidden="false" customHeight="false" outlineLevel="0" collapsed="false">
      <c r="A11854" s="0" t="s">
        <v>1014</v>
      </c>
      <c r="B11854" s="0" t="s">
        <v>168</v>
      </c>
      <c r="F11854" s="7" t="n">
        <f aca="false">Sens!F11852*(1-tax_f)/((Sens!E11853+Sens!F11853)/2)</f>
        <v>0.0612090057246454</v>
      </c>
      <c r="G11854" s="7" t="n">
        <f aca="false">Sens!G11852*(1-tax_f)/((Sens!F11853+Sens!G11853)/2)</f>
        <v>0.0761180310326695</v>
      </c>
      <c r="H11854" s="7" t="n">
        <f aca="false">Sens!H11852*(1-tax_f)/((Sens!G11853+Sens!H11853)/2)</f>
        <v>0.0859557095566361</v>
      </c>
      <c r="I11854" s="7" t="n">
        <f aca="false">Sens!I11852*(1-tax_f)/((Sens!H11853+Sens!I11853)/2)</f>
        <v>0.0951578408800258</v>
      </c>
      <c r="J11854" s="7" t="n">
        <f aca="false">Sens!J11852*(1-tax_f)/((Sens!I11853+Sens!J11853)/2)</f>
        <v>0.105427253958487</v>
      </c>
      <c r="K11854" s="7" t="n">
        <f aca="false">Sens!K11852*(1-tax_f)/((Sens!J11853+Sens!K11853)/2)</f>
        <v>0.117991729872291</v>
      </c>
    </row>
    <row r="11855" customFormat="false" ht="17.15" hidden="false" customHeight="false" outlineLevel="0" collapsed="false">
      <c r="A11855" s="1" t="s">
        <v>1015</v>
      </c>
      <c r="B11855" s="0" t="s">
        <v>168</v>
      </c>
      <c r="F11855" s="7" t="n">
        <f aca="false">(Sens!F11852-Sens!F11851)*(1-tax_f)/((Sens!E11853+Sens!F11853)/2)</f>
        <v>0.0209690655375262</v>
      </c>
      <c r="G11855" s="7" t="n">
        <f aca="false">(Sens!G11852-Sens!G11851)*(1-tax_f)/((Sens!F11853+Sens!G11853)/2)</f>
        <v>0.014126436206105</v>
      </c>
      <c r="H11855" s="7" t="n">
        <f aca="false">(Sens!H11852-Sens!H11851)*(1-tax_f)/((Sens!G11853+Sens!H11853)/2)</f>
        <v>0.010047899197893</v>
      </c>
      <c r="I11855" s="7" t="n">
        <f aca="false">(Sens!I11852-Sens!I11851)*(1-tax_f)/((Sens!H11853+Sens!I11853)/2)</f>
        <v>0.00750705385359908</v>
      </c>
      <c r="J11855" s="7" t="n">
        <f aca="false">(Sens!J11852-Sens!J11851)*(1-tax_f)/((Sens!I11853+Sens!J11853)/2)</f>
        <v>0.00623594924015468</v>
      </c>
      <c r="K11855" s="7" t="n">
        <f aca="false">(Sens!K11852-Sens!K11851)*(1-tax_f)/((Sens!J11853+Sens!K11853)/2)</f>
        <v>0.00757580758951754</v>
      </c>
    </row>
    <row r="11856" customFormat="false" ht="17.15" hidden="false" customHeight="false" outlineLevel="0" collapsed="false">
      <c r="A11856" s="1" t="s">
        <v>1016</v>
      </c>
      <c r="B11856" s="0" t="s">
        <v>168</v>
      </c>
      <c r="F11856" s="7" t="n">
        <f aca="false">(Sens!F11852-Sens!F11851+Sens!F11850)*(1-tax_f)/((Sens!E11853+Sens!F11853)/2)</f>
        <v>0.0612090057246454</v>
      </c>
      <c r="G11856" s="7" t="n">
        <f aca="false">(Sens!G11852-Sens!G11851+Sens!G11850)*(1-tax_f)/((Sens!F11853+Sens!G11853)/2)</f>
        <v>0.0761180310326695</v>
      </c>
      <c r="H11856" s="7" t="n">
        <f aca="false">(Sens!H11852-Sens!H11851+Sens!H11850)*(1-tax_f)/((Sens!G11853+Sens!H11853)/2)</f>
        <v>0.0859557095566361</v>
      </c>
      <c r="I11856" s="7" t="n">
        <f aca="false">(Sens!I11852-Sens!I11851+Sens!I11850)*(1-tax_f)/((Sens!H11853+Sens!I11853)/2)</f>
        <v>0.0951578408800258</v>
      </c>
      <c r="J11856" s="7" t="n">
        <f aca="false">(Sens!J11852-Sens!J11851+Sens!J11850)*(1-tax_f)/((Sens!I11853+Sens!J11853)/2)</f>
        <v>0.105427253958487</v>
      </c>
      <c r="K11856" s="7" t="n">
        <f aca="false">(Sens!K11852-Sens!K11851+Sens!K11850)*(1-tax_f)/((Sens!J11853+Sens!K11853)/2)</f>
        <v>0.117991729872291</v>
      </c>
    </row>
    <row r="11857" customFormat="false" ht="17.15" hidden="false" customHeight="false" outlineLevel="0" collapsed="false">
      <c r="A11857" s="1" t="s">
        <v>1017</v>
      </c>
      <c r="B11857" s="0" t="s">
        <v>168</v>
      </c>
      <c r="F11857" s="7" t="n">
        <f aca="false">Sens!F11782*(1-tax_f)/(Sens!F11768*(Sens!E11853+Sens!F11853)/2)</f>
        <v>0.129294830495493</v>
      </c>
      <c r="G11857" s="7" t="n">
        <f aca="false">Sens!G11782*(1-tax_f)/(Sens!G11768*(Sens!F11853+Sens!G11853)/2)</f>
        <v>0.12719599062164</v>
      </c>
      <c r="H11857" s="7" t="n">
        <f aca="false">Sens!H11782*(1-tax_f)/(Sens!H11768*(Sens!G11853+Sens!H11853)/2)</f>
        <v>0.130828167067624</v>
      </c>
      <c r="I11857" s="7" t="n">
        <f aca="false">Sens!I11782*(1-tax_f)/(Sens!I11768*(Sens!H11853+Sens!I11853)/2)</f>
        <v>0.138614526937417</v>
      </c>
      <c r="J11857" s="7" t="n">
        <f aca="false">Sens!J11782*(1-tax_f)/(Sens!J11768*(Sens!I11853+Sens!J11853)/2)</f>
        <v>0.150578919010924</v>
      </c>
      <c r="K11857" s="7" t="n">
        <f aca="false">Sens!K11782*(1-tax_f)/(Sens!K11768*(Sens!J11853+Sens!K11853)/2)</f>
        <v>0.167005345886664</v>
      </c>
    </row>
    <row r="11858" customFormat="false" ht="17.15" hidden="false" customHeight="false" outlineLevel="0" collapsed="false">
      <c r="A11858" s="0" t="s">
        <v>1018</v>
      </c>
      <c r="B11858" s="0" t="s">
        <v>253</v>
      </c>
      <c r="F11858" s="7" t="n">
        <f aca="false">Sens!F11854-wacc</f>
        <v>-0.0417275852209519</v>
      </c>
      <c r="G11858" s="7" t="n">
        <f aca="false">Sens!G11854-wacc</f>
        <v>-0.0268185599129278</v>
      </c>
      <c r="H11858" s="7" t="n">
        <f aca="false">Sens!H11854-wacc</f>
        <v>-0.0169808813889612</v>
      </c>
      <c r="I11858" s="7" t="n">
        <f aca="false">Sens!I11854-wacc</f>
        <v>-0.00777875006557149</v>
      </c>
      <c r="J11858" s="7" t="n">
        <f aca="false">Sens!J11854-wacc</f>
        <v>0.0024906630128898</v>
      </c>
      <c r="K11858" s="7" t="n">
        <f aca="false">Sens!K11854-wacc</f>
        <v>0.0150551389266932</v>
      </c>
    </row>
    <row r="11859" customFormat="false" ht="17.15" hidden="false" customHeight="false" outlineLevel="0" collapsed="false">
      <c r="A11859" s="0" t="s">
        <v>1019</v>
      </c>
      <c r="B11859" s="0" t="s">
        <v>98</v>
      </c>
      <c r="F11859" s="6" t="n">
        <f aca="false">Sens!F11852*(1-tax_f)-wacc*(Sens!E11853+Sens!F11853)/2</f>
        <v>-8.07993485878896</v>
      </c>
      <c r="G11859" s="6" t="n">
        <f aca="false">Sens!G11852*(1-tax_f)-wacc*(Sens!F11853+Sens!G11853)/2</f>
        <v>-8.74761405125648</v>
      </c>
      <c r="H11859" s="6" t="n">
        <f aca="false">Sens!H11852*(1-tax_f)-wacc*(Sens!G11853+Sens!H11853)/2</f>
        <v>-7.56728474773728</v>
      </c>
      <c r="I11859" s="6" t="n">
        <f aca="false">Sens!I11852*(1-tax_f)-wacc*(Sens!H11853+Sens!I11853)/2</f>
        <v>-4.09691549261652</v>
      </c>
      <c r="J11859" s="6" t="n">
        <f aca="false">Sens!J11852*(1-tax_f)-wacc*(Sens!I11853+Sens!J11853)/2</f>
        <v>1.37566660468201</v>
      </c>
      <c r="K11859" s="6" t="n">
        <f aca="false">Sens!K11852*(1-tax_f)-wacc*(Sens!J11853+Sens!K11853)/2</f>
        <v>8.11113224178941</v>
      </c>
    </row>
    <row r="11860" customFormat="false" ht="17.15" hidden="false" customHeight="false" outlineLevel="0" collapsed="false">
      <c r="A11860" s="3" t="s">
        <v>1908</v>
      </c>
    </row>
    <row r="11861" customFormat="false" ht="15" hidden="false" customHeight="false" outlineLevel="0" collapsed="false">
      <c r="A11861" s="4" t="s">
        <v>43</v>
      </c>
      <c r="B11861" s="4" t="s">
        <v>65</v>
      </c>
      <c r="C11861" s="23" t="s">
        <v>942</v>
      </c>
      <c r="D11861" s="23" t="s">
        <v>943</v>
      </c>
      <c r="E11861" s="23" t="s">
        <v>944</v>
      </c>
      <c r="F11861" s="23" t="s">
        <v>945</v>
      </c>
      <c r="G11861" s="23" t="s">
        <v>946</v>
      </c>
      <c r="H11861" s="23" t="s">
        <v>947</v>
      </c>
      <c r="I11861" s="23" t="s">
        <v>948</v>
      </c>
      <c r="J11861" s="23" t="s">
        <v>949</v>
      </c>
      <c r="K11861" s="23" t="s">
        <v>950</v>
      </c>
      <c r="L11861" s="4" t="s">
        <v>47</v>
      </c>
    </row>
    <row r="11862" customFormat="false" ht="15" hidden="false" customHeight="false" outlineLevel="0" collapsed="false">
      <c r="A11862" s="1" t="s">
        <v>1080</v>
      </c>
      <c r="B11862" s="0" t="s">
        <v>98</v>
      </c>
      <c r="F11862" s="6" t="n">
        <f aca="false">Sens!F11843</f>
        <v>144.676932312145</v>
      </c>
      <c r="G11862" s="6" t="n">
        <f aca="false">Sens!G11843</f>
        <v>156.710091613739</v>
      </c>
      <c r="H11862" s="6" t="n">
        <f aca="false">Sens!H11843</f>
        <v>172.553474422032</v>
      </c>
      <c r="I11862" s="6" t="n">
        <f aca="false">Sens!I11843</f>
        <v>187.677855179995</v>
      </c>
      <c r="J11862" s="6" t="n">
        <f aca="false">Sens!J11843</f>
        <v>201.869226345172</v>
      </c>
      <c r="K11862" s="6" t="n">
        <f aca="false">Sens!K11843</f>
        <v>215.617730305902</v>
      </c>
    </row>
    <row r="11863" customFormat="false" ht="17.15" hidden="false" customHeight="false" outlineLevel="0" collapsed="false">
      <c r="A11863" s="1" t="s">
        <v>1102</v>
      </c>
      <c r="B11863" s="0" t="s">
        <v>98</v>
      </c>
      <c r="E11863" s="6" t="n">
        <f aca="false">Q!M38-Sens!E11781</f>
        <v>22.2285940229167</v>
      </c>
      <c r="F11863" s="6" t="n">
        <f aca="false">Sens!E11863*(1-1/life_nonai)+(Sens!F11871+Sens!F11872)/life_nonai</f>
        <v>23.580344216413</v>
      </c>
      <c r="G11863" s="6" t="n">
        <f aca="false">Sens!F11863*(1-1/life_nonai)+(Sens!G11871)/life_nonai</f>
        <v>25.3572123980094</v>
      </c>
      <c r="H11863" s="6" t="n">
        <f aca="false">Sens!G11863*(1-1/life_nonai)+(Sens!H11871)/life_nonai</f>
        <v>27.525264789386</v>
      </c>
      <c r="I11863" s="6" t="n">
        <f aca="false">Sens!H11863*(1-1/life_nonai)+(Sens!I11871)/life_nonai</f>
        <v>30.017729128948</v>
      </c>
      <c r="J11863" s="6" t="n">
        <f aca="false">Sens!I11863*(1-1/life_nonai)+(Sens!J11871)/life_nonai</f>
        <v>32.7509659277258</v>
      </c>
      <c r="K11863" s="6" t="n">
        <f aca="false">Sens!J11863*(1-1/life_nonai)+(Sens!K11871)/life_nonai</f>
        <v>35.6403513154885</v>
      </c>
      <c r="L11863" s="12" t="s">
        <v>1103</v>
      </c>
    </row>
    <row r="11864" customFormat="false" ht="17.15" hidden="false" customHeight="false" outlineLevel="0" collapsed="false">
      <c r="A11864" s="1" t="s">
        <v>1104</v>
      </c>
      <c r="B11864" s="0" t="s">
        <v>98</v>
      </c>
      <c r="F11864" s="6" t="n">
        <f aca="false">Sens!$F$11872/life_nonai*(1-1/life_nonai)^(Sens!F11744-2027)</f>
        <v>0.000327585865768043</v>
      </c>
      <c r="G11864" s="6" t="n">
        <f aca="false">Sens!$F$11872/life_nonai*(1-1/life_nonai)^(Sens!G11744-2027)</f>
        <v>0.000294827279191239</v>
      </c>
      <c r="H11864" s="6" t="n">
        <f aca="false">Sens!$F$11872/life_nonai*(1-1/life_nonai)^(Sens!H11744-2027)</f>
        <v>0.000265344551272115</v>
      </c>
      <c r="I11864" s="6" t="n">
        <f aca="false">Sens!$F$11872/life_nonai*(1-1/life_nonai)^(Sens!I11744-2027)</f>
        <v>0.000238810096144903</v>
      </c>
      <c r="J11864" s="6" t="n">
        <f aca="false">Sens!$F$11872/life_nonai*(1-1/life_nonai)^(Sens!J11744-2027)</f>
        <v>0.000214929086530413</v>
      </c>
      <c r="K11864" s="6" t="n">
        <f aca="false">Sens!$F$11872/life_nonai*(1-1/life_nonai)^(Sens!K11744-2027)</f>
        <v>0.000193436177877372</v>
      </c>
      <c r="L11864" s="1" t="s">
        <v>1105</v>
      </c>
    </row>
    <row r="11865" customFormat="false" ht="17.15" hidden="false" customHeight="false" outlineLevel="0" collapsed="false">
      <c r="A11865" s="1" t="s">
        <v>1106</v>
      </c>
      <c r="B11865" s="0" t="s">
        <v>98</v>
      </c>
      <c r="E11865" s="6" t="n">
        <f aca="false">Sens!E11781+Sens!E11863</f>
        <v>38.534</v>
      </c>
      <c r="F11865" s="6" t="n">
        <f aca="false">Sens!F11781+Sens!F11863</f>
        <v>58.1596586947647</v>
      </c>
      <c r="G11865" s="6" t="n">
        <f aca="false">Sens!G11781+Sens!G11863</f>
        <v>86.0917030503083</v>
      </c>
      <c r="H11865" s="6" t="n">
        <f aca="false">Sens!H11781+Sens!H11863</f>
        <v>116.625355450832</v>
      </c>
      <c r="I11865" s="6" t="n">
        <f aca="false">Sens!I11781+Sens!I11863</f>
        <v>144.248738823496</v>
      </c>
      <c r="J11865" s="6" t="n">
        <f aca="false">Sens!J11781+Sens!J11863</f>
        <v>164.766638977322</v>
      </c>
      <c r="K11865" s="6" t="n">
        <f aca="false">Sens!K11781+Sens!K11863</f>
        <v>178.653020866423</v>
      </c>
    </row>
    <row r="11866" customFormat="false" ht="17.15" hidden="false" customHeight="false" outlineLevel="0" collapsed="false">
      <c r="A11866" s="1" t="s">
        <v>1107</v>
      </c>
      <c r="B11866" s="0" t="s">
        <v>98</v>
      </c>
      <c r="F11866" s="6" t="n">
        <f aca="false">Sens!F11808*sbc_r</f>
        <v>14.9134860826302</v>
      </c>
      <c r="G11866" s="6" t="n">
        <f aca="false">Sens!G11808*sbc_r</f>
        <v>17.7978016384608</v>
      </c>
      <c r="H11866" s="6" t="n">
        <f aca="false">Sens!H11808*sbc_r</f>
        <v>20.7460845961275</v>
      </c>
      <c r="I11866" s="6" t="n">
        <f aca="false">Sens!I11808*sbc_r</f>
        <v>23.4485281482912</v>
      </c>
      <c r="J11866" s="6" t="n">
        <f aca="false">Sens!J11808*sbc_r</f>
        <v>25.6539908907603</v>
      </c>
      <c r="K11866" s="6" t="n">
        <f aca="false">Sens!K11808*sbc_r</f>
        <v>27.4164421334372</v>
      </c>
    </row>
    <row r="11867" customFormat="false" ht="17.15" hidden="false" customHeight="false" outlineLevel="0" collapsed="false">
      <c r="A11867" s="1" t="s">
        <v>1108</v>
      </c>
      <c r="B11867" s="0" t="s">
        <v>98</v>
      </c>
      <c r="F11867" s="6" t="n">
        <f aca="false">wc27-wc26q1</f>
        <v>-4.677</v>
      </c>
      <c r="G11867" s="6" t="n">
        <f aca="false">wc_f</f>
        <v>0</v>
      </c>
      <c r="H11867" s="6" t="n">
        <f aca="false">wc_f</f>
        <v>0</v>
      </c>
      <c r="I11867" s="6" t="n">
        <f aca="false">wc_f</f>
        <v>0</v>
      </c>
      <c r="J11867" s="6" t="n">
        <f aca="false">wc_f</f>
        <v>0</v>
      </c>
      <c r="K11867" s="6" t="n">
        <f aca="false">wc_f</f>
        <v>0</v>
      </c>
      <c r="L11867" s="12" t="s">
        <v>1109</v>
      </c>
    </row>
    <row r="11868" customFormat="false" ht="17.15" hidden="false" customHeight="false" outlineLevel="0" collapsed="false">
      <c r="A11868" s="0" t="s">
        <v>1110</v>
      </c>
      <c r="B11868" s="0" t="s">
        <v>98</v>
      </c>
      <c r="F11868" s="6" t="n">
        <f aca="false">Q!$I$35-Q!$I$26-Q!$I$38-Q!$I$39</f>
        <v>6.493</v>
      </c>
      <c r="L11868" s="1" t="s">
        <v>1111</v>
      </c>
    </row>
    <row r="11869" customFormat="false" ht="15" hidden="false" customHeight="false" outlineLevel="0" collapsed="false">
      <c r="A11869" s="1" t="s">
        <v>908</v>
      </c>
      <c r="B11869" s="0" t="s">
        <v>98</v>
      </c>
      <c r="E11869" s="6" t="n">
        <f aca="false">Q!M35</f>
        <v>182.935</v>
      </c>
      <c r="F11869" s="6" t="n">
        <f aca="false">Sens!F11862+Sens!F11865+Sens!F11866+Sens!F11867+Sens!F11868</f>
        <v>219.56607708954</v>
      </c>
      <c r="G11869" s="6" t="n">
        <f aca="false">Sens!G11862+Sens!G11865+Sens!G11866+Sens!G11867</f>
        <v>260.599596302508</v>
      </c>
      <c r="H11869" s="6" t="n">
        <f aca="false">Sens!H11862+Sens!H11865+Sens!H11866+Sens!H11867</f>
        <v>309.924914468992</v>
      </c>
      <c r="I11869" s="6" t="n">
        <f aca="false">Sens!I11862+Sens!I11865+Sens!I11866+Sens!I11867</f>
        <v>355.375122151783</v>
      </c>
      <c r="J11869" s="6" t="n">
        <f aca="false">Sens!J11862+Sens!J11865+Sens!J11866+Sens!J11867</f>
        <v>392.289856213254</v>
      </c>
      <c r="K11869" s="6" t="n">
        <f aca="false">Sens!K11862+Sens!K11865+Sens!K11866+Sens!K11867</f>
        <v>421.687193305762</v>
      </c>
    </row>
    <row r="11870" customFormat="false" ht="17.15" hidden="false" customHeight="false" outlineLevel="0" collapsed="false">
      <c r="A11870" s="0" t="s">
        <v>1112</v>
      </c>
      <c r="B11870" s="0" t="s">
        <v>98</v>
      </c>
      <c r="F11870" s="6" t="n">
        <f aca="false">Sens!F11778</f>
        <v>168.45390404212</v>
      </c>
      <c r="G11870" s="6" t="n">
        <f aca="false">Sens!G11778</f>
        <v>191.944475649048</v>
      </c>
      <c r="H11870" s="6" t="n">
        <f aca="false">Sens!H11778</f>
        <v>196.806004064512</v>
      </c>
      <c r="I11870" s="6" t="n">
        <f aca="false">Sens!I11778</f>
        <v>168.61483362161</v>
      </c>
      <c r="J11870" s="6" t="n">
        <f aca="false">Sens!J11778</f>
        <v>128.92993119594</v>
      </c>
      <c r="K11870" s="6" t="n">
        <f aca="false">Sens!K11778</f>
        <v>118.962853064733</v>
      </c>
    </row>
    <row r="11871" customFormat="false" ht="17.15" hidden="false" customHeight="false" outlineLevel="0" collapsed="false">
      <c r="A11871" s="1" t="s">
        <v>1113</v>
      </c>
      <c r="B11871" s="0" t="s">
        <v>98</v>
      </c>
      <c r="E11871" s="6" t="n">
        <f aca="false">Sens!E11786*cx_azo+Sens!E11793*cx_m365+Sens!E11794*cx_lic+(Sens!E11796+Sens!E11798)*cx_ind+Sens!E11801*cx_srch+(Sens!E11803+Sens!E11805)*cx_dev</f>
        <v>30.1846587067718</v>
      </c>
      <c r="F11871" s="6" t="n">
        <f aca="false">Sens!F11786*cx_azo+Sens!F11793*cx_m365+Sens!F11794*cx_lic+(Sens!F11796+Sens!F11798)*cx_ind+Sens!F11801*cx_srch+(Sens!F11803+Sens!F11805)*cx_dev</f>
        <v>35.7428200992227</v>
      </c>
      <c r="G11871" s="6" t="n">
        <f aca="false">Sens!G11786*cx_azo+Sens!G11793*cx_m365+Sens!G11794*cx_lic+(Sens!G11796+Sens!G11798)*cx_ind+Sens!G11801*cx_srch+(Sens!G11803+Sens!G11805)*cx_dev</f>
        <v>41.3490260323763</v>
      </c>
      <c r="H11871" s="6" t="n">
        <f aca="false">Sens!H11786*cx_azo+Sens!H11793*cx_m365+Sens!H11794*cx_lic+(Sens!H11796+Sens!H11798)*cx_ind+Sens!H11801*cx_srch+(Sens!H11803+Sens!H11805)*cx_dev</f>
        <v>47.0377363117754</v>
      </c>
      <c r="I11871" s="6" t="n">
        <f aca="false">Sens!I11786*cx_azo+Sens!I11793*cx_m365+Sens!I11794*cx_lic+(Sens!I11796+Sens!I11798)*cx_ind+Sens!I11801*cx_srch+(Sens!I11803+Sens!I11805)*cx_dev</f>
        <v>52.4499081850058</v>
      </c>
      <c r="J11871" s="6" t="n">
        <f aca="false">Sens!J11786*cx_azo+Sens!J11793*cx_m365+Sens!J11794*cx_lic+(Sens!J11796+Sens!J11798)*cx_ind+Sens!J11801*cx_srch+(Sens!J11803+Sens!J11805)*cx_dev</f>
        <v>57.3500971167262</v>
      </c>
      <c r="K11871" s="6" t="n">
        <f aca="false">Sens!K11786*cx_azo+Sens!K11793*cx_m365+Sens!K11794*cx_lic+(Sens!K11796+Sens!K11798)*cx_ind+Sens!K11801*cx_srch+(Sens!K11803+Sens!K11805)*cx_dev</f>
        <v>61.6448198053534</v>
      </c>
    </row>
    <row r="11872" customFormat="false" ht="17.15" hidden="false" customHeight="false" outlineLevel="0" collapsed="false">
      <c r="A11872" s="0" t="s">
        <v>1114</v>
      </c>
      <c r="B11872" s="0" t="s">
        <v>98</v>
      </c>
      <c r="F11872" s="6" t="n">
        <f aca="false">Sens!F11776</f>
        <v>0.00327585865768043</v>
      </c>
      <c r="L11872" s="1" t="s">
        <v>1115</v>
      </c>
    </row>
    <row r="11873" customFormat="false" ht="17.15" hidden="false" customHeight="false" outlineLevel="0" collapsed="false">
      <c r="A11873" s="1" t="s">
        <v>1116</v>
      </c>
      <c r="B11873" s="0" t="s">
        <v>98</v>
      </c>
      <c r="E11873" s="6" t="n">
        <f aca="false">Q!M43</f>
        <v>145.3</v>
      </c>
      <c r="F11873" s="6" t="n">
        <f aca="false">Sens!F11870+Sens!F11871+Sens!F11872</f>
        <v>204.2</v>
      </c>
      <c r="G11873" s="6" t="n">
        <f aca="false">Sens!G11870+Sens!G11871</f>
        <v>233.293501681424</v>
      </c>
      <c r="H11873" s="6" t="n">
        <f aca="false">Sens!H11870+Sens!H11871</f>
        <v>243.843740376288</v>
      </c>
      <c r="I11873" s="6" t="n">
        <f aca="false">Sens!I11870+Sens!I11871</f>
        <v>221.064741806616</v>
      </c>
      <c r="J11873" s="6" t="n">
        <f aca="false">Sens!J11870+Sens!J11871</f>
        <v>186.280028312667</v>
      </c>
      <c r="K11873" s="6" t="n">
        <f aca="false">Sens!K11870+Sens!K11871</f>
        <v>180.607672870086</v>
      </c>
      <c r="L11873" s="1" t="s">
        <v>1117</v>
      </c>
    </row>
    <row r="11874" customFormat="false" ht="15" hidden="false" customHeight="false" outlineLevel="0" collapsed="false">
      <c r="A11874" s="1" t="s">
        <v>1118</v>
      </c>
      <c r="B11874" s="0" t="s">
        <v>98</v>
      </c>
      <c r="E11874" s="6" t="n">
        <f aca="false">fl_liab</f>
        <v>66.594</v>
      </c>
      <c r="F11874" s="6" t="n">
        <f aca="false">Sens!E11874-Sens!F11875</f>
        <v>62.46973</v>
      </c>
      <c r="G11874" s="6" t="n">
        <f aca="false">Sens!F11874-Sens!G11875</f>
        <v>57.98686785</v>
      </c>
      <c r="H11874" s="6" t="n">
        <f aca="false">Sens!G11874-Sens!H11875</f>
        <v>53.92827690325</v>
      </c>
      <c r="I11874" s="6" t="n">
        <f aca="false">Sens!H11874-Sens!I11875</f>
        <v>49.7850493638962</v>
      </c>
      <c r="J11874" s="6" t="n">
        <f aca="false">Sens!I11874-Sens!J11875</f>
        <v>45.4823765852716</v>
      </c>
      <c r="K11874" s="6" t="n">
        <f aca="false">Sens!J11874-Sens!K11875</f>
        <v>40.9860835316088</v>
      </c>
    </row>
    <row r="11875" customFormat="false" ht="15" hidden="false" customHeight="false" outlineLevel="0" collapsed="false">
      <c r="A11875" s="1" t="s">
        <v>1119</v>
      </c>
      <c r="B11875" s="0" t="s">
        <v>98</v>
      </c>
      <c r="F11875" s="6" t="n">
        <f aca="false">fl_pay_27-Sens!E11874*fl_rate</f>
        <v>4.12427</v>
      </c>
      <c r="G11875" s="6" t="n">
        <f aca="false">fl_pay_28-Sens!F11874*fl_rate</f>
        <v>4.48286215</v>
      </c>
      <c r="H11875" s="6" t="n">
        <f aca="false">fl_pay_29-Sens!G11874*fl_rate</f>
        <v>4.05859094675</v>
      </c>
      <c r="I11875" s="6" t="n">
        <f aca="false">fl_pay_30-Sens!H11874*fl_rate</f>
        <v>4.14322753935375</v>
      </c>
      <c r="J11875" s="6" t="n">
        <f aca="false">fl_pay_31-Sens!I11874*fl_rate</f>
        <v>4.30267277862467</v>
      </c>
      <c r="K11875" s="6" t="n">
        <f aca="false">fl_pay_32-Sens!J11874*fl_rate</f>
        <v>4.49629305366278</v>
      </c>
    </row>
    <row r="11876" customFormat="false" ht="17.15" hidden="false" customHeight="false" outlineLevel="0" collapsed="false">
      <c r="A11876" s="1" t="s">
        <v>1120</v>
      </c>
      <c r="B11876" s="0" t="s">
        <v>98</v>
      </c>
      <c r="E11876" s="6" t="n">
        <f aca="false">Q!M35-Q!M36-Q!M44</f>
        <v>63.886</v>
      </c>
      <c r="F11876" s="6" t="n">
        <f aca="false">Sens!F11869-Sens!F11873-Sens!F11875</f>
        <v>11.2418070895399</v>
      </c>
      <c r="G11876" s="6" t="n">
        <f aca="false">Sens!G11869-Sens!G11873-Sens!G11875</f>
        <v>22.8232324710835</v>
      </c>
      <c r="H11876" s="6" t="n">
        <f aca="false">Sens!H11869-Sens!H11873-Sens!H11875</f>
        <v>62.0225831459539</v>
      </c>
      <c r="I11876" s="6" t="n">
        <f aca="false">Sens!I11869-Sens!I11873-Sens!I11875</f>
        <v>130.167152805813</v>
      </c>
      <c r="J11876" s="6" t="n">
        <f aca="false">Sens!J11869-Sens!J11873-Sens!J11875</f>
        <v>201.707155121963</v>
      </c>
      <c r="K11876" s="6" t="n">
        <f aca="false">Sens!K11869-Sens!K11873-Sens!K11875</f>
        <v>236.583227382013</v>
      </c>
      <c r="L11876" s="12" t="s">
        <v>1121</v>
      </c>
    </row>
    <row r="11877" customFormat="false" ht="15" hidden="false" customHeight="false" outlineLevel="0" collapsed="false">
      <c r="A11877" s="1" t="s">
        <v>1122</v>
      </c>
      <c r="B11877" s="0" t="s">
        <v>75</v>
      </c>
      <c r="F11877" s="8" t="n">
        <f aca="false">dps_27</f>
        <v>3.85</v>
      </c>
      <c r="G11877" s="8" t="n">
        <f aca="false">Sens!F11877*(1+dps_g)</f>
        <v>4.158</v>
      </c>
      <c r="H11877" s="8" t="n">
        <f aca="false">Sens!G11877*(1+dps_g)</f>
        <v>4.49064</v>
      </c>
      <c r="I11877" s="8" t="n">
        <f aca="false">Sens!H11877*(1+dps_g)</f>
        <v>4.8498912</v>
      </c>
      <c r="J11877" s="8" t="n">
        <f aca="false">Sens!I11877*(1+dps_g)</f>
        <v>5.237882496</v>
      </c>
      <c r="K11877" s="8" t="n">
        <f aca="false">Sens!J11877*(1+dps_g)</f>
        <v>5.65691309568</v>
      </c>
    </row>
    <row r="11878" customFormat="false" ht="17.15" hidden="false" customHeight="false" outlineLevel="0" collapsed="false">
      <c r="A11878" s="1" t="s">
        <v>1123</v>
      </c>
      <c r="B11878" s="0" t="s">
        <v>98</v>
      </c>
      <c r="E11878" s="6" t="n">
        <f aca="false">Q!M41</f>
        <v>26.445</v>
      </c>
      <c r="F11878" s="6" t="n">
        <f aca="false">Sens!F11877*Sens!E11887</f>
        <v>28.59395</v>
      </c>
      <c r="G11878" s="6" t="n">
        <f aca="false">Sens!G11877*Sens!F11887</f>
        <v>31.066761197614</v>
      </c>
      <c r="H11878" s="6" t="n">
        <f aca="false">Sens!H11877*Sens!G11887</f>
        <v>33.7541808934231</v>
      </c>
      <c r="I11878" s="6" t="n">
        <f aca="false">Sens!I11877*Sens!H11887</f>
        <v>36.5049536419696</v>
      </c>
      <c r="J11878" s="6" t="n">
        <f aca="false">Sens!J11877*Sens!I11887</f>
        <v>39.4932478187198</v>
      </c>
      <c r="K11878" s="6" t="n">
        <f aca="false">Sens!K11877*Sens!J11887</f>
        <v>42.7394619065957</v>
      </c>
      <c r="L11878" s="1" t="s">
        <v>1124</v>
      </c>
    </row>
    <row r="11879" customFormat="false" ht="15" hidden="false" customHeight="false" outlineLevel="0" collapsed="false">
      <c r="A11879" s="1" t="s">
        <v>1125</v>
      </c>
      <c r="B11879" s="0" t="s">
        <v>98</v>
      </c>
      <c r="E11879" s="6" t="n">
        <f aca="false">Sens!E11876-Sens!E11878</f>
        <v>37.441</v>
      </c>
      <c r="F11879" s="6" t="n">
        <f aca="false">Sens!F11876-Sens!F11878</f>
        <v>-17.3521429104601</v>
      </c>
      <c r="G11879" s="6" t="n">
        <f aca="false">Sens!G11876-Sens!G11878</f>
        <v>-8.24352872653047</v>
      </c>
      <c r="H11879" s="6" t="n">
        <f aca="false">Sens!H11876-Sens!H11878</f>
        <v>28.2684022525307</v>
      </c>
      <c r="I11879" s="6" t="n">
        <f aca="false">Sens!I11876-Sens!I11878</f>
        <v>93.6621991638434</v>
      </c>
      <c r="J11879" s="6" t="n">
        <f aca="false">Sens!J11876-Sens!J11878</f>
        <v>162.213907303243</v>
      </c>
      <c r="K11879" s="6" t="n">
        <f aca="false">Sens!K11876-Sens!K11878</f>
        <v>193.843765475417</v>
      </c>
    </row>
    <row r="11880" customFormat="false" ht="15" hidden="false" customHeight="false" outlineLevel="0" collapsed="false">
      <c r="A11880" s="1" t="s">
        <v>1126</v>
      </c>
      <c r="B11880" s="0" t="s">
        <v>98</v>
      </c>
      <c r="F11880" s="6" t="n">
        <f aca="false">debt_mat_27</f>
        <v>9.25</v>
      </c>
      <c r="G11880" s="6" t="n">
        <f aca="false">debt_mat_28</f>
        <v>0</v>
      </c>
      <c r="H11880" s="6" t="n">
        <f aca="false">debt_mat_29</f>
        <v>2.001</v>
      </c>
      <c r="I11880" s="6" t="n">
        <f aca="false">debt_mat_30</f>
        <v>0</v>
      </c>
      <c r="J11880" s="6" t="n">
        <f aca="false">debt_mat_31</f>
        <v>0.5</v>
      </c>
      <c r="K11880" s="6" t="n">
        <f aca="false">debt_mat_32</f>
        <v>0</v>
      </c>
    </row>
    <row r="11881" customFormat="false" ht="15" hidden="false" customHeight="false" outlineLevel="0" collapsed="false">
      <c r="A11881" s="1" t="s">
        <v>1127</v>
      </c>
      <c r="B11881" s="0" t="s">
        <v>98</v>
      </c>
      <c r="E11881" s="6" t="n">
        <f aca="false">Q!M40</f>
        <v>22.271</v>
      </c>
      <c r="F11881" s="6" t="n">
        <f aca="false">MAX(0,MIN(bb_target,Sens!E11883+Sens!F11879-Sens!F11880-min_cash))</f>
        <v>0.240857089539887</v>
      </c>
      <c r="G11881" s="6" t="n">
        <f aca="false">MAX(0,MIN(bb_target,Sens!F11883+Sens!G11879-Sens!G11880-min_cash))</f>
        <v>0</v>
      </c>
      <c r="H11881" s="6" t="n">
        <f aca="false">MAX(0,MIN(bb_target,Sens!G11883+Sens!H11879-Sens!H11880-min_cash))</f>
        <v>22.271</v>
      </c>
      <c r="I11881" s="6" t="n">
        <f aca="false">MAX(0,MIN(bb_target,Sens!H11883+Sens!I11879-Sens!I11880-min_cash))</f>
        <v>22.271</v>
      </c>
      <c r="J11881" s="6" t="n">
        <f aca="false">MAX(0,MIN(bb_target,Sens!I11883+Sens!J11879-Sens!J11880-min_cash))</f>
        <v>22.271</v>
      </c>
      <c r="K11881" s="6" t="n">
        <f aca="false">MAX(0,MIN(bb_target,Sens!J11883+Sens!K11879-Sens!K11880-min_cash))</f>
        <v>22.271</v>
      </c>
    </row>
    <row r="11882" customFormat="false" ht="15" hidden="false" customHeight="false" outlineLevel="0" collapsed="false">
      <c r="A11882" s="1" t="s">
        <v>1128</v>
      </c>
      <c r="B11882" s="0" t="s">
        <v>98</v>
      </c>
      <c r="F11882" s="6" t="n">
        <f aca="false">MAX(0,min_cash-(Sens!E11883+Sens!F11879-Sens!F11880-Sens!F11881))</f>
        <v>0</v>
      </c>
      <c r="G11882" s="6" t="n">
        <f aca="false">MAX(0,min_cash-(Sens!F11883+Sens!G11879-Sens!G11880-Sens!G11881))</f>
        <v>8.24352872653047</v>
      </c>
      <c r="H11882" s="6" t="n">
        <f aca="false">MAX(0,min_cash-(Sens!G11883+Sens!H11879-Sens!H11880-Sens!H11881))</f>
        <v>0</v>
      </c>
      <c r="I11882" s="6" t="n">
        <f aca="false">MAX(0,min_cash-(Sens!H11883+Sens!I11879-Sens!I11880-Sens!I11881))</f>
        <v>0</v>
      </c>
      <c r="J11882" s="6" t="n">
        <f aca="false">MAX(0,min_cash-(Sens!I11883+Sens!J11879-Sens!J11880-Sens!J11881))</f>
        <v>0</v>
      </c>
      <c r="K11882" s="6" t="n">
        <f aca="false">MAX(0,min_cash-(Sens!J11883+Sens!K11879-Sens!K11880-Sens!K11881))</f>
        <v>0</v>
      </c>
    </row>
    <row r="11883" customFormat="false" ht="15" hidden="false" customHeight="false" outlineLevel="0" collapsed="false">
      <c r="A11883" s="1" t="s">
        <v>1129</v>
      </c>
      <c r="B11883" s="0" t="s">
        <v>98</v>
      </c>
      <c r="E11883" s="6" t="n">
        <f aca="false">cash_open</f>
        <v>76.843</v>
      </c>
      <c r="F11883" s="6" t="n">
        <f aca="false">Sens!E11883+Sens!F11879-Sens!F11880-Sens!F11881+Sens!F11882</f>
        <v>50</v>
      </c>
      <c r="G11883" s="6" t="n">
        <f aca="false">Sens!F11883+Sens!G11879-Sens!G11880-Sens!G11881+Sens!G11882</f>
        <v>50</v>
      </c>
      <c r="H11883" s="6" t="n">
        <f aca="false">Sens!G11883+Sens!H11879-Sens!H11880-Sens!H11881+Sens!H11882</f>
        <v>53.9964022525307</v>
      </c>
      <c r="I11883" s="6" t="n">
        <f aca="false">Sens!H11883+Sens!I11879-Sens!I11880-Sens!I11881+Sens!I11882</f>
        <v>125.387601416374</v>
      </c>
      <c r="J11883" s="6" t="n">
        <f aca="false">Sens!I11883+Sens!J11879-Sens!J11880-Sens!J11881+Sens!J11882</f>
        <v>264.830508719617</v>
      </c>
      <c r="K11883" s="6" t="n">
        <f aca="false">Sens!J11883+Sens!K11879-Sens!K11880-Sens!K11881+Sens!K11882</f>
        <v>436.403274195034</v>
      </c>
    </row>
    <row r="11884" customFormat="false" ht="15" hidden="false" customHeight="false" outlineLevel="0" collapsed="false">
      <c r="A11884" s="1" t="s">
        <v>1130</v>
      </c>
      <c r="B11884" s="0" t="s">
        <v>98</v>
      </c>
      <c r="E11884" s="6" t="n">
        <f aca="false">debt_face</f>
        <v>46.136</v>
      </c>
      <c r="F11884" s="6" t="n">
        <f aca="false">Sens!E11884-Sens!F11880+Sens!F11882</f>
        <v>36.886</v>
      </c>
      <c r="G11884" s="6" t="n">
        <f aca="false">Sens!F11884-Sens!G11880+Sens!G11882</f>
        <v>45.1295287265305</v>
      </c>
      <c r="H11884" s="6" t="n">
        <f aca="false">Sens!G11884-Sens!H11880+Sens!H11882</f>
        <v>43.1285287265305</v>
      </c>
      <c r="I11884" s="6" t="n">
        <f aca="false">Sens!H11884-Sens!I11880+Sens!I11882</f>
        <v>43.1285287265305</v>
      </c>
      <c r="J11884" s="6" t="n">
        <f aca="false">Sens!I11884-Sens!J11880+Sens!J11882</f>
        <v>42.6285287265305</v>
      </c>
      <c r="K11884" s="6" t="n">
        <f aca="false">Sens!J11884-Sens!K11880+Sens!K11882</f>
        <v>42.6285287265305</v>
      </c>
    </row>
    <row r="11885" customFormat="false" ht="15" hidden="false" customHeight="false" outlineLevel="0" collapsed="false">
      <c r="A11885" s="1" t="s">
        <v>1131</v>
      </c>
      <c r="B11885" s="0" t="s">
        <v>98</v>
      </c>
      <c r="E11885" s="6" t="n">
        <f aca="false">Sens!E11883-Sens!E11884</f>
        <v>30.707</v>
      </c>
      <c r="F11885" s="6" t="n">
        <f aca="false">Sens!F11883-Sens!F11884</f>
        <v>13.114</v>
      </c>
      <c r="G11885" s="6" t="n">
        <f aca="false">Sens!G11883-Sens!G11884</f>
        <v>4.87047127346953</v>
      </c>
      <c r="H11885" s="6" t="n">
        <f aca="false">Sens!H11883-Sens!H11884</f>
        <v>10.8678735260003</v>
      </c>
      <c r="I11885" s="6" t="n">
        <f aca="false">Sens!I11883-Sens!I11884</f>
        <v>82.2590726898436</v>
      </c>
      <c r="J11885" s="6" t="n">
        <f aca="false">Sens!J11883-Sens!J11884</f>
        <v>222.201979993086</v>
      </c>
      <c r="K11885" s="6" t="n">
        <f aca="false">Sens!K11883-Sens!K11884</f>
        <v>393.774745468504</v>
      </c>
    </row>
    <row r="11886" customFormat="false" ht="15" hidden="false" customHeight="false" outlineLevel="0" collapsed="false">
      <c r="A11886" s="1" t="s">
        <v>1132</v>
      </c>
      <c r="B11886" s="0" t="s">
        <v>75</v>
      </c>
      <c r="F11886" s="30" t="n">
        <f aca="false">px*(1+bb_g)^(Sens!F11744-base_fy-mid_yr)</f>
        <v>551.84177959629</v>
      </c>
      <c r="G11886" s="30" t="n">
        <f aca="false">px*(1+bb_g)^(Sens!G11744-base_fy-mid_yr)</f>
        <v>595.989121963993</v>
      </c>
      <c r="H11886" s="30" t="n">
        <f aca="false">px*(1+bb_g)^(Sens!H11744-base_fy-mid_yr)</f>
        <v>643.668251721112</v>
      </c>
      <c r="I11886" s="30" t="n">
        <f aca="false">px*(1+bb_g)^(Sens!I11744-base_fy-mid_yr)</f>
        <v>695.161711858801</v>
      </c>
      <c r="J11886" s="30" t="n">
        <f aca="false">px*(1+bb_g)^(Sens!J11744-base_fy-mid_yr)</f>
        <v>750.774648807506</v>
      </c>
      <c r="K11886" s="30" t="n">
        <f aca="false">px*(1+bb_g)^(Sens!K11744-base_fy-mid_yr)</f>
        <v>810.836620712106</v>
      </c>
    </row>
    <row r="11887" customFormat="false" ht="15" hidden="false" customHeight="false" outlineLevel="0" collapsed="false">
      <c r="A11887" s="1" t="s">
        <v>1133</v>
      </c>
      <c r="B11887" s="1" t="s">
        <v>81</v>
      </c>
      <c r="E11887" s="15" t="n">
        <f aca="false">sh_out26</f>
        <v>7.427</v>
      </c>
      <c r="F11887" s="15" t="n">
        <f aca="false">Sens!E11887+sh_iss-Sens!F11881/Sens!F11886</f>
        <v>7.47156353958971</v>
      </c>
      <c r="G11887" s="15" t="n">
        <f aca="false">Sens!F11887+sh_iss-Sens!G11881/Sens!G11886</f>
        <v>7.51656353958971</v>
      </c>
      <c r="H11887" s="15" t="n">
        <f aca="false">Sens!G11887+sh_iss-Sens!H11881/Sens!H11886</f>
        <v>7.52696341764731</v>
      </c>
      <c r="I11887" s="15" t="n">
        <f aca="false">Sens!H11887+sh_iss-Sens!I11881/Sens!I11886</f>
        <v>7.53992626770065</v>
      </c>
      <c r="J11887" s="15" t="n">
        <f aca="false">Sens!I11887+sh_iss-Sens!J11881/Sens!J11886</f>
        <v>7.55526223997225</v>
      </c>
      <c r="K11887" s="15" t="n">
        <f aca="false">Sens!J11887+sh_iss-Sens!K11881/Sens!K11886</f>
        <v>7.57279554763115</v>
      </c>
    </row>
    <row r="11888" customFormat="false" ht="15" hidden="false" customHeight="false" outlineLevel="0" collapsed="false">
      <c r="A11888" s="1" t="s">
        <v>1134</v>
      </c>
      <c r="B11888" s="1" t="s">
        <v>81</v>
      </c>
      <c r="E11888" s="15" t="n">
        <f aca="false">sh_dil26</f>
        <v>7.453</v>
      </c>
      <c r="F11888" s="15" t="n">
        <f aca="false">(Sens!E11887+Sens!F11887)/2+dil_gap</f>
        <v>7.47328176979485</v>
      </c>
      <c r="G11888" s="15" t="n">
        <f aca="false">(Sens!F11887+Sens!G11887)/2+dil_gap</f>
        <v>7.51806353958971</v>
      </c>
      <c r="H11888" s="15" t="n">
        <f aca="false">(Sens!G11887+Sens!H11887)/2+dil_gap</f>
        <v>7.54576347861851</v>
      </c>
      <c r="I11888" s="15" t="n">
        <f aca="false">(Sens!H11887+Sens!I11887)/2+dil_gap</f>
        <v>7.55744484267398</v>
      </c>
      <c r="J11888" s="15" t="n">
        <f aca="false">(Sens!I11887+Sens!J11887)/2+dil_gap</f>
        <v>7.57159425383645</v>
      </c>
      <c r="K11888" s="15" t="n">
        <f aca="false">(Sens!J11887+Sens!K11887)/2+dil_gap</f>
        <v>7.5880288938017</v>
      </c>
    </row>
    <row r="11889" customFormat="false" ht="17.15" hidden="false" customHeight="false" outlineLevel="0" collapsed="false">
      <c r="A11889" s="1" t="s">
        <v>1135</v>
      </c>
      <c r="B11889" s="0" t="s">
        <v>98</v>
      </c>
      <c r="C11889" s="6" t="n">
        <f aca="false">SUM(Sens!F11879:J11879)</f>
        <v>258.548837082626</v>
      </c>
    </row>
    <row r="11890" customFormat="false" ht="15" hidden="false" customHeight="false" outlineLevel="0" collapsed="false">
      <c r="A11890" s="26" t="s">
        <v>1100</v>
      </c>
      <c r="B11890" s="31" t="s">
        <v>98</v>
      </c>
      <c r="C11890" s="27" t="n">
        <f aca="false">Sens!$C$11889-(Sens!F11879+Sens!G11879+Sens!H11879+Sens!I11879+Sens!J11879)</f>
        <v>0</v>
      </c>
      <c r="D11890" s="31"/>
      <c r="E11890" s="31"/>
      <c r="F11890" s="31"/>
      <c r="G11890" s="31"/>
      <c r="H11890" s="31"/>
      <c r="I11890" s="31"/>
      <c r="J11890" s="31"/>
      <c r="K11890" s="31"/>
    </row>
    <row r="11891" customFormat="false" ht="17.15" hidden="false" customHeight="false" outlineLevel="0" collapsed="false">
      <c r="A11891" s="1" t="s">
        <v>1094</v>
      </c>
      <c r="B11891" s="1" t="s">
        <v>1136</v>
      </c>
      <c r="C11891" s="33" t="str">
        <f aca="false">IF(SUM(Sens!F11882:J11882)&gt;0.05,"需要舉債 "&amp;TEXT(SUM(Sens!F11882:J11882),"0.0")&amp;" 十億美元","不需舉債")&amp;"；"&amp;IF(SUM(Sens!F11881:J11881)&lt;COUNT(Sens!F11881:J11881)*bb_target-0.05,"回購較每年 "&amp;TEXT(bb_target,"0.0")&amp;" 的目標少 "&amp;TEXT(COUNT(Sens!F11881:J11881)*bb_target-SUM(Sens!F11881:J11881),"0.0")&amp;" 十億美元（"&amp;TEXT(COUNTIF(Sens!F11881:J11881,"&lt;"&amp;(bb_target-0.05)),"0")&amp;" 年減少）","回購不減")</f>
        <v>需要舉債 8.2 十億美元；回購較每年 22.3 的目標少 44.3 十億美元（2 年減少）</v>
      </c>
    </row>
    <row r="11892" customFormat="false" ht="17.15" hidden="false" customHeight="false" outlineLevel="0" collapsed="false">
      <c r="A11892" s="3" t="s">
        <v>1909</v>
      </c>
    </row>
    <row r="11893" customFormat="false" ht="15" hidden="false" customHeight="false" outlineLevel="0" collapsed="false">
      <c r="A11893" s="4" t="s">
        <v>43</v>
      </c>
      <c r="B11893" s="4" t="s">
        <v>65</v>
      </c>
      <c r="C11893" s="23" t="s">
        <v>942</v>
      </c>
      <c r="D11893" s="23" t="s">
        <v>943</v>
      </c>
      <c r="E11893" s="23" t="s">
        <v>944</v>
      </c>
      <c r="F11893" s="23" t="s">
        <v>945</v>
      </c>
      <c r="G11893" s="23" t="s">
        <v>946</v>
      </c>
      <c r="H11893" s="23" t="s">
        <v>947</v>
      </c>
      <c r="I11893" s="23" t="s">
        <v>948</v>
      </c>
      <c r="J11893" s="23" t="s">
        <v>949</v>
      </c>
      <c r="K11893" s="23" t="s">
        <v>950</v>
      </c>
      <c r="L11893" s="4" t="s">
        <v>47</v>
      </c>
    </row>
    <row r="11894" customFormat="false" ht="17.15" hidden="false" customHeight="false" outlineLevel="0" collapsed="false">
      <c r="A11894" s="1" t="s">
        <v>1216</v>
      </c>
      <c r="B11894" s="1" t="s">
        <v>279</v>
      </c>
      <c r="F11894" s="8" t="n">
        <f aca="false">(1-v_off)*mid_yr</f>
        <v>0.373972602739726</v>
      </c>
      <c r="G11894" s="8" t="n">
        <f aca="false">Sens!G11744-base_fy-mid_yr-v_off</f>
        <v>1.24794520547945</v>
      </c>
      <c r="H11894" s="8" t="n">
        <f aca="false">Sens!H11744-base_fy-mid_yr-v_off</f>
        <v>2.24794520547945</v>
      </c>
      <c r="I11894" s="8" t="n">
        <f aca="false">Sens!I11744-base_fy-mid_yr-v_off</f>
        <v>3.24794520547945</v>
      </c>
      <c r="J11894" s="8" t="n">
        <f aca="false">Sens!J11744-base_fy-mid_yr-v_off</f>
        <v>4.24794520547945</v>
      </c>
      <c r="K11894" s="8" t="n">
        <f aca="false">Sens!K11744-base_fy-mid_yr-v_off</f>
        <v>5.24794520547945</v>
      </c>
      <c r="L11894" s="12" t="s">
        <v>1217</v>
      </c>
    </row>
    <row r="11895" customFormat="false" ht="15" hidden="false" customHeight="false" outlineLevel="0" collapsed="false">
      <c r="A11895" s="1" t="s">
        <v>1218</v>
      </c>
      <c r="B11895" s="1" t="s">
        <v>279</v>
      </c>
      <c r="F11895" s="8" t="n">
        <f aca="false">Sens!F11744-base_fy-v_off</f>
        <v>0.747945205479452</v>
      </c>
      <c r="G11895" s="8" t="n">
        <f aca="false">Sens!G11744-base_fy-v_off</f>
        <v>1.74794520547945</v>
      </c>
      <c r="H11895" s="8" t="n">
        <f aca="false">Sens!H11744-base_fy-v_off</f>
        <v>2.74794520547945</v>
      </c>
      <c r="I11895" s="8" t="n">
        <f aca="false">Sens!I11744-base_fy-v_off</f>
        <v>3.74794520547945</v>
      </c>
      <c r="J11895" s="8" t="n">
        <f aca="false">Sens!J11744-base_fy-v_off</f>
        <v>4.74794520547945</v>
      </c>
      <c r="K11895" s="8" t="n">
        <f aca="false">Sens!K11744-base_fy-v_off</f>
        <v>5.74794520547945</v>
      </c>
    </row>
    <row r="11896" customFormat="false" ht="15" hidden="false" customHeight="false" outlineLevel="0" collapsed="false">
      <c r="A11896" s="1" t="s">
        <v>1219</v>
      </c>
      <c r="B11896" s="0" t="s">
        <v>229</v>
      </c>
      <c r="F11896" s="15" t="n">
        <f aca="false">1/(1+wacc)^Sens!F11894</f>
        <v>0.964022703286649</v>
      </c>
      <c r="G11896" s="15" t="n">
        <f aca="false">1/(1+wacc)^Sens!G11894</f>
        <v>0.884910302296739</v>
      </c>
      <c r="H11896" s="15" t="n">
        <f aca="false">1/(1+wacc)^Sens!H11894</f>
        <v>0.802322009770358</v>
      </c>
      <c r="I11896" s="15" t="n">
        <f aca="false">1/(1+wacc)^Sens!I11894</f>
        <v>0.727441646561469</v>
      </c>
      <c r="J11896" s="15" t="n">
        <f aca="false">1/(1+wacc)^Sens!J11894</f>
        <v>0.659549834988973</v>
      </c>
      <c r="K11896" s="15" t="n">
        <f aca="false">1/(1+wacc)^Sens!K11894</f>
        <v>0.597994336576966</v>
      </c>
    </row>
    <row r="11897" customFormat="false" ht="17.15" hidden="false" customHeight="false" outlineLevel="0" collapsed="false">
      <c r="A11897" s="1" t="s">
        <v>1220</v>
      </c>
      <c r="B11897" s="0" t="s">
        <v>98</v>
      </c>
      <c r="F11897" s="6" t="n">
        <f aca="false">Q!$I$35-Q!$I$39-Q!$I$43</f>
        <v>9.666</v>
      </c>
      <c r="L11897" s="12" t="s">
        <v>1221</v>
      </c>
    </row>
    <row r="11898" customFormat="false" ht="17.15" hidden="false" customHeight="false" outlineLevel="0" collapsed="false">
      <c r="A11898" s="1" t="s">
        <v>1222</v>
      </c>
      <c r="B11898" s="0" t="s">
        <v>98</v>
      </c>
      <c r="F11898" s="6" t="n">
        <f aca="false">Sens!F11869-Sens!F11866-Sens!F11873+Sens!F11851*(1-tax_f)*(1-v_off)-Sens!F11897</f>
        <v>-3.3855140305589</v>
      </c>
      <c r="G11898" s="6" t="n">
        <f aca="false">Sens!G11869-Sens!G11866-Sens!G11873+Sens!G11851*(1-tax_f)</f>
        <v>29.7285638594065</v>
      </c>
      <c r="H11898" s="6" t="n">
        <f aca="false">Sens!H11869-Sens!H11866-Sens!H11873+Sens!H11851*(1-tax_f)</f>
        <v>79.1623097924121</v>
      </c>
      <c r="I11898" s="6" t="n">
        <f aca="false">Sens!I11869-Sens!I11866-Sens!I11873+Sens!I11851*(1-tax_f)</f>
        <v>157.02580711014</v>
      </c>
      <c r="J11898" s="6" t="n">
        <f aca="false">Sens!J11869-Sens!J11866-Sens!J11873+Sens!J11851*(1-tax_f)</f>
        <v>235.142118682483</v>
      </c>
      <c r="K11898" s="6" t="n">
        <f aca="false">Sens!K11869-Sens!K11866-Sens!K11873+Sens!K11851*(1-tax_f)</f>
        <v>273.150948297698</v>
      </c>
      <c r="L11898" s="1" t="s">
        <v>1223</v>
      </c>
    </row>
    <row r="11899" customFormat="false" ht="15" hidden="false" customHeight="false" outlineLevel="0" collapsed="false">
      <c r="A11899" s="1" t="s">
        <v>1224</v>
      </c>
      <c r="B11899" s="0" t="s">
        <v>98</v>
      </c>
      <c r="F11899" s="6" t="n">
        <f aca="false">Sens!F11898*Sens!F11896</f>
        <v>-3.26371238775427</v>
      </c>
      <c r="G11899" s="6" t="n">
        <f aca="false">Sens!G11898*Sens!G11896</f>
        <v>26.3071124316753</v>
      </c>
      <c r="H11899" s="6" t="n">
        <f aca="false">Sens!H11898*Sens!H11896</f>
        <v>63.5136634907118</v>
      </c>
      <c r="I11899" s="6" t="n">
        <f aca="false">Sens!I11898*Sens!I11896</f>
        <v>114.227111676844</v>
      </c>
      <c r="J11899" s="6" t="n">
        <f aca="false">Sens!J11898*Sens!J11896</f>
        <v>155.087945575989</v>
      </c>
      <c r="K11899" s="6" t="n">
        <f aca="false">Sens!K11898*Sens!K11896</f>
        <v>163.342720112651</v>
      </c>
    </row>
    <row r="11900" customFormat="false" ht="17.15" hidden="false" customHeight="false" outlineLevel="0" collapsed="false">
      <c r="A11900" s="1" t="s">
        <v>1225</v>
      </c>
      <c r="B11900" s="0" t="s">
        <v>98</v>
      </c>
      <c r="C11900" s="6" t="n">
        <f aca="false">SUM(Sens!F11899:K11899)</f>
        <v>519.214840900117</v>
      </c>
    </row>
    <row r="11901" customFormat="false" ht="17.15" hidden="false" customHeight="false" outlineLevel="0" collapsed="false">
      <c r="A11901" s="1" t="s">
        <v>1226</v>
      </c>
      <c r="B11901" s="0" t="s">
        <v>98</v>
      </c>
      <c r="C11901" s="6" t="n">
        <f aca="false">Sens!K11837*(1+g_tv)*(1-tax_f)</f>
        <v>284.347568310403</v>
      </c>
    </row>
    <row r="11902" customFormat="false" ht="17.15" hidden="false" customHeight="false" outlineLevel="0" collapsed="false">
      <c r="A11902" s="1" t="s">
        <v>1227</v>
      </c>
      <c r="B11902" s="0" t="s">
        <v>98</v>
      </c>
      <c r="C11902" s="6" t="n">
        <f aca="false">Sens!$C$11901*(1-g_tv/(wacc+ronic_prem))</f>
        <v>201.476871205032</v>
      </c>
    </row>
    <row r="11903" customFormat="false" ht="17.15" hidden="false" customHeight="false" outlineLevel="0" collapsed="false">
      <c r="A11903" s="1" t="s">
        <v>1228</v>
      </c>
      <c r="B11903" s="0" t="s">
        <v>98</v>
      </c>
      <c r="C11903" s="6" t="n">
        <f aca="false">Sens!$C$11902/(wacc-g_tv)</f>
        <v>2762.35657017904</v>
      </c>
    </row>
    <row r="11904" customFormat="false" ht="15" hidden="false" customHeight="false" outlineLevel="0" collapsed="false">
      <c r="A11904" s="1" t="s">
        <v>1229</v>
      </c>
      <c r="B11904" s="0" t="s">
        <v>98</v>
      </c>
      <c r="C11904" s="6" t="n">
        <f aca="false">Sens!$C$11903/(1+wacc)^Sens!K11895</f>
        <v>1572.90153333672</v>
      </c>
    </row>
    <row r="11905" customFormat="false" ht="17.15" hidden="false" customHeight="false" outlineLevel="0" collapsed="false">
      <c r="A11905" s="0" t="s">
        <v>1230</v>
      </c>
      <c r="B11905" s="0" t="s">
        <v>98</v>
      </c>
      <c r="C11905" s="6" t="n">
        <f aca="false">Sens!$C$11900+Sens!$C$11904</f>
        <v>2092.11637423683</v>
      </c>
    </row>
    <row r="11906" customFormat="false" ht="15" hidden="false" customHeight="false" outlineLevel="0" collapsed="false">
      <c r="A11906" s="1" t="s">
        <v>1145</v>
      </c>
      <c r="B11906" s="0" t="s">
        <v>168</v>
      </c>
      <c r="C11906" s="7" t="n">
        <f aca="false">Sens!$C$11904/Sens!$C$11905</f>
        <v>0.751823155110328</v>
      </c>
    </row>
    <row r="11907" customFormat="false" ht="17.15" hidden="false" customHeight="false" outlineLevel="0" collapsed="false">
      <c r="A11907" s="1" t="s">
        <v>1231</v>
      </c>
      <c r="B11907" s="0" t="s">
        <v>98</v>
      </c>
      <c r="C11907" s="6" t="n">
        <f aca="false">Sens!$C$11905+cash_val-debt_val-fl_val+oai_v</f>
        <v>2207.96737423683</v>
      </c>
    </row>
    <row r="11908" customFormat="false" ht="17.15" hidden="false" customHeight="false" outlineLevel="0" collapsed="false">
      <c r="A11908" s="0" t="s">
        <v>1153</v>
      </c>
      <c r="B11908" s="0" t="s">
        <v>75</v>
      </c>
      <c r="C11908" s="5" t="n">
        <f aca="false">Sens!$C$11907/shd_val</f>
        <v>296.530670727482</v>
      </c>
    </row>
    <row r="11909" customFormat="false" ht="15" hidden="false" customHeight="false" outlineLevel="0" collapsed="false">
      <c r="A11909" s="1" t="s">
        <v>1232</v>
      </c>
      <c r="B11909" s="0" t="s">
        <v>75</v>
      </c>
      <c r="C11909" s="8" t="n">
        <f aca="false">div_rem27+Sens!G11877*roll_div_q/q_per_yr</f>
        <v>3.9795</v>
      </c>
    </row>
    <row r="11910" customFormat="false" ht="17.15" hidden="false" customHeight="false" outlineLevel="0" collapsed="false">
      <c r="A11910" s="0" t="s">
        <v>1233</v>
      </c>
      <c r="B11910" s="0" t="s">
        <v>75</v>
      </c>
      <c r="C11910" s="5" t="n">
        <f aca="false">Sens!$C$11908*(1+wacc)^t_roll-Sens!$C$11909</f>
        <v>325.630890110895</v>
      </c>
    </row>
    <row r="11911" customFormat="false" ht="17.15" hidden="false" customHeight="false" outlineLevel="0" collapsed="false">
      <c r="A11911" s="1" t="s">
        <v>1234</v>
      </c>
      <c r="B11911" s="0" t="s">
        <v>168</v>
      </c>
      <c r="F11911" s="7" t="n">
        <f aca="false">Sens!F11863/(Sens!F11808-Sens!F11763)</f>
        <v>0.0686412488987938</v>
      </c>
      <c r="G11911" s="7" t="n">
        <f aca="false">Sens!G11863/(Sens!G11808-Sens!G11763)</f>
        <v>0.0658953036589232</v>
      </c>
      <c r="H11911" s="7" t="n">
        <f aca="false">Sens!H11863/(Sens!H11808-Sens!H11763)</f>
        <v>0.0644965272061679</v>
      </c>
      <c r="I11911" s="7" t="n">
        <f aca="false">Sens!I11863/(Sens!I11808-Sens!I11763)</f>
        <v>0.0643250694328902</v>
      </c>
      <c r="J11911" s="7" t="n">
        <f aca="false">Sens!J11863/(Sens!J11808-Sens!J11763)</f>
        <v>0.0651018945508347</v>
      </c>
      <c r="K11911" s="7" t="n">
        <f aca="false">Sens!K11863/(Sens!K11808-Sens!K11763)</f>
        <v>0.0664831080068372</v>
      </c>
    </row>
    <row r="11912" customFormat="false" ht="17.15" hidden="false" customHeight="false" outlineLevel="0" collapsed="false">
      <c r="A11912" s="0" t="s">
        <v>1235</v>
      </c>
      <c r="B11912" s="0" t="s">
        <v>98</v>
      </c>
      <c r="F11912" s="6" t="n">
        <f aca="false">Sens!F11793*(al_m365+Sens!F11911+sbc_r)</f>
        <v>83.7231330641831</v>
      </c>
      <c r="G11912" s="6" t="n">
        <f aca="false">Sens!G11793*(al_m365+Sens!G11911+sbc_r)</f>
        <v>96.1385984981615</v>
      </c>
      <c r="H11912" s="6" t="n">
        <f aca="false">Sens!H11793*(al_m365+Sens!H11911+sbc_r)</f>
        <v>108.720109420714</v>
      </c>
      <c r="I11912" s="6" t="n">
        <f aca="false">Sens!I11793*(al_m365+Sens!I11911+sbc_r)</f>
        <v>120.287084209631</v>
      </c>
      <c r="J11912" s="6" t="n">
        <f aca="false">Sens!J11793*(al_m365+Sens!J11911+sbc_r)</f>
        <v>130.652083768434</v>
      </c>
      <c r="K11912" s="6" t="n">
        <f aca="false">Sens!K11793*(al_m365+Sens!K11911+sbc_r)</f>
        <v>140.63217086056</v>
      </c>
      <c r="L11912" s="12" t="s">
        <v>1236</v>
      </c>
    </row>
    <row r="11913" customFormat="false" ht="17.15" hidden="false" customHeight="false" outlineLevel="0" collapsed="false">
      <c r="A11913" s="0" t="s">
        <v>1237</v>
      </c>
      <c r="B11913" s="0" t="s">
        <v>98</v>
      </c>
      <c r="F11913" s="6" t="n">
        <f aca="false">Sens!F11794*(al_lic+Sens!F11911+sbc_r)</f>
        <v>32.8585979853438</v>
      </c>
      <c r="G11913" s="6" t="n">
        <f aca="false">Sens!G11794*(al_lic+Sens!G11911+sbc_r)</f>
        <v>34.1401051548816</v>
      </c>
      <c r="H11913" s="6" t="n">
        <f aca="false">Sens!H11794*(al_lic+Sens!H11911+sbc_r)</f>
        <v>35.3370114953511</v>
      </c>
      <c r="I11913" s="6" t="n">
        <f aca="false">Sens!I11794*(al_lic+Sens!I11911+sbc_r)</f>
        <v>36.4312079031962</v>
      </c>
      <c r="J11913" s="6" t="n">
        <f aca="false">Sens!J11794*(al_lic+Sens!J11911+sbc_r)</f>
        <v>37.3974177409811</v>
      </c>
      <c r="K11913" s="6" t="n">
        <f aca="false">Sens!K11794*(al_lic+Sens!K11911+sbc_r)</f>
        <v>38.2071700278716</v>
      </c>
    </row>
    <row r="11914" customFormat="false" ht="17.15" hidden="false" customHeight="false" outlineLevel="0" collapsed="false">
      <c r="A11914" s="0" t="s">
        <v>1238</v>
      </c>
      <c r="B11914" s="0" t="s">
        <v>98</v>
      </c>
      <c r="F11914" s="6" t="n">
        <f aca="false">Sens!F11796*(al_ind+Sens!F11911+sbc_r)</f>
        <v>9.06090087050713</v>
      </c>
      <c r="G11914" s="6" t="n">
        <f aca="false">Sens!G11796*(al_ind+Sens!G11911+sbc_r)</f>
        <v>9.83770197768337</v>
      </c>
      <c r="H11914" s="6" t="n">
        <f aca="false">Sens!H11796*(al_ind+Sens!H11911+sbc_r)</f>
        <v>10.659853251382</v>
      </c>
      <c r="I11914" s="6" t="n">
        <f aca="false">Sens!I11796*(al_ind+Sens!I11911+sbc_r)</f>
        <v>11.5243729454226</v>
      </c>
      <c r="J11914" s="6" t="n">
        <f aca="false">Sens!J11796*(al_ind+Sens!J11911+sbc_r)</f>
        <v>12.4216759992722</v>
      </c>
      <c r="K11914" s="6" t="n">
        <f aca="false">Sens!K11796*(al_ind+Sens!K11911+sbc_r)</f>
        <v>13.3368049538056</v>
      </c>
    </row>
    <row r="11915" customFormat="false" ht="17.15" hidden="false" customHeight="false" outlineLevel="0" collapsed="false">
      <c r="A11915" s="0" t="s">
        <v>1239</v>
      </c>
      <c r="B11915" s="0" t="s">
        <v>98</v>
      </c>
      <c r="F11915" s="6" t="n">
        <f aca="false">Sens!F11798*(al_fro+Sens!F11911+sbc_r)</f>
        <v>3.55421930006511</v>
      </c>
      <c r="G11915" s="6" t="n">
        <f aca="false">Sens!G11798*(al_fro+Sens!G11911+sbc_r)</f>
        <v>3.76419309975573</v>
      </c>
      <c r="H11915" s="6" t="n">
        <f aca="false">Sens!H11798*(al_fro+Sens!H11911+sbc_r)</f>
        <v>4.0032752058981</v>
      </c>
      <c r="I11915" s="6" t="n">
        <f aca="false">Sens!I11798*(al_fro+Sens!I11911+sbc_r)</f>
        <v>4.27425136652768</v>
      </c>
      <c r="J11915" s="6" t="n">
        <f aca="false">Sens!J11798*(al_fro+Sens!J11911+sbc_r)</f>
        <v>4.57831966094644</v>
      </c>
      <c r="K11915" s="6" t="n">
        <f aca="false">Sens!K11798*(al_fro+Sens!K11911+sbc_r)</f>
        <v>4.91561334700676</v>
      </c>
    </row>
    <row r="11916" customFormat="false" ht="17.15" hidden="false" customHeight="false" outlineLevel="0" collapsed="false">
      <c r="A11916" s="0" t="s">
        <v>1240</v>
      </c>
      <c r="B11916" s="0" t="s">
        <v>98</v>
      </c>
      <c r="F11916" s="6" t="n">
        <f aca="false">Sens!F11801*(al_srch+Sens!F11911+sbc_r)</f>
        <v>11.1896878379831</v>
      </c>
      <c r="G11916" s="6" t="n">
        <f aca="false">Sens!G11801*(al_srch+Sens!G11911+sbc_r)</f>
        <v>12.2636226833897</v>
      </c>
      <c r="H11916" s="6" t="n">
        <f aca="false">Sens!H11801*(al_srch+Sens!H11911+sbc_r)</f>
        <v>13.3830483930445</v>
      </c>
      <c r="I11916" s="6" t="n">
        <f aca="false">Sens!I11801*(al_srch+Sens!I11911+sbc_r)</f>
        <v>14.5374079067791</v>
      </c>
      <c r="J11916" s="6" t="n">
        <f aca="false">Sens!J11801*(al_srch+Sens!J11911+sbc_r)</f>
        <v>15.7068672563767</v>
      </c>
      <c r="K11916" s="6" t="n">
        <f aca="false">Sens!K11801*(al_srch+Sens!K11911+sbc_r)</f>
        <v>16.8640226202877</v>
      </c>
    </row>
    <row r="11917" customFormat="false" ht="17.15" hidden="false" customHeight="false" outlineLevel="0" collapsed="false">
      <c r="A11917" s="0" t="s">
        <v>1241</v>
      </c>
      <c r="B11917" s="0" t="s">
        <v>98</v>
      </c>
      <c r="F11917" s="6" t="n">
        <f aca="false">Sens!F11769-Sens!F11770+Sens!F11851</f>
        <v>42.5431090240393</v>
      </c>
      <c r="G11917" s="6" t="n">
        <f aca="false">Sens!G11769-Sens!G11770+Sens!G11851</f>
        <v>81.4922561130847</v>
      </c>
      <c r="H11917" s="6" t="n">
        <f aca="false">Sens!H11769-Sens!H11770+Sens!H11851</f>
        <v>123.278266211349</v>
      </c>
      <c r="I11917" s="6" t="n">
        <f aca="false">Sens!I11769-Sens!I11770+Sens!I11851</f>
        <v>160.60594185192</v>
      </c>
      <c r="J11917" s="6" t="n">
        <f aca="false">Sens!J11769-Sens!J11770+Sens!J11851</f>
        <v>186.818741832633</v>
      </c>
      <c r="K11917" s="6" t="n">
        <f aca="false">Sens!K11769-Sens!K11770+Sens!K11851</f>
        <v>202.776422159652</v>
      </c>
    </row>
    <row r="11918" customFormat="false" ht="17.15" hidden="false" customHeight="false" outlineLevel="0" collapsed="false">
      <c r="A11918" s="0" t="s">
        <v>1242</v>
      </c>
      <c r="B11918" s="0" t="s">
        <v>98</v>
      </c>
      <c r="F11918" s="6" t="n">
        <f aca="false">Sens!F11830+Sens!F11851+Sens!F11781+Sens!F11911*(Sens!F11800-Sens!F11763)+sbc_r*Sens!F11800</f>
        <v>238.096533063916</v>
      </c>
      <c r="G11918" s="6" t="n">
        <f aca="false">Sens!G11830+Sens!G11851+Sens!G11781+Sens!G11911*(Sens!G11800-Sens!G11763)+sbc_r*Sens!G11800</f>
        <v>299.927823513699</v>
      </c>
      <c r="H11918" s="6" t="n">
        <f aca="false">Sens!H11830+Sens!H11851+Sens!H11781+Sens!H11911*(Sens!H11800-Sens!H11763)+sbc_r*Sens!H11800</f>
        <v>369.495826483609</v>
      </c>
      <c r="I11918" s="6" t="n">
        <f aca="false">Sens!I11830+Sens!I11851+Sens!I11781+Sens!I11911*(Sens!I11800-Sens!I11763)+sbc_r*Sens!I11800</f>
        <v>433.228004239057</v>
      </c>
      <c r="J11918" s="6" t="n">
        <f aca="false">Sens!J11830+Sens!J11851+Sens!J11781+Sens!J11911*(Sens!J11800-Sens!J11763)+sbc_r*Sens!J11800</f>
        <v>483.394031425219</v>
      </c>
      <c r="K11918" s="6" t="n">
        <f aca="false">Sens!K11830+Sens!K11851+Sens!K11781+Sens!K11911*(Sens!K11800-Sens!K11763)+sbc_r*Sens!K11800</f>
        <v>520.920363865914</v>
      </c>
    </row>
    <row r="11919" customFormat="false" ht="17.15" hidden="false" customHeight="false" outlineLevel="0" collapsed="false">
      <c r="A11919" s="0" t="s">
        <v>1243</v>
      </c>
      <c r="B11919" s="0" t="s">
        <v>98</v>
      </c>
      <c r="F11919" s="6" t="n">
        <f aca="false">Sens!F11918-Sens!F11912-Sens!F11913-Sens!F11914-Sens!F11915-Sens!F11917</f>
        <v>66.356572819777</v>
      </c>
      <c r="G11919" s="6" t="n">
        <f aca="false">Sens!G11918-Sens!G11912-Sens!G11913-Sens!G11914-Sens!G11915-Sens!G11917</f>
        <v>74.5549686701316</v>
      </c>
      <c r="H11919" s="6" t="n">
        <f aca="false">Sens!H11918-Sens!H11912-Sens!H11913-Sens!H11914-Sens!H11915-Sens!H11917</f>
        <v>87.4973108989144</v>
      </c>
      <c r="I11919" s="6" t="n">
        <f aca="false">Sens!I11918-Sens!I11912-Sens!I11913-Sens!I11914-Sens!I11915-Sens!I11917</f>
        <v>100.10514596236</v>
      </c>
      <c r="J11919" s="6" t="n">
        <f aca="false">Sens!J11918-Sens!J11912-Sens!J11913-Sens!J11914-Sens!J11915-Sens!J11917</f>
        <v>111.525792422952</v>
      </c>
      <c r="K11919" s="6" t="n">
        <f aca="false">Sens!K11918-Sens!K11912-Sens!K11913-Sens!K11914-Sens!K11915-Sens!K11917</f>
        <v>121.052182517018</v>
      </c>
    </row>
    <row r="11920" customFormat="false" ht="17.15" hidden="false" customHeight="false" outlineLevel="0" collapsed="false">
      <c r="A11920" s="0" t="s">
        <v>1244</v>
      </c>
      <c r="B11920" s="0" t="s">
        <v>98</v>
      </c>
      <c r="F11920" s="6" t="n">
        <f aca="false">Sens!F11832+Sens!F11911*Sens!F11807+sbc_r*Sens!F11807</f>
        <v>26.5913698752904</v>
      </c>
      <c r="G11920" s="6" t="n">
        <f aca="false">Sens!G11832+Sens!G11911*Sens!G11807+sbc_r*Sens!G11807</f>
        <v>26.3246342882238</v>
      </c>
      <c r="H11920" s="6" t="n">
        <f aca="false">Sens!H11832+Sens!H11911*Sens!H11807+sbc_r*Sens!H11807</f>
        <v>27.0514819606852</v>
      </c>
      <c r="I11920" s="6" t="n">
        <f aca="false">Sens!I11832+Sens!I11911*Sens!I11807+sbc_r*Sens!I11807</f>
        <v>27.9715253493058</v>
      </c>
      <c r="J11920" s="6" t="n">
        <f aca="false">Sens!J11832+Sens!J11911*Sens!J11807+sbc_r*Sens!J11807</f>
        <v>29.045983465148</v>
      </c>
      <c r="K11920" s="6" t="n">
        <f aca="false">Sens!K11832+Sens!K11911*Sens!K11807+sbc_r*Sens!K11807</f>
        <v>30.2310995106482</v>
      </c>
    </row>
    <row r="11921" customFormat="false" ht="17.15" hidden="false" customHeight="false" outlineLevel="0" collapsed="false">
      <c r="A11921" s="0" t="s">
        <v>1245</v>
      </c>
      <c r="B11921" s="0" t="s">
        <v>98</v>
      </c>
      <c r="F11921" s="6" t="n">
        <f aca="false">(Sens!F11920-Sens!F11916)*Sens!F11803/(Sens!F11803+Sens!F11805)</f>
        <v>8.67878628179891</v>
      </c>
      <c r="G11921" s="6" t="n">
        <f aca="false">(Sens!G11920-Sens!G11916)*Sens!G11803/(Sens!G11803+Sens!G11805)</f>
        <v>7.73808910047321</v>
      </c>
      <c r="H11921" s="6" t="n">
        <f aca="false">(Sens!H11920-Sens!H11916)*Sens!H11803/(Sens!H11803+Sens!H11805)</f>
        <v>7.35262679009809</v>
      </c>
      <c r="I11921" s="6" t="n">
        <f aca="false">(Sens!I11920-Sens!I11916)*Sens!I11803/(Sens!I11803+Sens!I11805)</f>
        <v>7.07072188384758</v>
      </c>
      <c r="J11921" s="6" t="n">
        <f aca="false">(Sens!J11920-Sens!J11916)*Sens!J11803/(Sens!J11803+Sens!J11805)</f>
        <v>6.87664917306431</v>
      </c>
      <c r="K11921" s="6" t="n">
        <f aca="false">(Sens!K11920-Sens!K11916)*Sens!K11803/(Sens!K11803+Sens!K11805)</f>
        <v>6.75743872960244</v>
      </c>
    </row>
    <row r="11922" customFormat="false" ht="17.15" hidden="false" customHeight="false" outlineLevel="0" collapsed="false">
      <c r="A11922" s="0" t="s">
        <v>1246</v>
      </c>
      <c r="B11922" s="0" t="s">
        <v>98</v>
      </c>
      <c r="F11922" s="6" t="n">
        <f aca="false">Sens!F11920-Sens!F11916-Sens!F11921</f>
        <v>6.72289575550842</v>
      </c>
      <c r="G11922" s="6" t="n">
        <f aca="false">Sens!G11920-Sens!G11916-Sens!G11921</f>
        <v>6.32292250436085</v>
      </c>
      <c r="H11922" s="6" t="n">
        <f aca="false">Sens!H11920-Sens!H11916-Sens!H11921</f>
        <v>6.31580677754258</v>
      </c>
      <c r="I11922" s="6" t="n">
        <f aca="false">Sens!I11920-Sens!I11916-Sens!I11921</f>
        <v>6.36339555867906</v>
      </c>
      <c r="J11922" s="6" t="n">
        <f aca="false">Sens!J11920-Sens!J11916-Sens!J11921</f>
        <v>6.46246703570693</v>
      </c>
      <c r="K11922" s="6" t="n">
        <f aca="false">Sens!K11920-Sens!K11916-Sens!K11921</f>
        <v>6.60963816075803</v>
      </c>
    </row>
    <row r="11923" customFormat="false" ht="17.15" hidden="false" customHeight="false" outlineLevel="0" collapsed="false">
      <c r="A11923" s="0" t="s">
        <v>1247</v>
      </c>
      <c r="B11923" s="0" t="s">
        <v>98</v>
      </c>
      <c r="F11923" s="6" t="n">
        <f aca="false">Sens!F11917-tax_f*(Sens!F11917-Sens!F11781)-Sens!F11778</f>
        <v>-127.503553927218</v>
      </c>
      <c r="G11923" s="6" t="n">
        <f aca="false">Sens!G11917-tax_f*(Sens!G11917-Sens!G11781)-Sens!G11778</f>
        <v>-114.603772628121</v>
      </c>
      <c r="H11923" s="6" t="n">
        <f aca="false">Sens!H11917-tax_f*(Sens!H11917-Sens!H11781)-Sens!H11778</f>
        <v>-80.3633729631438</v>
      </c>
      <c r="I11923" s="6" t="n">
        <f aca="false">Sens!I11917-tax_f*(Sens!I11917-Sens!I11781)-Sens!I11778</f>
        <v>-17.2838782011649</v>
      </c>
      <c r="J11923" s="6" t="n">
        <f aca="false">Sens!J11917-tax_f*(Sens!J11917-Sens!J11781)-Sens!J11778</f>
        <v>46.9281968800854</v>
      </c>
      <c r="K11923" s="6" t="n">
        <f aca="false">Sens!K11917-tax_f*(Sens!K11917-Sens!K11781)-Sens!K11778</f>
        <v>71.8608185731755</v>
      </c>
    </row>
    <row r="11924" customFormat="false" ht="17.15" hidden="false" customHeight="false" outlineLevel="0" collapsed="false">
      <c r="A11924" s="0" t="s">
        <v>1248</v>
      </c>
      <c r="B11924" s="0" t="s">
        <v>98</v>
      </c>
      <c r="G11924" s="6" t="n">
        <f aca="false">Sens!G11923/(1+wacc)^(Sens!G11894-Sens!F11895)</f>
        <v>-109.124845494465</v>
      </c>
      <c r="H11924" s="6" t="n">
        <f aca="false">Sens!H11923/(1+wacc)^(Sens!H11894-Sens!F11895)</f>
        <v>-69.3796874071025</v>
      </c>
      <c r="I11924" s="6" t="n">
        <f aca="false">Sens!I11923/(1+wacc)^(Sens!I11894-Sens!F11895)</f>
        <v>-13.5289731380471</v>
      </c>
      <c r="J11924" s="6" t="n">
        <f aca="false">Sens!J11923/(1+wacc)^(Sens!J11894-Sens!F11895)</f>
        <v>33.3048099587126</v>
      </c>
      <c r="K11924" s="6" t="n">
        <f aca="false">Sens!K11923/(1+wacc)^(Sens!K11894-Sens!F11895)</f>
        <v>46.2396679904913</v>
      </c>
      <c r="L11924" s="1" t="s">
        <v>1249</v>
      </c>
    </row>
    <row r="11925" customFormat="false" ht="17.15" hidden="false" customHeight="false" outlineLevel="0" collapsed="false">
      <c r="A11925" s="0" t="s">
        <v>1250</v>
      </c>
      <c r="B11925" s="0" t="s">
        <v>98</v>
      </c>
      <c r="C11925" s="6" t="n">
        <f aca="false">(Sens!K11917-Sens!K11781)*(1-tax_f)*(1+g_tv)*(1-g_tv/(wacc+ronic_prem))/(wacc-g_tv)/(1+wacc)^(Sens!K11895-Sens!F11895)</f>
        <v>293.118051086843</v>
      </c>
    </row>
    <row r="11926" customFormat="false" ht="17.15" hidden="false" customHeight="false" outlineLevel="0" collapsed="false">
      <c r="A11926" s="1" t="s">
        <v>1251</v>
      </c>
      <c r="B11926" s="0" t="s">
        <v>98</v>
      </c>
      <c r="C11926" s="6" t="n">
        <f aca="false">(SUM(Sens!G11924:K11924)+Sens!$C$11925)*(1+wacc)^(t_roll-Sens!F11895)</f>
        <v>186.592133308255</v>
      </c>
      <c r="L11926" s="12" t="s">
        <v>1252</v>
      </c>
    </row>
    <row r="11927" customFormat="false" ht="17.15" hidden="false" customHeight="false" outlineLevel="0" collapsed="false">
      <c r="A11927" s="1" t="s">
        <v>1253</v>
      </c>
      <c r="B11927" s="0" t="s">
        <v>98</v>
      </c>
      <c r="C11927" s="6" t="n">
        <f aca="false">(w_ntm28*Sens!G11769+(1-w_ntm28)*Sens!H11769)*m_ai</f>
        <v>463.789109510335</v>
      </c>
    </row>
    <row r="11928" customFormat="false" ht="17.15" hidden="false" customHeight="false" outlineLevel="0" collapsed="false">
      <c r="A11928" s="1" t="s">
        <v>1254</v>
      </c>
      <c r="B11928" s="0" t="s">
        <v>98</v>
      </c>
      <c r="C11928" s="6" t="n">
        <f aca="false">(w_ntm28*Sens!G11919+(1-w_ntm28)*Sens!H11919)*m_cloud</f>
        <v>1089.15399675331</v>
      </c>
    </row>
    <row r="11929" customFormat="false" ht="17.15" hidden="false" customHeight="false" outlineLevel="0" collapsed="false">
      <c r="A11929" s="1" t="s">
        <v>1255</v>
      </c>
      <c r="B11929" s="0" t="s">
        <v>98</v>
      </c>
      <c r="C11929" s="6" t="n">
        <f aca="false">(w_ntm28*Sens!G11912+(1-w_ntm28)*Sens!H11912)*m_sw</f>
        <v>1082.96984502844</v>
      </c>
    </row>
    <row r="11930" customFormat="false" ht="17.15" hidden="false" customHeight="false" outlineLevel="0" collapsed="false">
      <c r="A11930" s="1" t="s">
        <v>1256</v>
      </c>
      <c r="B11930" s="0" t="s">
        <v>98</v>
      </c>
      <c r="C11930" s="6" t="n">
        <f aca="false">(w_ntm28*Sens!G11913+(1-w_ntm28)*Sens!H11913)*m_sw</f>
        <v>372.962972980251</v>
      </c>
    </row>
    <row r="11931" customFormat="false" ht="17.15" hidden="false" customHeight="false" outlineLevel="0" collapsed="false">
      <c r="A11931" s="1" t="s">
        <v>1257</v>
      </c>
      <c r="B11931" s="0" t="s">
        <v>98</v>
      </c>
      <c r="C11931" s="6" t="n">
        <f aca="false">(w_ntm28*Sens!G11914+(1-w_ntm28)*Sens!H11914)*m_sw</f>
        <v>109.166381497921</v>
      </c>
    </row>
    <row r="11932" customFormat="false" ht="17.15" hidden="false" customHeight="false" outlineLevel="0" collapsed="false">
      <c r="A11932" s="1" t="s">
        <v>1258</v>
      </c>
      <c r="B11932" s="0" t="s">
        <v>98</v>
      </c>
      <c r="C11932" s="6" t="n">
        <f aca="false">(w_ntm28*Sens!G11915+(1-w_ntm28)*Sens!H11915)*m_sw</f>
        <v>41.5021907090345</v>
      </c>
    </row>
    <row r="11933" customFormat="false" ht="17.15" hidden="false" customHeight="false" outlineLevel="0" collapsed="false">
      <c r="A11933" s="1" t="s">
        <v>1259</v>
      </c>
      <c r="B11933" s="0" t="s">
        <v>98</v>
      </c>
      <c r="C11933" s="6" t="n">
        <f aca="false">(w_ntm28*Sens!G11916+(1-w_ntm28)*Sens!H11916)*m_ads</f>
        <v>115.07435931909</v>
      </c>
    </row>
    <row r="11934" customFormat="false" ht="17.15" hidden="false" customHeight="false" outlineLevel="0" collapsed="false">
      <c r="A11934" s="1" t="s">
        <v>1260</v>
      </c>
      <c r="B11934" s="0" t="s">
        <v>98</v>
      </c>
      <c r="C11934" s="6" t="n">
        <f aca="false">(w_ntm28*Sens!G11921+(1-w_ntm28)*Sens!H11921)*m_game</f>
        <v>96.1314990989643</v>
      </c>
    </row>
    <row r="11935" customFormat="false" ht="17.15" hidden="false" customHeight="false" outlineLevel="0" collapsed="false">
      <c r="A11935" s="1" t="s">
        <v>1261</v>
      </c>
      <c r="B11935" s="0" t="s">
        <v>98</v>
      </c>
      <c r="C11935" s="6" t="n">
        <f aca="false">(w_ntm28*Sens!G11922+(1-w_ntm28)*Sens!H11922)*m_pc</f>
        <v>91.4588372735885</v>
      </c>
    </row>
    <row r="11936" customFormat="false" ht="17.15" hidden="false" customHeight="false" outlineLevel="0" collapsed="false">
      <c r="A11936" s="1" t="s">
        <v>1262</v>
      </c>
      <c r="B11936" s="0" t="s">
        <v>98</v>
      </c>
      <c r="C11936" s="6" t="n">
        <f aca="false">Sens!$C$11926+Sens!$C$11928+Sens!$C$11929+Sens!$C$11930+Sens!$C$11931+Sens!$C$11932+Sens!$C$11933+Sens!$C$11934+Sens!$C$11935</f>
        <v>3185.01221596886</v>
      </c>
    </row>
    <row r="11937" customFormat="false" ht="17.15" hidden="false" customHeight="false" outlineLevel="0" collapsed="false">
      <c r="A11937" s="1" t="s">
        <v>1263</v>
      </c>
      <c r="B11937" s="0" t="s">
        <v>98</v>
      </c>
      <c r="C11937" s="6" t="n">
        <f aca="false">(Sens!G11898-Sens!G11923)*t_stub</f>
        <v>47.8471581232624</v>
      </c>
      <c r="L11937" s="1" t="s">
        <v>1264</v>
      </c>
    </row>
    <row r="11938" customFormat="false" ht="17.15" hidden="false" customHeight="false" outlineLevel="0" collapsed="false">
      <c r="A11938" s="1" t="s">
        <v>1173</v>
      </c>
      <c r="B11938" s="0" t="s">
        <v>98</v>
      </c>
      <c r="C11938" s="6" t="n">
        <f aca="false">Sens!F11885+oai_v-Sens!F11874+Sens!$C$11937</f>
        <v>162.075428123262</v>
      </c>
      <c r="L11938" s="1" t="s">
        <v>1265</v>
      </c>
    </row>
    <row r="11939" customFormat="false" ht="17.15" hidden="false" customHeight="false" outlineLevel="0" collapsed="false">
      <c r="A11939" s="1" t="s">
        <v>1266</v>
      </c>
      <c r="B11939" s="0" t="s">
        <v>75</v>
      </c>
      <c r="C11939" s="5" t="n">
        <f aca="false">(Sens!$C$11936+Sens!$C$11938)/(Sens!F11887+dil_gap)-Sens!G11877*roll_div_q/q_per_yr</f>
        <v>445.502994959003</v>
      </c>
      <c r="L11939" s="1" t="s">
        <v>1267</v>
      </c>
    </row>
    <row r="11940" customFormat="false" ht="17.15" hidden="false" customHeight="false" outlineLevel="0" collapsed="false">
      <c r="A11940" s="1" t="s">
        <v>1268</v>
      </c>
      <c r="B11940" s="0" t="s">
        <v>75</v>
      </c>
      <c r="C11940" s="5" t="n">
        <f aca="false">w_dcf*Sens!$C$11910+(1-w_dcf)*Sens!$C$11939</f>
        <v>385.566942534949</v>
      </c>
    </row>
    <row r="11941" customFormat="false" ht="17.15" hidden="false" customHeight="false" outlineLevel="0" collapsed="false">
      <c r="A11941" s="3" t="s">
        <v>1910</v>
      </c>
    </row>
    <row r="11942" customFormat="false" ht="15" hidden="false" customHeight="false" outlineLevel="0" collapsed="false">
      <c r="A11942" s="4" t="s">
        <v>43</v>
      </c>
      <c r="B11942" s="4" t="s">
        <v>65</v>
      </c>
      <c r="C11942" s="23" t="s">
        <v>942</v>
      </c>
      <c r="D11942" s="23" t="s">
        <v>943</v>
      </c>
      <c r="E11942" s="23" t="s">
        <v>944</v>
      </c>
      <c r="F11942" s="23" t="s">
        <v>945</v>
      </c>
      <c r="G11942" s="23" t="s">
        <v>946</v>
      </c>
      <c r="H11942" s="23" t="s">
        <v>947</v>
      </c>
      <c r="I11942" s="23" t="s">
        <v>948</v>
      </c>
      <c r="J11942" s="23" t="s">
        <v>949</v>
      </c>
      <c r="K11942" s="23" t="s">
        <v>950</v>
      </c>
      <c r="L11942" s="4" t="s">
        <v>47</v>
      </c>
    </row>
    <row r="11943" customFormat="false" ht="17.15" hidden="false" customHeight="false" outlineLevel="0" collapsed="false">
      <c r="A11943" s="1" t="s">
        <v>951</v>
      </c>
      <c r="B11943" s="1" t="s">
        <v>279</v>
      </c>
      <c r="C11943" s="21" t="n">
        <v>2024</v>
      </c>
      <c r="D11943" s="21" t="n">
        <v>2025</v>
      </c>
      <c r="E11943" s="21" t="n">
        <v>2026</v>
      </c>
      <c r="F11943" s="21" t="n">
        <v>2027</v>
      </c>
      <c r="G11943" s="21" t="n">
        <v>2028</v>
      </c>
      <c r="H11943" s="21" t="n">
        <v>2029</v>
      </c>
      <c r="I11943" s="21" t="n">
        <v>2030</v>
      </c>
      <c r="J11943" s="21" t="n">
        <v>2031</v>
      </c>
      <c r="K11943" s="21" t="n">
        <v>2032</v>
      </c>
    </row>
    <row r="11944" customFormat="false" ht="17.15" hidden="false" customHeight="false" outlineLevel="0" collapsed="false">
      <c r="A11944" s="1" t="s">
        <v>952</v>
      </c>
      <c r="B11944" s="0" t="s">
        <v>459</v>
      </c>
      <c r="F11944" s="30" t="n">
        <f aca="false">pace</f>
        <v>2726.5351</v>
      </c>
      <c r="G11944" s="30" t="n">
        <f aca="false">pace</f>
        <v>2726.5351</v>
      </c>
      <c r="H11944" s="30" t="n">
        <f aca="false">pace</f>
        <v>2726.5351</v>
      </c>
      <c r="I11944" s="30" t="n">
        <f aca="false">pace+(g_tv*Sens!H11945-pace)*MIN(1,(Sens!I11943-pace_y0)/(pace_y1-pace_y0))</f>
        <v>1931.98611966667</v>
      </c>
      <c r="J11944" s="30" t="n">
        <f aca="false">pace+(g_tv*Sens!I11945-pace)*MIN(1,(Sens!J11943-pace_y0)/(pace_y1-pace_y0))</f>
        <v>1176.07686172667</v>
      </c>
      <c r="K11944" s="30" t="n">
        <f aca="false">pace+(g_tv*Sens!J11945-pace)*MIN(1,(Sens!K11943-pace_y0)/(pace_y1-pace_y0))</f>
        <v>436.1300484418</v>
      </c>
      <c r="L11944" s="12" t="s">
        <v>953</v>
      </c>
    </row>
    <row r="11945" customFormat="false" ht="17.15" hidden="false" customHeight="false" outlineLevel="0" collapsed="false">
      <c r="A11945" s="1" t="s">
        <v>954</v>
      </c>
      <c r="B11945" s="0" t="s">
        <v>459</v>
      </c>
      <c r="C11945" s="30" t="n">
        <f aca="false">mw_ext_24</f>
        <v>640</v>
      </c>
      <c r="D11945" s="30" t="n">
        <f aca="false">mw_ext_25</f>
        <v>1630</v>
      </c>
      <c r="E11945" s="30" t="n">
        <f aca="false">mw_ext_26</f>
        <v>3250</v>
      </c>
      <c r="F11945" s="30" t="n">
        <f aca="false">Sens!E11945+Sens!F11944</f>
        <v>5976.5351</v>
      </c>
      <c r="G11945" s="30" t="n">
        <f aca="false">Sens!F11945+Sens!G11944</f>
        <v>8703.0702</v>
      </c>
      <c r="H11945" s="30" t="n">
        <f aca="false">Sens!G11945+Sens!H11944</f>
        <v>11429.6053</v>
      </c>
      <c r="I11945" s="30" t="n">
        <f aca="false">Sens!H11945+Sens!I11944</f>
        <v>13361.5914196667</v>
      </c>
      <c r="J11945" s="30" t="n">
        <f aca="false">Sens!I11945+Sens!J11944</f>
        <v>14537.6682813933</v>
      </c>
      <c r="K11945" s="30" t="n">
        <f aca="false">Sens!J11945+Sens!K11944</f>
        <v>14973.7983298351</v>
      </c>
      <c r="L11945" s="1" t="s">
        <v>955</v>
      </c>
    </row>
    <row r="11946" customFormat="false" ht="17.15" hidden="false" customHeight="false" outlineLevel="0" collapsed="false">
      <c r="A11946" s="1" t="s">
        <v>956</v>
      </c>
      <c r="B11946" s="0" t="s">
        <v>459</v>
      </c>
      <c r="C11946" s="30" t="n">
        <f aca="false">rent_ext_24</f>
        <v>150</v>
      </c>
      <c r="D11946" s="30" t="n">
        <f aca="false">rent_ext_25</f>
        <v>400</v>
      </c>
      <c r="E11946" s="30" t="n">
        <f aca="false">rent_ext_26</f>
        <v>550</v>
      </c>
      <c r="F11946" s="30" t="n">
        <f aca="false">rent_ext_f</f>
        <v>756</v>
      </c>
      <c r="G11946" s="30" t="n">
        <f aca="false">rent_ext_f</f>
        <v>756</v>
      </c>
      <c r="H11946" s="30" t="n">
        <f aca="false">rent_ext_f</f>
        <v>756</v>
      </c>
      <c r="I11946" s="30" t="n">
        <f aca="false">rent_ext_f</f>
        <v>756</v>
      </c>
      <c r="J11946" s="30" t="n">
        <f aca="false">rent_ext_f</f>
        <v>756</v>
      </c>
      <c r="K11946" s="30" t="n">
        <f aca="false">rent_ext_f</f>
        <v>756</v>
      </c>
      <c r="L11946" s="1" t="s">
        <v>957</v>
      </c>
    </row>
    <row r="11947" customFormat="false" ht="17.15" hidden="false" customHeight="false" outlineLevel="0" collapsed="false">
      <c r="A11947" s="1" t="s">
        <v>958</v>
      </c>
      <c r="B11947" s="0" t="s">
        <v>459</v>
      </c>
      <c r="C11947" s="30" t="n">
        <f aca="false">Sens!C11945-Sens!C11946</f>
        <v>490</v>
      </c>
      <c r="D11947" s="30" t="n">
        <f aca="false">Sens!D11945-Sens!D11946</f>
        <v>1230</v>
      </c>
      <c r="E11947" s="30" t="n">
        <f aca="false">Sens!E11945-Sens!E11946</f>
        <v>2700</v>
      </c>
      <c r="F11947" s="30" t="n">
        <f aca="false">Sens!F11945-Sens!F11946</f>
        <v>5220.5351</v>
      </c>
      <c r="G11947" s="30" t="n">
        <f aca="false">Sens!G11945-Sens!G11946</f>
        <v>7947.0702</v>
      </c>
      <c r="H11947" s="30" t="n">
        <f aca="false">Sens!H11945-Sens!H11946</f>
        <v>10673.6053</v>
      </c>
      <c r="I11947" s="30" t="n">
        <f aca="false">Sens!I11945-Sens!I11946</f>
        <v>12605.5914196667</v>
      </c>
      <c r="J11947" s="30" t="n">
        <f aca="false">Sens!J11945-Sens!J11946</f>
        <v>13781.6682813933</v>
      </c>
      <c r="K11947" s="30" t="n">
        <f aca="false">Sens!K11945-Sens!K11946</f>
        <v>14217.7983298351</v>
      </c>
    </row>
    <row r="11948" customFormat="false" ht="17.15" hidden="false" customHeight="false" outlineLevel="0" collapsed="false">
      <c r="A11948" s="1" t="s">
        <v>959</v>
      </c>
      <c r="B11948" s="0" t="s">
        <v>459</v>
      </c>
      <c r="C11948" s="30" t="n">
        <f aca="false">Sens!C11947/ext_sh</f>
        <v>816.666666666667</v>
      </c>
      <c r="D11948" s="30" t="n">
        <f aca="false">Sens!D11947/ext_sh</f>
        <v>2050</v>
      </c>
      <c r="E11948" s="30" t="n">
        <f aca="false">Sens!E11947/ext_sh</f>
        <v>4500</v>
      </c>
      <c r="F11948" s="30" t="n">
        <f aca="false">Sens!F11947/ext_sh</f>
        <v>8700.89183333333</v>
      </c>
      <c r="G11948" s="30" t="n">
        <f aca="false">Sens!G11947/ext_sh</f>
        <v>13245.117</v>
      </c>
      <c r="H11948" s="30" t="n">
        <f aca="false">Sens!H11947/ext_sh</f>
        <v>17789.3421666667</v>
      </c>
      <c r="I11948" s="30" t="n">
        <f aca="false">Sens!I11947/ext_sh</f>
        <v>21009.3190327778</v>
      </c>
      <c r="J11948" s="30" t="n">
        <f aca="false">Sens!J11947/ext_sh</f>
        <v>22969.4471356556</v>
      </c>
      <c r="K11948" s="30" t="n">
        <f aca="false">Sens!K11947/ext_sh</f>
        <v>23696.3305497252</v>
      </c>
      <c r="L11948" s="1" t="s">
        <v>960</v>
      </c>
    </row>
    <row r="11949" customFormat="false" ht="17.15" hidden="false" customHeight="false" outlineLevel="0" collapsed="false">
      <c r="A11949" s="1" t="s">
        <v>961</v>
      </c>
      <c r="B11949" s="0" t="s">
        <v>459</v>
      </c>
      <c r="C11949" s="30" t="n">
        <f aca="false">Sens!C11948-Sens!C11947</f>
        <v>326.666666666667</v>
      </c>
      <c r="D11949" s="30" t="n">
        <f aca="false">Sens!D11948-Sens!D11947</f>
        <v>820</v>
      </c>
      <c r="E11949" s="30" t="n">
        <f aca="false">Sens!E11948-Sens!E11947</f>
        <v>1800</v>
      </c>
      <c r="F11949" s="30" t="n">
        <f aca="false">Sens!F11948-Sens!F11947</f>
        <v>3480.35673333333</v>
      </c>
      <c r="G11949" s="30" t="n">
        <f aca="false">Sens!G11948-Sens!G11947</f>
        <v>5298.0468</v>
      </c>
      <c r="H11949" s="30" t="n">
        <f aca="false">Sens!H11948-Sens!H11947</f>
        <v>7115.73686666667</v>
      </c>
      <c r="I11949" s="30" t="n">
        <f aca="false">Sens!I11948-Sens!I11947</f>
        <v>8403.72761311111</v>
      </c>
      <c r="J11949" s="30" t="n">
        <f aca="false">Sens!J11948-Sens!J11947</f>
        <v>9187.77885426222</v>
      </c>
      <c r="K11949" s="30" t="n">
        <f aca="false">Sens!K11948-Sens!K11947</f>
        <v>9478.53221989009</v>
      </c>
    </row>
    <row r="11950" customFormat="false" ht="17.15" hidden="false" customHeight="false" outlineLevel="0" collapsed="false">
      <c r="A11950" s="1" t="s">
        <v>962</v>
      </c>
      <c r="B11950" s="0" t="s">
        <v>459</v>
      </c>
      <c r="C11950" s="30" t="n">
        <f aca="false">Sens!C11948</f>
        <v>816.666666666667</v>
      </c>
      <c r="D11950" s="30" t="n">
        <f aca="false">Sens!D11948-Sens!C11948</f>
        <v>1233.33333333333</v>
      </c>
      <c r="E11950" s="30" t="n">
        <f aca="false">Sens!E11948-Sens!D11948</f>
        <v>2450</v>
      </c>
      <c r="F11950" s="30" t="n">
        <f aca="false">Sens!F11948-Sens!E11948</f>
        <v>4200.89183333333</v>
      </c>
      <c r="G11950" s="30" t="n">
        <f aca="false">Sens!G11948-Sens!F11948</f>
        <v>4544.22516666667</v>
      </c>
      <c r="H11950" s="30" t="n">
        <f aca="false">Sens!H11948-Sens!G11948</f>
        <v>4544.22516666667</v>
      </c>
      <c r="I11950" s="30" t="n">
        <f aca="false">Sens!I11948-Sens!H11948</f>
        <v>3219.97686611111</v>
      </c>
      <c r="J11950" s="30" t="n">
        <f aca="false">Sens!J11948-Sens!I11948</f>
        <v>1960.12810287778</v>
      </c>
      <c r="K11950" s="30" t="n">
        <f aca="false">Sens!K11948-Sens!J11948</f>
        <v>726.883414069667</v>
      </c>
    </row>
    <row r="11951" customFormat="false" ht="17.15" hidden="false" customHeight="false" outlineLevel="0" collapsed="false">
      <c r="A11951" s="1" t="s">
        <v>963</v>
      </c>
      <c r="B11951" s="0" t="s">
        <v>459</v>
      </c>
      <c r="D11951" s="30" t="n">
        <f aca="false">Sens!D11945-Sens!C11945</f>
        <v>990</v>
      </c>
      <c r="E11951" s="30" t="n">
        <f aca="false">Sens!E11945-Sens!D11945</f>
        <v>1620</v>
      </c>
      <c r="F11951" s="30" t="n">
        <f aca="false">Sens!F11945-Sens!E11945</f>
        <v>2726.5351</v>
      </c>
      <c r="G11951" s="30" t="n">
        <f aca="false">Sens!G11945-Sens!F11945</f>
        <v>2726.5351</v>
      </c>
      <c r="H11951" s="30" t="n">
        <f aca="false">Sens!H11945-Sens!G11945</f>
        <v>2726.5351</v>
      </c>
      <c r="I11951" s="30" t="n">
        <f aca="false">Sens!I11945-Sens!H11945</f>
        <v>1931.98611966667</v>
      </c>
      <c r="J11951" s="30" t="n">
        <f aca="false">Sens!J11945-Sens!I11945</f>
        <v>1176.07686172667</v>
      </c>
      <c r="K11951" s="30" t="n">
        <f aca="false">Sens!K11945-Sens!J11945</f>
        <v>436.130048441799</v>
      </c>
    </row>
    <row r="11952" customFormat="false" ht="17.15" hidden="false" customHeight="false" outlineLevel="0" collapsed="false">
      <c r="A11952" s="1" t="s">
        <v>964</v>
      </c>
      <c r="B11952" s="0" t="s">
        <v>459</v>
      </c>
      <c r="F11952" s="30" t="n">
        <f aca="false">Sens!F11971*ext_sh</f>
        <v>0</v>
      </c>
      <c r="G11952" s="30" t="n">
        <f aca="false">Sens!G11971*ext_sh</f>
        <v>0</v>
      </c>
      <c r="H11952" s="30" t="n">
        <f aca="false">Sens!H11971*ext_sh</f>
        <v>0</v>
      </c>
      <c r="I11952" s="30" t="n">
        <f aca="false">Sens!I11971*ext_sh</f>
        <v>490</v>
      </c>
      <c r="J11952" s="30" t="n">
        <f aca="false">Sens!J11971*ext_sh</f>
        <v>740</v>
      </c>
      <c r="K11952" s="30" t="n">
        <f aca="false">Sens!K11971*ext_sh</f>
        <v>1470</v>
      </c>
      <c r="L11952" s="1" t="s">
        <v>965</v>
      </c>
    </row>
    <row r="11953" customFormat="false" ht="17.15" hidden="false" customHeight="false" outlineLevel="0" collapsed="false">
      <c r="A11953" s="1" t="s">
        <v>966</v>
      </c>
      <c r="B11953" s="0" t="s">
        <v>459</v>
      </c>
      <c r="C11953" s="30" t="n">
        <f aca="false">mix_h*Sens!C11945</f>
        <v>128</v>
      </c>
      <c r="D11953" s="30" t="n">
        <f aca="false">mix_h*Sens!D11945</f>
        <v>326</v>
      </c>
      <c r="E11953" s="30" t="n">
        <f aca="false">mix_h*Sens!E11945</f>
        <v>650</v>
      </c>
      <c r="F11953" s="30" t="n">
        <f aca="false">Sens!E11953-Sens!F11952*mix_h</f>
        <v>650</v>
      </c>
      <c r="G11953" s="30" t="n">
        <f aca="false">Sens!F11953-Sens!G11952*mix_h</f>
        <v>650</v>
      </c>
      <c r="H11953" s="30" t="n">
        <f aca="false">Sens!G11953-Sens!H11952*mix_h</f>
        <v>650</v>
      </c>
      <c r="I11953" s="30" t="n">
        <f aca="false">Sens!H11953-Sens!I11952*mix_h</f>
        <v>552</v>
      </c>
      <c r="J11953" s="30" t="n">
        <f aca="false">Sens!I11953-Sens!J11952*mix_h</f>
        <v>404</v>
      </c>
      <c r="K11953" s="30" t="n">
        <f aca="false">Sens!J11953-Sens!K11952*mix_h</f>
        <v>110</v>
      </c>
    </row>
    <row r="11954" customFormat="false" ht="17.15" hidden="false" customHeight="false" outlineLevel="0" collapsed="false">
      <c r="A11954" s="1" t="s">
        <v>967</v>
      </c>
      <c r="B11954" s="0" t="s">
        <v>459</v>
      </c>
      <c r="C11954" s="30" t="n">
        <f aca="false">mix_g2*Sens!C11945</f>
        <v>288</v>
      </c>
      <c r="D11954" s="30" t="n">
        <f aca="false">mix_g2*Sens!D11945</f>
        <v>733.5</v>
      </c>
      <c r="E11954" s="30" t="n">
        <f aca="false">mix_g2*Sens!E11945</f>
        <v>1462.5</v>
      </c>
      <c r="F11954" s="30" t="n">
        <f aca="false">Sens!E11954-Sens!F11952*mix_g2</f>
        <v>1462.5</v>
      </c>
      <c r="G11954" s="30" t="n">
        <f aca="false">Sens!F11954-Sens!G11952*mix_g2</f>
        <v>1462.5</v>
      </c>
      <c r="H11954" s="30" t="n">
        <f aca="false">Sens!G11954-Sens!H11952*mix_g2</f>
        <v>1462.5</v>
      </c>
      <c r="I11954" s="30" t="n">
        <f aca="false">Sens!H11954-Sens!I11952*mix_g2</f>
        <v>1242</v>
      </c>
      <c r="J11954" s="30" t="n">
        <f aca="false">Sens!I11954-Sens!J11952*mix_g2</f>
        <v>909</v>
      </c>
      <c r="K11954" s="30" t="n">
        <f aca="false">Sens!J11954-Sens!K11952*mix_g2</f>
        <v>247.5</v>
      </c>
    </row>
    <row r="11955" customFormat="false" ht="17.15" hidden="false" customHeight="false" outlineLevel="0" collapsed="false">
      <c r="A11955" s="1" t="s">
        <v>968</v>
      </c>
      <c r="B11955" s="0" t="s">
        <v>459</v>
      </c>
      <c r="C11955" s="30" t="n">
        <f aca="false">mix_g3*Sens!C11945</f>
        <v>224</v>
      </c>
      <c r="D11955" s="30" t="n">
        <f aca="false">mix_g3*Sens!D11945</f>
        <v>570.5</v>
      </c>
      <c r="E11955" s="30" t="n">
        <f aca="false">mix_g3*Sens!E11945</f>
        <v>1137.5</v>
      </c>
      <c r="F11955" s="30" t="n">
        <f aca="false">Sens!E11955+(Sens!F11951+Sens!F11952)*(a_g3_27-nonnv*a_mai)-Sens!F11952*mix_g3</f>
        <v>2773.42106</v>
      </c>
      <c r="G11955" s="30" t="n">
        <f aca="false">Sens!F11955+(Sens!G11951+Sens!G11952)*(a_g3_28-nonnv*a_mai)-Sens!G11952*mix_g3</f>
        <v>3318.72808</v>
      </c>
      <c r="H11955" s="30" t="n">
        <f aca="false">Sens!G11955+(Sens!H11951+Sens!H11952)*(a_g3_29-nonnv*a_mai)-Sens!H11952*mix_g3</f>
        <v>3318.72808</v>
      </c>
      <c r="I11955" s="30" t="n">
        <f aca="false">Sens!H11955+(Sens!I11951+Sens!I11952)*(a_g3_29-nonnv*a_mai)-Sens!I11952*mix_g3</f>
        <v>3147.22808</v>
      </c>
      <c r="J11955" s="30" t="n">
        <f aca="false">Sens!I11955+(Sens!J11951+Sens!J11952)*(a_g3_29-nonnv*a_mai)-Sens!J11952*mix_g3</f>
        <v>2888.22808</v>
      </c>
      <c r="K11955" s="30" t="n">
        <f aca="false">Sens!J11955+(Sens!K11951+Sens!K11952)*(a_g3_29-nonnv*a_mai)-Sens!K11952*mix_g3</f>
        <v>2373.72808</v>
      </c>
    </row>
    <row r="11956" customFormat="false" ht="17.15" hidden="false" customHeight="false" outlineLevel="0" collapsed="false">
      <c r="A11956" s="1" t="s">
        <v>969</v>
      </c>
      <c r="B11956" s="0" t="s">
        <v>459</v>
      </c>
      <c r="C11956" s="30" t="n">
        <v>0</v>
      </c>
      <c r="D11956" s="30" t="n">
        <v>0</v>
      </c>
      <c r="E11956" s="30" t="n">
        <v>0</v>
      </c>
      <c r="F11956" s="30" t="n">
        <f aca="false">Sens!E11956+(Sens!F11951+Sens!F11952)*nonnv*a_mai</f>
        <v>272.65351</v>
      </c>
      <c r="G11956" s="30" t="n">
        <f aca="false">Sens!F11956+(Sens!G11951+Sens!G11952)*nonnv*a_mai</f>
        <v>545.30702</v>
      </c>
      <c r="H11956" s="30" t="n">
        <f aca="false">Sens!G11956+(Sens!H11951+Sens!H11952)*nonnv*a_mai</f>
        <v>817.96053</v>
      </c>
      <c r="I11956" s="30" t="n">
        <f aca="false">Sens!H11956+(Sens!I11951+Sens!I11952)*nonnv*a_mai</f>
        <v>1060.15914196667</v>
      </c>
      <c r="J11956" s="30" t="n">
        <f aca="false">Sens!I11956+(Sens!J11951+Sens!J11952)*nonnv*a_mai</f>
        <v>1251.76682813933</v>
      </c>
      <c r="K11956" s="30" t="n">
        <f aca="false">Sens!J11956+(Sens!K11951+Sens!K11952)*nonnv*a_mai</f>
        <v>1442.37983298351</v>
      </c>
      <c r="L11956" s="12" t="s">
        <v>970</v>
      </c>
    </row>
    <row r="11957" customFormat="false" ht="17.15" hidden="false" customHeight="false" outlineLevel="0" collapsed="false">
      <c r="A11957" s="1" t="s">
        <v>971</v>
      </c>
      <c r="B11957" s="0" t="s">
        <v>459</v>
      </c>
      <c r="C11957" s="30" t="n">
        <v>0</v>
      </c>
      <c r="D11957" s="30" t="n">
        <v>0</v>
      </c>
      <c r="E11957" s="30" t="n">
        <v>0</v>
      </c>
      <c r="F11957" s="30" t="n">
        <f aca="false">Sens!E11957+(Sens!F11951+Sens!F11952)*(1-a_g3_27)</f>
        <v>817.96053</v>
      </c>
      <c r="G11957" s="30" t="n">
        <f aca="false">Sens!F11957+(Sens!G11951+Sens!G11952)*(1-a_g3_28)</f>
        <v>2726.5351</v>
      </c>
      <c r="H11957" s="30" t="n">
        <f aca="false">Sens!G11957+(Sens!H11951+Sens!H11952)*(1-a_g3_29)</f>
        <v>5180.41669</v>
      </c>
      <c r="I11957" s="30" t="n">
        <f aca="false">Sens!H11957+(Sens!I11951+Sens!I11952)*(1-a_g3_29)</f>
        <v>7360.2041977</v>
      </c>
      <c r="J11957" s="30" t="n">
        <f aca="false">Sens!I11957+(Sens!J11951+Sens!J11952)*(1-a_g3_29)</f>
        <v>9084.673373254</v>
      </c>
      <c r="K11957" s="30" t="n">
        <f aca="false">Sens!J11957+(Sens!K11951+Sens!K11952)*(1-a_g3_29)</f>
        <v>10800.1904168516</v>
      </c>
    </row>
    <row r="11958" customFormat="false" ht="17.15" hidden="false" customHeight="false" outlineLevel="0" collapsed="false">
      <c r="A11958" s="1" t="s">
        <v>972</v>
      </c>
      <c r="B11958" s="0" t="s">
        <v>403</v>
      </c>
      <c r="C11958" s="15" t="n">
        <f aca="false">(Sens!C11953*tk_hold_h100+Sens!C11954*tk_hold_gb200+Sens!C11955*tk_hold_gb300+Sens!C11957*tk_hold_vr200+Sens!C11956*nv_hold_mai*tk_hold_vr200)/Sens!C11945</f>
        <v>9.7235358126469</v>
      </c>
      <c r="D11958" s="15" t="n">
        <f aca="false">(Sens!D11953*tk_hold_h100+Sens!D11954*tk_hold_gb200+Sens!D11955*tk_hold_gb300+Sens!D11957*tk_hold_vr200+Sens!D11956*nv_hold_mai*tk_hold_vr200)/Sens!D11945</f>
        <v>9.7235358126469</v>
      </c>
      <c r="E11958" s="15" t="n">
        <f aca="false">(Sens!E11953*tk_hold_h100+Sens!E11954*tk_hold_gb200+Sens!E11955*tk_hold_gb300+Sens!E11957*tk_hold_vr200+Sens!E11956*nv_hold_mai*tk_hold_vr200)/Sens!E11945</f>
        <v>9.7235358126469</v>
      </c>
      <c r="F11958" s="15" t="n">
        <f aca="false">(Sens!F11953*tk_hold_h100+Sens!F11954*tk_hold_gb200+Sens!F11955*tk_hold_gb300+Sens!F11957*tk_hold_vr200+Sens!F11956*nv_hold_mai*tk_hold_vr200)/Sens!F11945</f>
        <v>10.2195353876665</v>
      </c>
      <c r="G11958" s="15" t="n">
        <f aca="false">(Sens!G11953*tk_hold_h100+Sens!G11954*tk_hold_gb200+Sens!G11955*tk_hold_gb300+Sens!G11957*tk_hold_vr200+Sens!G11956*nv_hold_mai*tk_hold_vr200)/Sens!G11945</f>
        <v>10.5725598017306</v>
      </c>
      <c r="H11958" s="15" t="n">
        <f aca="false">(Sens!H11953*tk_hold_h100+Sens!H11954*tk_hold_gb200+Sens!H11955*tk_hold_gb300+Sens!H11957*tk_hold_vr200+Sens!H11956*nv_hold_mai*tk_hold_vr200)/Sens!H11945</f>
        <v>10.8210427149036</v>
      </c>
      <c r="I11958" s="15" t="n">
        <f aca="false">(Sens!I11953*tk_hold_h100+Sens!I11954*tk_hold_gb200+Sens!I11955*tk_hold_gb300+Sens!I11957*tk_hold_vr200+Sens!I11956*nv_hold_mai*tk_hold_vr200)/Sens!I11945</f>
        <v>11.0050618241982</v>
      </c>
      <c r="J11958" s="15" t="n">
        <f aca="false">(Sens!J11953*tk_hold_h100+Sens!J11954*tk_hold_gb200+Sens!J11955*tk_hold_gb300+Sens!J11957*tk_hold_vr200+Sens!J11956*nv_hold_mai*tk_hold_vr200)/Sens!J11945</f>
        <v>11.1505789658881</v>
      </c>
      <c r="K11958" s="15" t="n">
        <f aca="false">(Sens!K11953*tk_hold_h100+Sens!K11954*tk_hold_gb200+Sens!K11955*tk_hold_gb300+Sens!K11957*tk_hold_vr200+Sens!K11956*nv_hold_mai*tk_hold_vr200)/Sens!K11945</f>
        <v>11.3496914757183</v>
      </c>
      <c r="L11958" s="1" t="s">
        <v>973</v>
      </c>
    </row>
    <row r="11959" customFormat="false" ht="17.15" hidden="false" customHeight="false" outlineLevel="0" collapsed="false">
      <c r="A11959" s="1" t="s">
        <v>974</v>
      </c>
      <c r="B11959" s="0" t="s">
        <v>403</v>
      </c>
      <c r="C11959" s="15" t="n">
        <f aca="false">(Sens!C11953*tk_hold_h100+Sens!C11954*tk_hold_gb200+Sens!C11955*tk_hold_gb300+Sens!C11957*tk_hold_vr200+Sens!C11956*nv_out_mai*tk_hold_vr200)/Sens!C11945</f>
        <v>9.7235358126469</v>
      </c>
      <c r="D11959" s="15" t="n">
        <f aca="false">(Sens!D11953*tk_hold_h100+Sens!D11954*tk_hold_gb200+Sens!D11955*tk_hold_gb300+Sens!D11957*tk_hold_vr200+Sens!D11956*nv_out_mai*tk_hold_vr200)/Sens!D11945</f>
        <v>9.7235358126469</v>
      </c>
      <c r="E11959" s="15" t="n">
        <f aca="false">(Sens!E11953*tk_hold_h100+Sens!E11954*tk_hold_gb200+Sens!E11955*tk_hold_gb300+Sens!E11957*tk_hold_vr200+Sens!E11956*nv_out_mai*tk_hold_vr200)/Sens!E11945</f>
        <v>9.7235358126469</v>
      </c>
      <c r="F11959" s="15" t="n">
        <f aca="false">(Sens!F11953*tk_hold_h100+Sens!F11954*tk_hold_gb200+Sens!F11955*tk_hold_gb300+Sens!F11957*tk_hold_vr200+Sens!F11956*nv_out_mai*tk_hold_vr200)/Sens!F11945</f>
        <v>10.247422093969</v>
      </c>
      <c r="G11959" s="15" t="n">
        <f aca="false">(Sens!G11953*tk_hold_h100+Sens!G11954*tk_hold_gb200+Sens!G11955*tk_hold_gb300+Sens!G11957*tk_hold_vr200+Sens!G11956*nv_out_mai*tk_hold_vr200)/Sens!G11945</f>
        <v>10.6108602808053</v>
      </c>
      <c r="H11959" s="15" t="n">
        <f aca="false">(Sens!H11953*tk_hold_h100+Sens!H11954*tk_hold_gb200+Sens!H11955*tk_hold_gb300+Sens!H11957*tk_hold_vr200+Sens!H11956*nv_out_mai*tk_hold_vr200)/Sens!H11945</f>
        <v>10.8647885507393</v>
      </c>
      <c r="I11959" s="15" t="n">
        <f aca="false">(Sens!I11953*tk_hold_h100+Sens!I11954*tk_hold_gb200+Sens!I11955*tk_hold_gb300+Sens!I11957*tk_hold_vr200+Sens!I11956*nv_out_mai*tk_hold_vr200)/Sens!I11945</f>
        <v>11.0535625770025</v>
      </c>
      <c r="J11959" s="15" t="n">
        <f aca="false">(Sens!J11953*tk_hold_h100+Sens!J11954*tk_hold_gb200+Sens!J11955*tk_hold_gb300+Sens!J11957*tk_hold_vr200+Sens!J11956*nv_out_mai*tk_hold_vr200)/Sens!J11945</f>
        <v>11.2032127128058</v>
      </c>
      <c r="K11959" s="15" t="n">
        <f aca="false">(Sens!K11953*tk_hold_h100+Sens!K11954*tk_hold_gb200+Sens!K11955*tk_hold_gb300+Sens!K11957*tk_hold_vr200+Sens!K11956*nv_out_mai*tk_hold_vr200)/Sens!K11945</f>
        <v>11.4085735724225</v>
      </c>
      <c r="L11959" s="12" t="s">
        <v>975</v>
      </c>
    </row>
    <row r="11960" customFormat="false" ht="17.15" hidden="false" customHeight="false" outlineLevel="0" collapsed="false">
      <c r="A11960" s="0" t="s">
        <v>976</v>
      </c>
      <c r="B11960" s="0" t="s">
        <v>229</v>
      </c>
      <c r="C11960" s="15" t="n">
        <f aca="false">k_B</f>
        <v>1.17213932619116</v>
      </c>
      <c r="D11960" s="15" t="n">
        <f aca="false">k_B</f>
        <v>1.17213932619116</v>
      </c>
      <c r="E11960" s="15" t="n">
        <f aca="false">k_B</f>
        <v>1.17213932619116</v>
      </c>
      <c r="F11960" s="15" t="n">
        <f aca="false">(k_B+((ls_C*k_long+(1-ls_C)*k_spot)-k_B)*MIN(1,(Sens!F11943-base_fy)/k_ramp))</f>
        <v>1.07843258004497</v>
      </c>
      <c r="G11960" s="15" t="n">
        <f aca="false">(k_B+((ls_C*k_long+(1-ls_C)*k_spot)-k_B)*MIN(1,(Sens!G11943-base_fy)/k_ramp))</f>
        <v>0.984725833898784</v>
      </c>
      <c r="H11960" s="15" t="n">
        <f aca="false">(k_B+((ls_C*k_long+(1-ls_C)*k_spot)-k_B)*MIN(1,(Sens!H11943-base_fy)/k_ramp))</f>
        <v>0.891019087752599</v>
      </c>
      <c r="I11960" s="15" t="n">
        <f aca="false">(k_B+((ls_C*k_long+(1-ls_C)*k_spot)-k_B)*MIN(1,(Sens!I11943-base_fy)/k_ramp))</f>
        <v>0.891019087752599</v>
      </c>
      <c r="J11960" s="15" t="n">
        <f aca="false">(k_B+((ls_C*k_long+(1-ls_C)*k_spot)-k_B)*MIN(1,(Sens!J11943-base_fy)/k_ramp))</f>
        <v>0.891019087752599</v>
      </c>
      <c r="K11960" s="15" t="n">
        <f aca="false">(k_B+((ls_C*k_long+(1-ls_C)*k_spot)-k_B)*MIN(1,(Sens!K11943-base_fy)/k_ramp))</f>
        <v>0.891019087752599</v>
      </c>
      <c r="L11960" s="1" t="s">
        <v>977</v>
      </c>
    </row>
    <row r="11961" customFormat="false" ht="17.15" hidden="false" customHeight="false" outlineLevel="0" collapsed="false">
      <c r="A11961" s="1" t="s">
        <v>978</v>
      </c>
      <c r="B11961" s="0" t="s">
        <v>403</v>
      </c>
      <c r="C11961" s="15" t="n">
        <f aca="false">Sens!C11959*Sens!C11960*chip_f</f>
        <v>11.3973387156315</v>
      </c>
      <c r="D11961" s="15" t="n">
        <f aca="false">Sens!D11959*Sens!D11960*chip_f</f>
        <v>11.3973387156315</v>
      </c>
      <c r="E11961" s="15" t="n">
        <f aca="false">Sens!E11959*Sens!E11960*chip_f</f>
        <v>11.3973387156315</v>
      </c>
      <c r="F11961" s="15" t="n">
        <f aca="false">Sens!F11959*Sens!F11960*chip_f</f>
        <v>11.0511538476088</v>
      </c>
      <c r="G11961" s="15" t="n">
        <f aca="false">Sens!G11959*Sens!G11960*chip_f</f>
        <v>10.4487882383995</v>
      </c>
      <c r="H11961" s="15" t="n">
        <f aca="false">Sens!H11959*Sens!H11960*chip_f</f>
        <v>9.68073398310464</v>
      </c>
      <c r="I11961" s="15" t="n">
        <f aca="false">Sens!I11959*Sens!I11960*chip_f</f>
        <v>9.84893524377706</v>
      </c>
      <c r="J11961" s="15" t="n">
        <f aca="false">Sens!J11959*Sens!J11960*chip_f</f>
        <v>9.98227637126252</v>
      </c>
      <c r="K11961" s="15" t="n">
        <f aca="false">Sens!K11959*Sens!K11960*chip_f</f>
        <v>10.1652568170583</v>
      </c>
      <c r="L11961" s="1" t="s">
        <v>979</v>
      </c>
    </row>
    <row r="11962" customFormat="false" ht="17.15" hidden="false" customHeight="false" outlineLevel="0" collapsed="false">
      <c r="A11962" s="0" t="s">
        <v>980</v>
      </c>
      <c r="B11962" s="0" t="s">
        <v>98</v>
      </c>
      <c r="D11962" s="6" t="n">
        <f aca="false">(Sens!C11945+Sens!D11945)/2*Sens!D11961/1000</f>
        <v>12.9359794422418</v>
      </c>
      <c r="E11962" s="6" t="n">
        <f aca="false">(Sens!D11945+Sens!E11945)/2*Sens!E11961/1000</f>
        <v>27.8095064661409</v>
      </c>
      <c r="F11962" s="6" t="n">
        <f aca="false">(Sens!E11945+Sens!F11945)/2*Sens!F11961/1000</f>
        <v>50.9819294352312</v>
      </c>
      <c r="G11962" s="6" t="n">
        <f aca="false">(Sens!F11945+Sens!G11945)/2*Sens!G11961/1000</f>
        <v>76.6920436014933</v>
      </c>
      <c r="H11962" s="6" t="n">
        <f aca="false">(Sens!G11945+Sens!H11945)/2*Sens!H11961/1000</f>
        <v>97.4495379418341</v>
      </c>
      <c r="I11962" s="6" t="n">
        <f aca="false">(Sens!H11945+Sens!I11945)/2*Sens!I11961/1000</f>
        <v>122.083445553868</v>
      </c>
      <c r="J11962" s="6" t="n">
        <f aca="false">(Sens!I11945+Sens!J11945)/2*Sens!J11961/1000</f>
        <v>139.249060444804</v>
      </c>
      <c r="K11962" s="6" t="n">
        <f aca="false">(Sens!J11945+Sens!K11945)/2*Sens!K11961/1000</f>
        <v>149.995818575589</v>
      </c>
      <c r="L11962" s="12" t="s">
        <v>981</v>
      </c>
    </row>
    <row r="11963" customFormat="false" ht="17.15" hidden="false" customHeight="false" outlineLevel="0" collapsed="false">
      <c r="A11963" s="1" t="s">
        <v>982</v>
      </c>
      <c r="B11963" s="0" t="s">
        <v>403</v>
      </c>
      <c r="C11963" s="15" t="n">
        <f aca="false">(Sens!C11953*tk_opex_h100+Sens!C11954*tk_opex_gb200+Sens!C11955*tk_opex_gb300+(Sens!C11957+Sens!C11956)*tk_opex_vr200)/Sens!C11945</f>
        <v>1.88636041306092</v>
      </c>
      <c r="D11963" s="15" t="n">
        <f aca="false">(Sens!D11953*tk_opex_h100+Sens!D11954*tk_opex_gb200+Sens!D11955*tk_opex_gb300+(Sens!D11957+Sens!D11956)*tk_opex_vr200)/Sens!D11945</f>
        <v>1.88636041306092</v>
      </c>
      <c r="E11963" s="15" t="n">
        <f aca="false">(Sens!E11953*tk_opex_h100+Sens!E11954*tk_opex_gb200+Sens!E11955*tk_opex_gb300+(Sens!E11957+Sens!E11956)*tk_opex_vr200)/Sens!E11945</f>
        <v>1.88636041306092</v>
      </c>
      <c r="F11963" s="15" t="n">
        <f aca="false">(Sens!F11953*tk_opex_h100+Sens!F11954*tk_opex_gb200+Sens!F11955*tk_opex_gb300+(Sens!F11957+Sens!F11956)*tk_opex_vr200)/Sens!F11945</f>
        <v>1.95051159746876</v>
      </c>
      <c r="G11963" s="15" t="n">
        <f aca="false">(Sens!G11953*tk_opex_h100+Sens!G11954*tk_opex_gb200+Sens!G11955*tk_opex_gb300+(Sens!G11957+Sens!G11956)*tk_opex_vr200)/Sens!G11945</f>
        <v>1.98836003669956</v>
      </c>
      <c r="H11963" s="15" t="n">
        <f aca="false">(Sens!H11953*tk_opex_h100+Sens!H11954*tk_opex_gb200+Sens!H11955*tk_opex_gb300+(Sens!H11957+Sens!H11956)*tk_opex_vr200)/Sens!H11945</f>
        <v>2.01344013834343</v>
      </c>
      <c r="I11963" s="15" t="n">
        <f aca="false">(Sens!I11953*tk_opex_h100+Sens!I11954*tk_opex_gb200+Sens!I11955*tk_opex_gb300+(Sens!I11957+Sens!I11956)*tk_opex_vr200)/Sens!I11945</f>
        <v>2.03261166882178</v>
      </c>
      <c r="J11963" s="15" t="n">
        <f aca="false">(Sens!J11953*tk_opex_h100+Sens!J11954*tk_opex_gb200+Sens!J11955*tk_opex_gb300+(Sens!J11957+Sens!J11956)*tk_opex_vr200)/Sens!J11945</f>
        <v>2.04808073288745</v>
      </c>
      <c r="K11963" s="15" t="n">
        <f aca="false">(Sens!K11953*tk_opex_h100+Sens!K11954*tk_opex_gb200+Sens!K11955*tk_opex_gb300+(Sens!K11957+Sens!K11956)*tk_opex_vr200)/Sens!K11945</f>
        <v>2.06973825807449</v>
      </c>
      <c r="L11963" s="12" t="s">
        <v>983</v>
      </c>
    </row>
    <row r="11964" customFormat="false" ht="17.15" hidden="false" customHeight="false" outlineLevel="0" collapsed="false">
      <c r="A11964" s="0" t="s">
        <v>984</v>
      </c>
      <c r="B11964" s="0" t="s">
        <v>98</v>
      </c>
      <c r="D11964" s="6" t="n">
        <f aca="false">(Sens!C11948+Sens!D11948)/2*Sens!D11963/1000</f>
        <v>2.70378325872065</v>
      </c>
      <c r="E11964" s="6" t="n">
        <f aca="false">(Sens!D11948+Sens!E11948)/2*Sens!E11963/1000</f>
        <v>6.17783035277451</v>
      </c>
      <c r="F11964" s="6" t="n">
        <f aca="false">(Sens!E11948+Sens!F11948)/2*Sens!F11963/1000</f>
        <v>12.8742463089237</v>
      </c>
      <c r="G11964" s="6" t="n">
        <f aca="false">(Sens!F11948+Sens!G11948)/2*Sens!G11963/1000</f>
        <v>21.8182834646277</v>
      </c>
      <c r="H11964" s="6" t="n">
        <f aca="false">(Sens!G11948+Sens!H11948)/2*Sens!H11963/1000</f>
        <v>31.2430128789734</v>
      </c>
      <c r="I11964" s="6" t="n">
        <f aca="false">(Sens!H11948+Sens!I11948)/2*Sens!I11963/1000</f>
        <v>39.4313057443268</v>
      </c>
      <c r="J11964" s="6" t="n">
        <f aca="false">(Sens!I11948+Sens!J11948)/2*Sens!J11963/1000</f>
        <v>45.0360318228653</v>
      </c>
      <c r="K11964" s="6" t="n">
        <f aca="false">(Sens!J11948+Sens!K11948)/2*Sens!K11963/1000</f>
        <v>48.2929727091156</v>
      </c>
    </row>
    <row r="11965" customFormat="false" ht="17.15" hidden="false" customHeight="false" outlineLevel="0" collapsed="false">
      <c r="A11965" s="0" t="s">
        <v>985</v>
      </c>
      <c r="B11965" s="0" t="s">
        <v>98</v>
      </c>
      <c r="D11965" s="6" t="n">
        <f aca="false">(Sens!C11946+Sens!D11946)/2*rent_mw/1000</f>
        <v>2.44475</v>
      </c>
      <c r="E11965" s="6" t="n">
        <f aca="false">(Sens!D11946+Sens!E11946)/2*rent_mw/1000</f>
        <v>4.22275</v>
      </c>
      <c r="F11965" s="6" t="n">
        <f aca="false">(Sens!E11946+Sens!F11946)/2*rent_mw/1000</f>
        <v>5.80517</v>
      </c>
      <c r="G11965" s="6" t="n">
        <f aca="false">(Sens!F11946+Sens!G11946)/2*rent_mw/1000</f>
        <v>6.72084</v>
      </c>
      <c r="H11965" s="6" t="n">
        <f aca="false">(Sens!G11946+Sens!H11946)/2*rent_mw/1000</f>
        <v>6.72084</v>
      </c>
      <c r="I11965" s="6" t="n">
        <f aca="false">(Sens!H11946+Sens!I11946)/2*rent_mw/1000</f>
        <v>6.72084</v>
      </c>
      <c r="J11965" s="6" t="n">
        <f aca="false">(Sens!I11946+Sens!J11946)/2*rent_mw/1000</f>
        <v>6.72084</v>
      </c>
      <c r="K11965" s="6" t="n">
        <f aca="false">(Sens!J11946+Sens!K11946)/2*rent_mw/1000</f>
        <v>6.72084</v>
      </c>
    </row>
    <row r="11966" customFormat="false" ht="17.15" hidden="false" customHeight="false" outlineLevel="0" collapsed="false">
      <c r="A11966" s="0" t="s">
        <v>986</v>
      </c>
      <c r="B11966" s="0" t="s">
        <v>98</v>
      </c>
      <c r="D11966" s="6" t="n">
        <f aca="false">(Sens!C11948+Sens!D11948)/2*(1-self_build)*fac_rent/1000</f>
        <v>0.853242375631075</v>
      </c>
      <c r="E11966" s="6" t="n">
        <f aca="false">(Sens!D11948+Sens!E11948)/2*(1-self_build)*fac_rent/1000</f>
        <v>1.94955961408728</v>
      </c>
      <c r="F11966" s="6" t="n">
        <f aca="false">(Sens!E11948+Sens!F11948)/2*(1-self_build)*fac_rent/1000</f>
        <v>3.92914894476356</v>
      </c>
      <c r="G11966" s="6" t="n">
        <f aca="false">(Sens!F11948+Sens!G11948)/2*(1-self_build)*fac_rent/1000</f>
        <v>6.53206908578159</v>
      </c>
      <c r="H11966" s="6" t="n">
        <f aca="false">(Sens!G11948+Sens!H11948)/2*(1-self_build)*fac_rent/1000</f>
        <v>9.23717988341591</v>
      </c>
      <c r="I11966" s="6" t="n">
        <f aca="false">(Sens!H11948+Sens!I11948)/2*(1-self_build)*fac_rent/1000</f>
        <v>11.5481378557393</v>
      </c>
      <c r="J11966" s="6" t="n">
        <f aca="false">(Sens!I11948+Sens!J11948)/2*(1-self_build)*fac_rent/1000</f>
        <v>13.0899582289108</v>
      </c>
      <c r="K11966" s="6" t="n">
        <f aca="false">(Sens!J11948+Sens!K11948)/2*(1-self_build)*fac_rent/1000</f>
        <v>13.8897275626556</v>
      </c>
      <c r="L11966" s="12" t="s">
        <v>987</v>
      </c>
    </row>
    <row r="11967" customFormat="false" ht="17.15" hidden="false" customHeight="false" outlineLevel="0" collapsed="false">
      <c r="A11967" s="1" t="s">
        <v>988</v>
      </c>
      <c r="B11967" s="0" t="s">
        <v>168</v>
      </c>
      <c r="D11967" s="7" t="n">
        <f aca="false">(Sens!C11947+Sens!D11947)/(Sens!C11948+Sens!D11948)</f>
        <v>0.6</v>
      </c>
      <c r="E11967" s="7" t="n">
        <f aca="false">(Sens!D11947+Sens!E11947)/(Sens!D11948+Sens!E11948)</f>
        <v>0.6</v>
      </c>
      <c r="F11967" s="7" t="n">
        <f aca="false">(Sens!E11947+Sens!F11947)/(Sens!E11948+Sens!F11948)</f>
        <v>0.6</v>
      </c>
      <c r="G11967" s="7" t="n">
        <f aca="false">(Sens!F11947+Sens!G11947)/(Sens!F11948+Sens!G11948)</f>
        <v>0.6</v>
      </c>
      <c r="H11967" s="7" t="n">
        <f aca="false">(Sens!G11947+Sens!H11947)/(Sens!G11948+Sens!H11948)</f>
        <v>0.6</v>
      </c>
      <c r="I11967" s="7" t="n">
        <f aca="false">(Sens!H11947+Sens!I11947)/(Sens!H11948+Sens!I11948)</f>
        <v>0.6</v>
      </c>
      <c r="J11967" s="7" t="n">
        <f aca="false">(Sens!I11947+Sens!J11947)/(Sens!I11948+Sens!J11948)</f>
        <v>0.6</v>
      </c>
      <c r="K11967" s="7" t="n">
        <f aca="false">(Sens!J11947+Sens!K11947)/(Sens!J11948+Sens!K11948)</f>
        <v>0.6</v>
      </c>
    </row>
    <row r="11968" customFormat="false" ht="17.15" hidden="false" customHeight="false" outlineLevel="0" collapsed="false">
      <c r="A11968" s="0" t="s">
        <v>989</v>
      </c>
      <c r="B11968" s="0" t="s">
        <v>98</v>
      </c>
      <c r="D11968" s="6" t="n">
        <f aca="false">Sens!D11962-Sens!D11967*(Sens!D11964+Sens!D11966)-Sens!D11965</f>
        <v>8.35701406163072</v>
      </c>
      <c r="E11968" s="6" t="n">
        <f aca="false">Sens!E11962-Sens!E11967*(Sens!E11964+Sens!E11966)-Sens!E11965</f>
        <v>18.7103224860238</v>
      </c>
      <c r="F11968" s="6" t="n">
        <f aca="false">Sens!F11962-Sens!F11967*(Sens!F11964+Sens!F11966)-Sens!F11965</f>
        <v>35.0947222830189</v>
      </c>
      <c r="G11968" s="6" t="n">
        <f aca="false">Sens!G11962-Sens!G11967*(Sens!G11964+Sens!G11966)-Sens!G11965</f>
        <v>52.9609920712477</v>
      </c>
      <c r="H11968" s="6" t="n">
        <f aca="false">Sens!H11962-Sens!H11967*(Sens!H11964+Sens!H11966)-Sens!H11965</f>
        <v>66.4405822844005</v>
      </c>
      <c r="I11968" s="6" t="n">
        <f aca="false">Sens!I11962-Sens!I11967*(Sens!I11964+Sens!I11966)-Sens!I11965</f>
        <v>84.7749393938279</v>
      </c>
      <c r="J11968" s="6" t="n">
        <f aca="false">Sens!J11962-Sens!J11967*(Sens!J11964+Sens!J11966)-Sens!J11965</f>
        <v>97.6526264137382</v>
      </c>
      <c r="K11968" s="6" t="n">
        <f aca="false">Sens!K11962-Sens!K11967*(Sens!K11964+Sens!K11966)-Sens!K11965</f>
        <v>105.965358412527</v>
      </c>
    </row>
    <row r="11969" customFormat="false" ht="17.15" hidden="false" customHeight="false" outlineLevel="0" collapsed="false">
      <c r="A11969" s="1" t="s">
        <v>990</v>
      </c>
      <c r="B11969" s="0" t="s">
        <v>98</v>
      </c>
      <c r="D11969" s="6" t="n">
        <f aca="false">(1-Sens!D11967)*(Sens!D11964+Sens!D11966)</f>
        <v>1.42281025374069</v>
      </c>
      <c r="E11969" s="6" t="n">
        <f aca="false">(1-Sens!E11967)*(Sens!E11964+Sens!E11966)</f>
        <v>3.25095598674472</v>
      </c>
      <c r="F11969" s="6" t="n">
        <f aca="false">(1-Sens!F11967)*(Sens!F11964+Sens!F11966)</f>
        <v>6.72135810147489</v>
      </c>
      <c r="G11969" s="6" t="n">
        <f aca="false">(1-Sens!G11967)*(Sens!G11964+Sens!G11966)</f>
        <v>11.3401410201637</v>
      </c>
      <c r="H11969" s="6" t="n">
        <f aca="false">(1-Sens!H11967)*(Sens!H11964+Sens!H11966)</f>
        <v>16.1920771049557</v>
      </c>
      <c r="I11969" s="6" t="n">
        <f aca="false">(1-Sens!I11967)*(Sens!I11964+Sens!I11966)</f>
        <v>20.3917774400264</v>
      </c>
      <c r="J11969" s="6" t="n">
        <f aca="false">(1-Sens!J11967)*(Sens!J11964+Sens!J11966)</f>
        <v>23.2503960207104</v>
      </c>
      <c r="K11969" s="6" t="n">
        <f aca="false">(1-Sens!K11967)*(Sens!K11964+Sens!K11966)</f>
        <v>24.8730801087085</v>
      </c>
    </row>
    <row r="11970" customFormat="false" ht="17.15" hidden="false" customHeight="false" outlineLevel="0" collapsed="false">
      <c r="A11970" s="1" t="s">
        <v>991</v>
      </c>
      <c r="B11970" s="0" t="s">
        <v>417</v>
      </c>
      <c r="C11970" s="8" t="n">
        <f aca="false">cxit_open</f>
        <v>27.5918995</v>
      </c>
      <c r="D11970" s="8" t="n">
        <f aca="false">cxit_open</f>
        <v>27.5918995</v>
      </c>
      <c r="E11970" s="8" t="n">
        <f aca="false">cxit_open</f>
        <v>27.5918995</v>
      </c>
      <c r="F11970" s="8" t="n">
        <f aca="false">((a_g3_27-nonnv*a_mai)*tk_cxit_gb300+nonnv*a_mai*nv_hold_mai*tk_cxit_vr200+(1-a_g3_27)*tk_cxit_vr200)</f>
        <v>32.4975576</v>
      </c>
      <c r="G11970" s="8" t="n">
        <f aca="false">((a_g3_28-nonnv*a_mai)*tk_cxit_gb300+nonnv*a_mai*nv_hold_mai*tk_cxit_vr200+(1-a_g3_28)*tk_cxit_vr200)</f>
        <v>34.6372088</v>
      </c>
      <c r="H11970" s="8" t="n">
        <f aca="false">((a_g3_29-nonnv*a_mai)*tk_cxit_gb300+nonnv*a_mai*nv_hold_mai*tk_cxit_vr200+(1-a_g3_29)*tk_cxit_vr200)</f>
        <v>35.7070344</v>
      </c>
      <c r="I11970" s="8" t="n">
        <f aca="false">((a_g3_29-nonnv*a_mai)*tk_cxit_gb300+nonnv*a_mai*nv_hold_mai*tk_cxit_vr200+(1-a_g3_29)*tk_cxit_vr200)</f>
        <v>35.7070344</v>
      </c>
      <c r="J11970" s="8" t="n">
        <f aca="false">((a_g3_29-nonnv*a_mai)*tk_cxit_gb300+nonnv*a_mai*nv_hold_mai*tk_cxit_vr200+(1-a_g3_29)*tk_cxit_vr200)</f>
        <v>35.7070344</v>
      </c>
      <c r="K11970" s="8" t="n">
        <f aca="false">((a_g3_29-nonnv*a_mai)*tk_cxit_gb300+nonnv*a_mai*nv_hold_mai*tk_cxit_vr200+(1-a_g3_29)*tk_cxit_vr200)</f>
        <v>35.7070344</v>
      </c>
      <c r="L11970" s="12" t="s">
        <v>992</v>
      </c>
    </row>
    <row r="11971" customFormat="false" ht="17.15" hidden="false" customHeight="false" outlineLevel="0" collapsed="false">
      <c r="A11971" s="0" t="s">
        <v>993</v>
      </c>
      <c r="B11971" s="0" t="s">
        <v>459</v>
      </c>
      <c r="F11971" s="30" t="n">
        <f aca="false">Sens!C11950*IF(Sens!F11943-Sens!C11943=life_it,1,0)+Sens!D11950*IF(Sens!F11943-Sens!D11943=life_it,1,0)+Sens!E11950*IF(Sens!F11943-Sens!E11943=life_it,1,0)</f>
        <v>0</v>
      </c>
      <c r="G11971" s="30" t="n">
        <f aca="false">Sens!C11950*IF(Sens!G11943-Sens!C11943=life_it,1,0)+Sens!D11950*IF(Sens!G11943-Sens!D11943=life_it,1,0)+Sens!E11950*IF(Sens!G11943-Sens!E11943=life_it,1,0)+Sens!F11950*IF(Sens!G11943-Sens!F11943=life_it,1,0)</f>
        <v>0</v>
      </c>
      <c r="H11971" s="30" t="n">
        <f aca="false">Sens!C11950*IF(Sens!H11943-Sens!C11943=life_it,1,0)+Sens!D11950*IF(Sens!H11943-Sens!D11943=life_it,1,0)+Sens!E11950*IF(Sens!H11943-Sens!E11943=life_it,1,0)+Sens!F11950*IF(Sens!H11943-Sens!F11943=life_it,1,0)+Sens!G11950*IF(Sens!H11943-Sens!G11943=life_it,1,0)</f>
        <v>0</v>
      </c>
      <c r="I11971" s="30" t="n">
        <f aca="false">Sens!C11950*IF(Sens!I11943-Sens!C11943=life_it,1,0)+Sens!D11950*IF(Sens!I11943-Sens!D11943=life_it,1,0)+Sens!E11950*IF(Sens!I11943-Sens!E11943=life_it,1,0)+Sens!F11950*IF(Sens!I11943-Sens!F11943=life_it,1,0)+Sens!G11950*IF(Sens!I11943-Sens!G11943=life_it,1,0)+Sens!H11950*IF(Sens!I11943-Sens!H11943=life_it,1,0)</f>
        <v>816.666666666667</v>
      </c>
      <c r="J11971" s="30" t="n">
        <f aca="false">Sens!C11950*IF(Sens!J11943-Sens!C11943=life_it,1,0)+Sens!D11950*IF(Sens!J11943-Sens!D11943=life_it,1,0)+Sens!E11950*IF(Sens!J11943-Sens!E11943=life_it,1,0)+Sens!F11950*IF(Sens!J11943-Sens!F11943=life_it,1,0)+Sens!G11950*IF(Sens!J11943-Sens!G11943=life_it,1,0)+Sens!H11950*IF(Sens!J11943-Sens!H11943=life_it,1,0)+Sens!I11950*IF(Sens!J11943-Sens!I11943=life_it,1,0)</f>
        <v>1233.33333333333</v>
      </c>
      <c r="K11971" s="30" t="n">
        <f aca="false">Sens!C11950*IF(Sens!K11943-Sens!C11943=life_it,1,0)+Sens!D11950*IF(Sens!K11943-Sens!D11943=life_it,1,0)+Sens!E11950*IF(Sens!K11943-Sens!E11943=life_it,1,0)+Sens!F11950*IF(Sens!K11943-Sens!F11943=life_it,1,0)+Sens!G11950*IF(Sens!K11943-Sens!G11943=life_it,1,0)+Sens!H11950*IF(Sens!K11943-Sens!H11943=life_it,1,0)+Sens!I11950*IF(Sens!K11943-Sens!I11943=life_it,1,0)+Sens!J11950*IF(Sens!K11943-Sens!J11943=life_it,1,0)</f>
        <v>2450</v>
      </c>
      <c r="L11971" s="1" t="s">
        <v>994</v>
      </c>
    </row>
    <row r="11972" customFormat="false" ht="17.15" hidden="false" customHeight="false" outlineLevel="0" collapsed="false">
      <c r="A11972" s="0" t="s">
        <v>995</v>
      </c>
      <c r="B11972" s="0" t="s">
        <v>98</v>
      </c>
      <c r="C11972" s="6" t="n">
        <f aca="false">Sens!C11950*Sens!C11970/1000</f>
        <v>22.5333845916667</v>
      </c>
      <c r="D11972" s="6" t="n">
        <f aca="false">Sens!D11950*Sens!D11970/1000</f>
        <v>34.0300093833333</v>
      </c>
      <c r="E11972" s="6" t="n">
        <f aca="false">Sens!E11950*Sens!E11970/1000</f>
        <v>67.600153775</v>
      </c>
      <c r="F11972" s="6" t="n">
        <f aca="false">(Sens!F11950+Sens!F11971)*Sens!F11970/1000</f>
        <v>136.51872432512</v>
      </c>
      <c r="G11972" s="6" t="n">
        <f aca="false">(Sens!G11950+Sens!G11971)*Sens!G11970/1000</f>
        <v>157.399275932048</v>
      </c>
      <c r="H11972" s="6" t="n">
        <f aca="false">(Sens!H11950+Sens!H11971)*Sens!H11970/1000</f>
        <v>162.260804347512</v>
      </c>
      <c r="I11972" s="6" t="n">
        <f aca="false">(Sens!I11950+Sens!I11971)*Sens!I11970/1000</f>
        <v>144.136569485434</v>
      </c>
      <c r="J11972" s="6" t="n">
        <f aca="false">(Sens!J11950+Sens!J11971)*Sens!J11970/1000</f>
        <v>114.029037357864</v>
      </c>
      <c r="K11972" s="6" t="n">
        <f aca="false">(Sens!K11950+Sens!K11971)*Sens!K11970/1000</f>
        <v>113.437085350975</v>
      </c>
    </row>
    <row r="11973" customFormat="false" ht="17.15" hidden="false" customHeight="false" outlineLevel="0" collapsed="false">
      <c r="A11973" s="0" t="s">
        <v>996</v>
      </c>
      <c r="B11973" s="0" t="s">
        <v>98</v>
      </c>
      <c r="C11973" s="6" t="n">
        <f aca="false">Sens!C11950*self_build*tk_cxfac/1000</f>
        <v>6.2083</v>
      </c>
      <c r="D11973" s="6" t="n">
        <f aca="false">Sens!D11950*self_build*tk_cxfac/1000</f>
        <v>9.3758</v>
      </c>
      <c r="E11973" s="6" t="n">
        <f aca="false">Sens!E11950*self_build*tk_cxfac/1000</f>
        <v>18.6249</v>
      </c>
      <c r="F11973" s="6" t="n">
        <f aca="false">Sens!F11950*self_build*tk_cxfac/1000</f>
        <v>31.935179717</v>
      </c>
      <c r="G11973" s="6" t="n">
        <f aca="false">Sens!G11950*self_build*tk_cxfac/1000</f>
        <v>34.545199717</v>
      </c>
      <c r="H11973" s="6" t="n">
        <f aca="false">Sens!H11950*self_build*tk_cxfac/1000</f>
        <v>34.545199717</v>
      </c>
      <c r="I11973" s="6" t="n">
        <f aca="false">Sens!I11950*self_build*tk_cxfac/1000</f>
        <v>24.4782641361767</v>
      </c>
      <c r="J11973" s="6" t="n">
        <f aca="false">Sens!J11950*self_build*tk_cxfac/1000</f>
        <v>14.9008938380769</v>
      </c>
      <c r="K11973" s="6" t="n">
        <f aca="false">Sens!K11950*self_build*tk_cxfac/1000</f>
        <v>5.52576771375761</v>
      </c>
    </row>
    <row r="11974" customFormat="false" ht="17.15" hidden="false" customHeight="false" outlineLevel="0" collapsed="false">
      <c r="A11974" s="0" t="s">
        <v>997</v>
      </c>
      <c r="B11974" s="0" t="s">
        <v>98</v>
      </c>
      <c r="F11974" s="15" t="n">
        <f aca="false">capex_floor27-Sens!F11972-Sens!F11973-Sens!F12070</f>
        <v>-0.0767067154216008</v>
      </c>
      <c r="L11974" s="12" t="s">
        <v>998</v>
      </c>
    </row>
    <row r="11975" customFormat="false" ht="17.15" hidden="false" customHeight="false" outlineLevel="0" collapsed="false">
      <c r="A11975" s="0" t="s">
        <v>999</v>
      </c>
      <c r="B11975" s="0" t="s">
        <v>98</v>
      </c>
      <c r="F11975" s="6" t="n">
        <f aca="false">MAX(0,Sens!F11974)</f>
        <v>0</v>
      </c>
    </row>
    <row r="11976" customFormat="false" ht="17.15" hidden="false" customHeight="false" outlineLevel="0" collapsed="false">
      <c r="A11976" s="0" t="s">
        <v>1000</v>
      </c>
      <c r="B11976" s="0" t="s">
        <v>98</v>
      </c>
      <c r="C11976" s="6" t="n">
        <f aca="false">Sens!C11972</f>
        <v>22.5333845916667</v>
      </c>
      <c r="D11976" s="6" t="n">
        <f aca="false">Sens!D11972</f>
        <v>34.0300093833333</v>
      </c>
      <c r="E11976" s="6" t="n">
        <f aca="false">Sens!E11972</f>
        <v>67.600153775</v>
      </c>
      <c r="F11976" s="6" t="n">
        <f aca="false">Sens!F11972</f>
        <v>136.51872432512</v>
      </c>
      <c r="G11976" s="6" t="n">
        <f aca="false">Sens!G11972</f>
        <v>157.399275932048</v>
      </c>
      <c r="H11976" s="6" t="n">
        <f aca="false">Sens!H11972</f>
        <v>162.260804347512</v>
      </c>
      <c r="I11976" s="6" t="n">
        <f aca="false">Sens!I11972</f>
        <v>144.136569485434</v>
      </c>
      <c r="J11976" s="6" t="n">
        <f aca="false">Sens!J11972</f>
        <v>114.029037357864</v>
      </c>
      <c r="K11976" s="6" t="n">
        <f aca="false">Sens!K11972</f>
        <v>113.437085350975</v>
      </c>
    </row>
    <row r="11977" customFormat="false" ht="17.15" hidden="false" customHeight="false" outlineLevel="0" collapsed="false">
      <c r="A11977" s="0" t="s">
        <v>1001</v>
      </c>
      <c r="B11977" s="0" t="s">
        <v>98</v>
      </c>
      <c r="C11977" s="6" t="n">
        <f aca="false">Sens!C11976+Sens!C11973</f>
        <v>28.7416845916667</v>
      </c>
      <c r="D11977" s="6" t="n">
        <f aca="false">Sens!D11976+Sens!D11973</f>
        <v>43.4058093833333</v>
      </c>
      <c r="E11977" s="6" t="n">
        <f aca="false">Sens!E11976+Sens!E11973</f>
        <v>86.225053775</v>
      </c>
      <c r="F11977" s="6" t="n">
        <f aca="false">Sens!F11976+Sens!F11973</f>
        <v>168.45390404212</v>
      </c>
      <c r="G11977" s="6" t="n">
        <f aca="false">Sens!G11976+Sens!G11973</f>
        <v>191.944475649048</v>
      </c>
      <c r="H11977" s="6" t="n">
        <f aca="false">Sens!H11976+Sens!H11973</f>
        <v>196.806004064512</v>
      </c>
      <c r="I11977" s="6" t="n">
        <f aca="false">Sens!I11976+Sens!I11973</f>
        <v>168.61483362161</v>
      </c>
      <c r="J11977" s="6" t="n">
        <f aca="false">Sens!J11976+Sens!J11973</f>
        <v>128.92993119594</v>
      </c>
      <c r="K11977" s="6" t="n">
        <f aca="false">Sens!K11976+Sens!K11973</f>
        <v>118.962853064733</v>
      </c>
      <c r="L11977" s="12" t="s">
        <v>1002</v>
      </c>
    </row>
    <row r="11978" customFormat="false" ht="17.15" hidden="false" customHeight="false" outlineLevel="0" collapsed="false">
      <c r="A11978" s="0" t="s">
        <v>1003</v>
      </c>
      <c r="B11978" s="0" t="s">
        <v>98</v>
      </c>
      <c r="E11978" s="6" t="n">
        <f aca="false">(Sens!C11976*IF(2&lt;life_it,1,IF(2=life_it,0.5,0))+Sens!D11976*IF(1&lt;life_it,1,IF(1=life_it,0.5,0))+Sens!E11976*0.5)/life_it</f>
        <v>15.0605784770833</v>
      </c>
      <c r="F11978" s="6" t="n">
        <f aca="false">(Sens!C11976*IF(3&lt;life_it,1,IF(3=life_it,0.5,0))+Sens!D11976*IF(2&lt;life_it,1,IF(2=life_it,0.5,0))+Sens!E11976*IF(1&lt;life_it,1,IF(1=life_it,0.5,0))+Sens!F11976*0.5)/life_it</f>
        <v>32.0704849854266</v>
      </c>
      <c r="G11978" s="6" t="n">
        <f aca="false">(Sens!C11976*IF(4&lt;life_it,1,IF(4=life_it,0.5,0))+Sens!D11976*IF(3&lt;life_it,1,IF(3=life_it,0.5,0))+Sens!E11976*IF(2&lt;life_it,1,IF(2=life_it,0.5,0))+Sens!F11976*IF(1&lt;life_it,1,IF(1=life_it,0.5,0))+Sens!G11976*0.5)/life_it</f>
        <v>56.5636516735239</v>
      </c>
      <c r="H11978" s="6" t="n">
        <f aca="false">(Sens!C11976*IF(5&lt;life_it,1,IF(5=life_it,0.5,0))+Sens!D11976*IF(4&lt;life_it,1,IF(4=life_it,0.5,0))+Sens!E11976*IF(3&lt;life_it,1,IF(3=life_it,0.5,0))+Sens!F11976*IF(2&lt;life_it,1,IF(2=life_it,0.5,0))+Sens!G11976*IF(1&lt;life_it,1,IF(1=life_it,0.5,0))+Sens!H11976*0.5)/life_it</f>
        <v>83.2019916968207</v>
      </c>
      <c r="I11978" s="6" t="n">
        <f aca="false">(Sens!C11976*IF(6&lt;life_it,1,IF(6=life_it,0.5,0))+Sens!D11976*IF(5&lt;life_it,1,IF(5=life_it,0.5,0))+Sens!E11976*IF(4&lt;life_it,1,IF(4=life_it,0.5,0))+Sens!F11976*IF(3&lt;life_it,1,IF(3=life_it,0.5,0))+Sens!G11976*IF(2&lt;life_it,1,IF(2=life_it,0.5,0))+Sens!H11976*IF(1&lt;life_it,1,IF(1=life_it,0.5,0))+Sens!I11976*0.5)/life_it</f>
        <v>106.857324133594</v>
      </c>
      <c r="J11978" s="6" t="n">
        <f aca="false">(Sens!C11976*IF(7&lt;life_it,1,IF(7=life_it,0.5,0))+Sens!D11976*IF(6&lt;life_it,1,IF(6=life_it,0.5,0))+Sens!E11976*IF(5&lt;life_it,1,IF(5=life_it,0.5,0))+Sens!F11976*IF(4&lt;life_it,1,IF(4=life_it,0.5,0))+Sens!G11976*IF(3&lt;life_it,1,IF(3=life_it,0.5,0))+Sens!H11976*IF(2&lt;life_it,1,IF(2=life_it,0.5,0))+Sens!I11976*IF(1&lt;life_it,1,IF(1=life_it,0.5,0))+Sens!J11976*0.5)/life_it</f>
        <v>123.657508539285</v>
      </c>
      <c r="K11978" s="6" t="n">
        <f aca="false">(Sens!C11976*IF(8&lt;life_it,1,IF(8=life_it,0.5,0))+Sens!D11976*IF(7&lt;life_it,1,IF(7=life_it,0.5,0))+Sens!E11976*IF(6&lt;life_it,1,IF(6=life_it,0.5,0))+Sens!F11976*IF(5&lt;life_it,1,IF(5=life_it,0.5,0))+Sens!G11976*IF(4&lt;life_it,1,IF(4=life_it,0.5,0))+Sens!H11976*IF(3&lt;life_it,1,IF(3=life_it,0.5,0))+Sens!I11976*IF(2&lt;life_it,1,IF(2=life_it,0.5,0))+Sens!J11976*IF(1&lt;life_it,1,IF(1=life_it,0.5,0))+Sens!K11976*0.5)/life_it</f>
        <v>134.143838501827</v>
      </c>
    </row>
    <row r="11979" customFormat="false" ht="17.15" hidden="false" customHeight="false" outlineLevel="0" collapsed="false">
      <c r="A11979" s="0" t="s">
        <v>1004</v>
      </c>
      <c r="B11979" s="0" t="s">
        <v>98</v>
      </c>
      <c r="E11979" s="6" t="n">
        <f aca="false">(Sens!C11973*IF(2&lt;life_fac,1,IF(2=life_fac,0.5,0))+Sens!D11973*IF(1&lt;life_fac,1,IF(1=life_fac,0.5,0))+Sens!E11973*0.5)/life_fac</f>
        <v>1.2448275</v>
      </c>
      <c r="F11979" s="6" t="n">
        <f aca="false">(Sens!C11973*IF(3&lt;life_fac,1,IF(3=life_fac,0.5,0))+Sens!D11973*IF(2&lt;life_fac,1,IF(2=life_fac,0.5,0))+Sens!E11973*IF(1&lt;life_fac,1,IF(1=life_fac,0.5,0))+Sens!F11973*0.5)/life_fac</f>
        <v>2.508829492925</v>
      </c>
      <c r="G11979" s="6" t="n">
        <f aca="false">(Sens!C11973*IF(4&lt;life_fac,1,IF(4=life_fac,0.5,0))+Sens!D11973*IF(3&lt;life_fac,1,IF(3=life_fac,0.5,0))+Sens!E11973*IF(2&lt;life_fac,1,IF(2=life_fac,0.5,0))+Sens!F11973*IF(1&lt;life_fac,1,IF(1=life_fac,0.5,0))+Sens!G11973*0.5)/life_fac</f>
        <v>4.170838978775</v>
      </c>
      <c r="H11979" s="6" t="n">
        <f aca="false">(Sens!C11973*IF(5&lt;life_fac,1,IF(5=life_fac,0.5,0))+Sens!D11973*IF(4&lt;life_fac,1,IF(4=life_fac,0.5,0))+Sens!E11973*IF(3&lt;life_fac,1,IF(3=life_fac,0.5,0))+Sens!F11973*IF(2&lt;life_fac,1,IF(2=life_fac,0.5,0))+Sens!G11973*IF(1&lt;life_fac,1,IF(1=life_fac,0.5,0))+Sens!H11973*0.5)/life_fac</f>
        <v>5.898098964625</v>
      </c>
      <c r="I11979" s="6" t="n">
        <f aca="false">(Sens!C11973*IF(6&lt;life_fac,1,IF(6=life_fac,0.5,0))+Sens!D11973*IF(5&lt;life_fac,1,IF(5=life_fac,0.5,0))+Sens!E11973*IF(4&lt;life_fac,1,IF(4=life_fac,0.5,0))+Sens!F11973*IF(3&lt;life_fac,1,IF(3=life_fac,0.5,0))+Sens!G11973*IF(2&lt;life_fac,1,IF(2=life_fac,0.5,0))+Sens!H11973*IF(1&lt;life_fac,1,IF(1=life_fac,0.5,0))+Sens!I11973*0.5)/life_fac</f>
        <v>7.37368556095442</v>
      </c>
      <c r="J11979" s="6" t="n">
        <f aca="false">(Sens!C11973*IF(7&lt;life_fac,1,IF(7=life_fac,0.5,0))+Sens!D11973*IF(6&lt;life_fac,1,IF(6=life_fac,0.5,0))+Sens!E11973*IF(5&lt;life_fac,1,IF(5=life_fac,0.5,0))+Sens!F11973*IF(4&lt;life_fac,1,IF(4=life_fac,0.5,0))+Sens!G11973*IF(3&lt;life_fac,1,IF(3=life_fac,0.5,0))+Sens!H11973*IF(2&lt;life_fac,1,IF(2=life_fac,0.5,0))+Sens!I11973*IF(1&lt;life_fac,1,IF(1=life_fac,0.5,0))+Sens!J11973*0.5)/life_fac</f>
        <v>8.35816451031075</v>
      </c>
      <c r="K11979" s="6" t="n">
        <f aca="false">(Sens!C11973*IF(8&lt;life_fac,1,IF(8=life_fac,0.5,0))+Sens!D11973*IF(7&lt;life_fac,1,IF(7=life_fac,0.5,0))+Sens!E11973*IF(6&lt;life_fac,1,IF(6=life_fac,0.5,0))+Sens!F11973*IF(5&lt;life_fac,1,IF(5=life_fac,0.5,0))+Sens!G11973*IF(4&lt;life_fac,1,IF(4=life_fac,0.5,0))+Sens!H11973*IF(3&lt;life_fac,1,IF(3=life_fac,0.5,0))+Sens!I11973*IF(2&lt;life_fac,1,IF(2=life_fac,0.5,0))+Sens!J11973*IF(1&lt;life_fac,1,IF(1=life_fac,0.5,0))+Sens!K11973*0.5)/life_fac</f>
        <v>8.86883104910662</v>
      </c>
    </row>
    <row r="11980" customFormat="false" ht="17.15" hidden="false" customHeight="false" outlineLevel="0" collapsed="false">
      <c r="A11980" s="0" t="s">
        <v>1005</v>
      </c>
      <c r="B11980" s="0" t="s">
        <v>98</v>
      </c>
      <c r="E11980" s="6" t="n">
        <f aca="false">Sens!E11978+Sens!E11979</f>
        <v>16.3054059770833</v>
      </c>
      <c r="F11980" s="6" t="n">
        <f aca="false">Sens!F11978+Sens!F11979</f>
        <v>34.5793144783516</v>
      </c>
      <c r="G11980" s="6" t="n">
        <f aca="false">Sens!G11978+Sens!G11979</f>
        <v>60.7344906522989</v>
      </c>
      <c r="H11980" s="6" t="n">
        <f aca="false">Sens!H11978+Sens!H11979</f>
        <v>89.1000906614457</v>
      </c>
      <c r="I11980" s="6" t="n">
        <f aca="false">Sens!I11978+Sens!I11979</f>
        <v>114.231009694548</v>
      </c>
      <c r="J11980" s="6" t="n">
        <f aca="false">Sens!J11978+Sens!J11979</f>
        <v>132.015673049596</v>
      </c>
      <c r="K11980" s="6" t="n">
        <f aca="false">Sens!K11978+Sens!K11979</f>
        <v>143.012669550934</v>
      </c>
    </row>
    <row r="11981" customFormat="false" ht="17.15" hidden="false" customHeight="false" outlineLevel="0" collapsed="false">
      <c r="A11981" s="0" t="s">
        <v>1006</v>
      </c>
      <c r="B11981" s="0" t="s">
        <v>98</v>
      </c>
      <c r="E11981" s="6" t="n">
        <f aca="false">Sens!E11968-Sens!E11967*Sens!E11980</f>
        <v>8.92707889977379</v>
      </c>
      <c r="F11981" s="6" t="n">
        <f aca="false">Sens!F11968-Sens!F11967*Sens!F11980</f>
        <v>14.3471335960079</v>
      </c>
      <c r="G11981" s="6" t="n">
        <f aca="false">Sens!G11968-Sens!G11967*Sens!G11980</f>
        <v>16.5202976798683</v>
      </c>
      <c r="H11981" s="6" t="n">
        <f aca="false">Sens!H11968-Sens!H11967*Sens!H11980</f>
        <v>12.9805278875331</v>
      </c>
      <c r="I11981" s="6" t="n">
        <f aca="false">Sens!I11968-Sens!I11967*Sens!I11980</f>
        <v>16.2363335770989</v>
      </c>
      <c r="J11981" s="6" t="n">
        <f aca="false">Sens!J11968-Sens!J11967*Sens!J11980</f>
        <v>18.4432225839805</v>
      </c>
      <c r="K11981" s="6" t="n">
        <f aca="false">Sens!K11968-Sens!K11967*Sens!K11980</f>
        <v>20.1577566819661</v>
      </c>
    </row>
    <row r="11982" customFormat="false" ht="17.15" hidden="false" customHeight="false" outlineLevel="0" collapsed="false">
      <c r="A11982" s="3" t="s">
        <v>1911</v>
      </c>
    </row>
    <row r="11983" customFormat="false" ht="15" hidden="false" customHeight="false" outlineLevel="0" collapsed="false">
      <c r="A11983" s="4" t="s">
        <v>43</v>
      </c>
      <c r="B11983" s="4" t="s">
        <v>65</v>
      </c>
      <c r="C11983" s="23" t="s">
        <v>942</v>
      </c>
      <c r="D11983" s="23" t="s">
        <v>943</v>
      </c>
      <c r="E11983" s="23" t="s">
        <v>944</v>
      </c>
      <c r="F11983" s="23" t="s">
        <v>945</v>
      </c>
      <c r="G11983" s="23" t="s">
        <v>946</v>
      </c>
      <c r="H11983" s="23" t="s">
        <v>947</v>
      </c>
      <c r="I11983" s="23" t="s">
        <v>948</v>
      </c>
      <c r="J11983" s="23" t="s">
        <v>949</v>
      </c>
      <c r="K11983" s="23" t="s">
        <v>950</v>
      </c>
      <c r="L11983" s="4" t="s">
        <v>47</v>
      </c>
    </row>
    <row r="11984" customFormat="false" ht="17.15" hidden="false" customHeight="false" outlineLevel="0" collapsed="false">
      <c r="A11984" s="0" t="s">
        <v>1025</v>
      </c>
      <c r="B11984" s="0" t="s">
        <v>98</v>
      </c>
      <c r="D11984" s="6" t="n">
        <f aca="false">Sens!D11962</f>
        <v>12.9359794422418</v>
      </c>
      <c r="E11984" s="6" t="n">
        <f aca="false">Sens!E11962</f>
        <v>27.8095064661409</v>
      </c>
      <c r="F11984" s="6" t="n">
        <f aca="false">Sens!F11962</f>
        <v>50.9819294352312</v>
      </c>
      <c r="G11984" s="6" t="n">
        <f aca="false">Sens!G11962</f>
        <v>76.6920436014933</v>
      </c>
      <c r="H11984" s="6" t="n">
        <f aca="false">Sens!H11962</f>
        <v>97.4495379418341</v>
      </c>
      <c r="I11984" s="6" t="n">
        <f aca="false">Sens!I11962</f>
        <v>122.083445553868</v>
      </c>
      <c r="J11984" s="6" t="n">
        <f aca="false">Sens!J11962</f>
        <v>139.249060444804</v>
      </c>
      <c r="K11984" s="6" t="n">
        <f aca="false">Sens!K11962</f>
        <v>149.995818575589</v>
      </c>
    </row>
    <row r="11985" customFormat="false" ht="17.15" hidden="false" customHeight="false" outlineLevel="0" collapsed="false">
      <c r="A11985" s="0" t="s">
        <v>1026</v>
      </c>
      <c r="B11985" s="0" t="s">
        <v>98</v>
      </c>
      <c r="D11985" s="6" t="n">
        <f aca="false">Q!L6-Sens!D11984</f>
        <v>59.6740205577583</v>
      </c>
      <c r="E11985" s="6" t="n">
        <f aca="false">Q!M6-Sens!E11984</f>
        <v>74.1284935338591</v>
      </c>
      <c r="F11985" s="6" t="n">
        <f aca="false">Q!$I$6+(Sens!F11984+Sens!E11985*(1+Sens!F11986))*(1-Q!$E$6/Q!M6)-Sens!F11984</f>
        <v>92.2699541184664</v>
      </c>
      <c r="G11985" s="6" t="n">
        <f aca="false">Sens!F11985*(1+Sens!G11986)</f>
        <v>109.630477277949</v>
      </c>
      <c r="H11985" s="6" t="n">
        <f aca="false">Sens!G11985*(1+Sens!H11986)</f>
        <v>127.293256321956</v>
      </c>
      <c r="I11985" s="6" t="n">
        <f aca="false">Sens!H11985*(1+Sens!I11986)</f>
        <v>144.360052269491</v>
      </c>
      <c r="J11985" s="6" t="n">
        <f aca="false">Sens!I11985*(1+Sens!J11986)</f>
        <v>159.811964490216</v>
      </c>
      <c r="K11985" s="6" t="n">
        <f aca="false">Sens!J11985*(1+Sens!K11986)</f>
        <v>172.596921649434</v>
      </c>
      <c r="L11985" s="12" t="s">
        <v>1027</v>
      </c>
    </row>
    <row r="11986" customFormat="false" ht="15" hidden="false" customHeight="false" outlineLevel="0" collapsed="false">
      <c r="A11986" s="1" t="s">
        <v>1028</v>
      </c>
      <c r="B11986" s="0" t="s">
        <v>168</v>
      </c>
      <c r="E11986" s="7" t="n">
        <f aca="false">Sens!E11985/Sens!D11985-1</f>
        <v>0.242223883039864</v>
      </c>
      <c r="F11986" s="7" t="n">
        <f aca="false">Sens!$E$11986+(glt_azo-Sens!$E$11986)*MIN(1,(Sens!F11943-base_fy)/n_conv)</f>
        <v>0.215186569199887</v>
      </c>
      <c r="G11986" s="7" t="n">
        <f aca="false">Sens!$E$11986+(glt_azo-Sens!$E$11986)*MIN(1,(Sens!G11943-base_fy)/n_conv)</f>
        <v>0.18814925535991</v>
      </c>
      <c r="H11986" s="7" t="n">
        <f aca="false">Sens!$E$11986+(glt_azo-Sens!$E$11986)*MIN(1,(Sens!H11943-base_fy)/n_conv)</f>
        <v>0.161111941519932</v>
      </c>
      <c r="I11986" s="7" t="n">
        <f aca="false">Sens!$E$11986+(glt_azo-Sens!$E$11986)*MIN(1,(Sens!I11943-base_fy)/n_conv)</f>
        <v>0.134074627679955</v>
      </c>
      <c r="J11986" s="7" t="n">
        <f aca="false">Sens!$E$11986+(glt_azo-Sens!$E$11986)*MIN(1,(Sens!J11943-base_fy)/n_conv)</f>
        <v>0.107037313839977</v>
      </c>
      <c r="K11986" s="7" t="n">
        <f aca="false">Sens!$E$11986+(glt_azo-Sens!$E$11986)*MIN(1,(Sens!K11943-base_fy)/n_conv)</f>
        <v>0.08</v>
      </c>
    </row>
    <row r="11987" customFormat="false" ht="15" hidden="false" customHeight="false" outlineLevel="0" collapsed="false">
      <c r="A11987" s="0" t="s">
        <v>1029</v>
      </c>
      <c r="B11987" s="0" t="s">
        <v>98</v>
      </c>
      <c r="D11987" s="6" t="n">
        <f aca="false">Sens!D11984+Sens!D11985</f>
        <v>72.61</v>
      </c>
      <c r="E11987" s="6" t="n">
        <f aca="false">Sens!E11984+Sens!E11985</f>
        <v>101.938</v>
      </c>
      <c r="F11987" s="6" t="n">
        <f aca="false">Sens!F11984+Sens!F11985</f>
        <v>143.251883553698</v>
      </c>
      <c r="G11987" s="6" t="n">
        <f aca="false">Sens!G11984+Sens!G11985</f>
        <v>186.322520879442</v>
      </c>
      <c r="H11987" s="6" t="n">
        <f aca="false">Sens!H11984+Sens!H11985</f>
        <v>224.74279426379</v>
      </c>
      <c r="I11987" s="6" t="n">
        <f aca="false">Sens!I11984+Sens!I11985</f>
        <v>266.443497823359</v>
      </c>
      <c r="J11987" s="6" t="n">
        <f aca="false">Sens!J11984+Sens!J11985</f>
        <v>299.06102493502</v>
      </c>
      <c r="K11987" s="6" t="n">
        <f aca="false">Sens!K11984+Sens!K11985</f>
        <v>322.592740225023</v>
      </c>
    </row>
    <row r="11988" customFormat="false" ht="17.15" hidden="false" customHeight="false" outlineLevel="0" collapsed="false">
      <c r="A11988" s="0" t="s">
        <v>1030</v>
      </c>
      <c r="B11988" s="1" t="s">
        <v>613</v>
      </c>
      <c r="C11988" s="30" t="n">
        <f aca="false">cop_s24</f>
        <v>1</v>
      </c>
      <c r="D11988" s="30" t="n">
        <f aca="false">cop_s25</f>
        <v>5</v>
      </c>
      <c r="E11988" s="30" t="n">
        <f aca="false">cop_s26</f>
        <v>30</v>
      </c>
      <c r="F11988" s="30" t="n">
        <f aca="false">Sens!E11988+cop_add_C</f>
        <v>40</v>
      </c>
      <c r="G11988" s="30" t="n">
        <f aca="false">Sens!F11988+cop_add_C</f>
        <v>50</v>
      </c>
      <c r="H11988" s="30" t="n">
        <f aca="false">Sens!G11988+cop_add_C</f>
        <v>60</v>
      </c>
      <c r="I11988" s="30" t="n">
        <f aca="false">Sens!H11988+cop_add_C*cop_tail</f>
        <v>65</v>
      </c>
      <c r="J11988" s="30" t="n">
        <f aca="false">Sens!I11988+cop_add_C*cop_tail</f>
        <v>70</v>
      </c>
      <c r="K11988" s="30" t="n">
        <f aca="false">Sens!J11988+cop_add_C*cop_tail</f>
        <v>75</v>
      </c>
      <c r="L11988" s="12" t="s">
        <v>1031</v>
      </c>
    </row>
    <row r="11989" customFormat="false" ht="17.15" hidden="false" customHeight="false" outlineLevel="0" collapsed="false">
      <c r="A11989" s="0" t="s">
        <v>1032</v>
      </c>
      <c r="B11989" s="0" t="s">
        <v>98</v>
      </c>
      <c r="D11989" s="6" t="n">
        <f aca="false">(Sens!C11988+Sens!D11988)/2*cop_px*12/1000</f>
        <v>0.9</v>
      </c>
      <c r="E11989" s="6" t="n">
        <f aca="false">(Sens!D11988+Sens!E11988)/2*cop_px*12/1000</f>
        <v>5.25</v>
      </c>
      <c r="F11989" s="6" t="n">
        <f aca="false">(Sens!E11988+Sens!F11988)/2*cop_px*12/1000</f>
        <v>10.5</v>
      </c>
      <c r="G11989" s="6" t="n">
        <f aca="false">(Sens!F11988+Sens!G11988)/2*cop_px*12/1000</f>
        <v>13.5</v>
      </c>
      <c r="H11989" s="6" t="n">
        <f aca="false">(Sens!G11988+Sens!H11988)/2*cop_px*12/1000</f>
        <v>16.5</v>
      </c>
      <c r="I11989" s="6" t="n">
        <f aca="false">(Sens!H11988+Sens!I11988)/2*cop_px*12/1000</f>
        <v>18.75</v>
      </c>
      <c r="J11989" s="6" t="n">
        <f aca="false">(Sens!I11988+Sens!J11988)/2*cop_px*12/1000</f>
        <v>20.25</v>
      </c>
      <c r="K11989" s="6" t="n">
        <f aca="false">(Sens!J11988+Sens!K11988)/2*cop_px*12/1000</f>
        <v>21.75</v>
      </c>
      <c r="L11989" s="1" t="s">
        <v>1033</v>
      </c>
    </row>
    <row r="11990" customFormat="false" ht="17.15" hidden="false" customHeight="false" outlineLevel="0" collapsed="false">
      <c r="A11990" s="0" t="s">
        <v>1034</v>
      </c>
      <c r="B11990" s="0" t="s">
        <v>98</v>
      </c>
      <c r="D11990" s="6" t="n">
        <f aca="false">Q!L7-Sens!D11989</f>
        <v>83.705</v>
      </c>
      <c r="E11990" s="6" t="n">
        <f aca="false">Q!M7-Sens!E11989</f>
        <v>95.049</v>
      </c>
      <c r="F11990" s="6" t="n">
        <f aca="false">Q!$I$7+(Sens!E11990*(1+Sens!F11991)+Sens!F11989)*(1-Q!$E$7/Q!M7)-Sens!F11989</f>
        <v>106.938354189776</v>
      </c>
      <c r="G11990" s="6" t="n">
        <f aca="false">Sens!F11990*(1+Sens!G11991)</f>
        <v>119.095360443801</v>
      </c>
      <c r="H11990" s="6" t="n">
        <f aca="false">Sens!G11990*(1+Sens!H11991)</f>
        <v>131.333811964563</v>
      </c>
      <c r="I11990" s="6" t="n">
        <f aca="false">Sens!H11990*(1+Sens!I11991)</f>
        <v>143.395665319381</v>
      </c>
      <c r="J11990" s="6" t="n">
        <f aca="false">Sens!I11990*(1+Sens!J11991)</f>
        <v>154.999327755573</v>
      </c>
      <c r="K11990" s="6" t="n">
        <f aca="false">Sens!J11990*(1+Sens!K11991)</f>
        <v>165.849280698463</v>
      </c>
      <c r="L11990" s="12" t="s">
        <v>1035</v>
      </c>
    </row>
    <row r="11991" customFormat="false" ht="15" hidden="false" customHeight="false" outlineLevel="0" collapsed="false">
      <c r="A11991" s="1" t="s">
        <v>1028</v>
      </c>
      <c r="B11991" s="0" t="s">
        <v>168</v>
      </c>
      <c r="E11991" s="7" t="n">
        <f aca="false">Sens!E11990/Sens!D11990-1</f>
        <v>0.135523564900544</v>
      </c>
      <c r="F11991" s="7" t="n">
        <f aca="false">Sens!$E$11991+(glt_m365b-Sens!$E$11991)*MIN(1,(Sens!F11943-base_fy)/n_conv)</f>
        <v>0.124602970750453</v>
      </c>
      <c r="G11991" s="7" t="n">
        <f aca="false">Sens!$E$11991+(glt_m365b-Sens!$E$11991)*MIN(1,(Sens!G11943-base_fy)/n_conv)</f>
        <v>0.113682376600363</v>
      </c>
      <c r="H11991" s="7" t="n">
        <f aca="false">Sens!$E$11991+(glt_m365b-Sens!$E$11991)*MIN(1,(Sens!H11943-base_fy)/n_conv)</f>
        <v>0.102761782450272</v>
      </c>
      <c r="I11991" s="7" t="n">
        <f aca="false">Sens!$E$11991+(glt_m365b-Sens!$E$11991)*MIN(1,(Sens!I11943-base_fy)/n_conv)</f>
        <v>0.0918411883001813</v>
      </c>
      <c r="J11991" s="7" t="n">
        <f aca="false">Sens!$E$11991+(glt_m365b-Sens!$E$11991)*MIN(1,(Sens!J11943-base_fy)/n_conv)</f>
        <v>0.0809205941500906</v>
      </c>
      <c r="K11991" s="7" t="n">
        <f aca="false">Sens!$E$11991+(glt_m365b-Sens!$E$11991)*MIN(1,(Sens!K11943-base_fy)/n_conv)</f>
        <v>0.07</v>
      </c>
    </row>
    <row r="11992" customFormat="false" ht="15" hidden="false" customHeight="false" outlineLevel="0" collapsed="false">
      <c r="A11992" s="0" t="s">
        <v>1036</v>
      </c>
      <c r="B11992" s="0" t="s">
        <v>98</v>
      </c>
      <c r="D11992" s="6" t="n">
        <f aca="false">Sens!D11990+Sens!D11989</f>
        <v>84.605</v>
      </c>
      <c r="E11992" s="6" t="n">
        <f aca="false">Sens!E11990+Sens!E11989</f>
        <v>100.299</v>
      </c>
      <c r="F11992" s="6" t="n">
        <f aca="false">Sens!F11990+Sens!F11989</f>
        <v>117.438354189776</v>
      </c>
      <c r="G11992" s="6" t="n">
        <f aca="false">Sens!G11990+Sens!G11989</f>
        <v>132.595360443801</v>
      </c>
      <c r="H11992" s="6" t="n">
        <f aca="false">Sens!H11990+Sens!H11989</f>
        <v>147.833811964563</v>
      </c>
      <c r="I11992" s="6" t="n">
        <f aca="false">Sens!I11990+Sens!I11989</f>
        <v>162.145665319381</v>
      </c>
      <c r="J11992" s="6" t="n">
        <f aca="false">Sens!J11990+Sens!J11989</f>
        <v>175.249327755573</v>
      </c>
      <c r="K11992" s="6" t="n">
        <f aca="false">Sens!K11990+Sens!K11989</f>
        <v>187.599280698463</v>
      </c>
    </row>
    <row r="11993" customFormat="false" ht="17.15" hidden="false" customHeight="false" outlineLevel="0" collapsed="false">
      <c r="A11993" s="0" t="s">
        <v>1037</v>
      </c>
      <c r="B11993" s="0" t="s">
        <v>98</v>
      </c>
      <c r="D11993" s="6" t="n">
        <f aca="false">Q!L8</f>
        <v>35.391</v>
      </c>
      <c r="E11993" s="6" t="n">
        <f aca="false">Q!M8</f>
        <v>37.285</v>
      </c>
      <c r="F11993" s="6" t="n">
        <f aca="false">Q!$I$8+(Q!M8-Q!$E$8)*(1+Sens!F11994)</f>
        <v>38.3851437782675</v>
      </c>
      <c r="G11993" s="6" t="n">
        <f aca="false">Sens!F11993*(1+Sens!G11994)</f>
        <v>40.0105353288615</v>
      </c>
      <c r="H11993" s="6" t="n">
        <f aca="false">Sens!G11993*(1+Sens!H11994)</f>
        <v>41.4812512033683</v>
      </c>
      <c r="I11993" s="6" t="n">
        <f aca="false">Sens!H11993*(1+Sens!I11994)</f>
        <v>42.7743107216329</v>
      </c>
      <c r="J11993" s="6" t="n">
        <f aca="false">Sens!I11993*(1+Sens!J11994)</f>
        <v>43.8687373064601</v>
      </c>
      <c r="K11993" s="6" t="n">
        <f aca="false">Sens!J11993*(1+Sens!K11994)</f>
        <v>44.7461120525893</v>
      </c>
      <c r="L11993" s="12" t="s">
        <v>1038</v>
      </c>
    </row>
    <row r="11994" customFormat="false" ht="15" hidden="false" customHeight="false" outlineLevel="0" collapsed="false">
      <c r="A11994" s="1" t="s">
        <v>1028</v>
      </c>
      <c r="B11994" s="0" t="s">
        <v>168</v>
      </c>
      <c r="E11994" s="7" t="n">
        <f aca="false">Sens!E11993/Sens!D11993-1</f>
        <v>0.0535164307309768</v>
      </c>
      <c r="F11994" s="7" t="n">
        <f aca="false">Sens!$E$11994+(glt_lic-Sens!$E$11994)*MIN(1,(Sens!F11943-base_fy)/n_conv)</f>
        <v>0.0479303589424807</v>
      </c>
      <c r="G11994" s="7" t="n">
        <f aca="false">Sens!$E$11994+(glt_lic-Sens!$E$11994)*MIN(1,(Sens!G11943-base_fy)/n_conv)</f>
        <v>0.0423442871539845</v>
      </c>
      <c r="H11994" s="7" t="n">
        <f aca="false">Sens!$E$11994+(glt_lic-Sens!$E$11994)*MIN(1,(Sens!H11943-base_fy)/n_conv)</f>
        <v>0.0367582153654884</v>
      </c>
      <c r="I11994" s="7" t="n">
        <f aca="false">Sens!$E$11994+(glt_lic-Sens!$E$11994)*MIN(1,(Sens!I11943-base_fy)/n_conv)</f>
        <v>0.0311721435769923</v>
      </c>
      <c r="J11994" s="7" t="n">
        <f aca="false">Sens!$E$11994+(glt_lic-Sens!$E$11994)*MIN(1,(Sens!J11943-base_fy)/n_conv)</f>
        <v>0.0255860717884961</v>
      </c>
      <c r="K11994" s="7" t="n">
        <f aca="false">Sens!$E$11994+(glt_lic-Sens!$E$11994)*MIN(1,(Sens!K11943-base_fy)/n_conv)</f>
        <v>0.02</v>
      </c>
    </row>
    <row r="11995" customFormat="false" ht="17.15" hidden="false" customHeight="false" outlineLevel="0" collapsed="false">
      <c r="A11995" s="0" t="s">
        <v>1039</v>
      </c>
      <c r="B11995" s="0" t="s">
        <v>98</v>
      </c>
      <c r="D11995" s="6" t="n">
        <f aca="false">Q!L9</f>
        <v>18.417</v>
      </c>
      <c r="E11995" s="6" t="n">
        <f aca="false">Q!M9</f>
        <v>20.345</v>
      </c>
      <c r="F11995" s="6" t="n">
        <f aca="false">Q!$I$9+(Q!M9-Q!$E$9)*(1+Sens!F11996)</f>
        <v>22.3161797133988</v>
      </c>
      <c r="G11995" s="6" t="n">
        <f aca="false">Sens!F11995*(1+Sens!G11996)</f>
        <v>24.3943499673233</v>
      </c>
      <c r="H11995" s="6" t="n">
        <f aca="false">Sens!G11995*(1+Sens!H11996)</f>
        <v>26.5250243109019</v>
      </c>
      <c r="I11995" s="6" t="n">
        <f aca="false">Sens!H11995*(1+Sens!I11996)</f>
        <v>28.6884573538181</v>
      </c>
      <c r="J11995" s="6" t="n">
        <f aca="false">Sens!I11995*(1+Sens!J11996)</f>
        <v>30.8624968052127</v>
      </c>
      <c r="K11995" s="6" t="n">
        <f aca="false">Sens!J11995*(1+Sens!K11996)</f>
        <v>33.0228715815776</v>
      </c>
      <c r="L11995" s="12" t="s">
        <v>1038</v>
      </c>
    </row>
    <row r="11996" customFormat="false" ht="15" hidden="false" customHeight="false" outlineLevel="0" collapsed="false">
      <c r="A11996" s="1" t="s">
        <v>1028</v>
      </c>
      <c r="B11996" s="0" t="s">
        <v>168</v>
      </c>
      <c r="E11996" s="7" t="n">
        <f aca="false">Sens!E11995/Sens!D11995-1</f>
        <v>0.104685888038225</v>
      </c>
      <c r="F11996" s="7" t="n">
        <f aca="false">Sens!$E$11996+(glt_ind-Sens!$E$11996)*MIN(1,(Sens!F11943-base_fy)/n_conv)</f>
        <v>0.0989049066985211</v>
      </c>
      <c r="G11996" s="7" t="n">
        <f aca="false">Sens!$E$11996+(glt_ind-Sens!$E$11996)*MIN(1,(Sens!G11943-base_fy)/n_conv)</f>
        <v>0.0931239253588169</v>
      </c>
      <c r="H11996" s="7" t="n">
        <f aca="false">Sens!$E$11996+(glt_ind-Sens!$E$11996)*MIN(1,(Sens!H11943-base_fy)/n_conv)</f>
        <v>0.0873429440191127</v>
      </c>
      <c r="I11996" s="7" t="n">
        <f aca="false">Sens!$E$11996+(glt_ind-Sens!$E$11996)*MIN(1,(Sens!I11943-base_fy)/n_conv)</f>
        <v>0.0815619626794085</v>
      </c>
      <c r="J11996" s="7" t="n">
        <f aca="false">Sens!$E$11996+(glt_ind-Sens!$E$11996)*MIN(1,(Sens!J11943-base_fy)/n_conv)</f>
        <v>0.0757809813397042</v>
      </c>
      <c r="K11996" s="7" t="n">
        <f aca="false">Sens!$E$11996+(glt_ind-Sens!$E$11996)*MIN(1,(Sens!K11943-base_fy)/n_conv)</f>
        <v>0.07</v>
      </c>
    </row>
    <row r="11997" customFormat="false" ht="17.15" hidden="false" customHeight="false" outlineLevel="0" collapsed="false">
      <c r="A11997" s="0" t="s">
        <v>1040</v>
      </c>
      <c r="B11997" s="0" t="s">
        <v>98</v>
      </c>
      <c r="D11997" s="6" t="n">
        <f aca="false">Q!L10</f>
        <v>7.76</v>
      </c>
      <c r="E11997" s="6" t="n">
        <f aca="false">Q!M10</f>
        <v>8.26</v>
      </c>
      <c r="F11997" s="6" t="n">
        <f aca="false">Q!$I$10+(Q!M10-Q!$E$10)*(1+Sens!F11998)</f>
        <v>8.75372082474227</v>
      </c>
      <c r="G11997" s="6" t="n">
        <f aca="false">Sens!F11997*(1+Sens!G11998)</f>
        <v>9.33399324642364</v>
      </c>
      <c r="H11997" s="6" t="n">
        <f aca="false">Sens!G11997*(1+Sens!H11998)</f>
        <v>9.96139155535851</v>
      </c>
      <c r="I11997" s="6" t="n">
        <f aca="false">Sens!H11997*(1+Sens!I11998)</f>
        <v>10.6402039077391</v>
      </c>
      <c r="J11997" s="6" t="n">
        <f aca="false">Sens!I11997*(1+Sens!J11998)</f>
        <v>11.3751458271397</v>
      </c>
      <c r="K11997" s="6" t="n">
        <f aca="false">Sens!J11997*(1+Sens!K11998)</f>
        <v>12.1714060350394</v>
      </c>
      <c r="L11997" s="12" t="s">
        <v>1038</v>
      </c>
    </row>
    <row r="11998" customFormat="false" ht="15" hidden="false" customHeight="false" outlineLevel="0" collapsed="false">
      <c r="A11998" s="1" t="s">
        <v>1028</v>
      </c>
      <c r="B11998" s="0" t="s">
        <v>168</v>
      </c>
      <c r="E11998" s="7" t="n">
        <f aca="false">Sens!E11997/Sens!D11997-1</f>
        <v>0.0644329896907216</v>
      </c>
      <c r="F11998" s="7" t="n">
        <f aca="false">Sens!$E$11998+(glt_fro-Sens!$E$11998)*MIN(1,(Sens!F11943-base_fy)/n_conv)</f>
        <v>0.065360824742268</v>
      </c>
      <c r="G11998" s="7" t="n">
        <f aca="false">Sens!$E$11998+(glt_fro-Sens!$E$11998)*MIN(1,(Sens!G11943-base_fy)/n_conv)</f>
        <v>0.0662886597938144</v>
      </c>
      <c r="H11998" s="7" t="n">
        <f aca="false">Sens!$E$11998+(glt_fro-Sens!$E$11998)*MIN(1,(Sens!H11943-base_fy)/n_conv)</f>
        <v>0.0672164948453608</v>
      </c>
      <c r="I11998" s="7" t="n">
        <f aca="false">Sens!$E$11998+(glt_fro-Sens!$E$11998)*MIN(1,(Sens!I11943-base_fy)/n_conv)</f>
        <v>0.0681443298969072</v>
      </c>
      <c r="J11998" s="7" t="n">
        <f aca="false">Sens!$E$11998+(glt_fro-Sens!$E$11998)*MIN(1,(Sens!J11943-base_fy)/n_conv)</f>
        <v>0.0690721649484536</v>
      </c>
      <c r="K11998" s="7" t="n">
        <f aca="false">Sens!$E$11998+(glt_fro-Sens!$E$11998)*MIN(1,(Sens!K11943-base_fy)/n_conv)</f>
        <v>0.07</v>
      </c>
    </row>
    <row r="11999" customFormat="false" ht="15" hidden="false" customHeight="false" outlineLevel="0" collapsed="false">
      <c r="A11999" s="0" t="s">
        <v>856</v>
      </c>
      <c r="B11999" s="0" t="s">
        <v>98</v>
      </c>
      <c r="D11999" s="6" t="n">
        <f aca="false">Sens!D11987+Sens!D11992+Sens!D11993+Sens!D11995+Sens!D11997</f>
        <v>218.783</v>
      </c>
      <c r="E11999" s="6" t="n">
        <f aca="false">Sens!E11987+Sens!E11992+Sens!E11993+Sens!E11995+Sens!E11997</f>
        <v>268.127</v>
      </c>
      <c r="F11999" s="6" t="n">
        <f aca="false">Sens!F11987+Sens!F11992+Sens!F11993+Sens!F11995+Sens!F11997</f>
        <v>330.145282059882</v>
      </c>
      <c r="G11999" s="6" t="n">
        <f aca="false">Sens!G11987+Sens!G11992+Sens!G11993+Sens!G11995+Sens!G11997</f>
        <v>392.656759865851</v>
      </c>
      <c r="H11999" s="6" t="n">
        <f aca="false">Sens!H11987+Sens!H11992+Sens!H11993+Sens!H11995+Sens!H11997</f>
        <v>450.544273297982</v>
      </c>
      <c r="I11999" s="6" t="n">
        <f aca="false">Sens!I11987+Sens!I11992+Sens!I11993+Sens!I11995+Sens!I11997</f>
        <v>510.69213512593</v>
      </c>
      <c r="J11999" s="6" t="n">
        <f aca="false">Sens!J11987+Sens!J11992+Sens!J11993+Sens!J11995+Sens!J11997</f>
        <v>560.416732629406</v>
      </c>
      <c r="K11999" s="6" t="n">
        <f aca="false">Sens!K11987+Sens!K11992+Sens!K11993+Sens!K11995+Sens!K11997</f>
        <v>600.132410592692</v>
      </c>
    </row>
    <row r="12000" customFormat="false" ht="17.15" hidden="false" customHeight="false" outlineLevel="0" collapsed="false">
      <c r="A12000" s="0" t="s">
        <v>1041</v>
      </c>
      <c r="B12000" s="0" t="s">
        <v>98</v>
      </c>
      <c r="D12000" s="6" t="n">
        <f aca="false">Q!L13</f>
        <v>22.171</v>
      </c>
      <c r="E12000" s="6" t="n">
        <f aca="false">Q!M13</f>
        <v>24.835</v>
      </c>
      <c r="F12000" s="6" t="n">
        <f aca="false">Q!$I$13+(Q!M13-Q!$E$13)*(1+Sens!F12001)</f>
        <v>27.5591895660247</v>
      </c>
      <c r="G12000" s="6" t="n">
        <f aca="false">Sens!F12000*(1+Sens!G12001)</f>
        <v>30.4098563144583</v>
      </c>
      <c r="H12000" s="6" t="n">
        <f aca="false">Sens!G12000*(1+Sens!H12001)</f>
        <v>33.3011792571777</v>
      </c>
      <c r="I12000" s="6" t="n">
        <f aca="false">Sens!H12000*(1+Sens!I12001)</f>
        <v>36.189023797112</v>
      </c>
      <c r="J12000" s="6" t="n">
        <f aca="false">Sens!I12000*(1+Sens!J12001)</f>
        <v>39.0247773769199</v>
      </c>
      <c r="K12000" s="6" t="n">
        <f aca="false">Sens!J12000*(1+Sens!K12001)</f>
        <v>41.7565117933043</v>
      </c>
      <c r="L12000" s="12" t="s">
        <v>1038</v>
      </c>
    </row>
    <row r="12001" customFormat="false" ht="15" hidden="false" customHeight="false" outlineLevel="0" collapsed="false">
      <c r="A12001" s="1" t="s">
        <v>1028</v>
      </c>
      <c r="B12001" s="0" t="s">
        <v>168</v>
      </c>
      <c r="E12001" s="7" t="n">
        <f aca="false">Sens!E12000/Sens!D12000-1</f>
        <v>0.120156961796942</v>
      </c>
      <c r="F12001" s="7" t="n">
        <f aca="false">Sens!$E$12001+(glt_srch-Sens!$E$12001)*MIN(1,(Sens!F11943-base_fy)/n_conv)</f>
        <v>0.111797468164118</v>
      </c>
      <c r="G12001" s="7" t="n">
        <f aca="false">Sens!$E$12001+(glt_srch-Sens!$E$12001)*MIN(1,(Sens!G11943-base_fy)/n_conv)</f>
        <v>0.103437974531295</v>
      </c>
      <c r="H12001" s="7" t="n">
        <f aca="false">Sens!$E$12001+(glt_srch-Sens!$E$12001)*MIN(1,(Sens!H11943-base_fy)/n_conv)</f>
        <v>0.095078480898471</v>
      </c>
      <c r="I12001" s="7" t="n">
        <f aca="false">Sens!$E$12001+(glt_srch-Sens!$E$12001)*MIN(1,(Sens!I11943-base_fy)/n_conv)</f>
        <v>0.0867189872656474</v>
      </c>
      <c r="J12001" s="7" t="n">
        <f aca="false">Sens!$E$12001+(glt_srch-Sens!$E$12001)*MIN(1,(Sens!J11943-base_fy)/n_conv)</f>
        <v>0.0783594936328237</v>
      </c>
      <c r="K12001" s="7" t="n">
        <f aca="false">Sens!$E$12001+(glt_srch-Sens!$E$12001)*MIN(1,(Sens!K11943-base_fy)/n_conv)</f>
        <v>0.07</v>
      </c>
    </row>
    <row r="12002" customFormat="false" ht="17.15" hidden="false" customHeight="false" outlineLevel="0" collapsed="false">
      <c r="A12002" s="0" t="s">
        <v>1042</v>
      </c>
      <c r="B12002" s="0" t="s">
        <v>98</v>
      </c>
      <c r="D12002" s="6" t="n">
        <f aca="false">Q!L14</f>
        <v>23.455</v>
      </c>
      <c r="E12002" s="6" t="n">
        <f aca="false">Q!M14</f>
        <v>21.79</v>
      </c>
      <c r="F12002" s="6" t="n">
        <f aca="false">Q!$I$14+(Q!M14-Q!$E$14)*(1+Sens!F12003)</f>
        <v>20.6435514375044</v>
      </c>
      <c r="G12002" s="6" t="n">
        <f aca="false">Sens!F12002*(1+Sens!G12003)</f>
        <v>19.5289786205326</v>
      </c>
      <c r="H12002" s="6" t="n">
        <f aca="false">Sens!G12002*(1+Sens!H12003)</f>
        <v>18.6405370670455</v>
      </c>
      <c r="I12002" s="6" t="n">
        <f aca="false">Sens!H12002*(1+Sens!I12003)</f>
        <v>17.950917993743</v>
      </c>
      <c r="J12002" s="6" t="n">
        <f aca="false">Sens!I12002*(1+Sens!J12003)</f>
        <v>17.4393557354192</v>
      </c>
      <c r="K12002" s="6" t="n">
        <f aca="false">Sens!J12002*(1+Sens!K12003)</f>
        <v>17.0905686207108</v>
      </c>
      <c r="L12002" s="12" t="s">
        <v>1038</v>
      </c>
    </row>
    <row r="12003" customFormat="false" ht="15" hidden="false" customHeight="false" outlineLevel="0" collapsed="false">
      <c r="A12003" s="1" t="s">
        <v>1028</v>
      </c>
      <c r="B12003" s="0" t="s">
        <v>168</v>
      </c>
      <c r="E12003" s="7" t="n">
        <f aca="false">Sens!E12002/Sens!D12002-1</f>
        <v>-0.0709869963760392</v>
      </c>
      <c r="F12003" s="7" t="n">
        <f aca="false">Sens!$E$12003+(glt_xbox_lo-Sens!$E$12003)*MIN(1,(Sens!F11943-base_fy)/n_conv)</f>
        <v>-0.0624891636466994</v>
      </c>
      <c r="G12003" s="7" t="n">
        <f aca="false">Sens!$E$12003+(glt_xbox_lo-Sens!$E$12003)*MIN(1,(Sens!G11943-base_fy)/n_conv)</f>
        <v>-0.0539913309173595</v>
      </c>
      <c r="H12003" s="7" t="n">
        <f aca="false">Sens!$E$12003+(glt_xbox_lo-Sens!$E$12003)*MIN(1,(Sens!H11943-base_fy)/n_conv)</f>
        <v>-0.0454934981880196</v>
      </c>
      <c r="I12003" s="7" t="n">
        <f aca="false">Sens!$E$12003+(glt_xbox_lo-Sens!$E$12003)*MIN(1,(Sens!I11943-base_fy)/n_conv)</f>
        <v>-0.0369956654586797</v>
      </c>
      <c r="J12003" s="7" t="n">
        <f aca="false">Sens!$E$12003+(glt_xbox_lo-Sens!$E$12003)*MIN(1,(Sens!J11943-base_fy)/n_conv)</f>
        <v>-0.0284978327293399</v>
      </c>
      <c r="K12003" s="7" t="n">
        <f aca="false">Sens!$E$12003+(glt_xbox_lo-Sens!$E$12003)*MIN(1,(Sens!K11943-base_fy)/n_conv)</f>
        <v>-0.02</v>
      </c>
    </row>
    <row r="12004" customFormat="false" ht="17.15" hidden="false" customHeight="false" outlineLevel="0" collapsed="false">
      <c r="A12004" s="0" t="s">
        <v>1043</v>
      </c>
      <c r="B12004" s="0" t="s">
        <v>98</v>
      </c>
      <c r="D12004" s="6" t="n">
        <f aca="false">Q!L15</f>
        <v>17.315</v>
      </c>
      <c r="E12004" s="6" t="n">
        <f aca="false">Q!M15</f>
        <v>17.087</v>
      </c>
      <c r="F12004" s="6" t="n">
        <f aca="false">Q!$I$15+(Q!M15-Q!$E$15)*(1+Sens!F12005)</f>
        <v>15.9912273250553</v>
      </c>
      <c r="G12004" s="6" t="n">
        <f aca="false">Sens!F12004*(1+Sens!G12005)</f>
        <v>15.9574562664827</v>
      </c>
      <c r="H12004" s="6" t="n">
        <f aca="false">Sens!G12004*(1+Sens!H12005)</f>
        <v>16.0119687434196</v>
      </c>
      <c r="I12004" s="6" t="n">
        <f aca="false">Sens!H12004*(1+Sens!I12005)</f>
        <v>16.1551810001948</v>
      </c>
      <c r="J12004" s="6" t="n">
        <f aca="false">Sens!I12004*(1+Sens!J12005)</f>
        <v>16.3889793892005</v>
      </c>
      <c r="K12004" s="6" t="n">
        <f aca="false">Sens!J12004*(1+Sens!K12005)</f>
        <v>16.7167589769845</v>
      </c>
      <c r="L12004" s="12" t="s">
        <v>1038</v>
      </c>
    </row>
    <row r="12005" customFormat="false" ht="15" hidden="false" customHeight="false" outlineLevel="0" collapsed="false">
      <c r="A12005" s="1" t="s">
        <v>1028</v>
      </c>
      <c r="B12005" s="0" t="s">
        <v>168</v>
      </c>
      <c r="E12005" s="7" t="n">
        <f aca="false">Sens!E12004/Sens!D12004-1</f>
        <v>-0.0131677736066995</v>
      </c>
      <c r="F12005" s="7" t="n">
        <f aca="false">Sens!$E$12005+(glt_win-Sens!$E$12005)*MIN(1,(Sens!F11943-base_fy)/n_conv)</f>
        <v>-0.00763981133891627</v>
      </c>
      <c r="G12005" s="7" t="n">
        <f aca="false">Sens!$E$12005+(glt_win-Sens!$E$12005)*MIN(1,(Sens!G11943-base_fy)/n_conv)</f>
        <v>-0.00211184907113301</v>
      </c>
      <c r="H12005" s="7" t="n">
        <f aca="false">Sens!$E$12005+(glt_win-Sens!$E$12005)*MIN(1,(Sens!H11943-base_fy)/n_conv)</f>
        <v>0.00341611319665024</v>
      </c>
      <c r="I12005" s="7" t="n">
        <f aca="false">Sens!$E$12005+(glt_win-Sens!$E$12005)*MIN(1,(Sens!I11943-base_fy)/n_conv)</f>
        <v>0.00894407546443349</v>
      </c>
      <c r="J12005" s="7" t="n">
        <f aca="false">Sens!$E$12005+(glt_win-Sens!$E$12005)*MIN(1,(Sens!J11943-base_fy)/n_conv)</f>
        <v>0.0144720377322168</v>
      </c>
      <c r="K12005" s="7" t="n">
        <f aca="false">Sens!$E$12005+(glt_win-Sens!$E$12005)*MIN(1,(Sens!K11943-base_fy)/n_conv)</f>
        <v>0.02</v>
      </c>
    </row>
    <row r="12006" customFormat="false" ht="15" hidden="false" customHeight="false" outlineLevel="0" collapsed="false">
      <c r="A12006" s="0" t="s">
        <v>870</v>
      </c>
      <c r="B12006" s="0" t="s">
        <v>98</v>
      </c>
      <c r="D12006" s="6" t="n">
        <f aca="false">Sens!D12000+Sens!D12002+Sens!D12004</f>
        <v>62.941</v>
      </c>
      <c r="E12006" s="6" t="n">
        <f aca="false">Sens!E12000+Sens!E12002+Sens!E12004</f>
        <v>63.712</v>
      </c>
      <c r="F12006" s="6" t="n">
        <f aca="false">Sens!F12000+Sens!F12002+Sens!F12004</f>
        <v>64.1939683285845</v>
      </c>
      <c r="G12006" s="6" t="n">
        <f aca="false">Sens!G12000+Sens!G12002+Sens!G12004</f>
        <v>65.8962912014735</v>
      </c>
      <c r="H12006" s="6" t="n">
        <f aca="false">Sens!H12000+Sens!H12002+Sens!H12004</f>
        <v>67.9536850676428</v>
      </c>
      <c r="I12006" s="6" t="n">
        <f aca="false">Sens!I12000+Sens!I12002+Sens!I12004</f>
        <v>70.2951227910498</v>
      </c>
      <c r="J12006" s="6" t="n">
        <f aca="false">Sens!J12000+Sens!J12002+Sens!J12004</f>
        <v>72.8531125015395</v>
      </c>
      <c r="K12006" s="6" t="n">
        <f aca="false">Sens!K12000+Sens!K12002+Sens!K12004</f>
        <v>75.5638393909996</v>
      </c>
    </row>
    <row r="12007" customFormat="false" ht="15" hidden="false" customHeight="false" outlineLevel="0" collapsed="false">
      <c r="A12007" s="1" t="s">
        <v>1044</v>
      </c>
      <c r="B12007" s="0" t="s">
        <v>98</v>
      </c>
      <c r="D12007" s="6" t="n">
        <f aca="false">Sens!D11999+Sens!D12006</f>
        <v>281.724</v>
      </c>
      <c r="E12007" s="6" t="n">
        <f aca="false">Sens!E11999+Sens!E12006</f>
        <v>331.839</v>
      </c>
      <c r="F12007" s="6" t="n">
        <f aca="false">Sens!F11999+Sens!F12006</f>
        <v>394.339250388466</v>
      </c>
      <c r="G12007" s="6" t="n">
        <f aca="false">Sens!G11999+Sens!G12006</f>
        <v>458.553051067325</v>
      </c>
      <c r="H12007" s="6" t="n">
        <f aca="false">Sens!H11999+Sens!H12006</f>
        <v>518.497958365625</v>
      </c>
      <c r="I12007" s="6" t="n">
        <f aca="false">Sens!I11999+Sens!I12006</f>
        <v>580.98725791698</v>
      </c>
      <c r="J12007" s="6" t="n">
        <f aca="false">Sens!J11999+Sens!J12006</f>
        <v>633.269845130945</v>
      </c>
      <c r="K12007" s="6" t="n">
        <f aca="false">Sens!K11999+Sens!K12006</f>
        <v>675.696249983692</v>
      </c>
    </row>
    <row r="12008" customFormat="false" ht="15" hidden="false" customHeight="false" outlineLevel="0" collapsed="false">
      <c r="A12008" s="26" t="s">
        <v>1045</v>
      </c>
      <c r="B12008" s="31" t="s">
        <v>98</v>
      </c>
      <c r="C12008" s="31"/>
      <c r="D12008" s="27" t="n">
        <f aca="false">(Sens!D11987+Sens!D11992+Sens!D11993+Sens!D11995+Sens!D11997-Sens!D11999)+(Sens!D12000+Sens!D12002+Sens!D12004-Sens!D12006)+(Sens!D11999-Q!L5)+(Sens!D12006-Q!L12)+(Sens!D11987-Q!L6)+(Sens!D11992-Q!L7)</f>
        <v>0</v>
      </c>
      <c r="E12008" s="27" t="n">
        <f aca="false">(Sens!E11987+Sens!E11992+Sens!E11993+Sens!E11995+Sens!E11997-Sens!E11999)+(Sens!E12000+Sens!E12002+Sens!E12004-Sens!E12006)+(Sens!E11999-Q!M5)+(Sens!E12006-Q!M12)+(Sens!E11987-Q!M6)+(Sens!E11992-Q!M7)</f>
        <v>0</v>
      </c>
      <c r="F12008" s="27" t="n">
        <f aca="false">(Sens!F11987+Sens!F11992+Sens!F11993+Sens!F11995+Sens!F11997-Sens!F11999)+(Sens!F12000+Sens!F12002+Sens!F12004-Sens!F12006)</f>
        <v>0</v>
      </c>
      <c r="G12008" s="27" t="n">
        <f aca="false">(Sens!G11987+Sens!G11992+Sens!G11993+Sens!G11995+Sens!G11997-Sens!G11999)+(Sens!G12000+Sens!G12002+Sens!G12004-Sens!G12006)</f>
        <v>0</v>
      </c>
      <c r="H12008" s="27" t="n">
        <f aca="false">(Sens!H11987+Sens!H11992+Sens!H11993+Sens!H11995+Sens!H11997-Sens!H11999)+(Sens!H12000+Sens!H12002+Sens!H12004-Sens!H12006)</f>
        <v>0</v>
      </c>
      <c r="I12008" s="27" t="n">
        <f aca="false">(Sens!I11987+Sens!I11992+Sens!I11993+Sens!I11995+Sens!I11997-Sens!I11999)+(Sens!I12000+Sens!I12002+Sens!I12004-Sens!I12006)</f>
        <v>0</v>
      </c>
      <c r="J12008" s="27" t="n">
        <f aca="false">(Sens!J11987+Sens!J11992+Sens!J11993+Sens!J11995+Sens!J11997-Sens!J11999)+(Sens!J12000+Sens!J12002+Sens!J12004-Sens!J12006)</f>
        <v>0</v>
      </c>
      <c r="K12008" s="27" t="n">
        <f aca="false">(Sens!K11987+Sens!K11992+Sens!K11993+Sens!K11995+Sens!K11997-Sens!K11999)+(Sens!K12000+Sens!K12002+Sens!K12004-Sens!K12006)</f>
        <v>0</v>
      </c>
    </row>
    <row r="12009" customFormat="false" ht="17.15" hidden="false" customHeight="false" outlineLevel="0" collapsed="false">
      <c r="A12009" s="3" t="s">
        <v>1912</v>
      </c>
    </row>
    <row r="12010" customFormat="false" ht="15" hidden="false" customHeight="false" outlineLevel="0" collapsed="false">
      <c r="A12010" s="4" t="s">
        <v>43</v>
      </c>
      <c r="B12010" s="4" t="s">
        <v>65</v>
      </c>
      <c r="C12010" s="23" t="s">
        <v>942</v>
      </c>
      <c r="D12010" s="23" t="s">
        <v>943</v>
      </c>
      <c r="E12010" s="23" t="s">
        <v>944</v>
      </c>
      <c r="F12010" s="23" t="s">
        <v>945</v>
      </c>
      <c r="G12010" s="23" t="s">
        <v>946</v>
      </c>
      <c r="H12010" s="23" t="s">
        <v>947</v>
      </c>
      <c r="I12010" s="23" t="s">
        <v>948</v>
      </c>
      <c r="J12010" s="23" t="s">
        <v>949</v>
      </c>
      <c r="K12010" s="23" t="s">
        <v>950</v>
      </c>
      <c r="L12010" s="4" t="s">
        <v>47</v>
      </c>
    </row>
    <row r="12011" customFormat="false" ht="15" hidden="false" customHeight="false" outlineLevel="0" collapsed="false">
      <c r="A12011" s="0" t="s">
        <v>1029</v>
      </c>
      <c r="B12011" s="0" t="s">
        <v>98</v>
      </c>
      <c r="D12011" s="6" t="n">
        <f aca="false">Sens!D11987</f>
        <v>72.61</v>
      </c>
      <c r="E12011" s="6" t="n">
        <f aca="false">Sens!E11987</f>
        <v>101.938</v>
      </c>
      <c r="F12011" s="6" t="n">
        <f aca="false">Sens!F11987</f>
        <v>143.251883553698</v>
      </c>
      <c r="G12011" s="6" t="n">
        <f aca="false">Sens!G11987</f>
        <v>186.322520879442</v>
      </c>
      <c r="H12011" s="6" t="n">
        <f aca="false">Sens!H11987</f>
        <v>224.74279426379</v>
      </c>
      <c r="I12011" s="6" t="n">
        <f aca="false">Sens!I11987</f>
        <v>266.443497823359</v>
      </c>
      <c r="J12011" s="6" t="n">
        <f aca="false">Sens!J11987</f>
        <v>299.06102493502</v>
      </c>
      <c r="K12011" s="6" t="n">
        <f aca="false">Sens!K11987</f>
        <v>322.592740225023</v>
      </c>
    </row>
    <row r="12012" customFormat="false" ht="17.15" hidden="false" customHeight="false" outlineLevel="0" collapsed="false">
      <c r="A12012" s="0" t="s">
        <v>1025</v>
      </c>
      <c r="B12012" s="0" t="s">
        <v>98</v>
      </c>
      <c r="D12012" s="6" t="n">
        <f aca="false">Sens!D11984</f>
        <v>12.9359794422418</v>
      </c>
      <c r="E12012" s="6" t="n">
        <f aca="false">Sens!E11984</f>
        <v>27.8095064661409</v>
      </c>
      <c r="F12012" s="6" t="n">
        <f aca="false">Sens!F11984</f>
        <v>50.9819294352312</v>
      </c>
      <c r="G12012" s="6" t="n">
        <f aca="false">Sens!G11984</f>
        <v>76.6920436014933</v>
      </c>
      <c r="H12012" s="6" t="n">
        <f aca="false">Sens!H11984</f>
        <v>97.4495379418341</v>
      </c>
      <c r="I12012" s="6" t="n">
        <f aca="false">Sens!I11984</f>
        <v>122.083445553868</v>
      </c>
      <c r="J12012" s="6" t="n">
        <f aca="false">Sens!J11984</f>
        <v>139.249060444804</v>
      </c>
      <c r="K12012" s="6" t="n">
        <f aca="false">Sens!K11984</f>
        <v>149.995818575589</v>
      </c>
    </row>
    <row r="12013" customFormat="false" ht="17.15" hidden="false" customHeight="false" outlineLevel="0" collapsed="false">
      <c r="A12013" s="0" t="s">
        <v>1056</v>
      </c>
      <c r="B12013" s="0" t="s">
        <v>98</v>
      </c>
      <c r="D12013" s="6" t="n">
        <f aca="false">Sens!D11985</f>
        <v>59.6740205577583</v>
      </c>
      <c r="E12013" s="6" t="n">
        <f aca="false">Sens!E11985</f>
        <v>74.1284935338591</v>
      </c>
      <c r="F12013" s="6" t="n">
        <f aca="false">Sens!F11985</f>
        <v>92.2699541184664</v>
      </c>
      <c r="G12013" s="6" t="n">
        <f aca="false">Sens!G11985</f>
        <v>109.630477277949</v>
      </c>
      <c r="H12013" s="6" t="n">
        <f aca="false">Sens!H11985</f>
        <v>127.293256321956</v>
      </c>
      <c r="I12013" s="6" t="n">
        <f aca="false">Sens!I11985</f>
        <v>144.360052269491</v>
      </c>
      <c r="J12013" s="6" t="n">
        <f aca="false">Sens!J11985</f>
        <v>159.811964490216</v>
      </c>
      <c r="K12013" s="6" t="n">
        <f aca="false">Sens!K11985</f>
        <v>172.596921649434</v>
      </c>
    </row>
    <row r="12014" customFormat="false" ht="15" hidden="false" customHeight="false" outlineLevel="0" collapsed="false">
      <c r="A12014" s="0" t="s">
        <v>1036</v>
      </c>
      <c r="B12014" s="0" t="s">
        <v>98</v>
      </c>
      <c r="D12014" s="6" t="n">
        <f aca="false">Sens!D11992</f>
        <v>84.605</v>
      </c>
      <c r="E12014" s="6" t="n">
        <f aca="false">Sens!E11992</f>
        <v>100.299</v>
      </c>
      <c r="F12014" s="6" t="n">
        <f aca="false">Sens!F11992</f>
        <v>117.438354189776</v>
      </c>
      <c r="G12014" s="6" t="n">
        <f aca="false">Sens!G11992</f>
        <v>132.595360443801</v>
      </c>
      <c r="H12014" s="6" t="n">
        <f aca="false">Sens!H11992</f>
        <v>147.833811964563</v>
      </c>
      <c r="I12014" s="6" t="n">
        <f aca="false">Sens!I11992</f>
        <v>162.145665319381</v>
      </c>
      <c r="J12014" s="6" t="n">
        <f aca="false">Sens!J11992</f>
        <v>175.249327755573</v>
      </c>
      <c r="K12014" s="6" t="n">
        <f aca="false">Sens!K11992</f>
        <v>187.599280698463</v>
      </c>
    </row>
    <row r="12015" customFormat="false" ht="17.15" hidden="false" customHeight="false" outlineLevel="0" collapsed="false">
      <c r="A12015" s="0" t="s">
        <v>1057</v>
      </c>
      <c r="B12015" s="0" t="s">
        <v>98</v>
      </c>
      <c r="D12015" s="6" t="n">
        <f aca="false">Sens!D11990</f>
        <v>83.705</v>
      </c>
      <c r="E12015" s="6" t="n">
        <f aca="false">Sens!E11990</f>
        <v>95.049</v>
      </c>
      <c r="F12015" s="6" t="n">
        <f aca="false">Sens!F11990</f>
        <v>106.938354189776</v>
      </c>
      <c r="G12015" s="6" t="n">
        <f aca="false">Sens!G11990</f>
        <v>119.095360443801</v>
      </c>
      <c r="H12015" s="6" t="n">
        <f aca="false">Sens!H11990</f>
        <v>131.333811964563</v>
      </c>
      <c r="I12015" s="6" t="n">
        <f aca="false">Sens!I11990</f>
        <v>143.395665319381</v>
      </c>
      <c r="J12015" s="6" t="n">
        <f aca="false">Sens!J11990</f>
        <v>154.999327755573</v>
      </c>
      <c r="K12015" s="6" t="n">
        <f aca="false">Sens!K11990</f>
        <v>165.849280698463</v>
      </c>
    </row>
    <row r="12016" customFormat="false" ht="17.15" hidden="false" customHeight="false" outlineLevel="0" collapsed="false">
      <c r="A12016" s="0" t="s">
        <v>1058</v>
      </c>
      <c r="B12016" s="0" t="s">
        <v>98</v>
      </c>
      <c r="D12016" s="6" t="n">
        <f aca="false">Sens!D11989</f>
        <v>0.9</v>
      </c>
      <c r="E12016" s="6" t="n">
        <f aca="false">Sens!E11989</f>
        <v>5.25</v>
      </c>
      <c r="F12016" s="6" t="n">
        <f aca="false">Sens!F11989</f>
        <v>10.5</v>
      </c>
      <c r="G12016" s="6" t="n">
        <f aca="false">Sens!G11989</f>
        <v>13.5</v>
      </c>
      <c r="H12016" s="6" t="n">
        <f aca="false">Sens!H11989</f>
        <v>16.5</v>
      </c>
      <c r="I12016" s="6" t="n">
        <f aca="false">Sens!I11989</f>
        <v>18.75</v>
      </c>
      <c r="J12016" s="6" t="n">
        <f aca="false">Sens!J11989</f>
        <v>20.25</v>
      </c>
      <c r="K12016" s="6" t="n">
        <f aca="false">Sens!K11989</f>
        <v>21.75</v>
      </c>
    </row>
    <row r="12017" customFormat="false" ht="15" hidden="false" customHeight="false" outlineLevel="0" collapsed="false">
      <c r="A12017" s="0" t="s">
        <v>1037</v>
      </c>
      <c r="B12017" s="0" t="s">
        <v>98</v>
      </c>
      <c r="D12017" s="6" t="n">
        <f aca="false">Sens!D11993</f>
        <v>35.391</v>
      </c>
      <c r="E12017" s="6" t="n">
        <f aca="false">Sens!E11993</f>
        <v>37.285</v>
      </c>
      <c r="F12017" s="6" t="n">
        <f aca="false">Sens!F11993</f>
        <v>38.3851437782675</v>
      </c>
      <c r="G12017" s="6" t="n">
        <f aca="false">Sens!G11993</f>
        <v>40.0105353288615</v>
      </c>
      <c r="H12017" s="6" t="n">
        <f aca="false">Sens!H11993</f>
        <v>41.4812512033683</v>
      </c>
      <c r="I12017" s="6" t="n">
        <f aca="false">Sens!I11993</f>
        <v>42.7743107216329</v>
      </c>
      <c r="J12017" s="6" t="n">
        <f aca="false">Sens!J11993</f>
        <v>43.8687373064601</v>
      </c>
      <c r="K12017" s="6" t="n">
        <f aca="false">Sens!K11993</f>
        <v>44.7461120525893</v>
      </c>
    </row>
    <row r="12018" customFormat="false" ht="15" hidden="false" customHeight="false" outlineLevel="0" collapsed="false">
      <c r="A12018" s="0" t="s">
        <v>1039</v>
      </c>
      <c r="B12018" s="0" t="s">
        <v>98</v>
      </c>
      <c r="D12018" s="6" t="n">
        <f aca="false">Sens!D11995</f>
        <v>18.417</v>
      </c>
      <c r="E12018" s="6" t="n">
        <f aca="false">Sens!E11995</f>
        <v>20.345</v>
      </c>
      <c r="F12018" s="6" t="n">
        <f aca="false">Sens!F11995</f>
        <v>22.3161797133988</v>
      </c>
      <c r="G12018" s="6" t="n">
        <f aca="false">Sens!G11995</f>
        <v>24.3943499673233</v>
      </c>
      <c r="H12018" s="6" t="n">
        <f aca="false">Sens!H11995</f>
        <v>26.5250243109019</v>
      </c>
      <c r="I12018" s="6" t="n">
        <f aca="false">Sens!I11995</f>
        <v>28.6884573538181</v>
      </c>
      <c r="J12018" s="6" t="n">
        <f aca="false">Sens!J11995</f>
        <v>30.8624968052127</v>
      </c>
      <c r="K12018" s="6" t="n">
        <f aca="false">Sens!K11995</f>
        <v>33.0228715815776</v>
      </c>
    </row>
    <row r="12019" customFormat="false" ht="15" hidden="false" customHeight="false" outlineLevel="0" collapsed="false">
      <c r="A12019" s="0" t="s">
        <v>1040</v>
      </c>
      <c r="B12019" s="0" t="s">
        <v>98</v>
      </c>
      <c r="D12019" s="6" t="n">
        <f aca="false">Sens!D11997</f>
        <v>7.76</v>
      </c>
      <c r="E12019" s="6" t="n">
        <f aca="false">Sens!E11997</f>
        <v>8.26</v>
      </c>
      <c r="F12019" s="6" t="n">
        <f aca="false">Sens!F11997</f>
        <v>8.75372082474227</v>
      </c>
      <c r="G12019" s="6" t="n">
        <f aca="false">Sens!G11997</f>
        <v>9.33399324642364</v>
      </c>
      <c r="H12019" s="6" t="n">
        <f aca="false">Sens!H11997</f>
        <v>9.96139155535851</v>
      </c>
      <c r="I12019" s="6" t="n">
        <f aca="false">Sens!I11997</f>
        <v>10.6402039077391</v>
      </c>
      <c r="J12019" s="6" t="n">
        <f aca="false">Sens!J11997</f>
        <v>11.3751458271397</v>
      </c>
      <c r="K12019" s="6" t="n">
        <f aca="false">Sens!K11997</f>
        <v>12.1714060350394</v>
      </c>
    </row>
    <row r="12020" customFormat="false" ht="15" hidden="false" customHeight="false" outlineLevel="0" collapsed="false">
      <c r="A12020" s="0" t="s">
        <v>856</v>
      </c>
      <c r="B12020" s="0" t="s">
        <v>98</v>
      </c>
      <c r="D12020" s="6" t="n">
        <f aca="false">Sens!D11999</f>
        <v>218.783</v>
      </c>
      <c r="E12020" s="6" t="n">
        <f aca="false">Sens!E11999</f>
        <v>268.127</v>
      </c>
      <c r="F12020" s="6" t="n">
        <f aca="false">Sens!F11999</f>
        <v>330.145282059882</v>
      </c>
      <c r="G12020" s="6" t="n">
        <f aca="false">Sens!G11999</f>
        <v>392.656759865851</v>
      </c>
      <c r="H12020" s="6" t="n">
        <f aca="false">Sens!H11999</f>
        <v>450.544273297982</v>
      </c>
      <c r="I12020" s="6" t="n">
        <f aca="false">Sens!I11999</f>
        <v>510.69213512593</v>
      </c>
      <c r="J12020" s="6" t="n">
        <f aca="false">Sens!J11999</f>
        <v>560.416732629406</v>
      </c>
      <c r="K12020" s="6" t="n">
        <f aca="false">Sens!K11999</f>
        <v>600.132410592692</v>
      </c>
    </row>
    <row r="12021" customFormat="false" ht="15" hidden="false" customHeight="false" outlineLevel="0" collapsed="false">
      <c r="A12021" s="0" t="s">
        <v>1041</v>
      </c>
      <c r="B12021" s="0" t="s">
        <v>98</v>
      </c>
      <c r="D12021" s="6" t="n">
        <f aca="false">Sens!D12000</f>
        <v>22.171</v>
      </c>
      <c r="E12021" s="6" t="n">
        <f aca="false">Sens!E12000</f>
        <v>24.835</v>
      </c>
      <c r="F12021" s="6" t="n">
        <f aca="false">Sens!F12000</f>
        <v>27.5591895660247</v>
      </c>
      <c r="G12021" s="6" t="n">
        <f aca="false">Sens!G12000</f>
        <v>30.4098563144583</v>
      </c>
      <c r="H12021" s="6" t="n">
        <f aca="false">Sens!H12000</f>
        <v>33.3011792571777</v>
      </c>
      <c r="I12021" s="6" t="n">
        <f aca="false">Sens!I12000</f>
        <v>36.189023797112</v>
      </c>
      <c r="J12021" s="6" t="n">
        <f aca="false">Sens!J12000</f>
        <v>39.0247773769199</v>
      </c>
      <c r="K12021" s="6" t="n">
        <f aca="false">Sens!K12000</f>
        <v>41.7565117933043</v>
      </c>
    </row>
    <row r="12022" customFormat="false" ht="15" hidden="false" customHeight="false" outlineLevel="0" collapsed="false">
      <c r="A12022" s="0" t="s">
        <v>1042</v>
      </c>
      <c r="B12022" s="0" t="s">
        <v>98</v>
      </c>
      <c r="D12022" s="6" t="n">
        <f aca="false">Sens!D12002</f>
        <v>23.455</v>
      </c>
      <c r="E12022" s="6" t="n">
        <f aca="false">Sens!E12002</f>
        <v>21.79</v>
      </c>
      <c r="F12022" s="6" t="n">
        <f aca="false">Sens!F12002</f>
        <v>20.6435514375044</v>
      </c>
      <c r="G12022" s="6" t="n">
        <f aca="false">Sens!G12002</f>
        <v>19.5289786205326</v>
      </c>
      <c r="H12022" s="6" t="n">
        <f aca="false">Sens!H12002</f>
        <v>18.6405370670455</v>
      </c>
      <c r="I12022" s="6" t="n">
        <f aca="false">Sens!I12002</f>
        <v>17.950917993743</v>
      </c>
      <c r="J12022" s="6" t="n">
        <f aca="false">Sens!J12002</f>
        <v>17.4393557354192</v>
      </c>
      <c r="K12022" s="6" t="n">
        <f aca="false">Sens!K12002</f>
        <v>17.0905686207108</v>
      </c>
    </row>
    <row r="12023" customFormat="false" ht="15" hidden="false" customHeight="false" outlineLevel="0" collapsed="false">
      <c r="A12023" s="0" t="s">
        <v>1043</v>
      </c>
      <c r="B12023" s="0" t="s">
        <v>98</v>
      </c>
      <c r="D12023" s="6" t="n">
        <f aca="false">Sens!D12004</f>
        <v>17.315</v>
      </c>
      <c r="E12023" s="6" t="n">
        <f aca="false">Sens!E12004</f>
        <v>17.087</v>
      </c>
      <c r="F12023" s="6" t="n">
        <f aca="false">Sens!F12004</f>
        <v>15.9912273250553</v>
      </c>
      <c r="G12023" s="6" t="n">
        <f aca="false">Sens!G12004</f>
        <v>15.9574562664827</v>
      </c>
      <c r="H12023" s="6" t="n">
        <f aca="false">Sens!H12004</f>
        <v>16.0119687434196</v>
      </c>
      <c r="I12023" s="6" t="n">
        <f aca="false">Sens!I12004</f>
        <v>16.1551810001948</v>
      </c>
      <c r="J12023" s="6" t="n">
        <f aca="false">Sens!J12004</f>
        <v>16.3889793892005</v>
      </c>
      <c r="K12023" s="6" t="n">
        <f aca="false">Sens!K12004</f>
        <v>16.7167589769845</v>
      </c>
    </row>
    <row r="12024" customFormat="false" ht="15" hidden="false" customHeight="false" outlineLevel="0" collapsed="false">
      <c r="A12024" s="0" t="s">
        <v>870</v>
      </c>
      <c r="B12024" s="0" t="s">
        <v>98</v>
      </c>
      <c r="D12024" s="6" t="n">
        <f aca="false">Sens!D12006</f>
        <v>62.941</v>
      </c>
      <c r="E12024" s="6" t="n">
        <f aca="false">Sens!E12006</f>
        <v>63.712</v>
      </c>
      <c r="F12024" s="6" t="n">
        <f aca="false">Sens!F12006</f>
        <v>64.1939683285845</v>
      </c>
      <c r="G12024" s="6" t="n">
        <f aca="false">Sens!G12006</f>
        <v>65.8962912014735</v>
      </c>
      <c r="H12024" s="6" t="n">
        <f aca="false">Sens!H12006</f>
        <v>67.9536850676428</v>
      </c>
      <c r="I12024" s="6" t="n">
        <f aca="false">Sens!I12006</f>
        <v>70.2951227910498</v>
      </c>
      <c r="J12024" s="6" t="n">
        <f aca="false">Sens!J12006</f>
        <v>72.8531125015395</v>
      </c>
      <c r="K12024" s="6" t="n">
        <f aca="false">Sens!K12006</f>
        <v>75.5638393909996</v>
      </c>
    </row>
    <row r="12025" customFormat="false" ht="15" hidden="false" customHeight="false" outlineLevel="0" collapsed="false">
      <c r="A12025" s="1" t="s">
        <v>1059</v>
      </c>
      <c r="B12025" s="0" t="s">
        <v>98</v>
      </c>
      <c r="D12025" s="6" t="n">
        <f aca="false">Sens!D12007</f>
        <v>281.724</v>
      </c>
      <c r="E12025" s="6" t="n">
        <f aca="false">Sens!E12007</f>
        <v>331.839</v>
      </c>
      <c r="F12025" s="6" t="n">
        <f aca="false">Sens!F12007</f>
        <v>394.339250388466</v>
      </c>
      <c r="G12025" s="6" t="n">
        <f aca="false">Sens!G12007</f>
        <v>458.553051067325</v>
      </c>
      <c r="H12025" s="6" t="n">
        <f aca="false">Sens!H12007</f>
        <v>518.497958365625</v>
      </c>
      <c r="I12025" s="6" t="n">
        <f aca="false">Sens!I12007</f>
        <v>580.98725791698</v>
      </c>
      <c r="J12025" s="6" t="n">
        <f aca="false">Sens!J12007</f>
        <v>633.269845130945</v>
      </c>
      <c r="K12025" s="6" t="n">
        <f aca="false">Sens!K12007</f>
        <v>675.696249983692</v>
      </c>
    </row>
    <row r="12026" customFormat="false" ht="15" hidden="false" customHeight="false" outlineLevel="0" collapsed="false">
      <c r="A12026" s="1" t="s">
        <v>1060</v>
      </c>
      <c r="B12026" s="0" t="s">
        <v>168</v>
      </c>
      <c r="E12026" s="7" t="n">
        <f aca="false">Sens!E12025/Sens!D12025-1</f>
        <v>0.177886867998467</v>
      </c>
      <c r="F12026" s="7" t="n">
        <f aca="false">Sens!F12025/Sens!E12025-1</f>
        <v>0.188345102258825</v>
      </c>
      <c r="G12026" s="7" t="n">
        <f aca="false">Sens!G12025/Sens!F12025-1</f>
        <v>0.16283897840654</v>
      </c>
      <c r="H12026" s="7" t="n">
        <f aca="false">Sens!H12025/Sens!G12025-1</f>
        <v>0.130726220573111</v>
      </c>
      <c r="I12026" s="7" t="n">
        <f aca="false">Sens!I12025/Sens!H12025-1</f>
        <v>0.120519856526205</v>
      </c>
      <c r="J12026" s="7" t="n">
        <f aca="false">Sens!J12025/Sens!I12025-1</f>
        <v>0.0899892149122419</v>
      </c>
      <c r="K12026" s="7" t="n">
        <f aca="false">Sens!K12025/Sens!J12025-1</f>
        <v>0.0669957762539188</v>
      </c>
    </row>
    <row r="12027" customFormat="false" ht="17.15" hidden="false" customHeight="false" outlineLevel="0" collapsed="false">
      <c r="A12027" s="26" t="s">
        <v>1061</v>
      </c>
      <c r="B12027" s="31" t="s">
        <v>98</v>
      </c>
      <c r="C12027" s="31"/>
      <c r="D12027" s="27" t="n">
        <f aca="false">(Sens!D12020+Sens!D12024-Sens!D12025)+(Sens!D12012+Sens!D12013-Sens!D12011)+(Sens!D12015+Sens!D12016-Sens!D12014)+(Sens!D12025-Q!L18)</f>
        <v>0</v>
      </c>
      <c r="E12027" s="27" t="n">
        <f aca="false">(Sens!E12020+Sens!E12024-Sens!E12025)+(Sens!E12012+Sens!E12013-Sens!E12011)+(Sens!E12015+Sens!E12016-Sens!E12014)+(Sens!E12025-Q!M18)</f>
        <v>0</v>
      </c>
      <c r="F12027" s="27" t="n">
        <f aca="false">(Sens!F12020+Sens!F12024-Sens!F12025)+(Sens!F12012+Sens!F12013-Sens!F12011)+(Sens!F12015+Sens!F12016-Sens!F12014)</f>
        <v>0</v>
      </c>
      <c r="G12027" s="27" t="n">
        <f aca="false">(Sens!G12020+Sens!G12024-Sens!G12025)+(Sens!G12012+Sens!G12013-Sens!G12011)+(Sens!G12015+Sens!G12016-Sens!G12014)</f>
        <v>0</v>
      </c>
      <c r="H12027" s="27" t="n">
        <f aca="false">(Sens!H12020+Sens!H12024-Sens!H12025)+(Sens!H12012+Sens!H12013-Sens!H12011)+(Sens!H12015+Sens!H12016-Sens!H12014)</f>
        <v>0</v>
      </c>
      <c r="I12027" s="27" t="n">
        <f aca="false">(Sens!I12020+Sens!I12024-Sens!I12025)+(Sens!I12012+Sens!I12013-Sens!I12011)+(Sens!I12015+Sens!I12016-Sens!I12014)</f>
        <v>0</v>
      </c>
      <c r="J12027" s="27" t="n">
        <f aca="false">(Sens!J12020+Sens!J12024-Sens!J12025)+(Sens!J12012+Sens!J12013-Sens!J12011)+(Sens!J12015+Sens!J12016-Sens!J12014)</f>
        <v>0</v>
      </c>
      <c r="K12027" s="27" t="n">
        <f aca="false">(Sens!K12020+Sens!K12024-Sens!K12025)+(Sens!K12012+Sens!K12013-Sens!K12011)+(Sens!K12015+Sens!K12016-Sens!K12014)</f>
        <v>0</v>
      </c>
    </row>
    <row r="12028" customFormat="false" ht="17.15" hidden="false" customHeight="false" outlineLevel="0" collapsed="false">
      <c r="A12028" s="0" t="s">
        <v>1062</v>
      </c>
      <c r="B12028" s="0" t="s">
        <v>168</v>
      </c>
      <c r="E12028" s="7" t="n">
        <f aca="false">(Q!M21+Sens!E11964+Sens!E11965+Sens!E11966+Sens!E11980-Sens!E11962)/(Q!M5-Sens!E11962)</f>
        <v>0.570957350878296</v>
      </c>
      <c r="F12028" s="7" t="n">
        <f aca="false">Sens!$E$12028+dm_seg</f>
        <v>0.570957350878296</v>
      </c>
      <c r="G12028" s="7" t="n">
        <f aca="false">Sens!$E$12028+dm_seg</f>
        <v>0.570957350878296</v>
      </c>
      <c r="H12028" s="7" t="n">
        <f aca="false">Sens!$E$12028+dm_seg</f>
        <v>0.570957350878296</v>
      </c>
      <c r="I12028" s="7" t="n">
        <f aca="false">Sens!$E$12028+dm_seg</f>
        <v>0.570957350878296</v>
      </c>
      <c r="J12028" s="7" t="n">
        <f aca="false">Sens!$E$12028+dm_seg</f>
        <v>0.570957350878296</v>
      </c>
      <c r="K12028" s="7" t="n">
        <f aca="false">Sens!$E$12028+dm_seg</f>
        <v>0.570957350878296</v>
      </c>
      <c r="L12028" s="12" t="s">
        <v>1063</v>
      </c>
    </row>
    <row r="12029" customFormat="false" ht="17.15" hidden="false" customHeight="false" outlineLevel="0" collapsed="false">
      <c r="A12029" s="0" t="s">
        <v>884</v>
      </c>
      <c r="B12029" s="0" t="s">
        <v>98</v>
      </c>
      <c r="D12029" s="6" t="n">
        <f aca="false">Q!L21</f>
        <v>110.814</v>
      </c>
      <c r="E12029" s="6" t="n">
        <f aca="false">Q!M21</f>
        <v>136.365</v>
      </c>
      <c r="F12029" s="6" t="n">
        <f aca="false">Q!$I$21+(Sens!F12028*(Sens!F11999-Sens!F11962)+Sens!F11962-(Sens!F11964+Sens!F11965+Sens!F11966)-Sens!F11980-Sens!F12063)*(Sens!F11999-Q!$I$5)/Sens!F11999</f>
        <v>158.110234156687</v>
      </c>
      <c r="G12029" s="6" t="n">
        <f aca="false">(Sens!G12028*(Sens!G11999-Sens!G11962)+Sens!G11962-(Sens!G11964+Sens!G11965+Sens!G11966)-Sens!G11980-Sens!G12063)</f>
        <v>161.288737768095</v>
      </c>
      <c r="H12029" s="6" t="n">
        <f aca="false">(Sens!H12028*(Sens!H11999-Sens!H11962)+Sens!H11962-(Sens!H11964+Sens!H11965+Sens!H11966)-Sens!H11980-Sens!H12063)</f>
        <v>162.750449226018</v>
      </c>
      <c r="I12029" s="6" t="n">
        <f aca="false">(Sens!I12028*(Sens!I11999-Sens!I11962)+Sens!I11962-(Sens!I11964+Sens!I11965+Sens!I11966)-Sens!I11980-Sens!I12063)</f>
        <v>172.031140185604</v>
      </c>
      <c r="J12029" s="6" t="n">
        <f aca="false">(Sens!J12028*(Sens!J11999-Sens!J11962)+Sens!J11962-(Sens!J11964+Sens!J11965+Sens!J11966)-Sens!J11980-Sens!J12063)</f>
        <v>182.855335729531</v>
      </c>
      <c r="K12029" s="6" t="n">
        <f aca="false">(Sens!K12028*(Sens!K11999-Sens!K11962)+Sens!K11962-(Sens!K11964+Sens!K11965+Sens!K11966)-Sens!K11980-Sens!K12063)</f>
        <v>195.088404864353</v>
      </c>
      <c r="L12029" s="1" t="s">
        <v>1064</v>
      </c>
    </row>
    <row r="12030" customFormat="false" ht="17.15" hidden="false" customHeight="false" outlineLevel="0" collapsed="false">
      <c r="A12030" s="0" t="s">
        <v>1065</v>
      </c>
      <c r="B12030" s="0" t="s">
        <v>168</v>
      </c>
      <c r="E12030" s="7" t="n">
        <f aca="false">Q!M22/Q!M12</f>
        <v>0.296207935710698</v>
      </c>
      <c r="F12030" s="7" t="n">
        <f aca="false">Sens!$E$12030+dm_seg</f>
        <v>0.296207935710698</v>
      </c>
      <c r="G12030" s="7" t="n">
        <f aca="false">Sens!$E$12030+dm_seg</f>
        <v>0.296207935710698</v>
      </c>
      <c r="H12030" s="7" t="n">
        <f aca="false">Sens!$E$12030+dm_seg</f>
        <v>0.296207935710698</v>
      </c>
      <c r="I12030" s="7" t="n">
        <f aca="false">Sens!$E$12030+dm_seg</f>
        <v>0.296207935710698</v>
      </c>
      <c r="J12030" s="7" t="n">
        <f aca="false">Sens!$E$12030+dm_seg</f>
        <v>0.296207935710698</v>
      </c>
      <c r="K12030" s="7" t="n">
        <f aca="false">Sens!$E$12030+dm_seg</f>
        <v>0.296207935710698</v>
      </c>
      <c r="L12030" s="12" t="s">
        <v>1066</v>
      </c>
    </row>
    <row r="12031" customFormat="false" ht="17.15" hidden="false" customHeight="false" outlineLevel="0" collapsed="false">
      <c r="A12031" s="0" t="s">
        <v>886</v>
      </c>
      <c r="B12031" s="0" t="s">
        <v>98</v>
      </c>
      <c r="D12031" s="6" t="n">
        <f aca="false">Q!L22</f>
        <v>17.714</v>
      </c>
      <c r="E12031" s="6" t="n">
        <f aca="false">Q!M22</f>
        <v>18.872</v>
      </c>
      <c r="F12031" s="6" t="n">
        <f aca="false">Q!$I$22+(Sens!F12006-Q!$I$12)*Sens!F12030</f>
        <v>19.7852791671435</v>
      </c>
      <c r="G12031" s="6" t="n">
        <f aca="false">Sens!G12006*Sens!G12030</f>
        <v>19.5190043877795</v>
      </c>
      <c r="H12031" s="6" t="n">
        <f aca="false">Sens!H12006*Sens!H12030</f>
        <v>20.1284207778214</v>
      </c>
      <c r="I12031" s="6" t="n">
        <f aca="false">Sens!I12006*Sens!I12030</f>
        <v>20.8219732124669</v>
      </c>
      <c r="J12031" s="6" t="n">
        <f aca="false">Sens!J12006*Sens!J12030</f>
        <v>21.5796700641803</v>
      </c>
      <c r="K12031" s="6" t="n">
        <f aca="false">Sens!K12006*Sens!K12030</f>
        <v>22.3826088803827</v>
      </c>
      <c r="L12031" s="12" t="s">
        <v>1067</v>
      </c>
    </row>
    <row r="12032" customFormat="false" ht="15" hidden="false" customHeight="false" outlineLevel="0" collapsed="false">
      <c r="A12032" s="1" t="s">
        <v>1068</v>
      </c>
      <c r="B12032" s="0" t="s">
        <v>98</v>
      </c>
      <c r="D12032" s="6" t="n">
        <f aca="false">Sens!D12029+Sens!D12031</f>
        <v>128.528</v>
      </c>
      <c r="E12032" s="6" t="n">
        <f aca="false">Sens!E12029+Sens!E12031</f>
        <v>155.237</v>
      </c>
      <c r="F12032" s="6" t="n">
        <f aca="false">Sens!F12029+Sens!F12031</f>
        <v>177.89551332383</v>
      </c>
      <c r="G12032" s="6" t="n">
        <f aca="false">Sens!G12029+Sens!G12031</f>
        <v>180.807742155875</v>
      </c>
      <c r="H12032" s="6" t="n">
        <f aca="false">Sens!H12029+Sens!H12031</f>
        <v>182.87887000384</v>
      </c>
      <c r="I12032" s="6" t="n">
        <f aca="false">Sens!I12029+Sens!I12031</f>
        <v>192.853113398071</v>
      </c>
      <c r="J12032" s="6" t="n">
        <f aca="false">Sens!J12029+Sens!J12031</f>
        <v>204.435005793711</v>
      </c>
      <c r="K12032" s="6" t="n">
        <f aca="false">Sens!K12029+Sens!K12031</f>
        <v>217.471013744736</v>
      </c>
    </row>
    <row r="12033" customFormat="false" ht="15" hidden="false" customHeight="false" outlineLevel="0" collapsed="false">
      <c r="A12033" s="26" t="s">
        <v>1069</v>
      </c>
      <c r="B12033" s="31" t="s">
        <v>98</v>
      </c>
      <c r="C12033" s="31"/>
      <c r="D12033" s="27" t="n">
        <f aca="false">Sens!D12032-Q!L23</f>
        <v>0</v>
      </c>
      <c r="E12033" s="27" t="n">
        <f aca="false">Sens!E12032-Q!M23</f>
        <v>0</v>
      </c>
      <c r="F12033" s="31"/>
      <c r="G12033" s="31"/>
      <c r="H12033" s="31"/>
      <c r="I12033" s="31"/>
      <c r="J12033" s="31"/>
      <c r="K12033" s="31"/>
    </row>
    <row r="12034" customFormat="false" ht="15" hidden="false" customHeight="false" outlineLevel="0" collapsed="false">
      <c r="A12034" s="1" t="s">
        <v>1070</v>
      </c>
      <c r="B12034" s="0" t="s">
        <v>168</v>
      </c>
      <c r="D12034" s="7" t="n">
        <f aca="false">Sens!D12032/Sens!D12025</f>
        <v>0.456219562408598</v>
      </c>
      <c r="E12034" s="7" t="n">
        <f aca="false">Sens!E12032/Sens!E12025</f>
        <v>0.467808184089272</v>
      </c>
      <c r="F12034" s="7" t="n">
        <f aca="false">Sens!F12032/Sens!F12025</f>
        <v>0.451123019452373</v>
      </c>
      <c r="G12034" s="7" t="n">
        <f aca="false">Sens!G12032/Sens!G12025</f>
        <v>0.39430059779349</v>
      </c>
      <c r="H12034" s="7" t="n">
        <f aca="false">Sens!H12032/Sens!H12025</f>
        <v>0.352708949096537</v>
      </c>
      <c r="I12034" s="7" t="n">
        <f aca="false">Sens!I12032/Sens!I12025</f>
        <v>0.331940349414046</v>
      </c>
      <c r="J12034" s="7" t="n">
        <f aca="false">Sens!J12032/Sens!J12025</f>
        <v>0.322824475798999</v>
      </c>
      <c r="K12034" s="7" t="n">
        <f aca="false">Sens!K12032/Sens!K12025</f>
        <v>0.32184730009969</v>
      </c>
    </row>
    <row r="12035" customFormat="false" ht="17.15" hidden="false" customHeight="false" outlineLevel="0" collapsed="false">
      <c r="A12035" s="1" t="s">
        <v>1071</v>
      </c>
      <c r="B12035" s="0" t="s">
        <v>98</v>
      </c>
      <c r="F12035" s="6" t="n">
        <f aca="false">Sens!F12050</f>
        <v>10.5962787979473</v>
      </c>
      <c r="G12035" s="6" t="n">
        <f aca="false">Sens!G12050</f>
        <v>27.844646674932</v>
      </c>
      <c r="H12035" s="6" t="n">
        <f aca="false">Sens!H12050</f>
        <v>46.566205501382</v>
      </c>
      <c r="I12035" s="6" t="n">
        <f aca="false">Sens!I12050</f>
        <v>63.2717778126444</v>
      </c>
      <c r="J12035" s="6" t="n">
        <f aca="false">Sens!J12050</f>
        <v>74.9061222882009</v>
      </c>
      <c r="K12035" s="6" t="n">
        <f aca="false">Sens!K12050</f>
        <v>81.6395437180232</v>
      </c>
      <c r="L12035" s="1" t="s">
        <v>1072</v>
      </c>
    </row>
    <row r="12036" customFormat="false" ht="17.15" hidden="false" customHeight="false" outlineLevel="0" collapsed="false">
      <c r="A12036" s="1" t="s">
        <v>1073</v>
      </c>
      <c r="B12036" s="0" t="s">
        <v>98</v>
      </c>
      <c r="D12036" s="6" t="n">
        <f aca="false">Sens!D12032</f>
        <v>128.528</v>
      </c>
      <c r="E12036" s="6" t="n">
        <f aca="false">Sens!E12032</f>
        <v>155.237</v>
      </c>
      <c r="F12036" s="6" t="n">
        <f aca="false">Sens!F12032+Sens!F12035</f>
        <v>188.491792121778</v>
      </c>
      <c r="G12036" s="6" t="n">
        <f aca="false">Sens!G12032+Sens!G12035</f>
        <v>208.652388830807</v>
      </c>
      <c r="H12036" s="6" t="n">
        <f aca="false">Sens!H12032+Sens!H12035</f>
        <v>229.445075505222</v>
      </c>
      <c r="I12036" s="6" t="n">
        <f aca="false">Sens!I12032+Sens!I12035</f>
        <v>256.124891210716</v>
      </c>
      <c r="J12036" s="6" t="n">
        <f aca="false">Sens!J12032+Sens!J12035</f>
        <v>279.341128081912</v>
      </c>
      <c r="K12036" s="6" t="n">
        <f aca="false">Sens!K12032+Sens!K12035</f>
        <v>299.110557462759</v>
      </c>
    </row>
    <row r="12037" customFormat="false" ht="17.15" hidden="false" customHeight="false" outlineLevel="0" collapsed="false">
      <c r="A12037" s="1" t="s">
        <v>1074</v>
      </c>
      <c r="B12037" s="0" t="s">
        <v>98</v>
      </c>
      <c r="E12037" s="6" t="n">
        <f aca="false">Sens!E11980</f>
        <v>16.3054059770833</v>
      </c>
      <c r="F12037" s="6" t="n">
        <f aca="false">Sens!F11980</f>
        <v>34.5793144783516</v>
      </c>
      <c r="G12037" s="6" t="n">
        <f aca="false">Sens!G11980</f>
        <v>60.7344906522989</v>
      </c>
      <c r="H12037" s="6" t="n">
        <f aca="false">Sens!H11980</f>
        <v>89.1000906614457</v>
      </c>
      <c r="I12037" s="6" t="n">
        <f aca="false">Sens!I11980</f>
        <v>114.231009694548</v>
      </c>
      <c r="J12037" s="6" t="n">
        <f aca="false">Sens!J11980</f>
        <v>132.015673049596</v>
      </c>
      <c r="K12037" s="6" t="n">
        <f aca="false">Sens!K11980</f>
        <v>143.012669550934</v>
      </c>
    </row>
    <row r="12038" customFormat="false" ht="17.15" hidden="false" customHeight="false" outlineLevel="0" collapsed="false">
      <c r="A12038" s="1" t="s">
        <v>1075</v>
      </c>
      <c r="B12038" s="0" t="s">
        <v>98</v>
      </c>
      <c r="E12038" s="6" t="n">
        <f aca="false">Sens!E12062</f>
        <v>22.2285940229167</v>
      </c>
      <c r="F12038" s="6" t="n">
        <f aca="false">Sens!F12062</f>
        <v>23.5880148879552</v>
      </c>
      <c r="G12038" s="6" t="n">
        <f aca="false">Sens!G12062</f>
        <v>25.3461774910598</v>
      </c>
      <c r="H12038" s="6" t="n">
        <f aca="false">Sens!H12062</f>
        <v>27.4715245212655</v>
      </c>
      <c r="I12038" s="6" t="n">
        <f aca="false">Sens!I12062</f>
        <v>29.9070521828323</v>
      </c>
      <c r="J12038" s="6" t="n">
        <f aca="false">Sens!J12062</f>
        <v>32.577688444073</v>
      </c>
      <c r="K12038" s="6" t="n">
        <f aca="false">Sens!K12062</f>
        <v>35.3987885289668</v>
      </c>
    </row>
    <row r="12039" customFormat="false" ht="17.15" hidden="false" customHeight="false" outlineLevel="0" collapsed="false">
      <c r="A12039" s="1" t="s">
        <v>1076</v>
      </c>
      <c r="B12039" s="0" t="s">
        <v>98</v>
      </c>
      <c r="D12039" s="6" t="n">
        <f aca="false">Q!L27</f>
        <v>-4.901</v>
      </c>
      <c r="E12039" s="6" t="n">
        <f aca="false">Q!M27</f>
        <v>10.697</v>
      </c>
      <c r="F12039" s="6" t="n">
        <f aca="false">Q!$I$27+oie_f*(q_per_yr-1)/q_per_yr</f>
        <v>-0.862</v>
      </c>
      <c r="G12039" s="6" t="n">
        <f aca="false">oie_f</f>
        <v>-1.2</v>
      </c>
      <c r="H12039" s="6" t="n">
        <f aca="false">oie_f</f>
        <v>-1.2</v>
      </c>
      <c r="I12039" s="6" t="n">
        <f aca="false">oie_f</f>
        <v>-1.2</v>
      </c>
      <c r="J12039" s="6" t="n">
        <f aca="false">oie_f</f>
        <v>-1.2</v>
      </c>
      <c r="K12039" s="6" t="n">
        <f aca="false">oie_f</f>
        <v>-1.2</v>
      </c>
      <c r="L12039" s="12" t="s">
        <v>1077</v>
      </c>
    </row>
    <row r="12040" customFormat="false" ht="15" hidden="false" customHeight="false" outlineLevel="0" collapsed="false">
      <c r="A12040" s="1" t="s">
        <v>1078</v>
      </c>
      <c r="B12040" s="0" t="s">
        <v>98</v>
      </c>
      <c r="D12040" s="6" t="n">
        <f aca="false">Sens!D12032+Sens!D12039</f>
        <v>123.627</v>
      </c>
      <c r="E12040" s="6" t="n">
        <f aca="false">Sens!E12032+Sens!E12039</f>
        <v>165.934</v>
      </c>
      <c r="F12040" s="6" t="n">
        <f aca="false">Sens!F12032+Sens!F12039</f>
        <v>177.03351332383</v>
      </c>
      <c r="G12040" s="6" t="n">
        <f aca="false">Sens!G12032+Sens!G12039</f>
        <v>179.607742155875</v>
      </c>
      <c r="H12040" s="6" t="n">
        <f aca="false">Sens!H12032+Sens!H12039</f>
        <v>181.67887000384</v>
      </c>
      <c r="I12040" s="6" t="n">
        <f aca="false">Sens!I12032+Sens!I12039</f>
        <v>191.653113398071</v>
      </c>
      <c r="J12040" s="6" t="n">
        <f aca="false">Sens!J12032+Sens!J12039</f>
        <v>203.235005793711</v>
      </c>
      <c r="K12040" s="6" t="n">
        <f aca="false">Sens!K12032+Sens!K12039</f>
        <v>216.271013744736</v>
      </c>
    </row>
    <row r="12041" customFormat="false" ht="15" hidden="false" customHeight="false" outlineLevel="0" collapsed="false">
      <c r="A12041" s="1" t="s">
        <v>1079</v>
      </c>
      <c r="B12041" s="0" t="s">
        <v>98</v>
      </c>
      <c r="D12041" s="6" t="n">
        <f aca="false">Q!L29</f>
        <v>21.795</v>
      </c>
      <c r="E12041" s="6" t="n">
        <f aca="false">Q!M29</f>
        <v>32.185</v>
      </c>
      <c r="F12041" s="6" t="n">
        <f aca="false">Q!$I$29+(Sens!F12040-Q!$I$28)*tax_f</f>
        <v>35.5401026647661</v>
      </c>
      <c r="G12041" s="6" t="n">
        <f aca="false">Sens!G12040*tax_f</f>
        <v>35.921548431175</v>
      </c>
      <c r="H12041" s="6" t="n">
        <f aca="false">Sens!H12040*tax_f</f>
        <v>36.3357740007679</v>
      </c>
      <c r="I12041" s="6" t="n">
        <f aca="false">Sens!I12040*tax_f</f>
        <v>38.3306226796142</v>
      </c>
      <c r="J12041" s="6" t="n">
        <f aca="false">Sens!J12040*tax_f</f>
        <v>40.6470011587422</v>
      </c>
      <c r="K12041" s="6" t="n">
        <f aca="false">Sens!K12040*tax_f</f>
        <v>43.2542027489472</v>
      </c>
    </row>
    <row r="12042" customFormat="false" ht="15" hidden="false" customHeight="false" outlineLevel="0" collapsed="false">
      <c r="A12042" s="1" t="s">
        <v>1080</v>
      </c>
      <c r="B12042" s="0" t="s">
        <v>98</v>
      </c>
      <c r="D12042" s="6" t="n">
        <f aca="false">Sens!D12040-Sens!D12041</f>
        <v>101.832</v>
      </c>
      <c r="E12042" s="6" t="n">
        <f aca="false">Sens!E12040-Sens!E12041</f>
        <v>133.749</v>
      </c>
      <c r="F12042" s="6" t="n">
        <f aca="false">Sens!F12040-Sens!F12041</f>
        <v>141.493410659064</v>
      </c>
      <c r="G12042" s="6" t="n">
        <f aca="false">Sens!G12040-Sens!G12041</f>
        <v>143.6861937247</v>
      </c>
      <c r="H12042" s="6" t="n">
        <f aca="false">Sens!H12040-Sens!H12041</f>
        <v>145.343096003072</v>
      </c>
      <c r="I12042" s="6" t="n">
        <f aca="false">Sens!I12040-Sens!I12041</f>
        <v>153.322490718457</v>
      </c>
      <c r="J12042" s="6" t="n">
        <f aca="false">Sens!J12040-Sens!J12041</f>
        <v>162.588004634969</v>
      </c>
      <c r="K12042" s="6" t="n">
        <f aca="false">Sens!K12040-Sens!K12041</f>
        <v>173.016810995789</v>
      </c>
    </row>
    <row r="12043" customFormat="false" ht="17.15" hidden="false" customHeight="false" outlineLevel="0" collapsed="false">
      <c r="A12043" s="1" t="s">
        <v>1081</v>
      </c>
      <c r="B12043" s="1" t="s">
        <v>81</v>
      </c>
      <c r="D12043" s="15" t="n">
        <f aca="false">Q!L31</f>
        <v>7.465</v>
      </c>
      <c r="E12043" s="15" t="n">
        <f aca="false">Q!M31</f>
        <v>7.453</v>
      </c>
      <c r="F12043" s="15" t="n">
        <f aca="false">Sens!F12087</f>
        <v>7.4735</v>
      </c>
      <c r="G12043" s="15" t="n">
        <f aca="false">Sens!G12087</f>
        <v>7.5185</v>
      </c>
      <c r="H12043" s="15" t="n">
        <f aca="false">Sens!H12087</f>
        <v>7.5635</v>
      </c>
      <c r="I12043" s="15" t="n">
        <f aca="false">Sens!I12087</f>
        <v>7.59248142502667</v>
      </c>
      <c r="J12043" s="15" t="n">
        <f aca="false">Sens!J12087</f>
        <v>7.60663083618914</v>
      </c>
      <c r="K12043" s="15" t="n">
        <f aca="false">Sens!K12087</f>
        <v>7.62306547615439</v>
      </c>
    </row>
    <row r="12044" customFormat="false" ht="17.15" hidden="false" customHeight="false" outlineLevel="0" collapsed="false">
      <c r="A12044" s="0" t="s">
        <v>1082</v>
      </c>
      <c r="B12044" s="0" t="s">
        <v>75</v>
      </c>
      <c r="D12044" s="8" t="n">
        <f aca="false">Sens!D12042/Sens!D12043</f>
        <v>13.641259209645</v>
      </c>
      <c r="E12044" s="8" t="n">
        <f aca="false">Sens!E12042/Sens!E12043</f>
        <v>17.9456594659869</v>
      </c>
      <c r="F12044" s="8" t="n">
        <f aca="false">Sens!F12042/Sens!F12043</f>
        <v>18.9326835698219</v>
      </c>
      <c r="G12044" s="8" t="n">
        <f aca="false">Sens!G12042/Sens!G12043</f>
        <v>19.1110186506218</v>
      </c>
      <c r="H12044" s="8" t="n">
        <f aca="false">Sens!H12042/Sens!H12043</f>
        <v>19.2163807765019</v>
      </c>
      <c r="I12044" s="8" t="n">
        <f aca="false">Sens!I12042/Sens!I12043</f>
        <v>20.1939895714553</v>
      </c>
      <c r="J12044" s="8" t="n">
        <f aca="false">Sens!J12042/Sens!J12043</f>
        <v>21.3745097055905</v>
      </c>
      <c r="K12044" s="8" t="n">
        <f aca="false">Sens!K12042/Sens!K12043</f>
        <v>22.696487592426</v>
      </c>
      <c r="L12044" s="1" t="s">
        <v>1083</v>
      </c>
    </row>
    <row r="12045" customFormat="false" ht="17.15" hidden="false" customHeight="false" outlineLevel="0" collapsed="false">
      <c r="A12045" s="1" t="s">
        <v>1084</v>
      </c>
      <c r="B12045" s="0" t="s">
        <v>98</v>
      </c>
      <c r="D12045" s="6" t="n">
        <f aca="false">Sens!D12042</f>
        <v>101.832</v>
      </c>
      <c r="E12045" s="6" t="n">
        <f aca="false">Sens!E12042</f>
        <v>133.749</v>
      </c>
      <c r="F12045" s="6" t="n">
        <f aca="false">Sens!F12042+Sens!F12035*(1-tax_f)</f>
        <v>149.970433697422</v>
      </c>
      <c r="G12045" s="6" t="n">
        <f aca="false">Sens!G12042+Sens!G12035*(1-tax_f)</f>
        <v>165.961911064645</v>
      </c>
      <c r="H12045" s="6" t="n">
        <f aca="false">Sens!H12042+Sens!H12035*(1-tax_f)</f>
        <v>182.596060404177</v>
      </c>
      <c r="I12045" s="6" t="n">
        <f aca="false">Sens!I12042+Sens!I12035*(1-tax_f)</f>
        <v>203.939912968572</v>
      </c>
      <c r="J12045" s="6" t="n">
        <f aca="false">Sens!J12042+Sens!J12035*(1-tax_f)</f>
        <v>222.512902465529</v>
      </c>
      <c r="K12045" s="6" t="n">
        <f aca="false">Sens!K12042+Sens!K12035*(1-tax_f)</f>
        <v>238.328445970208</v>
      </c>
    </row>
    <row r="12046" customFormat="false" ht="17.15" hidden="false" customHeight="false" outlineLevel="0" collapsed="false">
      <c r="A12046" s="0" t="s">
        <v>1085</v>
      </c>
      <c r="B12046" s="0" t="s">
        <v>75</v>
      </c>
      <c r="D12046" s="8" t="n">
        <f aca="false">Sens!D12045/Sens!D12043</f>
        <v>13.641259209645</v>
      </c>
      <c r="E12046" s="8" t="n">
        <f aca="false">Sens!E12045/Sens!E12043</f>
        <v>17.9456594659869</v>
      </c>
      <c r="F12046" s="8" t="n">
        <f aca="false">Sens!F12045/Sens!F12043</f>
        <v>20.0669610888368</v>
      </c>
      <c r="G12046" s="8" t="n">
        <f aca="false">Sens!G12045/Sens!G12043</f>
        <v>22.0738060869383</v>
      </c>
      <c r="H12046" s="8" t="n">
        <f aca="false">Sens!H12045/Sens!H12043</f>
        <v>24.1417413107923</v>
      </c>
      <c r="I12046" s="8" t="n">
        <f aca="false">Sens!I12045/Sens!I12043</f>
        <v>26.8607720654195</v>
      </c>
      <c r="J12046" s="8" t="n">
        <f aca="false">Sens!J12045/Sens!J12043</f>
        <v>29.2524913141449</v>
      </c>
      <c r="K12046" s="8" t="n">
        <f aca="false">Sens!K12045/Sens!K12043</f>
        <v>31.2641215946156</v>
      </c>
      <c r="L12046" s="1" t="s">
        <v>1086</v>
      </c>
    </row>
    <row r="12047" customFormat="false" ht="17.15" hidden="false" customHeight="false" outlineLevel="0" collapsed="false">
      <c r="A12047" s="0" t="s">
        <v>1087</v>
      </c>
      <c r="B12047" s="0" t="s">
        <v>168</v>
      </c>
      <c r="E12047" s="7" t="n">
        <f aca="false">Sens!E12046/Sens!D12046-1</f>
        <v>0.315542736208578</v>
      </c>
      <c r="F12047" s="7" t="n">
        <f aca="false">Sens!F12046/Sens!E12046-1</f>
        <v>0.118206947305034</v>
      </c>
      <c r="G12047" s="7" t="n">
        <f aca="false">Sens!G12046/Sens!F12046-1</f>
        <v>0.100007419619597</v>
      </c>
      <c r="H12047" s="7" t="n">
        <f aca="false">Sens!H12046/Sens!G12046-1</f>
        <v>0.0936827666107685</v>
      </c>
      <c r="I12047" s="7" t="n">
        <f aca="false">Sens!I12046/Sens!H12046-1</f>
        <v>0.112627781054537</v>
      </c>
      <c r="J12047" s="7" t="n">
        <f aca="false">Sens!J12046/Sens!I12046-1</f>
        <v>0.0890413441170044</v>
      </c>
      <c r="K12047" s="7" t="n">
        <f aca="false">Sens!K12046/Sens!J12046-1</f>
        <v>0.0687678276310795</v>
      </c>
    </row>
    <row r="12048" customFormat="false" ht="17.15" hidden="false" customHeight="false" outlineLevel="0" collapsed="false">
      <c r="A12048" s="0" t="s">
        <v>1007</v>
      </c>
      <c r="B12048" s="0" t="s">
        <v>98</v>
      </c>
      <c r="E12048" s="6" t="n">
        <f aca="false">Sens!E11989</f>
        <v>5.25</v>
      </c>
      <c r="F12048" s="6" t="n">
        <f aca="false">Sens!F11989</f>
        <v>10.5</v>
      </c>
      <c r="G12048" s="6" t="n">
        <f aca="false">Sens!G11989</f>
        <v>13.5</v>
      </c>
      <c r="H12048" s="6" t="n">
        <f aca="false">Sens!H11989</f>
        <v>16.5</v>
      </c>
      <c r="I12048" s="6" t="n">
        <f aca="false">Sens!I11989</f>
        <v>18.75</v>
      </c>
      <c r="J12048" s="6" t="n">
        <f aca="false">Sens!J11989</f>
        <v>20.25</v>
      </c>
      <c r="K12048" s="6" t="n">
        <f aca="false">Sens!K11989</f>
        <v>21.75</v>
      </c>
    </row>
    <row r="12049" customFormat="false" ht="17.15" hidden="false" customHeight="false" outlineLevel="0" collapsed="false">
      <c r="A12049" s="1" t="s">
        <v>1008</v>
      </c>
      <c r="B12049" s="0" t="s">
        <v>98</v>
      </c>
      <c r="F12049" s="6" t="n">
        <f aca="false">MAX(0,((Sens!E11949+Sens!F11949)/2-(shadow_base*(Sens!$D$11949+Sens!$E$11949)/2+(1-shadow_base)*Sens!$E$11949))*Sens!F11958/1000-(Sens!F12048-Sens!$E$12048)*Sens!F12028)</f>
        <v>10.5962787979473</v>
      </c>
      <c r="G12049" s="6" t="n">
        <f aca="false">MAX(0,((Sens!F11949+Sens!G11949)/2-(shadow_base*(Sens!$D$11949+Sens!$E$11949)/2+(1-shadow_base)*Sens!$E$11949))*Sens!G11958/1000-(Sens!G12048-Sens!$E$12048)*Sens!G12028)</f>
        <v>27.844646674932</v>
      </c>
      <c r="H12049" s="6" t="n">
        <f aca="false">MAX(0,((Sens!G11949+Sens!H11949)/2-(shadow_base*(Sens!$D$11949+Sens!$E$11949)/2+(1-shadow_base)*Sens!$E$11949))*Sens!H11958/1000-(Sens!H12048-Sens!$E$12048)*Sens!H12028)</f>
        <v>46.566205501382</v>
      </c>
      <c r="I12049" s="6" t="n">
        <f aca="false">MAX(0,((Sens!H11949+Sens!I11949)/2-(shadow_base*(Sens!$D$11949+Sens!$E$11949)/2+(1-shadow_base)*Sens!$E$11949))*Sens!I11958/1000-(Sens!I12048-Sens!$E$12048)*Sens!I12028)</f>
        <v>63.2717778126444</v>
      </c>
      <c r="J12049" s="6" t="n">
        <f aca="false">MAX(0,((Sens!I11949+Sens!J11949)/2-(shadow_base*(Sens!$D$11949+Sens!$E$11949)/2+(1-shadow_base)*Sens!$E$11949))*Sens!J11958/1000-(Sens!J12048-Sens!$E$12048)*Sens!J12028)</f>
        <v>74.9061222882009</v>
      </c>
      <c r="K12049" s="6" t="n">
        <f aca="false">MAX(0,((Sens!J11949+Sens!K11949)/2-(shadow_base*(Sens!$D$11949+Sens!$E$11949)/2+(1-shadow_base)*Sens!$E$11949))*Sens!K11958/1000-(Sens!K12048-Sens!$E$12048)*Sens!K12028)</f>
        <v>81.6395437180232</v>
      </c>
      <c r="L12049" s="1" t="s">
        <v>1009</v>
      </c>
    </row>
    <row r="12050" customFormat="false" ht="17.15" hidden="false" customHeight="false" outlineLevel="0" collapsed="false">
      <c r="A12050" s="1" t="s">
        <v>1010</v>
      </c>
      <c r="B12050" s="0" t="s">
        <v>98</v>
      </c>
      <c r="F12050" s="6" t="n">
        <f aca="false">IF(internal_ai_reading=2,1,0)*Sens!F12049</f>
        <v>10.5962787979473</v>
      </c>
      <c r="G12050" s="6" t="n">
        <f aca="false">IF(internal_ai_reading=2,1,0)*Sens!G12049</f>
        <v>27.844646674932</v>
      </c>
      <c r="H12050" s="6" t="n">
        <f aca="false">IF(internal_ai_reading=2,1,0)*Sens!H12049</f>
        <v>46.566205501382</v>
      </c>
      <c r="I12050" s="6" t="n">
        <f aca="false">IF(internal_ai_reading=2,1,0)*Sens!I12049</f>
        <v>63.2717778126444</v>
      </c>
      <c r="J12050" s="6" t="n">
        <f aca="false">IF(internal_ai_reading=2,1,0)*Sens!J12049</f>
        <v>74.9061222882009</v>
      </c>
      <c r="K12050" s="6" t="n">
        <f aca="false">IF(internal_ai_reading=2,1,0)*Sens!K12049</f>
        <v>81.6395437180232</v>
      </c>
    </row>
    <row r="12051" customFormat="false" ht="17.15" hidden="false" customHeight="false" outlineLevel="0" collapsed="false">
      <c r="A12051" s="0" t="s">
        <v>1011</v>
      </c>
      <c r="B12051" s="0" t="s">
        <v>98</v>
      </c>
      <c r="F12051" s="6" t="n">
        <f aca="false">Sens!F11968+Sens!F12048*Sens!F12028+Sens!F12050-Sens!F11969-Sens!F11980</f>
        <v>10.3853806853618</v>
      </c>
      <c r="G12051" s="6" t="n">
        <f aca="false">Sens!G11968+Sens!G12048*Sens!G12028+Sens!G12050-Sens!G11969-Sens!G11980</f>
        <v>16.4389313105741</v>
      </c>
      <c r="H12051" s="6" t="n">
        <f aca="false">Sens!H11968+Sens!H12048*Sens!H12028+Sens!H12050-Sens!H11969-Sens!H11980</f>
        <v>17.135416308873</v>
      </c>
      <c r="I12051" s="6" t="n">
        <f aca="false">Sens!I11968+Sens!I12048*Sens!I12028+Sens!I12050-Sens!I11969-Sens!I11980</f>
        <v>24.1293804008657</v>
      </c>
      <c r="J12051" s="6" t="n">
        <f aca="false">Sens!J11968+Sens!J12048*Sens!J12028+Sens!J12050-Sens!J11969-Sens!J11980</f>
        <v>28.8545659869181</v>
      </c>
      <c r="K12051" s="6" t="n">
        <f aca="false">Sens!K11968+Sens!K12048*Sens!K12028+Sens!K12050-Sens!K11969-Sens!K11980</f>
        <v>32.13747485251</v>
      </c>
    </row>
    <row r="12052" customFormat="false" ht="17.15" hidden="false" customHeight="false" outlineLevel="0" collapsed="false">
      <c r="A12052" s="0" t="s">
        <v>1012</v>
      </c>
      <c r="B12052" s="0" t="s">
        <v>98</v>
      </c>
      <c r="E12052" s="6" t="n">
        <f aca="false">Sens!E11948*(cxit_open+self_build*tk_cxfac)/1000*ai_net_open</f>
        <v>126.6980382</v>
      </c>
      <c r="F12052" s="6" t="n">
        <f aca="false">Sens!E12052+Sens!F11977-Sens!F11980</f>
        <v>260.572627763768</v>
      </c>
      <c r="G12052" s="6" t="n">
        <f aca="false">Sens!F12052+Sens!G11977-Sens!G11980</f>
        <v>391.782612760517</v>
      </c>
      <c r="H12052" s="6" t="n">
        <f aca="false">Sens!G12052+Sens!H11977-Sens!H11980</f>
        <v>499.488526163584</v>
      </c>
      <c r="I12052" s="6" t="n">
        <f aca="false">Sens!H12052+Sens!I11977-Sens!I11980</f>
        <v>553.872350090646</v>
      </c>
      <c r="J12052" s="6" t="n">
        <f aca="false">Sens!I12052+Sens!J11977-Sens!J11980</f>
        <v>550.78660823699</v>
      </c>
      <c r="K12052" s="6" t="n">
        <f aca="false">Sens!J12052+Sens!K11977-Sens!K11980</f>
        <v>526.736791750789</v>
      </c>
      <c r="L12052" s="1" t="s">
        <v>1013</v>
      </c>
    </row>
    <row r="12053" customFormat="false" ht="17.15" hidden="false" customHeight="false" outlineLevel="0" collapsed="false">
      <c r="A12053" s="0" t="s">
        <v>1014</v>
      </c>
      <c r="B12053" s="0" t="s">
        <v>168</v>
      </c>
      <c r="F12053" s="7" t="n">
        <f aca="false">Sens!F12051*(1-tax_f)/((Sens!E12052+Sens!F12052)/2)</f>
        <v>0.0429069654816909</v>
      </c>
      <c r="G12053" s="7" t="n">
        <f aca="false">Sens!G12051*(1-tax_f)/((Sens!F12052+Sens!G12052)/2)</f>
        <v>0.0403189680453549</v>
      </c>
      <c r="H12053" s="7" t="n">
        <f aca="false">Sens!H12051*(1-tax_f)/((Sens!G12052+Sens!H12052)/2)</f>
        <v>0.0307613080877867</v>
      </c>
      <c r="I12053" s="7" t="n">
        <f aca="false">Sens!I12051*(1-tax_f)/((Sens!H12052+Sens!I12052)/2)</f>
        <v>0.0366512650238846</v>
      </c>
      <c r="J12053" s="7" t="n">
        <f aca="false">Sens!J12051*(1-tax_f)/((Sens!I12052+Sens!J12052)/2)</f>
        <v>0.0417932659044041</v>
      </c>
      <c r="K12053" s="7" t="n">
        <f aca="false">Sens!K12051*(1-tax_f)/((Sens!J12052+Sens!K12052)/2)</f>
        <v>0.0477205040415821</v>
      </c>
    </row>
    <row r="12054" customFormat="false" ht="17.15" hidden="false" customHeight="false" outlineLevel="0" collapsed="false">
      <c r="A12054" s="1" t="s">
        <v>1015</v>
      </c>
      <c r="B12054" s="0" t="s">
        <v>168</v>
      </c>
      <c r="F12054" s="7" t="n">
        <f aca="false">(Sens!F12051-Sens!F12050)*(1-tax_f)/((Sens!E12052+Sens!F12052)/2)</f>
        <v>-0.000871320783610466</v>
      </c>
      <c r="G12054" s="7" t="n">
        <f aca="false">(Sens!G12051-Sens!G12050)*(1-tax_f)/((Sens!F12052+Sens!G12052)/2)</f>
        <v>-0.0279742438618356</v>
      </c>
      <c r="H12054" s="7" t="n">
        <f aca="false">(Sens!H12051-Sens!H12050)*(1-tax_f)/((Sens!G12052+Sens!H12052)/2)</f>
        <v>-0.0528338242443913</v>
      </c>
      <c r="I12054" s="7" t="n">
        <f aca="false">(Sens!I12051-Sens!I12050)*(1-tax_f)/((Sens!H12052+Sens!I12052)/2)</f>
        <v>-0.059455251538819</v>
      </c>
      <c r="J12054" s="7" t="n">
        <f aca="false">(Sens!J12051-Sens!J12050)*(1-tax_f)/((Sens!I12052+Sens!J12052)/2)</f>
        <v>-0.0667015729394002</v>
      </c>
      <c r="K12054" s="7" t="n">
        <f aca="false">(Sens!K12051-Sens!K12050)*(1-tax_f)/((Sens!J12052+Sens!K12052)/2)</f>
        <v>-0.0735049560740113</v>
      </c>
    </row>
    <row r="12055" customFormat="false" ht="17.15" hidden="false" customHeight="false" outlineLevel="0" collapsed="false">
      <c r="A12055" s="1" t="s">
        <v>1016</v>
      </c>
      <c r="B12055" s="0" t="s">
        <v>168</v>
      </c>
      <c r="F12055" s="7" t="n">
        <f aca="false">(Sens!F12051-Sens!F12050+Sens!F12049)*(1-tax_f)/((Sens!E12052+Sens!F12052)/2)</f>
        <v>0.0429069654816909</v>
      </c>
      <c r="G12055" s="7" t="n">
        <f aca="false">(Sens!G12051-Sens!G12050+Sens!G12049)*(1-tax_f)/((Sens!F12052+Sens!G12052)/2)</f>
        <v>0.0403189680453549</v>
      </c>
      <c r="H12055" s="7" t="n">
        <f aca="false">(Sens!H12051-Sens!H12050+Sens!H12049)*(1-tax_f)/((Sens!G12052+Sens!H12052)/2)</f>
        <v>0.0307613080877867</v>
      </c>
      <c r="I12055" s="7" t="n">
        <f aca="false">(Sens!I12051-Sens!I12050+Sens!I12049)*(1-tax_f)/((Sens!H12052+Sens!I12052)/2)</f>
        <v>0.0366512650238846</v>
      </c>
      <c r="J12055" s="7" t="n">
        <f aca="false">(Sens!J12051-Sens!J12050+Sens!J12049)*(1-tax_f)/((Sens!I12052+Sens!J12052)/2)</f>
        <v>0.0417932659044041</v>
      </c>
      <c r="K12055" s="7" t="n">
        <f aca="false">(Sens!K12051-Sens!K12050+Sens!K12049)*(1-tax_f)/((Sens!J12052+Sens!K12052)/2)</f>
        <v>0.0477205040415821</v>
      </c>
    </row>
    <row r="12056" customFormat="false" ht="17.15" hidden="false" customHeight="false" outlineLevel="0" collapsed="false">
      <c r="A12056" s="1" t="s">
        <v>1017</v>
      </c>
      <c r="B12056" s="0" t="s">
        <v>168</v>
      </c>
      <c r="F12056" s="7" t="n">
        <f aca="false">Sens!F11981*(1-tax_f)/(Sens!F11967*(Sens!E12052+Sens!F12052)/2)</f>
        <v>0.098791430090569</v>
      </c>
      <c r="G12056" s="7" t="n">
        <f aca="false">Sens!G11981*(1-tax_f)/(Sens!G11967*(Sens!F12052+Sens!G12052)/2)</f>
        <v>0.0675308856427828</v>
      </c>
      <c r="H12056" s="7" t="n">
        <f aca="false">Sens!H11981*(1-tax_f)/(Sens!H11967*(Sens!G12052+Sens!H12052)/2)</f>
        <v>0.0388374979528754</v>
      </c>
      <c r="I12056" s="7" t="n">
        <f aca="false">Sens!I11981*(1-tax_f)/(Sens!I11967*(Sens!H12052+Sens!I12052)/2)</f>
        <v>0.0411035671771815</v>
      </c>
      <c r="J12056" s="7" t="n">
        <f aca="false">Sens!J11981*(1-tax_f)/(Sens!J11967*(Sens!I12052+Sens!J12052)/2)</f>
        <v>0.0445222722541192</v>
      </c>
      <c r="K12056" s="7" t="n">
        <f aca="false">Sens!K11981*(1-tax_f)/(Sens!K11967*(Sens!J12052+Sens!K12052)/2)</f>
        <v>0.0498866361688162</v>
      </c>
    </row>
    <row r="12057" customFormat="false" ht="17.15" hidden="false" customHeight="false" outlineLevel="0" collapsed="false">
      <c r="A12057" s="0" t="s">
        <v>1018</v>
      </c>
      <c r="B12057" s="0" t="s">
        <v>253</v>
      </c>
      <c r="F12057" s="7" t="n">
        <f aca="false">Sens!F12053-wacc</f>
        <v>-0.0600296254639064</v>
      </c>
      <c r="G12057" s="7" t="n">
        <f aca="false">Sens!G12053-wacc</f>
        <v>-0.0626176229002424</v>
      </c>
      <c r="H12057" s="7" t="n">
        <f aca="false">Sens!H12053-wacc</f>
        <v>-0.0721752828578106</v>
      </c>
      <c r="I12057" s="7" t="n">
        <f aca="false">Sens!I12053-wacc</f>
        <v>-0.0662853259217127</v>
      </c>
      <c r="J12057" s="7" t="n">
        <f aca="false">Sens!J12053-wacc</f>
        <v>-0.0611433250411932</v>
      </c>
      <c r="K12057" s="7" t="n">
        <f aca="false">Sens!K12053-wacc</f>
        <v>-0.0552160869040152</v>
      </c>
    </row>
    <row r="12058" customFormat="false" ht="17.15" hidden="false" customHeight="false" outlineLevel="0" collapsed="false">
      <c r="A12058" s="0" t="s">
        <v>1019</v>
      </c>
      <c r="B12058" s="0" t="s">
        <v>98</v>
      </c>
      <c r="F12058" s="6" t="n">
        <f aca="false">Sens!F12051*(1-tax_f)-wacc*(Sens!E12052+Sens!F12052)/2</f>
        <v>-11.6238565154813</v>
      </c>
      <c r="G12058" s="6" t="n">
        <f aca="false">Sens!G12051*(1-tax_f)-wacc*(Sens!F12052+Sens!G12052)/2</f>
        <v>-20.4244672240733</v>
      </c>
      <c r="H12058" s="6" t="n">
        <f aca="false">Sens!H12051*(1-tax_f)-wacc*(Sens!G12052+Sens!H12052)/2</f>
        <v>-32.163873277425</v>
      </c>
      <c r="I12058" s="6" t="n">
        <f aca="false">Sens!I12051*(1-tax_f)-wacc*(Sens!H12052+Sens!I12052)/2</f>
        <v>-34.9111844978462</v>
      </c>
      <c r="J12058" s="6" t="n">
        <f aca="false">Sens!J12051*(1-tax_f)-wacc*(Sens!I12052+Sens!J12052)/2</f>
        <v>-33.7712608743463</v>
      </c>
      <c r="K12058" s="6" t="n">
        <f aca="false">Sens!K12051*(1-tax_f)-wacc*(Sens!J12052+Sens!K12052)/2</f>
        <v>-29.7483128474176</v>
      </c>
    </row>
    <row r="12059" customFormat="false" ht="17.15" hidden="false" customHeight="false" outlineLevel="0" collapsed="false">
      <c r="A12059" s="3" t="s">
        <v>1913</v>
      </c>
    </row>
    <row r="12060" customFormat="false" ht="15" hidden="false" customHeight="false" outlineLevel="0" collapsed="false">
      <c r="A12060" s="4" t="s">
        <v>43</v>
      </c>
      <c r="B12060" s="4" t="s">
        <v>65</v>
      </c>
      <c r="C12060" s="23" t="s">
        <v>942</v>
      </c>
      <c r="D12060" s="23" t="s">
        <v>943</v>
      </c>
      <c r="E12060" s="23" t="s">
        <v>944</v>
      </c>
      <c r="F12060" s="23" t="s">
        <v>945</v>
      </c>
      <c r="G12060" s="23" t="s">
        <v>946</v>
      </c>
      <c r="H12060" s="23" t="s">
        <v>947</v>
      </c>
      <c r="I12060" s="23" t="s">
        <v>948</v>
      </c>
      <c r="J12060" s="23" t="s">
        <v>949</v>
      </c>
      <c r="K12060" s="23" t="s">
        <v>950</v>
      </c>
      <c r="L12060" s="4" t="s">
        <v>47</v>
      </c>
    </row>
    <row r="12061" customFormat="false" ht="15" hidden="false" customHeight="false" outlineLevel="0" collapsed="false">
      <c r="A12061" s="1" t="s">
        <v>1080</v>
      </c>
      <c r="B12061" s="0" t="s">
        <v>98</v>
      </c>
      <c r="F12061" s="6" t="n">
        <f aca="false">Sens!F12042</f>
        <v>141.493410659064</v>
      </c>
      <c r="G12061" s="6" t="n">
        <f aca="false">Sens!G12042</f>
        <v>143.6861937247</v>
      </c>
      <c r="H12061" s="6" t="n">
        <f aca="false">Sens!H12042</f>
        <v>145.343096003072</v>
      </c>
      <c r="I12061" s="6" t="n">
        <f aca="false">Sens!I12042</f>
        <v>153.322490718457</v>
      </c>
      <c r="J12061" s="6" t="n">
        <f aca="false">Sens!J12042</f>
        <v>162.588004634969</v>
      </c>
      <c r="K12061" s="6" t="n">
        <f aca="false">Sens!K12042</f>
        <v>173.016810995789</v>
      </c>
    </row>
    <row r="12062" customFormat="false" ht="17.15" hidden="false" customHeight="false" outlineLevel="0" collapsed="false">
      <c r="A12062" s="1" t="s">
        <v>1102</v>
      </c>
      <c r="B12062" s="0" t="s">
        <v>98</v>
      </c>
      <c r="E12062" s="6" t="n">
        <f aca="false">Q!M38-Sens!E11980</f>
        <v>22.2285940229167</v>
      </c>
      <c r="F12062" s="6" t="n">
        <f aca="false">Sens!E12062*(1-1/life_nonai)+(Sens!F12070+Sens!F12071)/life_nonai</f>
        <v>23.5880148879552</v>
      </c>
      <c r="G12062" s="6" t="n">
        <f aca="false">Sens!F12062*(1-1/life_nonai)+(Sens!G12070)/life_nonai</f>
        <v>25.3461774910598</v>
      </c>
      <c r="H12062" s="6" t="n">
        <f aca="false">Sens!G12062*(1-1/life_nonai)+(Sens!H12070)/life_nonai</f>
        <v>27.4715245212655</v>
      </c>
      <c r="I12062" s="6" t="n">
        <f aca="false">Sens!H12062*(1-1/life_nonai)+(Sens!I12070)/life_nonai</f>
        <v>29.9070521828323</v>
      </c>
      <c r="J12062" s="6" t="n">
        <f aca="false">Sens!I12062*(1-1/life_nonai)+(Sens!J12070)/life_nonai</f>
        <v>32.577688444073</v>
      </c>
      <c r="K12062" s="6" t="n">
        <f aca="false">Sens!J12062*(1-1/life_nonai)+(Sens!K12070)/life_nonai</f>
        <v>35.3987885289668</v>
      </c>
      <c r="L12062" s="12" t="s">
        <v>1103</v>
      </c>
    </row>
    <row r="12063" customFormat="false" ht="17.15" hidden="false" customHeight="false" outlineLevel="0" collapsed="false">
      <c r="A12063" s="1" t="s">
        <v>1104</v>
      </c>
      <c r="B12063" s="0" t="s">
        <v>98</v>
      </c>
      <c r="F12063" s="6" t="n">
        <f aca="false">Sens!$F$12071/life_nonai*(1-1/life_nonai)^(Sens!F11943-2027)</f>
        <v>0</v>
      </c>
      <c r="G12063" s="6" t="n">
        <f aca="false">Sens!$F$12071/life_nonai*(1-1/life_nonai)^(Sens!G11943-2027)</f>
        <v>0</v>
      </c>
      <c r="H12063" s="6" t="n">
        <f aca="false">Sens!$F$12071/life_nonai*(1-1/life_nonai)^(Sens!H11943-2027)</f>
        <v>0</v>
      </c>
      <c r="I12063" s="6" t="n">
        <f aca="false">Sens!$F$12071/life_nonai*(1-1/life_nonai)^(Sens!I11943-2027)</f>
        <v>0</v>
      </c>
      <c r="J12063" s="6" t="n">
        <f aca="false">Sens!$F$12071/life_nonai*(1-1/life_nonai)^(Sens!J11943-2027)</f>
        <v>0</v>
      </c>
      <c r="K12063" s="6" t="n">
        <f aca="false">Sens!$F$12071/life_nonai*(1-1/life_nonai)^(Sens!K11943-2027)</f>
        <v>0</v>
      </c>
      <c r="L12063" s="1" t="s">
        <v>1105</v>
      </c>
    </row>
    <row r="12064" customFormat="false" ht="17.15" hidden="false" customHeight="false" outlineLevel="0" collapsed="false">
      <c r="A12064" s="1" t="s">
        <v>1106</v>
      </c>
      <c r="B12064" s="0" t="s">
        <v>98</v>
      </c>
      <c r="E12064" s="6" t="n">
        <f aca="false">Sens!E11980+Sens!E12062</f>
        <v>38.534</v>
      </c>
      <c r="F12064" s="6" t="n">
        <f aca="false">Sens!F11980+Sens!F12062</f>
        <v>58.1673293663068</v>
      </c>
      <c r="G12064" s="6" t="n">
        <f aca="false">Sens!G11980+Sens!G12062</f>
        <v>86.0806681433588</v>
      </c>
      <c r="H12064" s="6" t="n">
        <f aca="false">Sens!H11980+Sens!H12062</f>
        <v>116.571615182711</v>
      </c>
      <c r="I12064" s="6" t="n">
        <f aca="false">Sens!I11980+Sens!I12062</f>
        <v>144.138061877381</v>
      </c>
      <c r="J12064" s="6" t="n">
        <f aca="false">Sens!J11980+Sens!J12062</f>
        <v>164.593361493669</v>
      </c>
      <c r="K12064" s="6" t="n">
        <f aca="false">Sens!K11980+Sens!K12062</f>
        <v>178.411458079901</v>
      </c>
    </row>
    <row r="12065" customFormat="false" ht="17.15" hidden="false" customHeight="false" outlineLevel="0" collapsed="false">
      <c r="A12065" s="1" t="s">
        <v>1107</v>
      </c>
      <c r="B12065" s="0" t="s">
        <v>98</v>
      </c>
      <c r="F12065" s="6" t="n">
        <f aca="false">Sens!F12007*sbc_r</f>
        <v>14.7414209935207</v>
      </c>
      <c r="G12065" s="6" t="n">
        <f aca="false">Sens!G12007*sbc_r</f>
        <v>17.1418989283664</v>
      </c>
      <c r="H12065" s="6" t="n">
        <f aca="false">Sens!H12007*sbc_r</f>
        <v>19.3827945887179</v>
      </c>
      <c r="I12065" s="6" t="n">
        <f aca="false">Sens!I12007*sbc_r</f>
        <v>21.7188062116271</v>
      </c>
      <c r="J12065" s="6" t="n">
        <f aca="false">Sens!J12007*sbc_r</f>
        <v>23.6732645314426</v>
      </c>
      <c r="K12065" s="6" t="n">
        <f aca="false">Sens!K12007*sbc_r</f>
        <v>25.2592732651909</v>
      </c>
    </row>
    <row r="12066" customFormat="false" ht="17.15" hidden="false" customHeight="false" outlineLevel="0" collapsed="false">
      <c r="A12066" s="1" t="s">
        <v>1108</v>
      </c>
      <c r="B12066" s="0" t="s">
        <v>98</v>
      </c>
      <c r="F12066" s="6" t="n">
        <f aca="false">wc27-wc26q1</f>
        <v>-4.677</v>
      </c>
      <c r="G12066" s="6" t="n">
        <f aca="false">wc_f</f>
        <v>0</v>
      </c>
      <c r="H12066" s="6" t="n">
        <f aca="false">wc_f</f>
        <v>0</v>
      </c>
      <c r="I12066" s="6" t="n">
        <f aca="false">wc_f</f>
        <v>0</v>
      </c>
      <c r="J12066" s="6" t="n">
        <f aca="false">wc_f</f>
        <v>0</v>
      </c>
      <c r="K12066" s="6" t="n">
        <f aca="false">wc_f</f>
        <v>0</v>
      </c>
      <c r="L12066" s="12" t="s">
        <v>1109</v>
      </c>
    </row>
    <row r="12067" customFormat="false" ht="17.15" hidden="false" customHeight="false" outlineLevel="0" collapsed="false">
      <c r="A12067" s="0" t="s">
        <v>1110</v>
      </c>
      <c r="B12067" s="0" t="s">
        <v>98</v>
      </c>
      <c r="F12067" s="6" t="n">
        <f aca="false">Q!$I$35-Q!$I$26-Q!$I$38-Q!$I$39</f>
        <v>6.493</v>
      </c>
      <c r="L12067" s="1" t="s">
        <v>1111</v>
      </c>
    </row>
    <row r="12068" customFormat="false" ht="15" hidden="false" customHeight="false" outlineLevel="0" collapsed="false">
      <c r="A12068" s="1" t="s">
        <v>908</v>
      </c>
      <c r="B12068" s="0" t="s">
        <v>98</v>
      </c>
      <c r="E12068" s="6" t="n">
        <f aca="false">Q!M35</f>
        <v>182.935</v>
      </c>
      <c r="F12068" s="6" t="n">
        <f aca="false">Sens!F12061+Sens!F12064+Sens!F12065+Sens!F12066+Sens!F12067</f>
        <v>216.218161018892</v>
      </c>
      <c r="G12068" s="6" t="n">
        <f aca="false">Sens!G12061+Sens!G12064+Sens!G12065+Sens!G12066</f>
        <v>246.908760796425</v>
      </c>
      <c r="H12068" s="6" t="n">
        <f aca="false">Sens!H12061+Sens!H12064+Sens!H12065+Sens!H12066</f>
        <v>281.297505774501</v>
      </c>
      <c r="I12068" s="6" t="n">
        <f aca="false">Sens!I12061+Sens!I12064+Sens!I12065+Sens!I12066</f>
        <v>319.179358807465</v>
      </c>
      <c r="J12068" s="6" t="n">
        <f aca="false">Sens!J12061+Sens!J12064+Sens!J12065+Sens!J12066</f>
        <v>350.85463066008</v>
      </c>
      <c r="K12068" s="6" t="n">
        <f aca="false">Sens!K12061+Sens!K12064+Sens!K12065+Sens!K12066</f>
        <v>376.687542340881</v>
      </c>
    </row>
    <row r="12069" customFormat="false" ht="17.15" hidden="false" customHeight="false" outlineLevel="0" collapsed="false">
      <c r="A12069" s="0" t="s">
        <v>1112</v>
      </c>
      <c r="B12069" s="0" t="s">
        <v>98</v>
      </c>
      <c r="F12069" s="6" t="n">
        <f aca="false">Sens!F11977</f>
        <v>168.45390404212</v>
      </c>
      <c r="G12069" s="6" t="n">
        <f aca="false">Sens!G11977</f>
        <v>191.944475649048</v>
      </c>
      <c r="H12069" s="6" t="n">
        <f aca="false">Sens!H11977</f>
        <v>196.806004064512</v>
      </c>
      <c r="I12069" s="6" t="n">
        <f aca="false">Sens!I11977</f>
        <v>168.61483362161</v>
      </c>
      <c r="J12069" s="6" t="n">
        <f aca="false">Sens!J11977</f>
        <v>128.92993119594</v>
      </c>
      <c r="K12069" s="6" t="n">
        <f aca="false">Sens!K11977</f>
        <v>118.962853064733</v>
      </c>
    </row>
    <row r="12070" customFormat="false" ht="17.15" hidden="false" customHeight="false" outlineLevel="0" collapsed="false">
      <c r="A12070" s="1" t="s">
        <v>1113</v>
      </c>
      <c r="B12070" s="0" t="s">
        <v>98</v>
      </c>
      <c r="E12070" s="6" t="n">
        <f aca="false">Sens!E11985*cx_azo+Sens!E11992*cx_m365+Sens!E11993*cx_lic+(Sens!E11995+Sens!E11997)*cx_ind+Sens!E12000*cx_srch+(Sens!E12002+Sens!E12004)*cx_dev</f>
        <v>30.1846587067718</v>
      </c>
      <c r="F12070" s="6" t="n">
        <f aca="false">Sens!F11985*cx_azo+Sens!F11992*cx_m365+Sens!F11993*cx_lic+(Sens!F11995+Sens!F11997)*cx_ind+Sens!F12000*cx_srch+(Sens!F12002+Sens!F12004)*cx_dev</f>
        <v>35.822802673302</v>
      </c>
      <c r="G12070" s="6" t="n">
        <f aca="false">Sens!G11985*cx_azo+Sens!G11992*cx_m365+Sens!G11993*cx_lic+(Sens!G11995+Sens!G11997)*cx_ind+Sens!G12000*cx_srch+(Sens!G12002+Sens!G12004)*cx_dev</f>
        <v>41.1696409190015</v>
      </c>
      <c r="H12070" s="6" t="n">
        <f aca="false">Sens!H11985*cx_azo+Sens!H11992*cx_m365+Sens!H11993*cx_lic+(Sens!H11995+Sens!H11997)*cx_ind+Sens!H12000*cx_srch+(Sens!H12002+Sens!H12004)*cx_dev</f>
        <v>46.5996477931161</v>
      </c>
      <c r="I12070" s="6" t="n">
        <f aca="false">Sens!I11985*cx_azo+Sens!I11992*cx_m365+Sens!I11993*cx_lic+(Sens!I11995+Sens!I11997)*cx_ind+Sens!I12000*cx_srch+(Sens!I12002+Sens!I12004)*cx_dev</f>
        <v>51.826801136934</v>
      </c>
      <c r="J12070" s="6" t="n">
        <f aca="false">Sens!J11985*cx_azo+Sens!J11992*cx_m365+Sens!J11993*cx_lic+(Sens!J11995+Sens!J11997)*cx_ind+Sens!J12000*cx_srch+(Sens!J12002+Sens!J12004)*cx_dev</f>
        <v>56.6134147952396</v>
      </c>
      <c r="K12070" s="6" t="n">
        <f aca="false">Sens!K11985*cx_azo+Sens!K11992*cx_m365+Sens!K11993*cx_lic+(Sens!K11995+Sens!K11997)*cx_ind+Sens!K12000*cx_srch+(Sens!K12002+Sens!K12004)*cx_dev</f>
        <v>60.7886892930109</v>
      </c>
    </row>
    <row r="12071" customFormat="false" ht="17.15" hidden="false" customHeight="false" outlineLevel="0" collapsed="false">
      <c r="A12071" s="0" t="s">
        <v>1114</v>
      </c>
      <c r="B12071" s="0" t="s">
        <v>98</v>
      </c>
      <c r="F12071" s="6" t="n">
        <f aca="false">Sens!F11975</f>
        <v>0</v>
      </c>
      <c r="L12071" s="1" t="s">
        <v>1115</v>
      </c>
    </row>
    <row r="12072" customFormat="false" ht="17.15" hidden="false" customHeight="false" outlineLevel="0" collapsed="false">
      <c r="A12072" s="1" t="s">
        <v>1116</v>
      </c>
      <c r="B12072" s="0" t="s">
        <v>98</v>
      </c>
      <c r="E12072" s="6" t="n">
        <f aca="false">Q!M43</f>
        <v>145.3</v>
      </c>
      <c r="F12072" s="6" t="n">
        <f aca="false">Sens!F12069+Sens!F12070+Sens!F12071</f>
        <v>204.276706715422</v>
      </c>
      <c r="G12072" s="6" t="n">
        <f aca="false">Sens!G12069+Sens!G12070</f>
        <v>233.11411656805</v>
      </c>
      <c r="H12072" s="6" t="n">
        <f aca="false">Sens!H12069+Sens!H12070</f>
        <v>243.405651857628</v>
      </c>
      <c r="I12072" s="6" t="n">
        <f aca="false">Sens!I12069+Sens!I12070</f>
        <v>220.441634758544</v>
      </c>
      <c r="J12072" s="6" t="n">
        <f aca="false">Sens!J12069+Sens!J12070</f>
        <v>185.54334599118</v>
      </c>
      <c r="K12072" s="6" t="n">
        <f aca="false">Sens!K12069+Sens!K12070</f>
        <v>179.751542357744</v>
      </c>
      <c r="L12072" s="1" t="s">
        <v>1117</v>
      </c>
    </row>
    <row r="12073" customFormat="false" ht="15" hidden="false" customHeight="false" outlineLevel="0" collapsed="false">
      <c r="A12073" s="1" t="s">
        <v>1118</v>
      </c>
      <c r="B12073" s="0" t="s">
        <v>98</v>
      </c>
      <c r="E12073" s="6" t="n">
        <f aca="false">fl_liab</f>
        <v>66.594</v>
      </c>
      <c r="F12073" s="6" t="n">
        <f aca="false">Sens!E12073-Sens!F12074</f>
        <v>62.46973</v>
      </c>
      <c r="G12073" s="6" t="n">
        <f aca="false">Sens!F12073-Sens!G12074</f>
        <v>57.98686785</v>
      </c>
      <c r="H12073" s="6" t="n">
        <f aca="false">Sens!G12073-Sens!H12074</f>
        <v>53.92827690325</v>
      </c>
      <c r="I12073" s="6" t="n">
        <f aca="false">Sens!H12073-Sens!I12074</f>
        <v>49.7850493638962</v>
      </c>
      <c r="J12073" s="6" t="n">
        <f aca="false">Sens!I12073-Sens!J12074</f>
        <v>45.4823765852716</v>
      </c>
      <c r="K12073" s="6" t="n">
        <f aca="false">Sens!J12073-Sens!K12074</f>
        <v>40.9860835316088</v>
      </c>
    </row>
    <row r="12074" customFormat="false" ht="15" hidden="false" customHeight="false" outlineLevel="0" collapsed="false">
      <c r="A12074" s="1" t="s">
        <v>1119</v>
      </c>
      <c r="B12074" s="0" t="s">
        <v>98</v>
      </c>
      <c r="F12074" s="6" t="n">
        <f aca="false">fl_pay_27-Sens!E12073*fl_rate</f>
        <v>4.12427</v>
      </c>
      <c r="G12074" s="6" t="n">
        <f aca="false">fl_pay_28-Sens!F12073*fl_rate</f>
        <v>4.48286215</v>
      </c>
      <c r="H12074" s="6" t="n">
        <f aca="false">fl_pay_29-Sens!G12073*fl_rate</f>
        <v>4.05859094675</v>
      </c>
      <c r="I12074" s="6" t="n">
        <f aca="false">fl_pay_30-Sens!H12073*fl_rate</f>
        <v>4.14322753935375</v>
      </c>
      <c r="J12074" s="6" t="n">
        <f aca="false">fl_pay_31-Sens!I12073*fl_rate</f>
        <v>4.30267277862467</v>
      </c>
      <c r="K12074" s="6" t="n">
        <f aca="false">fl_pay_32-Sens!J12073*fl_rate</f>
        <v>4.49629305366278</v>
      </c>
    </row>
    <row r="12075" customFormat="false" ht="17.15" hidden="false" customHeight="false" outlineLevel="0" collapsed="false">
      <c r="A12075" s="1" t="s">
        <v>1120</v>
      </c>
      <c r="B12075" s="0" t="s">
        <v>98</v>
      </c>
      <c r="E12075" s="6" t="n">
        <f aca="false">Q!M35-Q!M36-Q!M44</f>
        <v>63.886</v>
      </c>
      <c r="F12075" s="6" t="n">
        <f aca="false">Sens!F12068-Sens!F12072-Sens!F12074</f>
        <v>7.81718430347029</v>
      </c>
      <c r="G12075" s="6" t="n">
        <f aca="false">Sens!G12068-Sens!G12072-Sens!G12074</f>
        <v>9.31178207837526</v>
      </c>
      <c r="H12075" s="6" t="n">
        <f aca="false">Sens!H12068-Sens!H12072-Sens!H12074</f>
        <v>33.8332629701224</v>
      </c>
      <c r="I12075" s="6" t="n">
        <f aca="false">Sens!I12068-Sens!I12072-Sens!I12074</f>
        <v>94.5944965095665</v>
      </c>
      <c r="J12075" s="6" t="n">
        <f aca="false">Sens!J12068-Sens!J12072-Sens!J12074</f>
        <v>161.008611890276</v>
      </c>
      <c r="K12075" s="6" t="n">
        <f aca="false">Sens!K12068-Sens!K12072-Sens!K12074</f>
        <v>192.439706929474</v>
      </c>
      <c r="L12075" s="12" t="s">
        <v>1121</v>
      </c>
    </row>
    <row r="12076" customFormat="false" ht="15" hidden="false" customHeight="false" outlineLevel="0" collapsed="false">
      <c r="A12076" s="1" t="s">
        <v>1122</v>
      </c>
      <c r="B12076" s="0" t="s">
        <v>75</v>
      </c>
      <c r="F12076" s="8" t="n">
        <f aca="false">dps_27</f>
        <v>3.85</v>
      </c>
      <c r="G12076" s="8" t="n">
        <f aca="false">Sens!F12076*(1+dps_g)</f>
        <v>4.158</v>
      </c>
      <c r="H12076" s="8" t="n">
        <f aca="false">Sens!G12076*(1+dps_g)</f>
        <v>4.49064</v>
      </c>
      <c r="I12076" s="8" t="n">
        <f aca="false">Sens!H12076*(1+dps_g)</f>
        <v>4.8498912</v>
      </c>
      <c r="J12076" s="8" t="n">
        <f aca="false">Sens!I12076*(1+dps_g)</f>
        <v>5.237882496</v>
      </c>
      <c r="K12076" s="8" t="n">
        <f aca="false">Sens!J12076*(1+dps_g)</f>
        <v>5.65691309568</v>
      </c>
    </row>
    <row r="12077" customFormat="false" ht="17.15" hidden="false" customHeight="false" outlineLevel="0" collapsed="false">
      <c r="A12077" s="1" t="s">
        <v>1123</v>
      </c>
      <c r="B12077" s="0" t="s">
        <v>98</v>
      </c>
      <c r="E12077" s="6" t="n">
        <f aca="false">Q!M41</f>
        <v>26.445</v>
      </c>
      <c r="F12077" s="6" t="n">
        <f aca="false">Sens!F12076*Sens!E12086</f>
        <v>28.59395</v>
      </c>
      <c r="G12077" s="6" t="n">
        <f aca="false">Sens!G12076*Sens!F12086</f>
        <v>31.068576</v>
      </c>
      <c r="H12077" s="6" t="n">
        <f aca="false">Sens!H12076*Sens!G12086</f>
        <v>33.75614088</v>
      </c>
      <c r="I12077" s="6" t="n">
        <f aca="false">Sens!I12076*Sens!H12086</f>
        <v>36.6748772544</v>
      </c>
      <c r="J12077" s="6" t="n">
        <f aca="false">Sens!J12076*Sens!I12086</f>
        <v>39.6767653201446</v>
      </c>
      <c r="K12077" s="6" t="n">
        <f aca="false">Sens!K12076*Sens!J12086</f>
        <v>42.9376608081345</v>
      </c>
      <c r="L12077" s="1" t="s">
        <v>1124</v>
      </c>
    </row>
    <row r="12078" customFormat="false" ht="15" hidden="false" customHeight="false" outlineLevel="0" collapsed="false">
      <c r="A12078" s="1" t="s">
        <v>1125</v>
      </c>
      <c r="B12078" s="0" t="s">
        <v>98</v>
      </c>
      <c r="E12078" s="6" t="n">
        <f aca="false">Sens!E12075-Sens!E12077</f>
        <v>37.441</v>
      </c>
      <c r="F12078" s="6" t="n">
        <f aca="false">Sens!F12075-Sens!F12077</f>
        <v>-20.7767656965297</v>
      </c>
      <c r="G12078" s="6" t="n">
        <f aca="false">Sens!G12075-Sens!G12077</f>
        <v>-21.7567939216247</v>
      </c>
      <c r="H12078" s="6" t="n">
        <f aca="false">Sens!H12075-Sens!H12077</f>
        <v>0.0771220901224012</v>
      </c>
      <c r="I12078" s="6" t="n">
        <f aca="false">Sens!I12075-Sens!I12077</f>
        <v>57.9196192551665</v>
      </c>
      <c r="J12078" s="6" t="n">
        <f aca="false">Sens!J12075-Sens!J12077</f>
        <v>121.331846570131</v>
      </c>
      <c r="K12078" s="6" t="n">
        <f aca="false">Sens!K12075-Sens!K12077</f>
        <v>149.50204612134</v>
      </c>
    </row>
    <row r="12079" customFormat="false" ht="15" hidden="false" customHeight="false" outlineLevel="0" collapsed="false">
      <c r="A12079" s="1" t="s">
        <v>1126</v>
      </c>
      <c r="B12079" s="0" t="s">
        <v>98</v>
      </c>
      <c r="F12079" s="6" t="n">
        <f aca="false">debt_mat_27</f>
        <v>9.25</v>
      </c>
      <c r="G12079" s="6" t="n">
        <f aca="false">debt_mat_28</f>
        <v>0</v>
      </c>
      <c r="H12079" s="6" t="n">
        <f aca="false">debt_mat_29</f>
        <v>2.001</v>
      </c>
      <c r="I12079" s="6" t="n">
        <f aca="false">debt_mat_30</f>
        <v>0</v>
      </c>
      <c r="J12079" s="6" t="n">
        <f aca="false">debt_mat_31</f>
        <v>0.5</v>
      </c>
      <c r="K12079" s="6" t="n">
        <f aca="false">debt_mat_32</f>
        <v>0</v>
      </c>
    </row>
    <row r="12080" customFormat="false" ht="15" hidden="false" customHeight="false" outlineLevel="0" collapsed="false">
      <c r="A12080" s="1" t="s">
        <v>1127</v>
      </c>
      <c r="B12080" s="0" t="s">
        <v>98</v>
      </c>
      <c r="E12080" s="6" t="n">
        <f aca="false">Q!M40</f>
        <v>22.271</v>
      </c>
      <c r="F12080" s="6" t="n">
        <f aca="false">MAX(0,MIN(bb_target,Sens!E12082+Sens!F12078-Sens!F12079-min_cash))</f>
        <v>0</v>
      </c>
      <c r="G12080" s="6" t="n">
        <f aca="false">MAX(0,MIN(bb_target,Sens!F12082+Sens!G12078-Sens!G12079-min_cash))</f>
        <v>0</v>
      </c>
      <c r="H12080" s="6" t="n">
        <f aca="false">MAX(0,MIN(bb_target,Sens!G12082+Sens!H12078-Sens!H12079-min_cash))</f>
        <v>0</v>
      </c>
      <c r="I12080" s="6" t="n">
        <f aca="false">MAX(0,MIN(bb_target,Sens!H12082+Sens!I12078-Sens!I12079-min_cash))</f>
        <v>22.271</v>
      </c>
      <c r="J12080" s="6" t="n">
        <f aca="false">MAX(0,MIN(bb_target,Sens!I12082+Sens!J12078-Sens!J12079-min_cash))</f>
        <v>22.271</v>
      </c>
      <c r="K12080" s="6" t="n">
        <f aca="false">MAX(0,MIN(bb_target,Sens!J12082+Sens!K12078-Sens!K12079-min_cash))</f>
        <v>22.271</v>
      </c>
    </row>
    <row r="12081" customFormat="false" ht="15" hidden="false" customHeight="false" outlineLevel="0" collapsed="false">
      <c r="A12081" s="1" t="s">
        <v>1128</v>
      </c>
      <c r="B12081" s="0" t="s">
        <v>98</v>
      </c>
      <c r="F12081" s="6" t="n">
        <f aca="false">MAX(0,min_cash-(Sens!E12082+Sens!F12078-Sens!F12079-Sens!F12080))</f>
        <v>3.1837656965297</v>
      </c>
      <c r="G12081" s="6" t="n">
        <f aca="false">MAX(0,min_cash-(Sens!F12082+Sens!G12078-Sens!G12079-Sens!G12080))</f>
        <v>21.7567939216247</v>
      </c>
      <c r="H12081" s="6" t="n">
        <f aca="false">MAX(0,min_cash-(Sens!G12082+Sens!H12078-Sens!H12079-Sens!H12080))</f>
        <v>1.9238779098776</v>
      </c>
      <c r="I12081" s="6" t="n">
        <f aca="false">MAX(0,min_cash-(Sens!H12082+Sens!I12078-Sens!I12079-Sens!I12080))</f>
        <v>0</v>
      </c>
      <c r="J12081" s="6" t="n">
        <f aca="false">MAX(0,min_cash-(Sens!I12082+Sens!J12078-Sens!J12079-Sens!J12080))</f>
        <v>0</v>
      </c>
      <c r="K12081" s="6" t="n">
        <f aca="false">MAX(0,min_cash-(Sens!J12082+Sens!K12078-Sens!K12079-Sens!K12080))</f>
        <v>0</v>
      </c>
    </row>
    <row r="12082" customFormat="false" ht="15" hidden="false" customHeight="false" outlineLevel="0" collapsed="false">
      <c r="A12082" s="1" t="s">
        <v>1129</v>
      </c>
      <c r="B12082" s="0" t="s">
        <v>98</v>
      </c>
      <c r="E12082" s="6" t="n">
        <f aca="false">cash_open</f>
        <v>76.843</v>
      </c>
      <c r="F12082" s="6" t="n">
        <f aca="false">Sens!E12082+Sens!F12078-Sens!F12079-Sens!F12080+Sens!F12081</f>
        <v>50</v>
      </c>
      <c r="G12082" s="6" t="n">
        <f aca="false">Sens!F12082+Sens!G12078-Sens!G12079-Sens!G12080+Sens!G12081</f>
        <v>50</v>
      </c>
      <c r="H12082" s="6" t="n">
        <f aca="false">Sens!G12082+Sens!H12078-Sens!H12079-Sens!H12080+Sens!H12081</f>
        <v>50</v>
      </c>
      <c r="I12082" s="6" t="n">
        <f aca="false">Sens!H12082+Sens!I12078-Sens!I12079-Sens!I12080+Sens!I12081</f>
        <v>85.6486192551665</v>
      </c>
      <c r="J12082" s="6" t="n">
        <f aca="false">Sens!I12082+Sens!J12078-Sens!J12079-Sens!J12080+Sens!J12081</f>
        <v>184.209465825298</v>
      </c>
      <c r="K12082" s="6" t="n">
        <f aca="false">Sens!J12082+Sens!K12078-Sens!K12079-Sens!K12080+Sens!K12081</f>
        <v>311.440511946638</v>
      </c>
    </row>
    <row r="12083" customFormat="false" ht="15" hidden="false" customHeight="false" outlineLevel="0" collapsed="false">
      <c r="A12083" s="1" t="s">
        <v>1130</v>
      </c>
      <c r="B12083" s="0" t="s">
        <v>98</v>
      </c>
      <c r="E12083" s="6" t="n">
        <f aca="false">debt_face</f>
        <v>46.136</v>
      </c>
      <c r="F12083" s="6" t="n">
        <f aca="false">Sens!E12083-Sens!F12079+Sens!F12081</f>
        <v>40.0697656965297</v>
      </c>
      <c r="G12083" s="6" t="n">
        <f aca="false">Sens!F12083-Sens!G12079+Sens!G12081</f>
        <v>61.8265596181545</v>
      </c>
      <c r="H12083" s="6" t="n">
        <f aca="false">Sens!G12083-Sens!H12079+Sens!H12081</f>
        <v>61.7494375280321</v>
      </c>
      <c r="I12083" s="6" t="n">
        <f aca="false">Sens!H12083-Sens!I12079+Sens!I12081</f>
        <v>61.7494375280321</v>
      </c>
      <c r="J12083" s="6" t="n">
        <f aca="false">Sens!I12083-Sens!J12079+Sens!J12081</f>
        <v>61.2494375280321</v>
      </c>
      <c r="K12083" s="6" t="n">
        <f aca="false">Sens!J12083-Sens!K12079+Sens!K12081</f>
        <v>61.2494375280321</v>
      </c>
    </row>
    <row r="12084" customFormat="false" ht="15" hidden="false" customHeight="false" outlineLevel="0" collapsed="false">
      <c r="A12084" s="1" t="s">
        <v>1131</v>
      </c>
      <c r="B12084" s="0" t="s">
        <v>98</v>
      </c>
      <c r="E12084" s="6" t="n">
        <f aca="false">Sens!E12082-Sens!E12083</f>
        <v>30.707</v>
      </c>
      <c r="F12084" s="6" t="n">
        <f aca="false">Sens!F12082-Sens!F12083</f>
        <v>9.93023430347029</v>
      </c>
      <c r="G12084" s="6" t="n">
        <f aca="false">Sens!G12082-Sens!G12083</f>
        <v>-11.8265596181544</v>
      </c>
      <c r="H12084" s="6" t="n">
        <f aca="false">Sens!H12082-Sens!H12083</f>
        <v>-11.749437528032</v>
      </c>
      <c r="I12084" s="6" t="n">
        <f aca="false">Sens!I12082-Sens!I12083</f>
        <v>23.8991817271345</v>
      </c>
      <c r="J12084" s="6" t="n">
        <f aca="false">Sens!J12082-Sens!J12083</f>
        <v>122.960028297266</v>
      </c>
      <c r="K12084" s="6" t="n">
        <f aca="false">Sens!K12082-Sens!K12083</f>
        <v>250.191074418606</v>
      </c>
    </row>
    <row r="12085" customFormat="false" ht="15" hidden="false" customHeight="false" outlineLevel="0" collapsed="false">
      <c r="A12085" s="1" t="s">
        <v>1132</v>
      </c>
      <c r="B12085" s="0" t="s">
        <v>75</v>
      </c>
      <c r="F12085" s="30" t="n">
        <f aca="false">px*(1+bb_g)^(Sens!F11943-base_fy-mid_yr)</f>
        <v>551.84177959629</v>
      </c>
      <c r="G12085" s="30" t="n">
        <f aca="false">px*(1+bb_g)^(Sens!G11943-base_fy-mid_yr)</f>
        <v>595.989121963993</v>
      </c>
      <c r="H12085" s="30" t="n">
        <f aca="false">px*(1+bb_g)^(Sens!H11943-base_fy-mid_yr)</f>
        <v>643.668251721112</v>
      </c>
      <c r="I12085" s="30" t="n">
        <f aca="false">px*(1+bb_g)^(Sens!I11943-base_fy-mid_yr)</f>
        <v>695.161711858801</v>
      </c>
      <c r="J12085" s="30" t="n">
        <f aca="false">px*(1+bb_g)^(Sens!J11943-base_fy-mid_yr)</f>
        <v>750.774648807506</v>
      </c>
      <c r="K12085" s="30" t="n">
        <f aca="false">px*(1+bb_g)^(Sens!K11943-base_fy-mid_yr)</f>
        <v>810.836620712106</v>
      </c>
    </row>
    <row r="12086" customFormat="false" ht="15" hidden="false" customHeight="false" outlineLevel="0" collapsed="false">
      <c r="A12086" s="1" t="s">
        <v>1133</v>
      </c>
      <c r="B12086" s="1" t="s">
        <v>81</v>
      </c>
      <c r="E12086" s="15" t="n">
        <f aca="false">sh_out26</f>
        <v>7.427</v>
      </c>
      <c r="F12086" s="15" t="n">
        <f aca="false">Sens!E12086+sh_iss-Sens!F12080/Sens!F12085</f>
        <v>7.472</v>
      </c>
      <c r="G12086" s="15" t="n">
        <f aca="false">Sens!F12086+sh_iss-Sens!G12080/Sens!G12085</f>
        <v>7.517</v>
      </c>
      <c r="H12086" s="15" t="n">
        <f aca="false">Sens!G12086+sh_iss-Sens!H12080/Sens!H12085</f>
        <v>7.562</v>
      </c>
      <c r="I12086" s="15" t="n">
        <f aca="false">Sens!H12086+sh_iss-Sens!I12080/Sens!I12085</f>
        <v>7.57496285005334</v>
      </c>
      <c r="J12086" s="15" t="n">
        <f aca="false">Sens!I12086+sh_iss-Sens!J12080/Sens!J12085</f>
        <v>7.59029882232494</v>
      </c>
      <c r="K12086" s="15" t="n">
        <f aca="false">Sens!J12086+sh_iss-Sens!K12080/Sens!K12085</f>
        <v>7.60783212998384</v>
      </c>
    </row>
    <row r="12087" customFormat="false" ht="15" hidden="false" customHeight="false" outlineLevel="0" collapsed="false">
      <c r="A12087" s="1" t="s">
        <v>1134</v>
      </c>
      <c r="B12087" s="1" t="s">
        <v>81</v>
      </c>
      <c r="E12087" s="15" t="n">
        <f aca="false">sh_dil26</f>
        <v>7.453</v>
      </c>
      <c r="F12087" s="15" t="n">
        <f aca="false">(Sens!E12086+Sens!F12086)/2+dil_gap</f>
        <v>7.4735</v>
      </c>
      <c r="G12087" s="15" t="n">
        <f aca="false">(Sens!F12086+Sens!G12086)/2+dil_gap</f>
        <v>7.5185</v>
      </c>
      <c r="H12087" s="15" t="n">
        <f aca="false">(Sens!G12086+Sens!H12086)/2+dil_gap</f>
        <v>7.5635</v>
      </c>
      <c r="I12087" s="15" t="n">
        <f aca="false">(Sens!H12086+Sens!I12086)/2+dil_gap</f>
        <v>7.59248142502667</v>
      </c>
      <c r="J12087" s="15" t="n">
        <f aca="false">(Sens!I12086+Sens!J12086)/2+dil_gap</f>
        <v>7.60663083618914</v>
      </c>
      <c r="K12087" s="15" t="n">
        <f aca="false">(Sens!J12086+Sens!K12086)/2+dil_gap</f>
        <v>7.62306547615439</v>
      </c>
    </row>
    <row r="12088" customFormat="false" ht="17.15" hidden="false" customHeight="false" outlineLevel="0" collapsed="false">
      <c r="A12088" s="1" t="s">
        <v>1135</v>
      </c>
      <c r="B12088" s="0" t="s">
        <v>98</v>
      </c>
      <c r="C12088" s="6" t="n">
        <f aca="false">SUM(Sens!F12078:J12078)</f>
        <v>136.795028297266</v>
      </c>
    </row>
    <row r="12089" customFormat="false" ht="15" hidden="false" customHeight="false" outlineLevel="0" collapsed="false">
      <c r="A12089" s="26" t="s">
        <v>1100</v>
      </c>
      <c r="B12089" s="31" t="s">
        <v>98</v>
      </c>
      <c r="C12089" s="27" t="n">
        <f aca="false">Sens!$C$12088-(Sens!F12078+Sens!G12078+Sens!H12078+Sens!I12078+Sens!J12078)</f>
        <v>0</v>
      </c>
      <c r="D12089" s="31"/>
      <c r="E12089" s="31"/>
      <c r="F12089" s="31"/>
      <c r="G12089" s="31"/>
      <c r="H12089" s="31"/>
      <c r="I12089" s="31"/>
      <c r="J12089" s="31"/>
      <c r="K12089" s="31"/>
    </row>
    <row r="12090" customFormat="false" ht="17.15" hidden="false" customHeight="false" outlineLevel="0" collapsed="false">
      <c r="A12090" s="1" t="s">
        <v>1094</v>
      </c>
      <c r="B12090" s="1" t="s">
        <v>1136</v>
      </c>
      <c r="C12090" s="33" t="str">
        <f aca="false">IF(SUM(Sens!F12081:J12081)&gt;0.05,"需要舉債 "&amp;TEXT(SUM(Sens!F12081:J12081),"0.0")&amp;" 十億美元","不需舉債")&amp;"；"&amp;IF(SUM(Sens!F12080:J12080)&lt;COUNT(Sens!F12080:J12080)*bb_target-0.05,"回購較每年 "&amp;TEXT(bb_target,"0.0")&amp;" 的目標少 "&amp;TEXT(COUNT(Sens!F12080:J12080)*bb_target-SUM(Sens!F12080:J12080),"0.0")&amp;" 十億美元（"&amp;TEXT(COUNTIF(Sens!F12080:J12080,"&lt;"&amp;(bb_target-0.05)),"0")&amp;" 年減少）","回購不減")</f>
        <v>需要舉債 26.9 十億美元；回購較每年 22.3 的目標少 66.8 十億美元（3 年減少）</v>
      </c>
    </row>
    <row r="12091" customFormat="false" ht="17.15" hidden="false" customHeight="false" outlineLevel="0" collapsed="false">
      <c r="A12091" s="3" t="s">
        <v>1914</v>
      </c>
    </row>
    <row r="12092" customFormat="false" ht="15" hidden="false" customHeight="false" outlineLevel="0" collapsed="false">
      <c r="A12092" s="4" t="s">
        <v>43</v>
      </c>
      <c r="B12092" s="4" t="s">
        <v>65</v>
      </c>
      <c r="C12092" s="23" t="s">
        <v>942</v>
      </c>
      <c r="D12092" s="23" t="s">
        <v>943</v>
      </c>
      <c r="E12092" s="23" t="s">
        <v>944</v>
      </c>
      <c r="F12092" s="23" t="s">
        <v>945</v>
      </c>
      <c r="G12092" s="23" t="s">
        <v>946</v>
      </c>
      <c r="H12092" s="23" t="s">
        <v>947</v>
      </c>
      <c r="I12092" s="23" t="s">
        <v>948</v>
      </c>
      <c r="J12092" s="23" t="s">
        <v>949</v>
      </c>
      <c r="K12092" s="23" t="s">
        <v>950</v>
      </c>
      <c r="L12092" s="4" t="s">
        <v>47</v>
      </c>
    </row>
    <row r="12093" customFormat="false" ht="17.15" hidden="false" customHeight="false" outlineLevel="0" collapsed="false">
      <c r="A12093" s="1" t="s">
        <v>1216</v>
      </c>
      <c r="B12093" s="1" t="s">
        <v>279</v>
      </c>
      <c r="F12093" s="8" t="n">
        <f aca="false">(1-v_off)*mid_yr</f>
        <v>0.373972602739726</v>
      </c>
      <c r="G12093" s="8" t="n">
        <f aca="false">Sens!G11943-base_fy-mid_yr-v_off</f>
        <v>1.24794520547945</v>
      </c>
      <c r="H12093" s="8" t="n">
        <f aca="false">Sens!H11943-base_fy-mid_yr-v_off</f>
        <v>2.24794520547945</v>
      </c>
      <c r="I12093" s="8" t="n">
        <f aca="false">Sens!I11943-base_fy-mid_yr-v_off</f>
        <v>3.24794520547945</v>
      </c>
      <c r="J12093" s="8" t="n">
        <f aca="false">Sens!J11943-base_fy-mid_yr-v_off</f>
        <v>4.24794520547945</v>
      </c>
      <c r="K12093" s="8" t="n">
        <f aca="false">Sens!K11943-base_fy-mid_yr-v_off</f>
        <v>5.24794520547945</v>
      </c>
      <c r="L12093" s="12" t="s">
        <v>1217</v>
      </c>
    </row>
    <row r="12094" customFormat="false" ht="15" hidden="false" customHeight="false" outlineLevel="0" collapsed="false">
      <c r="A12094" s="1" t="s">
        <v>1218</v>
      </c>
      <c r="B12094" s="1" t="s">
        <v>279</v>
      </c>
      <c r="F12094" s="8" t="n">
        <f aca="false">Sens!F11943-base_fy-v_off</f>
        <v>0.747945205479452</v>
      </c>
      <c r="G12094" s="8" t="n">
        <f aca="false">Sens!G11943-base_fy-v_off</f>
        <v>1.74794520547945</v>
      </c>
      <c r="H12094" s="8" t="n">
        <f aca="false">Sens!H11943-base_fy-v_off</f>
        <v>2.74794520547945</v>
      </c>
      <c r="I12094" s="8" t="n">
        <f aca="false">Sens!I11943-base_fy-v_off</f>
        <v>3.74794520547945</v>
      </c>
      <c r="J12094" s="8" t="n">
        <f aca="false">Sens!J11943-base_fy-v_off</f>
        <v>4.74794520547945</v>
      </c>
      <c r="K12094" s="8" t="n">
        <f aca="false">Sens!K11943-base_fy-v_off</f>
        <v>5.74794520547945</v>
      </c>
    </row>
    <row r="12095" customFormat="false" ht="15" hidden="false" customHeight="false" outlineLevel="0" collapsed="false">
      <c r="A12095" s="1" t="s">
        <v>1219</v>
      </c>
      <c r="B12095" s="0" t="s">
        <v>229</v>
      </c>
      <c r="F12095" s="15" t="n">
        <f aca="false">1/(1+wacc)^Sens!F12093</f>
        <v>0.964022703286649</v>
      </c>
      <c r="G12095" s="15" t="n">
        <f aca="false">1/(1+wacc)^Sens!G12093</f>
        <v>0.884910302296739</v>
      </c>
      <c r="H12095" s="15" t="n">
        <f aca="false">1/(1+wacc)^Sens!H12093</f>
        <v>0.802322009770358</v>
      </c>
      <c r="I12095" s="15" t="n">
        <f aca="false">1/(1+wacc)^Sens!I12093</f>
        <v>0.727441646561469</v>
      </c>
      <c r="J12095" s="15" t="n">
        <f aca="false">1/(1+wacc)^Sens!J12093</f>
        <v>0.659549834988973</v>
      </c>
      <c r="K12095" s="15" t="n">
        <f aca="false">1/(1+wacc)^Sens!K12093</f>
        <v>0.597994336576966</v>
      </c>
    </row>
    <row r="12096" customFormat="false" ht="17.15" hidden="false" customHeight="false" outlineLevel="0" collapsed="false">
      <c r="A12096" s="1" t="s">
        <v>1220</v>
      </c>
      <c r="B12096" s="0" t="s">
        <v>98</v>
      </c>
      <c r="F12096" s="6" t="n">
        <f aca="false">Q!$I$35-Q!$I$39-Q!$I$43</f>
        <v>9.666</v>
      </c>
      <c r="L12096" s="12" t="s">
        <v>1221</v>
      </c>
    </row>
    <row r="12097" customFormat="false" ht="17.15" hidden="false" customHeight="false" outlineLevel="0" collapsed="false">
      <c r="A12097" s="1" t="s">
        <v>1222</v>
      </c>
      <c r="B12097" s="0" t="s">
        <v>98</v>
      </c>
      <c r="F12097" s="6" t="n">
        <f aca="false">Sens!F12068-Sens!F12065-Sens!F12072+Sens!F12050*(1-tax_f)*(1-v_off)-Sens!F12096</f>
        <v>-6.12561795177181</v>
      </c>
      <c r="G12097" s="6" t="n">
        <f aca="false">Sens!G12068-Sens!G12065-Sens!G12072+Sens!G12050*(1-tax_f)</f>
        <v>18.9284626399545</v>
      </c>
      <c r="H12097" s="6" t="n">
        <f aca="false">Sens!H12068-Sens!H12065-Sens!H12072+Sens!H12050*(1-tax_f)</f>
        <v>55.76202372926</v>
      </c>
      <c r="I12097" s="6" t="n">
        <f aca="false">Sens!I12068-Sens!I12065-Sens!I12072+Sens!I12050*(1-tax_f)</f>
        <v>127.636340087409</v>
      </c>
      <c r="J12097" s="6" t="n">
        <f aca="false">Sens!J12068-Sens!J12065-Sens!J12072+Sens!J12050*(1-tax_f)</f>
        <v>201.562917968019</v>
      </c>
      <c r="K12097" s="6" t="n">
        <f aca="false">Sens!K12068-Sens!K12065-Sens!K12072+Sens!K12050*(1-tax_f)</f>
        <v>236.988361692365</v>
      </c>
      <c r="L12097" s="1" t="s">
        <v>1223</v>
      </c>
    </row>
    <row r="12098" customFormat="false" ht="15" hidden="false" customHeight="false" outlineLevel="0" collapsed="false">
      <c r="A12098" s="1" t="s">
        <v>1224</v>
      </c>
      <c r="B12098" s="0" t="s">
        <v>98</v>
      </c>
      <c r="F12098" s="6" t="n">
        <f aca="false">Sens!F12097*Sens!F12095</f>
        <v>-5.90523477716828</v>
      </c>
      <c r="G12098" s="6" t="n">
        <f aca="false">Sens!G12097*Sens!G12095</f>
        <v>16.7499915967347</v>
      </c>
      <c r="H12098" s="6" t="n">
        <f aca="false">Sens!H12097*Sens!H12095</f>
        <v>44.7390989473223</v>
      </c>
      <c r="I12098" s="6" t="n">
        <f aca="false">Sens!I12097*Sens!I12095</f>
        <v>92.8479893942642</v>
      </c>
      <c r="J12098" s="6" t="n">
        <f aca="false">Sens!J12097*Sens!J12095</f>
        <v>132.940789285703</v>
      </c>
      <c r="K12098" s="6" t="n">
        <f aca="false">Sens!K12097*Sens!K12095</f>
        <v>141.717698126688</v>
      </c>
    </row>
    <row r="12099" customFormat="false" ht="17.15" hidden="false" customHeight="false" outlineLevel="0" collapsed="false">
      <c r="A12099" s="1" t="s">
        <v>1225</v>
      </c>
      <c r="B12099" s="0" t="s">
        <v>98</v>
      </c>
      <c r="C12099" s="6" t="n">
        <f aca="false">SUM(Sens!F12098:K12098)</f>
        <v>423.090332573543</v>
      </c>
    </row>
    <row r="12100" customFormat="false" ht="17.15" hidden="false" customHeight="false" outlineLevel="0" collapsed="false">
      <c r="A12100" s="1" t="s">
        <v>1226</v>
      </c>
      <c r="B12100" s="0" t="s">
        <v>98</v>
      </c>
      <c r="C12100" s="6" t="n">
        <f aca="false">Sens!K12036*(1+g_tv)*(1-tax_f)</f>
        <v>246.467099349314</v>
      </c>
    </row>
    <row r="12101" customFormat="false" ht="17.15" hidden="false" customHeight="false" outlineLevel="0" collapsed="false">
      <c r="A12101" s="1" t="s">
        <v>1227</v>
      </c>
      <c r="B12101" s="0" t="s">
        <v>98</v>
      </c>
      <c r="C12101" s="6" t="n">
        <f aca="false">Sens!$C$12100*(1-g_tv/(wacc+ronic_prem))</f>
        <v>174.636344973669</v>
      </c>
    </row>
    <row r="12102" customFormat="false" ht="17.15" hidden="false" customHeight="false" outlineLevel="0" collapsed="false">
      <c r="A12102" s="1" t="s">
        <v>1228</v>
      </c>
      <c r="B12102" s="0" t="s">
        <v>98</v>
      </c>
      <c r="C12102" s="6" t="n">
        <f aca="false">Sens!$C$12101/(wacc-g_tv)</f>
        <v>2394.35847918816</v>
      </c>
    </row>
    <row r="12103" customFormat="false" ht="15" hidden="false" customHeight="false" outlineLevel="0" collapsed="false">
      <c r="A12103" s="1" t="s">
        <v>1229</v>
      </c>
      <c r="B12103" s="0" t="s">
        <v>98</v>
      </c>
      <c r="C12103" s="6" t="n">
        <f aca="false">Sens!$C$12102/(1+wacc)^Sens!K12094</f>
        <v>1363.36132848654</v>
      </c>
    </row>
    <row r="12104" customFormat="false" ht="17.15" hidden="false" customHeight="false" outlineLevel="0" collapsed="false">
      <c r="A12104" s="0" t="s">
        <v>1230</v>
      </c>
      <c r="B12104" s="0" t="s">
        <v>98</v>
      </c>
      <c r="C12104" s="6" t="n">
        <f aca="false">Sens!$C$12099+Sens!$C$12103</f>
        <v>1786.45166106008</v>
      </c>
    </row>
    <row r="12105" customFormat="false" ht="15" hidden="false" customHeight="false" outlineLevel="0" collapsed="false">
      <c r="A12105" s="1" t="s">
        <v>1145</v>
      </c>
      <c r="B12105" s="0" t="s">
        <v>168</v>
      </c>
      <c r="C12105" s="7" t="n">
        <f aca="false">Sens!$C$12103/Sens!$C$12104</f>
        <v>0.763167209168996</v>
      </c>
    </row>
    <row r="12106" customFormat="false" ht="17.15" hidden="false" customHeight="false" outlineLevel="0" collapsed="false">
      <c r="A12106" s="1" t="s">
        <v>1231</v>
      </c>
      <c r="B12106" s="0" t="s">
        <v>98</v>
      </c>
      <c r="C12106" s="6" t="n">
        <f aca="false">Sens!$C$12104+cash_val-debt_val-fl_val+oai_v</f>
        <v>1902.30266106008</v>
      </c>
    </row>
    <row r="12107" customFormat="false" ht="17.15" hidden="false" customHeight="false" outlineLevel="0" collapsed="false">
      <c r="A12107" s="0" t="s">
        <v>1153</v>
      </c>
      <c r="B12107" s="0" t="s">
        <v>75</v>
      </c>
      <c r="C12107" s="5" t="n">
        <f aca="false">Sens!$C$12106/shd_val</f>
        <v>255.47980943595</v>
      </c>
    </row>
    <row r="12108" customFormat="false" ht="15" hidden="false" customHeight="false" outlineLevel="0" collapsed="false">
      <c r="A12108" s="1" t="s">
        <v>1232</v>
      </c>
      <c r="B12108" s="0" t="s">
        <v>75</v>
      </c>
      <c r="C12108" s="8" t="n">
        <f aca="false">div_rem27+Sens!G12076*roll_div_q/q_per_yr</f>
        <v>3.9795</v>
      </c>
    </row>
    <row r="12109" customFormat="false" ht="17.15" hidden="false" customHeight="false" outlineLevel="0" collapsed="false">
      <c r="A12109" s="0" t="s">
        <v>1233</v>
      </c>
      <c r="B12109" s="0" t="s">
        <v>75</v>
      </c>
      <c r="C12109" s="5" t="n">
        <f aca="false">Sens!$C$12107*(1+wacc)^t_roll-Sens!$C$12108</f>
        <v>280.000566706254</v>
      </c>
    </row>
    <row r="12110" customFormat="false" ht="17.15" hidden="false" customHeight="false" outlineLevel="0" collapsed="false">
      <c r="A12110" s="1" t="s">
        <v>1234</v>
      </c>
      <c r="B12110" s="0" t="s">
        <v>168</v>
      </c>
      <c r="F12110" s="7" t="n">
        <f aca="false">Sens!F12062/(Sens!F12007-Sens!F11962)</f>
        <v>0.0686981562602764</v>
      </c>
      <c r="G12110" s="7" t="n">
        <f aca="false">Sens!G12062/(Sens!G12007-Sens!G11962)</f>
        <v>0.0663754009849455</v>
      </c>
      <c r="H12110" s="7" t="n">
        <f aca="false">Sens!H12062/(Sens!H12007-Sens!H11962)</f>
        <v>0.0652455232906824</v>
      </c>
      <c r="I12110" s="7" t="n">
        <f aca="false">Sens!I12062/(Sens!I12007-Sens!I11962)</f>
        <v>0.0651706335339137</v>
      </c>
      <c r="J12110" s="7" t="n">
        <f aca="false">Sens!J12062/(Sens!J12007-Sens!J11962)</f>
        <v>0.0659439631973584</v>
      </c>
      <c r="K12110" s="7" t="n">
        <f aca="false">Sens!K12062/(Sens!K12007-Sens!K11962)</f>
        <v>0.0673364266301822</v>
      </c>
    </row>
    <row r="12111" customFormat="false" ht="17.15" hidden="false" customHeight="false" outlineLevel="0" collapsed="false">
      <c r="A12111" s="0" t="s">
        <v>1235</v>
      </c>
      <c r="B12111" s="0" t="s">
        <v>98</v>
      </c>
      <c r="F12111" s="6" t="n">
        <f aca="false">Sens!F11992*(al_m365+Sens!F12110+sbc_r)</f>
        <v>82.9209603118361</v>
      </c>
      <c r="G12111" s="6" t="n">
        <f aca="false">Sens!G11992*(al_m365+Sens!G12110+sbc_r)</f>
        <v>93.315043967192</v>
      </c>
      <c r="H12111" s="6" t="n">
        <f aca="false">Sens!H11992*(al_m365+Sens!H12110+sbc_r)</f>
        <v>103.872191809651</v>
      </c>
      <c r="I12111" s="6" t="n">
        <f aca="false">Sens!I11992*(al_m365+Sens!I12110+sbc_r)</f>
        <v>113.915959225268</v>
      </c>
      <c r="J12111" s="6" t="n">
        <f aca="false">Sens!J11992*(al_m365+Sens!J12110+sbc_r)</f>
        <v>123.257504962904</v>
      </c>
      <c r="K12111" s="6" t="n">
        <f aca="false">Sens!K11992*(al_m365+Sens!K12110+sbc_r)</f>
        <v>132.204779889024</v>
      </c>
      <c r="L12111" s="12" t="s">
        <v>1236</v>
      </c>
    </row>
    <row r="12112" customFormat="false" ht="17.15" hidden="false" customHeight="false" outlineLevel="0" collapsed="false">
      <c r="A12112" s="0" t="s">
        <v>1237</v>
      </c>
      <c r="B12112" s="0" t="s">
        <v>98</v>
      </c>
      <c r="F12112" s="6" t="n">
        <f aca="false">Sens!F11993*(al_lic+Sens!F12110+sbc_r)</f>
        <v>32.8607823825964</v>
      </c>
      <c r="G12112" s="6" t="n">
        <f aca="false">Sens!G11993*(al_lic+Sens!G12110+sbc_r)</f>
        <v>34.1593141059057</v>
      </c>
      <c r="H12112" s="6" t="n">
        <f aca="false">Sens!H11993*(al_lic+Sens!H12110+sbc_r)</f>
        <v>35.3680807900832</v>
      </c>
      <c r="I12112" s="6" t="n">
        <f aca="false">Sens!I11993*(al_lic+Sens!I12110+sbc_r)</f>
        <v>36.4673763247884</v>
      </c>
      <c r="J12112" s="6" t="n">
        <f aca="false">Sens!J11993*(al_lic+Sens!J12110+sbc_r)</f>
        <v>37.4343582292295</v>
      </c>
      <c r="K12112" s="6" t="n">
        <f aca="false">Sens!K11993*(al_lic+Sens!K12110+sbc_r)</f>
        <v>38.2453527186083</v>
      </c>
    </row>
    <row r="12113" customFormat="false" ht="17.15" hidden="false" customHeight="false" outlineLevel="0" collapsed="false">
      <c r="A12113" s="0" t="s">
        <v>1238</v>
      </c>
      <c r="B12113" s="0" t="s">
        <v>98</v>
      </c>
      <c r="F12113" s="6" t="n">
        <f aca="false">Sens!F11995*(al_ind+Sens!F12110+sbc_r)</f>
        <v>9.062170825413</v>
      </c>
      <c r="G12113" s="6" t="n">
        <f aca="false">Sens!G11995*(al_ind+Sens!G12110+sbc_r)</f>
        <v>9.84941363987274</v>
      </c>
      <c r="H12113" s="6" t="n">
        <f aca="false">Sens!H11995*(al_ind+Sens!H12110+sbc_r)</f>
        <v>10.6797203907326</v>
      </c>
      <c r="I12113" s="6" t="n">
        <f aca="false">Sens!I11995*(al_ind+Sens!I12110+sbc_r)</f>
        <v>11.5486308750747</v>
      </c>
      <c r="J12113" s="6" t="n">
        <f aca="false">Sens!J11995*(al_ind+Sens!J12110+sbc_r)</f>
        <v>12.4476643401853</v>
      </c>
      <c r="K12113" s="6" t="n">
        <f aca="false">Sens!K11995*(al_ind+Sens!K12110+sbc_r)</f>
        <v>13.3649839851225</v>
      </c>
    </row>
    <row r="12114" customFormat="false" ht="17.15" hidden="false" customHeight="false" outlineLevel="0" collapsed="false">
      <c r="A12114" s="0" t="s">
        <v>1239</v>
      </c>
      <c r="B12114" s="0" t="s">
        <v>98</v>
      </c>
      <c r="F12114" s="6" t="n">
        <f aca="false">Sens!F11997*(al_fro+Sens!F12110+sbc_r)</f>
        <v>3.5547174512204</v>
      </c>
      <c r="G12114" s="6" t="n">
        <f aca="false">Sens!G11997*(al_fro+Sens!G12110+sbc_r)</f>
        <v>3.76867432495445</v>
      </c>
      <c r="H12114" s="6" t="n">
        <f aca="false">Sens!H11997*(al_fro+Sens!H12110+sbc_r)</f>
        <v>4.01073624916938</v>
      </c>
      <c r="I12114" s="6" t="n">
        <f aca="false">Sens!I11997*(al_fro+Sens!I12110+sbc_r)</f>
        <v>4.28324834097964</v>
      </c>
      <c r="J12114" s="6" t="n">
        <f aca="false">Sens!J11997*(al_fro+Sens!J12110+sbc_r)</f>
        <v>4.58789831459711</v>
      </c>
      <c r="K12114" s="6" t="n">
        <f aca="false">Sens!K11997*(al_fro+Sens!K12110+sbc_r)</f>
        <v>4.92599943444875</v>
      </c>
    </row>
    <row r="12115" customFormat="false" ht="17.15" hidden="false" customHeight="false" outlineLevel="0" collapsed="false">
      <c r="A12115" s="0" t="s">
        <v>1240</v>
      </c>
      <c r="B12115" s="0" t="s">
        <v>98</v>
      </c>
      <c r="F12115" s="6" t="n">
        <f aca="false">Sens!F12000*(al_srch+Sens!F12110+sbc_r)</f>
        <v>11.1912561587459</v>
      </c>
      <c r="G12115" s="6" t="n">
        <f aca="false">Sens!G12000*(al_srch+Sens!G12110+sbc_r)</f>
        <v>12.278222374091</v>
      </c>
      <c r="H12115" s="6" t="n">
        <f aca="false">Sens!H12000*(al_srch+Sens!H12110+sbc_r)</f>
        <v>13.4079908459178</v>
      </c>
      <c r="I12115" s="6" t="n">
        <f aca="false">Sens!I12000*(al_srch+Sens!I12110+sbc_r)</f>
        <v>14.568008046153</v>
      </c>
      <c r="J12115" s="6" t="n">
        <f aca="false">Sens!J12000*(al_srch+Sens!J12110+sbc_r)</f>
        <v>15.7397287978434</v>
      </c>
      <c r="K12115" s="6" t="n">
        <f aca="false">Sens!K12000*(al_srch+Sens!K12110+sbc_r)</f>
        <v>16.8996542294469</v>
      </c>
    </row>
    <row r="12116" customFormat="false" ht="17.15" hidden="false" customHeight="false" outlineLevel="0" collapsed="false">
      <c r="A12116" s="0" t="s">
        <v>1241</v>
      </c>
      <c r="B12116" s="0" t="s">
        <v>98</v>
      </c>
      <c r="F12116" s="6" t="n">
        <f aca="false">Sens!F11968-Sens!F11969+Sens!F12050</f>
        <v>38.9696429794913</v>
      </c>
      <c r="G12116" s="6" t="n">
        <f aca="false">Sens!G11968-Sens!G11969+Sens!G12050</f>
        <v>69.465497726016</v>
      </c>
      <c r="H12116" s="6" t="n">
        <f aca="false">Sens!H11968-Sens!H11969+Sens!H12050</f>
        <v>96.8147106808268</v>
      </c>
      <c r="I12116" s="6" t="n">
        <f aca="false">Sens!I11968-Sens!I11969+Sens!I12050</f>
        <v>127.654939766446</v>
      </c>
      <c r="J12116" s="6" t="n">
        <f aca="false">Sens!J11968-Sens!J11969+Sens!J12050</f>
        <v>149.308352681229</v>
      </c>
      <c r="K12116" s="6" t="n">
        <f aca="false">Sens!K11968-Sens!K11969+Sens!K12050</f>
        <v>162.731822021841</v>
      </c>
    </row>
    <row r="12117" customFormat="false" ht="17.15" hidden="false" customHeight="false" outlineLevel="0" collapsed="false">
      <c r="A12117" s="0" t="s">
        <v>1242</v>
      </c>
      <c r="B12117" s="0" t="s">
        <v>98</v>
      </c>
      <c r="F12117" s="6" t="n">
        <f aca="false">Sens!F12029+Sens!F12050+Sens!F11980+Sens!F12110*(Sens!F11999-Sens!F11962)+sbc_r*Sens!F11999</f>
        <v>234.805519496954</v>
      </c>
      <c r="G12117" s="6" t="n">
        <f aca="false">Sens!G12029+Sens!G12050+Sens!G11980+Sens!G12110*(Sens!G11999-Sens!G11962)+sbc_r*Sens!G11999</f>
        <v>285.518684981108</v>
      </c>
      <c r="H12117" s="6" t="n">
        <f aca="false">Sens!H12029+Sens!H12050+Sens!H11980+Sens!H12110*(Sens!H11999-Sens!H11962)+sbc_r*Sens!H11999</f>
        <v>338.297106271922</v>
      </c>
      <c r="I12117" s="6" t="n">
        <f aca="false">Sens!I12029+Sens!I12050+Sens!I11980+Sens!I12110*(Sens!I11999-Sens!I11962)+sbc_r*Sens!I11999</f>
        <v>393.950794918108</v>
      </c>
      <c r="J12117" s="6" t="n">
        <f aca="false">Sens!J12029+Sens!J12050+Sens!J11980+Sens!J12110*(Sens!J11999-Sens!J11962)+sbc_r*Sens!J11999</f>
        <v>438.500423320036</v>
      </c>
      <c r="K12117" s="6" t="n">
        <f aca="false">Sens!K12029+Sens!K12050+Sens!K11980+Sens!K12110*(Sens!K11999-Sens!K11962)+sbc_r*Sens!K11999</f>
        <v>472.485709265799</v>
      </c>
    </row>
    <row r="12118" customFormat="false" ht="17.15" hidden="false" customHeight="false" outlineLevel="0" collapsed="false">
      <c r="A12118" s="0" t="s">
        <v>1243</v>
      </c>
      <c r="B12118" s="0" t="s">
        <v>98</v>
      </c>
      <c r="F12118" s="6" t="n">
        <f aca="false">Sens!F12117-Sens!F12111-Sens!F12112-Sens!F12113-Sens!F12114-Sens!F12116</f>
        <v>67.437245546397</v>
      </c>
      <c r="G12118" s="6" t="n">
        <f aca="false">Sens!G12117-Sens!G12111-Sens!G12112-Sens!G12113-Sens!G12114-Sens!G12116</f>
        <v>74.9607412171666</v>
      </c>
      <c r="H12118" s="6" t="n">
        <f aca="false">Sens!H12117-Sens!H12111-Sens!H12112-Sens!H12113-Sens!H12114-Sens!H12116</f>
        <v>87.5516663514584</v>
      </c>
      <c r="I12118" s="6" t="n">
        <f aca="false">Sens!I12117-Sens!I12111-Sens!I12112-Sens!I12113-Sens!I12114-Sens!I12116</f>
        <v>100.080640385551</v>
      </c>
      <c r="J12118" s="6" t="n">
        <f aca="false">Sens!J12117-Sens!J12111-Sens!J12112-Sens!J12113-Sens!J12114-Sens!J12116</f>
        <v>111.464644791892</v>
      </c>
      <c r="K12118" s="6" t="n">
        <f aca="false">Sens!K12117-Sens!K12111-Sens!K12112-Sens!K12113-Sens!K12114-Sens!K12116</f>
        <v>121.012771216755</v>
      </c>
    </row>
    <row r="12119" customFormat="false" ht="17.15" hidden="false" customHeight="false" outlineLevel="0" collapsed="false">
      <c r="A12119" s="0" t="s">
        <v>1244</v>
      </c>
      <c r="B12119" s="0" t="s">
        <v>98</v>
      </c>
      <c r="F12119" s="6" t="n">
        <f aca="false">Sens!F12031+Sens!F12110*Sens!F12006+sbc_r*Sens!F12006</f>
        <v>26.5950229846511</v>
      </c>
      <c r="G12119" s="6" t="n">
        <f aca="false">Sens!G12031+Sens!G12110*Sens!G12006+sbc_r*Sens!G12006</f>
        <v>26.3562709214244</v>
      </c>
      <c r="H12119" s="6" t="n">
        <f aca="false">Sens!H12031+Sens!H12110*Sens!H12006+sbc_r*Sens!H12006</f>
        <v>27.1023790047292</v>
      </c>
      <c r="I12119" s="6" t="n">
        <f aca="false">Sens!I12031+Sens!I12110*Sens!I12006+sbc_r*Sens!I12006</f>
        <v>28.0309643816149</v>
      </c>
      <c r="J12119" s="6" t="n">
        <f aca="false">Sens!J12031+Sens!J12110*Sens!J12006+sbc_r*Sens!J12006</f>
        <v>29.1073307869872</v>
      </c>
      <c r="K12119" s="6" t="n">
        <f aca="false">Sens!K12031+Sens!K12110*Sens!K12006+sbc_r*Sens!K12006</f>
        <v>30.295579542052</v>
      </c>
    </row>
    <row r="12120" customFormat="false" ht="17.15" hidden="false" customHeight="false" outlineLevel="0" collapsed="false">
      <c r="A12120" s="0" t="s">
        <v>1245</v>
      </c>
      <c r="B12120" s="0" t="s">
        <v>98</v>
      </c>
      <c r="F12120" s="6" t="n">
        <f aca="false">(Sens!F12119-Sens!F12115)*Sens!F12002/(Sens!F12002+Sens!F12004)</f>
        <v>8.67996105184285</v>
      </c>
      <c r="G12120" s="6" t="n">
        <f aca="false">(Sens!G12119-Sens!G12115)*Sens!G12002/(Sens!G12002+Sens!G12004)</f>
        <v>7.74746491088888</v>
      </c>
      <c r="H12120" s="6" t="n">
        <f aca="false">(Sens!H12119-Sens!H12115)*Sens!H12002/(Sens!H12002+Sens!H12004)</f>
        <v>7.36658847937456</v>
      </c>
      <c r="I12120" s="6" t="n">
        <f aca="false">(Sens!I12119-Sens!I12115)*Sens!I12002/(Sens!I12002+Sens!I12004)</f>
        <v>7.0859005356835</v>
      </c>
      <c r="J12120" s="6" t="n">
        <f aca="false">(Sens!J12119-Sens!J12115)*Sens!J12002/(Sens!J12002+Sens!J12004)</f>
        <v>6.89133430774468</v>
      </c>
      <c r="K12120" s="6" t="n">
        <f aca="false">(Sens!K12119-Sens!K12115)*Sens!K12002/(Sens!K12002+Sens!K12004)</f>
        <v>6.77202243009005</v>
      </c>
    </row>
    <row r="12121" customFormat="false" ht="17.15" hidden="false" customHeight="false" outlineLevel="0" collapsed="false">
      <c r="A12121" s="0" t="s">
        <v>1246</v>
      </c>
      <c r="B12121" s="0" t="s">
        <v>98</v>
      </c>
      <c r="F12121" s="6" t="n">
        <f aca="false">Sens!F12119-Sens!F12115-Sens!F12120</f>
        <v>6.72380577406235</v>
      </c>
      <c r="G12121" s="6" t="n">
        <f aca="false">Sens!G12119-Sens!G12115-Sens!G12120</f>
        <v>6.3305836364445</v>
      </c>
      <c r="H12121" s="6" t="n">
        <f aca="false">Sens!H12119-Sens!H12115-Sens!H12120</f>
        <v>6.32779967943677</v>
      </c>
      <c r="I12121" s="6" t="n">
        <f aca="false">Sens!I12119-Sens!I12115-Sens!I12120</f>
        <v>6.37705579977836</v>
      </c>
      <c r="J12121" s="6" t="n">
        <f aca="false">Sens!J12119-Sens!J12115-Sens!J12120</f>
        <v>6.4762676813991</v>
      </c>
      <c r="K12121" s="6" t="n">
        <f aca="false">Sens!K12119-Sens!K12115-Sens!K12120</f>
        <v>6.62390288251506</v>
      </c>
    </row>
    <row r="12122" customFormat="false" ht="17.15" hidden="false" customHeight="false" outlineLevel="0" collapsed="false">
      <c r="A12122" s="0" t="s">
        <v>1247</v>
      </c>
      <c r="B12122" s="0" t="s">
        <v>98</v>
      </c>
      <c r="F12122" s="6" t="n">
        <f aca="false">Sens!F12116-tax_f*(Sens!F12116-Sens!F11980)-Sens!F11977</f>
        <v>-130.362326762856</v>
      </c>
      <c r="G12122" s="6" t="n">
        <f aca="false">Sens!G12116-tax_f*(Sens!G12116-Sens!G11980)-Sens!G11977</f>
        <v>-124.225179337776</v>
      </c>
      <c r="H12122" s="6" t="n">
        <f aca="false">Sens!H12116-tax_f*(Sens!H12116-Sens!H11980)-Sens!H11977</f>
        <v>-101.534217387562</v>
      </c>
      <c r="I12122" s="6" t="n">
        <f aca="false">Sens!I12116-tax_f*(Sens!I12116-Sens!I11980)-Sens!I11977</f>
        <v>-43.6446798695439</v>
      </c>
      <c r="J12122" s="6" t="n">
        <f aca="false">Sens!J12116-tax_f*(Sens!J12116-Sens!J11980)-Sens!J11977</f>
        <v>16.9198855589618</v>
      </c>
      <c r="K12122" s="6" t="n">
        <f aca="false">Sens!K12116-tax_f*(Sens!K12116-Sens!K11980)-Sens!K11977</f>
        <v>39.8251384629271</v>
      </c>
    </row>
    <row r="12123" customFormat="false" ht="17.15" hidden="false" customHeight="false" outlineLevel="0" collapsed="false">
      <c r="A12123" s="0" t="s">
        <v>1248</v>
      </c>
      <c r="B12123" s="0" t="s">
        <v>98</v>
      </c>
      <c r="G12123" s="6" t="n">
        <f aca="false">Sens!G12122/(1+wacc)^(Sens!G12093-Sens!F12094)</f>
        <v>-118.286276192192</v>
      </c>
      <c r="H12123" s="6" t="n">
        <f aca="false">Sens!H12122/(1+wacc)^(Sens!H12093-Sens!F12094)</f>
        <v>-87.6570009910427</v>
      </c>
      <c r="I12123" s="6" t="n">
        <f aca="false">Sens!I12122/(1+wacc)^(Sens!I12093-Sens!F12094)</f>
        <v>-34.1629172979204</v>
      </c>
      <c r="J12123" s="6" t="n">
        <f aca="false">Sens!J12122/(1+wacc)^(Sens!J12093-Sens!F12094)</f>
        <v>12.0079954170053</v>
      </c>
      <c r="K12123" s="6" t="n">
        <f aca="false">Sens!K12122/(1+wacc)^(Sens!K12093-Sens!F12094)</f>
        <v>25.6259421582556</v>
      </c>
      <c r="L12123" s="1" t="s">
        <v>1249</v>
      </c>
    </row>
    <row r="12124" customFormat="false" ht="17.15" hidden="false" customHeight="false" outlineLevel="0" collapsed="false">
      <c r="A12124" s="0" t="s">
        <v>1250</v>
      </c>
      <c r="B12124" s="0" t="s">
        <v>98</v>
      </c>
      <c r="C12124" s="6" t="n">
        <f aca="false">(Sens!K12116-Sens!K11980)*(1-tax_f)*(1+g_tv)*(1-g_tv/(wacc+ronic_prem))/(wacc-g_tv)/(1+wacc)^(Sens!K12094-Sens!F12094)</f>
        <v>96.7148026864948</v>
      </c>
    </row>
    <row r="12125" customFormat="false" ht="17.15" hidden="false" customHeight="false" outlineLevel="0" collapsed="false">
      <c r="A12125" s="1" t="s">
        <v>1251</v>
      </c>
      <c r="B12125" s="0" t="s">
        <v>98</v>
      </c>
      <c r="C12125" s="6" t="n">
        <f aca="false">(SUM(Sens!G12123:K12123)+Sens!$C$12124)*(1+wacc)^(t_roll-Sens!F12094)</f>
        <v>-109.248827617462</v>
      </c>
      <c r="L12125" s="12" t="s">
        <v>1252</v>
      </c>
    </row>
    <row r="12126" customFormat="false" ht="17.15" hidden="false" customHeight="false" outlineLevel="0" collapsed="false">
      <c r="A12126" s="1" t="s">
        <v>1253</v>
      </c>
      <c r="B12126" s="0" t="s">
        <v>98</v>
      </c>
      <c r="C12126" s="6" t="n">
        <f aca="false">(w_ntm28*Sens!G11968+(1-w_ntm28)*Sens!H11968)*m_ai</f>
        <v>344.355829012336</v>
      </c>
    </row>
    <row r="12127" customFormat="false" ht="17.15" hidden="false" customHeight="false" outlineLevel="0" collapsed="false">
      <c r="A12127" s="1" t="s">
        <v>1254</v>
      </c>
      <c r="B12127" s="0" t="s">
        <v>98</v>
      </c>
      <c r="C12127" s="6" t="n">
        <f aca="false">(w_ntm28*Sens!G12118+(1-w_ntm28)*Sens!H12118)*m_cloud</f>
        <v>1093.16508812182</v>
      </c>
    </row>
    <row r="12128" customFormat="false" ht="17.15" hidden="false" customHeight="false" outlineLevel="0" collapsed="false">
      <c r="A12128" s="1" t="s">
        <v>1255</v>
      </c>
      <c r="B12128" s="0" t="s">
        <v>98</v>
      </c>
      <c r="C12128" s="6" t="n">
        <f aca="false">(w_ntm28*Sens!G12111+(1-w_ntm28)*Sens!H12111)*m_sw</f>
        <v>1045.28758060958</v>
      </c>
    </row>
    <row r="12129" customFormat="false" ht="17.15" hidden="false" customHeight="false" outlineLevel="0" collapsed="false">
      <c r="A12129" s="1" t="s">
        <v>1256</v>
      </c>
      <c r="B12129" s="0" t="s">
        <v>98</v>
      </c>
      <c r="C12129" s="6" t="n">
        <f aca="false">(w_ntm28*Sens!G12112+(1-w_ntm28)*Sens!H12112)*m_sw</f>
        <v>373.212541994998</v>
      </c>
    </row>
    <row r="12130" customFormat="false" ht="17.15" hidden="false" customHeight="false" outlineLevel="0" collapsed="false">
      <c r="A12130" s="1" t="s">
        <v>1257</v>
      </c>
      <c r="B12130" s="0" t="s">
        <v>98</v>
      </c>
      <c r="C12130" s="6" t="n">
        <f aca="false">(w_ntm28*Sens!G12113+(1-w_ntm28)*Sens!H12113)*m_sw</f>
        <v>109.321824979432</v>
      </c>
    </row>
    <row r="12131" customFormat="false" ht="17.15" hidden="false" customHeight="false" outlineLevel="0" collapsed="false">
      <c r="A12131" s="1" t="s">
        <v>1258</v>
      </c>
      <c r="B12131" s="0" t="s">
        <v>98</v>
      </c>
      <c r="C12131" s="6" t="n">
        <f aca="false">(w_ntm28*Sens!G12114+(1-w_ntm28)*Sens!H12114)*m_sw</f>
        <v>41.5611683363096</v>
      </c>
    </row>
    <row r="12132" customFormat="false" ht="17.15" hidden="false" customHeight="false" outlineLevel="0" collapsed="false">
      <c r="A12132" s="1" t="s">
        <v>1259</v>
      </c>
      <c r="B12132" s="0" t="s">
        <v>98</v>
      </c>
      <c r="C12132" s="6" t="n">
        <f aca="false">(w_ntm28*Sens!G12115+(1-w_ntm28)*Sens!H12115)*m_ads</f>
        <v>115.238339782493</v>
      </c>
    </row>
    <row r="12133" customFormat="false" ht="17.15" hidden="false" customHeight="false" outlineLevel="0" collapsed="false">
      <c r="A12133" s="1" t="s">
        <v>1260</v>
      </c>
      <c r="B12133" s="0" t="s">
        <v>98</v>
      </c>
      <c r="C12133" s="6" t="n">
        <f aca="false">(w_ntm28*Sens!G12120+(1-w_ntm28)*Sens!H12120)*m_game</f>
        <v>96.2689576612304</v>
      </c>
    </row>
    <row r="12134" customFormat="false" ht="17.15" hidden="false" customHeight="false" outlineLevel="0" collapsed="false">
      <c r="A12134" s="1" t="s">
        <v>1261</v>
      </c>
      <c r="B12134" s="0" t="s">
        <v>98</v>
      </c>
      <c r="C12134" s="6" t="n">
        <f aca="false">(w_ntm28*Sens!G12121+(1-w_ntm28)*Sens!H12121)*m_pc</f>
        <v>91.5903012112746</v>
      </c>
    </row>
    <row r="12135" customFormat="false" ht="17.15" hidden="false" customHeight="false" outlineLevel="0" collapsed="false">
      <c r="A12135" s="1" t="s">
        <v>1262</v>
      </c>
      <c r="B12135" s="0" t="s">
        <v>98</v>
      </c>
      <c r="C12135" s="6" t="n">
        <f aca="false">Sens!$C$12125+Sens!$C$12127+Sens!$C$12128+Sens!$C$12129+Sens!$C$12130+Sens!$C$12131+Sens!$C$12132+Sens!$C$12133+Sens!$C$12134</f>
        <v>2856.39697507967</v>
      </c>
    </row>
    <row r="12136" customFormat="false" ht="17.15" hidden="false" customHeight="false" outlineLevel="0" collapsed="false">
      <c r="A12136" s="1" t="s">
        <v>1263</v>
      </c>
      <c r="B12136" s="0" t="s">
        <v>98</v>
      </c>
      <c r="C12136" s="6" t="n">
        <f aca="false">(Sens!G12097-Sens!G12122)*t_stub</f>
        <v>47.4564128200146</v>
      </c>
      <c r="L12136" s="1" t="s">
        <v>1264</v>
      </c>
    </row>
    <row r="12137" customFormat="false" ht="17.15" hidden="false" customHeight="false" outlineLevel="0" collapsed="false">
      <c r="A12137" s="1" t="s">
        <v>1173</v>
      </c>
      <c r="B12137" s="0" t="s">
        <v>98</v>
      </c>
      <c r="C12137" s="6" t="n">
        <f aca="false">Sens!F12084+oai_v-Sens!F12073+Sens!$C$12136</f>
        <v>158.500917123485</v>
      </c>
      <c r="L12137" s="1" t="s">
        <v>1265</v>
      </c>
    </row>
    <row r="12138" customFormat="false" ht="17.15" hidden="false" customHeight="false" outlineLevel="0" collapsed="false">
      <c r="A12138" s="1" t="s">
        <v>1266</v>
      </c>
      <c r="B12138" s="0" t="s">
        <v>75</v>
      </c>
      <c r="C12138" s="5" t="n">
        <f aca="false">(Sens!$C$12135+Sens!$C$12137)/(Sens!F12086+dil_gap)-Sens!G12076*roll_div_q/q_per_yr</f>
        <v>401.161392769899</v>
      </c>
      <c r="L12138" s="1" t="s">
        <v>1267</v>
      </c>
    </row>
    <row r="12139" customFormat="false" ht="17.15" hidden="false" customHeight="false" outlineLevel="0" collapsed="false">
      <c r="A12139" s="1" t="s">
        <v>1268</v>
      </c>
      <c r="B12139" s="0" t="s">
        <v>75</v>
      </c>
      <c r="C12139" s="5" t="n">
        <f aca="false">w_dcf*Sens!$C$12109+(1-w_dcf)*Sens!$C$12138</f>
        <v>340.580979738076</v>
      </c>
    </row>
    <row r="12140" customFormat="false" ht="17.15" hidden="false" customHeight="false" outlineLevel="0" collapsed="false">
      <c r="A12140" s="3" t="s">
        <v>1915</v>
      </c>
    </row>
    <row r="12141" customFormat="false" ht="15" hidden="false" customHeight="false" outlineLevel="0" collapsed="false">
      <c r="A12141" s="4" t="s">
        <v>43</v>
      </c>
      <c r="B12141" s="4" t="s">
        <v>65</v>
      </c>
      <c r="C12141" s="23" t="s">
        <v>942</v>
      </c>
      <c r="D12141" s="23" t="s">
        <v>943</v>
      </c>
      <c r="E12141" s="23" t="s">
        <v>944</v>
      </c>
      <c r="F12141" s="23" t="s">
        <v>945</v>
      </c>
      <c r="G12141" s="23" t="s">
        <v>946</v>
      </c>
      <c r="H12141" s="23" t="s">
        <v>947</v>
      </c>
      <c r="I12141" s="23" t="s">
        <v>948</v>
      </c>
      <c r="J12141" s="23" t="s">
        <v>949</v>
      </c>
      <c r="K12141" s="23" t="s">
        <v>950</v>
      </c>
      <c r="L12141" s="4" t="s">
        <v>47</v>
      </c>
    </row>
    <row r="12142" customFormat="false" ht="17.15" hidden="false" customHeight="false" outlineLevel="0" collapsed="false">
      <c r="A12142" s="1" t="s">
        <v>951</v>
      </c>
      <c r="B12142" s="1" t="s">
        <v>279</v>
      </c>
      <c r="C12142" s="21" t="n">
        <v>2024</v>
      </c>
      <c r="D12142" s="21" t="n">
        <v>2025</v>
      </c>
      <c r="E12142" s="21" t="n">
        <v>2026</v>
      </c>
      <c r="F12142" s="21" t="n">
        <v>2027</v>
      </c>
      <c r="G12142" s="21" t="n">
        <v>2028</v>
      </c>
      <c r="H12142" s="21" t="n">
        <v>2029</v>
      </c>
      <c r="I12142" s="21" t="n">
        <v>2030</v>
      </c>
      <c r="J12142" s="21" t="n">
        <v>2031</v>
      </c>
      <c r="K12142" s="21" t="n">
        <v>2032</v>
      </c>
    </row>
    <row r="12143" customFormat="false" ht="17.15" hidden="false" customHeight="false" outlineLevel="0" collapsed="false">
      <c r="A12143" s="1" t="s">
        <v>952</v>
      </c>
      <c r="B12143" s="0" t="s">
        <v>459</v>
      </c>
      <c r="F12143" s="30" t="n">
        <f aca="false">pace</f>
        <v>2726.5351</v>
      </c>
      <c r="G12143" s="30" t="n">
        <f aca="false">pace</f>
        <v>2726.5351</v>
      </c>
      <c r="H12143" s="30" t="n">
        <f aca="false">pace</f>
        <v>2726.5351</v>
      </c>
      <c r="I12143" s="30" t="n">
        <f aca="false">pace+(g_tv*Sens!H12144-pace)*MIN(1,(Sens!I12142-pace_y0)/(pace_y1-pace_y0))</f>
        <v>1931.98611966667</v>
      </c>
      <c r="J12143" s="30" t="n">
        <f aca="false">pace+(g_tv*Sens!I12144-pace)*MIN(1,(Sens!J12142-pace_y0)/(pace_y1-pace_y0))</f>
        <v>1176.07686172667</v>
      </c>
      <c r="K12143" s="30" t="n">
        <f aca="false">pace+(g_tv*Sens!J12144-pace)*MIN(1,(Sens!K12142-pace_y0)/(pace_y1-pace_y0))</f>
        <v>436.1300484418</v>
      </c>
      <c r="L12143" s="12" t="s">
        <v>953</v>
      </c>
    </row>
    <row r="12144" customFormat="false" ht="17.15" hidden="false" customHeight="false" outlineLevel="0" collapsed="false">
      <c r="A12144" s="1" t="s">
        <v>954</v>
      </c>
      <c r="B12144" s="0" t="s">
        <v>459</v>
      </c>
      <c r="C12144" s="30" t="n">
        <f aca="false">mw_ext_24</f>
        <v>640</v>
      </c>
      <c r="D12144" s="30" t="n">
        <f aca="false">mw_ext_25</f>
        <v>1630</v>
      </c>
      <c r="E12144" s="30" t="n">
        <f aca="false">mw_ext_26</f>
        <v>3250</v>
      </c>
      <c r="F12144" s="30" t="n">
        <f aca="false">Sens!E12144+Sens!F12143</f>
        <v>5976.5351</v>
      </c>
      <c r="G12144" s="30" t="n">
        <f aca="false">Sens!F12144+Sens!G12143</f>
        <v>8703.0702</v>
      </c>
      <c r="H12144" s="30" t="n">
        <f aca="false">Sens!G12144+Sens!H12143</f>
        <v>11429.6053</v>
      </c>
      <c r="I12144" s="30" t="n">
        <f aca="false">Sens!H12144+Sens!I12143</f>
        <v>13361.5914196667</v>
      </c>
      <c r="J12144" s="30" t="n">
        <f aca="false">Sens!I12144+Sens!J12143</f>
        <v>14537.6682813933</v>
      </c>
      <c r="K12144" s="30" t="n">
        <f aca="false">Sens!J12144+Sens!K12143</f>
        <v>14973.7983298351</v>
      </c>
      <c r="L12144" s="1" t="s">
        <v>955</v>
      </c>
    </row>
    <row r="12145" customFormat="false" ht="17.15" hidden="false" customHeight="false" outlineLevel="0" collapsed="false">
      <c r="A12145" s="1" t="s">
        <v>956</v>
      </c>
      <c r="B12145" s="0" t="s">
        <v>459</v>
      </c>
      <c r="C12145" s="30" t="n">
        <f aca="false">rent_ext_24</f>
        <v>150</v>
      </c>
      <c r="D12145" s="30" t="n">
        <f aca="false">rent_ext_25</f>
        <v>400</v>
      </c>
      <c r="E12145" s="30" t="n">
        <f aca="false">rent_ext_26</f>
        <v>550</v>
      </c>
      <c r="F12145" s="30" t="n">
        <f aca="false">rent_ext_f</f>
        <v>756</v>
      </c>
      <c r="G12145" s="30" t="n">
        <f aca="false">rent_ext_f</f>
        <v>756</v>
      </c>
      <c r="H12145" s="30" t="n">
        <f aca="false">rent_ext_f</f>
        <v>756</v>
      </c>
      <c r="I12145" s="30" t="n">
        <f aca="false">rent_ext_f</f>
        <v>756</v>
      </c>
      <c r="J12145" s="30" t="n">
        <f aca="false">rent_ext_f</f>
        <v>756</v>
      </c>
      <c r="K12145" s="30" t="n">
        <f aca="false">rent_ext_f</f>
        <v>756</v>
      </c>
      <c r="L12145" s="1" t="s">
        <v>957</v>
      </c>
    </row>
    <row r="12146" customFormat="false" ht="17.15" hidden="false" customHeight="false" outlineLevel="0" collapsed="false">
      <c r="A12146" s="1" t="s">
        <v>958</v>
      </c>
      <c r="B12146" s="0" t="s">
        <v>459</v>
      </c>
      <c r="C12146" s="30" t="n">
        <f aca="false">Sens!C12144-Sens!C12145</f>
        <v>490</v>
      </c>
      <c r="D12146" s="30" t="n">
        <f aca="false">Sens!D12144-Sens!D12145</f>
        <v>1230</v>
      </c>
      <c r="E12146" s="30" t="n">
        <f aca="false">Sens!E12144-Sens!E12145</f>
        <v>2700</v>
      </c>
      <c r="F12146" s="30" t="n">
        <f aca="false">Sens!F12144-Sens!F12145</f>
        <v>5220.5351</v>
      </c>
      <c r="G12146" s="30" t="n">
        <f aca="false">Sens!G12144-Sens!G12145</f>
        <v>7947.0702</v>
      </c>
      <c r="H12146" s="30" t="n">
        <f aca="false">Sens!H12144-Sens!H12145</f>
        <v>10673.6053</v>
      </c>
      <c r="I12146" s="30" t="n">
        <f aca="false">Sens!I12144-Sens!I12145</f>
        <v>12605.5914196667</v>
      </c>
      <c r="J12146" s="30" t="n">
        <f aca="false">Sens!J12144-Sens!J12145</f>
        <v>13781.6682813933</v>
      </c>
      <c r="K12146" s="30" t="n">
        <f aca="false">Sens!K12144-Sens!K12145</f>
        <v>14217.7983298351</v>
      </c>
    </row>
    <row r="12147" customFormat="false" ht="17.15" hidden="false" customHeight="false" outlineLevel="0" collapsed="false">
      <c r="A12147" s="1" t="s">
        <v>959</v>
      </c>
      <c r="B12147" s="0" t="s">
        <v>459</v>
      </c>
      <c r="C12147" s="30" t="n">
        <f aca="false">Sens!C12146/ext_sh</f>
        <v>816.666666666667</v>
      </c>
      <c r="D12147" s="30" t="n">
        <f aca="false">Sens!D12146/ext_sh</f>
        <v>2050</v>
      </c>
      <c r="E12147" s="30" t="n">
        <f aca="false">Sens!E12146/ext_sh</f>
        <v>4500</v>
      </c>
      <c r="F12147" s="30" t="n">
        <f aca="false">Sens!F12146/ext_sh</f>
        <v>8700.89183333333</v>
      </c>
      <c r="G12147" s="30" t="n">
        <f aca="false">Sens!G12146/ext_sh</f>
        <v>13245.117</v>
      </c>
      <c r="H12147" s="30" t="n">
        <f aca="false">Sens!H12146/ext_sh</f>
        <v>17789.3421666667</v>
      </c>
      <c r="I12147" s="30" t="n">
        <f aca="false">Sens!I12146/ext_sh</f>
        <v>21009.3190327778</v>
      </c>
      <c r="J12147" s="30" t="n">
        <f aca="false">Sens!J12146/ext_sh</f>
        <v>22969.4471356556</v>
      </c>
      <c r="K12147" s="30" t="n">
        <f aca="false">Sens!K12146/ext_sh</f>
        <v>23696.3305497252</v>
      </c>
      <c r="L12147" s="1" t="s">
        <v>960</v>
      </c>
    </row>
    <row r="12148" customFormat="false" ht="17.15" hidden="false" customHeight="false" outlineLevel="0" collapsed="false">
      <c r="A12148" s="1" t="s">
        <v>961</v>
      </c>
      <c r="B12148" s="0" t="s">
        <v>459</v>
      </c>
      <c r="C12148" s="30" t="n">
        <f aca="false">Sens!C12147-Sens!C12146</f>
        <v>326.666666666667</v>
      </c>
      <c r="D12148" s="30" t="n">
        <f aca="false">Sens!D12147-Sens!D12146</f>
        <v>820</v>
      </c>
      <c r="E12148" s="30" t="n">
        <f aca="false">Sens!E12147-Sens!E12146</f>
        <v>1800</v>
      </c>
      <c r="F12148" s="30" t="n">
        <f aca="false">Sens!F12147-Sens!F12146</f>
        <v>3480.35673333333</v>
      </c>
      <c r="G12148" s="30" t="n">
        <f aca="false">Sens!G12147-Sens!G12146</f>
        <v>5298.0468</v>
      </c>
      <c r="H12148" s="30" t="n">
        <f aca="false">Sens!H12147-Sens!H12146</f>
        <v>7115.73686666667</v>
      </c>
      <c r="I12148" s="30" t="n">
        <f aca="false">Sens!I12147-Sens!I12146</f>
        <v>8403.72761311111</v>
      </c>
      <c r="J12148" s="30" t="n">
        <f aca="false">Sens!J12147-Sens!J12146</f>
        <v>9187.77885426222</v>
      </c>
      <c r="K12148" s="30" t="n">
        <f aca="false">Sens!K12147-Sens!K12146</f>
        <v>9478.53221989009</v>
      </c>
    </row>
    <row r="12149" customFormat="false" ht="17.15" hidden="false" customHeight="false" outlineLevel="0" collapsed="false">
      <c r="A12149" s="1" t="s">
        <v>962</v>
      </c>
      <c r="B12149" s="0" t="s">
        <v>459</v>
      </c>
      <c r="C12149" s="30" t="n">
        <f aca="false">Sens!C12147</f>
        <v>816.666666666667</v>
      </c>
      <c r="D12149" s="30" t="n">
        <f aca="false">Sens!D12147-Sens!C12147</f>
        <v>1233.33333333333</v>
      </c>
      <c r="E12149" s="30" t="n">
        <f aca="false">Sens!E12147-Sens!D12147</f>
        <v>2450</v>
      </c>
      <c r="F12149" s="30" t="n">
        <f aca="false">Sens!F12147-Sens!E12147</f>
        <v>4200.89183333333</v>
      </c>
      <c r="G12149" s="30" t="n">
        <f aca="false">Sens!G12147-Sens!F12147</f>
        <v>4544.22516666667</v>
      </c>
      <c r="H12149" s="30" t="n">
        <f aca="false">Sens!H12147-Sens!G12147</f>
        <v>4544.22516666667</v>
      </c>
      <c r="I12149" s="30" t="n">
        <f aca="false">Sens!I12147-Sens!H12147</f>
        <v>3219.97686611111</v>
      </c>
      <c r="J12149" s="30" t="n">
        <f aca="false">Sens!J12147-Sens!I12147</f>
        <v>1960.12810287778</v>
      </c>
      <c r="K12149" s="30" t="n">
        <f aca="false">Sens!K12147-Sens!J12147</f>
        <v>726.883414069667</v>
      </c>
    </row>
    <row r="12150" customFormat="false" ht="17.15" hidden="false" customHeight="false" outlineLevel="0" collapsed="false">
      <c r="A12150" s="1" t="s">
        <v>963</v>
      </c>
      <c r="B12150" s="0" t="s">
        <v>459</v>
      </c>
      <c r="D12150" s="30" t="n">
        <f aca="false">Sens!D12144-Sens!C12144</f>
        <v>990</v>
      </c>
      <c r="E12150" s="30" t="n">
        <f aca="false">Sens!E12144-Sens!D12144</f>
        <v>1620</v>
      </c>
      <c r="F12150" s="30" t="n">
        <f aca="false">Sens!F12144-Sens!E12144</f>
        <v>2726.5351</v>
      </c>
      <c r="G12150" s="30" t="n">
        <f aca="false">Sens!G12144-Sens!F12144</f>
        <v>2726.5351</v>
      </c>
      <c r="H12150" s="30" t="n">
        <f aca="false">Sens!H12144-Sens!G12144</f>
        <v>2726.5351</v>
      </c>
      <c r="I12150" s="30" t="n">
        <f aca="false">Sens!I12144-Sens!H12144</f>
        <v>1931.98611966667</v>
      </c>
      <c r="J12150" s="30" t="n">
        <f aca="false">Sens!J12144-Sens!I12144</f>
        <v>1176.07686172667</v>
      </c>
      <c r="K12150" s="30" t="n">
        <f aca="false">Sens!K12144-Sens!J12144</f>
        <v>436.130048441799</v>
      </c>
    </row>
    <row r="12151" customFormat="false" ht="17.15" hidden="false" customHeight="false" outlineLevel="0" collapsed="false">
      <c r="A12151" s="1" t="s">
        <v>964</v>
      </c>
      <c r="B12151" s="0" t="s">
        <v>459</v>
      </c>
      <c r="F12151" s="30" t="n">
        <f aca="false">Sens!F12170*ext_sh</f>
        <v>0</v>
      </c>
      <c r="G12151" s="30" t="n">
        <f aca="false">Sens!G12170*ext_sh</f>
        <v>0</v>
      </c>
      <c r="H12151" s="30" t="n">
        <f aca="false">Sens!H12170*ext_sh</f>
        <v>0</v>
      </c>
      <c r="I12151" s="30" t="n">
        <f aca="false">Sens!I12170*ext_sh</f>
        <v>490</v>
      </c>
      <c r="J12151" s="30" t="n">
        <f aca="false">Sens!J12170*ext_sh</f>
        <v>740</v>
      </c>
      <c r="K12151" s="30" t="n">
        <f aca="false">Sens!K12170*ext_sh</f>
        <v>1470</v>
      </c>
      <c r="L12151" s="1" t="s">
        <v>965</v>
      </c>
    </row>
    <row r="12152" customFormat="false" ht="17.15" hidden="false" customHeight="false" outlineLevel="0" collapsed="false">
      <c r="A12152" s="1" t="s">
        <v>966</v>
      </c>
      <c r="B12152" s="0" t="s">
        <v>459</v>
      </c>
      <c r="C12152" s="30" t="n">
        <f aca="false">mix_h*Sens!C12144</f>
        <v>128</v>
      </c>
      <c r="D12152" s="30" t="n">
        <f aca="false">mix_h*Sens!D12144</f>
        <v>326</v>
      </c>
      <c r="E12152" s="30" t="n">
        <f aca="false">mix_h*Sens!E12144</f>
        <v>650</v>
      </c>
      <c r="F12152" s="30" t="n">
        <f aca="false">Sens!E12152-Sens!F12151*mix_h</f>
        <v>650</v>
      </c>
      <c r="G12152" s="30" t="n">
        <f aca="false">Sens!F12152-Sens!G12151*mix_h</f>
        <v>650</v>
      </c>
      <c r="H12152" s="30" t="n">
        <f aca="false">Sens!G12152-Sens!H12151*mix_h</f>
        <v>650</v>
      </c>
      <c r="I12152" s="30" t="n">
        <f aca="false">Sens!H12152-Sens!I12151*mix_h</f>
        <v>552</v>
      </c>
      <c r="J12152" s="30" t="n">
        <f aca="false">Sens!I12152-Sens!J12151*mix_h</f>
        <v>404</v>
      </c>
      <c r="K12152" s="30" t="n">
        <f aca="false">Sens!J12152-Sens!K12151*mix_h</f>
        <v>110</v>
      </c>
    </row>
    <row r="12153" customFormat="false" ht="17.15" hidden="false" customHeight="false" outlineLevel="0" collapsed="false">
      <c r="A12153" s="1" t="s">
        <v>967</v>
      </c>
      <c r="B12153" s="0" t="s">
        <v>459</v>
      </c>
      <c r="C12153" s="30" t="n">
        <f aca="false">mix_g2*Sens!C12144</f>
        <v>288</v>
      </c>
      <c r="D12153" s="30" t="n">
        <f aca="false">mix_g2*Sens!D12144</f>
        <v>733.5</v>
      </c>
      <c r="E12153" s="30" t="n">
        <f aca="false">mix_g2*Sens!E12144</f>
        <v>1462.5</v>
      </c>
      <c r="F12153" s="30" t="n">
        <f aca="false">Sens!E12153-Sens!F12151*mix_g2</f>
        <v>1462.5</v>
      </c>
      <c r="G12153" s="30" t="n">
        <f aca="false">Sens!F12153-Sens!G12151*mix_g2</f>
        <v>1462.5</v>
      </c>
      <c r="H12153" s="30" t="n">
        <f aca="false">Sens!G12153-Sens!H12151*mix_g2</f>
        <v>1462.5</v>
      </c>
      <c r="I12153" s="30" t="n">
        <f aca="false">Sens!H12153-Sens!I12151*mix_g2</f>
        <v>1242</v>
      </c>
      <c r="J12153" s="30" t="n">
        <f aca="false">Sens!I12153-Sens!J12151*mix_g2</f>
        <v>909</v>
      </c>
      <c r="K12153" s="30" t="n">
        <f aca="false">Sens!J12153-Sens!K12151*mix_g2</f>
        <v>247.5</v>
      </c>
    </row>
    <row r="12154" customFormat="false" ht="17.15" hidden="false" customHeight="false" outlineLevel="0" collapsed="false">
      <c r="A12154" s="1" t="s">
        <v>968</v>
      </c>
      <c r="B12154" s="0" t="s">
        <v>459</v>
      </c>
      <c r="C12154" s="30" t="n">
        <f aca="false">mix_g3*Sens!C12144</f>
        <v>224</v>
      </c>
      <c r="D12154" s="30" t="n">
        <f aca="false">mix_g3*Sens!D12144</f>
        <v>570.5</v>
      </c>
      <c r="E12154" s="30" t="n">
        <f aca="false">mix_g3*Sens!E12144</f>
        <v>1137.5</v>
      </c>
      <c r="F12154" s="30" t="n">
        <f aca="false">Sens!E12154+(Sens!F12150+Sens!F12151)*(a_g3_27-nonnv*a_mai)-Sens!F12151*mix_g3</f>
        <v>2773.42106</v>
      </c>
      <c r="G12154" s="30" t="n">
        <f aca="false">Sens!F12154+(Sens!G12150+Sens!G12151)*(a_g3_28-nonnv*a_mai)-Sens!G12151*mix_g3</f>
        <v>3318.72808</v>
      </c>
      <c r="H12154" s="30" t="n">
        <f aca="false">Sens!G12154+(Sens!H12150+Sens!H12151)*(a_g3_29-nonnv*a_mai)-Sens!H12151*mix_g3</f>
        <v>3318.72808</v>
      </c>
      <c r="I12154" s="30" t="n">
        <f aca="false">Sens!H12154+(Sens!I12150+Sens!I12151)*(a_g3_29-nonnv*a_mai)-Sens!I12151*mix_g3</f>
        <v>3147.22808</v>
      </c>
      <c r="J12154" s="30" t="n">
        <f aca="false">Sens!I12154+(Sens!J12150+Sens!J12151)*(a_g3_29-nonnv*a_mai)-Sens!J12151*mix_g3</f>
        <v>2888.22808</v>
      </c>
      <c r="K12154" s="30" t="n">
        <f aca="false">Sens!J12154+(Sens!K12150+Sens!K12151)*(a_g3_29-nonnv*a_mai)-Sens!K12151*mix_g3</f>
        <v>2373.72808</v>
      </c>
    </row>
    <row r="12155" customFormat="false" ht="17.15" hidden="false" customHeight="false" outlineLevel="0" collapsed="false">
      <c r="A12155" s="1" t="s">
        <v>969</v>
      </c>
      <c r="B12155" s="0" t="s">
        <v>459</v>
      </c>
      <c r="C12155" s="30" t="n">
        <v>0</v>
      </c>
      <c r="D12155" s="30" t="n">
        <v>0</v>
      </c>
      <c r="E12155" s="30" t="n">
        <v>0</v>
      </c>
      <c r="F12155" s="30" t="n">
        <f aca="false">Sens!E12155+(Sens!F12150+Sens!F12151)*nonnv*a_mai</f>
        <v>272.65351</v>
      </c>
      <c r="G12155" s="30" t="n">
        <f aca="false">Sens!F12155+(Sens!G12150+Sens!G12151)*nonnv*a_mai</f>
        <v>545.30702</v>
      </c>
      <c r="H12155" s="30" t="n">
        <f aca="false">Sens!G12155+(Sens!H12150+Sens!H12151)*nonnv*a_mai</f>
        <v>817.96053</v>
      </c>
      <c r="I12155" s="30" t="n">
        <f aca="false">Sens!H12155+(Sens!I12150+Sens!I12151)*nonnv*a_mai</f>
        <v>1060.15914196667</v>
      </c>
      <c r="J12155" s="30" t="n">
        <f aca="false">Sens!I12155+(Sens!J12150+Sens!J12151)*nonnv*a_mai</f>
        <v>1251.76682813933</v>
      </c>
      <c r="K12155" s="30" t="n">
        <f aca="false">Sens!J12155+(Sens!K12150+Sens!K12151)*nonnv*a_mai</f>
        <v>1442.37983298351</v>
      </c>
      <c r="L12155" s="12" t="s">
        <v>970</v>
      </c>
    </row>
    <row r="12156" customFormat="false" ht="17.15" hidden="false" customHeight="false" outlineLevel="0" collapsed="false">
      <c r="A12156" s="1" t="s">
        <v>971</v>
      </c>
      <c r="B12156" s="0" t="s">
        <v>459</v>
      </c>
      <c r="C12156" s="30" t="n">
        <v>0</v>
      </c>
      <c r="D12156" s="30" t="n">
        <v>0</v>
      </c>
      <c r="E12156" s="30" t="n">
        <v>0</v>
      </c>
      <c r="F12156" s="30" t="n">
        <f aca="false">Sens!E12156+(Sens!F12150+Sens!F12151)*(1-a_g3_27)</f>
        <v>817.96053</v>
      </c>
      <c r="G12156" s="30" t="n">
        <f aca="false">Sens!F12156+(Sens!G12150+Sens!G12151)*(1-a_g3_28)</f>
        <v>2726.5351</v>
      </c>
      <c r="H12156" s="30" t="n">
        <f aca="false">Sens!G12156+(Sens!H12150+Sens!H12151)*(1-a_g3_29)</f>
        <v>5180.41669</v>
      </c>
      <c r="I12156" s="30" t="n">
        <f aca="false">Sens!H12156+(Sens!I12150+Sens!I12151)*(1-a_g3_29)</f>
        <v>7360.2041977</v>
      </c>
      <c r="J12156" s="30" t="n">
        <f aca="false">Sens!I12156+(Sens!J12150+Sens!J12151)*(1-a_g3_29)</f>
        <v>9084.673373254</v>
      </c>
      <c r="K12156" s="30" t="n">
        <f aca="false">Sens!J12156+(Sens!K12150+Sens!K12151)*(1-a_g3_29)</f>
        <v>10800.1904168516</v>
      </c>
    </row>
    <row r="12157" customFormat="false" ht="17.15" hidden="false" customHeight="false" outlineLevel="0" collapsed="false">
      <c r="A12157" s="1" t="s">
        <v>972</v>
      </c>
      <c r="B12157" s="0" t="s">
        <v>403</v>
      </c>
      <c r="C12157" s="15" t="n">
        <f aca="false">(Sens!C12152*tk_hold_h100+Sens!C12153*tk_hold_gb200+Sens!C12154*tk_hold_gb300+Sens!C12156*tk_hold_vr200+Sens!C12155*nv_hold_mai*tk_hold_vr200)/Sens!C12144</f>
        <v>9.7235358126469</v>
      </c>
      <c r="D12157" s="15" t="n">
        <f aca="false">(Sens!D12152*tk_hold_h100+Sens!D12153*tk_hold_gb200+Sens!D12154*tk_hold_gb300+Sens!D12156*tk_hold_vr200+Sens!D12155*nv_hold_mai*tk_hold_vr200)/Sens!D12144</f>
        <v>9.7235358126469</v>
      </c>
      <c r="E12157" s="15" t="n">
        <f aca="false">(Sens!E12152*tk_hold_h100+Sens!E12153*tk_hold_gb200+Sens!E12154*tk_hold_gb300+Sens!E12156*tk_hold_vr200+Sens!E12155*nv_hold_mai*tk_hold_vr200)/Sens!E12144</f>
        <v>9.7235358126469</v>
      </c>
      <c r="F12157" s="15" t="n">
        <f aca="false">(Sens!F12152*tk_hold_h100+Sens!F12153*tk_hold_gb200+Sens!F12154*tk_hold_gb300+Sens!F12156*tk_hold_vr200+Sens!F12155*nv_hold_mai*tk_hold_vr200)/Sens!F12144</f>
        <v>10.2195353876665</v>
      </c>
      <c r="G12157" s="15" t="n">
        <f aca="false">(Sens!G12152*tk_hold_h100+Sens!G12153*tk_hold_gb200+Sens!G12154*tk_hold_gb300+Sens!G12156*tk_hold_vr200+Sens!G12155*nv_hold_mai*tk_hold_vr200)/Sens!G12144</f>
        <v>10.5725598017306</v>
      </c>
      <c r="H12157" s="15" t="n">
        <f aca="false">(Sens!H12152*tk_hold_h100+Sens!H12153*tk_hold_gb200+Sens!H12154*tk_hold_gb300+Sens!H12156*tk_hold_vr200+Sens!H12155*nv_hold_mai*tk_hold_vr200)/Sens!H12144</f>
        <v>10.8210427149036</v>
      </c>
      <c r="I12157" s="15" t="n">
        <f aca="false">(Sens!I12152*tk_hold_h100+Sens!I12153*tk_hold_gb200+Sens!I12154*tk_hold_gb300+Sens!I12156*tk_hold_vr200+Sens!I12155*nv_hold_mai*tk_hold_vr200)/Sens!I12144</f>
        <v>11.0050618241982</v>
      </c>
      <c r="J12157" s="15" t="n">
        <f aca="false">(Sens!J12152*tk_hold_h100+Sens!J12153*tk_hold_gb200+Sens!J12154*tk_hold_gb300+Sens!J12156*tk_hold_vr200+Sens!J12155*nv_hold_mai*tk_hold_vr200)/Sens!J12144</f>
        <v>11.1505789658881</v>
      </c>
      <c r="K12157" s="15" t="n">
        <f aca="false">(Sens!K12152*tk_hold_h100+Sens!K12153*tk_hold_gb200+Sens!K12154*tk_hold_gb300+Sens!K12156*tk_hold_vr200+Sens!K12155*nv_hold_mai*tk_hold_vr200)/Sens!K12144</f>
        <v>11.3496914757183</v>
      </c>
      <c r="L12157" s="1" t="s">
        <v>973</v>
      </c>
    </row>
    <row r="12158" customFormat="false" ht="17.15" hidden="false" customHeight="false" outlineLevel="0" collapsed="false">
      <c r="A12158" s="1" t="s">
        <v>974</v>
      </c>
      <c r="B12158" s="0" t="s">
        <v>403</v>
      </c>
      <c r="C12158" s="15" t="n">
        <f aca="false">(Sens!C12152*tk_hold_h100+Sens!C12153*tk_hold_gb200+Sens!C12154*tk_hold_gb300+Sens!C12156*tk_hold_vr200+Sens!C12155*nv_out_mai*tk_hold_vr200)/Sens!C12144</f>
        <v>9.7235358126469</v>
      </c>
      <c r="D12158" s="15" t="n">
        <f aca="false">(Sens!D12152*tk_hold_h100+Sens!D12153*tk_hold_gb200+Sens!D12154*tk_hold_gb300+Sens!D12156*tk_hold_vr200+Sens!D12155*nv_out_mai*tk_hold_vr200)/Sens!D12144</f>
        <v>9.7235358126469</v>
      </c>
      <c r="E12158" s="15" t="n">
        <f aca="false">(Sens!E12152*tk_hold_h100+Sens!E12153*tk_hold_gb200+Sens!E12154*tk_hold_gb300+Sens!E12156*tk_hold_vr200+Sens!E12155*nv_out_mai*tk_hold_vr200)/Sens!E12144</f>
        <v>9.7235358126469</v>
      </c>
      <c r="F12158" s="15" t="n">
        <f aca="false">(Sens!F12152*tk_hold_h100+Sens!F12153*tk_hold_gb200+Sens!F12154*tk_hold_gb300+Sens!F12156*tk_hold_vr200+Sens!F12155*nv_out_mai*tk_hold_vr200)/Sens!F12144</f>
        <v>10.247422093969</v>
      </c>
      <c r="G12158" s="15" t="n">
        <f aca="false">(Sens!G12152*tk_hold_h100+Sens!G12153*tk_hold_gb200+Sens!G12154*tk_hold_gb300+Sens!G12156*tk_hold_vr200+Sens!G12155*nv_out_mai*tk_hold_vr200)/Sens!G12144</f>
        <v>10.6108602808053</v>
      </c>
      <c r="H12158" s="15" t="n">
        <f aca="false">(Sens!H12152*tk_hold_h100+Sens!H12153*tk_hold_gb200+Sens!H12154*tk_hold_gb300+Sens!H12156*tk_hold_vr200+Sens!H12155*nv_out_mai*tk_hold_vr200)/Sens!H12144</f>
        <v>10.8647885507393</v>
      </c>
      <c r="I12158" s="15" t="n">
        <f aca="false">(Sens!I12152*tk_hold_h100+Sens!I12153*tk_hold_gb200+Sens!I12154*tk_hold_gb300+Sens!I12156*tk_hold_vr200+Sens!I12155*nv_out_mai*tk_hold_vr200)/Sens!I12144</f>
        <v>11.0535625770025</v>
      </c>
      <c r="J12158" s="15" t="n">
        <f aca="false">(Sens!J12152*tk_hold_h100+Sens!J12153*tk_hold_gb200+Sens!J12154*tk_hold_gb300+Sens!J12156*tk_hold_vr200+Sens!J12155*nv_out_mai*tk_hold_vr200)/Sens!J12144</f>
        <v>11.2032127128058</v>
      </c>
      <c r="K12158" s="15" t="n">
        <f aca="false">(Sens!K12152*tk_hold_h100+Sens!K12153*tk_hold_gb200+Sens!K12154*tk_hold_gb300+Sens!K12156*tk_hold_vr200+Sens!K12155*nv_out_mai*tk_hold_vr200)/Sens!K12144</f>
        <v>11.4085735724225</v>
      </c>
      <c r="L12158" s="12" t="s">
        <v>975</v>
      </c>
    </row>
    <row r="12159" customFormat="false" ht="17.15" hidden="false" customHeight="false" outlineLevel="0" collapsed="false">
      <c r="A12159" s="0" t="s">
        <v>976</v>
      </c>
      <c r="B12159" s="0" t="s">
        <v>229</v>
      </c>
      <c r="C12159" s="15" t="n">
        <f aca="false">k_B</f>
        <v>1.17213932619116</v>
      </c>
      <c r="D12159" s="15" t="n">
        <f aca="false">k_B</f>
        <v>1.17213932619116</v>
      </c>
      <c r="E12159" s="15" t="n">
        <f aca="false">k_B</f>
        <v>1.17213932619116</v>
      </c>
      <c r="F12159" s="15" t="n">
        <f aca="false">(k_B+((ls_A*k_long+(1-ls_A)*k_spot)-k_B)*MIN(1,(Sens!F12142-base_fy)/k_ramp))</f>
        <v>1.25022828131298</v>
      </c>
      <c r="G12159" s="15" t="n">
        <f aca="false">(k_B+((ls_A*k_long+(1-ls_A)*k_spot)-k_B)*MIN(1,(Sens!G12142-base_fy)/k_ramp))</f>
        <v>1.3283172364348</v>
      </c>
      <c r="H12159" s="15" t="n">
        <f aca="false">(k_B+((ls_A*k_long+(1-ls_A)*k_spot)-k_B)*MIN(1,(Sens!H12142-base_fy)/k_ramp))</f>
        <v>1.40640619155662</v>
      </c>
      <c r="I12159" s="15" t="n">
        <f aca="false">(k_B+((ls_A*k_long+(1-ls_A)*k_spot)-k_B)*MIN(1,(Sens!I12142-base_fy)/k_ramp))</f>
        <v>1.40640619155662</v>
      </c>
      <c r="J12159" s="15" t="n">
        <f aca="false">(k_B+((ls_A*k_long+(1-ls_A)*k_spot)-k_B)*MIN(1,(Sens!J12142-base_fy)/k_ramp))</f>
        <v>1.40640619155662</v>
      </c>
      <c r="K12159" s="15" t="n">
        <f aca="false">(k_B+((ls_A*k_long+(1-ls_A)*k_spot)-k_B)*MIN(1,(Sens!K12142-base_fy)/k_ramp))</f>
        <v>1.40640619155662</v>
      </c>
      <c r="L12159" s="1" t="s">
        <v>977</v>
      </c>
    </row>
    <row r="12160" customFormat="false" ht="17.15" hidden="false" customHeight="false" outlineLevel="0" collapsed="false">
      <c r="A12160" s="1" t="s">
        <v>978</v>
      </c>
      <c r="B12160" s="0" t="s">
        <v>403</v>
      </c>
      <c r="C12160" s="15" t="n">
        <f aca="false">Sens!C12158*Sens!C12159*chip_f</f>
        <v>11.3973387156315</v>
      </c>
      <c r="D12160" s="15" t="n">
        <f aca="false">Sens!D12158*Sens!D12159*chip_f</f>
        <v>11.3973387156315</v>
      </c>
      <c r="E12160" s="15" t="n">
        <f aca="false">Sens!E12158*Sens!E12159*chip_f</f>
        <v>11.3973387156315</v>
      </c>
      <c r="F12160" s="15" t="n">
        <f aca="false">Sens!F12158*Sens!F12159*chip_f</f>
        <v>12.8116169124314</v>
      </c>
      <c r="G12160" s="15" t="n">
        <f aca="false">Sens!G12158*Sens!G12159*chip_f</f>
        <v>14.094588604395</v>
      </c>
      <c r="H12160" s="15" t="n">
        <f aca="false">Sens!H12158*Sens!H12159*chip_f</f>
        <v>15.2803058877132</v>
      </c>
      <c r="I12160" s="15" t="n">
        <f aca="false">Sens!I12158*Sens!I12159*chip_f</f>
        <v>15.5457988470549</v>
      </c>
      <c r="J12160" s="15" t="n">
        <f aca="false">Sens!J12158*Sens!J12159*chip_f</f>
        <v>15.7562677246158</v>
      </c>
      <c r="K12160" s="15" t="n">
        <f aca="false">Sens!K12158*Sens!K12159*chip_f</f>
        <v>16.0450885090842</v>
      </c>
      <c r="L12160" s="1" t="s">
        <v>979</v>
      </c>
    </row>
    <row r="12161" customFormat="false" ht="17.15" hidden="false" customHeight="false" outlineLevel="0" collapsed="false">
      <c r="A12161" s="0" t="s">
        <v>980</v>
      </c>
      <c r="B12161" s="0" t="s">
        <v>98</v>
      </c>
      <c r="D12161" s="6" t="n">
        <f aca="false">(Sens!C12144+Sens!D12144)/2*Sens!D12160/1000</f>
        <v>12.9359794422418</v>
      </c>
      <c r="E12161" s="6" t="n">
        <f aca="false">(Sens!D12144+Sens!E12144)/2*Sens!E12160/1000</f>
        <v>27.8095064661409</v>
      </c>
      <c r="F12161" s="6" t="n">
        <f aca="false">(Sens!E12144+Sens!F12144)/2*Sens!F12160/1000</f>
        <v>59.1034165651511</v>
      </c>
      <c r="G12161" s="6" t="n">
        <f aca="false">(Sens!F12144+Sens!G12144)/2*Sens!G12160/1000</f>
        <v>103.451498789198</v>
      </c>
      <c r="H12161" s="6" t="n">
        <f aca="false">(Sens!G12144+Sens!H12144)/2*Sens!H12160/1000</f>
        <v>153.816719989035</v>
      </c>
      <c r="I12161" s="6" t="n">
        <f aca="false">(Sens!H12144+Sens!I12144)/2*Sens!I12160/1000</f>
        <v>192.699478690852</v>
      </c>
      <c r="J12161" s="6" t="n">
        <f aca="false">(Sens!I12144+Sens!J12144)/2*Sens!J12160/1000</f>
        <v>219.794102584244</v>
      </c>
      <c r="K12161" s="6" t="n">
        <f aca="false">(Sens!J12144+Sens!K12144)/2*Sens!K12160/1000</f>
        <v>236.757046905022</v>
      </c>
      <c r="L12161" s="12" t="s">
        <v>981</v>
      </c>
    </row>
    <row r="12162" customFormat="false" ht="17.15" hidden="false" customHeight="false" outlineLevel="0" collapsed="false">
      <c r="A12162" s="1" t="s">
        <v>982</v>
      </c>
      <c r="B12162" s="0" t="s">
        <v>403</v>
      </c>
      <c r="C12162" s="15" t="n">
        <f aca="false">(Sens!C12152*tk_opex_h100+Sens!C12153*tk_opex_gb200+Sens!C12154*tk_opex_gb300+(Sens!C12156+Sens!C12155)*tk_opex_vr200)/Sens!C12144</f>
        <v>1.88636041306092</v>
      </c>
      <c r="D12162" s="15" t="n">
        <f aca="false">(Sens!D12152*tk_opex_h100+Sens!D12153*tk_opex_gb200+Sens!D12154*tk_opex_gb300+(Sens!D12156+Sens!D12155)*tk_opex_vr200)/Sens!D12144</f>
        <v>1.88636041306092</v>
      </c>
      <c r="E12162" s="15" t="n">
        <f aca="false">(Sens!E12152*tk_opex_h100+Sens!E12153*tk_opex_gb200+Sens!E12154*tk_opex_gb300+(Sens!E12156+Sens!E12155)*tk_opex_vr200)/Sens!E12144</f>
        <v>1.88636041306092</v>
      </c>
      <c r="F12162" s="15" t="n">
        <f aca="false">(Sens!F12152*tk_opex_h100+Sens!F12153*tk_opex_gb200+Sens!F12154*tk_opex_gb300+(Sens!F12156+Sens!F12155)*tk_opex_vr200)/Sens!F12144</f>
        <v>1.95051159746876</v>
      </c>
      <c r="G12162" s="15" t="n">
        <f aca="false">(Sens!G12152*tk_opex_h100+Sens!G12153*tk_opex_gb200+Sens!G12154*tk_opex_gb300+(Sens!G12156+Sens!G12155)*tk_opex_vr200)/Sens!G12144</f>
        <v>1.98836003669956</v>
      </c>
      <c r="H12162" s="15" t="n">
        <f aca="false">(Sens!H12152*tk_opex_h100+Sens!H12153*tk_opex_gb200+Sens!H12154*tk_opex_gb300+(Sens!H12156+Sens!H12155)*tk_opex_vr200)/Sens!H12144</f>
        <v>2.01344013834343</v>
      </c>
      <c r="I12162" s="15" t="n">
        <f aca="false">(Sens!I12152*tk_opex_h100+Sens!I12153*tk_opex_gb200+Sens!I12154*tk_opex_gb300+(Sens!I12156+Sens!I12155)*tk_opex_vr200)/Sens!I12144</f>
        <v>2.03261166882178</v>
      </c>
      <c r="J12162" s="15" t="n">
        <f aca="false">(Sens!J12152*tk_opex_h100+Sens!J12153*tk_opex_gb200+Sens!J12154*tk_opex_gb300+(Sens!J12156+Sens!J12155)*tk_opex_vr200)/Sens!J12144</f>
        <v>2.04808073288745</v>
      </c>
      <c r="K12162" s="15" t="n">
        <f aca="false">(Sens!K12152*tk_opex_h100+Sens!K12153*tk_opex_gb200+Sens!K12154*tk_opex_gb300+(Sens!K12156+Sens!K12155)*tk_opex_vr200)/Sens!K12144</f>
        <v>2.06973825807449</v>
      </c>
      <c r="L12162" s="12" t="s">
        <v>983</v>
      </c>
    </row>
    <row r="12163" customFormat="false" ht="17.15" hidden="false" customHeight="false" outlineLevel="0" collapsed="false">
      <c r="A12163" s="0" t="s">
        <v>984</v>
      </c>
      <c r="B12163" s="0" t="s">
        <v>98</v>
      </c>
      <c r="D12163" s="6" t="n">
        <f aca="false">(Sens!C12147+Sens!D12147)/2*Sens!D12162/1000</f>
        <v>2.70378325872065</v>
      </c>
      <c r="E12163" s="6" t="n">
        <f aca="false">(Sens!D12147+Sens!E12147)/2*Sens!E12162/1000</f>
        <v>6.17783035277451</v>
      </c>
      <c r="F12163" s="6" t="n">
        <f aca="false">(Sens!E12147+Sens!F12147)/2*Sens!F12162/1000</f>
        <v>12.8742463089237</v>
      </c>
      <c r="G12163" s="6" t="n">
        <f aca="false">(Sens!F12147+Sens!G12147)/2*Sens!G12162/1000</f>
        <v>21.8182834646277</v>
      </c>
      <c r="H12163" s="6" t="n">
        <f aca="false">(Sens!G12147+Sens!H12147)/2*Sens!H12162/1000</f>
        <v>31.2430128789734</v>
      </c>
      <c r="I12163" s="6" t="n">
        <f aca="false">(Sens!H12147+Sens!I12147)/2*Sens!I12162/1000</f>
        <v>39.4313057443268</v>
      </c>
      <c r="J12163" s="6" t="n">
        <f aca="false">(Sens!I12147+Sens!J12147)/2*Sens!J12162/1000</f>
        <v>45.0360318228653</v>
      </c>
      <c r="K12163" s="6" t="n">
        <f aca="false">(Sens!J12147+Sens!K12147)/2*Sens!K12162/1000</f>
        <v>48.2929727091156</v>
      </c>
    </row>
    <row r="12164" customFormat="false" ht="17.15" hidden="false" customHeight="false" outlineLevel="0" collapsed="false">
      <c r="A12164" s="0" t="s">
        <v>985</v>
      </c>
      <c r="B12164" s="0" t="s">
        <v>98</v>
      </c>
      <c r="D12164" s="6" t="n">
        <f aca="false">(Sens!C12145+Sens!D12145)/2*rent_mw/1000</f>
        <v>2.44475</v>
      </c>
      <c r="E12164" s="6" t="n">
        <f aca="false">(Sens!D12145+Sens!E12145)/2*rent_mw/1000</f>
        <v>4.22275</v>
      </c>
      <c r="F12164" s="6" t="n">
        <f aca="false">(Sens!E12145+Sens!F12145)/2*rent_mw/1000</f>
        <v>5.80517</v>
      </c>
      <c r="G12164" s="6" t="n">
        <f aca="false">(Sens!F12145+Sens!G12145)/2*rent_mw/1000</f>
        <v>6.72084</v>
      </c>
      <c r="H12164" s="6" t="n">
        <f aca="false">(Sens!G12145+Sens!H12145)/2*rent_mw/1000</f>
        <v>6.72084</v>
      </c>
      <c r="I12164" s="6" t="n">
        <f aca="false">(Sens!H12145+Sens!I12145)/2*rent_mw/1000</f>
        <v>6.72084</v>
      </c>
      <c r="J12164" s="6" t="n">
        <f aca="false">(Sens!I12145+Sens!J12145)/2*rent_mw/1000</f>
        <v>6.72084</v>
      </c>
      <c r="K12164" s="6" t="n">
        <f aca="false">(Sens!J12145+Sens!K12145)/2*rent_mw/1000</f>
        <v>6.72084</v>
      </c>
    </row>
    <row r="12165" customFormat="false" ht="17.15" hidden="false" customHeight="false" outlineLevel="0" collapsed="false">
      <c r="A12165" s="0" t="s">
        <v>986</v>
      </c>
      <c r="B12165" s="0" t="s">
        <v>98</v>
      </c>
      <c r="D12165" s="6" t="n">
        <f aca="false">(Sens!C12147+Sens!D12147)/2*(1-self_build)*fac_rent/1000</f>
        <v>0.853242375631075</v>
      </c>
      <c r="E12165" s="6" t="n">
        <f aca="false">(Sens!D12147+Sens!E12147)/2*(1-self_build)*fac_rent/1000</f>
        <v>1.94955961408728</v>
      </c>
      <c r="F12165" s="6" t="n">
        <f aca="false">(Sens!E12147+Sens!F12147)/2*(1-self_build)*fac_rent/1000</f>
        <v>3.92914894476356</v>
      </c>
      <c r="G12165" s="6" t="n">
        <f aca="false">(Sens!F12147+Sens!G12147)/2*(1-self_build)*fac_rent/1000</f>
        <v>6.53206908578159</v>
      </c>
      <c r="H12165" s="6" t="n">
        <f aca="false">(Sens!G12147+Sens!H12147)/2*(1-self_build)*fac_rent/1000</f>
        <v>9.23717988341591</v>
      </c>
      <c r="I12165" s="6" t="n">
        <f aca="false">(Sens!H12147+Sens!I12147)/2*(1-self_build)*fac_rent/1000</f>
        <v>11.5481378557393</v>
      </c>
      <c r="J12165" s="6" t="n">
        <f aca="false">(Sens!I12147+Sens!J12147)/2*(1-self_build)*fac_rent/1000</f>
        <v>13.0899582289108</v>
      </c>
      <c r="K12165" s="6" t="n">
        <f aca="false">(Sens!J12147+Sens!K12147)/2*(1-self_build)*fac_rent/1000</f>
        <v>13.8897275626556</v>
      </c>
      <c r="L12165" s="12" t="s">
        <v>987</v>
      </c>
    </row>
    <row r="12166" customFormat="false" ht="17.15" hidden="false" customHeight="false" outlineLevel="0" collapsed="false">
      <c r="A12166" s="1" t="s">
        <v>988</v>
      </c>
      <c r="B12166" s="0" t="s">
        <v>168</v>
      </c>
      <c r="D12166" s="7" t="n">
        <f aca="false">(Sens!C12146+Sens!D12146)/(Sens!C12147+Sens!D12147)</f>
        <v>0.6</v>
      </c>
      <c r="E12166" s="7" t="n">
        <f aca="false">(Sens!D12146+Sens!E12146)/(Sens!D12147+Sens!E12147)</f>
        <v>0.6</v>
      </c>
      <c r="F12166" s="7" t="n">
        <f aca="false">(Sens!E12146+Sens!F12146)/(Sens!E12147+Sens!F12147)</f>
        <v>0.6</v>
      </c>
      <c r="G12166" s="7" t="n">
        <f aca="false">(Sens!F12146+Sens!G12146)/(Sens!F12147+Sens!G12147)</f>
        <v>0.6</v>
      </c>
      <c r="H12166" s="7" t="n">
        <f aca="false">(Sens!G12146+Sens!H12146)/(Sens!G12147+Sens!H12147)</f>
        <v>0.6</v>
      </c>
      <c r="I12166" s="7" t="n">
        <f aca="false">(Sens!H12146+Sens!I12146)/(Sens!H12147+Sens!I12147)</f>
        <v>0.6</v>
      </c>
      <c r="J12166" s="7" t="n">
        <f aca="false">(Sens!I12146+Sens!J12146)/(Sens!I12147+Sens!J12147)</f>
        <v>0.6</v>
      </c>
      <c r="K12166" s="7" t="n">
        <f aca="false">(Sens!J12146+Sens!K12146)/(Sens!J12147+Sens!K12147)</f>
        <v>0.6</v>
      </c>
    </row>
    <row r="12167" customFormat="false" ht="17.15" hidden="false" customHeight="false" outlineLevel="0" collapsed="false">
      <c r="A12167" s="0" t="s">
        <v>989</v>
      </c>
      <c r="B12167" s="0" t="s">
        <v>98</v>
      </c>
      <c r="D12167" s="6" t="n">
        <f aca="false">Sens!D12161-Sens!D12166*(Sens!D12163+Sens!D12165)-Sens!D12164</f>
        <v>8.35701406163072</v>
      </c>
      <c r="E12167" s="6" t="n">
        <f aca="false">Sens!E12161-Sens!E12166*(Sens!E12163+Sens!E12165)-Sens!E12164</f>
        <v>18.7103224860238</v>
      </c>
      <c r="F12167" s="6" t="n">
        <f aca="false">Sens!F12161-Sens!F12166*(Sens!F12163+Sens!F12165)-Sens!F12164</f>
        <v>43.2162094129388</v>
      </c>
      <c r="G12167" s="6" t="n">
        <f aca="false">Sens!G12161-Sens!G12166*(Sens!G12163+Sens!G12165)-Sens!G12164</f>
        <v>79.7204472589529</v>
      </c>
      <c r="H12167" s="6" t="n">
        <f aca="false">Sens!H12161-Sens!H12166*(Sens!H12163+Sens!H12165)-Sens!H12164</f>
        <v>122.807764331602</v>
      </c>
      <c r="I12167" s="6" t="n">
        <f aca="false">Sens!I12161-Sens!I12166*(Sens!I12163+Sens!I12165)-Sens!I12164</f>
        <v>155.390972530813</v>
      </c>
      <c r="J12167" s="6" t="n">
        <f aca="false">Sens!J12161-Sens!J12166*(Sens!J12163+Sens!J12165)-Sens!J12164</f>
        <v>178.197668553178</v>
      </c>
      <c r="K12167" s="6" t="n">
        <f aca="false">Sens!K12161-Sens!K12166*(Sens!K12163+Sens!K12165)-Sens!K12164</f>
        <v>192.726586741959</v>
      </c>
    </row>
    <row r="12168" customFormat="false" ht="17.15" hidden="false" customHeight="false" outlineLevel="0" collapsed="false">
      <c r="A12168" s="1" t="s">
        <v>990</v>
      </c>
      <c r="B12168" s="0" t="s">
        <v>98</v>
      </c>
      <c r="D12168" s="6" t="n">
        <f aca="false">(1-Sens!D12166)*(Sens!D12163+Sens!D12165)</f>
        <v>1.42281025374069</v>
      </c>
      <c r="E12168" s="6" t="n">
        <f aca="false">(1-Sens!E12166)*(Sens!E12163+Sens!E12165)</f>
        <v>3.25095598674472</v>
      </c>
      <c r="F12168" s="6" t="n">
        <f aca="false">(1-Sens!F12166)*(Sens!F12163+Sens!F12165)</f>
        <v>6.72135810147489</v>
      </c>
      <c r="G12168" s="6" t="n">
        <f aca="false">(1-Sens!G12166)*(Sens!G12163+Sens!G12165)</f>
        <v>11.3401410201637</v>
      </c>
      <c r="H12168" s="6" t="n">
        <f aca="false">(1-Sens!H12166)*(Sens!H12163+Sens!H12165)</f>
        <v>16.1920771049557</v>
      </c>
      <c r="I12168" s="6" t="n">
        <f aca="false">(1-Sens!I12166)*(Sens!I12163+Sens!I12165)</f>
        <v>20.3917774400264</v>
      </c>
      <c r="J12168" s="6" t="n">
        <f aca="false">(1-Sens!J12166)*(Sens!J12163+Sens!J12165)</f>
        <v>23.2503960207104</v>
      </c>
      <c r="K12168" s="6" t="n">
        <f aca="false">(1-Sens!K12166)*(Sens!K12163+Sens!K12165)</f>
        <v>24.8730801087085</v>
      </c>
    </row>
    <row r="12169" customFormat="false" ht="17.15" hidden="false" customHeight="false" outlineLevel="0" collapsed="false">
      <c r="A12169" s="1" t="s">
        <v>991</v>
      </c>
      <c r="B12169" s="0" t="s">
        <v>417</v>
      </c>
      <c r="C12169" s="8" t="n">
        <f aca="false">cxit_open</f>
        <v>27.5918995</v>
      </c>
      <c r="D12169" s="8" t="n">
        <f aca="false">cxit_open</f>
        <v>27.5918995</v>
      </c>
      <c r="E12169" s="8" t="n">
        <f aca="false">cxit_open</f>
        <v>27.5918995</v>
      </c>
      <c r="F12169" s="8" t="n">
        <f aca="false">((a_g3_27-nonnv*a_mai)*tk_cxit_gb300+nonnv*a_mai*nv_hold_mai*tk_cxit_vr200+(1-a_g3_27)*tk_cxit_vr200)</f>
        <v>32.4975576</v>
      </c>
      <c r="G12169" s="8" t="n">
        <f aca="false">((a_g3_28-nonnv*a_mai)*tk_cxit_gb300+nonnv*a_mai*nv_hold_mai*tk_cxit_vr200+(1-a_g3_28)*tk_cxit_vr200)</f>
        <v>34.6372088</v>
      </c>
      <c r="H12169" s="8" t="n">
        <f aca="false">((a_g3_29-nonnv*a_mai)*tk_cxit_gb300+nonnv*a_mai*nv_hold_mai*tk_cxit_vr200+(1-a_g3_29)*tk_cxit_vr200)</f>
        <v>35.7070344</v>
      </c>
      <c r="I12169" s="8" t="n">
        <f aca="false">((a_g3_29-nonnv*a_mai)*tk_cxit_gb300+nonnv*a_mai*nv_hold_mai*tk_cxit_vr200+(1-a_g3_29)*tk_cxit_vr200)</f>
        <v>35.7070344</v>
      </c>
      <c r="J12169" s="8" t="n">
        <f aca="false">((a_g3_29-nonnv*a_mai)*tk_cxit_gb300+nonnv*a_mai*nv_hold_mai*tk_cxit_vr200+(1-a_g3_29)*tk_cxit_vr200)</f>
        <v>35.7070344</v>
      </c>
      <c r="K12169" s="8" t="n">
        <f aca="false">((a_g3_29-nonnv*a_mai)*tk_cxit_gb300+nonnv*a_mai*nv_hold_mai*tk_cxit_vr200+(1-a_g3_29)*tk_cxit_vr200)</f>
        <v>35.7070344</v>
      </c>
      <c r="L12169" s="12" t="s">
        <v>992</v>
      </c>
    </row>
    <row r="12170" customFormat="false" ht="17.15" hidden="false" customHeight="false" outlineLevel="0" collapsed="false">
      <c r="A12170" s="0" t="s">
        <v>993</v>
      </c>
      <c r="B12170" s="0" t="s">
        <v>459</v>
      </c>
      <c r="F12170" s="30" t="n">
        <f aca="false">Sens!C12149*IF(Sens!F12142-Sens!C12142=life_it,1,0)+Sens!D12149*IF(Sens!F12142-Sens!D12142=life_it,1,0)+Sens!E12149*IF(Sens!F12142-Sens!E12142=life_it,1,0)</f>
        <v>0</v>
      </c>
      <c r="G12170" s="30" t="n">
        <f aca="false">Sens!C12149*IF(Sens!G12142-Sens!C12142=life_it,1,0)+Sens!D12149*IF(Sens!G12142-Sens!D12142=life_it,1,0)+Sens!E12149*IF(Sens!G12142-Sens!E12142=life_it,1,0)+Sens!F12149*IF(Sens!G12142-Sens!F12142=life_it,1,0)</f>
        <v>0</v>
      </c>
      <c r="H12170" s="30" t="n">
        <f aca="false">Sens!C12149*IF(Sens!H12142-Sens!C12142=life_it,1,0)+Sens!D12149*IF(Sens!H12142-Sens!D12142=life_it,1,0)+Sens!E12149*IF(Sens!H12142-Sens!E12142=life_it,1,0)+Sens!F12149*IF(Sens!H12142-Sens!F12142=life_it,1,0)+Sens!G12149*IF(Sens!H12142-Sens!G12142=life_it,1,0)</f>
        <v>0</v>
      </c>
      <c r="I12170" s="30" t="n">
        <f aca="false">Sens!C12149*IF(Sens!I12142-Sens!C12142=life_it,1,0)+Sens!D12149*IF(Sens!I12142-Sens!D12142=life_it,1,0)+Sens!E12149*IF(Sens!I12142-Sens!E12142=life_it,1,0)+Sens!F12149*IF(Sens!I12142-Sens!F12142=life_it,1,0)+Sens!G12149*IF(Sens!I12142-Sens!G12142=life_it,1,0)+Sens!H12149*IF(Sens!I12142-Sens!H12142=life_it,1,0)</f>
        <v>816.666666666667</v>
      </c>
      <c r="J12170" s="30" t="n">
        <f aca="false">Sens!C12149*IF(Sens!J12142-Sens!C12142=life_it,1,0)+Sens!D12149*IF(Sens!J12142-Sens!D12142=life_it,1,0)+Sens!E12149*IF(Sens!J12142-Sens!E12142=life_it,1,0)+Sens!F12149*IF(Sens!J12142-Sens!F12142=life_it,1,0)+Sens!G12149*IF(Sens!J12142-Sens!G12142=life_it,1,0)+Sens!H12149*IF(Sens!J12142-Sens!H12142=life_it,1,0)+Sens!I12149*IF(Sens!J12142-Sens!I12142=life_it,1,0)</f>
        <v>1233.33333333333</v>
      </c>
      <c r="K12170" s="30" t="n">
        <f aca="false">Sens!C12149*IF(Sens!K12142-Sens!C12142=life_it,1,0)+Sens!D12149*IF(Sens!K12142-Sens!D12142=life_it,1,0)+Sens!E12149*IF(Sens!K12142-Sens!E12142=life_it,1,0)+Sens!F12149*IF(Sens!K12142-Sens!F12142=life_it,1,0)+Sens!G12149*IF(Sens!K12142-Sens!G12142=life_it,1,0)+Sens!H12149*IF(Sens!K12142-Sens!H12142=life_it,1,0)+Sens!I12149*IF(Sens!K12142-Sens!I12142=life_it,1,0)+Sens!J12149*IF(Sens!K12142-Sens!J12142=life_it,1,0)</f>
        <v>2450</v>
      </c>
      <c r="L12170" s="1" t="s">
        <v>994</v>
      </c>
    </row>
    <row r="12171" customFormat="false" ht="17.15" hidden="false" customHeight="false" outlineLevel="0" collapsed="false">
      <c r="A12171" s="0" t="s">
        <v>995</v>
      </c>
      <c r="B12171" s="0" t="s">
        <v>98</v>
      </c>
      <c r="C12171" s="6" t="n">
        <f aca="false">Sens!C12149*Sens!C12169/1000</f>
        <v>22.5333845916667</v>
      </c>
      <c r="D12171" s="6" t="n">
        <f aca="false">Sens!D12149*Sens!D12169/1000</f>
        <v>34.0300093833333</v>
      </c>
      <c r="E12171" s="6" t="n">
        <f aca="false">Sens!E12149*Sens!E12169/1000</f>
        <v>67.600153775</v>
      </c>
      <c r="F12171" s="6" t="n">
        <f aca="false">(Sens!F12149+Sens!F12170)*Sens!F12169/1000</f>
        <v>136.51872432512</v>
      </c>
      <c r="G12171" s="6" t="n">
        <f aca="false">(Sens!G12149+Sens!G12170)*Sens!G12169/1000</f>
        <v>157.399275932048</v>
      </c>
      <c r="H12171" s="6" t="n">
        <f aca="false">(Sens!H12149+Sens!H12170)*Sens!H12169/1000</f>
        <v>162.260804347512</v>
      </c>
      <c r="I12171" s="6" t="n">
        <f aca="false">(Sens!I12149+Sens!I12170)*Sens!I12169/1000</f>
        <v>144.136569485434</v>
      </c>
      <c r="J12171" s="6" t="n">
        <f aca="false">(Sens!J12149+Sens!J12170)*Sens!J12169/1000</f>
        <v>114.029037357864</v>
      </c>
      <c r="K12171" s="6" t="n">
        <f aca="false">(Sens!K12149+Sens!K12170)*Sens!K12169/1000</f>
        <v>113.437085350975</v>
      </c>
    </row>
    <row r="12172" customFormat="false" ht="17.15" hidden="false" customHeight="false" outlineLevel="0" collapsed="false">
      <c r="A12172" s="0" t="s">
        <v>996</v>
      </c>
      <c r="B12172" s="0" t="s">
        <v>98</v>
      </c>
      <c r="C12172" s="6" t="n">
        <f aca="false">Sens!C12149*self_build*tk_cxfac/1000</f>
        <v>6.2083</v>
      </c>
      <c r="D12172" s="6" t="n">
        <f aca="false">Sens!D12149*self_build*tk_cxfac/1000</f>
        <v>9.3758</v>
      </c>
      <c r="E12172" s="6" t="n">
        <f aca="false">Sens!E12149*self_build*tk_cxfac/1000</f>
        <v>18.6249</v>
      </c>
      <c r="F12172" s="6" t="n">
        <f aca="false">Sens!F12149*self_build*tk_cxfac/1000</f>
        <v>31.935179717</v>
      </c>
      <c r="G12172" s="6" t="n">
        <f aca="false">Sens!G12149*self_build*tk_cxfac/1000</f>
        <v>34.545199717</v>
      </c>
      <c r="H12172" s="6" t="n">
        <f aca="false">Sens!H12149*self_build*tk_cxfac/1000</f>
        <v>34.545199717</v>
      </c>
      <c r="I12172" s="6" t="n">
        <f aca="false">Sens!I12149*self_build*tk_cxfac/1000</f>
        <v>24.4782641361767</v>
      </c>
      <c r="J12172" s="6" t="n">
        <f aca="false">Sens!J12149*self_build*tk_cxfac/1000</f>
        <v>14.9008938380769</v>
      </c>
      <c r="K12172" s="6" t="n">
        <f aca="false">Sens!K12149*self_build*tk_cxfac/1000</f>
        <v>5.52576771375761</v>
      </c>
    </row>
    <row r="12173" customFormat="false" ht="17.15" hidden="false" customHeight="false" outlineLevel="0" collapsed="false">
      <c r="A12173" s="0" t="s">
        <v>997</v>
      </c>
      <c r="B12173" s="0" t="s">
        <v>98</v>
      </c>
      <c r="F12173" s="15" t="n">
        <f aca="false">capex_floor27-Sens!F12171-Sens!F12172-Sens!F12269</f>
        <v>0.0451351452575608</v>
      </c>
      <c r="L12173" s="12" t="s">
        <v>998</v>
      </c>
    </row>
    <row r="12174" customFormat="false" ht="17.15" hidden="false" customHeight="false" outlineLevel="0" collapsed="false">
      <c r="A12174" s="0" t="s">
        <v>999</v>
      </c>
      <c r="B12174" s="0" t="s">
        <v>98</v>
      </c>
      <c r="F12174" s="6" t="n">
        <f aca="false">MAX(0,Sens!F12173)</f>
        <v>0.0451351452575608</v>
      </c>
    </row>
    <row r="12175" customFormat="false" ht="17.15" hidden="false" customHeight="false" outlineLevel="0" collapsed="false">
      <c r="A12175" s="0" t="s">
        <v>1000</v>
      </c>
      <c r="B12175" s="0" t="s">
        <v>98</v>
      </c>
      <c r="C12175" s="6" t="n">
        <f aca="false">Sens!C12171</f>
        <v>22.5333845916667</v>
      </c>
      <c r="D12175" s="6" t="n">
        <f aca="false">Sens!D12171</f>
        <v>34.0300093833333</v>
      </c>
      <c r="E12175" s="6" t="n">
        <f aca="false">Sens!E12171</f>
        <v>67.600153775</v>
      </c>
      <c r="F12175" s="6" t="n">
        <f aca="false">Sens!F12171</f>
        <v>136.51872432512</v>
      </c>
      <c r="G12175" s="6" t="n">
        <f aca="false">Sens!G12171</f>
        <v>157.399275932048</v>
      </c>
      <c r="H12175" s="6" t="n">
        <f aca="false">Sens!H12171</f>
        <v>162.260804347512</v>
      </c>
      <c r="I12175" s="6" t="n">
        <f aca="false">Sens!I12171</f>
        <v>144.136569485434</v>
      </c>
      <c r="J12175" s="6" t="n">
        <f aca="false">Sens!J12171</f>
        <v>114.029037357864</v>
      </c>
      <c r="K12175" s="6" t="n">
        <f aca="false">Sens!K12171</f>
        <v>113.437085350975</v>
      </c>
    </row>
    <row r="12176" customFormat="false" ht="17.15" hidden="false" customHeight="false" outlineLevel="0" collapsed="false">
      <c r="A12176" s="0" t="s">
        <v>1001</v>
      </c>
      <c r="B12176" s="0" t="s">
        <v>98</v>
      </c>
      <c r="C12176" s="6" t="n">
        <f aca="false">Sens!C12175+Sens!C12172</f>
        <v>28.7416845916667</v>
      </c>
      <c r="D12176" s="6" t="n">
        <f aca="false">Sens!D12175+Sens!D12172</f>
        <v>43.4058093833333</v>
      </c>
      <c r="E12176" s="6" t="n">
        <f aca="false">Sens!E12175+Sens!E12172</f>
        <v>86.225053775</v>
      </c>
      <c r="F12176" s="6" t="n">
        <f aca="false">Sens!F12175+Sens!F12172</f>
        <v>168.45390404212</v>
      </c>
      <c r="G12176" s="6" t="n">
        <f aca="false">Sens!G12175+Sens!G12172</f>
        <v>191.944475649048</v>
      </c>
      <c r="H12176" s="6" t="n">
        <f aca="false">Sens!H12175+Sens!H12172</f>
        <v>196.806004064512</v>
      </c>
      <c r="I12176" s="6" t="n">
        <f aca="false">Sens!I12175+Sens!I12172</f>
        <v>168.61483362161</v>
      </c>
      <c r="J12176" s="6" t="n">
        <f aca="false">Sens!J12175+Sens!J12172</f>
        <v>128.92993119594</v>
      </c>
      <c r="K12176" s="6" t="n">
        <f aca="false">Sens!K12175+Sens!K12172</f>
        <v>118.962853064733</v>
      </c>
      <c r="L12176" s="12" t="s">
        <v>1002</v>
      </c>
    </row>
    <row r="12177" customFormat="false" ht="17.15" hidden="false" customHeight="false" outlineLevel="0" collapsed="false">
      <c r="A12177" s="0" t="s">
        <v>1003</v>
      </c>
      <c r="B12177" s="0" t="s">
        <v>98</v>
      </c>
      <c r="E12177" s="6" t="n">
        <f aca="false">(Sens!C12175*IF(2&lt;life_it,1,IF(2=life_it,0.5,0))+Sens!D12175*IF(1&lt;life_it,1,IF(1=life_it,0.5,0))+Sens!E12175*0.5)/life_it</f>
        <v>15.0605784770833</v>
      </c>
      <c r="F12177" s="6" t="n">
        <f aca="false">(Sens!C12175*IF(3&lt;life_it,1,IF(3=life_it,0.5,0))+Sens!D12175*IF(2&lt;life_it,1,IF(2=life_it,0.5,0))+Sens!E12175*IF(1&lt;life_it,1,IF(1=life_it,0.5,0))+Sens!F12175*0.5)/life_it</f>
        <v>32.0704849854266</v>
      </c>
      <c r="G12177" s="6" t="n">
        <f aca="false">(Sens!C12175*IF(4&lt;life_it,1,IF(4=life_it,0.5,0))+Sens!D12175*IF(3&lt;life_it,1,IF(3=life_it,0.5,0))+Sens!E12175*IF(2&lt;life_it,1,IF(2=life_it,0.5,0))+Sens!F12175*IF(1&lt;life_it,1,IF(1=life_it,0.5,0))+Sens!G12175*0.5)/life_it</f>
        <v>56.5636516735239</v>
      </c>
      <c r="H12177" s="6" t="n">
        <f aca="false">(Sens!C12175*IF(5&lt;life_it,1,IF(5=life_it,0.5,0))+Sens!D12175*IF(4&lt;life_it,1,IF(4=life_it,0.5,0))+Sens!E12175*IF(3&lt;life_it,1,IF(3=life_it,0.5,0))+Sens!F12175*IF(2&lt;life_it,1,IF(2=life_it,0.5,0))+Sens!G12175*IF(1&lt;life_it,1,IF(1=life_it,0.5,0))+Sens!H12175*0.5)/life_it</f>
        <v>83.2019916968207</v>
      </c>
      <c r="I12177" s="6" t="n">
        <f aca="false">(Sens!C12175*IF(6&lt;life_it,1,IF(6=life_it,0.5,0))+Sens!D12175*IF(5&lt;life_it,1,IF(5=life_it,0.5,0))+Sens!E12175*IF(4&lt;life_it,1,IF(4=life_it,0.5,0))+Sens!F12175*IF(3&lt;life_it,1,IF(3=life_it,0.5,0))+Sens!G12175*IF(2&lt;life_it,1,IF(2=life_it,0.5,0))+Sens!H12175*IF(1&lt;life_it,1,IF(1=life_it,0.5,0))+Sens!I12175*0.5)/life_it</f>
        <v>106.857324133594</v>
      </c>
      <c r="J12177" s="6" t="n">
        <f aca="false">(Sens!C12175*IF(7&lt;life_it,1,IF(7=life_it,0.5,0))+Sens!D12175*IF(6&lt;life_it,1,IF(6=life_it,0.5,0))+Sens!E12175*IF(5&lt;life_it,1,IF(5=life_it,0.5,0))+Sens!F12175*IF(4&lt;life_it,1,IF(4=life_it,0.5,0))+Sens!G12175*IF(3&lt;life_it,1,IF(3=life_it,0.5,0))+Sens!H12175*IF(2&lt;life_it,1,IF(2=life_it,0.5,0))+Sens!I12175*IF(1&lt;life_it,1,IF(1=life_it,0.5,0))+Sens!J12175*0.5)/life_it</f>
        <v>123.657508539285</v>
      </c>
      <c r="K12177" s="6" t="n">
        <f aca="false">(Sens!C12175*IF(8&lt;life_it,1,IF(8=life_it,0.5,0))+Sens!D12175*IF(7&lt;life_it,1,IF(7=life_it,0.5,0))+Sens!E12175*IF(6&lt;life_it,1,IF(6=life_it,0.5,0))+Sens!F12175*IF(5&lt;life_it,1,IF(5=life_it,0.5,0))+Sens!G12175*IF(4&lt;life_it,1,IF(4=life_it,0.5,0))+Sens!H12175*IF(3&lt;life_it,1,IF(3=life_it,0.5,0))+Sens!I12175*IF(2&lt;life_it,1,IF(2=life_it,0.5,0))+Sens!J12175*IF(1&lt;life_it,1,IF(1=life_it,0.5,0))+Sens!K12175*0.5)/life_it</f>
        <v>134.143838501827</v>
      </c>
    </row>
    <row r="12178" customFormat="false" ht="17.15" hidden="false" customHeight="false" outlineLevel="0" collapsed="false">
      <c r="A12178" s="0" t="s">
        <v>1004</v>
      </c>
      <c r="B12178" s="0" t="s">
        <v>98</v>
      </c>
      <c r="E12178" s="6" t="n">
        <f aca="false">(Sens!C12172*IF(2&lt;life_fac,1,IF(2=life_fac,0.5,0))+Sens!D12172*IF(1&lt;life_fac,1,IF(1=life_fac,0.5,0))+Sens!E12172*0.5)/life_fac</f>
        <v>1.2448275</v>
      </c>
      <c r="F12178" s="6" t="n">
        <f aca="false">(Sens!C12172*IF(3&lt;life_fac,1,IF(3=life_fac,0.5,0))+Sens!D12172*IF(2&lt;life_fac,1,IF(2=life_fac,0.5,0))+Sens!E12172*IF(1&lt;life_fac,1,IF(1=life_fac,0.5,0))+Sens!F12172*0.5)/life_fac</f>
        <v>2.508829492925</v>
      </c>
      <c r="G12178" s="6" t="n">
        <f aca="false">(Sens!C12172*IF(4&lt;life_fac,1,IF(4=life_fac,0.5,0))+Sens!D12172*IF(3&lt;life_fac,1,IF(3=life_fac,0.5,0))+Sens!E12172*IF(2&lt;life_fac,1,IF(2=life_fac,0.5,0))+Sens!F12172*IF(1&lt;life_fac,1,IF(1=life_fac,0.5,0))+Sens!G12172*0.5)/life_fac</f>
        <v>4.170838978775</v>
      </c>
      <c r="H12178" s="6" t="n">
        <f aca="false">(Sens!C12172*IF(5&lt;life_fac,1,IF(5=life_fac,0.5,0))+Sens!D12172*IF(4&lt;life_fac,1,IF(4=life_fac,0.5,0))+Sens!E12172*IF(3&lt;life_fac,1,IF(3=life_fac,0.5,0))+Sens!F12172*IF(2&lt;life_fac,1,IF(2=life_fac,0.5,0))+Sens!G12172*IF(1&lt;life_fac,1,IF(1=life_fac,0.5,0))+Sens!H12172*0.5)/life_fac</f>
        <v>5.898098964625</v>
      </c>
      <c r="I12178" s="6" t="n">
        <f aca="false">(Sens!C12172*IF(6&lt;life_fac,1,IF(6=life_fac,0.5,0))+Sens!D12172*IF(5&lt;life_fac,1,IF(5=life_fac,0.5,0))+Sens!E12172*IF(4&lt;life_fac,1,IF(4=life_fac,0.5,0))+Sens!F12172*IF(3&lt;life_fac,1,IF(3=life_fac,0.5,0))+Sens!G12172*IF(2&lt;life_fac,1,IF(2=life_fac,0.5,0))+Sens!H12172*IF(1&lt;life_fac,1,IF(1=life_fac,0.5,0))+Sens!I12172*0.5)/life_fac</f>
        <v>7.37368556095442</v>
      </c>
      <c r="J12178" s="6" t="n">
        <f aca="false">(Sens!C12172*IF(7&lt;life_fac,1,IF(7=life_fac,0.5,0))+Sens!D12172*IF(6&lt;life_fac,1,IF(6=life_fac,0.5,0))+Sens!E12172*IF(5&lt;life_fac,1,IF(5=life_fac,0.5,0))+Sens!F12172*IF(4&lt;life_fac,1,IF(4=life_fac,0.5,0))+Sens!G12172*IF(3&lt;life_fac,1,IF(3=life_fac,0.5,0))+Sens!H12172*IF(2&lt;life_fac,1,IF(2=life_fac,0.5,0))+Sens!I12172*IF(1&lt;life_fac,1,IF(1=life_fac,0.5,0))+Sens!J12172*0.5)/life_fac</f>
        <v>8.35816451031075</v>
      </c>
      <c r="K12178" s="6" t="n">
        <f aca="false">(Sens!C12172*IF(8&lt;life_fac,1,IF(8=life_fac,0.5,0))+Sens!D12172*IF(7&lt;life_fac,1,IF(7=life_fac,0.5,0))+Sens!E12172*IF(6&lt;life_fac,1,IF(6=life_fac,0.5,0))+Sens!F12172*IF(5&lt;life_fac,1,IF(5=life_fac,0.5,0))+Sens!G12172*IF(4&lt;life_fac,1,IF(4=life_fac,0.5,0))+Sens!H12172*IF(3&lt;life_fac,1,IF(3=life_fac,0.5,0))+Sens!I12172*IF(2&lt;life_fac,1,IF(2=life_fac,0.5,0))+Sens!J12172*IF(1&lt;life_fac,1,IF(1=life_fac,0.5,0))+Sens!K12172*0.5)/life_fac</f>
        <v>8.86883104910662</v>
      </c>
    </row>
    <row r="12179" customFormat="false" ht="17.15" hidden="false" customHeight="false" outlineLevel="0" collapsed="false">
      <c r="A12179" s="0" t="s">
        <v>1005</v>
      </c>
      <c r="B12179" s="0" t="s">
        <v>98</v>
      </c>
      <c r="E12179" s="6" t="n">
        <f aca="false">Sens!E12177+Sens!E12178</f>
        <v>16.3054059770833</v>
      </c>
      <c r="F12179" s="6" t="n">
        <f aca="false">Sens!F12177+Sens!F12178</f>
        <v>34.5793144783516</v>
      </c>
      <c r="G12179" s="6" t="n">
        <f aca="false">Sens!G12177+Sens!G12178</f>
        <v>60.7344906522989</v>
      </c>
      <c r="H12179" s="6" t="n">
        <f aca="false">Sens!H12177+Sens!H12178</f>
        <v>89.1000906614457</v>
      </c>
      <c r="I12179" s="6" t="n">
        <f aca="false">Sens!I12177+Sens!I12178</f>
        <v>114.231009694548</v>
      </c>
      <c r="J12179" s="6" t="n">
        <f aca="false">Sens!J12177+Sens!J12178</f>
        <v>132.015673049596</v>
      </c>
      <c r="K12179" s="6" t="n">
        <f aca="false">Sens!K12177+Sens!K12178</f>
        <v>143.012669550934</v>
      </c>
    </row>
    <row r="12180" customFormat="false" ht="17.15" hidden="false" customHeight="false" outlineLevel="0" collapsed="false">
      <c r="A12180" s="0" t="s">
        <v>1006</v>
      </c>
      <c r="B12180" s="0" t="s">
        <v>98</v>
      </c>
      <c r="E12180" s="6" t="n">
        <f aca="false">Sens!E12167-Sens!E12166*Sens!E12179</f>
        <v>8.92707889977379</v>
      </c>
      <c r="F12180" s="6" t="n">
        <f aca="false">Sens!F12167-Sens!F12166*Sens!F12179</f>
        <v>22.4686207259278</v>
      </c>
      <c r="G12180" s="6" t="n">
        <f aca="false">Sens!G12167-Sens!G12166*Sens!G12179</f>
        <v>43.2797528675735</v>
      </c>
      <c r="H12180" s="6" t="n">
        <f aca="false">Sens!H12167-Sens!H12166*Sens!H12179</f>
        <v>69.3477099347341</v>
      </c>
      <c r="I12180" s="6" t="n">
        <f aca="false">Sens!I12167-Sens!I12166*Sens!I12179</f>
        <v>86.8523667140836</v>
      </c>
      <c r="J12180" s="6" t="n">
        <f aca="false">Sens!J12167-Sens!J12166*Sens!J12179</f>
        <v>98.9882647234202</v>
      </c>
      <c r="K12180" s="6" t="n">
        <f aca="false">Sens!K12167-Sens!K12166*Sens!K12179</f>
        <v>106.918985011399</v>
      </c>
    </row>
    <row r="12181" customFormat="false" ht="17.15" hidden="false" customHeight="false" outlineLevel="0" collapsed="false">
      <c r="A12181" s="3" t="s">
        <v>1916</v>
      </c>
    </row>
    <row r="12182" customFormat="false" ht="15" hidden="false" customHeight="false" outlineLevel="0" collapsed="false">
      <c r="A12182" s="4" t="s">
        <v>43</v>
      </c>
      <c r="B12182" s="4" t="s">
        <v>65</v>
      </c>
      <c r="C12182" s="23" t="s">
        <v>942</v>
      </c>
      <c r="D12182" s="23" t="s">
        <v>943</v>
      </c>
      <c r="E12182" s="23" t="s">
        <v>944</v>
      </c>
      <c r="F12182" s="23" t="s">
        <v>945</v>
      </c>
      <c r="G12182" s="23" t="s">
        <v>946</v>
      </c>
      <c r="H12182" s="23" t="s">
        <v>947</v>
      </c>
      <c r="I12182" s="23" t="s">
        <v>948</v>
      </c>
      <c r="J12182" s="23" t="s">
        <v>949</v>
      </c>
      <c r="K12182" s="23" t="s">
        <v>950</v>
      </c>
      <c r="L12182" s="4" t="s">
        <v>47</v>
      </c>
    </row>
    <row r="12183" customFormat="false" ht="17.15" hidden="false" customHeight="false" outlineLevel="0" collapsed="false">
      <c r="A12183" s="0" t="s">
        <v>1025</v>
      </c>
      <c r="B12183" s="0" t="s">
        <v>98</v>
      </c>
      <c r="D12183" s="6" t="n">
        <f aca="false">Sens!D12161</f>
        <v>12.9359794422418</v>
      </c>
      <c r="E12183" s="6" t="n">
        <f aca="false">Sens!E12161</f>
        <v>27.8095064661409</v>
      </c>
      <c r="F12183" s="6" t="n">
        <f aca="false">Sens!F12161</f>
        <v>59.1034165651511</v>
      </c>
      <c r="G12183" s="6" t="n">
        <f aca="false">Sens!G12161</f>
        <v>103.451498789198</v>
      </c>
      <c r="H12183" s="6" t="n">
        <f aca="false">Sens!H12161</f>
        <v>153.816719989035</v>
      </c>
      <c r="I12183" s="6" t="n">
        <f aca="false">Sens!I12161</f>
        <v>192.699478690852</v>
      </c>
      <c r="J12183" s="6" t="n">
        <f aca="false">Sens!J12161</f>
        <v>219.794102584244</v>
      </c>
      <c r="K12183" s="6" t="n">
        <f aca="false">Sens!K12161</f>
        <v>236.757046905022</v>
      </c>
    </row>
    <row r="12184" customFormat="false" ht="17.15" hidden="false" customHeight="false" outlineLevel="0" collapsed="false">
      <c r="A12184" s="0" t="s">
        <v>1026</v>
      </c>
      <c r="B12184" s="0" t="s">
        <v>98</v>
      </c>
      <c r="D12184" s="6" t="n">
        <f aca="false">Q!L6-Sens!D12183</f>
        <v>59.6740205577583</v>
      </c>
      <c r="E12184" s="6" t="n">
        <f aca="false">Q!M6-Sens!E12183</f>
        <v>74.1284935338591</v>
      </c>
      <c r="F12184" s="6" t="n">
        <f aca="false">Q!$I$6+(Sens!F12183+Sens!E12184*(1+Sens!F12185))*(1-Q!$E$6/Q!M6)-Sens!F12183</f>
        <v>90.4866018070994</v>
      </c>
      <c r="G12184" s="6" t="n">
        <f aca="false">Sens!F12184*(1+Sens!G12185)</f>
        <v>107.511588557154</v>
      </c>
      <c r="H12184" s="6" t="n">
        <f aca="false">Sens!G12184*(1+Sens!H12185)</f>
        <v>124.832989325489</v>
      </c>
      <c r="I12184" s="6" t="n">
        <f aca="false">Sens!H12184*(1+Sens!I12185)</f>
        <v>141.56992589148</v>
      </c>
      <c r="J12184" s="6" t="n">
        <f aca="false">Sens!I12184*(1+Sens!J12185)</f>
        <v>156.723190479428</v>
      </c>
      <c r="K12184" s="6" t="n">
        <f aca="false">Sens!J12184*(1+Sens!K12185)</f>
        <v>169.261045717783</v>
      </c>
      <c r="L12184" s="12" t="s">
        <v>1027</v>
      </c>
    </row>
    <row r="12185" customFormat="false" ht="15" hidden="false" customHeight="false" outlineLevel="0" collapsed="false">
      <c r="A12185" s="1" t="s">
        <v>1028</v>
      </c>
      <c r="B12185" s="0" t="s">
        <v>168</v>
      </c>
      <c r="E12185" s="7" t="n">
        <f aca="false">Sens!E12184/Sens!D12184-1</f>
        <v>0.242223883039864</v>
      </c>
      <c r="F12185" s="7" t="n">
        <f aca="false">Sens!$E$12185+(glt_azo-Sens!$E$12185)*MIN(1,(Sens!F12142-base_fy)/n_conv)</f>
        <v>0.215186569199887</v>
      </c>
      <c r="G12185" s="7" t="n">
        <f aca="false">Sens!$E$12185+(glt_azo-Sens!$E$12185)*MIN(1,(Sens!G12142-base_fy)/n_conv)</f>
        <v>0.18814925535991</v>
      </c>
      <c r="H12185" s="7" t="n">
        <f aca="false">Sens!$E$12185+(glt_azo-Sens!$E$12185)*MIN(1,(Sens!H12142-base_fy)/n_conv)</f>
        <v>0.161111941519932</v>
      </c>
      <c r="I12185" s="7" t="n">
        <f aca="false">Sens!$E$12185+(glt_azo-Sens!$E$12185)*MIN(1,(Sens!I12142-base_fy)/n_conv)</f>
        <v>0.134074627679955</v>
      </c>
      <c r="J12185" s="7" t="n">
        <f aca="false">Sens!$E$12185+(glt_azo-Sens!$E$12185)*MIN(1,(Sens!J12142-base_fy)/n_conv)</f>
        <v>0.107037313839977</v>
      </c>
      <c r="K12185" s="7" t="n">
        <f aca="false">Sens!$E$12185+(glt_azo-Sens!$E$12185)*MIN(1,(Sens!K12142-base_fy)/n_conv)</f>
        <v>0.08</v>
      </c>
    </row>
    <row r="12186" customFormat="false" ht="15" hidden="false" customHeight="false" outlineLevel="0" collapsed="false">
      <c r="A12186" s="0" t="s">
        <v>1029</v>
      </c>
      <c r="B12186" s="0" t="s">
        <v>98</v>
      </c>
      <c r="D12186" s="6" t="n">
        <f aca="false">Sens!D12183+Sens!D12184</f>
        <v>72.61</v>
      </c>
      <c r="E12186" s="6" t="n">
        <f aca="false">Sens!E12183+Sens!E12184</f>
        <v>101.938</v>
      </c>
      <c r="F12186" s="6" t="n">
        <f aca="false">Sens!F12183+Sens!F12184</f>
        <v>149.59001837225</v>
      </c>
      <c r="G12186" s="6" t="n">
        <f aca="false">Sens!G12183+Sens!G12184</f>
        <v>210.963087346352</v>
      </c>
      <c r="H12186" s="6" t="n">
        <f aca="false">Sens!H12183+Sens!H12184</f>
        <v>278.649709314524</v>
      </c>
      <c r="I12186" s="6" t="n">
        <f aca="false">Sens!I12183+Sens!I12184</f>
        <v>334.269404582332</v>
      </c>
      <c r="J12186" s="6" t="n">
        <f aca="false">Sens!J12183+Sens!J12184</f>
        <v>376.517293063672</v>
      </c>
      <c r="K12186" s="6" t="n">
        <f aca="false">Sens!K12183+Sens!K12184</f>
        <v>406.018092622804</v>
      </c>
    </row>
    <row r="12187" customFormat="false" ht="17.15" hidden="false" customHeight="false" outlineLevel="0" collapsed="false">
      <c r="A12187" s="0" t="s">
        <v>1030</v>
      </c>
      <c r="B12187" s="1" t="s">
        <v>613</v>
      </c>
      <c r="C12187" s="30" t="n">
        <f aca="false">cop_s24</f>
        <v>1</v>
      </c>
      <c r="D12187" s="30" t="n">
        <f aca="false">cop_s25</f>
        <v>5</v>
      </c>
      <c r="E12187" s="30" t="n">
        <f aca="false">cop_s26</f>
        <v>30</v>
      </c>
      <c r="F12187" s="30" t="n">
        <f aca="false">Sens!E12187+cop_add_A</f>
        <v>60</v>
      </c>
      <c r="G12187" s="30" t="n">
        <f aca="false">Sens!F12187+cop_add_A</f>
        <v>90</v>
      </c>
      <c r="H12187" s="30" t="n">
        <f aca="false">Sens!G12187+cop_add_A</f>
        <v>120</v>
      </c>
      <c r="I12187" s="30" t="n">
        <f aca="false">Sens!H12187+cop_add_A*cop_tail</f>
        <v>135</v>
      </c>
      <c r="J12187" s="30" t="n">
        <f aca="false">Sens!I12187+cop_add_A*cop_tail</f>
        <v>150</v>
      </c>
      <c r="K12187" s="30" t="n">
        <f aca="false">Sens!J12187+cop_add_A*cop_tail</f>
        <v>165</v>
      </c>
      <c r="L12187" s="12" t="s">
        <v>1031</v>
      </c>
    </row>
    <row r="12188" customFormat="false" ht="17.15" hidden="false" customHeight="false" outlineLevel="0" collapsed="false">
      <c r="A12188" s="0" t="s">
        <v>1032</v>
      </c>
      <c r="B12188" s="0" t="s">
        <v>98</v>
      </c>
      <c r="D12188" s="6" t="n">
        <f aca="false">(Sens!C12187+Sens!D12187)/2*cop_px*12/1000</f>
        <v>0.9</v>
      </c>
      <c r="E12188" s="6" t="n">
        <f aca="false">(Sens!D12187+Sens!E12187)/2*cop_px*12/1000</f>
        <v>5.25</v>
      </c>
      <c r="F12188" s="6" t="n">
        <f aca="false">(Sens!E12187+Sens!F12187)/2*cop_px*12/1000</f>
        <v>13.5</v>
      </c>
      <c r="G12188" s="6" t="n">
        <f aca="false">(Sens!F12187+Sens!G12187)/2*cop_px*12/1000</f>
        <v>22.5</v>
      </c>
      <c r="H12188" s="6" t="n">
        <f aca="false">(Sens!G12187+Sens!H12187)/2*cop_px*12/1000</f>
        <v>31.5</v>
      </c>
      <c r="I12188" s="6" t="n">
        <f aca="false">(Sens!H12187+Sens!I12187)/2*cop_px*12/1000</f>
        <v>38.25</v>
      </c>
      <c r="J12188" s="6" t="n">
        <f aca="false">(Sens!I12187+Sens!J12187)/2*cop_px*12/1000</f>
        <v>42.75</v>
      </c>
      <c r="K12188" s="6" t="n">
        <f aca="false">(Sens!J12187+Sens!K12187)/2*cop_px*12/1000</f>
        <v>47.25</v>
      </c>
      <c r="L12188" s="1" t="s">
        <v>1033</v>
      </c>
    </row>
    <row r="12189" customFormat="false" ht="17.15" hidden="false" customHeight="false" outlineLevel="0" collapsed="false">
      <c r="A12189" s="0" t="s">
        <v>1034</v>
      </c>
      <c r="B12189" s="0" t="s">
        <v>98</v>
      </c>
      <c r="D12189" s="6" t="n">
        <f aca="false">Q!L7-Sens!D12188</f>
        <v>83.705</v>
      </c>
      <c r="E12189" s="6" t="n">
        <f aca="false">Q!M7-Sens!E12188</f>
        <v>95.049</v>
      </c>
      <c r="F12189" s="6" t="n">
        <f aca="false">Q!$I$7+(Sens!E12189*(1+Sens!F12190)+Sens!F12188)*(1-Q!$E$7/Q!M7)-Sens!F12188</f>
        <v>106.229653205718</v>
      </c>
      <c r="G12189" s="6" t="n">
        <f aca="false">Sens!F12189*(1+Sens!G12190)</f>
        <v>118.306092647576</v>
      </c>
      <c r="H12189" s="6" t="n">
        <f aca="false">Sens!G12189*(1+Sens!H12190)</f>
        <v>130.463437602768</v>
      </c>
      <c r="I12189" s="6" t="n">
        <f aca="false">Sens!H12189*(1+Sens!I12190)</f>
        <v>142.445354741933</v>
      </c>
      <c r="J12189" s="6" t="n">
        <f aca="false">Sens!I12189*(1+Sens!J12190)</f>
        <v>153.972117481571</v>
      </c>
      <c r="K12189" s="6" t="n">
        <f aca="false">Sens!J12189*(1+Sens!K12190)</f>
        <v>164.75016570528</v>
      </c>
      <c r="L12189" s="12" t="s">
        <v>1035</v>
      </c>
    </row>
    <row r="12190" customFormat="false" ht="15" hidden="false" customHeight="false" outlineLevel="0" collapsed="false">
      <c r="A12190" s="1" t="s">
        <v>1028</v>
      </c>
      <c r="B12190" s="0" t="s">
        <v>168</v>
      </c>
      <c r="E12190" s="7" t="n">
        <f aca="false">Sens!E12189/Sens!D12189-1</f>
        <v>0.135523564900544</v>
      </c>
      <c r="F12190" s="7" t="n">
        <f aca="false">Sens!$E$12190+(glt_m365b-Sens!$E$12190)*MIN(1,(Sens!F12142-base_fy)/n_conv)</f>
        <v>0.124602970750453</v>
      </c>
      <c r="G12190" s="7" t="n">
        <f aca="false">Sens!$E$12190+(glt_m365b-Sens!$E$12190)*MIN(1,(Sens!G12142-base_fy)/n_conv)</f>
        <v>0.113682376600363</v>
      </c>
      <c r="H12190" s="7" t="n">
        <f aca="false">Sens!$E$12190+(glt_m365b-Sens!$E$12190)*MIN(1,(Sens!H12142-base_fy)/n_conv)</f>
        <v>0.102761782450272</v>
      </c>
      <c r="I12190" s="7" t="n">
        <f aca="false">Sens!$E$12190+(glt_m365b-Sens!$E$12190)*MIN(1,(Sens!I12142-base_fy)/n_conv)</f>
        <v>0.0918411883001813</v>
      </c>
      <c r="J12190" s="7" t="n">
        <f aca="false">Sens!$E$12190+(glt_m365b-Sens!$E$12190)*MIN(1,(Sens!J12142-base_fy)/n_conv)</f>
        <v>0.0809205941500906</v>
      </c>
      <c r="K12190" s="7" t="n">
        <f aca="false">Sens!$E$12190+(glt_m365b-Sens!$E$12190)*MIN(1,(Sens!K12142-base_fy)/n_conv)</f>
        <v>0.07</v>
      </c>
    </row>
    <row r="12191" customFormat="false" ht="15" hidden="false" customHeight="false" outlineLevel="0" collapsed="false">
      <c r="A12191" s="0" t="s">
        <v>1036</v>
      </c>
      <c r="B12191" s="0" t="s">
        <v>98</v>
      </c>
      <c r="D12191" s="6" t="n">
        <f aca="false">Sens!D12189+Sens!D12188</f>
        <v>84.605</v>
      </c>
      <c r="E12191" s="6" t="n">
        <f aca="false">Sens!E12189+Sens!E12188</f>
        <v>100.299</v>
      </c>
      <c r="F12191" s="6" t="n">
        <f aca="false">Sens!F12189+Sens!F12188</f>
        <v>119.729653205718</v>
      </c>
      <c r="G12191" s="6" t="n">
        <f aca="false">Sens!G12189+Sens!G12188</f>
        <v>140.806092647576</v>
      </c>
      <c r="H12191" s="6" t="n">
        <f aca="false">Sens!H12189+Sens!H12188</f>
        <v>161.963437602768</v>
      </c>
      <c r="I12191" s="6" t="n">
        <f aca="false">Sens!I12189+Sens!I12188</f>
        <v>180.695354741933</v>
      </c>
      <c r="J12191" s="6" t="n">
        <f aca="false">Sens!J12189+Sens!J12188</f>
        <v>196.722117481571</v>
      </c>
      <c r="K12191" s="6" t="n">
        <f aca="false">Sens!K12189+Sens!K12188</f>
        <v>212.00016570528</v>
      </c>
    </row>
    <row r="12192" customFormat="false" ht="17.15" hidden="false" customHeight="false" outlineLevel="0" collapsed="false">
      <c r="A12192" s="0" t="s">
        <v>1037</v>
      </c>
      <c r="B12192" s="0" t="s">
        <v>98</v>
      </c>
      <c r="D12192" s="6" t="n">
        <f aca="false">Q!L8</f>
        <v>35.391</v>
      </c>
      <c r="E12192" s="6" t="n">
        <f aca="false">Q!M8</f>
        <v>37.285</v>
      </c>
      <c r="F12192" s="6" t="n">
        <f aca="false">Q!$I$8+(Q!M8-Q!$E$8)*(1+Sens!F12193)</f>
        <v>38.3851437782675</v>
      </c>
      <c r="G12192" s="6" t="n">
        <f aca="false">Sens!F12192*(1+Sens!G12193)</f>
        <v>40.0105353288615</v>
      </c>
      <c r="H12192" s="6" t="n">
        <f aca="false">Sens!G12192*(1+Sens!H12193)</f>
        <v>41.4812512033683</v>
      </c>
      <c r="I12192" s="6" t="n">
        <f aca="false">Sens!H12192*(1+Sens!I12193)</f>
        <v>42.7743107216329</v>
      </c>
      <c r="J12192" s="6" t="n">
        <f aca="false">Sens!I12192*(1+Sens!J12193)</f>
        <v>43.8687373064601</v>
      </c>
      <c r="K12192" s="6" t="n">
        <f aca="false">Sens!J12192*(1+Sens!K12193)</f>
        <v>44.7461120525893</v>
      </c>
      <c r="L12192" s="12" t="s">
        <v>1038</v>
      </c>
    </row>
    <row r="12193" customFormat="false" ht="15" hidden="false" customHeight="false" outlineLevel="0" collapsed="false">
      <c r="A12193" s="1" t="s">
        <v>1028</v>
      </c>
      <c r="B12193" s="0" t="s">
        <v>168</v>
      </c>
      <c r="E12193" s="7" t="n">
        <f aca="false">Sens!E12192/Sens!D12192-1</f>
        <v>0.0535164307309768</v>
      </c>
      <c r="F12193" s="7" t="n">
        <f aca="false">Sens!$E$12193+(glt_lic-Sens!$E$12193)*MIN(1,(Sens!F12142-base_fy)/n_conv)</f>
        <v>0.0479303589424807</v>
      </c>
      <c r="G12193" s="7" t="n">
        <f aca="false">Sens!$E$12193+(glt_lic-Sens!$E$12193)*MIN(1,(Sens!G12142-base_fy)/n_conv)</f>
        <v>0.0423442871539845</v>
      </c>
      <c r="H12193" s="7" t="n">
        <f aca="false">Sens!$E$12193+(glt_lic-Sens!$E$12193)*MIN(1,(Sens!H12142-base_fy)/n_conv)</f>
        <v>0.0367582153654884</v>
      </c>
      <c r="I12193" s="7" t="n">
        <f aca="false">Sens!$E$12193+(glt_lic-Sens!$E$12193)*MIN(1,(Sens!I12142-base_fy)/n_conv)</f>
        <v>0.0311721435769923</v>
      </c>
      <c r="J12193" s="7" t="n">
        <f aca="false">Sens!$E$12193+(glt_lic-Sens!$E$12193)*MIN(1,(Sens!J12142-base_fy)/n_conv)</f>
        <v>0.0255860717884961</v>
      </c>
      <c r="K12193" s="7" t="n">
        <f aca="false">Sens!$E$12193+(glt_lic-Sens!$E$12193)*MIN(1,(Sens!K12142-base_fy)/n_conv)</f>
        <v>0.02</v>
      </c>
    </row>
    <row r="12194" customFormat="false" ht="17.15" hidden="false" customHeight="false" outlineLevel="0" collapsed="false">
      <c r="A12194" s="0" t="s">
        <v>1039</v>
      </c>
      <c r="B12194" s="0" t="s">
        <v>98</v>
      </c>
      <c r="D12194" s="6" t="n">
        <f aca="false">Q!L9</f>
        <v>18.417</v>
      </c>
      <c r="E12194" s="6" t="n">
        <f aca="false">Q!M9</f>
        <v>20.345</v>
      </c>
      <c r="F12194" s="6" t="n">
        <f aca="false">Q!$I$9+(Q!M9-Q!$E$9)*(1+Sens!F12195)</f>
        <v>22.3161797133988</v>
      </c>
      <c r="G12194" s="6" t="n">
        <f aca="false">Sens!F12194*(1+Sens!G12195)</f>
        <v>24.3943499673233</v>
      </c>
      <c r="H12194" s="6" t="n">
        <f aca="false">Sens!G12194*(1+Sens!H12195)</f>
        <v>26.5250243109019</v>
      </c>
      <c r="I12194" s="6" t="n">
        <f aca="false">Sens!H12194*(1+Sens!I12195)</f>
        <v>28.6884573538181</v>
      </c>
      <c r="J12194" s="6" t="n">
        <f aca="false">Sens!I12194*(1+Sens!J12195)</f>
        <v>30.8624968052127</v>
      </c>
      <c r="K12194" s="6" t="n">
        <f aca="false">Sens!J12194*(1+Sens!K12195)</f>
        <v>33.0228715815776</v>
      </c>
      <c r="L12194" s="12" t="s">
        <v>1038</v>
      </c>
    </row>
    <row r="12195" customFormat="false" ht="15" hidden="false" customHeight="false" outlineLevel="0" collapsed="false">
      <c r="A12195" s="1" t="s">
        <v>1028</v>
      </c>
      <c r="B12195" s="0" t="s">
        <v>168</v>
      </c>
      <c r="E12195" s="7" t="n">
        <f aca="false">Sens!E12194/Sens!D12194-1</f>
        <v>0.104685888038225</v>
      </c>
      <c r="F12195" s="7" t="n">
        <f aca="false">Sens!$E$12195+(glt_ind-Sens!$E$12195)*MIN(1,(Sens!F12142-base_fy)/n_conv)</f>
        <v>0.0989049066985211</v>
      </c>
      <c r="G12195" s="7" t="n">
        <f aca="false">Sens!$E$12195+(glt_ind-Sens!$E$12195)*MIN(1,(Sens!G12142-base_fy)/n_conv)</f>
        <v>0.0931239253588169</v>
      </c>
      <c r="H12195" s="7" t="n">
        <f aca="false">Sens!$E$12195+(glt_ind-Sens!$E$12195)*MIN(1,(Sens!H12142-base_fy)/n_conv)</f>
        <v>0.0873429440191127</v>
      </c>
      <c r="I12195" s="7" t="n">
        <f aca="false">Sens!$E$12195+(glt_ind-Sens!$E$12195)*MIN(1,(Sens!I12142-base_fy)/n_conv)</f>
        <v>0.0815619626794085</v>
      </c>
      <c r="J12195" s="7" t="n">
        <f aca="false">Sens!$E$12195+(glt_ind-Sens!$E$12195)*MIN(1,(Sens!J12142-base_fy)/n_conv)</f>
        <v>0.0757809813397042</v>
      </c>
      <c r="K12195" s="7" t="n">
        <f aca="false">Sens!$E$12195+(glt_ind-Sens!$E$12195)*MIN(1,(Sens!K12142-base_fy)/n_conv)</f>
        <v>0.07</v>
      </c>
    </row>
    <row r="12196" customFormat="false" ht="17.15" hidden="false" customHeight="false" outlineLevel="0" collapsed="false">
      <c r="A12196" s="0" t="s">
        <v>1040</v>
      </c>
      <c r="B12196" s="0" t="s">
        <v>98</v>
      </c>
      <c r="D12196" s="6" t="n">
        <f aca="false">Q!L10</f>
        <v>7.76</v>
      </c>
      <c r="E12196" s="6" t="n">
        <f aca="false">Q!M10</f>
        <v>8.26</v>
      </c>
      <c r="F12196" s="6" t="n">
        <f aca="false">Q!$I$10+(Q!M10-Q!$E$10)*(1+Sens!F12197)</f>
        <v>8.75372082474227</v>
      </c>
      <c r="G12196" s="6" t="n">
        <f aca="false">Sens!F12196*(1+Sens!G12197)</f>
        <v>9.33399324642364</v>
      </c>
      <c r="H12196" s="6" t="n">
        <f aca="false">Sens!G12196*(1+Sens!H12197)</f>
        <v>9.96139155535851</v>
      </c>
      <c r="I12196" s="6" t="n">
        <f aca="false">Sens!H12196*(1+Sens!I12197)</f>
        <v>10.6402039077391</v>
      </c>
      <c r="J12196" s="6" t="n">
        <f aca="false">Sens!I12196*(1+Sens!J12197)</f>
        <v>11.3751458271397</v>
      </c>
      <c r="K12196" s="6" t="n">
        <f aca="false">Sens!J12196*(1+Sens!K12197)</f>
        <v>12.1714060350394</v>
      </c>
      <c r="L12196" s="12" t="s">
        <v>1038</v>
      </c>
    </row>
    <row r="12197" customFormat="false" ht="15" hidden="false" customHeight="false" outlineLevel="0" collapsed="false">
      <c r="A12197" s="1" t="s">
        <v>1028</v>
      </c>
      <c r="B12197" s="0" t="s">
        <v>168</v>
      </c>
      <c r="E12197" s="7" t="n">
        <f aca="false">Sens!E12196/Sens!D12196-1</f>
        <v>0.0644329896907216</v>
      </c>
      <c r="F12197" s="7" t="n">
        <f aca="false">Sens!$E$12197+(glt_fro-Sens!$E$12197)*MIN(1,(Sens!F12142-base_fy)/n_conv)</f>
        <v>0.065360824742268</v>
      </c>
      <c r="G12197" s="7" t="n">
        <f aca="false">Sens!$E$12197+(glt_fro-Sens!$E$12197)*MIN(1,(Sens!G12142-base_fy)/n_conv)</f>
        <v>0.0662886597938144</v>
      </c>
      <c r="H12197" s="7" t="n">
        <f aca="false">Sens!$E$12197+(glt_fro-Sens!$E$12197)*MIN(1,(Sens!H12142-base_fy)/n_conv)</f>
        <v>0.0672164948453608</v>
      </c>
      <c r="I12197" s="7" t="n">
        <f aca="false">Sens!$E$12197+(glt_fro-Sens!$E$12197)*MIN(1,(Sens!I12142-base_fy)/n_conv)</f>
        <v>0.0681443298969072</v>
      </c>
      <c r="J12197" s="7" t="n">
        <f aca="false">Sens!$E$12197+(glt_fro-Sens!$E$12197)*MIN(1,(Sens!J12142-base_fy)/n_conv)</f>
        <v>0.0690721649484536</v>
      </c>
      <c r="K12197" s="7" t="n">
        <f aca="false">Sens!$E$12197+(glt_fro-Sens!$E$12197)*MIN(1,(Sens!K12142-base_fy)/n_conv)</f>
        <v>0.07</v>
      </c>
    </row>
    <row r="12198" customFormat="false" ht="15" hidden="false" customHeight="false" outlineLevel="0" collapsed="false">
      <c r="A12198" s="0" t="s">
        <v>856</v>
      </c>
      <c r="B12198" s="0" t="s">
        <v>98</v>
      </c>
      <c r="D12198" s="6" t="n">
        <f aca="false">Sens!D12186+Sens!D12191+Sens!D12192+Sens!D12194+Sens!D12196</f>
        <v>218.783</v>
      </c>
      <c r="E12198" s="6" t="n">
        <f aca="false">Sens!E12186+Sens!E12191+Sens!E12192+Sens!E12194+Sens!E12196</f>
        <v>268.127</v>
      </c>
      <c r="F12198" s="6" t="n">
        <f aca="false">Sens!F12186+Sens!F12191+Sens!F12192+Sens!F12194+Sens!F12196</f>
        <v>338.774715894377</v>
      </c>
      <c r="G12198" s="6" t="n">
        <f aca="false">Sens!G12186+Sens!G12191+Sens!G12192+Sens!G12194+Sens!G12196</f>
        <v>425.508058536537</v>
      </c>
      <c r="H12198" s="6" t="n">
        <f aca="false">Sens!H12186+Sens!H12191+Sens!H12192+Sens!H12194+Sens!H12196</f>
        <v>518.580813986921</v>
      </c>
      <c r="I12198" s="6" t="n">
        <f aca="false">Sens!I12186+Sens!I12191+Sens!I12192+Sens!I12194+Sens!I12196</f>
        <v>597.067731307455</v>
      </c>
      <c r="J12198" s="6" t="n">
        <f aca="false">Sens!J12186+Sens!J12191+Sens!J12192+Sens!J12194+Sens!J12196</f>
        <v>659.345790484055</v>
      </c>
      <c r="K12198" s="6" t="n">
        <f aca="false">Sens!K12186+Sens!K12191+Sens!K12192+Sens!K12194+Sens!K12196</f>
        <v>707.958647997291</v>
      </c>
    </row>
    <row r="12199" customFormat="false" ht="17.15" hidden="false" customHeight="false" outlineLevel="0" collapsed="false">
      <c r="A12199" s="0" t="s">
        <v>1041</v>
      </c>
      <c r="B12199" s="0" t="s">
        <v>98</v>
      </c>
      <c r="D12199" s="6" t="n">
        <f aca="false">Q!L13</f>
        <v>22.171</v>
      </c>
      <c r="E12199" s="6" t="n">
        <f aca="false">Q!M13</f>
        <v>24.835</v>
      </c>
      <c r="F12199" s="6" t="n">
        <f aca="false">Q!$I$13+(Q!M13-Q!$E$13)*(1+Sens!F12200)</f>
        <v>27.5591895660247</v>
      </c>
      <c r="G12199" s="6" t="n">
        <f aca="false">Sens!F12199*(1+Sens!G12200)</f>
        <v>30.4098563144583</v>
      </c>
      <c r="H12199" s="6" t="n">
        <f aca="false">Sens!G12199*(1+Sens!H12200)</f>
        <v>33.3011792571777</v>
      </c>
      <c r="I12199" s="6" t="n">
        <f aca="false">Sens!H12199*(1+Sens!I12200)</f>
        <v>36.189023797112</v>
      </c>
      <c r="J12199" s="6" t="n">
        <f aca="false">Sens!I12199*(1+Sens!J12200)</f>
        <v>39.0247773769199</v>
      </c>
      <c r="K12199" s="6" t="n">
        <f aca="false">Sens!J12199*(1+Sens!K12200)</f>
        <v>41.7565117933043</v>
      </c>
      <c r="L12199" s="12" t="s">
        <v>1038</v>
      </c>
    </row>
    <row r="12200" customFormat="false" ht="15" hidden="false" customHeight="false" outlineLevel="0" collapsed="false">
      <c r="A12200" s="1" t="s">
        <v>1028</v>
      </c>
      <c r="B12200" s="0" t="s">
        <v>168</v>
      </c>
      <c r="E12200" s="7" t="n">
        <f aca="false">Sens!E12199/Sens!D12199-1</f>
        <v>0.120156961796942</v>
      </c>
      <c r="F12200" s="7" t="n">
        <f aca="false">Sens!$E$12200+(glt_srch-Sens!$E$12200)*MIN(1,(Sens!F12142-base_fy)/n_conv)</f>
        <v>0.111797468164118</v>
      </c>
      <c r="G12200" s="7" t="n">
        <f aca="false">Sens!$E$12200+(glt_srch-Sens!$E$12200)*MIN(1,(Sens!G12142-base_fy)/n_conv)</f>
        <v>0.103437974531295</v>
      </c>
      <c r="H12200" s="7" t="n">
        <f aca="false">Sens!$E$12200+(glt_srch-Sens!$E$12200)*MIN(1,(Sens!H12142-base_fy)/n_conv)</f>
        <v>0.095078480898471</v>
      </c>
      <c r="I12200" s="7" t="n">
        <f aca="false">Sens!$E$12200+(glt_srch-Sens!$E$12200)*MIN(1,(Sens!I12142-base_fy)/n_conv)</f>
        <v>0.0867189872656474</v>
      </c>
      <c r="J12200" s="7" t="n">
        <f aca="false">Sens!$E$12200+(glt_srch-Sens!$E$12200)*MIN(1,(Sens!J12142-base_fy)/n_conv)</f>
        <v>0.0783594936328237</v>
      </c>
      <c r="K12200" s="7" t="n">
        <f aca="false">Sens!$E$12200+(glt_srch-Sens!$E$12200)*MIN(1,(Sens!K12142-base_fy)/n_conv)</f>
        <v>0.07</v>
      </c>
    </row>
    <row r="12201" customFormat="false" ht="17.15" hidden="false" customHeight="false" outlineLevel="0" collapsed="false">
      <c r="A12201" s="0" t="s">
        <v>1042</v>
      </c>
      <c r="B12201" s="0" t="s">
        <v>98</v>
      </c>
      <c r="D12201" s="6" t="n">
        <f aca="false">Q!L14</f>
        <v>23.455</v>
      </c>
      <c r="E12201" s="6" t="n">
        <f aca="false">Q!M14</f>
        <v>21.79</v>
      </c>
      <c r="F12201" s="6" t="n">
        <f aca="false">Q!$I$14+(Q!M14-Q!$E$14)*(1+Sens!F12202)</f>
        <v>20.8335081041711</v>
      </c>
      <c r="G12201" s="6" t="n">
        <f aca="false">Sens!F12201*(1+Sens!G12202)</f>
        <v>20.1947944630466</v>
      </c>
      <c r="H12201" s="6" t="n">
        <f aca="false">Sens!G12201*(1+Sens!H12202)</f>
        <v>19.9828804239412</v>
      </c>
      <c r="I12201" s="6" t="n">
        <f aca="false">Sens!H12201*(1+Sens!I12202)</f>
        <v>20.1761348846602</v>
      </c>
      <c r="J12201" s="6" t="n">
        <f aca="false">Sens!I12201*(1+Sens!J12202)</f>
        <v>20.7780999691978</v>
      </c>
      <c r="K12201" s="6" t="n">
        <f aca="false">Sens!J12201*(1+Sens!K12202)</f>
        <v>21.8170049676577</v>
      </c>
      <c r="L12201" s="12" t="s">
        <v>1038</v>
      </c>
    </row>
    <row r="12202" customFormat="false" ht="15" hidden="false" customHeight="false" outlineLevel="0" collapsed="false">
      <c r="A12202" s="1" t="s">
        <v>1028</v>
      </c>
      <c r="B12202" s="0" t="s">
        <v>168</v>
      </c>
      <c r="E12202" s="7" t="n">
        <f aca="false">Sens!E12201/Sens!D12201-1</f>
        <v>-0.0709869963760392</v>
      </c>
      <c r="F12202" s="7" t="n">
        <f aca="false">Sens!$E$12202+(glt_xbox_hi-Sens!$E$12202)*MIN(1,(Sens!F12142-base_fy)/n_conv)</f>
        <v>-0.0508224969800327</v>
      </c>
      <c r="G12202" s="7" t="n">
        <f aca="false">Sens!$E$12202+(glt_xbox_hi-Sens!$E$12202)*MIN(1,(Sens!G12142-base_fy)/n_conv)</f>
        <v>-0.0306579975840262</v>
      </c>
      <c r="H12202" s="7" t="n">
        <f aca="false">Sens!$E$12202+(glt_xbox_hi-Sens!$E$12202)*MIN(1,(Sens!H12142-base_fy)/n_conv)</f>
        <v>-0.0104934981880196</v>
      </c>
      <c r="I12202" s="7" t="n">
        <f aca="false">Sens!$E$12202+(glt_xbox_hi-Sens!$E$12202)*MIN(1,(Sens!I12142-base_fy)/n_conv)</f>
        <v>0.00967100120798692</v>
      </c>
      <c r="J12202" s="7" t="n">
        <f aca="false">Sens!$E$12202+(glt_xbox_hi-Sens!$E$12202)*MIN(1,(Sens!J12142-base_fy)/n_conv)</f>
        <v>0.0298355006039935</v>
      </c>
      <c r="K12202" s="7" t="n">
        <f aca="false">Sens!$E$12202+(glt_xbox_hi-Sens!$E$12202)*MIN(1,(Sens!K12142-base_fy)/n_conv)</f>
        <v>0.05</v>
      </c>
    </row>
    <row r="12203" customFormat="false" ht="17.15" hidden="false" customHeight="false" outlineLevel="0" collapsed="false">
      <c r="A12203" s="0" t="s">
        <v>1043</v>
      </c>
      <c r="B12203" s="0" t="s">
        <v>98</v>
      </c>
      <c r="D12203" s="6" t="n">
        <f aca="false">Q!L15</f>
        <v>17.315</v>
      </c>
      <c r="E12203" s="6" t="n">
        <f aca="false">Q!M15</f>
        <v>17.087</v>
      </c>
      <c r="F12203" s="6" t="n">
        <f aca="false">Q!$I$15+(Q!M15-Q!$E$15)*(1+Sens!F12204)</f>
        <v>15.9912273250553</v>
      </c>
      <c r="G12203" s="6" t="n">
        <f aca="false">Sens!F12203*(1+Sens!G12204)</f>
        <v>15.9574562664827</v>
      </c>
      <c r="H12203" s="6" t="n">
        <f aca="false">Sens!G12203*(1+Sens!H12204)</f>
        <v>16.0119687434196</v>
      </c>
      <c r="I12203" s="6" t="n">
        <f aca="false">Sens!H12203*(1+Sens!I12204)</f>
        <v>16.1551810001948</v>
      </c>
      <c r="J12203" s="6" t="n">
        <f aca="false">Sens!I12203*(1+Sens!J12204)</f>
        <v>16.3889793892005</v>
      </c>
      <c r="K12203" s="6" t="n">
        <f aca="false">Sens!J12203*(1+Sens!K12204)</f>
        <v>16.7167589769845</v>
      </c>
      <c r="L12203" s="12" t="s">
        <v>1038</v>
      </c>
    </row>
    <row r="12204" customFormat="false" ht="15" hidden="false" customHeight="false" outlineLevel="0" collapsed="false">
      <c r="A12204" s="1" t="s">
        <v>1028</v>
      </c>
      <c r="B12204" s="0" t="s">
        <v>168</v>
      </c>
      <c r="E12204" s="7" t="n">
        <f aca="false">Sens!E12203/Sens!D12203-1</f>
        <v>-0.0131677736066995</v>
      </c>
      <c r="F12204" s="7" t="n">
        <f aca="false">Sens!$E$12204+(glt_win-Sens!$E$12204)*MIN(1,(Sens!F12142-base_fy)/n_conv)</f>
        <v>-0.00763981133891627</v>
      </c>
      <c r="G12204" s="7" t="n">
        <f aca="false">Sens!$E$12204+(glt_win-Sens!$E$12204)*MIN(1,(Sens!G12142-base_fy)/n_conv)</f>
        <v>-0.00211184907113301</v>
      </c>
      <c r="H12204" s="7" t="n">
        <f aca="false">Sens!$E$12204+(glt_win-Sens!$E$12204)*MIN(1,(Sens!H12142-base_fy)/n_conv)</f>
        <v>0.00341611319665024</v>
      </c>
      <c r="I12204" s="7" t="n">
        <f aca="false">Sens!$E$12204+(glt_win-Sens!$E$12204)*MIN(1,(Sens!I12142-base_fy)/n_conv)</f>
        <v>0.00894407546443349</v>
      </c>
      <c r="J12204" s="7" t="n">
        <f aca="false">Sens!$E$12204+(glt_win-Sens!$E$12204)*MIN(1,(Sens!J12142-base_fy)/n_conv)</f>
        <v>0.0144720377322168</v>
      </c>
      <c r="K12204" s="7" t="n">
        <f aca="false">Sens!$E$12204+(glt_win-Sens!$E$12204)*MIN(1,(Sens!K12142-base_fy)/n_conv)</f>
        <v>0.02</v>
      </c>
    </row>
    <row r="12205" customFormat="false" ht="15" hidden="false" customHeight="false" outlineLevel="0" collapsed="false">
      <c r="A12205" s="0" t="s">
        <v>870</v>
      </c>
      <c r="B12205" s="0" t="s">
        <v>98</v>
      </c>
      <c r="D12205" s="6" t="n">
        <f aca="false">Sens!D12199+Sens!D12201+Sens!D12203</f>
        <v>62.941</v>
      </c>
      <c r="E12205" s="6" t="n">
        <f aca="false">Sens!E12199+Sens!E12201+Sens!E12203</f>
        <v>63.712</v>
      </c>
      <c r="F12205" s="6" t="n">
        <f aca="false">Sens!F12199+Sens!F12201+Sens!F12203</f>
        <v>64.3839249952511</v>
      </c>
      <c r="G12205" s="6" t="n">
        <f aca="false">Sens!G12199+Sens!G12201+Sens!G12203</f>
        <v>66.5621070439876</v>
      </c>
      <c r="H12205" s="6" t="n">
        <f aca="false">Sens!H12199+Sens!H12201+Sens!H12203</f>
        <v>69.2960284245385</v>
      </c>
      <c r="I12205" s="6" t="n">
        <f aca="false">Sens!I12199+Sens!I12201+Sens!I12203</f>
        <v>72.520339681967</v>
      </c>
      <c r="J12205" s="6" t="n">
        <f aca="false">Sens!J12199+Sens!J12201+Sens!J12203</f>
        <v>76.1918567353181</v>
      </c>
      <c r="K12205" s="6" t="n">
        <f aca="false">Sens!K12199+Sens!K12201+Sens!K12203</f>
        <v>80.2902757379464</v>
      </c>
    </row>
    <row r="12206" customFormat="false" ht="15" hidden="false" customHeight="false" outlineLevel="0" collapsed="false">
      <c r="A12206" s="1" t="s">
        <v>1044</v>
      </c>
      <c r="B12206" s="0" t="s">
        <v>98</v>
      </c>
      <c r="D12206" s="6" t="n">
        <f aca="false">Sens!D12198+Sens!D12205</f>
        <v>281.724</v>
      </c>
      <c r="E12206" s="6" t="n">
        <f aca="false">Sens!E12198+Sens!E12205</f>
        <v>331.839</v>
      </c>
      <c r="F12206" s="6" t="n">
        <f aca="false">Sens!F12198+Sens!F12205</f>
        <v>403.158640889628</v>
      </c>
      <c r="G12206" s="6" t="n">
        <f aca="false">Sens!G12198+Sens!G12205</f>
        <v>492.070165580525</v>
      </c>
      <c r="H12206" s="6" t="n">
        <f aca="false">Sens!H12198+Sens!H12205</f>
        <v>587.876842411459</v>
      </c>
      <c r="I12206" s="6" t="n">
        <f aca="false">Sens!I12198+Sens!I12205</f>
        <v>669.588070989422</v>
      </c>
      <c r="J12206" s="6" t="n">
        <f aca="false">Sens!J12198+Sens!J12205</f>
        <v>735.537647219373</v>
      </c>
      <c r="K12206" s="6" t="n">
        <f aca="false">Sens!K12198+Sens!K12205</f>
        <v>788.248923735237</v>
      </c>
    </row>
    <row r="12207" customFormat="false" ht="15" hidden="false" customHeight="false" outlineLevel="0" collapsed="false">
      <c r="A12207" s="26" t="s">
        <v>1045</v>
      </c>
      <c r="B12207" s="31" t="s">
        <v>98</v>
      </c>
      <c r="C12207" s="31"/>
      <c r="D12207" s="27" t="n">
        <f aca="false">(Sens!D12186+Sens!D12191+Sens!D12192+Sens!D12194+Sens!D12196-Sens!D12198)+(Sens!D12199+Sens!D12201+Sens!D12203-Sens!D12205)+(Sens!D12198-Q!L5)+(Sens!D12205-Q!L12)+(Sens!D12186-Q!L6)+(Sens!D12191-Q!L7)</f>
        <v>0</v>
      </c>
      <c r="E12207" s="27" t="n">
        <f aca="false">(Sens!E12186+Sens!E12191+Sens!E12192+Sens!E12194+Sens!E12196-Sens!E12198)+(Sens!E12199+Sens!E12201+Sens!E12203-Sens!E12205)+(Sens!E12198-Q!M5)+(Sens!E12205-Q!M12)+(Sens!E12186-Q!M6)+(Sens!E12191-Q!M7)</f>
        <v>0</v>
      </c>
      <c r="F12207" s="27" t="n">
        <f aca="false">(Sens!F12186+Sens!F12191+Sens!F12192+Sens!F12194+Sens!F12196-Sens!F12198)+(Sens!F12199+Sens!F12201+Sens!F12203-Sens!F12205)</f>
        <v>0</v>
      </c>
      <c r="G12207" s="27" t="n">
        <f aca="false">(Sens!G12186+Sens!G12191+Sens!G12192+Sens!G12194+Sens!G12196-Sens!G12198)+(Sens!G12199+Sens!G12201+Sens!G12203-Sens!G12205)</f>
        <v>0</v>
      </c>
      <c r="H12207" s="27" t="n">
        <f aca="false">(Sens!H12186+Sens!H12191+Sens!H12192+Sens!H12194+Sens!H12196-Sens!H12198)+(Sens!H12199+Sens!H12201+Sens!H12203-Sens!H12205)</f>
        <v>0</v>
      </c>
      <c r="I12207" s="27" t="n">
        <f aca="false">(Sens!I12186+Sens!I12191+Sens!I12192+Sens!I12194+Sens!I12196-Sens!I12198)+(Sens!I12199+Sens!I12201+Sens!I12203-Sens!I12205)</f>
        <v>0</v>
      </c>
      <c r="J12207" s="27" t="n">
        <f aca="false">(Sens!J12186+Sens!J12191+Sens!J12192+Sens!J12194+Sens!J12196-Sens!J12198)+(Sens!J12199+Sens!J12201+Sens!J12203-Sens!J12205)</f>
        <v>0</v>
      </c>
      <c r="K12207" s="27" t="n">
        <f aca="false">(Sens!K12186+Sens!K12191+Sens!K12192+Sens!K12194+Sens!K12196-Sens!K12198)+(Sens!K12199+Sens!K12201+Sens!K12203-Sens!K12205)</f>
        <v>0</v>
      </c>
    </row>
    <row r="12208" customFormat="false" ht="17.15" hidden="false" customHeight="false" outlineLevel="0" collapsed="false">
      <c r="A12208" s="3" t="s">
        <v>1917</v>
      </c>
    </row>
    <row r="12209" customFormat="false" ht="15" hidden="false" customHeight="false" outlineLevel="0" collapsed="false">
      <c r="A12209" s="4" t="s">
        <v>43</v>
      </c>
      <c r="B12209" s="4" t="s">
        <v>65</v>
      </c>
      <c r="C12209" s="23" t="s">
        <v>942</v>
      </c>
      <c r="D12209" s="23" t="s">
        <v>943</v>
      </c>
      <c r="E12209" s="23" t="s">
        <v>944</v>
      </c>
      <c r="F12209" s="23" t="s">
        <v>945</v>
      </c>
      <c r="G12209" s="23" t="s">
        <v>946</v>
      </c>
      <c r="H12209" s="23" t="s">
        <v>947</v>
      </c>
      <c r="I12209" s="23" t="s">
        <v>948</v>
      </c>
      <c r="J12209" s="23" t="s">
        <v>949</v>
      </c>
      <c r="K12209" s="23" t="s">
        <v>950</v>
      </c>
      <c r="L12209" s="4" t="s">
        <v>47</v>
      </c>
    </row>
    <row r="12210" customFormat="false" ht="15" hidden="false" customHeight="false" outlineLevel="0" collapsed="false">
      <c r="A12210" s="0" t="s">
        <v>1029</v>
      </c>
      <c r="B12210" s="0" t="s">
        <v>98</v>
      </c>
      <c r="D12210" s="6" t="n">
        <f aca="false">Sens!D12186</f>
        <v>72.61</v>
      </c>
      <c r="E12210" s="6" t="n">
        <f aca="false">Sens!E12186</f>
        <v>101.938</v>
      </c>
      <c r="F12210" s="6" t="n">
        <f aca="false">Sens!F12186</f>
        <v>149.59001837225</v>
      </c>
      <c r="G12210" s="6" t="n">
        <f aca="false">Sens!G12186</f>
        <v>210.963087346352</v>
      </c>
      <c r="H12210" s="6" t="n">
        <f aca="false">Sens!H12186</f>
        <v>278.649709314524</v>
      </c>
      <c r="I12210" s="6" t="n">
        <f aca="false">Sens!I12186</f>
        <v>334.269404582332</v>
      </c>
      <c r="J12210" s="6" t="n">
        <f aca="false">Sens!J12186</f>
        <v>376.517293063672</v>
      </c>
      <c r="K12210" s="6" t="n">
        <f aca="false">Sens!K12186</f>
        <v>406.018092622804</v>
      </c>
    </row>
    <row r="12211" customFormat="false" ht="17.15" hidden="false" customHeight="false" outlineLevel="0" collapsed="false">
      <c r="A12211" s="0" t="s">
        <v>1025</v>
      </c>
      <c r="B12211" s="0" t="s">
        <v>98</v>
      </c>
      <c r="D12211" s="6" t="n">
        <f aca="false">Sens!D12183</f>
        <v>12.9359794422418</v>
      </c>
      <c r="E12211" s="6" t="n">
        <f aca="false">Sens!E12183</f>
        <v>27.8095064661409</v>
      </c>
      <c r="F12211" s="6" t="n">
        <f aca="false">Sens!F12183</f>
        <v>59.1034165651511</v>
      </c>
      <c r="G12211" s="6" t="n">
        <f aca="false">Sens!G12183</f>
        <v>103.451498789198</v>
      </c>
      <c r="H12211" s="6" t="n">
        <f aca="false">Sens!H12183</f>
        <v>153.816719989035</v>
      </c>
      <c r="I12211" s="6" t="n">
        <f aca="false">Sens!I12183</f>
        <v>192.699478690852</v>
      </c>
      <c r="J12211" s="6" t="n">
        <f aca="false">Sens!J12183</f>
        <v>219.794102584244</v>
      </c>
      <c r="K12211" s="6" t="n">
        <f aca="false">Sens!K12183</f>
        <v>236.757046905022</v>
      </c>
    </row>
    <row r="12212" customFormat="false" ht="17.15" hidden="false" customHeight="false" outlineLevel="0" collapsed="false">
      <c r="A12212" s="0" t="s">
        <v>1056</v>
      </c>
      <c r="B12212" s="0" t="s">
        <v>98</v>
      </c>
      <c r="D12212" s="6" t="n">
        <f aca="false">Sens!D12184</f>
        <v>59.6740205577583</v>
      </c>
      <c r="E12212" s="6" t="n">
        <f aca="false">Sens!E12184</f>
        <v>74.1284935338591</v>
      </c>
      <c r="F12212" s="6" t="n">
        <f aca="false">Sens!F12184</f>
        <v>90.4866018070994</v>
      </c>
      <c r="G12212" s="6" t="n">
        <f aca="false">Sens!G12184</f>
        <v>107.511588557154</v>
      </c>
      <c r="H12212" s="6" t="n">
        <f aca="false">Sens!H12184</f>
        <v>124.832989325489</v>
      </c>
      <c r="I12212" s="6" t="n">
        <f aca="false">Sens!I12184</f>
        <v>141.56992589148</v>
      </c>
      <c r="J12212" s="6" t="n">
        <f aca="false">Sens!J12184</f>
        <v>156.723190479428</v>
      </c>
      <c r="K12212" s="6" t="n">
        <f aca="false">Sens!K12184</f>
        <v>169.261045717783</v>
      </c>
    </row>
    <row r="12213" customFormat="false" ht="15" hidden="false" customHeight="false" outlineLevel="0" collapsed="false">
      <c r="A12213" s="0" t="s">
        <v>1036</v>
      </c>
      <c r="B12213" s="0" t="s">
        <v>98</v>
      </c>
      <c r="D12213" s="6" t="n">
        <f aca="false">Sens!D12191</f>
        <v>84.605</v>
      </c>
      <c r="E12213" s="6" t="n">
        <f aca="false">Sens!E12191</f>
        <v>100.299</v>
      </c>
      <c r="F12213" s="6" t="n">
        <f aca="false">Sens!F12191</f>
        <v>119.729653205718</v>
      </c>
      <c r="G12213" s="6" t="n">
        <f aca="false">Sens!G12191</f>
        <v>140.806092647576</v>
      </c>
      <c r="H12213" s="6" t="n">
        <f aca="false">Sens!H12191</f>
        <v>161.963437602768</v>
      </c>
      <c r="I12213" s="6" t="n">
        <f aca="false">Sens!I12191</f>
        <v>180.695354741933</v>
      </c>
      <c r="J12213" s="6" t="n">
        <f aca="false">Sens!J12191</f>
        <v>196.722117481571</v>
      </c>
      <c r="K12213" s="6" t="n">
        <f aca="false">Sens!K12191</f>
        <v>212.00016570528</v>
      </c>
    </row>
    <row r="12214" customFormat="false" ht="17.15" hidden="false" customHeight="false" outlineLevel="0" collapsed="false">
      <c r="A12214" s="0" t="s">
        <v>1057</v>
      </c>
      <c r="B12214" s="0" t="s">
        <v>98</v>
      </c>
      <c r="D12214" s="6" t="n">
        <f aca="false">Sens!D12189</f>
        <v>83.705</v>
      </c>
      <c r="E12214" s="6" t="n">
        <f aca="false">Sens!E12189</f>
        <v>95.049</v>
      </c>
      <c r="F12214" s="6" t="n">
        <f aca="false">Sens!F12189</f>
        <v>106.229653205718</v>
      </c>
      <c r="G12214" s="6" t="n">
        <f aca="false">Sens!G12189</f>
        <v>118.306092647576</v>
      </c>
      <c r="H12214" s="6" t="n">
        <f aca="false">Sens!H12189</f>
        <v>130.463437602768</v>
      </c>
      <c r="I12214" s="6" t="n">
        <f aca="false">Sens!I12189</f>
        <v>142.445354741933</v>
      </c>
      <c r="J12214" s="6" t="n">
        <f aca="false">Sens!J12189</f>
        <v>153.972117481571</v>
      </c>
      <c r="K12214" s="6" t="n">
        <f aca="false">Sens!K12189</f>
        <v>164.75016570528</v>
      </c>
    </row>
    <row r="12215" customFormat="false" ht="17.15" hidden="false" customHeight="false" outlineLevel="0" collapsed="false">
      <c r="A12215" s="0" t="s">
        <v>1058</v>
      </c>
      <c r="B12215" s="0" t="s">
        <v>98</v>
      </c>
      <c r="D12215" s="6" t="n">
        <f aca="false">Sens!D12188</f>
        <v>0.9</v>
      </c>
      <c r="E12215" s="6" t="n">
        <f aca="false">Sens!E12188</f>
        <v>5.25</v>
      </c>
      <c r="F12215" s="6" t="n">
        <f aca="false">Sens!F12188</f>
        <v>13.5</v>
      </c>
      <c r="G12215" s="6" t="n">
        <f aca="false">Sens!G12188</f>
        <v>22.5</v>
      </c>
      <c r="H12215" s="6" t="n">
        <f aca="false">Sens!H12188</f>
        <v>31.5</v>
      </c>
      <c r="I12215" s="6" t="n">
        <f aca="false">Sens!I12188</f>
        <v>38.25</v>
      </c>
      <c r="J12215" s="6" t="n">
        <f aca="false">Sens!J12188</f>
        <v>42.75</v>
      </c>
      <c r="K12215" s="6" t="n">
        <f aca="false">Sens!K12188</f>
        <v>47.25</v>
      </c>
    </row>
    <row r="12216" customFormat="false" ht="15" hidden="false" customHeight="false" outlineLevel="0" collapsed="false">
      <c r="A12216" s="0" t="s">
        <v>1037</v>
      </c>
      <c r="B12216" s="0" t="s">
        <v>98</v>
      </c>
      <c r="D12216" s="6" t="n">
        <f aca="false">Sens!D12192</f>
        <v>35.391</v>
      </c>
      <c r="E12216" s="6" t="n">
        <f aca="false">Sens!E12192</f>
        <v>37.285</v>
      </c>
      <c r="F12216" s="6" t="n">
        <f aca="false">Sens!F12192</f>
        <v>38.3851437782675</v>
      </c>
      <c r="G12216" s="6" t="n">
        <f aca="false">Sens!G12192</f>
        <v>40.0105353288615</v>
      </c>
      <c r="H12216" s="6" t="n">
        <f aca="false">Sens!H12192</f>
        <v>41.4812512033683</v>
      </c>
      <c r="I12216" s="6" t="n">
        <f aca="false">Sens!I12192</f>
        <v>42.7743107216329</v>
      </c>
      <c r="J12216" s="6" t="n">
        <f aca="false">Sens!J12192</f>
        <v>43.8687373064601</v>
      </c>
      <c r="K12216" s="6" t="n">
        <f aca="false">Sens!K12192</f>
        <v>44.7461120525893</v>
      </c>
    </row>
    <row r="12217" customFormat="false" ht="15" hidden="false" customHeight="false" outlineLevel="0" collapsed="false">
      <c r="A12217" s="0" t="s">
        <v>1039</v>
      </c>
      <c r="B12217" s="0" t="s">
        <v>98</v>
      </c>
      <c r="D12217" s="6" t="n">
        <f aca="false">Sens!D12194</f>
        <v>18.417</v>
      </c>
      <c r="E12217" s="6" t="n">
        <f aca="false">Sens!E12194</f>
        <v>20.345</v>
      </c>
      <c r="F12217" s="6" t="n">
        <f aca="false">Sens!F12194</f>
        <v>22.3161797133988</v>
      </c>
      <c r="G12217" s="6" t="n">
        <f aca="false">Sens!G12194</f>
        <v>24.3943499673233</v>
      </c>
      <c r="H12217" s="6" t="n">
        <f aca="false">Sens!H12194</f>
        <v>26.5250243109019</v>
      </c>
      <c r="I12217" s="6" t="n">
        <f aca="false">Sens!I12194</f>
        <v>28.6884573538181</v>
      </c>
      <c r="J12217" s="6" t="n">
        <f aca="false">Sens!J12194</f>
        <v>30.8624968052127</v>
      </c>
      <c r="K12217" s="6" t="n">
        <f aca="false">Sens!K12194</f>
        <v>33.0228715815776</v>
      </c>
    </row>
    <row r="12218" customFormat="false" ht="15" hidden="false" customHeight="false" outlineLevel="0" collapsed="false">
      <c r="A12218" s="0" t="s">
        <v>1040</v>
      </c>
      <c r="B12218" s="0" t="s">
        <v>98</v>
      </c>
      <c r="D12218" s="6" t="n">
        <f aca="false">Sens!D12196</f>
        <v>7.76</v>
      </c>
      <c r="E12218" s="6" t="n">
        <f aca="false">Sens!E12196</f>
        <v>8.26</v>
      </c>
      <c r="F12218" s="6" t="n">
        <f aca="false">Sens!F12196</f>
        <v>8.75372082474227</v>
      </c>
      <c r="G12218" s="6" t="n">
        <f aca="false">Sens!G12196</f>
        <v>9.33399324642364</v>
      </c>
      <c r="H12218" s="6" t="n">
        <f aca="false">Sens!H12196</f>
        <v>9.96139155535851</v>
      </c>
      <c r="I12218" s="6" t="n">
        <f aca="false">Sens!I12196</f>
        <v>10.6402039077391</v>
      </c>
      <c r="J12218" s="6" t="n">
        <f aca="false">Sens!J12196</f>
        <v>11.3751458271397</v>
      </c>
      <c r="K12218" s="6" t="n">
        <f aca="false">Sens!K12196</f>
        <v>12.1714060350394</v>
      </c>
    </row>
    <row r="12219" customFormat="false" ht="15" hidden="false" customHeight="false" outlineLevel="0" collapsed="false">
      <c r="A12219" s="0" t="s">
        <v>856</v>
      </c>
      <c r="B12219" s="0" t="s">
        <v>98</v>
      </c>
      <c r="D12219" s="6" t="n">
        <f aca="false">Sens!D12198</f>
        <v>218.783</v>
      </c>
      <c r="E12219" s="6" t="n">
        <f aca="false">Sens!E12198</f>
        <v>268.127</v>
      </c>
      <c r="F12219" s="6" t="n">
        <f aca="false">Sens!F12198</f>
        <v>338.774715894377</v>
      </c>
      <c r="G12219" s="6" t="n">
        <f aca="false">Sens!G12198</f>
        <v>425.508058536537</v>
      </c>
      <c r="H12219" s="6" t="n">
        <f aca="false">Sens!H12198</f>
        <v>518.580813986921</v>
      </c>
      <c r="I12219" s="6" t="n">
        <f aca="false">Sens!I12198</f>
        <v>597.067731307455</v>
      </c>
      <c r="J12219" s="6" t="n">
        <f aca="false">Sens!J12198</f>
        <v>659.345790484055</v>
      </c>
      <c r="K12219" s="6" t="n">
        <f aca="false">Sens!K12198</f>
        <v>707.958647997291</v>
      </c>
    </row>
    <row r="12220" customFormat="false" ht="15" hidden="false" customHeight="false" outlineLevel="0" collapsed="false">
      <c r="A12220" s="0" t="s">
        <v>1041</v>
      </c>
      <c r="B12220" s="0" t="s">
        <v>98</v>
      </c>
      <c r="D12220" s="6" t="n">
        <f aca="false">Sens!D12199</f>
        <v>22.171</v>
      </c>
      <c r="E12220" s="6" t="n">
        <f aca="false">Sens!E12199</f>
        <v>24.835</v>
      </c>
      <c r="F12220" s="6" t="n">
        <f aca="false">Sens!F12199</f>
        <v>27.5591895660247</v>
      </c>
      <c r="G12220" s="6" t="n">
        <f aca="false">Sens!G12199</f>
        <v>30.4098563144583</v>
      </c>
      <c r="H12220" s="6" t="n">
        <f aca="false">Sens!H12199</f>
        <v>33.3011792571777</v>
      </c>
      <c r="I12220" s="6" t="n">
        <f aca="false">Sens!I12199</f>
        <v>36.189023797112</v>
      </c>
      <c r="J12220" s="6" t="n">
        <f aca="false">Sens!J12199</f>
        <v>39.0247773769199</v>
      </c>
      <c r="K12220" s="6" t="n">
        <f aca="false">Sens!K12199</f>
        <v>41.7565117933043</v>
      </c>
    </row>
    <row r="12221" customFormat="false" ht="15" hidden="false" customHeight="false" outlineLevel="0" collapsed="false">
      <c r="A12221" s="0" t="s">
        <v>1042</v>
      </c>
      <c r="B12221" s="0" t="s">
        <v>98</v>
      </c>
      <c r="D12221" s="6" t="n">
        <f aca="false">Sens!D12201</f>
        <v>23.455</v>
      </c>
      <c r="E12221" s="6" t="n">
        <f aca="false">Sens!E12201</f>
        <v>21.79</v>
      </c>
      <c r="F12221" s="6" t="n">
        <f aca="false">Sens!F12201</f>
        <v>20.8335081041711</v>
      </c>
      <c r="G12221" s="6" t="n">
        <f aca="false">Sens!G12201</f>
        <v>20.1947944630466</v>
      </c>
      <c r="H12221" s="6" t="n">
        <f aca="false">Sens!H12201</f>
        <v>19.9828804239412</v>
      </c>
      <c r="I12221" s="6" t="n">
        <f aca="false">Sens!I12201</f>
        <v>20.1761348846602</v>
      </c>
      <c r="J12221" s="6" t="n">
        <f aca="false">Sens!J12201</f>
        <v>20.7780999691978</v>
      </c>
      <c r="K12221" s="6" t="n">
        <f aca="false">Sens!K12201</f>
        <v>21.8170049676577</v>
      </c>
    </row>
    <row r="12222" customFormat="false" ht="15" hidden="false" customHeight="false" outlineLevel="0" collapsed="false">
      <c r="A12222" s="0" t="s">
        <v>1043</v>
      </c>
      <c r="B12222" s="0" t="s">
        <v>98</v>
      </c>
      <c r="D12222" s="6" t="n">
        <f aca="false">Sens!D12203</f>
        <v>17.315</v>
      </c>
      <c r="E12222" s="6" t="n">
        <f aca="false">Sens!E12203</f>
        <v>17.087</v>
      </c>
      <c r="F12222" s="6" t="n">
        <f aca="false">Sens!F12203</f>
        <v>15.9912273250553</v>
      </c>
      <c r="G12222" s="6" t="n">
        <f aca="false">Sens!G12203</f>
        <v>15.9574562664827</v>
      </c>
      <c r="H12222" s="6" t="n">
        <f aca="false">Sens!H12203</f>
        <v>16.0119687434196</v>
      </c>
      <c r="I12222" s="6" t="n">
        <f aca="false">Sens!I12203</f>
        <v>16.1551810001948</v>
      </c>
      <c r="J12222" s="6" t="n">
        <f aca="false">Sens!J12203</f>
        <v>16.3889793892005</v>
      </c>
      <c r="K12222" s="6" t="n">
        <f aca="false">Sens!K12203</f>
        <v>16.7167589769845</v>
      </c>
    </row>
    <row r="12223" customFormat="false" ht="15" hidden="false" customHeight="false" outlineLevel="0" collapsed="false">
      <c r="A12223" s="0" t="s">
        <v>870</v>
      </c>
      <c r="B12223" s="0" t="s">
        <v>98</v>
      </c>
      <c r="D12223" s="6" t="n">
        <f aca="false">Sens!D12205</f>
        <v>62.941</v>
      </c>
      <c r="E12223" s="6" t="n">
        <f aca="false">Sens!E12205</f>
        <v>63.712</v>
      </c>
      <c r="F12223" s="6" t="n">
        <f aca="false">Sens!F12205</f>
        <v>64.3839249952511</v>
      </c>
      <c r="G12223" s="6" t="n">
        <f aca="false">Sens!G12205</f>
        <v>66.5621070439876</v>
      </c>
      <c r="H12223" s="6" t="n">
        <f aca="false">Sens!H12205</f>
        <v>69.2960284245385</v>
      </c>
      <c r="I12223" s="6" t="n">
        <f aca="false">Sens!I12205</f>
        <v>72.520339681967</v>
      </c>
      <c r="J12223" s="6" t="n">
        <f aca="false">Sens!J12205</f>
        <v>76.1918567353181</v>
      </c>
      <c r="K12223" s="6" t="n">
        <f aca="false">Sens!K12205</f>
        <v>80.2902757379464</v>
      </c>
    </row>
    <row r="12224" customFormat="false" ht="15" hidden="false" customHeight="false" outlineLevel="0" collapsed="false">
      <c r="A12224" s="1" t="s">
        <v>1059</v>
      </c>
      <c r="B12224" s="0" t="s">
        <v>98</v>
      </c>
      <c r="D12224" s="6" t="n">
        <f aca="false">Sens!D12206</f>
        <v>281.724</v>
      </c>
      <c r="E12224" s="6" t="n">
        <f aca="false">Sens!E12206</f>
        <v>331.839</v>
      </c>
      <c r="F12224" s="6" t="n">
        <f aca="false">Sens!F12206</f>
        <v>403.158640889628</v>
      </c>
      <c r="G12224" s="6" t="n">
        <f aca="false">Sens!G12206</f>
        <v>492.070165580525</v>
      </c>
      <c r="H12224" s="6" t="n">
        <f aca="false">Sens!H12206</f>
        <v>587.876842411459</v>
      </c>
      <c r="I12224" s="6" t="n">
        <f aca="false">Sens!I12206</f>
        <v>669.588070989422</v>
      </c>
      <c r="J12224" s="6" t="n">
        <f aca="false">Sens!J12206</f>
        <v>735.537647219373</v>
      </c>
      <c r="K12224" s="6" t="n">
        <f aca="false">Sens!K12206</f>
        <v>788.248923735237</v>
      </c>
    </row>
    <row r="12225" customFormat="false" ht="15" hidden="false" customHeight="false" outlineLevel="0" collapsed="false">
      <c r="A12225" s="1" t="s">
        <v>1060</v>
      </c>
      <c r="B12225" s="0" t="s">
        <v>168</v>
      </c>
      <c r="E12225" s="7" t="n">
        <f aca="false">Sens!E12224/Sens!D12224-1</f>
        <v>0.177886867998467</v>
      </c>
      <c r="F12225" s="7" t="n">
        <f aca="false">Sens!F12224/Sens!E12224-1</f>
        <v>0.214922419877194</v>
      </c>
      <c r="G12225" s="7" t="n">
        <f aca="false">Sens!G12224/Sens!F12224-1</f>
        <v>0.220537316265131</v>
      </c>
      <c r="H12225" s="7" t="n">
        <f aca="false">Sens!H12224/Sens!G12224-1</f>
        <v>0.194701251025667</v>
      </c>
      <c r="I12225" s="7" t="n">
        <f aca="false">Sens!I12224/Sens!H12224-1</f>
        <v>0.138993786934666</v>
      </c>
      <c r="J12225" s="7" t="n">
        <f aca="false">Sens!J12224/Sens!I12224-1</f>
        <v>0.0984927585888742</v>
      </c>
      <c r="K12225" s="7" t="n">
        <f aca="false">Sens!K12224/Sens!J12224-1</f>
        <v>0.0716636010612566</v>
      </c>
    </row>
    <row r="12226" customFormat="false" ht="17.15" hidden="false" customHeight="false" outlineLevel="0" collapsed="false">
      <c r="A12226" s="26" t="s">
        <v>1061</v>
      </c>
      <c r="B12226" s="31" t="s">
        <v>98</v>
      </c>
      <c r="C12226" s="31"/>
      <c r="D12226" s="27" t="n">
        <f aca="false">(Sens!D12219+Sens!D12223-Sens!D12224)+(Sens!D12211+Sens!D12212-Sens!D12210)+(Sens!D12214+Sens!D12215-Sens!D12213)+(Sens!D12224-Q!L18)</f>
        <v>0</v>
      </c>
      <c r="E12226" s="27" t="n">
        <f aca="false">(Sens!E12219+Sens!E12223-Sens!E12224)+(Sens!E12211+Sens!E12212-Sens!E12210)+(Sens!E12214+Sens!E12215-Sens!E12213)+(Sens!E12224-Q!M18)</f>
        <v>0</v>
      </c>
      <c r="F12226" s="27" t="n">
        <f aca="false">(Sens!F12219+Sens!F12223-Sens!F12224)+(Sens!F12211+Sens!F12212-Sens!F12210)+(Sens!F12214+Sens!F12215-Sens!F12213)</f>
        <v>0</v>
      </c>
      <c r="G12226" s="27" t="n">
        <f aca="false">(Sens!G12219+Sens!G12223-Sens!G12224)+(Sens!G12211+Sens!G12212-Sens!G12210)+(Sens!G12214+Sens!G12215-Sens!G12213)</f>
        <v>0</v>
      </c>
      <c r="H12226" s="27" t="n">
        <f aca="false">(Sens!H12219+Sens!H12223-Sens!H12224)+(Sens!H12211+Sens!H12212-Sens!H12210)+(Sens!H12214+Sens!H12215-Sens!H12213)</f>
        <v>0</v>
      </c>
      <c r="I12226" s="27" t="n">
        <f aca="false">(Sens!I12219+Sens!I12223-Sens!I12224)+(Sens!I12211+Sens!I12212-Sens!I12210)+(Sens!I12214+Sens!I12215-Sens!I12213)</f>
        <v>0</v>
      </c>
      <c r="J12226" s="27" t="n">
        <f aca="false">(Sens!J12219+Sens!J12223-Sens!J12224)+(Sens!J12211+Sens!J12212-Sens!J12210)+(Sens!J12214+Sens!J12215-Sens!J12213)</f>
        <v>0</v>
      </c>
      <c r="K12226" s="27" t="n">
        <f aca="false">(Sens!K12219+Sens!K12223-Sens!K12224)+(Sens!K12211+Sens!K12212-Sens!K12210)+(Sens!K12214+Sens!K12215-Sens!K12213)</f>
        <v>0</v>
      </c>
    </row>
    <row r="12227" customFormat="false" ht="17.15" hidden="false" customHeight="false" outlineLevel="0" collapsed="false">
      <c r="A12227" s="0" t="s">
        <v>1062</v>
      </c>
      <c r="B12227" s="0" t="s">
        <v>168</v>
      </c>
      <c r="E12227" s="7" t="n">
        <f aca="false">(Q!M21+Sens!E12163+Sens!E12164+Sens!E12165+Sens!E12179-Sens!E12161)/(Q!M5-Sens!E12161)</f>
        <v>0.570957350878296</v>
      </c>
      <c r="F12227" s="7" t="n">
        <f aca="false">Sens!$E$12227+dm_seg</f>
        <v>0.570957350878296</v>
      </c>
      <c r="G12227" s="7" t="n">
        <f aca="false">Sens!$E$12227+dm_seg</f>
        <v>0.570957350878296</v>
      </c>
      <c r="H12227" s="7" t="n">
        <f aca="false">Sens!$E$12227+dm_seg</f>
        <v>0.570957350878296</v>
      </c>
      <c r="I12227" s="7" t="n">
        <f aca="false">Sens!$E$12227+dm_seg</f>
        <v>0.570957350878296</v>
      </c>
      <c r="J12227" s="7" t="n">
        <f aca="false">Sens!$E$12227+dm_seg</f>
        <v>0.570957350878296</v>
      </c>
      <c r="K12227" s="7" t="n">
        <f aca="false">Sens!$E$12227+dm_seg</f>
        <v>0.570957350878296</v>
      </c>
      <c r="L12227" s="12" t="s">
        <v>1063</v>
      </c>
    </row>
    <row r="12228" customFormat="false" ht="17.15" hidden="false" customHeight="false" outlineLevel="0" collapsed="false">
      <c r="A12228" s="0" t="s">
        <v>884</v>
      </c>
      <c r="B12228" s="0" t="s">
        <v>98</v>
      </c>
      <c r="D12228" s="6" t="n">
        <f aca="false">Q!L21</f>
        <v>110.814</v>
      </c>
      <c r="E12228" s="6" t="n">
        <f aca="false">Q!M21</f>
        <v>136.365</v>
      </c>
      <c r="F12228" s="6" t="n">
        <f aca="false">Q!$I$21+(Sens!F12227*(Sens!F12198-Sens!F12161)+Sens!F12161-(Sens!F12163+Sens!F12164+Sens!F12165)-Sens!F12179-Sens!F12262)*(Sens!F12198-Q!$I$5)/Sens!F12198</f>
        <v>165.519129156693</v>
      </c>
      <c r="G12228" s="6" t="n">
        <f aca="false">(Sens!G12227*(Sens!G12198-Sens!G12161)+Sens!G12161-(Sens!G12163+Sens!G12164+Sens!G12165)-Sens!G12179-Sens!G12262)</f>
        <v>191.522313609735</v>
      </c>
      <c r="H12228" s="6" t="n">
        <f aca="false">(Sens!H12227*(Sens!H12198-Sens!H12161)+Sens!H12161-(Sens!H12163+Sens!H12164+Sens!H12165)-Sens!H12179-Sens!H12262)</f>
        <v>225.776681422989</v>
      </c>
      <c r="I12228" s="6" t="n">
        <f aca="false">(Sens!I12227*(Sens!I12198-Sens!I12161)+Sens!I12161-(Sens!I12163+Sens!I12164+Sens!I12165)-Sens!I12179-Sens!I12262)</f>
        <v>251.64192133741</v>
      </c>
      <c r="J12228" s="6" t="n">
        <f aca="false">(Sens!J12227*(Sens!J12198-Sens!J12161)+Sens!J12161-(Sens!J12163+Sens!J12164+Sens!J12165)-Sens!J12179-Sens!J12262)</f>
        <v>273.893905463351</v>
      </c>
      <c r="K12228" s="6" t="n">
        <f aca="false">(Sens!K12227*(Sens!K12198-Sens!K12161)+Sens!K12161-(Sens!K12163+Sens!K12164+Sens!K12165)-Sens!K12179-Sens!K12262)</f>
        <v>293.874189786378</v>
      </c>
      <c r="L12228" s="1" t="s">
        <v>1064</v>
      </c>
    </row>
    <row r="12229" customFormat="false" ht="17.15" hidden="false" customHeight="false" outlineLevel="0" collapsed="false">
      <c r="A12229" s="0" t="s">
        <v>1065</v>
      </c>
      <c r="B12229" s="0" t="s">
        <v>168</v>
      </c>
      <c r="E12229" s="7" t="n">
        <f aca="false">Q!M22/Q!M12</f>
        <v>0.296207935710698</v>
      </c>
      <c r="F12229" s="7" t="n">
        <f aca="false">Sens!$E$12229+dm_seg</f>
        <v>0.296207935710698</v>
      </c>
      <c r="G12229" s="7" t="n">
        <f aca="false">Sens!$E$12229+dm_seg</f>
        <v>0.296207935710698</v>
      </c>
      <c r="H12229" s="7" t="n">
        <f aca="false">Sens!$E$12229+dm_seg</f>
        <v>0.296207935710698</v>
      </c>
      <c r="I12229" s="7" t="n">
        <f aca="false">Sens!$E$12229+dm_seg</f>
        <v>0.296207935710698</v>
      </c>
      <c r="J12229" s="7" t="n">
        <f aca="false">Sens!$E$12229+dm_seg</f>
        <v>0.296207935710698</v>
      </c>
      <c r="K12229" s="7" t="n">
        <f aca="false">Sens!$E$12229+dm_seg</f>
        <v>0.296207935710698</v>
      </c>
      <c r="L12229" s="12" t="s">
        <v>1066</v>
      </c>
    </row>
    <row r="12230" customFormat="false" ht="17.15" hidden="false" customHeight="false" outlineLevel="0" collapsed="false">
      <c r="A12230" s="0" t="s">
        <v>886</v>
      </c>
      <c r="B12230" s="0" t="s">
        <v>98</v>
      </c>
      <c r="D12230" s="6" t="n">
        <f aca="false">Q!L22</f>
        <v>17.714</v>
      </c>
      <c r="E12230" s="6" t="n">
        <f aca="false">Q!M22</f>
        <v>18.872</v>
      </c>
      <c r="F12230" s="6" t="n">
        <f aca="false">Q!$I$22+(Sens!F12205-Q!$I$12)*Sens!F12229</f>
        <v>19.8415458392513</v>
      </c>
      <c r="G12230" s="6" t="n">
        <f aca="false">Sens!G12205*Sens!G12229</f>
        <v>19.7162243240541</v>
      </c>
      <c r="H12230" s="6" t="n">
        <f aca="false">Sens!H12205*Sens!H12229</f>
        <v>20.5260335325824</v>
      </c>
      <c r="I12230" s="6" t="n">
        <f aca="false">Sens!I12205*Sens!I12229</f>
        <v>21.4811001142341</v>
      </c>
      <c r="J12230" s="6" t="n">
        <f aca="false">Sens!J12205*Sens!J12229</f>
        <v>22.5686326015338</v>
      </c>
      <c r="K12230" s="6" t="n">
        <f aca="false">Sens!K12205*Sens!K12229</f>
        <v>23.7826168339799</v>
      </c>
      <c r="L12230" s="12" t="s">
        <v>1067</v>
      </c>
    </row>
    <row r="12231" customFormat="false" ht="15" hidden="false" customHeight="false" outlineLevel="0" collapsed="false">
      <c r="A12231" s="1" t="s">
        <v>1068</v>
      </c>
      <c r="B12231" s="0" t="s">
        <v>98</v>
      </c>
      <c r="D12231" s="6" t="n">
        <f aca="false">Sens!D12228+Sens!D12230</f>
        <v>128.528</v>
      </c>
      <c r="E12231" s="6" t="n">
        <f aca="false">Sens!E12228+Sens!E12230</f>
        <v>155.237</v>
      </c>
      <c r="F12231" s="6" t="n">
        <f aca="false">Sens!F12228+Sens!F12230</f>
        <v>185.360674995944</v>
      </c>
      <c r="G12231" s="6" t="n">
        <f aca="false">Sens!G12228+Sens!G12230</f>
        <v>211.238537933789</v>
      </c>
      <c r="H12231" s="6" t="n">
        <f aca="false">Sens!H12228+Sens!H12230</f>
        <v>246.302714955571</v>
      </c>
      <c r="I12231" s="6" t="n">
        <f aca="false">Sens!I12228+Sens!I12230</f>
        <v>273.123021451644</v>
      </c>
      <c r="J12231" s="6" t="n">
        <f aca="false">Sens!J12228+Sens!J12230</f>
        <v>296.462538064885</v>
      </c>
      <c r="K12231" s="6" t="n">
        <f aca="false">Sens!K12228+Sens!K12230</f>
        <v>317.656806620358</v>
      </c>
    </row>
    <row r="12232" customFormat="false" ht="15" hidden="false" customHeight="false" outlineLevel="0" collapsed="false">
      <c r="A12232" s="26" t="s">
        <v>1069</v>
      </c>
      <c r="B12232" s="31" t="s">
        <v>98</v>
      </c>
      <c r="C12232" s="31"/>
      <c r="D12232" s="27" t="n">
        <f aca="false">Sens!D12231-Q!L23</f>
        <v>0</v>
      </c>
      <c r="E12232" s="27" t="n">
        <f aca="false">Sens!E12231-Q!M23</f>
        <v>0</v>
      </c>
      <c r="F12232" s="31"/>
      <c r="G12232" s="31"/>
      <c r="H12232" s="31"/>
      <c r="I12232" s="31"/>
      <c r="J12232" s="31"/>
      <c r="K12232" s="31"/>
    </row>
    <row r="12233" customFormat="false" ht="15" hidden="false" customHeight="false" outlineLevel="0" collapsed="false">
      <c r="A12233" s="1" t="s">
        <v>1070</v>
      </c>
      <c r="B12233" s="0" t="s">
        <v>168</v>
      </c>
      <c r="D12233" s="7" t="n">
        <f aca="false">Sens!D12231/Sens!D12224</f>
        <v>0.456219562408598</v>
      </c>
      <c r="E12233" s="7" t="n">
        <f aca="false">Sens!E12231/Sens!E12224</f>
        <v>0.467808184089272</v>
      </c>
      <c r="F12233" s="7" t="n">
        <f aca="false">Sens!F12231/Sens!F12224</f>
        <v>0.459771058328103</v>
      </c>
      <c r="G12233" s="7" t="n">
        <f aca="false">Sens!G12231/Sens!G12224</f>
        <v>0.429285400151376</v>
      </c>
      <c r="H12233" s="7" t="n">
        <f aca="false">Sens!H12231/Sens!H12224</f>
        <v>0.418969922246371</v>
      </c>
      <c r="I12233" s="7" t="n">
        <f aca="false">Sens!I12231/Sens!I12224</f>
        <v>0.407897083722028</v>
      </c>
      <c r="J12233" s="7" t="n">
        <f aca="false">Sens!J12231/Sens!J12224</f>
        <v>0.403055559678871</v>
      </c>
      <c r="K12233" s="7" t="n">
        <f aca="false">Sens!K12231/Sens!K12224</f>
        <v>0.402990473003239</v>
      </c>
    </row>
    <row r="12234" customFormat="false" ht="17.15" hidden="false" customHeight="false" outlineLevel="0" collapsed="false">
      <c r="A12234" s="1" t="s">
        <v>1071</v>
      </c>
      <c r="B12234" s="0" t="s">
        <v>98</v>
      </c>
      <c r="F12234" s="6" t="n">
        <f aca="false">Sens!F12249</f>
        <v>8.88340674531245</v>
      </c>
      <c r="G12234" s="6" t="n">
        <f aca="false">Sens!G12249</f>
        <v>22.7060305170273</v>
      </c>
      <c r="H12234" s="6" t="n">
        <f aca="false">Sens!H12249</f>
        <v>38.0018452382075</v>
      </c>
      <c r="I12234" s="6" t="n">
        <f aca="false">Sens!I12249</f>
        <v>52.1381094705177</v>
      </c>
      <c r="J12234" s="6" t="n">
        <f aca="false">Sens!J12249</f>
        <v>62.0595818934393</v>
      </c>
      <c r="K12234" s="6" t="n">
        <f aca="false">Sens!K12249</f>
        <v>67.0801312706266</v>
      </c>
      <c r="L12234" s="1" t="s">
        <v>1072</v>
      </c>
    </row>
    <row r="12235" customFormat="false" ht="17.15" hidden="false" customHeight="false" outlineLevel="0" collapsed="false">
      <c r="A12235" s="1" t="s">
        <v>1073</v>
      </c>
      <c r="B12235" s="0" t="s">
        <v>98</v>
      </c>
      <c r="D12235" s="6" t="n">
        <f aca="false">Sens!D12231</f>
        <v>128.528</v>
      </c>
      <c r="E12235" s="6" t="n">
        <f aca="false">Sens!E12231</f>
        <v>155.237</v>
      </c>
      <c r="F12235" s="6" t="n">
        <f aca="false">Sens!F12231+Sens!F12234</f>
        <v>194.244081741256</v>
      </c>
      <c r="G12235" s="6" t="n">
        <f aca="false">Sens!G12231+Sens!G12234</f>
        <v>233.944568450816</v>
      </c>
      <c r="H12235" s="6" t="n">
        <f aca="false">Sens!H12231+Sens!H12234</f>
        <v>284.304560193779</v>
      </c>
      <c r="I12235" s="6" t="n">
        <f aca="false">Sens!I12231+Sens!I12234</f>
        <v>325.261130922161</v>
      </c>
      <c r="J12235" s="6" t="n">
        <f aca="false">Sens!J12231+Sens!J12234</f>
        <v>358.522119958324</v>
      </c>
      <c r="K12235" s="6" t="n">
        <f aca="false">Sens!K12231+Sens!K12234</f>
        <v>384.736937890984</v>
      </c>
    </row>
    <row r="12236" customFormat="false" ht="17.15" hidden="false" customHeight="false" outlineLevel="0" collapsed="false">
      <c r="A12236" s="1" t="s">
        <v>1074</v>
      </c>
      <c r="B12236" s="0" t="s">
        <v>98</v>
      </c>
      <c r="E12236" s="6" t="n">
        <f aca="false">Sens!E12179</f>
        <v>16.3054059770833</v>
      </c>
      <c r="F12236" s="6" t="n">
        <f aca="false">Sens!F12179</f>
        <v>34.5793144783516</v>
      </c>
      <c r="G12236" s="6" t="n">
        <f aca="false">Sens!G12179</f>
        <v>60.7344906522989</v>
      </c>
      <c r="H12236" s="6" t="n">
        <f aca="false">Sens!H12179</f>
        <v>89.1000906614457</v>
      </c>
      <c r="I12236" s="6" t="n">
        <f aca="false">Sens!I12179</f>
        <v>114.231009694548</v>
      </c>
      <c r="J12236" s="6" t="n">
        <f aca="false">Sens!J12179</f>
        <v>132.015673049596</v>
      </c>
      <c r="K12236" s="6" t="n">
        <f aca="false">Sens!K12179</f>
        <v>143.012669550934</v>
      </c>
    </row>
    <row r="12237" customFormat="false" ht="17.15" hidden="false" customHeight="false" outlineLevel="0" collapsed="false">
      <c r="A12237" s="1" t="s">
        <v>1075</v>
      </c>
      <c r="B12237" s="0" t="s">
        <v>98</v>
      </c>
      <c r="E12237" s="6" t="n">
        <f aca="false">Sens!E12261</f>
        <v>22.2285940229167</v>
      </c>
      <c r="F12237" s="6" t="n">
        <f aca="false">Sens!F12261</f>
        <v>23.580344216413</v>
      </c>
      <c r="G12237" s="6" t="n">
        <f aca="false">Sens!G12261</f>
        <v>25.3810008818213</v>
      </c>
      <c r="H12237" s="6" t="n">
        <f aca="false">Sens!H12261</f>
        <v>27.5989835194742</v>
      </c>
      <c r="I12237" s="6" t="n">
        <f aca="false">Sens!I12261</f>
        <v>30.1581352985582</v>
      </c>
      <c r="J12237" s="6" t="n">
        <f aca="false">Sens!J12261</f>
        <v>32.9666318979719</v>
      </c>
      <c r="K12237" s="6" t="n">
        <f aca="false">Sens!K12261</f>
        <v>35.9403082779518</v>
      </c>
    </row>
    <row r="12238" customFormat="false" ht="17.15" hidden="false" customHeight="false" outlineLevel="0" collapsed="false">
      <c r="A12238" s="1" t="s">
        <v>1076</v>
      </c>
      <c r="B12238" s="0" t="s">
        <v>98</v>
      </c>
      <c r="D12238" s="6" t="n">
        <f aca="false">Q!L27</f>
        <v>-4.901</v>
      </c>
      <c r="E12238" s="6" t="n">
        <f aca="false">Q!M27</f>
        <v>10.697</v>
      </c>
      <c r="F12238" s="6" t="n">
        <f aca="false">Q!$I$27+oie_f*(q_per_yr-1)/q_per_yr</f>
        <v>-0.862</v>
      </c>
      <c r="G12238" s="6" t="n">
        <f aca="false">oie_f</f>
        <v>-1.2</v>
      </c>
      <c r="H12238" s="6" t="n">
        <f aca="false">oie_f</f>
        <v>-1.2</v>
      </c>
      <c r="I12238" s="6" t="n">
        <f aca="false">oie_f</f>
        <v>-1.2</v>
      </c>
      <c r="J12238" s="6" t="n">
        <f aca="false">oie_f</f>
        <v>-1.2</v>
      </c>
      <c r="K12238" s="6" t="n">
        <f aca="false">oie_f</f>
        <v>-1.2</v>
      </c>
      <c r="L12238" s="12" t="s">
        <v>1077</v>
      </c>
    </row>
    <row r="12239" customFormat="false" ht="15" hidden="false" customHeight="false" outlineLevel="0" collapsed="false">
      <c r="A12239" s="1" t="s">
        <v>1078</v>
      </c>
      <c r="B12239" s="0" t="s">
        <v>98</v>
      </c>
      <c r="D12239" s="6" t="n">
        <f aca="false">Sens!D12231+Sens!D12238</f>
        <v>123.627</v>
      </c>
      <c r="E12239" s="6" t="n">
        <f aca="false">Sens!E12231+Sens!E12238</f>
        <v>165.934</v>
      </c>
      <c r="F12239" s="6" t="n">
        <f aca="false">Sens!F12231+Sens!F12238</f>
        <v>184.498674995944</v>
      </c>
      <c r="G12239" s="6" t="n">
        <f aca="false">Sens!G12231+Sens!G12238</f>
        <v>210.038537933789</v>
      </c>
      <c r="H12239" s="6" t="n">
        <f aca="false">Sens!H12231+Sens!H12238</f>
        <v>245.102714955571</v>
      </c>
      <c r="I12239" s="6" t="n">
        <f aca="false">Sens!I12231+Sens!I12238</f>
        <v>271.923021451644</v>
      </c>
      <c r="J12239" s="6" t="n">
        <f aca="false">Sens!J12231+Sens!J12238</f>
        <v>295.262538064885</v>
      </c>
      <c r="K12239" s="6" t="n">
        <f aca="false">Sens!K12231+Sens!K12238</f>
        <v>316.456806620358</v>
      </c>
    </row>
    <row r="12240" customFormat="false" ht="15" hidden="false" customHeight="false" outlineLevel="0" collapsed="false">
      <c r="A12240" s="1" t="s">
        <v>1079</v>
      </c>
      <c r="B12240" s="0" t="s">
        <v>98</v>
      </c>
      <c r="D12240" s="6" t="n">
        <f aca="false">Q!L29</f>
        <v>21.795</v>
      </c>
      <c r="E12240" s="6" t="n">
        <f aca="false">Q!M29</f>
        <v>32.185</v>
      </c>
      <c r="F12240" s="6" t="n">
        <f aca="false">Q!$I$29+(Sens!F12239-Q!$I$28)*tax_f</f>
        <v>37.0331349991888</v>
      </c>
      <c r="G12240" s="6" t="n">
        <f aca="false">Sens!G12239*tax_f</f>
        <v>42.0077075867578</v>
      </c>
      <c r="H12240" s="6" t="n">
        <f aca="false">Sens!H12239*tax_f</f>
        <v>49.0205429911143</v>
      </c>
      <c r="I12240" s="6" t="n">
        <f aca="false">Sens!I12239*tax_f</f>
        <v>54.3846042903288</v>
      </c>
      <c r="J12240" s="6" t="n">
        <f aca="false">Sens!J12239*tax_f</f>
        <v>59.0525076129769</v>
      </c>
      <c r="K12240" s="6" t="n">
        <f aca="false">Sens!K12239*tax_f</f>
        <v>63.2913613240715</v>
      </c>
    </row>
    <row r="12241" customFormat="false" ht="15" hidden="false" customHeight="false" outlineLevel="0" collapsed="false">
      <c r="A12241" s="1" t="s">
        <v>1080</v>
      </c>
      <c r="B12241" s="0" t="s">
        <v>98</v>
      </c>
      <c r="D12241" s="6" t="n">
        <f aca="false">Sens!D12239-Sens!D12240</f>
        <v>101.832</v>
      </c>
      <c r="E12241" s="6" t="n">
        <f aca="false">Sens!E12239-Sens!E12240</f>
        <v>133.749</v>
      </c>
      <c r="F12241" s="6" t="n">
        <f aca="false">Sens!F12239-Sens!F12240</f>
        <v>147.465539996755</v>
      </c>
      <c r="G12241" s="6" t="n">
        <f aca="false">Sens!G12239-Sens!G12240</f>
        <v>168.030830347031</v>
      </c>
      <c r="H12241" s="6" t="n">
        <f aca="false">Sens!H12239-Sens!H12240</f>
        <v>196.082171964457</v>
      </c>
      <c r="I12241" s="6" t="n">
        <f aca="false">Sens!I12239-Sens!I12240</f>
        <v>217.538417161315</v>
      </c>
      <c r="J12241" s="6" t="n">
        <f aca="false">Sens!J12239-Sens!J12240</f>
        <v>236.210030451908</v>
      </c>
      <c r="K12241" s="6" t="n">
        <f aca="false">Sens!K12239-Sens!K12240</f>
        <v>253.165445296286</v>
      </c>
    </row>
    <row r="12242" customFormat="false" ht="17.15" hidden="false" customHeight="false" outlineLevel="0" collapsed="false">
      <c r="A12242" s="1" t="s">
        <v>1081</v>
      </c>
      <c r="B12242" s="1" t="s">
        <v>81</v>
      </c>
      <c r="D12242" s="15" t="n">
        <f aca="false">Q!L31</f>
        <v>7.465</v>
      </c>
      <c r="E12242" s="15" t="n">
        <f aca="false">Q!M31</f>
        <v>7.453</v>
      </c>
      <c r="F12242" s="15" t="n">
        <f aca="false">Sens!F12286</f>
        <v>7.47061231422852</v>
      </c>
      <c r="G12242" s="15" t="n">
        <f aca="false">Sens!G12286</f>
        <v>7.5098031266823</v>
      </c>
      <c r="H12242" s="15" t="n">
        <f aca="false">Sens!H12286</f>
        <v>7.53458156393636</v>
      </c>
      <c r="I12242" s="15" t="n">
        <f aca="false">Sens!I12286</f>
        <v>7.54626292799183</v>
      </c>
      <c r="J12242" s="15" t="n">
        <f aca="false">Sens!J12286</f>
        <v>7.5604123391543</v>
      </c>
      <c r="K12242" s="15" t="n">
        <f aca="false">Sens!K12286</f>
        <v>7.57684697911955</v>
      </c>
    </row>
    <row r="12243" customFormat="false" ht="17.15" hidden="false" customHeight="false" outlineLevel="0" collapsed="false">
      <c r="A12243" s="0" t="s">
        <v>1082</v>
      </c>
      <c r="B12243" s="0" t="s">
        <v>75</v>
      </c>
      <c r="D12243" s="8" t="n">
        <f aca="false">Sens!D12241/Sens!D12242</f>
        <v>13.641259209645</v>
      </c>
      <c r="E12243" s="8" t="n">
        <f aca="false">Sens!E12241/Sens!E12242</f>
        <v>17.9456594659869</v>
      </c>
      <c r="F12243" s="8" t="n">
        <f aca="false">Sens!F12241/Sens!F12242</f>
        <v>19.7394181084584</v>
      </c>
      <c r="G12243" s="8" t="n">
        <f aca="false">Sens!G12241/Sens!G12242</f>
        <v>22.3748648949289</v>
      </c>
      <c r="H12243" s="8" t="n">
        <f aca="false">Sens!H12241/Sens!H12242</f>
        <v>26.0242948198992</v>
      </c>
      <c r="I12243" s="8" t="n">
        <f aca="false">Sens!I12241/Sens!I12242</f>
        <v>28.8273042215884</v>
      </c>
      <c r="J12243" s="8" t="n">
        <f aca="false">Sens!J12241/Sens!J12242</f>
        <v>31.2430089597904</v>
      </c>
      <c r="K12243" s="8" t="n">
        <f aca="false">Sens!K12241/Sens!K12242</f>
        <v>33.4130339432703</v>
      </c>
      <c r="L12243" s="1" t="s">
        <v>1083</v>
      </c>
    </row>
    <row r="12244" customFormat="false" ht="17.15" hidden="false" customHeight="false" outlineLevel="0" collapsed="false">
      <c r="A12244" s="1" t="s">
        <v>1084</v>
      </c>
      <c r="B12244" s="0" t="s">
        <v>98</v>
      </c>
      <c r="D12244" s="6" t="n">
        <f aca="false">Sens!D12241</f>
        <v>101.832</v>
      </c>
      <c r="E12244" s="6" t="n">
        <f aca="false">Sens!E12241</f>
        <v>133.749</v>
      </c>
      <c r="F12244" s="6" t="n">
        <f aca="false">Sens!F12241+Sens!F12234*(1-tax_f)</f>
        <v>154.572265393005</v>
      </c>
      <c r="G12244" s="6" t="n">
        <f aca="false">Sens!G12241+Sens!G12234*(1-tax_f)</f>
        <v>186.195654760653</v>
      </c>
      <c r="H12244" s="6" t="n">
        <f aca="false">Sens!H12241+Sens!H12234*(1-tax_f)</f>
        <v>226.483648155023</v>
      </c>
      <c r="I12244" s="6" t="n">
        <f aca="false">Sens!I12241+Sens!I12234*(1-tax_f)</f>
        <v>259.248904737729</v>
      </c>
      <c r="J12244" s="6" t="n">
        <f aca="false">Sens!J12241+Sens!J12234*(1-tax_f)</f>
        <v>285.857695966659</v>
      </c>
      <c r="K12244" s="6" t="n">
        <f aca="false">Sens!K12241+Sens!K12234*(1-tax_f)</f>
        <v>306.829550312788</v>
      </c>
    </row>
    <row r="12245" customFormat="false" ht="17.15" hidden="false" customHeight="false" outlineLevel="0" collapsed="false">
      <c r="A12245" s="0" t="s">
        <v>1085</v>
      </c>
      <c r="B12245" s="0" t="s">
        <v>75</v>
      </c>
      <c r="D12245" s="8" t="n">
        <f aca="false">Sens!D12244/Sens!D12242</f>
        <v>13.641259209645</v>
      </c>
      <c r="E12245" s="8" t="n">
        <f aca="false">Sens!E12244/Sens!E12242</f>
        <v>17.9456594659869</v>
      </c>
      <c r="F12245" s="8" t="n">
        <f aca="false">Sens!F12244/Sens!F12242</f>
        <v>20.6907089929706</v>
      </c>
      <c r="G12245" s="8" t="n">
        <f aca="false">Sens!G12244/Sens!G12242</f>
        <v>24.7936798901027</v>
      </c>
      <c r="H12245" s="8" t="n">
        <f aca="false">Sens!H12244/Sens!H12242</f>
        <v>30.0592204401991</v>
      </c>
      <c r="I12245" s="8" t="n">
        <f aca="false">Sens!I12244/Sens!I12242</f>
        <v>34.3546079975667</v>
      </c>
      <c r="J12245" s="8" t="n">
        <f aca="false">Sens!J12244/Sens!J12242</f>
        <v>37.8098023154429</v>
      </c>
      <c r="K12245" s="8" t="n">
        <f aca="false">Sens!K12244/Sens!K12242</f>
        <v>40.4956773125227</v>
      </c>
      <c r="L12245" s="1" t="s">
        <v>1086</v>
      </c>
    </row>
    <row r="12246" customFormat="false" ht="17.15" hidden="false" customHeight="false" outlineLevel="0" collapsed="false">
      <c r="A12246" s="0" t="s">
        <v>1087</v>
      </c>
      <c r="B12246" s="0" t="s">
        <v>168</v>
      </c>
      <c r="E12246" s="7" t="n">
        <f aca="false">Sens!E12245/Sens!D12245-1</f>
        <v>0.315542736208578</v>
      </c>
      <c r="F12246" s="7" t="n">
        <f aca="false">Sens!F12245/Sens!E12245-1</f>
        <v>0.152964538984291</v>
      </c>
      <c r="G12246" s="7" t="n">
        <f aca="false">Sens!G12245/Sens!F12245-1</f>
        <v>0.198300159676791</v>
      </c>
      <c r="H12246" s="7" t="n">
        <f aca="false">Sens!H12245/Sens!G12245-1</f>
        <v>0.212374305606743</v>
      </c>
      <c r="I12246" s="7" t="n">
        <f aca="false">Sens!I12245/Sens!H12245-1</f>
        <v>0.142897503476944</v>
      </c>
      <c r="J12246" s="7" t="n">
        <f aca="false">Sens!J12245/Sens!I12245-1</f>
        <v>0.100574406732305</v>
      </c>
      <c r="K12246" s="7" t="n">
        <f aca="false">Sens!K12245/Sens!J12245-1</f>
        <v>0.071036472887952</v>
      </c>
    </row>
    <row r="12247" customFormat="false" ht="17.15" hidden="false" customHeight="false" outlineLevel="0" collapsed="false">
      <c r="A12247" s="0" t="s">
        <v>1007</v>
      </c>
      <c r="B12247" s="0" t="s">
        <v>98</v>
      </c>
      <c r="E12247" s="6" t="n">
        <f aca="false">Sens!E12188</f>
        <v>5.25</v>
      </c>
      <c r="F12247" s="6" t="n">
        <f aca="false">Sens!F12188</f>
        <v>13.5</v>
      </c>
      <c r="G12247" s="6" t="n">
        <f aca="false">Sens!G12188</f>
        <v>22.5</v>
      </c>
      <c r="H12247" s="6" t="n">
        <f aca="false">Sens!H12188</f>
        <v>31.5</v>
      </c>
      <c r="I12247" s="6" t="n">
        <f aca="false">Sens!I12188</f>
        <v>38.25</v>
      </c>
      <c r="J12247" s="6" t="n">
        <f aca="false">Sens!J12188</f>
        <v>42.75</v>
      </c>
      <c r="K12247" s="6" t="n">
        <f aca="false">Sens!K12188</f>
        <v>47.25</v>
      </c>
    </row>
    <row r="12248" customFormat="false" ht="17.15" hidden="false" customHeight="false" outlineLevel="0" collapsed="false">
      <c r="A12248" s="1" t="s">
        <v>1008</v>
      </c>
      <c r="B12248" s="0" t="s">
        <v>98</v>
      </c>
      <c r="F12248" s="6" t="n">
        <f aca="false">MAX(0,((Sens!E12148+Sens!F12148)/2-(shadow_base*(Sens!$D$12148+Sens!$E$12148)/2+(1-shadow_base)*Sens!$E$12148))*Sens!F12157/1000-(Sens!F12247-Sens!$E$12247)*Sens!F12227)</f>
        <v>8.88340674531245</v>
      </c>
      <c r="G12248" s="6" t="n">
        <f aca="false">MAX(0,((Sens!F12148+Sens!G12148)/2-(shadow_base*(Sens!$D$12148+Sens!$E$12148)/2+(1-shadow_base)*Sens!$E$12148))*Sens!G12157/1000-(Sens!G12247-Sens!$E$12247)*Sens!G12227)</f>
        <v>22.7060305170273</v>
      </c>
      <c r="H12248" s="6" t="n">
        <f aca="false">MAX(0,((Sens!G12148+Sens!H12148)/2-(shadow_base*(Sens!$D$12148+Sens!$E$12148)/2+(1-shadow_base)*Sens!$E$12148))*Sens!H12157/1000-(Sens!H12247-Sens!$E$12247)*Sens!H12227)</f>
        <v>38.0018452382075</v>
      </c>
      <c r="I12248" s="6" t="n">
        <f aca="false">MAX(0,((Sens!H12148+Sens!I12148)/2-(shadow_base*(Sens!$D$12148+Sens!$E$12148)/2+(1-shadow_base)*Sens!$E$12148))*Sens!I12157/1000-(Sens!I12247-Sens!$E$12247)*Sens!I12227)</f>
        <v>52.1381094705177</v>
      </c>
      <c r="J12248" s="6" t="n">
        <f aca="false">MAX(0,((Sens!I12148+Sens!J12148)/2-(shadow_base*(Sens!$D$12148+Sens!$E$12148)/2+(1-shadow_base)*Sens!$E$12148))*Sens!J12157/1000-(Sens!J12247-Sens!$E$12247)*Sens!J12227)</f>
        <v>62.0595818934393</v>
      </c>
      <c r="K12248" s="6" t="n">
        <f aca="false">MAX(0,((Sens!J12148+Sens!K12148)/2-(shadow_base*(Sens!$D$12148+Sens!$E$12148)/2+(1-shadow_base)*Sens!$E$12148))*Sens!K12157/1000-(Sens!K12247-Sens!$E$12247)*Sens!K12227)</f>
        <v>67.0801312706266</v>
      </c>
      <c r="L12248" s="1" t="s">
        <v>1009</v>
      </c>
    </row>
    <row r="12249" customFormat="false" ht="17.15" hidden="false" customHeight="false" outlineLevel="0" collapsed="false">
      <c r="A12249" s="1" t="s">
        <v>1010</v>
      </c>
      <c r="B12249" s="0" t="s">
        <v>98</v>
      </c>
      <c r="F12249" s="6" t="n">
        <f aca="false">IF(internal_ai_reading=2,1,0)*Sens!F12248</f>
        <v>8.88340674531245</v>
      </c>
      <c r="G12249" s="6" t="n">
        <f aca="false">IF(internal_ai_reading=2,1,0)*Sens!G12248</f>
        <v>22.7060305170273</v>
      </c>
      <c r="H12249" s="6" t="n">
        <f aca="false">IF(internal_ai_reading=2,1,0)*Sens!H12248</f>
        <v>38.0018452382075</v>
      </c>
      <c r="I12249" s="6" t="n">
        <f aca="false">IF(internal_ai_reading=2,1,0)*Sens!I12248</f>
        <v>52.1381094705177</v>
      </c>
      <c r="J12249" s="6" t="n">
        <f aca="false">IF(internal_ai_reading=2,1,0)*Sens!J12248</f>
        <v>62.0595818934393</v>
      </c>
      <c r="K12249" s="6" t="n">
        <f aca="false">IF(internal_ai_reading=2,1,0)*Sens!K12248</f>
        <v>67.0801312706266</v>
      </c>
    </row>
    <row r="12250" customFormat="false" ht="17.15" hidden="false" customHeight="false" outlineLevel="0" collapsed="false">
      <c r="A12250" s="0" t="s">
        <v>1011</v>
      </c>
      <c r="B12250" s="0" t="s">
        <v>98</v>
      </c>
      <c r="F12250" s="6" t="n">
        <f aca="false">Sens!F12167+Sens!F12247*Sens!F12227+Sens!F12249-Sens!F12168-Sens!F12179</f>
        <v>18.5068678152817</v>
      </c>
      <c r="G12250" s="6" t="n">
        <f aca="false">Sens!G12167+Sens!G12247*Sens!G12227+Sens!G12249-Sens!G12168-Sens!G12179</f>
        <v>43.1983864982792</v>
      </c>
      <c r="H12250" s="6" t="n">
        <f aca="false">Sens!H12167+Sens!H12247*Sens!H12227+Sens!H12249-Sens!H12168-Sens!H12179</f>
        <v>73.502598356074</v>
      </c>
      <c r="I12250" s="6" t="n">
        <f aca="false">Sens!I12167+Sens!I12247*Sens!I12227+Sens!I12249-Sens!I12168-Sens!I12179</f>
        <v>94.7454135378504</v>
      </c>
      <c r="J12250" s="6" t="n">
        <f aca="false">Sens!J12167+Sens!J12247*Sens!J12227+Sens!J12249-Sens!J12168-Sens!J12179</f>
        <v>109.399608126358</v>
      </c>
      <c r="K12250" s="6" t="n">
        <f aca="false">Sens!K12167+Sens!K12247*Sens!K12227+Sens!K12249-Sens!K12168-Sens!K12179</f>
        <v>118.898703181943</v>
      </c>
    </row>
    <row r="12251" customFormat="false" ht="17.15" hidden="false" customHeight="false" outlineLevel="0" collapsed="false">
      <c r="A12251" s="0" t="s">
        <v>1012</v>
      </c>
      <c r="B12251" s="0" t="s">
        <v>98</v>
      </c>
      <c r="E12251" s="6" t="n">
        <f aca="false">Sens!E12147*(cxit_open+self_build*tk_cxfac)/1000*ai_net_open</f>
        <v>126.6980382</v>
      </c>
      <c r="F12251" s="6" t="n">
        <f aca="false">Sens!E12251+Sens!F12176-Sens!F12179</f>
        <v>260.572627763768</v>
      </c>
      <c r="G12251" s="6" t="n">
        <f aca="false">Sens!F12251+Sens!G12176-Sens!G12179</f>
        <v>391.782612760517</v>
      </c>
      <c r="H12251" s="6" t="n">
        <f aca="false">Sens!G12251+Sens!H12176-Sens!H12179</f>
        <v>499.488526163584</v>
      </c>
      <c r="I12251" s="6" t="n">
        <f aca="false">Sens!H12251+Sens!I12176-Sens!I12179</f>
        <v>553.872350090646</v>
      </c>
      <c r="J12251" s="6" t="n">
        <f aca="false">Sens!I12251+Sens!J12176-Sens!J12179</f>
        <v>550.78660823699</v>
      </c>
      <c r="K12251" s="6" t="n">
        <f aca="false">Sens!J12251+Sens!K12176-Sens!K12179</f>
        <v>526.736791750789</v>
      </c>
      <c r="L12251" s="1" t="s">
        <v>1013</v>
      </c>
    </row>
    <row r="12252" customFormat="false" ht="17.15" hidden="false" customHeight="false" outlineLevel="0" collapsed="false">
      <c r="A12252" s="0" t="s">
        <v>1014</v>
      </c>
      <c r="B12252" s="0" t="s">
        <v>168</v>
      </c>
      <c r="F12252" s="7" t="n">
        <f aca="false">Sens!F12250*(1-tax_f)/((Sens!E12251+Sens!F12251)/2)</f>
        <v>0.0764607059271074</v>
      </c>
      <c r="G12252" s="7" t="n">
        <f aca="false">Sens!G12250*(1-tax_f)/((Sens!F12251+Sens!G12251)/2)</f>
        <v>0.105950583522098</v>
      </c>
      <c r="H12252" s="7" t="n">
        <f aca="false">Sens!H12250*(1-tax_f)/((Sens!G12251+Sens!H12251)/2)</f>
        <v>0.131951044114011</v>
      </c>
      <c r="I12252" s="7" t="n">
        <f aca="false">Sens!I12250*(1-tax_f)/((Sens!H12251+Sens!I12251)/2)</f>
        <v>0.143913320760143</v>
      </c>
      <c r="J12252" s="7" t="n">
        <f aca="false">Sens!J12250*(1-tax_f)/((Sens!I12251+Sens!J12251)/2)</f>
        <v>0.158455577336889</v>
      </c>
      <c r="K12252" s="7" t="n">
        <f aca="false">Sens!K12250*(1-tax_f)/((Sens!J12251+Sens!K12251)/2)</f>
        <v>0.176551084731214</v>
      </c>
    </row>
    <row r="12253" customFormat="false" ht="17.15" hidden="false" customHeight="false" outlineLevel="0" collapsed="false">
      <c r="A12253" s="1" t="s">
        <v>1015</v>
      </c>
      <c r="B12253" s="0" t="s">
        <v>168</v>
      </c>
      <c r="F12253" s="7" t="n">
        <f aca="false">(Sens!F12250-Sens!F12249)*(1-tax_f)/((Sens!E12251+Sens!F12251)/2)</f>
        <v>0.0397591118181705</v>
      </c>
      <c r="G12253" s="7" t="n">
        <f aca="false">(Sens!G12250-Sens!G12249)*(1-tax_f)/((Sens!F12251+Sens!G12251)/2)</f>
        <v>0.0502606057761598</v>
      </c>
      <c r="H12253" s="7" t="n">
        <f aca="false">(Sens!H12250-Sens!H12249)*(1-tax_f)/((Sens!G12251+Sens!H12251)/2)</f>
        <v>0.0637305557287023</v>
      </c>
      <c r="I12253" s="7" t="n">
        <f aca="false">(Sens!I12250-Sens!I12249)*(1-tax_f)/((Sens!H12251+Sens!I12251)/2)</f>
        <v>0.0647182632699936</v>
      </c>
      <c r="J12253" s="7" t="n">
        <f aca="false">(Sens!J12250-Sens!J12249)*(1-tax_f)/((Sens!I12251+Sens!J12251)/2)</f>
        <v>0.0685678067440289</v>
      </c>
      <c r="K12253" s="7" t="n">
        <f aca="false">(Sens!K12250-Sens!K12249)*(1-tax_f)/((Sens!J12251+Sens!K12251)/2)</f>
        <v>0.0769447002812616</v>
      </c>
    </row>
    <row r="12254" customFormat="false" ht="17.15" hidden="false" customHeight="false" outlineLevel="0" collapsed="false">
      <c r="A12254" s="1" t="s">
        <v>1016</v>
      </c>
      <c r="B12254" s="0" t="s">
        <v>168</v>
      </c>
      <c r="F12254" s="7" t="n">
        <f aca="false">(Sens!F12250-Sens!F12249+Sens!F12248)*(1-tax_f)/((Sens!E12251+Sens!F12251)/2)</f>
        <v>0.0764607059271074</v>
      </c>
      <c r="G12254" s="7" t="n">
        <f aca="false">(Sens!G12250-Sens!G12249+Sens!G12248)*(1-tax_f)/((Sens!F12251+Sens!G12251)/2)</f>
        <v>0.105950583522098</v>
      </c>
      <c r="H12254" s="7" t="n">
        <f aca="false">(Sens!H12250-Sens!H12249+Sens!H12248)*(1-tax_f)/((Sens!G12251+Sens!H12251)/2)</f>
        <v>0.131951044114011</v>
      </c>
      <c r="I12254" s="7" t="n">
        <f aca="false">(Sens!I12250-Sens!I12249+Sens!I12248)*(1-tax_f)/((Sens!H12251+Sens!I12251)/2)</f>
        <v>0.143913320760143</v>
      </c>
      <c r="J12254" s="7" t="n">
        <f aca="false">(Sens!J12250-Sens!J12249+Sens!J12248)*(1-tax_f)/((Sens!I12251+Sens!J12251)/2)</f>
        <v>0.158455577336889</v>
      </c>
      <c r="K12254" s="7" t="n">
        <f aca="false">(Sens!K12250-Sens!K12249+Sens!K12248)*(1-tax_f)/((Sens!J12251+Sens!K12251)/2)</f>
        <v>0.176551084731214</v>
      </c>
    </row>
    <row r="12255" customFormat="false" ht="17.15" hidden="false" customHeight="false" outlineLevel="0" collapsed="false">
      <c r="A12255" s="1" t="s">
        <v>1017</v>
      </c>
      <c r="B12255" s="0" t="s">
        <v>168</v>
      </c>
      <c r="F12255" s="7" t="n">
        <f aca="false">Sens!F12180*(1-tax_f)/(Sens!F12166*(Sens!E12251+Sens!F12251)/2)</f>
        <v>0.15471433083293</v>
      </c>
      <c r="G12255" s="7" t="n">
        <f aca="false">Sens!G12180*(1-tax_f)/(Sens!G12166*(Sens!F12251+Sens!G12251)/2)</f>
        <v>0.176916911437355</v>
      </c>
      <c r="H12255" s="7" t="n">
        <f aca="false">Sens!H12180*(1-tax_f)/(Sens!H12166*(Sens!G12251+Sens!H12251)/2)</f>
        <v>0.207487057996582</v>
      </c>
      <c r="I12255" s="7" t="n">
        <f aca="false">Sens!I12180*(1-tax_f)/(Sens!I12166*(Sens!H12251+Sens!I12251)/2)</f>
        <v>0.219873660070946</v>
      </c>
      <c r="J12255" s="7" t="n">
        <f aca="false">Sens!J12180*(1-tax_f)/(Sens!J12166*(Sens!I12251+Sens!J12251)/2)</f>
        <v>0.238959457974928</v>
      </c>
      <c r="K12255" s="7" t="n">
        <f aca="false">Sens!K12180*(1-tax_f)/(Sens!K12166*(Sens!J12251+Sens!K12251)/2)</f>
        <v>0.264604270651536</v>
      </c>
    </row>
    <row r="12256" customFormat="false" ht="17.15" hidden="false" customHeight="false" outlineLevel="0" collapsed="false">
      <c r="A12256" s="0" t="s">
        <v>1018</v>
      </c>
      <c r="B12256" s="0" t="s">
        <v>253</v>
      </c>
      <c r="F12256" s="7" t="n">
        <f aca="false">Sens!F12252-wacc</f>
        <v>-0.0264758850184899</v>
      </c>
      <c r="G12256" s="7" t="n">
        <f aca="false">Sens!G12252-wacc</f>
        <v>0.00301399257650095</v>
      </c>
      <c r="H12256" s="7" t="n">
        <f aca="false">Sens!H12252-wacc</f>
        <v>0.0290144531684132</v>
      </c>
      <c r="I12256" s="7" t="n">
        <f aca="false">Sens!I12252-wacc</f>
        <v>0.0409767298145461</v>
      </c>
      <c r="J12256" s="7" t="n">
        <f aca="false">Sens!J12252-wacc</f>
        <v>0.0555189863912922</v>
      </c>
      <c r="K12256" s="7" t="n">
        <f aca="false">Sens!K12252-wacc</f>
        <v>0.0736144937856168</v>
      </c>
    </row>
    <row r="12257" customFormat="false" ht="17.15" hidden="false" customHeight="false" outlineLevel="0" collapsed="false">
      <c r="A12257" s="0" t="s">
        <v>1019</v>
      </c>
      <c r="B12257" s="0" t="s">
        <v>98</v>
      </c>
      <c r="F12257" s="6" t="n">
        <f aca="false">Sens!F12250*(1-tax_f)-wacc*(Sens!E12251+Sens!F12251)/2</f>
        <v>-5.12666681154535</v>
      </c>
      <c r="G12257" s="6" t="n">
        <f aca="false">Sens!G12250*(1-tax_f)-wacc*(Sens!F12251+Sens!G12251)/2</f>
        <v>0.983096926090845</v>
      </c>
      <c r="H12257" s="6" t="n">
        <f aca="false">Sens!H12250*(1-tax_f)-wacc*(Sens!G12251+Sens!H12251)/2</f>
        <v>12.9298723603358</v>
      </c>
      <c r="I12257" s="6" t="n">
        <f aca="false">Sens!I12250*(1-tax_f)-wacc*(Sens!H12251+Sens!I12251)/2</f>
        <v>21.5816420117415</v>
      </c>
      <c r="J12257" s="6" t="n">
        <f aca="false">Sens!J12250*(1-tax_f)-wacc*(Sens!I12251+Sens!J12251)/2</f>
        <v>30.6647728372055</v>
      </c>
      <c r="K12257" s="6" t="n">
        <f aca="false">Sens!K12250*(1-tax_f)-wacc*(Sens!J12251+Sens!K12251)/2</f>
        <v>39.6606698161285</v>
      </c>
    </row>
    <row r="12258" customFormat="false" ht="17.15" hidden="false" customHeight="false" outlineLevel="0" collapsed="false">
      <c r="A12258" s="3" t="s">
        <v>1918</v>
      </c>
    </row>
    <row r="12259" customFormat="false" ht="15" hidden="false" customHeight="false" outlineLevel="0" collapsed="false">
      <c r="A12259" s="4" t="s">
        <v>43</v>
      </c>
      <c r="B12259" s="4" t="s">
        <v>65</v>
      </c>
      <c r="C12259" s="23" t="s">
        <v>942</v>
      </c>
      <c r="D12259" s="23" t="s">
        <v>943</v>
      </c>
      <c r="E12259" s="23" t="s">
        <v>944</v>
      </c>
      <c r="F12259" s="23" t="s">
        <v>945</v>
      </c>
      <c r="G12259" s="23" t="s">
        <v>946</v>
      </c>
      <c r="H12259" s="23" t="s">
        <v>947</v>
      </c>
      <c r="I12259" s="23" t="s">
        <v>948</v>
      </c>
      <c r="J12259" s="23" t="s">
        <v>949</v>
      </c>
      <c r="K12259" s="23" t="s">
        <v>950</v>
      </c>
      <c r="L12259" s="4" t="s">
        <v>47</v>
      </c>
    </row>
    <row r="12260" customFormat="false" ht="15" hidden="false" customHeight="false" outlineLevel="0" collapsed="false">
      <c r="A12260" s="1" t="s">
        <v>1080</v>
      </c>
      <c r="B12260" s="0" t="s">
        <v>98</v>
      </c>
      <c r="F12260" s="6" t="n">
        <f aca="false">Sens!F12241</f>
        <v>147.465539996755</v>
      </c>
      <c r="G12260" s="6" t="n">
        <f aca="false">Sens!G12241</f>
        <v>168.030830347031</v>
      </c>
      <c r="H12260" s="6" t="n">
        <f aca="false">Sens!H12241</f>
        <v>196.082171964457</v>
      </c>
      <c r="I12260" s="6" t="n">
        <f aca="false">Sens!I12241</f>
        <v>217.538417161315</v>
      </c>
      <c r="J12260" s="6" t="n">
        <f aca="false">Sens!J12241</f>
        <v>236.210030451908</v>
      </c>
      <c r="K12260" s="6" t="n">
        <f aca="false">Sens!K12241</f>
        <v>253.165445296286</v>
      </c>
    </row>
    <row r="12261" customFormat="false" ht="17.15" hidden="false" customHeight="false" outlineLevel="0" collapsed="false">
      <c r="A12261" s="1" t="s">
        <v>1102</v>
      </c>
      <c r="B12261" s="0" t="s">
        <v>98</v>
      </c>
      <c r="E12261" s="6" t="n">
        <f aca="false">Q!M38-Sens!E12179</f>
        <v>22.2285940229167</v>
      </c>
      <c r="F12261" s="6" t="n">
        <f aca="false">Sens!E12261*(1-1/life_nonai)+(Sens!F12269+Sens!F12270)/life_nonai</f>
        <v>23.580344216413</v>
      </c>
      <c r="G12261" s="6" t="n">
        <f aca="false">Sens!F12261*(1-1/life_nonai)+(Sens!G12269)/life_nonai</f>
        <v>25.3810008818213</v>
      </c>
      <c r="H12261" s="6" t="n">
        <f aca="false">Sens!G12261*(1-1/life_nonai)+(Sens!H12269)/life_nonai</f>
        <v>27.5989835194742</v>
      </c>
      <c r="I12261" s="6" t="n">
        <f aca="false">Sens!H12261*(1-1/life_nonai)+(Sens!I12269)/life_nonai</f>
        <v>30.1581352985582</v>
      </c>
      <c r="J12261" s="6" t="n">
        <f aca="false">Sens!I12261*(1-1/life_nonai)+(Sens!J12269)/life_nonai</f>
        <v>32.9666318979719</v>
      </c>
      <c r="K12261" s="6" t="n">
        <f aca="false">Sens!J12261*(1-1/life_nonai)+(Sens!K12269)/life_nonai</f>
        <v>35.9403082779518</v>
      </c>
      <c r="L12261" s="12" t="s">
        <v>1103</v>
      </c>
    </row>
    <row r="12262" customFormat="false" ht="17.15" hidden="false" customHeight="false" outlineLevel="0" collapsed="false">
      <c r="A12262" s="1" t="s">
        <v>1104</v>
      </c>
      <c r="B12262" s="0" t="s">
        <v>98</v>
      </c>
      <c r="F12262" s="6" t="n">
        <f aca="false">Sens!$F$12270/life_nonai*(1-1/life_nonai)^(Sens!F12142-2027)</f>
        <v>0.00451351452575608</v>
      </c>
      <c r="G12262" s="6" t="n">
        <f aca="false">Sens!$F$12270/life_nonai*(1-1/life_nonai)^(Sens!G12142-2027)</f>
        <v>0.00406216307318047</v>
      </c>
      <c r="H12262" s="6" t="n">
        <f aca="false">Sens!$F$12270/life_nonai*(1-1/life_nonai)^(Sens!H12142-2027)</f>
        <v>0.00365594676586242</v>
      </c>
      <c r="I12262" s="6" t="n">
        <f aca="false">Sens!$F$12270/life_nonai*(1-1/life_nonai)^(Sens!I12142-2027)</f>
        <v>0.00329035208927618</v>
      </c>
      <c r="J12262" s="6" t="n">
        <f aca="false">Sens!$F$12270/life_nonai*(1-1/life_nonai)^(Sens!J12142-2027)</f>
        <v>0.00296131688034856</v>
      </c>
      <c r="K12262" s="6" t="n">
        <f aca="false">Sens!$F$12270/life_nonai*(1-1/life_nonai)^(Sens!K12142-2027)</f>
        <v>0.00266518519231371</v>
      </c>
      <c r="L12262" s="1" t="s">
        <v>1105</v>
      </c>
    </row>
    <row r="12263" customFormat="false" ht="17.15" hidden="false" customHeight="false" outlineLevel="0" collapsed="false">
      <c r="A12263" s="1" t="s">
        <v>1106</v>
      </c>
      <c r="B12263" s="0" t="s">
        <v>98</v>
      </c>
      <c r="E12263" s="6" t="n">
        <f aca="false">Sens!E12179+Sens!E12261</f>
        <v>38.534</v>
      </c>
      <c r="F12263" s="6" t="n">
        <f aca="false">Sens!F12179+Sens!F12261</f>
        <v>58.1596586947647</v>
      </c>
      <c r="G12263" s="6" t="n">
        <f aca="false">Sens!G12179+Sens!G12261</f>
        <v>86.1154915341202</v>
      </c>
      <c r="H12263" s="6" t="n">
        <f aca="false">Sens!H12179+Sens!H12261</f>
        <v>116.69907418092</v>
      </c>
      <c r="I12263" s="6" t="n">
        <f aca="false">Sens!I12179+Sens!I12261</f>
        <v>144.389144993107</v>
      </c>
      <c r="J12263" s="6" t="n">
        <f aca="false">Sens!J12179+Sens!J12261</f>
        <v>164.982304947568</v>
      </c>
      <c r="K12263" s="6" t="n">
        <f aca="false">Sens!K12179+Sens!K12261</f>
        <v>178.952977828886</v>
      </c>
    </row>
    <row r="12264" customFormat="false" ht="17.15" hidden="false" customHeight="false" outlineLevel="0" collapsed="false">
      <c r="A12264" s="1" t="s">
        <v>1107</v>
      </c>
      <c r="B12264" s="0" t="s">
        <v>98</v>
      </c>
      <c r="F12264" s="6" t="n">
        <f aca="false">Sens!F12206*sbc_r</f>
        <v>15.0711126185766</v>
      </c>
      <c r="G12264" s="6" t="n">
        <f aca="false">Sens!G12206*sbc_r</f>
        <v>18.394855348607</v>
      </c>
      <c r="H12264" s="6" t="n">
        <f aca="false">Sens!H12206*sbc_r</f>
        <v>21.976356697417</v>
      </c>
      <c r="I12264" s="6" t="n">
        <f aca="false">Sens!I12206*sbc_r</f>
        <v>25.030933737818</v>
      </c>
      <c r="J12264" s="6" t="n">
        <f aca="false">Sens!J12206*sbc_r</f>
        <v>27.496299451711</v>
      </c>
      <c r="K12264" s="6" t="n">
        <f aca="false">Sens!K12206*sbc_r</f>
        <v>29.4667832862793</v>
      </c>
    </row>
    <row r="12265" customFormat="false" ht="17.15" hidden="false" customHeight="false" outlineLevel="0" collapsed="false">
      <c r="A12265" s="1" t="s">
        <v>1108</v>
      </c>
      <c r="B12265" s="0" t="s">
        <v>98</v>
      </c>
      <c r="F12265" s="6" t="n">
        <f aca="false">wc27-wc26q1</f>
        <v>-4.677</v>
      </c>
      <c r="G12265" s="6" t="n">
        <f aca="false">wc_f</f>
        <v>0</v>
      </c>
      <c r="H12265" s="6" t="n">
        <f aca="false">wc_f</f>
        <v>0</v>
      </c>
      <c r="I12265" s="6" t="n">
        <f aca="false">wc_f</f>
        <v>0</v>
      </c>
      <c r="J12265" s="6" t="n">
        <f aca="false">wc_f</f>
        <v>0</v>
      </c>
      <c r="K12265" s="6" t="n">
        <f aca="false">wc_f</f>
        <v>0</v>
      </c>
      <c r="L12265" s="12" t="s">
        <v>1109</v>
      </c>
    </row>
    <row r="12266" customFormat="false" ht="17.15" hidden="false" customHeight="false" outlineLevel="0" collapsed="false">
      <c r="A12266" s="0" t="s">
        <v>1110</v>
      </c>
      <c r="B12266" s="0" t="s">
        <v>98</v>
      </c>
      <c r="F12266" s="6" t="n">
        <f aca="false">Q!$I$35-Q!$I$26-Q!$I$38-Q!$I$39</f>
        <v>6.493</v>
      </c>
      <c r="L12266" s="1" t="s">
        <v>1111</v>
      </c>
    </row>
    <row r="12267" customFormat="false" ht="15" hidden="false" customHeight="false" outlineLevel="0" collapsed="false">
      <c r="A12267" s="1" t="s">
        <v>908</v>
      </c>
      <c r="B12267" s="0" t="s">
        <v>98</v>
      </c>
      <c r="E12267" s="6" t="n">
        <f aca="false">Q!M35</f>
        <v>182.935</v>
      </c>
      <c r="F12267" s="6" t="n">
        <f aca="false">Sens!F12260+Sens!F12263+Sens!F12264+Sens!F12265+Sens!F12266</f>
        <v>222.512311310096</v>
      </c>
      <c r="G12267" s="6" t="n">
        <f aca="false">Sens!G12260+Sens!G12263+Sens!G12264+Sens!G12265</f>
        <v>272.541177229759</v>
      </c>
      <c r="H12267" s="6" t="n">
        <f aca="false">Sens!H12260+Sens!H12263+Sens!H12264+Sens!H12265</f>
        <v>334.757602842794</v>
      </c>
      <c r="I12267" s="6" t="n">
        <f aca="false">Sens!I12260+Sens!I12263+Sens!I12264+Sens!I12265</f>
        <v>386.95849589224</v>
      </c>
      <c r="J12267" s="6" t="n">
        <f aca="false">Sens!J12260+Sens!J12263+Sens!J12264+Sens!J12265</f>
        <v>428.688634851187</v>
      </c>
      <c r="K12267" s="6" t="n">
        <f aca="false">Sens!K12260+Sens!K12263+Sens!K12264+Sens!K12265</f>
        <v>461.585206411451</v>
      </c>
    </row>
    <row r="12268" customFormat="false" ht="17.15" hidden="false" customHeight="false" outlineLevel="0" collapsed="false">
      <c r="A12268" s="0" t="s">
        <v>1112</v>
      </c>
      <c r="B12268" s="0" t="s">
        <v>98</v>
      </c>
      <c r="F12268" s="6" t="n">
        <f aca="false">Sens!F12176</f>
        <v>168.45390404212</v>
      </c>
      <c r="G12268" s="6" t="n">
        <f aca="false">Sens!G12176</f>
        <v>191.944475649048</v>
      </c>
      <c r="H12268" s="6" t="n">
        <f aca="false">Sens!H12176</f>
        <v>196.806004064512</v>
      </c>
      <c r="I12268" s="6" t="n">
        <f aca="false">Sens!I12176</f>
        <v>168.61483362161</v>
      </c>
      <c r="J12268" s="6" t="n">
        <f aca="false">Sens!J12176</f>
        <v>128.92993119594</v>
      </c>
      <c r="K12268" s="6" t="n">
        <f aca="false">Sens!K12176</f>
        <v>118.962853064733</v>
      </c>
    </row>
    <row r="12269" customFormat="false" ht="17.15" hidden="false" customHeight="false" outlineLevel="0" collapsed="false">
      <c r="A12269" s="1" t="s">
        <v>1113</v>
      </c>
      <c r="B12269" s="0" t="s">
        <v>98</v>
      </c>
      <c r="E12269" s="6" t="n">
        <f aca="false">Sens!E12184*cx_azo+Sens!E12191*cx_m365+Sens!E12192*cx_lic+(Sens!E12194+Sens!E12196)*cx_ind+Sens!E12199*cx_srch+(Sens!E12201+Sens!E12203)*cx_dev</f>
        <v>30.1846587067718</v>
      </c>
      <c r="F12269" s="6" t="n">
        <f aca="false">Sens!F12184*cx_azo+Sens!F12191*cx_m365+Sens!F12192*cx_lic+(Sens!F12194+Sens!F12196)*cx_ind+Sens!F12199*cx_srch+(Sens!F12201+Sens!F12203)*cx_dev</f>
        <v>35.7009608126228</v>
      </c>
      <c r="G12269" s="6" t="n">
        <f aca="false">Sens!G12184*cx_azo+Sens!G12191*cx_m365+Sens!G12192*cx_lic+(Sens!G12194+Sens!G12196)*cx_ind+Sens!G12199*cx_srch+(Sens!G12201+Sens!G12203)*cx_dev</f>
        <v>41.5869108704955</v>
      </c>
      <c r="H12269" s="6" t="n">
        <f aca="false">Sens!H12184*cx_azo+Sens!H12191*cx_m365+Sens!H12192*cx_lic+(Sens!H12194+Sens!H12196)*cx_ind+Sens!H12199*cx_srch+(Sens!H12201+Sens!H12203)*cx_dev</f>
        <v>47.56082725835</v>
      </c>
      <c r="I12269" s="6" t="n">
        <f aca="false">Sens!I12184*cx_azo+Sens!I12191*cx_m365+Sens!I12192*cx_lic+(Sens!I12194+Sens!I12196)*cx_ind+Sens!I12199*cx_srch+(Sens!I12201+Sens!I12203)*cx_dev</f>
        <v>53.1905013103144</v>
      </c>
      <c r="J12269" s="6" t="n">
        <f aca="false">Sens!J12184*cx_azo+Sens!J12191*cx_m365+Sens!J12192*cx_lic+(Sens!J12194+Sens!J12196)*cx_ind+Sens!J12199*cx_srch+(Sens!J12201+Sens!J12203)*cx_dev</f>
        <v>58.2431012926951</v>
      </c>
      <c r="K12269" s="6" t="n">
        <f aca="false">Sens!K12184*cx_azo+Sens!K12191*cx_m365+Sens!K12192*cx_lic+(Sens!K12194+Sens!K12196)*cx_ind+Sens!K12199*cx_srch+(Sens!K12201+Sens!K12203)*cx_dev</f>
        <v>62.7033956977708</v>
      </c>
    </row>
    <row r="12270" customFormat="false" ht="17.15" hidden="false" customHeight="false" outlineLevel="0" collapsed="false">
      <c r="A12270" s="0" t="s">
        <v>1114</v>
      </c>
      <c r="B12270" s="0" t="s">
        <v>98</v>
      </c>
      <c r="F12270" s="6" t="n">
        <f aca="false">Sens!F12174</f>
        <v>0.0451351452575608</v>
      </c>
      <c r="L12270" s="1" t="s">
        <v>1115</v>
      </c>
    </row>
    <row r="12271" customFormat="false" ht="17.15" hidden="false" customHeight="false" outlineLevel="0" collapsed="false">
      <c r="A12271" s="1" t="s">
        <v>1116</v>
      </c>
      <c r="B12271" s="0" t="s">
        <v>98</v>
      </c>
      <c r="E12271" s="6" t="n">
        <f aca="false">Q!M43</f>
        <v>145.3</v>
      </c>
      <c r="F12271" s="6" t="n">
        <f aca="false">Sens!F12268+Sens!F12269+Sens!F12270</f>
        <v>204.2</v>
      </c>
      <c r="G12271" s="6" t="n">
        <f aca="false">Sens!G12268+Sens!G12269</f>
        <v>233.531386519544</v>
      </c>
      <c r="H12271" s="6" t="n">
        <f aca="false">Sens!H12268+Sens!H12269</f>
        <v>244.366831322862</v>
      </c>
      <c r="I12271" s="6" t="n">
        <f aca="false">Sens!I12268+Sens!I12269</f>
        <v>221.805334931925</v>
      </c>
      <c r="J12271" s="6" t="n">
        <f aca="false">Sens!J12268+Sens!J12269</f>
        <v>187.173032488635</v>
      </c>
      <c r="K12271" s="6" t="n">
        <f aca="false">Sens!K12268+Sens!K12269</f>
        <v>181.666248762503</v>
      </c>
      <c r="L12271" s="1" t="s">
        <v>1117</v>
      </c>
    </row>
    <row r="12272" customFormat="false" ht="15" hidden="false" customHeight="false" outlineLevel="0" collapsed="false">
      <c r="A12272" s="1" t="s">
        <v>1118</v>
      </c>
      <c r="B12272" s="0" t="s">
        <v>98</v>
      </c>
      <c r="E12272" s="6" t="n">
        <f aca="false">fl_liab</f>
        <v>66.594</v>
      </c>
      <c r="F12272" s="6" t="n">
        <f aca="false">Sens!E12272-Sens!F12273</f>
        <v>62.46973</v>
      </c>
      <c r="G12272" s="6" t="n">
        <f aca="false">Sens!F12272-Sens!G12273</f>
        <v>57.98686785</v>
      </c>
      <c r="H12272" s="6" t="n">
        <f aca="false">Sens!G12272-Sens!H12273</f>
        <v>53.92827690325</v>
      </c>
      <c r="I12272" s="6" t="n">
        <f aca="false">Sens!H12272-Sens!I12273</f>
        <v>49.7850493638962</v>
      </c>
      <c r="J12272" s="6" t="n">
        <f aca="false">Sens!I12272-Sens!J12273</f>
        <v>45.4823765852716</v>
      </c>
      <c r="K12272" s="6" t="n">
        <f aca="false">Sens!J12272-Sens!K12273</f>
        <v>40.9860835316088</v>
      </c>
    </row>
    <row r="12273" customFormat="false" ht="15" hidden="false" customHeight="false" outlineLevel="0" collapsed="false">
      <c r="A12273" s="1" t="s">
        <v>1119</v>
      </c>
      <c r="B12273" s="0" t="s">
        <v>98</v>
      </c>
      <c r="F12273" s="6" t="n">
        <f aca="false">fl_pay_27-Sens!E12272*fl_rate</f>
        <v>4.12427</v>
      </c>
      <c r="G12273" s="6" t="n">
        <f aca="false">fl_pay_28-Sens!F12272*fl_rate</f>
        <v>4.48286215</v>
      </c>
      <c r="H12273" s="6" t="n">
        <f aca="false">fl_pay_29-Sens!G12272*fl_rate</f>
        <v>4.05859094675</v>
      </c>
      <c r="I12273" s="6" t="n">
        <f aca="false">fl_pay_30-Sens!H12272*fl_rate</f>
        <v>4.14322753935375</v>
      </c>
      <c r="J12273" s="6" t="n">
        <f aca="false">fl_pay_31-Sens!I12272*fl_rate</f>
        <v>4.30267277862467</v>
      </c>
      <c r="K12273" s="6" t="n">
        <f aca="false">fl_pay_32-Sens!J12272*fl_rate</f>
        <v>4.49629305366278</v>
      </c>
    </row>
    <row r="12274" customFormat="false" ht="17.15" hidden="false" customHeight="false" outlineLevel="0" collapsed="false">
      <c r="A12274" s="1" t="s">
        <v>1120</v>
      </c>
      <c r="B12274" s="0" t="s">
        <v>98</v>
      </c>
      <c r="E12274" s="6" t="n">
        <f aca="false">Q!M35-Q!M36-Q!M44</f>
        <v>63.886</v>
      </c>
      <c r="F12274" s="6" t="n">
        <f aca="false">Sens!F12267-Sens!F12271-Sens!F12273</f>
        <v>14.1880413100964</v>
      </c>
      <c r="G12274" s="6" t="n">
        <f aca="false">Sens!G12267-Sens!G12271-Sens!G12273</f>
        <v>34.5269285602149</v>
      </c>
      <c r="H12274" s="6" t="n">
        <f aca="false">Sens!H12267-Sens!H12271-Sens!H12273</f>
        <v>86.3321805731816</v>
      </c>
      <c r="I12274" s="6" t="n">
        <f aca="false">Sens!I12267-Sens!I12271-Sens!I12273</f>
        <v>161.009933420961</v>
      </c>
      <c r="J12274" s="6" t="n">
        <f aca="false">Sens!J12267-Sens!J12271-Sens!J12273</f>
        <v>237.212929583927</v>
      </c>
      <c r="K12274" s="6" t="n">
        <f aca="false">Sens!K12267-Sens!K12271-Sens!K12273</f>
        <v>275.422664595285</v>
      </c>
      <c r="L12274" s="12" t="s">
        <v>1121</v>
      </c>
    </row>
    <row r="12275" customFormat="false" ht="15" hidden="false" customHeight="false" outlineLevel="0" collapsed="false">
      <c r="A12275" s="1" t="s">
        <v>1122</v>
      </c>
      <c r="B12275" s="0" t="s">
        <v>75</v>
      </c>
      <c r="F12275" s="8" t="n">
        <f aca="false">dps_27</f>
        <v>3.85</v>
      </c>
      <c r="G12275" s="8" t="n">
        <f aca="false">Sens!F12275*(1+dps_g)</f>
        <v>4.158</v>
      </c>
      <c r="H12275" s="8" t="n">
        <f aca="false">Sens!G12275*(1+dps_g)</f>
        <v>4.49064</v>
      </c>
      <c r="I12275" s="8" t="n">
        <f aca="false">Sens!H12275*(1+dps_g)</f>
        <v>4.8498912</v>
      </c>
      <c r="J12275" s="8" t="n">
        <f aca="false">Sens!I12275*(1+dps_g)</f>
        <v>5.237882496</v>
      </c>
      <c r="K12275" s="8" t="n">
        <f aca="false">Sens!J12275*(1+dps_g)</f>
        <v>5.65691309568</v>
      </c>
    </row>
    <row r="12276" customFormat="false" ht="17.15" hidden="false" customHeight="false" outlineLevel="0" collapsed="false">
      <c r="A12276" s="1" t="s">
        <v>1123</v>
      </c>
      <c r="B12276" s="0" t="s">
        <v>98</v>
      </c>
      <c r="E12276" s="6" t="n">
        <f aca="false">Q!M41</f>
        <v>26.445</v>
      </c>
      <c r="F12276" s="6" t="n">
        <f aca="false">Sens!F12275*Sens!E12285</f>
        <v>28.59395</v>
      </c>
      <c r="G12276" s="6" t="n">
        <f aca="false">Sens!G12275*Sens!F12285</f>
        <v>31.0445620051244</v>
      </c>
      <c r="H12276" s="6" t="n">
        <f aca="false">Sens!H12275*Sens!G12285</f>
        <v>33.7039669400749</v>
      </c>
      <c r="I12276" s="6" t="n">
        <f aca="false">Sens!I12275*Sens!H12285</f>
        <v>36.4507225723535</v>
      </c>
      <c r="J12276" s="6" t="n">
        <f aca="false">Sens!J12275*Sens!I12285</f>
        <v>39.4346782635344</v>
      </c>
      <c r="K12276" s="6" t="n">
        <f aca="false">Sens!K12275*Sens!J12285</f>
        <v>42.6762067869954</v>
      </c>
      <c r="L12276" s="1" t="s">
        <v>1124</v>
      </c>
    </row>
    <row r="12277" customFormat="false" ht="15" hidden="false" customHeight="false" outlineLevel="0" collapsed="false">
      <c r="A12277" s="1" t="s">
        <v>1125</v>
      </c>
      <c r="B12277" s="0" t="s">
        <v>98</v>
      </c>
      <c r="E12277" s="6" t="n">
        <f aca="false">Sens!E12274-Sens!E12276</f>
        <v>37.441</v>
      </c>
      <c r="F12277" s="6" t="n">
        <f aca="false">Sens!F12274-Sens!F12276</f>
        <v>-14.4059086899036</v>
      </c>
      <c r="G12277" s="6" t="n">
        <f aca="false">Sens!G12274-Sens!G12276</f>
        <v>3.48236655509052</v>
      </c>
      <c r="H12277" s="6" t="n">
        <f aca="false">Sens!H12274-Sens!H12276</f>
        <v>52.6282136331067</v>
      </c>
      <c r="I12277" s="6" t="n">
        <f aca="false">Sens!I12274-Sens!I12276</f>
        <v>124.559210848608</v>
      </c>
      <c r="J12277" s="6" t="n">
        <f aca="false">Sens!J12274-Sens!J12276</f>
        <v>197.778251320392</v>
      </c>
      <c r="K12277" s="6" t="n">
        <f aca="false">Sens!K12274-Sens!K12276</f>
        <v>232.74645780829</v>
      </c>
    </row>
    <row r="12278" customFormat="false" ht="15" hidden="false" customHeight="false" outlineLevel="0" collapsed="false">
      <c r="A12278" s="1" t="s">
        <v>1126</v>
      </c>
      <c r="B12278" s="0" t="s">
        <v>98</v>
      </c>
      <c r="F12278" s="6" t="n">
        <f aca="false">debt_mat_27</f>
        <v>9.25</v>
      </c>
      <c r="G12278" s="6" t="n">
        <f aca="false">debt_mat_28</f>
        <v>0</v>
      </c>
      <c r="H12278" s="6" t="n">
        <f aca="false">debt_mat_29</f>
        <v>2.001</v>
      </c>
      <c r="I12278" s="6" t="n">
        <f aca="false">debt_mat_30</f>
        <v>0</v>
      </c>
      <c r="J12278" s="6" t="n">
        <f aca="false">debt_mat_31</f>
        <v>0.5</v>
      </c>
      <c r="K12278" s="6" t="n">
        <f aca="false">debt_mat_32</f>
        <v>0</v>
      </c>
    </row>
    <row r="12279" customFormat="false" ht="15" hidden="false" customHeight="false" outlineLevel="0" collapsed="false">
      <c r="A12279" s="1" t="s">
        <v>1127</v>
      </c>
      <c r="B12279" s="0" t="s">
        <v>98</v>
      </c>
      <c r="E12279" s="6" t="n">
        <f aca="false">Q!M40</f>
        <v>22.271</v>
      </c>
      <c r="F12279" s="6" t="n">
        <f aca="false">MAX(0,MIN(bb_target,Sens!E12281+Sens!F12277-Sens!F12278-min_cash))</f>
        <v>3.18709131009636</v>
      </c>
      <c r="G12279" s="6" t="n">
        <f aca="false">MAX(0,MIN(bb_target,Sens!F12281+Sens!G12277-Sens!G12278-min_cash))</f>
        <v>3.48236655509052</v>
      </c>
      <c r="H12279" s="6" t="n">
        <f aca="false">MAX(0,MIN(bb_target,Sens!G12281+Sens!H12277-Sens!H12278-min_cash))</f>
        <v>22.271</v>
      </c>
      <c r="I12279" s="6" t="n">
        <f aca="false">MAX(0,MIN(bb_target,Sens!H12281+Sens!I12277-Sens!I12278-min_cash))</f>
        <v>22.271</v>
      </c>
      <c r="J12279" s="6" t="n">
        <f aca="false">MAX(0,MIN(bb_target,Sens!I12281+Sens!J12277-Sens!J12278-min_cash))</f>
        <v>22.271</v>
      </c>
      <c r="K12279" s="6" t="n">
        <f aca="false">MAX(0,MIN(bb_target,Sens!J12281+Sens!K12277-Sens!K12278-min_cash))</f>
        <v>22.271</v>
      </c>
    </row>
    <row r="12280" customFormat="false" ht="15" hidden="false" customHeight="false" outlineLevel="0" collapsed="false">
      <c r="A12280" s="1" t="s">
        <v>1128</v>
      </c>
      <c r="B12280" s="0" t="s">
        <v>98</v>
      </c>
      <c r="F12280" s="6" t="n">
        <f aca="false">MAX(0,min_cash-(Sens!E12281+Sens!F12277-Sens!F12278-Sens!F12279))</f>
        <v>0</v>
      </c>
      <c r="G12280" s="6" t="n">
        <f aca="false">MAX(0,min_cash-(Sens!F12281+Sens!G12277-Sens!G12278-Sens!G12279))</f>
        <v>0</v>
      </c>
      <c r="H12280" s="6" t="n">
        <f aca="false">MAX(0,min_cash-(Sens!G12281+Sens!H12277-Sens!H12278-Sens!H12279))</f>
        <v>0</v>
      </c>
      <c r="I12280" s="6" t="n">
        <f aca="false">MAX(0,min_cash-(Sens!H12281+Sens!I12277-Sens!I12278-Sens!I12279))</f>
        <v>0</v>
      </c>
      <c r="J12280" s="6" t="n">
        <f aca="false">MAX(0,min_cash-(Sens!I12281+Sens!J12277-Sens!J12278-Sens!J12279))</f>
        <v>0</v>
      </c>
      <c r="K12280" s="6" t="n">
        <f aca="false">MAX(0,min_cash-(Sens!J12281+Sens!K12277-Sens!K12278-Sens!K12279))</f>
        <v>0</v>
      </c>
    </row>
    <row r="12281" customFormat="false" ht="15" hidden="false" customHeight="false" outlineLevel="0" collapsed="false">
      <c r="A12281" s="1" t="s">
        <v>1129</v>
      </c>
      <c r="B12281" s="0" t="s">
        <v>98</v>
      </c>
      <c r="E12281" s="6" t="n">
        <f aca="false">cash_open</f>
        <v>76.843</v>
      </c>
      <c r="F12281" s="6" t="n">
        <f aca="false">Sens!E12281+Sens!F12277-Sens!F12278-Sens!F12279+Sens!F12280</f>
        <v>50</v>
      </c>
      <c r="G12281" s="6" t="n">
        <f aca="false">Sens!F12281+Sens!G12277-Sens!G12278-Sens!G12279+Sens!G12280</f>
        <v>50</v>
      </c>
      <c r="H12281" s="6" t="n">
        <f aca="false">Sens!G12281+Sens!H12277-Sens!H12278-Sens!H12279+Sens!H12280</f>
        <v>78.3562136331067</v>
      </c>
      <c r="I12281" s="6" t="n">
        <f aca="false">Sens!H12281+Sens!I12277-Sens!I12278-Sens!I12279+Sens!I12280</f>
        <v>180.644424481714</v>
      </c>
      <c r="J12281" s="6" t="n">
        <f aca="false">Sens!I12281+Sens!J12277-Sens!J12278-Sens!J12279+Sens!J12280</f>
        <v>355.651675802106</v>
      </c>
      <c r="K12281" s="6" t="n">
        <f aca="false">Sens!J12281+Sens!K12277-Sens!K12278-Sens!K12279+Sens!K12280</f>
        <v>566.127133610396</v>
      </c>
    </row>
    <row r="12282" customFormat="false" ht="15" hidden="false" customHeight="false" outlineLevel="0" collapsed="false">
      <c r="A12282" s="1" t="s">
        <v>1130</v>
      </c>
      <c r="B12282" s="0" t="s">
        <v>98</v>
      </c>
      <c r="E12282" s="6" t="n">
        <f aca="false">debt_face</f>
        <v>46.136</v>
      </c>
      <c r="F12282" s="6" t="n">
        <f aca="false">Sens!E12282-Sens!F12278+Sens!F12280</f>
        <v>36.886</v>
      </c>
      <c r="G12282" s="6" t="n">
        <f aca="false">Sens!F12282-Sens!G12278+Sens!G12280</f>
        <v>36.886</v>
      </c>
      <c r="H12282" s="6" t="n">
        <f aca="false">Sens!G12282-Sens!H12278+Sens!H12280</f>
        <v>34.885</v>
      </c>
      <c r="I12282" s="6" t="n">
        <f aca="false">Sens!H12282-Sens!I12278+Sens!I12280</f>
        <v>34.885</v>
      </c>
      <c r="J12282" s="6" t="n">
        <f aca="false">Sens!I12282-Sens!J12278+Sens!J12280</f>
        <v>34.385</v>
      </c>
      <c r="K12282" s="6" t="n">
        <f aca="false">Sens!J12282-Sens!K12278+Sens!K12280</f>
        <v>34.385</v>
      </c>
    </row>
    <row r="12283" customFormat="false" ht="15" hidden="false" customHeight="false" outlineLevel="0" collapsed="false">
      <c r="A12283" s="1" t="s">
        <v>1131</v>
      </c>
      <c r="B12283" s="0" t="s">
        <v>98</v>
      </c>
      <c r="E12283" s="6" t="n">
        <f aca="false">Sens!E12281-Sens!E12282</f>
        <v>30.707</v>
      </c>
      <c r="F12283" s="6" t="n">
        <f aca="false">Sens!F12281-Sens!F12282</f>
        <v>13.114</v>
      </c>
      <c r="G12283" s="6" t="n">
        <f aca="false">Sens!G12281-Sens!G12282</f>
        <v>13.114</v>
      </c>
      <c r="H12283" s="6" t="n">
        <f aca="false">Sens!H12281-Sens!H12282</f>
        <v>43.4712136331067</v>
      </c>
      <c r="I12283" s="6" t="n">
        <f aca="false">Sens!I12281-Sens!I12282</f>
        <v>145.759424481714</v>
      </c>
      <c r="J12283" s="6" t="n">
        <f aca="false">Sens!J12281-Sens!J12282</f>
        <v>321.266675802106</v>
      </c>
      <c r="K12283" s="6" t="n">
        <f aca="false">Sens!K12281-Sens!K12282</f>
        <v>531.742133610396</v>
      </c>
    </row>
    <row r="12284" customFormat="false" ht="15" hidden="false" customHeight="false" outlineLevel="0" collapsed="false">
      <c r="A12284" s="1" t="s">
        <v>1132</v>
      </c>
      <c r="B12284" s="0" t="s">
        <v>75</v>
      </c>
      <c r="F12284" s="30" t="n">
        <f aca="false">px*(1+bb_g)^(Sens!F12142-base_fy-mid_yr)</f>
        <v>551.84177959629</v>
      </c>
      <c r="G12284" s="30" t="n">
        <f aca="false">px*(1+bb_g)^(Sens!G12142-base_fy-mid_yr)</f>
        <v>595.989121963993</v>
      </c>
      <c r="H12284" s="30" t="n">
        <f aca="false">px*(1+bb_g)^(Sens!H12142-base_fy-mid_yr)</f>
        <v>643.668251721112</v>
      </c>
      <c r="I12284" s="30" t="n">
        <f aca="false">px*(1+bb_g)^(Sens!I12142-base_fy-mid_yr)</f>
        <v>695.161711858801</v>
      </c>
      <c r="J12284" s="30" t="n">
        <f aca="false">px*(1+bb_g)^(Sens!J12142-base_fy-mid_yr)</f>
        <v>750.774648807506</v>
      </c>
      <c r="K12284" s="30" t="n">
        <f aca="false">px*(1+bb_g)^(Sens!K12142-base_fy-mid_yr)</f>
        <v>810.836620712106</v>
      </c>
    </row>
    <row r="12285" customFormat="false" ht="15" hidden="false" customHeight="false" outlineLevel="0" collapsed="false">
      <c r="A12285" s="1" t="s">
        <v>1133</v>
      </c>
      <c r="B12285" s="1" t="s">
        <v>81</v>
      </c>
      <c r="E12285" s="15" t="n">
        <f aca="false">sh_out26</f>
        <v>7.427</v>
      </c>
      <c r="F12285" s="15" t="n">
        <f aca="false">Sens!E12285+sh_iss-Sens!F12279/Sens!F12284</f>
        <v>7.46622462845704</v>
      </c>
      <c r="G12285" s="15" t="n">
        <f aca="false">Sens!F12285+sh_iss-Sens!G12279/Sens!G12284</f>
        <v>7.50538162490756</v>
      </c>
      <c r="H12285" s="15" t="n">
        <f aca="false">Sens!G12285+sh_iss-Sens!H12279/Sens!H12284</f>
        <v>7.51578150296516</v>
      </c>
      <c r="I12285" s="15" t="n">
        <f aca="false">Sens!H12285+sh_iss-Sens!I12279/Sens!I12284</f>
        <v>7.52874435301849</v>
      </c>
      <c r="J12285" s="15" t="n">
        <f aca="false">Sens!I12285+sh_iss-Sens!J12279/Sens!J12284</f>
        <v>7.5440803252901</v>
      </c>
      <c r="K12285" s="15" t="n">
        <f aca="false">Sens!J12285+sh_iss-Sens!K12279/Sens!K12284</f>
        <v>7.561613632949</v>
      </c>
    </row>
    <row r="12286" customFormat="false" ht="15" hidden="false" customHeight="false" outlineLevel="0" collapsed="false">
      <c r="A12286" s="1" t="s">
        <v>1134</v>
      </c>
      <c r="B12286" s="1" t="s">
        <v>81</v>
      </c>
      <c r="E12286" s="15" t="n">
        <f aca="false">sh_dil26</f>
        <v>7.453</v>
      </c>
      <c r="F12286" s="15" t="n">
        <f aca="false">(Sens!E12285+Sens!F12285)/2+dil_gap</f>
        <v>7.47061231422852</v>
      </c>
      <c r="G12286" s="15" t="n">
        <f aca="false">(Sens!F12285+Sens!G12285)/2+dil_gap</f>
        <v>7.5098031266823</v>
      </c>
      <c r="H12286" s="15" t="n">
        <f aca="false">(Sens!G12285+Sens!H12285)/2+dil_gap</f>
        <v>7.53458156393636</v>
      </c>
      <c r="I12286" s="15" t="n">
        <f aca="false">(Sens!H12285+Sens!I12285)/2+dil_gap</f>
        <v>7.54626292799183</v>
      </c>
      <c r="J12286" s="15" t="n">
        <f aca="false">(Sens!I12285+Sens!J12285)/2+dil_gap</f>
        <v>7.5604123391543</v>
      </c>
      <c r="K12286" s="15" t="n">
        <f aca="false">(Sens!J12285+Sens!K12285)/2+dil_gap</f>
        <v>7.57684697911955</v>
      </c>
    </row>
    <row r="12287" customFormat="false" ht="17.15" hidden="false" customHeight="false" outlineLevel="0" collapsed="false">
      <c r="A12287" s="1" t="s">
        <v>1135</v>
      </c>
      <c r="B12287" s="0" t="s">
        <v>98</v>
      </c>
      <c r="C12287" s="6" t="n">
        <f aca="false">SUM(Sens!F12277:J12277)</f>
        <v>364.042133667293</v>
      </c>
    </row>
    <row r="12288" customFormat="false" ht="15" hidden="false" customHeight="false" outlineLevel="0" collapsed="false">
      <c r="A12288" s="26" t="s">
        <v>1100</v>
      </c>
      <c r="B12288" s="31" t="s">
        <v>98</v>
      </c>
      <c r="C12288" s="27" t="n">
        <f aca="false">Sens!$C$12287-(Sens!F12277+Sens!G12277+Sens!H12277+Sens!I12277+Sens!J12277)</f>
        <v>0</v>
      </c>
      <c r="D12288" s="31"/>
      <c r="E12288" s="31"/>
      <c r="F12288" s="31"/>
      <c r="G12288" s="31"/>
      <c r="H12288" s="31"/>
      <c r="I12288" s="31"/>
      <c r="J12288" s="31"/>
      <c r="K12288" s="31"/>
    </row>
    <row r="12289" customFormat="false" ht="17.15" hidden="false" customHeight="false" outlineLevel="0" collapsed="false">
      <c r="A12289" s="1" t="s">
        <v>1094</v>
      </c>
      <c r="B12289" s="1" t="s">
        <v>1136</v>
      </c>
      <c r="C12289" s="33" t="str">
        <f aca="false">IF(SUM(Sens!F12280:J12280)&gt;0.05,"需要舉債 "&amp;TEXT(SUM(Sens!F12280:J12280),"0.0")&amp;" 十億美元","不需舉債")&amp;"；"&amp;IF(SUM(Sens!F12279:J12279)&lt;COUNT(Sens!F12279:J12279)*bb_target-0.05,"回購較每年 "&amp;TEXT(bb_target,"0.0")&amp;" 的目標少 "&amp;TEXT(COUNT(Sens!F12279:J12279)*bb_target-SUM(Sens!F12279:J12279),"0.0")&amp;" 十億美元（"&amp;TEXT(COUNTIF(Sens!F12279:J12279,"&lt;"&amp;(bb_target-0.05)),"0")&amp;" 年減少）","回購不減")</f>
        <v>不需舉債；回購較每年 22.3 的目標少 37.9 十億美元（2 年減少）</v>
      </c>
    </row>
    <row r="12290" customFormat="false" ht="17.15" hidden="false" customHeight="false" outlineLevel="0" collapsed="false">
      <c r="A12290" s="3" t="s">
        <v>1919</v>
      </c>
    </row>
    <row r="12291" customFormat="false" ht="15" hidden="false" customHeight="false" outlineLevel="0" collapsed="false">
      <c r="A12291" s="4" t="s">
        <v>43</v>
      </c>
      <c r="B12291" s="4" t="s">
        <v>65</v>
      </c>
      <c r="C12291" s="23" t="s">
        <v>942</v>
      </c>
      <c r="D12291" s="23" t="s">
        <v>943</v>
      </c>
      <c r="E12291" s="23" t="s">
        <v>944</v>
      </c>
      <c r="F12291" s="23" t="s">
        <v>945</v>
      </c>
      <c r="G12291" s="23" t="s">
        <v>946</v>
      </c>
      <c r="H12291" s="23" t="s">
        <v>947</v>
      </c>
      <c r="I12291" s="23" t="s">
        <v>948</v>
      </c>
      <c r="J12291" s="23" t="s">
        <v>949</v>
      </c>
      <c r="K12291" s="23" t="s">
        <v>950</v>
      </c>
      <c r="L12291" s="4" t="s">
        <v>47</v>
      </c>
    </row>
    <row r="12292" customFormat="false" ht="17.15" hidden="false" customHeight="false" outlineLevel="0" collapsed="false">
      <c r="A12292" s="1" t="s">
        <v>1216</v>
      </c>
      <c r="B12292" s="1" t="s">
        <v>279</v>
      </c>
      <c r="F12292" s="8" t="n">
        <f aca="false">(1-v_off)*mid_yr</f>
        <v>0.373972602739726</v>
      </c>
      <c r="G12292" s="8" t="n">
        <f aca="false">Sens!G12142-base_fy-mid_yr-v_off</f>
        <v>1.24794520547945</v>
      </c>
      <c r="H12292" s="8" t="n">
        <f aca="false">Sens!H12142-base_fy-mid_yr-v_off</f>
        <v>2.24794520547945</v>
      </c>
      <c r="I12292" s="8" t="n">
        <f aca="false">Sens!I12142-base_fy-mid_yr-v_off</f>
        <v>3.24794520547945</v>
      </c>
      <c r="J12292" s="8" t="n">
        <f aca="false">Sens!J12142-base_fy-mid_yr-v_off</f>
        <v>4.24794520547945</v>
      </c>
      <c r="K12292" s="8" t="n">
        <f aca="false">Sens!K12142-base_fy-mid_yr-v_off</f>
        <v>5.24794520547945</v>
      </c>
      <c r="L12292" s="12" t="s">
        <v>1217</v>
      </c>
    </row>
    <row r="12293" customFormat="false" ht="15" hidden="false" customHeight="false" outlineLevel="0" collapsed="false">
      <c r="A12293" s="1" t="s">
        <v>1218</v>
      </c>
      <c r="B12293" s="1" t="s">
        <v>279</v>
      </c>
      <c r="F12293" s="8" t="n">
        <f aca="false">Sens!F12142-base_fy-v_off</f>
        <v>0.747945205479452</v>
      </c>
      <c r="G12293" s="8" t="n">
        <f aca="false">Sens!G12142-base_fy-v_off</f>
        <v>1.74794520547945</v>
      </c>
      <c r="H12293" s="8" t="n">
        <f aca="false">Sens!H12142-base_fy-v_off</f>
        <v>2.74794520547945</v>
      </c>
      <c r="I12293" s="8" t="n">
        <f aca="false">Sens!I12142-base_fy-v_off</f>
        <v>3.74794520547945</v>
      </c>
      <c r="J12293" s="8" t="n">
        <f aca="false">Sens!J12142-base_fy-v_off</f>
        <v>4.74794520547945</v>
      </c>
      <c r="K12293" s="8" t="n">
        <f aca="false">Sens!K12142-base_fy-v_off</f>
        <v>5.74794520547945</v>
      </c>
    </row>
    <row r="12294" customFormat="false" ht="15" hidden="false" customHeight="false" outlineLevel="0" collapsed="false">
      <c r="A12294" s="1" t="s">
        <v>1219</v>
      </c>
      <c r="B12294" s="0" t="s">
        <v>229</v>
      </c>
      <c r="F12294" s="15" t="n">
        <f aca="false">1/(1+wacc)^Sens!F12292</f>
        <v>0.964022703286649</v>
      </c>
      <c r="G12294" s="15" t="n">
        <f aca="false">1/(1+wacc)^Sens!G12292</f>
        <v>0.884910302296739</v>
      </c>
      <c r="H12294" s="15" t="n">
        <f aca="false">1/(1+wacc)^Sens!H12292</f>
        <v>0.802322009770358</v>
      </c>
      <c r="I12294" s="15" t="n">
        <f aca="false">1/(1+wacc)^Sens!I12292</f>
        <v>0.727441646561469</v>
      </c>
      <c r="J12294" s="15" t="n">
        <f aca="false">1/(1+wacc)^Sens!J12292</f>
        <v>0.659549834988973</v>
      </c>
      <c r="K12294" s="15" t="n">
        <f aca="false">1/(1+wacc)^Sens!K12292</f>
        <v>0.597994336576966</v>
      </c>
    </row>
    <row r="12295" customFormat="false" ht="17.15" hidden="false" customHeight="false" outlineLevel="0" collapsed="false">
      <c r="A12295" s="1" t="s">
        <v>1220</v>
      </c>
      <c r="B12295" s="0" t="s">
        <v>98</v>
      </c>
      <c r="F12295" s="6" t="n">
        <f aca="false">Q!$I$35-Q!$I$39-Q!$I$43</f>
        <v>9.666</v>
      </c>
      <c r="L12295" s="12" t="s">
        <v>1221</v>
      </c>
    </row>
    <row r="12296" customFormat="false" ht="17.15" hidden="false" customHeight="false" outlineLevel="0" collapsed="false">
      <c r="A12296" s="1" t="s">
        <v>1222</v>
      </c>
      <c r="B12296" s="0" t="s">
        <v>98</v>
      </c>
      <c r="F12296" s="6" t="n">
        <f aca="false">Sens!F12267-Sens!F12264-Sens!F12271+Sens!F12249*(1-tax_f)*(1-v_off)-Sens!F12295</f>
        <v>-1.10936012169601</v>
      </c>
      <c r="G12296" s="6" t="n">
        <f aca="false">Sens!G12267-Sens!G12264-Sens!G12271+Sens!G12249*(1-tax_f)</f>
        <v>38.7797597752298</v>
      </c>
      <c r="H12296" s="6" t="n">
        <f aca="false">Sens!H12267-Sens!H12264-Sens!H12271+Sens!H12249*(1-tax_f)</f>
        <v>98.8158910130806</v>
      </c>
      <c r="I12296" s="6" t="n">
        <f aca="false">Sens!I12267-Sens!I12264-Sens!I12271+Sens!I12249*(1-tax_f)</f>
        <v>181.832714798911</v>
      </c>
      <c r="J12296" s="6" t="n">
        <f aca="false">Sens!J12267-Sens!J12264-Sens!J12271+Sens!J12249*(1-tax_f)</f>
        <v>263.666968425592</v>
      </c>
      <c r="K12296" s="6" t="n">
        <f aca="false">Sens!K12267-Sens!K12264-Sens!K12271+Sens!K12249*(1-tax_f)</f>
        <v>304.11627937917</v>
      </c>
      <c r="L12296" s="1" t="s">
        <v>1223</v>
      </c>
    </row>
    <row r="12297" customFormat="false" ht="15" hidden="false" customHeight="false" outlineLevel="0" collapsed="false">
      <c r="A12297" s="1" t="s">
        <v>1224</v>
      </c>
      <c r="B12297" s="0" t="s">
        <v>98</v>
      </c>
      <c r="F12297" s="6" t="n">
        <f aca="false">Sens!F12296*Sens!F12294</f>
        <v>-1.06944834343579</v>
      </c>
      <c r="G12297" s="6" t="n">
        <f aca="false">Sens!G12296*Sens!G12294</f>
        <v>34.3166089456935</v>
      </c>
      <c r="H12297" s="6" t="n">
        <f aca="false">Sens!H12296*Sens!H12294</f>
        <v>79.2821642748635</v>
      </c>
      <c r="I12297" s="6" t="n">
        <f aca="false">Sens!I12296*Sens!I12294</f>
        <v>132.272689452062</v>
      </c>
      <c r="J12297" s="6" t="n">
        <f aca="false">Sens!J12296*Sens!J12294</f>
        <v>173.901505517142</v>
      </c>
      <c r="K12297" s="6" t="n">
        <f aca="false">Sens!K12296*Sens!K12294</f>
        <v>181.859812729602</v>
      </c>
    </row>
    <row r="12298" customFormat="false" ht="17.15" hidden="false" customHeight="false" outlineLevel="0" collapsed="false">
      <c r="A12298" s="1" t="s">
        <v>1225</v>
      </c>
      <c r="B12298" s="0" t="s">
        <v>98</v>
      </c>
      <c r="C12298" s="6" t="n">
        <f aca="false">SUM(Sens!F12297:K12297)</f>
        <v>600.563332575926</v>
      </c>
    </row>
    <row r="12299" customFormat="false" ht="17.15" hidden="false" customHeight="false" outlineLevel="0" collapsed="false">
      <c r="A12299" s="1" t="s">
        <v>1226</v>
      </c>
      <c r="B12299" s="0" t="s">
        <v>98</v>
      </c>
      <c r="C12299" s="6" t="n">
        <f aca="false">Sens!K12235*(1+g_tv)*(1-tax_f)</f>
        <v>317.023236822171</v>
      </c>
    </row>
    <row r="12300" customFormat="false" ht="17.15" hidden="false" customHeight="false" outlineLevel="0" collapsed="false">
      <c r="A12300" s="1" t="s">
        <v>1227</v>
      </c>
      <c r="B12300" s="0" t="s">
        <v>98</v>
      </c>
      <c r="C12300" s="6" t="n">
        <f aca="false">Sens!$C$12299*(1-g_tv/(wacc+ronic_prem))</f>
        <v>224.629492116835</v>
      </c>
    </row>
    <row r="12301" customFormat="false" ht="17.15" hidden="false" customHeight="false" outlineLevel="0" collapsed="false">
      <c r="A12301" s="1" t="s">
        <v>1228</v>
      </c>
      <c r="B12301" s="0" t="s">
        <v>98</v>
      </c>
      <c r="C12301" s="6" t="n">
        <f aca="false">Sens!$C$12300/(wacc-g_tv)</f>
        <v>3079.79149017787</v>
      </c>
    </row>
    <row r="12302" customFormat="false" ht="15" hidden="false" customHeight="false" outlineLevel="0" collapsed="false">
      <c r="A12302" s="1" t="s">
        <v>1229</v>
      </c>
      <c r="B12302" s="0" t="s">
        <v>98</v>
      </c>
      <c r="C12302" s="6" t="n">
        <f aca="false">Sens!$C$12301/(1+wacc)^Sens!K12293</f>
        <v>1753.65078120388</v>
      </c>
    </row>
    <row r="12303" customFormat="false" ht="17.15" hidden="false" customHeight="false" outlineLevel="0" collapsed="false">
      <c r="A12303" s="0" t="s">
        <v>1230</v>
      </c>
      <c r="B12303" s="0" t="s">
        <v>98</v>
      </c>
      <c r="C12303" s="6" t="n">
        <f aca="false">Sens!$C$12298+Sens!$C$12302</f>
        <v>2354.21411377981</v>
      </c>
    </row>
    <row r="12304" customFormat="false" ht="15" hidden="false" customHeight="false" outlineLevel="0" collapsed="false">
      <c r="A12304" s="1" t="s">
        <v>1145</v>
      </c>
      <c r="B12304" s="0" t="s">
        <v>168</v>
      </c>
      <c r="C12304" s="7" t="n">
        <f aca="false">Sens!$C$12302/Sens!$C$12303</f>
        <v>0.744898593097086</v>
      </c>
    </row>
    <row r="12305" customFormat="false" ht="17.15" hidden="false" customHeight="false" outlineLevel="0" collapsed="false">
      <c r="A12305" s="1" t="s">
        <v>1231</v>
      </c>
      <c r="B12305" s="0" t="s">
        <v>98</v>
      </c>
      <c r="C12305" s="6" t="n">
        <f aca="false">Sens!$C$12303+cash_val-debt_val-fl_val+oai_v</f>
        <v>2470.06511377981</v>
      </c>
    </row>
    <row r="12306" customFormat="false" ht="17.15" hidden="false" customHeight="false" outlineLevel="0" collapsed="false">
      <c r="A12306" s="0" t="s">
        <v>1153</v>
      </c>
      <c r="B12306" s="0" t="s">
        <v>75</v>
      </c>
      <c r="C12306" s="5" t="n">
        <f aca="false">Sens!$C$12305/shd_val</f>
        <v>331.730474587672</v>
      </c>
    </row>
    <row r="12307" customFormat="false" ht="15" hidden="false" customHeight="false" outlineLevel="0" collapsed="false">
      <c r="A12307" s="1" t="s">
        <v>1232</v>
      </c>
      <c r="B12307" s="0" t="s">
        <v>75</v>
      </c>
      <c r="C12307" s="8" t="n">
        <f aca="false">div_rem27+Sens!G12275*roll_div_q/q_per_yr</f>
        <v>3.9795</v>
      </c>
    </row>
    <row r="12308" customFormat="false" ht="17.15" hidden="false" customHeight="false" outlineLevel="0" collapsed="false">
      <c r="A12308" s="0" t="s">
        <v>1233</v>
      </c>
      <c r="B12308" s="0" t="s">
        <v>75</v>
      </c>
      <c r="C12308" s="5" t="n">
        <f aca="false">Sens!$C$12306*(1+wacc)^t_roll-Sens!$C$12307</f>
        <v>364.757436628732</v>
      </c>
    </row>
    <row r="12309" customFormat="false" ht="17.15" hidden="false" customHeight="false" outlineLevel="0" collapsed="false">
      <c r="A12309" s="1" t="s">
        <v>1234</v>
      </c>
      <c r="B12309" s="0" t="s">
        <v>168</v>
      </c>
      <c r="F12309" s="7" t="n">
        <f aca="false">Sens!F12261/(Sens!F12206-Sens!F12161)</f>
        <v>0.0685365096917538</v>
      </c>
      <c r="G12309" s="7" t="n">
        <f aca="false">Sens!G12261/(Sens!G12206-Sens!G12161)</f>
        <v>0.0653108125026067</v>
      </c>
      <c r="H12309" s="7" t="n">
        <f aca="false">Sens!H12261/(Sens!H12206-Sens!H12161)</f>
        <v>0.0635833196688246</v>
      </c>
      <c r="I12309" s="7" t="n">
        <f aca="false">Sens!I12261/(Sens!I12206-Sens!I12161)</f>
        <v>0.0632393724353902</v>
      </c>
      <c r="J12309" s="7" t="n">
        <f aca="false">Sens!J12261/(Sens!J12206-Sens!J12161)</f>
        <v>0.0639205904579855</v>
      </c>
      <c r="K12309" s="7" t="n">
        <f aca="false">Sens!K12261/(Sens!K12206-Sens!K12161)</f>
        <v>0.0651692432616129</v>
      </c>
    </row>
    <row r="12310" customFormat="false" ht="17.15" hidden="false" customHeight="false" outlineLevel="0" collapsed="false">
      <c r="A12310" s="0" t="s">
        <v>1235</v>
      </c>
      <c r="B12310" s="0" t="s">
        <v>98</v>
      </c>
      <c r="F12310" s="6" t="n">
        <f aca="false">Sens!F12191*(al_m365+Sens!F12309+sbc_r)</f>
        <v>84.519448534468</v>
      </c>
      <c r="G12310" s="6" t="n">
        <f aca="false">Sens!G12191*(al_m365+Sens!G12309+sbc_r)</f>
        <v>98.9435117912151</v>
      </c>
      <c r="H12310" s="6" t="n">
        <f aca="false">Sens!H12191*(al_m365+Sens!H12309+sbc_r)</f>
        <v>113.530847746105</v>
      </c>
      <c r="I12310" s="6" t="n">
        <f aca="false">Sens!I12191*(al_m365+Sens!I12309+sbc_r)</f>
        <v>126.599133343618</v>
      </c>
      <c r="J12310" s="6" t="n">
        <f aca="false">Sens!J12191*(al_m365+Sens!J12309+sbc_r)</f>
        <v>137.961845895656</v>
      </c>
      <c r="K12310" s="6" t="n">
        <f aca="false">Sens!K12191*(al_m365+Sens!K12309+sbc_r)</f>
        <v>148.941104248341</v>
      </c>
      <c r="L12310" s="12" t="s">
        <v>1236</v>
      </c>
    </row>
    <row r="12311" customFormat="false" ht="17.15" hidden="false" customHeight="false" outlineLevel="0" collapsed="false">
      <c r="A12311" s="0" t="s">
        <v>1237</v>
      </c>
      <c r="B12311" s="0" t="s">
        <v>98</v>
      </c>
      <c r="F12311" s="6" t="n">
        <f aca="false">Sens!F12192*(al_lic+Sens!F12309+sbc_r)</f>
        <v>32.8545775558224</v>
      </c>
      <c r="G12311" s="6" t="n">
        <f aca="false">Sens!G12192*(al_lic+Sens!G12309+sbc_r)</f>
        <v>34.1167193508224</v>
      </c>
      <c r="H12311" s="6" t="n">
        <f aca="false">Sens!H12192*(al_lic+Sens!H12309+sbc_r)</f>
        <v>35.2991305040937</v>
      </c>
      <c r="I12311" s="6" t="n">
        <f aca="false">Sens!I12192*(al_lic+Sens!I12309+sbc_r)</f>
        <v>36.3847679624756</v>
      </c>
      <c r="J12311" s="6" t="n">
        <f aca="false">Sens!J12192*(al_lic+Sens!J12309+sbc_r)</f>
        <v>37.3455954220529</v>
      </c>
      <c r="K12311" s="6" t="n">
        <f aca="false">Sens!K12192*(al_lic+Sens!K12309+sbc_r)</f>
        <v>38.1483796887598</v>
      </c>
    </row>
    <row r="12312" customFormat="false" ht="17.15" hidden="false" customHeight="false" outlineLevel="0" collapsed="false">
      <c r="A12312" s="0" t="s">
        <v>1238</v>
      </c>
      <c r="B12312" s="0" t="s">
        <v>98</v>
      </c>
      <c r="F12312" s="6" t="n">
        <f aca="false">Sens!F12194*(al_ind+Sens!F12309+sbc_r)</f>
        <v>9.05856349153979</v>
      </c>
      <c r="G12312" s="6" t="n">
        <f aca="false">Sens!G12194*(al_ind+Sens!G12309+sbc_r)</f>
        <v>9.82344369586338</v>
      </c>
      <c r="H12312" s="6" t="n">
        <f aca="false">Sens!H12194*(al_ind+Sens!H12309+sbc_r)</f>
        <v>10.6356303992531</v>
      </c>
      <c r="I12312" s="6" t="n">
        <f aca="false">Sens!I12194*(al_ind+Sens!I12309+sbc_r)</f>
        <v>11.4932259734106</v>
      </c>
      <c r="J12312" s="6" t="n">
        <f aca="false">Sens!J12194*(al_ind+Sens!J12309+sbc_r)</f>
        <v>12.3852180054807</v>
      </c>
      <c r="K12312" s="6" t="n">
        <f aca="false">Sens!K12194*(al_ind+Sens!K12309+sbc_r)</f>
        <v>13.2934173670485</v>
      </c>
    </row>
    <row r="12313" customFormat="false" ht="17.15" hidden="false" customHeight="false" outlineLevel="0" collapsed="false">
      <c r="A12313" s="0" t="s">
        <v>1239</v>
      </c>
      <c r="B12313" s="0" t="s">
        <v>98</v>
      </c>
      <c r="F12313" s="6" t="n">
        <f aca="false">Sens!F12196*(al_fro+Sens!F12309+sbc_r)</f>
        <v>3.55330244228728</v>
      </c>
      <c r="G12313" s="6" t="n">
        <f aca="false">Sens!G12196*(al_fro+Sens!G12309+sbc_r)</f>
        <v>3.75873746325008</v>
      </c>
      <c r="H12313" s="6" t="n">
        <f aca="false">Sens!H12196*(al_fro+Sens!H12309+sbc_r)</f>
        <v>3.99417838804732</v>
      </c>
      <c r="I12313" s="6" t="n">
        <f aca="false">Sens!I12196*(al_fro+Sens!I12309+sbc_r)</f>
        <v>4.26269932909226</v>
      </c>
      <c r="J12313" s="6" t="n">
        <f aca="false">Sens!J12196*(al_fro+Sens!J12309+sbc_r)</f>
        <v>4.56488215462409</v>
      </c>
      <c r="K12313" s="6" t="n">
        <f aca="false">Sens!K12196*(al_fro+Sens!K12309+sbc_r)</f>
        <v>4.89962176571751</v>
      </c>
    </row>
    <row r="12314" customFormat="false" ht="17.15" hidden="false" customHeight="false" outlineLevel="0" collapsed="false">
      <c r="A12314" s="0" t="s">
        <v>1240</v>
      </c>
      <c r="B12314" s="0" t="s">
        <v>98</v>
      </c>
      <c r="F12314" s="6" t="n">
        <f aca="false">Sens!F12199*(al_srch+Sens!F12309+sbc_r)</f>
        <v>11.1868013103213</v>
      </c>
      <c r="G12314" s="6" t="n">
        <f aca="false">Sens!G12199*(al_srch+Sens!G12309+sbc_r)</f>
        <v>12.245848391309</v>
      </c>
      <c r="H12314" s="6" t="n">
        <f aca="false">Sens!H12199*(al_srch+Sens!H12309+sbc_r)</f>
        <v>13.3526375051444</v>
      </c>
      <c r="I12314" s="6" t="n">
        <f aca="false">Sens!I12199*(al_srch+Sens!I12309+sbc_r)</f>
        <v>14.4981175923001</v>
      </c>
      <c r="J12314" s="6" t="n">
        <f aca="false">Sens!J12199*(al_srch+Sens!J12309+sbc_r)</f>
        <v>15.6607671271388</v>
      </c>
      <c r="K12314" s="6" t="n">
        <f aca="false">Sens!K12199*(al_srch+Sens!K12309+sbc_r)</f>
        <v>16.809160211559</v>
      </c>
    </row>
    <row r="12315" customFormat="false" ht="17.15" hidden="false" customHeight="false" outlineLevel="0" collapsed="false">
      <c r="A12315" s="0" t="s">
        <v>1241</v>
      </c>
      <c r="B12315" s="0" t="s">
        <v>98</v>
      </c>
      <c r="F12315" s="6" t="n">
        <f aca="false">Sens!F12167-Sens!F12168+Sens!F12249</f>
        <v>45.3782580567763</v>
      </c>
      <c r="G12315" s="6" t="n">
        <f aca="false">Sens!G12167-Sens!G12168+Sens!G12249</f>
        <v>91.0863367558165</v>
      </c>
      <c r="H12315" s="6" t="n">
        <f aca="false">Sens!H12167-Sens!H12168+Sens!H12249</f>
        <v>144.617532464853</v>
      </c>
      <c r="I12315" s="6" t="n">
        <f aca="false">Sens!I12167-Sens!I12168+Sens!I12249</f>
        <v>187.137304561304</v>
      </c>
      <c r="J12315" s="6" t="n">
        <f aca="false">Sens!J12167-Sens!J12168+Sens!J12249</f>
        <v>217.006854425907</v>
      </c>
      <c r="K12315" s="6" t="n">
        <f aca="false">Sens!K12167-Sens!K12168+Sens!K12249</f>
        <v>234.933637903877</v>
      </c>
    </row>
    <row r="12316" customFormat="false" ht="17.15" hidden="false" customHeight="false" outlineLevel="0" collapsed="false">
      <c r="A12316" s="0" t="s">
        <v>1242</v>
      </c>
      <c r="B12316" s="0" t="s">
        <v>98</v>
      </c>
      <c r="F12316" s="6" t="n">
        <f aca="false">Sens!F12228+Sens!F12249+Sens!F12179+Sens!F12309*(Sens!F12198-Sens!F12161)+sbc_r*Sens!F12198</f>
        <v>240.813820094159</v>
      </c>
      <c r="G12316" s="6" t="n">
        <f aca="false">Sens!G12228+Sens!G12249+Sens!G12179+Sens!G12309*(Sens!G12198-Sens!G12161)+sbc_r*Sens!G12198</f>
        <v>311.903202016753</v>
      </c>
      <c r="H12316" s="6" t="n">
        <f aca="false">Sens!H12228+Sens!H12249+Sens!H12179+Sens!H12309*(Sens!H12198-Sens!H12161)+sbc_r*Sens!H12198</f>
        <v>395.457421261137</v>
      </c>
      <c r="I12316" s="6" t="n">
        <f aca="false">Sens!I12228+Sens!I12249+Sens!I12179+Sens!I12309*(Sens!I12198-Sens!I12161)+sbc_r*Sens!I12198</f>
        <v>465.902970923961</v>
      </c>
      <c r="J12316" s="6" t="n">
        <f aca="false">Sens!J12228+Sens!J12249+Sens!J12179+Sens!J12309*(Sens!J12198-Sens!J12161)+sbc_r*Sens!J12198</f>
        <v>520.713614638368</v>
      </c>
      <c r="K12316" s="6" t="n">
        <f aca="false">Sens!K12228+Sens!K12249+Sens!K12179+Sens!K12309*(Sens!K12198-Sens!K12161)+sbc_r*Sens!K12198</f>
        <v>561.140167512594</v>
      </c>
    </row>
    <row r="12317" customFormat="false" ht="17.15" hidden="false" customHeight="false" outlineLevel="0" collapsed="false">
      <c r="A12317" s="0" t="s">
        <v>1243</v>
      </c>
      <c r="B12317" s="0" t="s">
        <v>98</v>
      </c>
      <c r="F12317" s="6" t="n">
        <f aca="false">Sens!F12316-Sens!F12310-Sens!F12311-Sens!F12312-Sens!F12313-Sens!F12315</f>
        <v>65.4496700132658</v>
      </c>
      <c r="G12317" s="6" t="n">
        <f aca="false">Sens!G12316-Sens!G12310-Sens!G12311-Sens!G12312-Sens!G12313-Sens!G12315</f>
        <v>74.1744529597857</v>
      </c>
      <c r="H12317" s="6" t="n">
        <f aca="false">Sens!H12316-Sens!H12310-Sens!H12311-Sens!H12312-Sens!H12313-Sens!H12315</f>
        <v>87.3801017587843</v>
      </c>
      <c r="I12317" s="6" t="n">
        <f aca="false">Sens!I12316-Sens!I12310-Sens!I12311-Sens!I12312-Sens!I12313-Sens!I12315</f>
        <v>100.025839754061</v>
      </c>
      <c r="J12317" s="6" t="n">
        <f aca="false">Sens!J12316-Sens!J12310-Sens!J12311-Sens!J12312-Sens!J12313-Sens!J12315</f>
        <v>111.449218734647</v>
      </c>
      <c r="K12317" s="6" t="n">
        <f aca="false">Sens!K12316-Sens!K12310-Sens!K12311-Sens!K12312-Sens!K12313-Sens!K12315</f>
        <v>120.92400653885</v>
      </c>
    </row>
    <row r="12318" customFormat="false" ht="17.15" hidden="false" customHeight="false" outlineLevel="0" collapsed="false">
      <c r="A12318" s="0" t="s">
        <v>1244</v>
      </c>
      <c r="B12318" s="0" t="s">
        <v>98</v>
      </c>
      <c r="F12318" s="6" t="n">
        <f aca="false">Sens!F12230+Sens!F12309*Sens!F12205+sbc_r*Sens!F12205</f>
        <v>26.6610329604381</v>
      </c>
      <c r="G12318" s="6" t="n">
        <f aca="false">Sens!G12230+Sens!G12309*Sens!G12205+sbc_r*Sens!G12205</f>
        <v>26.5517133167906</v>
      </c>
      <c r="H12318" s="6" t="n">
        <f aca="false">Sens!H12230+Sens!H12309*Sens!H12205+sbc_r*Sens!H12205</f>
        <v>27.5225698109791</v>
      </c>
      <c r="I12318" s="6" t="n">
        <f aca="false">Sens!I12230+Sens!I12309*Sens!I12205+sbc_r*Sens!I12205</f>
        <v>28.7782387291248</v>
      </c>
      <c r="J12318" s="6" t="n">
        <f aca="false">Sens!J12230+Sens!J12309*Sens!J12205+sbc_r*Sens!J12205</f>
        <v>30.2871097192354</v>
      </c>
      <c r="K12318" s="6" t="n">
        <f aca="false">Sens!K12230+Sens!K12309*Sens!K12205+sbc_r*Sens!K12205</f>
        <v>32.0165314935553</v>
      </c>
    </row>
    <row r="12319" customFormat="false" ht="17.15" hidden="false" customHeight="false" outlineLevel="0" collapsed="false">
      <c r="A12319" s="0" t="s">
        <v>1245</v>
      </c>
      <c r="B12319" s="0" t="s">
        <v>98</v>
      </c>
      <c r="F12319" s="6" t="n">
        <f aca="false">(Sens!F12318-Sens!F12314)*Sens!F12201/(Sens!F12201+Sens!F12203)</f>
        <v>8.75451043248138</v>
      </c>
      <c r="G12319" s="6" t="n">
        <f aca="false">(Sens!G12318-Sens!G12314)*Sens!G12201/(Sens!G12201+Sens!G12203)</f>
        <v>7.99131439831022</v>
      </c>
      <c r="H12319" s="6" t="n">
        <f aca="false">(Sens!H12318-Sens!H12314)*Sens!H12201/(Sens!H12201+Sens!H12203)</f>
        <v>7.86657172992392</v>
      </c>
      <c r="I12319" s="6" t="n">
        <f aca="false">(Sens!I12318-Sens!I12314)*Sens!I12201/(Sens!I12201+Sens!I12203)</f>
        <v>7.930283921975</v>
      </c>
      <c r="J12319" s="6" t="n">
        <f aca="false">(Sens!J12318-Sens!J12314)*Sens!J12201/(Sens!J12201+Sens!J12203)</f>
        <v>8.17679553541907</v>
      </c>
      <c r="K12319" s="6" t="n">
        <f aca="false">(Sens!K12318-Sens!K12314)*Sens!K12201/(Sens!K12201+Sens!K12203)</f>
        <v>8.61009309344826</v>
      </c>
    </row>
    <row r="12320" customFormat="false" ht="17.15" hidden="false" customHeight="false" outlineLevel="0" collapsed="false">
      <c r="A12320" s="0" t="s">
        <v>1246</v>
      </c>
      <c r="B12320" s="0" t="s">
        <v>98</v>
      </c>
      <c r="F12320" s="6" t="n">
        <f aca="false">Sens!F12318-Sens!F12314-Sens!F12319</f>
        <v>6.71972121763543</v>
      </c>
      <c r="G12320" s="6" t="n">
        <f aca="false">Sens!G12318-Sens!G12314-Sens!G12319</f>
        <v>6.31455052717136</v>
      </c>
      <c r="H12320" s="6" t="n">
        <f aca="false">Sens!H12318-Sens!H12314-Sens!H12319</f>
        <v>6.30336057591074</v>
      </c>
      <c r="I12320" s="6" t="n">
        <f aca="false">Sens!I12318-Sens!I12314-Sens!I12319</f>
        <v>6.34983721484962</v>
      </c>
      <c r="J12320" s="6" t="n">
        <f aca="false">Sens!J12318-Sens!J12314-Sens!J12319</f>
        <v>6.44954705667746</v>
      </c>
      <c r="K12320" s="6" t="n">
        <f aca="false">Sens!K12318-Sens!K12314-Sens!K12319</f>
        <v>6.59727818854809</v>
      </c>
    </row>
    <row r="12321" customFormat="false" ht="17.15" hidden="false" customHeight="false" outlineLevel="0" collapsed="false">
      <c r="A12321" s="0" t="s">
        <v>1247</v>
      </c>
      <c r="B12321" s="0" t="s">
        <v>98</v>
      </c>
      <c r="F12321" s="6" t="n">
        <f aca="false">Sens!F12315-tax_f*(Sens!F12315-Sens!F12179)-Sens!F12176</f>
        <v>-125.235434701028</v>
      </c>
      <c r="G12321" s="6" t="n">
        <f aca="false">Sens!G12315-tax_f*(Sens!G12315-Sens!G12179)-Sens!G12176</f>
        <v>-106.928508113935</v>
      </c>
      <c r="H12321" s="6" t="n">
        <f aca="false">Sens!H12315-tax_f*(Sens!H12315-Sens!H12179)-Sens!H12176</f>
        <v>-63.2919599603405</v>
      </c>
      <c r="I12321" s="6" t="n">
        <f aca="false">Sens!I12315-tax_f*(Sens!I12315-Sens!I12179)-Sens!I12176</f>
        <v>3.94121196634245</v>
      </c>
      <c r="J12321" s="6" t="n">
        <f aca="false">Sens!J12315-tax_f*(Sens!J12315-Sens!J12179)-Sens!J12176</f>
        <v>71.0786869547042</v>
      </c>
      <c r="K12321" s="6" t="n">
        <f aca="false">Sens!K12315-tax_f*(Sens!K12315-Sens!K12179)-Sens!K12176</f>
        <v>97.5865911685559</v>
      </c>
    </row>
    <row r="12322" customFormat="false" ht="17.15" hidden="false" customHeight="false" outlineLevel="0" collapsed="false">
      <c r="A12322" s="0" t="s">
        <v>1248</v>
      </c>
      <c r="B12322" s="0" t="s">
        <v>98</v>
      </c>
      <c r="G12322" s="6" t="n">
        <f aca="false">Sens!G12321/(1+wacc)^(Sens!G12292-Sens!F12293)</f>
        <v>-101.81651667568</v>
      </c>
      <c r="H12322" s="6" t="n">
        <f aca="false">Sens!H12321/(1+wacc)^(Sens!H12292-Sens!F12293)</f>
        <v>-54.6415143556151</v>
      </c>
      <c r="I12322" s="6" t="n">
        <f aca="false">Sens!I12321/(1+wacc)^(Sens!I12292-Sens!F12293)</f>
        <v>3.08498765169516</v>
      </c>
      <c r="J12322" s="6" t="n">
        <f aca="false">Sens!J12321/(1+wacc)^(Sens!J12292-Sens!F12293)</f>
        <v>50.4443451596971</v>
      </c>
      <c r="K12322" s="6" t="n">
        <f aca="false">Sens!K12321/(1+wacc)^(Sens!K12292-Sens!F12293)</f>
        <v>62.7932114544856</v>
      </c>
      <c r="L12322" s="1" t="s">
        <v>1249</v>
      </c>
    </row>
    <row r="12323" customFormat="false" ht="17.15" hidden="false" customHeight="false" outlineLevel="0" collapsed="false">
      <c r="A12323" s="0" t="s">
        <v>1250</v>
      </c>
      <c r="B12323" s="0" t="s">
        <v>98</v>
      </c>
      <c r="C12323" s="6" t="n">
        <f aca="false">(Sens!K12315-Sens!K12179)*(1-tax_f)*(1+g_tv)*(1-g_tv/(wacc+ronic_prem))/(wacc-g_tv)/(1+wacc)^(Sens!K12293-Sens!F12293)</f>
        <v>450.836735002813</v>
      </c>
    </row>
    <row r="12324" customFormat="false" ht="17.15" hidden="false" customHeight="false" outlineLevel="0" collapsed="false">
      <c r="A12324" s="1" t="s">
        <v>1251</v>
      </c>
      <c r="B12324" s="0" t="s">
        <v>98</v>
      </c>
      <c r="C12324" s="6" t="n">
        <f aca="false">(SUM(Sens!G12322:K12322)+Sens!$C$12323)*(1+wacc)^(t_roll-Sens!F12293)</f>
        <v>424.259738494477</v>
      </c>
      <c r="L12324" s="12" t="s">
        <v>1252</v>
      </c>
    </row>
    <row r="12325" customFormat="false" ht="17.15" hidden="false" customHeight="false" outlineLevel="0" collapsed="false">
      <c r="A12325" s="1" t="s">
        <v>1253</v>
      </c>
      <c r="B12325" s="0" t="s">
        <v>98</v>
      </c>
      <c r="C12325" s="6" t="n">
        <f aca="false">(w_ntm28*Sens!G12167+(1-w_ntm28)*Sens!H12167)*m_ai</f>
        <v>563.316843258668</v>
      </c>
    </row>
    <row r="12326" customFormat="false" ht="17.15" hidden="false" customHeight="false" outlineLevel="0" collapsed="false">
      <c r="A12326" s="1" t="s">
        <v>1254</v>
      </c>
      <c r="B12326" s="0" t="s">
        <v>98</v>
      </c>
      <c r="C12326" s="6" t="n">
        <f aca="false">(w_ntm28*Sens!G12317+(1-w_ntm28)*Sens!H12317)*m_cloud</f>
        <v>1085.09161926933</v>
      </c>
    </row>
    <row r="12327" customFormat="false" ht="17.15" hidden="false" customHeight="false" outlineLevel="0" collapsed="false">
      <c r="A12327" s="1" t="s">
        <v>1255</v>
      </c>
      <c r="B12327" s="0" t="s">
        <v>98</v>
      </c>
      <c r="C12327" s="6" t="n">
        <f aca="false">(w_ntm28*Sens!G12310+(1-w_ntm28)*Sens!H12310)*m_sw</f>
        <v>1120.38496131098</v>
      </c>
    </row>
    <row r="12328" customFormat="false" ht="17.15" hidden="false" customHeight="false" outlineLevel="0" collapsed="false">
      <c r="A12328" s="1" t="s">
        <v>1256</v>
      </c>
      <c r="B12328" s="0" t="s">
        <v>98</v>
      </c>
      <c r="C12328" s="6" t="n">
        <f aca="false">(w_ntm28*Sens!G12311+(1-w_ntm28)*Sens!H12311)*m_sw</f>
        <v>372.658938453648</v>
      </c>
    </row>
    <row r="12329" customFormat="false" ht="17.15" hidden="false" customHeight="false" outlineLevel="0" collapsed="false">
      <c r="A12329" s="1" t="s">
        <v>1257</v>
      </c>
      <c r="B12329" s="0" t="s">
        <v>98</v>
      </c>
      <c r="C12329" s="6" t="n">
        <f aca="false">(w_ntm28*Sens!G12312+(1-w_ntm28)*Sens!H12312)*m_sw</f>
        <v>108.977011004621</v>
      </c>
    </row>
    <row r="12330" customFormat="false" ht="17.15" hidden="false" customHeight="false" outlineLevel="0" collapsed="false">
      <c r="A12330" s="1" t="s">
        <v>1258</v>
      </c>
      <c r="B12330" s="0" t="s">
        <v>98</v>
      </c>
      <c r="C12330" s="6" t="n">
        <f aca="false">(w_ntm28*Sens!G12313+(1-w_ntm28)*Sens!H12313)*m_sw</f>
        <v>41.4303411470385</v>
      </c>
    </row>
    <row r="12331" customFormat="false" ht="17.15" hidden="false" customHeight="false" outlineLevel="0" collapsed="false">
      <c r="A12331" s="1" t="s">
        <v>1259</v>
      </c>
      <c r="B12331" s="0" t="s">
        <v>98</v>
      </c>
      <c r="C12331" s="6" t="n">
        <f aca="false">(w_ntm28*Sens!G12314+(1-w_ntm28)*Sens!H12314)*m_ads</f>
        <v>114.874588048236</v>
      </c>
    </row>
    <row r="12332" customFormat="false" ht="17.15" hidden="false" customHeight="false" outlineLevel="0" collapsed="false">
      <c r="A12332" s="1" t="s">
        <v>1260</v>
      </c>
      <c r="B12332" s="0" t="s">
        <v>98</v>
      </c>
      <c r="C12332" s="6" t="n">
        <f aca="false">(w_ntm28*Sens!G12319+(1-w_ntm28)*Sens!H12319)*m_game</f>
        <v>100.41232828023</v>
      </c>
    </row>
    <row r="12333" customFormat="false" ht="17.15" hidden="false" customHeight="false" outlineLevel="0" collapsed="false">
      <c r="A12333" s="1" t="s">
        <v>1261</v>
      </c>
      <c r="B12333" s="0" t="s">
        <v>98</v>
      </c>
      <c r="C12333" s="6" t="n">
        <f aca="false">(w_ntm28*Sens!G12320+(1-w_ntm28)*Sens!H12320)*m_pc</f>
        <v>91.3183126175698</v>
      </c>
    </row>
    <row r="12334" customFormat="false" ht="17.15" hidden="false" customHeight="false" outlineLevel="0" collapsed="false">
      <c r="A12334" s="1" t="s">
        <v>1262</v>
      </c>
      <c r="B12334" s="0" t="s">
        <v>98</v>
      </c>
      <c r="C12334" s="6" t="n">
        <f aca="false">Sens!$C$12324+Sens!$C$12326+Sens!$C$12327+Sens!$C$12328+Sens!$C$12329+Sens!$C$12330+Sens!$C$12331+Sens!$C$12332+Sens!$C$12333</f>
        <v>3459.40783862613</v>
      </c>
    </row>
    <row r="12335" customFormat="false" ht="17.15" hidden="false" customHeight="false" outlineLevel="0" collapsed="false">
      <c r="A12335" s="1" t="s">
        <v>1263</v>
      </c>
      <c r="B12335" s="0" t="s">
        <v>98</v>
      </c>
      <c r="C12335" s="6" t="n">
        <f aca="false">(Sens!G12296-Sens!G12321)*t_stub</f>
        <v>48.303288807093</v>
      </c>
      <c r="L12335" s="1" t="s">
        <v>1264</v>
      </c>
    </row>
    <row r="12336" customFormat="false" ht="17.15" hidden="false" customHeight="false" outlineLevel="0" collapsed="false">
      <c r="A12336" s="1" t="s">
        <v>1173</v>
      </c>
      <c r="B12336" s="0" t="s">
        <v>98</v>
      </c>
      <c r="C12336" s="6" t="n">
        <f aca="false">Sens!F12283+oai_v-Sens!F12272+Sens!$C$12335</f>
        <v>162.531558807093</v>
      </c>
      <c r="L12336" s="1" t="s">
        <v>1265</v>
      </c>
    </row>
    <row r="12337" customFormat="false" ht="17.15" hidden="false" customHeight="false" outlineLevel="0" collapsed="false">
      <c r="A12337" s="1" t="s">
        <v>1266</v>
      </c>
      <c r="B12337" s="0" t="s">
        <v>75</v>
      </c>
      <c r="C12337" s="5" t="n">
        <f aca="false">(Sens!$C$12334+Sens!$C$12336)/(Sens!F12285+dil_gap)-Sens!G12275*roll_div_q/q_per_yr</f>
        <v>482.516010961936</v>
      </c>
      <c r="L12337" s="1" t="s">
        <v>1267</v>
      </c>
    </row>
    <row r="12338" customFormat="false" ht="17.15" hidden="false" customHeight="false" outlineLevel="0" collapsed="false">
      <c r="A12338" s="1" t="s">
        <v>1268</v>
      </c>
      <c r="B12338" s="0" t="s">
        <v>75</v>
      </c>
      <c r="C12338" s="5" t="n">
        <f aca="false">w_dcf*Sens!$C$12308+(1-w_dcf)*Sens!$C$12337</f>
        <v>423.636723795334</v>
      </c>
    </row>
    <row r="12339" customFormat="false" ht="17.15" hidden="false" customHeight="false" outlineLevel="0" collapsed="false">
      <c r="A12339" s="3" t="s">
        <v>1920</v>
      </c>
    </row>
    <row r="12340" customFormat="false" ht="15" hidden="false" customHeight="false" outlineLevel="0" collapsed="false">
      <c r="A12340" s="4" t="s">
        <v>43</v>
      </c>
      <c r="B12340" s="4" t="s">
        <v>65</v>
      </c>
      <c r="C12340" s="23" t="s">
        <v>942</v>
      </c>
      <c r="D12340" s="23" t="s">
        <v>943</v>
      </c>
      <c r="E12340" s="23" t="s">
        <v>944</v>
      </c>
      <c r="F12340" s="23" t="s">
        <v>945</v>
      </c>
      <c r="G12340" s="23" t="s">
        <v>946</v>
      </c>
      <c r="H12340" s="23" t="s">
        <v>947</v>
      </c>
      <c r="I12340" s="23" t="s">
        <v>948</v>
      </c>
      <c r="J12340" s="23" t="s">
        <v>949</v>
      </c>
      <c r="K12340" s="23" t="s">
        <v>950</v>
      </c>
      <c r="L12340" s="4" t="s">
        <v>47</v>
      </c>
    </row>
    <row r="12341" customFormat="false" ht="17.15" hidden="false" customHeight="false" outlineLevel="0" collapsed="false">
      <c r="A12341" s="1" t="s">
        <v>951</v>
      </c>
      <c r="B12341" s="1" t="s">
        <v>279</v>
      </c>
      <c r="C12341" s="21" t="n">
        <v>2024</v>
      </c>
      <c r="D12341" s="21" t="n">
        <v>2025</v>
      </c>
      <c r="E12341" s="21" t="n">
        <v>2026</v>
      </c>
      <c r="F12341" s="21" t="n">
        <v>2027</v>
      </c>
      <c r="G12341" s="21" t="n">
        <v>2028</v>
      </c>
      <c r="H12341" s="21" t="n">
        <v>2029</v>
      </c>
      <c r="I12341" s="21" t="n">
        <v>2030</v>
      </c>
      <c r="J12341" s="21" t="n">
        <v>2031</v>
      </c>
      <c r="K12341" s="21" t="n">
        <v>2032</v>
      </c>
    </row>
    <row r="12342" customFormat="false" ht="17.15" hidden="false" customHeight="false" outlineLevel="0" collapsed="false">
      <c r="A12342" s="1" t="s">
        <v>952</v>
      </c>
      <c r="B12342" s="0" t="s">
        <v>459</v>
      </c>
      <c r="F12342" s="30" t="n">
        <f aca="false">pace</f>
        <v>2726.5351</v>
      </c>
      <c r="G12342" s="30" t="n">
        <f aca="false">pace</f>
        <v>2726.5351</v>
      </c>
      <c r="H12342" s="30" t="n">
        <f aca="false">pace</f>
        <v>2726.5351</v>
      </c>
      <c r="I12342" s="30" t="n">
        <f aca="false">pace+(g_tv*Sens!H12343-pace)*MIN(1,(Sens!I12341-pace_y0)/(pace_y1-pace_y0))</f>
        <v>1931.98611966667</v>
      </c>
      <c r="J12342" s="30" t="n">
        <f aca="false">pace+(g_tv*Sens!I12343-pace)*MIN(1,(Sens!J12341-pace_y0)/(pace_y1-pace_y0))</f>
        <v>1176.07686172667</v>
      </c>
      <c r="K12342" s="30" t="n">
        <f aca="false">pace+(g_tv*Sens!J12343-pace)*MIN(1,(Sens!K12341-pace_y0)/(pace_y1-pace_y0))</f>
        <v>436.1300484418</v>
      </c>
      <c r="L12342" s="12" t="s">
        <v>953</v>
      </c>
    </row>
    <row r="12343" customFormat="false" ht="17.15" hidden="false" customHeight="false" outlineLevel="0" collapsed="false">
      <c r="A12343" s="1" t="s">
        <v>954</v>
      </c>
      <c r="B12343" s="0" t="s">
        <v>459</v>
      </c>
      <c r="C12343" s="30" t="n">
        <f aca="false">mw_ext_24</f>
        <v>640</v>
      </c>
      <c r="D12343" s="30" t="n">
        <f aca="false">mw_ext_25</f>
        <v>1630</v>
      </c>
      <c r="E12343" s="30" t="n">
        <f aca="false">mw_ext_26</f>
        <v>3250</v>
      </c>
      <c r="F12343" s="30" t="n">
        <f aca="false">Sens!E12343+Sens!F12342</f>
        <v>5976.5351</v>
      </c>
      <c r="G12343" s="30" t="n">
        <f aca="false">Sens!F12343+Sens!G12342</f>
        <v>8703.0702</v>
      </c>
      <c r="H12343" s="30" t="n">
        <f aca="false">Sens!G12343+Sens!H12342</f>
        <v>11429.6053</v>
      </c>
      <c r="I12343" s="30" t="n">
        <f aca="false">Sens!H12343+Sens!I12342</f>
        <v>13361.5914196667</v>
      </c>
      <c r="J12343" s="30" t="n">
        <f aca="false">Sens!I12343+Sens!J12342</f>
        <v>14537.6682813933</v>
      </c>
      <c r="K12343" s="30" t="n">
        <f aca="false">Sens!J12343+Sens!K12342</f>
        <v>14973.7983298351</v>
      </c>
      <c r="L12343" s="1" t="s">
        <v>955</v>
      </c>
    </row>
    <row r="12344" customFormat="false" ht="17.15" hidden="false" customHeight="false" outlineLevel="0" collapsed="false">
      <c r="A12344" s="1" t="s">
        <v>956</v>
      </c>
      <c r="B12344" s="0" t="s">
        <v>459</v>
      </c>
      <c r="C12344" s="30" t="n">
        <f aca="false">rent_ext_24</f>
        <v>150</v>
      </c>
      <c r="D12344" s="30" t="n">
        <f aca="false">rent_ext_25</f>
        <v>400</v>
      </c>
      <c r="E12344" s="30" t="n">
        <f aca="false">rent_ext_26</f>
        <v>550</v>
      </c>
      <c r="F12344" s="30" t="n">
        <f aca="false">rent_ext_f</f>
        <v>756</v>
      </c>
      <c r="G12344" s="30" t="n">
        <f aca="false">rent_ext_f</f>
        <v>756</v>
      </c>
      <c r="H12344" s="30" t="n">
        <f aca="false">rent_ext_f</f>
        <v>756</v>
      </c>
      <c r="I12344" s="30" t="n">
        <f aca="false">rent_ext_f</f>
        <v>756</v>
      </c>
      <c r="J12344" s="30" t="n">
        <f aca="false">rent_ext_f</f>
        <v>756</v>
      </c>
      <c r="K12344" s="30" t="n">
        <f aca="false">rent_ext_f</f>
        <v>756</v>
      </c>
      <c r="L12344" s="1" t="s">
        <v>957</v>
      </c>
    </row>
    <row r="12345" customFormat="false" ht="17.15" hidden="false" customHeight="false" outlineLevel="0" collapsed="false">
      <c r="A12345" s="1" t="s">
        <v>958</v>
      </c>
      <c r="B12345" s="0" t="s">
        <v>459</v>
      </c>
      <c r="C12345" s="30" t="n">
        <f aca="false">Sens!C12343-Sens!C12344</f>
        <v>490</v>
      </c>
      <c r="D12345" s="30" t="n">
        <f aca="false">Sens!D12343-Sens!D12344</f>
        <v>1230</v>
      </c>
      <c r="E12345" s="30" t="n">
        <f aca="false">Sens!E12343-Sens!E12344</f>
        <v>2700</v>
      </c>
      <c r="F12345" s="30" t="n">
        <f aca="false">Sens!F12343-Sens!F12344</f>
        <v>5220.5351</v>
      </c>
      <c r="G12345" s="30" t="n">
        <f aca="false">Sens!G12343-Sens!G12344</f>
        <v>7947.0702</v>
      </c>
      <c r="H12345" s="30" t="n">
        <f aca="false">Sens!H12343-Sens!H12344</f>
        <v>10673.6053</v>
      </c>
      <c r="I12345" s="30" t="n">
        <f aca="false">Sens!I12343-Sens!I12344</f>
        <v>12605.5914196667</v>
      </c>
      <c r="J12345" s="30" t="n">
        <f aca="false">Sens!J12343-Sens!J12344</f>
        <v>13781.6682813933</v>
      </c>
      <c r="K12345" s="30" t="n">
        <f aca="false">Sens!K12343-Sens!K12344</f>
        <v>14217.7983298351</v>
      </c>
    </row>
    <row r="12346" customFormat="false" ht="17.15" hidden="false" customHeight="false" outlineLevel="0" collapsed="false">
      <c r="A12346" s="1" t="s">
        <v>959</v>
      </c>
      <c r="B12346" s="0" t="s">
        <v>459</v>
      </c>
      <c r="C12346" s="30" t="n">
        <f aca="false">Sens!C12345/ext_sh</f>
        <v>816.666666666667</v>
      </c>
      <c r="D12346" s="30" t="n">
        <f aca="false">Sens!D12345/ext_sh</f>
        <v>2050</v>
      </c>
      <c r="E12346" s="30" t="n">
        <f aca="false">Sens!E12345/ext_sh</f>
        <v>4500</v>
      </c>
      <c r="F12346" s="30" t="n">
        <f aca="false">Sens!F12345/ext_sh</f>
        <v>8700.89183333333</v>
      </c>
      <c r="G12346" s="30" t="n">
        <f aca="false">Sens!G12345/ext_sh</f>
        <v>13245.117</v>
      </c>
      <c r="H12346" s="30" t="n">
        <f aca="false">Sens!H12345/ext_sh</f>
        <v>17789.3421666667</v>
      </c>
      <c r="I12346" s="30" t="n">
        <f aca="false">Sens!I12345/ext_sh</f>
        <v>21009.3190327778</v>
      </c>
      <c r="J12346" s="30" t="n">
        <f aca="false">Sens!J12345/ext_sh</f>
        <v>22969.4471356556</v>
      </c>
      <c r="K12346" s="30" t="n">
        <f aca="false">Sens!K12345/ext_sh</f>
        <v>23696.3305497252</v>
      </c>
      <c r="L12346" s="1" t="s">
        <v>960</v>
      </c>
    </row>
    <row r="12347" customFormat="false" ht="17.15" hidden="false" customHeight="false" outlineLevel="0" collapsed="false">
      <c r="A12347" s="1" t="s">
        <v>961</v>
      </c>
      <c r="B12347" s="0" t="s">
        <v>459</v>
      </c>
      <c r="C12347" s="30" t="n">
        <f aca="false">Sens!C12346-Sens!C12345</f>
        <v>326.666666666667</v>
      </c>
      <c r="D12347" s="30" t="n">
        <f aca="false">Sens!D12346-Sens!D12345</f>
        <v>820</v>
      </c>
      <c r="E12347" s="30" t="n">
        <f aca="false">Sens!E12346-Sens!E12345</f>
        <v>1800</v>
      </c>
      <c r="F12347" s="30" t="n">
        <f aca="false">Sens!F12346-Sens!F12345</f>
        <v>3480.35673333333</v>
      </c>
      <c r="G12347" s="30" t="n">
        <f aca="false">Sens!G12346-Sens!G12345</f>
        <v>5298.0468</v>
      </c>
      <c r="H12347" s="30" t="n">
        <f aca="false">Sens!H12346-Sens!H12345</f>
        <v>7115.73686666667</v>
      </c>
      <c r="I12347" s="30" t="n">
        <f aca="false">Sens!I12346-Sens!I12345</f>
        <v>8403.72761311111</v>
      </c>
      <c r="J12347" s="30" t="n">
        <f aca="false">Sens!J12346-Sens!J12345</f>
        <v>9187.77885426222</v>
      </c>
      <c r="K12347" s="30" t="n">
        <f aca="false">Sens!K12346-Sens!K12345</f>
        <v>9478.53221989009</v>
      </c>
    </row>
    <row r="12348" customFormat="false" ht="17.15" hidden="false" customHeight="false" outlineLevel="0" collapsed="false">
      <c r="A12348" s="1" t="s">
        <v>962</v>
      </c>
      <c r="B12348" s="0" t="s">
        <v>459</v>
      </c>
      <c r="C12348" s="30" t="n">
        <f aca="false">Sens!C12346</f>
        <v>816.666666666667</v>
      </c>
      <c r="D12348" s="30" t="n">
        <f aca="false">Sens!D12346-Sens!C12346</f>
        <v>1233.33333333333</v>
      </c>
      <c r="E12348" s="30" t="n">
        <f aca="false">Sens!E12346-Sens!D12346</f>
        <v>2450</v>
      </c>
      <c r="F12348" s="30" t="n">
        <f aca="false">Sens!F12346-Sens!E12346</f>
        <v>4200.89183333333</v>
      </c>
      <c r="G12348" s="30" t="n">
        <f aca="false">Sens!G12346-Sens!F12346</f>
        <v>4544.22516666667</v>
      </c>
      <c r="H12348" s="30" t="n">
        <f aca="false">Sens!H12346-Sens!G12346</f>
        <v>4544.22516666667</v>
      </c>
      <c r="I12348" s="30" t="n">
        <f aca="false">Sens!I12346-Sens!H12346</f>
        <v>3219.97686611111</v>
      </c>
      <c r="J12348" s="30" t="n">
        <f aca="false">Sens!J12346-Sens!I12346</f>
        <v>1960.12810287778</v>
      </c>
      <c r="K12348" s="30" t="n">
        <f aca="false">Sens!K12346-Sens!J12346</f>
        <v>726.883414069667</v>
      </c>
    </row>
    <row r="12349" customFormat="false" ht="17.15" hidden="false" customHeight="false" outlineLevel="0" collapsed="false">
      <c r="A12349" s="1" t="s">
        <v>963</v>
      </c>
      <c r="B12349" s="0" t="s">
        <v>459</v>
      </c>
      <c r="D12349" s="30" t="n">
        <f aca="false">Sens!D12343-Sens!C12343</f>
        <v>990</v>
      </c>
      <c r="E12349" s="30" t="n">
        <f aca="false">Sens!E12343-Sens!D12343</f>
        <v>1620</v>
      </c>
      <c r="F12349" s="30" t="n">
        <f aca="false">Sens!F12343-Sens!E12343</f>
        <v>2726.5351</v>
      </c>
      <c r="G12349" s="30" t="n">
        <f aca="false">Sens!G12343-Sens!F12343</f>
        <v>2726.5351</v>
      </c>
      <c r="H12349" s="30" t="n">
        <f aca="false">Sens!H12343-Sens!G12343</f>
        <v>2726.5351</v>
      </c>
      <c r="I12349" s="30" t="n">
        <f aca="false">Sens!I12343-Sens!H12343</f>
        <v>1931.98611966667</v>
      </c>
      <c r="J12349" s="30" t="n">
        <f aca="false">Sens!J12343-Sens!I12343</f>
        <v>1176.07686172667</v>
      </c>
      <c r="K12349" s="30" t="n">
        <f aca="false">Sens!K12343-Sens!J12343</f>
        <v>436.130048441799</v>
      </c>
    </row>
    <row r="12350" customFormat="false" ht="17.15" hidden="false" customHeight="false" outlineLevel="0" collapsed="false">
      <c r="A12350" s="1" t="s">
        <v>964</v>
      </c>
      <c r="B12350" s="0" t="s">
        <v>459</v>
      </c>
      <c r="F12350" s="30" t="n">
        <f aca="false">Sens!F12369*ext_sh</f>
        <v>0</v>
      </c>
      <c r="G12350" s="30" t="n">
        <f aca="false">Sens!G12369*ext_sh</f>
        <v>0</v>
      </c>
      <c r="H12350" s="30" t="n">
        <f aca="false">Sens!H12369*ext_sh</f>
        <v>0</v>
      </c>
      <c r="I12350" s="30" t="n">
        <f aca="false">Sens!I12369*ext_sh</f>
        <v>490</v>
      </c>
      <c r="J12350" s="30" t="n">
        <f aca="false">Sens!J12369*ext_sh</f>
        <v>740</v>
      </c>
      <c r="K12350" s="30" t="n">
        <f aca="false">Sens!K12369*ext_sh</f>
        <v>1470</v>
      </c>
      <c r="L12350" s="1" t="s">
        <v>965</v>
      </c>
    </row>
    <row r="12351" customFormat="false" ht="17.15" hidden="false" customHeight="false" outlineLevel="0" collapsed="false">
      <c r="A12351" s="1" t="s">
        <v>966</v>
      </c>
      <c r="B12351" s="0" t="s">
        <v>459</v>
      </c>
      <c r="C12351" s="30" t="n">
        <f aca="false">mix_h*Sens!C12343</f>
        <v>128</v>
      </c>
      <c r="D12351" s="30" t="n">
        <f aca="false">mix_h*Sens!D12343</f>
        <v>326</v>
      </c>
      <c r="E12351" s="30" t="n">
        <f aca="false">mix_h*Sens!E12343</f>
        <v>650</v>
      </c>
      <c r="F12351" s="30" t="n">
        <f aca="false">Sens!E12351-Sens!F12350*mix_h</f>
        <v>650</v>
      </c>
      <c r="G12351" s="30" t="n">
        <f aca="false">Sens!F12351-Sens!G12350*mix_h</f>
        <v>650</v>
      </c>
      <c r="H12351" s="30" t="n">
        <f aca="false">Sens!G12351-Sens!H12350*mix_h</f>
        <v>650</v>
      </c>
      <c r="I12351" s="30" t="n">
        <f aca="false">Sens!H12351-Sens!I12350*mix_h</f>
        <v>552</v>
      </c>
      <c r="J12351" s="30" t="n">
        <f aca="false">Sens!I12351-Sens!J12350*mix_h</f>
        <v>404</v>
      </c>
      <c r="K12351" s="30" t="n">
        <f aca="false">Sens!J12351-Sens!K12350*mix_h</f>
        <v>110</v>
      </c>
    </row>
    <row r="12352" customFormat="false" ht="17.15" hidden="false" customHeight="false" outlineLevel="0" collapsed="false">
      <c r="A12352" s="1" t="s">
        <v>967</v>
      </c>
      <c r="B12352" s="0" t="s">
        <v>459</v>
      </c>
      <c r="C12352" s="30" t="n">
        <f aca="false">mix_g2*Sens!C12343</f>
        <v>288</v>
      </c>
      <c r="D12352" s="30" t="n">
        <f aca="false">mix_g2*Sens!D12343</f>
        <v>733.5</v>
      </c>
      <c r="E12352" s="30" t="n">
        <f aca="false">mix_g2*Sens!E12343</f>
        <v>1462.5</v>
      </c>
      <c r="F12352" s="30" t="n">
        <f aca="false">Sens!E12352-Sens!F12350*mix_g2</f>
        <v>1462.5</v>
      </c>
      <c r="G12352" s="30" t="n">
        <f aca="false">Sens!F12352-Sens!G12350*mix_g2</f>
        <v>1462.5</v>
      </c>
      <c r="H12352" s="30" t="n">
        <f aca="false">Sens!G12352-Sens!H12350*mix_g2</f>
        <v>1462.5</v>
      </c>
      <c r="I12352" s="30" t="n">
        <f aca="false">Sens!H12352-Sens!I12350*mix_g2</f>
        <v>1242</v>
      </c>
      <c r="J12352" s="30" t="n">
        <f aca="false">Sens!I12352-Sens!J12350*mix_g2</f>
        <v>909</v>
      </c>
      <c r="K12352" s="30" t="n">
        <f aca="false">Sens!J12352-Sens!K12350*mix_g2</f>
        <v>247.5</v>
      </c>
    </row>
    <row r="12353" customFormat="false" ht="17.15" hidden="false" customHeight="false" outlineLevel="0" collapsed="false">
      <c r="A12353" s="1" t="s">
        <v>968</v>
      </c>
      <c r="B12353" s="0" t="s">
        <v>459</v>
      </c>
      <c r="C12353" s="30" t="n">
        <f aca="false">mix_g3*Sens!C12343</f>
        <v>224</v>
      </c>
      <c r="D12353" s="30" t="n">
        <f aca="false">mix_g3*Sens!D12343</f>
        <v>570.5</v>
      </c>
      <c r="E12353" s="30" t="n">
        <f aca="false">mix_g3*Sens!E12343</f>
        <v>1137.5</v>
      </c>
      <c r="F12353" s="30" t="n">
        <f aca="false">Sens!E12353+(Sens!F12349+Sens!F12350)*(a_g3_27-nonnv*a_mai)-Sens!F12350*mix_g3</f>
        <v>2773.42106</v>
      </c>
      <c r="G12353" s="30" t="n">
        <f aca="false">Sens!F12353+(Sens!G12349+Sens!G12350)*(a_g3_28-nonnv*a_mai)-Sens!G12350*mix_g3</f>
        <v>3318.72808</v>
      </c>
      <c r="H12353" s="30" t="n">
        <f aca="false">Sens!G12353+(Sens!H12349+Sens!H12350)*(a_g3_29-nonnv*a_mai)-Sens!H12350*mix_g3</f>
        <v>3318.72808</v>
      </c>
      <c r="I12353" s="30" t="n">
        <f aca="false">Sens!H12353+(Sens!I12349+Sens!I12350)*(a_g3_29-nonnv*a_mai)-Sens!I12350*mix_g3</f>
        <v>3147.22808</v>
      </c>
      <c r="J12353" s="30" t="n">
        <f aca="false">Sens!I12353+(Sens!J12349+Sens!J12350)*(a_g3_29-nonnv*a_mai)-Sens!J12350*mix_g3</f>
        <v>2888.22808</v>
      </c>
      <c r="K12353" s="30" t="n">
        <f aca="false">Sens!J12353+(Sens!K12349+Sens!K12350)*(a_g3_29-nonnv*a_mai)-Sens!K12350*mix_g3</f>
        <v>2373.72808</v>
      </c>
    </row>
    <row r="12354" customFormat="false" ht="17.15" hidden="false" customHeight="false" outlineLevel="0" collapsed="false">
      <c r="A12354" s="1" t="s">
        <v>969</v>
      </c>
      <c r="B12354" s="0" t="s">
        <v>459</v>
      </c>
      <c r="C12354" s="30" t="n">
        <v>0</v>
      </c>
      <c r="D12354" s="30" t="n">
        <v>0</v>
      </c>
      <c r="E12354" s="30" t="n">
        <v>0</v>
      </c>
      <c r="F12354" s="30" t="n">
        <f aca="false">Sens!E12354+(Sens!F12349+Sens!F12350)*nonnv*a_mai</f>
        <v>272.65351</v>
      </c>
      <c r="G12354" s="30" t="n">
        <f aca="false">Sens!F12354+(Sens!G12349+Sens!G12350)*nonnv*a_mai</f>
        <v>545.30702</v>
      </c>
      <c r="H12354" s="30" t="n">
        <f aca="false">Sens!G12354+(Sens!H12349+Sens!H12350)*nonnv*a_mai</f>
        <v>817.96053</v>
      </c>
      <c r="I12354" s="30" t="n">
        <f aca="false">Sens!H12354+(Sens!I12349+Sens!I12350)*nonnv*a_mai</f>
        <v>1060.15914196667</v>
      </c>
      <c r="J12354" s="30" t="n">
        <f aca="false">Sens!I12354+(Sens!J12349+Sens!J12350)*nonnv*a_mai</f>
        <v>1251.76682813933</v>
      </c>
      <c r="K12354" s="30" t="n">
        <f aca="false">Sens!J12354+(Sens!K12349+Sens!K12350)*nonnv*a_mai</f>
        <v>1442.37983298351</v>
      </c>
      <c r="L12354" s="12" t="s">
        <v>970</v>
      </c>
    </row>
    <row r="12355" customFormat="false" ht="17.15" hidden="false" customHeight="false" outlineLevel="0" collapsed="false">
      <c r="A12355" s="1" t="s">
        <v>971</v>
      </c>
      <c r="B12355" s="0" t="s">
        <v>459</v>
      </c>
      <c r="C12355" s="30" t="n">
        <v>0</v>
      </c>
      <c r="D12355" s="30" t="n">
        <v>0</v>
      </c>
      <c r="E12355" s="30" t="n">
        <v>0</v>
      </c>
      <c r="F12355" s="30" t="n">
        <f aca="false">Sens!E12355+(Sens!F12349+Sens!F12350)*(1-a_g3_27)</f>
        <v>817.96053</v>
      </c>
      <c r="G12355" s="30" t="n">
        <f aca="false">Sens!F12355+(Sens!G12349+Sens!G12350)*(1-a_g3_28)</f>
        <v>2726.5351</v>
      </c>
      <c r="H12355" s="30" t="n">
        <f aca="false">Sens!G12355+(Sens!H12349+Sens!H12350)*(1-a_g3_29)</f>
        <v>5180.41669</v>
      </c>
      <c r="I12355" s="30" t="n">
        <f aca="false">Sens!H12355+(Sens!I12349+Sens!I12350)*(1-a_g3_29)</f>
        <v>7360.2041977</v>
      </c>
      <c r="J12355" s="30" t="n">
        <f aca="false">Sens!I12355+(Sens!J12349+Sens!J12350)*(1-a_g3_29)</f>
        <v>9084.673373254</v>
      </c>
      <c r="K12355" s="30" t="n">
        <f aca="false">Sens!J12355+(Sens!K12349+Sens!K12350)*(1-a_g3_29)</f>
        <v>10800.1904168516</v>
      </c>
    </row>
    <row r="12356" customFormat="false" ht="17.15" hidden="false" customHeight="false" outlineLevel="0" collapsed="false">
      <c r="A12356" s="1" t="s">
        <v>972</v>
      </c>
      <c r="B12356" s="0" t="s">
        <v>403</v>
      </c>
      <c r="C12356" s="15" t="n">
        <f aca="false">(Sens!C12351*tk_hold_h100+Sens!C12352*tk_hold_gb200+Sens!C12353*tk_hold_gb300+Sens!C12355*tk_hold_vr200+Sens!C12354*nv_hold_mai*tk_hold_vr200)/Sens!C12343</f>
        <v>9.7235358126469</v>
      </c>
      <c r="D12356" s="15" t="n">
        <f aca="false">(Sens!D12351*tk_hold_h100+Sens!D12352*tk_hold_gb200+Sens!D12353*tk_hold_gb300+Sens!D12355*tk_hold_vr200+Sens!D12354*nv_hold_mai*tk_hold_vr200)/Sens!D12343</f>
        <v>9.7235358126469</v>
      </c>
      <c r="E12356" s="15" t="n">
        <f aca="false">(Sens!E12351*tk_hold_h100+Sens!E12352*tk_hold_gb200+Sens!E12353*tk_hold_gb300+Sens!E12355*tk_hold_vr200+Sens!E12354*nv_hold_mai*tk_hold_vr200)/Sens!E12343</f>
        <v>9.7235358126469</v>
      </c>
      <c r="F12356" s="15" t="n">
        <f aca="false">(Sens!F12351*tk_hold_h100+Sens!F12352*tk_hold_gb200+Sens!F12353*tk_hold_gb300+Sens!F12355*tk_hold_vr200+Sens!F12354*nv_hold_mai*tk_hold_vr200)/Sens!F12343</f>
        <v>10.2195353876665</v>
      </c>
      <c r="G12356" s="15" t="n">
        <f aca="false">(Sens!G12351*tk_hold_h100+Sens!G12352*tk_hold_gb200+Sens!G12353*tk_hold_gb300+Sens!G12355*tk_hold_vr200+Sens!G12354*nv_hold_mai*tk_hold_vr200)/Sens!G12343</f>
        <v>10.5725598017306</v>
      </c>
      <c r="H12356" s="15" t="n">
        <f aca="false">(Sens!H12351*tk_hold_h100+Sens!H12352*tk_hold_gb200+Sens!H12353*tk_hold_gb300+Sens!H12355*tk_hold_vr200+Sens!H12354*nv_hold_mai*tk_hold_vr200)/Sens!H12343</f>
        <v>10.8210427149036</v>
      </c>
      <c r="I12356" s="15" t="n">
        <f aca="false">(Sens!I12351*tk_hold_h100+Sens!I12352*tk_hold_gb200+Sens!I12353*tk_hold_gb300+Sens!I12355*tk_hold_vr200+Sens!I12354*nv_hold_mai*tk_hold_vr200)/Sens!I12343</f>
        <v>11.0050618241982</v>
      </c>
      <c r="J12356" s="15" t="n">
        <f aca="false">(Sens!J12351*tk_hold_h100+Sens!J12352*tk_hold_gb200+Sens!J12353*tk_hold_gb300+Sens!J12355*tk_hold_vr200+Sens!J12354*nv_hold_mai*tk_hold_vr200)/Sens!J12343</f>
        <v>11.1505789658881</v>
      </c>
      <c r="K12356" s="15" t="n">
        <f aca="false">(Sens!K12351*tk_hold_h100+Sens!K12352*tk_hold_gb200+Sens!K12353*tk_hold_gb300+Sens!K12355*tk_hold_vr200+Sens!K12354*nv_hold_mai*tk_hold_vr200)/Sens!K12343</f>
        <v>11.3496914757183</v>
      </c>
      <c r="L12356" s="1" t="s">
        <v>973</v>
      </c>
    </row>
    <row r="12357" customFormat="false" ht="17.15" hidden="false" customHeight="false" outlineLevel="0" collapsed="false">
      <c r="A12357" s="1" t="s">
        <v>974</v>
      </c>
      <c r="B12357" s="0" t="s">
        <v>403</v>
      </c>
      <c r="C12357" s="15" t="n">
        <f aca="false">(Sens!C12351*tk_hold_h100+Sens!C12352*tk_hold_gb200+Sens!C12353*tk_hold_gb300+Sens!C12355*tk_hold_vr200+Sens!C12354*nv_out_mai*tk_hold_vr200)/Sens!C12343</f>
        <v>9.7235358126469</v>
      </c>
      <c r="D12357" s="15" t="n">
        <f aca="false">(Sens!D12351*tk_hold_h100+Sens!D12352*tk_hold_gb200+Sens!D12353*tk_hold_gb300+Sens!D12355*tk_hold_vr200+Sens!D12354*nv_out_mai*tk_hold_vr200)/Sens!D12343</f>
        <v>9.7235358126469</v>
      </c>
      <c r="E12357" s="15" t="n">
        <f aca="false">(Sens!E12351*tk_hold_h100+Sens!E12352*tk_hold_gb200+Sens!E12353*tk_hold_gb300+Sens!E12355*tk_hold_vr200+Sens!E12354*nv_out_mai*tk_hold_vr200)/Sens!E12343</f>
        <v>9.7235358126469</v>
      </c>
      <c r="F12357" s="15" t="n">
        <f aca="false">(Sens!F12351*tk_hold_h100+Sens!F12352*tk_hold_gb200+Sens!F12353*tk_hold_gb300+Sens!F12355*tk_hold_vr200+Sens!F12354*nv_out_mai*tk_hold_vr200)/Sens!F12343</f>
        <v>10.247422093969</v>
      </c>
      <c r="G12357" s="15" t="n">
        <f aca="false">(Sens!G12351*tk_hold_h100+Sens!G12352*tk_hold_gb200+Sens!G12353*tk_hold_gb300+Sens!G12355*tk_hold_vr200+Sens!G12354*nv_out_mai*tk_hold_vr200)/Sens!G12343</f>
        <v>10.6108602808053</v>
      </c>
      <c r="H12357" s="15" t="n">
        <f aca="false">(Sens!H12351*tk_hold_h100+Sens!H12352*tk_hold_gb200+Sens!H12353*tk_hold_gb300+Sens!H12355*tk_hold_vr200+Sens!H12354*nv_out_mai*tk_hold_vr200)/Sens!H12343</f>
        <v>10.8647885507393</v>
      </c>
      <c r="I12357" s="15" t="n">
        <f aca="false">(Sens!I12351*tk_hold_h100+Sens!I12352*tk_hold_gb200+Sens!I12353*tk_hold_gb300+Sens!I12355*tk_hold_vr200+Sens!I12354*nv_out_mai*tk_hold_vr200)/Sens!I12343</f>
        <v>11.0535625770025</v>
      </c>
      <c r="J12357" s="15" t="n">
        <f aca="false">(Sens!J12351*tk_hold_h100+Sens!J12352*tk_hold_gb200+Sens!J12353*tk_hold_gb300+Sens!J12355*tk_hold_vr200+Sens!J12354*nv_out_mai*tk_hold_vr200)/Sens!J12343</f>
        <v>11.2032127128058</v>
      </c>
      <c r="K12357" s="15" t="n">
        <f aca="false">(Sens!K12351*tk_hold_h100+Sens!K12352*tk_hold_gb200+Sens!K12353*tk_hold_gb300+Sens!K12355*tk_hold_vr200+Sens!K12354*nv_out_mai*tk_hold_vr200)/Sens!K12343</f>
        <v>11.4085735724225</v>
      </c>
      <c r="L12357" s="12" t="s">
        <v>975</v>
      </c>
    </row>
    <row r="12358" customFormat="false" ht="17.15" hidden="false" customHeight="false" outlineLevel="0" collapsed="false">
      <c r="A12358" s="0" t="s">
        <v>976</v>
      </c>
      <c r="B12358" s="0" t="s">
        <v>229</v>
      </c>
      <c r="C12358" s="15" t="n">
        <f aca="false">k_B</f>
        <v>1.17213932619116</v>
      </c>
      <c r="D12358" s="15" t="n">
        <f aca="false">k_B</f>
        <v>1.17213932619116</v>
      </c>
      <c r="E12358" s="15" t="n">
        <f aca="false">k_B</f>
        <v>1.17213932619116</v>
      </c>
      <c r="F12358" s="15" t="n">
        <f aca="false">(k_B+((ls_B*k_long+(1-ls_B)*k_spot)-k_B)*MIN(1,(Sens!F12341-base_fy)/k_ramp))</f>
        <v>1.17213932619116</v>
      </c>
      <c r="G12358" s="15" t="n">
        <f aca="false">(k_B+((ls_B*k_long+(1-ls_B)*k_spot)-k_B)*MIN(1,(Sens!G12341-base_fy)/k_ramp))</f>
        <v>1.17213932619116</v>
      </c>
      <c r="H12358" s="15" t="n">
        <f aca="false">(k_B+((ls_B*k_long+(1-ls_B)*k_spot)-k_B)*MIN(1,(Sens!H12341-base_fy)/k_ramp))</f>
        <v>1.17213932619116</v>
      </c>
      <c r="I12358" s="15" t="n">
        <f aca="false">(k_B+((ls_B*k_long+(1-ls_B)*k_spot)-k_B)*MIN(1,(Sens!I12341-base_fy)/k_ramp))</f>
        <v>1.17213932619116</v>
      </c>
      <c r="J12358" s="15" t="n">
        <f aca="false">(k_B+((ls_B*k_long+(1-ls_B)*k_spot)-k_B)*MIN(1,(Sens!J12341-base_fy)/k_ramp))</f>
        <v>1.17213932619116</v>
      </c>
      <c r="K12358" s="15" t="n">
        <f aca="false">(k_B+((ls_B*k_long+(1-ls_B)*k_spot)-k_B)*MIN(1,(Sens!K12341-base_fy)/k_ramp))</f>
        <v>1.17213932619116</v>
      </c>
      <c r="L12358" s="1" t="s">
        <v>977</v>
      </c>
    </row>
    <row r="12359" customFormat="false" ht="17.15" hidden="false" customHeight="false" outlineLevel="0" collapsed="false">
      <c r="A12359" s="1" t="s">
        <v>978</v>
      </c>
      <c r="B12359" s="0" t="s">
        <v>403</v>
      </c>
      <c r="C12359" s="15" t="n">
        <f aca="false">Sens!C12357*Sens!C12358*chip_f</f>
        <v>11.3973387156315</v>
      </c>
      <c r="D12359" s="15" t="n">
        <f aca="false">Sens!D12357*Sens!D12358*chip_f</f>
        <v>11.3973387156315</v>
      </c>
      <c r="E12359" s="15" t="n">
        <f aca="false">Sens!E12357*Sens!E12358*chip_f</f>
        <v>11.3973387156315</v>
      </c>
      <c r="F12359" s="15" t="n">
        <f aca="false">Sens!F12357*Sens!F12358*chip_f</f>
        <v>12.0114064284211</v>
      </c>
      <c r="G12359" s="15" t="n">
        <f aca="false">Sens!G12357*Sens!G12358*chip_f</f>
        <v>12.4374066198516</v>
      </c>
      <c r="H12359" s="15" t="n">
        <f aca="false">Sens!H12357*Sens!H12358*chip_f</f>
        <v>12.735045931073</v>
      </c>
      <c r="I12359" s="15" t="n">
        <f aca="false">Sens!I12357*Sens!I12358*chip_f</f>
        <v>12.9563153910195</v>
      </c>
      <c r="J12359" s="15" t="n">
        <f aca="false">Sens!J12357*Sens!J12358*chip_f</f>
        <v>13.1317262003643</v>
      </c>
      <c r="K12359" s="15" t="n">
        <f aca="false">Sens!K12357*Sens!K12358*chip_f</f>
        <v>13.3724377399815</v>
      </c>
      <c r="L12359" s="1" t="s">
        <v>979</v>
      </c>
    </row>
    <row r="12360" customFormat="false" ht="17.15" hidden="false" customHeight="false" outlineLevel="0" collapsed="false">
      <c r="A12360" s="0" t="s">
        <v>980</v>
      </c>
      <c r="B12360" s="0" t="s">
        <v>98</v>
      </c>
      <c r="D12360" s="6" t="n">
        <f aca="false">(Sens!C12343+Sens!D12343)/2*Sens!D12359/1000</f>
        <v>12.9359794422418</v>
      </c>
      <c r="E12360" s="6" t="n">
        <f aca="false">(Sens!D12343+Sens!E12343)/2*Sens!E12359/1000</f>
        <v>27.8095064661409</v>
      </c>
      <c r="F12360" s="6" t="n">
        <f aca="false">(Sens!E12343+Sens!F12343)/2*Sens!F12359/1000</f>
        <v>55.4118315060966</v>
      </c>
      <c r="G12360" s="6" t="n">
        <f aca="false">(Sens!F12343+Sens!G12343)/2*Sens!G12359/1000</f>
        <v>91.2881100675143</v>
      </c>
      <c r="H12360" s="6" t="n">
        <f aca="false">(Sens!G12343+Sens!H12343)/2*Sens!H12359/1000</f>
        <v>128.195273603944</v>
      </c>
      <c r="I12360" s="6" t="n">
        <f aca="false">(Sens!H12343+Sens!I12343)/2*Sens!I12359/1000</f>
        <v>160.601281810405</v>
      </c>
      <c r="J12360" s="6" t="n">
        <f aca="false">(Sens!I12343+Sens!J12343)/2*Sens!J12359/1000</f>
        <v>183.182719793589</v>
      </c>
      <c r="K12360" s="6" t="n">
        <f aca="false">(Sens!J12343+Sens!K12343)/2*Sens!K12359/1000</f>
        <v>197.320124937098</v>
      </c>
      <c r="L12360" s="12" t="s">
        <v>981</v>
      </c>
    </row>
    <row r="12361" customFormat="false" ht="17.15" hidden="false" customHeight="false" outlineLevel="0" collapsed="false">
      <c r="A12361" s="1" t="s">
        <v>982</v>
      </c>
      <c r="B12361" s="0" t="s">
        <v>403</v>
      </c>
      <c r="C12361" s="15" t="n">
        <f aca="false">(Sens!C12351*tk_opex_h100+Sens!C12352*tk_opex_gb200+Sens!C12353*tk_opex_gb300+(Sens!C12355+Sens!C12354)*tk_opex_vr200)/Sens!C12343</f>
        <v>1.88636041306092</v>
      </c>
      <c r="D12361" s="15" t="n">
        <f aca="false">(Sens!D12351*tk_opex_h100+Sens!D12352*tk_opex_gb200+Sens!D12353*tk_opex_gb300+(Sens!D12355+Sens!D12354)*tk_opex_vr200)/Sens!D12343</f>
        <v>1.88636041306092</v>
      </c>
      <c r="E12361" s="15" t="n">
        <f aca="false">(Sens!E12351*tk_opex_h100+Sens!E12352*tk_opex_gb200+Sens!E12353*tk_opex_gb300+(Sens!E12355+Sens!E12354)*tk_opex_vr200)/Sens!E12343</f>
        <v>1.88636041306092</v>
      </c>
      <c r="F12361" s="15" t="n">
        <f aca="false">(Sens!F12351*tk_opex_h100+Sens!F12352*tk_opex_gb200+Sens!F12353*tk_opex_gb300+(Sens!F12355+Sens!F12354)*tk_opex_vr200)/Sens!F12343</f>
        <v>1.95051159746876</v>
      </c>
      <c r="G12361" s="15" t="n">
        <f aca="false">(Sens!G12351*tk_opex_h100+Sens!G12352*tk_opex_gb200+Sens!G12353*tk_opex_gb300+(Sens!G12355+Sens!G12354)*tk_opex_vr200)/Sens!G12343</f>
        <v>1.98836003669956</v>
      </c>
      <c r="H12361" s="15" t="n">
        <f aca="false">(Sens!H12351*tk_opex_h100+Sens!H12352*tk_opex_gb200+Sens!H12353*tk_opex_gb300+(Sens!H12355+Sens!H12354)*tk_opex_vr200)/Sens!H12343</f>
        <v>2.01344013834343</v>
      </c>
      <c r="I12361" s="15" t="n">
        <f aca="false">(Sens!I12351*tk_opex_h100+Sens!I12352*tk_opex_gb200+Sens!I12353*tk_opex_gb300+(Sens!I12355+Sens!I12354)*tk_opex_vr200)/Sens!I12343</f>
        <v>2.03261166882178</v>
      </c>
      <c r="J12361" s="15" t="n">
        <f aca="false">(Sens!J12351*tk_opex_h100+Sens!J12352*tk_opex_gb200+Sens!J12353*tk_opex_gb300+(Sens!J12355+Sens!J12354)*tk_opex_vr200)/Sens!J12343</f>
        <v>2.04808073288745</v>
      </c>
      <c r="K12361" s="15" t="n">
        <f aca="false">(Sens!K12351*tk_opex_h100+Sens!K12352*tk_opex_gb200+Sens!K12353*tk_opex_gb300+(Sens!K12355+Sens!K12354)*tk_opex_vr200)/Sens!K12343</f>
        <v>2.06973825807449</v>
      </c>
      <c r="L12361" s="12" t="s">
        <v>983</v>
      </c>
    </row>
    <row r="12362" customFormat="false" ht="17.15" hidden="false" customHeight="false" outlineLevel="0" collapsed="false">
      <c r="A12362" s="0" t="s">
        <v>984</v>
      </c>
      <c r="B12362" s="0" t="s">
        <v>98</v>
      </c>
      <c r="D12362" s="6" t="n">
        <f aca="false">(Sens!C12346+Sens!D12346)/2*Sens!D12361/1000</f>
        <v>2.70378325872065</v>
      </c>
      <c r="E12362" s="6" t="n">
        <f aca="false">(Sens!D12346+Sens!E12346)/2*Sens!E12361/1000</f>
        <v>6.17783035277451</v>
      </c>
      <c r="F12362" s="6" t="n">
        <f aca="false">(Sens!E12346+Sens!F12346)/2*Sens!F12361/1000</f>
        <v>12.8742463089237</v>
      </c>
      <c r="G12362" s="6" t="n">
        <f aca="false">(Sens!F12346+Sens!G12346)/2*Sens!G12361/1000</f>
        <v>21.8182834646277</v>
      </c>
      <c r="H12362" s="6" t="n">
        <f aca="false">(Sens!G12346+Sens!H12346)/2*Sens!H12361/1000</f>
        <v>31.2430128789734</v>
      </c>
      <c r="I12362" s="6" t="n">
        <f aca="false">(Sens!H12346+Sens!I12346)/2*Sens!I12361/1000</f>
        <v>39.4313057443268</v>
      </c>
      <c r="J12362" s="6" t="n">
        <f aca="false">(Sens!I12346+Sens!J12346)/2*Sens!J12361/1000</f>
        <v>45.0360318228653</v>
      </c>
      <c r="K12362" s="6" t="n">
        <f aca="false">(Sens!J12346+Sens!K12346)/2*Sens!K12361/1000</f>
        <v>48.2929727091156</v>
      </c>
    </row>
    <row r="12363" customFormat="false" ht="17.15" hidden="false" customHeight="false" outlineLevel="0" collapsed="false">
      <c r="A12363" s="0" t="s">
        <v>985</v>
      </c>
      <c r="B12363" s="0" t="s">
        <v>98</v>
      </c>
      <c r="D12363" s="6" t="n">
        <f aca="false">(Sens!C12344+Sens!D12344)/2*rent_mw/1000</f>
        <v>2.44475</v>
      </c>
      <c r="E12363" s="6" t="n">
        <f aca="false">(Sens!D12344+Sens!E12344)/2*rent_mw/1000</f>
        <v>4.22275</v>
      </c>
      <c r="F12363" s="6" t="n">
        <f aca="false">(Sens!E12344+Sens!F12344)/2*rent_mw/1000</f>
        <v>5.80517</v>
      </c>
      <c r="G12363" s="6" t="n">
        <f aca="false">(Sens!F12344+Sens!G12344)/2*rent_mw/1000</f>
        <v>6.72084</v>
      </c>
      <c r="H12363" s="6" t="n">
        <f aca="false">(Sens!G12344+Sens!H12344)/2*rent_mw/1000</f>
        <v>6.72084</v>
      </c>
      <c r="I12363" s="6" t="n">
        <f aca="false">(Sens!H12344+Sens!I12344)/2*rent_mw/1000</f>
        <v>6.72084</v>
      </c>
      <c r="J12363" s="6" t="n">
        <f aca="false">(Sens!I12344+Sens!J12344)/2*rent_mw/1000</f>
        <v>6.72084</v>
      </c>
      <c r="K12363" s="6" t="n">
        <f aca="false">(Sens!J12344+Sens!K12344)/2*rent_mw/1000</f>
        <v>6.72084</v>
      </c>
    </row>
    <row r="12364" customFormat="false" ht="17.15" hidden="false" customHeight="false" outlineLevel="0" collapsed="false">
      <c r="A12364" s="0" t="s">
        <v>986</v>
      </c>
      <c r="B12364" s="0" t="s">
        <v>98</v>
      </c>
      <c r="D12364" s="6" t="n">
        <f aca="false">(Sens!C12346+Sens!D12346)/2*(1-self_build)*fac_rent/1000</f>
        <v>0.853242375631075</v>
      </c>
      <c r="E12364" s="6" t="n">
        <f aca="false">(Sens!D12346+Sens!E12346)/2*(1-self_build)*fac_rent/1000</f>
        <v>1.94955961408728</v>
      </c>
      <c r="F12364" s="6" t="n">
        <f aca="false">(Sens!E12346+Sens!F12346)/2*(1-self_build)*fac_rent/1000</f>
        <v>3.92914894476356</v>
      </c>
      <c r="G12364" s="6" t="n">
        <f aca="false">(Sens!F12346+Sens!G12346)/2*(1-self_build)*fac_rent/1000</f>
        <v>6.53206908578159</v>
      </c>
      <c r="H12364" s="6" t="n">
        <f aca="false">(Sens!G12346+Sens!H12346)/2*(1-self_build)*fac_rent/1000</f>
        <v>9.23717988341591</v>
      </c>
      <c r="I12364" s="6" t="n">
        <f aca="false">(Sens!H12346+Sens!I12346)/2*(1-self_build)*fac_rent/1000</f>
        <v>11.5481378557393</v>
      </c>
      <c r="J12364" s="6" t="n">
        <f aca="false">(Sens!I12346+Sens!J12346)/2*(1-self_build)*fac_rent/1000</f>
        <v>13.0899582289108</v>
      </c>
      <c r="K12364" s="6" t="n">
        <f aca="false">(Sens!J12346+Sens!K12346)/2*(1-self_build)*fac_rent/1000</f>
        <v>13.8897275626556</v>
      </c>
      <c r="L12364" s="12" t="s">
        <v>987</v>
      </c>
    </row>
    <row r="12365" customFormat="false" ht="17.15" hidden="false" customHeight="false" outlineLevel="0" collapsed="false">
      <c r="A12365" s="1" t="s">
        <v>988</v>
      </c>
      <c r="B12365" s="0" t="s">
        <v>168</v>
      </c>
      <c r="D12365" s="7" t="n">
        <f aca="false">(Sens!C12345+Sens!D12345)/(Sens!C12346+Sens!D12346)</f>
        <v>0.6</v>
      </c>
      <c r="E12365" s="7" t="n">
        <f aca="false">(Sens!D12345+Sens!E12345)/(Sens!D12346+Sens!E12346)</f>
        <v>0.6</v>
      </c>
      <c r="F12365" s="7" t="n">
        <f aca="false">(Sens!E12345+Sens!F12345)/(Sens!E12346+Sens!F12346)</f>
        <v>0.6</v>
      </c>
      <c r="G12365" s="7" t="n">
        <f aca="false">(Sens!F12345+Sens!G12345)/(Sens!F12346+Sens!G12346)</f>
        <v>0.6</v>
      </c>
      <c r="H12365" s="7" t="n">
        <f aca="false">(Sens!G12345+Sens!H12345)/(Sens!G12346+Sens!H12346)</f>
        <v>0.6</v>
      </c>
      <c r="I12365" s="7" t="n">
        <f aca="false">(Sens!H12345+Sens!I12345)/(Sens!H12346+Sens!I12346)</f>
        <v>0.6</v>
      </c>
      <c r="J12365" s="7" t="n">
        <f aca="false">(Sens!I12345+Sens!J12345)/(Sens!I12346+Sens!J12346)</f>
        <v>0.6</v>
      </c>
      <c r="K12365" s="7" t="n">
        <f aca="false">(Sens!J12345+Sens!K12345)/(Sens!J12346+Sens!K12346)</f>
        <v>0.6</v>
      </c>
    </row>
    <row r="12366" customFormat="false" ht="17.15" hidden="false" customHeight="false" outlineLevel="0" collapsed="false">
      <c r="A12366" s="0" t="s">
        <v>989</v>
      </c>
      <c r="B12366" s="0" t="s">
        <v>98</v>
      </c>
      <c r="D12366" s="6" t="n">
        <f aca="false">Sens!D12360-Sens!D12365*(Sens!D12362+Sens!D12364)-Sens!D12363</f>
        <v>8.35701406163072</v>
      </c>
      <c r="E12366" s="6" t="n">
        <f aca="false">Sens!E12360-Sens!E12365*(Sens!E12362+Sens!E12364)-Sens!E12363</f>
        <v>18.7103224860238</v>
      </c>
      <c r="F12366" s="6" t="n">
        <f aca="false">Sens!F12360-Sens!F12365*(Sens!F12362+Sens!F12364)-Sens!F12363</f>
        <v>39.5246243538843</v>
      </c>
      <c r="G12366" s="6" t="n">
        <f aca="false">Sens!G12360-Sens!G12365*(Sens!G12362+Sens!G12364)-Sens!G12363</f>
        <v>67.5570585372687</v>
      </c>
      <c r="H12366" s="6" t="n">
        <f aca="false">Sens!H12360-Sens!H12365*(Sens!H12362+Sens!H12364)-Sens!H12363</f>
        <v>97.1863179465102</v>
      </c>
      <c r="I12366" s="6" t="n">
        <f aca="false">Sens!I12360-Sens!I12365*(Sens!I12362+Sens!I12364)-Sens!I12363</f>
        <v>123.292775650365</v>
      </c>
      <c r="J12366" s="6" t="n">
        <f aca="false">Sens!J12360-Sens!J12365*(Sens!J12362+Sens!J12364)-Sens!J12363</f>
        <v>141.586285762524</v>
      </c>
      <c r="K12366" s="6" t="n">
        <f aca="false">Sens!K12360-Sens!K12365*(Sens!K12362+Sens!K12364)-Sens!K12363</f>
        <v>153.289664774035</v>
      </c>
    </row>
    <row r="12367" customFormat="false" ht="17.15" hidden="false" customHeight="false" outlineLevel="0" collapsed="false">
      <c r="A12367" s="1" t="s">
        <v>990</v>
      </c>
      <c r="B12367" s="0" t="s">
        <v>98</v>
      </c>
      <c r="D12367" s="6" t="n">
        <f aca="false">(1-Sens!D12365)*(Sens!D12362+Sens!D12364)</f>
        <v>1.42281025374069</v>
      </c>
      <c r="E12367" s="6" t="n">
        <f aca="false">(1-Sens!E12365)*(Sens!E12362+Sens!E12364)</f>
        <v>3.25095598674472</v>
      </c>
      <c r="F12367" s="6" t="n">
        <f aca="false">(1-Sens!F12365)*(Sens!F12362+Sens!F12364)</f>
        <v>6.72135810147489</v>
      </c>
      <c r="G12367" s="6" t="n">
        <f aca="false">(1-Sens!G12365)*(Sens!G12362+Sens!G12364)</f>
        <v>11.3401410201637</v>
      </c>
      <c r="H12367" s="6" t="n">
        <f aca="false">(1-Sens!H12365)*(Sens!H12362+Sens!H12364)</f>
        <v>16.1920771049557</v>
      </c>
      <c r="I12367" s="6" t="n">
        <f aca="false">(1-Sens!I12365)*(Sens!I12362+Sens!I12364)</f>
        <v>20.3917774400264</v>
      </c>
      <c r="J12367" s="6" t="n">
        <f aca="false">(1-Sens!J12365)*(Sens!J12362+Sens!J12364)</f>
        <v>23.2503960207104</v>
      </c>
      <c r="K12367" s="6" t="n">
        <f aca="false">(1-Sens!K12365)*(Sens!K12362+Sens!K12364)</f>
        <v>24.8730801087085</v>
      </c>
    </row>
    <row r="12368" customFormat="false" ht="17.15" hidden="false" customHeight="false" outlineLevel="0" collapsed="false">
      <c r="A12368" s="1" t="s">
        <v>991</v>
      </c>
      <c r="B12368" s="0" t="s">
        <v>417</v>
      </c>
      <c r="C12368" s="8" t="n">
        <f aca="false">cxit_open</f>
        <v>27.5918995</v>
      </c>
      <c r="D12368" s="8" t="n">
        <f aca="false">cxit_open</f>
        <v>27.5918995</v>
      </c>
      <c r="E12368" s="8" t="n">
        <f aca="false">cxit_open</f>
        <v>27.5918995</v>
      </c>
      <c r="F12368" s="8" t="n">
        <f aca="false">((a_g3_27-nonnv*a_mai)*tk_cxit_gb300+nonnv*a_mai*nv_hold_mai*tk_cxit_vr200+(1-a_g3_27)*tk_cxit_vr200)</f>
        <v>32.4975576</v>
      </c>
      <c r="G12368" s="8" t="n">
        <f aca="false">((a_g3_28-nonnv*a_mai)*tk_cxit_gb300+nonnv*a_mai*nv_hold_mai*tk_cxit_vr200+(1-a_g3_28)*tk_cxit_vr200)</f>
        <v>34.6372088</v>
      </c>
      <c r="H12368" s="8" t="n">
        <f aca="false">((a_g3_29-nonnv*a_mai)*tk_cxit_gb300+nonnv*a_mai*nv_hold_mai*tk_cxit_vr200+(1-a_g3_29)*tk_cxit_vr200)</f>
        <v>35.7070344</v>
      </c>
      <c r="I12368" s="8" t="n">
        <f aca="false">((a_g3_29-nonnv*a_mai)*tk_cxit_gb300+nonnv*a_mai*nv_hold_mai*tk_cxit_vr200+(1-a_g3_29)*tk_cxit_vr200)</f>
        <v>35.7070344</v>
      </c>
      <c r="J12368" s="8" t="n">
        <f aca="false">((a_g3_29-nonnv*a_mai)*tk_cxit_gb300+nonnv*a_mai*nv_hold_mai*tk_cxit_vr200+(1-a_g3_29)*tk_cxit_vr200)</f>
        <v>35.7070344</v>
      </c>
      <c r="K12368" s="8" t="n">
        <f aca="false">((a_g3_29-nonnv*a_mai)*tk_cxit_gb300+nonnv*a_mai*nv_hold_mai*tk_cxit_vr200+(1-a_g3_29)*tk_cxit_vr200)</f>
        <v>35.7070344</v>
      </c>
      <c r="L12368" s="12" t="s">
        <v>992</v>
      </c>
    </row>
    <row r="12369" customFormat="false" ht="17.15" hidden="false" customHeight="false" outlineLevel="0" collapsed="false">
      <c r="A12369" s="0" t="s">
        <v>993</v>
      </c>
      <c r="B12369" s="0" t="s">
        <v>459</v>
      </c>
      <c r="F12369" s="30" t="n">
        <f aca="false">Sens!C12348*IF(Sens!F12341-Sens!C12341=life_it,1,0)+Sens!D12348*IF(Sens!F12341-Sens!D12341=life_it,1,0)+Sens!E12348*IF(Sens!F12341-Sens!E12341=life_it,1,0)</f>
        <v>0</v>
      </c>
      <c r="G12369" s="30" t="n">
        <f aca="false">Sens!C12348*IF(Sens!G12341-Sens!C12341=life_it,1,0)+Sens!D12348*IF(Sens!G12341-Sens!D12341=life_it,1,0)+Sens!E12348*IF(Sens!G12341-Sens!E12341=life_it,1,0)+Sens!F12348*IF(Sens!G12341-Sens!F12341=life_it,1,0)</f>
        <v>0</v>
      </c>
      <c r="H12369" s="30" t="n">
        <f aca="false">Sens!C12348*IF(Sens!H12341-Sens!C12341=life_it,1,0)+Sens!D12348*IF(Sens!H12341-Sens!D12341=life_it,1,0)+Sens!E12348*IF(Sens!H12341-Sens!E12341=life_it,1,0)+Sens!F12348*IF(Sens!H12341-Sens!F12341=life_it,1,0)+Sens!G12348*IF(Sens!H12341-Sens!G12341=life_it,1,0)</f>
        <v>0</v>
      </c>
      <c r="I12369" s="30" t="n">
        <f aca="false">Sens!C12348*IF(Sens!I12341-Sens!C12341=life_it,1,0)+Sens!D12348*IF(Sens!I12341-Sens!D12341=life_it,1,0)+Sens!E12348*IF(Sens!I12341-Sens!E12341=life_it,1,0)+Sens!F12348*IF(Sens!I12341-Sens!F12341=life_it,1,0)+Sens!G12348*IF(Sens!I12341-Sens!G12341=life_it,1,0)+Sens!H12348*IF(Sens!I12341-Sens!H12341=life_it,1,0)</f>
        <v>816.666666666667</v>
      </c>
      <c r="J12369" s="30" t="n">
        <f aca="false">Sens!C12348*IF(Sens!J12341-Sens!C12341=life_it,1,0)+Sens!D12348*IF(Sens!J12341-Sens!D12341=life_it,1,0)+Sens!E12348*IF(Sens!J12341-Sens!E12341=life_it,1,0)+Sens!F12348*IF(Sens!J12341-Sens!F12341=life_it,1,0)+Sens!G12348*IF(Sens!J12341-Sens!G12341=life_it,1,0)+Sens!H12348*IF(Sens!J12341-Sens!H12341=life_it,1,0)+Sens!I12348*IF(Sens!J12341-Sens!I12341=life_it,1,0)</f>
        <v>1233.33333333333</v>
      </c>
      <c r="K12369" s="30" t="n">
        <f aca="false">Sens!C12348*IF(Sens!K12341-Sens!C12341=life_it,1,0)+Sens!D12348*IF(Sens!K12341-Sens!D12341=life_it,1,0)+Sens!E12348*IF(Sens!K12341-Sens!E12341=life_it,1,0)+Sens!F12348*IF(Sens!K12341-Sens!F12341=life_it,1,0)+Sens!G12348*IF(Sens!K12341-Sens!G12341=life_it,1,0)+Sens!H12348*IF(Sens!K12341-Sens!H12341=life_it,1,0)+Sens!I12348*IF(Sens!K12341-Sens!I12341=life_it,1,0)+Sens!J12348*IF(Sens!K12341-Sens!J12341=life_it,1,0)</f>
        <v>2450</v>
      </c>
      <c r="L12369" s="1" t="s">
        <v>994</v>
      </c>
    </row>
    <row r="12370" customFormat="false" ht="17.15" hidden="false" customHeight="false" outlineLevel="0" collapsed="false">
      <c r="A12370" s="0" t="s">
        <v>995</v>
      </c>
      <c r="B12370" s="0" t="s">
        <v>98</v>
      </c>
      <c r="C12370" s="6" t="n">
        <f aca="false">Sens!C12348*Sens!C12368/1000</f>
        <v>22.5333845916667</v>
      </c>
      <c r="D12370" s="6" t="n">
        <f aca="false">Sens!D12348*Sens!D12368/1000</f>
        <v>34.0300093833333</v>
      </c>
      <c r="E12370" s="6" t="n">
        <f aca="false">Sens!E12348*Sens!E12368/1000</f>
        <v>67.600153775</v>
      </c>
      <c r="F12370" s="6" t="n">
        <f aca="false">(Sens!F12348+Sens!F12369)*Sens!F12368/1000</f>
        <v>136.51872432512</v>
      </c>
      <c r="G12370" s="6" t="n">
        <f aca="false">(Sens!G12348+Sens!G12369)*Sens!G12368/1000</f>
        <v>157.399275932048</v>
      </c>
      <c r="H12370" s="6" t="n">
        <f aca="false">(Sens!H12348+Sens!H12369)*Sens!H12368/1000</f>
        <v>162.260804347512</v>
      </c>
      <c r="I12370" s="6" t="n">
        <f aca="false">(Sens!I12348+Sens!I12369)*Sens!I12368/1000</f>
        <v>144.136569485434</v>
      </c>
      <c r="J12370" s="6" t="n">
        <f aca="false">(Sens!J12348+Sens!J12369)*Sens!J12368/1000</f>
        <v>114.029037357864</v>
      </c>
      <c r="K12370" s="6" t="n">
        <f aca="false">(Sens!K12348+Sens!K12369)*Sens!K12368/1000</f>
        <v>113.437085350975</v>
      </c>
    </row>
    <row r="12371" customFormat="false" ht="17.15" hidden="false" customHeight="false" outlineLevel="0" collapsed="false">
      <c r="A12371" s="0" t="s">
        <v>996</v>
      </c>
      <c r="B12371" s="0" t="s">
        <v>98</v>
      </c>
      <c r="C12371" s="6" t="n">
        <f aca="false">Sens!C12348*self_build*tk_cxfac/1000</f>
        <v>6.2083</v>
      </c>
      <c r="D12371" s="6" t="n">
        <f aca="false">Sens!D12348*self_build*tk_cxfac/1000</f>
        <v>9.3758</v>
      </c>
      <c r="E12371" s="6" t="n">
        <f aca="false">Sens!E12348*self_build*tk_cxfac/1000</f>
        <v>18.6249</v>
      </c>
      <c r="F12371" s="6" t="n">
        <f aca="false">Sens!F12348*self_build*tk_cxfac/1000</f>
        <v>31.935179717</v>
      </c>
      <c r="G12371" s="6" t="n">
        <f aca="false">Sens!G12348*self_build*tk_cxfac/1000</f>
        <v>34.545199717</v>
      </c>
      <c r="H12371" s="6" t="n">
        <f aca="false">Sens!H12348*self_build*tk_cxfac/1000</f>
        <v>34.545199717</v>
      </c>
      <c r="I12371" s="6" t="n">
        <f aca="false">Sens!I12348*self_build*tk_cxfac/1000</f>
        <v>24.4782641361767</v>
      </c>
      <c r="J12371" s="6" t="n">
        <f aca="false">Sens!J12348*self_build*tk_cxfac/1000</f>
        <v>14.9008938380769</v>
      </c>
      <c r="K12371" s="6" t="n">
        <f aca="false">Sens!K12348*self_build*tk_cxfac/1000</f>
        <v>5.52576771375761</v>
      </c>
    </row>
    <row r="12372" customFormat="false" ht="17.15" hidden="false" customHeight="false" outlineLevel="0" collapsed="false">
      <c r="A12372" s="0" t="s">
        <v>997</v>
      </c>
      <c r="B12372" s="0" t="s">
        <v>98</v>
      </c>
      <c r="F12372" s="15" t="n">
        <f aca="false">capex_floor27-Sens!F12370-Sens!F12371-Sens!F12468</f>
        <v>-0.00242284134232307</v>
      </c>
      <c r="L12372" s="12" t="s">
        <v>998</v>
      </c>
    </row>
    <row r="12373" customFormat="false" ht="17.15" hidden="false" customHeight="false" outlineLevel="0" collapsed="false">
      <c r="A12373" s="0" t="s">
        <v>999</v>
      </c>
      <c r="B12373" s="0" t="s">
        <v>98</v>
      </c>
      <c r="F12373" s="6" t="n">
        <f aca="false">MAX(0,Sens!F12372)</f>
        <v>0</v>
      </c>
    </row>
    <row r="12374" customFormat="false" ht="17.15" hidden="false" customHeight="false" outlineLevel="0" collapsed="false">
      <c r="A12374" s="0" t="s">
        <v>1000</v>
      </c>
      <c r="B12374" s="0" t="s">
        <v>98</v>
      </c>
      <c r="C12374" s="6" t="n">
        <f aca="false">Sens!C12370</f>
        <v>22.5333845916667</v>
      </c>
      <c r="D12374" s="6" t="n">
        <f aca="false">Sens!D12370</f>
        <v>34.0300093833333</v>
      </c>
      <c r="E12374" s="6" t="n">
        <f aca="false">Sens!E12370</f>
        <v>67.600153775</v>
      </c>
      <c r="F12374" s="6" t="n">
        <f aca="false">Sens!F12370</f>
        <v>136.51872432512</v>
      </c>
      <c r="G12374" s="6" t="n">
        <f aca="false">Sens!G12370</f>
        <v>157.399275932048</v>
      </c>
      <c r="H12374" s="6" t="n">
        <f aca="false">Sens!H12370</f>
        <v>162.260804347512</v>
      </c>
      <c r="I12374" s="6" t="n">
        <f aca="false">Sens!I12370</f>
        <v>144.136569485434</v>
      </c>
      <c r="J12374" s="6" t="n">
        <f aca="false">Sens!J12370</f>
        <v>114.029037357864</v>
      </c>
      <c r="K12374" s="6" t="n">
        <f aca="false">Sens!K12370</f>
        <v>113.437085350975</v>
      </c>
    </row>
    <row r="12375" customFormat="false" ht="17.15" hidden="false" customHeight="false" outlineLevel="0" collapsed="false">
      <c r="A12375" s="0" t="s">
        <v>1001</v>
      </c>
      <c r="B12375" s="0" t="s">
        <v>98</v>
      </c>
      <c r="C12375" s="6" t="n">
        <f aca="false">Sens!C12374+Sens!C12371</f>
        <v>28.7416845916667</v>
      </c>
      <c r="D12375" s="6" t="n">
        <f aca="false">Sens!D12374+Sens!D12371</f>
        <v>43.4058093833333</v>
      </c>
      <c r="E12375" s="6" t="n">
        <f aca="false">Sens!E12374+Sens!E12371</f>
        <v>86.225053775</v>
      </c>
      <c r="F12375" s="6" t="n">
        <f aca="false">Sens!F12374+Sens!F12371</f>
        <v>168.45390404212</v>
      </c>
      <c r="G12375" s="6" t="n">
        <f aca="false">Sens!G12374+Sens!G12371</f>
        <v>191.944475649048</v>
      </c>
      <c r="H12375" s="6" t="n">
        <f aca="false">Sens!H12374+Sens!H12371</f>
        <v>196.806004064512</v>
      </c>
      <c r="I12375" s="6" t="n">
        <f aca="false">Sens!I12374+Sens!I12371</f>
        <v>168.61483362161</v>
      </c>
      <c r="J12375" s="6" t="n">
        <f aca="false">Sens!J12374+Sens!J12371</f>
        <v>128.92993119594</v>
      </c>
      <c r="K12375" s="6" t="n">
        <f aca="false">Sens!K12374+Sens!K12371</f>
        <v>118.962853064733</v>
      </c>
      <c r="L12375" s="12" t="s">
        <v>1002</v>
      </c>
    </row>
    <row r="12376" customFormat="false" ht="17.15" hidden="false" customHeight="false" outlineLevel="0" collapsed="false">
      <c r="A12376" s="0" t="s">
        <v>1003</v>
      </c>
      <c r="B12376" s="0" t="s">
        <v>98</v>
      </c>
      <c r="E12376" s="6" t="n">
        <f aca="false">(Sens!C12374*IF(2&lt;life_it,1,IF(2=life_it,0.5,0))+Sens!D12374*IF(1&lt;life_it,1,IF(1=life_it,0.5,0))+Sens!E12374*0.5)/life_it</f>
        <v>15.0605784770833</v>
      </c>
      <c r="F12376" s="6" t="n">
        <f aca="false">(Sens!C12374*IF(3&lt;life_it,1,IF(3=life_it,0.5,0))+Sens!D12374*IF(2&lt;life_it,1,IF(2=life_it,0.5,0))+Sens!E12374*IF(1&lt;life_it,1,IF(1=life_it,0.5,0))+Sens!F12374*0.5)/life_it</f>
        <v>32.0704849854266</v>
      </c>
      <c r="G12376" s="6" t="n">
        <f aca="false">(Sens!C12374*IF(4&lt;life_it,1,IF(4=life_it,0.5,0))+Sens!D12374*IF(3&lt;life_it,1,IF(3=life_it,0.5,0))+Sens!E12374*IF(2&lt;life_it,1,IF(2=life_it,0.5,0))+Sens!F12374*IF(1&lt;life_it,1,IF(1=life_it,0.5,0))+Sens!G12374*0.5)/life_it</f>
        <v>56.5636516735239</v>
      </c>
      <c r="H12376" s="6" t="n">
        <f aca="false">(Sens!C12374*IF(5&lt;life_it,1,IF(5=life_it,0.5,0))+Sens!D12374*IF(4&lt;life_it,1,IF(4=life_it,0.5,0))+Sens!E12374*IF(3&lt;life_it,1,IF(3=life_it,0.5,0))+Sens!F12374*IF(2&lt;life_it,1,IF(2=life_it,0.5,0))+Sens!G12374*IF(1&lt;life_it,1,IF(1=life_it,0.5,0))+Sens!H12374*0.5)/life_it</f>
        <v>83.2019916968207</v>
      </c>
      <c r="I12376" s="6" t="n">
        <f aca="false">(Sens!C12374*IF(6&lt;life_it,1,IF(6=life_it,0.5,0))+Sens!D12374*IF(5&lt;life_it,1,IF(5=life_it,0.5,0))+Sens!E12374*IF(4&lt;life_it,1,IF(4=life_it,0.5,0))+Sens!F12374*IF(3&lt;life_it,1,IF(3=life_it,0.5,0))+Sens!G12374*IF(2&lt;life_it,1,IF(2=life_it,0.5,0))+Sens!H12374*IF(1&lt;life_it,1,IF(1=life_it,0.5,0))+Sens!I12374*0.5)/life_it</f>
        <v>106.857324133594</v>
      </c>
      <c r="J12376" s="6" t="n">
        <f aca="false">(Sens!C12374*IF(7&lt;life_it,1,IF(7=life_it,0.5,0))+Sens!D12374*IF(6&lt;life_it,1,IF(6=life_it,0.5,0))+Sens!E12374*IF(5&lt;life_it,1,IF(5=life_it,0.5,0))+Sens!F12374*IF(4&lt;life_it,1,IF(4=life_it,0.5,0))+Sens!G12374*IF(3&lt;life_it,1,IF(3=life_it,0.5,0))+Sens!H12374*IF(2&lt;life_it,1,IF(2=life_it,0.5,0))+Sens!I12374*IF(1&lt;life_it,1,IF(1=life_it,0.5,0))+Sens!J12374*0.5)/life_it</f>
        <v>123.657508539285</v>
      </c>
      <c r="K12376" s="6" t="n">
        <f aca="false">(Sens!C12374*IF(8&lt;life_it,1,IF(8=life_it,0.5,0))+Sens!D12374*IF(7&lt;life_it,1,IF(7=life_it,0.5,0))+Sens!E12374*IF(6&lt;life_it,1,IF(6=life_it,0.5,0))+Sens!F12374*IF(5&lt;life_it,1,IF(5=life_it,0.5,0))+Sens!G12374*IF(4&lt;life_it,1,IF(4=life_it,0.5,0))+Sens!H12374*IF(3&lt;life_it,1,IF(3=life_it,0.5,0))+Sens!I12374*IF(2&lt;life_it,1,IF(2=life_it,0.5,0))+Sens!J12374*IF(1&lt;life_it,1,IF(1=life_it,0.5,0))+Sens!K12374*0.5)/life_it</f>
        <v>134.143838501827</v>
      </c>
    </row>
    <row r="12377" customFormat="false" ht="17.15" hidden="false" customHeight="false" outlineLevel="0" collapsed="false">
      <c r="A12377" s="0" t="s">
        <v>1004</v>
      </c>
      <c r="B12377" s="0" t="s">
        <v>98</v>
      </c>
      <c r="E12377" s="6" t="n">
        <f aca="false">(Sens!C12371*IF(2&lt;life_fac,1,IF(2=life_fac,0.5,0))+Sens!D12371*IF(1&lt;life_fac,1,IF(1=life_fac,0.5,0))+Sens!E12371*0.5)/life_fac</f>
        <v>1.2448275</v>
      </c>
      <c r="F12377" s="6" t="n">
        <f aca="false">(Sens!C12371*IF(3&lt;life_fac,1,IF(3=life_fac,0.5,0))+Sens!D12371*IF(2&lt;life_fac,1,IF(2=life_fac,0.5,0))+Sens!E12371*IF(1&lt;life_fac,1,IF(1=life_fac,0.5,0))+Sens!F12371*0.5)/life_fac</f>
        <v>2.508829492925</v>
      </c>
      <c r="G12377" s="6" t="n">
        <f aca="false">(Sens!C12371*IF(4&lt;life_fac,1,IF(4=life_fac,0.5,0))+Sens!D12371*IF(3&lt;life_fac,1,IF(3=life_fac,0.5,0))+Sens!E12371*IF(2&lt;life_fac,1,IF(2=life_fac,0.5,0))+Sens!F12371*IF(1&lt;life_fac,1,IF(1=life_fac,0.5,0))+Sens!G12371*0.5)/life_fac</f>
        <v>4.170838978775</v>
      </c>
      <c r="H12377" s="6" t="n">
        <f aca="false">(Sens!C12371*IF(5&lt;life_fac,1,IF(5=life_fac,0.5,0))+Sens!D12371*IF(4&lt;life_fac,1,IF(4=life_fac,0.5,0))+Sens!E12371*IF(3&lt;life_fac,1,IF(3=life_fac,0.5,0))+Sens!F12371*IF(2&lt;life_fac,1,IF(2=life_fac,0.5,0))+Sens!G12371*IF(1&lt;life_fac,1,IF(1=life_fac,0.5,0))+Sens!H12371*0.5)/life_fac</f>
        <v>5.898098964625</v>
      </c>
      <c r="I12377" s="6" t="n">
        <f aca="false">(Sens!C12371*IF(6&lt;life_fac,1,IF(6=life_fac,0.5,0))+Sens!D12371*IF(5&lt;life_fac,1,IF(5=life_fac,0.5,0))+Sens!E12371*IF(4&lt;life_fac,1,IF(4=life_fac,0.5,0))+Sens!F12371*IF(3&lt;life_fac,1,IF(3=life_fac,0.5,0))+Sens!G12371*IF(2&lt;life_fac,1,IF(2=life_fac,0.5,0))+Sens!H12371*IF(1&lt;life_fac,1,IF(1=life_fac,0.5,0))+Sens!I12371*0.5)/life_fac</f>
        <v>7.37368556095442</v>
      </c>
      <c r="J12377" s="6" t="n">
        <f aca="false">(Sens!C12371*IF(7&lt;life_fac,1,IF(7=life_fac,0.5,0))+Sens!D12371*IF(6&lt;life_fac,1,IF(6=life_fac,0.5,0))+Sens!E12371*IF(5&lt;life_fac,1,IF(5=life_fac,0.5,0))+Sens!F12371*IF(4&lt;life_fac,1,IF(4=life_fac,0.5,0))+Sens!G12371*IF(3&lt;life_fac,1,IF(3=life_fac,0.5,0))+Sens!H12371*IF(2&lt;life_fac,1,IF(2=life_fac,0.5,0))+Sens!I12371*IF(1&lt;life_fac,1,IF(1=life_fac,0.5,0))+Sens!J12371*0.5)/life_fac</f>
        <v>8.35816451031075</v>
      </c>
      <c r="K12377" s="6" t="n">
        <f aca="false">(Sens!C12371*IF(8&lt;life_fac,1,IF(8=life_fac,0.5,0))+Sens!D12371*IF(7&lt;life_fac,1,IF(7=life_fac,0.5,0))+Sens!E12371*IF(6&lt;life_fac,1,IF(6=life_fac,0.5,0))+Sens!F12371*IF(5&lt;life_fac,1,IF(5=life_fac,0.5,0))+Sens!G12371*IF(4&lt;life_fac,1,IF(4=life_fac,0.5,0))+Sens!H12371*IF(3&lt;life_fac,1,IF(3=life_fac,0.5,0))+Sens!I12371*IF(2&lt;life_fac,1,IF(2=life_fac,0.5,0))+Sens!J12371*IF(1&lt;life_fac,1,IF(1=life_fac,0.5,0))+Sens!K12371*0.5)/life_fac</f>
        <v>8.86883104910662</v>
      </c>
    </row>
    <row r="12378" customFormat="false" ht="17.15" hidden="false" customHeight="false" outlineLevel="0" collapsed="false">
      <c r="A12378" s="0" t="s">
        <v>1005</v>
      </c>
      <c r="B12378" s="0" t="s">
        <v>98</v>
      </c>
      <c r="E12378" s="6" t="n">
        <f aca="false">Sens!E12376+Sens!E12377</f>
        <v>16.3054059770833</v>
      </c>
      <c r="F12378" s="6" t="n">
        <f aca="false">Sens!F12376+Sens!F12377</f>
        <v>34.5793144783516</v>
      </c>
      <c r="G12378" s="6" t="n">
        <f aca="false">Sens!G12376+Sens!G12377</f>
        <v>60.7344906522989</v>
      </c>
      <c r="H12378" s="6" t="n">
        <f aca="false">Sens!H12376+Sens!H12377</f>
        <v>89.1000906614457</v>
      </c>
      <c r="I12378" s="6" t="n">
        <f aca="false">Sens!I12376+Sens!I12377</f>
        <v>114.231009694548</v>
      </c>
      <c r="J12378" s="6" t="n">
        <f aca="false">Sens!J12376+Sens!J12377</f>
        <v>132.015673049596</v>
      </c>
      <c r="K12378" s="6" t="n">
        <f aca="false">Sens!K12376+Sens!K12377</f>
        <v>143.012669550934</v>
      </c>
    </row>
    <row r="12379" customFormat="false" ht="17.15" hidden="false" customHeight="false" outlineLevel="0" collapsed="false">
      <c r="A12379" s="0" t="s">
        <v>1006</v>
      </c>
      <c r="B12379" s="0" t="s">
        <v>98</v>
      </c>
      <c r="E12379" s="6" t="n">
        <f aca="false">Sens!E12366-Sens!E12365*Sens!E12378</f>
        <v>8.92707889977379</v>
      </c>
      <c r="F12379" s="6" t="n">
        <f aca="false">Sens!F12366-Sens!F12365*Sens!F12378</f>
        <v>18.7770356668733</v>
      </c>
      <c r="G12379" s="6" t="n">
        <f aca="false">Sens!G12366-Sens!G12365*Sens!G12378</f>
        <v>31.1163641458894</v>
      </c>
      <c r="H12379" s="6" t="n">
        <f aca="false">Sens!H12366-Sens!H12365*Sens!H12378</f>
        <v>43.7262635496428</v>
      </c>
      <c r="I12379" s="6" t="n">
        <f aca="false">Sens!I12366-Sens!I12365*Sens!I12378</f>
        <v>54.7541698336361</v>
      </c>
      <c r="J12379" s="6" t="n">
        <f aca="false">Sens!J12366-Sens!J12365*Sens!J12378</f>
        <v>62.3768819327658</v>
      </c>
      <c r="K12379" s="6" t="n">
        <f aca="false">Sens!K12366-Sens!K12365*Sens!K12378</f>
        <v>67.4820630434748</v>
      </c>
    </row>
    <row r="12380" customFormat="false" ht="17.15" hidden="false" customHeight="false" outlineLevel="0" collapsed="false">
      <c r="A12380" s="3" t="s">
        <v>1921</v>
      </c>
    </row>
    <row r="12381" customFormat="false" ht="15" hidden="false" customHeight="false" outlineLevel="0" collapsed="false">
      <c r="A12381" s="4" t="s">
        <v>43</v>
      </c>
      <c r="B12381" s="4" t="s">
        <v>65</v>
      </c>
      <c r="C12381" s="23" t="s">
        <v>942</v>
      </c>
      <c r="D12381" s="23" t="s">
        <v>943</v>
      </c>
      <c r="E12381" s="23" t="s">
        <v>944</v>
      </c>
      <c r="F12381" s="23" t="s">
        <v>945</v>
      </c>
      <c r="G12381" s="23" t="s">
        <v>946</v>
      </c>
      <c r="H12381" s="23" t="s">
        <v>947</v>
      </c>
      <c r="I12381" s="23" t="s">
        <v>948</v>
      </c>
      <c r="J12381" s="23" t="s">
        <v>949</v>
      </c>
      <c r="K12381" s="23" t="s">
        <v>950</v>
      </c>
      <c r="L12381" s="4" t="s">
        <v>47</v>
      </c>
    </row>
    <row r="12382" customFormat="false" ht="17.15" hidden="false" customHeight="false" outlineLevel="0" collapsed="false">
      <c r="A12382" s="0" t="s">
        <v>1025</v>
      </c>
      <c r="B12382" s="0" t="s">
        <v>98</v>
      </c>
      <c r="D12382" s="6" t="n">
        <f aca="false">Sens!D12360</f>
        <v>12.9359794422418</v>
      </c>
      <c r="E12382" s="6" t="n">
        <f aca="false">Sens!E12360</f>
        <v>27.8095064661409</v>
      </c>
      <c r="F12382" s="6" t="n">
        <f aca="false">Sens!F12360</f>
        <v>55.4118315060966</v>
      </c>
      <c r="G12382" s="6" t="n">
        <f aca="false">Sens!G12360</f>
        <v>91.2881100675143</v>
      </c>
      <c r="H12382" s="6" t="n">
        <f aca="false">Sens!H12360</f>
        <v>128.195273603944</v>
      </c>
      <c r="I12382" s="6" t="n">
        <f aca="false">Sens!I12360</f>
        <v>160.601281810405</v>
      </c>
      <c r="J12382" s="6" t="n">
        <f aca="false">Sens!J12360</f>
        <v>183.182719793589</v>
      </c>
      <c r="K12382" s="6" t="n">
        <f aca="false">Sens!K12360</f>
        <v>197.320124937098</v>
      </c>
    </row>
    <row r="12383" customFormat="false" ht="17.15" hidden="false" customHeight="false" outlineLevel="0" collapsed="false">
      <c r="A12383" s="0" t="s">
        <v>1026</v>
      </c>
      <c r="B12383" s="0" t="s">
        <v>98</v>
      </c>
      <c r="D12383" s="6" t="n">
        <f aca="false">Q!L6-Sens!D12382</f>
        <v>59.6740205577583</v>
      </c>
      <c r="E12383" s="6" t="n">
        <f aca="false">Q!M6-Sens!E12382</f>
        <v>74.1284935338591</v>
      </c>
      <c r="F12383" s="6" t="n">
        <f aca="false">Q!$I$6+(Sens!F12382+Sens!E12383*(1+Sens!F12384))*(1-Q!$E$6/Q!M6)-Sens!F12382</f>
        <v>91.2972164940844</v>
      </c>
      <c r="G12383" s="6" t="n">
        <f aca="false">Sens!F12383*(1+Sens!G12384)</f>
        <v>108.474719793879</v>
      </c>
      <c r="H12383" s="6" t="n">
        <f aca="false">Sens!G12383*(1+Sens!H12384)</f>
        <v>125.951292505701</v>
      </c>
      <c r="I12383" s="6" t="n">
        <f aca="false">Sens!H12383*(1+Sens!I12384)</f>
        <v>142.838165154212</v>
      </c>
      <c r="J12383" s="6" t="n">
        <f aca="false">Sens!I12383*(1+Sens!J12384)</f>
        <v>158.12717866615</v>
      </c>
      <c r="K12383" s="6" t="n">
        <f aca="false">Sens!J12383*(1+Sens!K12384)</f>
        <v>170.777352959442</v>
      </c>
      <c r="L12383" s="12" t="s">
        <v>1027</v>
      </c>
    </row>
    <row r="12384" customFormat="false" ht="15" hidden="false" customHeight="false" outlineLevel="0" collapsed="false">
      <c r="A12384" s="1" t="s">
        <v>1028</v>
      </c>
      <c r="B12384" s="0" t="s">
        <v>168</v>
      </c>
      <c r="E12384" s="7" t="n">
        <f aca="false">Sens!E12383/Sens!D12383-1</f>
        <v>0.242223883039864</v>
      </c>
      <c r="F12384" s="7" t="n">
        <f aca="false">Sens!$E$12384+(glt_azo-Sens!$E$12384)*MIN(1,(Sens!F12341-base_fy)/n_conv)</f>
        <v>0.215186569199887</v>
      </c>
      <c r="G12384" s="7" t="n">
        <f aca="false">Sens!$E$12384+(glt_azo-Sens!$E$12384)*MIN(1,(Sens!G12341-base_fy)/n_conv)</f>
        <v>0.18814925535991</v>
      </c>
      <c r="H12384" s="7" t="n">
        <f aca="false">Sens!$E$12384+(glt_azo-Sens!$E$12384)*MIN(1,(Sens!H12341-base_fy)/n_conv)</f>
        <v>0.161111941519932</v>
      </c>
      <c r="I12384" s="7" t="n">
        <f aca="false">Sens!$E$12384+(glt_azo-Sens!$E$12384)*MIN(1,(Sens!I12341-base_fy)/n_conv)</f>
        <v>0.134074627679955</v>
      </c>
      <c r="J12384" s="7" t="n">
        <f aca="false">Sens!$E$12384+(glt_azo-Sens!$E$12384)*MIN(1,(Sens!J12341-base_fy)/n_conv)</f>
        <v>0.107037313839977</v>
      </c>
      <c r="K12384" s="7" t="n">
        <f aca="false">Sens!$E$12384+(glt_azo-Sens!$E$12384)*MIN(1,(Sens!K12341-base_fy)/n_conv)</f>
        <v>0.08</v>
      </c>
    </row>
    <row r="12385" customFormat="false" ht="15" hidden="false" customHeight="false" outlineLevel="0" collapsed="false">
      <c r="A12385" s="0" t="s">
        <v>1029</v>
      </c>
      <c r="B12385" s="0" t="s">
        <v>98</v>
      </c>
      <c r="D12385" s="6" t="n">
        <f aca="false">Sens!D12382+Sens!D12383</f>
        <v>72.61</v>
      </c>
      <c r="E12385" s="6" t="n">
        <f aca="false">Sens!E12382+Sens!E12383</f>
        <v>101.938</v>
      </c>
      <c r="F12385" s="6" t="n">
        <f aca="false">Sens!F12382+Sens!F12383</f>
        <v>146.709048000181</v>
      </c>
      <c r="G12385" s="6" t="n">
        <f aca="false">Sens!G12382+Sens!G12383</f>
        <v>199.762829861393</v>
      </c>
      <c r="H12385" s="6" t="n">
        <f aca="false">Sens!H12382+Sens!H12383</f>
        <v>254.146566109645</v>
      </c>
      <c r="I12385" s="6" t="n">
        <f aca="false">Sens!I12382+Sens!I12383</f>
        <v>303.439446964617</v>
      </c>
      <c r="J12385" s="6" t="n">
        <f aca="false">Sens!J12382+Sens!J12383</f>
        <v>341.309898459739</v>
      </c>
      <c r="K12385" s="6" t="n">
        <f aca="false">Sens!K12382+Sens!K12383</f>
        <v>368.09747789654</v>
      </c>
    </row>
    <row r="12386" customFormat="false" ht="17.15" hidden="false" customHeight="false" outlineLevel="0" collapsed="false">
      <c r="A12386" s="0" t="s">
        <v>1030</v>
      </c>
      <c r="B12386" s="1" t="s">
        <v>613</v>
      </c>
      <c r="C12386" s="30" t="n">
        <f aca="false">cop_s24</f>
        <v>1</v>
      </c>
      <c r="D12386" s="30" t="n">
        <f aca="false">cop_s25</f>
        <v>5</v>
      </c>
      <c r="E12386" s="30" t="n">
        <f aca="false">cop_s26</f>
        <v>30</v>
      </c>
      <c r="F12386" s="30" t="n">
        <f aca="false">Sens!E12386+cop_add_B</f>
        <v>50</v>
      </c>
      <c r="G12386" s="30" t="n">
        <f aca="false">Sens!F12386+cop_add_B</f>
        <v>70</v>
      </c>
      <c r="H12386" s="30" t="n">
        <f aca="false">Sens!G12386+cop_add_B</f>
        <v>90</v>
      </c>
      <c r="I12386" s="30" t="n">
        <f aca="false">Sens!H12386+cop_add_B*cop_tail</f>
        <v>100</v>
      </c>
      <c r="J12386" s="30" t="n">
        <f aca="false">Sens!I12386+cop_add_B*cop_tail</f>
        <v>110</v>
      </c>
      <c r="K12386" s="30" t="n">
        <f aca="false">Sens!J12386+cop_add_B*cop_tail</f>
        <v>120</v>
      </c>
      <c r="L12386" s="12" t="s">
        <v>1031</v>
      </c>
    </row>
    <row r="12387" customFormat="false" ht="17.15" hidden="false" customHeight="false" outlineLevel="0" collapsed="false">
      <c r="A12387" s="0" t="s">
        <v>1032</v>
      </c>
      <c r="B12387" s="0" t="s">
        <v>98</v>
      </c>
      <c r="D12387" s="6" t="n">
        <f aca="false">(Sens!C12386+Sens!D12386)/2*cop_px*12/1000</f>
        <v>0.9</v>
      </c>
      <c r="E12387" s="6" t="n">
        <f aca="false">(Sens!D12386+Sens!E12386)/2*cop_px*12/1000</f>
        <v>5.25</v>
      </c>
      <c r="F12387" s="6" t="n">
        <f aca="false">(Sens!E12386+Sens!F12386)/2*cop_px*12/1000</f>
        <v>12</v>
      </c>
      <c r="G12387" s="6" t="n">
        <f aca="false">(Sens!F12386+Sens!G12386)/2*cop_px*12/1000</f>
        <v>18</v>
      </c>
      <c r="H12387" s="6" t="n">
        <f aca="false">(Sens!G12386+Sens!H12386)/2*cop_px*12/1000</f>
        <v>24</v>
      </c>
      <c r="I12387" s="6" t="n">
        <f aca="false">(Sens!H12386+Sens!I12386)/2*cop_px*12/1000</f>
        <v>28.5</v>
      </c>
      <c r="J12387" s="6" t="n">
        <f aca="false">(Sens!I12386+Sens!J12386)/2*cop_px*12/1000</f>
        <v>31.5</v>
      </c>
      <c r="K12387" s="6" t="n">
        <f aca="false">(Sens!J12386+Sens!K12386)/2*cop_px*12/1000</f>
        <v>34.5</v>
      </c>
      <c r="L12387" s="1" t="s">
        <v>1033</v>
      </c>
    </row>
    <row r="12388" customFormat="false" ht="17.15" hidden="false" customHeight="false" outlineLevel="0" collapsed="false">
      <c r="A12388" s="0" t="s">
        <v>1034</v>
      </c>
      <c r="B12388" s="0" t="s">
        <v>98</v>
      </c>
      <c r="D12388" s="6" t="n">
        <f aca="false">Q!L7-Sens!D12387</f>
        <v>83.705</v>
      </c>
      <c r="E12388" s="6" t="n">
        <f aca="false">Q!M7-Sens!E12387</f>
        <v>95.049</v>
      </c>
      <c r="F12388" s="6" t="n">
        <f aca="false">Q!$I$7+(Sens!E12388*(1+Sens!F12389)+Sens!F12387)*(1-Q!$E$7/Q!M7)-Sens!F12387</f>
        <v>106.584003697747</v>
      </c>
      <c r="G12388" s="6" t="n">
        <f aca="false">Sens!F12388*(1+Sens!G12389)</f>
        <v>118.700726545688</v>
      </c>
      <c r="H12388" s="6" t="n">
        <f aca="false">Sens!G12388*(1+Sens!H12389)</f>
        <v>130.898624783666</v>
      </c>
      <c r="I12388" s="6" t="n">
        <f aca="false">Sens!H12388*(1+Sens!I12389)</f>
        <v>142.920510030657</v>
      </c>
      <c r="J12388" s="6" t="n">
        <f aca="false">Sens!I12388*(1+Sens!J12389)</f>
        <v>154.485722618572</v>
      </c>
      <c r="K12388" s="6" t="n">
        <f aca="false">Sens!J12388*(1+Sens!K12389)</f>
        <v>165.299723201872</v>
      </c>
      <c r="L12388" s="12" t="s">
        <v>1035</v>
      </c>
    </row>
    <row r="12389" customFormat="false" ht="15" hidden="false" customHeight="false" outlineLevel="0" collapsed="false">
      <c r="A12389" s="1" t="s">
        <v>1028</v>
      </c>
      <c r="B12389" s="0" t="s">
        <v>168</v>
      </c>
      <c r="E12389" s="7" t="n">
        <f aca="false">Sens!E12388/Sens!D12388-1</f>
        <v>0.135523564900544</v>
      </c>
      <c r="F12389" s="7" t="n">
        <f aca="false">Sens!$E$12389+(glt_m365b-Sens!$E$12389)*MIN(1,(Sens!F12341-base_fy)/n_conv)</f>
        <v>0.124602970750453</v>
      </c>
      <c r="G12389" s="7" t="n">
        <f aca="false">Sens!$E$12389+(glt_m365b-Sens!$E$12389)*MIN(1,(Sens!G12341-base_fy)/n_conv)</f>
        <v>0.113682376600363</v>
      </c>
      <c r="H12389" s="7" t="n">
        <f aca="false">Sens!$E$12389+(glt_m365b-Sens!$E$12389)*MIN(1,(Sens!H12341-base_fy)/n_conv)</f>
        <v>0.102761782450272</v>
      </c>
      <c r="I12389" s="7" t="n">
        <f aca="false">Sens!$E$12389+(glt_m365b-Sens!$E$12389)*MIN(1,(Sens!I12341-base_fy)/n_conv)</f>
        <v>0.0918411883001813</v>
      </c>
      <c r="J12389" s="7" t="n">
        <f aca="false">Sens!$E$12389+(glt_m365b-Sens!$E$12389)*MIN(1,(Sens!J12341-base_fy)/n_conv)</f>
        <v>0.0809205941500906</v>
      </c>
      <c r="K12389" s="7" t="n">
        <f aca="false">Sens!$E$12389+(glt_m365b-Sens!$E$12389)*MIN(1,(Sens!K12341-base_fy)/n_conv)</f>
        <v>0.07</v>
      </c>
    </row>
    <row r="12390" customFormat="false" ht="15" hidden="false" customHeight="false" outlineLevel="0" collapsed="false">
      <c r="A12390" s="0" t="s">
        <v>1036</v>
      </c>
      <c r="B12390" s="0" t="s">
        <v>98</v>
      </c>
      <c r="D12390" s="6" t="n">
        <f aca="false">Sens!D12388+Sens!D12387</f>
        <v>84.605</v>
      </c>
      <c r="E12390" s="6" t="n">
        <f aca="false">Sens!E12388+Sens!E12387</f>
        <v>100.299</v>
      </c>
      <c r="F12390" s="6" t="n">
        <f aca="false">Sens!F12388+Sens!F12387</f>
        <v>118.584003697747</v>
      </c>
      <c r="G12390" s="6" t="n">
        <f aca="false">Sens!G12388+Sens!G12387</f>
        <v>136.700726545688</v>
      </c>
      <c r="H12390" s="6" t="n">
        <f aca="false">Sens!H12388+Sens!H12387</f>
        <v>154.898624783666</v>
      </c>
      <c r="I12390" s="6" t="n">
        <f aca="false">Sens!I12388+Sens!I12387</f>
        <v>171.420510030657</v>
      </c>
      <c r="J12390" s="6" t="n">
        <f aca="false">Sens!J12388+Sens!J12387</f>
        <v>185.985722618572</v>
      </c>
      <c r="K12390" s="6" t="n">
        <f aca="false">Sens!K12388+Sens!K12387</f>
        <v>199.799723201872</v>
      </c>
    </row>
    <row r="12391" customFormat="false" ht="17.15" hidden="false" customHeight="false" outlineLevel="0" collapsed="false">
      <c r="A12391" s="0" t="s">
        <v>1037</v>
      </c>
      <c r="B12391" s="0" t="s">
        <v>98</v>
      </c>
      <c r="D12391" s="6" t="n">
        <f aca="false">Q!L8</f>
        <v>35.391</v>
      </c>
      <c r="E12391" s="6" t="n">
        <f aca="false">Q!M8</f>
        <v>37.285</v>
      </c>
      <c r="F12391" s="6" t="n">
        <f aca="false">Q!$I$8+(Q!M8-Q!$E$8)*(1+Sens!F12392)</f>
        <v>38.3851437782675</v>
      </c>
      <c r="G12391" s="6" t="n">
        <f aca="false">Sens!F12391*(1+Sens!G12392)</f>
        <v>40.0105353288615</v>
      </c>
      <c r="H12391" s="6" t="n">
        <f aca="false">Sens!G12391*(1+Sens!H12392)</f>
        <v>41.4812512033683</v>
      </c>
      <c r="I12391" s="6" t="n">
        <f aca="false">Sens!H12391*(1+Sens!I12392)</f>
        <v>42.7743107216329</v>
      </c>
      <c r="J12391" s="6" t="n">
        <f aca="false">Sens!I12391*(1+Sens!J12392)</f>
        <v>43.8687373064601</v>
      </c>
      <c r="K12391" s="6" t="n">
        <f aca="false">Sens!J12391*(1+Sens!K12392)</f>
        <v>44.7461120525893</v>
      </c>
      <c r="L12391" s="12" t="s">
        <v>1038</v>
      </c>
    </row>
    <row r="12392" customFormat="false" ht="15" hidden="false" customHeight="false" outlineLevel="0" collapsed="false">
      <c r="A12392" s="1" t="s">
        <v>1028</v>
      </c>
      <c r="B12392" s="0" t="s">
        <v>168</v>
      </c>
      <c r="E12392" s="7" t="n">
        <f aca="false">Sens!E12391/Sens!D12391-1</f>
        <v>0.0535164307309768</v>
      </c>
      <c r="F12392" s="7" t="n">
        <f aca="false">Sens!$E$12392+(glt_lic-Sens!$E$12392)*MIN(1,(Sens!F12341-base_fy)/n_conv)</f>
        <v>0.0479303589424807</v>
      </c>
      <c r="G12392" s="7" t="n">
        <f aca="false">Sens!$E$12392+(glt_lic-Sens!$E$12392)*MIN(1,(Sens!G12341-base_fy)/n_conv)</f>
        <v>0.0423442871539845</v>
      </c>
      <c r="H12392" s="7" t="n">
        <f aca="false">Sens!$E$12392+(glt_lic-Sens!$E$12392)*MIN(1,(Sens!H12341-base_fy)/n_conv)</f>
        <v>0.0367582153654884</v>
      </c>
      <c r="I12392" s="7" t="n">
        <f aca="false">Sens!$E$12392+(glt_lic-Sens!$E$12392)*MIN(1,(Sens!I12341-base_fy)/n_conv)</f>
        <v>0.0311721435769923</v>
      </c>
      <c r="J12392" s="7" t="n">
        <f aca="false">Sens!$E$12392+(glt_lic-Sens!$E$12392)*MIN(1,(Sens!J12341-base_fy)/n_conv)</f>
        <v>0.0255860717884961</v>
      </c>
      <c r="K12392" s="7" t="n">
        <f aca="false">Sens!$E$12392+(glt_lic-Sens!$E$12392)*MIN(1,(Sens!K12341-base_fy)/n_conv)</f>
        <v>0.02</v>
      </c>
    </row>
    <row r="12393" customFormat="false" ht="17.15" hidden="false" customHeight="false" outlineLevel="0" collapsed="false">
      <c r="A12393" s="0" t="s">
        <v>1039</v>
      </c>
      <c r="B12393" s="0" t="s">
        <v>98</v>
      </c>
      <c r="D12393" s="6" t="n">
        <f aca="false">Q!L9</f>
        <v>18.417</v>
      </c>
      <c r="E12393" s="6" t="n">
        <f aca="false">Q!M9</f>
        <v>20.345</v>
      </c>
      <c r="F12393" s="6" t="n">
        <f aca="false">Q!$I$9+(Q!M9-Q!$E$9)*(1+Sens!F12394)</f>
        <v>22.3161797133988</v>
      </c>
      <c r="G12393" s="6" t="n">
        <f aca="false">Sens!F12393*(1+Sens!G12394)</f>
        <v>24.3943499673233</v>
      </c>
      <c r="H12393" s="6" t="n">
        <f aca="false">Sens!G12393*(1+Sens!H12394)</f>
        <v>26.5250243109019</v>
      </c>
      <c r="I12393" s="6" t="n">
        <f aca="false">Sens!H12393*(1+Sens!I12394)</f>
        <v>28.6884573538181</v>
      </c>
      <c r="J12393" s="6" t="n">
        <f aca="false">Sens!I12393*(1+Sens!J12394)</f>
        <v>30.8624968052127</v>
      </c>
      <c r="K12393" s="6" t="n">
        <f aca="false">Sens!J12393*(1+Sens!K12394)</f>
        <v>33.0228715815776</v>
      </c>
      <c r="L12393" s="12" t="s">
        <v>1038</v>
      </c>
    </row>
    <row r="12394" customFormat="false" ht="15" hidden="false" customHeight="false" outlineLevel="0" collapsed="false">
      <c r="A12394" s="1" t="s">
        <v>1028</v>
      </c>
      <c r="B12394" s="0" t="s">
        <v>168</v>
      </c>
      <c r="E12394" s="7" t="n">
        <f aca="false">Sens!E12393/Sens!D12393-1</f>
        <v>0.104685888038225</v>
      </c>
      <c r="F12394" s="7" t="n">
        <f aca="false">Sens!$E$12394+(glt_ind-Sens!$E$12394)*MIN(1,(Sens!F12341-base_fy)/n_conv)</f>
        <v>0.0989049066985211</v>
      </c>
      <c r="G12394" s="7" t="n">
        <f aca="false">Sens!$E$12394+(glt_ind-Sens!$E$12394)*MIN(1,(Sens!G12341-base_fy)/n_conv)</f>
        <v>0.0931239253588169</v>
      </c>
      <c r="H12394" s="7" t="n">
        <f aca="false">Sens!$E$12394+(glt_ind-Sens!$E$12394)*MIN(1,(Sens!H12341-base_fy)/n_conv)</f>
        <v>0.0873429440191127</v>
      </c>
      <c r="I12394" s="7" t="n">
        <f aca="false">Sens!$E$12394+(glt_ind-Sens!$E$12394)*MIN(1,(Sens!I12341-base_fy)/n_conv)</f>
        <v>0.0815619626794085</v>
      </c>
      <c r="J12394" s="7" t="n">
        <f aca="false">Sens!$E$12394+(glt_ind-Sens!$E$12394)*MIN(1,(Sens!J12341-base_fy)/n_conv)</f>
        <v>0.0757809813397042</v>
      </c>
      <c r="K12394" s="7" t="n">
        <f aca="false">Sens!$E$12394+(glt_ind-Sens!$E$12394)*MIN(1,(Sens!K12341-base_fy)/n_conv)</f>
        <v>0.07</v>
      </c>
    </row>
    <row r="12395" customFormat="false" ht="17.15" hidden="false" customHeight="false" outlineLevel="0" collapsed="false">
      <c r="A12395" s="0" t="s">
        <v>1040</v>
      </c>
      <c r="B12395" s="0" t="s">
        <v>98</v>
      </c>
      <c r="D12395" s="6" t="n">
        <f aca="false">Q!L10</f>
        <v>7.76</v>
      </c>
      <c r="E12395" s="6" t="n">
        <f aca="false">Q!M10</f>
        <v>8.26</v>
      </c>
      <c r="F12395" s="6" t="n">
        <f aca="false">Q!$I$10+(Q!M10-Q!$E$10)*(1+Sens!F12396)</f>
        <v>8.75372082474227</v>
      </c>
      <c r="G12395" s="6" t="n">
        <f aca="false">Sens!F12395*(1+Sens!G12396)</f>
        <v>9.33399324642364</v>
      </c>
      <c r="H12395" s="6" t="n">
        <f aca="false">Sens!G12395*(1+Sens!H12396)</f>
        <v>9.96139155535851</v>
      </c>
      <c r="I12395" s="6" t="n">
        <f aca="false">Sens!H12395*(1+Sens!I12396)</f>
        <v>10.6402039077391</v>
      </c>
      <c r="J12395" s="6" t="n">
        <f aca="false">Sens!I12395*(1+Sens!J12396)</f>
        <v>11.3751458271397</v>
      </c>
      <c r="K12395" s="6" t="n">
        <f aca="false">Sens!J12395*(1+Sens!K12396)</f>
        <v>12.1714060350394</v>
      </c>
      <c r="L12395" s="12" t="s">
        <v>1038</v>
      </c>
    </row>
    <row r="12396" customFormat="false" ht="15" hidden="false" customHeight="false" outlineLevel="0" collapsed="false">
      <c r="A12396" s="1" t="s">
        <v>1028</v>
      </c>
      <c r="B12396" s="0" t="s">
        <v>168</v>
      </c>
      <c r="E12396" s="7" t="n">
        <f aca="false">Sens!E12395/Sens!D12395-1</f>
        <v>0.0644329896907216</v>
      </c>
      <c r="F12396" s="7" t="n">
        <f aca="false">Sens!$E$12396+(glt_fro-Sens!$E$12396)*MIN(1,(Sens!F12341-base_fy)/n_conv)</f>
        <v>0.065360824742268</v>
      </c>
      <c r="G12396" s="7" t="n">
        <f aca="false">Sens!$E$12396+(glt_fro-Sens!$E$12396)*MIN(1,(Sens!G12341-base_fy)/n_conv)</f>
        <v>0.0662886597938144</v>
      </c>
      <c r="H12396" s="7" t="n">
        <f aca="false">Sens!$E$12396+(glt_fro-Sens!$E$12396)*MIN(1,(Sens!H12341-base_fy)/n_conv)</f>
        <v>0.0672164948453608</v>
      </c>
      <c r="I12396" s="7" t="n">
        <f aca="false">Sens!$E$12396+(glt_fro-Sens!$E$12396)*MIN(1,(Sens!I12341-base_fy)/n_conv)</f>
        <v>0.0681443298969072</v>
      </c>
      <c r="J12396" s="7" t="n">
        <f aca="false">Sens!$E$12396+(glt_fro-Sens!$E$12396)*MIN(1,(Sens!J12341-base_fy)/n_conv)</f>
        <v>0.0690721649484536</v>
      </c>
      <c r="K12396" s="7" t="n">
        <f aca="false">Sens!$E$12396+(glt_fro-Sens!$E$12396)*MIN(1,(Sens!K12341-base_fy)/n_conv)</f>
        <v>0.07</v>
      </c>
    </row>
    <row r="12397" customFormat="false" ht="15" hidden="false" customHeight="false" outlineLevel="0" collapsed="false">
      <c r="A12397" s="0" t="s">
        <v>856</v>
      </c>
      <c r="B12397" s="0" t="s">
        <v>98</v>
      </c>
      <c r="D12397" s="6" t="n">
        <f aca="false">Sens!D12385+Sens!D12390+Sens!D12391+Sens!D12393+Sens!D12395</f>
        <v>218.783</v>
      </c>
      <c r="E12397" s="6" t="n">
        <f aca="false">Sens!E12385+Sens!E12390+Sens!E12391+Sens!E12393+Sens!E12395</f>
        <v>268.127</v>
      </c>
      <c r="F12397" s="6" t="n">
        <f aca="false">Sens!F12385+Sens!F12390+Sens!F12391+Sens!F12393+Sens!F12395</f>
        <v>334.748096014336</v>
      </c>
      <c r="G12397" s="6" t="n">
        <f aca="false">Sens!G12385+Sens!G12390+Sens!G12391+Sens!G12393+Sens!G12395</f>
        <v>410.20243494969</v>
      </c>
      <c r="H12397" s="6" t="n">
        <f aca="false">Sens!H12385+Sens!H12390+Sens!H12391+Sens!H12393+Sens!H12395</f>
        <v>487.012857962939</v>
      </c>
      <c r="I12397" s="6" t="n">
        <f aca="false">Sens!I12385+Sens!I12390+Sens!I12391+Sens!I12393+Sens!I12395</f>
        <v>556.962928978464</v>
      </c>
      <c r="J12397" s="6" t="n">
        <f aca="false">Sens!J12385+Sens!J12390+Sens!J12391+Sens!J12393+Sens!J12395</f>
        <v>613.402001017124</v>
      </c>
      <c r="K12397" s="6" t="n">
        <f aca="false">Sens!K12385+Sens!K12390+Sens!K12391+Sens!K12393+Sens!K12395</f>
        <v>657.837590767618</v>
      </c>
    </row>
    <row r="12398" customFormat="false" ht="17.15" hidden="false" customHeight="false" outlineLevel="0" collapsed="false">
      <c r="A12398" s="0" t="s">
        <v>1041</v>
      </c>
      <c r="B12398" s="0" t="s">
        <v>98</v>
      </c>
      <c r="D12398" s="6" t="n">
        <f aca="false">Q!L13</f>
        <v>22.171</v>
      </c>
      <c r="E12398" s="6" t="n">
        <f aca="false">Q!M13</f>
        <v>24.835</v>
      </c>
      <c r="F12398" s="6" t="n">
        <f aca="false">Q!$I$13+(Q!M13-Q!$E$13)*(1+Sens!F12399)</f>
        <v>27.5591895660247</v>
      </c>
      <c r="G12398" s="6" t="n">
        <f aca="false">Sens!F12398*(1+Sens!G12399)</f>
        <v>30.4098563144583</v>
      </c>
      <c r="H12398" s="6" t="n">
        <f aca="false">Sens!G12398*(1+Sens!H12399)</f>
        <v>33.3011792571777</v>
      </c>
      <c r="I12398" s="6" t="n">
        <f aca="false">Sens!H12398*(1+Sens!I12399)</f>
        <v>36.189023797112</v>
      </c>
      <c r="J12398" s="6" t="n">
        <f aca="false">Sens!I12398*(1+Sens!J12399)</f>
        <v>39.0247773769199</v>
      </c>
      <c r="K12398" s="6" t="n">
        <f aca="false">Sens!J12398*(1+Sens!K12399)</f>
        <v>41.7565117933043</v>
      </c>
      <c r="L12398" s="12" t="s">
        <v>1038</v>
      </c>
    </row>
    <row r="12399" customFormat="false" ht="15" hidden="false" customHeight="false" outlineLevel="0" collapsed="false">
      <c r="A12399" s="1" t="s">
        <v>1028</v>
      </c>
      <c r="B12399" s="0" t="s">
        <v>168</v>
      </c>
      <c r="E12399" s="7" t="n">
        <f aca="false">Sens!E12398/Sens!D12398-1</f>
        <v>0.120156961796942</v>
      </c>
      <c r="F12399" s="7" t="n">
        <f aca="false">Sens!$E$12399+(glt_srch-Sens!$E$12399)*MIN(1,(Sens!F12341-base_fy)/n_conv)</f>
        <v>0.111797468164118</v>
      </c>
      <c r="G12399" s="7" t="n">
        <f aca="false">Sens!$E$12399+(glt_srch-Sens!$E$12399)*MIN(1,(Sens!G12341-base_fy)/n_conv)</f>
        <v>0.103437974531295</v>
      </c>
      <c r="H12399" s="7" t="n">
        <f aca="false">Sens!$E$12399+(glt_srch-Sens!$E$12399)*MIN(1,(Sens!H12341-base_fy)/n_conv)</f>
        <v>0.095078480898471</v>
      </c>
      <c r="I12399" s="7" t="n">
        <f aca="false">Sens!$E$12399+(glt_srch-Sens!$E$12399)*MIN(1,(Sens!I12341-base_fy)/n_conv)</f>
        <v>0.0867189872656474</v>
      </c>
      <c r="J12399" s="7" t="n">
        <f aca="false">Sens!$E$12399+(glt_srch-Sens!$E$12399)*MIN(1,(Sens!J12341-base_fy)/n_conv)</f>
        <v>0.0783594936328237</v>
      </c>
      <c r="K12399" s="7" t="n">
        <f aca="false">Sens!$E$12399+(glt_srch-Sens!$E$12399)*MIN(1,(Sens!K12341-base_fy)/n_conv)</f>
        <v>0.07</v>
      </c>
    </row>
    <row r="12400" customFormat="false" ht="17.15" hidden="false" customHeight="false" outlineLevel="0" collapsed="false">
      <c r="A12400" s="0" t="s">
        <v>1042</v>
      </c>
      <c r="B12400" s="0" t="s">
        <v>98</v>
      </c>
      <c r="D12400" s="6" t="n">
        <f aca="false">Q!L14</f>
        <v>23.455</v>
      </c>
      <c r="E12400" s="6" t="n">
        <f aca="false">Q!M14</f>
        <v>21.79</v>
      </c>
      <c r="F12400" s="6" t="n">
        <f aca="false">Q!$I$14+(Q!M14-Q!$E$14)*(1+Sens!F12401)</f>
        <v>20.8335081041711</v>
      </c>
      <c r="G12400" s="6" t="n">
        <f aca="false">Sens!F12400*(1+Sens!G12401)</f>
        <v>20.1947944630466</v>
      </c>
      <c r="H12400" s="6" t="n">
        <f aca="false">Sens!G12400*(1+Sens!H12401)</f>
        <v>19.9828804239412</v>
      </c>
      <c r="I12400" s="6" t="n">
        <f aca="false">Sens!H12400*(1+Sens!I12401)</f>
        <v>20.1761348846602</v>
      </c>
      <c r="J12400" s="6" t="n">
        <f aca="false">Sens!I12400*(1+Sens!J12401)</f>
        <v>20.7780999691978</v>
      </c>
      <c r="K12400" s="6" t="n">
        <f aca="false">Sens!J12400*(1+Sens!K12401)</f>
        <v>21.8170049676577</v>
      </c>
      <c r="L12400" s="12" t="s">
        <v>1038</v>
      </c>
    </row>
    <row r="12401" customFormat="false" ht="15" hidden="false" customHeight="false" outlineLevel="0" collapsed="false">
      <c r="A12401" s="1" t="s">
        <v>1028</v>
      </c>
      <c r="B12401" s="0" t="s">
        <v>168</v>
      </c>
      <c r="E12401" s="7" t="n">
        <f aca="false">Sens!E12400/Sens!D12400-1</f>
        <v>-0.0709869963760392</v>
      </c>
      <c r="F12401" s="7" t="n">
        <f aca="false">Sens!$E$12401+(glt_xbox_hi-Sens!$E$12401)*MIN(1,(Sens!F12341-base_fy)/n_conv)</f>
        <v>-0.0508224969800327</v>
      </c>
      <c r="G12401" s="7" t="n">
        <f aca="false">Sens!$E$12401+(glt_xbox_hi-Sens!$E$12401)*MIN(1,(Sens!G12341-base_fy)/n_conv)</f>
        <v>-0.0306579975840262</v>
      </c>
      <c r="H12401" s="7" t="n">
        <f aca="false">Sens!$E$12401+(glt_xbox_hi-Sens!$E$12401)*MIN(1,(Sens!H12341-base_fy)/n_conv)</f>
        <v>-0.0104934981880196</v>
      </c>
      <c r="I12401" s="7" t="n">
        <f aca="false">Sens!$E$12401+(glt_xbox_hi-Sens!$E$12401)*MIN(1,(Sens!I12341-base_fy)/n_conv)</f>
        <v>0.00967100120798692</v>
      </c>
      <c r="J12401" s="7" t="n">
        <f aca="false">Sens!$E$12401+(glt_xbox_hi-Sens!$E$12401)*MIN(1,(Sens!J12341-base_fy)/n_conv)</f>
        <v>0.0298355006039935</v>
      </c>
      <c r="K12401" s="7" t="n">
        <f aca="false">Sens!$E$12401+(glt_xbox_hi-Sens!$E$12401)*MIN(1,(Sens!K12341-base_fy)/n_conv)</f>
        <v>0.05</v>
      </c>
    </row>
    <row r="12402" customFormat="false" ht="17.15" hidden="false" customHeight="false" outlineLevel="0" collapsed="false">
      <c r="A12402" s="0" t="s">
        <v>1043</v>
      </c>
      <c r="B12402" s="0" t="s">
        <v>98</v>
      </c>
      <c r="D12402" s="6" t="n">
        <f aca="false">Q!L15</f>
        <v>17.315</v>
      </c>
      <c r="E12402" s="6" t="n">
        <f aca="false">Q!M15</f>
        <v>17.087</v>
      </c>
      <c r="F12402" s="6" t="n">
        <f aca="false">Q!$I$15+(Q!M15-Q!$E$15)*(1+Sens!F12403)</f>
        <v>15.9912273250553</v>
      </c>
      <c r="G12402" s="6" t="n">
        <f aca="false">Sens!F12402*(1+Sens!G12403)</f>
        <v>15.9574562664827</v>
      </c>
      <c r="H12402" s="6" t="n">
        <f aca="false">Sens!G12402*(1+Sens!H12403)</f>
        <v>16.0119687434196</v>
      </c>
      <c r="I12402" s="6" t="n">
        <f aca="false">Sens!H12402*(1+Sens!I12403)</f>
        <v>16.1551810001948</v>
      </c>
      <c r="J12402" s="6" t="n">
        <f aca="false">Sens!I12402*(1+Sens!J12403)</f>
        <v>16.3889793892005</v>
      </c>
      <c r="K12402" s="6" t="n">
        <f aca="false">Sens!J12402*(1+Sens!K12403)</f>
        <v>16.7167589769845</v>
      </c>
      <c r="L12402" s="12" t="s">
        <v>1038</v>
      </c>
    </row>
    <row r="12403" customFormat="false" ht="15" hidden="false" customHeight="false" outlineLevel="0" collapsed="false">
      <c r="A12403" s="1" t="s">
        <v>1028</v>
      </c>
      <c r="B12403" s="0" t="s">
        <v>168</v>
      </c>
      <c r="E12403" s="7" t="n">
        <f aca="false">Sens!E12402/Sens!D12402-1</f>
        <v>-0.0131677736066995</v>
      </c>
      <c r="F12403" s="7" t="n">
        <f aca="false">Sens!$E$12403+(glt_win-Sens!$E$12403)*MIN(1,(Sens!F12341-base_fy)/n_conv)</f>
        <v>-0.00763981133891627</v>
      </c>
      <c r="G12403" s="7" t="n">
        <f aca="false">Sens!$E$12403+(glt_win-Sens!$E$12403)*MIN(1,(Sens!G12341-base_fy)/n_conv)</f>
        <v>-0.00211184907113301</v>
      </c>
      <c r="H12403" s="7" t="n">
        <f aca="false">Sens!$E$12403+(glt_win-Sens!$E$12403)*MIN(1,(Sens!H12341-base_fy)/n_conv)</f>
        <v>0.00341611319665024</v>
      </c>
      <c r="I12403" s="7" t="n">
        <f aca="false">Sens!$E$12403+(glt_win-Sens!$E$12403)*MIN(1,(Sens!I12341-base_fy)/n_conv)</f>
        <v>0.00894407546443349</v>
      </c>
      <c r="J12403" s="7" t="n">
        <f aca="false">Sens!$E$12403+(glt_win-Sens!$E$12403)*MIN(1,(Sens!J12341-base_fy)/n_conv)</f>
        <v>0.0144720377322168</v>
      </c>
      <c r="K12403" s="7" t="n">
        <f aca="false">Sens!$E$12403+(glt_win-Sens!$E$12403)*MIN(1,(Sens!K12341-base_fy)/n_conv)</f>
        <v>0.02</v>
      </c>
    </row>
    <row r="12404" customFormat="false" ht="15" hidden="false" customHeight="false" outlineLevel="0" collapsed="false">
      <c r="A12404" s="0" t="s">
        <v>870</v>
      </c>
      <c r="B12404" s="0" t="s">
        <v>98</v>
      </c>
      <c r="D12404" s="6" t="n">
        <f aca="false">Sens!D12398+Sens!D12400+Sens!D12402</f>
        <v>62.941</v>
      </c>
      <c r="E12404" s="6" t="n">
        <f aca="false">Sens!E12398+Sens!E12400+Sens!E12402</f>
        <v>63.712</v>
      </c>
      <c r="F12404" s="6" t="n">
        <f aca="false">Sens!F12398+Sens!F12400+Sens!F12402</f>
        <v>64.3839249952511</v>
      </c>
      <c r="G12404" s="6" t="n">
        <f aca="false">Sens!G12398+Sens!G12400+Sens!G12402</f>
        <v>66.5621070439876</v>
      </c>
      <c r="H12404" s="6" t="n">
        <f aca="false">Sens!H12398+Sens!H12400+Sens!H12402</f>
        <v>69.2960284245385</v>
      </c>
      <c r="I12404" s="6" t="n">
        <f aca="false">Sens!I12398+Sens!I12400+Sens!I12402</f>
        <v>72.520339681967</v>
      </c>
      <c r="J12404" s="6" t="n">
        <f aca="false">Sens!J12398+Sens!J12400+Sens!J12402</f>
        <v>76.1918567353181</v>
      </c>
      <c r="K12404" s="6" t="n">
        <f aca="false">Sens!K12398+Sens!K12400+Sens!K12402</f>
        <v>80.2902757379464</v>
      </c>
    </row>
    <row r="12405" customFormat="false" ht="15" hidden="false" customHeight="false" outlineLevel="0" collapsed="false">
      <c r="A12405" s="1" t="s">
        <v>1044</v>
      </c>
      <c r="B12405" s="0" t="s">
        <v>98</v>
      </c>
      <c r="D12405" s="6" t="n">
        <f aca="false">Sens!D12397+Sens!D12404</f>
        <v>281.724</v>
      </c>
      <c r="E12405" s="6" t="n">
        <f aca="false">Sens!E12397+Sens!E12404</f>
        <v>331.839</v>
      </c>
      <c r="F12405" s="6" t="n">
        <f aca="false">Sens!F12397+Sens!F12404</f>
        <v>399.132021009588</v>
      </c>
      <c r="G12405" s="6" t="n">
        <f aca="false">Sens!G12397+Sens!G12404</f>
        <v>476.764541993678</v>
      </c>
      <c r="H12405" s="6" t="n">
        <f aca="false">Sens!H12397+Sens!H12404</f>
        <v>556.308886387478</v>
      </c>
      <c r="I12405" s="6" t="n">
        <f aca="false">Sens!I12397+Sens!I12404</f>
        <v>629.483268660431</v>
      </c>
      <c r="J12405" s="6" t="n">
        <f aca="false">Sens!J12397+Sens!J12404</f>
        <v>689.593857752442</v>
      </c>
      <c r="K12405" s="6" t="n">
        <f aca="false">Sens!K12397+Sens!K12404</f>
        <v>738.127866505565</v>
      </c>
    </row>
    <row r="12406" customFormat="false" ht="15" hidden="false" customHeight="false" outlineLevel="0" collapsed="false">
      <c r="A12406" s="26" t="s">
        <v>1045</v>
      </c>
      <c r="B12406" s="31" t="s">
        <v>98</v>
      </c>
      <c r="C12406" s="31"/>
      <c r="D12406" s="27" t="n">
        <f aca="false">(Sens!D12385+Sens!D12390+Sens!D12391+Sens!D12393+Sens!D12395-Sens!D12397)+(Sens!D12398+Sens!D12400+Sens!D12402-Sens!D12404)+(Sens!D12397-Q!L5)+(Sens!D12404-Q!L12)+(Sens!D12385-Q!L6)+(Sens!D12390-Q!L7)</f>
        <v>0</v>
      </c>
      <c r="E12406" s="27" t="n">
        <f aca="false">(Sens!E12385+Sens!E12390+Sens!E12391+Sens!E12393+Sens!E12395-Sens!E12397)+(Sens!E12398+Sens!E12400+Sens!E12402-Sens!E12404)+(Sens!E12397-Q!M5)+(Sens!E12404-Q!M12)+(Sens!E12385-Q!M6)+(Sens!E12390-Q!M7)</f>
        <v>0</v>
      </c>
      <c r="F12406" s="27" t="n">
        <f aca="false">(Sens!F12385+Sens!F12390+Sens!F12391+Sens!F12393+Sens!F12395-Sens!F12397)+(Sens!F12398+Sens!F12400+Sens!F12402-Sens!F12404)</f>
        <v>0</v>
      </c>
      <c r="G12406" s="27" t="n">
        <f aca="false">(Sens!G12385+Sens!G12390+Sens!G12391+Sens!G12393+Sens!G12395-Sens!G12397)+(Sens!G12398+Sens!G12400+Sens!G12402-Sens!G12404)</f>
        <v>0</v>
      </c>
      <c r="H12406" s="27" t="n">
        <f aca="false">(Sens!H12385+Sens!H12390+Sens!H12391+Sens!H12393+Sens!H12395-Sens!H12397)+(Sens!H12398+Sens!H12400+Sens!H12402-Sens!H12404)</f>
        <v>0</v>
      </c>
      <c r="I12406" s="27" t="n">
        <f aca="false">(Sens!I12385+Sens!I12390+Sens!I12391+Sens!I12393+Sens!I12395-Sens!I12397)+(Sens!I12398+Sens!I12400+Sens!I12402-Sens!I12404)</f>
        <v>0</v>
      </c>
      <c r="J12406" s="27" t="n">
        <f aca="false">(Sens!J12385+Sens!J12390+Sens!J12391+Sens!J12393+Sens!J12395-Sens!J12397)+(Sens!J12398+Sens!J12400+Sens!J12402-Sens!J12404)</f>
        <v>0</v>
      </c>
      <c r="K12406" s="27" t="n">
        <f aca="false">(Sens!K12385+Sens!K12390+Sens!K12391+Sens!K12393+Sens!K12395-Sens!K12397)+(Sens!K12398+Sens!K12400+Sens!K12402-Sens!K12404)</f>
        <v>0</v>
      </c>
    </row>
    <row r="12407" customFormat="false" ht="17.15" hidden="false" customHeight="false" outlineLevel="0" collapsed="false">
      <c r="A12407" s="3" t="s">
        <v>1922</v>
      </c>
    </row>
    <row r="12408" customFormat="false" ht="15" hidden="false" customHeight="false" outlineLevel="0" collapsed="false">
      <c r="A12408" s="4" t="s">
        <v>43</v>
      </c>
      <c r="B12408" s="4" t="s">
        <v>65</v>
      </c>
      <c r="C12408" s="23" t="s">
        <v>942</v>
      </c>
      <c r="D12408" s="23" t="s">
        <v>943</v>
      </c>
      <c r="E12408" s="23" t="s">
        <v>944</v>
      </c>
      <c r="F12408" s="23" t="s">
        <v>945</v>
      </c>
      <c r="G12408" s="23" t="s">
        <v>946</v>
      </c>
      <c r="H12408" s="23" t="s">
        <v>947</v>
      </c>
      <c r="I12408" s="23" t="s">
        <v>948</v>
      </c>
      <c r="J12408" s="23" t="s">
        <v>949</v>
      </c>
      <c r="K12408" s="23" t="s">
        <v>950</v>
      </c>
      <c r="L12408" s="4" t="s">
        <v>47</v>
      </c>
    </row>
    <row r="12409" customFormat="false" ht="15" hidden="false" customHeight="false" outlineLevel="0" collapsed="false">
      <c r="A12409" s="0" t="s">
        <v>1029</v>
      </c>
      <c r="B12409" s="0" t="s">
        <v>98</v>
      </c>
      <c r="D12409" s="6" t="n">
        <f aca="false">Sens!D12385</f>
        <v>72.61</v>
      </c>
      <c r="E12409" s="6" t="n">
        <f aca="false">Sens!E12385</f>
        <v>101.938</v>
      </c>
      <c r="F12409" s="6" t="n">
        <f aca="false">Sens!F12385</f>
        <v>146.709048000181</v>
      </c>
      <c r="G12409" s="6" t="n">
        <f aca="false">Sens!G12385</f>
        <v>199.762829861393</v>
      </c>
      <c r="H12409" s="6" t="n">
        <f aca="false">Sens!H12385</f>
        <v>254.146566109645</v>
      </c>
      <c r="I12409" s="6" t="n">
        <f aca="false">Sens!I12385</f>
        <v>303.439446964617</v>
      </c>
      <c r="J12409" s="6" t="n">
        <f aca="false">Sens!J12385</f>
        <v>341.309898459739</v>
      </c>
      <c r="K12409" s="6" t="n">
        <f aca="false">Sens!K12385</f>
        <v>368.09747789654</v>
      </c>
    </row>
    <row r="12410" customFormat="false" ht="17.15" hidden="false" customHeight="false" outlineLevel="0" collapsed="false">
      <c r="A12410" s="0" t="s">
        <v>1025</v>
      </c>
      <c r="B12410" s="0" t="s">
        <v>98</v>
      </c>
      <c r="D12410" s="6" t="n">
        <f aca="false">Sens!D12382</f>
        <v>12.9359794422418</v>
      </c>
      <c r="E12410" s="6" t="n">
        <f aca="false">Sens!E12382</f>
        <v>27.8095064661409</v>
      </c>
      <c r="F12410" s="6" t="n">
        <f aca="false">Sens!F12382</f>
        <v>55.4118315060966</v>
      </c>
      <c r="G12410" s="6" t="n">
        <f aca="false">Sens!G12382</f>
        <v>91.2881100675143</v>
      </c>
      <c r="H12410" s="6" t="n">
        <f aca="false">Sens!H12382</f>
        <v>128.195273603944</v>
      </c>
      <c r="I12410" s="6" t="n">
        <f aca="false">Sens!I12382</f>
        <v>160.601281810405</v>
      </c>
      <c r="J12410" s="6" t="n">
        <f aca="false">Sens!J12382</f>
        <v>183.182719793589</v>
      </c>
      <c r="K12410" s="6" t="n">
        <f aca="false">Sens!K12382</f>
        <v>197.320124937098</v>
      </c>
    </row>
    <row r="12411" customFormat="false" ht="17.15" hidden="false" customHeight="false" outlineLevel="0" collapsed="false">
      <c r="A12411" s="0" t="s">
        <v>1056</v>
      </c>
      <c r="B12411" s="0" t="s">
        <v>98</v>
      </c>
      <c r="D12411" s="6" t="n">
        <f aca="false">Sens!D12383</f>
        <v>59.6740205577583</v>
      </c>
      <c r="E12411" s="6" t="n">
        <f aca="false">Sens!E12383</f>
        <v>74.1284935338591</v>
      </c>
      <c r="F12411" s="6" t="n">
        <f aca="false">Sens!F12383</f>
        <v>91.2972164940844</v>
      </c>
      <c r="G12411" s="6" t="n">
        <f aca="false">Sens!G12383</f>
        <v>108.474719793879</v>
      </c>
      <c r="H12411" s="6" t="n">
        <f aca="false">Sens!H12383</f>
        <v>125.951292505701</v>
      </c>
      <c r="I12411" s="6" t="n">
        <f aca="false">Sens!I12383</f>
        <v>142.838165154212</v>
      </c>
      <c r="J12411" s="6" t="n">
        <f aca="false">Sens!J12383</f>
        <v>158.12717866615</v>
      </c>
      <c r="K12411" s="6" t="n">
        <f aca="false">Sens!K12383</f>
        <v>170.777352959442</v>
      </c>
    </row>
    <row r="12412" customFormat="false" ht="15" hidden="false" customHeight="false" outlineLevel="0" collapsed="false">
      <c r="A12412" s="0" t="s">
        <v>1036</v>
      </c>
      <c r="B12412" s="0" t="s">
        <v>98</v>
      </c>
      <c r="D12412" s="6" t="n">
        <f aca="false">Sens!D12390</f>
        <v>84.605</v>
      </c>
      <c r="E12412" s="6" t="n">
        <f aca="false">Sens!E12390</f>
        <v>100.299</v>
      </c>
      <c r="F12412" s="6" t="n">
        <f aca="false">Sens!F12390</f>
        <v>118.584003697747</v>
      </c>
      <c r="G12412" s="6" t="n">
        <f aca="false">Sens!G12390</f>
        <v>136.700726545688</v>
      </c>
      <c r="H12412" s="6" t="n">
        <f aca="false">Sens!H12390</f>
        <v>154.898624783666</v>
      </c>
      <c r="I12412" s="6" t="n">
        <f aca="false">Sens!I12390</f>
        <v>171.420510030657</v>
      </c>
      <c r="J12412" s="6" t="n">
        <f aca="false">Sens!J12390</f>
        <v>185.985722618572</v>
      </c>
      <c r="K12412" s="6" t="n">
        <f aca="false">Sens!K12390</f>
        <v>199.799723201872</v>
      </c>
    </row>
    <row r="12413" customFormat="false" ht="17.15" hidden="false" customHeight="false" outlineLevel="0" collapsed="false">
      <c r="A12413" s="0" t="s">
        <v>1057</v>
      </c>
      <c r="B12413" s="0" t="s">
        <v>98</v>
      </c>
      <c r="D12413" s="6" t="n">
        <f aca="false">Sens!D12388</f>
        <v>83.705</v>
      </c>
      <c r="E12413" s="6" t="n">
        <f aca="false">Sens!E12388</f>
        <v>95.049</v>
      </c>
      <c r="F12413" s="6" t="n">
        <f aca="false">Sens!F12388</f>
        <v>106.584003697747</v>
      </c>
      <c r="G12413" s="6" t="n">
        <f aca="false">Sens!G12388</f>
        <v>118.700726545688</v>
      </c>
      <c r="H12413" s="6" t="n">
        <f aca="false">Sens!H12388</f>
        <v>130.898624783666</v>
      </c>
      <c r="I12413" s="6" t="n">
        <f aca="false">Sens!I12388</f>
        <v>142.920510030657</v>
      </c>
      <c r="J12413" s="6" t="n">
        <f aca="false">Sens!J12388</f>
        <v>154.485722618572</v>
      </c>
      <c r="K12413" s="6" t="n">
        <f aca="false">Sens!K12388</f>
        <v>165.299723201872</v>
      </c>
    </row>
    <row r="12414" customFormat="false" ht="17.15" hidden="false" customHeight="false" outlineLevel="0" collapsed="false">
      <c r="A12414" s="0" t="s">
        <v>1058</v>
      </c>
      <c r="B12414" s="0" t="s">
        <v>98</v>
      </c>
      <c r="D12414" s="6" t="n">
        <f aca="false">Sens!D12387</f>
        <v>0.9</v>
      </c>
      <c r="E12414" s="6" t="n">
        <f aca="false">Sens!E12387</f>
        <v>5.25</v>
      </c>
      <c r="F12414" s="6" t="n">
        <f aca="false">Sens!F12387</f>
        <v>12</v>
      </c>
      <c r="G12414" s="6" t="n">
        <f aca="false">Sens!G12387</f>
        <v>18</v>
      </c>
      <c r="H12414" s="6" t="n">
        <f aca="false">Sens!H12387</f>
        <v>24</v>
      </c>
      <c r="I12414" s="6" t="n">
        <f aca="false">Sens!I12387</f>
        <v>28.5</v>
      </c>
      <c r="J12414" s="6" t="n">
        <f aca="false">Sens!J12387</f>
        <v>31.5</v>
      </c>
      <c r="K12414" s="6" t="n">
        <f aca="false">Sens!K12387</f>
        <v>34.5</v>
      </c>
    </row>
    <row r="12415" customFormat="false" ht="15" hidden="false" customHeight="false" outlineLevel="0" collapsed="false">
      <c r="A12415" s="0" t="s">
        <v>1037</v>
      </c>
      <c r="B12415" s="0" t="s">
        <v>98</v>
      </c>
      <c r="D12415" s="6" t="n">
        <f aca="false">Sens!D12391</f>
        <v>35.391</v>
      </c>
      <c r="E12415" s="6" t="n">
        <f aca="false">Sens!E12391</f>
        <v>37.285</v>
      </c>
      <c r="F12415" s="6" t="n">
        <f aca="false">Sens!F12391</f>
        <v>38.3851437782675</v>
      </c>
      <c r="G12415" s="6" t="n">
        <f aca="false">Sens!G12391</f>
        <v>40.0105353288615</v>
      </c>
      <c r="H12415" s="6" t="n">
        <f aca="false">Sens!H12391</f>
        <v>41.4812512033683</v>
      </c>
      <c r="I12415" s="6" t="n">
        <f aca="false">Sens!I12391</f>
        <v>42.7743107216329</v>
      </c>
      <c r="J12415" s="6" t="n">
        <f aca="false">Sens!J12391</f>
        <v>43.8687373064601</v>
      </c>
      <c r="K12415" s="6" t="n">
        <f aca="false">Sens!K12391</f>
        <v>44.7461120525893</v>
      </c>
    </row>
    <row r="12416" customFormat="false" ht="15" hidden="false" customHeight="false" outlineLevel="0" collapsed="false">
      <c r="A12416" s="0" t="s">
        <v>1039</v>
      </c>
      <c r="B12416" s="0" t="s">
        <v>98</v>
      </c>
      <c r="D12416" s="6" t="n">
        <f aca="false">Sens!D12393</f>
        <v>18.417</v>
      </c>
      <c r="E12416" s="6" t="n">
        <f aca="false">Sens!E12393</f>
        <v>20.345</v>
      </c>
      <c r="F12416" s="6" t="n">
        <f aca="false">Sens!F12393</f>
        <v>22.3161797133988</v>
      </c>
      <c r="G12416" s="6" t="n">
        <f aca="false">Sens!G12393</f>
        <v>24.3943499673233</v>
      </c>
      <c r="H12416" s="6" t="n">
        <f aca="false">Sens!H12393</f>
        <v>26.5250243109019</v>
      </c>
      <c r="I12416" s="6" t="n">
        <f aca="false">Sens!I12393</f>
        <v>28.6884573538181</v>
      </c>
      <c r="J12416" s="6" t="n">
        <f aca="false">Sens!J12393</f>
        <v>30.8624968052127</v>
      </c>
      <c r="K12416" s="6" t="n">
        <f aca="false">Sens!K12393</f>
        <v>33.0228715815776</v>
      </c>
    </row>
    <row r="12417" customFormat="false" ht="15" hidden="false" customHeight="false" outlineLevel="0" collapsed="false">
      <c r="A12417" s="0" t="s">
        <v>1040</v>
      </c>
      <c r="B12417" s="0" t="s">
        <v>98</v>
      </c>
      <c r="D12417" s="6" t="n">
        <f aca="false">Sens!D12395</f>
        <v>7.76</v>
      </c>
      <c r="E12417" s="6" t="n">
        <f aca="false">Sens!E12395</f>
        <v>8.26</v>
      </c>
      <c r="F12417" s="6" t="n">
        <f aca="false">Sens!F12395</f>
        <v>8.75372082474227</v>
      </c>
      <c r="G12417" s="6" t="n">
        <f aca="false">Sens!G12395</f>
        <v>9.33399324642364</v>
      </c>
      <c r="H12417" s="6" t="n">
        <f aca="false">Sens!H12395</f>
        <v>9.96139155535851</v>
      </c>
      <c r="I12417" s="6" t="n">
        <f aca="false">Sens!I12395</f>
        <v>10.6402039077391</v>
      </c>
      <c r="J12417" s="6" t="n">
        <f aca="false">Sens!J12395</f>
        <v>11.3751458271397</v>
      </c>
      <c r="K12417" s="6" t="n">
        <f aca="false">Sens!K12395</f>
        <v>12.1714060350394</v>
      </c>
    </row>
    <row r="12418" customFormat="false" ht="15" hidden="false" customHeight="false" outlineLevel="0" collapsed="false">
      <c r="A12418" s="0" t="s">
        <v>856</v>
      </c>
      <c r="B12418" s="0" t="s">
        <v>98</v>
      </c>
      <c r="D12418" s="6" t="n">
        <f aca="false">Sens!D12397</f>
        <v>218.783</v>
      </c>
      <c r="E12418" s="6" t="n">
        <f aca="false">Sens!E12397</f>
        <v>268.127</v>
      </c>
      <c r="F12418" s="6" t="n">
        <f aca="false">Sens!F12397</f>
        <v>334.748096014336</v>
      </c>
      <c r="G12418" s="6" t="n">
        <f aca="false">Sens!G12397</f>
        <v>410.20243494969</v>
      </c>
      <c r="H12418" s="6" t="n">
        <f aca="false">Sens!H12397</f>
        <v>487.012857962939</v>
      </c>
      <c r="I12418" s="6" t="n">
        <f aca="false">Sens!I12397</f>
        <v>556.962928978464</v>
      </c>
      <c r="J12418" s="6" t="n">
        <f aca="false">Sens!J12397</f>
        <v>613.402001017124</v>
      </c>
      <c r="K12418" s="6" t="n">
        <f aca="false">Sens!K12397</f>
        <v>657.837590767618</v>
      </c>
    </row>
    <row r="12419" customFormat="false" ht="15" hidden="false" customHeight="false" outlineLevel="0" collapsed="false">
      <c r="A12419" s="0" t="s">
        <v>1041</v>
      </c>
      <c r="B12419" s="0" t="s">
        <v>98</v>
      </c>
      <c r="D12419" s="6" t="n">
        <f aca="false">Sens!D12398</f>
        <v>22.171</v>
      </c>
      <c r="E12419" s="6" t="n">
        <f aca="false">Sens!E12398</f>
        <v>24.835</v>
      </c>
      <c r="F12419" s="6" t="n">
        <f aca="false">Sens!F12398</f>
        <v>27.5591895660247</v>
      </c>
      <c r="G12419" s="6" t="n">
        <f aca="false">Sens!G12398</f>
        <v>30.4098563144583</v>
      </c>
      <c r="H12419" s="6" t="n">
        <f aca="false">Sens!H12398</f>
        <v>33.3011792571777</v>
      </c>
      <c r="I12419" s="6" t="n">
        <f aca="false">Sens!I12398</f>
        <v>36.189023797112</v>
      </c>
      <c r="J12419" s="6" t="n">
        <f aca="false">Sens!J12398</f>
        <v>39.0247773769199</v>
      </c>
      <c r="K12419" s="6" t="n">
        <f aca="false">Sens!K12398</f>
        <v>41.7565117933043</v>
      </c>
    </row>
    <row r="12420" customFormat="false" ht="15" hidden="false" customHeight="false" outlineLevel="0" collapsed="false">
      <c r="A12420" s="0" t="s">
        <v>1042</v>
      </c>
      <c r="B12420" s="0" t="s">
        <v>98</v>
      </c>
      <c r="D12420" s="6" t="n">
        <f aca="false">Sens!D12400</f>
        <v>23.455</v>
      </c>
      <c r="E12420" s="6" t="n">
        <f aca="false">Sens!E12400</f>
        <v>21.79</v>
      </c>
      <c r="F12420" s="6" t="n">
        <f aca="false">Sens!F12400</f>
        <v>20.8335081041711</v>
      </c>
      <c r="G12420" s="6" t="n">
        <f aca="false">Sens!G12400</f>
        <v>20.1947944630466</v>
      </c>
      <c r="H12420" s="6" t="n">
        <f aca="false">Sens!H12400</f>
        <v>19.9828804239412</v>
      </c>
      <c r="I12420" s="6" t="n">
        <f aca="false">Sens!I12400</f>
        <v>20.1761348846602</v>
      </c>
      <c r="J12420" s="6" t="n">
        <f aca="false">Sens!J12400</f>
        <v>20.7780999691978</v>
      </c>
      <c r="K12420" s="6" t="n">
        <f aca="false">Sens!K12400</f>
        <v>21.8170049676577</v>
      </c>
    </row>
    <row r="12421" customFormat="false" ht="15" hidden="false" customHeight="false" outlineLevel="0" collapsed="false">
      <c r="A12421" s="0" t="s">
        <v>1043</v>
      </c>
      <c r="B12421" s="0" t="s">
        <v>98</v>
      </c>
      <c r="D12421" s="6" t="n">
        <f aca="false">Sens!D12402</f>
        <v>17.315</v>
      </c>
      <c r="E12421" s="6" t="n">
        <f aca="false">Sens!E12402</f>
        <v>17.087</v>
      </c>
      <c r="F12421" s="6" t="n">
        <f aca="false">Sens!F12402</f>
        <v>15.9912273250553</v>
      </c>
      <c r="G12421" s="6" t="n">
        <f aca="false">Sens!G12402</f>
        <v>15.9574562664827</v>
      </c>
      <c r="H12421" s="6" t="n">
        <f aca="false">Sens!H12402</f>
        <v>16.0119687434196</v>
      </c>
      <c r="I12421" s="6" t="n">
        <f aca="false">Sens!I12402</f>
        <v>16.1551810001948</v>
      </c>
      <c r="J12421" s="6" t="n">
        <f aca="false">Sens!J12402</f>
        <v>16.3889793892005</v>
      </c>
      <c r="K12421" s="6" t="n">
        <f aca="false">Sens!K12402</f>
        <v>16.7167589769845</v>
      </c>
    </row>
    <row r="12422" customFormat="false" ht="15" hidden="false" customHeight="false" outlineLevel="0" collapsed="false">
      <c r="A12422" s="0" t="s">
        <v>870</v>
      </c>
      <c r="B12422" s="0" t="s">
        <v>98</v>
      </c>
      <c r="D12422" s="6" t="n">
        <f aca="false">Sens!D12404</f>
        <v>62.941</v>
      </c>
      <c r="E12422" s="6" t="n">
        <f aca="false">Sens!E12404</f>
        <v>63.712</v>
      </c>
      <c r="F12422" s="6" t="n">
        <f aca="false">Sens!F12404</f>
        <v>64.3839249952511</v>
      </c>
      <c r="G12422" s="6" t="n">
        <f aca="false">Sens!G12404</f>
        <v>66.5621070439876</v>
      </c>
      <c r="H12422" s="6" t="n">
        <f aca="false">Sens!H12404</f>
        <v>69.2960284245385</v>
      </c>
      <c r="I12422" s="6" t="n">
        <f aca="false">Sens!I12404</f>
        <v>72.520339681967</v>
      </c>
      <c r="J12422" s="6" t="n">
        <f aca="false">Sens!J12404</f>
        <v>76.1918567353181</v>
      </c>
      <c r="K12422" s="6" t="n">
        <f aca="false">Sens!K12404</f>
        <v>80.2902757379464</v>
      </c>
    </row>
    <row r="12423" customFormat="false" ht="15" hidden="false" customHeight="false" outlineLevel="0" collapsed="false">
      <c r="A12423" s="1" t="s">
        <v>1059</v>
      </c>
      <c r="B12423" s="0" t="s">
        <v>98</v>
      </c>
      <c r="D12423" s="6" t="n">
        <f aca="false">Sens!D12405</f>
        <v>281.724</v>
      </c>
      <c r="E12423" s="6" t="n">
        <f aca="false">Sens!E12405</f>
        <v>331.839</v>
      </c>
      <c r="F12423" s="6" t="n">
        <f aca="false">Sens!F12405</f>
        <v>399.132021009588</v>
      </c>
      <c r="G12423" s="6" t="n">
        <f aca="false">Sens!G12405</f>
        <v>476.764541993678</v>
      </c>
      <c r="H12423" s="6" t="n">
        <f aca="false">Sens!H12405</f>
        <v>556.308886387478</v>
      </c>
      <c r="I12423" s="6" t="n">
        <f aca="false">Sens!I12405</f>
        <v>629.483268660431</v>
      </c>
      <c r="J12423" s="6" t="n">
        <f aca="false">Sens!J12405</f>
        <v>689.593857752442</v>
      </c>
      <c r="K12423" s="6" t="n">
        <f aca="false">Sens!K12405</f>
        <v>738.127866505565</v>
      </c>
    </row>
    <row r="12424" customFormat="false" ht="15" hidden="false" customHeight="false" outlineLevel="0" collapsed="false">
      <c r="A12424" s="1" t="s">
        <v>1060</v>
      </c>
      <c r="B12424" s="0" t="s">
        <v>168</v>
      </c>
      <c r="E12424" s="7" t="n">
        <f aca="false">Sens!E12423/Sens!D12423-1</f>
        <v>0.177886867998467</v>
      </c>
      <c r="F12424" s="7" t="n">
        <f aca="false">Sens!F12423/Sens!E12423-1</f>
        <v>0.202788162360625</v>
      </c>
      <c r="G12424" s="7" t="n">
        <f aca="false">Sens!G12423/Sens!F12423-1</f>
        <v>0.194503364545199</v>
      </c>
      <c r="H12424" s="7" t="n">
        <f aca="false">Sens!H12423/Sens!G12423-1</f>
        <v>0.166841988838287</v>
      </c>
      <c r="I12424" s="7" t="n">
        <f aca="false">Sens!I12423/Sens!H12423-1</f>
        <v>0.131535526509613</v>
      </c>
      <c r="J12424" s="7" t="n">
        <f aca="false">Sens!J12423/Sens!I12423-1</f>
        <v>0.0954919567916852</v>
      </c>
      <c r="K12424" s="7" t="n">
        <f aca="false">Sens!K12423/Sens!J12423-1</f>
        <v>0.0703805699652071</v>
      </c>
    </row>
    <row r="12425" customFormat="false" ht="17.15" hidden="false" customHeight="false" outlineLevel="0" collapsed="false">
      <c r="A12425" s="26" t="s">
        <v>1061</v>
      </c>
      <c r="B12425" s="31" t="s">
        <v>98</v>
      </c>
      <c r="C12425" s="31"/>
      <c r="D12425" s="27" t="n">
        <f aca="false">(Sens!D12418+Sens!D12422-Sens!D12423)+(Sens!D12410+Sens!D12411-Sens!D12409)+(Sens!D12413+Sens!D12414-Sens!D12412)+(Sens!D12423-Q!L18)</f>
        <v>0</v>
      </c>
      <c r="E12425" s="27" t="n">
        <f aca="false">(Sens!E12418+Sens!E12422-Sens!E12423)+(Sens!E12410+Sens!E12411-Sens!E12409)+(Sens!E12413+Sens!E12414-Sens!E12412)+(Sens!E12423-Q!M18)</f>
        <v>0</v>
      </c>
      <c r="F12425" s="27" t="n">
        <f aca="false">(Sens!F12418+Sens!F12422-Sens!F12423)+(Sens!F12410+Sens!F12411-Sens!F12409)+(Sens!F12413+Sens!F12414-Sens!F12412)</f>
        <v>0</v>
      </c>
      <c r="G12425" s="27" t="n">
        <f aca="false">(Sens!G12418+Sens!G12422-Sens!G12423)+(Sens!G12410+Sens!G12411-Sens!G12409)+(Sens!G12413+Sens!G12414-Sens!G12412)</f>
        <v>0</v>
      </c>
      <c r="H12425" s="27" t="n">
        <f aca="false">(Sens!H12418+Sens!H12422-Sens!H12423)+(Sens!H12410+Sens!H12411-Sens!H12409)+(Sens!H12413+Sens!H12414-Sens!H12412)</f>
        <v>0</v>
      </c>
      <c r="I12425" s="27" t="n">
        <f aca="false">(Sens!I12418+Sens!I12422-Sens!I12423)+(Sens!I12410+Sens!I12411-Sens!I12409)+(Sens!I12413+Sens!I12414-Sens!I12412)</f>
        <v>0</v>
      </c>
      <c r="J12425" s="27" t="n">
        <f aca="false">(Sens!J12418+Sens!J12422-Sens!J12423)+(Sens!J12410+Sens!J12411-Sens!J12409)+(Sens!J12413+Sens!J12414-Sens!J12412)</f>
        <v>0</v>
      </c>
      <c r="K12425" s="27" t="n">
        <f aca="false">(Sens!K12418+Sens!K12422-Sens!K12423)+(Sens!K12410+Sens!K12411-Sens!K12409)+(Sens!K12413+Sens!K12414-Sens!K12412)</f>
        <v>0</v>
      </c>
    </row>
    <row r="12426" customFormat="false" ht="17.15" hidden="false" customHeight="false" outlineLevel="0" collapsed="false">
      <c r="A12426" s="0" t="s">
        <v>1062</v>
      </c>
      <c r="B12426" s="0" t="s">
        <v>168</v>
      </c>
      <c r="E12426" s="7" t="n">
        <f aca="false">(Q!M21+Sens!E12362+Sens!E12363+Sens!E12364+Sens!E12378-Sens!E12360)/(Q!M5-Sens!E12360)</f>
        <v>0.570957350878296</v>
      </c>
      <c r="F12426" s="7" t="n">
        <f aca="false">Sens!$E$12426+dm_seg</f>
        <v>0.570957350878296</v>
      </c>
      <c r="G12426" s="7" t="n">
        <f aca="false">Sens!$E$12426+dm_seg</f>
        <v>0.570957350878296</v>
      </c>
      <c r="H12426" s="7" t="n">
        <f aca="false">Sens!$E$12426+dm_seg</f>
        <v>0.570957350878296</v>
      </c>
      <c r="I12426" s="7" t="n">
        <f aca="false">Sens!$E$12426+dm_seg</f>
        <v>0.570957350878296</v>
      </c>
      <c r="J12426" s="7" t="n">
        <f aca="false">Sens!$E$12426+dm_seg</f>
        <v>0.570957350878296</v>
      </c>
      <c r="K12426" s="7" t="n">
        <f aca="false">Sens!$E$12426+dm_seg</f>
        <v>0.570957350878296</v>
      </c>
      <c r="L12426" s="12" t="s">
        <v>1063</v>
      </c>
    </row>
    <row r="12427" customFormat="false" ht="17.15" hidden="false" customHeight="false" outlineLevel="0" collapsed="false">
      <c r="A12427" s="0" t="s">
        <v>884</v>
      </c>
      <c r="B12427" s="0" t="s">
        <v>98</v>
      </c>
      <c r="D12427" s="6" t="n">
        <f aca="false">Q!L21</f>
        <v>110.814</v>
      </c>
      <c r="E12427" s="6" t="n">
        <f aca="false">Q!M21</f>
        <v>136.365</v>
      </c>
      <c r="F12427" s="6" t="n">
        <f aca="false">Q!$I$21+(Sens!F12426*(Sens!F12397-Sens!F12360)+Sens!F12360-(Sens!F12362+Sens!F12363+Sens!F12364)-Sens!F12378-Sens!F12461)*(Sens!F12397-Q!$I$5)/Sens!F12397</f>
        <v>162.089888657</v>
      </c>
      <c r="G12427" s="6" t="n">
        <f aca="false">(Sens!G12426*(Sens!G12397-Sens!G12360)+Sens!G12360-(Sens!G12362+Sens!G12363+Sens!G12364)-Sens!G12378-Sens!G12461)</f>
        <v>177.568904956673</v>
      </c>
      <c r="H12427" s="6" t="n">
        <f aca="false">(Sens!H12426*(Sens!H12397-Sens!H12360)+Sens!H12360-(Sens!H12362+Sens!H12363+Sens!H12364)-Sens!H12378-Sens!H12461)</f>
        <v>196.76368759427</v>
      </c>
      <c r="I12427" s="6" t="n">
        <f aca="false">(Sens!I12426*(Sens!I12397-Sens!I12360)+Sens!I12360-(Sens!I12362+Sens!I12363+Sens!I12364)-Sens!I12378-Sens!I12461)</f>
        <v>214.975584572623</v>
      </c>
      <c r="J12427" s="6" t="n">
        <f aca="false">(Sens!J12426*(Sens!J12397-Sens!J12360)+Sens!J12360-(Sens!J12362+Sens!J12363+Sens!J12364)-Sens!J12378-Sens!J12461)</f>
        <v>231.957077796371</v>
      </c>
      <c r="K12427" s="6" t="n">
        <f aca="false">(Sens!K12426*(Sens!K12397-Sens!K12360)+Sens!K12360-(Sens!K12362+Sens!K12363+Sens!K12364)-Sens!K12378-Sens!K12461)</f>
        <v>248.339747438173</v>
      </c>
      <c r="L12427" s="1" t="s">
        <v>1064</v>
      </c>
    </row>
    <row r="12428" customFormat="false" ht="17.15" hidden="false" customHeight="false" outlineLevel="0" collapsed="false">
      <c r="A12428" s="0" t="s">
        <v>1065</v>
      </c>
      <c r="B12428" s="0" t="s">
        <v>168</v>
      </c>
      <c r="E12428" s="7" t="n">
        <f aca="false">Q!M22/Q!M12</f>
        <v>0.296207935710698</v>
      </c>
      <c r="F12428" s="7" t="n">
        <f aca="false">Sens!$E$12428+dm_seg</f>
        <v>0.296207935710698</v>
      </c>
      <c r="G12428" s="7" t="n">
        <f aca="false">Sens!$E$12428+dm_seg</f>
        <v>0.296207935710698</v>
      </c>
      <c r="H12428" s="7" t="n">
        <f aca="false">Sens!$E$12428+dm_seg</f>
        <v>0.296207935710698</v>
      </c>
      <c r="I12428" s="7" t="n">
        <f aca="false">Sens!$E$12428+dm_seg</f>
        <v>0.296207935710698</v>
      </c>
      <c r="J12428" s="7" t="n">
        <f aca="false">Sens!$E$12428+dm_seg</f>
        <v>0.296207935710698</v>
      </c>
      <c r="K12428" s="7" t="n">
        <f aca="false">Sens!$E$12428+dm_seg</f>
        <v>0.296207935710698</v>
      </c>
      <c r="L12428" s="12" t="s">
        <v>1066</v>
      </c>
    </row>
    <row r="12429" customFormat="false" ht="17.15" hidden="false" customHeight="false" outlineLevel="0" collapsed="false">
      <c r="A12429" s="0" t="s">
        <v>886</v>
      </c>
      <c r="B12429" s="0" t="s">
        <v>98</v>
      </c>
      <c r="D12429" s="6" t="n">
        <f aca="false">Q!L22</f>
        <v>17.714</v>
      </c>
      <c r="E12429" s="6" t="n">
        <f aca="false">Q!M22</f>
        <v>18.872</v>
      </c>
      <c r="F12429" s="6" t="n">
        <f aca="false">Q!$I$22+(Sens!F12404-Q!$I$12)*Sens!F12428</f>
        <v>19.8415458392513</v>
      </c>
      <c r="G12429" s="6" t="n">
        <f aca="false">Sens!G12404*Sens!G12428</f>
        <v>19.7162243240541</v>
      </c>
      <c r="H12429" s="6" t="n">
        <f aca="false">Sens!H12404*Sens!H12428</f>
        <v>20.5260335325824</v>
      </c>
      <c r="I12429" s="6" t="n">
        <f aca="false">Sens!I12404*Sens!I12428</f>
        <v>21.4811001142341</v>
      </c>
      <c r="J12429" s="6" t="n">
        <f aca="false">Sens!J12404*Sens!J12428</f>
        <v>22.5686326015338</v>
      </c>
      <c r="K12429" s="6" t="n">
        <f aca="false">Sens!K12404*Sens!K12428</f>
        <v>23.7826168339799</v>
      </c>
      <c r="L12429" s="12" t="s">
        <v>1067</v>
      </c>
    </row>
    <row r="12430" customFormat="false" ht="15" hidden="false" customHeight="false" outlineLevel="0" collapsed="false">
      <c r="A12430" s="1" t="s">
        <v>1068</v>
      </c>
      <c r="B12430" s="0" t="s">
        <v>98</v>
      </c>
      <c r="D12430" s="6" t="n">
        <f aca="false">Sens!D12427+Sens!D12429</f>
        <v>128.528</v>
      </c>
      <c r="E12430" s="6" t="n">
        <f aca="false">Sens!E12427+Sens!E12429</f>
        <v>155.237</v>
      </c>
      <c r="F12430" s="6" t="n">
        <f aca="false">Sens!F12427+Sens!F12429</f>
        <v>181.931434496251</v>
      </c>
      <c r="G12430" s="6" t="n">
        <f aca="false">Sens!G12427+Sens!G12429</f>
        <v>197.285129280727</v>
      </c>
      <c r="H12430" s="6" t="n">
        <f aca="false">Sens!H12427+Sens!H12429</f>
        <v>217.289721126853</v>
      </c>
      <c r="I12430" s="6" t="n">
        <f aca="false">Sens!I12427+Sens!I12429</f>
        <v>236.456684686857</v>
      </c>
      <c r="J12430" s="6" t="n">
        <f aca="false">Sens!J12427+Sens!J12429</f>
        <v>254.525710397905</v>
      </c>
      <c r="K12430" s="6" t="n">
        <f aca="false">Sens!K12427+Sens!K12429</f>
        <v>272.122364272153</v>
      </c>
    </row>
    <row r="12431" customFormat="false" ht="15" hidden="false" customHeight="false" outlineLevel="0" collapsed="false">
      <c r="A12431" s="26" t="s">
        <v>1069</v>
      </c>
      <c r="B12431" s="31" t="s">
        <v>98</v>
      </c>
      <c r="C12431" s="31"/>
      <c r="D12431" s="27" t="n">
        <f aca="false">Sens!D12430-Q!L23</f>
        <v>0</v>
      </c>
      <c r="E12431" s="27" t="n">
        <f aca="false">Sens!E12430-Q!M23</f>
        <v>0</v>
      </c>
      <c r="F12431" s="31"/>
      <c r="G12431" s="31"/>
      <c r="H12431" s="31"/>
      <c r="I12431" s="31"/>
      <c r="J12431" s="31"/>
      <c r="K12431" s="31"/>
    </row>
    <row r="12432" customFormat="false" ht="15" hidden="false" customHeight="false" outlineLevel="0" collapsed="false">
      <c r="A12432" s="1" t="s">
        <v>1070</v>
      </c>
      <c r="B12432" s="0" t="s">
        <v>168</v>
      </c>
      <c r="D12432" s="7" t="n">
        <f aca="false">Sens!D12430/Sens!D12423</f>
        <v>0.456219562408598</v>
      </c>
      <c r="E12432" s="7" t="n">
        <f aca="false">Sens!E12430/Sens!E12423</f>
        <v>0.467808184089272</v>
      </c>
      <c r="F12432" s="7" t="n">
        <f aca="false">Sens!F12430/Sens!F12423</f>
        <v>0.455817686679369</v>
      </c>
      <c r="G12432" s="7" t="n">
        <f aca="false">Sens!G12430/Sens!G12423</f>
        <v>0.413799919884444</v>
      </c>
      <c r="H12432" s="7" t="n">
        <f aca="false">Sens!H12430/Sens!H12423</f>
        <v>0.390591857228589</v>
      </c>
      <c r="I12432" s="7" t="n">
        <f aca="false">Sens!I12430/Sens!I12423</f>
        <v>0.375636170902601</v>
      </c>
      <c r="J12432" s="7" t="n">
        <f aca="false">Sens!J12430/Sens!J12423</f>
        <v>0.369095094941053</v>
      </c>
      <c r="K12432" s="7" t="n">
        <f aca="false">Sens!K12430/Sens!K12423</f>
        <v>0.368665615566624</v>
      </c>
    </row>
    <row r="12433" customFormat="false" ht="17.15" hidden="false" customHeight="false" outlineLevel="0" collapsed="false">
      <c r="A12433" s="1" t="s">
        <v>1071</v>
      </c>
      <c r="B12433" s="0" t="s">
        <v>98</v>
      </c>
      <c r="F12433" s="6" t="n">
        <f aca="false">Sens!F12448</f>
        <v>9.7398427716299</v>
      </c>
      <c r="G12433" s="6" t="n">
        <f aca="false">Sens!G12448</f>
        <v>25.2753385959797</v>
      </c>
      <c r="H12433" s="6" t="n">
        <f aca="false">Sens!H12448</f>
        <v>42.2840253697948</v>
      </c>
      <c r="I12433" s="6" t="n">
        <f aca="false">Sens!I12448</f>
        <v>57.704943641581</v>
      </c>
      <c r="J12433" s="6" t="n">
        <f aca="false">Sens!J12448</f>
        <v>68.4828520908201</v>
      </c>
      <c r="K12433" s="6" t="n">
        <f aca="false">Sens!K12448</f>
        <v>74.3598374943249</v>
      </c>
      <c r="L12433" s="1" t="s">
        <v>1072</v>
      </c>
    </row>
    <row r="12434" customFormat="false" ht="17.15" hidden="false" customHeight="false" outlineLevel="0" collapsed="false">
      <c r="A12434" s="1" t="s">
        <v>1073</v>
      </c>
      <c r="B12434" s="0" t="s">
        <v>98</v>
      </c>
      <c r="D12434" s="6" t="n">
        <f aca="false">Sens!D12430</f>
        <v>128.528</v>
      </c>
      <c r="E12434" s="6" t="n">
        <f aca="false">Sens!E12430</f>
        <v>155.237</v>
      </c>
      <c r="F12434" s="6" t="n">
        <f aca="false">Sens!F12430+Sens!F12433</f>
        <v>191.671277267881</v>
      </c>
      <c r="G12434" s="6" t="n">
        <f aca="false">Sens!G12430+Sens!G12433</f>
        <v>222.560467876707</v>
      </c>
      <c r="H12434" s="6" t="n">
        <f aca="false">Sens!H12430+Sens!H12433</f>
        <v>259.573746496648</v>
      </c>
      <c r="I12434" s="6" t="n">
        <f aca="false">Sens!I12430+Sens!I12433</f>
        <v>294.161628328438</v>
      </c>
      <c r="J12434" s="6" t="n">
        <f aca="false">Sens!J12430+Sens!J12433</f>
        <v>323.008562488725</v>
      </c>
      <c r="K12434" s="6" t="n">
        <f aca="false">Sens!K12430+Sens!K12433</f>
        <v>346.482201766477</v>
      </c>
    </row>
    <row r="12435" customFormat="false" ht="17.15" hidden="false" customHeight="false" outlineLevel="0" collapsed="false">
      <c r="A12435" s="1" t="s">
        <v>1074</v>
      </c>
      <c r="B12435" s="0" t="s">
        <v>98</v>
      </c>
      <c r="E12435" s="6" t="n">
        <f aca="false">Sens!E12378</f>
        <v>16.3054059770833</v>
      </c>
      <c r="F12435" s="6" t="n">
        <f aca="false">Sens!F12378</f>
        <v>34.5793144783516</v>
      </c>
      <c r="G12435" s="6" t="n">
        <f aca="false">Sens!G12378</f>
        <v>60.7344906522989</v>
      </c>
      <c r="H12435" s="6" t="n">
        <f aca="false">Sens!H12378</f>
        <v>89.1000906614457</v>
      </c>
      <c r="I12435" s="6" t="n">
        <f aca="false">Sens!I12378</f>
        <v>114.231009694548</v>
      </c>
      <c r="J12435" s="6" t="n">
        <f aca="false">Sens!J12378</f>
        <v>132.015673049596</v>
      </c>
      <c r="K12435" s="6" t="n">
        <f aca="false">Sens!K12378</f>
        <v>143.012669550934</v>
      </c>
    </row>
    <row r="12436" customFormat="false" ht="17.15" hidden="false" customHeight="false" outlineLevel="0" collapsed="false">
      <c r="A12436" s="1" t="s">
        <v>1075</v>
      </c>
      <c r="B12436" s="0" t="s">
        <v>98</v>
      </c>
      <c r="E12436" s="6" t="n">
        <f aca="false">Sens!E12460</f>
        <v>22.2285940229167</v>
      </c>
      <c r="F12436" s="6" t="n">
        <f aca="false">Sens!F12460</f>
        <v>23.5805865005473</v>
      </c>
      <c r="G12436" s="6" t="n">
        <f aca="false">Sens!G12460</f>
        <v>25.3594279012577</v>
      </c>
      <c r="H12436" s="6" t="n">
        <f aca="false">Sens!H12460</f>
        <v>27.5312857723802</v>
      </c>
      <c r="I12436" s="6" t="n">
        <f aca="false">Sens!I12460</f>
        <v>30.0298236643155</v>
      </c>
      <c r="J12436" s="6" t="n">
        <f aca="false">Sens!J12460</f>
        <v>32.7718672422579</v>
      </c>
      <c r="K12436" s="6" t="n">
        <f aca="false">Sens!K12460</f>
        <v>35.6733418076083</v>
      </c>
    </row>
    <row r="12437" customFormat="false" ht="17.15" hidden="false" customHeight="false" outlineLevel="0" collapsed="false">
      <c r="A12437" s="1" t="s">
        <v>1076</v>
      </c>
      <c r="B12437" s="0" t="s">
        <v>98</v>
      </c>
      <c r="D12437" s="6" t="n">
        <f aca="false">Q!L27</f>
        <v>-4.901</v>
      </c>
      <c r="E12437" s="6" t="n">
        <f aca="false">Q!M27</f>
        <v>10.697</v>
      </c>
      <c r="F12437" s="6" t="n">
        <f aca="false">Q!$I$27+oie_f*(q_per_yr-1)/q_per_yr</f>
        <v>-0.862</v>
      </c>
      <c r="G12437" s="6" t="n">
        <f aca="false">oie_f</f>
        <v>-1.2</v>
      </c>
      <c r="H12437" s="6" t="n">
        <f aca="false">oie_f</f>
        <v>-1.2</v>
      </c>
      <c r="I12437" s="6" t="n">
        <f aca="false">oie_f</f>
        <v>-1.2</v>
      </c>
      <c r="J12437" s="6" t="n">
        <f aca="false">oie_f</f>
        <v>-1.2</v>
      </c>
      <c r="K12437" s="6" t="n">
        <f aca="false">oie_f</f>
        <v>-1.2</v>
      </c>
      <c r="L12437" s="12" t="s">
        <v>1077</v>
      </c>
    </row>
    <row r="12438" customFormat="false" ht="15" hidden="false" customHeight="false" outlineLevel="0" collapsed="false">
      <c r="A12438" s="1" t="s">
        <v>1078</v>
      </c>
      <c r="B12438" s="0" t="s">
        <v>98</v>
      </c>
      <c r="D12438" s="6" t="n">
        <f aca="false">Sens!D12430+Sens!D12437</f>
        <v>123.627</v>
      </c>
      <c r="E12438" s="6" t="n">
        <f aca="false">Sens!E12430+Sens!E12437</f>
        <v>165.934</v>
      </c>
      <c r="F12438" s="6" t="n">
        <f aca="false">Sens!F12430+Sens!F12437</f>
        <v>181.069434496251</v>
      </c>
      <c r="G12438" s="6" t="n">
        <f aca="false">Sens!G12430+Sens!G12437</f>
        <v>196.085129280727</v>
      </c>
      <c r="H12438" s="6" t="n">
        <f aca="false">Sens!H12430+Sens!H12437</f>
        <v>216.089721126853</v>
      </c>
      <c r="I12438" s="6" t="n">
        <f aca="false">Sens!I12430+Sens!I12437</f>
        <v>235.256684686857</v>
      </c>
      <c r="J12438" s="6" t="n">
        <f aca="false">Sens!J12430+Sens!J12437</f>
        <v>253.325710397905</v>
      </c>
      <c r="K12438" s="6" t="n">
        <f aca="false">Sens!K12430+Sens!K12437</f>
        <v>270.922364272153</v>
      </c>
    </row>
    <row r="12439" customFormat="false" ht="15" hidden="false" customHeight="false" outlineLevel="0" collapsed="false">
      <c r="A12439" s="1" t="s">
        <v>1079</v>
      </c>
      <c r="B12439" s="0" t="s">
        <v>98</v>
      </c>
      <c r="D12439" s="6" t="n">
        <f aca="false">Q!L29</f>
        <v>21.795</v>
      </c>
      <c r="E12439" s="6" t="n">
        <f aca="false">Q!M29</f>
        <v>32.185</v>
      </c>
      <c r="F12439" s="6" t="n">
        <f aca="false">Q!$I$29+(Sens!F12438-Q!$I$28)*tax_f</f>
        <v>36.3472868992503</v>
      </c>
      <c r="G12439" s="6" t="n">
        <f aca="false">Sens!G12438*tax_f</f>
        <v>39.2170258561455</v>
      </c>
      <c r="H12439" s="6" t="n">
        <f aca="false">Sens!H12438*tax_f</f>
        <v>43.2179442253706</v>
      </c>
      <c r="I12439" s="6" t="n">
        <f aca="false">Sens!I12438*tax_f</f>
        <v>47.0513369373715</v>
      </c>
      <c r="J12439" s="6" t="n">
        <f aca="false">Sens!J12438*tax_f</f>
        <v>50.6651420795809</v>
      </c>
      <c r="K12439" s="6" t="n">
        <f aca="false">Sens!K12438*tax_f</f>
        <v>54.1844728544305</v>
      </c>
    </row>
    <row r="12440" customFormat="false" ht="15" hidden="false" customHeight="false" outlineLevel="0" collapsed="false">
      <c r="A12440" s="1" t="s">
        <v>1080</v>
      </c>
      <c r="B12440" s="0" t="s">
        <v>98</v>
      </c>
      <c r="D12440" s="6" t="n">
        <f aca="false">Sens!D12438-Sens!D12439</f>
        <v>101.832</v>
      </c>
      <c r="E12440" s="6" t="n">
        <f aca="false">Sens!E12438-Sens!E12439</f>
        <v>133.749</v>
      </c>
      <c r="F12440" s="6" t="n">
        <f aca="false">Sens!F12438-Sens!F12439</f>
        <v>144.722147597001</v>
      </c>
      <c r="G12440" s="6" t="n">
        <f aca="false">Sens!G12438-Sens!G12439</f>
        <v>156.868103424582</v>
      </c>
      <c r="H12440" s="6" t="n">
        <f aca="false">Sens!H12438-Sens!H12439</f>
        <v>172.871776901482</v>
      </c>
      <c r="I12440" s="6" t="n">
        <f aca="false">Sens!I12438-Sens!I12439</f>
        <v>188.205347749486</v>
      </c>
      <c r="J12440" s="6" t="n">
        <f aca="false">Sens!J12438-Sens!J12439</f>
        <v>202.660568318324</v>
      </c>
      <c r="K12440" s="6" t="n">
        <f aca="false">Sens!K12438-Sens!K12439</f>
        <v>216.737891417722</v>
      </c>
    </row>
    <row r="12441" customFormat="false" ht="17.15" hidden="false" customHeight="false" outlineLevel="0" collapsed="false">
      <c r="A12441" s="1" t="s">
        <v>1081</v>
      </c>
      <c r="B12441" s="1" t="s">
        <v>81</v>
      </c>
      <c r="D12441" s="15" t="n">
        <f aca="false">Q!L31</f>
        <v>7.465</v>
      </c>
      <c r="E12441" s="15" t="n">
        <f aca="false">Q!M31</f>
        <v>7.453</v>
      </c>
      <c r="F12441" s="15" t="n">
        <f aca="false">Sens!F12485</f>
        <v>7.47323634391287</v>
      </c>
      <c r="G12441" s="15" t="n">
        <f aca="false">Sens!G12485</f>
        <v>7.51797268782575</v>
      </c>
      <c r="H12441" s="15" t="n">
        <f aca="false">Sens!H12485</f>
        <v>7.54567262685455</v>
      </c>
      <c r="I12441" s="15" t="n">
        <f aca="false">Sens!I12485</f>
        <v>7.55735399091002</v>
      </c>
      <c r="J12441" s="15" t="n">
        <f aca="false">Sens!J12485</f>
        <v>7.57150340207249</v>
      </c>
      <c r="K12441" s="15" t="n">
        <f aca="false">Sens!K12485</f>
        <v>7.58793804203774</v>
      </c>
    </row>
    <row r="12442" customFormat="false" ht="17.15" hidden="false" customHeight="false" outlineLevel="0" collapsed="false">
      <c r="A12442" s="0" t="s">
        <v>1082</v>
      </c>
      <c r="B12442" s="0" t="s">
        <v>75</v>
      </c>
      <c r="D12442" s="8" t="n">
        <f aca="false">Sens!D12440/Sens!D12441</f>
        <v>13.641259209645</v>
      </c>
      <c r="E12442" s="8" t="n">
        <f aca="false">Sens!E12440/Sens!E12441</f>
        <v>17.9456594659869</v>
      </c>
      <c r="F12442" s="8" t="n">
        <f aca="false">Sens!F12440/Sens!F12441</f>
        <v>19.3653915033586</v>
      </c>
      <c r="G12442" s="8" t="n">
        <f aca="false">Sens!G12440/Sens!G12441</f>
        <v>20.8657453196933</v>
      </c>
      <c r="H12442" s="8" t="n">
        <f aca="false">Sens!H12440/Sens!H12441</f>
        <v>22.9100552661459</v>
      </c>
      <c r="I12442" s="8" t="n">
        <f aca="false">Sens!I12440/Sens!I12441</f>
        <v>24.9036035596399</v>
      </c>
      <c r="J12442" s="8" t="n">
        <f aca="false">Sens!J12440/Sens!J12441</f>
        <v>26.7662256168109</v>
      </c>
      <c r="K12442" s="8" t="n">
        <f aca="false">Sens!K12440/Sens!K12441</f>
        <v>28.5634766937972</v>
      </c>
      <c r="L12442" s="1" t="s">
        <v>1083</v>
      </c>
    </row>
    <row r="12443" customFormat="false" ht="17.15" hidden="false" customHeight="false" outlineLevel="0" collapsed="false">
      <c r="A12443" s="1" t="s">
        <v>1084</v>
      </c>
      <c r="B12443" s="0" t="s">
        <v>98</v>
      </c>
      <c r="D12443" s="6" t="n">
        <f aca="false">Sens!D12440</f>
        <v>101.832</v>
      </c>
      <c r="E12443" s="6" t="n">
        <f aca="false">Sens!E12440</f>
        <v>133.749</v>
      </c>
      <c r="F12443" s="6" t="n">
        <f aca="false">Sens!F12440+Sens!F12433*(1-tax_f)</f>
        <v>152.514021814305</v>
      </c>
      <c r="G12443" s="6" t="n">
        <f aca="false">Sens!G12440+Sens!G12433*(1-tax_f)</f>
        <v>177.088374301366</v>
      </c>
      <c r="H12443" s="6" t="n">
        <f aca="false">Sens!H12440+Sens!H12433*(1-tax_f)</f>
        <v>206.698997197318</v>
      </c>
      <c r="I12443" s="6" t="n">
        <f aca="false">Sens!I12440+Sens!I12433*(1-tax_f)</f>
        <v>234.369302662751</v>
      </c>
      <c r="J12443" s="6" t="n">
        <f aca="false">Sens!J12440+Sens!J12433*(1-tax_f)</f>
        <v>257.44684999098</v>
      </c>
      <c r="K12443" s="6" t="n">
        <f aca="false">Sens!K12440+Sens!K12433*(1-tax_f)</f>
        <v>276.225761413182</v>
      </c>
    </row>
    <row r="12444" customFormat="false" ht="17.15" hidden="false" customHeight="false" outlineLevel="0" collapsed="false">
      <c r="A12444" s="0" t="s">
        <v>1085</v>
      </c>
      <c r="B12444" s="0" t="s">
        <v>75</v>
      </c>
      <c r="D12444" s="8" t="n">
        <f aca="false">Sens!D12443/Sens!D12441</f>
        <v>13.641259209645</v>
      </c>
      <c r="E12444" s="8" t="n">
        <f aca="false">Sens!E12443/Sens!E12441</f>
        <v>17.9456594659869</v>
      </c>
      <c r="F12444" s="8" t="n">
        <f aca="false">Sens!F12443/Sens!F12441</f>
        <v>20.4080287034587</v>
      </c>
      <c r="G12444" s="8" t="n">
        <f aca="false">Sens!G12443/Sens!G12441</f>
        <v>23.5553362129307</v>
      </c>
      <c r="H12444" s="8" t="n">
        <f aca="false">Sens!H12443/Sens!H12441</f>
        <v>27.3930512783831</v>
      </c>
      <c r="I12444" s="8" t="n">
        <f aca="false">Sens!I12443/Sens!I12441</f>
        <v>31.0120847779064</v>
      </c>
      <c r="J12444" s="8" t="n">
        <f aca="false">Sens!J12443/Sens!J12441</f>
        <v>34.0020780972654</v>
      </c>
      <c r="K12444" s="8" t="n">
        <f aca="false">Sens!K12443/Sens!K12441</f>
        <v>36.4032705437064</v>
      </c>
      <c r="L12444" s="1" t="s">
        <v>1086</v>
      </c>
    </row>
    <row r="12445" customFormat="false" ht="17.15" hidden="false" customHeight="false" outlineLevel="0" collapsed="false">
      <c r="A12445" s="0" t="s">
        <v>1087</v>
      </c>
      <c r="B12445" s="0" t="s">
        <v>168</v>
      </c>
      <c r="E12445" s="7" t="n">
        <f aca="false">Sens!E12444/Sens!D12444-1</f>
        <v>0.315542736208578</v>
      </c>
      <c r="F12445" s="7" t="n">
        <f aca="false">Sens!F12444/Sens!E12444-1</f>
        <v>0.137212524406747</v>
      </c>
      <c r="G12445" s="7" t="n">
        <f aca="false">Sens!G12444/Sens!F12444-1</f>
        <v>0.154219084812367</v>
      </c>
      <c r="H12445" s="7" t="n">
        <f aca="false">Sens!H12444/Sens!G12444-1</f>
        <v>0.16292338308233</v>
      </c>
      <c r="I12445" s="7" t="n">
        <f aca="false">Sens!I12444/Sens!H12444-1</f>
        <v>0.132115019343583</v>
      </c>
      <c r="J12445" s="7" t="n">
        <f aca="false">Sens!J12444/Sens!I12444-1</f>
        <v>0.0964138122532532</v>
      </c>
      <c r="K12445" s="7" t="n">
        <f aca="false">Sens!K12444/Sens!J12444-1</f>
        <v>0.0706189909796748</v>
      </c>
    </row>
    <row r="12446" customFormat="false" ht="17.15" hidden="false" customHeight="false" outlineLevel="0" collapsed="false">
      <c r="A12446" s="0" t="s">
        <v>1007</v>
      </c>
      <c r="B12446" s="0" t="s">
        <v>98</v>
      </c>
      <c r="E12446" s="6" t="n">
        <f aca="false">Sens!E12387</f>
        <v>5.25</v>
      </c>
      <c r="F12446" s="6" t="n">
        <f aca="false">Sens!F12387</f>
        <v>12</v>
      </c>
      <c r="G12446" s="6" t="n">
        <f aca="false">Sens!G12387</f>
        <v>18</v>
      </c>
      <c r="H12446" s="6" t="n">
        <f aca="false">Sens!H12387</f>
        <v>24</v>
      </c>
      <c r="I12446" s="6" t="n">
        <f aca="false">Sens!I12387</f>
        <v>28.5</v>
      </c>
      <c r="J12446" s="6" t="n">
        <f aca="false">Sens!J12387</f>
        <v>31.5</v>
      </c>
      <c r="K12446" s="6" t="n">
        <f aca="false">Sens!K12387</f>
        <v>34.5</v>
      </c>
    </row>
    <row r="12447" customFormat="false" ht="17.15" hidden="false" customHeight="false" outlineLevel="0" collapsed="false">
      <c r="A12447" s="1" t="s">
        <v>1008</v>
      </c>
      <c r="B12447" s="0" t="s">
        <v>98</v>
      </c>
      <c r="F12447" s="6" t="n">
        <f aca="false">MAX(0,((Sens!E12347+Sens!F12347)/2-(shadow_base*(Sens!$D$12347+Sens!$E$12347)/2+(1-shadow_base)*Sens!$E$12347))*Sens!F12356/1000-(Sens!F12446-Sens!$E$12446)*Sens!F12426)</f>
        <v>9.7398427716299</v>
      </c>
      <c r="G12447" s="6" t="n">
        <f aca="false">MAX(0,((Sens!F12347+Sens!G12347)/2-(shadow_base*(Sens!$D$12347+Sens!$E$12347)/2+(1-shadow_base)*Sens!$E$12347))*Sens!G12356/1000-(Sens!G12446-Sens!$E$12446)*Sens!G12426)</f>
        <v>25.2753385959797</v>
      </c>
      <c r="H12447" s="6" t="n">
        <f aca="false">MAX(0,((Sens!G12347+Sens!H12347)/2-(shadow_base*(Sens!$D$12347+Sens!$E$12347)/2+(1-shadow_base)*Sens!$E$12347))*Sens!H12356/1000-(Sens!H12446-Sens!$E$12446)*Sens!H12426)</f>
        <v>42.2840253697948</v>
      </c>
      <c r="I12447" s="6" t="n">
        <f aca="false">MAX(0,((Sens!H12347+Sens!I12347)/2-(shadow_base*(Sens!$D$12347+Sens!$E$12347)/2+(1-shadow_base)*Sens!$E$12347))*Sens!I12356/1000-(Sens!I12446-Sens!$E$12446)*Sens!I12426)</f>
        <v>57.704943641581</v>
      </c>
      <c r="J12447" s="6" t="n">
        <f aca="false">MAX(0,((Sens!I12347+Sens!J12347)/2-(shadow_base*(Sens!$D$12347+Sens!$E$12347)/2+(1-shadow_base)*Sens!$E$12347))*Sens!J12356/1000-(Sens!J12446-Sens!$E$12446)*Sens!J12426)</f>
        <v>68.4828520908201</v>
      </c>
      <c r="K12447" s="6" t="n">
        <f aca="false">MAX(0,((Sens!J12347+Sens!K12347)/2-(shadow_base*(Sens!$D$12347+Sens!$E$12347)/2+(1-shadow_base)*Sens!$E$12347))*Sens!K12356/1000-(Sens!K12446-Sens!$E$12446)*Sens!K12426)</f>
        <v>74.3598374943249</v>
      </c>
      <c r="L12447" s="1" t="s">
        <v>1009</v>
      </c>
    </row>
    <row r="12448" customFormat="false" ht="17.15" hidden="false" customHeight="false" outlineLevel="0" collapsed="false">
      <c r="A12448" s="1" t="s">
        <v>1010</v>
      </c>
      <c r="B12448" s="0" t="s">
        <v>98</v>
      </c>
      <c r="F12448" s="6" t="n">
        <f aca="false">IF(internal_ai_reading=2,1,0)*Sens!F12447</f>
        <v>9.7398427716299</v>
      </c>
      <c r="G12448" s="6" t="n">
        <f aca="false">IF(internal_ai_reading=2,1,0)*Sens!G12447</f>
        <v>25.2753385959797</v>
      </c>
      <c r="H12448" s="6" t="n">
        <f aca="false">IF(internal_ai_reading=2,1,0)*Sens!H12447</f>
        <v>42.2840253697948</v>
      </c>
      <c r="I12448" s="6" t="n">
        <f aca="false">IF(internal_ai_reading=2,1,0)*Sens!I12447</f>
        <v>57.704943641581</v>
      </c>
      <c r="J12448" s="6" t="n">
        <f aca="false">IF(internal_ai_reading=2,1,0)*Sens!J12447</f>
        <v>68.4828520908201</v>
      </c>
      <c r="K12448" s="6" t="n">
        <f aca="false">IF(internal_ai_reading=2,1,0)*Sens!K12447</f>
        <v>74.3598374943249</v>
      </c>
    </row>
    <row r="12449" customFormat="false" ht="17.15" hidden="false" customHeight="false" outlineLevel="0" collapsed="false">
      <c r="A12449" s="0" t="s">
        <v>1011</v>
      </c>
      <c r="B12449" s="0" t="s">
        <v>98</v>
      </c>
      <c r="F12449" s="6" t="n">
        <f aca="false">Sens!F12366+Sens!F12446*Sens!F12426+Sens!F12448-Sens!F12367-Sens!F12378</f>
        <v>14.8152827562272</v>
      </c>
      <c r="G12449" s="6" t="n">
        <f aca="false">Sens!G12366+Sens!G12446*Sens!G12426+Sens!G12448-Sens!G12367-Sens!G12378</f>
        <v>31.0349977765951</v>
      </c>
      <c r="H12449" s="6" t="n">
        <f aca="false">Sens!H12366+Sens!H12446*Sens!H12426+Sens!H12448-Sens!H12367-Sens!H12378</f>
        <v>47.8811519709826</v>
      </c>
      <c r="I12449" s="6" t="n">
        <f aca="false">Sens!I12366+Sens!I12446*Sens!I12426+Sens!I12448-Sens!I12367-Sens!I12378</f>
        <v>62.6472166574028</v>
      </c>
      <c r="J12449" s="6" t="n">
        <f aca="false">Sens!J12366+Sens!J12446*Sens!J12426+Sens!J12448-Sens!J12367-Sens!J12378</f>
        <v>72.7882253357034</v>
      </c>
      <c r="K12449" s="6" t="n">
        <f aca="false">Sens!K12366+Sens!K12446*Sens!K12426+Sens!K12448-Sens!K12367-Sens!K12378</f>
        <v>79.4617812140187</v>
      </c>
    </row>
    <row r="12450" customFormat="false" ht="17.15" hidden="false" customHeight="false" outlineLevel="0" collapsed="false">
      <c r="A12450" s="0" t="s">
        <v>1012</v>
      </c>
      <c r="B12450" s="0" t="s">
        <v>98</v>
      </c>
      <c r="E12450" s="6" t="n">
        <f aca="false">Sens!E12346*(cxit_open+self_build*tk_cxfac)/1000*ai_net_open</f>
        <v>126.6980382</v>
      </c>
      <c r="F12450" s="6" t="n">
        <f aca="false">Sens!E12450+Sens!F12375-Sens!F12378</f>
        <v>260.572627763768</v>
      </c>
      <c r="G12450" s="6" t="n">
        <f aca="false">Sens!F12450+Sens!G12375-Sens!G12378</f>
        <v>391.782612760517</v>
      </c>
      <c r="H12450" s="6" t="n">
        <f aca="false">Sens!G12450+Sens!H12375-Sens!H12378</f>
        <v>499.488526163584</v>
      </c>
      <c r="I12450" s="6" t="n">
        <f aca="false">Sens!H12450+Sens!I12375-Sens!I12378</f>
        <v>553.872350090646</v>
      </c>
      <c r="J12450" s="6" t="n">
        <f aca="false">Sens!I12450+Sens!J12375-Sens!J12378</f>
        <v>550.78660823699</v>
      </c>
      <c r="K12450" s="6" t="n">
        <f aca="false">Sens!J12450+Sens!K12375-Sens!K12378</f>
        <v>526.736791750789</v>
      </c>
      <c r="L12450" s="1" t="s">
        <v>1013</v>
      </c>
    </row>
    <row r="12451" customFormat="false" ht="17.15" hidden="false" customHeight="false" outlineLevel="0" collapsed="false">
      <c r="A12451" s="0" t="s">
        <v>1014</v>
      </c>
      <c r="B12451" s="0" t="s">
        <v>168</v>
      </c>
      <c r="F12451" s="7" t="n">
        <f aca="false">Sens!F12449*(1-tax_f)/((Sens!E12450+Sens!F12450)/2)</f>
        <v>0.0612090057246454</v>
      </c>
      <c r="G12451" s="7" t="n">
        <f aca="false">Sens!G12449*(1-tax_f)/((Sens!F12450+Sens!G12450)/2)</f>
        <v>0.0761180310326695</v>
      </c>
      <c r="H12451" s="7" t="n">
        <f aca="false">Sens!H12449*(1-tax_f)/((Sens!G12450+Sens!H12450)/2)</f>
        <v>0.0859557095566361</v>
      </c>
      <c r="I12451" s="7" t="n">
        <f aca="false">Sens!I12449*(1-tax_f)/((Sens!H12450+Sens!I12450)/2)</f>
        <v>0.0951578408800258</v>
      </c>
      <c r="J12451" s="7" t="n">
        <f aca="false">Sens!J12449*(1-tax_f)/((Sens!I12450+Sens!J12450)/2)</f>
        <v>0.105427253958487</v>
      </c>
      <c r="K12451" s="7" t="n">
        <f aca="false">Sens!K12449*(1-tax_f)/((Sens!J12450+Sens!K12450)/2)</f>
        <v>0.117991729872291</v>
      </c>
    </row>
    <row r="12452" customFormat="false" ht="17.15" hidden="false" customHeight="false" outlineLevel="0" collapsed="false">
      <c r="A12452" s="1" t="s">
        <v>1015</v>
      </c>
      <c r="B12452" s="0" t="s">
        <v>168</v>
      </c>
      <c r="F12452" s="7" t="n">
        <f aca="false">(Sens!F12449-Sens!F12448)*(1-tax_f)/((Sens!E12450+Sens!F12450)/2)</f>
        <v>0.0209690655375262</v>
      </c>
      <c r="G12452" s="7" t="n">
        <f aca="false">(Sens!G12449-Sens!G12448)*(1-tax_f)/((Sens!F12450+Sens!G12450)/2)</f>
        <v>0.014126436206105</v>
      </c>
      <c r="H12452" s="7" t="n">
        <f aca="false">(Sens!H12449-Sens!H12448)*(1-tax_f)/((Sens!G12450+Sens!H12450)/2)</f>
        <v>0.010047899197893</v>
      </c>
      <c r="I12452" s="7" t="n">
        <f aca="false">(Sens!I12449-Sens!I12448)*(1-tax_f)/((Sens!H12450+Sens!I12450)/2)</f>
        <v>0.00750705385359908</v>
      </c>
      <c r="J12452" s="7" t="n">
        <f aca="false">(Sens!J12449-Sens!J12448)*(1-tax_f)/((Sens!I12450+Sens!J12450)/2)</f>
        <v>0.00623594924015468</v>
      </c>
      <c r="K12452" s="7" t="n">
        <f aca="false">(Sens!K12449-Sens!K12448)*(1-tax_f)/((Sens!J12450+Sens!K12450)/2)</f>
        <v>0.00757580758951754</v>
      </c>
    </row>
    <row r="12453" customFormat="false" ht="17.15" hidden="false" customHeight="false" outlineLevel="0" collapsed="false">
      <c r="A12453" s="1" t="s">
        <v>1016</v>
      </c>
      <c r="B12453" s="0" t="s">
        <v>168</v>
      </c>
      <c r="F12453" s="7" t="n">
        <f aca="false">(Sens!F12449-Sens!F12448+Sens!F12447)*(1-tax_f)/((Sens!E12450+Sens!F12450)/2)</f>
        <v>0.0612090057246454</v>
      </c>
      <c r="G12453" s="7" t="n">
        <f aca="false">(Sens!G12449-Sens!G12448+Sens!G12447)*(1-tax_f)/((Sens!F12450+Sens!G12450)/2)</f>
        <v>0.0761180310326695</v>
      </c>
      <c r="H12453" s="7" t="n">
        <f aca="false">(Sens!H12449-Sens!H12448+Sens!H12447)*(1-tax_f)/((Sens!G12450+Sens!H12450)/2)</f>
        <v>0.0859557095566361</v>
      </c>
      <c r="I12453" s="7" t="n">
        <f aca="false">(Sens!I12449-Sens!I12448+Sens!I12447)*(1-tax_f)/((Sens!H12450+Sens!I12450)/2)</f>
        <v>0.0951578408800258</v>
      </c>
      <c r="J12453" s="7" t="n">
        <f aca="false">(Sens!J12449-Sens!J12448+Sens!J12447)*(1-tax_f)/((Sens!I12450+Sens!J12450)/2)</f>
        <v>0.105427253958487</v>
      </c>
      <c r="K12453" s="7" t="n">
        <f aca="false">(Sens!K12449-Sens!K12448+Sens!K12447)*(1-tax_f)/((Sens!J12450+Sens!K12450)/2)</f>
        <v>0.117991729872291</v>
      </c>
    </row>
    <row r="12454" customFormat="false" ht="17.15" hidden="false" customHeight="false" outlineLevel="0" collapsed="false">
      <c r="A12454" s="1" t="s">
        <v>1017</v>
      </c>
      <c r="B12454" s="0" t="s">
        <v>168</v>
      </c>
      <c r="F12454" s="7" t="n">
        <f aca="false">Sens!F12379*(1-tax_f)/(Sens!F12365*(Sens!E12450+Sens!F12450)/2)</f>
        <v>0.129294830495493</v>
      </c>
      <c r="G12454" s="7" t="n">
        <f aca="false">Sens!G12379*(1-tax_f)/(Sens!G12365*(Sens!F12450+Sens!G12450)/2)</f>
        <v>0.12719599062164</v>
      </c>
      <c r="H12454" s="7" t="n">
        <f aca="false">Sens!H12379*(1-tax_f)/(Sens!H12365*(Sens!G12450+Sens!H12450)/2)</f>
        <v>0.130828167067624</v>
      </c>
      <c r="I12454" s="7" t="n">
        <f aca="false">Sens!I12379*(1-tax_f)/(Sens!I12365*(Sens!H12450+Sens!I12450)/2)</f>
        <v>0.138614526937417</v>
      </c>
      <c r="J12454" s="7" t="n">
        <f aca="false">Sens!J12379*(1-tax_f)/(Sens!J12365*(Sens!I12450+Sens!J12450)/2)</f>
        <v>0.150578919010924</v>
      </c>
      <c r="K12454" s="7" t="n">
        <f aca="false">Sens!K12379*(1-tax_f)/(Sens!K12365*(Sens!J12450+Sens!K12450)/2)</f>
        <v>0.167005345886664</v>
      </c>
    </row>
    <row r="12455" customFormat="false" ht="17.15" hidden="false" customHeight="false" outlineLevel="0" collapsed="false">
      <c r="A12455" s="0" t="s">
        <v>1018</v>
      </c>
      <c r="B12455" s="0" t="s">
        <v>253</v>
      </c>
      <c r="F12455" s="7" t="n">
        <f aca="false">Sens!F12451-wacc</f>
        <v>-0.0417275852209519</v>
      </c>
      <c r="G12455" s="7" t="n">
        <f aca="false">Sens!G12451-wacc</f>
        <v>-0.0268185599129278</v>
      </c>
      <c r="H12455" s="7" t="n">
        <f aca="false">Sens!H12451-wacc</f>
        <v>-0.0169808813889612</v>
      </c>
      <c r="I12455" s="7" t="n">
        <f aca="false">Sens!I12451-wacc</f>
        <v>-0.00777875006557149</v>
      </c>
      <c r="J12455" s="7" t="n">
        <f aca="false">Sens!J12451-wacc</f>
        <v>0.0024906630128898</v>
      </c>
      <c r="K12455" s="7" t="n">
        <f aca="false">Sens!K12451-wacc</f>
        <v>0.0150551389266932</v>
      </c>
    </row>
    <row r="12456" customFormat="false" ht="17.15" hidden="false" customHeight="false" outlineLevel="0" collapsed="false">
      <c r="A12456" s="0" t="s">
        <v>1019</v>
      </c>
      <c r="B12456" s="0" t="s">
        <v>98</v>
      </c>
      <c r="F12456" s="6" t="n">
        <f aca="false">Sens!F12449*(1-tax_f)-wacc*(Sens!E12450+Sens!F12450)/2</f>
        <v>-8.07993485878896</v>
      </c>
      <c r="G12456" s="6" t="n">
        <f aca="false">Sens!G12449*(1-tax_f)-wacc*(Sens!F12450+Sens!G12450)/2</f>
        <v>-8.74761405125648</v>
      </c>
      <c r="H12456" s="6" t="n">
        <f aca="false">Sens!H12449*(1-tax_f)-wacc*(Sens!G12450+Sens!H12450)/2</f>
        <v>-7.56728474773728</v>
      </c>
      <c r="I12456" s="6" t="n">
        <f aca="false">Sens!I12449*(1-tax_f)-wacc*(Sens!H12450+Sens!I12450)/2</f>
        <v>-4.09691549261652</v>
      </c>
      <c r="J12456" s="6" t="n">
        <f aca="false">Sens!J12449*(1-tax_f)-wacc*(Sens!I12450+Sens!J12450)/2</f>
        <v>1.37566660468201</v>
      </c>
      <c r="K12456" s="6" t="n">
        <f aca="false">Sens!K12449*(1-tax_f)-wacc*(Sens!J12450+Sens!K12450)/2</f>
        <v>8.11113224178941</v>
      </c>
    </row>
    <row r="12457" customFormat="false" ht="17.15" hidden="false" customHeight="false" outlineLevel="0" collapsed="false">
      <c r="A12457" s="3" t="s">
        <v>1923</v>
      </c>
    </row>
    <row r="12458" customFormat="false" ht="15" hidden="false" customHeight="false" outlineLevel="0" collapsed="false">
      <c r="A12458" s="4" t="s">
        <v>43</v>
      </c>
      <c r="B12458" s="4" t="s">
        <v>65</v>
      </c>
      <c r="C12458" s="23" t="s">
        <v>942</v>
      </c>
      <c r="D12458" s="23" t="s">
        <v>943</v>
      </c>
      <c r="E12458" s="23" t="s">
        <v>944</v>
      </c>
      <c r="F12458" s="23" t="s">
        <v>945</v>
      </c>
      <c r="G12458" s="23" t="s">
        <v>946</v>
      </c>
      <c r="H12458" s="23" t="s">
        <v>947</v>
      </c>
      <c r="I12458" s="23" t="s">
        <v>948</v>
      </c>
      <c r="J12458" s="23" t="s">
        <v>949</v>
      </c>
      <c r="K12458" s="23" t="s">
        <v>950</v>
      </c>
      <c r="L12458" s="4" t="s">
        <v>47</v>
      </c>
    </row>
    <row r="12459" customFormat="false" ht="15" hidden="false" customHeight="false" outlineLevel="0" collapsed="false">
      <c r="A12459" s="1" t="s">
        <v>1080</v>
      </c>
      <c r="B12459" s="0" t="s">
        <v>98</v>
      </c>
      <c r="F12459" s="6" t="n">
        <f aca="false">Sens!F12440</f>
        <v>144.722147597001</v>
      </c>
      <c r="G12459" s="6" t="n">
        <f aca="false">Sens!G12440</f>
        <v>156.868103424582</v>
      </c>
      <c r="H12459" s="6" t="n">
        <f aca="false">Sens!H12440</f>
        <v>172.871776901482</v>
      </c>
      <c r="I12459" s="6" t="n">
        <f aca="false">Sens!I12440</f>
        <v>188.205347749486</v>
      </c>
      <c r="J12459" s="6" t="n">
        <f aca="false">Sens!J12440</f>
        <v>202.660568318324</v>
      </c>
      <c r="K12459" s="6" t="n">
        <f aca="false">Sens!K12440</f>
        <v>216.737891417722</v>
      </c>
    </row>
    <row r="12460" customFormat="false" ht="17.15" hidden="false" customHeight="false" outlineLevel="0" collapsed="false">
      <c r="A12460" s="1" t="s">
        <v>1102</v>
      </c>
      <c r="B12460" s="0" t="s">
        <v>98</v>
      </c>
      <c r="E12460" s="6" t="n">
        <f aca="false">Q!M38-Sens!E12378</f>
        <v>22.2285940229167</v>
      </c>
      <c r="F12460" s="6" t="n">
        <f aca="false">Sens!E12460*(1-1/life_nonai)+(Sens!F12468+Sens!F12469)/life_nonai</f>
        <v>23.5805865005473</v>
      </c>
      <c r="G12460" s="6" t="n">
        <f aca="false">Sens!F12460*(1-1/life_nonai)+(Sens!G12468)/life_nonai</f>
        <v>25.3594279012577</v>
      </c>
      <c r="H12460" s="6" t="n">
        <f aca="false">Sens!G12460*(1-1/life_nonai)+(Sens!H12468)/life_nonai</f>
        <v>27.5312857723802</v>
      </c>
      <c r="I12460" s="6" t="n">
        <f aca="false">Sens!H12460*(1-1/life_nonai)+(Sens!I12468)/life_nonai</f>
        <v>30.0298236643155</v>
      </c>
      <c r="J12460" s="6" t="n">
        <f aca="false">Sens!I12460*(1-1/life_nonai)+(Sens!J12468)/life_nonai</f>
        <v>32.7718672422579</v>
      </c>
      <c r="K12460" s="6" t="n">
        <f aca="false">Sens!J12460*(1-1/life_nonai)+(Sens!K12468)/life_nonai</f>
        <v>35.6733418076083</v>
      </c>
      <c r="L12460" s="12" t="s">
        <v>1103</v>
      </c>
    </row>
    <row r="12461" customFormat="false" ht="17.15" hidden="false" customHeight="false" outlineLevel="0" collapsed="false">
      <c r="A12461" s="1" t="s">
        <v>1104</v>
      </c>
      <c r="B12461" s="0" t="s">
        <v>98</v>
      </c>
      <c r="F12461" s="6" t="n">
        <f aca="false">Sens!$F$12469/life_nonai*(1-1/life_nonai)^(Sens!F12341-2027)</f>
        <v>0</v>
      </c>
      <c r="G12461" s="6" t="n">
        <f aca="false">Sens!$F$12469/life_nonai*(1-1/life_nonai)^(Sens!G12341-2027)</f>
        <v>0</v>
      </c>
      <c r="H12461" s="6" t="n">
        <f aca="false">Sens!$F$12469/life_nonai*(1-1/life_nonai)^(Sens!H12341-2027)</f>
        <v>0</v>
      </c>
      <c r="I12461" s="6" t="n">
        <f aca="false">Sens!$F$12469/life_nonai*(1-1/life_nonai)^(Sens!I12341-2027)</f>
        <v>0</v>
      </c>
      <c r="J12461" s="6" t="n">
        <f aca="false">Sens!$F$12469/life_nonai*(1-1/life_nonai)^(Sens!J12341-2027)</f>
        <v>0</v>
      </c>
      <c r="K12461" s="6" t="n">
        <f aca="false">Sens!$F$12469/life_nonai*(1-1/life_nonai)^(Sens!K12341-2027)</f>
        <v>0</v>
      </c>
      <c r="L12461" s="1" t="s">
        <v>1105</v>
      </c>
    </row>
    <row r="12462" customFormat="false" ht="17.15" hidden="false" customHeight="false" outlineLevel="0" collapsed="false">
      <c r="A12462" s="1" t="s">
        <v>1106</v>
      </c>
      <c r="B12462" s="0" t="s">
        <v>98</v>
      </c>
      <c r="E12462" s="6" t="n">
        <f aca="false">Sens!E12378+Sens!E12460</f>
        <v>38.534</v>
      </c>
      <c r="F12462" s="6" t="n">
        <f aca="false">Sens!F12378+Sens!F12460</f>
        <v>58.1599009788989</v>
      </c>
      <c r="G12462" s="6" t="n">
        <f aca="false">Sens!G12378+Sens!G12460</f>
        <v>86.0939185535567</v>
      </c>
      <c r="H12462" s="6" t="n">
        <f aca="false">Sens!H12378+Sens!H12460</f>
        <v>116.631376433826</v>
      </c>
      <c r="I12462" s="6" t="n">
        <f aca="false">Sens!I12378+Sens!I12460</f>
        <v>144.260833358864</v>
      </c>
      <c r="J12462" s="6" t="n">
        <f aca="false">Sens!J12378+Sens!J12460</f>
        <v>164.787540291854</v>
      </c>
      <c r="K12462" s="6" t="n">
        <f aca="false">Sens!K12378+Sens!K12460</f>
        <v>178.686011358542</v>
      </c>
    </row>
    <row r="12463" customFormat="false" ht="17.15" hidden="false" customHeight="false" outlineLevel="0" collapsed="false">
      <c r="A12463" s="1" t="s">
        <v>1107</v>
      </c>
      <c r="B12463" s="0" t="s">
        <v>98</v>
      </c>
      <c r="F12463" s="6" t="n">
        <f aca="false">Sens!F12405*sbc_r</f>
        <v>14.9205871540836</v>
      </c>
      <c r="G12463" s="6" t="n">
        <f aca="false">Sens!G12405*sbc_r</f>
        <v>17.8226915565427</v>
      </c>
      <c r="H12463" s="6" t="n">
        <f aca="false">Sens!H12405*sbc_r</f>
        <v>20.7962648622876</v>
      </c>
      <c r="I12463" s="6" t="n">
        <f aca="false">Sens!I12405*sbc_r</f>
        <v>23.531712510382</v>
      </c>
      <c r="J12463" s="6" t="n">
        <f aca="false">Sens!J12405*sbc_r</f>
        <v>25.7788017846577</v>
      </c>
      <c r="K12463" s="6" t="n">
        <f aca="false">Sens!K12405*sbc_r</f>
        <v>27.593128547282</v>
      </c>
    </row>
    <row r="12464" customFormat="false" ht="17.15" hidden="false" customHeight="false" outlineLevel="0" collapsed="false">
      <c r="A12464" s="1" t="s">
        <v>1108</v>
      </c>
      <c r="B12464" s="0" t="s">
        <v>98</v>
      </c>
      <c r="F12464" s="6" t="n">
        <f aca="false">wc27-wc26q1</f>
        <v>-4.677</v>
      </c>
      <c r="G12464" s="6" t="n">
        <f aca="false">wc_f</f>
        <v>0</v>
      </c>
      <c r="H12464" s="6" t="n">
        <f aca="false">wc_f</f>
        <v>0</v>
      </c>
      <c r="I12464" s="6" t="n">
        <f aca="false">wc_f</f>
        <v>0</v>
      </c>
      <c r="J12464" s="6" t="n">
        <f aca="false">wc_f</f>
        <v>0</v>
      </c>
      <c r="K12464" s="6" t="n">
        <f aca="false">wc_f</f>
        <v>0</v>
      </c>
      <c r="L12464" s="12" t="s">
        <v>1109</v>
      </c>
    </row>
    <row r="12465" customFormat="false" ht="17.15" hidden="false" customHeight="false" outlineLevel="0" collapsed="false">
      <c r="A12465" s="0" t="s">
        <v>1110</v>
      </c>
      <c r="B12465" s="0" t="s">
        <v>98</v>
      </c>
      <c r="F12465" s="6" t="n">
        <f aca="false">Q!$I$35-Q!$I$26-Q!$I$38-Q!$I$39</f>
        <v>6.493</v>
      </c>
      <c r="L12465" s="1" t="s">
        <v>1111</v>
      </c>
    </row>
    <row r="12466" customFormat="false" ht="15" hidden="false" customHeight="false" outlineLevel="0" collapsed="false">
      <c r="A12466" s="1" t="s">
        <v>908</v>
      </c>
      <c r="B12466" s="0" t="s">
        <v>98</v>
      </c>
      <c r="E12466" s="6" t="n">
        <f aca="false">Q!M35</f>
        <v>182.935</v>
      </c>
      <c r="F12466" s="6" t="n">
        <f aca="false">Sens!F12459+Sens!F12462+Sens!F12463+Sens!F12464+Sens!F12465</f>
        <v>219.618635729984</v>
      </c>
      <c r="G12466" s="6" t="n">
        <f aca="false">Sens!G12459+Sens!G12462+Sens!G12463+Sens!G12464</f>
        <v>260.784713534681</v>
      </c>
      <c r="H12466" s="6" t="n">
        <f aca="false">Sens!H12459+Sens!H12462+Sens!H12463+Sens!H12464</f>
        <v>310.299418197596</v>
      </c>
      <c r="I12466" s="6" t="n">
        <f aca="false">Sens!I12459+Sens!I12462+Sens!I12463+Sens!I12464</f>
        <v>355.997893618732</v>
      </c>
      <c r="J12466" s="6" t="n">
        <f aca="false">Sens!J12459+Sens!J12462+Sens!J12463+Sens!J12464</f>
        <v>393.226910394835</v>
      </c>
      <c r="K12466" s="6" t="n">
        <f aca="false">Sens!K12459+Sens!K12462+Sens!K12463+Sens!K12464</f>
        <v>423.017031323546</v>
      </c>
    </row>
    <row r="12467" customFormat="false" ht="17.15" hidden="false" customHeight="false" outlineLevel="0" collapsed="false">
      <c r="A12467" s="0" t="s">
        <v>1112</v>
      </c>
      <c r="B12467" s="0" t="s">
        <v>98</v>
      </c>
      <c r="F12467" s="6" t="n">
        <f aca="false">Sens!F12375</f>
        <v>168.45390404212</v>
      </c>
      <c r="G12467" s="6" t="n">
        <f aca="false">Sens!G12375</f>
        <v>191.944475649048</v>
      </c>
      <c r="H12467" s="6" t="n">
        <f aca="false">Sens!H12375</f>
        <v>196.806004064512</v>
      </c>
      <c r="I12467" s="6" t="n">
        <f aca="false">Sens!I12375</f>
        <v>168.61483362161</v>
      </c>
      <c r="J12467" s="6" t="n">
        <f aca="false">Sens!J12375</f>
        <v>128.92993119594</v>
      </c>
      <c r="K12467" s="6" t="n">
        <f aca="false">Sens!K12375</f>
        <v>118.962853064733</v>
      </c>
    </row>
    <row r="12468" customFormat="false" ht="17.15" hidden="false" customHeight="false" outlineLevel="0" collapsed="false">
      <c r="A12468" s="1" t="s">
        <v>1113</v>
      </c>
      <c r="B12468" s="0" t="s">
        <v>98</v>
      </c>
      <c r="E12468" s="6" t="n">
        <f aca="false">Sens!E12383*cx_azo+Sens!E12390*cx_m365+Sens!E12391*cx_lic+(Sens!E12393+Sens!E12395)*cx_ind+Sens!E12398*cx_srch+(Sens!E12400+Sens!E12402)*cx_dev</f>
        <v>30.1846587067718</v>
      </c>
      <c r="F12468" s="6" t="n">
        <f aca="false">Sens!F12383*cx_azo+Sens!F12390*cx_m365+Sens!F12391*cx_lic+(Sens!F12393+Sens!F12395)*cx_ind+Sens!F12398*cx_srch+(Sens!F12400+Sens!F12402)*cx_dev</f>
        <v>35.7485187992227</v>
      </c>
      <c r="G12468" s="6" t="n">
        <f aca="false">Sens!G12383*cx_azo+Sens!G12390*cx_m365+Sens!G12391*cx_lic+(Sens!G12393+Sens!G12395)*cx_ind+Sens!G12398*cx_srch+(Sens!G12400+Sens!G12402)*cx_dev</f>
        <v>41.3690005076517</v>
      </c>
      <c r="H12468" s="6" t="n">
        <f aca="false">Sens!H12383*cx_azo+Sens!H12390*cx_m365+Sens!H12391*cx_lic+(Sens!H12393+Sens!H12395)*cx_ind+Sens!H12398*cx_srch+(Sens!H12400+Sens!H12402)*cx_dev</f>
        <v>47.0780066124822</v>
      </c>
      <c r="I12468" s="6" t="n">
        <f aca="false">Sens!I12383*cx_azo+Sens!I12390*cx_m365+Sens!I12391*cx_lic+(Sens!I12393+Sens!I12395)*cx_ind+Sens!I12398*cx_srch+(Sens!I12400+Sens!I12402)*cx_dev</f>
        <v>52.5166646917333</v>
      </c>
      <c r="J12468" s="6" t="n">
        <f aca="false">Sens!J12383*cx_azo+Sens!J12390*cx_m365+Sens!J12391*cx_lic+(Sens!J12393+Sens!J12395)*cx_ind+Sens!J12398*cx_srch+(Sens!J12400+Sens!J12402)*cx_dev</f>
        <v>57.4502594437396</v>
      </c>
      <c r="K12468" s="6" t="n">
        <f aca="false">Sens!K12383*cx_azo+Sens!K12390*cx_m365+Sens!K12391*cx_lic+(Sens!K12393+Sens!K12395)*cx_ind+Sens!K12398*cx_srch+(Sens!K12400+Sens!K12402)*cx_dev</f>
        <v>61.7866128957619</v>
      </c>
    </row>
    <row r="12469" customFormat="false" ht="17.15" hidden="false" customHeight="false" outlineLevel="0" collapsed="false">
      <c r="A12469" s="0" t="s">
        <v>1114</v>
      </c>
      <c r="B12469" s="0" t="s">
        <v>98</v>
      </c>
      <c r="F12469" s="6" t="n">
        <f aca="false">Sens!F12373</f>
        <v>0</v>
      </c>
      <c r="L12469" s="1" t="s">
        <v>1115</v>
      </c>
    </row>
    <row r="12470" customFormat="false" ht="17.15" hidden="false" customHeight="false" outlineLevel="0" collapsed="false">
      <c r="A12470" s="1" t="s">
        <v>1116</v>
      </c>
      <c r="B12470" s="0" t="s">
        <v>98</v>
      </c>
      <c r="E12470" s="6" t="n">
        <f aca="false">Q!M43</f>
        <v>145.3</v>
      </c>
      <c r="F12470" s="6" t="n">
        <f aca="false">Sens!F12467+Sens!F12468+Sens!F12469</f>
        <v>204.202422841342</v>
      </c>
      <c r="G12470" s="6" t="n">
        <f aca="false">Sens!G12467+Sens!G12468</f>
        <v>233.3134761567</v>
      </c>
      <c r="H12470" s="6" t="n">
        <f aca="false">Sens!H12467+Sens!H12468</f>
        <v>243.884010676995</v>
      </c>
      <c r="I12470" s="6" t="n">
        <f aca="false">Sens!I12467+Sens!I12468</f>
        <v>221.131498313344</v>
      </c>
      <c r="J12470" s="6" t="n">
        <f aca="false">Sens!J12467+Sens!J12468</f>
        <v>186.38019063968</v>
      </c>
      <c r="K12470" s="6" t="n">
        <f aca="false">Sens!K12467+Sens!K12468</f>
        <v>180.749465960495</v>
      </c>
      <c r="L12470" s="1" t="s">
        <v>1117</v>
      </c>
    </row>
    <row r="12471" customFormat="false" ht="15" hidden="false" customHeight="false" outlineLevel="0" collapsed="false">
      <c r="A12471" s="1" t="s">
        <v>1118</v>
      </c>
      <c r="B12471" s="0" t="s">
        <v>98</v>
      </c>
      <c r="E12471" s="6" t="n">
        <f aca="false">fl_liab</f>
        <v>66.594</v>
      </c>
      <c r="F12471" s="6" t="n">
        <f aca="false">Sens!E12471-Sens!F12472</f>
        <v>62.46973</v>
      </c>
      <c r="G12471" s="6" t="n">
        <f aca="false">Sens!F12471-Sens!G12472</f>
        <v>57.98686785</v>
      </c>
      <c r="H12471" s="6" t="n">
        <f aca="false">Sens!G12471-Sens!H12472</f>
        <v>53.92827690325</v>
      </c>
      <c r="I12471" s="6" t="n">
        <f aca="false">Sens!H12471-Sens!I12472</f>
        <v>49.7850493638962</v>
      </c>
      <c r="J12471" s="6" t="n">
        <f aca="false">Sens!I12471-Sens!J12472</f>
        <v>45.4823765852716</v>
      </c>
      <c r="K12471" s="6" t="n">
        <f aca="false">Sens!J12471-Sens!K12472</f>
        <v>40.9860835316088</v>
      </c>
    </row>
    <row r="12472" customFormat="false" ht="15" hidden="false" customHeight="false" outlineLevel="0" collapsed="false">
      <c r="A12472" s="1" t="s">
        <v>1119</v>
      </c>
      <c r="B12472" s="0" t="s">
        <v>98</v>
      </c>
      <c r="F12472" s="6" t="n">
        <f aca="false">fl_pay_27-Sens!E12471*fl_rate</f>
        <v>4.12427</v>
      </c>
      <c r="G12472" s="6" t="n">
        <f aca="false">fl_pay_28-Sens!F12471*fl_rate</f>
        <v>4.48286215</v>
      </c>
      <c r="H12472" s="6" t="n">
        <f aca="false">fl_pay_29-Sens!G12471*fl_rate</f>
        <v>4.05859094675</v>
      </c>
      <c r="I12472" s="6" t="n">
        <f aca="false">fl_pay_30-Sens!H12471*fl_rate</f>
        <v>4.14322753935375</v>
      </c>
      <c r="J12472" s="6" t="n">
        <f aca="false">fl_pay_31-Sens!I12471*fl_rate</f>
        <v>4.30267277862467</v>
      </c>
      <c r="K12472" s="6" t="n">
        <f aca="false">fl_pay_32-Sens!J12471*fl_rate</f>
        <v>4.49629305366278</v>
      </c>
    </row>
    <row r="12473" customFormat="false" ht="17.15" hidden="false" customHeight="false" outlineLevel="0" collapsed="false">
      <c r="A12473" s="1" t="s">
        <v>1120</v>
      </c>
      <c r="B12473" s="0" t="s">
        <v>98</v>
      </c>
      <c r="E12473" s="6" t="n">
        <f aca="false">Q!M35-Q!M36-Q!M44</f>
        <v>63.886</v>
      </c>
      <c r="F12473" s="6" t="n">
        <f aca="false">Sens!F12466-Sens!F12470-Sens!F12472</f>
        <v>11.2919428886412</v>
      </c>
      <c r="G12473" s="6" t="n">
        <f aca="false">Sens!G12466-Sens!G12470-Sens!G12472</f>
        <v>22.9883752279813</v>
      </c>
      <c r="H12473" s="6" t="n">
        <f aca="false">Sens!H12466-Sens!H12470-Sens!H12472</f>
        <v>62.3568165738512</v>
      </c>
      <c r="I12473" s="6" t="n">
        <f aca="false">Sens!I12466-Sens!I12470-Sens!I12472</f>
        <v>130.723167766034</v>
      </c>
      <c r="J12473" s="6" t="n">
        <f aca="false">Sens!J12466-Sens!J12470-Sens!J12472</f>
        <v>202.544046976531</v>
      </c>
      <c r="K12473" s="6" t="n">
        <f aca="false">Sens!K12466-Sens!K12470-Sens!K12472</f>
        <v>237.771272309389</v>
      </c>
      <c r="L12473" s="12" t="s">
        <v>1121</v>
      </c>
    </row>
    <row r="12474" customFormat="false" ht="15" hidden="false" customHeight="false" outlineLevel="0" collapsed="false">
      <c r="A12474" s="1" t="s">
        <v>1122</v>
      </c>
      <c r="B12474" s="0" t="s">
        <v>75</v>
      </c>
      <c r="F12474" s="8" t="n">
        <f aca="false">dps_27</f>
        <v>3.85</v>
      </c>
      <c r="G12474" s="8" t="n">
        <f aca="false">Sens!F12474*(1+dps_g)</f>
        <v>4.158</v>
      </c>
      <c r="H12474" s="8" t="n">
        <f aca="false">Sens!G12474*(1+dps_g)</f>
        <v>4.49064</v>
      </c>
      <c r="I12474" s="8" t="n">
        <f aca="false">Sens!H12474*(1+dps_g)</f>
        <v>4.8498912</v>
      </c>
      <c r="J12474" s="8" t="n">
        <f aca="false">Sens!I12474*(1+dps_g)</f>
        <v>5.237882496</v>
      </c>
      <c r="K12474" s="8" t="n">
        <f aca="false">Sens!J12474*(1+dps_g)</f>
        <v>5.65691309568</v>
      </c>
    </row>
    <row r="12475" customFormat="false" ht="17.15" hidden="false" customHeight="false" outlineLevel="0" collapsed="false">
      <c r="A12475" s="1" t="s">
        <v>1123</v>
      </c>
      <c r="B12475" s="0" t="s">
        <v>98</v>
      </c>
      <c r="E12475" s="6" t="n">
        <f aca="false">Q!M41</f>
        <v>26.445</v>
      </c>
      <c r="F12475" s="6" t="n">
        <f aca="false">Sens!F12474*Sens!E12484</f>
        <v>28.59395</v>
      </c>
      <c r="G12475" s="6" t="n">
        <f aca="false">Sens!G12474*Sens!F12484</f>
        <v>31.0663834359795</v>
      </c>
      <c r="H12475" s="6" t="n">
        <f aca="false">Sens!H12474*Sens!G12484</f>
        <v>33.7537729108578</v>
      </c>
      <c r="I12475" s="6" t="n">
        <f aca="false">Sens!I12474*Sens!H12484</f>
        <v>36.5045130207991</v>
      </c>
      <c r="J12475" s="6" t="n">
        <f aca="false">Sens!J12474*Sens!I12484</f>
        <v>39.4927719478557</v>
      </c>
      <c r="K12475" s="6" t="n">
        <f aca="false">Sens!K12474*Sens!J12484</f>
        <v>42.7389479660624</v>
      </c>
      <c r="L12475" s="1" t="s">
        <v>1124</v>
      </c>
    </row>
    <row r="12476" customFormat="false" ht="15" hidden="false" customHeight="false" outlineLevel="0" collapsed="false">
      <c r="A12476" s="1" t="s">
        <v>1125</v>
      </c>
      <c r="B12476" s="0" t="s">
        <v>98</v>
      </c>
      <c r="E12476" s="6" t="n">
        <f aca="false">Sens!E12473-Sens!E12475</f>
        <v>37.441</v>
      </c>
      <c r="F12476" s="6" t="n">
        <f aca="false">Sens!F12473-Sens!F12475</f>
        <v>-17.3020071113588</v>
      </c>
      <c r="G12476" s="6" t="n">
        <f aca="false">Sens!G12473-Sens!G12475</f>
        <v>-8.07800820799812</v>
      </c>
      <c r="H12476" s="6" t="n">
        <f aca="false">Sens!H12473-Sens!H12475</f>
        <v>28.6030436629933</v>
      </c>
      <c r="I12476" s="6" t="n">
        <f aca="false">Sens!I12473-Sens!I12475</f>
        <v>94.2186547452353</v>
      </c>
      <c r="J12476" s="6" t="n">
        <f aca="false">Sens!J12473-Sens!J12475</f>
        <v>163.051275028675</v>
      </c>
      <c r="K12476" s="6" t="n">
        <f aca="false">Sens!K12473-Sens!K12475</f>
        <v>195.032324343327</v>
      </c>
    </row>
    <row r="12477" customFormat="false" ht="15" hidden="false" customHeight="false" outlineLevel="0" collapsed="false">
      <c r="A12477" s="1" t="s">
        <v>1126</v>
      </c>
      <c r="B12477" s="0" t="s">
        <v>98</v>
      </c>
      <c r="F12477" s="6" t="n">
        <f aca="false">debt_mat_27</f>
        <v>9.25</v>
      </c>
      <c r="G12477" s="6" t="n">
        <f aca="false">debt_mat_28</f>
        <v>0</v>
      </c>
      <c r="H12477" s="6" t="n">
        <f aca="false">debt_mat_29</f>
        <v>2.001</v>
      </c>
      <c r="I12477" s="6" t="n">
        <f aca="false">debt_mat_30</f>
        <v>0</v>
      </c>
      <c r="J12477" s="6" t="n">
        <f aca="false">debt_mat_31</f>
        <v>0.5</v>
      </c>
      <c r="K12477" s="6" t="n">
        <f aca="false">debt_mat_32</f>
        <v>0</v>
      </c>
    </row>
    <row r="12478" customFormat="false" ht="15" hidden="false" customHeight="false" outlineLevel="0" collapsed="false">
      <c r="A12478" s="1" t="s">
        <v>1127</v>
      </c>
      <c r="B12478" s="0" t="s">
        <v>98</v>
      </c>
      <c r="E12478" s="6" t="n">
        <f aca="false">Q!M40</f>
        <v>22.271</v>
      </c>
      <c r="F12478" s="6" t="n">
        <f aca="false">MAX(0,MIN(bb_target,Sens!E12480+Sens!F12476-Sens!F12477-min_cash))</f>
        <v>0.290992888641213</v>
      </c>
      <c r="G12478" s="6" t="n">
        <f aca="false">MAX(0,MIN(bb_target,Sens!F12480+Sens!G12476-Sens!G12477-min_cash))</f>
        <v>0</v>
      </c>
      <c r="H12478" s="6" t="n">
        <f aca="false">MAX(0,MIN(bb_target,Sens!G12480+Sens!H12476-Sens!H12477-min_cash))</f>
        <v>22.271</v>
      </c>
      <c r="I12478" s="6" t="n">
        <f aca="false">MAX(0,MIN(bb_target,Sens!H12480+Sens!I12476-Sens!I12477-min_cash))</f>
        <v>22.271</v>
      </c>
      <c r="J12478" s="6" t="n">
        <f aca="false">MAX(0,MIN(bb_target,Sens!I12480+Sens!J12476-Sens!J12477-min_cash))</f>
        <v>22.271</v>
      </c>
      <c r="K12478" s="6" t="n">
        <f aca="false">MAX(0,MIN(bb_target,Sens!J12480+Sens!K12476-Sens!K12477-min_cash))</f>
        <v>22.271</v>
      </c>
    </row>
    <row r="12479" customFormat="false" ht="15" hidden="false" customHeight="false" outlineLevel="0" collapsed="false">
      <c r="A12479" s="1" t="s">
        <v>1128</v>
      </c>
      <c r="B12479" s="0" t="s">
        <v>98</v>
      </c>
      <c r="F12479" s="6" t="n">
        <f aca="false">MAX(0,min_cash-(Sens!E12480+Sens!F12476-Sens!F12477-Sens!F12478))</f>
        <v>0</v>
      </c>
      <c r="G12479" s="6" t="n">
        <f aca="false">MAX(0,min_cash-(Sens!F12480+Sens!G12476-Sens!G12477-Sens!G12478))</f>
        <v>8.07800820799812</v>
      </c>
      <c r="H12479" s="6" t="n">
        <f aca="false">MAX(0,min_cash-(Sens!G12480+Sens!H12476-Sens!H12477-Sens!H12478))</f>
        <v>0</v>
      </c>
      <c r="I12479" s="6" t="n">
        <f aca="false">MAX(0,min_cash-(Sens!H12480+Sens!I12476-Sens!I12477-Sens!I12478))</f>
        <v>0</v>
      </c>
      <c r="J12479" s="6" t="n">
        <f aca="false">MAX(0,min_cash-(Sens!I12480+Sens!J12476-Sens!J12477-Sens!J12478))</f>
        <v>0</v>
      </c>
      <c r="K12479" s="6" t="n">
        <f aca="false">MAX(0,min_cash-(Sens!J12480+Sens!K12476-Sens!K12477-Sens!K12478))</f>
        <v>0</v>
      </c>
    </row>
    <row r="12480" customFormat="false" ht="15" hidden="false" customHeight="false" outlineLevel="0" collapsed="false">
      <c r="A12480" s="1" t="s">
        <v>1129</v>
      </c>
      <c r="B12480" s="0" t="s">
        <v>98</v>
      </c>
      <c r="E12480" s="6" t="n">
        <f aca="false">cash_open</f>
        <v>76.843</v>
      </c>
      <c r="F12480" s="6" t="n">
        <f aca="false">Sens!E12480+Sens!F12476-Sens!F12477-Sens!F12478+Sens!F12479</f>
        <v>50</v>
      </c>
      <c r="G12480" s="6" t="n">
        <f aca="false">Sens!F12480+Sens!G12476-Sens!G12477-Sens!G12478+Sens!G12479</f>
        <v>50</v>
      </c>
      <c r="H12480" s="6" t="n">
        <f aca="false">Sens!G12480+Sens!H12476-Sens!H12477-Sens!H12478+Sens!H12479</f>
        <v>54.3310436629933</v>
      </c>
      <c r="I12480" s="6" t="n">
        <f aca="false">Sens!H12480+Sens!I12476-Sens!I12477-Sens!I12478+Sens!I12479</f>
        <v>126.278698408229</v>
      </c>
      <c r="J12480" s="6" t="n">
        <f aca="false">Sens!I12480+Sens!J12476-Sens!J12477-Sens!J12478+Sens!J12479</f>
        <v>266.558973436904</v>
      </c>
      <c r="K12480" s="6" t="n">
        <f aca="false">Sens!J12480+Sens!K12476-Sens!K12477-Sens!K12478+Sens!K12479</f>
        <v>439.320297780231</v>
      </c>
    </row>
    <row r="12481" customFormat="false" ht="15" hidden="false" customHeight="false" outlineLevel="0" collapsed="false">
      <c r="A12481" s="1" t="s">
        <v>1130</v>
      </c>
      <c r="B12481" s="0" t="s">
        <v>98</v>
      </c>
      <c r="E12481" s="6" t="n">
        <f aca="false">debt_face</f>
        <v>46.136</v>
      </c>
      <c r="F12481" s="6" t="n">
        <f aca="false">Sens!E12481-Sens!F12477+Sens!F12479</f>
        <v>36.886</v>
      </c>
      <c r="G12481" s="6" t="n">
        <f aca="false">Sens!F12481-Sens!G12477+Sens!G12479</f>
        <v>44.9640082079981</v>
      </c>
      <c r="H12481" s="6" t="n">
        <f aca="false">Sens!G12481-Sens!H12477+Sens!H12479</f>
        <v>42.9630082079981</v>
      </c>
      <c r="I12481" s="6" t="n">
        <f aca="false">Sens!H12481-Sens!I12477+Sens!I12479</f>
        <v>42.9630082079981</v>
      </c>
      <c r="J12481" s="6" t="n">
        <f aca="false">Sens!I12481-Sens!J12477+Sens!J12479</f>
        <v>42.4630082079981</v>
      </c>
      <c r="K12481" s="6" t="n">
        <f aca="false">Sens!J12481-Sens!K12477+Sens!K12479</f>
        <v>42.4630082079981</v>
      </c>
    </row>
    <row r="12482" customFormat="false" ht="15" hidden="false" customHeight="false" outlineLevel="0" collapsed="false">
      <c r="A12482" s="1" t="s">
        <v>1131</v>
      </c>
      <c r="B12482" s="0" t="s">
        <v>98</v>
      </c>
      <c r="E12482" s="6" t="n">
        <f aca="false">Sens!E12480-Sens!E12481</f>
        <v>30.707</v>
      </c>
      <c r="F12482" s="6" t="n">
        <f aca="false">Sens!F12480-Sens!F12481</f>
        <v>13.114</v>
      </c>
      <c r="G12482" s="6" t="n">
        <f aca="false">Sens!G12480-Sens!G12481</f>
        <v>5.03599179200187</v>
      </c>
      <c r="H12482" s="6" t="n">
        <f aca="false">Sens!H12480-Sens!H12481</f>
        <v>11.3680354549952</v>
      </c>
      <c r="I12482" s="6" t="n">
        <f aca="false">Sens!I12480-Sens!I12481</f>
        <v>83.3156902002305</v>
      </c>
      <c r="J12482" s="6" t="n">
        <f aca="false">Sens!J12480-Sens!J12481</f>
        <v>224.095965228906</v>
      </c>
      <c r="K12482" s="6" t="n">
        <f aca="false">Sens!K12480-Sens!K12481</f>
        <v>396.857289572232</v>
      </c>
    </row>
    <row r="12483" customFormat="false" ht="15" hidden="false" customHeight="false" outlineLevel="0" collapsed="false">
      <c r="A12483" s="1" t="s">
        <v>1132</v>
      </c>
      <c r="B12483" s="0" t="s">
        <v>75</v>
      </c>
      <c r="F12483" s="30" t="n">
        <f aca="false">px*(1+bb_g)^(Sens!F12341-base_fy-mid_yr)</f>
        <v>551.84177959629</v>
      </c>
      <c r="G12483" s="30" t="n">
        <f aca="false">px*(1+bb_g)^(Sens!G12341-base_fy-mid_yr)</f>
        <v>595.989121963993</v>
      </c>
      <c r="H12483" s="30" t="n">
        <f aca="false">px*(1+bb_g)^(Sens!H12341-base_fy-mid_yr)</f>
        <v>643.668251721112</v>
      </c>
      <c r="I12483" s="30" t="n">
        <f aca="false">px*(1+bb_g)^(Sens!I12341-base_fy-mid_yr)</f>
        <v>695.161711858801</v>
      </c>
      <c r="J12483" s="30" t="n">
        <f aca="false">px*(1+bb_g)^(Sens!J12341-base_fy-mid_yr)</f>
        <v>750.774648807506</v>
      </c>
      <c r="K12483" s="30" t="n">
        <f aca="false">px*(1+bb_g)^(Sens!K12341-base_fy-mid_yr)</f>
        <v>810.836620712106</v>
      </c>
    </row>
    <row r="12484" customFormat="false" ht="15" hidden="false" customHeight="false" outlineLevel="0" collapsed="false">
      <c r="A12484" s="1" t="s">
        <v>1133</v>
      </c>
      <c r="B12484" s="1" t="s">
        <v>81</v>
      </c>
      <c r="E12484" s="15" t="n">
        <f aca="false">sh_out26</f>
        <v>7.427</v>
      </c>
      <c r="F12484" s="15" t="n">
        <f aca="false">Sens!E12484+sh_iss-Sens!F12478/Sens!F12483</f>
        <v>7.47147268782575</v>
      </c>
      <c r="G12484" s="15" t="n">
        <f aca="false">Sens!F12484+sh_iss-Sens!G12478/Sens!G12483</f>
        <v>7.51647268782575</v>
      </c>
      <c r="H12484" s="15" t="n">
        <f aca="false">Sens!G12484+sh_iss-Sens!H12478/Sens!H12483</f>
        <v>7.52687256588335</v>
      </c>
      <c r="I12484" s="15" t="n">
        <f aca="false">Sens!H12484+sh_iss-Sens!I12478/Sens!I12483</f>
        <v>7.53983541593669</v>
      </c>
      <c r="J12484" s="15" t="n">
        <f aca="false">Sens!I12484+sh_iss-Sens!J12478/Sens!J12483</f>
        <v>7.5551713882083</v>
      </c>
      <c r="K12484" s="15" t="n">
        <f aca="false">Sens!J12484+sh_iss-Sens!K12478/Sens!K12483</f>
        <v>7.57270469586719</v>
      </c>
    </row>
    <row r="12485" customFormat="false" ht="15" hidden="false" customHeight="false" outlineLevel="0" collapsed="false">
      <c r="A12485" s="1" t="s">
        <v>1134</v>
      </c>
      <c r="B12485" s="1" t="s">
        <v>81</v>
      </c>
      <c r="E12485" s="15" t="n">
        <f aca="false">sh_dil26</f>
        <v>7.453</v>
      </c>
      <c r="F12485" s="15" t="n">
        <f aca="false">(Sens!E12484+Sens!F12484)/2+dil_gap</f>
        <v>7.47323634391287</v>
      </c>
      <c r="G12485" s="15" t="n">
        <f aca="false">(Sens!F12484+Sens!G12484)/2+dil_gap</f>
        <v>7.51797268782575</v>
      </c>
      <c r="H12485" s="15" t="n">
        <f aca="false">(Sens!G12484+Sens!H12484)/2+dil_gap</f>
        <v>7.54567262685455</v>
      </c>
      <c r="I12485" s="15" t="n">
        <f aca="false">(Sens!H12484+Sens!I12484)/2+dil_gap</f>
        <v>7.55735399091002</v>
      </c>
      <c r="J12485" s="15" t="n">
        <f aca="false">(Sens!I12484+Sens!J12484)/2+dil_gap</f>
        <v>7.57150340207249</v>
      </c>
      <c r="K12485" s="15" t="n">
        <f aca="false">(Sens!J12484+Sens!K12484)/2+dil_gap</f>
        <v>7.58793804203774</v>
      </c>
    </row>
    <row r="12486" customFormat="false" ht="17.15" hidden="false" customHeight="false" outlineLevel="0" collapsed="false">
      <c r="A12486" s="1" t="s">
        <v>1135</v>
      </c>
      <c r="B12486" s="0" t="s">
        <v>98</v>
      </c>
      <c r="C12486" s="6" t="n">
        <f aca="false">SUM(Sens!F12476:J12476)</f>
        <v>260.492958117547</v>
      </c>
    </row>
    <row r="12487" customFormat="false" ht="15" hidden="false" customHeight="false" outlineLevel="0" collapsed="false">
      <c r="A12487" s="26" t="s">
        <v>1100</v>
      </c>
      <c r="B12487" s="31" t="s">
        <v>98</v>
      </c>
      <c r="C12487" s="27" t="n">
        <f aca="false">Sens!$C$12486-(Sens!F12476+Sens!G12476+Sens!H12476+Sens!I12476+Sens!J12476)</f>
        <v>0</v>
      </c>
      <c r="D12487" s="31"/>
      <c r="E12487" s="31"/>
      <c r="F12487" s="31"/>
      <c r="G12487" s="31"/>
      <c r="H12487" s="31"/>
      <c r="I12487" s="31"/>
      <c r="J12487" s="31"/>
      <c r="K12487" s="31"/>
    </row>
    <row r="12488" customFormat="false" ht="17.15" hidden="false" customHeight="false" outlineLevel="0" collapsed="false">
      <c r="A12488" s="1" t="s">
        <v>1094</v>
      </c>
      <c r="B12488" s="1" t="s">
        <v>1136</v>
      </c>
      <c r="C12488" s="33" t="str">
        <f aca="false">IF(SUM(Sens!F12479:J12479)&gt;0.05,"需要舉債 "&amp;TEXT(SUM(Sens!F12479:J12479),"0.0")&amp;" 十億美元","不需舉債")&amp;"；"&amp;IF(SUM(Sens!F12478:J12478)&lt;COUNT(Sens!F12478:J12478)*bb_target-0.05,"回購較每年 "&amp;TEXT(bb_target,"0.0")&amp;" 的目標少 "&amp;TEXT(COUNT(Sens!F12478:J12478)*bb_target-SUM(Sens!F12478:J12478),"0.0")&amp;" 十億美元（"&amp;TEXT(COUNTIF(Sens!F12478:J12478,"&lt;"&amp;(bb_target-0.05)),"0")&amp;" 年減少）","回購不減")</f>
        <v>需要舉債 8.1 十億美元；回購較每年 22.3 的目標少 44.3 十億美元（2 年減少）</v>
      </c>
    </row>
    <row r="12489" customFormat="false" ht="17.15" hidden="false" customHeight="false" outlineLevel="0" collapsed="false">
      <c r="A12489" s="3" t="s">
        <v>1924</v>
      </c>
    </row>
    <row r="12490" customFormat="false" ht="15" hidden="false" customHeight="false" outlineLevel="0" collapsed="false">
      <c r="A12490" s="4" t="s">
        <v>43</v>
      </c>
      <c r="B12490" s="4" t="s">
        <v>65</v>
      </c>
      <c r="C12490" s="23" t="s">
        <v>942</v>
      </c>
      <c r="D12490" s="23" t="s">
        <v>943</v>
      </c>
      <c r="E12490" s="23" t="s">
        <v>944</v>
      </c>
      <c r="F12490" s="23" t="s">
        <v>945</v>
      </c>
      <c r="G12490" s="23" t="s">
        <v>946</v>
      </c>
      <c r="H12490" s="23" t="s">
        <v>947</v>
      </c>
      <c r="I12490" s="23" t="s">
        <v>948</v>
      </c>
      <c r="J12490" s="23" t="s">
        <v>949</v>
      </c>
      <c r="K12490" s="23" t="s">
        <v>950</v>
      </c>
      <c r="L12490" s="4" t="s">
        <v>47</v>
      </c>
    </row>
    <row r="12491" customFormat="false" ht="17.15" hidden="false" customHeight="false" outlineLevel="0" collapsed="false">
      <c r="A12491" s="1" t="s">
        <v>1216</v>
      </c>
      <c r="B12491" s="1" t="s">
        <v>279</v>
      </c>
      <c r="F12491" s="8" t="n">
        <f aca="false">(1-v_off)*mid_yr</f>
        <v>0.373972602739726</v>
      </c>
      <c r="G12491" s="8" t="n">
        <f aca="false">Sens!G12341-base_fy-mid_yr-v_off</f>
        <v>1.24794520547945</v>
      </c>
      <c r="H12491" s="8" t="n">
        <f aca="false">Sens!H12341-base_fy-mid_yr-v_off</f>
        <v>2.24794520547945</v>
      </c>
      <c r="I12491" s="8" t="n">
        <f aca="false">Sens!I12341-base_fy-mid_yr-v_off</f>
        <v>3.24794520547945</v>
      </c>
      <c r="J12491" s="8" t="n">
        <f aca="false">Sens!J12341-base_fy-mid_yr-v_off</f>
        <v>4.24794520547945</v>
      </c>
      <c r="K12491" s="8" t="n">
        <f aca="false">Sens!K12341-base_fy-mid_yr-v_off</f>
        <v>5.24794520547945</v>
      </c>
      <c r="L12491" s="12" t="s">
        <v>1217</v>
      </c>
    </row>
    <row r="12492" customFormat="false" ht="15" hidden="false" customHeight="false" outlineLevel="0" collapsed="false">
      <c r="A12492" s="1" t="s">
        <v>1218</v>
      </c>
      <c r="B12492" s="1" t="s">
        <v>279</v>
      </c>
      <c r="F12492" s="8" t="n">
        <f aca="false">Sens!F12341-base_fy-v_off</f>
        <v>0.747945205479452</v>
      </c>
      <c r="G12492" s="8" t="n">
        <f aca="false">Sens!G12341-base_fy-v_off</f>
        <v>1.74794520547945</v>
      </c>
      <c r="H12492" s="8" t="n">
        <f aca="false">Sens!H12341-base_fy-v_off</f>
        <v>2.74794520547945</v>
      </c>
      <c r="I12492" s="8" t="n">
        <f aca="false">Sens!I12341-base_fy-v_off</f>
        <v>3.74794520547945</v>
      </c>
      <c r="J12492" s="8" t="n">
        <f aca="false">Sens!J12341-base_fy-v_off</f>
        <v>4.74794520547945</v>
      </c>
      <c r="K12492" s="8" t="n">
        <f aca="false">Sens!K12341-base_fy-v_off</f>
        <v>5.74794520547945</v>
      </c>
    </row>
    <row r="12493" customFormat="false" ht="15" hidden="false" customHeight="false" outlineLevel="0" collapsed="false">
      <c r="A12493" s="1" t="s">
        <v>1219</v>
      </c>
      <c r="B12493" s="0" t="s">
        <v>229</v>
      </c>
      <c r="F12493" s="15" t="n">
        <f aca="false">1/(1+wacc)^Sens!F12491</f>
        <v>0.964022703286649</v>
      </c>
      <c r="G12493" s="15" t="n">
        <f aca="false">1/(1+wacc)^Sens!G12491</f>
        <v>0.884910302296739</v>
      </c>
      <c r="H12493" s="15" t="n">
        <f aca="false">1/(1+wacc)^Sens!H12491</f>
        <v>0.802322009770358</v>
      </c>
      <c r="I12493" s="15" t="n">
        <f aca="false">1/(1+wacc)^Sens!I12491</f>
        <v>0.727441646561469</v>
      </c>
      <c r="J12493" s="15" t="n">
        <f aca="false">1/(1+wacc)^Sens!J12491</f>
        <v>0.659549834988973</v>
      </c>
      <c r="K12493" s="15" t="n">
        <f aca="false">1/(1+wacc)^Sens!K12491</f>
        <v>0.597994336576966</v>
      </c>
    </row>
    <row r="12494" customFormat="false" ht="17.15" hidden="false" customHeight="false" outlineLevel="0" collapsed="false">
      <c r="A12494" s="1" t="s">
        <v>1220</v>
      </c>
      <c r="B12494" s="0" t="s">
        <v>98</v>
      </c>
      <c r="F12494" s="6" t="n">
        <f aca="false">Q!$I$35-Q!$I$39-Q!$I$43</f>
        <v>9.666</v>
      </c>
      <c r="L12494" s="12" t="s">
        <v>1221</v>
      </c>
    </row>
    <row r="12495" customFormat="false" ht="17.15" hidden="false" customHeight="false" outlineLevel="0" collapsed="false">
      <c r="A12495" s="1" t="s">
        <v>1222</v>
      </c>
      <c r="B12495" s="0" t="s">
        <v>98</v>
      </c>
      <c r="F12495" s="6" t="n">
        <f aca="false">Sens!F12466-Sens!F12463-Sens!F12470+Sens!F12448*(1-tax_f)*(1-v_off)-Sens!F12494</f>
        <v>-3.34247930291092</v>
      </c>
      <c r="G12495" s="6" t="n">
        <f aca="false">Sens!G12466-Sens!G12463-Sens!G12470+Sens!G12448*(1-tax_f)</f>
        <v>29.8688166982224</v>
      </c>
      <c r="H12495" s="6" t="n">
        <f aca="false">Sens!H12466-Sens!H12463-Sens!H12470+Sens!H12448*(1-tax_f)</f>
        <v>79.4463629541494</v>
      </c>
      <c r="I12495" s="6" t="n">
        <f aca="false">Sens!I12466-Sens!I12463-Sens!I12470+Sens!I12448*(1-tax_f)</f>
        <v>157.498637708271</v>
      </c>
      <c r="J12495" s="6" t="n">
        <f aca="false">Sens!J12466-Sens!J12463-Sens!J12470+Sens!J12448*(1-tax_f)</f>
        <v>235.854199643154</v>
      </c>
      <c r="K12495" s="6" t="n">
        <f aca="false">Sens!K12466-Sens!K12463-Sens!K12470+Sens!K12448*(1-tax_f)</f>
        <v>274.16230681123</v>
      </c>
      <c r="L12495" s="1" t="s">
        <v>1223</v>
      </c>
    </row>
    <row r="12496" customFormat="false" ht="15" hidden="false" customHeight="false" outlineLevel="0" collapsed="false">
      <c r="A12496" s="1" t="s">
        <v>1224</v>
      </c>
      <c r="B12496" s="0" t="s">
        <v>98</v>
      </c>
      <c r="F12496" s="6" t="n">
        <f aca="false">Sens!F12495*Sens!F12493</f>
        <v>-3.22222593327186</v>
      </c>
      <c r="G12496" s="6" t="n">
        <f aca="false">Sens!G12495*Sens!G12493</f>
        <v>26.4312236136699</v>
      </c>
      <c r="H12496" s="6" t="n">
        <f aca="false">Sens!H12495*Sens!H12493</f>
        <v>63.7415655943184</v>
      </c>
      <c r="I12496" s="6" t="n">
        <f aca="false">Sens!I12495*Sens!I12493</f>
        <v>114.571068345693</v>
      </c>
      <c r="J12496" s="6" t="n">
        <f aca="false">Sens!J12495*Sens!J12493</f>
        <v>155.557598456098</v>
      </c>
      <c r="K12496" s="6" t="n">
        <f aca="false">Sens!K12495*Sens!K12493</f>
        <v>163.947506775992</v>
      </c>
    </row>
    <row r="12497" customFormat="false" ht="17.15" hidden="false" customHeight="false" outlineLevel="0" collapsed="false">
      <c r="A12497" s="1" t="s">
        <v>1225</v>
      </c>
      <c r="B12497" s="0" t="s">
        <v>98</v>
      </c>
      <c r="C12497" s="6" t="n">
        <f aca="false">SUM(Sens!F12496:K12496)</f>
        <v>521.026736852499</v>
      </c>
    </row>
    <row r="12498" customFormat="false" ht="17.15" hidden="false" customHeight="false" outlineLevel="0" collapsed="false">
      <c r="A12498" s="1" t="s">
        <v>1226</v>
      </c>
      <c r="B12498" s="0" t="s">
        <v>98</v>
      </c>
      <c r="C12498" s="6" t="n">
        <f aca="false">Sens!K12434*(1+g_tv)*(1-tax_f)</f>
        <v>285.501334255577</v>
      </c>
    </row>
    <row r="12499" customFormat="false" ht="17.15" hidden="false" customHeight="false" outlineLevel="0" collapsed="false">
      <c r="A12499" s="1" t="s">
        <v>1227</v>
      </c>
      <c r="B12499" s="0" t="s">
        <v>98</v>
      </c>
      <c r="C12499" s="6" t="n">
        <f aca="false">Sens!$C$12498*(1-g_tv/(wacc+ronic_prem))</f>
        <v>202.294381810513</v>
      </c>
    </row>
    <row r="12500" customFormat="false" ht="17.15" hidden="false" customHeight="false" outlineLevel="0" collapsed="false">
      <c r="A12500" s="1" t="s">
        <v>1228</v>
      </c>
      <c r="B12500" s="0" t="s">
        <v>98</v>
      </c>
      <c r="C12500" s="6" t="n">
        <f aca="false">Sens!$C$12499/(wacc-g_tv)</f>
        <v>2773.56508150213</v>
      </c>
    </row>
    <row r="12501" customFormat="false" ht="15" hidden="false" customHeight="false" outlineLevel="0" collapsed="false">
      <c r="A12501" s="1" t="s">
        <v>1229</v>
      </c>
      <c r="B12501" s="0" t="s">
        <v>98</v>
      </c>
      <c r="C12501" s="6" t="n">
        <f aca="false">Sens!$C$12500/(1+wacc)^Sens!K12492</f>
        <v>1579.28372339749</v>
      </c>
    </row>
    <row r="12502" customFormat="false" ht="17.15" hidden="false" customHeight="false" outlineLevel="0" collapsed="false">
      <c r="A12502" s="0" t="s">
        <v>1230</v>
      </c>
      <c r="B12502" s="0" t="s">
        <v>98</v>
      </c>
      <c r="C12502" s="6" t="n">
        <f aca="false">Sens!$C$12497+Sens!$C$12501</f>
        <v>2100.31046024999</v>
      </c>
    </row>
    <row r="12503" customFormat="false" ht="15" hidden="false" customHeight="false" outlineLevel="0" collapsed="false">
      <c r="A12503" s="1" t="s">
        <v>1145</v>
      </c>
      <c r="B12503" s="0" t="s">
        <v>168</v>
      </c>
      <c r="C12503" s="7" t="n">
        <f aca="false">Sens!$C$12501/Sens!$C$12502</f>
        <v>0.751928704487581</v>
      </c>
    </row>
    <row r="12504" customFormat="false" ht="17.15" hidden="false" customHeight="false" outlineLevel="0" collapsed="false">
      <c r="A12504" s="1" t="s">
        <v>1231</v>
      </c>
      <c r="B12504" s="0" t="s">
        <v>98</v>
      </c>
      <c r="C12504" s="6" t="n">
        <f aca="false">Sens!$C$12502+cash_val-debt_val-fl_val+oai_v</f>
        <v>2216.16146024999</v>
      </c>
    </row>
    <row r="12505" customFormat="false" ht="17.15" hidden="false" customHeight="false" outlineLevel="0" collapsed="false">
      <c r="A12505" s="0" t="s">
        <v>1153</v>
      </c>
      <c r="B12505" s="0" t="s">
        <v>75</v>
      </c>
      <c r="C12505" s="5" t="n">
        <f aca="false">Sens!$C$12504/shd_val</f>
        <v>297.631138900079</v>
      </c>
    </row>
    <row r="12506" customFormat="false" ht="15" hidden="false" customHeight="false" outlineLevel="0" collapsed="false">
      <c r="A12506" s="1" t="s">
        <v>1232</v>
      </c>
      <c r="B12506" s="0" t="s">
        <v>75</v>
      </c>
      <c r="C12506" s="8" t="n">
        <f aca="false">div_rem27+Sens!G12474*roll_div_q/q_per_yr</f>
        <v>3.9795</v>
      </c>
    </row>
    <row r="12507" customFormat="false" ht="17.15" hidden="false" customHeight="false" outlineLevel="0" collapsed="false">
      <c r="A12507" s="0" t="s">
        <v>1233</v>
      </c>
      <c r="B12507" s="0" t="s">
        <v>75</v>
      </c>
      <c r="C12507" s="5" t="n">
        <f aca="false">Sens!$C$12505*(1+wacc)^t_roll-Sens!$C$12506</f>
        <v>326.854121902684</v>
      </c>
    </row>
    <row r="12508" customFormat="false" ht="17.15" hidden="false" customHeight="false" outlineLevel="0" collapsed="false">
      <c r="A12508" s="1" t="s">
        <v>1234</v>
      </c>
      <c r="B12508" s="0" t="s">
        <v>168</v>
      </c>
      <c r="F12508" s="7" t="n">
        <f aca="false">Sens!F12460/(Sens!F12405-Sens!F12360)</f>
        <v>0.068604019259415</v>
      </c>
      <c r="G12508" s="7" t="n">
        <f aca="false">Sens!G12460/(Sens!G12405-Sens!G12360)</f>
        <v>0.0657872331507812</v>
      </c>
      <c r="H12508" s="7" t="n">
        <f aca="false">Sens!H12460/(Sens!H12405-Sens!H12360)</f>
        <v>0.0643083633649854</v>
      </c>
      <c r="I12508" s="7" t="n">
        <f aca="false">Sens!I12460/(Sens!I12405-Sens!I12360)</f>
        <v>0.0640455903756453</v>
      </c>
      <c r="J12508" s="7" t="n">
        <f aca="false">Sens!J12460/(Sens!J12405-Sens!J12360)</f>
        <v>0.0647139543066699</v>
      </c>
      <c r="K12508" s="7" t="n">
        <f aca="false">Sens!K12460/(Sens!K12405-Sens!K12360)</f>
        <v>0.0659630753512282</v>
      </c>
    </row>
    <row r="12509" customFormat="false" ht="17.15" hidden="false" customHeight="false" outlineLevel="0" collapsed="false">
      <c r="A12509" s="0" t="s">
        <v>1235</v>
      </c>
      <c r="B12509" s="0" t="s">
        <v>98</v>
      </c>
      <c r="F12509" s="6" t="n">
        <f aca="false">Sens!F12390*(al_m365+Sens!F12508+sbc_r)</f>
        <v>83.7187182244893</v>
      </c>
      <c r="G12509" s="6" t="n">
        <f aca="false">Sens!G12390*(al_m365+Sens!G12508+sbc_r)</f>
        <v>96.1238251811804</v>
      </c>
      <c r="H12509" s="6" t="n">
        <f aca="false">Sens!H12390*(al_m365+Sens!H12508+sbc_r)</f>
        <v>108.690963100481</v>
      </c>
      <c r="I12509" s="6" t="n">
        <f aca="false">Sens!I12390*(al_m365+Sens!I12508+sbc_r)</f>
        <v>120.239175767095</v>
      </c>
      <c r="J12509" s="6" t="n">
        <f aca="false">Sens!J12390*(al_m365+Sens!J12508+sbc_r)</f>
        <v>130.57993242179</v>
      </c>
      <c r="K12509" s="6" t="n">
        <f aca="false">Sens!K12390*(al_m365+Sens!K12508+sbc_r)</f>
        <v>140.528268479914</v>
      </c>
      <c r="L12509" s="12" t="s">
        <v>1236</v>
      </c>
    </row>
    <row r="12510" customFormat="false" ht="17.15" hidden="false" customHeight="false" outlineLevel="0" collapsed="false">
      <c r="A12510" s="0" t="s">
        <v>1237</v>
      </c>
      <c r="B12510" s="0" t="s">
        <v>98</v>
      </c>
      <c r="F12510" s="6" t="n">
        <f aca="false">Sens!F12391*(al_lic+Sens!F12508+sbc_r)</f>
        <v>32.8571689202835</v>
      </c>
      <c r="G12510" s="6" t="n">
        <f aca="false">Sens!G12391*(al_lic+Sens!G12508+sbc_r)</f>
        <v>34.1357811959976</v>
      </c>
      <c r="H12510" s="6" t="n">
        <f aca="false">Sens!H12391*(al_lic+Sens!H12508+sbc_r)</f>
        <v>35.3292062237876</v>
      </c>
      <c r="I12510" s="6" t="n">
        <f aca="false">Sens!I12391*(al_lic+Sens!I12508+sbc_r)</f>
        <v>36.4192533791614</v>
      </c>
      <c r="J12510" s="6" t="n">
        <f aca="false">Sens!J12391*(al_lic+Sens!J12508+sbc_r)</f>
        <v>37.3803992923193</v>
      </c>
      <c r="K12510" s="6" t="n">
        <f aca="false">Sens!K12391*(al_lic+Sens!K12508+sbc_r)</f>
        <v>38.1839005883927</v>
      </c>
    </row>
    <row r="12511" customFormat="false" ht="17.15" hidden="false" customHeight="false" outlineLevel="0" collapsed="false">
      <c r="A12511" s="0" t="s">
        <v>1238</v>
      </c>
      <c r="B12511" s="0" t="s">
        <v>98</v>
      </c>
      <c r="F12511" s="6" t="n">
        <f aca="false">Sens!F12393*(al_ind+Sens!F12508+sbc_r)</f>
        <v>9.06007004718409</v>
      </c>
      <c r="G12511" s="6" t="n">
        <f aca="false">Sens!G12393*(al_ind+Sens!G12508+sbc_r)</f>
        <v>9.83506566788661</v>
      </c>
      <c r="H12511" s="6" t="n">
        <f aca="false">Sens!H12393*(al_ind+Sens!H12508+sbc_r)</f>
        <v>10.6548622009202</v>
      </c>
      <c r="I12511" s="6" t="n">
        <f aca="false">Sens!I12393*(al_ind+Sens!I12508+sbc_r)</f>
        <v>11.5163551224075</v>
      </c>
      <c r="J12511" s="6" t="n">
        <f aca="false">Sens!J12393*(al_ind+Sens!J12508+sbc_r)</f>
        <v>12.409703194726</v>
      </c>
      <c r="K12511" s="6" t="n">
        <f aca="false">Sens!K12393*(al_ind+Sens!K12508+sbc_r)</f>
        <v>13.3196319822012</v>
      </c>
    </row>
    <row r="12512" customFormat="false" ht="17.15" hidden="false" customHeight="false" outlineLevel="0" collapsed="false">
      <c r="A12512" s="0" t="s">
        <v>1239</v>
      </c>
      <c r="B12512" s="0" t="s">
        <v>98</v>
      </c>
      <c r="F12512" s="6" t="n">
        <f aca="false">Sens!F12395*(al_fro+Sens!F12508+sbc_r)</f>
        <v>3.55389340219558</v>
      </c>
      <c r="G12512" s="6" t="n">
        <f aca="false">Sens!G12395*(al_fro+Sens!G12508+sbc_r)</f>
        <v>3.7631843703626</v>
      </c>
      <c r="H12512" s="6" t="n">
        <f aca="false">Sens!H12395*(al_fro+Sens!H12508+sbc_r)</f>
        <v>4.00140083219952</v>
      </c>
      <c r="I12512" s="6" t="n">
        <f aca="false">Sens!I12395*(al_fro+Sens!I12508+sbc_r)</f>
        <v>4.27127765237066</v>
      </c>
      <c r="J12512" s="6" t="n">
        <f aca="false">Sens!J12395*(al_fro+Sens!J12508+sbc_r)</f>
        <v>4.57390678409685</v>
      </c>
      <c r="K12512" s="6" t="n">
        <f aca="false">Sens!K12395*(al_fro+Sens!K12508+sbc_r)</f>
        <v>4.90928381840386</v>
      </c>
    </row>
    <row r="12513" customFormat="false" ht="17.15" hidden="false" customHeight="false" outlineLevel="0" collapsed="false">
      <c r="A12513" s="0" t="s">
        <v>1240</v>
      </c>
      <c r="B12513" s="0" t="s">
        <v>98</v>
      </c>
      <c r="F12513" s="6" t="n">
        <f aca="false">Sens!F12398*(al_srch+Sens!F12508+sbc_r)</f>
        <v>11.188661819294</v>
      </c>
      <c r="G12513" s="6" t="n">
        <f aca="false">Sens!G12398*(al_srch+Sens!G12508+sbc_r)</f>
        <v>12.2603362747653</v>
      </c>
      <c r="H12513" s="6" t="n">
        <f aca="false">Sens!H12398*(al_srch+Sens!H12508+sbc_r)</f>
        <v>13.3767823152396</v>
      </c>
      <c r="I12513" s="6" t="n">
        <f aca="false">Sens!I12398*(al_srch+Sens!I12508+sbc_r)</f>
        <v>14.5272938325257</v>
      </c>
      <c r="J12513" s="6" t="n">
        <f aca="false">Sens!J12398*(al_srch+Sens!J12508+sbc_r)</f>
        <v>15.6917279747126</v>
      </c>
      <c r="K12513" s="6" t="n">
        <f aca="false">Sens!K12398*(al_srch+Sens!K12508+sbc_r)</f>
        <v>16.8423078705709</v>
      </c>
    </row>
    <row r="12514" customFormat="false" ht="17.15" hidden="false" customHeight="false" outlineLevel="0" collapsed="false">
      <c r="A12514" s="0" t="s">
        <v>1241</v>
      </c>
      <c r="B12514" s="0" t="s">
        <v>98</v>
      </c>
      <c r="F12514" s="6" t="n">
        <f aca="false">Sens!F12366-Sens!F12367+Sens!F12448</f>
        <v>42.5431090240393</v>
      </c>
      <c r="G12514" s="6" t="n">
        <f aca="false">Sens!G12366-Sens!G12367+Sens!G12448</f>
        <v>81.4922561130847</v>
      </c>
      <c r="H12514" s="6" t="n">
        <f aca="false">Sens!H12366-Sens!H12367+Sens!H12448</f>
        <v>123.278266211349</v>
      </c>
      <c r="I12514" s="6" t="n">
        <f aca="false">Sens!I12366-Sens!I12367+Sens!I12448</f>
        <v>160.60594185192</v>
      </c>
      <c r="J12514" s="6" t="n">
        <f aca="false">Sens!J12366-Sens!J12367+Sens!J12448</f>
        <v>186.818741832633</v>
      </c>
      <c r="K12514" s="6" t="n">
        <f aca="false">Sens!K12366-Sens!K12367+Sens!K12448</f>
        <v>202.776422159652</v>
      </c>
    </row>
    <row r="12515" customFormat="false" ht="17.15" hidden="false" customHeight="false" outlineLevel="0" collapsed="false">
      <c r="A12515" s="0" t="s">
        <v>1242</v>
      </c>
      <c r="B12515" s="0" t="s">
        <v>98</v>
      </c>
      <c r="F12515" s="6" t="n">
        <f aca="false">Sens!F12427+Sens!F12448+Sens!F12378+Sens!F12508*(Sens!F12397-Sens!F12360)+sbc_r*Sens!F12397</f>
        <v>238.086385909485</v>
      </c>
      <c r="G12515" s="6" t="n">
        <f aca="false">Sens!G12427+Sens!G12448+Sens!G12378+Sens!G12508*(Sens!G12397-Sens!G12360)+sbc_r*Sens!G12397</f>
        <v>299.893653107834</v>
      </c>
      <c r="H12515" s="6" t="n">
        <f aca="false">Sens!H12427+Sens!H12448+Sens!H12378+Sens!H12508*(Sens!H12397-Sens!H12360)+sbc_r*Sens!H12397</f>
        <v>369.428575333204</v>
      </c>
      <c r="I12515" s="6" t="n">
        <f aca="false">Sens!I12427+Sens!I12448+Sens!I12378+Sens!I12508*(Sens!I12397-Sens!I12360)+sbc_r*Sens!I12397</f>
        <v>433.117468269674</v>
      </c>
      <c r="J12515" s="6" t="n">
        <f aca="false">Sens!J12427+Sens!J12448+Sens!J12378+Sens!J12508*(Sens!J12397-Sens!J12360)+sbc_r*Sens!J12397</f>
        <v>483.227346981303</v>
      </c>
      <c r="K12515" s="6" t="n">
        <f aca="false">Sens!K12427+Sens!K12448+Sens!K12378+Sens!K12508*(Sens!K12397-Sens!K12360)+sbc_r*Sens!K12397</f>
        <v>520.681073181382</v>
      </c>
    </row>
    <row r="12516" customFormat="false" ht="17.15" hidden="false" customHeight="false" outlineLevel="0" collapsed="false">
      <c r="A12516" s="0" t="s">
        <v>1243</v>
      </c>
      <c r="B12516" s="0" t="s">
        <v>98</v>
      </c>
      <c r="F12516" s="6" t="n">
        <f aca="false">Sens!F12515-Sens!F12509-Sens!F12510-Sens!F12511-Sens!F12512-Sens!F12514</f>
        <v>66.3534262912931</v>
      </c>
      <c r="G12516" s="6" t="n">
        <f aca="false">Sens!G12515-Sens!G12509-Sens!G12510-Sens!G12511-Sens!G12512-Sens!G12514</f>
        <v>74.5435405793222</v>
      </c>
      <c r="H12516" s="6" t="n">
        <f aca="false">Sens!H12515-Sens!H12509-Sens!H12510-Sens!H12511-Sens!H12512-Sens!H12514</f>
        <v>87.4738767644659</v>
      </c>
      <c r="I12516" s="6" t="n">
        <f aca="false">Sens!I12515-Sens!I12509-Sens!I12510-Sens!I12511-Sens!I12512-Sens!I12514</f>
        <v>100.06546449672</v>
      </c>
      <c r="J12516" s="6" t="n">
        <f aca="false">Sens!J12515-Sens!J12509-Sens!J12510-Sens!J12511-Sens!J12512-Sens!J12514</f>
        <v>111.464663455738</v>
      </c>
      <c r="K12516" s="6" t="n">
        <f aca="false">Sens!K12515-Sens!K12509-Sens!K12510-Sens!K12511-Sens!K12512-Sens!K12514</f>
        <v>120.963566152819</v>
      </c>
    </row>
    <row r="12517" customFormat="false" ht="17.15" hidden="false" customHeight="false" outlineLevel="0" collapsed="false">
      <c r="A12517" s="0" t="s">
        <v>1244</v>
      </c>
      <c r="B12517" s="0" t="s">
        <v>98</v>
      </c>
      <c r="F12517" s="6" t="n">
        <f aca="false">Sens!F12429+Sens!F12508*Sens!F12404+sbc_r*Sens!F12404</f>
        <v>26.6653794913789</v>
      </c>
      <c r="G12517" s="6" t="n">
        <f aca="false">Sens!G12429+Sens!G12508*Sens!G12404+sbc_r*Sens!G12404</f>
        <v>26.5834248789724</v>
      </c>
      <c r="H12517" s="6" t="n">
        <f aca="false">Sens!H12429+Sens!H12508*Sens!H12404+sbc_r*Sens!H12404</f>
        <v>27.5728124595573</v>
      </c>
      <c r="I12517" s="6" t="n">
        <f aca="false">Sens!I12429+Sens!I12508*Sens!I12404+sbc_r*Sens!I12404</f>
        <v>28.8367059280098</v>
      </c>
      <c r="J12517" s="6" t="n">
        <f aca="false">Sens!J12429+Sens!J12508*Sens!J12404+sbc_r*Sens!J12404</f>
        <v>30.3475575839333</v>
      </c>
      <c r="K12517" s="6" t="n">
        <f aca="false">Sens!K12429+Sens!K12508*Sens!K12404+sbc_r*Sens!K12404</f>
        <v>32.0802684909202</v>
      </c>
    </row>
    <row r="12518" customFormat="false" ht="17.15" hidden="false" customHeight="false" outlineLevel="0" collapsed="false">
      <c r="A12518" s="0" t="s">
        <v>1245</v>
      </c>
      <c r="B12518" s="0" t="s">
        <v>98</v>
      </c>
      <c r="F12518" s="6" t="n">
        <f aca="false">(Sens!F12517-Sens!F12513)*Sens!F12400/(Sens!F12400+Sens!F12402)</f>
        <v>8.75591689360636</v>
      </c>
      <c r="G12518" s="6" t="n">
        <f aca="false">(Sens!G12517-Sens!G12513)*Sens!G12400/(Sens!G12400+Sens!G12402)</f>
        <v>8.00093561537806</v>
      </c>
      <c r="H12518" s="6" t="n">
        <f aca="false">(Sens!H12517-Sens!H12513)*Sens!H12400/(Sens!H12400+Sens!H12402)</f>
        <v>7.88106019140643</v>
      </c>
      <c r="I12518" s="6" t="n">
        <f aca="false">(Sens!I12517-Sens!I12513)*Sens!I12400/(Sens!I12400+Sens!I12402)</f>
        <v>7.94655028388402</v>
      </c>
      <c r="J12518" s="6" t="n">
        <f aca="false">(Sens!J12517-Sens!J12513)*Sens!J12400/(Sens!J12400+Sens!J12402)</f>
        <v>8.19328012877898</v>
      </c>
      <c r="K12518" s="6" t="n">
        <f aca="false">(Sens!K12517-Sens!K12513)*Sens!K12400/(Sens!K12400+Sens!K12402)</f>
        <v>8.62741213209088</v>
      </c>
    </row>
    <row r="12519" customFormat="false" ht="17.15" hidden="false" customHeight="false" outlineLevel="0" collapsed="false">
      <c r="A12519" s="0" t="s">
        <v>1246</v>
      </c>
      <c r="B12519" s="0" t="s">
        <v>98</v>
      </c>
      <c r="F12519" s="6" t="n">
        <f aca="false">Sens!F12517-Sens!F12513-Sens!F12518</f>
        <v>6.72080077847852</v>
      </c>
      <c r="G12519" s="6" t="n">
        <f aca="false">Sens!G12517-Sens!G12513-Sens!G12518</f>
        <v>6.32215298882906</v>
      </c>
      <c r="H12519" s="6" t="n">
        <f aca="false">Sens!H12517-Sens!H12513-Sens!H12518</f>
        <v>6.31496995291128</v>
      </c>
      <c r="I12519" s="6" t="n">
        <f aca="false">Sens!I12517-Sens!I12513-Sens!I12518</f>
        <v>6.36286181160005</v>
      </c>
      <c r="J12519" s="6" t="n">
        <f aca="false">Sens!J12517-Sens!J12513-Sens!J12518</f>
        <v>6.46254948044168</v>
      </c>
      <c r="K12519" s="6" t="n">
        <f aca="false">Sens!K12517-Sens!K12513-Sens!K12518</f>
        <v>6.61054848825838</v>
      </c>
    </row>
    <row r="12520" customFormat="false" ht="17.15" hidden="false" customHeight="false" outlineLevel="0" collapsed="false">
      <c r="A12520" s="0" t="s">
        <v>1247</v>
      </c>
      <c r="B12520" s="0" t="s">
        <v>98</v>
      </c>
      <c r="F12520" s="6" t="n">
        <f aca="false">Sens!F12514-tax_f*(Sens!F12514-Sens!F12378)-Sens!F12375</f>
        <v>-127.503553927218</v>
      </c>
      <c r="G12520" s="6" t="n">
        <f aca="false">Sens!G12514-tax_f*(Sens!G12514-Sens!G12378)-Sens!G12375</f>
        <v>-114.603772628121</v>
      </c>
      <c r="H12520" s="6" t="n">
        <f aca="false">Sens!H12514-tax_f*(Sens!H12514-Sens!H12378)-Sens!H12375</f>
        <v>-80.3633729631438</v>
      </c>
      <c r="I12520" s="6" t="n">
        <f aca="false">Sens!I12514-tax_f*(Sens!I12514-Sens!I12378)-Sens!I12375</f>
        <v>-17.2838782011649</v>
      </c>
      <c r="J12520" s="6" t="n">
        <f aca="false">Sens!J12514-tax_f*(Sens!J12514-Sens!J12378)-Sens!J12375</f>
        <v>46.9281968800854</v>
      </c>
      <c r="K12520" s="6" t="n">
        <f aca="false">Sens!K12514-tax_f*(Sens!K12514-Sens!K12378)-Sens!K12375</f>
        <v>71.8608185731755</v>
      </c>
    </row>
    <row r="12521" customFormat="false" ht="17.15" hidden="false" customHeight="false" outlineLevel="0" collapsed="false">
      <c r="A12521" s="0" t="s">
        <v>1248</v>
      </c>
      <c r="B12521" s="0" t="s">
        <v>98</v>
      </c>
      <c r="G12521" s="6" t="n">
        <f aca="false">Sens!G12520/(1+wacc)^(Sens!G12491-Sens!F12492)</f>
        <v>-109.124845494465</v>
      </c>
      <c r="H12521" s="6" t="n">
        <f aca="false">Sens!H12520/(1+wacc)^(Sens!H12491-Sens!F12492)</f>
        <v>-69.3796874071025</v>
      </c>
      <c r="I12521" s="6" t="n">
        <f aca="false">Sens!I12520/(1+wacc)^(Sens!I12491-Sens!F12492)</f>
        <v>-13.5289731380471</v>
      </c>
      <c r="J12521" s="6" t="n">
        <f aca="false">Sens!J12520/(1+wacc)^(Sens!J12491-Sens!F12492)</f>
        <v>33.3048099587126</v>
      </c>
      <c r="K12521" s="6" t="n">
        <f aca="false">Sens!K12520/(1+wacc)^(Sens!K12491-Sens!F12492)</f>
        <v>46.2396679904913</v>
      </c>
      <c r="L12521" s="1" t="s">
        <v>1249</v>
      </c>
    </row>
    <row r="12522" customFormat="false" ht="17.15" hidden="false" customHeight="false" outlineLevel="0" collapsed="false">
      <c r="A12522" s="0" t="s">
        <v>1250</v>
      </c>
      <c r="B12522" s="0" t="s">
        <v>98</v>
      </c>
      <c r="C12522" s="6" t="n">
        <f aca="false">(Sens!K12514-Sens!K12378)*(1-tax_f)*(1+g_tv)*(1-g_tv/(wacc+ronic_prem))/(wacc-g_tv)/(1+wacc)^(Sens!K12492-Sens!F12492)</f>
        <v>293.118051086843</v>
      </c>
    </row>
    <row r="12523" customFormat="false" ht="17.15" hidden="false" customHeight="false" outlineLevel="0" collapsed="false">
      <c r="A12523" s="1" t="s">
        <v>1251</v>
      </c>
      <c r="B12523" s="0" t="s">
        <v>98</v>
      </c>
      <c r="C12523" s="6" t="n">
        <f aca="false">(SUM(Sens!G12521:K12521)+Sens!$C$12522)*(1+wacc)^(t_roll-Sens!F12492)</f>
        <v>186.592133308255</v>
      </c>
      <c r="L12523" s="12" t="s">
        <v>1252</v>
      </c>
    </row>
    <row r="12524" customFormat="false" ht="17.15" hidden="false" customHeight="false" outlineLevel="0" collapsed="false">
      <c r="A12524" s="1" t="s">
        <v>1253</v>
      </c>
      <c r="B12524" s="0" t="s">
        <v>98</v>
      </c>
      <c r="C12524" s="6" t="n">
        <f aca="false">(w_ntm28*Sens!G12366+(1-w_ntm28)*Sens!H12366)*m_ai</f>
        <v>463.789109510335</v>
      </c>
    </row>
    <row r="12525" customFormat="false" ht="17.15" hidden="false" customHeight="false" outlineLevel="0" collapsed="false">
      <c r="A12525" s="1" t="s">
        <v>1254</v>
      </c>
      <c r="B12525" s="0" t="s">
        <v>98</v>
      </c>
      <c r="C12525" s="6" t="n">
        <f aca="false">(w_ntm28*Sens!G12516+(1-w_ntm28)*Sens!H12516)*m_cloud</f>
        <v>1088.94151033895</v>
      </c>
    </row>
    <row r="12526" customFormat="false" ht="17.15" hidden="false" customHeight="false" outlineLevel="0" collapsed="false">
      <c r="A12526" s="1" t="s">
        <v>1255</v>
      </c>
      <c r="B12526" s="0" t="s">
        <v>98</v>
      </c>
      <c r="C12526" s="6" t="n">
        <f aca="false">(w_ntm28*Sens!G12509+(1-w_ntm28)*Sens!H12509)*m_sw</f>
        <v>1082.75925919898</v>
      </c>
    </row>
    <row r="12527" customFormat="false" ht="17.15" hidden="false" customHeight="false" outlineLevel="0" collapsed="false">
      <c r="A12527" s="1" t="s">
        <v>1256</v>
      </c>
      <c r="B12527" s="0" t="s">
        <v>98</v>
      </c>
      <c r="C12527" s="6" t="n">
        <f aca="false">(w_ntm28*Sens!G12510+(1-w_ntm28)*Sens!H12510)*m_sw</f>
        <v>372.903913179831</v>
      </c>
    </row>
    <row r="12528" customFormat="false" ht="17.15" hidden="false" customHeight="false" outlineLevel="0" collapsed="false">
      <c r="A12528" s="1" t="s">
        <v>1257</v>
      </c>
      <c r="B12528" s="0" t="s">
        <v>98</v>
      </c>
      <c r="C12528" s="6" t="n">
        <f aca="false">(w_ntm28*Sens!G12511+(1-w_ntm28)*Sens!H12511)*m_sw</f>
        <v>109.129548409919</v>
      </c>
    </row>
    <row r="12529" customFormat="false" ht="17.15" hidden="false" customHeight="false" outlineLevel="0" collapsed="false">
      <c r="A12529" s="1" t="s">
        <v>1258</v>
      </c>
      <c r="B12529" s="0" t="s">
        <v>98</v>
      </c>
      <c r="C12529" s="6" t="n">
        <f aca="false">(w_ntm28*Sens!G12512+(1-w_ntm28)*Sens!H12512)*m_sw</f>
        <v>41.4882228013973</v>
      </c>
    </row>
    <row r="12530" customFormat="false" ht="17.15" hidden="false" customHeight="false" outlineLevel="0" collapsed="false">
      <c r="A12530" s="1" t="s">
        <v>1259</v>
      </c>
      <c r="B12530" s="0" t="s">
        <v>98</v>
      </c>
      <c r="C12530" s="6" t="n">
        <f aca="false">(w_ntm28*Sens!G12513+(1-w_ntm28)*Sens!H12513)*m_ads</f>
        <v>115.035495823239</v>
      </c>
    </row>
    <row r="12531" customFormat="false" ht="17.15" hidden="false" customHeight="false" outlineLevel="0" collapsed="false">
      <c r="A12531" s="1" t="s">
        <v>1260</v>
      </c>
      <c r="B12531" s="0" t="s">
        <v>98</v>
      </c>
      <c r="C12531" s="6" t="n">
        <f aca="false">(w_ntm28*Sens!G12518+(1-w_ntm28)*Sens!H12518)*m_game</f>
        <v>100.554054650796</v>
      </c>
    </row>
    <row r="12532" customFormat="false" ht="17.15" hidden="false" customHeight="false" outlineLevel="0" collapsed="false">
      <c r="A12532" s="1" t="s">
        <v>1261</v>
      </c>
      <c r="B12532" s="0" t="s">
        <v>98</v>
      </c>
      <c r="C12532" s="6" t="n">
        <f aca="false">(w_ntm28*Sens!G12519+(1-w_ntm28)*Sens!H12519)*m_pc</f>
        <v>91.4473821769383</v>
      </c>
    </row>
    <row r="12533" customFormat="false" ht="17.15" hidden="false" customHeight="false" outlineLevel="0" collapsed="false">
      <c r="A12533" s="1" t="s">
        <v>1262</v>
      </c>
      <c r="B12533" s="0" t="s">
        <v>98</v>
      </c>
      <c r="C12533" s="6" t="n">
        <f aca="false">Sens!$C$12523+Sens!$C$12525+Sens!$C$12526+Sens!$C$12527+Sens!$C$12528+Sens!$C$12529+Sens!$C$12530+Sens!$C$12531+Sens!$C$12532</f>
        <v>3188.85151988831</v>
      </c>
    </row>
    <row r="12534" customFormat="false" ht="17.15" hidden="false" customHeight="false" outlineLevel="0" collapsed="false">
      <c r="A12534" s="1" t="s">
        <v>1263</v>
      </c>
      <c r="B12534" s="0" t="s">
        <v>98</v>
      </c>
      <c r="C12534" s="6" t="n">
        <f aca="false">(Sens!G12495-Sens!G12520)*t_stub</f>
        <v>47.8936528999658</v>
      </c>
      <c r="L12534" s="1" t="s">
        <v>1264</v>
      </c>
    </row>
    <row r="12535" customFormat="false" ht="17.15" hidden="false" customHeight="false" outlineLevel="0" collapsed="false">
      <c r="A12535" s="1" t="s">
        <v>1173</v>
      </c>
      <c r="B12535" s="0" t="s">
        <v>98</v>
      </c>
      <c r="C12535" s="6" t="n">
        <f aca="false">Sens!F12482+oai_v-Sens!F12471+Sens!$C$12534</f>
        <v>162.121922899966</v>
      </c>
      <c r="L12535" s="1" t="s">
        <v>1265</v>
      </c>
    </row>
    <row r="12536" customFormat="false" ht="17.15" hidden="false" customHeight="false" outlineLevel="0" collapsed="false">
      <c r="A12536" s="1" t="s">
        <v>1266</v>
      </c>
      <c r="B12536" s="0" t="s">
        <v>75</v>
      </c>
      <c r="C12536" s="5" t="n">
        <f aca="false">(Sens!$C$12533+Sens!$C$12535)/(Sens!F12484+dil_gap)-Sens!G12474*roll_div_q/q_per_yr</f>
        <v>446.026826881688</v>
      </c>
      <c r="L12536" s="1" t="s">
        <v>1267</v>
      </c>
    </row>
    <row r="12537" customFormat="false" ht="17.15" hidden="false" customHeight="false" outlineLevel="0" collapsed="false">
      <c r="A12537" s="1" t="s">
        <v>1268</v>
      </c>
      <c r="B12537" s="0" t="s">
        <v>75</v>
      </c>
      <c r="C12537" s="5" t="n">
        <f aca="false">w_dcf*Sens!$C$12507+(1-w_dcf)*Sens!$C$12536</f>
        <v>386.440474392186</v>
      </c>
    </row>
    <row r="12538" customFormat="false" ht="17.15" hidden="false" customHeight="false" outlineLevel="0" collapsed="false">
      <c r="A12538" s="3" t="s">
        <v>1925</v>
      </c>
    </row>
    <row r="12539" customFormat="false" ht="15" hidden="false" customHeight="false" outlineLevel="0" collapsed="false">
      <c r="A12539" s="4" t="s">
        <v>43</v>
      </c>
      <c r="B12539" s="4" t="s">
        <v>65</v>
      </c>
      <c r="C12539" s="23" t="s">
        <v>942</v>
      </c>
      <c r="D12539" s="23" t="s">
        <v>943</v>
      </c>
      <c r="E12539" s="23" t="s">
        <v>944</v>
      </c>
      <c r="F12539" s="23" t="s">
        <v>945</v>
      </c>
      <c r="G12539" s="23" t="s">
        <v>946</v>
      </c>
      <c r="H12539" s="23" t="s">
        <v>947</v>
      </c>
      <c r="I12539" s="23" t="s">
        <v>948</v>
      </c>
      <c r="J12539" s="23" t="s">
        <v>949</v>
      </c>
      <c r="K12539" s="23" t="s">
        <v>950</v>
      </c>
      <c r="L12539" s="4" t="s">
        <v>47</v>
      </c>
    </row>
    <row r="12540" customFormat="false" ht="17.15" hidden="false" customHeight="false" outlineLevel="0" collapsed="false">
      <c r="A12540" s="1" t="s">
        <v>951</v>
      </c>
      <c r="B12540" s="1" t="s">
        <v>279</v>
      </c>
      <c r="C12540" s="21" t="n">
        <v>2024</v>
      </c>
      <c r="D12540" s="21" t="n">
        <v>2025</v>
      </c>
      <c r="E12540" s="21" t="n">
        <v>2026</v>
      </c>
      <c r="F12540" s="21" t="n">
        <v>2027</v>
      </c>
      <c r="G12540" s="21" t="n">
        <v>2028</v>
      </c>
      <c r="H12540" s="21" t="n">
        <v>2029</v>
      </c>
      <c r="I12540" s="21" t="n">
        <v>2030</v>
      </c>
      <c r="J12540" s="21" t="n">
        <v>2031</v>
      </c>
      <c r="K12540" s="21" t="n">
        <v>2032</v>
      </c>
    </row>
    <row r="12541" customFormat="false" ht="17.15" hidden="false" customHeight="false" outlineLevel="0" collapsed="false">
      <c r="A12541" s="1" t="s">
        <v>952</v>
      </c>
      <c r="B12541" s="0" t="s">
        <v>459</v>
      </c>
      <c r="F12541" s="30" t="n">
        <f aca="false">pace</f>
        <v>2726.5351</v>
      </c>
      <c r="G12541" s="30" t="n">
        <f aca="false">pace</f>
        <v>2726.5351</v>
      </c>
      <c r="H12541" s="30" t="n">
        <f aca="false">pace</f>
        <v>2726.5351</v>
      </c>
      <c r="I12541" s="30" t="n">
        <f aca="false">pace+(g_tv*Sens!H12542-pace)*MIN(1,(Sens!I12540-pace_y0)/(pace_y1-pace_y0))</f>
        <v>1931.98611966667</v>
      </c>
      <c r="J12541" s="30" t="n">
        <f aca="false">pace+(g_tv*Sens!I12542-pace)*MIN(1,(Sens!J12540-pace_y0)/(pace_y1-pace_y0))</f>
        <v>1176.07686172667</v>
      </c>
      <c r="K12541" s="30" t="n">
        <f aca="false">pace+(g_tv*Sens!J12542-pace)*MIN(1,(Sens!K12540-pace_y0)/(pace_y1-pace_y0))</f>
        <v>436.1300484418</v>
      </c>
      <c r="L12541" s="12" t="s">
        <v>953</v>
      </c>
    </row>
    <row r="12542" customFormat="false" ht="17.15" hidden="false" customHeight="false" outlineLevel="0" collapsed="false">
      <c r="A12542" s="1" t="s">
        <v>954</v>
      </c>
      <c r="B12542" s="0" t="s">
        <v>459</v>
      </c>
      <c r="C12542" s="30" t="n">
        <f aca="false">mw_ext_24</f>
        <v>640</v>
      </c>
      <c r="D12542" s="30" t="n">
        <f aca="false">mw_ext_25</f>
        <v>1630</v>
      </c>
      <c r="E12542" s="30" t="n">
        <f aca="false">mw_ext_26</f>
        <v>3250</v>
      </c>
      <c r="F12542" s="30" t="n">
        <f aca="false">Sens!E12542+Sens!F12541</f>
        <v>5976.5351</v>
      </c>
      <c r="G12542" s="30" t="n">
        <f aca="false">Sens!F12542+Sens!G12541</f>
        <v>8703.0702</v>
      </c>
      <c r="H12542" s="30" t="n">
        <f aca="false">Sens!G12542+Sens!H12541</f>
        <v>11429.6053</v>
      </c>
      <c r="I12542" s="30" t="n">
        <f aca="false">Sens!H12542+Sens!I12541</f>
        <v>13361.5914196667</v>
      </c>
      <c r="J12542" s="30" t="n">
        <f aca="false">Sens!I12542+Sens!J12541</f>
        <v>14537.6682813933</v>
      </c>
      <c r="K12542" s="30" t="n">
        <f aca="false">Sens!J12542+Sens!K12541</f>
        <v>14973.7983298351</v>
      </c>
      <c r="L12542" s="1" t="s">
        <v>955</v>
      </c>
    </row>
    <row r="12543" customFormat="false" ht="17.15" hidden="false" customHeight="false" outlineLevel="0" collapsed="false">
      <c r="A12543" s="1" t="s">
        <v>956</v>
      </c>
      <c r="B12543" s="0" t="s">
        <v>459</v>
      </c>
      <c r="C12543" s="30" t="n">
        <f aca="false">rent_ext_24</f>
        <v>150</v>
      </c>
      <c r="D12543" s="30" t="n">
        <f aca="false">rent_ext_25</f>
        <v>400</v>
      </c>
      <c r="E12543" s="30" t="n">
        <f aca="false">rent_ext_26</f>
        <v>550</v>
      </c>
      <c r="F12543" s="30" t="n">
        <f aca="false">rent_ext_f</f>
        <v>756</v>
      </c>
      <c r="G12543" s="30" t="n">
        <f aca="false">rent_ext_f</f>
        <v>756</v>
      </c>
      <c r="H12543" s="30" t="n">
        <f aca="false">rent_ext_f</f>
        <v>756</v>
      </c>
      <c r="I12543" s="30" t="n">
        <f aca="false">rent_ext_f</f>
        <v>756</v>
      </c>
      <c r="J12543" s="30" t="n">
        <f aca="false">rent_ext_f</f>
        <v>756</v>
      </c>
      <c r="K12543" s="30" t="n">
        <f aca="false">rent_ext_f</f>
        <v>756</v>
      </c>
      <c r="L12543" s="1" t="s">
        <v>957</v>
      </c>
    </row>
    <row r="12544" customFormat="false" ht="17.15" hidden="false" customHeight="false" outlineLevel="0" collapsed="false">
      <c r="A12544" s="1" t="s">
        <v>958</v>
      </c>
      <c r="B12544" s="0" t="s">
        <v>459</v>
      </c>
      <c r="C12544" s="30" t="n">
        <f aca="false">Sens!C12542-Sens!C12543</f>
        <v>490</v>
      </c>
      <c r="D12544" s="30" t="n">
        <f aca="false">Sens!D12542-Sens!D12543</f>
        <v>1230</v>
      </c>
      <c r="E12544" s="30" t="n">
        <f aca="false">Sens!E12542-Sens!E12543</f>
        <v>2700</v>
      </c>
      <c r="F12544" s="30" t="n">
        <f aca="false">Sens!F12542-Sens!F12543</f>
        <v>5220.5351</v>
      </c>
      <c r="G12544" s="30" t="n">
        <f aca="false">Sens!G12542-Sens!G12543</f>
        <v>7947.0702</v>
      </c>
      <c r="H12544" s="30" t="n">
        <f aca="false">Sens!H12542-Sens!H12543</f>
        <v>10673.6053</v>
      </c>
      <c r="I12544" s="30" t="n">
        <f aca="false">Sens!I12542-Sens!I12543</f>
        <v>12605.5914196667</v>
      </c>
      <c r="J12544" s="30" t="n">
        <f aca="false">Sens!J12542-Sens!J12543</f>
        <v>13781.6682813933</v>
      </c>
      <c r="K12544" s="30" t="n">
        <f aca="false">Sens!K12542-Sens!K12543</f>
        <v>14217.7983298351</v>
      </c>
    </row>
    <row r="12545" customFormat="false" ht="17.15" hidden="false" customHeight="false" outlineLevel="0" collapsed="false">
      <c r="A12545" s="1" t="s">
        <v>959</v>
      </c>
      <c r="B12545" s="0" t="s">
        <v>459</v>
      </c>
      <c r="C12545" s="30" t="n">
        <f aca="false">Sens!C12544/ext_sh</f>
        <v>816.666666666667</v>
      </c>
      <c r="D12545" s="30" t="n">
        <f aca="false">Sens!D12544/ext_sh</f>
        <v>2050</v>
      </c>
      <c r="E12545" s="30" t="n">
        <f aca="false">Sens!E12544/ext_sh</f>
        <v>4500</v>
      </c>
      <c r="F12545" s="30" t="n">
        <f aca="false">Sens!F12544/ext_sh</f>
        <v>8700.89183333333</v>
      </c>
      <c r="G12545" s="30" t="n">
        <f aca="false">Sens!G12544/ext_sh</f>
        <v>13245.117</v>
      </c>
      <c r="H12545" s="30" t="n">
        <f aca="false">Sens!H12544/ext_sh</f>
        <v>17789.3421666667</v>
      </c>
      <c r="I12545" s="30" t="n">
        <f aca="false">Sens!I12544/ext_sh</f>
        <v>21009.3190327778</v>
      </c>
      <c r="J12545" s="30" t="n">
        <f aca="false">Sens!J12544/ext_sh</f>
        <v>22969.4471356556</v>
      </c>
      <c r="K12545" s="30" t="n">
        <f aca="false">Sens!K12544/ext_sh</f>
        <v>23696.3305497252</v>
      </c>
      <c r="L12545" s="1" t="s">
        <v>960</v>
      </c>
    </row>
    <row r="12546" customFormat="false" ht="17.15" hidden="false" customHeight="false" outlineLevel="0" collapsed="false">
      <c r="A12546" s="1" t="s">
        <v>961</v>
      </c>
      <c r="B12546" s="0" t="s">
        <v>459</v>
      </c>
      <c r="C12546" s="30" t="n">
        <f aca="false">Sens!C12545-Sens!C12544</f>
        <v>326.666666666667</v>
      </c>
      <c r="D12546" s="30" t="n">
        <f aca="false">Sens!D12545-Sens!D12544</f>
        <v>820</v>
      </c>
      <c r="E12546" s="30" t="n">
        <f aca="false">Sens!E12545-Sens!E12544</f>
        <v>1800</v>
      </c>
      <c r="F12546" s="30" t="n">
        <f aca="false">Sens!F12545-Sens!F12544</f>
        <v>3480.35673333333</v>
      </c>
      <c r="G12546" s="30" t="n">
        <f aca="false">Sens!G12545-Sens!G12544</f>
        <v>5298.0468</v>
      </c>
      <c r="H12546" s="30" t="n">
        <f aca="false">Sens!H12545-Sens!H12544</f>
        <v>7115.73686666667</v>
      </c>
      <c r="I12546" s="30" t="n">
        <f aca="false">Sens!I12545-Sens!I12544</f>
        <v>8403.72761311111</v>
      </c>
      <c r="J12546" s="30" t="n">
        <f aca="false">Sens!J12545-Sens!J12544</f>
        <v>9187.77885426222</v>
      </c>
      <c r="K12546" s="30" t="n">
        <f aca="false">Sens!K12545-Sens!K12544</f>
        <v>9478.53221989009</v>
      </c>
    </row>
    <row r="12547" customFormat="false" ht="17.15" hidden="false" customHeight="false" outlineLevel="0" collapsed="false">
      <c r="A12547" s="1" t="s">
        <v>962</v>
      </c>
      <c r="B12547" s="0" t="s">
        <v>459</v>
      </c>
      <c r="C12547" s="30" t="n">
        <f aca="false">Sens!C12545</f>
        <v>816.666666666667</v>
      </c>
      <c r="D12547" s="30" t="n">
        <f aca="false">Sens!D12545-Sens!C12545</f>
        <v>1233.33333333333</v>
      </c>
      <c r="E12547" s="30" t="n">
        <f aca="false">Sens!E12545-Sens!D12545</f>
        <v>2450</v>
      </c>
      <c r="F12547" s="30" t="n">
        <f aca="false">Sens!F12545-Sens!E12545</f>
        <v>4200.89183333333</v>
      </c>
      <c r="G12547" s="30" t="n">
        <f aca="false">Sens!G12545-Sens!F12545</f>
        <v>4544.22516666667</v>
      </c>
      <c r="H12547" s="30" t="n">
        <f aca="false">Sens!H12545-Sens!G12545</f>
        <v>4544.22516666667</v>
      </c>
      <c r="I12547" s="30" t="n">
        <f aca="false">Sens!I12545-Sens!H12545</f>
        <v>3219.97686611111</v>
      </c>
      <c r="J12547" s="30" t="n">
        <f aca="false">Sens!J12545-Sens!I12545</f>
        <v>1960.12810287778</v>
      </c>
      <c r="K12547" s="30" t="n">
        <f aca="false">Sens!K12545-Sens!J12545</f>
        <v>726.883414069667</v>
      </c>
    </row>
    <row r="12548" customFormat="false" ht="17.15" hidden="false" customHeight="false" outlineLevel="0" collapsed="false">
      <c r="A12548" s="1" t="s">
        <v>963</v>
      </c>
      <c r="B12548" s="0" t="s">
        <v>459</v>
      </c>
      <c r="D12548" s="30" t="n">
        <f aca="false">Sens!D12542-Sens!C12542</f>
        <v>990</v>
      </c>
      <c r="E12548" s="30" t="n">
        <f aca="false">Sens!E12542-Sens!D12542</f>
        <v>1620</v>
      </c>
      <c r="F12548" s="30" t="n">
        <f aca="false">Sens!F12542-Sens!E12542</f>
        <v>2726.5351</v>
      </c>
      <c r="G12548" s="30" t="n">
        <f aca="false">Sens!G12542-Sens!F12542</f>
        <v>2726.5351</v>
      </c>
      <c r="H12548" s="30" t="n">
        <f aca="false">Sens!H12542-Sens!G12542</f>
        <v>2726.5351</v>
      </c>
      <c r="I12548" s="30" t="n">
        <f aca="false">Sens!I12542-Sens!H12542</f>
        <v>1931.98611966667</v>
      </c>
      <c r="J12548" s="30" t="n">
        <f aca="false">Sens!J12542-Sens!I12542</f>
        <v>1176.07686172667</v>
      </c>
      <c r="K12548" s="30" t="n">
        <f aca="false">Sens!K12542-Sens!J12542</f>
        <v>436.130048441799</v>
      </c>
    </row>
    <row r="12549" customFormat="false" ht="17.15" hidden="false" customHeight="false" outlineLevel="0" collapsed="false">
      <c r="A12549" s="1" t="s">
        <v>964</v>
      </c>
      <c r="B12549" s="0" t="s">
        <v>459</v>
      </c>
      <c r="F12549" s="30" t="n">
        <f aca="false">Sens!F12568*ext_sh</f>
        <v>0</v>
      </c>
      <c r="G12549" s="30" t="n">
        <f aca="false">Sens!G12568*ext_sh</f>
        <v>0</v>
      </c>
      <c r="H12549" s="30" t="n">
        <f aca="false">Sens!H12568*ext_sh</f>
        <v>0</v>
      </c>
      <c r="I12549" s="30" t="n">
        <f aca="false">Sens!I12568*ext_sh</f>
        <v>490</v>
      </c>
      <c r="J12549" s="30" t="n">
        <f aca="false">Sens!J12568*ext_sh</f>
        <v>740</v>
      </c>
      <c r="K12549" s="30" t="n">
        <f aca="false">Sens!K12568*ext_sh</f>
        <v>1470</v>
      </c>
      <c r="L12549" s="1" t="s">
        <v>965</v>
      </c>
    </row>
    <row r="12550" customFormat="false" ht="17.15" hidden="false" customHeight="false" outlineLevel="0" collapsed="false">
      <c r="A12550" s="1" t="s">
        <v>966</v>
      </c>
      <c r="B12550" s="0" t="s">
        <v>459</v>
      </c>
      <c r="C12550" s="30" t="n">
        <f aca="false">mix_h*Sens!C12542</f>
        <v>128</v>
      </c>
      <c r="D12550" s="30" t="n">
        <f aca="false">mix_h*Sens!D12542</f>
        <v>326</v>
      </c>
      <c r="E12550" s="30" t="n">
        <f aca="false">mix_h*Sens!E12542</f>
        <v>650</v>
      </c>
      <c r="F12550" s="30" t="n">
        <f aca="false">Sens!E12550-Sens!F12549*mix_h</f>
        <v>650</v>
      </c>
      <c r="G12550" s="30" t="n">
        <f aca="false">Sens!F12550-Sens!G12549*mix_h</f>
        <v>650</v>
      </c>
      <c r="H12550" s="30" t="n">
        <f aca="false">Sens!G12550-Sens!H12549*mix_h</f>
        <v>650</v>
      </c>
      <c r="I12550" s="30" t="n">
        <f aca="false">Sens!H12550-Sens!I12549*mix_h</f>
        <v>552</v>
      </c>
      <c r="J12550" s="30" t="n">
        <f aca="false">Sens!I12550-Sens!J12549*mix_h</f>
        <v>404</v>
      </c>
      <c r="K12550" s="30" t="n">
        <f aca="false">Sens!J12550-Sens!K12549*mix_h</f>
        <v>110</v>
      </c>
    </row>
    <row r="12551" customFormat="false" ht="17.15" hidden="false" customHeight="false" outlineLevel="0" collapsed="false">
      <c r="A12551" s="1" t="s">
        <v>967</v>
      </c>
      <c r="B12551" s="0" t="s">
        <v>459</v>
      </c>
      <c r="C12551" s="30" t="n">
        <f aca="false">mix_g2*Sens!C12542</f>
        <v>288</v>
      </c>
      <c r="D12551" s="30" t="n">
        <f aca="false">mix_g2*Sens!D12542</f>
        <v>733.5</v>
      </c>
      <c r="E12551" s="30" t="n">
        <f aca="false">mix_g2*Sens!E12542</f>
        <v>1462.5</v>
      </c>
      <c r="F12551" s="30" t="n">
        <f aca="false">Sens!E12551-Sens!F12549*mix_g2</f>
        <v>1462.5</v>
      </c>
      <c r="G12551" s="30" t="n">
        <f aca="false">Sens!F12551-Sens!G12549*mix_g2</f>
        <v>1462.5</v>
      </c>
      <c r="H12551" s="30" t="n">
        <f aca="false">Sens!G12551-Sens!H12549*mix_g2</f>
        <v>1462.5</v>
      </c>
      <c r="I12551" s="30" t="n">
        <f aca="false">Sens!H12551-Sens!I12549*mix_g2</f>
        <v>1242</v>
      </c>
      <c r="J12551" s="30" t="n">
        <f aca="false">Sens!I12551-Sens!J12549*mix_g2</f>
        <v>909</v>
      </c>
      <c r="K12551" s="30" t="n">
        <f aca="false">Sens!J12551-Sens!K12549*mix_g2</f>
        <v>247.5</v>
      </c>
    </row>
    <row r="12552" customFormat="false" ht="17.15" hidden="false" customHeight="false" outlineLevel="0" collapsed="false">
      <c r="A12552" s="1" t="s">
        <v>968</v>
      </c>
      <c r="B12552" s="0" t="s">
        <v>459</v>
      </c>
      <c r="C12552" s="30" t="n">
        <f aca="false">mix_g3*Sens!C12542</f>
        <v>224</v>
      </c>
      <c r="D12552" s="30" t="n">
        <f aca="false">mix_g3*Sens!D12542</f>
        <v>570.5</v>
      </c>
      <c r="E12552" s="30" t="n">
        <f aca="false">mix_g3*Sens!E12542</f>
        <v>1137.5</v>
      </c>
      <c r="F12552" s="30" t="n">
        <f aca="false">Sens!E12552+(Sens!F12548+Sens!F12549)*(a_g3_27-nonnv*a_mai)-Sens!F12549*mix_g3</f>
        <v>2773.42106</v>
      </c>
      <c r="G12552" s="30" t="n">
        <f aca="false">Sens!F12552+(Sens!G12548+Sens!G12549)*(a_g3_28-nonnv*a_mai)-Sens!G12549*mix_g3</f>
        <v>3318.72808</v>
      </c>
      <c r="H12552" s="30" t="n">
        <f aca="false">Sens!G12552+(Sens!H12548+Sens!H12549)*(a_g3_29-nonnv*a_mai)-Sens!H12549*mix_g3</f>
        <v>3318.72808</v>
      </c>
      <c r="I12552" s="30" t="n">
        <f aca="false">Sens!H12552+(Sens!I12548+Sens!I12549)*(a_g3_29-nonnv*a_mai)-Sens!I12549*mix_g3</f>
        <v>3147.22808</v>
      </c>
      <c r="J12552" s="30" t="n">
        <f aca="false">Sens!I12552+(Sens!J12548+Sens!J12549)*(a_g3_29-nonnv*a_mai)-Sens!J12549*mix_g3</f>
        <v>2888.22808</v>
      </c>
      <c r="K12552" s="30" t="n">
        <f aca="false">Sens!J12552+(Sens!K12548+Sens!K12549)*(a_g3_29-nonnv*a_mai)-Sens!K12549*mix_g3</f>
        <v>2373.72808</v>
      </c>
    </row>
    <row r="12553" customFormat="false" ht="17.15" hidden="false" customHeight="false" outlineLevel="0" collapsed="false">
      <c r="A12553" s="1" t="s">
        <v>969</v>
      </c>
      <c r="B12553" s="0" t="s">
        <v>459</v>
      </c>
      <c r="C12553" s="30" t="n">
        <v>0</v>
      </c>
      <c r="D12553" s="30" t="n">
        <v>0</v>
      </c>
      <c r="E12553" s="30" t="n">
        <v>0</v>
      </c>
      <c r="F12553" s="30" t="n">
        <f aca="false">Sens!E12553+(Sens!F12548+Sens!F12549)*nonnv*a_mai</f>
        <v>272.65351</v>
      </c>
      <c r="G12553" s="30" t="n">
        <f aca="false">Sens!F12553+(Sens!G12548+Sens!G12549)*nonnv*a_mai</f>
        <v>545.30702</v>
      </c>
      <c r="H12553" s="30" t="n">
        <f aca="false">Sens!G12553+(Sens!H12548+Sens!H12549)*nonnv*a_mai</f>
        <v>817.96053</v>
      </c>
      <c r="I12553" s="30" t="n">
        <f aca="false">Sens!H12553+(Sens!I12548+Sens!I12549)*nonnv*a_mai</f>
        <v>1060.15914196667</v>
      </c>
      <c r="J12553" s="30" t="n">
        <f aca="false">Sens!I12553+(Sens!J12548+Sens!J12549)*nonnv*a_mai</f>
        <v>1251.76682813933</v>
      </c>
      <c r="K12553" s="30" t="n">
        <f aca="false">Sens!J12553+(Sens!K12548+Sens!K12549)*nonnv*a_mai</f>
        <v>1442.37983298351</v>
      </c>
      <c r="L12553" s="12" t="s">
        <v>970</v>
      </c>
    </row>
    <row r="12554" customFormat="false" ht="17.15" hidden="false" customHeight="false" outlineLevel="0" collapsed="false">
      <c r="A12554" s="1" t="s">
        <v>971</v>
      </c>
      <c r="B12554" s="0" t="s">
        <v>459</v>
      </c>
      <c r="C12554" s="30" t="n">
        <v>0</v>
      </c>
      <c r="D12554" s="30" t="n">
        <v>0</v>
      </c>
      <c r="E12554" s="30" t="n">
        <v>0</v>
      </c>
      <c r="F12554" s="30" t="n">
        <f aca="false">Sens!E12554+(Sens!F12548+Sens!F12549)*(1-a_g3_27)</f>
        <v>817.96053</v>
      </c>
      <c r="G12554" s="30" t="n">
        <f aca="false">Sens!F12554+(Sens!G12548+Sens!G12549)*(1-a_g3_28)</f>
        <v>2726.5351</v>
      </c>
      <c r="H12554" s="30" t="n">
        <f aca="false">Sens!G12554+(Sens!H12548+Sens!H12549)*(1-a_g3_29)</f>
        <v>5180.41669</v>
      </c>
      <c r="I12554" s="30" t="n">
        <f aca="false">Sens!H12554+(Sens!I12548+Sens!I12549)*(1-a_g3_29)</f>
        <v>7360.2041977</v>
      </c>
      <c r="J12554" s="30" t="n">
        <f aca="false">Sens!I12554+(Sens!J12548+Sens!J12549)*(1-a_g3_29)</f>
        <v>9084.673373254</v>
      </c>
      <c r="K12554" s="30" t="n">
        <f aca="false">Sens!J12554+(Sens!K12548+Sens!K12549)*(1-a_g3_29)</f>
        <v>10800.1904168516</v>
      </c>
    </row>
    <row r="12555" customFormat="false" ht="17.15" hidden="false" customHeight="false" outlineLevel="0" collapsed="false">
      <c r="A12555" s="1" t="s">
        <v>972</v>
      </c>
      <c r="B12555" s="0" t="s">
        <v>403</v>
      </c>
      <c r="C12555" s="15" t="n">
        <f aca="false">(Sens!C12550*tk_hold_h100+Sens!C12551*tk_hold_gb200+Sens!C12552*tk_hold_gb300+Sens!C12554*tk_hold_vr200+Sens!C12553*nv_hold_mai*tk_hold_vr200)/Sens!C12542</f>
        <v>9.7235358126469</v>
      </c>
      <c r="D12555" s="15" t="n">
        <f aca="false">(Sens!D12550*tk_hold_h100+Sens!D12551*tk_hold_gb200+Sens!D12552*tk_hold_gb300+Sens!D12554*tk_hold_vr200+Sens!D12553*nv_hold_mai*tk_hold_vr200)/Sens!D12542</f>
        <v>9.7235358126469</v>
      </c>
      <c r="E12555" s="15" t="n">
        <f aca="false">(Sens!E12550*tk_hold_h100+Sens!E12551*tk_hold_gb200+Sens!E12552*tk_hold_gb300+Sens!E12554*tk_hold_vr200+Sens!E12553*nv_hold_mai*tk_hold_vr200)/Sens!E12542</f>
        <v>9.7235358126469</v>
      </c>
      <c r="F12555" s="15" t="n">
        <f aca="false">(Sens!F12550*tk_hold_h100+Sens!F12551*tk_hold_gb200+Sens!F12552*tk_hold_gb300+Sens!F12554*tk_hold_vr200+Sens!F12553*nv_hold_mai*tk_hold_vr200)/Sens!F12542</f>
        <v>10.2195353876665</v>
      </c>
      <c r="G12555" s="15" t="n">
        <f aca="false">(Sens!G12550*tk_hold_h100+Sens!G12551*tk_hold_gb200+Sens!G12552*tk_hold_gb300+Sens!G12554*tk_hold_vr200+Sens!G12553*nv_hold_mai*tk_hold_vr200)/Sens!G12542</f>
        <v>10.5725598017306</v>
      </c>
      <c r="H12555" s="15" t="n">
        <f aca="false">(Sens!H12550*tk_hold_h100+Sens!H12551*tk_hold_gb200+Sens!H12552*tk_hold_gb300+Sens!H12554*tk_hold_vr200+Sens!H12553*nv_hold_mai*tk_hold_vr200)/Sens!H12542</f>
        <v>10.8210427149036</v>
      </c>
      <c r="I12555" s="15" t="n">
        <f aca="false">(Sens!I12550*tk_hold_h100+Sens!I12551*tk_hold_gb200+Sens!I12552*tk_hold_gb300+Sens!I12554*tk_hold_vr200+Sens!I12553*nv_hold_mai*tk_hold_vr200)/Sens!I12542</f>
        <v>11.0050618241982</v>
      </c>
      <c r="J12555" s="15" t="n">
        <f aca="false">(Sens!J12550*tk_hold_h100+Sens!J12551*tk_hold_gb200+Sens!J12552*tk_hold_gb300+Sens!J12554*tk_hold_vr200+Sens!J12553*nv_hold_mai*tk_hold_vr200)/Sens!J12542</f>
        <v>11.1505789658881</v>
      </c>
      <c r="K12555" s="15" t="n">
        <f aca="false">(Sens!K12550*tk_hold_h100+Sens!K12551*tk_hold_gb200+Sens!K12552*tk_hold_gb300+Sens!K12554*tk_hold_vr200+Sens!K12553*nv_hold_mai*tk_hold_vr200)/Sens!K12542</f>
        <v>11.3496914757183</v>
      </c>
      <c r="L12555" s="1" t="s">
        <v>973</v>
      </c>
    </row>
    <row r="12556" customFormat="false" ht="17.15" hidden="false" customHeight="false" outlineLevel="0" collapsed="false">
      <c r="A12556" s="1" t="s">
        <v>974</v>
      </c>
      <c r="B12556" s="0" t="s">
        <v>403</v>
      </c>
      <c r="C12556" s="15" t="n">
        <f aca="false">(Sens!C12550*tk_hold_h100+Sens!C12551*tk_hold_gb200+Sens!C12552*tk_hold_gb300+Sens!C12554*tk_hold_vr200+Sens!C12553*nv_out_mai*tk_hold_vr200)/Sens!C12542</f>
        <v>9.7235358126469</v>
      </c>
      <c r="D12556" s="15" t="n">
        <f aca="false">(Sens!D12550*tk_hold_h100+Sens!D12551*tk_hold_gb200+Sens!D12552*tk_hold_gb300+Sens!D12554*tk_hold_vr200+Sens!D12553*nv_out_mai*tk_hold_vr200)/Sens!D12542</f>
        <v>9.7235358126469</v>
      </c>
      <c r="E12556" s="15" t="n">
        <f aca="false">(Sens!E12550*tk_hold_h100+Sens!E12551*tk_hold_gb200+Sens!E12552*tk_hold_gb300+Sens!E12554*tk_hold_vr200+Sens!E12553*nv_out_mai*tk_hold_vr200)/Sens!E12542</f>
        <v>9.7235358126469</v>
      </c>
      <c r="F12556" s="15" t="n">
        <f aca="false">(Sens!F12550*tk_hold_h100+Sens!F12551*tk_hold_gb200+Sens!F12552*tk_hold_gb300+Sens!F12554*tk_hold_vr200+Sens!F12553*nv_out_mai*tk_hold_vr200)/Sens!F12542</f>
        <v>10.247422093969</v>
      </c>
      <c r="G12556" s="15" t="n">
        <f aca="false">(Sens!G12550*tk_hold_h100+Sens!G12551*tk_hold_gb200+Sens!G12552*tk_hold_gb300+Sens!G12554*tk_hold_vr200+Sens!G12553*nv_out_mai*tk_hold_vr200)/Sens!G12542</f>
        <v>10.6108602808053</v>
      </c>
      <c r="H12556" s="15" t="n">
        <f aca="false">(Sens!H12550*tk_hold_h100+Sens!H12551*tk_hold_gb200+Sens!H12552*tk_hold_gb300+Sens!H12554*tk_hold_vr200+Sens!H12553*nv_out_mai*tk_hold_vr200)/Sens!H12542</f>
        <v>10.8647885507393</v>
      </c>
      <c r="I12556" s="15" t="n">
        <f aca="false">(Sens!I12550*tk_hold_h100+Sens!I12551*tk_hold_gb200+Sens!I12552*tk_hold_gb300+Sens!I12554*tk_hold_vr200+Sens!I12553*nv_out_mai*tk_hold_vr200)/Sens!I12542</f>
        <v>11.0535625770025</v>
      </c>
      <c r="J12556" s="15" t="n">
        <f aca="false">(Sens!J12550*tk_hold_h100+Sens!J12551*tk_hold_gb200+Sens!J12552*tk_hold_gb300+Sens!J12554*tk_hold_vr200+Sens!J12553*nv_out_mai*tk_hold_vr200)/Sens!J12542</f>
        <v>11.2032127128058</v>
      </c>
      <c r="K12556" s="15" t="n">
        <f aca="false">(Sens!K12550*tk_hold_h100+Sens!K12551*tk_hold_gb200+Sens!K12552*tk_hold_gb300+Sens!K12554*tk_hold_vr200+Sens!K12553*nv_out_mai*tk_hold_vr200)/Sens!K12542</f>
        <v>11.4085735724225</v>
      </c>
      <c r="L12556" s="12" t="s">
        <v>975</v>
      </c>
    </row>
    <row r="12557" customFormat="false" ht="17.15" hidden="false" customHeight="false" outlineLevel="0" collapsed="false">
      <c r="A12557" s="0" t="s">
        <v>976</v>
      </c>
      <c r="B12557" s="0" t="s">
        <v>229</v>
      </c>
      <c r="C12557" s="15" t="n">
        <f aca="false">k_B</f>
        <v>1.17213932619116</v>
      </c>
      <c r="D12557" s="15" t="n">
        <f aca="false">k_B</f>
        <v>1.17213932619116</v>
      </c>
      <c r="E12557" s="15" t="n">
        <f aca="false">k_B</f>
        <v>1.17213932619116</v>
      </c>
      <c r="F12557" s="15" t="n">
        <f aca="false">(k_B+((ls_C*k_long+(1-ls_C)*k_spot)-k_B)*MIN(1,(Sens!F12540-base_fy)/k_ramp))</f>
        <v>1.07843258004497</v>
      </c>
      <c r="G12557" s="15" t="n">
        <f aca="false">(k_B+((ls_C*k_long+(1-ls_C)*k_spot)-k_B)*MIN(1,(Sens!G12540-base_fy)/k_ramp))</f>
        <v>0.984725833898784</v>
      </c>
      <c r="H12557" s="15" t="n">
        <f aca="false">(k_B+((ls_C*k_long+(1-ls_C)*k_spot)-k_B)*MIN(1,(Sens!H12540-base_fy)/k_ramp))</f>
        <v>0.891019087752599</v>
      </c>
      <c r="I12557" s="15" t="n">
        <f aca="false">(k_B+((ls_C*k_long+(1-ls_C)*k_spot)-k_B)*MIN(1,(Sens!I12540-base_fy)/k_ramp))</f>
        <v>0.891019087752599</v>
      </c>
      <c r="J12557" s="15" t="n">
        <f aca="false">(k_B+((ls_C*k_long+(1-ls_C)*k_spot)-k_B)*MIN(1,(Sens!J12540-base_fy)/k_ramp))</f>
        <v>0.891019087752599</v>
      </c>
      <c r="K12557" s="15" t="n">
        <f aca="false">(k_B+((ls_C*k_long+(1-ls_C)*k_spot)-k_B)*MIN(1,(Sens!K12540-base_fy)/k_ramp))</f>
        <v>0.891019087752599</v>
      </c>
      <c r="L12557" s="1" t="s">
        <v>977</v>
      </c>
    </row>
    <row r="12558" customFormat="false" ht="17.15" hidden="false" customHeight="false" outlineLevel="0" collapsed="false">
      <c r="A12558" s="1" t="s">
        <v>978</v>
      </c>
      <c r="B12558" s="0" t="s">
        <v>403</v>
      </c>
      <c r="C12558" s="15" t="n">
        <f aca="false">Sens!C12556*Sens!C12557*chip_f</f>
        <v>11.3973387156315</v>
      </c>
      <c r="D12558" s="15" t="n">
        <f aca="false">Sens!D12556*Sens!D12557*chip_f</f>
        <v>11.3973387156315</v>
      </c>
      <c r="E12558" s="15" t="n">
        <f aca="false">Sens!E12556*Sens!E12557*chip_f</f>
        <v>11.3973387156315</v>
      </c>
      <c r="F12558" s="15" t="n">
        <f aca="false">Sens!F12556*Sens!F12557*chip_f</f>
        <v>11.0511538476088</v>
      </c>
      <c r="G12558" s="15" t="n">
        <f aca="false">Sens!G12556*Sens!G12557*chip_f</f>
        <v>10.4487882383995</v>
      </c>
      <c r="H12558" s="15" t="n">
        <f aca="false">Sens!H12556*Sens!H12557*chip_f</f>
        <v>9.68073398310464</v>
      </c>
      <c r="I12558" s="15" t="n">
        <f aca="false">Sens!I12556*Sens!I12557*chip_f</f>
        <v>9.84893524377706</v>
      </c>
      <c r="J12558" s="15" t="n">
        <f aca="false">Sens!J12556*Sens!J12557*chip_f</f>
        <v>9.98227637126252</v>
      </c>
      <c r="K12558" s="15" t="n">
        <f aca="false">Sens!K12556*Sens!K12557*chip_f</f>
        <v>10.1652568170583</v>
      </c>
      <c r="L12558" s="1" t="s">
        <v>979</v>
      </c>
    </row>
    <row r="12559" customFormat="false" ht="17.15" hidden="false" customHeight="false" outlineLevel="0" collapsed="false">
      <c r="A12559" s="0" t="s">
        <v>980</v>
      </c>
      <c r="B12559" s="0" t="s">
        <v>98</v>
      </c>
      <c r="D12559" s="6" t="n">
        <f aca="false">(Sens!C12542+Sens!D12542)/2*Sens!D12558/1000</f>
        <v>12.9359794422418</v>
      </c>
      <c r="E12559" s="6" t="n">
        <f aca="false">(Sens!D12542+Sens!E12542)/2*Sens!E12558/1000</f>
        <v>27.8095064661409</v>
      </c>
      <c r="F12559" s="6" t="n">
        <f aca="false">(Sens!E12542+Sens!F12542)/2*Sens!F12558/1000</f>
        <v>50.9819294352312</v>
      </c>
      <c r="G12559" s="6" t="n">
        <f aca="false">(Sens!F12542+Sens!G12542)/2*Sens!G12558/1000</f>
        <v>76.6920436014933</v>
      </c>
      <c r="H12559" s="6" t="n">
        <f aca="false">(Sens!G12542+Sens!H12542)/2*Sens!H12558/1000</f>
        <v>97.4495379418341</v>
      </c>
      <c r="I12559" s="6" t="n">
        <f aca="false">(Sens!H12542+Sens!I12542)/2*Sens!I12558/1000</f>
        <v>122.083445553868</v>
      </c>
      <c r="J12559" s="6" t="n">
        <f aca="false">(Sens!I12542+Sens!J12542)/2*Sens!J12558/1000</f>
        <v>139.249060444804</v>
      </c>
      <c r="K12559" s="6" t="n">
        <f aca="false">(Sens!J12542+Sens!K12542)/2*Sens!K12558/1000</f>
        <v>149.995818575589</v>
      </c>
      <c r="L12559" s="12" t="s">
        <v>981</v>
      </c>
    </row>
    <row r="12560" customFormat="false" ht="17.15" hidden="false" customHeight="false" outlineLevel="0" collapsed="false">
      <c r="A12560" s="1" t="s">
        <v>982</v>
      </c>
      <c r="B12560" s="0" t="s">
        <v>403</v>
      </c>
      <c r="C12560" s="15" t="n">
        <f aca="false">(Sens!C12550*tk_opex_h100+Sens!C12551*tk_opex_gb200+Sens!C12552*tk_opex_gb300+(Sens!C12554+Sens!C12553)*tk_opex_vr200)/Sens!C12542</f>
        <v>1.88636041306092</v>
      </c>
      <c r="D12560" s="15" t="n">
        <f aca="false">(Sens!D12550*tk_opex_h100+Sens!D12551*tk_opex_gb200+Sens!D12552*tk_opex_gb300+(Sens!D12554+Sens!D12553)*tk_opex_vr200)/Sens!D12542</f>
        <v>1.88636041306092</v>
      </c>
      <c r="E12560" s="15" t="n">
        <f aca="false">(Sens!E12550*tk_opex_h100+Sens!E12551*tk_opex_gb200+Sens!E12552*tk_opex_gb300+(Sens!E12554+Sens!E12553)*tk_opex_vr200)/Sens!E12542</f>
        <v>1.88636041306092</v>
      </c>
      <c r="F12560" s="15" t="n">
        <f aca="false">(Sens!F12550*tk_opex_h100+Sens!F12551*tk_opex_gb200+Sens!F12552*tk_opex_gb300+(Sens!F12554+Sens!F12553)*tk_opex_vr200)/Sens!F12542</f>
        <v>1.95051159746876</v>
      </c>
      <c r="G12560" s="15" t="n">
        <f aca="false">(Sens!G12550*tk_opex_h100+Sens!G12551*tk_opex_gb200+Sens!G12552*tk_opex_gb300+(Sens!G12554+Sens!G12553)*tk_opex_vr200)/Sens!G12542</f>
        <v>1.98836003669956</v>
      </c>
      <c r="H12560" s="15" t="n">
        <f aca="false">(Sens!H12550*tk_opex_h100+Sens!H12551*tk_opex_gb200+Sens!H12552*tk_opex_gb300+(Sens!H12554+Sens!H12553)*tk_opex_vr200)/Sens!H12542</f>
        <v>2.01344013834343</v>
      </c>
      <c r="I12560" s="15" t="n">
        <f aca="false">(Sens!I12550*tk_opex_h100+Sens!I12551*tk_opex_gb200+Sens!I12552*tk_opex_gb300+(Sens!I12554+Sens!I12553)*tk_opex_vr200)/Sens!I12542</f>
        <v>2.03261166882178</v>
      </c>
      <c r="J12560" s="15" t="n">
        <f aca="false">(Sens!J12550*tk_opex_h100+Sens!J12551*tk_opex_gb200+Sens!J12552*tk_opex_gb300+(Sens!J12554+Sens!J12553)*tk_opex_vr200)/Sens!J12542</f>
        <v>2.04808073288745</v>
      </c>
      <c r="K12560" s="15" t="n">
        <f aca="false">(Sens!K12550*tk_opex_h100+Sens!K12551*tk_opex_gb200+Sens!K12552*tk_opex_gb300+(Sens!K12554+Sens!K12553)*tk_opex_vr200)/Sens!K12542</f>
        <v>2.06973825807449</v>
      </c>
      <c r="L12560" s="12" t="s">
        <v>983</v>
      </c>
    </row>
    <row r="12561" customFormat="false" ht="17.15" hidden="false" customHeight="false" outlineLevel="0" collapsed="false">
      <c r="A12561" s="0" t="s">
        <v>984</v>
      </c>
      <c r="B12561" s="0" t="s">
        <v>98</v>
      </c>
      <c r="D12561" s="6" t="n">
        <f aca="false">(Sens!C12545+Sens!D12545)/2*Sens!D12560/1000</f>
        <v>2.70378325872065</v>
      </c>
      <c r="E12561" s="6" t="n">
        <f aca="false">(Sens!D12545+Sens!E12545)/2*Sens!E12560/1000</f>
        <v>6.17783035277451</v>
      </c>
      <c r="F12561" s="6" t="n">
        <f aca="false">(Sens!E12545+Sens!F12545)/2*Sens!F12560/1000</f>
        <v>12.8742463089237</v>
      </c>
      <c r="G12561" s="6" t="n">
        <f aca="false">(Sens!F12545+Sens!G12545)/2*Sens!G12560/1000</f>
        <v>21.8182834646277</v>
      </c>
      <c r="H12561" s="6" t="n">
        <f aca="false">(Sens!G12545+Sens!H12545)/2*Sens!H12560/1000</f>
        <v>31.2430128789734</v>
      </c>
      <c r="I12561" s="6" t="n">
        <f aca="false">(Sens!H12545+Sens!I12545)/2*Sens!I12560/1000</f>
        <v>39.4313057443268</v>
      </c>
      <c r="J12561" s="6" t="n">
        <f aca="false">(Sens!I12545+Sens!J12545)/2*Sens!J12560/1000</f>
        <v>45.0360318228653</v>
      </c>
      <c r="K12561" s="6" t="n">
        <f aca="false">(Sens!J12545+Sens!K12545)/2*Sens!K12560/1000</f>
        <v>48.2929727091156</v>
      </c>
    </row>
    <row r="12562" customFormat="false" ht="17.15" hidden="false" customHeight="false" outlineLevel="0" collapsed="false">
      <c r="A12562" s="0" t="s">
        <v>985</v>
      </c>
      <c r="B12562" s="0" t="s">
        <v>98</v>
      </c>
      <c r="D12562" s="6" t="n">
        <f aca="false">(Sens!C12543+Sens!D12543)/2*rent_mw/1000</f>
        <v>2.44475</v>
      </c>
      <c r="E12562" s="6" t="n">
        <f aca="false">(Sens!D12543+Sens!E12543)/2*rent_mw/1000</f>
        <v>4.22275</v>
      </c>
      <c r="F12562" s="6" t="n">
        <f aca="false">(Sens!E12543+Sens!F12543)/2*rent_mw/1000</f>
        <v>5.80517</v>
      </c>
      <c r="G12562" s="6" t="n">
        <f aca="false">(Sens!F12543+Sens!G12543)/2*rent_mw/1000</f>
        <v>6.72084</v>
      </c>
      <c r="H12562" s="6" t="n">
        <f aca="false">(Sens!G12543+Sens!H12543)/2*rent_mw/1000</f>
        <v>6.72084</v>
      </c>
      <c r="I12562" s="6" t="n">
        <f aca="false">(Sens!H12543+Sens!I12543)/2*rent_mw/1000</f>
        <v>6.72084</v>
      </c>
      <c r="J12562" s="6" t="n">
        <f aca="false">(Sens!I12543+Sens!J12543)/2*rent_mw/1000</f>
        <v>6.72084</v>
      </c>
      <c r="K12562" s="6" t="n">
        <f aca="false">(Sens!J12543+Sens!K12543)/2*rent_mw/1000</f>
        <v>6.72084</v>
      </c>
    </row>
    <row r="12563" customFormat="false" ht="17.15" hidden="false" customHeight="false" outlineLevel="0" collapsed="false">
      <c r="A12563" s="0" t="s">
        <v>986</v>
      </c>
      <c r="B12563" s="0" t="s">
        <v>98</v>
      </c>
      <c r="D12563" s="6" t="n">
        <f aca="false">(Sens!C12545+Sens!D12545)/2*(1-self_build)*fac_rent/1000</f>
        <v>0.853242375631075</v>
      </c>
      <c r="E12563" s="6" t="n">
        <f aca="false">(Sens!D12545+Sens!E12545)/2*(1-self_build)*fac_rent/1000</f>
        <v>1.94955961408728</v>
      </c>
      <c r="F12563" s="6" t="n">
        <f aca="false">(Sens!E12545+Sens!F12545)/2*(1-self_build)*fac_rent/1000</f>
        <v>3.92914894476356</v>
      </c>
      <c r="G12563" s="6" t="n">
        <f aca="false">(Sens!F12545+Sens!G12545)/2*(1-self_build)*fac_rent/1000</f>
        <v>6.53206908578159</v>
      </c>
      <c r="H12563" s="6" t="n">
        <f aca="false">(Sens!G12545+Sens!H12545)/2*(1-self_build)*fac_rent/1000</f>
        <v>9.23717988341591</v>
      </c>
      <c r="I12563" s="6" t="n">
        <f aca="false">(Sens!H12545+Sens!I12545)/2*(1-self_build)*fac_rent/1000</f>
        <v>11.5481378557393</v>
      </c>
      <c r="J12563" s="6" t="n">
        <f aca="false">(Sens!I12545+Sens!J12545)/2*(1-self_build)*fac_rent/1000</f>
        <v>13.0899582289108</v>
      </c>
      <c r="K12563" s="6" t="n">
        <f aca="false">(Sens!J12545+Sens!K12545)/2*(1-self_build)*fac_rent/1000</f>
        <v>13.8897275626556</v>
      </c>
      <c r="L12563" s="12" t="s">
        <v>987</v>
      </c>
    </row>
    <row r="12564" customFormat="false" ht="17.15" hidden="false" customHeight="false" outlineLevel="0" collapsed="false">
      <c r="A12564" s="1" t="s">
        <v>988</v>
      </c>
      <c r="B12564" s="0" t="s">
        <v>168</v>
      </c>
      <c r="D12564" s="7" t="n">
        <f aca="false">(Sens!C12544+Sens!D12544)/(Sens!C12545+Sens!D12545)</f>
        <v>0.6</v>
      </c>
      <c r="E12564" s="7" t="n">
        <f aca="false">(Sens!D12544+Sens!E12544)/(Sens!D12545+Sens!E12545)</f>
        <v>0.6</v>
      </c>
      <c r="F12564" s="7" t="n">
        <f aca="false">(Sens!E12544+Sens!F12544)/(Sens!E12545+Sens!F12545)</f>
        <v>0.6</v>
      </c>
      <c r="G12564" s="7" t="n">
        <f aca="false">(Sens!F12544+Sens!G12544)/(Sens!F12545+Sens!G12545)</f>
        <v>0.6</v>
      </c>
      <c r="H12564" s="7" t="n">
        <f aca="false">(Sens!G12544+Sens!H12544)/(Sens!G12545+Sens!H12545)</f>
        <v>0.6</v>
      </c>
      <c r="I12564" s="7" t="n">
        <f aca="false">(Sens!H12544+Sens!I12544)/(Sens!H12545+Sens!I12545)</f>
        <v>0.6</v>
      </c>
      <c r="J12564" s="7" t="n">
        <f aca="false">(Sens!I12544+Sens!J12544)/(Sens!I12545+Sens!J12545)</f>
        <v>0.6</v>
      </c>
      <c r="K12564" s="7" t="n">
        <f aca="false">(Sens!J12544+Sens!K12544)/(Sens!J12545+Sens!K12545)</f>
        <v>0.6</v>
      </c>
    </row>
    <row r="12565" customFormat="false" ht="17.15" hidden="false" customHeight="false" outlineLevel="0" collapsed="false">
      <c r="A12565" s="0" t="s">
        <v>989</v>
      </c>
      <c r="B12565" s="0" t="s">
        <v>98</v>
      </c>
      <c r="D12565" s="6" t="n">
        <f aca="false">Sens!D12559-Sens!D12564*(Sens!D12561+Sens!D12563)-Sens!D12562</f>
        <v>8.35701406163072</v>
      </c>
      <c r="E12565" s="6" t="n">
        <f aca="false">Sens!E12559-Sens!E12564*(Sens!E12561+Sens!E12563)-Sens!E12562</f>
        <v>18.7103224860238</v>
      </c>
      <c r="F12565" s="6" t="n">
        <f aca="false">Sens!F12559-Sens!F12564*(Sens!F12561+Sens!F12563)-Sens!F12562</f>
        <v>35.0947222830189</v>
      </c>
      <c r="G12565" s="6" t="n">
        <f aca="false">Sens!G12559-Sens!G12564*(Sens!G12561+Sens!G12563)-Sens!G12562</f>
        <v>52.9609920712477</v>
      </c>
      <c r="H12565" s="6" t="n">
        <f aca="false">Sens!H12559-Sens!H12564*(Sens!H12561+Sens!H12563)-Sens!H12562</f>
        <v>66.4405822844005</v>
      </c>
      <c r="I12565" s="6" t="n">
        <f aca="false">Sens!I12559-Sens!I12564*(Sens!I12561+Sens!I12563)-Sens!I12562</f>
        <v>84.7749393938279</v>
      </c>
      <c r="J12565" s="6" t="n">
        <f aca="false">Sens!J12559-Sens!J12564*(Sens!J12561+Sens!J12563)-Sens!J12562</f>
        <v>97.6526264137382</v>
      </c>
      <c r="K12565" s="6" t="n">
        <f aca="false">Sens!K12559-Sens!K12564*(Sens!K12561+Sens!K12563)-Sens!K12562</f>
        <v>105.965358412527</v>
      </c>
    </row>
    <row r="12566" customFormat="false" ht="17.15" hidden="false" customHeight="false" outlineLevel="0" collapsed="false">
      <c r="A12566" s="1" t="s">
        <v>990</v>
      </c>
      <c r="B12566" s="0" t="s">
        <v>98</v>
      </c>
      <c r="D12566" s="6" t="n">
        <f aca="false">(1-Sens!D12564)*(Sens!D12561+Sens!D12563)</f>
        <v>1.42281025374069</v>
      </c>
      <c r="E12566" s="6" t="n">
        <f aca="false">(1-Sens!E12564)*(Sens!E12561+Sens!E12563)</f>
        <v>3.25095598674472</v>
      </c>
      <c r="F12566" s="6" t="n">
        <f aca="false">(1-Sens!F12564)*(Sens!F12561+Sens!F12563)</f>
        <v>6.72135810147489</v>
      </c>
      <c r="G12566" s="6" t="n">
        <f aca="false">(1-Sens!G12564)*(Sens!G12561+Sens!G12563)</f>
        <v>11.3401410201637</v>
      </c>
      <c r="H12566" s="6" t="n">
        <f aca="false">(1-Sens!H12564)*(Sens!H12561+Sens!H12563)</f>
        <v>16.1920771049557</v>
      </c>
      <c r="I12566" s="6" t="n">
        <f aca="false">(1-Sens!I12564)*(Sens!I12561+Sens!I12563)</f>
        <v>20.3917774400264</v>
      </c>
      <c r="J12566" s="6" t="n">
        <f aca="false">(1-Sens!J12564)*(Sens!J12561+Sens!J12563)</f>
        <v>23.2503960207104</v>
      </c>
      <c r="K12566" s="6" t="n">
        <f aca="false">(1-Sens!K12564)*(Sens!K12561+Sens!K12563)</f>
        <v>24.8730801087085</v>
      </c>
    </row>
    <row r="12567" customFormat="false" ht="17.15" hidden="false" customHeight="false" outlineLevel="0" collapsed="false">
      <c r="A12567" s="1" t="s">
        <v>991</v>
      </c>
      <c r="B12567" s="0" t="s">
        <v>417</v>
      </c>
      <c r="C12567" s="8" t="n">
        <f aca="false">cxit_open</f>
        <v>27.5918995</v>
      </c>
      <c r="D12567" s="8" t="n">
        <f aca="false">cxit_open</f>
        <v>27.5918995</v>
      </c>
      <c r="E12567" s="8" t="n">
        <f aca="false">cxit_open</f>
        <v>27.5918995</v>
      </c>
      <c r="F12567" s="8" t="n">
        <f aca="false">((a_g3_27-nonnv*a_mai)*tk_cxit_gb300+nonnv*a_mai*nv_hold_mai*tk_cxit_vr200+(1-a_g3_27)*tk_cxit_vr200)</f>
        <v>32.4975576</v>
      </c>
      <c r="G12567" s="8" t="n">
        <f aca="false">((a_g3_28-nonnv*a_mai)*tk_cxit_gb300+nonnv*a_mai*nv_hold_mai*tk_cxit_vr200+(1-a_g3_28)*tk_cxit_vr200)</f>
        <v>34.6372088</v>
      </c>
      <c r="H12567" s="8" t="n">
        <f aca="false">((a_g3_29-nonnv*a_mai)*tk_cxit_gb300+nonnv*a_mai*nv_hold_mai*tk_cxit_vr200+(1-a_g3_29)*tk_cxit_vr200)</f>
        <v>35.7070344</v>
      </c>
      <c r="I12567" s="8" t="n">
        <f aca="false">((a_g3_29-nonnv*a_mai)*tk_cxit_gb300+nonnv*a_mai*nv_hold_mai*tk_cxit_vr200+(1-a_g3_29)*tk_cxit_vr200)</f>
        <v>35.7070344</v>
      </c>
      <c r="J12567" s="8" t="n">
        <f aca="false">((a_g3_29-nonnv*a_mai)*tk_cxit_gb300+nonnv*a_mai*nv_hold_mai*tk_cxit_vr200+(1-a_g3_29)*tk_cxit_vr200)</f>
        <v>35.7070344</v>
      </c>
      <c r="K12567" s="8" t="n">
        <f aca="false">((a_g3_29-nonnv*a_mai)*tk_cxit_gb300+nonnv*a_mai*nv_hold_mai*tk_cxit_vr200+(1-a_g3_29)*tk_cxit_vr200)</f>
        <v>35.7070344</v>
      </c>
      <c r="L12567" s="12" t="s">
        <v>992</v>
      </c>
    </row>
    <row r="12568" customFormat="false" ht="17.15" hidden="false" customHeight="false" outlineLevel="0" collapsed="false">
      <c r="A12568" s="0" t="s">
        <v>993</v>
      </c>
      <c r="B12568" s="0" t="s">
        <v>459</v>
      </c>
      <c r="F12568" s="30" t="n">
        <f aca="false">Sens!C12547*IF(Sens!F12540-Sens!C12540=life_it,1,0)+Sens!D12547*IF(Sens!F12540-Sens!D12540=life_it,1,0)+Sens!E12547*IF(Sens!F12540-Sens!E12540=life_it,1,0)</f>
        <v>0</v>
      </c>
      <c r="G12568" s="30" t="n">
        <f aca="false">Sens!C12547*IF(Sens!G12540-Sens!C12540=life_it,1,0)+Sens!D12547*IF(Sens!G12540-Sens!D12540=life_it,1,0)+Sens!E12547*IF(Sens!G12540-Sens!E12540=life_it,1,0)+Sens!F12547*IF(Sens!G12540-Sens!F12540=life_it,1,0)</f>
        <v>0</v>
      </c>
      <c r="H12568" s="30" t="n">
        <f aca="false">Sens!C12547*IF(Sens!H12540-Sens!C12540=life_it,1,0)+Sens!D12547*IF(Sens!H12540-Sens!D12540=life_it,1,0)+Sens!E12547*IF(Sens!H12540-Sens!E12540=life_it,1,0)+Sens!F12547*IF(Sens!H12540-Sens!F12540=life_it,1,0)+Sens!G12547*IF(Sens!H12540-Sens!G12540=life_it,1,0)</f>
        <v>0</v>
      </c>
      <c r="I12568" s="30" t="n">
        <f aca="false">Sens!C12547*IF(Sens!I12540-Sens!C12540=life_it,1,0)+Sens!D12547*IF(Sens!I12540-Sens!D12540=life_it,1,0)+Sens!E12547*IF(Sens!I12540-Sens!E12540=life_it,1,0)+Sens!F12547*IF(Sens!I12540-Sens!F12540=life_it,1,0)+Sens!G12547*IF(Sens!I12540-Sens!G12540=life_it,1,0)+Sens!H12547*IF(Sens!I12540-Sens!H12540=life_it,1,0)</f>
        <v>816.666666666667</v>
      </c>
      <c r="J12568" s="30" t="n">
        <f aca="false">Sens!C12547*IF(Sens!J12540-Sens!C12540=life_it,1,0)+Sens!D12547*IF(Sens!J12540-Sens!D12540=life_it,1,0)+Sens!E12547*IF(Sens!J12540-Sens!E12540=life_it,1,0)+Sens!F12547*IF(Sens!J12540-Sens!F12540=life_it,1,0)+Sens!G12547*IF(Sens!J12540-Sens!G12540=life_it,1,0)+Sens!H12547*IF(Sens!J12540-Sens!H12540=life_it,1,0)+Sens!I12547*IF(Sens!J12540-Sens!I12540=life_it,1,0)</f>
        <v>1233.33333333333</v>
      </c>
      <c r="K12568" s="30" t="n">
        <f aca="false">Sens!C12547*IF(Sens!K12540-Sens!C12540=life_it,1,0)+Sens!D12547*IF(Sens!K12540-Sens!D12540=life_it,1,0)+Sens!E12547*IF(Sens!K12540-Sens!E12540=life_it,1,0)+Sens!F12547*IF(Sens!K12540-Sens!F12540=life_it,1,0)+Sens!G12547*IF(Sens!K12540-Sens!G12540=life_it,1,0)+Sens!H12547*IF(Sens!K12540-Sens!H12540=life_it,1,0)+Sens!I12547*IF(Sens!K12540-Sens!I12540=life_it,1,0)+Sens!J12547*IF(Sens!K12540-Sens!J12540=life_it,1,0)</f>
        <v>2450</v>
      </c>
      <c r="L12568" s="1" t="s">
        <v>994</v>
      </c>
    </row>
    <row r="12569" customFormat="false" ht="17.15" hidden="false" customHeight="false" outlineLevel="0" collapsed="false">
      <c r="A12569" s="0" t="s">
        <v>995</v>
      </c>
      <c r="B12569" s="0" t="s">
        <v>98</v>
      </c>
      <c r="C12569" s="6" t="n">
        <f aca="false">Sens!C12547*Sens!C12567/1000</f>
        <v>22.5333845916667</v>
      </c>
      <c r="D12569" s="6" t="n">
        <f aca="false">Sens!D12547*Sens!D12567/1000</f>
        <v>34.0300093833333</v>
      </c>
      <c r="E12569" s="6" t="n">
        <f aca="false">Sens!E12547*Sens!E12567/1000</f>
        <v>67.600153775</v>
      </c>
      <c r="F12569" s="6" t="n">
        <f aca="false">(Sens!F12547+Sens!F12568)*Sens!F12567/1000</f>
        <v>136.51872432512</v>
      </c>
      <c r="G12569" s="6" t="n">
        <f aca="false">(Sens!G12547+Sens!G12568)*Sens!G12567/1000</f>
        <v>157.399275932048</v>
      </c>
      <c r="H12569" s="6" t="n">
        <f aca="false">(Sens!H12547+Sens!H12568)*Sens!H12567/1000</f>
        <v>162.260804347512</v>
      </c>
      <c r="I12569" s="6" t="n">
        <f aca="false">(Sens!I12547+Sens!I12568)*Sens!I12567/1000</f>
        <v>144.136569485434</v>
      </c>
      <c r="J12569" s="6" t="n">
        <f aca="false">(Sens!J12547+Sens!J12568)*Sens!J12567/1000</f>
        <v>114.029037357864</v>
      </c>
      <c r="K12569" s="6" t="n">
        <f aca="false">(Sens!K12547+Sens!K12568)*Sens!K12567/1000</f>
        <v>113.437085350975</v>
      </c>
    </row>
    <row r="12570" customFormat="false" ht="17.15" hidden="false" customHeight="false" outlineLevel="0" collapsed="false">
      <c r="A12570" s="0" t="s">
        <v>996</v>
      </c>
      <c r="B12570" s="0" t="s">
        <v>98</v>
      </c>
      <c r="C12570" s="6" t="n">
        <f aca="false">Sens!C12547*self_build*tk_cxfac/1000</f>
        <v>6.2083</v>
      </c>
      <c r="D12570" s="6" t="n">
        <f aca="false">Sens!D12547*self_build*tk_cxfac/1000</f>
        <v>9.3758</v>
      </c>
      <c r="E12570" s="6" t="n">
        <f aca="false">Sens!E12547*self_build*tk_cxfac/1000</f>
        <v>18.6249</v>
      </c>
      <c r="F12570" s="6" t="n">
        <f aca="false">Sens!F12547*self_build*tk_cxfac/1000</f>
        <v>31.935179717</v>
      </c>
      <c r="G12570" s="6" t="n">
        <f aca="false">Sens!G12547*self_build*tk_cxfac/1000</f>
        <v>34.545199717</v>
      </c>
      <c r="H12570" s="6" t="n">
        <f aca="false">Sens!H12547*self_build*tk_cxfac/1000</f>
        <v>34.545199717</v>
      </c>
      <c r="I12570" s="6" t="n">
        <f aca="false">Sens!I12547*self_build*tk_cxfac/1000</f>
        <v>24.4782641361767</v>
      </c>
      <c r="J12570" s="6" t="n">
        <f aca="false">Sens!J12547*self_build*tk_cxfac/1000</f>
        <v>14.9008938380769</v>
      </c>
      <c r="K12570" s="6" t="n">
        <f aca="false">Sens!K12547*self_build*tk_cxfac/1000</f>
        <v>5.52576771375761</v>
      </c>
    </row>
    <row r="12571" customFormat="false" ht="17.15" hidden="false" customHeight="false" outlineLevel="0" collapsed="false">
      <c r="A12571" s="0" t="s">
        <v>997</v>
      </c>
      <c r="B12571" s="0" t="s">
        <v>98</v>
      </c>
      <c r="F12571" s="15" t="n">
        <f aca="false">capex_floor27-Sens!F12569-Sens!F12570-Sens!F12667</f>
        <v>-0.0824054154216043</v>
      </c>
      <c r="L12571" s="12" t="s">
        <v>998</v>
      </c>
    </row>
    <row r="12572" customFormat="false" ht="17.15" hidden="false" customHeight="false" outlineLevel="0" collapsed="false">
      <c r="A12572" s="0" t="s">
        <v>999</v>
      </c>
      <c r="B12572" s="0" t="s">
        <v>98</v>
      </c>
      <c r="F12572" s="6" t="n">
        <f aca="false">MAX(0,Sens!F12571)</f>
        <v>0</v>
      </c>
    </row>
    <row r="12573" customFormat="false" ht="17.15" hidden="false" customHeight="false" outlineLevel="0" collapsed="false">
      <c r="A12573" s="0" t="s">
        <v>1000</v>
      </c>
      <c r="B12573" s="0" t="s">
        <v>98</v>
      </c>
      <c r="C12573" s="6" t="n">
        <f aca="false">Sens!C12569</f>
        <v>22.5333845916667</v>
      </c>
      <c r="D12573" s="6" t="n">
        <f aca="false">Sens!D12569</f>
        <v>34.0300093833333</v>
      </c>
      <c r="E12573" s="6" t="n">
        <f aca="false">Sens!E12569</f>
        <v>67.600153775</v>
      </c>
      <c r="F12573" s="6" t="n">
        <f aca="false">Sens!F12569</f>
        <v>136.51872432512</v>
      </c>
      <c r="G12573" s="6" t="n">
        <f aca="false">Sens!G12569</f>
        <v>157.399275932048</v>
      </c>
      <c r="H12573" s="6" t="n">
        <f aca="false">Sens!H12569</f>
        <v>162.260804347512</v>
      </c>
      <c r="I12573" s="6" t="n">
        <f aca="false">Sens!I12569</f>
        <v>144.136569485434</v>
      </c>
      <c r="J12573" s="6" t="n">
        <f aca="false">Sens!J12569</f>
        <v>114.029037357864</v>
      </c>
      <c r="K12573" s="6" t="n">
        <f aca="false">Sens!K12569</f>
        <v>113.437085350975</v>
      </c>
    </row>
    <row r="12574" customFormat="false" ht="17.15" hidden="false" customHeight="false" outlineLevel="0" collapsed="false">
      <c r="A12574" s="0" t="s">
        <v>1001</v>
      </c>
      <c r="B12574" s="0" t="s">
        <v>98</v>
      </c>
      <c r="C12574" s="6" t="n">
        <f aca="false">Sens!C12573+Sens!C12570</f>
        <v>28.7416845916667</v>
      </c>
      <c r="D12574" s="6" t="n">
        <f aca="false">Sens!D12573+Sens!D12570</f>
        <v>43.4058093833333</v>
      </c>
      <c r="E12574" s="6" t="n">
        <f aca="false">Sens!E12573+Sens!E12570</f>
        <v>86.225053775</v>
      </c>
      <c r="F12574" s="6" t="n">
        <f aca="false">Sens!F12573+Sens!F12570</f>
        <v>168.45390404212</v>
      </c>
      <c r="G12574" s="6" t="n">
        <f aca="false">Sens!G12573+Sens!G12570</f>
        <v>191.944475649048</v>
      </c>
      <c r="H12574" s="6" t="n">
        <f aca="false">Sens!H12573+Sens!H12570</f>
        <v>196.806004064512</v>
      </c>
      <c r="I12574" s="6" t="n">
        <f aca="false">Sens!I12573+Sens!I12570</f>
        <v>168.61483362161</v>
      </c>
      <c r="J12574" s="6" t="n">
        <f aca="false">Sens!J12573+Sens!J12570</f>
        <v>128.92993119594</v>
      </c>
      <c r="K12574" s="6" t="n">
        <f aca="false">Sens!K12573+Sens!K12570</f>
        <v>118.962853064733</v>
      </c>
      <c r="L12574" s="12" t="s">
        <v>1002</v>
      </c>
    </row>
    <row r="12575" customFormat="false" ht="17.15" hidden="false" customHeight="false" outlineLevel="0" collapsed="false">
      <c r="A12575" s="0" t="s">
        <v>1003</v>
      </c>
      <c r="B12575" s="0" t="s">
        <v>98</v>
      </c>
      <c r="E12575" s="6" t="n">
        <f aca="false">(Sens!C12573*IF(2&lt;life_it,1,IF(2=life_it,0.5,0))+Sens!D12573*IF(1&lt;life_it,1,IF(1=life_it,0.5,0))+Sens!E12573*0.5)/life_it</f>
        <v>15.0605784770833</v>
      </c>
      <c r="F12575" s="6" t="n">
        <f aca="false">(Sens!C12573*IF(3&lt;life_it,1,IF(3=life_it,0.5,0))+Sens!D12573*IF(2&lt;life_it,1,IF(2=life_it,0.5,0))+Sens!E12573*IF(1&lt;life_it,1,IF(1=life_it,0.5,0))+Sens!F12573*0.5)/life_it</f>
        <v>32.0704849854266</v>
      </c>
      <c r="G12575" s="6" t="n">
        <f aca="false">(Sens!C12573*IF(4&lt;life_it,1,IF(4=life_it,0.5,0))+Sens!D12573*IF(3&lt;life_it,1,IF(3=life_it,0.5,0))+Sens!E12573*IF(2&lt;life_it,1,IF(2=life_it,0.5,0))+Sens!F12573*IF(1&lt;life_it,1,IF(1=life_it,0.5,0))+Sens!G12573*0.5)/life_it</f>
        <v>56.5636516735239</v>
      </c>
      <c r="H12575" s="6" t="n">
        <f aca="false">(Sens!C12573*IF(5&lt;life_it,1,IF(5=life_it,0.5,0))+Sens!D12573*IF(4&lt;life_it,1,IF(4=life_it,0.5,0))+Sens!E12573*IF(3&lt;life_it,1,IF(3=life_it,0.5,0))+Sens!F12573*IF(2&lt;life_it,1,IF(2=life_it,0.5,0))+Sens!G12573*IF(1&lt;life_it,1,IF(1=life_it,0.5,0))+Sens!H12573*0.5)/life_it</f>
        <v>83.2019916968207</v>
      </c>
      <c r="I12575" s="6" t="n">
        <f aca="false">(Sens!C12573*IF(6&lt;life_it,1,IF(6=life_it,0.5,0))+Sens!D12573*IF(5&lt;life_it,1,IF(5=life_it,0.5,0))+Sens!E12573*IF(4&lt;life_it,1,IF(4=life_it,0.5,0))+Sens!F12573*IF(3&lt;life_it,1,IF(3=life_it,0.5,0))+Sens!G12573*IF(2&lt;life_it,1,IF(2=life_it,0.5,0))+Sens!H12573*IF(1&lt;life_it,1,IF(1=life_it,0.5,0))+Sens!I12573*0.5)/life_it</f>
        <v>106.857324133594</v>
      </c>
      <c r="J12575" s="6" t="n">
        <f aca="false">(Sens!C12573*IF(7&lt;life_it,1,IF(7=life_it,0.5,0))+Sens!D12573*IF(6&lt;life_it,1,IF(6=life_it,0.5,0))+Sens!E12573*IF(5&lt;life_it,1,IF(5=life_it,0.5,0))+Sens!F12573*IF(4&lt;life_it,1,IF(4=life_it,0.5,0))+Sens!G12573*IF(3&lt;life_it,1,IF(3=life_it,0.5,0))+Sens!H12573*IF(2&lt;life_it,1,IF(2=life_it,0.5,0))+Sens!I12573*IF(1&lt;life_it,1,IF(1=life_it,0.5,0))+Sens!J12573*0.5)/life_it</f>
        <v>123.657508539285</v>
      </c>
      <c r="K12575" s="6" t="n">
        <f aca="false">(Sens!C12573*IF(8&lt;life_it,1,IF(8=life_it,0.5,0))+Sens!D12573*IF(7&lt;life_it,1,IF(7=life_it,0.5,0))+Sens!E12573*IF(6&lt;life_it,1,IF(6=life_it,0.5,0))+Sens!F12573*IF(5&lt;life_it,1,IF(5=life_it,0.5,0))+Sens!G12573*IF(4&lt;life_it,1,IF(4=life_it,0.5,0))+Sens!H12573*IF(3&lt;life_it,1,IF(3=life_it,0.5,0))+Sens!I12573*IF(2&lt;life_it,1,IF(2=life_it,0.5,0))+Sens!J12573*IF(1&lt;life_it,1,IF(1=life_it,0.5,0))+Sens!K12573*0.5)/life_it</f>
        <v>134.143838501827</v>
      </c>
    </row>
    <row r="12576" customFormat="false" ht="17.15" hidden="false" customHeight="false" outlineLevel="0" collapsed="false">
      <c r="A12576" s="0" t="s">
        <v>1004</v>
      </c>
      <c r="B12576" s="0" t="s">
        <v>98</v>
      </c>
      <c r="E12576" s="6" t="n">
        <f aca="false">(Sens!C12570*IF(2&lt;life_fac,1,IF(2=life_fac,0.5,0))+Sens!D12570*IF(1&lt;life_fac,1,IF(1=life_fac,0.5,0))+Sens!E12570*0.5)/life_fac</f>
        <v>1.2448275</v>
      </c>
      <c r="F12576" s="6" t="n">
        <f aca="false">(Sens!C12570*IF(3&lt;life_fac,1,IF(3=life_fac,0.5,0))+Sens!D12570*IF(2&lt;life_fac,1,IF(2=life_fac,0.5,0))+Sens!E12570*IF(1&lt;life_fac,1,IF(1=life_fac,0.5,0))+Sens!F12570*0.5)/life_fac</f>
        <v>2.508829492925</v>
      </c>
      <c r="G12576" s="6" t="n">
        <f aca="false">(Sens!C12570*IF(4&lt;life_fac,1,IF(4=life_fac,0.5,0))+Sens!D12570*IF(3&lt;life_fac,1,IF(3=life_fac,0.5,0))+Sens!E12570*IF(2&lt;life_fac,1,IF(2=life_fac,0.5,0))+Sens!F12570*IF(1&lt;life_fac,1,IF(1=life_fac,0.5,0))+Sens!G12570*0.5)/life_fac</f>
        <v>4.170838978775</v>
      </c>
      <c r="H12576" s="6" t="n">
        <f aca="false">(Sens!C12570*IF(5&lt;life_fac,1,IF(5=life_fac,0.5,0))+Sens!D12570*IF(4&lt;life_fac,1,IF(4=life_fac,0.5,0))+Sens!E12570*IF(3&lt;life_fac,1,IF(3=life_fac,0.5,0))+Sens!F12570*IF(2&lt;life_fac,1,IF(2=life_fac,0.5,0))+Sens!G12570*IF(1&lt;life_fac,1,IF(1=life_fac,0.5,0))+Sens!H12570*0.5)/life_fac</f>
        <v>5.898098964625</v>
      </c>
      <c r="I12576" s="6" t="n">
        <f aca="false">(Sens!C12570*IF(6&lt;life_fac,1,IF(6=life_fac,0.5,0))+Sens!D12570*IF(5&lt;life_fac,1,IF(5=life_fac,0.5,0))+Sens!E12570*IF(4&lt;life_fac,1,IF(4=life_fac,0.5,0))+Sens!F12570*IF(3&lt;life_fac,1,IF(3=life_fac,0.5,0))+Sens!G12570*IF(2&lt;life_fac,1,IF(2=life_fac,0.5,0))+Sens!H12570*IF(1&lt;life_fac,1,IF(1=life_fac,0.5,0))+Sens!I12570*0.5)/life_fac</f>
        <v>7.37368556095442</v>
      </c>
      <c r="J12576" s="6" t="n">
        <f aca="false">(Sens!C12570*IF(7&lt;life_fac,1,IF(7=life_fac,0.5,0))+Sens!D12570*IF(6&lt;life_fac,1,IF(6=life_fac,0.5,0))+Sens!E12570*IF(5&lt;life_fac,1,IF(5=life_fac,0.5,0))+Sens!F12570*IF(4&lt;life_fac,1,IF(4=life_fac,0.5,0))+Sens!G12570*IF(3&lt;life_fac,1,IF(3=life_fac,0.5,0))+Sens!H12570*IF(2&lt;life_fac,1,IF(2=life_fac,0.5,0))+Sens!I12570*IF(1&lt;life_fac,1,IF(1=life_fac,0.5,0))+Sens!J12570*0.5)/life_fac</f>
        <v>8.35816451031075</v>
      </c>
      <c r="K12576" s="6" t="n">
        <f aca="false">(Sens!C12570*IF(8&lt;life_fac,1,IF(8=life_fac,0.5,0))+Sens!D12570*IF(7&lt;life_fac,1,IF(7=life_fac,0.5,0))+Sens!E12570*IF(6&lt;life_fac,1,IF(6=life_fac,0.5,0))+Sens!F12570*IF(5&lt;life_fac,1,IF(5=life_fac,0.5,0))+Sens!G12570*IF(4&lt;life_fac,1,IF(4=life_fac,0.5,0))+Sens!H12570*IF(3&lt;life_fac,1,IF(3=life_fac,0.5,0))+Sens!I12570*IF(2&lt;life_fac,1,IF(2=life_fac,0.5,0))+Sens!J12570*IF(1&lt;life_fac,1,IF(1=life_fac,0.5,0))+Sens!K12570*0.5)/life_fac</f>
        <v>8.86883104910662</v>
      </c>
    </row>
    <row r="12577" customFormat="false" ht="17.15" hidden="false" customHeight="false" outlineLevel="0" collapsed="false">
      <c r="A12577" s="0" t="s">
        <v>1005</v>
      </c>
      <c r="B12577" s="0" t="s">
        <v>98</v>
      </c>
      <c r="E12577" s="6" t="n">
        <f aca="false">Sens!E12575+Sens!E12576</f>
        <v>16.3054059770833</v>
      </c>
      <c r="F12577" s="6" t="n">
        <f aca="false">Sens!F12575+Sens!F12576</f>
        <v>34.5793144783516</v>
      </c>
      <c r="G12577" s="6" t="n">
        <f aca="false">Sens!G12575+Sens!G12576</f>
        <v>60.7344906522989</v>
      </c>
      <c r="H12577" s="6" t="n">
        <f aca="false">Sens!H12575+Sens!H12576</f>
        <v>89.1000906614457</v>
      </c>
      <c r="I12577" s="6" t="n">
        <f aca="false">Sens!I12575+Sens!I12576</f>
        <v>114.231009694548</v>
      </c>
      <c r="J12577" s="6" t="n">
        <f aca="false">Sens!J12575+Sens!J12576</f>
        <v>132.015673049596</v>
      </c>
      <c r="K12577" s="6" t="n">
        <f aca="false">Sens!K12575+Sens!K12576</f>
        <v>143.012669550934</v>
      </c>
    </row>
    <row r="12578" customFormat="false" ht="17.15" hidden="false" customHeight="false" outlineLevel="0" collapsed="false">
      <c r="A12578" s="0" t="s">
        <v>1006</v>
      </c>
      <c r="B12578" s="0" t="s">
        <v>98</v>
      </c>
      <c r="E12578" s="6" t="n">
        <f aca="false">Sens!E12565-Sens!E12564*Sens!E12577</f>
        <v>8.92707889977379</v>
      </c>
      <c r="F12578" s="6" t="n">
        <f aca="false">Sens!F12565-Sens!F12564*Sens!F12577</f>
        <v>14.3471335960079</v>
      </c>
      <c r="G12578" s="6" t="n">
        <f aca="false">Sens!G12565-Sens!G12564*Sens!G12577</f>
        <v>16.5202976798683</v>
      </c>
      <c r="H12578" s="6" t="n">
        <f aca="false">Sens!H12565-Sens!H12564*Sens!H12577</f>
        <v>12.9805278875331</v>
      </c>
      <c r="I12578" s="6" t="n">
        <f aca="false">Sens!I12565-Sens!I12564*Sens!I12577</f>
        <v>16.2363335770989</v>
      </c>
      <c r="J12578" s="6" t="n">
        <f aca="false">Sens!J12565-Sens!J12564*Sens!J12577</f>
        <v>18.4432225839805</v>
      </c>
      <c r="K12578" s="6" t="n">
        <f aca="false">Sens!K12565-Sens!K12564*Sens!K12577</f>
        <v>20.1577566819661</v>
      </c>
    </row>
    <row r="12579" customFormat="false" ht="17.15" hidden="false" customHeight="false" outlineLevel="0" collapsed="false">
      <c r="A12579" s="3" t="s">
        <v>1926</v>
      </c>
    </row>
    <row r="12580" customFormat="false" ht="15" hidden="false" customHeight="false" outlineLevel="0" collapsed="false">
      <c r="A12580" s="4" t="s">
        <v>43</v>
      </c>
      <c r="B12580" s="4" t="s">
        <v>65</v>
      </c>
      <c r="C12580" s="23" t="s">
        <v>942</v>
      </c>
      <c r="D12580" s="23" t="s">
        <v>943</v>
      </c>
      <c r="E12580" s="23" t="s">
        <v>944</v>
      </c>
      <c r="F12580" s="23" t="s">
        <v>945</v>
      </c>
      <c r="G12580" s="23" t="s">
        <v>946</v>
      </c>
      <c r="H12580" s="23" t="s">
        <v>947</v>
      </c>
      <c r="I12580" s="23" t="s">
        <v>948</v>
      </c>
      <c r="J12580" s="23" t="s">
        <v>949</v>
      </c>
      <c r="K12580" s="23" t="s">
        <v>950</v>
      </c>
      <c r="L12580" s="4" t="s">
        <v>47</v>
      </c>
    </row>
    <row r="12581" customFormat="false" ht="17.15" hidden="false" customHeight="false" outlineLevel="0" collapsed="false">
      <c r="A12581" s="0" t="s">
        <v>1025</v>
      </c>
      <c r="B12581" s="0" t="s">
        <v>98</v>
      </c>
      <c r="D12581" s="6" t="n">
        <f aca="false">Sens!D12559</f>
        <v>12.9359794422418</v>
      </c>
      <c r="E12581" s="6" t="n">
        <f aca="false">Sens!E12559</f>
        <v>27.8095064661409</v>
      </c>
      <c r="F12581" s="6" t="n">
        <f aca="false">Sens!F12559</f>
        <v>50.9819294352312</v>
      </c>
      <c r="G12581" s="6" t="n">
        <f aca="false">Sens!G12559</f>
        <v>76.6920436014933</v>
      </c>
      <c r="H12581" s="6" t="n">
        <f aca="false">Sens!H12559</f>
        <v>97.4495379418341</v>
      </c>
      <c r="I12581" s="6" t="n">
        <f aca="false">Sens!I12559</f>
        <v>122.083445553868</v>
      </c>
      <c r="J12581" s="6" t="n">
        <f aca="false">Sens!J12559</f>
        <v>139.249060444804</v>
      </c>
      <c r="K12581" s="6" t="n">
        <f aca="false">Sens!K12559</f>
        <v>149.995818575589</v>
      </c>
    </row>
    <row r="12582" customFormat="false" ht="17.15" hidden="false" customHeight="false" outlineLevel="0" collapsed="false">
      <c r="A12582" s="0" t="s">
        <v>1026</v>
      </c>
      <c r="B12582" s="0" t="s">
        <v>98</v>
      </c>
      <c r="D12582" s="6" t="n">
        <f aca="false">Q!L6-Sens!D12581</f>
        <v>59.6740205577583</v>
      </c>
      <c r="E12582" s="6" t="n">
        <f aca="false">Q!M6-Sens!E12581</f>
        <v>74.1284935338591</v>
      </c>
      <c r="F12582" s="6" t="n">
        <f aca="false">Q!$I$6+(Sens!F12581+Sens!E12582*(1+Sens!F12583))*(1-Q!$E$6/Q!M6)-Sens!F12581</f>
        <v>92.2699541184664</v>
      </c>
      <c r="G12582" s="6" t="n">
        <f aca="false">Sens!F12582*(1+Sens!G12583)</f>
        <v>109.630477277949</v>
      </c>
      <c r="H12582" s="6" t="n">
        <f aca="false">Sens!G12582*(1+Sens!H12583)</f>
        <v>127.293256321956</v>
      </c>
      <c r="I12582" s="6" t="n">
        <f aca="false">Sens!H12582*(1+Sens!I12583)</f>
        <v>144.360052269491</v>
      </c>
      <c r="J12582" s="6" t="n">
        <f aca="false">Sens!I12582*(1+Sens!J12583)</f>
        <v>159.811964490216</v>
      </c>
      <c r="K12582" s="6" t="n">
        <f aca="false">Sens!J12582*(1+Sens!K12583)</f>
        <v>172.596921649434</v>
      </c>
      <c r="L12582" s="12" t="s">
        <v>1027</v>
      </c>
    </row>
    <row r="12583" customFormat="false" ht="15" hidden="false" customHeight="false" outlineLevel="0" collapsed="false">
      <c r="A12583" s="1" t="s">
        <v>1028</v>
      </c>
      <c r="B12583" s="0" t="s">
        <v>168</v>
      </c>
      <c r="E12583" s="7" t="n">
        <f aca="false">Sens!E12582/Sens!D12582-1</f>
        <v>0.242223883039864</v>
      </c>
      <c r="F12583" s="7" t="n">
        <f aca="false">Sens!$E$12583+(glt_azo-Sens!$E$12583)*MIN(1,(Sens!F12540-base_fy)/n_conv)</f>
        <v>0.215186569199887</v>
      </c>
      <c r="G12583" s="7" t="n">
        <f aca="false">Sens!$E$12583+(glt_azo-Sens!$E$12583)*MIN(1,(Sens!G12540-base_fy)/n_conv)</f>
        <v>0.18814925535991</v>
      </c>
      <c r="H12583" s="7" t="n">
        <f aca="false">Sens!$E$12583+(glt_azo-Sens!$E$12583)*MIN(1,(Sens!H12540-base_fy)/n_conv)</f>
        <v>0.161111941519932</v>
      </c>
      <c r="I12583" s="7" t="n">
        <f aca="false">Sens!$E$12583+(glt_azo-Sens!$E$12583)*MIN(1,(Sens!I12540-base_fy)/n_conv)</f>
        <v>0.134074627679955</v>
      </c>
      <c r="J12583" s="7" t="n">
        <f aca="false">Sens!$E$12583+(glt_azo-Sens!$E$12583)*MIN(1,(Sens!J12540-base_fy)/n_conv)</f>
        <v>0.107037313839977</v>
      </c>
      <c r="K12583" s="7" t="n">
        <f aca="false">Sens!$E$12583+(glt_azo-Sens!$E$12583)*MIN(1,(Sens!K12540-base_fy)/n_conv)</f>
        <v>0.08</v>
      </c>
    </row>
    <row r="12584" customFormat="false" ht="15" hidden="false" customHeight="false" outlineLevel="0" collapsed="false">
      <c r="A12584" s="0" t="s">
        <v>1029</v>
      </c>
      <c r="B12584" s="0" t="s">
        <v>98</v>
      </c>
      <c r="D12584" s="6" t="n">
        <f aca="false">Sens!D12581+Sens!D12582</f>
        <v>72.61</v>
      </c>
      <c r="E12584" s="6" t="n">
        <f aca="false">Sens!E12581+Sens!E12582</f>
        <v>101.938</v>
      </c>
      <c r="F12584" s="6" t="n">
        <f aca="false">Sens!F12581+Sens!F12582</f>
        <v>143.251883553698</v>
      </c>
      <c r="G12584" s="6" t="n">
        <f aca="false">Sens!G12581+Sens!G12582</f>
        <v>186.322520879442</v>
      </c>
      <c r="H12584" s="6" t="n">
        <f aca="false">Sens!H12581+Sens!H12582</f>
        <v>224.74279426379</v>
      </c>
      <c r="I12584" s="6" t="n">
        <f aca="false">Sens!I12581+Sens!I12582</f>
        <v>266.443497823359</v>
      </c>
      <c r="J12584" s="6" t="n">
        <f aca="false">Sens!J12581+Sens!J12582</f>
        <v>299.06102493502</v>
      </c>
      <c r="K12584" s="6" t="n">
        <f aca="false">Sens!K12581+Sens!K12582</f>
        <v>322.592740225023</v>
      </c>
    </row>
    <row r="12585" customFormat="false" ht="17.15" hidden="false" customHeight="false" outlineLevel="0" collapsed="false">
      <c r="A12585" s="0" t="s">
        <v>1030</v>
      </c>
      <c r="B12585" s="1" t="s">
        <v>613</v>
      </c>
      <c r="C12585" s="30" t="n">
        <f aca="false">cop_s24</f>
        <v>1</v>
      </c>
      <c r="D12585" s="30" t="n">
        <f aca="false">cop_s25</f>
        <v>5</v>
      </c>
      <c r="E12585" s="30" t="n">
        <f aca="false">cop_s26</f>
        <v>30</v>
      </c>
      <c r="F12585" s="30" t="n">
        <f aca="false">Sens!E12585+cop_add_C</f>
        <v>40</v>
      </c>
      <c r="G12585" s="30" t="n">
        <f aca="false">Sens!F12585+cop_add_C</f>
        <v>50</v>
      </c>
      <c r="H12585" s="30" t="n">
        <f aca="false">Sens!G12585+cop_add_C</f>
        <v>60</v>
      </c>
      <c r="I12585" s="30" t="n">
        <f aca="false">Sens!H12585+cop_add_C*cop_tail</f>
        <v>65</v>
      </c>
      <c r="J12585" s="30" t="n">
        <f aca="false">Sens!I12585+cop_add_C*cop_tail</f>
        <v>70</v>
      </c>
      <c r="K12585" s="30" t="n">
        <f aca="false">Sens!J12585+cop_add_C*cop_tail</f>
        <v>75</v>
      </c>
      <c r="L12585" s="12" t="s">
        <v>1031</v>
      </c>
    </row>
    <row r="12586" customFormat="false" ht="17.15" hidden="false" customHeight="false" outlineLevel="0" collapsed="false">
      <c r="A12586" s="0" t="s">
        <v>1032</v>
      </c>
      <c r="B12586" s="0" t="s">
        <v>98</v>
      </c>
      <c r="D12586" s="6" t="n">
        <f aca="false">(Sens!C12585+Sens!D12585)/2*cop_px*12/1000</f>
        <v>0.9</v>
      </c>
      <c r="E12586" s="6" t="n">
        <f aca="false">(Sens!D12585+Sens!E12585)/2*cop_px*12/1000</f>
        <v>5.25</v>
      </c>
      <c r="F12586" s="6" t="n">
        <f aca="false">(Sens!E12585+Sens!F12585)/2*cop_px*12/1000</f>
        <v>10.5</v>
      </c>
      <c r="G12586" s="6" t="n">
        <f aca="false">(Sens!F12585+Sens!G12585)/2*cop_px*12/1000</f>
        <v>13.5</v>
      </c>
      <c r="H12586" s="6" t="n">
        <f aca="false">(Sens!G12585+Sens!H12585)/2*cop_px*12/1000</f>
        <v>16.5</v>
      </c>
      <c r="I12586" s="6" t="n">
        <f aca="false">(Sens!H12585+Sens!I12585)/2*cop_px*12/1000</f>
        <v>18.75</v>
      </c>
      <c r="J12586" s="6" t="n">
        <f aca="false">(Sens!I12585+Sens!J12585)/2*cop_px*12/1000</f>
        <v>20.25</v>
      </c>
      <c r="K12586" s="6" t="n">
        <f aca="false">(Sens!J12585+Sens!K12585)/2*cop_px*12/1000</f>
        <v>21.75</v>
      </c>
      <c r="L12586" s="1" t="s">
        <v>1033</v>
      </c>
    </row>
    <row r="12587" customFormat="false" ht="17.15" hidden="false" customHeight="false" outlineLevel="0" collapsed="false">
      <c r="A12587" s="0" t="s">
        <v>1034</v>
      </c>
      <c r="B12587" s="0" t="s">
        <v>98</v>
      </c>
      <c r="D12587" s="6" t="n">
        <f aca="false">Q!L7-Sens!D12586</f>
        <v>83.705</v>
      </c>
      <c r="E12587" s="6" t="n">
        <f aca="false">Q!M7-Sens!E12586</f>
        <v>95.049</v>
      </c>
      <c r="F12587" s="6" t="n">
        <f aca="false">Q!$I$7+(Sens!E12587*(1+Sens!F12588)+Sens!F12586)*(1-Q!$E$7/Q!M7)-Sens!F12586</f>
        <v>106.938354189776</v>
      </c>
      <c r="G12587" s="6" t="n">
        <f aca="false">Sens!F12587*(1+Sens!G12588)</f>
        <v>119.095360443801</v>
      </c>
      <c r="H12587" s="6" t="n">
        <f aca="false">Sens!G12587*(1+Sens!H12588)</f>
        <v>131.333811964563</v>
      </c>
      <c r="I12587" s="6" t="n">
        <f aca="false">Sens!H12587*(1+Sens!I12588)</f>
        <v>143.395665319381</v>
      </c>
      <c r="J12587" s="6" t="n">
        <f aca="false">Sens!I12587*(1+Sens!J12588)</f>
        <v>154.999327755573</v>
      </c>
      <c r="K12587" s="6" t="n">
        <f aca="false">Sens!J12587*(1+Sens!K12588)</f>
        <v>165.849280698463</v>
      </c>
      <c r="L12587" s="12" t="s">
        <v>1035</v>
      </c>
    </row>
    <row r="12588" customFormat="false" ht="15" hidden="false" customHeight="false" outlineLevel="0" collapsed="false">
      <c r="A12588" s="1" t="s">
        <v>1028</v>
      </c>
      <c r="B12588" s="0" t="s">
        <v>168</v>
      </c>
      <c r="E12588" s="7" t="n">
        <f aca="false">Sens!E12587/Sens!D12587-1</f>
        <v>0.135523564900544</v>
      </c>
      <c r="F12588" s="7" t="n">
        <f aca="false">Sens!$E$12588+(glt_m365b-Sens!$E$12588)*MIN(1,(Sens!F12540-base_fy)/n_conv)</f>
        <v>0.124602970750453</v>
      </c>
      <c r="G12588" s="7" t="n">
        <f aca="false">Sens!$E$12588+(glt_m365b-Sens!$E$12588)*MIN(1,(Sens!G12540-base_fy)/n_conv)</f>
        <v>0.113682376600363</v>
      </c>
      <c r="H12588" s="7" t="n">
        <f aca="false">Sens!$E$12588+(glt_m365b-Sens!$E$12588)*MIN(1,(Sens!H12540-base_fy)/n_conv)</f>
        <v>0.102761782450272</v>
      </c>
      <c r="I12588" s="7" t="n">
        <f aca="false">Sens!$E$12588+(glt_m365b-Sens!$E$12588)*MIN(1,(Sens!I12540-base_fy)/n_conv)</f>
        <v>0.0918411883001813</v>
      </c>
      <c r="J12588" s="7" t="n">
        <f aca="false">Sens!$E$12588+(glt_m365b-Sens!$E$12588)*MIN(1,(Sens!J12540-base_fy)/n_conv)</f>
        <v>0.0809205941500906</v>
      </c>
      <c r="K12588" s="7" t="n">
        <f aca="false">Sens!$E$12588+(glt_m365b-Sens!$E$12588)*MIN(1,(Sens!K12540-base_fy)/n_conv)</f>
        <v>0.07</v>
      </c>
    </row>
    <row r="12589" customFormat="false" ht="15" hidden="false" customHeight="false" outlineLevel="0" collapsed="false">
      <c r="A12589" s="0" t="s">
        <v>1036</v>
      </c>
      <c r="B12589" s="0" t="s">
        <v>98</v>
      </c>
      <c r="D12589" s="6" t="n">
        <f aca="false">Sens!D12587+Sens!D12586</f>
        <v>84.605</v>
      </c>
      <c r="E12589" s="6" t="n">
        <f aca="false">Sens!E12587+Sens!E12586</f>
        <v>100.299</v>
      </c>
      <c r="F12589" s="6" t="n">
        <f aca="false">Sens!F12587+Sens!F12586</f>
        <v>117.438354189776</v>
      </c>
      <c r="G12589" s="6" t="n">
        <f aca="false">Sens!G12587+Sens!G12586</f>
        <v>132.595360443801</v>
      </c>
      <c r="H12589" s="6" t="n">
        <f aca="false">Sens!H12587+Sens!H12586</f>
        <v>147.833811964563</v>
      </c>
      <c r="I12589" s="6" t="n">
        <f aca="false">Sens!I12587+Sens!I12586</f>
        <v>162.145665319381</v>
      </c>
      <c r="J12589" s="6" t="n">
        <f aca="false">Sens!J12587+Sens!J12586</f>
        <v>175.249327755573</v>
      </c>
      <c r="K12589" s="6" t="n">
        <f aca="false">Sens!K12587+Sens!K12586</f>
        <v>187.599280698463</v>
      </c>
    </row>
    <row r="12590" customFormat="false" ht="17.15" hidden="false" customHeight="false" outlineLevel="0" collapsed="false">
      <c r="A12590" s="0" t="s">
        <v>1037</v>
      </c>
      <c r="B12590" s="0" t="s">
        <v>98</v>
      </c>
      <c r="D12590" s="6" t="n">
        <f aca="false">Q!L8</f>
        <v>35.391</v>
      </c>
      <c r="E12590" s="6" t="n">
        <f aca="false">Q!M8</f>
        <v>37.285</v>
      </c>
      <c r="F12590" s="6" t="n">
        <f aca="false">Q!$I$8+(Q!M8-Q!$E$8)*(1+Sens!F12591)</f>
        <v>38.3851437782675</v>
      </c>
      <c r="G12590" s="6" t="n">
        <f aca="false">Sens!F12590*(1+Sens!G12591)</f>
        <v>40.0105353288615</v>
      </c>
      <c r="H12590" s="6" t="n">
        <f aca="false">Sens!G12590*(1+Sens!H12591)</f>
        <v>41.4812512033683</v>
      </c>
      <c r="I12590" s="6" t="n">
        <f aca="false">Sens!H12590*(1+Sens!I12591)</f>
        <v>42.7743107216329</v>
      </c>
      <c r="J12590" s="6" t="n">
        <f aca="false">Sens!I12590*(1+Sens!J12591)</f>
        <v>43.8687373064601</v>
      </c>
      <c r="K12590" s="6" t="n">
        <f aca="false">Sens!J12590*(1+Sens!K12591)</f>
        <v>44.7461120525893</v>
      </c>
      <c r="L12590" s="12" t="s">
        <v>1038</v>
      </c>
    </row>
    <row r="12591" customFormat="false" ht="15" hidden="false" customHeight="false" outlineLevel="0" collapsed="false">
      <c r="A12591" s="1" t="s">
        <v>1028</v>
      </c>
      <c r="B12591" s="0" t="s">
        <v>168</v>
      </c>
      <c r="E12591" s="7" t="n">
        <f aca="false">Sens!E12590/Sens!D12590-1</f>
        <v>0.0535164307309768</v>
      </c>
      <c r="F12591" s="7" t="n">
        <f aca="false">Sens!$E$12591+(glt_lic-Sens!$E$12591)*MIN(1,(Sens!F12540-base_fy)/n_conv)</f>
        <v>0.0479303589424807</v>
      </c>
      <c r="G12591" s="7" t="n">
        <f aca="false">Sens!$E$12591+(glt_lic-Sens!$E$12591)*MIN(1,(Sens!G12540-base_fy)/n_conv)</f>
        <v>0.0423442871539845</v>
      </c>
      <c r="H12591" s="7" t="n">
        <f aca="false">Sens!$E$12591+(glt_lic-Sens!$E$12591)*MIN(1,(Sens!H12540-base_fy)/n_conv)</f>
        <v>0.0367582153654884</v>
      </c>
      <c r="I12591" s="7" t="n">
        <f aca="false">Sens!$E$12591+(glt_lic-Sens!$E$12591)*MIN(1,(Sens!I12540-base_fy)/n_conv)</f>
        <v>0.0311721435769923</v>
      </c>
      <c r="J12591" s="7" t="n">
        <f aca="false">Sens!$E$12591+(glt_lic-Sens!$E$12591)*MIN(1,(Sens!J12540-base_fy)/n_conv)</f>
        <v>0.0255860717884961</v>
      </c>
      <c r="K12591" s="7" t="n">
        <f aca="false">Sens!$E$12591+(glt_lic-Sens!$E$12591)*MIN(1,(Sens!K12540-base_fy)/n_conv)</f>
        <v>0.02</v>
      </c>
    </row>
    <row r="12592" customFormat="false" ht="17.15" hidden="false" customHeight="false" outlineLevel="0" collapsed="false">
      <c r="A12592" s="0" t="s">
        <v>1039</v>
      </c>
      <c r="B12592" s="0" t="s">
        <v>98</v>
      </c>
      <c r="D12592" s="6" t="n">
        <f aca="false">Q!L9</f>
        <v>18.417</v>
      </c>
      <c r="E12592" s="6" t="n">
        <f aca="false">Q!M9</f>
        <v>20.345</v>
      </c>
      <c r="F12592" s="6" t="n">
        <f aca="false">Q!$I$9+(Q!M9-Q!$E$9)*(1+Sens!F12593)</f>
        <v>22.3161797133988</v>
      </c>
      <c r="G12592" s="6" t="n">
        <f aca="false">Sens!F12592*(1+Sens!G12593)</f>
        <v>24.3943499673233</v>
      </c>
      <c r="H12592" s="6" t="n">
        <f aca="false">Sens!G12592*(1+Sens!H12593)</f>
        <v>26.5250243109019</v>
      </c>
      <c r="I12592" s="6" t="n">
        <f aca="false">Sens!H12592*(1+Sens!I12593)</f>
        <v>28.6884573538181</v>
      </c>
      <c r="J12592" s="6" t="n">
        <f aca="false">Sens!I12592*(1+Sens!J12593)</f>
        <v>30.8624968052127</v>
      </c>
      <c r="K12592" s="6" t="n">
        <f aca="false">Sens!J12592*(1+Sens!K12593)</f>
        <v>33.0228715815776</v>
      </c>
      <c r="L12592" s="12" t="s">
        <v>1038</v>
      </c>
    </row>
    <row r="12593" customFormat="false" ht="15" hidden="false" customHeight="false" outlineLevel="0" collapsed="false">
      <c r="A12593" s="1" t="s">
        <v>1028</v>
      </c>
      <c r="B12593" s="0" t="s">
        <v>168</v>
      </c>
      <c r="E12593" s="7" t="n">
        <f aca="false">Sens!E12592/Sens!D12592-1</f>
        <v>0.104685888038225</v>
      </c>
      <c r="F12593" s="7" t="n">
        <f aca="false">Sens!$E$12593+(glt_ind-Sens!$E$12593)*MIN(1,(Sens!F12540-base_fy)/n_conv)</f>
        <v>0.0989049066985211</v>
      </c>
      <c r="G12593" s="7" t="n">
        <f aca="false">Sens!$E$12593+(glt_ind-Sens!$E$12593)*MIN(1,(Sens!G12540-base_fy)/n_conv)</f>
        <v>0.0931239253588169</v>
      </c>
      <c r="H12593" s="7" t="n">
        <f aca="false">Sens!$E$12593+(glt_ind-Sens!$E$12593)*MIN(1,(Sens!H12540-base_fy)/n_conv)</f>
        <v>0.0873429440191127</v>
      </c>
      <c r="I12593" s="7" t="n">
        <f aca="false">Sens!$E$12593+(glt_ind-Sens!$E$12593)*MIN(1,(Sens!I12540-base_fy)/n_conv)</f>
        <v>0.0815619626794085</v>
      </c>
      <c r="J12593" s="7" t="n">
        <f aca="false">Sens!$E$12593+(glt_ind-Sens!$E$12593)*MIN(1,(Sens!J12540-base_fy)/n_conv)</f>
        <v>0.0757809813397042</v>
      </c>
      <c r="K12593" s="7" t="n">
        <f aca="false">Sens!$E$12593+(glt_ind-Sens!$E$12593)*MIN(1,(Sens!K12540-base_fy)/n_conv)</f>
        <v>0.07</v>
      </c>
    </row>
    <row r="12594" customFormat="false" ht="17.15" hidden="false" customHeight="false" outlineLevel="0" collapsed="false">
      <c r="A12594" s="0" t="s">
        <v>1040</v>
      </c>
      <c r="B12594" s="0" t="s">
        <v>98</v>
      </c>
      <c r="D12594" s="6" t="n">
        <f aca="false">Q!L10</f>
        <v>7.76</v>
      </c>
      <c r="E12594" s="6" t="n">
        <f aca="false">Q!M10</f>
        <v>8.26</v>
      </c>
      <c r="F12594" s="6" t="n">
        <f aca="false">Q!$I$10+(Q!M10-Q!$E$10)*(1+Sens!F12595)</f>
        <v>8.75372082474227</v>
      </c>
      <c r="G12594" s="6" t="n">
        <f aca="false">Sens!F12594*(1+Sens!G12595)</f>
        <v>9.33399324642364</v>
      </c>
      <c r="H12594" s="6" t="n">
        <f aca="false">Sens!G12594*(1+Sens!H12595)</f>
        <v>9.96139155535851</v>
      </c>
      <c r="I12594" s="6" t="n">
        <f aca="false">Sens!H12594*(1+Sens!I12595)</f>
        <v>10.6402039077391</v>
      </c>
      <c r="J12594" s="6" t="n">
        <f aca="false">Sens!I12594*(1+Sens!J12595)</f>
        <v>11.3751458271397</v>
      </c>
      <c r="K12594" s="6" t="n">
        <f aca="false">Sens!J12594*(1+Sens!K12595)</f>
        <v>12.1714060350394</v>
      </c>
      <c r="L12594" s="12" t="s">
        <v>1038</v>
      </c>
    </row>
    <row r="12595" customFormat="false" ht="15" hidden="false" customHeight="false" outlineLevel="0" collapsed="false">
      <c r="A12595" s="1" t="s">
        <v>1028</v>
      </c>
      <c r="B12595" s="0" t="s">
        <v>168</v>
      </c>
      <c r="E12595" s="7" t="n">
        <f aca="false">Sens!E12594/Sens!D12594-1</f>
        <v>0.0644329896907216</v>
      </c>
      <c r="F12595" s="7" t="n">
        <f aca="false">Sens!$E$12595+(glt_fro-Sens!$E$12595)*MIN(1,(Sens!F12540-base_fy)/n_conv)</f>
        <v>0.065360824742268</v>
      </c>
      <c r="G12595" s="7" t="n">
        <f aca="false">Sens!$E$12595+(glt_fro-Sens!$E$12595)*MIN(1,(Sens!G12540-base_fy)/n_conv)</f>
        <v>0.0662886597938144</v>
      </c>
      <c r="H12595" s="7" t="n">
        <f aca="false">Sens!$E$12595+(glt_fro-Sens!$E$12595)*MIN(1,(Sens!H12540-base_fy)/n_conv)</f>
        <v>0.0672164948453608</v>
      </c>
      <c r="I12595" s="7" t="n">
        <f aca="false">Sens!$E$12595+(glt_fro-Sens!$E$12595)*MIN(1,(Sens!I12540-base_fy)/n_conv)</f>
        <v>0.0681443298969072</v>
      </c>
      <c r="J12595" s="7" t="n">
        <f aca="false">Sens!$E$12595+(glt_fro-Sens!$E$12595)*MIN(1,(Sens!J12540-base_fy)/n_conv)</f>
        <v>0.0690721649484536</v>
      </c>
      <c r="K12595" s="7" t="n">
        <f aca="false">Sens!$E$12595+(glt_fro-Sens!$E$12595)*MIN(1,(Sens!K12540-base_fy)/n_conv)</f>
        <v>0.07</v>
      </c>
    </row>
    <row r="12596" customFormat="false" ht="15" hidden="false" customHeight="false" outlineLevel="0" collapsed="false">
      <c r="A12596" s="0" t="s">
        <v>856</v>
      </c>
      <c r="B12596" s="0" t="s">
        <v>98</v>
      </c>
      <c r="D12596" s="6" t="n">
        <f aca="false">Sens!D12584+Sens!D12589+Sens!D12590+Sens!D12592+Sens!D12594</f>
        <v>218.783</v>
      </c>
      <c r="E12596" s="6" t="n">
        <f aca="false">Sens!E12584+Sens!E12589+Sens!E12590+Sens!E12592+Sens!E12594</f>
        <v>268.127</v>
      </c>
      <c r="F12596" s="6" t="n">
        <f aca="false">Sens!F12584+Sens!F12589+Sens!F12590+Sens!F12592+Sens!F12594</f>
        <v>330.145282059882</v>
      </c>
      <c r="G12596" s="6" t="n">
        <f aca="false">Sens!G12584+Sens!G12589+Sens!G12590+Sens!G12592+Sens!G12594</f>
        <v>392.656759865851</v>
      </c>
      <c r="H12596" s="6" t="n">
        <f aca="false">Sens!H12584+Sens!H12589+Sens!H12590+Sens!H12592+Sens!H12594</f>
        <v>450.544273297982</v>
      </c>
      <c r="I12596" s="6" t="n">
        <f aca="false">Sens!I12584+Sens!I12589+Sens!I12590+Sens!I12592+Sens!I12594</f>
        <v>510.69213512593</v>
      </c>
      <c r="J12596" s="6" t="n">
        <f aca="false">Sens!J12584+Sens!J12589+Sens!J12590+Sens!J12592+Sens!J12594</f>
        <v>560.416732629406</v>
      </c>
      <c r="K12596" s="6" t="n">
        <f aca="false">Sens!K12584+Sens!K12589+Sens!K12590+Sens!K12592+Sens!K12594</f>
        <v>600.132410592692</v>
      </c>
    </row>
    <row r="12597" customFormat="false" ht="17.15" hidden="false" customHeight="false" outlineLevel="0" collapsed="false">
      <c r="A12597" s="0" t="s">
        <v>1041</v>
      </c>
      <c r="B12597" s="0" t="s">
        <v>98</v>
      </c>
      <c r="D12597" s="6" t="n">
        <f aca="false">Q!L13</f>
        <v>22.171</v>
      </c>
      <c r="E12597" s="6" t="n">
        <f aca="false">Q!M13</f>
        <v>24.835</v>
      </c>
      <c r="F12597" s="6" t="n">
        <f aca="false">Q!$I$13+(Q!M13-Q!$E$13)*(1+Sens!F12598)</f>
        <v>27.5591895660247</v>
      </c>
      <c r="G12597" s="6" t="n">
        <f aca="false">Sens!F12597*(1+Sens!G12598)</f>
        <v>30.4098563144583</v>
      </c>
      <c r="H12597" s="6" t="n">
        <f aca="false">Sens!G12597*(1+Sens!H12598)</f>
        <v>33.3011792571777</v>
      </c>
      <c r="I12597" s="6" t="n">
        <f aca="false">Sens!H12597*(1+Sens!I12598)</f>
        <v>36.189023797112</v>
      </c>
      <c r="J12597" s="6" t="n">
        <f aca="false">Sens!I12597*(1+Sens!J12598)</f>
        <v>39.0247773769199</v>
      </c>
      <c r="K12597" s="6" t="n">
        <f aca="false">Sens!J12597*(1+Sens!K12598)</f>
        <v>41.7565117933043</v>
      </c>
      <c r="L12597" s="12" t="s">
        <v>1038</v>
      </c>
    </row>
    <row r="12598" customFormat="false" ht="15" hidden="false" customHeight="false" outlineLevel="0" collapsed="false">
      <c r="A12598" s="1" t="s">
        <v>1028</v>
      </c>
      <c r="B12598" s="0" t="s">
        <v>168</v>
      </c>
      <c r="E12598" s="7" t="n">
        <f aca="false">Sens!E12597/Sens!D12597-1</f>
        <v>0.120156961796942</v>
      </c>
      <c r="F12598" s="7" t="n">
        <f aca="false">Sens!$E$12598+(glt_srch-Sens!$E$12598)*MIN(1,(Sens!F12540-base_fy)/n_conv)</f>
        <v>0.111797468164118</v>
      </c>
      <c r="G12598" s="7" t="n">
        <f aca="false">Sens!$E$12598+(glt_srch-Sens!$E$12598)*MIN(1,(Sens!G12540-base_fy)/n_conv)</f>
        <v>0.103437974531295</v>
      </c>
      <c r="H12598" s="7" t="n">
        <f aca="false">Sens!$E$12598+(glt_srch-Sens!$E$12598)*MIN(1,(Sens!H12540-base_fy)/n_conv)</f>
        <v>0.095078480898471</v>
      </c>
      <c r="I12598" s="7" t="n">
        <f aca="false">Sens!$E$12598+(glt_srch-Sens!$E$12598)*MIN(1,(Sens!I12540-base_fy)/n_conv)</f>
        <v>0.0867189872656474</v>
      </c>
      <c r="J12598" s="7" t="n">
        <f aca="false">Sens!$E$12598+(glt_srch-Sens!$E$12598)*MIN(1,(Sens!J12540-base_fy)/n_conv)</f>
        <v>0.0783594936328237</v>
      </c>
      <c r="K12598" s="7" t="n">
        <f aca="false">Sens!$E$12598+(glt_srch-Sens!$E$12598)*MIN(1,(Sens!K12540-base_fy)/n_conv)</f>
        <v>0.07</v>
      </c>
    </row>
    <row r="12599" customFormat="false" ht="17.15" hidden="false" customHeight="false" outlineLevel="0" collapsed="false">
      <c r="A12599" s="0" t="s">
        <v>1042</v>
      </c>
      <c r="B12599" s="0" t="s">
        <v>98</v>
      </c>
      <c r="D12599" s="6" t="n">
        <f aca="false">Q!L14</f>
        <v>23.455</v>
      </c>
      <c r="E12599" s="6" t="n">
        <f aca="false">Q!M14</f>
        <v>21.79</v>
      </c>
      <c r="F12599" s="6" t="n">
        <f aca="false">Q!$I$14+(Q!M14-Q!$E$14)*(1+Sens!F12600)</f>
        <v>20.8335081041711</v>
      </c>
      <c r="G12599" s="6" t="n">
        <f aca="false">Sens!F12599*(1+Sens!G12600)</f>
        <v>20.1947944630466</v>
      </c>
      <c r="H12599" s="6" t="n">
        <f aca="false">Sens!G12599*(1+Sens!H12600)</f>
        <v>19.9828804239412</v>
      </c>
      <c r="I12599" s="6" t="n">
        <f aca="false">Sens!H12599*(1+Sens!I12600)</f>
        <v>20.1761348846602</v>
      </c>
      <c r="J12599" s="6" t="n">
        <f aca="false">Sens!I12599*(1+Sens!J12600)</f>
        <v>20.7780999691978</v>
      </c>
      <c r="K12599" s="6" t="n">
        <f aca="false">Sens!J12599*(1+Sens!K12600)</f>
        <v>21.8170049676577</v>
      </c>
      <c r="L12599" s="12" t="s">
        <v>1038</v>
      </c>
    </row>
    <row r="12600" customFormat="false" ht="15" hidden="false" customHeight="false" outlineLevel="0" collapsed="false">
      <c r="A12600" s="1" t="s">
        <v>1028</v>
      </c>
      <c r="B12600" s="0" t="s">
        <v>168</v>
      </c>
      <c r="E12600" s="7" t="n">
        <f aca="false">Sens!E12599/Sens!D12599-1</f>
        <v>-0.0709869963760392</v>
      </c>
      <c r="F12600" s="7" t="n">
        <f aca="false">Sens!$E$12600+(glt_xbox_hi-Sens!$E$12600)*MIN(1,(Sens!F12540-base_fy)/n_conv)</f>
        <v>-0.0508224969800327</v>
      </c>
      <c r="G12600" s="7" t="n">
        <f aca="false">Sens!$E$12600+(glt_xbox_hi-Sens!$E$12600)*MIN(1,(Sens!G12540-base_fy)/n_conv)</f>
        <v>-0.0306579975840262</v>
      </c>
      <c r="H12600" s="7" t="n">
        <f aca="false">Sens!$E$12600+(glt_xbox_hi-Sens!$E$12600)*MIN(1,(Sens!H12540-base_fy)/n_conv)</f>
        <v>-0.0104934981880196</v>
      </c>
      <c r="I12600" s="7" t="n">
        <f aca="false">Sens!$E$12600+(glt_xbox_hi-Sens!$E$12600)*MIN(1,(Sens!I12540-base_fy)/n_conv)</f>
        <v>0.00967100120798692</v>
      </c>
      <c r="J12600" s="7" t="n">
        <f aca="false">Sens!$E$12600+(glt_xbox_hi-Sens!$E$12600)*MIN(1,(Sens!J12540-base_fy)/n_conv)</f>
        <v>0.0298355006039935</v>
      </c>
      <c r="K12600" s="7" t="n">
        <f aca="false">Sens!$E$12600+(glt_xbox_hi-Sens!$E$12600)*MIN(1,(Sens!K12540-base_fy)/n_conv)</f>
        <v>0.05</v>
      </c>
    </row>
    <row r="12601" customFormat="false" ht="17.15" hidden="false" customHeight="false" outlineLevel="0" collapsed="false">
      <c r="A12601" s="0" t="s">
        <v>1043</v>
      </c>
      <c r="B12601" s="0" t="s">
        <v>98</v>
      </c>
      <c r="D12601" s="6" t="n">
        <f aca="false">Q!L15</f>
        <v>17.315</v>
      </c>
      <c r="E12601" s="6" t="n">
        <f aca="false">Q!M15</f>
        <v>17.087</v>
      </c>
      <c r="F12601" s="6" t="n">
        <f aca="false">Q!$I$15+(Q!M15-Q!$E$15)*(1+Sens!F12602)</f>
        <v>15.9912273250553</v>
      </c>
      <c r="G12601" s="6" t="n">
        <f aca="false">Sens!F12601*(1+Sens!G12602)</f>
        <v>15.9574562664827</v>
      </c>
      <c r="H12601" s="6" t="n">
        <f aca="false">Sens!G12601*(1+Sens!H12602)</f>
        <v>16.0119687434196</v>
      </c>
      <c r="I12601" s="6" t="n">
        <f aca="false">Sens!H12601*(1+Sens!I12602)</f>
        <v>16.1551810001948</v>
      </c>
      <c r="J12601" s="6" t="n">
        <f aca="false">Sens!I12601*(1+Sens!J12602)</f>
        <v>16.3889793892005</v>
      </c>
      <c r="K12601" s="6" t="n">
        <f aca="false">Sens!J12601*(1+Sens!K12602)</f>
        <v>16.7167589769845</v>
      </c>
      <c r="L12601" s="12" t="s">
        <v>1038</v>
      </c>
    </row>
    <row r="12602" customFormat="false" ht="15" hidden="false" customHeight="false" outlineLevel="0" collapsed="false">
      <c r="A12602" s="1" t="s">
        <v>1028</v>
      </c>
      <c r="B12602" s="0" t="s">
        <v>168</v>
      </c>
      <c r="E12602" s="7" t="n">
        <f aca="false">Sens!E12601/Sens!D12601-1</f>
        <v>-0.0131677736066995</v>
      </c>
      <c r="F12602" s="7" t="n">
        <f aca="false">Sens!$E$12602+(glt_win-Sens!$E$12602)*MIN(1,(Sens!F12540-base_fy)/n_conv)</f>
        <v>-0.00763981133891627</v>
      </c>
      <c r="G12602" s="7" t="n">
        <f aca="false">Sens!$E$12602+(glt_win-Sens!$E$12602)*MIN(1,(Sens!G12540-base_fy)/n_conv)</f>
        <v>-0.00211184907113301</v>
      </c>
      <c r="H12602" s="7" t="n">
        <f aca="false">Sens!$E$12602+(glt_win-Sens!$E$12602)*MIN(1,(Sens!H12540-base_fy)/n_conv)</f>
        <v>0.00341611319665024</v>
      </c>
      <c r="I12602" s="7" t="n">
        <f aca="false">Sens!$E$12602+(glt_win-Sens!$E$12602)*MIN(1,(Sens!I12540-base_fy)/n_conv)</f>
        <v>0.00894407546443349</v>
      </c>
      <c r="J12602" s="7" t="n">
        <f aca="false">Sens!$E$12602+(glt_win-Sens!$E$12602)*MIN(1,(Sens!J12540-base_fy)/n_conv)</f>
        <v>0.0144720377322168</v>
      </c>
      <c r="K12602" s="7" t="n">
        <f aca="false">Sens!$E$12602+(glt_win-Sens!$E$12602)*MIN(1,(Sens!K12540-base_fy)/n_conv)</f>
        <v>0.02</v>
      </c>
    </row>
    <row r="12603" customFormat="false" ht="15" hidden="false" customHeight="false" outlineLevel="0" collapsed="false">
      <c r="A12603" s="0" t="s">
        <v>870</v>
      </c>
      <c r="B12603" s="0" t="s">
        <v>98</v>
      </c>
      <c r="D12603" s="6" t="n">
        <f aca="false">Sens!D12597+Sens!D12599+Sens!D12601</f>
        <v>62.941</v>
      </c>
      <c r="E12603" s="6" t="n">
        <f aca="false">Sens!E12597+Sens!E12599+Sens!E12601</f>
        <v>63.712</v>
      </c>
      <c r="F12603" s="6" t="n">
        <f aca="false">Sens!F12597+Sens!F12599+Sens!F12601</f>
        <v>64.3839249952511</v>
      </c>
      <c r="G12603" s="6" t="n">
        <f aca="false">Sens!G12597+Sens!G12599+Sens!G12601</f>
        <v>66.5621070439876</v>
      </c>
      <c r="H12603" s="6" t="n">
        <f aca="false">Sens!H12597+Sens!H12599+Sens!H12601</f>
        <v>69.2960284245385</v>
      </c>
      <c r="I12603" s="6" t="n">
        <f aca="false">Sens!I12597+Sens!I12599+Sens!I12601</f>
        <v>72.520339681967</v>
      </c>
      <c r="J12603" s="6" t="n">
        <f aca="false">Sens!J12597+Sens!J12599+Sens!J12601</f>
        <v>76.1918567353181</v>
      </c>
      <c r="K12603" s="6" t="n">
        <f aca="false">Sens!K12597+Sens!K12599+Sens!K12601</f>
        <v>80.2902757379464</v>
      </c>
    </row>
    <row r="12604" customFormat="false" ht="15" hidden="false" customHeight="false" outlineLevel="0" collapsed="false">
      <c r="A12604" s="1" t="s">
        <v>1044</v>
      </c>
      <c r="B12604" s="0" t="s">
        <v>98</v>
      </c>
      <c r="D12604" s="6" t="n">
        <f aca="false">Sens!D12596+Sens!D12603</f>
        <v>281.724</v>
      </c>
      <c r="E12604" s="6" t="n">
        <f aca="false">Sens!E12596+Sens!E12603</f>
        <v>331.839</v>
      </c>
      <c r="F12604" s="6" t="n">
        <f aca="false">Sens!F12596+Sens!F12603</f>
        <v>394.529207055133</v>
      </c>
      <c r="G12604" s="6" t="n">
        <f aca="false">Sens!G12596+Sens!G12603</f>
        <v>459.218866909839</v>
      </c>
      <c r="H12604" s="6" t="n">
        <f aca="false">Sens!H12596+Sens!H12603</f>
        <v>519.84030172252</v>
      </c>
      <c r="I12604" s="6" t="n">
        <f aca="false">Sens!I12596+Sens!I12603</f>
        <v>583.212474807897</v>
      </c>
      <c r="J12604" s="6" t="n">
        <f aca="false">Sens!J12596+Sens!J12603</f>
        <v>636.608589364724</v>
      </c>
      <c r="K12604" s="6" t="n">
        <f aca="false">Sens!K12596+Sens!K12603</f>
        <v>680.422686330639</v>
      </c>
    </row>
    <row r="12605" customFormat="false" ht="15" hidden="false" customHeight="false" outlineLevel="0" collapsed="false">
      <c r="A12605" s="26" t="s">
        <v>1045</v>
      </c>
      <c r="B12605" s="31" t="s">
        <v>98</v>
      </c>
      <c r="C12605" s="31"/>
      <c r="D12605" s="27" t="n">
        <f aca="false">(Sens!D12584+Sens!D12589+Sens!D12590+Sens!D12592+Sens!D12594-Sens!D12596)+(Sens!D12597+Sens!D12599+Sens!D12601-Sens!D12603)+(Sens!D12596-Q!L5)+(Sens!D12603-Q!L12)+(Sens!D12584-Q!L6)+(Sens!D12589-Q!L7)</f>
        <v>0</v>
      </c>
      <c r="E12605" s="27" t="n">
        <f aca="false">(Sens!E12584+Sens!E12589+Sens!E12590+Sens!E12592+Sens!E12594-Sens!E12596)+(Sens!E12597+Sens!E12599+Sens!E12601-Sens!E12603)+(Sens!E12596-Q!M5)+(Sens!E12603-Q!M12)+(Sens!E12584-Q!M6)+(Sens!E12589-Q!M7)</f>
        <v>0</v>
      </c>
      <c r="F12605" s="27" t="n">
        <f aca="false">(Sens!F12584+Sens!F12589+Sens!F12590+Sens!F12592+Sens!F12594-Sens!F12596)+(Sens!F12597+Sens!F12599+Sens!F12601-Sens!F12603)</f>
        <v>0</v>
      </c>
      <c r="G12605" s="27" t="n">
        <f aca="false">(Sens!G12584+Sens!G12589+Sens!G12590+Sens!G12592+Sens!G12594-Sens!G12596)+(Sens!G12597+Sens!G12599+Sens!G12601-Sens!G12603)</f>
        <v>0</v>
      </c>
      <c r="H12605" s="27" t="n">
        <f aca="false">(Sens!H12584+Sens!H12589+Sens!H12590+Sens!H12592+Sens!H12594-Sens!H12596)+(Sens!H12597+Sens!H12599+Sens!H12601-Sens!H12603)</f>
        <v>0</v>
      </c>
      <c r="I12605" s="27" t="n">
        <f aca="false">(Sens!I12584+Sens!I12589+Sens!I12590+Sens!I12592+Sens!I12594-Sens!I12596)+(Sens!I12597+Sens!I12599+Sens!I12601-Sens!I12603)</f>
        <v>0</v>
      </c>
      <c r="J12605" s="27" t="n">
        <f aca="false">(Sens!J12584+Sens!J12589+Sens!J12590+Sens!J12592+Sens!J12594-Sens!J12596)+(Sens!J12597+Sens!J12599+Sens!J12601-Sens!J12603)</f>
        <v>0</v>
      </c>
      <c r="K12605" s="27" t="n">
        <f aca="false">(Sens!K12584+Sens!K12589+Sens!K12590+Sens!K12592+Sens!K12594-Sens!K12596)+(Sens!K12597+Sens!K12599+Sens!K12601-Sens!K12603)</f>
        <v>0</v>
      </c>
    </row>
    <row r="12606" customFormat="false" ht="17.15" hidden="false" customHeight="false" outlineLevel="0" collapsed="false">
      <c r="A12606" s="3" t="s">
        <v>1927</v>
      </c>
    </row>
    <row r="12607" customFormat="false" ht="15" hidden="false" customHeight="false" outlineLevel="0" collapsed="false">
      <c r="A12607" s="4" t="s">
        <v>43</v>
      </c>
      <c r="B12607" s="4" t="s">
        <v>65</v>
      </c>
      <c r="C12607" s="23" t="s">
        <v>942</v>
      </c>
      <c r="D12607" s="23" t="s">
        <v>943</v>
      </c>
      <c r="E12607" s="23" t="s">
        <v>944</v>
      </c>
      <c r="F12607" s="23" t="s">
        <v>945</v>
      </c>
      <c r="G12607" s="23" t="s">
        <v>946</v>
      </c>
      <c r="H12607" s="23" t="s">
        <v>947</v>
      </c>
      <c r="I12607" s="23" t="s">
        <v>948</v>
      </c>
      <c r="J12607" s="23" t="s">
        <v>949</v>
      </c>
      <c r="K12607" s="23" t="s">
        <v>950</v>
      </c>
      <c r="L12607" s="4" t="s">
        <v>47</v>
      </c>
    </row>
    <row r="12608" customFormat="false" ht="15" hidden="false" customHeight="false" outlineLevel="0" collapsed="false">
      <c r="A12608" s="0" t="s">
        <v>1029</v>
      </c>
      <c r="B12608" s="0" t="s">
        <v>98</v>
      </c>
      <c r="D12608" s="6" t="n">
        <f aca="false">Sens!D12584</f>
        <v>72.61</v>
      </c>
      <c r="E12608" s="6" t="n">
        <f aca="false">Sens!E12584</f>
        <v>101.938</v>
      </c>
      <c r="F12608" s="6" t="n">
        <f aca="false">Sens!F12584</f>
        <v>143.251883553698</v>
      </c>
      <c r="G12608" s="6" t="n">
        <f aca="false">Sens!G12584</f>
        <v>186.322520879442</v>
      </c>
      <c r="H12608" s="6" t="n">
        <f aca="false">Sens!H12584</f>
        <v>224.74279426379</v>
      </c>
      <c r="I12608" s="6" t="n">
        <f aca="false">Sens!I12584</f>
        <v>266.443497823359</v>
      </c>
      <c r="J12608" s="6" t="n">
        <f aca="false">Sens!J12584</f>
        <v>299.06102493502</v>
      </c>
      <c r="K12608" s="6" t="n">
        <f aca="false">Sens!K12584</f>
        <v>322.592740225023</v>
      </c>
    </row>
    <row r="12609" customFormat="false" ht="17.15" hidden="false" customHeight="false" outlineLevel="0" collapsed="false">
      <c r="A12609" s="0" t="s">
        <v>1025</v>
      </c>
      <c r="B12609" s="0" t="s">
        <v>98</v>
      </c>
      <c r="D12609" s="6" t="n">
        <f aca="false">Sens!D12581</f>
        <v>12.9359794422418</v>
      </c>
      <c r="E12609" s="6" t="n">
        <f aca="false">Sens!E12581</f>
        <v>27.8095064661409</v>
      </c>
      <c r="F12609" s="6" t="n">
        <f aca="false">Sens!F12581</f>
        <v>50.9819294352312</v>
      </c>
      <c r="G12609" s="6" t="n">
        <f aca="false">Sens!G12581</f>
        <v>76.6920436014933</v>
      </c>
      <c r="H12609" s="6" t="n">
        <f aca="false">Sens!H12581</f>
        <v>97.4495379418341</v>
      </c>
      <c r="I12609" s="6" t="n">
        <f aca="false">Sens!I12581</f>
        <v>122.083445553868</v>
      </c>
      <c r="J12609" s="6" t="n">
        <f aca="false">Sens!J12581</f>
        <v>139.249060444804</v>
      </c>
      <c r="K12609" s="6" t="n">
        <f aca="false">Sens!K12581</f>
        <v>149.995818575589</v>
      </c>
    </row>
    <row r="12610" customFormat="false" ht="17.15" hidden="false" customHeight="false" outlineLevel="0" collapsed="false">
      <c r="A12610" s="0" t="s">
        <v>1056</v>
      </c>
      <c r="B12610" s="0" t="s">
        <v>98</v>
      </c>
      <c r="D12610" s="6" t="n">
        <f aca="false">Sens!D12582</f>
        <v>59.6740205577583</v>
      </c>
      <c r="E12610" s="6" t="n">
        <f aca="false">Sens!E12582</f>
        <v>74.1284935338591</v>
      </c>
      <c r="F12610" s="6" t="n">
        <f aca="false">Sens!F12582</f>
        <v>92.2699541184664</v>
      </c>
      <c r="G12610" s="6" t="n">
        <f aca="false">Sens!G12582</f>
        <v>109.630477277949</v>
      </c>
      <c r="H12610" s="6" t="n">
        <f aca="false">Sens!H12582</f>
        <v>127.293256321956</v>
      </c>
      <c r="I12610" s="6" t="n">
        <f aca="false">Sens!I12582</f>
        <v>144.360052269491</v>
      </c>
      <c r="J12610" s="6" t="n">
        <f aca="false">Sens!J12582</f>
        <v>159.811964490216</v>
      </c>
      <c r="K12610" s="6" t="n">
        <f aca="false">Sens!K12582</f>
        <v>172.596921649434</v>
      </c>
    </row>
    <row r="12611" customFormat="false" ht="15" hidden="false" customHeight="false" outlineLevel="0" collapsed="false">
      <c r="A12611" s="0" t="s">
        <v>1036</v>
      </c>
      <c r="B12611" s="0" t="s">
        <v>98</v>
      </c>
      <c r="D12611" s="6" t="n">
        <f aca="false">Sens!D12589</f>
        <v>84.605</v>
      </c>
      <c r="E12611" s="6" t="n">
        <f aca="false">Sens!E12589</f>
        <v>100.299</v>
      </c>
      <c r="F12611" s="6" t="n">
        <f aca="false">Sens!F12589</f>
        <v>117.438354189776</v>
      </c>
      <c r="G12611" s="6" t="n">
        <f aca="false">Sens!G12589</f>
        <v>132.595360443801</v>
      </c>
      <c r="H12611" s="6" t="n">
        <f aca="false">Sens!H12589</f>
        <v>147.833811964563</v>
      </c>
      <c r="I12611" s="6" t="n">
        <f aca="false">Sens!I12589</f>
        <v>162.145665319381</v>
      </c>
      <c r="J12611" s="6" t="n">
        <f aca="false">Sens!J12589</f>
        <v>175.249327755573</v>
      </c>
      <c r="K12611" s="6" t="n">
        <f aca="false">Sens!K12589</f>
        <v>187.599280698463</v>
      </c>
    </row>
    <row r="12612" customFormat="false" ht="17.15" hidden="false" customHeight="false" outlineLevel="0" collapsed="false">
      <c r="A12612" s="0" t="s">
        <v>1057</v>
      </c>
      <c r="B12612" s="0" t="s">
        <v>98</v>
      </c>
      <c r="D12612" s="6" t="n">
        <f aca="false">Sens!D12587</f>
        <v>83.705</v>
      </c>
      <c r="E12612" s="6" t="n">
        <f aca="false">Sens!E12587</f>
        <v>95.049</v>
      </c>
      <c r="F12612" s="6" t="n">
        <f aca="false">Sens!F12587</f>
        <v>106.938354189776</v>
      </c>
      <c r="G12612" s="6" t="n">
        <f aca="false">Sens!G12587</f>
        <v>119.095360443801</v>
      </c>
      <c r="H12612" s="6" t="n">
        <f aca="false">Sens!H12587</f>
        <v>131.333811964563</v>
      </c>
      <c r="I12612" s="6" t="n">
        <f aca="false">Sens!I12587</f>
        <v>143.395665319381</v>
      </c>
      <c r="J12612" s="6" t="n">
        <f aca="false">Sens!J12587</f>
        <v>154.999327755573</v>
      </c>
      <c r="K12612" s="6" t="n">
        <f aca="false">Sens!K12587</f>
        <v>165.849280698463</v>
      </c>
    </row>
    <row r="12613" customFormat="false" ht="17.15" hidden="false" customHeight="false" outlineLevel="0" collapsed="false">
      <c r="A12613" s="0" t="s">
        <v>1058</v>
      </c>
      <c r="B12613" s="0" t="s">
        <v>98</v>
      </c>
      <c r="D12613" s="6" t="n">
        <f aca="false">Sens!D12586</f>
        <v>0.9</v>
      </c>
      <c r="E12613" s="6" t="n">
        <f aca="false">Sens!E12586</f>
        <v>5.25</v>
      </c>
      <c r="F12613" s="6" t="n">
        <f aca="false">Sens!F12586</f>
        <v>10.5</v>
      </c>
      <c r="G12613" s="6" t="n">
        <f aca="false">Sens!G12586</f>
        <v>13.5</v>
      </c>
      <c r="H12613" s="6" t="n">
        <f aca="false">Sens!H12586</f>
        <v>16.5</v>
      </c>
      <c r="I12613" s="6" t="n">
        <f aca="false">Sens!I12586</f>
        <v>18.75</v>
      </c>
      <c r="J12613" s="6" t="n">
        <f aca="false">Sens!J12586</f>
        <v>20.25</v>
      </c>
      <c r="K12613" s="6" t="n">
        <f aca="false">Sens!K12586</f>
        <v>21.75</v>
      </c>
    </row>
    <row r="12614" customFormat="false" ht="15" hidden="false" customHeight="false" outlineLevel="0" collapsed="false">
      <c r="A12614" s="0" t="s">
        <v>1037</v>
      </c>
      <c r="B12614" s="0" t="s">
        <v>98</v>
      </c>
      <c r="D12614" s="6" t="n">
        <f aca="false">Sens!D12590</f>
        <v>35.391</v>
      </c>
      <c r="E12614" s="6" t="n">
        <f aca="false">Sens!E12590</f>
        <v>37.285</v>
      </c>
      <c r="F12614" s="6" t="n">
        <f aca="false">Sens!F12590</f>
        <v>38.3851437782675</v>
      </c>
      <c r="G12614" s="6" t="n">
        <f aca="false">Sens!G12590</f>
        <v>40.0105353288615</v>
      </c>
      <c r="H12614" s="6" t="n">
        <f aca="false">Sens!H12590</f>
        <v>41.4812512033683</v>
      </c>
      <c r="I12614" s="6" t="n">
        <f aca="false">Sens!I12590</f>
        <v>42.7743107216329</v>
      </c>
      <c r="J12614" s="6" t="n">
        <f aca="false">Sens!J12590</f>
        <v>43.8687373064601</v>
      </c>
      <c r="K12614" s="6" t="n">
        <f aca="false">Sens!K12590</f>
        <v>44.7461120525893</v>
      </c>
    </row>
    <row r="12615" customFormat="false" ht="15" hidden="false" customHeight="false" outlineLevel="0" collapsed="false">
      <c r="A12615" s="0" t="s">
        <v>1039</v>
      </c>
      <c r="B12615" s="0" t="s">
        <v>98</v>
      </c>
      <c r="D12615" s="6" t="n">
        <f aca="false">Sens!D12592</f>
        <v>18.417</v>
      </c>
      <c r="E12615" s="6" t="n">
        <f aca="false">Sens!E12592</f>
        <v>20.345</v>
      </c>
      <c r="F12615" s="6" t="n">
        <f aca="false">Sens!F12592</f>
        <v>22.3161797133988</v>
      </c>
      <c r="G12615" s="6" t="n">
        <f aca="false">Sens!G12592</f>
        <v>24.3943499673233</v>
      </c>
      <c r="H12615" s="6" t="n">
        <f aca="false">Sens!H12592</f>
        <v>26.5250243109019</v>
      </c>
      <c r="I12615" s="6" t="n">
        <f aca="false">Sens!I12592</f>
        <v>28.6884573538181</v>
      </c>
      <c r="J12615" s="6" t="n">
        <f aca="false">Sens!J12592</f>
        <v>30.8624968052127</v>
      </c>
      <c r="K12615" s="6" t="n">
        <f aca="false">Sens!K12592</f>
        <v>33.0228715815776</v>
      </c>
    </row>
    <row r="12616" customFormat="false" ht="15" hidden="false" customHeight="false" outlineLevel="0" collapsed="false">
      <c r="A12616" s="0" t="s">
        <v>1040</v>
      </c>
      <c r="B12616" s="0" t="s">
        <v>98</v>
      </c>
      <c r="D12616" s="6" t="n">
        <f aca="false">Sens!D12594</f>
        <v>7.76</v>
      </c>
      <c r="E12616" s="6" t="n">
        <f aca="false">Sens!E12594</f>
        <v>8.26</v>
      </c>
      <c r="F12616" s="6" t="n">
        <f aca="false">Sens!F12594</f>
        <v>8.75372082474227</v>
      </c>
      <c r="G12616" s="6" t="n">
        <f aca="false">Sens!G12594</f>
        <v>9.33399324642364</v>
      </c>
      <c r="H12616" s="6" t="n">
        <f aca="false">Sens!H12594</f>
        <v>9.96139155535851</v>
      </c>
      <c r="I12616" s="6" t="n">
        <f aca="false">Sens!I12594</f>
        <v>10.6402039077391</v>
      </c>
      <c r="J12616" s="6" t="n">
        <f aca="false">Sens!J12594</f>
        <v>11.3751458271397</v>
      </c>
      <c r="K12616" s="6" t="n">
        <f aca="false">Sens!K12594</f>
        <v>12.1714060350394</v>
      </c>
    </row>
    <row r="12617" customFormat="false" ht="15" hidden="false" customHeight="false" outlineLevel="0" collapsed="false">
      <c r="A12617" s="0" t="s">
        <v>856</v>
      </c>
      <c r="B12617" s="0" t="s">
        <v>98</v>
      </c>
      <c r="D12617" s="6" t="n">
        <f aca="false">Sens!D12596</f>
        <v>218.783</v>
      </c>
      <c r="E12617" s="6" t="n">
        <f aca="false">Sens!E12596</f>
        <v>268.127</v>
      </c>
      <c r="F12617" s="6" t="n">
        <f aca="false">Sens!F12596</f>
        <v>330.145282059882</v>
      </c>
      <c r="G12617" s="6" t="n">
        <f aca="false">Sens!G12596</f>
        <v>392.656759865851</v>
      </c>
      <c r="H12617" s="6" t="n">
        <f aca="false">Sens!H12596</f>
        <v>450.544273297982</v>
      </c>
      <c r="I12617" s="6" t="n">
        <f aca="false">Sens!I12596</f>
        <v>510.69213512593</v>
      </c>
      <c r="J12617" s="6" t="n">
        <f aca="false">Sens!J12596</f>
        <v>560.416732629406</v>
      </c>
      <c r="K12617" s="6" t="n">
        <f aca="false">Sens!K12596</f>
        <v>600.132410592692</v>
      </c>
    </row>
    <row r="12618" customFormat="false" ht="15" hidden="false" customHeight="false" outlineLevel="0" collapsed="false">
      <c r="A12618" s="0" t="s">
        <v>1041</v>
      </c>
      <c r="B12618" s="0" t="s">
        <v>98</v>
      </c>
      <c r="D12618" s="6" t="n">
        <f aca="false">Sens!D12597</f>
        <v>22.171</v>
      </c>
      <c r="E12618" s="6" t="n">
        <f aca="false">Sens!E12597</f>
        <v>24.835</v>
      </c>
      <c r="F12618" s="6" t="n">
        <f aca="false">Sens!F12597</f>
        <v>27.5591895660247</v>
      </c>
      <c r="G12618" s="6" t="n">
        <f aca="false">Sens!G12597</f>
        <v>30.4098563144583</v>
      </c>
      <c r="H12618" s="6" t="n">
        <f aca="false">Sens!H12597</f>
        <v>33.3011792571777</v>
      </c>
      <c r="I12618" s="6" t="n">
        <f aca="false">Sens!I12597</f>
        <v>36.189023797112</v>
      </c>
      <c r="J12618" s="6" t="n">
        <f aca="false">Sens!J12597</f>
        <v>39.0247773769199</v>
      </c>
      <c r="K12618" s="6" t="n">
        <f aca="false">Sens!K12597</f>
        <v>41.7565117933043</v>
      </c>
    </row>
    <row r="12619" customFormat="false" ht="15" hidden="false" customHeight="false" outlineLevel="0" collapsed="false">
      <c r="A12619" s="0" t="s">
        <v>1042</v>
      </c>
      <c r="B12619" s="0" t="s">
        <v>98</v>
      </c>
      <c r="D12619" s="6" t="n">
        <f aca="false">Sens!D12599</f>
        <v>23.455</v>
      </c>
      <c r="E12619" s="6" t="n">
        <f aca="false">Sens!E12599</f>
        <v>21.79</v>
      </c>
      <c r="F12619" s="6" t="n">
        <f aca="false">Sens!F12599</f>
        <v>20.8335081041711</v>
      </c>
      <c r="G12619" s="6" t="n">
        <f aca="false">Sens!G12599</f>
        <v>20.1947944630466</v>
      </c>
      <c r="H12619" s="6" t="n">
        <f aca="false">Sens!H12599</f>
        <v>19.9828804239412</v>
      </c>
      <c r="I12619" s="6" t="n">
        <f aca="false">Sens!I12599</f>
        <v>20.1761348846602</v>
      </c>
      <c r="J12619" s="6" t="n">
        <f aca="false">Sens!J12599</f>
        <v>20.7780999691978</v>
      </c>
      <c r="K12619" s="6" t="n">
        <f aca="false">Sens!K12599</f>
        <v>21.8170049676577</v>
      </c>
    </row>
    <row r="12620" customFormat="false" ht="15" hidden="false" customHeight="false" outlineLevel="0" collapsed="false">
      <c r="A12620" s="0" t="s">
        <v>1043</v>
      </c>
      <c r="B12620" s="0" t="s">
        <v>98</v>
      </c>
      <c r="D12620" s="6" t="n">
        <f aca="false">Sens!D12601</f>
        <v>17.315</v>
      </c>
      <c r="E12620" s="6" t="n">
        <f aca="false">Sens!E12601</f>
        <v>17.087</v>
      </c>
      <c r="F12620" s="6" t="n">
        <f aca="false">Sens!F12601</f>
        <v>15.9912273250553</v>
      </c>
      <c r="G12620" s="6" t="n">
        <f aca="false">Sens!G12601</f>
        <v>15.9574562664827</v>
      </c>
      <c r="H12620" s="6" t="n">
        <f aca="false">Sens!H12601</f>
        <v>16.0119687434196</v>
      </c>
      <c r="I12620" s="6" t="n">
        <f aca="false">Sens!I12601</f>
        <v>16.1551810001948</v>
      </c>
      <c r="J12620" s="6" t="n">
        <f aca="false">Sens!J12601</f>
        <v>16.3889793892005</v>
      </c>
      <c r="K12620" s="6" t="n">
        <f aca="false">Sens!K12601</f>
        <v>16.7167589769845</v>
      </c>
    </row>
    <row r="12621" customFormat="false" ht="15" hidden="false" customHeight="false" outlineLevel="0" collapsed="false">
      <c r="A12621" s="0" t="s">
        <v>870</v>
      </c>
      <c r="B12621" s="0" t="s">
        <v>98</v>
      </c>
      <c r="D12621" s="6" t="n">
        <f aca="false">Sens!D12603</f>
        <v>62.941</v>
      </c>
      <c r="E12621" s="6" t="n">
        <f aca="false">Sens!E12603</f>
        <v>63.712</v>
      </c>
      <c r="F12621" s="6" t="n">
        <f aca="false">Sens!F12603</f>
        <v>64.3839249952511</v>
      </c>
      <c r="G12621" s="6" t="n">
        <f aca="false">Sens!G12603</f>
        <v>66.5621070439876</v>
      </c>
      <c r="H12621" s="6" t="n">
        <f aca="false">Sens!H12603</f>
        <v>69.2960284245385</v>
      </c>
      <c r="I12621" s="6" t="n">
        <f aca="false">Sens!I12603</f>
        <v>72.520339681967</v>
      </c>
      <c r="J12621" s="6" t="n">
        <f aca="false">Sens!J12603</f>
        <v>76.1918567353181</v>
      </c>
      <c r="K12621" s="6" t="n">
        <f aca="false">Sens!K12603</f>
        <v>80.2902757379464</v>
      </c>
    </row>
    <row r="12622" customFormat="false" ht="15" hidden="false" customHeight="false" outlineLevel="0" collapsed="false">
      <c r="A12622" s="1" t="s">
        <v>1059</v>
      </c>
      <c r="B12622" s="0" t="s">
        <v>98</v>
      </c>
      <c r="D12622" s="6" t="n">
        <f aca="false">Sens!D12604</f>
        <v>281.724</v>
      </c>
      <c r="E12622" s="6" t="n">
        <f aca="false">Sens!E12604</f>
        <v>331.839</v>
      </c>
      <c r="F12622" s="6" t="n">
        <f aca="false">Sens!F12604</f>
        <v>394.529207055133</v>
      </c>
      <c r="G12622" s="6" t="n">
        <f aca="false">Sens!G12604</f>
        <v>459.218866909839</v>
      </c>
      <c r="H12622" s="6" t="n">
        <f aca="false">Sens!H12604</f>
        <v>519.84030172252</v>
      </c>
      <c r="I12622" s="6" t="n">
        <f aca="false">Sens!I12604</f>
        <v>583.212474807897</v>
      </c>
      <c r="J12622" s="6" t="n">
        <f aca="false">Sens!J12604</f>
        <v>636.608589364724</v>
      </c>
      <c r="K12622" s="6" t="n">
        <f aca="false">Sens!K12604</f>
        <v>680.422686330639</v>
      </c>
    </row>
    <row r="12623" customFormat="false" ht="15" hidden="false" customHeight="false" outlineLevel="0" collapsed="false">
      <c r="A12623" s="1" t="s">
        <v>1060</v>
      </c>
      <c r="B12623" s="0" t="s">
        <v>168</v>
      </c>
      <c r="E12623" s="7" t="n">
        <f aca="false">Sens!E12622/Sens!D12622-1</f>
        <v>0.177886867998467</v>
      </c>
      <c r="F12623" s="7" t="n">
        <f aca="false">Sens!F12622/Sens!E12622-1</f>
        <v>0.188917538490452</v>
      </c>
      <c r="G12623" s="7" t="n">
        <f aca="false">Sens!G12622/Sens!F12622-1</f>
        <v>0.163966719568282</v>
      </c>
      <c r="H12623" s="7" t="n">
        <f aca="false">Sens!H12622/Sens!G12622-1</f>
        <v>0.132009895892592</v>
      </c>
      <c r="I12623" s="7" t="n">
        <f aca="false">Sens!I12622/Sens!H12622-1</f>
        <v>0.121907002737936</v>
      </c>
      <c r="J12623" s="7" t="n">
        <f aca="false">Sens!J12622/Sens!I12622-1</f>
        <v>0.0915551653356088</v>
      </c>
      <c r="K12623" s="7" t="n">
        <f aca="false">Sens!K12622/Sens!J12622-1</f>
        <v>0.0688242315574745</v>
      </c>
    </row>
    <row r="12624" customFormat="false" ht="17.15" hidden="false" customHeight="false" outlineLevel="0" collapsed="false">
      <c r="A12624" s="26" t="s">
        <v>1061</v>
      </c>
      <c r="B12624" s="31" t="s">
        <v>98</v>
      </c>
      <c r="C12624" s="31"/>
      <c r="D12624" s="27" t="n">
        <f aca="false">(Sens!D12617+Sens!D12621-Sens!D12622)+(Sens!D12609+Sens!D12610-Sens!D12608)+(Sens!D12612+Sens!D12613-Sens!D12611)+(Sens!D12622-Q!L18)</f>
        <v>0</v>
      </c>
      <c r="E12624" s="27" t="n">
        <f aca="false">(Sens!E12617+Sens!E12621-Sens!E12622)+(Sens!E12609+Sens!E12610-Sens!E12608)+(Sens!E12612+Sens!E12613-Sens!E12611)+(Sens!E12622-Q!M18)</f>
        <v>0</v>
      </c>
      <c r="F12624" s="27" t="n">
        <f aca="false">(Sens!F12617+Sens!F12621-Sens!F12622)+(Sens!F12609+Sens!F12610-Sens!F12608)+(Sens!F12612+Sens!F12613-Sens!F12611)</f>
        <v>0</v>
      </c>
      <c r="G12624" s="27" t="n">
        <f aca="false">(Sens!G12617+Sens!G12621-Sens!G12622)+(Sens!G12609+Sens!G12610-Sens!G12608)+(Sens!G12612+Sens!G12613-Sens!G12611)</f>
        <v>0</v>
      </c>
      <c r="H12624" s="27" t="n">
        <f aca="false">(Sens!H12617+Sens!H12621-Sens!H12622)+(Sens!H12609+Sens!H12610-Sens!H12608)+(Sens!H12612+Sens!H12613-Sens!H12611)</f>
        <v>0</v>
      </c>
      <c r="I12624" s="27" t="n">
        <f aca="false">(Sens!I12617+Sens!I12621-Sens!I12622)+(Sens!I12609+Sens!I12610-Sens!I12608)+(Sens!I12612+Sens!I12613-Sens!I12611)</f>
        <v>0</v>
      </c>
      <c r="J12624" s="27" t="n">
        <f aca="false">(Sens!J12617+Sens!J12621-Sens!J12622)+(Sens!J12609+Sens!J12610-Sens!J12608)+(Sens!J12612+Sens!J12613-Sens!J12611)</f>
        <v>0</v>
      </c>
      <c r="K12624" s="27" t="n">
        <f aca="false">(Sens!K12617+Sens!K12621-Sens!K12622)+(Sens!K12609+Sens!K12610-Sens!K12608)+(Sens!K12612+Sens!K12613-Sens!K12611)</f>
        <v>0</v>
      </c>
    </row>
    <row r="12625" customFormat="false" ht="17.15" hidden="false" customHeight="false" outlineLevel="0" collapsed="false">
      <c r="A12625" s="0" t="s">
        <v>1062</v>
      </c>
      <c r="B12625" s="0" t="s">
        <v>168</v>
      </c>
      <c r="E12625" s="7" t="n">
        <f aca="false">(Q!M21+Sens!E12561+Sens!E12562+Sens!E12563+Sens!E12577-Sens!E12559)/(Q!M5-Sens!E12559)</f>
        <v>0.570957350878296</v>
      </c>
      <c r="F12625" s="7" t="n">
        <f aca="false">Sens!$E$12625+dm_seg</f>
        <v>0.570957350878296</v>
      </c>
      <c r="G12625" s="7" t="n">
        <f aca="false">Sens!$E$12625+dm_seg</f>
        <v>0.570957350878296</v>
      </c>
      <c r="H12625" s="7" t="n">
        <f aca="false">Sens!$E$12625+dm_seg</f>
        <v>0.570957350878296</v>
      </c>
      <c r="I12625" s="7" t="n">
        <f aca="false">Sens!$E$12625+dm_seg</f>
        <v>0.570957350878296</v>
      </c>
      <c r="J12625" s="7" t="n">
        <f aca="false">Sens!$E$12625+dm_seg</f>
        <v>0.570957350878296</v>
      </c>
      <c r="K12625" s="7" t="n">
        <f aca="false">Sens!$E$12625+dm_seg</f>
        <v>0.570957350878296</v>
      </c>
      <c r="L12625" s="12" t="s">
        <v>1063</v>
      </c>
    </row>
    <row r="12626" customFormat="false" ht="17.15" hidden="false" customHeight="false" outlineLevel="0" collapsed="false">
      <c r="A12626" s="0" t="s">
        <v>884</v>
      </c>
      <c r="B12626" s="0" t="s">
        <v>98</v>
      </c>
      <c r="D12626" s="6" t="n">
        <f aca="false">Q!L21</f>
        <v>110.814</v>
      </c>
      <c r="E12626" s="6" t="n">
        <f aca="false">Q!M21</f>
        <v>136.365</v>
      </c>
      <c r="F12626" s="6" t="n">
        <f aca="false">Q!$I$21+(Sens!F12625*(Sens!F12596-Sens!F12559)+Sens!F12559-(Sens!F12561+Sens!F12562+Sens!F12563)-Sens!F12577-Sens!F12660)*(Sens!F12596-Q!$I$5)/Sens!F12596</f>
        <v>158.110234156687</v>
      </c>
      <c r="G12626" s="6" t="n">
        <f aca="false">(Sens!G12625*(Sens!G12596-Sens!G12559)+Sens!G12559-(Sens!G12561+Sens!G12562+Sens!G12563)-Sens!G12577-Sens!G12660)</f>
        <v>161.288737768095</v>
      </c>
      <c r="H12626" s="6" t="n">
        <f aca="false">(Sens!H12625*(Sens!H12596-Sens!H12559)+Sens!H12559-(Sens!H12561+Sens!H12562+Sens!H12563)-Sens!H12577-Sens!H12660)</f>
        <v>162.750449226018</v>
      </c>
      <c r="I12626" s="6" t="n">
        <f aca="false">(Sens!I12625*(Sens!I12596-Sens!I12559)+Sens!I12559-(Sens!I12561+Sens!I12562+Sens!I12563)-Sens!I12577-Sens!I12660)</f>
        <v>172.031140185604</v>
      </c>
      <c r="J12626" s="6" t="n">
        <f aca="false">(Sens!J12625*(Sens!J12596-Sens!J12559)+Sens!J12559-(Sens!J12561+Sens!J12562+Sens!J12563)-Sens!J12577-Sens!J12660)</f>
        <v>182.855335729531</v>
      </c>
      <c r="K12626" s="6" t="n">
        <f aca="false">(Sens!K12625*(Sens!K12596-Sens!K12559)+Sens!K12559-(Sens!K12561+Sens!K12562+Sens!K12563)-Sens!K12577-Sens!K12660)</f>
        <v>195.088404864353</v>
      </c>
      <c r="L12626" s="1" t="s">
        <v>1064</v>
      </c>
    </row>
    <row r="12627" customFormat="false" ht="17.15" hidden="false" customHeight="false" outlineLevel="0" collapsed="false">
      <c r="A12627" s="0" t="s">
        <v>1065</v>
      </c>
      <c r="B12627" s="0" t="s">
        <v>168</v>
      </c>
      <c r="E12627" s="7" t="n">
        <f aca="false">Q!M22/Q!M12</f>
        <v>0.296207935710698</v>
      </c>
      <c r="F12627" s="7" t="n">
        <f aca="false">Sens!$E$12627+dm_seg</f>
        <v>0.296207935710698</v>
      </c>
      <c r="G12627" s="7" t="n">
        <f aca="false">Sens!$E$12627+dm_seg</f>
        <v>0.296207935710698</v>
      </c>
      <c r="H12627" s="7" t="n">
        <f aca="false">Sens!$E$12627+dm_seg</f>
        <v>0.296207935710698</v>
      </c>
      <c r="I12627" s="7" t="n">
        <f aca="false">Sens!$E$12627+dm_seg</f>
        <v>0.296207935710698</v>
      </c>
      <c r="J12627" s="7" t="n">
        <f aca="false">Sens!$E$12627+dm_seg</f>
        <v>0.296207935710698</v>
      </c>
      <c r="K12627" s="7" t="n">
        <f aca="false">Sens!$E$12627+dm_seg</f>
        <v>0.296207935710698</v>
      </c>
      <c r="L12627" s="12" t="s">
        <v>1066</v>
      </c>
    </row>
    <row r="12628" customFormat="false" ht="17.15" hidden="false" customHeight="false" outlineLevel="0" collapsed="false">
      <c r="A12628" s="0" t="s">
        <v>886</v>
      </c>
      <c r="B12628" s="0" t="s">
        <v>98</v>
      </c>
      <c r="D12628" s="6" t="n">
        <f aca="false">Q!L22</f>
        <v>17.714</v>
      </c>
      <c r="E12628" s="6" t="n">
        <f aca="false">Q!M22</f>
        <v>18.872</v>
      </c>
      <c r="F12628" s="6" t="n">
        <f aca="false">Q!$I$22+(Sens!F12603-Q!$I$12)*Sens!F12627</f>
        <v>19.8415458392513</v>
      </c>
      <c r="G12628" s="6" t="n">
        <f aca="false">Sens!G12603*Sens!G12627</f>
        <v>19.7162243240541</v>
      </c>
      <c r="H12628" s="6" t="n">
        <f aca="false">Sens!H12603*Sens!H12627</f>
        <v>20.5260335325824</v>
      </c>
      <c r="I12628" s="6" t="n">
        <f aca="false">Sens!I12603*Sens!I12627</f>
        <v>21.4811001142341</v>
      </c>
      <c r="J12628" s="6" t="n">
        <f aca="false">Sens!J12603*Sens!J12627</f>
        <v>22.5686326015338</v>
      </c>
      <c r="K12628" s="6" t="n">
        <f aca="false">Sens!K12603*Sens!K12627</f>
        <v>23.7826168339799</v>
      </c>
      <c r="L12628" s="12" t="s">
        <v>1067</v>
      </c>
    </row>
    <row r="12629" customFormat="false" ht="15" hidden="false" customHeight="false" outlineLevel="0" collapsed="false">
      <c r="A12629" s="1" t="s">
        <v>1068</v>
      </c>
      <c r="B12629" s="0" t="s">
        <v>98</v>
      </c>
      <c r="D12629" s="6" t="n">
        <f aca="false">Sens!D12626+Sens!D12628</f>
        <v>128.528</v>
      </c>
      <c r="E12629" s="6" t="n">
        <f aca="false">Sens!E12626+Sens!E12628</f>
        <v>155.237</v>
      </c>
      <c r="F12629" s="6" t="n">
        <f aca="false">Sens!F12626+Sens!F12628</f>
        <v>177.951779995938</v>
      </c>
      <c r="G12629" s="6" t="n">
        <f aca="false">Sens!G12626+Sens!G12628</f>
        <v>181.004962092149</v>
      </c>
      <c r="H12629" s="6" t="n">
        <f aca="false">Sens!H12626+Sens!H12628</f>
        <v>183.276482758601</v>
      </c>
      <c r="I12629" s="6" t="n">
        <f aca="false">Sens!I12626+Sens!I12628</f>
        <v>193.512240299838</v>
      </c>
      <c r="J12629" s="6" t="n">
        <f aca="false">Sens!J12626+Sens!J12628</f>
        <v>205.423968331064</v>
      </c>
      <c r="K12629" s="6" t="n">
        <f aca="false">Sens!K12626+Sens!K12628</f>
        <v>218.871021698333</v>
      </c>
    </row>
    <row r="12630" customFormat="false" ht="15" hidden="false" customHeight="false" outlineLevel="0" collapsed="false">
      <c r="A12630" s="26" t="s">
        <v>1069</v>
      </c>
      <c r="B12630" s="31" t="s">
        <v>98</v>
      </c>
      <c r="C12630" s="31"/>
      <c r="D12630" s="27" t="n">
        <f aca="false">Sens!D12629-Q!L23</f>
        <v>0</v>
      </c>
      <c r="E12630" s="27" t="n">
        <f aca="false">Sens!E12629-Q!M23</f>
        <v>0</v>
      </c>
      <c r="F12630" s="31"/>
      <c r="G12630" s="31"/>
      <c r="H12630" s="31"/>
      <c r="I12630" s="31"/>
      <c r="J12630" s="31"/>
      <c r="K12630" s="31"/>
    </row>
    <row r="12631" customFormat="false" ht="15" hidden="false" customHeight="false" outlineLevel="0" collapsed="false">
      <c r="A12631" s="1" t="s">
        <v>1070</v>
      </c>
      <c r="B12631" s="0" t="s">
        <v>168</v>
      </c>
      <c r="D12631" s="7" t="n">
        <f aca="false">Sens!D12629/Sens!D12622</f>
        <v>0.456219562408598</v>
      </c>
      <c r="E12631" s="7" t="n">
        <f aca="false">Sens!E12629/Sens!E12622</f>
        <v>0.467808184089272</v>
      </c>
      <c r="F12631" s="7" t="n">
        <f aca="false">Sens!F12629/Sens!F12622</f>
        <v>0.451048431431011</v>
      </c>
      <c r="G12631" s="7" t="n">
        <f aca="false">Sens!G12629/Sens!G12622</f>
        <v>0.394158374437362</v>
      </c>
      <c r="H12631" s="7" t="n">
        <f aca="false">Sens!H12629/Sens!H12622</f>
        <v>0.352563050904872</v>
      </c>
      <c r="I12631" s="7" t="n">
        <f aca="false">Sens!I12629/Sens!I12622</f>
        <v>0.331804014246401</v>
      </c>
      <c r="J12631" s="7" t="n">
        <f aca="false">Sens!J12629/Sens!J12622</f>
        <v>0.322684883243656</v>
      </c>
      <c r="K12631" s="7" t="n">
        <f aca="false">Sens!K12629/Sens!K12622</f>
        <v>0.321669200770853</v>
      </c>
    </row>
    <row r="12632" customFormat="false" ht="17.15" hidden="false" customHeight="false" outlineLevel="0" collapsed="false">
      <c r="A12632" s="1" t="s">
        <v>1071</v>
      </c>
      <c r="B12632" s="0" t="s">
        <v>98</v>
      </c>
      <c r="F12632" s="6" t="n">
        <f aca="false">Sens!F12647</f>
        <v>10.5962787979473</v>
      </c>
      <c r="G12632" s="6" t="n">
        <f aca="false">Sens!G12647</f>
        <v>27.844646674932</v>
      </c>
      <c r="H12632" s="6" t="n">
        <f aca="false">Sens!H12647</f>
        <v>46.566205501382</v>
      </c>
      <c r="I12632" s="6" t="n">
        <f aca="false">Sens!I12647</f>
        <v>63.2717778126444</v>
      </c>
      <c r="J12632" s="6" t="n">
        <f aca="false">Sens!J12647</f>
        <v>74.9061222882009</v>
      </c>
      <c r="K12632" s="6" t="n">
        <f aca="false">Sens!K12647</f>
        <v>81.6395437180232</v>
      </c>
      <c r="L12632" s="1" t="s">
        <v>1072</v>
      </c>
    </row>
    <row r="12633" customFormat="false" ht="17.15" hidden="false" customHeight="false" outlineLevel="0" collapsed="false">
      <c r="A12633" s="1" t="s">
        <v>1073</v>
      </c>
      <c r="B12633" s="0" t="s">
        <v>98</v>
      </c>
      <c r="D12633" s="6" t="n">
        <f aca="false">Sens!D12629</f>
        <v>128.528</v>
      </c>
      <c r="E12633" s="6" t="n">
        <f aca="false">Sens!E12629</f>
        <v>155.237</v>
      </c>
      <c r="F12633" s="6" t="n">
        <f aca="false">Sens!F12629+Sens!F12632</f>
        <v>188.548058793886</v>
      </c>
      <c r="G12633" s="6" t="n">
        <f aca="false">Sens!G12629+Sens!G12632</f>
        <v>208.849608767081</v>
      </c>
      <c r="H12633" s="6" t="n">
        <f aca="false">Sens!H12629+Sens!H12632</f>
        <v>229.842688259983</v>
      </c>
      <c r="I12633" s="6" t="n">
        <f aca="false">Sens!I12629+Sens!I12632</f>
        <v>256.784018112483</v>
      </c>
      <c r="J12633" s="6" t="n">
        <f aca="false">Sens!J12629+Sens!J12632</f>
        <v>280.330090619265</v>
      </c>
      <c r="K12633" s="6" t="n">
        <f aca="false">Sens!K12629+Sens!K12632</f>
        <v>300.510565416357</v>
      </c>
    </row>
    <row r="12634" customFormat="false" ht="17.15" hidden="false" customHeight="false" outlineLevel="0" collapsed="false">
      <c r="A12634" s="1" t="s">
        <v>1074</v>
      </c>
      <c r="B12634" s="0" t="s">
        <v>98</v>
      </c>
      <c r="E12634" s="6" t="n">
        <f aca="false">Sens!E12577</f>
        <v>16.3054059770833</v>
      </c>
      <c r="F12634" s="6" t="n">
        <f aca="false">Sens!F12577</f>
        <v>34.5793144783516</v>
      </c>
      <c r="G12634" s="6" t="n">
        <f aca="false">Sens!G12577</f>
        <v>60.7344906522989</v>
      </c>
      <c r="H12634" s="6" t="n">
        <f aca="false">Sens!H12577</f>
        <v>89.1000906614457</v>
      </c>
      <c r="I12634" s="6" t="n">
        <f aca="false">Sens!I12577</f>
        <v>114.231009694548</v>
      </c>
      <c r="J12634" s="6" t="n">
        <f aca="false">Sens!J12577</f>
        <v>132.015673049596</v>
      </c>
      <c r="K12634" s="6" t="n">
        <f aca="false">Sens!K12577</f>
        <v>143.012669550934</v>
      </c>
    </row>
    <row r="12635" customFormat="false" ht="17.15" hidden="false" customHeight="false" outlineLevel="0" collapsed="false">
      <c r="A12635" s="1" t="s">
        <v>1075</v>
      </c>
      <c r="B12635" s="0" t="s">
        <v>98</v>
      </c>
      <c r="E12635" s="6" t="n">
        <f aca="false">Sens!E12659</f>
        <v>22.2285940229167</v>
      </c>
      <c r="F12635" s="6" t="n">
        <f aca="false">Sens!F12659</f>
        <v>23.5885847579552</v>
      </c>
      <c r="G12635" s="6" t="n">
        <f aca="false">Sens!G12659</f>
        <v>25.3486878215874</v>
      </c>
      <c r="H12635" s="6" t="n">
        <f aca="false">Sens!H12659</f>
        <v>27.4778108488109</v>
      </c>
      <c r="I12635" s="6" t="n">
        <f aca="false">Sens!I12659</f>
        <v>29.919385528296</v>
      </c>
      <c r="J12635" s="6" t="n">
        <f aca="false">Sens!J12659</f>
        <v>32.5988046876917</v>
      </c>
      <c r="K12635" s="6" t="n">
        <f aca="false">Sens!K12659</f>
        <v>35.4319724572644</v>
      </c>
    </row>
    <row r="12636" customFormat="false" ht="17.15" hidden="false" customHeight="false" outlineLevel="0" collapsed="false">
      <c r="A12636" s="1" t="s">
        <v>1076</v>
      </c>
      <c r="B12636" s="0" t="s">
        <v>98</v>
      </c>
      <c r="D12636" s="6" t="n">
        <f aca="false">Q!L27</f>
        <v>-4.901</v>
      </c>
      <c r="E12636" s="6" t="n">
        <f aca="false">Q!M27</f>
        <v>10.697</v>
      </c>
      <c r="F12636" s="6" t="n">
        <f aca="false">Q!$I$27+oie_f*(q_per_yr-1)/q_per_yr</f>
        <v>-0.862</v>
      </c>
      <c r="G12636" s="6" t="n">
        <f aca="false">oie_f</f>
        <v>-1.2</v>
      </c>
      <c r="H12636" s="6" t="n">
        <f aca="false">oie_f</f>
        <v>-1.2</v>
      </c>
      <c r="I12636" s="6" t="n">
        <f aca="false">oie_f</f>
        <v>-1.2</v>
      </c>
      <c r="J12636" s="6" t="n">
        <f aca="false">oie_f</f>
        <v>-1.2</v>
      </c>
      <c r="K12636" s="6" t="n">
        <f aca="false">oie_f</f>
        <v>-1.2</v>
      </c>
      <c r="L12636" s="12" t="s">
        <v>1077</v>
      </c>
    </row>
    <row r="12637" customFormat="false" ht="15" hidden="false" customHeight="false" outlineLevel="0" collapsed="false">
      <c r="A12637" s="1" t="s">
        <v>1078</v>
      </c>
      <c r="B12637" s="0" t="s">
        <v>98</v>
      </c>
      <c r="D12637" s="6" t="n">
        <f aca="false">Sens!D12629+Sens!D12636</f>
        <v>123.627</v>
      </c>
      <c r="E12637" s="6" t="n">
        <f aca="false">Sens!E12629+Sens!E12636</f>
        <v>165.934</v>
      </c>
      <c r="F12637" s="6" t="n">
        <f aca="false">Sens!F12629+Sens!F12636</f>
        <v>177.089779995938</v>
      </c>
      <c r="G12637" s="6" t="n">
        <f aca="false">Sens!G12629+Sens!G12636</f>
        <v>179.804962092149</v>
      </c>
      <c r="H12637" s="6" t="n">
        <f aca="false">Sens!H12629+Sens!H12636</f>
        <v>182.076482758601</v>
      </c>
      <c r="I12637" s="6" t="n">
        <f aca="false">Sens!I12629+Sens!I12636</f>
        <v>192.312240299838</v>
      </c>
      <c r="J12637" s="6" t="n">
        <f aca="false">Sens!J12629+Sens!J12636</f>
        <v>204.223968331064</v>
      </c>
      <c r="K12637" s="6" t="n">
        <f aca="false">Sens!K12629+Sens!K12636</f>
        <v>217.671021698333</v>
      </c>
    </row>
    <row r="12638" customFormat="false" ht="15" hidden="false" customHeight="false" outlineLevel="0" collapsed="false">
      <c r="A12638" s="1" t="s">
        <v>1079</v>
      </c>
      <c r="B12638" s="0" t="s">
        <v>98</v>
      </c>
      <c r="D12638" s="6" t="n">
        <f aca="false">Q!L29</f>
        <v>21.795</v>
      </c>
      <c r="E12638" s="6" t="n">
        <f aca="false">Q!M29</f>
        <v>32.185</v>
      </c>
      <c r="F12638" s="6" t="n">
        <f aca="false">Q!$I$29+(Sens!F12637-Q!$I$28)*tax_f</f>
        <v>35.5513559991876</v>
      </c>
      <c r="G12638" s="6" t="n">
        <f aca="false">Sens!G12637*tax_f</f>
        <v>35.9609924184299</v>
      </c>
      <c r="H12638" s="6" t="n">
        <f aca="false">Sens!H12637*tax_f</f>
        <v>36.4152965517202</v>
      </c>
      <c r="I12638" s="6" t="n">
        <f aca="false">Sens!I12637*tax_f</f>
        <v>38.4624480599676</v>
      </c>
      <c r="J12638" s="6" t="n">
        <f aca="false">Sens!J12637*tax_f</f>
        <v>40.8447936662129</v>
      </c>
      <c r="K12638" s="6" t="n">
        <f aca="false">Sens!K12637*tax_f</f>
        <v>43.5342043396667</v>
      </c>
    </row>
    <row r="12639" customFormat="false" ht="15" hidden="false" customHeight="false" outlineLevel="0" collapsed="false">
      <c r="A12639" s="1" t="s">
        <v>1080</v>
      </c>
      <c r="B12639" s="0" t="s">
        <v>98</v>
      </c>
      <c r="D12639" s="6" t="n">
        <f aca="false">Sens!D12637-Sens!D12638</f>
        <v>101.832</v>
      </c>
      <c r="E12639" s="6" t="n">
        <f aca="false">Sens!E12637-Sens!E12638</f>
        <v>133.749</v>
      </c>
      <c r="F12639" s="6" t="n">
        <f aca="false">Sens!F12637-Sens!F12638</f>
        <v>141.538423996751</v>
      </c>
      <c r="G12639" s="6" t="n">
        <f aca="false">Sens!G12637-Sens!G12638</f>
        <v>143.843969673719</v>
      </c>
      <c r="H12639" s="6" t="n">
        <f aca="false">Sens!H12637-Sens!H12638</f>
        <v>145.661186206881</v>
      </c>
      <c r="I12639" s="6" t="n">
        <f aca="false">Sens!I12637-Sens!I12638</f>
        <v>153.849792239871</v>
      </c>
      <c r="J12639" s="6" t="n">
        <f aca="false">Sens!J12637-Sens!J12638</f>
        <v>163.379174664852</v>
      </c>
      <c r="K12639" s="6" t="n">
        <f aca="false">Sens!K12637-Sens!K12638</f>
        <v>174.136817358667</v>
      </c>
    </row>
    <row r="12640" customFormat="false" ht="17.15" hidden="false" customHeight="false" outlineLevel="0" collapsed="false">
      <c r="A12640" s="1" t="s">
        <v>1081</v>
      </c>
      <c r="B12640" s="1" t="s">
        <v>81</v>
      </c>
      <c r="D12640" s="15" t="n">
        <f aca="false">Q!L31</f>
        <v>7.465</v>
      </c>
      <c r="E12640" s="15" t="n">
        <f aca="false">Q!M31</f>
        <v>7.453</v>
      </c>
      <c r="F12640" s="15" t="n">
        <f aca="false">Sens!F12684</f>
        <v>7.4735</v>
      </c>
      <c r="G12640" s="15" t="n">
        <f aca="false">Sens!G12684</f>
        <v>7.5185</v>
      </c>
      <c r="H12640" s="15" t="n">
        <f aca="false">Sens!H12684</f>
        <v>7.5635</v>
      </c>
      <c r="I12640" s="15" t="n">
        <f aca="false">Sens!I12684</f>
        <v>7.59248142502667</v>
      </c>
      <c r="J12640" s="15" t="n">
        <f aca="false">Sens!J12684</f>
        <v>7.60663083618914</v>
      </c>
      <c r="K12640" s="15" t="n">
        <f aca="false">Sens!K12684</f>
        <v>7.62306547615439</v>
      </c>
    </row>
    <row r="12641" customFormat="false" ht="17.15" hidden="false" customHeight="false" outlineLevel="0" collapsed="false">
      <c r="A12641" s="0" t="s">
        <v>1082</v>
      </c>
      <c r="B12641" s="0" t="s">
        <v>75</v>
      </c>
      <c r="D12641" s="8" t="n">
        <f aca="false">Sens!D12639/Sens!D12640</f>
        <v>13.641259209645</v>
      </c>
      <c r="E12641" s="8" t="n">
        <f aca="false">Sens!E12639/Sens!E12640</f>
        <v>17.9456594659869</v>
      </c>
      <c r="F12641" s="8" t="n">
        <f aca="false">Sens!F12639/Sens!F12640</f>
        <v>18.9387066296582</v>
      </c>
      <c r="G12641" s="8" t="n">
        <f aca="false">Sens!G12639/Sens!G12640</f>
        <v>19.1320036807501</v>
      </c>
      <c r="H12641" s="8" t="n">
        <f aca="false">Sens!H12639/Sens!H12640</f>
        <v>19.2584367299373</v>
      </c>
      <c r="I12641" s="8" t="n">
        <f aca="false">Sens!I12639/Sens!I12640</f>
        <v>20.2634400569943</v>
      </c>
      <c r="J12641" s="8" t="n">
        <f aca="false">Sens!J12639/Sens!J12640</f>
        <v>21.4785202783291</v>
      </c>
      <c r="K12641" s="8" t="n">
        <f aca="false">Sens!K12639/Sens!K12640</f>
        <v>22.8434109484408</v>
      </c>
      <c r="L12641" s="1" t="s">
        <v>1083</v>
      </c>
    </row>
    <row r="12642" customFormat="false" ht="17.15" hidden="false" customHeight="false" outlineLevel="0" collapsed="false">
      <c r="A12642" s="1" t="s">
        <v>1084</v>
      </c>
      <c r="B12642" s="0" t="s">
        <v>98</v>
      </c>
      <c r="D12642" s="6" t="n">
        <f aca="false">Sens!D12639</f>
        <v>101.832</v>
      </c>
      <c r="E12642" s="6" t="n">
        <f aca="false">Sens!E12639</f>
        <v>133.749</v>
      </c>
      <c r="F12642" s="6" t="n">
        <f aca="false">Sens!F12639+Sens!F12632*(1-tax_f)</f>
        <v>150.015447035108</v>
      </c>
      <c r="G12642" s="6" t="n">
        <f aca="false">Sens!G12639+Sens!G12632*(1-tax_f)</f>
        <v>166.119687013665</v>
      </c>
      <c r="H12642" s="6" t="n">
        <f aca="false">Sens!H12639+Sens!H12632*(1-tax_f)</f>
        <v>182.914150607986</v>
      </c>
      <c r="I12642" s="6" t="n">
        <f aca="false">Sens!I12639+Sens!I12632*(1-tax_f)</f>
        <v>204.467214489986</v>
      </c>
      <c r="J12642" s="6" t="n">
        <f aca="false">Sens!J12639+Sens!J12632*(1-tax_f)</f>
        <v>223.304072495412</v>
      </c>
      <c r="K12642" s="6" t="n">
        <f aca="false">Sens!K12639+Sens!K12632*(1-tax_f)</f>
        <v>239.448452333085</v>
      </c>
    </row>
    <row r="12643" customFormat="false" ht="17.15" hidden="false" customHeight="false" outlineLevel="0" collapsed="false">
      <c r="A12643" s="0" t="s">
        <v>1085</v>
      </c>
      <c r="B12643" s="0" t="s">
        <v>75</v>
      </c>
      <c r="D12643" s="8" t="n">
        <f aca="false">Sens!D12642/Sens!D12640</f>
        <v>13.641259209645</v>
      </c>
      <c r="E12643" s="8" t="n">
        <f aca="false">Sens!E12642/Sens!E12640</f>
        <v>17.9456594659869</v>
      </c>
      <c r="F12643" s="8" t="n">
        <f aca="false">Sens!F12642/Sens!F12640</f>
        <v>20.0729841486731</v>
      </c>
      <c r="G12643" s="8" t="n">
        <f aca="false">Sens!G12642/Sens!G12640</f>
        <v>22.0947911170666</v>
      </c>
      <c r="H12643" s="8" t="n">
        <f aca="false">Sens!H12642/Sens!H12640</f>
        <v>24.1837972642277</v>
      </c>
      <c r="I12643" s="8" t="n">
        <f aca="false">Sens!I12642/Sens!I12640</f>
        <v>26.9302225509584</v>
      </c>
      <c r="J12643" s="8" t="n">
        <f aca="false">Sens!J12642/Sens!J12640</f>
        <v>29.3565018868834</v>
      </c>
      <c r="K12643" s="8" t="n">
        <f aca="false">Sens!K12642/Sens!K12640</f>
        <v>31.4110449506305</v>
      </c>
      <c r="L12643" s="1" t="s">
        <v>1086</v>
      </c>
    </row>
    <row r="12644" customFormat="false" ht="17.15" hidden="false" customHeight="false" outlineLevel="0" collapsed="false">
      <c r="A12644" s="0" t="s">
        <v>1087</v>
      </c>
      <c r="B12644" s="0" t="s">
        <v>168</v>
      </c>
      <c r="E12644" s="7" t="n">
        <f aca="false">Sens!E12643/Sens!D12643-1</f>
        <v>0.315542736208578</v>
      </c>
      <c r="F12644" s="7" t="n">
        <f aca="false">Sens!F12643/Sens!E12643-1</f>
        <v>0.118542574972977</v>
      </c>
      <c r="G12644" s="7" t="n">
        <f aca="false">Sens!G12643/Sens!F12643-1</f>
        <v>0.100722790065428</v>
      </c>
      <c r="H12644" s="7" t="n">
        <f aca="false">Sens!H12643/Sens!G12643-1</f>
        <v>0.0945474494912748</v>
      </c>
      <c r="I12644" s="7" t="n">
        <f aca="false">Sens!I12643/Sens!H12643-1</f>
        <v>0.113564683689819</v>
      </c>
      <c r="J12644" s="7" t="n">
        <f aca="false">Sens!J12643/Sens!I12643-1</f>
        <v>0.0900950347266505</v>
      </c>
      <c r="K12644" s="7" t="n">
        <f aca="false">Sens!K12643/Sens!J12643-1</f>
        <v>0.0699859633025637</v>
      </c>
    </row>
    <row r="12645" customFormat="false" ht="17.15" hidden="false" customHeight="false" outlineLevel="0" collapsed="false">
      <c r="A12645" s="0" t="s">
        <v>1007</v>
      </c>
      <c r="B12645" s="0" t="s">
        <v>98</v>
      </c>
      <c r="E12645" s="6" t="n">
        <f aca="false">Sens!E12586</f>
        <v>5.25</v>
      </c>
      <c r="F12645" s="6" t="n">
        <f aca="false">Sens!F12586</f>
        <v>10.5</v>
      </c>
      <c r="G12645" s="6" t="n">
        <f aca="false">Sens!G12586</f>
        <v>13.5</v>
      </c>
      <c r="H12645" s="6" t="n">
        <f aca="false">Sens!H12586</f>
        <v>16.5</v>
      </c>
      <c r="I12645" s="6" t="n">
        <f aca="false">Sens!I12586</f>
        <v>18.75</v>
      </c>
      <c r="J12645" s="6" t="n">
        <f aca="false">Sens!J12586</f>
        <v>20.25</v>
      </c>
      <c r="K12645" s="6" t="n">
        <f aca="false">Sens!K12586</f>
        <v>21.75</v>
      </c>
    </row>
    <row r="12646" customFormat="false" ht="17.15" hidden="false" customHeight="false" outlineLevel="0" collapsed="false">
      <c r="A12646" s="1" t="s">
        <v>1008</v>
      </c>
      <c r="B12646" s="0" t="s">
        <v>98</v>
      </c>
      <c r="F12646" s="6" t="n">
        <f aca="false">MAX(0,((Sens!E12546+Sens!F12546)/2-(shadow_base*(Sens!$D$12546+Sens!$E$12546)/2+(1-shadow_base)*Sens!$E$12546))*Sens!F12555/1000-(Sens!F12645-Sens!$E$12645)*Sens!F12625)</f>
        <v>10.5962787979473</v>
      </c>
      <c r="G12646" s="6" t="n">
        <f aca="false">MAX(0,((Sens!F12546+Sens!G12546)/2-(shadow_base*(Sens!$D$12546+Sens!$E$12546)/2+(1-shadow_base)*Sens!$E$12546))*Sens!G12555/1000-(Sens!G12645-Sens!$E$12645)*Sens!G12625)</f>
        <v>27.844646674932</v>
      </c>
      <c r="H12646" s="6" t="n">
        <f aca="false">MAX(0,((Sens!G12546+Sens!H12546)/2-(shadow_base*(Sens!$D$12546+Sens!$E$12546)/2+(1-shadow_base)*Sens!$E$12546))*Sens!H12555/1000-(Sens!H12645-Sens!$E$12645)*Sens!H12625)</f>
        <v>46.566205501382</v>
      </c>
      <c r="I12646" s="6" t="n">
        <f aca="false">MAX(0,((Sens!H12546+Sens!I12546)/2-(shadow_base*(Sens!$D$12546+Sens!$E$12546)/2+(1-shadow_base)*Sens!$E$12546))*Sens!I12555/1000-(Sens!I12645-Sens!$E$12645)*Sens!I12625)</f>
        <v>63.2717778126444</v>
      </c>
      <c r="J12646" s="6" t="n">
        <f aca="false">MAX(0,((Sens!I12546+Sens!J12546)/2-(shadow_base*(Sens!$D$12546+Sens!$E$12546)/2+(1-shadow_base)*Sens!$E$12546))*Sens!J12555/1000-(Sens!J12645-Sens!$E$12645)*Sens!J12625)</f>
        <v>74.9061222882009</v>
      </c>
      <c r="K12646" s="6" t="n">
        <f aca="false">MAX(0,((Sens!J12546+Sens!K12546)/2-(shadow_base*(Sens!$D$12546+Sens!$E$12546)/2+(1-shadow_base)*Sens!$E$12546))*Sens!K12555/1000-(Sens!K12645-Sens!$E$12645)*Sens!K12625)</f>
        <v>81.6395437180232</v>
      </c>
      <c r="L12646" s="1" t="s">
        <v>1009</v>
      </c>
    </row>
    <row r="12647" customFormat="false" ht="17.15" hidden="false" customHeight="false" outlineLevel="0" collapsed="false">
      <c r="A12647" s="1" t="s">
        <v>1010</v>
      </c>
      <c r="B12647" s="0" t="s">
        <v>98</v>
      </c>
      <c r="F12647" s="6" t="n">
        <f aca="false">IF(internal_ai_reading=2,1,0)*Sens!F12646</f>
        <v>10.5962787979473</v>
      </c>
      <c r="G12647" s="6" t="n">
        <f aca="false">IF(internal_ai_reading=2,1,0)*Sens!G12646</f>
        <v>27.844646674932</v>
      </c>
      <c r="H12647" s="6" t="n">
        <f aca="false">IF(internal_ai_reading=2,1,0)*Sens!H12646</f>
        <v>46.566205501382</v>
      </c>
      <c r="I12647" s="6" t="n">
        <f aca="false">IF(internal_ai_reading=2,1,0)*Sens!I12646</f>
        <v>63.2717778126444</v>
      </c>
      <c r="J12647" s="6" t="n">
        <f aca="false">IF(internal_ai_reading=2,1,0)*Sens!J12646</f>
        <v>74.9061222882009</v>
      </c>
      <c r="K12647" s="6" t="n">
        <f aca="false">IF(internal_ai_reading=2,1,0)*Sens!K12646</f>
        <v>81.6395437180232</v>
      </c>
    </row>
    <row r="12648" customFormat="false" ht="17.15" hidden="false" customHeight="false" outlineLevel="0" collapsed="false">
      <c r="A12648" s="0" t="s">
        <v>1011</v>
      </c>
      <c r="B12648" s="0" t="s">
        <v>98</v>
      </c>
      <c r="F12648" s="6" t="n">
        <f aca="false">Sens!F12565+Sens!F12645*Sens!F12625+Sens!F12647-Sens!F12566-Sens!F12577</f>
        <v>10.3853806853618</v>
      </c>
      <c r="G12648" s="6" t="n">
        <f aca="false">Sens!G12565+Sens!G12645*Sens!G12625+Sens!G12647-Sens!G12566-Sens!G12577</f>
        <v>16.4389313105741</v>
      </c>
      <c r="H12648" s="6" t="n">
        <f aca="false">Sens!H12565+Sens!H12645*Sens!H12625+Sens!H12647-Sens!H12566-Sens!H12577</f>
        <v>17.135416308873</v>
      </c>
      <c r="I12648" s="6" t="n">
        <f aca="false">Sens!I12565+Sens!I12645*Sens!I12625+Sens!I12647-Sens!I12566-Sens!I12577</f>
        <v>24.1293804008657</v>
      </c>
      <c r="J12648" s="6" t="n">
        <f aca="false">Sens!J12565+Sens!J12645*Sens!J12625+Sens!J12647-Sens!J12566-Sens!J12577</f>
        <v>28.8545659869181</v>
      </c>
      <c r="K12648" s="6" t="n">
        <f aca="false">Sens!K12565+Sens!K12645*Sens!K12625+Sens!K12647-Sens!K12566-Sens!K12577</f>
        <v>32.13747485251</v>
      </c>
    </row>
    <row r="12649" customFormat="false" ht="17.15" hidden="false" customHeight="false" outlineLevel="0" collapsed="false">
      <c r="A12649" s="0" t="s">
        <v>1012</v>
      </c>
      <c r="B12649" s="0" t="s">
        <v>98</v>
      </c>
      <c r="E12649" s="6" t="n">
        <f aca="false">Sens!E12545*(cxit_open+self_build*tk_cxfac)/1000*ai_net_open</f>
        <v>126.6980382</v>
      </c>
      <c r="F12649" s="6" t="n">
        <f aca="false">Sens!E12649+Sens!F12574-Sens!F12577</f>
        <v>260.572627763768</v>
      </c>
      <c r="G12649" s="6" t="n">
        <f aca="false">Sens!F12649+Sens!G12574-Sens!G12577</f>
        <v>391.782612760517</v>
      </c>
      <c r="H12649" s="6" t="n">
        <f aca="false">Sens!G12649+Sens!H12574-Sens!H12577</f>
        <v>499.488526163584</v>
      </c>
      <c r="I12649" s="6" t="n">
        <f aca="false">Sens!H12649+Sens!I12574-Sens!I12577</f>
        <v>553.872350090646</v>
      </c>
      <c r="J12649" s="6" t="n">
        <f aca="false">Sens!I12649+Sens!J12574-Sens!J12577</f>
        <v>550.78660823699</v>
      </c>
      <c r="K12649" s="6" t="n">
        <f aca="false">Sens!J12649+Sens!K12574-Sens!K12577</f>
        <v>526.736791750789</v>
      </c>
      <c r="L12649" s="1" t="s">
        <v>1013</v>
      </c>
    </row>
    <row r="12650" customFormat="false" ht="17.15" hidden="false" customHeight="false" outlineLevel="0" collapsed="false">
      <c r="A12650" s="0" t="s">
        <v>1014</v>
      </c>
      <c r="B12650" s="0" t="s">
        <v>168</v>
      </c>
      <c r="F12650" s="7" t="n">
        <f aca="false">Sens!F12648*(1-tax_f)/((Sens!E12649+Sens!F12649)/2)</f>
        <v>0.0429069654816909</v>
      </c>
      <c r="G12650" s="7" t="n">
        <f aca="false">Sens!G12648*(1-tax_f)/((Sens!F12649+Sens!G12649)/2)</f>
        <v>0.0403189680453549</v>
      </c>
      <c r="H12650" s="7" t="n">
        <f aca="false">Sens!H12648*(1-tax_f)/((Sens!G12649+Sens!H12649)/2)</f>
        <v>0.0307613080877867</v>
      </c>
      <c r="I12650" s="7" t="n">
        <f aca="false">Sens!I12648*(1-tax_f)/((Sens!H12649+Sens!I12649)/2)</f>
        <v>0.0366512650238846</v>
      </c>
      <c r="J12650" s="7" t="n">
        <f aca="false">Sens!J12648*(1-tax_f)/((Sens!I12649+Sens!J12649)/2)</f>
        <v>0.0417932659044041</v>
      </c>
      <c r="K12650" s="7" t="n">
        <f aca="false">Sens!K12648*(1-tax_f)/((Sens!J12649+Sens!K12649)/2)</f>
        <v>0.0477205040415821</v>
      </c>
    </row>
    <row r="12651" customFormat="false" ht="17.15" hidden="false" customHeight="false" outlineLevel="0" collapsed="false">
      <c r="A12651" s="1" t="s">
        <v>1015</v>
      </c>
      <c r="B12651" s="0" t="s">
        <v>168</v>
      </c>
      <c r="F12651" s="7" t="n">
        <f aca="false">(Sens!F12648-Sens!F12647)*(1-tax_f)/((Sens!E12649+Sens!F12649)/2)</f>
        <v>-0.000871320783610466</v>
      </c>
      <c r="G12651" s="7" t="n">
        <f aca="false">(Sens!G12648-Sens!G12647)*(1-tax_f)/((Sens!F12649+Sens!G12649)/2)</f>
        <v>-0.0279742438618356</v>
      </c>
      <c r="H12651" s="7" t="n">
        <f aca="false">(Sens!H12648-Sens!H12647)*(1-tax_f)/((Sens!G12649+Sens!H12649)/2)</f>
        <v>-0.0528338242443913</v>
      </c>
      <c r="I12651" s="7" t="n">
        <f aca="false">(Sens!I12648-Sens!I12647)*(1-tax_f)/((Sens!H12649+Sens!I12649)/2)</f>
        <v>-0.059455251538819</v>
      </c>
      <c r="J12651" s="7" t="n">
        <f aca="false">(Sens!J12648-Sens!J12647)*(1-tax_f)/((Sens!I12649+Sens!J12649)/2)</f>
        <v>-0.0667015729394002</v>
      </c>
      <c r="K12651" s="7" t="n">
        <f aca="false">(Sens!K12648-Sens!K12647)*(1-tax_f)/((Sens!J12649+Sens!K12649)/2)</f>
        <v>-0.0735049560740113</v>
      </c>
    </row>
    <row r="12652" customFormat="false" ht="17.15" hidden="false" customHeight="false" outlineLevel="0" collapsed="false">
      <c r="A12652" s="1" t="s">
        <v>1016</v>
      </c>
      <c r="B12652" s="0" t="s">
        <v>168</v>
      </c>
      <c r="F12652" s="7" t="n">
        <f aca="false">(Sens!F12648-Sens!F12647+Sens!F12646)*(1-tax_f)/((Sens!E12649+Sens!F12649)/2)</f>
        <v>0.0429069654816909</v>
      </c>
      <c r="G12652" s="7" t="n">
        <f aca="false">(Sens!G12648-Sens!G12647+Sens!G12646)*(1-tax_f)/((Sens!F12649+Sens!G12649)/2)</f>
        <v>0.0403189680453549</v>
      </c>
      <c r="H12652" s="7" t="n">
        <f aca="false">(Sens!H12648-Sens!H12647+Sens!H12646)*(1-tax_f)/((Sens!G12649+Sens!H12649)/2)</f>
        <v>0.0307613080877867</v>
      </c>
      <c r="I12652" s="7" t="n">
        <f aca="false">(Sens!I12648-Sens!I12647+Sens!I12646)*(1-tax_f)/((Sens!H12649+Sens!I12649)/2)</f>
        <v>0.0366512650238846</v>
      </c>
      <c r="J12652" s="7" t="n">
        <f aca="false">(Sens!J12648-Sens!J12647+Sens!J12646)*(1-tax_f)/((Sens!I12649+Sens!J12649)/2)</f>
        <v>0.0417932659044041</v>
      </c>
      <c r="K12652" s="7" t="n">
        <f aca="false">(Sens!K12648-Sens!K12647+Sens!K12646)*(1-tax_f)/((Sens!J12649+Sens!K12649)/2)</f>
        <v>0.0477205040415821</v>
      </c>
    </row>
    <row r="12653" customFormat="false" ht="17.15" hidden="false" customHeight="false" outlineLevel="0" collapsed="false">
      <c r="A12653" s="1" t="s">
        <v>1017</v>
      </c>
      <c r="B12653" s="0" t="s">
        <v>168</v>
      </c>
      <c r="F12653" s="7" t="n">
        <f aca="false">Sens!F12578*(1-tax_f)/(Sens!F12564*(Sens!E12649+Sens!F12649)/2)</f>
        <v>0.098791430090569</v>
      </c>
      <c r="G12653" s="7" t="n">
        <f aca="false">Sens!G12578*(1-tax_f)/(Sens!G12564*(Sens!F12649+Sens!G12649)/2)</f>
        <v>0.0675308856427828</v>
      </c>
      <c r="H12653" s="7" t="n">
        <f aca="false">Sens!H12578*(1-tax_f)/(Sens!H12564*(Sens!G12649+Sens!H12649)/2)</f>
        <v>0.0388374979528754</v>
      </c>
      <c r="I12653" s="7" t="n">
        <f aca="false">Sens!I12578*(1-tax_f)/(Sens!I12564*(Sens!H12649+Sens!I12649)/2)</f>
        <v>0.0411035671771815</v>
      </c>
      <c r="J12653" s="7" t="n">
        <f aca="false">Sens!J12578*(1-tax_f)/(Sens!J12564*(Sens!I12649+Sens!J12649)/2)</f>
        <v>0.0445222722541192</v>
      </c>
      <c r="K12653" s="7" t="n">
        <f aca="false">Sens!K12578*(1-tax_f)/(Sens!K12564*(Sens!J12649+Sens!K12649)/2)</f>
        <v>0.0498866361688162</v>
      </c>
    </row>
    <row r="12654" customFormat="false" ht="17.15" hidden="false" customHeight="false" outlineLevel="0" collapsed="false">
      <c r="A12654" s="0" t="s">
        <v>1018</v>
      </c>
      <c r="B12654" s="0" t="s">
        <v>253</v>
      </c>
      <c r="F12654" s="7" t="n">
        <f aca="false">Sens!F12650-wacc</f>
        <v>-0.0600296254639064</v>
      </c>
      <c r="G12654" s="7" t="n">
        <f aca="false">Sens!G12650-wacc</f>
        <v>-0.0626176229002424</v>
      </c>
      <c r="H12654" s="7" t="n">
        <f aca="false">Sens!H12650-wacc</f>
        <v>-0.0721752828578106</v>
      </c>
      <c r="I12654" s="7" t="n">
        <f aca="false">Sens!I12650-wacc</f>
        <v>-0.0662853259217127</v>
      </c>
      <c r="J12654" s="7" t="n">
        <f aca="false">Sens!J12650-wacc</f>
        <v>-0.0611433250411932</v>
      </c>
      <c r="K12654" s="7" t="n">
        <f aca="false">Sens!K12650-wacc</f>
        <v>-0.0552160869040152</v>
      </c>
    </row>
    <row r="12655" customFormat="false" ht="17.15" hidden="false" customHeight="false" outlineLevel="0" collapsed="false">
      <c r="A12655" s="0" t="s">
        <v>1019</v>
      </c>
      <c r="B12655" s="0" t="s">
        <v>98</v>
      </c>
      <c r="F12655" s="6" t="n">
        <f aca="false">Sens!F12648*(1-tax_f)-wacc*(Sens!E12649+Sens!F12649)/2</f>
        <v>-11.6238565154813</v>
      </c>
      <c r="G12655" s="6" t="n">
        <f aca="false">Sens!G12648*(1-tax_f)-wacc*(Sens!F12649+Sens!G12649)/2</f>
        <v>-20.4244672240733</v>
      </c>
      <c r="H12655" s="6" t="n">
        <f aca="false">Sens!H12648*(1-tax_f)-wacc*(Sens!G12649+Sens!H12649)/2</f>
        <v>-32.163873277425</v>
      </c>
      <c r="I12655" s="6" t="n">
        <f aca="false">Sens!I12648*(1-tax_f)-wacc*(Sens!H12649+Sens!I12649)/2</f>
        <v>-34.9111844978462</v>
      </c>
      <c r="J12655" s="6" t="n">
        <f aca="false">Sens!J12648*(1-tax_f)-wacc*(Sens!I12649+Sens!J12649)/2</f>
        <v>-33.7712608743463</v>
      </c>
      <c r="K12655" s="6" t="n">
        <f aca="false">Sens!K12648*(1-tax_f)-wacc*(Sens!J12649+Sens!K12649)/2</f>
        <v>-29.7483128474176</v>
      </c>
    </row>
    <row r="12656" customFormat="false" ht="17.15" hidden="false" customHeight="false" outlineLevel="0" collapsed="false">
      <c r="A12656" s="3" t="s">
        <v>1928</v>
      </c>
    </row>
    <row r="12657" customFormat="false" ht="15" hidden="false" customHeight="false" outlineLevel="0" collapsed="false">
      <c r="A12657" s="4" t="s">
        <v>43</v>
      </c>
      <c r="B12657" s="4" t="s">
        <v>65</v>
      </c>
      <c r="C12657" s="23" t="s">
        <v>942</v>
      </c>
      <c r="D12657" s="23" t="s">
        <v>943</v>
      </c>
      <c r="E12657" s="23" t="s">
        <v>944</v>
      </c>
      <c r="F12657" s="23" t="s">
        <v>945</v>
      </c>
      <c r="G12657" s="23" t="s">
        <v>946</v>
      </c>
      <c r="H12657" s="23" t="s">
        <v>947</v>
      </c>
      <c r="I12657" s="23" t="s">
        <v>948</v>
      </c>
      <c r="J12657" s="23" t="s">
        <v>949</v>
      </c>
      <c r="K12657" s="23" t="s">
        <v>950</v>
      </c>
      <c r="L12657" s="4" t="s">
        <v>47</v>
      </c>
    </row>
    <row r="12658" customFormat="false" ht="15" hidden="false" customHeight="false" outlineLevel="0" collapsed="false">
      <c r="A12658" s="1" t="s">
        <v>1080</v>
      </c>
      <c r="B12658" s="0" t="s">
        <v>98</v>
      </c>
      <c r="F12658" s="6" t="n">
        <f aca="false">Sens!F12639</f>
        <v>141.538423996751</v>
      </c>
      <c r="G12658" s="6" t="n">
        <f aca="false">Sens!G12639</f>
        <v>143.843969673719</v>
      </c>
      <c r="H12658" s="6" t="n">
        <f aca="false">Sens!H12639</f>
        <v>145.661186206881</v>
      </c>
      <c r="I12658" s="6" t="n">
        <f aca="false">Sens!I12639</f>
        <v>153.849792239871</v>
      </c>
      <c r="J12658" s="6" t="n">
        <f aca="false">Sens!J12639</f>
        <v>163.379174664852</v>
      </c>
      <c r="K12658" s="6" t="n">
        <f aca="false">Sens!K12639</f>
        <v>174.136817358667</v>
      </c>
    </row>
    <row r="12659" customFormat="false" ht="17.15" hidden="false" customHeight="false" outlineLevel="0" collapsed="false">
      <c r="A12659" s="1" t="s">
        <v>1102</v>
      </c>
      <c r="B12659" s="0" t="s">
        <v>98</v>
      </c>
      <c r="E12659" s="6" t="n">
        <f aca="false">Q!M38-Sens!E12577</f>
        <v>22.2285940229167</v>
      </c>
      <c r="F12659" s="6" t="n">
        <f aca="false">Sens!E12659*(1-1/life_nonai)+(Sens!F12667+Sens!F12668)/life_nonai</f>
        <v>23.5885847579552</v>
      </c>
      <c r="G12659" s="6" t="n">
        <f aca="false">Sens!F12659*(1-1/life_nonai)+(Sens!G12667)/life_nonai</f>
        <v>25.3486878215874</v>
      </c>
      <c r="H12659" s="6" t="n">
        <f aca="false">Sens!G12659*(1-1/life_nonai)+(Sens!H12667)/life_nonai</f>
        <v>27.4778108488109</v>
      </c>
      <c r="I12659" s="6" t="n">
        <f aca="false">Sens!H12659*(1-1/life_nonai)+(Sens!I12667)/life_nonai</f>
        <v>29.919385528296</v>
      </c>
      <c r="J12659" s="6" t="n">
        <f aca="false">Sens!I12659*(1-1/life_nonai)+(Sens!J12667)/life_nonai</f>
        <v>32.5988046876917</v>
      </c>
      <c r="K12659" s="6" t="n">
        <f aca="false">Sens!J12659*(1-1/life_nonai)+(Sens!K12667)/life_nonai</f>
        <v>35.4319724572644</v>
      </c>
      <c r="L12659" s="12" t="s">
        <v>1103</v>
      </c>
    </row>
    <row r="12660" customFormat="false" ht="17.15" hidden="false" customHeight="false" outlineLevel="0" collapsed="false">
      <c r="A12660" s="1" t="s">
        <v>1104</v>
      </c>
      <c r="B12660" s="0" t="s">
        <v>98</v>
      </c>
      <c r="F12660" s="6" t="n">
        <f aca="false">Sens!$F$12668/life_nonai*(1-1/life_nonai)^(Sens!F12540-2027)</f>
        <v>0</v>
      </c>
      <c r="G12660" s="6" t="n">
        <f aca="false">Sens!$F$12668/life_nonai*(1-1/life_nonai)^(Sens!G12540-2027)</f>
        <v>0</v>
      </c>
      <c r="H12660" s="6" t="n">
        <f aca="false">Sens!$F$12668/life_nonai*(1-1/life_nonai)^(Sens!H12540-2027)</f>
        <v>0</v>
      </c>
      <c r="I12660" s="6" t="n">
        <f aca="false">Sens!$F$12668/life_nonai*(1-1/life_nonai)^(Sens!I12540-2027)</f>
        <v>0</v>
      </c>
      <c r="J12660" s="6" t="n">
        <f aca="false">Sens!$F$12668/life_nonai*(1-1/life_nonai)^(Sens!J12540-2027)</f>
        <v>0</v>
      </c>
      <c r="K12660" s="6" t="n">
        <f aca="false">Sens!$F$12668/life_nonai*(1-1/life_nonai)^(Sens!K12540-2027)</f>
        <v>0</v>
      </c>
      <c r="L12660" s="1" t="s">
        <v>1105</v>
      </c>
    </row>
    <row r="12661" customFormat="false" ht="17.15" hidden="false" customHeight="false" outlineLevel="0" collapsed="false">
      <c r="A12661" s="1" t="s">
        <v>1106</v>
      </c>
      <c r="B12661" s="0" t="s">
        <v>98</v>
      </c>
      <c r="E12661" s="6" t="n">
        <f aca="false">Sens!E12577+Sens!E12659</f>
        <v>38.534</v>
      </c>
      <c r="F12661" s="6" t="n">
        <f aca="false">Sens!F12577+Sens!F12659</f>
        <v>58.1678992363068</v>
      </c>
      <c r="G12661" s="6" t="n">
        <f aca="false">Sens!G12577+Sens!G12659</f>
        <v>86.0831784738863</v>
      </c>
      <c r="H12661" s="6" t="n">
        <f aca="false">Sens!H12577+Sens!H12659</f>
        <v>116.577901510257</v>
      </c>
      <c r="I12661" s="6" t="n">
        <f aca="false">Sens!I12577+Sens!I12659</f>
        <v>144.150395222844</v>
      </c>
      <c r="J12661" s="6" t="n">
        <f aca="false">Sens!J12577+Sens!J12659</f>
        <v>164.614477737288</v>
      </c>
      <c r="K12661" s="6" t="n">
        <f aca="false">Sens!K12577+Sens!K12659</f>
        <v>178.444642008199</v>
      </c>
    </row>
    <row r="12662" customFormat="false" ht="17.15" hidden="false" customHeight="false" outlineLevel="0" collapsed="false">
      <c r="A12662" s="1" t="s">
        <v>1107</v>
      </c>
      <c r="B12662" s="0" t="s">
        <v>98</v>
      </c>
      <c r="F12662" s="6" t="n">
        <f aca="false">Sens!F12604*sbc_r</f>
        <v>14.748522064974</v>
      </c>
      <c r="G12662" s="6" t="n">
        <f aca="false">Sens!G12604*sbc_r</f>
        <v>17.1667888464483</v>
      </c>
      <c r="H12662" s="6" t="n">
        <f aca="false">Sens!H12604*sbc_r</f>
        <v>19.432974854878</v>
      </c>
      <c r="I12662" s="6" t="n">
        <f aca="false">Sens!I12604*sbc_r</f>
        <v>21.8019905737179</v>
      </c>
      <c r="J12662" s="6" t="n">
        <f aca="false">Sens!J12604*sbc_r</f>
        <v>23.79807542534</v>
      </c>
      <c r="K12662" s="6" t="n">
        <f aca="false">Sens!K12604*sbc_r</f>
        <v>25.4359596790358</v>
      </c>
    </row>
    <row r="12663" customFormat="false" ht="17.15" hidden="false" customHeight="false" outlineLevel="0" collapsed="false">
      <c r="A12663" s="1" t="s">
        <v>1108</v>
      </c>
      <c r="B12663" s="0" t="s">
        <v>98</v>
      </c>
      <c r="F12663" s="6" t="n">
        <f aca="false">wc27-wc26q1</f>
        <v>-4.677</v>
      </c>
      <c r="G12663" s="6" t="n">
        <f aca="false">wc_f</f>
        <v>0</v>
      </c>
      <c r="H12663" s="6" t="n">
        <f aca="false">wc_f</f>
        <v>0</v>
      </c>
      <c r="I12663" s="6" t="n">
        <f aca="false">wc_f</f>
        <v>0</v>
      </c>
      <c r="J12663" s="6" t="n">
        <f aca="false">wc_f</f>
        <v>0</v>
      </c>
      <c r="K12663" s="6" t="n">
        <f aca="false">wc_f</f>
        <v>0</v>
      </c>
      <c r="L12663" s="12" t="s">
        <v>1109</v>
      </c>
    </row>
    <row r="12664" customFormat="false" ht="17.15" hidden="false" customHeight="false" outlineLevel="0" collapsed="false">
      <c r="A12664" s="0" t="s">
        <v>1110</v>
      </c>
      <c r="B12664" s="0" t="s">
        <v>98</v>
      </c>
      <c r="F12664" s="6" t="n">
        <f aca="false">Q!$I$35-Q!$I$26-Q!$I$38-Q!$I$39</f>
        <v>6.493</v>
      </c>
      <c r="L12664" s="1" t="s">
        <v>1111</v>
      </c>
    </row>
    <row r="12665" customFormat="false" ht="15" hidden="false" customHeight="false" outlineLevel="0" collapsed="false">
      <c r="A12665" s="1" t="s">
        <v>908</v>
      </c>
      <c r="B12665" s="0" t="s">
        <v>98</v>
      </c>
      <c r="E12665" s="6" t="n">
        <f aca="false">Q!M35</f>
        <v>182.935</v>
      </c>
      <c r="F12665" s="6" t="n">
        <f aca="false">Sens!F12658+Sens!F12661+Sens!F12662+Sens!F12663+Sens!F12664</f>
        <v>216.270845298031</v>
      </c>
      <c r="G12665" s="6" t="n">
        <f aca="false">Sens!G12658+Sens!G12661+Sens!G12662+Sens!G12663</f>
        <v>247.093936994054</v>
      </c>
      <c r="H12665" s="6" t="n">
        <f aca="false">Sens!H12658+Sens!H12661+Sens!H12662+Sens!H12663</f>
        <v>281.672062572015</v>
      </c>
      <c r="I12665" s="6" t="n">
        <f aca="false">Sens!I12658+Sens!I12661+Sens!I12662+Sens!I12663</f>
        <v>319.802178036433</v>
      </c>
      <c r="J12665" s="6" t="n">
        <f aca="false">Sens!J12658+Sens!J12661+Sens!J12662+Sens!J12663</f>
        <v>351.791727827479</v>
      </c>
      <c r="K12665" s="6" t="n">
        <f aca="false">Sens!K12658+Sens!K12661+Sens!K12662+Sens!K12663</f>
        <v>378.017419045901</v>
      </c>
    </row>
    <row r="12666" customFormat="false" ht="17.15" hidden="false" customHeight="false" outlineLevel="0" collapsed="false">
      <c r="A12666" s="0" t="s">
        <v>1112</v>
      </c>
      <c r="B12666" s="0" t="s">
        <v>98</v>
      </c>
      <c r="F12666" s="6" t="n">
        <f aca="false">Sens!F12574</f>
        <v>168.45390404212</v>
      </c>
      <c r="G12666" s="6" t="n">
        <f aca="false">Sens!G12574</f>
        <v>191.944475649048</v>
      </c>
      <c r="H12666" s="6" t="n">
        <f aca="false">Sens!H12574</f>
        <v>196.806004064512</v>
      </c>
      <c r="I12666" s="6" t="n">
        <f aca="false">Sens!I12574</f>
        <v>168.61483362161</v>
      </c>
      <c r="J12666" s="6" t="n">
        <f aca="false">Sens!J12574</f>
        <v>128.92993119594</v>
      </c>
      <c r="K12666" s="6" t="n">
        <f aca="false">Sens!K12574</f>
        <v>118.962853064733</v>
      </c>
    </row>
    <row r="12667" customFormat="false" ht="17.15" hidden="false" customHeight="false" outlineLevel="0" collapsed="false">
      <c r="A12667" s="1" t="s">
        <v>1113</v>
      </c>
      <c r="B12667" s="0" t="s">
        <v>98</v>
      </c>
      <c r="E12667" s="6" t="n">
        <f aca="false">Sens!E12582*cx_azo+Sens!E12589*cx_m365+Sens!E12590*cx_lic+(Sens!E12592+Sens!E12594)*cx_ind+Sens!E12597*cx_srch+(Sens!E12599+Sens!E12601)*cx_dev</f>
        <v>30.1846587067718</v>
      </c>
      <c r="F12667" s="6" t="n">
        <f aca="false">Sens!F12582*cx_azo+Sens!F12589*cx_m365+Sens!F12590*cx_lic+(Sens!F12592+Sens!F12594)*cx_ind+Sens!F12597*cx_srch+(Sens!F12599+Sens!F12601)*cx_dev</f>
        <v>35.828501373302</v>
      </c>
      <c r="G12667" s="6" t="n">
        <f aca="false">Sens!G12582*cx_azo+Sens!G12589*cx_m365+Sens!G12590*cx_lic+(Sens!G12592+Sens!G12594)*cx_ind+Sens!G12597*cx_srch+(Sens!G12599+Sens!G12601)*cx_dev</f>
        <v>41.189615394277</v>
      </c>
      <c r="H12667" s="6" t="n">
        <f aca="false">Sens!H12582*cx_azo+Sens!H12589*cx_m365+Sens!H12590*cx_lic+(Sens!H12592+Sens!H12594)*cx_ind+Sens!H12597*cx_srch+(Sens!H12599+Sens!H12601)*cx_dev</f>
        <v>46.6399180938229</v>
      </c>
      <c r="I12667" s="6" t="n">
        <f aca="false">Sens!I12582*cx_azo+Sens!I12589*cx_m365+Sens!I12590*cx_lic+(Sens!I12592+Sens!I12594)*cx_ind+Sens!I12597*cx_srch+(Sens!I12599+Sens!I12601)*cx_dev</f>
        <v>51.8935576436615</v>
      </c>
      <c r="J12667" s="6" t="n">
        <f aca="false">Sens!J12582*cx_azo+Sens!J12589*cx_m365+Sens!J12590*cx_lic+(Sens!J12592+Sens!J12594)*cx_ind+Sens!J12597*cx_srch+(Sens!J12599+Sens!J12601)*cx_dev</f>
        <v>56.7135771222529</v>
      </c>
      <c r="K12667" s="6" t="n">
        <f aca="false">Sens!K12582*cx_azo+Sens!K12589*cx_m365+Sens!K12590*cx_lic+(Sens!K12592+Sens!K12594)*cx_ind+Sens!K12597*cx_srch+(Sens!K12599+Sens!K12601)*cx_dev</f>
        <v>60.9304823834193</v>
      </c>
    </row>
    <row r="12668" customFormat="false" ht="17.15" hidden="false" customHeight="false" outlineLevel="0" collapsed="false">
      <c r="A12668" s="0" t="s">
        <v>1114</v>
      </c>
      <c r="B12668" s="0" t="s">
        <v>98</v>
      </c>
      <c r="F12668" s="6" t="n">
        <f aca="false">Sens!F12572</f>
        <v>0</v>
      </c>
      <c r="L12668" s="1" t="s">
        <v>1115</v>
      </c>
    </row>
    <row r="12669" customFormat="false" ht="17.15" hidden="false" customHeight="false" outlineLevel="0" collapsed="false">
      <c r="A12669" s="1" t="s">
        <v>1116</v>
      </c>
      <c r="B12669" s="0" t="s">
        <v>98</v>
      </c>
      <c r="E12669" s="6" t="n">
        <f aca="false">Q!M43</f>
        <v>145.3</v>
      </c>
      <c r="F12669" s="6" t="n">
        <f aca="false">Sens!F12666+Sens!F12667+Sens!F12668</f>
        <v>204.282405415422</v>
      </c>
      <c r="G12669" s="6" t="n">
        <f aca="false">Sens!G12666+Sens!G12667</f>
        <v>233.134091043325</v>
      </c>
      <c r="H12669" s="6" t="n">
        <f aca="false">Sens!H12666+Sens!H12667</f>
        <v>243.445922158335</v>
      </c>
      <c r="I12669" s="6" t="n">
        <f aca="false">Sens!I12666+Sens!I12667</f>
        <v>220.508391265272</v>
      </c>
      <c r="J12669" s="6" t="n">
        <f aca="false">Sens!J12666+Sens!J12667</f>
        <v>185.643508318193</v>
      </c>
      <c r="K12669" s="6" t="n">
        <f aca="false">Sens!K12666+Sens!K12667</f>
        <v>179.893335448152</v>
      </c>
      <c r="L12669" s="1" t="s">
        <v>1117</v>
      </c>
    </row>
    <row r="12670" customFormat="false" ht="15" hidden="false" customHeight="false" outlineLevel="0" collapsed="false">
      <c r="A12670" s="1" t="s">
        <v>1118</v>
      </c>
      <c r="B12670" s="0" t="s">
        <v>98</v>
      </c>
      <c r="E12670" s="6" t="n">
        <f aca="false">fl_liab</f>
        <v>66.594</v>
      </c>
      <c r="F12670" s="6" t="n">
        <f aca="false">Sens!E12670-Sens!F12671</f>
        <v>62.46973</v>
      </c>
      <c r="G12670" s="6" t="n">
        <f aca="false">Sens!F12670-Sens!G12671</f>
        <v>57.98686785</v>
      </c>
      <c r="H12670" s="6" t="n">
        <f aca="false">Sens!G12670-Sens!H12671</f>
        <v>53.92827690325</v>
      </c>
      <c r="I12670" s="6" t="n">
        <f aca="false">Sens!H12670-Sens!I12671</f>
        <v>49.7850493638962</v>
      </c>
      <c r="J12670" s="6" t="n">
        <f aca="false">Sens!I12670-Sens!J12671</f>
        <v>45.4823765852716</v>
      </c>
      <c r="K12670" s="6" t="n">
        <f aca="false">Sens!J12670-Sens!K12671</f>
        <v>40.9860835316088</v>
      </c>
    </row>
    <row r="12671" customFormat="false" ht="15" hidden="false" customHeight="false" outlineLevel="0" collapsed="false">
      <c r="A12671" s="1" t="s">
        <v>1119</v>
      </c>
      <c r="B12671" s="0" t="s">
        <v>98</v>
      </c>
      <c r="F12671" s="6" t="n">
        <f aca="false">fl_pay_27-Sens!E12670*fl_rate</f>
        <v>4.12427</v>
      </c>
      <c r="G12671" s="6" t="n">
        <f aca="false">fl_pay_28-Sens!F12670*fl_rate</f>
        <v>4.48286215</v>
      </c>
      <c r="H12671" s="6" t="n">
        <f aca="false">fl_pay_29-Sens!G12670*fl_rate</f>
        <v>4.05859094675</v>
      </c>
      <c r="I12671" s="6" t="n">
        <f aca="false">fl_pay_30-Sens!H12670*fl_rate</f>
        <v>4.14322753935375</v>
      </c>
      <c r="J12671" s="6" t="n">
        <f aca="false">fl_pay_31-Sens!I12670*fl_rate</f>
        <v>4.30267277862467</v>
      </c>
      <c r="K12671" s="6" t="n">
        <f aca="false">fl_pay_32-Sens!J12670*fl_rate</f>
        <v>4.49629305366278</v>
      </c>
    </row>
    <row r="12672" customFormat="false" ht="17.15" hidden="false" customHeight="false" outlineLevel="0" collapsed="false">
      <c r="A12672" s="1" t="s">
        <v>1120</v>
      </c>
      <c r="B12672" s="0" t="s">
        <v>98</v>
      </c>
      <c r="E12672" s="6" t="n">
        <f aca="false">Q!M35-Q!M36-Q!M44</f>
        <v>63.886</v>
      </c>
      <c r="F12672" s="6" t="n">
        <f aca="false">Sens!F12665-Sens!F12669-Sens!F12671</f>
        <v>7.86416988260987</v>
      </c>
      <c r="G12672" s="6" t="n">
        <f aca="false">Sens!G12665-Sens!G12669-Sens!G12671</f>
        <v>9.47698380072892</v>
      </c>
      <c r="H12672" s="6" t="n">
        <f aca="false">Sens!H12665-Sens!H12669-Sens!H12671</f>
        <v>34.16754946693</v>
      </c>
      <c r="I12672" s="6" t="n">
        <f aca="false">Sens!I12665-Sens!I12669-Sens!I12671</f>
        <v>95.1505592318072</v>
      </c>
      <c r="J12672" s="6" t="n">
        <f aca="false">Sens!J12665-Sens!J12669-Sens!J12671</f>
        <v>161.845546730661</v>
      </c>
      <c r="K12672" s="6" t="n">
        <f aca="false">Sens!K12665-Sens!K12669-Sens!K12671</f>
        <v>193.627790544086</v>
      </c>
      <c r="L12672" s="12" t="s">
        <v>1121</v>
      </c>
    </row>
    <row r="12673" customFormat="false" ht="15" hidden="false" customHeight="false" outlineLevel="0" collapsed="false">
      <c r="A12673" s="1" t="s">
        <v>1122</v>
      </c>
      <c r="B12673" s="0" t="s">
        <v>75</v>
      </c>
      <c r="F12673" s="8" t="n">
        <f aca="false">dps_27</f>
        <v>3.85</v>
      </c>
      <c r="G12673" s="8" t="n">
        <f aca="false">Sens!F12673*(1+dps_g)</f>
        <v>4.158</v>
      </c>
      <c r="H12673" s="8" t="n">
        <f aca="false">Sens!G12673*(1+dps_g)</f>
        <v>4.49064</v>
      </c>
      <c r="I12673" s="8" t="n">
        <f aca="false">Sens!H12673*(1+dps_g)</f>
        <v>4.8498912</v>
      </c>
      <c r="J12673" s="8" t="n">
        <f aca="false">Sens!I12673*(1+dps_g)</f>
        <v>5.237882496</v>
      </c>
      <c r="K12673" s="8" t="n">
        <f aca="false">Sens!J12673*(1+dps_g)</f>
        <v>5.65691309568</v>
      </c>
    </row>
    <row r="12674" customFormat="false" ht="17.15" hidden="false" customHeight="false" outlineLevel="0" collapsed="false">
      <c r="A12674" s="1" t="s">
        <v>1123</v>
      </c>
      <c r="B12674" s="0" t="s">
        <v>98</v>
      </c>
      <c r="E12674" s="6" t="n">
        <f aca="false">Q!M41</f>
        <v>26.445</v>
      </c>
      <c r="F12674" s="6" t="n">
        <f aca="false">Sens!F12673*Sens!E12683</f>
        <v>28.59395</v>
      </c>
      <c r="G12674" s="6" t="n">
        <f aca="false">Sens!G12673*Sens!F12683</f>
        <v>31.068576</v>
      </c>
      <c r="H12674" s="6" t="n">
        <f aca="false">Sens!H12673*Sens!G12683</f>
        <v>33.75614088</v>
      </c>
      <c r="I12674" s="6" t="n">
        <f aca="false">Sens!I12673*Sens!H12683</f>
        <v>36.6748772544</v>
      </c>
      <c r="J12674" s="6" t="n">
        <f aca="false">Sens!J12673*Sens!I12683</f>
        <v>39.6767653201446</v>
      </c>
      <c r="K12674" s="6" t="n">
        <f aca="false">Sens!K12673*Sens!J12683</f>
        <v>42.9376608081345</v>
      </c>
      <c r="L12674" s="1" t="s">
        <v>1124</v>
      </c>
    </row>
    <row r="12675" customFormat="false" ht="15" hidden="false" customHeight="false" outlineLevel="0" collapsed="false">
      <c r="A12675" s="1" t="s">
        <v>1125</v>
      </c>
      <c r="B12675" s="0" t="s">
        <v>98</v>
      </c>
      <c r="E12675" s="6" t="n">
        <f aca="false">Sens!E12672-Sens!E12674</f>
        <v>37.441</v>
      </c>
      <c r="F12675" s="6" t="n">
        <f aca="false">Sens!F12672-Sens!F12674</f>
        <v>-20.7297801173901</v>
      </c>
      <c r="G12675" s="6" t="n">
        <f aca="false">Sens!G12672-Sens!G12674</f>
        <v>-21.5915921992711</v>
      </c>
      <c r="H12675" s="6" t="n">
        <f aca="false">Sens!H12672-Sens!H12674</f>
        <v>0.411408586929952</v>
      </c>
      <c r="I12675" s="6" t="n">
        <f aca="false">Sens!I12672-Sens!I12674</f>
        <v>58.4756819774072</v>
      </c>
      <c r="J12675" s="6" t="n">
        <f aca="false">Sens!J12672-Sens!J12674</f>
        <v>122.168781410517</v>
      </c>
      <c r="K12675" s="6" t="n">
        <f aca="false">Sens!K12672-Sens!K12674</f>
        <v>150.690129735952</v>
      </c>
    </row>
    <row r="12676" customFormat="false" ht="15" hidden="false" customHeight="false" outlineLevel="0" collapsed="false">
      <c r="A12676" s="1" t="s">
        <v>1126</v>
      </c>
      <c r="B12676" s="0" t="s">
        <v>98</v>
      </c>
      <c r="F12676" s="6" t="n">
        <f aca="false">debt_mat_27</f>
        <v>9.25</v>
      </c>
      <c r="G12676" s="6" t="n">
        <f aca="false">debt_mat_28</f>
        <v>0</v>
      </c>
      <c r="H12676" s="6" t="n">
        <f aca="false">debt_mat_29</f>
        <v>2.001</v>
      </c>
      <c r="I12676" s="6" t="n">
        <f aca="false">debt_mat_30</f>
        <v>0</v>
      </c>
      <c r="J12676" s="6" t="n">
        <f aca="false">debt_mat_31</f>
        <v>0.5</v>
      </c>
      <c r="K12676" s="6" t="n">
        <f aca="false">debt_mat_32</f>
        <v>0</v>
      </c>
    </row>
    <row r="12677" customFormat="false" ht="15" hidden="false" customHeight="false" outlineLevel="0" collapsed="false">
      <c r="A12677" s="1" t="s">
        <v>1127</v>
      </c>
      <c r="B12677" s="0" t="s">
        <v>98</v>
      </c>
      <c r="E12677" s="6" t="n">
        <f aca="false">Q!M40</f>
        <v>22.271</v>
      </c>
      <c r="F12677" s="6" t="n">
        <f aca="false">MAX(0,MIN(bb_target,Sens!E12679+Sens!F12675-Sens!F12676-min_cash))</f>
        <v>0</v>
      </c>
      <c r="G12677" s="6" t="n">
        <f aca="false">MAX(0,MIN(bb_target,Sens!F12679+Sens!G12675-Sens!G12676-min_cash))</f>
        <v>0</v>
      </c>
      <c r="H12677" s="6" t="n">
        <f aca="false">MAX(0,MIN(bb_target,Sens!G12679+Sens!H12675-Sens!H12676-min_cash))</f>
        <v>0</v>
      </c>
      <c r="I12677" s="6" t="n">
        <f aca="false">MAX(0,MIN(bb_target,Sens!H12679+Sens!I12675-Sens!I12676-min_cash))</f>
        <v>22.271</v>
      </c>
      <c r="J12677" s="6" t="n">
        <f aca="false">MAX(0,MIN(bb_target,Sens!I12679+Sens!J12675-Sens!J12676-min_cash))</f>
        <v>22.271</v>
      </c>
      <c r="K12677" s="6" t="n">
        <f aca="false">MAX(0,MIN(bb_target,Sens!J12679+Sens!K12675-Sens!K12676-min_cash))</f>
        <v>22.271</v>
      </c>
    </row>
    <row r="12678" customFormat="false" ht="15" hidden="false" customHeight="false" outlineLevel="0" collapsed="false">
      <c r="A12678" s="1" t="s">
        <v>1128</v>
      </c>
      <c r="B12678" s="0" t="s">
        <v>98</v>
      </c>
      <c r="F12678" s="6" t="n">
        <f aca="false">MAX(0,min_cash-(Sens!E12679+Sens!F12675-Sens!F12676-Sens!F12677))</f>
        <v>3.13678011739013</v>
      </c>
      <c r="G12678" s="6" t="n">
        <f aca="false">MAX(0,min_cash-(Sens!F12679+Sens!G12675-Sens!G12676-Sens!G12677))</f>
        <v>21.5915921992711</v>
      </c>
      <c r="H12678" s="6" t="n">
        <f aca="false">MAX(0,min_cash-(Sens!G12679+Sens!H12675-Sens!H12676-Sens!H12677))</f>
        <v>1.58959141307005</v>
      </c>
      <c r="I12678" s="6" t="n">
        <f aca="false">MAX(0,min_cash-(Sens!H12679+Sens!I12675-Sens!I12676-Sens!I12677))</f>
        <v>0</v>
      </c>
      <c r="J12678" s="6" t="n">
        <f aca="false">MAX(0,min_cash-(Sens!I12679+Sens!J12675-Sens!J12676-Sens!J12677))</f>
        <v>0</v>
      </c>
      <c r="K12678" s="6" t="n">
        <f aca="false">MAX(0,min_cash-(Sens!J12679+Sens!K12675-Sens!K12676-Sens!K12677))</f>
        <v>0</v>
      </c>
    </row>
    <row r="12679" customFormat="false" ht="15" hidden="false" customHeight="false" outlineLevel="0" collapsed="false">
      <c r="A12679" s="1" t="s">
        <v>1129</v>
      </c>
      <c r="B12679" s="0" t="s">
        <v>98</v>
      </c>
      <c r="E12679" s="6" t="n">
        <f aca="false">cash_open</f>
        <v>76.843</v>
      </c>
      <c r="F12679" s="6" t="n">
        <f aca="false">Sens!E12679+Sens!F12675-Sens!F12676-Sens!F12677+Sens!F12678</f>
        <v>50</v>
      </c>
      <c r="G12679" s="6" t="n">
        <f aca="false">Sens!F12679+Sens!G12675-Sens!G12676-Sens!G12677+Sens!G12678</f>
        <v>50</v>
      </c>
      <c r="H12679" s="6" t="n">
        <f aca="false">Sens!G12679+Sens!H12675-Sens!H12676-Sens!H12677+Sens!H12678</f>
        <v>50</v>
      </c>
      <c r="I12679" s="6" t="n">
        <f aca="false">Sens!H12679+Sens!I12675-Sens!I12676-Sens!I12677+Sens!I12678</f>
        <v>86.2046819774072</v>
      </c>
      <c r="J12679" s="6" t="n">
        <f aca="false">Sens!I12679+Sens!J12675-Sens!J12676-Sens!J12677+Sens!J12678</f>
        <v>185.602463387924</v>
      </c>
      <c r="K12679" s="6" t="n">
        <f aca="false">Sens!J12679+Sens!K12675-Sens!K12676-Sens!K12677+Sens!K12678</f>
        <v>314.021593123876</v>
      </c>
    </row>
    <row r="12680" customFormat="false" ht="15" hidden="false" customHeight="false" outlineLevel="0" collapsed="false">
      <c r="A12680" s="1" t="s">
        <v>1130</v>
      </c>
      <c r="B12680" s="0" t="s">
        <v>98</v>
      </c>
      <c r="E12680" s="6" t="n">
        <f aca="false">debt_face</f>
        <v>46.136</v>
      </c>
      <c r="F12680" s="6" t="n">
        <f aca="false">Sens!E12680-Sens!F12676+Sens!F12678</f>
        <v>40.0227801173901</v>
      </c>
      <c r="G12680" s="6" t="n">
        <f aca="false">Sens!F12680-Sens!G12676+Sens!G12678</f>
        <v>61.6143723166612</v>
      </c>
      <c r="H12680" s="6" t="n">
        <f aca="false">Sens!G12680-Sens!H12676+Sens!H12678</f>
        <v>61.2029637297313</v>
      </c>
      <c r="I12680" s="6" t="n">
        <f aca="false">Sens!H12680-Sens!I12676+Sens!I12678</f>
        <v>61.2029637297313</v>
      </c>
      <c r="J12680" s="6" t="n">
        <f aca="false">Sens!I12680-Sens!J12676+Sens!J12678</f>
        <v>60.7029637297313</v>
      </c>
      <c r="K12680" s="6" t="n">
        <f aca="false">Sens!J12680-Sens!K12676+Sens!K12678</f>
        <v>60.7029637297313</v>
      </c>
    </row>
    <row r="12681" customFormat="false" ht="15" hidden="false" customHeight="false" outlineLevel="0" collapsed="false">
      <c r="A12681" s="1" t="s">
        <v>1131</v>
      </c>
      <c r="B12681" s="0" t="s">
        <v>98</v>
      </c>
      <c r="E12681" s="6" t="n">
        <f aca="false">Sens!E12679-Sens!E12680</f>
        <v>30.707</v>
      </c>
      <c r="F12681" s="6" t="n">
        <f aca="false">Sens!F12679-Sens!F12680</f>
        <v>9.97721988260987</v>
      </c>
      <c r="G12681" s="6" t="n">
        <f aca="false">Sens!G12679-Sens!G12680</f>
        <v>-11.6143723166612</v>
      </c>
      <c r="H12681" s="6" t="n">
        <f aca="false">Sens!H12679-Sens!H12680</f>
        <v>-11.2029637297313</v>
      </c>
      <c r="I12681" s="6" t="n">
        <f aca="false">Sens!I12679-Sens!I12680</f>
        <v>25.001718247676</v>
      </c>
      <c r="J12681" s="6" t="n">
        <f aca="false">Sens!J12679-Sens!J12680</f>
        <v>124.899499658193</v>
      </c>
      <c r="K12681" s="6" t="n">
        <f aca="false">Sens!K12679-Sens!K12680</f>
        <v>253.318629394144</v>
      </c>
    </row>
    <row r="12682" customFormat="false" ht="15" hidden="false" customHeight="false" outlineLevel="0" collapsed="false">
      <c r="A12682" s="1" t="s">
        <v>1132</v>
      </c>
      <c r="B12682" s="0" t="s">
        <v>75</v>
      </c>
      <c r="F12682" s="30" t="n">
        <f aca="false">px*(1+bb_g)^(Sens!F12540-base_fy-mid_yr)</f>
        <v>551.84177959629</v>
      </c>
      <c r="G12682" s="30" t="n">
        <f aca="false">px*(1+bb_g)^(Sens!G12540-base_fy-mid_yr)</f>
        <v>595.989121963993</v>
      </c>
      <c r="H12682" s="30" t="n">
        <f aca="false">px*(1+bb_g)^(Sens!H12540-base_fy-mid_yr)</f>
        <v>643.668251721112</v>
      </c>
      <c r="I12682" s="30" t="n">
        <f aca="false">px*(1+bb_g)^(Sens!I12540-base_fy-mid_yr)</f>
        <v>695.161711858801</v>
      </c>
      <c r="J12682" s="30" t="n">
        <f aca="false">px*(1+bb_g)^(Sens!J12540-base_fy-mid_yr)</f>
        <v>750.774648807506</v>
      </c>
      <c r="K12682" s="30" t="n">
        <f aca="false">px*(1+bb_g)^(Sens!K12540-base_fy-mid_yr)</f>
        <v>810.836620712106</v>
      </c>
    </row>
    <row r="12683" customFormat="false" ht="15" hidden="false" customHeight="false" outlineLevel="0" collapsed="false">
      <c r="A12683" s="1" t="s">
        <v>1133</v>
      </c>
      <c r="B12683" s="1" t="s">
        <v>81</v>
      </c>
      <c r="E12683" s="15" t="n">
        <f aca="false">sh_out26</f>
        <v>7.427</v>
      </c>
      <c r="F12683" s="15" t="n">
        <f aca="false">Sens!E12683+sh_iss-Sens!F12677/Sens!F12682</f>
        <v>7.472</v>
      </c>
      <c r="G12683" s="15" t="n">
        <f aca="false">Sens!F12683+sh_iss-Sens!G12677/Sens!G12682</f>
        <v>7.517</v>
      </c>
      <c r="H12683" s="15" t="n">
        <f aca="false">Sens!G12683+sh_iss-Sens!H12677/Sens!H12682</f>
        <v>7.562</v>
      </c>
      <c r="I12683" s="15" t="n">
        <f aca="false">Sens!H12683+sh_iss-Sens!I12677/Sens!I12682</f>
        <v>7.57496285005334</v>
      </c>
      <c r="J12683" s="15" t="n">
        <f aca="false">Sens!I12683+sh_iss-Sens!J12677/Sens!J12682</f>
        <v>7.59029882232494</v>
      </c>
      <c r="K12683" s="15" t="n">
        <f aca="false">Sens!J12683+sh_iss-Sens!K12677/Sens!K12682</f>
        <v>7.60783212998384</v>
      </c>
    </row>
    <row r="12684" customFormat="false" ht="15" hidden="false" customHeight="false" outlineLevel="0" collapsed="false">
      <c r="A12684" s="1" t="s">
        <v>1134</v>
      </c>
      <c r="B12684" s="1" t="s">
        <v>81</v>
      </c>
      <c r="E12684" s="15" t="n">
        <f aca="false">sh_dil26</f>
        <v>7.453</v>
      </c>
      <c r="F12684" s="15" t="n">
        <f aca="false">(Sens!E12683+Sens!F12683)/2+dil_gap</f>
        <v>7.4735</v>
      </c>
      <c r="G12684" s="15" t="n">
        <f aca="false">(Sens!F12683+Sens!G12683)/2+dil_gap</f>
        <v>7.5185</v>
      </c>
      <c r="H12684" s="15" t="n">
        <f aca="false">(Sens!G12683+Sens!H12683)/2+dil_gap</f>
        <v>7.5635</v>
      </c>
      <c r="I12684" s="15" t="n">
        <f aca="false">(Sens!H12683+Sens!I12683)/2+dil_gap</f>
        <v>7.59248142502667</v>
      </c>
      <c r="J12684" s="15" t="n">
        <f aca="false">(Sens!I12683+Sens!J12683)/2+dil_gap</f>
        <v>7.60663083618914</v>
      </c>
      <c r="K12684" s="15" t="n">
        <f aca="false">(Sens!J12683+Sens!K12683)/2+dil_gap</f>
        <v>7.62306547615439</v>
      </c>
    </row>
    <row r="12685" customFormat="false" ht="17.15" hidden="false" customHeight="false" outlineLevel="0" collapsed="false">
      <c r="A12685" s="1" t="s">
        <v>1135</v>
      </c>
      <c r="B12685" s="0" t="s">
        <v>98</v>
      </c>
      <c r="C12685" s="6" t="n">
        <f aca="false">SUM(Sens!F12675:J12675)</f>
        <v>138.734499658193</v>
      </c>
    </row>
    <row r="12686" customFormat="false" ht="15" hidden="false" customHeight="false" outlineLevel="0" collapsed="false">
      <c r="A12686" s="26" t="s">
        <v>1100</v>
      </c>
      <c r="B12686" s="31" t="s">
        <v>98</v>
      </c>
      <c r="C12686" s="27" t="n">
        <f aca="false">Sens!$C$12685-(Sens!F12675+Sens!G12675+Sens!H12675+Sens!I12675+Sens!J12675)</f>
        <v>0</v>
      </c>
      <c r="D12686" s="31"/>
      <c r="E12686" s="31"/>
      <c r="F12686" s="31"/>
      <c r="G12686" s="31"/>
      <c r="H12686" s="31"/>
      <c r="I12686" s="31"/>
      <c r="J12686" s="31"/>
      <c r="K12686" s="31"/>
    </row>
    <row r="12687" customFormat="false" ht="17.15" hidden="false" customHeight="false" outlineLevel="0" collapsed="false">
      <c r="A12687" s="1" t="s">
        <v>1094</v>
      </c>
      <c r="B12687" s="1" t="s">
        <v>1136</v>
      </c>
      <c r="C12687" s="33" t="str">
        <f aca="false">IF(SUM(Sens!F12678:J12678)&gt;0.05,"需要舉債 "&amp;TEXT(SUM(Sens!F12678:J12678),"0.0")&amp;" 十億美元","不需舉債")&amp;"；"&amp;IF(SUM(Sens!F12677:J12677)&lt;COUNT(Sens!F12677:J12677)*bb_target-0.05,"回購較每年 "&amp;TEXT(bb_target,"0.0")&amp;" 的目標少 "&amp;TEXT(COUNT(Sens!F12677:J12677)*bb_target-SUM(Sens!F12677:J12677),"0.0")&amp;" 十億美元（"&amp;TEXT(COUNTIF(Sens!F12677:J12677,"&lt;"&amp;(bb_target-0.05)),"0")&amp;" 年減少）","回購不減")</f>
        <v>需要舉債 26.3 十億美元；回購較每年 22.3 的目標少 66.8 十億美元（3 年減少）</v>
      </c>
    </row>
    <row r="12688" customFormat="false" ht="17.15" hidden="false" customHeight="false" outlineLevel="0" collapsed="false">
      <c r="A12688" s="3" t="s">
        <v>1929</v>
      </c>
    </row>
    <row r="12689" customFormat="false" ht="15" hidden="false" customHeight="false" outlineLevel="0" collapsed="false">
      <c r="A12689" s="4" t="s">
        <v>43</v>
      </c>
      <c r="B12689" s="4" t="s">
        <v>65</v>
      </c>
      <c r="C12689" s="23" t="s">
        <v>942</v>
      </c>
      <c r="D12689" s="23" t="s">
        <v>943</v>
      </c>
      <c r="E12689" s="23" t="s">
        <v>944</v>
      </c>
      <c r="F12689" s="23" t="s">
        <v>945</v>
      </c>
      <c r="G12689" s="23" t="s">
        <v>946</v>
      </c>
      <c r="H12689" s="23" t="s">
        <v>947</v>
      </c>
      <c r="I12689" s="23" t="s">
        <v>948</v>
      </c>
      <c r="J12689" s="23" t="s">
        <v>949</v>
      </c>
      <c r="K12689" s="23" t="s">
        <v>950</v>
      </c>
      <c r="L12689" s="4" t="s">
        <v>47</v>
      </c>
    </row>
    <row r="12690" customFormat="false" ht="17.15" hidden="false" customHeight="false" outlineLevel="0" collapsed="false">
      <c r="A12690" s="1" t="s">
        <v>1216</v>
      </c>
      <c r="B12690" s="1" t="s">
        <v>279</v>
      </c>
      <c r="F12690" s="8" t="n">
        <f aca="false">(1-v_off)*mid_yr</f>
        <v>0.373972602739726</v>
      </c>
      <c r="G12690" s="8" t="n">
        <f aca="false">Sens!G12540-base_fy-mid_yr-v_off</f>
        <v>1.24794520547945</v>
      </c>
      <c r="H12690" s="8" t="n">
        <f aca="false">Sens!H12540-base_fy-mid_yr-v_off</f>
        <v>2.24794520547945</v>
      </c>
      <c r="I12690" s="8" t="n">
        <f aca="false">Sens!I12540-base_fy-mid_yr-v_off</f>
        <v>3.24794520547945</v>
      </c>
      <c r="J12690" s="8" t="n">
        <f aca="false">Sens!J12540-base_fy-mid_yr-v_off</f>
        <v>4.24794520547945</v>
      </c>
      <c r="K12690" s="8" t="n">
        <f aca="false">Sens!K12540-base_fy-mid_yr-v_off</f>
        <v>5.24794520547945</v>
      </c>
      <c r="L12690" s="12" t="s">
        <v>1217</v>
      </c>
    </row>
    <row r="12691" customFormat="false" ht="15" hidden="false" customHeight="false" outlineLevel="0" collapsed="false">
      <c r="A12691" s="1" t="s">
        <v>1218</v>
      </c>
      <c r="B12691" s="1" t="s">
        <v>279</v>
      </c>
      <c r="F12691" s="8" t="n">
        <f aca="false">Sens!F12540-base_fy-v_off</f>
        <v>0.747945205479452</v>
      </c>
      <c r="G12691" s="8" t="n">
        <f aca="false">Sens!G12540-base_fy-v_off</f>
        <v>1.74794520547945</v>
      </c>
      <c r="H12691" s="8" t="n">
        <f aca="false">Sens!H12540-base_fy-v_off</f>
        <v>2.74794520547945</v>
      </c>
      <c r="I12691" s="8" t="n">
        <f aca="false">Sens!I12540-base_fy-v_off</f>
        <v>3.74794520547945</v>
      </c>
      <c r="J12691" s="8" t="n">
        <f aca="false">Sens!J12540-base_fy-v_off</f>
        <v>4.74794520547945</v>
      </c>
      <c r="K12691" s="8" t="n">
        <f aca="false">Sens!K12540-base_fy-v_off</f>
        <v>5.74794520547945</v>
      </c>
    </row>
    <row r="12692" customFormat="false" ht="15" hidden="false" customHeight="false" outlineLevel="0" collapsed="false">
      <c r="A12692" s="1" t="s">
        <v>1219</v>
      </c>
      <c r="B12692" s="0" t="s">
        <v>229</v>
      </c>
      <c r="F12692" s="15" t="n">
        <f aca="false">1/(1+wacc)^Sens!F12690</f>
        <v>0.964022703286649</v>
      </c>
      <c r="G12692" s="15" t="n">
        <f aca="false">1/(1+wacc)^Sens!G12690</f>
        <v>0.884910302296739</v>
      </c>
      <c r="H12692" s="15" t="n">
        <f aca="false">1/(1+wacc)^Sens!H12690</f>
        <v>0.802322009770358</v>
      </c>
      <c r="I12692" s="15" t="n">
        <f aca="false">1/(1+wacc)^Sens!I12690</f>
        <v>0.727441646561469</v>
      </c>
      <c r="J12692" s="15" t="n">
        <f aca="false">1/(1+wacc)^Sens!J12690</f>
        <v>0.659549834988973</v>
      </c>
      <c r="K12692" s="15" t="n">
        <f aca="false">1/(1+wacc)^Sens!K12690</f>
        <v>0.597994336576966</v>
      </c>
    </row>
    <row r="12693" customFormat="false" ht="17.15" hidden="false" customHeight="false" outlineLevel="0" collapsed="false">
      <c r="A12693" s="1" t="s">
        <v>1220</v>
      </c>
      <c r="B12693" s="0" t="s">
        <v>98</v>
      </c>
      <c r="F12693" s="6" t="n">
        <f aca="false">Q!$I$35-Q!$I$39-Q!$I$43</f>
        <v>9.666</v>
      </c>
      <c r="L12693" s="12" t="s">
        <v>1221</v>
      </c>
    </row>
    <row r="12694" customFormat="false" ht="17.15" hidden="false" customHeight="false" outlineLevel="0" collapsed="false">
      <c r="A12694" s="1" t="s">
        <v>1222</v>
      </c>
      <c r="B12694" s="0" t="s">
        <v>98</v>
      </c>
      <c r="F12694" s="6" t="n">
        <f aca="false">Sens!F12665-Sens!F12662-Sens!F12669+Sens!F12647*(1-tax_f)*(1-v_off)-Sens!F12693</f>
        <v>-6.08573344408555</v>
      </c>
      <c r="G12694" s="6" t="n">
        <f aca="false">Sens!G12665-Sens!G12662-Sens!G12669+Sens!G12647*(1-tax_f)</f>
        <v>19.0687744442263</v>
      </c>
      <c r="H12694" s="6" t="n">
        <f aca="false">Sens!H12665-Sens!H12662-Sens!H12669+Sens!H12647*(1-tax_f)</f>
        <v>56.0461299599075</v>
      </c>
      <c r="I12694" s="6" t="n">
        <f aca="false">Sens!I12665-Sens!I12662-Sens!I12669+Sens!I12647*(1-tax_f)</f>
        <v>128.109218447559</v>
      </c>
      <c r="J12694" s="6" t="n">
        <f aca="false">Sens!J12665-Sens!J12662-Sens!J12669+Sens!J12647*(1-tax_f)</f>
        <v>202.275041914507</v>
      </c>
      <c r="K12694" s="6" t="n">
        <f aca="false">Sens!K12665-Sens!K12662-Sens!K12669+Sens!K12647*(1-tax_f)</f>
        <v>237.999758893132</v>
      </c>
      <c r="L12694" s="1" t="s">
        <v>1223</v>
      </c>
    </row>
    <row r="12695" customFormat="false" ht="15" hidden="false" customHeight="false" outlineLevel="0" collapsed="false">
      <c r="A12695" s="1" t="s">
        <v>1224</v>
      </c>
      <c r="B12695" s="0" t="s">
        <v>98</v>
      </c>
      <c r="F12695" s="6" t="n">
        <f aca="false">Sens!F12694*Sens!F12692</f>
        <v>-5.86678520624933</v>
      </c>
      <c r="G12695" s="6" t="n">
        <f aca="false">Sens!G12694*Sens!G12692</f>
        <v>16.8741549578686</v>
      </c>
      <c r="H12695" s="6" t="n">
        <f aca="false">Sens!H12694*Sens!H12692</f>
        <v>44.9670436292837</v>
      </c>
      <c r="I12695" s="6" t="n">
        <f aca="false">Sens!I12694*Sens!I12692</f>
        <v>93.1919808071949</v>
      </c>
      <c r="J12695" s="6" t="n">
        <f aca="false">Sens!J12694*Sens!J12692</f>
        <v>133.4104705171</v>
      </c>
      <c r="K12695" s="6" t="n">
        <f aca="false">Sens!K12694*Sens!K12692</f>
        <v>142.322507924776</v>
      </c>
    </row>
    <row r="12696" customFormat="false" ht="17.15" hidden="false" customHeight="false" outlineLevel="0" collapsed="false">
      <c r="A12696" s="1" t="s">
        <v>1225</v>
      </c>
      <c r="B12696" s="0" t="s">
        <v>98</v>
      </c>
      <c r="C12696" s="6" t="n">
        <f aca="false">SUM(Sens!F12695:K12695)</f>
        <v>424.899372629974</v>
      </c>
    </row>
    <row r="12697" customFormat="false" ht="17.15" hidden="false" customHeight="false" outlineLevel="0" collapsed="false">
      <c r="A12697" s="1" t="s">
        <v>1226</v>
      </c>
      <c r="B12697" s="0" t="s">
        <v>98</v>
      </c>
      <c r="C12697" s="6" t="n">
        <f aca="false">Sens!K12633*(1+g_tv)*(1-tax_f)</f>
        <v>247.620705903078</v>
      </c>
    </row>
    <row r="12698" customFormat="false" ht="17.15" hidden="false" customHeight="false" outlineLevel="0" collapsed="false">
      <c r="A12698" s="1" t="s">
        <v>1227</v>
      </c>
      <c r="B12698" s="0" t="s">
        <v>98</v>
      </c>
      <c r="C12698" s="6" t="n">
        <f aca="false">Sens!$C$12697*(1-g_tv/(wacc+ronic_prem))</f>
        <v>175.453742641021</v>
      </c>
    </row>
    <row r="12699" customFormat="false" ht="17.15" hidden="false" customHeight="false" outlineLevel="0" collapsed="false">
      <c r="A12699" s="1" t="s">
        <v>1228</v>
      </c>
      <c r="B12699" s="0" t="s">
        <v>98</v>
      </c>
      <c r="C12699" s="6" t="n">
        <f aca="false">Sens!$C$12698/(wacc-g_tv)</f>
        <v>2405.56544206857</v>
      </c>
    </row>
    <row r="12700" customFormat="false" ht="15" hidden="false" customHeight="false" outlineLevel="0" collapsed="false">
      <c r="A12700" s="1" t="s">
        <v>1229</v>
      </c>
      <c r="B12700" s="0" t="s">
        <v>98</v>
      </c>
      <c r="C12700" s="6" t="n">
        <f aca="false">Sens!$C$12699/(1+wacc)^Sens!K12691</f>
        <v>1369.74263685525</v>
      </c>
    </row>
    <row r="12701" customFormat="false" ht="17.15" hidden="false" customHeight="false" outlineLevel="0" collapsed="false">
      <c r="A12701" s="0" t="s">
        <v>1230</v>
      </c>
      <c r="B12701" s="0" t="s">
        <v>98</v>
      </c>
      <c r="C12701" s="6" t="n">
        <f aca="false">Sens!$C$12696+Sens!$C$12700</f>
        <v>1794.64200948523</v>
      </c>
    </row>
    <row r="12702" customFormat="false" ht="15" hidden="false" customHeight="false" outlineLevel="0" collapsed="false">
      <c r="A12702" s="1" t="s">
        <v>1145</v>
      </c>
      <c r="B12702" s="0" t="s">
        <v>168</v>
      </c>
      <c r="C12702" s="7" t="n">
        <f aca="false">Sens!$C$12700/Sens!$C$12701</f>
        <v>0.763240038746306</v>
      </c>
    </row>
    <row r="12703" customFormat="false" ht="17.15" hidden="false" customHeight="false" outlineLevel="0" collapsed="false">
      <c r="A12703" s="1" t="s">
        <v>1231</v>
      </c>
      <c r="B12703" s="0" t="s">
        <v>98</v>
      </c>
      <c r="C12703" s="6" t="n">
        <f aca="false">Sens!$C$12701+cash_val-debt_val-fl_val+oai_v</f>
        <v>1910.49300948523</v>
      </c>
    </row>
    <row r="12704" customFormat="false" ht="17.15" hidden="false" customHeight="false" outlineLevel="0" collapsed="false">
      <c r="A12704" s="0" t="s">
        <v>1153</v>
      </c>
      <c r="B12704" s="0" t="s">
        <v>75</v>
      </c>
      <c r="C12704" s="5" t="n">
        <f aca="false">Sens!$C$12703/shd_val</f>
        <v>256.579775649373</v>
      </c>
    </row>
    <row r="12705" customFormat="false" ht="15" hidden="false" customHeight="false" outlineLevel="0" collapsed="false">
      <c r="A12705" s="1" t="s">
        <v>1232</v>
      </c>
      <c r="B12705" s="0" t="s">
        <v>75</v>
      </c>
      <c r="C12705" s="8" t="n">
        <f aca="false">div_rem27+Sens!G12673*roll_div_q/q_per_yr</f>
        <v>3.9795</v>
      </c>
    </row>
    <row r="12706" customFormat="false" ht="17.15" hidden="false" customHeight="false" outlineLevel="0" collapsed="false">
      <c r="A12706" s="0" t="s">
        <v>1233</v>
      </c>
      <c r="B12706" s="0" t="s">
        <v>75</v>
      </c>
      <c r="C12706" s="5" t="n">
        <f aca="false">Sens!$C$12704*(1+wacc)^t_roll-Sens!$C$12705</f>
        <v>281.223240542406</v>
      </c>
    </row>
    <row r="12707" customFormat="false" ht="17.15" hidden="false" customHeight="false" outlineLevel="0" collapsed="false">
      <c r="A12707" s="1" t="s">
        <v>1234</v>
      </c>
      <c r="B12707" s="0" t="s">
        <v>168</v>
      </c>
      <c r="F12707" s="7" t="n">
        <f aca="false">Sens!F12659/(Sens!F12604-Sens!F12559)</f>
        <v>0.0686618299564971</v>
      </c>
      <c r="G12707" s="7" t="n">
        <f aca="false">Sens!G12659/(Sens!G12604-Sens!G12559)</f>
        <v>0.0662664322526591</v>
      </c>
      <c r="H12707" s="7" t="n">
        <f aca="false">Sens!H12659/(Sens!H12604-Sens!H12559)</f>
        <v>0.0650530579856097</v>
      </c>
      <c r="I12707" s="7" t="n">
        <f aca="false">Sens!I12659/(Sens!I12604-Sens!I12559)</f>
        <v>0.0648828931388178</v>
      </c>
      <c r="J12707" s="7" t="n">
        <f aca="false">Sens!J12659/(Sens!J12604-Sens!J12559)</f>
        <v>0.0655437420863016</v>
      </c>
      <c r="K12707" s="7" t="n">
        <f aca="false">Sens!K12659/(Sens!K12604-Sens!K12559)</f>
        <v>0.0667989775993528</v>
      </c>
    </row>
    <row r="12708" customFormat="false" ht="17.15" hidden="false" customHeight="false" outlineLevel="0" collapsed="false">
      <c r="A12708" s="0" t="s">
        <v>1235</v>
      </c>
      <c r="B12708" s="0" t="s">
        <v>98</v>
      </c>
      <c r="F12708" s="6" t="n">
        <f aca="false">Sens!F12589*(al_m365+Sens!F12707+sbc_r)</f>
        <v>82.9166942105064</v>
      </c>
      <c r="G12708" s="6" t="n">
        <f aca="false">Sens!G12589*(al_m365+Sens!G12707+sbc_r)</f>
        <v>93.3005952188574</v>
      </c>
      <c r="H12708" s="6" t="n">
        <f aca="false">Sens!H12589*(al_m365+Sens!H12707+sbc_r)</f>
        <v>103.843738929931</v>
      </c>
      <c r="I12708" s="6" t="n">
        <f aca="false">Sens!I12589*(al_m365+Sens!I12707+sbc_r)</f>
        <v>113.869303367466</v>
      </c>
      <c r="J12708" s="6" t="n">
        <f aca="false">Sens!J12589*(al_m365+Sens!J12707+sbc_r)</f>
        <v>123.187366482238</v>
      </c>
      <c r="K12708" s="6" t="n">
        <f aca="false">Sens!K12589*(al_m365+Sens!K12707+sbc_r)</f>
        <v>132.103954837428</v>
      </c>
      <c r="L12708" s="12" t="s">
        <v>1236</v>
      </c>
    </row>
    <row r="12709" customFormat="false" ht="17.15" hidden="false" customHeight="false" outlineLevel="0" collapsed="false">
      <c r="A12709" s="0" t="s">
        <v>1237</v>
      </c>
      <c r="B12709" s="0" t="s">
        <v>98</v>
      </c>
      <c r="F12709" s="6" t="n">
        <f aca="false">Sens!F12590*(al_lic+Sens!F12707+sbc_r)</f>
        <v>32.8593879922029</v>
      </c>
      <c r="G12709" s="6" t="n">
        <f aca="false">Sens!G12590*(al_lic+Sens!G12707+sbc_r)</f>
        <v>34.1549542085928</v>
      </c>
      <c r="H12709" s="6" t="n">
        <f aca="false">Sens!H12590*(al_lic+Sens!H12707+sbc_r)</f>
        <v>35.3600970884155</v>
      </c>
      <c r="I12709" s="6" t="n">
        <f aca="false">Sens!I12590*(al_lic+Sens!I12707+sbc_r)</f>
        <v>36.4550684277214</v>
      </c>
      <c r="J12709" s="6" t="n">
        <f aca="false">Sens!J12590*(al_lic+Sens!J12707+sbc_r)</f>
        <v>37.416801034444</v>
      </c>
      <c r="K12709" s="6" t="n">
        <f aca="false">Sens!K12590*(al_lic+Sens!K12707+sbc_r)</f>
        <v>38.2213039640523</v>
      </c>
    </row>
    <row r="12710" customFormat="false" ht="17.15" hidden="false" customHeight="false" outlineLevel="0" collapsed="false">
      <c r="A12710" s="0" t="s">
        <v>1238</v>
      </c>
      <c r="B12710" s="0" t="s">
        <v>98</v>
      </c>
      <c r="F12710" s="6" t="n">
        <f aca="false">Sens!F12592*(al_ind+Sens!F12707+sbc_r)</f>
        <v>9.06136016108953</v>
      </c>
      <c r="G12710" s="6" t="n">
        <f aca="false">Sens!G12592*(al_ind+Sens!G12707+sbc_r)</f>
        <v>9.84675541848185</v>
      </c>
      <c r="H12710" s="6" t="n">
        <f aca="false">Sens!H12592*(al_ind+Sens!H12707+sbc_r)</f>
        <v>10.6746152438365</v>
      </c>
      <c r="I12710" s="6" t="n">
        <f aca="false">Sens!I12592*(al_ind+Sens!I12707+sbc_r)</f>
        <v>11.540376047021</v>
      </c>
      <c r="J12710" s="6" t="n">
        <f aca="false">Sens!J12592*(al_ind+Sens!J12707+sbc_r)</f>
        <v>12.4353125174239</v>
      </c>
      <c r="K12710" s="6" t="n">
        <f aca="false">Sens!K12592*(al_ind+Sens!K12707+sbc_r)</f>
        <v>13.3472358747957</v>
      </c>
    </row>
    <row r="12711" customFormat="false" ht="17.15" hidden="false" customHeight="false" outlineLevel="0" collapsed="false">
      <c r="A12711" s="0" t="s">
        <v>1239</v>
      </c>
      <c r="B12711" s="0" t="s">
        <v>98</v>
      </c>
      <c r="F12711" s="6" t="n">
        <f aca="false">Sens!F12594*(al_fro+Sens!F12707+sbc_r)</f>
        <v>3.55439946089852</v>
      </c>
      <c r="G12711" s="6" t="n">
        <f aca="false">Sens!G12594*(al_fro+Sens!G12707+sbc_r)</f>
        <v>3.76765721154322</v>
      </c>
      <c r="H12711" s="6" t="n">
        <f aca="false">Sens!H12594*(al_fro+Sens!H12707+sbc_r)</f>
        <v>4.00881902690473</v>
      </c>
      <c r="I12711" s="6" t="n">
        <f aca="false">Sens!I12594*(al_fro+Sens!I12707+sbc_r)</f>
        <v>4.28018672450333</v>
      </c>
      <c r="J12711" s="6" t="n">
        <f aca="false">Sens!J12594*(al_fro+Sens!J12707+sbc_r)</f>
        <v>4.58334574109574</v>
      </c>
      <c r="K12711" s="6" t="n">
        <f aca="false">Sens!K12594*(al_fro+Sens!K12707+sbc_r)</f>
        <v>4.91945792407139</v>
      </c>
    </row>
    <row r="12712" customFormat="false" ht="17.15" hidden="false" customHeight="false" outlineLevel="0" collapsed="false">
      <c r="A12712" s="0" t="s">
        <v>1240</v>
      </c>
      <c r="B12712" s="0" t="s">
        <v>98</v>
      </c>
      <c r="F12712" s="6" t="n">
        <f aca="false">Sens!F12597*(al_srch+Sens!F12707+sbc_r)</f>
        <v>11.1902550352538</v>
      </c>
      <c r="G12712" s="6" t="n">
        <f aca="false">Sens!G12597*(al_srch+Sens!G12707+sbc_r)</f>
        <v>12.2749086505994</v>
      </c>
      <c r="H12712" s="6" t="n">
        <f aca="false">Sens!H12597*(al_srch+Sens!H12707+sbc_r)</f>
        <v>13.4015815242928</v>
      </c>
      <c r="I12712" s="6" t="n">
        <f aca="false">Sens!I12597*(al_srch+Sens!I12707+sbc_r)</f>
        <v>14.5575950021475</v>
      </c>
      <c r="J12712" s="6" t="n">
        <f aca="false">Sens!J12597*(al_srch+Sens!J12707+sbc_r)</f>
        <v>15.7241102580829</v>
      </c>
      <c r="K12712" s="6" t="n">
        <f aca="false">Sens!K12597*(al_srch+Sens!K12707+sbc_r)</f>
        <v>16.8772122326528</v>
      </c>
    </row>
    <row r="12713" customFormat="false" ht="17.15" hidden="false" customHeight="false" outlineLevel="0" collapsed="false">
      <c r="A12713" s="0" t="s">
        <v>1241</v>
      </c>
      <c r="B12713" s="0" t="s">
        <v>98</v>
      </c>
      <c r="F12713" s="6" t="n">
        <f aca="false">Sens!F12565-Sens!F12566+Sens!F12647</f>
        <v>38.9696429794913</v>
      </c>
      <c r="G12713" s="6" t="n">
        <f aca="false">Sens!G12565-Sens!G12566+Sens!G12647</f>
        <v>69.465497726016</v>
      </c>
      <c r="H12713" s="6" t="n">
        <f aca="false">Sens!H12565-Sens!H12566+Sens!H12647</f>
        <v>96.8147106808268</v>
      </c>
      <c r="I12713" s="6" t="n">
        <f aca="false">Sens!I12565-Sens!I12566+Sens!I12647</f>
        <v>127.654939766446</v>
      </c>
      <c r="J12713" s="6" t="n">
        <f aca="false">Sens!J12565-Sens!J12566+Sens!J12647</f>
        <v>149.308352681229</v>
      </c>
      <c r="K12713" s="6" t="n">
        <f aca="false">Sens!K12565-Sens!K12566+Sens!K12647</f>
        <v>162.731822021841</v>
      </c>
    </row>
    <row r="12714" customFormat="false" ht="17.15" hidden="false" customHeight="false" outlineLevel="0" collapsed="false">
      <c r="A12714" s="0" t="s">
        <v>1242</v>
      </c>
      <c r="B12714" s="0" t="s">
        <v>98</v>
      </c>
      <c r="F12714" s="6" t="n">
        <f aca="false">Sens!F12626+Sens!F12647+Sens!F12577+Sens!F12707*(Sens!F12596-Sens!F12559)+sbc_r*Sens!F12596</f>
        <v>234.795378524203</v>
      </c>
      <c r="G12714" s="6" t="n">
        <f aca="false">Sens!G12626+Sens!G12647+Sens!G12577+Sens!G12707*(Sens!G12596-Sens!G12559)+sbc_r*Sens!G12596</f>
        <v>285.484254706529</v>
      </c>
      <c r="H12714" s="6" t="n">
        <f aca="false">Sens!H12626+Sens!H12647+Sens!H12577+Sens!H12707*(Sens!H12596-Sens!H12559)+sbc_r*Sens!H12596</f>
        <v>338.229147785962</v>
      </c>
      <c r="I12714" s="6" t="n">
        <f aca="false">Sens!I12626+Sens!I12647+Sens!I12577+Sens!I12707*(Sens!I12596-Sens!I12559)+sbc_r*Sens!I12596</f>
        <v>393.838976500233</v>
      </c>
      <c r="J12714" s="6" t="n">
        <f aca="false">Sens!J12626+Sens!J12647+Sens!J12577+Sens!J12707*(Sens!J12596-Sens!J12559)+sbc_r*Sens!J12596</f>
        <v>438.331863126333</v>
      </c>
      <c r="K12714" s="6" t="n">
        <f aca="false">Sens!K12626+Sens!K12647+Sens!K12577+Sens!K12707*(Sens!K12596-Sens!K12559)+sbc_r*Sens!K12596</f>
        <v>472.243783790679</v>
      </c>
    </row>
    <row r="12715" customFormat="false" ht="17.15" hidden="false" customHeight="false" outlineLevel="0" collapsed="false">
      <c r="A12715" s="0" t="s">
        <v>1243</v>
      </c>
      <c r="B12715" s="0" t="s">
        <v>98</v>
      </c>
      <c r="F12715" s="6" t="n">
        <f aca="false">Sens!F12714-Sens!F12708-Sens!F12709-Sens!F12710-Sens!F12711-Sens!F12713</f>
        <v>67.433893720014</v>
      </c>
      <c r="G12715" s="6" t="n">
        <f aca="false">Sens!G12714-Sens!G12708-Sens!G12709-Sens!G12710-Sens!G12711-Sens!G12713</f>
        <v>74.9487949230376</v>
      </c>
      <c r="H12715" s="6" t="n">
        <f aca="false">Sens!H12714-Sens!H12708-Sens!H12709-Sens!H12710-Sens!H12711-Sens!H12713</f>
        <v>87.5271668160467</v>
      </c>
      <c r="I12715" s="6" t="n">
        <f aca="false">Sens!I12714-Sens!I12708-Sens!I12709-Sens!I12710-Sens!I12711-Sens!I12713</f>
        <v>100.039102167075</v>
      </c>
      <c r="J12715" s="6" t="n">
        <f aca="false">Sens!J12714-Sens!J12708-Sens!J12709-Sens!J12710-Sens!J12711-Sens!J12713</f>
        <v>111.400684669903</v>
      </c>
      <c r="K12715" s="6" t="n">
        <f aca="false">Sens!K12714-Sens!K12708-Sens!K12709-Sens!K12710-Sens!K12711-Sens!K12713</f>
        <v>120.92000916849</v>
      </c>
    </row>
    <row r="12716" customFormat="false" ht="17.15" hidden="false" customHeight="false" outlineLevel="0" collapsed="false">
      <c r="A12716" s="0" t="s">
        <v>1244</v>
      </c>
      <c r="B12716" s="0" t="s">
        <v>98</v>
      </c>
      <c r="F12716" s="6" t="n">
        <f aca="false">Sens!F12628+Sens!F12707*Sens!F12603+sbc_r*Sens!F12603</f>
        <v>26.6691015709637</v>
      </c>
      <c r="G12716" s="6" t="n">
        <f aca="false">Sens!G12628+Sens!G12707*Sens!G12603+sbc_r*Sens!G12603</f>
        <v>26.615321380887</v>
      </c>
      <c r="H12716" s="6" t="n">
        <f aca="false">Sens!H12628+Sens!H12707*Sens!H12603+sbc_r*Sens!H12603</f>
        <v>27.6244168391557</v>
      </c>
      <c r="I12716" s="6" t="n">
        <f aca="false">Sens!I12628+Sens!I12707*Sens!I12603+sbc_r*Sens!I12603</f>
        <v>28.8974274088117</v>
      </c>
      <c r="J12716" s="6" t="n">
        <f aca="false">Sens!J12628+Sens!J12707*Sens!J12603+sbc_r*Sens!J12603</f>
        <v>30.4107806555597</v>
      </c>
      <c r="K12716" s="6" t="n">
        <f aca="false">Sens!K12628+Sens!K12707*Sens!K12603+sbc_r*Sens!K12603</f>
        <v>32.1473833129121</v>
      </c>
    </row>
    <row r="12717" customFormat="false" ht="17.15" hidden="false" customHeight="false" outlineLevel="0" collapsed="false">
      <c r="A12717" s="0" t="s">
        <v>1245</v>
      </c>
      <c r="B12717" s="0" t="s">
        <v>98</v>
      </c>
      <c r="F12717" s="6" t="n">
        <f aca="false">(Sens!F12716-Sens!F12712)*Sens!F12599/(Sens!F12599+Sens!F12601)</f>
        <v>8.75712129323252</v>
      </c>
      <c r="G12717" s="6" t="n">
        <f aca="false">(Sens!G12716-Sens!G12712)*Sens!G12599/(Sens!G12599+Sens!G12601)</f>
        <v>8.01061294274736</v>
      </c>
      <c r="H12717" s="6" t="n">
        <f aca="false">(Sens!H12716-Sens!H12712)*Sens!H12599/(Sens!H12599+Sens!H12601)</f>
        <v>7.89594133496272</v>
      </c>
      <c r="I12717" s="6" t="n">
        <f aca="false">(Sens!I12716-Sens!I12712)*Sens!I12599/(Sens!I12599+Sens!I12601)</f>
        <v>7.96344381737309</v>
      </c>
      <c r="J12717" s="6" t="n">
        <f aca="false">(Sens!J12716-Sens!J12712)*Sens!J12599/(Sens!J12599+Sens!J12601)</f>
        <v>8.21052154221739</v>
      </c>
      <c r="K12717" s="6" t="n">
        <f aca="false">(Sens!K12716-Sens!K12712)*Sens!K12599/(Sens!K12599+Sens!K12601)</f>
        <v>8.64564901559069</v>
      </c>
    </row>
    <row r="12718" customFormat="false" ht="17.15" hidden="false" customHeight="false" outlineLevel="0" collapsed="false">
      <c r="A12718" s="0" t="s">
        <v>1246</v>
      </c>
      <c r="B12718" s="0" t="s">
        <v>98</v>
      </c>
      <c r="F12718" s="6" t="n">
        <f aca="false">Sens!F12716-Sens!F12712-Sens!F12717</f>
        <v>6.72172524247738</v>
      </c>
      <c r="G12718" s="6" t="n">
        <f aca="false">Sens!G12716-Sens!G12712-Sens!G12717</f>
        <v>6.32979978754021</v>
      </c>
      <c r="H12718" s="6" t="n">
        <f aca="false">Sens!H12716-Sens!H12712-Sens!H12717</f>
        <v>6.32689397990011</v>
      </c>
      <c r="I12718" s="6" t="n">
        <f aca="false">Sens!I12716-Sens!I12712-Sens!I12717</f>
        <v>6.37638858929106</v>
      </c>
      <c r="J12718" s="6" t="n">
        <f aca="false">Sens!J12716-Sens!J12712-Sens!J12717</f>
        <v>6.47614885525948</v>
      </c>
      <c r="K12718" s="6" t="n">
        <f aca="false">Sens!K12716-Sens!K12712-Sens!K12717</f>
        <v>6.6245220646686</v>
      </c>
    </row>
    <row r="12719" customFormat="false" ht="17.15" hidden="false" customHeight="false" outlineLevel="0" collapsed="false">
      <c r="A12719" s="0" t="s">
        <v>1247</v>
      </c>
      <c r="B12719" s="0" t="s">
        <v>98</v>
      </c>
      <c r="F12719" s="6" t="n">
        <f aca="false">Sens!F12713-tax_f*(Sens!F12713-Sens!F12577)-Sens!F12574</f>
        <v>-130.362326762856</v>
      </c>
      <c r="G12719" s="6" t="n">
        <f aca="false">Sens!G12713-tax_f*(Sens!G12713-Sens!G12577)-Sens!G12574</f>
        <v>-124.225179337776</v>
      </c>
      <c r="H12719" s="6" t="n">
        <f aca="false">Sens!H12713-tax_f*(Sens!H12713-Sens!H12577)-Sens!H12574</f>
        <v>-101.534217387562</v>
      </c>
      <c r="I12719" s="6" t="n">
        <f aca="false">Sens!I12713-tax_f*(Sens!I12713-Sens!I12577)-Sens!I12574</f>
        <v>-43.6446798695439</v>
      </c>
      <c r="J12719" s="6" t="n">
        <f aca="false">Sens!J12713-tax_f*(Sens!J12713-Sens!J12577)-Sens!J12574</f>
        <v>16.9198855589618</v>
      </c>
      <c r="K12719" s="6" t="n">
        <f aca="false">Sens!K12713-tax_f*(Sens!K12713-Sens!K12577)-Sens!K12574</f>
        <v>39.8251384629271</v>
      </c>
    </row>
    <row r="12720" customFormat="false" ht="17.15" hidden="false" customHeight="false" outlineLevel="0" collapsed="false">
      <c r="A12720" s="0" t="s">
        <v>1248</v>
      </c>
      <c r="B12720" s="0" t="s">
        <v>98</v>
      </c>
      <c r="G12720" s="6" t="n">
        <f aca="false">Sens!G12719/(1+wacc)^(Sens!G12690-Sens!F12691)</f>
        <v>-118.286276192192</v>
      </c>
      <c r="H12720" s="6" t="n">
        <f aca="false">Sens!H12719/(1+wacc)^(Sens!H12690-Sens!F12691)</f>
        <v>-87.6570009910427</v>
      </c>
      <c r="I12720" s="6" t="n">
        <f aca="false">Sens!I12719/(1+wacc)^(Sens!I12690-Sens!F12691)</f>
        <v>-34.1629172979204</v>
      </c>
      <c r="J12720" s="6" t="n">
        <f aca="false">Sens!J12719/(1+wacc)^(Sens!J12690-Sens!F12691)</f>
        <v>12.0079954170053</v>
      </c>
      <c r="K12720" s="6" t="n">
        <f aca="false">Sens!K12719/(1+wacc)^(Sens!K12690-Sens!F12691)</f>
        <v>25.6259421582556</v>
      </c>
      <c r="L12720" s="1" t="s">
        <v>1249</v>
      </c>
    </row>
    <row r="12721" customFormat="false" ht="17.15" hidden="false" customHeight="false" outlineLevel="0" collapsed="false">
      <c r="A12721" s="0" t="s">
        <v>1250</v>
      </c>
      <c r="B12721" s="0" t="s">
        <v>98</v>
      </c>
      <c r="C12721" s="6" t="n">
        <f aca="false">(Sens!K12713-Sens!K12577)*(1-tax_f)*(1+g_tv)*(1-g_tv/(wacc+ronic_prem))/(wacc-g_tv)/(1+wacc)^(Sens!K12691-Sens!F12691)</f>
        <v>96.7148026864948</v>
      </c>
    </row>
    <row r="12722" customFormat="false" ht="17.15" hidden="false" customHeight="false" outlineLevel="0" collapsed="false">
      <c r="A12722" s="1" t="s">
        <v>1251</v>
      </c>
      <c r="B12722" s="0" t="s">
        <v>98</v>
      </c>
      <c r="C12722" s="6" t="n">
        <f aca="false">(SUM(Sens!G12720:K12720)+Sens!$C$12721)*(1+wacc)^(t_roll-Sens!F12691)</f>
        <v>-109.248827617462</v>
      </c>
      <c r="L12722" s="12" t="s">
        <v>1252</v>
      </c>
    </row>
    <row r="12723" customFormat="false" ht="17.15" hidden="false" customHeight="false" outlineLevel="0" collapsed="false">
      <c r="A12723" s="1" t="s">
        <v>1253</v>
      </c>
      <c r="B12723" s="0" t="s">
        <v>98</v>
      </c>
      <c r="C12723" s="6" t="n">
        <f aca="false">(w_ntm28*Sens!G12565+(1-w_ntm28)*Sens!H12565)*m_ai</f>
        <v>344.355829012336</v>
      </c>
    </row>
    <row r="12724" customFormat="false" ht="17.15" hidden="false" customHeight="false" outlineLevel="0" collapsed="false">
      <c r="A12724" s="1" t="s">
        <v>1254</v>
      </c>
      <c r="B12724" s="0" t="s">
        <v>98</v>
      </c>
      <c r="C12724" s="6" t="n">
        <f aca="false">(w_ntm28*Sens!G12715+(1-w_ntm28)*Sens!H12715)*m_cloud</f>
        <v>1092.94295391136</v>
      </c>
    </row>
    <row r="12725" customFormat="false" ht="17.15" hidden="false" customHeight="false" outlineLevel="0" collapsed="false">
      <c r="A12725" s="1" t="s">
        <v>1255</v>
      </c>
      <c r="B12725" s="0" t="s">
        <v>98</v>
      </c>
      <c r="C12725" s="6" t="n">
        <f aca="false">(w_ntm28*Sens!G12708+(1-w_ntm28)*Sens!H12708)*m_sw</f>
        <v>1045.08180986928</v>
      </c>
    </row>
    <row r="12726" customFormat="false" ht="17.15" hidden="false" customHeight="false" outlineLevel="0" collapsed="false">
      <c r="A12726" s="1" t="s">
        <v>1256</v>
      </c>
      <c r="B12726" s="0" t="s">
        <v>98</v>
      </c>
      <c r="C12726" s="6" t="n">
        <f aca="false">(w_ntm28*Sens!G12709+(1-w_ntm28)*Sens!H12709)*m_sw</f>
        <v>373.152588116502</v>
      </c>
    </row>
    <row r="12727" customFormat="false" ht="17.15" hidden="false" customHeight="false" outlineLevel="0" collapsed="false">
      <c r="A12727" s="1" t="s">
        <v>1257</v>
      </c>
      <c r="B12727" s="0" t="s">
        <v>98</v>
      </c>
      <c r="C12727" s="6" t="n">
        <f aca="false">(w_ntm28*Sens!G12710+(1-w_ntm28)*Sens!H12710)*m_sw</f>
        <v>109.284427926891</v>
      </c>
    </row>
    <row r="12728" customFormat="false" ht="17.15" hidden="false" customHeight="false" outlineLevel="0" collapsed="false">
      <c r="A12728" s="1" t="s">
        <v>1258</v>
      </c>
      <c r="B12728" s="0" t="s">
        <v>98</v>
      </c>
      <c r="C12728" s="6" t="n">
        <f aca="false">(w_ntm28*Sens!G12711+(1-w_ntm28)*Sens!H12711)*m_sw</f>
        <v>41.5469875085257</v>
      </c>
    </row>
    <row r="12729" customFormat="false" ht="17.15" hidden="false" customHeight="false" outlineLevel="0" collapsed="false">
      <c r="A12729" s="1" t="s">
        <v>1259</v>
      </c>
      <c r="B12729" s="0" t="s">
        <v>98</v>
      </c>
      <c r="C12729" s="6" t="n">
        <f aca="false">(w_ntm28*Sens!G12712+(1-w_ntm28)*Sens!H12712)*m_ads</f>
        <v>115.198880233047</v>
      </c>
    </row>
    <row r="12730" customFormat="false" ht="17.15" hidden="false" customHeight="false" outlineLevel="0" collapsed="false">
      <c r="A12730" s="1" t="s">
        <v>1260</v>
      </c>
      <c r="B12730" s="0" t="s">
        <v>98</v>
      </c>
      <c r="C12730" s="6" t="n">
        <f aca="false">(w_ntm28*Sens!G12717+(1-w_ntm28)*Sens!H12717)*m_game</f>
        <v>100.697887251123</v>
      </c>
    </row>
    <row r="12731" customFormat="false" ht="17.15" hidden="false" customHeight="false" outlineLevel="0" collapsed="false">
      <c r="A12731" s="1" t="s">
        <v>1261</v>
      </c>
      <c r="B12731" s="0" t="s">
        <v>98</v>
      </c>
      <c r="C12731" s="6" t="n">
        <f aca="false">(w_ntm28*Sens!G12718+(1-w_ntm28)*Sens!H12718)*m_pc</f>
        <v>91.5783792424568</v>
      </c>
    </row>
    <row r="12732" customFormat="false" ht="17.15" hidden="false" customHeight="false" outlineLevel="0" collapsed="false">
      <c r="A12732" s="1" t="s">
        <v>1262</v>
      </c>
      <c r="B12732" s="0" t="s">
        <v>98</v>
      </c>
      <c r="C12732" s="6" t="n">
        <f aca="false">Sens!$C$12722+Sens!$C$12724+Sens!$C$12725+Sens!$C$12726+Sens!$C$12727+Sens!$C$12728+Sens!$C$12729+Sens!$C$12730+Sens!$C$12731</f>
        <v>2860.23508644172</v>
      </c>
    </row>
    <row r="12733" customFormat="false" ht="17.15" hidden="false" customHeight="false" outlineLevel="0" collapsed="false">
      <c r="A12733" s="1" t="s">
        <v>1263</v>
      </c>
      <c r="B12733" s="0" t="s">
        <v>98</v>
      </c>
      <c r="C12733" s="6" t="n">
        <f aca="false">(Sens!G12694-Sens!G12719)*t_stub</f>
        <v>47.5029271441705</v>
      </c>
      <c r="L12733" s="1" t="s">
        <v>1264</v>
      </c>
    </row>
    <row r="12734" customFormat="false" ht="17.15" hidden="false" customHeight="false" outlineLevel="0" collapsed="false">
      <c r="A12734" s="1" t="s">
        <v>1173</v>
      </c>
      <c r="B12734" s="0" t="s">
        <v>98</v>
      </c>
      <c r="C12734" s="6" t="n">
        <f aca="false">Sens!F12681+oai_v-Sens!F12670+Sens!$C$12733</f>
        <v>158.59441702678</v>
      </c>
      <c r="L12734" s="1" t="s">
        <v>1265</v>
      </c>
    </row>
    <row r="12735" customFormat="false" ht="17.15" hidden="false" customHeight="false" outlineLevel="0" collapsed="false">
      <c r="A12735" s="1" t="s">
        <v>1266</v>
      </c>
      <c r="B12735" s="0" t="s">
        <v>75</v>
      </c>
      <c r="C12735" s="5" t="n">
        <f aca="false">(Sens!$C$12732+Sens!$C$12734)/(Sens!F12683+dil_gap)-Sens!G12673*roll_div_q/q_per_yr</f>
        <v>401.685887335712</v>
      </c>
      <c r="L12735" s="1" t="s">
        <v>1267</v>
      </c>
    </row>
    <row r="12736" customFormat="false" ht="17.15" hidden="false" customHeight="false" outlineLevel="0" collapsed="false">
      <c r="A12736" s="1" t="s">
        <v>1268</v>
      </c>
      <c r="B12736" s="0" t="s">
        <v>75</v>
      </c>
      <c r="C12736" s="5" t="n">
        <f aca="false">w_dcf*Sens!$C$12706+(1-w_dcf)*Sens!$C$12735</f>
        <v>341.454563939059</v>
      </c>
    </row>
    <row r="12737" customFormat="false" ht="17.15" hidden="false" customHeight="false" outlineLevel="0" collapsed="false">
      <c r="A12737" s="3" t="s">
        <v>1930</v>
      </c>
    </row>
    <row r="12738" customFormat="false" ht="15" hidden="false" customHeight="false" outlineLevel="0" collapsed="false">
      <c r="A12738" s="4" t="s">
        <v>43</v>
      </c>
      <c r="B12738" s="4" t="s">
        <v>65</v>
      </c>
      <c r="C12738" s="23" t="s">
        <v>942</v>
      </c>
      <c r="D12738" s="23" t="s">
        <v>943</v>
      </c>
      <c r="E12738" s="23" t="s">
        <v>944</v>
      </c>
      <c r="F12738" s="23" t="s">
        <v>945</v>
      </c>
      <c r="G12738" s="23" t="s">
        <v>946</v>
      </c>
      <c r="H12738" s="23" t="s">
        <v>947</v>
      </c>
      <c r="I12738" s="23" t="s">
        <v>948</v>
      </c>
      <c r="J12738" s="23" t="s">
        <v>949</v>
      </c>
      <c r="K12738" s="23" t="s">
        <v>950</v>
      </c>
      <c r="L12738" s="4" t="s">
        <v>47</v>
      </c>
    </row>
    <row r="12739" customFormat="false" ht="17.15" hidden="false" customHeight="false" outlineLevel="0" collapsed="false">
      <c r="A12739" s="1" t="s">
        <v>951</v>
      </c>
      <c r="B12739" s="1" t="s">
        <v>279</v>
      </c>
      <c r="C12739" s="21" t="n">
        <v>2024</v>
      </c>
      <c r="D12739" s="21" t="n">
        <v>2025</v>
      </c>
      <c r="E12739" s="21" t="n">
        <v>2026</v>
      </c>
      <c r="F12739" s="21" t="n">
        <v>2027</v>
      </c>
      <c r="G12739" s="21" t="n">
        <v>2028</v>
      </c>
      <c r="H12739" s="21" t="n">
        <v>2029</v>
      </c>
      <c r="I12739" s="21" t="n">
        <v>2030</v>
      </c>
      <c r="J12739" s="21" t="n">
        <v>2031</v>
      </c>
      <c r="K12739" s="21" t="n">
        <v>2032</v>
      </c>
    </row>
    <row r="12740" customFormat="false" ht="17.15" hidden="false" customHeight="false" outlineLevel="0" collapsed="false">
      <c r="A12740" s="1" t="s">
        <v>952</v>
      </c>
      <c r="B12740" s="0" t="s">
        <v>459</v>
      </c>
      <c r="F12740" s="30" t="n">
        <f aca="false">pace</f>
        <v>2726.5351</v>
      </c>
      <c r="G12740" s="30" t="n">
        <f aca="false">pace</f>
        <v>2726.5351</v>
      </c>
      <c r="H12740" s="30" t="n">
        <f aca="false">pace</f>
        <v>2726.5351</v>
      </c>
      <c r="I12740" s="30" t="n">
        <f aca="false">pace+(g_tv*Sens!H12741-pace)*MIN(1,(Sens!I12739-pace_y0)/(pace_y1-pace_y0))</f>
        <v>1931.98611966667</v>
      </c>
      <c r="J12740" s="30" t="n">
        <f aca="false">pace+(g_tv*Sens!I12741-pace)*MIN(1,(Sens!J12739-pace_y0)/(pace_y1-pace_y0))</f>
        <v>1176.07686172667</v>
      </c>
      <c r="K12740" s="30" t="n">
        <f aca="false">pace+(g_tv*Sens!J12741-pace)*MIN(1,(Sens!K12739-pace_y0)/(pace_y1-pace_y0))</f>
        <v>436.1300484418</v>
      </c>
      <c r="L12740" s="12" t="s">
        <v>953</v>
      </c>
    </row>
    <row r="12741" customFormat="false" ht="17.15" hidden="false" customHeight="false" outlineLevel="0" collapsed="false">
      <c r="A12741" s="1" t="s">
        <v>954</v>
      </c>
      <c r="B12741" s="0" t="s">
        <v>459</v>
      </c>
      <c r="C12741" s="30" t="n">
        <f aca="false">mw_ext_24</f>
        <v>640</v>
      </c>
      <c r="D12741" s="30" t="n">
        <f aca="false">mw_ext_25</f>
        <v>1630</v>
      </c>
      <c r="E12741" s="30" t="n">
        <f aca="false">mw_ext_26</f>
        <v>3250</v>
      </c>
      <c r="F12741" s="30" t="n">
        <f aca="false">Sens!E12741+Sens!F12740</f>
        <v>5976.5351</v>
      </c>
      <c r="G12741" s="30" t="n">
        <f aca="false">Sens!F12741+Sens!G12740</f>
        <v>8703.0702</v>
      </c>
      <c r="H12741" s="30" t="n">
        <f aca="false">Sens!G12741+Sens!H12740</f>
        <v>11429.6053</v>
      </c>
      <c r="I12741" s="30" t="n">
        <f aca="false">Sens!H12741+Sens!I12740</f>
        <v>13361.5914196667</v>
      </c>
      <c r="J12741" s="30" t="n">
        <f aca="false">Sens!I12741+Sens!J12740</f>
        <v>14537.6682813933</v>
      </c>
      <c r="K12741" s="30" t="n">
        <f aca="false">Sens!J12741+Sens!K12740</f>
        <v>14973.7983298351</v>
      </c>
      <c r="L12741" s="1" t="s">
        <v>955</v>
      </c>
    </row>
    <row r="12742" customFormat="false" ht="17.15" hidden="false" customHeight="false" outlineLevel="0" collapsed="false">
      <c r="A12742" s="1" t="s">
        <v>956</v>
      </c>
      <c r="B12742" s="0" t="s">
        <v>459</v>
      </c>
      <c r="C12742" s="30" t="n">
        <f aca="false">rent_ext_24</f>
        <v>150</v>
      </c>
      <c r="D12742" s="30" t="n">
        <f aca="false">rent_ext_25</f>
        <v>400</v>
      </c>
      <c r="E12742" s="30" t="n">
        <f aca="false">rent_ext_26</f>
        <v>550</v>
      </c>
      <c r="F12742" s="30" t="n">
        <f aca="false">rent_ext_f</f>
        <v>756</v>
      </c>
      <c r="G12742" s="30" t="n">
        <f aca="false">rent_ext_f</f>
        <v>756</v>
      </c>
      <c r="H12742" s="30" t="n">
        <f aca="false">rent_ext_f</f>
        <v>756</v>
      </c>
      <c r="I12742" s="30" t="n">
        <f aca="false">rent_ext_f</f>
        <v>756</v>
      </c>
      <c r="J12742" s="30" t="n">
        <f aca="false">rent_ext_f</f>
        <v>756</v>
      </c>
      <c r="K12742" s="30" t="n">
        <f aca="false">rent_ext_f</f>
        <v>756</v>
      </c>
      <c r="L12742" s="1" t="s">
        <v>957</v>
      </c>
    </row>
    <row r="12743" customFormat="false" ht="17.15" hidden="false" customHeight="false" outlineLevel="0" collapsed="false">
      <c r="A12743" s="1" t="s">
        <v>958</v>
      </c>
      <c r="B12743" s="0" t="s">
        <v>459</v>
      </c>
      <c r="C12743" s="30" t="n">
        <f aca="false">Sens!C12741-Sens!C12742</f>
        <v>490</v>
      </c>
      <c r="D12743" s="30" t="n">
        <f aca="false">Sens!D12741-Sens!D12742</f>
        <v>1230</v>
      </c>
      <c r="E12743" s="30" t="n">
        <f aca="false">Sens!E12741-Sens!E12742</f>
        <v>2700</v>
      </c>
      <c r="F12743" s="30" t="n">
        <f aca="false">Sens!F12741-Sens!F12742</f>
        <v>5220.5351</v>
      </c>
      <c r="G12743" s="30" t="n">
        <f aca="false">Sens!G12741-Sens!G12742</f>
        <v>7947.0702</v>
      </c>
      <c r="H12743" s="30" t="n">
        <f aca="false">Sens!H12741-Sens!H12742</f>
        <v>10673.6053</v>
      </c>
      <c r="I12743" s="30" t="n">
        <f aca="false">Sens!I12741-Sens!I12742</f>
        <v>12605.5914196667</v>
      </c>
      <c r="J12743" s="30" t="n">
        <f aca="false">Sens!J12741-Sens!J12742</f>
        <v>13781.6682813933</v>
      </c>
      <c r="K12743" s="30" t="n">
        <f aca="false">Sens!K12741-Sens!K12742</f>
        <v>14217.7983298351</v>
      </c>
    </row>
    <row r="12744" customFormat="false" ht="17.15" hidden="false" customHeight="false" outlineLevel="0" collapsed="false">
      <c r="A12744" s="1" t="s">
        <v>959</v>
      </c>
      <c r="B12744" s="0" t="s">
        <v>459</v>
      </c>
      <c r="C12744" s="30" t="n">
        <f aca="false">Sens!C12743/ext_sh</f>
        <v>816.666666666667</v>
      </c>
      <c r="D12744" s="30" t="n">
        <f aca="false">Sens!D12743/ext_sh</f>
        <v>2050</v>
      </c>
      <c r="E12744" s="30" t="n">
        <f aca="false">Sens!E12743/ext_sh</f>
        <v>4500</v>
      </c>
      <c r="F12744" s="30" t="n">
        <f aca="false">Sens!F12743/ext_sh</f>
        <v>8700.89183333333</v>
      </c>
      <c r="G12744" s="30" t="n">
        <f aca="false">Sens!G12743/ext_sh</f>
        <v>13245.117</v>
      </c>
      <c r="H12744" s="30" t="n">
        <f aca="false">Sens!H12743/ext_sh</f>
        <v>17789.3421666667</v>
      </c>
      <c r="I12744" s="30" t="n">
        <f aca="false">Sens!I12743/ext_sh</f>
        <v>21009.3190327778</v>
      </c>
      <c r="J12744" s="30" t="n">
        <f aca="false">Sens!J12743/ext_sh</f>
        <v>22969.4471356556</v>
      </c>
      <c r="K12744" s="30" t="n">
        <f aca="false">Sens!K12743/ext_sh</f>
        <v>23696.3305497252</v>
      </c>
      <c r="L12744" s="1" t="s">
        <v>960</v>
      </c>
    </row>
    <row r="12745" customFormat="false" ht="17.15" hidden="false" customHeight="false" outlineLevel="0" collapsed="false">
      <c r="A12745" s="1" t="s">
        <v>961</v>
      </c>
      <c r="B12745" s="0" t="s">
        <v>459</v>
      </c>
      <c r="C12745" s="30" t="n">
        <f aca="false">Sens!C12744-Sens!C12743</f>
        <v>326.666666666667</v>
      </c>
      <c r="D12745" s="30" t="n">
        <f aca="false">Sens!D12744-Sens!D12743</f>
        <v>820</v>
      </c>
      <c r="E12745" s="30" t="n">
        <f aca="false">Sens!E12744-Sens!E12743</f>
        <v>1800</v>
      </c>
      <c r="F12745" s="30" t="n">
        <f aca="false">Sens!F12744-Sens!F12743</f>
        <v>3480.35673333333</v>
      </c>
      <c r="G12745" s="30" t="n">
        <f aca="false">Sens!G12744-Sens!G12743</f>
        <v>5298.0468</v>
      </c>
      <c r="H12745" s="30" t="n">
        <f aca="false">Sens!H12744-Sens!H12743</f>
        <v>7115.73686666667</v>
      </c>
      <c r="I12745" s="30" t="n">
        <f aca="false">Sens!I12744-Sens!I12743</f>
        <v>8403.72761311111</v>
      </c>
      <c r="J12745" s="30" t="n">
        <f aca="false">Sens!J12744-Sens!J12743</f>
        <v>9187.77885426222</v>
      </c>
      <c r="K12745" s="30" t="n">
        <f aca="false">Sens!K12744-Sens!K12743</f>
        <v>9478.53221989009</v>
      </c>
    </row>
    <row r="12746" customFormat="false" ht="17.15" hidden="false" customHeight="false" outlineLevel="0" collapsed="false">
      <c r="A12746" s="1" t="s">
        <v>962</v>
      </c>
      <c r="B12746" s="0" t="s">
        <v>459</v>
      </c>
      <c r="C12746" s="30" t="n">
        <f aca="false">Sens!C12744</f>
        <v>816.666666666667</v>
      </c>
      <c r="D12746" s="30" t="n">
        <f aca="false">Sens!D12744-Sens!C12744</f>
        <v>1233.33333333333</v>
      </c>
      <c r="E12746" s="30" t="n">
        <f aca="false">Sens!E12744-Sens!D12744</f>
        <v>2450</v>
      </c>
      <c r="F12746" s="30" t="n">
        <f aca="false">Sens!F12744-Sens!E12744</f>
        <v>4200.89183333333</v>
      </c>
      <c r="G12746" s="30" t="n">
        <f aca="false">Sens!G12744-Sens!F12744</f>
        <v>4544.22516666667</v>
      </c>
      <c r="H12746" s="30" t="n">
        <f aca="false">Sens!H12744-Sens!G12744</f>
        <v>4544.22516666667</v>
      </c>
      <c r="I12746" s="30" t="n">
        <f aca="false">Sens!I12744-Sens!H12744</f>
        <v>3219.97686611111</v>
      </c>
      <c r="J12746" s="30" t="n">
        <f aca="false">Sens!J12744-Sens!I12744</f>
        <v>1960.12810287778</v>
      </c>
      <c r="K12746" s="30" t="n">
        <f aca="false">Sens!K12744-Sens!J12744</f>
        <v>726.883414069667</v>
      </c>
    </row>
    <row r="12747" customFormat="false" ht="17.15" hidden="false" customHeight="false" outlineLevel="0" collapsed="false">
      <c r="A12747" s="1" t="s">
        <v>963</v>
      </c>
      <c r="B12747" s="0" t="s">
        <v>459</v>
      </c>
      <c r="D12747" s="30" t="n">
        <f aca="false">Sens!D12741-Sens!C12741</f>
        <v>990</v>
      </c>
      <c r="E12747" s="30" t="n">
        <f aca="false">Sens!E12741-Sens!D12741</f>
        <v>1620</v>
      </c>
      <c r="F12747" s="30" t="n">
        <f aca="false">Sens!F12741-Sens!E12741</f>
        <v>2726.5351</v>
      </c>
      <c r="G12747" s="30" t="n">
        <f aca="false">Sens!G12741-Sens!F12741</f>
        <v>2726.5351</v>
      </c>
      <c r="H12747" s="30" t="n">
        <f aca="false">Sens!H12741-Sens!G12741</f>
        <v>2726.5351</v>
      </c>
      <c r="I12747" s="30" t="n">
        <f aca="false">Sens!I12741-Sens!H12741</f>
        <v>1931.98611966667</v>
      </c>
      <c r="J12747" s="30" t="n">
        <f aca="false">Sens!J12741-Sens!I12741</f>
        <v>1176.07686172667</v>
      </c>
      <c r="K12747" s="30" t="n">
        <f aca="false">Sens!K12741-Sens!J12741</f>
        <v>436.130048441799</v>
      </c>
    </row>
    <row r="12748" customFormat="false" ht="17.15" hidden="false" customHeight="false" outlineLevel="0" collapsed="false">
      <c r="A12748" s="1" t="s">
        <v>964</v>
      </c>
      <c r="B12748" s="0" t="s">
        <v>459</v>
      </c>
      <c r="F12748" s="30" t="n">
        <f aca="false">Sens!F12767*ext_sh</f>
        <v>0</v>
      </c>
      <c r="G12748" s="30" t="n">
        <f aca="false">Sens!G12767*ext_sh</f>
        <v>0</v>
      </c>
      <c r="H12748" s="30" t="n">
        <f aca="false">Sens!H12767*ext_sh</f>
        <v>0</v>
      </c>
      <c r="I12748" s="30" t="n">
        <f aca="false">Sens!I12767*ext_sh</f>
        <v>490</v>
      </c>
      <c r="J12748" s="30" t="n">
        <f aca="false">Sens!J12767*ext_sh</f>
        <v>740</v>
      </c>
      <c r="K12748" s="30" t="n">
        <f aca="false">Sens!K12767*ext_sh</f>
        <v>1470</v>
      </c>
      <c r="L12748" s="1" t="s">
        <v>965</v>
      </c>
    </row>
    <row r="12749" customFormat="false" ht="17.15" hidden="false" customHeight="false" outlineLevel="0" collapsed="false">
      <c r="A12749" s="1" t="s">
        <v>966</v>
      </c>
      <c r="B12749" s="0" t="s">
        <v>459</v>
      </c>
      <c r="C12749" s="30" t="n">
        <f aca="false">mix_h*Sens!C12741</f>
        <v>128</v>
      </c>
      <c r="D12749" s="30" t="n">
        <f aca="false">mix_h*Sens!D12741</f>
        <v>326</v>
      </c>
      <c r="E12749" s="30" t="n">
        <f aca="false">mix_h*Sens!E12741</f>
        <v>650</v>
      </c>
      <c r="F12749" s="30" t="n">
        <f aca="false">Sens!E12749-Sens!F12748*mix_h</f>
        <v>650</v>
      </c>
      <c r="G12749" s="30" t="n">
        <f aca="false">Sens!F12749-Sens!G12748*mix_h</f>
        <v>650</v>
      </c>
      <c r="H12749" s="30" t="n">
        <f aca="false">Sens!G12749-Sens!H12748*mix_h</f>
        <v>650</v>
      </c>
      <c r="I12749" s="30" t="n">
        <f aca="false">Sens!H12749-Sens!I12748*mix_h</f>
        <v>552</v>
      </c>
      <c r="J12749" s="30" t="n">
        <f aca="false">Sens!I12749-Sens!J12748*mix_h</f>
        <v>404</v>
      </c>
      <c r="K12749" s="30" t="n">
        <f aca="false">Sens!J12749-Sens!K12748*mix_h</f>
        <v>110</v>
      </c>
    </row>
    <row r="12750" customFormat="false" ht="17.15" hidden="false" customHeight="false" outlineLevel="0" collapsed="false">
      <c r="A12750" s="1" t="s">
        <v>967</v>
      </c>
      <c r="B12750" s="0" t="s">
        <v>459</v>
      </c>
      <c r="C12750" s="30" t="n">
        <f aca="false">mix_g2*Sens!C12741</f>
        <v>288</v>
      </c>
      <c r="D12750" s="30" t="n">
        <f aca="false">mix_g2*Sens!D12741</f>
        <v>733.5</v>
      </c>
      <c r="E12750" s="30" t="n">
        <f aca="false">mix_g2*Sens!E12741</f>
        <v>1462.5</v>
      </c>
      <c r="F12750" s="30" t="n">
        <f aca="false">Sens!E12750-Sens!F12748*mix_g2</f>
        <v>1462.5</v>
      </c>
      <c r="G12750" s="30" t="n">
        <f aca="false">Sens!F12750-Sens!G12748*mix_g2</f>
        <v>1462.5</v>
      </c>
      <c r="H12750" s="30" t="n">
        <f aca="false">Sens!G12750-Sens!H12748*mix_g2</f>
        <v>1462.5</v>
      </c>
      <c r="I12750" s="30" t="n">
        <f aca="false">Sens!H12750-Sens!I12748*mix_g2</f>
        <v>1242</v>
      </c>
      <c r="J12750" s="30" t="n">
        <f aca="false">Sens!I12750-Sens!J12748*mix_g2</f>
        <v>909</v>
      </c>
      <c r="K12750" s="30" t="n">
        <f aca="false">Sens!J12750-Sens!K12748*mix_g2</f>
        <v>247.5</v>
      </c>
    </row>
    <row r="12751" customFormat="false" ht="17.15" hidden="false" customHeight="false" outlineLevel="0" collapsed="false">
      <c r="A12751" s="1" t="s">
        <v>968</v>
      </c>
      <c r="B12751" s="0" t="s">
        <v>459</v>
      </c>
      <c r="C12751" s="30" t="n">
        <f aca="false">mix_g3*Sens!C12741</f>
        <v>224</v>
      </c>
      <c r="D12751" s="30" t="n">
        <f aca="false">mix_g3*Sens!D12741</f>
        <v>570.5</v>
      </c>
      <c r="E12751" s="30" t="n">
        <f aca="false">mix_g3*Sens!E12741</f>
        <v>1137.5</v>
      </c>
      <c r="F12751" s="30" t="n">
        <f aca="false">Sens!E12751+(Sens!F12747+Sens!F12748)*(a_g3_27-nonnv*a_mai)-Sens!F12748*mix_g3</f>
        <v>2773.42106</v>
      </c>
      <c r="G12751" s="30" t="n">
        <f aca="false">Sens!F12751+(Sens!G12747+Sens!G12748)*(a_g3_28-nonnv*a_mai)-Sens!G12748*mix_g3</f>
        <v>3318.72808</v>
      </c>
      <c r="H12751" s="30" t="n">
        <f aca="false">Sens!G12751+(Sens!H12747+Sens!H12748)*(a_g3_29-nonnv*a_mai)-Sens!H12748*mix_g3</f>
        <v>3318.72808</v>
      </c>
      <c r="I12751" s="30" t="n">
        <f aca="false">Sens!H12751+(Sens!I12747+Sens!I12748)*(a_g3_29-nonnv*a_mai)-Sens!I12748*mix_g3</f>
        <v>3147.22808</v>
      </c>
      <c r="J12751" s="30" t="n">
        <f aca="false">Sens!I12751+(Sens!J12747+Sens!J12748)*(a_g3_29-nonnv*a_mai)-Sens!J12748*mix_g3</f>
        <v>2888.22808</v>
      </c>
      <c r="K12751" s="30" t="n">
        <f aca="false">Sens!J12751+(Sens!K12747+Sens!K12748)*(a_g3_29-nonnv*a_mai)-Sens!K12748*mix_g3</f>
        <v>2373.72808</v>
      </c>
    </row>
    <row r="12752" customFormat="false" ht="17.15" hidden="false" customHeight="false" outlineLevel="0" collapsed="false">
      <c r="A12752" s="1" t="s">
        <v>969</v>
      </c>
      <c r="B12752" s="0" t="s">
        <v>459</v>
      </c>
      <c r="C12752" s="30" t="n">
        <v>0</v>
      </c>
      <c r="D12752" s="30" t="n">
        <v>0</v>
      </c>
      <c r="E12752" s="30" t="n">
        <v>0</v>
      </c>
      <c r="F12752" s="30" t="n">
        <f aca="false">Sens!E12752+(Sens!F12747+Sens!F12748)*nonnv*a_mai</f>
        <v>272.65351</v>
      </c>
      <c r="G12752" s="30" t="n">
        <f aca="false">Sens!F12752+(Sens!G12747+Sens!G12748)*nonnv*a_mai</f>
        <v>545.30702</v>
      </c>
      <c r="H12752" s="30" t="n">
        <f aca="false">Sens!G12752+(Sens!H12747+Sens!H12748)*nonnv*a_mai</f>
        <v>817.96053</v>
      </c>
      <c r="I12752" s="30" t="n">
        <f aca="false">Sens!H12752+(Sens!I12747+Sens!I12748)*nonnv*a_mai</f>
        <v>1060.15914196667</v>
      </c>
      <c r="J12752" s="30" t="n">
        <f aca="false">Sens!I12752+(Sens!J12747+Sens!J12748)*nonnv*a_mai</f>
        <v>1251.76682813933</v>
      </c>
      <c r="K12752" s="30" t="n">
        <f aca="false">Sens!J12752+(Sens!K12747+Sens!K12748)*nonnv*a_mai</f>
        <v>1442.37983298351</v>
      </c>
      <c r="L12752" s="12" t="s">
        <v>970</v>
      </c>
    </row>
    <row r="12753" customFormat="false" ht="17.15" hidden="false" customHeight="false" outlineLevel="0" collapsed="false">
      <c r="A12753" s="1" t="s">
        <v>971</v>
      </c>
      <c r="B12753" s="0" t="s">
        <v>459</v>
      </c>
      <c r="C12753" s="30" t="n">
        <v>0</v>
      </c>
      <c r="D12753" s="30" t="n">
        <v>0</v>
      </c>
      <c r="E12753" s="30" t="n">
        <v>0</v>
      </c>
      <c r="F12753" s="30" t="n">
        <f aca="false">Sens!E12753+(Sens!F12747+Sens!F12748)*(1-a_g3_27)</f>
        <v>817.96053</v>
      </c>
      <c r="G12753" s="30" t="n">
        <f aca="false">Sens!F12753+(Sens!G12747+Sens!G12748)*(1-a_g3_28)</f>
        <v>2726.5351</v>
      </c>
      <c r="H12753" s="30" t="n">
        <f aca="false">Sens!G12753+(Sens!H12747+Sens!H12748)*(1-a_g3_29)</f>
        <v>5180.41669</v>
      </c>
      <c r="I12753" s="30" t="n">
        <f aca="false">Sens!H12753+(Sens!I12747+Sens!I12748)*(1-a_g3_29)</f>
        <v>7360.2041977</v>
      </c>
      <c r="J12753" s="30" t="n">
        <f aca="false">Sens!I12753+(Sens!J12747+Sens!J12748)*(1-a_g3_29)</f>
        <v>9084.673373254</v>
      </c>
      <c r="K12753" s="30" t="n">
        <f aca="false">Sens!J12753+(Sens!K12747+Sens!K12748)*(1-a_g3_29)</f>
        <v>10800.1904168516</v>
      </c>
    </row>
    <row r="12754" customFormat="false" ht="17.15" hidden="false" customHeight="false" outlineLevel="0" collapsed="false">
      <c r="A12754" s="1" t="s">
        <v>972</v>
      </c>
      <c r="B12754" s="0" t="s">
        <v>403</v>
      </c>
      <c r="C12754" s="15" t="n">
        <f aca="false">(Sens!C12749*tk_hold_h100+Sens!C12750*tk_hold_gb200+Sens!C12751*tk_hold_gb300+Sens!C12753*tk_hold_vr200+Sens!C12752*nv_hold_mai*tk_hold_vr200)/Sens!C12741</f>
        <v>9.7235358126469</v>
      </c>
      <c r="D12754" s="15" t="n">
        <f aca="false">(Sens!D12749*tk_hold_h100+Sens!D12750*tk_hold_gb200+Sens!D12751*tk_hold_gb300+Sens!D12753*tk_hold_vr200+Sens!D12752*nv_hold_mai*tk_hold_vr200)/Sens!D12741</f>
        <v>9.7235358126469</v>
      </c>
      <c r="E12754" s="15" t="n">
        <f aca="false">(Sens!E12749*tk_hold_h100+Sens!E12750*tk_hold_gb200+Sens!E12751*tk_hold_gb300+Sens!E12753*tk_hold_vr200+Sens!E12752*nv_hold_mai*tk_hold_vr200)/Sens!E12741</f>
        <v>9.7235358126469</v>
      </c>
      <c r="F12754" s="15" t="n">
        <f aca="false">(Sens!F12749*tk_hold_h100+Sens!F12750*tk_hold_gb200+Sens!F12751*tk_hold_gb300+Sens!F12753*tk_hold_vr200+Sens!F12752*nv_hold_mai*tk_hold_vr200)/Sens!F12741</f>
        <v>10.2195353876665</v>
      </c>
      <c r="G12754" s="15" t="n">
        <f aca="false">(Sens!G12749*tk_hold_h100+Sens!G12750*tk_hold_gb200+Sens!G12751*tk_hold_gb300+Sens!G12753*tk_hold_vr200+Sens!G12752*nv_hold_mai*tk_hold_vr200)/Sens!G12741</f>
        <v>10.5725598017306</v>
      </c>
      <c r="H12754" s="15" t="n">
        <f aca="false">(Sens!H12749*tk_hold_h100+Sens!H12750*tk_hold_gb200+Sens!H12751*tk_hold_gb300+Sens!H12753*tk_hold_vr200+Sens!H12752*nv_hold_mai*tk_hold_vr200)/Sens!H12741</f>
        <v>10.8210427149036</v>
      </c>
      <c r="I12754" s="15" t="n">
        <f aca="false">(Sens!I12749*tk_hold_h100+Sens!I12750*tk_hold_gb200+Sens!I12751*tk_hold_gb300+Sens!I12753*tk_hold_vr200+Sens!I12752*nv_hold_mai*tk_hold_vr200)/Sens!I12741</f>
        <v>11.0050618241982</v>
      </c>
      <c r="J12754" s="15" t="n">
        <f aca="false">(Sens!J12749*tk_hold_h100+Sens!J12750*tk_hold_gb200+Sens!J12751*tk_hold_gb300+Sens!J12753*tk_hold_vr200+Sens!J12752*nv_hold_mai*tk_hold_vr200)/Sens!J12741</f>
        <v>11.1505789658881</v>
      </c>
      <c r="K12754" s="15" t="n">
        <f aca="false">(Sens!K12749*tk_hold_h100+Sens!K12750*tk_hold_gb200+Sens!K12751*tk_hold_gb300+Sens!K12753*tk_hold_vr200+Sens!K12752*nv_hold_mai*tk_hold_vr200)/Sens!K12741</f>
        <v>11.3496914757183</v>
      </c>
      <c r="L12754" s="1" t="s">
        <v>973</v>
      </c>
    </row>
    <row r="12755" customFormat="false" ht="17.15" hidden="false" customHeight="false" outlineLevel="0" collapsed="false">
      <c r="A12755" s="1" t="s">
        <v>974</v>
      </c>
      <c r="B12755" s="0" t="s">
        <v>403</v>
      </c>
      <c r="C12755" s="15" t="n">
        <f aca="false">(Sens!C12749*tk_hold_h100+Sens!C12750*tk_hold_gb200+Sens!C12751*tk_hold_gb300+Sens!C12753*tk_hold_vr200+Sens!C12752*nv_out_mai*tk_hold_vr200)/Sens!C12741</f>
        <v>9.7235358126469</v>
      </c>
      <c r="D12755" s="15" t="n">
        <f aca="false">(Sens!D12749*tk_hold_h100+Sens!D12750*tk_hold_gb200+Sens!D12751*tk_hold_gb300+Sens!D12753*tk_hold_vr200+Sens!D12752*nv_out_mai*tk_hold_vr200)/Sens!D12741</f>
        <v>9.7235358126469</v>
      </c>
      <c r="E12755" s="15" t="n">
        <f aca="false">(Sens!E12749*tk_hold_h100+Sens!E12750*tk_hold_gb200+Sens!E12751*tk_hold_gb300+Sens!E12753*tk_hold_vr200+Sens!E12752*nv_out_mai*tk_hold_vr200)/Sens!E12741</f>
        <v>9.7235358126469</v>
      </c>
      <c r="F12755" s="15" t="n">
        <f aca="false">(Sens!F12749*tk_hold_h100+Sens!F12750*tk_hold_gb200+Sens!F12751*tk_hold_gb300+Sens!F12753*tk_hold_vr200+Sens!F12752*nv_out_mai*tk_hold_vr200)/Sens!F12741</f>
        <v>10.247422093969</v>
      </c>
      <c r="G12755" s="15" t="n">
        <f aca="false">(Sens!G12749*tk_hold_h100+Sens!G12750*tk_hold_gb200+Sens!G12751*tk_hold_gb300+Sens!G12753*tk_hold_vr200+Sens!G12752*nv_out_mai*tk_hold_vr200)/Sens!G12741</f>
        <v>10.6108602808053</v>
      </c>
      <c r="H12755" s="15" t="n">
        <f aca="false">(Sens!H12749*tk_hold_h100+Sens!H12750*tk_hold_gb200+Sens!H12751*tk_hold_gb300+Sens!H12753*tk_hold_vr200+Sens!H12752*nv_out_mai*tk_hold_vr200)/Sens!H12741</f>
        <v>10.8647885507393</v>
      </c>
      <c r="I12755" s="15" t="n">
        <f aca="false">(Sens!I12749*tk_hold_h100+Sens!I12750*tk_hold_gb200+Sens!I12751*tk_hold_gb300+Sens!I12753*tk_hold_vr200+Sens!I12752*nv_out_mai*tk_hold_vr200)/Sens!I12741</f>
        <v>11.0535625770025</v>
      </c>
      <c r="J12755" s="15" t="n">
        <f aca="false">(Sens!J12749*tk_hold_h100+Sens!J12750*tk_hold_gb200+Sens!J12751*tk_hold_gb300+Sens!J12753*tk_hold_vr200+Sens!J12752*nv_out_mai*tk_hold_vr200)/Sens!J12741</f>
        <v>11.2032127128058</v>
      </c>
      <c r="K12755" s="15" t="n">
        <f aca="false">(Sens!K12749*tk_hold_h100+Sens!K12750*tk_hold_gb200+Sens!K12751*tk_hold_gb300+Sens!K12753*tk_hold_vr200+Sens!K12752*nv_out_mai*tk_hold_vr200)/Sens!K12741</f>
        <v>11.4085735724225</v>
      </c>
      <c r="L12755" s="12" t="s">
        <v>975</v>
      </c>
    </row>
    <row r="12756" customFormat="false" ht="17.15" hidden="false" customHeight="false" outlineLevel="0" collapsed="false">
      <c r="A12756" s="0" t="s">
        <v>976</v>
      </c>
      <c r="B12756" s="0" t="s">
        <v>229</v>
      </c>
      <c r="C12756" s="15" t="n">
        <f aca="false">k_B</f>
        <v>1.17213932619116</v>
      </c>
      <c r="D12756" s="15" t="n">
        <f aca="false">k_B</f>
        <v>1.17213932619116</v>
      </c>
      <c r="E12756" s="15" t="n">
        <f aca="false">k_B</f>
        <v>1.17213932619116</v>
      </c>
      <c r="F12756" s="15" t="n">
        <f aca="false">(k_B+((ls_A*k_long+(1-ls_A)*k_spot)-k_B)*MIN(1,(Sens!F12739-base_fy)/k_ramp))</f>
        <v>1.25022828131298</v>
      </c>
      <c r="G12756" s="15" t="n">
        <f aca="false">(k_B+((ls_A*k_long+(1-ls_A)*k_spot)-k_B)*MIN(1,(Sens!G12739-base_fy)/k_ramp))</f>
        <v>1.3283172364348</v>
      </c>
      <c r="H12756" s="15" t="n">
        <f aca="false">(k_B+((ls_A*k_long+(1-ls_A)*k_spot)-k_B)*MIN(1,(Sens!H12739-base_fy)/k_ramp))</f>
        <v>1.40640619155662</v>
      </c>
      <c r="I12756" s="15" t="n">
        <f aca="false">(k_B+((ls_A*k_long+(1-ls_A)*k_spot)-k_B)*MIN(1,(Sens!I12739-base_fy)/k_ramp))</f>
        <v>1.40640619155662</v>
      </c>
      <c r="J12756" s="15" t="n">
        <f aca="false">(k_B+((ls_A*k_long+(1-ls_A)*k_spot)-k_B)*MIN(1,(Sens!J12739-base_fy)/k_ramp))</f>
        <v>1.40640619155662</v>
      </c>
      <c r="K12756" s="15" t="n">
        <f aca="false">(k_B+((ls_A*k_long+(1-ls_A)*k_spot)-k_B)*MIN(1,(Sens!K12739-base_fy)/k_ramp))</f>
        <v>1.40640619155662</v>
      </c>
      <c r="L12756" s="1" t="s">
        <v>977</v>
      </c>
    </row>
    <row r="12757" customFormat="false" ht="17.15" hidden="false" customHeight="false" outlineLevel="0" collapsed="false">
      <c r="A12757" s="1" t="s">
        <v>978</v>
      </c>
      <c r="B12757" s="0" t="s">
        <v>403</v>
      </c>
      <c r="C12757" s="15" t="n">
        <f aca="false">Sens!C12755*Sens!C12756*chip_f</f>
        <v>11.3973387156315</v>
      </c>
      <c r="D12757" s="15" t="n">
        <f aca="false">Sens!D12755*Sens!D12756*chip_f</f>
        <v>11.3973387156315</v>
      </c>
      <c r="E12757" s="15" t="n">
        <f aca="false">Sens!E12755*Sens!E12756*chip_f</f>
        <v>11.3973387156315</v>
      </c>
      <c r="F12757" s="15" t="n">
        <f aca="false">Sens!F12755*Sens!F12756*chip_f</f>
        <v>12.8116169124314</v>
      </c>
      <c r="G12757" s="15" t="n">
        <f aca="false">Sens!G12755*Sens!G12756*chip_f</f>
        <v>14.094588604395</v>
      </c>
      <c r="H12757" s="15" t="n">
        <f aca="false">Sens!H12755*Sens!H12756*chip_f</f>
        <v>15.2803058877132</v>
      </c>
      <c r="I12757" s="15" t="n">
        <f aca="false">Sens!I12755*Sens!I12756*chip_f</f>
        <v>15.5457988470549</v>
      </c>
      <c r="J12757" s="15" t="n">
        <f aca="false">Sens!J12755*Sens!J12756*chip_f</f>
        <v>15.7562677246158</v>
      </c>
      <c r="K12757" s="15" t="n">
        <f aca="false">Sens!K12755*Sens!K12756*chip_f</f>
        <v>16.0450885090842</v>
      </c>
      <c r="L12757" s="1" t="s">
        <v>979</v>
      </c>
    </row>
    <row r="12758" customFormat="false" ht="17.15" hidden="false" customHeight="false" outlineLevel="0" collapsed="false">
      <c r="A12758" s="0" t="s">
        <v>980</v>
      </c>
      <c r="B12758" s="0" t="s">
        <v>98</v>
      </c>
      <c r="D12758" s="6" t="n">
        <f aca="false">(Sens!C12741+Sens!D12741)/2*Sens!D12757/1000</f>
        <v>12.9359794422418</v>
      </c>
      <c r="E12758" s="6" t="n">
        <f aca="false">(Sens!D12741+Sens!E12741)/2*Sens!E12757/1000</f>
        <v>27.8095064661409</v>
      </c>
      <c r="F12758" s="6" t="n">
        <f aca="false">(Sens!E12741+Sens!F12741)/2*Sens!F12757/1000</f>
        <v>59.1034165651511</v>
      </c>
      <c r="G12758" s="6" t="n">
        <f aca="false">(Sens!F12741+Sens!G12741)/2*Sens!G12757/1000</f>
        <v>103.451498789198</v>
      </c>
      <c r="H12758" s="6" t="n">
        <f aca="false">(Sens!G12741+Sens!H12741)/2*Sens!H12757/1000</f>
        <v>153.816719989035</v>
      </c>
      <c r="I12758" s="6" t="n">
        <f aca="false">(Sens!H12741+Sens!I12741)/2*Sens!I12757/1000</f>
        <v>192.699478690852</v>
      </c>
      <c r="J12758" s="6" t="n">
        <f aca="false">(Sens!I12741+Sens!J12741)/2*Sens!J12757/1000</f>
        <v>219.794102584244</v>
      </c>
      <c r="K12758" s="6" t="n">
        <f aca="false">(Sens!J12741+Sens!K12741)/2*Sens!K12757/1000</f>
        <v>236.757046905022</v>
      </c>
      <c r="L12758" s="12" t="s">
        <v>981</v>
      </c>
    </row>
    <row r="12759" customFormat="false" ht="17.15" hidden="false" customHeight="false" outlineLevel="0" collapsed="false">
      <c r="A12759" s="1" t="s">
        <v>982</v>
      </c>
      <c r="B12759" s="0" t="s">
        <v>403</v>
      </c>
      <c r="C12759" s="15" t="n">
        <f aca="false">(Sens!C12749*tk_opex_h100+Sens!C12750*tk_opex_gb200+Sens!C12751*tk_opex_gb300+(Sens!C12753+Sens!C12752)*tk_opex_vr200)/Sens!C12741</f>
        <v>1.88636041306092</v>
      </c>
      <c r="D12759" s="15" t="n">
        <f aca="false">(Sens!D12749*tk_opex_h100+Sens!D12750*tk_opex_gb200+Sens!D12751*tk_opex_gb300+(Sens!D12753+Sens!D12752)*tk_opex_vr200)/Sens!D12741</f>
        <v>1.88636041306092</v>
      </c>
      <c r="E12759" s="15" t="n">
        <f aca="false">(Sens!E12749*tk_opex_h100+Sens!E12750*tk_opex_gb200+Sens!E12751*tk_opex_gb300+(Sens!E12753+Sens!E12752)*tk_opex_vr200)/Sens!E12741</f>
        <v>1.88636041306092</v>
      </c>
      <c r="F12759" s="15" t="n">
        <f aca="false">(Sens!F12749*tk_opex_h100+Sens!F12750*tk_opex_gb200+Sens!F12751*tk_opex_gb300+(Sens!F12753+Sens!F12752)*tk_opex_vr200)/Sens!F12741</f>
        <v>1.95051159746876</v>
      </c>
      <c r="G12759" s="15" t="n">
        <f aca="false">(Sens!G12749*tk_opex_h100+Sens!G12750*tk_opex_gb200+Sens!G12751*tk_opex_gb300+(Sens!G12753+Sens!G12752)*tk_opex_vr200)/Sens!G12741</f>
        <v>1.98836003669956</v>
      </c>
      <c r="H12759" s="15" t="n">
        <f aca="false">(Sens!H12749*tk_opex_h100+Sens!H12750*tk_opex_gb200+Sens!H12751*tk_opex_gb300+(Sens!H12753+Sens!H12752)*tk_opex_vr200)/Sens!H12741</f>
        <v>2.01344013834343</v>
      </c>
      <c r="I12759" s="15" t="n">
        <f aca="false">(Sens!I12749*tk_opex_h100+Sens!I12750*tk_opex_gb200+Sens!I12751*tk_opex_gb300+(Sens!I12753+Sens!I12752)*tk_opex_vr200)/Sens!I12741</f>
        <v>2.03261166882178</v>
      </c>
      <c r="J12759" s="15" t="n">
        <f aca="false">(Sens!J12749*tk_opex_h100+Sens!J12750*tk_opex_gb200+Sens!J12751*tk_opex_gb300+(Sens!J12753+Sens!J12752)*tk_opex_vr200)/Sens!J12741</f>
        <v>2.04808073288745</v>
      </c>
      <c r="K12759" s="15" t="n">
        <f aca="false">(Sens!K12749*tk_opex_h100+Sens!K12750*tk_opex_gb200+Sens!K12751*tk_opex_gb300+(Sens!K12753+Sens!K12752)*tk_opex_vr200)/Sens!K12741</f>
        <v>2.06973825807449</v>
      </c>
      <c r="L12759" s="12" t="s">
        <v>983</v>
      </c>
    </row>
    <row r="12760" customFormat="false" ht="17.15" hidden="false" customHeight="false" outlineLevel="0" collapsed="false">
      <c r="A12760" s="0" t="s">
        <v>984</v>
      </c>
      <c r="B12760" s="0" t="s">
        <v>98</v>
      </c>
      <c r="D12760" s="6" t="n">
        <f aca="false">(Sens!C12744+Sens!D12744)/2*Sens!D12759/1000</f>
        <v>2.70378325872065</v>
      </c>
      <c r="E12760" s="6" t="n">
        <f aca="false">(Sens!D12744+Sens!E12744)/2*Sens!E12759/1000</f>
        <v>6.17783035277451</v>
      </c>
      <c r="F12760" s="6" t="n">
        <f aca="false">(Sens!E12744+Sens!F12744)/2*Sens!F12759/1000</f>
        <v>12.8742463089237</v>
      </c>
      <c r="G12760" s="6" t="n">
        <f aca="false">(Sens!F12744+Sens!G12744)/2*Sens!G12759/1000</f>
        <v>21.8182834646277</v>
      </c>
      <c r="H12760" s="6" t="n">
        <f aca="false">(Sens!G12744+Sens!H12744)/2*Sens!H12759/1000</f>
        <v>31.2430128789734</v>
      </c>
      <c r="I12760" s="6" t="n">
        <f aca="false">(Sens!H12744+Sens!I12744)/2*Sens!I12759/1000</f>
        <v>39.4313057443268</v>
      </c>
      <c r="J12760" s="6" t="n">
        <f aca="false">(Sens!I12744+Sens!J12744)/2*Sens!J12759/1000</f>
        <v>45.0360318228653</v>
      </c>
      <c r="K12760" s="6" t="n">
        <f aca="false">(Sens!J12744+Sens!K12744)/2*Sens!K12759/1000</f>
        <v>48.2929727091156</v>
      </c>
    </row>
    <row r="12761" customFormat="false" ht="17.15" hidden="false" customHeight="false" outlineLevel="0" collapsed="false">
      <c r="A12761" s="0" t="s">
        <v>985</v>
      </c>
      <c r="B12761" s="0" t="s">
        <v>98</v>
      </c>
      <c r="D12761" s="6" t="n">
        <f aca="false">(Sens!C12742+Sens!D12742)/2*rent_mw/1000</f>
        <v>2.44475</v>
      </c>
      <c r="E12761" s="6" t="n">
        <f aca="false">(Sens!D12742+Sens!E12742)/2*rent_mw/1000</f>
        <v>4.22275</v>
      </c>
      <c r="F12761" s="6" t="n">
        <f aca="false">(Sens!E12742+Sens!F12742)/2*rent_mw/1000</f>
        <v>5.80517</v>
      </c>
      <c r="G12761" s="6" t="n">
        <f aca="false">(Sens!F12742+Sens!G12742)/2*rent_mw/1000</f>
        <v>6.72084</v>
      </c>
      <c r="H12761" s="6" t="n">
        <f aca="false">(Sens!G12742+Sens!H12742)/2*rent_mw/1000</f>
        <v>6.72084</v>
      </c>
      <c r="I12761" s="6" t="n">
        <f aca="false">(Sens!H12742+Sens!I12742)/2*rent_mw/1000</f>
        <v>6.72084</v>
      </c>
      <c r="J12761" s="6" t="n">
        <f aca="false">(Sens!I12742+Sens!J12742)/2*rent_mw/1000</f>
        <v>6.72084</v>
      </c>
      <c r="K12761" s="6" t="n">
        <f aca="false">(Sens!J12742+Sens!K12742)/2*rent_mw/1000</f>
        <v>6.72084</v>
      </c>
    </row>
    <row r="12762" customFormat="false" ht="17.15" hidden="false" customHeight="false" outlineLevel="0" collapsed="false">
      <c r="A12762" s="0" t="s">
        <v>986</v>
      </c>
      <c r="B12762" s="0" t="s">
        <v>98</v>
      </c>
      <c r="D12762" s="6" t="n">
        <f aca="false">(Sens!C12744+Sens!D12744)/2*(1-self_build)*fac_rent/1000</f>
        <v>0.853242375631075</v>
      </c>
      <c r="E12762" s="6" t="n">
        <f aca="false">(Sens!D12744+Sens!E12744)/2*(1-self_build)*fac_rent/1000</f>
        <v>1.94955961408728</v>
      </c>
      <c r="F12762" s="6" t="n">
        <f aca="false">(Sens!E12744+Sens!F12744)/2*(1-self_build)*fac_rent/1000</f>
        <v>3.92914894476356</v>
      </c>
      <c r="G12762" s="6" t="n">
        <f aca="false">(Sens!F12744+Sens!G12744)/2*(1-self_build)*fac_rent/1000</f>
        <v>6.53206908578159</v>
      </c>
      <c r="H12762" s="6" t="n">
        <f aca="false">(Sens!G12744+Sens!H12744)/2*(1-self_build)*fac_rent/1000</f>
        <v>9.23717988341591</v>
      </c>
      <c r="I12762" s="6" t="n">
        <f aca="false">(Sens!H12744+Sens!I12744)/2*(1-self_build)*fac_rent/1000</f>
        <v>11.5481378557393</v>
      </c>
      <c r="J12762" s="6" t="n">
        <f aca="false">(Sens!I12744+Sens!J12744)/2*(1-self_build)*fac_rent/1000</f>
        <v>13.0899582289108</v>
      </c>
      <c r="K12762" s="6" t="n">
        <f aca="false">(Sens!J12744+Sens!K12744)/2*(1-self_build)*fac_rent/1000</f>
        <v>13.8897275626556</v>
      </c>
      <c r="L12762" s="12" t="s">
        <v>987</v>
      </c>
    </row>
    <row r="12763" customFormat="false" ht="17.15" hidden="false" customHeight="false" outlineLevel="0" collapsed="false">
      <c r="A12763" s="1" t="s">
        <v>988</v>
      </c>
      <c r="B12763" s="0" t="s">
        <v>168</v>
      </c>
      <c r="D12763" s="7" t="n">
        <f aca="false">(Sens!C12743+Sens!D12743)/(Sens!C12744+Sens!D12744)</f>
        <v>0.6</v>
      </c>
      <c r="E12763" s="7" t="n">
        <f aca="false">(Sens!D12743+Sens!E12743)/(Sens!D12744+Sens!E12744)</f>
        <v>0.6</v>
      </c>
      <c r="F12763" s="7" t="n">
        <f aca="false">(Sens!E12743+Sens!F12743)/(Sens!E12744+Sens!F12744)</f>
        <v>0.6</v>
      </c>
      <c r="G12763" s="7" t="n">
        <f aca="false">(Sens!F12743+Sens!G12743)/(Sens!F12744+Sens!G12744)</f>
        <v>0.6</v>
      </c>
      <c r="H12763" s="7" t="n">
        <f aca="false">(Sens!G12743+Sens!H12743)/(Sens!G12744+Sens!H12744)</f>
        <v>0.6</v>
      </c>
      <c r="I12763" s="7" t="n">
        <f aca="false">(Sens!H12743+Sens!I12743)/(Sens!H12744+Sens!I12744)</f>
        <v>0.6</v>
      </c>
      <c r="J12763" s="7" t="n">
        <f aca="false">(Sens!I12743+Sens!J12743)/(Sens!I12744+Sens!J12744)</f>
        <v>0.6</v>
      </c>
      <c r="K12763" s="7" t="n">
        <f aca="false">(Sens!J12743+Sens!K12743)/(Sens!J12744+Sens!K12744)</f>
        <v>0.6</v>
      </c>
    </row>
    <row r="12764" customFormat="false" ht="17.15" hidden="false" customHeight="false" outlineLevel="0" collapsed="false">
      <c r="A12764" s="0" t="s">
        <v>989</v>
      </c>
      <c r="B12764" s="0" t="s">
        <v>98</v>
      </c>
      <c r="D12764" s="6" t="n">
        <f aca="false">Sens!D12758-Sens!D12763*(Sens!D12760+Sens!D12762)-Sens!D12761</f>
        <v>8.35701406163072</v>
      </c>
      <c r="E12764" s="6" t="n">
        <f aca="false">Sens!E12758-Sens!E12763*(Sens!E12760+Sens!E12762)-Sens!E12761</f>
        <v>18.7103224860238</v>
      </c>
      <c r="F12764" s="6" t="n">
        <f aca="false">Sens!F12758-Sens!F12763*(Sens!F12760+Sens!F12762)-Sens!F12761</f>
        <v>43.2162094129388</v>
      </c>
      <c r="G12764" s="6" t="n">
        <f aca="false">Sens!G12758-Sens!G12763*(Sens!G12760+Sens!G12762)-Sens!G12761</f>
        <v>79.7204472589529</v>
      </c>
      <c r="H12764" s="6" t="n">
        <f aca="false">Sens!H12758-Sens!H12763*(Sens!H12760+Sens!H12762)-Sens!H12761</f>
        <v>122.807764331602</v>
      </c>
      <c r="I12764" s="6" t="n">
        <f aca="false">Sens!I12758-Sens!I12763*(Sens!I12760+Sens!I12762)-Sens!I12761</f>
        <v>155.390972530813</v>
      </c>
      <c r="J12764" s="6" t="n">
        <f aca="false">Sens!J12758-Sens!J12763*(Sens!J12760+Sens!J12762)-Sens!J12761</f>
        <v>178.197668553178</v>
      </c>
      <c r="K12764" s="6" t="n">
        <f aca="false">Sens!K12758-Sens!K12763*(Sens!K12760+Sens!K12762)-Sens!K12761</f>
        <v>192.726586741959</v>
      </c>
    </row>
    <row r="12765" customFormat="false" ht="17.15" hidden="false" customHeight="false" outlineLevel="0" collapsed="false">
      <c r="A12765" s="1" t="s">
        <v>990</v>
      </c>
      <c r="B12765" s="0" t="s">
        <v>98</v>
      </c>
      <c r="D12765" s="6" t="n">
        <f aca="false">(1-Sens!D12763)*(Sens!D12760+Sens!D12762)</f>
        <v>1.42281025374069</v>
      </c>
      <c r="E12765" s="6" t="n">
        <f aca="false">(1-Sens!E12763)*(Sens!E12760+Sens!E12762)</f>
        <v>3.25095598674472</v>
      </c>
      <c r="F12765" s="6" t="n">
        <f aca="false">(1-Sens!F12763)*(Sens!F12760+Sens!F12762)</f>
        <v>6.72135810147489</v>
      </c>
      <c r="G12765" s="6" t="n">
        <f aca="false">(1-Sens!G12763)*(Sens!G12760+Sens!G12762)</f>
        <v>11.3401410201637</v>
      </c>
      <c r="H12765" s="6" t="n">
        <f aca="false">(1-Sens!H12763)*(Sens!H12760+Sens!H12762)</f>
        <v>16.1920771049557</v>
      </c>
      <c r="I12765" s="6" t="n">
        <f aca="false">(1-Sens!I12763)*(Sens!I12760+Sens!I12762)</f>
        <v>20.3917774400264</v>
      </c>
      <c r="J12765" s="6" t="n">
        <f aca="false">(1-Sens!J12763)*(Sens!J12760+Sens!J12762)</f>
        <v>23.2503960207104</v>
      </c>
      <c r="K12765" s="6" t="n">
        <f aca="false">(1-Sens!K12763)*(Sens!K12760+Sens!K12762)</f>
        <v>24.8730801087085</v>
      </c>
    </row>
    <row r="12766" customFormat="false" ht="17.15" hidden="false" customHeight="false" outlineLevel="0" collapsed="false">
      <c r="A12766" s="1" t="s">
        <v>991</v>
      </c>
      <c r="B12766" s="0" t="s">
        <v>417</v>
      </c>
      <c r="C12766" s="8" t="n">
        <f aca="false">cxit_open</f>
        <v>27.5918995</v>
      </c>
      <c r="D12766" s="8" t="n">
        <f aca="false">cxit_open</f>
        <v>27.5918995</v>
      </c>
      <c r="E12766" s="8" t="n">
        <f aca="false">cxit_open</f>
        <v>27.5918995</v>
      </c>
      <c r="F12766" s="8" t="n">
        <f aca="false">((a_g3_27-nonnv*a_mai)*tk_cxit_gb300+nonnv*a_mai*nv_hold_mai*tk_cxit_vr200+(1-a_g3_27)*tk_cxit_vr200)</f>
        <v>32.4975576</v>
      </c>
      <c r="G12766" s="8" t="n">
        <f aca="false">((a_g3_28-nonnv*a_mai)*tk_cxit_gb300+nonnv*a_mai*nv_hold_mai*tk_cxit_vr200+(1-a_g3_28)*tk_cxit_vr200)</f>
        <v>34.6372088</v>
      </c>
      <c r="H12766" s="8" t="n">
        <f aca="false">((a_g3_29-nonnv*a_mai)*tk_cxit_gb300+nonnv*a_mai*nv_hold_mai*tk_cxit_vr200+(1-a_g3_29)*tk_cxit_vr200)</f>
        <v>35.7070344</v>
      </c>
      <c r="I12766" s="8" t="n">
        <f aca="false">((a_g3_29-nonnv*a_mai)*tk_cxit_gb300+nonnv*a_mai*nv_hold_mai*tk_cxit_vr200+(1-a_g3_29)*tk_cxit_vr200)</f>
        <v>35.7070344</v>
      </c>
      <c r="J12766" s="8" t="n">
        <f aca="false">((a_g3_29-nonnv*a_mai)*tk_cxit_gb300+nonnv*a_mai*nv_hold_mai*tk_cxit_vr200+(1-a_g3_29)*tk_cxit_vr200)</f>
        <v>35.7070344</v>
      </c>
      <c r="K12766" s="8" t="n">
        <f aca="false">((a_g3_29-nonnv*a_mai)*tk_cxit_gb300+nonnv*a_mai*nv_hold_mai*tk_cxit_vr200+(1-a_g3_29)*tk_cxit_vr200)</f>
        <v>35.7070344</v>
      </c>
      <c r="L12766" s="12" t="s">
        <v>992</v>
      </c>
    </row>
    <row r="12767" customFormat="false" ht="17.15" hidden="false" customHeight="false" outlineLevel="0" collapsed="false">
      <c r="A12767" s="0" t="s">
        <v>993</v>
      </c>
      <c r="B12767" s="0" t="s">
        <v>459</v>
      </c>
      <c r="F12767" s="30" t="n">
        <f aca="false">Sens!C12746*IF(Sens!F12739-Sens!C12739=life_it,1,0)+Sens!D12746*IF(Sens!F12739-Sens!D12739=life_it,1,0)+Sens!E12746*IF(Sens!F12739-Sens!E12739=life_it,1,0)</f>
        <v>0</v>
      </c>
      <c r="G12767" s="30" t="n">
        <f aca="false">Sens!C12746*IF(Sens!G12739-Sens!C12739=life_it,1,0)+Sens!D12746*IF(Sens!G12739-Sens!D12739=life_it,1,0)+Sens!E12746*IF(Sens!G12739-Sens!E12739=life_it,1,0)+Sens!F12746*IF(Sens!G12739-Sens!F12739=life_it,1,0)</f>
        <v>0</v>
      </c>
      <c r="H12767" s="30" t="n">
        <f aca="false">Sens!C12746*IF(Sens!H12739-Sens!C12739=life_it,1,0)+Sens!D12746*IF(Sens!H12739-Sens!D12739=life_it,1,0)+Sens!E12746*IF(Sens!H12739-Sens!E12739=life_it,1,0)+Sens!F12746*IF(Sens!H12739-Sens!F12739=life_it,1,0)+Sens!G12746*IF(Sens!H12739-Sens!G12739=life_it,1,0)</f>
        <v>0</v>
      </c>
      <c r="I12767" s="30" t="n">
        <f aca="false">Sens!C12746*IF(Sens!I12739-Sens!C12739=life_it,1,0)+Sens!D12746*IF(Sens!I12739-Sens!D12739=life_it,1,0)+Sens!E12746*IF(Sens!I12739-Sens!E12739=life_it,1,0)+Sens!F12746*IF(Sens!I12739-Sens!F12739=life_it,1,0)+Sens!G12746*IF(Sens!I12739-Sens!G12739=life_it,1,0)+Sens!H12746*IF(Sens!I12739-Sens!H12739=life_it,1,0)</f>
        <v>816.666666666667</v>
      </c>
      <c r="J12767" s="30" t="n">
        <f aca="false">Sens!C12746*IF(Sens!J12739-Sens!C12739=life_it,1,0)+Sens!D12746*IF(Sens!J12739-Sens!D12739=life_it,1,0)+Sens!E12746*IF(Sens!J12739-Sens!E12739=life_it,1,0)+Sens!F12746*IF(Sens!J12739-Sens!F12739=life_it,1,0)+Sens!G12746*IF(Sens!J12739-Sens!G12739=life_it,1,0)+Sens!H12746*IF(Sens!J12739-Sens!H12739=life_it,1,0)+Sens!I12746*IF(Sens!J12739-Sens!I12739=life_it,1,0)</f>
        <v>1233.33333333333</v>
      </c>
      <c r="K12767" s="30" t="n">
        <f aca="false">Sens!C12746*IF(Sens!K12739-Sens!C12739=life_it,1,0)+Sens!D12746*IF(Sens!K12739-Sens!D12739=life_it,1,0)+Sens!E12746*IF(Sens!K12739-Sens!E12739=life_it,1,0)+Sens!F12746*IF(Sens!K12739-Sens!F12739=life_it,1,0)+Sens!G12746*IF(Sens!K12739-Sens!G12739=life_it,1,0)+Sens!H12746*IF(Sens!K12739-Sens!H12739=life_it,1,0)+Sens!I12746*IF(Sens!K12739-Sens!I12739=life_it,1,0)+Sens!J12746*IF(Sens!K12739-Sens!J12739=life_it,1,0)</f>
        <v>2450</v>
      </c>
      <c r="L12767" s="1" t="s">
        <v>994</v>
      </c>
    </row>
    <row r="12768" customFormat="false" ht="17.15" hidden="false" customHeight="false" outlineLevel="0" collapsed="false">
      <c r="A12768" s="0" t="s">
        <v>995</v>
      </c>
      <c r="B12768" s="0" t="s">
        <v>98</v>
      </c>
      <c r="C12768" s="6" t="n">
        <f aca="false">Sens!C12746*Sens!C12766/1000</f>
        <v>22.5333845916667</v>
      </c>
      <c r="D12768" s="6" t="n">
        <f aca="false">Sens!D12746*Sens!D12766/1000</f>
        <v>34.0300093833333</v>
      </c>
      <c r="E12768" s="6" t="n">
        <f aca="false">Sens!E12746*Sens!E12766/1000</f>
        <v>67.600153775</v>
      </c>
      <c r="F12768" s="6" t="n">
        <f aca="false">(Sens!F12746+Sens!F12767)*Sens!F12766/1000</f>
        <v>136.51872432512</v>
      </c>
      <c r="G12768" s="6" t="n">
        <f aca="false">(Sens!G12746+Sens!G12767)*Sens!G12766/1000</f>
        <v>157.399275932048</v>
      </c>
      <c r="H12768" s="6" t="n">
        <f aca="false">(Sens!H12746+Sens!H12767)*Sens!H12766/1000</f>
        <v>162.260804347512</v>
      </c>
      <c r="I12768" s="6" t="n">
        <f aca="false">(Sens!I12746+Sens!I12767)*Sens!I12766/1000</f>
        <v>144.136569485434</v>
      </c>
      <c r="J12768" s="6" t="n">
        <f aca="false">(Sens!J12746+Sens!J12767)*Sens!J12766/1000</f>
        <v>114.029037357864</v>
      </c>
      <c r="K12768" s="6" t="n">
        <f aca="false">(Sens!K12746+Sens!K12767)*Sens!K12766/1000</f>
        <v>113.437085350975</v>
      </c>
    </row>
    <row r="12769" customFormat="false" ht="17.15" hidden="false" customHeight="false" outlineLevel="0" collapsed="false">
      <c r="A12769" s="0" t="s">
        <v>996</v>
      </c>
      <c r="B12769" s="0" t="s">
        <v>98</v>
      </c>
      <c r="C12769" s="6" t="n">
        <f aca="false">Sens!C12746*self_build*tk_cxfac/1000</f>
        <v>6.2083</v>
      </c>
      <c r="D12769" s="6" t="n">
        <f aca="false">Sens!D12746*self_build*tk_cxfac/1000</f>
        <v>9.3758</v>
      </c>
      <c r="E12769" s="6" t="n">
        <f aca="false">Sens!E12746*self_build*tk_cxfac/1000</f>
        <v>18.6249</v>
      </c>
      <c r="F12769" s="6" t="n">
        <f aca="false">Sens!F12746*self_build*tk_cxfac/1000</f>
        <v>31.935179717</v>
      </c>
      <c r="G12769" s="6" t="n">
        <f aca="false">Sens!G12746*self_build*tk_cxfac/1000</f>
        <v>34.545199717</v>
      </c>
      <c r="H12769" s="6" t="n">
        <f aca="false">Sens!H12746*self_build*tk_cxfac/1000</f>
        <v>34.545199717</v>
      </c>
      <c r="I12769" s="6" t="n">
        <f aca="false">Sens!I12746*self_build*tk_cxfac/1000</f>
        <v>24.4782641361767</v>
      </c>
      <c r="J12769" s="6" t="n">
        <f aca="false">Sens!J12746*self_build*tk_cxfac/1000</f>
        <v>14.9008938380769</v>
      </c>
      <c r="K12769" s="6" t="n">
        <f aca="false">Sens!K12746*self_build*tk_cxfac/1000</f>
        <v>5.52576771375761</v>
      </c>
    </row>
    <row r="12770" customFormat="false" ht="17.15" hidden="false" customHeight="false" outlineLevel="0" collapsed="false">
      <c r="A12770" s="0" t="s">
        <v>997</v>
      </c>
      <c r="B12770" s="0" t="s">
        <v>98</v>
      </c>
      <c r="F12770" s="15" t="n">
        <f aca="false">capex_floor27-Sens!F12768-Sens!F12769-Sens!F12866</f>
        <v>0.0475774452575593</v>
      </c>
      <c r="L12770" s="12" t="s">
        <v>998</v>
      </c>
    </row>
    <row r="12771" customFormat="false" ht="17.15" hidden="false" customHeight="false" outlineLevel="0" collapsed="false">
      <c r="A12771" s="0" t="s">
        <v>999</v>
      </c>
      <c r="B12771" s="0" t="s">
        <v>98</v>
      </c>
      <c r="F12771" s="6" t="n">
        <f aca="false">MAX(0,Sens!F12770)</f>
        <v>0.0475774452575593</v>
      </c>
    </row>
    <row r="12772" customFormat="false" ht="17.15" hidden="false" customHeight="false" outlineLevel="0" collapsed="false">
      <c r="A12772" s="0" t="s">
        <v>1000</v>
      </c>
      <c r="B12772" s="0" t="s">
        <v>98</v>
      </c>
      <c r="C12772" s="6" t="n">
        <f aca="false">Sens!C12768</f>
        <v>22.5333845916667</v>
      </c>
      <c r="D12772" s="6" t="n">
        <f aca="false">Sens!D12768</f>
        <v>34.0300093833333</v>
      </c>
      <c r="E12772" s="6" t="n">
        <f aca="false">Sens!E12768</f>
        <v>67.600153775</v>
      </c>
      <c r="F12772" s="6" t="n">
        <f aca="false">Sens!F12768</f>
        <v>136.51872432512</v>
      </c>
      <c r="G12772" s="6" t="n">
        <f aca="false">Sens!G12768</f>
        <v>157.399275932048</v>
      </c>
      <c r="H12772" s="6" t="n">
        <f aca="false">Sens!H12768</f>
        <v>162.260804347512</v>
      </c>
      <c r="I12772" s="6" t="n">
        <f aca="false">Sens!I12768</f>
        <v>144.136569485434</v>
      </c>
      <c r="J12772" s="6" t="n">
        <f aca="false">Sens!J12768</f>
        <v>114.029037357864</v>
      </c>
      <c r="K12772" s="6" t="n">
        <f aca="false">Sens!K12768</f>
        <v>113.437085350975</v>
      </c>
    </row>
    <row r="12773" customFormat="false" ht="17.15" hidden="false" customHeight="false" outlineLevel="0" collapsed="false">
      <c r="A12773" s="0" t="s">
        <v>1001</v>
      </c>
      <c r="B12773" s="0" t="s">
        <v>98</v>
      </c>
      <c r="C12773" s="6" t="n">
        <f aca="false">Sens!C12772+Sens!C12769</f>
        <v>28.7416845916667</v>
      </c>
      <c r="D12773" s="6" t="n">
        <f aca="false">Sens!D12772+Sens!D12769</f>
        <v>43.4058093833333</v>
      </c>
      <c r="E12773" s="6" t="n">
        <f aca="false">Sens!E12772+Sens!E12769</f>
        <v>86.225053775</v>
      </c>
      <c r="F12773" s="6" t="n">
        <f aca="false">Sens!F12772+Sens!F12769</f>
        <v>168.45390404212</v>
      </c>
      <c r="G12773" s="6" t="n">
        <f aca="false">Sens!G12772+Sens!G12769</f>
        <v>191.944475649048</v>
      </c>
      <c r="H12773" s="6" t="n">
        <f aca="false">Sens!H12772+Sens!H12769</f>
        <v>196.806004064512</v>
      </c>
      <c r="I12773" s="6" t="n">
        <f aca="false">Sens!I12772+Sens!I12769</f>
        <v>168.61483362161</v>
      </c>
      <c r="J12773" s="6" t="n">
        <f aca="false">Sens!J12772+Sens!J12769</f>
        <v>128.92993119594</v>
      </c>
      <c r="K12773" s="6" t="n">
        <f aca="false">Sens!K12772+Sens!K12769</f>
        <v>118.962853064733</v>
      </c>
      <c r="L12773" s="12" t="s">
        <v>1002</v>
      </c>
    </row>
    <row r="12774" customFormat="false" ht="17.15" hidden="false" customHeight="false" outlineLevel="0" collapsed="false">
      <c r="A12774" s="0" t="s">
        <v>1003</v>
      </c>
      <c r="B12774" s="0" t="s">
        <v>98</v>
      </c>
      <c r="E12774" s="6" t="n">
        <f aca="false">(Sens!C12772*IF(2&lt;life_it,1,IF(2=life_it,0.5,0))+Sens!D12772*IF(1&lt;life_it,1,IF(1=life_it,0.5,0))+Sens!E12772*0.5)/life_it</f>
        <v>15.0605784770833</v>
      </c>
      <c r="F12774" s="6" t="n">
        <f aca="false">(Sens!C12772*IF(3&lt;life_it,1,IF(3=life_it,0.5,0))+Sens!D12772*IF(2&lt;life_it,1,IF(2=life_it,0.5,0))+Sens!E12772*IF(1&lt;life_it,1,IF(1=life_it,0.5,0))+Sens!F12772*0.5)/life_it</f>
        <v>32.0704849854266</v>
      </c>
      <c r="G12774" s="6" t="n">
        <f aca="false">(Sens!C12772*IF(4&lt;life_it,1,IF(4=life_it,0.5,0))+Sens!D12772*IF(3&lt;life_it,1,IF(3=life_it,0.5,0))+Sens!E12772*IF(2&lt;life_it,1,IF(2=life_it,0.5,0))+Sens!F12772*IF(1&lt;life_it,1,IF(1=life_it,0.5,0))+Sens!G12772*0.5)/life_it</f>
        <v>56.5636516735239</v>
      </c>
      <c r="H12774" s="6" t="n">
        <f aca="false">(Sens!C12772*IF(5&lt;life_it,1,IF(5=life_it,0.5,0))+Sens!D12772*IF(4&lt;life_it,1,IF(4=life_it,0.5,0))+Sens!E12772*IF(3&lt;life_it,1,IF(3=life_it,0.5,0))+Sens!F12772*IF(2&lt;life_it,1,IF(2=life_it,0.5,0))+Sens!G12772*IF(1&lt;life_it,1,IF(1=life_it,0.5,0))+Sens!H12772*0.5)/life_it</f>
        <v>83.2019916968207</v>
      </c>
      <c r="I12774" s="6" t="n">
        <f aca="false">(Sens!C12772*IF(6&lt;life_it,1,IF(6=life_it,0.5,0))+Sens!D12772*IF(5&lt;life_it,1,IF(5=life_it,0.5,0))+Sens!E12772*IF(4&lt;life_it,1,IF(4=life_it,0.5,0))+Sens!F12772*IF(3&lt;life_it,1,IF(3=life_it,0.5,0))+Sens!G12772*IF(2&lt;life_it,1,IF(2=life_it,0.5,0))+Sens!H12772*IF(1&lt;life_it,1,IF(1=life_it,0.5,0))+Sens!I12772*0.5)/life_it</f>
        <v>106.857324133594</v>
      </c>
      <c r="J12774" s="6" t="n">
        <f aca="false">(Sens!C12772*IF(7&lt;life_it,1,IF(7=life_it,0.5,0))+Sens!D12772*IF(6&lt;life_it,1,IF(6=life_it,0.5,0))+Sens!E12772*IF(5&lt;life_it,1,IF(5=life_it,0.5,0))+Sens!F12772*IF(4&lt;life_it,1,IF(4=life_it,0.5,0))+Sens!G12772*IF(3&lt;life_it,1,IF(3=life_it,0.5,0))+Sens!H12772*IF(2&lt;life_it,1,IF(2=life_it,0.5,0))+Sens!I12772*IF(1&lt;life_it,1,IF(1=life_it,0.5,0))+Sens!J12772*0.5)/life_it</f>
        <v>123.657508539285</v>
      </c>
      <c r="K12774" s="6" t="n">
        <f aca="false">(Sens!C12772*IF(8&lt;life_it,1,IF(8=life_it,0.5,0))+Sens!D12772*IF(7&lt;life_it,1,IF(7=life_it,0.5,0))+Sens!E12772*IF(6&lt;life_it,1,IF(6=life_it,0.5,0))+Sens!F12772*IF(5&lt;life_it,1,IF(5=life_it,0.5,0))+Sens!G12772*IF(4&lt;life_it,1,IF(4=life_it,0.5,0))+Sens!H12772*IF(3&lt;life_it,1,IF(3=life_it,0.5,0))+Sens!I12772*IF(2&lt;life_it,1,IF(2=life_it,0.5,0))+Sens!J12772*IF(1&lt;life_it,1,IF(1=life_it,0.5,0))+Sens!K12772*0.5)/life_it</f>
        <v>134.143838501827</v>
      </c>
    </row>
    <row r="12775" customFormat="false" ht="17.15" hidden="false" customHeight="false" outlineLevel="0" collapsed="false">
      <c r="A12775" s="0" t="s">
        <v>1004</v>
      </c>
      <c r="B12775" s="0" t="s">
        <v>98</v>
      </c>
      <c r="E12775" s="6" t="n">
        <f aca="false">(Sens!C12769*IF(2&lt;life_fac,1,IF(2=life_fac,0.5,0))+Sens!D12769*IF(1&lt;life_fac,1,IF(1=life_fac,0.5,0))+Sens!E12769*0.5)/life_fac</f>
        <v>1.2448275</v>
      </c>
      <c r="F12775" s="6" t="n">
        <f aca="false">(Sens!C12769*IF(3&lt;life_fac,1,IF(3=life_fac,0.5,0))+Sens!D12769*IF(2&lt;life_fac,1,IF(2=life_fac,0.5,0))+Sens!E12769*IF(1&lt;life_fac,1,IF(1=life_fac,0.5,0))+Sens!F12769*0.5)/life_fac</f>
        <v>2.508829492925</v>
      </c>
      <c r="G12775" s="6" t="n">
        <f aca="false">(Sens!C12769*IF(4&lt;life_fac,1,IF(4=life_fac,0.5,0))+Sens!D12769*IF(3&lt;life_fac,1,IF(3=life_fac,0.5,0))+Sens!E12769*IF(2&lt;life_fac,1,IF(2=life_fac,0.5,0))+Sens!F12769*IF(1&lt;life_fac,1,IF(1=life_fac,0.5,0))+Sens!G12769*0.5)/life_fac</f>
        <v>4.170838978775</v>
      </c>
      <c r="H12775" s="6" t="n">
        <f aca="false">(Sens!C12769*IF(5&lt;life_fac,1,IF(5=life_fac,0.5,0))+Sens!D12769*IF(4&lt;life_fac,1,IF(4=life_fac,0.5,0))+Sens!E12769*IF(3&lt;life_fac,1,IF(3=life_fac,0.5,0))+Sens!F12769*IF(2&lt;life_fac,1,IF(2=life_fac,0.5,0))+Sens!G12769*IF(1&lt;life_fac,1,IF(1=life_fac,0.5,0))+Sens!H12769*0.5)/life_fac</f>
        <v>5.898098964625</v>
      </c>
      <c r="I12775" s="6" t="n">
        <f aca="false">(Sens!C12769*IF(6&lt;life_fac,1,IF(6=life_fac,0.5,0))+Sens!D12769*IF(5&lt;life_fac,1,IF(5=life_fac,0.5,0))+Sens!E12769*IF(4&lt;life_fac,1,IF(4=life_fac,0.5,0))+Sens!F12769*IF(3&lt;life_fac,1,IF(3=life_fac,0.5,0))+Sens!G12769*IF(2&lt;life_fac,1,IF(2=life_fac,0.5,0))+Sens!H12769*IF(1&lt;life_fac,1,IF(1=life_fac,0.5,0))+Sens!I12769*0.5)/life_fac</f>
        <v>7.37368556095442</v>
      </c>
      <c r="J12775" s="6" t="n">
        <f aca="false">(Sens!C12769*IF(7&lt;life_fac,1,IF(7=life_fac,0.5,0))+Sens!D12769*IF(6&lt;life_fac,1,IF(6=life_fac,0.5,0))+Sens!E12769*IF(5&lt;life_fac,1,IF(5=life_fac,0.5,0))+Sens!F12769*IF(4&lt;life_fac,1,IF(4=life_fac,0.5,0))+Sens!G12769*IF(3&lt;life_fac,1,IF(3=life_fac,0.5,0))+Sens!H12769*IF(2&lt;life_fac,1,IF(2=life_fac,0.5,0))+Sens!I12769*IF(1&lt;life_fac,1,IF(1=life_fac,0.5,0))+Sens!J12769*0.5)/life_fac</f>
        <v>8.35816451031075</v>
      </c>
      <c r="K12775" s="6" t="n">
        <f aca="false">(Sens!C12769*IF(8&lt;life_fac,1,IF(8=life_fac,0.5,0))+Sens!D12769*IF(7&lt;life_fac,1,IF(7=life_fac,0.5,0))+Sens!E12769*IF(6&lt;life_fac,1,IF(6=life_fac,0.5,0))+Sens!F12769*IF(5&lt;life_fac,1,IF(5=life_fac,0.5,0))+Sens!G12769*IF(4&lt;life_fac,1,IF(4=life_fac,0.5,0))+Sens!H12769*IF(3&lt;life_fac,1,IF(3=life_fac,0.5,0))+Sens!I12769*IF(2&lt;life_fac,1,IF(2=life_fac,0.5,0))+Sens!J12769*IF(1&lt;life_fac,1,IF(1=life_fac,0.5,0))+Sens!K12769*0.5)/life_fac</f>
        <v>8.86883104910662</v>
      </c>
    </row>
    <row r="12776" customFormat="false" ht="17.15" hidden="false" customHeight="false" outlineLevel="0" collapsed="false">
      <c r="A12776" s="0" t="s">
        <v>1005</v>
      </c>
      <c r="B12776" s="0" t="s">
        <v>98</v>
      </c>
      <c r="E12776" s="6" t="n">
        <f aca="false">Sens!E12774+Sens!E12775</f>
        <v>16.3054059770833</v>
      </c>
      <c r="F12776" s="6" t="n">
        <f aca="false">Sens!F12774+Sens!F12775</f>
        <v>34.5793144783516</v>
      </c>
      <c r="G12776" s="6" t="n">
        <f aca="false">Sens!G12774+Sens!G12775</f>
        <v>60.7344906522989</v>
      </c>
      <c r="H12776" s="6" t="n">
        <f aca="false">Sens!H12774+Sens!H12775</f>
        <v>89.1000906614457</v>
      </c>
      <c r="I12776" s="6" t="n">
        <f aca="false">Sens!I12774+Sens!I12775</f>
        <v>114.231009694548</v>
      </c>
      <c r="J12776" s="6" t="n">
        <f aca="false">Sens!J12774+Sens!J12775</f>
        <v>132.015673049596</v>
      </c>
      <c r="K12776" s="6" t="n">
        <f aca="false">Sens!K12774+Sens!K12775</f>
        <v>143.012669550934</v>
      </c>
    </row>
    <row r="12777" customFormat="false" ht="17.15" hidden="false" customHeight="false" outlineLevel="0" collapsed="false">
      <c r="A12777" s="0" t="s">
        <v>1006</v>
      </c>
      <c r="B12777" s="0" t="s">
        <v>98</v>
      </c>
      <c r="E12777" s="6" t="n">
        <f aca="false">Sens!E12764-Sens!E12763*Sens!E12776</f>
        <v>8.92707889977379</v>
      </c>
      <c r="F12777" s="6" t="n">
        <f aca="false">Sens!F12764-Sens!F12763*Sens!F12776</f>
        <v>22.4686207259278</v>
      </c>
      <c r="G12777" s="6" t="n">
        <f aca="false">Sens!G12764-Sens!G12763*Sens!G12776</f>
        <v>43.2797528675735</v>
      </c>
      <c r="H12777" s="6" t="n">
        <f aca="false">Sens!H12764-Sens!H12763*Sens!H12776</f>
        <v>69.3477099347341</v>
      </c>
      <c r="I12777" s="6" t="n">
        <f aca="false">Sens!I12764-Sens!I12763*Sens!I12776</f>
        <v>86.8523667140836</v>
      </c>
      <c r="J12777" s="6" t="n">
        <f aca="false">Sens!J12764-Sens!J12763*Sens!J12776</f>
        <v>98.9882647234202</v>
      </c>
      <c r="K12777" s="6" t="n">
        <f aca="false">Sens!K12764-Sens!K12763*Sens!K12776</f>
        <v>106.918985011399</v>
      </c>
    </row>
    <row r="12778" customFormat="false" ht="17.15" hidden="false" customHeight="false" outlineLevel="0" collapsed="false">
      <c r="A12778" s="3" t="s">
        <v>1931</v>
      </c>
    </row>
    <row r="12779" customFormat="false" ht="15" hidden="false" customHeight="false" outlineLevel="0" collapsed="false">
      <c r="A12779" s="4" t="s">
        <v>43</v>
      </c>
      <c r="B12779" s="4" t="s">
        <v>65</v>
      </c>
      <c r="C12779" s="23" t="s">
        <v>942</v>
      </c>
      <c r="D12779" s="23" t="s">
        <v>943</v>
      </c>
      <c r="E12779" s="23" t="s">
        <v>944</v>
      </c>
      <c r="F12779" s="23" t="s">
        <v>945</v>
      </c>
      <c r="G12779" s="23" t="s">
        <v>946</v>
      </c>
      <c r="H12779" s="23" t="s">
        <v>947</v>
      </c>
      <c r="I12779" s="23" t="s">
        <v>948</v>
      </c>
      <c r="J12779" s="23" t="s">
        <v>949</v>
      </c>
      <c r="K12779" s="23" t="s">
        <v>950</v>
      </c>
      <c r="L12779" s="4" t="s">
        <v>47</v>
      </c>
    </row>
    <row r="12780" customFormat="false" ht="17.15" hidden="false" customHeight="false" outlineLevel="0" collapsed="false">
      <c r="A12780" s="0" t="s">
        <v>1025</v>
      </c>
      <c r="B12780" s="0" t="s">
        <v>98</v>
      </c>
      <c r="D12780" s="6" t="n">
        <f aca="false">Sens!D12758</f>
        <v>12.9359794422418</v>
      </c>
      <c r="E12780" s="6" t="n">
        <f aca="false">Sens!E12758</f>
        <v>27.8095064661409</v>
      </c>
      <c r="F12780" s="6" t="n">
        <f aca="false">Sens!F12758</f>
        <v>59.1034165651511</v>
      </c>
      <c r="G12780" s="6" t="n">
        <f aca="false">Sens!G12758</f>
        <v>103.451498789198</v>
      </c>
      <c r="H12780" s="6" t="n">
        <f aca="false">Sens!H12758</f>
        <v>153.816719989035</v>
      </c>
      <c r="I12780" s="6" t="n">
        <f aca="false">Sens!I12758</f>
        <v>192.699478690852</v>
      </c>
      <c r="J12780" s="6" t="n">
        <f aca="false">Sens!J12758</f>
        <v>219.794102584244</v>
      </c>
      <c r="K12780" s="6" t="n">
        <f aca="false">Sens!K12758</f>
        <v>236.757046905022</v>
      </c>
    </row>
    <row r="12781" customFormat="false" ht="17.15" hidden="false" customHeight="false" outlineLevel="0" collapsed="false">
      <c r="A12781" s="0" t="s">
        <v>1026</v>
      </c>
      <c r="B12781" s="0" t="s">
        <v>98</v>
      </c>
      <c r="D12781" s="6" t="n">
        <f aca="false">Q!L6-Sens!D12780</f>
        <v>59.6740205577583</v>
      </c>
      <c r="E12781" s="6" t="n">
        <f aca="false">Q!M6-Sens!E12780</f>
        <v>74.1284935338591</v>
      </c>
      <c r="F12781" s="6" t="n">
        <f aca="false">Q!$I$6+(Sens!F12780+Sens!E12781*(1+Sens!F12782))*(1-Q!$E$6/Q!M6)-Sens!F12780</f>
        <v>90.4866018070994</v>
      </c>
      <c r="G12781" s="6" t="n">
        <f aca="false">Sens!F12781*(1+Sens!G12782)</f>
        <v>107.511588557154</v>
      </c>
      <c r="H12781" s="6" t="n">
        <f aca="false">Sens!G12781*(1+Sens!H12782)</f>
        <v>124.832989325489</v>
      </c>
      <c r="I12781" s="6" t="n">
        <f aca="false">Sens!H12781*(1+Sens!I12782)</f>
        <v>141.56992589148</v>
      </c>
      <c r="J12781" s="6" t="n">
        <f aca="false">Sens!I12781*(1+Sens!J12782)</f>
        <v>156.723190479428</v>
      </c>
      <c r="K12781" s="6" t="n">
        <f aca="false">Sens!J12781*(1+Sens!K12782)</f>
        <v>169.261045717783</v>
      </c>
      <c r="L12781" s="12" t="s">
        <v>1027</v>
      </c>
    </row>
    <row r="12782" customFormat="false" ht="15" hidden="false" customHeight="false" outlineLevel="0" collapsed="false">
      <c r="A12782" s="1" t="s">
        <v>1028</v>
      </c>
      <c r="B12782" s="0" t="s">
        <v>168</v>
      </c>
      <c r="E12782" s="7" t="n">
        <f aca="false">Sens!E12781/Sens!D12781-1</f>
        <v>0.242223883039864</v>
      </c>
      <c r="F12782" s="7" t="n">
        <f aca="false">Sens!$E$12782+(glt_azo-Sens!$E$12782)*MIN(1,(Sens!F12739-base_fy)/n_conv)</f>
        <v>0.215186569199887</v>
      </c>
      <c r="G12782" s="7" t="n">
        <f aca="false">Sens!$E$12782+(glt_azo-Sens!$E$12782)*MIN(1,(Sens!G12739-base_fy)/n_conv)</f>
        <v>0.18814925535991</v>
      </c>
      <c r="H12782" s="7" t="n">
        <f aca="false">Sens!$E$12782+(glt_azo-Sens!$E$12782)*MIN(1,(Sens!H12739-base_fy)/n_conv)</f>
        <v>0.161111941519932</v>
      </c>
      <c r="I12782" s="7" t="n">
        <f aca="false">Sens!$E$12782+(glt_azo-Sens!$E$12782)*MIN(1,(Sens!I12739-base_fy)/n_conv)</f>
        <v>0.134074627679955</v>
      </c>
      <c r="J12782" s="7" t="n">
        <f aca="false">Sens!$E$12782+(glt_azo-Sens!$E$12782)*MIN(1,(Sens!J12739-base_fy)/n_conv)</f>
        <v>0.107037313839977</v>
      </c>
      <c r="K12782" s="7" t="n">
        <f aca="false">Sens!$E$12782+(glt_azo-Sens!$E$12782)*MIN(1,(Sens!K12739-base_fy)/n_conv)</f>
        <v>0.08</v>
      </c>
    </row>
    <row r="12783" customFormat="false" ht="15" hidden="false" customHeight="false" outlineLevel="0" collapsed="false">
      <c r="A12783" s="0" t="s">
        <v>1029</v>
      </c>
      <c r="B12783" s="0" t="s">
        <v>98</v>
      </c>
      <c r="D12783" s="6" t="n">
        <f aca="false">Sens!D12780+Sens!D12781</f>
        <v>72.61</v>
      </c>
      <c r="E12783" s="6" t="n">
        <f aca="false">Sens!E12780+Sens!E12781</f>
        <v>101.938</v>
      </c>
      <c r="F12783" s="6" t="n">
        <f aca="false">Sens!F12780+Sens!F12781</f>
        <v>149.59001837225</v>
      </c>
      <c r="G12783" s="6" t="n">
        <f aca="false">Sens!G12780+Sens!G12781</f>
        <v>210.963087346352</v>
      </c>
      <c r="H12783" s="6" t="n">
        <f aca="false">Sens!H12780+Sens!H12781</f>
        <v>278.649709314524</v>
      </c>
      <c r="I12783" s="6" t="n">
        <f aca="false">Sens!I12780+Sens!I12781</f>
        <v>334.269404582332</v>
      </c>
      <c r="J12783" s="6" t="n">
        <f aca="false">Sens!J12780+Sens!J12781</f>
        <v>376.517293063672</v>
      </c>
      <c r="K12783" s="6" t="n">
        <f aca="false">Sens!K12780+Sens!K12781</f>
        <v>406.018092622804</v>
      </c>
    </row>
    <row r="12784" customFormat="false" ht="17.15" hidden="false" customHeight="false" outlineLevel="0" collapsed="false">
      <c r="A12784" s="0" t="s">
        <v>1030</v>
      </c>
      <c r="B12784" s="1" t="s">
        <v>613</v>
      </c>
      <c r="C12784" s="30" t="n">
        <f aca="false">cop_s24</f>
        <v>1</v>
      </c>
      <c r="D12784" s="30" t="n">
        <f aca="false">cop_s25</f>
        <v>5</v>
      </c>
      <c r="E12784" s="30" t="n">
        <f aca="false">cop_s26</f>
        <v>30</v>
      </c>
      <c r="F12784" s="30" t="n">
        <f aca="false">Sens!E12784+cop_add_A</f>
        <v>60</v>
      </c>
      <c r="G12784" s="30" t="n">
        <f aca="false">Sens!F12784+cop_add_A</f>
        <v>90</v>
      </c>
      <c r="H12784" s="30" t="n">
        <f aca="false">Sens!G12784+cop_add_A</f>
        <v>120</v>
      </c>
      <c r="I12784" s="30" t="n">
        <f aca="false">Sens!H12784+cop_add_A*cop_tail</f>
        <v>135</v>
      </c>
      <c r="J12784" s="30" t="n">
        <f aca="false">Sens!I12784+cop_add_A*cop_tail</f>
        <v>150</v>
      </c>
      <c r="K12784" s="30" t="n">
        <f aca="false">Sens!J12784+cop_add_A*cop_tail</f>
        <v>165</v>
      </c>
      <c r="L12784" s="12" t="s">
        <v>1031</v>
      </c>
    </row>
    <row r="12785" customFormat="false" ht="17.15" hidden="false" customHeight="false" outlineLevel="0" collapsed="false">
      <c r="A12785" s="0" t="s">
        <v>1032</v>
      </c>
      <c r="B12785" s="0" t="s">
        <v>98</v>
      </c>
      <c r="D12785" s="6" t="n">
        <f aca="false">(Sens!C12784+Sens!D12784)/2*cop_px*12/1000</f>
        <v>0.9</v>
      </c>
      <c r="E12785" s="6" t="n">
        <f aca="false">(Sens!D12784+Sens!E12784)/2*cop_px*12/1000</f>
        <v>5.25</v>
      </c>
      <c r="F12785" s="6" t="n">
        <f aca="false">(Sens!E12784+Sens!F12784)/2*cop_px*12/1000</f>
        <v>13.5</v>
      </c>
      <c r="G12785" s="6" t="n">
        <f aca="false">(Sens!F12784+Sens!G12784)/2*cop_px*12/1000</f>
        <v>22.5</v>
      </c>
      <c r="H12785" s="6" t="n">
        <f aca="false">(Sens!G12784+Sens!H12784)/2*cop_px*12/1000</f>
        <v>31.5</v>
      </c>
      <c r="I12785" s="6" t="n">
        <f aca="false">(Sens!H12784+Sens!I12784)/2*cop_px*12/1000</f>
        <v>38.25</v>
      </c>
      <c r="J12785" s="6" t="n">
        <f aca="false">(Sens!I12784+Sens!J12784)/2*cop_px*12/1000</f>
        <v>42.75</v>
      </c>
      <c r="K12785" s="6" t="n">
        <f aca="false">(Sens!J12784+Sens!K12784)/2*cop_px*12/1000</f>
        <v>47.25</v>
      </c>
      <c r="L12785" s="1" t="s">
        <v>1033</v>
      </c>
    </row>
    <row r="12786" customFormat="false" ht="17.15" hidden="false" customHeight="false" outlineLevel="0" collapsed="false">
      <c r="A12786" s="0" t="s">
        <v>1034</v>
      </c>
      <c r="B12786" s="0" t="s">
        <v>98</v>
      </c>
      <c r="D12786" s="6" t="n">
        <f aca="false">Q!L7-Sens!D12785</f>
        <v>83.705</v>
      </c>
      <c r="E12786" s="6" t="n">
        <f aca="false">Q!M7-Sens!E12785</f>
        <v>95.049</v>
      </c>
      <c r="F12786" s="6" t="n">
        <f aca="false">Q!$I$7+(Sens!E12786*(1+Sens!F12787)+Sens!F12785)*(1-Q!$E$7/Q!M7)-Sens!F12785</f>
        <v>106.229653205718</v>
      </c>
      <c r="G12786" s="6" t="n">
        <f aca="false">Sens!F12786*(1+Sens!G12787)</f>
        <v>118.306092647576</v>
      </c>
      <c r="H12786" s="6" t="n">
        <f aca="false">Sens!G12786*(1+Sens!H12787)</f>
        <v>130.463437602768</v>
      </c>
      <c r="I12786" s="6" t="n">
        <f aca="false">Sens!H12786*(1+Sens!I12787)</f>
        <v>142.445354741933</v>
      </c>
      <c r="J12786" s="6" t="n">
        <f aca="false">Sens!I12786*(1+Sens!J12787)</f>
        <v>153.972117481571</v>
      </c>
      <c r="K12786" s="6" t="n">
        <f aca="false">Sens!J12786*(1+Sens!K12787)</f>
        <v>164.75016570528</v>
      </c>
      <c r="L12786" s="12" t="s">
        <v>1035</v>
      </c>
    </row>
    <row r="12787" customFormat="false" ht="15" hidden="false" customHeight="false" outlineLevel="0" collapsed="false">
      <c r="A12787" s="1" t="s">
        <v>1028</v>
      </c>
      <c r="B12787" s="0" t="s">
        <v>168</v>
      </c>
      <c r="E12787" s="7" t="n">
        <f aca="false">Sens!E12786/Sens!D12786-1</f>
        <v>0.135523564900544</v>
      </c>
      <c r="F12787" s="7" t="n">
        <f aca="false">Sens!$E$12787+(glt_m365b-Sens!$E$12787)*MIN(1,(Sens!F12739-base_fy)/n_conv)</f>
        <v>0.124602970750453</v>
      </c>
      <c r="G12787" s="7" t="n">
        <f aca="false">Sens!$E$12787+(glt_m365b-Sens!$E$12787)*MIN(1,(Sens!G12739-base_fy)/n_conv)</f>
        <v>0.113682376600363</v>
      </c>
      <c r="H12787" s="7" t="n">
        <f aca="false">Sens!$E$12787+(glt_m365b-Sens!$E$12787)*MIN(1,(Sens!H12739-base_fy)/n_conv)</f>
        <v>0.102761782450272</v>
      </c>
      <c r="I12787" s="7" t="n">
        <f aca="false">Sens!$E$12787+(glt_m365b-Sens!$E$12787)*MIN(1,(Sens!I12739-base_fy)/n_conv)</f>
        <v>0.0918411883001813</v>
      </c>
      <c r="J12787" s="7" t="n">
        <f aca="false">Sens!$E$12787+(glt_m365b-Sens!$E$12787)*MIN(1,(Sens!J12739-base_fy)/n_conv)</f>
        <v>0.0809205941500906</v>
      </c>
      <c r="K12787" s="7" t="n">
        <f aca="false">Sens!$E$12787+(glt_m365b-Sens!$E$12787)*MIN(1,(Sens!K12739-base_fy)/n_conv)</f>
        <v>0.07</v>
      </c>
    </row>
    <row r="12788" customFormat="false" ht="15" hidden="false" customHeight="false" outlineLevel="0" collapsed="false">
      <c r="A12788" s="0" t="s">
        <v>1036</v>
      </c>
      <c r="B12788" s="0" t="s">
        <v>98</v>
      </c>
      <c r="D12788" s="6" t="n">
        <f aca="false">Sens!D12786+Sens!D12785</f>
        <v>84.605</v>
      </c>
      <c r="E12788" s="6" t="n">
        <f aca="false">Sens!E12786+Sens!E12785</f>
        <v>100.299</v>
      </c>
      <c r="F12788" s="6" t="n">
        <f aca="false">Sens!F12786+Sens!F12785</f>
        <v>119.729653205718</v>
      </c>
      <c r="G12788" s="6" t="n">
        <f aca="false">Sens!G12786+Sens!G12785</f>
        <v>140.806092647576</v>
      </c>
      <c r="H12788" s="6" t="n">
        <f aca="false">Sens!H12786+Sens!H12785</f>
        <v>161.963437602768</v>
      </c>
      <c r="I12788" s="6" t="n">
        <f aca="false">Sens!I12786+Sens!I12785</f>
        <v>180.695354741933</v>
      </c>
      <c r="J12788" s="6" t="n">
        <f aca="false">Sens!J12786+Sens!J12785</f>
        <v>196.722117481571</v>
      </c>
      <c r="K12788" s="6" t="n">
        <f aca="false">Sens!K12786+Sens!K12785</f>
        <v>212.00016570528</v>
      </c>
    </row>
    <row r="12789" customFormat="false" ht="17.15" hidden="false" customHeight="false" outlineLevel="0" collapsed="false">
      <c r="A12789" s="0" t="s">
        <v>1037</v>
      </c>
      <c r="B12789" s="0" t="s">
        <v>98</v>
      </c>
      <c r="D12789" s="6" t="n">
        <f aca="false">Q!L8</f>
        <v>35.391</v>
      </c>
      <c r="E12789" s="6" t="n">
        <f aca="false">Q!M8</f>
        <v>37.285</v>
      </c>
      <c r="F12789" s="6" t="n">
        <f aca="false">Q!$I$8+(Q!M8-Q!$E$8)*(1+Sens!F12790)</f>
        <v>38.3851437782675</v>
      </c>
      <c r="G12789" s="6" t="n">
        <f aca="false">Sens!F12789*(1+Sens!G12790)</f>
        <v>40.0105353288615</v>
      </c>
      <c r="H12789" s="6" t="n">
        <f aca="false">Sens!G12789*(1+Sens!H12790)</f>
        <v>41.4812512033683</v>
      </c>
      <c r="I12789" s="6" t="n">
        <f aca="false">Sens!H12789*(1+Sens!I12790)</f>
        <v>42.7743107216329</v>
      </c>
      <c r="J12789" s="6" t="n">
        <f aca="false">Sens!I12789*(1+Sens!J12790)</f>
        <v>43.8687373064601</v>
      </c>
      <c r="K12789" s="6" t="n">
        <f aca="false">Sens!J12789*(1+Sens!K12790)</f>
        <v>44.7461120525893</v>
      </c>
      <c r="L12789" s="12" t="s">
        <v>1038</v>
      </c>
    </row>
    <row r="12790" customFormat="false" ht="15" hidden="false" customHeight="false" outlineLevel="0" collapsed="false">
      <c r="A12790" s="1" t="s">
        <v>1028</v>
      </c>
      <c r="B12790" s="0" t="s">
        <v>168</v>
      </c>
      <c r="E12790" s="7" t="n">
        <f aca="false">Sens!E12789/Sens!D12789-1</f>
        <v>0.0535164307309768</v>
      </c>
      <c r="F12790" s="7" t="n">
        <f aca="false">Sens!$E$12790+(glt_lic-Sens!$E$12790)*MIN(1,(Sens!F12739-base_fy)/n_conv)</f>
        <v>0.0479303589424807</v>
      </c>
      <c r="G12790" s="7" t="n">
        <f aca="false">Sens!$E$12790+(glt_lic-Sens!$E$12790)*MIN(1,(Sens!G12739-base_fy)/n_conv)</f>
        <v>0.0423442871539845</v>
      </c>
      <c r="H12790" s="7" t="n">
        <f aca="false">Sens!$E$12790+(glt_lic-Sens!$E$12790)*MIN(1,(Sens!H12739-base_fy)/n_conv)</f>
        <v>0.0367582153654884</v>
      </c>
      <c r="I12790" s="7" t="n">
        <f aca="false">Sens!$E$12790+(glt_lic-Sens!$E$12790)*MIN(1,(Sens!I12739-base_fy)/n_conv)</f>
        <v>0.0311721435769923</v>
      </c>
      <c r="J12790" s="7" t="n">
        <f aca="false">Sens!$E$12790+(glt_lic-Sens!$E$12790)*MIN(1,(Sens!J12739-base_fy)/n_conv)</f>
        <v>0.0255860717884961</v>
      </c>
      <c r="K12790" s="7" t="n">
        <f aca="false">Sens!$E$12790+(glt_lic-Sens!$E$12790)*MIN(1,(Sens!K12739-base_fy)/n_conv)</f>
        <v>0.02</v>
      </c>
    </row>
    <row r="12791" customFormat="false" ht="17.15" hidden="false" customHeight="false" outlineLevel="0" collapsed="false">
      <c r="A12791" s="0" t="s">
        <v>1039</v>
      </c>
      <c r="B12791" s="0" t="s">
        <v>98</v>
      </c>
      <c r="D12791" s="6" t="n">
        <f aca="false">Q!L9</f>
        <v>18.417</v>
      </c>
      <c r="E12791" s="6" t="n">
        <f aca="false">Q!M9</f>
        <v>20.345</v>
      </c>
      <c r="F12791" s="6" t="n">
        <f aca="false">Q!$I$9+(Q!M9-Q!$E$9)*(1+Sens!F12792)</f>
        <v>22.3161797133988</v>
      </c>
      <c r="G12791" s="6" t="n">
        <f aca="false">Sens!F12791*(1+Sens!G12792)</f>
        <v>24.3943499673233</v>
      </c>
      <c r="H12791" s="6" t="n">
        <f aca="false">Sens!G12791*(1+Sens!H12792)</f>
        <v>26.5250243109019</v>
      </c>
      <c r="I12791" s="6" t="n">
        <f aca="false">Sens!H12791*(1+Sens!I12792)</f>
        <v>28.6884573538181</v>
      </c>
      <c r="J12791" s="6" t="n">
        <f aca="false">Sens!I12791*(1+Sens!J12792)</f>
        <v>30.8624968052127</v>
      </c>
      <c r="K12791" s="6" t="n">
        <f aca="false">Sens!J12791*(1+Sens!K12792)</f>
        <v>33.0228715815776</v>
      </c>
      <c r="L12791" s="12" t="s">
        <v>1038</v>
      </c>
    </row>
    <row r="12792" customFormat="false" ht="15" hidden="false" customHeight="false" outlineLevel="0" collapsed="false">
      <c r="A12792" s="1" t="s">
        <v>1028</v>
      </c>
      <c r="B12792" s="0" t="s">
        <v>168</v>
      </c>
      <c r="E12792" s="7" t="n">
        <f aca="false">Sens!E12791/Sens!D12791-1</f>
        <v>0.104685888038225</v>
      </c>
      <c r="F12792" s="7" t="n">
        <f aca="false">Sens!$E$12792+(glt_ind-Sens!$E$12792)*MIN(1,(Sens!F12739-base_fy)/n_conv)</f>
        <v>0.0989049066985211</v>
      </c>
      <c r="G12792" s="7" t="n">
        <f aca="false">Sens!$E$12792+(glt_ind-Sens!$E$12792)*MIN(1,(Sens!G12739-base_fy)/n_conv)</f>
        <v>0.0931239253588169</v>
      </c>
      <c r="H12792" s="7" t="n">
        <f aca="false">Sens!$E$12792+(glt_ind-Sens!$E$12792)*MIN(1,(Sens!H12739-base_fy)/n_conv)</f>
        <v>0.0873429440191127</v>
      </c>
      <c r="I12792" s="7" t="n">
        <f aca="false">Sens!$E$12792+(glt_ind-Sens!$E$12792)*MIN(1,(Sens!I12739-base_fy)/n_conv)</f>
        <v>0.0815619626794085</v>
      </c>
      <c r="J12792" s="7" t="n">
        <f aca="false">Sens!$E$12792+(glt_ind-Sens!$E$12792)*MIN(1,(Sens!J12739-base_fy)/n_conv)</f>
        <v>0.0757809813397042</v>
      </c>
      <c r="K12792" s="7" t="n">
        <f aca="false">Sens!$E$12792+(glt_ind-Sens!$E$12792)*MIN(1,(Sens!K12739-base_fy)/n_conv)</f>
        <v>0.07</v>
      </c>
    </row>
    <row r="12793" customFormat="false" ht="17.15" hidden="false" customHeight="false" outlineLevel="0" collapsed="false">
      <c r="A12793" s="0" t="s">
        <v>1040</v>
      </c>
      <c r="B12793" s="0" t="s">
        <v>98</v>
      </c>
      <c r="D12793" s="6" t="n">
        <f aca="false">Q!L10</f>
        <v>7.76</v>
      </c>
      <c r="E12793" s="6" t="n">
        <f aca="false">Q!M10</f>
        <v>8.26</v>
      </c>
      <c r="F12793" s="6" t="n">
        <f aca="false">Q!$I$10+(Q!M10-Q!$E$10)*(1+Sens!F12794)</f>
        <v>8.75372082474227</v>
      </c>
      <c r="G12793" s="6" t="n">
        <f aca="false">Sens!F12793*(1+Sens!G12794)</f>
        <v>9.33399324642364</v>
      </c>
      <c r="H12793" s="6" t="n">
        <f aca="false">Sens!G12793*(1+Sens!H12794)</f>
        <v>9.96139155535851</v>
      </c>
      <c r="I12793" s="6" t="n">
        <f aca="false">Sens!H12793*(1+Sens!I12794)</f>
        <v>10.6402039077391</v>
      </c>
      <c r="J12793" s="6" t="n">
        <f aca="false">Sens!I12793*(1+Sens!J12794)</f>
        <v>11.3751458271397</v>
      </c>
      <c r="K12793" s="6" t="n">
        <f aca="false">Sens!J12793*(1+Sens!K12794)</f>
        <v>12.1714060350394</v>
      </c>
      <c r="L12793" s="12" t="s">
        <v>1038</v>
      </c>
    </row>
    <row r="12794" customFormat="false" ht="15" hidden="false" customHeight="false" outlineLevel="0" collapsed="false">
      <c r="A12794" s="1" t="s">
        <v>1028</v>
      </c>
      <c r="B12794" s="0" t="s">
        <v>168</v>
      </c>
      <c r="E12794" s="7" t="n">
        <f aca="false">Sens!E12793/Sens!D12793-1</f>
        <v>0.0644329896907216</v>
      </c>
      <c r="F12794" s="7" t="n">
        <f aca="false">Sens!$E$12794+(glt_fro-Sens!$E$12794)*MIN(1,(Sens!F12739-base_fy)/n_conv)</f>
        <v>0.065360824742268</v>
      </c>
      <c r="G12794" s="7" t="n">
        <f aca="false">Sens!$E$12794+(glt_fro-Sens!$E$12794)*MIN(1,(Sens!G12739-base_fy)/n_conv)</f>
        <v>0.0662886597938144</v>
      </c>
      <c r="H12794" s="7" t="n">
        <f aca="false">Sens!$E$12794+(glt_fro-Sens!$E$12794)*MIN(1,(Sens!H12739-base_fy)/n_conv)</f>
        <v>0.0672164948453608</v>
      </c>
      <c r="I12794" s="7" t="n">
        <f aca="false">Sens!$E$12794+(glt_fro-Sens!$E$12794)*MIN(1,(Sens!I12739-base_fy)/n_conv)</f>
        <v>0.0681443298969072</v>
      </c>
      <c r="J12794" s="7" t="n">
        <f aca="false">Sens!$E$12794+(glt_fro-Sens!$E$12794)*MIN(1,(Sens!J12739-base_fy)/n_conv)</f>
        <v>0.0690721649484536</v>
      </c>
      <c r="K12794" s="7" t="n">
        <f aca="false">Sens!$E$12794+(glt_fro-Sens!$E$12794)*MIN(1,(Sens!K12739-base_fy)/n_conv)</f>
        <v>0.07</v>
      </c>
    </row>
    <row r="12795" customFormat="false" ht="15" hidden="false" customHeight="false" outlineLevel="0" collapsed="false">
      <c r="A12795" s="0" t="s">
        <v>856</v>
      </c>
      <c r="B12795" s="0" t="s">
        <v>98</v>
      </c>
      <c r="D12795" s="6" t="n">
        <f aca="false">Sens!D12783+Sens!D12788+Sens!D12789+Sens!D12791+Sens!D12793</f>
        <v>218.783</v>
      </c>
      <c r="E12795" s="6" t="n">
        <f aca="false">Sens!E12783+Sens!E12788+Sens!E12789+Sens!E12791+Sens!E12793</f>
        <v>268.127</v>
      </c>
      <c r="F12795" s="6" t="n">
        <f aca="false">Sens!F12783+Sens!F12788+Sens!F12789+Sens!F12791+Sens!F12793</f>
        <v>338.774715894377</v>
      </c>
      <c r="G12795" s="6" t="n">
        <f aca="false">Sens!G12783+Sens!G12788+Sens!G12789+Sens!G12791+Sens!G12793</f>
        <v>425.508058536537</v>
      </c>
      <c r="H12795" s="6" t="n">
        <f aca="false">Sens!H12783+Sens!H12788+Sens!H12789+Sens!H12791+Sens!H12793</f>
        <v>518.580813986921</v>
      </c>
      <c r="I12795" s="6" t="n">
        <f aca="false">Sens!I12783+Sens!I12788+Sens!I12789+Sens!I12791+Sens!I12793</f>
        <v>597.067731307455</v>
      </c>
      <c r="J12795" s="6" t="n">
        <f aca="false">Sens!J12783+Sens!J12788+Sens!J12789+Sens!J12791+Sens!J12793</f>
        <v>659.345790484055</v>
      </c>
      <c r="K12795" s="6" t="n">
        <f aca="false">Sens!K12783+Sens!K12788+Sens!K12789+Sens!K12791+Sens!K12793</f>
        <v>707.958647997291</v>
      </c>
    </row>
    <row r="12796" customFormat="false" ht="17.15" hidden="false" customHeight="false" outlineLevel="0" collapsed="false">
      <c r="A12796" s="0" t="s">
        <v>1041</v>
      </c>
      <c r="B12796" s="0" t="s">
        <v>98</v>
      </c>
      <c r="D12796" s="6" t="n">
        <f aca="false">Q!L13</f>
        <v>22.171</v>
      </c>
      <c r="E12796" s="6" t="n">
        <f aca="false">Q!M13</f>
        <v>24.835</v>
      </c>
      <c r="F12796" s="6" t="n">
        <f aca="false">Q!$I$13+(Q!M13-Q!$E$13)*(1+Sens!F12797)</f>
        <v>27.5591895660247</v>
      </c>
      <c r="G12796" s="6" t="n">
        <f aca="false">Sens!F12796*(1+Sens!G12797)</f>
        <v>30.4098563144583</v>
      </c>
      <c r="H12796" s="6" t="n">
        <f aca="false">Sens!G12796*(1+Sens!H12797)</f>
        <v>33.3011792571777</v>
      </c>
      <c r="I12796" s="6" t="n">
        <f aca="false">Sens!H12796*(1+Sens!I12797)</f>
        <v>36.189023797112</v>
      </c>
      <c r="J12796" s="6" t="n">
        <f aca="false">Sens!I12796*(1+Sens!J12797)</f>
        <v>39.0247773769199</v>
      </c>
      <c r="K12796" s="6" t="n">
        <f aca="false">Sens!J12796*(1+Sens!K12797)</f>
        <v>41.7565117933043</v>
      </c>
      <c r="L12796" s="12" t="s">
        <v>1038</v>
      </c>
    </row>
    <row r="12797" customFormat="false" ht="15" hidden="false" customHeight="false" outlineLevel="0" collapsed="false">
      <c r="A12797" s="1" t="s">
        <v>1028</v>
      </c>
      <c r="B12797" s="0" t="s">
        <v>168</v>
      </c>
      <c r="E12797" s="7" t="n">
        <f aca="false">Sens!E12796/Sens!D12796-1</f>
        <v>0.120156961796942</v>
      </c>
      <c r="F12797" s="7" t="n">
        <f aca="false">Sens!$E$12797+(glt_srch-Sens!$E$12797)*MIN(1,(Sens!F12739-base_fy)/n_conv)</f>
        <v>0.111797468164118</v>
      </c>
      <c r="G12797" s="7" t="n">
        <f aca="false">Sens!$E$12797+(glt_srch-Sens!$E$12797)*MIN(1,(Sens!G12739-base_fy)/n_conv)</f>
        <v>0.103437974531295</v>
      </c>
      <c r="H12797" s="7" t="n">
        <f aca="false">Sens!$E$12797+(glt_srch-Sens!$E$12797)*MIN(1,(Sens!H12739-base_fy)/n_conv)</f>
        <v>0.095078480898471</v>
      </c>
      <c r="I12797" s="7" t="n">
        <f aca="false">Sens!$E$12797+(glt_srch-Sens!$E$12797)*MIN(1,(Sens!I12739-base_fy)/n_conv)</f>
        <v>0.0867189872656474</v>
      </c>
      <c r="J12797" s="7" t="n">
        <f aca="false">Sens!$E$12797+(glt_srch-Sens!$E$12797)*MIN(1,(Sens!J12739-base_fy)/n_conv)</f>
        <v>0.0783594936328237</v>
      </c>
      <c r="K12797" s="7" t="n">
        <f aca="false">Sens!$E$12797+(glt_srch-Sens!$E$12797)*MIN(1,(Sens!K12739-base_fy)/n_conv)</f>
        <v>0.07</v>
      </c>
    </row>
    <row r="12798" customFormat="false" ht="17.15" hidden="false" customHeight="false" outlineLevel="0" collapsed="false">
      <c r="A12798" s="0" t="s">
        <v>1042</v>
      </c>
      <c r="B12798" s="0" t="s">
        <v>98</v>
      </c>
      <c r="D12798" s="6" t="n">
        <f aca="false">Q!L14</f>
        <v>23.455</v>
      </c>
      <c r="E12798" s="6" t="n">
        <f aca="false">Q!M14</f>
        <v>21.79</v>
      </c>
      <c r="F12798" s="6" t="n">
        <f aca="false">Q!$I$14+(Q!M14-Q!$E$14)*(1+Sens!F12799)</f>
        <v>20.7520981041711</v>
      </c>
      <c r="G12798" s="6" t="n">
        <f aca="false">Sens!F12798*(1+Sens!G12799)</f>
        <v>19.9083593495882</v>
      </c>
      <c r="H12798" s="6" t="n">
        <f aca="false">Sens!G12798*(1+Sens!H12799)</f>
        <v>19.4008256265831</v>
      </c>
      <c r="I12798" s="6" t="n">
        <f aca="false">Sens!H12798*(1+Sens!I12799)</f>
        <v>19.200434522122</v>
      </c>
      <c r="J12798" s="6" t="n">
        <f aca="false">Sens!I12798*(1+Sens!J12799)</f>
        <v>19.2932782348507</v>
      </c>
      <c r="K12798" s="6" t="n">
        <f aca="false">Sens!J12798*(1+Sens!K12799)</f>
        <v>19.6791437995477</v>
      </c>
      <c r="L12798" s="12" t="s">
        <v>1038</v>
      </c>
    </row>
    <row r="12799" customFormat="false" ht="15" hidden="false" customHeight="false" outlineLevel="0" collapsed="false">
      <c r="A12799" s="1" t="s">
        <v>1028</v>
      </c>
      <c r="B12799" s="0" t="s">
        <v>168</v>
      </c>
      <c r="E12799" s="7" t="n">
        <f aca="false">Sens!E12798/Sens!D12798-1</f>
        <v>-0.0709869963760392</v>
      </c>
      <c r="F12799" s="7" t="n">
        <f aca="false">Sens!$E$12799+(glt_xbox-Sens!$E$12799)*MIN(1,(Sens!F12739-base_fy)/n_conv)</f>
        <v>-0.0558224969800327</v>
      </c>
      <c r="G12799" s="7" t="n">
        <f aca="false">Sens!$E$12799+(glt_xbox-Sens!$E$12799)*MIN(1,(Sens!G12739-base_fy)/n_conv)</f>
        <v>-0.0406579975840262</v>
      </c>
      <c r="H12799" s="7" t="n">
        <f aca="false">Sens!$E$12799+(glt_xbox-Sens!$E$12799)*MIN(1,(Sens!H12739-base_fy)/n_conv)</f>
        <v>-0.0254934981880196</v>
      </c>
      <c r="I12799" s="7" t="n">
        <f aca="false">Sens!$E$12799+(glt_xbox-Sens!$E$12799)*MIN(1,(Sens!I12739-base_fy)/n_conv)</f>
        <v>-0.0103289987920131</v>
      </c>
      <c r="J12799" s="7" t="n">
        <f aca="false">Sens!$E$12799+(glt_xbox-Sens!$E$12799)*MIN(1,(Sens!J12739-base_fy)/n_conv)</f>
        <v>0.00483550060399347</v>
      </c>
      <c r="K12799" s="7" t="n">
        <f aca="false">Sens!$E$12799+(glt_xbox-Sens!$E$12799)*MIN(1,(Sens!K12739-base_fy)/n_conv)</f>
        <v>0.02</v>
      </c>
    </row>
    <row r="12800" customFormat="false" ht="17.15" hidden="false" customHeight="false" outlineLevel="0" collapsed="false">
      <c r="A12800" s="0" t="s">
        <v>1043</v>
      </c>
      <c r="B12800" s="0" t="s">
        <v>98</v>
      </c>
      <c r="D12800" s="6" t="n">
        <f aca="false">Q!L15</f>
        <v>17.315</v>
      </c>
      <c r="E12800" s="6" t="n">
        <f aca="false">Q!M15</f>
        <v>17.087</v>
      </c>
      <c r="F12800" s="6" t="n">
        <f aca="false">Q!$I$15+(Q!M15-Q!$E$15)*(1+Sens!F12801)</f>
        <v>15.9912273250553</v>
      </c>
      <c r="G12800" s="6" t="n">
        <f aca="false">Sens!F12800*(1+Sens!G12801)</f>
        <v>15.9574562664827</v>
      </c>
      <c r="H12800" s="6" t="n">
        <f aca="false">Sens!G12800*(1+Sens!H12801)</f>
        <v>16.0119687434196</v>
      </c>
      <c r="I12800" s="6" t="n">
        <f aca="false">Sens!H12800*(1+Sens!I12801)</f>
        <v>16.1551810001948</v>
      </c>
      <c r="J12800" s="6" t="n">
        <f aca="false">Sens!I12800*(1+Sens!J12801)</f>
        <v>16.3889793892005</v>
      </c>
      <c r="K12800" s="6" t="n">
        <f aca="false">Sens!J12800*(1+Sens!K12801)</f>
        <v>16.7167589769845</v>
      </c>
      <c r="L12800" s="12" t="s">
        <v>1038</v>
      </c>
    </row>
    <row r="12801" customFormat="false" ht="15" hidden="false" customHeight="false" outlineLevel="0" collapsed="false">
      <c r="A12801" s="1" t="s">
        <v>1028</v>
      </c>
      <c r="B12801" s="0" t="s">
        <v>168</v>
      </c>
      <c r="E12801" s="7" t="n">
        <f aca="false">Sens!E12800/Sens!D12800-1</f>
        <v>-0.0131677736066995</v>
      </c>
      <c r="F12801" s="7" t="n">
        <f aca="false">Sens!$E$12801+(glt_win-Sens!$E$12801)*MIN(1,(Sens!F12739-base_fy)/n_conv)</f>
        <v>-0.00763981133891627</v>
      </c>
      <c r="G12801" s="7" t="n">
        <f aca="false">Sens!$E$12801+(glt_win-Sens!$E$12801)*MIN(1,(Sens!G12739-base_fy)/n_conv)</f>
        <v>-0.00211184907113301</v>
      </c>
      <c r="H12801" s="7" t="n">
        <f aca="false">Sens!$E$12801+(glt_win-Sens!$E$12801)*MIN(1,(Sens!H12739-base_fy)/n_conv)</f>
        <v>0.00341611319665024</v>
      </c>
      <c r="I12801" s="7" t="n">
        <f aca="false">Sens!$E$12801+(glt_win-Sens!$E$12801)*MIN(1,(Sens!I12739-base_fy)/n_conv)</f>
        <v>0.00894407546443349</v>
      </c>
      <c r="J12801" s="7" t="n">
        <f aca="false">Sens!$E$12801+(glt_win-Sens!$E$12801)*MIN(1,(Sens!J12739-base_fy)/n_conv)</f>
        <v>0.0144720377322168</v>
      </c>
      <c r="K12801" s="7" t="n">
        <f aca="false">Sens!$E$12801+(glt_win-Sens!$E$12801)*MIN(1,(Sens!K12739-base_fy)/n_conv)</f>
        <v>0.02</v>
      </c>
    </row>
    <row r="12802" customFormat="false" ht="15" hidden="false" customHeight="false" outlineLevel="0" collapsed="false">
      <c r="A12802" s="0" t="s">
        <v>870</v>
      </c>
      <c r="B12802" s="0" t="s">
        <v>98</v>
      </c>
      <c r="D12802" s="6" t="n">
        <f aca="false">Sens!D12796+Sens!D12798+Sens!D12800</f>
        <v>62.941</v>
      </c>
      <c r="E12802" s="6" t="n">
        <f aca="false">Sens!E12796+Sens!E12798+Sens!E12800</f>
        <v>63.712</v>
      </c>
      <c r="F12802" s="6" t="n">
        <f aca="false">Sens!F12796+Sens!F12798+Sens!F12800</f>
        <v>64.3025149952511</v>
      </c>
      <c r="G12802" s="6" t="n">
        <f aca="false">Sens!G12796+Sens!G12798+Sens!G12800</f>
        <v>66.2756719305292</v>
      </c>
      <c r="H12802" s="6" t="n">
        <f aca="false">Sens!H12796+Sens!H12798+Sens!H12800</f>
        <v>68.7139736271804</v>
      </c>
      <c r="I12802" s="6" t="n">
        <f aca="false">Sens!I12796+Sens!I12798+Sens!I12800</f>
        <v>71.5446393194289</v>
      </c>
      <c r="J12802" s="6" t="n">
        <f aca="false">Sens!J12796+Sens!J12798+Sens!J12800</f>
        <v>74.707035000971</v>
      </c>
      <c r="K12802" s="6" t="n">
        <f aca="false">Sens!K12796+Sens!K12798+Sens!K12800</f>
        <v>78.1524145698365</v>
      </c>
    </row>
    <row r="12803" customFormat="false" ht="15" hidden="false" customHeight="false" outlineLevel="0" collapsed="false">
      <c r="A12803" s="1" t="s">
        <v>1044</v>
      </c>
      <c r="B12803" s="0" t="s">
        <v>98</v>
      </c>
      <c r="D12803" s="6" t="n">
        <f aca="false">Sens!D12795+Sens!D12802</f>
        <v>281.724</v>
      </c>
      <c r="E12803" s="6" t="n">
        <f aca="false">Sens!E12795+Sens!E12802</f>
        <v>331.839</v>
      </c>
      <c r="F12803" s="6" t="n">
        <f aca="false">Sens!F12795+Sens!F12802</f>
        <v>403.077230889628</v>
      </c>
      <c r="G12803" s="6" t="n">
        <f aca="false">Sens!G12795+Sens!G12802</f>
        <v>491.783730467066</v>
      </c>
      <c r="H12803" s="6" t="n">
        <f aca="false">Sens!H12795+Sens!H12802</f>
        <v>587.294787614101</v>
      </c>
      <c r="I12803" s="6" t="n">
        <f aca="false">Sens!I12795+Sens!I12802</f>
        <v>668.612370626884</v>
      </c>
      <c r="J12803" s="6" t="n">
        <f aca="false">Sens!J12795+Sens!J12802</f>
        <v>734.052825485026</v>
      </c>
      <c r="K12803" s="6" t="n">
        <f aca="false">Sens!K12795+Sens!K12802</f>
        <v>786.111062567128</v>
      </c>
    </row>
    <row r="12804" customFormat="false" ht="15" hidden="false" customHeight="false" outlineLevel="0" collapsed="false">
      <c r="A12804" s="26" t="s">
        <v>1045</v>
      </c>
      <c r="B12804" s="31" t="s">
        <v>98</v>
      </c>
      <c r="C12804" s="31"/>
      <c r="D12804" s="27" t="n">
        <f aca="false">(Sens!D12783+Sens!D12788+Sens!D12789+Sens!D12791+Sens!D12793-Sens!D12795)+(Sens!D12796+Sens!D12798+Sens!D12800-Sens!D12802)+(Sens!D12795-Q!L5)+(Sens!D12802-Q!L12)+(Sens!D12783-Q!L6)+(Sens!D12788-Q!L7)</f>
        <v>0</v>
      </c>
      <c r="E12804" s="27" t="n">
        <f aca="false">(Sens!E12783+Sens!E12788+Sens!E12789+Sens!E12791+Sens!E12793-Sens!E12795)+(Sens!E12796+Sens!E12798+Sens!E12800-Sens!E12802)+(Sens!E12795-Q!M5)+(Sens!E12802-Q!M12)+(Sens!E12783-Q!M6)+(Sens!E12788-Q!M7)</f>
        <v>0</v>
      </c>
      <c r="F12804" s="27" t="n">
        <f aca="false">(Sens!F12783+Sens!F12788+Sens!F12789+Sens!F12791+Sens!F12793-Sens!F12795)+(Sens!F12796+Sens!F12798+Sens!F12800-Sens!F12802)</f>
        <v>0</v>
      </c>
      <c r="G12804" s="27" t="n">
        <f aca="false">(Sens!G12783+Sens!G12788+Sens!G12789+Sens!G12791+Sens!G12793-Sens!G12795)+(Sens!G12796+Sens!G12798+Sens!G12800-Sens!G12802)</f>
        <v>0</v>
      </c>
      <c r="H12804" s="27" t="n">
        <f aca="false">(Sens!H12783+Sens!H12788+Sens!H12789+Sens!H12791+Sens!H12793-Sens!H12795)+(Sens!H12796+Sens!H12798+Sens!H12800-Sens!H12802)</f>
        <v>0</v>
      </c>
      <c r="I12804" s="27" t="n">
        <f aca="false">(Sens!I12783+Sens!I12788+Sens!I12789+Sens!I12791+Sens!I12793-Sens!I12795)+(Sens!I12796+Sens!I12798+Sens!I12800-Sens!I12802)</f>
        <v>0</v>
      </c>
      <c r="J12804" s="27" t="n">
        <f aca="false">(Sens!J12783+Sens!J12788+Sens!J12789+Sens!J12791+Sens!J12793-Sens!J12795)+(Sens!J12796+Sens!J12798+Sens!J12800-Sens!J12802)</f>
        <v>0</v>
      </c>
      <c r="K12804" s="27" t="n">
        <f aca="false">(Sens!K12783+Sens!K12788+Sens!K12789+Sens!K12791+Sens!K12793-Sens!K12795)+(Sens!K12796+Sens!K12798+Sens!K12800-Sens!K12802)</f>
        <v>0</v>
      </c>
    </row>
    <row r="12805" customFormat="false" ht="17.15" hidden="false" customHeight="false" outlineLevel="0" collapsed="false">
      <c r="A12805" s="3" t="s">
        <v>1932</v>
      </c>
    </row>
    <row r="12806" customFormat="false" ht="15" hidden="false" customHeight="false" outlineLevel="0" collapsed="false">
      <c r="A12806" s="4" t="s">
        <v>43</v>
      </c>
      <c r="B12806" s="4" t="s">
        <v>65</v>
      </c>
      <c r="C12806" s="23" t="s">
        <v>942</v>
      </c>
      <c r="D12806" s="23" t="s">
        <v>943</v>
      </c>
      <c r="E12806" s="23" t="s">
        <v>944</v>
      </c>
      <c r="F12806" s="23" t="s">
        <v>945</v>
      </c>
      <c r="G12806" s="23" t="s">
        <v>946</v>
      </c>
      <c r="H12806" s="23" t="s">
        <v>947</v>
      </c>
      <c r="I12806" s="23" t="s">
        <v>948</v>
      </c>
      <c r="J12806" s="23" t="s">
        <v>949</v>
      </c>
      <c r="K12806" s="23" t="s">
        <v>950</v>
      </c>
      <c r="L12806" s="4" t="s">
        <v>47</v>
      </c>
    </row>
    <row r="12807" customFormat="false" ht="15" hidden="false" customHeight="false" outlineLevel="0" collapsed="false">
      <c r="A12807" s="0" t="s">
        <v>1029</v>
      </c>
      <c r="B12807" s="0" t="s">
        <v>98</v>
      </c>
      <c r="D12807" s="6" t="n">
        <f aca="false">Sens!D12783</f>
        <v>72.61</v>
      </c>
      <c r="E12807" s="6" t="n">
        <f aca="false">Sens!E12783</f>
        <v>101.938</v>
      </c>
      <c r="F12807" s="6" t="n">
        <f aca="false">Sens!F12783</f>
        <v>149.59001837225</v>
      </c>
      <c r="G12807" s="6" t="n">
        <f aca="false">Sens!G12783</f>
        <v>210.963087346352</v>
      </c>
      <c r="H12807" s="6" t="n">
        <f aca="false">Sens!H12783</f>
        <v>278.649709314524</v>
      </c>
      <c r="I12807" s="6" t="n">
        <f aca="false">Sens!I12783</f>
        <v>334.269404582332</v>
      </c>
      <c r="J12807" s="6" t="n">
        <f aca="false">Sens!J12783</f>
        <v>376.517293063672</v>
      </c>
      <c r="K12807" s="6" t="n">
        <f aca="false">Sens!K12783</f>
        <v>406.018092622804</v>
      </c>
    </row>
    <row r="12808" customFormat="false" ht="17.15" hidden="false" customHeight="false" outlineLevel="0" collapsed="false">
      <c r="A12808" s="0" t="s">
        <v>1025</v>
      </c>
      <c r="B12808" s="0" t="s">
        <v>98</v>
      </c>
      <c r="D12808" s="6" t="n">
        <f aca="false">Sens!D12780</f>
        <v>12.9359794422418</v>
      </c>
      <c r="E12808" s="6" t="n">
        <f aca="false">Sens!E12780</f>
        <v>27.8095064661409</v>
      </c>
      <c r="F12808" s="6" t="n">
        <f aca="false">Sens!F12780</f>
        <v>59.1034165651511</v>
      </c>
      <c r="G12808" s="6" t="n">
        <f aca="false">Sens!G12780</f>
        <v>103.451498789198</v>
      </c>
      <c r="H12808" s="6" t="n">
        <f aca="false">Sens!H12780</f>
        <v>153.816719989035</v>
      </c>
      <c r="I12808" s="6" t="n">
        <f aca="false">Sens!I12780</f>
        <v>192.699478690852</v>
      </c>
      <c r="J12808" s="6" t="n">
        <f aca="false">Sens!J12780</f>
        <v>219.794102584244</v>
      </c>
      <c r="K12808" s="6" t="n">
        <f aca="false">Sens!K12780</f>
        <v>236.757046905022</v>
      </c>
    </row>
    <row r="12809" customFormat="false" ht="17.15" hidden="false" customHeight="false" outlineLevel="0" collapsed="false">
      <c r="A12809" s="0" t="s">
        <v>1056</v>
      </c>
      <c r="B12809" s="0" t="s">
        <v>98</v>
      </c>
      <c r="D12809" s="6" t="n">
        <f aca="false">Sens!D12781</f>
        <v>59.6740205577583</v>
      </c>
      <c r="E12809" s="6" t="n">
        <f aca="false">Sens!E12781</f>
        <v>74.1284935338591</v>
      </c>
      <c r="F12809" s="6" t="n">
        <f aca="false">Sens!F12781</f>
        <v>90.4866018070994</v>
      </c>
      <c r="G12809" s="6" t="n">
        <f aca="false">Sens!G12781</f>
        <v>107.511588557154</v>
      </c>
      <c r="H12809" s="6" t="n">
        <f aca="false">Sens!H12781</f>
        <v>124.832989325489</v>
      </c>
      <c r="I12809" s="6" t="n">
        <f aca="false">Sens!I12781</f>
        <v>141.56992589148</v>
      </c>
      <c r="J12809" s="6" t="n">
        <f aca="false">Sens!J12781</f>
        <v>156.723190479428</v>
      </c>
      <c r="K12809" s="6" t="n">
        <f aca="false">Sens!K12781</f>
        <v>169.261045717783</v>
      </c>
    </row>
    <row r="12810" customFormat="false" ht="15" hidden="false" customHeight="false" outlineLevel="0" collapsed="false">
      <c r="A12810" s="0" t="s">
        <v>1036</v>
      </c>
      <c r="B12810" s="0" t="s">
        <v>98</v>
      </c>
      <c r="D12810" s="6" t="n">
        <f aca="false">Sens!D12788</f>
        <v>84.605</v>
      </c>
      <c r="E12810" s="6" t="n">
        <f aca="false">Sens!E12788</f>
        <v>100.299</v>
      </c>
      <c r="F12810" s="6" t="n">
        <f aca="false">Sens!F12788</f>
        <v>119.729653205718</v>
      </c>
      <c r="G12810" s="6" t="n">
        <f aca="false">Sens!G12788</f>
        <v>140.806092647576</v>
      </c>
      <c r="H12810" s="6" t="n">
        <f aca="false">Sens!H12788</f>
        <v>161.963437602768</v>
      </c>
      <c r="I12810" s="6" t="n">
        <f aca="false">Sens!I12788</f>
        <v>180.695354741933</v>
      </c>
      <c r="J12810" s="6" t="n">
        <f aca="false">Sens!J12788</f>
        <v>196.722117481571</v>
      </c>
      <c r="K12810" s="6" t="n">
        <f aca="false">Sens!K12788</f>
        <v>212.00016570528</v>
      </c>
    </row>
    <row r="12811" customFormat="false" ht="17.15" hidden="false" customHeight="false" outlineLevel="0" collapsed="false">
      <c r="A12811" s="0" t="s">
        <v>1057</v>
      </c>
      <c r="B12811" s="0" t="s">
        <v>98</v>
      </c>
      <c r="D12811" s="6" t="n">
        <f aca="false">Sens!D12786</f>
        <v>83.705</v>
      </c>
      <c r="E12811" s="6" t="n">
        <f aca="false">Sens!E12786</f>
        <v>95.049</v>
      </c>
      <c r="F12811" s="6" t="n">
        <f aca="false">Sens!F12786</f>
        <v>106.229653205718</v>
      </c>
      <c r="G12811" s="6" t="n">
        <f aca="false">Sens!G12786</f>
        <v>118.306092647576</v>
      </c>
      <c r="H12811" s="6" t="n">
        <f aca="false">Sens!H12786</f>
        <v>130.463437602768</v>
      </c>
      <c r="I12811" s="6" t="n">
        <f aca="false">Sens!I12786</f>
        <v>142.445354741933</v>
      </c>
      <c r="J12811" s="6" t="n">
        <f aca="false">Sens!J12786</f>
        <v>153.972117481571</v>
      </c>
      <c r="K12811" s="6" t="n">
        <f aca="false">Sens!K12786</f>
        <v>164.75016570528</v>
      </c>
    </row>
    <row r="12812" customFormat="false" ht="17.15" hidden="false" customHeight="false" outlineLevel="0" collapsed="false">
      <c r="A12812" s="0" t="s">
        <v>1058</v>
      </c>
      <c r="B12812" s="0" t="s">
        <v>98</v>
      </c>
      <c r="D12812" s="6" t="n">
        <f aca="false">Sens!D12785</f>
        <v>0.9</v>
      </c>
      <c r="E12812" s="6" t="n">
        <f aca="false">Sens!E12785</f>
        <v>5.25</v>
      </c>
      <c r="F12812" s="6" t="n">
        <f aca="false">Sens!F12785</f>
        <v>13.5</v>
      </c>
      <c r="G12812" s="6" t="n">
        <f aca="false">Sens!G12785</f>
        <v>22.5</v>
      </c>
      <c r="H12812" s="6" t="n">
        <f aca="false">Sens!H12785</f>
        <v>31.5</v>
      </c>
      <c r="I12812" s="6" t="n">
        <f aca="false">Sens!I12785</f>
        <v>38.25</v>
      </c>
      <c r="J12812" s="6" t="n">
        <f aca="false">Sens!J12785</f>
        <v>42.75</v>
      </c>
      <c r="K12812" s="6" t="n">
        <f aca="false">Sens!K12785</f>
        <v>47.25</v>
      </c>
    </row>
    <row r="12813" customFormat="false" ht="15" hidden="false" customHeight="false" outlineLevel="0" collapsed="false">
      <c r="A12813" s="0" t="s">
        <v>1037</v>
      </c>
      <c r="B12813" s="0" t="s">
        <v>98</v>
      </c>
      <c r="D12813" s="6" t="n">
        <f aca="false">Sens!D12789</f>
        <v>35.391</v>
      </c>
      <c r="E12813" s="6" t="n">
        <f aca="false">Sens!E12789</f>
        <v>37.285</v>
      </c>
      <c r="F12813" s="6" t="n">
        <f aca="false">Sens!F12789</f>
        <v>38.3851437782675</v>
      </c>
      <c r="G12813" s="6" t="n">
        <f aca="false">Sens!G12789</f>
        <v>40.0105353288615</v>
      </c>
      <c r="H12813" s="6" t="n">
        <f aca="false">Sens!H12789</f>
        <v>41.4812512033683</v>
      </c>
      <c r="I12813" s="6" t="n">
        <f aca="false">Sens!I12789</f>
        <v>42.7743107216329</v>
      </c>
      <c r="J12813" s="6" t="n">
        <f aca="false">Sens!J12789</f>
        <v>43.8687373064601</v>
      </c>
      <c r="K12813" s="6" t="n">
        <f aca="false">Sens!K12789</f>
        <v>44.7461120525893</v>
      </c>
    </row>
    <row r="12814" customFormat="false" ht="15" hidden="false" customHeight="false" outlineLevel="0" collapsed="false">
      <c r="A12814" s="0" t="s">
        <v>1039</v>
      </c>
      <c r="B12814" s="0" t="s">
        <v>98</v>
      </c>
      <c r="D12814" s="6" t="n">
        <f aca="false">Sens!D12791</f>
        <v>18.417</v>
      </c>
      <c r="E12814" s="6" t="n">
        <f aca="false">Sens!E12791</f>
        <v>20.345</v>
      </c>
      <c r="F12814" s="6" t="n">
        <f aca="false">Sens!F12791</f>
        <v>22.3161797133988</v>
      </c>
      <c r="G12814" s="6" t="n">
        <f aca="false">Sens!G12791</f>
        <v>24.3943499673233</v>
      </c>
      <c r="H12814" s="6" t="n">
        <f aca="false">Sens!H12791</f>
        <v>26.5250243109019</v>
      </c>
      <c r="I12814" s="6" t="n">
        <f aca="false">Sens!I12791</f>
        <v>28.6884573538181</v>
      </c>
      <c r="J12814" s="6" t="n">
        <f aca="false">Sens!J12791</f>
        <v>30.8624968052127</v>
      </c>
      <c r="K12814" s="6" t="n">
        <f aca="false">Sens!K12791</f>
        <v>33.0228715815776</v>
      </c>
    </row>
    <row r="12815" customFormat="false" ht="15" hidden="false" customHeight="false" outlineLevel="0" collapsed="false">
      <c r="A12815" s="0" t="s">
        <v>1040</v>
      </c>
      <c r="B12815" s="0" t="s">
        <v>98</v>
      </c>
      <c r="D12815" s="6" t="n">
        <f aca="false">Sens!D12793</f>
        <v>7.76</v>
      </c>
      <c r="E12815" s="6" t="n">
        <f aca="false">Sens!E12793</f>
        <v>8.26</v>
      </c>
      <c r="F12815" s="6" t="n">
        <f aca="false">Sens!F12793</f>
        <v>8.75372082474227</v>
      </c>
      <c r="G12815" s="6" t="n">
        <f aca="false">Sens!G12793</f>
        <v>9.33399324642364</v>
      </c>
      <c r="H12815" s="6" t="n">
        <f aca="false">Sens!H12793</f>
        <v>9.96139155535851</v>
      </c>
      <c r="I12815" s="6" t="n">
        <f aca="false">Sens!I12793</f>
        <v>10.6402039077391</v>
      </c>
      <c r="J12815" s="6" t="n">
        <f aca="false">Sens!J12793</f>
        <v>11.3751458271397</v>
      </c>
      <c r="K12815" s="6" t="n">
        <f aca="false">Sens!K12793</f>
        <v>12.1714060350394</v>
      </c>
    </row>
    <row r="12816" customFormat="false" ht="15" hidden="false" customHeight="false" outlineLevel="0" collapsed="false">
      <c r="A12816" s="0" t="s">
        <v>856</v>
      </c>
      <c r="B12816" s="0" t="s">
        <v>98</v>
      </c>
      <c r="D12816" s="6" t="n">
        <f aca="false">Sens!D12795</f>
        <v>218.783</v>
      </c>
      <c r="E12816" s="6" t="n">
        <f aca="false">Sens!E12795</f>
        <v>268.127</v>
      </c>
      <c r="F12816" s="6" t="n">
        <f aca="false">Sens!F12795</f>
        <v>338.774715894377</v>
      </c>
      <c r="G12816" s="6" t="n">
        <f aca="false">Sens!G12795</f>
        <v>425.508058536537</v>
      </c>
      <c r="H12816" s="6" t="n">
        <f aca="false">Sens!H12795</f>
        <v>518.580813986921</v>
      </c>
      <c r="I12816" s="6" t="n">
        <f aca="false">Sens!I12795</f>
        <v>597.067731307455</v>
      </c>
      <c r="J12816" s="6" t="n">
        <f aca="false">Sens!J12795</f>
        <v>659.345790484055</v>
      </c>
      <c r="K12816" s="6" t="n">
        <f aca="false">Sens!K12795</f>
        <v>707.958647997291</v>
      </c>
    </row>
    <row r="12817" customFormat="false" ht="15" hidden="false" customHeight="false" outlineLevel="0" collapsed="false">
      <c r="A12817" s="0" t="s">
        <v>1041</v>
      </c>
      <c r="B12817" s="0" t="s">
        <v>98</v>
      </c>
      <c r="D12817" s="6" t="n">
        <f aca="false">Sens!D12796</f>
        <v>22.171</v>
      </c>
      <c r="E12817" s="6" t="n">
        <f aca="false">Sens!E12796</f>
        <v>24.835</v>
      </c>
      <c r="F12817" s="6" t="n">
        <f aca="false">Sens!F12796</f>
        <v>27.5591895660247</v>
      </c>
      <c r="G12817" s="6" t="n">
        <f aca="false">Sens!G12796</f>
        <v>30.4098563144583</v>
      </c>
      <c r="H12817" s="6" t="n">
        <f aca="false">Sens!H12796</f>
        <v>33.3011792571777</v>
      </c>
      <c r="I12817" s="6" t="n">
        <f aca="false">Sens!I12796</f>
        <v>36.189023797112</v>
      </c>
      <c r="J12817" s="6" t="n">
        <f aca="false">Sens!J12796</f>
        <v>39.0247773769199</v>
      </c>
      <c r="K12817" s="6" t="n">
        <f aca="false">Sens!K12796</f>
        <v>41.7565117933043</v>
      </c>
    </row>
    <row r="12818" customFormat="false" ht="15" hidden="false" customHeight="false" outlineLevel="0" collapsed="false">
      <c r="A12818" s="0" t="s">
        <v>1042</v>
      </c>
      <c r="B12818" s="0" t="s">
        <v>98</v>
      </c>
      <c r="D12818" s="6" t="n">
        <f aca="false">Sens!D12798</f>
        <v>23.455</v>
      </c>
      <c r="E12818" s="6" t="n">
        <f aca="false">Sens!E12798</f>
        <v>21.79</v>
      </c>
      <c r="F12818" s="6" t="n">
        <f aca="false">Sens!F12798</f>
        <v>20.7520981041711</v>
      </c>
      <c r="G12818" s="6" t="n">
        <f aca="false">Sens!G12798</f>
        <v>19.9083593495882</v>
      </c>
      <c r="H12818" s="6" t="n">
        <f aca="false">Sens!H12798</f>
        <v>19.4008256265831</v>
      </c>
      <c r="I12818" s="6" t="n">
        <f aca="false">Sens!I12798</f>
        <v>19.200434522122</v>
      </c>
      <c r="J12818" s="6" t="n">
        <f aca="false">Sens!J12798</f>
        <v>19.2932782348507</v>
      </c>
      <c r="K12818" s="6" t="n">
        <f aca="false">Sens!K12798</f>
        <v>19.6791437995477</v>
      </c>
    </row>
    <row r="12819" customFormat="false" ht="15" hidden="false" customHeight="false" outlineLevel="0" collapsed="false">
      <c r="A12819" s="0" t="s">
        <v>1043</v>
      </c>
      <c r="B12819" s="0" t="s">
        <v>98</v>
      </c>
      <c r="D12819" s="6" t="n">
        <f aca="false">Sens!D12800</f>
        <v>17.315</v>
      </c>
      <c r="E12819" s="6" t="n">
        <f aca="false">Sens!E12800</f>
        <v>17.087</v>
      </c>
      <c r="F12819" s="6" t="n">
        <f aca="false">Sens!F12800</f>
        <v>15.9912273250553</v>
      </c>
      <c r="G12819" s="6" t="n">
        <f aca="false">Sens!G12800</f>
        <v>15.9574562664827</v>
      </c>
      <c r="H12819" s="6" t="n">
        <f aca="false">Sens!H12800</f>
        <v>16.0119687434196</v>
      </c>
      <c r="I12819" s="6" t="n">
        <f aca="false">Sens!I12800</f>
        <v>16.1551810001948</v>
      </c>
      <c r="J12819" s="6" t="n">
        <f aca="false">Sens!J12800</f>
        <v>16.3889793892005</v>
      </c>
      <c r="K12819" s="6" t="n">
        <f aca="false">Sens!K12800</f>
        <v>16.7167589769845</v>
      </c>
    </row>
    <row r="12820" customFormat="false" ht="15" hidden="false" customHeight="false" outlineLevel="0" collapsed="false">
      <c r="A12820" s="0" t="s">
        <v>870</v>
      </c>
      <c r="B12820" s="0" t="s">
        <v>98</v>
      </c>
      <c r="D12820" s="6" t="n">
        <f aca="false">Sens!D12802</f>
        <v>62.941</v>
      </c>
      <c r="E12820" s="6" t="n">
        <f aca="false">Sens!E12802</f>
        <v>63.712</v>
      </c>
      <c r="F12820" s="6" t="n">
        <f aca="false">Sens!F12802</f>
        <v>64.3025149952511</v>
      </c>
      <c r="G12820" s="6" t="n">
        <f aca="false">Sens!G12802</f>
        <v>66.2756719305292</v>
      </c>
      <c r="H12820" s="6" t="n">
        <f aca="false">Sens!H12802</f>
        <v>68.7139736271804</v>
      </c>
      <c r="I12820" s="6" t="n">
        <f aca="false">Sens!I12802</f>
        <v>71.5446393194289</v>
      </c>
      <c r="J12820" s="6" t="n">
        <f aca="false">Sens!J12802</f>
        <v>74.707035000971</v>
      </c>
      <c r="K12820" s="6" t="n">
        <f aca="false">Sens!K12802</f>
        <v>78.1524145698365</v>
      </c>
    </row>
    <row r="12821" customFormat="false" ht="15" hidden="false" customHeight="false" outlineLevel="0" collapsed="false">
      <c r="A12821" s="1" t="s">
        <v>1059</v>
      </c>
      <c r="B12821" s="0" t="s">
        <v>98</v>
      </c>
      <c r="D12821" s="6" t="n">
        <f aca="false">Sens!D12803</f>
        <v>281.724</v>
      </c>
      <c r="E12821" s="6" t="n">
        <f aca="false">Sens!E12803</f>
        <v>331.839</v>
      </c>
      <c r="F12821" s="6" t="n">
        <f aca="false">Sens!F12803</f>
        <v>403.077230889628</v>
      </c>
      <c r="G12821" s="6" t="n">
        <f aca="false">Sens!G12803</f>
        <v>491.783730467066</v>
      </c>
      <c r="H12821" s="6" t="n">
        <f aca="false">Sens!H12803</f>
        <v>587.294787614101</v>
      </c>
      <c r="I12821" s="6" t="n">
        <f aca="false">Sens!I12803</f>
        <v>668.612370626884</v>
      </c>
      <c r="J12821" s="6" t="n">
        <f aca="false">Sens!J12803</f>
        <v>734.052825485026</v>
      </c>
      <c r="K12821" s="6" t="n">
        <f aca="false">Sens!K12803</f>
        <v>786.111062567128</v>
      </c>
    </row>
    <row r="12822" customFormat="false" ht="15" hidden="false" customHeight="false" outlineLevel="0" collapsed="false">
      <c r="A12822" s="1" t="s">
        <v>1060</v>
      </c>
      <c r="B12822" s="0" t="s">
        <v>168</v>
      </c>
      <c r="E12822" s="7" t="n">
        <f aca="false">Sens!E12821/Sens!D12821-1</f>
        <v>0.177886867998467</v>
      </c>
      <c r="F12822" s="7" t="n">
        <f aca="false">Sens!F12821/Sens!E12821-1</f>
        <v>0.21467709006364</v>
      </c>
      <c r="G12822" s="7" t="n">
        <f aca="false">Sens!G12821/Sens!F12821-1</f>
        <v>0.220073208753704</v>
      </c>
      <c r="H12822" s="7" t="n">
        <f aca="false">Sens!H12821/Sens!G12821-1</f>
        <v>0.194213535808362</v>
      </c>
      <c r="I12822" s="7" t="n">
        <f aca="false">Sens!I12821/Sens!H12821-1</f>
        <v>0.13846127145643</v>
      </c>
      <c r="J12822" s="7" t="n">
        <f aca="false">Sens!J12821/Sens!I12821-1</f>
        <v>0.0978750285412546</v>
      </c>
      <c r="K12822" s="7" t="n">
        <f aca="false">Sens!K12821/Sens!J12821-1</f>
        <v>0.0709189247350204</v>
      </c>
    </row>
    <row r="12823" customFormat="false" ht="17.15" hidden="false" customHeight="false" outlineLevel="0" collapsed="false">
      <c r="A12823" s="26" t="s">
        <v>1061</v>
      </c>
      <c r="B12823" s="31" t="s">
        <v>98</v>
      </c>
      <c r="C12823" s="31"/>
      <c r="D12823" s="27" t="n">
        <f aca="false">(Sens!D12816+Sens!D12820-Sens!D12821)+(Sens!D12808+Sens!D12809-Sens!D12807)+(Sens!D12811+Sens!D12812-Sens!D12810)+(Sens!D12821-Q!L18)</f>
        <v>0</v>
      </c>
      <c r="E12823" s="27" t="n">
        <f aca="false">(Sens!E12816+Sens!E12820-Sens!E12821)+(Sens!E12808+Sens!E12809-Sens!E12807)+(Sens!E12811+Sens!E12812-Sens!E12810)+(Sens!E12821-Q!M18)</f>
        <v>0</v>
      </c>
      <c r="F12823" s="27" t="n">
        <f aca="false">(Sens!F12816+Sens!F12820-Sens!F12821)+(Sens!F12808+Sens!F12809-Sens!F12807)+(Sens!F12811+Sens!F12812-Sens!F12810)</f>
        <v>0</v>
      </c>
      <c r="G12823" s="27" t="n">
        <f aca="false">(Sens!G12816+Sens!G12820-Sens!G12821)+(Sens!G12808+Sens!G12809-Sens!G12807)+(Sens!G12811+Sens!G12812-Sens!G12810)</f>
        <v>0</v>
      </c>
      <c r="H12823" s="27" t="n">
        <f aca="false">(Sens!H12816+Sens!H12820-Sens!H12821)+(Sens!H12808+Sens!H12809-Sens!H12807)+(Sens!H12811+Sens!H12812-Sens!H12810)</f>
        <v>0</v>
      </c>
      <c r="I12823" s="27" t="n">
        <f aca="false">(Sens!I12816+Sens!I12820-Sens!I12821)+(Sens!I12808+Sens!I12809-Sens!I12807)+(Sens!I12811+Sens!I12812-Sens!I12810)</f>
        <v>0</v>
      </c>
      <c r="J12823" s="27" t="n">
        <f aca="false">(Sens!J12816+Sens!J12820-Sens!J12821)+(Sens!J12808+Sens!J12809-Sens!J12807)+(Sens!J12811+Sens!J12812-Sens!J12810)</f>
        <v>0</v>
      </c>
      <c r="K12823" s="27" t="n">
        <f aca="false">(Sens!K12816+Sens!K12820-Sens!K12821)+(Sens!K12808+Sens!K12809-Sens!K12807)+(Sens!K12811+Sens!K12812-Sens!K12810)</f>
        <v>0</v>
      </c>
    </row>
    <row r="12824" customFormat="false" ht="17.15" hidden="false" customHeight="false" outlineLevel="0" collapsed="false">
      <c r="A12824" s="0" t="s">
        <v>1062</v>
      </c>
      <c r="B12824" s="0" t="s">
        <v>168</v>
      </c>
      <c r="E12824" s="7" t="n">
        <f aca="false">(Q!M21+Sens!E12760+Sens!E12761+Sens!E12762+Sens!E12776-Sens!E12758)/(Q!M5-Sens!E12758)</f>
        <v>0.570957350878296</v>
      </c>
      <c r="F12824" s="7" t="n">
        <f aca="false">Sens!$E$12824+dm_seg_lo</f>
        <v>0.550957350878296</v>
      </c>
      <c r="G12824" s="7" t="n">
        <f aca="false">Sens!$E$12824+dm_seg_lo</f>
        <v>0.550957350878296</v>
      </c>
      <c r="H12824" s="7" t="n">
        <f aca="false">Sens!$E$12824+dm_seg_lo</f>
        <v>0.550957350878296</v>
      </c>
      <c r="I12824" s="7" t="n">
        <f aca="false">Sens!$E$12824+dm_seg_lo</f>
        <v>0.550957350878296</v>
      </c>
      <c r="J12824" s="7" t="n">
        <f aca="false">Sens!$E$12824+dm_seg_lo</f>
        <v>0.550957350878296</v>
      </c>
      <c r="K12824" s="7" t="n">
        <f aca="false">Sens!$E$12824+dm_seg_lo</f>
        <v>0.550957350878296</v>
      </c>
      <c r="L12824" s="12" t="s">
        <v>1063</v>
      </c>
    </row>
    <row r="12825" customFormat="false" ht="17.15" hidden="false" customHeight="false" outlineLevel="0" collapsed="false">
      <c r="A12825" s="0" t="s">
        <v>884</v>
      </c>
      <c r="B12825" s="0" t="s">
        <v>98</v>
      </c>
      <c r="D12825" s="6" t="n">
        <f aca="false">Q!L21</f>
        <v>110.814</v>
      </c>
      <c r="E12825" s="6" t="n">
        <f aca="false">Q!M21</f>
        <v>136.365</v>
      </c>
      <c r="F12825" s="6" t="n">
        <f aca="false">Q!$I$21+(Sens!F12824*(Sens!F12795-Sens!F12758)+Sens!F12758-(Sens!F12760+Sens!F12761+Sens!F12762)-Sens!F12776-Sens!F12859)*(Sens!F12795-Q!$I$5)/Sens!F12795</f>
        <v>161.193457654677</v>
      </c>
      <c r="G12825" s="6" t="n">
        <f aca="false">(Sens!G12824*(Sens!G12795-Sens!G12758)+Sens!G12758-(Sens!G12760+Sens!G12761+Sens!G12762)-Sens!G12776-Sens!G12859)</f>
        <v>185.080962607788</v>
      </c>
      <c r="H12825" s="6" t="n">
        <f aca="false">(Sens!H12824*(Sens!H12795-Sens!H12758)+Sens!H12758-(Sens!H12760+Sens!H12761+Sens!H12762)-Sens!H12776-Sens!H12859)</f>
        <v>218.481201716731</v>
      </c>
      <c r="I12825" s="6" t="n">
        <f aca="false">(Sens!I12824*(Sens!I12795-Sens!I12758)+Sens!I12758-(Sens!I12760+Sens!I12761+Sens!I12762)-Sens!I12776-Sens!I12859)</f>
        <v>243.554378241408</v>
      </c>
      <c r="J12825" s="6" t="n">
        <f aca="false">(Sens!J12824*(Sens!J12795-Sens!J12758)+Sens!J12758-(Sens!J12760+Sens!J12761+Sens!J12762)-Sens!J12776-Sens!J12859)</f>
        <v>265.102711466052</v>
      </c>
      <c r="K12825" s="6" t="n">
        <f aca="false">(Sens!K12824*(Sens!K12795-Sens!K12758)+Sens!K12758-(Sens!K12760+Sens!K12761+Sens!K12762)-Sens!K12776-Sens!K12859)</f>
        <v>284.45001354916</v>
      </c>
      <c r="L12825" s="1" t="s">
        <v>1064</v>
      </c>
    </row>
    <row r="12826" customFormat="false" ht="17.15" hidden="false" customHeight="false" outlineLevel="0" collapsed="false">
      <c r="A12826" s="0" t="s">
        <v>1065</v>
      </c>
      <c r="B12826" s="0" t="s">
        <v>168</v>
      </c>
      <c r="E12826" s="7" t="n">
        <f aca="false">Q!M22/Q!M12</f>
        <v>0.296207935710698</v>
      </c>
      <c r="F12826" s="7" t="n">
        <f aca="false">Sens!$E$12826+dm_seg_lo</f>
        <v>0.276207935710698</v>
      </c>
      <c r="G12826" s="7" t="n">
        <f aca="false">Sens!$E$12826+dm_seg_lo</f>
        <v>0.276207935710698</v>
      </c>
      <c r="H12826" s="7" t="n">
        <f aca="false">Sens!$E$12826+dm_seg_lo</f>
        <v>0.276207935710698</v>
      </c>
      <c r="I12826" s="7" t="n">
        <f aca="false">Sens!$E$12826+dm_seg_lo</f>
        <v>0.276207935710698</v>
      </c>
      <c r="J12826" s="7" t="n">
        <f aca="false">Sens!$E$12826+dm_seg_lo</f>
        <v>0.276207935710698</v>
      </c>
      <c r="K12826" s="7" t="n">
        <f aca="false">Sens!$E$12826+dm_seg_lo</f>
        <v>0.276207935710698</v>
      </c>
      <c r="L12826" s="12" t="s">
        <v>1066</v>
      </c>
    </row>
    <row r="12827" customFormat="false" ht="17.15" hidden="false" customHeight="false" outlineLevel="0" collapsed="false">
      <c r="A12827" s="0" t="s">
        <v>886</v>
      </c>
      <c r="B12827" s="0" t="s">
        <v>98</v>
      </c>
      <c r="D12827" s="6" t="n">
        <f aca="false">Q!L22</f>
        <v>17.714</v>
      </c>
      <c r="E12827" s="6" t="n">
        <f aca="false">Q!M22</f>
        <v>18.872</v>
      </c>
      <c r="F12827" s="6" t="n">
        <f aca="false">Q!$I$22+(Sens!F12802-Q!$I$12)*Sens!F12826</f>
        <v>18.8410612513001</v>
      </c>
      <c r="G12827" s="6" t="n">
        <f aca="false">Sens!G12802*Sens!G12826</f>
        <v>18.3058665317709</v>
      </c>
      <c r="H12827" s="6" t="n">
        <f aca="false">Sens!H12802*Sens!H12826</f>
        <v>18.9793448100428</v>
      </c>
      <c r="I12827" s="6" t="n">
        <f aca="false">Sens!I12802*Sens!I12826</f>
        <v>19.7611971375859</v>
      </c>
      <c r="J12827" s="6" t="n">
        <f aca="false">Sens!J12802*Sens!J12826</f>
        <v>20.6346759206851</v>
      </c>
      <c r="K12827" s="6" t="n">
        <f aca="false">Sens!K12802*Sens!K12826</f>
        <v>21.5863170991412</v>
      </c>
      <c r="L12827" s="12" t="s">
        <v>1067</v>
      </c>
    </row>
    <row r="12828" customFormat="false" ht="15" hidden="false" customHeight="false" outlineLevel="0" collapsed="false">
      <c r="A12828" s="1" t="s">
        <v>1068</v>
      </c>
      <c r="B12828" s="0" t="s">
        <v>98</v>
      </c>
      <c r="D12828" s="6" t="n">
        <f aca="false">Sens!D12825+Sens!D12827</f>
        <v>128.528</v>
      </c>
      <c r="E12828" s="6" t="n">
        <f aca="false">Sens!E12825+Sens!E12827</f>
        <v>155.237</v>
      </c>
      <c r="F12828" s="6" t="n">
        <f aca="false">Sens!F12825+Sens!F12827</f>
        <v>180.034518905977</v>
      </c>
      <c r="G12828" s="6" t="n">
        <f aca="false">Sens!G12825+Sens!G12827</f>
        <v>203.386829139559</v>
      </c>
      <c r="H12828" s="6" t="n">
        <f aca="false">Sens!H12825+Sens!H12827</f>
        <v>237.460546526774</v>
      </c>
      <c r="I12828" s="6" t="n">
        <f aca="false">Sens!I12825+Sens!I12827</f>
        <v>263.315575378993</v>
      </c>
      <c r="J12828" s="6" t="n">
        <f aca="false">Sens!J12825+Sens!J12827</f>
        <v>285.737387386737</v>
      </c>
      <c r="K12828" s="6" t="n">
        <f aca="false">Sens!K12825+Sens!K12827</f>
        <v>306.036330648301</v>
      </c>
    </row>
    <row r="12829" customFormat="false" ht="15" hidden="false" customHeight="false" outlineLevel="0" collapsed="false">
      <c r="A12829" s="26" t="s">
        <v>1069</v>
      </c>
      <c r="B12829" s="31" t="s">
        <v>98</v>
      </c>
      <c r="C12829" s="31"/>
      <c r="D12829" s="27" t="n">
        <f aca="false">Sens!D12828-Q!L23</f>
        <v>0</v>
      </c>
      <c r="E12829" s="27" t="n">
        <f aca="false">Sens!E12828-Q!M23</f>
        <v>0</v>
      </c>
      <c r="F12829" s="31"/>
      <c r="G12829" s="31"/>
      <c r="H12829" s="31"/>
      <c r="I12829" s="31"/>
      <c r="J12829" s="31"/>
      <c r="K12829" s="31"/>
    </row>
    <row r="12830" customFormat="false" ht="15" hidden="false" customHeight="false" outlineLevel="0" collapsed="false">
      <c r="A12830" s="1" t="s">
        <v>1070</v>
      </c>
      <c r="B12830" s="0" t="s">
        <v>168</v>
      </c>
      <c r="D12830" s="7" t="n">
        <f aca="false">Sens!D12828/Sens!D12821</f>
        <v>0.456219562408598</v>
      </c>
      <c r="E12830" s="7" t="n">
        <f aca="false">Sens!E12828/Sens!E12821</f>
        <v>0.467808184089272</v>
      </c>
      <c r="F12830" s="7" t="n">
        <f aca="false">Sens!F12828/Sens!F12821</f>
        <v>0.446650182915628</v>
      </c>
      <c r="G12830" s="7" t="n">
        <f aca="false">Sens!G12828/Sens!G12821</f>
        <v>0.413569657837999</v>
      </c>
      <c r="H12830" s="7" t="n">
        <f aca="false">Sens!H12828/Sens!H12821</f>
        <v>0.40432939561998</v>
      </c>
      <c r="I12830" s="7" t="n">
        <f aca="false">Sens!I12828/Sens!I12821</f>
        <v>0.39382396579368</v>
      </c>
      <c r="J12830" s="7" t="n">
        <f aca="false">Sens!J12828/Sens!J12821</f>
        <v>0.389259978936714</v>
      </c>
      <c r="K12830" s="7" t="n">
        <f aca="false">Sens!K12828/Sens!K12821</f>
        <v>0.389304190236056</v>
      </c>
    </row>
    <row r="12831" customFormat="false" ht="17.15" hidden="false" customHeight="false" outlineLevel="0" collapsed="false">
      <c r="A12831" s="1" t="s">
        <v>1071</v>
      </c>
      <c r="B12831" s="0" t="s">
        <v>98</v>
      </c>
      <c r="F12831" s="6" t="n">
        <f aca="false">Sens!F12846</f>
        <v>9.04840674531245</v>
      </c>
      <c r="G12831" s="6" t="n">
        <f aca="false">Sens!G12846</f>
        <v>23.0510305170273</v>
      </c>
      <c r="H12831" s="6" t="n">
        <f aca="false">Sens!H12846</f>
        <v>38.5268452382075</v>
      </c>
      <c r="I12831" s="6" t="n">
        <f aca="false">Sens!I12846</f>
        <v>52.7981094705177</v>
      </c>
      <c r="J12831" s="6" t="n">
        <f aca="false">Sens!J12846</f>
        <v>62.8095818934393</v>
      </c>
      <c r="K12831" s="6" t="n">
        <f aca="false">Sens!K12846</f>
        <v>67.9201312706266</v>
      </c>
      <c r="L12831" s="1" t="s">
        <v>1072</v>
      </c>
    </row>
    <row r="12832" customFormat="false" ht="17.15" hidden="false" customHeight="false" outlineLevel="0" collapsed="false">
      <c r="A12832" s="1" t="s">
        <v>1073</v>
      </c>
      <c r="B12832" s="0" t="s">
        <v>98</v>
      </c>
      <c r="D12832" s="6" t="n">
        <f aca="false">Sens!D12828</f>
        <v>128.528</v>
      </c>
      <c r="E12832" s="6" t="n">
        <f aca="false">Sens!E12828</f>
        <v>155.237</v>
      </c>
      <c r="F12832" s="6" t="n">
        <f aca="false">Sens!F12828+Sens!F12831</f>
        <v>189.08292565129</v>
      </c>
      <c r="G12832" s="6" t="n">
        <f aca="false">Sens!G12828+Sens!G12831</f>
        <v>226.437859656587</v>
      </c>
      <c r="H12832" s="6" t="n">
        <f aca="false">Sens!H12828+Sens!H12831</f>
        <v>275.987391764982</v>
      </c>
      <c r="I12832" s="6" t="n">
        <f aca="false">Sens!I12828+Sens!I12831</f>
        <v>316.113684849511</v>
      </c>
      <c r="J12832" s="6" t="n">
        <f aca="false">Sens!J12828+Sens!J12831</f>
        <v>348.546969280176</v>
      </c>
      <c r="K12832" s="6" t="n">
        <f aca="false">Sens!K12828+Sens!K12831</f>
        <v>373.956461918928</v>
      </c>
    </row>
    <row r="12833" customFormat="false" ht="17.15" hidden="false" customHeight="false" outlineLevel="0" collapsed="false">
      <c r="A12833" s="1" t="s">
        <v>1074</v>
      </c>
      <c r="B12833" s="0" t="s">
        <v>98</v>
      </c>
      <c r="E12833" s="6" t="n">
        <f aca="false">Sens!E12776</f>
        <v>16.3054059770833</v>
      </c>
      <c r="F12833" s="6" t="n">
        <f aca="false">Sens!F12776</f>
        <v>34.5793144783516</v>
      </c>
      <c r="G12833" s="6" t="n">
        <f aca="false">Sens!G12776</f>
        <v>60.7344906522989</v>
      </c>
      <c r="H12833" s="6" t="n">
        <f aca="false">Sens!H12776</f>
        <v>89.1000906614457</v>
      </c>
      <c r="I12833" s="6" t="n">
        <f aca="false">Sens!I12776</f>
        <v>114.231009694548</v>
      </c>
      <c r="J12833" s="6" t="n">
        <f aca="false">Sens!J12776</f>
        <v>132.015673049596</v>
      </c>
      <c r="K12833" s="6" t="n">
        <f aca="false">Sens!K12776</f>
        <v>143.012669550934</v>
      </c>
    </row>
    <row r="12834" customFormat="false" ht="17.15" hidden="false" customHeight="false" outlineLevel="0" collapsed="false">
      <c r="A12834" s="1" t="s">
        <v>1075</v>
      </c>
      <c r="B12834" s="0" t="s">
        <v>98</v>
      </c>
      <c r="E12834" s="6" t="n">
        <f aca="false">Sens!E12858</f>
        <v>22.2285940229167</v>
      </c>
      <c r="F12834" s="6" t="n">
        <f aca="false">Sens!F12858</f>
        <v>23.580344216413</v>
      </c>
      <c r="G12834" s="6" t="n">
        <f aca="false">Sens!G12858</f>
        <v>25.3801415764809</v>
      </c>
      <c r="H12834" s="6" t="n">
        <f aca="false">Sens!H12858</f>
        <v>27.5964639802758</v>
      </c>
      <c r="I12834" s="6" t="n">
        <f aca="false">Sens!I12858</f>
        <v>30.152940612192</v>
      </c>
      <c r="J12834" s="6" t="n">
        <f aca="false">Sens!J12858</f>
        <v>32.9575022150393</v>
      </c>
      <c r="K12834" s="6" t="n">
        <f aca="false">Sens!K12858</f>
        <v>35.9256779798081</v>
      </c>
    </row>
    <row r="12835" customFormat="false" ht="17.15" hidden="false" customHeight="false" outlineLevel="0" collapsed="false">
      <c r="A12835" s="1" t="s">
        <v>1076</v>
      </c>
      <c r="B12835" s="0" t="s">
        <v>98</v>
      </c>
      <c r="D12835" s="6" t="n">
        <f aca="false">Q!L27</f>
        <v>-4.901</v>
      </c>
      <c r="E12835" s="6" t="n">
        <f aca="false">Q!M27</f>
        <v>10.697</v>
      </c>
      <c r="F12835" s="6" t="n">
        <f aca="false">Q!$I$27+oie_f*(q_per_yr-1)/q_per_yr</f>
        <v>-0.862</v>
      </c>
      <c r="G12835" s="6" t="n">
        <f aca="false">oie_f</f>
        <v>-1.2</v>
      </c>
      <c r="H12835" s="6" t="n">
        <f aca="false">oie_f</f>
        <v>-1.2</v>
      </c>
      <c r="I12835" s="6" t="n">
        <f aca="false">oie_f</f>
        <v>-1.2</v>
      </c>
      <c r="J12835" s="6" t="n">
        <f aca="false">oie_f</f>
        <v>-1.2</v>
      </c>
      <c r="K12835" s="6" t="n">
        <f aca="false">oie_f</f>
        <v>-1.2</v>
      </c>
      <c r="L12835" s="12" t="s">
        <v>1077</v>
      </c>
    </row>
    <row r="12836" customFormat="false" ht="15" hidden="false" customHeight="false" outlineLevel="0" collapsed="false">
      <c r="A12836" s="1" t="s">
        <v>1078</v>
      </c>
      <c r="B12836" s="0" t="s">
        <v>98</v>
      </c>
      <c r="D12836" s="6" t="n">
        <f aca="false">Sens!D12828+Sens!D12835</f>
        <v>123.627</v>
      </c>
      <c r="E12836" s="6" t="n">
        <f aca="false">Sens!E12828+Sens!E12835</f>
        <v>165.934</v>
      </c>
      <c r="F12836" s="6" t="n">
        <f aca="false">Sens!F12828+Sens!F12835</f>
        <v>179.172518905977</v>
      </c>
      <c r="G12836" s="6" t="n">
        <f aca="false">Sens!G12828+Sens!G12835</f>
        <v>202.186829139559</v>
      </c>
      <c r="H12836" s="6" t="n">
        <f aca="false">Sens!H12828+Sens!H12835</f>
        <v>236.260546526774</v>
      </c>
      <c r="I12836" s="6" t="n">
        <f aca="false">Sens!I12828+Sens!I12835</f>
        <v>262.115575378993</v>
      </c>
      <c r="J12836" s="6" t="n">
        <f aca="false">Sens!J12828+Sens!J12835</f>
        <v>284.537387386737</v>
      </c>
      <c r="K12836" s="6" t="n">
        <f aca="false">Sens!K12828+Sens!K12835</f>
        <v>304.836330648301</v>
      </c>
    </row>
    <row r="12837" customFormat="false" ht="15" hidden="false" customHeight="false" outlineLevel="0" collapsed="false">
      <c r="A12837" s="1" t="s">
        <v>1079</v>
      </c>
      <c r="B12837" s="0" t="s">
        <v>98</v>
      </c>
      <c r="D12837" s="6" t="n">
        <f aca="false">Q!L29</f>
        <v>21.795</v>
      </c>
      <c r="E12837" s="6" t="n">
        <f aca="false">Q!M29</f>
        <v>32.185</v>
      </c>
      <c r="F12837" s="6" t="n">
        <f aca="false">Q!$I$29+(Sens!F12836-Q!$I$28)*tax_f</f>
        <v>35.9679037811955</v>
      </c>
      <c r="G12837" s="6" t="n">
        <f aca="false">Sens!G12836*tax_f</f>
        <v>40.4373658279119</v>
      </c>
      <c r="H12837" s="6" t="n">
        <f aca="false">Sens!H12836*tax_f</f>
        <v>47.2521093053548</v>
      </c>
      <c r="I12837" s="6" t="n">
        <f aca="false">Sens!I12836*tax_f</f>
        <v>52.4231150757987</v>
      </c>
      <c r="J12837" s="6" t="n">
        <f aca="false">Sens!J12836*tax_f</f>
        <v>56.9074774773473</v>
      </c>
      <c r="K12837" s="6" t="n">
        <f aca="false">Sens!K12836*tax_f</f>
        <v>60.9672661296602</v>
      </c>
    </row>
    <row r="12838" customFormat="false" ht="15" hidden="false" customHeight="false" outlineLevel="0" collapsed="false">
      <c r="A12838" s="1" t="s">
        <v>1080</v>
      </c>
      <c r="B12838" s="0" t="s">
        <v>98</v>
      </c>
      <c r="D12838" s="6" t="n">
        <f aca="false">Sens!D12836-Sens!D12837</f>
        <v>101.832</v>
      </c>
      <c r="E12838" s="6" t="n">
        <f aca="false">Sens!E12836-Sens!E12837</f>
        <v>133.749</v>
      </c>
      <c r="F12838" s="6" t="n">
        <f aca="false">Sens!F12836-Sens!F12837</f>
        <v>143.204615124782</v>
      </c>
      <c r="G12838" s="6" t="n">
        <f aca="false">Sens!G12836-Sens!G12837</f>
        <v>161.749463311647</v>
      </c>
      <c r="H12838" s="6" t="n">
        <f aca="false">Sens!H12836-Sens!H12837</f>
        <v>189.008437221419</v>
      </c>
      <c r="I12838" s="6" t="n">
        <f aca="false">Sens!I12836-Sens!I12837</f>
        <v>209.692460303195</v>
      </c>
      <c r="J12838" s="6" t="n">
        <f aca="false">Sens!J12836-Sens!J12837</f>
        <v>227.629909909389</v>
      </c>
      <c r="K12838" s="6" t="n">
        <f aca="false">Sens!K12836-Sens!K12837</f>
        <v>243.869064518641</v>
      </c>
    </row>
    <row r="12839" customFormat="false" ht="17.15" hidden="false" customHeight="false" outlineLevel="0" collapsed="false">
      <c r="A12839" s="1" t="s">
        <v>1081</v>
      </c>
      <c r="B12839" s="1" t="s">
        <v>81</v>
      </c>
      <c r="D12839" s="15" t="n">
        <f aca="false">Q!L31</f>
        <v>7.465</v>
      </c>
      <c r="E12839" s="15" t="n">
        <f aca="false">Q!M31</f>
        <v>7.453</v>
      </c>
      <c r="F12839" s="15" t="n">
        <f aca="false">Sens!F12883</f>
        <v>7.4735</v>
      </c>
      <c r="G12839" s="15" t="n">
        <f aca="false">Sens!G12883</f>
        <v>7.5185</v>
      </c>
      <c r="H12839" s="15" t="n">
        <f aca="false">Sens!H12883</f>
        <v>7.5461999390288</v>
      </c>
      <c r="I12839" s="15" t="n">
        <f aca="false">Sens!I12883</f>
        <v>7.55788130308427</v>
      </c>
      <c r="J12839" s="15" t="n">
        <f aca="false">Sens!J12883</f>
        <v>7.57203071424674</v>
      </c>
      <c r="K12839" s="15" t="n">
        <f aca="false">Sens!K12883</f>
        <v>7.58846535421199</v>
      </c>
    </row>
    <row r="12840" customFormat="false" ht="17.15" hidden="false" customHeight="false" outlineLevel="0" collapsed="false">
      <c r="A12840" s="0" t="s">
        <v>1082</v>
      </c>
      <c r="B12840" s="0" t="s">
        <v>75</v>
      </c>
      <c r="D12840" s="8" t="n">
        <f aca="false">Sens!D12838/Sens!D12839</f>
        <v>13.641259209645</v>
      </c>
      <c r="E12840" s="8" t="n">
        <f aca="false">Sens!E12838/Sens!E12839</f>
        <v>17.9456594659869</v>
      </c>
      <c r="F12840" s="8" t="n">
        <f aca="false">Sens!F12838/Sens!F12839</f>
        <v>19.1616531912466</v>
      </c>
      <c r="G12840" s="8" t="n">
        <f aca="false">Sens!G12838/Sens!G12839</f>
        <v>21.5135284048211</v>
      </c>
      <c r="H12840" s="8" t="n">
        <f aca="false">Sens!H12838/Sens!H12839</f>
        <v>25.0468366526934</v>
      </c>
      <c r="I12840" s="8" t="n">
        <f aca="false">Sens!I12838/Sens!I12839</f>
        <v>27.7448734498678</v>
      </c>
      <c r="J12840" s="8" t="n">
        <f aca="false">Sens!J12838/Sens!J12839</f>
        <v>30.0619369492393</v>
      </c>
      <c r="K12840" s="8" t="n">
        <f aca="false">Sens!K12838/Sens!K12839</f>
        <v>32.1368093725671</v>
      </c>
      <c r="L12840" s="1" t="s">
        <v>1083</v>
      </c>
    </row>
    <row r="12841" customFormat="false" ht="17.15" hidden="false" customHeight="false" outlineLevel="0" collapsed="false">
      <c r="A12841" s="1" t="s">
        <v>1084</v>
      </c>
      <c r="B12841" s="0" t="s">
        <v>98</v>
      </c>
      <c r="D12841" s="6" t="n">
        <f aca="false">Sens!D12838</f>
        <v>101.832</v>
      </c>
      <c r="E12841" s="6" t="n">
        <f aca="false">Sens!E12838</f>
        <v>133.749</v>
      </c>
      <c r="F12841" s="6" t="n">
        <f aca="false">Sens!F12838+Sens!F12831*(1-tax_f)</f>
        <v>150.443340521032</v>
      </c>
      <c r="G12841" s="6" t="n">
        <f aca="false">Sens!G12838+Sens!G12831*(1-tax_f)</f>
        <v>180.190287725269</v>
      </c>
      <c r="H12841" s="6" t="n">
        <f aca="false">Sens!H12838+Sens!H12831*(1-tax_f)</f>
        <v>219.829913411985</v>
      </c>
      <c r="I12841" s="6" t="n">
        <f aca="false">Sens!I12838+Sens!I12831*(1-tax_f)</f>
        <v>251.930947879609</v>
      </c>
      <c r="J12841" s="6" t="n">
        <f aca="false">Sens!J12838+Sens!J12831*(1-tax_f)</f>
        <v>277.877575424141</v>
      </c>
      <c r="K12841" s="6" t="n">
        <f aca="false">Sens!K12838+Sens!K12831*(1-tax_f)</f>
        <v>298.205169535142</v>
      </c>
    </row>
    <row r="12842" customFormat="false" ht="17.15" hidden="false" customHeight="false" outlineLevel="0" collapsed="false">
      <c r="A12842" s="0" t="s">
        <v>1085</v>
      </c>
      <c r="B12842" s="0" t="s">
        <v>75</v>
      </c>
      <c r="D12842" s="8" t="n">
        <f aca="false">Sens!D12841/Sens!D12839</f>
        <v>13.641259209645</v>
      </c>
      <c r="E12842" s="8" t="n">
        <f aca="false">Sens!E12841/Sens!E12839</f>
        <v>17.9456594659869</v>
      </c>
      <c r="F12842" s="8" t="n">
        <f aca="false">Sens!F12841/Sens!F12839</f>
        <v>20.1302389136324</v>
      </c>
      <c r="G12842" s="8" t="n">
        <f aca="false">Sens!G12841/Sens!G12839</f>
        <v>23.9662549345307</v>
      </c>
      <c r="H12842" s="8" t="n">
        <f aca="false">Sens!H12841/Sens!H12839</f>
        <v>29.1312071225451</v>
      </c>
      <c r="I12842" s="8" t="n">
        <f aca="false">Sens!I12841/Sens!I12839</f>
        <v>33.3335412103918</v>
      </c>
      <c r="J12842" s="8" t="n">
        <f aca="false">Sens!J12841/Sens!J12839</f>
        <v>36.6978933275212</v>
      </c>
      <c r="K12842" s="8" t="n">
        <f aca="false">Sens!K12841/Sens!K12839</f>
        <v>39.2971642638683</v>
      </c>
      <c r="L12842" s="1" t="s">
        <v>1086</v>
      </c>
    </row>
    <row r="12843" customFormat="false" ht="17.15" hidden="false" customHeight="false" outlineLevel="0" collapsed="false">
      <c r="A12843" s="0" t="s">
        <v>1087</v>
      </c>
      <c r="B12843" s="0" t="s">
        <v>168</v>
      </c>
      <c r="E12843" s="7" t="n">
        <f aca="false">Sens!E12842/Sens!D12842-1</f>
        <v>0.315542736208578</v>
      </c>
      <c r="F12843" s="7" t="n">
        <f aca="false">Sens!F12842/Sens!E12842-1</f>
        <v>0.12173302696321</v>
      </c>
      <c r="G12843" s="7" t="n">
        <f aca="false">Sens!G12842/Sens!F12842-1</f>
        <v>0.190559885421953</v>
      </c>
      <c r="H12843" s="7" t="n">
        <f aca="false">Sens!H12842/Sens!G12842-1</f>
        <v>0.215509356890496</v>
      </c>
      <c r="I12843" s="7" t="n">
        <f aca="false">Sens!I12842/Sens!H12842-1</f>
        <v>0.144255405214375</v>
      </c>
      <c r="J12843" s="7" t="n">
        <f aca="false">Sens!J12842/Sens!I12842-1</f>
        <v>0.100929934083348</v>
      </c>
      <c r="K12843" s="7" t="n">
        <f aca="false">Sens!K12842/Sens!J12842-1</f>
        <v>0.0708288869104601</v>
      </c>
    </row>
    <row r="12844" customFormat="false" ht="17.15" hidden="false" customHeight="false" outlineLevel="0" collapsed="false">
      <c r="A12844" s="0" t="s">
        <v>1007</v>
      </c>
      <c r="B12844" s="0" t="s">
        <v>98</v>
      </c>
      <c r="E12844" s="6" t="n">
        <f aca="false">Sens!E12785</f>
        <v>5.25</v>
      </c>
      <c r="F12844" s="6" t="n">
        <f aca="false">Sens!F12785</f>
        <v>13.5</v>
      </c>
      <c r="G12844" s="6" t="n">
        <f aca="false">Sens!G12785</f>
        <v>22.5</v>
      </c>
      <c r="H12844" s="6" t="n">
        <f aca="false">Sens!H12785</f>
        <v>31.5</v>
      </c>
      <c r="I12844" s="6" t="n">
        <f aca="false">Sens!I12785</f>
        <v>38.25</v>
      </c>
      <c r="J12844" s="6" t="n">
        <f aca="false">Sens!J12785</f>
        <v>42.75</v>
      </c>
      <c r="K12844" s="6" t="n">
        <f aca="false">Sens!K12785</f>
        <v>47.25</v>
      </c>
    </row>
    <row r="12845" customFormat="false" ht="17.15" hidden="false" customHeight="false" outlineLevel="0" collapsed="false">
      <c r="A12845" s="1" t="s">
        <v>1008</v>
      </c>
      <c r="B12845" s="0" t="s">
        <v>98</v>
      </c>
      <c r="F12845" s="6" t="n">
        <f aca="false">MAX(0,((Sens!E12745+Sens!F12745)/2-(shadow_base*(Sens!$D$12745+Sens!$E$12745)/2+(1-shadow_base)*Sens!$E$12745))*Sens!F12754/1000-(Sens!F12844-Sens!$E$12844)*Sens!F12824)</f>
        <v>9.04840674531245</v>
      </c>
      <c r="G12845" s="6" t="n">
        <f aca="false">MAX(0,((Sens!F12745+Sens!G12745)/2-(shadow_base*(Sens!$D$12745+Sens!$E$12745)/2+(1-shadow_base)*Sens!$E$12745))*Sens!G12754/1000-(Sens!G12844-Sens!$E$12844)*Sens!G12824)</f>
        <v>23.0510305170273</v>
      </c>
      <c r="H12845" s="6" t="n">
        <f aca="false">MAX(0,((Sens!G12745+Sens!H12745)/2-(shadow_base*(Sens!$D$12745+Sens!$E$12745)/2+(1-shadow_base)*Sens!$E$12745))*Sens!H12754/1000-(Sens!H12844-Sens!$E$12844)*Sens!H12824)</f>
        <v>38.5268452382075</v>
      </c>
      <c r="I12845" s="6" t="n">
        <f aca="false">MAX(0,((Sens!H12745+Sens!I12745)/2-(shadow_base*(Sens!$D$12745+Sens!$E$12745)/2+(1-shadow_base)*Sens!$E$12745))*Sens!I12754/1000-(Sens!I12844-Sens!$E$12844)*Sens!I12824)</f>
        <v>52.7981094705177</v>
      </c>
      <c r="J12845" s="6" t="n">
        <f aca="false">MAX(0,((Sens!I12745+Sens!J12745)/2-(shadow_base*(Sens!$D$12745+Sens!$E$12745)/2+(1-shadow_base)*Sens!$E$12745))*Sens!J12754/1000-(Sens!J12844-Sens!$E$12844)*Sens!J12824)</f>
        <v>62.8095818934393</v>
      </c>
      <c r="K12845" s="6" t="n">
        <f aca="false">MAX(0,((Sens!J12745+Sens!K12745)/2-(shadow_base*(Sens!$D$12745+Sens!$E$12745)/2+(1-shadow_base)*Sens!$E$12745))*Sens!K12754/1000-(Sens!K12844-Sens!$E$12844)*Sens!K12824)</f>
        <v>67.9201312706266</v>
      </c>
      <c r="L12845" s="1" t="s">
        <v>1009</v>
      </c>
    </row>
    <row r="12846" customFormat="false" ht="17.15" hidden="false" customHeight="false" outlineLevel="0" collapsed="false">
      <c r="A12846" s="1" t="s">
        <v>1010</v>
      </c>
      <c r="B12846" s="0" t="s">
        <v>98</v>
      </c>
      <c r="F12846" s="6" t="n">
        <f aca="false">IF(internal_ai_reading=2,1,0)*Sens!F12845</f>
        <v>9.04840674531245</v>
      </c>
      <c r="G12846" s="6" t="n">
        <f aca="false">IF(internal_ai_reading=2,1,0)*Sens!G12845</f>
        <v>23.0510305170273</v>
      </c>
      <c r="H12846" s="6" t="n">
        <f aca="false">IF(internal_ai_reading=2,1,0)*Sens!H12845</f>
        <v>38.5268452382075</v>
      </c>
      <c r="I12846" s="6" t="n">
        <f aca="false">IF(internal_ai_reading=2,1,0)*Sens!I12845</f>
        <v>52.7981094705177</v>
      </c>
      <c r="J12846" s="6" t="n">
        <f aca="false">IF(internal_ai_reading=2,1,0)*Sens!J12845</f>
        <v>62.8095818934393</v>
      </c>
      <c r="K12846" s="6" t="n">
        <f aca="false">IF(internal_ai_reading=2,1,0)*Sens!K12845</f>
        <v>67.9201312706266</v>
      </c>
    </row>
    <row r="12847" customFormat="false" ht="17.15" hidden="false" customHeight="false" outlineLevel="0" collapsed="false">
      <c r="A12847" s="0" t="s">
        <v>1011</v>
      </c>
      <c r="B12847" s="0" t="s">
        <v>98</v>
      </c>
      <c r="F12847" s="6" t="n">
        <f aca="false">Sens!F12764+Sens!F12844*Sens!F12824+Sens!F12846-Sens!F12765-Sens!F12776</f>
        <v>18.4018678152817</v>
      </c>
      <c r="G12847" s="6" t="n">
        <f aca="false">Sens!G12764+Sens!G12844*Sens!G12824+Sens!G12846-Sens!G12765-Sens!G12776</f>
        <v>43.0933864982792</v>
      </c>
      <c r="H12847" s="6" t="n">
        <f aca="false">Sens!H12764+Sens!H12844*Sens!H12824+Sens!H12846-Sens!H12765-Sens!H12776</f>
        <v>73.397598356074</v>
      </c>
      <c r="I12847" s="6" t="n">
        <f aca="false">Sens!I12764+Sens!I12844*Sens!I12824+Sens!I12846-Sens!I12765-Sens!I12776</f>
        <v>94.6404135378504</v>
      </c>
      <c r="J12847" s="6" t="n">
        <f aca="false">Sens!J12764+Sens!J12844*Sens!J12824+Sens!J12846-Sens!J12765-Sens!J12776</f>
        <v>109.294608126358</v>
      </c>
      <c r="K12847" s="6" t="n">
        <f aca="false">Sens!K12764+Sens!K12844*Sens!K12824+Sens!K12846-Sens!K12765-Sens!K12776</f>
        <v>118.793703181943</v>
      </c>
    </row>
    <row r="12848" customFormat="false" ht="17.15" hidden="false" customHeight="false" outlineLevel="0" collapsed="false">
      <c r="A12848" s="0" t="s">
        <v>1012</v>
      </c>
      <c r="B12848" s="0" t="s">
        <v>98</v>
      </c>
      <c r="E12848" s="6" t="n">
        <f aca="false">Sens!E12744*(cxit_open+self_build*tk_cxfac)/1000*ai_net_open</f>
        <v>126.6980382</v>
      </c>
      <c r="F12848" s="6" t="n">
        <f aca="false">Sens!E12848+Sens!F12773-Sens!F12776</f>
        <v>260.572627763768</v>
      </c>
      <c r="G12848" s="6" t="n">
        <f aca="false">Sens!F12848+Sens!G12773-Sens!G12776</f>
        <v>391.782612760517</v>
      </c>
      <c r="H12848" s="6" t="n">
        <f aca="false">Sens!G12848+Sens!H12773-Sens!H12776</f>
        <v>499.488526163584</v>
      </c>
      <c r="I12848" s="6" t="n">
        <f aca="false">Sens!H12848+Sens!I12773-Sens!I12776</f>
        <v>553.872350090646</v>
      </c>
      <c r="J12848" s="6" t="n">
        <f aca="false">Sens!I12848+Sens!J12773-Sens!J12776</f>
        <v>550.78660823699</v>
      </c>
      <c r="K12848" s="6" t="n">
        <f aca="false">Sens!J12848+Sens!K12773-Sens!K12776</f>
        <v>526.736791750789</v>
      </c>
      <c r="L12848" s="1" t="s">
        <v>1013</v>
      </c>
    </row>
    <row r="12849" customFormat="false" ht="17.15" hidden="false" customHeight="false" outlineLevel="0" collapsed="false">
      <c r="A12849" s="0" t="s">
        <v>1014</v>
      </c>
      <c r="B12849" s="0" t="s">
        <v>168</v>
      </c>
      <c r="F12849" s="7" t="n">
        <f aca="false">Sens!F12847*(1-tax_f)/((Sens!E12848+Sens!F12848)/2)</f>
        <v>0.0760269008012224</v>
      </c>
      <c r="G12849" s="7" t="n">
        <f aca="false">Sens!G12847*(1-tax_f)/((Sens!F12848+Sens!G12848)/2)</f>
        <v>0.105693055124128</v>
      </c>
      <c r="H12849" s="7" t="n">
        <f aca="false">Sens!H12847*(1-tax_f)/((Sens!G12848+Sens!H12848)/2)</f>
        <v>0.131762549286047</v>
      </c>
      <c r="I12849" s="7" t="n">
        <f aca="false">Sens!I12847*(1-tax_f)/((Sens!H12848+Sens!I12848)/2)</f>
        <v>0.143753831259643</v>
      </c>
      <c r="J12849" s="7" t="n">
        <f aca="false">Sens!J12847*(1-tax_f)/((Sens!I12848+Sens!J12848)/2)</f>
        <v>0.158303494199616</v>
      </c>
      <c r="K12849" s="7" t="n">
        <f aca="false">Sens!K12847*(1-tax_f)/((Sens!J12848+Sens!K12848)/2)</f>
        <v>0.176395171643849</v>
      </c>
    </row>
    <row r="12850" customFormat="false" ht="17.15" hidden="false" customHeight="false" outlineLevel="0" collapsed="false">
      <c r="A12850" s="1" t="s">
        <v>1015</v>
      </c>
      <c r="B12850" s="0" t="s">
        <v>168</v>
      </c>
      <c r="F12850" s="7" t="n">
        <f aca="false">(Sens!F12847-Sens!F12846)*(1-tax_f)/((Sens!E12848+Sens!F12848)/2)</f>
        <v>0.0386436129230375</v>
      </c>
      <c r="G12850" s="7" t="n">
        <f aca="false">(Sens!G12847-Sens!G12846)*(1-tax_f)/((Sens!F12848+Sens!G12848)/2)</f>
        <v>0.0491569126419997</v>
      </c>
      <c r="H12850" s="7" t="n">
        <f aca="false">(Sens!H12847-Sens!H12846)*(1-tax_f)/((Sens!G12848+Sens!H12848)/2)</f>
        <v>0.0625995867609235</v>
      </c>
      <c r="I12850" s="7" t="n">
        <f aca="false">(Sens!I12847-Sens!I12846)*(1-tax_f)/((Sens!H12848+Sens!I12848)/2)</f>
        <v>0.0635562683377795</v>
      </c>
      <c r="J12850" s="7" t="n">
        <f aca="false">(Sens!J12847-Sens!J12846)*(1-tax_f)/((Sens!I12848+Sens!J12848)/2)</f>
        <v>0.0673294154833714</v>
      </c>
      <c r="K12850" s="7" t="n">
        <f aca="false">(Sens!K12847-Sens!K12846)*(1-tax_f)/((Sens!J12848+Sens!K12848)/2)</f>
        <v>0.0755414824949777</v>
      </c>
    </row>
    <row r="12851" customFormat="false" ht="17.15" hidden="false" customHeight="false" outlineLevel="0" collapsed="false">
      <c r="A12851" s="1" t="s">
        <v>1016</v>
      </c>
      <c r="B12851" s="0" t="s">
        <v>168</v>
      </c>
      <c r="F12851" s="7" t="n">
        <f aca="false">(Sens!F12847-Sens!F12846+Sens!F12845)*(1-tax_f)/((Sens!E12848+Sens!F12848)/2)</f>
        <v>0.0760269008012224</v>
      </c>
      <c r="G12851" s="7" t="n">
        <f aca="false">(Sens!G12847-Sens!G12846+Sens!G12845)*(1-tax_f)/((Sens!F12848+Sens!G12848)/2)</f>
        <v>0.105693055124128</v>
      </c>
      <c r="H12851" s="7" t="n">
        <f aca="false">(Sens!H12847-Sens!H12846+Sens!H12845)*(1-tax_f)/((Sens!G12848+Sens!H12848)/2)</f>
        <v>0.131762549286047</v>
      </c>
      <c r="I12851" s="7" t="n">
        <f aca="false">(Sens!I12847-Sens!I12846+Sens!I12845)*(1-tax_f)/((Sens!H12848+Sens!I12848)/2)</f>
        <v>0.143753831259643</v>
      </c>
      <c r="J12851" s="7" t="n">
        <f aca="false">(Sens!J12847-Sens!J12846+Sens!J12845)*(1-tax_f)/((Sens!I12848+Sens!J12848)/2)</f>
        <v>0.158303494199616</v>
      </c>
      <c r="K12851" s="7" t="n">
        <f aca="false">(Sens!K12847-Sens!K12846+Sens!K12845)*(1-tax_f)/((Sens!J12848+Sens!K12848)/2)</f>
        <v>0.176395171643849</v>
      </c>
    </row>
    <row r="12852" customFormat="false" ht="17.15" hidden="false" customHeight="false" outlineLevel="0" collapsed="false">
      <c r="A12852" s="1" t="s">
        <v>1017</v>
      </c>
      <c r="B12852" s="0" t="s">
        <v>168</v>
      </c>
      <c r="F12852" s="7" t="n">
        <f aca="false">Sens!F12777*(1-tax_f)/(Sens!F12763*(Sens!E12848+Sens!F12848)/2)</f>
        <v>0.15471433083293</v>
      </c>
      <c r="G12852" s="7" t="n">
        <f aca="false">Sens!G12777*(1-tax_f)/(Sens!G12763*(Sens!F12848+Sens!G12848)/2)</f>
        <v>0.176916911437355</v>
      </c>
      <c r="H12852" s="7" t="n">
        <f aca="false">Sens!H12777*(1-tax_f)/(Sens!H12763*(Sens!G12848+Sens!H12848)/2)</f>
        <v>0.207487057996582</v>
      </c>
      <c r="I12852" s="7" t="n">
        <f aca="false">Sens!I12777*(1-tax_f)/(Sens!I12763*(Sens!H12848+Sens!I12848)/2)</f>
        <v>0.219873660070946</v>
      </c>
      <c r="J12852" s="7" t="n">
        <f aca="false">Sens!J12777*(1-tax_f)/(Sens!J12763*(Sens!I12848+Sens!J12848)/2)</f>
        <v>0.238959457974928</v>
      </c>
      <c r="K12852" s="7" t="n">
        <f aca="false">Sens!K12777*(1-tax_f)/(Sens!K12763*(Sens!J12848+Sens!K12848)/2)</f>
        <v>0.264604270651536</v>
      </c>
    </row>
    <row r="12853" customFormat="false" ht="17.15" hidden="false" customHeight="false" outlineLevel="0" collapsed="false">
      <c r="A12853" s="0" t="s">
        <v>1018</v>
      </c>
      <c r="B12853" s="0" t="s">
        <v>253</v>
      </c>
      <c r="F12853" s="7" t="n">
        <f aca="false">Sens!F12849-wacc</f>
        <v>-0.0269096901443749</v>
      </c>
      <c r="G12853" s="7" t="n">
        <f aca="false">Sens!G12849-wacc</f>
        <v>0.00275646417853026</v>
      </c>
      <c r="H12853" s="7" t="n">
        <f aca="false">Sens!H12849-wacc</f>
        <v>0.0288259583404501</v>
      </c>
      <c r="I12853" s="7" t="n">
        <f aca="false">Sens!I12849-wacc</f>
        <v>0.0408172403140461</v>
      </c>
      <c r="J12853" s="7" t="n">
        <f aca="false">Sens!J12849-wacc</f>
        <v>0.0553669032540185</v>
      </c>
      <c r="K12853" s="7" t="n">
        <f aca="false">Sens!K12849-wacc</f>
        <v>0.0734585806982519</v>
      </c>
    </row>
    <row r="12854" customFormat="false" ht="17.15" hidden="false" customHeight="false" outlineLevel="0" collapsed="false">
      <c r="A12854" s="0" t="s">
        <v>1019</v>
      </c>
      <c r="B12854" s="0" t="s">
        <v>98</v>
      </c>
      <c r="F12854" s="6" t="n">
        <f aca="false">Sens!F12847*(1-tax_f)-wacc*(Sens!E12848+Sens!F12848)/2</f>
        <v>-5.21066681154536</v>
      </c>
      <c r="G12854" s="6" t="n">
        <f aca="false">Sens!G12847*(1-tax_f)-wacc*(Sens!F12848+Sens!G12848)/2</f>
        <v>0.899096926090842</v>
      </c>
      <c r="H12854" s="6" t="n">
        <f aca="false">Sens!H12847*(1-tax_f)-wacc*(Sens!G12848+Sens!H12848)/2</f>
        <v>12.8458723603358</v>
      </c>
      <c r="I12854" s="6" t="n">
        <f aca="false">Sens!I12847*(1-tax_f)-wacc*(Sens!H12848+Sens!I12848)/2</f>
        <v>21.4976420117415</v>
      </c>
      <c r="J12854" s="6" t="n">
        <f aca="false">Sens!J12847*(1-tax_f)-wacc*(Sens!I12848+Sens!J12848)/2</f>
        <v>30.5807728372055</v>
      </c>
      <c r="K12854" s="6" t="n">
        <f aca="false">Sens!K12847*(1-tax_f)-wacc*(Sens!J12848+Sens!K12848)/2</f>
        <v>39.5766698161285</v>
      </c>
    </row>
    <row r="12855" customFormat="false" ht="17.15" hidden="false" customHeight="false" outlineLevel="0" collapsed="false">
      <c r="A12855" s="3" t="s">
        <v>1933</v>
      </c>
    </row>
    <row r="12856" customFormat="false" ht="15" hidden="false" customHeight="false" outlineLevel="0" collapsed="false">
      <c r="A12856" s="4" t="s">
        <v>43</v>
      </c>
      <c r="B12856" s="4" t="s">
        <v>65</v>
      </c>
      <c r="C12856" s="23" t="s">
        <v>942</v>
      </c>
      <c r="D12856" s="23" t="s">
        <v>943</v>
      </c>
      <c r="E12856" s="23" t="s">
        <v>944</v>
      </c>
      <c r="F12856" s="23" t="s">
        <v>945</v>
      </c>
      <c r="G12856" s="23" t="s">
        <v>946</v>
      </c>
      <c r="H12856" s="23" t="s">
        <v>947</v>
      </c>
      <c r="I12856" s="23" t="s">
        <v>948</v>
      </c>
      <c r="J12856" s="23" t="s">
        <v>949</v>
      </c>
      <c r="K12856" s="23" t="s">
        <v>950</v>
      </c>
      <c r="L12856" s="4" t="s">
        <v>47</v>
      </c>
    </row>
    <row r="12857" customFormat="false" ht="15" hidden="false" customHeight="false" outlineLevel="0" collapsed="false">
      <c r="A12857" s="1" t="s">
        <v>1080</v>
      </c>
      <c r="B12857" s="0" t="s">
        <v>98</v>
      </c>
      <c r="F12857" s="6" t="n">
        <f aca="false">Sens!F12838</f>
        <v>143.204615124782</v>
      </c>
      <c r="G12857" s="6" t="n">
        <f aca="false">Sens!G12838</f>
        <v>161.749463311647</v>
      </c>
      <c r="H12857" s="6" t="n">
        <f aca="false">Sens!H12838</f>
        <v>189.008437221419</v>
      </c>
      <c r="I12857" s="6" t="n">
        <f aca="false">Sens!I12838</f>
        <v>209.692460303195</v>
      </c>
      <c r="J12857" s="6" t="n">
        <f aca="false">Sens!J12838</f>
        <v>227.629909909389</v>
      </c>
      <c r="K12857" s="6" t="n">
        <f aca="false">Sens!K12838</f>
        <v>243.869064518641</v>
      </c>
    </row>
    <row r="12858" customFormat="false" ht="17.15" hidden="false" customHeight="false" outlineLevel="0" collapsed="false">
      <c r="A12858" s="1" t="s">
        <v>1102</v>
      </c>
      <c r="B12858" s="0" t="s">
        <v>98</v>
      </c>
      <c r="E12858" s="6" t="n">
        <f aca="false">Q!M38-Sens!E12776</f>
        <v>22.2285940229167</v>
      </c>
      <c r="F12858" s="6" t="n">
        <f aca="false">Sens!E12858*(1-1/life_nonai)+(Sens!F12866+Sens!F12867)/life_nonai</f>
        <v>23.580344216413</v>
      </c>
      <c r="G12858" s="6" t="n">
        <f aca="false">Sens!F12858*(1-1/life_nonai)+(Sens!G12866)/life_nonai</f>
        <v>25.3801415764809</v>
      </c>
      <c r="H12858" s="6" t="n">
        <f aca="false">Sens!G12858*(1-1/life_nonai)+(Sens!H12866)/life_nonai</f>
        <v>27.5964639802758</v>
      </c>
      <c r="I12858" s="6" t="n">
        <f aca="false">Sens!H12858*(1-1/life_nonai)+(Sens!I12866)/life_nonai</f>
        <v>30.152940612192</v>
      </c>
      <c r="J12858" s="6" t="n">
        <f aca="false">Sens!I12858*(1-1/life_nonai)+(Sens!J12866)/life_nonai</f>
        <v>32.9575022150393</v>
      </c>
      <c r="K12858" s="6" t="n">
        <f aca="false">Sens!J12858*(1-1/life_nonai)+(Sens!K12866)/life_nonai</f>
        <v>35.9256779798081</v>
      </c>
      <c r="L12858" s="12" t="s">
        <v>1103</v>
      </c>
    </row>
    <row r="12859" customFormat="false" ht="17.15" hidden="false" customHeight="false" outlineLevel="0" collapsed="false">
      <c r="A12859" s="1" t="s">
        <v>1104</v>
      </c>
      <c r="B12859" s="0" t="s">
        <v>98</v>
      </c>
      <c r="F12859" s="6" t="n">
        <f aca="false">Sens!$F$12867/life_nonai*(1-1/life_nonai)^(Sens!F12739-2027)</f>
        <v>0.00475774452575592</v>
      </c>
      <c r="G12859" s="6" t="n">
        <f aca="false">Sens!$F$12867/life_nonai*(1-1/life_nonai)^(Sens!G12739-2027)</f>
        <v>0.00428197007318033</v>
      </c>
      <c r="H12859" s="6" t="n">
        <f aca="false">Sens!$F$12867/life_nonai*(1-1/life_nonai)^(Sens!H12739-2027)</f>
        <v>0.0038537730658623</v>
      </c>
      <c r="I12859" s="6" t="n">
        <f aca="false">Sens!$F$12867/life_nonai*(1-1/life_nonai)^(Sens!I12739-2027)</f>
        <v>0.00346839575927607</v>
      </c>
      <c r="J12859" s="6" t="n">
        <f aca="false">Sens!$F$12867/life_nonai*(1-1/life_nonai)^(Sens!J12739-2027)</f>
        <v>0.00312155618334846</v>
      </c>
      <c r="K12859" s="6" t="n">
        <f aca="false">Sens!$F$12867/life_nonai*(1-1/life_nonai)^(Sens!K12739-2027)</f>
        <v>0.00280940056501362</v>
      </c>
      <c r="L12859" s="1" t="s">
        <v>1105</v>
      </c>
    </row>
    <row r="12860" customFormat="false" ht="17.15" hidden="false" customHeight="false" outlineLevel="0" collapsed="false">
      <c r="A12860" s="1" t="s">
        <v>1106</v>
      </c>
      <c r="B12860" s="0" t="s">
        <v>98</v>
      </c>
      <c r="E12860" s="6" t="n">
        <f aca="false">Sens!E12776+Sens!E12858</f>
        <v>38.534</v>
      </c>
      <c r="F12860" s="6" t="n">
        <f aca="false">Sens!F12776+Sens!F12858</f>
        <v>58.1596586947647</v>
      </c>
      <c r="G12860" s="6" t="n">
        <f aca="false">Sens!G12776+Sens!G12858</f>
        <v>86.1146322287799</v>
      </c>
      <c r="H12860" s="6" t="n">
        <f aca="false">Sens!H12776+Sens!H12858</f>
        <v>116.696554641721</v>
      </c>
      <c r="I12860" s="6" t="n">
        <f aca="false">Sens!I12776+Sens!I12858</f>
        <v>144.38395030674</v>
      </c>
      <c r="J12860" s="6" t="n">
        <f aca="false">Sens!J12776+Sens!J12858</f>
        <v>164.973175264635</v>
      </c>
      <c r="K12860" s="6" t="n">
        <f aca="false">Sens!K12776+Sens!K12858</f>
        <v>178.938347530742</v>
      </c>
    </row>
    <row r="12861" customFormat="false" ht="17.15" hidden="false" customHeight="false" outlineLevel="0" collapsed="false">
      <c r="A12861" s="1" t="s">
        <v>1107</v>
      </c>
      <c r="B12861" s="0" t="s">
        <v>98</v>
      </c>
      <c r="F12861" s="6" t="n">
        <f aca="false">Sens!F12803*sbc_r</f>
        <v>15.0680693022395</v>
      </c>
      <c r="G12861" s="6" t="n">
        <f aca="false">Sens!G12803*sbc_r</f>
        <v>18.3841476633065</v>
      </c>
      <c r="H12861" s="6" t="n">
        <f aca="false">Sens!H12803*sbc_r</f>
        <v>21.9545979838202</v>
      </c>
      <c r="I12861" s="6" t="n">
        <f aca="false">Sens!I12803*sbc_r</f>
        <v>24.9944595349748</v>
      </c>
      <c r="J12861" s="6" t="n">
        <f aca="false">Sens!J12803*sbc_r</f>
        <v>27.4407929753337</v>
      </c>
      <c r="K12861" s="6" t="n">
        <f aca="false">Sens!K12803*sbc_r</f>
        <v>29.3868645070206</v>
      </c>
    </row>
    <row r="12862" customFormat="false" ht="17.15" hidden="false" customHeight="false" outlineLevel="0" collapsed="false">
      <c r="A12862" s="1" t="s">
        <v>1108</v>
      </c>
      <c r="B12862" s="0" t="s">
        <v>98</v>
      </c>
      <c r="F12862" s="6" t="n">
        <f aca="false">wc27-wc26q1</f>
        <v>-4.677</v>
      </c>
      <c r="G12862" s="6" t="n">
        <f aca="false">wc_f</f>
        <v>0</v>
      </c>
      <c r="H12862" s="6" t="n">
        <f aca="false">wc_f</f>
        <v>0</v>
      </c>
      <c r="I12862" s="6" t="n">
        <f aca="false">wc_f</f>
        <v>0</v>
      </c>
      <c r="J12862" s="6" t="n">
        <f aca="false">wc_f</f>
        <v>0</v>
      </c>
      <c r="K12862" s="6" t="n">
        <f aca="false">wc_f</f>
        <v>0</v>
      </c>
      <c r="L12862" s="12" t="s">
        <v>1109</v>
      </c>
    </row>
    <row r="12863" customFormat="false" ht="17.15" hidden="false" customHeight="false" outlineLevel="0" collapsed="false">
      <c r="A12863" s="0" t="s">
        <v>1110</v>
      </c>
      <c r="B12863" s="0" t="s">
        <v>98</v>
      </c>
      <c r="F12863" s="6" t="n">
        <f aca="false">Q!$I$35-Q!$I$26-Q!$I$38-Q!$I$39</f>
        <v>6.493</v>
      </c>
      <c r="L12863" s="1" t="s">
        <v>1111</v>
      </c>
    </row>
    <row r="12864" customFormat="false" ht="15" hidden="false" customHeight="false" outlineLevel="0" collapsed="false">
      <c r="A12864" s="1" t="s">
        <v>908</v>
      </c>
      <c r="B12864" s="0" t="s">
        <v>98</v>
      </c>
      <c r="E12864" s="6" t="n">
        <f aca="false">Q!M35</f>
        <v>182.935</v>
      </c>
      <c r="F12864" s="6" t="n">
        <f aca="false">Sens!F12857+Sens!F12860+Sens!F12861+Sens!F12862+Sens!F12863</f>
        <v>218.248343121786</v>
      </c>
      <c r="G12864" s="6" t="n">
        <f aca="false">Sens!G12857+Sens!G12860+Sens!G12861+Sens!G12862</f>
        <v>266.248243203734</v>
      </c>
      <c r="H12864" s="6" t="n">
        <f aca="false">Sens!H12857+Sens!H12860+Sens!H12861+Sens!H12862</f>
        <v>327.659589846961</v>
      </c>
      <c r="I12864" s="6" t="n">
        <f aca="false">Sens!I12857+Sens!I12860+Sens!I12861+Sens!I12862</f>
        <v>379.07087014491</v>
      </c>
      <c r="J12864" s="6" t="n">
        <f aca="false">Sens!J12857+Sens!J12860+Sens!J12861+Sens!J12862</f>
        <v>420.043878149358</v>
      </c>
      <c r="K12864" s="6" t="n">
        <f aca="false">Sens!K12857+Sens!K12860+Sens!K12861+Sens!K12862</f>
        <v>452.194276556404</v>
      </c>
    </row>
    <row r="12865" customFormat="false" ht="17.15" hidden="false" customHeight="false" outlineLevel="0" collapsed="false">
      <c r="A12865" s="0" t="s">
        <v>1112</v>
      </c>
      <c r="B12865" s="0" t="s">
        <v>98</v>
      </c>
      <c r="F12865" s="6" t="n">
        <f aca="false">Sens!F12773</f>
        <v>168.45390404212</v>
      </c>
      <c r="G12865" s="6" t="n">
        <f aca="false">Sens!G12773</f>
        <v>191.944475649048</v>
      </c>
      <c r="H12865" s="6" t="n">
        <f aca="false">Sens!H12773</f>
        <v>196.806004064512</v>
      </c>
      <c r="I12865" s="6" t="n">
        <f aca="false">Sens!I12773</f>
        <v>168.61483362161</v>
      </c>
      <c r="J12865" s="6" t="n">
        <f aca="false">Sens!J12773</f>
        <v>128.92993119594</v>
      </c>
      <c r="K12865" s="6" t="n">
        <f aca="false">Sens!K12773</f>
        <v>118.962853064733</v>
      </c>
    </row>
    <row r="12866" customFormat="false" ht="17.15" hidden="false" customHeight="false" outlineLevel="0" collapsed="false">
      <c r="A12866" s="1" t="s">
        <v>1113</v>
      </c>
      <c r="B12866" s="0" t="s">
        <v>98</v>
      </c>
      <c r="E12866" s="6" t="n">
        <f aca="false">Sens!E12781*cx_azo+Sens!E12788*cx_m365+Sens!E12789*cx_lic+(Sens!E12791+Sens!E12793)*cx_ind+Sens!E12796*cx_srch+(Sens!E12798+Sens!E12800)*cx_dev</f>
        <v>30.1846587067718</v>
      </c>
      <c r="F12866" s="6" t="n">
        <f aca="false">Sens!F12781*cx_azo+Sens!F12788*cx_m365+Sens!F12789*cx_lic+(Sens!F12791+Sens!F12793)*cx_ind+Sens!F12796*cx_srch+(Sens!F12798+Sens!F12800)*cx_dev</f>
        <v>35.6985185126228</v>
      </c>
      <c r="G12866" s="6" t="n">
        <f aca="false">Sens!G12781*cx_azo+Sens!G12788*cx_m365+Sens!G12789*cx_lic+(Sens!G12791+Sens!G12793)*cx_ind+Sens!G12796*cx_srch+(Sens!G12798+Sens!G12800)*cx_dev</f>
        <v>41.5783178170917</v>
      </c>
      <c r="H12866" s="6" t="n">
        <f aca="false">Sens!H12781*cx_azo+Sens!H12788*cx_m365+Sens!H12789*cx_lic+(Sens!H12791+Sens!H12793)*cx_ind+Sens!H12796*cx_srch+(Sens!H12798+Sens!H12800)*cx_dev</f>
        <v>47.5433656144293</v>
      </c>
      <c r="I12866" s="6" t="n">
        <f aca="false">Sens!I12781*cx_azo+Sens!I12788*cx_m365+Sens!I12789*cx_lic+(Sens!I12791+Sens!I12793)*cx_ind+Sens!I12796*cx_srch+(Sens!I12798+Sens!I12800)*cx_dev</f>
        <v>53.1612302994382</v>
      </c>
      <c r="J12866" s="6" t="n">
        <f aca="false">Sens!J12781*cx_azo+Sens!J12788*cx_m365+Sens!J12789*cx_lic+(Sens!J12791+Sens!J12793)*cx_ind+Sens!J12796*cx_srch+(Sens!J12798+Sens!J12800)*cx_dev</f>
        <v>58.1985566406647</v>
      </c>
      <c r="K12866" s="6" t="n">
        <f aca="false">Sens!K12781*cx_azo+Sens!K12788*cx_m365+Sens!K12789*cx_lic+(Sens!K12791+Sens!K12793)*cx_ind+Sens!K12796*cx_srch+(Sens!K12798+Sens!K12800)*cx_dev</f>
        <v>62.6392598627275</v>
      </c>
    </row>
    <row r="12867" customFormat="false" ht="17.15" hidden="false" customHeight="false" outlineLevel="0" collapsed="false">
      <c r="A12867" s="0" t="s">
        <v>1114</v>
      </c>
      <c r="B12867" s="0" t="s">
        <v>98</v>
      </c>
      <c r="F12867" s="6" t="n">
        <f aca="false">Sens!F12771</f>
        <v>0.0475774452575593</v>
      </c>
      <c r="L12867" s="1" t="s">
        <v>1115</v>
      </c>
    </row>
    <row r="12868" customFormat="false" ht="17.15" hidden="false" customHeight="false" outlineLevel="0" collapsed="false">
      <c r="A12868" s="1" t="s">
        <v>1116</v>
      </c>
      <c r="B12868" s="0" t="s">
        <v>98</v>
      </c>
      <c r="E12868" s="6" t="n">
        <f aca="false">Q!M43</f>
        <v>145.3</v>
      </c>
      <c r="F12868" s="6" t="n">
        <f aca="false">Sens!F12865+Sens!F12866+Sens!F12867</f>
        <v>204.2</v>
      </c>
      <c r="G12868" s="6" t="n">
        <f aca="false">Sens!G12865+Sens!G12866</f>
        <v>233.52279346614</v>
      </c>
      <c r="H12868" s="6" t="n">
        <f aca="false">Sens!H12865+Sens!H12866</f>
        <v>244.349369678942</v>
      </c>
      <c r="I12868" s="6" t="n">
        <f aca="false">Sens!I12865+Sens!I12866</f>
        <v>221.776063921049</v>
      </c>
      <c r="J12868" s="6" t="n">
        <f aca="false">Sens!J12865+Sens!J12866</f>
        <v>187.128487836605</v>
      </c>
      <c r="K12868" s="6" t="n">
        <f aca="false">Sens!K12865+Sens!K12866</f>
        <v>181.60211292746</v>
      </c>
      <c r="L12868" s="1" t="s">
        <v>1117</v>
      </c>
    </row>
    <row r="12869" customFormat="false" ht="15" hidden="false" customHeight="false" outlineLevel="0" collapsed="false">
      <c r="A12869" s="1" t="s">
        <v>1118</v>
      </c>
      <c r="B12869" s="0" t="s">
        <v>98</v>
      </c>
      <c r="E12869" s="6" t="n">
        <f aca="false">fl_liab</f>
        <v>66.594</v>
      </c>
      <c r="F12869" s="6" t="n">
        <f aca="false">Sens!E12869-Sens!F12870</f>
        <v>62.46973</v>
      </c>
      <c r="G12869" s="6" t="n">
        <f aca="false">Sens!F12869-Sens!G12870</f>
        <v>57.98686785</v>
      </c>
      <c r="H12869" s="6" t="n">
        <f aca="false">Sens!G12869-Sens!H12870</f>
        <v>53.92827690325</v>
      </c>
      <c r="I12869" s="6" t="n">
        <f aca="false">Sens!H12869-Sens!I12870</f>
        <v>49.7850493638962</v>
      </c>
      <c r="J12869" s="6" t="n">
        <f aca="false">Sens!I12869-Sens!J12870</f>
        <v>45.4823765852716</v>
      </c>
      <c r="K12869" s="6" t="n">
        <f aca="false">Sens!J12869-Sens!K12870</f>
        <v>40.9860835316088</v>
      </c>
    </row>
    <row r="12870" customFormat="false" ht="15" hidden="false" customHeight="false" outlineLevel="0" collapsed="false">
      <c r="A12870" s="1" t="s">
        <v>1119</v>
      </c>
      <c r="B12870" s="0" t="s">
        <v>98</v>
      </c>
      <c r="F12870" s="6" t="n">
        <f aca="false">fl_pay_27-Sens!E12869*fl_rate</f>
        <v>4.12427</v>
      </c>
      <c r="G12870" s="6" t="n">
        <f aca="false">fl_pay_28-Sens!F12869*fl_rate</f>
        <v>4.48286215</v>
      </c>
      <c r="H12870" s="6" t="n">
        <f aca="false">fl_pay_29-Sens!G12869*fl_rate</f>
        <v>4.05859094675</v>
      </c>
      <c r="I12870" s="6" t="n">
        <f aca="false">fl_pay_30-Sens!H12869*fl_rate</f>
        <v>4.14322753935375</v>
      </c>
      <c r="J12870" s="6" t="n">
        <f aca="false">fl_pay_31-Sens!I12869*fl_rate</f>
        <v>4.30267277862467</v>
      </c>
      <c r="K12870" s="6" t="n">
        <f aca="false">fl_pay_32-Sens!J12869*fl_rate</f>
        <v>4.49629305366278</v>
      </c>
    </row>
    <row r="12871" customFormat="false" ht="17.15" hidden="false" customHeight="false" outlineLevel="0" collapsed="false">
      <c r="A12871" s="1" t="s">
        <v>1120</v>
      </c>
      <c r="B12871" s="0" t="s">
        <v>98</v>
      </c>
      <c r="E12871" s="6" t="n">
        <f aca="false">Q!M35-Q!M36-Q!M44</f>
        <v>63.886</v>
      </c>
      <c r="F12871" s="6" t="n">
        <f aca="false">Sens!F12864-Sens!F12868-Sens!F12870</f>
        <v>9.92407312178596</v>
      </c>
      <c r="G12871" s="6" t="n">
        <f aca="false">Sens!G12864-Sens!G12868-Sens!G12870</f>
        <v>28.2425875875938</v>
      </c>
      <c r="H12871" s="6" t="n">
        <f aca="false">Sens!H12864-Sens!H12868-Sens!H12870</f>
        <v>79.2516292212694</v>
      </c>
      <c r="I12871" s="6" t="n">
        <f aca="false">Sens!I12864-Sens!I12868-Sens!I12870</f>
        <v>153.151578684508</v>
      </c>
      <c r="J12871" s="6" t="n">
        <f aca="false">Sens!J12864-Sens!J12868-Sens!J12870</f>
        <v>228.612717534129</v>
      </c>
      <c r="K12871" s="6" t="n">
        <f aca="false">Sens!K12864-Sens!K12868-Sens!K12870</f>
        <v>266.095870575281</v>
      </c>
      <c r="L12871" s="12" t="s">
        <v>1121</v>
      </c>
    </row>
    <row r="12872" customFormat="false" ht="15" hidden="false" customHeight="false" outlineLevel="0" collapsed="false">
      <c r="A12872" s="1" t="s">
        <v>1122</v>
      </c>
      <c r="B12872" s="0" t="s">
        <v>75</v>
      </c>
      <c r="F12872" s="8" t="n">
        <f aca="false">dps_27</f>
        <v>3.85</v>
      </c>
      <c r="G12872" s="8" t="n">
        <f aca="false">Sens!F12872*(1+dps_g)</f>
        <v>4.158</v>
      </c>
      <c r="H12872" s="8" t="n">
        <f aca="false">Sens!G12872*(1+dps_g)</f>
        <v>4.49064</v>
      </c>
      <c r="I12872" s="8" t="n">
        <f aca="false">Sens!H12872*(1+dps_g)</f>
        <v>4.8498912</v>
      </c>
      <c r="J12872" s="8" t="n">
        <f aca="false">Sens!I12872*(1+dps_g)</f>
        <v>5.237882496</v>
      </c>
      <c r="K12872" s="8" t="n">
        <f aca="false">Sens!J12872*(1+dps_g)</f>
        <v>5.65691309568</v>
      </c>
    </row>
    <row r="12873" customFormat="false" ht="17.15" hidden="false" customHeight="false" outlineLevel="0" collapsed="false">
      <c r="A12873" s="1" t="s">
        <v>1123</v>
      </c>
      <c r="B12873" s="0" t="s">
        <v>98</v>
      </c>
      <c r="E12873" s="6" t="n">
        <f aca="false">Q!M41</f>
        <v>26.445</v>
      </c>
      <c r="F12873" s="6" t="n">
        <f aca="false">Sens!F12872*Sens!E12882</f>
        <v>28.59395</v>
      </c>
      <c r="G12873" s="6" t="n">
        <f aca="false">Sens!G12872*Sens!F12882</f>
        <v>31.068576</v>
      </c>
      <c r="H12873" s="6" t="n">
        <f aca="false">Sens!H12872*Sens!G12882</f>
        <v>33.75614088</v>
      </c>
      <c r="I12873" s="6" t="n">
        <f aca="false">Sens!I12872*Sens!H12882</f>
        <v>36.5070704274727</v>
      </c>
      <c r="J12873" s="6" t="n">
        <f aca="false">Sens!J12872*Sens!I12882</f>
        <v>39.4955339470631</v>
      </c>
      <c r="K12873" s="6" t="n">
        <f aca="false">Sens!K12872*Sens!J12882</f>
        <v>42.7419309252064</v>
      </c>
      <c r="L12873" s="1" t="s">
        <v>1124</v>
      </c>
    </row>
    <row r="12874" customFormat="false" ht="15" hidden="false" customHeight="false" outlineLevel="0" collapsed="false">
      <c r="A12874" s="1" t="s">
        <v>1125</v>
      </c>
      <c r="B12874" s="0" t="s">
        <v>98</v>
      </c>
      <c r="E12874" s="6" t="n">
        <f aca="false">Sens!E12871-Sens!E12873</f>
        <v>37.441</v>
      </c>
      <c r="F12874" s="6" t="n">
        <f aca="false">Sens!F12871-Sens!F12873</f>
        <v>-18.669876878214</v>
      </c>
      <c r="G12874" s="6" t="n">
        <f aca="false">Sens!G12871-Sens!G12873</f>
        <v>-2.82598841240619</v>
      </c>
      <c r="H12874" s="6" t="n">
        <f aca="false">Sens!H12871-Sens!H12873</f>
        <v>45.4954883412694</v>
      </c>
      <c r="I12874" s="6" t="n">
        <f aca="false">Sens!I12871-Sens!I12873</f>
        <v>116.644508257035</v>
      </c>
      <c r="J12874" s="6" t="n">
        <f aca="false">Sens!J12871-Sens!J12873</f>
        <v>189.117183587066</v>
      </c>
      <c r="K12874" s="6" t="n">
        <f aca="false">Sens!K12871-Sens!K12873</f>
        <v>223.353939650074</v>
      </c>
    </row>
    <row r="12875" customFormat="false" ht="15" hidden="false" customHeight="false" outlineLevel="0" collapsed="false">
      <c r="A12875" s="1" t="s">
        <v>1126</v>
      </c>
      <c r="B12875" s="0" t="s">
        <v>98</v>
      </c>
      <c r="F12875" s="6" t="n">
        <f aca="false">debt_mat_27</f>
        <v>9.25</v>
      </c>
      <c r="G12875" s="6" t="n">
        <f aca="false">debt_mat_28</f>
        <v>0</v>
      </c>
      <c r="H12875" s="6" t="n">
        <f aca="false">debt_mat_29</f>
        <v>2.001</v>
      </c>
      <c r="I12875" s="6" t="n">
        <f aca="false">debt_mat_30</f>
        <v>0</v>
      </c>
      <c r="J12875" s="6" t="n">
        <f aca="false">debt_mat_31</f>
        <v>0.5</v>
      </c>
      <c r="K12875" s="6" t="n">
        <f aca="false">debt_mat_32</f>
        <v>0</v>
      </c>
    </row>
    <row r="12876" customFormat="false" ht="15" hidden="false" customHeight="false" outlineLevel="0" collapsed="false">
      <c r="A12876" s="1" t="s">
        <v>1127</v>
      </c>
      <c r="B12876" s="0" t="s">
        <v>98</v>
      </c>
      <c r="E12876" s="6" t="n">
        <f aca="false">Q!M40</f>
        <v>22.271</v>
      </c>
      <c r="F12876" s="6" t="n">
        <f aca="false">MAX(0,MIN(bb_target,Sens!E12878+Sens!F12874-Sens!F12875-min_cash))</f>
        <v>0</v>
      </c>
      <c r="G12876" s="6" t="n">
        <f aca="false">MAX(0,MIN(bb_target,Sens!F12878+Sens!G12874-Sens!G12875-min_cash))</f>
        <v>0</v>
      </c>
      <c r="H12876" s="6" t="n">
        <f aca="false">MAX(0,MIN(bb_target,Sens!G12878+Sens!H12874-Sens!H12875-min_cash))</f>
        <v>22.271</v>
      </c>
      <c r="I12876" s="6" t="n">
        <f aca="false">MAX(0,MIN(bb_target,Sens!H12878+Sens!I12874-Sens!I12875-min_cash))</f>
        <v>22.271</v>
      </c>
      <c r="J12876" s="6" t="n">
        <f aca="false">MAX(0,MIN(bb_target,Sens!I12878+Sens!J12874-Sens!J12875-min_cash))</f>
        <v>22.271</v>
      </c>
      <c r="K12876" s="6" t="n">
        <f aca="false">MAX(0,MIN(bb_target,Sens!J12878+Sens!K12874-Sens!K12875-min_cash))</f>
        <v>22.271</v>
      </c>
    </row>
    <row r="12877" customFormat="false" ht="15" hidden="false" customHeight="false" outlineLevel="0" collapsed="false">
      <c r="A12877" s="1" t="s">
        <v>1128</v>
      </c>
      <c r="B12877" s="0" t="s">
        <v>98</v>
      </c>
      <c r="F12877" s="6" t="n">
        <f aca="false">MAX(0,min_cash-(Sens!E12878+Sens!F12874-Sens!F12875-Sens!F12876))</f>
        <v>1.07687687821404</v>
      </c>
      <c r="G12877" s="6" t="n">
        <f aca="false">MAX(0,min_cash-(Sens!F12878+Sens!G12874-Sens!G12875-Sens!G12876))</f>
        <v>2.82598841240619</v>
      </c>
      <c r="H12877" s="6" t="n">
        <f aca="false">MAX(0,min_cash-(Sens!G12878+Sens!H12874-Sens!H12875-Sens!H12876))</f>
        <v>0</v>
      </c>
      <c r="I12877" s="6" t="n">
        <f aca="false">MAX(0,min_cash-(Sens!H12878+Sens!I12874-Sens!I12875-Sens!I12876))</f>
        <v>0</v>
      </c>
      <c r="J12877" s="6" t="n">
        <f aca="false">MAX(0,min_cash-(Sens!I12878+Sens!J12874-Sens!J12875-Sens!J12876))</f>
        <v>0</v>
      </c>
      <c r="K12877" s="6" t="n">
        <f aca="false">MAX(0,min_cash-(Sens!J12878+Sens!K12874-Sens!K12875-Sens!K12876))</f>
        <v>0</v>
      </c>
    </row>
    <row r="12878" customFormat="false" ht="15" hidden="false" customHeight="false" outlineLevel="0" collapsed="false">
      <c r="A12878" s="1" t="s">
        <v>1129</v>
      </c>
      <c r="B12878" s="0" t="s">
        <v>98</v>
      </c>
      <c r="E12878" s="6" t="n">
        <f aca="false">cash_open</f>
        <v>76.843</v>
      </c>
      <c r="F12878" s="6" t="n">
        <f aca="false">Sens!E12878+Sens!F12874-Sens!F12875-Sens!F12876+Sens!F12877</f>
        <v>50</v>
      </c>
      <c r="G12878" s="6" t="n">
        <f aca="false">Sens!F12878+Sens!G12874-Sens!G12875-Sens!G12876+Sens!G12877</f>
        <v>50</v>
      </c>
      <c r="H12878" s="6" t="n">
        <f aca="false">Sens!G12878+Sens!H12874-Sens!H12875-Sens!H12876+Sens!H12877</f>
        <v>71.2234883412693</v>
      </c>
      <c r="I12878" s="6" t="n">
        <f aca="false">Sens!H12878+Sens!I12874-Sens!I12875-Sens!I12876+Sens!I12877</f>
        <v>165.596996598304</v>
      </c>
      <c r="J12878" s="6" t="n">
        <f aca="false">Sens!I12878+Sens!J12874-Sens!J12875-Sens!J12876+Sens!J12877</f>
        <v>331.94318018537</v>
      </c>
      <c r="K12878" s="6" t="n">
        <f aca="false">Sens!J12878+Sens!K12874-Sens!K12875-Sens!K12876+Sens!K12877</f>
        <v>533.026119835444</v>
      </c>
    </row>
    <row r="12879" customFormat="false" ht="15" hidden="false" customHeight="false" outlineLevel="0" collapsed="false">
      <c r="A12879" s="1" t="s">
        <v>1130</v>
      </c>
      <c r="B12879" s="0" t="s">
        <v>98</v>
      </c>
      <c r="E12879" s="6" t="n">
        <f aca="false">debt_face</f>
        <v>46.136</v>
      </c>
      <c r="F12879" s="6" t="n">
        <f aca="false">Sens!E12879-Sens!F12875+Sens!F12877</f>
        <v>37.962876878214</v>
      </c>
      <c r="G12879" s="6" t="n">
        <f aca="false">Sens!F12879-Sens!G12875+Sens!G12877</f>
        <v>40.7888652906202</v>
      </c>
      <c r="H12879" s="6" t="n">
        <f aca="false">Sens!G12879-Sens!H12875+Sens!H12877</f>
        <v>38.7878652906202</v>
      </c>
      <c r="I12879" s="6" t="n">
        <f aca="false">Sens!H12879-Sens!I12875+Sens!I12877</f>
        <v>38.7878652906202</v>
      </c>
      <c r="J12879" s="6" t="n">
        <f aca="false">Sens!I12879-Sens!J12875+Sens!J12877</f>
        <v>38.2878652906202</v>
      </c>
      <c r="K12879" s="6" t="n">
        <f aca="false">Sens!J12879-Sens!K12875+Sens!K12877</f>
        <v>38.2878652906202</v>
      </c>
    </row>
    <row r="12880" customFormat="false" ht="15" hidden="false" customHeight="false" outlineLevel="0" collapsed="false">
      <c r="A12880" s="1" t="s">
        <v>1131</v>
      </c>
      <c r="B12880" s="0" t="s">
        <v>98</v>
      </c>
      <c r="E12880" s="6" t="n">
        <f aca="false">Sens!E12878-Sens!E12879</f>
        <v>30.707</v>
      </c>
      <c r="F12880" s="6" t="n">
        <f aca="false">Sens!F12878-Sens!F12879</f>
        <v>12.037123121786</v>
      </c>
      <c r="G12880" s="6" t="n">
        <f aca="false">Sens!G12878-Sens!G12879</f>
        <v>9.21113470937977</v>
      </c>
      <c r="H12880" s="6" t="n">
        <f aca="false">Sens!H12878-Sens!H12879</f>
        <v>32.4356230506491</v>
      </c>
      <c r="I12880" s="6" t="n">
        <f aca="false">Sens!I12878-Sens!I12879</f>
        <v>126.809131307684</v>
      </c>
      <c r="J12880" s="6" t="n">
        <f aca="false">Sens!J12878-Sens!J12879</f>
        <v>293.65531489475</v>
      </c>
      <c r="K12880" s="6" t="n">
        <f aca="false">Sens!K12878-Sens!K12879</f>
        <v>494.738254544824</v>
      </c>
    </row>
    <row r="12881" customFormat="false" ht="15" hidden="false" customHeight="false" outlineLevel="0" collapsed="false">
      <c r="A12881" s="1" t="s">
        <v>1132</v>
      </c>
      <c r="B12881" s="0" t="s">
        <v>75</v>
      </c>
      <c r="F12881" s="30" t="n">
        <f aca="false">px*(1+bb_g)^(Sens!F12739-base_fy-mid_yr)</f>
        <v>551.84177959629</v>
      </c>
      <c r="G12881" s="30" t="n">
        <f aca="false">px*(1+bb_g)^(Sens!G12739-base_fy-mid_yr)</f>
        <v>595.989121963993</v>
      </c>
      <c r="H12881" s="30" t="n">
        <f aca="false">px*(1+bb_g)^(Sens!H12739-base_fy-mid_yr)</f>
        <v>643.668251721112</v>
      </c>
      <c r="I12881" s="30" t="n">
        <f aca="false">px*(1+bb_g)^(Sens!I12739-base_fy-mid_yr)</f>
        <v>695.161711858801</v>
      </c>
      <c r="J12881" s="30" t="n">
        <f aca="false">px*(1+bb_g)^(Sens!J12739-base_fy-mid_yr)</f>
        <v>750.774648807506</v>
      </c>
      <c r="K12881" s="30" t="n">
        <f aca="false">px*(1+bb_g)^(Sens!K12739-base_fy-mid_yr)</f>
        <v>810.836620712106</v>
      </c>
    </row>
    <row r="12882" customFormat="false" ht="15" hidden="false" customHeight="false" outlineLevel="0" collapsed="false">
      <c r="A12882" s="1" t="s">
        <v>1133</v>
      </c>
      <c r="B12882" s="1" t="s">
        <v>81</v>
      </c>
      <c r="E12882" s="15" t="n">
        <f aca="false">sh_out26</f>
        <v>7.427</v>
      </c>
      <c r="F12882" s="15" t="n">
        <f aca="false">Sens!E12882+sh_iss-Sens!F12876/Sens!F12881</f>
        <v>7.472</v>
      </c>
      <c r="G12882" s="15" t="n">
        <f aca="false">Sens!F12882+sh_iss-Sens!G12876/Sens!G12881</f>
        <v>7.517</v>
      </c>
      <c r="H12882" s="15" t="n">
        <f aca="false">Sens!G12882+sh_iss-Sens!H12876/Sens!H12881</f>
        <v>7.5273998780576</v>
      </c>
      <c r="I12882" s="15" t="n">
        <f aca="false">Sens!H12882+sh_iss-Sens!I12876/Sens!I12881</f>
        <v>7.54036272811094</v>
      </c>
      <c r="J12882" s="15" t="n">
        <f aca="false">Sens!I12882+sh_iss-Sens!J12876/Sens!J12881</f>
        <v>7.55569870038255</v>
      </c>
      <c r="K12882" s="15" t="n">
        <f aca="false">Sens!J12882+sh_iss-Sens!K12876/Sens!K12881</f>
        <v>7.57323200804144</v>
      </c>
    </row>
    <row r="12883" customFormat="false" ht="15" hidden="false" customHeight="false" outlineLevel="0" collapsed="false">
      <c r="A12883" s="1" t="s">
        <v>1134</v>
      </c>
      <c r="B12883" s="1" t="s">
        <v>81</v>
      </c>
      <c r="E12883" s="15" t="n">
        <f aca="false">sh_dil26</f>
        <v>7.453</v>
      </c>
      <c r="F12883" s="15" t="n">
        <f aca="false">(Sens!E12882+Sens!F12882)/2+dil_gap</f>
        <v>7.4735</v>
      </c>
      <c r="G12883" s="15" t="n">
        <f aca="false">(Sens!F12882+Sens!G12882)/2+dil_gap</f>
        <v>7.5185</v>
      </c>
      <c r="H12883" s="15" t="n">
        <f aca="false">(Sens!G12882+Sens!H12882)/2+dil_gap</f>
        <v>7.5461999390288</v>
      </c>
      <c r="I12883" s="15" t="n">
        <f aca="false">(Sens!H12882+Sens!I12882)/2+dil_gap</f>
        <v>7.55788130308427</v>
      </c>
      <c r="J12883" s="15" t="n">
        <f aca="false">(Sens!I12882+Sens!J12882)/2+dil_gap</f>
        <v>7.57203071424674</v>
      </c>
      <c r="K12883" s="15" t="n">
        <f aca="false">(Sens!J12882+Sens!K12882)/2+dil_gap</f>
        <v>7.58846535421199</v>
      </c>
    </row>
    <row r="12884" customFormat="false" ht="17.15" hidden="false" customHeight="false" outlineLevel="0" collapsed="false">
      <c r="A12884" s="1" t="s">
        <v>1135</v>
      </c>
      <c r="B12884" s="0" t="s">
        <v>98</v>
      </c>
      <c r="C12884" s="6" t="n">
        <f aca="false">SUM(Sens!F12874:J12874)</f>
        <v>329.76131489475</v>
      </c>
    </row>
    <row r="12885" customFormat="false" ht="15" hidden="false" customHeight="false" outlineLevel="0" collapsed="false">
      <c r="A12885" s="26" t="s">
        <v>1100</v>
      </c>
      <c r="B12885" s="31" t="s">
        <v>98</v>
      </c>
      <c r="C12885" s="27" t="n">
        <f aca="false">Sens!$C$12884-(Sens!F12874+Sens!G12874+Sens!H12874+Sens!I12874+Sens!J12874)</f>
        <v>0</v>
      </c>
      <c r="D12885" s="31"/>
      <c r="E12885" s="31"/>
      <c r="F12885" s="31"/>
      <c r="G12885" s="31"/>
      <c r="H12885" s="31"/>
      <c r="I12885" s="31"/>
      <c r="J12885" s="31"/>
      <c r="K12885" s="31"/>
    </row>
    <row r="12886" customFormat="false" ht="17.15" hidden="false" customHeight="false" outlineLevel="0" collapsed="false">
      <c r="A12886" s="1" t="s">
        <v>1094</v>
      </c>
      <c r="B12886" s="1" t="s">
        <v>1136</v>
      </c>
      <c r="C12886" s="33" t="str">
        <f aca="false">IF(SUM(Sens!F12877:J12877)&gt;0.05,"需要舉債 "&amp;TEXT(SUM(Sens!F12877:J12877),"0.0")&amp;" 十億美元","不需舉債")&amp;"；"&amp;IF(SUM(Sens!F12876:J12876)&lt;COUNT(Sens!F12876:J12876)*bb_target-0.05,"回購較每年 "&amp;TEXT(bb_target,"0.0")&amp;" 的目標少 "&amp;TEXT(COUNT(Sens!F12876:J12876)*bb_target-SUM(Sens!F12876:J12876),"0.0")&amp;" 十億美元（"&amp;TEXT(COUNTIF(Sens!F12876:J12876,"&lt;"&amp;(bb_target-0.05)),"0")&amp;" 年減少）","回購不減")</f>
        <v>需要舉債 3.9 十億美元；回購較每年 22.3 的目標少 44.5 十億美元（2 年減少）</v>
      </c>
    </row>
    <row r="12887" customFormat="false" ht="17.15" hidden="false" customHeight="false" outlineLevel="0" collapsed="false">
      <c r="A12887" s="3" t="s">
        <v>1934</v>
      </c>
    </row>
    <row r="12888" customFormat="false" ht="15" hidden="false" customHeight="false" outlineLevel="0" collapsed="false">
      <c r="A12888" s="4" t="s">
        <v>43</v>
      </c>
      <c r="B12888" s="4" t="s">
        <v>65</v>
      </c>
      <c r="C12888" s="23" t="s">
        <v>942</v>
      </c>
      <c r="D12888" s="23" t="s">
        <v>943</v>
      </c>
      <c r="E12888" s="23" t="s">
        <v>944</v>
      </c>
      <c r="F12888" s="23" t="s">
        <v>945</v>
      </c>
      <c r="G12888" s="23" t="s">
        <v>946</v>
      </c>
      <c r="H12888" s="23" t="s">
        <v>947</v>
      </c>
      <c r="I12888" s="23" t="s">
        <v>948</v>
      </c>
      <c r="J12888" s="23" t="s">
        <v>949</v>
      </c>
      <c r="K12888" s="23" t="s">
        <v>950</v>
      </c>
      <c r="L12888" s="4" t="s">
        <v>47</v>
      </c>
    </row>
    <row r="12889" customFormat="false" ht="17.15" hidden="false" customHeight="false" outlineLevel="0" collapsed="false">
      <c r="A12889" s="1" t="s">
        <v>1216</v>
      </c>
      <c r="B12889" s="1" t="s">
        <v>279</v>
      </c>
      <c r="F12889" s="8" t="n">
        <f aca="false">(1-v_off)*mid_yr</f>
        <v>0.373972602739726</v>
      </c>
      <c r="G12889" s="8" t="n">
        <f aca="false">Sens!G12739-base_fy-mid_yr-v_off</f>
        <v>1.24794520547945</v>
      </c>
      <c r="H12889" s="8" t="n">
        <f aca="false">Sens!H12739-base_fy-mid_yr-v_off</f>
        <v>2.24794520547945</v>
      </c>
      <c r="I12889" s="8" t="n">
        <f aca="false">Sens!I12739-base_fy-mid_yr-v_off</f>
        <v>3.24794520547945</v>
      </c>
      <c r="J12889" s="8" t="n">
        <f aca="false">Sens!J12739-base_fy-mid_yr-v_off</f>
        <v>4.24794520547945</v>
      </c>
      <c r="K12889" s="8" t="n">
        <f aca="false">Sens!K12739-base_fy-mid_yr-v_off</f>
        <v>5.24794520547945</v>
      </c>
      <c r="L12889" s="12" t="s">
        <v>1217</v>
      </c>
    </row>
    <row r="12890" customFormat="false" ht="15" hidden="false" customHeight="false" outlineLevel="0" collapsed="false">
      <c r="A12890" s="1" t="s">
        <v>1218</v>
      </c>
      <c r="B12890" s="1" t="s">
        <v>279</v>
      </c>
      <c r="F12890" s="8" t="n">
        <f aca="false">Sens!F12739-base_fy-v_off</f>
        <v>0.747945205479452</v>
      </c>
      <c r="G12890" s="8" t="n">
        <f aca="false">Sens!G12739-base_fy-v_off</f>
        <v>1.74794520547945</v>
      </c>
      <c r="H12890" s="8" t="n">
        <f aca="false">Sens!H12739-base_fy-v_off</f>
        <v>2.74794520547945</v>
      </c>
      <c r="I12890" s="8" t="n">
        <f aca="false">Sens!I12739-base_fy-v_off</f>
        <v>3.74794520547945</v>
      </c>
      <c r="J12890" s="8" t="n">
        <f aca="false">Sens!J12739-base_fy-v_off</f>
        <v>4.74794520547945</v>
      </c>
      <c r="K12890" s="8" t="n">
        <f aca="false">Sens!K12739-base_fy-v_off</f>
        <v>5.74794520547945</v>
      </c>
    </row>
    <row r="12891" customFormat="false" ht="15" hidden="false" customHeight="false" outlineLevel="0" collapsed="false">
      <c r="A12891" s="1" t="s">
        <v>1219</v>
      </c>
      <c r="B12891" s="0" t="s">
        <v>229</v>
      </c>
      <c r="F12891" s="15" t="n">
        <f aca="false">1/(1+wacc)^Sens!F12889</f>
        <v>0.964022703286649</v>
      </c>
      <c r="G12891" s="15" t="n">
        <f aca="false">1/(1+wacc)^Sens!G12889</f>
        <v>0.884910302296739</v>
      </c>
      <c r="H12891" s="15" t="n">
        <f aca="false">1/(1+wacc)^Sens!H12889</f>
        <v>0.802322009770358</v>
      </c>
      <c r="I12891" s="15" t="n">
        <f aca="false">1/(1+wacc)^Sens!I12889</f>
        <v>0.727441646561469</v>
      </c>
      <c r="J12891" s="15" t="n">
        <f aca="false">1/(1+wacc)^Sens!J12889</f>
        <v>0.659549834988973</v>
      </c>
      <c r="K12891" s="15" t="n">
        <f aca="false">1/(1+wacc)^Sens!K12889</f>
        <v>0.597994336576966</v>
      </c>
    </row>
    <row r="12892" customFormat="false" ht="17.15" hidden="false" customHeight="false" outlineLevel="0" collapsed="false">
      <c r="A12892" s="1" t="s">
        <v>1220</v>
      </c>
      <c r="B12892" s="0" t="s">
        <v>98</v>
      </c>
      <c r="F12892" s="6" t="n">
        <f aca="false">Q!$I$35-Q!$I$39-Q!$I$43</f>
        <v>9.666</v>
      </c>
      <c r="L12892" s="12" t="s">
        <v>1221</v>
      </c>
    </row>
    <row r="12893" customFormat="false" ht="17.15" hidden="false" customHeight="false" outlineLevel="0" collapsed="false">
      <c r="A12893" s="1" t="s">
        <v>1222</v>
      </c>
      <c r="B12893" s="0" t="s">
        <v>98</v>
      </c>
      <c r="F12893" s="6" t="n">
        <f aca="false">Sens!F12864-Sens!F12861-Sens!F12868+Sens!F12846*(1-tax_f)*(1-v_off)-Sens!F12892</f>
        <v>-5.27155622654598</v>
      </c>
      <c r="G12893" s="6" t="n">
        <f aca="false">Sens!G12864-Sens!G12861-Sens!G12868+Sens!G12846*(1-tax_f)</f>
        <v>32.7821264879092</v>
      </c>
      <c r="H12893" s="6" t="n">
        <f aca="false">Sens!H12864-Sens!H12861-Sens!H12868+Sens!H12846*(1-tax_f)</f>
        <v>92.1770983747652</v>
      </c>
      <c r="I12893" s="6" t="n">
        <f aca="false">Sens!I12864-Sens!I12861-Sens!I12868+Sens!I12846*(1-tax_f)</f>
        <v>174.538834265301</v>
      </c>
      <c r="J12893" s="6" t="n">
        <f aca="false">Sens!J12864-Sens!J12861-Sens!J12868+Sens!J12846*(1-tax_f)</f>
        <v>255.722262852171</v>
      </c>
      <c r="K12893" s="6" t="n">
        <f aca="false">Sens!K12864-Sens!K12861-Sens!K12868+Sens!K12846*(1-tax_f)</f>
        <v>295.541404138424</v>
      </c>
      <c r="L12893" s="1" t="s">
        <v>1223</v>
      </c>
    </row>
    <row r="12894" customFormat="false" ht="15" hidden="false" customHeight="false" outlineLevel="0" collapsed="false">
      <c r="A12894" s="1" t="s">
        <v>1224</v>
      </c>
      <c r="B12894" s="0" t="s">
        <v>98</v>
      </c>
      <c r="F12894" s="6" t="n">
        <f aca="false">Sens!F12893*Sens!F12891</f>
        <v>-5.08189988404242</v>
      </c>
      <c r="G12894" s="6" t="n">
        <f aca="false">Sens!G12893*Sens!G12891</f>
        <v>29.0092414603457</v>
      </c>
      <c r="H12894" s="6" t="n">
        <f aca="false">Sens!H12893*Sens!H12891</f>
        <v>73.9557148228416</v>
      </c>
      <c r="I12894" s="6" t="n">
        <f aca="false">Sens!I12893*Sens!I12891</f>
        <v>126.96681698687</v>
      </c>
      <c r="J12894" s="6" t="n">
        <f aca="false">Sens!J12893*Sens!J12891</f>
        <v>168.661576267156</v>
      </c>
      <c r="K12894" s="6" t="n">
        <f aca="false">Sens!K12893*Sens!K12891</f>
        <v>176.732085898782</v>
      </c>
    </row>
    <row r="12895" customFormat="false" ht="17.15" hidden="false" customHeight="false" outlineLevel="0" collapsed="false">
      <c r="A12895" s="1" t="s">
        <v>1225</v>
      </c>
      <c r="B12895" s="0" t="s">
        <v>98</v>
      </c>
      <c r="C12895" s="6" t="n">
        <f aca="false">SUM(Sens!F12894:K12894)</f>
        <v>570.243535551952</v>
      </c>
    </row>
    <row r="12896" customFormat="false" ht="17.15" hidden="false" customHeight="false" outlineLevel="0" collapsed="false">
      <c r="A12896" s="1" t="s">
        <v>1226</v>
      </c>
      <c r="B12896" s="0" t="s">
        <v>98</v>
      </c>
      <c r="C12896" s="6" t="n">
        <f aca="false">Sens!K12832*(1+g_tv)*(1-tax_f)</f>
        <v>308.140124621196</v>
      </c>
    </row>
    <row r="12897" customFormat="false" ht="17.15" hidden="false" customHeight="false" outlineLevel="0" collapsed="false">
      <c r="A12897" s="1" t="s">
        <v>1227</v>
      </c>
      <c r="B12897" s="0" t="s">
        <v>98</v>
      </c>
      <c r="C12897" s="6" t="n">
        <f aca="false">Sens!$C$12896*(1-g_tv/(wacc+ronic_prem))</f>
        <v>218.335287937596</v>
      </c>
    </row>
    <row r="12898" customFormat="false" ht="17.15" hidden="false" customHeight="false" outlineLevel="0" collapsed="false">
      <c r="A12898" s="1" t="s">
        <v>1228</v>
      </c>
      <c r="B12898" s="0" t="s">
        <v>98</v>
      </c>
      <c r="C12898" s="6" t="n">
        <f aca="false">Sens!$C$12897/(wacc-g_tv)</f>
        <v>2993.49455612</v>
      </c>
    </row>
    <row r="12899" customFormat="false" ht="15" hidden="false" customHeight="false" outlineLevel="0" collapsed="false">
      <c r="A12899" s="1" t="s">
        <v>1229</v>
      </c>
      <c r="B12899" s="0" t="s">
        <v>98</v>
      </c>
      <c r="C12899" s="6" t="n">
        <f aca="false">Sens!$C$12898/(1+wacc)^Sens!K12890</f>
        <v>1704.512816407</v>
      </c>
    </row>
    <row r="12900" customFormat="false" ht="17.15" hidden="false" customHeight="false" outlineLevel="0" collapsed="false">
      <c r="A12900" s="0" t="s">
        <v>1230</v>
      </c>
      <c r="B12900" s="0" t="s">
        <v>98</v>
      </c>
      <c r="C12900" s="6" t="n">
        <f aca="false">Sens!$C$12895+Sens!$C$12899</f>
        <v>2274.75635195895</v>
      </c>
    </row>
    <row r="12901" customFormat="false" ht="15" hidden="false" customHeight="false" outlineLevel="0" collapsed="false">
      <c r="A12901" s="1" t="s">
        <v>1145</v>
      </c>
      <c r="B12901" s="0" t="s">
        <v>168</v>
      </c>
      <c r="C12901" s="7" t="n">
        <f aca="false">Sens!$C$12899/Sens!$C$12900</f>
        <v>0.749316653161172</v>
      </c>
    </row>
    <row r="12902" customFormat="false" ht="17.15" hidden="false" customHeight="false" outlineLevel="0" collapsed="false">
      <c r="A12902" s="1" t="s">
        <v>1231</v>
      </c>
      <c r="B12902" s="0" t="s">
        <v>98</v>
      </c>
      <c r="C12902" s="6" t="n">
        <f aca="false">Sens!$C$12900+cash_val-debt_val-fl_val+oai_v</f>
        <v>2390.60735195895</v>
      </c>
    </row>
    <row r="12903" customFormat="false" ht="17.15" hidden="false" customHeight="false" outlineLevel="0" collapsed="false">
      <c r="A12903" s="0" t="s">
        <v>1153</v>
      </c>
      <c r="B12903" s="0" t="s">
        <v>75</v>
      </c>
      <c r="C12903" s="5" t="n">
        <f aca="false">Sens!$C$12902/shd_val</f>
        <v>321.059273698489</v>
      </c>
    </row>
    <row r="12904" customFormat="false" ht="15" hidden="false" customHeight="false" outlineLevel="0" collapsed="false">
      <c r="A12904" s="1" t="s">
        <v>1232</v>
      </c>
      <c r="B12904" s="0" t="s">
        <v>75</v>
      </c>
      <c r="C12904" s="8" t="n">
        <f aca="false">div_rem27+Sens!G12872*roll_div_q/q_per_yr</f>
        <v>3.9795</v>
      </c>
    </row>
    <row r="12905" customFormat="false" ht="17.15" hidden="false" customHeight="false" outlineLevel="0" collapsed="false">
      <c r="A12905" s="0" t="s">
        <v>1233</v>
      </c>
      <c r="B12905" s="0" t="s">
        <v>75</v>
      </c>
      <c r="C12905" s="5" t="n">
        <f aca="false">Sens!$C$12903*(1+wacc)^t_roll-Sens!$C$12904</f>
        <v>352.895801272746</v>
      </c>
    </row>
    <row r="12906" customFormat="false" ht="17.15" hidden="false" customHeight="false" outlineLevel="0" collapsed="false">
      <c r="A12906" s="1" t="s">
        <v>1234</v>
      </c>
      <c r="B12906" s="0" t="s">
        <v>168</v>
      </c>
      <c r="F12906" s="7" t="n">
        <f aca="false">Sens!F12858/(Sens!F12803-Sens!F12758)</f>
        <v>0.0685527305696859</v>
      </c>
      <c r="G12906" s="7" t="n">
        <f aca="false">Sens!G12858/(Sens!G12803-Sens!G12758)</f>
        <v>0.0653567731599844</v>
      </c>
      <c r="H12906" s="7" t="n">
        <f aca="false">Sens!H12858/(Sens!H12803-Sens!H12758)</f>
        <v>0.0636628841026972</v>
      </c>
      <c r="I12906" s="7" t="n">
        <f aca="false">Sens!I12858/(Sens!I12803-Sens!I12758)</f>
        <v>0.0633581084335176</v>
      </c>
      <c r="J12906" s="7" t="n">
        <f aca="false">Sens!J12858/(Sens!J12803-Sens!J12758)</f>
        <v>0.0640873955995062</v>
      </c>
      <c r="K12906" s="7" t="n">
        <f aca="false">Sens!K12858/(Sens!K12803-Sens!K12758)</f>
        <v>0.0653962234835198</v>
      </c>
    </row>
    <row r="12907" customFormat="false" ht="17.15" hidden="false" customHeight="false" outlineLevel="0" collapsed="false">
      <c r="A12907" s="0" t="s">
        <v>1235</v>
      </c>
      <c r="B12907" s="0" t="s">
        <v>98</v>
      </c>
      <c r="F12907" s="6" t="n">
        <f aca="false">Sens!F12788*(al_m365+Sens!F12906+sbc_r)</f>
        <v>84.5213906545575</v>
      </c>
      <c r="G12907" s="6" t="n">
        <f aca="false">Sens!G12788*(al_m365+Sens!G12906+sbc_r)</f>
        <v>98.949983331796</v>
      </c>
      <c r="H12907" s="6" t="n">
        <f aca="false">Sens!H12788*(al_m365+Sens!H12906+sbc_r)</f>
        <v>113.543734275326</v>
      </c>
      <c r="I12907" s="6" t="n">
        <f aca="false">Sens!I12788*(al_m365+Sens!I12906+sbc_r)</f>
        <v>126.62058838692</v>
      </c>
      <c r="J12907" s="6" t="n">
        <f aca="false">Sens!J12788*(al_m365+Sens!J12906+sbc_r)</f>
        <v>137.994660156303</v>
      </c>
      <c r="K12907" s="6" t="n">
        <f aca="false">Sens!K12788*(al_m365+Sens!K12906+sbc_r)</f>
        <v>148.989224092997</v>
      </c>
      <c r="L12907" s="12" t="s">
        <v>1236</v>
      </c>
    </row>
    <row r="12908" customFormat="false" ht="17.15" hidden="false" customHeight="false" outlineLevel="0" collapsed="false">
      <c r="A12908" s="0" t="s">
        <v>1237</v>
      </c>
      <c r="B12908" s="0" t="s">
        <v>98</v>
      </c>
      <c r="F12908" s="6" t="n">
        <f aca="false">Sens!F12789*(al_lic+Sens!F12906+sbc_r)</f>
        <v>32.855200196554</v>
      </c>
      <c r="G12908" s="6" t="n">
        <f aca="false">Sens!G12789*(al_lic+Sens!G12906+sbc_r)</f>
        <v>34.1185582613282</v>
      </c>
      <c r="H12908" s="6" t="n">
        <f aca="false">Sens!H12789*(al_lic+Sens!H12906+sbc_r)</f>
        <v>35.3024309363621</v>
      </c>
      <c r="I12908" s="6" t="n">
        <f aca="false">Sens!I12789*(al_lic+Sens!I12906+sbc_r)</f>
        <v>36.3898468129533</v>
      </c>
      <c r="J12908" s="6" t="n">
        <f aca="false">Sens!J12789*(al_lic+Sens!J12906+sbc_r)</f>
        <v>37.3529129529876</v>
      </c>
      <c r="K12908" s="6" t="n">
        <f aca="false">Sens!K12789*(al_lic+Sens!K12906+sbc_r)</f>
        <v>38.158536171203</v>
      </c>
    </row>
    <row r="12909" customFormat="false" ht="17.15" hidden="false" customHeight="false" outlineLevel="0" collapsed="false">
      <c r="A12909" s="0" t="s">
        <v>1238</v>
      </c>
      <c r="B12909" s="0" t="s">
        <v>98</v>
      </c>
      <c r="F12909" s="6" t="n">
        <f aca="false">Sens!F12791*(al_ind+Sens!F12906+sbc_r)</f>
        <v>9.05892547956683</v>
      </c>
      <c r="G12909" s="6" t="n">
        <f aca="false">Sens!G12791*(al_ind+Sens!G12906+sbc_r)</f>
        <v>9.82456487622418</v>
      </c>
      <c r="H12909" s="6" t="n">
        <f aca="false">Sens!H12791*(al_ind+Sens!H12906+sbc_r)</f>
        <v>10.6377408477959</v>
      </c>
      <c r="I12909" s="6" t="n">
        <f aca="false">Sens!I12791*(al_ind+Sens!I12906+sbc_r)</f>
        <v>11.4966323260293</v>
      </c>
      <c r="J12909" s="6" t="n">
        <f aca="false">Sens!J12791*(al_ind+Sens!J12906+sbc_r)</f>
        <v>12.3903660286279</v>
      </c>
      <c r="K12909" s="6" t="n">
        <f aca="false">Sens!K12791*(al_ind+Sens!K12906+sbc_r)</f>
        <v>13.3009129057681</v>
      </c>
    </row>
    <row r="12910" customFormat="false" ht="17.15" hidden="false" customHeight="false" outlineLevel="0" collapsed="false">
      <c r="A12910" s="0" t="s">
        <v>1239</v>
      </c>
      <c r="B12910" s="0" t="s">
        <v>98</v>
      </c>
      <c r="F12910" s="6" t="n">
        <f aca="false">Sens!F12793*(al_fro+Sens!F12906+sbc_r)</f>
        <v>3.55344443532423</v>
      </c>
      <c r="G12910" s="6" t="n">
        <f aca="false">Sens!G12793*(al_fro+Sens!G12906+sbc_r)</f>
        <v>3.75916645971565</v>
      </c>
      <c r="H12910" s="6" t="n">
        <f aca="false">Sens!H12793*(al_fro+Sens!H12906+sbc_r)</f>
        <v>3.994970960527</v>
      </c>
      <c r="I12910" s="6" t="n">
        <f aca="false">Sens!I12793*(al_fro+Sens!I12906+sbc_r)</f>
        <v>4.26396270432353</v>
      </c>
      <c r="J12910" s="6" t="n">
        <f aca="false">Sens!J12793*(al_fro+Sens!J12906+sbc_r)</f>
        <v>4.5667795874336</v>
      </c>
      <c r="K12910" s="6" t="n">
        <f aca="false">Sens!K12793*(al_fro+Sens!K12906+sbc_r)</f>
        <v>4.90238443416026</v>
      </c>
    </row>
    <row r="12911" customFormat="false" ht="17.15" hidden="false" customHeight="false" outlineLevel="0" collapsed="false">
      <c r="A12911" s="0" t="s">
        <v>1240</v>
      </c>
      <c r="B12911" s="0" t="s">
        <v>98</v>
      </c>
      <c r="F12911" s="6" t="n">
        <f aca="false">Sens!F12796*(al_srch+Sens!F12906+sbc_r)</f>
        <v>11.1872483445711</v>
      </c>
      <c r="G12911" s="6" t="n">
        <f aca="false">Sens!G12796*(al_srch+Sens!G12906+sbc_r)</f>
        <v>12.247246048296</v>
      </c>
      <c r="H12911" s="6" t="n">
        <f aca="false">Sens!H12796*(al_srch+Sens!H12906+sbc_r)</f>
        <v>13.3552870946193</v>
      </c>
      <c r="I12911" s="6" t="n">
        <f aca="false">Sens!I12796*(al_srch+Sens!I12906+sbc_r)</f>
        <v>14.5024145321619</v>
      </c>
      <c r="J12911" s="6" t="n">
        <f aca="false">Sens!J12796*(al_srch+Sens!J12906+sbc_r)</f>
        <v>15.667276660652</v>
      </c>
      <c r="K12911" s="6" t="n">
        <f aca="false">Sens!K12796*(al_srch+Sens!K12906+sbc_r)</f>
        <v>16.8186381138719</v>
      </c>
    </row>
    <row r="12912" customFormat="false" ht="17.15" hidden="false" customHeight="false" outlineLevel="0" collapsed="false">
      <c r="A12912" s="0" t="s">
        <v>1241</v>
      </c>
      <c r="B12912" s="0" t="s">
        <v>98</v>
      </c>
      <c r="F12912" s="6" t="n">
        <f aca="false">Sens!F12764-Sens!F12765+Sens!F12846</f>
        <v>45.5432580567763</v>
      </c>
      <c r="G12912" s="6" t="n">
        <f aca="false">Sens!G12764-Sens!G12765+Sens!G12846</f>
        <v>91.4313367558165</v>
      </c>
      <c r="H12912" s="6" t="n">
        <f aca="false">Sens!H12764-Sens!H12765+Sens!H12846</f>
        <v>145.142532464853</v>
      </c>
      <c r="I12912" s="6" t="n">
        <f aca="false">Sens!I12764-Sens!I12765+Sens!I12846</f>
        <v>187.797304561304</v>
      </c>
      <c r="J12912" s="6" t="n">
        <f aca="false">Sens!J12764-Sens!J12765+Sens!J12846</f>
        <v>217.756854425907</v>
      </c>
      <c r="K12912" s="6" t="n">
        <f aca="false">Sens!K12764-Sens!K12765+Sens!K12846</f>
        <v>235.773637903877</v>
      </c>
    </row>
    <row r="12913" customFormat="false" ht="17.15" hidden="false" customHeight="false" outlineLevel="0" collapsed="false">
      <c r="A12913" s="0" t="s">
        <v>1242</v>
      </c>
      <c r="B12913" s="0" t="s">
        <v>98</v>
      </c>
      <c r="F12913" s="6" t="n">
        <f aca="false">Sens!F12825+Sens!F12846+Sens!F12776+Sens!F12906*(Sens!F12795-Sens!F12758)+sbc_r*Sens!F12795</f>
        <v>236.657685106152</v>
      </c>
      <c r="G12913" s="6" t="n">
        <f aca="false">Sens!G12825+Sens!G12846+Sens!G12776+Sens!G12906*(Sens!G12795-Sens!G12758)+sbc_r*Sens!G12795</f>
        <v>305.821652946005</v>
      </c>
      <c r="H12913" s="6" t="n">
        <f aca="false">Sens!H12825+Sens!H12846+Sens!H12776+Sens!H12906*(Sens!H12795-Sens!H12758)+sbc_r*Sens!H12795</f>
        <v>388.715963803515</v>
      </c>
      <c r="I12913" s="6" t="n">
        <f aca="false">Sens!I12825+Sens!I12846+Sens!I12776+Sens!I12906*(Sens!I12795-Sens!I12758)+sbc_r*Sens!I12795</f>
        <v>458.523440896044</v>
      </c>
      <c r="J12913" s="6" t="n">
        <f aca="false">Sens!J12825+Sens!J12846+Sens!J12776+Sens!J12906*(Sens!J12795-Sens!J12758)+sbc_r*Sens!J12795</f>
        <v>512.745740122574</v>
      </c>
      <c r="K12913" s="6" t="n">
        <f aca="false">Sens!K12825+Sens!K12846+Sens!K12776+Sens!K12906*(Sens!K12795-Sens!K12758)+sbc_r*Sens!K12795</f>
        <v>552.662944719355</v>
      </c>
    </row>
    <row r="12914" customFormat="false" ht="17.15" hidden="false" customHeight="false" outlineLevel="0" collapsed="false">
      <c r="A12914" s="0" t="s">
        <v>1243</v>
      </c>
      <c r="B12914" s="0" t="s">
        <v>98</v>
      </c>
      <c r="F12914" s="6" t="n">
        <f aca="false">Sens!F12913-Sens!F12907-Sens!F12908-Sens!F12909-Sens!F12910-Sens!F12912</f>
        <v>61.1254662833728</v>
      </c>
      <c r="G12914" s="6" t="n">
        <f aca="false">Sens!G12913-Sens!G12907-Sens!G12908-Sens!G12909-Sens!G12910-Sens!G12912</f>
        <v>67.7380432611247</v>
      </c>
      <c r="H12914" s="6" t="n">
        <f aca="false">Sens!H12913-Sens!H12907-Sens!H12908-Sens!H12909-Sens!H12910-Sens!H12912</f>
        <v>80.0945543186509</v>
      </c>
      <c r="I12914" s="6" t="n">
        <f aca="false">Sens!I12913-Sens!I12907-Sens!I12908-Sens!I12909-Sens!I12910-Sens!I12912</f>
        <v>91.955106104514</v>
      </c>
      <c r="J12914" s="6" t="n">
        <f aca="false">Sens!J12913-Sens!J12907-Sens!J12908-Sens!J12909-Sens!J12910-Sens!J12912</f>
        <v>102.684166971316</v>
      </c>
      <c r="K12914" s="6" t="n">
        <f aca="false">Sens!K12913-Sens!K12907-Sens!K12908-Sens!K12909-Sens!K12910-Sens!K12912</f>
        <v>111.538249211349</v>
      </c>
    </row>
    <row r="12915" customFormat="false" ht="17.15" hidden="false" customHeight="false" outlineLevel="0" collapsed="false">
      <c r="A12915" s="0" t="s">
        <v>1244</v>
      </c>
      <c r="B12915" s="0" t="s">
        <v>98</v>
      </c>
      <c r="F12915" s="6" t="n">
        <f aca="false">Sens!F12827+Sens!F12906*Sens!F12802+sbc_r*Sens!F12802</f>
        <v>25.6529685421422</v>
      </c>
      <c r="G12915" s="6" t="n">
        <f aca="false">Sens!G12827+Sens!G12906*Sens!G12802+sbc_r*Sens!G12802</f>
        <v>25.1149866026677</v>
      </c>
      <c r="H12915" s="6" t="n">
        <f aca="false">Sens!H12827+Sens!H12906*Sens!H12802+sbc_r*Sens!H12802</f>
        <v>25.9225805870084</v>
      </c>
      <c r="I12915" s="6" t="n">
        <f aca="false">Sens!I12827+Sens!I12906*Sens!I12802+sbc_r*Sens!I12802</f>
        <v>26.9686537951817</v>
      </c>
      <c r="J12915" s="6" t="n">
        <f aca="false">Sens!J12827+Sens!J12906*Sens!J12802+sbc_r*Sens!J12802</f>
        <v>28.2151973975709</v>
      </c>
      <c r="K12915" s="6" t="n">
        <f aca="false">Sens!K12827+Sens!K12906*Sens!K12802+sbc_r*Sens!K12802</f>
        <v>29.6187292373356</v>
      </c>
    </row>
    <row r="12916" customFormat="false" ht="17.15" hidden="false" customHeight="false" outlineLevel="0" collapsed="false">
      <c r="A12916" s="0" t="s">
        <v>1245</v>
      </c>
      <c r="B12916" s="0" t="s">
        <v>98</v>
      </c>
      <c r="F12916" s="6" t="n">
        <f aca="false">(Sens!F12915-Sens!F12911)*Sens!F12798/(Sens!F12798+Sens!F12800)</f>
        <v>8.17002928234424</v>
      </c>
      <c r="G12916" s="6" t="n">
        <f aca="false">(Sens!G12915-Sens!G12911)*Sens!G12798/(Sens!G12798+Sens!G12800)</f>
        <v>7.14261194324866</v>
      </c>
      <c r="H12916" s="6" t="n">
        <f aca="false">(Sens!H12915-Sens!H12911)*Sens!H12798/(Sens!H12798+Sens!H12800)</f>
        <v>6.88496556065237</v>
      </c>
      <c r="I12916" s="6" t="n">
        <f aca="false">(Sens!I12915-Sens!I12911)*Sens!I12798/(Sens!I12798+Sens!I12800)</f>
        <v>6.76999133435064</v>
      </c>
      <c r="J12916" s="6" t="n">
        <f aca="false">(Sens!J12915-Sens!J12911)*Sens!J12798/(Sens!J12798+Sens!J12800)</f>
        <v>6.78461908427709</v>
      </c>
      <c r="K12916" s="6" t="n">
        <f aca="false">(Sens!K12915-Sens!K12911)*Sens!K12798/(Sens!K12798+Sens!K12800)</f>
        <v>6.9209667750947</v>
      </c>
    </row>
    <row r="12917" customFormat="false" ht="17.15" hidden="false" customHeight="false" outlineLevel="0" collapsed="false">
      <c r="A12917" s="0" t="s">
        <v>1246</v>
      </c>
      <c r="B12917" s="0" t="s">
        <v>98</v>
      </c>
      <c r="F12917" s="6" t="n">
        <f aca="false">Sens!F12915-Sens!F12911-Sens!F12916</f>
        <v>6.29569091522681</v>
      </c>
      <c r="G12917" s="6" t="n">
        <f aca="false">Sens!G12915-Sens!G12911-Sens!G12916</f>
        <v>5.72512861112307</v>
      </c>
      <c r="H12917" s="6" t="n">
        <f aca="false">Sens!H12915-Sens!H12911-Sens!H12916</f>
        <v>5.68232793173668</v>
      </c>
      <c r="I12917" s="6" t="n">
        <f aca="false">Sens!I12915-Sens!I12911-Sens!I12916</f>
        <v>5.69624792866914</v>
      </c>
      <c r="J12917" s="6" t="n">
        <f aca="false">Sens!J12915-Sens!J12911-Sens!J12916</f>
        <v>5.76330165264181</v>
      </c>
      <c r="K12917" s="6" t="n">
        <f aca="false">Sens!K12915-Sens!K12911-Sens!K12916</f>
        <v>5.87912434836899</v>
      </c>
    </row>
    <row r="12918" customFormat="false" ht="17.15" hidden="false" customHeight="false" outlineLevel="0" collapsed="false">
      <c r="A12918" s="0" t="s">
        <v>1247</v>
      </c>
      <c r="B12918" s="0" t="s">
        <v>98</v>
      </c>
      <c r="F12918" s="6" t="n">
        <f aca="false">Sens!F12912-tax_f*(Sens!F12912-Sens!F12776)-Sens!F12773</f>
        <v>-125.103434701028</v>
      </c>
      <c r="G12918" s="6" t="n">
        <f aca="false">Sens!G12912-tax_f*(Sens!G12912-Sens!G12776)-Sens!G12773</f>
        <v>-106.652508113935</v>
      </c>
      <c r="H12918" s="6" t="n">
        <f aca="false">Sens!H12912-tax_f*(Sens!H12912-Sens!H12776)-Sens!H12773</f>
        <v>-62.8719599603405</v>
      </c>
      <c r="I12918" s="6" t="n">
        <f aca="false">Sens!I12912-tax_f*(Sens!I12912-Sens!I12776)-Sens!I12773</f>
        <v>4.46921196634244</v>
      </c>
      <c r="J12918" s="6" t="n">
        <f aca="false">Sens!J12912-tax_f*(Sens!J12912-Sens!J12776)-Sens!J12773</f>
        <v>71.6786869547042</v>
      </c>
      <c r="K12918" s="6" t="n">
        <f aca="false">Sens!K12912-tax_f*(Sens!K12912-Sens!K12776)-Sens!K12773</f>
        <v>98.2585911685559</v>
      </c>
    </row>
    <row r="12919" customFormat="false" ht="17.15" hidden="false" customHeight="false" outlineLevel="0" collapsed="false">
      <c r="A12919" s="0" t="s">
        <v>1248</v>
      </c>
      <c r="B12919" s="0" t="s">
        <v>98</v>
      </c>
      <c r="G12919" s="6" t="n">
        <f aca="false">Sens!G12918/(1+wacc)^(Sens!G12889-Sens!F12890)</f>
        <v>-101.553711563197</v>
      </c>
      <c r="H12919" s="6" t="n">
        <f aca="false">Sens!H12918/(1+wacc)^(Sens!H12889-Sens!F12890)</f>
        <v>-54.278917968274</v>
      </c>
      <c r="I12919" s="6" t="n">
        <f aca="false">Sens!I12918/(1+wacc)^(Sens!I12889-Sens!F12890)</f>
        <v>3.49828018556683</v>
      </c>
      <c r="J12919" s="6" t="n">
        <f aca="false">Sens!J12918/(1+wacc)^(Sens!J12889-Sens!F12890)</f>
        <v>50.8701634801045</v>
      </c>
      <c r="K12919" s="6" t="n">
        <f aca="false">Sens!K12918/(1+wacc)^(Sens!K12889-Sens!F12890)</f>
        <v>63.2256175626622</v>
      </c>
      <c r="L12919" s="1" t="s">
        <v>1249</v>
      </c>
    </row>
    <row r="12920" customFormat="false" ht="17.15" hidden="false" customHeight="false" outlineLevel="0" collapsed="false">
      <c r="A12920" s="0" t="s">
        <v>1250</v>
      </c>
      <c r="B12920" s="0" t="s">
        <v>98</v>
      </c>
      <c r="C12920" s="6" t="n">
        <f aca="false">(Sens!K12912-Sens!K12776)*(1-tax_f)*(1+g_tv)*(1-g_tv/(wacc+ronic_prem))/(wacc-g_tv)/(1+wacc)^(Sens!K12890-Sens!F12890)</f>
        <v>454.956609544912</v>
      </c>
    </row>
    <row r="12921" customFormat="false" ht="17.15" hidden="false" customHeight="false" outlineLevel="0" collapsed="false">
      <c r="A12921" s="1" t="s">
        <v>1251</v>
      </c>
      <c r="B12921" s="0" t="s">
        <v>98</v>
      </c>
      <c r="C12921" s="6" t="n">
        <f aca="false">(SUM(Sens!G12919:K12919)+Sens!$C$12920)*(1+wacc)^(t_roll-Sens!F12890)</f>
        <v>430.475164032063</v>
      </c>
      <c r="L12921" s="12" t="s">
        <v>1252</v>
      </c>
    </row>
    <row r="12922" customFormat="false" ht="17.15" hidden="false" customHeight="false" outlineLevel="0" collapsed="false">
      <c r="A12922" s="1" t="s">
        <v>1253</v>
      </c>
      <c r="B12922" s="0" t="s">
        <v>98</v>
      </c>
      <c r="C12922" s="6" t="n">
        <f aca="false">(w_ntm28*Sens!G12764+(1-w_ntm28)*Sens!H12764)*m_ai</f>
        <v>563.316843258668</v>
      </c>
    </row>
    <row r="12923" customFormat="false" ht="17.15" hidden="false" customHeight="false" outlineLevel="0" collapsed="false">
      <c r="A12923" s="1" t="s">
        <v>1254</v>
      </c>
      <c r="B12923" s="0" t="s">
        <v>98</v>
      </c>
      <c r="C12923" s="6" t="n">
        <f aca="false">(w_ntm28*Sens!G12914+(1-w_ntm28)*Sens!H12914)*m_cloud</f>
        <v>992.28232756135</v>
      </c>
    </row>
    <row r="12924" customFormat="false" ht="17.15" hidden="false" customHeight="false" outlineLevel="0" collapsed="false">
      <c r="A12924" s="1" t="s">
        <v>1255</v>
      </c>
      <c r="B12924" s="0" t="s">
        <v>98</v>
      </c>
      <c r="C12924" s="6" t="n">
        <f aca="false">(w_ntm28*Sens!G12907+(1-w_ntm28)*Sens!H12907)*m_sw</f>
        <v>1120.47763155275</v>
      </c>
    </row>
    <row r="12925" customFormat="false" ht="17.15" hidden="false" customHeight="false" outlineLevel="0" collapsed="false">
      <c r="A12925" s="1" t="s">
        <v>1256</v>
      </c>
      <c r="B12925" s="0" t="s">
        <v>98</v>
      </c>
      <c r="C12925" s="6" t="n">
        <f aca="false">(w_ntm28*Sens!G12908+(1-w_ntm28)*Sens!H12908)*m_sw</f>
        <v>372.68398809041</v>
      </c>
    </row>
    <row r="12926" customFormat="false" ht="17.15" hidden="false" customHeight="false" outlineLevel="0" collapsed="false">
      <c r="A12926" s="1" t="s">
        <v>1257</v>
      </c>
      <c r="B12926" s="0" t="s">
        <v>98</v>
      </c>
      <c r="C12926" s="6" t="n">
        <f aca="false">(w_ntm28*Sens!G12909+(1-w_ntm28)*Sens!H12909)*m_sw</f>
        <v>108.992632332144</v>
      </c>
    </row>
    <row r="12927" customFormat="false" ht="17.15" hidden="false" customHeight="false" outlineLevel="0" collapsed="false">
      <c r="A12927" s="1" t="s">
        <v>1258</v>
      </c>
      <c r="B12927" s="0" t="s">
        <v>98</v>
      </c>
      <c r="C12927" s="6" t="n">
        <f aca="false">(w_ntm28*Sens!G12910+(1-w_ntm28)*Sens!H12910)*m_sw</f>
        <v>41.4362652527414</v>
      </c>
    </row>
    <row r="12928" customFormat="false" ht="17.15" hidden="false" customHeight="false" outlineLevel="0" collapsed="false">
      <c r="A12928" s="1" t="s">
        <v>1259</v>
      </c>
      <c r="B12928" s="0" t="s">
        <v>98</v>
      </c>
      <c r="C12928" s="6" t="n">
        <f aca="false">(w_ntm28*Sens!G12911+(1-w_ntm28)*Sens!H12911)*m_ads</f>
        <v>114.891070326937</v>
      </c>
    </row>
    <row r="12929" customFormat="false" ht="17.15" hidden="false" customHeight="false" outlineLevel="0" collapsed="false">
      <c r="A12929" s="1" t="s">
        <v>1260</v>
      </c>
      <c r="B12929" s="0" t="s">
        <v>98</v>
      </c>
      <c r="C12929" s="6" t="n">
        <f aca="false">(w_ntm28*Sens!G12916+(1-w_ntm28)*Sens!H12916)*m_game</f>
        <v>89.1413563570307</v>
      </c>
    </row>
    <row r="12930" customFormat="false" ht="17.15" hidden="false" customHeight="false" outlineLevel="0" collapsed="false">
      <c r="A12930" s="1" t="s">
        <v>1261</v>
      </c>
      <c r="B12930" s="0" t="s">
        <v>98</v>
      </c>
      <c r="C12930" s="6" t="n">
        <f aca="false">(w_ntm28*Sens!G12917+(1-w_ntm28)*Sens!H12917)*m_pc</f>
        <v>82.6389970312069</v>
      </c>
    </row>
    <row r="12931" customFormat="false" ht="17.15" hidden="false" customHeight="false" outlineLevel="0" collapsed="false">
      <c r="A12931" s="1" t="s">
        <v>1262</v>
      </c>
      <c r="B12931" s="0" t="s">
        <v>98</v>
      </c>
      <c r="C12931" s="6" t="n">
        <f aca="false">Sens!$C$12921+Sens!$C$12923+Sens!$C$12924+Sens!$C$12925+Sens!$C$12926+Sens!$C$12927+Sens!$C$12928+Sens!$C$12929+Sens!$C$12930</f>
        <v>3353.01943253664</v>
      </c>
    </row>
    <row r="12932" customFormat="false" ht="17.15" hidden="false" customHeight="false" outlineLevel="0" collapsed="false">
      <c r="A12932" s="1" t="s">
        <v>1263</v>
      </c>
      <c r="B12932" s="0" t="s">
        <v>98</v>
      </c>
      <c r="C12932" s="6" t="n">
        <f aca="false">(Sens!G12893-Sens!G12918)*t_stub</f>
        <v>46.2235364022553</v>
      </c>
      <c r="L12932" s="1" t="s">
        <v>1264</v>
      </c>
    </row>
    <row r="12933" customFormat="false" ht="17.15" hidden="false" customHeight="false" outlineLevel="0" collapsed="false">
      <c r="A12933" s="1" t="s">
        <v>1173</v>
      </c>
      <c r="B12933" s="0" t="s">
        <v>98</v>
      </c>
      <c r="C12933" s="6" t="n">
        <f aca="false">Sens!F12880+oai_v-Sens!F12869+Sens!$C$12932</f>
        <v>159.374929524041</v>
      </c>
      <c r="L12933" s="1" t="s">
        <v>1265</v>
      </c>
    </row>
    <row r="12934" customFormat="false" ht="17.15" hidden="false" customHeight="false" outlineLevel="0" collapsed="false">
      <c r="A12934" s="1" t="s">
        <v>1266</v>
      </c>
      <c r="B12934" s="0" t="s">
        <v>75</v>
      </c>
      <c r="C12934" s="5" t="n">
        <f aca="false">(Sens!$C$12931+Sens!$C$12933)/(Sens!F12882+dil_gap)-Sens!G12872*roll_div_q/q_per_yr</f>
        <v>467.529651822396</v>
      </c>
      <c r="L12934" s="1" t="s">
        <v>1267</v>
      </c>
    </row>
    <row r="12935" customFormat="false" ht="17.15" hidden="false" customHeight="false" outlineLevel="0" collapsed="false">
      <c r="A12935" s="1" t="s">
        <v>1268</v>
      </c>
      <c r="B12935" s="0" t="s">
        <v>75</v>
      </c>
      <c r="C12935" s="5" t="n">
        <f aca="false">w_dcf*Sens!$C$12905+(1-w_dcf)*Sens!$C$12934</f>
        <v>410.212726547571</v>
      </c>
    </row>
    <row r="12936" customFormat="false" ht="17.15" hidden="false" customHeight="false" outlineLevel="0" collapsed="false">
      <c r="A12936" s="3" t="s">
        <v>1935</v>
      </c>
    </row>
    <row r="12937" customFormat="false" ht="15" hidden="false" customHeight="false" outlineLevel="0" collapsed="false">
      <c r="A12937" s="4" t="s">
        <v>43</v>
      </c>
      <c r="B12937" s="4" t="s">
        <v>65</v>
      </c>
      <c r="C12937" s="23" t="s">
        <v>942</v>
      </c>
      <c r="D12937" s="23" t="s">
        <v>943</v>
      </c>
      <c r="E12937" s="23" t="s">
        <v>944</v>
      </c>
      <c r="F12937" s="23" t="s">
        <v>945</v>
      </c>
      <c r="G12937" s="23" t="s">
        <v>946</v>
      </c>
      <c r="H12937" s="23" t="s">
        <v>947</v>
      </c>
      <c r="I12937" s="23" t="s">
        <v>948</v>
      </c>
      <c r="J12937" s="23" t="s">
        <v>949</v>
      </c>
      <c r="K12937" s="23" t="s">
        <v>950</v>
      </c>
      <c r="L12937" s="4" t="s">
        <v>47</v>
      </c>
    </row>
    <row r="12938" customFormat="false" ht="17.15" hidden="false" customHeight="false" outlineLevel="0" collapsed="false">
      <c r="A12938" s="1" t="s">
        <v>951</v>
      </c>
      <c r="B12938" s="1" t="s">
        <v>279</v>
      </c>
      <c r="C12938" s="21" t="n">
        <v>2024</v>
      </c>
      <c r="D12938" s="21" t="n">
        <v>2025</v>
      </c>
      <c r="E12938" s="21" t="n">
        <v>2026</v>
      </c>
      <c r="F12938" s="21" t="n">
        <v>2027</v>
      </c>
      <c r="G12938" s="21" t="n">
        <v>2028</v>
      </c>
      <c r="H12938" s="21" t="n">
        <v>2029</v>
      </c>
      <c r="I12938" s="21" t="n">
        <v>2030</v>
      </c>
      <c r="J12938" s="21" t="n">
        <v>2031</v>
      </c>
      <c r="K12938" s="21" t="n">
        <v>2032</v>
      </c>
    </row>
    <row r="12939" customFormat="false" ht="17.15" hidden="false" customHeight="false" outlineLevel="0" collapsed="false">
      <c r="A12939" s="1" t="s">
        <v>952</v>
      </c>
      <c r="B12939" s="0" t="s">
        <v>459</v>
      </c>
      <c r="F12939" s="30" t="n">
        <f aca="false">pace</f>
        <v>2726.5351</v>
      </c>
      <c r="G12939" s="30" t="n">
        <f aca="false">pace</f>
        <v>2726.5351</v>
      </c>
      <c r="H12939" s="30" t="n">
        <f aca="false">pace</f>
        <v>2726.5351</v>
      </c>
      <c r="I12939" s="30" t="n">
        <f aca="false">pace+(g_tv*Sens!H12940-pace)*MIN(1,(Sens!I12938-pace_y0)/(pace_y1-pace_y0))</f>
        <v>1931.98611966667</v>
      </c>
      <c r="J12939" s="30" t="n">
        <f aca="false">pace+(g_tv*Sens!I12940-pace)*MIN(1,(Sens!J12938-pace_y0)/(pace_y1-pace_y0))</f>
        <v>1176.07686172667</v>
      </c>
      <c r="K12939" s="30" t="n">
        <f aca="false">pace+(g_tv*Sens!J12940-pace)*MIN(1,(Sens!K12938-pace_y0)/(pace_y1-pace_y0))</f>
        <v>436.1300484418</v>
      </c>
      <c r="L12939" s="12" t="s">
        <v>953</v>
      </c>
    </row>
    <row r="12940" customFormat="false" ht="17.15" hidden="false" customHeight="false" outlineLevel="0" collapsed="false">
      <c r="A12940" s="1" t="s">
        <v>954</v>
      </c>
      <c r="B12940" s="0" t="s">
        <v>459</v>
      </c>
      <c r="C12940" s="30" t="n">
        <f aca="false">mw_ext_24</f>
        <v>640</v>
      </c>
      <c r="D12940" s="30" t="n">
        <f aca="false">mw_ext_25</f>
        <v>1630</v>
      </c>
      <c r="E12940" s="30" t="n">
        <f aca="false">mw_ext_26</f>
        <v>3250</v>
      </c>
      <c r="F12940" s="30" t="n">
        <f aca="false">Sens!E12940+Sens!F12939</f>
        <v>5976.5351</v>
      </c>
      <c r="G12940" s="30" t="n">
        <f aca="false">Sens!F12940+Sens!G12939</f>
        <v>8703.0702</v>
      </c>
      <c r="H12940" s="30" t="n">
        <f aca="false">Sens!G12940+Sens!H12939</f>
        <v>11429.6053</v>
      </c>
      <c r="I12940" s="30" t="n">
        <f aca="false">Sens!H12940+Sens!I12939</f>
        <v>13361.5914196667</v>
      </c>
      <c r="J12940" s="30" t="n">
        <f aca="false">Sens!I12940+Sens!J12939</f>
        <v>14537.6682813933</v>
      </c>
      <c r="K12940" s="30" t="n">
        <f aca="false">Sens!J12940+Sens!K12939</f>
        <v>14973.7983298351</v>
      </c>
      <c r="L12940" s="1" t="s">
        <v>955</v>
      </c>
    </row>
    <row r="12941" customFormat="false" ht="17.15" hidden="false" customHeight="false" outlineLevel="0" collapsed="false">
      <c r="A12941" s="1" t="s">
        <v>956</v>
      </c>
      <c r="B12941" s="0" t="s">
        <v>459</v>
      </c>
      <c r="C12941" s="30" t="n">
        <f aca="false">rent_ext_24</f>
        <v>150</v>
      </c>
      <c r="D12941" s="30" t="n">
        <f aca="false">rent_ext_25</f>
        <v>400</v>
      </c>
      <c r="E12941" s="30" t="n">
        <f aca="false">rent_ext_26</f>
        <v>550</v>
      </c>
      <c r="F12941" s="30" t="n">
        <f aca="false">rent_ext_f</f>
        <v>756</v>
      </c>
      <c r="G12941" s="30" t="n">
        <f aca="false">rent_ext_f</f>
        <v>756</v>
      </c>
      <c r="H12941" s="30" t="n">
        <f aca="false">rent_ext_f</f>
        <v>756</v>
      </c>
      <c r="I12941" s="30" t="n">
        <f aca="false">rent_ext_f</f>
        <v>756</v>
      </c>
      <c r="J12941" s="30" t="n">
        <f aca="false">rent_ext_f</f>
        <v>756</v>
      </c>
      <c r="K12941" s="30" t="n">
        <f aca="false">rent_ext_f</f>
        <v>756</v>
      </c>
      <c r="L12941" s="1" t="s">
        <v>957</v>
      </c>
    </row>
    <row r="12942" customFormat="false" ht="17.15" hidden="false" customHeight="false" outlineLevel="0" collapsed="false">
      <c r="A12942" s="1" t="s">
        <v>958</v>
      </c>
      <c r="B12942" s="0" t="s">
        <v>459</v>
      </c>
      <c r="C12942" s="30" t="n">
        <f aca="false">Sens!C12940-Sens!C12941</f>
        <v>490</v>
      </c>
      <c r="D12942" s="30" t="n">
        <f aca="false">Sens!D12940-Sens!D12941</f>
        <v>1230</v>
      </c>
      <c r="E12942" s="30" t="n">
        <f aca="false">Sens!E12940-Sens!E12941</f>
        <v>2700</v>
      </c>
      <c r="F12942" s="30" t="n">
        <f aca="false">Sens!F12940-Sens!F12941</f>
        <v>5220.5351</v>
      </c>
      <c r="G12942" s="30" t="n">
        <f aca="false">Sens!G12940-Sens!G12941</f>
        <v>7947.0702</v>
      </c>
      <c r="H12942" s="30" t="n">
        <f aca="false">Sens!H12940-Sens!H12941</f>
        <v>10673.6053</v>
      </c>
      <c r="I12942" s="30" t="n">
        <f aca="false">Sens!I12940-Sens!I12941</f>
        <v>12605.5914196667</v>
      </c>
      <c r="J12942" s="30" t="n">
        <f aca="false">Sens!J12940-Sens!J12941</f>
        <v>13781.6682813933</v>
      </c>
      <c r="K12942" s="30" t="n">
        <f aca="false">Sens!K12940-Sens!K12941</f>
        <v>14217.7983298351</v>
      </c>
    </row>
    <row r="12943" customFormat="false" ht="17.15" hidden="false" customHeight="false" outlineLevel="0" collapsed="false">
      <c r="A12943" s="1" t="s">
        <v>959</v>
      </c>
      <c r="B12943" s="0" t="s">
        <v>459</v>
      </c>
      <c r="C12943" s="30" t="n">
        <f aca="false">Sens!C12942/ext_sh</f>
        <v>816.666666666667</v>
      </c>
      <c r="D12943" s="30" t="n">
        <f aca="false">Sens!D12942/ext_sh</f>
        <v>2050</v>
      </c>
      <c r="E12943" s="30" t="n">
        <f aca="false">Sens!E12942/ext_sh</f>
        <v>4500</v>
      </c>
      <c r="F12943" s="30" t="n">
        <f aca="false">Sens!F12942/ext_sh</f>
        <v>8700.89183333333</v>
      </c>
      <c r="G12943" s="30" t="n">
        <f aca="false">Sens!G12942/ext_sh</f>
        <v>13245.117</v>
      </c>
      <c r="H12943" s="30" t="n">
        <f aca="false">Sens!H12942/ext_sh</f>
        <v>17789.3421666667</v>
      </c>
      <c r="I12943" s="30" t="n">
        <f aca="false">Sens!I12942/ext_sh</f>
        <v>21009.3190327778</v>
      </c>
      <c r="J12943" s="30" t="n">
        <f aca="false">Sens!J12942/ext_sh</f>
        <v>22969.4471356556</v>
      </c>
      <c r="K12943" s="30" t="n">
        <f aca="false">Sens!K12942/ext_sh</f>
        <v>23696.3305497252</v>
      </c>
      <c r="L12943" s="1" t="s">
        <v>960</v>
      </c>
    </row>
    <row r="12944" customFormat="false" ht="17.15" hidden="false" customHeight="false" outlineLevel="0" collapsed="false">
      <c r="A12944" s="1" t="s">
        <v>961</v>
      </c>
      <c r="B12944" s="0" t="s">
        <v>459</v>
      </c>
      <c r="C12944" s="30" t="n">
        <f aca="false">Sens!C12943-Sens!C12942</f>
        <v>326.666666666667</v>
      </c>
      <c r="D12944" s="30" t="n">
        <f aca="false">Sens!D12943-Sens!D12942</f>
        <v>820</v>
      </c>
      <c r="E12944" s="30" t="n">
        <f aca="false">Sens!E12943-Sens!E12942</f>
        <v>1800</v>
      </c>
      <c r="F12944" s="30" t="n">
        <f aca="false">Sens!F12943-Sens!F12942</f>
        <v>3480.35673333333</v>
      </c>
      <c r="G12944" s="30" t="n">
        <f aca="false">Sens!G12943-Sens!G12942</f>
        <v>5298.0468</v>
      </c>
      <c r="H12944" s="30" t="n">
        <f aca="false">Sens!H12943-Sens!H12942</f>
        <v>7115.73686666667</v>
      </c>
      <c r="I12944" s="30" t="n">
        <f aca="false">Sens!I12943-Sens!I12942</f>
        <v>8403.72761311111</v>
      </c>
      <c r="J12944" s="30" t="n">
        <f aca="false">Sens!J12943-Sens!J12942</f>
        <v>9187.77885426222</v>
      </c>
      <c r="K12944" s="30" t="n">
        <f aca="false">Sens!K12943-Sens!K12942</f>
        <v>9478.53221989009</v>
      </c>
    </row>
    <row r="12945" customFormat="false" ht="17.15" hidden="false" customHeight="false" outlineLevel="0" collapsed="false">
      <c r="A12945" s="1" t="s">
        <v>962</v>
      </c>
      <c r="B12945" s="0" t="s">
        <v>459</v>
      </c>
      <c r="C12945" s="30" t="n">
        <f aca="false">Sens!C12943</f>
        <v>816.666666666667</v>
      </c>
      <c r="D12945" s="30" t="n">
        <f aca="false">Sens!D12943-Sens!C12943</f>
        <v>1233.33333333333</v>
      </c>
      <c r="E12945" s="30" t="n">
        <f aca="false">Sens!E12943-Sens!D12943</f>
        <v>2450</v>
      </c>
      <c r="F12945" s="30" t="n">
        <f aca="false">Sens!F12943-Sens!E12943</f>
        <v>4200.89183333333</v>
      </c>
      <c r="G12945" s="30" t="n">
        <f aca="false">Sens!G12943-Sens!F12943</f>
        <v>4544.22516666667</v>
      </c>
      <c r="H12945" s="30" t="n">
        <f aca="false">Sens!H12943-Sens!G12943</f>
        <v>4544.22516666667</v>
      </c>
      <c r="I12945" s="30" t="n">
        <f aca="false">Sens!I12943-Sens!H12943</f>
        <v>3219.97686611111</v>
      </c>
      <c r="J12945" s="30" t="n">
        <f aca="false">Sens!J12943-Sens!I12943</f>
        <v>1960.12810287778</v>
      </c>
      <c r="K12945" s="30" t="n">
        <f aca="false">Sens!K12943-Sens!J12943</f>
        <v>726.883414069667</v>
      </c>
    </row>
    <row r="12946" customFormat="false" ht="17.15" hidden="false" customHeight="false" outlineLevel="0" collapsed="false">
      <c r="A12946" s="1" t="s">
        <v>963</v>
      </c>
      <c r="B12946" s="0" t="s">
        <v>459</v>
      </c>
      <c r="D12946" s="30" t="n">
        <f aca="false">Sens!D12940-Sens!C12940</f>
        <v>990</v>
      </c>
      <c r="E12946" s="30" t="n">
        <f aca="false">Sens!E12940-Sens!D12940</f>
        <v>1620</v>
      </c>
      <c r="F12946" s="30" t="n">
        <f aca="false">Sens!F12940-Sens!E12940</f>
        <v>2726.5351</v>
      </c>
      <c r="G12946" s="30" t="n">
        <f aca="false">Sens!G12940-Sens!F12940</f>
        <v>2726.5351</v>
      </c>
      <c r="H12946" s="30" t="n">
        <f aca="false">Sens!H12940-Sens!G12940</f>
        <v>2726.5351</v>
      </c>
      <c r="I12946" s="30" t="n">
        <f aca="false">Sens!I12940-Sens!H12940</f>
        <v>1931.98611966667</v>
      </c>
      <c r="J12946" s="30" t="n">
        <f aca="false">Sens!J12940-Sens!I12940</f>
        <v>1176.07686172667</v>
      </c>
      <c r="K12946" s="30" t="n">
        <f aca="false">Sens!K12940-Sens!J12940</f>
        <v>436.130048441799</v>
      </c>
    </row>
    <row r="12947" customFormat="false" ht="17.15" hidden="false" customHeight="false" outlineLevel="0" collapsed="false">
      <c r="A12947" s="1" t="s">
        <v>964</v>
      </c>
      <c r="B12947" s="0" t="s">
        <v>459</v>
      </c>
      <c r="F12947" s="30" t="n">
        <f aca="false">Sens!F12966*ext_sh</f>
        <v>0</v>
      </c>
      <c r="G12947" s="30" t="n">
        <f aca="false">Sens!G12966*ext_sh</f>
        <v>0</v>
      </c>
      <c r="H12947" s="30" t="n">
        <f aca="false">Sens!H12966*ext_sh</f>
        <v>0</v>
      </c>
      <c r="I12947" s="30" t="n">
        <f aca="false">Sens!I12966*ext_sh</f>
        <v>490</v>
      </c>
      <c r="J12947" s="30" t="n">
        <f aca="false">Sens!J12966*ext_sh</f>
        <v>740</v>
      </c>
      <c r="K12947" s="30" t="n">
        <f aca="false">Sens!K12966*ext_sh</f>
        <v>1470</v>
      </c>
      <c r="L12947" s="1" t="s">
        <v>965</v>
      </c>
    </row>
    <row r="12948" customFormat="false" ht="17.15" hidden="false" customHeight="false" outlineLevel="0" collapsed="false">
      <c r="A12948" s="1" t="s">
        <v>966</v>
      </c>
      <c r="B12948" s="0" t="s">
        <v>459</v>
      </c>
      <c r="C12948" s="30" t="n">
        <f aca="false">mix_h*Sens!C12940</f>
        <v>128</v>
      </c>
      <c r="D12948" s="30" t="n">
        <f aca="false">mix_h*Sens!D12940</f>
        <v>326</v>
      </c>
      <c r="E12948" s="30" t="n">
        <f aca="false">mix_h*Sens!E12940</f>
        <v>650</v>
      </c>
      <c r="F12948" s="30" t="n">
        <f aca="false">Sens!E12948-Sens!F12947*mix_h</f>
        <v>650</v>
      </c>
      <c r="G12948" s="30" t="n">
        <f aca="false">Sens!F12948-Sens!G12947*mix_h</f>
        <v>650</v>
      </c>
      <c r="H12948" s="30" t="n">
        <f aca="false">Sens!G12948-Sens!H12947*mix_h</f>
        <v>650</v>
      </c>
      <c r="I12948" s="30" t="n">
        <f aca="false">Sens!H12948-Sens!I12947*mix_h</f>
        <v>552</v>
      </c>
      <c r="J12948" s="30" t="n">
        <f aca="false">Sens!I12948-Sens!J12947*mix_h</f>
        <v>404</v>
      </c>
      <c r="K12948" s="30" t="n">
        <f aca="false">Sens!J12948-Sens!K12947*mix_h</f>
        <v>110</v>
      </c>
    </row>
    <row r="12949" customFormat="false" ht="17.15" hidden="false" customHeight="false" outlineLevel="0" collapsed="false">
      <c r="A12949" s="1" t="s">
        <v>967</v>
      </c>
      <c r="B12949" s="0" t="s">
        <v>459</v>
      </c>
      <c r="C12949" s="30" t="n">
        <f aca="false">mix_g2*Sens!C12940</f>
        <v>288</v>
      </c>
      <c r="D12949" s="30" t="n">
        <f aca="false">mix_g2*Sens!D12940</f>
        <v>733.5</v>
      </c>
      <c r="E12949" s="30" t="n">
        <f aca="false">mix_g2*Sens!E12940</f>
        <v>1462.5</v>
      </c>
      <c r="F12949" s="30" t="n">
        <f aca="false">Sens!E12949-Sens!F12947*mix_g2</f>
        <v>1462.5</v>
      </c>
      <c r="G12949" s="30" t="n">
        <f aca="false">Sens!F12949-Sens!G12947*mix_g2</f>
        <v>1462.5</v>
      </c>
      <c r="H12949" s="30" t="n">
        <f aca="false">Sens!G12949-Sens!H12947*mix_g2</f>
        <v>1462.5</v>
      </c>
      <c r="I12949" s="30" t="n">
        <f aca="false">Sens!H12949-Sens!I12947*mix_g2</f>
        <v>1242</v>
      </c>
      <c r="J12949" s="30" t="n">
        <f aca="false">Sens!I12949-Sens!J12947*mix_g2</f>
        <v>909</v>
      </c>
      <c r="K12949" s="30" t="n">
        <f aca="false">Sens!J12949-Sens!K12947*mix_g2</f>
        <v>247.5</v>
      </c>
    </row>
    <row r="12950" customFormat="false" ht="17.15" hidden="false" customHeight="false" outlineLevel="0" collapsed="false">
      <c r="A12950" s="1" t="s">
        <v>968</v>
      </c>
      <c r="B12950" s="0" t="s">
        <v>459</v>
      </c>
      <c r="C12950" s="30" t="n">
        <f aca="false">mix_g3*Sens!C12940</f>
        <v>224</v>
      </c>
      <c r="D12950" s="30" t="n">
        <f aca="false">mix_g3*Sens!D12940</f>
        <v>570.5</v>
      </c>
      <c r="E12950" s="30" t="n">
        <f aca="false">mix_g3*Sens!E12940</f>
        <v>1137.5</v>
      </c>
      <c r="F12950" s="30" t="n">
        <f aca="false">Sens!E12950+(Sens!F12946+Sens!F12947)*(a_g3_27-nonnv*a_mai)-Sens!F12947*mix_g3</f>
        <v>2773.42106</v>
      </c>
      <c r="G12950" s="30" t="n">
        <f aca="false">Sens!F12950+(Sens!G12946+Sens!G12947)*(a_g3_28-nonnv*a_mai)-Sens!G12947*mix_g3</f>
        <v>3318.72808</v>
      </c>
      <c r="H12950" s="30" t="n">
        <f aca="false">Sens!G12950+(Sens!H12946+Sens!H12947)*(a_g3_29-nonnv*a_mai)-Sens!H12947*mix_g3</f>
        <v>3318.72808</v>
      </c>
      <c r="I12950" s="30" t="n">
        <f aca="false">Sens!H12950+(Sens!I12946+Sens!I12947)*(a_g3_29-nonnv*a_mai)-Sens!I12947*mix_g3</f>
        <v>3147.22808</v>
      </c>
      <c r="J12950" s="30" t="n">
        <f aca="false">Sens!I12950+(Sens!J12946+Sens!J12947)*(a_g3_29-nonnv*a_mai)-Sens!J12947*mix_g3</f>
        <v>2888.22808</v>
      </c>
      <c r="K12950" s="30" t="n">
        <f aca="false">Sens!J12950+(Sens!K12946+Sens!K12947)*(a_g3_29-nonnv*a_mai)-Sens!K12947*mix_g3</f>
        <v>2373.72808</v>
      </c>
    </row>
    <row r="12951" customFormat="false" ht="17.15" hidden="false" customHeight="false" outlineLevel="0" collapsed="false">
      <c r="A12951" s="1" t="s">
        <v>969</v>
      </c>
      <c r="B12951" s="0" t="s">
        <v>459</v>
      </c>
      <c r="C12951" s="30" t="n">
        <v>0</v>
      </c>
      <c r="D12951" s="30" t="n">
        <v>0</v>
      </c>
      <c r="E12951" s="30" t="n">
        <v>0</v>
      </c>
      <c r="F12951" s="30" t="n">
        <f aca="false">Sens!E12951+(Sens!F12946+Sens!F12947)*nonnv*a_mai</f>
        <v>272.65351</v>
      </c>
      <c r="G12951" s="30" t="n">
        <f aca="false">Sens!F12951+(Sens!G12946+Sens!G12947)*nonnv*a_mai</f>
        <v>545.30702</v>
      </c>
      <c r="H12951" s="30" t="n">
        <f aca="false">Sens!G12951+(Sens!H12946+Sens!H12947)*nonnv*a_mai</f>
        <v>817.96053</v>
      </c>
      <c r="I12951" s="30" t="n">
        <f aca="false">Sens!H12951+(Sens!I12946+Sens!I12947)*nonnv*a_mai</f>
        <v>1060.15914196667</v>
      </c>
      <c r="J12951" s="30" t="n">
        <f aca="false">Sens!I12951+(Sens!J12946+Sens!J12947)*nonnv*a_mai</f>
        <v>1251.76682813933</v>
      </c>
      <c r="K12951" s="30" t="n">
        <f aca="false">Sens!J12951+(Sens!K12946+Sens!K12947)*nonnv*a_mai</f>
        <v>1442.37983298351</v>
      </c>
      <c r="L12951" s="12" t="s">
        <v>970</v>
      </c>
    </row>
    <row r="12952" customFormat="false" ht="17.15" hidden="false" customHeight="false" outlineLevel="0" collapsed="false">
      <c r="A12952" s="1" t="s">
        <v>971</v>
      </c>
      <c r="B12952" s="0" t="s">
        <v>459</v>
      </c>
      <c r="C12952" s="30" t="n">
        <v>0</v>
      </c>
      <c r="D12952" s="30" t="n">
        <v>0</v>
      </c>
      <c r="E12952" s="30" t="n">
        <v>0</v>
      </c>
      <c r="F12952" s="30" t="n">
        <f aca="false">Sens!E12952+(Sens!F12946+Sens!F12947)*(1-a_g3_27)</f>
        <v>817.96053</v>
      </c>
      <c r="G12952" s="30" t="n">
        <f aca="false">Sens!F12952+(Sens!G12946+Sens!G12947)*(1-a_g3_28)</f>
        <v>2726.5351</v>
      </c>
      <c r="H12952" s="30" t="n">
        <f aca="false">Sens!G12952+(Sens!H12946+Sens!H12947)*(1-a_g3_29)</f>
        <v>5180.41669</v>
      </c>
      <c r="I12952" s="30" t="n">
        <f aca="false">Sens!H12952+(Sens!I12946+Sens!I12947)*(1-a_g3_29)</f>
        <v>7360.2041977</v>
      </c>
      <c r="J12952" s="30" t="n">
        <f aca="false">Sens!I12952+(Sens!J12946+Sens!J12947)*(1-a_g3_29)</f>
        <v>9084.673373254</v>
      </c>
      <c r="K12952" s="30" t="n">
        <f aca="false">Sens!J12952+(Sens!K12946+Sens!K12947)*(1-a_g3_29)</f>
        <v>10800.1904168516</v>
      </c>
    </row>
    <row r="12953" customFormat="false" ht="17.15" hidden="false" customHeight="false" outlineLevel="0" collapsed="false">
      <c r="A12953" s="1" t="s">
        <v>972</v>
      </c>
      <c r="B12953" s="0" t="s">
        <v>403</v>
      </c>
      <c r="C12953" s="15" t="n">
        <f aca="false">(Sens!C12948*tk_hold_h100+Sens!C12949*tk_hold_gb200+Sens!C12950*tk_hold_gb300+Sens!C12952*tk_hold_vr200+Sens!C12951*nv_hold_mai*tk_hold_vr200)/Sens!C12940</f>
        <v>9.7235358126469</v>
      </c>
      <c r="D12953" s="15" t="n">
        <f aca="false">(Sens!D12948*tk_hold_h100+Sens!D12949*tk_hold_gb200+Sens!D12950*tk_hold_gb300+Sens!D12952*tk_hold_vr200+Sens!D12951*nv_hold_mai*tk_hold_vr200)/Sens!D12940</f>
        <v>9.7235358126469</v>
      </c>
      <c r="E12953" s="15" t="n">
        <f aca="false">(Sens!E12948*tk_hold_h100+Sens!E12949*tk_hold_gb200+Sens!E12950*tk_hold_gb300+Sens!E12952*tk_hold_vr200+Sens!E12951*nv_hold_mai*tk_hold_vr200)/Sens!E12940</f>
        <v>9.7235358126469</v>
      </c>
      <c r="F12953" s="15" t="n">
        <f aca="false">(Sens!F12948*tk_hold_h100+Sens!F12949*tk_hold_gb200+Sens!F12950*tk_hold_gb300+Sens!F12952*tk_hold_vr200+Sens!F12951*nv_hold_mai*tk_hold_vr200)/Sens!F12940</f>
        <v>10.2195353876665</v>
      </c>
      <c r="G12953" s="15" t="n">
        <f aca="false">(Sens!G12948*tk_hold_h100+Sens!G12949*tk_hold_gb200+Sens!G12950*tk_hold_gb300+Sens!G12952*tk_hold_vr200+Sens!G12951*nv_hold_mai*tk_hold_vr200)/Sens!G12940</f>
        <v>10.5725598017306</v>
      </c>
      <c r="H12953" s="15" t="n">
        <f aca="false">(Sens!H12948*tk_hold_h100+Sens!H12949*tk_hold_gb200+Sens!H12950*tk_hold_gb300+Sens!H12952*tk_hold_vr200+Sens!H12951*nv_hold_mai*tk_hold_vr200)/Sens!H12940</f>
        <v>10.8210427149036</v>
      </c>
      <c r="I12953" s="15" t="n">
        <f aca="false">(Sens!I12948*tk_hold_h100+Sens!I12949*tk_hold_gb200+Sens!I12950*tk_hold_gb300+Sens!I12952*tk_hold_vr200+Sens!I12951*nv_hold_mai*tk_hold_vr200)/Sens!I12940</f>
        <v>11.0050618241982</v>
      </c>
      <c r="J12953" s="15" t="n">
        <f aca="false">(Sens!J12948*tk_hold_h100+Sens!J12949*tk_hold_gb200+Sens!J12950*tk_hold_gb300+Sens!J12952*tk_hold_vr200+Sens!J12951*nv_hold_mai*tk_hold_vr200)/Sens!J12940</f>
        <v>11.1505789658881</v>
      </c>
      <c r="K12953" s="15" t="n">
        <f aca="false">(Sens!K12948*tk_hold_h100+Sens!K12949*tk_hold_gb200+Sens!K12950*tk_hold_gb300+Sens!K12952*tk_hold_vr200+Sens!K12951*nv_hold_mai*tk_hold_vr200)/Sens!K12940</f>
        <v>11.3496914757183</v>
      </c>
      <c r="L12953" s="1" t="s">
        <v>973</v>
      </c>
    </row>
    <row r="12954" customFormat="false" ht="17.15" hidden="false" customHeight="false" outlineLevel="0" collapsed="false">
      <c r="A12954" s="1" t="s">
        <v>974</v>
      </c>
      <c r="B12954" s="0" t="s">
        <v>403</v>
      </c>
      <c r="C12954" s="15" t="n">
        <f aca="false">(Sens!C12948*tk_hold_h100+Sens!C12949*tk_hold_gb200+Sens!C12950*tk_hold_gb300+Sens!C12952*tk_hold_vr200+Sens!C12951*nv_out_mai*tk_hold_vr200)/Sens!C12940</f>
        <v>9.7235358126469</v>
      </c>
      <c r="D12954" s="15" t="n">
        <f aca="false">(Sens!D12948*tk_hold_h100+Sens!D12949*tk_hold_gb200+Sens!D12950*tk_hold_gb300+Sens!D12952*tk_hold_vr200+Sens!D12951*nv_out_mai*tk_hold_vr200)/Sens!D12940</f>
        <v>9.7235358126469</v>
      </c>
      <c r="E12954" s="15" t="n">
        <f aca="false">(Sens!E12948*tk_hold_h100+Sens!E12949*tk_hold_gb200+Sens!E12950*tk_hold_gb300+Sens!E12952*tk_hold_vr200+Sens!E12951*nv_out_mai*tk_hold_vr200)/Sens!E12940</f>
        <v>9.7235358126469</v>
      </c>
      <c r="F12954" s="15" t="n">
        <f aca="false">(Sens!F12948*tk_hold_h100+Sens!F12949*tk_hold_gb200+Sens!F12950*tk_hold_gb300+Sens!F12952*tk_hold_vr200+Sens!F12951*nv_out_mai*tk_hold_vr200)/Sens!F12940</f>
        <v>10.247422093969</v>
      </c>
      <c r="G12954" s="15" t="n">
        <f aca="false">(Sens!G12948*tk_hold_h100+Sens!G12949*tk_hold_gb200+Sens!G12950*tk_hold_gb300+Sens!G12952*tk_hold_vr200+Sens!G12951*nv_out_mai*tk_hold_vr200)/Sens!G12940</f>
        <v>10.6108602808053</v>
      </c>
      <c r="H12954" s="15" t="n">
        <f aca="false">(Sens!H12948*tk_hold_h100+Sens!H12949*tk_hold_gb200+Sens!H12950*tk_hold_gb300+Sens!H12952*tk_hold_vr200+Sens!H12951*nv_out_mai*tk_hold_vr200)/Sens!H12940</f>
        <v>10.8647885507393</v>
      </c>
      <c r="I12954" s="15" t="n">
        <f aca="false">(Sens!I12948*tk_hold_h100+Sens!I12949*tk_hold_gb200+Sens!I12950*tk_hold_gb300+Sens!I12952*tk_hold_vr200+Sens!I12951*nv_out_mai*tk_hold_vr200)/Sens!I12940</f>
        <v>11.0535625770025</v>
      </c>
      <c r="J12954" s="15" t="n">
        <f aca="false">(Sens!J12948*tk_hold_h100+Sens!J12949*tk_hold_gb200+Sens!J12950*tk_hold_gb300+Sens!J12952*tk_hold_vr200+Sens!J12951*nv_out_mai*tk_hold_vr200)/Sens!J12940</f>
        <v>11.2032127128058</v>
      </c>
      <c r="K12954" s="15" t="n">
        <f aca="false">(Sens!K12948*tk_hold_h100+Sens!K12949*tk_hold_gb200+Sens!K12950*tk_hold_gb300+Sens!K12952*tk_hold_vr200+Sens!K12951*nv_out_mai*tk_hold_vr200)/Sens!K12940</f>
        <v>11.4085735724225</v>
      </c>
      <c r="L12954" s="12" t="s">
        <v>975</v>
      </c>
    </row>
    <row r="12955" customFormat="false" ht="17.15" hidden="false" customHeight="false" outlineLevel="0" collapsed="false">
      <c r="A12955" s="0" t="s">
        <v>976</v>
      </c>
      <c r="B12955" s="0" t="s">
        <v>229</v>
      </c>
      <c r="C12955" s="15" t="n">
        <f aca="false">k_B</f>
        <v>1.17213932619116</v>
      </c>
      <c r="D12955" s="15" t="n">
        <f aca="false">k_B</f>
        <v>1.17213932619116</v>
      </c>
      <c r="E12955" s="15" t="n">
        <f aca="false">k_B</f>
        <v>1.17213932619116</v>
      </c>
      <c r="F12955" s="15" t="n">
        <f aca="false">(k_B+((ls_B*k_long+(1-ls_B)*k_spot)-k_B)*MIN(1,(Sens!F12938-base_fy)/k_ramp))</f>
        <v>1.17213932619116</v>
      </c>
      <c r="G12955" s="15" t="n">
        <f aca="false">(k_B+((ls_B*k_long+(1-ls_B)*k_spot)-k_B)*MIN(1,(Sens!G12938-base_fy)/k_ramp))</f>
        <v>1.17213932619116</v>
      </c>
      <c r="H12955" s="15" t="n">
        <f aca="false">(k_B+((ls_B*k_long+(1-ls_B)*k_spot)-k_B)*MIN(1,(Sens!H12938-base_fy)/k_ramp))</f>
        <v>1.17213932619116</v>
      </c>
      <c r="I12955" s="15" t="n">
        <f aca="false">(k_B+((ls_B*k_long+(1-ls_B)*k_spot)-k_B)*MIN(1,(Sens!I12938-base_fy)/k_ramp))</f>
        <v>1.17213932619116</v>
      </c>
      <c r="J12955" s="15" t="n">
        <f aca="false">(k_B+((ls_B*k_long+(1-ls_B)*k_spot)-k_B)*MIN(1,(Sens!J12938-base_fy)/k_ramp))</f>
        <v>1.17213932619116</v>
      </c>
      <c r="K12955" s="15" t="n">
        <f aca="false">(k_B+((ls_B*k_long+(1-ls_B)*k_spot)-k_B)*MIN(1,(Sens!K12938-base_fy)/k_ramp))</f>
        <v>1.17213932619116</v>
      </c>
      <c r="L12955" s="1" t="s">
        <v>977</v>
      </c>
    </row>
    <row r="12956" customFormat="false" ht="17.15" hidden="false" customHeight="false" outlineLevel="0" collapsed="false">
      <c r="A12956" s="1" t="s">
        <v>978</v>
      </c>
      <c r="B12956" s="0" t="s">
        <v>403</v>
      </c>
      <c r="C12956" s="15" t="n">
        <f aca="false">Sens!C12954*Sens!C12955*chip_f</f>
        <v>11.3973387156315</v>
      </c>
      <c r="D12956" s="15" t="n">
        <f aca="false">Sens!D12954*Sens!D12955*chip_f</f>
        <v>11.3973387156315</v>
      </c>
      <c r="E12956" s="15" t="n">
        <f aca="false">Sens!E12954*Sens!E12955*chip_f</f>
        <v>11.3973387156315</v>
      </c>
      <c r="F12956" s="15" t="n">
        <f aca="false">Sens!F12954*Sens!F12955*chip_f</f>
        <v>12.0114064284211</v>
      </c>
      <c r="G12956" s="15" t="n">
        <f aca="false">Sens!G12954*Sens!G12955*chip_f</f>
        <v>12.4374066198516</v>
      </c>
      <c r="H12956" s="15" t="n">
        <f aca="false">Sens!H12954*Sens!H12955*chip_f</f>
        <v>12.735045931073</v>
      </c>
      <c r="I12956" s="15" t="n">
        <f aca="false">Sens!I12954*Sens!I12955*chip_f</f>
        <v>12.9563153910195</v>
      </c>
      <c r="J12956" s="15" t="n">
        <f aca="false">Sens!J12954*Sens!J12955*chip_f</f>
        <v>13.1317262003643</v>
      </c>
      <c r="K12956" s="15" t="n">
        <f aca="false">Sens!K12954*Sens!K12955*chip_f</f>
        <v>13.3724377399815</v>
      </c>
      <c r="L12956" s="1" t="s">
        <v>979</v>
      </c>
    </row>
    <row r="12957" customFormat="false" ht="17.15" hidden="false" customHeight="false" outlineLevel="0" collapsed="false">
      <c r="A12957" s="0" t="s">
        <v>980</v>
      </c>
      <c r="B12957" s="0" t="s">
        <v>98</v>
      </c>
      <c r="D12957" s="6" t="n">
        <f aca="false">(Sens!C12940+Sens!D12940)/2*Sens!D12956/1000</f>
        <v>12.9359794422418</v>
      </c>
      <c r="E12957" s="6" t="n">
        <f aca="false">(Sens!D12940+Sens!E12940)/2*Sens!E12956/1000</f>
        <v>27.8095064661409</v>
      </c>
      <c r="F12957" s="6" t="n">
        <f aca="false">(Sens!E12940+Sens!F12940)/2*Sens!F12956/1000</f>
        <v>55.4118315060966</v>
      </c>
      <c r="G12957" s="6" t="n">
        <f aca="false">(Sens!F12940+Sens!G12940)/2*Sens!G12956/1000</f>
        <v>91.2881100675143</v>
      </c>
      <c r="H12957" s="6" t="n">
        <f aca="false">(Sens!G12940+Sens!H12940)/2*Sens!H12956/1000</f>
        <v>128.195273603944</v>
      </c>
      <c r="I12957" s="6" t="n">
        <f aca="false">(Sens!H12940+Sens!I12940)/2*Sens!I12956/1000</f>
        <v>160.601281810405</v>
      </c>
      <c r="J12957" s="6" t="n">
        <f aca="false">(Sens!I12940+Sens!J12940)/2*Sens!J12956/1000</f>
        <v>183.182719793589</v>
      </c>
      <c r="K12957" s="6" t="n">
        <f aca="false">(Sens!J12940+Sens!K12940)/2*Sens!K12956/1000</f>
        <v>197.320124937098</v>
      </c>
      <c r="L12957" s="12" t="s">
        <v>981</v>
      </c>
    </row>
    <row r="12958" customFormat="false" ht="17.15" hidden="false" customHeight="false" outlineLevel="0" collapsed="false">
      <c r="A12958" s="1" t="s">
        <v>982</v>
      </c>
      <c r="B12958" s="0" t="s">
        <v>403</v>
      </c>
      <c r="C12958" s="15" t="n">
        <f aca="false">(Sens!C12948*tk_opex_h100+Sens!C12949*tk_opex_gb200+Sens!C12950*tk_opex_gb300+(Sens!C12952+Sens!C12951)*tk_opex_vr200)/Sens!C12940</f>
        <v>1.88636041306092</v>
      </c>
      <c r="D12958" s="15" t="n">
        <f aca="false">(Sens!D12948*tk_opex_h100+Sens!D12949*tk_opex_gb200+Sens!D12950*tk_opex_gb300+(Sens!D12952+Sens!D12951)*tk_opex_vr200)/Sens!D12940</f>
        <v>1.88636041306092</v>
      </c>
      <c r="E12958" s="15" t="n">
        <f aca="false">(Sens!E12948*tk_opex_h100+Sens!E12949*tk_opex_gb200+Sens!E12950*tk_opex_gb300+(Sens!E12952+Sens!E12951)*tk_opex_vr200)/Sens!E12940</f>
        <v>1.88636041306092</v>
      </c>
      <c r="F12958" s="15" t="n">
        <f aca="false">(Sens!F12948*tk_opex_h100+Sens!F12949*tk_opex_gb200+Sens!F12950*tk_opex_gb300+(Sens!F12952+Sens!F12951)*tk_opex_vr200)/Sens!F12940</f>
        <v>1.95051159746876</v>
      </c>
      <c r="G12958" s="15" t="n">
        <f aca="false">(Sens!G12948*tk_opex_h100+Sens!G12949*tk_opex_gb200+Sens!G12950*tk_opex_gb300+(Sens!G12952+Sens!G12951)*tk_opex_vr200)/Sens!G12940</f>
        <v>1.98836003669956</v>
      </c>
      <c r="H12958" s="15" t="n">
        <f aca="false">(Sens!H12948*tk_opex_h100+Sens!H12949*tk_opex_gb200+Sens!H12950*tk_opex_gb300+(Sens!H12952+Sens!H12951)*tk_opex_vr200)/Sens!H12940</f>
        <v>2.01344013834343</v>
      </c>
      <c r="I12958" s="15" t="n">
        <f aca="false">(Sens!I12948*tk_opex_h100+Sens!I12949*tk_opex_gb200+Sens!I12950*tk_opex_gb300+(Sens!I12952+Sens!I12951)*tk_opex_vr200)/Sens!I12940</f>
        <v>2.03261166882178</v>
      </c>
      <c r="J12958" s="15" t="n">
        <f aca="false">(Sens!J12948*tk_opex_h100+Sens!J12949*tk_opex_gb200+Sens!J12950*tk_opex_gb300+(Sens!J12952+Sens!J12951)*tk_opex_vr200)/Sens!J12940</f>
        <v>2.04808073288745</v>
      </c>
      <c r="K12958" s="15" t="n">
        <f aca="false">(Sens!K12948*tk_opex_h100+Sens!K12949*tk_opex_gb200+Sens!K12950*tk_opex_gb300+(Sens!K12952+Sens!K12951)*tk_opex_vr200)/Sens!K12940</f>
        <v>2.06973825807449</v>
      </c>
      <c r="L12958" s="12" t="s">
        <v>983</v>
      </c>
    </row>
    <row r="12959" customFormat="false" ht="17.15" hidden="false" customHeight="false" outlineLevel="0" collapsed="false">
      <c r="A12959" s="0" t="s">
        <v>984</v>
      </c>
      <c r="B12959" s="0" t="s">
        <v>98</v>
      </c>
      <c r="D12959" s="6" t="n">
        <f aca="false">(Sens!C12943+Sens!D12943)/2*Sens!D12958/1000</f>
        <v>2.70378325872065</v>
      </c>
      <c r="E12959" s="6" t="n">
        <f aca="false">(Sens!D12943+Sens!E12943)/2*Sens!E12958/1000</f>
        <v>6.17783035277451</v>
      </c>
      <c r="F12959" s="6" t="n">
        <f aca="false">(Sens!E12943+Sens!F12943)/2*Sens!F12958/1000</f>
        <v>12.8742463089237</v>
      </c>
      <c r="G12959" s="6" t="n">
        <f aca="false">(Sens!F12943+Sens!G12943)/2*Sens!G12958/1000</f>
        <v>21.8182834646277</v>
      </c>
      <c r="H12959" s="6" t="n">
        <f aca="false">(Sens!G12943+Sens!H12943)/2*Sens!H12958/1000</f>
        <v>31.2430128789734</v>
      </c>
      <c r="I12959" s="6" t="n">
        <f aca="false">(Sens!H12943+Sens!I12943)/2*Sens!I12958/1000</f>
        <v>39.4313057443268</v>
      </c>
      <c r="J12959" s="6" t="n">
        <f aca="false">(Sens!I12943+Sens!J12943)/2*Sens!J12958/1000</f>
        <v>45.0360318228653</v>
      </c>
      <c r="K12959" s="6" t="n">
        <f aca="false">(Sens!J12943+Sens!K12943)/2*Sens!K12958/1000</f>
        <v>48.2929727091156</v>
      </c>
    </row>
    <row r="12960" customFormat="false" ht="17.15" hidden="false" customHeight="false" outlineLevel="0" collapsed="false">
      <c r="A12960" s="0" t="s">
        <v>985</v>
      </c>
      <c r="B12960" s="0" t="s">
        <v>98</v>
      </c>
      <c r="D12960" s="6" t="n">
        <f aca="false">(Sens!C12941+Sens!D12941)/2*rent_mw/1000</f>
        <v>2.44475</v>
      </c>
      <c r="E12960" s="6" t="n">
        <f aca="false">(Sens!D12941+Sens!E12941)/2*rent_mw/1000</f>
        <v>4.22275</v>
      </c>
      <c r="F12960" s="6" t="n">
        <f aca="false">(Sens!E12941+Sens!F12941)/2*rent_mw/1000</f>
        <v>5.80517</v>
      </c>
      <c r="G12960" s="6" t="n">
        <f aca="false">(Sens!F12941+Sens!G12941)/2*rent_mw/1000</f>
        <v>6.72084</v>
      </c>
      <c r="H12960" s="6" t="n">
        <f aca="false">(Sens!G12941+Sens!H12941)/2*rent_mw/1000</f>
        <v>6.72084</v>
      </c>
      <c r="I12960" s="6" t="n">
        <f aca="false">(Sens!H12941+Sens!I12941)/2*rent_mw/1000</f>
        <v>6.72084</v>
      </c>
      <c r="J12960" s="6" t="n">
        <f aca="false">(Sens!I12941+Sens!J12941)/2*rent_mw/1000</f>
        <v>6.72084</v>
      </c>
      <c r="K12960" s="6" t="n">
        <f aca="false">(Sens!J12941+Sens!K12941)/2*rent_mw/1000</f>
        <v>6.72084</v>
      </c>
    </row>
    <row r="12961" customFormat="false" ht="17.15" hidden="false" customHeight="false" outlineLevel="0" collapsed="false">
      <c r="A12961" s="0" t="s">
        <v>986</v>
      </c>
      <c r="B12961" s="0" t="s">
        <v>98</v>
      </c>
      <c r="D12961" s="6" t="n">
        <f aca="false">(Sens!C12943+Sens!D12943)/2*(1-self_build)*fac_rent/1000</f>
        <v>0.853242375631075</v>
      </c>
      <c r="E12961" s="6" t="n">
        <f aca="false">(Sens!D12943+Sens!E12943)/2*(1-self_build)*fac_rent/1000</f>
        <v>1.94955961408728</v>
      </c>
      <c r="F12961" s="6" t="n">
        <f aca="false">(Sens!E12943+Sens!F12943)/2*(1-self_build)*fac_rent/1000</f>
        <v>3.92914894476356</v>
      </c>
      <c r="G12961" s="6" t="n">
        <f aca="false">(Sens!F12943+Sens!G12943)/2*(1-self_build)*fac_rent/1000</f>
        <v>6.53206908578159</v>
      </c>
      <c r="H12961" s="6" t="n">
        <f aca="false">(Sens!G12943+Sens!H12943)/2*(1-self_build)*fac_rent/1000</f>
        <v>9.23717988341591</v>
      </c>
      <c r="I12961" s="6" t="n">
        <f aca="false">(Sens!H12943+Sens!I12943)/2*(1-self_build)*fac_rent/1000</f>
        <v>11.5481378557393</v>
      </c>
      <c r="J12961" s="6" t="n">
        <f aca="false">(Sens!I12943+Sens!J12943)/2*(1-self_build)*fac_rent/1000</f>
        <v>13.0899582289108</v>
      </c>
      <c r="K12961" s="6" t="n">
        <f aca="false">(Sens!J12943+Sens!K12943)/2*(1-self_build)*fac_rent/1000</f>
        <v>13.8897275626556</v>
      </c>
      <c r="L12961" s="12" t="s">
        <v>987</v>
      </c>
    </row>
    <row r="12962" customFormat="false" ht="17.15" hidden="false" customHeight="false" outlineLevel="0" collapsed="false">
      <c r="A12962" s="1" t="s">
        <v>988</v>
      </c>
      <c r="B12962" s="0" t="s">
        <v>168</v>
      </c>
      <c r="D12962" s="7" t="n">
        <f aca="false">(Sens!C12942+Sens!D12942)/(Sens!C12943+Sens!D12943)</f>
        <v>0.6</v>
      </c>
      <c r="E12962" s="7" t="n">
        <f aca="false">(Sens!D12942+Sens!E12942)/(Sens!D12943+Sens!E12943)</f>
        <v>0.6</v>
      </c>
      <c r="F12962" s="7" t="n">
        <f aca="false">(Sens!E12942+Sens!F12942)/(Sens!E12943+Sens!F12943)</f>
        <v>0.6</v>
      </c>
      <c r="G12962" s="7" t="n">
        <f aca="false">(Sens!F12942+Sens!G12942)/(Sens!F12943+Sens!G12943)</f>
        <v>0.6</v>
      </c>
      <c r="H12962" s="7" t="n">
        <f aca="false">(Sens!G12942+Sens!H12942)/(Sens!G12943+Sens!H12943)</f>
        <v>0.6</v>
      </c>
      <c r="I12962" s="7" t="n">
        <f aca="false">(Sens!H12942+Sens!I12942)/(Sens!H12943+Sens!I12943)</f>
        <v>0.6</v>
      </c>
      <c r="J12962" s="7" t="n">
        <f aca="false">(Sens!I12942+Sens!J12942)/(Sens!I12943+Sens!J12943)</f>
        <v>0.6</v>
      </c>
      <c r="K12962" s="7" t="n">
        <f aca="false">(Sens!J12942+Sens!K12942)/(Sens!J12943+Sens!K12943)</f>
        <v>0.6</v>
      </c>
    </row>
    <row r="12963" customFormat="false" ht="17.15" hidden="false" customHeight="false" outlineLevel="0" collapsed="false">
      <c r="A12963" s="0" t="s">
        <v>989</v>
      </c>
      <c r="B12963" s="0" t="s">
        <v>98</v>
      </c>
      <c r="D12963" s="6" t="n">
        <f aca="false">Sens!D12957-Sens!D12962*(Sens!D12959+Sens!D12961)-Sens!D12960</f>
        <v>8.35701406163072</v>
      </c>
      <c r="E12963" s="6" t="n">
        <f aca="false">Sens!E12957-Sens!E12962*(Sens!E12959+Sens!E12961)-Sens!E12960</f>
        <v>18.7103224860238</v>
      </c>
      <c r="F12963" s="6" t="n">
        <f aca="false">Sens!F12957-Sens!F12962*(Sens!F12959+Sens!F12961)-Sens!F12960</f>
        <v>39.5246243538843</v>
      </c>
      <c r="G12963" s="6" t="n">
        <f aca="false">Sens!G12957-Sens!G12962*(Sens!G12959+Sens!G12961)-Sens!G12960</f>
        <v>67.5570585372687</v>
      </c>
      <c r="H12963" s="6" t="n">
        <f aca="false">Sens!H12957-Sens!H12962*(Sens!H12959+Sens!H12961)-Sens!H12960</f>
        <v>97.1863179465102</v>
      </c>
      <c r="I12963" s="6" t="n">
        <f aca="false">Sens!I12957-Sens!I12962*(Sens!I12959+Sens!I12961)-Sens!I12960</f>
        <v>123.292775650365</v>
      </c>
      <c r="J12963" s="6" t="n">
        <f aca="false">Sens!J12957-Sens!J12962*(Sens!J12959+Sens!J12961)-Sens!J12960</f>
        <v>141.586285762524</v>
      </c>
      <c r="K12963" s="6" t="n">
        <f aca="false">Sens!K12957-Sens!K12962*(Sens!K12959+Sens!K12961)-Sens!K12960</f>
        <v>153.289664774035</v>
      </c>
    </row>
    <row r="12964" customFormat="false" ht="17.15" hidden="false" customHeight="false" outlineLevel="0" collapsed="false">
      <c r="A12964" s="1" t="s">
        <v>990</v>
      </c>
      <c r="B12964" s="0" t="s">
        <v>98</v>
      </c>
      <c r="D12964" s="6" t="n">
        <f aca="false">(1-Sens!D12962)*(Sens!D12959+Sens!D12961)</f>
        <v>1.42281025374069</v>
      </c>
      <c r="E12964" s="6" t="n">
        <f aca="false">(1-Sens!E12962)*(Sens!E12959+Sens!E12961)</f>
        <v>3.25095598674472</v>
      </c>
      <c r="F12964" s="6" t="n">
        <f aca="false">(1-Sens!F12962)*(Sens!F12959+Sens!F12961)</f>
        <v>6.72135810147489</v>
      </c>
      <c r="G12964" s="6" t="n">
        <f aca="false">(1-Sens!G12962)*(Sens!G12959+Sens!G12961)</f>
        <v>11.3401410201637</v>
      </c>
      <c r="H12964" s="6" t="n">
        <f aca="false">(1-Sens!H12962)*(Sens!H12959+Sens!H12961)</f>
        <v>16.1920771049557</v>
      </c>
      <c r="I12964" s="6" t="n">
        <f aca="false">(1-Sens!I12962)*(Sens!I12959+Sens!I12961)</f>
        <v>20.3917774400264</v>
      </c>
      <c r="J12964" s="6" t="n">
        <f aca="false">(1-Sens!J12962)*(Sens!J12959+Sens!J12961)</f>
        <v>23.2503960207104</v>
      </c>
      <c r="K12964" s="6" t="n">
        <f aca="false">(1-Sens!K12962)*(Sens!K12959+Sens!K12961)</f>
        <v>24.8730801087085</v>
      </c>
    </row>
    <row r="12965" customFormat="false" ht="17.15" hidden="false" customHeight="false" outlineLevel="0" collapsed="false">
      <c r="A12965" s="1" t="s">
        <v>991</v>
      </c>
      <c r="B12965" s="0" t="s">
        <v>417</v>
      </c>
      <c r="C12965" s="8" t="n">
        <f aca="false">cxit_open</f>
        <v>27.5918995</v>
      </c>
      <c r="D12965" s="8" t="n">
        <f aca="false">cxit_open</f>
        <v>27.5918995</v>
      </c>
      <c r="E12965" s="8" t="n">
        <f aca="false">cxit_open</f>
        <v>27.5918995</v>
      </c>
      <c r="F12965" s="8" t="n">
        <f aca="false">((a_g3_27-nonnv*a_mai)*tk_cxit_gb300+nonnv*a_mai*nv_hold_mai*tk_cxit_vr200+(1-a_g3_27)*tk_cxit_vr200)</f>
        <v>32.4975576</v>
      </c>
      <c r="G12965" s="8" t="n">
        <f aca="false">((a_g3_28-nonnv*a_mai)*tk_cxit_gb300+nonnv*a_mai*nv_hold_mai*tk_cxit_vr200+(1-a_g3_28)*tk_cxit_vr200)</f>
        <v>34.6372088</v>
      </c>
      <c r="H12965" s="8" t="n">
        <f aca="false">((a_g3_29-nonnv*a_mai)*tk_cxit_gb300+nonnv*a_mai*nv_hold_mai*tk_cxit_vr200+(1-a_g3_29)*tk_cxit_vr200)</f>
        <v>35.7070344</v>
      </c>
      <c r="I12965" s="8" t="n">
        <f aca="false">((a_g3_29-nonnv*a_mai)*tk_cxit_gb300+nonnv*a_mai*nv_hold_mai*tk_cxit_vr200+(1-a_g3_29)*tk_cxit_vr200)</f>
        <v>35.7070344</v>
      </c>
      <c r="J12965" s="8" t="n">
        <f aca="false">((a_g3_29-nonnv*a_mai)*tk_cxit_gb300+nonnv*a_mai*nv_hold_mai*tk_cxit_vr200+(1-a_g3_29)*tk_cxit_vr200)</f>
        <v>35.7070344</v>
      </c>
      <c r="K12965" s="8" t="n">
        <f aca="false">((a_g3_29-nonnv*a_mai)*tk_cxit_gb300+nonnv*a_mai*nv_hold_mai*tk_cxit_vr200+(1-a_g3_29)*tk_cxit_vr200)</f>
        <v>35.7070344</v>
      </c>
      <c r="L12965" s="12" t="s">
        <v>992</v>
      </c>
    </row>
    <row r="12966" customFormat="false" ht="17.15" hidden="false" customHeight="false" outlineLevel="0" collapsed="false">
      <c r="A12966" s="0" t="s">
        <v>993</v>
      </c>
      <c r="B12966" s="0" t="s">
        <v>459</v>
      </c>
      <c r="F12966" s="30" t="n">
        <f aca="false">Sens!C12945*IF(Sens!F12938-Sens!C12938=life_it,1,0)+Sens!D12945*IF(Sens!F12938-Sens!D12938=life_it,1,0)+Sens!E12945*IF(Sens!F12938-Sens!E12938=life_it,1,0)</f>
        <v>0</v>
      </c>
      <c r="G12966" s="30" t="n">
        <f aca="false">Sens!C12945*IF(Sens!G12938-Sens!C12938=life_it,1,0)+Sens!D12945*IF(Sens!G12938-Sens!D12938=life_it,1,0)+Sens!E12945*IF(Sens!G12938-Sens!E12938=life_it,1,0)+Sens!F12945*IF(Sens!G12938-Sens!F12938=life_it,1,0)</f>
        <v>0</v>
      </c>
      <c r="H12966" s="30" t="n">
        <f aca="false">Sens!C12945*IF(Sens!H12938-Sens!C12938=life_it,1,0)+Sens!D12945*IF(Sens!H12938-Sens!D12938=life_it,1,0)+Sens!E12945*IF(Sens!H12938-Sens!E12938=life_it,1,0)+Sens!F12945*IF(Sens!H12938-Sens!F12938=life_it,1,0)+Sens!G12945*IF(Sens!H12938-Sens!G12938=life_it,1,0)</f>
        <v>0</v>
      </c>
      <c r="I12966" s="30" t="n">
        <f aca="false">Sens!C12945*IF(Sens!I12938-Sens!C12938=life_it,1,0)+Sens!D12945*IF(Sens!I12938-Sens!D12938=life_it,1,0)+Sens!E12945*IF(Sens!I12938-Sens!E12938=life_it,1,0)+Sens!F12945*IF(Sens!I12938-Sens!F12938=life_it,1,0)+Sens!G12945*IF(Sens!I12938-Sens!G12938=life_it,1,0)+Sens!H12945*IF(Sens!I12938-Sens!H12938=life_it,1,0)</f>
        <v>816.666666666667</v>
      </c>
      <c r="J12966" s="30" t="n">
        <f aca="false">Sens!C12945*IF(Sens!J12938-Sens!C12938=life_it,1,0)+Sens!D12945*IF(Sens!J12938-Sens!D12938=life_it,1,0)+Sens!E12945*IF(Sens!J12938-Sens!E12938=life_it,1,0)+Sens!F12945*IF(Sens!J12938-Sens!F12938=life_it,1,0)+Sens!G12945*IF(Sens!J12938-Sens!G12938=life_it,1,0)+Sens!H12945*IF(Sens!J12938-Sens!H12938=life_it,1,0)+Sens!I12945*IF(Sens!J12938-Sens!I12938=life_it,1,0)</f>
        <v>1233.33333333333</v>
      </c>
      <c r="K12966" s="30" t="n">
        <f aca="false">Sens!C12945*IF(Sens!K12938-Sens!C12938=life_it,1,0)+Sens!D12945*IF(Sens!K12938-Sens!D12938=life_it,1,0)+Sens!E12945*IF(Sens!K12938-Sens!E12938=life_it,1,0)+Sens!F12945*IF(Sens!K12938-Sens!F12938=life_it,1,0)+Sens!G12945*IF(Sens!K12938-Sens!G12938=life_it,1,0)+Sens!H12945*IF(Sens!K12938-Sens!H12938=life_it,1,0)+Sens!I12945*IF(Sens!K12938-Sens!I12938=life_it,1,0)+Sens!J12945*IF(Sens!K12938-Sens!J12938=life_it,1,0)</f>
        <v>2450</v>
      </c>
      <c r="L12966" s="1" t="s">
        <v>994</v>
      </c>
    </row>
    <row r="12967" customFormat="false" ht="17.15" hidden="false" customHeight="false" outlineLevel="0" collapsed="false">
      <c r="A12967" s="0" t="s">
        <v>995</v>
      </c>
      <c r="B12967" s="0" t="s">
        <v>98</v>
      </c>
      <c r="C12967" s="6" t="n">
        <f aca="false">Sens!C12945*Sens!C12965/1000</f>
        <v>22.5333845916667</v>
      </c>
      <c r="D12967" s="6" t="n">
        <f aca="false">Sens!D12945*Sens!D12965/1000</f>
        <v>34.0300093833333</v>
      </c>
      <c r="E12967" s="6" t="n">
        <f aca="false">Sens!E12945*Sens!E12965/1000</f>
        <v>67.600153775</v>
      </c>
      <c r="F12967" s="6" t="n">
        <f aca="false">(Sens!F12945+Sens!F12966)*Sens!F12965/1000</f>
        <v>136.51872432512</v>
      </c>
      <c r="G12967" s="6" t="n">
        <f aca="false">(Sens!G12945+Sens!G12966)*Sens!G12965/1000</f>
        <v>157.399275932048</v>
      </c>
      <c r="H12967" s="6" t="n">
        <f aca="false">(Sens!H12945+Sens!H12966)*Sens!H12965/1000</f>
        <v>162.260804347512</v>
      </c>
      <c r="I12967" s="6" t="n">
        <f aca="false">(Sens!I12945+Sens!I12966)*Sens!I12965/1000</f>
        <v>144.136569485434</v>
      </c>
      <c r="J12967" s="6" t="n">
        <f aca="false">(Sens!J12945+Sens!J12966)*Sens!J12965/1000</f>
        <v>114.029037357864</v>
      </c>
      <c r="K12967" s="6" t="n">
        <f aca="false">(Sens!K12945+Sens!K12966)*Sens!K12965/1000</f>
        <v>113.437085350975</v>
      </c>
    </row>
    <row r="12968" customFormat="false" ht="17.15" hidden="false" customHeight="false" outlineLevel="0" collapsed="false">
      <c r="A12968" s="0" t="s">
        <v>996</v>
      </c>
      <c r="B12968" s="0" t="s">
        <v>98</v>
      </c>
      <c r="C12968" s="6" t="n">
        <f aca="false">Sens!C12945*self_build*tk_cxfac/1000</f>
        <v>6.2083</v>
      </c>
      <c r="D12968" s="6" t="n">
        <f aca="false">Sens!D12945*self_build*tk_cxfac/1000</f>
        <v>9.3758</v>
      </c>
      <c r="E12968" s="6" t="n">
        <f aca="false">Sens!E12945*self_build*tk_cxfac/1000</f>
        <v>18.6249</v>
      </c>
      <c r="F12968" s="6" t="n">
        <f aca="false">Sens!F12945*self_build*tk_cxfac/1000</f>
        <v>31.935179717</v>
      </c>
      <c r="G12968" s="6" t="n">
        <f aca="false">Sens!G12945*self_build*tk_cxfac/1000</f>
        <v>34.545199717</v>
      </c>
      <c r="H12968" s="6" t="n">
        <f aca="false">Sens!H12945*self_build*tk_cxfac/1000</f>
        <v>34.545199717</v>
      </c>
      <c r="I12968" s="6" t="n">
        <f aca="false">Sens!I12945*self_build*tk_cxfac/1000</f>
        <v>24.4782641361767</v>
      </c>
      <c r="J12968" s="6" t="n">
        <f aca="false">Sens!J12945*self_build*tk_cxfac/1000</f>
        <v>14.9008938380769</v>
      </c>
      <c r="K12968" s="6" t="n">
        <f aca="false">Sens!K12945*self_build*tk_cxfac/1000</f>
        <v>5.52576771375761</v>
      </c>
    </row>
    <row r="12969" customFormat="false" ht="17.15" hidden="false" customHeight="false" outlineLevel="0" collapsed="false">
      <c r="A12969" s="0" t="s">
        <v>997</v>
      </c>
      <c r="B12969" s="0" t="s">
        <v>98</v>
      </c>
      <c r="F12969" s="15" t="n">
        <f aca="false">capex_floor27-Sens!F12967-Sens!F12968-Sens!F13065</f>
        <v>1.94586576753863E-005</v>
      </c>
      <c r="L12969" s="12" t="s">
        <v>998</v>
      </c>
    </row>
    <row r="12970" customFormat="false" ht="17.15" hidden="false" customHeight="false" outlineLevel="0" collapsed="false">
      <c r="A12970" s="0" t="s">
        <v>999</v>
      </c>
      <c r="B12970" s="0" t="s">
        <v>98</v>
      </c>
      <c r="F12970" s="6" t="n">
        <f aca="false">MAX(0,Sens!F12969)</f>
        <v>1.94586576753863E-005</v>
      </c>
    </row>
    <row r="12971" customFormat="false" ht="17.15" hidden="false" customHeight="false" outlineLevel="0" collapsed="false">
      <c r="A12971" s="0" t="s">
        <v>1000</v>
      </c>
      <c r="B12971" s="0" t="s">
        <v>98</v>
      </c>
      <c r="C12971" s="6" t="n">
        <f aca="false">Sens!C12967</f>
        <v>22.5333845916667</v>
      </c>
      <c r="D12971" s="6" t="n">
        <f aca="false">Sens!D12967</f>
        <v>34.0300093833333</v>
      </c>
      <c r="E12971" s="6" t="n">
        <f aca="false">Sens!E12967</f>
        <v>67.600153775</v>
      </c>
      <c r="F12971" s="6" t="n">
        <f aca="false">Sens!F12967</f>
        <v>136.51872432512</v>
      </c>
      <c r="G12971" s="6" t="n">
        <f aca="false">Sens!G12967</f>
        <v>157.399275932048</v>
      </c>
      <c r="H12971" s="6" t="n">
        <f aca="false">Sens!H12967</f>
        <v>162.260804347512</v>
      </c>
      <c r="I12971" s="6" t="n">
        <f aca="false">Sens!I12967</f>
        <v>144.136569485434</v>
      </c>
      <c r="J12971" s="6" t="n">
        <f aca="false">Sens!J12967</f>
        <v>114.029037357864</v>
      </c>
      <c r="K12971" s="6" t="n">
        <f aca="false">Sens!K12967</f>
        <v>113.437085350975</v>
      </c>
    </row>
    <row r="12972" customFormat="false" ht="17.15" hidden="false" customHeight="false" outlineLevel="0" collapsed="false">
      <c r="A12972" s="0" t="s">
        <v>1001</v>
      </c>
      <c r="B12972" s="0" t="s">
        <v>98</v>
      </c>
      <c r="C12972" s="6" t="n">
        <f aca="false">Sens!C12971+Sens!C12968</f>
        <v>28.7416845916667</v>
      </c>
      <c r="D12972" s="6" t="n">
        <f aca="false">Sens!D12971+Sens!D12968</f>
        <v>43.4058093833333</v>
      </c>
      <c r="E12972" s="6" t="n">
        <f aca="false">Sens!E12971+Sens!E12968</f>
        <v>86.225053775</v>
      </c>
      <c r="F12972" s="6" t="n">
        <f aca="false">Sens!F12971+Sens!F12968</f>
        <v>168.45390404212</v>
      </c>
      <c r="G12972" s="6" t="n">
        <f aca="false">Sens!G12971+Sens!G12968</f>
        <v>191.944475649048</v>
      </c>
      <c r="H12972" s="6" t="n">
        <f aca="false">Sens!H12971+Sens!H12968</f>
        <v>196.806004064512</v>
      </c>
      <c r="I12972" s="6" t="n">
        <f aca="false">Sens!I12971+Sens!I12968</f>
        <v>168.61483362161</v>
      </c>
      <c r="J12972" s="6" t="n">
        <f aca="false">Sens!J12971+Sens!J12968</f>
        <v>128.92993119594</v>
      </c>
      <c r="K12972" s="6" t="n">
        <f aca="false">Sens!K12971+Sens!K12968</f>
        <v>118.962853064733</v>
      </c>
      <c r="L12972" s="12" t="s">
        <v>1002</v>
      </c>
    </row>
    <row r="12973" customFormat="false" ht="17.15" hidden="false" customHeight="false" outlineLevel="0" collapsed="false">
      <c r="A12973" s="0" t="s">
        <v>1003</v>
      </c>
      <c r="B12973" s="0" t="s">
        <v>98</v>
      </c>
      <c r="E12973" s="6" t="n">
        <f aca="false">(Sens!C12971*IF(2&lt;life_it,1,IF(2=life_it,0.5,0))+Sens!D12971*IF(1&lt;life_it,1,IF(1=life_it,0.5,0))+Sens!E12971*0.5)/life_it</f>
        <v>15.0605784770833</v>
      </c>
      <c r="F12973" s="6" t="n">
        <f aca="false">(Sens!C12971*IF(3&lt;life_it,1,IF(3=life_it,0.5,0))+Sens!D12971*IF(2&lt;life_it,1,IF(2=life_it,0.5,0))+Sens!E12971*IF(1&lt;life_it,1,IF(1=life_it,0.5,0))+Sens!F12971*0.5)/life_it</f>
        <v>32.0704849854266</v>
      </c>
      <c r="G12973" s="6" t="n">
        <f aca="false">(Sens!C12971*IF(4&lt;life_it,1,IF(4=life_it,0.5,0))+Sens!D12971*IF(3&lt;life_it,1,IF(3=life_it,0.5,0))+Sens!E12971*IF(2&lt;life_it,1,IF(2=life_it,0.5,0))+Sens!F12971*IF(1&lt;life_it,1,IF(1=life_it,0.5,0))+Sens!G12971*0.5)/life_it</f>
        <v>56.5636516735239</v>
      </c>
      <c r="H12973" s="6" t="n">
        <f aca="false">(Sens!C12971*IF(5&lt;life_it,1,IF(5=life_it,0.5,0))+Sens!D12971*IF(4&lt;life_it,1,IF(4=life_it,0.5,0))+Sens!E12971*IF(3&lt;life_it,1,IF(3=life_it,0.5,0))+Sens!F12971*IF(2&lt;life_it,1,IF(2=life_it,0.5,0))+Sens!G12971*IF(1&lt;life_it,1,IF(1=life_it,0.5,0))+Sens!H12971*0.5)/life_it</f>
        <v>83.2019916968207</v>
      </c>
      <c r="I12973" s="6" t="n">
        <f aca="false">(Sens!C12971*IF(6&lt;life_it,1,IF(6=life_it,0.5,0))+Sens!D12971*IF(5&lt;life_it,1,IF(5=life_it,0.5,0))+Sens!E12971*IF(4&lt;life_it,1,IF(4=life_it,0.5,0))+Sens!F12971*IF(3&lt;life_it,1,IF(3=life_it,0.5,0))+Sens!G12971*IF(2&lt;life_it,1,IF(2=life_it,0.5,0))+Sens!H12971*IF(1&lt;life_it,1,IF(1=life_it,0.5,0))+Sens!I12971*0.5)/life_it</f>
        <v>106.857324133594</v>
      </c>
      <c r="J12973" s="6" t="n">
        <f aca="false">(Sens!C12971*IF(7&lt;life_it,1,IF(7=life_it,0.5,0))+Sens!D12971*IF(6&lt;life_it,1,IF(6=life_it,0.5,0))+Sens!E12971*IF(5&lt;life_it,1,IF(5=life_it,0.5,0))+Sens!F12971*IF(4&lt;life_it,1,IF(4=life_it,0.5,0))+Sens!G12971*IF(3&lt;life_it,1,IF(3=life_it,0.5,0))+Sens!H12971*IF(2&lt;life_it,1,IF(2=life_it,0.5,0))+Sens!I12971*IF(1&lt;life_it,1,IF(1=life_it,0.5,0))+Sens!J12971*0.5)/life_it</f>
        <v>123.657508539285</v>
      </c>
      <c r="K12973" s="6" t="n">
        <f aca="false">(Sens!C12971*IF(8&lt;life_it,1,IF(8=life_it,0.5,0))+Sens!D12971*IF(7&lt;life_it,1,IF(7=life_it,0.5,0))+Sens!E12971*IF(6&lt;life_it,1,IF(6=life_it,0.5,0))+Sens!F12971*IF(5&lt;life_it,1,IF(5=life_it,0.5,0))+Sens!G12971*IF(4&lt;life_it,1,IF(4=life_it,0.5,0))+Sens!H12971*IF(3&lt;life_it,1,IF(3=life_it,0.5,0))+Sens!I12971*IF(2&lt;life_it,1,IF(2=life_it,0.5,0))+Sens!J12971*IF(1&lt;life_it,1,IF(1=life_it,0.5,0))+Sens!K12971*0.5)/life_it</f>
        <v>134.143838501827</v>
      </c>
    </row>
    <row r="12974" customFormat="false" ht="17.15" hidden="false" customHeight="false" outlineLevel="0" collapsed="false">
      <c r="A12974" s="0" t="s">
        <v>1004</v>
      </c>
      <c r="B12974" s="0" t="s">
        <v>98</v>
      </c>
      <c r="E12974" s="6" t="n">
        <f aca="false">(Sens!C12968*IF(2&lt;life_fac,1,IF(2=life_fac,0.5,0))+Sens!D12968*IF(1&lt;life_fac,1,IF(1=life_fac,0.5,0))+Sens!E12968*0.5)/life_fac</f>
        <v>1.2448275</v>
      </c>
      <c r="F12974" s="6" t="n">
        <f aca="false">(Sens!C12968*IF(3&lt;life_fac,1,IF(3=life_fac,0.5,0))+Sens!D12968*IF(2&lt;life_fac,1,IF(2=life_fac,0.5,0))+Sens!E12968*IF(1&lt;life_fac,1,IF(1=life_fac,0.5,0))+Sens!F12968*0.5)/life_fac</f>
        <v>2.508829492925</v>
      </c>
      <c r="G12974" s="6" t="n">
        <f aca="false">(Sens!C12968*IF(4&lt;life_fac,1,IF(4=life_fac,0.5,0))+Sens!D12968*IF(3&lt;life_fac,1,IF(3=life_fac,0.5,0))+Sens!E12968*IF(2&lt;life_fac,1,IF(2=life_fac,0.5,0))+Sens!F12968*IF(1&lt;life_fac,1,IF(1=life_fac,0.5,0))+Sens!G12968*0.5)/life_fac</f>
        <v>4.170838978775</v>
      </c>
      <c r="H12974" s="6" t="n">
        <f aca="false">(Sens!C12968*IF(5&lt;life_fac,1,IF(5=life_fac,0.5,0))+Sens!D12968*IF(4&lt;life_fac,1,IF(4=life_fac,0.5,0))+Sens!E12968*IF(3&lt;life_fac,1,IF(3=life_fac,0.5,0))+Sens!F12968*IF(2&lt;life_fac,1,IF(2=life_fac,0.5,0))+Sens!G12968*IF(1&lt;life_fac,1,IF(1=life_fac,0.5,0))+Sens!H12968*0.5)/life_fac</f>
        <v>5.898098964625</v>
      </c>
      <c r="I12974" s="6" t="n">
        <f aca="false">(Sens!C12968*IF(6&lt;life_fac,1,IF(6=life_fac,0.5,0))+Sens!D12968*IF(5&lt;life_fac,1,IF(5=life_fac,0.5,0))+Sens!E12968*IF(4&lt;life_fac,1,IF(4=life_fac,0.5,0))+Sens!F12968*IF(3&lt;life_fac,1,IF(3=life_fac,0.5,0))+Sens!G12968*IF(2&lt;life_fac,1,IF(2=life_fac,0.5,0))+Sens!H12968*IF(1&lt;life_fac,1,IF(1=life_fac,0.5,0))+Sens!I12968*0.5)/life_fac</f>
        <v>7.37368556095442</v>
      </c>
      <c r="J12974" s="6" t="n">
        <f aca="false">(Sens!C12968*IF(7&lt;life_fac,1,IF(7=life_fac,0.5,0))+Sens!D12968*IF(6&lt;life_fac,1,IF(6=life_fac,0.5,0))+Sens!E12968*IF(5&lt;life_fac,1,IF(5=life_fac,0.5,0))+Sens!F12968*IF(4&lt;life_fac,1,IF(4=life_fac,0.5,0))+Sens!G12968*IF(3&lt;life_fac,1,IF(3=life_fac,0.5,0))+Sens!H12968*IF(2&lt;life_fac,1,IF(2=life_fac,0.5,0))+Sens!I12968*IF(1&lt;life_fac,1,IF(1=life_fac,0.5,0))+Sens!J12968*0.5)/life_fac</f>
        <v>8.35816451031075</v>
      </c>
      <c r="K12974" s="6" t="n">
        <f aca="false">(Sens!C12968*IF(8&lt;life_fac,1,IF(8=life_fac,0.5,0))+Sens!D12968*IF(7&lt;life_fac,1,IF(7=life_fac,0.5,0))+Sens!E12968*IF(6&lt;life_fac,1,IF(6=life_fac,0.5,0))+Sens!F12968*IF(5&lt;life_fac,1,IF(5=life_fac,0.5,0))+Sens!G12968*IF(4&lt;life_fac,1,IF(4=life_fac,0.5,0))+Sens!H12968*IF(3&lt;life_fac,1,IF(3=life_fac,0.5,0))+Sens!I12968*IF(2&lt;life_fac,1,IF(2=life_fac,0.5,0))+Sens!J12968*IF(1&lt;life_fac,1,IF(1=life_fac,0.5,0))+Sens!K12968*0.5)/life_fac</f>
        <v>8.86883104910662</v>
      </c>
    </row>
    <row r="12975" customFormat="false" ht="17.15" hidden="false" customHeight="false" outlineLevel="0" collapsed="false">
      <c r="A12975" s="0" t="s">
        <v>1005</v>
      </c>
      <c r="B12975" s="0" t="s">
        <v>98</v>
      </c>
      <c r="E12975" s="6" t="n">
        <f aca="false">Sens!E12973+Sens!E12974</f>
        <v>16.3054059770833</v>
      </c>
      <c r="F12975" s="6" t="n">
        <f aca="false">Sens!F12973+Sens!F12974</f>
        <v>34.5793144783516</v>
      </c>
      <c r="G12975" s="6" t="n">
        <f aca="false">Sens!G12973+Sens!G12974</f>
        <v>60.7344906522989</v>
      </c>
      <c r="H12975" s="6" t="n">
        <f aca="false">Sens!H12973+Sens!H12974</f>
        <v>89.1000906614457</v>
      </c>
      <c r="I12975" s="6" t="n">
        <f aca="false">Sens!I12973+Sens!I12974</f>
        <v>114.231009694548</v>
      </c>
      <c r="J12975" s="6" t="n">
        <f aca="false">Sens!J12973+Sens!J12974</f>
        <v>132.015673049596</v>
      </c>
      <c r="K12975" s="6" t="n">
        <f aca="false">Sens!K12973+Sens!K12974</f>
        <v>143.012669550934</v>
      </c>
    </row>
    <row r="12976" customFormat="false" ht="17.15" hidden="false" customHeight="false" outlineLevel="0" collapsed="false">
      <c r="A12976" s="0" t="s">
        <v>1006</v>
      </c>
      <c r="B12976" s="0" t="s">
        <v>98</v>
      </c>
      <c r="E12976" s="6" t="n">
        <f aca="false">Sens!E12963-Sens!E12962*Sens!E12975</f>
        <v>8.92707889977379</v>
      </c>
      <c r="F12976" s="6" t="n">
        <f aca="false">Sens!F12963-Sens!F12962*Sens!F12975</f>
        <v>18.7770356668733</v>
      </c>
      <c r="G12976" s="6" t="n">
        <f aca="false">Sens!G12963-Sens!G12962*Sens!G12975</f>
        <v>31.1163641458894</v>
      </c>
      <c r="H12976" s="6" t="n">
        <f aca="false">Sens!H12963-Sens!H12962*Sens!H12975</f>
        <v>43.7262635496428</v>
      </c>
      <c r="I12976" s="6" t="n">
        <f aca="false">Sens!I12963-Sens!I12962*Sens!I12975</f>
        <v>54.7541698336361</v>
      </c>
      <c r="J12976" s="6" t="n">
        <f aca="false">Sens!J12963-Sens!J12962*Sens!J12975</f>
        <v>62.3768819327658</v>
      </c>
      <c r="K12976" s="6" t="n">
        <f aca="false">Sens!K12963-Sens!K12962*Sens!K12975</f>
        <v>67.4820630434748</v>
      </c>
    </row>
    <row r="12977" customFormat="false" ht="17.15" hidden="false" customHeight="false" outlineLevel="0" collapsed="false">
      <c r="A12977" s="3" t="s">
        <v>1936</v>
      </c>
    </row>
    <row r="12978" customFormat="false" ht="15" hidden="false" customHeight="false" outlineLevel="0" collapsed="false">
      <c r="A12978" s="4" t="s">
        <v>43</v>
      </c>
      <c r="B12978" s="4" t="s">
        <v>65</v>
      </c>
      <c r="C12978" s="23" t="s">
        <v>942</v>
      </c>
      <c r="D12978" s="23" t="s">
        <v>943</v>
      </c>
      <c r="E12978" s="23" t="s">
        <v>944</v>
      </c>
      <c r="F12978" s="23" t="s">
        <v>945</v>
      </c>
      <c r="G12978" s="23" t="s">
        <v>946</v>
      </c>
      <c r="H12978" s="23" t="s">
        <v>947</v>
      </c>
      <c r="I12978" s="23" t="s">
        <v>948</v>
      </c>
      <c r="J12978" s="23" t="s">
        <v>949</v>
      </c>
      <c r="K12978" s="23" t="s">
        <v>950</v>
      </c>
      <c r="L12978" s="4" t="s">
        <v>47</v>
      </c>
    </row>
    <row r="12979" customFormat="false" ht="17.15" hidden="false" customHeight="false" outlineLevel="0" collapsed="false">
      <c r="A12979" s="0" t="s">
        <v>1025</v>
      </c>
      <c r="B12979" s="0" t="s">
        <v>98</v>
      </c>
      <c r="D12979" s="6" t="n">
        <f aca="false">Sens!D12957</f>
        <v>12.9359794422418</v>
      </c>
      <c r="E12979" s="6" t="n">
        <f aca="false">Sens!E12957</f>
        <v>27.8095064661409</v>
      </c>
      <c r="F12979" s="6" t="n">
        <f aca="false">Sens!F12957</f>
        <v>55.4118315060966</v>
      </c>
      <c r="G12979" s="6" t="n">
        <f aca="false">Sens!G12957</f>
        <v>91.2881100675143</v>
      </c>
      <c r="H12979" s="6" t="n">
        <f aca="false">Sens!H12957</f>
        <v>128.195273603944</v>
      </c>
      <c r="I12979" s="6" t="n">
        <f aca="false">Sens!I12957</f>
        <v>160.601281810405</v>
      </c>
      <c r="J12979" s="6" t="n">
        <f aca="false">Sens!J12957</f>
        <v>183.182719793589</v>
      </c>
      <c r="K12979" s="6" t="n">
        <f aca="false">Sens!K12957</f>
        <v>197.320124937098</v>
      </c>
    </row>
    <row r="12980" customFormat="false" ht="17.15" hidden="false" customHeight="false" outlineLevel="0" collapsed="false">
      <c r="A12980" s="0" t="s">
        <v>1026</v>
      </c>
      <c r="B12980" s="0" t="s">
        <v>98</v>
      </c>
      <c r="D12980" s="6" t="n">
        <f aca="false">Q!L6-Sens!D12979</f>
        <v>59.6740205577583</v>
      </c>
      <c r="E12980" s="6" t="n">
        <f aca="false">Q!M6-Sens!E12979</f>
        <v>74.1284935338591</v>
      </c>
      <c r="F12980" s="6" t="n">
        <f aca="false">Q!$I$6+(Sens!F12979+Sens!E12980*(1+Sens!F12981))*(1-Q!$E$6/Q!M6)-Sens!F12979</f>
        <v>91.2972164940844</v>
      </c>
      <c r="G12980" s="6" t="n">
        <f aca="false">Sens!F12980*(1+Sens!G12981)</f>
        <v>108.474719793879</v>
      </c>
      <c r="H12980" s="6" t="n">
        <f aca="false">Sens!G12980*(1+Sens!H12981)</f>
        <v>125.951292505701</v>
      </c>
      <c r="I12980" s="6" t="n">
        <f aca="false">Sens!H12980*(1+Sens!I12981)</f>
        <v>142.838165154212</v>
      </c>
      <c r="J12980" s="6" t="n">
        <f aca="false">Sens!I12980*(1+Sens!J12981)</f>
        <v>158.12717866615</v>
      </c>
      <c r="K12980" s="6" t="n">
        <f aca="false">Sens!J12980*(1+Sens!K12981)</f>
        <v>170.777352959442</v>
      </c>
      <c r="L12980" s="12" t="s">
        <v>1027</v>
      </c>
    </row>
    <row r="12981" customFormat="false" ht="15" hidden="false" customHeight="false" outlineLevel="0" collapsed="false">
      <c r="A12981" s="1" t="s">
        <v>1028</v>
      </c>
      <c r="B12981" s="0" t="s">
        <v>168</v>
      </c>
      <c r="E12981" s="7" t="n">
        <f aca="false">Sens!E12980/Sens!D12980-1</f>
        <v>0.242223883039864</v>
      </c>
      <c r="F12981" s="7" t="n">
        <f aca="false">Sens!$E$12981+(glt_azo-Sens!$E$12981)*MIN(1,(Sens!F12938-base_fy)/n_conv)</f>
        <v>0.215186569199887</v>
      </c>
      <c r="G12981" s="7" t="n">
        <f aca="false">Sens!$E$12981+(glt_azo-Sens!$E$12981)*MIN(1,(Sens!G12938-base_fy)/n_conv)</f>
        <v>0.18814925535991</v>
      </c>
      <c r="H12981" s="7" t="n">
        <f aca="false">Sens!$E$12981+(glt_azo-Sens!$E$12981)*MIN(1,(Sens!H12938-base_fy)/n_conv)</f>
        <v>0.161111941519932</v>
      </c>
      <c r="I12981" s="7" t="n">
        <f aca="false">Sens!$E$12981+(glt_azo-Sens!$E$12981)*MIN(1,(Sens!I12938-base_fy)/n_conv)</f>
        <v>0.134074627679955</v>
      </c>
      <c r="J12981" s="7" t="n">
        <f aca="false">Sens!$E$12981+(glt_azo-Sens!$E$12981)*MIN(1,(Sens!J12938-base_fy)/n_conv)</f>
        <v>0.107037313839977</v>
      </c>
      <c r="K12981" s="7" t="n">
        <f aca="false">Sens!$E$12981+(glt_azo-Sens!$E$12981)*MIN(1,(Sens!K12938-base_fy)/n_conv)</f>
        <v>0.08</v>
      </c>
    </row>
    <row r="12982" customFormat="false" ht="15" hidden="false" customHeight="false" outlineLevel="0" collapsed="false">
      <c r="A12982" s="0" t="s">
        <v>1029</v>
      </c>
      <c r="B12982" s="0" t="s">
        <v>98</v>
      </c>
      <c r="D12982" s="6" t="n">
        <f aca="false">Sens!D12979+Sens!D12980</f>
        <v>72.61</v>
      </c>
      <c r="E12982" s="6" t="n">
        <f aca="false">Sens!E12979+Sens!E12980</f>
        <v>101.938</v>
      </c>
      <c r="F12982" s="6" t="n">
        <f aca="false">Sens!F12979+Sens!F12980</f>
        <v>146.709048000181</v>
      </c>
      <c r="G12982" s="6" t="n">
        <f aca="false">Sens!G12979+Sens!G12980</f>
        <v>199.762829861393</v>
      </c>
      <c r="H12982" s="6" t="n">
        <f aca="false">Sens!H12979+Sens!H12980</f>
        <v>254.146566109645</v>
      </c>
      <c r="I12982" s="6" t="n">
        <f aca="false">Sens!I12979+Sens!I12980</f>
        <v>303.439446964617</v>
      </c>
      <c r="J12982" s="6" t="n">
        <f aca="false">Sens!J12979+Sens!J12980</f>
        <v>341.309898459739</v>
      </c>
      <c r="K12982" s="6" t="n">
        <f aca="false">Sens!K12979+Sens!K12980</f>
        <v>368.09747789654</v>
      </c>
    </row>
    <row r="12983" customFormat="false" ht="17.15" hidden="false" customHeight="false" outlineLevel="0" collapsed="false">
      <c r="A12983" s="0" t="s">
        <v>1030</v>
      </c>
      <c r="B12983" s="1" t="s">
        <v>613</v>
      </c>
      <c r="C12983" s="30" t="n">
        <f aca="false">cop_s24</f>
        <v>1</v>
      </c>
      <c r="D12983" s="30" t="n">
        <f aca="false">cop_s25</f>
        <v>5</v>
      </c>
      <c r="E12983" s="30" t="n">
        <f aca="false">cop_s26</f>
        <v>30</v>
      </c>
      <c r="F12983" s="30" t="n">
        <f aca="false">Sens!E12983+cop_add_B</f>
        <v>50</v>
      </c>
      <c r="G12983" s="30" t="n">
        <f aca="false">Sens!F12983+cop_add_B</f>
        <v>70</v>
      </c>
      <c r="H12983" s="30" t="n">
        <f aca="false">Sens!G12983+cop_add_B</f>
        <v>90</v>
      </c>
      <c r="I12983" s="30" t="n">
        <f aca="false">Sens!H12983+cop_add_B*cop_tail</f>
        <v>100</v>
      </c>
      <c r="J12983" s="30" t="n">
        <f aca="false">Sens!I12983+cop_add_B*cop_tail</f>
        <v>110</v>
      </c>
      <c r="K12983" s="30" t="n">
        <f aca="false">Sens!J12983+cop_add_B*cop_tail</f>
        <v>120</v>
      </c>
      <c r="L12983" s="12" t="s">
        <v>1031</v>
      </c>
    </row>
    <row r="12984" customFormat="false" ht="17.15" hidden="false" customHeight="false" outlineLevel="0" collapsed="false">
      <c r="A12984" s="0" t="s">
        <v>1032</v>
      </c>
      <c r="B12984" s="0" t="s">
        <v>98</v>
      </c>
      <c r="D12984" s="6" t="n">
        <f aca="false">(Sens!C12983+Sens!D12983)/2*cop_px*12/1000</f>
        <v>0.9</v>
      </c>
      <c r="E12984" s="6" t="n">
        <f aca="false">(Sens!D12983+Sens!E12983)/2*cop_px*12/1000</f>
        <v>5.25</v>
      </c>
      <c r="F12984" s="6" t="n">
        <f aca="false">(Sens!E12983+Sens!F12983)/2*cop_px*12/1000</f>
        <v>12</v>
      </c>
      <c r="G12984" s="6" t="n">
        <f aca="false">(Sens!F12983+Sens!G12983)/2*cop_px*12/1000</f>
        <v>18</v>
      </c>
      <c r="H12984" s="6" t="n">
        <f aca="false">(Sens!G12983+Sens!H12983)/2*cop_px*12/1000</f>
        <v>24</v>
      </c>
      <c r="I12984" s="6" t="n">
        <f aca="false">(Sens!H12983+Sens!I12983)/2*cop_px*12/1000</f>
        <v>28.5</v>
      </c>
      <c r="J12984" s="6" t="n">
        <f aca="false">(Sens!I12983+Sens!J12983)/2*cop_px*12/1000</f>
        <v>31.5</v>
      </c>
      <c r="K12984" s="6" t="n">
        <f aca="false">(Sens!J12983+Sens!K12983)/2*cop_px*12/1000</f>
        <v>34.5</v>
      </c>
      <c r="L12984" s="1" t="s">
        <v>1033</v>
      </c>
    </row>
    <row r="12985" customFormat="false" ht="17.15" hidden="false" customHeight="false" outlineLevel="0" collapsed="false">
      <c r="A12985" s="0" t="s">
        <v>1034</v>
      </c>
      <c r="B12985" s="0" t="s">
        <v>98</v>
      </c>
      <c r="D12985" s="6" t="n">
        <f aca="false">Q!L7-Sens!D12984</f>
        <v>83.705</v>
      </c>
      <c r="E12985" s="6" t="n">
        <f aca="false">Q!M7-Sens!E12984</f>
        <v>95.049</v>
      </c>
      <c r="F12985" s="6" t="n">
        <f aca="false">Q!$I$7+(Sens!E12985*(1+Sens!F12986)+Sens!F12984)*(1-Q!$E$7/Q!M7)-Sens!F12984</f>
        <v>106.584003697747</v>
      </c>
      <c r="G12985" s="6" t="n">
        <f aca="false">Sens!F12985*(1+Sens!G12986)</f>
        <v>118.700726545688</v>
      </c>
      <c r="H12985" s="6" t="n">
        <f aca="false">Sens!G12985*(1+Sens!H12986)</f>
        <v>130.898624783666</v>
      </c>
      <c r="I12985" s="6" t="n">
        <f aca="false">Sens!H12985*(1+Sens!I12986)</f>
        <v>142.920510030657</v>
      </c>
      <c r="J12985" s="6" t="n">
        <f aca="false">Sens!I12985*(1+Sens!J12986)</f>
        <v>154.485722618572</v>
      </c>
      <c r="K12985" s="6" t="n">
        <f aca="false">Sens!J12985*(1+Sens!K12986)</f>
        <v>165.299723201872</v>
      </c>
      <c r="L12985" s="12" t="s">
        <v>1035</v>
      </c>
    </row>
    <row r="12986" customFormat="false" ht="15" hidden="false" customHeight="false" outlineLevel="0" collapsed="false">
      <c r="A12986" s="1" t="s">
        <v>1028</v>
      </c>
      <c r="B12986" s="0" t="s">
        <v>168</v>
      </c>
      <c r="E12986" s="7" t="n">
        <f aca="false">Sens!E12985/Sens!D12985-1</f>
        <v>0.135523564900544</v>
      </c>
      <c r="F12986" s="7" t="n">
        <f aca="false">Sens!$E$12986+(glt_m365b-Sens!$E$12986)*MIN(1,(Sens!F12938-base_fy)/n_conv)</f>
        <v>0.124602970750453</v>
      </c>
      <c r="G12986" s="7" t="n">
        <f aca="false">Sens!$E$12986+(glt_m365b-Sens!$E$12986)*MIN(1,(Sens!G12938-base_fy)/n_conv)</f>
        <v>0.113682376600363</v>
      </c>
      <c r="H12986" s="7" t="n">
        <f aca="false">Sens!$E$12986+(glt_m365b-Sens!$E$12986)*MIN(1,(Sens!H12938-base_fy)/n_conv)</f>
        <v>0.102761782450272</v>
      </c>
      <c r="I12986" s="7" t="n">
        <f aca="false">Sens!$E$12986+(glt_m365b-Sens!$E$12986)*MIN(1,(Sens!I12938-base_fy)/n_conv)</f>
        <v>0.0918411883001813</v>
      </c>
      <c r="J12986" s="7" t="n">
        <f aca="false">Sens!$E$12986+(glt_m365b-Sens!$E$12986)*MIN(1,(Sens!J12938-base_fy)/n_conv)</f>
        <v>0.0809205941500906</v>
      </c>
      <c r="K12986" s="7" t="n">
        <f aca="false">Sens!$E$12986+(glt_m365b-Sens!$E$12986)*MIN(1,(Sens!K12938-base_fy)/n_conv)</f>
        <v>0.07</v>
      </c>
    </row>
    <row r="12987" customFormat="false" ht="15" hidden="false" customHeight="false" outlineLevel="0" collapsed="false">
      <c r="A12987" s="0" t="s">
        <v>1036</v>
      </c>
      <c r="B12987" s="0" t="s">
        <v>98</v>
      </c>
      <c r="D12987" s="6" t="n">
        <f aca="false">Sens!D12985+Sens!D12984</f>
        <v>84.605</v>
      </c>
      <c r="E12987" s="6" t="n">
        <f aca="false">Sens!E12985+Sens!E12984</f>
        <v>100.299</v>
      </c>
      <c r="F12987" s="6" t="n">
        <f aca="false">Sens!F12985+Sens!F12984</f>
        <v>118.584003697747</v>
      </c>
      <c r="G12987" s="6" t="n">
        <f aca="false">Sens!G12985+Sens!G12984</f>
        <v>136.700726545688</v>
      </c>
      <c r="H12987" s="6" t="n">
        <f aca="false">Sens!H12985+Sens!H12984</f>
        <v>154.898624783666</v>
      </c>
      <c r="I12987" s="6" t="n">
        <f aca="false">Sens!I12985+Sens!I12984</f>
        <v>171.420510030657</v>
      </c>
      <c r="J12987" s="6" t="n">
        <f aca="false">Sens!J12985+Sens!J12984</f>
        <v>185.985722618572</v>
      </c>
      <c r="K12987" s="6" t="n">
        <f aca="false">Sens!K12985+Sens!K12984</f>
        <v>199.799723201872</v>
      </c>
    </row>
    <row r="12988" customFormat="false" ht="17.15" hidden="false" customHeight="false" outlineLevel="0" collapsed="false">
      <c r="A12988" s="0" t="s">
        <v>1037</v>
      </c>
      <c r="B12988" s="0" t="s">
        <v>98</v>
      </c>
      <c r="D12988" s="6" t="n">
        <f aca="false">Q!L8</f>
        <v>35.391</v>
      </c>
      <c r="E12988" s="6" t="n">
        <f aca="false">Q!M8</f>
        <v>37.285</v>
      </c>
      <c r="F12988" s="6" t="n">
        <f aca="false">Q!$I$8+(Q!M8-Q!$E$8)*(1+Sens!F12989)</f>
        <v>38.3851437782675</v>
      </c>
      <c r="G12988" s="6" t="n">
        <f aca="false">Sens!F12988*(1+Sens!G12989)</f>
        <v>40.0105353288615</v>
      </c>
      <c r="H12988" s="6" t="n">
        <f aca="false">Sens!G12988*(1+Sens!H12989)</f>
        <v>41.4812512033683</v>
      </c>
      <c r="I12988" s="6" t="n">
        <f aca="false">Sens!H12988*(1+Sens!I12989)</f>
        <v>42.7743107216329</v>
      </c>
      <c r="J12988" s="6" t="n">
        <f aca="false">Sens!I12988*(1+Sens!J12989)</f>
        <v>43.8687373064601</v>
      </c>
      <c r="K12988" s="6" t="n">
        <f aca="false">Sens!J12988*(1+Sens!K12989)</f>
        <v>44.7461120525893</v>
      </c>
      <c r="L12988" s="12" t="s">
        <v>1038</v>
      </c>
    </row>
    <row r="12989" customFormat="false" ht="15" hidden="false" customHeight="false" outlineLevel="0" collapsed="false">
      <c r="A12989" s="1" t="s">
        <v>1028</v>
      </c>
      <c r="B12989" s="0" t="s">
        <v>168</v>
      </c>
      <c r="E12989" s="7" t="n">
        <f aca="false">Sens!E12988/Sens!D12988-1</f>
        <v>0.0535164307309768</v>
      </c>
      <c r="F12989" s="7" t="n">
        <f aca="false">Sens!$E$12989+(glt_lic-Sens!$E$12989)*MIN(1,(Sens!F12938-base_fy)/n_conv)</f>
        <v>0.0479303589424807</v>
      </c>
      <c r="G12989" s="7" t="n">
        <f aca="false">Sens!$E$12989+(glt_lic-Sens!$E$12989)*MIN(1,(Sens!G12938-base_fy)/n_conv)</f>
        <v>0.0423442871539845</v>
      </c>
      <c r="H12989" s="7" t="n">
        <f aca="false">Sens!$E$12989+(glt_lic-Sens!$E$12989)*MIN(1,(Sens!H12938-base_fy)/n_conv)</f>
        <v>0.0367582153654884</v>
      </c>
      <c r="I12989" s="7" t="n">
        <f aca="false">Sens!$E$12989+(glt_lic-Sens!$E$12989)*MIN(1,(Sens!I12938-base_fy)/n_conv)</f>
        <v>0.0311721435769923</v>
      </c>
      <c r="J12989" s="7" t="n">
        <f aca="false">Sens!$E$12989+(glt_lic-Sens!$E$12989)*MIN(1,(Sens!J12938-base_fy)/n_conv)</f>
        <v>0.0255860717884961</v>
      </c>
      <c r="K12989" s="7" t="n">
        <f aca="false">Sens!$E$12989+(glt_lic-Sens!$E$12989)*MIN(1,(Sens!K12938-base_fy)/n_conv)</f>
        <v>0.02</v>
      </c>
    </row>
    <row r="12990" customFormat="false" ht="17.15" hidden="false" customHeight="false" outlineLevel="0" collapsed="false">
      <c r="A12990" s="0" t="s">
        <v>1039</v>
      </c>
      <c r="B12990" s="0" t="s">
        <v>98</v>
      </c>
      <c r="D12990" s="6" t="n">
        <f aca="false">Q!L9</f>
        <v>18.417</v>
      </c>
      <c r="E12990" s="6" t="n">
        <f aca="false">Q!M9</f>
        <v>20.345</v>
      </c>
      <c r="F12990" s="6" t="n">
        <f aca="false">Q!$I$9+(Q!M9-Q!$E$9)*(1+Sens!F12991)</f>
        <v>22.3161797133988</v>
      </c>
      <c r="G12990" s="6" t="n">
        <f aca="false">Sens!F12990*(1+Sens!G12991)</f>
        <v>24.3943499673233</v>
      </c>
      <c r="H12990" s="6" t="n">
        <f aca="false">Sens!G12990*(1+Sens!H12991)</f>
        <v>26.5250243109019</v>
      </c>
      <c r="I12990" s="6" t="n">
        <f aca="false">Sens!H12990*(1+Sens!I12991)</f>
        <v>28.6884573538181</v>
      </c>
      <c r="J12990" s="6" t="n">
        <f aca="false">Sens!I12990*(1+Sens!J12991)</f>
        <v>30.8624968052127</v>
      </c>
      <c r="K12990" s="6" t="n">
        <f aca="false">Sens!J12990*(1+Sens!K12991)</f>
        <v>33.0228715815776</v>
      </c>
      <c r="L12990" s="12" t="s">
        <v>1038</v>
      </c>
    </row>
    <row r="12991" customFormat="false" ht="15" hidden="false" customHeight="false" outlineLevel="0" collapsed="false">
      <c r="A12991" s="1" t="s">
        <v>1028</v>
      </c>
      <c r="B12991" s="0" t="s">
        <v>168</v>
      </c>
      <c r="E12991" s="7" t="n">
        <f aca="false">Sens!E12990/Sens!D12990-1</f>
        <v>0.104685888038225</v>
      </c>
      <c r="F12991" s="7" t="n">
        <f aca="false">Sens!$E$12991+(glt_ind-Sens!$E$12991)*MIN(1,(Sens!F12938-base_fy)/n_conv)</f>
        <v>0.0989049066985211</v>
      </c>
      <c r="G12991" s="7" t="n">
        <f aca="false">Sens!$E$12991+(glt_ind-Sens!$E$12991)*MIN(1,(Sens!G12938-base_fy)/n_conv)</f>
        <v>0.0931239253588169</v>
      </c>
      <c r="H12991" s="7" t="n">
        <f aca="false">Sens!$E$12991+(glt_ind-Sens!$E$12991)*MIN(1,(Sens!H12938-base_fy)/n_conv)</f>
        <v>0.0873429440191127</v>
      </c>
      <c r="I12991" s="7" t="n">
        <f aca="false">Sens!$E$12991+(glt_ind-Sens!$E$12991)*MIN(1,(Sens!I12938-base_fy)/n_conv)</f>
        <v>0.0815619626794085</v>
      </c>
      <c r="J12991" s="7" t="n">
        <f aca="false">Sens!$E$12991+(glt_ind-Sens!$E$12991)*MIN(1,(Sens!J12938-base_fy)/n_conv)</f>
        <v>0.0757809813397042</v>
      </c>
      <c r="K12991" s="7" t="n">
        <f aca="false">Sens!$E$12991+(glt_ind-Sens!$E$12991)*MIN(1,(Sens!K12938-base_fy)/n_conv)</f>
        <v>0.07</v>
      </c>
    </row>
    <row r="12992" customFormat="false" ht="17.15" hidden="false" customHeight="false" outlineLevel="0" collapsed="false">
      <c r="A12992" s="0" t="s">
        <v>1040</v>
      </c>
      <c r="B12992" s="0" t="s">
        <v>98</v>
      </c>
      <c r="D12992" s="6" t="n">
        <f aca="false">Q!L10</f>
        <v>7.76</v>
      </c>
      <c r="E12992" s="6" t="n">
        <f aca="false">Q!M10</f>
        <v>8.26</v>
      </c>
      <c r="F12992" s="6" t="n">
        <f aca="false">Q!$I$10+(Q!M10-Q!$E$10)*(1+Sens!F12993)</f>
        <v>8.75372082474227</v>
      </c>
      <c r="G12992" s="6" t="n">
        <f aca="false">Sens!F12992*(1+Sens!G12993)</f>
        <v>9.33399324642364</v>
      </c>
      <c r="H12992" s="6" t="n">
        <f aca="false">Sens!G12992*(1+Sens!H12993)</f>
        <v>9.96139155535851</v>
      </c>
      <c r="I12992" s="6" t="n">
        <f aca="false">Sens!H12992*(1+Sens!I12993)</f>
        <v>10.6402039077391</v>
      </c>
      <c r="J12992" s="6" t="n">
        <f aca="false">Sens!I12992*(1+Sens!J12993)</f>
        <v>11.3751458271397</v>
      </c>
      <c r="K12992" s="6" t="n">
        <f aca="false">Sens!J12992*(1+Sens!K12993)</f>
        <v>12.1714060350394</v>
      </c>
      <c r="L12992" s="12" t="s">
        <v>1038</v>
      </c>
    </row>
    <row r="12993" customFormat="false" ht="15" hidden="false" customHeight="false" outlineLevel="0" collapsed="false">
      <c r="A12993" s="1" t="s">
        <v>1028</v>
      </c>
      <c r="B12993" s="0" t="s">
        <v>168</v>
      </c>
      <c r="E12993" s="7" t="n">
        <f aca="false">Sens!E12992/Sens!D12992-1</f>
        <v>0.0644329896907216</v>
      </c>
      <c r="F12993" s="7" t="n">
        <f aca="false">Sens!$E$12993+(glt_fro-Sens!$E$12993)*MIN(1,(Sens!F12938-base_fy)/n_conv)</f>
        <v>0.065360824742268</v>
      </c>
      <c r="G12993" s="7" t="n">
        <f aca="false">Sens!$E$12993+(glt_fro-Sens!$E$12993)*MIN(1,(Sens!G12938-base_fy)/n_conv)</f>
        <v>0.0662886597938144</v>
      </c>
      <c r="H12993" s="7" t="n">
        <f aca="false">Sens!$E$12993+(glt_fro-Sens!$E$12993)*MIN(1,(Sens!H12938-base_fy)/n_conv)</f>
        <v>0.0672164948453608</v>
      </c>
      <c r="I12993" s="7" t="n">
        <f aca="false">Sens!$E$12993+(glt_fro-Sens!$E$12993)*MIN(1,(Sens!I12938-base_fy)/n_conv)</f>
        <v>0.0681443298969072</v>
      </c>
      <c r="J12993" s="7" t="n">
        <f aca="false">Sens!$E$12993+(glt_fro-Sens!$E$12993)*MIN(1,(Sens!J12938-base_fy)/n_conv)</f>
        <v>0.0690721649484536</v>
      </c>
      <c r="K12993" s="7" t="n">
        <f aca="false">Sens!$E$12993+(glt_fro-Sens!$E$12993)*MIN(1,(Sens!K12938-base_fy)/n_conv)</f>
        <v>0.07</v>
      </c>
    </row>
    <row r="12994" customFormat="false" ht="15" hidden="false" customHeight="false" outlineLevel="0" collapsed="false">
      <c r="A12994" s="0" t="s">
        <v>856</v>
      </c>
      <c r="B12994" s="0" t="s">
        <v>98</v>
      </c>
      <c r="D12994" s="6" t="n">
        <f aca="false">Sens!D12982+Sens!D12987+Sens!D12988+Sens!D12990+Sens!D12992</f>
        <v>218.783</v>
      </c>
      <c r="E12994" s="6" t="n">
        <f aca="false">Sens!E12982+Sens!E12987+Sens!E12988+Sens!E12990+Sens!E12992</f>
        <v>268.127</v>
      </c>
      <c r="F12994" s="6" t="n">
        <f aca="false">Sens!F12982+Sens!F12987+Sens!F12988+Sens!F12990+Sens!F12992</f>
        <v>334.748096014336</v>
      </c>
      <c r="G12994" s="6" t="n">
        <f aca="false">Sens!G12982+Sens!G12987+Sens!G12988+Sens!G12990+Sens!G12992</f>
        <v>410.20243494969</v>
      </c>
      <c r="H12994" s="6" t="n">
        <f aca="false">Sens!H12982+Sens!H12987+Sens!H12988+Sens!H12990+Sens!H12992</f>
        <v>487.012857962939</v>
      </c>
      <c r="I12994" s="6" t="n">
        <f aca="false">Sens!I12982+Sens!I12987+Sens!I12988+Sens!I12990+Sens!I12992</f>
        <v>556.962928978464</v>
      </c>
      <c r="J12994" s="6" t="n">
        <f aca="false">Sens!J12982+Sens!J12987+Sens!J12988+Sens!J12990+Sens!J12992</f>
        <v>613.402001017124</v>
      </c>
      <c r="K12994" s="6" t="n">
        <f aca="false">Sens!K12982+Sens!K12987+Sens!K12988+Sens!K12990+Sens!K12992</f>
        <v>657.837590767618</v>
      </c>
    </row>
    <row r="12995" customFormat="false" ht="17.15" hidden="false" customHeight="false" outlineLevel="0" collapsed="false">
      <c r="A12995" s="0" t="s">
        <v>1041</v>
      </c>
      <c r="B12995" s="0" t="s">
        <v>98</v>
      </c>
      <c r="D12995" s="6" t="n">
        <f aca="false">Q!L13</f>
        <v>22.171</v>
      </c>
      <c r="E12995" s="6" t="n">
        <f aca="false">Q!M13</f>
        <v>24.835</v>
      </c>
      <c r="F12995" s="6" t="n">
        <f aca="false">Q!$I$13+(Q!M13-Q!$E$13)*(1+Sens!F12996)</f>
        <v>27.5591895660247</v>
      </c>
      <c r="G12995" s="6" t="n">
        <f aca="false">Sens!F12995*(1+Sens!G12996)</f>
        <v>30.4098563144583</v>
      </c>
      <c r="H12995" s="6" t="n">
        <f aca="false">Sens!G12995*(1+Sens!H12996)</f>
        <v>33.3011792571777</v>
      </c>
      <c r="I12995" s="6" t="n">
        <f aca="false">Sens!H12995*(1+Sens!I12996)</f>
        <v>36.189023797112</v>
      </c>
      <c r="J12995" s="6" t="n">
        <f aca="false">Sens!I12995*(1+Sens!J12996)</f>
        <v>39.0247773769199</v>
      </c>
      <c r="K12995" s="6" t="n">
        <f aca="false">Sens!J12995*(1+Sens!K12996)</f>
        <v>41.7565117933043</v>
      </c>
      <c r="L12995" s="12" t="s">
        <v>1038</v>
      </c>
    </row>
    <row r="12996" customFormat="false" ht="15" hidden="false" customHeight="false" outlineLevel="0" collapsed="false">
      <c r="A12996" s="1" t="s">
        <v>1028</v>
      </c>
      <c r="B12996" s="0" t="s">
        <v>168</v>
      </c>
      <c r="E12996" s="7" t="n">
        <f aca="false">Sens!E12995/Sens!D12995-1</f>
        <v>0.120156961796942</v>
      </c>
      <c r="F12996" s="7" t="n">
        <f aca="false">Sens!$E$12996+(glt_srch-Sens!$E$12996)*MIN(1,(Sens!F12938-base_fy)/n_conv)</f>
        <v>0.111797468164118</v>
      </c>
      <c r="G12996" s="7" t="n">
        <f aca="false">Sens!$E$12996+(glt_srch-Sens!$E$12996)*MIN(1,(Sens!G12938-base_fy)/n_conv)</f>
        <v>0.103437974531295</v>
      </c>
      <c r="H12996" s="7" t="n">
        <f aca="false">Sens!$E$12996+(glt_srch-Sens!$E$12996)*MIN(1,(Sens!H12938-base_fy)/n_conv)</f>
        <v>0.095078480898471</v>
      </c>
      <c r="I12996" s="7" t="n">
        <f aca="false">Sens!$E$12996+(glt_srch-Sens!$E$12996)*MIN(1,(Sens!I12938-base_fy)/n_conv)</f>
        <v>0.0867189872656474</v>
      </c>
      <c r="J12996" s="7" t="n">
        <f aca="false">Sens!$E$12996+(glt_srch-Sens!$E$12996)*MIN(1,(Sens!J12938-base_fy)/n_conv)</f>
        <v>0.0783594936328237</v>
      </c>
      <c r="K12996" s="7" t="n">
        <f aca="false">Sens!$E$12996+(glt_srch-Sens!$E$12996)*MIN(1,(Sens!K12938-base_fy)/n_conv)</f>
        <v>0.07</v>
      </c>
    </row>
    <row r="12997" customFormat="false" ht="17.15" hidden="false" customHeight="false" outlineLevel="0" collapsed="false">
      <c r="A12997" s="0" t="s">
        <v>1042</v>
      </c>
      <c r="B12997" s="0" t="s">
        <v>98</v>
      </c>
      <c r="D12997" s="6" t="n">
        <f aca="false">Q!L14</f>
        <v>23.455</v>
      </c>
      <c r="E12997" s="6" t="n">
        <f aca="false">Q!M14</f>
        <v>21.79</v>
      </c>
      <c r="F12997" s="6" t="n">
        <f aca="false">Q!$I$14+(Q!M14-Q!$E$14)*(1+Sens!F12998)</f>
        <v>20.7520981041711</v>
      </c>
      <c r="G12997" s="6" t="n">
        <f aca="false">Sens!F12997*(1+Sens!G12998)</f>
        <v>19.9083593495882</v>
      </c>
      <c r="H12997" s="6" t="n">
        <f aca="false">Sens!G12997*(1+Sens!H12998)</f>
        <v>19.4008256265831</v>
      </c>
      <c r="I12997" s="6" t="n">
        <f aca="false">Sens!H12997*(1+Sens!I12998)</f>
        <v>19.200434522122</v>
      </c>
      <c r="J12997" s="6" t="n">
        <f aca="false">Sens!I12997*(1+Sens!J12998)</f>
        <v>19.2932782348507</v>
      </c>
      <c r="K12997" s="6" t="n">
        <f aca="false">Sens!J12997*(1+Sens!K12998)</f>
        <v>19.6791437995477</v>
      </c>
      <c r="L12997" s="12" t="s">
        <v>1038</v>
      </c>
    </row>
    <row r="12998" customFormat="false" ht="15" hidden="false" customHeight="false" outlineLevel="0" collapsed="false">
      <c r="A12998" s="1" t="s">
        <v>1028</v>
      </c>
      <c r="B12998" s="0" t="s">
        <v>168</v>
      </c>
      <c r="E12998" s="7" t="n">
        <f aca="false">Sens!E12997/Sens!D12997-1</f>
        <v>-0.0709869963760392</v>
      </c>
      <c r="F12998" s="7" t="n">
        <f aca="false">Sens!$E$12998+(glt_xbox-Sens!$E$12998)*MIN(1,(Sens!F12938-base_fy)/n_conv)</f>
        <v>-0.0558224969800327</v>
      </c>
      <c r="G12998" s="7" t="n">
        <f aca="false">Sens!$E$12998+(glt_xbox-Sens!$E$12998)*MIN(1,(Sens!G12938-base_fy)/n_conv)</f>
        <v>-0.0406579975840262</v>
      </c>
      <c r="H12998" s="7" t="n">
        <f aca="false">Sens!$E$12998+(glt_xbox-Sens!$E$12998)*MIN(1,(Sens!H12938-base_fy)/n_conv)</f>
        <v>-0.0254934981880196</v>
      </c>
      <c r="I12998" s="7" t="n">
        <f aca="false">Sens!$E$12998+(glt_xbox-Sens!$E$12998)*MIN(1,(Sens!I12938-base_fy)/n_conv)</f>
        <v>-0.0103289987920131</v>
      </c>
      <c r="J12998" s="7" t="n">
        <f aca="false">Sens!$E$12998+(glt_xbox-Sens!$E$12998)*MIN(1,(Sens!J12938-base_fy)/n_conv)</f>
        <v>0.00483550060399347</v>
      </c>
      <c r="K12998" s="7" t="n">
        <f aca="false">Sens!$E$12998+(glt_xbox-Sens!$E$12998)*MIN(1,(Sens!K12938-base_fy)/n_conv)</f>
        <v>0.02</v>
      </c>
    </row>
    <row r="12999" customFormat="false" ht="17.15" hidden="false" customHeight="false" outlineLevel="0" collapsed="false">
      <c r="A12999" s="0" t="s">
        <v>1043</v>
      </c>
      <c r="B12999" s="0" t="s">
        <v>98</v>
      </c>
      <c r="D12999" s="6" t="n">
        <f aca="false">Q!L15</f>
        <v>17.315</v>
      </c>
      <c r="E12999" s="6" t="n">
        <f aca="false">Q!M15</f>
        <v>17.087</v>
      </c>
      <c r="F12999" s="6" t="n">
        <f aca="false">Q!$I$15+(Q!M15-Q!$E$15)*(1+Sens!F13000)</f>
        <v>15.9912273250553</v>
      </c>
      <c r="G12999" s="6" t="n">
        <f aca="false">Sens!F12999*(1+Sens!G13000)</f>
        <v>15.9574562664827</v>
      </c>
      <c r="H12999" s="6" t="n">
        <f aca="false">Sens!G12999*(1+Sens!H13000)</f>
        <v>16.0119687434196</v>
      </c>
      <c r="I12999" s="6" t="n">
        <f aca="false">Sens!H12999*(1+Sens!I13000)</f>
        <v>16.1551810001948</v>
      </c>
      <c r="J12999" s="6" t="n">
        <f aca="false">Sens!I12999*(1+Sens!J13000)</f>
        <v>16.3889793892005</v>
      </c>
      <c r="K12999" s="6" t="n">
        <f aca="false">Sens!J12999*(1+Sens!K13000)</f>
        <v>16.7167589769845</v>
      </c>
      <c r="L12999" s="12" t="s">
        <v>1038</v>
      </c>
    </row>
    <row r="13000" customFormat="false" ht="15" hidden="false" customHeight="false" outlineLevel="0" collapsed="false">
      <c r="A13000" s="1" t="s">
        <v>1028</v>
      </c>
      <c r="B13000" s="0" t="s">
        <v>168</v>
      </c>
      <c r="E13000" s="7" t="n">
        <f aca="false">Sens!E12999/Sens!D12999-1</f>
        <v>-0.0131677736066995</v>
      </c>
      <c r="F13000" s="7" t="n">
        <f aca="false">Sens!$E$13000+(glt_win-Sens!$E$13000)*MIN(1,(Sens!F12938-base_fy)/n_conv)</f>
        <v>-0.00763981133891627</v>
      </c>
      <c r="G13000" s="7" t="n">
        <f aca="false">Sens!$E$13000+(glt_win-Sens!$E$13000)*MIN(1,(Sens!G12938-base_fy)/n_conv)</f>
        <v>-0.00211184907113301</v>
      </c>
      <c r="H13000" s="7" t="n">
        <f aca="false">Sens!$E$13000+(glt_win-Sens!$E$13000)*MIN(1,(Sens!H12938-base_fy)/n_conv)</f>
        <v>0.00341611319665024</v>
      </c>
      <c r="I13000" s="7" t="n">
        <f aca="false">Sens!$E$13000+(glt_win-Sens!$E$13000)*MIN(1,(Sens!I12938-base_fy)/n_conv)</f>
        <v>0.00894407546443349</v>
      </c>
      <c r="J13000" s="7" t="n">
        <f aca="false">Sens!$E$13000+(glt_win-Sens!$E$13000)*MIN(1,(Sens!J12938-base_fy)/n_conv)</f>
        <v>0.0144720377322168</v>
      </c>
      <c r="K13000" s="7" t="n">
        <f aca="false">Sens!$E$13000+(glt_win-Sens!$E$13000)*MIN(1,(Sens!K12938-base_fy)/n_conv)</f>
        <v>0.02</v>
      </c>
    </row>
    <row r="13001" customFormat="false" ht="15" hidden="false" customHeight="false" outlineLevel="0" collapsed="false">
      <c r="A13001" s="0" t="s">
        <v>870</v>
      </c>
      <c r="B13001" s="0" t="s">
        <v>98</v>
      </c>
      <c r="D13001" s="6" t="n">
        <f aca="false">Sens!D12995+Sens!D12997+Sens!D12999</f>
        <v>62.941</v>
      </c>
      <c r="E13001" s="6" t="n">
        <f aca="false">Sens!E12995+Sens!E12997+Sens!E12999</f>
        <v>63.712</v>
      </c>
      <c r="F13001" s="6" t="n">
        <f aca="false">Sens!F12995+Sens!F12997+Sens!F12999</f>
        <v>64.3025149952511</v>
      </c>
      <c r="G13001" s="6" t="n">
        <f aca="false">Sens!G12995+Sens!G12997+Sens!G12999</f>
        <v>66.2756719305292</v>
      </c>
      <c r="H13001" s="6" t="n">
        <f aca="false">Sens!H12995+Sens!H12997+Sens!H12999</f>
        <v>68.7139736271804</v>
      </c>
      <c r="I13001" s="6" t="n">
        <f aca="false">Sens!I12995+Sens!I12997+Sens!I12999</f>
        <v>71.5446393194289</v>
      </c>
      <c r="J13001" s="6" t="n">
        <f aca="false">Sens!J12995+Sens!J12997+Sens!J12999</f>
        <v>74.707035000971</v>
      </c>
      <c r="K13001" s="6" t="n">
        <f aca="false">Sens!K12995+Sens!K12997+Sens!K12999</f>
        <v>78.1524145698365</v>
      </c>
    </row>
    <row r="13002" customFormat="false" ht="15" hidden="false" customHeight="false" outlineLevel="0" collapsed="false">
      <c r="A13002" s="1" t="s">
        <v>1044</v>
      </c>
      <c r="B13002" s="0" t="s">
        <v>98</v>
      </c>
      <c r="D13002" s="6" t="n">
        <f aca="false">Sens!D12994+Sens!D13001</f>
        <v>281.724</v>
      </c>
      <c r="E13002" s="6" t="n">
        <f aca="false">Sens!E12994+Sens!E13001</f>
        <v>331.839</v>
      </c>
      <c r="F13002" s="6" t="n">
        <f aca="false">Sens!F12994+Sens!F13001</f>
        <v>399.050611009588</v>
      </c>
      <c r="G13002" s="6" t="n">
        <f aca="false">Sens!G12994+Sens!G13001</f>
        <v>476.478106880219</v>
      </c>
      <c r="H13002" s="6" t="n">
        <f aca="false">Sens!H12994+Sens!H13001</f>
        <v>555.72683159012</v>
      </c>
      <c r="I13002" s="6" t="n">
        <f aca="false">Sens!I12994+Sens!I13001</f>
        <v>628.507568297893</v>
      </c>
      <c r="J13002" s="6" t="n">
        <f aca="false">Sens!J12994+Sens!J13001</f>
        <v>688.109036018095</v>
      </c>
      <c r="K13002" s="6" t="n">
        <f aca="false">Sens!K12994+Sens!K13001</f>
        <v>735.990005337455</v>
      </c>
    </row>
    <row r="13003" customFormat="false" ht="15" hidden="false" customHeight="false" outlineLevel="0" collapsed="false">
      <c r="A13003" s="26" t="s">
        <v>1045</v>
      </c>
      <c r="B13003" s="31" t="s">
        <v>98</v>
      </c>
      <c r="C13003" s="31"/>
      <c r="D13003" s="27" t="n">
        <f aca="false">(Sens!D12982+Sens!D12987+Sens!D12988+Sens!D12990+Sens!D12992-Sens!D12994)+(Sens!D12995+Sens!D12997+Sens!D12999-Sens!D13001)+(Sens!D12994-Q!L5)+(Sens!D13001-Q!L12)+(Sens!D12982-Q!L6)+(Sens!D12987-Q!L7)</f>
        <v>0</v>
      </c>
      <c r="E13003" s="27" t="n">
        <f aca="false">(Sens!E12982+Sens!E12987+Sens!E12988+Sens!E12990+Sens!E12992-Sens!E12994)+(Sens!E12995+Sens!E12997+Sens!E12999-Sens!E13001)+(Sens!E12994-Q!M5)+(Sens!E13001-Q!M12)+(Sens!E12982-Q!M6)+(Sens!E12987-Q!M7)</f>
        <v>0</v>
      </c>
      <c r="F13003" s="27" t="n">
        <f aca="false">(Sens!F12982+Sens!F12987+Sens!F12988+Sens!F12990+Sens!F12992-Sens!F12994)+(Sens!F12995+Sens!F12997+Sens!F12999-Sens!F13001)</f>
        <v>0</v>
      </c>
      <c r="G13003" s="27" t="n">
        <f aca="false">(Sens!G12982+Sens!G12987+Sens!G12988+Sens!G12990+Sens!G12992-Sens!G12994)+(Sens!G12995+Sens!G12997+Sens!G12999-Sens!G13001)</f>
        <v>0</v>
      </c>
      <c r="H13003" s="27" t="n">
        <f aca="false">(Sens!H12982+Sens!H12987+Sens!H12988+Sens!H12990+Sens!H12992-Sens!H12994)+(Sens!H12995+Sens!H12997+Sens!H12999-Sens!H13001)</f>
        <v>0</v>
      </c>
      <c r="I13003" s="27" t="n">
        <f aca="false">(Sens!I12982+Sens!I12987+Sens!I12988+Sens!I12990+Sens!I12992-Sens!I12994)+(Sens!I12995+Sens!I12997+Sens!I12999-Sens!I13001)</f>
        <v>0</v>
      </c>
      <c r="J13003" s="27" t="n">
        <f aca="false">(Sens!J12982+Sens!J12987+Sens!J12988+Sens!J12990+Sens!J12992-Sens!J12994)+(Sens!J12995+Sens!J12997+Sens!J12999-Sens!J13001)</f>
        <v>0</v>
      </c>
      <c r="K13003" s="27" t="n">
        <f aca="false">(Sens!K12982+Sens!K12987+Sens!K12988+Sens!K12990+Sens!K12992-Sens!K12994)+(Sens!K12995+Sens!K12997+Sens!K12999-Sens!K13001)</f>
        <v>0</v>
      </c>
    </row>
    <row r="13004" customFormat="false" ht="17.15" hidden="false" customHeight="false" outlineLevel="0" collapsed="false">
      <c r="A13004" s="3" t="s">
        <v>1937</v>
      </c>
    </row>
    <row r="13005" customFormat="false" ht="15" hidden="false" customHeight="false" outlineLevel="0" collapsed="false">
      <c r="A13005" s="4" t="s">
        <v>43</v>
      </c>
      <c r="B13005" s="4" t="s">
        <v>65</v>
      </c>
      <c r="C13005" s="23" t="s">
        <v>942</v>
      </c>
      <c r="D13005" s="23" t="s">
        <v>943</v>
      </c>
      <c r="E13005" s="23" t="s">
        <v>944</v>
      </c>
      <c r="F13005" s="23" t="s">
        <v>945</v>
      </c>
      <c r="G13005" s="23" t="s">
        <v>946</v>
      </c>
      <c r="H13005" s="23" t="s">
        <v>947</v>
      </c>
      <c r="I13005" s="23" t="s">
        <v>948</v>
      </c>
      <c r="J13005" s="23" t="s">
        <v>949</v>
      </c>
      <c r="K13005" s="23" t="s">
        <v>950</v>
      </c>
      <c r="L13005" s="4" t="s">
        <v>47</v>
      </c>
    </row>
    <row r="13006" customFormat="false" ht="15" hidden="false" customHeight="false" outlineLevel="0" collapsed="false">
      <c r="A13006" s="0" t="s">
        <v>1029</v>
      </c>
      <c r="B13006" s="0" t="s">
        <v>98</v>
      </c>
      <c r="D13006" s="6" t="n">
        <f aca="false">Sens!D12982</f>
        <v>72.61</v>
      </c>
      <c r="E13006" s="6" t="n">
        <f aca="false">Sens!E12982</f>
        <v>101.938</v>
      </c>
      <c r="F13006" s="6" t="n">
        <f aca="false">Sens!F12982</f>
        <v>146.709048000181</v>
      </c>
      <c r="G13006" s="6" t="n">
        <f aca="false">Sens!G12982</f>
        <v>199.762829861393</v>
      </c>
      <c r="H13006" s="6" t="n">
        <f aca="false">Sens!H12982</f>
        <v>254.146566109645</v>
      </c>
      <c r="I13006" s="6" t="n">
        <f aca="false">Sens!I12982</f>
        <v>303.439446964617</v>
      </c>
      <c r="J13006" s="6" t="n">
        <f aca="false">Sens!J12982</f>
        <v>341.309898459739</v>
      </c>
      <c r="K13006" s="6" t="n">
        <f aca="false">Sens!K12982</f>
        <v>368.09747789654</v>
      </c>
    </row>
    <row r="13007" customFormat="false" ht="17.15" hidden="false" customHeight="false" outlineLevel="0" collapsed="false">
      <c r="A13007" s="0" t="s">
        <v>1025</v>
      </c>
      <c r="B13007" s="0" t="s">
        <v>98</v>
      </c>
      <c r="D13007" s="6" t="n">
        <f aca="false">Sens!D12979</f>
        <v>12.9359794422418</v>
      </c>
      <c r="E13007" s="6" t="n">
        <f aca="false">Sens!E12979</f>
        <v>27.8095064661409</v>
      </c>
      <c r="F13007" s="6" t="n">
        <f aca="false">Sens!F12979</f>
        <v>55.4118315060966</v>
      </c>
      <c r="G13007" s="6" t="n">
        <f aca="false">Sens!G12979</f>
        <v>91.2881100675143</v>
      </c>
      <c r="H13007" s="6" t="n">
        <f aca="false">Sens!H12979</f>
        <v>128.195273603944</v>
      </c>
      <c r="I13007" s="6" t="n">
        <f aca="false">Sens!I12979</f>
        <v>160.601281810405</v>
      </c>
      <c r="J13007" s="6" t="n">
        <f aca="false">Sens!J12979</f>
        <v>183.182719793589</v>
      </c>
      <c r="K13007" s="6" t="n">
        <f aca="false">Sens!K12979</f>
        <v>197.320124937098</v>
      </c>
    </row>
    <row r="13008" customFormat="false" ht="17.15" hidden="false" customHeight="false" outlineLevel="0" collapsed="false">
      <c r="A13008" s="0" t="s">
        <v>1056</v>
      </c>
      <c r="B13008" s="0" t="s">
        <v>98</v>
      </c>
      <c r="D13008" s="6" t="n">
        <f aca="false">Sens!D12980</f>
        <v>59.6740205577583</v>
      </c>
      <c r="E13008" s="6" t="n">
        <f aca="false">Sens!E12980</f>
        <v>74.1284935338591</v>
      </c>
      <c r="F13008" s="6" t="n">
        <f aca="false">Sens!F12980</f>
        <v>91.2972164940844</v>
      </c>
      <c r="G13008" s="6" t="n">
        <f aca="false">Sens!G12980</f>
        <v>108.474719793879</v>
      </c>
      <c r="H13008" s="6" t="n">
        <f aca="false">Sens!H12980</f>
        <v>125.951292505701</v>
      </c>
      <c r="I13008" s="6" t="n">
        <f aca="false">Sens!I12980</f>
        <v>142.838165154212</v>
      </c>
      <c r="J13008" s="6" t="n">
        <f aca="false">Sens!J12980</f>
        <v>158.12717866615</v>
      </c>
      <c r="K13008" s="6" t="n">
        <f aca="false">Sens!K12980</f>
        <v>170.777352959442</v>
      </c>
    </row>
    <row r="13009" customFormat="false" ht="15" hidden="false" customHeight="false" outlineLevel="0" collapsed="false">
      <c r="A13009" s="0" t="s">
        <v>1036</v>
      </c>
      <c r="B13009" s="0" t="s">
        <v>98</v>
      </c>
      <c r="D13009" s="6" t="n">
        <f aca="false">Sens!D12987</f>
        <v>84.605</v>
      </c>
      <c r="E13009" s="6" t="n">
        <f aca="false">Sens!E12987</f>
        <v>100.299</v>
      </c>
      <c r="F13009" s="6" t="n">
        <f aca="false">Sens!F12987</f>
        <v>118.584003697747</v>
      </c>
      <c r="G13009" s="6" t="n">
        <f aca="false">Sens!G12987</f>
        <v>136.700726545688</v>
      </c>
      <c r="H13009" s="6" t="n">
        <f aca="false">Sens!H12987</f>
        <v>154.898624783666</v>
      </c>
      <c r="I13009" s="6" t="n">
        <f aca="false">Sens!I12987</f>
        <v>171.420510030657</v>
      </c>
      <c r="J13009" s="6" t="n">
        <f aca="false">Sens!J12987</f>
        <v>185.985722618572</v>
      </c>
      <c r="K13009" s="6" t="n">
        <f aca="false">Sens!K12987</f>
        <v>199.799723201872</v>
      </c>
    </row>
    <row r="13010" customFormat="false" ht="17.15" hidden="false" customHeight="false" outlineLevel="0" collapsed="false">
      <c r="A13010" s="0" t="s">
        <v>1057</v>
      </c>
      <c r="B13010" s="0" t="s">
        <v>98</v>
      </c>
      <c r="D13010" s="6" t="n">
        <f aca="false">Sens!D12985</f>
        <v>83.705</v>
      </c>
      <c r="E13010" s="6" t="n">
        <f aca="false">Sens!E12985</f>
        <v>95.049</v>
      </c>
      <c r="F13010" s="6" t="n">
        <f aca="false">Sens!F12985</f>
        <v>106.584003697747</v>
      </c>
      <c r="G13010" s="6" t="n">
        <f aca="false">Sens!G12985</f>
        <v>118.700726545688</v>
      </c>
      <c r="H13010" s="6" t="n">
        <f aca="false">Sens!H12985</f>
        <v>130.898624783666</v>
      </c>
      <c r="I13010" s="6" t="n">
        <f aca="false">Sens!I12985</f>
        <v>142.920510030657</v>
      </c>
      <c r="J13010" s="6" t="n">
        <f aca="false">Sens!J12985</f>
        <v>154.485722618572</v>
      </c>
      <c r="K13010" s="6" t="n">
        <f aca="false">Sens!K12985</f>
        <v>165.299723201872</v>
      </c>
    </row>
    <row r="13011" customFormat="false" ht="17.15" hidden="false" customHeight="false" outlineLevel="0" collapsed="false">
      <c r="A13011" s="0" t="s">
        <v>1058</v>
      </c>
      <c r="B13011" s="0" t="s">
        <v>98</v>
      </c>
      <c r="D13011" s="6" t="n">
        <f aca="false">Sens!D12984</f>
        <v>0.9</v>
      </c>
      <c r="E13011" s="6" t="n">
        <f aca="false">Sens!E12984</f>
        <v>5.25</v>
      </c>
      <c r="F13011" s="6" t="n">
        <f aca="false">Sens!F12984</f>
        <v>12</v>
      </c>
      <c r="G13011" s="6" t="n">
        <f aca="false">Sens!G12984</f>
        <v>18</v>
      </c>
      <c r="H13011" s="6" t="n">
        <f aca="false">Sens!H12984</f>
        <v>24</v>
      </c>
      <c r="I13011" s="6" t="n">
        <f aca="false">Sens!I12984</f>
        <v>28.5</v>
      </c>
      <c r="J13011" s="6" t="n">
        <f aca="false">Sens!J12984</f>
        <v>31.5</v>
      </c>
      <c r="K13011" s="6" t="n">
        <f aca="false">Sens!K12984</f>
        <v>34.5</v>
      </c>
    </row>
    <row r="13012" customFormat="false" ht="15" hidden="false" customHeight="false" outlineLevel="0" collapsed="false">
      <c r="A13012" s="0" t="s">
        <v>1037</v>
      </c>
      <c r="B13012" s="0" t="s">
        <v>98</v>
      </c>
      <c r="D13012" s="6" t="n">
        <f aca="false">Sens!D12988</f>
        <v>35.391</v>
      </c>
      <c r="E13012" s="6" t="n">
        <f aca="false">Sens!E12988</f>
        <v>37.285</v>
      </c>
      <c r="F13012" s="6" t="n">
        <f aca="false">Sens!F12988</f>
        <v>38.3851437782675</v>
      </c>
      <c r="G13012" s="6" t="n">
        <f aca="false">Sens!G12988</f>
        <v>40.0105353288615</v>
      </c>
      <c r="H13012" s="6" t="n">
        <f aca="false">Sens!H12988</f>
        <v>41.4812512033683</v>
      </c>
      <c r="I13012" s="6" t="n">
        <f aca="false">Sens!I12988</f>
        <v>42.7743107216329</v>
      </c>
      <c r="J13012" s="6" t="n">
        <f aca="false">Sens!J12988</f>
        <v>43.8687373064601</v>
      </c>
      <c r="K13012" s="6" t="n">
        <f aca="false">Sens!K12988</f>
        <v>44.7461120525893</v>
      </c>
    </row>
    <row r="13013" customFormat="false" ht="15" hidden="false" customHeight="false" outlineLevel="0" collapsed="false">
      <c r="A13013" s="0" t="s">
        <v>1039</v>
      </c>
      <c r="B13013" s="0" t="s">
        <v>98</v>
      </c>
      <c r="D13013" s="6" t="n">
        <f aca="false">Sens!D12990</f>
        <v>18.417</v>
      </c>
      <c r="E13013" s="6" t="n">
        <f aca="false">Sens!E12990</f>
        <v>20.345</v>
      </c>
      <c r="F13013" s="6" t="n">
        <f aca="false">Sens!F12990</f>
        <v>22.3161797133988</v>
      </c>
      <c r="G13013" s="6" t="n">
        <f aca="false">Sens!G12990</f>
        <v>24.3943499673233</v>
      </c>
      <c r="H13013" s="6" t="n">
        <f aca="false">Sens!H12990</f>
        <v>26.5250243109019</v>
      </c>
      <c r="I13013" s="6" t="n">
        <f aca="false">Sens!I12990</f>
        <v>28.6884573538181</v>
      </c>
      <c r="J13013" s="6" t="n">
        <f aca="false">Sens!J12990</f>
        <v>30.8624968052127</v>
      </c>
      <c r="K13013" s="6" t="n">
        <f aca="false">Sens!K12990</f>
        <v>33.0228715815776</v>
      </c>
    </row>
    <row r="13014" customFormat="false" ht="15" hidden="false" customHeight="false" outlineLevel="0" collapsed="false">
      <c r="A13014" s="0" t="s">
        <v>1040</v>
      </c>
      <c r="B13014" s="0" t="s">
        <v>98</v>
      </c>
      <c r="D13014" s="6" t="n">
        <f aca="false">Sens!D12992</f>
        <v>7.76</v>
      </c>
      <c r="E13014" s="6" t="n">
        <f aca="false">Sens!E12992</f>
        <v>8.26</v>
      </c>
      <c r="F13014" s="6" t="n">
        <f aca="false">Sens!F12992</f>
        <v>8.75372082474227</v>
      </c>
      <c r="G13014" s="6" t="n">
        <f aca="false">Sens!G12992</f>
        <v>9.33399324642364</v>
      </c>
      <c r="H13014" s="6" t="n">
        <f aca="false">Sens!H12992</f>
        <v>9.96139155535851</v>
      </c>
      <c r="I13014" s="6" t="n">
        <f aca="false">Sens!I12992</f>
        <v>10.6402039077391</v>
      </c>
      <c r="J13014" s="6" t="n">
        <f aca="false">Sens!J12992</f>
        <v>11.3751458271397</v>
      </c>
      <c r="K13014" s="6" t="n">
        <f aca="false">Sens!K12992</f>
        <v>12.1714060350394</v>
      </c>
    </row>
    <row r="13015" customFormat="false" ht="15" hidden="false" customHeight="false" outlineLevel="0" collapsed="false">
      <c r="A13015" s="0" t="s">
        <v>856</v>
      </c>
      <c r="B13015" s="0" t="s">
        <v>98</v>
      </c>
      <c r="D13015" s="6" t="n">
        <f aca="false">Sens!D12994</f>
        <v>218.783</v>
      </c>
      <c r="E13015" s="6" t="n">
        <f aca="false">Sens!E12994</f>
        <v>268.127</v>
      </c>
      <c r="F13015" s="6" t="n">
        <f aca="false">Sens!F12994</f>
        <v>334.748096014336</v>
      </c>
      <c r="G13015" s="6" t="n">
        <f aca="false">Sens!G12994</f>
        <v>410.20243494969</v>
      </c>
      <c r="H13015" s="6" t="n">
        <f aca="false">Sens!H12994</f>
        <v>487.012857962939</v>
      </c>
      <c r="I13015" s="6" t="n">
        <f aca="false">Sens!I12994</f>
        <v>556.962928978464</v>
      </c>
      <c r="J13015" s="6" t="n">
        <f aca="false">Sens!J12994</f>
        <v>613.402001017124</v>
      </c>
      <c r="K13015" s="6" t="n">
        <f aca="false">Sens!K12994</f>
        <v>657.837590767618</v>
      </c>
    </row>
    <row r="13016" customFormat="false" ht="15" hidden="false" customHeight="false" outlineLevel="0" collapsed="false">
      <c r="A13016" s="0" t="s">
        <v>1041</v>
      </c>
      <c r="B13016" s="0" t="s">
        <v>98</v>
      </c>
      <c r="D13016" s="6" t="n">
        <f aca="false">Sens!D12995</f>
        <v>22.171</v>
      </c>
      <c r="E13016" s="6" t="n">
        <f aca="false">Sens!E12995</f>
        <v>24.835</v>
      </c>
      <c r="F13016" s="6" t="n">
        <f aca="false">Sens!F12995</f>
        <v>27.5591895660247</v>
      </c>
      <c r="G13016" s="6" t="n">
        <f aca="false">Sens!G12995</f>
        <v>30.4098563144583</v>
      </c>
      <c r="H13016" s="6" t="n">
        <f aca="false">Sens!H12995</f>
        <v>33.3011792571777</v>
      </c>
      <c r="I13016" s="6" t="n">
        <f aca="false">Sens!I12995</f>
        <v>36.189023797112</v>
      </c>
      <c r="J13016" s="6" t="n">
        <f aca="false">Sens!J12995</f>
        <v>39.0247773769199</v>
      </c>
      <c r="K13016" s="6" t="n">
        <f aca="false">Sens!K12995</f>
        <v>41.7565117933043</v>
      </c>
    </row>
    <row r="13017" customFormat="false" ht="15" hidden="false" customHeight="false" outlineLevel="0" collapsed="false">
      <c r="A13017" s="0" t="s">
        <v>1042</v>
      </c>
      <c r="B13017" s="0" t="s">
        <v>98</v>
      </c>
      <c r="D13017" s="6" t="n">
        <f aca="false">Sens!D12997</f>
        <v>23.455</v>
      </c>
      <c r="E13017" s="6" t="n">
        <f aca="false">Sens!E12997</f>
        <v>21.79</v>
      </c>
      <c r="F13017" s="6" t="n">
        <f aca="false">Sens!F12997</f>
        <v>20.7520981041711</v>
      </c>
      <c r="G13017" s="6" t="n">
        <f aca="false">Sens!G12997</f>
        <v>19.9083593495882</v>
      </c>
      <c r="H13017" s="6" t="n">
        <f aca="false">Sens!H12997</f>
        <v>19.4008256265831</v>
      </c>
      <c r="I13017" s="6" t="n">
        <f aca="false">Sens!I12997</f>
        <v>19.200434522122</v>
      </c>
      <c r="J13017" s="6" t="n">
        <f aca="false">Sens!J12997</f>
        <v>19.2932782348507</v>
      </c>
      <c r="K13017" s="6" t="n">
        <f aca="false">Sens!K12997</f>
        <v>19.6791437995477</v>
      </c>
    </row>
    <row r="13018" customFormat="false" ht="15" hidden="false" customHeight="false" outlineLevel="0" collapsed="false">
      <c r="A13018" s="0" t="s">
        <v>1043</v>
      </c>
      <c r="B13018" s="0" t="s">
        <v>98</v>
      </c>
      <c r="D13018" s="6" t="n">
        <f aca="false">Sens!D12999</f>
        <v>17.315</v>
      </c>
      <c r="E13018" s="6" t="n">
        <f aca="false">Sens!E12999</f>
        <v>17.087</v>
      </c>
      <c r="F13018" s="6" t="n">
        <f aca="false">Sens!F12999</f>
        <v>15.9912273250553</v>
      </c>
      <c r="G13018" s="6" t="n">
        <f aca="false">Sens!G12999</f>
        <v>15.9574562664827</v>
      </c>
      <c r="H13018" s="6" t="n">
        <f aca="false">Sens!H12999</f>
        <v>16.0119687434196</v>
      </c>
      <c r="I13018" s="6" t="n">
        <f aca="false">Sens!I12999</f>
        <v>16.1551810001948</v>
      </c>
      <c r="J13018" s="6" t="n">
        <f aca="false">Sens!J12999</f>
        <v>16.3889793892005</v>
      </c>
      <c r="K13018" s="6" t="n">
        <f aca="false">Sens!K12999</f>
        <v>16.7167589769845</v>
      </c>
    </row>
    <row r="13019" customFormat="false" ht="15" hidden="false" customHeight="false" outlineLevel="0" collapsed="false">
      <c r="A13019" s="0" t="s">
        <v>870</v>
      </c>
      <c r="B13019" s="0" t="s">
        <v>98</v>
      </c>
      <c r="D13019" s="6" t="n">
        <f aca="false">Sens!D13001</f>
        <v>62.941</v>
      </c>
      <c r="E13019" s="6" t="n">
        <f aca="false">Sens!E13001</f>
        <v>63.712</v>
      </c>
      <c r="F13019" s="6" t="n">
        <f aca="false">Sens!F13001</f>
        <v>64.3025149952511</v>
      </c>
      <c r="G13019" s="6" t="n">
        <f aca="false">Sens!G13001</f>
        <v>66.2756719305292</v>
      </c>
      <c r="H13019" s="6" t="n">
        <f aca="false">Sens!H13001</f>
        <v>68.7139736271804</v>
      </c>
      <c r="I13019" s="6" t="n">
        <f aca="false">Sens!I13001</f>
        <v>71.5446393194289</v>
      </c>
      <c r="J13019" s="6" t="n">
        <f aca="false">Sens!J13001</f>
        <v>74.707035000971</v>
      </c>
      <c r="K13019" s="6" t="n">
        <f aca="false">Sens!K13001</f>
        <v>78.1524145698365</v>
      </c>
    </row>
    <row r="13020" customFormat="false" ht="15" hidden="false" customHeight="false" outlineLevel="0" collapsed="false">
      <c r="A13020" s="1" t="s">
        <v>1059</v>
      </c>
      <c r="B13020" s="0" t="s">
        <v>98</v>
      </c>
      <c r="D13020" s="6" t="n">
        <f aca="false">Sens!D13002</f>
        <v>281.724</v>
      </c>
      <c r="E13020" s="6" t="n">
        <f aca="false">Sens!E13002</f>
        <v>331.839</v>
      </c>
      <c r="F13020" s="6" t="n">
        <f aca="false">Sens!F13002</f>
        <v>399.050611009588</v>
      </c>
      <c r="G13020" s="6" t="n">
        <f aca="false">Sens!G13002</f>
        <v>476.478106880219</v>
      </c>
      <c r="H13020" s="6" t="n">
        <f aca="false">Sens!H13002</f>
        <v>555.72683159012</v>
      </c>
      <c r="I13020" s="6" t="n">
        <f aca="false">Sens!I13002</f>
        <v>628.507568297893</v>
      </c>
      <c r="J13020" s="6" t="n">
        <f aca="false">Sens!J13002</f>
        <v>688.109036018095</v>
      </c>
      <c r="K13020" s="6" t="n">
        <f aca="false">Sens!K13002</f>
        <v>735.990005337455</v>
      </c>
    </row>
    <row r="13021" customFormat="false" ht="15" hidden="false" customHeight="false" outlineLevel="0" collapsed="false">
      <c r="A13021" s="1" t="s">
        <v>1060</v>
      </c>
      <c r="B13021" s="0" t="s">
        <v>168</v>
      </c>
      <c r="E13021" s="7" t="n">
        <f aca="false">Sens!E13020/Sens!D13020-1</f>
        <v>0.177886867998467</v>
      </c>
      <c r="F13021" s="7" t="n">
        <f aca="false">Sens!F13020/Sens!E13020-1</f>
        <v>0.202542832547071</v>
      </c>
      <c r="G13021" s="7" t="n">
        <f aca="false">Sens!G13020/Sens!F13020-1</f>
        <v>0.194029262791359</v>
      </c>
      <c r="H13021" s="7" t="n">
        <f aca="false">Sens!H13020/Sens!G13020-1</f>
        <v>0.166321859421387</v>
      </c>
      <c r="I13021" s="7" t="n">
        <f aca="false">Sens!I13020/Sens!H13020-1</f>
        <v>0.13096494999085</v>
      </c>
      <c r="J13021" s="7" t="n">
        <f aca="false">Sens!J13020/Sens!I13020-1</f>
        <v>0.0948301511811749</v>
      </c>
      <c r="K13021" s="7" t="n">
        <f aca="false">Sens!K13020/Sens!J13020-1</f>
        <v>0.0695834043924704</v>
      </c>
    </row>
    <row r="13022" customFormat="false" ht="17.15" hidden="false" customHeight="false" outlineLevel="0" collapsed="false">
      <c r="A13022" s="26" t="s">
        <v>1061</v>
      </c>
      <c r="B13022" s="31" t="s">
        <v>98</v>
      </c>
      <c r="C13022" s="31"/>
      <c r="D13022" s="27" t="n">
        <f aca="false">(Sens!D13015+Sens!D13019-Sens!D13020)+(Sens!D13007+Sens!D13008-Sens!D13006)+(Sens!D13010+Sens!D13011-Sens!D13009)+(Sens!D13020-Q!L18)</f>
        <v>0</v>
      </c>
      <c r="E13022" s="27" t="n">
        <f aca="false">(Sens!E13015+Sens!E13019-Sens!E13020)+(Sens!E13007+Sens!E13008-Sens!E13006)+(Sens!E13010+Sens!E13011-Sens!E13009)+(Sens!E13020-Q!M18)</f>
        <v>0</v>
      </c>
      <c r="F13022" s="27" t="n">
        <f aca="false">(Sens!F13015+Sens!F13019-Sens!F13020)+(Sens!F13007+Sens!F13008-Sens!F13006)+(Sens!F13010+Sens!F13011-Sens!F13009)</f>
        <v>0</v>
      </c>
      <c r="G13022" s="27" t="n">
        <f aca="false">(Sens!G13015+Sens!G13019-Sens!G13020)+(Sens!G13007+Sens!G13008-Sens!G13006)+(Sens!G13010+Sens!G13011-Sens!G13009)</f>
        <v>0</v>
      </c>
      <c r="H13022" s="27" t="n">
        <f aca="false">(Sens!H13015+Sens!H13019-Sens!H13020)+(Sens!H13007+Sens!H13008-Sens!H13006)+(Sens!H13010+Sens!H13011-Sens!H13009)</f>
        <v>0</v>
      </c>
      <c r="I13022" s="27" t="n">
        <f aca="false">(Sens!I13015+Sens!I13019-Sens!I13020)+(Sens!I13007+Sens!I13008-Sens!I13006)+(Sens!I13010+Sens!I13011-Sens!I13009)</f>
        <v>0</v>
      </c>
      <c r="J13022" s="27" t="n">
        <f aca="false">(Sens!J13015+Sens!J13019-Sens!J13020)+(Sens!J13007+Sens!J13008-Sens!J13006)+(Sens!J13010+Sens!J13011-Sens!J13009)</f>
        <v>0</v>
      </c>
      <c r="K13022" s="27" t="n">
        <f aca="false">(Sens!K13015+Sens!K13019-Sens!K13020)+(Sens!K13007+Sens!K13008-Sens!K13006)+(Sens!K13010+Sens!K13011-Sens!K13009)</f>
        <v>0</v>
      </c>
    </row>
    <row r="13023" customFormat="false" ht="17.15" hidden="false" customHeight="false" outlineLevel="0" collapsed="false">
      <c r="A13023" s="0" t="s">
        <v>1062</v>
      </c>
      <c r="B13023" s="0" t="s">
        <v>168</v>
      </c>
      <c r="E13023" s="7" t="n">
        <f aca="false">(Q!M21+Sens!E12959+Sens!E12960+Sens!E12961+Sens!E12975-Sens!E12957)/(Q!M5-Sens!E12957)</f>
        <v>0.570957350878296</v>
      </c>
      <c r="F13023" s="7" t="n">
        <f aca="false">Sens!$E$13023+dm_seg_lo</f>
        <v>0.550957350878296</v>
      </c>
      <c r="G13023" s="7" t="n">
        <f aca="false">Sens!$E$13023+dm_seg_lo</f>
        <v>0.550957350878296</v>
      </c>
      <c r="H13023" s="7" t="n">
        <f aca="false">Sens!$E$13023+dm_seg_lo</f>
        <v>0.550957350878296</v>
      </c>
      <c r="I13023" s="7" t="n">
        <f aca="false">Sens!$E$13023+dm_seg_lo</f>
        <v>0.550957350878296</v>
      </c>
      <c r="J13023" s="7" t="n">
        <f aca="false">Sens!$E$13023+dm_seg_lo</f>
        <v>0.550957350878296</v>
      </c>
      <c r="K13023" s="7" t="n">
        <f aca="false">Sens!$E$13023+dm_seg_lo</f>
        <v>0.550957350878296</v>
      </c>
      <c r="L13023" s="12" t="s">
        <v>1063</v>
      </c>
    </row>
    <row r="13024" customFormat="false" ht="17.15" hidden="false" customHeight="false" outlineLevel="0" collapsed="false">
      <c r="A13024" s="0" t="s">
        <v>884</v>
      </c>
      <c r="B13024" s="0" t="s">
        <v>98</v>
      </c>
      <c r="D13024" s="6" t="n">
        <f aca="false">Q!L21</f>
        <v>110.814</v>
      </c>
      <c r="E13024" s="6" t="n">
        <f aca="false">Q!M21</f>
        <v>136.365</v>
      </c>
      <c r="F13024" s="6" t="n">
        <f aca="false">Q!$I$21+(Sens!F13023*(Sens!F12994-Sens!F12957)+Sens!F12957-(Sens!F12959+Sens!F12960+Sens!F12961)-Sens!F12975-Sens!F13058)*(Sens!F12994-Q!$I$5)/Sens!F12994</f>
        <v>157.784819847707</v>
      </c>
      <c r="G13024" s="6" t="n">
        <f aca="false">(Sens!G13023*(Sens!G12994-Sens!G12957)+Sens!G12957-(Sens!G12959+Sens!G12960+Sens!G12961)-Sens!G12975-Sens!G13058)</f>
        <v>171.190616707751</v>
      </c>
      <c r="H13024" s="6" t="n">
        <f aca="false">(Sens!H13023*(Sens!H12994-Sens!H12957)+Sens!H12957-(Sens!H12959+Sens!H12960+Sens!H12961)-Sens!H12975-Sens!H13058)</f>
        <v>189.587334330939</v>
      </c>
      <c r="I13024" s="6" t="n">
        <f aca="false">(Sens!I13023*(Sens!I12994-Sens!I12957)+Sens!I12957-(Sens!I12959+Sens!I12960+Sens!I12961)-Sens!I12975-Sens!I13058)</f>
        <v>207.048350210726</v>
      </c>
      <c r="J13024" s="6" t="n">
        <f aca="false">(Sens!J13023*(Sens!J12994-Sens!J12957)+Sens!J12957-(Sens!J12959+Sens!J12960+Sens!J12961)-Sens!J12975-Sens!J13058)</f>
        <v>223.352690895218</v>
      </c>
      <c r="K13024" s="6" t="n">
        <f aca="false">(Sens!K13023*(Sens!K12994-Sens!K12957)+Sens!K12957-(Sens!K12959+Sens!K12960+Sens!K12961)-Sens!K12975-Sens!K13058)</f>
        <v>239.129396972548</v>
      </c>
      <c r="L13024" s="1" t="s">
        <v>1064</v>
      </c>
    </row>
    <row r="13025" customFormat="false" ht="17.15" hidden="false" customHeight="false" outlineLevel="0" collapsed="false">
      <c r="A13025" s="0" t="s">
        <v>1065</v>
      </c>
      <c r="B13025" s="0" t="s">
        <v>168</v>
      </c>
      <c r="E13025" s="7" t="n">
        <f aca="false">Q!M22/Q!M12</f>
        <v>0.296207935710698</v>
      </c>
      <c r="F13025" s="7" t="n">
        <f aca="false">Sens!$E$13025+dm_seg_lo</f>
        <v>0.276207935710698</v>
      </c>
      <c r="G13025" s="7" t="n">
        <f aca="false">Sens!$E$13025+dm_seg_lo</f>
        <v>0.276207935710698</v>
      </c>
      <c r="H13025" s="7" t="n">
        <f aca="false">Sens!$E$13025+dm_seg_lo</f>
        <v>0.276207935710698</v>
      </c>
      <c r="I13025" s="7" t="n">
        <f aca="false">Sens!$E$13025+dm_seg_lo</f>
        <v>0.276207935710698</v>
      </c>
      <c r="J13025" s="7" t="n">
        <f aca="false">Sens!$E$13025+dm_seg_lo</f>
        <v>0.276207935710698</v>
      </c>
      <c r="K13025" s="7" t="n">
        <f aca="false">Sens!$E$13025+dm_seg_lo</f>
        <v>0.276207935710698</v>
      </c>
      <c r="L13025" s="12" t="s">
        <v>1066</v>
      </c>
    </row>
    <row r="13026" customFormat="false" ht="17.15" hidden="false" customHeight="false" outlineLevel="0" collapsed="false">
      <c r="A13026" s="0" t="s">
        <v>886</v>
      </c>
      <c r="B13026" s="0" t="s">
        <v>98</v>
      </c>
      <c r="D13026" s="6" t="n">
        <f aca="false">Q!L22</f>
        <v>17.714</v>
      </c>
      <c r="E13026" s="6" t="n">
        <f aca="false">Q!M22</f>
        <v>18.872</v>
      </c>
      <c r="F13026" s="6" t="n">
        <f aca="false">Q!$I$22+(Sens!F13001-Q!$I$12)*Sens!F13025</f>
        <v>18.8410612513001</v>
      </c>
      <c r="G13026" s="6" t="n">
        <f aca="false">Sens!G13001*Sens!G13025</f>
        <v>18.3058665317709</v>
      </c>
      <c r="H13026" s="6" t="n">
        <f aca="false">Sens!H13001*Sens!H13025</f>
        <v>18.9793448100428</v>
      </c>
      <c r="I13026" s="6" t="n">
        <f aca="false">Sens!I13001*Sens!I13025</f>
        <v>19.7611971375859</v>
      </c>
      <c r="J13026" s="6" t="n">
        <f aca="false">Sens!J13001*Sens!J13025</f>
        <v>20.6346759206851</v>
      </c>
      <c r="K13026" s="6" t="n">
        <f aca="false">Sens!K13001*Sens!K13025</f>
        <v>21.5863170991412</v>
      </c>
      <c r="L13026" s="12" t="s">
        <v>1067</v>
      </c>
    </row>
    <row r="13027" customFormat="false" ht="15" hidden="false" customHeight="false" outlineLevel="0" collapsed="false">
      <c r="A13027" s="1" t="s">
        <v>1068</v>
      </c>
      <c r="B13027" s="0" t="s">
        <v>98</v>
      </c>
      <c r="D13027" s="6" t="n">
        <f aca="false">Sens!D13024+Sens!D13026</f>
        <v>128.528</v>
      </c>
      <c r="E13027" s="6" t="n">
        <f aca="false">Sens!E13024+Sens!E13026</f>
        <v>155.237</v>
      </c>
      <c r="F13027" s="6" t="n">
        <f aca="false">Sens!F13024+Sens!F13026</f>
        <v>176.625881099007</v>
      </c>
      <c r="G13027" s="6" t="n">
        <f aca="false">Sens!G13024+Sens!G13026</f>
        <v>189.496483239522</v>
      </c>
      <c r="H13027" s="6" t="n">
        <f aca="false">Sens!H13024+Sens!H13026</f>
        <v>208.566679140982</v>
      </c>
      <c r="I13027" s="6" t="n">
        <f aca="false">Sens!I13024+Sens!I13026</f>
        <v>226.809547348312</v>
      </c>
      <c r="J13027" s="6" t="n">
        <f aca="false">Sens!J13024+Sens!J13026</f>
        <v>243.987366815903</v>
      </c>
      <c r="K13027" s="6" t="n">
        <f aca="false">Sens!K13024+Sens!K13026</f>
        <v>260.715714071689</v>
      </c>
    </row>
    <row r="13028" customFormat="false" ht="15" hidden="false" customHeight="false" outlineLevel="0" collapsed="false">
      <c r="A13028" s="26" t="s">
        <v>1069</v>
      </c>
      <c r="B13028" s="31" t="s">
        <v>98</v>
      </c>
      <c r="C13028" s="31"/>
      <c r="D13028" s="27" t="n">
        <f aca="false">Sens!D13027-Q!L23</f>
        <v>0</v>
      </c>
      <c r="E13028" s="27" t="n">
        <f aca="false">Sens!E13027-Q!M23</f>
        <v>0</v>
      </c>
      <c r="F13028" s="31"/>
      <c r="G13028" s="31"/>
      <c r="H13028" s="31"/>
      <c r="I13028" s="31"/>
      <c r="J13028" s="31"/>
      <c r="K13028" s="31"/>
    </row>
    <row r="13029" customFormat="false" ht="15" hidden="false" customHeight="false" outlineLevel="0" collapsed="false">
      <c r="A13029" s="1" t="s">
        <v>1070</v>
      </c>
      <c r="B13029" s="0" t="s">
        <v>168</v>
      </c>
      <c r="D13029" s="7" t="n">
        <f aca="false">Sens!D13027/Sens!D13020</f>
        <v>0.456219562408598</v>
      </c>
      <c r="E13029" s="7" t="n">
        <f aca="false">Sens!E13027/Sens!E13020</f>
        <v>0.467808184089272</v>
      </c>
      <c r="F13029" s="7" t="n">
        <f aca="false">Sens!F13027/Sens!F13020</f>
        <v>0.442615237831983</v>
      </c>
      <c r="G13029" s="7" t="n">
        <f aca="false">Sens!G13027/Sens!G13020</f>
        <v>0.397702392834512</v>
      </c>
      <c r="H13029" s="7" t="n">
        <f aca="false">Sens!H13027/Sens!H13020</f>
        <v>0.375304317310365</v>
      </c>
      <c r="I13029" s="7" t="n">
        <f aca="false">Sens!I13027/Sens!I13020</f>
        <v>0.36087003369355</v>
      </c>
      <c r="J13029" s="7" t="n">
        <f aca="false">Sens!J13027/Sens!J13020</f>
        <v>0.354576606387548</v>
      </c>
      <c r="K13029" s="7" t="n">
        <f aca="false">Sens!K13027/Sens!K13020</f>
        <v>0.354238117611597</v>
      </c>
    </row>
    <row r="13030" customFormat="false" ht="17.15" hidden="false" customHeight="false" outlineLevel="0" collapsed="false">
      <c r="A13030" s="1" t="s">
        <v>1071</v>
      </c>
      <c r="B13030" s="0" t="s">
        <v>98</v>
      </c>
      <c r="F13030" s="6" t="n">
        <f aca="false">Sens!F13045</f>
        <v>9.8748427716299</v>
      </c>
      <c r="G13030" s="6" t="n">
        <f aca="false">Sens!G13045</f>
        <v>25.5303385959797</v>
      </c>
      <c r="H13030" s="6" t="n">
        <f aca="false">Sens!H13045</f>
        <v>42.6590253697948</v>
      </c>
      <c r="I13030" s="6" t="n">
        <f aca="false">Sens!I13045</f>
        <v>58.169943641581</v>
      </c>
      <c r="J13030" s="6" t="n">
        <f aca="false">Sens!J13045</f>
        <v>69.0078520908201</v>
      </c>
      <c r="K13030" s="6" t="n">
        <f aca="false">Sens!K13045</f>
        <v>74.9448374943249</v>
      </c>
      <c r="L13030" s="1" t="s">
        <v>1072</v>
      </c>
    </row>
    <row r="13031" customFormat="false" ht="17.15" hidden="false" customHeight="false" outlineLevel="0" collapsed="false">
      <c r="A13031" s="1" t="s">
        <v>1073</v>
      </c>
      <c r="B13031" s="0" t="s">
        <v>98</v>
      </c>
      <c r="D13031" s="6" t="n">
        <f aca="false">Sens!D13027</f>
        <v>128.528</v>
      </c>
      <c r="E13031" s="6" t="n">
        <f aca="false">Sens!E13027</f>
        <v>155.237</v>
      </c>
      <c r="F13031" s="6" t="n">
        <f aca="false">Sens!F13027+Sens!F13030</f>
        <v>186.500723870637</v>
      </c>
      <c r="G13031" s="6" t="n">
        <f aca="false">Sens!G13027+Sens!G13030</f>
        <v>215.026821835501</v>
      </c>
      <c r="H13031" s="6" t="n">
        <f aca="false">Sens!H13027+Sens!H13030</f>
        <v>251.225704510777</v>
      </c>
      <c r="I13031" s="6" t="n">
        <f aca="false">Sens!I13027+Sens!I13030</f>
        <v>284.979490989893</v>
      </c>
      <c r="J13031" s="6" t="n">
        <f aca="false">Sens!J13027+Sens!J13030</f>
        <v>312.995218906723</v>
      </c>
      <c r="K13031" s="6" t="n">
        <f aca="false">Sens!K13027+Sens!K13030</f>
        <v>335.660551566014</v>
      </c>
    </row>
    <row r="13032" customFormat="false" ht="17.15" hidden="false" customHeight="false" outlineLevel="0" collapsed="false">
      <c r="A13032" s="1" t="s">
        <v>1074</v>
      </c>
      <c r="B13032" s="0" t="s">
        <v>98</v>
      </c>
      <c r="E13032" s="6" t="n">
        <f aca="false">Sens!E12975</f>
        <v>16.3054059770833</v>
      </c>
      <c r="F13032" s="6" t="n">
        <f aca="false">Sens!F12975</f>
        <v>34.5793144783516</v>
      </c>
      <c r="G13032" s="6" t="n">
        <f aca="false">Sens!G12975</f>
        <v>60.7344906522989</v>
      </c>
      <c r="H13032" s="6" t="n">
        <f aca="false">Sens!H12975</f>
        <v>89.1000906614457</v>
      </c>
      <c r="I13032" s="6" t="n">
        <f aca="false">Sens!I12975</f>
        <v>114.231009694548</v>
      </c>
      <c r="J13032" s="6" t="n">
        <f aca="false">Sens!J12975</f>
        <v>132.015673049596</v>
      </c>
      <c r="K13032" s="6" t="n">
        <f aca="false">Sens!K12975</f>
        <v>143.012669550934</v>
      </c>
    </row>
    <row r="13033" customFormat="false" ht="17.15" hidden="false" customHeight="false" outlineLevel="0" collapsed="false">
      <c r="A13033" s="1" t="s">
        <v>1075</v>
      </c>
      <c r="B13033" s="0" t="s">
        <v>98</v>
      </c>
      <c r="E13033" s="6" t="n">
        <f aca="false">Sens!E13057</f>
        <v>22.2285940229167</v>
      </c>
      <c r="F13033" s="6" t="n">
        <f aca="false">Sens!F13057</f>
        <v>23.580344216413</v>
      </c>
      <c r="G13033" s="6" t="n">
        <f aca="false">Sens!G13057</f>
        <v>25.3583505401965</v>
      </c>
      <c r="H13033" s="6" t="n">
        <f aca="false">Sens!H13057</f>
        <v>27.528569983033</v>
      </c>
      <c r="I13033" s="6" t="n">
        <f aca="false">Sens!I13057</f>
        <v>30.0244523528154</v>
      </c>
      <c r="J13033" s="6" t="n">
        <f aca="false">Sens!J13057</f>
        <v>32.7625785967048</v>
      </c>
      <c r="K13033" s="6" t="n">
        <f aca="false">Sens!K13057</f>
        <v>35.6585684431062</v>
      </c>
    </row>
    <row r="13034" customFormat="false" ht="17.15" hidden="false" customHeight="false" outlineLevel="0" collapsed="false">
      <c r="A13034" s="1" t="s">
        <v>1076</v>
      </c>
      <c r="B13034" s="0" t="s">
        <v>98</v>
      </c>
      <c r="D13034" s="6" t="n">
        <f aca="false">Q!L27</f>
        <v>-4.901</v>
      </c>
      <c r="E13034" s="6" t="n">
        <f aca="false">Q!M27</f>
        <v>10.697</v>
      </c>
      <c r="F13034" s="6" t="n">
        <f aca="false">Q!$I$27+oie_f*(q_per_yr-1)/q_per_yr</f>
        <v>-0.862</v>
      </c>
      <c r="G13034" s="6" t="n">
        <f aca="false">oie_f</f>
        <v>-1.2</v>
      </c>
      <c r="H13034" s="6" t="n">
        <f aca="false">oie_f</f>
        <v>-1.2</v>
      </c>
      <c r="I13034" s="6" t="n">
        <f aca="false">oie_f</f>
        <v>-1.2</v>
      </c>
      <c r="J13034" s="6" t="n">
        <f aca="false">oie_f</f>
        <v>-1.2</v>
      </c>
      <c r="K13034" s="6" t="n">
        <f aca="false">oie_f</f>
        <v>-1.2</v>
      </c>
      <c r="L13034" s="12" t="s">
        <v>1077</v>
      </c>
    </row>
    <row r="13035" customFormat="false" ht="15" hidden="false" customHeight="false" outlineLevel="0" collapsed="false">
      <c r="A13035" s="1" t="s">
        <v>1078</v>
      </c>
      <c r="B13035" s="0" t="s">
        <v>98</v>
      </c>
      <c r="D13035" s="6" t="n">
        <f aca="false">Sens!D13027+Sens!D13034</f>
        <v>123.627</v>
      </c>
      <c r="E13035" s="6" t="n">
        <f aca="false">Sens!E13027+Sens!E13034</f>
        <v>165.934</v>
      </c>
      <c r="F13035" s="6" t="n">
        <f aca="false">Sens!F13027+Sens!F13034</f>
        <v>175.763881099007</v>
      </c>
      <c r="G13035" s="6" t="n">
        <f aca="false">Sens!G13027+Sens!G13034</f>
        <v>188.296483239522</v>
      </c>
      <c r="H13035" s="6" t="n">
        <f aca="false">Sens!H13027+Sens!H13034</f>
        <v>207.366679140982</v>
      </c>
      <c r="I13035" s="6" t="n">
        <f aca="false">Sens!I13027+Sens!I13034</f>
        <v>225.609547348312</v>
      </c>
      <c r="J13035" s="6" t="n">
        <f aca="false">Sens!J13027+Sens!J13034</f>
        <v>242.787366815903</v>
      </c>
      <c r="K13035" s="6" t="n">
        <f aca="false">Sens!K13027+Sens!K13034</f>
        <v>259.515714071689</v>
      </c>
    </row>
    <row r="13036" customFormat="false" ht="15" hidden="false" customHeight="false" outlineLevel="0" collapsed="false">
      <c r="A13036" s="1" t="s">
        <v>1079</v>
      </c>
      <c r="B13036" s="0" t="s">
        <v>98</v>
      </c>
      <c r="D13036" s="6" t="n">
        <f aca="false">Q!L29</f>
        <v>21.795</v>
      </c>
      <c r="E13036" s="6" t="n">
        <f aca="false">Q!M29</f>
        <v>32.185</v>
      </c>
      <c r="F13036" s="6" t="n">
        <f aca="false">Q!$I$29+(Sens!F13035-Q!$I$28)*tax_f</f>
        <v>35.2861762198013</v>
      </c>
      <c r="G13036" s="6" t="n">
        <f aca="false">Sens!G13035*tax_f</f>
        <v>37.6592966479043</v>
      </c>
      <c r="H13036" s="6" t="n">
        <f aca="false">Sens!H13035*tax_f</f>
        <v>41.4733358281964</v>
      </c>
      <c r="I13036" s="6" t="n">
        <f aca="false">Sens!I13035*tax_f</f>
        <v>45.1219094696624</v>
      </c>
      <c r="J13036" s="6" t="n">
        <f aca="false">Sens!J13035*tax_f</f>
        <v>48.5574733631805</v>
      </c>
      <c r="K13036" s="6" t="n">
        <f aca="false">Sens!K13035*tax_f</f>
        <v>51.9031428143379</v>
      </c>
    </row>
    <row r="13037" customFormat="false" ht="15" hidden="false" customHeight="false" outlineLevel="0" collapsed="false">
      <c r="A13037" s="1" t="s">
        <v>1080</v>
      </c>
      <c r="B13037" s="0" t="s">
        <v>98</v>
      </c>
      <c r="D13037" s="6" t="n">
        <f aca="false">Sens!D13035-Sens!D13036</f>
        <v>101.832</v>
      </c>
      <c r="E13037" s="6" t="n">
        <f aca="false">Sens!E13035-Sens!E13036</f>
        <v>133.749</v>
      </c>
      <c r="F13037" s="6" t="n">
        <f aca="false">Sens!F13035-Sens!F13036</f>
        <v>140.477704879205</v>
      </c>
      <c r="G13037" s="6" t="n">
        <f aca="false">Sens!G13035-Sens!G13036</f>
        <v>150.637186591617</v>
      </c>
      <c r="H13037" s="6" t="n">
        <f aca="false">Sens!H13035-Sens!H13036</f>
        <v>165.893343312786</v>
      </c>
      <c r="I13037" s="6" t="n">
        <f aca="false">Sens!I13035-Sens!I13036</f>
        <v>180.48763787865</v>
      </c>
      <c r="J13037" s="6" t="n">
        <f aca="false">Sens!J13035-Sens!J13036</f>
        <v>194.229893452722</v>
      </c>
      <c r="K13037" s="6" t="n">
        <f aca="false">Sens!K13035-Sens!K13036</f>
        <v>207.612571257351</v>
      </c>
    </row>
    <row r="13038" customFormat="false" ht="17.15" hidden="false" customHeight="false" outlineLevel="0" collapsed="false">
      <c r="A13038" s="1" t="s">
        <v>1081</v>
      </c>
      <c r="B13038" s="1" t="s">
        <v>81</v>
      </c>
      <c r="D13038" s="15" t="n">
        <f aca="false">Q!L31</f>
        <v>7.465</v>
      </c>
      <c r="E13038" s="15" t="n">
        <f aca="false">Q!M31</f>
        <v>7.453</v>
      </c>
      <c r="F13038" s="15" t="n">
        <f aca="false">Sens!F13082</f>
        <v>7.4735</v>
      </c>
      <c r="G13038" s="15" t="n">
        <f aca="false">Sens!G13082</f>
        <v>7.5185</v>
      </c>
      <c r="H13038" s="15" t="n">
        <f aca="false">Sens!H13082</f>
        <v>7.5482637123676</v>
      </c>
      <c r="I13038" s="15" t="n">
        <f aca="false">Sens!I13082</f>
        <v>7.56200884976187</v>
      </c>
      <c r="J13038" s="15" t="n">
        <f aca="false">Sens!J13082</f>
        <v>7.57615826092434</v>
      </c>
      <c r="K13038" s="15" t="n">
        <f aca="false">Sens!K13082</f>
        <v>7.5925929008896</v>
      </c>
    </row>
    <row r="13039" customFormat="false" ht="17.15" hidden="false" customHeight="false" outlineLevel="0" collapsed="false">
      <c r="A13039" s="0" t="s">
        <v>1082</v>
      </c>
      <c r="B13039" s="0" t="s">
        <v>75</v>
      </c>
      <c r="D13039" s="8" t="n">
        <f aca="false">Sens!D13037/Sens!D13038</f>
        <v>13.641259209645</v>
      </c>
      <c r="E13039" s="8" t="n">
        <f aca="false">Sens!E13037/Sens!E13038</f>
        <v>17.9456594659869</v>
      </c>
      <c r="F13039" s="8" t="n">
        <f aca="false">Sens!F13037/Sens!F13038</f>
        <v>18.7967759254975</v>
      </c>
      <c r="G13039" s="8" t="n">
        <f aca="false">Sens!G13037/Sens!G13038</f>
        <v>20.0355372204053</v>
      </c>
      <c r="H13039" s="8" t="n">
        <f aca="false">Sens!H13037/Sens!H13038</f>
        <v>21.9776825021328</v>
      </c>
      <c r="I13039" s="8" t="n">
        <f aca="false">Sens!I13037/Sens!I13038</f>
        <v>23.8676840327069</v>
      </c>
      <c r="J13039" s="8" t="n">
        <f aca="false">Sens!J13037/Sens!J13038</f>
        <v>25.6369899840272</v>
      </c>
      <c r="K13039" s="8" t="n">
        <f aca="false">Sens!K13037/Sens!K13038</f>
        <v>27.3440936406621</v>
      </c>
      <c r="L13039" s="1" t="s">
        <v>1083</v>
      </c>
    </row>
    <row r="13040" customFormat="false" ht="17.15" hidden="false" customHeight="false" outlineLevel="0" collapsed="false">
      <c r="A13040" s="1" t="s">
        <v>1084</v>
      </c>
      <c r="B13040" s="0" t="s">
        <v>98</v>
      </c>
      <c r="D13040" s="6" t="n">
        <f aca="false">Sens!D13037</f>
        <v>101.832</v>
      </c>
      <c r="E13040" s="6" t="n">
        <f aca="false">Sens!E13037</f>
        <v>133.749</v>
      </c>
      <c r="F13040" s="6" t="n">
        <f aca="false">Sens!F13037+Sens!F13030*(1-tax_f)</f>
        <v>148.377579096509</v>
      </c>
      <c r="G13040" s="6" t="n">
        <f aca="false">Sens!G13037+Sens!G13030*(1-tax_f)</f>
        <v>171.061457468401</v>
      </c>
      <c r="H13040" s="6" t="n">
        <f aca="false">Sens!H13037+Sens!H13030*(1-tax_f)</f>
        <v>200.020563608621</v>
      </c>
      <c r="I13040" s="6" t="n">
        <f aca="false">Sens!I13037+Sens!I13030*(1-tax_f)</f>
        <v>227.023592791914</v>
      </c>
      <c r="J13040" s="6" t="n">
        <f aca="false">Sens!J13037+Sens!J13030*(1-tax_f)</f>
        <v>249.436175125378</v>
      </c>
      <c r="K13040" s="6" t="n">
        <f aca="false">Sens!K13037+Sens!K13030*(1-tax_f)</f>
        <v>267.568441252811</v>
      </c>
    </row>
    <row r="13041" customFormat="false" ht="17.15" hidden="false" customHeight="false" outlineLevel="0" collapsed="false">
      <c r="A13041" s="0" t="s">
        <v>1085</v>
      </c>
      <c r="B13041" s="0" t="s">
        <v>75</v>
      </c>
      <c r="D13041" s="8" t="n">
        <f aca="false">Sens!D13040/Sens!D13038</f>
        <v>13.641259209645</v>
      </c>
      <c r="E13041" s="8" t="n">
        <f aca="false">Sens!E13040/Sens!E13038</f>
        <v>17.9456594659869</v>
      </c>
      <c r="F13041" s="8" t="n">
        <f aca="false">Sens!F13040/Sens!F13038</f>
        <v>19.8538274030253</v>
      </c>
      <c r="G13041" s="8" t="n">
        <f aca="false">Sens!G13040/Sens!G13038</f>
        <v>22.7520725501631</v>
      </c>
      <c r="H13041" s="8" t="n">
        <f aca="false">Sens!H13040/Sens!H13038</f>
        <v>26.4988838798642</v>
      </c>
      <c r="I13041" s="8" t="n">
        <f aca="false">Sens!I13040/Sens!I13038</f>
        <v>30.0215984009412</v>
      </c>
      <c r="J13041" s="8" t="n">
        <f aca="false">Sens!J13040/Sens!J13038</f>
        <v>32.9238337604296</v>
      </c>
      <c r="K13041" s="8" t="n">
        <f aca="false">Sens!K13040/Sens!K13038</f>
        <v>35.2407200999097</v>
      </c>
      <c r="L13041" s="1" t="s">
        <v>1086</v>
      </c>
    </row>
    <row r="13042" customFormat="false" ht="17.15" hidden="false" customHeight="false" outlineLevel="0" collapsed="false">
      <c r="A13042" s="0" t="s">
        <v>1087</v>
      </c>
      <c r="B13042" s="0" t="s">
        <v>168</v>
      </c>
      <c r="E13042" s="7" t="n">
        <f aca="false">Sens!E13041/Sens!D13041-1</f>
        <v>0.315542736208578</v>
      </c>
      <c r="F13042" s="7" t="n">
        <f aca="false">Sens!F13041/Sens!E13041-1</f>
        <v>0.106330332449194</v>
      </c>
      <c r="G13042" s="7" t="n">
        <f aca="false">Sens!G13041/Sens!F13041-1</f>
        <v>0.145979165039793</v>
      </c>
      <c r="H13042" s="7" t="n">
        <f aca="false">Sens!H13041/Sens!G13041-1</f>
        <v>0.164680000973109</v>
      </c>
      <c r="I13042" s="7" t="n">
        <f aca="false">Sens!I13041/Sens!H13041-1</f>
        <v>0.132938222494491</v>
      </c>
      <c r="J13042" s="7" t="n">
        <f aca="false">Sens!J13041/Sens!I13041-1</f>
        <v>0.0966715802646057</v>
      </c>
      <c r="K13042" s="7" t="n">
        <f aca="false">Sens!K13041/Sens!J13041-1</f>
        <v>0.0703710982244328</v>
      </c>
    </row>
    <row r="13043" customFormat="false" ht="17.15" hidden="false" customHeight="false" outlineLevel="0" collapsed="false">
      <c r="A13043" s="0" t="s">
        <v>1007</v>
      </c>
      <c r="B13043" s="0" t="s">
        <v>98</v>
      </c>
      <c r="E13043" s="6" t="n">
        <f aca="false">Sens!E12984</f>
        <v>5.25</v>
      </c>
      <c r="F13043" s="6" t="n">
        <f aca="false">Sens!F12984</f>
        <v>12</v>
      </c>
      <c r="G13043" s="6" t="n">
        <f aca="false">Sens!G12984</f>
        <v>18</v>
      </c>
      <c r="H13043" s="6" t="n">
        <f aca="false">Sens!H12984</f>
        <v>24</v>
      </c>
      <c r="I13043" s="6" t="n">
        <f aca="false">Sens!I12984</f>
        <v>28.5</v>
      </c>
      <c r="J13043" s="6" t="n">
        <f aca="false">Sens!J12984</f>
        <v>31.5</v>
      </c>
      <c r="K13043" s="6" t="n">
        <f aca="false">Sens!K12984</f>
        <v>34.5</v>
      </c>
    </row>
    <row r="13044" customFormat="false" ht="17.15" hidden="false" customHeight="false" outlineLevel="0" collapsed="false">
      <c r="A13044" s="1" t="s">
        <v>1008</v>
      </c>
      <c r="B13044" s="0" t="s">
        <v>98</v>
      </c>
      <c r="F13044" s="6" t="n">
        <f aca="false">MAX(0,((Sens!E12944+Sens!F12944)/2-(shadow_base*(Sens!$D$12944+Sens!$E$12944)/2+(1-shadow_base)*Sens!$E$12944))*Sens!F12953/1000-(Sens!F13043-Sens!$E$13043)*Sens!F13023)</f>
        <v>9.8748427716299</v>
      </c>
      <c r="G13044" s="6" t="n">
        <f aca="false">MAX(0,((Sens!F12944+Sens!G12944)/2-(shadow_base*(Sens!$D$12944+Sens!$E$12944)/2+(1-shadow_base)*Sens!$E$12944))*Sens!G12953/1000-(Sens!G13043-Sens!$E$13043)*Sens!G13023)</f>
        <v>25.5303385959797</v>
      </c>
      <c r="H13044" s="6" t="n">
        <f aca="false">MAX(0,((Sens!G12944+Sens!H12944)/2-(shadow_base*(Sens!$D$12944+Sens!$E$12944)/2+(1-shadow_base)*Sens!$E$12944))*Sens!H12953/1000-(Sens!H13043-Sens!$E$13043)*Sens!H13023)</f>
        <v>42.6590253697948</v>
      </c>
      <c r="I13044" s="6" t="n">
        <f aca="false">MAX(0,((Sens!H12944+Sens!I12944)/2-(shadow_base*(Sens!$D$12944+Sens!$E$12944)/2+(1-shadow_base)*Sens!$E$12944))*Sens!I12953/1000-(Sens!I13043-Sens!$E$13043)*Sens!I13023)</f>
        <v>58.169943641581</v>
      </c>
      <c r="J13044" s="6" t="n">
        <f aca="false">MAX(0,((Sens!I12944+Sens!J12944)/2-(shadow_base*(Sens!$D$12944+Sens!$E$12944)/2+(1-shadow_base)*Sens!$E$12944))*Sens!J12953/1000-(Sens!J13043-Sens!$E$13043)*Sens!J13023)</f>
        <v>69.0078520908201</v>
      </c>
      <c r="K13044" s="6" t="n">
        <f aca="false">MAX(0,((Sens!J12944+Sens!K12944)/2-(shadow_base*(Sens!$D$12944+Sens!$E$12944)/2+(1-shadow_base)*Sens!$E$12944))*Sens!K12953/1000-(Sens!K13043-Sens!$E$13043)*Sens!K13023)</f>
        <v>74.9448374943249</v>
      </c>
      <c r="L13044" s="1" t="s">
        <v>1009</v>
      </c>
    </row>
    <row r="13045" customFormat="false" ht="17.15" hidden="false" customHeight="false" outlineLevel="0" collapsed="false">
      <c r="A13045" s="1" t="s">
        <v>1010</v>
      </c>
      <c r="B13045" s="0" t="s">
        <v>98</v>
      </c>
      <c r="F13045" s="6" t="n">
        <f aca="false">IF(internal_ai_reading=2,1,0)*Sens!F13044</f>
        <v>9.8748427716299</v>
      </c>
      <c r="G13045" s="6" t="n">
        <f aca="false">IF(internal_ai_reading=2,1,0)*Sens!G13044</f>
        <v>25.5303385959797</v>
      </c>
      <c r="H13045" s="6" t="n">
        <f aca="false">IF(internal_ai_reading=2,1,0)*Sens!H13044</f>
        <v>42.6590253697948</v>
      </c>
      <c r="I13045" s="6" t="n">
        <f aca="false">IF(internal_ai_reading=2,1,0)*Sens!I13044</f>
        <v>58.169943641581</v>
      </c>
      <c r="J13045" s="6" t="n">
        <f aca="false">IF(internal_ai_reading=2,1,0)*Sens!J13044</f>
        <v>69.0078520908201</v>
      </c>
      <c r="K13045" s="6" t="n">
        <f aca="false">IF(internal_ai_reading=2,1,0)*Sens!K13044</f>
        <v>74.9448374943249</v>
      </c>
    </row>
    <row r="13046" customFormat="false" ht="17.15" hidden="false" customHeight="false" outlineLevel="0" collapsed="false">
      <c r="A13046" s="0" t="s">
        <v>1011</v>
      </c>
      <c r="B13046" s="0" t="s">
        <v>98</v>
      </c>
      <c r="F13046" s="6" t="n">
        <f aca="false">Sens!F12963+Sens!F13043*Sens!F13023+Sens!F13045-Sens!F12964-Sens!F12975</f>
        <v>14.7102827562272</v>
      </c>
      <c r="G13046" s="6" t="n">
        <f aca="false">Sens!G12963+Sens!G13043*Sens!G13023+Sens!G13045-Sens!G12964-Sens!G12975</f>
        <v>30.929997776595</v>
      </c>
      <c r="H13046" s="6" t="n">
        <f aca="false">Sens!H12963+Sens!H13043*Sens!H13023+Sens!H13045-Sens!H12964-Sens!H12975</f>
        <v>47.7761519709827</v>
      </c>
      <c r="I13046" s="6" t="n">
        <f aca="false">Sens!I12963+Sens!I13043*Sens!I13023+Sens!I13045-Sens!I12964-Sens!I12975</f>
        <v>62.5422166574028</v>
      </c>
      <c r="J13046" s="6" t="n">
        <f aca="false">Sens!J12963+Sens!J13043*Sens!J13023+Sens!J13045-Sens!J12964-Sens!J12975</f>
        <v>72.6832253357034</v>
      </c>
      <c r="K13046" s="6" t="n">
        <f aca="false">Sens!K12963+Sens!K13043*Sens!K13023+Sens!K13045-Sens!K12964-Sens!K12975</f>
        <v>79.3567812140188</v>
      </c>
    </row>
    <row r="13047" customFormat="false" ht="17.15" hidden="false" customHeight="false" outlineLevel="0" collapsed="false">
      <c r="A13047" s="0" t="s">
        <v>1012</v>
      </c>
      <c r="B13047" s="0" t="s">
        <v>98</v>
      </c>
      <c r="E13047" s="6" t="n">
        <f aca="false">Sens!E12943*(cxit_open+self_build*tk_cxfac)/1000*ai_net_open</f>
        <v>126.6980382</v>
      </c>
      <c r="F13047" s="6" t="n">
        <f aca="false">Sens!E13047+Sens!F12972-Sens!F12975</f>
        <v>260.572627763768</v>
      </c>
      <c r="G13047" s="6" t="n">
        <f aca="false">Sens!F13047+Sens!G12972-Sens!G12975</f>
        <v>391.782612760517</v>
      </c>
      <c r="H13047" s="6" t="n">
        <f aca="false">Sens!G13047+Sens!H12972-Sens!H12975</f>
        <v>499.488526163584</v>
      </c>
      <c r="I13047" s="6" t="n">
        <f aca="false">Sens!H13047+Sens!I12972-Sens!I12975</f>
        <v>553.872350090646</v>
      </c>
      <c r="J13047" s="6" t="n">
        <f aca="false">Sens!I13047+Sens!J12972-Sens!J12975</f>
        <v>550.78660823699</v>
      </c>
      <c r="K13047" s="6" t="n">
        <f aca="false">Sens!J13047+Sens!K12972-Sens!K12975</f>
        <v>526.736791750789</v>
      </c>
      <c r="L13047" s="1" t="s">
        <v>1013</v>
      </c>
    </row>
    <row r="13048" customFormat="false" ht="17.15" hidden="false" customHeight="false" outlineLevel="0" collapsed="false">
      <c r="A13048" s="0" t="s">
        <v>1014</v>
      </c>
      <c r="B13048" s="0" t="s">
        <v>168</v>
      </c>
      <c r="F13048" s="7" t="n">
        <f aca="false">Sens!F13046*(1-tax_f)/((Sens!E13047+Sens!F13047)/2)</f>
        <v>0.0607752005987603</v>
      </c>
      <c r="G13048" s="7" t="n">
        <f aca="false">Sens!G13046*(1-tax_f)/((Sens!F13047+Sens!G13047)/2)</f>
        <v>0.0758605026346988</v>
      </c>
      <c r="H13048" s="7" t="n">
        <f aca="false">Sens!H13046*(1-tax_f)/((Sens!G13047+Sens!H13047)/2)</f>
        <v>0.085767214728673</v>
      </c>
      <c r="I13048" s="7" t="n">
        <f aca="false">Sens!I13046*(1-tax_f)/((Sens!H13047+Sens!I13047)/2)</f>
        <v>0.0949983513795258</v>
      </c>
      <c r="J13048" s="7" t="n">
        <f aca="false">Sens!J13046*(1-tax_f)/((Sens!I13047+Sens!J13047)/2)</f>
        <v>0.105275170821213</v>
      </c>
      <c r="K13048" s="7" t="n">
        <f aca="false">Sens!K13046*(1-tax_f)/((Sens!J13047+Sens!K13047)/2)</f>
        <v>0.117835816784926</v>
      </c>
    </row>
    <row r="13049" customFormat="false" ht="17.15" hidden="false" customHeight="false" outlineLevel="0" collapsed="false">
      <c r="A13049" s="1" t="s">
        <v>1015</v>
      </c>
      <c r="B13049" s="0" t="s">
        <v>168</v>
      </c>
      <c r="F13049" s="7" t="n">
        <f aca="false">(Sens!F13046-Sens!F13045)*(1-tax_f)/((Sens!E13047+Sens!F13047)/2)</f>
        <v>0.0199775109640747</v>
      </c>
      <c r="G13049" s="7" t="n">
        <f aca="false">(Sens!G13046-Sens!G13045)*(1-tax_f)/((Sens!F13047+Sens!G13047)/2)</f>
        <v>0.0132434816987769</v>
      </c>
      <c r="H13049" s="7" t="n">
        <f aca="false">(Sens!H13046-Sens!H13045)*(1-tax_f)/((Sens!G13047+Sens!H13047)/2)</f>
        <v>0.00918620855577581</v>
      </c>
      <c r="I13049" s="7" t="n">
        <f aca="false">(Sens!I13046-Sens!I13045)*(1-tax_f)/((Sens!H13047+Sens!I13047)/2)</f>
        <v>0.00664125370802783</v>
      </c>
      <c r="J13049" s="7" t="n">
        <f aca="false">(Sens!J13046-Sens!J13045)*(1-tax_f)/((Sens!I13047+Sens!J13047)/2)</f>
        <v>0.00532345041651227</v>
      </c>
      <c r="K13049" s="7" t="n">
        <f aca="false">(Sens!K13046-Sens!K13045)*(1-tax_f)/((Sens!J13047+Sens!K13047)/2)</f>
        <v>0.00655123587254832</v>
      </c>
    </row>
    <row r="13050" customFormat="false" ht="17.15" hidden="false" customHeight="false" outlineLevel="0" collapsed="false">
      <c r="A13050" s="1" t="s">
        <v>1016</v>
      </c>
      <c r="B13050" s="0" t="s">
        <v>168</v>
      </c>
      <c r="F13050" s="7" t="n">
        <f aca="false">(Sens!F13046-Sens!F13045+Sens!F13044)*(1-tax_f)/((Sens!E13047+Sens!F13047)/2)</f>
        <v>0.0607752005987603</v>
      </c>
      <c r="G13050" s="7" t="n">
        <f aca="false">(Sens!G13046-Sens!G13045+Sens!G13044)*(1-tax_f)/((Sens!F13047+Sens!G13047)/2)</f>
        <v>0.0758605026346988</v>
      </c>
      <c r="H13050" s="7" t="n">
        <f aca="false">(Sens!H13046-Sens!H13045+Sens!H13044)*(1-tax_f)/((Sens!G13047+Sens!H13047)/2)</f>
        <v>0.085767214728673</v>
      </c>
      <c r="I13050" s="7" t="n">
        <f aca="false">(Sens!I13046-Sens!I13045+Sens!I13044)*(1-tax_f)/((Sens!H13047+Sens!I13047)/2)</f>
        <v>0.0949983513795258</v>
      </c>
      <c r="J13050" s="7" t="n">
        <f aca="false">(Sens!J13046-Sens!J13045+Sens!J13044)*(1-tax_f)/((Sens!I13047+Sens!J13047)/2)</f>
        <v>0.105275170821213</v>
      </c>
      <c r="K13050" s="7" t="n">
        <f aca="false">(Sens!K13046-Sens!K13045+Sens!K13044)*(1-tax_f)/((Sens!J13047+Sens!K13047)/2)</f>
        <v>0.117835816784926</v>
      </c>
    </row>
    <row r="13051" customFormat="false" ht="17.15" hidden="false" customHeight="false" outlineLevel="0" collapsed="false">
      <c r="A13051" s="1" t="s">
        <v>1017</v>
      </c>
      <c r="B13051" s="0" t="s">
        <v>168</v>
      </c>
      <c r="F13051" s="7" t="n">
        <f aca="false">Sens!F12976*(1-tax_f)/(Sens!F12962*(Sens!E13047+Sens!F13047)/2)</f>
        <v>0.129294830495493</v>
      </c>
      <c r="G13051" s="7" t="n">
        <f aca="false">Sens!G12976*(1-tax_f)/(Sens!G12962*(Sens!F13047+Sens!G13047)/2)</f>
        <v>0.12719599062164</v>
      </c>
      <c r="H13051" s="7" t="n">
        <f aca="false">Sens!H12976*(1-tax_f)/(Sens!H12962*(Sens!G13047+Sens!H13047)/2)</f>
        <v>0.130828167067624</v>
      </c>
      <c r="I13051" s="7" t="n">
        <f aca="false">Sens!I12976*(1-tax_f)/(Sens!I12962*(Sens!H13047+Sens!I13047)/2)</f>
        <v>0.138614526937417</v>
      </c>
      <c r="J13051" s="7" t="n">
        <f aca="false">Sens!J12976*(1-tax_f)/(Sens!J12962*(Sens!I13047+Sens!J13047)/2)</f>
        <v>0.150578919010924</v>
      </c>
      <c r="K13051" s="7" t="n">
        <f aca="false">Sens!K12976*(1-tax_f)/(Sens!K12962*(Sens!J13047+Sens!K13047)/2)</f>
        <v>0.167005345886664</v>
      </c>
    </row>
    <row r="13052" customFormat="false" ht="17.15" hidden="false" customHeight="false" outlineLevel="0" collapsed="false">
      <c r="A13052" s="0" t="s">
        <v>1018</v>
      </c>
      <c r="B13052" s="0" t="s">
        <v>253</v>
      </c>
      <c r="F13052" s="7" t="n">
        <f aca="false">Sens!F13048-wacc</f>
        <v>-0.042161390346837</v>
      </c>
      <c r="G13052" s="7" t="n">
        <f aca="false">Sens!G13048-wacc</f>
        <v>-0.0270760883108985</v>
      </c>
      <c r="H13052" s="7" t="n">
        <f aca="false">Sens!H13048-wacc</f>
        <v>-0.0171693762169243</v>
      </c>
      <c r="I13052" s="7" t="n">
        <f aca="false">Sens!I13048-wacc</f>
        <v>-0.00793823956607147</v>
      </c>
      <c r="J13052" s="7" t="n">
        <f aca="false">Sens!J13048-wacc</f>
        <v>0.00233857987561603</v>
      </c>
      <c r="K13052" s="7" t="n">
        <f aca="false">Sens!K13048-wacc</f>
        <v>0.0148992258393283</v>
      </c>
    </row>
    <row r="13053" customFormat="false" ht="17.15" hidden="false" customHeight="false" outlineLevel="0" collapsed="false">
      <c r="A13053" s="0" t="s">
        <v>1019</v>
      </c>
      <c r="B13053" s="0" t="s">
        <v>98</v>
      </c>
      <c r="F13053" s="6" t="n">
        <f aca="false">Sens!F13046*(1-tax_f)-wacc*(Sens!E13047+Sens!F13047)/2</f>
        <v>-8.16393485878896</v>
      </c>
      <c r="G13053" s="6" t="n">
        <f aca="false">Sens!G13046*(1-tax_f)-wacc*(Sens!F13047+Sens!G13047)/2</f>
        <v>-8.83161405125649</v>
      </c>
      <c r="H13053" s="6" t="n">
        <f aca="false">Sens!H13046*(1-tax_f)-wacc*(Sens!G13047+Sens!H13047)/2</f>
        <v>-7.65128474773726</v>
      </c>
      <c r="I13053" s="6" t="n">
        <f aca="false">Sens!I13046*(1-tax_f)-wacc*(Sens!H13047+Sens!I13047)/2</f>
        <v>-4.18091549261651</v>
      </c>
      <c r="J13053" s="6" t="n">
        <f aca="false">Sens!J13046*(1-tax_f)-wacc*(Sens!I13047+Sens!J13047)/2</f>
        <v>1.29166660468199</v>
      </c>
      <c r="K13053" s="6" t="n">
        <f aca="false">Sens!K13046*(1-tax_f)-wacc*(Sens!J13047+Sens!K13047)/2</f>
        <v>8.02713224178941</v>
      </c>
    </row>
    <row r="13054" customFormat="false" ht="17.15" hidden="false" customHeight="false" outlineLevel="0" collapsed="false">
      <c r="A13054" s="3" t="s">
        <v>1938</v>
      </c>
    </row>
    <row r="13055" customFormat="false" ht="15" hidden="false" customHeight="false" outlineLevel="0" collapsed="false">
      <c r="A13055" s="4" t="s">
        <v>43</v>
      </c>
      <c r="B13055" s="4" t="s">
        <v>65</v>
      </c>
      <c r="C13055" s="23" t="s">
        <v>942</v>
      </c>
      <c r="D13055" s="23" t="s">
        <v>943</v>
      </c>
      <c r="E13055" s="23" t="s">
        <v>944</v>
      </c>
      <c r="F13055" s="23" t="s">
        <v>945</v>
      </c>
      <c r="G13055" s="23" t="s">
        <v>946</v>
      </c>
      <c r="H13055" s="23" t="s">
        <v>947</v>
      </c>
      <c r="I13055" s="23" t="s">
        <v>948</v>
      </c>
      <c r="J13055" s="23" t="s">
        <v>949</v>
      </c>
      <c r="K13055" s="23" t="s">
        <v>950</v>
      </c>
      <c r="L13055" s="4" t="s">
        <v>47</v>
      </c>
    </row>
    <row r="13056" customFormat="false" ht="15" hidden="false" customHeight="false" outlineLevel="0" collapsed="false">
      <c r="A13056" s="1" t="s">
        <v>1080</v>
      </c>
      <c r="B13056" s="0" t="s">
        <v>98</v>
      </c>
      <c r="F13056" s="6" t="n">
        <f aca="false">Sens!F13037</f>
        <v>140.477704879205</v>
      </c>
      <c r="G13056" s="6" t="n">
        <f aca="false">Sens!G13037</f>
        <v>150.637186591617</v>
      </c>
      <c r="H13056" s="6" t="n">
        <f aca="false">Sens!H13037</f>
        <v>165.893343312786</v>
      </c>
      <c r="I13056" s="6" t="n">
        <f aca="false">Sens!I13037</f>
        <v>180.48763787865</v>
      </c>
      <c r="J13056" s="6" t="n">
        <f aca="false">Sens!J13037</f>
        <v>194.229893452722</v>
      </c>
      <c r="K13056" s="6" t="n">
        <f aca="false">Sens!K13037</f>
        <v>207.612571257351</v>
      </c>
    </row>
    <row r="13057" customFormat="false" ht="17.15" hidden="false" customHeight="false" outlineLevel="0" collapsed="false">
      <c r="A13057" s="1" t="s">
        <v>1102</v>
      </c>
      <c r="B13057" s="0" t="s">
        <v>98</v>
      </c>
      <c r="E13057" s="6" t="n">
        <f aca="false">Q!M38-Sens!E12975</f>
        <v>22.2285940229167</v>
      </c>
      <c r="F13057" s="6" t="n">
        <f aca="false">Sens!E13057*(1-1/life_nonai)+(Sens!F13065+Sens!F13066)/life_nonai</f>
        <v>23.580344216413</v>
      </c>
      <c r="G13057" s="6" t="n">
        <f aca="false">Sens!F13057*(1-1/life_nonai)+(Sens!G13065)/life_nonai</f>
        <v>25.3583505401965</v>
      </c>
      <c r="H13057" s="6" t="n">
        <f aca="false">Sens!G13057*(1-1/life_nonai)+(Sens!H13065)/life_nonai</f>
        <v>27.528569983033</v>
      </c>
      <c r="I13057" s="6" t="n">
        <f aca="false">Sens!H13057*(1-1/life_nonai)+(Sens!I13065)/life_nonai</f>
        <v>30.0244523528154</v>
      </c>
      <c r="J13057" s="6" t="n">
        <f aca="false">Sens!I13057*(1-1/life_nonai)+(Sens!J13065)/life_nonai</f>
        <v>32.7625785967048</v>
      </c>
      <c r="K13057" s="6" t="n">
        <f aca="false">Sens!J13057*(1-1/life_nonai)+(Sens!K13065)/life_nonai</f>
        <v>35.6585684431062</v>
      </c>
      <c r="L13057" s="12" t="s">
        <v>1103</v>
      </c>
    </row>
    <row r="13058" customFormat="false" ht="17.15" hidden="false" customHeight="false" outlineLevel="0" collapsed="false">
      <c r="A13058" s="1" t="s">
        <v>1104</v>
      </c>
      <c r="B13058" s="0" t="s">
        <v>98</v>
      </c>
      <c r="F13058" s="6" t="n">
        <f aca="false">Sens!$F$13066/life_nonai*(1-1/life_nonai)^(Sens!F12938-2027)</f>
        <v>1.94586576753864E-006</v>
      </c>
      <c r="G13058" s="6" t="n">
        <f aca="false">Sens!$F$13066/life_nonai*(1-1/life_nonai)^(Sens!G12938-2027)</f>
        <v>1.75127919078477E-006</v>
      </c>
      <c r="H13058" s="6" t="n">
        <f aca="false">Sens!$F$13066/life_nonai*(1-1/life_nonai)^(Sens!H12938-2027)</f>
        <v>1.57615127170629E-006</v>
      </c>
      <c r="I13058" s="6" t="n">
        <f aca="false">Sens!$F$13066/life_nonai*(1-1/life_nonai)^(Sens!I12938-2027)</f>
        <v>1.41853614453567E-006</v>
      </c>
      <c r="J13058" s="6" t="n">
        <f aca="false">Sens!$F$13066/life_nonai*(1-1/life_nonai)^(Sens!J12938-2027)</f>
        <v>1.2766825300821E-006</v>
      </c>
      <c r="K13058" s="6" t="n">
        <f aca="false">Sens!$F$13066/life_nonai*(1-1/life_nonai)^(Sens!K12938-2027)</f>
        <v>1.14901427707389E-006</v>
      </c>
      <c r="L13058" s="1" t="s">
        <v>1105</v>
      </c>
    </row>
    <row r="13059" customFormat="false" ht="17.15" hidden="false" customHeight="false" outlineLevel="0" collapsed="false">
      <c r="A13059" s="1" t="s">
        <v>1106</v>
      </c>
      <c r="B13059" s="0" t="s">
        <v>98</v>
      </c>
      <c r="E13059" s="6" t="n">
        <f aca="false">Sens!E12975+Sens!E13057</f>
        <v>38.534</v>
      </c>
      <c r="F13059" s="6" t="n">
        <f aca="false">Sens!F12975+Sens!F13057</f>
        <v>58.1596586947647</v>
      </c>
      <c r="G13059" s="6" t="n">
        <f aca="false">Sens!G12975+Sens!G13057</f>
        <v>86.0928411924955</v>
      </c>
      <c r="H13059" s="6" t="n">
        <f aca="false">Sens!H12975+Sens!H13057</f>
        <v>116.628660644479</v>
      </c>
      <c r="I13059" s="6" t="n">
        <f aca="false">Sens!I12975+Sens!I13057</f>
        <v>144.255462047364</v>
      </c>
      <c r="J13059" s="6" t="n">
        <f aca="false">Sens!J12975+Sens!J13057</f>
        <v>164.778251646301</v>
      </c>
      <c r="K13059" s="6" t="n">
        <f aca="false">Sens!K12975+Sens!K13057</f>
        <v>178.67123799404</v>
      </c>
    </row>
    <row r="13060" customFormat="false" ht="17.15" hidden="false" customHeight="false" outlineLevel="0" collapsed="false">
      <c r="A13060" s="1" t="s">
        <v>1107</v>
      </c>
      <c r="B13060" s="0" t="s">
        <v>98</v>
      </c>
      <c r="F13060" s="6" t="n">
        <f aca="false">Sens!F13002*sbc_r</f>
        <v>14.9175438377464</v>
      </c>
      <c r="G13060" s="6" t="n">
        <f aca="false">Sens!G13002*sbc_r</f>
        <v>17.8119838712421</v>
      </c>
      <c r="H13060" s="6" t="n">
        <f aca="false">Sens!H13002*sbc_r</f>
        <v>20.7745061486909</v>
      </c>
      <c r="I13060" s="6" t="n">
        <f aca="false">Sens!I13002*sbc_r</f>
        <v>23.4952383075388</v>
      </c>
      <c r="J13060" s="6" t="n">
        <f aca="false">Sens!J13002*sbc_r</f>
        <v>25.7232953082804</v>
      </c>
      <c r="K13060" s="6" t="n">
        <f aca="false">Sens!K13002*sbc_r</f>
        <v>27.5132097680234</v>
      </c>
    </row>
    <row r="13061" customFormat="false" ht="17.15" hidden="false" customHeight="false" outlineLevel="0" collapsed="false">
      <c r="A13061" s="1" t="s">
        <v>1108</v>
      </c>
      <c r="B13061" s="0" t="s">
        <v>98</v>
      </c>
      <c r="F13061" s="6" t="n">
        <f aca="false">wc27-wc26q1</f>
        <v>-4.677</v>
      </c>
      <c r="G13061" s="6" t="n">
        <f aca="false">wc_f</f>
        <v>0</v>
      </c>
      <c r="H13061" s="6" t="n">
        <f aca="false">wc_f</f>
        <v>0</v>
      </c>
      <c r="I13061" s="6" t="n">
        <f aca="false">wc_f</f>
        <v>0</v>
      </c>
      <c r="J13061" s="6" t="n">
        <f aca="false">wc_f</f>
        <v>0</v>
      </c>
      <c r="K13061" s="6" t="n">
        <f aca="false">wc_f</f>
        <v>0</v>
      </c>
      <c r="L13061" s="12" t="s">
        <v>1109</v>
      </c>
    </row>
    <row r="13062" customFormat="false" ht="17.15" hidden="false" customHeight="false" outlineLevel="0" collapsed="false">
      <c r="A13062" s="0" t="s">
        <v>1110</v>
      </c>
      <c r="B13062" s="0" t="s">
        <v>98</v>
      </c>
      <c r="F13062" s="6" t="n">
        <f aca="false">Q!$I$35-Q!$I$26-Q!$I$38-Q!$I$39</f>
        <v>6.493</v>
      </c>
      <c r="L13062" s="1" t="s">
        <v>1111</v>
      </c>
    </row>
    <row r="13063" customFormat="false" ht="15" hidden="false" customHeight="false" outlineLevel="0" collapsed="false">
      <c r="A13063" s="1" t="s">
        <v>908</v>
      </c>
      <c r="B13063" s="0" t="s">
        <v>98</v>
      </c>
      <c r="E13063" s="6" t="n">
        <f aca="false">Q!M35</f>
        <v>182.935</v>
      </c>
      <c r="F13063" s="6" t="n">
        <f aca="false">Sens!F13056+Sens!F13059+Sens!F13060+Sens!F13061+Sens!F13062</f>
        <v>215.370907411716</v>
      </c>
      <c r="G13063" s="6" t="n">
        <f aca="false">Sens!G13056+Sens!G13059+Sens!G13060+Sens!G13061</f>
        <v>254.542011655355</v>
      </c>
      <c r="H13063" s="6" t="n">
        <f aca="false">Sens!H13056+Sens!H13059+Sens!H13060+Sens!H13061</f>
        <v>303.296510105955</v>
      </c>
      <c r="I13063" s="6" t="n">
        <f aca="false">Sens!I13056+Sens!I13059+Sens!I13060+Sens!I13061</f>
        <v>348.238338233552</v>
      </c>
      <c r="J13063" s="6" t="n">
        <f aca="false">Sens!J13056+Sens!J13059+Sens!J13060+Sens!J13061</f>
        <v>384.731440407303</v>
      </c>
      <c r="K13063" s="6" t="n">
        <f aca="false">Sens!K13056+Sens!K13059+Sens!K13060+Sens!K13061</f>
        <v>413.797019019415</v>
      </c>
    </row>
    <row r="13064" customFormat="false" ht="17.15" hidden="false" customHeight="false" outlineLevel="0" collapsed="false">
      <c r="A13064" s="0" t="s">
        <v>1112</v>
      </c>
      <c r="B13064" s="0" t="s">
        <v>98</v>
      </c>
      <c r="F13064" s="6" t="n">
        <f aca="false">Sens!F12972</f>
        <v>168.45390404212</v>
      </c>
      <c r="G13064" s="6" t="n">
        <f aca="false">Sens!G12972</f>
        <v>191.944475649048</v>
      </c>
      <c r="H13064" s="6" t="n">
        <f aca="false">Sens!H12972</f>
        <v>196.806004064512</v>
      </c>
      <c r="I13064" s="6" t="n">
        <f aca="false">Sens!I12972</f>
        <v>168.61483362161</v>
      </c>
      <c r="J13064" s="6" t="n">
        <f aca="false">Sens!J12972</f>
        <v>128.92993119594</v>
      </c>
      <c r="K13064" s="6" t="n">
        <f aca="false">Sens!K12972</f>
        <v>118.962853064733</v>
      </c>
    </row>
    <row r="13065" customFormat="false" ht="17.15" hidden="false" customHeight="false" outlineLevel="0" collapsed="false">
      <c r="A13065" s="1" t="s">
        <v>1113</v>
      </c>
      <c r="B13065" s="0" t="s">
        <v>98</v>
      </c>
      <c r="E13065" s="6" t="n">
        <f aca="false">Sens!E12980*cx_azo+Sens!E12987*cx_m365+Sens!E12988*cx_lic+(Sens!E12990+Sens!E12992)*cx_ind+Sens!E12995*cx_srch+(Sens!E12997+Sens!E12999)*cx_dev</f>
        <v>30.1846587067718</v>
      </c>
      <c r="F13065" s="6" t="n">
        <f aca="false">Sens!F12980*cx_azo+Sens!F12987*cx_m365+Sens!F12988*cx_lic+(Sens!F12990+Sens!F12992)*cx_ind+Sens!F12995*cx_srch+(Sens!F12997+Sens!F12999)*cx_dev</f>
        <v>35.7460764992227</v>
      </c>
      <c r="G13065" s="6" t="n">
        <f aca="false">Sens!G12980*cx_azo+Sens!G12987*cx_m365+Sens!G12988*cx_lic+(Sens!G12990+Sens!G12992)*cx_ind+Sens!G12995*cx_srch+(Sens!G12997+Sens!G12999)*cx_dev</f>
        <v>41.360407454248</v>
      </c>
      <c r="H13065" s="6" t="n">
        <f aca="false">Sens!H12980*cx_azo+Sens!H12987*cx_m365+Sens!H12988*cx_lic+(Sens!H12990+Sens!H12992)*cx_ind+Sens!H12995*cx_srch+(Sens!H12997+Sens!H12999)*cx_dev</f>
        <v>47.0605449685615</v>
      </c>
      <c r="I13065" s="6" t="n">
        <f aca="false">Sens!I12980*cx_azo+Sens!I12987*cx_m365+Sens!I12988*cx_lic+(Sens!I12990+Sens!I12992)*cx_ind+Sens!I12995*cx_srch+(Sens!I12997+Sens!I12999)*cx_dev</f>
        <v>52.4873936808571</v>
      </c>
      <c r="J13065" s="6" t="n">
        <f aca="false">Sens!J12980*cx_azo+Sens!J12987*cx_m365+Sens!J12988*cx_lic+(Sens!J12990+Sens!J12992)*cx_ind+Sens!J12995*cx_srch+(Sens!J12997+Sens!J12999)*cx_dev</f>
        <v>57.4057147917091</v>
      </c>
      <c r="K13065" s="6" t="n">
        <f aca="false">Sens!K12980*cx_azo+Sens!K12987*cx_m365+Sens!K12988*cx_lic+(Sens!K12990+Sens!K12992)*cx_ind+Sens!K12995*cx_srch+(Sens!K12997+Sens!K12999)*cx_dev</f>
        <v>61.7224770607185</v>
      </c>
    </row>
    <row r="13066" customFormat="false" ht="17.15" hidden="false" customHeight="false" outlineLevel="0" collapsed="false">
      <c r="A13066" s="0" t="s">
        <v>1114</v>
      </c>
      <c r="B13066" s="0" t="s">
        <v>98</v>
      </c>
      <c r="F13066" s="6" t="n">
        <f aca="false">Sens!F12970</f>
        <v>1.94586576753863E-005</v>
      </c>
      <c r="L13066" s="1" t="s">
        <v>1115</v>
      </c>
    </row>
    <row r="13067" customFormat="false" ht="17.15" hidden="false" customHeight="false" outlineLevel="0" collapsed="false">
      <c r="A13067" s="1" t="s">
        <v>1116</v>
      </c>
      <c r="B13067" s="0" t="s">
        <v>98</v>
      </c>
      <c r="E13067" s="6" t="n">
        <f aca="false">Q!M43</f>
        <v>145.3</v>
      </c>
      <c r="F13067" s="6" t="n">
        <f aca="false">Sens!F13064+Sens!F13065+Sens!F13066</f>
        <v>204.2</v>
      </c>
      <c r="G13067" s="6" t="n">
        <f aca="false">Sens!G13064+Sens!G13065</f>
        <v>233.304883103296</v>
      </c>
      <c r="H13067" s="6" t="n">
        <f aca="false">Sens!H13064+Sens!H13065</f>
        <v>243.866549033074</v>
      </c>
      <c r="I13067" s="6" t="n">
        <f aca="false">Sens!I13064+Sens!I13065</f>
        <v>221.102227302467</v>
      </c>
      <c r="J13067" s="6" t="n">
        <f aca="false">Sens!J13064+Sens!J13065</f>
        <v>186.33564598765</v>
      </c>
      <c r="K13067" s="6" t="n">
        <f aca="false">Sens!K13064+Sens!K13065</f>
        <v>180.685330125451</v>
      </c>
      <c r="L13067" s="1" t="s">
        <v>1117</v>
      </c>
    </row>
    <row r="13068" customFormat="false" ht="15" hidden="false" customHeight="false" outlineLevel="0" collapsed="false">
      <c r="A13068" s="1" t="s">
        <v>1118</v>
      </c>
      <c r="B13068" s="0" t="s">
        <v>98</v>
      </c>
      <c r="E13068" s="6" t="n">
        <f aca="false">fl_liab</f>
        <v>66.594</v>
      </c>
      <c r="F13068" s="6" t="n">
        <f aca="false">Sens!E13068-Sens!F13069</f>
        <v>62.46973</v>
      </c>
      <c r="G13068" s="6" t="n">
        <f aca="false">Sens!F13068-Sens!G13069</f>
        <v>57.98686785</v>
      </c>
      <c r="H13068" s="6" t="n">
        <f aca="false">Sens!G13068-Sens!H13069</f>
        <v>53.92827690325</v>
      </c>
      <c r="I13068" s="6" t="n">
        <f aca="false">Sens!H13068-Sens!I13069</f>
        <v>49.7850493638962</v>
      </c>
      <c r="J13068" s="6" t="n">
        <f aca="false">Sens!I13068-Sens!J13069</f>
        <v>45.4823765852716</v>
      </c>
      <c r="K13068" s="6" t="n">
        <f aca="false">Sens!J13068-Sens!K13069</f>
        <v>40.9860835316088</v>
      </c>
    </row>
    <row r="13069" customFormat="false" ht="15" hidden="false" customHeight="false" outlineLevel="0" collapsed="false">
      <c r="A13069" s="1" t="s">
        <v>1119</v>
      </c>
      <c r="B13069" s="0" t="s">
        <v>98</v>
      </c>
      <c r="F13069" s="6" t="n">
        <f aca="false">fl_pay_27-Sens!E13068*fl_rate</f>
        <v>4.12427</v>
      </c>
      <c r="G13069" s="6" t="n">
        <f aca="false">fl_pay_28-Sens!F13068*fl_rate</f>
        <v>4.48286215</v>
      </c>
      <c r="H13069" s="6" t="n">
        <f aca="false">fl_pay_29-Sens!G13068*fl_rate</f>
        <v>4.05859094675</v>
      </c>
      <c r="I13069" s="6" t="n">
        <f aca="false">fl_pay_30-Sens!H13068*fl_rate</f>
        <v>4.14322753935375</v>
      </c>
      <c r="J13069" s="6" t="n">
        <f aca="false">fl_pay_31-Sens!I13068*fl_rate</f>
        <v>4.30267277862467</v>
      </c>
      <c r="K13069" s="6" t="n">
        <f aca="false">fl_pay_32-Sens!J13068*fl_rate</f>
        <v>4.49629305366278</v>
      </c>
    </row>
    <row r="13070" customFormat="false" ht="17.15" hidden="false" customHeight="false" outlineLevel="0" collapsed="false">
      <c r="A13070" s="1" t="s">
        <v>1120</v>
      </c>
      <c r="B13070" s="0" t="s">
        <v>98</v>
      </c>
      <c r="E13070" s="6" t="n">
        <f aca="false">Q!M35-Q!M36-Q!M44</f>
        <v>63.886</v>
      </c>
      <c r="F13070" s="6" t="n">
        <f aca="false">Sens!F13063-Sens!F13067-Sens!F13069</f>
        <v>7.04663741171643</v>
      </c>
      <c r="G13070" s="6" t="n">
        <f aca="false">Sens!G13063-Sens!G13067-Sens!G13069</f>
        <v>16.7542664020587</v>
      </c>
      <c r="H13070" s="6" t="n">
        <f aca="false">Sens!H13063-Sens!H13067-Sens!H13069</f>
        <v>55.3713701261314</v>
      </c>
      <c r="I13070" s="6" t="n">
        <f aca="false">Sens!I13063-Sens!I13067-Sens!I13069</f>
        <v>122.992883391731</v>
      </c>
      <c r="J13070" s="6" t="n">
        <f aca="false">Sens!J13063-Sens!J13067-Sens!J13069</f>
        <v>194.093121641029</v>
      </c>
      <c r="K13070" s="6" t="n">
        <f aca="false">Sens!K13063-Sens!K13067-Sens!K13069</f>
        <v>228.615395840301</v>
      </c>
      <c r="L13070" s="12" t="s">
        <v>1121</v>
      </c>
    </row>
    <row r="13071" customFormat="false" ht="15" hidden="false" customHeight="false" outlineLevel="0" collapsed="false">
      <c r="A13071" s="1" t="s">
        <v>1122</v>
      </c>
      <c r="B13071" s="0" t="s">
        <v>75</v>
      </c>
      <c r="F13071" s="8" t="n">
        <f aca="false">dps_27</f>
        <v>3.85</v>
      </c>
      <c r="G13071" s="8" t="n">
        <f aca="false">Sens!F13071*(1+dps_g)</f>
        <v>4.158</v>
      </c>
      <c r="H13071" s="8" t="n">
        <f aca="false">Sens!G13071*(1+dps_g)</f>
        <v>4.49064</v>
      </c>
      <c r="I13071" s="8" t="n">
        <f aca="false">Sens!H13071*(1+dps_g)</f>
        <v>4.8498912</v>
      </c>
      <c r="J13071" s="8" t="n">
        <f aca="false">Sens!I13071*(1+dps_g)</f>
        <v>5.237882496</v>
      </c>
      <c r="K13071" s="8" t="n">
        <f aca="false">Sens!J13071*(1+dps_g)</f>
        <v>5.65691309568</v>
      </c>
    </row>
    <row r="13072" customFormat="false" ht="17.15" hidden="false" customHeight="false" outlineLevel="0" collapsed="false">
      <c r="A13072" s="1" t="s">
        <v>1123</v>
      </c>
      <c r="B13072" s="0" t="s">
        <v>98</v>
      </c>
      <c r="E13072" s="6" t="n">
        <f aca="false">Q!M41</f>
        <v>26.445</v>
      </c>
      <c r="F13072" s="6" t="n">
        <f aca="false">Sens!F13071*Sens!E13081</f>
        <v>28.59395</v>
      </c>
      <c r="G13072" s="6" t="n">
        <f aca="false">Sens!G13071*Sens!F13081</f>
        <v>31.068576</v>
      </c>
      <c r="H13072" s="6" t="n">
        <f aca="false">Sens!H13071*Sens!G13081</f>
        <v>33.75614088</v>
      </c>
      <c r="I13072" s="6" t="n">
        <f aca="false">Sens!I13071*Sens!H13081</f>
        <v>36.5270885797819</v>
      </c>
      <c r="J13072" s="6" t="n">
        <f aca="false">Sens!J13071*Sens!I13081</f>
        <v>39.5171535515571</v>
      </c>
      <c r="K13072" s="6" t="n">
        <f aca="false">Sens!K13071*Sens!J13081</f>
        <v>42.7652800980599</v>
      </c>
      <c r="L13072" s="1" t="s">
        <v>1124</v>
      </c>
    </row>
    <row r="13073" customFormat="false" ht="15" hidden="false" customHeight="false" outlineLevel="0" collapsed="false">
      <c r="A13073" s="1" t="s">
        <v>1125</v>
      </c>
      <c r="B13073" s="0" t="s">
        <v>98</v>
      </c>
      <c r="E13073" s="6" t="n">
        <f aca="false">Sens!E13070-Sens!E13072</f>
        <v>37.441</v>
      </c>
      <c r="F13073" s="6" t="n">
        <f aca="false">Sens!F13070-Sens!F13072</f>
        <v>-21.5473125882836</v>
      </c>
      <c r="G13073" s="6" t="n">
        <f aca="false">Sens!G13070-Sens!G13072</f>
        <v>-14.3143095979413</v>
      </c>
      <c r="H13073" s="6" t="n">
        <f aca="false">Sens!H13070-Sens!H13072</f>
        <v>21.6152292461314</v>
      </c>
      <c r="I13073" s="6" t="n">
        <f aca="false">Sens!I13070-Sens!I13072</f>
        <v>86.465794811949</v>
      </c>
      <c r="J13073" s="6" t="n">
        <f aca="false">Sens!J13070-Sens!J13072</f>
        <v>154.575968089472</v>
      </c>
      <c r="K13073" s="6" t="n">
        <f aca="false">Sens!K13070-Sens!K13072</f>
        <v>185.850115742241</v>
      </c>
    </row>
    <row r="13074" customFormat="false" ht="15" hidden="false" customHeight="false" outlineLevel="0" collapsed="false">
      <c r="A13074" s="1" t="s">
        <v>1126</v>
      </c>
      <c r="B13074" s="0" t="s">
        <v>98</v>
      </c>
      <c r="F13074" s="6" t="n">
        <f aca="false">debt_mat_27</f>
        <v>9.25</v>
      </c>
      <c r="G13074" s="6" t="n">
        <f aca="false">debt_mat_28</f>
        <v>0</v>
      </c>
      <c r="H13074" s="6" t="n">
        <f aca="false">debt_mat_29</f>
        <v>2.001</v>
      </c>
      <c r="I13074" s="6" t="n">
        <f aca="false">debt_mat_30</f>
        <v>0</v>
      </c>
      <c r="J13074" s="6" t="n">
        <f aca="false">debt_mat_31</f>
        <v>0.5</v>
      </c>
      <c r="K13074" s="6" t="n">
        <f aca="false">debt_mat_32</f>
        <v>0</v>
      </c>
    </row>
    <row r="13075" customFormat="false" ht="15" hidden="false" customHeight="false" outlineLevel="0" collapsed="false">
      <c r="A13075" s="1" t="s">
        <v>1127</v>
      </c>
      <c r="B13075" s="0" t="s">
        <v>98</v>
      </c>
      <c r="E13075" s="6" t="n">
        <f aca="false">Q!M40</f>
        <v>22.271</v>
      </c>
      <c r="F13075" s="6" t="n">
        <f aca="false">MAX(0,MIN(bb_target,Sens!E13077+Sens!F13073-Sens!F13074-min_cash))</f>
        <v>0</v>
      </c>
      <c r="G13075" s="6" t="n">
        <f aca="false">MAX(0,MIN(bb_target,Sens!F13077+Sens!G13073-Sens!G13074-min_cash))</f>
        <v>0</v>
      </c>
      <c r="H13075" s="6" t="n">
        <f aca="false">MAX(0,MIN(bb_target,Sens!G13077+Sens!H13073-Sens!H13074-min_cash))</f>
        <v>19.6142292461314</v>
      </c>
      <c r="I13075" s="6" t="n">
        <f aca="false">MAX(0,MIN(bb_target,Sens!H13077+Sens!I13073-Sens!I13074-min_cash))</f>
        <v>22.271</v>
      </c>
      <c r="J13075" s="6" t="n">
        <f aca="false">MAX(0,MIN(bb_target,Sens!I13077+Sens!J13073-Sens!J13074-min_cash))</f>
        <v>22.271</v>
      </c>
      <c r="K13075" s="6" t="n">
        <f aca="false">MAX(0,MIN(bb_target,Sens!J13077+Sens!K13073-Sens!K13074-min_cash))</f>
        <v>22.271</v>
      </c>
    </row>
    <row r="13076" customFormat="false" ht="15" hidden="false" customHeight="false" outlineLevel="0" collapsed="false">
      <c r="A13076" s="1" t="s">
        <v>1128</v>
      </c>
      <c r="B13076" s="0" t="s">
        <v>98</v>
      </c>
      <c r="F13076" s="6" t="n">
        <f aca="false">MAX(0,min_cash-(Sens!E13077+Sens!F13073-Sens!F13074-Sens!F13075))</f>
        <v>3.95431258828357</v>
      </c>
      <c r="G13076" s="6" t="n">
        <f aca="false">MAX(0,min_cash-(Sens!F13077+Sens!G13073-Sens!G13074-Sens!G13075))</f>
        <v>14.3143095979413</v>
      </c>
      <c r="H13076" s="6" t="n">
        <f aca="false">MAX(0,min_cash-(Sens!G13077+Sens!H13073-Sens!H13074-Sens!H13075))</f>
        <v>0</v>
      </c>
      <c r="I13076" s="6" t="n">
        <f aca="false">MAX(0,min_cash-(Sens!H13077+Sens!I13073-Sens!I13074-Sens!I13075))</f>
        <v>0</v>
      </c>
      <c r="J13076" s="6" t="n">
        <f aca="false">MAX(0,min_cash-(Sens!I13077+Sens!J13073-Sens!J13074-Sens!J13075))</f>
        <v>0</v>
      </c>
      <c r="K13076" s="6" t="n">
        <f aca="false">MAX(0,min_cash-(Sens!J13077+Sens!K13073-Sens!K13074-Sens!K13075))</f>
        <v>0</v>
      </c>
    </row>
    <row r="13077" customFormat="false" ht="15" hidden="false" customHeight="false" outlineLevel="0" collapsed="false">
      <c r="A13077" s="1" t="s">
        <v>1129</v>
      </c>
      <c r="B13077" s="0" t="s">
        <v>98</v>
      </c>
      <c r="E13077" s="6" t="n">
        <f aca="false">cash_open</f>
        <v>76.843</v>
      </c>
      <c r="F13077" s="6" t="n">
        <f aca="false">Sens!E13077+Sens!F13073-Sens!F13074-Sens!F13075+Sens!F13076</f>
        <v>50</v>
      </c>
      <c r="G13077" s="6" t="n">
        <f aca="false">Sens!F13077+Sens!G13073-Sens!G13074-Sens!G13075+Sens!G13076</f>
        <v>50</v>
      </c>
      <c r="H13077" s="6" t="n">
        <f aca="false">Sens!G13077+Sens!H13073-Sens!H13074-Sens!H13075+Sens!H13076</f>
        <v>50</v>
      </c>
      <c r="I13077" s="6" t="n">
        <f aca="false">Sens!H13077+Sens!I13073-Sens!I13074-Sens!I13075+Sens!I13076</f>
        <v>114.194794811949</v>
      </c>
      <c r="J13077" s="6" t="n">
        <f aca="false">Sens!I13077+Sens!J13073-Sens!J13074-Sens!J13075+Sens!J13076</f>
        <v>245.999762901421</v>
      </c>
      <c r="K13077" s="6" t="n">
        <f aca="false">Sens!J13077+Sens!K13073-Sens!K13074-Sens!K13075+Sens!K13076</f>
        <v>409.578878643662</v>
      </c>
    </row>
    <row r="13078" customFormat="false" ht="15" hidden="false" customHeight="false" outlineLevel="0" collapsed="false">
      <c r="A13078" s="1" t="s">
        <v>1130</v>
      </c>
      <c r="B13078" s="0" t="s">
        <v>98</v>
      </c>
      <c r="E13078" s="6" t="n">
        <f aca="false">debt_face</f>
        <v>46.136</v>
      </c>
      <c r="F13078" s="6" t="n">
        <f aca="false">Sens!E13078-Sens!F13074+Sens!F13076</f>
        <v>40.8403125882836</v>
      </c>
      <c r="G13078" s="6" t="n">
        <f aca="false">Sens!F13078-Sens!G13074+Sens!G13076</f>
        <v>55.1546221862249</v>
      </c>
      <c r="H13078" s="6" t="n">
        <f aca="false">Sens!G13078-Sens!H13074+Sens!H13076</f>
        <v>53.1536221862249</v>
      </c>
      <c r="I13078" s="6" t="n">
        <f aca="false">Sens!H13078-Sens!I13074+Sens!I13076</f>
        <v>53.1536221862249</v>
      </c>
      <c r="J13078" s="6" t="n">
        <f aca="false">Sens!I13078-Sens!J13074+Sens!J13076</f>
        <v>52.6536221862249</v>
      </c>
      <c r="K13078" s="6" t="n">
        <f aca="false">Sens!J13078-Sens!K13074+Sens!K13076</f>
        <v>52.6536221862249</v>
      </c>
    </row>
    <row r="13079" customFormat="false" ht="15" hidden="false" customHeight="false" outlineLevel="0" collapsed="false">
      <c r="A13079" s="1" t="s">
        <v>1131</v>
      </c>
      <c r="B13079" s="0" t="s">
        <v>98</v>
      </c>
      <c r="E13079" s="6" t="n">
        <f aca="false">Sens!E13077-Sens!E13078</f>
        <v>30.707</v>
      </c>
      <c r="F13079" s="6" t="n">
        <f aca="false">Sens!F13077-Sens!F13078</f>
        <v>9.15968741171643</v>
      </c>
      <c r="G13079" s="6" t="n">
        <f aca="false">Sens!G13077-Sens!G13078</f>
        <v>-5.15462218622488</v>
      </c>
      <c r="H13079" s="6" t="n">
        <f aca="false">Sens!H13077-Sens!H13078</f>
        <v>-3.15362218622488</v>
      </c>
      <c r="I13079" s="6" t="n">
        <f aca="false">Sens!I13077-Sens!I13078</f>
        <v>61.0411726257241</v>
      </c>
      <c r="J13079" s="6" t="n">
        <f aca="false">Sens!J13077-Sens!J13078</f>
        <v>193.346140715196</v>
      </c>
      <c r="K13079" s="6" t="n">
        <f aca="false">Sens!K13077-Sens!K13078</f>
        <v>356.925256457437</v>
      </c>
    </row>
    <row r="13080" customFormat="false" ht="15" hidden="false" customHeight="false" outlineLevel="0" collapsed="false">
      <c r="A13080" s="1" t="s">
        <v>1132</v>
      </c>
      <c r="B13080" s="0" t="s">
        <v>75</v>
      </c>
      <c r="F13080" s="30" t="n">
        <f aca="false">px*(1+bb_g)^(Sens!F12938-base_fy-mid_yr)</f>
        <v>551.84177959629</v>
      </c>
      <c r="G13080" s="30" t="n">
        <f aca="false">px*(1+bb_g)^(Sens!G12938-base_fy-mid_yr)</f>
        <v>595.989121963993</v>
      </c>
      <c r="H13080" s="30" t="n">
        <f aca="false">px*(1+bb_g)^(Sens!H12938-base_fy-mid_yr)</f>
        <v>643.668251721112</v>
      </c>
      <c r="I13080" s="30" t="n">
        <f aca="false">px*(1+bb_g)^(Sens!I12938-base_fy-mid_yr)</f>
        <v>695.161711858801</v>
      </c>
      <c r="J13080" s="30" t="n">
        <f aca="false">px*(1+bb_g)^(Sens!J12938-base_fy-mid_yr)</f>
        <v>750.774648807506</v>
      </c>
      <c r="K13080" s="30" t="n">
        <f aca="false">px*(1+bb_g)^(Sens!K12938-base_fy-mid_yr)</f>
        <v>810.836620712106</v>
      </c>
    </row>
    <row r="13081" customFormat="false" ht="15" hidden="false" customHeight="false" outlineLevel="0" collapsed="false">
      <c r="A13081" s="1" t="s">
        <v>1133</v>
      </c>
      <c r="B13081" s="1" t="s">
        <v>81</v>
      </c>
      <c r="E13081" s="15" t="n">
        <f aca="false">sh_out26</f>
        <v>7.427</v>
      </c>
      <c r="F13081" s="15" t="n">
        <f aca="false">Sens!E13081+sh_iss-Sens!F13075/Sens!F13080</f>
        <v>7.472</v>
      </c>
      <c r="G13081" s="15" t="n">
        <f aca="false">Sens!F13081+sh_iss-Sens!G13075/Sens!G13080</f>
        <v>7.517</v>
      </c>
      <c r="H13081" s="15" t="n">
        <f aca="false">Sens!G13081+sh_iss-Sens!H13075/Sens!H13080</f>
        <v>7.5315274247352</v>
      </c>
      <c r="I13081" s="15" t="n">
        <f aca="false">Sens!H13081+sh_iss-Sens!I13075/Sens!I13080</f>
        <v>7.54449027478854</v>
      </c>
      <c r="J13081" s="15" t="n">
        <f aca="false">Sens!I13081+sh_iss-Sens!J13075/Sens!J13080</f>
        <v>7.55982624706015</v>
      </c>
      <c r="K13081" s="15" t="n">
        <f aca="false">Sens!J13081+sh_iss-Sens!K13075/Sens!K13080</f>
        <v>7.57735955471904</v>
      </c>
    </row>
    <row r="13082" customFormat="false" ht="15" hidden="false" customHeight="false" outlineLevel="0" collapsed="false">
      <c r="A13082" s="1" t="s">
        <v>1134</v>
      </c>
      <c r="B13082" s="1" t="s">
        <v>81</v>
      </c>
      <c r="E13082" s="15" t="n">
        <f aca="false">sh_dil26</f>
        <v>7.453</v>
      </c>
      <c r="F13082" s="15" t="n">
        <f aca="false">(Sens!E13081+Sens!F13081)/2+dil_gap</f>
        <v>7.4735</v>
      </c>
      <c r="G13082" s="15" t="n">
        <f aca="false">(Sens!F13081+Sens!G13081)/2+dil_gap</f>
        <v>7.5185</v>
      </c>
      <c r="H13082" s="15" t="n">
        <f aca="false">(Sens!G13081+Sens!H13081)/2+dil_gap</f>
        <v>7.5482637123676</v>
      </c>
      <c r="I13082" s="15" t="n">
        <f aca="false">(Sens!H13081+Sens!I13081)/2+dil_gap</f>
        <v>7.56200884976187</v>
      </c>
      <c r="J13082" s="15" t="n">
        <f aca="false">(Sens!I13081+Sens!J13081)/2+dil_gap</f>
        <v>7.57615826092434</v>
      </c>
      <c r="K13082" s="15" t="n">
        <f aca="false">(Sens!J13081+Sens!K13081)/2+dil_gap</f>
        <v>7.5925929008896</v>
      </c>
    </row>
    <row r="13083" customFormat="false" ht="17.15" hidden="false" customHeight="false" outlineLevel="0" collapsed="false">
      <c r="A13083" s="1" t="s">
        <v>1135</v>
      </c>
      <c r="B13083" s="0" t="s">
        <v>98</v>
      </c>
      <c r="C13083" s="6" t="n">
        <f aca="false">SUM(Sens!F13073:J13073)</f>
        <v>226.795369961328</v>
      </c>
    </row>
    <row r="13084" customFormat="false" ht="15" hidden="false" customHeight="false" outlineLevel="0" collapsed="false">
      <c r="A13084" s="26" t="s">
        <v>1100</v>
      </c>
      <c r="B13084" s="31" t="s">
        <v>98</v>
      </c>
      <c r="C13084" s="27" t="n">
        <f aca="false">Sens!$C$13083-(Sens!F13073+Sens!G13073+Sens!H13073+Sens!I13073+Sens!J13073)</f>
        <v>0</v>
      </c>
      <c r="D13084" s="31"/>
      <c r="E13084" s="31"/>
      <c r="F13084" s="31"/>
      <c r="G13084" s="31"/>
      <c r="H13084" s="31"/>
      <c r="I13084" s="31"/>
      <c r="J13084" s="31"/>
      <c r="K13084" s="31"/>
    </row>
    <row r="13085" customFormat="false" ht="17.15" hidden="false" customHeight="false" outlineLevel="0" collapsed="false">
      <c r="A13085" s="1" t="s">
        <v>1094</v>
      </c>
      <c r="B13085" s="1" t="s">
        <v>1136</v>
      </c>
      <c r="C13085" s="33" t="str">
        <f aca="false">IF(SUM(Sens!F13076:J13076)&gt;0.05,"需要舉債 "&amp;TEXT(SUM(Sens!F13076:J13076),"0.0")&amp;" 十億美元","不需舉債")&amp;"；"&amp;IF(SUM(Sens!F13075:J13075)&lt;COUNT(Sens!F13075:J13075)*bb_target-0.05,"回購較每年 "&amp;TEXT(bb_target,"0.0")&amp;" 的目標少 "&amp;TEXT(COUNT(Sens!F13075:J13075)*bb_target-SUM(Sens!F13075:J13075),"0.0")&amp;" 十億美元（"&amp;TEXT(COUNTIF(Sens!F13075:J13075,"&lt;"&amp;(bb_target-0.05)),"0")&amp;" 年減少）","回購不減")</f>
        <v>需要舉債 18.3 十億美元；回購較每年 22.3 的目標少 47.2 十億美元（3 年減少）</v>
      </c>
    </row>
    <row r="13086" customFormat="false" ht="17.15" hidden="false" customHeight="false" outlineLevel="0" collapsed="false">
      <c r="A13086" s="3" t="s">
        <v>1939</v>
      </c>
    </row>
    <row r="13087" customFormat="false" ht="15" hidden="false" customHeight="false" outlineLevel="0" collapsed="false">
      <c r="A13087" s="4" t="s">
        <v>43</v>
      </c>
      <c r="B13087" s="4" t="s">
        <v>65</v>
      </c>
      <c r="C13087" s="23" t="s">
        <v>942</v>
      </c>
      <c r="D13087" s="23" t="s">
        <v>943</v>
      </c>
      <c r="E13087" s="23" t="s">
        <v>944</v>
      </c>
      <c r="F13087" s="23" t="s">
        <v>945</v>
      </c>
      <c r="G13087" s="23" t="s">
        <v>946</v>
      </c>
      <c r="H13087" s="23" t="s">
        <v>947</v>
      </c>
      <c r="I13087" s="23" t="s">
        <v>948</v>
      </c>
      <c r="J13087" s="23" t="s">
        <v>949</v>
      </c>
      <c r="K13087" s="23" t="s">
        <v>950</v>
      </c>
      <c r="L13087" s="4" t="s">
        <v>47</v>
      </c>
    </row>
    <row r="13088" customFormat="false" ht="17.15" hidden="false" customHeight="false" outlineLevel="0" collapsed="false">
      <c r="A13088" s="1" t="s">
        <v>1216</v>
      </c>
      <c r="B13088" s="1" t="s">
        <v>279</v>
      </c>
      <c r="F13088" s="8" t="n">
        <f aca="false">(1-v_off)*mid_yr</f>
        <v>0.373972602739726</v>
      </c>
      <c r="G13088" s="8" t="n">
        <f aca="false">Sens!G12938-base_fy-mid_yr-v_off</f>
        <v>1.24794520547945</v>
      </c>
      <c r="H13088" s="8" t="n">
        <f aca="false">Sens!H12938-base_fy-mid_yr-v_off</f>
        <v>2.24794520547945</v>
      </c>
      <c r="I13088" s="8" t="n">
        <f aca="false">Sens!I12938-base_fy-mid_yr-v_off</f>
        <v>3.24794520547945</v>
      </c>
      <c r="J13088" s="8" t="n">
        <f aca="false">Sens!J12938-base_fy-mid_yr-v_off</f>
        <v>4.24794520547945</v>
      </c>
      <c r="K13088" s="8" t="n">
        <f aca="false">Sens!K12938-base_fy-mid_yr-v_off</f>
        <v>5.24794520547945</v>
      </c>
      <c r="L13088" s="12" t="s">
        <v>1217</v>
      </c>
    </row>
    <row r="13089" customFormat="false" ht="15" hidden="false" customHeight="false" outlineLevel="0" collapsed="false">
      <c r="A13089" s="1" t="s">
        <v>1218</v>
      </c>
      <c r="B13089" s="1" t="s">
        <v>279</v>
      </c>
      <c r="F13089" s="8" t="n">
        <f aca="false">Sens!F12938-base_fy-v_off</f>
        <v>0.747945205479452</v>
      </c>
      <c r="G13089" s="8" t="n">
        <f aca="false">Sens!G12938-base_fy-v_off</f>
        <v>1.74794520547945</v>
      </c>
      <c r="H13089" s="8" t="n">
        <f aca="false">Sens!H12938-base_fy-v_off</f>
        <v>2.74794520547945</v>
      </c>
      <c r="I13089" s="8" t="n">
        <f aca="false">Sens!I12938-base_fy-v_off</f>
        <v>3.74794520547945</v>
      </c>
      <c r="J13089" s="8" t="n">
        <f aca="false">Sens!J12938-base_fy-v_off</f>
        <v>4.74794520547945</v>
      </c>
      <c r="K13089" s="8" t="n">
        <f aca="false">Sens!K12938-base_fy-v_off</f>
        <v>5.74794520547945</v>
      </c>
    </row>
    <row r="13090" customFormat="false" ht="15" hidden="false" customHeight="false" outlineLevel="0" collapsed="false">
      <c r="A13090" s="1" t="s">
        <v>1219</v>
      </c>
      <c r="B13090" s="0" t="s">
        <v>229</v>
      </c>
      <c r="F13090" s="15" t="n">
        <f aca="false">1/(1+wacc)^Sens!F13088</f>
        <v>0.964022703286649</v>
      </c>
      <c r="G13090" s="15" t="n">
        <f aca="false">1/(1+wacc)^Sens!G13088</f>
        <v>0.884910302296739</v>
      </c>
      <c r="H13090" s="15" t="n">
        <f aca="false">1/(1+wacc)^Sens!H13088</f>
        <v>0.802322009770358</v>
      </c>
      <c r="I13090" s="15" t="n">
        <f aca="false">1/(1+wacc)^Sens!I13088</f>
        <v>0.727441646561469</v>
      </c>
      <c r="J13090" s="15" t="n">
        <f aca="false">1/(1+wacc)^Sens!J13088</f>
        <v>0.659549834988973</v>
      </c>
      <c r="K13090" s="15" t="n">
        <f aca="false">1/(1+wacc)^Sens!K13088</f>
        <v>0.597994336576966</v>
      </c>
    </row>
    <row r="13091" customFormat="false" ht="17.15" hidden="false" customHeight="false" outlineLevel="0" collapsed="false">
      <c r="A13091" s="1" t="s">
        <v>1220</v>
      </c>
      <c r="B13091" s="0" t="s">
        <v>98</v>
      </c>
      <c r="F13091" s="6" t="n">
        <f aca="false">Q!$I$35-Q!$I$39-Q!$I$43</f>
        <v>9.666</v>
      </c>
      <c r="L13091" s="12" t="s">
        <v>1221</v>
      </c>
    </row>
    <row r="13092" customFormat="false" ht="17.15" hidden="false" customHeight="false" outlineLevel="0" collapsed="false">
      <c r="A13092" s="1" t="s">
        <v>1222</v>
      </c>
      <c r="B13092" s="0" t="s">
        <v>98</v>
      </c>
      <c r="F13092" s="6" t="n">
        <f aca="false">Sens!F13063-Sens!F13060-Sens!F13067+Sens!F13045*(1-tax_f)*(1-v_off)-Sens!F13091</f>
        <v>-7.50396338130679</v>
      </c>
      <c r="G13092" s="6" t="n">
        <f aca="false">Sens!G13063-Sens!G13060-Sens!G13067+Sens!G13045*(1-tax_f)</f>
        <v>23.8494155576003</v>
      </c>
      <c r="H13092" s="6" t="n">
        <f aca="false">Sens!H13063-Sens!H13060-Sens!H13067+Sens!H13045*(1-tax_f)</f>
        <v>72.7826752200264</v>
      </c>
      <c r="I13092" s="6" t="n">
        <f aca="false">Sens!I13063-Sens!I13060-Sens!I13067+Sens!I13045*(1-tax_f)</f>
        <v>150.176827536811</v>
      </c>
      <c r="J13092" s="6" t="n">
        <f aca="false">Sens!J13063-Sens!J13060-Sens!J13067+Sens!J13045*(1-tax_f)</f>
        <v>227.87878078403</v>
      </c>
      <c r="K13092" s="6" t="n">
        <f aca="false">Sens!K13063-Sens!K13060-Sens!K13067+Sens!K13045*(1-tax_f)</f>
        <v>265.5543491214</v>
      </c>
      <c r="L13092" s="1" t="s">
        <v>1223</v>
      </c>
    </row>
    <row r="13093" customFormat="false" ht="15" hidden="false" customHeight="false" outlineLevel="0" collapsed="false">
      <c r="A13093" s="1" t="s">
        <v>1224</v>
      </c>
      <c r="B13093" s="0" t="s">
        <v>98</v>
      </c>
      <c r="F13093" s="6" t="n">
        <f aca="false">Sens!F13092*Sens!F13090</f>
        <v>-7.23399106421139</v>
      </c>
      <c r="G13093" s="6" t="n">
        <f aca="false">Sens!G13092*Sens!G13090</f>
        <v>21.1045935306766</v>
      </c>
      <c r="H13093" s="6" t="n">
        <f aca="false">Sens!H13092*Sens!H13090</f>
        <v>58.3951422589948</v>
      </c>
      <c r="I13093" s="6" t="n">
        <f aca="false">Sens!I13092*Sens!I13090</f>
        <v>109.244878698755</v>
      </c>
      <c r="J13093" s="6" t="n">
        <f aca="false">Sens!J13092*Sens!J13090</f>
        <v>150.297412263595</v>
      </c>
      <c r="K13093" s="6" t="n">
        <f aca="false">Sens!K13092*Sens!K13090</f>
        <v>158.79999682798</v>
      </c>
    </row>
    <row r="13094" customFormat="false" ht="17.15" hidden="false" customHeight="false" outlineLevel="0" collapsed="false">
      <c r="A13094" s="1" t="s">
        <v>1225</v>
      </c>
      <c r="B13094" s="0" t="s">
        <v>98</v>
      </c>
      <c r="C13094" s="6" t="n">
        <f aca="false">SUM(Sens!F13093:K13093)</f>
        <v>490.60803251579</v>
      </c>
    </row>
    <row r="13095" customFormat="false" ht="17.15" hidden="false" customHeight="false" outlineLevel="0" collapsed="false">
      <c r="A13095" s="1" t="s">
        <v>1226</v>
      </c>
      <c r="B13095" s="0" t="s">
        <v>98</v>
      </c>
      <c r="C13095" s="6" t="n">
        <f aca="false">Sens!K13031*(1+g_tv)*(1-tax_f)</f>
        <v>276.584294490396</v>
      </c>
    </row>
    <row r="13096" customFormat="false" ht="17.15" hidden="false" customHeight="false" outlineLevel="0" collapsed="false">
      <c r="A13096" s="1" t="s">
        <v>1227</v>
      </c>
      <c r="B13096" s="0" t="s">
        <v>98</v>
      </c>
      <c r="C13096" s="6" t="n">
        <f aca="false">Sens!$C$13095*(1-g_tv/(wacc+ronic_prem))</f>
        <v>195.976137969094</v>
      </c>
    </row>
    <row r="13097" customFormat="false" ht="17.15" hidden="false" customHeight="false" outlineLevel="0" collapsed="false">
      <c r="A13097" s="1" t="s">
        <v>1228</v>
      </c>
      <c r="B13097" s="0" t="s">
        <v>98</v>
      </c>
      <c r="C13097" s="6" t="n">
        <f aca="false">Sens!$C$13096/(wacc-g_tv)</f>
        <v>2686.93855071004</v>
      </c>
    </row>
    <row r="13098" customFormat="false" ht="15" hidden="false" customHeight="false" outlineLevel="0" collapsed="false">
      <c r="A13098" s="1" t="s">
        <v>1229</v>
      </c>
      <c r="B13098" s="0" t="s">
        <v>98</v>
      </c>
      <c r="C13098" s="6" t="n">
        <f aca="false">Sens!$C$13097/(1+wacc)^Sens!K13089</f>
        <v>1529.9580843466</v>
      </c>
    </row>
    <row r="13099" customFormat="false" ht="17.15" hidden="false" customHeight="false" outlineLevel="0" collapsed="false">
      <c r="A13099" s="0" t="s">
        <v>1230</v>
      </c>
      <c r="B13099" s="0" t="s">
        <v>98</v>
      </c>
      <c r="C13099" s="6" t="n">
        <f aca="false">Sens!$C$13094+Sens!$C$13098</f>
        <v>2020.56611686239</v>
      </c>
    </row>
    <row r="13100" customFormat="false" ht="15" hidden="false" customHeight="false" outlineLevel="0" collapsed="false">
      <c r="A13100" s="1" t="s">
        <v>1145</v>
      </c>
      <c r="B13100" s="0" t="s">
        <v>168</v>
      </c>
      <c r="C13100" s="7" t="n">
        <f aca="false">Sens!$C$13098/Sens!$C$13099</f>
        <v>0.757192784526336</v>
      </c>
    </row>
    <row r="13101" customFormat="false" ht="17.15" hidden="false" customHeight="false" outlineLevel="0" collapsed="false">
      <c r="A13101" s="1" t="s">
        <v>1231</v>
      </c>
      <c r="B13101" s="0" t="s">
        <v>98</v>
      </c>
      <c r="C13101" s="6" t="n">
        <f aca="false">Sens!$C$13099+cash_val-debt_val-fl_val+oai_v</f>
        <v>2136.41711686239</v>
      </c>
    </row>
    <row r="13102" customFormat="false" ht="17.15" hidden="false" customHeight="false" outlineLevel="0" collapsed="false">
      <c r="A13102" s="0" t="s">
        <v>1153</v>
      </c>
      <c r="B13102" s="0" t="s">
        <v>75</v>
      </c>
      <c r="C13102" s="5" t="n">
        <f aca="false">Sens!$C$13101/shd_val</f>
        <v>286.921450021809</v>
      </c>
    </row>
    <row r="13103" customFormat="false" ht="15" hidden="false" customHeight="false" outlineLevel="0" collapsed="false">
      <c r="A13103" s="1" t="s">
        <v>1232</v>
      </c>
      <c r="B13103" s="0" t="s">
        <v>75</v>
      </c>
      <c r="C13103" s="8" t="n">
        <f aca="false">div_rem27+Sens!G13071*roll_div_q/q_per_yr</f>
        <v>3.9795</v>
      </c>
    </row>
    <row r="13104" customFormat="false" ht="17.15" hidden="false" customHeight="false" outlineLevel="0" collapsed="false">
      <c r="A13104" s="0" t="s">
        <v>1233</v>
      </c>
      <c r="B13104" s="0" t="s">
        <v>75</v>
      </c>
      <c r="C13104" s="5" t="n">
        <f aca="false">Sens!$C$13102*(1+wacc)^t_roll-Sens!$C$13103</f>
        <v>314.949704998784</v>
      </c>
    </row>
    <row r="13105" customFormat="false" ht="17.15" hidden="false" customHeight="false" outlineLevel="0" collapsed="false">
      <c r="A13105" s="1" t="s">
        <v>1234</v>
      </c>
      <c r="B13105" s="0" t="s">
        <v>168</v>
      </c>
      <c r="F13105" s="7" t="n">
        <f aca="false">Sens!F13057/(Sens!F13002-Sens!F12957)</f>
        <v>0.0686195668908011</v>
      </c>
      <c r="G13105" s="7" t="n">
        <f aca="false">Sens!G13057/(Sens!G13002-Sens!G12957)</f>
        <v>0.0658333569148391</v>
      </c>
      <c r="H13105" s="7" t="n">
        <f aca="false">Sens!H13057/(Sens!H13002-Sens!H12957)</f>
        <v>0.0643895625218926</v>
      </c>
      <c r="I13105" s="7" t="n">
        <f aca="false">Sens!I13057/(Sens!I13002-Sens!I12957)</f>
        <v>0.0641676618157989</v>
      </c>
      <c r="J13105" s="7" t="n">
        <f aca="false">Sens!J13057/(Sens!J13002-Sens!J12957)</f>
        <v>0.0648858606572163</v>
      </c>
      <c r="K13105" s="7" t="n">
        <f aca="false">Sens!K13057/(Sens!K13002-Sens!K12957)</f>
        <v>0.0661974425163768</v>
      </c>
    </row>
    <row r="13106" customFormat="false" ht="17.15" hidden="false" customHeight="false" outlineLevel="0" collapsed="false">
      <c r="A13106" s="0" t="s">
        <v>1235</v>
      </c>
      <c r="B13106" s="0" t="s">
        <v>98</v>
      </c>
      <c r="F13106" s="6" t="n">
        <f aca="false">Sens!F12987*(al_m365+Sens!F13105+sbc_r)</f>
        <v>83.7205619248671</v>
      </c>
      <c r="G13106" s="6" t="n">
        <f aca="false">Sens!G12987*(al_m365+Sens!G13105+sbc_r)</f>
        <v>96.1301303332381</v>
      </c>
      <c r="H13106" s="6" t="n">
        <f aca="false">Sens!H12987*(al_m365+Sens!H13105+sbc_r)</f>
        <v>108.70354073822</v>
      </c>
      <c r="I13106" s="6" t="n">
        <f aca="false">Sens!I12987*(al_m365+Sens!I13105+sbc_r)</f>
        <v>120.260101315626</v>
      </c>
      <c r="J13106" s="6" t="n">
        <f aca="false">Sens!J12987*(al_m365+Sens!J13105+sbc_r)</f>
        <v>130.611904548619</v>
      </c>
      <c r="K13106" s="6" t="n">
        <f aca="false">Sens!K12987*(al_m365+Sens!K13105+sbc_r)</f>
        <v>140.575094974638</v>
      </c>
      <c r="L13106" s="12" t="s">
        <v>1236</v>
      </c>
    </row>
    <row r="13107" customFormat="false" ht="17.15" hidden="false" customHeight="false" outlineLevel="0" collapsed="false">
      <c r="A13107" s="0" t="s">
        <v>1237</v>
      </c>
      <c r="B13107" s="0" t="s">
        <v>98</v>
      </c>
      <c r="F13107" s="6" t="n">
        <f aca="false">Sens!F12988*(al_lic+Sens!F13105+sbc_r)</f>
        <v>32.8577657183496</v>
      </c>
      <c r="G13107" s="6" t="n">
        <f aca="false">Sens!G12988*(al_lic+Sens!G13105+sbc_r)</f>
        <v>34.1376266324889</v>
      </c>
      <c r="H13107" s="6" t="n">
        <f aca="false">Sens!H12988*(al_lic+Sens!H13105+sbc_r)</f>
        <v>35.3325744664128</v>
      </c>
      <c r="I13107" s="6" t="n">
        <f aca="false">Sens!I12988*(al_lic+Sens!I13105+sbc_r)</f>
        <v>36.4244749008727</v>
      </c>
      <c r="J13107" s="6" t="n">
        <f aca="false">Sens!J12988*(al_lic+Sens!J13105+sbc_r)</f>
        <v>37.3879406068527</v>
      </c>
      <c r="K13107" s="6" t="n">
        <f aca="false">Sens!K12988*(al_lic+Sens!K13105+sbc_r)</f>
        <v>38.1943876078259</v>
      </c>
    </row>
    <row r="13108" customFormat="false" ht="17.15" hidden="false" customHeight="false" outlineLevel="0" collapsed="false">
      <c r="A13108" s="0" t="s">
        <v>1238</v>
      </c>
      <c r="B13108" s="0" t="s">
        <v>98</v>
      </c>
      <c r="F13108" s="6" t="n">
        <f aca="false">Sens!F12990*(al_ind+Sens!F13105+sbc_r)</f>
        <v>9.06041701092022</v>
      </c>
      <c r="G13108" s="6" t="n">
        <f aca="false">Sens!G12990*(al_ind+Sens!G13105+sbc_r)</f>
        <v>9.83619082712885</v>
      </c>
      <c r="H13108" s="6" t="n">
        <f aca="false">Sens!H12990*(al_ind+Sens!H13105+sbc_r)</f>
        <v>10.6570160105312</v>
      </c>
      <c r="I13108" s="6" t="n">
        <f aca="false">Sens!I12990*(al_ind+Sens!I13105+sbc_r)</f>
        <v>11.5198571637125</v>
      </c>
      <c r="J13108" s="6" t="n">
        <f aca="false">Sens!J12990*(al_ind+Sens!J13105+sbc_r)</f>
        <v>12.4150086539206</v>
      </c>
      <c r="K13108" s="6" t="n">
        <f aca="false">Sens!K12990*(al_ind+Sens!K13105+sbc_r)</f>
        <v>13.3273714589988</v>
      </c>
    </row>
    <row r="13109" customFormat="false" ht="17.15" hidden="false" customHeight="false" outlineLevel="0" collapsed="false">
      <c r="A13109" s="0" t="s">
        <v>1239</v>
      </c>
      <c r="B13109" s="0" t="s">
        <v>98</v>
      </c>
      <c r="F13109" s="6" t="n">
        <f aca="false">Sens!F12992*(al_fro+Sens!F13105+sbc_r)</f>
        <v>3.55402950182022</v>
      </c>
      <c r="G13109" s="6" t="n">
        <f aca="false">Sens!G12992*(al_fro+Sens!G13105+sbc_r)</f>
        <v>3.76361488926481</v>
      </c>
      <c r="H13109" s="6" t="n">
        <f aca="false">Sens!H12992*(al_fro+Sens!H13105+sbc_r)</f>
        <v>4.00220968879544</v>
      </c>
      <c r="I13109" s="6" t="n">
        <f aca="false">Sens!I12992*(al_fro+Sens!I13105+sbc_r)</f>
        <v>4.2725765173852</v>
      </c>
      <c r="J13109" s="6" t="n">
        <f aca="false">Sens!J12992*(al_fro+Sens!J13105+sbc_r)</f>
        <v>4.57586224390293</v>
      </c>
      <c r="K13109" s="6" t="n">
        <f aca="false">Sens!K12992*(al_fro+Sens!K13105+sbc_r)</f>
        <v>4.91213639633217</v>
      </c>
    </row>
    <row r="13110" customFormat="false" ht="17.15" hidden="false" customHeight="false" outlineLevel="0" collapsed="false">
      <c r="A13110" s="0" t="s">
        <v>1240</v>
      </c>
      <c r="B13110" s="0" t="s">
        <v>98</v>
      </c>
      <c r="F13110" s="6" t="n">
        <f aca="false">Sens!F12995*(al_srch+Sens!F13105+sbc_r)</f>
        <v>11.1890902994147</v>
      </c>
      <c r="G13110" s="6" t="n">
        <f aca="false">Sens!G12995*(al_srch+Sens!G13105+sbc_r)</f>
        <v>12.261738891803</v>
      </c>
      <c r="H13110" s="6" t="n">
        <f aca="false">Sens!H12995*(al_srch+Sens!H13105+sbc_r)</f>
        <v>13.3794863429193</v>
      </c>
      <c r="I13110" s="6" t="n">
        <f aca="false">Sens!I12995*(al_srch+Sens!I13105+sbc_r)</f>
        <v>14.5317114787784</v>
      </c>
      <c r="J13110" s="6" t="n">
        <f aca="false">Sens!J12995*(al_srch+Sens!J13105+sbc_r)</f>
        <v>15.6984365817724</v>
      </c>
      <c r="K13110" s="6" t="n">
        <f aca="false">Sens!K12995*(al_srch+Sens!K13105+sbc_r)</f>
        <v>16.8520942258664</v>
      </c>
    </row>
    <row r="13111" customFormat="false" ht="17.15" hidden="false" customHeight="false" outlineLevel="0" collapsed="false">
      <c r="A13111" s="0" t="s">
        <v>1241</v>
      </c>
      <c r="B13111" s="0" t="s">
        <v>98</v>
      </c>
      <c r="F13111" s="6" t="n">
        <f aca="false">Sens!F12963-Sens!F12964+Sens!F13045</f>
        <v>42.6781090240393</v>
      </c>
      <c r="G13111" s="6" t="n">
        <f aca="false">Sens!G12963-Sens!G12964+Sens!G13045</f>
        <v>81.7472561130847</v>
      </c>
      <c r="H13111" s="6" t="n">
        <f aca="false">Sens!H12963-Sens!H12964+Sens!H13045</f>
        <v>123.653266211349</v>
      </c>
      <c r="I13111" s="6" t="n">
        <f aca="false">Sens!I12963-Sens!I12964+Sens!I13045</f>
        <v>161.07094185192</v>
      </c>
      <c r="J13111" s="6" t="n">
        <f aca="false">Sens!J12963-Sens!J12964+Sens!J13045</f>
        <v>187.343741832633</v>
      </c>
      <c r="K13111" s="6" t="n">
        <f aca="false">Sens!K12963-Sens!K12964+Sens!K13045</f>
        <v>203.361422159652</v>
      </c>
    </row>
    <row r="13112" customFormat="false" ht="17.15" hidden="false" customHeight="false" outlineLevel="0" collapsed="false">
      <c r="A13112" s="0" t="s">
        <v>1242</v>
      </c>
      <c r="B13112" s="0" t="s">
        <v>98</v>
      </c>
      <c r="F13112" s="6" t="n">
        <f aca="false">Sens!F13024+Sens!F13045+Sens!F12975+Sens!F13105*(Sens!F12994-Sens!F12957)+sbc_r*Sens!F12994</f>
        <v>233.920660117465</v>
      </c>
      <c r="G13112" s="6" t="n">
        <f aca="false">Sens!G13024+Sens!G13045+Sens!G12975+Sens!G13105*(Sens!G12994-Sens!G12957)+sbc_r*Sens!G12994</f>
        <v>293.785074387987</v>
      </c>
      <c r="H13112" s="6" t="n">
        <f aca="false">Sens!H13024+Sens!H13045+Sens!H12975+Sens!H13105*(Sens!H12994-Sens!H12957)+sbc_r*Sens!H12994</f>
        <v>362.656357755206</v>
      </c>
      <c r="I13112" s="6" t="n">
        <f aca="false">Sens!I13024+Sens!I13045+Sens!I12975+Sens!I13105*(Sens!I12994-Sens!I12957)+sbc_r*Sens!I12994</f>
        <v>425.703618344869</v>
      </c>
      <c r="J13112" s="6" t="n">
        <f aca="false">Sens!J13024+Sens!J13045+Sens!J12975+Sens!J13105*(Sens!J12994-Sens!J12957)+sbc_r*Sens!J12994</f>
        <v>475.22191750672</v>
      </c>
      <c r="K13112" s="6" t="n">
        <f aca="false">Sens!K13024+Sens!K13045+Sens!K12975+Sens!K13105*(Sens!K12994-Sens!K12957)+sbc_r*Sens!K12994</f>
        <v>512.163652888725</v>
      </c>
    </row>
    <row r="13113" customFormat="false" ht="17.15" hidden="false" customHeight="false" outlineLevel="0" collapsed="false">
      <c r="A13113" s="0" t="s">
        <v>1243</v>
      </c>
      <c r="B13113" s="0" t="s">
        <v>98</v>
      </c>
      <c r="F13113" s="6" t="n">
        <f aca="false">Sens!F13112-Sens!F13106-Sens!F13107-Sens!F13108-Sens!F13109-Sens!F13111</f>
        <v>62.0497769374682</v>
      </c>
      <c r="G13113" s="6" t="n">
        <f aca="false">Sens!G13112-Sens!G13106-Sens!G13107-Sens!G13108-Sens!G13109-Sens!G13111</f>
        <v>68.1702555927815</v>
      </c>
      <c r="H13113" s="6" t="n">
        <f aca="false">Sens!H13112-Sens!H13106-Sens!H13107-Sens!H13108-Sens!H13109-Sens!H13111</f>
        <v>80.3077506398976</v>
      </c>
      <c r="I13113" s="6" t="n">
        <f aca="false">Sens!I13112-Sens!I13106-Sens!I13107-Sens!I13108-Sens!I13109-Sens!I13111</f>
        <v>92.1556665953522</v>
      </c>
      <c r="J13113" s="6" t="n">
        <f aca="false">Sens!J13112-Sens!J13106-Sens!J13107-Sens!J13108-Sens!J13109-Sens!J13111</f>
        <v>102.887459620792</v>
      </c>
      <c r="K13113" s="6" t="n">
        <f aca="false">Sens!K13112-Sens!K13106-Sens!K13107-Sens!K13108-Sens!K13109-Sens!K13111</f>
        <v>111.793240291279</v>
      </c>
    </row>
    <row r="13114" customFormat="false" ht="17.15" hidden="false" customHeight="false" outlineLevel="0" collapsed="false">
      <c r="A13114" s="0" t="s">
        <v>1244</v>
      </c>
      <c r="B13114" s="0" t="s">
        <v>98</v>
      </c>
      <c r="F13114" s="6" t="n">
        <f aca="false">Sens!F13026+Sens!F13105*Sens!F13001+sbc_r*Sens!F13001</f>
        <v>25.6572662856829</v>
      </c>
      <c r="G13114" s="6" t="n">
        <f aca="false">Sens!G13026+Sens!G13105*Sens!G13001+sbc_r*Sens!G13001</f>
        <v>25.1465725112519</v>
      </c>
      <c r="H13114" s="6" t="n">
        <f aca="false">Sens!H13026+Sens!H13105*Sens!H13001+sbc_r*Sens!H13001</f>
        <v>25.9725135487404</v>
      </c>
      <c r="I13114" s="6" t="n">
        <f aca="false">Sens!I13026+Sens!I13105*Sens!I13001+sbc_r*Sens!I13001</f>
        <v>27.0265729999269</v>
      </c>
      <c r="J13114" s="6" t="n">
        <f aca="false">Sens!J13026+Sens!J13105*Sens!J13001+sbc_r*Sens!J13001</f>
        <v>28.2748483545843</v>
      </c>
      <c r="K13114" s="6" t="n">
        <f aca="false">Sens!K13026+Sens!K13105*Sens!K13001+sbc_r*Sens!K13001</f>
        <v>29.6813464393526</v>
      </c>
    </row>
    <row r="13115" customFormat="false" ht="17.15" hidden="false" customHeight="false" outlineLevel="0" collapsed="false">
      <c r="A13115" s="0" t="s">
        <v>1245</v>
      </c>
      <c r="B13115" s="0" t="s">
        <v>98</v>
      </c>
      <c r="F13115" s="6" t="n">
        <f aca="false">(Sens!F13114-Sens!F13110)*Sens!F12997/(Sens!F12997+Sens!F12999)</f>
        <v>8.17141627623694</v>
      </c>
      <c r="G13115" s="6" t="n">
        <f aca="false">(Sens!G13114-Sens!G13110)*Sens!G12997/(Sens!G12997+Sens!G12999)</f>
        <v>7.15209994390048</v>
      </c>
      <c r="H13115" s="6" t="n">
        <f aca="false">(Sens!H13114-Sens!H13110)*Sens!H12997/(Sens!H12997+Sens!H12999)</f>
        <v>6.89906372194978</v>
      </c>
      <c r="I13115" s="6" t="n">
        <f aca="false">(Sens!I13114-Sens!I13110)*Sens!I12997/(Sens!I12997+Sens!I12999)</f>
        <v>6.78553511105929</v>
      </c>
      <c r="J13115" s="6" t="n">
        <f aca="false">(Sens!J13114-Sens!J13110)*Sens!J12997/(Sens!J12997+Sens!J12999)</f>
        <v>6.8000240927963</v>
      </c>
      <c r="K13115" s="6" t="n">
        <f aca="false">(Sens!K13114-Sens!K13110)*Sens!K12997/(Sens!K12997+Sens!K12999)</f>
        <v>6.93673407965723</v>
      </c>
    </row>
    <row r="13116" customFormat="false" ht="17.15" hidden="false" customHeight="false" outlineLevel="0" collapsed="false">
      <c r="A13116" s="0" t="s">
        <v>1246</v>
      </c>
      <c r="B13116" s="0" t="s">
        <v>98</v>
      </c>
      <c r="F13116" s="6" t="n">
        <f aca="false">Sens!F13114-Sens!F13110-Sens!F13115</f>
        <v>6.29675971003133</v>
      </c>
      <c r="G13116" s="6" t="n">
        <f aca="false">Sens!G13114-Sens!G13110-Sens!G13115</f>
        <v>5.73273367554848</v>
      </c>
      <c r="H13116" s="6" t="n">
        <f aca="false">Sens!H13114-Sens!H13110-Sens!H13115</f>
        <v>5.69396348387135</v>
      </c>
      <c r="I13116" s="6" t="n">
        <f aca="false">Sens!I13114-Sens!I13110-Sens!I13115</f>
        <v>5.70932641008922</v>
      </c>
      <c r="J13116" s="6" t="n">
        <f aca="false">Sens!J13114-Sens!J13110-Sens!J13115</f>
        <v>5.77638768001562</v>
      </c>
      <c r="K13116" s="6" t="n">
        <f aca="false">Sens!K13114-Sens!K13110-Sens!K13115</f>
        <v>5.89251813382903</v>
      </c>
    </row>
    <row r="13117" customFormat="false" ht="17.15" hidden="false" customHeight="false" outlineLevel="0" collapsed="false">
      <c r="A13117" s="0" t="s">
        <v>1247</v>
      </c>
      <c r="B13117" s="0" t="s">
        <v>98</v>
      </c>
      <c r="F13117" s="6" t="n">
        <f aca="false">Sens!F13111-tax_f*(Sens!F13111-Sens!F12975)-Sens!F12972</f>
        <v>-127.395553927218</v>
      </c>
      <c r="G13117" s="6" t="n">
        <f aca="false">Sens!G13111-tax_f*(Sens!G13111-Sens!G12975)-Sens!G12972</f>
        <v>-114.399772628121</v>
      </c>
      <c r="H13117" s="6" t="n">
        <f aca="false">Sens!H13111-tax_f*(Sens!H13111-Sens!H12975)-Sens!H12972</f>
        <v>-80.0633729631438</v>
      </c>
      <c r="I13117" s="6" t="n">
        <f aca="false">Sens!I13111-tax_f*(Sens!I13111-Sens!I12975)-Sens!I12972</f>
        <v>-16.9118782011649</v>
      </c>
      <c r="J13117" s="6" t="n">
        <f aca="false">Sens!J13111-tax_f*(Sens!J13111-Sens!J12975)-Sens!J12972</f>
        <v>47.3481968800854</v>
      </c>
      <c r="K13117" s="6" t="n">
        <f aca="false">Sens!K13111-tax_f*(Sens!K13111-Sens!K12975)-Sens!K12972</f>
        <v>72.3288185731755</v>
      </c>
    </row>
    <row r="13118" customFormat="false" ht="17.15" hidden="false" customHeight="false" outlineLevel="0" collapsed="false">
      <c r="A13118" s="0" t="s">
        <v>1248</v>
      </c>
      <c r="B13118" s="0" t="s">
        <v>98</v>
      </c>
      <c r="G13118" s="6" t="n">
        <f aca="false">Sens!G13117/(1+wacc)^(Sens!G13088-Sens!F13089)</f>
        <v>-108.930598237413</v>
      </c>
      <c r="H13118" s="6" t="n">
        <f aca="false">Sens!H13117/(1+wacc)^(Sens!H13088-Sens!F13089)</f>
        <v>-69.1206899875732</v>
      </c>
      <c r="I13118" s="6" t="n">
        <f aca="false">Sens!I13117/(1+wacc)^(Sens!I13088-Sens!F13089)</f>
        <v>-13.2377897619102</v>
      </c>
      <c r="J13118" s="6" t="n">
        <f aca="false">Sens!J13117/(1+wacc)^(Sens!J13088-Sens!F13089)</f>
        <v>33.6028827829978</v>
      </c>
      <c r="K13118" s="6" t="n">
        <f aca="false">Sens!K13117/(1+wacc)^(Sens!K13088-Sens!F13089)</f>
        <v>46.5408079586857</v>
      </c>
      <c r="L13118" s="1" t="s">
        <v>1249</v>
      </c>
    </row>
    <row r="13119" customFormat="false" ht="17.15" hidden="false" customHeight="false" outlineLevel="0" collapsed="false">
      <c r="A13119" s="0" t="s">
        <v>1250</v>
      </c>
      <c r="B13119" s="0" t="s">
        <v>98</v>
      </c>
      <c r="C13119" s="6" t="n">
        <f aca="false">(Sens!K13111-Sens!K12975)*(1-tax_f)*(1+g_tv)*(1-g_tv/(wacc+ronic_prem))/(wacc-g_tv)/(1+wacc)^(Sens!K13089-Sens!F13089)</f>
        <v>295.987249428662</v>
      </c>
    </row>
    <row r="13120" customFormat="false" ht="17.15" hidden="false" customHeight="false" outlineLevel="0" collapsed="false">
      <c r="A13120" s="1" t="s">
        <v>1251</v>
      </c>
      <c r="B13120" s="0" t="s">
        <v>98</v>
      </c>
      <c r="C13120" s="6" t="n">
        <f aca="false">(SUM(Sens!G13118:K13118)+Sens!$C$13119)*(1+wacc)^(t_roll-Sens!F13089)</f>
        <v>190.944051057407</v>
      </c>
      <c r="L13120" s="12" t="s">
        <v>1252</v>
      </c>
    </row>
    <row r="13121" customFormat="false" ht="17.15" hidden="false" customHeight="false" outlineLevel="0" collapsed="false">
      <c r="A13121" s="1" t="s">
        <v>1253</v>
      </c>
      <c r="B13121" s="0" t="s">
        <v>98</v>
      </c>
      <c r="C13121" s="6" t="n">
        <f aca="false">(w_ntm28*Sens!G12963+(1-w_ntm28)*Sens!H12963)*m_ai</f>
        <v>463.789109510335</v>
      </c>
    </row>
    <row r="13122" customFormat="false" ht="17.15" hidden="false" customHeight="false" outlineLevel="0" collapsed="false">
      <c r="A13122" s="1" t="s">
        <v>1254</v>
      </c>
      <c r="B13122" s="0" t="s">
        <v>98</v>
      </c>
      <c r="C13122" s="6" t="n">
        <f aca="false">(w_ntm28*Sens!G13113+(1-w_ntm28)*Sens!H13113)*m_cloud</f>
        <v>997.260389240562</v>
      </c>
    </row>
    <row r="13123" customFormat="false" ht="17.15" hidden="false" customHeight="false" outlineLevel="0" collapsed="false">
      <c r="A13123" s="1" t="s">
        <v>1255</v>
      </c>
      <c r="B13123" s="0" t="s">
        <v>98</v>
      </c>
      <c r="C13123" s="6" t="n">
        <f aca="false">(w_ntm28*Sens!G13106+(1-w_ntm28)*Sens!H13106)*m_sw</f>
        <v>1082.84962646159</v>
      </c>
    </row>
    <row r="13124" customFormat="false" ht="17.15" hidden="false" customHeight="false" outlineLevel="0" collapsed="false">
      <c r="A13124" s="1" t="s">
        <v>1256</v>
      </c>
      <c r="B13124" s="0" t="s">
        <v>98</v>
      </c>
      <c r="C13124" s="6" t="n">
        <f aca="false">(w_ntm28*Sens!G13107+(1-w_ntm28)*Sens!H13107)*m_sw</f>
        <v>372.929250898731</v>
      </c>
    </row>
    <row r="13125" customFormat="false" ht="17.15" hidden="false" customHeight="false" outlineLevel="0" collapsed="false">
      <c r="A13125" s="1" t="s">
        <v>1257</v>
      </c>
      <c r="B13125" s="0" t="s">
        <v>98</v>
      </c>
      <c r="C13125" s="6" t="n">
        <f aca="false">(w_ntm28*Sens!G13108+(1-w_ntm28)*Sens!H13108)*m_sw</f>
        <v>109.1453525431</v>
      </c>
    </row>
    <row r="13126" customFormat="false" ht="17.15" hidden="false" customHeight="false" outlineLevel="0" collapsed="false">
      <c r="A13126" s="1" t="s">
        <v>1258</v>
      </c>
      <c r="B13126" s="0" t="s">
        <v>98</v>
      </c>
      <c r="C13126" s="6" t="n">
        <f aca="false">(w_ntm28*Sens!G13109+(1-w_ntm28)*Sens!H13109)*m_sw</f>
        <v>41.4942157634893</v>
      </c>
    </row>
    <row r="13127" customFormat="false" ht="17.15" hidden="false" customHeight="false" outlineLevel="0" collapsed="false">
      <c r="A13127" s="1" t="s">
        <v>1259</v>
      </c>
      <c r="B13127" s="0" t="s">
        <v>98</v>
      </c>
      <c r="C13127" s="6" t="n">
        <f aca="false">(w_ntm28*Sens!G13110+(1-w_ntm28)*Sens!H13110)*m_ads</f>
        <v>115.052171478463</v>
      </c>
    </row>
    <row r="13128" customFormat="false" ht="17.15" hidden="false" customHeight="false" outlineLevel="0" collapsed="false">
      <c r="A13128" s="1" t="s">
        <v>1260</v>
      </c>
      <c r="B13128" s="0" t="s">
        <v>98</v>
      </c>
      <c r="C13128" s="6" t="n">
        <f aca="false">(w_ntm28*Sens!G13115+(1-w_ntm28)*Sens!H13115)*m_game</f>
        <v>89.280332707933</v>
      </c>
    </row>
    <row r="13129" customFormat="false" ht="17.15" hidden="false" customHeight="false" outlineLevel="0" collapsed="false">
      <c r="A13129" s="1" t="s">
        <v>1261</v>
      </c>
      <c r="B13129" s="0" t="s">
        <v>98</v>
      </c>
      <c r="C13129" s="6" t="n">
        <f aca="false">(w_ntm28*Sens!G13116+(1-w_ntm28)*Sens!H13116)*m_pc</f>
        <v>82.7682163925066</v>
      </c>
    </row>
    <row r="13130" customFormat="false" ht="17.15" hidden="false" customHeight="false" outlineLevel="0" collapsed="false">
      <c r="A13130" s="1" t="s">
        <v>1262</v>
      </c>
      <c r="B13130" s="0" t="s">
        <v>98</v>
      </c>
      <c r="C13130" s="6" t="n">
        <f aca="false">Sens!$C$13120+Sens!$C$13122+Sens!$C$13123+Sens!$C$13124+Sens!$C$13125+Sens!$C$13126+Sens!$C$13127+Sens!$C$13128+Sens!$C$13129</f>
        <v>3081.72360654378</v>
      </c>
    </row>
    <row r="13131" customFormat="false" ht="17.15" hidden="false" customHeight="false" outlineLevel="0" collapsed="false">
      <c r="A13131" s="1" t="s">
        <v>1263</v>
      </c>
      <c r="B13131" s="0" t="s">
        <v>98</v>
      </c>
      <c r="C13131" s="6" t="n">
        <f aca="false">(Sens!G13092-Sens!G13117)*t_stub</f>
        <v>45.8305527958144</v>
      </c>
      <c r="L13131" s="1" t="s">
        <v>1264</v>
      </c>
    </row>
    <row r="13132" customFormat="false" ht="17.15" hidden="false" customHeight="false" outlineLevel="0" collapsed="false">
      <c r="A13132" s="1" t="s">
        <v>1173</v>
      </c>
      <c r="B13132" s="0" t="s">
        <v>98</v>
      </c>
      <c r="C13132" s="6" t="n">
        <f aca="false">Sens!F13079+oai_v-Sens!F13068+Sens!$C$13131</f>
        <v>156.104510207531</v>
      </c>
      <c r="L13132" s="1" t="s">
        <v>1265</v>
      </c>
    </row>
    <row r="13133" customFormat="false" ht="17.15" hidden="false" customHeight="false" outlineLevel="0" collapsed="false">
      <c r="A13133" s="1" t="s">
        <v>1266</v>
      </c>
      <c r="B13133" s="0" t="s">
        <v>75</v>
      </c>
      <c r="C13133" s="5" t="n">
        <f aca="false">(Sens!$C$13130+Sens!$C$13132)/(Sens!F13081+dil_gap)-Sens!G13071*roll_div_q/q_per_yr</f>
        <v>430.901283984967</v>
      </c>
      <c r="L13133" s="1" t="s">
        <v>1267</v>
      </c>
    </row>
    <row r="13134" customFormat="false" ht="17.15" hidden="false" customHeight="false" outlineLevel="0" collapsed="false">
      <c r="A13134" s="1" t="s">
        <v>1268</v>
      </c>
      <c r="B13134" s="0" t="s">
        <v>75</v>
      </c>
      <c r="C13134" s="5" t="n">
        <f aca="false">w_dcf*Sens!$C$13104+(1-w_dcf)*Sens!$C$13133</f>
        <v>372.925494491875</v>
      </c>
    </row>
    <row r="13135" customFormat="false" ht="17.15" hidden="false" customHeight="false" outlineLevel="0" collapsed="false">
      <c r="A13135" s="3" t="s">
        <v>1940</v>
      </c>
    </row>
    <row r="13136" customFormat="false" ht="15" hidden="false" customHeight="false" outlineLevel="0" collapsed="false">
      <c r="A13136" s="4" t="s">
        <v>43</v>
      </c>
      <c r="B13136" s="4" t="s">
        <v>65</v>
      </c>
      <c r="C13136" s="23" t="s">
        <v>942</v>
      </c>
      <c r="D13136" s="23" t="s">
        <v>943</v>
      </c>
      <c r="E13136" s="23" t="s">
        <v>944</v>
      </c>
      <c r="F13136" s="23" t="s">
        <v>945</v>
      </c>
      <c r="G13136" s="23" t="s">
        <v>946</v>
      </c>
      <c r="H13136" s="23" t="s">
        <v>947</v>
      </c>
      <c r="I13136" s="23" t="s">
        <v>948</v>
      </c>
      <c r="J13136" s="23" t="s">
        <v>949</v>
      </c>
      <c r="K13136" s="23" t="s">
        <v>950</v>
      </c>
      <c r="L13136" s="4" t="s">
        <v>47</v>
      </c>
    </row>
    <row r="13137" customFormat="false" ht="17.15" hidden="false" customHeight="false" outlineLevel="0" collapsed="false">
      <c r="A13137" s="1" t="s">
        <v>951</v>
      </c>
      <c r="B13137" s="1" t="s">
        <v>279</v>
      </c>
      <c r="C13137" s="21" t="n">
        <v>2024</v>
      </c>
      <c r="D13137" s="21" t="n">
        <v>2025</v>
      </c>
      <c r="E13137" s="21" t="n">
        <v>2026</v>
      </c>
      <c r="F13137" s="21" t="n">
        <v>2027</v>
      </c>
      <c r="G13137" s="21" t="n">
        <v>2028</v>
      </c>
      <c r="H13137" s="21" t="n">
        <v>2029</v>
      </c>
      <c r="I13137" s="21" t="n">
        <v>2030</v>
      </c>
      <c r="J13137" s="21" t="n">
        <v>2031</v>
      </c>
      <c r="K13137" s="21" t="n">
        <v>2032</v>
      </c>
    </row>
    <row r="13138" customFormat="false" ht="17.15" hidden="false" customHeight="false" outlineLevel="0" collapsed="false">
      <c r="A13138" s="1" t="s">
        <v>952</v>
      </c>
      <c r="B13138" s="0" t="s">
        <v>459</v>
      </c>
      <c r="F13138" s="30" t="n">
        <f aca="false">pace</f>
        <v>2726.5351</v>
      </c>
      <c r="G13138" s="30" t="n">
        <f aca="false">pace</f>
        <v>2726.5351</v>
      </c>
      <c r="H13138" s="30" t="n">
        <f aca="false">pace</f>
        <v>2726.5351</v>
      </c>
      <c r="I13138" s="30" t="n">
        <f aca="false">pace+(g_tv*Sens!H13139-pace)*MIN(1,(Sens!I13137-pace_y0)/(pace_y1-pace_y0))</f>
        <v>1931.98611966667</v>
      </c>
      <c r="J13138" s="30" t="n">
        <f aca="false">pace+(g_tv*Sens!I13139-pace)*MIN(1,(Sens!J13137-pace_y0)/(pace_y1-pace_y0))</f>
        <v>1176.07686172667</v>
      </c>
      <c r="K13138" s="30" t="n">
        <f aca="false">pace+(g_tv*Sens!J13139-pace)*MIN(1,(Sens!K13137-pace_y0)/(pace_y1-pace_y0))</f>
        <v>436.1300484418</v>
      </c>
      <c r="L13138" s="12" t="s">
        <v>953</v>
      </c>
    </row>
    <row r="13139" customFormat="false" ht="17.15" hidden="false" customHeight="false" outlineLevel="0" collapsed="false">
      <c r="A13139" s="1" t="s">
        <v>954</v>
      </c>
      <c r="B13139" s="0" t="s">
        <v>459</v>
      </c>
      <c r="C13139" s="30" t="n">
        <f aca="false">mw_ext_24</f>
        <v>640</v>
      </c>
      <c r="D13139" s="30" t="n">
        <f aca="false">mw_ext_25</f>
        <v>1630</v>
      </c>
      <c r="E13139" s="30" t="n">
        <f aca="false">mw_ext_26</f>
        <v>3250</v>
      </c>
      <c r="F13139" s="30" t="n">
        <f aca="false">Sens!E13139+Sens!F13138</f>
        <v>5976.5351</v>
      </c>
      <c r="G13139" s="30" t="n">
        <f aca="false">Sens!F13139+Sens!G13138</f>
        <v>8703.0702</v>
      </c>
      <c r="H13139" s="30" t="n">
        <f aca="false">Sens!G13139+Sens!H13138</f>
        <v>11429.6053</v>
      </c>
      <c r="I13139" s="30" t="n">
        <f aca="false">Sens!H13139+Sens!I13138</f>
        <v>13361.5914196667</v>
      </c>
      <c r="J13139" s="30" t="n">
        <f aca="false">Sens!I13139+Sens!J13138</f>
        <v>14537.6682813933</v>
      </c>
      <c r="K13139" s="30" t="n">
        <f aca="false">Sens!J13139+Sens!K13138</f>
        <v>14973.7983298351</v>
      </c>
      <c r="L13139" s="1" t="s">
        <v>955</v>
      </c>
    </row>
    <row r="13140" customFormat="false" ht="17.15" hidden="false" customHeight="false" outlineLevel="0" collapsed="false">
      <c r="A13140" s="1" t="s">
        <v>956</v>
      </c>
      <c r="B13140" s="0" t="s">
        <v>459</v>
      </c>
      <c r="C13140" s="30" t="n">
        <f aca="false">rent_ext_24</f>
        <v>150</v>
      </c>
      <c r="D13140" s="30" t="n">
        <f aca="false">rent_ext_25</f>
        <v>400</v>
      </c>
      <c r="E13140" s="30" t="n">
        <f aca="false">rent_ext_26</f>
        <v>550</v>
      </c>
      <c r="F13140" s="30" t="n">
        <f aca="false">rent_ext_f</f>
        <v>756</v>
      </c>
      <c r="G13140" s="30" t="n">
        <f aca="false">rent_ext_f</f>
        <v>756</v>
      </c>
      <c r="H13140" s="30" t="n">
        <f aca="false">rent_ext_f</f>
        <v>756</v>
      </c>
      <c r="I13140" s="30" t="n">
        <f aca="false">rent_ext_f</f>
        <v>756</v>
      </c>
      <c r="J13140" s="30" t="n">
        <f aca="false">rent_ext_f</f>
        <v>756</v>
      </c>
      <c r="K13140" s="30" t="n">
        <f aca="false">rent_ext_f</f>
        <v>756</v>
      </c>
      <c r="L13140" s="1" t="s">
        <v>957</v>
      </c>
    </row>
    <row r="13141" customFormat="false" ht="17.15" hidden="false" customHeight="false" outlineLevel="0" collapsed="false">
      <c r="A13141" s="1" t="s">
        <v>958</v>
      </c>
      <c r="B13141" s="0" t="s">
        <v>459</v>
      </c>
      <c r="C13141" s="30" t="n">
        <f aca="false">Sens!C13139-Sens!C13140</f>
        <v>490</v>
      </c>
      <c r="D13141" s="30" t="n">
        <f aca="false">Sens!D13139-Sens!D13140</f>
        <v>1230</v>
      </c>
      <c r="E13141" s="30" t="n">
        <f aca="false">Sens!E13139-Sens!E13140</f>
        <v>2700</v>
      </c>
      <c r="F13141" s="30" t="n">
        <f aca="false">Sens!F13139-Sens!F13140</f>
        <v>5220.5351</v>
      </c>
      <c r="G13141" s="30" t="n">
        <f aca="false">Sens!G13139-Sens!G13140</f>
        <v>7947.0702</v>
      </c>
      <c r="H13141" s="30" t="n">
        <f aca="false">Sens!H13139-Sens!H13140</f>
        <v>10673.6053</v>
      </c>
      <c r="I13141" s="30" t="n">
        <f aca="false">Sens!I13139-Sens!I13140</f>
        <v>12605.5914196667</v>
      </c>
      <c r="J13141" s="30" t="n">
        <f aca="false">Sens!J13139-Sens!J13140</f>
        <v>13781.6682813933</v>
      </c>
      <c r="K13141" s="30" t="n">
        <f aca="false">Sens!K13139-Sens!K13140</f>
        <v>14217.7983298351</v>
      </c>
    </row>
    <row r="13142" customFormat="false" ht="17.15" hidden="false" customHeight="false" outlineLevel="0" collapsed="false">
      <c r="A13142" s="1" t="s">
        <v>959</v>
      </c>
      <c r="B13142" s="0" t="s">
        <v>459</v>
      </c>
      <c r="C13142" s="30" t="n">
        <f aca="false">Sens!C13141/ext_sh</f>
        <v>816.666666666667</v>
      </c>
      <c r="D13142" s="30" t="n">
        <f aca="false">Sens!D13141/ext_sh</f>
        <v>2050</v>
      </c>
      <c r="E13142" s="30" t="n">
        <f aca="false">Sens!E13141/ext_sh</f>
        <v>4500</v>
      </c>
      <c r="F13142" s="30" t="n">
        <f aca="false">Sens!F13141/ext_sh</f>
        <v>8700.89183333333</v>
      </c>
      <c r="G13142" s="30" t="n">
        <f aca="false">Sens!G13141/ext_sh</f>
        <v>13245.117</v>
      </c>
      <c r="H13142" s="30" t="n">
        <f aca="false">Sens!H13141/ext_sh</f>
        <v>17789.3421666667</v>
      </c>
      <c r="I13142" s="30" t="n">
        <f aca="false">Sens!I13141/ext_sh</f>
        <v>21009.3190327778</v>
      </c>
      <c r="J13142" s="30" t="n">
        <f aca="false">Sens!J13141/ext_sh</f>
        <v>22969.4471356556</v>
      </c>
      <c r="K13142" s="30" t="n">
        <f aca="false">Sens!K13141/ext_sh</f>
        <v>23696.3305497252</v>
      </c>
      <c r="L13142" s="1" t="s">
        <v>960</v>
      </c>
    </row>
    <row r="13143" customFormat="false" ht="17.15" hidden="false" customHeight="false" outlineLevel="0" collapsed="false">
      <c r="A13143" s="1" t="s">
        <v>961</v>
      </c>
      <c r="B13143" s="0" t="s">
        <v>459</v>
      </c>
      <c r="C13143" s="30" t="n">
        <f aca="false">Sens!C13142-Sens!C13141</f>
        <v>326.666666666667</v>
      </c>
      <c r="D13143" s="30" t="n">
        <f aca="false">Sens!D13142-Sens!D13141</f>
        <v>820</v>
      </c>
      <c r="E13143" s="30" t="n">
        <f aca="false">Sens!E13142-Sens!E13141</f>
        <v>1800</v>
      </c>
      <c r="F13143" s="30" t="n">
        <f aca="false">Sens!F13142-Sens!F13141</f>
        <v>3480.35673333333</v>
      </c>
      <c r="G13143" s="30" t="n">
        <f aca="false">Sens!G13142-Sens!G13141</f>
        <v>5298.0468</v>
      </c>
      <c r="H13143" s="30" t="n">
        <f aca="false">Sens!H13142-Sens!H13141</f>
        <v>7115.73686666667</v>
      </c>
      <c r="I13143" s="30" t="n">
        <f aca="false">Sens!I13142-Sens!I13141</f>
        <v>8403.72761311111</v>
      </c>
      <c r="J13143" s="30" t="n">
        <f aca="false">Sens!J13142-Sens!J13141</f>
        <v>9187.77885426222</v>
      </c>
      <c r="K13143" s="30" t="n">
        <f aca="false">Sens!K13142-Sens!K13141</f>
        <v>9478.53221989009</v>
      </c>
    </row>
    <row r="13144" customFormat="false" ht="17.15" hidden="false" customHeight="false" outlineLevel="0" collapsed="false">
      <c r="A13144" s="1" t="s">
        <v>962</v>
      </c>
      <c r="B13144" s="0" t="s">
        <v>459</v>
      </c>
      <c r="C13144" s="30" t="n">
        <f aca="false">Sens!C13142</f>
        <v>816.666666666667</v>
      </c>
      <c r="D13144" s="30" t="n">
        <f aca="false">Sens!D13142-Sens!C13142</f>
        <v>1233.33333333333</v>
      </c>
      <c r="E13144" s="30" t="n">
        <f aca="false">Sens!E13142-Sens!D13142</f>
        <v>2450</v>
      </c>
      <c r="F13144" s="30" t="n">
        <f aca="false">Sens!F13142-Sens!E13142</f>
        <v>4200.89183333333</v>
      </c>
      <c r="G13144" s="30" t="n">
        <f aca="false">Sens!G13142-Sens!F13142</f>
        <v>4544.22516666667</v>
      </c>
      <c r="H13144" s="30" t="n">
        <f aca="false">Sens!H13142-Sens!G13142</f>
        <v>4544.22516666667</v>
      </c>
      <c r="I13144" s="30" t="n">
        <f aca="false">Sens!I13142-Sens!H13142</f>
        <v>3219.97686611111</v>
      </c>
      <c r="J13144" s="30" t="n">
        <f aca="false">Sens!J13142-Sens!I13142</f>
        <v>1960.12810287778</v>
      </c>
      <c r="K13144" s="30" t="n">
        <f aca="false">Sens!K13142-Sens!J13142</f>
        <v>726.883414069667</v>
      </c>
    </row>
    <row r="13145" customFormat="false" ht="17.15" hidden="false" customHeight="false" outlineLevel="0" collapsed="false">
      <c r="A13145" s="1" t="s">
        <v>963</v>
      </c>
      <c r="B13145" s="0" t="s">
        <v>459</v>
      </c>
      <c r="D13145" s="30" t="n">
        <f aca="false">Sens!D13139-Sens!C13139</f>
        <v>990</v>
      </c>
      <c r="E13145" s="30" t="n">
        <f aca="false">Sens!E13139-Sens!D13139</f>
        <v>1620</v>
      </c>
      <c r="F13145" s="30" t="n">
        <f aca="false">Sens!F13139-Sens!E13139</f>
        <v>2726.5351</v>
      </c>
      <c r="G13145" s="30" t="n">
        <f aca="false">Sens!G13139-Sens!F13139</f>
        <v>2726.5351</v>
      </c>
      <c r="H13145" s="30" t="n">
        <f aca="false">Sens!H13139-Sens!G13139</f>
        <v>2726.5351</v>
      </c>
      <c r="I13145" s="30" t="n">
        <f aca="false">Sens!I13139-Sens!H13139</f>
        <v>1931.98611966667</v>
      </c>
      <c r="J13145" s="30" t="n">
        <f aca="false">Sens!J13139-Sens!I13139</f>
        <v>1176.07686172667</v>
      </c>
      <c r="K13145" s="30" t="n">
        <f aca="false">Sens!K13139-Sens!J13139</f>
        <v>436.130048441799</v>
      </c>
    </row>
    <row r="13146" customFormat="false" ht="17.15" hidden="false" customHeight="false" outlineLevel="0" collapsed="false">
      <c r="A13146" s="1" t="s">
        <v>964</v>
      </c>
      <c r="B13146" s="0" t="s">
        <v>459</v>
      </c>
      <c r="F13146" s="30" t="n">
        <f aca="false">Sens!F13165*ext_sh</f>
        <v>0</v>
      </c>
      <c r="G13146" s="30" t="n">
        <f aca="false">Sens!G13165*ext_sh</f>
        <v>0</v>
      </c>
      <c r="H13146" s="30" t="n">
        <f aca="false">Sens!H13165*ext_sh</f>
        <v>0</v>
      </c>
      <c r="I13146" s="30" t="n">
        <f aca="false">Sens!I13165*ext_sh</f>
        <v>490</v>
      </c>
      <c r="J13146" s="30" t="n">
        <f aca="false">Sens!J13165*ext_sh</f>
        <v>740</v>
      </c>
      <c r="K13146" s="30" t="n">
        <f aca="false">Sens!K13165*ext_sh</f>
        <v>1470</v>
      </c>
      <c r="L13146" s="1" t="s">
        <v>965</v>
      </c>
    </row>
    <row r="13147" customFormat="false" ht="17.15" hidden="false" customHeight="false" outlineLevel="0" collapsed="false">
      <c r="A13147" s="1" t="s">
        <v>966</v>
      </c>
      <c r="B13147" s="0" t="s">
        <v>459</v>
      </c>
      <c r="C13147" s="30" t="n">
        <f aca="false">mix_h*Sens!C13139</f>
        <v>128</v>
      </c>
      <c r="D13147" s="30" t="n">
        <f aca="false">mix_h*Sens!D13139</f>
        <v>326</v>
      </c>
      <c r="E13147" s="30" t="n">
        <f aca="false">mix_h*Sens!E13139</f>
        <v>650</v>
      </c>
      <c r="F13147" s="30" t="n">
        <f aca="false">Sens!E13147-Sens!F13146*mix_h</f>
        <v>650</v>
      </c>
      <c r="G13147" s="30" t="n">
        <f aca="false">Sens!F13147-Sens!G13146*mix_h</f>
        <v>650</v>
      </c>
      <c r="H13147" s="30" t="n">
        <f aca="false">Sens!G13147-Sens!H13146*mix_h</f>
        <v>650</v>
      </c>
      <c r="I13147" s="30" t="n">
        <f aca="false">Sens!H13147-Sens!I13146*mix_h</f>
        <v>552</v>
      </c>
      <c r="J13147" s="30" t="n">
        <f aca="false">Sens!I13147-Sens!J13146*mix_h</f>
        <v>404</v>
      </c>
      <c r="K13147" s="30" t="n">
        <f aca="false">Sens!J13147-Sens!K13146*mix_h</f>
        <v>110</v>
      </c>
    </row>
    <row r="13148" customFormat="false" ht="17.15" hidden="false" customHeight="false" outlineLevel="0" collapsed="false">
      <c r="A13148" s="1" t="s">
        <v>967</v>
      </c>
      <c r="B13148" s="0" t="s">
        <v>459</v>
      </c>
      <c r="C13148" s="30" t="n">
        <f aca="false">mix_g2*Sens!C13139</f>
        <v>288</v>
      </c>
      <c r="D13148" s="30" t="n">
        <f aca="false">mix_g2*Sens!D13139</f>
        <v>733.5</v>
      </c>
      <c r="E13148" s="30" t="n">
        <f aca="false">mix_g2*Sens!E13139</f>
        <v>1462.5</v>
      </c>
      <c r="F13148" s="30" t="n">
        <f aca="false">Sens!E13148-Sens!F13146*mix_g2</f>
        <v>1462.5</v>
      </c>
      <c r="G13148" s="30" t="n">
        <f aca="false">Sens!F13148-Sens!G13146*mix_g2</f>
        <v>1462.5</v>
      </c>
      <c r="H13148" s="30" t="n">
        <f aca="false">Sens!G13148-Sens!H13146*mix_g2</f>
        <v>1462.5</v>
      </c>
      <c r="I13148" s="30" t="n">
        <f aca="false">Sens!H13148-Sens!I13146*mix_g2</f>
        <v>1242</v>
      </c>
      <c r="J13148" s="30" t="n">
        <f aca="false">Sens!I13148-Sens!J13146*mix_g2</f>
        <v>909</v>
      </c>
      <c r="K13148" s="30" t="n">
        <f aca="false">Sens!J13148-Sens!K13146*mix_g2</f>
        <v>247.5</v>
      </c>
    </row>
    <row r="13149" customFormat="false" ht="17.15" hidden="false" customHeight="false" outlineLevel="0" collapsed="false">
      <c r="A13149" s="1" t="s">
        <v>968</v>
      </c>
      <c r="B13149" s="0" t="s">
        <v>459</v>
      </c>
      <c r="C13149" s="30" t="n">
        <f aca="false">mix_g3*Sens!C13139</f>
        <v>224</v>
      </c>
      <c r="D13149" s="30" t="n">
        <f aca="false">mix_g3*Sens!D13139</f>
        <v>570.5</v>
      </c>
      <c r="E13149" s="30" t="n">
        <f aca="false">mix_g3*Sens!E13139</f>
        <v>1137.5</v>
      </c>
      <c r="F13149" s="30" t="n">
        <f aca="false">Sens!E13149+(Sens!F13145+Sens!F13146)*(a_g3_27-nonnv*a_mai)-Sens!F13146*mix_g3</f>
        <v>2773.42106</v>
      </c>
      <c r="G13149" s="30" t="n">
        <f aca="false">Sens!F13149+(Sens!G13145+Sens!G13146)*(a_g3_28-nonnv*a_mai)-Sens!G13146*mix_g3</f>
        <v>3318.72808</v>
      </c>
      <c r="H13149" s="30" t="n">
        <f aca="false">Sens!G13149+(Sens!H13145+Sens!H13146)*(a_g3_29-nonnv*a_mai)-Sens!H13146*mix_g3</f>
        <v>3318.72808</v>
      </c>
      <c r="I13149" s="30" t="n">
        <f aca="false">Sens!H13149+(Sens!I13145+Sens!I13146)*(a_g3_29-nonnv*a_mai)-Sens!I13146*mix_g3</f>
        <v>3147.22808</v>
      </c>
      <c r="J13149" s="30" t="n">
        <f aca="false">Sens!I13149+(Sens!J13145+Sens!J13146)*(a_g3_29-nonnv*a_mai)-Sens!J13146*mix_g3</f>
        <v>2888.22808</v>
      </c>
      <c r="K13149" s="30" t="n">
        <f aca="false">Sens!J13149+(Sens!K13145+Sens!K13146)*(a_g3_29-nonnv*a_mai)-Sens!K13146*mix_g3</f>
        <v>2373.72808</v>
      </c>
    </row>
    <row r="13150" customFormat="false" ht="17.15" hidden="false" customHeight="false" outlineLevel="0" collapsed="false">
      <c r="A13150" s="1" t="s">
        <v>969</v>
      </c>
      <c r="B13150" s="0" t="s">
        <v>459</v>
      </c>
      <c r="C13150" s="30" t="n">
        <v>0</v>
      </c>
      <c r="D13150" s="30" t="n">
        <v>0</v>
      </c>
      <c r="E13150" s="30" t="n">
        <v>0</v>
      </c>
      <c r="F13150" s="30" t="n">
        <f aca="false">Sens!E13150+(Sens!F13145+Sens!F13146)*nonnv*a_mai</f>
        <v>272.65351</v>
      </c>
      <c r="G13150" s="30" t="n">
        <f aca="false">Sens!F13150+(Sens!G13145+Sens!G13146)*nonnv*a_mai</f>
        <v>545.30702</v>
      </c>
      <c r="H13150" s="30" t="n">
        <f aca="false">Sens!G13150+(Sens!H13145+Sens!H13146)*nonnv*a_mai</f>
        <v>817.96053</v>
      </c>
      <c r="I13150" s="30" t="n">
        <f aca="false">Sens!H13150+(Sens!I13145+Sens!I13146)*nonnv*a_mai</f>
        <v>1060.15914196667</v>
      </c>
      <c r="J13150" s="30" t="n">
        <f aca="false">Sens!I13150+(Sens!J13145+Sens!J13146)*nonnv*a_mai</f>
        <v>1251.76682813933</v>
      </c>
      <c r="K13150" s="30" t="n">
        <f aca="false">Sens!J13150+(Sens!K13145+Sens!K13146)*nonnv*a_mai</f>
        <v>1442.37983298351</v>
      </c>
      <c r="L13150" s="12" t="s">
        <v>970</v>
      </c>
    </row>
    <row r="13151" customFormat="false" ht="17.15" hidden="false" customHeight="false" outlineLevel="0" collapsed="false">
      <c r="A13151" s="1" t="s">
        <v>971</v>
      </c>
      <c r="B13151" s="0" t="s">
        <v>459</v>
      </c>
      <c r="C13151" s="30" t="n">
        <v>0</v>
      </c>
      <c r="D13151" s="30" t="n">
        <v>0</v>
      </c>
      <c r="E13151" s="30" t="n">
        <v>0</v>
      </c>
      <c r="F13151" s="30" t="n">
        <f aca="false">Sens!E13151+(Sens!F13145+Sens!F13146)*(1-a_g3_27)</f>
        <v>817.96053</v>
      </c>
      <c r="G13151" s="30" t="n">
        <f aca="false">Sens!F13151+(Sens!G13145+Sens!G13146)*(1-a_g3_28)</f>
        <v>2726.5351</v>
      </c>
      <c r="H13151" s="30" t="n">
        <f aca="false">Sens!G13151+(Sens!H13145+Sens!H13146)*(1-a_g3_29)</f>
        <v>5180.41669</v>
      </c>
      <c r="I13151" s="30" t="n">
        <f aca="false">Sens!H13151+(Sens!I13145+Sens!I13146)*(1-a_g3_29)</f>
        <v>7360.2041977</v>
      </c>
      <c r="J13151" s="30" t="n">
        <f aca="false">Sens!I13151+(Sens!J13145+Sens!J13146)*(1-a_g3_29)</f>
        <v>9084.673373254</v>
      </c>
      <c r="K13151" s="30" t="n">
        <f aca="false">Sens!J13151+(Sens!K13145+Sens!K13146)*(1-a_g3_29)</f>
        <v>10800.1904168516</v>
      </c>
    </row>
    <row r="13152" customFormat="false" ht="17.15" hidden="false" customHeight="false" outlineLevel="0" collapsed="false">
      <c r="A13152" s="1" t="s">
        <v>972</v>
      </c>
      <c r="B13152" s="0" t="s">
        <v>403</v>
      </c>
      <c r="C13152" s="15" t="n">
        <f aca="false">(Sens!C13147*tk_hold_h100+Sens!C13148*tk_hold_gb200+Sens!C13149*tk_hold_gb300+Sens!C13151*tk_hold_vr200+Sens!C13150*nv_hold_mai*tk_hold_vr200)/Sens!C13139</f>
        <v>9.7235358126469</v>
      </c>
      <c r="D13152" s="15" t="n">
        <f aca="false">(Sens!D13147*tk_hold_h100+Sens!D13148*tk_hold_gb200+Sens!D13149*tk_hold_gb300+Sens!D13151*tk_hold_vr200+Sens!D13150*nv_hold_mai*tk_hold_vr200)/Sens!D13139</f>
        <v>9.7235358126469</v>
      </c>
      <c r="E13152" s="15" t="n">
        <f aca="false">(Sens!E13147*tk_hold_h100+Sens!E13148*tk_hold_gb200+Sens!E13149*tk_hold_gb300+Sens!E13151*tk_hold_vr200+Sens!E13150*nv_hold_mai*tk_hold_vr200)/Sens!E13139</f>
        <v>9.7235358126469</v>
      </c>
      <c r="F13152" s="15" t="n">
        <f aca="false">(Sens!F13147*tk_hold_h100+Sens!F13148*tk_hold_gb200+Sens!F13149*tk_hold_gb300+Sens!F13151*tk_hold_vr200+Sens!F13150*nv_hold_mai*tk_hold_vr200)/Sens!F13139</f>
        <v>10.2195353876665</v>
      </c>
      <c r="G13152" s="15" t="n">
        <f aca="false">(Sens!G13147*tk_hold_h100+Sens!G13148*tk_hold_gb200+Sens!G13149*tk_hold_gb300+Sens!G13151*tk_hold_vr200+Sens!G13150*nv_hold_mai*tk_hold_vr200)/Sens!G13139</f>
        <v>10.5725598017306</v>
      </c>
      <c r="H13152" s="15" t="n">
        <f aca="false">(Sens!H13147*tk_hold_h100+Sens!H13148*tk_hold_gb200+Sens!H13149*tk_hold_gb300+Sens!H13151*tk_hold_vr200+Sens!H13150*nv_hold_mai*tk_hold_vr200)/Sens!H13139</f>
        <v>10.8210427149036</v>
      </c>
      <c r="I13152" s="15" t="n">
        <f aca="false">(Sens!I13147*tk_hold_h100+Sens!I13148*tk_hold_gb200+Sens!I13149*tk_hold_gb300+Sens!I13151*tk_hold_vr200+Sens!I13150*nv_hold_mai*tk_hold_vr200)/Sens!I13139</f>
        <v>11.0050618241982</v>
      </c>
      <c r="J13152" s="15" t="n">
        <f aca="false">(Sens!J13147*tk_hold_h100+Sens!J13148*tk_hold_gb200+Sens!J13149*tk_hold_gb300+Sens!J13151*tk_hold_vr200+Sens!J13150*nv_hold_mai*tk_hold_vr200)/Sens!J13139</f>
        <v>11.1505789658881</v>
      </c>
      <c r="K13152" s="15" t="n">
        <f aca="false">(Sens!K13147*tk_hold_h100+Sens!K13148*tk_hold_gb200+Sens!K13149*tk_hold_gb300+Sens!K13151*tk_hold_vr200+Sens!K13150*nv_hold_mai*tk_hold_vr200)/Sens!K13139</f>
        <v>11.3496914757183</v>
      </c>
      <c r="L13152" s="1" t="s">
        <v>973</v>
      </c>
    </row>
    <row r="13153" customFormat="false" ht="17.15" hidden="false" customHeight="false" outlineLevel="0" collapsed="false">
      <c r="A13153" s="1" t="s">
        <v>974</v>
      </c>
      <c r="B13153" s="0" t="s">
        <v>403</v>
      </c>
      <c r="C13153" s="15" t="n">
        <f aca="false">(Sens!C13147*tk_hold_h100+Sens!C13148*tk_hold_gb200+Sens!C13149*tk_hold_gb300+Sens!C13151*tk_hold_vr200+Sens!C13150*nv_out_mai*tk_hold_vr200)/Sens!C13139</f>
        <v>9.7235358126469</v>
      </c>
      <c r="D13153" s="15" t="n">
        <f aca="false">(Sens!D13147*tk_hold_h100+Sens!D13148*tk_hold_gb200+Sens!D13149*tk_hold_gb300+Sens!D13151*tk_hold_vr200+Sens!D13150*nv_out_mai*tk_hold_vr200)/Sens!D13139</f>
        <v>9.7235358126469</v>
      </c>
      <c r="E13153" s="15" t="n">
        <f aca="false">(Sens!E13147*tk_hold_h100+Sens!E13148*tk_hold_gb200+Sens!E13149*tk_hold_gb300+Sens!E13151*tk_hold_vr200+Sens!E13150*nv_out_mai*tk_hold_vr200)/Sens!E13139</f>
        <v>9.7235358126469</v>
      </c>
      <c r="F13153" s="15" t="n">
        <f aca="false">(Sens!F13147*tk_hold_h100+Sens!F13148*tk_hold_gb200+Sens!F13149*tk_hold_gb300+Sens!F13151*tk_hold_vr200+Sens!F13150*nv_out_mai*tk_hold_vr200)/Sens!F13139</f>
        <v>10.247422093969</v>
      </c>
      <c r="G13153" s="15" t="n">
        <f aca="false">(Sens!G13147*tk_hold_h100+Sens!G13148*tk_hold_gb200+Sens!G13149*tk_hold_gb300+Sens!G13151*tk_hold_vr200+Sens!G13150*nv_out_mai*tk_hold_vr200)/Sens!G13139</f>
        <v>10.6108602808053</v>
      </c>
      <c r="H13153" s="15" t="n">
        <f aca="false">(Sens!H13147*tk_hold_h100+Sens!H13148*tk_hold_gb200+Sens!H13149*tk_hold_gb300+Sens!H13151*tk_hold_vr200+Sens!H13150*nv_out_mai*tk_hold_vr200)/Sens!H13139</f>
        <v>10.8647885507393</v>
      </c>
      <c r="I13153" s="15" t="n">
        <f aca="false">(Sens!I13147*tk_hold_h100+Sens!I13148*tk_hold_gb200+Sens!I13149*tk_hold_gb300+Sens!I13151*tk_hold_vr200+Sens!I13150*nv_out_mai*tk_hold_vr200)/Sens!I13139</f>
        <v>11.0535625770025</v>
      </c>
      <c r="J13153" s="15" t="n">
        <f aca="false">(Sens!J13147*tk_hold_h100+Sens!J13148*tk_hold_gb200+Sens!J13149*tk_hold_gb300+Sens!J13151*tk_hold_vr200+Sens!J13150*nv_out_mai*tk_hold_vr200)/Sens!J13139</f>
        <v>11.2032127128058</v>
      </c>
      <c r="K13153" s="15" t="n">
        <f aca="false">(Sens!K13147*tk_hold_h100+Sens!K13148*tk_hold_gb200+Sens!K13149*tk_hold_gb300+Sens!K13151*tk_hold_vr200+Sens!K13150*nv_out_mai*tk_hold_vr200)/Sens!K13139</f>
        <v>11.4085735724225</v>
      </c>
      <c r="L13153" s="12" t="s">
        <v>975</v>
      </c>
    </row>
    <row r="13154" customFormat="false" ht="17.15" hidden="false" customHeight="false" outlineLevel="0" collapsed="false">
      <c r="A13154" s="0" t="s">
        <v>976</v>
      </c>
      <c r="B13154" s="0" t="s">
        <v>229</v>
      </c>
      <c r="C13154" s="15" t="n">
        <f aca="false">k_B</f>
        <v>1.17213932619116</v>
      </c>
      <c r="D13154" s="15" t="n">
        <f aca="false">k_B</f>
        <v>1.17213932619116</v>
      </c>
      <c r="E13154" s="15" t="n">
        <f aca="false">k_B</f>
        <v>1.17213932619116</v>
      </c>
      <c r="F13154" s="15" t="n">
        <f aca="false">(k_B+((ls_C*k_long+(1-ls_C)*k_spot)-k_B)*MIN(1,(Sens!F13137-base_fy)/k_ramp))</f>
        <v>1.07843258004497</v>
      </c>
      <c r="G13154" s="15" t="n">
        <f aca="false">(k_B+((ls_C*k_long+(1-ls_C)*k_spot)-k_B)*MIN(1,(Sens!G13137-base_fy)/k_ramp))</f>
        <v>0.984725833898784</v>
      </c>
      <c r="H13154" s="15" t="n">
        <f aca="false">(k_B+((ls_C*k_long+(1-ls_C)*k_spot)-k_B)*MIN(1,(Sens!H13137-base_fy)/k_ramp))</f>
        <v>0.891019087752599</v>
      </c>
      <c r="I13154" s="15" t="n">
        <f aca="false">(k_B+((ls_C*k_long+(1-ls_C)*k_spot)-k_B)*MIN(1,(Sens!I13137-base_fy)/k_ramp))</f>
        <v>0.891019087752599</v>
      </c>
      <c r="J13154" s="15" t="n">
        <f aca="false">(k_B+((ls_C*k_long+(1-ls_C)*k_spot)-k_B)*MIN(1,(Sens!J13137-base_fy)/k_ramp))</f>
        <v>0.891019087752599</v>
      </c>
      <c r="K13154" s="15" t="n">
        <f aca="false">(k_B+((ls_C*k_long+(1-ls_C)*k_spot)-k_B)*MIN(1,(Sens!K13137-base_fy)/k_ramp))</f>
        <v>0.891019087752599</v>
      </c>
      <c r="L13154" s="1" t="s">
        <v>977</v>
      </c>
    </row>
    <row r="13155" customFormat="false" ht="17.15" hidden="false" customHeight="false" outlineLevel="0" collapsed="false">
      <c r="A13155" s="1" t="s">
        <v>978</v>
      </c>
      <c r="B13155" s="0" t="s">
        <v>403</v>
      </c>
      <c r="C13155" s="15" t="n">
        <f aca="false">Sens!C13153*Sens!C13154*chip_f</f>
        <v>11.3973387156315</v>
      </c>
      <c r="D13155" s="15" t="n">
        <f aca="false">Sens!D13153*Sens!D13154*chip_f</f>
        <v>11.3973387156315</v>
      </c>
      <c r="E13155" s="15" t="n">
        <f aca="false">Sens!E13153*Sens!E13154*chip_f</f>
        <v>11.3973387156315</v>
      </c>
      <c r="F13155" s="15" t="n">
        <f aca="false">Sens!F13153*Sens!F13154*chip_f</f>
        <v>11.0511538476088</v>
      </c>
      <c r="G13155" s="15" t="n">
        <f aca="false">Sens!G13153*Sens!G13154*chip_f</f>
        <v>10.4487882383995</v>
      </c>
      <c r="H13155" s="15" t="n">
        <f aca="false">Sens!H13153*Sens!H13154*chip_f</f>
        <v>9.68073398310464</v>
      </c>
      <c r="I13155" s="15" t="n">
        <f aca="false">Sens!I13153*Sens!I13154*chip_f</f>
        <v>9.84893524377706</v>
      </c>
      <c r="J13155" s="15" t="n">
        <f aca="false">Sens!J13153*Sens!J13154*chip_f</f>
        <v>9.98227637126252</v>
      </c>
      <c r="K13155" s="15" t="n">
        <f aca="false">Sens!K13153*Sens!K13154*chip_f</f>
        <v>10.1652568170583</v>
      </c>
      <c r="L13155" s="1" t="s">
        <v>979</v>
      </c>
    </row>
    <row r="13156" customFormat="false" ht="17.15" hidden="false" customHeight="false" outlineLevel="0" collapsed="false">
      <c r="A13156" s="0" t="s">
        <v>980</v>
      </c>
      <c r="B13156" s="0" t="s">
        <v>98</v>
      </c>
      <c r="D13156" s="6" t="n">
        <f aca="false">(Sens!C13139+Sens!D13139)/2*Sens!D13155/1000</f>
        <v>12.9359794422418</v>
      </c>
      <c r="E13156" s="6" t="n">
        <f aca="false">(Sens!D13139+Sens!E13139)/2*Sens!E13155/1000</f>
        <v>27.8095064661409</v>
      </c>
      <c r="F13156" s="6" t="n">
        <f aca="false">(Sens!E13139+Sens!F13139)/2*Sens!F13155/1000</f>
        <v>50.9819294352312</v>
      </c>
      <c r="G13156" s="6" t="n">
        <f aca="false">(Sens!F13139+Sens!G13139)/2*Sens!G13155/1000</f>
        <v>76.6920436014933</v>
      </c>
      <c r="H13156" s="6" t="n">
        <f aca="false">(Sens!G13139+Sens!H13139)/2*Sens!H13155/1000</f>
        <v>97.4495379418341</v>
      </c>
      <c r="I13156" s="6" t="n">
        <f aca="false">(Sens!H13139+Sens!I13139)/2*Sens!I13155/1000</f>
        <v>122.083445553868</v>
      </c>
      <c r="J13156" s="6" t="n">
        <f aca="false">(Sens!I13139+Sens!J13139)/2*Sens!J13155/1000</f>
        <v>139.249060444804</v>
      </c>
      <c r="K13156" s="6" t="n">
        <f aca="false">(Sens!J13139+Sens!K13139)/2*Sens!K13155/1000</f>
        <v>149.995818575589</v>
      </c>
      <c r="L13156" s="12" t="s">
        <v>981</v>
      </c>
    </row>
    <row r="13157" customFormat="false" ht="17.15" hidden="false" customHeight="false" outlineLevel="0" collapsed="false">
      <c r="A13157" s="1" t="s">
        <v>982</v>
      </c>
      <c r="B13157" s="0" t="s">
        <v>403</v>
      </c>
      <c r="C13157" s="15" t="n">
        <f aca="false">(Sens!C13147*tk_opex_h100+Sens!C13148*tk_opex_gb200+Sens!C13149*tk_opex_gb300+(Sens!C13151+Sens!C13150)*tk_opex_vr200)/Sens!C13139</f>
        <v>1.88636041306092</v>
      </c>
      <c r="D13157" s="15" t="n">
        <f aca="false">(Sens!D13147*tk_opex_h100+Sens!D13148*tk_opex_gb200+Sens!D13149*tk_opex_gb300+(Sens!D13151+Sens!D13150)*tk_opex_vr200)/Sens!D13139</f>
        <v>1.88636041306092</v>
      </c>
      <c r="E13157" s="15" t="n">
        <f aca="false">(Sens!E13147*tk_opex_h100+Sens!E13148*tk_opex_gb200+Sens!E13149*tk_opex_gb300+(Sens!E13151+Sens!E13150)*tk_opex_vr200)/Sens!E13139</f>
        <v>1.88636041306092</v>
      </c>
      <c r="F13157" s="15" t="n">
        <f aca="false">(Sens!F13147*tk_opex_h100+Sens!F13148*tk_opex_gb200+Sens!F13149*tk_opex_gb300+(Sens!F13151+Sens!F13150)*tk_opex_vr200)/Sens!F13139</f>
        <v>1.95051159746876</v>
      </c>
      <c r="G13157" s="15" t="n">
        <f aca="false">(Sens!G13147*tk_opex_h100+Sens!G13148*tk_opex_gb200+Sens!G13149*tk_opex_gb300+(Sens!G13151+Sens!G13150)*tk_opex_vr200)/Sens!G13139</f>
        <v>1.98836003669956</v>
      </c>
      <c r="H13157" s="15" t="n">
        <f aca="false">(Sens!H13147*tk_opex_h100+Sens!H13148*tk_opex_gb200+Sens!H13149*tk_opex_gb300+(Sens!H13151+Sens!H13150)*tk_opex_vr200)/Sens!H13139</f>
        <v>2.01344013834343</v>
      </c>
      <c r="I13157" s="15" t="n">
        <f aca="false">(Sens!I13147*tk_opex_h100+Sens!I13148*tk_opex_gb200+Sens!I13149*tk_opex_gb300+(Sens!I13151+Sens!I13150)*tk_opex_vr200)/Sens!I13139</f>
        <v>2.03261166882178</v>
      </c>
      <c r="J13157" s="15" t="n">
        <f aca="false">(Sens!J13147*tk_opex_h100+Sens!J13148*tk_opex_gb200+Sens!J13149*tk_opex_gb300+(Sens!J13151+Sens!J13150)*tk_opex_vr200)/Sens!J13139</f>
        <v>2.04808073288745</v>
      </c>
      <c r="K13157" s="15" t="n">
        <f aca="false">(Sens!K13147*tk_opex_h100+Sens!K13148*tk_opex_gb200+Sens!K13149*tk_opex_gb300+(Sens!K13151+Sens!K13150)*tk_opex_vr200)/Sens!K13139</f>
        <v>2.06973825807449</v>
      </c>
      <c r="L13157" s="12" t="s">
        <v>983</v>
      </c>
    </row>
    <row r="13158" customFormat="false" ht="17.15" hidden="false" customHeight="false" outlineLevel="0" collapsed="false">
      <c r="A13158" s="0" t="s">
        <v>984</v>
      </c>
      <c r="B13158" s="0" t="s">
        <v>98</v>
      </c>
      <c r="D13158" s="6" t="n">
        <f aca="false">(Sens!C13142+Sens!D13142)/2*Sens!D13157/1000</f>
        <v>2.70378325872065</v>
      </c>
      <c r="E13158" s="6" t="n">
        <f aca="false">(Sens!D13142+Sens!E13142)/2*Sens!E13157/1000</f>
        <v>6.17783035277451</v>
      </c>
      <c r="F13158" s="6" t="n">
        <f aca="false">(Sens!E13142+Sens!F13142)/2*Sens!F13157/1000</f>
        <v>12.8742463089237</v>
      </c>
      <c r="G13158" s="6" t="n">
        <f aca="false">(Sens!F13142+Sens!G13142)/2*Sens!G13157/1000</f>
        <v>21.8182834646277</v>
      </c>
      <c r="H13158" s="6" t="n">
        <f aca="false">(Sens!G13142+Sens!H13142)/2*Sens!H13157/1000</f>
        <v>31.2430128789734</v>
      </c>
      <c r="I13158" s="6" t="n">
        <f aca="false">(Sens!H13142+Sens!I13142)/2*Sens!I13157/1000</f>
        <v>39.4313057443268</v>
      </c>
      <c r="J13158" s="6" t="n">
        <f aca="false">(Sens!I13142+Sens!J13142)/2*Sens!J13157/1000</f>
        <v>45.0360318228653</v>
      </c>
      <c r="K13158" s="6" t="n">
        <f aca="false">(Sens!J13142+Sens!K13142)/2*Sens!K13157/1000</f>
        <v>48.2929727091156</v>
      </c>
    </row>
    <row r="13159" customFormat="false" ht="17.15" hidden="false" customHeight="false" outlineLevel="0" collapsed="false">
      <c r="A13159" s="0" t="s">
        <v>985</v>
      </c>
      <c r="B13159" s="0" t="s">
        <v>98</v>
      </c>
      <c r="D13159" s="6" t="n">
        <f aca="false">(Sens!C13140+Sens!D13140)/2*rent_mw/1000</f>
        <v>2.44475</v>
      </c>
      <c r="E13159" s="6" t="n">
        <f aca="false">(Sens!D13140+Sens!E13140)/2*rent_mw/1000</f>
        <v>4.22275</v>
      </c>
      <c r="F13159" s="6" t="n">
        <f aca="false">(Sens!E13140+Sens!F13140)/2*rent_mw/1000</f>
        <v>5.80517</v>
      </c>
      <c r="G13159" s="6" t="n">
        <f aca="false">(Sens!F13140+Sens!G13140)/2*rent_mw/1000</f>
        <v>6.72084</v>
      </c>
      <c r="H13159" s="6" t="n">
        <f aca="false">(Sens!G13140+Sens!H13140)/2*rent_mw/1000</f>
        <v>6.72084</v>
      </c>
      <c r="I13159" s="6" t="n">
        <f aca="false">(Sens!H13140+Sens!I13140)/2*rent_mw/1000</f>
        <v>6.72084</v>
      </c>
      <c r="J13159" s="6" t="n">
        <f aca="false">(Sens!I13140+Sens!J13140)/2*rent_mw/1000</f>
        <v>6.72084</v>
      </c>
      <c r="K13159" s="6" t="n">
        <f aca="false">(Sens!J13140+Sens!K13140)/2*rent_mw/1000</f>
        <v>6.72084</v>
      </c>
    </row>
    <row r="13160" customFormat="false" ht="17.15" hidden="false" customHeight="false" outlineLevel="0" collapsed="false">
      <c r="A13160" s="0" t="s">
        <v>986</v>
      </c>
      <c r="B13160" s="0" t="s">
        <v>98</v>
      </c>
      <c r="D13160" s="6" t="n">
        <f aca="false">(Sens!C13142+Sens!D13142)/2*(1-self_build)*fac_rent/1000</f>
        <v>0.853242375631075</v>
      </c>
      <c r="E13160" s="6" t="n">
        <f aca="false">(Sens!D13142+Sens!E13142)/2*(1-self_build)*fac_rent/1000</f>
        <v>1.94955961408728</v>
      </c>
      <c r="F13160" s="6" t="n">
        <f aca="false">(Sens!E13142+Sens!F13142)/2*(1-self_build)*fac_rent/1000</f>
        <v>3.92914894476356</v>
      </c>
      <c r="G13160" s="6" t="n">
        <f aca="false">(Sens!F13142+Sens!G13142)/2*(1-self_build)*fac_rent/1000</f>
        <v>6.53206908578159</v>
      </c>
      <c r="H13160" s="6" t="n">
        <f aca="false">(Sens!G13142+Sens!H13142)/2*(1-self_build)*fac_rent/1000</f>
        <v>9.23717988341591</v>
      </c>
      <c r="I13160" s="6" t="n">
        <f aca="false">(Sens!H13142+Sens!I13142)/2*(1-self_build)*fac_rent/1000</f>
        <v>11.5481378557393</v>
      </c>
      <c r="J13160" s="6" t="n">
        <f aca="false">(Sens!I13142+Sens!J13142)/2*(1-self_build)*fac_rent/1000</f>
        <v>13.0899582289108</v>
      </c>
      <c r="K13160" s="6" t="n">
        <f aca="false">(Sens!J13142+Sens!K13142)/2*(1-self_build)*fac_rent/1000</f>
        <v>13.8897275626556</v>
      </c>
      <c r="L13160" s="12" t="s">
        <v>987</v>
      </c>
    </row>
    <row r="13161" customFormat="false" ht="17.15" hidden="false" customHeight="false" outlineLevel="0" collapsed="false">
      <c r="A13161" s="1" t="s">
        <v>988</v>
      </c>
      <c r="B13161" s="0" t="s">
        <v>168</v>
      </c>
      <c r="D13161" s="7" t="n">
        <f aca="false">(Sens!C13141+Sens!D13141)/(Sens!C13142+Sens!D13142)</f>
        <v>0.6</v>
      </c>
      <c r="E13161" s="7" t="n">
        <f aca="false">(Sens!D13141+Sens!E13141)/(Sens!D13142+Sens!E13142)</f>
        <v>0.6</v>
      </c>
      <c r="F13161" s="7" t="n">
        <f aca="false">(Sens!E13141+Sens!F13141)/(Sens!E13142+Sens!F13142)</f>
        <v>0.6</v>
      </c>
      <c r="G13161" s="7" t="n">
        <f aca="false">(Sens!F13141+Sens!G13141)/(Sens!F13142+Sens!G13142)</f>
        <v>0.6</v>
      </c>
      <c r="H13161" s="7" t="n">
        <f aca="false">(Sens!G13141+Sens!H13141)/(Sens!G13142+Sens!H13142)</f>
        <v>0.6</v>
      </c>
      <c r="I13161" s="7" t="n">
        <f aca="false">(Sens!H13141+Sens!I13141)/(Sens!H13142+Sens!I13142)</f>
        <v>0.6</v>
      </c>
      <c r="J13161" s="7" t="n">
        <f aca="false">(Sens!I13141+Sens!J13141)/(Sens!I13142+Sens!J13142)</f>
        <v>0.6</v>
      </c>
      <c r="K13161" s="7" t="n">
        <f aca="false">(Sens!J13141+Sens!K13141)/(Sens!J13142+Sens!K13142)</f>
        <v>0.6</v>
      </c>
    </row>
    <row r="13162" customFormat="false" ht="17.15" hidden="false" customHeight="false" outlineLevel="0" collapsed="false">
      <c r="A13162" s="0" t="s">
        <v>989</v>
      </c>
      <c r="B13162" s="0" t="s">
        <v>98</v>
      </c>
      <c r="D13162" s="6" t="n">
        <f aca="false">Sens!D13156-Sens!D13161*(Sens!D13158+Sens!D13160)-Sens!D13159</f>
        <v>8.35701406163072</v>
      </c>
      <c r="E13162" s="6" t="n">
        <f aca="false">Sens!E13156-Sens!E13161*(Sens!E13158+Sens!E13160)-Sens!E13159</f>
        <v>18.7103224860238</v>
      </c>
      <c r="F13162" s="6" t="n">
        <f aca="false">Sens!F13156-Sens!F13161*(Sens!F13158+Sens!F13160)-Sens!F13159</f>
        <v>35.0947222830189</v>
      </c>
      <c r="G13162" s="6" t="n">
        <f aca="false">Sens!G13156-Sens!G13161*(Sens!G13158+Sens!G13160)-Sens!G13159</f>
        <v>52.9609920712477</v>
      </c>
      <c r="H13162" s="6" t="n">
        <f aca="false">Sens!H13156-Sens!H13161*(Sens!H13158+Sens!H13160)-Sens!H13159</f>
        <v>66.4405822844005</v>
      </c>
      <c r="I13162" s="6" t="n">
        <f aca="false">Sens!I13156-Sens!I13161*(Sens!I13158+Sens!I13160)-Sens!I13159</f>
        <v>84.7749393938279</v>
      </c>
      <c r="J13162" s="6" t="n">
        <f aca="false">Sens!J13156-Sens!J13161*(Sens!J13158+Sens!J13160)-Sens!J13159</f>
        <v>97.6526264137382</v>
      </c>
      <c r="K13162" s="6" t="n">
        <f aca="false">Sens!K13156-Sens!K13161*(Sens!K13158+Sens!K13160)-Sens!K13159</f>
        <v>105.965358412527</v>
      </c>
    </row>
    <row r="13163" customFormat="false" ht="17.15" hidden="false" customHeight="false" outlineLevel="0" collapsed="false">
      <c r="A13163" s="1" t="s">
        <v>990</v>
      </c>
      <c r="B13163" s="0" t="s">
        <v>98</v>
      </c>
      <c r="D13163" s="6" t="n">
        <f aca="false">(1-Sens!D13161)*(Sens!D13158+Sens!D13160)</f>
        <v>1.42281025374069</v>
      </c>
      <c r="E13163" s="6" t="n">
        <f aca="false">(1-Sens!E13161)*(Sens!E13158+Sens!E13160)</f>
        <v>3.25095598674472</v>
      </c>
      <c r="F13163" s="6" t="n">
        <f aca="false">(1-Sens!F13161)*(Sens!F13158+Sens!F13160)</f>
        <v>6.72135810147489</v>
      </c>
      <c r="G13163" s="6" t="n">
        <f aca="false">(1-Sens!G13161)*(Sens!G13158+Sens!G13160)</f>
        <v>11.3401410201637</v>
      </c>
      <c r="H13163" s="6" t="n">
        <f aca="false">(1-Sens!H13161)*(Sens!H13158+Sens!H13160)</f>
        <v>16.1920771049557</v>
      </c>
      <c r="I13163" s="6" t="n">
        <f aca="false">(1-Sens!I13161)*(Sens!I13158+Sens!I13160)</f>
        <v>20.3917774400264</v>
      </c>
      <c r="J13163" s="6" t="n">
        <f aca="false">(1-Sens!J13161)*(Sens!J13158+Sens!J13160)</f>
        <v>23.2503960207104</v>
      </c>
      <c r="K13163" s="6" t="n">
        <f aca="false">(1-Sens!K13161)*(Sens!K13158+Sens!K13160)</f>
        <v>24.8730801087085</v>
      </c>
    </row>
    <row r="13164" customFormat="false" ht="17.15" hidden="false" customHeight="false" outlineLevel="0" collapsed="false">
      <c r="A13164" s="1" t="s">
        <v>991</v>
      </c>
      <c r="B13164" s="0" t="s">
        <v>417</v>
      </c>
      <c r="C13164" s="8" t="n">
        <f aca="false">cxit_open</f>
        <v>27.5918995</v>
      </c>
      <c r="D13164" s="8" t="n">
        <f aca="false">cxit_open</f>
        <v>27.5918995</v>
      </c>
      <c r="E13164" s="8" t="n">
        <f aca="false">cxit_open</f>
        <v>27.5918995</v>
      </c>
      <c r="F13164" s="8" t="n">
        <f aca="false">((a_g3_27-nonnv*a_mai)*tk_cxit_gb300+nonnv*a_mai*nv_hold_mai*tk_cxit_vr200+(1-a_g3_27)*tk_cxit_vr200)</f>
        <v>32.4975576</v>
      </c>
      <c r="G13164" s="8" t="n">
        <f aca="false">((a_g3_28-nonnv*a_mai)*tk_cxit_gb300+nonnv*a_mai*nv_hold_mai*tk_cxit_vr200+(1-a_g3_28)*tk_cxit_vr200)</f>
        <v>34.6372088</v>
      </c>
      <c r="H13164" s="8" t="n">
        <f aca="false">((a_g3_29-nonnv*a_mai)*tk_cxit_gb300+nonnv*a_mai*nv_hold_mai*tk_cxit_vr200+(1-a_g3_29)*tk_cxit_vr200)</f>
        <v>35.7070344</v>
      </c>
      <c r="I13164" s="8" t="n">
        <f aca="false">((a_g3_29-nonnv*a_mai)*tk_cxit_gb300+nonnv*a_mai*nv_hold_mai*tk_cxit_vr200+(1-a_g3_29)*tk_cxit_vr200)</f>
        <v>35.7070344</v>
      </c>
      <c r="J13164" s="8" t="n">
        <f aca="false">((a_g3_29-nonnv*a_mai)*tk_cxit_gb300+nonnv*a_mai*nv_hold_mai*tk_cxit_vr200+(1-a_g3_29)*tk_cxit_vr200)</f>
        <v>35.7070344</v>
      </c>
      <c r="K13164" s="8" t="n">
        <f aca="false">((a_g3_29-nonnv*a_mai)*tk_cxit_gb300+nonnv*a_mai*nv_hold_mai*tk_cxit_vr200+(1-a_g3_29)*tk_cxit_vr200)</f>
        <v>35.7070344</v>
      </c>
      <c r="L13164" s="12" t="s">
        <v>992</v>
      </c>
    </row>
    <row r="13165" customFormat="false" ht="17.15" hidden="false" customHeight="false" outlineLevel="0" collapsed="false">
      <c r="A13165" s="0" t="s">
        <v>993</v>
      </c>
      <c r="B13165" s="0" t="s">
        <v>459</v>
      </c>
      <c r="F13165" s="30" t="n">
        <f aca="false">Sens!C13144*IF(Sens!F13137-Sens!C13137=life_it,1,0)+Sens!D13144*IF(Sens!F13137-Sens!D13137=life_it,1,0)+Sens!E13144*IF(Sens!F13137-Sens!E13137=life_it,1,0)</f>
        <v>0</v>
      </c>
      <c r="G13165" s="30" t="n">
        <f aca="false">Sens!C13144*IF(Sens!G13137-Sens!C13137=life_it,1,0)+Sens!D13144*IF(Sens!G13137-Sens!D13137=life_it,1,0)+Sens!E13144*IF(Sens!G13137-Sens!E13137=life_it,1,0)+Sens!F13144*IF(Sens!G13137-Sens!F13137=life_it,1,0)</f>
        <v>0</v>
      </c>
      <c r="H13165" s="30" t="n">
        <f aca="false">Sens!C13144*IF(Sens!H13137-Sens!C13137=life_it,1,0)+Sens!D13144*IF(Sens!H13137-Sens!D13137=life_it,1,0)+Sens!E13144*IF(Sens!H13137-Sens!E13137=life_it,1,0)+Sens!F13144*IF(Sens!H13137-Sens!F13137=life_it,1,0)+Sens!G13144*IF(Sens!H13137-Sens!G13137=life_it,1,0)</f>
        <v>0</v>
      </c>
      <c r="I13165" s="30" t="n">
        <f aca="false">Sens!C13144*IF(Sens!I13137-Sens!C13137=life_it,1,0)+Sens!D13144*IF(Sens!I13137-Sens!D13137=life_it,1,0)+Sens!E13144*IF(Sens!I13137-Sens!E13137=life_it,1,0)+Sens!F13144*IF(Sens!I13137-Sens!F13137=life_it,1,0)+Sens!G13144*IF(Sens!I13137-Sens!G13137=life_it,1,0)+Sens!H13144*IF(Sens!I13137-Sens!H13137=life_it,1,0)</f>
        <v>816.666666666667</v>
      </c>
      <c r="J13165" s="30" t="n">
        <f aca="false">Sens!C13144*IF(Sens!J13137-Sens!C13137=life_it,1,0)+Sens!D13144*IF(Sens!J13137-Sens!D13137=life_it,1,0)+Sens!E13144*IF(Sens!J13137-Sens!E13137=life_it,1,0)+Sens!F13144*IF(Sens!J13137-Sens!F13137=life_it,1,0)+Sens!G13144*IF(Sens!J13137-Sens!G13137=life_it,1,0)+Sens!H13144*IF(Sens!J13137-Sens!H13137=life_it,1,0)+Sens!I13144*IF(Sens!J13137-Sens!I13137=life_it,1,0)</f>
        <v>1233.33333333333</v>
      </c>
      <c r="K13165" s="30" t="n">
        <f aca="false">Sens!C13144*IF(Sens!K13137-Sens!C13137=life_it,1,0)+Sens!D13144*IF(Sens!K13137-Sens!D13137=life_it,1,0)+Sens!E13144*IF(Sens!K13137-Sens!E13137=life_it,1,0)+Sens!F13144*IF(Sens!K13137-Sens!F13137=life_it,1,0)+Sens!G13144*IF(Sens!K13137-Sens!G13137=life_it,1,0)+Sens!H13144*IF(Sens!K13137-Sens!H13137=life_it,1,0)+Sens!I13144*IF(Sens!K13137-Sens!I13137=life_it,1,0)+Sens!J13144*IF(Sens!K13137-Sens!J13137=life_it,1,0)</f>
        <v>2450</v>
      </c>
      <c r="L13165" s="1" t="s">
        <v>994</v>
      </c>
    </row>
    <row r="13166" customFormat="false" ht="17.15" hidden="false" customHeight="false" outlineLevel="0" collapsed="false">
      <c r="A13166" s="0" t="s">
        <v>995</v>
      </c>
      <c r="B13166" s="0" t="s">
        <v>98</v>
      </c>
      <c r="C13166" s="6" t="n">
        <f aca="false">Sens!C13144*Sens!C13164/1000</f>
        <v>22.5333845916667</v>
      </c>
      <c r="D13166" s="6" t="n">
        <f aca="false">Sens!D13144*Sens!D13164/1000</f>
        <v>34.0300093833333</v>
      </c>
      <c r="E13166" s="6" t="n">
        <f aca="false">Sens!E13144*Sens!E13164/1000</f>
        <v>67.600153775</v>
      </c>
      <c r="F13166" s="6" t="n">
        <f aca="false">(Sens!F13144+Sens!F13165)*Sens!F13164/1000</f>
        <v>136.51872432512</v>
      </c>
      <c r="G13166" s="6" t="n">
        <f aca="false">(Sens!G13144+Sens!G13165)*Sens!G13164/1000</f>
        <v>157.399275932048</v>
      </c>
      <c r="H13166" s="6" t="n">
        <f aca="false">(Sens!H13144+Sens!H13165)*Sens!H13164/1000</f>
        <v>162.260804347512</v>
      </c>
      <c r="I13166" s="6" t="n">
        <f aca="false">(Sens!I13144+Sens!I13165)*Sens!I13164/1000</f>
        <v>144.136569485434</v>
      </c>
      <c r="J13166" s="6" t="n">
        <f aca="false">(Sens!J13144+Sens!J13165)*Sens!J13164/1000</f>
        <v>114.029037357864</v>
      </c>
      <c r="K13166" s="6" t="n">
        <f aca="false">(Sens!K13144+Sens!K13165)*Sens!K13164/1000</f>
        <v>113.437085350975</v>
      </c>
    </row>
    <row r="13167" customFormat="false" ht="17.15" hidden="false" customHeight="false" outlineLevel="0" collapsed="false">
      <c r="A13167" s="0" t="s">
        <v>996</v>
      </c>
      <c r="B13167" s="0" t="s">
        <v>98</v>
      </c>
      <c r="C13167" s="6" t="n">
        <f aca="false">Sens!C13144*self_build*tk_cxfac/1000</f>
        <v>6.2083</v>
      </c>
      <c r="D13167" s="6" t="n">
        <f aca="false">Sens!D13144*self_build*tk_cxfac/1000</f>
        <v>9.3758</v>
      </c>
      <c r="E13167" s="6" t="n">
        <f aca="false">Sens!E13144*self_build*tk_cxfac/1000</f>
        <v>18.6249</v>
      </c>
      <c r="F13167" s="6" t="n">
        <f aca="false">Sens!F13144*self_build*tk_cxfac/1000</f>
        <v>31.935179717</v>
      </c>
      <c r="G13167" s="6" t="n">
        <f aca="false">Sens!G13144*self_build*tk_cxfac/1000</f>
        <v>34.545199717</v>
      </c>
      <c r="H13167" s="6" t="n">
        <f aca="false">Sens!H13144*self_build*tk_cxfac/1000</f>
        <v>34.545199717</v>
      </c>
      <c r="I13167" s="6" t="n">
        <f aca="false">Sens!I13144*self_build*tk_cxfac/1000</f>
        <v>24.4782641361767</v>
      </c>
      <c r="J13167" s="6" t="n">
        <f aca="false">Sens!J13144*self_build*tk_cxfac/1000</f>
        <v>14.9008938380769</v>
      </c>
      <c r="K13167" s="6" t="n">
        <f aca="false">Sens!K13144*self_build*tk_cxfac/1000</f>
        <v>5.52576771375761</v>
      </c>
    </row>
    <row r="13168" customFormat="false" ht="17.15" hidden="false" customHeight="false" outlineLevel="0" collapsed="false">
      <c r="A13168" s="0" t="s">
        <v>997</v>
      </c>
      <c r="B13168" s="0" t="s">
        <v>98</v>
      </c>
      <c r="F13168" s="15" t="n">
        <f aca="false">capex_floor27-Sens!F13166-Sens!F13167-Sens!F13264</f>
        <v>-0.0799631154216058</v>
      </c>
      <c r="L13168" s="12" t="s">
        <v>998</v>
      </c>
    </row>
    <row r="13169" customFormat="false" ht="17.15" hidden="false" customHeight="false" outlineLevel="0" collapsed="false">
      <c r="A13169" s="0" t="s">
        <v>999</v>
      </c>
      <c r="B13169" s="0" t="s">
        <v>98</v>
      </c>
      <c r="F13169" s="6" t="n">
        <f aca="false">MAX(0,Sens!F13168)</f>
        <v>0</v>
      </c>
    </row>
    <row r="13170" customFormat="false" ht="17.15" hidden="false" customHeight="false" outlineLevel="0" collapsed="false">
      <c r="A13170" s="0" t="s">
        <v>1000</v>
      </c>
      <c r="B13170" s="0" t="s">
        <v>98</v>
      </c>
      <c r="C13170" s="6" t="n">
        <f aca="false">Sens!C13166</f>
        <v>22.5333845916667</v>
      </c>
      <c r="D13170" s="6" t="n">
        <f aca="false">Sens!D13166</f>
        <v>34.0300093833333</v>
      </c>
      <c r="E13170" s="6" t="n">
        <f aca="false">Sens!E13166</f>
        <v>67.600153775</v>
      </c>
      <c r="F13170" s="6" t="n">
        <f aca="false">Sens!F13166</f>
        <v>136.51872432512</v>
      </c>
      <c r="G13170" s="6" t="n">
        <f aca="false">Sens!G13166</f>
        <v>157.399275932048</v>
      </c>
      <c r="H13170" s="6" t="n">
        <f aca="false">Sens!H13166</f>
        <v>162.260804347512</v>
      </c>
      <c r="I13170" s="6" t="n">
        <f aca="false">Sens!I13166</f>
        <v>144.136569485434</v>
      </c>
      <c r="J13170" s="6" t="n">
        <f aca="false">Sens!J13166</f>
        <v>114.029037357864</v>
      </c>
      <c r="K13170" s="6" t="n">
        <f aca="false">Sens!K13166</f>
        <v>113.437085350975</v>
      </c>
    </row>
    <row r="13171" customFormat="false" ht="17.15" hidden="false" customHeight="false" outlineLevel="0" collapsed="false">
      <c r="A13171" s="0" t="s">
        <v>1001</v>
      </c>
      <c r="B13171" s="0" t="s">
        <v>98</v>
      </c>
      <c r="C13171" s="6" t="n">
        <f aca="false">Sens!C13170+Sens!C13167</f>
        <v>28.7416845916667</v>
      </c>
      <c r="D13171" s="6" t="n">
        <f aca="false">Sens!D13170+Sens!D13167</f>
        <v>43.4058093833333</v>
      </c>
      <c r="E13171" s="6" t="n">
        <f aca="false">Sens!E13170+Sens!E13167</f>
        <v>86.225053775</v>
      </c>
      <c r="F13171" s="6" t="n">
        <f aca="false">Sens!F13170+Sens!F13167</f>
        <v>168.45390404212</v>
      </c>
      <c r="G13171" s="6" t="n">
        <f aca="false">Sens!G13170+Sens!G13167</f>
        <v>191.944475649048</v>
      </c>
      <c r="H13171" s="6" t="n">
        <f aca="false">Sens!H13170+Sens!H13167</f>
        <v>196.806004064512</v>
      </c>
      <c r="I13171" s="6" t="n">
        <f aca="false">Sens!I13170+Sens!I13167</f>
        <v>168.61483362161</v>
      </c>
      <c r="J13171" s="6" t="n">
        <f aca="false">Sens!J13170+Sens!J13167</f>
        <v>128.92993119594</v>
      </c>
      <c r="K13171" s="6" t="n">
        <f aca="false">Sens!K13170+Sens!K13167</f>
        <v>118.962853064733</v>
      </c>
      <c r="L13171" s="12" t="s">
        <v>1002</v>
      </c>
    </row>
    <row r="13172" customFormat="false" ht="17.15" hidden="false" customHeight="false" outlineLevel="0" collapsed="false">
      <c r="A13172" s="0" t="s">
        <v>1003</v>
      </c>
      <c r="B13172" s="0" t="s">
        <v>98</v>
      </c>
      <c r="E13172" s="6" t="n">
        <f aca="false">(Sens!C13170*IF(2&lt;life_it,1,IF(2=life_it,0.5,0))+Sens!D13170*IF(1&lt;life_it,1,IF(1=life_it,0.5,0))+Sens!E13170*0.5)/life_it</f>
        <v>15.0605784770833</v>
      </c>
      <c r="F13172" s="6" t="n">
        <f aca="false">(Sens!C13170*IF(3&lt;life_it,1,IF(3=life_it,0.5,0))+Sens!D13170*IF(2&lt;life_it,1,IF(2=life_it,0.5,0))+Sens!E13170*IF(1&lt;life_it,1,IF(1=life_it,0.5,0))+Sens!F13170*0.5)/life_it</f>
        <v>32.0704849854266</v>
      </c>
      <c r="G13172" s="6" t="n">
        <f aca="false">(Sens!C13170*IF(4&lt;life_it,1,IF(4=life_it,0.5,0))+Sens!D13170*IF(3&lt;life_it,1,IF(3=life_it,0.5,0))+Sens!E13170*IF(2&lt;life_it,1,IF(2=life_it,0.5,0))+Sens!F13170*IF(1&lt;life_it,1,IF(1=life_it,0.5,0))+Sens!G13170*0.5)/life_it</f>
        <v>56.5636516735239</v>
      </c>
      <c r="H13172" s="6" t="n">
        <f aca="false">(Sens!C13170*IF(5&lt;life_it,1,IF(5=life_it,0.5,0))+Sens!D13170*IF(4&lt;life_it,1,IF(4=life_it,0.5,0))+Sens!E13170*IF(3&lt;life_it,1,IF(3=life_it,0.5,0))+Sens!F13170*IF(2&lt;life_it,1,IF(2=life_it,0.5,0))+Sens!G13170*IF(1&lt;life_it,1,IF(1=life_it,0.5,0))+Sens!H13170*0.5)/life_it</f>
        <v>83.2019916968207</v>
      </c>
      <c r="I13172" s="6" t="n">
        <f aca="false">(Sens!C13170*IF(6&lt;life_it,1,IF(6=life_it,0.5,0))+Sens!D13170*IF(5&lt;life_it,1,IF(5=life_it,0.5,0))+Sens!E13170*IF(4&lt;life_it,1,IF(4=life_it,0.5,0))+Sens!F13170*IF(3&lt;life_it,1,IF(3=life_it,0.5,0))+Sens!G13170*IF(2&lt;life_it,1,IF(2=life_it,0.5,0))+Sens!H13170*IF(1&lt;life_it,1,IF(1=life_it,0.5,0))+Sens!I13170*0.5)/life_it</f>
        <v>106.857324133594</v>
      </c>
      <c r="J13172" s="6" t="n">
        <f aca="false">(Sens!C13170*IF(7&lt;life_it,1,IF(7=life_it,0.5,0))+Sens!D13170*IF(6&lt;life_it,1,IF(6=life_it,0.5,0))+Sens!E13170*IF(5&lt;life_it,1,IF(5=life_it,0.5,0))+Sens!F13170*IF(4&lt;life_it,1,IF(4=life_it,0.5,0))+Sens!G13170*IF(3&lt;life_it,1,IF(3=life_it,0.5,0))+Sens!H13170*IF(2&lt;life_it,1,IF(2=life_it,0.5,0))+Sens!I13170*IF(1&lt;life_it,1,IF(1=life_it,0.5,0))+Sens!J13170*0.5)/life_it</f>
        <v>123.657508539285</v>
      </c>
      <c r="K13172" s="6" t="n">
        <f aca="false">(Sens!C13170*IF(8&lt;life_it,1,IF(8=life_it,0.5,0))+Sens!D13170*IF(7&lt;life_it,1,IF(7=life_it,0.5,0))+Sens!E13170*IF(6&lt;life_it,1,IF(6=life_it,0.5,0))+Sens!F13170*IF(5&lt;life_it,1,IF(5=life_it,0.5,0))+Sens!G13170*IF(4&lt;life_it,1,IF(4=life_it,0.5,0))+Sens!H13170*IF(3&lt;life_it,1,IF(3=life_it,0.5,0))+Sens!I13170*IF(2&lt;life_it,1,IF(2=life_it,0.5,0))+Sens!J13170*IF(1&lt;life_it,1,IF(1=life_it,0.5,0))+Sens!K13170*0.5)/life_it</f>
        <v>134.143838501827</v>
      </c>
    </row>
    <row r="13173" customFormat="false" ht="17.15" hidden="false" customHeight="false" outlineLevel="0" collapsed="false">
      <c r="A13173" s="0" t="s">
        <v>1004</v>
      </c>
      <c r="B13173" s="0" t="s">
        <v>98</v>
      </c>
      <c r="E13173" s="6" t="n">
        <f aca="false">(Sens!C13167*IF(2&lt;life_fac,1,IF(2=life_fac,0.5,0))+Sens!D13167*IF(1&lt;life_fac,1,IF(1=life_fac,0.5,0))+Sens!E13167*0.5)/life_fac</f>
        <v>1.2448275</v>
      </c>
      <c r="F13173" s="6" t="n">
        <f aca="false">(Sens!C13167*IF(3&lt;life_fac,1,IF(3=life_fac,0.5,0))+Sens!D13167*IF(2&lt;life_fac,1,IF(2=life_fac,0.5,0))+Sens!E13167*IF(1&lt;life_fac,1,IF(1=life_fac,0.5,0))+Sens!F13167*0.5)/life_fac</f>
        <v>2.508829492925</v>
      </c>
      <c r="G13173" s="6" t="n">
        <f aca="false">(Sens!C13167*IF(4&lt;life_fac,1,IF(4=life_fac,0.5,0))+Sens!D13167*IF(3&lt;life_fac,1,IF(3=life_fac,0.5,0))+Sens!E13167*IF(2&lt;life_fac,1,IF(2=life_fac,0.5,0))+Sens!F13167*IF(1&lt;life_fac,1,IF(1=life_fac,0.5,0))+Sens!G13167*0.5)/life_fac</f>
        <v>4.170838978775</v>
      </c>
      <c r="H13173" s="6" t="n">
        <f aca="false">(Sens!C13167*IF(5&lt;life_fac,1,IF(5=life_fac,0.5,0))+Sens!D13167*IF(4&lt;life_fac,1,IF(4=life_fac,0.5,0))+Sens!E13167*IF(3&lt;life_fac,1,IF(3=life_fac,0.5,0))+Sens!F13167*IF(2&lt;life_fac,1,IF(2=life_fac,0.5,0))+Sens!G13167*IF(1&lt;life_fac,1,IF(1=life_fac,0.5,0))+Sens!H13167*0.5)/life_fac</f>
        <v>5.898098964625</v>
      </c>
      <c r="I13173" s="6" t="n">
        <f aca="false">(Sens!C13167*IF(6&lt;life_fac,1,IF(6=life_fac,0.5,0))+Sens!D13167*IF(5&lt;life_fac,1,IF(5=life_fac,0.5,0))+Sens!E13167*IF(4&lt;life_fac,1,IF(4=life_fac,0.5,0))+Sens!F13167*IF(3&lt;life_fac,1,IF(3=life_fac,0.5,0))+Sens!G13167*IF(2&lt;life_fac,1,IF(2=life_fac,0.5,0))+Sens!H13167*IF(1&lt;life_fac,1,IF(1=life_fac,0.5,0))+Sens!I13167*0.5)/life_fac</f>
        <v>7.37368556095442</v>
      </c>
      <c r="J13173" s="6" t="n">
        <f aca="false">(Sens!C13167*IF(7&lt;life_fac,1,IF(7=life_fac,0.5,0))+Sens!D13167*IF(6&lt;life_fac,1,IF(6=life_fac,0.5,0))+Sens!E13167*IF(5&lt;life_fac,1,IF(5=life_fac,0.5,0))+Sens!F13167*IF(4&lt;life_fac,1,IF(4=life_fac,0.5,0))+Sens!G13167*IF(3&lt;life_fac,1,IF(3=life_fac,0.5,0))+Sens!H13167*IF(2&lt;life_fac,1,IF(2=life_fac,0.5,0))+Sens!I13167*IF(1&lt;life_fac,1,IF(1=life_fac,0.5,0))+Sens!J13167*0.5)/life_fac</f>
        <v>8.35816451031075</v>
      </c>
      <c r="K13173" s="6" t="n">
        <f aca="false">(Sens!C13167*IF(8&lt;life_fac,1,IF(8=life_fac,0.5,0))+Sens!D13167*IF(7&lt;life_fac,1,IF(7=life_fac,0.5,0))+Sens!E13167*IF(6&lt;life_fac,1,IF(6=life_fac,0.5,0))+Sens!F13167*IF(5&lt;life_fac,1,IF(5=life_fac,0.5,0))+Sens!G13167*IF(4&lt;life_fac,1,IF(4=life_fac,0.5,0))+Sens!H13167*IF(3&lt;life_fac,1,IF(3=life_fac,0.5,0))+Sens!I13167*IF(2&lt;life_fac,1,IF(2=life_fac,0.5,0))+Sens!J13167*IF(1&lt;life_fac,1,IF(1=life_fac,0.5,0))+Sens!K13167*0.5)/life_fac</f>
        <v>8.86883104910662</v>
      </c>
    </row>
    <row r="13174" customFormat="false" ht="17.15" hidden="false" customHeight="false" outlineLevel="0" collapsed="false">
      <c r="A13174" s="0" t="s">
        <v>1005</v>
      </c>
      <c r="B13174" s="0" t="s">
        <v>98</v>
      </c>
      <c r="E13174" s="6" t="n">
        <f aca="false">Sens!E13172+Sens!E13173</f>
        <v>16.3054059770833</v>
      </c>
      <c r="F13174" s="6" t="n">
        <f aca="false">Sens!F13172+Sens!F13173</f>
        <v>34.5793144783516</v>
      </c>
      <c r="G13174" s="6" t="n">
        <f aca="false">Sens!G13172+Sens!G13173</f>
        <v>60.7344906522989</v>
      </c>
      <c r="H13174" s="6" t="n">
        <f aca="false">Sens!H13172+Sens!H13173</f>
        <v>89.1000906614457</v>
      </c>
      <c r="I13174" s="6" t="n">
        <f aca="false">Sens!I13172+Sens!I13173</f>
        <v>114.231009694548</v>
      </c>
      <c r="J13174" s="6" t="n">
        <f aca="false">Sens!J13172+Sens!J13173</f>
        <v>132.015673049596</v>
      </c>
      <c r="K13174" s="6" t="n">
        <f aca="false">Sens!K13172+Sens!K13173</f>
        <v>143.012669550934</v>
      </c>
    </row>
    <row r="13175" customFormat="false" ht="17.15" hidden="false" customHeight="false" outlineLevel="0" collapsed="false">
      <c r="A13175" s="0" t="s">
        <v>1006</v>
      </c>
      <c r="B13175" s="0" t="s">
        <v>98</v>
      </c>
      <c r="E13175" s="6" t="n">
        <f aca="false">Sens!E13162-Sens!E13161*Sens!E13174</f>
        <v>8.92707889977379</v>
      </c>
      <c r="F13175" s="6" t="n">
        <f aca="false">Sens!F13162-Sens!F13161*Sens!F13174</f>
        <v>14.3471335960079</v>
      </c>
      <c r="G13175" s="6" t="n">
        <f aca="false">Sens!G13162-Sens!G13161*Sens!G13174</f>
        <v>16.5202976798683</v>
      </c>
      <c r="H13175" s="6" t="n">
        <f aca="false">Sens!H13162-Sens!H13161*Sens!H13174</f>
        <v>12.9805278875331</v>
      </c>
      <c r="I13175" s="6" t="n">
        <f aca="false">Sens!I13162-Sens!I13161*Sens!I13174</f>
        <v>16.2363335770989</v>
      </c>
      <c r="J13175" s="6" t="n">
        <f aca="false">Sens!J13162-Sens!J13161*Sens!J13174</f>
        <v>18.4432225839805</v>
      </c>
      <c r="K13175" s="6" t="n">
        <f aca="false">Sens!K13162-Sens!K13161*Sens!K13174</f>
        <v>20.1577566819661</v>
      </c>
    </row>
    <row r="13176" customFormat="false" ht="17.15" hidden="false" customHeight="false" outlineLevel="0" collapsed="false">
      <c r="A13176" s="3" t="s">
        <v>1941</v>
      </c>
    </row>
    <row r="13177" customFormat="false" ht="15" hidden="false" customHeight="false" outlineLevel="0" collapsed="false">
      <c r="A13177" s="4" t="s">
        <v>43</v>
      </c>
      <c r="B13177" s="4" t="s">
        <v>65</v>
      </c>
      <c r="C13177" s="23" t="s">
        <v>942</v>
      </c>
      <c r="D13177" s="23" t="s">
        <v>943</v>
      </c>
      <c r="E13177" s="23" t="s">
        <v>944</v>
      </c>
      <c r="F13177" s="23" t="s">
        <v>945</v>
      </c>
      <c r="G13177" s="23" t="s">
        <v>946</v>
      </c>
      <c r="H13177" s="23" t="s">
        <v>947</v>
      </c>
      <c r="I13177" s="23" t="s">
        <v>948</v>
      </c>
      <c r="J13177" s="23" t="s">
        <v>949</v>
      </c>
      <c r="K13177" s="23" t="s">
        <v>950</v>
      </c>
      <c r="L13177" s="4" t="s">
        <v>47</v>
      </c>
    </row>
    <row r="13178" customFormat="false" ht="17.15" hidden="false" customHeight="false" outlineLevel="0" collapsed="false">
      <c r="A13178" s="0" t="s">
        <v>1025</v>
      </c>
      <c r="B13178" s="0" t="s">
        <v>98</v>
      </c>
      <c r="D13178" s="6" t="n">
        <f aca="false">Sens!D13156</f>
        <v>12.9359794422418</v>
      </c>
      <c r="E13178" s="6" t="n">
        <f aca="false">Sens!E13156</f>
        <v>27.8095064661409</v>
      </c>
      <c r="F13178" s="6" t="n">
        <f aca="false">Sens!F13156</f>
        <v>50.9819294352312</v>
      </c>
      <c r="G13178" s="6" t="n">
        <f aca="false">Sens!G13156</f>
        <v>76.6920436014933</v>
      </c>
      <c r="H13178" s="6" t="n">
        <f aca="false">Sens!H13156</f>
        <v>97.4495379418341</v>
      </c>
      <c r="I13178" s="6" t="n">
        <f aca="false">Sens!I13156</f>
        <v>122.083445553868</v>
      </c>
      <c r="J13178" s="6" t="n">
        <f aca="false">Sens!J13156</f>
        <v>139.249060444804</v>
      </c>
      <c r="K13178" s="6" t="n">
        <f aca="false">Sens!K13156</f>
        <v>149.995818575589</v>
      </c>
    </row>
    <row r="13179" customFormat="false" ht="17.15" hidden="false" customHeight="false" outlineLevel="0" collapsed="false">
      <c r="A13179" s="0" t="s">
        <v>1026</v>
      </c>
      <c r="B13179" s="0" t="s">
        <v>98</v>
      </c>
      <c r="D13179" s="6" t="n">
        <f aca="false">Q!L6-Sens!D13178</f>
        <v>59.6740205577583</v>
      </c>
      <c r="E13179" s="6" t="n">
        <f aca="false">Q!M6-Sens!E13178</f>
        <v>74.1284935338591</v>
      </c>
      <c r="F13179" s="6" t="n">
        <f aca="false">Q!$I$6+(Sens!F13178+Sens!E13179*(1+Sens!F13180))*(1-Q!$E$6/Q!M6)-Sens!F13178</f>
        <v>92.2699541184664</v>
      </c>
      <c r="G13179" s="6" t="n">
        <f aca="false">Sens!F13179*(1+Sens!G13180)</f>
        <v>109.630477277949</v>
      </c>
      <c r="H13179" s="6" t="n">
        <f aca="false">Sens!G13179*(1+Sens!H13180)</f>
        <v>127.293256321956</v>
      </c>
      <c r="I13179" s="6" t="n">
        <f aca="false">Sens!H13179*(1+Sens!I13180)</f>
        <v>144.360052269491</v>
      </c>
      <c r="J13179" s="6" t="n">
        <f aca="false">Sens!I13179*(1+Sens!J13180)</f>
        <v>159.811964490216</v>
      </c>
      <c r="K13179" s="6" t="n">
        <f aca="false">Sens!J13179*(1+Sens!K13180)</f>
        <v>172.596921649434</v>
      </c>
      <c r="L13179" s="12" t="s">
        <v>1027</v>
      </c>
    </row>
    <row r="13180" customFormat="false" ht="15" hidden="false" customHeight="false" outlineLevel="0" collapsed="false">
      <c r="A13180" s="1" t="s">
        <v>1028</v>
      </c>
      <c r="B13180" s="0" t="s">
        <v>168</v>
      </c>
      <c r="E13180" s="7" t="n">
        <f aca="false">Sens!E13179/Sens!D13179-1</f>
        <v>0.242223883039864</v>
      </c>
      <c r="F13180" s="7" t="n">
        <f aca="false">Sens!$E$13180+(glt_azo-Sens!$E$13180)*MIN(1,(Sens!F13137-base_fy)/n_conv)</f>
        <v>0.215186569199887</v>
      </c>
      <c r="G13180" s="7" t="n">
        <f aca="false">Sens!$E$13180+(glt_azo-Sens!$E$13180)*MIN(1,(Sens!G13137-base_fy)/n_conv)</f>
        <v>0.18814925535991</v>
      </c>
      <c r="H13180" s="7" t="n">
        <f aca="false">Sens!$E$13180+(glt_azo-Sens!$E$13180)*MIN(1,(Sens!H13137-base_fy)/n_conv)</f>
        <v>0.161111941519932</v>
      </c>
      <c r="I13180" s="7" t="n">
        <f aca="false">Sens!$E$13180+(glt_azo-Sens!$E$13180)*MIN(1,(Sens!I13137-base_fy)/n_conv)</f>
        <v>0.134074627679955</v>
      </c>
      <c r="J13180" s="7" t="n">
        <f aca="false">Sens!$E$13180+(glt_azo-Sens!$E$13180)*MIN(1,(Sens!J13137-base_fy)/n_conv)</f>
        <v>0.107037313839977</v>
      </c>
      <c r="K13180" s="7" t="n">
        <f aca="false">Sens!$E$13180+(glt_azo-Sens!$E$13180)*MIN(1,(Sens!K13137-base_fy)/n_conv)</f>
        <v>0.08</v>
      </c>
    </row>
    <row r="13181" customFormat="false" ht="15" hidden="false" customHeight="false" outlineLevel="0" collapsed="false">
      <c r="A13181" s="0" t="s">
        <v>1029</v>
      </c>
      <c r="B13181" s="0" t="s">
        <v>98</v>
      </c>
      <c r="D13181" s="6" t="n">
        <f aca="false">Sens!D13178+Sens!D13179</f>
        <v>72.61</v>
      </c>
      <c r="E13181" s="6" t="n">
        <f aca="false">Sens!E13178+Sens!E13179</f>
        <v>101.938</v>
      </c>
      <c r="F13181" s="6" t="n">
        <f aca="false">Sens!F13178+Sens!F13179</f>
        <v>143.251883553698</v>
      </c>
      <c r="G13181" s="6" t="n">
        <f aca="false">Sens!G13178+Sens!G13179</f>
        <v>186.322520879442</v>
      </c>
      <c r="H13181" s="6" t="n">
        <f aca="false">Sens!H13178+Sens!H13179</f>
        <v>224.74279426379</v>
      </c>
      <c r="I13181" s="6" t="n">
        <f aca="false">Sens!I13178+Sens!I13179</f>
        <v>266.443497823359</v>
      </c>
      <c r="J13181" s="6" t="n">
        <f aca="false">Sens!J13178+Sens!J13179</f>
        <v>299.06102493502</v>
      </c>
      <c r="K13181" s="6" t="n">
        <f aca="false">Sens!K13178+Sens!K13179</f>
        <v>322.592740225023</v>
      </c>
    </row>
    <row r="13182" customFormat="false" ht="17.15" hidden="false" customHeight="false" outlineLevel="0" collapsed="false">
      <c r="A13182" s="0" t="s">
        <v>1030</v>
      </c>
      <c r="B13182" s="1" t="s">
        <v>613</v>
      </c>
      <c r="C13182" s="30" t="n">
        <f aca="false">cop_s24</f>
        <v>1</v>
      </c>
      <c r="D13182" s="30" t="n">
        <f aca="false">cop_s25</f>
        <v>5</v>
      </c>
      <c r="E13182" s="30" t="n">
        <f aca="false">cop_s26</f>
        <v>30</v>
      </c>
      <c r="F13182" s="30" t="n">
        <f aca="false">Sens!E13182+cop_add_C</f>
        <v>40</v>
      </c>
      <c r="G13182" s="30" t="n">
        <f aca="false">Sens!F13182+cop_add_C</f>
        <v>50</v>
      </c>
      <c r="H13182" s="30" t="n">
        <f aca="false">Sens!G13182+cop_add_C</f>
        <v>60</v>
      </c>
      <c r="I13182" s="30" t="n">
        <f aca="false">Sens!H13182+cop_add_C*cop_tail</f>
        <v>65</v>
      </c>
      <c r="J13182" s="30" t="n">
        <f aca="false">Sens!I13182+cop_add_C*cop_tail</f>
        <v>70</v>
      </c>
      <c r="K13182" s="30" t="n">
        <f aca="false">Sens!J13182+cop_add_C*cop_tail</f>
        <v>75</v>
      </c>
      <c r="L13182" s="12" t="s">
        <v>1031</v>
      </c>
    </row>
    <row r="13183" customFormat="false" ht="17.15" hidden="false" customHeight="false" outlineLevel="0" collapsed="false">
      <c r="A13183" s="0" t="s">
        <v>1032</v>
      </c>
      <c r="B13183" s="0" t="s">
        <v>98</v>
      </c>
      <c r="D13183" s="6" t="n">
        <f aca="false">(Sens!C13182+Sens!D13182)/2*cop_px*12/1000</f>
        <v>0.9</v>
      </c>
      <c r="E13183" s="6" t="n">
        <f aca="false">(Sens!D13182+Sens!E13182)/2*cop_px*12/1000</f>
        <v>5.25</v>
      </c>
      <c r="F13183" s="6" t="n">
        <f aca="false">(Sens!E13182+Sens!F13182)/2*cop_px*12/1000</f>
        <v>10.5</v>
      </c>
      <c r="G13183" s="6" t="n">
        <f aca="false">(Sens!F13182+Sens!G13182)/2*cop_px*12/1000</f>
        <v>13.5</v>
      </c>
      <c r="H13183" s="6" t="n">
        <f aca="false">(Sens!G13182+Sens!H13182)/2*cop_px*12/1000</f>
        <v>16.5</v>
      </c>
      <c r="I13183" s="6" t="n">
        <f aca="false">(Sens!H13182+Sens!I13182)/2*cop_px*12/1000</f>
        <v>18.75</v>
      </c>
      <c r="J13183" s="6" t="n">
        <f aca="false">(Sens!I13182+Sens!J13182)/2*cop_px*12/1000</f>
        <v>20.25</v>
      </c>
      <c r="K13183" s="6" t="n">
        <f aca="false">(Sens!J13182+Sens!K13182)/2*cop_px*12/1000</f>
        <v>21.75</v>
      </c>
      <c r="L13183" s="1" t="s">
        <v>1033</v>
      </c>
    </row>
    <row r="13184" customFormat="false" ht="17.15" hidden="false" customHeight="false" outlineLevel="0" collapsed="false">
      <c r="A13184" s="0" t="s">
        <v>1034</v>
      </c>
      <c r="B13184" s="0" t="s">
        <v>98</v>
      </c>
      <c r="D13184" s="6" t="n">
        <f aca="false">Q!L7-Sens!D13183</f>
        <v>83.705</v>
      </c>
      <c r="E13184" s="6" t="n">
        <f aca="false">Q!M7-Sens!E13183</f>
        <v>95.049</v>
      </c>
      <c r="F13184" s="6" t="n">
        <f aca="false">Q!$I$7+(Sens!E13184*(1+Sens!F13185)+Sens!F13183)*(1-Q!$E$7/Q!M7)-Sens!F13183</f>
        <v>106.938354189776</v>
      </c>
      <c r="G13184" s="6" t="n">
        <f aca="false">Sens!F13184*(1+Sens!G13185)</f>
        <v>119.095360443801</v>
      </c>
      <c r="H13184" s="6" t="n">
        <f aca="false">Sens!G13184*(1+Sens!H13185)</f>
        <v>131.333811964563</v>
      </c>
      <c r="I13184" s="6" t="n">
        <f aca="false">Sens!H13184*(1+Sens!I13185)</f>
        <v>143.395665319381</v>
      </c>
      <c r="J13184" s="6" t="n">
        <f aca="false">Sens!I13184*(1+Sens!J13185)</f>
        <v>154.999327755573</v>
      </c>
      <c r="K13184" s="6" t="n">
        <f aca="false">Sens!J13184*(1+Sens!K13185)</f>
        <v>165.849280698463</v>
      </c>
      <c r="L13184" s="12" t="s">
        <v>1035</v>
      </c>
    </row>
    <row r="13185" customFormat="false" ht="15" hidden="false" customHeight="false" outlineLevel="0" collapsed="false">
      <c r="A13185" s="1" t="s">
        <v>1028</v>
      </c>
      <c r="B13185" s="0" t="s">
        <v>168</v>
      </c>
      <c r="E13185" s="7" t="n">
        <f aca="false">Sens!E13184/Sens!D13184-1</f>
        <v>0.135523564900544</v>
      </c>
      <c r="F13185" s="7" t="n">
        <f aca="false">Sens!$E$13185+(glt_m365b-Sens!$E$13185)*MIN(1,(Sens!F13137-base_fy)/n_conv)</f>
        <v>0.124602970750453</v>
      </c>
      <c r="G13185" s="7" t="n">
        <f aca="false">Sens!$E$13185+(glt_m365b-Sens!$E$13185)*MIN(1,(Sens!G13137-base_fy)/n_conv)</f>
        <v>0.113682376600363</v>
      </c>
      <c r="H13185" s="7" t="n">
        <f aca="false">Sens!$E$13185+(glt_m365b-Sens!$E$13185)*MIN(1,(Sens!H13137-base_fy)/n_conv)</f>
        <v>0.102761782450272</v>
      </c>
      <c r="I13185" s="7" t="n">
        <f aca="false">Sens!$E$13185+(glt_m365b-Sens!$E$13185)*MIN(1,(Sens!I13137-base_fy)/n_conv)</f>
        <v>0.0918411883001813</v>
      </c>
      <c r="J13185" s="7" t="n">
        <f aca="false">Sens!$E$13185+(glt_m365b-Sens!$E$13185)*MIN(1,(Sens!J13137-base_fy)/n_conv)</f>
        <v>0.0809205941500906</v>
      </c>
      <c r="K13185" s="7" t="n">
        <f aca="false">Sens!$E$13185+(glt_m365b-Sens!$E$13185)*MIN(1,(Sens!K13137-base_fy)/n_conv)</f>
        <v>0.07</v>
      </c>
    </row>
    <row r="13186" customFormat="false" ht="15" hidden="false" customHeight="false" outlineLevel="0" collapsed="false">
      <c r="A13186" s="0" t="s">
        <v>1036</v>
      </c>
      <c r="B13186" s="0" t="s">
        <v>98</v>
      </c>
      <c r="D13186" s="6" t="n">
        <f aca="false">Sens!D13184+Sens!D13183</f>
        <v>84.605</v>
      </c>
      <c r="E13186" s="6" t="n">
        <f aca="false">Sens!E13184+Sens!E13183</f>
        <v>100.299</v>
      </c>
      <c r="F13186" s="6" t="n">
        <f aca="false">Sens!F13184+Sens!F13183</f>
        <v>117.438354189776</v>
      </c>
      <c r="G13186" s="6" t="n">
        <f aca="false">Sens!G13184+Sens!G13183</f>
        <v>132.595360443801</v>
      </c>
      <c r="H13186" s="6" t="n">
        <f aca="false">Sens!H13184+Sens!H13183</f>
        <v>147.833811964563</v>
      </c>
      <c r="I13186" s="6" t="n">
        <f aca="false">Sens!I13184+Sens!I13183</f>
        <v>162.145665319381</v>
      </c>
      <c r="J13186" s="6" t="n">
        <f aca="false">Sens!J13184+Sens!J13183</f>
        <v>175.249327755573</v>
      </c>
      <c r="K13186" s="6" t="n">
        <f aca="false">Sens!K13184+Sens!K13183</f>
        <v>187.599280698463</v>
      </c>
    </row>
    <row r="13187" customFormat="false" ht="17.15" hidden="false" customHeight="false" outlineLevel="0" collapsed="false">
      <c r="A13187" s="0" t="s">
        <v>1037</v>
      </c>
      <c r="B13187" s="0" t="s">
        <v>98</v>
      </c>
      <c r="D13187" s="6" t="n">
        <f aca="false">Q!L8</f>
        <v>35.391</v>
      </c>
      <c r="E13187" s="6" t="n">
        <f aca="false">Q!M8</f>
        <v>37.285</v>
      </c>
      <c r="F13187" s="6" t="n">
        <f aca="false">Q!$I$8+(Q!M8-Q!$E$8)*(1+Sens!F13188)</f>
        <v>38.3851437782675</v>
      </c>
      <c r="G13187" s="6" t="n">
        <f aca="false">Sens!F13187*(1+Sens!G13188)</f>
        <v>40.0105353288615</v>
      </c>
      <c r="H13187" s="6" t="n">
        <f aca="false">Sens!G13187*(1+Sens!H13188)</f>
        <v>41.4812512033683</v>
      </c>
      <c r="I13187" s="6" t="n">
        <f aca="false">Sens!H13187*(1+Sens!I13188)</f>
        <v>42.7743107216329</v>
      </c>
      <c r="J13187" s="6" t="n">
        <f aca="false">Sens!I13187*(1+Sens!J13188)</f>
        <v>43.8687373064601</v>
      </c>
      <c r="K13187" s="6" t="n">
        <f aca="false">Sens!J13187*(1+Sens!K13188)</f>
        <v>44.7461120525893</v>
      </c>
      <c r="L13187" s="12" t="s">
        <v>1038</v>
      </c>
    </row>
    <row r="13188" customFormat="false" ht="15" hidden="false" customHeight="false" outlineLevel="0" collapsed="false">
      <c r="A13188" s="1" t="s">
        <v>1028</v>
      </c>
      <c r="B13188" s="0" t="s">
        <v>168</v>
      </c>
      <c r="E13188" s="7" t="n">
        <f aca="false">Sens!E13187/Sens!D13187-1</f>
        <v>0.0535164307309768</v>
      </c>
      <c r="F13188" s="7" t="n">
        <f aca="false">Sens!$E$13188+(glt_lic-Sens!$E$13188)*MIN(1,(Sens!F13137-base_fy)/n_conv)</f>
        <v>0.0479303589424807</v>
      </c>
      <c r="G13188" s="7" t="n">
        <f aca="false">Sens!$E$13188+(glt_lic-Sens!$E$13188)*MIN(1,(Sens!G13137-base_fy)/n_conv)</f>
        <v>0.0423442871539845</v>
      </c>
      <c r="H13188" s="7" t="n">
        <f aca="false">Sens!$E$13188+(glt_lic-Sens!$E$13188)*MIN(1,(Sens!H13137-base_fy)/n_conv)</f>
        <v>0.0367582153654884</v>
      </c>
      <c r="I13188" s="7" t="n">
        <f aca="false">Sens!$E$13188+(glt_lic-Sens!$E$13188)*MIN(1,(Sens!I13137-base_fy)/n_conv)</f>
        <v>0.0311721435769923</v>
      </c>
      <c r="J13188" s="7" t="n">
        <f aca="false">Sens!$E$13188+(glt_lic-Sens!$E$13188)*MIN(1,(Sens!J13137-base_fy)/n_conv)</f>
        <v>0.0255860717884961</v>
      </c>
      <c r="K13188" s="7" t="n">
        <f aca="false">Sens!$E$13188+(glt_lic-Sens!$E$13188)*MIN(1,(Sens!K13137-base_fy)/n_conv)</f>
        <v>0.02</v>
      </c>
    </row>
    <row r="13189" customFormat="false" ht="17.15" hidden="false" customHeight="false" outlineLevel="0" collapsed="false">
      <c r="A13189" s="0" t="s">
        <v>1039</v>
      </c>
      <c r="B13189" s="0" t="s">
        <v>98</v>
      </c>
      <c r="D13189" s="6" t="n">
        <f aca="false">Q!L9</f>
        <v>18.417</v>
      </c>
      <c r="E13189" s="6" t="n">
        <f aca="false">Q!M9</f>
        <v>20.345</v>
      </c>
      <c r="F13189" s="6" t="n">
        <f aca="false">Q!$I$9+(Q!M9-Q!$E$9)*(1+Sens!F13190)</f>
        <v>22.3161797133988</v>
      </c>
      <c r="G13189" s="6" t="n">
        <f aca="false">Sens!F13189*(1+Sens!G13190)</f>
        <v>24.3943499673233</v>
      </c>
      <c r="H13189" s="6" t="n">
        <f aca="false">Sens!G13189*(1+Sens!H13190)</f>
        <v>26.5250243109019</v>
      </c>
      <c r="I13189" s="6" t="n">
        <f aca="false">Sens!H13189*(1+Sens!I13190)</f>
        <v>28.6884573538181</v>
      </c>
      <c r="J13189" s="6" t="n">
        <f aca="false">Sens!I13189*(1+Sens!J13190)</f>
        <v>30.8624968052127</v>
      </c>
      <c r="K13189" s="6" t="n">
        <f aca="false">Sens!J13189*(1+Sens!K13190)</f>
        <v>33.0228715815776</v>
      </c>
      <c r="L13189" s="12" t="s">
        <v>1038</v>
      </c>
    </row>
    <row r="13190" customFormat="false" ht="15" hidden="false" customHeight="false" outlineLevel="0" collapsed="false">
      <c r="A13190" s="1" t="s">
        <v>1028</v>
      </c>
      <c r="B13190" s="0" t="s">
        <v>168</v>
      </c>
      <c r="E13190" s="7" t="n">
        <f aca="false">Sens!E13189/Sens!D13189-1</f>
        <v>0.104685888038225</v>
      </c>
      <c r="F13190" s="7" t="n">
        <f aca="false">Sens!$E$13190+(glt_ind-Sens!$E$13190)*MIN(1,(Sens!F13137-base_fy)/n_conv)</f>
        <v>0.0989049066985211</v>
      </c>
      <c r="G13190" s="7" t="n">
        <f aca="false">Sens!$E$13190+(glt_ind-Sens!$E$13190)*MIN(1,(Sens!G13137-base_fy)/n_conv)</f>
        <v>0.0931239253588169</v>
      </c>
      <c r="H13190" s="7" t="n">
        <f aca="false">Sens!$E$13190+(glt_ind-Sens!$E$13190)*MIN(1,(Sens!H13137-base_fy)/n_conv)</f>
        <v>0.0873429440191127</v>
      </c>
      <c r="I13190" s="7" t="n">
        <f aca="false">Sens!$E$13190+(glt_ind-Sens!$E$13190)*MIN(1,(Sens!I13137-base_fy)/n_conv)</f>
        <v>0.0815619626794085</v>
      </c>
      <c r="J13190" s="7" t="n">
        <f aca="false">Sens!$E$13190+(glt_ind-Sens!$E$13190)*MIN(1,(Sens!J13137-base_fy)/n_conv)</f>
        <v>0.0757809813397042</v>
      </c>
      <c r="K13190" s="7" t="n">
        <f aca="false">Sens!$E$13190+(glt_ind-Sens!$E$13190)*MIN(1,(Sens!K13137-base_fy)/n_conv)</f>
        <v>0.07</v>
      </c>
    </row>
    <row r="13191" customFormat="false" ht="17.15" hidden="false" customHeight="false" outlineLevel="0" collapsed="false">
      <c r="A13191" s="0" t="s">
        <v>1040</v>
      </c>
      <c r="B13191" s="0" t="s">
        <v>98</v>
      </c>
      <c r="D13191" s="6" t="n">
        <f aca="false">Q!L10</f>
        <v>7.76</v>
      </c>
      <c r="E13191" s="6" t="n">
        <f aca="false">Q!M10</f>
        <v>8.26</v>
      </c>
      <c r="F13191" s="6" t="n">
        <f aca="false">Q!$I$10+(Q!M10-Q!$E$10)*(1+Sens!F13192)</f>
        <v>8.75372082474227</v>
      </c>
      <c r="G13191" s="6" t="n">
        <f aca="false">Sens!F13191*(1+Sens!G13192)</f>
        <v>9.33399324642364</v>
      </c>
      <c r="H13191" s="6" t="n">
        <f aca="false">Sens!G13191*(1+Sens!H13192)</f>
        <v>9.96139155535851</v>
      </c>
      <c r="I13191" s="6" t="n">
        <f aca="false">Sens!H13191*(1+Sens!I13192)</f>
        <v>10.6402039077391</v>
      </c>
      <c r="J13191" s="6" t="n">
        <f aca="false">Sens!I13191*(1+Sens!J13192)</f>
        <v>11.3751458271397</v>
      </c>
      <c r="K13191" s="6" t="n">
        <f aca="false">Sens!J13191*(1+Sens!K13192)</f>
        <v>12.1714060350394</v>
      </c>
      <c r="L13191" s="12" t="s">
        <v>1038</v>
      </c>
    </row>
    <row r="13192" customFormat="false" ht="15" hidden="false" customHeight="false" outlineLevel="0" collapsed="false">
      <c r="A13192" s="1" t="s">
        <v>1028</v>
      </c>
      <c r="B13192" s="0" t="s">
        <v>168</v>
      </c>
      <c r="E13192" s="7" t="n">
        <f aca="false">Sens!E13191/Sens!D13191-1</f>
        <v>0.0644329896907216</v>
      </c>
      <c r="F13192" s="7" t="n">
        <f aca="false">Sens!$E$13192+(glt_fro-Sens!$E$13192)*MIN(1,(Sens!F13137-base_fy)/n_conv)</f>
        <v>0.065360824742268</v>
      </c>
      <c r="G13192" s="7" t="n">
        <f aca="false">Sens!$E$13192+(glt_fro-Sens!$E$13192)*MIN(1,(Sens!G13137-base_fy)/n_conv)</f>
        <v>0.0662886597938144</v>
      </c>
      <c r="H13192" s="7" t="n">
        <f aca="false">Sens!$E$13192+(glt_fro-Sens!$E$13192)*MIN(1,(Sens!H13137-base_fy)/n_conv)</f>
        <v>0.0672164948453608</v>
      </c>
      <c r="I13192" s="7" t="n">
        <f aca="false">Sens!$E$13192+(glt_fro-Sens!$E$13192)*MIN(1,(Sens!I13137-base_fy)/n_conv)</f>
        <v>0.0681443298969072</v>
      </c>
      <c r="J13192" s="7" t="n">
        <f aca="false">Sens!$E$13192+(glt_fro-Sens!$E$13192)*MIN(1,(Sens!J13137-base_fy)/n_conv)</f>
        <v>0.0690721649484536</v>
      </c>
      <c r="K13192" s="7" t="n">
        <f aca="false">Sens!$E$13192+(glt_fro-Sens!$E$13192)*MIN(1,(Sens!K13137-base_fy)/n_conv)</f>
        <v>0.07</v>
      </c>
    </row>
    <row r="13193" customFormat="false" ht="15" hidden="false" customHeight="false" outlineLevel="0" collapsed="false">
      <c r="A13193" s="0" t="s">
        <v>856</v>
      </c>
      <c r="B13193" s="0" t="s">
        <v>98</v>
      </c>
      <c r="D13193" s="6" t="n">
        <f aca="false">Sens!D13181+Sens!D13186+Sens!D13187+Sens!D13189+Sens!D13191</f>
        <v>218.783</v>
      </c>
      <c r="E13193" s="6" t="n">
        <f aca="false">Sens!E13181+Sens!E13186+Sens!E13187+Sens!E13189+Sens!E13191</f>
        <v>268.127</v>
      </c>
      <c r="F13193" s="6" t="n">
        <f aca="false">Sens!F13181+Sens!F13186+Sens!F13187+Sens!F13189+Sens!F13191</f>
        <v>330.145282059882</v>
      </c>
      <c r="G13193" s="6" t="n">
        <f aca="false">Sens!G13181+Sens!G13186+Sens!G13187+Sens!G13189+Sens!G13191</f>
        <v>392.656759865851</v>
      </c>
      <c r="H13193" s="6" t="n">
        <f aca="false">Sens!H13181+Sens!H13186+Sens!H13187+Sens!H13189+Sens!H13191</f>
        <v>450.544273297982</v>
      </c>
      <c r="I13193" s="6" t="n">
        <f aca="false">Sens!I13181+Sens!I13186+Sens!I13187+Sens!I13189+Sens!I13191</f>
        <v>510.69213512593</v>
      </c>
      <c r="J13193" s="6" t="n">
        <f aca="false">Sens!J13181+Sens!J13186+Sens!J13187+Sens!J13189+Sens!J13191</f>
        <v>560.416732629406</v>
      </c>
      <c r="K13193" s="6" t="n">
        <f aca="false">Sens!K13181+Sens!K13186+Sens!K13187+Sens!K13189+Sens!K13191</f>
        <v>600.132410592692</v>
      </c>
    </row>
    <row r="13194" customFormat="false" ht="17.15" hidden="false" customHeight="false" outlineLevel="0" collapsed="false">
      <c r="A13194" s="0" t="s">
        <v>1041</v>
      </c>
      <c r="B13194" s="0" t="s">
        <v>98</v>
      </c>
      <c r="D13194" s="6" t="n">
        <f aca="false">Q!L13</f>
        <v>22.171</v>
      </c>
      <c r="E13194" s="6" t="n">
        <f aca="false">Q!M13</f>
        <v>24.835</v>
      </c>
      <c r="F13194" s="6" t="n">
        <f aca="false">Q!$I$13+(Q!M13-Q!$E$13)*(1+Sens!F13195)</f>
        <v>27.5591895660247</v>
      </c>
      <c r="G13194" s="6" t="n">
        <f aca="false">Sens!F13194*(1+Sens!G13195)</f>
        <v>30.4098563144583</v>
      </c>
      <c r="H13194" s="6" t="n">
        <f aca="false">Sens!G13194*(1+Sens!H13195)</f>
        <v>33.3011792571777</v>
      </c>
      <c r="I13194" s="6" t="n">
        <f aca="false">Sens!H13194*(1+Sens!I13195)</f>
        <v>36.189023797112</v>
      </c>
      <c r="J13194" s="6" t="n">
        <f aca="false">Sens!I13194*(1+Sens!J13195)</f>
        <v>39.0247773769199</v>
      </c>
      <c r="K13194" s="6" t="n">
        <f aca="false">Sens!J13194*(1+Sens!K13195)</f>
        <v>41.7565117933043</v>
      </c>
      <c r="L13194" s="12" t="s">
        <v>1038</v>
      </c>
    </row>
    <row r="13195" customFormat="false" ht="15" hidden="false" customHeight="false" outlineLevel="0" collapsed="false">
      <c r="A13195" s="1" t="s">
        <v>1028</v>
      </c>
      <c r="B13195" s="0" t="s">
        <v>168</v>
      </c>
      <c r="E13195" s="7" t="n">
        <f aca="false">Sens!E13194/Sens!D13194-1</f>
        <v>0.120156961796942</v>
      </c>
      <c r="F13195" s="7" t="n">
        <f aca="false">Sens!$E$13195+(glt_srch-Sens!$E$13195)*MIN(1,(Sens!F13137-base_fy)/n_conv)</f>
        <v>0.111797468164118</v>
      </c>
      <c r="G13195" s="7" t="n">
        <f aca="false">Sens!$E$13195+(glt_srch-Sens!$E$13195)*MIN(1,(Sens!G13137-base_fy)/n_conv)</f>
        <v>0.103437974531295</v>
      </c>
      <c r="H13195" s="7" t="n">
        <f aca="false">Sens!$E$13195+(glt_srch-Sens!$E$13195)*MIN(1,(Sens!H13137-base_fy)/n_conv)</f>
        <v>0.095078480898471</v>
      </c>
      <c r="I13195" s="7" t="n">
        <f aca="false">Sens!$E$13195+(glt_srch-Sens!$E$13195)*MIN(1,(Sens!I13137-base_fy)/n_conv)</f>
        <v>0.0867189872656474</v>
      </c>
      <c r="J13195" s="7" t="n">
        <f aca="false">Sens!$E$13195+(glt_srch-Sens!$E$13195)*MIN(1,(Sens!J13137-base_fy)/n_conv)</f>
        <v>0.0783594936328237</v>
      </c>
      <c r="K13195" s="7" t="n">
        <f aca="false">Sens!$E$13195+(glt_srch-Sens!$E$13195)*MIN(1,(Sens!K13137-base_fy)/n_conv)</f>
        <v>0.07</v>
      </c>
    </row>
    <row r="13196" customFormat="false" ht="17.15" hidden="false" customHeight="false" outlineLevel="0" collapsed="false">
      <c r="A13196" s="0" t="s">
        <v>1042</v>
      </c>
      <c r="B13196" s="0" t="s">
        <v>98</v>
      </c>
      <c r="D13196" s="6" t="n">
        <f aca="false">Q!L14</f>
        <v>23.455</v>
      </c>
      <c r="E13196" s="6" t="n">
        <f aca="false">Q!M14</f>
        <v>21.79</v>
      </c>
      <c r="F13196" s="6" t="n">
        <f aca="false">Q!$I$14+(Q!M14-Q!$E$14)*(1+Sens!F13197)</f>
        <v>20.7520981041711</v>
      </c>
      <c r="G13196" s="6" t="n">
        <f aca="false">Sens!F13196*(1+Sens!G13197)</f>
        <v>19.9083593495882</v>
      </c>
      <c r="H13196" s="6" t="n">
        <f aca="false">Sens!G13196*(1+Sens!H13197)</f>
        <v>19.4008256265831</v>
      </c>
      <c r="I13196" s="6" t="n">
        <f aca="false">Sens!H13196*(1+Sens!I13197)</f>
        <v>19.200434522122</v>
      </c>
      <c r="J13196" s="6" t="n">
        <f aca="false">Sens!I13196*(1+Sens!J13197)</f>
        <v>19.2932782348507</v>
      </c>
      <c r="K13196" s="6" t="n">
        <f aca="false">Sens!J13196*(1+Sens!K13197)</f>
        <v>19.6791437995477</v>
      </c>
      <c r="L13196" s="12" t="s">
        <v>1038</v>
      </c>
    </row>
    <row r="13197" customFormat="false" ht="15" hidden="false" customHeight="false" outlineLevel="0" collapsed="false">
      <c r="A13197" s="1" t="s">
        <v>1028</v>
      </c>
      <c r="B13197" s="0" t="s">
        <v>168</v>
      </c>
      <c r="E13197" s="7" t="n">
        <f aca="false">Sens!E13196/Sens!D13196-1</f>
        <v>-0.0709869963760392</v>
      </c>
      <c r="F13197" s="7" t="n">
        <f aca="false">Sens!$E$13197+(glt_xbox-Sens!$E$13197)*MIN(1,(Sens!F13137-base_fy)/n_conv)</f>
        <v>-0.0558224969800327</v>
      </c>
      <c r="G13197" s="7" t="n">
        <f aca="false">Sens!$E$13197+(glt_xbox-Sens!$E$13197)*MIN(1,(Sens!G13137-base_fy)/n_conv)</f>
        <v>-0.0406579975840262</v>
      </c>
      <c r="H13197" s="7" t="n">
        <f aca="false">Sens!$E$13197+(glt_xbox-Sens!$E$13197)*MIN(1,(Sens!H13137-base_fy)/n_conv)</f>
        <v>-0.0254934981880196</v>
      </c>
      <c r="I13197" s="7" t="n">
        <f aca="false">Sens!$E$13197+(glt_xbox-Sens!$E$13197)*MIN(1,(Sens!I13137-base_fy)/n_conv)</f>
        <v>-0.0103289987920131</v>
      </c>
      <c r="J13197" s="7" t="n">
        <f aca="false">Sens!$E$13197+(glt_xbox-Sens!$E$13197)*MIN(1,(Sens!J13137-base_fy)/n_conv)</f>
        <v>0.00483550060399347</v>
      </c>
      <c r="K13197" s="7" t="n">
        <f aca="false">Sens!$E$13197+(glt_xbox-Sens!$E$13197)*MIN(1,(Sens!K13137-base_fy)/n_conv)</f>
        <v>0.02</v>
      </c>
    </row>
    <row r="13198" customFormat="false" ht="17.15" hidden="false" customHeight="false" outlineLevel="0" collapsed="false">
      <c r="A13198" s="0" t="s">
        <v>1043</v>
      </c>
      <c r="B13198" s="0" t="s">
        <v>98</v>
      </c>
      <c r="D13198" s="6" t="n">
        <f aca="false">Q!L15</f>
        <v>17.315</v>
      </c>
      <c r="E13198" s="6" t="n">
        <f aca="false">Q!M15</f>
        <v>17.087</v>
      </c>
      <c r="F13198" s="6" t="n">
        <f aca="false">Q!$I$15+(Q!M15-Q!$E$15)*(1+Sens!F13199)</f>
        <v>15.9912273250553</v>
      </c>
      <c r="G13198" s="6" t="n">
        <f aca="false">Sens!F13198*(1+Sens!G13199)</f>
        <v>15.9574562664827</v>
      </c>
      <c r="H13198" s="6" t="n">
        <f aca="false">Sens!G13198*(1+Sens!H13199)</f>
        <v>16.0119687434196</v>
      </c>
      <c r="I13198" s="6" t="n">
        <f aca="false">Sens!H13198*(1+Sens!I13199)</f>
        <v>16.1551810001948</v>
      </c>
      <c r="J13198" s="6" t="n">
        <f aca="false">Sens!I13198*(1+Sens!J13199)</f>
        <v>16.3889793892005</v>
      </c>
      <c r="K13198" s="6" t="n">
        <f aca="false">Sens!J13198*(1+Sens!K13199)</f>
        <v>16.7167589769845</v>
      </c>
      <c r="L13198" s="12" t="s">
        <v>1038</v>
      </c>
    </row>
    <row r="13199" customFormat="false" ht="15" hidden="false" customHeight="false" outlineLevel="0" collapsed="false">
      <c r="A13199" s="1" t="s">
        <v>1028</v>
      </c>
      <c r="B13199" s="0" t="s">
        <v>168</v>
      </c>
      <c r="E13199" s="7" t="n">
        <f aca="false">Sens!E13198/Sens!D13198-1</f>
        <v>-0.0131677736066995</v>
      </c>
      <c r="F13199" s="7" t="n">
        <f aca="false">Sens!$E$13199+(glt_win-Sens!$E$13199)*MIN(1,(Sens!F13137-base_fy)/n_conv)</f>
        <v>-0.00763981133891627</v>
      </c>
      <c r="G13199" s="7" t="n">
        <f aca="false">Sens!$E$13199+(glt_win-Sens!$E$13199)*MIN(1,(Sens!G13137-base_fy)/n_conv)</f>
        <v>-0.00211184907113301</v>
      </c>
      <c r="H13199" s="7" t="n">
        <f aca="false">Sens!$E$13199+(glt_win-Sens!$E$13199)*MIN(1,(Sens!H13137-base_fy)/n_conv)</f>
        <v>0.00341611319665024</v>
      </c>
      <c r="I13199" s="7" t="n">
        <f aca="false">Sens!$E$13199+(glt_win-Sens!$E$13199)*MIN(1,(Sens!I13137-base_fy)/n_conv)</f>
        <v>0.00894407546443349</v>
      </c>
      <c r="J13199" s="7" t="n">
        <f aca="false">Sens!$E$13199+(glt_win-Sens!$E$13199)*MIN(1,(Sens!J13137-base_fy)/n_conv)</f>
        <v>0.0144720377322168</v>
      </c>
      <c r="K13199" s="7" t="n">
        <f aca="false">Sens!$E$13199+(glt_win-Sens!$E$13199)*MIN(1,(Sens!K13137-base_fy)/n_conv)</f>
        <v>0.02</v>
      </c>
    </row>
    <row r="13200" customFormat="false" ht="15" hidden="false" customHeight="false" outlineLevel="0" collapsed="false">
      <c r="A13200" s="0" t="s">
        <v>870</v>
      </c>
      <c r="B13200" s="0" t="s">
        <v>98</v>
      </c>
      <c r="D13200" s="6" t="n">
        <f aca="false">Sens!D13194+Sens!D13196+Sens!D13198</f>
        <v>62.941</v>
      </c>
      <c r="E13200" s="6" t="n">
        <f aca="false">Sens!E13194+Sens!E13196+Sens!E13198</f>
        <v>63.712</v>
      </c>
      <c r="F13200" s="6" t="n">
        <f aca="false">Sens!F13194+Sens!F13196+Sens!F13198</f>
        <v>64.3025149952511</v>
      </c>
      <c r="G13200" s="6" t="n">
        <f aca="false">Sens!G13194+Sens!G13196+Sens!G13198</f>
        <v>66.2756719305292</v>
      </c>
      <c r="H13200" s="6" t="n">
        <f aca="false">Sens!H13194+Sens!H13196+Sens!H13198</f>
        <v>68.7139736271804</v>
      </c>
      <c r="I13200" s="6" t="n">
        <f aca="false">Sens!I13194+Sens!I13196+Sens!I13198</f>
        <v>71.5446393194289</v>
      </c>
      <c r="J13200" s="6" t="n">
        <f aca="false">Sens!J13194+Sens!J13196+Sens!J13198</f>
        <v>74.707035000971</v>
      </c>
      <c r="K13200" s="6" t="n">
        <f aca="false">Sens!K13194+Sens!K13196+Sens!K13198</f>
        <v>78.1524145698365</v>
      </c>
    </row>
    <row r="13201" customFormat="false" ht="15" hidden="false" customHeight="false" outlineLevel="0" collapsed="false">
      <c r="A13201" s="1" t="s">
        <v>1044</v>
      </c>
      <c r="B13201" s="0" t="s">
        <v>98</v>
      </c>
      <c r="D13201" s="6" t="n">
        <f aca="false">Sens!D13193+Sens!D13200</f>
        <v>281.724</v>
      </c>
      <c r="E13201" s="6" t="n">
        <f aca="false">Sens!E13193+Sens!E13200</f>
        <v>331.839</v>
      </c>
      <c r="F13201" s="6" t="n">
        <f aca="false">Sens!F13193+Sens!F13200</f>
        <v>394.447797055133</v>
      </c>
      <c r="G13201" s="6" t="n">
        <f aca="false">Sens!G13193+Sens!G13200</f>
        <v>458.93243179638</v>
      </c>
      <c r="H13201" s="6" t="n">
        <f aca="false">Sens!H13193+Sens!H13200</f>
        <v>519.258246925162</v>
      </c>
      <c r="I13201" s="6" t="n">
        <f aca="false">Sens!I13193+Sens!I13200</f>
        <v>582.236774445359</v>
      </c>
      <c r="J13201" s="6" t="n">
        <f aca="false">Sens!J13193+Sens!J13200</f>
        <v>635.123767630377</v>
      </c>
      <c r="K13201" s="6" t="n">
        <f aca="false">Sens!K13193+Sens!K13200</f>
        <v>678.284825162529</v>
      </c>
    </row>
    <row r="13202" customFormat="false" ht="15" hidden="false" customHeight="false" outlineLevel="0" collapsed="false">
      <c r="A13202" s="26" t="s">
        <v>1045</v>
      </c>
      <c r="B13202" s="31" t="s">
        <v>98</v>
      </c>
      <c r="C13202" s="31"/>
      <c r="D13202" s="27" t="n">
        <f aca="false">(Sens!D13181+Sens!D13186+Sens!D13187+Sens!D13189+Sens!D13191-Sens!D13193)+(Sens!D13194+Sens!D13196+Sens!D13198-Sens!D13200)+(Sens!D13193-Q!L5)+(Sens!D13200-Q!L12)+(Sens!D13181-Q!L6)+(Sens!D13186-Q!L7)</f>
        <v>0</v>
      </c>
      <c r="E13202" s="27" t="n">
        <f aca="false">(Sens!E13181+Sens!E13186+Sens!E13187+Sens!E13189+Sens!E13191-Sens!E13193)+(Sens!E13194+Sens!E13196+Sens!E13198-Sens!E13200)+(Sens!E13193-Q!M5)+(Sens!E13200-Q!M12)+(Sens!E13181-Q!M6)+(Sens!E13186-Q!M7)</f>
        <v>0</v>
      </c>
      <c r="F13202" s="27" t="n">
        <f aca="false">(Sens!F13181+Sens!F13186+Sens!F13187+Sens!F13189+Sens!F13191-Sens!F13193)+(Sens!F13194+Sens!F13196+Sens!F13198-Sens!F13200)</f>
        <v>0</v>
      </c>
      <c r="G13202" s="27" t="n">
        <f aca="false">(Sens!G13181+Sens!G13186+Sens!G13187+Sens!G13189+Sens!G13191-Sens!G13193)+(Sens!G13194+Sens!G13196+Sens!G13198-Sens!G13200)</f>
        <v>0</v>
      </c>
      <c r="H13202" s="27" t="n">
        <f aca="false">(Sens!H13181+Sens!H13186+Sens!H13187+Sens!H13189+Sens!H13191-Sens!H13193)+(Sens!H13194+Sens!H13196+Sens!H13198-Sens!H13200)</f>
        <v>0</v>
      </c>
      <c r="I13202" s="27" t="n">
        <f aca="false">(Sens!I13181+Sens!I13186+Sens!I13187+Sens!I13189+Sens!I13191-Sens!I13193)+(Sens!I13194+Sens!I13196+Sens!I13198-Sens!I13200)</f>
        <v>0</v>
      </c>
      <c r="J13202" s="27" t="n">
        <f aca="false">(Sens!J13181+Sens!J13186+Sens!J13187+Sens!J13189+Sens!J13191-Sens!J13193)+(Sens!J13194+Sens!J13196+Sens!J13198-Sens!J13200)</f>
        <v>0</v>
      </c>
      <c r="K13202" s="27" t="n">
        <f aca="false">(Sens!K13181+Sens!K13186+Sens!K13187+Sens!K13189+Sens!K13191-Sens!K13193)+(Sens!K13194+Sens!K13196+Sens!K13198-Sens!K13200)</f>
        <v>0</v>
      </c>
    </row>
    <row r="13203" customFormat="false" ht="17.15" hidden="false" customHeight="false" outlineLevel="0" collapsed="false">
      <c r="A13203" s="3" t="s">
        <v>1942</v>
      </c>
    </row>
    <row r="13204" customFormat="false" ht="15" hidden="false" customHeight="false" outlineLevel="0" collapsed="false">
      <c r="A13204" s="4" t="s">
        <v>43</v>
      </c>
      <c r="B13204" s="4" t="s">
        <v>65</v>
      </c>
      <c r="C13204" s="23" t="s">
        <v>942</v>
      </c>
      <c r="D13204" s="23" t="s">
        <v>943</v>
      </c>
      <c r="E13204" s="23" t="s">
        <v>944</v>
      </c>
      <c r="F13204" s="23" t="s">
        <v>945</v>
      </c>
      <c r="G13204" s="23" t="s">
        <v>946</v>
      </c>
      <c r="H13204" s="23" t="s">
        <v>947</v>
      </c>
      <c r="I13204" s="23" t="s">
        <v>948</v>
      </c>
      <c r="J13204" s="23" t="s">
        <v>949</v>
      </c>
      <c r="K13204" s="23" t="s">
        <v>950</v>
      </c>
      <c r="L13204" s="4" t="s">
        <v>47</v>
      </c>
    </row>
    <row r="13205" customFormat="false" ht="15" hidden="false" customHeight="false" outlineLevel="0" collapsed="false">
      <c r="A13205" s="0" t="s">
        <v>1029</v>
      </c>
      <c r="B13205" s="0" t="s">
        <v>98</v>
      </c>
      <c r="D13205" s="6" t="n">
        <f aca="false">Sens!D13181</f>
        <v>72.61</v>
      </c>
      <c r="E13205" s="6" t="n">
        <f aca="false">Sens!E13181</f>
        <v>101.938</v>
      </c>
      <c r="F13205" s="6" t="n">
        <f aca="false">Sens!F13181</f>
        <v>143.251883553698</v>
      </c>
      <c r="G13205" s="6" t="n">
        <f aca="false">Sens!G13181</f>
        <v>186.322520879442</v>
      </c>
      <c r="H13205" s="6" t="n">
        <f aca="false">Sens!H13181</f>
        <v>224.74279426379</v>
      </c>
      <c r="I13205" s="6" t="n">
        <f aca="false">Sens!I13181</f>
        <v>266.443497823359</v>
      </c>
      <c r="J13205" s="6" t="n">
        <f aca="false">Sens!J13181</f>
        <v>299.06102493502</v>
      </c>
      <c r="K13205" s="6" t="n">
        <f aca="false">Sens!K13181</f>
        <v>322.592740225023</v>
      </c>
    </row>
    <row r="13206" customFormat="false" ht="17.15" hidden="false" customHeight="false" outlineLevel="0" collapsed="false">
      <c r="A13206" s="0" t="s">
        <v>1025</v>
      </c>
      <c r="B13206" s="0" t="s">
        <v>98</v>
      </c>
      <c r="D13206" s="6" t="n">
        <f aca="false">Sens!D13178</f>
        <v>12.9359794422418</v>
      </c>
      <c r="E13206" s="6" t="n">
        <f aca="false">Sens!E13178</f>
        <v>27.8095064661409</v>
      </c>
      <c r="F13206" s="6" t="n">
        <f aca="false">Sens!F13178</f>
        <v>50.9819294352312</v>
      </c>
      <c r="G13206" s="6" t="n">
        <f aca="false">Sens!G13178</f>
        <v>76.6920436014933</v>
      </c>
      <c r="H13206" s="6" t="n">
        <f aca="false">Sens!H13178</f>
        <v>97.4495379418341</v>
      </c>
      <c r="I13206" s="6" t="n">
        <f aca="false">Sens!I13178</f>
        <v>122.083445553868</v>
      </c>
      <c r="J13206" s="6" t="n">
        <f aca="false">Sens!J13178</f>
        <v>139.249060444804</v>
      </c>
      <c r="K13206" s="6" t="n">
        <f aca="false">Sens!K13178</f>
        <v>149.995818575589</v>
      </c>
    </row>
    <row r="13207" customFormat="false" ht="17.15" hidden="false" customHeight="false" outlineLevel="0" collapsed="false">
      <c r="A13207" s="0" t="s">
        <v>1056</v>
      </c>
      <c r="B13207" s="0" t="s">
        <v>98</v>
      </c>
      <c r="D13207" s="6" t="n">
        <f aca="false">Sens!D13179</f>
        <v>59.6740205577583</v>
      </c>
      <c r="E13207" s="6" t="n">
        <f aca="false">Sens!E13179</f>
        <v>74.1284935338591</v>
      </c>
      <c r="F13207" s="6" t="n">
        <f aca="false">Sens!F13179</f>
        <v>92.2699541184664</v>
      </c>
      <c r="G13207" s="6" t="n">
        <f aca="false">Sens!G13179</f>
        <v>109.630477277949</v>
      </c>
      <c r="H13207" s="6" t="n">
        <f aca="false">Sens!H13179</f>
        <v>127.293256321956</v>
      </c>
      <c r="I13207" s="6" t="n">
        <f aca="false">Sens!I13179</f>
        <v>144.360052269491</v>
      </c>
      <c r="J13207" s="6" t="n">
        <f aca="false">Sens!J13179</f>
        <v>159.811964490216</v>
      </c>
      <c r="K13207" s="6" t="n">
        <f aca="false">Sens!K13179</f>
        <v>172.596921649434</v>
      </c>
    </row>
    <row r="13208" customFormat="false" ht="15" hidden="false" customHeight="false" outlineLevel="0" collapsed="false">
      <c r="A13208" s="0" t="s">
        <v>1036</v>
      </c>
      <c r="B13208" s="0" t="s">
        <v>98</v>
      </c>
      <c r="D13208" s="6" t="n">
        <f aca="false">Sens!D13186</f>
        <v>84.605</v>
      </c>
      <c r="E13208" s="6" t="n">
        <f aca="false">Sens!E13186</f>
        <v>100.299</v>
      </c>
      <c r="F13208" s="6" t="n">
        <f aca="false">Sens!F13186</f>
        <v>117.438354189776</v>
      </c>
      <c r="G13208" s="6" t="n">
        <f aca="false">Sens!G13186</f>
        <v>132.595360443801</v>
      </c>
      <c r="H13208" s="6" t="n">
        <f aca="false">Sens!H13186</f>
        <v>147.833811964563</v>
      </c>
      <c r="I13208" s="6" t="n">
        <f aca="false">Sens!I13186</f>
        <v>162.145665319381</v>
      </c>
      <c r="J13208" s="6" t="n">
        <f aca="false">Sens!J13186</f>
        <v>175.249327755573</v>
      </c>
      <c r="K13208" s="6" t="n">
        <f aca="false">Sens!K13186</f>
        <v>187.599280698463</v>
      </c>
    </row>
    <row r="13209" customFormat="false" ht="17.15" hidden="false" customHeight="false" outlineLevel="0" collapsed="false">
      <c r="A13209" s="0" t="s">
        <v>1057</v>
      </c>
      <c r="B13209" s="0" t="s">
        <v>98</v>
      </c>
      <c r="D13209" s="6" t="n">
        <f aca="false">Sens!D13184</f>
        <v>83.705</v>
      </c>
      <c r="E13209" s="6" t="n">
        <f aca="false">Sens!E13184</f>
        <v>95.049</v>
      </c>
      <c r="F13209" s="6" t="n">
        <f aca="false">Sens!F13184</f>
        <v>106.938354189776</v>
      </c>
      <c r="G13209" s="6" t="n">
        <f aca="false">Sens!G13184</f>
        <v>119.095360443801</v>
      </c>
      <c r="H13209" s="6" t="n">
        <f aca="false">Sens!H13184</f>
        <v>131.333811964563</v>
      </c>
      <c r="I13209" s="6" t="n">
        <f aca="false">Sens!I13184</f>
        <v>143.395665319381</v>
      </c>
      <c r="J13209" s="6" t="n">
        <f aca="false">Sens!J13184</f>
        <v>154.999327755573</v>
      </c>
      <c r="K13209" s="6" t="n">
        <f aca="false">Sens!K13184</f>
        <v>165.849280698463</v>
      </c>
    </row>
    <row r="13210" customFormat="false" ht="17.15" hidden="false" customHeight="false" outlineLevel="0" collapsed="false">
      <c r="A13210" s="0" t="s">
        <v>1058</v>
      </c>
      <c r="B13210" s="0" t="s">
        <v>98</v>
      </c>
      <c r="D13210" s="6" t="n">
        <f aca="false">Sens!D13183</f>
        <v>0.9</v>
      </c>
      <c r="E13210" s="6" t="n">
        <f aca="false">Sens!E13183</f>
        <v>5.25</v>
      </c>
      <c r="F13210" s="6" t="n">
        <f aca="false">Sens!F13183</f>
        <v>10.5</v>
      </c>
      <c r="G13210" s="6" t="n">
        <f aca="false">Sens!G13183</f>
        <v>13.5</v>
      </c>
      <c r="H13210" s="6" t="n">
        <f aca="false">Sens!H13183</f>
        <v>16.5</v>
      </c>
      <c r="I13210" s="6" t="n">
        <f aca="false">Sens!I13183</f>
        <v>18.75</v>
      </c>
      <c r="J13210" s="6" t="n">
        <f aca="false">Sens!J13183</f>
        <v>20.25</v>
      </c>
      <c r="K13210" s="6" t="n">
        <f aca="false">Sens!K13183</f>
        <v>21.75</v>
      </c>
    </row>
    <row r="13211" customFormat="false" ht="15" hidden="false" customHeight="false" outlineLevel="0" collapsed="false">
      <c r="A13211" s="0" t="s">
        <v>1037</v>
      </c>
      <c r="B13211" s="0" t="s">
        <v>98</v>
      </c>
      <c r="D13211" s="6" t="n">
        <f aca="false">Sens!D13187</f>
        <v>35.391</v>
      </c>
      <c r="E13211" s="6" t="n">
        <f aca="false">Sens!E13187</f>
        <v>37.285</v>
      </c>
      <c r="F13211" s="6" t="n">
        <f aca="false">Sens!F13187</f>
        <v>38.3851437782675</v>
      </c>
      <c r="G13211" s="6" t="n">
        <f aca="false">Sens!G13187</f>
        <v>40.0105353288615</v>
      </c>
      <c r="H13211" s="6" t="n">
        <f aca="false">Sens!H13187</f>
        <v>41.4812512033683</v>
      </c>
      <c r="I13211" s="6" t="n">
        <f aca="false">Sens!I13187</f>
        <v>42.7743107216329</v>
      </c>
      <c r="J13211" s="6" t="n">
        <f aca="false">Sens!J13187</f>
        <v>43.8687373064601</v>
      </c>
      <c r="K13211" s="6" t="n">
        <f aca="false">Sens!K13187</f>
        <v>44.7461120525893</v>
      </c>
    </row>
    <row r="13212" customFormat="false" ht="15" hidden="false" customHeight="false" outlineLevel="0" collapsed="false">
      <c r="A13212" s="0" t="s">
        <v>1039</v>
      </c>
      <c r="B13212" s="0" t="s">
        <v>98</v>
      </c>
      <c r="D13212" s="6" t="n">
        <f aca="false">Sens!D13189</f>
        <v>18.417</v>
      </c>
      <c r="E13212" s="6" t="n">
        <f aca="false">Sens!E13189</f>
        <v>20.345</v>
      </c>
      <c r="F13212" s="6" t="n">
        <f aca="false">Sens!F13189</f>
        <v>22.3161797133988</v>
      </c>
      <c r="G13212" s="6" t="n">
        <f aca="false">Sens!G13189</f>
        <v>24.3943499673233</v>
      </c>
      <c r="H13212" s="6" t="n">
        <f aca="false">Sens!H13189</f>
        <v>26.5250243109019</v>
      </c>
      <c r="I13212" s="6" t="n">
        <f aca="false">Sens!I13189</f>
        <v>28.6884573538181</v>
      </c>
      <c r="J13212" s="6" t="n">
        <f aca="false">Sens!J13189</f>
        <v>30.8624968052127</v>
      </c>
      <c r="K13212" s="6" t="n">
        <f aca="false">Sens!K13189</f>
        <v>33.0228715815776</v>
      </c>
    </row>
    <row r="13213" customFormat="false" ht="15" hidden="false" customHeight="false" outlineLevel="0" collapsed="false">
      <c r="A13213" s="0" t="s">
        <v>1040</v>
      </c>
      <c r="B13213" s="0" t="s">
        <v>98</v>
      </c>
      <c r="D13213" s="6" t="n">
        <f aca="false">Sens!D13191</f>
        <v>7.76</v>
      </c>
      <c r="E13213" s="6" t="n">
        <f aca="false">Sens!E13191</f>
        <v>8.26</v>
      </c>
      <c r="F13213" s="6" t="n">
        <f aca="false">Sens!F13191</f>
        <v>8.75372082474227</v>
      </c>
      <c r="G13213" s="6" t="n">
        <f aca="false">Sens!G13191</f>
        <v>9.33399324642364</v>
      </c>
      <c r="H13213" s="6" t="n">
        <f aca="false">Sens!H13191</f>
        <v>9.96139155535851</v>
      </c>
      <c r="I13213" s="6" t="n">
        <f aca="false">Sens!I13191</f>
        <v>10.6402039077391</v>
      </c>
      <c r="J13213" s="6" t="n">
        <f aca="false">Sens!J13191</f>
        <v>11.3751458271397</v>
      </c>
      <c r="K13213" s="6" t="n">
        <f aca="false">Sens!K13191</f>
        <v>12.1714060350394</v>
      </c>
    </row>
    <row r="13214" customFormat="false" ht="15" hidden="false" customHeight="false" outlineLevel="0" collapsed="false">
      <c r="A13214" s="0" t="s">
        <v>856</v>
      </c>
      <c r="B13214" s="0" t="s">
        <v>98</v>
      </c>
      <c r="D13214" s="6" t="n">
        <f aca="false">Sens!D13193</f>
        <v>218.783</v>
      </c>
      <c r="E13214" s="6" t="n">
        <f aca="false">Sens!E13193</f>
        <v>268.127</v>
      </c>
      <c r="F13214" s="6" t="n">
        <f aca="false">Sens!F13193</f>
        <v>330.145282059882</v>
      </c>
      <c r="G13214" s="6" t="n">
        <f aca="false">Sens!G13193</f>
        <v>392.656759865851</v>
      </c>
      <c r="H13214" s="6" t="n">
        <f aca="false">Sens!H13193</f>
        <v>450.544273297982</v>
      </c>
      <c r="I13214" s="6" t="n">
        <f aca="false">Sens!I13193</f>
        <v>510.69213512593</v>
      </c>
      <c r="J13214" s="6" t="n">
        <f aca="false">Sens!J13193</f>
        <v>560.416732629406</v>
      </c>
      <c r="K13214" s="6" t="n">
        <f aca="false">Sens!K13193</f>
        <v>600.132410592692</v>
      </c>
    </row>
    <row r="13215" customFormat="false" ht="15" hidden="false" customHeight="false" outlineLevel="0" collapsed="false">
      <c r="A13215" s="0" t="s">
        <v>1041</v>
      </c>
      <c r="B13215" s="0" t="s">
        <v>98</v>
      </c>
      <c r="D13215" s="6" t="n">
        <f aca="false">Sens!D13194</f>
        <v>22.171</v>
      </c>
      <c r="E13215" s="6" t="n">
        <f aca="false">Sens!E13194</f>
        <v>24.835</v>
      </c>
      <c r="F13215" s="6" t="n">
        <f aca="false">Sens!F13194</f>
        <v>27.5591895660247</v>
      </c>
      <c r="G13215" s="6" t="n">
        <f aca="false">Sens!G13194</f>
        <v>30.4098563144583</v>
      </c>
      <c r="H13215" s="6" t="n">
        <f aca="false">Sens!H13194</f>
        <v>33.3011792571777</v>
      </c>
      <c r="I13215" s="6" t="n">
        <f aca="false">Sens!I13194</f>
        <v>36.189023797112</v>
      </c>
      <c r="J13215" s="6" t="n">
        <f aca="false">Sens!J13194</f>
        <v>39.0247773769199</v>
      </c>
      <c r="K13215" s="6" t="n">
        <f aca="false">Sens!K13194</f>
        <v>41.7565117933043</v>
      </c>
    </row>
    <row r="13216" customFormat="false" ht="15" hidden="false" customHeight="false" outlineLevel="0" collapsed="false">
      <c r="A13216" s="0" t="s">
        <v>1042</v>
      </c>
      <c r="B13216" s="0" t="s">
        <v>98</v>
      </c>
      <c r="D13216" s="6" t="n">
        <f aca="false">Sens!D13196</f>
        <v>23.455</v>
      </c>
      <c r="E13216" s="6" t="n">
        <f aca="false">Sens!E13196</f>
        <v>21.79</v>
      </c>
      <c r="F13216" s="6" t="n">
        <f aca="false">Sens!F13196</f>
        <v>20.7520981041711</v>
      </c>
      <c r="G13216" s="6" t="n">
        <f aca="false">Sens!G13196</f>
        <v>19.9083593495882</v>
      </c>
      <c r="H13216" s="6" t="n">
        <f aca="false">Sens!H13196</f>
        <v>19.4008256265831</v>
      </c>
      <c r="I13216" s="6" t="n">
        <f aca="false">Sens!I13196</f>
        <v>19.200434522122</v>
      </c>
      <c r="J13216" s="6" t="n">
        <f aca="false">Sens!J13196</f>
        <v>19.2932782348507</v>
      </c>
      <c r="K13216" s="6" t="n">
        <f aca="false">Sens!K13196</f>
        <v>19.6791437995477</v>
      </c>
    </row>
    <row r="13217" customFormat="false" ht="15" hidden="false" customHeight="false" outlineLevel="0" collapsed="false">
      <c r="A13217" s="0" t="s">
        <v>1043</v>
      </c>
      <c r="B13217" s="0" t="s">
        <v>98</v>
      </c>
      <c r="D13217" s="6" t="n">
        <f aca="false">Sens!D13198</f>
        <v>17.315</v>
      </c>
      <c r="E13217" s="6" t="n">
        <f aca="false">Sens!E13198</f>
        <v>17.087</v>
      </c>
      <c r="F13217" s="6" t="n">
        <f aca="false">Sens!F13198</f>
        <v>15.9912273250553</v>
      </c>
      <c r="G13217" s="6" t="n">
        <f aca="false">Sens!G13198</f>
        <v>15.9574562664827</v>
      </c>
      <c r="H13217" s="6" t="n">
        <f aca="false">Sens!H13198</f>
        <v>16.0119687434196</v>
      </c>
      <c r="I13217" s="6" t="n">
        <f aca="false">Sens!I13198</f>
        <v>16.1551810001948</v>
      </c>
      <c r="J13217" s="6" t="n">
        <f aca="false">Sens!J13198</f>
        <v>16.3889793892005</v>
      </c>
      <c r="K13217" s="6" t="n">
        <f aca="false">Sens!K13198</f>
        <v>16.7167589769845</v>
      </c>
    </row>
    <row r="13218" customFormat="false" ht="15" hidden="false" customHeight="false" outlineLevel="0" collapsed="false">
      <c r="A13218" s="0" t="s">
        <v>870</v>
      </c>
      <c r="B13218" s="0" t="s">
        <v>98</v>
      </c>
      <c r="D13218" s="6" t="n">
        <f aca="false">Sens!D13200</f>
        <v>62.941</v>
      </c>
      <c r="E13218" s="6" t="n">
        <f aca="false">Sens!E13200</f>
        <v>63.712</v>
      </c>
      <c r="F13218" s="6" t="n">
        <f aca="false">Sens!F13200</f>
        <v>64.3025149952511</v>
      </c>
      <c r="G13218" s="6" t="n">
        <f aca="false">Sens!G13200</f>
        <v>66.2756719305292</v>
      </c>
      <c r="H13218" s="6" t="n">
        <f aca="false">Sens!H13200</f>
        <v>68.7139736271804</v>
      </c>
      <c r="I13218" s="6" t="n">
        <f aca="false">Sens!I13200</f>
        <v>71.5446393194289</v>
      </c>
      <c r="J13218" s="6" t="n">
        <f aca="false">Sens!J13200</f>
        <v>74.707035000971</v>
      </c>
      <c r="K13218" s="6" t="n">
        <f aca="false">Sens!K13200</f>
        <v>78.1524145698365</v>
      </c>
    </row>
    <row r="13219" customFormat="false" ht="15" hidden="false" customHeight="false" outlineLevel="0" collapsed="false">
      <c r="A13219" s="1" t="s">
        <v>1059</v>
      </c>
      <c r="B13219" s="0" t="s">
        <v>98</v>
      </c>
      <c r="D13219" s="6" t="n">
        <f aca="false">Sens!D13201</f>
        <v>281.724</v>
      </c>
      <c r="E13219" s="6" t="n">
        <f aca="false">Sens!E13201</f>
        <v>331.839</v>
      </c>
      <c r="F13219" s="6" t="n">
        <f aca="false">Sens!F13201</f>
        <v>394.447797055133</v>
      </c>
      <c r="G13219" s="6" t="n">
        <f aca="false">Sens!G13201</f>
        <v>458.93243179638</v>
      </c>
      <c r="H13219" s="6" t="n">
        <f aca="false">Sens!H13201</f>
        <v>519.258246925162</v>
      </c>
      <c r="I13219" s="6" t="n">
        <f aca="false">Sens!I13201</f>
        <v>582.236774445359</v>
      </c>
      <c r="J13219" s="6" t="n">
        <f aca="false">Sens!J13201</f>
        <v>635.123767630377</v>
      </c>
      <c r="K13219" s="6" t="n">
        <f aca="false">Sens!K13201</f>
        <v>678.284825162529</v>
      </c>
    </row>
    <row r="13220" customFormat="false" ht="15" hidden="false" customHeight="false" outlineLevel="0" collapsed="false">
      <c r="A13220" s="1" t="s">
        <v>1060</v>
      </c>
      <c r="B13220" s="0" t="s">
        <v>168</v>
      </c>
      <c r="E13220" s="7" t="n">
        <f aca="false">Sens!E13219/Sens!D13219-1</f>
        <v>0.177886867998467</v>
      </c>
      <c r="F13220" s="7" t="n">
        <f aca="false">Sens!F13219/Sens!E13219-1</f>
        <v>0.188672208676897</v>
      </c>
      <c r="G13220" s="7" t="n">
        <f aca="false">Sens!G13219/Sens!F13219-1</f>
        <v>0.16348078306604</v>
      </c>
      <c r="H13220" s="7" t="n">
        <f aca="false">Sens!H13219/Sens!G13219-1</f>
        <v>0.131448141271366</v>
      </c>
      <c r="I13220" s="7" t="n">
        <f aca="false">Sens!I13219/Sens!H13219-1</f>
        <v>0.121285560495438</v>
      </c>
      <c r="J13220" s="7" t="n">
        <f aca="false">Sens!J13219/Sens!I13219-1</f>
        <v>0.0908341683422489</v>
      </c>
      <c r="K13220" s="7" t="n">
        <f aca="false">Sens!K13219/Sens!J13219-1</f>
        <v>0.0679569238814417</v>
      </c>
    </row>
    <row r="13221" customFormat="false" ht="17.15" hidden="false" customHeight="false" outlineLevel="0" collapsed="false">
      <c r="A13221" s="26" t="s">
        <v>1061</v>
      </c>
      <c r="B13221" s="31" t="s">
        <v>98</v>
      </c>
      <c r="C13221" s="31"/>
      <c r="D13221" s="27" t="n">
        <f aca="false">(Sens!D13214+Sens!D13218-Sens!D13219)+(Sens!D13206+Sens!D13207-Sens!D13205)+(Sens!D13209+Sens!D13210-Sens!D13208)+(Sens!D13219-Q!L18)</f>
        <v>0</v>
      </c>
      <c r="E13221" s="27" t="n">
        <f aca="false">(Sens!E13214+Sens!E13218-Sens!E13219)+(Sens!E13206+Sens!E13207-Sens!E13205)+(Sens!E13209+Sens!E13210-Sens!E13208)+(Sens!E13219-Q!M18)</f>
        <v>0</v>
      </c>
      <c r="F13221" s="27" t="n">
        <f aca="false">(Sens!F13214+Sens!F13218-Sens!F13219)+(Sens!F13206+Sens!F13207-Sens!F13205)+(Sens!F13209+Sens!F13210-Sens!F13208)</f>
        <v>0</v>
      </c>
      <c r="G13221" s="27" t="n">
        <f aca="false">(Sens!G13214+Sens!G13218-Sens!G13219)+(Sens!G13206+Sens!G13207-Sens!G13205)+(Sens!G13209+Sens!G13210-Sens!G13208)</f>
        <v>0</v>
      </c>
      <c r="H13221" s="27" t="n">
        <f aca="false">(Sens!H13214+Sens!H13218-Sens!H13219)+(Sens!H13206+Sens!H13207-Sens!H13205)+(Sens!H13209+Sens!H13210-Sens!H13208)</f>
        <v>0</v>
      </c>
      <c r="I13221" s="27" t="n">
        <f aca="false">(Sens!I13214+Sens!I13218-Sens!I13219)+(Sens!I13206+Sens!I13207-Sens!I13205)+(Sens!I13209+Sens!I13210-Sens!I13208)</f>
        <v>0</v>
      </c>
      <c r="J13221" s="27" t="n">
        <f aca="false">(Sens!J13214+Sens!J13218-Sens!J13219)+(Sens!J13206+Sens!J13207-Sens!J13205)+(Sens!J13209+Sens!J13210-Sens!J13208)</f>
        <v>0</v>
      </c>
      <c r="K13221" s="27" t="n">
        <f aca="false">(Sens!K13214+Sens!K13218-Sens!K13219)+(Sens!K13206+Sens!K13207-Sens!K13205)+(Sens!K13209+Sens!K13210-Sens!K13208)</f>
        <v>0</v>
      </c>
    </row>
    <row r="13222" customFormat="false" ht="17.15" hidden="false" customHeight="false" outlineLevel="0" collapsed="false">
      <c r="A13222" s="0" t="s">
        <v>1062</v>
      </c>
      <c r="B13222" s="0" t="s">
        <v>168</v>
      </c>
      <c r="E13222" s="7" t="n">
        <f aca="false">(Q!M21+Sens!E13158+Sens!E13159+Sens!E13160+Sens!E13174-Sens!E13156)/(Q!M5-Sens!E13156)</f>
        <v>0.570957350878296</v>
      </c>
      <c r="F13222" s="7" t="n">
        <f aca="false">Sens!$E$13222+dm_seg_lo</f>
        <v>0.550957350878296</v>
      </c>
      <c r="G13222" s="7" t="n">
        <f aca="false">Sens!$E$13222+dm_seg_lo</f>
        <v>0.550957350878296</v>
      </c>
      <c r="H13222" s="7" t="n">
        <f aca="false">Sens!$E$13222+dm_seg_lo</f>
        <v>0.550957350878296</v>
      </c>
      <c r="I13222" s="7" t="n">
        <f aca="false">Sens!$E$13222+dm_seg_lo</f>
        <v>0.550957350878296</v>
      </c>
      <c r="J13222" s="7" t="n">
        <f aca="false">Sens!$E$13222+dm_seg_lo</f>
        <v>0.550957350878296</v>
      </c>
      <c r="K13222" s="7" t="n">
        <f aca="false">Sens!$E$13222+dm_seg_lo</f>
        <v>0.550957350878296</v>
      </c>
      <c r="L13222" s="12" t="s">
        <v>1063</v>
      </c>
    </row>
    <row r="13223" customFormat="false" ht="17.15" hidden="false" customHeight="false" outlineLevel="0" collapsed="false">
      <c r="A13223" s="0" t="s">
        <v>884</v>
      </c>
      <c r="B13223" s="0" t="s">
        <v>98</v>
      </c>
      <c r="D13223" s="6" t="n">
        <f aca="false">Q!L21</f>
        <v>110.814</v>
      </c>
      <c r="E13223" s="6" t="n">
        <f aca="false">Q!M21</f>
        <v>136.365</v>
      </c>
      <c r="F13223" s="6" t="n">
        <f aca="false">Q!$I$21+(Sens!F13222*(Sens!F13193-Sens!F13156)+Sens!F13156-(Sens!F13158+Sens!F13159+Sens!F13160)-Sens!F13174-Sens!F13257)*(Sens!F13193-Q!$I$5)/Sens!F13193</f>
        <v>153.825689262575</v>
      </c>
      <c r="G13223" s="6" t="n">
        <f aca="false">(Sens!G13222*(Sens!G13193-Sens!G13156)+Sens!G13156-(Sens!G13158+Sens!G13159+Sens!G13160)-Sens!G13174-Sens!G13257)</f>
        <v>154.969443442808</v>
      </c>
      <c r="H13223" s="6" t="n">
        <f aca="false">(Sens!H13222*(Sens!H13193-Sens!H13156)+Sens!H13156-(Sens!H13158+Sens!H13159+Sens!H13160)-Sens!H13174-Sens!H13257)</f>
        <v>155.688554518895</v>
      </c>
      <c r="I13223" s="6" t="n">
        <f aca="false">(Sens!I13222*(Sens!I13193-Sens!I13156)+Sens!I13156-(Sens!I13158+Sens!I13159+Sens!I13160)-Sens!I13174-Sens!I13257)</f>
        <v>164.258966394163</v>
      </c>
      <c r="J13223" s="6" t="n">
        <f aca="false">(Sens!J13222*(Sens!J13193-Sens!J13156)+Sens!J13156-(Sens!J13158+Sens!J13159+Sens!J13160)-Sens!J13174-Sens!J13257)</f>
        <v>174.431982285838</v>
      </c>
      <c r="K13223" s="6" t="n">
        <f aca="false">(Sens!K13222*(Sens!K13193-Sens!K13156)+Sens!K13156-(Sens!K13158+Sens!K13159+Sens!K13160)-Sens!K13174-Sens!K13257)</f>
        <v>186.085673024011</v>
      </c>
      <c r="L13223" s="1" t="s">
        <v>1064</v>
      </c>
    </row>
    <row r="13224" customFormat="false" ht="17.15" hidden="false" customHeight="false" outlineLevel="0" collapsed="false">
      <c r="A13224" s="0" t="s">
        <v>1065</v>
      </c>
      <c r="B13224" s="0" t="s">
        <v>168</v>
      </c>
      <c r="E13224" s="7" t="n">
        <f aca="false">Q!M22/Q!M12</f>
        <v>0.296207935710698</v>
      </c>
      <c r="F13224" s="7" t="n">
        <f aca="false">Sens!$E$13224+dm_seg_lo</f>
        <v>0.276207935710698</v>
      </c>
      <c r="G13224" s="7" t="n">
        <f aca="false">Sens!$E$13224+dm_seg_lo</f>
        <v>0.276207935710698</v>
      </c>
      <c r="H13224" s="7" t="n">
        <f aca="false">Sens!$E$13224+dm_seg_lo</f>
        <v>0.276207935710698</v>
      </c>
      <c r="I13224" s="7" t="n">
        <f aca="false">Sens!$E$13224+dm_seg_lo</f>
        <v>0.276207935710698</v>
      </c>
      <c r="J13224" s="7" t="n">
        <f aca="false">Sens!$E$13224+dm_seg_lo</f>
        <v>0.276207935710698</v>
      </c>
      <c r="K13224" s="7" t="n">
        <f aca="false">Sens!$E$13224+dm_seg_lo</f>
        <v>0.276207935710698</v>
      </c>
      <c r="L13224" s="12" t="s">
        <v>1066</v>
      </c>
    </row>
    <row r="13225" customFormat="false" ht="17.15" hidden="false" customHeight="false" outlineLevel="0" collapsed="false">
      <c r="A13225" s="0" t="s">
        <v>886</v>
      </c>
      <c r="B13225" s="0" t="s">
        <v>98</v>
      </c>
      <c r="D13225" s="6" t="n">
        <f aca="false">Q!L22</f>
        <v>17.714</v>
      </c>
      <c r="E13225" s="6" t="n">
        <f aca="false">Q!M22</f>
        <v>18.872</v>
      </c>
      <c r="F13225" s="6" t="n">
        <f aca="false">Q!$I$22+(Sens!F13200-Q!$I$12)*Sens!F13224</f>
        <v>18.8410612513001</v>
      </c>
      <c r="G13225" s="6" t="n">
        <f aca="false">Sens!G13200*Sens!G13224</f>
        <v>18.3058665317709</v>
      </c>
      <c r="H13225" s="6" t="n">
        <f aca="false">Sens!H13200*Sens!H13224</f>
        <v>18.9793448100428</v>
      </c>
      <c r="I13225" s="6" t="n">
        <f aca="false">Sens!I13200*Sens!I13224</f>
        <v>19.7611971375859</v>
      </c>
      <c r="J13225" s="6" t="n">
        <f aca="false">Sens!J13200*Sens!J13224</f>
        <v>20.6346759206851</v>
      </c>
      <c r="K13225" s="6" t="n">
        <f aca="false">Sens!K13200*Sens!K13224</f>
        <v>21.5863170991412</v>
      </c>
      <c r="L13225" s="12" t="s">
        <v>1067</v>
      </c>
    </row>
    <row r="13226" customFormat="false" ht="15" hidden="false" customHeight="false" outlineLevel="0" collapsed="false">
      <c r="A13226" s="1" t="s">
        <v>1068</v>
      </c>
      <c r="B13226" s="0" t="s">
        <v>98</v>
      </c>
      <c r="D13226" s="6" t="n">
        <f aca="false">Sens!D13223+Sens!D13225</f>
        <v>128.528</v>
      </c>
      <c r="E13226" s="6" t="n">
        <f aca="false">Sens!E13223+Sens!E13225</f>
        <v>155.237</v>
      </c>
      <c r="F13226" s="6" t="n">
        <f aca="false">Sens!F13223+Sens!F13225</f>
        <v>172.666750513875</v>
      </c>
      <c r="G13226" s="6" t="n">
        <f aca="false">Sens!G13223+Sens!G13225</f>
        <v>173.275309974579</v>
      </c>
      <c r="H13226" s="6" t="n">
        <f aca="false">Sens!H13223+Sens!H13225</f>
        <v>174.667899328938</v>
      </c>
      <c r="I13226" s="6" t="n">
        <f aca="false">Sens!I13223+Sens!I13225</f>
        <v>184.020163531749</v>
      </c>
      <c r="J13226" s="6" t="n">
        <f aca="false">Sens!J13223+Sens!J13225</f>
        <v>195.066658206524</v>
      </c>
      <c r="K13226" s="6" t="n">
        <f aca="false">Sens!K13223+Sens!K13225</f>
        <v>207.671990123153</v>
      </c>
    </row>
    <row r="13227" customFormat="false" ht="15" hidden="false" customHeight="false" outlineLevel="0" collapsed="false">
      <c r="A13227" s="26" t="s">
        <v>1069</v>
      </c>
      <c r="B13227" s="31" t="s">
        <v>98</v>
      </c>
      <c r="C13227" s="31"/>
      <c r="D13227" s="27" t="n">
        <f aca="false">Sens!D13226-Q!L23</f>
        <v>0</v>
      </c>
      <c r="E13227" s="27" t="n">
        <f aca="false">Sens!E13226-Q!M23</f>
        <v>0</v>
      </c>
      <c r="F13227" s="31"/>
      <c r="G13227" s="31"/>
      <c r="H13227" s="31"/>
      <c r="I13227" s="31"/>
      <c r="J13227" s="31"/>
      <c r="K13227" s="31"/>
    </row>
    <row r="13228" customFormat="false" ht="15" hidden="false" customHeight="false" outlineLevel="0" collapsed="false">
      <c r="A13228" s="1" t="s">
        <v>1070</v>
      </c>
      <c r="B13228" s="0" t="s">
        <v>168</v>
      </c>
      <c r="D13228" s="7" t="n">
        <f aca="false">Sens!D13226/Sens!D13219</f>
        <v>0.456219562408598</v>
      </c>
      <c r="E13228" s="7" t="n">
        <f aca="false">Sens!E13226/Sens!E13219</f>
        <v>0.467808184089272</v>
      </c>
      <c r="F13228" s="7" t="n">
        <f aca="false">Sens!F13226/Sens!F13219</f>
        <v>0.437742970813806</v>
      </c>
      <c r="G13228" s="7" t="n">
        <f aca="false">Sens!G13226/Sens!G13219</f>
        <v>0.377561701831214</v>
      </c>
      <c r="H13228" s="7" t="n">
        <f aca="false">Sens!H13226/Sens!H13219</f>
        <v>0.336379634533011</v>
      </c>
      <c r="I13228" s="7" t="n">
        <f aca="false">Sens!I13226/Sens!I13219</f>
        <v>0.316057266748647</v>
      </c>
      <c r="J13228" s="7" t="n">
        <f aca="false">Sens!J13226/Sens!J13219</f>
        <v>0.307131724788556</v>
      </c>
      <c r="K13228" s="7" t="n">
        <f aca="false">Sens!K13226/Sens!K13219</f>
        <v>0.30617224861752</v>
      </c>
    </row>
    <row r="13229" customFormat="false" ht="17.15" hidden="false" customHeight="false" outlineLevel="0" collapsed="false">
      <c r="A13229" s="1" t="s">
        <v>1071</v>
      </c>
      <c r="B13229" s="0" t="s">
        <v>98</v>
      </c>
      <c r="F13229" s="6" t="n">
        <f aca="false">Sens!F13244</f>
        <v>10.7012787979473</v>
      </c>
      <c r="G13229" s="6" t="n">
        <f aca="false">Sens!G13244</f>
        <v>28.009646674932</v>
      </c>
      <c r="H13229" s="6" t="n">
        <f aca="false">Sens!H13244</f>
        <v>46.791205501382</v>
      </c>
      <c r="I13229" s="6" t="n">
        <f aca="false">Sens!I13244</f>
        <v>63.5417778126444</v>
      </c>
      <c r="J13229" s="6" t="n">
        <f aca="false">Sens!J13244</f>
        <v>75.2061222882009</v>
      </c>
      <c r="K13229" s="6" t="n">
        <f aca="false">Sens!K13244</f>
        <v>81.9695437180232</v>
      </c>
      <c r="L13229" s="1" t="s">
        <v>1072</v>
      </c>
    </row>
    <row r="13230" customFormat="false" ht="17.15" hidden="false" customHeight="false" outlineLevel="0" collapsed="false">
      <c r="A13230" s="1" t="s">
        <v>1073</v>
      </c>
      <c r="B13230" s="0" t="s">
        <v>98</v>
      </c>
      <c r="D13230" s="6" t="n">
        <f aca="false">Sens!D13226</f>
        <v>128.528</v>
      </c>
      <c r="E13230" s="6" t="n">
        <f aca="false">Sens!E13226</f>
        <v>155.237</v>
      </c>
      <c r="F13230" s="6" t="n">
        <f aca="false">Sens!F13226+Sens!F13229</f>
        <v>183.368029311823</v>
      </c>
      <c r="G13230" s="6" t="n">
        <f aca="false">Sens!G13226+Sens!G13229</f>
        <v>201.284956649511</v>
      </c>
      <c r="H13230" s="6" t="n">
        <f aca="false">Sens!H13226+Sens!H13229</f>
        <v>221.45910483032</v>
      </c>
      <c r="I13230" s="6" t="n">
        <f aca="false">Sens!I13226+Sens!I13229</f>
        <v>247.561941344393</v>
      </c>
      <c r="J13230" s="6" t="n">
        <f aca="false">Sens!J13226+Sens!J13229</f>
        <v>270.272780494724</v>
      </c>
      <c r="K13230" s="6" t="n">
        <f aca="false">Sens!K13226+Sens!K13229</f>
        <v>289.641533841176</v>
      </c>
    </row>
    <row r="13231" customFormat="false" ht="17.15" hidden="false" customHeight="false" outlineLevel="0" collapsed="false">
      <c r="A13231" s="1" t="s">
        <v>1074</v>
      </c>
      <c r="B13231" s="0" t="s">
        <v>98</v>
      </c>
      <c r="E13231" s="6" t="n">
        <f aca="false">Sens!E13174</f>
        <v>16.3054059770833</v>
      </c>
      <c r="F13231" s="6" t="n">
        <f aca="false">Sens!F13174</f>
        <v>34.5793144783516</v>
      </c>
      <c r="G13231" s="6" t="n">
        <f aca="false">Sens!G13174</f>
        <v>60.7344906522989</v>
      </c>
      <c r="H13231" s="6" t="n">
        <f aca="false">Sens!H13174</f>
        <v>89.1000906614457</v>
      </c>
      <c r="I13231" s="6" t="n">
        <f aca="false">Sens!I13174</f>
        <v>114.231009694548</v>
      </c>
      <c r="J13231" s="6" t="n">
        <f aca="false">Sens!J13174</f>
        <v>132.015673049596</v>
      </c>
      <c r="K13231" s="6" t="n">
        <f aca="false">Sens!K13174</f>
        <v>143.012669550934</v>
      </c>
    </row>
    <row r="13232" customFormat="false" ht="17.15" hidden="false" customHeight="false" outlineLevel="0" collapsed="false">
      <c r="A13232" s="1" t="s">
        <v>1075</v>
      </c>
      <c r="B13232" s="0" t="s">
        <v>98</v>
      </c>
      <c r="E13232" s="6" t="n">
        <f aca="false">Sens!E13256</f>
        <v>22.2285940229167</v>
      </c>
      <c r="F13232" s="6" t="n">
        <f aca="false">Sens!F13256</f>
        <v>23.5883405279552</v>
      </c>
      <c r="G13232" s="6" t="n">
        <f aca="false">Sens!G13256</f>
        <v>25.347608709247</v>
      </c>
      <c r="H13232" s="6" t="n">
        <f aca="false">Sens!H13256</f>
        <v>27.4750934833125</v>
      </c>
      <c r="I13232" s="6" t="n">
        <f aca="false">Sens!I13256</f>
        <v>29.9140127982598</v>
      </c>
      <c r="J13232" s="6" t="n">
        <f aca="false">Sens!J13256</f>
        <v>32.5895147654561</v>
      </c>
      <c r="K13232" s="6" t="n">
        <f aca="false">Sens!K13256</f>
        <v>35.4171979437481</v>
      </c>
    </row>
    <row r="13233" customFormat="false" ht="17.15" hidden="false" customHeight="false" outlineLevel="0" collapsed="false">
      <c r="A13233" s="1" t="s">
        <v>1076</v>
      </c>
      <c r="B13233" s="0" t="s">
        <v>98</v>
      </c>
      <c r="D13233" s="6" t="n">
        <f aca="false">Q!L27</f>
        <v>-4.901</v>
      </c>
      <c r="E13233" s="6" t="n">
        <f aca="false">Q!M27</f>
        <v>10.697</v>
      </c>
      <c r="F13233" s="6" t="n">
        <f aca="false">Q!$I$27+oie_f*(q_per_yr-1)/q_per_yr</f>
        <v>-0.862</v>
      </c>
      <c r="G13233" s="6" t="n">
        <f aca="false">oie_f</f>
        <v>-1.2</v>
      </c>
      <c r="H13233" s="6" t="n">
        <f aca="false">oie_f</f>
        <v>-1.2</v>
      </c>
      <c r="I13233" s="6" t="n">
        <f aca="false">oie_f</f>
        <v>-1.2</v>
      </c>
      <c r="J13233" s="6" t="n">
        <f aca="false">oie_f</f>
        <v>-1.2</v>
      </c>
      <c r="K13233" s="6" t="n">
        <f aca="false">oie_f</f>
        <v>-1.2</v>
      </c>
      <c r="L13233" s="12" t="s">
        <v>1077</v>
      </c>
    </row>
    <row r="13234" customFormat="false" ht="15" hidden="false" customHeight="false" outlineLevel="0" collapsed="false">
      <c r="A13234" s="1" t="s">
        <v>1078</v>
      </c>
      <c r="B13234" s="0" t="s">
        <v>98</v>
      </c>
      <c r="D13234" s="6" t="n">
        <f aca="false">Sens!D13226+Sens!D13233</f>
        <v>123.627</v>
      </c>
      <c r="E13234" s="6" t="n">
        <f aca="false">Sens!E13226+Sens!E13233</f>
        <v>165.934</v>
      </c>
      <c r="F13234" s="6" t="n">
        <f aca="false">Sens!F13226+Sens!F13233</f>
        <v>171.804750513875</v>
      </c>
      <c r="G13234" s="6" t="n">
        <f aca="false">Sens!G13226+Sens!G13233</f>
        <v>172.075309974579</v>
      </c>
      <c r="H13234" s="6" t="n">
        <f aca="false">Sens!H13226+Sens!H13233</f>
        <v>173.467899328938</v>
      </c>
      <c r="I13234" s="6" t="n">
        <f aca="false">Sens!I13226+Sens!I13233</f>
        <v>182.820163531749</v>
      </c>
      <c r="J13234" s="6" t="n">
        <f aca="false">Sens!J13226+Sens!J13233</f>
        <v>193.866658206524</v>
      </c>
      <c r="K13234" s="6" t="n">
        <f aca="false">Sens!K13226+Sens!K13233</f>
        <v>206.471990123153</v>
      </c>
    </row>
    <row r="13235" customFormat="false" ht="15" hidden="false" customHeight="false" outlineLevel="0" collapsed="false">
      <c r="A13235" s="1" t="s">
        <v>1079</v>
      </c>
      <c r="B13235" s="0" t="s">
        <v>98</v>
      </c>
      <c r="D13235" s="6" t="n">
        <f aca="false">Q!L29</f>
        <v>21.795</v>
      </c>
      <c r="E13235" s="6" t="n">
        <f aca="false">Q!M29</f>
        <v>32.185</v>
      </c>
      <c r="F13235" s="6" t="n">
        <f aca="false">Q!$I$29+(Sens!F13234-Q!$I$28)*tax_f</f>
        <v>34.494350102775</v>
      </c>
      <c r="G13235" s="6" t="n">
        <f aca="false">Sens!G13234*tax_f</f>
        <v>34.4150619949158</v>
      </c>
      <c r="H13235" s="6" t="n">
        <f aca="false">Sens!H13234*tax_f</f>
        <v>34.6935798657877</v>
      </c>
      <c r="I13235" s="6" t="n">
        <f aca="false">Sens!I13234*tax_f</f>
        <v>36.5640327063498</v>
      </c>
      <c r="J13235" s="6" t="n">
        <f aca="false">Sens!J13234*tax_f</f>
        <v>38.7733316413047</v>
      </c>
      <c r="K13235" s="6" t="n">
        <f aca="false">Sens!K13234*tax_f</f>
        <v>41.2943980246305</v>
      </c>
    </row>
    <row r="13236" customFormat="false" ht="15" hidden="false" customHeight="false" outlineLevel="0" collapsed="false">
      <c r="A13236" s="1" t="s">
        <v>1080</v>
      </c>
      <c r="B13236" s="0" t="s">
        <v>98</v>
      </c>
      <c r="D13236" s="6" t="n">
        <f aca="false">Sens!D13234-Sens!D13235</f>
        <v>101.832</v>
      </c>
      <c r="E13236" s="6" t="n">
        <f aca="false">Sens!E13234-Sens!E13235</f>
        <v>133.749</v>
      </c>
      <c r="F13236" s="6" t="n">
        <f aca="false">Sens!F13234-Sens!F13235</f>
        <v>137.3104004111</v>
      </c>
      <c r="G13236" s="6" t="n">
        <f aca="false">Sens!G13234-Sens!G13235</f>
        <v>137.660247979663</v>
      </c>
      <c r="H13236" s="6" t="n">
        <f aca="false">Sens!H13234-Sens!H13235</f>
        <v>138.774319463151</v>
      </c>
      <c r="I13236" s="6" t="n">
        <f aca="false">Sens!I13234-Sens!I13235</f>
        <v>146.256130825399</v>
      </c>
      <c r="J13236" s="6" t="n">
        <f aca="false">Sens!J13234-Sens!J13235</f>
        <v>155.093326565219</v>
      </c>
      <c r="K13236" s="6" t="n">
        <f aca="false">Sens!K13234-Sens!K13235</f>
        <v>165.177592098522</v>
      </c>
    </row>
    <row r="13237" customFormat="false" ht="17.15" hidden="false" customHeight="false" outlineLevel="0" collapsed="false">
      <c r="A13237" s="1" t="s">
        <v>1081</v>
      </c>
      <c r="B13237" s="1" t="s">
        <v>81</v>
      </c>
      <c r="D13237" s="15" t="n">
        <f aca="false">Q!L31</f>
        <v>7.465</v>
      </c>
      <c r="E13237" s="15" t="n">
        <f aca="false">Q!M31</f>
        <v>7.453</v>
      </c>
      <c r="F13237" s="15" t="n">
        <f aca="false">Sens!F13281</f>
        <v>7.4735</v>
      </c>
      <c r="G13237" s="15" t="n">
        <f aca="false">Sens!G13281</f>
        <v>7.5185</v>
      </c>
      <c r="H13237" s="15" t="n">
        <f aca="false">Sens!H13281</f>
        <v>7.5635</v>
      </c>
      <c r="I13237" s="15" t="n">
        <f aca="false">Sens!I13281</f>
        <v>7.59248142502667</v>
      </c>
      <c r="J13237" s="15" t="n">
        <f aca="false">Sens!J13281</f>
        <v>7.60663083618914</v>
      </c>
      <c r="K13237" s="15" t="n">
        <f aca="false">Sens!K13281</f>
        <v>7.62306547615439</v>
      </c>
    </row>
    <row r="13238" customFormat="false" ht="17.15" hidden="false" customHeight="false" outlineLevel="0" collapsed="false">
      <c r="A13238" s="0" t="s">
        <v>1082</v>
      </c>
      <c r="B13238" s="0" t="s">
        <v>75</v>
      </c>
      <c r="D13238" s="8" t="n">
        <f aca="false">Sens!D13236/Sens!D13237</f>
        <v>13.641259209645</v>
      </c>
      <c r="E13238" s="8" t="n">
        <f aca="false">Sens!E13236/Sens!E13237</f>
        <v>17.9456594659869</v>
      </c>
      <c r="F13238" s="8" t="n">
        <f aca="false">Sens!F13236/Sens!F13237</f>
        <v>18.3729712197899</v>
      </c>
      <c r="G13238" s="8" t="n">
        <f aca="false">Sens!G13236/Sens!G13237</f>
        <v>18.3095362079754</v>
      </c>
      <c r="H13238" s="8" t="n">
        <f aca="false">Sens!H13236/Sens!H13237</f>
        <v>18.3478970665896</v>
      </c>
      <c r="I13238" s="8" t="n">
        <f aca="false">Sens!I13236/Sens!I13237</f>
        <v>19.2632846414748</v>
      </c>
      <c r="J13238" s="8" t="n">
        <f aca="false">Sens!J13236/Sens!J13237</f>
        <v>20.3892274918023</v>
      </c>
      <c r="K13238" s="8" t="n">
        <f aca="false">Sens!K13236/Sens!K13237</f>
        <v>21.6681324088337</v>
      </c>
      <c r="L13238" s="1" t="s">
        <v>1083</v>
      </c>
    </row>
    <row r="13239" customFormat="false" ht="17.15" hidden="false" customHeight="false" outlineLevel="0" collapsed="false">
      <c r="A13239" s="1" t="s">
        <v>1084</v>
      </c>
      <c r="B13239" s="0" t="s">
        <v>98</v>
      </c>
      <c r="D13239" s="6" t="n">
        <f aca="false">Sens!D13236</f>
        <v>101.832</v>
      </c>
      <c r="E13239" s="6" t="n">
        <f aca="false">Sens!E13236</f>
        <v>133.749</v>
      </c>
      <c r="F13239" s="6" t="n">
        <f aca="false">Sens!F13236+Sens!F13229*(1-tax_f)</f>
        <v>145.871423449458</v>
      </c>
      <c r="G13239" s="6" t="n">
        <f aca="false">Sens!G13236+Sens!G13229*(1-tax_f)</f>
        <v>160.067965319609</v>
      </c>
      <c r="H13239" s="6" t="n">
        <f aca="false">Sens!H13236+Sens!H13229*(1-tax_f)</f>
        <v>176.207283864256</v>
      </c>
      <c r="I13239" s="6" t="n">
        <f aca="false">Sens!I13236+Sens!I13229*(1-tax_f)</f>
        <v>197.089553075515</v>
      </c>
      <c r="J13239" s="6" t="n">
        <f aca="false">Sens!J13236+Sens!J13229*(1-tax_f)</f>
        <v>215.25822439578</v>
      </c>
      <c r="K13239" s="6" t="n">
        <f aca="false">Sens!K13236+Sens!K13229*(1-tax_f)</f>
        <v>230.753227072941</v>
      </c>
    </row>
    <row r="13240" customFormat="false" ht="17.15" hidden="false" customHeight="false" outlineLevel="0" collapsed="false">
      <c r="A13240" s="0" t="s">
        <v>1085</v>
      </c>
      <c r="B13240" s="0" t="s">
        <v>75</v>
      </c>
      <c r="D13240" s="8" t="n">
        <f aca="false">Sens!D13239/Sens!D13237</f>
        <v>13.641259209645</v>
      </c>
      <c r="E13240" s="8" t="n">
        <f aca="false">Sens!E13239/Sens!E13237</f>
        <v>17.9456594659869</v>
      </c>
      <c r="F13240" s="8" t="n">
        <f aca="false">Sens!F13239/Sens!F13237</f>
        <v>19.5184884524598</v>
      </c>
      <c r="G13240" s="8" t="n">
        <f aca="false">Sens!G13239/Sens!G13237</f>
        <v>21.2898803377813</v>
      </c>
      <c r="H13240" s="8" t="n">
        <f aca="false">Sens!H13239/Sens!H13237</f>
        <v>23.2970561068627</v>
      </c>
      <c r="I13240" s="8" t="n">
        <f aca="false">Sens!I13239/Sens!I13237</f>
        <v>25.958516332468</v>
      </c>
      <c r="J13240" s="8" t="n">
        <f aca="false">Sens!J13239/Sens!J13237</f>
        <v>28.2987605197917</v>
      </c>
      <c r="K13240" s="8" t="n">
        <f aca="false">Sens!K13239/Sens!K13237</f>
        <v>30.2703981481934</v>
      </c>
      <c r="L13240" s="1" t="s">
        <v>1086</v>
      </c>
    </row>
    <row r="13241" customFormat="false" ht="17.15" hidden="false" customHeight="false" outlineLevel="0" collapsed="false">
      <c r="A13241" s="0" t="s">
        <v>1087</v>
      </c>
      <c r="B13241" s="0" t="s">
        <v>168</v>
      </c>
      <c r="E13241" s="7" t="n">
        <f aca="false">Sens!E13240/Sens!D13240-1</f>
        <v>0.315542736208578</v>
      </c>
      <c r="F13241" s="7" t="n">
        <f aca="false">Sens!F13240/Sens!E13240-1</f>
        <v>0.087643978169426</v>
      </c>
      <c r="G13241" s="7" t="n">
        <f aca="false">Sens!G13240/Sens!F13240-1</f>
        <v>0.0907545627642248</v>
      </c>
      <c r="H13241" s="7" t="n">
        <f aca="false">Sens!H13240/Sens!G13240-1</f>
        <v>0.0942783959907674</v>
      </c>
      <c r="I13241" s="7" t="n">
        <f aca="false">Sens!I13240/Sens!H13240-1</f>
        <v>0.114240194700878</v>
      </c>
      <c r="J13241" s="7" t="n">
        <f aca="false">Sens!J13240/Sens!I13240-1</f>
        <v>0.0901532336190052</v>
      </c>
      <c r="K13241" s="7" t="n">
        <f aca="false">Sens!K13240/Sens!J13240-1</f>
        <v>0.0696722256447484</v>
      </c>
    </row>
    <row r="13242" customFormat="false" ht="17.15" hidden="false" customHeight="false" outlineLevel="0" collapsed="false">
      <c r="A13242" s="0" t="s">
        <v>1007</v>
      </c>
      <c r="B13242" s="0" t="s">
        <v>98</v>
      </c>
      <c r="E13242" s="6" t="n">
        <f aca="false">Sens!E13183</f>
        <v>5.25</v>
      </c>
      <c r="F13242" s="6" t="n">
        <f aca="false">Sens!F13183</f>
        <v>10.5</v>
      </c>
      <c r="G13242" s="6" t="n">
        <f aca="false">Sens!G13183</f>
        <v>13.5</v>
      </c>
      <c r="H13242" s="6" t="n">
        <f aca="false">Sens!H13183</f>
        <v>16.5</v>
      </c>
      <c r="I13242" s="6" t="n">
        <f aca="false">Sens!I13183</f>
        <v>18.75</v>
      </c>
      <c r="J13242" s="6" t="n">
        <f aca="false">Sens!J13183</f>
        <v>20.25</v>
      </c>
      <c r="K13242" s="6" t="n">
        <f aca="false">Sens!K13183</f>
        <v>21.75</v>
      </c>
    </row>
    <row r="13243" customFormat="false" ht="17.15" hidden="false" customHeight="false" outlineLevel="0" collapsed="false">
      <c r="A13243" s="1" t="s">
        <v>1008</v>
      </c>
      <c r="B13243" s="0" t="s">
        <v>98</v>
      </c>
      <c r="F13243" s="6" t="n">
        <f aca="false">MAX(0,((Sens!E13143+Sens!F13143)/2-(shadow_base*(Sens!$D$13143+Sens!$E$13143)/2+(1-shadow_base)*Sens!$E$13143))*Sens!F13152/1000-(Sens!F13242-Sens!$E$13242)*Sens!F13222)</f>
        <v>10.7012787979473</v>
      </c>
      <c r="G13243" s="6" t="n">
        <f aca="false">MAX(0,((Sens!F13143+Sens!G13143)/2-(shadow_base*(Sens!$D$13143+Sens!$E$13143)/2+(1-shadow_base)*Sens!$E$13143))*Sens!G13152/1000-(Sens!G13242-Sens!$E$13242)*Sens!G13222)</f>
        <v>28.009646674932</v>
      </c>
      <c r="H13243" s="6" t="n">
        <f aca="false">MAX(0,((Sens!G13143+Sens!H13143)/2-(shadow_base*(Sens!$D$13143+Sens!$E$13143)/2+(1-shadow_base)*Sens!$E$13143))*Sens!H13152/1000-(Sens!H13242-Sens!$E$13242)*Sens!H13222)</f>
        <v>46.791205501382</v>
      </c>
      <c r="I13243" s="6" t="n">
        <f aca="false">MAX(0,((Sens!H13143+Sens!I13143)/2-(shadow_base*(Sens!$D$13143+Sens!$E$13143)/2+(1-shadow_base)*Sens!$E$13143))*Sens!I13152/1000-(Sens!I13242-Sens!$E$13242)*Sens!I13222)</f>
        <v>63.5417778126444</v>
      </c>
      <c r="J13243" s="6" t="n">
        <f aca="false">MAX(0,((Sens!I13143+Sens!J13143)/2-(shadow_base*(Sens!$D$13143+Sens!$E$13143)/2+(1-shadow_base)*Sens!$E$13143))*Sens!J13152/1000-(Sens!J13242-Sens!$E$13242)*Sens!J13222)</f>
        <v>75.2061222882009</v>
      </c>
      <c r="K13243" s="6" t="n">
        <f aca="false">MAX(0,((Sens!J13143+Sens!K13143)/2-(shadow_base*(Sens!$D$13143+Sens!$E$13143)/2+(1-shadow_base)*Sens!$E$13143))*Sens!K13152/1000-(Sens!K13242-Sens!$E$13242)*Sens!K13222)</f>
        <v>81.9695437180232</v>
      </c>
      <c r="L13243" s="1" t="s">
        <v>1009</v>
      </c>
    </row>
    <row r="13244" customFormat="false" ht="17.15" hidden="false" customHeight="false" outlineLevel="0" collapsed="false">
      <c r="A13244" s="1" t="s">
        <v>1010</v>
      </c>
      <c r="B13244" s="0" t="s">
        <v>98</v>
      </c>
      <c r="F13244" s="6" t="n">
        <f aca="false">IF(internal_ai_reading=2,1,0)*Sens!F13243</f>
        <v>10.7012787979473</v>
      </c>
      <c r="G13244" s="6" t="n">
        <f aca="false">IF(internal_ai_reading=2,1,0)*Sens!G13243</f>
        <v>28.009646674932</v>
      </c>
      <c r="H13244" s="6" t="n">
        <f aca="false">IF(internal_ai_reading=2,1,0)*Sens!H13243</f>
        <v>46.791205501382</v>
      </c>
      <c r="I13244" s="6" t="n">
        <f aca="false">IF(internal_ai_reading=2,1,0)*Sens!I13243</f>
        <v>63.5417778126444</v>
      </c>
      <c r="J13244" s="6" t="n">
        <f aca="false">IF(internal_ai_reading=2,1,0)*Sens!J13243</f>
        <v>75.2061222882009</v>
      </c>
      <c r="K13244" s="6" t="n">
        <f aca="false">IF(internal_ai_reading=2,1,0)*Sens!K13243</f>
        <v>81.9695437180232</v>
      </c>
    </row>
    <row r="13245" customFormat="false" ht="17.15" hidden="false" customHeight="false" outlineLevel="0" collapsed="false">
      <c r="A13245" s="0" t="s">
        <v>1011</v>
      </c>
      <c r="B13245" s="0" t="s">
        <v>98</v>
      </c>
      <c r="F13245" s="6" t="n">
        <f aca="false">Sens!F13162+Sens!F13242*Sens!F13222+Sens!F13244-Sens!F13163-Sens!F13174</f>
        <v>10.2803806853618</v>
      </c>
      <c r="G13245" s="6" t="n">
        <f aca="false">Sens!G13162+Sens!G13242*Sens!G13222+Sens!G13244-Sens!G13163-Sens!G13174</f>
        <v>16.333931310574</v>
      </c>
      <c r="H13245" s="6" t="n">
        <f aca="false">Sens!H13162+Sens!H13242*Sens!H13222+Sens!H13244-Sens!H13163-Sens!H13174</f>
        <v>17.030416308873</v>
      </c>
      <c r="I13245" s="6" t="n">
        <f aca="false">Sens!I13162+Sens!I13242*Sens!I13222+Sens!I13244-Sens!I13163-Sens!I13174</f>
        <v>24.0243804008656</v>
      </c>
      <c r="J13245" s="6" t="n">
        <f aca="false">Sens!J13162+Sens!J13242*Sens!J13222+Sens!J13244-Sens!J13163-Sens!J13174</f>
        <v>28.7495659869181</v>
      </c>
      <c r="K13245" s="6" t="n">
        <f aca="false">Sens!K13162+Sens!K13242*Sens!K13222+Sens!K13244-Sens!K13163-Sens!K13174</f>
        <v>32.0324748525101</v>
      </c>
    </row>
    <row r="13246" customFormat="false" ht="17.15" hidden="false" customHeight="false" outlineLevel="0" collapsed="false">
      <c r="A13246" s="0" t="s">
        <v>1012</v>
      </c>
      <c r="B13246" s="0" t="s">
        <v>98</v>
      </c>
      <c r="E13246" s="6" t="n">
        <f aca="false">Sens!E13142*(cxit_open+self_build*tk_cxfac)/1000*ai_net_open</f>
        <v>126.6980382</v>
      </c>
      <c r="F13246" s="6" t="n">
        <f aca="false">Sens!E13246+Sens!F13171-Sens!F13174</f>
        <v>260.572627763768</v>
      </c>
      <c r="G13246" s="6" t="n">
        <f aca="false">Sens!F13246+Sens!G13171-Sens!G13174</f>
        <v>391.782612760517</v>
      </c>
      <c r="H13246" s="6" t="n">
        <f aca="false">Sens!G13246+Sens!H13171-Sens!H13174</f>
        <v>499.488526163584</v>
      </c>
      <c r="I13246" s="6" t="n">
        <f aca="false">Sens!H13246+Sens!I13171-Sens!I13174</f>
        <v>553.872350090646</v>
      </c>
      <c r="J13246" s="6" t="n">
        <f aca="false">Sens!I13246+Sens!J13171-Sens!J13174</f>
        <v>550.78660823699</v>
      </c>
      <c r="K13246" s="6" t="n">
        <f aca="false">Sens!J13246+Sens!K13171-Sens!K13174</f>
        <v>526.736791750789</v>
      </c>
      <c r="L13246" s="1" t="s">
        <v>1013</v>
      </c>
    </row>
    <row r="13247" customFormat="false" ht="17.15" hidden="false" customHeight="false" outlineLevel="0" collapsed="false">
      <c r="A13247" s="0" t="s">
        <v>1014</v>
      </c>
      <c r="B13247" s="0" t="s">
        <v>168</v>
      </c>
      <c r="F13247" s="7" t="n">
        <f aca="false">Sens!F13245*(1-tax_f)/((Sens!E13246+Sens!F13246)/2)</f>
        <v>0.0424731603558059</v>
      </c>
      <c r="G13247" s="7" t="n">
        <f aca="false">Sens!G13245*(1-tax_f)/((Sens!F13246+Sens!G13246)/2)</f>
        <v>0.0400614396473843</v>
      </c>
      <c r="H13247" s="7" t="n">
        <f aca="false">Sens!H13245*(1-tax_f)/((Sens!G13246+Sens!H13246)/2)</f>
        <v>0.0305728132598236</v>
      </c>
      <c r="I13247" s="7" t="n">
        <f aca="false">Sens!I13245*(1-tax_f)/((Sens!H13246+Sens!I13246)/2)</f>
        <v>0.0364917755233846</v>
      </c>
      <c r="J13247" s="7" t="n">
        <f aca="false">Sens!J13245*(1-tax_f)/((Sens!I13246+Sens!J13246)/2)</f>
        <v>0.0416411827671304</v>
      </c>
      <c r="K13247" s="7" t="n">
        <f aca="false">Sens!K13245*(1-tax_f)/((Sens!J13246+Sens!K13246)/2)</f>
        <v>0.0475645909542172</v>
      </c>
    </row>
    <row r="13248" customFormat="false" ht="17.15" hidden="false" customHeight="false" outlineLevel="0" collapsed="false">
      <c r="A13248" s="1" t="s">
        <v>1015</v>
      </c>
      <c r="B13248" s="0" t="s">
        <v>168</v>
      </c>
      <c r="F13248" s="7" t="n">
        <f aca="false">(Sens!F13245-Sens!F13244)*(1-tax_f)/((Sens!E13246+Sens!F13246)/2)</f>
        <v>-0.00173893103538059</v>
      </c>
      <c r="G13248" s="7" t="n">
        <f aca="false">(Sens!G13245-Sens!G13244)*(1-tax_f)/((Sens!F13246+Sens!G13246)/2)</f>
        <v>-0.0286364597423316</v>
      </c>
      <c r="H13248" s="7" t="n">
        <f aca="false">(Sens!H13245-Sens!H13244)*(1-tax_f)/((Sens!G13246+Sens!H13246)/2)</f>
        <v>-0.0534262365608468</v>
      </c>
      <c r="I13248" s="7" t="n">
        <f aca="false">(Sens!I13245-Sens!I13244)*(1-tax_f)/((Sens!H13246+Sens!I13246)/2)</f>
        <v>-0.0600248568977475</v>
      </c>
      <c r="J13248" s="7" t="n">
        <f aca="false">(Sens!J13245-Sens!J13244)*(1-tax_f)/((Sens!I13246+Sens!J13246)/2)</f>
        <v>-0.0672881793260274</v>
      </c>
      <c r="K13248" s="7" t="n">
        <f aca="false">(Sens!K13245-Sens!K13244)*(1-tax_f)/((Sens!J13246+Sens!K13246)/2)</f>
        <v>-0.0741508817216658</v>
      </c>
    </row>
    <row r="13249" customFormat="false" ht="17.15" hidden="false" customHeight="false" outlineLevel="0" collapsed="false">
      <c r="A13249" s="1" t="s">
        <v>1016</v>
      </c>
      <c r="B13249" s="0" t="s">
        <v>168</v>
      </c>
      <c r="F13249" s="7" t="n">
        <f aca="false">(Sens!F13245-Sens!F13244+Sens!F13243)*(1-tax_f)/((Sens!E13246+Sens!F13246)/2)</f>
        <v>0.0424731603558059</v>
      </c>
      <c r="G13249" s="7" t="n">
        <f aca="false">(Sens!G13245-Sens!G13244+Sens!G13243)*(1-tax_f)/((Sens!F13246+Sens!G13246)/2)</f>
        <v>0.0400614396473843</v>
      </c>
      <c r="H13249" s="7" t="n">
        <f aca="false">(Sens!H13245-Sens!H13244+Sens!H13243)*(1-tax_f)/((Sens!G13246+Sens!H13246)/2)</f>
        <v>0.0305728132598236</v>
      </c>
      <c r="I13249" s="7" t="n">
        <f aca="false">(Sens!I13245-Sens!I13244+Sens!I13243)*(1-tax_f)/((Sens!H13246+Sens!I13246)/2)</f>
        <v>0.0364917755233846</v>
      </c>
      <c r="J13249" s="7" t="n">
        <f aca="false">(Sens!J13245-Sens!J13244+Sens!J13243)*(1-tax_f)/((Sens!I13246+Sens!J13246)/2)</f>
        <v>0.0416411827671304</v>
      </c>
      <c r="K13249" s="7" t="n">
        <f aca="false">(Sens!K13245-Sens!K13244+Sens!K13243)*(1-tax_f)/((Sens!J13246+Sens!K13246)/2)</f>
        <v>0.0475645909542172</v>
      </c>
    </row>
    <row r="13250" customFormat="false" ht="17.15" hidden="false" customHeight="false" outlineLevel="0" collapsed="false">
      <c r="A13250" s="1" t="s">
        <v>1017</v>
      </c>
      <c r="B13250" s="0" t="s">
        <v>168</v>
      </c>
      <c r="F13250" s="7" t="n">
        <f aca="false">Sens!F13175*(1-tax_f)/(Sens!F13161*(Sens!E13246+Sens!F13246)/2)</f>
        <v>0.098791430090569</v>
      </c>
      <c r="G13250" s="7" t="n">
        <f aca="false">Sens!G13175*(1-tax_f)/(Sens!G13161*(Sens!F13246+Sens!G13246)/2)</f>
        <v>0.0675308856427828</v>
      </c>
      <c r="H13250" s="7" t="n">
        <f aca="false">Sens!H13175*(1-tax_f)/(Sens!H13161*(Sens!G13246+Sens!H13246)/2)</f>
        <v>0.0388374979528754</v>
      </c>
      <c r="I13250" s="7" t="n">
        <f aca="false">Sens!I13175*(1-tax_f)/(Sens!I13161*(Sens!H13246+Sens!I13246)/2)</f>
        <v>0.0411035671771815</v>
      </c>
      <c r="J13250" s="7" t="n">
        <f aca="false">Sens!J13175*(1-tax_f)/(Sens!J13161*(Sens!I13246+Sens!J13246)/2)</f>
        <v>0.0445222722541192</v>
      </c>
      <c r="K13250" s="7" t="n">
        <f aca="false">Sens!K13175*(1-tax_f)/(Sens!K13161*(Sens!J13246+Sens!K13246)/2)</f>
        <v>0.0498866361688162</v>
      </c>
    </row>
    <row r="13251" customFormat="false" ht="17.15" hidden="false" customHeight="false" outlineLevel="0" collapsed="false">
      <c r="A13251" s="0" t="s">
        <v>1018</v>
      </c>
      <c r="B13251" s="0" t="s">
        <v>253</v>
      </c>
      <c r="F13251" s="7" t="n">
        <f aca="false">Sens!F13247-wacc</f>
        <v>-0.0604634305897914</v>
      </c>
      <c r="G13251" s="7" t="n">
        <f aca="false">Sens!G13247-wacc</f>
        <v>-0.062875151298213</v>
      </c>
      <c r="H13251" s="7" t="n">
        <f aca="false">Sens!H13247-wacc</f>
        <v>-0.0723637776857737</v>
      </c>
      <c r="I13251" s="7" t="n">
        <f aca="false">Sens!I13247-wacc</f>
        <v>-0.0664448154222127</v>
      </c>
      <c r="J13251" s="7" t="n">
        <f aca="false">Sens!J13247-wacc</f>
        <v>-0.0612954081784669</v>
      </c>
      <c r="K13251" s="7" t="n">
        <f aca="false">Sens!K13247-wacc</f>
        <v>-0.05537199999138</v>
      </c>
    </row>
    <row r="13252" customFormat="false" ht="17.15" hidden="false" customHeight="false" outlineLevel="0" collapsed="false">
      <c r="A13252" s="0" t="s">
        <v>1019</v>
      </c>
      <c r="B13252" s="0" t="s">
        <v>98</v>
      </c>
      <c r="F13252" s="6" t="n">
        <f aca="false">Sens!F13245*(1-tax_f)-wacc*(Sens!E13246+Sens!F13246)/2</f>
        <v>-11.7078565154813</v>
      </c>
      <c r="G13252" s="6" t="n">
        <f aca="false">Sens!G13245*(1-tax_f)-wacc*(Sens!F13246+Sens!G13246)/2</f>
        <v>-20.5084672240733</v>
      </c>
      <c r="H13252" s="6" t="n">
        <f aca="false">Sens!H13245*(1-tax_f)-wacc*(Sens!G13246+Sens!H13246)/2</f>
        <v>-32.247873277425</v>
      </c>
      <c r="I13252" s="6" t="n">
        <f aca="false">Sens!I13245*(1-tax_f)-wacc*(Sens!H13246+Sens!I13246)/2</f>
        <v>-34.9951844978463</v>
      </c>
      <c r="J13252" s="6" t="n">
        <f aca="false">Sens!J13245*(1-tax_f)-wacc*(Sens!I13246+Sens!J13246)/2</f>
        <v>-33.8552608743463</v>
      </c>
      <c r="K13252" s="6" t="n">
        <f aca="false">Sens!K13245*(1-tax_f)-wacc*(Sens!J13246+Sens!K13246)/2</f>
        <v>-29.8323128474175</v>
      </c>
    </row>
    <row r="13253" customFormat="false" ht="17.15" hidden="false" customHeight="false" outlineLevel="0" collapsed="false">
      <c r="A13253" s="3" t="s">
        <v>1943</v>
      </c>
    </row>
    <row r="13254" customFormat="false" ht="15" hidden="false" customHeight="false" outlineLevel="0" collapsed="false">
      <c r="A13254" s="4" t="s">
        <v>43</v>
      </c>
      <c r="B13254" s="4" t="s">
        <v>65</v>
      </c>
      <c r="C13254" s="23" t="s">
        <v>942</v>
      </c>
      <c r="D13254" s="23" t="s">
        <v>943</v>
      </c>
      <c r="E13254" s="23" t="s">
        <v>944</v>
      </c>
      <c r="F13254" s="23" t="s">
        <v>945</v>
      </c>
      <c r="G13254" s="23" t="s">
        <v>946</v>
      </c>
      <c r="H13254" s="23" t="s">
        <v>947</v>
      </c>
      <c r="I13254" s="23" t="s">
        <v>948</v>
      </c>
      <c r="J13254" s="23" t="s">
        <v>949</v>
      </c>
      <c r="K13254" s="23" t="s">
        <v>950</v>
      </c>
      <c r="L13254" s="4" t="s">
        <v>47</v>
      </c>
    </row>
    <row r="13255" customFormat="false" ht="15" hidden="false" customHeight="false" outlineLevel="0" collapsed="false">
      <c r="A13255" s="1" t="s">
        <v>1080</v>
      </c>
      <c r="B13255" s="0" t="s">
        <v>98</v>
      </c>
      <c r="F13255" s="6" t="n">
        <f aca="false">Sens!F13236</f>
        <v>137.3104004111</v>
      </c>
      <c r="G13255" s="6" t="n">
        <f aca="false">Sens!G13236</f>
        <v>137.660247979663</v>
      </c>
      <c r="H13255" s="6" t="n">
        <f aca="false">Sens!H13236</f>
        <v>138.774319463151</v>
      </c>
      <c r="I13255" s="6" t="n">
        <f aca="false">Sens!I13236</f>
        <v>146.256130825399</v>
      </c>
      <c r="J13255" s="6" t="n">
        <f aca="false">Sens!J13236</f>
        <v>155.093326565219</v>
      </c>
      <c r="K13255" s="6" t="n">
        <f aca="false">Sens!K13236</f>
        <v>165.177592098522</v>
      </c>
    </row>
    <row r="13256" customFormat="false" ht="17.15" hidden="false" customHeight="false" outlineLevel="0" collapsed="false">
      <c r="A13256" s="1" t="s">
        <v>1102</v>
      </c>
      <c r="B13256" s="0" t="s">
        <v>98</v>
      </c>
      <c r="E13256" s="6" t="n">
        <f aca="false">Q!M38-Sens!E13174</f>
        <v>22.2285940229167</v>
      </c>
      <c r="F13256" s="6" t="n">
        <f aca="false">Sens!E13256*(1-1/life_nonai)+(Sens!F13264+Sens!F13265)/life_nonai</f>
        <v>23.5883405279552</v>
      </c>
      <c r="G13256" s="6" t="n">
        <f aca="false">Sens!F13256*(1-1/life_nonai)+(Sens!G13264)/life_nonai</f>
        <v>25.347608709247</v>
      </c>
      <c r="H13256" s="6" t="n">
        <f aca="false">Sens!G13256*(1-1/life_nonai)+(Sens!H13264)/life_nonai</f>
        <v>27.4750934833125</v>
      </c>
      <c r="I13256" s="6" t="n">
        <f aca="false">Sens!H13256*(1-1/life_nonai)+(Sens!I13264)/life_nonai</f>
        <v>29.9140127982598</v>
      </c>
      <c r="J13256" s="6" t="n">
        <f aca="false">Sens!I13256*(1-1/life_nonai)+(Sens!J13264)/life_nonai</f>
        <v>32.5895147654561</v>
      </c>
      <c r="K13256" s="6" t="n">
        <f aca="false">Sens!J13256*(1-1/life_nonai)+(Sens!K13264)/life_nonai</f>
        <v>35.4171979437481</v>
      </c>
      <c r="L13256" s="12" t="s">
        <v>1103</v>
      </c>
    </row>
    <row r="13257" customFormat="false" ht="17.15" hidden="false" customHeight="false" outlineLevel="0" collapsed="false">
      <c r="A13257" s="1" t="s">
        <v>1104</v>
      </c>
      <c r="B13257" s="0" t="s">
        <v>98</v>
      </c>
      <c r="F13257" s="6" t="n">
        <f aca="false">Sens!$F$13265/life_nonai*(1-1/life_nonai)^(Sens!F13137-2027)</f>
        <v>0</v>
      </c>
      <c r="G13257" s="6" t="n">
        <f aca="false">Sens!$F$13265/life_nonai*(1-1/life_nonai)^(Sens!G13137-2027)</f>
        <v>0</v>
      </c>
      <c r="H13257" s="6" t="n">
        <f aca="false">Sens!$F$13265/life_nonai*(1-1/life_nonai)^(Sens!H13137-2027)</f>
        <v>0</v>
      </c>
      <c r="I13257" s="6" t="n">
        <f aca="false">Sens!$F$13265/life_nonai*(1-1/life_nonai)^(Sens!I13137-2027)</f>
        <v>0</v>
      </c>
      <c r="J13257" s="6" t="n">
        <f aca="false">Sens!$F$13265/life_nonai*(1-1/life_nonai)^(Sens!J13137-2027)</f>
        <v>0</v>
      </c>
      <c r="K13257" s="6" t="n">
        <f aca="false">Sens!$F$13265/life_nonai*(1-1/life_nonai)^(Sens!K13137-2027)</f>
        <v>0</v>
      </c>
      <c r="L13257" s="1" t="s">
        <v>1105</v>
      </c>
    </row>
    <row r="13258" customFormat="false" ht="17.15" hidden="false" customHeight="false" outlineLevel="0" collapsed="false">
      <c r="A13258" s="1" t="s">
        <v>1106</v>
      </c>
      <c r="B13258" s="0" t="s">
        <v>98</v>
      </c>
      <c r="E13258" s="6" t="n">
        <f aca="false">Sens!E13174+Sens!E13256</f>
        <v>38.534</v>
      </c>
      <c r="F13258" s="6" t="n">
        <f aca="false">Sens!F13174+Sens!F13256</f>
        <v>58.1676550063068</v>
      </c>
      <c r="G13258" s="6" t="n">
        <f aca="false">Sens!G13174+Sens!G13256</f>
        <v>86.0820993615459</v>
      </c>
      <c r="H13258" s="6" t="n">
        <f aca="false">Sens!H13174+Sens!H13256</f>
        <v>116.575184144758</v>
      </c>
      <c r="I13258" s="6" t="n">
        <f aca="false">Sens!I13174+Sens!I13256</f>
        <v>144.145022492808</v>
      </c>
      <c r="J13258" s="6" t="n">
        <f aca="false">Sens!J13174+Sens!J13256</f>
        <v>164.605187815052</v>
      </c>
      <c r="K13258" s="6" t="n">
        <f aca="false">Sens!K13174+Sens!K13256</f>
        <v>178.429867494682</v>
      </c>
    </row>
    <row r="13259" customFormat="false" ht="17.15" hidden="false" customHeight="false" outlineLevel="0" collapsed="false">
      <c r="A13259" s="1" t="s">
        <v>1107</v>
      </c>
      <c r="B13259" s="0" t="s">
        <v>98</v>
      </c>
      <c r="F13259" s="6" t="n">
        <f aca="false">Sens!F13201*sbc_r</f>
        <v>14.7454787486369</v>
      </c>
      <c r="G13259" s="6" t="n">
        <f aca="false">Sens!G13201*sbc_r</f>
        <v>17.1560811611477</v>
      </c>
      <c r="H13259" s="6" t="n">
        <f aca="false">Sens!H13201*sbc_r</f>
        <v>19.4112161412813</v>
      </c>
      <c r="I13259" s="6" t="n">
        <f aca="false">Sens!I13201*sbc_r</f>
        <v>21.7655163708747</v>
      </c>
      <c r="J13259" s="6" t="n">
        <f aca="false">Sens!J13201*sbc_r</f>
        <v>23.7425689489627</v>
      </c>
      <c r="K13259" s="6" t="n">
        <f aca="false">Sens!K13201*sbc_r</f>
        <v>25.3560408997772</v>
      </c>
    </row>
    <row r="13260" customFormat="false" ht="17.15" hidden="false" customHeight="false" outlineLevel="0" collapsed="false">
      <c r="A13260" s="1" t="s">
        <v>1108</v>
      </c>
      <c r="B13260" s="0" t="s">
        <v>98</v>
      </c>
      <c r="F13260" s="6" t="n">
        <f aca="false">wc27-wc26q1</f>
        <v>-4.677</v>
      </c>
      <c r="G13260" s="6" t="n">
        <f aca="false">wc_f</f>
        <v>0</v>
      </c>
      <c r="H13260" s="6" t="n">
        <f aca="false">wc_f</f>
        <v>0</v>
      </c>
      <c r="I13260" s="6" t="n">
        <f aca="false">wc_f</f>
        <v>0</v>
      </c>
      <c r="J13260" s="6" t="n">
        <f aca="false">wc_f</f>
        <v>0</v>
      </c>
      <c r="K13260" s="6" t="n">
        <f aca="false">wc_f</f>
        <v>0</v>
      </c>
      <c r="L13260" s="12" t="s">
        <v>1109</v>
      </c>
    </row>
    <row r="13261" customFormat="false" ht="17.15" hidden="false" customHeight="false" outlineLevel="0" collapsed="false">
      <c r="A13261" s="0" t="s">
        <v>1110</v>
      </c>
      <c r="B13261" s="0" t="s">
        <v>98</v>
      </c>
      <c r="F13261" s="6" t="n">
        <f aca="false">Q!$I$35-Q!$I$26-Q!$I$38-Q!$I$39</f>
        <v>6.493</v>
      </c>
      <c r="L13261" s="1" t="s">
        <v>1111</v>
      </c>
    </row>
    <row r="13262" customFormat="false" ht="15" hidden="false" customHeight="false" outlineLevel="0" collapsed="false">
      <c r="A13262" s="1" t="s">
        <v>908</v>
      </c>
      <c r="B13262" s="0" t="s">
        <v>98</v>
      </c>
      <c r="E13262" s="6" t="n">
        <f aca="false">Q!M35</f>
        <v>182.935</v>
      </c>
      <c r="F13262" s="6" t="n">
        <f aca="false">Sens!F13255+Sens!F13258+Sens!F13259+Sens!F13260+Sens!F13261</f>
        <v>212.039534166044</v>
      </c>
      <c r="G13262" s="6" t="n">
        <f aca="false">Sens!G13255+Sens!G13258+Sens!G13259+Sens!G13260</f>
        <v>240.898428502357</v>
      </c>
      <c r="H13262" s="6" t="n">
        <f aca="false">Sens!H13255+Sens!H13258+Sens!H13259+Sens!H13260</f>
        <v>274.76071974919</v>
      </c>
      <c r="I13262" s="6" t="n">
        <f aca="false">Sens!I13255+Sens!I13258+Sens!I13259+Sens!I13260</f>
        <v>312.166669689082</v>
      </c>
      <c r="J13262" s="6" t="n">
        <f aca="false">Sens!J13255+Sens!J13258+Sens!J13259+Sens!J13260</f>
        <v>343.441083329234</v>
      </c>
      <c r="K13262" s="6" t="n">
        <f aca="false">Sens!K13255+Sens!K13258+Sens!K13259+Sens!K13260</f>
        <v>368.963500492981</v>
      </c>
    </row>
    <row r="13263" customFormat="false" ht="17.15" hidden="false" customHeight="false" outlineLevel="0" collapsed="false">
      <c r="A13263" s="0" t="s">
        <v>1112</v>
      </c>
      <c r="B13263" s="0" t="s">
        <v>98</v>
      </c>
      <c r="F13263" s="6" t="n">
        <f aca="false">Sens!F13171</f>
        <v>168.45390404212</v>
      </c>
      <c r="G13263" s="6" t="n">
        <f aca="false">Sens!G13171</f>
        <v>191.944475649048</v>
      </c>
      <c r="H13263" s="6" t="n">
        <f aca="false">Sens!H13171</f>
        <v>196.806004064512</v>
      </c>
      <c r="I13263" s="6" t="n">
        <f aca="false">Sens!I13171</f>
        <v>168.61483362161</v>
      </c>
      <c r="J13263" s="6" t="n">
        <f aca="false">Sens!J13171</f>
        <v>128.92993119594</v>
      </c>
      <c r="K13263" s="6" t="n">
        <f aca="false">Sens!K13171</f>
        <v>118.962853064733</v>
      </c>
    </row>
    <row r="13264" customFormat="false" ht="17.15" hidden="false" customHeight="false" outlineLevel="0" collapsed="false">
      <c r="A13264" s="1" t="s">
        <v>1113</v>
      </c>
      <c r="B13264" s="0" t="s">
        <v>98</v>
      </c>
      <c r="E13264" s="6" t="n">
        <f aca="false">Sens!E13179*cx_azo+Sens!E13186*cx_m365+Sens!E13187*cx_lic+(Sens!E13189+Sens!E13191)*cx_ind+Sens!E13194*cx_srch+(Sens!E13196+Sens!E13198)*cx_dev</f>
        <v>30.1846587067718</v>
      </c>
      <c r="F13264" s="6" t="n">
        <f aca="false">Sens!F13179*cx_azo+Sens!F13186*cx_m365+Sens!F13187*cx_lic+(Sens!F13189+Sens!F13191)*cx_ind+Sens!F13194*cx_srch+(Sens!F13196+Sens!F13198)*cx_dev</f>
        <v>35.826059073302</v>
      </c>
      <c r="G13264" s="6" t="n">
        <f aca="false">Sens!G13179*cx_azo+Sens!G13186*cx_m365+Sens!G13187*cx_lic+(Sens!G13189+Sens!G13191)*cx_ind+Sens!G13194*cx_srch+(Sens!G13196+Sens!G13198)*cx_dev</f>
        <v>41.1810223408732</v>
      </c>
      <c r="H13264" s="6" t="n">
        <f aca="false">Sens!H13179*cx_azo+Sens!H13186*cx_m365+Sens!H13187*cx_lic+(Sens!H13189+Sens!H13191)*cx_ind+Sens!H13194*cx_srch+(Sens!H13196+Sens!H13198)*cx_dev</f>
        <v>46.6224564499022</v>
      </c>
      <c r="I13264" s="6" t="n">
        <f aca="false">Sens!I13179*cx_azo+Sens!I13186*cx_m365+Sens!I13187*cx_lic+(Sens!I13189+Sens!I13191)*cx_ind+Sens!I13194*cx_srch+(Sens!I13196+Sens!I13198)*cx_dev</f>
        <v>51.8642866327854</v>
      </c>
      <c r="J13264" s="6" t="n">
        <f aca="false">Sens!J13179*cx_azo+Sens!J13186*cx_m365+Sens!J13187*cx_lic+(Sens!J13189+Sens!J13191)*cx_ind+Sens!J13194*cx_srch+(Sens!J13196+Sens!J13198)*cx_dev</f>
        <v>56.6690324702225</v>
      </c>
      <c r="K13264" s="6" t="n">
        <f aca="false">Sens!K13179*cx_azo+Sens!K13186*cx_m365+Sens!K13187*cx_lic+(Sens!K13189+Sens!K13191)*cx_ind+Sens!K13194*cx_srch+(Sens!K13196+Sens!K13198)*cx_dev</f>
        <v>60.866346548376</v>
      </c>
    </row>
    <row r="13265" customFormat="false" ht="17.15" hidden="false" customHeight="false" outlineLevel="0" collapsed="false">
      <c r="A13265" s="0" t="s">
        <v>1114</v>
      </c>
      <c r="B13265" s="0" t="s">
        <v>98</v>
      </c>
      <c r="F13265" s="6" t="n">
        <f aca="false">Sens!F13169</f>
        <v>0</v>
      </c>
      <c r="L13265" s="1" t="s">
        <v>1115</v>
      </c>
    </row>
    <row r="13266" customFormat="false" ht="17.15" hidden="false" customHeight="false" outlineLevel="0" collapsed="false">
      <c r="A13266" s="1" t="s">
        <v>1116</v>
      </c>
      <c r="B13266" s="0" t="s">
        <v>98</v>
      </c>
      <c r="E13266" s="6" t="n">
        <f aca="false">Q!M43</f>
        <v>145.3</v>
      </c>
      <c r="F13266" s="6" t="n">
        <f aca="false">Sens!F13263+Sens!F13264+Sens!F13265</f>
        <v>204.279963115422</v>
      </c>
      <c r="G13266" s="6" t="n">
        <f aca="false">Sens!G13263+Sens!G13264</f>
        <v>233.125497989921</v>
      </c>
      <c r="H13266" s="6" t="n">
        <f aca="false">Sens!H13263+Sens!H13264</f>
        <v>243.428460514415</v>
      </c>
      <c r="I13266" s="6" t="n">
        <f aca="false">Sens!I13263+Sens!I13264</f>
        <v>220.479120254396</v>
      </c>
      <c r="J13266" s="6" t="n">
        <f aca="false">Sens!J13263+Sens!J13264</f>
        <v>185.598963666163</v>
      </c>
      <c r="K13266" s="6" t="n">
        <f aca="false">Sens!K13263+Sens!K13264</f>
        <v>179.829199613109</v>
      </c>
      <c r="L13266" s="1" t="s">
        <v>1117</v>
      </c>
    </row>
    <row r="13267" customFormat="false" ht="15" hidden="false" customHeight="false" outlineLevel="0" collapsed="false">
      <c r="A13267" s="1" t="s">
        <v>1118</v>
      </c>
      <c r="B13267" s="0" t="s">
        <v>98</v>
      </c>
      <c r="E13267" s="6" t="n">
        <f aca="false">fl_liab</f>
        <v>66.594</v>
      </c>
      <c r="F13267" s="6" t="n">
        <f aca="false">Sens!E13267-Sens!F13268</f>
        <v>62.46973</v>
      </c>
      <c r="G13267" s="6" t="n">
        <f aca="false">Sens!F13267-Sens!G13268</f>
        <v>57.98686785</v>
      </c>
      <c r="H13267" s="6" t="n">
        <f aca="false">Sens!G13267-Sens!H13268</f>
        <v>53.92827690325</v>
      </c>
      <c r="I13267" s="6" t="n">
        <f aca="false">Sens!H13267-Sens!I13268</f>
        <v>49.7850493638962</v>
      </c>
      <c r="J13267" s="6" t="n">
        <f aca="false">Sens!I13267-Sens!J13268</f>
        <v>45.4823765852716</v>
      </c>
      <c r="K13267" s="6" t="n">
        <f aca="false">Sens!J13267-Sens!K13268</f>
        <v>40.9860835316088</v>
      </c>
    </row>
    <row r="13268" customFormat="false" ht="15" hidden="false" customHeight="false" outlineLevel="0" collapsed="false">
      <c r="A13268" s="1" t="s">
        <v>1119</v>
      </c>
      <c r="B13268" s="0" t="s">
        <v>98</v>
      </c>
      <c r="F13268" s="6" t="n">
        <f aca="false">fl_pay_27-Sens!E13267*fl_rate</f>
        <v>4.12427</v>
      </c>
      <c r="G13268" s="6" t="n">
        <f aca="false">fl_pay_28-Sens!F13267*fl_rate</f>
        <v>4.48286215</v>
      </c>
      <c r="H13268" s="6" t="n">
        <f aca="false">fl_pay_29-Sens!G13267*fl_rate</f>
        <v>4.05859094675</v>
      </c>
      <c r="I13268" s="6" t="n">
        <f aca="false">fl_pay_30-Sens!H13267*fl_rate</f>
        <v>4.14322753935375</v>
      </c>
      <c r="J13268" s="6" t="n">
        <f aca="false">fl_pay_31-Sens!I13267*fl_rate</f>
        <v>4.30267277862467</v>
      </c>
      <c r="K13268" s="6" t="n">
        <f aca="false">fl_pay_32-Sens!J13267*fl_rate</f>
        <v>4.49629305366278</v>
      </c>
    </row>
    <row r="13269" customFormat="false" ht="17.15" hidden="false" customHeight="false" outlineLevel="0" collapsed="false">
      <c r="A13269" s="1" t="s">
        <v>1120</v>
      </c>
      <c r="B13269" s="0" t="s">
        <v>98</v>
      </c>
      <c r="E13269" s="6" t="n">
        <f aca="false">Q!M35-Q!M36-Q!M44</f>
        <v>63.886</v>
      </c>
      <c r="F13269" s="6" t="n">
        <f aca="false">Sens!F13262-Sens!F13266-Sens!F13268</f>
        <v>3.6353010506223</v>
      </c>
      <c r="G13269" s="6" t="n">
        <f aca="false">Sens!G13262-Sens!G13266-Sens!G13268</f>
        <v>3.29006836243552</v>
      </c>
      <c r="H13269" s="6" t="n">
        <f aca="false">Sens!H13262-Sens!H13266-Sens!H13268</f>
        <v>27.2736682880255</v>
      </c>
      <c r="I13269" s="6" t="n">
        <f aca="false">Sens!I13262-Sens!I13266-Sens!I13268</f>
        <v>87.5443218953324</v>
      </c>
      <c r="J13269" s="6" t="n">
        <f aca="false">Sens!J13262-Sens!J13266-Sens!J13268</f>
        <v>153.539446884446</v>
      </c>
      <c r="K13269" s="6" t="n">
        <f aca="false">Sens!K13262-Sens!K13266-Sens!K13268</f>
        <v>184.63800782621</v>
      </c>
      <c r="L13269" s="12" t="s">
        <v>1121</v>
      </c>
    </row>
    <row r="13270" customFormat="false" ht="15" hidden="false" customHeight="false" outlineLevel="0" collapsed="false">
      <c r="A13270" s="1" t="s">
        <v>1122</v>
      </c>
      <c r="B13270" s="0" t="s">
        <v>75</v>
      </c>
      <c r="F13270" s="8" t="n">
        <f aca="false">dps_27</f>
        <v>3.85</v>
      </c>
      <c r="G13270" s="8" t="n">
        <f aca="false">Sens!F13270*(1+dps_g)</f>
        <v>4.158</v>
      </c>
      <c r="H13270" s="8" t="n">
        <f aca="false">Sens!G13270*(1+dps_g)</f>
        <v>4.49064</v>
      </c>
      <c r="I13270" s="8" t="n">
        <f aca="false">Sens!H13270*(1+dps_g)</f>
        <v>4.8498912</v>
      </c>
      <c r="J13270" s="8" t="n">
        <f aca="false">Sens!I13270*(1+dps_g)</f>
        <v>5.237882496</v>
      </c>
      <c r="K13270" s="8" t="n">
        <f aca="false">Sens!J13270*(1+dps_g)</f>
        <v>5.65691309568</v>
      </c>
    </row>
    <row r="13271" customFormat="false" ht="17.15" hidden="false" customHeight="false" outlineLevel="0" collapsed="false">
      <c r="A13271" s="1" t="s">
        <v>1123</v>
      </c>
      <c r="B13271" s="0" t="s">
        <v>98</v>
      </c>
      <c r="E13271" s="6" t="n">
        <f aca="false">Q!M41</f>
        <v>26.445</v>
      </c>
      <c r="F13271" s="6" t="n">
        <f aca="false">Sens!F13270*Sens!E13280</f>
        <v>28.59395</v>
      </c>
      <c r="G13271" s="6" t="n">
        <f aca="false">Sens!G13270*Sens!F13280</f>
        <v>31.068576</v>
      </c>
      <c r="H13271" s="6" t="n">
        <f aca="false">Sens!H13270*Sens!G13280</f>
        <v>33.75614088</v>
      </c>
      <c r="I13271" s="6" t="n">
        <f aca="false">Sens!I13270*Sens!H13280</f>
        <v>36.6748772544</v>
      </c>
      <c r="J13271" s="6" t="n">
        <f aca="false">Sens!J13270*Sens!I13280</f>
        <v>39.6767653201446</v>
      </c>
      <c r="K13271" s="6" t="n">
        <f aca="false">Sens!K13270*Sens!J13280</f>
        <v>42.9376608081345</v>
      </c>
      <c r="L13271" s="1" t="s">
        <v>1124</v>
      </c>
    </row>
    <row r="13272" customFormat="false" ht="15" hidden="false" customHeight="false" outlineLevel="0" collapsed="false">
      <c r="A13272" s="1" t="s">
        <v>1125</v>
      </c>
      <c r="B13272" s="0" t="s">
        <v>98</v>
      </c>
      <c r="E13272" s="6" t="n">
        <f aca="false">Sens!E13269-Sens!E13271</f>
        <v>37.441</v>
      </c>
      <c r="F13272" s="6" t="n">
        <f aca="false">Sens!F13269-Sens!F13271</f>
        <v>-24.9586489493777</v>
      </c>
      <c r="G13272" s="6" t="n">
        <f aca="false">Sens!G13269-Sens!G13271</f>
        <v>-27.7785076375645</v>
      </c>
      <c r="H13272" s="6" t="n">
        <f aca="false">Sens!H13269-Sens!H13271</f>
        <v>-6.4824725919745</v>
      </c>
      <c r="I13272" s="6" t="n">
        <f aca="false">Sens!I13269-Sens!I13271</f>
        <v>50.8694446409324</v>
      </c>
      <c r="J13272" s="6" t="n">
        <f aca="false">Sens!J13269-Sens!J13271</f>
        <v>113.862681564302</v>
      </c>
      <c r="K13272" s="6" t="n">
        <f aca="false">Sens!K13269-Sens!K13271</f>
        <v>141.700347018076</v>
      </c>
    </row>
    <row r="13273" customFormat="false" ht="15" hidden="false" customHeight="false" outlineLevel="0" collapsed="false">
      <c r="A13273" s="1" t="s">
        <v>1126</v>
      </c>
      <c r="B13273" s="0" t="s">
        <v>98</v>
      </c>
      <c r="F13273" s="6" t="n">
        <f aca="false">debt_mat_27</f>
        <v>9.25</v>
      </c>
      <c r="G13273" s="6" t="n">
        <f aca="false">debt_mat_28</f>
        <v>0</v>
      </c>
      <c r="H13273" s="6" t="n">
        <f aca="false">debt_mat_29</f>
        <v>2.001</v>
      </c>
      <c r="I13273" s="6" t="n">
        <f aca="false">debt_mat_30</f>
        <v>0</v>
      </c>
      <c r="J13273" s="6" t="n">
        <f aca="false">debt_mat_31</f>
        <v>0.5</v>
      </c>
      <c r="K13273" s="6" t="n">
        <f aca="false">debt_mat_32</f>
        <v>0</v>
      </c>
    </row>
    <row r="13274" customFormat="false" ht="15" hidden="false" customHeight="false" outlineLevel="0" collapsed="false">
      <c r="A13274" s="1" t="s">
        <v>1127</v>
      </c>
      <c r="B13274" s="0" t="s">
        <v>98</v>
      </c>
      <c r="E13274" s="6" t="n">
        <f aca="false">Q!M40</f>
        <v>22.271</v>
      </c>
      <c r="F13274" s="6" t="n">
        <f aca="false">MAX(0,MIN(bb_target,Sens!E13276+Sens!F13272-Sens!F13273-min_cash))</f>
        <v>0</v>
      </c>
      <c r="G13274" s="6" t="n">
        <f aca="false">MAX(0,MIN(bb_target,Sens!F13276+Sens!G13272-Sens!G13273-min_cash))</f>
        <v>0</v>
      </c>
      <c r="H13274" s="6" t="n">
        <f aca="false">MAX(0,MIN(bb_target,Sens!G13276+Sens!H13272-Sens!H13273-min_cash))</f>
        <v>0</v>
      </c>
      <c r="I13274" s="6" t="n">
        <f aca="false">MAX(0,MIN(bb_target,Sens!H13276+Sens!I13272-Sens!I13273-min_cash))</f>
        <v>22.271</v>
      </c>
      <c r="J13274" s="6" t="n">
        <f aca="false">MAX(0,MIN(bb_target,Sens!I13276+Sens!J13272-Sens!J13273-min_cash))</f>
        <v>22.271</v>
      </c>
      <c r="K13274" s="6" t="n">
        <f aca="false">MAX(0,MIN(bb_target,Sens!J13276+Sens!K13272-Sens!K13273-min_cash))</f>
        <v>22.271</v>
      </c>
    </row>
    <row r="13275" customFormat="false" ht="15" hidden="false" customHeight="false" outlineLevel="0" collapsed="false">
      <c r="A13275" s="1" t="s">
        <v>1128</v>
      </c>
      <c r="B13275" s="0" t="s">
        <v>98</v>
      </c>
      <c r="F13275" s="6" t="n">
        <f aca="false">MAX(0,min_cash-(Sens!E13276+Sens!F13272-Sens!F13273-Sens!F13274))</f>
        <v>7.3656489493777</v>
      </c>
      <c r="G13275" s="6" t="n">
        <f aca="false">MAX(0,min_cash-(Sens!F13276+Sens!G13272-Sens!G13273-Sens!G13274))</f>
        <v>27.7785076375645</v>
      </c>
      <c r="H13275" s="6" t="n">
        <f aca="false">MAX(0,min_cash-(Sens!G13276+Sens!H13272-Sens!H13273-Sens!H13274))</f>
        <v>8.4834725919745</v>
      </c>
      <c r="I13275" s="6" t="n">
        <f aca="false">MAX(0,min_cash-(Sens!H13276+Sens!I13272-Sens!I13273-Sens!I13274))</f>
        <v>0</v>
      </c>
      <c r="J13275" s="6" t="n">
        <f aca="false">MAX(0,min_cash-(Sens!I13276+Sens!J13272-Sens!J13273-Sens!J13274))</f>
        <v>0</v>
      </c>
      <c r="K13275" s="6" t="n">
        <f aca="false">MAX(0,min_cash-(Sens!J13276+Sens!K13272-Sens!K13273-Sens!K13274))</f>
        <v>0</v>
      </c>
    </row>
    <row r="13276" customFormat="false" ht="15" hidden="false" customHeight="false" outlineLevel="0" collapsed="false">
      <c r="A13276" s="1" t="s">
        <v>1129</v>
      </c>
      <c r="B13276" s="0" t="s">
        <v>98</v>
      </c>
      <c r="E13276" s="6" t="n">
        <f aca="false">cash_open</f>
        <v>76.843</v>
      </c>
      <c r="F13276" s="6" t="n">
        <f aca="false">Sens!E13276+Sens!F13272-Sens!F13273-Sens!F13274+Sens!F13275</f>
        <v>50</v>
      </c>
      <c r="G13276" s="6" t="n">
        <f aca="false">Sens!F13276+Sens!G13272-Sens!G13273-Sens!G13274+Sens!G13275</f>
        <v>50</v>
      </c>
      <c r="H13276" s="6" t="n">
        <f aca="false">Sens!G13276+Sens!H13272-Sens!H13273-Sens!H13274+Sens!H13275</f>
        <v>50</v>
      </c>
      <c r="I13276" s="6" t="n">
        <f aca="false">Sens!H13276+Sens!I13272-Sens!I13273-Sens!I13274+Sens!I13275</f>
        <v>78.5984446409324</v>
      </c>
      <c r="J13276" s="6" t="n">
        <f aca="false">Sens!I13276+Sens!J13272-Sens!J13273-Sens!J13274+Sens!J13275</f>
        <v>169.690126205234</v>
      </c>
      <c r="K13276" s="6" t="n">
        <f aca="false">Sens!J13276+Sens!K13272-Sens!K13273-Sens!K13274+Sens!K13275</f>
        <v>289.119473223309</v>
      </c>
    </row>
    <row r="13277" customFormat="false" ht="15" hidden="false" customHeight="false" outlineLevel="0" collapsed="false">
      <c r="A13277" s="1" t="s">
        <v>1130</v>
      </c>
      <c r="B13277" s="0" t="s">
        <v>98</v>
      </c>
      <c r="E13277" s="6" t="n">
        <f aca="false">debt_face</f>
        <v>46.136</v>
      </c>
      <c r="F13277" s="6" t="n">
        <f aca="false">Sens!E13277-Sens!F13273+Sens!F13275</f>
        <v>44.2516489493777</v>
      </c>
      <c r="G13277" s="6" t="n">
        <f aca="false">Sens!F13277-Sens!G13273+Sens!G13275</f>
        <v>72.0301565869422</v>
      </c>
      <c r="H13277" s="6" t="n">
        <f aca="false">Sens!G13277-Sens!H13273+Sens!H13275</f>
        <v>78.5126291789167</v>
      </c>
      <c r="I13277" s="6" t="n">
        <f aca="false">Sens!H13277-Sens!I13273+Sens!I13275</f>
        <v>78.5126291789167</v>
      </c>
      <c r="J13277" s="6" t="n">
        <f aca="false">Sens!I13277-Sens!J13273+Sens!J13275</f>
        <v>78.0126291789167</v>
      </c>
      <c r="K13277" s="6" t="n">
        <f aca="false">Sens!J13277-Sens!K13273+Sens!K13275</f>
        <v>78.0126291789167</v>
      </c>
    </row>
    <row r="13278" customFormat="false" ht="15" hidden="false" customHeight="false" outlineLevel="0" collapsed="false">
      <c r="A13278" s="1" t="s">
        <v>1131</v>
      </c>
      <c r="B13278" s="0" t="s">
        <v>98</v>
      </c>
      <c r="E13278" s="6" t="n">
        <f aca="false">Sens!E13276-Sens!E13277</f>
        <v>30.707</v>
      </c>
      <c r="F13278" s="6" t="n">
        <f aca="false">Sens!F13276-Sens!F13277</f>
        <v>5.7483510506223</v>
      </c>
      <c r="G13278" s="6" t="n">
        <f aca="false">Sens!G13276-Sens!G13277</f>
        <v>-22.0301565869422</v>
      </c>
      <c r="H13278" s="6" t="n">
        <f aca="false">Sens!H13276-Sens!H13277</f>
        <v>-28.5126291789167</v>
      </c>
      <c r="I13278" s="6" t="n">
        <f aca="false">Sens!I13276-Sens!I13277</f>
        <v>0.0858154620156739</v>
      </c>
      <c r="J13278" s="6" t="n">
        <f aca="false">Sens!J13276-Sens!J13277</f>
        <v>91.6774970263172</v>
      </c>
      <c r="K13278" s="6" t="n">
        <f aca="false">Sens!K13276-Sens!K13277</f>
        <v>211.106844044393</v>
      </c>
    </row>
    <row r="13279" customFormat="false" ht="15" hidden="false" customHeight="false" outlineLevel="0" collapsed="false">
      <c r="A13279" s="1" t="s">
        <v>1132</v>
      </c>
      <c r="B13279" s="0" t="s">
        <v>75</v>
      </c>
      <c r="F13279" s="30" t="n">
        <f aca="false">px*(1+bb_g)^(Sens!F13137-base_fy-mid_yr)</f>
        <v>551.84177959629</v>
      </c>
      <c r="G13279" s="30" t="n">
        <f aca="false">px*(1+bb_g)^(Sens!G13137-base_fy-mid_yr)</f>
        <v>595.989121963993</v>
      </c>
      <c r="H13279" s="30" t="n">
        <f aca="false">px*(1+bb_g)^(Sens!H13137-base_fy-mid_yr)</f>
        <v>643.668251721112</v>
      </c>
      <c r="I13279" s="30" t="n">
        <f aca="false">px*(1+bb_g)^(Sens!I13137-base_fy-mid_yr)</f>
        <v>695.161711858801</v>
      </c>
      <c r="J13279" s="30" t="n">
        <f aca="false">px*(1+bb_g)^(Sens!J13137-base_fy-mid_yr)</f>
        <v>750.774648807506</v>
      </c>
      <c r="K13279" s="30" t="n">
        <f aca="false">px*(1+bb_g)^(Sens!K13137-base_fy-mid_yr)</f>
        <v>810.836620712106</v>
      </c>
    </row>
    <row r="13280" customFormat="false" ht="15" hidden="false" customHeight="false" outlineLevel="0" collapsed="false">
      <c r="A13280" s="1" t="s">
        <v>1133</v>
      </c>
      <c r="B13280" s="1" t="s">
        <v>81</v>
      </c>
      <c r="E13280" s="15" t="n">
        <f aca="false">sh_out26</f>
        <v>7.427</v>
      </c>
      <c r="F13280" s="15" t="n">
        <f aca="false">Sens!E13280+sh_iss-Sens!F13274/Sens!F13279</f>
        <v>7.472</v>
      </c>
      <c r="G13280" s="15" t="n">
        <f aca="false">Sens!F13280+sh_iss-Sens!G13274/Sens!G13279</f>
        <v>7.517</v>
      </c>
      <c r="H13280" s="15" t="n">
        <f aca="false">Sens!G13280+sh_iss-Sens!H13274/Sens!H13279</f>
        <v>7.562</v>
      </c>
      <c r="I13280" s="15" t="n">
        <f aca="false">Sens!H13280+sh_iss-Sens!I13274/Sens!I13279</f>
        <v>7.57496285005334</v>
      </c>
      <c r="J13280" s="15" t="n">
        <f aca="false">Sens!I13280+sh_iss-Sens!J13274/Sens!J13279</f>
        <v>7.59029882232494</v>
      </c>
      <c r="K13280" s="15" t="n">
        <f aca="false">Sens!J13280+sh_iss-Sens!K13274/Sens!K13279</f>
        <v>7.60783212998384</v>
      </c>
    </row>
    <row r="13281" customFormat="false" ht="15" hidden="false" customHeight="false" outlineLevel="0" collapsed="false">
      <c r="A13281" s="1" t="s">
        <v>1134</v>
      </c>
      <c r="B13281" s="1" t="s">
        <v>81</v>
      </c>
      <c r="E13281" s="15" t="n">
        <f aca="false">sh_dil26</f>
        <v>7.453</v>
      </c>
      <c r="F13281" s="15" t="n">
        <f aca="false">(Sens!E13280+Sens!F13280)/2+dil_gap</f>
        <v>7.4735</v>
      </c>
      <c r="G13281" s="15" t="n">
        <f aca="false">(Sens!F13280+Sens!G13280)/2+dil_gap</f>
        <v>7.5185</v>
      </c>
      <c r="H13281" s="15" t="n">
        <f aca="false">(Sens!G13280+Sens!H13280)/2+dil_gap</f>
        <v>7.5635</v>
      </c>
      <c r="I13281" s="15" t="n">
        <f aca="false">(Sens!H13280+Sens!I13280)/2+dil_gap</f>
        <v>7.59248142502667</v>
      </c>
      <c r="J13281" s="15" t="n">
        <f aca="false">(Sens!I13280+Sens!J13280)/2+dil_gap</f>
        <v>7.60663083618914</v>
      </c>
      <c r="K13281" s="15" t="n">
        <f aca="false">(Sens!J13280+Sens!K13280)/2+dil_gap</f>
        <v>7.62306547615439</v>
      </c>
    </row>
    <row r="13282" customFormat="false" ht="17.15" hidden="false" customHeight="false" outlineLevel="0" collapsed="false">
      <c r="A13282" s="1" t="s">
        <v>1135</v>
      </c>
      <c r="B13282" s="0" t="s">
        <v>98</v>
      </c>
      <c r="C13282" s="6" t="n">
        <f aca="false">SUM(Sens!F13272:J13272)</f>
        <v>105.512497026317</v>
      </c>
    </row>
    <row r="13283" customFormat="false" ht="15" hidden="false" customHeight="false" outlineLevel="0" collapsed="false">
      <c r="A13283" s="26" t="s">
        <v>1100</v>
      </c>
      <c r="B13283" s="31" t="s">
        <v>98</v>
      </c>
      <c r="C13283" s="27" t="n">
        <f aca="false">Sens!$C$13282-(Sens!F13272+Sens!G13272+Sens!H13272+Sens!I13272+Sens!J13272)</f>
        <v>0</v>
      </c>
      <c r="D13283" s="31"/>
      <c r="E13283" s="31"/>
      <c r="F13283" s="31"/>
      <c r="G13283" s="31"/>
      <c r="H13283" s="31"/>
      <c r="I13283" s="31"/>
      <c r="J13283" s="31"/>
      <c r="K13283" s="31"/>
    </row>
    <row r="13284" customFormat="false" ht="17.15" hidden="false" customHeight="false" outlineLevel="0" collapsed="false">
      <c r="A13284" s="1" t="s">
        <v>1094</v>
      </c>
      <c r="B13284" s="1" t="s">
        <v>1136</v>
      </c>
      <c r="C13284" s="33" t="str">
        <f aca="false">IF(SUM(Sens!F13275:J13275)&gt;0.05,"需要舉債 "&amp;TEXT(SUM(Sens!F13275:J13275),"0.0")&amp;" 十億美元","不需舉債")&amp;"；"&amp;IF(SUM(Sens!F13274:J13274)&lt;COUNT(Sens!F13274:J13274)*bb_target-0.05,"回購較每年 "&amp;TEXT(bb_target,"0.0")&amp;" 的目標少 "&amp;TEXT(COUNT(Sens!F13274:J13274)*bb_target-SUM(Sens!F13274:J13274),"0.0")&amp;" 十億美元（"&amp;TEXT(COUNTIF(Sens!F13274:J13274,"&lt;"&amp;(bb_target-0.05)),"0")&amp;" 年減少）","回購不減")</f>
        <v>需要舉債 43.6 十億美元；回購較每年 22.3 的目標少 66.8 十億美元（3 年減少）</v>
      </c>
    </row>
    <row r="13285" customFormat="false" ht="17.15" hidden="false" customHeight="false" outlineLevel="0" collapsed="false">
      <c r="A13285" s="3" t="s">
        <v>1944</v>
      </c>
    </row>
    <row r="13286" customFormat="false" ht="15" hidden="false" customHeight="false" outlineLevel="0" collapsed="false">
      <c r="A13286" s="4" t="s">
        <v>43</v>
      </c>
      <c r="B13286" s="4" t="s">
        <v>65</v>
      </c>
      <c r="C13286" s="23" t="s">
        <v>942</v>
      </c>
      <c r="D13286" s="23" t="s">
        <v>943</v>
      </c>
      <c r="E13286" s="23" t="s">
        <v>944</v>
      </c>
      <c r="F13286" s="23" t="s">
        <v>945</v>
      </c>
      <c r="G13286" s="23" t="s">
        <v>946</v>
      </c>
      <c r="H13286" s="23" t="s">
        <v>947</v>
      </c>
      <c r="I13286" s="23" t="s">
        <v>948</v>
      </c>
      <c r="J13286" s="23" t="s">
        <v>949</v>
      </c>
      <c r="K13286" s="23" t="s">
        <v>950</v>
      </c>
      <c r="L13286" s="4" t="s">
        <v>47</v>
      </c>
    </row>
    <row r="13287" customFormat="false" ht="17.15" hidden="false" customHeight="false" outlineLevel="0" collapsed="false">
      <c r="A13287" s="1" t="s">
        <v>1216</v>
      </c>
      <c r="B13287" s="1" t="s">
        <v>279</v>
      </c>
      <c r="F13287" s="8" t="n">
        <f aca="false">(1-v_off)*mid_yr</f>
        <v>0.373972602739726</v>
      </c>
      <c r="G13287" s="8" t="n">
        <f aca="false">Sens!G13137-base_fy-mid_yr-v_off</f>
        <v>1.24794520547945</v>
      </c>
      <c r="H13287" s="8" t="n">
        <f aca="false">Sens!H13137-base_fy-mid_yr-v_off</f>
        <v>2.24794520547945</v>
      </c>
      <c r="I13287" s="8" t="n">
        <f aca="false">Sens!I13137-base_fy-mid_yr-v_off</f>
        <v>3.24794520547945</v>
      </c>
      <c r="J13287" s="8" t="n">
        <f aca="false">Sens!J13137-base_fy-mid_yr-v_off</f>
        <v>4.24794520547945</v>
      </c>
      <c r="K13287" s="8" t="n">
        <f aca="false">Sens!K13137-base_fy-mid_yr-v_off</f>
        <v>5.24794520547945</v>
      </c>
      <c r="L13287" s="12" t="s">
        <v>1217</v>
      </c>
    </row>
    <row r="13288" customFormat="false" ht="15" hidden="false" customHeight="false" outlineLevel="0" collapsed="false">
      <c r="A13288" s="1" t="s">
        <v>1218</v>
      </c>
      <c r="B13288" s="1" t="s">
        <v>279</v>
      </c>
      <c r="F13288" s="8" t="n">
        <f aca="false">Sens!F13137-base_fy-v_off</f>
        <v>0.747945205479452</v>
      </c>
      <c r="G13288" s="8" t="n">
        <f aca="false">Sens!G13137-base_fy-v_off</f>
        <v>1.74794520547945</v>
      </c>
      <c r="H13288" s="8" t="n">
        <f aca="false">Sens!H13137-base_fy-v_off</f>
        <v>2.74794520547945</v>
      </c>
      <c r="I13288" s="8" t="n">
        <f aca="false">Sens!I13137-base_fy-v_off</f>
        <v>3.74794520547945</v>
      </c>
      <c r="J13288" s="8" t="n">
        <f aca="false">Sens!J13137-base_fy-v_off</f>
        <v>4.74794520547945</v>
      </c>
      <c r="K13288" s="8" t="n">
        <f aca="false">Sens!K13137-base_fy-v_off</f>
        <v>5.74794520547945</v>
      </c>
    </row>
    <row r="13289" customFormat="false" ht="15" hidden="false" customHeight="false" outlineLevel="0" collapsed="false">
      <c r="A13289" s="1" t="s">
        <v>1219</v>
      </c>
      <c r="B13289" s="0" t="s">
        <v>229</v>
      </c>
      <c r="F13289" s="15" t="n">
        <f aca="false">1/(1+wacc)^Sens!F13287</f>
        <v>0.964022703286649</v>
      </c>
      <c r="G13289" s="15" t="n">
        <f aca="false">1/(1+wacc)^Sens!G13287</f>
        <v>0.884910302296739</v>
      </c>
      <c r="H13289" s="15" t="n">
        <f aca="false">1/(1+wacc)^Sens!H13287</f>
        <v>0.802322009770358</v>
      </c>
      <c r="I13289" s="15" t="n">
        <f aca="false">1/(1+wacc)^Sens!I13287</f>
        <v>0.727441646561469</v>
      </c>
      <c r="J13289" s="15" t="n">
        <f aca="false">1/(1+wacc)^Sens!J13287</f>
        <v>0.659549834988973</v>
      </c>
      <c r="K13289" s="15" t="n">
        <f aca="false">1/(1+wacc)^Sens!K13287</f>
        <v>0.597994336576966</v>
      </c>
    </row>
    <row r="13290" customFormat="false" ht="17.15" hidden="false" customHeight="false" outlineLevel="0" collapsed="false">
      <c r="A13290" s="1" t="s">
        <v>1220</v>
      </c>
      <c r="B13290" s="0" t="s">
        <v>98</v>
      </c>
      <c r="F13290" s="6" t="n">
        <f aca="false">Q!$I$35-Q!$I$39-Q!$I$43</f>
        <v>9.666</v>
      </c>
      <c r="L13290" s="12" t="s">
        <v>1221</v>
      </c>
    </row>
    <row r="13291" customFormat="false" ht="17.15" hidden="false" customHeight="false" outlineLevel="0" collapsed="false">
      <c r="A13291" s="1" t="s">
        <v>1222</v>
      </c>
      <c r="B13291" s="0" t="s">
        <v>98</v>
      </c>
      <c r="F13291" s="6" t="n">
        <f aca="false">Sens!F13262-Sens!F13259-Sens!F13266+Sens!F13244*(1-tax_f)*(1-v_off)-Sens!F13290</f>
        <v>-10.2487315624757</v>
      </c>
      <c r="G13291" s="6" t="n">
        <f aca="false">Sens!G13262-Sens!G13259-Sens!G13266+Sens!G13244*(1-tax_f)</f>
        <v>13.0245666912334</v>
      </c>
      <c r="H13291" s="6" t="n">
        <f aca="false">Sens!H13262-Sens!H13259-Sens!H13266+Sens!H13244*(1-tax_f)</f>
        <v>49.3540074945998</v>
      </c>
      <c r="I13291" s="6" t="n">
        <f aca="false">Sens!I13262-Sens!I13259-Sens!I13266+Sens!I13244*(1-tax_f)</f>
        <v>120.755455313927</v>
      </c>
      <c r="J13291" s="6" t="n">
        <f aca="false">Sens!J13262-Sens!J13259-Sens!J13266+Sens!J13244*(1-tax_f)</f>
        <v>194.264448544669</v>
      </c>
      <c r="K13291" s="6" t="n">
        <f aca="false">Sens!K13262-Sens!K13259-Sens!K13266+Sens!K13244*(1-tax_f)</f>
        <v>229.353894954514</v>
      </c>
      <c r="L13291" s="1" t="s">
        <v>1223</v>
      </c>
    </row>
    <row r="13292" customFormat="false" ht="15" hidden="false" customHeight="false" outlineLevel="0" collapsed="false">
      <c r="A13292" s="1" t="s">
        <v>1224</v>
      </c>
      <c r="B13292" s="0" t="s">
        <v>98</v>
      </c>
      <c r="F13292" s="6" t="n">
        <f aca="false">Sens!F13291*Sens!F13289</f>
        <v>-9.88000990611704</v>
      </c>
      <c r="G13292" s="6" t="n">
        <f aca="false">Sens!G13291*Sens!G13289</f>
        <v>11.5255732480234</v>
      </c>
      <c r="H13292" s="6" t="n">
        <f aca="false">Sens!H13291*Sens!H13289</f>
        <v>39.5978064832886</v>
      </c>
      <c r="I13292" s="6" t="n">
        <f aca="false">Sens!I13291*Sens!I13289</f>
        <v>87.8425472448429</v>
      </c>
      <c r="J13292" s="6" t="n">
        <f aca="false">Sens!J13291*Sens!J13289</f>
        <v>128.12708498186</v>
      </c>
      <c r="K13292" s="6" t="n">
        <f aca="false">Sens!K13291*Sens!K13289</f>
        <v>137.152330254668</v>
      </c>
    </row>
    <row r="13293" customFormat="false" ht="17.15" hidden="false" customHeight="false" outlineLevel="0" collapsed="false">
      <c r="A13293" s="1" t="s">
        <v>1225</v>
      </c>
      <c r="B13293" s="0" t="s">
        <v>98</v>
      </c>
      <c r="C13293" s="6" t="n">
        <f aca="false">SUM(Sens!F13292:K13292)</f>
        <v>394.365332306566</v>
      </c>
    </row>
    <row r="13294" customFormat="false" ht="17.15" hidden="false" customHeight="false" outlineLevel="0" collapsed="false">
      <c r="A13294" s="1" t="s">
        <v>1226</v>
      </c>
      <c r="B13294" s="0" t="s">
        <v>98</v>
      </c>
      <c r="C13294" s="6" t="n">
        <f aca="false">Sens!K13230*(1+g_tv)*(1-tax_f)</f>
        <v>238.664623885129</v>
      </c>
    </row>
    <row r="13295" customFormat="false" ht="17.15" hidden="false" customHeight="false" outlineLevel="0" collapsed="false">
      <c r="A13295" s="1" t="s">
        <v>1227</v>
      </c>
      <c r="B13295" s="0" t="s">
        <v>98</v>
      </c>
      <c r="C13295" s="6" t="n">
        <f aca="false">Sens!$C$13294*(1-g_tv/(wacc+ronic_prem))</f>
        <v>169.107835081642</v>
      </c>
    </row>
    <row r="13296" customFormat="false" ht="17.15" hidden="false" customHeight="false" outlineLevel="0" collapsed="false">
      <c r="A13296" s="1" t="s">
        <v>1228</v>
      </c>
      <c r="B13296" s="0" t="s">
        <v>98</v>
      </c>
      <c r="C13296" s="6" t="n">
        <f aca="false">Sens!$C$13295/(wacc-g_tv)</f>
        <v>2318.55962678291</v>
      </c>
    </row>
    <row r="13297" customFormat="false" ht="15" hidden="false" customHeight="false" outlineLevel="0" collapsed="false">
      <c r="A13297" s="1" t="s">
        <v>1229</v>
      </c>
      <c r="B13297" s="0" t="s">
        <v>98</v>
      </c>
      <c r="C13297" s="6" t="n">
        <f aca="false">Sens!$C$13296/(1+wacc)^Sens!K13288</f>
        <v>1320.20103105772</v>
      </c>
    </row>
    <row r="13298" customFormat="false" ht="17.15" hidden="false" customHeight="false" outlineLevel="0" collapsed="false">
      <c r="A13298" s="0" t="s">
        <v>1230</v>
      </c>
      <c r="B13298" s="0" t="s">
        <v>98</v>
      </c>
      <c r="C13298" s="6" t="n">
        <f aca="false">Sens!$C$13293+Sens!$C$13297</f>
        <v>1714.56636336429</v>
      </c>
    </row>
    <row r="13299" customFormat="false" ht="15" hidden="false" customHeight="false" outlineLevel="0" collapsed="false">
      <c r="A13299" s="1" t="s">
        <v>1145</v>
      </c>
      <c r="B13299" s="0" t="s">
        <v>168</v>
      </c>
      <c r="C13299" s="7" t="n">
        <f aca="false">Sens!$C$13297/Sens!$C$13298</f>
        <v>0.769991211344686</v>
      </c>
    </row>
    <row r="13300" customFormat="false" ht="17.15" hidden="false" customHeight="false" outlineLevel="0" collapsed="false">
      <c r="A13300" s="1" t="s">
        <v>1231</v>
      </c>
      <c r="B13300" s="0" t="s">
        <v>98</v>
      </c>
      <c r="C13300" s="6" t="n">
        <f aca="false">Sens!$C$13298+cash_val-debt_val-fl_val+oai_v</f>
        <v>1830.41736336429</v>
      </c>
    </row>
    <row r="13301" customFormat="false" ht="17.15" hidden="false" customHeight="false" outlineLevel="0" collapsed="false">
      <c r="A13301" s="0" t="s">
        <v>1153</v>
      </c>
      <c r="B13301" s="0" t="s">
        <v>75</v>
      </c>
      <c r="C13301" s="5" t="n">
        <f aca="false">Sens!$C$13300/shd_val</f>
        <v>245.825592716128</v>
      </c>
    </row>
    <row r="13302" customFormat="false" ht="15" hidden="false" customHeight="false" outlineLevel="0" collapsed="false">
      <c r="A13302" s="1" t="s">
        <v>1232</v>
      </c>
      <c r="B13302" s="0" t="s">
        <v>75</v>
      </c>
      <c r="C13302" s="8" t="n">
        <f aca="false">div_rem27+Sens!G13270*roll_div_q/q_per_yr</f>
        <v>3.9795</v>
      </c>
    </row>
    <row r="13303" customFormat="false" ht="17.15" hidden="false" customHeight="false" outlineLevel="0" collapsed="false">
      <c r="A13303" s="0" t="s">
        <v>1233</v>
      </c>
      <c r="B13303" s="0" t="s">
        <v>75</v>
      </c>
      <c r="C13303" s="5" t="n">
        <f aca="false">Sens!$C$13301*(1+wacc)^t_roll-Sens!$C$13302</f>
        <v>269.269366013155</v>
      </c>
    </row>
    <row r="13304" customFormat="false" ht="17.15" hidden="false" customHeight="false" outlineLevel="0" collapsed="false">
      <c r="A13304" s="1" t="s">
        <v>1234</v>
      </c>
      <c r="B13304" s="0" t="s">
        <v>168</v>
      </c>
      <c r="F13304" s="7" t="n">
        <f aca="false">Sens!F13256/(Sens!F13201-Sens!F13156)</f>
        <v>0.068677393452264</v>
      </c>
      <c r="G13304" s="7" t="n">
        <f aca="false">Sens!G13256/(Sens!G13201-Sens!G13156)</f>
        <v>0.0663132664471956</v>
      </c>
      <c r="H13304" s="7" t="n">
        <f aca="false">Sens!H13256/(Sens!H13201-Sens!H13156)</f>
        <v>0.0651363826734039</v>
      </c>
      <c r="I13304" s="7" t="n">
        <f aca="false">Sens!I13256/(Sens!I13201-Sens!I13156)</f>
        <v>0.0650087936347709</v>
      </c>
      <c r="J13304" s="7" t="n">
        <f aca="false">Sens!J13256/(Sens!J13201-Sens!J13156)</f>
        <v>0.0657212684841778</v>
      </c>
      <c r="K13304" s="7" t="n">
        <f aca="false">Sens!K13256/(Sens!K13201-Sens!K13156)</f>
        <v>0.0670413306015285</v>
      </c>
    </row>
    <row r="13305" customFormat="false" ht="17.15" hidden="false" customHeight="false" outlineLevel="0" collapsed="false">
      <c r="A13305" s="0" t="s">
        <v>1235</v>
      </c>
      <c r="B13305" s="0" t="s">
        <v>98</v>
      </c>
      <c r="F13305" s="6" t="n">
        <f aca="false">Sens!F13186*(al_m365+Sens!F13304+sbc_r)</f>
        <v>82.9185219618347</v>
      </c>
      <c r="G13305" s="6" t="n">
        <f aca="false">Sens!G13186*(al_m365+Sens!G13304+sbc_r)</f>
        <v>93.3068052157631</v>
      </c>
      <c r="H13305" s="6" t="n">
        <f aca="false">Sens!H13186*(al_m365+Sens!H13304+sbc_r)</f>
        <v>103.856057136159</v>
      </c>
      <c r="I13305" s="6" t="n">
        <f aca="false">Sens!I13186*(al_m365+Sens!I13304+sbc_r)</f>
        <v>113.889717587147</v>
      </c>
      <c r="J13305" s="6" t="n">
        <f aca="false">Sens!J13186*(al_m365+Sens!J13304+sbc_r)</f>
        <v>123.218477864124</v>
      </c>
      <c r="K13305" s="6" t="n">
        <f aca="false">Sens!K13186*(al_m365+Sens!K13304+sbc_r)</f>
        <v>132.149420086311</v>
      </c>
      <c r="L13305" s="12" t="s">
        <v>1236</v>
      </c>
    </row>
    <row r="13306" customFormat="false" ht="17.15" hidden="false" customHeight="false" outlineLevel="0" collapsed="false">
      <c r="A13306" s="0" t="s">
        <v>1237</v>
      </c>
      <c r="B13306" s="0" t="s">
        <v>98</v>
      </c>
      <c r="F13306" s="6" t="n">
        <f aca="false">Sens!F13187*(al_lic+Sens!F13304+sbc_r)</f>
        <v>32.8599853992256</v>
      </c>
      <c r="G13306" s="6" t="n">
        <f aca="false">Sens!G13187*(al_lic+Sens!G13304+sbc_r)</f>
        <v>34.1568280697879</v>
      </c>
      <c r="H13306" s="6" t="n">
        <f aca="false">Sens!H13187*(al_lic+Sens!H13304+sbc_r)</f>
        <v>35.3635535007213</v>
      </c>
      <c r="I13306" s="6" t="n">
        <f aca="false">Sens!I13187*(al_lic+Sens!I13304+sbc_r)</f>
        <v>36.4604537346553</v>
      </c>
      <c r="J13306" s="6" t="n">
        <f aca="false">Sens!J13187*(al_lic+Sens!J13304+sbc_r)</f>
        <v>37.4245888933574</v>
      </c>
      <c r="K13306" s="6" t="n">
        <f aca="false">Sens!K13187*(al_lic+Sens!K13304+sbc_r)</f>
        <v>38.2321483186439</v>
      </c>
    </row>
    <row r="13307" customFormat="false" ht="17.15" hidden="false" customHeight="false" outlineLevel="0" collapsed="false">
      <c r="A13307" s="0" t="s">
        <v>1238</v>
      </c>
      <c r="B13307" s="0" t="s">
        <v>98</v>
      </c>
      <c r="F13307" s="6" t="n">
        <f aca="false">Sens!F13189*(al_ind+Sens!F13304+sbc_r)</f>
        <v>9.06170747885803</v>
      </c>
      <c r="G13307" s="6" t="n">
        <f aca="false">Sens!G13189*(al_ind+Sens!G13304+sbc_r)</f>
        <v>9.8478979082138</v>
      </c>
      <c r="H13307" s="6" t="n">
        <f aca="false">Sens!H13189*(al_ind+Sens!H13304+sbc_r)</f>
        <v>10.6768254332059</v>
      </c>
      <c r="I13307" s="6" t="n">
        <f aca="false">Sens!I13189*(al_ind+Sens!I13304+sbc_r)</f>
        <v>11.54398793803</v>
      </c>
      <c r="J13307" s="6" t="n">
        <f aca="false">Sens!J13189*(al_ind+Sens!J13304+sbc_r)</f>
        <v>12.4407914253112</v>
      </c>
      <c r="K13307" s="6" t="n">
        <f aca="false">Sens!K13189*(al_ind+Sens!K13304+sbc_r)</f>
        <v>13.355239066864</v>
      </c>
    </row>
    <row r="13308" customFormat="false" ht="17.15" hidden="false" customHeight="false" outlineLevel="0" collapsed="false">
      <c r="A13308" s="0" t="s">
        <v>1239</v>
      </c>
      <c r="B13308" s="0" t="s">
        <v>98</v>
      </c>
      <c r="F13308" s="6" t="n">
        <f aca="false">Sens!F13191*(al_fro+Sens!F13304+sbc_r)</f>
        <v>3.55453569939552</v>
      </c>
      <c r="G13308" s="6" t="n">
        <f aca="false">Sens!G13191*(al_fro+Sens!G13304+sbc_r)</f>
        <v>3.76809436159872</v>
      </c>
      <c r="H13308" s="6" t="n">
        <f aca="false">Sens!H13191*(al_fro+Sens!H13304+sbc_r)</f>
        <v>4.00964905674607</v>
      </c>
      <c r="I13308" s="6" t="n">
        <f aca="false">Sens!I13191*(al_fro+Sens!I13304+sbc_r)</f>
        <v>4.28152633145235</v>
      </c>
      <c r="J13308" s="6" t="n">
        <f aca="false">Sens!J13191*(al_fro+Sens!J13304+sbc_r)</f>
        <v>4.58536512975975</v>
      </c>
      <c r="K13308" s="6" t="n">
        <f aca="false">Sens!K13191*(al_fro+Sens!K13304+sbc_r)</f>
        <v>4.92240770086468</v>
      </c>
    </row>
    <row r="13309" customFormat="false" ht="17.15" hidden="false" customHeight="false" outlineLevel="0" collapsed="false">
      <c r="A13309" s="0" t="s">
        <v>1240</v>
      </c>
      <c r="B13309" s="0" t="s">
        <v>98</v>
      </c>
      <c r="F13309" s="6" t="n">
        <f aca="false">Sens!F13194*(al_srch+Sens!F13304+sbc_r)</f>
        <v>11.190683952584</v>
      </c>
      <c r="G13309" s="6" t="n">
        <f aca="false">Sens!G13194*(al_srch+Sens!G13304+sbc_r)</f>
        <v>12.2763328717258</v>
      </c>
      <c r="H13309" s="6" t="n">
        <f aca="false">Sens!H13194*(al_srch+Sens!H13304+sbc_r)</f>
        <v>13.4043563346576</v>
      </c>
      <c r="I13309" s="6" t="n">
        <f aca="false">Sens!I13194*(al_srch+Sens!I13304+sbc_r)</f>
        <v>14.5621512181916</v>
      </c>
      <c r="J13309" s="6" t="n">
        <f aca="false">Sens!J13194*(al_srch+Sens!J13304+sbc_r)</f>
        <v>15.7310381862385</v>
      </c>
      <c r="K13309" s="6" t="n">
        <f aca="false">Sens!K13194*(al_srch+Sens!K13304+sbc_r)</f>
        <v>16.8873320486462</v>
      </c>
    </row>
    <row r="13310" customFormat="false" ht="17.15" hidden="false" customHeight="false" outlineLevel="0" collapsed="false">
      <c r="A13310" s="0" t="s">
        <v>1241</v>
      </c>
      <c r="B13310" s="0" t="s">
        <v>98</v>
      </c>
      <c r="F13310" s="6" t="n">
        <f aca="false">Sens!F13162-Sens!F13163+Sens!F13244</f>
        <v>39.0746429794913</v>
      </c>
      <c r="G13310" s="6" t="n">
        <f aca="false">Sens!G13162-Sens!G13163+Sens!G13244</f>
        <v>69.630497726016</v>
      </c>
      <c r="H13310" s="6" t="n">
        <f aca="false">Sens!H13162-Sens!H13163+Sens!H13244</f>
        <v>97.0397106808268</v>
      </c>
      <c r="I13310" s="6" t="n">
        <f aca="false">Sens!I13162-Sens!I13163+Sens!I13244</f>
        <v>127.924939766446</v>
      </c>
      <c r="J13310" s="6" t="n">
        <f aca="false">Sens!J13162-Sens!J13163+Sens!J13244</f>
        <v>149.608352681229</v>
      </c>
      <c r="K13310" s="6" t="n">
        <f aca="false">Sens!K13162-Sens!K13163+Sens!K13244</f>
        <v>163.061822021841</v>
      </c>
    </row>
    <row r="13311" customFormat="false" ht="17.15" hidden="false" customHeight="false" outlineLevel="0" collapsed="false">
      <c r="A13311" s="0" t="s">
        <v>1242</v>
      </c>
      <c r="B13311" s="0" t="s">
        <v>98</v>
      </c>
      <c r="F13311" s="6" t="n">
        <f aca="false">Sens!F13223+Sens!F13244+Sens!F13174+Sens!F13304*(Sens!F13193-Sens!F13156)+sbc_r*Sens!F13193</f>
        <v>230.620178387748</v>
      </c>
      <c r="G13311" s="6" t="n">
        <f aca="false">Sens!G13223+Sens!G13244+Sens!G13174+Sens!G13304*(Sens!G13193-Sens!G13156)+sbc_r*Sens!G13193</f>
        <v>279.34475833423</v>
      </c>
      <c r="H13311" s="6" t="n">
        <f aca="false">Sens!H13223+Sens!H13244+Sens!H13174+Sens!H13304*(Sens!H13193-Sens!H13156)+sbc_r*Sens!H13193</f>
        <v>331.421674587424</v>
      </c>
      <c r="I13311" s="6" t="n">
        <f aca="false">Sens!I13223+Sens!I13244+Sens!I13174+Sens!I13304*(Sens!I13193-Sens!I13156)+sbc_r*Sens!I13193</f>
        <v>386.385728735541</v>
      </c>
      <c r="J13311" s="6" t="n">
        <f aca="false">Sens!J13223+Sens!J13244+Sens!J13174+Sens!J13304*(Sens!J13193-Sens!J13156)+sbc_r*Sens!J13193</f>
        <v>430.283278062386</v>
      </c>
      <c r="K13311" s="6" t="n">
        <f aca="false">Sens!K13223+Sens!K13244+Sens!K13174+Sens!K13304*(Sens!K13193-Sens!K13156)+sbc_r*Sens!K13193</f>
        <v>463.680143904801</v>
      </c>
    </row>
    <row r="13312" customFormat="false" ht="17.15" hidden="false" customHeight="false" outlineLevel="0" collapsed="false">
      <c r="A13312" s="0" t="s">
        <v>1243</v>
      </c>
      <c r="B13312" s="0" t="s">
        <v>98</v>
      </c>
      <c r="F13312" s="6" t="n">
        <f aca="false">Sens!F13311-Sens!F13305-Sens!F13306-Sens!F13307-Sens!F13308-Sens!F13310</f>
        <v>63.1507848689426</v>
      </c>
      <c r="G13312" s="6" t="n">
        <f aca="false">Sens!G13311-Sens!G13305-Sens!G13306-Sens!G13307-Sens!G13308-Sens!G13310</f>
        <v>68.6346350528504</v>
      </c>
      <c r="H13312" s="6" t="n">
        <f aca="false">Sens!H13311-Sens!H13305-Sens!H13306-Sens!H13307-Sens!H13308-Sens!H13310</f>
        <v>80.4758787797651</v>
      </c>
      <c r="I13312" s="6" t="n">
        <f aca="false">Sens!I13311-Sens!I13305-Sens!I13306-Sens!I13307-Sens!I13308-Sens!I13310</f>
        <v>92.2851033778105</v>
      </c>
      <c r="J13312" s="6" t="n">
        <f aca="false">Sens!J13311-Sens!J13305-Sens!J13306-Sens!J13307-Sens!J13308-Sens!J13310</f>
        <v>103.005702068605</v>
      </c>
      <c r="K13312" s="6" t="n">
        <f aca="false">Sens!K13311-Sens!K13305-Sens!K13306-Sens!K13307-Sens!K13308-Sens!K13310</f>
        <v>111.959106710276</v>
      </c>
    </row>
    <row r="13313" customFormat="false" ht="17.15" hidden="false" customHeight="false" outlineLevel="0" collapsed="false">
      <c r="A13313" s="0" t="s">
        <v>1244</v>
      </c>
      <c r="B13313" s="0" t="s">
        <v>98</v>
      </c>
      <c r="F13313" s="6" t="n">
        <f aca="false">Sens!F13225+Sens!F13304*Sens!F13200+sbc_r*Sens!F13200</f>
        <v>25.6609846790185</v>
      </c>
      <c r="G13313" s="6" t="n">
        <f aca="false">Sens!G13225+Sens!G13304*Sens!G13200+sbc_r*Sens!G13200</f>
        <v>25.1783788379747</v>
      </c>
      <c r="H13313" s="6" t="n">
        <f aca="false">Sens!H13225+Sens!H13304*Sens!H13200+sbc_r*Sens!H13200</f>
        <v>26.0238305289356</v>
      </c>
      <c r="I13313" s="6" t="n">
        <f aca="false">Sens!I13225+Sens!I13304*Sens!I13200+sbc_r*Sens!I13200</f>
        <v>27.0867514725353</v>
      </c>
      <c r="J13313" s="6" t="n">
        <f aca="false">Sens!J13225+Sens!J13304*Sens!J13200+sbc_r*Sens!J13200</f>
        <v>28.3372591963532</v>
      </c>
      <c r="K13313" s="6" t="n">
        <f aca="false">Sens!K13225+Sens!K13304*Sens!K13200+sbc_r*Sens!K13200</f>
        <v>29.747298330834</v>
      </c>
    </row>
    <row r="13314" customFormat="false" ht="17.15" hidden="false" customHeight="false" outlineLevel="0" collapsed="false">
      <c r="A13314" s="0" t="s">
        <v>1245</v>
      </c>
      <c r="B13314" s="0" t="s">
        <v>98</v>
      </c>
      <c r="F13314" s="6" t="n">
        <f aca="false">(Sens!F13313-Sens!F13309)*Sens!F13196/(Sens!F13196+Sens!F13198)</f>
        <v>8.17261629871344</v>
      </c>
      <c r="G13314" s="6" t="n">
        <f aca="false">(Sens!G13313-Sens!G13309)*Sens!G13196/(Sens!G13196+Sens!G13198)</f>
        <v>7.16165415532593</v>
      </c>
      <c r="H13314" s="6" t="n">
        <f aca="false">(Sens!H13313-Sens!H13309)*Sens!H13196/(Sens!H13196+Sens!H13198)</f>
        <v>6.91355264948366</v>
      </c>
      <c r="I13314" s="6" t="n">
        <f aca="false">(Sens!I13313-Sens!I13309)*Sens!I13196/(Sens!I13196+Sens!I13198)</f>
        <v>6.80168520747394</v>
      </c>
      <c r="J13314" s="6" t="n">
        <f aca="false">(Sens!J13313-Sens!J13309)*Sens!J13196/(Sens!J13196+Sens!J13198)</f>
        <v>6.81614184844144</v>
      </c>
      <c r="K13314" s="6" t="n">
        <f aca="false">(Sens!K13313-Sens!K13309)*Sens!K13196/(Sens!K13196+Sens!K13198)</f>
        <v>6.95334107463565</v>
      </c>
    </row>
    <row r="13315" customFormat="false" ht="17.15" hidden="false" customHeight="false" outlineLevel="0" collapsed="false">
      <c r="A13315" s="0" t="s">
        <v>1246</v>
      </c>
      <c r="B13315" s="0" t="s">
        <v>98</v>
      </c>
      <c r="F13315" s="6" t="n">
        <f aca="false">Sens!F13313-Sens!F13309-Sens!F13314</f>
        <v>6.29768442772111</v>
      </c>
      <c r="G13315" s="6" t="n">
        <f aca="false">Sens!G13313-Sens!G13309-Sens!G13314</f>
        <v>5.74039181092293</v>
      </c>
      <c r="H13315" s="6" t="n">
        <f aca="false">Sens!H13313-Sens!H13309-Sens!H13314</f>
        <v>5.70592154479431</v>
      </c>
      <c r="I13315" s="6" t="n">
        <f aca="false">Sens!I13313-Sens!I13309-Sens!I13314</f>
        <v>5.72291504686973</v>
      </c>
      <c r="J13315" s="6" t="n">
        <f aca="false">Sens!J13313-Sens!J13309-Sens!J13314</f>
        <v>5.79007916167327</v>
      </c>
      <c r="K13315" s="6" t="n">
        <f aca="false">Sens!K13313-Sens!K13309-Sens!K13314</f>
        <v>5.90662520755206</v>
      </c>
    </row>
    <row r="13316" customFormat="false" ht="17.15" hidden="false" customHeight="false" outlineLevel="0" collapsed="false">
      <c r="A13316" s="0" t="s">
        <v>1247</v>
      </c>
      <c r="B13316" s="0" t="s">
        <v>98</v>
      </c>
      <c r="F13316" s="6" t="n">
        <f aca="false">Sens!F13310-tax_f*(Sens!F13310-Sens!F13174)-Sens!F13171</f>
        <v>-130.278326762856</v>
      </c>
      <c r="G13316" s="6" t="n">
        <f aca="false">Sens!G13310-tax_f*(Sens!G13310-Sens!G13174)-Sens!G13171</f>
        <v>-124.093179337776</v>
      </c>
      <c r="H13316" s="6" t="n">
        <f aca="false">Sens!H13310-tax_f*(Sens!H13310-Sens!H13174)-Sens!H13171</f>
        <v>-101.354217387562</v>
      </c>
      <c r="I13316" s="6" t="n">
        <f aca="false">Sens!I13310-tax_f*(Sens!I13310-Sens!I13174)-Sens!I13171</f>
        <v>-43.4286798695439</v>
      </c>
      <c r="J13316" s="6" t="n">
        <f aca="false">Sens!J13310-tax_f*(Sens!J13310-Sens!J13174)-Sens!J13171</f>
        <v>17.1598855589618</v>
      </c>
      <c r="K13316" s="6" t="n">
        <f aca="false">Sens!K13310-tax_f*(Sens!K13310-Sens!K13174)-Sens!K13171</f>
        <v>40.0891384629271</v>
      </c>
    </row>
    <row r="13317" customFormat="false" ht="17.15" hidden="false" customHeight="false" outlineLevel="0" collapsed="false">
      <c r="A13317" s="0" t="s">
        <v>1248</v>
      </c>
      <c r="B13317" s="0" t="s">
        <v>98</v>
      </c>
      <c r="G13317" s="6" t="n">
        <f aca="false">Sens!G13316/(1+wacc)^(Sens!G13287-Sens!F13288)</f>
        <v>-118.16058679057</v>
      </c>
      <c r="H13317" s="6" t="n">
        <f aca="false">Sens!H13316/(1+wacc)^(Sens!H13287-Sens!F13288)</f>
        <v>-87.501602539325</v>
      </c>
      <c r="I13317" s="6" t="n">
        <f aca="false">Sens!I13316/(1+wacc)^(Sens!I13287-Sens!F13288)</f>
        <v>-33.9938430795183</v>
      </c>
      <c r="J13317" s="6" t="n">
        <f aca="false">Sens!J13316/(1+wacc)^(Sens!J13287-Sens!F13288)</f>
        <v>12.1783227451683</v>
      </c>
      <c r="K13317" s="6" t="n">
        <f aca="false">Sens!K13316/(1+wacc)^(Sens!K13287-Sens!F13288)</f>
        <v>25.7958159864678</v>
      </c>
      <c r="L13317" s="1" t="s">
        <v>1249</v>
      </c>
    </row>
    <row r="13318" customFormat="false" ht="17.15" hidden="false" customHeight="false" outlineLevel="0" collapsed="false">
      <c r="A13318" s="0" t="s">
        <v>1250</v>
      </c>
      <c r="B13318" s="0" t="s">
        <v>98</v>
      </c>
      <c r="C13318" s="6" t="n">
        <f aca="false">(Sens!K13310-Sens!K13174)*(1-tax_f)*(1+g_tv)*(1-g_tv/(wacc+ronic_prem))/(wacc-g_tv)/(1+wacc)^(Sens!K13288-Sens!F13288)</f>
        <v>98.3333248280336</v>
      </c>
    </row>
    <row r="13319" customFormat="false" ht="17.15" hidden="false" customHeight="false" outlineLevel="0" collapsed="false">
      <c r="A13319" s="1" t="s">
        <v>1251</v>
      </c>
      <c r="B13319" s="0" t="s">
        <v>98</v>
      </c>
      <c r="C13319" s="6" t="n">
        <f aca="false">(SUM(Sens!G13317:K13317)+Sens!$C$13318)*(1+wacc)^(t_roll-Sens!F13288)</f>
        <v>-106.760417656744</v>
      </c>
      <c r="L13319" s="12" t="s">
        <v>1252</v>
      </c>
    </row>
    <row r="13320" customFormat="false" ht="17.15" hidden="false" customHeight="false" outlineLevel="0" collapsed="false">
      <c r="A13320" s="1" t="s">
        <v>1253</v>
      </c>
      <c r="B13320" s="0" t="s">
        <v>98</v>
      </c>
      <c r="C13320" s="6" t="n">
        <f aca="false">(w_ntm28*Sens!G13162+(1-w_ntm28)*Sens!H13162)*m_ai</f>
        <v>344.355829012336</v>
      </c>
    </row>
    <row r="13321" customFormat="false" ht="17.15" hidden="false" customHeight="false" outlineLevel="0" collapsed="false">
      <c r="A13321" s="1" t="s">
        <v>1254</v>
      </c>
      <c r="B13321" s="0" t="s">
        <v>98</v>
      </c>
      <c r="C13321" s="6" t="n">
        <f aca="false">(w_ntm28*Sens!G13312+(1-w_ntm28)*Sens!H13312)*m_cloud</f>
        <v>1002.33207724331</v>
      </c>
    </row>
    <row r="13322" customFormat="false" ht="17.15" hidden="false" customHeight="false" outlineLevel="0" collapsed="false">
      <c r="A13322" s="1" t="s">
        <v>1255</v>
      </c>
      <c r="B13322" s="0" t="s">
        <v>98</v>
      </c>
      <c r="C13322" s="6" t="n">
        <f aca="false">(w_ntm28*Sens!G13305+(1-w_ntm28)*Sens!H13305)*m_sw</f>
        <v>1045.17056616266</v>
      </c>
    </row>
    <row r="13323" customFormat="false" ht="17.15" hidden="false" customHeight="false" outlineLevel="0" collapsed="false">
      <c r="A13323" s="1" t="s">
        <v>1256</v>
      </c>
      <c r="B13323" s="0" t="s">
        <v>98</v>
      </c>
      <c r="C13323" s="6" t="n">
        <f aca="false">(w_ntm28*Sens!G13306+(1-w_ntm28)*Sens!H13306)*m_sw</f>
        <v>373.178444957791</v>
      </c>
    </row>
    <row r="13324" customFormat="false" ht="17.15" hidden="false" customHeight="false" outlineLevel="0" collapsed="false">
      <c r="A13324" s="1" t="s">
        <v>1257</v>
      </c>
      <c r="B13324" s="0" t="s">
        <v>98</v>
      </c>
      <c r="C13324" s="6" t="n">
        <f aca="false">(w_ntm28*Sens!G13307+(1-w_ntm28)*Sens!H13307)*m_sw</f>
        <v>109.30055788101</v>
      </c>
    </row>
    <row r="13325" customFormat="false" ht="17.15" hidden="false" customHeight="false" outlineLevel="0" collapsed="false">
      <c r="A13325" s="1" t="s">
        <v>1258</v>
      </c>
      <c r="B13325" s="0" t="s">
        <v>98</v>
      </c>
      <c r="C13325" s="6" t="n">
        <f aca="false">(w_ntm28*Sens!G13308+(1-w_ntm28)*Sens!H13308)*m_sw</f>
        <v>41.5531037214606</v>
      </c>
    </row>
    <row r="13326" customFormat="false" ht="17.15" hidden="false" customHeight="false" outlineLevel="0" collapsed="false">
      <c r="A13326" s="1" t="s">
        <v>1259</v>
      </c>
      <c r="B13326" s="0" t="s">
        <v>98</v>
      </c>
      <c r="C13326" s="6" t="n">
        <f aca="false">(w_ntm28*Sens!G13309+(1-w_ntm28)*Sens!H13309)*m_ads</f>
        <v>115.215899994784</v>
      </c>
    </row>
    <row r="13327" customFormat="false" ht="17.15" hidden="false" customHeight="false" outlineLevel="0" collapsed="false">
      <c r="A13327" s="1" t="s">
        <v>1260</v>
      </c>
      <c r="B13327" s="0" t="s">
        <v>98</v>
      </c>
      <c r="C13327" s="6" t="n">
        <f aca="false">(w_ntm28*Sens!G13314+(1-w_ntm28)*Sens!H13314)*m_game</f>
        <v>89.421492961891</v>
      </c>
    </row>
    <row r="13328" customFormat="false" ht="17.15" hidden="false" customHeight="false" outlineLevel="0" collapsed="false">
      <c r="A13328" s="1" t="s">
        <v>1261</v>
      </c>
      <c r="B13328" s="0" t="s">
        <v>98</v>
      </c>
      <c r="C13328" s="6" t="n">
        <f aca="false">(w_ntm28*Sens!G13315+(1-w_ntm28)*Sens!H13315)*m_pc</f>
        <v>82.8994854763678</v>
      </c>
    </row>
    <row r="13329" customFormat="false" ht="17.15" hidden="false" customHeight="false" outlineLevel="0" collapsed="false">
      <c r="A13329" s="1" t="s">
        <v>1262</v>
      </c>
      <c r="B13329" s="0" t="s">
        <v>98</v>
      </c>
      <c r="C13329" s="6" t="n">
        <f aca="false">Sens!$C$13319+Sens!$C$13321+Sens!$C$13322+Sens!$C$13323+Sens!$C$13324+Sens!$C$13325+Sens!$C$13326+Sens!$C$13327+Sens!$C$13328</f>
        <v>2752.31121074253</v>
      </c>
    </row>
    <row r="13330" customFormat="false" ht="17.15" hidden="false" customHeight="false" outlineLevel="0" collapsed="false">
      <c r="A13330" s="1" t="s">
        <v>1263</v>
      </c>
      <c r="B13330" s="0" t="s">
        <v>98</v>
      </c>
      <c r="C13330" s="6" t="n">
        <f aca="false">(Sens!G13291-Sens!G13316)*t_stub</f>
        <v>45.4554719712605</v>
      </c>
      <c r="L13330" s="1" t="s">
        <v>1264</v>
      </c>
    </row>
    <row r="13331" customFormat="false" ht="17.15" hidden="false" customHeight="false" outlineLevel="0" collapsed="false">
      <c r="A13331" s="1" t="s">
        <v>1173</v>
      </c>
      <c r="B13331" s="0" t="s">
        <v>98</v>
      </c>
      <c r="C13331" s="6" t="n">
        <f aca="false">Sens!F13278+oai_v-Sens!F13267+Sens!$C$13330</f>
        <v>152.318093021883</v>
      </c>
      <c r="L13331" s="1" t="s">
        <v>1265</v>
      </c>
    </row>
    <row r="13332" customFormat="false" ht="17.15" hidden="false" customHeight="false" outlineLevel="0" collapsed="false">
      <c r="A13332" s="1" t="s">
        <v>1266</v>
      </c>
      <c r="B13332" s="0" t="s">
        <v>75</v>
      </c>
      <c r="C13332" s="5" t="n">
        <f aca="false">(Sens!$C$13329+Sens!$C$13331)/(Sens!F13280+dil_gap)-Sens!G13270*roll_div_q/q_per_yr</f>
        <v>386.451068805285</v>
      </c>
      <c r="L13332" s="1" t="s">
        <v>1267</v>
      </c>
    </row>
    <row r="13333" customFormat="false" ht="17.15" hidden="false" customHeight="false" outlineLevel="0" collapsed="false">
      <c r="A13333" s="1" t="s">
        <v>1268</v>
      </c>
      <c r="B13333" s="0" t="s">
        <v>75</v>
      </c>
      <c r="C13333" s="5" t="n">
        <f aca="false">w_dcf*Sens!$C$13303+(1-w_dcf)*Sens!$C$13332</f>
        <v>327.86021740922</v>
      </c>
    </row>
    <row r="13334" customFormat="false" ht="17.15" hidden="false" customHeight="false" outlineLevel="0" collapsed="false">
      <c r="A13334" s="3" t="s">
        <v>1945</v>
      </c>
    </row>
    <row r="13335" customFormat="false" ht="15" hidden="false" customHeight="false" outlineLevel="0" collapsed="false">
      <c r="A13335" s="4" t="s">
        <v>43</v>
      </c>
      <c r="B13335" s="4" t="s">
        <v>65</v>
      </c>
      <c r="C13335" s="23" t="s">
        <v>942</v>
      </c>
      <c r="D13335" s="23" t="s">
        <v>943</v>
      </c>
      <c r="E13335" s="23" t="s">
        <v>944</v>
      </c>
      <c r="F13335" s="23" t="s">
        <v>945</v>
      </c>
      <c r="G13335" s="23" t="s">
        <v>946</v>
      </c>
      <c r="H13335" s="23" t="s">
        <v>947</v>
      </c>
      <c r="I13335" s="23" t="s">
        <v>948</v>
      </c>
      <c r="J13335" s="23" t="s">
        <v>949</v>
      </c>
      <c r="K13335" s="23" t="s">
        <v>950</v>
      </c>
      <c r="L13335" s="4" t="s">
        <v>47</v>
      </c>
    </row>
    <row r="13336" customFormat="false" ht="17.15" hidden="false" customHeight="false" outlineLevel="0" collapsed="false">
      <c r="A13336" s="1" t="s">
        <v>951</v>
      </c>
      <c r="B13336" s="1" t="s">
        <v>279</v>
      </c>
      <c r="C13336" s="21" t="n">
        <v>2024</v>
      </c>
      <c r="D13336" s="21" t="n">
        <v>2025</v>
      </c>
      <c r="E13336" s="21" t="n">
        <v>2026</v>
      </c>
      <c r="F13336" s="21" t="n">
        <v>2027</v>
      </c>
      <c r="G13336" s="21" t="n">
        <v>2028</v>
      </c>
      <c r="H13336" s="21" t="n">
        <v>2029</v>
      </c>
      <c r="I13336" s="21" t="n">
        <v>2030</v>
      </c>
      <c r="J13336" s="21" t="n">
        <v>2031</v>
      </c>
      <c r="K13336" s="21" t="n">
        <v>2032</v>
      </c>
    </row>
    <row r="13337" customFormat="false" ht="17.15" hidden="false" customHeight="false" outlineLevel="0" collapsed="false">
      <c r="A13337" s="1" t="s">
        <v>952</v>
      </c>
      <c r="B13337" s="0" t="s">
        <v>459</v>
      </c>
      <c r="F13337" s="30" t="n">
        <f aca="false">pace</f>
        <v>2726.5351</v>
      </c>
      <c r="G13337" s="30" t="n">
        <f aca="false">pace</f>
        <v>2726.5351</v>
      </c>
      <c r="H13337" s="30" t="n">
        <f aca="false">pace</f>
        <v>2726.5351</v>
      </c>
      <c r="I13337" s="30" t="n">
        <f aca="false">pace+(g_tv*Sens!H13338-pace)*MIN(1,(Sens!I13336-pace_y0)/(pace_y1-pace_y0))</f>
        <v>1931.98611966667</v>
      </c>
      <c r="J13337" s="30" t="n">
        <f aca="false">pace+(g_tv*Sens!I13338-pace)*MIN(1,(Sens!J13336-pace_y0)/(pace_y1-pace_y0))</f>
        <v>1176.07686172667</v>
      </c>
      <c r="K13337" s="30" t="n">
        <f aca="false">pace+(g_tv*Sens!J13338-pace)*MIN(1,(Sens!K13336-pace_y0)/(pace_y1-pace_y0))</f>
        <v>436.1300484418</v>
      </c>
      <c r="L13337" s="12" t="s">
        <v>953</v>
      </c>
    </row>
    <row r="13338" customFormat="false" ht="17.15" hidden="false" customHeight="false" outlineLevel="0" collapsed="false">
      <c r="A13338" s="1" t="s">
        <v>954</v>
      </c>
      <c r="B13338" s="0" t="s">
        <v>459</v>
      </c>
      <c r="C13338" s="30" t="n">
        <f aca="false">mw_ext_24</f>
        <v>640</v>
      </c>
      <c r="D13338" s="30" t="n">
        <f aca="false">mw_ext_25</f>
        <v>1630</v>
      </c>
      <c r="E13338" s="30" t="n">
        <f aca="false">mw_ext_26</f>
        <v>3250</v>
      </c>
      <c r="F13338" s="30" t="n">
        <f aca="false">Sens!E13338+Sens!F13337</f>
        <v>5976.5351</v>
      </c>
      <c r="G13338" s="30" t="n">
        <f aca="false">Sens!F13338+Sens!G13337</f>
        <v>8703.0702</v>
      </c>
      <c r="H13338" s="30" t="n">
        <f aca="false">Sens!G13338+Sens!H13337</f>
        <v>11429.6053</v>
      </c>
      <c r="I13338" s="30" t="n">
        <f aca="false">Sens!H13338+Sens!I13337</f>
        <v>13361.5914196667</v>
      </c>
      <c r="J13338" s="30" t="n">
        <f aca="false">Sens!I13338+Sens!J13337</f>
        <v>14537.6682813933</v>
      </c>
      <c r="K13338" s="30" t="n">
        <f aca="false">Sens!J13338+Sens!K13337</f>
        <v>14973.7983298351</v>
      </c>
      <c r="L13338" s="1" t="s">
        <v>955</v>
      </c>
    </row>
    <row r="13339" customFormat="false" ht="17.15" hidden="false" customHeight="false" outlineLevel="0" collapsed="false">
      <c r="A13339" s="1" t="s">
        <v>956</v>
      </c>
      <c r="B13339" s="0" t="s">
        <v>459</v>
      </c>
      <c r="C13339" s="30" t="n">
        <f aca="false">rent_ext_24</f>
        <v>150</v>
      </c>
      <c r="D13339" s="30" t="n">
        <f aca="false">rent_ext_25</f>
        <v>400</v>
      </c>
      <c r="E13339" s="30" t="n">
        <f aca="false">rent_ext_26</f>
        <v>550</v>
      </c>
      <c r="F13339" s="30" t="n">
        <f aca="false">rent_ext_f</f>
        <v>756</v>
      </c>
      <c r="G13339" s="30" t="n">
        <f aca="false">rent_ext_f</f>
        <v>756</v>
      </c>
      <c r="H13339" s="30" t="n">
        <f aca="false">rent_ext_f</f>
        <v>756</v>
      </c>
      <c r="I13339" s="30" t="n">
        <f aca="false">rent_ext_f</f>
        <v>756</v>
      </c>
      <c r="J13339" s="30" t="n">
        <f aca="false">rent_ext_f</f>
        <v>756</v>
      </c>
      <c r="K13339" s="30" t="n">
        <f aca="false">rent_ext_f</f>
        <v>756</v>
      </c>
      <c r="L13339" s="1" t="s">
        <v>957</v>
      </c>
    </row>
    <row r="13340" customFormat="false" ht="17.15" hidden="false" customHeight="false" outlineLevel="0" collapsed="false">
      <c r="A13340" s="1" t="s">
        <v>958</v>
      </c>
      <c r="B13340" s="0" t="s">
        <v>459</v>
      </c>
      <c r="C13340" s="30" t="n">
        <f aca="false">Sens!C13338-Sens!C13339</f>
        <v>490</v>
      </c>
      <c r="D13340" s="30" t="n">
        <f aca="false">Sens!D13338-Sens!D13339</f>
        <v>1230</v>
      </c>
      <c r="E13340" s="30" t="n">
        <f aca="false">Sens!E13338-Sens!E13339</f>
        <v>2700</v>
      </c>
      <c r="F13340" s="30" t="n">
        <f aca="false">Sens!F13338-Sens!F13339</f>
        <v>5220.5351</v>
      </c>
      <c r="G13340" s="30" t="n">
        <f aca="false">Sens!G13338-Sens!G13339</f>
        <v>7947.0702</v>
      </c>
      <c r="H13340" s="30" t="n">
        <f aca="false">Sens!H13338-Sens!H13339</f>
        <v>10673.6053</v>
      </c>
      <c r="I13340" s="30" t="n">
        <f aca="false">Sens!I13338-Sens!I13339</f>
        <v>12605.5914196667</v>
      </c>
      <c r="J13340" s="30" t="n">
        <f aca="false">Sens!J13338-Sens!J13339</f>
        <v>13781.6682813933</v>
      </c>
      <c r="K13340" s="30" t="n">
        <f aca="false">Sens!K13338-Sens!K13339</f>
        <v>14217.7983298351</v>
      </c>
    </row>
    <row r="13341" customFormat="false" ht="17.15" hidden="false" customHeight="false" outlineLevel="0" collapsed="false">
      <c r="A13341" s="1" t="s">
        <v>959</v>
      </c>
      <c r="B13341" s="0" t="s">
        <v>459</v>
      </c>
      <c r="C13341" s="30" t="n">
        <f aca="false">Sens!C13340/ext_sh</f>
        <v>816.666666666667</v>
      </c>
      <c r="D13341" s="30" t="n">
        <f aca="false">Sens!D13340/ext_sh</f>
        <v>2050</v>
      </c>
      <c r="E13341" s="30" t="n">
        <f aca="false">Sens!E13340/ext_sh</f>
        <v>4500</v>
      </c>
      <c r="F13341" s="30" t="n">
        <f aca="false">Sens!F13340/ext_sh</f>
        <v>8700.89183333333</v>
      </c>
      <c r="G13341" s="30" t="n">
        <f aca="false">Sens!G13340/ext_sh</f>
        <v>13245.117</v>
      </c>
      <c r="H13341" s="30" t="n">
        <f aca="false">Sens!H13340/ext_sh</f>
        <v>17789.3421666667</v>
      </c>
      <c r="I13341" s="30" t="n">
        <f aca="false">Sens!I13340/ext_sh</f>
        <v>21009.3190327778</v>
      </c>
      <c r="J13341" s="30" t="n">
        <f aca="false">Sens!J13340/ext_sh</f>
        <v>22969.4471356556</v>
      </c>
      <c r="K13341" s="30" t="n">
        <f aca="false">Sens!K13340/ext_sh</f>
        <v>23696.3305497252</v>
      </c>
      <c r="L13341" s="1" t="s">
        <v>960</v>
      </c>
    </row>
    <row r="13342" customFormat="false" ht="17.15" hidden="false" customHeight="false" outlineLevel="0" collapsed="false">
      <c r="A13342" s="1" t="s">
        <v>961</v>
      </c>
      <c r="B13342" s="0" t="s">
        <v>459</v>
      </c>
      <c r="C13342" s="30" t="n">
        <f aca="false">Sens!C13341-Sens!C13340</f>
        <v>326.666666666667</v>
      </c>
      <c r="D13342" s="30" t="n">
        <f aca="false">Sens!D13341-Sens!D13340</f>
        <v>820</v>
      </c>
      <c r="E13342" s="30" t="n">
        <f aca="false">Sens!E13341-Sens!E13340</f>
        <v>1800</v>
      </c>
      <c r="F13342" s="30" t="n">
        <f aca="false">Sens!F13341-Sens!F13340</f>
        <v>3480.35673333333</v>
      </c>
      <c r="G13342" s="30" t="n">
        <f aca="false">Sens!G13341-Sens!G13340</f>
        <v>5298.0468</v>
      </c>
      <c r="H13342" s="30" t="n">
        <f aca="false">Sens!H13341-Sens!H13340</f>
        <v>7115.73686666667</v>
      </c>
      <c r="I13342" s="30" t="n">
        <f aca="false">Sens!I13341-Sens!I13340</f>
        <v>8403.72761311111</v>
      </c>
      <c r="J13342" s="30" t="n">
        <f aca="false">Sens!J13341-Sens!J13340</f>
        <v>9187.77885426222</v>
      </c>
      <c r="K13342" s="30" t="n">
        <f aca="false">Sens!K13341-Sens!K13340</f>
        <v>9478.53221989009</v>
      </c>
    </row>
    <row r="13343" customFormat="false" ht="17.15" hidden="false" customHeight="false" outlineLevel="0" collapsed="false">
      <c r="A13343" s="1" t="s">
        <v>962</v>
      </c>
      <c r="B13343" s="0" t="s">
        <v>459</v>
      </c>
      <c r="C13343" s="30" t="n">
        <f aca="false">Sens!C13341</f>
        <v>816.666666666667</v>
      </c>
      <c r="D13343" s="30" t="n">
        <f aca="false">Sens!D13341-Sens!C13341</f>
        <v>1233.33333333333</v>
      </c>
      <c r="E13343" s="30" t="n">
        <f aca="false">Sens!E13341-Sens!D13341</f>
        <v>2450</v>
      </c>
      <c r="F13343" s="30" t="n">
        <f aca="false">Sens!F13341-Sens!E13341</f>
        <v>4200.89183333333</v>
      </c>
      <c r="G13343" s="30" t="n">
        <f aca="false">Sens!G13341-Sens!F13341</f>
        <v>4544.22516666667</v>
      </c>
      <c r="H13343" s="30" t="n">
        <f aca="false">Sens!H13341-Sens!G13341</f>
        <v>4544.22516666667</v>
      </c>
      <c r="I13343" s="30" t="n">
        <f aca="false">Sens!I13341-Sens!H13341</f>
        <v>3219.97686611111</v>
      </c>
      <c r="J13343" s="30" t="n">
        <f aca="false">Sens!J13341-Sens!I13341</f>
        <v>1960.12810287778</v>
      </c>
      <c r="K13343" s="30" t="n">
        <f aca="false">Sens!K13341-Sens!J13341</f>
        <v>726.883414069667</v>
      </c>
    </row>
    <row r="13344" customFormat="false" ht="17.15" hidden="false" customHeight="false" outlineLevel="0" collapsed="false">
      <c r="A13344" s="1" t="s">
        <v>963</v>
      </c>
      <c r="B13344" s="0" t="s">
        <v>459</v>
      </c>
      <c r="D13344" s="30" t="n">
        <f aca="false">Sens!D13338-Sens!C13338</f>
        <v>990</v>
      </c>
      <c r="E13344" s="30" t="n">
        <f aca="false">Sens!E13338-Sens!D13338</f>
        <v>1620</v>
      </c>
      <c r="F13344" s="30" t="n">
        <f aca="false">Sens!F13338-Sens!E13338</f>
        <v>2726.5351</v>
      </c>
      <c r="G13344" s="30" t="n">
        <f aca="false">Sens!G13338-Sens!F13338</f>
        <v>2726.5351</v>
      </c>
      <c r="H13344" s="30" t="n">
        <f aca="false">Sens!H13338-Sens!G13338</f>
        <v>2726.5351</v>
      </c>
      <c r="I13344" s="30" t="n">
        <f aca="false">Sens!I13338-Sens!H13338</f>
        <v>1931.98611966667</v>
      </c>
      <c r="J13344" s="30" t="n">
        <f aca="false">Sens!J13338-Sens!I13338</f>
        <v>1176.07686172667</v>
      </c>
      <c r="K13344" s="30" t="n">
        <f aca="false">Sens!K13338-Sens!J13338</f>
        <v>436.130048441799</v>
      </c>
    </row>
    <row r="13345" customFormat="false" ht="17.15" hidden="false" customHeight="false" outlineLevel="0" collapsed="false">
      <c r="A13345" s="1" t="s">
        <v>964</v>
      </c>
      <c r="B13345" s="0" t="s">
        <v>459</v>
      </c>
      <c r="F13345" s="30" t="n">
        <f aca="false">Sens!F13364*ext_sh</f>
        <v>0</v>
      </c>
      <c r="G13345" s="30" t="n">
        <f aca="false">Sens!G13364*ext_sh</f>
        <v>0</v>
      </c>
      <c r="H13345" s="30" t="n">
        <f aca="false">Sens!H13364*ext_sh</f>
        <v>0</v>
      </c>
      <c r="I13345" s="30" t="n">
        <f aca="false">Sens!I13364*ext_sh</f>
        <v>490</v>
      </c>
      <c r="J13345" s="30" t="n">
        <f aca="false">Sens!J13364*ext_sh</f>
        <v>740</v>
      </c>
      <c r="K13345" s="30" t="n">
        <f aca="false">Sens!K13364*ext_sh</f>
        <v>1470</v>
      </c>
      <c r="L13345" s="1" t="s">
        <v>965</v>
      </c>
    </row>
    <row r="13346" customFormat="false" ht="17.15" hidden="false" customHeight="false" outlineLevel="0" collapsed="false">
      <c r="A13346" s="1" t="s">
        <v>966</v>
      </c>
      <c r="B13346" s="0" t="s">
        <v>459</v>
      </c>
      <c r="C13346" s="30" t="n">
        <f aca="false">mix_h*Sens!C13338</f>
        <v>128</v>
      </c>
      <c r="D13346" s="30" t="n">
        <f aca="false">mix_h*Sens!D13338</f>
        <v>326</v>
      </c>
      <c r="E13346" s="30" t="n">
        <f aca="false">mix_h*Sens!E13338</f>
        <v>650</v>
      </c>
      <c r="F13346" s="30" t="n">
        <f aca="false">Sens!E13346-Sens!F13345*mix_h</f>
        <v>650</v>
      </c>
      <c r="G13346" s="30" t="n">
        <f aca="false">Sens!F13346-Sens!G13345*mix_h</f>
        <v>650</v>
      </c>
      <c r="H13346" s="30" t="n">
        <f aca="false">Sens!G13346-Sens!H13345*mix_h</f>
        <v>650</v>
      </c>
      <c r="I13346" s="30" t="n">
        <f aca="false">Sens!H13346-Sens!I13345*mix_h</f>
        <v>552</v>
      </c>
      <c r="J13346" s="30" t="n">
        <f aca="false">Sens!I13346-Sens!J13345*mix_h</f>
        <v>404</v>
      </c>
      <c r="K13346" s="30" t="n">
        <f aca="false">Sens!J13346-Sens!K13345*mix_h</f>
        <v>110</v>
      </c>
    </row>
    <row r="13347" customFormat="false" ht="17.15" hidden="false" customHeight="false" outlineLevel="0" collapsed="false">
      <c r="A13347" s="1" t="s">
        <v>967</v>
      </c>
      <c r="B13347" s="0" t="s">
        <v>459</v>
      </c>
      <c r="C13347" s="30" t="n">
        <f aca="false">mix_g2*Sens!C13338</f>
        <v>288</v>
      </c>
      <c r="D13347" s="30" t="n">
        <f aca="false">mix_g2*Sens!D13338</f>
        <v>733.5</v>
      </c>
      <c r="E13347" s="30" t="n">
        <f aca="false">mix_g2*Sens!E13338</f>
        <v>1462.5</v>
      </c>
      <c r="F13347" s="30" t="n">
        <f aca="false">Sens!E13347-Sens!F13345*mix_g2</f>
        <v>1462.5</v>
      </c>
      <c r="G13347" s="30" t="n">
        <f aca="false">Sens!F13347-Sens!G13345*mix_g2</f>
        <v>1462.5</v>
      </c>
      <c r="H13347" s="30" t="n">
        <f aca="false">Sens!G13347-Sens!H13345*mix_g2</f>
        <v>1462.5</v>
      </c>
      <c r="I13347" s="30" t="n">
        <f aca="false">Sens!H13347-Sens!I13345*mix_g2</f>
        <v>1242</v>
      </c>
      <c r="J13347" s="30" t="n">
        <f aca="false">Sens!I13347-Sens!J13345*mix_g2</f>
        <v>909</v>
      </c>
      <c r="K13347" s="30" t="n">
        <f aca="false">Sens!J13347-Sens!K13345*mix_g2</f>
        <v>247.5</v>
      </c>
    </row>
    <row r="13348" customFormat="false" ht="17.15" hidden="false" customHeight="false" outlineLevel="0" collapsed="false">
      <c r="A13348" s="1" t="s">
        <v>968</v>
      </c>
      <c r="B13348" s="0" t="s">
        <v>459</v>
      </c>
      <c r="C13348" s="30" t="n">
        <f aca="false">mix_g3*Sens!C13338</f>
        <v>224</v>
      </c>
      <c r="D13348" s="30" t="n">
        <f aca="false">mix_g3*Sens!D13338</f>
        <v>570.5</v>
      </c>
      <c r="E13348" s="30" t="n">
        <f aca="false">mix_g3*Sens!E13338</f>
        <v>1137.5</v>
      </c>
      <c r="F13348" s="30" t="n">
        <f aca="false">Sens!E13348+(Sens!F13344+Sens!F13345)*(a_g3_27-nonnv*a_mai)-Sens!F13345*mix_g3</f>
        <v>2773.42106</v>
      </c>
      <c r="G13348" s="30" t="n">
        <f aca="false">Sens!F13348+(Sens!G13344+Sens!G13345)*(a_g3_28-nonnv*a_mai)-Sens!G13345*mix_g3</f>
        <v>3318.72808</v>
      </c>
      <c r="H13348" s="30" t="n">
        <f aca="false">Sens!G13348+(Sens!H13344+Sens!H13345)*(a_g3_29-nonnv*a_mai)-Sens!H13345*mix_g3</f>
        <v>3318.72808</v>
      </c>
      <c r="I13348" s="30" t="n">
        <f aca="false">Sens!H13348+(Sens!I13344+Sens!I13345)*(a_g3_29-nonnv*a_mai)-Sens!I13345*mix_g3</f>
        <v>3147.22808</v>
      </c>
      <c r="J13348" s="30" t="n">
        <f aca="false">Sens!I13348+(Sens!J13344+Sens!J13345)*(a_g3_29-nonnv*a_mai)-Sens!J13345*mix_g3</f>
        <v>2888.22808</v>
      </c>
      <c r="K13348" s="30" t="n">
        <f aca="false">Sens!J13348+(Sens!K13344+Sens!K13345)*(a_g3_29-nonnv*a_mai)-Sens!K13345*mix_g3</f>
        <v>2373.72808</v>
      </c>
    </row>
    <row r="13349" customFormat="false" ht="17.15" hidden="false" customHeight="false" outlineLevel="0" collapsed="false">
      <c r="A13349" s="1" t="s">
        <v>969</v>
      </c>
      <c r="B13349" s="0" t="s">
        <v>459</v>
      </c>
      <c r="C13349" s="30" t="n">
        <v>0</v>
      </c>
      <c r="D13349" s="30" t="n">
        <v>0</v>
      </c>
      <c r="E13349" s="30" t="n">
        <v>0</v>
      </c>
      <c r="F13349" s="30" t="n">
        <f aca="false">Sens!E13349+(Sens!F13344+Sens!F13345)*nonnv*a_mai</f>
        <v>272.65351</v>
      </c>
      <c r="G13349" s="30" t="n">
        <f aca="false">Sens!F13349+(Sens!G13344+Sens!G13345)*nonnv*a_mai</f>
        <v>545.30702</v>
      </c>
      <c r="H13349" s="30" t="n">
        <f aca="false">Sens!G13349+(Sens!H13344+Sens!H13345)*nonnv*a_mai</f>
        <v>817.96053</v>
      </c>
      <c r="I13349" s="30" t="n">
        <f aca="false">Sens!H13349+(Sens!I13344+Sens!I13345)*nonnv*a_mai</f>
        <v>1060.15914196667</v>
      </c>
      <c r="J13349" s="30" t="n">
        <f aca="false">Sens!I13349+(Sens!J13344+Sens!J13345)*nonnv*a_mai</f>
        <v>1251.76682813933</v>
      </c>
      <c r="K13349" s="30" t="n">
        <f aca="false">Sens!J13349+(Sens!K13344+Sens!K13345)*nonnv*a_mai</f>
        <v>1442.37983298351</v>
      </c>
      <c r="L13349" s="12" t="s">
        <v>970</v>
      </c>
    </row>
    <row r="13350" customFormat="false" ht="17.15" hidden="false" customHeight="false" outlineLevel="0" collapsed="false">
      <c r="A13350" s="1" t="s">
        <v>971</v>
      </c>
      <c r="B13350" s="0" t="s">
        <v>459</v>
      </c>
      <c r="C13350" s="30" t="n">
        <v>0</v>
      </c>
      <c r="D13350" s="30" t="n">
        <v>0</v>
      </c>
      <c r="E13350" s="30" t="n">
        <v>0</v>
      </c>
      <c r="F13350" s="30" t="n">
        <f aca="false">Sens!E13350+(Sens!F13344+Sens!F13345)*(1-a_g3_27)</f>
        <v>817.96053</v>
      </c>
      <c r="G13350" s="30" t="n">
        <f aca="false">Sens!F13350+(Sens!G13344+Sens!G13345)*(1-a_g3_28)</f>
        <v>2726.5351</v>
      </c>
      <c r="H13350" s="30" t="n">
        <f aca="false">Sens!G13350+(Sens!H13344+Sens!H13345)*(1-a_g3_29)</f>
        <v>5180.41669</v>
      </c>
      <c r="I13350" s="30" t="n">
        <f aca="false">Sens!H13350+(Sens!I13344+Sens!I13345)*(1-a_g3_29)</f>
        <v>7360.2041977</v>
      </c>
      <c r="J13350" s="30" t="n">
        <f aca="false">Sens!I13350+(Sens!J13344+Sens!J13345)*(1-a_g3_29)</f>
        <v>9084.673373254</v>
      </c>
      <c r="K13350" s="30" t="n">
        <f aca="false">Sens!J13350+(Sens!K13344+Sens!K13345)*(1-a_g3_29)</f>
        <v>10800.1904168516</v>
      </c>
    </row>
    <row r="13351" customFormat="false" ht="17.15" hidden="false" customHeight="false" outlineLevel="0" collapsed="false">
      <c r="A13351" s="1" t="s">
        <v>972</v>
      </c>
      <c r="B13351" s="0" t="s">
        <v>403</v>
      </c>
      <c r="C13351" s="15" t="n">
        <f aca="false">(Sens!C13346*tk_hold_h100+Sens!C13347*tk_hold_gb200+Sens!C13348*tk_hold_gb300+Sens!C13350*tk_hold_vr200+Sens!C13349*nv_hold_mai*tk_hold_vr200)/Sens!C13338</f>
        <v>9.7235358126469</v>
      </c>
      <c r="D13351" s="15" t="n">
        <f aca="false">(Sens!D13346*tk_hold_h100+Sens!D13347*tk_hold_gb200+Sens!D13348*tk_hold_gb300+Sens!D13350*tk_hold_vr200+Sens!D13349*nv_hold_mai*tk_hold_vr200)/Sens!D13338</f>
        <v>9.7235358126469</v>
      </c>
      <c r="E13351" s="15" t="n">
        <f aca="false">(Sens!E13346*tk_hold_h100+Sens!E13347*tk_hold_gb200+Sens!E13348*tk_hold_gb300+Sens!E13350*tk_hold_vr200+Sens!E13349*nv_hold_mai*tk_hold_vr200)/Sens!E13338</f>
        <v>9.7235358126469</v>
      </c>
      <c r="F13351" s="15" t="n">
        <f aca="false">(Sens!F13346*tk_hold_h100+Sens!F13347*tk_hold_gb200+Sens!F13348*tk_hold_gb300+Sens!F13350*tk_hold_vr200+Sens!F13349*nv_hold_mai*tk_hold_vr200)/Sens!F13338</f>
        <v>10.2195353876665</v>
      </c>
      <c r="G13351" s="15" t="n">
        <f aca="false">(Sens!G13346*tk_hold_h100+Sens!G13347*tk_hold_gb200+Sens!G13348*tk_hold_gb300+Sens!G13350*tk_hold_vr200+Sens!G13349*nv_hold_mai*tk_hold_vr200)/Sens!G13338</f>
        <v>10.5725598017306</v>
      </c>
      <c r="H13351" s="15" t="n">
        <f aca="false">(Sens!H13346*tk_hold_h100+Sens!H13347*tk_hold_gb200+Sens!H13348*tk_hold_gb300+Sens!H13350*tk_hold_vr200+Sens!H13349*nv_hold_mai*tk_hold_vr200)/Sens!H13338</f>
        <v>10.8210427149036</v>
      </c>
      <c r="I13351" s="15" t="n">
        <f aca="false">(Sens!I13346*tk_hold_h100+Sens!I13347*tk_hold_gb200+Sens!I13348*tk_hold_gb300+Sens!I13350*tk_hold_vr200+Sens!I13349*nv_hold_mai*tk_hold_vr200)/Sens!I13338</f>
        <v>11.0050618241982</v>
      </c>
      <c r="J13351" s="15" t="n">
        <f aca="false">(Sens!J13346*tk_hold_h100+Sens!J13347*tk_hold_gb200+Sens!J13348*tk_hold_gb300+Sens!J13350*tk_hold_vr200+Sens!J13349*nv_hold_mai*tk_hold_vr200)/Sens!J13338</f>
        <v>11.1505789658881</v>
      </c>
      <c r="K13351" s="15" t="n">
        <f aca="false">(Sens!K13346*tk_hold_h100+Sens!K13347*tk_hold_gb200+Sens!K13348*tk_hold_gb300+Sens!K13350*tk_hold_vr200+Sens!K13349*nv_hold_mai*tk_hold_vr200)/Sens!K13338</f>
        <v>11.3496914757183</v>
      </c>
      <c r="L13351" s="1" t="s">
        <v>973</v>
      </c>
    </row>
    <row r="13352" customFormat="false" ht="17.15" hidden="false" customHeight="false" outlineLevel="0" collapsed="false">
      <c r="A13352" s="1" t="s">
        <v>974</v>
      </c>
      <c r="B13352" s="0" t="s">
        <v>403</v>
      </c>
      <c r="C13352" s="15" t="n">
        <f aca="false">(Sens!C13346*tk_hold_h100+Sens!C13347*tk_hold_gb200+Sens!C13348*tk_hold_gb300+Sens!C13350*tk_hold_vr200+Sens!C13349*nv_out_mai*tk_hold_vr200)/Sens!C13338</f>
        <v>9.7235358126469</v>
      </c>
      <c r="D13352" s="15" t="n">
        <f aca="false">(Sens!D13346*tk_hold_h100+Sens!D13347*tk_hold_gb200+Sens!D13348*tk_hold_gb300+Sens!D13350*tk_hold_vr200+Sens!D13349*nv_out_mai*tk_hold_vr200)/Sens!D13338</f>
        <v>9.7235358126469</v>
      </c>
      <c r="E13352" s="15" t="n">
        <f aca="false">(Sens!E13346*tk_hold_h100+Sens!E13347*tk_hold_gb200+Sens!E13348*tk_hold_gb300+Sens!E13350*tk_hold_vr200+Sens!E13349*nv_out_mai*tk_hold_vr200)/Sens!E13338</f>
        <v>9.7235358126469</v>
      </c>
      <c r="F13352" s="15" t="n">
        <f aca="false">(Sens!F13346*tk_hold_h100+Sens!F13347*tk_hold_gb200+Sens!F13348*tk_hold_gb300+Sens!F13350*tk_hold_vr200+Sens!F13349*nv_out_mai*tk_hold_vr200)/Sens!F13338</f>
        <v>10.247422093969</v>
      </c>
      <c r="G13352" s="15" t="n">
        <f aca="false">(Sens!G13346*tk_hold_h100+Sens!G13347*tk_hold_gb200+Sens!G13348*tk_hold_gb300+Sens!G13350*tk_hold_vr200+Sens!G13349*nv_out_mai*tk_hold_vr200)/Sens!G13338</f>
        <v>10.6108602808053</v>
      </c>
      <c r="H13352" s="15" t="n">
        <f aca="false">(Sens!H13346*tk_hold_h100+Sens!H13347*tk_hold_gb200+Sens!H13348*tk_hold_gb300+Sens!H13350*tk_hold_vr200+Sens!H13349*nv_out_mai*tk_hold_vr200)/Sens!H13338</f>
        <v>10.8647885507393</v>
      </c>
      <c r="I13352" s="15" t="n">
        <f aca="false">(Sens!I13346*tk_hold_h100+Sens!I13347*tk_hold_gb200+Sens!I13348*tk_hold_gb300+Sens!I13350*tk_hold_vr200+Sens!I13349*nv_out_mai*tk_hold_vr200)/Sens!I13338</f>
        <v>11.0535625770025</v>
      </c>
      <c r="J13352" s="15" t="n">
        <f aca="false">(Sens!J13346*tk_hold_h100+Sens!J13347*tk_hold_gb200+Sens!J13348*tk_hold_gb300+Sens!J13350*tk_hold_vr200+Sens!J13349*nv_out_mai*tk_hold_vr200)/Sens!J13338</f>
        <v>11.2032127128058</v>
      </c>
      <c r="K13352" s="15" t="n">
        <f aca="false">(Sens!K13346*tk_hold_h100+Sens!K13347*tk_hold_gb200+Sens!K13348*tk_hold_gb300+Sens!K13350*tk_hold_vr200+Sens!K13349*nv_out_mai*tk_hold_vr200)/Sens!K13338</f>
        <v>11.4085735724225</v>
      </c>
      <c r="L13352" s="12" t="s">
        <v>975</v>
      </c>
    </row>
    <row r="13353" customFormat="false" ht="17.15" hidden="false" customHeight="false" outlineLevel="0" collapsed="false">
      <c r="A13353" s="0" t="s">
        <v>976</v>
      </c>
      <c r="B13353" s="0" t="s">
        <v>229</v>
      </c>
      <c r="C13353" s="15" t="n">
        <f aca="false">k_B</f>
        <v>1.17213932619116</v>
      </c>
      <c r="D13353" s="15" t="n">
        <f aca="false">k_B</f>
        <v>1.17213932619116</v>
      </c>
      <c r="E13353" s="15" t="n">
        <f aca="false">k_B</f>
        <v>1.17213932619116</v>
      </c>
      <c r="F13353" s="15" t="n">
        <f aca="false">(k_B+((ls_A*k_long+(1-ls_A)*k_spot)-k_B)*MIN(1,(Sens!F13336-base_fy)/k_ramp))</f>
        <v>1.25022828131298</v>
      </c>
      <c r="G13353" s="15" t="n">
        <f aca="false">(k_B+((ls_A*k_long+(1-ls_A)*k_spot)-k_B)*MIN(1,(Sens!G13336-base_fy)/k_ramp))</f>
        <v>1.3283172364348</v>
      </c>
      <c r="H13353" s="15" t="n">
        <f aca="false">(k_B+((ls_A*k_long+(1-ls_A)*k_spot)-k_B)*MIN(1,(Sens!H13336-base_fy)/k_ramp))</f>
        <v>1.40640619155662</v>
      </c>
      <c r="I13353" s="15" t="n">
        <f aca="false">(k_B+((ls_A*k_long+(1-ls_A)*k_spot)-k_B)*MIN(1,(Sens!I13336-base_fy)/k_ramp))</f>
        <v>1.40640619155662</v>
      </c>
      <c r="J13353" s="15" t="n">
        <f aca="false">(k_B+((ls_A*k_long+(1-ls_A)*k_spot)-k_B)*MIN(1,(Sens!J13336-base_fy)/k_ramp))</f>
        <v>1.40640619155662</v>
      </c>
      <c r="K13353" s="15" t="n">
        <f aca="false">(k_B+((ls_A*k_long+(1-ls_A)*k_spot)-k_B)*MIN(1,(Sens!K13336-base_fy)/k_ramp))</f>
        <v>1.40640619155662</v>
      </c>
      <c r="L13353" s="1" t="s">
        <v>977</v>
      </c>
    </row>
    <row r="13354" customFormat="false" ht="17.15" hidden="false" customHeight="false" outlineLevel="0" collapsed="false">
      <c r="A13354" s="1" t="s">
        <v>978</v>
      </c>
      <c r="B13354" s="0" t="s">
        <v>403</v>
      </c>
      <c r="C13354" s="15" t="n">
        <f aca="false">Sens!C13352*Sens!C13353*chip_f</f>
        <v>11.3973387156315</v>
      </c>
      <c r="D13354" s="15" t="n">
        <f aca="false">Sens!D13352*Sens!D13353*chip_f</f>
        <v>11.3973387156315</v>
      </c>
      <c r="E13354" s="15" t="n">
        <f aca="false">Sens!E13352*Sens!E13353*chip_f</f>
        <v>11.3973387156315</v>
      </c>
      <c r="F13354" s="15" t="n">
        <f aca="false">Sens!F13352*Sens!F13353*chip_f</f>
        <v>12.8116169124314</v>
      </c>
      <c r="G13354" s="15" t="n">
        <f aca="false">Sens!G13352*Sens!G13353*chip_f</f>
        <v>14.094588604395</v>
      </c>
      <c r="H13354" s="15" t="n">
        <f aca="false">Sens!H13352*Sens!H13353*chip_f</f>
        <v>15.2803058877132</v>
      </c>
      <c r="I13354" s="15" t="n">
        <f aca="false">Sens!I13352*Sens!I13353*chip_f</f>
        <v>15.5457988470549</v>
      </c>
      <c r="J13354" s="15" t="n">
        <f aca="false">Sens!J13352*Sens!J13353*chip_f</f>
        <v>15.7562677246158</v>
      </c>
      <c r="K13354" s="15" t="n">
        <f aca="false">Sens!K13352*Sens!K13353*chip_f</f>
        <v>16.0450885090842</v>
      </c>
      <c r="L13354" s="1" t="s">
        <v>979</v>
      </c>
    </row>
    <row r="13355" customFormat="false" ht="17.15" hidden="false" customHeight="false" outlineLevel="0" collapsed="false">
      <c r="A13355" s="0" t="s">
        <v>980</v>
      </c>
      <c r="B13355" s="0" t="s">
        <v>98</v>
      </c>
      <c r="D13355" s="6" t="n">
        <f aca="false">(Sens!C13338+Sens!D13338)/2*Sens!D13354/1000</f>
        <v>12.9359794422418</v>
      </c>
      <c r="E13355" s="6" t="n">
        <f aca="false">(Sens!D13338+Sens!E13338)/2*Sens!E13354/1000</f>
        <v>27.8095064661409</v>
      </c>
      <c r="F13355" s="6" t="n">
        <f aca="false">(Sens!E13338+Sens!F13338)/2*Sens!F13354/1000</f>
        <v>59.1034165651511</v>
      </c>
      <c r="G13355" s="6" t="n">
        <f aca="false">(Sens!F13338+Sens!G13338)/2*Sens!G13354/1000</f>
        <v>103.451498789198</v>
      </c>
      <c r="H13355" s="6" t="n">
        <f aca="false">(Sens!G13338+Sens!H13338)/2*Sens!H13354/1000</f>
        <v>153.816719989035</v>
      </c>
      <c r="I13355" s="6" t="n">
        <f aca="false">(Sens!H13338+Sens!I13338)/2*Sens!I13354/1000</f>
        <v>192.699478690852</v>
      </c>
      <c r="J13355" s="6" t="n">
        <f aca="false">(Sens!I13338+Sens!J13338)/2*Sens!J13354/1000</f>
        <v>219.794102584244</v>
      </c>
      <c r="K13355" s="6" t="n">
        <f aca="false">(Sens!J13338+Sens!K13338)/2*Sens!K13354/1000</f>
        <v>236.757046905022</v>
      </c>
      <c r="L13355" s="12" t="s">
        <v>981</v>
      </c>
    </row>
    <row r="13356" customFormat="false" ht="17.15" hidden="false" customHeight="false" outlineLevel="0" collapsed="false">
      <c r="A13356" s="1" t="s">
        <v>982</v>
      </c>
      <c r="B13356" s="0" t="s">
        <v>403</v>
      </c>
      <c r="C13356" s="15" t="n">
        <f aca="false">(Sens!C13346*tk_opex_h100+Sens!C13347*tk_opex_gb200+Sens!C13348*tk_opex_gb300+(Sens!C13350+Sens!C13349)*tk_opex_vr200)/Sens!C13338</f>
        <v>1.88636041306092</v>
      </c>
      <c r="D13356" s="15" t="n">
        <f aca="false">(Sens!D13346*tk_opex_h100+Sens!D13347*tk_opex_gb200+Sens!D13348*tk_opex_gb300+(Sens!D13350+Sens!D13349)*tk_opex_vr200)/Sens!D13338</f>
        <v>1.88636041306092</v>
      </c>
      <c r="E13356" s="15" t="n">
        <f aca="false">(Sens!E13346*tk_opex_h100+Sens!E13347*tk_opex_gb200+Sens!E13348*tk_opex_gb300+(Sens!E13350+Sens!E13349)*tk_opex_vr200)/Sens!E13338</f>
        <v>1.88636041306092</v>
      </c>
      <c r="F13356" s="15" t="n">
        <f aca="false">(Sens!F13346*tk_opex_h100+Sens!F13347*tk_opex_gb200+Sens!F13348*tk_opex_gb300+(Sens!F13350+Sens!F13349)*tk_opex_vr200)/Sens!F13338</f>
        <v>1.95051159746876</v>
      </c>
      <c r="G13356" s="15" t="n">
        <f aca="false">(Sens!G13346*tk_opex_h100+Sens!G13347*tk_opex_gb200+Sens!G13348*tk_opex_gb300+(Sens!G13350+Sens!G13349)*tk_opex_vr200)/Sens!G13338</f>
        <v>1.98836003669956</v>
      </c>
      <c r="H13356" s="15" t="n">
        <f aca="false">(Sens!H13346*tk_opex_h100+Sens!H13347*tk_opex_gb200+Sens!H13348*tk_opex_gb300+(Sens!H13350+Sens!H13349)*tk_opex_vr200)/Sens!H13338</f>
        <v>2.01344013834343</v>
      </c>
      <c r="I13356" s="15" t="n">
        <f aca="false">(Sens!I13346*tk_opex_h100+Sens!I13347*tk_opex_gb200+Sens!I13348*tk_opex_gb300+(Sens!I13350+Sens!I13349)*tk_opex_vr200)/Sens!I13338</f>
        <v>2.03261166882178</v>
      </c>
      <c r="J13356" s="15" t="n">
        <f aca="false">(Sens!J13346*tk_opex_h100+Sens!J13347*tk_opex_gb200+Sens!J13348*tk_opex_gb300+(Sens!J13350+Sens!J13349)*tk_opex_vr200)/Sens!J13338</f>
        <v>2.04808073288745</v>
      </c>
      <c r="K13356" s="15" t="n">
        <f aca="false">(Sens!K13346*tk_opex_h100+Sens!K13347*tk_opex_gb200+Sens!K13348*tk_opex_gb300+(Sens!K13350+Sens!K13349)*tk_opex_vr200)/Sens!K13338</f>
        <v>2.06973825807449</v>
      </c>
      <c r="L13356" s="12" t="s">
        <v>983</v>
      </c>
    </row>
    <row r="13357" customFormat="false" ht="17.15" hidden="false" customHeight="false" outlineLevel="0" collapsed="false">
      <c r="A13357" s="0" t="s">
        <v>984</v>
      </c>
      <c r="B13357" s="0" t="s">
        <v>98</v>
      </c>
      <c r="D13357" s="6" t="n">
        <f aca="false">(Sens!C13341+Sens!D13341)/2*Sens!D13356/1000</f>
        <v>2.70378325872065</v>
      </c>
      <c r="E13357" s="6" t="n">
        <f aca="false">(Sens!D13341+Sens!E13341)/2*Sens!E13356/1000</f>
        <v>6.17783035277451</v>
      </c>
      <c r="F13357" s="6" t="n">
        <f aca="false">(Sens!E13341+Sens!F13341)/2*Sens!F13356/1000</f>
        <v>12.8742463089237</v>
      </c>
      <c r="G13357" s="6" t="n">
        <f aca="false">(Sens!F13341+Sens!G13341)/2*Sens!G13356/1000</f>
        <v>21.8182834646277</v>
      </c>
      <c r="H13357" s="6" t="n">
        <f aca="false">(Sens!G13341+Sens!H13341)/2*Sens!H13356/1000</f>
        <v>31.2430128789734</v>
      </c>
      <c r="I13357" s="6" t="n">
        <f aca="false">(Sens!H13341+Sens!I13341)/2*Sens!I13356/1000</f>
        <v>39.4313057443268</v>
      </c>
      <c r="J13357" s="6" t="n">
        <f aca="false">(Sens!I13341+Sens!J13341)/2*Sens!J13356/1000</f>
        <v>45.0360318228653</v>
      </c>
      <c r="K13357" s="6" t="n">
        <f aca="false">(Sens!J13341+Sens!K13341)/2*Sens!K13356/1000</f>
        <v>48.2929727091156</v>
      </c>
    </row>
    <row r="13358" customFormat="false" ht="17.15" hidden="false" customHeight="false" outlineLevel="0" collapsed="false">
      <c r="A13358" s="0" t="s">
        <v>985</v>
      </c>
      <c r="B13358" s="0" t="s">
        <v>98</v>
      </c>
      <c r="D13358" s="6" t="n">
        <f aca="false">(Sens!C13339+Sens!D13339)/2*rent_mw/1000</f>
        <v>2.44475</v>
      </c>
      <c r="E13358" s="6" t="n">
        <f aca="false">(Sens!D13339+Sens!E13339)/2*rent_mw/1000</f>
        <v>4.22275</v>
      </c>
      <c r="F13358" s="6" t="n">
        <f aca="false">(Sens!E13339+Sens!F13339)/2*rent_mw/1000</f>
        <v>5.80517</v>
      </c>
      <c r="G13358" s="6" t="n">
        <f aca="false">(Sens!F13339+Sens!G13339)/2*rent_mw/1000</f>
        <v>6.72084</v>
      </c>
      <c r="H13358" s="6" t="n">
        <f aca="false">(Sens!G13339+Sens!H13339)/2*rent_mw/1000</f>
        <v>6.72084</v>
      </c>
      <c r="I13358" s="6" t="n">
        <f aca="false">(Sens!H13339+Sens!I13339)/2*rent_mw/1000</f>
        <v>6.72084</v>
      </c>
      <c r="J13358" s="6" t="n">
        <f aca="false">(Sens!I13339+Sens!J13339)/2*rent_mw/1000</f>
        <v>6.72084</v>
      </c>
      <c r="K13358" s="6" t="n">
        <f aca="false">(Sens!J13339+Sens!K13339)/2*rent_mw/1000</f>
        <v>6.72084</v>
      </c>
    </row>
    <row r="13359" customFormat="false" ht="17.15" hidden="false" customHeight="false" outlineLevel="0" collapsed="false">
      <c r="A13359" s="0" t="s">
        <v>986</v>
      </c>
      <c r="B13359" s="0" t="s">
        <v>98</v>
      </c>
      <c r="D13359" s="6" t="n">
        <f aca="false">(Sens!C13341+Sens!D13341)/2*(1-self_build)*fac_rent/1000</f>
        <v>0.853242375631075</v>
      </c>
      <c r="E13359" s="6" t="n">
        <f aca="false">(Sens!D13341+Sens!E13341)/2*(1-self_build)*fac_rent/1000</f>
        <v>1.94955961408728</v>
      </c>
      <c r="F13359" s="6" t="n">
        <f aca="false">(Sens!E13341+Sens!F13341)/2*(1-self_build)*fac_rent/1000</f>
        <v>3.92914894476356</v>
      </c>
      <c r="G13359" s="6" t="n">
        <f aca="false">(Sens!F13341+Sens!G13341)/2*(1-self_build)*fac_rent/1000</f>
        <v>6.53206908578159</v>
      </c>
      <c r="H13359" s="6" t="n">
        <f aca="false">(Sens!G13341+Sens!H13341)/2*(1-self_build)*fac_rent/1000</f>
        <v>9.23717988341591</v>
      </c>
      <c r="I13359" s="6" t="n">
        <f aca="false">(Sens!H13341+Sens!I13341)/2*(1-self_build)*fac_rent/1000</f>
        <v>11.5481378557393</v>
      </c>
      <c r="J13359" s="6" t="n">
        <f aca="false">(Sens!I13341+Sens!J13341)/2*(1-self_build)*fac_rent/1000</f>
        <v>13.0899582289108</v>
      </c>
      <c r="K13359" s="6" t="n">
        <f aca="false">(Sens!J13341+Sens!K13341)/2*(1-self_build)*fac_rent/1000</f>
        <v>13.8897275626556</v>
      </c>
      <c r="L13359" s="12" t="s">
        <v>987</v>
      </c>
    </row>
    <row r="13360" customFormat="false" ht="17.15" hidden="false" customHeight="false" outlineLevel="0" collapsed="false">
      <c r="A13360" s="1" t="s">
        <v>988</v>
      </c>
      <c r="B13360" s="0" t="s">
        <v>168</v>
      </c>
      <c r="D13360" s="7" t="n">
        <f aca="false">(Sens!C13340+Sens!D13340)/(Sens!C13341+Sens!D13341)</f>
        <v>0.6</v>
      </c>
      <c r="E13360" s="7" t="n">
        <f aca="false">(Sens!D13340+Sens!E13340)/(Sens!D13341+Sens!E13341)</f>
        <v>0.6</v>
      </c>
      <c r="F13360" s="7" t="n">
        <f aca="false">(Sens!E13340+Sens!F13340)/(Sens!E13341+Sens!F13341)</f>
        <v>0.6</v>
      </c>
      <c r="G13360" s="7" t="n">
        <f aca="false">(Sens!F13340+Sens!G13340)/(Sens!F13341+Sens!G13341)</f>
        <v>0.6</v>
      </c>
      <c r="H13360" s="7" t="n">
        <f aca="false">(Sens!G13340+Sens!H13340)/(Sens!G13341+Sens!H13341)</f>
        <v>0.6</v>
      </c>
      <c r="I13360" s="7" t="n">
        <f aca="false">(Sens!H13340+Sens!I13340)/(Sens!H13341+Sens!I13341)</f>
        <v>0.6</v>
      </c>
      <c r="J13360" s="7" t="n">
        <f aca="false">(Sens!I13340+Sens!J13340)/(Sens!I13341+Sens!J13341)</f>
        <v>0.6</v>
      </c>
      <c r="K13360" s="7" t="n">
        <f aca="false">(Sens!J13340+Sens!K13340)/(Sens!J13341+Sens!K13341)</f>
        <v>0.6</v>
      </c>
    </row>
    <row r="13361" customFormat="false" ht="17.15" hidden="false" customHeight="false" outlineLevel="0" collapsed="false">
      <c r="A13361" s="0" t="s">
        <v>989</v>
      </c>
      <c r="B13361" s="0" t="s">
        <v>98</v>
      </c>
      <c r="D13361" s="6" t="n">
        <f aca="false">Sens!D13355-Sens!D13360*(Sens!D13357+Sens!D13359)-Sens!D13358</f>
        <v>8.35701406163072</v>
      </c>
      <c r="E13361" s="6" t="n">
        <f aca="false">Sens!E13355-Sens!E13360*(Sens!E13357+Sens!E13359)-Sens!E13358</f>
        <v>18.7103224860238</v>
      </c>
      <c r="F13361" s="6" t="n">
        <f aca="false">Sens!F13355-Sens!F13360*(Sens!F13357+Sens!F13359)-Sens!F13358</f>
        <v>43.2162094129388</v>
      </c>
      <c r="G13361" s="6" t="n">
        <f aca="false">Sens!G13355-Sens!G13360*(Sens!G13357+Sens!G13359)-Sens!G13358</f>
        <v>79.7204472589529</v>
      </c>
      <c r="H13361" s="6" t="n">
        <f aca="false">Sens!H13355-Sens!H13360*(Sens!H13357+Sens!H13359)-Sens!H13358</f>
        <v>122.807764331602</v>
      </c>
      <c r="I13361" s="6" t="n">
        <f aca="false">Sens!I13355-Sens!I13360*(Sens!I13357+Sens!I13359)-Sens!I13358</f>
        <v>155.390972530813</v>
      </c>
      <c r="J13361" s="6" t="n">
        <f aca="false">Sens!J13355-Sens!J13360*(Sens!J13357+Sens!J13359)-Sens!J13358</f>
        <v>178.197668553178</v>
      </c>
      <c r="K13361" s="6" t="n">
        <f aca="false">Sens!K13355-Sens!K13360*(Sens!K13357+Sens!K13359)-Sens!K13358</f>
        <v>192.726586741959</v>
      </c>
    </row>
    <row r="13362" customFormat="false" ht="17.15" hidden="false" customHeight="false" outlineLevel="0" collapsed="false">
      <c r="A13362" s="1" t="s">
        <v>990</v>
      </c>
      <c r="B13362" s="0" t="s">
        <v>98</v>
      </c>
      <c r="D13362" s="6" t="n">
        <f aca="false">(1-Sens!D13360)*(Sens!D13357+Sens!D13359)</f>
        <v>1.42281025374069</v>
      </c>
      <c r="E13362" s="6" t="n">
        <f aca="false">(1-Sens!E13360)*(Sens!E13357+Sens!E13359)</f>
        <v>3.25095598674472</v>
      </c>
      <c r="F13362" s="6" t="n">
        <f aca="false">(1-Sens!F13360)*(Sens!F13357+Sens!F13359)</f>
        <v>6.72135810147489</v>
      </c>
      <c r="G13362" s="6" t="n">
        <f aca="false">(1-Sens!G13360)*(Sens!G13357+Sens!G13359)</f>
        <v>11.3401410201637</v>
      </c>
      <c r="H13362" s="6" t="n">
        <f aca="false">(1-Sens!H13360)*(Sens!H13357+Sens!H13359)</f>
        <v>16.1920771049557</v>
      </c>
      <c r="I13362" s="6" t="n">
        <f aca="false">(1-Sens!I13360)*(Sens!I13357+Sens!I13359)</f>
        <v>20.3917774400264</v>
      </c>
      <c r="J13362" s="6" t="n">
        <f aca="false">(1-Sens!J13360)*(Sens!J13357+Sens!J13359)</f>
        <v>23.2503960207104</v>
      </c>
      <c r="K13362" s="6" t="n">
        <f aca="false">(1-Sens!K13360)*(Sens!K13357+Sens!K13359)</f>
        <v>24.8730801087085</v>
      </c>
    </row>
    <row r="13363" customFormat="false" ht="17.15" hidden="false" customHeight="false" outlineLevel="0" collapsed="false">
      <c r="A13363" s="1" t="s">
        <v>991</v>
      </c>
      <c r="B13363" s="0" t="s">
        <v>417</v>
      </c>
      <c r="C13363" s="8" t="n">
        <f aca="false">cxit_open</f>
        <v>27.5918995</v>
      </c>
      <c r="D13363" s="8" t="n">
        <f aca="false">cxit_open</f>
        <v>27.5918995</v>
      </c>
      <c r="E13363" s="8" t="n">
        <f aca="false">cxit_open</f>
        <v>27.5918995</v>
      </c>
      <c r="F13363" s="8" t="n">
        <f aca="false">((a_g3_27-nonnv*a_mai)*tk_cxit_gb300+nonnv*a_mai*nv_hold_mai*tk_cxit_vr200+(1-a_g3_27)*tk_cxit_vr200)</f>
        <v>32.4975576</v>
      </c>
      <c r="G13363" s="8" t="n">
        <f aca="false">((a_g3_28-nonnv*a_mai)*tk_cxit_gb300+nonnv*a_mai*nv_hold_mai*tk_cxit_vr200+(1-a_g3_28)*tk_cxit_vr200)</f>
        <v>34.6372088</v>
      </c>
      <c r="H13363" s="8" t="n">
        <f aca="false">((a_g3_29-nonnv*a_mai)*tk_cxit_gb300+nonnv*a_mai*nv_hold_mai*tk_cxit_vr200+(1-a_g3_29)*tk_cxit_vr200)</f>
        <v>35.7070344</v>
      </c>
      <c r="I13363" s="8" t="n">
        <f aca="false">((a_g3_29-nonnv*a_mai)*tk_cxit_gb300+nonnv*a_mai*nv_hold_mai*tk_cxit_vr200+(1-a_g3_29)*tk_cxit_vr200)</f>
        <v>35.7070344</v>
      </c>
      <c r="J13363" s="8" t="n">
        <f aca="false">((a_g3_29-nonnv*a_mai)*tk_cxit_gb300+nonnv*a_mai*nv_hold_mai*tk_cxit_vr200+(1-a_g3_29)*tk_cxit_vr200)</f>
        <v>35.7070344</v>
      </c>
      <c r="K13363" s="8" t="n">
        <f aca="false">((a_g3_29-nonnv*a_mai)*tk_cxit_gb300+nonnv*a_mai*nv_hold_mai*tk_cxit_vr200+(1-a_g3_29)*tk_cxit_vr200)</f>
        <v>35.7070344</v>
      </c>
      <c r="L13363" s="12" t="s">
        <v>992</v>
      </c>
    </row>
    <row r="13364" customFormat="false" ht="17.15" hidden="false" customHeight="false" outlineLevel="0" collapsed="false">
      <c r="A13364" s="0" t="s">
        <v>993</v>
      </c>
      <c r="B13364" s="0" t="s">
        <v>459</v>
      </c>
      <c r="F13364" s="30" t="n">
        <f aca="false">Sens!C13343*IF(Sens!F13336-Sens!C13336=life_it,1,0)+Sens!D13343*IF(Sens!F13336-Sens!D13336=life_it,1,0)+Sens!E13343*IF(Sens!F13336-Sens!E13336=life_it,1,0)</f>
        <v>0</v>
      </c>
      <c r="G13364" s="30" t="n">
        <f aca="false">Sens!C13343*IF(Sens!G13336-Sens!C13336=life_it,1,0)+Sens!D13343*IF(Sens!G13336-Sens!D13336=life_it,1,0)+Sens!E13343*IF(Sens!G13336-Sens!E13336=life_it,1,0)+Sens!F13343*IF(Sens!G13336-Sens!F13336=life_it,1,0)</f>
        <v>0</v>
      </c>
      <c r="H13364" s="30" t="n">
        <f aca="false">Sens!C13343*IF(Sens!H13336-Sens!C13336=life_it,1,0)+Sens!D13343*IF(Sens!H13336-Sens!D13336=life_it,1,0)+Sens!E13343*IF(Sens!H13336-Sens!E13336=life_it,1,0)+Sens!F13343*IF(Sens!H13336-Sens!F13336=life_it,1,0)+Sens!G13343*IF(Sens!H13336-Sens!G13336=life_it,1,0)</f>
        <v>0</v>
      </c>
      <c r="I13364" s="30" t="n">
        <f aca="false">Sens!C13343*IF(Sens!I13336-Sens!C13336=life_it,1,0)+Sens!D13343*IF(Sens!I13336-Sens!D13336=life_it,1,0)+Sens!E13343*IF(Sens!I13336-Sens!E13336=life_it,1,0)+Sens!F13343*IF(Sens!I13336-Sens!F13336=life_it,1,0)+Sens!G13343*IF(Sens!I13336-Sens!G13336=life_it,1,0)+Sens!H13343*IF(Sens!I13336-Sens!H13336=life_it,1,0)</f>
        <v>816.666666666667</v>
      </c>
      <c r="J13364" s="30" t="n">
        <f aca="false">Sens!C13343*IF(Sens!J13336-Sens!C13336=life_it,1,0)+Sens!D13343*IF(Sens!J13336-Sens!D13336=life_it,1,0)+Sens!E13343*IF(Sens!J13336-Sens!E13336=life_it,1,0)+Sens!F13343*IF(Sens!J13336-Sens!F13336=life_it,1,0)+Sens!G13343*IF(Sens!J13336-Sens!G13336=life_it,1,0)+Sens!H13343*IF(Sens!J13336-Sens!H13336=life_it,1,0)+Sens!I13343*IF(Sens!J13336-Sens!I13336=life_it,1,0)</f>
        <v>1233.33333333333</v>
      </c>
      <c r="K13364" s="30" t="n">
        <f aca="false">Sens!C13343*IF(Sens!K13336-Sens!C13336=life_it,1,0)+Sens!D13343*IF(Sens!K13336-Sens!D13336=life_it,1,0)+Sens!E13343*IF(Sens!K13336-Sens!E13336=life_it,1,0)+Sens!F13343*IF(Sens!K13336-Sens!F13336=life_it,1,0)+Sens!G13343*IF(Sens!K13336-Sens!G13336=life_it,1,0)+Sens!H13343*IF(Sens!K13336-Sens!H13336=life_it,1,0)+Sens!I13343*IF(Sens!K13336-Sens!I13336=life_it,1,0)+Sens!J13343*IF(Sens!K13336-Sens!J13336=life_it,1,0)</f>
        <v>2450</v>
      </c>
      <c r="L13364" s="1" t="s">
        <v>994</v>
      </c>
    </row>
    <row r="13365" customFormat="false" ht="17.15" hidden="false" customHeight="false" outlineLevel="0" collapsed="false">
      <c r="A13365" s="0" t="s">
        <v>995</v>
      </c>
      <c r="B13365" s="0" t="s">
        <v>98</v>
      </c>
      <c r="C13365" s="6" t="n">
        <f aca="false">Sens!C13343*Sens!C13363/1000</f>
        <v>22.5333845916667</v>
      </c>
      <c r="D13365" s="6" t="n">
        <f aca="false">Sens!D13343*Sens!D13363/1000</f>
        <v>34.0300093833333</v>
      </c>
      <c r="E13365" s="6" t="n">
        <f aca="false">Sens!E13343*Sens!E13363/1000</f>
        <v>67.600153775</v>
      </c>
      <c r="F13365" s="6" t="n">
        <f aca="false">(Sens!F13343+Sens!F13364)*Sens!F13363/1000</f>
        <v>136.51872432512</v>
      </c>
      <c r="G13365" s="6" t="n">
        <f aca="false">(Sens!G13343+Sens!G13364)*Sens!G13363/1000</f>
        <v>157.399275932048</v>
      </c>
      <c r="H13365" s="6" t="n">
        <f aca="false">(Sens!H13343+Sens!H13364)*Sens!H13363/1000</f>
        <v>162.260804347512</v>
      </c>
      <c r="I13365" s="6" t="n">
        <f aca="false">(Sens!I13343+Sens!I13364)*Sens!I13363/1000</f>
        <v>144.136569485434</v>
      </c>
      <c r="J13365" s="6" t="n">
        <f aca="false">(Sens!J13343+Sens!J13364)*Sens!J13363/1000</f>
        <v>114.029037357864</v>
      </c>
      <c r="K13365" s="6" t="n">
        <f aca="false">(Sens!K13343+Sens!K13364)*Sens!K13363/1000</f>
        <v>113.437085350975</v>
      </c>
    </row>
    <row r="13366" customFormat="false" ht="17.15" hidden="false" customHeight="false" outlineLevel="0" collapsed="false">
      <c r="A13366" s="0" t="s">
        <v>996</v>
      </c>
      <c r="B13366" s="0" t="s">
        <v>98</v>
      </c>
      <c r="C13366" s="6" t="n">
        <f aca="false">Sens!C13343*self_build*tk_cxfac/1000</f>
        <v>6.2083</v>
      </c>
      <c r="D13366" s="6" t="n">
        <f aca="false">Sens!D13343*self_build*tk_cxfac/1000</f>
        <v>9.3758</v>
      </c>
      <c r="E13366" s="6" t="n">
        <f aca="false">Sens!E13343*self_build*tk_cxfac/1000</f>
        <v>18.6249</v>
      </c>
      <c r="F13366" s="6" t="n">
        <f aca="false">Sens!F13343*self_build*tk_cxfac/1000</f>
        <v>31.935179717</v>
      </c>
      <c r="G13366" s="6" t="n">
        <f aca="false">Sens!G13343*self_build*tk_cxfac/1000</f>
        <v>34.545199717</v>
      </c>
      <c r="H13366" s="6" t="n">
        <f aca="false">Sens!H13343*self_build*tk_cxfac/1000</f>
        <v>34.545199717</v>
      </c>
      <c r="I13366" s="6" t="n">
        <f aca="false">Sens!I13343*self_build*tk_cxfac/1000</f>
        <v>24.4782641361767</v>
      </c>
      <c r="J13366" s="6" t="n">
        <f aca="false">Sens!J13343*self_build*tk_cxfac/1000</f>
        <v>14.9008938380769</v>
      </c>
      <c r="K13366" s="6" t="n">
        <f aca="false">Sens!K13343*self_build*tk_cxfac/1000</f>
        <v>5.52576771375761</v>
      </c>
    </row>
    <row r="13367" customFormat="false" ht="17.15" hidden="false" customHeight="false" outlineLevel="0" collapsed="false">
      <c r="A13367" s="0" t="s">
        <v>997</v>
      </c>
      <c r="B13367" s="0" t="s">
        <v>98</v>
      </c>
      <c r="F13367" s="15" t="n">
        <f aca="false">capex_floor27-Sens!F13365-Sens!F13366-Sens!F13463</f>
        <v>0.0475774452575593</v>
      </c>
      <c r="L13367" s="12" t="s">
        <v>998</v>
      </c>
    </row>
    <row r="13368" customFormat="false" ht="17.15" hidden="false" customHeight="false" outlineLevel="0" collapsed="false">
      <c r="A13368" s="0" t="s">
        <v>999</v>
      </c>
      <c r="B13368" s="0" t="s">
        <v>98</v>
      </c>
      <c r="F13368" s="6" t="n">
        <f aca="false">MAX(0,Sens!F13367)</f>
        <v>0.0475774452575593</v>
      </c>
    </row>
    <row r="13369" customFormat="false" ht="17.15" hidden="false" customHeight="false" outlineLevel="0" collapsed="false">
      <c r="A13369" s="0" t="s">
        <v>1000</v>
      </c>
      <c r="B13369" s="0" t="s">
        <v>98</v>
      </c>
      <c r="C13369" s="6" t="n">
        <f aca="false">Sens!C13365</f>
        <v>22.5333845916667</v>
      </c>
      <c r="D13369" s="6" t="n">
        <f aca="false">Sens!D13365</f>
        <v>34.0300093833333</v>
      </c>
      <c r="E13369" s="6" t="n">
        <f aca="false">Sens!E13365</f>
        <v>67.600153775</v>
      </c>
      <c r="F13369" s="6" t="n">
        <f aca="false">Sens!F13365</f>
        <v>136.51872432512</v>
      </c>
      <c r="G13369" s="6" t="n">
        <f aca="false">Sens!G13365</f>
        <v>157.399275932048</v>
      </c>
      <c r="H13369" s="6" t="n">
        <f aca="false">Sens!H13365</f>
        <v>162.260804347512</v>
      </c>
      <c r="I13369" s="6" t="n">
        <f aca="false">Sens!I13365</f>
        <v>144.136569485434</v>
      </c>
      <c r="J13369" s="6" t="n">
        <f aca="false">Sens!J13365</f>
        <v>114.029037357864</v>
      </c>
      <c r="K13369" s="6" t="n">
        <f aca="false">Sens!K13365</f>
        <v>113.437085350975</v>
      </c>
    </row>
    <row r="13370" customFormat="false" ht="17.15" hidden="false" customHeight="false" outlineLevel="0" collapsed="false">
      <c r="A13370" s="0" t="s">
        <v>1001</v>
      </c>
      <c r="B13370" s="0" t="s">
        <v>98</v>
      </c>
      <c r="C13370" s="6" t="n">
        <f aca="false">Sens!C13369+Sens!C13366</f>
        <v>28.7416845916667</v>
      </c>
      <c r="D13370" s="6" t="n">
        <f aca="false">Sens!D13369+Sens!D13366</f>
        <v>43.4058093833333</v>
      </c>
      <c r="E13370" s="6" t="n">
        <f aca="false">Sens!E13369+Sens!E13366</f>
        <v>86.225053775</v>
      </c>
      <c r="F13370" s="6" t="n">
        <f aca="false">Sens!F13369+Sens!F13366</f>
        <v>168.45390404212</v>
      </c>
      <c r="G13370" s="6" t="n">
        <f aca="false">Sens!G13369+Sens!G13366</f>
        <v>191.944475649048</v>
      </c>
      <c r="H13370" s="6" t="n">
        <f aca="false">Sens!H13369+Sens!H13366</f>
        <v>196.806004064512</v>
      </c>
      <c r="I13370" s="6" t="n">
        <f aca="false">Sens!I13369+Sens!I13366</f>
        <v>168.61483362161</v>
      </c>
      <c r="J13370" s="6" t="n">
        <f aca="false">Sens!J13369+Sens!J13366</f>
        <v>128.92993119594</v>
      </c>
      <c r="K13370" s="6" t="n">
        <f aca="false">Sens!K13369+Sens!K13366</f>
        <v>118.962853064733</v>
      </c>
      <c r="L13370" s="12" t="s">
        <v>1002</v>
      </c>
    </row>
    <row r="13371" customFormat="false" ht="17.15" hidden="false" customHeight="false" outlineLevel="0" collapsed="false">
      <c r="A13371" s="0" t="s">
        <v>1003</v>
      </c>
      <c r="B13371" s="0" t="s">
        <v>98</v>
      </c>
      <c r="E13371" s="6" t="n">
        <f aca="false">(Sens!C13369*IF(2&lt;life_it,1,IF(2=life_it,0.5,0))+Sens!D13369*IF(1&lt;life_it,1,IF(1=life_it,0.5,0))+Sens!E13369*0.5)/life_it</f>
        <v>15.0605784770833</v>
      </c>
      <c r="F13371" s="6" t="n">
        <f aca="false">(Sens!C13369*IF(3&lt;life_it,1,IF(3=life_it,0.5,0))+Sens!D13369*IF(2&lt;life_it,1,IF(2=life_it,0.5,0))+Sens!E13369*IF(1&lt;life_it,1,IF(1=life_it,0.5,0))+Sens!F13369*0.5)/life_it</f>
        <v>32.0704849854266</v>
      </c>
      <c r="G13371" s="6" t="n">
        <f aca="false">(Sens!C13369*IF(4&lt;life_it,1,IF(4=life_it,0.5,0))+Sens!D13369*IF(3&lt;life_it,1,IF(3=life_it,0.5,0))+Sens!E13369*IF(2&lt;life_it,1,IF(2=life_it,0.5,0))+Sens!F13369*IF(1&lt;life_it,1,IF(1=life_it,0.5,0))+Sens!G13369*0.5)/life_it</f>
        <v>56.5636516735239</v>
      </c>
      <c r="H13371" s="6" t="n">
        <f aca="false">(Sens!C13369*IF(5&lt;life_it,1,IF(5=life_it,0.5,0))+Sens!D13369*IF(4&lt;life_it,1,IF(4=life_it,0.5,0))+Sens!E13369*IF(3&lt;life_it,1,IF(3=life_it,0.5,0))+Sens!F13369*IF(2&lt;life_it,1,IF(2=life_it,0.5,0))+Sens!G13369*IF(1&lt;life_it,1,IF(1=life_it,0.5,0))+Sens!H13369*0.5)/life_it</f>
        <v>83.2019916968207</v>
      </c>
      <c r="I13371" s="6" t="n">
        <f aca="false">(Sens!C13369*IF(6&lt;life_it,1,IF(6=life_it,0.5,0))+Sens!D13369*IF(5&lt;life_it,1,IF(5=life_it,0.5,0))+Sens!E13369*IF(4&lt;life_it,1,IF(4=life_it,0.5,0))+Sens!F13369*IF(3&lt;life_it,1,IF(3=life_it,0.5,0))+Sens!G13369*IF(2&lt;life_it,1,IF(2=life_it,0.5,0))+Sens!H13369*IF(1&lt;life_it,1,IF(1=life_it,0.5,0))+Sens!I13369*0.5)/life_it</f>
        <v>106.857324133594</v>
      </c>
      <c r="J13371" s="6" t="n">
        <f aca="false">(Sens!C13369*IF(7&lt;life_it,1,IF(7=life_it,0.5,0))+Sens!D13369*IF(6&lt;life_it,1,IF(6=life_it,0.5,0))+Sens!E13369*IF(5&lt;life_it,1,IF(5=life_it,0.5,0))+Sens!F13369*IF(4&lt;life_it,1,IF(4=life_it,0.5,0))+Sens!G13369*IF(3&lt;life_it,1,IF(3=life_it,0.5,0))+Sens!H13369*IF(2&lt;life_it,1,IF(2=life_it,0.5,0))+Sens!I13369*IF(1&lt;life_it,1,IF(1=life_it,0.5,0))+Sens!J13369*0.5)/life_it</f>
        <v>123.657508539285</v>
      </c>
      <c r="K13371" s="6" t="n">
        <f aca="false">(Sens!C13369*IF(8&lt;life_it,1,IF(8=life_it,0.5,0))+Sens!D13369*IF(7&lt;life_it,1,IF(7=life_it,0.5,0))+Sens!E13369*IF(6&lt;life_it,1,IF(6=life_it,0.5,0))+Sens!F13369*IF(5&lt;life_it,1,IF(5=life_it,0.5,0))+Sens!G13369*IF(4&lt;life_it,1,IF(4=life_it,0.5,0))+Sens!H13369*IF(3&lt;life_it,1,IF(3=life_it,0.5,0))+Sens!I13369*IF(2&lt;life_it,1,IF(2=life_it,0.5,0))+Sens!J13369*IF(1&lt;life_it,1,IF(1=life_it,0.5,0))+Sens!K13369*0.5)/life_it</f>
        <v>134.143838501827</v>
      </c>
    </row>
    <row r="13372" customFormat="false" ht="17.15" hidden="false" customHeight="false" outlineLevel="0" collapsed="false">
      <c r="A13372" s="0" t="s">
        <v>1004</v>
      </c>
      <c r="B13372" s="0" t="s">
        <v>98</v>
      </c>
      <c r="E13372" s="6" t="n">
        <f aca="false">(Sens!C13366*IF(2&lt;life_fac,1,IF(2=life_fac,0.5,0))+Sens!D13366*IF(1&lt;life_fac,1,IF(1=life_fac,0.5,0))+Sens!E13366*0.5)/life_fac</f>
        <v>1.2448275</v>
      </c>
      <c r="F13372" s="6" t="n">
        <f aca="false">(Sens!C13366*IF(3&lt;life_fac,1,IF(3=life_fac,0.5,0))+Sens!D13366*IF(2&lt;life_fac,1,IF(2=life_fac,0.5,0))+Sens!E13366*IF(1&lt;life_fac,1,IF(1=life_fac,0.5,0))+Sens!F13366*0.5)/life_fac</f>
        <v>2.508829492925</v>
      </c>
      <c r="G13372" s="6" t="n">
        <f aca="false">(Sens!C13366*IF(4&lt;life_fac,1,IF(4=life_fac,0.5,0))+Sens!D13366*IF(3&lt;life_fac,1,IF(3=life_fac,0.5,0))+Sens!E13366*IF(2&lt;life_fac,1,IF(2=life_fac,0.5,0))+Sens!F13366*IF(1&lt;life_fac,1,IF(1=life_fac,0.5,0))+Sens!G13366*0.5)/life_fac</f>
        <v>4.170838978775</v>
      </c>
      <c r="H13372" s="6" t="n">
        <f aca="false">(Sens!C13366*IF(5&lt;life_fac,1,IF(5=life_fac,0.5,0))+Sens!D13366*IF(4&lt;life_fac,1,IF(4=life_fac,0.5,0))+Sens!E13366*IF(3&lt;life_fac,1,IF(3=life_fac,0.5,0))+Sens!F13366*IF(2&lt;life_fac,1,IF(2=life_fac,0.5,0))+Sens!G13366*IF(1&lt;life_fac,1,IF(1=life_fac,0.5,0))+Sens!H13366*0.5)/life_fac</f>
        <v>5.898098964625</v>
      </c>
      <c r="I13372" s="6" t="n">
        <f aca="false">(Sens!C13366*IF(6&lt;life_fac,1,IF(6=life_fac,0.5,0))+Sens!D13366*IF(5&lt;life_fac,1,IF(5=life_fac,0.5,0))+Sens!E13366*IF(4&lt;life_fac,1,IF(4=life_fac,0.5,0))+Sens!F13366*IF(3&lt;life_fac,1,IF(3=life_fac,0.5,0))+Sens!G13366*IF(2&lt;life_fac,1,IF(2=life_fac,0.5,0))+Sens!H13366*IF(1&lt;life_fac,1,IF(1=life_fac,0.5,0))+Sens!I13366*0.5)/life_fac</f>
        <v>7.37368556095442</v>
      </c>
      <c r="J13372" s="6" t="n">
        <f aca="false">(Sens!C13366*IF(7&lt;life_fac,1,IF(7=life_fac,0.5,0))+Sens!D13366*IF(6&lt;life_fac,1,IF(6=life_fac,0.5,0))+Sens!E13366*IF(5&lt;life_fac,1,IF(5=life_fac,0.5,0))+Sens!F13366*IF(4&lt;life_fac,1,IF(4=life_fac,0.5,0))+Sens!G13366*IF(3&lt;life_fac,1,IF(3=life_fac,0.5,0))+Sens!H13366*IF(2&lt;life_fac,1,IF(2=life_fac,0.5,0))+Sens!I13366*IF(1&lt;life_fac,1,IF(1=life_fac,0.5,0))+Sens!J13366*0.5)/life_fac</f>
        <v>8.35816451031075</v>
      </c>
      <c r="K13372" s="6" t="n">
        <f aca="false">(Sens!C13366*IF(8&lt;life_fac,1,IF(8=life_fac,0.5,0))+Sens!D13366*IF(7&lt;life_fac,1,IF(7=life_fac,0.5,0))+Sens!E13366*IF(6&lt;life_fac,1,IF(6=life_fac,0.5,0))+Sens!F13366*IF(5&lt;life_fac,1,IF(5=life_fac,0.5,0))+Sens!G13366*IF(4&lt;life_fac,1,IF(4=life_fac,0.5,0))+Sens!H13366*IF(3&lt;life_fac,1,IF(3=life_fac,0.5,0))+Sens!I13366*IF(2&lt;life_fac,1,IF(2=life_fac,0.5,0))+Sens!J13366*IF(1&lt;life_fac,1,IF(1=life_fac,0.5,0))+Sens!K13366*0.5)/life_fac</f>
        <v>8.86883104910662</v>
      </c>
    </row>
    <row r="13373" customFormat="false" ht="17.15" hidden="false" customHeight="false" outlineLevel="0" collapsed="false">
      <c r="A13373" s="0" t="s">
        <v>1005</v>
      </c>
      <c r="B13373" s="0" t="s">
        <v>98</v>
      </c>
      <c r="E13373" s="6" t="n">
        <f aca="false">Sens!E13371+Sens!E13372</f>
        <v>16.3054059770833</v>
      </c>
      <c r="F13373" s="6" t="n">
        <f aca="false">Sens!F13371+Sens!F13372</f>
        <v>34.5793144783516</v>
      </c>
      <c r="G13373" s="6" t="n">
        <f aca="false">Sens!G13371+Sens!G13372</f>
        <v>60.7344906522989</v>
      </c>
      <c r="H13373" s="6" t="n">
        <f aca="false">Sens!H13371+Sens!H13372</f>
        <v>89.1000906614457</v>
      </c>
      <c r="I13373" s="6" t="n">
        <f aca="false">Sens!I13371+Sens!I13372</f>
        <v>114.231009694548</v>
      </c>
      <c r="J13373" s="6" t="n">
        <f aca="false">Sens!J13371+Sens!J13372</f>
        <v>132.015673049596</v>
      </c>
      <c r="K13373" s="6" t="n">
        <f aca="false">Sens!K13371+Sens!K13372</f>
        <v>143.012669550934</v>
      </c>
    </row>
    <row r="13374" customFormat="false" ht="17.15" hidden="false" customHeight="false" outlineLevel="0" collapsed="false">
      <c r="A13374" s="0" t="s">
        <v>1006</v>
      </c>
      <c r="B13374" s="0" t="s">
        <v>98</v>
      </c>
      <c r="E13374" s="6" t="n">
        <f aca="false">Sens!E13361-Sens!E13360*Sens!E13373</f>
        <v>8.92707889977379</v>
      </c>
      <c r="F13374" s="6" t="n">
        <f aca="false">Sens!F13361-Sens!F13360*Sens!F13373</f>
        <v>22.4686207259278</v>
      </c>
      <c r="G13374" s="6" t="n">
        <f aca="false">Sens!G13361-Sens!G13360*Sens!G13373</f>
        <v>43.2797528675735</v>
      </c>
      <c r="H13374" s="6" t="n">
        <f aca="false">Sens!H13361-Sens!H13360*Sens!H13373</f>
        <v>69.3477099347341</v>
      </c>
      <c r="I13374" s="6" t="n">
        <f aca="false">Sens!I13361-Sens!I13360*Sens!I13373</f>
        <v>86.8523667140836</v>
      </c>
      <c r="J13374" s="6" t="n">
        <f aca="false">Sens!J13361-Sens!J13360*Sens!J13373</f>
        <v>98.9882647234202</v>
      </c>
      <c r="K13374" s="6" t="n">
        <f aca="false">Sens!K13361-Sens!K13360*Sens!K13373</f>
        <v>106.918985011399</v>
      </c>
    </row>
    <row r="13375" customFormat="false" ht="17.15" hidden="false" customHeight="false" outlineLevel="0" collapsed="false">
      <c r="A13375" s="3" t="s">
        <v>1946</v>
      </c>
    </row>
    <row r="13376" customFormat="false" ht="15" hidden="false" customHeight="false" outlineLevel="0" collapsed="false">
      <c r="A13376" s="4" t="s">
        <v>43</v>
      </c>
      <c r="B13376" s="4" t="s">
        <v>65</v>
      </c>
      <c r="C13376" s="23" t="s">
        <v>942</v>
      </c>
      <c r="D13376" s="23" t="s">
        <v>943</v>
      </c>
      <c r="E13376" s="23" t="s">
        <v>944</v>
      </c>
      <c r="F13376" s="23" t="s">
        <v>945</v>
      </c>
      <c r="G13376" s="23" t="s">
        <v>946</v>
      </c>
      <c r="H13376" s="23" t="s">
        <v>947</v>
      </c>
      <c r="I13376" s="23" t="s">
        <v>948</v>
      </c>
      <c r="J13376" s="23" t="s">
        <v>949</v>
      </c>
      <c r="K13376" s="23" t="s">
        <v>950</v>
      </c>
      <c r="L13376" s="4" t="s">
        <v>47</v>
      </c>
    </row>
    <row r="13377" customFormat="false" ht="17.15" hidden="false" customHeight="false" outlineLevel="0" collapsed="false">
      <c r="A13377" s="0" t="s">
        <v>1025</v>
      </c>
      <c r="B13377" s="0" t="s">
        <v>98</v>
      </c>
      <c r="D13377" s="6" t="n">
        <f aca="false">Sens!D13355</f>
        <v>12.9359794422418</v>
      </c>
      <c r="E13377" s="6" t="n">
        <f aca="false">Sens!E13355</f>
        <v>27.8095064661409</v>
      </c>
      <c r="F13377" s="6" t="n">
        <f aca="false">Sens!F13355</f>
        <v>59.1034165651511</v>
      </c>
      <c r="G13377" s="6" t="n">
        <f aca="false">Sens!G13355</f>
        <v>103.451498789198</v>
      </c>
      <c r="H13377" s="6" t="n">
        <f aca="false">Sens!H13355</f>
        <v>153.816719989035</v>
      </c>
      <c r="I13377" s="6" t="n">
        <f aca="false">Sens!I13355</f>
        <v>192.699478690852</v>
      </c>
      <c r="J13377" s="6" t="n">
        <f aca="false">Sens!J13355</f>
        <v>219.794102584244</v>
      </c>
      <c r="K13377" s="6" t="n">
        <f aca="false">Sens!K13355</f>
        <v>236.757046905022</v>
      </c>
    </row>
    <row r="13378" customFormat="false" ht="17.15" hidden="false" customHeight="false" outlineLevel="0" collapsed="false">
      <c r="A13378" s="0" t="s">
        <v>1026</v>
      </c>
      <c r="B13378" s="0" t="s">
        <v>98</v>
      </c>
      <c r="D13378" s="6" t="n">
        <f aca="false">Q!L6-Sens!D13377</f>
        <v>59.6740205577583</v>
      </c>
      <c r="E13378" s="6" t="n">
        <f aca="false">Q!M6-Sens!E13377</f>
        <v>74.1284935338591</v>
      </c>
      <c r="F13378" s="6" t="n">
        <f aca="false">Q!$I$6+(Sens!F13377+Sens!E13378*(1+Sens!F13379))*(1-Q!$E$6/Q!M6)-Sens!F13377</f>
        <v>90.4866018070994</v>
      </c>
      <c r="G13378" s="6" t="n">
        <f aca="false">Sens!F13378*(1+Sens!G13379)</f>
        <v>107.511588557154</v>
      </c>
      <c r="H13378" s="6" t="n">
        <f aca="false">Sens!G13378*(1+Sens!H13379)</f>
        <v>124.832989325489</v>
      </c>
      <c r="I13378" s="6" t="n">
        <f aca="false">Sens!H13378*(1+Sens!I13379)</f>
        <v>141.56992589148</v>
      </c>
      <c r="J13378" s="6" t="n">
        <f aca="false">Sens!I13378*(1+Sens!J13379)</f>
        <v>156.723190479428</v>
      </c>
      <c r="K13378" s="6" t="n">
        <f aca="false">Sens!J13378*(1+Sens!K13379)</f>
        <v>169.261045717783</v>
      </c>
      <c r="L13378" s="12" t="s">
        <v>1027</v>
      </c>
    </row>
    <row r="13379" customFormat="false" ht="15" hidden="false" customHeight="false" outlineLevel="0" collapsed="false">
      <c r="A13379" s="1" t="s">
        <v>1028</v>
      </c>
      <c r="B13379" s="0" t="s">
        <v>168</v>
      </c>
      <c r="E13379" s="7" t="n">
        <f aca="false">Sens!E13378/Sens!D13378-1</f>
        <v>0.242223883039864</v>
      </c>
      <c r="F13379" s="7" t="n">
        <f aca="false">Sens!$E$13379+(glt_azo-Sens!$E$13379)*MIN(1,(Sens!F13336-base_fy)/n_conv)</f>
        <v>0.215186569199887</v>
      </c>
      <c r="G13379" s="7" t="n">
        <f aca="false">Sens!$E$13379+(glt_azo-Sens!$E$13379)*MIN(1,(Sens!G13336-base_fy)/n_conv)</f>
        <v>0.18814925535991</v>
      </c>
      <c r="H13379" s="7" t="n">
        <f aca="false">Sens!$E$13379+(glt_azo-Sens!$E$13379)*MIN(1,(Sens!H13336-base_fy)/n_conv)</f>
        <v>0.161111941519932</v>
      </c>
      <c r="I13379" s="7" t="n">
        <f aca="false">Sens!$E$13379+(glt_azo-Sens!$E$13379)*MIN(1,(Sens!I13336-base_fy)/n_conv)</f>
        <v>0.134074627679955</v>
      </c>
      <c r="J13379" s="7" t="n">
        <f aca="false">Sens!$E$13379+(glt_azo-Sens!$E$13379)*MIN(1,(Sens!J13336-base_fy)/n_conv)</f>
        <v>0.107037313839977</v>
      </c>
      <c r="K13379" s="7" t="n">
        <f aca="false">Sens!$E$13379+(glt_azo-Sens!$E$13379)*MIN(1,(Sens!K13336-base_fy)/n_conv)</f>
        <v>0.08</v>
      </c>
    </row>
    <row r="13380" customFormat="false" ht="15" hidden="false" customHeight="false" outlineLevel="0" collapsed="false">
      <c r="A13380" s="0" t="s">
        <v>1029</v>
      </c>
      <c r="B13380" s="0" t="s">
        <v>98</v>
      </c>
      <c r="D13380" s="6" t="n">
        <f aca="false">Sens!D13377+Sens!D13378</f>
        <v>72.61</v>
      </c>
      <c r="E13380" s="6" t="n">
        <f aca="false">Sens!E13377+Sens!E13378</f>
        <v>101.938</v>
      </c>
      <c r="F13380" s="6" t="n">
        <f aca="false">Sens!F13377+Sens!F13378</f>
        <v>149.59001837225</v>
      </c>
      <c r="G13380" s="6" t="n">
        <f aca="false">Sens!G13377+Sens!G13378</f>
        <v>210.963087346352</v>
      </c>
      <c r="H13380" s="6" t="n">
        <f aca="false">Sens!H13377+Sens!H13378</f>
        <v>278.649709314524</v>
      </c>
      <c r="I13380" s="6" t="n">
        <f aca="false">Sens!I13377+Sens!I13378</f>
        <v>334.269404582332</v>
      </c>
      <c r="J13380" s="6" t="n">
        <f aca="false">Sens!J13377+Sens!J13378</f>
        <v>376.517293063672</v>
      </c>
      <c r="K13380" s="6" t="n">
        <f aca="false">Sens!K13377+Sens!K13378</f>
        <v>406.018092622804</v>
      </c>
    </row>
    <row r="13381" customFormat="false" ht="17.15" hidden="false" customHeight="false" outlineLevel="0" collapsed="false">
      <c r="A13381" s="0" t="s">
        <v>1030</v>
      </c>
      <c r="B13381" s="1" t="s">
        <v>613</v>
      </c>
      <c r="C13381" s="30" t="n">
        <f aca="false">cop_s24</f>
        <v>1</v>
      </c>
      <c r="D13381" s="30" t="n">
        <f aca="false">cop_s25</f>
        <v>5</v>
      </c>
      <c r="E13381" s="30" t="n">
        <f aca="false">cop_s26</f>
        <v>30</v>
      </c>
      <c r="F13381" s="30" t="n">
        <f aca="false">Sens!E13381+cop_add_A</f>
        <v>60</v>
      </c>
      <c r="G13381" s="30" t="n">
        <f aca="false">Sens!F13381+cop_add_A</f>
        <v>90</v>
      </c>
      <c r="H13381" s="30" t="n">
        <f aca="false">Sens!G13381+cop_add_A</f>
        <v>120</v>
      </c>
      <c r="I13381" s="30" t="n">
        <f aca="false">Sens!H13381+cop_add_A*cop_tail</f>
        <v>135</v>
      </c>
      <c r="J13381" s="30" t="n">
        <f aca="false">Sens!I13381+cop_add_A*cop_tail</f>
        <v>150</v>
      </c>
      <c r="K13381" s="30" t="n">
        <f aca="false">Sens!J13381+cop_add_A*cop_tail</f>
        <v>165</v>
      </c>
      <c r="L13381" s="12" t="s">
        <v>1031</v>
      </c>
    </row>
    <row r="13382" customFormat="false" ht="17.15" hidden="false" customHeight="false" outlineLevel="0" collapsed="false">
      <c r="A13382" s="0" t="s">
        <v>1032</v>
      </c>
      <c r="B13382" s="0" t="s">
        <v>98</v>
      </c>
      <c r="D13382" s="6" t="n">
        <f aca="false">(Sens!C13381+Sens!D13381)/2*cop_px*12/1000</f>
        <v>0.9</v>
      </c>
      <c r="E13382" s="6" t="n">
        <f aca="false">(Sens!D13381+Sens!E13381)/2*cop_px*12/1000</f>
        <v>5.25</v>
      </c>
      <c r="F13382" s="6" t="n">
        <f aca="false">(Sens!E13381+Sens!F13381)/2*cop_px*12/1000</f>
        <v>13.5</v>
      </c>
      <c r="G13382" s="6" t="n">
        <f aca="false">(Sens!F13381+Sens!G13381)/2*cop_px*12/1000</f>
        <v>22.5</v>
      </c>
      <c r="H13382" s="6" t="n">
        <f aca="false">(Sens!G13381+Sens!H13381)/2*cop_px*12/1000</f>
        <v>31.5</v>
      </c>
      <c r="I13382" s="6" t="n">
        <f aca="false">(Sens!H13381+Sens!I13381)/2*cop_px*12/1000</f>
        <v>38.25</v>
      </c>
      <c r="J13382" s="6" t="n">
        <f aca="false">(Sens!I13381+Sens!J13381)/2*cop_px*12/1000</f>
        <v>42.75</v>
      </c>
      <c r="K13382" s="6" t="n">
        <f aca="false">(Sens!J13381+Sens!K13381)/2*cop_px*12/1000</f>
        <v>47.25</v>
      </c>
      <c r="L13382" s="1" t="s">
        <v>1033</v>
      </c>
    </row>
    <row r="13383" customFormat="false" ht="17.15" hidden="false" customHeight="false" outlineLevel="0" collapsed="false">
      <c r="A13383" s="0" t="s">
        <v>1034</v>
      </c>
      <c r="B13383" s="0" t="s">
        <v>98</v>
      </c>
      <c r="D13383" s="6" t="n">
        <f aca="false">Q!L7-Sens!D13382</f>
        <v>83.705</v>
      </c>
      <c r="E13383" s="6" t="n">
        <f aca="false">Q!M7-Sens!E13382</f>
        <v>95.049</v>
      </c>
      <c r="F13383" s="6" t="n">
        <f aca="false">Q!$I$7+(Sens!E13383*(1+Sens!F13384)+Sens!F13382)*(1-Q!$E$7/Q!M7)-Sens!F13382</f>
        <v>106.229653205718</v>
      </c>
      <c r="G13383" s="6" t="n">
        <f aca="false">Sens!F13383*(1+Sens!G13384)</f>
        <v>118.306092647576</v>
      </c>
      <c r="H13383" s="6" t="n">
        <f aca="false">Sens!G13383*(1+Sens!H13384)</f>
        <v>130.463437602768</v>
      </c>
      <c r="I13383" s="6" t="n">
        <f aca="false">Sens!H13383*(1+Sens!I13384)</f>
        <v>142.445354741933</v>
      </c>
      <c r="J13383" s="6" t="n">
        <f aca="false">Sens!I13383*(1+Sens!J13384)</f>
        <v>153.972117481571</v>
      </c>
      <c r="K13383" s="6" t="n">
        <f aca="false">Sens!J13383*(1+Sens!K13384)</f>
        <v>164.75016570528</v>
      </c>
      <c r="L13383" s="12" t="s">
        <v>1035</v>
      </c>
    </row>
    <row r="13384" customFormat="false" ht="15" hidden="false" customHeight="false" outlineLevel="0" collapsed="false">
      <c r="A13384" s="1" t="s">
        <v>1028</v>
      </c>
      <c r="B13384" s="0" t="s">
        <v>168</v>
      </c>
      <c r="E13384" s="7" t="n">
        <f aca="false">Sens!E13383/Sens!D13383-1</f>
        <v>0.135523564900544</v>
      </c>
      <c r="F13384" s="7" t="n">
        <f aca="false">Sens!$E$13384+(glt_m365b-Sens!$E$13384)*MIN(1,(Sens!F13336-base_fy)/n_conv)</f>
        <v>0.124602970750453</v>
      </c>
      <c r="G13384" s="7" t="n">
        <f aca="false">Sens!$E$13384+(glt_m365b-Sens!$E$13384)*MIN(1,(Sens!G13336-base_fy)/n_conv)</f>
        <v>0.113682376600363</v>
      </c>
      <c r="H13384" s="7" t="n">
        <f aca="false">Sens!$E$13384+(glt_m365b-Sens!$E$13384)*MIN(1,(Sens!H13336-base_fy)/n_conv)</f>
        <v>0.102761782450272</v>
      </c>
      <c r="I13384" s="7" t="n">
        <f aca="false">Sens!$E$13384+(glt_m365b-Sens!$E$13384)*MIN(1,(Sens!I13336-base_fy)/n_conv)</f>
        <v>0.0918411883001813</v>
      </c>
      <c r="J13384" s="7" t="n">
        <f aca="false">Sens!$E$13384+(glt_m365b-Sens!$E$13384)*MIN(1,(Sens!J13336-base_fy)/n_conv)</f>
        <v>0.0809205941500906</v>
      </c>
      <c r="K13384" s="7" t="n">
        <f aca="false">Sens!$E$13384+(glt_m365b-Sens!$E$13384)*MIN(1,(Sens!K13336-base_fy)/n_conv)</f>
        <v>0.07</v>
      </c>
    </row>
    <row r="13385" customFormat="false" ht="15" hidden="false" customHeight="false" outlineLevel="0" collapsed="false">
      <c r="A13385" s="0" t="s">
        <v>1036</v>
      </c>
      <c r="B13385" s="0" t="s">
        <v>98</v>
      </c>
      <c r="D13385" s="6" t="n">
        <f aca="false">Sens!D13383+Sens!D13382</f>
        <v>84.605</v>
      </c>
      <c r="E13385" s="6" t="n">
        <f aca="false">Sens!E13383+Sens!E13382</f>
        <v>100.299</v>
      </c>
      <c r="F13385" s="6" t="n">
        <f aca="false">Sens!F13383+Sens!F13382</f>
        <v>119.729653205718</v>
      </c>
      <c r="G13385" s="6" t="n">
        <f aca="false">Sens!G13383+Sens!G13382</f>
        <v>140.806092647576</v>
      </c>
      <c r="H13385" s="6" t="n">
        <f aca="false">Sens!H13383+Sens!H13382</f>
        <v>161.963437602768</v>
      </c>
      <c r="I13385" s="6" t="n">
        <f aca="false">Sens!I13383+Sens!I13382</f>
        <v>180.695354741933</v>
      </c>
      <c r="J13385" s="6" t="n">
        <f aca="false">Sens!J13383+Sens!J13382</f>
        <v>196.722117481571</v>
      </c>
      <c r="K13385" s="6" t="n">
        <f aca="false">Sens!K13383+Sens!K13382</f>
        <v>212.00016570528</v>
      </c>
    </row>
    <row r="13386" customFormat="false" ht="17.15" hidden="false" customHeight="false" outlineLevel="0" collapsed="false">
      <c r="A13386" s="0" t="s">
        <v>1037</v>
      </c>
      <c r="B13386" s="0" t="s">
        <v>98</v>
      </c>
      <c r="D13386" s="6" t="n">
        <f aca="false">Q!L8</f>
        <v>35.391</v>
      </c>
      <c r="E13386" s="6" t="n">
        <f aca="false">Q!M8</f>
        <v>37.285</v>
      </c>
      <c r="F13386" s="6" t="n">
        <f aca="false">Q!$I$8+(Q!M8-Q!$E$8)*(1+Sens!F13387)</f>
        <v>38.3851437782675</v>
      </c>
      <c r="G13386" s="6" t="n">
        <f aca="false">Sens!F13386*(1+Sens!G13387)</f>
        <v>40.0105353288615</v>
      </c>
      <c r="H13386" s="6" t="n">
        <f aca="false">Sens!G13386*(1+Sens!H13387)</f>
        <v>41.4812512033683</v>
      </c>
      <c r="I13386" s="6" t="n">
        <f aca="false">Sens!H13386*(1+Sens!I13387)</f>
        <v>42.7743107216329</v>
      </c>
      <c r="J13386" s="6" t="n">
        <f aca="false">Sens!I13386*(1+Sens!J13387)</f>
        <v>43.8687373064601</v>
      </c>
      <c r="K13386" s="6" t="n">
        <f aca="false">Sens!J13386*(1+Sens!K13387)</f>
        <v>44.7461120525893</v>
      </c>
      <c r="L13386" s="12" t="s">
        <v>1038</v>
      </c>
    </row>
    <row r="13387" customFormat="false" ht="15" hidden="false" customHeight="false" outlineLevel="0" collapsed="false">
      <c r="A13387" s="1" t="s">
        <v>1028</v>
      </c>
      <c r="B13387" s="0" t="s">
        <v>168</v>
      </c>
      <c r="E13387" s="7" t="n">
        <f aca="false">Sens!E13386/Sens!D13386-1</f>
        <v>0.0535164307309768</v>
      </c>
      <c r="F13387" s="7" t="n">
        <f aca="false">Sens!$E$13387+(glt_lic-Sens!$E$13387)*MIN(1,(Sens!F13336-base_fy)/n_conv)</f>
        <v>0.0479303589424807</v>
      </c>
      <c r="G13387" s="7" t="n">
        <f aca="false">Sens!$E$13387+(glt_lic-Sens!$E$13387)*MIN(1,(Sens!G13336-base_fy)/n_conv)</f>
        <v>0.0423442871539845</v>
      </c>
      <c r="H13387" s="7" t="n">
        <f aca="false">Sens!$E$13387+(glt_lic-Sens!$E$13387)*MIN(1,(Sens!H13336-base_fy)/n_conv)</f>
        <v>0.0367582153654884</v>
      </c>
      <c r="I13387" s="7" t="n">
        <f aca="false">Sens!$E$13387+(glt_lic-Sens!$E$13387)*MIN(1,(Sens!I13336-base_fy)/n_conv)</f>
        <v>0.0311721435769923</v>
      </c>
      <c r="J13387" s="7" t="n">
        <f aca="false">Sens!$E$13387+(glt_lic-Sens!$E$13387)*MIN(1,(Sens!J13336-base_fy)/n_conv)</f>
        <v>0.0255860717884961</v>
      </c>
      <c r="K13387" s="7" t="n">
        <f aca="false">Sens!$E$13387+(glt_lic-Sens!$E$13387)*MIN(1,(Sens!K13336-base_fy)/n_conv)</f>
        <v>0.02</v>
      </c>
    </row>
    <row r="13388" customFormat="false" ht="17.15" hidden="false" customHeight="false" outlineLevel="0" collapsed="false">
      <c r="A13388" s="0" t="s">
        <v>1039</v>
      </c>
      <c r="B13388" s="0" t="s">
        <v>98</v>
      </c>
      <c r="D13388" s="6" t="n">
        <f aca="false">Q!L9</f>
        <v>18.417</v>
      </c>
      <c r="E13388" s="6" t="n">
        <f aca="false">Q!M9</f>
        <v>20.345</v>
      </c>
      <c r="F13388" s="6" t="n">
        <f aca="false">Q!$I$9+(Q!M9-Q!$E$9)*(1+Sens!F13389)</f>
        <v>22.3161797133988</v>
      </c>
      <c r="G13388" s="6" t="n">
        <f aca="false">Sens!F13388*(1+Sens!G13389)</f>
        <v>24.3943499673233</v>
      </c>
      <c r="H13388" s="6" t="n">
        <f aca="false">Sens!G13388*(1+Sens!H13389)</f>
        <v>26.5250243109019</v>
      </c>
      <c r="I13388" s="6" t="n">
        <f aca="false">Sens!H13388*(1+Sens!I13389)</f>
        <v>28.6884573538181</v>
      </c>
      <c r="J13388" s="6" t="n">
        <f aca="false">Sens!I13388*(1+Sens!J13389)</f>
        <v>30.8624968052127</v>
      </c>
      <c r="K13388" s="6" t="n">
        <f aca="false">Sens!J13388*(1+Sens!K13389)</f>
        <v>33.0228715815776</v>
      </c>
      <c r="L13388" s="12" t="s">
        <v>1038</v>
      </c>
    </row>
    <row r="13389" customFormat="false" ht="15" hidden="false" customHeight="false" outlineLevel="0" collapsed="false">
      <c r="A13389" s="1" t="s">
        <v>1028</v>
      </c>
      <c r="B13389" s="0" t="s">
        <v>168</v>
      </c>
      <c r="E13389" s="7" t="n">
        <f aca="false">Sens!E13388/Sens!D13388-1</f>
        <v>0.104685888038225</v>
      </c>
      <c r="F13389" s="7" t="n">
        <f aca="false">Sens!$E$13389+(glt_ind-Sens!$E$13389)*MIN(1,(Sens!F13336-base_fy)/n_conv)</f>
        <v>0.0989049066985211</v>
      </c>
      <c r="G13389" s="7" t="n">
        <f aca="false">Sens!$E$13389+(glt_ind-Sens!$E$13389)*MIN(1,(Sens!G13336-base_fy)/n_conv)</f>
        <v>0.0931239253588169</v>
      </c>
      <c r="H13389" s="7" t="n">
        <f aca="false">Sens!$E$13389+(glt_ind-Sens!$E$13389)*MIN(1,(Sens!H13336-base_fy)/n_conv)</f>
        <v>0.0873429440191127</v>
      </c>
      <c r="I13389" s="7" t="n">
        <f aca="false">Sens!$E$13389+(glt_ind-Sens!$E$13389)*MIN(1,(Sens!I13336-base_fy)/n_conv)</f>
        <v>0.0815619626794085</v>
      </c>
      <c r="J13389" s="7" t="n">
        <f aca="false">Sens!$E$13389+(glt_ind-Sens!$E$13389)*MIN(1,(Sens!J13336-base_fy)/n_conv)</f>
        <v>0.0757809813397042</v>
      </c>
      <c r="K13389" s="7" t="n">
        <f aca="false">Sens!$E$13389+(glt_ind-Sens!$E$13389)*MIN(1,(Sens!K13336-base_fy)/n_conv)</f>
        <v>0.07</v>
      </c>
    </row>
    <row r="13390" customFormat="false" ht="17.15" hidden="false" customHeight="false" outlineLevel="0" collapsed="false">
      <c r="A13390" s="0" t="s">
        <v>1040</v>
      </c>
      <c r="B13390" s="0" t="s">
        <v>98</v>
      </c>
      <c r="D13390" s="6" t="n">
        <f aca="false">Q!L10</f>
        <v>7.76</v>
      </c>
      <c r="E13390" s="6" t="n">
        <f aca="false">Q!M10</f>
        <v>8.26</v>
      </c>
      <c r="F13390" s="6" t="n">
        <f aca="false">Q!$I$10+(Q!M10-Q!$E$10)*(1+Sens!F13391)</f>
        <v>8.75372082474227</v>
      </c>
      <c r="G13390" s="6" t="n">
        <f aca="false">Sens!F13390*(1+Sens!G13391)</f>
        <v>9.33399324642364</v>
      </c>
      <c r="H13390" s="6" t="n">
        <f aca="false">Sens!G13390*(1+Sens!H13391)</f>
        <v>9.96139155535851</v>
      </c>
      <c r="I13390" s="6" t="n">
        <f aca="false">Sens!H13390*(1+Sens!I13391)</f>
        <v>10.6402039077391</v>
      </c>
      <c r="J13390" s="6" t="n">
        <f aca="false">Sens!I13390*(1+Sens!J13391)</f>
        <v>11.3751458271397</v>
      </c>
      <c r="K13390" s="6" t="n">
        <f aca="false">Sens!J13390*(1+Sens!K13391)</f>
        <v>12.1714060350394</v>
      </c>
      <c r="L13390" s="12" t="s">
        <v>1038</v>
      </c>
    </row>
    <row r="13391" customFormat="false" ht="15" hidden="false" customHeight="false" outlineLevel="0" collapsed="false">
      <c r="A13391" s="1" t="s">
        <v>1028</v>
      </c>
      <c r="B13391" s="0" t="s">
        <v>168</v>
      </c>
      <c r="E13391" s="7" t="n">
        <f aca="false">Sens!E13390/Sens!D13390-1</f>
        <v>0.0644329896907216</v>
      </c>
      <c r="F13391" s="7" t="n">
        <f aca="false">Sens!$E$13391+(glt_fro-Sens!$E$13391)*MIN(1,(Sens!F13336-base_fy)/n_conv)</f>
        <v>0.065360824742268</v>
      </c>
      <c r="G13391" s="7" t="n">
        <f aca="false">Sens!$E$13391+(glt_fro-Sens!$E$13391)*MIN(1,(Sens!G13336-base_fy)/n_conv)</f>
        <v>0.0662886597938144</v>
      </c>
      <c r="H13391" s="7" t="n">
        <f aca="false">Sens!$E$13391+(glt_fro-Sens!$E$13391)*MIN(1,(Sens!H13336-base_fy)/n_conv)</f>
        <v>0.0672164948453608</v>
      </c>
      <c r="I13391" s="7" t="n">
        <f aca="false">Sens!$E$13391+(glt_fro-Sens!$E$13391)*MIN(1,(Sens!I13336-base_fy)/n_conv)</f>
        <v>0.0681443298969072</v>
      </c>
      <c r="J13391" s="7" t="n">
        <f aca="false">Sens!$E$13391+(glt_fro-Sens!$E$13391)*MIN(1,(Sens!J13336-base_fy)/n_conv)</f>
        <v>0.0690721649484536</v>
      </c>
      <c r="K13391" s="7" t="n">
        <f aca="false">Sens!$E$13391+(glt_fro-Sens!$E$13391)*MIN(1,(Sens!K13336-base_fy)/n_conv)</f>
        <v>0.07</v>
      </c>
    </row>
    <row r="13392" customFormat="false" ht="15" hidden="false" customHeight="false" outlineLevel="0" collapsed="false">
      <c r="A13392" s="0" t="s">
        <v>856</v>
      </c>
      <c r="B13392" s="0" t="s">
        <v>98</v>
      </c>
      <c r="D13392" s="6" t="n">
        <f aca="false">Sens!D13380+Sens!D13385+Sens!D13386+Sens!D13388+Sens!D13390</f>
        <v>218.783</v>
      </c>
      <c r="E13392" s="6" t="n">
        <f aca="false">Sens!E13380+Sens!E13385+Sens!E13386+Sens!E13388+Sens!E13390</f>
        <v>268.127</v>
      </c>
      <c r="F13392" s="6" t="n">
        <f aca="false">Sens!F13380+Sens!F13385+Sens!F13386+Sens!F13388+Sens!F13390</f>
        <v>338.774715894377</v>
      </c>
      <c r="G13392" s="6" t="n">
        <f aca="false">Sens!G13380+Sens!G13385+Sens!G13386+Sens!G13388+Sens!G13390</f>
        <v>425.508058536537</v>
      </c>
      <c r="H13392" s="6" t="n">
        <f aca="false">Sens!H13380+Sens!H13385+Sens!H13386+Sens!H13388+Sens!H13390</f>
        <v>518.580813986921</v>
      </c>
      <c r="I13392" s="6" t="n">
        <f aca="false">Sens!I13380+Sens!I13385+Sens!I13386+Sens!I13388+Sens!I13390</f>
        <v>597.067731307455</v>
      </c>
      <c r="J13392" s="6" t="n">
        <f aca="false">Sens!J13380+Sens!J13385+Sens!J13386+Sens!J13388+Sens!J13390</f>
        <v>659.345790484055</v>
      </c>
      <c r="K13392" s="6" t="n">
        <f aca="false">Sens!K13380+Sens!K13385+Sens!K13386+Sens!K13388+Sens!K13390</f>
        <v>707.958647997291</v>
      </c>
    </row>
    <row r="13393" customFormat="false" ht="17.15" hidden="false" customHeight="false" outlineLevel="0" collapsed="false">
      <c r="A13393" s="0" t="s">
        <v>1041</v>
      </c>
      <c r="B13393" s="0" t="s">
        <v>98</v>
      </c>
      <c r="D13393" s="6" t="n">
        <f aca="false">Q!L13</f>
        <v>22.171</v>
      </c>
      <c r="E13393" s="6" t="n">
        <f aca="false">Q!M13</f>
        <v>24.835</v>
      </c>
      <c r="F13393" s="6" t="n">
        <f aca="false">Q!$I$13+(Q!M13-Q!$E$13)*(1+Sens!F13394)</f>
        <v>27.5591895660247</v>
      </c>
      <c r="G13393" s="6" t="n">
        <f aca="false">Sens!F13393*(1+Sens!G13394)</f>
        <v>30.4098563144583</v>
      </c>
      <c r="H13393" s="6" t="n">
        <f aca="false">Sens!G13393*(1+Sens!H13394)</f>
        <v>33.3011792571777</v>
      </c>
      <c r="I13393" s="6" t="n">
        <f aca="false">Sens!H13393*(1+Sens!I13394)</f>
        <v>36.189023797112</v>
      </c>
      <c r="J13393" s="6" t="n">
        <f aca="false">Sens!I13393*(1+Sens!J13394)</f>
        <v>39.0247773769199</v>
      </c>
      <c r="K13393" s="6" t="n">
        <f aca="false">Sens!J13393*(1+Sens!K13394)</f>
        <v>41.7565117933043</v>
      </c>
      <c r="L13393" s="12" t="s">
        <v>1038</v>
      </c>
    </row>
    <row r="13394" customFormat="false" ht="15" hidden="false" customHeight="false" outlineLevel="0" collapsed="false">
      <c r="A13394" s="1" t="s">
        <v>1028</v>
      </c>
      <c r="B13394" s="0" t="s">
        <v>168</v>
      </c>
      <c r="E13394" s="7" t="n">
        <f aca="false">Sens!E13393/Sens!D13393-1</f>
        <v>0.120156961796942</v>
      </c>
      <c r="F13394" s="7" t="n">
        <f aca="false">Sens!$E$13394+(glt_srch-Sens!$E$13394)*MIN(1,(Sens!F13336-base_fy)/n_conv)</f>
        <v>0.111797468164118</v>
      </c>
      <c r="G13394" s="7" t="n">
        <f aca="false">Sens!$E$13394+(glt_srch-Sens!$E$13394)*MIN(1,(Sens!G13336-base_fy)/n_conv)</f>
        <v>0.103437974531295</v>
      </c>
      <c r="H13394" s="7" t="n">
        <f aca="false">Sens!$E$13394+(glt_srch-Sens!$E$13394)*MIN(1,(Sens!H13336-base_fy)/n_conv)</f>
        <v>0.095078480898471</v>
      </c>
      <c r="I13394" s="7" t="n">
        <f aca="false">Sens!$E$13394+(glt_srch-Sens!$E$13394)*MIN(1,(Sens!I13336-base_fy)/n_conv)</f>
        <v>0.0867189872656474</v>
      </c>
      <c r="J13394" s="7" t="n">
        <f aca="false">Sens!$E$13394+(glt_srch-Sens!$E$13394)*MIN(1,(Sens!J13336-base_fy)/n_conv)</f>
        <v>0.0783594936328237</v>
      </c>
      <c r="K13394" s="7" t="n">
        <f aca="false">Sens!$E$13394+(glt_srch-Sens!$E$13394)*MIN(1,(Sens!K13336-base_fy)/n_conv)</f>
        <v>0.07</v>
      </c>
    </row>
    <row r="13395" customFormat="false" ht="17.15" hidden="false" customHeight="false" outlineLevel="0" collapsed="false">
      <c r="A13395" s="0" t="s">
        <v>1042</v>
      </c>
      <c r="B13395" s="0" t="s">
        <v>98</v>
      </c>
      <c r="D13395" s="6" t="n">
        <f aca="false">Q!L14</f>
        <v>23.455</v>
      </c>
      <c r="E13395" s="6" t="n">
        <f aca="false">Q!M14</f>
        <v>21.79</v>
      </c>
      <c r="F13395" s="6" t="n">
        <f aca="false">Q!$I$14+(Q!M14-Q!$E$14)*(1+Sens!F13396)</f>
        <v>20.7520981041711</v>
      </c>
      <c r="G13395" s="6" t="n">
        <f aca="false">Sens!F13395*(1+Sens!G13396)</f>
        <v>19.9083593495882</v>
      </c>
      <c r="H13395" s="6" t="n">
        <f aca="false">Sens!G13395*(1+Sens!H13396)</f>
        <v>19.4008256265831</v>
      </c>
      <c r="I13395" s="6" t="n">
        <f aca="false">Sens!H13395*(1+Sens!I13396)</f>
        <v>19.200434522122</v>
      </c>
      <c r="J13395" s="6" t="n">
        <f aca="false">Sens!I13395*(1+Sens!J13396)</f>
        <v>19.2932782348507</v>
      </c>
      <c r="K13395" s="6" t="n">
        <f aca="false">Sens!J13395*(1+Sens!K13396)</f>
        <v>19.6791437995477</v>
      </c>
      <c r="L13395" s="12" t="s">
        <v>1038</v>
      </c>
    </row>
    <row r="13396" customFormat="false" ht="15" hidden="false" customHeight="false" outlineLevel="0" collapsed="false">
      <c r="A13396" s="1" t="s">
        <v>1028</v>
      </c>
      <c r="B13396" s="0" t="s">
        <v>168</v>
      </c>
      <c r="E13396" s="7" t="n">
        <f aca="false">Sens!E13395/Sens!D13395-1</f>
        <v>-0.0709869963760392</v>
      </c>
      <c r="F13396" s="7" t="n">
        <f aca="false">Sens!$E$13396+(glt_xbox-Sens!$E$13396)*MIN(1,(Sens!F13336-base_fy)/n_conv)</f>
        <v>-0.0558224969800327</v>
      </c>
      <c r="G13396" s="7" t="n">
        <f aca="false">Sens!$E$13396+(glt_xbox-Sens!$E$13396)*MIN(1,(Sens!G13336-base_fy)/n_conv)</f>
        <v>-0.0406579975840262</v>
      </c>
      <c r="H13396" s="7" t="n">
        <f aca="false">Sens!$E$13396+(glt_xbox-Sens!$E$13396)*MIN(1,(Sens!H13336-base_fy)/n_conv)</f>
        <v>-0.0254934981880196</v>
      </c>
      <c r="I13396" s="7" t="n">
        <f aca="false">Sens!$E$13396+(glt_xbox-Sens!$E$13396)*MIN(1,(Sens!I13336-base_fy)/n_conv)</f>
        <v>-0.0103289987920131</v>
      </c>
      <c r="J13396" s="7" t="n">
        <f aca="false">Sens!$E$13396+(glt_xbox-Sens!$E$13396)*MIN(1,(Sens!J13336-base_fy)/n_conv)</f>
        <v>0.00483550060399347</v>
      </c>
      <c r="K13396" s="7" t="n">
        <f aca="false">Sens!$E$13396+(glt_xbox-Sens!$E$13396)*MIN(1,(Sens!K13336-base_fy)/n_conv)</f>
        <v>0.02</v>
      </c>
    </row>
    <row r="13397" customFormat="false" ht="17.15" hidden="false" customHeight="false" outlineLevel="0" collapsed="false">
      <c r="A13397" s="0" t="s">
        <v>1043</v>
      </c>
      <c r="B13397" s="0" t="s">
        <v>98</v>
      </c>
      <c r="D13397" s="6" t="n">
        <f aca="false">Q!L15</f>
        <v>17.315</v>
      </c>
      <c r="E13397" s="6" t="n">
        <f aca="false">Q!M15</f>
        <v>17.087</v>
      </c>
      <c r="F13397" s="6" t="n">
        <f aca="false">Q!$I$15+(Q!M15-Q!$E$15)*(1+Sens!F13398)</f>
        <v>15.9912273250553</v>
      </c>
      <c r="G13397" s="6" t="n">
        <f aca="false">Sens!F13397*(1+Sens!G13398)</f>
        <v>15.9574562664827</v>
      </c>
      <c r="H13397" s="6" t="n">
        <f aca="false">Sens!G13397*(1+Sens!H13398)</f>
        <v>16.0119687434196</v>
      </c>
      <c r="I13397" s="6" t="n">
        <f aca="false">Sens!H13397*(1+Sens!I13398)</f>
        <v>16.1551810001948</v>
      </c>
      <c r="J13397" s="6" t="n">
        <f aca="false">Sens!I13397*(1+Sens!J13398)</f>
        <v>16.3889793892005</v>
      </c>
      <c r="K13397" s="6" t="n">
        <f aca="false">Sens!J13397*(1+Sens!K13398)</f>
        <v>16.7167589769845</v>
      </c>
      <c r="L13397" s="12" t="s">
        <v>1038</v>
      </c>
    </row>
    <row r="13398" customFormat="false" ht="15" hidden="false" customHeight="false" outlineLevel="0" collapsed="false">
      <c r="A13398" s="1" t="s">
        <v>1028</v>
      </c>
      <c r="B13398" s="0" t="s">
        <v>168</v>
      </c>
      <c r="E13398" s="7" t="n">
        <f aca="false">Sens!E13397/Sens!D13397-1</f>
        <v>-0.0131677736066995</v>
      </c>
      <c r="F13398" s="7" t="n">
        <f aca="false">Sens!$E$13398+(glt_win-Sens!$E$13398)*MIN(1,(Sens!F13336-base_fy)/n_conv)</f>
        <v>-0.00763981133891627</v>
      </c>
      <c r="G13398" s="7" t="n">
        <f aca="false">Sens!$E$13398+(glt_win-Sens!$E$13398)*MIN(1,(Sens!G13336-base_fy)/n_conv)</f>
        <v>-0.00211184907113301</v>
      </c>
      <c r="H13398" s="7" t="n">
        <f aca="false">Sens!$E$13398+(glt_win-Sens!$E$13398)*MIN(1,(Sens!H13336-base_fy)/n_conv)</f>
        <v>0.00341611319665024</v>
      </c>
      <c r="I13398" s="7" t="n">
        <f aca="false">Sens!$E$13398+(glt_win-Sens!$E$13398)*MIN(1,(Sens!I13336-base_fy)/n_conv)</f>
        <v>0.00894407546443349</v>
      </c>
      <c r="J13398" s="7" t="n">
        <f aca="false">Sens!$E$13398+(glt_win-Sens!$E$13398)*MIN(1,(Sens!J13336-base_fy)/n_conv)</f>
        <v>0.0144720377322168</v>
      </c>
      <c r="K13398" s="7" t="n">
        <f aca="false">Sens!$E$13398+(glt_win-Sens!$E$13398)*MIN(1,(Sens!K13336-base_fy)/n_conv)</f>
        <v>0.02</v>
      </c>
    </row>
    <row r="13399" customFormat="false" ht="15" hidden="false" customHeight="false" outlineLevel="0" collapsed="false">
      <c r="A13399" s="0" t="s">
        <v>870</v>
      </c>
      <c r="B13399" s="0" t="s">
        <v>98</v>
      </c>
      <c r="D13399" s="6" t="n">
        <f aca="false">Sens!D13393+Sens!D13395+Sens!D13397</f>
        <v>62.941</v>
      </c>
      <c r="E13399" s="6" t="n">
        <f aca="false">Sens!E13393+Sens!E13395+Sens!E13397</f>
        <v>63.712</v>
      </c>
      <c r="F13399" s="6" t="n">
        <f aca="false">Sens!F13393+Sens!F13395+Sens!F13397</f>
        <v>64.3025149952511</v>
      </c>
      <c r="G13399" s="6" t="n">
        <f aca="false">Sens!G13393+Sens!G13395+Sens!G13397</f>
        <v>66.2756719305292</v>
      </c>
      <c r="H13399" s="6" t="n">
        <f aca="false">Sens!H13393+Sens!H13395+Sens!H13397</f>
        <v>68.7139736271804</v>
      </c>
      <c r="I13399" s="6" t="n">
        <f aca="false">Sens!I13393+Sens!I13395+Sens!I13397</f>
        <v>71.5446393194289</v>
      </c>
      <c r="J13399" s="6" t="n">
        <f aca="false">Sens!J13393+Sens!J13395+Sens!J13397</f>
        <v>74.707035000971</v>
      </c>
      <c r="K13399" s="6" t="n">
        <f aca="false">Sens!K13393+Sens!K13395+Sens!K13397</f>
        <v>78.1524145698365</v>
      </c>
    </row>
    <row r="13400" customFormat="false" ht="15" hidden="false" customHeight="false" outlineLevel="0" collapsed="false">
      <c r="A13400" s="1" t="s">
        <v>1044</v>
      </c>
      <c r="B13400" s="0" t="s">
        <v>98</v>
      </c>
      <c r="D13400" s="6" t="n">
        <f aca="false">Sens!D13392+Sens!D13399</f>
        <v>281.724</v>
      </c>
      <c r="E13400" s="6" t="n">
        <f aca="false">Sens!E13392+Sens!E13399</f>
        <v>331.839</v>
      </c>
      <c r="F13400" s="6" t="n">
        <f aca="false">Sens!F13392+Sens!F13399</f>
        <v>403.077230889628</v>
      </c>
      <c r="G13400" s="6" t="n">
        <f aca="false">Sens!G13392+Sens!G13399</f>
        <v>491.783730467066</v>
      </c>
      <c r="H13400" s="6" t="n">
        <f aca="false">Sens!H13392+Sens!H13399</f>
        <v>587.294787614101</v>
      </c>
      <c r="I13400" s="6" t="n">
        <f aca="false">Sens!I13392+Sens!I13399</f>
        <v>668.612370626884</v>
      </c>
      <c r="J13400" s="6" t="n">
        <f aca="false">Sens!J13392+Sens!J13399</f>
        <v>734.052825485026</v>
      </c>
      <c r="K13400" s="6" t="n">
        <f aca="false">Sens!K13392+Sens!K13399</f>
        <v>786.111062567128</v>
      </c>
    </row>
    <row r="13401" customFormat="false" ht="15" hidden="false" customHeight="false" outlineLevel="0" collapsed="false">
      <c r="A13401" s="26" t="s">
        <v>1045</v>
      </c>
      <c r="B13401" s="31" t="s">
        <v>98</v>
      </c>
      <c r="C13401" s="31"/>
      <c r="D13401" s="27" t="n">
        <f aca="false">(Sens!D13380+Sens!D13385+Sens!D13386+Sens!D13388+Sens!D13390-Sens!D13392)+(Sens!D13393+Sens!D13395+Sens!D13397-Sens!D13399)+(Sens!D13392-Q!L5)+(Sens!D13399-Q!L12)+(Sens!D13380-Q!L6)+(Sens!D13385-Q!L7)</f>
        <v>0</v>
      </c>
      <c r="E13401" s="27" t="n">
        <f aca="false">(Sens!E13380+Sens!E13385+Sens!E13386+Sens!E13388+Sens!E13390-Sens!E13392)+(Sens!E13393+Sens!E13395+Sens!E13397-Sens!E13399)+(Sens!E13392-Q!M5)+(Sens!E13399-Q!M12)+(Sens!E13380-Q!M6)+(Sens!E13385-Q!M7)</f>
        <v>0</v>
      </c>
      <c r="F13401" s="27" t="n">
        <f aca="false">(Sens!F13380+Sens!F13385+Sens!F13386+Sens!F13388+Sens!F13390-Sens!F13392)+(Sens!F13393+Sens!F13395+Sens!F13397-Sens!F13399)</f>
        <v>0</v>
      </c>
      <c r="G13401" s="27" t="n">
        <f aca="false">(Sens!G13380+Sens!G13385+Sens!G13386+Sens!G13388+Sens!G13390-Sens!G13392)+(Sens!G13393+Sens!G13395+Sens!G13397-Sens!G13399)</f>
        <v>0</v>
      </c>
      <c r="H13401" s="27" t="n">
        <f aca="false">(Sens!H13380+Sens!H13385+Sens!H13386+Sens!H13388+Sens!H13390-Sens!H13392)+(Sens!H13393+Sens!H13395+Sens!H13397-Sens!H13399)</f>
        <v>0</v>
      </c>
      <c r="I13401" s="27" t="n">
        <f aca="false">(Sens!I13380+Sens!I13385+Sens!I13386+Sens!I13388+Sens!I13390-Sens!I13392)+(Sens!I13393+Sens!I13395+Sens!I13397-Sens!I13399)</f>
        <v>0</v>
      </c>
      <c r="J13401" s="27" t="n">
        <f aca="false">(Sens!J13380+Sens!J13385+Sens!J13386+Sens!J13388+Sens!J13390-Sens!J13392)+(Sens!J13393+Sens!J13395+Sens!J13397-Sens!J13399)</f>
        <v>0</v>
      </c>
      <c r="K13401" s="27" t="n">
        <f aca="false">(Sens!K13380+Sens!K13385+Sens!K13386+Sens!K13388+Sens!K13390-Sens!K13392)+(Sens!K13393+Sens!K13395+Sens!K13397-Sens!K13399)</f>
        <v>0</v>
      </c>
    </row>
    <row r="13402" customFormat="false" ht="17.15" hidden="false" customHeight="false" outlineLevel="0" collapsed="false">
      <c r="A13402" s="3" t="s">
        <v>1947</v>
      </c>
    </row>
    <row r="13403" customFormat="false" ht="15" hidden="false" customHeight="false" outlineLevel="0" collapsed="false">
      <c r="A13403" s="4" t="s">
        <v>43</v>
      </c>
      <c r="B13403" s="4" t="s">
        <v>65</v>
      </c>
      <c r="C13403" s="23" t="s">
        <v>942</v>
      </c>
      <c r="D13403" s="23" t="s">
        <v>943</v>
      </c>
      <c r="E13403" s="23" t="s">
        <v>944</v>
      </c>
      <c r="F13403" s="23" t="s">
        <v>945</v>
      </c>
      <c r="G13403" s="23" t="s">
        <v>946</v>
      </c>
      <c r="H13403" s="23" t="s">
        <v>947</v>
      </c>
      <c r="I13403" s="23" t="s">
        <v>948</v>
      </c>
      <c r="J13403" s="23" t="s">
        <v>949</v>
      </c>
      <c r="K13403" s="23" t="s">
        <v>950</v>
      </c>
      <c r="L13403" s="4" t="s">
        <v>47</v>
      </c>
    </row>
    <row r="13404" customFormat="false" ht="15" hidden="false" customHeight="false" outlineLevel="0" collapsed="false">
      <c r="A13404" s="0" t="s">
        <v>1029</v>
      </c>
      <c r="B13404" s="0" t="s">
        <v>98</v>
      </c>
      <c r="D13404" s="6" t="n">
        <f aca="false">Sens!D13380</f>
        <v>72.61</v>
      </c>
      <c r="E13404" s="6" t="n">
        <f aca="false">Sens!E13380</f>
        <v>101.938</v>
      </c>
      <c r="F13404" s="6" t="n">
        <f aca="false">Sens!F13380</f>
        <v>149.59001837225</v>
      </c>
      <c r="G13404" s="6" t="n">
        <f aca="false">Sens!G13380</f>
        <v>210.963087346352</v>
      </c>
      <c r="H13404" s="6" t="n">
        <f aca="false">Sens!H13380</f>
        <v>278.649709314524</v>
      </c>
      <c r="I13404" s="6" t="n">
        <f aca="false">Sens!I13380</f>
        <v>334.269404582332</v>
      </c>
      <c r="J13404" s="6" t="n">
        <f aca="false">Sens!J13380</f>
        <v>376.517293063672</v>
      </c>
      <c r="K13404" s="6" t="n">
        <f aca="false">Sens!K13380</f>
        <v>406.018092622804</v>
      </c>
    </row>
    <row r="13405" customFormat="false" ht="17.15" hidden="false" customHeight="false" outlineLevel="0" collapsed="false">
      <c r="A13405" s="0" t="s">
        <v>1025</v>
      </c>
      <c r="B13405" s="0" t="s">
        <v>98</v>
      </c>
      <c r="D13405" s="6" t="n">
        <f aca="false">Sens!D13377</f>
        <v>12.9359794422418</v>
      </c>
      <c r="E13405" s="6" t="n">
        <f aca="false">Sens!E13377</f>
        <v>27.8095064661409</v>
      </c>
      <c r="F13405" s="6" t="n">
        <f aca="false">Sens!F13377</f>
        <v>59.1034165651511</v>
      </c>
      <c r="G13405" s="6" t="n">
        <f aca="false">Sens!G13377</f>
        <v>103.451498789198</v>
      </c>
      <c r="H13405" s="6" t="n">
        <f aca="false">Sens!H13377</f>
        <v>153.816719989035</v>
      </c>
      <c r="I13405" s="6" t="n">
        <f aca="false">Sens!I13377</f>
        <v>192.699478690852</v>
      </c>
      <c r="J13405" s="6" t="n">
        <f aca="false">Sens!J13377</f>
        <v>219.794102584244</v>
      </c>
      <c r="K13405" s="6" t="n">
        <f aca="false">Sens!K13377</f>
        <v>236.757046905022</v>
      </c>
    </row>
    <row r="13406" customFormat="false" ht="17.15" hidden="false" customHeight="false" outlineLevel="0" collapsed="false">
      <c r="A13406" s="0" t="s">
        <v>1056</v>
      </c>
      <c r="B13406" s="0" t="s">
        <v>98</v>
      </c>
      <c r="D13406" s="6" t="n">
        <f aca="false">Sens!D13378</f>
        <v>59.6740205577583</v>
      </c>
      <c r="E13406" s="6" t="n">
        <f aca="false">Sens!E13378</f>
        <v>74.1284935338591</v>
      </c>
      <c r="F13406" s="6" t="n">
        <f aca="false">Sens!F13378</f>
        <v>90.4866018070994</v>
      </c>
      <c r="G13406" s="6" t="n">
        <f aca="false">Sens!G13378</f>
        <v>107.511588557154</v>
      </c>
      <c r="H13406" s="6" t="n">
        <f aca="false">Sens!H13378</f>
        <v>124.832989325489</v>
      </c>
      <c r="I13406" s="6" t="n">
        <f aca="false">Sens!I13378</f>
        <v>141.56992589148</v>
      </c>
      <c r="J13406" s="6" t="n">
        <f aca="false">Sens!J13378</f>
        <v>156.723190479428</v>
      </c>
      <c r="K13406" s="6" t="n">
        <f aca="false">Sens!K13378</f>
        <v>169.261045717783</v>
      </c>
    </row>
    <row r="13407" customFormat="false" ht="15" hidden="false" customHeight="false" outlineLevel="0" collapsed="false">
      <c r="A13407" s="0" t="s">
        <v>1036</v>
      </c>
      <c r="B13407" s="0" t="s">
        <v>98</v>
      </c>
      <c r="D13407" s="6" t="n">
        <f aca="false">Sens!D13385</f>
        <v>84.605</v>
      </c>
      <c r="E13407" s="6" t="n">
        <f aca="false">Sens!E13385</f>
        <v>100.299</v>
      </c>
      <c r="F13407" s="6" t="n">
        <f aca="false">Sens!F13385</f>
        <v>119.729653205718</v>
      </c>
      <c r="G13407" s="6" t="n">
        <f aca="false">Sens!G13385</f>
        <v>140.806092647576</v>
      </c>
      <c r="H13407" s="6" t="n">
        <f aca="false">Sens!H13385</f>
        <v>161.963437602768</v>
      </c>
      <c r="I13407" s="6" t="n">
        <f aca="false">Sens!I13385</f>
        <v>180.695354741933</v>
      </c>
      <c r="J13407" s="6" t="n">
        <f aca="false">Sens!J13385</f>
        <v>196.722117481571</v>
      </c>
      <c r="K13407" s="6" t="n">
        <f aca="false">Sens!K13385</f>
        <v>212.00016570528</v>
      </c>
    </row>
    <row r="13408" customFormat="false" ht="17.15" hidden="false" customHeight="false" outlineLevel="0" collapsed="false">
      <c r="A13408" s="0" t="s">
        <v>1057</v>
      </c>
      <c r="B13408" s="0" t="s">
        <v>98</v>
      </c>
      <c r="D13408" s="6" t="n">
        <f aca="false">Sens!D13383</f>
        <v>83.705</v>
      </c>
      <c r="E13408" s="6" t="n">
        <f aca="false">Sens!E13383</f>
        <v>95.049</v>
      </c>
      <c r="F13408" s="6" t="n">
        <f aca="false">Sens!F13383</f>
        <v>106.229653205718</v>
      </c>
      <c r="G13408" s="6" t="n">
        <f aca="false">Sens!G13383</f>
        <v>118.306092647576</v>
      </c>
      <c r="H13408" s="6" t="n">
        <f aca="false">Sens!H13383</f>
        <v>130.463437602768</v>
      </c>
      <c r="I13408" s="6" t="n">
        <f aca="false">Sens!I13383</f>
        <v>142.445354741933</v>
      </c>
      <c r="J13408" s="6" t="n">
        <f aca="false">Sens!J13383</f>
        <v>153.972117481571</v>
      </c>
      <c r="K13408" s="6" t="n">
        <f aca="false">Sens!K13383</f>
        <v>164.75016570528</v>
      </c>
    </row>
    <row r="13409" customFormat="false" ht="17.15" hidden="false" customHeight="false" outlineLevel="0" collapsed="false">
      <c r="A13409" s="0" t="s">
        <v>1058</v>
      </c>
      <c r="B13409" s="0" t="s">
        <v>98</v>
      </c>
      <c r="D13409" s="6" t="n">
        <f aca="false">Sens!D13382</f>
        <v>0.9</v>
      </c>
      <c r="E13409" s="6" t="n">
        <f aca="false">Sens!E13382</f>
        <v>5.25</v>
      </c>
      <c r="F13409" s="6" t="n">
        <f aca="false">Sens!F13382</f>
        <v>13.5</v>
      </c>
      <c r="G13409" s="6" t="n">
        <f aca="false">Sens!G13382</f>
        <v>22.5</v>
      </c>
      <c r="H13409" s="6" t="n">
        <f aca="false">Sens!H13382</f>
        <v>31.5</v>
      </c>
      <c r="I13409" s="6" t="n">
        <f aca="false">Sens!I13382</f>
        <v>38.25</v>
      </c>
      <c r="J13409" s="6" t="n">
        <f aca="false">Sens!J13382</f>
        <v>42.75</v>
      </c>
      <c r="K13409" s="6" t="n">
        <f aca="false">Sens!K13382</f>
        <v>47.25</v>
      </c>
    </row>
    <row r="13410" customFormat="false" ht="15" hidden="false" customHeight="false" outlineLevel="0" collapsed="false">
      <c r="A13410" s="0" t="s">
        <v>1037</v>
      </c>
      <c r="B13410" s="0" t="s">
        <v>98</v>
      </c>
      <c r="D13410" s="6" t="n">
        <f aca="false">Sens!D13386</f>
        <v>35.391</v>
      </c>
      <c r="E13410" s="6" t="n">
        <f aca="false">Sens!E13386</f>
        <v>37.285</v>
      </c>
      <c r="F13410" s="6" t="n">
        <f aca="false">Sens!F13386</f>
        <v>38.3851437782675</v>
      </c>
      <c r="G13410" s="6" t="n">
        <f aca="false">Sens!G13386</f>
        <v>40.0105353288615</v>
      </c>
      <c r="H13410" s="6" t="n">
        <f aca="false">Sens!H13386</f>
        <v>41.4812512033683</v>
      </c>
      <c r="I13410" s="6" t="n">
        <f aca="false">Sens!I13386</f>
        <v>42.7743107216329</v>
      </c>
      <c r="J13410" s="6" t="n">
        <f aca="false">Sens!J13386</f>
        <v>43.8687373064601</v>
      </c>
      <c r="K13410" s="6" t="n">
        <f aca="false">Sens!K13386</f>
        <v>44.7461120525893</v>
      </c>
    </row>
    <row r="13411" customFormat="false" ht="15" hidden="false" customHeight="false" outlineLevel="0" collapsed="false">
      <c r="A13411" s="0" t="s">
        <v>1039</v>
      </c>
      <c r="B13411" s="0" t="s">
        <v>98</v>
      </c>
      <c r="D13411" s="6" t="n">
        <f aca="false">Sens!D13388</f>
        <v>18.417</v>
      </c>
      <c r="E13411" s="6" t="n">
        <f aca="false">Sens!E13388</f>
        <v>20.345</v>
      </c>
      <c r="F13411" s="6" t="n">
        <f aca="false">Sens!F13388</f>
        <v>22.3161797133988</v>
      </c>
      <c r="G13411" s="6" t="n">
        <f aca="false">Sens!G13388</f>
        <v>24.3943499673233</v>
      </c>
      <c r="H13411" s="6" t="n">
        <f aca="false">Sens!H13388</f>
        <v>26.5250243109019</v>
      </c>
      <c r="I13411" s="6" t="n">
        <f aca="false">Sens!I13388</f>
        <v>28.6884573538181</v>
      </c>
      <c r="J13411" s="6" t="n">
        <f aca="false">Sens!J13388</f>
        <v>30.8624968052127</v>
      </c>
      <c r="K13411" s="6" t="n">
        <f aca="false">Sens!K13388</f>
        <v>33.0228715815776</v>
      </c>
    </row>
    <row r="13412" customFormat="false" ht="15" hidden="false" customHeight="false" outlineLevel="0" collapsed="false">
      <c r="A13412" s="0" t="s">
        <v>1040</v>
      </c>
      <c r="B13412" s="0" t="s">
        <v>98</v>
      </c>
      <c r="D13412" s="6" t="n">
        <f aca="false">Sens!D13390</f>
        <v>7.76</v>
      </c>
      <c r="E13412" s="6" t="n">
        <f aca="false">Sens!E13390</f>
        <v>8.26</v>
      </c>
      <c r="F13412" s="6" t="n">
        <f aca="false">Sens!F13390</f>
        <v>8.75372082474227</v>
      </c>
      <c r="G13412" s="6" t="n">
        <f aca="false">Sens!G13390</f>
        <v>9.33399324642364</v>
      </c>
      <c r="H13412" s="6" t="n">
        <f aca="false">Sens!H13390</f>
        <v>9.96139155535851</v>
      </c>
      <c r="I13412" s="6" t="n">
        <f aca="false">Sens!I13390</f>
        <v>10.6402039077391</v>
      </c>
      <c r="J13412" s="6" t="n">
        <f aca="false">Sens!J13390</f>
        <v>11.3751458271397</v>
      </c>
      <c r="K13412" s="6" t="n">
        <f aca="false">Sens!K13390</f>
        <v>12.1714060350394</v>
      </c>
    </row>
    <row r="13413" customFormat="false" ht="15" hidden="false" customHeight="false" outlineLevel="0" collapsed="false">
      <c r="A13413" s="0" t="s">
        <v>856</v>
      </c>
      <c r="B13413" s="0" t="s">
        <v>98</v>
      </c>
      <c r="D13413" s="6" t="n">
        <f aca="false">Sens!D13392</f>
        <v>218.783</v>
      </c>
      <c r="E13413" s="6" t="n">
        <f aca="false">Sens!E13392</f>
        <v>268.127</v>
      </c>
      <c r="F13413" s="6" t="n">
        <f aca="false">Sens!F13392</f>
        <v>338.774715894377</v>
      </c>
      <c r="G13413" s="6" t="n">
        <f aca="false">Sens!G13392</f>
        <v>425.508058536537</v>
      </c>
      <c r="H13413" s="6" t="n">
        <f aca="false">Sens!H13392</f>
        <v>518.580813986921</v>
      </c>
      <c r="I13413" s="6" t="n">
        <f aca="false">Sens!I13392</f>
        <v>597.067731307455</v>
      </c>
      <c r="J13413" s="6" t="n">
        <f aca="false">Sens!J13392</f>
        <v>659.345790484055</v>
      </c>
      <c r="K13413" s="6" t="n">
        <f aca="false">Sens!K13392</f>
        <v>707.958647997291</v>
      </c>
    </row>
    <row r="13414" customFormat="false" ht="15" hidden="false" customHeight="false" outlineLevel="0" collapsed="false">
      <c r="A13414" s="0" t="s">
        <v>1041</v>
      </c>
      <c r="B13414" s="0" t="s">
        <v>98</v>
      </c>
      <c r="D13414" s="6" t="n">
        <f aca="false">Sens!D13393</f>
        <v>22.171</v>
      </c>
      <c r="E13414" s="6" t="n">
        <f aca="false">Sens!E13393</f>
        <v>24.835</v>
      </c>
      <c r="F13414" s="6" t="n">
        <f aca="false">Sens!F13393</f>
        <v>27.5591895660247</v>
      </c>
      <c r="G13414" s="6" t="n">
        <f aca="false">Sens!G13393</f>
        <v>30.4098563144583</v>
      </c>
      <c r="H13414" s="6" t="n">
        <f aca="false">Sens!H13393</f>
        <v>33.3011792571777</v>
      </c>
      <c r="I13414" s="6" t="n">
        <f aca="false">Sens!I13393</f>
        <v>36.189023797112</v>
      </c>
      <c r="J13414" s="6" t="n">
        <f aca="false">Sens!J13393</f>
        <v>39.0247773769199</v>
      </c>
      <c r="K13414" s="6" t="n">
        <f aca="false">Sens!K13393</f>
        <v>41.7565117933043</v>
      </c>
    </row>
    <row r="13415" customFormat="false" ht="15" hidden="false" customHeight="false" outlineLevel="0" collapsed="false">
      <c r="A13415" s="0" t="s">
        <v>1042</v>
      </c>
      <c r="B13415" s="0" t="s">
        <v>98</v>
      </c>
      <c r="D13415" s="6" t="n">
        <f aca="false">Sens!D13395</f>
        <v>23.455</v>
      </c>
      <c r="E13415" s="6" t="n">
        <f aca="false">Sens!E13395</f>
        <v>21.79</v>
      </c>
      <c r="F13415" s="6" t="n">
        <f aca="false">Sens!F13395</f>
        <v>20.7520981041711</v>
      </c>
      <c r="G13415" s="6" t="n">
        <f aca="false">Sens!G13395</f>
        <v>19.9083593495882</v>
      </c>
      <c r="H13415" s="6" t="n">
        <f aca="false">Sens!H13395</f>
        <v>19.4008256265831</v>
      </c>
      <c r="I13415" s="6" t="n">
        <f aca="false">Sens!I13395</f>
        <v>19.200434522122</v>
      </c>
      <c r="J13415" s="6" t="n">
        <f aca="false">Sens!J13395</f>
        <v>19.2932782348507</v>
      </c>
      <c r="K13415" s="6" t="n">
        <f aca="false">Sens!K13395</f>
        <v>19.6791437995477</v>
      </c>
    </row>
    <row r="13416" customFormat="false" ht="15" hidden="false" customHeight="false" outlineLevel="0" collapsed="false">
      <c r="A13416" s="0" t="s">
        <v>1043</v>
      </c>
      <c r="B13416" s="0" t="s">
        <v>98</v>
      </c>
      <c r="D13416" s="6" t="n">
        <f aca="false">Sens!D13397</f>
        <v>17.315</v>
      </c>
      <c r="E13416" s="6" t="n">
        <f aca="false">Sens!E13397</f>
        <v>17.087</v>
      </c>
      <c r="F13416" s="6" t="n">
        <f aca="false">Sens!F13397</f>
        <v>15.9912273250553</v>
      </c>
      <c r="G13416" s="6" t="n">
        <f aca="false">Sens!G13397</f>
        <v>15.9574562664827</v>
      </c>
      <c r="H13416" s="6" t="n">
        <f aca="false">Sens!H13397</f>
        <v>16.0119687434196</v>
      </c>
      <c r="I13416" s="6" t="n">
        <f aca="false">Sens!I13397</f>
        <v>16.1551810001948</v>
      </c>
      <c r="J13416" s="6" t="n">
        <f aca="false">Sens!J13397</f>
        <v>16.3889793892005</v>
      </c>
      <c r="K13416" s="6" t="n">
        <f aca="false">Sens!K13397</f>
        <v>16.7167589769845</v>
      </c>
    </row>
    <row r="13417" customFormat="false" ht="15" hidden="false" customHeight="false" outlineLevel="0" collapsed="false">
      <c r="A13417" s="0" t="s">
        <v>870</v>
      </c>
      <c r="B13417" s="0" t="s">
        <v>98</v>
      </c>
      <c r="D13417" s="6" t="n">
        <f aca="false">Sens!D13399</f>
        <v>62.941</v>
      </c>
      <c r="E13417" s="6" t="n">
        <f aca="false">Sens!E13399</f>
        <v>63.712</v>
      </c>
      <c r="F13417" s="6" t="n">
        <f aca="false">Sens!F13399</f>
        <v>64.3025149952511</v>
      </c>
      <c r="G13417" s="6" t="n">
        <f aca="false">Sens!G13399</f>
        <v>66.2756719305292</v>
      </c>
      <c r="H13417" s="6" t="n">
        <f aca="false">Sens!H13399</f>
        <v>68.7139736271804</v>
      </c>
      <c r="I13417" s="6" t="n">
        <f aca="false">Sens!I13399</f>
        <v>71.5446393194289</v>
      </c>
      <c r="J13417" s="6" t="n">
        <f aca="false">Sens!J13399</f>
        <v>74.707035000971</v>
      </c>
      <c r="K13417" s="6" t="n">
        <f aca="false">Sens!K13399</f>
        <v>78.1524145698365</v>
      </c>
    </row>
    <row r="13418" customFormat="false" ht="15" hidden="false" customHeight="false" outlineLevel="0" collapsed="false">
      <c r="A13418" s="1" t="s">
        <v>1059</v>
      </c>
      <c r="B13418" s="0" t="s">
        <v>98</v>
      </c>
      <c r="D13418" s="6" t="n">
        <f aca="false">Sens!D13400</f>
        <v>281.724</v>
      </c>
      <c r="E13418" s="6" t="n">
        <f aca="false">Sens!E13400</f>
        <v>331.839</v>
      </c>
      <c r="F13418" s="6" t="n">
        <f aca="false">Sens!F13400</f>
        <v>403.077230889628</v>
      </c>
      <c r="G13418" s="6" t="n">
        <f aca="false">Sens!G13400</f>
        <v>491.783730467066</v>
      </c>
      <c r="H13418" s="6" t="n">
        <f aca="false">Sens!H13400</f>
        <v>587.294787614101</v>
      </c>
      <c r="I13418" s="6" t="n">
        <f aca="false">Sens!I13400</f>
        <v>668.612370626884</v>
      </c>
      <c r="J13418" s="6" t="n">
        <f aca="false">Sens!J13400</f>
        <v>734.052825485026</v>
      </c>
      <c r="K13418" s="6" t="n">
        <f aca="false">Sens!K13400</f>
        <v>786.111062567128</v>
      </c>
    </row>
    <row r="13419" customFormat="false" ht="15" hidden="false" customHeight="false" outlineLevel="0" collapsed="false">
      <c r="A13419" s="1" t="s">
        <v>1060</v>
      </c>
      <c r="B13419" s="0" t="s">
        <v>168</v>
      </c>
      <c r="E13419" s="7" t="n">
        <f aca="false">Sens!E13418/Sens!D13418-1</f>
        <v>0.177886867998467</v>
      </c>
      <c r="F13419" s="7" t="n">
        <f aca="false">Sens!F13418/Sens!E13418-1</f>
        <v>0.21467709006364</v>
      </c>
      <c r="G13419" s="7" t="n">
        <f aca="false">Sens!G13418/Sens!F13418-1</f>
        <v>0.220073208753704</v>
      </c>
      <c r="H13419" s="7" t="n">
        <f aca="false">Sens!H13418/Sens!G13418-1</f>
        <v>0.194213535808362</v>
      </c>
      <c r="I13419" s="7" t="n">
        <f aca="false">Sens!I13418/Sens!H13418-1</f>
        <v>0.13846127145643</v>
      </c>
      <c r="J13419" s="7" t="n">
        <f aca="false">Sens!J13418/Sens!I13418-1</f>
        <v>0.0978750285412546</v>
      </c>
      <c r="K13419" s="7" t="n">
        <f aca="false">Sens!K13418/Sens!J13418-1</f>
        <v>0.0709189247350204</v>
      </c>
    </row>
    <row r="13420" customFormat="false" ht="17.15" hidden="false" customHeight="false" outlineLevel="0" collapsed="false">
      <c r="A13420" s="26" t="s">
        <v>1061</v>
      </c>
      <c r="B13420" s="31" t="s">
        <v>98</v>
      </c>
      <c r="C13420" s="31"/>
      <c r="D13420" s="27" t="n">
        <f aca="false">(Sens!D13413+Sens!D13417-Sens!D13418)+(Sens!D13405+Sens!D13406-Sens!D13404)+(Sens!D13408+Sens!D13409-Sens!D13407)+(Sens!D13418-Q!L18)</f>
        <v>0</v>
      </c>
      <c r="E13420" s="27" t="n">
        <f aca="false">(Sens!E13413+Sens!E13417-Sens!E13418)+(Sens!E13405+Sens!E13406-Sens!E13404)+(Sens!E13408+Sens!E13409-Sens!E13407)+(Sens!E13418-Q!M18)</f>
        <v>0</v>
      </c>
      <c r="F13420" s="27" t="n">
        <f aca="false">(Sens!F13413+Sens!F13417-Sens!F13418)+(Sens!F13405+Sens!F13406-Sens!F13404)+(Sens!F13408+Sens!F13409-Sens!F13407)</f>
        <v>0</v>
      </c>
      <c r="G13420" s="27" t="n">
        <f aca="false">(Sens!G13413+Sens!G13417-Sens!G13418)+(Sens!G13405+Sens!G13406-Sens!G13404)+(Sens!G13408+Sens!G13409-Sens!G13407)</f>
        <v>0</v>
      </c>
      <c r="H13420" s="27" t="n">
        <f aca="false">(Sens!H13413+Sens!H13417-Sens!H13418)+(Sens!H13405+Sens!H13406-Sens!H13404)+(Sens!H13408+Sens!H13409-Sens!H13407)</f>
        <v>0</v>
      </c>
      <c r="I13420" s="27" t="n">
        <f aca="false">(Sens!I13413+Sens!I13417-Sens!I13418)+(Sens!I13405+Sens!I13406-Sens!I13404)+(Sens!I13408+Sens!I13409-Sens!I13407)</f>
        <v>0</v>
      </c>
      <c r="J13420" s="27" t="n">
        <f aca="false">(Sens!J13413+Sens!J13417-Sens!J13418)+(Sens!J13405+Sens!J13406-Sens!J13404)+(Sens!J13408+Sens!J13409-Sens!J13407)</f>
        <v>0</v>
      </c>
      <c r="K13420" s="27" t="n">
        <f aca="false">(Sens!K13413+Sens!K13417-Sens!K13418)+(Sens!K13405+Sens!K13406-Sens!K13404)+(Sens!K13408+Sens!K13409-Sens!K13407)</f>
        <v>0</v>
      </c>
    </row>
    <row r="13421" customFormat="false" ht="17.15" hidden="false" customHeight="false" outlineLevel="0" collapsed="false">
      <c r="A13421" s="0" t="s">
        <v>1062</v>
      </c>
      <c r="B13421" s="0" t="s">
        <v>168</v>
      </c>
      <c r="E13421" s="7" t="n">
        <f aca="false">(Q!M21+Sens!E13357+Sens!E13358+Sens!E13359+Sens!E13373-Sens!E13355)/(Q!M5-Sens!E13355)</f>
        <v>0.570957350878296</v>
      </c>
      <c r="F13421" s="7" t="n">
        <f aca="false">Sens!$E$13421+dm_seg_hi</f>
        <v>0.590957350878296</v>
      </c>
      <c r="G13421" s="7" t="n">
        <f aca="false">Sens!$E$13421+dm_seg_hi</f>
        <v>0.590957350878296</v>
      </c>
      <c r="H13421" s="7" t="n">
        <f aca="false">Sens!$E$13421+dm_seg_hi</f>
        <v>0.590957350878296</v>
      </c>
      <c r="I13421" s="7" t="n">
        <f aca="false">Sens!$E$13421+dm_seg_hi</f>
        <v>0.590957350878296</v>
      </c>
      <c r="J13421" s="7" t="n">
        <f aca="false">Sens!$E$13421+dm_seg_hi</f>
        <v>0.590957350878296</v>
      </c>
      <c r="K13421" s="7" t="n">
        <f aca="false">Sens!$E$13421+dm_seg_hi</f>
        <v>0.590957350878296</v>
      </c>
      <c r="L13421" s="12" t="s">
        <v>1063</v>
      </c>
    </row>
    <row r="13422" customFormat="false" ht="17.15" hidden="false" customHeight="false" outlineLevel="0" collapsed="false">
      <c r="A13422" s="0" t="s">
        <v>884</v>
      </c>
      <c r="B13422" s="0" t="s">
        <v>98</v>
      </c>
      <c r="D13422" s="6" t="n">
        <f aca="false">Q!L21</f>
        <v>110.814</v>
      </c>
      <c r="E13422" s="6" t="n">
        <f aca="false">Q!M21</f>
        <v>136.365</v>
      </c>
      <c r="F13422" s="6" t="n">
        <f aca="false">Q!$I$21+(Sens!F13421*(Sens!F13392-Sens!F13355)+Sens!F13355-(Sens!F13357+Sens!F13358+Sens!F13359)-Sens!F13373-Sens!F13456)*(Sens!F13392-Q!$I$5)/Sens!F13392</f>
        <v>169.844422925052</v>
      </c>
      <c r="G13422" s="6" t="n">
        <f aca="false">(Sens!G13421*(Sens!G13392-Sens!G13355)+Sens!G13355-(Sens!G13357+Sens!G13358+Sens!G13359)-Sens!G13373-Sens!G13456)</f>
        <v>197.963224997682</v>
      </c>
      <c r="H13422" s="6" t="n">
        <f aca="false">(Sens!H13421*(Sens!H13392-Sens!H13355)+Sens!H13355-(Sens!H13357+Sens!H13358+Sens!H13359)-Sens!H13373-Sens!H13456)</f>
        <v>233.071765476647</v>
      </c>
      <c r="I13422" s="6" t="n">
        <f aca="false">(Sens!I13421*(Sens!I13392-Sens!I13355)+Sens!I13355-(Sens!I13357+Sens!I13358+Sens!I13359)-Sens!I13373-Sens!I13456)</f>
        <v>259.729108346072</v>
      </c>
      <c r="J13422" s="6" t="n">
        <f aca="false">(Sens!J13421*(Sens!J13392-Sens!J13355)+Sens!J13355-(Sens!J13357+Sens!J13358+Sens!J13359)-Sens!J13373-Sens!J13456)</f>
        <v>282.684778982044</v>
      </c>
      <c r="K13422" s="6" t="n">
        <f aca="false">(Sens!K13421*(Sens!K13392-Sens!K13355)+Sens!K13355-(Sens!K13357+Sens!K13358+Sens!K13359)-Sens!K13373-Sens!K13456)</f>
        <v>303.298077592851</v>
      </c>
      <c r="L13422" s="1" t="s">
        <v>1064</v>
      </c>
    </row>
    <row r="13423" customFormat="false" ht="17.15" hidden="false" customHeight="false" outlineLevel="0" collapsed="false">
      <c r="A13423" s="0" t="s">
        <v>1065</v>
      </c>
      <c r="B13423" s="0" t="s">
        <v>168</v>
      </c>
      <c r="E13423" s="7" t="n">
        <f aca="false">Q!M22/Q!M12</f>
        <v>0.296207935710698</v>
      </c>
      <c r="F13423" s="7" t="n">
        <f aca="false">Sens!$E$13423+dm_seg_hi</f>
        <v>0.316207935710698</v>
      </c>
      <c r="G13423" s="7" t="n">
        <f aca="false">Sens!$E$13423+dm_seg_hi</f>
        <v>0.316207935710698</v>
      </c>
      <c r="H13423" s="7" t="n">
        <f aca="false">Sens!$E$13423+dm_seg_hi</f>
        <v>0.316207935710698</v>
      </c>
      <c r="I13423" s="7" t="n">
        <f aca="false">Sens!$E$13423+dm_seg_hi</f>
        <v>0.316207935710698</v>
      </c>
      <c r="J13423" s="7" t="n">
        <f aca="false">Sens!$E$13423+dm_seg_hi</f>
        <v>0.316207935710698</v>
      </c>
      <c r="K13423" s="7" t="n">
        <f aca="false">Sens!$E$13423+dm_seg_hi</f>
        <v>0.316207935710698</v>
      </c>
      <c r="L13423" s="12" t="s">
        <v>1066</v>
      </c>
    </row>
    <row r="13424" customFormat="false" ht="17.15" hidden="false" customHeight="false" outlineLevel="0" collapsed="false">
      <c r="A13424" s="0" t="s">
        <v>886</v>
      </c>
      <c r="B13424" s="0" t="s">
        <v>98</v>
      </c>
      <c r="D13424" s="6" t="n">
        <f aca="false">Q!L22</f>
        <v>17.714</v>
      </c>
      <c r="E13424" s="6" t="n">
        <f aca="false">Q!M22</f>
        <v>18.872</v>
      </c>
      <c r="F13424" s="6" t="n">
        <f aca="false">Q!$I$22+(Sens!F13399-Q!$I$12)*Sens!F13423</f>
        <v>20.7938018511101</v>
      </c>
      <c r="G13424" s="6" t="n">
        <f aca="false">Sens!G13399*Sens!G13423</f>
        <v>20.9568934089921</v>
      </c>
      <c r="H13424" s="6" t="n">
        <f aca="false">Sens!H13399*Sens!H13423</f>
        <v>21.7279037551301</v>
      </c>
      <c r="I13424" s="6" t="n">
        <f aca="false">Sens!I13399*Sens!I13423</f>
        <v>22.6229827103631</v>
      </c>
      <c r="J13424" s="6" t="n">
        <f aca="false">Sens!J13399*Sens!J13423</f>
        <v>23.6229573207239</v>
      </c>
      <c r="K13424" s="6" t="n">
        <f aca="false">Sens!K13399*Sens!K13423</f>
        <v>24.7124136819347</v>
      </c>
      <c r="L13424" s="12" t="s">
        <v>1067</v>
      </c>
    </row>
    <row r="13425" customFormat="false" ht="15" hidden="false" customHeight="false" outlineLevel="0" collapsed="false">
      <c r="A13425" s="1" t="s">
        <v>1068</v>
      </c>
      <c r="B13425" s="0" t="s">
        <v>98</v>
      </c>
      <c r="D13425" s="6" t="n">
        <f aca="false">Sens!D13422+Sens!D13424</f>
        <v>128.528</v>
      </c>
      <c r="E13425" s="6" t="n">
        <f aca="false">Sens!E13422+Sens!E13424</f>
        <v>155.237</v>
      </c>
      <c r="F13425" s="6" t="n">
        <f aca="false">Sens!F13422+Sens!F13424</f>
        <v>190.638224776162</v>
      </c>
      <c r="G13425" s="6" t="n">
        <f aca="false">Sens!G13422+Sens!G13424</f>
        <v>218.920118406674</v>
      </c>
      <c r="H13425" s="6" t="n">
        <f aca="false">Sens!H13422+Sens!H13424</f>
        <v>254.799669231777</v>
      </c>
      <c r="I13425" s="6" t="n">
        <f aca="false">Sens!I13422+Sens!I13424</f>
        <v>282.352091056435</v>
      </c>
      <c r="J13425" s="6" t="n">
        <f aca="false">Sens!J13422+Sens!J13424</f>
        <v>306.307736302768</v>
      </c>
      <c r="K13425" s="6" t="n">
        <f aca="false">Sens!K13422+Sens!K13424</f>
        <v>328.010491274785</v>
      </c>
    </row>
    <row r="13426" customFormat="false" ht="15" hidden="false" customHeight="false" outlineLevel="0" collapsed="false">
      <c r="A13426" s="26" t="s">
        <v>1069</v>
      </c>
      <c r="B13426" s="31" t="s">
        <v>98</v>
      </c>
      <c r="C13426" s="31"/>
      <c r="D13426" s="27" t="n">
        <f aca="false">Sens!D13425-Q!L23</f>
        <v>0</v>
      </c>
      <c r="E13426" s="27" t="n">
        <f aca="false">Sens!E13425-Q!M23</f>
        <v>0</v>
      </c>
      <c r="F13426" s="31"/>
      <c r="G13426" s="31"/>
      <c r="H13426" s="31"/>
      <c r="I13426" s="31"/>
      <c r="J13426" s="31"/>
      <c r="K13426" s="31"/>
    </row>
    <row r="13427" customFormat="false" ht="15" hidden="false" customHeight="false" outlineLevel="0" collapsed="false">
      <c r="A13427" s="1" t="s">
        <v>1070</v>
      </c>
      <c r="B13427" s="0" t="s">
        <v>168</v>
      </c>
      <c r="D13427" s="7" t="n">
        <f aca="false">Sens!D13425/Sens!D13418</f>
        <v>0.456219562408598</v>
      </c>
      <c r="E13427" s="7" t="n">
        <f aca="false">Sens!E13425/Sens!E13418</f>
        <v>0.467808184089272</v>
      </c>
      <c r="F13427" s="7" t="n">
        <f aca="false">Sens!F13425/Sens!F13418</f>
        <v>0.472957066702592</v>
      </c>
      <c r="G13427" s="7" t="n">
        <f aca="false">Sens!G13425/Sens!G13418</f>
        <v>0.445155268147559</v>
      </c>
      <c r="H13427" s="7" t="n">
        <f aca="false">Sens!H13425/Sens!H13418</f>
        <v>0.433853108533291</v>
      </c>
      <c r="I13427" s="7" t="n">
        <f aca="false">Sens!I13425/Sens!I13418</f>
        <v>0.422295643126831</v>
      </c>
      <c r="J13427" s="7" t="n">
        <f aca="false">Sens!J13425/Sens!J13418</f>
        <v>0.41728296066482</v>
      </c>
      <c r="K13427" s="7" t="n">
        <f aca="false">Sens!K13425/Sens!K13418</f>
        <v>0.417257187812156</v>
      </c>
    </row>
    <row r="13428" customFormat="false" ht="17.15" hidden="false" customHeight="false" outlineLevel="0" collapsed="false">
      <c r="A13428" s="1" t="s">
        <v>1071</v>
      </c>
      <c r="B13428" s="0" t="s">
        <v>98</v>
      </c>
      <c r="F13428" s="6" t="n">
        <f aca="false">Sens!F13443</f>
        <v>8.71840674531245</v>
      </c>
      <c r="G13428" s="6" t="n">
        <f aca="false">Sens!G13443</f>
        <v>22.3610305170273</v>
      </c>
      <c r="H13428" s="6" t="n">
        <f aca="false">Sens!H13443</f>
        <v>37.4768452382075</v>
      </c>
      <c r="I13428" s="6" t="n">
        <f aca="false">Sens!I13443</f>
        <v>51.4781094705177</v>
      </c>
      <c r="J13428" s="6" t="n">
        <f aca="false">Sens!J13443</f>
        <v>61.3095818934393</v>
      </c>
      <c r="K13428" s="6" t="n">
        <f aca="false">Sens!K13443</f>
        <v>66.2401312706266</v>
      </c>
      <c r="L13428" s="1" t="s">
        <v>1072</v>
      </c>
    </row>
    <row r="13429" customFormat="false" ht="17.15" hidden="false" customHeight="false" outlineLevel="0" collapsed="false">
      <c r="A13429" s="1" t="s">
        <v>1073</v>
      </c>
      <c r="B13429" s="0" t="s">
        <v>98</v>
      </c>
      <c r="D13429" s="6" t="n">
        <f aca="false">Sens!D13425</f>
        <v>128.528</v>
      </c>
      <c r="E13429" s="6" t="n">
        <f aca="false">Sens!E13425</f>
        <v>155.237</v>
      </c>
      <c r="F13429" s="6" t="n">
        <f aca="false">Sens!F13425+Sens!F13428</f>
        <v>199.356631521474</v>
      </c>
      <c r="G13429" s="6" t="n">
        <f aca="false">Sens!G13425+Sens!G13428</f>
        <v>241.281148923701</v>
      </c>
      <c r="H13429" s="6" t="n">
        <f aca="false">Sens!H13425+Sens!H13428</f>
        <v>292.276514469984</v>
      </c>
      <c r="I13429" s="6" t="n">
        <f aca="false">Sens!I13425+Sens!I13428</f>
        <v>333.830200526952</v>
      </c>
      <c r="J13429" s="6" t="n">
        <f aca="false">Sens!J13425+Sens!J13428</f>
        <v>367.617318196207</v>
      </c>
      <c r="K13429" s="6" t="n">
        <f aca="false">Sens!K13425+Sens!K13428</f>
        <v>394.250622545412</v>
      </c>
    </row>
    <row r="13430" customFormat="false" ht="17.15" hidden="false" customHeight="false" outlineLevel="0" collapsed="false">
      <c r="A13430" s="1" t="s">
        <v>1074</v>
      </c>
      <c r="B13430" s="0" t="s">
        <v>98</v>
      </c>
      <c r="E13430" s="6" t="n">
        <f aca="false">Sens!E13373</f>
        <v>16.3054059770833</v>
      </c>
      <c r="F13430" s="6" t="n">
        <f aca="false">Sens!F13373</f>
        <v>34.5793144783516</v>
      </c>
      <c r="G13430" s="6" t="n">
        <f aca="false">Sens!G13373</f>
        <v>60.7344906522989</v>
      </c>
      <c r="H13430" s="6" t="n">
        <f aca="false">Sens!H13373</f>
        <v>89.1000906614457</v>
      </c>
      <c r="I13430" s="6" t="n">
        <f aca="false">Sens!I13373</f>
        <v>114.231009694548</v>
      </c>
      <c r="J13430" s="6" t="n">
        <f aca="false">Sens!J13373</f>
        <v>132.015673049596</v>
      </c>
      <c r="K13430" s="6" t="n">
        <f aca="false">Sens!K13373</f>
        <v>143.012669550934</v>
      </c>
    </row>
    <row r="13431" customFormat="false" ht="17.15" hidden="false" customHeight="false" outlineLevel="0" collapsed="false">
      <c r="A13431" s="1" t="s">
        <v>1075</v>
      </c>
      <c r="B13431" s="0" t="s">
        <v>98</v>
      </c>
      <c r="E13431" s="6" t="n">
        <f aca="false">Sens!E13455</f>
        <v>22.2285940229167</v>
      </c>
      <c r="F13431" s="6" t="n">
        <f aca="false">Sens!F13455</f>
        <v>23.580344216413</v>
      </c>
      <c r="G13431" s="6" t="n">
        <f aca="false">Sens!G13455</f>
        <v>25.3801415764809</v>
      </c>
      <c r="H13431" s="6" t="n">
        <f aca="false">Sens!H13455</f>
        <v>27.5964639802758</v>
      </c>
      <c r="I13431" s="6" t="n">
        <f aca="false">Sens!I13455</f>
        <v>30.152940612192</v>
      </c>
      <c r="J13431" s="6" t="n">
        <f aca="false">Sens!J13455</f>
        <v>32.9575022150393</v>
      </c>
      <c r="K13431" s="6" t="n">
        <f aca="false">Sens!K13455</f>
        <v>35.9256779798081</v>
      </c>
    </row>
    <row r="13432" customFormat="false" ht="17.15" hidden="false" customHeight="false" outlineLevel="0" collapsed="false">
      <c r="A13432" s="1" t="s">
        <v>1076</v>
      </c>
      <c r="B13432" s="0" t="s">
        <v>98</v>
      </c>
      <c r="D13432" s="6" t="n">
        <f aca="false">Q!L27</f>
        <v>-4.901</v>
      </c>
      <c r="E13432" s="6" t="n">
        <f aca="false">Q!M27</f>
        <v>10.697</v>
      </c>
      <c r="F13432" s="6" t="n">
        <f aca="false">Q!$I$27+oie_f*(q_per_yr-1)/q_per_yr</f>
        <v>-0.862</v>
      </c>
      <c r="G13432" s="6" t="n">
        <f aca="false">oie_f</f>
        <v>-1.2</v>
      </c>
      <c r="H13432" s="6" t="n">
        <f aca="false">oie_f</f>
        <v>-1.2</v>
      </c>
      <c r="I13432" s="6" t="n">
        <f aca="false">oie_f</f>
        <v>-1.2</v>
      </c>
      <c r="J13432" s="6" t="n">
        <f aca="false">oie_f</f>
        <v>-1.2</v>
      </c>
      <c r="K13432" s="6" t="n">
        <f aca="false">oie_f</f>
        <v>-1.2</v>
      </c>
      <c r="L13432" s="12" t="s">
        <v>1077</v>
      </c>
    </row>
    <row r="13433" customFormat="false" ht="15" hidden="false" customHeight="false" outlineLevel="0" collapsed="false">
      <c r="A13433" s="1" t="s">
        <v>1078</v>
      </c>
      <c r="B13433" s="0" t="s">
        <v>98</v>
      </c>
      <c r="D13433" s="6" t="n">
        <f aca="false">Sens!D13425+Sens!D13432</f>
        <v>123.627</v>
      </c>
      <c r="E13433" s="6" t="n">
        <f aca="false">Sens!E13425+Sens!E13432</f>
        <v>165.934</v>
      </c>
      <c r="F13433" s="6" t="n">
        <f aca="false">Sens!F13425+Sens!F13432</f>
        <v>189.776224776162</v>
      </c>
      <c r="G13433" s="6" t="n">
        <f aca="false">Sens!G13425+Sens!G13432</f>
        <v>217.720118406674</v>
      </c>
      <c r="H13433" s="6" t="n">
        <f aca="false">Sens!H13425+Sens!H13432</f>
        <v>253.599669231777</v>
      </c>
      <c r="I13433" s="6" t="n">
        <f aca="false">Sens!I13425+Sens!I13432</f>
        <v>281.152091056435</v>
      </c>
      <c r="J13433" s="6" t="n">
        <f aca="false">Sens!J13425+Sens!J13432</f>
        <v>305.107736302768</v>
      </c>
      <c r="K13433" s="6" t="n">
        <f aca="false">Sens!K13425+Sens!K13432</f>
        <v>326.810491274785</v>
      </c>
    </row>
    <row r="13434" customFormat="false" ht="15" hidden="false" customHeight="false" outlineLevel="0" collapsed="false">
      <c r="A13434" s="1" t="s">
        <v>1079</v>
      </c>
      <c r="B13434" s="0" t="s">
        <v>98</v>
      </c>
      <c r="D13434" s="6" t="n">
        <f aca="false">Q!L29</f>
        <v>21.795</v>
      </c>
      <c r="E13434" s="6" t="n">
        <f aca="false">Q!M29</f>
        <v>32.185</v>
      </c>
      <c r="F13434" s="6" t="n">
        <f aca="false">Q!$I$29+(Sens!F13433-Q!$I$28)*tax_f</f>
        <v>38.0886449552324</v>
      </c>
      <c r="G13434" s="6" t="n">
        <f aca="false">Sens!G13433*tax_f</f>
        <v>43.5440236813348</v>
      </c>
      <c r="H13434" s="6" t="n">
        <f aca="false">Sens!H13433*tax_f</f>
        <v>50.7199338463554</v>
      </c>
      <c r="I13434" s="6" t="n">
        <f aca="false">Sens!I13433*tax_f</f>
        <v>56.2304182112869</v>
      </c>
      <c r="J13434" s="6" t="n">
        <f aca="false">Sens!J13433*tax_f</f>
        <v>61.0215472605536</v>
      </c>
      <c r="K13434" s="6" t="n">
        <f aca="false">Sens!K13433*tax_f</f>
        <v>65.3620982549571</v>
      </c>
    </row>
    <row r="13435" customFormat="false" ht="15" hidden="false" customHeight="false" outlineLevel="0" collapsed="false">
      <c r="A13435" s="1" t="s">
        <v>1080</v>
      </c>
      <c r="B13435" s="0" t="s">
        <v>98</v>
      </c>
      <c r="D13435" s="6" t="n">
        <f aca="false">Sens!D13433-Sens!D13434</f>
        <v>101.832</v>
      </c>
      <c r="E13435" s="6" t="n">
        <f aca="false">Sens!E13433-Sens!E13434</f>
        <v>133.749</v>
      </c>
      <c r="F13435" s="6" t="n">
        <f aca="false">Sens!F13433-Sens!F13434</f>
        <v>151.68757982093</v>
      </c>
      <c r="G13435" s="6" t="n">
        <f aca="false">Sens!G13433-Sens!G13434</f>
        <v>174.176094725339</v>
      </c>
      <c r="H13435" s="6" t="n">
        <f aca="false">Sens!H13433-Sens!H13434</f>
        <v>202.879735385421</v>
      </c>
      <c r="I13435" s="6" t="n">
        <f aca="false">Sens!I13433-Sens!I13434</f>
        <v>224.921672845148</v>
      </c>
      <c r="J13435" s="6" t="n">
        <f aca="false">Sens!J13433-Sens!J13434</f>
        <v>244.086189042214</v>
      </c>
      <c r="K13435" s="6" t="n">
        <f aca="false">Sens!K13433-Sens!K13434</f>
        <v>261.448393019828</v>
      </c>
    </row>
    <row r="13436" customFormat="false" ht="17.15" hidden="false" customHeight="false" outlineLevel="0" collapsed="false">
      <c r="A13436" s="1" t="s">
        <v>1081</v>
      </c>
      <c r="B13436" s="1" t="s">
        <v>81</v>
      </c>
      <c r="D13436" s="15" t="n">
        <f aca="false">Q!L31</f>
        <v>7.465</v>
      </c>
      <c r="E13436" s="15" t="n">
        <f aca="false">Q!M31</f>
        <v>7.453</v>
      </c>
      <c r="F13436" s="15" t="n">
        <f aca="false">Sens!F13480</f>
        <v>7.46678966372993</v>
      </c>
      <c r="G13436" s="15" t="n">
        <f aca="false">Sens!G13480</f>
        <v>7.49697813416467</v>
      </c>
      <c r="H13436" s="15" t="n">
        <f aca="false">Sens!H13480</f>
        <v>7.5165768798983</v>
      </c>
      <c r="I13436" s="15" t="n">
        <f aca="false">Sens!I13480</f>
        <v>7.52825824395377</v>
      </c>
      <c r="J13436" s="15" t="n">
        <f aca="false">Sens!J13480</f>
        <v>7.54240765511624</v>
      </c>
      <c r="K13436" s="15" t="n">
        <f aca="false">Sens!K13480</f>
        <v>7.55884229508149</v>
      </c>
    </row>
    <row r="13437" customFormat="false" ht="17.15" hidden="false" customHeight="false" outlineLevel="0" collapsed="false">
      <c r="A13437" s="0" t="s">
        <v>1082</v>
      </c>
      <c r="B13437" s="0" t="s">
        <v>75</v>
      </c>
      <c r="D13437" s="8" t="n">
        <f aca="false">Sens!D13435/Sens!D13436</f>
        <v>13.641259209645</v>
      </c>
      <c r="E13437" s="8" t="n">
        <f aca="false">Sens!E13435/Sens!E13436</f>
        <v>17.9456594659869</v>
      </c>
      <c r="F13437" s="8" t="n">
        <f aca="false">Sens!F13435/Sens!F13436</f>
        <v>20.3149662240728</v>
      </c>
      <c r="G13437" s="8" t="n">
        <f aca="false">Sens!G13435/Sens!G13436</f>
        <v>23.2328401668396</v>
      </c>
      <c r="H13437" s="8" t="n">
        <f aca="false">Sens!H13435/Sens!H13436</f>
        <v>26.9909745655613</v>
      </c>
      <c r="I13437" s="8" t="n">
        <f aca="false">Sens!I13435/Sens!I13436</f>
        <v>29.8769868881412</v>
      </c>
      <c r="J13437" s="8" t="n">
        <f aca="false">Sens!J13435/Sens!J13436</f>
        <v>32.361839906206</v>
      </c>
      <c r="K13437" s="8" t="n">
        <f aca="false">Sens!K13435/Sens!K13436</f>
        <v>34.5884174868884</v>
      </c>
      <c r="L13437" s="1" t="s">
        <v>1083</v>
      </c>
    </row>
    <row r="13438" customFormat="false" ht="17.15" hidden="false" customHeight="false" outlineLevel="0" collapsed="false">
      <c r="A13438" s="1" t="s">
        <v>1084</v>
      </c>
      <c r="B13438" s="0" t="s">
        <v>98</v>
      </c>
      <c r="D13438" s="6" t="n">
        <f aca="false">Sens!D13435</f>
        <v>101.832</v>
      </c>
      <c r="E13438" s="6" t="n">
        <f aca="false">Sens!E13435</f>
        <v>133.749</v>
      </c>
      <c r="F13438" s="6" t="n">
        <f aca="false">Sens!F13435+Sens!F13428*(1-tax_f)</f>
        <v>158.66230521718</v>
      </c>
      <c r="G13438" s="6" t="n">
        <f aca="false">Sens!G13435+Sens!G13428*(1-tax_f)</f>
        <v>192.064919138961</v>
      </c>
      <c r="H13438" s="6" t="n">
        <f aca="false">Sens!H13435+Sens!H13428*(1-tax_f)</f>
        <v>232.861211575987</v>
      </c>
      <c r="I13438" s="6" t="n">
        <f aca="false">Sens!I13435+Sens!I13428*(1-tax_f)</f>
        <v>266.104160421562</v>
      </c>
      <c r="J13438" s="6" t="n">
        <f aca="false">Sens!J13435+Sens!J13428*(1-tax_f)</f>
        <v>293.133854556966</v>
      </c>
      <c r="K13438" s="6" t="n">
        <f aca="false">Sens!K13435+Sens!K13428*(1-tax_f)</f>
        <v>314.44049803633</v>
      </c>
    </row>
    <row r="13439" customFormat="false" ht="17.15" hidden="false" customHeight="false" outlineLevel="0" collapsed="false">
      <c r="A13439" s="0" t="s">
        <v>1085</v>
      </c>
      <c r="B13439" s="0" t="s">
        <v>75</v>
      </c>
      <c r="D13439" s="8" t="n">
        <f aca="false">Sens!D13438/Sens!D13436</f>
        <v>13.641259209645</v>
      </c>
      <c r="E13439" s="8" t="n">
        <f aca="false">Sens!E13438/Sens!E13436</f>
        <v>17.9456594659869</v>
      </c>
      <c r="F13439" s="8" t="n">
        <f aca="false">Sens!F13438/Sens!F13436</f>
        <v>21.2490658452433</v>
      </c>
      <c r="G13439" s="8" t="n">
        <f aca="false">Sens!G13438/Sens!G13436</f>
        <v>25.6189781671761</v>
      </c>
      <c r="H13439" s="8" t="n">
        <f aca="false">Sens!H13438/Sens!H13436</f>
        <v>30.9796886663571</v>
      </c>
      <c r="I13439" s="8" t="n">
        <f aca="false">Sens!I13438/Sens!I13436</f>
        <v>35.347374093507</v>
      </c>
      <c r="J13439" s="8" t="n">
        <f aca="false">Sens!J13438/Sens!J13436</f>
        <v>38.8647588357445</v>
      </c>
      <c r="K13439" s="8" t="n">
        <f aca="false">Sens!K13438/Sens!K13436</f>
        <v>41.599028761446</v>
      </c>
      <c r="L13439" s="1" t="s">
        <v>1086</v>
      </c>
    </row>
    <row r="13440" customFormat="false" ht="17.15" hidden="false" customHeight="false" outlineLevel="0" collapsed="false">
      <c r="A13440" s="0" t="s">
        <v>1087</v>
      </c>
      <c r="B13440" s="0" t="s">
        <v>168</v>
      </c>
      <c r="E13440" s="7" t="n">
        <f aca="false">Sens!E13439/Sens!D13439-1</f>
        <v>0.315542736208578</v>
      </c>
      <c r="F13440" s="7" t="n">
        <f aca="false">Sens!F13439/Sens!E13439-1</f>
        <v>0.184078294002935</v>
      </c>
      <c r="G13440" s="7" t="n">
        <f aca="false">Sens!G13439/Sens!F13439-1</f>
        <v>0.205651973303614</v>
      </c>
      <c r="H13440" s="7" t="n">
        <f aca="false">Sens!H13439/Sens!G13439-1</f>
        <v>0.209247631353597</v>
      </c>
      <c r="I13440" s="7" t="n">
        <f aca="false">Sens!I13439/Sens!H13439-1</f>
        <v>0.140985452571478</v>
      </c>
      <c r="J13440" s="7" t="n">
        <f aca="false">Sens!J13439/Sens!I13439-1</f>
        <v>0.0995090818608675</v>
      </c>
      <c r="K13440" s="7" t="n">
        <f aca="false">Sens!K13439/Sens!J13439-1</f>
        <v>0.0703534514972151</v>
      </c>
    </row>
    <row r="13441" customFormat="false" ht="17.15" hidden="false" customHeight="false" outlineLevel="0" collapsed="false">
      <c r="A13441" s="0" t="s">
        <v>1007</v>
      </c>
      <c r="B13441" s="0" t="s">
        <v>98</v>
      </c>
      <c r="E13441" s="6" t="n">
        <f aca="false">Sens!E13382</f>
        <v>5.25</v>
      </c>
      <c r="F13441" s="6" t="n">
        <f aca="false">Sens!F13382</f>
        <v>13.5</v>
      </c>
      <c r="G13441" s="6" t="n">
        <f aca="false">Sens!G13382</f>
        <v>22.5</v>
      </c>
      <c r="H13441" s="6" t="n">
        <f aca="false">Sens!H13382</f>
        <v>31.5</v>
      </c>
      <c r="I13441" s="6" t="n">
        <f aca="false">Sens!I13382</f>
        <v>38.25</v>
      </c>
      <c r="J13441" s="6" t="n">
        <f aca="false">Sens!J13382</f>
        <v>42.75</v>
      </c>
      <c r="K13441" s="6" t="n">
        <f aca="false">Sens!K13382</f>
        <v>47.25</v>
      </c>
    </row>
    <row r="13442" customFormat="false" ht="17.15" hidden="false" customHeight="false" outlineLevel="0" collapsed="false">
      <c r="A13442" s="1" t="s">
        <v>1008</v>
      </c>
      <c r="B13442" s="0" t="s">
        <v>98</v>
      </c>
      <c r="F13442" s="6" t="n">
        <f aca="false">MAX(0,((Sens!E13342+Sens!F13342)/2-(shadow_base*(Sens!$D$13342+Sens!$E$13342)/2+(1-shadow_base)*Sens!$E$13342))*Sens!F13351/1000-(Sens!F13441-Sens!$E$13441)*Sens!F13421)</f>
        <v>8.71840674531245</v>
      </c>
      <c r="G13442" s="6" t="n">
        <f aca="false">MAX(0,((Sens!F13342+Sens!G13342)/2-(shadow_base*(Sens!$D$13342+Sens!$E$13342)/2+(1-shadow_base)*Sens!$E$13342))*Sens!G13351/1000-(Sens!G13441-Sens!$E$13441)*Sens!G13421)</f>
        <v>22.3610305170273</v>
      </c>
      <c r="H13442" s="6" t="n">
        <f aca="false">MAX(0,((Sens!G13342+Sens!H13342)/2-(shadow_base*(Sens!$D$13342+Sens!$E$13342)/2+(1-shadow_base)*Sens!$E$13342))*Sens!H13351/1000-(Sens!H13441-Sens!$E$13441)*Sens!H13421)</f>
        <v>37.4768452382075</v>
      </c>
      <c r="I13442" s="6" t="n">
        <f aca="false">MAX(0,((Sens!H13342+Sens!I13342)/2-(shadow_base*(Sens!$D$13342+Sens!$E$13342)/2+(1-shadow_base)*Sens!$E$13342))*Sens!I13351/1000-(Sens!I13441-Sens!$E$13441)*Sens!I13421)</f>
        <v>51.4781094705177</v>
      </c>
      <c r="J13442" s="6" t="n">
        <f aca="false">MAX(0,((Sens!I13342+Sens!J13342)/2-(shadow_base*(Sens!$D$13342+Sens!$E$13342)/2+(1-shadow_base)*Sens!$E$13342))*Sens!J13351/1000-(Sens!J13441-Sens!$E$13441)*Sens!J13421)</f>
        <v>61.3095818934393</v>
      </c>
      <c r="K13442" s="6" t="n">
        <f aca="false">MAX(0,((Sens!J13342+Sens!K13342)/2-(shadow_base*(Sens!$D$13342+Sens!$E$13342)/2+(1-shadow_base)*Sens!$E$13342))*Sens!K13351/1000-(Sens!K13441-Sens!$E$13441)*Sens!K13421)</f>
        <v>66.2401312706266</v>
      </c>
      <c r="L13442" s="1" t="s">
        <v>1009</v>
      </c>
    </row>
    <row r="13443" customFormat="false" ht="17.15" hidden="false" customHeight="false" outlineLevel="0" collapsed="false">
      <c r="A13443" s="1" t="s">
        <v>1010</v>
      </c>
      <c r="B13443" s="0" t="s">
        <v>98</v>
      </c>
      <c r="F13443" s="6" t="n">
        <f aca="false">IF(internal_ai_reading=2,1,0)*Sens!F13442</f>
        <v>8.71840674531245</v>
      </c>
      <c r="G13443" s="6" t="n">
        <f aca="false">IF(internal_ai_reading=2,1,0)*Sens!G13442</f>
        <v>22.3610305170273</v>
      </c>
      <c r="H13443" s="6" t="n">
        <f aca="false">IF(internal_ai_reading=2,1,0)*Sens!H13442</f>
        <v>37.4768452382075</v>
      </c>
      <c r="I13443" s="6" t="n">
        <f aca="false">IF(internal_ai_reading=2,1,0)*Sens!I13442</f>
        <v>51.4781094705177</v>
      </c>
      <c r="J13443" s="6" t="n">
        <f aca="false">IF(internal_ai_reading=2,1,0)*Sens!J13442</f>
        <v>61.3095818934393</v>
      </c>
      <c r="K13443" s="6" t="n">
        <f aca="false">IF(internal_ai_reading=2,1,0)*Sens!K13442</f>
        <v>66.2401312706266</v>
      </c>
    </row>
    <row r="13444" customFormat="false" ht="17.15" hidden="false" customHeight="false" outlineLevel="0" collapsed="false">
      <c r="A13444" s="0" t="s">
        <v>1011</v>
      </c>
      <c r="B13444" s="0" t="s">
        <v>98</v>
      </c>
      <c r="F13444" s="6" t="n">
        <f aca="false">Sens!F13361+Sens!F13441*Sens!F13421+Sens!F13443-Sens!F13362-Sens!F13373</f>
        <v>18.6118678152817</v>
      </c>
      <c r="G13444" s="6" t="n">
        <f aca="false">Sens!G13361+Sens!G13441*Sens!G13421+Sens!G13443-Sens!G13362-Sens!G13373</f>
        <v>43.3033864982792</v>
      </c>
      <c r="H13444" s="6" t="n">
        <f aca="false">Sens!H13361+Sens!H13441*Sens!H13421+Sens!H13443-Sens!H13362-Sens!H13373</f>
        <v>73.607598356074</v>
      </c>
      <c r="I13444" s="6" t="n">
        <f aca="false">Sens!I13361+Sens!I13441*Sens!I13421+Sens!I13443-Sens!I13362-Sens!I13373</f>
        <v>94.8504135378504</v>
      </c>
      <c r="J13444" s="6" t="n">
        <f aca="false">Sens!J13361+Sens!J13441*Sens!J13421+Sens!J13443-Sens!J13362-Sens!J13373</f>
        <v>109.504608126358</v>
      </c>
      <c r="K13444" s="6" t="n">
        <f aca="false">Sens!K13361+Sens!K13441*Sens!K13421+Sens!K13443-Sens!K13362-Sens!K13373</f>
        <v>119.003703181943</v>
      </c>
    </row>
    <row r="13445" customFormat="false" ht="17.15" hidden="false" customHeight="false" outlineLevel="0" collapsed="false">
      <c r="A13445" s="0" t="s">
        <v>1012</v>
      </c>
      <c r="B13445" s="0" t="s">
        <v>98</v>
      </c>
      <c r="E13445" s="6" t="n">
        <f aca="false">Sens!E13341*(cxit_open+self_build*tk_cxfac)/1000*ai_net_open</f>
        <v>126.6980382</v>
      </c>
      <c r="F13445" s="6" t="n">
        <f aca="false">Sens!E13445+Sens!F13370-Sens!F13373</f>
        <v>260.572627763768</v>
      </c>
      <c r="G13445" s="6" t="n">
        <f aca="false">Sens!F13445+Sens!G13370-Sens!G13373</f>
        <v>391.782612760517</v>
      </c>
      <c r="H13445" s="6" t="n">
        <f aca="false">Sens!G13445+Sens!H13370-Sens!H13373</f>
        <v>499.488526163584</v>
      </c>
      <c r="I13445" s="6" t="n">
        <f aca="false">Sens!H13445+Sens!I13370-Sens!I13373</f>
        <v>553.872350090646</v>
      </c>
      <c r="J13445" s="6" t="n">
        <f aca="false">Sens!I13445+Sens!J13370-Sens!J13373</f>
        <v>550.78660823699</v>
      </c>
      <c r="K13445" s="6" t="n">
        <f aca="false">Sens!J13445+Sens!K13370-Sens!K13373</f>
        <v>526.736791750789</v>
      </c>
      <c r="L13445" s="1" t="s">
        <v>1013</v>
      </c>
    </row>
    <row r="13446" customFormat="false" ht="17.15" hidden="false" customHeight="false" outlineLevel="0" collapsed="false">
      <c r="A13446" s="0" t="s">
        <v>1014</v>
      </c>
      <c r="B13446" s="0" t="s">
        <v>168</v>
      </c>
      <c r="F13446" s="7" t="n">
        <f aca="false">Sens!F13444*(1-tax_f)/((Sens!E13445+Sens!F13445)/2)</f>
        <v>0.0768945110529925</v>
      </c>
      <c r="G13446" s="7" t="n">
        <f aca="false">Sens!G13444*(1-tax_f)/((Sens!F13445+Sens!G13445)/2)</f>
        <v>0.106208111920069</v>
      </c>
      <c r="H13446" s="7" t="n">
        <f aca="false">Sens!H13444*(1-tax_f)/((Sens!G13445+Sens!H13445)/2)</f>
        <v>0.132139538941974</v>
      </c>
      <c r="I13446" s="7" t="n">
        <f aca="false">Sens!I13444*(1-tax_f)/((Sens!H13445+Sens!I13445)/2)</f>
        <v>0.144072810260643</v>
      </c>
      <c r="J13446" s="7" t="n">
        <f aca="false">Sens!J13444*(1-tax_f)/((Sens!I13445+Sens!J13445)/2)</f>
        <v>0.158607660474163</v>
      </c>
      <c r="K13446" s="7" t="n">
        <f aca="false">Sens!K13444*(1-tax_f)/((Sens!J13445+Sens!K13445)/2)</f>
        <v>0.176706997818579</v>
      </c>
    </row>
    <row r="13447" customFormat="false" ht="17.15" hidden="false" customHeight="false" outlineLevel="0" collapsed="false">
      <c r="A13447" s="1" t="s">
        <v>1015</v>
      </c>
      <c r="B13447" s="0" t="s">
        <v>168</v>
      </c>
      <c r="F13447" s="7" t="n">
        <f aca="false">(Sens!F13444-Sens!F13443)*(1-tax_f)/((Sens!E13445+Sens!F13445)/2)</f>
        <v>0.0408746107133035</v>
      </c>
      <c r="G13447" s="7" t="n">
        <f aca="false">(Sens!G13444-Sens!G13443)*(1-tax_f)/((Sens!F13445+Sens!G13445)/2)</f>
        <v>0.0513642989103199</v>
      </c>
      <c r="H13447" s="7" t="n">
        <f aca="false">(Sens!H13444-Sens!H13443)*(1-tax_f)/((Sens!G13445+Sens!H13445)/2)</f>
        <v>0.0648615246964811</v>
      </c>
      <c r="I13447" s="7" t="n">
        <f aca="false">(Sens!I13444-Sens!I13443)*(1-tax_f)/((Sens!H13445+Sens!I13445)/2)</f>
        <v>0.0658802582022077</v>
      </c>
      <c r="J13447" s="7" t="n">
        <f aca="false">(Sens!J13444-Sens!J13443)*(1-tax_f)/((Sens!I13445+Sens!J13445)/2)</f>
        <v>0.0698061980046865</v>
      </c>
      <c r="K13447" s="7" t="n">
        <f aca="false">(Sens!K13444-Sens!K13443)*(1-tax_f)/((Sens!J13445+Sens!K13445)/2)</f>
        <v>0.0783479180675455</v>
      </c>
    </row>
    <row r="13448" customFormat="false" ht="17.15" hidden="false" customHeight="false" outlineLevel="0" collapsed="false">
      <c r="A13448" s="1" t="s">
        <v>1016</v>
      </c>
      <c r="B13448" s="0" t="s">
        <v>168</v>
      </c>
      <c r="F13448" s="7" t="n">
        <f aca="false">(Sens!F13444-Sens!F13443+Sens!F13442)*(1-tax_f)/((Sens!E13445+Sens!F13445)/2)</f>
        <v>0.0768945110529925</v>
      </c>
      <c r="G13448" s="7" t="n">
        <f aca="false">(Sens!G13444-Sens!G13443+Sens!G13442)*(1-tax_f)/((Sens!F13445+Sens!G13445)/2)</f>
        <v>0.106208111920069</v>
      </c>
      <c r="H13448" s="7" t="n">
        <f aca="false">(Sens!H13444-Sens!H13443+Sens!H13442)*(1-tax_f)/((Sens!G13445+Sens!H13445)/2)</f>
        <v>0.132139538941974</v>
      </c>
      <c r="I13448" s="7" t="n">
        <f aca="false">(Sens!I13444-Sens!I13443+Sens!I13442)*(1-tax_f)/((Sens!H13445+Sens!I13445)/2)</f>
        <v>0.144072810260643</v>
      </c>
      <c r="J13448" s="7" t="n">
        <f aca="false">(Sens!J13444-Sens!J13443+Sens!J13442)*(1-tax_f)/((Sens!I13445+Sens!J13445)/2)</f>
        <v>0.158607660474163</v>
      </c>
      <c r="K13448" s="7" t="n">
        <f aca="false">(Sens!K13444-Sens!K13443+Sens!K13442)*(1-tax_f)/((Sens!J13445+Sens!K13445)/2)</f>
        <v>0.176706997818579</v>
      </c>
    </row>
    <row r="13449" customFormat="false" ht="17.15" hidden="false" customHeight="false" outlineLevel="0" collapsed="false">
      <c r="A13449" s="1" t="s">
        <v>1017</v>
      </c>
      <c r="B13449" s="0" t="s">
        <v>168</v>
      </c>
      <c r="F13449" s="7" t="n">
        <f aca="false">Sens!F13374*(1-tax_f)/(Sens!F13360*(Sens!E13445+Sens!F13445)/2)</f>
        <v>0.15471433083293</v>
      </c>
      <c r="G13449" s="7" t="n">
        <f aca="false">Sens!G13374*(1-tax_f)/(Sens!G13360*(Sens!F13445+Sens!G13445)/2)</f>
        <v>0.176916911437355</v>
      </c>
      <c r="H13449" s="7" t="n">
        <f aca="false">Sens!H13374*(1-tax_f)/(Sens!H13360*(Sens!G13445+Sens!H13445)/2)</f>
        <v>0.207487057996582</v>
      </c>
      <c r="I13449" s="7" t="n">
        <f aca="false">Sens!I13374*(1-tax_f)/(Sens!I13360*(Sens!H13445+Sens!I13445)/2)</f>
        <v>0.219873660070946</v>
      </c>
      <c r="J13449" s="7" t="n">
        <f aca="false">Sens!J13374*(1-tax_f)/(Sens!J13360*(Sens!I13445+Sens!J13445)/2)</f>
        <v>0.238959457974928</v>
      </c>
      <c r="K13449" s="7" t="n">
        <f aca="false">Sens!K13374*(1-tax_f)/(Sens!K13360*(Sens!J13445+Sens!K13445)/2)</f>
        <v>0.264604270651536</v>
      </c>
    </row>
    <row r="13450" customFormat="false" ht="17.15" hidden="false" customHeight="false" outlineLevel="0" collapsed="false">
      <c r="A13450" s="0" t="s">
        <v>1018</v>
      </c>
      <c r="B13450" s="0" t="s">
        <v>253</v>
      </c>
      <c r="F13450" s="7" t="n">
        <f aca="false">Sens!F13446-wacc</f>
        <v>-0.0260420798926048</v>
      </c>
      <c r="G13450" s="7" t="n">
        <f aca="false">Sens!G13446-wacc</f>
        <v>0.00327152097447166</v>
      </c>
      <c r="H13450" s="7" t="n">
        <f aca="false">Sens!H13446-wacc</f>
        <v>0.0292029479963764</v>
      </c>
      <c r="I13450" s="7" t="n">
        <f aca="false">Sens!I13446-wacc</f>
        <v>0.041136219315046</v>
      </c>
      <c r="J13450" s="7" t="n">
        <f aca="false">Sens!J13446-wacc</f>
        <v>0.055671069528566</v>
      </c>
      <c r="K13450" s="7" t="n">
        <f aca="false">Sens!K13446-wacc</f>
        <v>0.0737704068729816</v>
      </c>
    </row>
    <row r="13451" customFormat="false" ht="17.15" hidden="false" customHeight="false" outlineLevel="0" collapsed="false">
      <c r="A13451" s="0" t="s">
        <v>1019</v>
      </c>
      <c r="B13451" s="0" t="s">
        <v>98</v>
      </c>
      <c r="F13451" s="6" t="n">
        <f aca="false">Sens!F13444*(1-tax_f)-wacc*(Sens!E13445+Sens!F13445)/2</f>
        <v>-5.04266681154535</v>
      </c>
      <c r="G13451" s="6" t="n">
        <f aca="false">Sens!G13444*(1-tax_f)-wacc*(Sens!F13445+Sens!G13445)/2</f>
        <v>1.06709692609085</v>
      </c>
      <c r="H13451" s="6" t="n">
        <f aca="false">Sens!H13444*(1-tax_f)-wacc*(Sens!G13445+Sens!H13445)/2</f>
        <v>13.0138723603358</v>
      </c>
      <c r="I13451" s="6" t="n">
        <f aca="false">Sens!I13444*(1-tax_f)-wacc*(Sens!H13445+Sens!I13445)/2</f>
        <v>21.6656420117415</v>
      </c>
      <c r="J13451" s="6" t="n">
        <f aca="false">Sens!J13444*(1-tax_f)-wacc*(Sens!I13445+Sens!J13445)/2</f>
        <v>30.7487728372055</v>
      </c>
      <c r="K13451" s="6" t="n">
        <f aca="false">Sens!K13444*(1-tax_f)-wacc*(Sens!J13445+Sens!K13445)/2</f>
        <v>39.7446698161285</v>
      </c>
    </row>
    <row r="13452" customFormat="false" ht="17.15" hidden="false" customHeight="false" outlineLevel="0" collapsed="false">
      <c r="A13452" s="3" t="s">
        <v>1948</v>
      </c>
    </row>
    <row r="13453" customFormat="false" ht="15" hidden="false" customHeight="false" outlineLevel="0" collapsed="false">
      <c r="A13453" s="4" t="s">
        <v>43</v>
      </c>
      <c r="B13453" s="4" t="s">
        <v>65</v>
      </c>
      <c r="C13453" s="23" t="s">
        <v>942</v>
      </c>
      <c r="D13453" s="23" t="s">
        <v>943</v>
      </c>
      <c r="E13453" s="23" t="s">
        <v>944</v>
      </c>
      <c r="F13453" s="23" t="s">
        <v>945</v>
      </c>
      <c r="G13453" s="23" t="s">
        <v>946</v>
      </c>
      <c r="H13453" s="23" t="s">
        <v>947</v>
      </c>
      <c r="I13453" s="23" t="s">
        <v>948</v>
      </c>
      <c r="J13453" s="23" t="s">
        <v>949</v>
      </c>
      <c r="K13453" s="23" t="s">
        <v>950</v>
      </c>
      <c r="L13453" s="4" t="s">
        <v>47</v>
      </c>
    </row>
    <row r="13454" customFormat="false" ht="15" hidden="false" customHeight="false" outlineLevel="0" collapsed="false">
      <c r="A13454" s="1" t="s">
        <v>1080</v>
      </c>
      <c r="B13454" s="0" t="s">
        <v>98</v>
      </c>
      <c r="F13454" s="6" t="n">
        <f aca="false">Sens!F13435</f>
        <v>151.68757982093</v>
      </c>
      <c r="G13454" s="6" t="n">
        <f aca="false">Sens!G13435</f>
        <v>174.176094725339</v>
      </c>
      <c r="H13454" s="6" t="n">
        <f aca="false">Sens!H13435</f>
        <v>202.879735385421</v>
      </c>
      <c r="I13454" s="6" t="n">
        <f aca="false">Sens!I13435</f>
        <v>224.921672845148</v>
      </c>
      <c r="J13454" s="6" t="n">
        <f aca="false">Sens!J13435</f>
        <v>244.086189042214</v>
      </c>
      <c r="K13454" s="6" t="n">
        <f aca="false">Sens!K13435</f>
        <v>261.448393019828</v>
      </c>
    </row>
    <row r="13455" customFormat="false" ht="17.15" hidden="false" customHeight="false" outlineLevel="0" collapsed="false">
      <c r="A13455" s="1" t="s">
        <v>1102</v>
      </c>
      <c r="B13455" s="0" t="s">
        <v>98</v>
      </c>
      <c r="E13455" s="6" t="n">
        <f aca="false">Q!M38-Sens!E13373</f>
        <v>22.2285940229167</v>
      </c>
      <c r="F13455" s="6" t="n">
        <f aca="false">Sens!E13455*(1-1/life_nonai)+(Sens!F13463+Sens!F13464)/life_nonai</f>
        <v>23.580344216413</v>
      </c>
      <c r="G13455" s="6" t="n">
        <f aca="false">Sens!F13455*(1-1/life_nonai)+(Sens!G13463)/life_nonai</f>
        <v>25.3801415764809</v>
      </c>
      <c r="H13455" s="6" t="n">
        <f aca="false">Sens!G13455*(1-1/life_nonai)+(Sens!H13463)/life_nonai</f>
        <v>27.5964639802758</v>
      </c>
      <c r="I13455" s="6" t="n">
        <f aca="false">Sens!H13455*(1-1/life_nonai)+(Sens!I13463)/life_nonai</f>
        <v>30.152940612192</v>
      </c>
      <c r="J13455" s="6" t="n">
        <f aca="false">Sens!I13455*(1-1/life_nonai)+(Sens!J13463)/life_nonai</f>
        <v>32.9575022150393</v>
      </c>
      <c r="K13455" s="6" t="n">
        <f aca="false">Sens!J13455*(1-1/life_nonai)+(Sens!K13463)/life_nonai</f>
        <v>35.9256779798081</v>
      </c>
      <c r="L13455" s="12" t="s">
        <v>1103</v>
      </c>
    </row>
    <row r="13456" customFormat="false" ht="17.15" hidden="false" customHeight="false" outlineLevel="0" collapsed="false">
      <c r="A13456" s="1" t="s">
        <v>1104</v>
      </c>
      <c r="B13456" s="0" t="s">
        <v>98</v>
      </c>
      <c r="F13456" s="6" t="n">
        <f aca="false">Sens!$F$13464/life_nonai*(1-1/life_nonai)^(Sens!F13336-2027)</f>
        <v>0.00475774452575592</v>
      </c>
      <c r="G13456" s="6" t="n">
        <f aca="false">Sens!$F$13464/life_nonai*(1-1/life_nonai)^(Sens!G13336-2027)</f>
        <v>0.00428197007318033</v>
      </c>
      <c r="H13456" s="6" t="n">
        <f aca="false">Sens!$F$13464/life_nonai*(1-1/life_nonai)^(Sens!H13336-2027)</f>
        <v>0.0038537730658623</v>
      </c>
      <c r="I13456" s="6" t="n">
        <f aca="false">Sens!$F$13464/life_nonai*(1-1/life_nonai)^(Sens!I13336-2027)</f>
        <v>0.00346839575927607</v>
      </c>
      <c r="J13456" s="6" t="n">
        <f aca="false">Sens!$F$13464/life_nonai*(1-1/life_nonai)^(Sens!J13336-2027)</f>
        <v>0.00312155618334846</v>
      </c>
      <c r="K13456" s="6" t="n">
        <f aca="false">Sens!$F$13464/life_nonai*(1-1/life_nonai)^(Sens!K13336-2027)</f>
        <v>0.00280940056501362</v>
      </c>
      <c r="L13456" s="1" t="s">
        <v>1105</v>
      </c>
    </row>
    <row r="13457" customFormat="false" ht="17.15" hidden="false" customHeight="false" outlineLevel="0" collapsed="false">
      <c r="A13457" s="1" t="s">
        <v>1106</v>
      </c>
      <c r="B13457" s="0" t="s">
        <v>98</v>
      </c>
      <c r="E13457" s="6" t="n">
        <f aca="false">Sens!E13373+Sens!E13455</f>
        <v>38.534</v>
      </c>
      <c r="F13457" s="6" t="n">
        <f aca="false">Sens!F13373+Sens!F13455</f>
        <v>58.1596586947647</v>
      </c>
      <c r="G13457" s="6" t="n">
        <f aca="false">Sens!G13373+Sens!G13455</f>
        <v>86.1146322287799</v>
      </c>
      <c r="H13457" s="6" t="n">
        <f aca="false">Sens!H13373+Sens!H13455</f>
        <v>116.696554641721</v>
      </c>
      <c r="I13457" s="6" t="n">
        <f aca="false">Sens!I13373+Sens!I13455</f>
        <v>144.38395030674</v>
      </c>
      <c r="J13457" s="6" t="n">
        <f aca="false">Sens!J13373+Sens!J13455</f>
        <v>164.973175264635</v>
      </c>
      <c r="K13457" s="6" t="n">
        <f aca="false">Sens!K13373+Sens!K13455</f>
        <v>178.938347530742</v>
      </c>
    </row>
    <row r="13458" customFormat="false" ht="17.15" hidden="false" customHeight="false" outlineLevel="0" collapsed="false">
      <c r="A13458" s="1" t="s">
        <v>1107</v>
      </c>
      <c r="B13458" s="0" t="s">
        <v>98</v>
      </c>
      <c r="F13458" s="6" t="n">
        <f aca="false">Sens!F13400*sbc_r</f>
        <v>15.0680693022395</v>
      </c>
      <c r="G13458" s="6" t="n">
        <f aca="false">Sens!G13400*sbc_r</f>
        <v>18.3841476633065</v>
      </c>
      <c r="H13458" s="6" t="n">
        <f aca="false">Sens!H13400*sbc_r</f>
        <v>21.9545979838202</v>
      </c>
      <c r="I13458" s="6" t="n">
        <f aca="false">Sens!I13400*sbc_r</f>
        <v>24.9944595349748</v>
      </c>
      <c r="J13458" s="6" t="n">
        <f aca="false">Sens!J13400*sbc_r</f>
        <v>27.4407929753337</v>
      </c>
      <c r="K13458" s="6" t="n">
        <f aca="false">Sens!K13400*sbc_r</f>
        <v>29.3868645070206</v>
      </c>
    </row>
    <row r="13459" customFormat="false" ht="17.15" hidden="false" customHeight="false" outlineLevel="0" collapsed="false">
      <c r="A13459" s="1" t="s">
        <v>1108</v>
      </c>
      <c r="B13459" s="0" t="s">
        <v>98</v>
      </c>
      <c r="F13459" s="6" t="n">
        <f aca="false">wc27-wc26q1</f>
        <v>-4.677</v>
      </c>
      <c r="G13459" s="6" t="n">
        <f aca="false">wc_f</f>
        <v>0</v>
      </c>
      <c r="H13459" s="6" t="n">
        <f aca="false">wc_f</f>
        <v>0</v>
      </c>
      <c r="I13459" s="6" t="n">
        <f aca="false">wc_f</f>
        <v>0</v>
      </c>
      <c r="J13459" s="6" t="n">
        <f aca="false">wc_f</f>
        <v>0</v>
      </c>
      <c r="K13459" s="6" t="n">
        <f aca="false">wc_f</f>
        <v>0</v>
      </c>
      <c r="L13459" s="12" t="s">
        <v>1109</v>
      </c>
    </row>
    <row r="13460" customFormat="false" ht="17.15" hidden="false" customHeight="false" outlineLevel="0" collapsed="false">
      <c r="A13460" s="0" t="s">
        <v>1110</v>
      </c>
      <c r="B13460" s="0" t="s">
        <v>98</v>
      </c>
      <c r="F13460" s="6" t="n">
        <f aca="false">Q!$I$35-Q!$I$26-Q!$I$38-Q!$I$39</f>
        <v>6.493</v>
      </c>
      <c r="L13460" s="1" t="s">
        <v>1111</v>
      </c>
    </row>
    <row r="13461" customFormat="false" ht="15" hidden="false" customHeight="false" outlineLevel="0" collapsed="false">
      <c r="A13461" s="1" t="s">
        <v>908</v>
      </c>
      <c r="B13461" s="0" t="s">
        <v>98</v>
      </c>
      <c r="E13461" s="6" t="n">
        <f aca="false">Q!M35</f>
        <v>182.935</v>
      </c>
      <c r="F13461" s="6" t="n">
        <f aca="false">Sens!F13454+Sens!F13457+Sens!F13458+Sens!F13459+Sens!F13460</f>
        <v>226.731307817934</v>
      </c>
      <c r="G13461" s="6" t="n">
        <f aca="false">Sens!G13454+Sens!G13457+Sens!G13458+Sens!G13459</f>
        <v>278.674874617426</v>
      </c>
      <c r="H13461" s="6" t="n">
        <f aca="false">Sens!H13454+Sens!H13457+Sens!H13458+Sens!H13459</f>
        <v>341.530888010963</v>
      </c>
      <c r="I13461" s="6" t="n">
        <f aca="false">Sens!I13454+Sens!I13457+Sens!I13458+Sens!I13459</f>
        <v>394.300082686863</v>
      </c>
      <c r="J13461" s="6" t="n">
        <f aca="false">Sens!J13454+Sens!J13457+Sens!J13458+Sens!J13459</f>
        <v>436.500157282183</v>
      </c>
      <c r="K13461" s="6" t="n">
        <f aca="false">Sens!K13454+Sens!K13457+Sens!K13458+Sens!K13459</f>
        <v>469.773605057591</v>
      </c>
    </row>
    <row r="13462" customFormat="false" ht="17.15" hidden="false" customHeight="false" outlineLevel="0" collapsed="false">
      <c r="A13462" s="0" t="s">
        <v>1112</v>
      </c>
      <c r="B13462" s="0" t="s">
        <v>98</v>
      </c>
      <c r="F13462" s="6" t="n">
        <f aca="false">Sens!F13370</f>
        <v>168.45390404212</v>
      </c>
      <c r="G13462" s="6" t="n">
        <f aca="false">Sens!G13370</f>
        <v>191.944475649048</v>
      </c>
      <c r="H13462" s="6" t="n">
        <f aca="false">Sens!H13370</f>
        <v>196.806004064512</v>
      </c>
      <c r="I13462" s="6" t="n">
        <f aca="false">Sens!I13370</f>
        <v>168.61483362161</v>
      </c>
      <c r="J13462" s="6" t="n">
        <f aca="false">Sens!J13370</f>
        <v>128.92993119594</v>
      </c>
      <c r="K13462" s="6" t="n">
        <f aca="false">Sens!K13370</f>
        <v>118.962853064733</v>
      </c>
    </row>
    <row r="13463" customFormat="false" ht="17.15" hidden="false" customHeight="false" outlineLevel="0" collapsed="false">
      <c r="A13463" s="1" t="s">
        <v>1113</v>
      </c>
      <c r="B13463" s="0" t="s">
        <v>98</v>
      </c>
      <c r="E13463" s="6" t="n">
        <f aca="false">Sens!E13378*cx_azo+Sens!E13385*cx_m365+Sens!E13386*cx_lic+(Sens!E13388+Sens!E13390)*cx_ind+Sens!E13393*cx_srch+(Sens!E13395+Sens!E13397)*cx_dev</f>
        <v>30.1846587067718</v>
      </c>
      <c r="F13463" s="6" t="n">
        <f aca="false">Sens!F13378*cx_azo+Sens!F13385*cx_m365+Sens!F13386*cx_lic+(Sens!F13388+Sens!F13390)*cx_ind+Sens!F13393*cx_srch+(Sens!F13395+Sens!F13397)*cx_dev</f>
        <v>35.6985185126228</v>
      </c>
      <c r="G13463" s="6" t="n">
        <f aca="false">Sens!G13378*cx_azo+Sens!G13385*cx_m365+Sens!G13386*cx_lic+(Sens!G13388+Sens!G13390)*cx_ind+Sens!G13393*cx_srch+(Sens!G13395+Sens!G13397)*cx_dev</f>
        <v>41.5783178170917</v>
      </c>
      <c r="H13463" s="6" t="n">
        <f aca="false">Sens!H13378*cx_azo+Sens!H13385*cx_m365+Sens!H13386*cx_lic+(Sens!H13388+Sens!H13390)*cx_ind+Sens!H13393*cx_srch+(Sens!H13395+Sens!H13397)*cx_dev</f>
        <v>47.5433656144293</v>
      </c>
      <c r="I13463" s="6" t="n">
        <f aca="false">Sens!I13378*cx_azo+Sens!I13385*cx_m365+Sens!I13386*cx_lic+(Sens!I13388+Sens!I13390)*cx_ind+Sens!I13393*cx_srch+(Sens!I13395+Sens!I13397)*cx_dev</f>
        <v>53.1612302994382</v>
      </c>
      <c r="J13463" s="6" t="n">
        <f aca="false">Sens!J13378*cx_azo+Sens!J13385*cx_m365+Sens!J13386*cx_lic+(Sens!J13388+Sens!J13390)*cx_ind+Sens!J13393*cx_srch+(Sens!J13395+Sens!J13397)*cx_dev</f>
        <v>58.1985566406647</v>
      </c>
      <c r="K13463" s="6" t="n">
        <f aca="false">Sens!K13378*cx_azo+Sens!K13385*cx_m365+Sens!K13386*cx_lic+(Sens!K13388+Sens!K13390)*cx_ind+Sens!K13393*cx_srch+(Sens!K13395+Sens!K13397)*cx_dev</f>
        <v>62.6392598627275</v>
      </c>
    </row>
    <row r="13464" customFormat="false" ht="17.15" hidden="false" customHeight="false" outlineLevel="0" collapsed="false">
      <c r="A13464" s="0" t="s">
        <v>1114</v>
      </c>
      <c r="B13464" s="0" t="s">
        <v>98</v>
      </c>
      <c r="F13464" s="6" t="n">
        <f aca="false">Sens!F13368</f>
        <v>0.0475774452575593</v>
      </c>
      <c r="L13464" s="1" t="s">
        <v>1115</v>
      </c>
    </row>
    <row r="13465" customFormat="false" ht="17.15" hidden="false" customHeight="false" outlineLevel="0" collapsed="false">
      <c r="A13465" s="1" t="s">
        <v>1116</v>
      </c>
      <c r="B13465" s="0" t="s">
        <v>98</v>
      </c>
      <c r="E13465" s="6" t="n">
        <f aca="false">Q!M43</f>
        <v>145.3</v>
      </c>
      <c r="F13465" s="6" t="n">
        <f aca="false">Sens!F13462+Sens!F13463+Sens!F13464</f>
        <v>204.2</v>
      </c>
      <c r="G13465" s="6" t="n">
        <f aca="false">Sens!G13462+Sens!G13463</f>
        <v>233.52279346614</v>
      </c>
      <c r="H13465" s="6" t="n">
        <f aca="false">Sens!H13462+Sens!H13463</f>
        <v>244.349369678942</v>
      </c>
      <c r="I13465" s="6" t="n">
        <f aca="false">Sens!I13462+Sens!I13463</f>
        <v>221.776063921049</v>
      </c>
      <c r="J13465" s="6" t="n">
        <f aca="false">Sens!J13462+Sens!J13463</f>
        <v>187.128487836605</v>
      </c>
      <c r="K13465" s="6" t="n">
        <f aca="false">Sens!K13462+Sens!K13463</f>
        <v>181.60211292746</v>
      </c>
      <c r="L13465" s="1" t="s">
        <v>1117</v>
      </c>
    </row>
    <row r="13466" customFormat="false" ht="15" hidden="false" customHeight="false" outlineLevel="0" collapsed="false">
      <c r="A13466" s="1" t="s">
        <v>1118</v>
      </c>
      <c r="B13466" s="0" t="s">
        <v>98</v>
      </c>
      <c r="E13466" s="6" t="n">
        <f aca="false">fl_liab</f>
        <v>66.594</v>
      </c>
      <c r="F13466" s="6" t="n">
        <f aca="false">Sens!E13466-Sens!F13467</f>
        <v>62.46973</v>
      </c>
      <c r="G13466" s="6" t="n">
        <f aca="false">Sens!F13466-Sens!G13467</f>
        <v>57.98686785</v>
      </c>
      <c r="H13466" s="6" t="n">
        <f aca="false">Sens!G13466-Sens!H13467</f>
        <v>53.92827690325</v>
      </c>
      <c r="I13466" s="6" t="n">
        <f aca="false">Sens!H13466-Sens!I13467</f>
        <v>49.7850493638962</v>
      </c>
      <c r="J13466" s="6" t="n">
        <f aca="false">Sens!I13466-Sens!J13467</f>
        <v>45.4823765852716</v>
      </c>
      <c r="K13466" s="6" t="n">
        <f aca="false">Sens!J13466-Sens!K13467</f>
        <v>40.9860835316088</v>
      </c>
    </row>
    <row r="13467" customFormat="false" ht="15" hidden="false" customHeight="false" outlineLevel="0" collapsed="false">
      <c r="A13467" s="1" t="s">
        <v>1119</v>
      </c>
      <c r="B13467" s="0" t="s">
        <v>98</v>
      </c>
      <c r="F13467" s="6" t="n">
        <f aca="false">fl_pay_27-Sens!E13466*fl_rate</f>
        <v>4.12427</v>
      </c>
      <c r="G13467" s="6" t="n">
        <f aca="false">fl_pay_28-Sens!F13466*fl_rate</f>
        <v>4.48286215</v>
      </c>
      <c r="H13467" s="6" t="n">
        <f aca="false">fl_pay_29-Sens!G13466*fl_rate</f>
        <v>4.05859094675</v>
      </c>
      <c r="I13467" s="6" t="n">
        <f aca="false">fl_pay_30-Sens!H13466*fl_rate</f>
        <v>4.14322753935375</v>
      </c>
      <c r="J13467" s="6" t="n">
        <f aca="false">fl_pay_31-Sens!I13466*fl_rate</f>
        <v>4.30267277862467</v>
      </c>
      <c r="K13467" s="6" t="n">
        <f aca="false">fl_pay_32-Sens!J13466*fl_rate</f>
        <v>4.49629305366278</v>
      </c>
    </row>
    <row r="13468" customFormat="false" ht="17.15" hidden="false" customHeight="false" outlineLevel="0" collapsed="false">
      <c r="A13468" s="1" t="s">
        <v>1120</v>
      </c>
      <c r="B13468" s="0" t="s">
        <v>98</v>
      </c>
      <c r="E13468" s="6" t="n">
        <f aca="false">Q!M35-Q!M36-Q!M44</f>
        <v>63.886</v>
      </c>
      <c r="F13468" s="6" t="n">
        <f aca="false">Sens!F13461-Sens!F13465-Sens!F13467</f>
        <v>18.4070378179337</v>
      </c>
      <c r="G13468" s="6" t="n">
        <f aca="false">Sens!G13461-Sens!G13465-Sens!G13467</f>
        <v>40.6692190012856</v>
      </c>
      <c r="H13468" s="6" t="n">
        <f aca="false">Sens!H13461-Sens!H13465-Sens!H13467</f>
        <v>93.1229273852715</v>
      </c>
      <c r="I13468" s="6" t="n">
        <f aca="false">Sens!I13461-Sens!I13465-Sens!I13467</f>
        <v>168.380791226461</v>
      </c>
      <c r="J13468" s="6" t="n">
        <f aca="false">Sens!J13461-Sens!J13465-Sens!J13467</f>
        <v>245.068996666954</v>
      </c>
      <c r="K13468" s="6" t="n">
        <f aca="false">Sens!K13461-Sens!K13465-Sens!K13467</f>
        <v>283.675199076468</v>
      </c>
      <c r="L13468" s="12" t="s">
        <v>1121</v>
      </c>
    </row>
    <row r="13469" customFormat="false" ht="15" hidden="false" customHeight="false" outlineLevel="0" collapsed="false">
      <c r="A13469" s="1" t="s">
        <v>1122</v>
      </c>
      <c r="B13469" s="0" t="s">
        <v>75</v>
      </c>
      <c r="F13469" s="8" t="n">
        <f aca="false">dps_27</f>
        <v>3.85</v>
      </c>
      <c r="G13469" s="8" t="n">
        <f aca="false">Sens!F13469*(1+dps_g)</f>
        <v>4.158</v>
      </c>
      <c r="H13469" s="8" t="n">
        <f aca="false">Sens!G13469*(1+dps_g)</f>
        <v>4.49064</v>
      </c>
      <c r="I13469" s="8" t="n">
        <f aca="false">Sens!H13469*(1+dps_g)</f>
        <v>4.8498912</v>
      </c>
      <c r="J13469" s="8" t="n">
        <f aca="false">Sens!I13469*(1+dps_g)</f>
        <v>5.237882496</v>
      </c>
      <c r="K13469" s="8" t="n">
        <f aca="false">Sens!J13469*(1+dps_g)</f>
        <v>5.65691309568</v>
      </c>
    </row>
    <row r="13470" customFormat="false" ht="17.15" hidden="false" customHeight="false" outlineLevel="0" collapsed="false">
      <c r="A13470" s="1" t="s">
        <v>1123</v>
      </c>
      <c r="B13470" s="0" t="s">
        <v>98</v>
      </c>
      <c r="E13470" s="6" t="n">
        <f aca="false">Q!M41</f>
        <v>26.445</v>
      </c>
      <c r="F13470" s="6" t="n">
        <f aca="false">Sens!F13469*Sens!E13479</f>
        <v>28.59395</v>
      </c>
      <c r="G13470" s="6" t="n">
        <f aca="false">Sens!G13469*Sens!F13479</f>
        <v>31.0127728435781</v>
      </c>
      <c r="H13470" s="6" t="n">
        <f aca="false">Sens!H13469*Sens!G13479</f>
        <v>33.6231143857462</v>
      </c>
      <c r="I13470" s="6" t="n">
        <f aca="false">Sens!I13469*Sens!H13479</f>
        <v>36.3634018136785</v>
      </c>
      <c r="J13470" s="6" t="n">
        <f aca="false">Sens!J13469*Sens!I13479</f>
        <v>39.3403718441655</v>
      </c>
      <c r="K13470" s="6" t="n">
        <f aca="false">Sens!K13469*Sens!J13479</f>
        <v>42.5743558540769</v>
      </c>
      <c r="L13470" s="1" t="s">
        <v>1124</v>
      </c>
    </row>
    <row r="13471" customFormat="false" ht="15" hidden="false" customHeight="false" outlineLevel="0" collapsed="false">
      <c r="A13471" s="1" t="s">
        <v>1125</v>
      </c>
      <c r="B13471" s="0" t="s">
        <v>98</v>
      </c>
      <c r="E13471" s="6" t="n">
        <f aca="false">Sens!E13468-Sens!E13470</f>
        <v>37.441</v>
      </c>
      <c r="F13471" s="6" t="n">
        <f aca="false">Sens!F13468-Sens!F13470</f>
        <v>-10.1869121820664</v>
      </c>
      <c r="G13471" s="6" t="n">
        <f aca="false">Sens!G13468-Sens!G13470</f>
        <v>9.65644615770751</v>
      </c>
      <c r="H13471" s="6" t="n">
        <f aca="false">Sens!H13468-Sens!H13470</f>
        <v>59.4998129995253</v>
      </c>
      <c r="I13471" s="6" t="n">
        <f aca="false">Sens!I13468-Sens!I13470</f>
        <v>132.017389412782</v>
      </c>
      <c r="J13471" s="6" t="n">
        <f aca="false">Sens!J13468-Sens!J13470</f>
        <v>205.728624822788</v>
      </c>
      <c r="K13471" s="6" t="n">
        <f aca="false">Sens!K13468-Sens!K13470</f>
        <v>241.100843222391</v>
      </c>
    </row>
    <row r="13472" customFormat="false" ht="15" hidden="false" customHeight="false" outlineLevel="0" collapsed="false">
      <c r="A13472" s="1" t="s">
        <v>1126</v>
      </c>
      <c r="B13472" s="0" t="s">
        <v>98</v>
      </c>
      <c r="F13472" s="6" t="n">
        <f aca="false">debt_mat_27</f>
        <v>9.25</v>
      </c>
      <c r="G13472" s="6" t="n">
        <f aca="false">debt_mat_28</f>
        <v>0</v>
      </c>
      <c r="H13472" s="6" t="n">
        <f aca="false">debt_mat_29</f>
        <v>2.001</v>
      </c>
      <c r="I13472" s="6" t="n">
        <f aca="false">debt_mat_30</f>
        <v>0</v>
      </c>
      <c r="J13472" s="6" t="n">
        <f aca="false">debt_mat_31</f>
        <v>0.5</v>
      </c>
      <c r="K13472" s="6" t="n">
        <f aca="false">debt_mat_32</f>
        <v>0</v>
      </c>
    </row>
    <row r="13473" customFormat="false" ht="15" hidden="false" customHeight="false" outlineLevel="0" collapsed="false">
      <c r="A13473" s="1" t="s">
        <v>1127</v>
      </c>
      <c r="B13473" s="0" t="s">
        <v>98</v>
      </c>
      <c r="E13473" s="6" t="n">
        <f aca="false">Q!M40</f>
        <v>22.271</v>
      </c>
      <c r="F13473" s="6" t="n">
        <f aca="false">MAX(0,MIN(bb_target,Sens!E13475+Sens!F13471-Sens!F13472-min_cash))</f>
        <v>7.40608781793365</v>
      </c>
      <c r="G13473" s="6" t="n">
        <f aca="false">MAX(0,MIN(bb_target,Sens!F13475+Sens!G13471-Sens!G13472-min_cash))</f>
        <v>9.65644615770751</v>
      </c>
      <c r="H13473" s="6" t="n">
        <f aca="false">MAX(0,MIN(bb_target,Sens!G13475+Sens!H13471-Sens!H13472-min_cash))</f>
        <v>22.271</v>
      </c>
      <c r="I13473" s="6" t="n">
        <f aca="false">MAX(0,MIN(bb_target,Sens!H13475+Sens!I13471-Sens!I13472-min_cash))</f>
        <v>22.271</v>
      </c>
      <c r="J13473" s="6" t="n">
        <f aca="false">MAX(0,MIN(bb_target,Sens!I13475+Sens!J13471-Sens!J13472-min_cash))</f>
        <v>22.271</v>
      </c>
      <c r="K13473" s="6" t="n">
        <f aca="false">MAX(0,MIN(bb_target,Sens!J13475+Sens!K13471-Sens!K13472-min_cash))</f>
        <v>22.271</v>
      </c>
    </row>
    <row r="13474" customFormat="false" ht="15" hidden="false" customHeight="false" outlineLevel="0" collapsed="false">
      <c r="A13474" s="1" t="s">
        <v>1128</v>
      </c>
      <c r="B13474" s="0" t="s">
        <v>98</v>
      </c>
      <c r="F13474" s="6" t="n">
        <f aca="false">MAX(0,min_cash-(Sens!E13475+Sens!F13471-Sens!F13472-Sens!F13473))</f>
        <v>0</v>
      </c>
      <c r="G13474" s="6" t="n">
        <f aca="false">MAX(0,min_cash-(Sens!F13475+Sens!G13471-Sens!G13472-Sens!G13473))</f>
        <v>0</v>
      </c>
      <c r="H13474" s="6" t="n">
        <f aca="false">MAX(0,min_cash-(Sens!G13475+Sens!H13471-Sens!H13472-Sens!H13473))</f>
        <v>0</v>
      </c>
      <c r="I13474" s="6" t="n">
        <f aca="false">MAX(0,min_cash-(Sens!H13475+Sens!I13471-Sens!I13472-Sens!I13473))</f>
        <v>0</v>
      </c>
      <c r="J13474" s="6" t="n">
        <f aca="false">MAX(0,min_cash-(Sens!I13475+Sens!J13471-Sens!J13472-Sens!J13473))</f>
        <v>0</v>
      </c>
      <c r="K13474" s="6" t="n">
        <f aca="false">MAX(0,min_cash-(Sens!J13475+Sens!K13471-Sens!K13472-Sens!K13473))</f>
        <v>0</v>
      </c>
    </row>
    <row r="13475" customFormat="false" ht="15" hidden="false" customHeight="false" outlineLevel="0" collapsed="false">
      <c r="A13475" s="1" t="s">
        <v>1129</v>
      </c>
      <c r="B13475" s="0" t="s">
        <v>98</v>
      </c>
      <c r="E13475" s="6" t="n">
        <f aca="false">cash_open</f>
        <v>76.843</v>
      </c>
      <c r="F13475" s="6" t="n">
        <f aca="false">Sens!E13475+Sens!F13471-Sens!F13472-Sens!F13473+Sens!F13474</f>
        <v>50</v>
      </c>
      <c r="G13475" s="6" t="n">
        <f aca="false">Sens!F13475+Sens!G13471-Sens!G13472-Sens!G13473+Sens!G13474</f>
        <v>50</v>
      </c>
      <c r="H13475" s="6" t="n">
        <f aca="false">Sens!G13475+Sens!H13471-Sens!H13472-Sens!H13473+Sens!H13474</f>
        <v>85.2278129995253</v>
      </c>
      <c r="I13475" s="6" t="n">
        <f aca="false">Sens!H13475+Sens!I13471-Sens!I13472-Sens!I13473+Sens!I13474</f>
        <v>194.974202412307</v>
      </c>
      <c r="J13475" s="6" t="n">
        <f aca="false">Sens!I13475+Sens!J13471-Sens!J13472-Sens!J13473+Sens!J13474</f>
        <v>377.931827235095</v>
      </c>
      <c r="K13475" s="6" t="n">
        <f aca="false">Sens!J13475+Sens!K13471-Sens!K13472-Sens!K13473+Sens!K13474</f>
        <v>596.761670457487</v>
      </c>
    </row>
    <row r="13476" customFormat="false" ht="15" hidden="false" customHeight="false" outlineLevel="0" collapsed="false">
      <c r="A13476" s="1" t="s">
        <v>1130</v>
      </c>
      <c r="B13476" s="0" t="s">
        <v>98</v>
      </c>
      <c r="E13476" s="6" t="n">
        <f aca="false">debt_face</f>
        <v>46.136</v>
      </c>
      <c r="F13476" s="6" t="n">
        <f aca="false">Sens!E13476-Sens!F13472+Sens!F13474</f>
        <v>36.886</v>
      </c>
      <c r="G13476" s="6" t="n">
        <f aca="false">Sens!F13476-Sens!G13472+Sens!G13474</f>
        <v>36.886</v>
      </c>
      <c r="H13476" s="6" t="n">
        <f aca="false">Sens!G13476-Sens!H13472+Sens!H13474</f>
        <v>34.885</v>
      </c>
      <c r="I13476" s="6" t="n">
        <f aca="false">Sens!H13476-Sens!I13472+Sens!I13474</f>
        <v>34.885</v>
      </c>
      <c r="J13476" s="6" t="n">
        <f aca="false">Sens!I13476-Sens!J13472+Sens!J13474</f>
        <v>34.385</v>
      </c>
      <c r="K13476" s="6" t="n">
        <f aca="false">Sens!J13476-Sens!K13472+Sens!K13474</f>
        <v>34.385</v>
      </c>
    </row>
    <row r="13477" customFormat="false" ht="15" hidden="false" customHeight="false" outlineLevel="0" collapsed="false">
      <c r="A13477" s="1" t="s">
        <v>1131</v>
      </c>
      <c r="B13477" s="0" t="s">
        <v>98</v>
      </c>
      <c r="E13477" s="6" t="n">
        <f aca="false">Sens!E13475-Sens!E13476</f>
        <v>30.707</v>
      </c>
      <c r="F13477" s="6" t="n">
        <f aca="false">Sens!F13475-Sens!F13476</f>
        <v>13.114</v>
      </c>
      <c r="G13477" s="6" t="n">
        <f aca="false">Sens!G13475-Sens!G13476</f>
        <v>13.114</v>
      </c>
      <c r="H13477" s="6" t="n">
        <f aca="false">Sens!H13475-Sens!H13476</f>
        <v>50.3428129995253</v>
      </c>
      <c r="I13477" s="6" t="n">
        <f aca="false">Sens!I13475-Sens!I13476</f>
        <v>160.089202412307</v>
      </c>
      <c r="J13477" s="6" t="n">
        <f aca="false">Sens!J13475-Sens!J13476</f>
        <v>343.546827235095</v>
      </c>
      <c r="K13477" s="6" t="n">
        <f aca="false">Sens!K13475-Sens!K13476</f>
        <v>562.376670457487</v>
      </c>
    </row>
    <row r="13478" customFormat="false" ht="15" hidden="false" customHeight="false" outlineLevel="0" collapsed="false">
      <c r="A13478" s="1" t="s">
        <v>1132</v>
      </c>
      <c r="B13478" s="0" t="s">
        <v>75</v>
      </c>
      <c r="F13478" s="30" t="n">
        <f aca="false">px*(1+bb_g)^(Sens!F13336-base_fy-mid_yr)</f>
        <v>551.84177959629</v>
      </c>
      <c r="G13478" s="30" t="n">
        <f aca="false">px*(1+bb_g)^(Sens!G13336-base_fy-mid_yr)</f>
        <v>595.989121963993</v>
      </c>
      <c r="H13478" s="30" t="n">
        <f aca="false">px*(1+bb_g)^(Sens!H13336-base_fy-mid_yr)</f>
        <v>643.668251721112</v>
      </c>
      <c r="I13478" s="30" t="n">
        <f aca="false">px*(1+bb_g)^(Sens!I13336-base_fy-mid_yr)</f>
        <v>695.161711858801</v>
      </c>
      <c r="J13478" s="30" t="n">
        <f aca="false">px*(1+bb_g)^(Sens!J13336-base_fy-mid_yr)</f>
        <v>750.774648807506</v>
      </c>
      <c r="K13478" s="30" t="n">
        <f aca="false">px*(1+bb_g)^(Sens!K13336-base_fy-mid_yr)</f>
        <v>810.836620712106</v>
      </c>
    </row>
    <row r="13479" customFormat="false" ht="15" hidden="false" customHeight="false" outlineLevel="0" collapsed="false">
      <c r="A13479" s="1" t="s">
        <v>1133</v>
      </c>
      <c r="B13479" s="1" t="s">
        <v>81</v>
      </c>
      <c r="E13479" s="15" t="n">
        <f aca="false">sh_out26</f>
        <v>7.427</v>
      </c>
      <c r="F13479" s="15" t="n">
        <f aca="false">Sens!E13479+sh_iss-Sens!F13473/Sens!F13478</f>
        <v>7.45857932745985</v>
      </c>
      <c r="G13479" s="15" t="n">
        <f aca="false">Sens!F13479+sh_iss-Sens!G13473/Sens!G13478</f>
        <v>7.4873769408695</v>
      </c>
      <c r="H13479" s="15" t="n">
        <f aca="false">Sens!G13479+sh_iss-Sens!H13473/Sens!H13478</f>
        <v>7.4977768189271</v>
      </c>
      <c r="I13479" s="15" t="n">
        <f aca="false">Sens!H13479+sh_iss-Sens!I13473/Sens!I13478</f>
        <v>7.51073966898044</v>
      </c>
      <c r="J13479" s="15" t="n">
        <f aca="false">Sens!I13479+sh_iss-Sens!J13473/Sens!J13478</f>
        <v>7.52607564125204</v>
      </c>
      <c r="K13479" s="15" t="n">
        <f aca="false">Sens!J13479+sh_iss-Sens!K13473/Sens!K13478</f>
        <v>7.54360894891094</v>
      </c>
    </row>
    <row r="13480" customFormat="false" ht="15" hidden="false" customHeight="false" outlineLevel="0" collapsed="false">
      <c r="A13480" s="1" t="s">
        <v>1134</v>
      </c>
      <c r="B13480" s="1" t="s">
        <v>81</v>
      </c>
      <c r="E13480" s="15" t="n">
        <f aca="false">sh_dil26</f>
        <v>7.453</v>
      </c>
      <c r="F13480" s="15" t="n">
        <f aca="false">(Sens!E13479+Sens!F13479)/2+dil_gap</f>
        <v>7.46678966372993</v>
      </c>
      <c r="G13480" s="15" t="n">
        <f aca="false">(Sens!F13479+Sens!G13479)/2+dil_gap</f>
        <v>7.49697813416467</v>
      </c>
      <c r="H13480" s="15" t="n">
        <f aca="false">(Sens!G13479+Sens!H13479)/2+dil_gap</f>
        <v>7.5165768798983</v>
      </c>
      <c r="I13480" s="15" t="n">
        <f aca="false">(Sens!H13479+Sens!I13479)/2+dil_gap</f>
        <v>7.52825824395377</v>
      </c>
      <c r="J13480" s="15" t="n">
        <f aca="false">(Sens!I13479+Sens!J13479)/2+dil_gap</f>
        <v>7.54240765511624</v>
      </c>
      <c r="K13480" s="15" t="n">
        <f aca="false">(Sens!J13479+Sens!K13479)/2+dil_gap</f>
        <v>7.55884229508149</v>
      </c>
    </row>
    <row r="13481" customFormat="false" ht="17.15" hidden="false" customHeight="false" outlineLevel="0" collapsed="false">
      <c r="A13481" s="1" t="s">
        <v>1135</v>
      </c>
      <c r="B13481" s="0" t="s">
        <v>98</v>
      </c>
      <c r="C13481" s="6" t="n">
        <f aca="false">SUM(Sens!F13471:J13471)</f>
        <v>396.715361210737</v>
      </c>
    </row>
    <row r="13482" customFormat="false" ht="15" hidden="false" customHeight="false" outlineLevel="0" collapsed="false">
      <c r="A13482" s="26" t="s">
        <v>1100</v>
      </c>
      <c r="B13482" s="31" t="s">
        <v>98</v>
      </c>
      <c r="C13482" s="27" t="n">
        <f aca="false">Sens!$C$13481-(Sens!F13471+Sens!G13471+Sens!H13471+Sens!I13471+Sens!J13471)</f>
        <v>0</v>
      </c>
      <c r="D13482" s="31"/>
      <c r="E13482" s="31"/>
      <c r="F13482" s="31"/>
      <c r="G13482" s="31"/>
      <c r="H13482" s="31"/>
      <c r="I13482" s="31"/>
      <c r="J13482" s="31"/>
      <c r="K13482" s="31"/>
    </row>
    <row r="13483" customFormat="false" ht="17.15" hidden="false" customHeight="false" outlineLevel="0" collapsed="false">
      <c r="A13483" s="1" t="s">
        <v>1094</v>
      </c>
      <c r="B13483" s="1" t="s">
        <v>1136</v>
      </c>
      <c r="C13483" s="33" t="str">
        <f aca="false">IF(SUM(Sens!F13474:J13474)&gt;0.05,"需要舉債 "&amp;TEXT(SUM(Sens!F13474:J13474),"0.0")&amp;" 十億美元","不需舉債")&amp;"；"&amp;IF(SUM(Sens!F13473:J13473)&lt;COUNT(Sens!F13473:J13473)*bb_target-0.05,"回購較每年 "&amp;TEXT(bb_target,"0.0")&amp;" 的目標少 "&amp;TEXT(COUNT(Sens!F13473:J13473)*bb_target-SUM(Sens!F13473:J13473),"0.0")&amp;" 十億美元（"&amp;TEXT(COUNTIF(Sens!F13473:J13473,"&lt;"&amp;(bb_target-0.05)),"0")&amp;" 年減少）","回購不減")</f>
        <v>不需舉債；回購較每年 22.3 的目標少 27.5 十億美元（2 年減少）</v>
      </c>
    </row>
    <row r="13484" customFormat="false" ht="17.15" hidden="false" customHeight="false" outlineLevel="0" collapsed="false">
      <c r="A13484" s="3" t="s">
        <v>1949</v>
      </c>
    </row>
    <row r="13485" customFormat="false" ht="15" hidden="false" customHeight="false" outlineLevel="0" collapsed="false">
      <c r="A13485" s="4" t="s">
        <v>43</v>
      </c>
      <c r="B13485" s="4" t="s">
        <v>65</v>
      </c>
      <c r="C13485" s="23" t="s">
        <v>942</v>
      </c>
      <c r="D13485" s="23" t="s">
        <v>943</v>
      </c>
      <c r="E13485" s="23" t="s">
        <v>944</v>
      </c>
      <c r="F13485" s="23" t="s">
        <v>945</v>
      </c>
      <c r="G13485" s="23" t="s">
        <v>946</v>
      </c>
      <c r="H13485" s="23" t="s">
        <v>947</v>
      </c>
      <c r="I13485" s="23" t="s">
        <v>948</v>
      </c>
      <c r="J13485" s="23" t="s">
        <v>949</v>
      </c>
      <c r="K13485" s="23" t="s">
        <v>950</v>
      </c>
      <c r="L13485" s="4" t="s">
        <v>47</v>
      </c>
    </row>
    <row r="13486" customFormat="false" ht="17.15" hidden="false" customHeight="false" outlineLevel="0" collapsed="false">
      <c r="A13486" s="1" t="s">
        <v>1216</v>
      </c>
      <c r="B13486" s="1" t="s">
        <v>279</v>
      </c>
      <c r="F13486" s="8" t="n">
        <f aca="false">(1-v_off)*mid_yr</f>
        <v>0.373972602739726</v>
      </c>
      <c r="G13486" s="8" t="n">
        <f aca="false">Sens!G13336-base_fy-mid_yr-v_off</f>
        <v>1.24794520547945</v>
      </c>
      <c r="H13486" s="8" t="n">
        <f aca="false">Sens!H13336-base_fy-mid_yr-v_off</f>
        <v>2.24794520547945</v>
      </c>
      <c r="I13486" s="8" t="n">
        <f aca="false">Sens!I13336-base_fy-mid_yr-v_off</f>
        <v>3.24794520547945</v>
      </c>
      <c r="J13486" s="8" t="n">
        <f aca="false">Sens!J13336-base_fy-mid_yr-v_off</f>
        <v>4.24794520547945</v>
      </c>
      <c r="K13486" s="8" t="n">
        <f aca="false">Sens!K13336-base_fy-mid_yr-v_off</f>
        <v>5.24794520547945</v>
      </c>
      <c r="L13486" s="12" t="s">
        <v>1217</v>
      </c>
    </row>
    <row r="13487" customFormat="false" ht="15" hidden="false" customHeight="false" outlineLevel="0" collapsed="false">
      <c r="A13487" s="1" t="s">
        <v>1218</v>
      </c>
      <c r="B13487" s="1" t="s">
        <v>279</v>
      </c>
      <c r="F13487" s="8" t="n">
        <f aca="false">Sens!F13336-base_fy-v_off</f>
        <v>0.747945205479452</v>
      </c>
      <c r="G13487" s="8" t="n">
        <f aca="false">Sens!G13336-base_fy-v_off</f>
        <v>1.74794520547945</v>
      </c>
      <c r="H13487" s="8" t="n">
        <f aca="false">Sens!H13336-base_fy-v_off</f>
        <v>2.74794520547945</v>
      </c>
      <c r="I13487" s="8" t="n">
        <f aca="false">Sens!I13336-base_fy-v_off</f>
        <v>3.74794520547945</v>
      </c>
      <c r="J13487" s="8" t="n">
        <f aca="false">Sens!J13336-base_fy-v_off</f>
        <v>4.74794520547945</v>
      </c>
      <c r="K13487" s="8" t="n">
        <f aca="false">Sens!K13336-base_fy-v_off</f>
        <v>5.74794520547945</v>
      </c>
    </row>
    <row r="13488" customFormat="false" ht="15" hidden="false" customHeight="false" outlineLevel="0" collapsed="false">
      <c r="A13488" s="1" t="s">
        <v>1219</v>
      </c>
      <c r="B13488" s="0" t="s">
        <v>229</v>
      </c>
      <c r="F13488" s="15" t="n">
        <f aca="false">1/(1+wacc)^Sens!F13486</f>
        <v>0.964022703286649</v>
      </c>
      <c r="G13488" s="15" t="n">
        <f aca="false">1/(1+wacc)^Sens!G13486</f>
        <v>0.884910302296739</v>
      </c>
      <c r="H13488" s="15" t="n">
        <f aca="false">1/(1+wacc)^Sens!H13486</f>
        <v>0.802322009770358</v>
      </c>
      <c r="I13488" s="15" t="n">
        <f aca="false">1/(1+wacc)^Sens!I13486</f>
        <v>0.727441646561469</v>
      </c>
      <c r="J13488" s="15" t="n">
        <f aca="false">1/(1+wacc)^Sens!J13486</f>
        <v>0.659549834988973</v>
      </c>
      <c r="K13488" s="15" t="n">
        <f aca="false">1/(1+wacc)^Sens!K13486</f>
        <v>0.597994336576966</v>
      </c>
    </row>
    <row r="13489" customFormat="false" ht="17.15" hidden="false" customHeight="false" outlineLevel="0" collapsed="false">
      <c r="A13489" s="1" t="s">
        <v>1220</v>
      </c>
      <c r="B13489" s="0" t="s">
        <v>98</v>
      </c>
      <c r="F13489" s="6" t="n">
        <f aca="false">Q!$I$35-Q!$I$39-Q!$I$43</f>
        <v>9.666</v>
      </c>
      <c r="L13489" s="12" t="s">
        <v>1221</v>
      </c>
    </row>
    <row r="13490" customFormat="false" ht="17.15" hidden="false" customHeight="false" outlineLevel="0" collapsed="false">
      <c r="A13490" s="1" t="s">
        <v>1222</v>
      </c>
      <c r="B13490" s="0" t="s">
        <v>98</v>
      </c>
      <c r="F13490" s="6" t="n">
        <f aca="false">Sens!F13461-Sens!F13458-Sens!F13465+Sens!F13443*(1-tax_f)*(1-v_off)-Sens!F13489</f>
        <v>3.01395093535513</v>
      </c>
      <c r="G13490" s="6" t="n">
        <f aca="false">Sens!G13461-Sens!G13458-Sens!G13465+Sens!G13443*(1-tax_f)</f>
        <v>44.656757901601</v>
      </c>
      <c r="H13490" s="6" t="n">
        <f aca="false">Sens!H13461-Sens!H13458-Sens!H13465+Sens!H13443*(1-tax_f)</f>
        <v>105.208396538767</v>
      </c>
      <c r="I13490" s="6" t="n">
        <f aca="false">Sens!I13461-Sens!I13458-Sens!I13465+Sens!I13443*(1-tax_f)</f>
        <v>188.712046807254</v>
      </c>
      <c r="J13490" s="6" t="n">
        <f aca="false">Sens!J13461-Sens!J13458-Sens!J13465+Sens!J13443*(1-tax_f)</f>
        <v>270.978541984996</v>
      </c>
      <c r="K13490" s="6" t="n">
        <f aca="false">Sens!K13461-Sens!K13458-Sens!K13465+Sens!K13443*(1-tax_f)</f>
        <v>311.776732639612</v>
      </c>
      <c r="L13490" s="1" t="s">
        <v>1223</v>
      </c>
    </row>
    <row r="13491" customFormat="false" ht="15" hidden="false" customHeight="false" outlineLevel="0" collapsed="false">
      <c r="A13491" s="1" t="s">
        <v>1224</v>
      </c>
      <c r="B13491" s="0" t="s">
        <v>98</v>
      </c>
      <c r="F13491" s="6" t="n">
        <f aca="false">Sens!F13490*Sens!F13488</f>
        <v>2.90551712827438</v>
      </c>
      <c r="G13491" s="6" t="n">
        <f aca="false">Sens!G13490*Sens!G13488</f>
        <v>39.517225134298</v>
      </c>
      <c r="H13491" s="6" t="n">
        <f aca="false">Sens!H13490*Sens!H13488</f>
        <v>84.4110121557005</v>
      </c>
      <c r="I13491" s="6" t="n">
        <f aca="false">Sens!I13490*Sens!I13488</f>
        <v>137.277002055454</v>
      </c>
      <c r="J13491" s="6" t="n">
        <f aca="false">Sens!J13490*Sens!J13488</f>
        <v>178.723852651757</v>
      </c>
      <c r="K13491" s="6" t="n">
        <f aca="false">Sens!K13490*Sens!K13488</f>
        <v>186.440720394958</v>
      </c>
    </row>
    <row r="13492" customFormat="false" ht="17.15" hidden="false" customHeight="false" outlineLevel="0" collapsed="false">
      <c r="A13492" s="1" t="s">
        <v>1225</v>
      </c>
      <c r="B13492" s="0" t="s">
        <v>98</v>
      </c>
      <c r="C13492" s="6" t="n">
        <f aca="false">SUM(Sens!F13491:K13491)</f>
        <v>629.275329520441</v>
      </c>
    </row>
    <row r="13493" customFormat="false" ht="17.15" hidden="false" customHeight="false" outlineLevel="0" collapsed="false">
      <c r="A13493" s="1" t="s">
        <v>1226</v>
      </c>
      <c r="B13493" s="0" t="s">
        <v>98</v>
      </c>
      <c r="C13493" s="6" t="n">
        <f aca="false">Sens!K13429*(1+g_tv)*(1-tax_f)</f>
        <v>324.862512977419</v>
      </c>
    </row>
    <row r="13494" customFormat="false" ht="17.15" hidden="false" customHeight="false" outlineLevel="0" collapsed="false">
      <c r="A13494" s="1" t="s">
        <v>1227</v>
      </c>
      <c r="B13494" s="0" t="s">
        <v>98</v>
      </c>
      <c r="C13494" s="6" t="n">
        <f aca="false">Sens!$C$13493*(1-g_tv/(wacc+ronic_prem))</f>
        <v>230.184077449344</v>
      </c>
    </row>
    <row r="13495" customFormat="false" ht="17.15" hidden="false" customHeight="false" outlineLevel="0" collapsed="false">
      <c r="A13495" s="1" t="s">
        <v>1228</v>
      </c>
      <c r="B13495" s="0" t="s">
        <v>98</v>
      </c>
      <c r="C13495" s="6" t="n">
        <f aca="false">Sens!$C$13494/(wacc-g_tv)</f>
        <v>3155.94785093584</v>
      </c>
    </row>
    <row r="13496" customFormat="false" ht="15" hidden="false" customHeight="false" outlineLevel="0" collapsed="false">
      <c r="A13496" s="1" t="s">
        <v>1229</v>
      </c>
      <c r="B13496" s="0" t="s">
        <v>98</v>
      </c>
      <c r="C13496" s="6" t="n">
        <f aca="false">Sens!$C$13495/(1+wacc)^Sens!K13487</f>
        <v>1797.01464592095</v>
      </c>
    </row>
    <row r="13497" customFormat="false" ht="17.15" hidden="false" customHeight="false" outlineLevel="0" collapsed="false">
      <c r="A13497" s="0" t="s">
        <v>1230</v>
      </c>
      <c r="B13497" s="0" t="s">
        <v>98</v>
      </c>
      <c r="C13497" s="6" t="n">
        <f aca="false">Sens!$C$13492+Sens!$C$13496</f>
        <v>2426.28997544139</v>
      </c>
    </row>
    <row r="13498" customFormat="false" ht="15" hidden="false" customHeight="false" outlineLevel="0" collapsed="false">
      <c r="A13498" s="1" t="s">
        <v>1145</v>
      </c>
      <c r="B13498" s="0" t="s">
        <v>168</v>
      </c>
      <c r="C13498" s="7" t="n">
        <f aca="false">Sens!$C$13496/Sens!$C$13497</f>
        <v>0.740642983365596</v>
      </c>
    </row>
    <row r="13499" customFormat="false" ht="17.15" hidden="false" customHeight="false" outlineLevel="0" collapsed="false">
      <c r="A13499" s="1" t="s">
        <v>1231</v>
      </c>
      <c r="B13499" s="0" t="s">
        <v>98</v>
      </c>
      <c r="C13499" s="6" t="n">
        <f aca="false">Sens!$C$13497+cash_val-debt_val-fl_val+oai_v</f>
        <v>2542.14097544139</v>
      </c>
    </row>
    <row r="13500" customFormat="false" ht="17.15" hidden="false" customHeight="false" outlineLevel="0" collapsed="false">
      <c r="A13500" s="0" t="s">
        <v>1153</v>
      </c>
      <c r="B13500" s="0" t="s">
        <v>75</v>
      </c>
      <c r="C13500" s="5" t="n">
        <f aca="false">Sens!$C$13499/shd_val</f>
        <v>341.410284104404</v>
      </c>
    </row>
    <row r="13501" customFormat="false" ht="15" hidden="false" customHeight="false" outlineLevel="0" collapsed="false">
      <c r="A13501" s="1" t="s">
        <v>1232</v>
      </c>
      <c r="B13501" s="0" t="s">
        <v>75</v>
      </c>
      <c r="C13501" s="8" t="n">
        <f aca="false">div_rem27+Sens!G13469*roll_div_q/q_per_yr</f>
        <v>3.9795</v>
      </c>
    </row>
    <row r="13502" customFormat="false" ht="17.15" hidden="false" customHeight="false" outlineLevel="0" collapsed="false">
      <c r="A13502" s="0" t="s">
        <v>1233</v>
      </c>
      <c r="B13502" s="0" t="s">
        <v>75</v>
      </c>
      <c r="C13502" s="5" t="n">
        <f aca="false">Sens!$C$13500*(1+wacc)^t_roll-Sens!$C$13501</f>
        <v>375.517085143948</v>
      </c>
    </row>
    <row r="13503" customFormat="false" ht="17.15" hidden="false" customHeight="false" outlineLevel="0" collapsed="false">
      <c r="A13503" s="1" t="s">
        <v>1234</v>
      </c>
      <c r="B13503" s="0" t="s">
        <v>168</v>
      </c>
      <c r="F13503" s="7" t="n">
        <f aca="false">Sens!F13455/(Sens!F13400-Sens!F13355)</f>
        <v>0.0685527305696859</v>
      </c>
      <c r="G13503" s="7" t="n">
        <f aca="false">Sens!G13455/(Sens!G13400-Sens!G13355)</f>
        <v>0.0653567731599844</v>
      </c>
      <c r="H13503" s="7" t="n">
        <f aca="false">Sens!H13455/(Sens!H13400-Sens!H13355)</f>
        <v>0.0636628841026972</v>
      </c>
      <c r="I13503" s="7" t="n">
        <f aca="false">Sens!I13455/(Sens!I13400-Sens!I13355)</f>
        <v>0.0633581084335176</v>
      </c>
      <c r="J13503" s="7" t="n">
        <f aca="false">Sens!J13455/(Sens!J13400-Sens!J13355)</f>
        <v>0.0640873955995062</v>
      </c>
      <c r="K13503" s="7" t="n">
        <f aca="false">Sens!K13455/(Sens!K13400-Sens!K13355)</f>
        <v>0.0653962234835198</v>
      </c>
    </row>
    <row r="13504" customFormat="false" ht="17.15" hidden="false" customHeight="false" outlineLevel="0" collapsed="false">
      <c r="A13504" s="0" t="s">
        <v>1235</v>
      </c>
      <c r="B13504" s="0" t="s">
        <v>98</v>
      </c>
      <c r="F13504" s="6" t="n">
        <f aca="false">Sens!F13385*(al_m365+Sens!F13503+sbc_r)</f>
        <v>84.5213906545575</v>
      </c>
      <c r="G13504" s="6" t="n">
        <f aca="false">Sens!G13385*(al_m365+Sens!G13503+sbc_r)</f>
        <v>98.949983331796</v>
      </c>
      <c r="H13504" s="6" t="n">
        <f aca="false">Sens!H13385*(al_m365+Sens!H13503+sbc_r)</f>
        <v>113.543734275326</v>
      </c>
      <c r="I13504" s="6" t="n">
        <f aca="false">Sens!I13385*(al_m365+Sens!I13503+sbc_r)</f>
        <v>126.62058838692</v>
      </c>
      <c r="J13504" s="6" t="n">
        <f aca="false">Sens!J13385*(al_m365+Sens!J13503+sbc_r)</f>
        <v>137.994660156303</v>
      </c>
      <c r="K13504" s="6" t="n">
        <f aca="false">Sens!K13385*(al_m365+Sens!K13503+sbc_r)</f>
        <v>148.989224092997</v>
      </c>
      <c r="L13504" s="12" t="s">
        <v>1236</v>
      </c>
    </row>
    <row r="13505" customFormat="false" ht="17.15" hidden="false" customHeight="false" outlineLevel="0" collapsed="false">
      <c r="A13505" s="0" t="s">
        <v>1237</v>
      </c>
      <c r="B13505" s="0" t="s">
        <v>98</v>
      </c>
      <c r="F13505" s="6" t="n">
        <f aca="false">Sens!F13386*(al_lic+Sens!F13503+sbc_r)</f>
        <v>32.855200196554</v>
      </c>
      <c r="G13505" s="6" t="n">
        <f aca="false">Sens!G13386*(al_lic+Sens!G13503+sbc_r)</f>
        <v>34.1185582613282</v>
      </c>
      <c r="H13505" s="6" t="n">
        <f aca="false">Sens!H13386*(al_lic+Sens!H13503+sbc_r)</f>
        <v>35.3024309363621</v>
      </c>
      <c r="I13505" s="6" t="n">
        <f aca="false">Sens!I13386*(al_lic+Sens!I13503+sbc_r)</f>
        <v>36.3898468129533</v>
      </c>
      <c r="J13505" s="6" t="n">
        <f aca="false">Sens!J13386*(al_lic+Sens!J13503+sbc_r)</f>
        <v>37.3529129529876</v>
      </c>
      <c r="K13505" s="6" t="n">
        <f aca="false">Sens!K13386*(al_lic+Sens!K13503+sbc_r)</f>
        <v>38.158536171203</v>
      </c>
    </row>
    <row r="13506" customFormat="false" ht="17.15" hidden="false" customHeight="false" outlineLevel="0" collapsed="false">
      <c r="A13506" s="0" t="s">
        <v>1238</v>
      </c>
      <c r="B13506" s="0" t="s">
        <v>98</v>
      </c>
      <c r="F13506" s="6" t="n">
        <f aca="false">Sens!F13388*(al_ind+Sens!F13503+sbc_r)</f>
        <v>9.05892547956683</v>
      </c>
      <c r="G13506" s="6" t="n">
        <f aca="false">Sens!G13388*(al_ind+Sens!G13503+sbc_r)</f>
        <v>9.82456487622418</v>
      </c>
      <c r="H13506" s="6" t="n">
        <f aca="false">Sens!H13388*(al_ind+Sens!H13503+sbc_r)</f>
        <v>10.6377408477959</v>
      </c>
      <c r="I13506" s="6" t="n">
        <f aca="false">Sens!I13388*(al_ind+Sens!I13503+sbc_r)</f>
        <v>11.4966323260293</v>
      </c>
      <c r="J13506" s="6" t="n">
        <f aca="false">Sens!J13388*(al_ind+Sens!J13503+sbc_r)</f>
        <v>12.3903660286279</v>
      </c>
      <c r="K13506" s="6" t="n">
        <f aca="false">Sens!K13388*(al_ind+Sens!K13503+sbc_r)</f>
        <v>13.3009129057681</v>
      </c>
    </row>
    <row r="13507" customFormat="false" ht="17.15" hidden="false" customHeight="false" outlineLevel="0" collapsed="false">
      <c r="A13507" s="0" t="s">
        <v>1239</v>
      </c>
      <c r="B13507" s="0" t="s">
        <v>98</v>
      </c>
      <c r="F13507" s="6" t="n">
        <f aca="false">Sens!F13390*(al_fro+Sens!F13503+sbc_r)</f>
        <v>3.55344443532423</v>
      </c>
      <c r="G13507" s="6" t="n">
        <f aca="false">Sens!G13390*(al_fro+Sens!G13503+sbc_r)</f>
        <v>3.75916645971565</v>
      </c>
      <c r="H13507" s="6" t="n">
        <f aca="false">Sens!H13390*(al_fro+Sens!H13503+sbc_r)</f>
        <v>3.994970960527</v>
      </c>
      <c r="I13507" s="6" t="n">
        <f aca="false">Sens!I13390*(al_fro+Sens!I13503+sbc_r)</f>
        <v>4.26396270432353</v>
      </c>
      <c r="J13507" s="6" t="n">
        <f aca="false">Sens!J13390*(al_fro+Sens!J13503+sbc_r)</f>
        <v>4.5667795874336</v>
      </c>
      <c r="K13507" s="6" t="n">
        <f aca="false">Sens!K13390*(al_fro+Sens!K13503+sbc_r)</f>
        <v>4.90238443416026</v>
      </c>
    </row>
    <row r="13508" customFormat="false" ht="17.15" hidden="false" customHeight="false" outlineLevel="0" collapsed="false">
      <c r="A13508" s="0" t="s">
        <v>1240</v>
      </c>
      <c r="B13508" s="0" t="s">
        <v>98</v>
      </c>
      <c r="F13508" s="6" t="n">
        <f aca="false">Sens!F13393*(al_srch+Sens!F13503+sbc_r)</f>
        <v>11.1872483445711</v>
      </c>
      <c r="G13508" s="6" t="n">
        <f aca="false">Sens!G13393*(al_srch+Sens!G13503+sbc_r)</f>
        <v>12.247246048296</v>
      </c>
      <c r="H13508" s="6" t="n">
        <f aca="false">Sens!H13393*(al_srch+Sens!H13503+sbc_r)</f>
        <v>13.3552870946193</v>
      </c>
      <c r="I13508" s="6" t="n">
        <f aca="false">Sens!I13393*(al_srch+Sens!I13503+sbc_r)</f>
        <v>14.5024145321619</v>
      </c>
      <c r="J13508" s="6" t="n">
        <f aca="false">Sens!J13393*(al_srch+Sens!J13503+sbc_r)</f>
        <v>15.667276660652</v>
      </c>
      <c r="K13508" s="6" t="n">
        <f aca="false">Sens!K13393*(al_srch+Sens!K13503+sbc_r)</f>
        <v>16.8186381138719</v>
      </c>
    </row>
    <row r="13509" customFormat="false" ht="17.15" hidden="false" customHeight="false" outlineLevel="0" collapsed="false">
      <c r="A13509" s="0" t="s">
        <v>1241</v>
      </c>
      <c r="B13509" s="0" t="s">
        <v>98</v>
      </c>
      <c r="F13509" s="6" t="n">
        <f aca="false">Sens!F13361-Sens!F13362+Sens!F13443</f>
        <v>45.2132580567763</v>
      </c>
      <c r="G13509" s="6" t="n">
        <f aca="false">Sens!G13361-Sens!G13362+Sens!G13443</f>
        <v>90.7413367558165</v>
      </c>
      <c r="H13509" s="6" t="n">
        <f aca="false">Sens!H13361-Sens!H13362+Sens!H13443</f>
        <v>144.092532464853</v>
      </c>
      <c r="I13509" s="6" t="n">
        <f aca="false">Sens!I13361-Sens!I13362+Sens!I13443</f>
        <v>186.477304561304</v>
      </c>
      <c r="J13509" s="6" t="n">
        <f aca="false">Sens!J13361-Sens!J13362+Sens!J13443</f>
        <v>216.256854425907</v>
      </c>
      <c r="K13509" s="6" t="n">
        <f aca="false">Sens!K13361-Sens!K13362+Sens!K13443</f>
        <v>234.093637903877</v>
      </c>
    </row>
    <row r="13510" customFormat="false" ht="17.15" hidden="false" customHeight="false" outlineLevel="0" collapsed="false">
      <c r="A13510" s="0" t="s">
        <v>1242</v>
      </c>
      <c r="B13510" s="0" t="s">
        <v>98</v>
      </c>
      <c r="F13510" s="6" t="n">
        <f aca="false">Sens!F13422+Sens!F13443+Sens!F13373+Sens!F13503*(Sens!F13392-Sens!F13355)+sbc_r*Sens!F13392</f>
        <v>244.978650376526</v>
      </c>
      <c r="G13510" s="6" t="n">
        <f aca="false">Sens!G13422+Sens!G13443+Sens!G13373+Sens!G13503*(Sens!G13392-Sens!G13355)+sbc_r*Sens!G13392</f>
        <v>318.013915335899</v>
      </c>
      <c r="H13510" s="6" t="n">
        <f aca="false">Sens!H13422+Sens!H13443+Sens!H13373+Sens!H13503*(Sens!H13392-Sens!H13355)+sbc_r*Sens!H13392</f>
        <v>402.25652756343</v>
      </c>
      <c r="I13510" s="6" t="n">
        <f aca="false">Sens!I13422+Sens!I13443+Sens!I13373+Sens!I13503*(Sens!I13392-Sens!I13355)+sbc_r*Sens!I13392</f>
        <v>473.378171000709</v>
      </c>
      <c r="J13510" s="6" t="n">
        <f aca="false">Sens!J13422+Sens!J13443+Sens!J13373+Sens!J13503*(Sens!J13392-Sens!J13355)+sbc_r*Sens!J13392</f>
        <v>528.827807638567</v>
      </c>
      <c r="K13510" s="6" t="n">
        <f aca="false">Sens!K13422+Sens!K13443+Sens!K13373+Sens!K13503*(Sens!K13392-Sens!K13355)+sbc_r*Sens!K13392</f>
        <v>569.831008763046</v>
      </c>
    </row>
    <row r="13511" customFormat="false" ht="17.15" hidden="false" customHeight="false" outlineLevel="0" collapsed="false">
      <c r="A13511" s="0" t="s">
        <v>1243</v>
      </c>
      <c r="B13511" s="0" t="s">
        <v>98</v>
      </c>
      <c r="F13511" s="6" t="n">
        <f aca="false">Sens!F13510-Sens!F13504-Sens!F13505-Sens!F13506-Sens!F13507-Sens!F13509</f>
        <v>69.7764315537474</v>
      </c>
      <c r="G13511" s="6" t="n">
        <f aca="false">Sens!G13510-Sens!G13504-Sens!G13505-Sens!G13506-Sens!G13507-Sens!G13509</f>
        <v>80.6203056510182</v>
      </c>
      <c r="H13511" s="6" t="n">
        <f aca="false">Sens!H13510-Sens!H13504-Sens!H13505-Sens!H13506-Sens!H13507-Sens!H13509</f>
        <v>94.6851180785663</v>
      </c>
      <c r="I13511" s="6" t="n">
        <f aca="false">Sens!I13510-Sens!I13504-Sens!I13505-Sens!I13506-Sens!I13507-Sens!I13509</f>
        <v>108.129836209178</v>
      </c>
      <c r="J13511" s="6" t="n">
        <f aca="false">Sens!J13510-Sens!J13504-Sens!J13505-Sens!J13506-Sens!J13507-Sens!J13509</f>
        <v>120.266234487308</v>
      </c>
      <c r="K13511" s="6" t="n">
        <f aca="false">Sens!K13510-Sens!K13504-Sens!K13505-Sens!K13506-Sens!K13507-Sens!K13509</f>
        <v>130.38631325504</v>
      </c>
    </row>
    <row r="13512" customFormat="false" ht="17.15" hidden="false" customHeight="false" outlineLevel="0" collapsed="false">
      <c r="A13512" s="0" t="s">
        <v>1244</v>
      </c>
      <c r="B13512" s="0" t="s">
        <v>98</v>
      </c>
      <c r="F13512" s="6" t="n">
        <f aca="false">Sens!F13424+Sens!F13503*Sens!F13399+sbc_r*Sens!F13399</f>
        <v>27.6057091419522</v>
      </c>
      <c r="G13512" s="6" t="n">
        <f aca="false">Sens!G13424+Sens!G13503*Sens!G13399+sbc_r*Sens!G13399</f>
        <v>27.7660134798889</v>
      </c>
      <c r="H13512" s="6" t="n">
        <f aca="false">Sens!H13424+Sens!H13503*Sens!H13399+sbc_r*Sens!H13399</f>
        <v>28.6711395320956</v>
      </c>
      <c r="I13512" s="6" t="n">
        <f aca="false">Sens!I13424+Sens!I13503*Sens!I13399+sbc_r*Sens!I13399</f>
        <v>29.8304393679589</v>
      </c>
      <c r="J13512" s="6" t="n">
        <f aca="false">Sens!J13424+Sens!J13503*Sens!J13399+sbc_r*Sens!J13399</f>
        <v>31.2034787976098</v>
      </c>
      <c r="K13512" s="6" t="n">
        <f aca="false">Sens!K13424+Sens!K13503*Sens!K13399+sbc_r*Sens!K13399</f>
        <v>32.744825820129</v>
      </c>
    </row>
    <row r="13513" customFormat="false" ht="17.15" hidden="false" customHeight="false" outlineLevel="0" collapsed="false">
      <c r="A13513" s="0" t="s">
        <v>1245</v>
      </c>
      <c r="B13513" s="0" t="s">
        <v>98</v>
      </c>
      <c r="F13513" s="6" t="n">
        <f aca="false">(Sens!F13512-Sens!F13508)*Sens!F13395/(Sens!F13395+Sens!F13397)</f>
        <v>9.27290889451518</v>
      </c>
      <c r="G13513" s="6" t="n">
        <f aca="false">(Sens!G13512-Sens!G13508)*Sens!G13395/(Sens!G13395+Sens!G13397)</f>
        <v>8.6141411643348</v>
      </c>
      <c r="H13513" s="6" t="n">
        <f aca="false">(Sens!H13512-Sens!H13508)*Sens!H13395/(Sens!H13395+Sens!H13397)</f>
        <v>8.39075785314629</v>
      </c>
      <c r="I13513" s="6" t="n">
        <f aca="false">(Sens!I13512-Sens!I13508)*Sens!I13395/(Sens!I13395+Sens!I13397)</f>
        <v>8.32412992576556</v>
      </c>
      <c r="J13513" s="6" t="n">
        <f aca="false">(Sens!J13512-Sens!J13508)*Sens!J13395/(Sens!J13395+Sens!J13397)</f>
        <v>8.4003729164034</v>
      </c>
      <c r="K13513" s="6" t="n">
        <f aca="false">(Sens!K13512-Sens!K13508)*Sens!K13395/(Sens!K13395+Sens!K13397)</f>
        <v>8.61123681900014</v>
      </c>
    </row>
    <row r="13514" customFormat="false" ht="17.15" hidden="false" customHeight="false" outlineLevel="0" collapsed="false">
      <c r="A13514" s="0" t="s">
        <v>1246</v>
      </c>
      <c r="B13514" s="0" t="s">
        <v>98</v>
      </c>
      <c r="F13514" s="6" t="n">
        <f aca="false">Sens!F13512-Sens!F13508-Sens!F13513</f>
        <v>7.14555190286591</v>
      </c>
      <c r="G13514" s="6" t="n">
        <f aca="false">Sens!G13512-Sens!G13508-Sens!G13513</f>
        <v>6.9046262672581</v>
      </c>
      <c r="H13514" s="6" t="n">
        <f aca="false">Sens!H13512-Sens!H13508-Sens!H13513</f>
        <v>6.92509458432997</v>
      </c>
      <c r="I13514" s="6" t="n">
        <f aca="false">Sens!I13512-Sens!I13508-Sens!I13513</f>
        <v>7.00389491003137</v>
      </c>
      <c r="J13514" s="6" t="n">
        <f aca="false">Sens!J13512-Sens!J13508-Sens!J13513</f>
        <v>7.13582922055435</v>
      </c>
      <c r="K13514" s="6" t="n">
        <f aca="false">Sens!K13512-Sens!K13508-Sens!K13513</f>
        <v>7.314950887257</v>
      </c>
    </row>
    <row r="13515" customFormat="false" ht="17.15" hidden="false" customHeight="false" outlineLevel="0" collapsed="false">
      <c r="A13515" s="0" t="s">
        <v>1247</v>
      </c>
      <c r="B13515" s="0" t="s">
        <v>98</v>
      </c>
      <c r="F13515" s="6" t="n">
        <f aca="false">Sens!F13509-tax_f*(Sens!F13509-Sens!F13373)-Sens!F13370</f>
        <v>-125.367434701028</v>
      </c>
      <c r="G13515" s="6" t="n">
        <f aca="false">Sens!G13509-tax_f*(Sens!G13509-Sens!G13373)-Sens!G13370</f>
        <v>-107.204508113935</v>
      </c>
      <c r="H13515" s="6" t="n">
        <f aca="false">Sens!H13509-tax_f*(Sens!H13509-Sens!H13373)-Sens!H13370</f>
        <v>-63.7119599603405</v>
      </c>
      <c r="I13515" s="6" t="n">
        <f aca="false">Sens!I13509-tax_f*(Sens!I13509-Sens!I13373)-Sens!I13370</f>
        <v>3.41321196634246</v>
      </c>
      <c r="J13515" s="6" t="n">
        <f aca="false">Sens!J13509-tax_f*(Sens!J13509-Sens!J13373)-Sens!J13370</f>
        <v>70.4786869547042</v>
      </c>
      <c r="K13515" s="6" t="n">
        <f aca="false">Sens!K13509-tax_f*(Sens!K13509-Sens!K13373)-Sens!K13370</f>
        <v>96.9145911685559</v>
      </c>
    </row>
    <row r="13516" customFormat="false" ht="17.15" hidden="false" customHeight="false" outlineLevel="0" collapsed="false">
      <c r="A13516" s="0" t="s">
        <v>1248</v>
      </c>
      <c r="B13516" s="0" t="s">
        <v>98</v>
      </c>
      <c r="G13516" s="6" t="n">
        <f aca="false">Sens!G13515/(1+wacc)^(Sens!G13486-Sens!F13487)</f>
        <v>-102.079321788163</v>
      </c>
      <c r="H13516" s="6" t="n">
        <f aca="false">Sens!H13515/(1+wacc)^(Sens!H13486-Sens!F13487)</f>
        <v>-55.0041107429562</v>
      </c>
      <c r="I13516" s="6" t="n">
        <f aca="false">Sens!I13515/(1+wacc)^(Sens!I13486-Sens!F13487)</f>
        <v>2.67169511782349</v>
      </c>
      <c r="J13516" s="6" t="n">
        <f aca="false">Sens!J13515/(1+wacc)^(Sens!J13486-Sens!F13487)</f>
        <v>50.0185268392896</v>
      </c>
      <c r="K13516" s="6" t="n">
        <f aca="false">Sens!K13515/(1+wacc)^(Sens!K13486-Sens!F13487)</f>
        <v>62.360805346309</v>
      </c>
      <c r="L13516" s="1" t="s">
        <v>1249</v>
      </c>
    </row>
    <row r="13517" customFormat="false" ht="17.15" hidden="false" customHeight="false" outlineLevel="0" collapsed="false">
      <c r="A13517" s="0" t="s">
        <v>1250</v>
      </c>
      <c r="B13517" s="0" t="s">
        <v>98</v>
      </c>
      <c r="C13517" s="6" t="n">
        <f aca="false">(Sens!K13509-Sens!K13373)*(1-tax_f)*(1+g_tv)*(1-g_tv/(wacc+ronic_prem))/(wacc-g_tv)/(1+wacc)^(Sens!K13487-Sens!F13487)</f>
        <v>446.716860460714</v>
      </c>
    </row>
    <row r="13518" customFormat="false" ht="17.15" hidden="false" customHeight="false" outlineLevel="0" collapsed="false">
      <c r="A13518" s="1" t="s">
        <v>1251</v>
      </c>
      <c r="B13518" s="0" t="s">
        <v>98</v>
      </c>
      <c r="C13518" s="6" t="n">
        <f aca="false">(SUM(Sens!G13516:K13516)+Sens!$C$13517)*(1+wacc)^(t_roll-Sens!F13487)</f>
        <v>418.044312956892</v>
      </c>
      <c r="L13518" s="12" t="s">
        <v>1252</v>
      </c>
    </row>
    <row r="13519" customFormat="false" ht="17.15" hidden="false" customHeight="false" outlineLevel="0" collapsed="false">
      <c r="A13519" s="1" t="s">
        <v>1253</v>
      </c>
      <c r="B13519" s="0" t="s">
        <v>98</v>
      </c>
      <c r="C13519" s="6" t="n">
        <f aca="false">(w_ntm28*Sens!G13361+(1-w_ntm28)*Sens!H13361)*m_ai</f>
        <v>563.316843258668</v>
      </c>
    </row>
    <row r="13520" customFormat="false" ht="17.15" hidden="false" customHeight="false" outlineLevel="0" collapsed="false">
      <c r="A13520" s="1" t="s">
        <v>1254</v>
      </c>
      <c r="B13520" s="0" t="s">
        <v>98</v>
      </c>
      <c r="C13520" s="6" t="n">
        <f aca="false">(w_ntm28*Sens!G13511+(1-w_ntm28)*Sens!H13511)*m_cloud</f>
        <v>1178.07696637062</v>
      </c>
    </row>
    <row r="13521" customFormat="false" ht="17.15" hidden="false" customHeight="false" outlineLevel="0" collapsed="false">
      <c r="A13521" s="1" t="s">
        <v>1255</v>
      </c>
      <c r="B13521" s="0" t="s">
        <v>98</v>
      </c>
      <c r="C13521" s="6" t="n">
        <f aca="false">(w_ntm28*Sens!G13504+(1-w_ntm28)*Sens!H13504)*m_sw</f>
        <v>1120.47763155275</v>
      </c>
    </row>
    <row r="13522" customFormat="false" ht="17.15" hidden="false" customHeight="false" outlineLevel="0" collapsed="false">
      <c r="A13522" s="1" t="s">
        <v>1256</v>
      </c>
      <c r="B13522" s="0" t="s">
        <v>98</v>
      </c>
      <c r="C13522" s="6" t="n">
        <f aca="false">(w_ntm28*Sens!G13505+(1-w_ntm28)*Sens!H13505)*m_sw</f>
        <v>372.68398809041</v>
      </c>
    </row>
    <row r="13523" customFormat="false" ht="17.15" hidden="false" customHeight="false" outlineLevel="0" collapsed="false">
      <c r="A13523" s="1" t="s">
        <v>1257</v>
      </c>
      <c r="B13523" s="0" t="s">
        <v>98</v>
      </c>
      <c r="C13523" s="6" t="n">
        <f aca="false">(w_ntm28*Sens!G13506+(1-w_ntm28)*Sens!H13506)*m_sw</f>
        <v>108.992632332144</v>
      </c>
    </row>
    <row r="13524" customFormat="false" ht="17.15" hidden="false" customHeight="false" outlineLevel="0" collapsed="false">
      <c r="A13524" s="1" t="s">
        <v>1258</v>
      </c>
      <c r="B13524" s="0" t="s">
        <v>98</v>
      </c>
      <c r="C13524" s="6" t="n">
        <f aca="false">(w_ntm28*Sens!G13507+(1-w_ntm28)*Sens!H13507)*m_sw</f>
        <v>41.4362652527414</v>
      </c>
    </row>
    <row r="13525" customFormat="false" ht="17.15" hidden="false" customHeight="false" outlineLevel="0" collapsed="false">
      <c r="A13525" s="1" t="s">
        <v>1259</v>
      </c>
      <c r="B13525" s="0" t="s">
        <v>98</v>
      </c>
      <c r="C13525" s="6" t="n">
        <f aca="false">(w_ntm28*Sens!G13508+(1-w_ntm28)*Sens!H13508)*m_ads</f>
        <v>114.891070326937</v>
      </c>
    </row>
    <row r="13526" customFormat="false" ht="17.15" hidden="false" customHeight="false" outlineLevel="0" collapsed="false">
      <c r="A13526" s="1" t="s">
        <v>1260</v>
      </c>
      <c r="B13526" s="0" t="s">
        <v>98</v>
      </c>
      <c r="C13526" s="6" t="n">
        <f aca="false">(w_ntm28*Sens!G13513+(1-w_ntm28)*Sens!H13513)*m_game</f>
        <v>107.869041956405</v>
      </c>
    </row>
    <row r="13527" customFormat="false" ht="17.15" hidden="false" customHeight="false" outlineLevel="0" collapsed="false">
      <c r="A13527" s="1" t="s">
        <v>1261</v>
      </c>
      <c r="B13527" s="0" t="s">
        <v>98</v>
      </c>
      <c r="C13527" s="6" t="n">
        <f aca="false">(w_ntm28*Sens!G13514+(1-w_ntm28)*Sens!H13514)*m_pc</f>
        <v>100.007315198906</v>
      </c>
    </row>
    <row r="13528" customFormat="false" ht="17.15" hidden="false" customHeight="false" outlineLevel="0" collapsed="false">
      <c r="A13528" s="1" t="s">
        <v>1262</v>
      </c>
      <c r="B13528" s="0" t="s">
        <v>98</v>
      </c>
      <c r="C13528" s="6" t="n">
        <f aca="false">Sens!$C$13518+Sens!$C$13520+Sens!$C$13521+Sens!$C$13522+Sens!$C$13523+Sens!$C$13524+Sens!$C$13525+Sens!$C$13526+Sens!$C$13527</f>
        <v>3562.47922403781</v>
      </c>
    </row>
    <row r="13529" customFormat="false" ht="17.15" hidden="false" customHeight="false" outlineLevel="0" collapsed="false">
      <c r="A13529" s="1" t="s">
        <v>1263</v>
      </c>
      <c r="B13529" s="0" t="s">
        <v>98</v>
      </c>
      <c r="C13529" s="6" t="n">
        <f aca="false">(Sens!G13490-Sens!G13515)*t_stub</f>
        <v>50.3430498298079</v>
      </c>
      <c r="L13529" s="1" t="s">
        <v>1264</v>
      </c>
    </row>
    <row r="13530" customFormat="false" ht="17.15" hidden="false" customHeight="false" outlineLevel="0" collapsed="false">
      <c r="A13530" s="1" t="s">
        <v>1173</v>
      </c>
      <c r="B13530" s="0" t="s">
        <v>98</v>
      </c>
      <c r="C13530" s="6" t="n">
        <f aca="false">Sens!F13477+oai_v-Sens!F13466+Sens!$C$13529</f>
        <v>164.571319829808</v>
      </c>
      <c r="L13530" s="1" t="s">
        <v>1265</v>
      </c>
    </row>
    <row r="13531" customFormat="false" ht="17.15" hidden="false" customHeight="false" outlineLevel="0" collapsed="false">
      <c r="A13531" s="1" t="s">
        <v>1266</v>
      </c>
      <c r="B13531" s="0" t="s">
        <v>75</v>
      </c>
      <c r="C13531" s="5" t="n">
        <f aca="false">(Sens!$C$13528+Sens!$C$13530)/(Sens!F13479+dil_gap)-Sens!G13469*roll_div_q/q_per_yr</f>
        <v>497.057530550675</v>
      </c>
      <c r="L13531" s="1" t="s">
        <v>1267</v>
      </c>
    </row>
    <row r="13532" customFormat="false" ht="17.15" hidden="false" customHeight="false" outlineLevel="0" collapsed="false">
      <c r="A13532" s="1" t="s">
        <v>1268</v>
      </c>
      <c r="B13532" s="0" t="s">
        <v>75</v>
      </c>
      <c r="C13532" s="5" t="n">
        <f aca="false">w_dcf*Sens!$C$13502+(1-w_dcf)*Sens!$C$13531</f>
        <v>436.287307847311</v>
      </c>
    </row>
    <row r="13533" customFormat="false" ht="17.15" hidden="false" customHeight="false" outlineLevel="0" collapsed="false">
      <c r="A13533" s="3" t="s">
        <v>1950</v>
      </c>
    </row>
    <row r="13534" customFormat="false" ht="15" hidden="false" customHeight="false" outlineLevel="0" collapsed="false">
      <c r="A13534" s="4" t="s">
        <v>43</v>
      </c>
      <c r="B13534" s="4" t="s">
        <v>65</v>
      </c>
      <c r="C13534" s="23" t="s">
        <v>942</v>
      </c>
      <c r="D13534" s="23" t="s">
        <v>943</v>
      </c>
      <c r="E13534" s="23" t="s">
        <v>944</v>
      </c>
      <c r="F13534" s="23" t="s">
        <v>945</v>
      </c>
      <c r="G13534" s="23" t="s">
        <v>946</v>
      </c>
      <c r="H13534" s="23" t="s">
        <v>947</v>
      </c>
      <c r="I13534" s="23" t="s">
        <v>948</v>
      </c>
      <c r="J13534" s="23" t="s">
        <v>949</v>
      </c>
      <c r="K13534" s="23" t="s">
        <v>950</v>
      </c>
      <c r="L13534" s="4" t="s">
        <v>47</v>
      </c>
    </row>
    <row r="13535" customFormat="false" ht="17.15" hidden="false" customHeight="false" outlineLevel="0" collapsed="false">
      <c r="A13535" s="1" t="s">
        <v>951</v>
      </c>
      <c r="B13535" s="1" t="s">
        <v>279</v>
      </c>
      <c r="C13535" s="21" t="n">
        <v>2024</v>
      </c>
      <c r="D13535" s="21" t="n">
        <v>2025</v>
      </c>
      <c r="E13535" s="21" t="n">
        <v>2026</v>
      </c>
      <c r="F13535" s="21" t="n">
        <v>2027</v>
      </c>
      <c r="G13535" s="21" t="n">
        <v>2028</v>
      </c>
      <c r="H13535" s="21" t="n">
        <v>2029</v>
      </c>
      <c r="I13535" s="21" t="n">
        <v>2030</v>
      </c>
      <c r="J13535" s="21" t="n">
        <v>2031</v>
      </c>
      <c r="K13535" s="21" t="n">
        <v>2032</v>
      </c>
    </row>
    <row r="13536" customFormat="false" ht="17.15" hidden="false" customHeight="false" outlineLevel="0" collapsed="false">
      <c r="A13536" s="1" t="s">
        <v>952</v>
      </c>
      <c r="B13536" s="0" t="s">
        <v>459</v>
      </c>
      <c r="F13536" s="30" t="n">
        <f aca="false">pace</f>
        <v>2726.5351</v>
      </c>
      <c r="G13536" s="30" t="n">
        <f aca="false">pace</f>
        <v>2726.5351</v>
      </c>
      <c r="H13536" s="30" t="n">
        <f aca="false">pace</f>
        <v>2726.5351</v>
      </c>
      <c r="I13536" s="30" t="n">
        <f aca="false">pace+(g_tv*Sens!H13537-pace)*MIN(1,(Sens!I13535-pace_y0)/(pace_y1-pace_y0))</f>
        <v>1931.98611966667</v>
      </c>
      <c r="J13536" s="30" t="n">
        <f aca="false">pace+(g_tv*Sens!I13537-pace)*MIN(1,(Sens!J13535-pace_y0)/(pace_y1-pace_y0))</f>
        <v>1176.07686172667</v>
      </c>
      <c r="K13536" s="30" t="n">
        <f aca="false">pace+(g_tv*Sens!J13537-pace)*MIN(1,(Sens!K13535-pace_y0)/(pace_y1-pace_y0))</f>
        <v>436.1300484418</v>
      </c>
      <c r="L13536" s="12" t="s">
        <v>953</v>
      </c>
    </row>
    <row r="13537" customFormat="false" ht="17.15" hidden="false" customHeight="false" outlineLevel="0" collapsed="false">
      <c r="A13537" s="1" t="s">
        <v>954</v>
      </c>
      <c r="B13537" s="0" t="s">
        <v>459</v>
      </c>
      <c r="C13537" s="30" t="n">
        <f aca="false">mw_ext_24</f>
        <v>640</v>
      </c>
      <c r="D13537" s="30" t="n">
        <f aca="false">mw_ext_25</f>
        <v>1630</v>
      </c>
      <c r="E13537" s="30" t="n">
        <f aca="false">mw_ext_26</f>
        <v>3250</v>
      </c>
      <c r="F13537" s="30" t="n">
        <f aca="false">Sens!E13537+Sens!F13536</f>
        <v>5976.5351</v>
      </c>
      <c r="G13537" s="30" t="n">
        <f aca="false">Sens!F13537+Sens!G13536</f>
        <v>8703.0702</v>
      </c>
      <c r="H13537" s="30" t="n">
        <f aca="false">Sens!G13537+Sens!H13536</f>
        <v>11429.6053</v>
      </c>
      <c r="I13537" s="30" t="n">
        <f aca="false">Sens!H13537+Sens!I13536</f>
        <v>13361.5914196667</v>
      </c>
      <c r="J13537" s="30" t="n">
        <f aca="false">Sens!I13537+Sens!J13536</f>
        <v>14537.6682813933</v>
      </c>
      <c r="K13537" s="30" t="n">
        <f aca="false">Sens!J13537+Sens!K13536</f>
        <v>14973.7983298351</v>
      </c>
      <c r="L13537" s="1" t="s">
        <v>955</v>
      </c>
    </row>
    <row r="13538" customFormat="false" ht="17.15" hidden="false" customHeight="false" outlineLevel="0" collapsed="false">
      <c r="A13538" s="1" t="s">
        <v>956</v>
      </c>
      <c r="B13538" s="0" t="s">
        <v>459</v>
      </c>
      <c r="C13538" s="30" t="n">
        <f aca="false">rent_ext_24</f>
        <v>150</v>
      </c>
      <c r="D13538" s="30" t="n">
        <f aca="false">rent_ext_25</f>
        <v>400</v>
      </c>
      <c r="E13538" s="30" t="n">
        <f aca="false">rent_ext_26</f>
        <v>550</v>
      </c>
      <c r="F13538" s="30" t="n">
        <f aca="false">rent_ext_f</f>
        <v>756</v>
      </c>
      <c r="G13538" s="30" t="n">
        <f aca="false">rent_ext_f</f>
        <v>756</v>
      </c>
      <c r="H13538" s="30" t="n">
        <f aca="false">rent_ext_f</f>
        <v>756</v>
      </c>
      <c r="I13538" s="30" t="n">
        <f aca="false">rent_ext_f</f>
        <v>756</v>
      </c>
      <c r="J13538" s="30" t="n">
        <f aca="false">rent_ext_f</f>
        <v>756</v>
      </c>
      <c r="K13538" s="30" t="n">
        <f aca="false">rent_ext_f</f>
        <v>756</v>
      </c>
      <c r="L13538" s="1" t="s">
        <v>957</v>
      </c>
    </row>
    <row r="13539" customFormat="false" ht="17.15" hidden="false" customHeight="false" outlineLevel="0" collapsed="false">
      <c r="A13539" s="1" t="s">
        <v>958</v>
      </c>
      <c r="B13539" s="0" t="s">
        <v>459</v>
      </c>
      <c r="C13539" s="30" t="n">
        <f aca="false">Sens!C13537-Sens!C13538</f>
        <v>490</v>
      </c>
      <c r="D13539" s="30" t="n">
        <f aca="false">Sens!D13537-Sens!D13538</f>
        <v>1230</v>
      </c>
      <c r="E13539" s="30" t="n">
        <f aca="false">Sens!E13537-Sens!E13538</f>
        <v>2700</v>
      </c>
      <c r="F13539" s="30" t="n">
        <f aca="false">Sens!F13537-Sens!F13538</f>
        <v>5220.5351</v>
      </c>
      <c r="G13539" s="30" t="n">
        <f aca="false">Sens!G13537-Sens!G13538</f>
        <v>7947.0702</v>
      </c>
      <c r="H13539" s="30" t="n">
        <f aca="false">Sens!H13537-Sens!H13538</f>
        <v>10673.6053</v>
      </c>
      <c r="I13539" s="30" t="n">
        <f aca="false">Sens!I13537-Sens!I13538</f>
        <v>12605.5914196667</v>
      </c>
      <c r="J13539" s="30" t="n">
        <f aca="false">Sens!J13537-Sens!J13538</f>
        <v>13781.6682813933</v>
      </c>
      <c r="K13539" s="30" t="n">
        <f aca="false">Sens!K13537-Sens!K13538</f>
        <v>14217.7983298351</v>
      </c>
    </row>
    <row r="13540" customFormat="false" ht="17.15" hidden="false" customHeight="false" outlineLevel="0" collapsed="false">
      <c r="A13540" s="1" t="s">
        <v>959</v>
      </c>
      <c r="B13540" s="0" t="s">
        <v>459</v>
      </c>
      <c r="C13540" s="30" t="n">
        <f aca="false">Sens!C13539/ext_sh</f>
        <v>816.666666666667</v>
      </c>
      <c r="D13540" s="30" t="n">
        <f aca="false">Sens!D13539/ext_sh</f>
        <v>2050</v>
      </c>
      <c r="E13540" s="30" t="n">
        <f aca="false">Sens!E13539/ext_sh</f>
        <v>4500</v>
      </c>
      <c r="F13540" s="30" t="n">
        <f aca="false">Sens!F13539/ext_sh</f>
        <v>8700.89183333333</v>
      </c>
      <c r="G13540" s="30" t="n">
        <f aca="false">Sens!G13539/ext_sh</f>
        <v>13245.117</v>
      </c>
      <c r="H13540" s="30" t="n">
        <f aca="false">Sens!H13539/ext_sh</f>
        <v>17789.3421666667</v>
      </c>
      <c r="I13540" s="30" t="n">
        <f aca="false">Sens!I13539/ext_sh</f>
        <v>21009.3190327778</v>
      </c>
      <c r="J13540" s="30" t="n">
        <f aca="false">Sens!J13539/ext_sh</f>
        <v>22969.4471356556</v>
      </c>
      <c r="K13540" s="30" t="n">
        <f aca="false">Sens!K13539/ext_sh</f>
        <v>23696.3305497252</v>
      </c>
      <c r="L13540" s="1" t="s">
        <v>960</v>
      </c>
    </row>
    <row r="13541" customFormat="false" ht="17.15" hidden="false" customHeight="false" outlineLevel="0" collapsed="false">
      <c r="A13541" s="1" t="s">
        <v>961</v>
      </c>
      <c r="B13541" s="0" t="s">
        <v>459</v>
      </c>
      <c r="C13541" s="30" t="n">
        <f aca="false">Sens!C13540-Sens!C13539</f>
        <v>326.666666666667</v>
      </c>
      <c r="D13541" s="30" t="n">
        <f aca="false">Sens!D13540-Sens!D13539</f>
        <v>820</v>
      </c>
      <c r="E13541" s="30" t="n">
        <f aca="false">Sens!E13540-Sens!E13539</f>
        <v>1800</v>
      </c>
      <c r="F13541" s="30" t="n">
        <f aca="false">Sens!F13540-Sens!F13539</f>
        <v>3480.35673333333</v>
      </c>
      <c r="G13541" s="30" t="n">
        <f aca="false">Sens!G13540-Sens!G13539</f>
        <v>5298.0468</v>
      </c>
      <c r="H13541" s="30" t="n">
        <f aca="false">Sens!H13540-Sens!H13539</f>
        <v>7115.73686666667</v>
      </c>
      <c r="I13541" s="30" t="n">
        <f aca="false">Sens!I13540-Sens!I13539</f>
        <v>8403.72761311111</v>
      </c>
      <c r="J13541" s="30" t="n">
        <f aca="false">Sens!J13540-Sens!J13539</f>
        <v>9187.77885426222</v>
      </c>
      <c r="K13541" s="30" t="n">
        <f aca="false">Sens!K13540-Sens!K13539</f>
        <v>9478.53221989009</v>
      </c>
    </row>
    <row r="13542" customFormat="false" ht="17.15" hidden="false" customHeight="false" outlineLevel="0" collapsed="false">
      <c r="A13542" s="1" t="s">
        <v>962</v>
      </c>
      <c r="B13542" s="0" t="s">
        <v>459</v>
      </c>
      <c r="C13542" s="30" t="n">
        <f aca="false">Sens!C13540</f>
        <v>816.666666666667</v>
      </c>
      <c r="D13542" s="30" t="n">
        <f aca="false">Sens!D13540-Sens!C13540</f>
        <v>1233.33333333333</v>
      </c>
      <c r="E13542" s="30" t="n">
        <f aca="false">Sens!E13540-Sens!D13540</f>
        <v>2450</v>
      </c>
      <c r="F13542" s="30" t="n">
        <f aca="false">Sens!F13540-Sens!E13540</f>
        <v>4200.89183333333</v>
      </c>
      <c r="G13542" s="30" t="n">
        <f aca="false">Sens!G13540-Sens!F13540</f>
        <v>4544.22516666667</v>
      </c>
      <c r="H13542" s="30" t="n">
        <f aca="false">Sens!H13540-Sens!G13540</f>
        <v>4544.22516666667</v>
      </c>
      <c r="I13542" s="30" t="n">
        <f aca="false">Sens!I13540-Sens!H13540</f>
        <v>3219.97686611111</v>
      </c>
      <c r="J13542" s="30" t="n">
        <f aca="false">Sens!J13540-Sens!I13540</f>
        <v>1960.12810287778</v>
      </c>
      <c r="K13542" s="30" t="n">
        <f aca="false">Sens!K13540-Sens!J13540</f>
        <v>726.883414069667</v>
      </c>
    </row>
    <row r="13543" customFormat="false" ht="17.15" hidden="false" customHeight="false" outlineLevel="0" collapsed="false">
      <c r="A13543" s="1" t="s">
        <v>963</v>
      </c>
      <c r="B13543" s="0" t="s">
        <v>459</v>
      </c>
      <c r="D13543" s="30" t="n">
        <f aca="false">Sens!D13537-Sens!C13537</f>
        <v>990</v>
      </c>
      <c r="E13543" s="30" t="n">
        <f aca="false">Sens!E13537-Sens!D13537</f>
        <v>1620</v>
      </c>
      <c r="F13543" s="30" t="n">
        <f aca="false">Sens!F13537-Sens!E13537</f>
        <v>2726.5351</v>
      </c>
      <c r="G13543" s="30" t="n">
        <f aca="false">Sens!G13537-Sens!F13537</f>
        <v>2726.5351</v>
      </c>
      <c r="H13543" s="30" t="n">
        <f aca="false">Sens!H13537-Sens!G13537</f>
        <v>2726.5351</v>
      </c>
      <c r="I13543" s="30" t="n">
        <f aca="false">Sens!I13537-Sens!H13537</f>
        <v>1931.98611966667</v>
      </c>
      <c r="J13543" s="30" t="n">
        <f aca="false">Sens!J13537-Sens!I13537</f>
        <v>1176.07686172667</v>
      </c>
      <c r="K13543" s="30" t="n">
        <f aca="false">Sens!K13537-Sens!J13537</f>
        <v>436.130048441799</v>
      </c>
    </row>
    <row r="13544" customFormat="false" ht="17.15" hidden="false" customHeight="false" outlineLevel="0" collapsed="false">
      <c r="A13544" s="1" t="s">
        <v>964</v>
      </c>
      <c r="B13544" s="0" t="s">
        <v>459</v>
      </c>
      <c r="F13544" s="30" t="n">
        <f aca="false">Sens!F13563*ext_sh</f>
        <v>0</v>
      </c>
      <c r="G13544" s="30" t="n">
        <f aca="false">Sens!G13563*ext_sh</f>
        <v>0</v>
      </c>
      <c r="H13544" s="30" t="n">
        <f aca="false">Sens!H13563*ext_sh</f>
        <v>0</v>
      </c>
      <c r="I13544" s="30" t="n">
        <f aca="false">Sens!I13563*ext_sh</f>
        <v>490</v>
      </c>
      <c r="J13544" s="30" t="n">
        <f aca="false">Sens!J13563*ext_sh</f>
        <v>740</v>
      </c>
      <c r="K13544" s="30" t="n">
        <f aca="false">Sens!K13563*ext_sh</f>
        <v>1470</v>
      </c>
      <c r="L13544" s="1" t="s">
        <v>965</v>
      </c>
    </row>
    <row r="13545" customFormat="false" ht="17.15" hidden="false" customHeight="false" outlineLevel="0" collapsed="false">
      <c r="A13545" s="1" t="s">
        <v>966</v>
      </c>
      <c r="B13545" s="0" t="s">
        <v>459</v>
      </c>
      <c r="C13545" s="30" t="n">
        <f aca="false">mix_h*Sens!C13537</f>
        <v>128</v>
      </c>
      <c r="D13545" s="30" t="n">
        <f aca="false">mix_h*Sens!D13537</f>
        <v>326</v>
      </c>
      <c r="E13545" s="30" t="n">
        <f aca="false">mix_h*Sens!E13537</f>
        <v>650</v>
      </c>
      <c r="F13545" s="30" t="n">
        <f aca="false">Sens!E13545-Sens!F13544*mix_h</f>
        <v>650</v>
      </c>
      <c r="G13545" s="30" t="n">
        <f aca="false">Sens!F13545-Sens!G13544*mix_h</f>
        <v>650</v>
      </c>
      <c r="H13545" s="30" t="n">
        <f aca="false">Sens!G13545-Sens!H13544*mix_h</f>
        <v>650</v>
      </c>
      <c r="I13545" s="30" t="n">
        <f aca="false">Sens!H13545-Sens!I13544*mix_h</f>
        <v>552</v>
      </c>
      <c r="J13545" s="30" t="n">
        <f aca="false">Sens!I13545-Sens!J13544*mix_h</f>
        <v>404</v>
      </c>
      <c r="K13545" s="30" t="n">
        <f aca="false">Sens!J13545-Sens!K13544*mix_h</f>
        <v>110</v>
      </c>
    </row>
    <row r="13546" customFormat="false" ht="17.15" hidden="false" customHeight="false" outlineLevel="0" collapsed="false">
      <c r="A13546" s="1" t="s">
        <v>967</v>
      </c>
      <c r="B13546" s="0" t="s">
        <v>459</v>
      </c>
      <c r="C13546" s="30" t="n">
        <f aca="false">mix_g2*Sens!C13537</f>
        <v>288</v>
      </c>
      <c r="D13546" s="30" t="n">
        <f aca="false">mix_g2*Sens!D13537</f>
        <v>733.5</v>
      </c>
      <c r="E13546" s="30" t="n">
        <f aca="false">mix_g2*Sens!E13537</f>
        <v>1462.5</v>
      </c>
      <c r="F13546" s="30" t="n">
        <f aca="false">Sens!E13546-Sens!F13544*mix_g2</f>
        <v>1462.5</v>
      </c>
      <c r="G13546" s="30" t="n">
        <f aca="false">Sens!F13546-Sens!G13544*mix_g2</f>
        <v>1462.5</v>
      </c>
      <c r="H13546" s="30" t="n">
        <f aca="false">Sens!G13546-Sens!H13544*mix_g2</f>
        <v>1462.5</v>
      </c>
      <c r="I13546" s="30" t="n">
        <f aca="false">Sens!H13546-Sens!I13544*mix_g2</f>
        <v>1242</v>
      </c>
      <c r="J13546" s="30" t="n">
        <f aca="false">Sens!I13546-Sens!J13544*mix_g2</f>
        <v>909</v>
      </c>
      <c r="K13546" s="30" t="n">
        <f aca="false">Sens!J13546-Sens!K13544*mix_g2</f>
        <v>247.5</v>
      </c>
    </row>
    <row r="13547" customFormat="false" ht="17.15" hidden="false" customHeight="false" outlineLevel="0" collapsed="false">
      <c r="A13547" s="1" t="s">
        <v>968</v>
      </c>
      <c r="B13547" s="0" t="s">
        <v>459</v>
      </c>
      <c r="C13547" s="30" t="n">
        <f aca="false">mix_g3*Sens!C13537</f>
        <v>224</v>
      </c>
      <c r="D13547" s="30" t="n">
        <f aca="false">mix_g3*Sens!D13537</f>
        <v>570.5</v>
      </c>
      <c r="E13547" s="30" t="n">
        <f aca="false">mix_g3*Sens!E13537</f>
        <v>1137.5</v>
      </c>
      <c r="F13547" s="30" t="n">
        <f aca="false">Sens!E13547+(Sens!F13543+Sens!F13544)*(a_g3_27-nonnv*a_mai)-Sens!F13544*mix_g3</f>
        <v>2773.42106</v>
      </c>
      <c r="G13547" s="30" t="n">
        <f aca="false">Sens!F13547+(Sens!G13543+Sens!G13544)*(a_g3_28-nonnv*a_mai)-Sens!G13544*mix_g3</f>
        <v>3318.72808</v>
      </c>
      <c r="H13547" s="30" t="n">
        <f aca="false">Sens!G13547+(Sens!H13543+Sens!H13544)*(a_g3_29-nonnv*a_mai)-Sens!H13544*mix_g3</f>
        <v>3318.72808</v>
      </c>
      <c r="I13547" s="30" t="n">
        <f aca="false">Sens!H13547+(Sens!I13543+Sens!I13544)*(a_g3_29-nonnv*a_mai)-Sens!I13544*mix_g3</f>
        <v>3147.22808</v>
      </c>
      <c r="J13547" s="30" t="n">
        <f aca="false">Sens!I13547+(Sens!J13543+Sens!J13544)*(a_g3_29-nonnv*a_mai)-Sens!J13544*mix_g3</f>
        <v>2888.22808</v>
      </c>
      <c r="K13547" s="30" t="n">
        <f aca="false">Sens!J13547+(Sens!K13543+Sens!K13544)*(a_g3_29-nonnv*a_mai)-Sens!K13544*mix_g3</f>
        <v>2373.72808</v>
      </c>
    </row>
    <row r="13548" customFormat="false" ht="17.15" hidden="false" customHeight="false" outlineLevel="0" collapsed="false">
      <c r="A13548" s="1" t="s">
        <v>969</v>
      </c>
      <c r="B13548" s="0" t="s">
        <v>459</v>
      </c>
      <c r="C13548" s="30" t="n">
        <v>0</v>
      </c>
      <c r="D13548" s="30" t="n">
        <v>0</v>
      </c>
      <c r="E13548" s="30" t="n">
        <v>0</v>
      </c>
      <c r="F13548" s="30" t="n">
        <f aca="false">Sens!E13548+(Sens!F13543+Sens!F13544)*nonnv*a_mai</f>
        <v>272.65351</v>
      </c>
      <c r="G13548" s="30" t="n">
        <f aca="false">Sens!F13548+(Sens!G13543+Sens!G13544)*nonnv*a_mai</f>
        <v>545.30702</v>
      </c>
      <c r="H13548" s="30" t="n">
        <f aca="false">Sens!G13548+(Sens!H13543+Sens!H13544)*nonnv*a_mai</f>
        <v>817.96053</v>
      </c>
      <c r="I13548" s="30" t="n">
        <f aca="false">Sens!H13548+(Sens!I13543+Sens!I13544)*nonnv*a_mai</f>
        <v>1060.15914196667</v>
      </c>
      <c r="J13548" s="30" t="n">
        <f aca="false">Sens!I13548+(Sens!J13543+Sens!J13544)*nonnv*a_mai</f>
        <v>1251.76682813933</v>
      </c>
      <c r="K13548" s="30" t="n">
        <f aca="false">Sens!J13548+(Sens!K13543+Sens!K13544)*nonnv*a_mai</f>
        <v>1442.37983298351</v>
      </c>
      <c r="L13548" s="12" t="s">
        <v>970</v>
      </c>
    </row>
    <row r="13549" customFormat="false" ht="17.15" hidden="false" customHeight="false" outlineLevel="0" collapsed="false">
      <c r="A13549" s="1" t="s">
        <v>971</v>
      </c>
      <c r="B13549" s="0" t="s">
        <v>459</v>
      </c>
      <c r="C13549" s="30" t="n">
        <v>0</v>
      </c>
      <c r="D13549" s="30" t="n">
        <v>0</v>
      </c>
      <c r="E13549" s="30" t="n">
        <v>0</v>
      </c>
      <c r="F13549" s="30" t="n">
        <f aca="false">Sens!E13549+(Sens!F13543+Sens!F13544)*(1-a_g3_27)</f>
        <v>817.96053</v>
      </c>
      <c r="G13549" s="30" t="n">
        <f aca="false">Sens!F13549+(Sens!G13543+Sens!G13544)*(1-a_g3_28)</f>
        <v>2726.5351</v>
      </c>
      <c r="H13549" s="30" t="n">
        <f aca="false">Sens!G13549+(Sens!H13543+Sens!H13544)*(1-a_g3_29)</f>
        <v>5180.41669</v>
      </c>
      <c r="I13549" s="30" t="n">
        <f aca="false">Sens!H13549+(Sens!I13543+Sens!I13544)*(1-a_g3_29)</f>
        <v>7360.2041977</v>
      </c>
      <c r="J13549" s="30" t="n">
        <f aca="false">Sens!I13549+(Sens!J13543+Sens!J13544)*(1-a_g3_29)</f>
        <v>9084.673373254</v>
      </c>
      <c r="K13549" s="30" t="n">
        <f aca="false">Sens!J13549+(Sens!K13543+Sens!K13544)*(1-a_g3_29)</f>
        <v>10800.1904168516</v>
      </c>
    </row>
    <row r="13550" customFormat="false" ht="17.15" hidden="false" customHeight="false" outlineLevel="0" collapsed="false">
      <c r="A13550" s="1" t="s">
        <v>972</v>
      </c>
      <c r="B13550" s="0" t="s">
        <v>403</v>
      </c>
      <c r="C13550" s="15" t="n">
        <f aca="false">(Sens!C13545*tk_hold_h100+Sens!C13546*tk_hold_gb200+Sens!C13547*tk_hold_gb300+Sens!C13549*tk_hold_vr200+Sens!C13548*nv_hold_mai*tk_hold_vr200)/Sens!C13537</f>
        <v>9.7235358126469</v>
      </c>
      <c r="D13550" s="15" t="n">
        <f aca="false">(Sens!D13545*tk_hold_h100+Sens!D13546*tk_hold_gb200+Sens!D13547*tk_hold_gb300+Sens!D13549*tk_hold_vr200+Sens!D13548*nv_hold_mai*tk_hold_vr200)/Sens!D13537</f>
        <v>9.7235358126469</v>
      </c>
      <c r="E13550" s="15" t="n">
        <f aca="false">(Sens!E13545*tk_hold_h100+Sens!E13546*tk_hold_gb200+Sens!E13547*tk_hold_gb300+Sens!E13549*tk_hold_vr200+Sens!E13548*nv_hold_mai*tk_hold_vr200)/Sens!E13537</f>
        <v>9.7235358126469</v>
      </c>
      <c r="F13550" s="15" t="n">
        <f aca="false">(Sens!F13545*tk_hold_h100+Sens!F13546*tk_hold_gb200+Sens!F13547*tk_hold_gb300+Sens!F13549*tk_hold_vr200+Sens!F13548*nv_hold_mai*tk_hold_vr200)/Sens!F13537</f>
        <v>10.2195353876665</v>
      </c>
      <c r="G13550" s="15" t="n">
        <f aca="false">(Sens!G13545*tk_hold_h100+Sens!G13546*tk_hold_gb200+Sens!G13547*tk_hold_gb300+Sens!G13549*tk_hold_vr200+Sens!G13548*nv_hold_mai*tk_hold_vr200)/Sens!G13537</f>
        <v>10.5725598017306</v>
      </c>
      <c r="H13550" s="15" t="n">
        <f aca="false">(Sens!H13545*tk_hold_h100+Sens!H13546*tk_hold_gb200+Sens!H13547*tk_hold_gb300+Sens!H13549*tk_hold_vr200+Sens!H13548*nv_hold_mai*tk_hold_vr200)/Sens!H13537</f>
        <v>10.8210427149036</v>
      </c>
      <c r="I13550" s="15" t="n">
        <f aca="false">(Sens!I13545*tk_hold_h100+Sens!I13546*tk_hold_gb200+Sens!I13547*tk_hold_gb300+Sens!I13549*tk_hold_vr200+Sens!I13548*nv_hold_mai*tk_hold_vr200)/Sens!I13537</f>
        <v>11.0050618241982</v>
      </c>
      <c r="J13550" s="15" t="n">
        <f aca="false">(Sens!J13545*tk_hold_h100+Sens!J13546*tk_hold_gb200+Sens!J13547*tk_hold_gb300+Sens!J13549*tk_hold_vr200+Sens!J13548*nv_hold_mai*tk_hold_vr200)/Sens!J13537</f>
        <v>11.1505789658881</v>
      </c>
      <c r="K13550" s="15" t="n">
        <f aca="false">(Sens!K13545*tk_hold_h100+Sens!K13546*tk_hold_gb200+Sens!K13547*tk_hold_gb300+Sens!K13549*tk_hold_vr200+Sens!K13548*nv_hold_mai*tk_hold_vr200)/Sens!K13537</f>
        <v>11.3496914757183</v>
      </c>
      <c r="L13550" s="1" t="s">
        <v>973</v>
      </c>
    </row>
    <row r="13551" customFormat="false" ht="17.15" hidden="false" customHeight="false" outlineLevel="0" collapsed="false">
      <c r="A13551" s="1" t="s">
        <v>974</v>
      </c>
      <c r="B13551" s="0" t="s">
        <v>403</v>
      </c>
      <c r="C13551" s="15" t="n">
        <f aca="false">(Sens!C13545*tk_hold_h100+Sens!C13546*tk_hold_gb200+Sens!C13547*tk_hold_gb300+Sens!C13549*tk_hold_vr200+Sens!C13548*nv_out_mai*tk_hold_vr200)/Sens!C13537</f>
        <v>9.7235358126469</v>
      </c>
      <c r="D13551" s="15" t="n">
        <f aca="false">(Sens!D13545*tk_hold_h100+Sens!D13546*tk_hold_gb200+Sens!D13547*tk_hold_gb300+Sens!D13549*tk_hold_vr200+Sens!D13548*nv_out_mai*tk_hold_vr200)/Sens!D13537</f>
        <v>9.7235358126469</v>
      </c>
      <c r="E13551" s="15" t="n">
        <f aca="false">(Sens!E13545*tk_hold_h100+Sens!E13546*tk_hold_gb200+Sens!E13547*tk_hold_gb300+Sens!E13549*tk_hold_vr200+Sens!E13548*nv_out_mai*tk_hold_vr200)/Sens!E13537</f>
        <v>9.7235358126469</v>
      </c>
      <c r="F13551" s="15" t="n">
        <f aca="false">(Sens!F13545*tk_hold_h100+Sens!F13546*tk_hold_gb200+Sens!F13547*tk_hold_gb300+Sens!F13549*tk_hold_vr200+Sens!F13548*nv_out_mai*tk_hold_vr200)/Sens!F13537</f>
        <v>10.247422093969</v>
      </c>
      <c r="G13551" s="15" t="n">
        <f aca="false">(Sens!G13545*tk_hold_h100+Sens!G13546*tk_hold_gb200+Sens!G13547*tk_hold_gb300+Sens!G13549*tk_hold_vr200+Sens!G13548*nv_out_mai*tk_hold_vr200)/Sens!G13537</f>
        <v>10.6108602808053</v>
      </c>
      <c r="H13551" s="15" t="n">
        <f aca="false">(Sens!H13545*tk_hold_h100+Sens!H13546*tk_hold_gb200+Sens!H13547*tk_hold_gb300+Sens!H13549*tk_hold_vr200+Sens!H13548*nv_out_mai*tk_hold_vr200)/Sens!H13537</f>
        <v>10.8647885507393</v>
      </c>
      <c r="I13551" s="15" t="n">
        <f aca="false">(Sens!I13545*tk_hold_h100+Sens!I13546*tk_hold_gb200+Sens!I13547*tk_hold_gb300+Sens!I13549*tk_hold_vr200+Sens!I13548*nv_out_mai*tk_hold_vr200)/Sens!I13537</f>
        <v>11.0535625770025</v>
      </c>
      <c r="J13551" s="15" t="n">
        <f aca="false">(Sens!J13545*tk_hold_h100+Sens!J13546*tk_hold_gb200+Sens!J13547*tk_hold_gb300+Sens!J13549*tk_hold_vr200+Sens!J13548*nv_out_mai*tk_hold_vr200)/Sens!J13537</f>
        <v>11.2032127128058</v>
      </c>
      <c r="K13551" s="15" t="n">
        <f aca="false">(Sens!K13545*tk_hold_h100+Sens!K13546*tk_hold_gb200+Sens!K13547*tk_hold_gb300+Sens!K13549*tk_hold_vr200+Sens!K13548*nv_out_mai*tk_hold_vr200)/Sens!K13537</f>
        <v>11.4085735724225</v>
      </c>
      <c r="L13551" s="12" t="s">
        <v>975</v>
      </c>
    </row>
    <row r="13552" customFormat="false" ht="17.15" hidden="false" customHeight="false" outlineLevel="0" collapsed="false">
      <c r="A13552" s="0" t="s">
        <v>976</v>
      </c>
      <c r="B13552" s="0" t="s">
        <v>229</v>
      </c>
      <c r="C13552" s="15" t="n">
        <f aca="false">k_B</f>
        <v>1.17213932619116</v>
      </c>
      <c r="D13552" s="15" t="n">
        <f aca="false">k_B</f>
        <v>1.17213932619116</v>
      </c>
      <c r="E13552" s="15" t="n">
        <f aca="false">k_B</f>
        <v>1.17213932619116</v>
      </c>
      <c r="F13552" s="15" t="n">
        <f aca="false">(k_B+((ls_B*k_long+(1-ls_B)*k_spot)-k_B)*MIN(1,(Sens!F13535-base_fy)/k_ramp))</f>
        <v>1.17213932619116</v>
      </c>
      <c r="G13552" s="15" t="n">
        <f aca="false">(k_B+((ls_B*k_long+(1-ls_B)*k_spot)-k_B)*MIN(1,(Sens!G13535-base_fy)/k_ramp))</f>
        <v>1.17213932619116</v>
      </c>
      <c r="H13552" s="15" t="n">
        <f aca="false">(k_B+((ls_B*k_long+(1-ls_B)*k_spot)-k_B)*MIN(1,(Sens!H13535-base_fy)/k_ramp))</f>
        <v>1.17213932619116</v>
      </c>
      <c r="I13552" s="15" t="n">
        <f aca="false">(k_B+((ls_B*k_long+(1-ls_B)*k_spot)-k_B)*MIN(1,(Sens!I13535-base_fy)/k_ramp))</f>
        <v>1.17213932619116</v>
      </c>
      <c r="J13552" s="15" t="n">
        <f aca="false">(k_B+((ls_B*k_long+(1-ls_B)*k_spot)-k_B)*MIN(1,(Sens!J13535-base_fy)/k_ramp))</f>
        <v>1.17213932619116</v>
      </c>
      <c r="K13552" s="15" t="n">
        <f aca="false">(k_B+((ls_B*k_long+(1-ls_B)*k_spot)-k_B)*MIN(1,(Sens!K13535-base_fy)/k_ramp))</f>
        <v>1.17213932619116</v>
      </c>
      <c r="L13552" s="1" t="s">
        <v>977</v>
      </c>
    </row>
    <row r="13553" customFormat="false" ht="17.15" hidden="false" customHeight="false" outlineLevel="0" collapsed="false">
      <c r="A13553" s="1" t="s">
        <v>978</v>
      </c>
      <c r="B13553" s="0" t="s">
        <v>403</v>
      </c>
      <c r="C13553" s="15" t="n">
        <f aca="false">Sens!C13551*Sens!C13552*chip_f</f>
        <v>11.3973387156315</v>
      </c>
      <c r="D13553" s="15" t="n">
        <f aca="false">Sens!D13551*Sens!D13552*chip_f</f>
        <v>11.3973387156315</v>
      </c>
      <c r="E13553" s="15" t="n">
        <f aca="false">Sens!E13551*Sens!E13552*chip_f</f>
        <v>11.3973387156315</v>
      </c>
      <c r="F13553" s="15" t="n">
        <f aca="false">Sens!F13551*Sens!F13552*chip_f</f>
        <v>12.0114064284211</v>
      </c>
      <c r="G13553" s="15" t="n">
        <f aca="false">Sens!G13551*Sens!G13552*chip_f</f>
        <v>12.4374066198516</v>
      </c>
      <c r="H13553" s="15" t="n">
        <f aca="false">Sens!H13551*Sens!H13552*chip_f</f>
        <v>12.735045931073</v>
      </c>
      <c r="I13553" s="15" t="n">
        <f aca="false">Sens!I13551*Sens!I13552*chip_f</f>
        <v>12.9563153910195</v>
      </c>
      <c r="J13553" s="15" t="n">
        <f aca="false">Sens!J13551*Sens!J13552*chip_f</f>
        <v>13.1317262003643</v>
      </c>
      <c r="K13553" s="15" t="n">
        <f aca="false">Sens!K13551*Sens!K13552*chip_f</f>
        <v>13.3724377399815</v>
      </c>
      <c r="L13553" s="1" t="s">
        <v>979</v>
      </c>
    </row>
    <row r="13554" customFormat="false" ht="17.15" hidden="false" customHeight="false" outlineLevel="0" collapsed="false">
      <c r="A13554" s="0" t="s">
        <v>980</v>
      </c>
      <c r="B13554" s="0" t="s">
        <v>98</v>
      </c>
      <c r="D13554" s="6" t="n">
        <f aca="false">(Sens!C13537+Sens!D13537)/2*Sens!D13553/1000</f>
        <v>12.9359794422418</v>
      </c>
      <c r="E13554" s="6" t="n">
        <f aca="false">(Sens!D13537+Sens!E13537)/2*Sens!E13553/1000</f>
        <v>27.8095064661409</v>
      </c>
      <c r="F13554" s="6" t="n">
        <f aca="false">(Sens!E13537+Sens!F13537)/2*Sens!F13553/1000</f>
        <v>55.4118315060966</v>
      </c>
      <c r="G13554" s="6" t="n">
        <f aca="false">(Sens!F13537+Sens!G13537)/2*Sens!G13553/1000</f>
        <v>91.2881100675143</v>
      </c>
      <c r="H13554" s="6" t="n">
        <f aca="false">(Sens!G13537+Sens!H13537)/2*Sens!H13553/1000</f>
        <v>128.195273603944</v>
      </c>
      <c r="I13554" s="6" t="n">
        <f aca="false">(Sens!H13537+Sens!I13537)/2*Sens!I13553/1000</f>
        <v>160.601281810405</v>
      </c>
      <c r="J13554" s="6" t="n">
        <f aca="false">(Sens!I13537+Sens!J13537)/2*Sens!J13553/1000</f>
        <v>183.182719793589</v>
      </c>
      <c r="K13554" s="6" t="n">
        <f aca="false">(Sens!J13537+Sens!K13537)/2*Sens!K13553/1000</f>
        <v>197.320124937098</v>
      </c>
      <c r="L13554" s="12" t="s">
        <v>981</v>
      </c>
    </row>
    <row r="13555" customFormat="false" ht="17.15" hidden="false" customHeight="false" outlineLevel="0" collapsed="false">
      <c r="A13555" s="1" t="s">
        <v>982</v>
      </c>
      <c r="B13555" s="0" t="s">
        <v>403</v>
      </c>
      <c r="C13555" s="15" t="n">
        <f aca="false">(Sens!C13545*tk_opex_h100+Sens!C13546*tk_opex_gb200+Sens!C13547*tk_opex_gb300+(Sens!C13549+Sens!C13548)*tk_opex_vr200)/Sens!C13537</f>
        <v>1.88636041306092</v>
      </c>
      <c r="D13555" s="15" t="n">
        <f aca="false">(Sens!D13545*tk_opex_h100+Sens!D13546*tk_opex_gb200+Sens!D13547*tk_opex_gb300+(Sens!D13549+Sens!D13548)*tk_opex_vr200)/Sens!D13537</f>
        <v>1.88636041306092</v>
      </c>
      <c r="E13555" s="15" t="n">
        <f aca="false">(Sens!E13545*tk_opex_h100+Sens!E13546*tk_opex_gb200+Sens!E13547*tk_opex_gb300+(Sens!E13549+Sens!E13548)*tk_opex_vr200)/Sens!E13537</f>
        <v>1.88636041306092</v>
      </c>
      <c r="F13555" s="15" t="n">
        <f aca="false">(Sens!F13545*tk_opex_h100+Sens!F13546*tk_opex_gb200+Sens!F13547*tk_opex_gb300+(Sens!F13549+Sens!F13548)*tk_opex_vr200)/Sens!F13537</f>
        <v>1.95051159746876</v>
      </c>
      <c r="G13555" s="15" t="n">
        <f aca="false">(Sens!G13545*tk_opex_h100+Sens!G13546*tk_opex_gb200+Sens!G13547*tk_opex_gb300+(Sens!G13549+Sens!G13548)*tk_opex_vr200)/Sens!G13537</f>
        <v>1.98836003669956</v>
      </c>
      <c r="H13555" s="15" t="n">
        <f aca="false">(Sens!H13545*tk_opex_h100+Sens!H13546*tk_opex_gb200+Sens!H13547*tk_opex_gb300+(Sens!H13549+Sens!H13548)*tk_opex_vr200)/Sens!H13537</f>
        <v>2.01344013834343</v>
      </c>
      <c r="I13555" s="15" t="n">
        <f aca="false">(Sens!I13545*tk_opex_h100+Sens!I13546*tk_opex_gb200+Sens!I13547*tk_opex_gb300+(Sens!I13549+Sens!I13548)*tk_opex_vr200)/Sens!I13537</f>
        <v>2.03261166882178</v>
      </c>
      <c r="J13555" s="15" t="n">
        <f aca="false">(Sens!J13545*tk_opex_h100+Sens!J13546*tk_opex_gb200+Sens!J13547*tk_opex_gb300+(Sens!J13549+Sens!J13548)*tk_opex_vr200)/Sens!J13537</f>
        <v>2.04808073288745</v>
      </c>
      <c r="K13555" s="15" t="n">
        <f aca="false">(Sens!K13545*tk_opex_h100+Sens!K13546*tk_opex_gb200+Sens!K13547*tk_opex_gb300+(Sens!K13549+Sens!K13548)*tk_opex_vr200)/Sens!K13537</f>
        <v>2.06973825807449</v>
      </c>
      <c r="L13555" s="12" t="s">
        <v>983</v>
      </c>
    </row>
    <row r="13556" customFormat="false" ht="17.15" hidden="false" customHeight="false" outlineLevel="0" collapsed="false">
      <c r="A13556" s="0" t="s">
        <v>984</v>
      </c>
      <c r="B13556" s="0" t="s">
        <v>98</v>
      </c>
      <c r="D13556" s="6" t="n">
        <f aca="false">(Sens!C13540+Sens!D13540)/2*Sens!D13555/1000</f>
        <v>2.70378325872065</v>
      </c>
      <c r="E13556" s="6" t="n">
        <f aca="false">(Sens!D13540+Sens!E13540)/2*Sens!E13555/1000</f>
        <v>6.17783035277451</v>
      </c>
      <c r="F13556" s="6" t="n">
        <f aca="false">(Sens!E13540+Sens!F13540)/2*Sens!F13555/1000</f>
        <v>12.8742463089237</v>
      </c>
      <c r="G13556" s="6" t="n">
        <f aca="false">(Sens!F13540+Sens!G13540)/2*Sens!G13555/1000</f>
        <v>21.8182834646277</v>
      </c>
      <c r="H13556" s="6" t="n">
        <f aca="false">(Sens!G13540+Sens!H13540)/2*Sens!H13555/1000</f>
        <v>31.2430128789734</v>
      </c>
      <c r="I13556" s="6" t="n">
        <f aca="false">(Sens!H13540+Sens!I13540)/2*Sens!I13555/1000</f>
        <v>39.4313057443268</v>
      </c>
      <c r="J13556" s="6" t="n">
        <f aca="false">(Sens!I13540+Sens!J13540)/2*Sens!J13555/1000</f>
        <v>45.0360318228653</v>
      </c>
      <c r="K13556" s="6" t="n">
        <f aca="false">(Sens!J13540+Sens!K13540)/2*Sens!K13555/1000</f>
        <v>48.2929727091156</v>
      </c>
    </row>
    <row r="13557" customFormat="false" ht="17.15" hidden="false" customHeight="false" outlineLevel="0" collapsed="false">
      <c r="A13557" s="0" t="s">
        <v>985</v>
      </c>
      <c r="B13557" s="0" t="s">
        <v>98</v>
      </c>
      <c r="D13557" s="6" t="n">
        <f aca="false">(Sens!C13538+Sens!D13538)/2*rent_mw/1000</f>
        <v>2.44475</v>
      </c>
      <c r="E13557" s="6" t="n">
        <f aca="false">(Sens!D13538+Sens!E13538)/2*rent_mw/1000</f>
        <v>4.22275</v>
      </c>
      <c r="F13557" s="6" t="n">
        <f aca="false">(Sens!E13538+Sens!F13538)/2*rent_mw/1000</f>
        <v>5.80517</v>
      </c>
      <c r="G13557" s="6" t="n">
        <f aca="false">(Sens!F13538+Sens!G13538)/2*rent_mw/1000</f>
        <v>6.72084</v>
      </c>
      <c r="H13557" s="6" t="n">
        <f aca="false">(Sens!G13538+Sens!H13538)/2*rent_mw/1000</f>
        <v>6.72084</v>
      </c>
      <c r="I13557" s="6" t="n">
        <f aca="false">(Sens!H13538+Sens!I13538)/2*rent_mw/1000</f>
        <v>6.72084</v>
      </c>
      <c r="J13557" s="6" t="n">
        <f aca="false">(Sens!I13538+Sens!J13538)/2*rent_mw/1000</f>
        <v>6.72084</v>
      </c>
      <c r="K13557" s="6" t="n">
        <f aca="false">(Sens!J13538+Sens!K13538)/2*rent_mw/1000</f>
        <v>6.72084</v>
      </c>
    </row>
    <row r="13558" customFormat="false" ht="17.15" hidden="false" customHeight="false" outlineLevel="0" collapsed="false">
      <c r="A13558" s="0" t="s">
        <v>986</v>
      </c>
      <c r="B13558" s="0" t="s">
        <v>98</v>
      </c>
      <c r="D13558" s="6" t="n">
        <f aca="false">(Sens!C13540+Sens!D13540)/2*(1-self_build)*fac_rent/1000</f>
        <v>0.853242375631075</v>
      </c>
      <c r="E13558" s="6" t="n">
        <f aca="false">(Sens!D13540+Sens!E13540)/2*(1-self_build)*fac_rent/1000</f>
        <v>1.94955961408728</v>
      </c>
      <c r="F13558" s="6" t="n">
        <f aca="false">(Sens!E13540+Sens!F13540)/2*(1-self_build)*fac_rent/1000</f>
        <v>3.92914894476356</v>
      </c>
      <c r="G13558" s="6" t="n">
        <f aca="false">(Sens!F13540+Sens!G13540)/2*(1-self_build)*fac_rent/1000</f>
        <v>6.53206908578159</v>
      </c>
      <c r="H13558" s="6" t="n">
        <f aca="false">(Sens!G13540+Sens!H13540)/2*(1-self_build)*fac_rent/1000</f>
        <v>9.23717988341591</v>
      </c>
      <c r="I13558" s="6" t="n">
        <f aca="false">(Sens!H13540+Sens!I13540)/2*(1-self_build)*fac_rent/1000</f>
        <v>11.5481378557393</v>
      </c>
      <c r="J13558" s="6" t="n">
        <f aca="false">(Sens!I13540+Sens!J13540)/2*(1-self_build)*fac_rent/1000</f>
        <v>13.0899582289108</v>
      </c>
      <c r="K13558" s="6" t="n">
        <f aca="false">(Sens!J13540+Sens!K13540)/2*(1-self_build)*fac_rent/1000</f>
        <v>13.8897275626556</v>
      </c>
      <c r="L13558" s="12" t="s">
        <v>987</v>
      </c>
    </row>
    <row r="13559" customFormat="false" ht="17.15" hidden="false" customHeight="false" outlineLevel="0" collapsed="false">
      <c r="A13559" s="1" t="s">
        <v>988</v>
      </c>
      <c r="B13559" s="0" t="s">
        <v>168</v>
      </c>
      <c r="D13559" s="7" t="n">
        <f aca="false">(Sens!C13539+Sens!D13539)/(Sens!C13540+Sens!D13540)</f>
        <v>0.6</v>
      </c>
      <c r="E13559" s="7" t="n">
        <f aca="false">(Sens!D13539+Sens!E13539)/(Sens!D13540+Sens!E13540)</f>
        <v>0.6</v>
      </c>
      <c r="F13559" s="7" t="n">
        <f aca="false">(Sens!E13539+Sens!F13539)/(Sens!E13540+Sens!F13540)</f>
        <v>0.6</v>
      </c>
      <c r="G13559" s="7" t="n">
        <f aca="false">(Sens!F13539+Sens!G13539)/(Sens!F13540+Sens!G13540)</f>
        <v>0.6</v>
      </c>
      <c r="H13559" s="7" t="n">
        <f aca="false">(Sens!G13539+Sens!H13539)/(Sens!G13540+Sens!H13540)</f>
        <v>0.6</v>
      </c>
      <c r="I13559" s="7" t="n">
        <f aca="false">(Sens!H13539+Sens!I13539)/(Sens!H13540+Sens!I13540)</f>
        <v>0.6</v>
      </c>
      <c r="J13559" s="7" t="n">
        <f aca="false">(Sens!I13539+Sens!J13539)/(Sens!I13540+Sens!J13540)</f>
        <v>0.6</v>
      </c>
      <c r="K13559" s="7" t="n">
        <f aca="false">(Sens!J13539+Sens!K13539)/(Sens!J13540+Sens!K13540)</f>
        <v>0.6</v>
      </c>
    </row>
    <row r="13560" customFormat="false" ht="17.15" hidden="false" customHeight="false" outlineLevel="0" collapsed="false">
      <c r="A13560" s="0" t="s">
        <v>989</v>
      </c>
      <c r="B13560" s="0" t="s">
        <v>98</v>
      </c>
      <c r="D13560" s="6" t="n">
        <f aca="false">Sens!D13554-Sens!D13559*(Sens!D13556+Sens!D13558)-Sens!D13557</f>
        <v>8.35701406163072</v>
      </c>
      <c r="E13560" s="6" t="n">
        <f aca="false">Sens!E13554-Sens!E13559*(Sens!E13556+Sens!E13558)-Sens!E13557</f>
        <v>18.7103224860238</v>
      </c>
      <c r="F13560" s="6" t="n">
        <f aca="false">Sens!F13554-Sens!F13559*(Sens!F13556+Sens!F13558)-Sens!F13557</f>
        <v>39.5246243538843</v>
      </c>
      <c r="G13560" s="6" t="n">
        <f aca="false">Sens!G13554-Sens!G13559*(Sens!G13556+Sens!G13558)-Sens!G13557</f>
        <v>67.5570585372687</v>
      </c>
      <c r="H13560" s="6" t="n">
        <f aca="false">Sens!H13554-Sens!H13559*(Sens!H13556+Sens!H13558)-Sens!H13557</f>
        <v>97.1863179465102</v>
      </c>
      <c r="I13560" s="6" t="n">
        <f aca="false">Sens!I13554-Sens!I13559*(Sens!I13556+Sens!I13558)-Sens!I13557</f>
        <v>123.292775650365</v>
      </c>
      <c r="J13560" s="6" t="n">
        <f aca="false">Sens!J13554-Sens!J13559*(Sens!J13556+Sens!J13558)-Sens!J13557</f>
        <v>141.586285762524</v>
      </c>
      <c r="K13560" s="6" t="n">
        <f aca="false">Sens!K13554-Sens!K13559*(Sens!K13556+Sens!K13558)-Sens!K13557</f>
        <v>153.289664774035</v>
      </c>
    </row>
    <row r="13561" customFormat="false" ht="17.15" hidden="false" customHeight="false" outlineLevel="0" collapsed="false">
      <c r="A13561" s="1" t="s">
        <v>990</v>
      </c>
      <c r="B13561" s="0" t="s">
        <v>98</v>
      </c>
      <c r="D13561" s="6" t="n">
        <f aca="false">(1-Sens!D13559)*(Sens!D13556+Sens!D13558)</f>
        <v>1.42281025374069</v>
      </c>
      <c r="E13561" s="6" t="n">
        <f aca="false">(1-Sens!E13559)*(Sens!E13556+Sens!E13558)</f>
        <v>3.25095598674472</v>
      </c>
      <c r="F13561" s="6" t="n">
        <f aca="false">(1-Sens!F13559)*(Sens!F13556+Sens!F13558)</f>
        <v>6.72135810147489</v>
      </c>
      <c r="G13561" s="6" t="n">
        <f aca="false">(1-Sens!G13559)*(Sens!G13556+Sens!G13558)</f>
        <v>11.3401410201637</v>
      </c>
      <c r="H13561" s="6" t="n">
        <f aca="false">(1-Sens!H13559)*(Sens!H13556+Sens!H13558)</f>
        <v>16.1920771049557</v>
      </c>
      <c r="I13561" s="6" t="n">
        <f aca="false">(1-Sens!I13559)*(Sens!I13556+Sens!I13558)</f>
        <v>20.3917774400264</v>
      </c>
      <c r="J13561" s="6" t="n">
        <f aca="false">(1-Sens!J13559)*(Sens!J13556+Sens!J13558)</f>
        <v>23.2503960207104</v>
      </c>
      <c r="K13561" s="6" t="n">
        <f aca="false">(1-Sens!K13559)*(Sens!K13556+Sens!K13558)</f>
        <v>24.8730801087085</v>
      </c>
    </row>
    <row r="13562" customFormat="false" ht="17.15" hidden="false" customHeight="false" outlineLevel="0" collapsed="false">
      <c r="A13562" s="1" t="s">
        <v>991</v>
      </c>
      <c r="B13562" s="0" t="s">
        <v>417</v>
      </c>
      <c r="C13562" s="8" t="n">
        <f aca="false">cxit_open</f>
        <v>27.5918995</v>
      </c>
      <c r="D13562" s="8" t="n">
        <f aca="false">cxit_open</f>
        <v>27.5918995</v>
      </c>
      <c r="E13562" s="8" t="n">
        <f aca="false">cxit_open</f>
        <v>27.5918995</v>
      </c>
      <c r="F13562" s="8" t="n">
        <f aca="false">((a_g3_27-nonnv*a_mai)*tk_cxit_gb300+nonnv*a_mai*nv_hold_mai*tk_cxit_vr200+(1-a_g3_27)*tk_cxit_vr200)</f>
        <v>32.4975576</v>
      </c>
      <c r="G13562" s="8" t="n">
        <f aca="false">((a_g3_28-nonnv*a_mai)*tk_cxit_gb300+nonnv*a_mai*nv_hold_mai*tk_cxit_vr200+(1-a_g3_28)*tk_cxit_vr200)</f>
        <v>34.6372088</v>
      </c>
      <c r="H13562" s="8" t="n">
        <f aca="false">((a_g3_29-nonnv*a_mai)*tk_cxit_gb300+nonnv*a_mai*nv_hold_mai*tk_cxit_vr200+(1-a_g3_29)*tk_cxit_vr200)</f>
        <v>35.7070344</v>
      </c>
      <c r="I13562" s="8" t="n">
        <f aca="false">((a_g3_29-nonnv*a_mai)*tk_cxit_gb300+nonnv*a_mai*nv_hold_mai*tk_cxit_vr200+(1-a_g3_29)*tk_cxit_vr200)</f>
        <v>35.7070344</v>
      </c>
      <c r="J13562" s="8" t="n">
        <f aca="false">((a_g3_29-nonnv*a_mai)*tk_cxit_gb300+nonnv*a_mai*nv_hold_mai*tk_cxit_vr200+(1-a_g3_29)*tk_cxit_vr200)</f>
        <v>35.7070344</v>
      </c>
      <c r="K13562" s="8" t="n">
        <f aca="false">((a_g3_29-nonnv*a_mai)*tk_cxit_gb300+nonnv*a_mai*nv_hold_mai*tk_cxit_vr200+(1-a_g3_29)*tk_cxit_vr200)</f>
        <v>35.7070344</v>
      </c>
      <c r="L13562" s="12" t="s">
        <v>992</v>
      </c>
    </row>
    <row r="13563" customFormat="false" ht="17.15" hidden="false" customHeight="false" outlineLevel="0" collapsed="false">
      <c r="A13563" s="0" t="s">
        <v>993</v>
      </c>
      <c r="B13563" s="0" t="s">
        <v>459</v>
      </c>
      <c r="F13563" s="30" t="n">
        <f aca="false">Sens!C13542*IF(Sens!F13535-Sens!C13535=life_it,1,0)+Sens!D13542*IF(Sens!F13535-Sens!D13535=life_it,1,0)+Sens!E13542*IF(Sens!F13535-Sens!E13535=life_it,1,0)</f>
        <v>0</v>
      </c>
      <c r="G13563" s="30" t="n">
        <f aca="false">Sens!C13542*IF(Sens!G13535-Sens!C13535=life_it,1,0)+Sens!D13542*IF(Sens!G13535-Sens!D13535=life_it,1,0)+Sens!E13542*IF(Sens!G13535-Sens!E13535=life_it,1,0)+Sens!F13542*IF(Sens!G13535-Sens!F13535=life_it,1,0)</f>
        <v>0</v>
      </c>
      <c r="H13563" s="30" t="n">
        <f aca="false">Sens!C13542*IF(Sens!H13535-Sens!C13535=life_it,1,0)+Sens!D13542*IF(Sens!H13535-Sens!D13535=life_it,1,0)+Sens!E13542*IF(Sens!H13535-Sens!E13535=life_it,1,0)+Sens!F13542*IF(Sens!H13535-Sens!F13535=life_it,1,0)+Sens!G13542*IF(Sens!H13535-Sens!G13535=life_it,1,0)</f>
        <v>0</v>
      </c>
      <c r="I13563" s="30" t="n">
        <f aca="false">Sens!C13542*IF(Sens!I13535-Sens!C13535=life_it,1,0)+Sens!D13542*IF(Sens!I13535-Sens!D13535=life_it,1,0)+Sens!E13542*IF(Sens!I13535-Sens!E13535=life_it,1,0)+Sens!F13542*IF(Sens!I13535-Sens!F13535=life_it,1,0)+Sens!G13542*IF(Sens!I13535-Sens!G13535=life_it,1,0)+Sens!H13542*IF(Sens!I13535-Sens!H13535=life_it,1,0)</f>
        <v>816.666666666667</v>
      </c>
      <c r="J13563" s="30" t="n">
        <f aca="false">Sens!C13542*IF(Sens!J13535-Sens!C13535=life_it,1,0)+Sens!D13542*IF(Sens!J13535-Sens!D13535=life_it,1,0)+Sens!E13542*IF(Sens!J13535-Sens!E13535=life_it,1,0)+Sens!F13542*IF(Sens!J13535-Sens!F13535=life_it,1,0)+Sens!G13542*IF(Sens!J13535-Sens!G13535=life_it,1,0)+Sens!H13542*IF(Sens!J13535-Sens!H13535=life_it,1,0)+Sens!I13542*IF(Sens!J13535-Sens!I13535=life_it,1,0)</f>
        <v>1233.33333333333</v>
      </c>
      <c r="K13563" s="30" t="n">
        <f aca="false">Sens!C13542*IF(Sens!K13535-Sens!C13535=life_it,1,0)+Sens!D13542*IF(Sens!K13535-Sens!D13535=life_it,1,0)+Sens!E13542*IF(Sens!K13535-Sens!E13535=life_it,1,0)+Sens!F13542*IF(Sens!K13535-Sens!F13535=life_it,1,0)+Sens!G13542*IF(Sens!K13535-Sens!G13535=life_it,1,0)+Sens!H13542*IF(Sens!K13535-Sens!H13535=life_it,1,0)+Sens!I13542*IF(Sens!K13535-Sens!I13535=life_it,1,0)+Sens!J13542*IF(Sens!K13535-Sens!J13535=life_it,1,0)</f>
        <v>2450</v>
      </c>
      <c r="L13563" s="1" t="s">
        <v>994</v>
      </c>
    </row>
    <row r="13564" customFormat="false" ht="17.15" hidden="false" customHeight="false" outlineLevel="0" collapsed="false">
      <c r="A13564" s="0" t="s">
        <v>995</v>
      </c>
      <c r="B13564" s="0" t="s">
        <v>98</v>
      </c>
      <c r="C13564" s="6" t="n">
        <f aca="false">Sens!C13542*Sens!C13562/1000</f>
        <v>22.5333845916667</v>
      </c>
      <c r="D13564" s="6" t="n">
        <f aca="false">Sens!D13542*Sens!D13562/1000</f>
        <v>34.0300093833333</v>
      </c>
      <c r="E13564" s="6" t="n">
        <f aca="false">Sens!E13542*Sens!E13562/1000</f>
        <v>67.600153775</v>
      </c>
      <c r="F13564" s="6" t="n">
        <f aca="false">(Sens!F13542+Sens!F13563)*Sens!F13562/1000</f>
        <v>136.51872432512</v>
      </c>
      <c r="G13564" s="6" t="n">
        <f aca="false">(Sens!G13542+Sens!G13563)*Sens!G13562/1000</f>
        <v>157.399275932048</v>
      </c>
      <c r="H13564" s="6" t="n">
        <f aca="false">(Sens!H13542+Sens!H13563)*Sens!H13562/1000</f>
        <v>162.260804347512</v>
      </c>
      <c r="I13564" s="6" t="n">
        <f aca="false">(Sens!I13542+Sens!I13563)*Sens!I13562/1000</f>
        <v>144.136569485434</v>
      </c>
      <c r="J13564" s="6" t="n">
        <f aca="false">(Sens!J13542+Sens!J13563)*Sens!J13562/1000</f>
        <v>114.029037357864</v>
      </c>
      <c r="K13564" s="6" t="n">
        <f aca="false">(Sens!K13542+Sens!K13563)*Sens!K13562/1000</f>
        <v>113.437085350975</v>
      </c>
    </row>
    <row r="13565" customFormat="false" ht="17.15" hidden="false" customHeight="false" outlineLevel="0" collapsed="false">
      <c r="A13565" s="0" t="s">
        <v>996</v>
      </c>
      <c r="B13565" s="0" t="s">
        <v>98</v>
      </c>
      <c r="C13565" s="6" t="n">
        <f aca="false">Sens!C13542*self_build*tk_cxfac/1000</f>
        <v>6.2083</v>
      </c>
      <c r="D13565" s="6" t="n">
        <f aca="false">Sens!D13542*self_build*tk_cxfac/1000</f>
        <v>9.3758</v>
      </c>
      <c r="E13565" s="6" t="n">
        <f aca="false">Sens!E13542*self_build*tk_cxfac/1000</f>
        <v>18.6249</v>
      </c>
      <c r="F13565" s="6" t="n">
        <f aca="false">Sens!F13542*self_build*tk_cxfac/1000</f>
        <v>31.935179717</v>
      </c>
      <c r="G13565" s="6" t="n">
        <f aca="false">Sens!G13542*self_build*tk_cxfac/1000</f>
        <v>34.545199717</v>
      </c>
      <c r="H13565" s="6" t="n">
        <f aca="false">Sens!H13542*self_build*tk_cxfac/1000</f>
        <v>34.545199717</v>
      </c>
      <c r="I13565" s="6" t="n">
        <f aca="false">Sens!I13542*self_build*tk_cxfac/1000</f>
        <v>24.4782641361767</v>
      </c>
      <c r="J13565" s="6" t="n">
        <f aca="false">Sens!J13542*self_build*tk_cxfac/1000</f>
        <v>14.9008938380769</v>
      </c>
      <c r="K13565" s="6" t="n">
        <f aca="false">Sens!K13542*self_build*tk_cxfac/1000</f>
        <v>5.52576771375761</v>
      </c>
    </row>
    <row r="13566" customFormat="false" ht="17.15" hidden="false" customHeight="false" outlineLevel="0" collapsed="false">
      <c r="A13566" s="0" t="s">
        <v>997</v>
      </c>
      <c r="B13566" s="0" t="s">
        <v>98</v>
      </c>
      <c r="F13566" s="15" t="n">
        <f aca="false">capex_floor27-Sens!F13564-Sens!F13565-Sens!F13662</f>
        <v>1.94586576753863E-005</v>
      </c>
      <c r="L13566" s="12" t="s">
        <v>998</v>
      </c>
    </row>
    <row r="13567" customFormat="false" ht="17.15" hidden="false" customHeight="false" outlineLevel="0" collapsed="false">
      <c r="A13567" s="0" t="s">
        <v>999</v>
      </c>
      <c r="B13567" s="0" t="s">
        <v>98</v>
      </c>
      <c r="F13567" s="6" t="n">
        <f aca="false">MAX(0,Sens!F13566)</f>
        <v>1.94586576753863E-005</v>
      </c>
    </row>
    <row r="13568" customFormat="false" ht="17.15" hidden="false" customHeight="false" outlineLevel="0" collapsed="false">
      <c r="A13568" s="0" t="s">
        <v>1000</v>
      </c>
      <c r="B13568" s="0" t="s">
        <v>98</v>
      </c>
      <c r="C13568" s="6" t="n">
        <f aca="false">Sens!C13564</f>
        <v>22.5333845916667</v>
      </c>
      <c r="D13568" s="6" t="n">
        <f aca="false">Sens!D13564</f>
        <v>34.0300093833333</v>
      </c>
      <c r="E13568" s="6" t="n">
        <f aca="false">Sens!E13564</f>
        <v>67.600153775</v>
      </c>
      <c r="F13568" s="6" t="n">
        <f aca="false">Sens!F13564</f>
        <v>136.51872432512</v>
      </c>
      <c r="G13568" s="6" t="n">
        <f aca="false">Sens!G13564</f>
        <v>157.399275932048</v>
      </c>
      <c r="H13568" s="6" t="n">
        <f aca="false">Sens!H13564</f>
        <v>162.260804347512</v>
      </c>
      <c r="I13568" s="6" t="n">
        <f aca="false">Sens!I13564</f>
        <v>144.136569485434</v>
      </c>
      <c r="J13568" s="6" t="n">
        <f aca="false">Sens!J13564</f>
        <v>114.029037357864</v>
      </c>
      <c r="K13568" s="6" t="n">
        <f aca="false">Sens!K13564</f>
        <v>113.437085350975</v>
      </c>
    </row>
    <row r="13569" customFormat="false" ht="17.15" hidden="false" customHeight="false" outlineLevel="0" collapsed="false">
      <c r="A13569" s="0" t="s">
        <v>1001</v>
      </c>
      <c r="B13569" s="0" t="s">
        <v>98</v>
      </c>
      <c r="C13569" s="6" t="n">
        <f aca="false">Sens!C13568+Sens!C13565</f>
        <v>28.7416845916667</v>
      </c>
      <c r="D13569" s="6" t="n">
        <f aca="false">Sens!D13568+Sens!D13565</f>
        <v>43.4058093833333</v>
      </c>
      <c r="E13569" s="6" t="n">
        <f aca="false">Sens!E13568+Sens!E13565</f>
        <v>86.225053775</v>
      </c>
      <c r="F13569" s="6" t="n">
        <f aca="false">Sens!F13568+Sens!F13565</f>
        <v>168.45390404212</v>
      </c>
      <c r="G13569" s="6" t="n">
        <f aca="false">Sens!G13568+Sens!G13565</f>
        <v>191.944475649048</v>
      </c>
      <c r="H13569" s="6" t="n">
        <f aca="false">Sens!H13568+Sens!H13565</f>
        <v>196.806004064512</v>
      </c>
      <c r="I13569" s="6" t="n">
        <f aca="false">Sens!I13568+Sens!I13565</f>
        <v>168.61483362161</v>
      </c>
      <c r="J13569" s="6" t="n">
        <f aca="false">Sens!J13568+Sens!J13565</f>
        <v>128.92993119594</v>
      </c>
      <c r="K13569" s="6" t="n">
        <f aca="false">Sens!K13568+Sens!K13565</f>
        <v>118.962853064733</v>
      </c>
      <c r="L13569" s="12" t="s">
        <v>1002</v>
      </c>
    </row>
    <row r="13570" customFormat="false" ht="17.15" hidden="false" customHeight="false" outlineLevel="0" collapsed="false">
      <c r="A13570" s="0" t="s">
        <v>1003</v>
      </c>
      <c r="B13570" s="0" t="s">
        <v>98</v>
      </c>
      <c r="E13570" s="6" t="n">
        <f aca="false">(Sens!C13568*IF(2&lt;life_it,1,IF(2=life_it,0.5,0))+Sens!D13568*IF(1&lt;life_it,1,IF(1=life_it,0.5,0))+Sens!E13568*0.5)/life_it</f>
        <v>15.0605784770833</v>
      </c>
      <c r="F13570" s="6" t="n">
        <f aca="false">(Sens!C13568*IF(3&lt;life_it,1,IF(3=life_it,0.5,0))+Sens!D13568*IF(2&lt;life_it,1,IF(2=life_it,0.5,0))+Sens!E13568*IF(1&lt;life_it,1,IF(1=life_it,0.5,0))+Sens!F13568*0.5)/life_it</f>
        <v>32.0704849854266</v>
      </c>
      <c r="G13570" s="6" t="n">
        <f aca="false">(Sens!C13568*IF(4&lt;life_it,1,IF(4=life_it,0.5,0))+Sens!D13568*IF(3&lt;life_it,1,IF(3=life_it,0.5,0))+Sens!E13568*IF(2&lt;life_it,1,IF(2=life_it,0.5,0))+Sens!F13568*IF(1&lt;life_it,1,IF(1=life_it,0.5,0))+Sens!G13568*0.5)/life_it</f>
        <v>56.5636516735239</v>
      </c>
      <c r="H13570" s="6" t="n">
        <f aca="false">(Sens!C13568*IF(5&lt;life_it,1,IF(5=life_it,0.5,0))+Sens!D13568*IF(4&lt;life_it,1,IF(4=life_it,0.5,0))+Sens!E13568*IF(3&lt;life_it,1,IF(3=life_it,0.5,0))+Sens!F13568*IF(2&lt;life_it,1,IF(2=life_it,0.5,0))+Sens!G13568*IF(1&lt;life_it,1,IF(1=life_it,0.5,0))+Sens!H13568*0.5)/life_it</f>
        <v>83.2019916968207</v>
      </c>
      <c r="I13570" s="6" t="n">
        <f aca="false">(Sens!C13568*IF(6&lt;life_it,1,IF(6=life_it,0.5,0))+Sens!D13568*IF(5&lt;life_it,1,IF(5=life_it,0.5,0))+Sens!E13568*IF(4&lt;life_it,1,IF(4=life_it,0.5,0))+Sens!F13568*IF(3&lt;life_it,1,IF(3=life_it,0.5,0))+Sens!G13568*IF(2&lt;life_it,1,IF(2=life_it,0.5,0))+Sens!H13568*IF(1&lt;life_it,1,IF(1=life_it,0.5,0))+Sens!I13568*0.5)/life_it</f>
        <v>106.857324133594</v>
      </c>
      <c r="J13570" s="6" t="n">
        <f aca="false">(Sens!C13568*IF(7&lt;life_it,1,IF(7=life_it,0.5,0))+Sens!D13568*IF(6&lt;life_it,1,IF(6=life_it,0.5,0))+Sens!E13568*IF(5&lt;life_it,1,IF(5=life_it,0.5,0))+Sens!F13568*IF(4&lt;life_it,1,IF(4=life_it,0.5,0))+Sens!G13568*IF(3&lt;life_it,1,IF(3=life_it,0.5,0))+Sens!H13568*IF(2&lt;life_it,1,IF(2=life_it,0.5,0))+Sens!I13568*IF(1&lt;life_it,1,IF(1=life_it,0.5,0))+Sens!J13568*0.5)/life_it</f>
        <v>123.657508539285</v>
      </c>
      <c r="K13570" s="6" t="n">
        <f aca="false">(Sens!C13568*IF(8&lt;life_it,1,IF(8=life_it,0.5,0))+Sens!D13568*IF(7&lt;life_it,1,IF(7=life_it,0.5,0))+Sens!E13568*IF(6&lt;life_it,1,IF(6=life_it,0.5,0))+Sens!F13568*IF(5&lt;life_it,1,IF(5=life_it,0.5,0))+Sens!G13568*IF(4&lt;life_it,1,IF(4=life_it,0.5,0))+Sens!H13568*IF(3&lt;life_it,1,IF(3=life_it,0.5,0))+Sens!I13568*IF(2&lt;life_it,1,IF(2=life_it,0.5,0))+Sens!J13568*IF(1&lt;life_it,1,IF(1=life_it,0.5,0))+Sens!K13568*0.5)/life_it</f>
        <v>134.143838501827</v>
      </c>
    </row>
    <row r="13571" customFormat="false" ht="17.15" hidden="false" customHeight="false" outlineLevel="0" collapsed="false">
      <c r="A13571" s="0" t="s">
        <v>1004</v>
      </c>
      <c r="B13571" s="0" t="s">
        <v>98</v>
      </c>
      <c r="E13571" s="6" t="n">
        <f aca="false">(Sens!C13565*IF(2&lt;life_fac,1,IF(2=life_fac,0.5,0))+Sens!D13565*IF(1&lt;life_fac,1,IF(1=life_fac,0.5,0))+Sens!E13565*0.5)/life_fac</f>
        <v>1.2448275</v>
      </c>
      <c r="F13571" s="6" t="n">
        <f aca="false">(Sens!C13565*IF(3&lt;life_fac,1,IF(3=life_fac,0.5,0))+Sens!D13565*IF(2&lt;life_fac,1,IF(2=life_fac,0.5,0))+Sens!E13565*IF(1&lt;life_fac,1,IF(1=life_fac,0.5,0))+Sens!F13565*0.5)/life_fac</f>
        <v>2.508829492925</v>
      </c>
      <c r="G13571" s="6" t="n">
        <f aca="false">(Sens!C13565*IF(4&lt;life_fac,1,IF(4=life_fac,0.5,0))+Sens!D13565*IF(3&lt;life_fac,1,IF(3=life_fac,0.5,0))+Sens!E13565*IF(2&lt;life_fac,1,IF(2=life_fac,0.5,0))+Sens!F13565*IF(1&lt;life_fac,1,IF(1=life_fac,0.5,0))+Sens!G13565*0.5)/life_fac</f>
        <v>4.170838978775</v>
      </c>
      <c r="H13571" s="6" t="n">
        <f aca="false">(Sens!C13565*IF(5&lt;life_fac,1,IF(5=life_fac,0.5,0))+Sens!D13565*IF(4&lt;life_fac,1,IF(4=life_fac,0.5,0))+Sens!E13565*IF(3&lt;life_fac,1,IF(3=life_fac,0.5,0))+Sens!F13565*IF(2&lt;life_fac,1,IF(2=life_fac,0.5,0))+Sens!G13565*IF(1&lt;life_fac,1,IF(1=life_fac,0.5,0))+Sens!H13565*0.5)/life_fac</f>
        <v>5.898098964625</v>
      </c>
      <c r="I13571" s="6" t="n">
        <f aca="false">(Sens!C13565*IF(6&lt;life_fac,1,IF(6=life_fac,0.5,0))+Sens!D13565*IF(5&lt;life_fac,1,IF(5=life_fac,0.5,0))+Sens!E13565*IF(4&lt;life_fac,1,IF(4=life_fac,0.5,0))+Sens!F13565*IF(3&lt;life_fac,1,IF(3=life_fac,0.5,0))+Sens!G13565*IF(2&lt;life_fac,1,IF(2=life_fac,0.5,0))+Sens!H13565*IF(1&lt;life_fac,1,IF(1=life_fac,0.5,0))+Sens!I13565*0.5)/life_fac</f>
        <v>7.37368556095442</v>
      </c>
      <c r="J13571" s="6" t="n">
        <f aca="false">(Sens!C13565*IF(7&lt;life_fac,1,IF(7=life_fac,0.5,0))+Sens!D13565*IF(6&lt;life_fac,1,IF(6=life_fac,0.5,0))+Sens!E13565*IF(5&lt;life_fac,1,IF(5=life_fac,0.5,0))+Sens!F13565*IF(4&lt;life_fac,1,IF(4=life_fac,0.5,0))+Sens!G13565*IF(3&lt;life_fac,1,IF(3=life_fac,0.5,0))+Sens!H13565*IF(2&lt;life_fac,1,IF(2=life_fac,0.5,0))+Sens!I13565*IF(1&lt;life_fac,1,IF(1=life_fac,0.5,0))+Sens!J13565*0.5)/life_fac</f>
        <v>8.35816451031075</v>
      </c>
      <c r="K13571" s="6" t="n">
        <f aca="false">(Sens!C13565*IF(8&lt;life_fac,1,IF(8=life_fac,0.5,0))+Sens!D13565*IF(7&lt;life_fac,1,IF(7=life_fac,0.5,0))+Sens!E13565*IF(6&lt;life_fac,1,IF(6=life_fac,0.5,0))+Sens!F13565*IF(5&lt;life_fac,1,IF(5=life_fac,0.5,0))+Sens!G13565*IF(4&lt;life_fac,1,IF(4=life_fac,0.5,0))+Sens!H13565*IF(3&lt;life_fac,1,IF(3=life_fac,0.5,0))+Sens!I13565*IF(2&lt;life_fac,1,IF(2=life_fac,0.5,0))+Sens!J13565*IF(1&lt;life_fac,1,IF(1=life_fac,0.5,0))+Sens!K13565*0.5)/life_fac</f>
        <v>8.86883104910662</v>
      </c>
    </row>
    <row r="13572" customFormat="false" ht="17.15" hidden="false" customHeight="false" outlineLevel="0" collapsed="false">
      <c r="A13572" s="0" t="s">
        <v>1005</v>
      </c>
      <c r="B13572" s="0" t="s">
        <v>98</v>
      </c>
      <c r="E13572" s="6" t="n">
        <f aca="false">Sens!E13570+Sens!E13571</f>
        <v>16.3054059770833</v>
      </c>
      <c r="F13572" s="6" t="n">
        <f aca="false">Sens!F13570+Sens!F13571</f>
        <v>34.5793144783516</v>
      </c>
      <c r="G13572" s="6" t="n">
        <f aca="false">Sens!G13570+Sens!G13571</f>
        <v>60.7344906522989</v>
      </c>
      <c r="H13572" s="6" t="n">
        <f aca="false">Sens!H13570+Sens!H13571</f>
        <v>89.1000906614457</v>
      </c>
      <c r="I13572" s="6" t="n">
        <f aca="false">Sens!I13570+Sens!I13571</f>
        <v>114.231009694548</v>
      </c>
      <c r="J13572" s="6" t="n">
        <f aca="false">Sens!J13570+Sens!J13571</f>
        <v>132.015673049596</v>
      </c>
      <c r="K13572" s="6" t="n">
        <f aca="false">Sens!K13570+Sens!K13571</f>
        <v>143.012669550934</v>
      </c>
    </row>
    <row r="13573" customFormat="false" ht="17.15" hidden="false" customHeight="false" outlineLevel="0" collapsed="false">
      <c r="A13573" s="0" t="s">
        <v>1006</v>
      </c>
      <c r="B13573" s="0" t="s">
        <v>98</v>
      </c>
      <c r="E13573" s="6" t="n">
        <f aca="false">Sens!E13560-Sens!E13559*Sens!E13572</f>
        <v>8.92707889977379</v>
      </c>
      <c r="F13573" s="6" t="n">
        <f aca="false">Sens!F13560-Sens!F13559*Sens!F13572</f>
        <v>18.7770356668733</v>
      </c>
      <c r="G13573" s="6" t="n">
        <f aca="false">Sens!G13560-Sens!G13559*Sens!G13572</f>
        <v>31.1163641458894</v>
      </c>
      <c r="H13573" s="6" t="n">
        <f aca="false">Sens!H13560-Sens!H13559*Sens!H13572</f>
        <v>43.7262635496428</v>
      </c>
      <c r="I13573" s="6" t="n">
        <f aca="false">Sens!I13560-Sens!I13559*Sens!I13572</f>
        <v>54.7541698336361</v>
      </c>
      <c r="J13573" s="6" t="n">
        <f aca="false">Sens!J13560-Sens!J13559*Sens!J13572</f>
        <v>62.3768819327658</v>
      </c>
      <c r="K13573" s="6" t="n">
        <f aca="false">Sens!K13560-Sens!K13559*Sens!K13572</f>
        <v>67.4820630434748</v>
      </c>
    </row>
    <row r="13574" customFormat="false" ht="17.15" hidden="false" customHeight="false" outlineLevel="0" collapsed="false">
      <c r="A13574" s="3" t="s">
        <v>1951</v>
      </c>
    </row>
    <row r="13575" customFormat="false" ht="15" hidden="false" customHeight="false" outlineLevel="0" collapsed="false">
      <c r="A13575" s="4" t="s">
        <v>43</v>
      </c>
      <c r="B13575" s="4" t="s">
        <v>65</v>
      </c>
      <c r="C13575" s="23" t="s">
        <v>942</v>
      </c>
      <c r="D13575" s="23" t="s">
        <v>943</v>
      </c>
      <c r="E13575" s="23" t="s">
        <v>944</v>
      </c>
      <c r="F13575" s="23" t="s">
        <v>945</v>
      </c>
      <c r="G13575" s="23" t="s">
        <v>946</v>
      </c>
      <c r="H13575" s="23" t="s">
        <v>947</v>
      </c>
      <c r="I13575" s="23" t="s">
        <v>948</v>
      </c>
      <c r="J13575" s="23" t="s">
        <v>949</v>
      </c>
      <c r="K13575" s="23" t="s">
        <v>950</v>
      </c>
      <c r="L13575" s="4" t="s">
        <v>47</v>
      </c>
    </row>
    <row r="13576" customFormat="false" ht="17.15" hidden="false" customHeight="false" outlineLevel="0" collapsed="false">
      <c r="A13576" s="0" t="s">
        <v>1025</v>
      </c>
      <c r="B13576" s="0" t="s">
        <v>98</v>
      </c>
      <c r="D13576" s="6" t="n">
        <f aca="false">Sens!D13554</f>
        <v>12.9359794422418</v>
      </c>
      <c r="E13576" s="6" t="n">
        <f aca="false">Sens!E13554</f>
        <v>27.8095064661409</v>
      </c>
      <c r="F13576" s="6" t="n">
        <f aca="false">Sens!F13554</f>
        <v>55.4118315060966</v>
      </c>
      <c r="G13576" s="6" t="n">
        <f aca="false">Sens!G13554</f>
        <v>91.2881100675143</v>
      </c>
      <c r="H13576" s="6" t="n">
        <f aca="false">Sens!H13554</f>
        <v>128.195273603944</v>
      </c>
      <c r="I13576" s="6" t="n">
        <f aca="false">Sens!I13554</f>
        <v>160.601281810405</v>
      </c>
      <c r="J13576" s="6" t="n">
        <f aca="false">Sens!J13554</f>
        <v>183.182719793589</v>
      </c>
      <c r="K13576" s="6" t="n">
        <f aca="false">Sens!K13554</f>
        <v>197.320124937098</v>
      </c>
    </row>
    <row r="13577" customFormat="false" ht="17.15" hidden="false" customHeight="false" outlineLevel="0" collapsed="false">
      <c r="A13577" s="0" t="s">
        <v>1026</v>
      </c>
      <c r="B13577" s="0" t="s">
        <v>98</v>
      </c>
      <c r="D13577" s="6" t="n">
        <f aca="false">Q!L6-Sens!D13576</f>
        <v>59.6740205577583</v>
      </c>
      <c r="E13577" s="6" t="n">
        <f aca="false">Q!M6-Sens!E13576</f>
        <v>74.1284935338591</v>
      </c>
      <c r="F13577" s="6" t="n">
        <f aca="false">Q!$I$6+(Sens!F13576+Sens!E13577*(1+Sens!F13578))*(1-Q!$E$6/Q!M6)-Sens!F13576</f>
        <v>91.2972164940844</v>
      </c>
      <c r="G13577" s="6" t="n">
        <f aca="false">Sens!F13577*(1+Sens!G13578)</f>
        <v>108.474719793879</v>
      </c>
      <c r="H13577" s="6" t="n">
        <f aca="false">Sens!G13577*(1+Sens!H13578)</f>
        <v>125.951292505701</v>
      </c>
      <c r="I13577" s="6" t="n">
        <f aca="false">Sens!H13577*(1+Sens!I13578)</f>
        <v>142.838165154212</v>
      </c>
      <c r="J13577" s="6" t="n">
        <f aca="false">Sens!I13577*(1+Sens!J13578)</f>
        <v>158.12717866615</v>
      </c>
      <c r="K13577" s="6" t="n">
        <f aca="false">Sens!J13577*(1+Sens!K13578)</f>
        <v>170.777352959442</v>
      </c>
      <c r="L13577" s="12" t="s">
        <v>1027</v>
      </c>
    </row>
    <row r="13578" customFormat="false" ht="15" hidden="false" customHeight="false" outlineLevel="0" collapsed="false">
      <c r="A13578" s="1" t="s">
        <v>1028</v>
      </c>
      <c r="B13578" s="0" t="s">
        <v>168</v>
      </c>
      <c r="E13578" s="7" t="n">
        <f aca="false">Sens!E13577/Sens!D13577-1</f>
        <v>0.242223883039864</v>
      </c>
      <c r="F13578" s="7" t="n">
        <f aca="false">Sens!$E$13578+(glt_azo-Sens!$E$13578)*MIN(1,(Sens!F13535-base_fy)/n_conv)</f>
        <v>0.215186569199887</v>
      </c>
      <c r="G13578" s="7" t="n">
        <f aca="false">Sens!$E$13578+(glt_azo-Sens!$E$13578)*MIN(1,(Sens!G13535-base_fy)/n_conv)</f>
        <v>0.18814925535991</v>
      </c>
      <c r="H13578" s="7" t="n">
        <f aca="false">Sens!$E$13578+(glt_azo-Sens!$E$13578)*MIN(1,(Sens!H13535-base_fy)/n_conv)</f>
        <v>0.161111941519932</v>
      </c>
      <c r="I13578" s="7" t="n">
        <f aca="false">Sens!$E$13578+(glt_azo-Sens!$E$13578)*MIN(1,(Sens!I13535-base_fy)/n_conv)</f>
        <v>0.134074627679955</v>
      </c>
      <c r="J13578" s="7" t="n">
        <f aca="false">Sens!$E$13578+(glt_azo-Sens!$E$13578)*MIN(1,(Sens!J13535-base_fy)/n_conv)</f>
        <v>0.107037313839977</v>
      </c>
      <c r="K13578" s="7" t="n">
        <f aca="false">Sens!$E$13578+(glt_azo-Sens!$E$13578)*MIN(1,(Sens!K13535-base_fy)/n_conv)</f>
        <v>0.08</v>
      </c>
    </row>
    <row r="13579" customFormat="false" ht="15" hidden="false" customHeight="false" outlineLevel="0" collapsed="false">
      <c r="A13579" s="0" t="s">
        <v>1029</v>
      </c>
      <c r="B13579" s="0" t="s">
        <v>98</v>
      </c>
      <c r="D13579" s="6" t="n">
        <f aca="false">Sens!D13576+Sens!D13577</f>
        <v>72.61</v>
      </c>
      <c r="E13579" s="6" t="n">
        <f aca="false">Sens!E13576+Sens!E13577</f>
        <v>101.938</v>
      </c>
      <c r="F13579" s="6" t="n">
        <f aca="false">Sens!F13576+Sens!F13577</f>
        <v>146.709048000181</v>
      </c>
      <c r="G13579" s="6" t="n">
        <f aca="false">Sens!G13576+Sens!G13577</f>
        <v>199.762829861393</v>
      </c>
      <c r="H13579" s="6" t="n">
        <f aca="false">Sens!H13576+Sens!H13577</f>
        <v>254.146566109645</v>
      </c>
      <c r="I13579" s="6" t="n">
        <f aca="false">Sens!I13576+Sens!I13577</f>
        <v>303.439446964617</v>
      </c>
      <c r="J13579" s="6" t="n">
        <f aca="false">Sens!J13576+Sens!J13577</f>
        <v>341.309898459739</v>
      </c>
      <c r="K13579" s="6" t="n">
        <f aca="false">Sens!K13576+Sens!K13577</f>
        <v>368.09747789654</v>
      </c>
    </row>
    <row r="13580" customFormat="false" ht="17.15" hidden="false" customHeight="false" outlineLevel="0" collapsed="false">
      <c r="A13580" s="0" t="s">
        <v>1030</v>
      </c>
      <c r="B13580" s="1" t="s">
        <v>613</v>
      </c>
      <c r="C13580" s="30" t="n">
        <f aca="false">cop_s24</f>
        <v>1</v>
      </c>
      <c r="D13580" s="30" t="n">
        <f aca="false">cop_s25</f>
        <v>5</v>
      </c>
      <c r="E13580" s="30" t="n">
        <f aca="false">cop_s26</f>
        <v>30</v>
      </c>
      <c r="F13580" s="30" t="n">
        <f aca="false">Sens!E13580+cop_add_B</f>
        <v>50</v>
      </c>
      <c r="G13580" s="30" t="n">
        <f aca="false">Sens!F13580+cop_add_B</f>
        <v>70</v>
      </c>
      <c r="H13580" s="30" t="n">
        <f aca="false">Sens!G13580+cop_add_B</f>
        <v>90</v>
      </c>
      <c r="I13580" s="30" t="n">
        <f aca="false">Sens!H13580+cop_add_B*cop_tail</f>
        <v>100</v>
      </c>
      <c r="J13580" s="30" t="n">
        <f aca="false">Sens!I13580+cop_add_B*cop_tail</f>
        <v>110</v>
      </c>
      <c r="K13580" s="30" t="n">
        <f aca="false">Sens!J13580+cop_add_B*cop_tail</f>
        <v>120</v>
      </c>
      <c r="L13580" s="12" t="s">
        <v>1031</v>
      </c>
    </row>
    <row r="13581" customFormat="false" ht="17.15" hidden="false" customHeight="false" outlineLevel="0" collapsed="false">
      <c r="A13581" s="0" t="s">
        <v>1032</v>
      </c>
      <c r="B13581" s="0" t="s">
        <v>98</v>
      </c>
      <c r="D13581" s="6" t="n">
        <f aca="false">(Sens!C13580+Sens!D13580)/2*cop_px*12/1000</f>
        <v>0.9</v>
      </c>
      <c r="E13581" s="6" t="n">
        <f aca="false">(Sens!D13580+Sens!E13580)/2*cop_px*12/1000</f>
        <v>5.25</v>
      </c>
      <c r="F13581" s="6" t="n">
        <f aca="false">(Sens!E13580+Sens!F13580)/2*cop_px*12/1000</f>
        <v>12</v>
      </c>
      <c r="G13581" s="6" t="n">
        <f aca="false">(Sens!F13580+Sens!G13580)/2*cop_px*12/1000</f>
        <v>18</v>
      </c>
      <c r="H13581" s="6" t="n">
        <f aca="false">(Sens!G13580+Sens!H13580)/2*cop_px*12/1000</f>
        <v>24</v>
      </c>
      <c r="I13581" s="6" t="n">
        <f aca="false">(Sens!H13580+Sens!I13580)/2*cop_px*12/1000</f>
        <v>28.5</v>
      </c>
      <c r="J13581" s="6" t="n">
        <f aca="false">(Sens!I13580+Sens!J13580)/2*cop_px*12/1000</f>
        <v>31.5</v>
      </c>
      <c r="K13581" s="6" t="n">
        <f aca="false">(Sens!J13580+Sens!K13580)/2*cop_px*12/1000</f>
        <v>34.5</v>
      </c>
      <c r="L13581" s="1" t="s">
        <v>1033</v>
      </c>
    </row>
    <row r="13582" customFormat="false" ht="17.15" hidden="false" customHeight="false" outlineLevel="0" collapsed="false">
      <c r="A13582" s="0" t="s">
        <v>1034</v>
      </c>
      <c r="B13582" s="0" t="s">
        <v>98</v>
      </c>
      <c r="D13582" s="6" t="n">
        <f aca="false">Q!L7-Sens!D13581</f>
        <v>83.705</v>
      </c>
      <c r="E13582" s="6" t="n">
        <f aca="false">Q!M7-Sens!E13581</f>
        <v>95.049</v>
      </c>
      <c r="F13582" s="6" t="n">
        <f aca="false">Q!$I$7+(Sens!E13582*(1+Sens!F13583)+Sens!F13581)*(1-Q!$E$7/Q!M7)-Sens!F13581</f>
        <v>106.584003697747</v>
      </c>
      <c r="G13582" s="6" t="n">
        <f aca="false">Sens!F13582*(1+Sens!G13583)</f>
        <v>118.700726545688</v>
      </c>
      <c r="H13582" s="6" t="n">
        <f aca="false">Sens!G13582*(1+Sens!H13583)</f>
        <v>130.898624783666</v>
      </c>
      <c r="I13582" s="6" t="n">
        <f aca="false">Sens!H13582*(1+Sens!I13583)</f>
        <v>142.920510030657</v>
      </c>
      <c r="J13582" s="6" t="n">
        <f aca="false">Sens!I13582*(1+Sens!J13583)</f>
        <v>154.485722618572</v>
      </c>
      <c r="K13582" s="6" t="n">
        <f aca="false">Sens!J13582*(1+Sens!K13583)</f>
        <v>165.299723201872</v>
      </c>
      <c r="L13582" s="12" t="s">
        <v>1035</v>
      </c>
    </row>
    <row r="13583" customFormat="false" ht="15" hidden="false" customHeight="false" outlineLevel="0" collapsed="false">
      <c r="A13583" s="1" t="s">
        <v>1028</v>
      </c>
      <c r="B13583" s="0" t="s">
        <v>168</v>
      </c>
      <c r="E13583" s="7" t="n">
        <f aca="false">Sens!E13582/Sens!D13582-1</f>
        <v>0.135523564900544</v>
      </c>
      <c r="F13583" s="7" t="n">
        <f aca="false">Sens!$E$13583+(glt_m365b-Sens!$E$13583)*MIN(1,(Sens!F13535-base_fy)/n_conv)</f>
        <v>0.124602970750453</v>
      </c>
      <c r="G13583" s="7" t="n">
        <f aca="false">Sens!$E$13583+(glt_m365b-Sens!$E$13583)*MIN(1,(Sens!G13535-base_fy)/n_conv)</f>
        <v>0.113682376600363</v>
      </c>
      <c r="H13583" s="7" t="n">
        <f aca="false">Sens!$E$13583+(glt_m365b-Sens!$E$13583)*MIN(1,(Sens!H13535-base_fy)/n_conv)</f>
        <v>0.102761782450272</v>
      </c>
      <c r="I13583" s="7" t="n">
        <f aca="false">Sens!$E$13583+(glt_m365b-Sens!$E$13583)*MIN(1,(Sens!I13535-base_fy)/n_conv)</f>
        <v>0.0918411883001813</v>
      </c>
      <c r="J13583" s="7" t="n">
        <f aca="false">Sens!$E$13583+(glt_m365b-Sens!$E$13583)*MIN(1,(Sens!J13535-base_fy)/n_conv)</f>
        <v>0.0809205941500906</v>
      </c>
      <c r="K13583" s="7" t="n">
        <f aca="false">Sens!$E$13583+(glt_m365b-Sens!$E$13583)*MIN(1,(Sens!K13535-base_fy)/n_conv)</f>
        <v>0.07</v>
      </c>
    </row>
    <row r="13584" customFormat="false" ht="15" hidden="false" customHeight="false" outlineLevel="0" collapsed="false">
      <c r="A13584" s="0" t="s">
        <v>1036</v>
      </c>
      <c r="B13584" s="0" t="s">
        <v>98</v>
      </c>
      <c r="D13584" s="6" t="n">
        <f aca="false">Sens!D13582+Sens!D13581</f>
        <v>84.605</v>
      </c>
      <c r="E13584" s="6" t="n">
        <f aca="false">Sens!E13582+Sens!E13581</f>
        <v>100.299</v>
      </c>
      <c r="F13584" s="6" t="n">
        <f aca="false">Sens!F13582+Sens!F13581</f>
        <v>118.584003697747</v>
      </c>
      <c r="G13584" s="6" t="n">
        <f aca="false">Sens!G13582+Sens!G13581</f>
        <v>136.700726545688</v>
      </c>
      <c r="H13584" s="6" t="n">
        <f aca="false">Sens!H13582+Sens!H13581</f>
        <v>154.898624783666</v>
      </c>
      <c r="I13584" s="6" t="n">
        <f aca="false">Sens!I13582+Sens!I13581</f>
        <v>171.420510030657</v>
      </c>
      <c r="J13584" s="6" t="n">
        <f aca="false">Sens!J13582+Sens!J13581</f>
        <v>185.985722618572</v>
      </c>
      <c r="K13584" s="6" t="n">
        <f aca="false">Sens!K13582+Sens!K13581</f>
        <v>199.799723201872</v>
      </c>
    </row>
    <row r="13585" customFormat="false" ht="17.15" hidden="false" customHeight="false" outlineLevel="0" collapsed="false">
      <c r="A13585" s="0" t="s">
        <v>1037</v>
      </c>
      <c r="B13585" s="0" t="s">
        <v>98</v>
      </c>
      <c r="D13585" s="6" t="n">
        <f aca="false">Q!L8</f>
        <v>35.391</v>
      </c>
      <c r="E13585" s="6" t="n">
        <f aca="false">Q!M8</f>
        <v>37.285</v>
      </c>
      <c r="F13585" s="6" t="n">
        <f aca="false">Q!$I$8+(Q!M8-Q!$E$8)*(1+Sens!F13586)</f>
        <v>38.3851437782675</v>
      </c>
      <c r="G13585" s="6" t="n">
        <f aca="false">Sens!F13585*(1+Sens!G13586)</f>
        <v>40.0105353288615</v>
      </c>
      <c r="H13585" s="6" t="n">
        <f aca="false">Sens!G13585*(1+Sens!H13586)</f>
        <v>41.4812512033683</v>
      </c>
      <c r="I13585" s="6" t="n">
        <f aca="false">Sens!H13585*(1+Sens!I13586)</f>
        <v>42.7743107216329</v>
      </c>
      <c r="J13585" s="6" t="n">
        <f aca="false">Sens!I13585*(1+Sens!J13586)</f>
        <v>43.8687373064601</v>
      </c>
      <c r="K13585" s="6" t="n">
        <f aca="false">Sens!J13585*(1+Sens!K13586)</f>
        <v>44.7461120525893</v>
      </c>
      <c r="L13585" s="12" t="s">
        <v>1038</v>
      </c>
    </row>
    <row r="13586" customFormat="false" ht="15" hidden="false" customHeight="false" outlineLevel="0" collapsed="false">
      <c r="A13586" s="1" t="s">
        <v>1028</v>
      </c>
      <c r="B13586" s="0" t="s">
        <v>168</v>
      </c>
      <c r="E13586" s="7" t="n">
        <f aca="false">Sens!E13585/Sens!D13585-1</f>
        <v>0.0535164307309768</v>
      </c>
      <c r="F13586" s="7" t="n">
        <f aca="false">Sens!$E$13586+(glt_lic-Sens!$E$13586)*MIN(1,(Sens!F13535-base_fy)/n_conv)</f>
        <v>0.0479303589424807</v>
      </c>
      <c r="G13586" s="7" t="n">
        <f aca="false">Sens!$E$13586+(glt_lic-Sens!$E$13586)*MIN(1,(Sens!G13535-base_fy)/n_conv)</f>
        <v>0.0423442871539845</v>
      </c>
      <c r="H13586" s="7" t="n">
        <f aca="false">Sens!$E$13586+(glt_lic-Sens!$E$13586)*MIN(1,(Sens!H13535-base_fy)/n_conv)</f>
        <v>0.0367582153654884</v>
      </c>
      <c r="I13586" s="7" t="n">
        <f aca="false">Sens!$E$13586+(glt_lic-Sens!$E$13586)*MIN(1,(Sens!I13535-base_fy)/n_conv)</f>
        <v>0.0311721435769923</v>
      </c>
      <c r="J13586" s="7" t="n">
        <f aca="false">Sens!$E$13586+(glt_lic-Sens!$E$13586)*MIN(1,(Sens!J13535-base_fy)/n_conv)</f>
        <v>0.0255860717884961</v>
      </c>
      <c r="K13586" s="7" t="n">
        <f aca="false">Sens!$E$13586+(glt_lic-Sens!$E$13586)*MIN(1,(Sens!K13535-base_fy)/n_conv)</f>
        <v>0.02</v>
      </c>
    </row>
    <row r="13587" customFormat="false" ht="17.15" hidden="false" customHeight="false" outlineLevel="0" collapsed="false">
      <c r="A13587" s="0" t="s">
        <v>1039</v>
      </c>
      <c r="B13587" s="0" t="s">
        <v>98</v>
      </c>
      <c r="D13587" s="6" t="n">
        <f aca="false">Q!L9</f>
        <v>18.417</v>
      </c>
      <c r="E13587" s="6" t="n">
        <f aca="false">Q!M9</f>
        <v>20.345</v>
      </c>
      <c r="F13587" s="6" t="n">
        <f aca="false">Q!$I$9+(Q!M9-Q!$E$9)*(1+Sens!F13588)</f>
        <v>22.3161797133988</v>
      </c>
      <c r="G13587" s="6" t="n">
        <f aca="false">Sens!F13587*(1+Sens!G13588)</f>
        <v>24.3943499673233</v>
      </c>
      <c r="H13587" s="6" t="n">
        <f aca="false">Sens!G13587*(1+Sens!H13588)</f>
        <v>26.5250243109019</v>
      </c>
      <c r="I13587" s="6" t="n">
        <f aca="false">Sens!H13587*(1+Sens!I13588)</f>
        <v>28.6884573538181</v>
      </c>
      <c r="J13587" s="6" t="n">
        <f aca="false">Sens!I13587*(1+Sens!J13588)</f>
        <v>30.8624968052127</v>
      </c>
      <c r="K13587" s="6" t="n">
        <f aca="false">Sens!J13587*(1+Sens!K13588)</f>
        <v>33.0228715815776</v>
      </c>
      <c r="L13587" s="12" t="s">
        <v>1038</v>
      </c>
    </row>
    <row r="13588" customFormat="false" ht="15" hidden="false" customHeight="false" outlineLevel="0" collapsed="false">
      <c r="A13588" s="1" t="s">
        <v>1028</v>
      </c>
      <c r="B13588" s="0" t="s">
        <v>168</v>
      </c>
      <c r="E13588" s="7" t="n">
        <f aca="false">Sens!E13587/Sens!D13587-1</f>
        <v>0.104685888038225</v>
      </c>
      <c r="F13588" s="7" t="n">
        <f aca="false">Sens!$E$13588+(glt_ind-Sens!$E$13588)*MIN(1,(Sens!F13535-base_fy)/n_conv)</f>
        <v>0.0989049066985211</v>
      </c>
      <c r="G13588" s="7" t="n">
        <f aca="false">Sens!$E$13588+(glt_ind-Sens!$E$13588)*MIN(1,(Sens!G13535-base_fy)/n_conv)</f>
        <v>0.0931239253588169</v>
      </c>
      <c r="H13588" s="7" t="n">
        <f aca="false">Sens!$E$13588+(glt_ind-Sens!$E$13588)*MIN(1,(Sens!H13535-base_fy)/n_conv)</f>
        <v>0.0873429440191127</v>
      </c>
      <c r="I13588" s="7" t="n">
        <f aca="false">Sens!$E$13588+(glt_ind-Sens!$E$13588)*MIN(1,(Sens!I13535-base_fy)/n_conv)</f>
        <v>0.0815619626794085</v>
      </c>
      <c r="J13588" s="7" t="n">
        <f aca="false">Sens!$E$13588+(glt_ind-Sens!$E$13588)*MIN(1,(Sens!J13535-base_fy)/n_conv)</f>
        <v>0.0757809813397042</v>
      </c>
      <c r="K13588" s="7" t="n">
        <f aca="false">Sens!$E$13588+(glt_ind-Sens!$E$13588)*MIN(1,(Sens!K13535-base_fy)/n_conv)</f>
        <v>0.07</v>
      </c>
    </row>
    <row r="13589" customFormat="false" ht="17.15" hidden="false" customHeight="false" outlineLevel="0" collapsed="false">
      <c r="A13589" s="0" t="s">
        <v>1040</v>
      </c>
      <c r="B13589" s="0" t="s">
        <v>98</v>
      </c>
      <c r="D13589" s="6" t="n">
        <f aca="false">Q!L10</f>
        <v>7.76</v>
      </c>
      <c r="E13589" s="6" t="n">
        <f aca="false">Q!M10</f>
        <v>8.26</v>
      </c>
      <c r="F13589" s="6" t="n">
        <f aca="false">Q!$I$10+(Q!M10-Q!$E$10)*(1+Sens!F13590)</f>
        <v>8.75372082474227</v>
      </c>
      <c r="G13589" s="6" t="n">
        <f aca="false">Sens!F13589*(1+Sens!G13590)</f>
        <v>9.33399324642364</v>
      </c>
      <c r="H13589" s="6" t="n">
        <f aca="false">Sens!G13589*(1+Sens!H13590)</f>
        <v>9.96139155535851</v>
      </c>
      <c r="I13589" s="6" t="n">
        <f aca="false">Sens!H13589*(1+Sens!I13590)</f>
        <v>10.6402039077391</v>
      </c>
      <c r="J13589" s="6" t="n">
        <f aca="false">Sens!I13589*(1+Sens!J13590)</f>
        <v>11.3751458271397</v>
      </c>
      <c r="K13589" s="6" t="n">
        <f aca="false">Sens!J13589*(1+Sens!K13590)</f>
        <v>12.1714060350394</v>
      </c>
      <c r="L13589" s="12" t="s">
        <v>1038</v>
      </c>
    </row>
    <row r="13590" customFormat="false" ht="15" hidden="false" customHeight="false" outlineLevel="0" collapsed="false">
      <c r="A13590" s="1" t="s">
        <v>1028</v>
      </c>
      <c r="B13590" s="0" t="s">
        <v>168</v>
      </c>
      <c r="E13590" s="7" t="n">
        <f aca="false">Sens!E13589/Sens!D13589-1</f>
        <v>0.0644329896907216</v>
      </c>
      <c r="F13590" s="7" t="n">
        <f aca="false">Sens!$E$13590+(glt_fro-Sens!$E$13590)*MIN(1,(Sens!F13535-base_fy)/n_conv)</f>
        <v>0.065360824742268</v>
      </c>
      <c r="G13590" s="7" t="n">
        <f aca="false">Sens!$E$13590+(glt_fro-Sens!$E$13590)*MIN(1,(Sens!G13535-base_fy)/n_conv)</f>
        <v>0.0662886597938144</v>
      </c>
      <c r="H13590" s="7" t="n">
        <f aca="false">Sens!$E$13590+(glt_fro-Sens!$E$13590)*MIN(1,(Sens!H13535-base_fy)/n_conv)</f>
        <v>0.0672164948453608</v>
      </c>
      <c r="I13590" s="7" t="n">
        <f aca="false">Sens!$E$13590+(glt_fro-Sens!$E$13590)*MIN(1,(Sens!I13535-base_fy)/n_conv)</f>
        <v>0.0681443298969072</v>
      </c>
      <c r="J13590" s="7" t="n">
        <f aca="false">Sens!$E$13590+(glt_fro-Sens!$E$13590)*MIN(1,(Sens!J13535-base_fy)/n_conv)</f>
        <v>0.0690721649484536</v>
      </c>
      <c r="K13590" s="7" t="n">
        <f aca="false">Sens!$E$13590+(glt_fro-Sens!$E$13590)*MIN(1,(Sens!K13535-base_fy)/n_conv)</f>
        <v>0.07</v>
      </c>
    </row>
    <row r="13591" customFormat="false" ht="15" hidden="false" customHeight="false" outlineLevel="0" collapsed="false">
      <c r="A13591" s="0" t="s">
        <v>856</v>
      </c>
      <c r="B13591" s="0" t="s">
        <v>98</v>
      </c>
      <c r="D13591" s="6" t="n">
        <f aca="false">Sens!D13579+Sens!D13584+Sens!D13585+Sens!D13587+Sens!D13589</f>
        <v>218.783</v>
      </c>
      <c r="E13591" s="6" t="n">
        <f aca="false">Sens!E13579+Sens!E13584+Sens!E13585+Sens!E13587+Sens!E13589</f>
        <v>268.127</v>
      </c>
      <c r="F13591" s="6" t="n">
        <f aca="false">Sens!F13579+Sens!F13584+Sens!F13585+Sens!F13587+Sens!F13589</f>
        <v>334.748096014336</v>
      </c>
      <c r="G13591" s="6" t="n">
        <f aca="false">Sens!G13579+Sens!G13584+Sens!G13585+Sens!G13587+Sens!G13589</f>
        <v>410.20243494969</v>
      </c>
      <c r="H13591" s="6" t="n">
        <f aca="false">Sens!H13579+Sens!H13584+Sens!H13585+Sens!H13587+Sens!H13589</f>
        <v>487.012857962939</v>
      </c>
      <c r="I13591" s="6" t="n">
        <f aca="false">Sens!I13579+Sens!I13584+Sens!I13585+Sens!I13587+Sens!I13589</f>
        <v>556.962928978464</v>
      </c>
      <c r="J13591" s="6" t="n">
        <f aca="false">Sens!J13579+Sens!J13584+Sens!J13585+Sens!J13587+Sens!J13589</f>
        <v>613.402001017124</v>
      </c>
      <c r="K13591" s="6" t="n">
        <f aca="false">Sens!K13579+Sens!K13584+Sens!K13585+Sens!K13587+Sens!K13589</f>
        <v>657.837590767618</v>
      </c>
    </row>
    <row r="13592" customFormat="false" ht="17.15" hidden="false" customHeight="false" outlineLevel="0" collapsed="false">
      <c r="A13592" s="0" t="s">
        <v>1041</v>
      </c>
      <c r="B13592" s="0" t="s">
        <v>98</v>
      </c>
      <c r="D13592" s="6" t="n">
        <f aca="false">Q!L13</f>
        <v>22.171</v>
      </c>
      <c r="E13592" s="6" t="n">
        <f aca="false">Q!M13</f>
        <v>24.835</v>
      </c>
      <c r="F13592" s="6" t="n">
        <f aca="false">Q!$I$13+(Q!M13-Q!$E$13)*(1+Sens!F13593)</f>
        <v>27.5591895660247</v>
      </c>
      <c r="G13592" s="6" t="n">
        <f aca="false">Sens!F13592*(1+Sens!G13593)</f>
        <v>30.4098563144583</v>
      </c>
      <c r="H13592" s="6" t="n">
        <f aca="false">Sens!G13592*(1+Sens!H13593)</f>
        <v>33.3011792571777</v>
      </c>
      <c r="I13592" s="6" t="n">
        <f aca="false">Sens!H13592*(1+Sens!I13593)</f>
        <v>36.189023797112</v>
      </c>
      <c r="J13592" s="6" t="n">
        <f aca="false">Sens!I13592*(1+Sens!J13593)</f>
        <v>39.0247773769199</v>
      </c>
      <c r="K13592" s="6" t="n">
        <f aca="false">Sens!J13592*(1+Sens!K13593)</f>
        <v>41.7565117933043</v>
      </c>
      <c r="L13592" s="12" t="s">
        <v>1038</v>
      </c>
    </row>
    <row r="13593" customFormat="false" ht="15" hidden="false" customHeight="false" outlineLevel="0" collapsed="false">
      <c r="A13593" s="1" t="s">
        <v>1028</v>
      </c>
      <c r="B13593" s="0" t="s">
        <v>168</v>
      </c>
      <c r="E13593" s="7" t="n">
        <f aca="false">Sens!E13592/Sens!D13592-1</f>
        <v>0.120156961796942</v>
      </c>
      <c r="F13593" s="7" t="n">
        <f aca="false">Sens!$E$13593+(glt_srch-Sens!$E$13593)*MIN(1,(Sens!F13535-base_fy)/n_conv)</f>
        <v>0.111797468164118</v>
      </c>
      <c r="G13593" s="7" t="n">
        <f aca="false">Sens!$E$13593+(glt_srch-Sens!$E$13593)*MIN(1,(Sens!G13535-base_fy)/n_conv)</f>
        <v>0.103437974531295</v>
      </c>
      <c r="H13593" s="7" t="n">
        <f aca="false">Sens!$E$13593+(glt_srch-Sens!$E$13593)*MIN(1,(Sens!H13535-base_fy)/n_conv)</f>
        <v>0.095078480898471</v>
      </c>
      <c r="I13593" s="7" t="n">
        <f aca="false">Sens!$E$13593+(glt_srch-Sens!$E$13593)*MIN(1,(Sens!I13535-base_fy)/n_conv)</f>
        <v>0.0867189872656474</v>
      </c>
      <c r="J13593" s="7" t="n">
        <f aca="false">Sens!$E$13593+(glt_srch-Sens!$E$13593)*MIN(1,(Sens!J13535-base_fy)/n_conv)</f>
        <v>0.0783594936328237</v>
      </c>
      <c r="K13593" s="7" t="n">
        <f aca="false">Sens!$E$13593+(glt_srch-Sens!$E$13593)*MIN(1,(Sens!K13535-base_fy)/n_conv)</f>
        <v>0.07</v>
      </c>
    </row>
    <row r="13594" customFormat="false" ht="17.15" hidden="false" customHeight="false" outlineLevel="0" collapsed="false">
      <c r="A13594" s="0" t="s">
        <v>1042</v>
      </c>
      <c r="B13594" s="0" t="s">
        <v>98</v>
      </c>
      <c r="D13594" s="6" t="n">
        <f aca="false">Q!L14</f>
        <v>23.455</v>
      </c>
      <c r="E13594" s="6" t="n">
        <f aca="false">Q!M14</f>
        <v>21.79</v>
      </c>
      <c r="F13594" s="6" t="n">
        <f aca="false">Q!$I$14+(Q!M14-Q!$E$14)*(1+Sens!F13595)</f>
        <v>20.7520981041711</v>
      </c>
      <c r="G13594" s="6" t="n">
        <f aca="false">Sens!F13594*(1+Sens!G13595)</f>
        <v>19.9083593495882</v>
      </c>
      <c r="H13594" s="6" t="n">
        <f aca="false">Sens!G13594*(1+Sens!H13595)</f>
        <v>19.4008256265831</v>
      </c>
      <c r="I13594" s="6" t="n">
        <f aca="false">Sens!H13594*(1+Sens!I13595)</f>
        <v>19.200434522122</v>
      </c>
      <c r="J13594" s="6" t="n">
        <f aca="false">Sens!I13594*(1+Sens!J13595)</f>
        <v>19.2932782348507</v>
      </c>
      <c r="K13594" s="6" t="n">
        <f aca="false">Sens!J13594*(1+Sens!K13595)</f>
        <v>19.6791437995477</v>
      </c>
      <c r="L13594" s="12" t="s">
        <v>1038</v>
      </c>
    </row>
    <row r="13595" customFormat="false" ht="15" hidden="false" customHeight="false" outlineLevel="0" collapsed="false">
      <c r="A13595" s="1" t="s">
        <v>1028</v>
      </c>
      <c r="B13595" s="0" t="s">
        <v>168</v>
      </c>
      <c r="E13595" s="7" t="n">
        <f aca="false">Sens!E13594/Sens!D13594-1</f>
        <v>-0.0709869963760392</v>
      </c>
      <c r="F13595" s="7" t="n">
        <f aca="false">Sens!$E$13595+(glt_xbox-Sens!$E$13595)*MIN(1,(Sens!F13535-base_fy)/n_conv)</f>
        <v>-0.0558224969800327</v>
      </c>
      <c r="G13595" s="7" t="n">
        <f aca="false">Sens!$E$13595+(glt_xbox-Sens!$E$13595)*MIN(1,(Sens!G13535-base_fy)/n_conv)</f>
        <v>-0.0406579975840262</v>
      </c>
      <c r="H13595" s="7" t="n">
        <f aca="false">Sens!$E$13595+(glt_xbox-Sens!$E$13595)*MIN(1,(Sens!H13535-base_fy)/n_conv)</f>
        <v>-0.0254934981880196</v>
      </c>
      <c r="I13595" s="7" t="n">
        <f aca="false">Sens!$E$13595+(glt_xbox-Sens!$E$13595)*MIN(1,(Sens!I13535-base_fy)/n_conv)</f>
        <v>-0.0103289987920131</v>
      </c>
      <c r="J13595" s="7" t="n">
        <f aca="false">Sens!$E$13595+(glt_xbox-Sens!$E$13595)*MIN(1,(Sens!J13535-base_fy)/n_conv)</f>
        <v>0.00483550060399347</v>
      </c>
      <c r="K13595" s="7" t="n">
        <f aca="false">Sens!$E$13595+(glt_xbox-Sens!$E$13595)*MIN(1,(Sens!K13535-base_fy)/n_conv)</f>
        <v>0.02</v>
      </c>
    </row>
    <row r="13596" customFormat="false" ht="17.15" hidden="false" customHeight="false" outlineLevel="0" collapsed="false">
      <c r="A13596" s="0" t="s">
        <v>1043</v>
      </c>
      <c r="B13596" s="0" t="s">
        <v>98</v>
      </c>
      <c r="D13596" s="6" t="n">
        <f aca="false">Q!L15</f>
        <v>17.315</v>
      </c>
      <c r="E13596" s="6" t="n">
        <f aca="false">Q!M15</f>
        <v>17.087</v>
      </c>
      <c r="F13596" s="6" t="n">
        <f aca="false">Q!$I$15+(Q!M15-Q!$E$15)*(1+Sens!F13597)</f>
        <v>15.9912273250553</v>
      </c>
      <c r="G13596" s="6" t="n">
        <f aca="false">Sens!F13596*(1+Sens!G13597)</f>
        <v>15.9574562664827</v>
      </c>
      <c r="H13596" s="6" t="n">
        <f aca="false">Sens!G13596*(1+Sens!H13597)</f>
        <v>16.0119687434196</v>
      </c>
      <c r="I13596" s="6" t="n">
        <f aca="false">Sens!H13596*(1+Sens!I13597)</f>
        <v>16.1551810001948</v>
      </c>
      <c r="J13596" s="6" t="n">
        <f aca="false">Sens!I13596*(1+Sens!J13597)</f>
        <v>16.3889793892005</v>
      </c>
      <c r="K13596" s="6" t="n">
        <f aca="false">Sens!J13596*(1+Sens!K13597)</f>
        <v>16.7167589769845</v>
      </c>
      <c r="L13596" s="12" t="s">
        <v>1038</v>
      </c>
    </row>
    <row r="13597" customFormat="false" ht="15" hidden="false" customHeight="false" outlineLevel="0" collapsed="false">
      <c r="A13597" s="1" t="s">
        <v>1028</v>
      </c>
      <c r="B13597" s="0" t="s">
        <v>168</v>
      </c>
      <c r="E13597" s="7" t="n">
        <f aca="false">Sens!E13596/Sens!D13596-1</f>
        <v>-0.0131677736066995</v>
      </c>
      <c r="F13597" s="7" t="n">
        <f aca="false">Sens!$E$13597+(glt_win-Sens!$E$13597)*MIN(1,(Sens!F13535-base_fy)/n_conv)</f>
        <v>-0.00763981133891627</v>
      </c>
      <c r="G13597" s="7" t="n">
        <f aca="false">Sens!$E$13597+(glt_win-Sens!$E$13597)*MIN(1,(Sens!G13535-base_fy)/n_conv)</f>
        <v>-0.00211184907113301</v>
      </c>
      <c r="H13597" s="7" t="n">
        <f aca="false">Sens!$E$13597+(glt_win-Sens!$E$13597)*MIN(1,(Sens!H13535-base_fy)/n_conv)</f>
        <v>0.00341611319665024</v>
      </c>
      <c r="I13597" s="7" t="n">
        <f aca="false">Sens!$E$13597+(glt_win-Sens!$E$13597)*MIN(1,(Sens!I13535-base_fy)/n_conv)</f>
        <v>0.00894407546443349</v>
      </c>
      <c r="J13597" s="7" t="n">
        <f aca="false">Sens!$E$13597+(glt_win-Sens!$E$13597)*MIN(1,(Sens!J13535-base_fy)/n_conv)</f>
        <v>0.0144720377322168</v>
      </c>
      <c r="K13597" s="7" t="n">
        <f aca="false">Sens!$E$13597+(glt_win-Sens!$E$13597)*MIN(1,(Sens!K13535-base_fy)/n_conv)</f>
        <v>0.02</v>
      </c>
    </row>
    <row r="13598" customFormat="false" ht="15" hidden="false" customHeight="false" outlineLevel="0" collapsed="false">
      <c r="A13598" s="0" t="s">
        <v>870</v>
      </c>
      <c r="B13598" s="0" t="s">
        <v>98</v>
      </c>
      <c r="D13598" s="6" t="n">
        <f aca="false">Sens!D13592+Sens!D13594+Sens!D13596</f>
        <v>62.941</v>
      </c>
      <c r="E13598" s="6" t="n">
        <f aca="false">Sens!E13592+Sens!E13594+Sens!E13596</f>
        <v>63.712</v>
      </c>
      <c r="F13598" s="6" t="n">
        <f aca="false">Sens!F13592+Sens!F13594+Sens!F13596</f>
        <v>64.3025149952511</v>
      </c>
      <c r="G13598" s="6" t="n">
        <f aca="false">Sens!G13592+Sens!G13594+Sens!G13596</f>
        <v>66.2756719305292</v>
      </c>
      <c r="H13598" s="6" t="n">
        <f aca="false">Sens!H13592+Sens!H13594+Sens!H13596</f>
        <v>68.7139736271804</v>
      </c>
      <c r="I13598" s="6" t="n">
        <f aca="false">Sens!I13592+Sens!I13594+Sens!I13596</f>
        <v>71.5446393194289</v>
      </c>
      <c r="J13598" s="6" t="n">
        <f aca="false">Sens!J13592+Sens!J13594+Sens!J13596</f>
        <v>74.707035000971</v>
      </c>
      <c r="K13598" s="6" t="n">
        <f aca="false">Sens!K13592+Sens!K13594+Sens!K13596</f>
        <v>78.1524145698365</v>
      </c>
    </row>
    <row r="13599" customFormat="false" ht="15" hidden="false" customHeight="false" outlineLevel="0" collapsed="false">
      <c r="A13599" s="1" t="s">
        <v>1044</v>
      </c>
      <c r="B13599" s="0" t="s">
        <v>98</v>
      </c>
      <c r="D13599" s="6" t="n">
        <f aca="false">Sens!D13591+Sens!D13598</f>
        <v>281.724</v>
      </c>
      <c r="E13599" s="6" t="n">
        <f aca="false">Sens!E13591+Sens!E13598</f>
        <v>331.839</v>
      </c>
      <c r="F13599" s="6" t="n">
        <f aca="false">Sens!F13591+Sens!F13598</f>
        <v>399.050611009588</v>
      </c>
      <c r="G13599" s="6" t="n">
        <f aca="false">Sens!G13591+Sens!G13598</f>
        <v>476.478106880219</v>
      </c>
      <c r="H13599" s="6" t="n">
        <f aca="false">Sens!H13591+Sens!H13598</f>
        <v>555.72683159012</v>
      </c>
      <c r="I13599" s="6" t="n">
        <f aca="false">Sens!I13591+Sens!I13598</f>
        <v>628.507568297893</v>
      </c>
      <c r="J13599" s="6" t="n">
        <f aca="false">Sens!J13591+Sens!J13598</f>
        <v>688.109036018095</v>
      </c>
      <c r="K13599" s="6" t="n">
        <f aca="false">Sens!K13591+Sens!K13598</f>
        <v>735.990005337455</v>
      </c>
    </row>
    <row r="13600" customFormat="false" ht="15" hidden="false" customHeight="false" outlineLevel="0" collapsed="false">
      <c r="A13600" s="26" t="s">
        <v>1045</v>
      </c>
      <c r="B13600" s="31" t="s">
        <v>98</v>
      </c>
      <c r="C13600" s="31"/>
      <c r="D13600" s="27" t="n">
        <f aca="false">(Sens!D13579+Sens!D13584+Sens!D13585+Sens!D13587+Sens!D13589-Sens!D13591)+(Sens!D13592+Sens!D13594+Sens!D13596-Sens!D13598)+(Sens!D13591-Q!L5)+(Sens!D13598-Q!L12)+(Sens!D13579-Q!L6)+(Sens!D13584-Q!L7)</f>
        <v>0</v>
      </c>
      <c r="E13600" s="27" t="n">
        <f aca="false">(Sens!E13579+Sens!E13584+Sens!E13585+Sens!E13587+Sens!E13589-Sens!E13591)+(Sens!E13592+Sens!E13594+Sens!E13596-Sens!E13598)+(Sens!E13591-Q!M5)+(Sens!E13598-Q!M12)+(Sens!E13579-Q!M6)+(Sens!E13584-Q!M7)</f>
        <v>0</v>
      </c>
      <c r="F13600" s="27" t="n">
        <f aca="false">(Sens!F13579+Sens!F13584+Sens!F13585+Sens!F13587+Sens!F13589-Sens!F13591)+(Sens!F13592+Sens!F13594+Sens!F13596-Sens!F13598)</f>
        <v>0</v>
      </c>
      <c r="G13600" s="27" t="n">
        <f aca="false">(Sens!G13579+Sens!G13584+Sens!G13585+Sens!G13587+Sens!G13589-Sens!G13591)+(Sens!G13592+Sens!G13594+Sens!G13596-Sens!G13598)</f>
        <v>0</v>
      </c>
      <c r="H13600" s="27" t="n">
        <f aca="false">(Sens!H13579+Sens!H13584+Sens!H13585+Sens!H13587+Sens!H13589-Sens!H13591)+(Sens!H13592+Sens!H13594+Sens!H13596-Sens!H13598)</f>
        <v>0</v>
      </c>
      <c r="I13600" s="27" t="n">
        <f aca="false">(Sens!I13579+Sens!I13584+Sens!I13585+Sens!I13587+Sens!I13589-Sens!I13591)+(Sens!I13592+Sens!I13594+Sens!I13596-Sens!I13598)</f>
        <v>0</v>
      </c>
      <c r="J13600" s="27" t="n">
        <f aca="false">(Sens!J13579+Sens!J13584+Sens!J13585+Sens!J13587+Sens!J13589-Sens!J13591)+(Sens!J13592+Sens!J13594+Sens!J13596-Sens!J13598)</f>
        <v>0</v>
      </c>
      <c r="K13600" s="27" t="n">
        <f aca="false">(Sens!K13579+Sens!K13584+Sens!K13585+Sens!K13587+Sens!K13589-Sens!K13591)+(Sens!K13592+Sens!K13594+Sens!K13596-Sens!K13598)</f>
        <v>0</v>
      </c>
    </row>
    <row r="13601" customFormat="false" ht="17.15" hidden="false" customHeight="false" outlineLevel="0" collapsed="false">
      <c r="A13601" s="3" t="s">
        <v>1952</v>
      </c>
    </row>
    <row r="13602" customFormat="false" ht="15" hidden="false" customHeight="false" outlineLevel="0" collapsed="false">
      <c r="A13602" s="4" t="s">
        <v>43</v>
      </c>
      <c r="B13602" s="4" t="s">
        <v>65</v>
      </c>
      <c r="C13602" s="23" t="s">
        <v>942</v>
      </c>
      <c r="D13602" s="23" t="s">
        <v>943</v>
      </c>
      <c r="E13602" s="23" t="s">
        <v>944</v>
      </c>
      <c r="F13602" s="23" t="s">
        <v>945</v>
      </c>
      <c r="G13602" s="23" t="s">
        <v>946</v>
      </c>
      <c r="H13602" s="23" t="s">
        <v>947</v>
      </c>
      <c r="I13602" s="23" t="s">
        <v>948</v>
      </c>
      <c r="J13602" s="23" t="s">
        <v>949</v>
      </c>
      <c r="K13602" s="23" t="s">
        <v>950</v>
      </c>
      <c r="L13602" s="4" t="s">
        <v>47</v>
      </c>
    </row>
    <row r="13603" customFormat="false" ht="15" hidden="false" customHeight="false" outlineLevel="0" collapsed="false">
      <c r="A13603" s="0" t="s">
        <v>1029</v>
      </c>
      <c r="B13603" s="0" t="s">
        <v>98</v>
      </c>
      <c r="D13603" s="6" t="n">
        <f aca="false">Sens!D13579</f>
        <v>72.61</v>
      </c>
      <c r="E13603" s="6" t="n">
        <f aca="false">Sens!E13579</f>
        <v>101.938</v>
      </c>
      <c r="F13603" s="6" t="n">
        <f aca="false">Sens!F13579</f>
        <v>146.709048000181</v>
      </c>
      <c r="G13603" s="6" t="n">
        <f aca="false">Sens!G13579</f>
        <v>199.762829861393</v>
      </c>
      <c r="H13603" s="6" t="n">
        <f aca="false">Sens!H13579</f>
        <v>254.146566109645</v>
      </c>
      <c r="I13603" s="6" t="n">
        <f aca="false">Sens!I13579</f>
        <v>303.439446964617</v>
      </c>
      <c r="J13603" s="6" t="n">
        <f aca="false">Sens!J13579</f>
        <v>341.309898459739</v>
      </c>
      <c r="K13603" s="6" t="n">
        <f aca="false">Sens!K13579</f>
        <v>368.09747789654</v>
      </c>
    </row>
    <row r="13604" customFormat="false" ht="17.15" hidden="false" customHeight="false" outlineLevel="0" collapsed="false">
      <c r="A13604" s="0" t="s">
        <v>1025</v>
      </c>
      <c r="B13604" s="0" t="s">
        <v>98</v>
      </c>
      <c r="D13604" s="6" t="n">
        <f aca="false">Sens!D13576</f>
        <v>12.9359794422418</v>
      </c>
      <c r="E13604" s="6" t="n">
        <f aca="false">Sens!E13576</f>
        <v>27.8095064661409</v>
      </c>
      <c r="F13604" s="6" t="n">
        <f aca="false">Sens!F13576</f>
        <v>55.4118315060966</v>
      </c>
      <c r="G13604" s="6" t="n">
        <f aca="false">Sens!G13576</f>
        <v>91.2881100675143</v>
      </c>
      <c r="H13604" s="6" t="n">
        <f aca="false">Sens!H13576</f>
        <v>128.195273603944</v>
      </c>
      <c r="I13604" s="6" t="n">
        <f aca="false">Sens!I13576</f>
        <v>160.601281810405</v>
      </c>
      <c r="J13604" s="6" t="n">
        <f aca="false">Sens!J13576</f>
        <v>183.182719793589</v>
      </c>
      <c r="K13604" s="6" t="n">
        <f aca="false">Sens!K13576</f>
        <v>197.320124937098</v>
      </c>
    </row>
    <row r="13605" customFormat="false" ht="17.15" hidden="false" customHeight="false" outlineLevel="0" collapsed="false">
      <c r="A13605" s="0" t="s">
        <v>1056</v>
      </c>
      <c r="B13605" s="0" t="s">
        <v>98</v>
      </c>
      <c r="D13605" s="6" t="n">
        <f aca="false">Sens!D13577</f>
        <v>59.6740205577583</v>
      </c>
      <c r="E13605" s="6" t="n">
        <f aca="false">Sens!E13577</f>
        <v>74.1284935338591</v>
      </c>
      <c r="F13605" s="6" t="n">
        <f aca="false">Sens!F13577</f>
        <v>91.2972164940844</v>
      </c>
      <c r="G13605" s="6" t="n">
        <f aca="false">Sens!G13577</f>
        <v>108.474719793879</v>
      </c>
      <c r="H13605" s="6" t="n">
        <f aca="false">Sens!H13577</f>
        <v>125.951292505701</v>
      </c>
      <c r="I13605" s="6" t="n">
        <f aca="false">Sens!I13577</f>
        <v>142.838165154212</v>
      </c>
      <c r="J13605" s="6" t="n">
        <f aca="false">Sens!J13577</f>
        <v>158.12717866615</v>
      </c>
      <c r="K13605" s="6" t="n">
        <f aca="false">Sens!K13577</f>
        <v>170.777352959442</v>
      </c>
    </row>
    <row r="13606" customFormat="false" ht="15" hidden="false" customHeight="false" outlineLevel="0" collapsed="false">
      <c r="A13606" s="0" t="s">
        <v>1036</v>
      </c>
      <c r="B13606" s="0" t="s">
        <v>98</v>
      </c>
      <c r="D13606" s="6" t="n">
        <f aca="false">Sens!D13584</f>
        <v>84.605</v>
      </c>
      <c r="E13606" s="6" t="n">
        <f aca="false">Sens!E13584</f>
        <v>100.299</v>
      </c>
      <c r="F13606" s="6" t="n">
        <f aca="false">Sens!F13584</f>
        <v>118.584003697747</v>
      </c>
      <c r="G13606" s="6" t="n">
        <f aca="false">Sens!G13584</f>
        <v>136.700726545688</v>
      </c>
      <c r="H13606" s="6" t="n">
        <f aca="false">Sens!H13584</f>
        <v>154.898624783666</v>
      </c>
      <c r="I13606" s="6" t="n">
        <f aca="false">Sens!I13584</f>
        <v>171.420510030657</v>
      </c>
      <c r="J13606" s="6" t="n">
        <f aca="false">Sens!J13584</f>
        <v>185.985722618572</v>
      </c>
      <c r="K13606" s="6" t="n">
        <f aca="false">Sens!K13584</f>
        <v>199.799723201872</v>
      </c>
    </row>
    <row r="13607" customFormat="false" ht="17.15" hidden="false" customHeight="false" outlineLevel="0" collapsed="false">
      <c r="A13607" s="0" t="s">
        <v>1057</v>
      </c>
      <c r="B13607" s="0" t="s">
        <v>98</v>
      </c>
      <c r="D13607" s="6" t="n">
        <f aca="false">Sens!D13582</f>
        <v>83.705</v>
      </c>
      <c r="E13607" s="6" t="n">
        <f aca="false">Sens!E13582</f>
        <v>95.049</v>
      </c>
      <c r="F13607" s="6" t="n">
        <f aca="false">Sens!F13582</f>
        <v>106.584003697747</v>
      </c>
      <c r="G13607" s="6" t="n">
        <f aca="false">Sens!G13582</f>
        <v>118.700726545688</v>
      </c>
      <c r="H13607" s="6" t="n">
        <f aca="false">Sens!H13582</f>
        <v>130.898624783666</v>
      </c>
      <c r="I13607" s="6" t="n">
        <f aca="false">Sens!I13582</f>
        <v>142.920510030657</v>
      </c>
      <c r="J13607" s="6" t="n">
        <f aca="false">Sens!J13582</f>
        <v>154.485722618572</v>
      </c>
      <c r="K13607" s="6" t="n">
        <f aca="false">Sens!K13582</f>
        <v>165.299723201872</v>
      </c>
    </row>
    <row r="13608" customFormat="false" ht="17.15" hidden="false" customHeight="false" outlineLevel="0" collapsed="false">
      <c r="A13608" s="0" t="s">
        <v>1058</v>
      </c>
      <c r="B13608" s="0" t="s">
        <v>98</v>
      </c>
      <c r="D13608" s="6" t="n">
        <f aca="false">Sens!D13581</f>
        <v>0.9</v>
      </c>
      <c r="E13608" s="6" t="n">
        <f aca="false">Sens!E13581</f>
        <v>5.25</v>
      </c>
      <c r="F13608" s="6" t="n">
        <f aca="false">Sens!F13581</f>
        <v>12</v>
      </c>
      <c r="G13608" s="6" t="n">
        <f aca="false">Sens!G13581</f>
        <v>18</v>
      </c>
      <c r="H13608" s="6" t="n">
        <f aca="false">Sens!H13581</f>
        <v>24</v>
      </c>
      <c r="I13608" s="6" t="n">
        <f aca="false">Sens!I13581</f>
        <v>28.5</v>
      </c>
      <c r="J13608" s="6" t="n">
        <f aca="false">Sens!J13581</f>
        <v>31.5</v>
      </c>
      <c r="K13608" s="6" t="n">
        <f aca="false">Sens!K13581</f>
        <v>34.5</v>
      </c>
    </row>
    <row r="13609" customFormat="false" ht="15" hidden="false" customHeight="false" outlineLevel="0" collapsed="false">
      <c r="A13609" s="0" t="s">
        <v>1037</v>
      </c>
      <c r="B13609" s="0" t="s">
        <v>98</v>
      </c>
      <c r="D13609" s="6" t="n">
        <f aca="false">Sens!D13585</f>
        <v>35.391</v>
      </c>
      <c r="E13609" s="6" t="n">
        <f aca="false">Sens!E13585</f>
        <v>37.285</v>
      </c>
      <c r="F13609" s="6" t="n">
        <f aca="false">Sens!F13585</f>
        <v>38.3851437782675</v>
      </c>
      <c r="G13609" s="6" t="n">
        <f aca="false">Sens!G13585</f>
        <v>40.0105353288615</v>
      </c>
      <c r="H13609" s="6" t="n">
        <f aca="false">Sens!H13585</f>
        <v>41.4812512033683</v>
      </c>
      <c r="I13609" s="6" t="n">
        <f aca="false">Sens!I13585</f>
        <v>42.7743107216329</v>
      </c>
      <c r="J13609" s="6" t="n">
        <f aca="false">Sens!J13585</f>
        <v>43.8687373064601</v>
      </c>
      <c r="K13609" s="6" t="n">
        <f aca="false">Sens!K13585</f>
        <v>44.7461120525893</v>
      </c>
    </row>
    <row r="13610" customFormat="false" ht="15" hidden="false" customHeight="false" outlineLevel="0" collapsed="false">
      <c r="A13610" s="0" t="s">
        <v>1039</v>
      </c>
      <c r="B13610" s="0" t="s">
        <v>98</v>
      </c>
      <c r="D13610" s="6" t="n">
        <f aca="false">Sens!D13587</f>
        <v>18.417</v>
      </c>
      <c r="E13610" s="6" t="n">
        <f aca="false">Sens!E13587</f>
        <v>20.345</v>
      </c>
      <c r="F13610" s="6" t="n">
        <f aca="false">Sens!F13587</f>
        <v>22.3161797133988</v>
      </c>
      <c r="G13610" s="6" t="n">
        <f aca="false">Sens!G13587</f>
        <v>24.3943499673233</v>
      </c>
      <c r="H13610" s="6" t="n">
        <f aca="false">Sens!H13587</f>
        <v>26.5250243109019</v>
      </c>
      <c r="I13610" s="6" t="n">
        <f aca="false">Sens!I13587</f>
        <v>28.6884573538181</v>
      </c>
      <c r="J13610" s="6" t="n">
        <f aca="false">Sens!J13587</f>
        <v>30.8624968052127</v>
      </c>
      <c r="K13610" s="6" t="n">
        <f aca="false">Sens!K13587</f>
        <v>33.0228715815776</v>
      </c>
    </row>
    <row r="13611" customFormat="false" ht="15" hidden="false" customHeight="false" outlineLevel="0" collapsed="false">
      <c r="A13611" s="0" t="s">
        <v>1040</v>
      </c>
      <c r="B13611" s="0" t="s">
        <v>98</v>
      </c>
      <c r="D13611" s="6" t="n">
        <f aca="false">Sens!D13589</f>
        <v>7.76</v>
      </c>
      <c r="E13611" s="6" t="n">
        <f aca="false">Sens!E13589</f>
        <v>8.26</v>
      </c>
      <c r="F13611" s="6" t="n">
        <f aca="false">Sens!F13589</f>
        <v>8.75372082474227</v>
      </c>
      <c r="G13611" s="6" t="n">
        <f aca="false">Sens!G13589</f>
        <v>9.33399324642364</v>
      </c>
      <c r="H13611" s="6" t="n">
        <f aca="false">Sens!H13589</f>
        <v>9.96139155535851</v>
      </c>
      <c r="I13611" s="6" t="n">
        <f aca="false">Sens!I13589</f>
        <v>10.6402039077391</v>
      </c>
      <c r="J13611" s="6" t="n">
        <f aca="false">Sens!J13589</f>
        <v>11.3751458271397</v>
      </c>
      <c r="K13611" s="6" t="n">
        <f aca="false">Sens!K13589</f>
        <v>12.1714060350394</v>
      </c>
    </row>
    <row r="13612" customFormat="false" ht="15" hidden="false" customHeight="false" outlineLevel="0" collapsed="false">
      <c r="A13612" s="0" t="s">
        <v>856</v>
      </c>
      <c r="B13612" s="0" t="s">
        <v>98</v>
      </c>
      <c r="D13612" s="6" t="n">
        <f aca="false">Sens!D13591</f>
        <v>218.783</v>
      </c>
      <c r="E13612" s="6" t="n">
        <f aca="false">Sens!E13591</f>
        <v>268.127</v>
      </c>
      <c r="F13612" s="6" t="n">
        <f aca="false">Sens!F13591</f>
        <v>334.748096014336</v>
      </c>
      <c r="G13612" s="6" t="n">
        <f aca="false">Sens!G13591</f>
        <v>410.20243494969</v>
      </c>
      <c r="H13612" s="6" t="n">
        <f aca="false">Sens!H13591</f>
        <v>487.012857962939</v>
      </c>
      <c r="I13612" s="6" t="n">
        <f aca="false">Sens!I13591</f>
        <v>556.962928978464</v>
      </c>
      <c r="J13612" s="6" t="n">
        <f aca="false">Sens!J13591</f>
        <v>613.402001017124</v>
      </c>
      <c r="K13612" s="6" t="n">
        <f aca="false">Sens!K13591</f>
        <v>657.837590767618</v>
      </c>
    </row>
    <row r="13613" customFormat="false" ht="15" hidden="false" customHeight="false" outlineLevel="0" collapsed="false">
      <c r="A13613" s="0" t="s">
        <v>1041</v>
      </c>
      <c r="B13613" s="0" t="s">
        <v>98</v>
      </c>
      <c r="D13613" s="6" t="n">
        <f aca="false">Sens!D13592</f>
        <v>22.171</v>
      </c>
      <c r="E13613" s="6" t="n">
        <f aca="false">Sens!E13592</f>
        <v>24.835</v>
      </c>
      <c r="F13613" s="6" t="n">
        <f aca="false">Sens!F13592</f>
        <v>27.5591895660247</v>
      </c>
      <c r="G13613" s="6" t="n">
        <f aca="false">Sens!G13592</f>
        <v>30.4098563144583</v>
      </c>
      <c r="H13613" s="6" t="n">
        <f aca="false">Sens!H13592</f>
        <v>33.3011792571777</v>
      </c>
      <c r="I13613" s="6" t="n">
        <f aca="false">Sens!I13592</f>
        <v>36.189023797112</v>
      </c>
      <c r="J13613" s="6" t="n">
        <f aca="false">Sens!J13592</f>
        <v>39.0247773769199</v>
      </c>
      <c r="K13613" s="6" t="n">
        <f aca="false">Sens!K13592</f>
        <v>41.7565117933043</v>
      </c>
    </row>
    <row r="13614" customFormat="false" ht="15" hidden="false" customHeight="false" outlineLevel="0" collapsed="false">
      <c r="A13614" s="0" t="s">
        <v>1042</v>
      </c>
      <c r="B13614" s="0" t="s">
        <v>98</v>
      </c>
      <c r="D13614" s="6" t="n">
        <f aca="false">Sens!D13594</f>
        <v>23.455</v>
      </c>
      <c r="E13614" s="6" t="n">
        <f aca="false">Sens!E13594</f>
        <v>21.79</v>
      </c>
      <c r="F13614" s="6" t="n">
        <f aca="false">Sens!F13594</f>
        <v>20.7520981041711</v>
      </c>
      <c r="G13614" s="6" t="n">
        <f aca="false">Sens!G13594</f>
        <v>19.9083593495882</v>
      </c>
      <c r="H13614" s="6" t="n">
        <f aca="false">Sens!H13594</f>
        <v>19.4008256265831</v>
      </c>
      <c r="I13614" s="6" t="n">
        <f aca="false">Sens!I13594</f>
        <v>19.200434522122</v>
      </c>
      <c r="J13614" s="6" t="n">
        <f aca="false">Sens!J13594</f>
        <v>19.2932782348507</v>
      </c>
      <c r="K13614" s="6" t="n">
        <f aca="false">Sens!K13594</f>
        <v>19.6791437995477</v>
      </c>
    </row>
    <row r="13615" customFormat="false" ht="15" hidden="false" customHeight="false" outlineLevel="0" collapsed="false">
      <c r="A13615" s="0" t="s">
        <v>1043</v>
      </c>
      <c r="B13615" s="0" t="s">
        <v>98</v>
      </c>
      <c r="D13615" s="6" t="n">
        <f aca="false">Sens!D13596</f>
        <v>17.315</v>
      </c>
      <c r="E13615" s="6" t="n">
        <f aca="false">Sens!E13596</f>
        <v>17.087</v>
      </c>
      <c r="F13615" s="6" t="n">
        <f aca="false">Sens!F13596</f>
        <v>15.9912273250553</v>
      </c>
      <c r="G13615" s="6" t="n">
        <f aca="false">Sens!G13596</f>
        <v>15.9574562664827</v>
      </c>
      <c r="H13615" s="6" t="n">
        <f aca="false">Sens!H13596</f>
        <v>16.0119687434196</v>
      </c>
      <c r="I13615" s="6" t="n">
        <f aca="false">Sens!I13596</f>
        <v>16.1551810001948</v>
      </c>
      <c r="J13615" s="6" t="n">
        <f aca="false">Sens!J13596</f>
        <v>16.3889793892005</v>
      </c>
      <c r="K13615" s="6" t="n">
        <f aca="false">Sens!K13596</f>
        <v>16.7167589769845</v>
      </c>
    </row>
    <row r="13616" customFormat="false" ht="15" hidden="false" customHeight="false" outlineLevel="0" collapsed="false">
      <c r="A13616" s="0" t="s">
        <v>870</v>
      </c>
      <c r="B13616" s="0" t="s">
        <v>98</v>
      </c>
      <c r="D13616" s="6" t="n">
        <f aca="false">Sens!D13598</f>
        <v>62.941</v>
      </c>
      <c r="E13616" s="6" t="n">
        <f aca="false">Sens!E13598</f>
        <v>63.712</v>
      </c>
      <c r="F13616" s="6" t="n">
        <f aca="false">Sens!F13598</f>
        <v>64.3025149952511</v>
      </c>
      <c r="G13616" s="6" t="n">
        <f aca="false">Sens!G13598</f>
        <v>66.2756719305292</v>
      </c>
      <c r="H13616" s="6" t="n">
        <f aca="false">Sens!H13598</f>
        <v>68.7139736271804</v>
      </c>
      <c r="I13616" s="6" t="n">
        <f aca="false">Sens!I13598</f>
        <v>71.5446393194289</v>
      </c>
      <c r="J13616" s="6" t="n">
        <f aca="false">Sens!J13598</f>
        <v>74.707035000971</v>
      </c>
      <c r="K13616" s="6" t="n">
        <f aca="false">Sens!K13598</f>
        <v>78.1524145698365</v>
      </c>
    </row>
    <row r="13617" customFormat="false" ht="15" hidden="false" customHeight="false" outlineLevel="0" collapsed="false">
      <c r="A13617" s="1" t="s">
        <v>1059</v>
      </c>
      <c r="B13617" s="0" t="s">
        <v>98</v>
      </c>
      <c r="D13617" s="6" t="n">
        <f aca="false">Sens!D13599</f>
        <v>281.724</v>
      </c>
      <c r="E13617" s="6" t="n">
        <f aca="false">Sens!E13599</f>
        <v>331.839</v>
      </c>
      <c r="F13617" s="6" t="n">
        <f aca="false">Sens!F13599</f>
        <v>399.050611009588</v>
      </c>
      <c r="G13617" s="6" t="n">
        <f aca="false">Sens!G13599</f>
        <v>476.478106880219</v>
      </c>
      <c r="H13617" s="6" t="n">
        <f aca="false">Sens!H13599</f>
        <v>555.72683159012</v>
      </c>
      <c r="I13617" s="6" t="n">
        <f aca="false">Sens!I13599</f>
        <v>628.507568297893</v>
      </c>
      <c r="J13617" s="6" t="n">
        <f aca="false">Sens!J13599</f>
        <v>688.109036018095</v>
      </c>
      <c r="K13617" s="6" t="n">
        <f aca="false">Sens!K13599</f>
        <v>735.990005337455</v>
      </c>
    </row>
    <row r="13618" customFormat="false" ht="15" hidden="false" customHeight="false" outlineLevel="0" collapsed="false">
      <c r="A13618" s="1" t="s">
        <v>1060</v>
      </c>
      <c r="B13618" s="0" t="s">
        <v>168</v>
      </c>
      <c r="E13618" s="7" t="n">
        <f aca="false">Sens!E13617/Sens!D13617-1</f>
        <v>0.177886867998467</v>
      </c>
      <c r="F13618" s="7" t="n">
        <f aca="false">Sens!F13617/Sens!E13617-1</f>
        <v>0.202542832547071</v>
      </c>
      <c r="G13618" s="7" t="n">
        <f aca="false">Sens!G13617/Sens!F13617-1</f>
        <v>0.194029262791359</v>
      </c>
      <c r="H13618" s="7" t="n">
        <f aca="false">Sens!H13617/Sens!G13617-1</f>
        <v>0.166321859421387</v>
      </c>
      <c r="I13618" s="7" t="n">
        <f aca="false">Sens!I13617/Sens!H13617-1</f>
        <v>0.13096494999085</v>
      </c>
      <c r="J13618" s="7" t="n">
        <f aca="false">Sens!J13617/Sens!I13617-1</f>
        <v>0.0948301511811749</v>
      </c>
      <c r="K13618" s="7" t="n">
        <f aca="false">Sens!K13617/Sens!J13617-1</f>
        <v>0.0695834043924704</v>
      </c>
    </row>
    <row r="13619" customFormat="false" ht="17.15" hidden="false" customHeight="false" outlineLevel="0" collapsed="false">
      <c r="A13619" s="26" t="s">
        <v>1061</v>
      </c>
      <c r="B13619" s="31" t="s">
        <v>98</v>
      </c>
      <c r="C13619" s="31"/>
      <c r="D13619" s="27" t="n">
        <f aca="false">(Sens!D13612+Sens!D13616-Sens!D13617)+(Sens!D13604+Sens!D13605-Sens!D13603)+(Sens!D13607+Sens!D13608-Sens!D13606)+(Sens!D13617-Q!L18)</f>
        <v>0</v>
      </c>
      <c r="E13619" s="27" t="n">
        <f aca="false">(Sens!E13612+Sens!E13616-Sens!E13617)+(Sens!E13604+Sens!E13605-Sens!E13603)+(Sens!E13607+Sens!E13608-Sens!E13606)+(Sens!E13617-Q!M18)</f>
        <v>0</v>
      </c>
      <c r="F13619" s="27" t="n">
        <f aca="false">(Sens!F13612+Sens!F13616-Sens!F13617)+(Sens!F13604+Sens!F13605-Sens!F13603)+(Sens!F13607+Sens!F13608-Sens!F13606)</f>
        <v>0</v>
      </c>
      <c r="G13619" s="27" t="n">
        <f aca="false">(Sens!G13612+Sens!G13616-Sens!G13617)+(Sens!G13604+Sens!G13605-Sens!G13603)+(Sens!G13607+Sens!G13608-Sens!G13606)</f>
        <v>0</v>
      </c>
      <c r="H13619" s="27" t="n">
        <f aca="false">(Sens!H13612+Sens!H13616-Sens!H13617)+(Sens!H13604+Sens!H13605-Sens!H13603)+(Sens!H13607+Sens!H13608-Sens!H13606)</f>
        <v>0</v>
      </c>
      <c r="I13619" s="27" t="n">
        <f aca="false">(Sens!I13612+Sens!I13616-Sens!I13617)+(Sens!I13604+Sens!I13605-Sens!I13603)+(Sens!I13607+Sens!I13608-Sens!I13606)</f>
        <v>0</v>
      </c>
      <c r="J13619" s="27" t="n">
        <f aca="false">(Sens!J13612+Sens!J13616-Sens!J13617)+(Sens!J13604+Sens!J13605-Sens!J13603)+(Sens!J13607+Sens!J13608-Sens!J13606)</f>
        <v>0</v>
      </c>
      <c r="K13619" s="27" t="n">
        <f aca="false">(Sens!K13612+Sens!K13616-Sens!K13617)+(Sens!K13604+Sens!K13605-Sens!K13603)+(Sens!K13607+Sens!K13608-Sens!K13606)</f>
        <v>0</v>
      </c>
    </row>
    <row r="13620" customFormat="false" ht="17.15" hidden="false" customHeight="false" outlineLevel="0" collapsed="false">
      <c r="A13620" s="0" t="s">
        <v>1062</v>
      </c>
      <c r="B13620" s="0" t="s">
        <v>168</v>
      </c>
      <c r="E13620" s="7" t="n">
        <f aca="false">(Q!M21+Sens!E13556+Sens!E13557+Sens!E13558+Sens!E13572-Sens!E13554)/(Q!M5-Sens!E13554)</f>
        <v>0.570957350878296</v>
      </c>
      <c r="F13620" s="7" t="n">
        <f aca="false">Sens!$E$13620+dm_seg_hi</f>
        <v>0.590957350878296</v>
      </c>
      <c r="G13620" s="7" t="n">
        <f aca="false">Sens!$E$13620+dm_seg_hi</f>
        <v>0.590957350878296</v>
      </c>
      <c r="H13620" s="7" t="n">
        <f aca="false">Sens!$E$13620+dm_seg_hi</f>
        <v>0.590957350878296</v>
      </c>
      <c r="I13620" s="7" t="n">
        <f aca="false">Sens!$E$13620+dm_seg_hi</f>
        <v>0.590957350878296</v>
      </c>
      <c r="J13620" s="7" t="n">
        <f aca="false">Sens!$E$13620+dm_seg_hi</f>
        <v>0.590957350878296</v>
      </c>
      <c r="K13620" s="7" t="n">
        <f aca="false">Sens!$E$13620+dm_seg_hi</f>
        <v>0.590957350878296</v>
      </c>
      <c r="L13620" s="12" t="s">
        <v>1063</v>
      </c>
    </row>
    <row r="13621" customFormat="false" ht="17.15" hidden="false" customHeight="false" outlineLevel="0" collapsed="false">
      <c r="A13621" s="0" t="s">
        <v>884</v>
      </c>
      <c r="B13621" s="0" t="s">
        <v>98</v>
      </c>
      <c r="D13621" s="6" t="n">
        <f aca="false">Q!L21</f>
        <v>110.814</v>
      </c>
      <c r="E13621" s="6" t="n">
        <f aca="false">Q!M21</f>
        <v>136.365</v>
      </c>
      <c r="F13621" s="6" t="n">
        <f aca="false">Q!$I$21+(Sens!F13620*(Sens!F13591-Sens!F13554)+Sens!F13554-(Sens!F13556+Sens!F13557+Sens!F13558)-Sens!F13572-Sens!F13655)*(Sens!F13591-Q!$I$5)/Sens!F13591</f>
        <v>166.394954467369</v>
      </c>
      <c r="G13621" s="6" t="n">
        <f aca="false">(Sens!G13620*(Sens!G13591-Sens!G13554)+Sens!G13554-(Sens!G13556+Sens!G13557+Sens!G13558)-Sens!G13572-Sens!G13655)</f>
        <v>183.947189703038</v>
      </c>
      <c r="H13621" s="6" t="n">
        <f aca="false">(Sens!H13620*(Sens!H13591-Sens!H13554)+Sens!H13554-(Sens!H13556+Sens!H13557+Sens!H13558)-Sens!H13572-Sens!H13655)</f>
        <v>203.940037705299</v>
      </c>
      <c r="I13621" s="6" t="n">
        <f aca="false">(Sens!I13620*(Sens!I13591-Sens!I13554)+Sens!I13554-(Sens!I13556+Sens!I13557+Sens!I13558)-Sens!I13572-Sens!I13655)</f>
        <v>222.902816097448</v>
      </c>
      <c r="J13621" s="6" t="n">
        <f aca="false">(Sens!J13620*(Sens!J13591-Sens!J13554)+Sens!J13554-(Sens!J13556+Sens!J13557+Sens!J13558)-Sens!J13572-Sens!J13655)</f>
        <v>240.561462144159</v>
      </c>
      <c r="K13621" s="6" t="n">
        <f aca="false">(Sens!K13620*(Sens!K13591-Sens!K13554)+Sens!K13554-(Sens!K13556+Sens!K13557+Sens!K13558)-Sens!K13572-Sens!K13655)</f>
        <v>257.550095605769</v>
      </c>
      <c r="L13621" s="1" t="s">
        <v>1064</v>
      </c>
    </row>
    <row r="13622" customFormat="false" ht="17.15" hidden="false" customHeight="false" outlineLevel="0" collapsed="false">
      <c r="A13622" s="0" t="s">
        <v>1065</v>
      </c>
      <c r="B13622" s="0" t="s">
        <v>168</v>
      </c>
      <c r="E13622" s="7" t="n">
        <f aca="false">Q!M22/Q!M12</f>
        <v>0.296207935710698</v>
      </c>
      <c r="F13622" s="7" t="n">
        <f aca="false">Sens!$E$13622+dm_seg_hi</f>
        <v>0.316207935710698</v>
      </c>
      <c r="G13622" s="7" t="n">
        <f aca="false">Sens!$E$13622+dm_seg_hi</f>
        <v>0.316207935710698</v>
      </c>
      <c r="H13622" s="7" t="n">
        <f aca="false">Sens!$E$13622+dm_seg_hi</f>
        <v>0.316207935710698</v>
      </c>
      <c r="I13622" s="7" t="n">
        <f aca="false">Sens!$E$13622+dm_seg_hi</f>
        <v>0.316207935710698</v>
      </c>
      <c r="J13622" s="7" t="n">
        <f aca="false">Sens!$E$13622+dm_seg_hi</f>
        <v>0.316207935710698</v>
      </c>
      <c r="K13622" s="7" t="n">
        <f aca="false">Sens!$E$13622+dm_seg_hi</f>
        <v>0.316207935710698</v>
      </c>
      <c r="L13622" s="12" t="s">
        <v>1066</v>
      </c>
    </row>
    <row r="13623" customFormat="false" ht="17.15" hidden="false" customHeight="false" outlineLevel="0" collapsed="false">
      <c r="A13623" s="0" t="s">
        <v>886</v>
      </c>
      <c r="B13623" s="0" t="s">
        <v>98</v>
      </c>
      <c r="D13623" s="6" t="n">
        <f aca="false">Q!L22</f>
        <v>17.714</v>
      </c>
      <c r="E13623" s="6" t="n">
        <f aca="false">Q!M22</f>
        <v>18.872</v>
      </c>
      <c r="F13623" s="6" t="n">
        <f aca="false">Q!$I$22+(Sens!F13598-Q!$I$12)*Sens!F13622</f>
        <v>20.7938018511101</v>
      </c>
      <c r="G13623" s="6" t="n">
        <f aca="false">Sens!G13598*Sens!G13622</f>
        <v>20.9568934089921</v>
      </c>
      <c r="H13623" s="6" t="n">
        <f aca="false">Sens!H13598*Sens!H13622</f>
        <v>21.7279037551301</v>
      </c>
      <c r="I13623" s="6" t="n">
        <f aca="false">Sens!I13598*Sens!I13622</f>
        <v>22.6229827103631</v>
      </c>
      <c r="J13623" s="6" t="n">
        <f aca="false">Sens!J13598*Sens!J13622</f>
        <v>23.6229573207239</v>
      </c>
      <c r="K13623" s="6" t="n">
        <f aca="false">Sens!K13598*Sens!K13622</f>
        <v>24.7124136819347</v>
      </c>
      <c r="L13623" s="12" t="s">
        <v>1067</v>
      </c>
    </row>
    <row r="13624" customFormat="false" ht="15" hidden="false" customHeight="false" outlineLevel="0" collapsed="false">
      <c r="A13624" s="1" t="s">
        <v>1068</v>
      </c>
      <c r="B13624" s="0" t="s">
        <v>98</v>
      </c>
      <c r="D13624" s="6" t="n">
        <f aca="false">Sens!D13621+Sens!D13623</f>
        <v>128.528</v>
      </c>
      <c r="E13624" s="6" t="n">
        <f aca="false">Sens!E13621+Sens!E13623</f>
        <v>155.237</v>
      </c>
      <c r="F13624" s="6" t="n">
        <f aca="false">Sens!F13621+Sens!F13623</f>
        <v>187.188756318479</v>
      </c>
      <c r="G13624" s="6" t="n">
        <f aca="false">Sens!G13621+Sens!G13623</f>
        <v>204.90408311203</v>
      </c>
      <c r="H13624" s="6" t="n">
        <f aca="false">Sens!H13621+Sens!H13623</f>
        <v>225.667941460429</v>
      </c>
      <c r="I13624" s="6" t="n">
        <f aca="false">Sens!I13621+Sens!I13623</f>
        <v>245.525798807811</v>
      </c>
      <c r="J13624" s="6" t="n">
        <f aca="false">Sens!J13621+Sens!J13623</f>
        <v>264.184419464883</v>
      </c>
      <c r="K13624" s="6" t="n">
        <f aca="false">Sens!K13621+Sens!K13623</f>
        <v>282.262509287704</v>
      </c>
    </row>
    <row r="13625" customFormat="false" ht="15" hidden="false" customHeight="false" outlineLevel="0" collapsed="false">
      <c r="A13625" s="26" t="s">
        <v>1069</v>
      </c>
      <c r="B13625" s="31" t="s">
        <v>98</v>
      </c>
      <c r="C13625" s="31"/>
      <c r="D13625" s="27" t="n">
        <f aca="false">Sens!D13624-Q!L23</f>
        <v>0</v>
      </c>
      <c r="E13625" s="27" t="n">
        <f aca="false">Sens!E13624-Q!M23</f>
        <v>0</v>
      </c>
      <c r="F13625" s="31"/>
      <c r="G13625" s="31"/>
      <c r="H13625" s="31"/>
      <c r="I13625" s="31"/>
      <c r="J13625" s="31"/>
      <c r="K13625" s="31"/>
    </row>
    <row r="13626" customFormat="false" ht="15" hidden="false" customHeight="false" outlineLevel="0" collapsed="false">
      <c r="A13626" s="1" t="s">
        <v>1070</v>
      </c>
      <c r="B13626" s="0" t="s">
        <v>168</v>
      </c>
      <c r="D13626" s="7" t="n">
        <f aca="false">Sens!D13624/Sens!D13617</f>
        <v>0.456219562408598</v>
      </c>
      <c r="E13626" s="7" t="n">
        <f aca="false">Sens!E13624/Sens!E13617</f>
        <v>0.467808184089272</v>
      </c>
      <c r="F13626" s="7" t="n">
        <f aca="false">Sens!F13624/Sens!F13617</f>
        <v>0.469085251730092</v>
      </c>
      <c r="G13626" s="7" t="n">
        <f aca="false">Sens!G13624/Sens!G13617</f>
        <v>0.430038820573849</v>
      </c>
      <c r="H13626" s="7" t="n">
        <f aca="false">Sens!H13624/Sens!H13617</f>
        <v>0.406077102332306</v>
      </c>
      <c r="I13626" s="7" t="n">
        <f aca="false">Sens!I13624/Sens!I13617</f>
        <v>0.390648913700018</v>
      </c>
      <c r="J13626" s="7" t="n">
        <f aca="false">Sens!J13624/Sens!J13617</f>
        <v>0.383928135857143</v>
      </c>
      <c r="K13626" s="7" t="n">
        <f aca="false">Sens!K13624/Sens!K13617</f>
        <v>0.383514052148419</v>
      </c>
    </row>
    <row r="13627" customFormat="false" ht="17.15" hidden="false" customHeight="false" outlineLevel="0" collapsed="false">
      <c r="A13627" s="1" t="s">
        <v>1071</v>
      </c>
      <c r="B13627" s="0" t="s">
        <v>98</v>
      </c>
      <c r="F13627" s="6" t="n">
        <f aca="false">Sens!F13642</f>
        <v>9.6048427716299</v>
      </c>
      <c r="G13627" s="6" t="n">
        <f aca="false">Sens!G13642</f>
        <v>25.0203385959797</v>
      </c>
      <c r="H13627" s="6" t="n">
        <f aca="false">Sens!H13642</f>
        <v>41.9090253697948</v>
      </c>
      <c r="I13627" s="6" t="n">
        <f aca="false">Sens!I13642</f>
        <v>57.239943641581</v>
      </c>
      <c r="J13627" s="6" t="n">
        <f aca="false">Sens!J13642</f>
        <v>67.9578520908201</v>
      </c>
      <c r="K13627" s="6" t="n">
        <f aca="false">Sens!K13642</f>
        <v>73.7748374943249</v>
      </c>
      <c r="L13627" s="1" t="s">
        <v>1072</v>
      </c>
    </row>
    <row r="13628" customFormat="false" ht="17.15" hidden="false" customHeight="false" outlineLevel="0" collapsed="false">
      <c r="A13628" s="1" t="s">
        <v>1073</v>
      </c>
      <c r="B13628" s="0" t="s">
        <v>98</v>
      </c>
      <c r="D13628" s="6" t="n">
        <f aca="false">Sens!D13624</f>
        <v>128.528</v>
      </c>
      <c r="E13628" s="6" t="n">
        <f aca="false">Sens!E13624</f>
        <v>155.237</v>
      </c>
      <c r="F13628" s="6" t="n">
        <f aca="false">Sens!F13624+Sens!F13627</f>
        <v>196.793599090109</v>
      </c>
      <c r="G13628" s="6" t="n">
        <f aca="false">Sens!G13624+Sens!G13627</f>
        <v>229.924421708009</v>
      </c>
      <c r="H13628" s="6" t="n">
        <f aca="false">Sens!H13624+Sens!H13627</f>
        <v>267.576966830224</v>
      </c>
      <c r="I13628" s="6" t="n">
        <f aca="false">Sens!I13624+Sens!I13627</f>
        <v>302.765742449392</v>
      </c>
      <c r="J13628" s="6" t="n">
        <f aca="false">Sens!J13624+Sens!J13627</f>
        <v>332.142271555703</v>
      </c>
      <c r="K13628" s="6" t="n">
        <f aca="false">Sens!K13624+Sens!K13627</f>
        <v>356.037346782028</v>
      </c>
    </row>
    <row r="13629" customFormat="false" ht="17.15" hidden="false" customHeight="false" outlineLevel="0" collapsed="false">
      <c r="A13629" s="1" t="s">
        <v>1074</v>
      </c>
      <c r="B13629" s="0" t="s">
        <v>98</v>
      </c>
      <c r="E13629" s="6" t="n">
        <f aca="false">Sens!E13572</f>
        <v>16.3054059770833</v>
      </c>
      <c r="F13629" s="6" t="n">
        <f aca="false">Sens!F13572</f>
        <v>34.5793144783516</v>
      </c>
      <c r="G13629" s="6" t="n">
        <f aca="false">Sens!G13572</f>
        <v>60.7344906522989</v>
      </c>
      <c r="H13629" s="6" t="n">
        <f aca="false">Sens!H13572</f>
        <v>89.1000906614457</v>
      </c>
      <c r="I13629" s="6" t="n">
        <f aca="false">Sens!I13572</f>
        <v>114.231009694548</v>
      </c>
      <c r="J13629" s="6" t="n">
        <f aca="false">Sens!J13572</f>
        <v>132.015673049596</v>
      </c>
      <c r="K13629" s="6" t="n">
        <f aca="false">Sens!K13572</f>
        <v>143.012669550934</v>
      </c>
    </row>
    <row r="13630" customFormat="false" ht="17.15" hidden="false" customHeight="false" outlineLevel="0" collapsed="false">
      <c r="A13630" s="1" t="s">
        <v>1075</v>
      </c>
      <c r="B13630" s="0" t="s">
        <v>98</v>
      </c>
      <c r="E13630" s="6" t="n">
        <f aca="false">Sens!E13654</f>
        <v>22.2285940229167</v>
      </c>
      <c r="F13630" s="6" t="n">
        <f aca="false">Sens!F13654</f>
        <v>23.580344216413</v>
      </c>
      <c r="G13630" s="6" t="n">
        <f aca="false">Sens!G13654</f>
        <v>25.3583505401965</v>
      </c>
      <c r="H13630" s="6" t="n">
        <f aca="false">Sens!H13654</f>
        <v>27.528569983033</v>
      </c>
      <c r="I13630" s="6" t="n">
        <f aca="false">Sens!I13654</f>
        <v>30.0244523528154</v>
      </c>
      <c r="J13630" s="6" t="n">
        <f aca="false">Sens!J13654</f>
        <v>32.7625785967048</v>
      </c>
      <c r="K13630" s="6" t="n">
        <f aca="false">Sens!K13654</f>
        <v>35.6585684431062</v>
      </c>
    </row>
    <row r="13631" customFormat="false" ht="17.15" hidden="false" customHeight="false" outlineLevel="0" collapsed="false">
      <c r="A13631" s="1" t="s">
        <v>1076</v>
      </c>
      <c r="B13631" s="0" t="s">
        <v>98</v>
      </c>
      <c r="D13631" s="6" t="n">
        <f aca="false">Q!L27</f>
        <v>-4.901</v>
      </c>
      <c r="E13631" s="6" t="n">
        <f aca="false">Q!M27</f>
        <v>10.697</v>
      </c>
      <c r="F13631" s="6" t="n">
        <f aca="false">Q!$I$27+oie_f*(q_per_yr-1)/q_per_yr</f>
        <v>-0.862</v>
      </c>
      <c r="G13631" s="6" t="n">
        <f aca="false">oie_f</f>
        <v>-1.2</v>
      </c>
      <c r="H13631" s="6" t="n">
        <f aca="false">oie_f</f>
        <v>-1.2</v>
      </c>
      <c r="I13631" s="6" t="n">
        <f aca="false">oie_f</f>
        <v>-1.2</v>
      </c>
      <c r="J13631" s="6" t="n">
        <f aca="false">oie_f</f>
        <v>-1.2</v>
      </c>
      <c r="K13631" s="6" t="n">
        <f aca="false">oie_f</f>
        <v>-1.2</v>
      </c>
      <c r="L13631" s="12" t="s">
        <v>1077</v>
      </c>
    </row>
    <row r="13632" customFormat="false" ht="15" hidden="false" customHeight="false" outlineLevel="0" collapsed="false">
      <c r="A13632" s="1" t="s">
        <v>1078</v>
      </c>
      <c r="B13632" s="0" t="s">
        <v>98</v>
      </c>
      <c r="D13632" s="6" t="n">
        <f aca="false">Sens!D13624+Sens!D13631</f>
        <v>123.627</v>
      </c>
      <c r="E13632" s="6" t="n">
        <f aca="false">Sens!E13624+Sens!E13631</f>
        <v>165.934</v>
      </c>
      <c r="F13632" s="6" t="n">
        <f aca="false">Sens!F13624+Sens!F13631</f>
        <v>186.326756318479</v>
      </c>
      <c r="G13632" s="6" t="n">
        <f aca="false">Sens!G13624+Sens!G13631</f>
        <v>203.70408311203</v>
      </c>
      <c r="H13632" s="6" t="n">
        <f aca="false">Sens!H13624+Sens!H13631</f>
        <v>224.467941460429</v>
      </c>
      <c r="I13632" s="6" t="n">
        <f aca="false">Sens!I13624+Sens!I13631</f>
        <v>244.325798807811</v>
      </c>
      <c r="J13632" s="6" t="n">
        <f aca="false">Sens!J13624+Sens!J13631</f>
        <v>262.984419464883</v>
      </c>
      <c r="K13632" s="6" t="n">
        <f aca="false">Sens!K13624+Sens!K13631</f>
        <v>281.062509287704</v>
      </c>
    </row>
    <row r="13633" customFormat="false" ht="15" hidden="false" customHeight="false" outlineLevel="0" collapsed="false">
      <c r="A13633" s="1" t="s">
        <v>1079</v>
      </c>
      <c r="B13633" s="0" t="s">
        <v>98</v>
      </c>
      <c r="D13633" s="6" t="n">
        <f aca="false">Q!L29</f>
        <v>21.795</v>
      </c>
      <c r="E13633" s="6" t="n">
        <f aca="false">Q!M29</f>
        <v>32.185</v>
      </c>
      <c r="F13633" s="6" t="n">
        <f aca="false">Q!$I$29+(Sens!F13632-Q!$I$28)*tax_f</f>
        <v>37.3987512636959</v>
      </c>
      <c r="G13633" s="6" t="n">
        <f aca="false">Sens!G13632*tax_f</f>
        <v>40.7408166224059</v>
      </c>
      <c r="H13633" s="6" t="n">
        <f aca="false">Sens!H13632*tax_f</f>
        <v>44.8935882920858</v>
      </c>
      <c r="I13633" s="6" t="n">
        <f aca="false">Sens!I13632*tax_f</f>
        <v>48.8651597615623</v>
      </c>
      <c r="J13633" s="6" t="n">
        <f aca="false">Sens!J13632*tax_f</f>
        <v>52.5968838929766</v>
      </c>
      <c r="K13633" s="6" t="n">
        <f aca="false">Sens!K13632*tax_f</f>
        <v>56.2125018575407</v>
      </c>
    </row>
    <row r="13634" customFormat="false" ht="15" hidden="false" customHeight="false" outlineLevel="0" collapsed="false">
      <c r="A13634" s="1" t="s">
        <v>1080</v>
      </c>
      <c r="B13634" s="0" t="s">
        <v>98</v>
      </c>
      <c r="D13634" s="6" t="n">
        <f aca="false">Sens!D13632-Sens!D13633</f>
        <v>101.832</v>
      </c>
      <c r="E13634" s="6" t="n">
        <f aca="false">Sens!E13632-Sens!E13633</f>
        <v>133.749</v>
      </c>
      <c r="F13634" s="6" t="n">
        <f aca="false">Sens!F13632-Sens!F13633</f>
        <v>148.928005054783</v>
      </c>
      <c r="G13634" s="6" t="n">
        <f aca="false">Sens!G13632-Sens!G13633</f>
        <v>162.963266489624</v>
      </c>
      <c r="H13634" s="6" t="n">
        <f aca="false">Sens!H13632-Sens!H13633</f>
        <v>179.574353168343</v>
      </c>
      <c r="I13634" s="6" t="n">
        <f aca="false">Sens!I13632-Sens!I13633</f>
        <v>195.460639046249</v>
      </c>
      <c r="J13634" s="6" t="n">
        <f aca="false">Sens!J13632-Sens!J13633</f>
        <v>210.387535571906</v>
      </c>
      <c r="K13634" s="6" t="n">
        <f aca="false">Sens!K13632-Sens!K13633</f>
        <v>224.850007430163</v>
      </c>
    </row>
    <row r="13635" customFormat="false" ht="17.15" hidden="false" customHeight="false" outlineLevel="0" collapsed="false">
      <c r="A13635" s="1" t="s">
        <v>1081</v>
      </c>
      <c r="B13635" s="1" t="s">
        <v>81</v>
      </c>
      <c r="D13635" s="15" t="n">
        <f aca="false">Q!L31</f>
        <v>7.465</v>
      </c>
      <c r="E13635" s="15" t="n">
        <f aca="false">Q!M31</f>
        <v>7.453</v>
      </c>
      <c r="F13635" s="15" t="n">
        <f aca="false">Sens!F13679</f>
        <v>7.46942637984878</v>
      </c>
      <c r="G13635" s="15" t="n">
        <f aca="false">Sens!G13679</f>
        <v>7.51035275969756</v>
      </c>
      <c r="H13635" s="15" t="n">
        <f aca="false">Sens!H13679</f>
        <v>7.53805269872637</v>
      </c>
      <c r="I13635" s="15" t="n">
        <f aca="false">Sens!I13679</f>
        <v>7.54973406278184</v>
      </c>
      <c r="J13635" s="15" t="n">
        <f aca="false">Sens!J13679</f>
        <v>7.56388347394431</v>
      </c>
      <c r="K13635" s="15" t="n">
        <f aca="false">Sens!K13679</f>
        <v>7.58031811390956</v>
      </c>
    </row>
    <row r="13636" customFormat="false" ht="17.15" hidden="false" customHeight="false" outlineLevel="0" collapsed="false">
      <c r="A13636" s="0" t="s">
        <v>1082</v>
      </c>
      <c r="B13636" s="0" t="s">
        <v>75</v>
      </c>
      <c r="D13636" s="8" t="n">
        <f aca="false">Sens!D13634/Sens!D13635</f>
        <v>13.641259209645</v>
      </c>
      <c r="E13636" s="8" t="n">
        <f aca="false">Sens!E13634/Sens!E13635</f>
        <v>17.9456594659869</v>
      </c>
      <c r="F13636" s="8" t="n">
        <f aca="false">Sens!F13634/Sens!F13635</f>
        <v>19.938345661531</v>
      </c>
      <c r="G13636" s="8" t="n">
        <f aca="false">Sens!G13634/Sens!G13635</f>
        <v>21.6984836403591</v>
      </c>
      <c r="H13636" s="8" t="n">
        <f aca="false">Sens!H13634/Sens!H13635</f>
        <v>23.8223796443721</v>
      </c>
      <c r="I13636" s="8" t="n">
        <f aca="false">Sens!I13634/Sens!I13635</f>
        <v>25.889738290229</v>
      </c>
      <c r="J13636" s="8" t="n">
        <f aca="false">Sens!J13634/Sens!J13635</f>
        <v>27.8147510199805</v>
      </c>
      <c r="K13636" s="8" t="n">
        <f aca="false">Sens!K13634/Sens!K13635</f>
        <v>29.6623445152747</v>
      </c>
      <c r="L13636" s="1" t="s">
        <v>1083</v>
      </c>
    </row>
    <row r="13637" customFormat="false" ht="17.15" hidden="false" customHeight="false" outlineLevel="0" collapsed="false">
      <c r="A13637" s="1" t="s">
        <v>1084</v>
      </c>
      <c r="B13637" s="0" t="s">
        <v>98</v>
      </c>
      <c r="D13637" s="6" t="n">
        <f aca="false">Sens!D13634</f>
        <v>101.832</v>
      </c>
      <c r="E13637" s="6" t="n">
        <f aca="false">Sens!E13634</f>
        <v>133.749</v>
      </c>
      <c r="F13637" s="6" t="n">
        <f aca="false">Sens!F13634+Sens!F13627*(1-tax_f)</f>
        <v>156.611879272087</v>
      </c>
      <c r="G13637" s="6" t="n">
        <f aca="false">Sens!G13634+Sens!G13627*(1-tax_f)</f>
        <v>182.979537366408</v>
      </c>
      <c r="H13637" s="6" t="n">
        <f aca="false">Sens!H13634+Sens!H13627*(1-tax_f)</f>
        <v>213.101573464179</v>
      </c>
      <c r="I13637" s="6" t="n">
        <f aca="false">Sens!I13634+Sens!I13627*(1-tax_f)</f>
        <v>241.252593959514</v>
      </c>
      <c r="J13637" s="6" t="n">
        <f aca="false">Sens!J13634+Sens!J13627*(1-tax_f)</f>
        <v>264.753817244562</v>
      </c>
      <c r="K13637" s="6" t="n">
        <f aca="false">Sens!K13634+Sens!K13627*(1-tax_f)</f>
        <v>283.869877425623</v>
      </c>
    </row>
    <row r="13638" customFormat="false" ht="17.15" hidden="false" customHeight="false" outlineLevel="0" collapsed="false">
      <c r="A13638" s="0" t="s">
        <v>1085</v>
      </c>
      <c r="B13638" s="0" t="s">
        <v>75</v>
      </c>
      <c r="D13638" s="8" t="n">
        <f aca="false">Sens!D13637/Sens!D13635</f>
        <v>13.641259209645</v>
      </c>
      <c r="E13638" s="8" t="n">
        <f aca="false">Sens!E13637/Sens!E13635</f>
        <v>17.9456594659869</v>
      </c>
      <c r="F13638" s="8" t="n">
        <f aca="false">Sens!F13637/Sens!F13635</f>
        <v>20.9670557426738</v>
      </c>
      <c r="G13638" s="8" t="n">
        <f aca="false">Sens!G13637/Sens!G13635</f>
        <v>24.3636408596307</v>
      </c>
      <c r="H13638" s="8" t="n">
        <f aca="false">Sens!H13637/Sens!H13635</f>
        <v>28.2701092684301</v>
      </c>
      <c r="I13638" s="8" t="n">
        <f aca="false">Sens!I13637/Sens!I13635</f>
        <v>31.9551115248979</v>
      </c>
      <c r="J13638" s="8" t="n">
        <f aca="false">Sens!J13637/Sens!J13635</f>
        <v>35.0023659349821</v>
      </c>
      <c r="K13638" s="8" t="n">
        <f aca="false">Sens!K13637/Sens!K13635</f>
        <v>37.448280291131</v>
      </c>
      <c r="L13638" s="1" t="s">
        <v>1086</v>
      </c>
    </row>
    <row r="13639" customFormat="false" ht="17.15" hidden="false" customHeight="false" outlineLevel="0" collapsed="false">
      <c r="A13639" s="0" t="s">
        <v>1087</v>
      </c>
      <c r="B13639" s="0" t="s">
        <v>168</v>
      </c>
      <c r="E13639" s="7" t="n">
        <f aca="false">Sens!E13638/Sens!D13638-1</f>
        <v>0.315542736208578</v>
      </c>
      <c r="F13639" s="7" t="n">
        <f aca="false">Sens!F13638/Sens!E13638-1</f>
        <v>0.168363624775868</v>
      </c>
      <c r="G13639" s="7" t="n">
        <f aca="false">Sens!G13638/Sens!F13638-1</f>
        <v>0.16199628401063</v>
      </c>
      <c r="H13639" s="7" t="n">
        <f aca="false">Sens!H13638/Sens!G13638-1</f>
        <v>0.160340091668003</v>
      </c>
      <c r="I13639" s="7" t="n">
        <f aca="false">Sens!I13638/Sens!H13638-1</f>
        <v>0.13034977054662</v>
      </c>
      <c r="J13639" s="7" t="n">
        <f aca="false">Sens!J13638/Sens!I13638-1</f>
        <v>0.0953604686283121</v>
      </c>
      <c r="K13639" s="7" t="n">
        <f aca="false">Sens!K13638/Sens!J13638-1</f>
        <v>0.0698785436587983</v>
      </c>
    </row>
    <row r="13640" customFormat="false" ht="17.15" hidden="false" customHeight="false" outlineLevel="0" collapsed="false">
      <c r="A13640" s="0" t="s">
        <v>1007</v>
      </c>
      <c r="B13640" s="0" t="s">
        <v>98</v>
      </c>
      <c r="E13640" s="6" t="n">
        <f aca="false">Sens!E13581</f>
        <v>5.25</v>
      </c>
      <c r="F13640" s="6" t="n">
        <f aca="false">Sens!F13581</f>
        <v>12</v>
      </c>
      <c r="G13640" s="6" t="n">
        <f aca="false">Sens!G13581</f>
        <v>18</v>
      </c>
      <c r="H13640" s="6" t="n">
        <f aca="false">Sens!H13581</f>
        <v>24</v>
      </c>
      <c r="I13640" s="6" t="n">
        <f aca="false">Sens!I13581</f>
        <v>28.5</v>
      </c>
      <c r="J13640" s="6" t="n">
        <f aca="false">Sens!J13581</f>
        <v>31.5</v>
      </c>
      <c r="K13640" s="6" t="n">
        <f aca="false">Sens!K13581</f>
        <v>34.5</v>
      </c>
    </row>
    <row r="13641" customFormat="false" ht="17.15" hidden="false" customHeight="false" outlineLevel="0" collapsed="false">
      <c r="A13641" s="1" t="s">
        <v>1008</v>
      </c>
      <c r="B13641" s="0" t="s">
        <v>98</v>
      </c>
      <c r="F13641" s="6" t="n">
        <f aca="false">MAX(0,((Sens!E13541+Sens!F13541)/2-(shadow_base*(Sens!$D$13541+Sens!$E$13541)/2+(1-shadow_base)*Sens!$E$13541))*Sens!F13550/1000-(Sens!F13640-Sens!$E$13640)*Sens!F13620)</f>
        <v>9.6048427716299</v>
      </c>
      <c r="G13641" s="6" t="n">
        <f aca="false">MAX(0,((Sens!F13541+Sens!G13541)/2-(shadow_base*(Sens!$D$13541+Sens!$E$13541)/2+(1-shadow_base)*Sens!$E$13541))*Sens!G13550/1000-(Sens!G13640-Sens!$E$13640)*Sens!G13620)</f>
        <v>25.0203385959797</v>
      </c>
      <c r="H13641" s="6" t="n">
        <f aca="false">MAX(0,((Sens!G13541+Sens!H13541)/2-(shadow_base*(Sens!$D$13541+Sens!$E$13541)/2+(1-shadow_base)*Sens!$E$13541))*Sens!H13550/1000-(Sens!H13640-Sens!$E$13640)*Sens!H13620)</f>
        <v>41.9090253697948</v>
      </c>
      <c r="I13641" s="6" t="n">
        <f aca="false">MAX(0,((Sens!H13541+Sens!I13541)/2-(shadow_base*(Sens!$D$13541+Sens!$E$13541)/2+(1-shadow_base)*Sens!$E$13541))*Sens!I13550/1000-(Sens!I13640-Sens!$E$13640)*Sens!I13620)</f>
        <v>57.239943641581</v>
      </c>
      <c r="J13641" s="6" t="n">
        <f aca="false">MAX(0,((Sens!I13541+Sens!J13541)/2-(shadow_base*(Sens!$D$13541+Sens!$E$13541)/2+(1-shadow_base)*Sens!$E$13541))*Sens!J13550/1000-(Sens!J13640-Sens!$E$13640)*Sens!J13620)</f>
        <v>67.9578520908201</v>
      </c>
      <c r="K13641" s="6" t="n">
        <f aca="false">MAX(0,((Sens!J13541+Sens!K13541)/2-(shadow_base*(Sens!$D$13541+Sens!$E$13541)/2+(1-shadow_base)*Sens!$E$13541))*Sens!K13550/1000-(Sens!K13640-Sens!$E$13640)*Sens!K13620)</f>
        <v>73.7748374943249</v>
      </c>
      <c r="L13641" s="1" t="s">
        <v>1009</v>
      </c>
    </row>
    <row r="13642" customFormat="false" ht="17.15" hidden="false" customHeight="false" outlineLevel="0" collapsed="false">
      <c r="A13642" s="1" t="s">
        <v>1010</v>
      </c>
      <c r="B13642" s="0" t="s">
        <v>98</v>
      </c>
      <c r="F13642" s="6" t="n">
        <f aca="false">IF(internal_ai_reading=2,1,0)*Sens!F13641</f>
        <v>9.6048427716299</v>
      </c>
      <c r="G13642" s="6" t="n">
        <f aca="false">IF(internal_ai_reading=2,1,0)*Sens!G13641</f>
        <v>25.0203385959797</v>
      </c>
      <c r="H13642" s="6" t="n">
        <f aca="false">IF(internal_ai_reading=2,1,0)*Sens!H13641</f>
        <v>41.9090253697948</v>
      </c>
      <c r="I13642" s="6" t="n">
        <f aca="false">IF(internal_ai_reading=2,1,0)*Sens!I13641</f>
        <v>57.239943641581</v>
      </c>
      <c r="J13642" s="6" t="n">
        <f aca="false">IF(internal_ai_reading=2,1,0)*Sens!J13641</f>
        <v>67.9578520908201</v>
      </c>
      <c r="K13642" s="6" t="n">
        <f aca="false">IF(internal_ai_reading=2,1,0)*Sens!K13641</f>
        <v>73.7748374943249</v>
      </c>
    </row>
    <row r="13643" customFormat="false" ht="17.15" hidden="false" customHeight="false" outlineLevel="0" collapsed="false">
      <c r="A13643" s="0" t="s">
        <v>1011</v>
      </c>
      <c r="B13643" s="0" t="s">
        <v>98</v>
      </c>
      <c r="F13643" s="6" t="n">
        <f aca="false">Sens!F13560+Sens!F13640*Sens!F13620+Sens!F13642-Sens!F13561-Sens!F13572</f>
        <v>14.9202827562272</v>
      </c>
      <c r="G13643" s="6" t="n">
        <f aca="false">Sens!G13560+Sens!G13640*Sens!G13620+Sens!G13642-Sens!G13561-Sens!G13572</f>
        <v>31.1399977765951</v>
      </c>
      <c r="H13643" s="6" t="n">
        <f aca="false">Sens!H13560+Sens!H13640*Sens!H13620+Sens!H13642-Sens!H13561-Sens!H13572</f>
        <v>47.9861519709827</v>
      </c>
      <c r="I13643" s="6" t="n">
        <f aca="false">Sens!I13560+Sens!I13640*Sens!I13620+Sens!I13642-Sens!I13561-Sens!I13572</f>
        <v>62.7522166574028</v>
      </c>
      <c r="J13643" s="6" t="n">
        <f aca="false">Sens!J13560+Sens!J13640*Sens!J13620+Sens!J13642-Sens!J13561-Sens!J13572</f>
        <v>72.8932253357034</v>
      </c>
      <c r="K13643" s="6" t="n">
        <f aca="false">Sens!K13560+Sens!K13640*Sens!K13620+Sens!K13642-Sens!K13561-Sens!K13572</f>
        <v>79.5667812140187</v>
      </c>
    </row>
    <row r="13644" customFormat="false" ht="17.15" hidden="false" customHeight="false" outlineLevel="0" collapsed="false">
      <c r="A13644" s="0" t="s">
        <v>1012</v>
      </c>
      <c r="B13644" s="0" t="s">
        <v>98</v>
      </c>
      <c r="E13644" s="6" t="n">
        <f aca="false">Sens!E13540*(cxit_open+self_build*tk_cxfac)/1000*ai_net_open</f>
        <v>126.6980382</v>
      </c>
      <c r="F13644" s="6" t="n">
        <f aca="false">Sens!E13644+Sens!F13569-Sens!F13572</f>
        <v>260.572627763768</v>
      </c>
      <c r="G13644" s="6" t="n">
        <f aca="false">Sens!F13644+Sens!G13569-Sens!G13572</f>
        <v>391.782612760517</v>
      </c>
      <c r="H13644" s="6" t="n">
        <f aca="false">Sens!G13644+Sens!H13569-Sens!H13572</f>
        <v>499.488526163584</v>
      </c>
      <c r="I13644" s="6" t="n">
        <f aca="false">Sens!H13644+Sens!I13569-Sens!I13572</f>
        <v>553.872350090646</v>
      </c>
      <c r="J13644" s="6" t="n">
        <f aca="false">Sens!I13644+Sens!J13569-Sens!J13572</f>
        <v>550.78660823699</v>
      </c>
      <c r="K13644" s="6" t="n">
        <f aca="false">Sens!J13644+Sens!K13569-Sens!K13572</f>
        <v>526.736791750789</v>
      </c>
      <c r="L13644" s="1" t="s">
        <v>1013</v>
      </c>
    </row>
    <row r="13645" customFormat="false" ht="17.15" hidden="false" customHeight="false" outlineLevel="0" collapsed="false">
      <c r="A13645" s="0" t="s">
        <v>1014</v>
      </c>
      <c r="B13645" s="0" t="s">
        <v>168</v>
      </c>
      <c r="F13645" s="7" t="n">
        <f aca="false">Sens!F13643*(1-tax_f)/((Sens!E13644+Sens!F13644)/2)</f>
        <v>0.0616428108505304</v>
      </c>
      <c r="G13645" s="7" t="n">
        <f aca="false">Sens!G13643*(1-tax_f)/((Sens!F13644+Sens!G13644)/2)</f>
        <v>0.0763755594306402</v>
      </c>
      <c r="H13645" s="7" t="n">
        <f aca="false">Sens!H13643*(1-tax_f)/((Sens!G13644+Sens!H13644)/2)</f>
        <v>0.0861442043845992</v>
      </c>
      <c r="I13645" s="7" t="n">
        <f aca="false">Sens!I13643*(1-tax_f)/((Sens!H13644+Sens!I13644)/2)</f>
        <v>0.0953173303805257</v>
      </c>
      <c r="J13645" s="7" t="n">
        <f aca="false">Sens!J13643*(1-tax_f)/((Sens!I13644+Sens!J13644)/2)</f>
        <v>0.105579337095761</v>
      </c>
      <c r="K13645" s="7" t="n">
        <f aca="false">Sens!K13643*(1-tax_f)/((Sens!J13644+Sens!K13644)/2)</f>
        <v>0.118147642959655</v>
      </c>
    </row>
    <row r="13646" customFormat="false" ht="17.15" hidden="false" customHeight="false" outlineLevel="0" collapsed="false">
      <c r="A13646" s="1" t="s">
        <v>1015</v>
      </c>
      <c r="B13646" s="0" t="s">
        <v>168</v>
      </c>
      <c r="F13646" s="7" t="n">
        <f aca="false">(Sens!F13643-Sens!F13642)*(1-tax_f)/((Sens!E13644+Sens!F13644)/2)</f>
        <v>0.0219606201109777</v>
      </c>
      <c r="G13646" s="7" t="n">
        <f aca="false">(Sens!G13643-Sens!G13642)*(1-tax_f)/((Sens!F13644+Sens!G13644)/2)</f>
        <v>0.0150093907134331</v>
      </c>
      <c r="H13646" s="7" t="n">
        <f aca="false">(Sens!H13643-Sens!H13642)*(1-tax_f)/((Sens!G13644+Sens!H13644)/2)</f>
        <v>0.0109095898400101</v>
      </c>
      <c r="I13646" s="7" t="n">
        <f aca="false">(Sens!I13643-Sens!I13642)*(1-tax_f)/((Sens!H13644+Sens!I13644)/2)</f>
        <v>0.00837285399917035</v>
      </c>
      <c r="J13646" s="7" t="n">
        <f aca="false">(Sens!J13643-Sens!J13642)*(1-tax_f)/((Sens!I13644+Sens!J13644)/2)</f>
        <v>0.00714844806379707</v>
      </c>
      <c r="K13646" s="7" t="n">
        <f aca="false">(Sens!K13643-Sens!K13642)*(1-tax_f)/((Sens!J13644+Sens!K13644)/2)</f>
        <v>0.00860037930648677</v>
      </c>
    </row>
    <row r="13647" customFormat="false" ht="17.15" hidden="false" customHeight="false" outlineLevel="0" collapsed="false">
      <c r="A13647" s="1" t="s">
        <v>1016</v>
      </c>
      <c r="B13647" s="0" t="s">
        <v>168</v>
      </c>
      <c r="F13647" s="7" t="n">
        <f aca="false">(Sens!F13643-Sens!F13642+Sens!F13641)*(1-tax_f)/((Sens!E13644+Sens!F13644)/2)</f>
        <v>0.0616428108505304</v>
      </c>
      <c r="G13647" s="7" t="n">
        <f aca="false">(Sens!G13643-Sens!G13642+Sens!G13641)*(1-tax_f)/((Sens!F13644+Sens!G13644)/2)</f>
        <v>0.0763755594306402</v>
      </c>
      <c r="H13647" s="7" t="n">
        <f aca="false">(Sens!H13643-Sens!H13642+Sens!H13641)*(1-tax_f)/((Sens!G13644+Sens!H13644)/2)</f>
        <v>0.0861442043845992</v>
      </c>
      <c r="I13647" s="7" t="n">
        <f aca="false">(Sens!I13643-Sens!I13642+Sens!I13641)*(1-tax_f)/((Sens!H13644+Sens!I13644)/2)</f>
        <v>0.0953173303805257</v>
      </c>
      <c r="J13647" s="7" t="n">
        <f aca="false">(Sens!J13643-Sens!J13642+Sens!J13641)*(1-tax_f)/((Sens!I13644+Sens!J13644)/2)</f>
        <v>0.105579337095761</v>
      </c>
      <c r="K13647" s="7" t="n">
        <f aca="false">(Sens!K13643-Sens!K13642+Sens!K13641)*(1-tax_f)/((Sens!J13644+Sens!K13644)/2)</f>
        <v>0.118147642959655</v>
      </c>
    </row>
    <row r="13648" customFormat="false" ht="17.15" hidden="false" customHeight="false" outlineLevel="0" collapsed="false">
      <c r="A13648" s="1" t="s">
        <v>1017</v>
      </c>
      <c r="B13648" s="0" t="s">
        <v>168</v>
      </c>
      <c r="F13648" s="7" t="n">
        <f aca="false">Sens!F13573*(1-tax_f)/(Sens!F13559*(Sens!E13644+Sens!F13644)/2)</f>
        <v>0.129294830495493</v>
      </c>
      <c r="G13648" s="7" t="n">
        <f aca="false">Sens!G13573*(1-tax_f)/(Sens!G13559*(Sens!F13644+Sens!G13644)/2)</f>
        <v>0.12719599062164</v>
      </c>
      <c r="H13648" s="7" t="n">
        <f aca="false">Sens!H13573*(1-tax_f)/(Sens!H13559*(Sens!G13644+Sens!H13644)/2)</f>
        <v>0.130828167067624</v>
      </c>
      <c r="I13648" s="7" t="n">
        <f aca="false">Sens!I13573*(1-tax_f)/(Sens!I13559*(Sens!H13644+Sens!I13644)/2)</f>
        <v>0.138614526937417</v>
      </c>
      <c r="J13648" s="7" t="n">
        <f aca="false">Sens!J13573*(1-tax_f)/(Sens!J13559*(Sens!I13644+Sens!J13644)/2)</f>
        <v>0.150578919010924</v>
      </c>
      <c r="K13648" s="7" t="n">
        <f aca="false">Sens!K13573*(1-tax_f)/(Sens!K13559*(Sens!J13644+Sens!K13644)/2)</f>
        <v>0.167005345886664</v>
      </c>
    </row>
    <row r="13649" customFormat="false" ht="17.15" hidden="false" customHeight="false" outlineLevel="0" collapsed="false">
      <c r="A13649" s="0" t="s">
        <v>1018</v>
      </c>
      <c r="B13649" s="0" t="s">
        <v>253</v>
      </c>
      <c r="F13649" s="7" t="n">
        <f aca="false">Sens!F13645-wacc</f>
        <v>-0.0412937800950669</v>
      </c>
      <c r="G13649" s="7" t="n">
        <f aca="false">Sens!G13645-wacc</f>
        <v>-0.0265610315149571</v>
      </c>
      <c r="H13649" s="7" t="n">
        <f aca="false">Sens!H13645-wacc</f>
        <v>-0.0167923865609981</v>
      </c>
      <c r="I13649" s="7" t="n">
        <f aca="false">Sens!I13645-wacc</f>
        <v>-0.00761926056507155</v>
      </c>
      <c r="J13649" s="7" t="n">
        <f aca="false">Sens!J13645-wacc</f>
        <v>0.00264274615016351</v>
      </c>
      <c r="K13649" s="7" t="n">
        <f aca="false">Sens!K13645-wacc</f>
        <v>0.0152110520140581</v>
      </c>
    </row>
    <row r="13650" customFormat="false" ht="17.15" hidden="false" customHeight="false" outlineLevel="0" collapsed="false">
      <c r="A13650" s="0" t="s">
        <v>1019</v>
      </c>
      <c r="B13650" s="0" t="s">
        <v>98</v>
      </c>
      <c r="F13650" s="6" t="n">
        <f aca="false">Sens!F13643*(1-tax_f)-wacc*(Sens!E13644+Sens!F13644)/2</f>
        <v>-7.99593485878896</v>
      </c>
      <c r="G13650" s="6" t="n">
        <f aca="false">Sens!G13643*(1-tax_f)-wacc*(Sens!F13644+Sens!G13644)/2</f>
        <v>-8.66361405125648</v>
      </c>
      <c r="H13650" s="6" t="n">
        <f aca="false">Sens!H13643*(1-tax_f)-wacc*(Sens!G13644+Sens!H13644)/2</f>
        <v>-7.48328474773726</v>
      </c>
      <c r="I13650" s="6" t="n">
        <f aca="false">Sens!I13643*(1-tax_f)-wacc*(Sens!H13644+Sens!I13644)/2</f>
        <v>-4.01291549261653</v>
      </c>
      <c r="J13650" s="6" t="n">
        <f aca="false">Sens!J13643*(1-tax_f)-wacc*(Sens!I13644+Sens!J13644)/2</f>
        <v>1.459666604682</v>
      </c>
      <c r="K13650" s="6" t="n">
        <f aca="false">Sens!K13643*(1-tax_f)-wacc*(Sens!J13644+Sens!K13644)/2</f>
        <v>8.1951322417894</v>
      </c>
    </row>
    <row r="13651" customFormat="false" ht="17.15" hidden="false" customHeight="false" outlineLevel="0" collapsed="false">
      <c r="A13651" s="3" t="s">
        <v>1953</v>
      </c>
    </row>
    <row r="13652" customFormat="false" ht="15" hidden="false" customHeight="false" outlineLevel="0" collapsed="false">
      <c r="A13652" s="4" t="s">
        <v>43</v>
      </c>
      <c r="B13652" s="4" t="s">
        <v>65</v>
      </c>
      <c r="C13652" s="23" t="s">
        <v>942</v>
      </c>
      <c r="D13652" s="23" t="s">
        <v>943</v>
      </c>
      <c r="E13652" s="23" t="s">
        <v>944</v>
      </c>
      <c r="F13652" s="23" t="s">
        <v>945</v>
      </c>
      <c r="G13652" s="23" t="s">
        <v>946</v>
      </c>
      <c r="H13652" s="23" t="s">
        <v>947</v>
      </c>
      <c r="I13652" s="23" t="s">
        <v>948</v>
      </c>
      <c r="J13652" s="23" t="s">
        <v>949</v>
      </c>
      <c r="K13652" s="23" t="s">
        <v>950</v>
      </c>
      <c r="L13652" s="4" t="s">
        <v>47</v>
      </c>
    </row>
    <row r="13653" customFormat="false" ht="15" hidden="false" customHeight="false" outlineLevel="0" collapsed="false">
      <c r="A13653" s="1" t="s">
        <v>1080</v>
      </c>
      <c r="B13653" s="0" t="s">
        <v>98</v>
      </c>
      <c r="F13653" s="6" t="n">
        <f aca="false">Sens!F13634</f>
        <v>148.928005054783</v>
      </c>
      <c r="G13653" s="6" t="n">
        <f aca="false">Sens!G13634</f>
        <v>162.963266489624</v>
      </c>
      <c r="H13653" s="6" t="n">
        <f aca="false">Sens!H13634</f>
        <v>179.574353168343</v>
      </c>
      <c r="I13653" s="6" t="n">
        <f aca="false">Sens!I13634</f>
        <v>195.460639046249</v>
      </c>
      <c r="J13653" s="6" t="n">
        <f aca="false">Sens!J13634</f>
        <v>210.387535571906</v>
      </c>
      <c r="K13653" s="6" t="n">
        <f aca="false">Sens!K13634</f>
        <v>224.850007430163</v>
      </c>
    </row>
    <row r="13654" customFormat="false" ht="17.15" hidden="false" customHeight="false" outlineLevel="0" collapsed="false">
      <c r="A13654" s="1" t="s">
        <v>1102</v>
      </c>
      <c r="B13654" s="0" t="s">
        <v>98</v>
      </c>
      <c r="E13654" s="6" t="n">
        <f aca="false">Q!M38-Sens!E13572</f>
        <v>22.2285940229167</v>
      </c>
      <c r="F13654" s="6" t="n">
        <f aca="false">Sens!E13654*(1-1/life_nonai)+(Sens!F13662+Sens!F13663)/life_nonai</f>
        <v>23.580344216413</v>
      </c>
      <c r="G13654" s="6" t="n">
        <f aca="false">Sens!F13654*(1-1/life_nonai)+(Sens!G13662)/life_nonai</f>
        <v>25.3583505401965</v>
      </c>
      <c r="H13654" s="6" t="n">
        <f aca="false">Sens!G13654*(1-1/life_nonai)+(Sens!H13662)/life_nonai</f>
        <v>27.528569983033</v>
      </c>
      <c r="I13654" s="6" t="n">
        <f aca="false">Sens!H13654*(1-1/life_nonai)+(Sens!I13662)/life_nonai</f>
        <v>30.0244523528154</v>
      </c>
      <c r="J13654" s="6" t="n">
        <f aca="false">Sens!I13654*(1-1/life_nonai)+(Sens!J13662)/life_nonai</f>
        <v>32.7625785967048</v>
      </c>
      <c r="K13654" s="6" t="n">
        <f aca="false">Sens!J13654*(1-1/life_nonai)+(Sens!K13662)/life_nonai</f>
        <v>35.6585684431062</v>
      </c>
      <c r="L13654" s="12" t="s">
        <v>1103</v>
      </c>
    </row>
    <row r="13655" customFormat="false" ht="17.15" hidden="false" customHeight="false" outlineLevel="0" collapsed="false">
      <c r="A13655" s="1" t="s">
        <v>1104</v>
      </c>
      <c r="B13655" s="0" t="s">
        <v>98</v>
      </c>
      <c r="F13655" s="6" t="n">
        <f aca="false">Sens!$F$13663/life_nonai*(1-1/life_nonai)^(Sens!F13535-2027)</f>
        <v>1.94586576753864E-006</v>
      </c>
      <c r="G13655" s="6" t="n">
        <f aca="false">Sens!$F$13663/life_nonai*(1-1/life_nonai)^(Sens!G13535-2027)</f>
        <v>1.75127919078477E-006</v>
      </c>
      <c r="H13655" s="6" t="n">
        <f aca="false">Sens!$F$13663/life_nonai*(1-1/life_nonai)^(Sens!H13535-2027)</f>
        <v>1.57615127170629E-006</v>
      </c>
      <c r="I13655" s="6" t="n">
        <f aca="false">Sens!$F$13663/life_nonai*(1-1/life_nonai)^(Sens!I13535-2027)</f>
        <v>1.41853614453567E-006</v>
      </c>
      <c r="J13655" s="6" t="n">
        <f aca="false">Sens!$F$13663/life_nonai*(1-1/life_nonai)^(Sens!J13535-2027)</f>
        <v>1.2766825300821E-006</v>
      </c>
      <c r="K13655" s="6" t="n">
        <f aca="false">Sens!$F$13663/life_nonai*(1-1/life_nonai)^(Sens!K13535-2027)</f>
        <v>1.14901427707389E-006</v>
      </c>
      <c r="L13655" s="1" t="s">
        <v>1105</v>
      </c>
    </row>
    <row r="13656" customFormat="false" ht="17.15" hidden="false" customHeight="false" outlineLevel="0" collapsed="false">
      <c r="A13656" s="1" t="s">
        <v>1106</v>
      </c>
      <c r="B13656" s="0" t="s">
        <v>98</v>
      </c>
      <c r="E13656" s="6" t="n">
        <f aca="false">Sens!E13572+Sens!E13654</f>
        <v>38.534</v>
      </c>
      <c r="F13656" s="6" t="n">
        <f aca="false">Sens!F13572+Sens!F13654</f>
        <v>58.1596586947647</v>
      </c>
      <c r="G13656" s="6" t="n">
        <f aca="false">Sens!G13572+Sens!G13654</f>
        <v>86.0928411924955</v>
      </c>
      <c r="H13656" s="6" t="n">
        <f aca="false">Sens!H13572+Sens!H13654</f>
        <v>116.628660644479</v>
      </c>
      <c r="I13656" s="6" t="n">
        <f aca="false">Sens!I13572+Sens!I13654</f>
        <v>144.255462047364</v>
      </c>
      <c r="J13656" s="6" t="n">
        <f aca="false">Sens!J13572+Sens!J13654</f>
        <v>164.778251646301</v>
      </c>
      <c r="K13656" s="6" t="n">
        <f aca="false">Sens!K13572+Sens!K13654</f>
        <v>178.67123799404</v>
      </c>
    </row>
    <row r="13657" customFormat="false" ht="17.15" hidden="false" customHeight="false" outlineLevel="0" collapsed="false">
      <c r="A13657" s="1" t="s">
        <v>1107</v>
      </c>
      <c r="B13657" s="0" t="s">
        <v>98</v>
      </c>
      <c r="F13657" s="6" t="n">
        <f aca="false">Sens!F13599*sbc_r</f>
        <v>14.9175438377464</v>
      </c>
      <c r="G13657" s="6" t="n">
        <f aca="false">Sens!G13599*sbc_r</f>
        <v>17.8119838712421</v>
      </c>
      <c r="H13657" s="6" t="n">
        <f aca="false">Sens!H13599*sbc_r</f>
        <v>20.7745061486909</v>
      </c>
      <c r="I13657" s="6" t="n">
        <f aca="false">Sens!I13599*sbc_r</f>
        <v>23.4952383075388</v>
      </c>
      <c r="J13657" s="6" t="n">
        <f aca="false">Sens!J13599*sbc_r</f>
        <v>25.7232953082804</v>
      </c>
      <c r="K13657" s="6" t="n">
        <f aca="false">Sens!K13599*sbc_r</f>
        <v>27.5132097680234</v>
      </c>
    </row>
    <row r="13658" customFormat="false" ht="17.15" hidden="false" customHeight="false" outlineLevel="0" collapsed="false">
      <c r="A13658" s="1" t="s">
        <v>1108</v>
      </c>
      <c r="B13658" s="0" t="s">
        <v>98</v>
      </c>
      <c r="F13658" s="6" t="n">
        <f aca="false">wc27-wc26q1</f>
        <v>-4.677</v>
      </c>
      <c r="G13658" s="6" t="n">
        <f aca="false">wc_f</f>
        <v>0</v>
      </c>
      <c r="H13658" s="6" t="n">
        <f aca="false">wc_f</f>
        <v>0</v>
      </c>
      <c r="I13658" s="6" t="n">
        <f aca="false">wc_f</f>
        <v>0</v>
      </c>
      <c r="J13658" s="6" t="n">
        <f aca="false">wc_f</f>
        <v>0</v>
      </c>
      <c r="K13658" s="6" t="n">
        <f aca="false">wc_f</f>
        <v>0</v>
      </c>
      <c r="L13658" s="12" t="s">
        <v>1109</v>
      </c>
    </row>
    <row r="13659" customFormat="false" ht="17.15" hidden="false" customHeight="false" outlineLevel="0" collapsed="false">
      <c r="A13659" s="0" t="s">
        <v>1110</v>
      </c>
      <c r="B13659" s="0" t="s">
        <v>98</v>
      </c>
      <c r="F13659" s="6" t="n">
        <f aca="false">Q!$I$35-Q!$I$26-Q!$I$38-Q!$I$39</f>
        <v>6.493</v>
      </c>
      <c r="L13659" s="1" t="s">
        <v>1111</v>
      </c>
    </row>
    <row r="13660" customFormat="false" ht="15" hidden="false" customHeight="false" outlineLevel="0" collapsed="false">
      <c r="A13660" s="1" t="s">
        <v>908</v>
      </c>
      <c r="B13660" s="0" t="s">
        <v>98</v>
      </c>
      <c r="E13660" s="6" t="n">
        <f aca="false">Q!M35</f>
        <v>182.935</v>
      </c>
      <c r="F13660" s="6" t="n">
        <f aca="false">Sens!F13653+Sens!F13656+Sens!F13657+Sens!F13658+Sens!F13659</f>
        <v>223.821207587295</v>
      </c>
      <c r="G13660" s="6" t="n">
        <f aca="false">Sens!G13653+Sens!G13656+Sens!G13657+Sens!G13658</f>
        <v>266.868091553361</v>
      </c>
      <c r="H13660" s="6" t="n">
        <f aca="false">Sens!H13653+Sens!H13656+Sens!H13657+Sens!H13658</f>
        <v>316.977519961513</v>
      </c>
      <c r="I13660" s="6" t="n">
        <f aca="false">Sens!I13653+Sens!I13656+Sens!I13657+Sens!I13658</f>
        <v>363.211339401152</v>
      </c>
      <c r="J13660" s="6" t="n">
        <f aca="false">Sens!J13653+Sens!J13656+Sens!J13657+Sens!J13658</f>
        <v>400.889082526488</v>
      </c>
      <c r="K13660" s="6" t="n">
        <f aca="false">Sens!K13653+Sens!K13656+Sens!K13657+Sens!K13658</f>
        <v>431.034455192227</v>
      </c>
    </row>
    <row r="13661" customFormat="false" ht="17.15" hidden="false" customHeight="false" outlineLevel="0" collapsed="false">
      <c r="A13661" s="0" t="s">
        <v>1112</v>
      </c>
      <c r="B13661" s="0" t="s">
        <v>98</v>
      </c>
      <c r="F13661" s="6" t="n">
        <f aca="false">Sens!F13569</f>
        <v>168.45390404212</v>
      </c>
      <c r="G13661" s="6" t="n">
        <f aca="false">Sens!G13569</f>
        <v>191.944475649048</v>
      </c>
      <c r="H13661" s="6" t="n">
        <f aca="false">Sens!H13569</f>
        <v>196.806004064512</v>
      </c>
      <c r="I13661" s="6" t="n">
        <f aca="false">Sens!I13569</f>
        <v>168.61483362161</v>
      </c>
      <c r="J13661" s="6" t="n">
        <f aca="false">Sens!J13569</f>
        <v>128.92993119594</v>
      </c>
      <c r="K13661" s="6" t="n">
        <f aca="false">Sens!K13569</f>
        <v>118.962853064733</v>
      </c>
    </row>
    <row r="13662" customFormat="false" ht="17.15" hidden="false" customHeight="false" outlineLevel="0" collapsed="false">
      <c r="A13662" s="1" t="s">
        <v>1113</v>
      </c>
      <c r="B13662" s="0" t="s">
        <v>98</v>
      </c>
      <c r="E13662" s="6" t="n">
        <f aca="false">Sens!E13577*cx_azo+Sens!E13584*cx_m365+Sens!E13585*cx_lic+(Sens!E13587+Sens!E13589)*cx_ind+Sens!E13592*cx_srch+(Sens!E13594+Sens!E13596)*cx_dev</f>
        <v>30.1846587067718</v>
      </c>
      <c r="F13662" s="6" t="n">
        <f aca="false">Sens!F13577*cx_azo+Sens!F13584*cx_m365+Sens!F13585*cx_lic+(Sens!F13587+Sens!F13589)*cx_ind+Sens!F13592*cx_srch+(Sens!F13594+Sens!F13596)*cx_dev</f>
        <v>35.7460764992227</v>
      </c>
      <c r="G13662" s="6" t="n">
        <f aca="false">Sens!G13577*cx_azo+Sens!G13584*cx_m365+Sens!G13585*cx_lic+(Sens!G13587+Sens!G13589)*cx_ind+Sens!G13592*cx_srch+(Sens!G13594+Sens!G13596)*cx_dev</f>
        <v>41.360407454248</v>
      </c>
      <c r="H13662" s="6" t="n">
        <f aca="false">Sens!H13577*cx_azo+Sens!H13584*cx_m365+Sens!H13585*cx_lic+(Sens!H13587+Sens!H13589)*cx_ind+Sens!H13592*cx_srch+(Sens!H13594+Sens!H13596)*cx_dev</f>
        <v>47.0605449685615</v>
      </c>
      <c r="I13662" s="6" t="n">
        <f aca="false">Sens!I13577*cx_azo+Sens!I13584*cx_m365+Sens!I13585*cx_lic+(Sens!I13587+Sens!I13589)*cx_ind+Sens!I13592*cx_srch+(Sens!I13594+Sens!I13596)*cx_dev</f>
        <v>52.4873936808571</v>
      </c>
      <c r="J13662" s="6" t="n">
        <f aca="false">Sens!J13577*cx_azo+Sens!J13584*cx_m365+Sens!J13585*cx_lic+(Sens!J13587+Sens!J13589)*cx_ind+Sens!J13592*cx_srch+(Sens!J13594+Sens!J13596)*cx_dev</f>
        <v>57.4057147917091</v>
      </c>
      <c r="K13662" s="6" t="n">
        <f aca="false">Sens!K13577*cx_azo+Sens!K13584*cx_m365+Sens!K13585*cx_lic+(Sens!K13587+Sens!K13589)*cx_ind+Sens!K13592*cx_srch+(Sens!K13594+Sens!K13596)*cx_dev</f>
        <v>61.7224770607185</v>
      </c>
    </row>
    <row r="13663" customFormat="false" ht="17.15" hidden="false" customHeight="false" outlineLevel="0" collapsed="false">
      <c r="A13663" s="0" t="s">
        <v>1114</v>
      </c>
      <c r="B13663" s="0" t="s">
        <v>98</v>
      </c>
      <c r="F13663" s="6" t="n">
        <f aca="false">Sens!F13567</f>
        <v>1.94586576753863E-005</v>
      </c>
      <c r="L13663" s="1" t="s">
        <v>1115</v>
      </c>
    </row>
    <row r="13664" customFormat="false" ht="17.15" hidden="false" customHeight="false" outlineLevel="0" collapsed="false">
      <c r="A13664" s="1" t="s">
        <v>1116</v>
      </c>
      <c r="B13664" s="0" t="s">
        <v>98</v>
      </c>
      <c r="E13664" s="6" t="n">
        <f aca="false">Q!M43</f>
        <v>145.3</v>
      </c>
      <c r="F13664" s="6" t="n">
        <f aca="false">Sens!F13661+Sens!F13662+Sens!F13663</f>
        <v>204.2</v>
      </c>
      <c r="G13664" s="6" t="n">
        <f aca="false">Sens!G13661+Sens!G13662</f>
        <v>233.304883103296</v>
      </c>
      <c r="H13664" s="6" t="n">
        <f aca="false">Sens!H13661+Sens!H13662</f>
        <v>243.866549033074</v>
      </c>
      <c r="I13664" s="6" t="n">
        <f aca="false">Sens!I13661+Sens!I13662</f>
        <v>221.102227302467</v>
      </c>
      <c r="J13664" s="6" t="n">
        <f aca="false">Sens!J13661+Sens!J13662</f>
        <v>186.33564598765</v>
      </c>
      <c r="K13664" s="6" t="n">
        <f aca="false">Sens!K13661+Sens!K13662</f>
        <v>180.685330125451</v>
      </c>
      <c r="L13664" s="1" t="s">
        <v>1117</v>
      </c>
    </row>
    <row r="13665" customFormat="false" ht="15" hidden="false" customHeight="false" outlineLevel="0" collapsed="false">
      <c r="A13665" s="1" t="s">
        <v>1118</v>
      </c>
      <c r="B13665" s="0" t="s">
        <v>98</v>
      </c>
      <c r="E13665" s="6" t="n">
        <f aca="false">fl_liab</f>
        <v>66.594</v>
      </c>
      <c r="F13665" s="6" t="n">
        <f aca="false">Sens!E13665-Sens!F13666</f>
        <v>62.46973</v>
      </c>
      <c r="G13665" s="6" t="n">
        <f aca="false">Sens!F13665-Sens!G13666</f>
        <v>57.98686785</v>
      </c>
      <c r="H13665" s="6" t="n">
        <f aca="false">Sens!G13665-Sens!H13666</f>
        <v>53.92827690325</v>
      </c>
      <c r="I13665" s="6" t="n">
        <f aca="false">Sens!H13665-Sens!I13666</f>
        <v>49.7850493638962</v>
      </c>
      <c r="J13665" s="6" t="n">
        <f aca="false">Sens!I13665-Sens!J13666</f>
        <v>45.4823765852716</v>
      </c>
      <c r="K13665" s="6" t="n">
        <f aca="false">Sens!J13665-Sens!K13666</f>
        <v>40.9860835316088</v>
      </c>
    </row>
    <row r="13666" customFormat="false" ht="15" hidden="false" customHeight="false" outlineLevel="0" collapsed="false">
      <c r="A13666" s="1" t="s">
        <v>1119</v>
      </c>
      <c r="B13666" s="0" t="s">
        <v>98</v>
      </c>
      <c r="F13666" s="6" t="n">
        <f aca="false">fl_pay_27-Sens!E13665*fl_rate</f>
        <v>4.12427</v>
      </c>
      <c r="G13666" s="6" t="n">
        <f aca="false">fl_pay_28-Sens!F13665*fl_rate</f>
        <v>4.48286215</v>
      </c>
      <c r="H13666" s="6" t="n">
        <f aca="false">fl_pay_29-Sens!G13665*fl_rate</f>
        <v>4.05859094675</v>
      </c>
      <c r="I13666" s="6" t="n">
        <f aca="false">fl_pay_30-Sens!H13665*fl_rate</f>
        <v>4.14322753935375</v>
      </c>
      <c r="J13666" s="6" t="n">
        <f aca="false">fl_pay_31-Sens!I13665*fl_rate</f>
        <v>4.30267277862467</v>
      </c>
      <c r="K13666" s="6" t="n">
        <f aca="false">fl_pay_32-Sens!J13665*fl_rate</f>
        <v>4.49629305366278</v>
      </c>
    </row>
    <row r="13667" customFormat="false" ht="17.15" hidden="false" customHeight="false" outlineLevel="0" collapsed="false">
      <c r="A13667" s="1" t="s">
        <v>1120</v>
      </c>
      <c r="B13667" s="0" t="s">
        <v>98</v>
      </c>
      <c r="E13667" s="6" t="n">
        <f aca="false">Q!M35-Q!M36-Q!M44</f>
        <v>63.886</v>
      </c>
      <c r="F13667" s="6" t="n">
        <f aca="false">Sens!F13660-Sens!F13664-Sens!F13666</f>
        <v>15.4969375872946</v>
      </c>
      <c r="G13667" s="6" t="n">
        <f aca="false">Sens!G13660-Sens!G13664-Sens!G13666</f>
        <v>29.0803463000652</v>
      </c>
      <c r="H13667" s="6" t="n">
        <f aca="false">Sens!H13660-Sens!H13664-Sens!H13666</f>
        <v>69.052379981689</v>
      </c>
      <c r="I13667" s="6" t="n">
        <f aca="false">Sens!I13660-Sens!I13664-Sens!I13666</f>
        <v>137.965884559331</v>
      </c>
      <c r="J13667" s="6" t="n">
        <f aca="false">Sens!J13660-Sens!J13664-Sens!J13666</f>
        <v>210.250763760213</v>
      </c>
      <c r="K13667" s="6" t="n">
        <f aca="false">Sens!K13660-Sens!K13664-Sens!K13666</f>
        <v>245.852832013113</v>
      </c>
      <c r="L13667" s="12" t="s">
        <v>1121</v>
      </c>
    </row>
    <row r="13668" customFormat="false" ht="15" hidden="false" customHeight="false" outlineLevel="0" collapsed="false">
      <c r="A13668" s="1" t="s">
        <v>1122</v>
      </c>
      <c r="B13668" s="0" t="s">
        <v>75</v>
      </c>
      <c r="F13668" s="8" t="n">
        <f aca="false">dps_27</f>
        <v>3.85</v>
      </c>
      <c r="G13668" s="8" t="n">
        <f aca="false">Sens!F13668*(1+dps_g)</f>
        <v>4.158</v>
      </c>
      <c r="H13668" s="8" t="n">
        <f aca="false">Sens!G13668*(1+dps_g)</f>
        <v>4.49064</v>
      </c>
      <c r="I13668" s="8" t="n">
        <f aca="false">Sens!H13668*(1+dps_g)</f>
        <v>4.8498912</v>
      </c>
      <c r="J13668" s="8" t="n">
        <f aca="false">Sens!I13668*(1+dps_g)</f>
        <v>5.237882496</v>
      </c>
      <c r="K13668" s="8" t="n">
        <f aca="false">Sens!J13668*(1+dps_g)</f>
        <v>5.65691309568</v>
      </c>
    </row>
    <row r="13669" customFormat="false" ht="17.15" hidden="false" customHeight="false" outlineLevel="0" collapsed="false">
      <c r="A13669" s="1" t="s">
        <v>1123</v>
      </c>
      <c r="B13669" s="0" t="s">
        <v>98</v>
      </c>
      <c r="E13669" s="6" t="n">
        <f aca="false">Q!M41</f>
        <v>26.445</v>
      </c>
      <c r="F13669" s="6" t="n">
        <f aca="false">Sens!F13668*Sens!E13678</f>
        <v>28.59395</v>
      </c>
      <c r="G13669" s="6" t="n">
        <f aca="false">Sens!G13668*Sens!F13678</f>
        <v>31.0346997748225</v>
      </c>
      <c r="H13669" s="6" t="n">
        <f aca="false">Sens!H13668*Sens!G13678</f>
        <v>33.7195545568083</v>
      </c>
      <c r="I13669" s="6" t="n">
        <f aca="false">Sens!I13668*Sens!H13678</f>
        <v>36.4675571984256</v>
      </c>
      <c r="J13669" s="6" t="n">
        <f aca="false">Sens!J13668*Sens!I13678</f>
        <v>39.4528596596923</v>
      </c>
      <c r="K13669" s="6" t="n">
        <f aca="false">Sens!K13668*Sens!J13678</f>
        <v>42.6958426948459</v>
      </c>
      <c r="L13669" s="1" t="s">
        <v>1124</v>
      </c>
    </row>
    <row r="13670" customFormat="false" ht="15" hidden="false" customHeight="false" outlineLevel="0" collapsed="false">
      <c r="A13670" s="1" t="s">
        <v>1125</v>
      </c>
      <c r="B13670" s="0" t="s">
        <v>98</v>
      </c>
      <c r="E13670" s="6" t="n">
        <f aca="false">Sens!E13667-Sens!E13669</f>
        <v>37.441</v>
      </c>
      <c r="F13670" s="6" t="n">
        <f aca="false">Sens!F13667-Sens!F13669</f>
        <v>-13.0970124127054</v>
      </c>
      <c r="G13670" s="6" t="n">
        <f aca="false">Sens!G13667-Sens!G13669</f>
        <v>-1.95435347475722</v>
      </c>
      <c r="H13670" s="6" t="n">
        <f aca="false">Sens!H13667-Sens!H13669</f>
        <v>35.3328254248808</v>
      </c>
      <c r="I13670" s="6" t="n">
        <f aca="false">Sens!I13667-Sens!I13669</f>
        <v>101.498327360905</v>
      </c>
      <c r="J13670" s="6" t="n">
        <f aca="false">Sens!J13667-Sens!J13669</f>
        <v>170.797904100521</v>
      </c>
      <c r="K13670" s="6" t="n">
        <f aca="false">Sens!K13667-Sens!K13669</f>
        <v>203.156989318267</v>
      </c>
    </row>
    <row r="13671" customFormat="false" ht="15" hidden="false" customHeight="false" outlineLevel="0" collapsed="false">
      <c r="A13671" s="1" t="s">
        <v>1126</v>
      </c>
      <c r="B13671" s="0" t="s">
        <v>98</v>
      </c>
      <c r="F13671" s="6" t="n">
        <f aca="false">debt_mat_27</f>
        <v>9.25</v>
      </c>
      <c r="G13671" s="6" t="n">
        <f aca="false">debt_mat_28</f>
        <v>0</v>
      </c>
      <c r="H13671" s="6" t="n">
        <f aca="false">debt_mat_29</f>
        <v>2.001</v>
      </c>
      <c r="I13671" s="6" t="n">
        <f aca="false">debt_mat_30</f>
        <v>0</v>
      </c>
      <c r="J13671" s="6" t="n">
        <f aca="false">debt_mat_31</f>
        <v>0.5</v>
      </c>
      <c r="K13671" s="6" t="n">
        <f aca="false">debt_mat_32</f>
        <v>0</v>
      </c>
    </row>
    <row r="13672" customFormat="false" ht="15" hidden="false" customHeight="false" outlineLevel="0" collapsed="false">
      <c r="A13672" s="1" t="s">
        <v>1127</v>
      </c>
      <c r="B13672" s="0" t="s">
        <v>98</v>
      </c>
      <c r="E13672" s="6" t="n">
        <f aca="false">Q!M40</f>
        <v>22.271</v>
      </c>
      <c r="F13672" s="6" t="n">
        <f aca="false">MAX(0,MIN(bb_target,Sens!E13674+Sens!F13670-Sens!F13671-min_cash))</f>
        <v>4.49598758729458</v>
      </c>
      <c r="G13672" s="6" t="n">
        <f aca="false">MAX(0,MIN(bb_target,Sens!F13674+Sens!G13670-Sens!G13671-min_cash))</f>
        <v>0</v>
      </c>
      <c r="H13672" s="6" t="n">
        <f aca="false">MAX(0,MIN(bb_target,Sens!G13674+Sens!H13670-Sens!H13671-min_cash))</f>
        <v>22.271</v>
      </c>
      <c r="I13672" s="6" t="n">
        <f aca="false">MAX(0,MIN(bb_target,Sens!H13674+Sens!I13670-Sens!I13671-min_cash))</f>
        <v>22.271</v>
      </c>
      <c r="J13672" s="6" t="n">
        <f aca="false">MAX(0,MIN(bb_target,Sens!I13674+Sens!J13670-Sens!J13671-min_cash))</f>
        <v>22.271</v>
      </c>
      <c r="K13672" s="6" t="n">
        <f aca="false">MAX(0,MIN(bb_target,Sens!J13674+Sens!K13670-Sens!K13671-min_cash))</f>
        <v>22.271</v>
      </c>
    </row>
    <row r="13673" customFormat="false" ht="15" hidden="false" customHeight="false" outlineLevel="0" collapsed="false">
      <c r="A13673" s="1" t="s">
        <v>1128</v>
      </c>
      <c r="B13673" s="0" t="s">
        <v>98</v>
      </c>
      <c r="F13673" s="6" t="n">
        <f aca="false">MAX(0,min_cash-(Sens!E13674+Sens!F13670-Sens!F13671-Sens!F13672))</f>
        <v>0</v>
      </c>
      <c r="G13673" s="6" t="n">
        <f aca="false">MAX(0,min_cash-(Sens!F13674+Sens!G13670-Sens!G13671-Sens!G13672))</f>
        <v>1.95435347475723</v>
      </c>
      <c r="H13673" s="6" t="n">
        <f aca="false">MAX(0,min_cash-(Sens!G13674+Sens!H13670-Sens!H13671-Sens!H13672))</f>
        <v>0</v>
      </c>
      <c r="I13673" s="6" t="n">
        <f aca="false">MAX(0,min_cash-(Sens!H13674+Sens!I13670-Sens!I13671-Sens!I13672))</f>
        <v>0</v>
      </c>
      <c r="J13673" s="6" t="n">
        <f aca="false">MAX(0,min_cash-(Sens!I13674+Sens!J13670-Sens!J13671-Sens!J13672))</f>
        <v>0</v>
      </c>
      <c r="K13673" s="6" t="n">
        <f aca="false">MAX(0,min_cash-(Sens!J13674+Sens!K13670-Sens!K13671-Sens!K13672))</f>
        <v>0</v>
      </c>
    </row>
    <row r="13674" customFormat="false" ht="15" hidden="false" customHeight="false" outlineLevel="0" collapsed="false">
      <c r="A13674" s="1" t="s">
        <v>1129</v>
      </c>
      <c r="B13674" s="0" t="s">
        <v>98</v>
      </c>
      <c r="E13674" s="6" t="n">
        <f aca="false">cash_open</f>
        <v>76.843</v>
      </c>
      <c r="F13674" s="6" t="n">
        <f aca="false">Sens!E13674+Sens!F13670-Sens!F13671-Sens!F13672+Sens!F13673</f>
        <v>50</v>
      </c>
      <c r="G13674" s="6" t="n">
        <f aca="false">Sens!F13674+Sens!G13670-Sens!G13671-Sens!G13672+Sens!G13673</f>
        <v>50</v>
      </c>
      <c r="H13674" s="6" t="n">
        <f aca="false">Sens!G13674+Sens!H13670-Sens!H13671-Sens!H13672+Sens!H13673</f>
        <v>61.0608254248808</v>
      </c>
      <c r="I13674" s="6" t="n">
        <f aca="false">Sens!H13674+Sens!I13670-Sens!I13671-Sens!I13672+Sens!I13673</f>
        <v>140.288152785786</v>
      </c>
      <c r="J13674" s="6" t="n">
        <f aca="false">Sens!I13674+Sens!J13670-Sens!J13671-Sens!J13672+Sens!J13673</f>
        <v>288.315056886307</v>
      </c>
      <c r="K13674" s="6" t="n">
        <f aca="false">Sens!J13674+Sens!K13670-Sens!K13671-Sens!K13672+Sens!K13673</f>
        <v>469.201046204573</v>
      </c>
    </row>
    <row r="13675" customFormat="false" ht="15" hidden="false" customHeight="false" outlineLevel="0" collapsed="false">
      <c r="A13675" s="1" t="s">
        <v>1130</v>
      </c>
      <c r="B13675" s="0" t="s">
        <v>98</v>
      </c>
      <c r="E13675" s="6" t="n">
        <f aca="false">debt_face</f>
        <v>46.136</v>
      </c>
      <c r="F13675" s="6" t="n">
        <f aca="false">Sens!E13675-Sens!F13671+Sens!F13673</f>
        <v>36.886</v>
      </c>
      <c r="G13675" s="6" t="n">
        <f aca="false">Sens!F13675-Sens!G13671+Sens!G13673</f>
        <v>38.8403534747572</v>
      </c>
      <c r="H13675" s="6" t="n">
        <f aca="false">Sens!G13675-Sens!H13671+Sens!H13673</f>
        <v>36.8393534747572</v>
      </c>
      <c r="I13675" s="6" t="n">
        <f aca="false">Sens!H13675-Sens!I13671+Sens!I13673</f>
        <v>36.8393534747572</v>
      </c>
      <c r="J13675" s="6" t="n">
        <f aca="false">Sens!I13675-Sens!J13671+Sens!J13673</f>
        <v>36.3393534747572</v>
      </c>
      <c r="K13675" s="6" t="n">
        <f aca="false">Sens!J13675-Sens!K13671+Sens!K13673</f>
        <v>36.3393534747572</v>
      </c>
    </row>
    <row r="13676" customFormat="false" ht="15" hidden="false" customHeight="false" outlineLevel="0" collapsed="false">
      <c r="A13676" s="1" t="s">
        <v>1131</v>
      </c>
      <c r="B13676" s="0" t="s">
        <v>98</v>
      </c>
      <c r="E13676" s="6" t="n">
        <f aca="false">Sens!E13674-Sens!E13675</f>
        <v>30.707</v>
      </c>
      <c r="F13676" s="6" t="n">
        <f aca="false">Sens!F13674-Sens!F13675</f>
        <v>13.114</v>
      </c>
      <c r="G13676" s="6" t="n">
        <f aca="false">Sens!G13674-Sens!G13675</f>
        <v>11.1596465252428</v>
      </c>
      <c r="H13676" s="6" t="n">
        <f aca="false">Sens!H13674-Sens!H13675</f>
        <v>24.2214719501235</v>
      </c>
      <c r="I13676" s="6" t="n">
        <f aca="false">Sens!I13674-Sens!I13675</f>
        <v>103.448799311028</v>
      </c>
      <c r="J13676" s="6" t="n">
        <f aca="false">Sens!J13674-Sens!J13675</f>
        <v>251.97570341155</v>
      </c>
      <c r="K13676" s="6" t="n">
        <f aca="false">Sens!K13674-Sens!K13675</f>
        <v>432.861692729816</v>
      </c>
    </row>
    <row r="13677" customFormat="false" ht="15" hidden="false" customHeight="false" outlineLevel="0" collapsed="false">
      <c r="A13677" s="1" t="s">
        <v>1132</v>
      </c>
      <c r="B13677" s="0" t="s">
        <v>75</v>
      </c>
      <c r="F13677" s="30" t="n">
        <f aca="false">px*(1+bb_g)^(Sens!F13535-base_fy-mid_yr)</f>
        <v>551.84177959629</v>
      </c>
      <c r="G13677" s="30" t="n">
        <f aca="false">px*(1+bb_g)^(Sens!G13535-base_fy-mid_yr)</f>
        <v>595.989121963993</v>
      </c>
      <c r="H13677" s="30" t="n">
        <f aca="false">px*(1+bb_g)^(Sens!H13535-base_fy-mid_yr)</f>
        <v>643.668251721112</v>
      </c>
      <c r="I13677" s="30" t="n">
        <f aca="false">px*(1+bb_g)^(Sens!I13535-base_fy-mid_yr)</f>
        <v>695.161711858801</v>
      </c>
      <c r="J13677" s="30" t="n">
        <f aca="false">px*(1+bb_g)^(Sens!J13535-base_fy-mid_yr)</f>
        <v>750.774648807506</v>
      </c>
      <c r="K13677" s="30" t="n">
        <f aca="false">px*(1+bb_g)^(Sens!K13535-base_fy-mid_yr)</f>
        <v>810.836620712106</v>
      </c>
    </row>
    <row r="13678" customFormat="false" ht="15" hidden="false" customHeight="false" outlineLevel="0" collapsed="false">
      <c r="A13678" s="1" t="s">
        <v>1133</v>
      </c>
      <c r="B13678" s="1" t="s">
        <v>81</v>
      </c>
      <c r="E13678" s="15" t="n">
        <f aca="false">sh_out26</f>
        <v>7.427</v>
      </c>
      <c r="F13678" s="15" t="n">
        <f aca="false">Sens!E13678+sh_iss-Sens!F13672/Sens!F13677</f>
        <v>7.46385275969756</v>
      </c>
      <c r="G13678" s="15" t="n">
        <f aca="false">Sens!F13678+sh_iss-Sens!G13672/Sens!G13677</f>
        <v>7.50885275969756</v>
      </c>
      <c r="H13678" s="15" t="n">
        <f aca="false">Sens!G13678+sh_iss-Sens!H13672/Sens!H13677</f>
        <v>7.51925263775517</v>
      </c>
      <c r="I13678" s="15" t="n">
        <f aca="false">Sens!H13678+sh_iss-Sens!I13672/Sens!I13677</f>
        <v>7.5322154878085</v>
      </c>
      <c r="J13678" s="15" t="n">
        <f aca="false">Sens!I13678+sh_iss-Sens!J13672/Sens!J13677</f>
        <v>7.54755146008011</v>
      </c>
      <c r="K13678" s="15" t="n">
        <f aca="false">Sens!J13678+sh_iss-Sens!K13672/Sens!K13677</f>
        <v>7.56508476773901</v>
      </c>
    </row>
    <row r="13679" customFormat="false" ht="15" hidden="false" customHeight="false" outlineLevel="0" collapsed="false">
      <c r="A13679" s="1" t="s">
        <v>1134</v>
      </c>
      <c r="B13679" s="1" t="s">
        <v>81</v>
      </c>
      <c r="E13679" s="15" t="n">
        <f aca="false">sh_dil26</f>
        <v>7.453</v>
      </c>
      <c r="F13679" s="15" t="n">
        <f aca="false">(Sens!E13678+Sens!F13678)/2+dil_gap</f>
        <v>7.46942637984878</v>
      </c>
      <c r="G13679" s="15" t="n">
        <f aca="false">(Sens!F13678+Sens!G13678)/2+dil_gap</f>
        <v>7.51035275969756</v>
      </c>
      <c r="H13679" s="15" t="n">
        <f aca="false">(Sens!G13678+Sens!H13678)/2+dil_gap</f>
        <v>7.53805269872637</v>
      </c>
      <c r="I13679" s="15" t="n">
        <f aca="false">(Sens!H13678+Sens!I13678)/2+dil_gap</f>
        <v>7.54973406278184</v>
      </c>
      <c r="J13679" s="15" t="n">
        <f aca="false">(Sens!I13678+Sens!J13678)/2+dil_gap</f>
        <v>7.56388347394431</v>
      </c>
      <c r="K13679" s="15" t="n">
        <f aca="false">(Sens!J13678+Sens!K13678)/2+dil_gap</f>
        <v>7.58031811390956</v>
      </c>
    </row>
    <row r="13680" customFormat="false" ht="17.15" hidden="false" customHeight="false" outlineLevel="0" collapsed="false">
      <c r="A13680" s="1" t="s">
        <v>1135</v>
      </c>
      <c r="B13680" s="0" t="s">
        <v>98</v>
      </c>
      <c r="C13680" s="6" t="n">
        <f aca="false">SUM(Sens!F13670:J13670)</f>
        <v>292.577690998844</v>
      </c>
    </row>
    <row r="13681" customFormat="false" ht="15" hidden="false" customHeight="false" outlineLevel="0" collapsed="false">
      <c r="A13681" s="26" t="s">
        <v>1100</v>
      </c>
      <c r="B13681" s="31" t="s">
        <v>98</v>
      </c>
      <c r="C13681" s="27" t="n">
        <f aca="false">Sens!$C$13680-(Sens!F13670+Sens!G13670+Sens!H13670+Sens!I13670+Sens!J13670)</f>
        <v>0</v>
      </c>
      <c r="D13681" s="31"/>
      <c r="E13681" s="31"/>
      <c r="F13681" s="31"/>
      <c r="G13681" s="31"/>
      <c r="H13681" s="31"/>
      <c r="I13681" s="31"/>
      <c r="J13681" s="31"/>
      <c r="K13681" s="31"/>
    </row>
    <row r="13682" customFormat="false" ht="17.15" hidden="false" customHeight="false" outlineLevel="0" collapsed="false">
      <c r="A13682" s="1" t="s">
        <v>1094</v>
      </c>
      <c r="B13682" s="1" t="s">
        <v>1136</v>
      </c>
      <c r="C13682" s="33" t="str">
        <f aca="false">IF(SUM(Sens!F13673:J13673)&gt;0.05,"需要舉債 "&amp;TEXT(SUM(Sens!F13673:J13673),"0.0")&amp;" 十億美元","不需舉債")&amp;"；"&amp;IF(SUM(Sens!F13672:J13672)&lt;COUNT(Sens!F13672:J13672)*bb_target-0.05,"回購較每年 "&amp;TEXT(bb_target,"0.0")&amp;" 的目標少 "&amp;TEXT(COUNT(Sens!F13672:J13672)*bb_target-SUM(Sens!F13672:J13672),"0.0")&amp;" 十億美元（"&amp;TEXT(COUNTIF(Sens!F13672:J13672,"&lt;"&amp;(bb_target-0.05)),"0")&amp;" 年減少）","回購不減")</f>
        <v>需要舉債 2.0 十億美元；回購較每年 22.3 的目標少 40.0 十億美元（2 年減少）</v>
      </c>
    </row>
    <row r="13683" customFormat="false" ht="17.15" hidden="false" customHeight="false" outlineLevel="0" collapsed="false">
      <c r="A13683" s="3" t="s">
        <v>1954</v>
      </c>
    </row>
    <row r="13684" customFormat="false" ht="15" hidden="false" customHeight="false" outlineLevel="0" collapsed="false">
      <c r="A13684" s="4" t="s">
        <v>43</v>
      </c>
      <c r="B13684" s="4" t="s">
        <v>65</v>
      </c>
      <c r="C13684" s="23" t="s">
        <v>942</v>
      </c>
      <c r="D13684" s="23" t="s">
        <v>943</v>
      </c>
      <c r="E13684" s="23" t="s">
        <v>944</v>
      </c>
      <c r="F13684" s="23" t="s">
        <v>945</v>
      </c>
      <c r="G13684" s="23" t="s">
        <v>946</v>
      </c>
      <c r="H13684" s="23" t="s">
        <v>947</v>
      </c>
      <c r="I13684" s="23" t="s">
        <v>948</v>
      </c>
      <c r="J13684" s="23" t="s">
        <v>949</v>
      </c>
      <c r="K13684" s="23" t="s">
        <v>950</v>
      </c>
      <c r="L13684" s="4" t="s">
        <v>47</v>
      </c>
    </row>
    <row r="13685" customFormat="false" ht="17.15" hidden="false" customHeight="false" outlineLevel="0" collapsed="false">
      <c r="A13685" s="1" t="s">
        <v>1216</v>
      </c>
      <c r="B13685" s="1" t="s">
        <v>279</v>
      </c>
      <c r="F13685" s="8" t="n">
        <f aca="false">(1-v_off)*mid_yr</f>
        <v>0.373972602739726</v>
      </c>
      <c r="G13685" s="8" t="n">
        <f aca="false">Sens!G13535-base_fy-mid_yr-v_off</f>
        <v>1.24794520547945</v>
      </c>
      <c r="H13685" s="8" t="n">
        <f aca="false">Sens!H13535-base_fy-mid_yr-v_off</f>
        <v>2.24794520547945</v>
      </c>
      <c r="I13685" s="8" t="n">
        <f aca="false">Sens!I13535-base_fy-mid_yr-v_off</f>
        <v>3.24794520547945</v>
      </c>
      <c r="J13685" s="8" t="n">
        <f aca="false">Sens!J13535-base_fy-mid_yr-v_off</f>
        <v>4.24794520547945</v>
      </c>
      <c r="K13685" s="8" t="n">
        <f aca="false">Sens!K13535-base_fy-mid_yr-v_off</f>
        <v>5.24794520547945</v>
      </c>
      <c r="L13685" s="12" t="s">
        <v>1217</v>
      </c>
    </row>
    <row r="13686" customFormat="false" ht="15" hidden="false" customHeight="false" outlineLevel="0" collapsed="false">
      <c r="A13686" s="1" t="s">
        <v>1218</v>
      </c>
      <c r="B13686" s="1" t="s">
        <v>279</v>
      </c>
      <c r="F13686" s="8" t="n">
        <f aca="false">Sens!F13535-base_fy-v_off</f>
        <v>0.747945205479452</v>
      </c>
      <c r="G13686" s="8" t="n">
        <f aca="false">Sens!G13535-base_fy-v_off</f>
        <v>1.74794520547945</v>
      </c>
      <c r="H13686" s="8" t="n">
        <f aca="false">Sens!H13535-base_fy-v_off</f>
        <v>2.74794520547945</v>
      </c>
      <c r="I13686" s="8" t="n">
        <f aca="false">Sens!I13535-base_fy-v_off</f>
        <v>3.74794520547945</v>
      </c>
      <c r="J13686" s="8" t="n">
        <f aca="false">Sens!J13535-base_fy-v_off</f>
        <v>4.74794520547945</v>
      </c>
      <c r="K13686" s="8" t="n">
        <f aca="false">Sens!K13535-base_fy-v_off</f>
        <v>5.74794520547945</v>
      </c>
    </row>
    <row r="13687" customFormat="false" ht="15" hidden="false" customHeight="false" outlineLevel="0" collapsed="false">
      <c r="A13687" s="1" t="s">
        <v>1219</v>
      </c>
      <c r="B13687" s="0" t="s">
        <v>229</v>
      </c>
      <c r="F13687" s="15" t="n">
        <f aca="false">1/(1+wacc)^Sens!F13685</f>
        <v>0.964022703286649</v>
      </c>
      <c r="G13687" s="15" t="n">
        <f aca="false">1/(1+wacc)^Sens!G13685</f>
        <v>0.884910302296739</v>
      </c>
      <c r="H13687" s="15" t="n">
        <f aca="false">1/(1+wacc)^Sens!H13685</f>
        <v>0.802322009770358</v>
      </c>
      <c r="I13687" s="15" t="n">
        <f aca="false">1/(1+wacc)^Sens!I13685</f>
        <v>0.727441646561469</v>
      </c>
      <c r="J13687" s="15" t="n">
        <f aca="false">1/(1+wacc)^Sens!J13685</f>
        <v>0.659549834988973</v>
      </c>
      <c r="K13687" s="15" t="n">
        <f aca="false">1/(1+wacc)^Sens!K13685</f>
        <v>0.597994336576966</v>
      </c>
    </row>
    <row r="13688" customFormat="false" ht="17.15" hidden="false" customHeight="false" outlineLevel="0" collapsed="false">
      <c r="A13688" s="1" t="s">
        <v>1220</v>
      </c>
      <c r="B13688" s="0" t="s">
        <v>98</v>
      </c>
      <c r="F13688" s="6" t="n">
        <f aca="false">Q!$I$35-Q!$I$39-Q!$I$43</f>
        <v>9.666</v>
      </c>
      <c r="L13688" s="12" t="s">
        <v>1221</v>
      </c>
    </row>
    <row r="13689" customFormat="false" ht="17.15" hidden="false" customHeight="false" outlineLevel="0" collapsed="false">
      <c r="A13689" s="1" t="s">
        <v>1222</v>
      </c>
      <c r="B13689" s="0" t="s">
        <v>98</v>
      </c>
      <c r="F13689" s="6" t="n">
        <f aca="false">Sens!F13660-Sens!F13657-Sens!F13664+Sens!F13642*(1-tax_f)*(1-v_off)-Sens!F13688</f>
        <v>0.784780629887802</v>
      </c>
      <c r="G13689" s="6" t="n">
        <f aca="false">Sens!G13660-Sens!G13657-Sens!G13664+Sens!G13642*(1-tax_f)</f>
        <v>35.7674954556069</v>
      </c>
      <c r="H13689" s="6" t="n">
        <f aca="false">Sens!H13660-Sens!H13657-Sens!H13664+Sens!H13642*(1-tax_f)</f>
        <v>85.863685075584</v>
      </c>
      <c r="I13689" s="6" t="n">
        <f aca="false">Sens!I13660-Sens!I13657-Sens!I13664+Sens!I13642*(1-tax_f)</f>
        <v>164.40582870441</v>
      </c>
      <c r="J13689" s="6" t="n">
        <f aca="false">Sens!J13660-Sens!J13657-Sens!J13664+Sens!J13642*(1-tax_f)</f>
        <v>243.196422903214</v>
      </c>
      <c r="K13689" s="6" t="n">
        <f aca="false">Sens!K13660-Sens!K13657-Sens!K13664+Sens!K13642*(1-tax_f)</f>
        <v>281.855785294212</v>
      </c>
      <c r="L13689" s="1" t="s">
        <v>1223</v>
      </c>
    </row>
    <row r="13690" customFormat="false" ht="15" hidden="false" customHeight="false" outlineLevel="0" collapsed="false">
      <c r="A13690" s="1" t="s">
        <v>1224</v>
      </c>
      <c r="B13690" s="0" t="s">
        <v>98</v>
      </c>
      <c r="F13690" s="6" t="n">
        <f aca="false">Sens!F13689*Sens!F13687</f>
        <v>0.756546344311438</v>
      </c>
      <c r="G13690" s="6" t="n">
        <f aca="false">Sens!G13689*Sens!G13687</f>
        <v>31.6510252160183</v>
      </c>
      <c r="H13690" s="6" t="n">
        <f aca="false">Sens!H13689*Sens!H13687</f>
        <v>68.8903243761316</v>
      </c>
      <c r="I13690" s="6" t="n">
        <f aca="false">Sens!I13689*Sens!I13687</f>
        <v>119.595646737039</v>
      </c>
      <c r="J13690" s="6" t="n">
        <f aca="false">Sens!J13689*Sens!J13687</f>
        <v>160.400160595723</v>
      </c>
      <c r="K13690" s="6" t="n">
        <f aca="false">Sens!K13689*Sens!K13687</f>
        <v>168.548163337392</v>
      </c>
    </row>
    <row r="13691" customFormat="false" ht="17.15" hidden="false" customHeight="false" outlineLevel="0" collapsed="false">
      <c r="A13691" s="1" t="s">
        <v>1225</v>
      </c>
      <c r="B13691" s="0" t="s">
        <v>98</v>
      </c>
      <c r="C13691" s="6" t="n">
        <f aca="false">SUM(Sens!F13690:K13690)</f>
        <v>549.841866606615</v>
      </c>
    </row>
    <row r="13692" customFormat="false" ht="17.15" hidden="false" customHeight="false" outlineLevel="0" collapsed="false">
      <c r="A13692" s="1" t="s">
        <v>1226</v>
      </c>
      <c r="B13692" s="0" t="s">
        <v>98</v>
      </c>
      <c r="C13692" s="6" t="n">
        <f aca="false">Sens!K13628*(1+g_tv)*(1-tax_f)</f>
        <v>293.374773748391</v>
      </c>
    </row>
    <row r="13693" customFormat="false" ht="17.15" hidden="false" customHeight="false" outlineLevel="0" collapsed="false">
      <c r="A13693" s="1" t="s">
        <v>1227</v>
      </c>
      <c r="B13693" s="0" t="s">
        <v>98</v>
      </c>
      <c r="C13693" s="6" t="n">
        <f aca="false">Sens!$C$13692*(1-g_tv/(wacc+ronic_prem))</f>
        <v>207.873173864408</v>
      </c>
    </row>
    <row r="13694" customFormat="false" ht="17.15" hidden="false" customHeight="false" outlineLevel="0" collapsed="false">
      <c r="A13694" s="1" t="s">
        <v>1228</v>
      </c>
      <c r="B13694" s="0" t="s">
        <v>98</v>
      </c>
      <c r="C13694" s="6" t="n">
        <f aca="false">Sens!$C$13693/(wacc-g_tv)</f>
        <v>2850.05332946612</v>
      </c>
    </row>
    <row r="13695" customFormat="false" ht="15" hidden="false" customHeight="false" outlineLevel="0" collapsed="false">
      <c r="A13695" s="1" t="s">
        <v>1229</v>
      </c>
      <c r="B13695" s="0" t="s">
        <v>98</v>
      </c>
      <c r="C13695" s="6" t="n">
        <f aca="false">Sens!$C$13694/(1+wacc)^Sens!K13686</f>
        <v>1622.83656657624</v>
      </c>
    </row>
    <row r="13696" customFormat="false" ht="17.15" hidden="false" customHeight="false" outlineLevel="0" collapsed="false">
      <c r="A13696" s="0" t="s">
        <v>1230</v>
      </c>
      <c r="B13696" s="0" t="s">
        <v>98</v>
      </c>
      <c r="C13696" s="6" t="n">
        <f aca="false">Sens!$C$13691+Sens!$C$13695</f>
        <v>2172.67843318285</v>
      </c>
    </row>
    <row r="13697" customFormat="false" ht="15" hidden="false" customHeight="false" outlineLevel="0" collapsed="false">
      <c r="A13697" s="1" t="s">
        <v>1145</v>
      </c>
      <c r="B13697" s="0" t="s">
        <v>168</v>
      </c>
      <c r="C13697" s="7" t="n">
        <f aca="false">Sens!$C$13695/Sens!$C$13696</f>
        <v>0.746929017102118</v>
      </c>
    </row>
    <row r="13698" customFormat="false" ht="17.15" hidden="false" customHeight="false" outlineLevel="0" collapsed="false">
      <c r="A13698" s="1" t="s">
        <v>1231</v>
      </c>
      <c r="B13698" s="0" t="s">
        <v>98</v>
      </c>
      <c r="C13698" s="6" t="n">
        <f aca="false">Sens!$C$13696+cash_val-debt_val-fl_val+oai_v</f>
        <v>2288.52943318285</v>
      </c>
    </row>
    <row r="13699" customFormat="false" ht="17.15" hidden="false" customHeight="false" outlineLevel="0" collapsed="false">
      <c r="A13699" s="0" t="s">
        <v>1153</v>
      </c>
      <c r="B13699" s="0" t="s">
        <v>75</v>
      </c>
      <c r="C13699" s="5" t="n">
        <f aca="false">Sens!$C$13698/shd_val</f>
        <v>307.350179046851</v>
      </c>
    </row>
    <row r="13700" customFormat="false" ht="15" hidden="false" customHeight="false" outlineLevel="0" collapsed="false">
      <c r="A13700" s="1" t="s">
        <v>1232</v>
      </c>
      <c r="B13700" s="0" t="s">
        <v>75</v>
      </c>
      <c r="C13700" s="8" t="n">
        <f aca="false">div_rem27+Sens!G13668*roll_div_q/q_per_yr</f>
        <v>3.9795</v>
      </c>
    </row>
    <row r="13701" customFormat="false" ht="17.15" hidden="false" customHeight="false" outlineLevel="0" collapsed="false">
      <c r="A13701" s="0" t="s">
        <v>1233</v>
      </c>
      <c r="B13701" s="0" t="s">
        <v>75</v>
      </c>
      <c r="C13701" s="5" t="n">
        <f aca="false">Sens!$C$13699*(1+wacc)^t_roll-Sens!$C$13700</f>
        <v>337.657377452681</v>
      </c>
    </row>
    <row r="13702" customFormat="false" ht="17.15" hidden="false" customHeight="false" outlineLevel="0" collapsed="false">
      <c r="A13702" s="1" t="s">
        <v>1234</v>
      </c>
      <c r="B13702" s="0" t="s">
        <v>168</v>
      </c>
      <c r="F13702" s="7" t="n">
        <f aca="false">Sens!F13654/(Sens!F13599-Sens!F13554)</f>
        <v>0.0686195668908011</v>
      </c>
      <c r="G13702" s="7" t="n">
        <f aca="false">Sens!G13654/(Sens!G13599-Sens!G13554)</f>
        <v>0.0658333569148391</v>
      </c>
      <c r="H13702" s="7" t="n">
        <f aca="false">Sens!H13654/(Sens!H13599-Sens!H13554)</f>
        <v>0.0643895625218926</v>
      </c>
      <c r="I13702" s="7" t="n">
        <f aca="false">Sens!I13654/(Sens!I13599-Sens!I13554)</f>
        <v>0.0641676618157989</v>
      </c>
      <c r="J13702" s="7" t="n">
        <f aca="false">Sens!J13654/(Sens!J13599-Sens!J13554)</f>
        <v>0.0648858606572163</v>
      </c>
      <c r="K13702" s="7" t="n">
        <f aca="false">Sens!K13654/(Sens!K13599-Sens!K13554)</f>
        <v>0.0661974425163768</v>
      </c>
    </row>
    <row r="13703" customFormat="false" ht="17.15" hidden="false" customHeight="false" outlineLevel="0" collapsed="false">
      <c r="A13703" s="0" t="s">
        <v>1235</v>
      </c>
      <c r="B13703" s="0" t="s">
        <v>98</v>
      </c>
      <c r="F13703" s="6" t="n">
        <f aca="false">Sens!F13584*(al_m365+Sens!F13702+sbc_r)</f>
        <v>83.7205619248671</v>
      </c>
      <c r="G13703" s="6" t="n">
        <f aca="false">Sens!G13584*(al_m365+Sens!G13702+sbc_r)</f>
        <v>96.1301303332381</v>
      </c>
      <c r="H13703" s="6" t="n">
        <f aca="false">Sens!H13584*(al_m365+Sens!H13702+sbc_r)</f>
        <v>108.70354073822</v>
      </c>
      <c r="I13703" s="6" t="n">
        <f aca="false">Sens!I13584*(al_m365+Sens!I13702+sbc_r)</f>
        <v>120.260101315626</v>
      </c>
      <c r="J13703" s="6" t="n">
        <f aca="false">Sens!J13584*(al_m365+Sens!J13702+sbc_r)</f>
        <v>130.611904548619</v>
      </c>
      <c r="K13703" s="6" t="n">
        <f aca="false">Sens!K13584*(al_m365+Sens!K13702+sbc_r)</f>
        <v>140.575094974638</v>
      </c>
      <c r="L13703" s="12" t="s">
        <v>1236</v>
      </c>
    </row>
    <row r="13704" customFormat="false" ht="17.15" hidden="false" customHeight="false" outlineLevel="0" collapsed="false">
      <c r="A13704" s="0" t="s">
        <v>1237</v>
      </c>
      <c r="B13704" s="0" t="s">
        <v>98</v>
      </c>
      <c r="F13704" s="6" t="n">
        <f aca="false">Sens!F13585*(al_lic+Sens!F13702+sbc_r)</f>
        <v>32.8577657183496</v>
      </c>
      <c r="G13704" s="6" t="n">
        <f aca="false">Sens!G13585*(al_lic+Sens!G13702+sbc_r)</f>
        <v>34.1376266324889</v>
      </c>
      <c r="H13704" s="6" t="n">
        <f aca="false">Sens!H13585*(al_lic+Sens!H13702+sbc_r)</f>
        <v>35.3325744664128</v>
      </c>
      <c r="I13704" s="6" t="n">
        <f aca="false">Sens!I13585*(al_lic+Sens!I13702+sbc_r)</f>
        <v>36.4244749008727</v>
      </c>
      <c r="J13704" s="6" t="n">
        <f aca="false">Sens!J13585*(al_lic+Sens!J13702+sbc_r)</f>
        <v>37.3879406068527</v>
      </c>
      <c r="K13704" s="6" t="n">
        <f aca="false">Sens!K13585*(al_lic+Sens!K13702+sbc_r)</f>
        <v>38.1943876078259</v>
      </c>
    </row>
    <row r="13705" customFormat="false" ht="17.15" hidden="false" customHeight="false" outlineLevel="0" collapsed="false">
      <c r="A13705" s="0" t="s">
        <v>1238</v>
      </c>
      <c r="B13705" s="0" t="s">
        <v>98</v>
      </c>
      <c r="F13705" s="6" t="n">
        <f aca="false">Sens!F13587*(al_ind+Sens!F13702+sbc_r)</f>
        <v>9.06041701092022</v>
      </c>
      <c r="G13705" s="6" t="n">
        <f aca="false">Sens!G13587*(al_ind+Sens!G13702+sbc_r)</f>
        <v>9.83619082712885</v>
      </c>
      <c r="H13705" s="6" t="n">
        <f aca="false">Sens!H13587*(al_ind+Sens!H13702+sbc_r)</f>
        <v>10.6570160105312</v>
      </c>
      <c r="I13705" s="6" t="n">
        <f aca="false">Sens!I13587*(al_ind+Sens!I13702+sbc_r)</f>
        <v>11.5198571637125</v>
      </c>
      <c r="J13705" s="6" t="n">
        <f aca="false">Sens!J13587*(al_ind+Sens!J13702+sbc_r)</f>
        <v>12.4150086539206</v>
      </c>
      <c r="K13705" s="6" t="n">
        <f aca="false">Sens!K13587*(al_ind+Sens!K13702+sbc_r)</f>
        <v>13.3273714589988</v>
      </c>
    </row>
    <row r="13706" customFormat="false" ht="17.15" hidden="false" customHeight="false" outlineLevel="0" collapsed="false">
      <c r="A13706" s="0" t="s">
        <v>1239</v>
      </c>
      <c r="B13706" s="0" t="s">
        <v>98</v>
      </c>
      <c r="F13706" s="6" t="n">
        <f aca="false">Sens!F13589*(al_fro+Sens!F13702+sbc_r)</f>
        <v>3.55402950182022</v>
      </c>
      <c r="G13706" s="6" t="n">
        <f aca="false">Sens!G13589*(al_fro+Sens!G13702+sbc_r)</f>
        <v>3.76361488926481</v>
      </c>
      <c r="H13706" s="6" t="n">
        <f aca="false">Sens!H13589*(al_fro+Sens!H13702+sbc_r)</f>
        <v>4.00220968879544</v>
      </c>
      <c r="I13706" s="6" t="n">
        <f aca="false">Sens!I13589*(al_fro+Sens!I13702+sbc_r)</f>
        <v>4.2725765173852</v>
      </c>
      <c r="J13706" s="6" t="n">
        <f aca="false">Sens!J13589*(al_fro+Sens!J13702+sbc_r)</f>
        <v>4.57586224390293</v>
      </c>
      <c r="K13706" s="6" t="n">
        <f aca="false">Sens!K13589*(al_fro+Sens!K13702+sbc_r)</f>
        <v>4.91213639633217</v>
      </c>
    </row>
    <row r="13707" customFormat="false" ht="17.15" hidden="false" customHeight="false" outlineLevel="0" collapsed="false">
      <c r="A13707" s="0" t="s">
        <v>1240</v>
      </c>
      <c r="B13707" s="0" t="s">
        <v>98</v>
      </c>
      <c r="F13707" s="6" t="n">
        <f aca="false">Sens!F13592*(al_srch+Sens!F13702+sbc_r)</f>
        <v>11.1890902994147</v>
      </c>
      <c r="G13707" s="6" t="n">
        <f aca="false">Sens!G13592*(al_srch+Sens!G13702+sbc_r)</f>
        <v>12.261738891803</v>
      </c>
      <c r="H13707" s="6" t="n">
        <f aca="false">Sens!H13592*(al_srch+Sens!H13702+sbc_r)</f>
        <v>13.3794863429193</v>
      </c>
      <c r="I13707" s="6" t="n">
        <f aca="false">Sens!I13592*(al_srch+Sens!I13702+sbc_r)</f>
        <v>14.5317114787784</v>
      </c>
      <c r="J13707" s="6" t="n">
        <f aca="false">Sens!J13592*(al_srch+Sens!J13702+sbc_r)</f>
        <v>15.6984365817724</v>
      </c>
      <c r="K13707" s="6" t="n">
        <f aca="false">Sens!K13592*(al_srch+Sens!K13702+sbc_r)</f>
        <v>16.8520942258664</v>
      </c>
    </row>
    <row r="13708" customFormat="false" ht="17.15" hidden="false" customHeight="false" outlineLevel="0" collapsed="false">
      <c r="A13708" s="0" t="s">
        <v>1241</v>
      </c>
      <c r="B13708" s="0" t="s">
        <v>98</v>
      </c>
      <c r="F13708" s="6" t="n">
        <f aca="false">Sens!F13560-Sens!F13561+Sens!F13642</f>
        <v>42.4081090240393</v>
      </c>
      <c r="G13708" s="6" t="n">
        <f aca="false">Sens!G13560-Sens!G13561+Sens!G13642</f>
        <v>81.2372561130847</v>
      </c>
      <c r="H13708" s="6" t="n">
        <f aca="false">Sens!H13560-Sens!H13561+Sens!H13642</f>
        <v>122.903266211349</v>
      </c>
      <c r="I13708" s="6" t="n">
        <f aca="false">Sens!I13560-Sens!I13561+Sens!I13642</f>
        <v>160.14094185192</v>
      </c>
      <c r="J13708" s="6" t="n">
        <f aca="false">Sens!J13560-Sens!J13561+Sens!J13642</f>
        <v>186.293741832633</v>
      </c>
      <c r="K13708" s="6" t="n">
        <f aca="false">Sens!K13560-Sens!K13561+Sens!K13642</f>
        <v>202.191422159652</v>
      </c>
    </row>
    <row r="13709" customFormat="false" ht="17.15" hidden="false" customHeight="false" outlineLevel="0" collapsed="false">
      <c r="A13709" s="0" t="s">
        <v>1242</v>
      </c>
      <c r="B13709" s="0" t="s">
        <v>98</v>
      </c>
      <c r="F13709" s="6" t="n">
        <f aca="false">Sens!F13621+Sens!F13642+Sens!F13572+Sens!F13702*(Sens!F13591-Sens!F13554)+sbc_r*Sens!F13591</f>
        <v>242.260794737127</v>
      </c>
      <c r="G13709" s="6" t="n">
        <f aca="false">Sens!G13621+Sens!G13642+Sens!G13572+Sens!G13702*(Sens!G13591-Sens!G13554)+sbc_r*Sens!G13591</f>
        <v>306.031647383274</v>
      </c>
      <c r="H13709" s="6" t="n">
        <f aca="false">Sens!H13621+Sens!H13642+Sens!H13572+Sens!H13702*(Sens!H13591-Sens!H13554)+sbc_r*Sens!H13591</f>
        <v>376.259061129566</v>
      </c>
      <c r="I13709" s="6" t="n">
        <f aca="false">Sens!I13621+Sens!I13642+Sens!I13572+Sens!I13702*(Sens!I13591-Sens!I13554)+sbc_r*Sens!I13591</f>
        <v>440.628084231591</v>
      </c>
      <c r="J13709" s="6" t="n">
        <f aca="false">Sens!J13621+Sens!J13642+Sens!J13572+Sens!J13702*(Sens!J13591-Sens!J13554)+sbc_r*Sens!J13591</f>
        <v>491.380688755661</v>
      </c>
      <c r="K13709" s="6" t="n">
        <f aca="false">Sens!K13621+Sens!K13642+Sens!K13572+Sens!K13702*(Sens!K13591-Sens!K13554)+sbc_r*Sens!K13591</f>
        <v>529.414351521946</v>
      </c>
    </row>
    <row r="13710" customFormat="false" ht="17.15" hidden="false" customHeight="false" outlineLevel="0" collapsed="false">
      <c r="A13710" s="0" t="s">
        <v>1243</v>
      </c>
      <c r="B13710" s="0" t="s">
        <v>98</v>
      </c>
      <c r="F13710" s="6" t="n">
        <f aca="false">Sens!F13709-Sens!F13703-Sens!F13704-Sens!F13705-Sens!F13706-Sens!F13708</f>
        <v>70.6599115571309</v>
      </c>
      <c r="G13710" s="6" t="n">
        <f aca="false">Sens!G13709-Sens!G13703-Sens!G13704-Sens!G13705-Sens!G13706-Sens!G13708</f>
        <v>80.9268285880685</v>
      </c>
      <c r="H13710" s="6" t="n">
        <f aca="false">Sens!H13709-Sens!H13703-Sens!H13704-Sens!H13705-Sens!H13706-Sens!H13708</f>
        <v>94.6604540142574</v>
      </c>
      <c r="I13710" s="6" t="n">
        <f aca="false">Sens!I13709-Sens!I13703-Sens!I13704-Sens!I13705-Sens!I13706-Sens!I13708</f>
        <v>108.010132482075</v>
      </c>
      <c r="J13710" s="6" t="n">
        <f aca="false">Sens!J13709-Sens!J13703-Sens!J13704-Sens!J13705-Sens!J13706-Sens!J13708</f>
        <v>120.096230869733</v>
      </c>
      <c r="K13710" s="6" t="n">
        <f aca="false">Sens!K13709-Sens!K13703-Sens!K13704-Sens!K13705-Sens!K13706-Sens!K13708</f>
        <v>130.2139389245</v>
      </c>
    </row>
    <row r="13711" customFormat="false" ht="17.15" hidden="false" customHeight="false" outlineLevel="0" collapsed="false">
      <c r="A13711" s="0" t="s">
        <v>1244</v>
      </c>
      <c r="B13711" s="0" t="s">
        <v>98</v>
      </c>
      <c r="F13711" s="6" t="n">
        <f aca="false">Sens!F13623+Sens!F13702*Sens!F13598+sbc_r*Sens!F13598</f>
        <v>27.610006885493</v>
      </c>
      <c r="G13711" s="6" t="n">
        <f aca="false">Sens!G13623+Sens!G13702*Sens!G13598+sbc_r*Sens!G13598</f>
        <v>27.7975993884731</v>
      </c>
      <c r="H13711" s="6" t="n">
        <f aca="false">Sens!H13623+Sens!H13702*Sens!H13598+sbc_r*Sens!H13598</f>
        <v>28.7210724938276</v>
      </c>
      <c r="I13711" s="6" t="n">
        <f aca="false">Sens!I13623+Sens!I13702*Sens!I13598+sbc_r*Sens!I13598</f>
        <v>29.888358572704</v>
      </c>
      <c r="J13711" s="6" t="n">
        <f aca="false">Sens!J13623+Sens!J13702*Sens!J13598+sbc_r*Sens!J13598</f>
        <v>31.2631297546232</v>
      </c>
      <c r="K13711" s="6" t="n">
        <f aca="false">Sens!K13623+Sens!K13702*Sens!K13598+sbc_r*Sens!K13598</f>
        <v>32.8074430221461</v>
      </c>
    </row>
    <row r="13712" customFormat="false" ht="17.15" hidden="false" customHeight="false" outlineLevel="0" collapsed="false">
      <c r="A13712" s="0" t="s">
        <v>1245</v>
      </c>
      <c r="B13712" s="0" t="s">
        <v>98</v>
      </c>
      <c r="F13712" s="6" t="n">
        <f aca="false">(Sens!F13711-Sens!F13707)*Sens!F13594/(Sens!F13594+Sens!F13596)</f>
        <v>9.27429588840789</v>
      </c>
      <c r="G13712" s="6" t="n">
        <f aca="false">(Sens!G13711-Sens!G13707)*Sens!G13594/(Sens!G13594+Sens!G13596)</f>
        <v>8.62362916498662</v>
      </c>
      <c r="H13712" s="6" t="n">
        <f aca="false">(Sens!H13711-Sens!H13707)*Sens!H13594/(Sens!H13594+Sens!H13596)</f>
        <v>8.4048560144437</v>
      </c>
      <c r="I13712" s="6" t="n">
        <f aca="false">(Sens!I13711-Sens!I13707)*Sens!I13594/(Sens!I13594+Sens!I13596)</f>
        <v>8.33967370247422</v>
      </c>
      <c r="J13712" s="6" t="n">
        <f aca="false">(Sens!J13711-Sens!J13707)*Sens!J13594/(Sens!J13594+Sens!J13596)</f>
        <v>8.4157779249226</v>
      </c>
      <c r="K13712" s="6" t="n">
        <f aca="false">(Sens!K13711-Sens!K13707)*Sens!K13594/(Sens!K13594+Sens!K13596)</f>
        <v>8.62700412356267</v>
      </c>
    </row>
    <row r="13713" customFormat="false" ht="17.15" hidden="false" customHeight="false" outlineLevel="0" collapsed="false">
      <c r="A13713" s="0" t="s">
        <v>1246</v>
      </c>
      <c r="B13713" s="0" t="s">
        <v>98</v>
      </c>
      <c r="F13713" s="6" t="n">
        <f aca="false">Sens!F13711-Sens!F13707-Sens!F13712</f>
        <v>7.14662069767043</v>
      </c>
      <c r="G13713" s="6" t="n">
        <f aca="false">Sens!G13711-Sens!G13707-Sens!G13712</f>
        <v>6.91223133168351</v>
      </c>
      <c r="H13713" s="6" t="n">
        <f aca="false">Sens!H13711-Sens!H13707-Sens!H13712</f>
        <v>6.93673013646465</v>
      </c>
      <c r="I13713" s="6" t="n">
        <f aca="false">Sens!I13711-Sens!I13707-Sens!I13712</f>
        <v>7.01697339145144</v>
      </c>
      <c r="J13713" s="6" t="n">
        <f aca="false">Sens!J13711-Sens!J13707-Sens!J13712</f>
        <v>7.14891524792816</v>
      </c>
      <c r="K13713" s="6" t="n">
        <f aca="false">Sens!K13711-Sens!K13707-Sens!K13712</f>
        <v>7.32834467271705</v>
      </c>
    </row>
    <row r="13714" customFormat="false" ht="17.15" hidden="false" customHeight="false" outlineLevel="0" collapsed="false">
      <c r="A13714" s="0" t="s">
        <v>1247</v>
      </c>
      <c r="B13714" s="0" t="s">
        <v>98</v>
      </c>
      <c r="F13714" s="6" t="n">
        <f aca="false">Sens!F13708-tax_f*(Sens!F13708-Sens!F13572)-Sens!F13569</f>
        <v>-127.611553927218</v>
      </c>
      <c r="G13714" s="6" t="n">
        <f aca="false">Sens!G13708-tax_f*(Sens!G13708-Sens!G13572)-Sens!G13569</f>
        <v>-114.807772628121</v>
      </c>
      <c r="H13714" s="6" t="n">
        <f aca="false">Sens!H13708-tax_f*(Sens!H13708-Sens!H13572)-Sens!H13569</f>
        <v>-80.6633729631438</v>
      </c>
      <c r="I13714" s="6" t="n">
        <f aca="false">Sens!I13708-tax_f*(Sens!I13708-Sens!I13572)-Sens!I13569</f>
        <v>-17.6558782011649</v>
      </c>
      <c r="J13714" s="6" t="n">
        <f aca="false">Sens!J13708-tax_f*(Sens!J13708-Sens!J13572)-Sens!J13569</f>
        <v>46.5081968800854</v>
      </c>
      <c r="K13714" s="6" t="n">
        <f aca="false">Sens!K13708-tax_f*(Sens!K13708-Sens!K13572)-Sens!K13569</f>
        <v>71.3928185731755</v>
      </c>
    </row>
    <row r="13715" customFormat="false" ht="17.15" hidden="false" customHeight="false" outlineLevel="0" collapsed="false">
      <c r="A13715" s="0" t="s">
        <v>1248</v>
      </c>
      <c r="B13715" s="0" t="s">
        <v>98</v>
      </c>
      <c r="G13715" s="6" t="n">
        <f aca="false">Sens!G13714/(1+wacc)^(Sens!G13685-Sens!F13686)</f>
        <v>-109.319092751518</v>
      </c>
      <c r="H13715" s="6" t="n">
        <f aca="false">Sens!H13714/(1+wacc)^(Sens!H13685-Sens!F13686)</f>
        <v>-69.6386848266319</v>
      </c>
      <c r="I13715" s="6" t="n">
        <f aca="false">Sens!I13714/(1+wacc)^(Sens!I13685-Sens!F13686)</f>
        <v>-13.820156514184</v>
      </c>
      <c r="J13715" s="6" t="n">
        <f aca="false">Sens!J13714/(1+wacc)^(Sens!J13685-Sens!F13686)</f>
        <v>33.0067371344273</v>
      </c>
      <c r="K13715" s="6" t="n">
        <f aca="false">Sens!K13714/(1+wacc)^(Sens!K13685-Sens!F13686)</f>
        <v>45.9385280222968</v>
      </c>
      <c r="L13715" s="1" t="s">
        <v>1249</v>
      </c>
    </row>
    <row r="13716" customFormat="false" ht="17.15" hidden="false" customHeight="false" outlineLevel="0" collapsed="false">
      <c r="A13716" s="0" t="s">
        <v>1250</v>
      </c>
      <c r="B13716" s="0" t="s">
        <v>98</v>
      </c>
      <c r="C13716" s="6" t="n">
        <f aca="false">(Sens!K13708-Sens!K13572)*(1-tax_f)*(1+g_tv)*(1-g_tv/(wacc+ronic_prem))/(wacc-g_tv)/(1+wacc)^(Sens!K13686-Sens!F13686)</f>
        <v>290.248852745024</v>
      </c>
    </row>
    <row r="13717" customFormat="false" ht="17.15" hidden="false" customHeight="false" outlineLevel="0" collapsed="false">
      <c r="A13717" s="1" t="s">
        <v>1251</v>
      </c>
      <c r="B13717" s="0" t="s">
        <v>98</v>
      </c>
      <c r="C13717" s="6" t="n">
        <f aca="false">(SUM(Sens!G13715:K13715)+Sens!$C$13716)*(1+wacc)^(t_roll-Sens!F13686)</f>
        <v>182.240215559104</v>
      </c>
      <c r="L13717" s="12" t="s">
        <v>1252</v>
      </c>
    </row>
    <row r="13718" customFormat="false" ht="17.15" hidden="false" customHeight="false" outlineLevel="0" collapsed="false">
      <c r="A13718" s="1" t="s">
        <v>1253</v>
      </c>
      <c r="B13718" s="0" t="s">
        <v>98</v>
      </c>
      <c r="C13718" s="6" t="n">
        <f aca="false">(w_ntm28*Sens!G13560+(1-w_ntm28)*Sens!H13560)*m_ai</f>
        <v>463.789109510335</v>
      </c>
    </row>
    <row r="13719" customFormat="false" ht="17.15" hidden="false" customHeight="false" outlineLevel="0" collapsed="false">
      <c r="A13719" s="1" t="s">
        <v>1254</v>
      </c>
      <c r="B13719" s="0" t="s">
        <v>98</v>
      </c>
      <c r="C13719" s="6" t="n">
        <f aca="false">(w_ntm28*Sens!G13710+(1-w_ntm28)*Sens!H13710)*m_cloud</f>
        <v>1180.80834480434</v>
      </c>
    </row>
    <row r="13720" customFormat="false" ht="17.15" hidden="false" customHeight="false" outlineLevel="0" collapsed="false">
      <c r="A13720" s="1" t="s">
        <v>1255</v>
      </c>
      <c r="B13720" s="0" t="s">
        <v>98</v>
      </c>
      <c r="C13720" s="6" t="n">
        <f aca="false">(w_ntm28*Sens!G13703+(1-w_ntm28)*Sens!H13703)*m_sw</f>
        <v>1082.84962646159</v>
      </c>
    </row>
    <row r="13721" customFormat="false" ht="17.15" hidden="false" customHeight="false" outlineLevel="0" collapsed="false">
      <c r="A13721" s="1" t="s">
        <v>1256</v>
      </c>
      <c r="B13721" s="0" t="s">
        <v>98</v>
      </c>
      <c r="C13721" s="6" t="n">
        <f aca="false">(w_ntm28*Sens!G13704+(1-w_ntm28)*Sens!H13704)*m_sw</f>
        <v>372.929250898731</v>
      </c>
    </row>
    <row r="13722" customFormat="false" ht="17.15" hidden="false" customHeight="false" outlineLevel="0" collapsed="false">
      <c r="A13722" s="1" t="s">
        <v>1257</v>
      </c>
      <c r="B13722" s="0" t="s">
        <v>98</v>
      </c>
      <c r="C13722" s="6" t="n">
        <f aca="false">(w_ntm28*Sens!G13705+(1-w_ntm28)*Sens!H13705)*m_sw</f>
        <v>109.1453525431</v>
      </c>
    </row>
    <row r="13723" customFormat="false" ht="17.15" hidden="false" customHeight="false" outlineLevel="0" collapsed="false">
      <c r="A13723" s="1" t="s">
        <v>1258</v>
      </c>
      <c r="B13723" s="0" t="s">
        <v>98</v>
      </c>
      <c r="C13723" s="6" t="n">
        <f aca="false">(w_ntm28*Sens!G13706+(1-w_ntm28)*Sens!H13706)*m_sw</f>
        <v>41.4942157634893</v>
      </c>
    </row>
    <row r="13724" customFormat="false" ht="17.15" hidden="false" customHeight="false" outlineLevel="0" collapsed="false">
      <c r="A13724" s="1" t="s">
        <v>1259</v>
      </c>
      <c r="B13724" s="0" t="s">
        <v>98</v>
      </c>
      <c r="C13724" s="6" t="n">
        <f aca="false">(w_ntm28*Sens!G13707+(1-w_ntm28)*Sens!H13707)*m_ads</f>
        <v>115.052171478463</v>
      </c>
    </row>
    <row r="13725" customFormat="false" ht="17.15" hidden="false" customHeight="false" outlineLevel="0" collapsed="false">
      <c r="A13725" s="1" t="s">
        <v>1260</v>
      </c>
      <c r="B13725" s="0" t="s">
        <v>98</v>
      </c>
      <c r="C13725" s="6" t="n">
        <f aca="false">(w_ntm28*Sens!G13712+(1-w_ntm28)*Sens!H13712)*m_game</f>
        <v>108.008018307307</v>
      </c>
    </row>
    <row r="13726" customFormat="false" ht="17.15" hidden="false" customHeight="false" outlineLevel="0" collapsed="false">
      <c r="A13726" s="1" t="s">
        <v>1261</v>
      </c>
      <c r="B13726" s="0" t="s">
        <v>98</v>
      </c>
      <c r="C13726" s="6" t="n">
        <f aca="false">(w_ntm28*Sens!G13713+(1-w_ntm28)*Sens!H13713)*m_pc</f>
        <v>100.136534560206</v>
      </c>
    </row>
    <row r="13727" customFormat="false" ht="17.15" hidden="false" customHeight="false" outlineLevel="0" collapsed="false">
      <c r="A13727" s="1" t="s">
        <v>1262</v>
      </c>
      <c r="B13727" s="0" t="s">
        <v>98</v>
      </c>
      <c r="C13727" s="6" t="n">
        <f aca="false">Sens!$C$13717+Sens!$C$13719+Sens!$C$13720+Sens!$C$13721+Sens!$C$13722+Sens!$C$13723+Sens!$C$13724+Sens!$C$13725+Sens!$C$13726</f>
        <v>3292.66373037633</v>
      </c>
    </row>
    <row r="13728" customFormat="false" ht="17.15" hidden="false" customHeight="false" outlineLevel="0" collapsed="false">
      <c r="A13728" s="1" t="s">
        <v>1263</v>
      </c>
      <c r="B13728" s="0" t="s">
        <v>98</v>
      </c>
      <c r="C13728" s="6" t="n">
        <f aca="false">(Sens!G13689-Sens!G13714)*t_stub</f>
        <v>49.9167327072083</v>
      </c>
      <c r="L13728" s="1" t="s">
        <v>1264</v>
      </c>
    </row>
    <row r="13729" customFormat="false" ht="17.15" hidden="false" customHeight="false" outlineLevel="0" collapsed="false">
      <c r="A13729" s="1" t="s">
        <v>1173</v>
      </c>
      <c r="B13729" s="0" t="s">
        <v>98</v>
      </c>
      <c r="C13729" s="6" t="n">
        <f aca="false">Sens!F13676+oai_v-Sens!F13665+Sens!$C$13728</f>
        <v>164.145002707208</v>
      </c>
      <c r="L13729" s="1" t="s">
        <v>1265</v>
      </c>
    </row>
    <row r="13730" customFormat="false" ht="17.15" hidden="false" customHeight="false" outlineLevel="0" collapsed="false">
      <c r="A13730" s="1" t="s">
        <v>1266</v>
      </c>
      <c r="B13730" s="0" t="s">
        <v>75</v>
      </c>
      <c r="C13730" s="5" t="n">
        <f aca="false">(Sens!$C$13727+Sens!$C$13729)/(Sens!F13678+dil_gap)-Sens!G13668*roll_div_q/q_per_yr</f>
        <v>460.616043187145</v>
      </c>
      <c r="L13730" s="1" t="s">
        <v>1267</v>
      </c>
    </row>
    <row r="13731" customFormat="false" ht="17.15" hidden="false" customHeight="false" outlineLevel="0" collapsed="false">
      <c r="A13731" s="1" t="s">
        <v>1268</v>
      </c>
      <c r="B13731" s="0" t="s">
        <v>75</v>
      </c>
      <c r="C13731" s="5" t="n">
        <f aca="false">w_dcf*Sens!$C$13701+(1-w_dcf)*Sens!$C$13730</f>
        <v>399.136710319913</v>
      </c>
    </row>
    <row r="13732" customFormat="false" ht="17.15" hidden="false" customHeight="false" outlineLevel="0" collapsed="false">
      <c r="A13732" s="3" t="s">
        <v>1955</v>
      </c>
    </row>
    <row r="13733" customFormat="false" ht="15" hidden="false" customHeight="false" outlineLevel="0" collapsed="false">
      <c r="A13733" s="4" t="s">
        <v>43</v>
      </c>
      <c r="B13733" s="4" t="s">
        <v>65</v>
      </c>
      <c r="C13733" s="23" t="s">
        <v>942</v>
      </c>
      <c r="D13733" s="23" t="s">
        <v>943</v>
      </c>
      <c r="E13733" s="23" t="s">
        <v>944</v>
      </c>
      <c r="F13733" s="23" t="s">
        <v>945</v>
      </c>
      <c r="G13733" s="23" t="s">
        <v>946</v>
      </c>
      <c r="H13733" s="23" t="s">
        <v>947</v>
      </c>
      <c r="I13733" s="23" t="s">
        <v>948</v>
      </c>
      <c r="J13733" s="23" t="s">
        <v>949</v>
      </c>
      <c r="K13733" s="23" t="s">
        <v>950</v>
      </c>
      <c r="L13733" s="4" t="s">
        <v>47</v>
      </c>
    </row>
    <row r="13734" customFormat="false" ht="17.15" hidden="false" customHeight="false" outlineLevel="0" collapsed="false">
      <c r="A13734" s="1" t="s">
        <v>951</v>
      </c>
      <c r="B13734" s="1" t="s">
        <v>279</v>
      </c>
      <c r="C13734" s="21" t="n">
        <v>2024</v>
      </c>
      <c r="D13734" s="21" t="n">
        <v>2025</v>
      </c>
      <c r="E13734" s="21" t="n">
        <v>2026</v>
      </c>
      <c r="F13734" s="21" t="n">
        <v>2027</v>
      </c>
      <c r="G13734" s="21" t="n">
        <v>2028</v>
      </c>
      <c r="H13734" s="21" t="n">
        <v>2029</v>
      </c>
      <c r="I13734" s="21" t="n">
        <v>2030</v>
      </c>
      <c r="J13734" s="21" t="n">
        <v>2031</v>
      </c>
      <c r="K13734" s="21" t="n">
        <v>2032</v>
      </c>
    </row>
    <row r="13735" customFormat="false" ht="17.15" hidden="false" customHeight="false" outlineLevel="0" collapsed="false">
      <c r="A13735" s="1" t="s">
        <v>952</v>
      </c>
      <c r="B13735" s="0" t="s">
        <v>459</v>
      </c>
      <c r="F13735" s="30" t="n">
        <f aca="false">pace</f>
        <v>2726.5351</v>
      </c>
      <c r="G13735" s="30" t="n">
        <f aca="false">pace</f>
        <v>2726.5351</v>
      </c>
      <c r="H13735" s="30" t="n">
        <f aca="false">pace</f>
        <v>2726.5351</v>
      </c>
      <c r="I13735" s="30" t="n">
        <f aca="false">pace+(g_tv*Sens!H13736-pace)*MIN(1,(Sens!I13734-pace_y0)/(pace_y1-pace_y0))</f>
        <v>1931.98611966667</v>
      </c>
      <c r="J13735" s="30" t="n">
        <f aca="false">pace+(g_tv*Sens!I13736-pace)*MIN(1,(Sens!J13734-pace_y0)/(pace_y1-pace_y0))</f>
        <v>1176.07686172667</v>
      </c>
      <c r="K13735" s="30" t="n">
        <f aca="false">pace+(g_tv*Sens!J13736-pace)*MIN(1,(Sens!K13734-pace_y0)/(pace_y1-pace_y0))</f>
        <v>436.1300484418</v>
      </c>
      <c r="L13735" s="12" t="s">
        <v>953</v>
      </c>
    </row>
    <row r="13736" customFormat="false" ht="17.15" hidden="false" customHeight="false" outlineLevel="0" collapsed="false">
      <c r="A13736" s="1" t="s">
        <v>954</v>
      </c>
      <c r="B13736" s="0" t="s">
        <v>459</v>
      </c>
      <c r="C13736" s="30" t="n">
        <f aca="false">mw_ext_24</f>
        <v>640</v>
      </c>
      <c r="D13736" s="30" t="n">
        <f aca="false">mw_ext_25</f>
        <v>1630</v>
      </c>
      <c r="E13736" s="30" t="n">
        <f aca="false">mw_ext_26</f>
        <v>3250</v>
      </c>
      <c r="F13736" s="30" t="n">
        <f aca="false">Sens!E13736+Sens!F13735</f>
        <v>5976.5351</v>
      </c>
      <c r="G13736" s="30" t="n">
        <f aca="false">Sens!F13736+Sens!G13735</f>
        <v>8703.0702</v>
      </c>
      <c r="H13736" s="30" t="n">
        <f aca="false">Sens!G13736+Sens!H13735</f>
        <v>11429.6053</v>
      </c>
      <c r="I13736" s="30" t="n">
        <f aca="false">Sens!H13736+Sens!I13735</f>
        <v>13361.5914196667</v>
      </c>
      <c r="J13736" s="30" t="n">
        <f aca="false">Sens!I13736+Sens!J13735</f>
        <v>14537.6682813933</v>
      </c>
      <c r="K13736" s="30" t="n">
        <f aca="false">Sens!J13736+Sens!K13735</f>
        <v>14973.7983298351</v>
      </c>
      <c r="L13736" s="1" t="s">
        <v>955</v>
      </c>
    </row>
    <row r="13737" customFormat="false" ht="17.15" hidden="false" customHeight="false" outlineLevel="0" collapsed="false">
      <c r="A13737" s="1" t="s">
        <v>956</v>
      </c>
      <c r="B13737" s="0" t="s">
        <v>459</v>
      </c>
      <c r="C13737" s="30" t="n">
        <f aca="false">rent_ext_24</f>
        <v>150</v>
      </c>
      <c r="D13737" s="30" t="n">
        <f aca="false">rent_ext_25</f>
        <v>400</v>
      </c>
      <c r="E13737" s="30" t="n">
        <f aca="false">rent_ext_26</f>
        <v>550</v>
      </c>
      <c r="F13737" s="30" t="n">
        <f aca="false">rent_ext_f</f>
        <v>756</v>
      </c>
      <c r="G13737" s="30" t="n">
        <f aca="false">rent_ext_f</f>
        <v>756</v>
      </c>
      <c r="H13737" s="30" t="n">
        <f aca="false">rent_ext_f</f>
        <v>756</v>
      </c>
      <c r="I13737" s="30" t="n">
        <f aca="false">rent_ext_f</f>
        <v>756</v>
      </c>
      <c r="J13737" s="30" t="n">
        <f aca="false">rent_ext_f</f>
        <v>756</v>
      </c>
      <c r="K13737" s="30" t="n">
        <f aca="false">rent_ext_f</f>
        <v>756</v>
      </c>
      <c r="L13737" s="1" t="s">
        <v>957</v>
      </c>
    </row>
    <row r="13738" customFormat="false" ht="17.15" hidden="false" customHeight="false" outlineLevel="0" collapsed="false">
      <c r="A13738" s="1" t="s">
        <v>958</v>
      </c>
      <c r="B13738" s="0" t="s">
        <v>459</v>
      </c>
      <c r="C13738" s="30" t="n">
        <f aca="false">Sens!C13736-Sens!C13737</f>
        <v>490</v>
      </c>
      <c r="D13738" s="30" t="n">
        <f aca="false">Sens!D13736-Sens!D13737</f>
        <v>1230</v>
      </c>
      <c r="E13738" s="30" t="n">
        <f aca="false">Sens!E13736-Sens!E13737</f>
        <v>2700</v>
      </c>
      <c r="F13738" s="30" t="n">
        <f aca="false">Sens!F13736-Sens!F13737</f>
        <v>5220.5351</v>
      </c>
      <c r="G13738" s="30" t="n">
        <f aca="false">Sens!G13736-Sens!G13737</f>
        <v>7947.0702</v>
      </c>
      <c r="H13738" s="30" t="n">
        <f aca="false">Sens!H13736-Sens!H13737</f>
        <v>10673.6053</v>
      </c>
      <c r="I13738" s="30" t="n">
        <f aca="false">Sens!I13736-Sens!I13737</f>
        <v>12605.5914196667</v>
      </c>
      <c r="J13738" s="30" t="n">
        <f aca="false">Sens!J13736-Sens!J13737</f>
        <v>13781.6682813933</v>
      </c>
      <c r="K13738" s="30" t="n">
        <f aca="false">Sens!K13736-Sens!K13737</f>
        <v>14217.7983298351</v>
      </c>
    </row>
    <row r="13739" customFormat="false" ht="17.15" hidden="false" customHeight="false" outlineLevel="0" collapsed="false">
      <c r="A13739" s="1" t="s">
        <v>959</v>
      </c>
      <c r="B13739" s="0" t="s">
        <v>459</v>
      </c>
      <c r="C13739" s="30" t="n">
        <f aca="false">Sens!C13738/ext_sh</f>
        <v>816.666666666667</v>
      </c>
      <c r="D13739" s="30" t="n">
        <f aca="false">Sens!D13738/ext_sh</f>
        <v>2050</v>
      </c>
      <c r="E13739" s="30" t="n">
        <f aca="false">Sens!E13738/ext_sh</f>
        <v>4500</v>
      </c>
      <c r="F13739" s="30" t="n">
        <f aca="false">Sens!F13738/ext_sh</f>
        <v>8700.89183333333</v>
      </c>
      <c r="G13739" s="30" t="n">
        <f aca="false">Sens!G13738/ext_sh</f>
        <v>13245.117</v>
      </c>
      <c r="H13739" s="30" t="n">
        <f aca="false">Sens!H13738/ext_sh</f>
        <v>17789.3421666667</v>
      </c>
      <c r="I13739" s="30" t="n">
        <f aca="false">Sens!I13738/ext_sh</f>
        <v>21009.3190327778</v>
      </c>
      <c r="J13739" s="30" t="n">
        <f aca="false">Sens!J13738/ext_sh</f>
        <v>22969.4471356556</v>
      </c>
      <c r="K13739" s="30" t="n">
        <f aca="false">Sens!K13738/ext_sh</f>
        <v>23696.3305497252</v>
      </c>
      <c r="L13739" s="1" t="s">
        <v>960</v>
      </c>
    </row>
    <row r="13740" customFormat="false" ht="17.15" hidden="false" customHeight="false" outlineLevel="0" collapsed="false">
      <c r="A13740" s="1" t="s">
        <v>961</v>
      </c>
      <c r="B13740" s="0" t="s">
        <v>459</v>
      </c>
      <c r="C13740" s="30" t="n">
        <f aca="false">Sens!C13739-Sens!C13738</f>
        <v>326.666666666667</v>
      </c>
      <c r="D13740" s="30" t="n">
        <f aca="false">Sens!D13739-Sens!D13738</f>
        <v>820</v>
      </c>
      <c r="E13740" s="30" t="n">
        <f aca="false">Sens!E13739-Sens!E13738</f>
        <v>1800</v>
      </c>
      <c r="F13740" s="30" t="n">
        <f aca="false">Sens!F13739-Sens!F13738</f>
        <v>3480.35673333333</v>
      </c>
      <c r="G13740" s="30" t="n">
        <f aca="false">Sens!G13739-Sens!G13738</f>
        <v>5298.0468</v>
      </c>
      <c r="H13740" s="30" t="n">
        <f aca="false">Sens!H13739-Sens!H13738</f>
        <v>7115.73686666667</v>
      </c>
      <c r="I13740" s="30" t="n">
        <f aca="false">Sens!I13739-Sens!I13738</f>
        <v>8403.72761311111</v>
      </c>
      <c r="J13740" s="30" t="n">
        <f aca="false">Sens!J13739-Sens!J13738</f>
        <v>9187.77885426222</v>
      </c>
      <c r="K13740" s="30" t="n">
        <f aca="false">Sens!K13739-Sens!K13738</f>
        <v>9478.53221989009</v>
      </c>
    </row>
    <row r="13741" customFormat="false" ht="17.15" hidden="false" customHeight="false" outlineLevel="0" collapsed="false">
      <c r="A13741" s="1" t="s">
        <v>962</v>
      </c>
      <c r="B13741" s="0" t="s">
        <v>459</v>
      </c>
      <c r="C13741" s="30" t="n">
        <f aca="false">Sens!C13739</f>
        <v>816.666666666667</v>
      </c>
      <c r="D13741" s="30" t="n">
        <f aca="false">Sens!D13739-Sens!C13739</f>
        <v>1233.33333333333</v>
      </c>
      <c r="E13741" s="30" t="n">
        <f aca="false">Sens!E13739-Sens!D13739</f>
        <v>2450</v>
      </c>
      <c r="F13741" s="30" t="n">
        <f aca="false">Sens!F13739-Sens!E13739</f>
        <v>4200.89183333333</v>
      </c>
      <c r="G13741" s="30" t="n">
        <f aca="false">Sens!G13739-Sens!F13739</f>
        <v>4544.22516666667</v>
      </c>
      <c r="H13741" s="30" t="n">
        <f aca="false">Sens!H13739-Sens!G13739</f>
        <v>4544.22516666667</v>
      </c>
      <c r="I13741" s="30" t="n">
        <f aca="false">Sens!I13739-Sens!H13739</f>
        <v>3219.97686611111</v>
      </c>
      <c r="J13741" s="30" t="n">
        <f aca="false">Sens!J13739-Sens!I13739</f>
        <v>1960.12810287778</v>
      </c>
      <c r="K13741" s="30" t="n">
        <f aca="false">Sens!K13739-Sens!J13739</f>
        <v>726.883414069667</v>
      </c>
    </row>
    <row r="13742" customFormat="false" ht="17.15" hidden="false" customHeight="false" outlineLevel="0" collapsed="false">
      <c r="A13742" s="1" t="s">
        <v>963</v>
      </c>
      <c r="B13742" s="0" t="s">
        <v>459</v>
      </c>
      <c r="D13742" s="30" t="n">
        <f aca="false">Sens!D13736-Sens!C13736</f>
        <v>990</v>
      </c>
      <c r="E13742" s="30" t="n">
        <f aca="false">Sens!E13736-Sens!D13736</f>
        <v>1620</v>
      </c>
      <c r="F13742" s="30" t="n">
        <f aca="false">Sens!F13736-Sens!E13736</f>
        <v>2726.5351</v>
      </c>
      <c r="G13742" s="30" t="n">
        <f aca="false">Sens!G13736-Sens!F13736</f>
        <v>2726.5351</v>
      </c>
      <c r="H13742" s="30" t="n">
        <f aca="false">Sens!H13736-Sens!G13736</f>
        <v>2726.5351</v>
      </c>
      <c r="I13742" s="30" t="n">
        <f aca="false">Sens!I13736-Sens!H13736</f>
        <v>1931.98611966667</v>
      </c>
      <c r="J13742" s="30" t="n">
        <f aca="false">Sens!J13736-Sens!I13736</f>
        <v>1176.07686172667</v>
      </c>
      <c r="K13742" s="30" t="n">
        <f aca="false">Sens!K13736-Sens!J13736</f>
        <v>436.130048441799</v>
      </c>
    </row>
    <row r="13743" customFormat="false" ht="17.15" hidden="false" customHeight="false" outlineLevel="0" collapsed="false">
      <c r="A13743" s="1" t="s">
        <v>964</v>
      </c>
      <c r="B13743" s="0" t="s">
        <v>459</v>
      </c>
      <c r="F13743" s="30" t="n">
        <f aca="false">Sens!F13762*ext_sh</f>
        <v>0</v>
      </c>
      <c r="G13743" s="30" t="n">
        <f aca="false">Sens!G13762*ext_sh</f>
        <v>0</v>
      </c>
      <c r="H13743" s="30" t="n">
        <f aca="false">Sens!H13762*ext_sh</f>
        <v>0</v>
      </c>
      <c r="I13743" s="30" t="n">
        <f aca="false">Sens!I13762*ext_sh</f>
        <v>490</v>
      </c>
      <c r="J13743" s="30" t="n">
        <f aca="false">Sens!J13762*ext_sh</f>
        <v>740</v>
      </c>
      <c r="K13743" s="30" t="n">
        <f aca="false">Sens!K13762*ext_sh</f>
        <v>1470</v>
      </c>
      <c r="L13743" s="1" t="s">
        <v>965</v>
      </c>
    </row>
    <row r="13744" customFormat="false" ht="17.15" hidden="false" customHeight="false" outlineLevel="0" collapsed="false">
      <c r="A13744" s="1" t="s">
        <v>966</v>
      </c>
      <c r="B13744" s="0" t="s">
        <v>459</v>
      </c>
      <c r="C13744" s="30" t="n">
        <f aca="false">mix_h*Sens!C13736</f>
        <v>128</v>
      </c>
      <c r="D13744" s="30" t="n">
        <f aca="false">mix_h*Sens!D13736</f>
        <v>326</v>
      </c>
      <c r="E13744" s="30" t="n">
        <f aca="false">mix_h*Sens!E13736</f>
        <v>650</v>
      </c>
      <c r="F13744" s="30" t="n">
        <f aca="false">Sens!E13744-Sens!F13743*mix_h</f>
        <v>650</v>
      </c>
      <c r="G13744" s="30" t="n">
        <f aca="false">Sens!F13744-Sens!G13743*mix_h</f>
        <v>650</v>
      </c>
      <c r="H13744" s="30" t="n">
        <f aca="false">Sens!G13744-Sens!H13743*mix_h</f>
        <v>650</v>
      </c>
      <c r="I13744" s="30" t="n">
        <f aca="false">Sens!H13744-Sens!I13743*mix_h</f>
        <v>552</v>
      </c>
      <c r="J13744" s="30" t="n">
        <f aca="false">Sens!I13744-Sens!J13743*mix_h</f>
        <v>404</v>
      </c>
      <c r="K13744" s="30" t="n">
        <f aca="false">Sens!J13744-Sens!K13743*mix_h</f>
        <v>110</v>
      </c>
    </row>
    <row r="13745" customFormat="false" ht="17.15" hidden="false" customHeight="false" outlineLevel="0" collapsed="false">
      <c r="A13745" s="1" t="s">
        <v>967</v>
      </c>
      <c r="B13745" s="0" t="s">
        <v>459</v>
      </c>
      <c r="C13745" s="30" t="n">
        <f aca="false">mix_g2*Sens!C13736</f>
        <v>288</v>
      </c>
      <c r="D13745" s="30" t="n">
        <f aca="false">mix_g2*Sens!D13736</f>
        <v>733.5</v>
      </c>
      <c r="E13745" s="30" t="n">
        <f aca="false">mix_g2*Sens!E13736</f>
        <v>1462.5</v>
      </c>
      <c r="F13745" s="30" t="n">
        <f aca="false">Sens!E13745-Sens!F13743*mix_g2</f>
        <v>1462.5</v>
      </c>
      <c r="G13745" s="30" t="n">
        <f aca="false">Sens!F13745-Sens!G13743*mix_g2</f>
        <v>1462.5</v>
      </c>
      <c r="H13745" s="30" t="n">
        <f aca="false">Sens!G13745-Sens!H13743*mix_g2</f>
        <v>1462.5</v>
      </c>
      <c r="I13745" s="30" t="n">
        <f aca="false">Sens!H13745-Sens!I13743*mix_g2</f>
        <v>1242</v>
      </c>
      <c r="J13745" s="30" t="n">
        <f aca="false">Sens!I13745-Sens!J13743*mix_g2</f>
        <v>909</v>
      </c>
      <c r="K13745" s="30" t="n">
        <f aca="false">Sens!J13745-Sens!K13743*mix_g2</f>
        <v>247.5</v>
      </c>
    </row>
    <row r="13746" customFormat="false" ht="17.15" hidden="false" customHeight="false" outlineLevel="0" collapsed="false">
      <c r="A13746" s="1" t="s">
        <v>968</v>
      </c>
      <c r="B13746" s="0" t="s">
        <v>459</v>
      </c>
      <c r="C13746" s="30" t="n">
        <f aca="false">mix_g3*Sens!C13736</f>
        <v>224</v>
      </c>
      <c r="D13746" s="30" t="n">
        <f aca="false">mix_g3*Sens!D13736</f>
        <v>570.5</v>
      </c>
      <c r="E13746" s="30" t="n">
        <f aca="false">mix_g3*Sens!E13736</f>
        <v>1137.5</v>
      </c>
      <c r="F13746" s="30" t="n">
        <f aca="false">Sens!E13746+(Sens!F13742+Sens!F13743)*(a_g3_27-nonnv*a_mai)-Sens!F13743*mix_g3</f>
        <v>2773.42106</v>
      </c>
      <c r="G13746" s="30" t="n">
        <f aca="false">Sens!F13746+(Sens!G13742+Sens!G13743)*(a_g3_28-nonnv*a_mai)-Sens!G13743*mix_g3</f>
        <v>3318.72808</v>
      </c>
      <c r="H13746" s="30" t="n">
        <f aca="false">Sens!G13746+(Sens!H13742+Sens!H13743)*(a_g3_29-nonnv*a_mai)-Sens!H13743*mix_g3</f>
        <v>3318.72808</v>
      </c>
      <c r="I13746" s="30" t="n">
        <f aca="false">Sens!H13746+(Sens!I13742+Sens!I13743)*(a_g3_29-nonnv*a_mai)-Sens!I13743*mix_g3</f>
        <v>3147.22808</v>
      </c>
      <c r="J13746" s="30" t="n">
        <f aca="false">Sens!I13746+(Sens!J13742+Sens!J13743)*(a_g3_29-nonnv*a_mai)-Sens!J13743*mix_g3</f>
        <v>2888.22808</v>
      </c>
      <c r="K13746" s="30" t="n">
        <f aca="false">Sens!J13746+(Sens!K13742+Sens!K13743)*(a_g3_29-nonnv*a_mai)-Sens!K13743*mix_g3</f>
        <v>2373.72808</v>
      </c>
    </row>
    <row r="13747" customFormat="false" ht="17.15" hidden="false" customHeight="false" outlineLevel="0" collapsed="false">
      <c r="A13747" s="1" t="s">
        <v>969</v>
      </c>
      <c r="B13747" s="0" t="s">
        <v>459</v>
      </c>
      <c r="C13747" s="30" t="n">
        <v>0</v>
      </c>
      <c r="D13747" s="30" t="n">
        <v>0</v>
      </c>
      <c r="E13747" s="30" t="n">
        <v>0</v>
      </c>
      <c r="F13747" s="30" t="n">
        <f aca="false">Sens!E13747+(Sens!F13742+Sens!F13743)*nonnv*a_mai</f>
        <v>272.65351</v>
      </c>
      <c r="G13747" s="30" t="n">
        <f aca="false">Sens!F13747+(Sens!G13742+Sens!G13743)*nonnv*a_mai</f>
        <v>545.30702</v>
      </c>
      <c r="H13747" s="30" t="n">
        <f aca="false">Sens!G13747+(Sens!H13742+Sens!H13743)*nonnv*a_mai</f>
        <v>817.96053</v>
      </c>
      <c r="I13747" s="30" t="n">
        <f aca="false">Sens!H13747+(Sens!I13742+Sens!I13743)*nonnv*a_mai</f>
        <v>1060.15914196667</v>
      </c>
      <c r="J13747" s="30" t="n">
        <f aca="false">Sens!I13747+(Sens!J13742+Sens!J13743)*nonnv*a_mai</f>
        <v>1251.76682813933</v>
      </c>
      <c r="K13747" s="30" t="n">
        <f aca="false">Sens!J13747+(Sens!K13742+Sens!K13743)*nonnv*a_mai</f>
        <v>1442.37983298351</v>
      </c>
      <c r="L13747" s="12" t="s">
        <v>970</v>
      </c>
    </row>
    <row r="13748" customFormat="false" ht="17.15" hidden="false" customHeight="false" outlineLevel="0" collapsed="false">
      <c r="A13748" s="1" t="s">
        <v>971</v>
      </c>
      <c r="B13748" s="0" t="s">
        <v>459</v>
      </c>
      <c r="C13748" s="30" t="n">
        <v>0</v>
      </c>
      <c r="D13748" s="30" t="n">
        <v>0</v>
      </c>
      <c r="E13748" s="30" t="n">
        <v>0</v>
      </c>
      <c r="F13748" s="30" t="n">
        <f aca="false">Sens!E13748+(Sens!F13742+Sens!F13743)*(1-a_g3_27)</f>
        <v>817.96053</v>
      </c>
      <c r="G13748" s="30" t="n">
        <f aca="false">Sens!F13748+(Sens!G13742+Sens!G13743)*(1-a_g3_28)</f>
        <v>2726.5351</v>
      </c>
      <c r="H13748" s="30" t="n">
        <f aca="false">Sens!G13748+(Sens!H13742+Sens!H13743)*(1-a_g3_29)</f>
        <v>5180.41669</v>
      </c>
      <c r="I13748" s="30" t="n">
        <f aca="false">Sens!H13748+(Sens!I13742+Sens!I13743)*(1-a_g3_29)</f>
        <v>7360.2041977</v>
      </c>
      <c r="J13748" s="30" t="n">
        <f aca="false">Sens!I13748+(Sens!J13742+Sens!J13743)*(1-a_g3_29)</f>
        <v>9084.673373254</v>
      </c>
      <c r="K13748" s="30" t="n">
        <f aca="false">Sens!J13748+(Sens!K13742+Sens!K13743)*(1-a_g3_29)</f>
        <v>10800.1904168516</v>
      </c>
    </row>
    <row r="13749" customFormat="false" ht="17.15" hidden="false" customHeight="false" outlineLevel="0" collapsed="false">
      <c r="A13749" s="1" t="s">
        <v>972</v>
      </c>
      <c r="B13749" s="0" t="s">
        <v>403</v>
      </c>
      <c r="C13749" s="15" t="n">
        <f aca="false">(Sens!C13744*tk_hold_h100+Sens!C13745*tk_hold_gb200+Sens!C13746*tk_hold_gb300+Sens!C13748*tk_hold_vr200+Sens!C13747*nv_hold_mai*tk_hold_vr200)/Sens!C13736</f>
        <v>9.7235358126469</v>
      </c>
      <c r="D13749" s="15" t="n">
        <f aca="false">(Sens!D13744*tk_hold_h100+Sens!D13745*tk_hold_gb200+Sens!D13746*tk_hold_gb300+Sens!D13748*tk_hold_vr200+Sens!D13747*nv_hold_mai*tk_hold_vr200)/Sens!D13736</f>
        <v>9.7235358126469</v>
      </c>
      <c r="E13749" s="15" t="n">
        <f aca="false">(Sens!E13744*tk_hold_h100+Sens!E13745*tk_hold_gb200+Sens!E13746*tk_hold_gb300+Sens!E13748*tk_hold_vr200+Sens!E13747*nv_hold_mai*tk_hold_vr200)/Sens!E13736</f>
        <v>9.7235358126469</v>
      </c>
      <c r="F13749" s="15" t="n">
        <f aca="false">(Sens!F13744*tk_hold_h100+Sens!F13745*tk_hold_gb200+Sens!F13746*tk_hold_gb300+Sens!F13748*tk_hold_vr200+Sens!F13747*nv_hold_mai*tk_hold_vr200)/Sens!F13736</f>
        <v>10.2195353876665</v>
      </c>
      <c r="G13749" s="15" t="n">
        <f aca="false">(Sens!G13744*tk_hold_h100+Sens!G13745*tk_hold_gb200+Sens!G13746*tk_hold_gb300+Sens!G13748*tk_hold_vr200+Sens!G13747*nv_hold_mai*tk_hold_vr200)/Sens!G13736</f>
        <v>10.5725598017306</v>
      </c>
      <c r="H13749" s="15" t="n">
        <f aca="false">(Sens!H13744*tk_hold_h100+Sens!H13745*tk_hold_gb200+Sens!H13746*tk_hold_gb300+Sens!H13748*tk_hold_vr200+Sens!H13747*nv_hold_mai*tk_hold_vr200)/Sens!H13736</f>
        <v>10.8210427149036</v>
      </c>
      <c r="I13749" s="15" t="n">
        <f aca="false">(Sens!I13744*tk_hold_h100+Sens!I13745*tk_hold_gb200+Sens!I13746*tk_hold_gb300+Sens!I13748*tk_hold_vr200+Sens!I13747*nv_hold_mai*tk_hold_vr200)/Sens!I13736</f>
        <v>11.0050618241982</v>
      </c>
      <c r="J13749" s="15" t="n">
        <f aca="false">(Sens!J13744*tk_hold_h100+Sens!J13745*tk_hold_gb200+Sens!J13746*tk_hold_gb300+Sens!J13748*tk_hold_vr200+Sens!J13747*nv_hold_mai*tk_hold_vr200)/Sens!J13736</f>
        <v>11.1505789658881</v>
      </c>
      <c r="K13749" s="15" t="n">
        <f aca="false">(Sens!K13744*tk_hold_h100+Sens!K13745*tk_hold_gb200+Sens!K13746*tk_hold_gb300+Sens!K13748*tk_hold_vr200+Sens!K13747*nv_hold_mai*tk_hold_vr200)/Sens!K13736</f>
        <v>11.3496914757183</v>
      </c>
      <c r="L13749" s="1" t="s">
        <v>973</v>
      </c>
    </row>
    <row r="13750" customFormat="false" ht="17.15" hidden="false" customHeight="false" outlineLevel="0" collapsed="false">
      <c r="A13750" s="1" t="s">
        <v>974</v>
      </c>
      <c r="B13750" s="0" t="s">
        <v>403</v>
      </c>
      <c r="C13750" s="15" t="n">
        <f aca="false">(Sens!C13744*tk_hold_h100+Sens!C13745*tk_hold_gb200+Sens!C13746*tk_hold_gb300+Sens!C13748*tk_hold_vr200+Sens!C13747*nv_out_mai*tk_hold_vr200)/Sens!C13736</f>
        <v>9.7235358126469</v>
      </c>
      <c r="D13750" s="15" t="n">
        <f aca="false">(Sens!D13744*tk_hold_h100+Sens!D13745*tk_hold_gb200+Sens!D13746*tk_hold_gb300+Sens!D13748*tk_hold_vr200+Sens!D13747*nv_out_mai*tk_hold_vr200)/Sens!D13736</f>
        <v>9.7235358126469</v>
      </c>
      <c r="E13750" s="15" t="n">
        <f aca="false">(Sens!E13744*tk_hold_h100+Sens!E13745*tk_hold_gb200+Sens!E13746*tk_hold_gb300+Sens!E13748*tk_hold_vr200+Sens!E13747*nv_out_mai*tk_hold_vr200)/Sens!E13736</f>
        <v>9.7235358126469</v>
      </c>
      <c r="F13750" s="15" t="n">
        <f aca="false">(Sens!F13744*tk_hold_h100+Sens!F13745*tk_hold_gb200+Sens!F13746*tk_hold_gb300+Sens!F13748*tk_hold_vr200+Sens!F13747*nv_out_mai*tk_hold_vr200)/Sens!F13736</f>
        <v>10.247422093969</v>
      </c>
      <c r="G13750" s="15" t="n">
        <f aca="false">(Sens!G13744*tk_hold_h100+Sens!G13745*tk_hold_gb200+Sens!G13746*tk_hold_gb300+Sens!G13748*tk_hold_vr200+Sens!G13747*nv_out_mai*tk_hold_vr200)/Sens!G13736</f>
        <v>10.6108602808053</v>
      </c>
      <c r="H13750" s="15" t="n">
        <f aca="false">(Sens!H13744*tk_hold_h100+Sens!H13745*tk_hold_gb200+Sens!H13746*tk_hold_gb300+Sens!H13748*tk_hold_vr200+Sens!H13747*nv_out_mai*tk_hold_vr200)/Sens!H13736</f>
        <v>10.8647885507393</v>
      </c>
      <c r="I13750" s="15" t="n">
        <f aca="false">(Sens!I13744*tk_hold_h100+Sens!I13745*tk_hold_gb200+Sens!I13746*tk_hold_gb300+Sens!I13748*tk_hold_vr200+Sens!I13747*nv_out_mai*tk_hold_vr200)/Sens!I13736</f>
        <v>11.0535625770025</v>
      </c>
      <c r="J13750" s="15" t="n">
        <f aca="false">(Sens!J13744*tk_hold_h100+Sens!J13745*tk_hold_gb200+Sens!J13746*tk_hold_gb300+Sens!J13748*tk_hold_vr200+Sens!J13747*nv_out_mai*tk_hold_vr200)/Sens!J13736</f>
        <v>11.2032127128058</v>
      </c>
      <c r="K13750" s="15" t="n">
        <f aca="false">(Sens!K13744*tk_hold_h100+Sens!K13745*tk_hold_gb200+Sens!K13746*tk_hold_gb300+Sens!K13748*tk_hold_vr200+Sens!K13747*nv_out_mai*tk_hold_vr200)/Sens!K13736</f>
        <v>11.4085735724225</v>
      </c>
      <c r="L13750" s="12" t="s">
        <v>975</v>
      </c>
    </row>
    <row r="13751" customFormat="false" ht="17.15" hidden="false" customHeight="false" outlineLevel="0" collapsed="false">
      <c r="A13751" s="0" t="s">
        <v>976</v>
      </c>
      <c r="B13751" s="0" t="s">
        <v>229</v>
      </c>
      <c r="C13751" s="15" t="n">
        <f aca="false">k_B</f>
        <v>1.17213932619116</v>
      </c>
      <c r="D13751" s="15" t="n">
        <f aca="false">k_B</f>
        <v>1.17213932619116</v>
      </c>
      <c r="E13751" s="15" t="n">
        <f aca="false">k_B</f>
        <v>1.17213932619116</v>
      </c>
      <c r="F13751" s="15" t="n">
        <f aca="false">(k_B+((ls_C*k_long+(1-ls_C)*k_spot)-k_B)*MIN(1,(Sens!F13734-base_fy)/k_ramp))</f>
        <v>1.07843258004497</v>
      </c>
      <c r="G13751" s="15" t="n">
        <f aca="false">(k_B+((ls_C*k_long+(1-ls_C)*k_spot)-k_B)*MIN(1,(Sens!G13734-base_fy)/k_ramp))</f>
        <v>0.984725833898784</v>
      </c>
      <c r="H13751" s="15" t="n">
        <f aca="false">(k_B+((ls_C*k_long+(1-ls_C)*k_spot)-k_B)*MIN(1,(Sens!H13734-base_fy)/k_ramp))</f>
        <v>0.891019087752599</v>
      </c>
      <c r="I13751" s="15" t="n">
        <f aca="false">(k_B+((ls_C*k_long+(1-ls_C)*k_spot)-k_B)*MIN(1,(Sens!I13734-base_fy)/k_ramp))</f>
        <v>0.891019087752599</v>
      </c>
      <c r="J13751" s="15" t="n">
        <f aca="false">(k_B+((ls_C*k_long+(1-ls_C)*k_spot)-k_B)*MIN(1,(Sens!J13734-base_fy)/k_ramp))</f>
        <v>0.891019087752599</v>
      </c>
      <c r="K13751" s="15" t="n">
        <f aca="false">(k_B+((ls_C*k_long+(1-ls_C)*k_spot)-k_B)*MIN(1,(Sens!K13734-base_fy)/k_ramp))</f>
        <v>0.891019087752599</v>
      </c>
      <c r="L13751" s="1" t="s">
        <v>977</v>
      </c>
    </row>
    <row r="13752" customFormat="false" ht="17.15" hidden="false" customHeight="false" outlineLevel="0" collapsed="false">
      <c r="A13752" s="1" t="s">
        <v>978</v>
      </c>
      <c r="B13752" s="0" t="s">
        <v>403</v>
      </c>
      <c r="C13752" s="15" t="n">
        <f aca="false">Sens!C13750*Sens!C13751*chip_f</f>
        <v>11.3973387156315</v>
      </c>
      <c r="D13752" s="15" t="n">
        <f aca="false">Sens!D13750*Sens!D13751*chip_f</f>
        <v>11.3973387156315</v>
      </c>
      <c r="E13752" s="15" t="n">
        <f aca="false">Sens!E13750*Sens!E13751*chip_f</f>
        <v>11.3973387156315</v>
      </c>
      <c r="F13752" s="15" t="n">
        <f aca="false">Sens!F13750*Sens!F13751*chip_f</f>
        <v>11.0511538476088</v>
      </c>
      <c r="G13752" s="15" t="n">
        <f aca="false">Sens!G13750*Sens!G13751*chip_f</f>
        <v>10.4487882383995</v>
      </c>
      <c r="H13752" s="15" t="n">
        <f aca="false">Sens!H13750*Sens!H13751*chip_f</f>
        <v>9.68073398310464</v>
      </c>
      <c r="I13752" s="15" t="n">
        <f aca="false">Sens!I13750*Sens!I13751*chip_f</f>
        <v>9.84893524377706</v>
      </c>
      <c r="J13752" s="15" t="n">
        <f aca="false">Sens!J13750*Sens!J13751*chip_f</f>
        <v>9.98227637126252</v>
      </c>
      <c r="K13752" s="15" t="n">
        <f aca="false">Sens!K13750*Sens!K13751*chip_f</f>
        <v>10.1652568170583</v>
      </c>
      <c r="L13752" s="1" t="s">
        <v>979</v>
      </c>
    </row>
    <row r="13753" customFormat="false" ht="17.15" hidden="false" customHeight="false" outlineLevel="0" collapsed="false">
      <c r="A13753" s="0" t="s">
        <v>980</v>
      </c>
      <c r="B13753" s="0" t="s">
        <v>98</v>
      </c>
      <c r="D13753" s="6" t="n">
        <f aca="false">(Sens!C13736+Sens!D13736)/2*Sens!D13752/1000</f>
        <v>12.9359794422418</v>
      </c>
      <c r="E13753" s="6" t="n">
        <f aca="false">(Sens!D13736+Sens!E13736)/2*Sens!E13752/1000</f>
        <v>27.8095064661409</v>
      </c>
      <c r="F13753" s="6" t="n">
        <f aca="false">(Sens!E13736+Sens!F13736)/2*Sens!F13752/1000</f>
        <v>50.9819294352312</v>
      </c>
      <c r="G13753" s="6" t="n">
        <f aca="false">(Sens!F13736+Sens!G13736)/2*Sens!G13752/1000</f>
        <v>76.6920436014933</v>
      </c>
      <c r="H13753" s="6" t="n">
        <f aca="false">(Sens!G13736+Sens!H13736)/2*Sens!H13752/1000</f>
        <v>97.4495379418341</v>
      </c>
      <c r="I13753" s="6" t="n">
        <f aca="false">(Sens!H13736+Sens!I13736)/2*Sens!I13752/1000</f>
        <v>122.083445553868</v>
      </c>
      <c r="J13753" s="6" t="n">
        <f aca="false">(Sens!I13736+Sens!J13736)/2*Sens!J13752/1000</f>
        <v>139.249060444804</v>
      </c>
      <c r="K13753" s="6" t="n">
        <f aca="false">(Sens!J13736+Sens!K13736)/2*Sens!K13752/1000</f>
        <v>149.995818575589</v>
      </c>
      <c r="L13753" s="12" t="s">
        <v>981</v>
      </c>
    </row>
    <row r="13754" customFormat="false" ht="17.15" hidden="false" customHeight="false" outlineLevel="0" collapsed="false">
      <c r="A13754" s="1" t="s">
        <v>982</v>
      </c>
      <c r="B13754" s="0" t="s">
        <v>403</v>
      </c>
      <c r="C13754" s="15" t="n">
        <f aca="false">(Sens!C13744*tk_opex_h100+Sens!C13745*tk_opex_gb200+Sens!C13746*tk_opex_gb300+(Sens!C13748+Sens!C13747)*tk_opex_vr200)/Sens!C13736</f>
        <v>1.88636041306092</v>
      </c>
      <c r="D13754" s="15" t="n">
        <f aca="false">(Sens!D13744*tk_opex_h100+Sens!D13745*tk_opex_gb200+Sens!D13746*tk_opex_gb300+(Sens!D13748+Sens!D13747)*tk_opex_vr200)/Sens!D13736</f>
        <v>1.88636041306092</v>
      </c>
      <c r="E13754" s="15" t="n">
        <f aca="false">(Sens!E13744*tk_opex_h100+Sens!E13745*tk_opex_gb200+Sens!E13746*tk_opex_gb300+(Sens!E13748+Sens!E13747)*tk_opex_vr200)/Sens!E13736</f>
        <v>1.88636041306092</v>
      </c>
      <c r="F13754" s="15" t="n">
        <f aca="false">(Sens!F13744*tk_opex_h100+Sens!F13745*tk_opex_gb200+Sens!F13746*tk_opex_gb300+(Sens!F13748+Sens!F13747)*tk_opex_vr200)/Sens!F13736</f>
        <v>1.95051159746876</v>
      </c>
      <c r="G13754" s="15" t="n">
        <f aca="false">(Sens!G13744*tk_opex_h100+Sens!G13745*tk_opex_gb200+Sens!G13746*tk_opex_gb300+(Sens!G13748+Sens!G13747)*tk_opex_vr200)/Sens!G13736</f>
        <v>1.98836003669956</v>
      </c>
      <c r="H13754" s="15" t="n">
        <f aca="false">(Sens!H13744*tk_opex_h100+Sens!H13745*tk_opex_gb200+Sens!H13746*tk_opex_gb300+(Sens!H13748+Sens!H13747)*tk_opex_vr200)/Sens!H13736</f>
        <v>2.01344013834343</v>
      </c>
      <c r="I13754" s="15" t="n">
        <f aca="false">(Sens!I13744*tk_opex_h100+Sens!I13745*tk_opex_gb200+Sens!I13746*tk_opex_gb300+(Sens!I13748+Sens!I13747)*tk_opex_vr200)/Sens!I13736</f>
        <v>2.03261166882178</v>
      </c>
      <c r="J13754" s="15" t="n">
        <f aca="false">(Sens!J13744*tk_opex_h100+Sens!J13745*tk_opex_gb200+Sens!J13746*tk_opex_gb300+(Sens!J13748+Sens!J13747)*tk_opex_vr200)/Sens!J13736</f>
        <v>2.04808073288745</v>
      </c>
      <c r="K13754" s="15" t="n">
        <f aca="false">(Sens!K13744*tk_opex_h100+Sens!K13745*tk_opex_gb200+Sens!K13746*tk_opex_gb300+(Sens!K13748+Sens!K13747)*tk_opex_vr200)/Sens!K13736</f>
        <v>2.06973825807449</v>
      </c>
      <c r="L13754" s="12" t="s">
        <v>983</v>
      </c>
    </row>
    <row r="13755" customFormat="false" ht="17.15" hidden="false" customHeight="false" outlineLevel="0" collapsed="false">
      <c r="A13755" s="0" t="s">
        <v>984</v>
      </c>
      <c r="B13755" s="0" t="s">
        <v>98</v>
      </c>
      <c r="D13755" s="6" t="n">
        <f aca="false">(Sens!C13739+Sens!D13739)/2*Sens!D13754/1000</f>
        <v>2.70378325872065</v>
      </c>
      <c r="E13755" s="6" t="n">
        <f aca="false">(Sens!D13739+Sens!E13739)/2*Sens!E13754/1000</f>
        <v>6.17783035277451</v>
      </c>
      <c r="F13755" s="6" t="n">
        <f aca="false">(Sens!E13739+Sens!F13739)/2*Sens!F13754/1000</f>
        <v>12.8742463089237</v>
      </c>
      <c r="G13755" s="6" t="n">
        <f aca="false">(Sens!F13739+Sens!G13739)/2*Sens!G13754/1000</f>
        <v>21.8182834646277</v>
      </c>
      <c r="H13755" s="6" t="n">
        <f aca="false">(Sens!G13739+Sens!H13739)/2*Sens!H13754/1000</f>
        <v>31.2430128789734</v>
      </c>
      <c r="I13755" s="6" t="n">
        <f aca="false">(Sens!H13739+Sens!I13739)/2*Sens!I13754/1000</f>
        <v>39.4313057443268</v>
      </c>
      <c r="J13755" s="6" t="n">
        <f aca="false">(Sens!I13739+Sens!J13739)/2*Sens!J13754/1000</f>
        <v>45.0360318228653</v>
      </c>
      <c r="K13755" s="6" t="n">
        <f aca="false">(Sens!J13739+Sens!K13739)/2*Sens!K13754/1000</f>
        <v>48.2929727091156</v>
      </c>
    </row>
    <row r="13756" customFormat="false" ht="17.15" hidden="false" customHeight="false" outlineLevel="0" collapsed="false">
      <c r="A13756" s="0" t="s">
        <v>985</v>
      </c>
      <c r="B13756" s="0" t="s">
        <v>98</v>
      </c>
      <c r="D13756" s="6" t="n">
        <f aca="false">(Sens!C13737+Sens!D13737)/2*rent_mw/1000</f>
        <v>2.44475</v>
      </c>
      <c r="E13756" s="6" t="n">
        <f aca="false">(Sens!D13737+Sens!E13737)/2*rent_mw/1000</f>
        <v>4.22275</v>
      </c>
      <c r="F13756" s="6" t="n">
        <f aca="false">(Sens!E13737+Sens!F13737)/2*rent_mw/1000</f>
        <v>5.80517</v>
      </c>
      <c r="G13756" s="6" t="n">
        <f aca="false">(Sens!F13737+Sens!G13737)/2*rent_mw/1000</f>
        <v>6.72084</v>
      </c>
      <c r="H13756" s="6" t="n">
        <f aca="false">(Sens!G13737+Sens!H13737)/2*rent_mw/1000</f>
        <v>6.72084</v>
      </c>
      <c r="I13756" s="6" t="n">
        <f aca="false">(Sens!H13737+Sens!I13737)/2*rent_mw/1000</f>
        <v>6.72084</v>
      </c>
      <c r="J13756" s="6" t="n">
        <f aca="false">(Sens!I13737+Sens!J13737)/2*rent_mw/1000</f>
        <v>6.72084</v>
      </c>
      <c r="K13756" s="6" t="n">
        <f aca="false">(Sens!J13737+Sens!K13737)/2*rent_mw/1000</f>
        <v>6.72084</v>
      </c>
    </row>
    <row r="13757" customFormat="false" ht="17.15" hidden="false" customHeight="false" outlineLevel="0" collapsed="false">
      <c r="A13757" s="0" t="s">
        <v>986</v>
      </c>
      <c r="B13757" s="0" t="s">
        <v>98</v>
      </c>
      <c r="D13757" s="6" t="n">
        <f aca="false">(Sens!C13739+Sens!D13739)/2*(1-self_build)*fac_rent/1000</f>
        <v>0.853242375631075</v>
      </c>
      <c r="E13757" s="6" t="n">
        <f aca="false">(Sens!D13739+Sens!E13739)/2*(1-self_build)*fac_rent/1000</f>
        <v>1.94955961408728</v>
      </c>
      <c r="F13757" s="6" t="n">
        <f aca="false">(Sens!E13739+Sens!F13739)/2*(1-self_build)*fac_rent/1000</f>
        <v>3.92914894476356</v>
      </c>
      <c r="G13757" s="6" t="n">
        <f aca="false">(Sens!F13739+Sens!G13739)/2*(1-self_build)*fac_rent/1000</f>
        <v>6.53206908578159</v>
      </c>
      <c r="H13757" s="6" t="n">
        <f aca="false">(Sens!G13739+Sens!H13739)/2*(1-self_build)*fac_rent/1000</f>
        <v>9.23717988341591</v>
      </c>
      <c r="I13757" s="6" t="n">
        <f aca="false">(Sens!H13739+Sens!I13739)/2*(1-self_build)*fac_rent/1000</f>
        <v>11.5481378557393</v>
      </c>
      <c r="J13757" s="6" t="n">
        <f aca="false">(Sens!I13739+Sens!J13739)/2*(1-self_build)*fac_rent/1000</f>
        <v>13.0899582289108</v>
      </c>
      <c r="K13757" s="6" t="n">
        <f aca="false">(Sens!J13739+Sens!K13739)/2*(1-self_build)*fac_rent/1000</f>
        <v>13.8897275626556</v>
      </c>
      <c r="L13757" s="12" t="s">
        <v>987</v>
      </c>
    </row>
    <row r="13758" customFormat="false" ht="17.15" hidden="false" customHeight="false" outlineLevel="0" collapsed="false">
      <c r="A13758" s="1" t="s">
        <v>988</v>
      </c>
      <c r="B13758" s="0" t="s">
        <v>168</v>
      </c>
      <c r="D13758" s="7" t="n">
        <f aca="false">(Sens!C13738+Sens!D13738)/(Sens!C13739+Sens!D13739)</f>
        <v>0.6</v>
      </c>
      <c r="E13758" s="7" t="n">
        <f aca="false">(Sens!D13738+Sens!E13738)/(Sens!D13739+Sens!E13739)</f>
        <v>0.6</v>
      </c>
      <c r="F13758" s="7" t="n">
        <f aca="false">(Sens!E13738+Sens!F13738)/(Sens!E13739+Sens!F13739)</f>
        <v>0.6</v>
      </c>
      <c r="G13758" s="7" t="n">
        <f aca="false">(Sens!F13738+Sens!G13738)/(Sens!F13739+Sens!G13739)</f>
        <v>0.6</v>
      </c>
      <c r="H13758" s="7" t="n">
        <f aca="false">(Sens!G13738+Sens!H13738)/(Sens!G13739+Sens!H13739)</f>
        <v>0.6</v>
      </c>
      <c r="I13758" s="7" t="n">
        <f aca="false">(Sens!H13738+Sens!I13738)/(Sens!H13739+Sens!I13739)</f>
        <v>0.6</v>
      </c>
      <c r="J13758" s="7" t="n">
        <f aca="false">(Sens!I13738+Sens!J13738)/(Sens!I13739+Sens!J13739)</f>
        <v>0.6</v>
      </c>
      <c r="K13758" s="7" t="n">
        <f aca="false">(Sens!J13738+Sens!K13738)/(Sens!J13739+Sens!K13739)</f>
        <v>0.6</v>
      </c>
    </row>
    <row r="13759" customFormat="false" ht="17.15" hidden="false" customHeight="false" outlineLevel="0" collapsed="false">
      <c r="A13759" s="0" t="s">
        <v>989</v>
      </c>
      <c r="B13759" s="0" t="s">
        <v>98</v>
      </c>
      <c r="D13759" s="6" t="n">
        <f aca="false">Sens!D13753-Sens!D13758*(Sens!D13755+Sens!D13757)-Sens!D13756</f>
        <v>8.35701406163072</v>
      </c>
      <c r="E13759" s="6" t="n">
        <f aca="false">Sens!E13753-Sens!E13758*(Sens!E13755+Sens!E13757)-Sens!E13756</f>
        <v>18.7103224860238</v>
      </c>
      <c r="F13759" s="6" t="n">
        <f aca="false">Sens!F13753-Sens!F13758*(Sens!F13755+Sens!F13757)-Sens!F13756</f>
        <v>35.0947222830189</v>
      </c>
      <c r="G13759" s="6" t="n">
        <f aca="false">Sens!G13753-Sens!G13758*(Sens!G13755+Sens!G13757)-Sens!G13756</f>
        <v>52.9609920712477</v>
      </c>
      <c r="H13759" s="6" t="n">
        <f aca="false">Sens!H13753-Sens!H13758*(Sens!H13755+Sens!H13757)-Sens!H13756</f>
        <v>66.4405822844005</v>
      </c>
      <c r="I13759" s="6" t="n">
        <f aca="false">Sens!I13753-Sens!I13758*(Sens!I13755+Sens!I13757)-Sens!I13756</f>
        <v>84.7749393938279</v>
      </c>
      <c r="J13759" s="6" t="n">
        <f aca="false">Sens!J13753-Sens!J13758*(Sens!J13755+Sens!J13757)-Sens!J13756</f>
        <v>97.6526264137382</v>
      </c>
      <c r="K13759" s="6" t="n">
        <f aca="false">Sens!K13753-Sens!K13758*(Sens!K13755+Sens!K13757)-Sens!K13756</f>
        <v>105.965358412527</v>
      </c>
    </row>
    <row r="13760" customFormat="false" ht="17.15" hidden="false" customHeight="false" outlineLevel="0" collapsed="false">
      <c r="A13760" s="1" t="s">
        <v>990</v>
      </c>
      <c r="B13760" s="0" t="s">
        <v>98</v>
      </c>
      <c r="D13760" s="6" t="n">
        <f aca="false">(1-Sens!D13758)*(Sens!D13755+Sens!D13757)</f>
        <v>1.42281025374069</v>
      </c>
      <c r="E13760" s="6" t="n">
        <f aca="false">(1-Sens!E13758)*(Sens!E13755+Sens!E13757)</f>
        <v>3.25095598674472</v>
      </c>
      <c r="F13760" s="6" t="n">
        <f aca="false">(1-Sens!F13758)*(Sens!F13755+Sens!F13757)</f>
        <v>6.72135810147489</v>
      </c>
      <c r="G13760" s="6" t="n">
        <f aca="false">(1-Sens!G13758)*(Sens!G13755+Sens!G13757)</f>
        <v>11.3401410201637</v>
      </c>
      <c r="H13760" s="6" t="n">
        <f aca="false">(1-Sens!H13758)*(Sens!H13755+Sens!H13757)</f>
        <v>16.1920771049557</v>
      </c>
      <c r="I13760" s="6" t="n">
        <f aca="false">(1-Sens!I13758)*(Sens!I13755+Sens!I13757)</f>
        <v>20.3917774400264</v>
      </c>
      <c r="J13760" s="6" t="n">
        <f aca="false">(1-Sens!J13758)*(Sens!J13755+Sens!J13757)</f>
        <v>23.2503960207104</v>
      </c>
      <c r="K13760" s="6" t="n">
        <f aca="false">(1-Sens!K13758)*(Sens!K13755+Sens!K13757)</f>
        <v>24.8730801087085</v>
      </c>
    </row>
    <row r="13761" customFormat="false" ht="17.15" hidden="false" customHeight="false" outlineLevel="0" collapsed="false">
      <c r="A13761" s="1" t="s">
        <v>991</v>
      </c>
      <c r="B13761" s="0" t="s">
        <v>417</v>
      </c>
      <c r="C13761" s="8" t="n">
        <f aca="false">cxit_open</f>
        <v>27.5918995</v>
      </c>
      <c r="D13761" s="8" t="n">
        <f aca="false">cxit_open</f>
        <v>27.5918995</v>
      </c>
      <c r="E13761" s="8" t="n">
        <f aca="false">cxit_open</f>
        <v>27.5918995</v>
      </c>
      <c r="F13761" s="8" t="n">
        <f aca="false">((a_g3_27-nonnv*a_mai)*tk_cxit_gb300+nonnv*a_mai*nv_hold_mai*tk_cxit_vr200+(1-a_g3_27)*tk_cxit_vr200)</f>
        <v>32.4975576</v>
      </c>
      <c r="G13761" s="8" t="n">
        <f aca="false">((a_g3_28-nonnv*a_mai)*tk_cxit_gb300+nonnv*a_mai*nv_hold_mai*tk_cxit_vr200+(1-a_g3_28)*tk_cxit_vr200)</f>
        <v>34.6372088</v>
      </c>
      <c r="H13761" s="8" t="n">
        <f aca="false">((a_g3_29-nonnv*a_mai)*tk_cxit_gb300+nonnv*a_mai*nv_hold_mai*tk_cxit_vr200+(1-a_g3_29)*tk_cxit_vr200)</f>
        <v>35.7070344</v>
      </c>
      <c r="I13761" s="8" t="n">
        <f aca="false">((a_g3_29-nonnv*a_mai)*tk_cxit_gb300+nonnv*a_mai*nv_hold_mai*tk_cxit_vr200+(1-a_g3_29)*tk_cxit_vr200)</f>
        <v>35.7070344</v>
      </c>
      <c r="J13761" s="8" t="n">
        <f aca="false">((a_g3_29-nonnv*a_mai)*tk_cxit_gb300+nonnv*a_mai*nv_hold_mai*tk_cxit_vr200+(1-a_g3_29)*tk_cxit_vr200)</f>
        <v>35.7070344</v>
      </c>
      <c r="K13761" s="8" t="n">
        <f aca="false">((a_g3_29-nonnv*a_mai)*tk_cxit_gb300+nonnv*a_mai*nv_hold_mai*tk_cxit_vr200+(1-a_g3_29)*tk_cxit_vr200)</f>
        <v>35.7070344</v>
      </c>
      <c r="L13761" s="12" t="s">
        <v>992</v>
      </c>
    </row>
    <row r="13762" customFormat="false" ht="17.15" hidden="false" customHeight="false" outlineLevel="0" collapsed="false">
      <c r="A13762" s="0" t="s">
        <v>993</v>
      </c>
      <c r="B13762" s="0" t="s">
        <v>459</v>
      </c>
      <c r="F13762" s="30" t="n">
        <f aca="false">Sens!C13741*IF(Sens!F13734-Sens!C13734=life_it,1,0)+Sens!D13741*IF(Sens!F13734-Sens!D13734=life_it,1,0)+Sens!E13741*IF(Sens!F13734-Sens!E13734=life_it,1,0)</f>
        <v>0</v>
      </c>
      <c r="G13762" s="30" t="n">
        <f aca="false">Sens!C13741*IF(Sens!G13734-Sens!C13734=life_it,1,0)+Sens!D13741*IF(Sens!G13734-Sens!D13734=life_it,1,0)+Sens!E13741*IF(Sens!G13734-Sens!E13734=life_it,1,0)+Sens!F13741*IF(Sens!G13734-Sens!F13734=life_it,1,0)</f>
        <v>0</v>
      </c>
      <c r="H13762" s="30" t="n">
        <f aca="false">Sens!C13741*IF(Sens!H13734-Sens!C13734=life_it,1,0)+Sens!D13741*IF(Sens!H13734-Sens!D13734=life_it,1,0)+Sens!E13741*IF(Sens!H13734-Sens!E13734=life_it,1,0)+Sens!F13741*IF(Sens!H13734-Sens!F13734=life_it,1,0)+Sens!G13741*IF(Sens!H13734-Sens!G13734=life_it,1,0)</f>
        <v>0</v>
      </c>
      <c r="I13762" s="30" t="n">
        <f aca="false">Sens!C13741*IF(Sens!I13734-Sens!C13734=life_it,1,0)+Sens!D13741*IF(Sens!I13734-Sens!D13734=life_it,1,0)+Sens!E13741*IF(Sens!I13734-Sens!E13734=life_it,1,0)+Sens!F13741*IF(Sens!I13734-Sens!F13734=life_it,1,0)+Sens!G13741*IF(Sens!I13734-Sens!G13734=life_it,1,0)+Sens!H13741*IF(Sens!I13734-Sens!H13734=life_it,1,0)</f>
        <v>816.666666666667</v>
      </c>
      <c r="J13762" s="30" t="n">
        <f aca="false">Sens!C13741*IF(Sens!J13734-Sens!C13734=life_it,1,0)+Sens!D13741*IF(Sens!J13734-Sens!D13734=life_it,1,0)+Sens!E13741*IF(Sens!J13734-Sens!E13734=life_it,1,0)+Sens!F13741*IF(Sens!J13734-Sens!F13734=life_it,1,0)+Sens!G13741*IF(Sens!J13734-Sens!G13734=life_it,1,0)+Sens!H13741*IF(Sens!J13734-Sens!H13734=life_it,1,0)+Sens!I13741*IF(Sens!J13734-Sens!I13734=life_it,1,0)</f>
        <v>1233.33333333333</v>
      </c>
      <c r="K13762" s="30" t="n">
        <f aca="false">Sens!C13741*IF(Sens!K13734-Sens!C13734=life_it,1,0)+Sens!D13741*IF(Sens!K13734-Sens!D13734=life_it,1,0)+Sens!E13741*IF(Sens!K13734-Sens!E13734=life_it,1,0)+Sens!F13741*IF(Sens!K13734-Sens!F13734=life_it,1,0)+Sens!G13741*IF(Sens!K13734-Sens!G13734=life_it,1,0)+Sens!H13741*IF(Sens!K13734-Sens!H13734=life_it,1,0)+Sens!I13741*IF(Sens!K13734-Sens!I13734=life_it,1,0)+Sens!J13741*IF(Sens!K13734-Sens!J13734=life_it,1,0)</f>
        <v>2450</v>
      </c>
      <c r="L13762" s="1" t="s">
        <v>994</v>
      </c>
    </row>
    <row r="13763" customFormat="false" ht="17.15" hidden="false" customHeight="false" outlineLevel="0" collapsed="false">
      <c r="A13763" s="0" t="s">
        <v>995</v>
      </c>
      <c r="B13763" s="0" t="s">
        <v>98</v>
      </c>
      <c r="C13763" s="6" t="n">
        <f aca="false">Sens!C13741*Sens!C13761/1000</f>
        <v>22.5333845916667</v>
      </c>
      <c r="D13763" s="6" t="n">
        <f aca="false">Sens!D13741*Sens!D13761/1000</f>
        <v>34.0300093833333</v>
      </c>
      <c r="E13763" s="6" t="n">
        <f aca="false">Sens!E13741*Sens!E13761/1000</f>
        <v>67.600153775</v>
      </c>
      <c r="F13763" s="6" t="n">
        <f aca="false">(Sens!F13741+Sens!F13762)*Sens!F13761/1000</f>
        <v>136.51872432512</v>
      </c>
      <c r="G13763" s="6" t="n">
        <f aca="false">(Sens!G13741+Sens!G13762)*Sens!G13761/1000</f>
        <v>157.399275932048</v>
      </c>
      <c r="H13763" s="6" t="n">
        <f aca="false">(Sens!H13741+Sens!H13762)*Sens!H13761/1000</f>
        <v>162.260804347512</v>
      </c>
      <c r="I13763" s="6" t="n">
        <f aca="false">(Sens!I13741+Sens!I13762)*Sens!I13761/1000</f>
        <v>144.136569485434</v>
      </c>
      <c r="J13763" s="6" t="n">
        <f aca="false">(Sens!J13741+Sens!J13762)*Sens!J13761/1000</f>
        <v>114.029037357864</v>
      </c>
      <c r="K13763" s="6" t="n">
        <f aca="false">(Sens!K13741+Sens!K13762)*Sens!K13761/1000</f>
        <v>113.437085350975</v>
      </c>
    </row>
    <row r="13764" customFormat="false" ht="17.15" hidden="false" customHeight="false" outlineLevel="0" collapsed="false">
      <c r="A13764" s="0" t="s">
        <v>996</v>
      </c>
      <c r="B13764" s="0" t="s">
        <v>98</v>
      </c>
      <c r="C13764" s="6" t="n">
        <f aca="false">Sens!C13741*self_build*tk_cxfac/1000</f>
        <v>6.2083</v>
      </c>
      <c r="D13764" s="6" t="n">
        <f aca="false">Sens!D13741*self_build*tk_cxfac/1000</f>
        <v>9.3758</v>
      </c>
      <c r="E13764" s="6" t="n">
        <f aca="false">Sens!E13741*self_build*tk_cxfac/1000</f>
        <v>18.6249</v>
      </c>
      <c r="F13764" s="6" t="n">
        <f aca="false">Sens!F13741*self_build*tk_cxfac/1000</f>
        <v>31.935179717</v>
      </c>
      <c r="G13764" s="6" t="n">
        <f aca="false">Sens!G13741*self_build*tk_cxfac/1000</f>
        <v>34.545199717</v>
      </c>
      <c r="H13764" s="6" t="n">
        <f aca="false">Sens!H13741*self_build*tk_cxfac/1000</f>
        <v>34.545199717</v>
      </c>
      <c r="I13764" s="6" t="n">
        <f aca="false">Sens!I13741*self_build*tk_cxfac/1000</f>
        <v>24.4782641361767</v>
      </c>
      <c r="J13764" s="6" t="n">
        <f aca="false">Sens!J13741*self_build*tk_cxfac/1000</f>
        <v>14.9008938380769</v>
      </c>
      <c r="K13764" s="6" t="n">
        <f aca="false">Sens!K13741*self_build*tk_cxfac/1000</f>
        <v>5.52576771375761</v>
      </c>
    </row>
    <row r="13765" customFormat="false" ht="17.15" hidden="false" customHeight="false" outlineLevel="0" collapsed="false">
      <c r="A13765" s="0" t="s">
        <v>997</v>
      </c>
      <c r="B13765" s="0" t="s">
        <v>98</v>
      </c>
      <c r="F13765" s="15" t="n">
        <f aca="false">capex_floor27-Sens!F13763-Sens!F13764-Sens!F13861</f>
        <v>-0.0799631154216058</v>
      </c>
      <c r="L13765" s="12" t="s">
        <v>998</v>
      </c>
    </row>
    <row r="13766" customFormat="false" ht="17.15" hidden="false" customHeight="false" outlineLevel="0" collapsed="false">
      <c r="A13766" s="0" t="s">
        <v>999</v>
      </c>
      <c r="B13766" s="0" t="s">
        <v>98</v>
      </c>
      <c r="F13766" s="6" t="n">
        <f aca="false">MAX(0,Sens!F13765)</f>
        <v>0</v>
      </c>
    </row>
    <row r="13767" customFormat="false" ht="17.15" hidden="false" customHeight="false" outlineLevel="0" collapsed="false">
      <c r="A13767" s="0" t="s">
        <v>1000</v>
      </c>
      <c r="B13767" s="0" t="s">
        <v>98</v>
      </c>
      <c r="C13767" s="6" t="n">
        <f aca="false">Sens!C13763</f>
        <v>22.5333845916667</v>
      </c>
      <c r="D13767" s="6" t="n">
        <f aca="false">Sens!D13763</f>
        <v>34.0300093833333</v>
      </c>
      <c r="E13767" s="6" t="n">
        <f aca="false">Sens!E13763</f>
        <v>67.600153775</v>
      </c>
      <c r="F13767" s="6" t="n">
        <f aca="false">Sens!F13763</f>
        <v>136.51872432512</v>
      </c>
      <c r="G13767" s="6" t="n">
        <f aca="false">Sens!G13763</f>
        <v>157.399275932048</v>
      </c>
      <c r="H13767" s="6" t="n">
        <f aca="false">Sens!H13763</f>
        <v>162.260804347512</v>
      </c>
      <c r="I13767" s="6" t="n">
        <f aca="false">Sens!I13763</f>
        <v>144.136569485434</v>
      </c>
      <c r="J13767" s="6" t="n">
        <f aca="false">Sens!J13763</f>
        <v>114.029037357864</v>
      </c>
      <c r="K13767" s="6" t="n">
        <f aca="false">Sens!K13763</f>
        <v>113.437085350975</v>
      </c>
    </row>
    <row r="13768" customFormat="false" ht="17.15" hidden="false" customHeight="false" outlineLevel="0" collapsed="false">
      <c r="A13768" s="0" t="s">
        <v>1001</v>
      </c>
      <c r="B13768" s="0" t="s">
        <v>98</v>
      </c>
      <c r="C13768" s="6" t="n">
        <f aca="false">Sens!C13767+Sens!C13764</f>
        <v>28.7416845916667</v>
      </c>
      <c r="D13768" s="6" t="n">
        <f aca="false">Sens!D13767+Sens!D13764</f>
        <v>43.4058093833333</v>
      </c>
      <c r="E13768" s="6" t="n">
        <f aca="false">Sens!E13767+Sens!E13764</f>
        <v>86.225053775</v>
      </c>
      <c r="F13768" s="6" t="n">
        <f aca="false">Sens!F13767+Sens!F13764</f>
        <v>168.45390404212</v>
      </c>
      <c r="G13768" s="6" t="n">
        <f aca="false">Sens!G13767+Sens!G13764</f>
        <v>191.944475649048</v>
      </c>
      <c r="H13768" s="6" t="n">
        <f aca="false">Sens!H13767+Sens!H13764</f>
        <v>196.806004064512</v>
      </c>
      <c r="I13768" s="6" t="n">
        <f aca="false">Sens!I13767+Sens!I13764</f>
        <v>168.61483362161</v>
      </c>
      <c r="J13768" s="6" t="n">
        <f aca="false">Sens!J13767+Sens!J13764</f>
        <v>128.92993119594</v>
      </c>
      <c r="K13768" s="6" t="n">
        <f aca="false">Sens!K13767+Sens!K13764</f>
        <v>118.962853064733</v>
      </c>
      <c r="L13768" s="12" t="s">
        <v>1002</v>
      </c>
    </row>
    <row r="13769" customFormat="false" ht="17.15" hidden="false" customHeight="false" outlineLevel="0" collapsed="false">
      <c r="A13769" s="0" t="s">
        <v>1003</v>
      </c>
      <c r="B13769" s="0" t="s">
        <v>98</v>
      </c>
      <c r="E13769" s="6" t="n">
        <f aca="false">(Sens!C13767*IF(2&lt;life_it,1,IF(2=life_it,0.5,0))+Sens!D13767*IF(1&lt;life_it,1,IF(1=life_it,0.5,0))+Sens!E13767*0.5)/life_it</f>
        <v>15.0605784770833</v>
      </c>
      <c r="F13769" s="6" t="n">
        <f aca="false">(Sens!C13767*IF(3&lt;life_it,1,IF(3=life_it,0.5,0))+Sens!D13767*IF(2&lt;life_it,1,IF(2=life_it,0.5,0))+Sens!E13767*IF(1&lt;life_it,1,IF(1=life_it,0.5,0))+Sens!F13767*0.5)/life_it</f>
        <v>32.0704849854266</v>
      </c>
      <c r="G13769" s="6" t="n">
        <f aca="false">(Sens!C13767*IF(4&lt;life_it,1,IF(4=life_it,0.5,0))+Sens!D13767*IF(3&lt;life_it,1,IF(3=life_it,0.5,0))+Sens!E13767*IF(2&lt;life_it,1,IF(2=life_it,0.5,0))+Sens!F13767*IF(1&lt;life_it,1,IF(1=life_it,0.5,0))+Sens!G13767*0.5)/life_it</f>
        <v>56.5636516735239</v>
      </c>
      <c r="H13769" s="6" t="n">
        <f aca="false">(Sens!C13767*IF(5&lt;life_it,1,IF(5=life_it,0.5,0))+Sens!D13767*IF(4&lt;life_it,1,IF(4=life_it,0.5,0))+Sens!E13767*IF(3&lt;life_it,1,IF(3=life_it,0.5,0))+Sens!F13767*IF(2&lt;life_it,1,IF(2=life_it,0.5,0))+Sens!G13767*IF(1&lt;life_it,1,IF(1=life_it,0.5,0))+Sens!H13767*0.5)/life_it</f>
        <v>83.2019916968207</v>
      </c>
      <c r="I13769" s="6" t="n">
        <f aca="false">(Sens!C13767*IF(6&lt;life_it,1,IF(6=life_it,0.5,0))+Sens!D13767*IF(5&lt;life_it,1,IF(5=life_it,0.5,0))+Sens!E13767*IF(4&lt;life_it,1,IF(4=life_it,0.5,0))+Sens!F13767*IF(3&lt;life_it,1,IF(3=life_it,0.5,0))+Sens!G13767*IF(2&lt;life_it,1,IF(2=life_it,0.5,0))+Sens!H13767*IF(1&lt;life_it,1,IF(1=life_it,0.5,0))+Sens!I13767*0.5)/life_it</f>
        <v>106.857324133594</v>
      </c>
      <c r="J13769" s="6" t="n">
        <f aca="false">(Sens!C13767*IF(7&lt;life_it,1,IF(7=life_it,0.5,0))+Sens!D13767*IF(6&lt;life_it,1,IF(6=life_it,0.5,0))+Sens!E13767*IF(5&lt;life_it,1,IF(5=life_it,0.5,0))+Sens!F13767*IF(4&lt;life_it,1,IF(4=life_it,0.5,0))+Sens!G13767*IF(3&lt;life_it,1,IF(3=life_it,0.5,0))+Sens!H13767*IF(2&lt;life_it,1,IF(2=life_it,0.5,0))+Sens!I13767*IF(1&lt;life_it,1,IF(1=life_it,0.5,0))+Sens!J13767*0.5)/life_it</f>
        <v>123.657508539285</v>
      </c>
      <c r="K13769" s="6" t="n">
        <f aca="false">(Sens!C13767*IF(8&lt;life_it,1,IF(8=life_it,0.5,0))+Sens!D13767*IF(7&lt;life_it,1,IF(7=life_it,0.5,0))+Sens!E13767*IF(6&lt;life_it,1,IF(6=life_it,0.5,0))+Sens!F13767*IF(5&lt;life_it,1,IF(5=life_it,0.5,0))+Sens!G13767*IF(4&lt;life_it,1,IF(4=life_it,0.5,0))+Sens!H13767*IF(3&lt;life_it,1,IF(3=life_it,0.5,0))+Sens!I13767*IF(2&lt;life_it,1,IF(2=life_it,0.5,0))+Sens!J13767*IF(1&lt;life_it,1,IF(1=life_it,0.5,0))+Sens!K13767*0.5)/life_it</f>
        <v>134.143838501827</v>
      </c>
    </row>
    <row r="13770" customFormat="false" ht="17.15" hidden="false" customHeight="false" outlineLevel="0" collapsed="false">
      <c r="A13770" s="0" t="s">
        <v>1004</v>
      </c>
      <c r="B13770" s="0" t="s">
        <v>98</v>
      </c>
      <c r="E13770" s="6" t="n">
        <f aca="false">(Sens!C13764*IF(2&lt;life_fac,1,IF(2=life_fac,0.5,0))+Sens!D13764*IF(1&lt;life_fac,1,IF(1=life_fac,0.5,0))+Sens!E13764*0.5)/life_fac</f>
        <v>1.2448275</v>
      </c>
      <c r="F13770" s="6" t="n">
        <f aca="false">(Sens!C13764*IF(3&lt;life_fac,1,IF(3=life_fac,0.5,0))+Sens!D13764*IF(2&lt;life_fac,1,IF(2=life_fac,0.5,0))+Sens!E13764*IF(1&lt;life_fac,1,IF(1=life_fac,0.5,0))+Sens!F13764*0.5)/life_fac</f>
        <v>2.508829492925</v>
      </c>
      <c r="G13770" s="6" t="n">
        <f aca="false">(Sens!C13764*IF(4&lt;life_fac,1,IF(4=life_fac,0.5,0))+Sens!D13764*IF(3&lt;life_fac,1,IF(3=life_fac,0.5,0))+Sens!E13764*IF(2&lt;life_fac,1,IF(2=life_fac,0.5,0))+Sens!F13764*IF(1&lt;life_fac,1,IF(1=life_fac,0.5,0))+Sens!G13764*0.5)/life_fac</f>
        <v>4.170838978775</v>
      </c>
      <c r="H13770" s="6" t="n">
        <f aca="false">(Sens!C13764*IF(5&lt;life_fac,1,IF(5=life_fac,0.5,0))+Sens!D13764*IF(4&lt;life_fac,1,IF(4=life_fac,0.5,0))+Sens!E13764*IF(3&lt;life_fac,1,IF(3=life_fac,0.5,0))+Sens!F13764*IF(2&lt;life_fac,1,IF(2=life_fac,0.5,0))+Sens!G13764*IF(1&lt;life_fac,1,IF(1=life_fac,0.5,0))+Sens!H13764*0.5)/life_fac</f>
        <v>5.898098964625</v>
      </c>
      <c r="I13770" s="6" t="n">
        <f aca="false">(Sens!C13764*IF(6&lt;life_fac,1,IF(6=life_fac,0.5,0))+Sens!D13764*IF(5&lt;life_fac,1,IF(5=life_fac,0.5,0))+Sens!E13764*IF(4&lt;life_fac,1,IF(4=life_fac,0.5,0))+Sens!F13764*IF(3&lt;life_fac,1,IF(3=life_fac,0.5,0))+Sens!G13764*IF(2&lt;life_fac,1,IF(2=life_fac,0.5,0))+Sens!H13764*IF(1&lt;life_fac,1,IF(1=life_fac,0.5,0))+Sens!I13764*0.5)/life_fac</f>
        <v>7.37368556095442</v>
      </c>
      <c r="J13770" s="6" t="n">
        <f aca="false">(Sens!C13764*IF(7&lt;life_fac,1,IF(7=life_fac,0.5,0))+Sens!D13764*IF(6&lt;life_fac,1,IF(6=life_fac,0.5,0))+Sens!E13764*IF(5&lt;life_fac,1,IF(5=life_fac,0.5,0))+Sens!F13764*IF(4&lt;life_fac,1,IF(4=life_fac,0.5,0))+Sens!G13764*IF(3&lt;life_fac,1,IF(3=life_fac,0.5,0))+Sens!H13764*IF(2&lt;life_fac,1,IF(2=life_fac,0.5,0))+Sens!I13764*IF(1&lt;life_fac,1,IF(1=life_fac,0.5,0))+Sens!J13764*0.5)/life_fac</f>
        <v>8.35816451031075</v>
      </c>
      <c r="K13770" s="6" t="n">
        <f aca="false">(Sens!C13764*IF(8&lt;life_fac,1,IF(8=life_fac,0.5,0))+Sens!D13764*IF(7&lt;life_fac,1,IF(7=life_fac,0.5,0))+Sens!E13764*IF(6&lt;life_fac,1,IF(6=life_fac,0.5,0))+Sens!F13764*IF(5&lt;life_fac,1,IF(5=life_fac,0.5,0))+Sens!G13764*IF(4&lt;life_fac,1,IF(4=life_fac,0.5,0))+Sens!H13764*IF(3&lt;life_fac,1,IF(3=life_fac,0.5,0))+Sens!I13764*IF(2&lt;life_fac,1,IF(2=life_fac,0.5,0))+Sens!J13764*IF(1&lt;life_fac,1,IF(1=life_fac,0.5,0))+Sens!K13764*0.5)/life_fac</f>
        <v>8.86883104910662</v>
      </c>
    </row>
    <row r="13771" customFormat="false" ht="17.15" hidden="false" customHeight="false" outlineLevel="0" collapsed="false">
      <c r="A13771" s="0" t="s">
        <v>1005</v>
      </c>
      <c r="B13771" s="0" t="s">
        <v>98</v>
      </c>
      <c r="E13771" s="6" t="n">
        <f aca="false">Sens!E13769+Sens!E13770</f>
        <v>16.3054059770833</v>
      </c>
      <c r="F13771" s="6" t="n">
        <f aca="false">Sens!F13769+Sens!F13770</f>
        <v>34.5793144783516</v>
      </c>
      <c r="G13771" s="6" t="n">
        <f aca="false">Sens!G13769+Sens!G13770</f>
        <v>60.7344906522989</v>
      </c>
      <c r="H13771" s="6" t="n">
        <f aca="false">Sens!H13769+Sens!H13770</f>
        <v>89.1000906614457</v>
      </c>
      <c r="I13771" s="6" t="n">
        <f aca="false">Sens!I13769+Sens!I13770</f>
        <v>114.231009694548</v>
      </c>
      <c r="J13771" s="6" t="n">
        <f aca="false">Sens!J13769+Sens!J13770</f>
        <v>132.015673049596</v>
      </c>
      <c r="K13771" s="6" t="n">
        <f aca="false">Sens!K13769+Sens!K13770</f>
        <v>143.012669550934</v>
      </c>
    </row>
    <row r="13772" customFormat="false" ht="17.15" hidden="false" customHeight="false" outlineLevel="0" collapsed="false">
      <c r="A13772" s="0" t="s">
        <v>1006</v>
      </c>
      <c r="B13772" s="0" t="s">
        <v>98</v>
      </c>
      <c r="E13772" s="6" t="n">
        <f aca="false">Sens!E13759-Sens!E13758*Sens!E13771</f>
        <v>8.92707889977379</v>
      </c>
      <c r="F13772" s="6" t="n">
        <f aca="false">Sens!F13759-Sens!F13758*Sens!F13771</f>
        <v>14.3471335960079</v>
      </c>
      <c r="G13772" s="6" t="n">
        <f aca="false">Sens!G13759-Sens!G13758*Sens!G13771</f>
        <v>16.5202976798683</v>
      </c>
      <c r="H13772" s="6" t="n">
        <f aca="false">Sens!H13759-Sens!H13758*Sens!H13771</f>
        <v>12.9805278875331</v>
      </c>
      <c r="I13772" s="6" t="n">
        <f aca="false">Sens!I13759-Sens!I13758*Sens!I13771</f>
        <v>16.2363335770989</v>
      </c>
      <c r="J13772" s="6" t="n">
        <f aca="false">Sens!J13759-Sens!J13758*Sens!J13771</f>
        <v>18.4432225839805</v>
      </c>
      <c r="K13772" s="6" t="n">
        <f aca="false">Sens!K13759-Sens!K13758*Sens!K13771</f>
        <v>20.1577566819661</v>
      </c>
    </row>
    <row r="13773" customFormat="false" ht="17.15" hidden="false" customHeight="false" outlineLevel="0" collapsed="false">
      <c r="A13773" s="3" t="s">
        <v>1956</v>
      </c>
    </row>
    <row r="13774" customFormat="false" ht="15" hidden="false" customHeight="false" outlineLevel="0" collapsed="false">
      <c r="A13774" s="4" t="s">
        <v>43</v>
      </c>
      <c r="B13774" s="4" t="s">
        <v>65</v>
      </c>
      <c r="C13774" s="23" t="s">
        <v>942</v>
      </c>
      <c r="D13774" s="23" t="s">
        <v>943</v>
      </c>
      <c r="E13774" s="23" t="s">
        <v>944</v>
      </c>
      <c r="F13774" s="23" t="s">
        <v>945</v>
      </c>
      <c r="G13774" s="23" t="s">
        <v>946</v>
      </c>
      <c r="H13774" s="23" t="s">
        <v>947</v>
      </c>
      <c r="I13774" s="23" t="s">
        <v>948</v>
      </c>
      <c r="J13774" s="23" t="s">
        <v>949</v>
      </c>
      <c r="K13774" s="23" t="s">
        <v>950</v>
      </c>
      <c r="L13774" s="4" t="s">
        <v>47</v>
      </c>
    </row>
    <row r="13775" customFormat="false" ht="17.15" hidden="false" customHeight="false" outlineLevel="0" collapsed="false">
      <c r="A13775" s="0" t="s">
        <v>1025</v>
      </c>
      <c r="B13775" s="0" t="s">
        <v>98</v>
      </c>
      <c r="D13775" s="6" t="n">
        <f aca="false">Sens!D13753</f>
        <v>12.9359794422418</v>
      </c>
      <c r="E13775" s="6" t="n">
        <f aca="false">Sens!E13753</f>
        <v>27.8095064661409</v>
      </c>
      <c r="F13775" s="6" t="n">
        <f aca="false">Sens!F13753</f>
        <v>50.9819294352312</v>
      </c>
      <c r="G13775" s="6" t="n">
        <f aca="false">Sens!G13753</f>
        <v>76.6920436014933</v>
      </c>
      <c r="H13775" s="6" t="n">
        <f aca="false">Sens!H13753</f>
        <v>97.4495379418341</v>
      </c>
      <c r="I13775" s="6" t="n">
        <f aca="false">Sens!I13753</f>
        <v>122.083445553868</v>
      </c>
      <c r="J13775" s="6" t="n">
        <f aca="false">Sens!J13753</f>
        <v>139.249060444804</v>
      </c>
      <c r="K13775" s="6" t="n">
        <f aca="false">Sens!K13753</f>
        <v>149.995818575589</v>
      </c>
    </row>
    <row r="13776" customFormat="false" ht="17.15" hidden="false" customHeight="false" outlineLevel="0" collapsed="false">
      <c r="A13776" s="0" t="s">
        <v>1026</v>
      </c>
      <c r="B13776" s="0" t="s">
        <v>98</v>
      </c>
      <c r="D13776" s="6" t="n">
        <f aca="false">Q!L6-Sens!D13775</f>
        <v>59.6740205577583</v>
      </c>
      <c r="E13776" s="6" t="n">
        <f aca="false">Q!M6-Sens!E13775</f>
        <v>74.1284935338591</v>
      </c>
      <c r="F13776" s="6" t="n">
        <f aca="false">Q!$I$6+(Sens!F13775+Sens!E13776*(1+Sens!F13777))*(1-Q!$E$6/Q!M6)-Sens!F13775</f>
        <v>92.2699541184664</v>
      </c>
      <c r="G13776" s="6" t="n">
        <f aca="false">Sens!F13776*(1+Sens!G13777)</f>
        <v>109.630477277949</v>
      </c>
      <c r="H13776" s="6" t="n">
        <f aca="false">Sens!G13776*(1+Sens!H13777)</f>
        <v>127.293256321956</v>
      </c>
      <c r="I13776" s="6" t="n">
        <f aca="false">Sens!H13776*(1+Sens!I13777)</f>
        <v>144.360052269491</v>
      </c>
      <c r="J13776" s="6" t="n">
        <f aca="false">Sens!I13776*(1+Sens!J13777)</f>
        <v>159.811964490216</v>
      </c>
      <c r="K13776" s="6" t="n">
        <f aca="false">Sens!J13776*(1+Sens!K13777)</f>
        <v>172.596921649434</v>
      </c>
      <c r="L13776" s="12" t="s">
        <v>1027</v>
      </c>
    </row>
    <row r="13777" customFormat="false" ht="15" hidden="false" customHeight="false" outlineLevel="0" collapsed="false">
      <c r="A13777" s="1" t="s">
        <v>1028</v>
      </c>
      <c r="B13777" s="0" t="s">
        <v>168</v>
      </c>
      <c r="E13777" s="7" t="n">
        <f aca="false">Sens!E13776/Sens!D13776-1</f>
        <v>0.242223883039864</v>
      </c>
      <c r="F13777" s="7" t="n">
        <f aca="false">Sens!$E$13777+(glt_azo-Sens!$E$13777)*MIN(1,(Sens!F13734-base_fy)/n_conv)</f>
        <v>0.215186569199887</v>
      </c>
      <c r="G13777" s="7" t="n">
        <f aca="false">Sens!$E$13777+(glt_azo-Sens!$E$13777)*MIN(1,(Sens!G13734-base_fy)/n_conv)</f>
        <v>0.18814925535991</v>
      </c>
      <c r="H13777" s="7" t="n">
        <f aca="false">Sens!$E$13777+(glt_azo-Sens!$E$13777)*MIN(1,(Sens!H13734-base_fy)/n_conv)</f>
        <v>0.161111941519932</v>
      </c>
      <c r="I13777" s="7" t="n">
        <f aca="false">Sens!$E$13777+(glt_azo-Sens!$E$13777)*MIN(1,(Sens!I13734-base_fy)/n_conv)</f>
        <v>0.134074627679955</v>
      </c>
      <c r="J13777" s="7" t="n">
        <f aca="false">Sens!$E$13777+(glt_azo-Sens!$E$13777)*MIN(1,(Sens!J13734-base_fy)/n_conv)</f>
        <v>0.107037313839977</v>
      </c>
      <c r="K13777" s="7" t="n">
        <f aca="false">Sens!$E$13777+(glt_azo-Sens!$E$13777)*MIN(1,(Sens!K13734-base_fy)/n_conv)</f>
        <v>0.08</v>
      </c>
    </row>
    <row r="13778" customFormat="false" ht="15" hidden="false" customHeight="false" outlineLevel="0" collapsed="false">
      <c r="A13778" s="0" t="s">
        <v>1029</v>
      </c>
      <c r="B13778" s="0" t="s">
        <v>98</v>
      </c>
      <c r="D13778" s="6" t="n">
        <f aca="false">Sens!D13775+Sens!D13776</f>
        <v>72.61</v>
      </c>
      <c r="E13778" s="6" t="n">
        <f aca="false">Sens!E13775+Sens!E13776</f>
        <v>101.938</v>
      </c>
      <c r="F13778" s="6" t="n">
        <f aca="false">Sens!F13775+Sens!F13776</f>
        <v>143.251883553698</v>
      </c>
      <c r="G13778" s="6" t="n">
        <f aca="false">Sens!G13775+Sens!G13776</f>
        <v>186.322520879442</v>
      </c>
      <c r="H13778" s="6" t="n">
        <f aca="false">Sens!H13775+Sens!H13776</f>
        <v>224.74279426379</v>
      </c>
      <c r="I13778" s="6" t="n">
        <f aca="false">Sens!I13775+Sens!I13776</f>
        <v>266.443497823359</v>
      </c>
      <c r="J13778" s="6" t="n">
        <f aca="false">Sens!J13775+Sens!J13776</f>
        <v>299.06102493502</v>
      </c>
      <c r="K13778" s="6" t="n">
        <f aca="false">Sens!K13775+Sens!K13776</f>
        <v>322.592740225023</v>
      </c>
    </row>
    <row r="13779" customFormat="false" ht="17.15" hidden="false" customHeight="false" outlineLevel="0" collapsed="false">
      <c r="A13779" s="0" t="s">
        <v>1030</v>
      </c>
      <c r="B13779" s="1" t="s">
        <v>613</v>
      </c>
      <c r="C13779" s="30" t="n">
        <f aca="false">cop_s24</f>
        <v>1</v>
      </c>
      <c r="D13779" s="30" t="n">
        <f aca="false">cop_s25</f>
        <v>5</v>
      </c>
      <c r="E13779" s="30" t="n">
        <f aca="false">cop_s26</f>
        <v>30</v>
      </c>
      <c r="F13779" s="30" t="n">
        <f aca="false">Sens!E13779+cop_add_C</f>
        <v>40</v>
      </c>
      <c r="G13779" s="30" t="n">
        <f aca="false">Sens!F13779+cop_add_C</f>
        <v>50</v>
      </c>
      <c r="H13779" s="30" t="n">
        <f aca="false">Sens!G13779+cop_add_C</f>
        <v>60</v>
      </c>
      <c r="I13779" s="30" t="n">
        <f aca="false">Sens!H13779+cop_add_C*cop_tail</f>
        <v>65</v>
      </c>
      <c r="J13779" s="30" t="n">
        <f aca="false">Sens!I13779+cop_add_C*cop_tail</f>
        <v>70</v>
      </c>
      <c r="K13779" s="30" t="n">
        <f aca="false">Sens!J13779+cop_add_C*cop_tail</f>
        <v>75</v>
      </c>
      <c r="L13779" s="12" t="s">
        <v>1031</v>
      </c>
    </row>
    <row r="13780" customFormat="false" ht="17.15" hidden="false" customHeight="false" outlineLevel="0" collapsed="false">
      <c r="A13780" s="0" t="s">
        <v>1032</v>
      </c>
      <c r="B13780" s="0" t="s">
        <v>98</v>
      </c>
      <c r="D13780" s="6" t="n">
        <f aca="false">(Sens!C13779+Sens!D13779)/2*cop_px*12/1000</f>
        <v>0.9</v>
      </c>
      <c r="E13780" s="6" t="n">
        <f aca="false">(Sens!D13779+Sens!E13779)/2*cop_px*12/1000</f>
        <v>5.25</v>
      </c>
      <c r="F13780" s="6" t="n">
        <f aca="false">(Sens!E13779+Sens!F13779)/2*cop_px*12/1000</f>
        <v>10.5</v>
      </c>
      <c r="G13780" s="6" t="n">
        <f aca="false">(Sens!F13779+Sens!G13779)/2*cop_px*12/1000</f>
        <v>13.5</v>
      </c>
      <c r="H13780" s="6" t="n">
        <f aca="false">(Sens!G13779+Sens!H13779)/2*cop_px*12/1000</f>
        <v>16.5</v>
      </c>
      <c r="I13780" s="6" t="n">
        <f aca="false">(Sens!H13779+Sens!I13779)/2*cop_px*12/1000</f>
        <v>18.75</v>
      </c>
      <c r="J13780" s="6" t="n">
        <f aca="false">(Sens!I13779+Sens!J13779)/2*cop_px*12/1000</f>
        <v>20.25</v>
      </c>
      <c r="K13780" s="6" t="n">
        <f aca="false">(Sens!J13779+Sens!K13779)/2*cop_px*12/1000</f>
        <v>21.75</v>
      </c>
      <c r="L13780" s="1" t="s">
        <v>1033</v>
      </c>
    </row>
    <row r="13781" customFormat="false" ht="17.15" hidden="false" customHeight="false" outlineLevel="0" collapsed="false">
      <c r="A13781" s="0" t="s">
        <v>1034</v>
      </c>
      <c r="B13781" s="0" t="s">
        <v>98</v>
      </c>
      <c r="D13781" s="6" t="n">
        <f aca="false">Q!L7-Sens!D13780</f>
        <v>83.705</v>
      </c>
      <c r="E13781" s="6" t="n">
        <f aca="false">Q!M7-Sens!E13780</f>
        <v>95.049</v>
      </c>
      <c r="F13781" s="6" t="n">
        <f aca="false">Q!$I$7+(Sens!E13781*(1+Sens!F13782)+Sens!F13780)*(1-Q!$E$7/Q!M7)-Sens!F13780</f>
        <v>106.938354189776</v>
      </c>
      <c r="G13781" s="6" t="n">
        <f aca="false">Sens!F13781*(1+Sens!G13782)</f>
        <v>119.095360443801</v>
      </c>
      <c r="H13781" s="6" t="n">
        <f aca="false">Sens!G13781*(1+Sens!H13782)</f>
        <v>131.333811964563</v>
      </c>
      <c r="I13781" s="6" t="n">
        <f aca="false">Sens!H13781*(1+Sens!I13782)</f>
        <v>143.395665319381</v>
      </c>
      <c r="J13781" s="6" t="n">
        <f aca="false">Sens!I13781*(1+Sens!J13782)</f>
        <v>154.999327755573</v>
      </c>
      <c r="K13781" s="6" t="n">
        <f aca="false">Sens!J13781*(1+Sens!K13782)</f>
        <v>165.849280698463</v>
      </c>
      <c r="L13781" s="12" t="s">
        <v>1035</v>
      </c>
    </row>
    <row r="13782" customFormat="false" ht="15" hidden="false" customHeight="false" outlineLevel="0" collapsed="false">
      <c r="A13782" s="1" t="s">
        <v>1028</v>
      </c>
      <c r="B13782" s="0" t="s">
        <v>168</v>
      </c>
      <c r="E13782" s="7" t="n">
        <f aca="false">Sens!E13781/Sens!D13781-1</f>
        <v>0.135523564900544</v>
      </c>
      <c r="F13782" s="7" t="n">
        <f aca="false">Sens!$E$13782+(glt_m365b-Sens!$E$13782)*MIN(1,(Sens!F13734-base_fy)/n_conv)</f>
        <v>0.124602970750453</v>
      </c>
      <c r="G13782" s="7" t="n">
        <f aca="false">Sens!$E$13782+(glt_m365b-Sens!$E$13782)*MIN(1,(Sens!G13734-base_fy)/n_conv)</f>
        <v>0.113682376600363</v>
      </c>
      <c r="H13782" s="7" t="n">
        <f aca="false">Sens!$E$13782+(glt_m365b-Sens!$E$13782)*MIN(1,(Sens!H13734-base_fy)/n_conv)</f>
        <v>0.102761782450272</v>
      </c>
      <c r="I13782" s="7" t="n">
        <f aca="false">Sens!$E$13782+(glt_m365b-Sens!$E$13782)*MIN(1,(Sens!I13734-base_fy)/n_conv)</f>
        <v>0.0918411883001813</v>
      </c>
      <c r="J13782" s="7" t="n">
        <f aca="false">Sens!$E$13782+(glt_m365b-Sens!$E$13782)*MIN(1,(Sens!J13734-base_fy)/n_conv)</f>
        <v>0.0809205941500906</v>
      </c>
      <c r="K13782" s="7" t="n">
        <f aca="false">Sens!$E$13782+(glt_m365b-Sens!$E$13782)*MIN(1,(Sens!K13734-base_fy)/n_conv)</f>
        <v>0.07</v>
      </c>
    </row>
    <row r="13783" customFormat="false" ht="15" hidden="false" customHeight="false" outlineLevel="0" collapsed="false">
      <c r="A13783" s="0" t="s">
        <v>1036</v>
      </c>
      <c r="B13783" s="0" t="s">
        <v>98</v>
      </c>
      <c r="D13783" s="6" t="n">
        <f aca="false">Sens!D13781+Sens!D13780</f>
        <v>84.605</v>
      </c>
      <c r="E13783" s="6" t="n">
        <f aca="false">Sens!E13781+Sens!E13780</f>
        <v>100.299</v>
      </c>
      <c r="F13783" s="6" t="n">
        <f aca="false">Sens!F13781+Sens!F13780</f>
        <v>117.438354189776</v>
      </c>
      <c r="G13783" s="6" t="n">
        <f aca="false">Sens!G13781+Sens!G13780</f>
        <v>132.595360443801</v>
      </c>
      <c r="H13783" s="6" t="n">
        <f aca="false">Sens!H13781+Sens!H13780</f>
        <v>147.833811964563</v>
      </c>
      <c r="I13783" s="6" t="n">
        <f aca="false">Sens!I13781+Sens!I13780</f>
        <v>162.145665319381</v>
      </c>
      <c r="J13783" s="6" t="n">
        <f aca="false">Sens!J13781+Sens!J13780</f>
        <v>175.249327755573</v>
      </c>
      <c r="K13783" s="6" t="n">
        <f aca="false">Sens!K13781+Sens!K13780</f>
        <v>187.599280698463</v>
      </c>
    </row>
    <row r="13784" customFormat="false" ht="17.15" hidden="false" customHeight="false" outlineLevel="0" collapsed="false">
      <c r="A13784" s="0" t="s">
        <v>1037</v>
      </c>
      <c r="B13784" s="0" t="s">
        <v>98</v>
      </c>
      <c r="D13784" s="6" t="n">
        <f aca="false">Q!L8</f>
        <v>35.391</v>
      </c>
      <c r="E13784" s="6" t="n">
        <f aca="false">Q!M8</f>
        <v>37.285</v>
      </c>
      <c r="F13784" s="6" t="n">
        <f aca="false">Q!$I$8+(Q!M8-Q!$E$8)*(1+Sens!F13785)</f>
        <v>38.3851437782675</v>
      </c>
      <c r="G13784" s="6" t="n">
        <f aca="false">Sens!F13784*(1+Sens!G13785)</f>
        <v>40.0105353288615</v>
      </c>
      <c r="H13784" s="6" t="n">
        <f aca="false">Sens!G13784*(1+Sens!H13785)</f>
        <v>41.4812512033683</v>
      </c>
      <c r="I13784" s="6" t="n">
        <f aca="false">Sens!H13784*(1+Sens!I13785)</f>
        <v>42.7743107216329</v>
      </c>
      <c r="J13784" s="6" t="n">
        <f aca="false">Sens!I13784*(1+Sens!J13785)</f>
        <v>43.8687373064601</v>
      </c>
      <c r="K13784" s="6" t="n">
        <f aca="false">Sens!J13784*(1+Sens!K13785)</f>
        <v>44.7461120525893</v>
      </c>
      <c r="L13784" s="12" t="s">
        <v>1038</v>
      </c>
    </row>
    <row r="13785" customFormat="false" ht="15" hidden="false" customHeight="false" outlineLevel="0" collapsed="false">
      <c r="A13785" s="1" t="s">
        <v>1028</v>
      </c>
      <c r="B13785" s="0" t="s">
        <v>168</v>
      </c>
      <c r="E13785" s="7" t="n">
        <f aca="false">Sens!E13784/Sens!D13784-1</f>
        <v>0.0535164307309768</v>
      </c>
      <c r="F13785" s="7" t="n">
        <f aca="false">Sens!$E$13785+(glt_lic-Sens!$E$13785)*MIN(1,(Sens!F13734-base_fy)/n_conv)</f>
        <v>0.0479303589424807</v>
      </c>
      <c r="G13785" s="7" t="n">
        <f aca="false">Sens!$E$13785+(glt_lic-Sens!$E$13785)*MIN(1,(Sens!G13734-base_fy)/n_conv)</f>
        <v>0.0423442871539845</v>
      </c>
      <c r="H13785" s="7" t="n">
        <f aca="false">Sens!$E$13785+(glt_lic-Sens!$E$13785)*MIN(1,(Sens!H13734-base_fy)/n_conv)</f>
        <v>0.0367582153654884</v>
      </c>
      <c r="I13785" s="7" t="n">
        <f aca="false">Sens!$E$13785+(glt_lic-Sens!$E$13785)*MIN(1,(Sens!I13734-base_fy)/n_conv)</f>
        <v>0.0311721435769923</v>
      </c>
      <c r="J13785" s="7" t="n">
        <f aca="false">Sens!$E$13785+(glt_lic-Sens!$E$13785)*MIN(1,(Sens!J13734-base_fy)/n_conv)</f>
        <v>0.0255860717884961</v>
      </c>
      <c r="K13785" s="7" t="n">
        <f aca="false">Sens!$E$13785+(glt_lic-Sens!$E$13785)*MIN(1,(Sens!K13734-base_fy)/n_conv)</f>
        <v>0.02</v>
      </c>
    </row>
    <row r="13786" customFormat="false" ht="17.15" hidden="false" customHeight="false" outlineLevel="0" collapsed="false">
      <c r="A13786" s="0" t="s">
        <v>1039</v>
      </c>
      <c r="B13786" s="0" t="s">
        <v>98</v>
      </c>
      <c r="D13786" s="6" t="n">
        <f aca="false">Q!L9</f>
        <v>18.417</v>
      </c>
      <c r="E13786" s="6" t="n">
        <f aca="false">Q!M9</f>
        <v>20.345</v>
      </c>
      <c r="F13786" s="6" t="n">
        <f aca="false">Q!$I$9+(Q!M9-Q!$E$9)*(1+Sens!F13787)</f>
        <v>22.3161797133988</v>
      </c>
      <c r="G13786" s="6" t="n">
        <f aca="false">Sens!F13786*(1+Sens!G13787)</f>
        <v>24.3943499673233</v>
      </c>
      <c r="H13786" s="6" t="n">
        <f aca="false">Sens!G13786*(1+Sens!H13787)</f>
        <v>26.5250243109019</v>
      </c>
      <c r="I13786" s="6" t="n">
        <f aca="false">Sens!H13786*(1+Sens!I13787)</f>
        <v>28.6884573538181</v>
      </c>
      <c r="J13786" s="6" t="n">
        <f aca="false">Sens!I13786*(1+Sens!J13787)</f>
        <v>30.8624968052127</v>
      </c>
      <c r="K13786" s="6" t="n">
        <f aca="false">Sens!J13786*(1+Sens!K13787)</f>
        <v>33.0228715815776</v>
      </c>
      <c r="L13786" s="12" t="s">
        <v>1038</v>
      </c>
    </row>
    <row r="13787" customFormat="false" ht="15" hidden="false" customHeight="false" outlineLevel="0" collapsed="false">
      <c r="A13787" s="1" t="s">
        <v>1028</v>
      </c>
      <c r="B13787" s="0" t="s">
        <v>168</v>
      </c>
      <c r="E13787" s="7" t="n">
        <f aca="false">Sens!E13786/Sens!D13786-1</f>
        <v>0.104685888038225</v>
      </c>
      <c r="F13787" s="7" t="n">
        <f aca="false">Sens!$E$13787+(glt_ind-Sens!$E$13787)*MIN(1,(Sens!F13734-base_fy)/n_conv)</f>
        <v>0.0989049066985211</v>
      </c>
      <c r="G13787" s="7" t="n">
        <f aca="false">Sens!$E$13787+(glt_ind-Sens!$E$13787)*MIN(1,(Sens!G13734-base_fy)/n_conv)</f>
        <v>0.0931239253588169</v>
      </c>
      <c r="H13787" s="7" t="n">
        <f aca="false">Sens!$E$13787+(glt_ind-Sens!$E$13787)*MIN(1,(Sens!H13734-base_fy)/n_conv)</f>
        <v>0.0873429440191127</v>
      </c>
      <c r="I13787" s="7" t="n">
        <f aca="false">Sens!$E$13787+(glt_ind-Sens!$E$13787)*MIN(1,(Sens!I13734-base_fy)/n_conv)</f>
        <v>0.0815619626794085</v>
      </c>
      <c r="J13787" s="7" t="n">
        <f aca="false">Sens!$E$13787+(glt_ind-Sens!$E$13787)*MIN(1,(Sens!J13734-base_fy)/n_conv)</f>
        <v>0.0757809813397042</v>
      </c>
      <c r="K13787" s="7" t="n">
        <f aca="false">Sens!$E$13787+(glt_ind-Sens!$E$13787)*MIN(1,(Sens!K13734-base_fy)/n_conv)</f>
        <v>0.07</v>
      </c>
    </row>
    <row r="13788" customFormat="false" ht="17.15" hidden="false" customHeight="false" outlineLevel="0" collapsed="false">
      <c r="A13788" s="0" t="s">
        <v>1040</v>
      </c>
      <c r="B13788" s="0" t="s">
        <v>98</v>
      </c>
      <c r="D13788" s="6" t="n">
        <f aca="false">Q!L10</f>
        <v>7.76</v>
      </c>
      <c r="E13788" s="6" t="n">
        <f aca="false">Q!M10</f>
        <v>8.26</v>
      </c>
      <c r="F13788" s="6" t="n">
        <f aca="false">Q!$I$10+(Q!M10-Q!$E$10)*(1+Sens!F13789)</f>
        <v>8.75372082474227</v>
      </c>
      <c r="G13788" s="6" t="n">
        <f aca="false">Sens!F13788*(1+Sens!G13789)</f>
        <v>9.33399324642364</v>
      </c>
      <c r="H13788" s="6" t="n">
        <f aca="false">Sens!G13788*(1+Sens!H13789)</f>
        <v>9.96139155535851</v>
      </c>
      <c r="I13788" s="6" t="n">
        <f aca="false">Sens!H13788*(1+Sens!I13789)</f>
        <v>10.6402039077391</v>
      </c>
      <c r="J13788" s="6" t="n">
        <f aca="false">Sens!I13788*(1+Sens!J13789)</f>
        <v>11.3751458271397</v>
      </c>
      <c r="K13788" s="6" t="n">
        <f aca="false">Sens!J13788*(1+Sens!K13789)</f>
        <v>12.1714060350394</v>
      </c>
      <c r="L13788" s="12" t="s">
        <v>1038</v>
      </c>
    </row>
    <row r="13789" customFormat="false" ht="15" hidden="false" customHeight="false" outlineLevel="0" collapsed="false">
      <c r="A13789" s="1" t="s">
        <v>1028</v>
      </c>
      <c r="B13789" s="0" t="s">
        <v>168</v>
      </c>
      <c r="E13789" s="7" t="n">
        <f aca="false">Sens!E13788/Sens!D13788-1</f>
        <v>0.0644329896907216</v>
      </c>
      <c r="F13789" s="7" t="n">
        <f aca="false">Sens!$E$13789+(glt_fro-Sens!$E$13789)*MIN(1,(Sens!F13734-base_fy)/n_conv)</f>
        <v>0.065360824742268</v>
      </c>
      <c r="G13789" s="7" t="n">
        <f aca="false">Sens!$E$13789+(glt_fro-Sens!$E$13789)*MIN(1,(Sens!G13734-base_fy)/n_conv)</f>
        <v>0.0662886597938144</v>
      </c>
      <c r="H13789" s="7" t="n">
        <f aca="false">Sens!$E$13789+(glt_fro-Sens!$E$13789)*MIN(1,(Sens!H13734-base_fy)/n_conv)</f>
        <v>0.0672164948453608</v>
      </c>
      <c r="I13789" s="7" t="n">
        <f aca="false">Sens!$E$13789+(glt_fro-Sens!$E$13789)*MIN(1,(Sens!I13734-base_fy)/n_conv)</f>
        <v>0.0681443298969072</v>
      </c>
      <c r="J13789" s="7" t="n">
        <f aca="false">Sens!$E$13789+(glt_fro-Sens!$E$13789)*MIN(1,(Sens!J13734-base_fy)/n_conv)</f>
        <v>0.0690721649484536</v>
      </c>
      <c r="K13789" s="7" t="n">
        <f aca="false">Sens!$E$13789+(glt_fro-Sens!$E$13789)*MIN(1,(Sens!K13734-base_fy)/n_conv)</f>
        <v>0.07</v>
      </c>
    </row>
    <row r="13790" customFormat="false" ht="15" hidden="false" customHeight="false" outlineLevel="0" collapsed="false">
      <c r="A13790" s="0" t="s">
        <v>856</v>
      </c>
      <c r="B13790" s="0" t="s">
        <v>98</v>
      </c>
      <c r="D13790" s="6" t="n">
        <f aca="false">Sens!D13778+Sens!D13783+Sens!D13784+Sens!D13786+Sens!D13788</f>
        <v>218.783</v>
      </c>
      <c r="E13790" s="6" t="n">
        <f aca="false">Sens!E13778+Sens!E13783+Sens!E13784+Sens!E13786+Sens!E13788</f>
        <v>268.127</v>
      </c>
      <c r="F13790" s="6" t="n">
        <f aca="false">Sens!F13778+Sens!F13783+Sens!F13784+Sens!F13786+Sens!F13788</f>
        <v>330.145282059882</v>
      </c>
      <c r="G13790" s="6" t="n">
        <f aca="false">Sens!G13778+Sens!G13783+Sens!G13784+Sens!G13786+Sens!G13788</f>
        <v>392.656759865851</v>
      </c>
      <c r="H13790" s="6" t="n">
        <f aca="false">Sens!H13778+Sens!H13783+Sens!H13784+Sens!H13786+Sens!H13788</f>
        <v>450.544273297982</v>
      </c>
      <c r="I13790" s="6" t="n">
        <f aca="false">Sens!I13778+Sens!I13783+Sens!I13784+Sens!I13786+Sens!I13788</f>
        <v>510.69213512593</v>
      </c>
      <c r="J13790" s="6" t="n">
        <f aca="false">Sens!J13778+Sens!J13783+Sens!J13784+Sens!J13786+Sens!J13788</f>
        <v>560.416732629406</v>
      </c>
      <c r="K13790" s="6" t="n">
        <f aca="false">Sens!K13778+Sens!K13783+Sens!K13784+Sens!K13786+Sens!K13788</f>
        <v>600.132410592692</v>
      </c>
    </row>
    <row r="13791" customFormat="false" ht="17.15" hidden="false" customHeight="false" outlineLevel="0" collapsed="false">
      <c r="A13791" s="0" t="s">
        <v>1041</v>
      </c>
      <c r="B13791" s="0" t="s">
        <v>98</v>
      </c>
      <c r="D13791" s="6" t="n">
        <f aca="false">Q!L13</f>
        <v>22.171</v>
      </c>
      <c r="E13791" s="6" t="n">
        <f aca="false">Q!M13</f>
        <v>24.835</v>
      </c>
      <c r="F13791" s="6" t="n">
        <f aca="false">Q!$I$13+(Q!M13-Q!$E$13)*(1+Sens!F13792)</f>
        <v>27.5591895660247</v>
      </c>
      <c r="G13791" s="6" t="n">
        <f aca="false">Sens!F13791*(1+Sens!G13792)</f>
        <v>30.4098563144583</v>
      </c>
      <c r="H13791" s="6" t="n">
        <f aca="false">Sens!G13791*(1+Sens!H13792)</f>
        <v>33.3011792571777</v>
      </c>
      <c r="I13791" s="6" t="n">
        <f aca="false">Sens!H13791*(1+Sens!I13792)</f>
        <v>36.189023797112</v>
      </c>
      <c r="J13791" s="6" t="n">
        <f aca="false">Sens!I13791*(1+Sens!J13792)</f>
        <v>39.0247773769199</v>
      </c>
      <c r="K13791" s="6" t="n">
        <f aca="false">Sens!J13791*(1+Sens!K13792)</f>
        <v>41.7565117933043</v>
      </c>
      <c r="L13791" s="12" t="s">
        <v>1038</v>
      </c>
    </row>
    <row r="13792" customFormat="false" ht="15" hidden="false" customHeight="false" outlineLevel="0" collapsed="false">
      <c r="A13792" s="1" t="s">
        <v>1028</v>
      </c>
      <c r="B13792" s="0" t="s">
        <v>168</v>
      </c>
      <c r="E13792" s="7" t="n">
        <f aca="false">Sens!E13791/Sens!D13791-1</f>
        <v>0.120156961796942</v>
      </c>
      <c r="F13792" s="7" t="n">
        <f aca="false">Sens!$E$13792+(glt_srch-Sens!$E$13792)*MIN(1,(Sens!F13734-base_fy)/n_conv)</f>
        <v>0.111797468164118</v>
      </c>
      <c r="G13792" s="7" t="n">
        <f aca="false">Sens!$E$13792+(glt_srch-Sens!$E$13792)*MIN(1,(Sens!G13734-base_fy)/n_conv)</f>
        <v>0.103437974531295</v>
      </c>
      <c r="H13792" s="7" t="n">
        <f aca="false">Sens!$E$13792+(glt_srch-Sens!$E$13792)*MIN(1,(Sens!H13734-base_fy)/n_conv)</f>
        <v>0.095078480898471</v>
      </c>
      <c r="I13792" s="7" t="n">
        <f aca="false">Sens!$E$13792+(glt_srch-Sens!$E$13792)*MIN(1,(Sens!I13734-base_fy)/n_conv)</f>
        <v>0.0867189872656474</v>
      </c>
      <c r="J13792" s="7" t="n">
        <f aca="false">Sens!$E$13792+(glt_srch-Sens!$E$13792)*MIN(1,(Sens!J13734-base_fy)/n_conv)</f>
        <v>0.0783594936328237</v>
      </c>
      <c r="K13792" s="7" t="n">
        <f aca="false">Sens!$E$13792+(glt_srch-Sens!$E$13792)*MIN(1,(Sens!K13734-base_fy)/n_conv)</f>
        <v>0.07</v>
      </c>
    </row>
    <row r="13793" customFormat="false" ht="17.15" hidden="false" customHeight="false" outlineLevel="0" collapsed="false">
      <c r="A13793" s="0" t="s">
        <v>1042</v>
      </c>
      <c r="B13793" s="0" t="s">
        <v>98</v>
      </c>
      <c r="D13793" s="6" t="n">
        <f aca="false">Q!L14</f>
        <v>23.455</v>
      </c>
      <c r="E13793" s="6" t="n">
        <f aca="false">Q!M14</f>
        <v>21.79</v>
      </c>
      <c r="F13793" s="6" t="n">
        <f aca="false">Q!$I$14+(Q!M14-Q!$E$14)*(1+Sens!F13794)</f>
        <v>20.7520981041711</v>
      </c>
      <c r="G13793" s="6" t="n">
        <f aca="false">Sens!F13793*(1+Sens!G13794)</f>
        <v>19.9083593495882</v>
      </c>
      <c r="H13793" s="6" t="n">
        <f aca="false">Sens!G13793*(1+Sens!H13794)</f>
        <v>19.4008256265831</v>
      </c>
      <c r="I13793" s="6" t="n">
        <f aca="false">Sens!H13793*(1+Sens!I13794)</f>
        <v>19.200434522122</v>
      </c>
      <c r="J13793" s="6" t="n">
        <f aca="false">Sens!I13793*(1+Sens!J13794)</f>
        <v>19.2932782348507</v>
      </c>
      <c r="K13793" s="6" t="n">
        <f aca="false">Sens!J13793*(1+Sens!K13794)</f>
        <v>19.6791437995477</v>
      </c>
      <c r="L13793" s="12" t="s">
        <v>1038</v>
      </c>
    </row>
    <row r="13794" customFormat="false" ht="15" hidden="false" customHeight="false" outlineLevel="0" collapsed="false">
      <c r="A13794" s="1" t="s">
        <v>1028</v>
      </c>
      <c r="B13794" s="0" t="s">
        <v>168</v>
      </c>
      <c r="E13794" s="7" t="n">
        <f aca="false">Sens!E13793/Sens!D13793-1</f>
        <v>-0.0709869963760392</v>
      </c>
      <c r="F13794" s="7" t="n">
        <f aca="false">Sens!$E$13794+(glt_xbox-Sens!$E$13794)*MIN(1,(Sens!F13734-base_fy)/n_conv)</f>
        <v>-0.0558224969800327</v>
      </c>
      <c r="G13794" s="7" t="n">
        <f aca="false">Sens!$E$13794+(glt_xbox-Sens!$E$13794)*MIN(1,(Sens!G13734-base_fy)/n_conv)</f>
        <v>-0.0406579975840262</v>
      </c>
      <c r="H13794" s="7" t="n">
        <f aca="false">Sens!$E$13794+(glt_xbox-Sens!$E$13794)*MIN(1,(Sens!H13734-base_fy)/n_conv)</f>
        <v>-0.0254934981880196</v>
      </c>
      <c r="I13794" s="7" t="n">
        <f aca="false">Sens!$E$13794+(glt_xbox-Sens!$E$13794)*MIN(1,(Sens!I13734-base_fy)/n_conv)</f>
        <v>-0.0103289987920131</v>
      </c>
      <c r="J13794" s="7" t="n">
        <f aca="false">Sens!$E$13794+(glt_xbox-Sens!$E$13794)*MIN(1,(Sens!J13734-base_fy)/n_conv)</f>
        <v>0.00483550060399347</v>
      </c>
      <c r="K13794" s="7" t="n">
        <f aca="false">Sens!$E$13794+(glt_xbox-Sens!$E$13794)*MIN(1,(Sens!K13734-base_fy)/n_conv)</f>
        <v>0.02</v>
      </c>
    </row>
    <row r="13795" customFormat="false" ht="17.15" hidden="false" customHeight="false" outlineLevel="0" collapsed="false">
      <c r="A13795" s="0" t="s">
        <v>1043</v>
      </c>
      <c r="B13795" s="0" t="s">
        <v>98</v>
      </c>
      <c r="D13795" s="6" t="n">
        <f aca="false">Q!L15</f>
        <v>17.315</v>
      </c>
      <c r="E13795" s="6" t="n">
        <f aca="false">Q!M15</f>
        <v>17.087</v>
      </c>
      <c r="F13795" s="6" t="n">
        <f aca="false">Q!$I$15+(Q!M15-Q!$E$15)*(1+Sens!F13796)</f>
        <v>15.9912273250553</v>
      </c>
      <c r="G13795" s="6" t="n">
        <f aca="false">Sens!F13795*(1+Sens!G13796)</f>
        <v>15.9574562664827</v>
      </c>
      <c r="H13795" s="6" t="n">
        <f aca="false">Sens!G13795*(1+Sens!H13796)</f>
        <v>16.0119687434196</v>
      </c>
      <c r="I13795" s="6" t="n">
        <f aca="false">Sens!H13795*(1+Sens!I13796)</f>
        <v>16.1551810001948</v>
      </c>
      <c r="J13795" s="6" t="n">
        <f aca="false">Sens!I13795*(1+Sens!J13796)</f>
        <v>16.3889793892005</v>
      </c>
      <c r="K13795" s="6" t="n">
        <f aca="false">Sens!J13795*(1+Sens!K13796)</f>
        <v>16.7167589769845</v>
      </c>
      <c r="L13795" s="12" t="s">
        <v>1038</v>
      </c>
    </row>
    <row r="13796" customFormat="false" ht="15" hidden="false" customHeight="false" outlineLevel="0" collapsed="false">
      <c r="A13796" s="1" t="s">
        <v>1028</v>
      </c>
      <c r="B13796" s="0" t="s">
        <v>168</v>
      </c>
      <c r="E13796" s="7" t="n">
        <f aca="false">Sens!E13795/Sens!D13795-1</f>
        <v>-0.0131677736066995</v>
      </c>
      <c r="F13796" s="7" t="n">
        <f aca="false">Sens!$E$13796+(glt_win-Sens!$E$13796)*MIN(1,(Sens!F13734-base_fy)/n_conv)</f>
        <v>-0.00763981133891627</v>
      </c>
      <c r="G13796" s="7" t="n">
        <f aca="false">Sens!$E$13796+(glt_win-Sens!$E$13796)*MIN(1,(Sens!G13734-base_fy)/n_conv)</f>
        <v>-0.00211184907113301</v>
      </c>
      <c r="H13796" s="7" t="n">
        <f aca="false">Sens!$E$13796+(glt_win-Sens!$E$13796)*MIN(1,(Sens!H13734-base_fy)/n_conv)</f>
        <v>0.00341611319665024</v>
      </c>
      <c r="I13796" s="7" t="n">
        <f aca="false">Sens!$E$13796+(glt_win-Sens!$E$13796)*MIN(1,(Sens!I13734-base_fy)/n_conv)</f>
        <v>0.00894407546443349</v>
      </c>
      <c r="J13796" s="7" t="n">
        <f aca="false">Sens!$E$13796+(glt_win-Sens!$E$13796)*MIN(1,(Sens!J13734-base_fy)/n_conv)</f>
        <v>0.0144720377322168</v>
      </c>
      <c r="K13796" s="7" t="n">
        <f aca="false">Sens!$E$13796+(glt_win-Sens!$E$13796)*MIN(1,(Sens!K13734-base_fy)/n_conv)</f>
        <v>0.02</v>
      </c>
    </row>
    <row r="13797" customFormat="false" ht="15" hidden="false" customHeight="false" outlineLevel="0" collapsed="false">
      <c r="A13797" s="0" t="s">
        <v>870</v>
      </c>
      <c r="B13797" s="0" t="s">
        <v>98</v>
      </c>
      <c r="D13797" s="6" t="n">
        <f aca="false">Sens!D13791+Sens!D13793+Sens!D13795</f>
        <v>62.941</v>
      </c>
      <c r="E13797" s="6" t="n">
        <f aca="false">Sens!E13791+Sens!E13793+Sens!E13795</f>
        <v>63.712</v>
      </c>
      <c r="F13797" s="6" t="n">
        <f aca="false">Sens!F13791+Sens!F13793+Sens!F13795</f>
        <v>64.3025149952511</v>
      </c>
      <c r="G13797" s="6" t="n">
        <f aca="false">Sens!G13791+Sens!G13793+Sens!G13795</f>
        <v>66.2756719305292</v>
      </c>
      <c r="H13797" s="6" t="n">
        <f aca="false">Sens!H13791+Sens!H13793+Sens!H13795</f>
        <v>68.7139736271804</v>
      </c>
      <c r="I13797" s="6" t="n">
        <f aca="false">Sens!I13791+Sens!I13793+Sens!I13795</f>
        <v>71.5446393194289</v>
      </c>
      <c r="J13797" s="6" t="n">
        <f aca="false">Sens!J13791+Sens!J13793+Sens!J13795</f>
        <v>74.707035000971</v>
      </c>
      <c r="K13797" s="6" t="n">
        <f aca="false">Sens!K13791+Sens!K13793+Sens!K13795</f>
        <v>78.1524145698365</v>
      </c>
    </row>
    <row r="13798" customFormat="false" ht="15" hidden="false" customHeight="false" outlineLevel="0" collapsed="false">
      <c r="A13798" s="1" t="s">
        <v>1044</v>
      </c>
      <c r="B13798" s="0" t="s">
        <v>98</v>
      </c>
      <c r="D13798" s="6" t="n">
        <f aca="false">Sens!D13790+Sens!D13797</f>
        <v>281.724</v>
      </c>
      <c r="E13798" s="6" t="n">
        <f aca="false">Sens!E13790+Sens!E13797</f>
        <v>331.839</v>
      </c>
      <c r="F13798" s="6" t="n">
        <f aca="false">Sens!F13790+Sens!F13797</f>
        <v>394.447797055133</v>
      </c>
      <c r="G13798" s="6" t="n">
        <f aca="false">Sens!G13790+Sens!G13797</f>
        <v>458.93243179638</v>
      </c>
      <c r="H13798" s="6" t="n">
        <f aca="false">Sens!H13790+Sens!H13797</f>
        <v>519.258246925162</v>
      </c>
      <c r="I13798" s="6" t="n">
        <f aca="false">Sens!I13790+Sens!I13797</f>
        <v>582.236774445359</v>
      </c>
      <c r="J13798" s="6" t="n">
        <f aca="false">Sens!J13790+Sens!J13797</f>
        <v>635.123767630377</v>
      </c>
      <c r="K13798" s="6" t="n">
        <f aca="false">Sens!K13790+Sens!K13797</f>
        <v>678.284825162529</v>
      </c>
    </row>
    <row r="13799" customFormat="false" ht="15" hidden="false" customHeight="false" outlineLevel="0" collapsed="false">
      <c r="A13799" s="26" t="s">
        <v>1045</v>
      </c>
      <c r="B13799" s="31" t="s">
        <v>98</v>
      </c>
      <c r="C13799" s="31"/>
      <c r="D13799" s="27" t="n">
        <f aca="false">(Sens!D13778+Sens!D13783+Sens!D13784+Sens!D13786+Sens!D13788-Sens!D13790)+(Sens!D13791+Sens!D13793+Sens!D13795-Sens!D13797)+(Sens!D13790-Q!L5)+(Sens!D13797-Q!L12)+(Sens!D13778-Q!L6)+(Sens!D13783-Q!L7)</f>
        <v>0</v>
      </c>
      <c r="E13799" s="27" t="n">
        <f aca="false">(Sens!E13778+Sens!E13783+Sens!E13784+Sens!E13786+Sens!E13788-Sens!E13790)+(Sens!E13791+Sens!E13793+Sens!E13795-Sens!E13797)+(Sens!E13790-Q!M5)+(Sens!E13797-Q!M12)+(Sens!E13778-Q!M6)+(Sens!E13783-Q!M7)</f>
        <v>0</v>
      </c>
      <c r="F13799" s="27" t="n">
        <f aca="false">(Sens!F13778+Sens!F13783+Sens!F13784+Sens!F13786+Sens!F13788-Sens!F13790)+(Sens!F13791+Sens!F13793+Sens!F13795-Sens!F13797)</f>
        <v>0</v>
      </c>
      <c r="G13799" s="27" t="n">
        <f aca="false">(Sens!G13778+Sens!G13783+Sens!G13784+Sens!G13786+Sens!G13788-Sens!G13790)+(Sens!G13791+Sens!G13793+Sens!G13795-Sens!G13797)</f>
        <v>0</v>
      </c>
      <c r="H13799" s="27" t="n">
        <f aca="false">(Sens!H13778+Sens!H13783+Sens!H13784+Sens!H13786+Sens!H13788-Sens!H13790)+(Sens!H13791+Sens!H13793+Sens!H13795-Sens!H13797)</f>
        <v>0</v>
      </c>
      <c r="I13799" s="27" t="n">
        <f aca="false">(Sens!I13778+Sens!I13783+Sens!I13784+Sens!I13786+Sens!I13788-Sens!I13790)+(Sens!I13791+Sens!I13793+Sens!I13795-Sens!I13797)</f>
        <v>0</v>
      </c>
      <c r="J13799" s="27" t="n">
        <f aca="false">(Sens!J13778+Sens!J13783+Sens!J13784+Sens!J13786+Sens!J13788-Sens!J13790)+(Sens!J13791+Sens!J13793+Sens!J13795-Sens!J13797)</f>
        <v>0</v>
      </c>
      <c r="K13799" s="27" t="n">
        <f aca="false">(Sens!K13778+Sens!K13783+Sens!K13784+Sens!K13786+Sens!K13788-Sens!K13790)+(Sens!K13791+Sens!K13793+Sens!K13795-Sens!K13797)</f>
        <v>0</v>
      </c>
    </row>
    <row r="13800" customFormat="false" ht="17.15" hidden="false" customHeight="false" outlineLevel="0" collapsed="false">
      <c r="A13800" s="3" t="s">
        <v>1957</v>
      </c>
    </row>
    <row r="13801" customFormat="false" ht="15" hidden="false" customHeight="false" outlineLevel="0" collapsed="false">
      <c r="A13801" s="4" t="s">
        <v>43</v>
      </c>
      <c r="B13801" s="4" t="s">
        <v>65</v>
      </c>
      <c r="C13801" s="23" t="s">
        <v>942</v>
      </c>
      <c r="D13801" s="23" t="s">
        <v>943</v>
      </c>
      <c r="E13801" s="23" t="s">
        <v>944</v>
      </c>
      <c r="F13801" s="23" t="s">
        <v>945</v>
      </c>
      <c r="G13801" s="23" t="s">
        <v>946</v>
      </c>
      <c r="H13801" s="23" t="s">
        <v>947</v>
      </c>
      <c r="I13801" s="23" t="s">
        <v>948</v>
      </c>
      <c r="J13801" s="23" t="s">
        <v>949</v>
      </c>
      <c r="K13801" s="23" t="s">
        <v>950</v>
      </c>
      <c r="L13801" s="4" t="s">
        <v>47</v>
      </c>
    </row>
    <row r="13802" customFormat="false" ht="15" hidden="false" customHeight="false" outlineLevel="0" collapsed="false">
      <c r="A13802" s="0" t="s">
        <v>1029</v>
      </c>
      <c r="B13802" s="0" t="s">
        <v>98</v>
      </c>
      <c r="D13802" s="6" t="n">
        <f aca="false">Sens!D13778</f>
        <v>72.61</v>
      </c>
      <c r="E13802" s="6" t="n">
        <f aca="false">Sens!E13778</f>
        <v>101.938</v>
      </c>
      <c r="F13802" s="6" t="n">
        <f aca="false">Sens!F13778</f>
        <v>143.251883553698</v>
      </c>
      <c r="G13802" s="6" t="n">
        <f aca="false">Sens!G13778</f>
        <v>186.322520879442</v>
      </c>
      <c r="H13802" s="6" t="n">
        <f aca="false">Sens!H13778</f>
        <v>224.74279426379</v>
      </c>
      <c r="I13802" s="6" t="n">
        <f aca="false">Sens!I13778</f>
        <v>266.443497823359</v>
      </c>
      <c r="J13802" s="6" t="n">
        <f aca="false">Sens!J13778</f>
        <v>299.06102493502</v>
      </c>
      <c r="K13802" s="6" t="n">
        <f aca="false">Sens!K13778</f>
        <v>322.592740225023</v>
      </c>
    </row>
    <row r="13803" customFormat="false" ht="17.15" hidden="false" customHeight="false" outlineLevel="0" collapsed="false">
      <c r="A13803" s="0" t="s">
        <v>1025</v>
      </c>
      <c r="B13803" s="0" t="s">
        <v>98</v>
      </c>
      <c r="D13803" s="6" t="n">
        <f aca="false">Sens!D13775</f>
        <v>12.9359794422418</v>
      </c>
      <c r="E13803" s="6" t="n">
        <f aca="false">Sens!E13775</f>
        <v>27.8095064661409</v>
      </c>
      <c r="F13803" s="6" t="n">
        <f aca="false">Sens!F13775</f>
        <v>50.9819294352312</v>
      </c>
      <c r="G13803" s="6" t="n">
        <f aca="false">Sens!G13775</f>
        <v>76.6920436014933</v>
      </c>
      <c r="H13803" s="6" t="n">
        <f aca="false">Sens!H13775</f>
        <v>97.4495379418341</v>
      </c>
      <c r="I13803" s="6" t="n">
        <f aca="false">Sens!I13775</f>
        <v>122.083445553868</v>
      </c>
      <c r="J13803" s="6" t="n">
        <f aca="false">Sens!J13775</f>
        <v>139.249060444804</v>
      </c>
      <c r="K13803" s="6" t="n">
        <f aca="false">Sens!K13775</f>
        <v>149.995818575589</v>
      </c>
    </row>
    <row r="13804" customFormat="false" ht="17.15" hidden="false" customHeight="false" outlineLevel="0" collapsed="false">
      <c r="A13804" s="0" t="s">
        <v>1056</v>
      </c>
      <c r="B13804" s="0" t="s">
        <v>98</v>
      </c>
      <c r="D13804" s="6" t="n">
        <f aca="false">Sens!D13776</f>
        <v>59.6740205577583</v>
      </c>
      <c r="E13804" s="6" t="n">
        <f aca="false">Sens!E13776</f>
        <v>74.1284935338591</v>
      </c>
      <c r="F13804" s="6" t="n">
        <f aca="false">Sens!F13776</f>
        <v>92.2699541184664</v>
      </c>
      <c r="G13804" s="6" t="n">
        <f aca="false">Sens!G13776</f>
        <v>109.630477277949</v>
      </c>
      <c r="H13804" s="6" t="n">
        <f aca="false">Sens!H13776</f>
        <v>127.293256321956</v>
      </c>
      <c r="I13804" s="6" t="n">
        <f aca="false">Sens!I13776</f>
        <v>144.360052269491</v>
      </c>
      <c r="J13804" s="6" t="n">
        <f aca="false">Sens!J13776</f>
        <v>159.811964490216</v>
      </c>
      <c r="K13804" s="6" t="n">
        <f aca="false">Sens!K13776</f>
        <v>172.596921649434</v>
      </c>
    </row>
    <row r="13805" customFormat="false" ht="15" hidden="false" customHeight="false" outlineLevel="0" collapsed="false">
      <c r="A13805" s="0" t="s">
        <v>1036</v>
      </c>
      <c r="B13805" s="0" t="s">
        <v>98</v>
      </c>
      <c r="D13805" s="6" t="n">
        <f aca="false">Sens!D13783</f>
        <v>84.605</v>
      </c>
      <c r="E13805" s="6" t="n">
        <f aca="false">Sens!E13783</f>
        <v>100.299</v>
      </c>
      <c r="F13805" s="6" t="n">
        <f aca="false">Sens!F13783</f>
        <v>117.438354189776</v>
      </c>
      <c r="G13805" s="6" t="n">
        <f aca="false">Sens!G13783</f>
        <v>132.595360443801</v>
      </c>
      <c r="H13805" s="6" t="n">
        <f aca="false">Sens!H13783</f>
        <v>147.833811964563</v>
      </c>
      <c r="I13805" s="6" t="n">
        <f aca="false">Sens!I13783</f>
        <v>162.145665319381</v>
      </c>
      <c r="J13805" s="6" t="n">
        <f aca="false">Sens!J13783</f>
        <v>175.249327755573</v>
      </c>
      <c r="K13805" s="6" t="n">
        <f aca="false">Sens!K13783</f>
        <v>187.599280698463</v>
      </c>
    </row>
    <row r="13806" customFormat="false" ht="17.15" hidden="false" customHeight="false" outlineLevel="0" collapsed="false">
      <c r="A13806" s="0" t="s">
        <v>1057</v>
      </c>
      <c r="B13806" s="0" t="s">
        <v>98</v>
      </c>
      <c r="D13806" s="6" t="n">
        <f aca="false">Sens!D13781</f>
        <v>83.705</v>
      </c>
      <c r="E13806" s="6" t="n">
        <f aca="false">Sens!E13781</f>
        <v>95.049</v>
      </c>
      <c r="F13806" s="6" t="n">
        <f aca="false">Sens!F13781</f>
        <v>106.938354189776</v>
      </c>
      <c r="G13806" s="6" t="n">
        <f aca="false">Sens!G13781</f>
        <v>119.095360443801</v>
      </c>
      <c r="H13806" s="6" t="n">
        <f aca="false">Sens!H13781</f>
        <v>131.333811964563</v>
      </c>
      <c r="I13806" s="6" t="n">
        <f aca="false">Sens!I13781</f>
        <v>143.395665319381</v>
      </c>
      <c r="J13806" s="6" t="n">
        <f aca="false">Sens!J13781</f>
        <v>154.999327755573</v>
      </c>
      <c r="K13806" s="6" t="n">
        <f aca="false">Sens!K13781</f>
        <v>165.849280698463</v>
      </c>
    </row>
    <row r="13807" customFormat="false" ht="17.15" hidden="false" customHeight="false" outlineLevel="0" collapsed="false">
      <c r="A13807" s="0" t="s">
        <v>1058</v>
      </c>
      <c r="B13807" s="0" t="s">
        <v>98</v>
      </c>
      <c r="D13807" s="6" t="n">
        <f aca="false">Sens!D13780</f>
        <v>0.9</v>
      </c>
      <c r="E13807" s="6" t="n">
        <f aca="false">Sens!E13780</f>
        <v>5.25</v>
      </c>
      <c r="F13807" s="6" t="n">
        <f aca="false">Sens!F13780</f>
        <v>10.5</v>
      </c>
      <c r="G13807" s="6" t="n">
        <f aca="false">Sens!G13780</f>
        <v>13.5</v>
      </c>
      <c r="H13807" s="6" t="n">
        <f aca="false">Sens!H13780</f>
        <v>16.5</v>
      </c>
      <c r="I13807" s="6" t="n">
        <f aca="false">Sens!I13780</f>
        <v>18.75</v>
      </c>
      <c r="J13807" s="6" t="n">
        <f aca="false">Sens!J13780</f>
        <v>20.25</v>
      </c>
      <c r="K13807" s="6" t="n">
        <f aca="false">Sens!K13780</f>
        <v>21.75</v>
      </c>
    </row>
    <row r="13808" customFormat="false" ht="15" hidden="false" customHeight="false" outlineLevel="0" collapsed="false">
      <c r="A13808" s="0" t="s">
        <v>1037</v>
      </c>
      <c r="B13808" s="0" t="s">
        <v>98</v>
      </c>
      <c r="D13808" s="6" t="n">
        <f aca="false">Sens!D13784</f>
        <v>35.391</v>
      </c>
      <c r="E13808" s="6" t="n">
        <f aca="false">Sens!E13784</f>
        <v>37.285</v>
      </c>
      <c r="F13808" s="6" t="n">
        <f aca="false">Sens!F13784</f>
        <v>38.3851437782675</v>
      </c>
      <c r="G13808" s="6" t="n">
        <f aca="false">Sens!G13784</f>
        <v>40.0105353288615</v>
      </c>
      <c r="H13808" s="6" t="n">
        <f aca="false">Sens!H13784</f>
        <v>41.4812512033683</v>
      </c>
      <c r="I13808" s="6" t="n">
        <f aca="false">Sens!I13784</f>
        <v>42.7743107216329</v>
      </c>
      <c r="J13808" s="6" t="n">
        <f aca="false">Sens!J13784</f>
        <v>43.8687373064601</v>
      </c>
      <c r="K13808" s="6" t="n">
        <f aca="false">Sens!K13784</f>
        <v>44.7461120525893</v>
      </c>
    </row>
    <row r="13809" customFormat="false" ht="15" hidden="false" customHeight="false" outlineLevel="0" collapsed="false">
      <c r="A13809" s="0" t="s">
        <v>1039</v>
      </c>
      <c r="B13809" s="0" t="s">
        <v>98</v>
      </c>
      <c r="D13809" s="6" t="n">
        <f aca="false">Sens!D13786</f>
        <v>18.417</v>
      </c>
      <c r="E13809" s="6" t="n">
        <f aca="false">Sens!E13786</f>
        <v>20.345</v>
      </c>
      <c r="F13809" s="6" t="n">
        <f aca="false">Sens!F13786</f>
        <v>22.3161797133988</v>
      </c>
      <c r="G13809" s="6" t="n">
        <f aca="false">Sens!G13786</f>
        <v>24.3943499673233</v>
      </c>
      <c r="H13809" s="6" t="n">
        <f aca="false">Sens!H13786</f>
        <v>26.5250243109019</v>
      </c>
      <c r="I13809" s="6" t="n">
        <f aca="false">Sens!I13786</f>
        <v>28.6884573538181</v>
      </c>
      <c r="J13809" s="6" t="n">
        <f aca="false">Sens!J13786</f>
        <v>30.8624968052127</v>
      </c>
      <c r="K13809" s="6" t="n">
        <f aca="false">Sens!K13786</f>
        <v>33.0228715815776</v>
      </c>
    </row>
    <row r="13810" customFormat="false" ht="15" hidden="false" customHeight="false" outlineLevel="0" collapsed="false">
      <c r="A13810" s="0" t="s">
        <v>1040</v>
      </c>
      <c r="B13810" s="0" t="s">
        <v>98</v>
      </c>
      <c r="D13810" s="6" t="n">
        <f aca="false">Sens!D13788</f>
        <v>7.76</v>
      </c>
      <c r="E13810" s="6" t="n">
        <f aca="false">Sens!E13788</f>
        <v>8.26</v>
      </c>
      <c r="F13810" s="6" t="n">
        <f aca="false">Sens!F13788</f>
        <v>8.75372082474227</v>
      </c>
      <c r="G13810" s="6" t="n">
        <f aca="false">Sens!G13788</f>
        <v>9.33399324642364</v>
      </c>
      <c r="H13810" s="6" t="n">
        <f aca="false">Sens!H13788</f>
        <v>9.96139155535851</v>
      </c>
      <c r="I13810" s="6" t="n">
        <f aca="false">Sens!I13788</f>
        <v>10.6402039077391</v>
      </c>
      <c r="J13810" s="6" t="n">
        <f aca="false">Sens!J13788</f>
        <v>11.3751458271397</v>
      </c>
      <c r="K13810" s="6" t="n">
        <f aca="false">Sens!K13788</f>
        <v>12.1714060350394</v>
      </c>
    </row>
    <row r="13811" customFormat="false" ht="15" hidden="false" customHeight="false" outlineLevel="0" collapsed="false">
      <c r="A13811" s="0" t="s">
        <v>856</v>
      </c>
      <c r="B13811" s="0" t="s">
        <v>98</v>
      </c>
      <c r="D13811" s="6" t="n">
        <f aca="false">Sens!D13790</f>
        <v>218.783</v>
      </c>
      <c r="E13811" s="6" t="n">
        <f aca="false">Sens!E13790</f>
        <v>268.127</v>
      </c>
      <c r="F13811" s="6" t="n">
        <f aca="false">Sens!F13790</f>
        <v>330.145282059882</v>
      </c>
      <c r="G13811" s="6" t="n">
        <f aca="false">Sens!G13790</f>
        <v>392.656759865851</v>
      </c>
      <c r="H13811" s="6" t="n">
        <f aca="false">Sens!H13790</f>
        <v>450.544273297982</v>
      </c>
      <c r="I13811" s="6" t="n">
        <f aca="false">Sens!I13790</f>
        <v>510.69213512593</v>
      </c>
      <c r="J13811" s="6" t="n">
        <f aca="false">Sens!J13790</f>
        <v>560.416732629406</v>
      </c>
      <c r="K13811" s="6" t="n">
        <f aca="false">Sens!K13790</f>
        <v>600.132410592692</v>
      </c>
    </row>
    <row r="13812" customFormat="false" ht="15" hidden="false" customHeight="false" outlineLevel="0" collapsed="false">
      <c r="A13812" s="0" t="s">
        <v>1041</v>
      </c>
      <c r="B13812" s="0" t="s">
        <v>98</v>
      </c>
      <c r="D13812" s="6" t="n">
        <f aca="false">Sens!D13791</f>
        <v>22.171</v>
      </c>
      <c r="E13812" s="6" t="n">
        <f aca="false">Sens!E13791</f>
        <v>24.835</v>
      </c>
      <c r="F13812" s="6" t="n">
        <f aca="false">Sens!F13791</f>
        <v>27.5591895660247</v>
      </c>
      <c r="G13812" s="6" t="n">
        <f aca="false">Sens!G13791</f>
        <v>30.4098563144583</v>
      </c>
      <c r="H13812" s="6" t="n">
        <f aca="false">Sens!H13791</f>
        <v>33.3011792571777</v>
      </c>
      <c r="I13812" s="6" t="n">
        <f aca="false">Sens!I13791</f>
        <v>36.189023797112</v>
      </c>
      <c r="J13812" s="6" t="n">
        <f aca="false">Sens!J13791</f>
        <v>39.0247773769199</v>
      </c>
      <c r="K13812" s="6" t="n">
        <f aca="false">Sens!K13791</f>
        <v>41.7565117933043</v>
      </c>
    </row>
    <row r="13813" customFormat="false" ht="15" hidden="false" customHeight="false" outlineLevel="0" collapsed="false">
      <c r="A13813" s="0" t="s">
        <v>1042</v>
      </c>
      <c r="B13813" s="0" t="s">
        <v>98</v>
      </c>
      <c r="D13813" s="6" t="n">
        <f aca="false">Sens!D13793</f>
        <v>23.455</v>
      </c>
      <c r="E13813" s="6" t="n">
        <f aca="false">Sens!E13793</f>
        <v>21.79</v>
      </c>
      <c r="F13813" s="6" t="n">
        <f aca="false">Sens!F13793</f>
        <v>20.7520981041711</v>
      </c>
      <c r="G13813" s="6" t="n">
        <f aca="false">Sens!G13793</f>
        <v>19.9083593495882</v>
      </c>
      <c r="H13813" s="6" t="n">
        <f aca="false">Sens!H13793</f>
        <v>19.4008256265831</v>
      </c>
      <c r="I13813" s="6" t="n">
        <f aca="false">Sens!I13793</f>
        <v>19.200434522122</v>
      </c>
      <c r="J13813" s="6" t="n">
        <f aca="false">Sens!J13793</f>
        <v>19.2932782348507</v>
      </c>
      <c r="K13813" s="6" t="n">
        <f aca="false">Sens!K13793</f>
        <v>19.6791437995477</v>
      </c>
    </row>
    <row r="13814" customFormat="false" ht="15" hidden="false" customHeight="false" outlineLevel="0" collapsed="false">
      <c r="A13814" s="0" t="s">
        <v>1043</v>
      </c>
      <c r="B13814" s="0" t="s">
        <v>98</v>
      </c>
      <c r="D13814" s="6" t="n">
        <f aca="false">Sens!D13795</f>
        <v>17.315</v>
      </c>
      <c r="E13814" s="6" t="n">
        <f aca="false">Sens!E13795</f>
        <v>17.087</v>
      </c>
      <c r="F13814" s="6" t="n">
        <f aca="false">Sens!F13795</f>
        <v>15.9912273250553</v>
      </c>
      <c r="G13814" s="6" t="n">
        <f aca="false">Sens!G13795</f>
        <v>15.9574562664827</v>
      </c>
      <c r="H13814" s="6" t="n">
        <f aca="false">Sens!H13795</f>
        <v>16.0119687434196</v>
      </c>
      <c r="I13814" s="6" t="n">
        <f aca="false">Sens!I13795</f>
        <v>16.1551810001948</v>
      </c>
      <c r="J13814" s="6" t="n">
        <f aca="false">Sens!J13795</f>
        <v>16.3889793892005</v>
      </c>
      <c r="K13814" s="6" t="n">
        <f aca="false">Sens!K13795</f>
        <v>16.7167589769845</v>
      </c>
    </row>
    <row r="13815" customFormat="false" ht="15" hidden="false" customHeight="false" outlineLevel="0" collapsed="false">
      <c r="A13815" s="0" t="s">
        <v>870</v>
      </c>
      <c r="B13815" s="0" t="s">
        <v>98</v>
      </c>
      <c r="D13815" s="6" t="n">
        <f aca="false">Sens!D13797</f>
        <v>62.941</v>
      </c>
      <c r="E13815" s="6" t="n">
        <f aca="false">Sens!E13797</f>
        <v>63.712</v>
      </c>
      <c r="F13815" s="6" t="n">
        <f aca="false">Sens!F13797</f>
        <v>64.3025149952511</v>
      </c>
      <c r="G13815" s="6" t="n">
        <f aca="false">Sens!G13797</f>
        <v>66.2756719305292</v>
      </c>
      <c r="H13815" s="6" t="n">
        <f aca="false">Sens!H13797</f>
        <v>68.7139736271804</v>
      </c>
      <c r="I13815" s="6" t="n">
        <f aca="false">Sens!I13797</f>
        <v>71.5446393194289</v>
      </c>
      <c r="J13815" s="6" t="n">
        <f aca="false">Sens!J13797</f>
        <v>74.707035000971</v>
      </c>
      <c r="K13815" s="6" t="n">
        <f aca="false">Sens!K13797</f>
        <v>78.1524145698365</v>
      </c>
    </row>
    <row r="13816" customFormat="false" ht="15" hidden="false" customHeight="false" outlineLevel="0" collapsed="false">
      <c r="A13816" s="1" t="s">
        <v>1059</v>
      </c>
      <c r="B13816" s="0" t="s">
        <v>98</v>
      </c>
      <c r="D13816" s="6" t="n">
        <f aca="false">Sens!D13798</f>
        <v>281.724</v>
      </c>
      <c r="E13816" s="6" t="n">
        <f aca="false">Sens!E13798</f>
        <v>331.839</v>
      </c>
      <c r="F13816" s="6" t="n">
        <f aca="false">Sens!F13798</f>
        <v>394.447797055133</v>
      </c>
      <c r="G13816" s="6" t="n">
        <f aca="false">Sens!G13798</f>
        <v>458.93243179638</v>
      </c>
      <c r="H13816" s="6" t="n">
        <f aca="false">Sens!H13798</f>
        <v>519.258246925162</v>
      </c>
      <c r="I13816" s="6" t="n">
        <f aca="false">Sens!I13798</f>
        <v>582.236774445359</v>
      </c>
      <c r="J13816" s="6" t="n">
        <f aca="false">Sens!J13798</f>
        <v>635.123767630377</v>
      </c>
      <c r="K13816" s="6" t="n">
        <f aca="false">Sens!K13798</f>
        <v>678.284825162529</v>
      </c>
    </row>
    <row r="13817" customFormat="false" ht="15" hidden="false" customHeight="false" outlineLevel="0" collapsed="false">
      <c r="A13817" s="1" t="s">
        <v>1060</v>
      </c>
      <c r="B13817" s="0" t="s">
        <v>168</v>
      </c>
      <c r="E13817" s="7" t="n">
        <f aca="false">Sens!E13816/Sens!D13816-1</f>
        <v>0.177886867998467</v>
      </c>
      <c r="F13817" s="7" t="n">
        <f aca="false">Sens!F13816/Sens!E13816-1</f>
        <v>0.188672208676897</v>
      </c>
      <c r="G13817" s="7" t="n">
        <f aca="false">Sens!G13816/Sens!F13816-1</f>
        <v>0.16348078306604</v>
      </c>
      <c r="H13817" s="7" t="n">
        <f aca="false">Sens!H13816/Sens!G13816-1</f>
        <v>0.131448141271366</v>
      </c>
      <c r="I13817" s="7" t="n">
        <f aca="false">Sens!I13816/Sens!H13816-1</f>
        <v>0.121285560495438</v>
      </c>
      <c r="J13817" s="7" t="n">
        <f aca="false">Sens!J13816/Sens!I13816-1</f>
        <v>0.0908341683422489</v>
      </c>
      <c r="K13817" s="7" t="n">
        <f aca="false">Sens!K13816/Sens!J13816-1</f>
        <v>0.0679569238814417</v>
      </c>
    </row>
    <row r="13818" customFormat="false" ht="17.15" hidden="false" customHeight="false" outlineLevel="0" collapsed="false">
      <c r="A13818" s="26" t="s">
        <v>1061</v>
      </c>
      <c r="B13818" s="31" t="s">
        <v>98</v>
      </c>
      <c r="C13818" s="31"/>
      <c r="D13818" s="27" t="n">
        <f aca="false">(Sens!D13811+Sens!D13815-Sens!D13816)+(Sens!D13803+Sens!D13804-Sens!D13802)+(Sens!D13806+Sens!D13807-Sens!D13805)+(Sens!D13816-Q!L18)</f>
        <v>0</v>
      </c>
      <c r="E13818" s="27" t="n">
        <f aca="false">(Sens!E13811+Sens!E13815-Sens!E13816)+(Sens!E13803+Sens!E13804-Sens!E13802)+(Sens!E13806+Sens!E13807-Sens!E13805)+(Sens!E13816-Q!M18)</f>
        <v>0</v>
      </c>
      <c r="F13818" s="27" t="n">
        <f aca="false">(Sens!F13811+Sens!F13815-Sens!F13816)+(Sens!F13803+Sens!F13804-Sens!F13802)+(Sens!F13806+Sens!F13807-Sens!F13805)</f>
        <v>0</v>
      </c>
      <c r="G13818" s="27" t="n">
        <f aca="false">(Sens!G13811+Sens!G13815-Sens!G13816)+(Sens!G13803+Sens!G13804-Sens!G13802)+(Sens!G13806+Sens!G13807-Sens!G13805)</f>
        <v>0</v>
      </c>
      <c r="H13818" s="27" t="n">
        <f aca="false">(Sens!H13811+Sens!H13815-Sens!H13816)+(Sens!H13803+Sens!H13804-Sens!H13802)+(Sens!H13806+Sens!H13807-Sens!H13805)</f>
        <v>0</v>
      </c>
      <c r="I13818" s="27" t="n">
        <f aca="false">(Sens!I13811+Sens!I13815-Sens!I13816)+(Sens!I13803+Sens!I13804-Sens!I13802)+(Sens!I13806+Sens!I13807-Sens!I13805)</f>
        <v>0</v>
      </c>
      <c r="J13818" s="27" t="n">
        <f aca="false">(Sens!J13811+Sens!J13815-Sens!J13816)+(Sens!J13803+Sens!J13804-Sens!J13802)+(Sens!J13806+Sens!J13807-Sens!J13805)</f>
        <v>0</v>
      </c>
      <c r="K13818" s="27" t="n">
        <f aca="false">(Sens!K13811+Sens!K13815-Sens!K13816)+(Sens!K13803+Sens!K13804-Sens!K13802)+(Sens!K13806+Sens!K13807-Sens!K13805)</f>
        <v>0</v>
      </c>
    </row>
    <row r="13819" customFormat="false" ht="17.15" hidden="false" customHeight="false" outlineLevel="0" collapsed="false">
      <c r="A13819" s="0" t="s">
        <v>1062</v>
      </c>
      <c r="B13819" s="0" t="s">
        <v>168</v>
      </c>
      <c r="E13819" s="7" t="n">
        <f aca="false">(Q!M21+Sens!E13755+Sens!E13756+Sens!E13757+Sens!E13771-Sens!E13753)/(Q!M5-Sens!E13753)</f>
        <v>0.570957350878296</v>
      </c>
      <c r="F13819" s="7" t="n">
        <f aca="false">Sens!$E$13819+dm_seg_hi</f>
        <v>0.590957350878296</v>
      </c>
      <c r="G13819" s="7" t="n">
        <f aca="false">Sens!$E$13819+dm_seg_hi</f>
        <v>0.590957350878296</v>
      </c>
      <c r="H13819" s="7" t="n">
        <f aca="false">Sens!$E$13819+dm_seg_hi</f>
        <v>0.590957350878296</v>
      </c>
      <c r="I13819" s="7" t="n">
        <f aca="false">Sens!$E$13819+dm_seg_hi</f>
        <v>0.590957350878296</v>
      </c>
      <c r="J13819" s="7" t="n">
        <f aca="false">Sens!$E$13819+dm_seg_hi</f>
        <v>0.590957350878296</v>
      </c>
      <c r="K13819" s="7" t="n">
        <f aca="false">Sens!$E$13819+dm_seg_hi</f>
        <v>0.590957350878296</v>
      </c>
      <c r="L13819" s="12" t="s">
        <v>1063</v>
      </c>
    </row>
    <row r="13820" customFormat="false" ht="17.15" hidden="false" customHeight="false" outlineLevel="0" collapsed="false">
      <c r="A13820" s="0" t="s">
        <v>884</v>
      </c>
      <c r="B13820" s="0" t="s">
        <v>98</v>
      </c>
      <c r="D13820" s="6" t="n">
        <f aca="false">Q!L21</f>
        <v>110.814</v>
      </c>
      <c r="E13820" s="6" t="n">
        <f aca="false">Q!M21</f>
        <v>136.365</v>
      </c>
      <c r="F13820" s="6" t="n">
        <f aca="false">Q!$I$21+(Sens!F13819*(Sens!F13790-Sens!F13753)+Sens!F13753-(Sens!F13755+Sens!F13756+Sens!F13757)-Sens!F13771-Sens!F13854)*(Sens!F13790-Q!$I$5)/Sens!F13790</f>
        <v>162.394779050799</v>
      </c>
      <c r="G13820" s="6" t="n">
        <f aca="false">(Sens!G13819*(Sens!G13790-Sens!G13753)+Sens!G13753-(Sens!G13755+Sens!G13756+Sens!G13757)-Sens!G13771-Sens!G13854)</f>
        <v>167.608032093382</v>
      </c>
      <c r="H13820" s="6" t="n">
        <f aca="false">(Sens!H13819*(Sens!H13790-Sens!H13753)+Sens!H13753-(Sens!H13755+Sens!H13756+Sens!H13757)-Sens!H13771-Sens!H13854)</f>
        <v>169.812343933141</v>
      </c>
      <c r="I13820" s="6" t="n">
        <f aca="false">(Sens!I13819*(Sens!I13790-Sens!I13753)+Sens!I13753-(Sens!I13755+Sens!I13756+Sens!I13757)-Sens!I13771-Sens!I13854)</f>
        <v>179.803313977045</v>
      </c>
      <c r="J13820" s="6" t="n">
        <f aca="false">(Sens!J13819*(Sens!J13790-Sens!J13753)+Sens!J13753-(Sens!J13755+Sens!J13756+Sens!J13757)-Sens!J13771-Sens!J13854)</f>
        <v>191.278689173223</v>
      </c>
      <c r="K13820" s="6" t="n">
        <f aca="false">(Sens!K13819*(Sens!K13790-Sens!K13753)+Sens!K13753-(Sens!K13755+Sens!K13756+Sens!K13757)-Sens!K13771-Sens!K13854)</f>
        <v>204.091136704696</v>
      </c>
      <c r="L13820" s="1" t="s">
        <v>1064</v>
      </c>
    </row>
    <row r="13821" customFormat="false" ht="17.15" hidden="false" customHeight="false" outlineLevel="0" collapsed="false">
      <c r="A13821" s="0" t="s">
        <v>1065</v>
      </c>
      <c r="B13821" s="0" t="s">
        <v>168</v>
      </c>
      <c r="E13821" s="7" t="n">
        <f aca="false">Q!M22/Q!M12</f>
        <v>0.296207935710698</v>
      </c>
      <c r="F13821" s="7" t="n">
        <f aca="false">Sens!$E$13821+dm_seg_hi</f>
        <v>0.316207935710698</v>
      </c>
      <c r="G13821" s="7" t="n">
        <f aca="false">Sens!$E$13821+dm_seg_hi</f>
        <v>0.316207935710698</v>
      </c>
      <c r="H13821" s="7" t="n">
        <f aca="false">Sens!$E$13821+dm_seg_hi</f>
        <v>0.316207935710698</v>
      </c>
      <c r="I13821" s="7" t="n">
        <f aca="false">Sens!$E$13821+dm_seg_hi</f>
        <v>0.316207935710698</v>
      </c>
      <c r="J13821" s="7" t="n">
        <f aca="false">Sens!$E$13821+dm_seg_hi</f>
        <v>0.316207935710698</v>
      </c>
      <c r="K13821" s="7" t="n">
        <f aca="false">Sens!$E$13821+dm_seg_hi</f>
        <v>0.316207935710698</v>
      </c>
      <c r="L13821" s="12" t="s">
        <v>1066</v>
      </c>
    </row>
    <row r="13822" customFormat="false" ht="17.15" hidden="false" customHeight="false" outlineLevel="0" collapsed="false">
      <c r="A13822" s="0" t="s">
        <v>886</v>
      </c>
      <c r="B13822" s="0" t="s">
        <v>98</v>
      </c>
      <c r="D13822" s="6" t="n">
        <f aca="false">Q!L22</f>
        <v>17.714</v>
      </c>
      <c r="E13822" s="6" t="n">
        <f aca="false">Q!M22</f>
        <v>18.872</v>
      </c>
      <c r="F13822" s="6" t="n">
        <f aca="false">Q!$I$22+(Sens!F13797-Q!$I$12)*Sens!F13821</f>
        <v>20.7938018511101</v>
      </c>
      <c r="G13822" s="6" t="n">
        <f aca="false">Sens!G13797*Sens!G13821</f>
        <v>20.9568934089921</v>
      </c>
      <c r="H13822" s="6" t="n">
        <f aca="false">Sens!H13797*Sens!H13821</f>
        <v>21.7279037551301</v>
      </c>
      <c r="I13822" s="6" t="n">
        <f aca="false">Sens!I13797*Sens!I13821</f>
        <v>22.6229827103631</v>
      </c>
      <c r="J13822" s="6" t="n">
        <f aca="false">Sens!J13797*Sens!J13821</f>
        <v>23.6229573207239</v>
      </c>
      <c r="K13822" s="6" t="n">
        <f aca="false">Sens!K13797*Sens!K13821</f>
        <v>24.7124136819347</v>
      </c>
      <c r="L13822" s="12" t="s">
        <v>1067</v>
      </c>
    </row>
    <row r="13823" customFormat="false" ht="15" hidden="false" customHeight="false" outlineLevel="0" collapsed="false">
      <c r="A13823" s="1" t="s">
        <v>1068</v>
      </c>
      <c r="B13823" s="0" t="s">
        <v>98</v>
      </c>
      <c r="D13823" s="6" t="n">
        <f aca="false">Sens!D13820+Sens!D13822</f>
        <v>128.528</v>
      </c>
      <c r="E13823" s="6" t="n">
        <f aca="false">Sens!E13820+Sens!E13822</f>
        <v>155.237</v>
      </c>
      <c r="F13823" s="6" t="n">
        <f aca="false">Sens!F13820+Sens!F13822</f>
        <v>183.188580901909</v>
      </c>
      <c r="G13823" s="6" t="n">
        <f aca="false">Sens!G13820+Sens!G13822</f>
        <v>188.564925502375</v>
      </c>
      <c r="H13823" s="6" t="n">
        <f aca="false">Sens!H13820+Sens!H13822</f>
        <v>191.540247688271</v>
      </c>
      <c r="I13823" s="6" t="n">
        <f aca="false">Sens!I13820+Sens!I13822</f>
        <v>202.426296687408</v>
      </c>
      <c r="J13823" s="6" t="n">
        <f aca="false">Sens!J13820+Sens!J13822</f>
        <v>214.901646493947</v>
      </c>
      <c r="K13823" s="6" t="n">
        <f aca="false">Sens!K13820+Sens!K13822</f>
        <v>228.80355038663</v>
      </c>
    </row>
    <row r="13824" customFormat="false" ht="15" hidden="false" customHeight="false" outlineLevel="0" collapsed="false">
      <c r="A13824" s="26" t="s">
        <v>1069</v>
      </c>
      <c r="B13824" s="31" t="s">
        <v>98</v>
      </c>
      <c r="C13824" s="31"/>
      <c r="D13824" s="27" t="n">
        <f aca="false">Sens!D13823-Q!L23</f>
        <v>0</v>
      </c>
      <c r="E13824" s="27" t="n">
        <f aca="false">Sens!E13823-Q!M23</f>
        <v>0</v>
      </c>
      <c r="F13824" s="31"/>
      <c r="G13824" s="31"/>
      <c r="H13824" s="31"/>
      <c r="I13824" s="31"/>
      <c r="J13824" s="31"/>
      <c r="K13824" s="31"/>
    </row>
    <row r="13825" customFormat="false" ht="15" hidden="false" customHeight="false" outlineLevel="0" collapsed="false">
      <c r="A13825" s="1" t="s">
        <v>1070</v>
      </c>
      <c r="B13825" s="0" t="s">
        <v>168</v>
      </c>
      <c r="D13825" s="7" t="n">
        <f aca="false">Sens!D13823/Sens!D13816</f>
        <v>0.456219562408598</v>
      </c>
      <c r="E13825" s="7" t="n">
        <f aca="false">Sens!E13823/Sens!E13816</f>
        <v>0.467808184089272</v>
      </c>
      <c r="F13825" s="7" t="n">
        <f aca="false">Sens!F13823/Sens!F13816</f>
        <v>0.464417807044576</v>
      </c>
      <c r="G13825" s="7" t="n">
        <f aca="false">Sens!G13823/Sens!G13816</f>
        <v>0.410877315347452</v>
      </c>
      <c r="H13825" s="7" t="n">
        <f aca="false">Sens!H13823/Sens!H13816</f>
        <v>0.368872808130627</v>
      </c>
      <c r="I13825" s="7" t="n">
        <f aca="false">Sens!I13823/Sens!I13816</f>
        <v>0.347670064090748</v>
      </c>
      <c r="J13825" s="7" t="n">
        <f aca="false">Sens!J13823/Sens!J13816</f>
        <v>0.338361839765085</v>
      </c>
      <c r="K13825" s="7" t="n">
        <f aca="false">Sens!K13823/Sens!K13816</f>
        <v>0.33732665378708</v>
      </c>
    </row>
    <row r="13826" customFormat="false" ht="17.15" hidden="false" customHeight="false" outlineLevel="0" collapsed="false">
      <c r="A13826" s="1" t="s">
        <v>1071</v>
      </c>
      <c r="B13826" s="0" t="s">
        <v>98</v>
      </c>
      <c r="F13826" s="6" t="n">
        <f aca="false">Sens!F13841</f>
        <v>10.4912787979473</v>
      </c>
      <c r="G13826" s="6" t="n">
        <f aca="false">Sens!G13841</f>
        <v>27.679646674932</v>
      </c>
      <c r="H13826" s="6" t="n">
        <f aca="false">Sens!H13841</f>
        <v>46.341205501382</v>
      </c>
      <c r="I13826" s="6" t="n">
        <f aca="false">Sens!I13841</f>
        <v>63.0017778126444</v>
      </c>
      <c r="J13826" s="6" t="n">
        <f aca="false">Sens!J13841</f>
        <v>74.6061222882009</v>
      </c>
      <c r="K13826" s="6" t="n">
        <f aca="false">Sens!K13841</f>
        <v>81.3095437180232</v>
      </c>
      <c r="L13826" s="1" t="s">
        <v>1072</v>
      </c>
    </row>
    <row r="13827" customFormat="false" ht="17.15" hidden="false" customHeight="false" outlineLevel="0" collapsed="false">
      <c r="A13827" s="1" t="s">
        <v>1073</v>
      </c>
      <c r="B13827" s="0" t="s">
        <v>98</v>
      </c>
      <c r="D13827" s="6" t="n">
        <f aca="false">Sens!D13823</f>
        <v>128.528</v>
      </c>
      <c r="E13827" s="6" t="n">
        <f aca="false">Sens!E13823</f>
        <v>155.237</v>
      </c>
      <c r="F13827" s="6" t="n">
        <f aca="false">Sens!F13823+Sens!F13826</f>
        <v>193.679859699856</v>
      </c>
      <c r="G13827" s="6" t="n">
        <f aca="false">Sens!G13823+Sens!G13826</f>
        <v>216.244572177307</v>
      </c>
      <c r="H13827" s="6" t="n">
        <f aca="false">Sens!H13823+Sens!H13826</f>
        <v>237.881453189653</v>
      </c>
      <c r="I13827" s="6" t="n">
        <f aca="false">Sens!I13823+Sens!I13826</f>
        <v>265.428074500053</v>
      </c>
      <c r="J13827" s="6" t="n">
        <f aca="false">Sens!J13823+Sens!J13826</f>
        <v>289.507768782147</v>
      </c>
      <c r="K13827" s="6" t="n">
        <f aca="false">Sens!K13823+Sens!K13826</f>
        <v>310.113094104653</v>
      </c>
    </row>
    <row r="13828" customFormat="false" ht="17.15" hidden="false" customHeight="false" outlineLevel="0" collapsed="false">
      <c r="A13828" s="1" t="s">
        <v>1074</v>
      </c>
      <c r="B13828" s="0" t="s">
        <v>98</v>
      </c>
      <c r="E13828" s="6" t="n">
        <f aca="false">Sens!E13771</f>
        <v>16.3054059770833</v>
      </c>
      <c r="F13828" s="6" t="n">
        <f aca="false">Sens!F13771</f>
        <v>34.5793144783516</v>
      </c>
      <c r="G13828" s="6" t="n">
        <f aca="false">Sens!G13771</f>
        <v>60.7344906522989</v>
      </c>
      <c r="H13828" s="6" t="n">
        <f aca="false">Sens!H13771</f>
        <v>89.1000906614457</v>
      </c>
      <c r="I13828" s="6" t="n">
        <f aca="false">Sens!I13771</f>
        <v>114.231009694548</v>
      </c>
      <c r="J13828" s="6" t="n">
        <f aca="false">Sens!J13771</f>
        <v>132.015673049596</v>
      </c>
      <c r="K13828" s="6" t="n">
        <f aca="false">Sens!K13771</f>
        <v>143.012669550934</v>
      </c>
    </row>
    <row r="13829" customFormat="false" ht="17.15" hidden="false" customHeight="false" outlineLevel="0" collapsed="false">
      <c r="A13829" s="1" t="s">
        <v>1075</v>
      </c>
      <c r="B13829" s="0" t="s">
        <v>98</v>
      </c>
      <c r="E13829" s="6" t="n">
        <f aca="false">Sens!E13853</f>
        <v>22.2285940229167</v>
      </c>
      <c r="F13829" s="6" t="n">
        <f aca="false">Sens!F13853</f>
        <v>23.5883405279552</v>
      </c>
      <c r="G13829" s="6" t="n">
        <f aca="false">Sens!G13853</f>
        <v>25.347608709247</v>
      </c>
      <c r="H13829" s="6" t="n">
        <f aca="false">Sens!H13853</f>
        <v>27.4750934833125</v>
      </c>
      <c r="I13829" s="6" t="n">
        <f aca="false">Sens!I13853</f>
        <v>29.9140127982598</v>
      </c>
      <c r="J13829" s="6" t="n">
        <f aca="false">Sens!J13853</f>
        <v>32.5895147654561</v>
      </c>
      <c r="K13829" s="6" t="n">
        <f aca="false">Sens!K13853</f>
        <v>35.4171979437481</v>
      </c>
    </row>
    <row r="13830" customFormat="false" ht="17.15" hidden="false" customHeight="false" outlineLevel="0" collapsed="false">
      <c r="A13830" s="1" t="s">
        <v>1076</v>
      </c>
      <c r="B13830" s="0" t="s">
        <v>98</v>
      </c>
      <c r="D13830" s="6" t="n">
        <f aca="false">Q!L27</f>
        <v>-4.901</v>
      </c>
      <c r="E13830" s="6" t="n">
        <f aca="false">Q!M27</f>
        <v>10.697</v>
      </c>
      <c r="F13830" s="6" t="n">
        <f aca="false">Q!$I$27+oie_f*(q_per_yr-1)/q_per_yr</f>
        <v>-0.862</v>
      </c>
      <c r="G13830" s="6" t="n">
        <f aca="false">oie_f</f>
        <v>-1.2</v>
      </c>
      <c r="H13830" s="6" t="n">
        <f aca="false">oie_f</f>
        <v>-1.2</v>
      </c>
      <c r="I13830" s="6" t="n">
        <f aca="false">oie_f</f>
        <v>-1.2</v>
      </c>
      <c r="J13830" s="6" t="n">
        <f aca="false">oie_f</f>
        <v>-1.2</v>
      </c>
      <c r="K13830" s="6" t="n">
        <f aca="false">oie_f</f>
        <v>-1.2</v>
      </c>
      <c r="L13830" s="12" t="s">
        <v>1077</v>
      </c>
    </row>
    <row r="13831" customFormat="false" ht="15" hidden="false" customHeight="false" outlineLevel="0" collapsed="false">
      <c r="A13831" s="1" t="s">
        <v>1078</v>
      </c>
      <c r="B13831" s="0" t="s">
        <v>98</v>
      </c>
      <c r="D13831" s="6" t="n">
        <f aca="false">Sens!D13823+Sens!D13830</f>
        <v>123.627</v>
      </c>
      <c r="E13831" s="6" t="n">
        <f aca="false">Sens!E13823+Sens!E13830</f>
        <v>165.934</v>
      </c>
      <c r="F13831" s="6" t="n">
        <f aca="false">Sens!F13823+Sens!F13830</f>
        <v>182.326580901909</v>
      </c>
      <c r="G13831" s="6" t="n">
        <f aca="false">Sens!G13823+Sens!G13830</f>
        <v>187.364925502375</v>
      </c>
      <c r="H13831" s="6" t="n">
        <f aca="false">Sens!H13823+Sens!H13830</f>
        <v>190.340247688271</v>
      </c>
      <c r="I13831" s="6" t="n">
        <f aca="false">Sens!I13823+Sens!I13830</f>
        <v>201.226296687408</v>
      </c>
      <c r="J13831" s="6" t="n">
        <f aca="false">Sens!J13823+Sens!J13830</f>
        <v>213.701646493947</v>
      </c>
      <c r="K13831" s="6" t="n">
        <f aca="false">Sens!K13823+Sens!K13830</f>
        <v>227.60355038663</v>
      </c>
    </row>
    <row r="13832" customFormat="false" ht="15" hidden="false" customHeight="false" outlineLevel="0" collapsed="false">
      <c r="A13832" s="1" t="s">
        <v>1079</v>
      </c>
      <c r="B13832" s="0" t="s">
        <v>98</v>
      </c>
      <c r="D13832" s="6" t="n">
        <f aca="false">Q!L29</f>
        <v>21.795</v>
      </c>
      <c r="E13832" s="6" t="n">
        <f aca="false">Q!M29</f>
        <v>32.185</v>
      </c>
      <c r="F13832" s="6" t="n">
        <f aca="false">Q!$I$29+(Sens!F13831-Q!$I$28)*tax_f</f>
        <v>36.5987161803818</v>
      </c>
      <c r="G13832" s="6" t="n">
        <f aca="false">Sens!G13831*tax_f</f>
        <v>37.4729851004749</v>
      </c>
      <c r="H13832" s="6" t="n">
        <f aca="false">Sens!H13831*tax_f</f>
        <v>38.0680495376543</v>
      </c>
      <c r="I13832" s="6" t="n">
        <f aca="false">Sens!I13831*tax_f</f>
        <v>40.2452593374817</v>
      </c>
      <c r="J13832" s="6" t="n">
        <f aca="false">Sens!J13831*tax_f</f>
        <v>42.7403292987893</v>
      </c>
      <c r="K13832" s="6" t="n">
        <f aca="false">Sens!K13831*tax_f</f>
        <v>45.5207100773261</v>
      </c>
    </row>
    <row r="13833" customFormat="false" ht="15" hidden="false" customHeight="false" outlineLevel="0" collapsed="false">
      <c r="A13833" s="1" t="s">
        <v>1080</v>
      </c>
      <c r="B13833" s="0" t="s">
        <v>98</v>
      </c>
      <c r="D13833" s="6" t="n">
        <f aca="false">Sens!D13831-Sens!D13832</f>
        <v>101.832</v>
      </c>
      <c r="E13833" s="6" t="n">
        <f aca="false">Sens!E13831-Sens!E13832</f>
        <v>133.749</v>
      </c>
      <c r="F13833" s="6" t="n">
        <f aca="false">Sens!F13831-Sens!F13832</f>
        <v>145.727864721527</v>
      </c>
      <c r="G13833" s="6" t="n">
        <f aca="false">Sens!G13831-Sens!G13832</f>
        <v>149.8919404019</v>
      </c>
      <c r="H13833" s="6" t="n">
        <f aca="false">Sens!H13831-Sens!H13832</f>
        <v>152.272198150617</v>
      </c>
      <c r="I13833" s="6" t="n">
        <f aca="false">Sens!I13831-Sens!I13832</f>
        <v>160.981037349927</v>
      </c>
      <c r="J13833" s="6" t="n">
        <f aca="false">Sens!J13831-Sens!J13832</f>
        <v>170.961317195157</v>
      </c>
      <c r="K13833" s="6" t="n">
        <f aca="false">Sens!K13831-Sens!K13832</f>
        <v>182.082840309304</v>
      </c>
    </row>
    <row r="13834" customFormat="false" ht="17.15" hidden="false" customHeight="false" outlineLevel="0" collapsed="false">
      <c r="A13834" s="1" t="s">
        <v>1081</v>
      </c>
      <c r="B13834" s="1" t="s">
        <v>81</v>
      </c>
      <c r="D13834" s="15" t="n">
        <f aca="false">Q!L31</f>
        <v>7.465</v>
      </c>
      <c r="E13834" s="15" t="n">
        <f aca="false">Q!M31</f>
        <v>7.453</v>
      </c>
      <c r="F13834" s="15" t="n">
        <f aca="false">Sens!F13878</f>
        <v>7.47254699553392</v>
      </c>
      <c r="G13834" s="15" t="n">
        <f aca="false">Sens!G13878</f>
        <v>7.51659399106784</v>
      </c>
      <c r="H13834" s="15" t="n">
        <f aca="false">Sens!H13878</f>
        <v>7.55769216331572</v>
      </c>
      <c r="I13834" s="15" t="n">
        <f aca="false">Sens!I13878</f>
        <v>7.58277176059028</v>
      </c>
      <c r="J13834" s="15" t="n">
        <f aca="false">Sens!J13878</f>
        <v>7.59692117175275</v>
      </c>
      <c r="K13834" s="15" t="n">
        <f aca="false">Sens!K13878</f>
        <v>7.613355811718</v>
      </c>
    </row>
    <row r="13835" customFormat="false" ht="17.15" hidden="false" customHeight="false" outlineLevel="0" collapsed="false">
      <c r="A13835" s="0" t="s">
        <v>1082</v>
      </c>
      <c r="B13835" s="0" t="s">
        <v>75</v>
      </c>
      <c r="D13835" s="8" t="n">
        <f aca="false">Sens!D13833/Sens!D13834</f>
        <v>13.641259209645</v>
      </c>
      <c r="E13835" s="8" t="n">
        <f aca="false">Sens!E13833/Sens!E13834</f>
        <v>17.9456594659869</v>
      </c>
      <c r="F13835" s="8" t="n">
        <f aca="false">Sens!F13833/Sens!F13834</f>
        <v>19.5017662396267</v>
      </c>
      <c r="G13835" s="8" t="n">
        <f aca="false">Sens!G13833/Sens!G13834</f>
        <v>19.9414709082358</v>
      </c>
      <c r="H13835" s="8" t="n">
        <f aca="false">Sens!H13833/Sens!H13834</f>
        <v>20.1479757127091</v>
      </c>
      <c r="I13835" s="8" t="n">
        <f aca="false">Sens!I13833/Sens!I13834</f>
        <v>21.2298408065754</v>
      </c>
      <c r="J13835" s="8" t="n">
        <f aca="false">Sens!J13833/Sens!J13834</f>
        <v>22.5040267405741</v>
      </c>
      <c r="K13835" s="8" t="n">
        <f aca="false">Sens!K13833/Sens!K13834</f>
        <v>23.9162394103601</v>
      </c>
      <c r="L13835" s="1" t="s">
        <v>1083</v>
      </c>
    </row>
    <row r="13836" customFormat="false" ht="17.15" hidden="false" customHeight="false" outlineLevel="0" collapsed="false">
      <c r="A13836" s="1" t="s">
        <v>1084</v>
      </c>
      <c r="B13836" s="0" t="s">
        <v>98</v>
      </c>
      <c r="D13836" s="6" t="n">
        <f aca="false">Sens!D13833</f>
        <v>101.832</v>
      </c>
      <c r="E13836" s="6" t="n">
        <f aca="false">Sens!E13833</f>
        <v>133.749</v>
      </c>
      <c r="F13836" s="6" t="n">
        <f aca="false">Sens!F13833+Sens!F13826*(1-tax_f)</f>
        <v>154.120887759885</v>
      </c>
      <c r="G13836" s="6" t="n">
        <f aca="false">Sens!G13833+Sens!G13826*(1-tax_f)</f>
        <v>172.035657741845</v>
      </c>
      <c r="H13836" s="6" t="n">
        <f aca="false">Sens!H13833+Sens!H13826*(1-tax_f)</f>
        <v>189.345162551723</v>
      </c>
      <c r="I13836" s="6" t="n">
        <f aca="false">Sens!I13833+Sens!I13826*(1-tax_f)</f>
        <v>211.382459600042</v>
      </c>
      <c r="J13836" s="6" t="n">
        <f aca="false">Sens!J13833+Sens!J13826*(1-tax_f)</f>
        <v>230.646215025718</v>
      </c>
      <c r="K13836" s="6" t="n">
        <f aca="false">Sens!K13833+Sens!K13826*(1-tax_f)</f>
        <v>247.130475283723</v>
      </c>
    </row>
    <row r="13837" customFormat="false" ht="17.15" hidden="false" customHeight="false" outlineLevel="0" collapsed="false">
      <c r="A13837" s="0" t="s">
        <v>1085</v>
      </c>
      <c r="B13837" s="0" t="s">
        <v>75</v>
      </c>
      <c r="D13837" s="8" t="n">
        <f aca="false">Sens!D13836/Sens!D13834</f>
        <v>13.641259209645</v>
      </c>
      <c r="E13837" s="8" t="n">
        <f aca="false">Sens!E13836/Sens!E13834</f>
        <v>17.9456594659869</v>
      </c>
      <c r="F13837" s="8" t="n">
        <f aca="false">Sens!F13836/Sens!F13834</f>
        <v>20.6249472705889</v>
      </c>
      <c r="G13837" s="8" t="n">
        <f aca="false">Sens!G13836/Sens!G13834</f>
        <v>22.8874484834859</v>
      </c>
      <c r="H13837" s="8" t="n">
        <f aca="false">Sens!H13836/Sens!H13834</f>
        <v>25.0533044294639</v>
      </c>
      <c r="I13837" s="8" t="n">
        <f aca="false">Sens!I13836/Sens!I13834</f>
        <v>27.8766744238109</v>
      </c>
      <c r="J13837" s="8" t="n">
        <f aca="false">Sens!J13836/Sens!J13834</f>
        <v>30.3604854929018</v>
      </c>
      <c r="K13837" s="8" t="n">
        <f aca="false">Sens!K13836/Sens!K13834</f>
        <v>32.4601242074297</v>
      </c>
      <c r="L13837" s="1" t="s">
        <v>1086</v>
      </c>
    </row>
    <row r="13838" customFormat="false" ht="17.15" hidden="false" customHeight="false" outlineLevel="0" collapsed="false">
      <c r="A13838" s="0" t="s">
        <v>1087</v>
      </c>
      <c r="B13838" s="0" t="s">
        <v>168</v>
      </c>
      <c r="E13838" s="7" t="n">
        <f aca="false">Sens!E13837/Sens!D13837-1</f>
        <v>0.315542736208578</v>
      </c>
      <c r="F13838" s="7" t="n">
        <f aca="false">Sens!F13837/Sens!E13837-1</f>
        <v>0.149300047160721</v>
      </c>
      <c r="G13838" s="7" t="n">
        <f aca="false">Sens!G13837/Sens!F13837-1</f>
        <v>0.10969730895377</v>
      </c>
      <c r="H13838" s="7" t="n">
        <f aca="false">Sens!H13837/Sens!G13837-1</f>
        <v>0.0946307294821753</v>
      </c>
      <c r="I13838" s="7" t="n">
        <f aca="false">Sens!I13837/Sens!H13837-1</f>
        <v>0.112694515100631</v>
      </c>
      <c r="J13838" s="7" t="n">
        <f aca="false">Sens!J13837/Sens!I13837-1</f>
        <v>0.0890999776849064</v>
      </c>
      <c r="K13838" s="7" t="n">
        <f aca="false">Sens!K13837/Sens!J13837-1</f>
        <v>0.0691569545229682</v>
      </c>
    </row>
    <row r="13839" customFormat="false" ht="17.15" hidden="false" customHeight="false" outlineLevel="0" collapsed="false">
      <c r="A13839" s="0" t="s">
        <v>1007</v>
      </c>
      <c r="B13839" s="0" t="s">
        <v>98</v>
      </c>
      <c r="E13839" s="6" t="n">
        <f aca="false">Sens!E13780</f>
        <v>5.25</v>
      </c>
      <c r="F13839" s="6" t="n">
        <f aca="false">Sens!F13780</f>
        <v>10.5</v>
      </c>
      <c r="G13839" s="6" t="n">
        <f aca="false">Sens!G13780</f>
        <v>13.5</v>
      </c>
      <c r="H13839" s="6" t="n">
        <f aca="false">Sens!H13780</f>
        <v>16.5</v>
      </c>
      <c r="I13839" s="6" t="n">
        <f aca="false">Sens!I13780</f>
        <v>18.75</v>
      </c>
      <c r="J13839" s="6" t="n">
        <f aca="false">Sens!J13780</f>
        <v>20.25</v>
      </c>
      <c r="K13839" s="6" t="n">
        <f aca="false">Sens!K13780</f>
        <v>21.75</v>
      </c>
    </row>
    <row r="13840" customFormat="false" ht="17.15" hidden="false" customHeight="false" outlineLevel="0" collapsed="false">
      <c r="A13840" s="1" t="s">
        <v>1008</v>
      </c>
      <c r="B13840" s="0" t="s">
        <v>98</v>
      </c>
      <c r="F13840" s="6" t="n">
        <f aca="false">MAX(0,((Sens!E13740+Sens!F13740)/2-(shadow_base*(Sens!$D$13740+Sens!$E$13740)/2+(1-shadow_base)*Sens!$E$13740))*Sens!F13749/1000-(Sens!F13839-Sens!$E$13839)*Sens!F13819)</f>
        <v>10.4912787979473</v>
      </c>
      <c r="G13840" s="6" t="n">
        <f aca="false">MAX(0,((Sens!F13740+Sens!G13740)/2-(shadow_base*(Sens!$D$13740+Sens!$E$13740)/2+(1-shadow_base)*Sens!$E$13740))*Sens!G13749/1000-(Sens!G13839-Sens!$E$13839)*Sens!G13819)</f>
        <v>27.679646674932</v>
      </c>
      <c r="H13840" s="6" t="n">
        <f aca="false">MAX(0,((Sens!G13740+Sens!H13740)/2-(shadow_base*(Sens!$D$13740+Sens!$E$13740)/2+(1-shadow_base)*Sens!$E$13740))*Sens!H13749/1000-(Sens!H13839-Sens!$E$13839)*Sens!H13819)</f>
        <v>46.341205501382</v>
      </c>
      <c r="I13840" s="6" t="n">
        <f aca="false">MAX(0,((Sens!H13740+Sens!I13740)/2-(shadow_base*(Sens!$D$13740+Sens!$E$13740)/2+(1-shadow_base)*Sens!$E$13740))*Sens!I13749/1000-(Sens!I13839-Sens!$E$13839)*Sens!I13819)</f>
        <v>63.0017778126444</v>
      </c>
      <c r="J13840" s="6" t="n">
        <f aca="false">MAX(0,((Sens!I13740+Sens!J13740)/2-(shadow_base*(Sens!$D$13740+Sens!$E$13740)/2+(1-shadow_base)*Sens!$E$13740))*Sens!J13749/1000-(Sens!J13839-Sens!$E$13839)*Sens!J13819)</f>
        <v>74.6061222882009</v>
      </c>
      <c r="K13840" s="6" t="n">
        <f aca="false">MAX(0,((Sens!J13740+Sens!K13740)/2-(shadow_base*(Sens!$D$13740+Sens!$E$13740)/2+(1-shadow_base)*Sens!$E$13740))*Sens!K13749/1000-(Sens!K13839-Sens!$E$13839)*Sens!K13819)</f>
        <v>81.3095437180232</v>
      </c>
      <c r="L13840" s="1" t="s">
        <v>1009</v>
      </c>
    </row>
    <row r="13841" customFormat="false" ht="17.15" hidden="false" customHeight="false" outlineLevel="0" collapsed="false">
      <c r="A13841" s="1" t="s">
        <v>1010</v>
      </c>
      <c r="B13841" s="0" t="s">
        <v>98</v>
      </c>
      <c r="F13841" s="6" t="n">
        <f aca="false">IF(internal_ai_reading=2,1,0)*Sens!F13840</f>
        <v>10.4912787979473</v>
      </c>
      <c r="G13841" s="6" t="n">
        <f aca="false">IF(internal_ai_reading=2,1,0)*Sens!G13840</f>
        <v>27.679646674932</v>
      </c>
      <c r="H13841" s="6" t="n">
        <f aca="false">IF(internal_ai_reading=2,1,0)*Sens!H13840</f>
        <v>46.341205501382</v>
      </c>
      <c r="I13841" s="6" t="n">
        <f aca="false">IF(internal_ai_reading=2,1,0)*Sens!I13840</f>
        <v>63.0017778126444</v>
      </c>
      <c r="J13841" s="6" t="n">
        <f aca="false">IF(internal_ai_reading=2,1,0)*Sens!J13840</f>
        <v>74.6061222882009</v>
      </c>
      <c r="K13841" s="6" t="n">
        <f aca="false">IF(internal_ai_reading=2,1,0)*Sens!K13840</f>
        <v>81.3095437180232</v>
      </c>
    </row>
    <row r="13842" customFormat="false" ht="17.15" hidden="false" customHeight="false" outlineLevel="0" collapsed="false">
      <c r="A13842" s="0" t="s">
        <v>1011</v>
      </c>
      <c r="B13842" s="0" t="s">
        <v>98</v>
      </c>
      <c r="F13842" s="6" t="n">
        <f aca="false">Sens!F13759+Sens!F13839*Sens!F13819+Sens!F13841-Sens!F13760-Sens!F13771</f>
        <v>10.4903806853618</v>
      </c>
      <c r="G13842" s="6" t="n">
        <f aca="false">Sens!G13759+Sens!G13839*Sens!G13819+Sens!G13841-Sens!G13760-Sens!G13771</f>
        <v>16.5439313105741</v>
      </c>
      <c r="H13842" s="6" t="n">
        <f aca="false">Sens!H13759+Sens!H13839*Sens!H13819+Sens!H13841-Sens!H13760-Sens!H13771</f>
        <v>17.240416308873</v>
      </c>
      <c r="I13842" s="6" t="n">
        <f aca="false">Sens!I13759+Sens!I13839*Sens!I13819+Sens!I13841-Sens!I13760-Sens!I13771</f>
        <v>24.2343804008656</v>
      </c>
      <c r="J13842" s="6" t="n">
        <f aca="false">Sens!J13759+Sens!J13839*Sens!J13819+Sens!J13841-Sens!J13760-Sens!J13771</f>
        <v>28.9595659869181</v>
      </c>
      <c r="K13842" s="6" t="n">
        <f aca="false">Sens!K13759+Sens!K13839*Sens!K13819+Sens!K13841-Sens!K13760-Sens!K13771</f>
        <v>32.24247485251</v>
      </c>
    </row>
    <row r="13843" customFormat="false" ht="17.15" hidden="false" customHeight="false" outlineLevel="0" collapsed="false">
      <c r="A13843" s="0" t="s">
        <v>1012</v>
      </c>
      <c r="B13843" s="0" t="s">
        <v>98</v>
      </c>
      <c r="E13843" s="6" t="n">
        <f aca="false">Sens!E13739*(cxit_open+self_build*tk_cxfac)/1000*ai_net_open</f>
        <v>126.6980382</v>
      </c>
      <c r="F13843" s="6" t="n">
        <f aca="false">Sens!E13843+Sens!F13768-Sens!F13771</f>
        <v>260.572627763768</v>
      </c>
      <c r="G13843" s="6" t="n">
        <f aca="false">Sens!F13843+Sens!G13768-Sens!G13771</f>
        <v>391.782612760517</v>
      </c>
      <c r="H13843" s="6" t="n">
        <f aca="false">Sens!G13843+Sens!H13768-Sens!H13771</f>
        <v>499.488526163584</v>
      </c>
      <c r="I13843" s="6" t="n">
        <f aca="false">Sens!H13843+Sens!I13768-Sens!I13771</f>
        <v>553.872350090646</v>
      </c>
      <c r="J13843" s="6" t="n">
        <f aca="false">Sens!I13843+Sens!J13768-Sens!J13771</f>
        <v>550.78660823699</v>
      </c>
      <c r="K13843" s="6" t="n">
        <f aca="false">Sens!J13843+Sens!K13768-Sens!K13771</f>
        <v>526.736791750789</v>
      </c>
      <c r="L13843" s="1" t="s">
        <v>1013</v>
      </c>
    </row>
    <row r="13844" customFormat="false" ht="17.15" hidden="false" customHeight="false" outlineLevel="0" collapsed="false">
      <c r="A13844" s="0" t="s">
        <v>1014</v>
      </c>
      <c r="B13844" s="0" t="s">
        <v>168</v>
      </c>
      <c r="F13844" s="7" t="n">
        <f aca="false">Sens!F13842*(1-tax_f)/((Sens!E13843+Sens!F13843)/2)</f>
        <v>0.043340770607576</v>
      </c>
      <c r="G13844" s="7" t="n">
        <f aca="false">Sens!G13842*(1-tax_f)/((Sens!F13843+Sens!G13843)/2)</f>
        <v>0.0405764964433256</v>
      </c>
      <c r="H13844" s="7" t="n">
        <f aca="false">Sens!H13842*(1-tax_f)/((Sens!G13843+Sens!H13843)/2)</f>
        <v>0.0309498029157498</v>
      </c>
      <c r="I13844" s="7" t="n">
        <f aca="false">Sens!I13842*(1-tax_f)/((Sens!H13843+Sens!I13843)/2)</f>
        <v>0.0368107545243845</v>
      </c>
      <c r="J13844" s="7" t="n">
        <f aca="false">Sens!J13842*(1-tax_f)/((Sens!I13843+Sens!J13843)/2)</f>
        <v>0.0419453490416778</v>
      </c>
      <c r="K13844" s="7" t="n">
        <f aca="false">Sens!K13842*(1-tax_f)/((Sens!J13843+Sens!K13843)/2)</f>
        <v>0.047876417128947</v>
      </c>
    </row>
    <row r="13845" customFormat="false" ht="17.15" hidden="false" customHeight="false" outlineLevel="0" collapsed="false">
      <c r="A13845" s="1" t="s">
        <v>1015</v>
      </c>
      <c r="B13845" s="0" t="s">
        <v>168</v>
      </c>
      <c r="F13845" s="7" t="n">
        <f aca="false">(Sens!F13842-Sens!F13841)*(1-tax_f)/((Sens!E13843+Sens!F13843)/2)</f>
        <v>-3.71053184034466E-006</v>
      </c>
      <c r="G13845" s="7" t="n">
        <f aca="false">(Sens!G13842-Sens!G13841)*(1-tax_f)/((Sens!F13843+Sens!G13843)/2)</f>
        <v>-0.0273120279813395</v>
      </c>
      <c r="H13845" s="7" t="n">
        <f aca="false">(Sens!H13842-Sens!H13841)*(1-tax_f)/((Sens!G13843+Sens!H13843)/2)</f>
        <v>-0.0522414119279357</v>
      </c>
      <c r="I13845" s="7" t="n">
        <f aca="false">(Sens!I13842-Sens!I13841)*(1-tax_f)/((Sens!H13843+Sens!I13843)/2)</f>
        <v>-0.0588856461798906</v>
      </c>
      <c r="J13845" s="7" t="n">
        <f aca="false">(Sens!J13842-Sens!J13841)*(1-tax_f)/((Sens!I13843+Sens!J13843)/2)</f>
        <v>-0.0661149665527729</v>
      </c>
      <c r="K13845" s="7" t="n">
        <f aca="false">(Sens!K13842-Sens!K13841)*(1-tax_f)/((Sens!J13843+Sens!K13843)/2)</f>
        <v>-0.0728590304263568</v>
      </c>
    </row>
    <row r="13846" customFormat="false" ht="17.15" hidden="false" customHeight="false" outlineLevel="0" collapsed="false">
      <c r="A13846" s="1" t="s">
        <v>1016</v>
      </c>
      <c r="B13846" s="0" t="s">
        <v>168</v>
      </c>
      <c r="F13846" s="7" t="n">
        <f aca="false">(Sens!F13842-Sens!F13841+Sens!F13840)*(1-tax_f)/((Sens!E13843+Sens!F13843)/2)</f>
        <v>0.043340770607576</v>
      </c>
      <c r="G13846" s="7" t="n">
        <f aca="false">(Sens!G13842-Sens!G13841+Sens!G13840)*(1-tax_f)/((Sens!F13843+Sens!G13843)/2)</f>
        <v>0.0405764964433256</v>
      </c>
      <c r="H13846" s="7" t="n">
        <f aca="false">(Sens!H13842-Sens!H13841+Sens!H13840)*(1-tax_f)/((Sens!G13843+Sens!H13843)/2)</f>
        <v>0.0309498029157498</v>
      </c>
      <c r="I13846" s="7" t="n">
        <f aca="false">(Sens!I13842-Sens!I13841+Sens!I13840)*(1-tax_f)/((Sens!H13843+Sens!I13843)/2)</f>
        <v>0.0368107545243845</v>
      </c>
      <c r="J13846" s="7" t="n">
        <f aca="false">(Sens!J13842-Sens!J13841+Sens!J13840)*(1-tax_f)/((Sens!I13843+Sens!J13843)/2)</f>
        <v>0.0419453490416778</v>
      </c>
      <c r="K13846" s="7" t="n">
        <f aca="false">(Sens!K13842-Sens!K13841+Sens!K13840)*(1-tax_f)/((Sens!J13843+Sens!K13843)/2)</f>
        <v>0.047876417128947</v>
      </c>
    </row>
    <row r="13847" customFormat="false" ht="17.15" hidden="false" customHeight="false" outlineLevel="0" collapsed="false">
      <c r="A13847" s="1" t="s">
        <v>1017</v>
      </c>
      <c r="B13847" s="0" t="s">
        <v>168</v>
      </c>
      <c r="F13847" s="7" t="n">
        <f aca="false">Sens!F13772*(1-tax_f)/(Sens!F13758*(Sens!E13843+Sens!F13843)/2)</f>
        <v>0.098791430090569</v>
      </c>
      <c r="G13847" s="7" t="n">
        <f aca="false">Sens!G13772*(1-tax_f)/(Sens!G13758*(Sens!F13843+Sens!G13843)/2)</f>
        <v>0.0675308856427828</v>
      </c>
      <c r="H13847" s="7" t="n">
        <f aca="false">Sens!H13772*(1-tax_f)/(Sens!H13758*(Sens!G13843+Sens!H13843)/2)</f>
        <v>0.0388374979528754</v>
      </c>
      <c r="I13847" s="7" t="n">
        <f aca="false">Sens!I13772*(1-tax_f)/(Sens!I13758*(Sens!H13843+Sens!I13843)/2)</f>
        <v>0.0411035671771815</v>
      </c>
      <c r="J13847" s="7" t="n">
        <f aca="false">Sens!J13772*(1-tax_f)/(Sens!J13758*(Sens!I13843+Sens!J13843)/2)</f>
        <v>0.0445222722541192</v>
      </c>
      <c r="K13847" s="7" t="n">
        <f aca="false">Sens!K13772*(1-tax_f)/(Sens!K13758*(Sens!J13843+Sens!K13843)/2)</f>
        <v>0.0498866361688162</v>
      </c>
    </row>
    <row r="13848" customFormat="false" ht="17.15" hidden="false" customHeight="false" outlineLevel="0" collapsed="false">
      <c r="A13848" s="0" t="s">
        <v>1018</v>
      </c>
      <c r="B13848" s="0" t="s">
        <v>253</v>
      </c>
      <c r="F13848" s="7" t="n">
        <f aca="false">Sens!F13844-wacc</f>
        <v>-0.0595958203380213</v>
      </c>
      <c r="G13848" s="7" t="n">
        <f aca="false">Sens!G13844-wacc</f>
        <v>-0.0623600945022717</v>
      </c>
      <c r="H13848" s="7" t="n">
        <f aca="false">Sens!H13844-wacc</f>
        <v>-0.0719867880298475</v>
      </c>
      <c r="I13848" s="7" t="n">
        <f aca="false">Sens!I13844-wacc</f>
        <v>-0.0661258364212128</v>
      </c>
      <c r="J13848" s="7" t="n">
        <f aca="false">Sens!J13844-wacc</f>
        <v>-0.0609912419039195</v>
      </c>
      <c r="K13848" s="7" t="n">
        <f aca="false">Sens!K13844-wacc</f>
        <v>-0.0550601738166503</v>
      </c>
    </row>
    <row r="13849" customFormat="false" ht="17.15" hidden="false" customHeight="false" outlineLevel="0" collapsed="false">
      <c r="A13849" s="0" t="s">
        <v>1019</v>
      </c>
      <c r="B13849" s="0" t="s">
        <v>98</v>
      </c>
      <c r="F13849" s="6" t="n">
        <f aca="false">Sens!F13842*(1-tax_f)-wacc*(Sens!E13843+Sens!F13843)/2</f>
        <v>-11.5398565154813</v>
      </c>
      <c r="G13849" s="6" t="n">
        <f aca="false">Sens!G13842*(1-tax_f)-wacc*(Sens!F13843+Sens!G13843)/2</f>
        <v>-20.3404672240733</v>
      </c>
      <c r="H13849" s="6" t="n">
        <f aca="false">Sens!H13842*(1-tax_f)-wacc*(Sens!G13843+Sens!H13843)/2</f>
        <v>-32.079873277425</v>
      </c>
      <c r="I13849" s="6" t="n">
        <f aca="false">Sens!I13842*(1-tax_f)-wacc*(Sens!H13843+Sens!I13843)/2</f>
        <v>-34.8271844978463</v>
      </c>
      <c r="J13849" s="6" t="n">
        <f aca="false">Sens!J13842*(1-tax_f)-wacc*(Sens!I13843+Sens!J13843)/2</f>
        <v>-33.6872608743463</v>
      </c>
      <c r="K13849" s="6" t="n">
        <f aca="false">Sens!K13842*(1-tax_f)-wacc*(Sens!J13843+Sens!K13843)/2</f>
        <v>-29.6643128474176</v>
      </c>
    </row>
    <row r="13850" customFormat="false" ht="17.15" hidden="false" customHeight="false" outlineLevel="0" collapsed="false">
      <c r="A13850" s="3" t="s">
        <v>1958</v>
      </c>
    </row>
    <row r="13851" customFormat="false" ht="15" hidden="false" customHeight="false" outlineLevel="0" collapsed="false">
      <c r="A13851" s="4" t="s">
        <v>43</v>
      </c>
      <c r="B13851" s="4" t="s">
        <v>65</v>
      </c>
      <c r="C13851" s="23" t="s">
        <v>942</v>
      </c>
      <c r="D13851" s="23" t="s">
        <v>943</v>
      </c>
      <c r="E13851" s="23" t="s">
        <v>944</v>
      </c>
      <c r="F13851" s="23" t="s">
        <v>945</v>
      </c>
      <c r="G13851" s="23" t="s">
        <v>946</v>
      </c>
      <c r="H13851" s="23" t="s">
        <v>947</v>
      </c>
      <c r="I13851" s="23" t="s">
        <v>948</v>
      </c>
      <c r="J13851" s="23" t="s">
        <v>949</v>
      </c>
      <c r="K13851" s="23" t="s">
        <v>950</v>
      </c>
      <c r="L13851" s="4" t="s">
        <v>47</v>
      </c>
    </row>
    <row r="13852" customFormat="false" ht="15" hidden="false" customHeight="false" outlineLevel="0" collapsed="false">
      <c r="A13852" s="1" t="s">
        <v>1080</v>
      </c>
      <c r="B13852" s="0" t="s">
        <v>98</v>
      </c>
      <c r="F13852" s="6" t="n">
        <f aca="false">Sens!F13833</f>
        <v>145.727864721527</v>
      </c>
      <c r="G13852" s="6" t="n">
        <f aca="false">Sens!G13833</f>
        <v>149.8919404019</v>
      </c>
      <c r="H13852" s="6" t="n">
        <f aca="false">Sens!H13833</f>
        <v>152.272198150617</v>
      </c>
      <c r="I13852" s="6" t="n">
        <f aca="false">Sens!I13833</f>
        <v>160.981037349927</v>
      </c>
      <c r="J13852" s="6" t="n">
        <f aca="false">Sens!J13833</f>
        <v>170.961317195157</v>
      </c>
      <c r="K13852" s="6" t="n">
        <f aca="false">Sens!K13833</f>
        <v>182.082840309304</v>
      </c>
    </row>
    <row r="13853" customFormat="false" ht="17.15" hidden="false" customHeight="false" outlineLevel="0" collapsed="false">
      <c r="A13853" s="1" t="s">
        <v>1102</v>
      </c>
      <c r="B13853" s="0" t="s">
        <v>98</v>
      </c>
      <c r="E13853" s="6" t="n">
        <f aca="false">Q!M38-Sens!E13771</f>
        <v>22.2285940229167</v>
      </c>
      <c r="F13853" s="6" t="n">
        <f aca="false">Sens!E13853*(1-1/life_nonai)+(Sens!F13861+Sens!F13862)/life_nonai</f>
        <v>23.5883405279552</v>
      </c>
      <c r="G13853" s="6" t="n">
        <f aca="false">Sens!F13853*(1-1/life_nonai)+(Sens!G13861)/life_nonai</f>
        <v>25.347608709247</v>
      </c>
      <c r="H13853" s="6" t="n">
        <f aca="false">Sens!G13853*(1-1/life_nonai)+(Sens!H13861)/life_nonai</f>
        <v>27.4750934833125</v>
      </c>
      <c r="I13853" s="6" t="n">
        <f aca="false">Sens!H13853*(1-1/life_nonai)+(Sens!I13861)/life_nonai</f>
        <v>29.9140127982598</v>
      </c>
      <c r="J13853" s="6" t="n">
        <f aca="false">Sens!I13853*(1-1/life_nonai)+(Sens!J13861)/life_nonai</f>
        <v>32.5895147654561</v>
      </c>
      <c r="K13853" s="6" t="n">
        <f aca="false">Sens!J13853*(1-1/life_nonai)+(Sens!K13861)/life_nonai</f>
        <v>35.4171979437481</v>
      </c>
      <c r="L13853" s="12" t="s">
        <v>1103</v>
      </c>
    </row>
    <row r="13854" customFormat="false" ht="17.15" hidden="false" customHeight="false" outlineLevel="0" collapsed="false">
      <c r="A13854" s="1" t="s">
        <v>1104</v>
      </c>
      <c r="B13854" s="0" t="s">
        <v>98</v>
      </c>
      <c r="F13854" s="6" t="n">
        <f aca="false">Sens!$F$13862/life_nonai*(1-1/life_nonai)^(Sens!F13734-2027)</f>
        <v>0</v>
      </c>
      <c r="G13854" s="6" t="n">
        <f aca="false">Sens!$F$13862/life_nonai*(1-1/life_nonai)^(Sens!G13734-2027)</f>
        <v>0</v>
      </c>
      <c r="H13854" s="6" t="n">
        <f aca="false">Sens!$F$13862/life_nonai*(1-1/life_nonai)^(Sens!H13734-2027)</f>
        <v>0</v>
      </c>
      <c r="I13854" s="6" t="n">
        <f aca="false">Sens!$F$13862/life_nonai*(1-1/life_nonai)^(Sens!I13734-2027)</f>
        <v>0</v>
      </c>
      <c r="J13854" s="6" t="n">
        <f aca="false">Sens!$F$13862/life_nonai*(1-1/life_nonai)^(Sens!J13734-2027)</f>
        <v>0</v>
      </c>
      <c r="K13854" s="6" t="n">
        <f aca="false">Sens!$F$13862/life_nonai*(1-1/life_nonai)^(Sens!K13734-2027)</f>
        <v>0</v>
      </c>
      <c r="L13854" s="1" t="s">
        <v>1105</v>
      </c>
    </row>
    <row r="13855" customFormat="false" ht="17.15" hidden="false" customHeight="false" outlineLevel="0" collapsed="false">
      <c r="A13855" s="1" t="s">
        <v>1106</v>
      </c>
      <c r="B13855" s="0" t="s">
        <v>98</v>
      </c>
      <c r="E13855" s="6" t="n">
        <f aca="false">Sens!E13771+Sens!E13853</f>
        <v>38.534</v>
      </c>
      <c r="F13855" s="6" t="n">
        <f aca="false">Sens!F13771+Sens!F13853</f>
        <v>58.1676550063068</v>
      </c>
      <c r="G13855" s="6" t="n">
        <f aca="false">Sens!G13771+Sens!G13853</f>
        <v>86.0820993615459</v>
      </c>
      <c r="H13855" s="6" t="n">
        <f aca="false">Sens!H13771+Sens!H13853</f>
        <v>116.575184144758</v>
      </c>
      <c r="I13855" s="6" t="n">
        <f aca="false">Sens!I13771+Sens!I13853</f>
        <v>144.145022492808</v>
      </c>
      <c r="J13855" s="6" t="n">
        <f aca="false">Sens!J13771+Sens!J13853</f>
        <v>164.605187815052</v>
      </c>
      <c r="K13855" s="6" t="n">
        <f aca="false">Sens!K13771+Sens!K13853</f>
        <v>178.429867494682</v>
      </c>
    </row>
    <row r="13856" customFormat="false" ht="17.15" hidden="false" customHeight="false" outlineLevel="0" collapsed="false">
      <c r="A13856" s="1" t="s">
        <v>1107</v>
      </c>
      <c r="B13856" s="0" t="s">
        <v>98</v>
      </c>
      <c r="F13856" s="6" t="n">
        <f aca="false">Sens!F13798*sbc_r</f>
        <v>14.7454787486369</v>
      </c>
      <c r="G13856" s="6" t="n">
        <f aca="false">Sens!G13798*sbc_r</f>
        <v>17.1560811611477</v>
      </c>
      <c r="H13856" s="6" t="n">
        <f aca="false">Sens!H13798*sbc_r</f>
        <v>19.4112161412813</v>
      </c>
      <c r="I13856" s="6" t="n">
        <f aca="false">Sens!I13798*sbc_r</f>
        <v>21.7655163708747</v>
      </c>
      <c r="J13856" s="6" t="n">
        <f aca="false">Sens!J13798*sbc_r</f>
        <v>23.7425689489627</v>
      </c>
      <c r="K13856" s="6" t="n">
        <f aca="false">Sens!K13798*sbc_r</f>
        <v>25.3560408997772</v>
      </c>
    </row>
    <row r="13857" customFormat="false" ht="17.15" hidden="false" customHeight="false" outlineLevel="0" collapsed="false">
      <c r="A13857" s="1" t="s">
        <v>1108</v>
      </c>
      <c r="B13857" s="0" t="s">
        <v>98</v>
      </c>
      <c r="F13857" s="6" t="n">
        <f aca="false">wc27-wc26q1</f>
        <v>-4.677</v>
      </c>
      <c r="G13857" s="6" t="n">
        <f aca="false">wc_f</f>
        <v>0</v>
      </c>
      <c r="H13857" s="6" t="n">
        <f aca="false">wc_f</f>
        <v>0</v>
      </c>
      <c r="I13857" s="6" t="n">
        <f aca="false">wc_f</f>
        <v>0</v>
      </c>
      <c r="J13857" s="6" t="n">
        <f aca="false">wc_f</f>
        <v>0</v>
      </c>
      <c r="K13857" s="6" t="n">
        <f aca="false">wc_f</f>
        <v>0</v>
      </c>
      <c r="L13857" s="12" t="s">
        <v>1109</v>
      </c>
    </row>
    <row r="13858" customFormat="false" ht="17.15" hidden="false" customHeight="false" outlineLevel="0" collapsed="false">
      <c r="A13858" s="0" t="s">
        <v>1110</v>
      </c>
      <c r="B13858" s="0" t="s">
        <v>98</v>
      </c>
      <c r="F13858" s="6" t="n">
        <f aca="false">Q!$I$35-Q!$I$26-Q!$I$38-Q!$I$39</f>
        <v>6.493</v>
      </c>
      <c r="L13858" s="1" t="s">
        <v>1111</v>
      </c>
    </row>
    <row r="13859" customFormat="false" ht="15" hidden="false" customHeight="false" outlineLevel="0" collapsed="false">
      <c r="A13859" s="1" t="s">
        <v>908</v>
      </c>
      <c r="B13859" s="0" t="s">
        <v>98</v>
      </c>
      <c r="E13859" s="6" t="n">
        <f aca="false">Q!M35</f>
        <v>182.935</v>
      </c>
      <c r="F13859" s="6" t="n">
        <f aca="false">Sens!F13852+Sens!F13855+Sens!F13856+Sens!F13857+Sens!F13858</f>
        <v>220.456998476471</v>
      </c>
      <c r="G13859" s="6" t="n">
        <f aca="false">Sens!G13852+Sens!G13855+Sens!G13856+Sens!G13857</f>
        <v>253.130120924593</v>
      </c>
      <c r="H13859" s="6" t="n">
        <f aca="false">Sens!H13852+Sens!H13855+Sens!H13856+Sens!H13857</f>
        <v>288.258598436657</v>
      </c>
      <c r="I13859" s="6" t="n">
        <f aca="false">Sens!I13852+Sens!I13855+Sens!I13856+Sens!I13857</f>
        <v>326.89157621361</v>
      </c>
      <c r="J13859" s="6" t="n">
        <f aca="false">Sens!J13852+Sens!J13855+Sens!J13856+Sens!J13857</f>
        <v>359.309073959172</v>
      </c>
      <c r="K13859" s="6" t="n">
        <f aca="false">Sens!K13852+Sens!K13855+Sens!K13856+Sens!K13857</f>
        <v>385.868748703764</v>
      </c>
    </row>
    <row r="13860" customFormat="false" ht="17.15" hidden="false" customHeight="false" outlineLevel="0" collapsed="false">
      <c r="A13860" s="0" t="s">
        <v>1112</v>
      </c>
      <c r="B13860" s="0" t="s">
        <v>98</v>
      </c>
      <c r="F13860" s="6" t="n">
        <f aca="false">Sens!F13768</f>
        <v>168.45390404212</v>
      </c>
      <c r="G13860" s="6" t="n">
        <f aca="false">Sens!G13768</f>
        <v>191.944475649048</v>
      </c>
      <c r="H13860" s="6" t="n">
        <f aca="false">Sens!H13768</f>
        <v>196.806004064512</v>
      </c>
      <c r="I13860" s="6" t="n">
        <f aca="false">Sens!I13768</f>
        <v>168.61483362161</v>
      </c>
      <c r="J13860" s="6" t="n">
        <f aca="false">Sens!J13768</f>
        <v>128.92993119594</v>
      </c>
      <c r="K13860" s="6" t="n">
        <f aca="false">Sens!K13768</f>
        <v>118.962853064733</v>
      </c>
    </row>
    <row r="13861" customFormat="false" ht="17.15" hidden="false" customHeight="false" outlineLevel="0" collapsed="false">
      <c r="A13861" s="1" t="s">
        <v>1113</v>
      </c>
      <c r="B13861" s="0" t="s">
        <v>98</v>
      </c>
      <c r="E13861" s="6" t="n">
        <f aca="false">Sens!E13776*cx_azo+Sens!E13783*cx_m365+Sens!E13784*cx_lic+(Sens!E13786+Sens!E13788)*cx_ind+Sens!E13791*cx_srch+(Sens!E13793+Sens!E13795)*cx_dev</f>
        <v>30.1846587067718</v>
      </c>
      <c r="F13861" s="6" t="n">
        <f aca="false">Sens!F13776*cx_azo+Sens!F13783*cx_m365+Sens!F13784*cx_lic+(Sens!F13786+Sens!F13788)*cx_ind+Sens!F13791*cx_srch+(Sens!F13793+Sens!F13795)*cx_dev</f>
        <v>35.826059073302</v>
      </c>
      <c r="G13861" s="6" t="n">
        <f aca="false">Sens!G13776*cx_azo+Sens!G13783*cx_m365+Sens!G13784*cx_lic+(Sens!G13786+Sens!G13788)*cx_ind+Sens!G13791*cx_srch+(Sens!G13793+Sens!G13795)*cx_dev</f>
        <v>41.1810223408732</v>
      </c>
      <c r="H13861" s="6" t="n">
        <f aca="false">Sens!H13776*cx_azo+Sens!H13783*cx_m365+Sens!H13784*cx_lic+(Sens!H13786+Sens!H13788)*cx_ind+Sens!H13791*cx_srch+(Sens!H13793+Sens!H13795)*cx_dev</f>
        <v>46.6224564499022</v>
      </c>
      <c r="I13861" s="6" t="n">
        <f aca="false">Sens!I13776*cx_azo+Sens!I13783*cx_m365+Sens!I13784*cx_lic+(Sens!I13786+Sens!I13788)*cx_ind+Sens!I13791*cx_srch+(Sens!I13793+Sens!I13795)*cx_dev</f>
        <v>51.8642866327854</v>
      </c>
      <c r="J13861" s="6" t="n">
        <f aca="false">Sens!J13776*cx_azo+Sens!J13783*cx_m365+Sens!J13784*cx_lic+(Sens!J13786+Sens!J13788)*cx_ind+Sens!J13791*cx_srch+(Sens!J13793+Sens!J13795)*cx_dev</f>
        <v>56.6690324702225</v>
      </c>
      <c r="K13861" s="6" t="n">
        <f aca="false">Sens!K13776*cx_azo+Sens!K13783*cx_m365+Sens!K13784*cx_lic+(Sens!K13786+Sens!K13788)*cx_ind+Sens!K13791*cx_srch+(Sens!K13793+Sens!K13795)*cx_dev</f>
        <v>60.866346548376</v>
      </c>
    </row>
    <row r="13862" customFormat="false" ht="17.15" hidden="false" customHeight="false" outlineLevel="0" collapsed="false">
      <c r="A13862" s="0" t="s">
        <v>1114</v>
      </c>
      <c r="B13862" s="0" t="s">
        <v>98</v>
      </c>
      <c r="F13862" s="6" t="n">
        <f aca="false">Sens!F13766</f>
        <v>0</v>
      </c>
      <c r="L13862" s="1" t="s">
        <v>1115</v>
      </c>
    </row>
    <row r="13863" customFormat="false" ht="17.15" hidden="false" customHeight="false" outlineLevel="0" collapsed="false">
      <c r="A13863" s="1" t="s">
        <v>1116</v>
      </c>
      <c r="B13863" s="0" t="s">
        <v>98</v>
      </c>
      <c r="E13863" s="6" t="n">
        <f aca="false">Q!M43</f>
        <v>145.3</v>
      </c>
      <c r="F13863" s="6" t="n">
        <f aca="false">Sens!F13860+Sens!F13861+Sens!F13862</f>
        <v>204.279963115422</v>
      </c>
      <c r="G13863" s="6" t="n">
        <f aca="false">Sens!G13860+Sens!G13861</f>
        <v>233.125497989921</v>
      </c>
      <c r="H13863" s="6" t="n">
        <f aca="false">Sens!H13860+Sens!H13861</f>
        <v>243.428460514415</v>
      </c>
      <c r="I13863" s="6" t="n">
        <f aca="false">Sens!I13860+Sens!I13861</f>
        <v>220.479120254396</v>
      </c>
      <c r="J13863" s="6" t="n">
        <f aca="false">Sens!J13860+Sens!J13861</f>
        <v>185.598963666163</v>
      </c>
      <c r="K13863" s="6" t="n">
        <f aca="false">Sens!K13860+Sens!K13861</f>
        <v>179.829199613109</v>
      </c>
      <c r="L13863" s="1" t="s">
        <v>1117</v>
      </c>
    </row>
    <row r="13864" customFormat="false" ht="15" hidden="false" customHeight="false" outlineLevel="0" collapsed="false">
      <c r="A13864" s="1" t="s">
        <v>1118</v>
      </c>
      <c r="B13864" s="0" t="s">
        <v>98</v>
      </c>
      <c r="E13864" s="6" t="n">
        <f aca="false">fl_liab</f>
        <v>66.594</v>
      </c>
      <c r="F13864" s="6" t="n">
        <f aca="false">Sens!E13864-Sens!F13865</f>
        <v>62.46973</v>
      </c>
      <c r="G13864" s="6" t="n">
        <f aca="false">Sens!F13864-Sens!G13865</f>
        <v>57.98686785</v>
      </c>
      <c r="H13864" s="6" t="n">
        <f aca="false">Sens!G13864-Sens!H13865</f>
        <v>53.92827690325</v>
      </c>
      <c r="I13864" s="6" t="n">
        <f aca="false">Sens!H13864-Sens!I13865</f>
        <v>49.7850493638962</v>
      </c>
      <c r="J13864" s="6" t="n">
        <f aca="false">Sens!I13864-Sens!J13865</f>
        <v>45.4823765852716</v>
      </c>
      <c r="K13864" s="6" t="n">
        <f aca="false">Sens!J13864-Sens!K13865</f>
        <v>40.9860835316088</v>
      </c>
    </row>
    <row r="13865" customFormat="false" ht="15" hidden="false" customHeight="false" outlineLevel="0" collapsed="false">
      <c r="A13865" s="1" t="s">
        <v>1119</v>
      </c>
      <c r="B13865" s="0" t="s">
        <v>98</v>
      </c>
      <c r="F13865" s="6" t="n">
        <f aca="false">fl_pay_27-Sens!E13864*fl_rate</f>
        <v>4.12427</v>
      </c>
      <c r="G13865" s="6" t="n">
        <f aca="false">fl_pay_28-Sens!F13864*fl_rate</f>
        <v>4.48286215</v>
      </c>
      <c r="H13865" s="6" t="n">
        <f aca="false">fl_pay_29-Sens!G13864*fl_rate</f>
        <v>4.05859094675</v>
      </c>
      <c r="I13865" s="6" t="n">
        <f aca="false">fl_pay_30-Sens!H13864*fl_rate</f>
        <v>4.14322753935375</v>
      </c>
      <c r="J13865" s="6" t="n">
        <f aca="false">fl_pay_31-Sens!I13864*fl_rate</f>
        <v>4.30267277862467</v>
      </c>
      <c r="K13865" s="6" t="n">
        <f aca="false">fl_pay_32-Sens!J13864*fl_rate</f>
        <v>4.49629305366278</v>
      </c>
    </row>
    <row r="13866" customFormat="false" ht="17.15" hidden="false" customHeight="false" outlineLevel="0" collapsed="false">
      <c r="A13866" s="1" t="s">
        <v>1120</v>
      </c>
      <c r="B13866" s="0" t="s">
        <v>98</v>
      </c>
      <c r="E13866" s="6" t="n">
        <f aca="false">Q!M35-Q!M36-Q!M44</f>
        <v>63.886</v>
      </c>
      <c r="F13866" s="6" t="n">
        <f aca="false">Sens!F13859-Sens!F13863-Sens!F13865</f>
        <v>12.0527653610491</v>
      </c>
      <c r="G13866" s="6" t="n">
        <f aca="false">Sens!G13859-Sens!G13863-Sens!G13865</f>
        <v>15.5217607846719</v>
      </c>
      <c r="H13866" s="6" t="n">
        <f aca="false">Sens!H13859-Sens!H13863-Sens!H13865</f>
        <v>40.771546975492</v>
      </c>
      <c r="I13866" s="6" t="n">
        <f aca="false">Sens!I13859-Sens!I13863-Sens!I13865</f>
        <v>102.26922841986</v>
      </c>
      <c r="J13866" s="6" t="n">
        <f aca="false">Sens!J13859-Sens!J13863-Sens!J13865</f>
        <v>169.407437514385</v>
      </c>
      <c r="K13866" s="6" t="n">
        <f aca="false">Sens!K13859-Sens!K13863-Sens!K13865</f>
        <v>201.543256036992</v>
      </c>
      <c r="L13866" s="12" t="s">
        <v>1121</v>
      </c>
    </row>
    <row r="13867" customFormat="false" ht="15" hidden="false" customHeight="false" outlineLevel="0" collapsed="false">
      <c r="A13867" s="1" t="s">
        <v>1122</v>
      </c>
      <c r="B13867" s="0" t="s">
        <v>75</v>
      </c>
      <c r="F13867" s="8" t="n">
        <f aca="false">dps_27</f>
        <v>3.85</v>
      </c>
      <c r="G13867" s="8" t="n">
        <f aca="false">Sens!F13867*(1+dps_g)</f>
        <v>4.158</v>
      </c>
      <c r="H13867" s="8" t="n">
        <f aca="false">Sens!G13867*(1+dps_g)</f>
        <v>4.49064</v>
      </c>
      <c r="I13867" s="8" t="n">
        <f aca="false">Sens!H13867*(1+dps_g)</f>
        <v>4.8498912</v>
      </c>
      <c r="J13867" s="8" t="n">
        <f aca="false">Sens!I13867*(1+dps_g)</f>
        <v>5.237882496</v>
      </c>
      <c r="K13867" s="8" t="n">
        <f aca="false">Sens!J13867*(1+dps_g)</f>
        <v>5.65691309568</v>
      </c>
    </row>
    <row r="13868" customFormat="false" ht="17.15" hidden="false" customHeight="false" outlineLevel="0" collapsed="false">
      <c r="A13868" s="1" t="s">
        <v>1123</v>
      </c>
      <c r="B13868" s="0" t="s">
        <v>98</v>
      </c>
      <c r="E13868" s="6" t="n">
        <f aca="false">Q!M41</f>
        <v>26.445</v>
      </c>
      <c r="F13868" s="6" t="n">
        <f aca="false">Sens!F13867*Sens!E13877</f>
        <v>28.59395</v>
      </c>
      <c r="G13868" s="6" t="n">
        <f aca="false">Sens!G13867*Sens!F13877</f>
        <v>31.0606508148601</v>
      </c>
      <c r="H13868" s="6" t="n">
        <f aca="false">Sens!H13867*Sens!G13877</f>
        <v>33.7475816800489</v>
      </c>
      <c r="I13868" s="6" t="n">
        <f aca="false">Sens!I13867*Sens!H13877</f>
        <v>36.627786438295</v>
      </c>
      <c r="J13868" s="6" t="n">
        <f aca="false">Sens!J13867*Sens!I13877</f>
        <v>39.6259072387512</v>
      </c>
      <c r="K13868" s="6" t="n">
        <f aca="false">Sens!K13867*Sens!J13877</f>
        <v>42.8827340802296</v>
      </c>
      <c r="L13868" s="1" t="s">
        <v>1124</v>
      </c>
    </row>
    <row r="13869" customFormat="false" ht="15" hidden="false" customHeight="false" outlineLevel="0" collapsed="false">
      <c r="A13869" s="1" t="s">
        <v>1125</v>
      </c>
      <c r="B13869" s="0" t="s">
        <v>98</v>
      </c>
      <c r="E13869" s="6" t="n">
        <f aca="false">Sens!E13866-Sens!E13868</f>
        <v>37.441</v>
      </c>
      <c r="F13869" s="6" t="n">
        <f aca="false">Sens!F13866-Sens!F13868</f>
        <v>-16.5411846389509</v>
      </c>
      <c r="G13869" s="6" t="n">
        <f aca="false">Sens!G13866-Sens!G13868</f>
        <v>-15.5388900301881</v>
      </c>
      <c r="H13869" s="6" t="n">
        <f aca="false">Sens!H13866-Sens!H13868</f>
        <v>7.02396529544309</v>
      </c>
      <c r="I13869" s="6" t="n">
        <f aca="false">Sens!I13866-Sens!I13868</f>
        <v>65.6414419815651</v>
      </c>
      <c r="J13869" s="6" t="n">
        <f aca="false">Sens!J13866-Sens!J13868</f>
        <v>129.781530275633</v>
      </c>
      <c r="K13869" s="6" t="n">
        <f aca="false">Sens!K13866-Sens!K13868</f>
        <v>158.660521956763</v>
      </c>
    </row>
    <row r="13870" customFormat="false" ht="15" hidden="false" customHeight="false" outlineLevel="0" collapsed="false">
      <c r="A13870" s="1" t="s">
        <v>1126</v>
      </c>
      <c r="B13870" s="0" t="s">
        <v>98</v>
      </c>
      <c r="F13870" s="6" t="n">
        <f aca="false">debt_mat_27</f>
        <v>9.25</v>
      </c>
      <c r="G13870" s="6" t="n">
        <f aca="false">debt_mat_28</f>
        <v>0</v>
      </c>
      <c r="H13870" s="6" t="n">
        <f aca="false">debt_mat_29</f>
        <v>2.001</v>
      </c>
      <c r="I13870" s="6" t="n">
        <f aca="false">debt_mat_30</f>
        <v>0</v>
      </c>
      <c r="J13870" s="6" t="n">
        <f aca="false">debt_mat_31</f>
        <v>0.5</v>
      </c>
      <c r="K13870" s="6" t="n">
        <f aca="false">debt_mat_32</f>
        <v>0</v>
      </c>
    </row>
    <row r="13871" customFormat="false" ht="15" hidden="false" customHeight="false" outlineLevel="0" collapsed="false">
      <c r="A13871" s="1" t="s">
        <v>1127</v>
      </c>
      <c r="B13871" s="0" t="s">
        <v>98</v>
      </c>
      <c r="E13871" s="6" t="n">
        <f aca="false">Q!M40</f>
        <v>22.271</v>
      </c>
      <c r="F13871" s="6" t="n">
        <f aca="false">MAX(0,MIN(bb_target,Sens!E13873+Sens!F13869-Sens!F13870-min_cash))</f>
        <v>1.05181536104915</v>
      </c>
      <c r="G13871" s="6" t="n">
        <f aca="false">MAX(0,MIN(bb_target,Sens!F13873+Sens!G13869-Sens!G13870-min_cash))</f>
        <v>0</v>
      </c>
      <c r="H13871" s="6" t="n">
        <f aca="false">MAX(0,MIN(bb_target,Sens!G13873+Sens!H13869-Sens!H13870-min_cash))</f>
        <v>5.02296529544309</v>
      </c>
      <c r="I13871" s="6" t="n">
        <f aca="false">MAX(0,MIN(bb_target,Sens!H13873+Sens!I13869-Sens!I13870-min_cash))</f>
        <v>22.271</v>
      </c>
      <c r="J13871" s="6" t="n">
        <f aca="false">MAX(0,MIN(bb_target,Sens!I13873+Sens!J13869-Sens!J13870-min_cash))</f>
        <v>22.271</v>
      </c>
      <c r="K13871" s="6" t="n">
        <f aca="false">MAX(0,MIN(bb_target,Sens!J13873+Sens!K13869-Sens!K13870-min_cash))</f>
        <v>22.271</v>
      </c>
    </row>
    <row r="13872" customFormat="false" ht="15" hidden="false" customHeight="false" outlineLevel="0" collapsed="false">
      <c r="A13872" s="1" t="s">
        <v>1128</v>
      </c>
      <c r="B13872" s="0" t="s">
        <v>98</v>
      </c>
      <c r="F13872" s="6" t="n">
        <f aca="false">MAX(0,min_cash-(Sens!E13873+Sens!F13869-Sens!F13870-Sens!F13871))</f>
        <v>0</v>
      </c>
      <c r="G13872" s="6" t="n">
        <f aca="false">MAX(0,min_cash-(Sens!F13873+Sens!G13869-Sens!G13870-Sens!G13871))</f>
        <v>15.5388900301881</v>
      </c>
      <c r="H13872" s="6" t="n">
        <f aca="false">MAX(0,min_cash-(Sens!G13873+Sens!H13869-Sens!H13870-Sens!H13871))</f>
        <v>0</v>
      </c>
      <c r="I13872" s="6" t="n">
        <f aca="false">MAX(0,min_cash-(Sens!H13873+Sens!I13869-Sens!I13870-Sens!I13871))</f>
        <v>0</v>
      </c>
      <c r="J13872" s="6" t="n">
        <f aca="false">MAX(0,min_cash-(Sens!I13873+Sens!J13869-Sens!J13870-Sens!J13871))</f>
        <v>0</v>
      </c>
      <c r="K13872" s="6" t="n">
        <f aca="false">MAX(0,min_cash-(Sens!J13873+Sens!K13869-Sens!K13870-Sens!K13871))</f>
        <v>0</v>
      </c>
    </row>
    <row r="13873" customFormat="false" ht="15" hidden="false" customHeight="false" outlineLevel="0" collapsed="false">
      <c r="A13873" s="1" t="s">
        <v>1129</v>
      </c>
      <c r="B13873" s="0" t="s">
        <v>98</v>
      </c>
      <c r="E13873" s="6" t="n">
        <f aca="false">cash_open</f>
        <v>76.843</v>
      </c>
      <c r="F13873" s="6" t="n">
        <f aca="false">Sens!E13873+Sens!F13869-Sens!F13870-Sens!F13871+Sens!F13872</f>
        <v>50</v>
      </c>
      <c r="G13873" s="6" t="n">
        <f aca="false">Sens!F13873+Sens!G13869-Sens!G13870-Sens!G13871+Sens!G13872</f>
        <v>50</v>
      </c>
      <c r="H13873" s="6" t="n">
        <f aca="false">Sens!G13873+Sens!H13869-Sens!H13870-Sens!H13871+Sens!H13872</f>
        <v>50</v>
      </c>
      <c r="I13873" s="6" t="n">
        <f aca="false">Sens!H13873+Sens!I13869-Sens!I13870-Sens!I13871+Sens!I13872</f>
        <v>93.3704419815651</v>
      </c>
      <c r="J13873" s="6" t="n">
        <f aca="false">Sens!I13873+Sens!J13869-Sens!J13870-Sens!J13871+Sens!J13872</f>
        <v>200.380972257198</v>
      </c>
      <c r="K13873" s="6" t="n">
        <f aca="false">Sens!J13873+Sens!K13869-Sens!K13870-Sens!K13871+Sens!K13872</f>
        <v>336.770494213961</v>
      </c>
    </row>
    <row r="13874" customFormat="false" ht="15" hidden="false" customHeight="false" outlineLevel="0" collapsed="false">
      <c r="A13874" s="1" t="s">
        <v>1130</v>
      </c>
      <c r="B13874" s="0" t="s">
        <v>98</v>
      </c>
      <c r="E13874" s="6" t="n">
        <f aca="false">debt_face</f>
        <v>46.136</v>
      </c>
      <c r="F13874" s="6" t="n">
        <f aca="false">Sens!E13874-Sens!F13870+Sens!F13872</f>
        <v>36.886</v>
      </c>
      <c r="G13874" s="6" t="n">
        <f aca="false">Sens!F13874-Sens!G13870+Sens!G13872</f>
        <v>52.4248900301881</v>
      </c>
      <c r="H13874" s="6" t="n">
        <f aca="false">Sens!G13874-Sens!H13870+Sens!H13872</f>
        <v>50.4238900301882</v>
      </c>
      <c r="I13874" s="6" t="n">
        <f aca="false">Sens!H13874-Sens!I13870+Sens!I13872</f>
        <v>50.4238900301882</v>
      </c>
      <c r="J13874" s="6" t="n">
        <f aca="false">Sens!I13874-Sens!J13870+Sens!J13872</f>
        <v>49.9238900301882</v>
      </c>
      <c r="K13874" s="6" t="n">
        <f aca="false">Sens!J13874-Sens!K13870+Sens!K13872</f>
        <v>49.9238900301882</v>
      </c>
    </row>
    <row r="13875" customFormat="false" ht="15" hidden="false" customHeight="false" outlineLevel="0" collapsed="false">
      <c r="A13875" s="1" t="s">
        <v>1131</v>
      </c>
      <c r="B13875" s="0" t="s">
        <v>98</v>
      </c>
      <c r="E13875" s="6" t="n">
        <f aca="false">Sens!E13873-Sens!E13874</f>
        <v>30.707</v>
      </c>
      <c r="F13875" s="6" t="n">
        <f aca="false">Sens!F13873-Sens!F13874</f>
        <v>13.114</v>
      </c>
      <c r="G13875" s="6" t="n">
        <f aca="false">Sens!G13873-Sens!G13874</f>
        <v>-2.42489003018815</v>
      </c>
      <c r="H13875" s="6" t="n">
        <f aca="false">Sens!H13873-Sens!H13874</f>
        <v>-0.423890030188147</v>
      </c>
      <c r="I13875" s="6" t="n">
        <f aca="false">Sens!I13873-Sens!I13874</f>
        <v>42.946551951377</v>
      </c>
      <c r="J13875" s="6" t="n">
        <f aca="false">Sens!J13873-Sens!J13874</f>
        <v>150.45708222701</v>
      </c>
      <c r="K13875" s="6" t="n">
        <f aca="false">Sens!K13873-Sens!K13874</f>
        <v>286.846604183773</v>
      </c>
    </row>
    <row r="13876" customFormat="false" ht="15" hidden="false" customHeight="false" outlineLevel="0" collapsed="false">
      <c r="A13876" s="1" t="s">
        <v>1132</v>
      </c>
      <c r="B13876" s="0" t="s">
        <v>75</v>
      </c>
      <c r="F13876" s="30" t="n">
        <f aca="false">px*(1+bb_g)^(Sens!F13734-base_fy-mid_yr)</f>
        <v>551.84177959629</v>
      </c>
      <c r="G13876" s="30" t="n">
        <f aca="false">px*(1+bb_g)^(Sens!G13734-base_fy-mid_yr)</f>
        <v>595.989121963993</v>
      </c>
      <c r="H13876" s="30" t="n">
        <f aca="false">px*(1+bb_g)^(Sens!H13734-base_fy-mid_yr)</f>
        <v>643.668251721112</v>
      </c>
      <c r="I13876" s="30" t="n">
        <f aca="false">px*(1+bb_g)^(Sens!I13734-base_fy-mid_yr)</f>
        <v>695.161711858801</v>
      </c>
      <c r="J13876" s="30" t="n">
        <f aca="false">px*(1+bb_g)^(Sens!J13734-base_fy-mid_yr)</f>
        <v>750.774648807506</v>
      </c>
      <c r="K13876" s="30" t="n">
        <f aca="false">px*(1+bb_g)^(Sens!K13734-base_fy-mid_yr)</f>
        <v>810.836620712106</v>
      </c>
    </row>
    <row r="13877" customFormat="false" ht="15" hidden="false" customHeight="false" outlineLevel="0" collapsed="false">
      <c r="A13877" s="1" t="s">
        <v>1133</v>
      </c>
      <c r="B13877" s="1" t="s">
        <v>81</v>
      </c>
      <c r="E13877" s="15" t="n">
        <f aca="false">sh_out26</f>
        <v>7.427</v>
      </c>
      <c r="F13877" s="15" t="n">
        <f aca="false">Sens!E13877+sh_iss-Sens!F13871/Sens!F13876</f>
        <v>7.47009399106784</v>
      </c>
      <c r="G13877" s="15" t="n">
        <f aca="false">Sens!F13877+sh_iss-Sens!G13871/Sens!G13876</f>
        <v>7.51509399106784</v>
      </c>
      <c r="H13877" s="15" t="n">
        <f aca="false">Sens!G13877+sh_iss-Sens!H13871/Sens!H13876</f>
        <v>7.55229033556361</v>
      </c>
      <c r="I13877" s="15" t="n">
        <f aca="false">Sens!H13877+sh_iss-Sens!I13871/Sens!I13876</f>
        <v>7.56525318561694</v>
      </c>
      <c r="J13877" s="15" t="n">
        <f aca="false">Sens!I13877+sh_iss-Sens!J13871/Sens!J13876</f>
        <v>7.58058915788855</v>
      </c>
      <c r="K13877" s="15" t="n">
        <f aca="false">Sens!J13877+sh_iss-Sens!K13871/Sens!K13876</f>
        <v>7.59812246554745</v>
      </c>
    </row>
    <row r="13878" customFormat="false" ht="15" hidden="false" customHeight="false" outlineLevel="0" collapsed="false">
      <c r="A13878" s="1" t="s">
        <v>1134</v>
      </c>
      <c r="B13878" s="1" t="s">
        <v>81</v>
      </c>
      <c r="E13878" s="15" t="n">
        <f aca="false">sh_dil26</f>
        <v>7.453</v>
      </c>
      <c r="F13878" s="15" t="n">
        <f aca="false">(Sens!E13877+Sens!F13877)/2+dil_gap</f>
        <v>7.47254699553392</v>
      </c>
      <c r="G13878" s="15" t="n">
        <f aca="false">(Sens!F13877+Sens!G13877)/2+dil_gap</f>
        <v>7.51659399106784</v>
      </c>
      <c r="H13878" s="15" t="n">
        <f aca="false">(Sens!G13877+Sens!H13877)/2+dil_gap</f>
        <v>7.55769216331572</v>
      </c>
      <c r="I13878" s="15" t="n">
        <f aca="false">(Sens!H13877+Sens!I13877)/2+dil_gap</f>
        <v>7.58277176059028</v>
      </c>
      <c r="J13878" s="15" t="n">
        <f aca="false">(Sens!I13877+Sens!J13877)/2+dil_gap</f>
        <v>7.59692117175275</v>
      </c>
      <c r="K13878" s="15" t="n">
        <f aca="false">(Sens!J13877+Sens!K13877)/2+dil_gap</f>
        <v>7.613355811718</v>
      </c>
    </row>
    <row r="13879" customFormat="false" ht="17.15" hidden="false" customHeight="false" outlineLevel="0" collapsed="false">
      <c r="A13879" s="1" t="s">
        <v>1135</v>
      </c>
      <c r="B13879" s="0" t="s">
        <v>98</v>
      </c>
      <c r="C13879" s="6" t="n">
        <f aca="false">SUM(Sens!F13869:J13869)</f>
        <v>170.366862883502</v>
      </c>
    </row>
    <row r="13880" customFormat="false" ht="15" hidden="false" customHeight="false" outlineLevel="0" collapsed="false">
      <c r="A13880" s="26" t="s">
        <v>1100</v>
      </c>
      <c r="B13880" s="31" t="s">
        <v>98</v>
      </c>
      <c r="C13880" s="27" t="n">
        <f aca="false">Sens!$C$13879-(Sens!F13869+Sens!G13869+Sens!H13869+Sens!I13869+Sens!J13869)</f>
        <v>0</v>
      </c>
      <c r="D13880" s="31"/>
      <c r="E13880" s="31"/>
      <c r="F13880" s="31"/>
      <c r="G13880" s="31"/>
      <c r="H13880" s="31"/>
      <c r="I13880" s="31"/>
      <c r="J13880" s="31"/>
      <c r="K13880" s="31"/>
    </row>
    <row r="13881" customFormat="false" ht="17.15" hidden="false" customHeight="false" outlineLevel="0" collapsed="false">
      <c r="A13881" s="1" t="s">
        <v>1094</v>
      </c>
      <c r="B13881" s="1" t="s">
        <v>1136</v>
      </c>
      <c r="C13881" s="33" t="str">
        <f aca="false">IF(SUM(Sens!F13872:J13872)&gt;0.05,"需要舉債 "&amp;TEXT(SUM(Sens!F13872:J13872),"0.0")&amp;" 十億美元","不需舉債")&amp;"；"&amp;IF(SUM(Sens!F13871:J13871)&lt;COUNT(Sens!F13871:J13871)*bb_target-0.05,"回購較每年 "&amp;TEXT(bb_target,"0.0")&amp;" 的目標少 "&amp;TEXT(COUNT(Sens!F13871:J13871)*bb_target-SUM(Sens!F13871:J13871),"0.0")&amp;" 十億美元（"&amp;TEXT(COUNTIF(Sens!F13871:J13871,"&lt;"&amp;(bb_target-0.05)),"0")&amp;" 年減少）","回購不減")</f>
        <v>需要舉債 15.5 十億美元；回購較每年 22.3 的目標少 60.7 十億美元（3 年減少）</v>
      </c>
    </row>
    <row r="13882" customFormat="false" ht="17.15" hidden="false" customHeight="false" outlineLevel="0" collapsed="false">
      <c r="A13882" s="3" t="s">
        <v>1959</v>
      </c>
    </row>
    <row r="13883" customFormat="false" ht="15" hidden="false" customHeight="false" outlineLevel="0" collapsed="false">
      <c r="A13883" s="4" t="s">
        <v>43</v>
      </c>
      <c r="B13883" s="4" t="s">
        <v>65</v>
      </c>
      <c r="C13883" s="23" t="s">
        <v>942</v>
      </c>
      <c r="D13883" s="23" t="s">
        <v>943</v>
      </c>
      <c r="E13883" s="23" t="s">
        <v>944</v>
      </c>
      <c r="F13883" s="23" t="s">
        <v>945</v>
      </c>
      <c r="G13883" s="23" t="s">
        <v>946</v>
      </c>
      <c r="H13883" s="23" t="s">
        <v>947</v>
      </c>
      <c r="I13883" s="23" t="s">
        <v>948</v>
      </c>
      <c r="J13883" s="23" t="s">
        <v>949</v>
      </c>
      <c r="K13883" s="23" t="s">
        <v>950</v>
      </c>
      <c r="L13883" s="4" t="s">
        <v>47</v>
      </c>
    </row>
    <row r="13884" customFormat="false" ht="17.15" hidden="false" customHeight="false" outlineLevel="0" collapsed="false">
      <c r="A13884" s="1" t="s">
        <v>1216</v>
      </c>
      <c r="B13884" s="1" t="s">
        <v>279</v>
      </c>
      <c r="F13884" s="8" t="n">
        <f aca="false">(1-v_off)*mid_yr</f>
        <v>0.373972602739726</v>
      </c>
      <c r="G13884" s="8" t="n">
        <f aca="false">Sens!G13734-base_fy-mid_yr-v_off</f>
        <v>1.24794520547945</v>
      </c>
      <c r="H13884" s="8" t="n">
        <f aca="false">Sens!H13734-base_fy-mid_yr-v_off</f>
        <v>2.24794520547945</v>
      </c>
      <c r="I13884" s="8" t="n">
        <f aca="false">Sens!I13734-base_fy-mid_yr-v_off</f>
        <v>3.24794520547945</v>
      </c>
      <c r="J13884" s="8" t="n">
        <f aca="false">Sens!J13734-base_fy-mid_yr-v_off</f>
        <v>4.24794520547945</v>
      </c>
      <c r="K13884" s="8" t="n">
        <f aca="false">Sens!K13734-base_fy-mid_yr-v_off</f>
        <v>5.24794520547945</v>
      </c>
      <c r="L13884" s="12" t="s">
        <v>1217</v>
      </c>
    </row>
    <row r="13885" customFormat="false" ht="15" hidden="false" customHeight="false" outlineLevel="0" collapsed="false">
      <c r="A13885" s="1" t="s">
        <v>1218</v>
      </c>
      <c r="B13885" s="1" t="s">
        <v>279</v>
      </c>
      <c r="F13885" s="8" t="n">
        <f aca="false">Sens!F13734-base_fy-v_off</f>
        <v>0.747945205479452</v>
      </c>
      <c r="G13885" s="8" t="n">
        <f aca="false">Sens!G13734-base_fy-v_off</f>
        <v>1.74794520547945</v>
      </c>
      <c r="H13885" s="8" t="n">
        <f aca="false">Sens!H13734-base_fy-v_off</f>
        <v>2.74794520547945</v>
      </c>
      <c r="I13885" s="8" t="n">
        <f aca="false">Sens!I13734-base_fy-v_off</f>
        <v>3.74794520547945</v>
      </c>
      <c r="J13885" s="8" t="n">
        <f aca="false">Sens!J13734-base_fy-v_off</f>
        <v>4.74794520547945</v>
      </c>
      <c r="K13885" s="8" t="n">
        <f aca="false">Sens!K13734-base_fy-v_off</f>
        <v>5.74794520547945</v>
      </c>
    </row>
    <row r="13886" customFormat="false" ht="15" hidden="false" customHeight="false" outlineLevel="0" collapsed="false">
      <c r="A13886" s="1" t="s">
        <v>1219</v>
      </c>
      <c r="B13886" s="0" t="s">
        <v>229</v>
      </c>
      <c r="F13886" s="15" t="n">
        <f aca="false">1/(1+wacc)^Sens!F13884</f>
        <v>0.964022703286649</v>
      </c>
      <c r="G13886" s="15" t="n">
        <f aca="false">1/(1+wacc)^Sens!G13884</f>
        <v>0.884910302296739</v>
      </c>
      <c r="H13886" s="15" t="n">
        <f aca="false">1/(1+wacc)^Sens!H13884</f>
        <v>0.802322009770358</v>
      </c>
      <c r="I13886" s="15" t="n">
        <f aca="false">1/(1+wacc)^Sens!I13884</f>
        <v>0.727441646561469</v>
      </c>
      <c r="J13886" s="15" t="n">
        <f aca="false">1/(1+wacc)^Sens!J13884</f>
        <v>0.659549834988973</v>
      </c>
      <c r="K13886" s="15" t="n">
        <f aca="false">1/(1+wacc)^Sens!K13884</f>
        <v>0.597994336576966</v>
      </c>
    </row>
    <row r="13887" customFormat="false" ht="17.15" hidden="false" customHeight="false" outlineLevel="0" collapsed="false">
      <c r="A13887" s="1" t="s">
        <v>1220</v>
      </c>
      <c r="B13887" s="0" t="s">
        <v>98</v>
      </c>
      <c r="F13887" s="6" t="n">
        <f aca="false">Q!$I$35-Q!$I$39-Q!$I$43</f>
        <v>9.666</v>
      </c>
      <c r="L13887" s="12" t="s">
        <v>1221</v>
      </c>
    </row>
    <row r="13888" customFormat="false" ht="17.15" hidden="false" customHeight="false" outlineLevel="0" collapsed="false">
      <c r="A13888" s="1" t="s">
        <v>1222</v>
      </c>
      <c r="B13888" s="0" t="s">
        <v>98</v>
      </c>
      <c r="F13888" s="6" t="n">
        <f aca="false">Sens!F13859-Sens!F13856-Sens!F13863+Sens!F13841*(1-tax_f)*(1-v_off)-Sens!F13887</f>
        <v>-1.95692204656941</v>
      </c>
      <c r="G13888" s="6" t="n">
        <f aca="false">Sens!G13859-Sens!G13856-Sens!G13863+Sens!G13841*(1-tax_f)</f>
        <v>24.9922591134698</v>
      </c>
      <c r="H13888" s="6" t="n">
        <f aca="false">Sens!H13859-Sens!H13856-Sens!H13863+Sens!H13841*(1-tax_f)</f>
        <v>62.4918861820663</v>
      </c>
      <c r="I13888" s="6" t="n">
        <f aca="false">Sens!I13859-Sens!I13856-Sens!I13863+Sens!I13841*(1-tax_f)</f>
        <v>135.048361838455</v>
      </c>
      <c r="J13888" s="6" t="n">
        <f aca="false">Sens!J13859-Sens!J13856-Sens!J13863+Sens!J13841*(1-tax_f)</f>
        <v>209.652439174607</v>
      </c>
      <c r="K13888" s="6" t="n">
        <f aca="false">Sens!K13859-Sens!K13856-Sens!K13863+Sens!K13841*(1-tax_f)</f>
        <v>245.731143165296</v>
      </c>
      <c r="L13888" s="1" t="s">
        <v>1223</v>
      </c>
    </row>
    <row r="13889" customFormat="false" ht="15" hidden="false" customHeight="false" outlineLevel="0" collapsed="false">
      <c r="A13889" s="1" t="s">
        <v>1224</v>
      </c>
      <c r="B13889" s="0" t="s">
        <v>98</v>
      </c>
      <c r="F13889" s="6" t="n">
        <f aca="false">Sens!F13888*Sens!F13886</f>
        <v>-1.88651728145508</v>
      </c>
      <c r="G13889" s="6" t="n">
        <f aca="false">Sens!G13888*Sens!G13886</f>
        <v>22.115907567179</v>
      </c>
      <c r="H13889" s="6" t="n">
        <f aca="false">Sens!H13888*Sens!H13886</f>
        <v>50.1386157159359</v>
      </c>
      <c r="I13889" s="6" t="n">
        <f aca="false">Sens!I13888*Sens!I13886</f>
        <v>98.2398027011945</v>
      </c>
      <c r="J13889" s="6" t="n">
        <f aca="false">Sens!J13888*Sens!J13886</f>
        <v>138.276231662648</v>
      </c>
      <c r="K13889" s="6" t="n">
        <f aca="false">Sens!K13888*Sens!K13886</f>
        <v>146.945831933431</v>
      </c>
    </row>
    <row r="13890" customFormat="false" ht="17.15" hidden="false" customHeight="false" outlineLevel="0" collapsed="false">
      <c r="A13890" s="1" t="s">
        <v>1225</v>
      </c>
      <c r="B13890" s="0" t="s">
        <v>98</v>
      </c>
      <c r="C13890" s="6" t="n">
        <f aca="false">SUM(Sens!F13889:K13889)</f>
        <v>453.829872298933</v>
      </c>
    </row>
    <row r="13891" customFormat="false" ht="17.15" hidden="false" customHeight="false" outlineLevel="0" collapsed="false">
      <c r="A13891" s="1" t="s">
        <v>1226</v>
      </c>
      <c r="B13891" s="0" t="s">
        <v>98</v>
      </c>
      <c r="C13891" s="6" t="n">
        <f aca="false">Sens!K13827*(1+g_tv)*(1-tax_f)</f>
        <v>255.533189542234</v>
      </c>
    </row>
    <row r="13892" customFormat="false" ht="17.15" hidden="false" customHeight="false" outlineLevel="0" collapsed="false">
      <c r="A13892" s="1" t="s">
        <v>1227</v>
      </c>
      <c r="B13892" s="0" t="s">
        <v>98</v>
      </c>
      <c r="C13892" s="6" t="n">
        <f aca="false">Sens!$C$13891*(1-g_tv/(wacc+ronic_prem))</f>
        <v>181.060199754584</v>
      </c>
    </row>
    <row r="13893" customFormat="false" ht="17.15" hidden="false" customHeight="false" outlineLevel="0" collapsed="false">
      <c r="A13893" s="1" t="s">
        <v>1228</v>
      </c>
      <c r="B13893" s="0" t="s">
        <v>98</v>
      </c>
      <c r="C13893" s="6" t="n">
        <f aca="false">Sens!$C$13892/(wacc-g_tv)</f>
        <v>2482.43299292169</v>
      </c>
    </row>
    <row r="13894" customFormat="false" ht="15" hidden="false" customHeight="false" outlineLevel="0" collapsed="false">
      <c r="A13894" s="1" t="s">
        <v>1229</v>
      </c>
      <c r="B13894" s="0" t="s">
        <v>98</v>
      </c>
      <c r="C13894" s="6" t="n">
        <f aca="false">Sens!$C$13893/(1+wacc)^Sens!K13885</f>
        <v>1413.51145725517</v>
      </c>
    </row>
    <row r="13895" customFormat="false" ht="17.15" hidden="false" customHeight="false" outlineLevel="0" collapsed="false">
      <c r="A13895" s="0" t="s">
        <v>1230</v>
      </c>
      <c r="B13895" s="0" t="s">
        <v>98</v>
      </c>
      <c r="C13895" s="6" t="n">
        <f aca="false">Sens!$C$13890+Sens!$C$13894</f>
        <v>1867.3413295541</v>
      </c>
    </row>
    <row r="13896" customFormat="false" ht="15" hidden="false" customHeight="false" outlineLevel="0" collapsed="false">
      <c r="A13896" s="1" t="s">
        <v>1145</v>
      </c>
      <c r="B13896" s="0" t="s">
        <v>168</v>
      </c>
      <c r="C13896" s="7" t="n">
        <f aca="false">Sens!$C$13894/Sens!$C$13895</f>
        <v>0.756964693537147</v>
      </c>
    </row>
    <row r="13897" customFormat="false" ht="17.15" hidden="false" customHeight="false" outlineLevel="0" collapsed="false">
      <c r="A13897" s="1" t="s">
        <v>1231</v>
      </c>
      <c r="B13897" s="0" t="s">
        <v>98</v>
      </c>
      <c r="C13897" s="6" t="n">
        <f aca="false">Sens!$C$13895+cash_val-debt_val-fl_val+oai_v</f>
        <v>1983.1923295541</v>
      </c>
    </row>
    <row r="13898" customFormat="false" ht="17.15" hidden="false" customHeight="false" outlineLevel="0" collapsed="false">
      <c r="A13898" s="0" t="s">
        <v>1153</v>
      </c>
      <c r="B13898" s="0" t="s">
        <v>75</v>
      </c>
      <c r="C13898" s="5" t="n">
        <f aca="false">Sens!$C$13897/shd_val</f>
        <v>266.343315814411</v>
      </c>
    </row>
    <row r="13899" customFormat="false" ht="15" hidden="false" customHeight="false" outlineLevel="0" collapsed="false">
      <c r="A13899" s="1" t="s">
        <v>1232</v>
      </c>
      <c r="B13899" s="0" t="s">
        <v>75</v>
      </c>
      <c r="C13899" s="8" t="n">
        <f aca="false">div_rem27+Sens!G13867*roll_div_q/q_per_yr</f>
        <v>3.9795</v>
      </c>
    </row>
    <row r="13900" customFormat="false" ht="17.15" hidden="false" customHeight="false" outlineLevel="0" collapsed="false">
      <c r="A13900" s="0" t="s">
        <v>1233</v>
      </c>
      <c r="B13900" s="0" t="s">
        <v>75</v>
      </c>
      <c r="C13900" s="5" t="n">
        <f aca="false">Sens!$C$13898*(1+wacc)^t_roll-Sens!$C$13899</f>
        <v>292.075960346285</v>
      </c>
    </row>
    <row r="13901" customFormat="false" ht="17.15" hidden="false" customHeight="false" outlineLevel="0" collapsed="false">
      <c r="A13901" s="1" t="s">
        <v>1234</v>
      </c>
      <c r="B13901" s="0" t="s">
        <v>168</v>
      </c>
      <c r="F13901" s="7" t="n">
        <f aca="false">Sens!F13853/(Sens!F13798-Sens!F13753)</f>
        <v>0.068677393452264</v>
      </c>
      <c r="G13901" s="7" t="n">
        <f aca="false">Sens!G13853/(Sens!G13798-Sens!G13753)</f>
        <v>0.0663132664471956</v>
      </c>
      <c r="H13901" s="7" t="n">
        <f aca="false">Sens!H13853/(Sens!H13798-Sens!H13753)</f>
        <v>0.0651363826734039</v>
      </c>
      <c r="I13901" s="7" t="n">
        <f aca="false">Sens!I13853/(Sens!I13798-Sens!I13753)</f>
        <v>0.0650087936347709</v>
      </c>
      <c r="J13901" s="7" t="n">
        <f aca="false">Sens!J13853/(Sens!J13798-Sens!J13753)</f>
        <v>0.0657212684841778</v>
      </c>
      <c r="K13901" s="7" t="n">
        <f aca="false">Sens!K13853/(Sens!K13798-Sens!K13753)</f>
        <v>0.0670413306015285</v>
      </c>
    </row>
    <row r="13902" customFormat="false" ht="17.15" hidden="false" customHeight="false" outlineLevel="0" collapsed="false">
      <c r="A13902" s="0" t="s">
        <v>1235</v>
      </c>
      <c r="B13902" s="0" t="s">
        <v>98</v>
      </c>
      <c r="F13902" s="6" t="n">
        <f aca="false">Sens!F13783*(al_m365+Sens!F13901+sbc_r)</f>
        <v>82.9185219618347</v>
      </c>
      <c r="G13902" s="6" t="n">
        <f aca="false">Sens!G13783*(al_m365+Sens!G13901+sbc_r)</f>
        <v>93.3068052157631</v>
      </c>
      <c r="H13902" s="6" t="n">
        <f aca="false">Sens!H13783*(al_m365+Sens!H13901+sbc_r)</f>
        <v>103.856057136159</v>
      </c>
      <c r="I13902" s="6" t="n">
        <f aca="false">Sens!I13783*(al_m365+Sens!I13901+sbc_r)</f>
        <v>113.889717587147</v>
      </c>
      <c r="J13902" s="6" t="n">
        <f aca="false">Sens!J13783*(al_m365+Sens!J13901+sbc_r)</f>
        <v>123.218477864124</v>
      </c>
      <c r="K13902" s="6" t="n">
        <f aca="false">Sens!K13783*(al_m365+Sens!K13901+sbc_r)</f>
        <v>132.149420086311</v>
      </c>
      <c r="L13902" s="12" t="s">
        <v>1236</v>
      </c>
    </row>
    <row r="13903" customFormat="false" ht="17.15" hidden="false" customHeight="false" outlineLevel="0" collapsed="false">
      <c r="A13903" s="0" t="s">
        <v>1237</v>
      </c>
      <c r="B13903" s="0" t="s">
        <v>98</v>
      </c>
      <c r="F13903" s="6" t="n">
        <f aca="false">Sens!F13784*(al_lic+Sens!F13901+sbc_r)</f>
        <v>32.8599853992256</v>
      </c>
      <c r="G13903" s="6" t="n">
        <f aca="false">Sens!G13784*(al_lic+Sens!G13901+sbc_r)</f>
        <v>34.1568280697879</v>
      </c>
      <c r="H13903" s="6" t="n">
        <f aca="false">Sens!H13784*(al_lic+Sens!H13901+sbc_r)</f>
        <v>35.3635535007213</v>
      </c>
      <c r="I13903" s="6" t="n">
        <f aca="false">Sens!I13784*(al_lic+Sens!I13901+sbc_r)</f>
        <v>36.4604537346553</v>
      </c>
      <c r="J13903" s="6" t="n">
        <f aca="false">Sens!J13784*(al_lic+Sens!J13901+sbc_r)</f>
        <v>37.4245888933574</v>
      </c>
      <c r="K13903" s="6" t="n">
        <f aca="false">Sens!K13784*(al_lic+Sens!K13901+sbc_r)</f>
        <v>38.2321483186439</v>
      </c>
    </row>
    <row r="13904" customFormat="false" ht="17.15" hidden="false" customHeight="false" outlineLevel="0" collapsed="false">
      <c r="A13904" s="0" t="s">
        <v>1238</v>
      </c>
      <c r="B13904" s="0" t="s">
        <v>98</v>
      </c>
      <c r="F13904" s="6" t="n">
        <f aca="false">Sens!F13786*(al_ind+Sens!F13901+sbc_r)</f>
        <v>9.06170747885803</v>
      </c>
      <c r="G13904" s="6" t="n">
        <f aca="false">Sens!G13786*(al_ind+Sens!G13901+sbc_r)</f>
        <v>9.8478979082138</v>
      </c>
      <c r="H13904" s="6" t="n">
        <f aca="false">Sens!H13786*(al_ind+Sens!H13901+sbc_r)</f>
        <v>10.6768254332059</v>
      </c>
      <c r="I13904" s="6" t="n">
        <f aca="false">Sens!I13786*(al_ind+Sens!I13901+sbc_r)</f>
        <v>11.54398793803</v>
      </c>
      <c r="J13904" s="6" t="n">
        <f aca="false">Sens!J13786*(al_ind+Sens!J13901+sbc_r)</f>
        <v>12.4407914253112</v>
      </c>
      <c r="K13904" s="6" t="n">
        <f aca="false">Sens!K13786*(al_ind+Sens!K13901+sbc_r)</f>
        <v>13.355239066864</v>
      </c>
    </row>
    <row r="13905" customFormat="false" ht="17.15" hidden="false" customHeight="false" outlineLevel="0" collapsed="false">
      <c r="A13905" s="0" t="s">
        <v>1239</v>
      </c>
      <c r="B13905" s="0" t="s">
        <v>98</v>
      </c>
      <c r="F13905" s="6" t="n">
        <f aca="false">Sens!F13788*(al_fro+Sens!F13901+sbc_r)</f>
        <v>3.55453569939552</v>
      </c>
      <c r="G13905" s="6" t="n">
        <f aca="false">Sens!G13788*(al_fro+Sens!G13901+sbc_r)</f>
        <v>3.76809436159872</v>
      </c>
      <c r="H13905" s="6" t="n">
        <f aca="false">Sens!H13788*(al_fro+Sens!H13901+sbc_r)</f>
        <v>4.00964905674607</v>
      </c>
      <c r="I13905" s="6" t="n">
        <f aca="false">Sens!I13788*(al_fro+Sens!I13901+sbc_r)</f>
        <v>4.28152633145235</v>
      </c>
      <c r="J13905" s="6" t="n">
        <f aca="false">Sens!J13788*(al_fro+Sens!J13901+sbc_r)</f>
        <v>4.58536512975975</v>
      </c>
      <c r="K13905" s="6" t="n">
        <f aca="false">Sens!K13788*(al_fro+Sens!K13901+sbc_r)</f>
        <v>4.92240770086468</v>
      </c>
    </row>
    <row r="13906" customFormat="false" ht="17.15" hidden="false" customHeight="false" outlineLevel="0" collapsed="false">
      <c r="A13906" s="0" t="s">
        <v>1240</v>
      </c>
      <c r="B13906" s="0" t="s">
        <v>98</v>
      </c>
      <c r="F13906" s="6" t="n">
        <f aca="false">Sens!F13791*(al_srch+Sens!F13901+sbc_r)</f>
        <v>11.190683952584</v>
      </c>
      <c r="G13906" s="6" t="n">
        <f aca="false">Sens!G13791*(al_srch+Sens!G13901+sbc_r)</f>
        <v>12.2763328717258</v>
      </c>
      <c r="H13906" s="6" t="n">
        <f aca="false">Sens!H13791*(al_srch+Sens!H13901+sbc_r)</f>
        <v>13.4043563346576</v>
      </c>
      <c r="I13906" s="6" t="n">
        <f aca="false">Sens!I13791*(al_srch+Sens!I13901+sbc_r)</f>
        <v>14.5621512181916</v>
      </c>
      <c r="J13906" s="6" t="n">
        <f aca="false">Sens!J13791*(al_srch+Sens!J13901+sbc_r)</f>
        <v>15.7310381862385</v>
      </c>
      <c r="K13906" s="6" t="n">
        <f aca="false">Sens!K13791*(al_srch+Sens!K13901+sbc_r)</f>
        <v>16.8873320486462</v>
      </c>
    </row>
    <row r="13907" customFormat="false" ht="17.15" hidden="false" customHeight="false" outlineLevel="0" collapsed="false">
      <c r="A13907" s="0" t="s">
        <v>1241</v>
      </c>
      <c r="B13907" s="0" t="s">
        <v>98</v>
      </c>
      <c r="F13907" s="6" t="n">
        <f aca="false">Sens!F13759-Sens!F13760+Sens!F13841</f>
        <v>38.8646429794913</v>
      </c>
      <c r="G13907" s="6" t="n">
        <f aca="false">Sens!G13759-Sens!G13760+Sens!G13841</f>
        <v>69.300497726016</v>
      </c>
      <c r="H13907" s="6" t="n">
        <f aca="false">Sens!H13759-Sens!H13760+Sens!H13841</f>
        <v>96.5897106808268</v>
      </c>
      <c r="I13907" s="6" t="n">
        <f aca="false">Sens!I13759-Sens!I13760+Sens!I13841</f>
        <v>127.384939766446</v>
      </c>
      <c r="J13907" s="6" t="n">
        <f aca="false">Sens!J13759-Sens!J13760+Sens!J13841</f>
        <v>149.008352681229</v>
      </c>
      <c r="K13907" s="6" t="n">
        <f aca="false">Sens!K13759-Sens!K13760+Sens!K13841</f>
        <v>162.401822021841</v>
      </c>
    </row>
    <row r="13908" customFormat="false" ht="17.15" hidden="false" customHeight="false" outlineLevel="0" collapsed="false">
      <c r="A13908" s="0" t="s">
        <v>1242</v>
      </c>
      <c r="B13908" s="0" t="s">
        <v>98</v>
      </c>
      <c r="F13908" s="6" t="n">
        <f aca="false">Sens!F13820+Sens!F13841+Sens!F13771+Sens!F13901*(Sens!F13790-Sens!F13753)+sbc_r*Sens!F13790</f>
        <v>238.979268175971</v>
      </c>
      <c r="G13908" s="6" t="n">
        <f aca="false">Sens!G13820+Sens!G13841+Sens!G13771+Sens!G13901*(Sens!G13790-Sens!G13753)+sbc_r*Sens!G13790</f>
        <v>291.653346984804</v>
      </c>
      <c r="H13908" s="6" t="n">
        <f aca="false">Sens!H13820+Sens!H13841+Sens!H13771+Sens!H13901*(Sens!H13790-Sens!H13753)+sbc_r*Sens!H13790</f>
        <v>345.09546400167</v>
      </c>
      <c r="I13908" s="6" t="n">
        <f aca="false">Sens!I13820+Sens!I13841+Sens!I13771+Sens!I13901*(Sens!I13790-Sens!I13753)+sbc_r*Sens!I13790</f>
        <v>401.390076318423</v>
      </c>
      <c r="J13908" s="6" t="n">
        <f aca="false">Sens!J13820+Sens!J13841+Sens!J13771+Sens!J13901*(Sens!J13790-Sens!J13753)+sbc_r*Sens!J13790</f>
        <v>446.52998494977</v>
      </c>
      <c r="K13908" s="6" t="n">
        <f aca="false">Sens!K13820+Sens!K13841+Sens!K13771+Sens!K13901*(Sens!K13790-Sens!K13753)+sbc_r*Sens!K13790</f>
        <v>481.025607585485</v>
      </c>
    </row>
    <row r="13909" customFormat="false" ht="17.15" hidden="false" customHeight="false" outlineLevel="0" collapsed="false">
      <c r="A13909" s="0" t="s">
        <v>1243</v>
      </c>
      <c r="B13909" s="0" t="s">
        <v>98</v>
      </c>
      <c r="F13909" s="6" t="n">
        <f aca="false">Sens!F13908-Sens!F13902-Sens!F13903-Sens!F13904-Sens!F13905-Sens!F13907</f>
        <v>71.7198746571661</v>
      </c>
      <c r="G13909" s="6" t="n">
        <f aca="false">Sens!G13908-Sens!G13902-Sens!G13903-Sens!G13904-Sens!G13905-Sens!G13907</f>
        <v>81.2732237034248</v>
      </c>
      <c r="H13909" s="6" t="n">
        <f aca="false">Sens!H13908-Sens!H13902-Sens!H13903-Sens!H13904-Sens!H13905-Sens!H13907</f>
        <v>94.599668194011</v>
      </c>
      <c r="I13909" s="6" t="n">
        <f aca="false">Sens!I13908-Sens!I13902-Sens!I13903-Sens!I13904-Sens!I13905-Sens!I13907</f>
        <v>107.829450960693</v>
      </c>
      <c r="J13909" s="6" t="n">
        <f aca="false">Sens!J13908-Sens!J13902-Sens!J13903-Sens!J13904-Sens!J13905-Sens!J13907</f>
        <v>119.852408955989</v>
      </c>
      <c r="K13909" s="6" t="n">
        <f aca="false">Sens!K13908-Sens!K13902-Sens!K13903-Sens!K13904-Sens!K13905-Sens!K13907</f>
        <v>129.96457039096</v>
      </c>
    </row>
    <row r="13910" customFormat="false" ht="17.15" hidden="false" customHeight="false" outlineLevel="0" collapsed="false">
      <c r="A13910" s="0" t="s">
        <v>1244</v>
      </c>
      <c r="B13910" s="0" t="s">
        <v>98</v>
      </c>
      <c r="F13910" s="6" t="n">
        <f aca="false">Sens!F13822+Sens!F13901*Sens!F13797+sbc_r*Sens!F13797</f>
        <v>27.6137252788286</v>
      </c>
      <c r="G13910" s="6" t="n">
        <f aca="false">Sens!G13822+Sens!G13901*Sens!G13797+sbc_r*Sens!G13797</f>
        <v>27.8294057151959</v>
      </c>
      <c r="H13910" s="6" t="n">
        <f aca="false">Sens!H13822+Sens!H13901*Sens!H13797+sbc_r*Sens!H13797</f>
        <v>28.7723894740228</v>
      </c>
      <c r="I13910" s="6" t="n">
        <f aca="false">Sens!I13822+Sens!I13901*Sens!I13797+sbc_r*Sens!I13797</f>
        <v>29.9485370453125</v>
      </c>
      <c r="J13910" s="6" t="n">
        <f aca="false">Sens!J13822+Sens!J13901*Sens!J13797+sbc_r*Sens!J13797</f>
        <v>31.3255405963921</v>
      </c>
      <c r="K13910" s="6" t="n">
        <f aca="false">Sens!K13822+Sens!K13901*Sens!K13797+sbc_r*Sens!K13797</f>
        <v>32.8733949136274</v>
      </c>
    </row>
    <row r="13911" customFormat="false" ht="17.15" hidden="false" customHeight="false" outlineLevel="0" collapsed="false">
      <c r="A13911" s="0" t="s">
        <v>1245</v>
      </c>
      <c r="B13911" s="0" t="s">
        <v>98</v>
      </c>
      <c r="F13911" s="6" t="n">
        <f aca="false">(Sens!F13910-Sens!F13906)*Sens!F13793/(Sens!F13793+Sens!F13795)</f>
        <v>9.27549591088439</v>
      </c>
      <c r="G13911" s="6" t="n">
        <f aca="false">(Sens!G13910-Sens!G13906)*Sens!G13793/(Sens!G13793+Sens!G13795)</f>
        <v>8.63318337641206</v>
      </c>
      <c r="H13911" s="6" t="n">
        <f aca="false">(Sens!H13910-Sens!H13906)*Sens!H13793/(Sens!H13793+Sens!H13795)</f>
        <v>8.41934494197759</v>
      </c>
      <c r="I13911" s="6" t="n">
        <f aca="false">(Sens!I13910-Sens!I13906)*Sens!I13793/(Sens!I13793+Sens!I13795)</f>
        <v>8.35582379888887</v>
      </c>
      <c r="J13911" s="6" t="n">
        <f aca="false">(Sens!J13910-Sens!J13906)*Sens!J13793/(Sens!J13793+Sens!J13795)</f>
        <v>8.43189568056774</v>
      </c>
      <c r="K13911" s="6" t="n">
        <f aca="false">(Sens!K13910-Sens!K13906)*Sens!K13793/(Sens!K13793+Sens!K13795)</f>
        <v>8.64361111854109</v>
      </c>
    </row>
    <row r="13912" customFormat="false" ht="17.15" hidden="false" customHeight="false" outlineLevel="0" collapsed="false">
      <c r="A13912" s="0" t="s">
        <v>1246</v>
      </c>
      <c r="B13912" s="0" t="s">
        <v>98</v>
      </c>
      <c r="F13912" s="6" t="n">
        <f aca="false">Sens!F13910-Sens!F13906-Sens!F13911</f>
        <v>7.14754541536021</v>
      </c>
      <c r="G13912" s="6" t="n">
        <f aca="false">Sens!G13910-Sens!G13906-Sens!G13911</f>
        <v>6.91988946705796</v>
      </c>
      <c r="H13912" s="6" t="n">
        <f aca="false">Sens!H13910-Sens!H13906-Sens!H13911</f>
        <v>6.9486881973876</v>
      </c>
      <c r="I13912" s="6" t="n">
        <f aca="false">Sens!I13910-Sens!I13906-Sens!I13911</f>
        <v>7.03056202823196</v>
      </c>
      <c r="J13912" s="6" t="n">
        <f aca="false">Sens!J13910-Sens!J13906-Sens!J13911</f>
        <v>7.16260672958581</v>
      </c>
      <c r="K13912" s="6" t="n">
        <f aca="false">Sens!K13910-Sens!K13906-Sens!K13911</f>
        <v>7.34245174644008</v>
      </c>
    </row>
    <row r="13913" customFormat="false" ht="17.15" hidden="false" customHeight="false" outlineLevel="0" collapsed="false">
      <c r="A13913" s="0" t="s">
        <v>1247</v>
      </c>
      <c r="B13913" s="0" t="s">
        <v>98</v>
      </c>
      <c r="F13913" s="6" t="n">
        <f aca="false">Sens!F13907-tax_f*(Sens!F13907-Sens!F13771)-Sens!F13768</f>
        <v>-130.446326762856</v>
      </c>
      <c r="G13913" s="6" t="n">
        <f aca="false">Sens!G13907-tax_f*(Sens!G13907-Sens!G13771)-Sens!G13768</f>
        <v>-124.357179337776</v>
      </c>
      <c r="H13913" s="6" t="n">
        <f aca="false">Sens!H13907-tax_f*(Sens!H13907-Sens!H13771)-Sens!H13768</f>
        <v>-101.714217387562</v>
      </c>
      <c r="I13913" s="6" t="n">
        <f aca="false">Sens!I13907-tax_f*(Sens!I13907-Sens!I13771)-Sens!I13768</f>
        <v>-43.8606798695439</v>
      </c>
      <c r="J13913" s="6" t="n">
        <f aca="false">Sens!J13907-tax_f*(Sens!J13907-Sens!J13771)-Sens!J13768</f>
        <v>16.6798855589618</v>
      </c>
      <c r="K13913" s="6" t="n">
        <f aca="false">Sens!K13907-tax_f*(Sens!K13907-Sens!K13771)-Sens!K13768</f>
        <v>39.5611384629271</v>
      </c>
    </row>
    <row r="13914" customFormat="false" ht="17.15" hidden="false" customHeight="false" outlineLevel="0" collapsed="false">
      <c r="A13914" s="0" t="s">
        <v>1248</v>
      </c>
      <c r="B13914" s="0" t="s">
        <v>98</v>
      </c>
      <c r="G13914" s="6" t="n">
        <f aca="false">Sens!G13913/(1+wacc)^(Sens!G13884-Sens!F13885)</f>
        <v>-118.411965593814</v>
      </c>
      <c r="H13914" s="6" t="n">
        <f aca="false">Sens!H13913/(1+wacc)^(Sens!H13884-Sens!F13885)</f>
        <v>-87.8123994427603</v>
      </c>
      <c r="I13914" s="6" t="n">
        <f aca="false">Sens!I13913/(1+wacc)^(Sens!I13884-Sens!F13885)</f>
        <v>-34.3319915163224</v>
      </c>
      <c r="J13914" s="6" t="n">
        <f aca="false">Sens!J13913/(1+wacc)^(Sens!J13884-Sens!F13885)</f>
        <v>11.8376680888423</v>
      </c>
      <c r="K13914" s="6" t="n">
        <f aca="false">Sens!K13913/(1+wacc)^(Sens!K13884-Sens!F13885)</f>
        <v>25.4560683300434</v>
      </c>
      <c r="L13914" s="1" t="s">
        <v>1249</v>
      </c>
    </row>
    <row r="13915" customFormat="false" ht="17.15" hidden="false" customHeight="false" outlineLevel="0" collapsed="false">
      <c r="A13915" s="0" t="s">
        <v>1250</v>
      </c>
      <c r="B13915" s="0" t="s">
        <v>98</v>
      </c>
      <c r="C13915" s="6" t="n">
        <f aca="false">(Sens!K13907-Sens!K13771)*(1-tax_f)*(1+g_tv)*(1-g_tv/(wacc+ronic_prem))/(wacc-g_tv)/(1+wacc)^(Sens!K13885-Sens!F13885)</f>
        <v>95.0962805449559</v>
      </c>
    </row>
    <row r="13916" customFormat="false" ht="17.15" hidden="false" customHeight="false" outlineLevel="0" collapsed="false">
      <c r="A13916" s="1" t="s">
        <v>1251</v>
      </c>
      <c r="B13916" s="0" t="s">
        <v>98</v>
      </c>
      <c r="C13916" s="6" t="n">
        <f aca="false">(SUM(Sens!G13914:K13914)+Sens!$C$13915)*(1+wacc)^(t_roll-Sens!F13885)</f>
        <v>-111.737237578181</v>
      </c>
      <c r="L13916" s="12" t="s">
        <v>1252</v>
      </c>
    </row>
    <row r="13917" customFormat="false" ht="17.15" hidden="false" customHeight="false" outlineLevel="0" collapsed="false">
      <c r="A13917" s="1" t="s">
        <v>1253</v>
      </c>
      <c r="B13917" s="0" t="s">
        <v>98</v>
      </c>
      <c r="C13917" s="6" t="n">
        <f aca="false">(w_ntm28*Sens!G13759+(1-w_ntm28)*Sens!H13759)*m_ai</f>
        <v>344.355829012336</v>
      </c>
    </row>
    <row r="13918" customFormat="false" ht="17.15" hidden="false" customHeight="false" outlineLevel="0" collapsed="false">
      <c r="A13918" s="1" t="s">
        <v>1254</v>
      </c>
      <c r="B13918" s="0" t="s">
        <v>98</v>
      </c>
      <c r="C13918" s="6" t="n">
        <f aca="false">(w_ntm28*Sens!G13909+(1-w_ntm28)*Sens!H13909)*m_cloud</f>
        <v>1183.74547361746</v>
      </c>
    </row>
    <row r="13919" customFormat="false" ht="17.15" hidden="false" customHeight="false" outlineLevel="0" collapsed="false">
      <c r="A13919" s="1" t="s">
        <v>1255</v>
      </c>
      <c r="B13919" s="0" t="s">
        <v>98</v>
      </c>
      <c r="C13919" s="6" t="n">
        <f aca="false">(w_ntm28*Sens!G13902+(1-w_ntm28)*Sens!H13902)*m_sw</f>
        <v>1045.17056616266</v>
      </c>
    </row>
    <row r="13920" customFormat="false" ht="17.15" hidden="false" customHeight="false" outlineLevel="0" collapsed="false">
      <c r="A13920" s="1" t="s">
        <v>1256</v>
      </c>
      <c r="B13920" s="0" t="s">
        <v>98</v>
      </c>
      <c r="C13920" s="6" t="n">
        <f aca="false">(w_ntm28*Sens!G13903+(1-w_ntm28)*Sens!H13903)*m_sw</f>
        <v>373.178444957791</v>
      </c>
    </row>
    <row r="13921" customFormat="false" ht="17.15" hidden="false" customHeight="false" outlineLevel="0" collapsed="false">
      <c r="A13921" s="1" t="s">
        <v>1257</v>
      </c>
      <c r="B13921" s="0" t="s">
        <v>98</v>
      </c>
      <c r="C13921" s="6" t="n">
        <f aca="false">(w_ntm28*Sens!G13904+(1-w_ntm28)*Sens!H13904)*m_sw</f>
        <v>109.30055788101</v>
      </c>
    </row>
    <row r="13922" customFormat="false" ht="17.15" hidden="false" customHeight="false" outlineLevel="0" collapsed="false">
      <c r="A13922" s="1" t="s">
        <v>1258</v>
      </c>
      <c r="B13922" s="0" t="s">
        <v>98</v>
      </c>
      <c r="C13922" s="6" t="n">
        <f aca="false">(w_ntm28*Sens!G13905+(1-w_ntm28)*Sens!H13905)*m_sw</f>
        <v>41.5531037214606</v>
      </c>
    </row>
    <row r="13923" customFormat="false" ht="17.15" hidden="false" customHeight="false" outlineLevel="0" collapsed="false">
      <c r="A13923" s="1" t="s">
        <v>1259</v>
      </c>
      <c r="B13923" s="0" t="s">
        <v>98</v>
      </c>
      <c r="C13923" s="6" t="n">
        <f aca="false">(w_ntm28*Sens!G13906+(1-w_ntm28)*Sens!H13906)*m_ads</f>
        <v>115.215899994784</v>
      </c>
    </row>
    <row r="13924" customFormat="false" ht="17.15" hidden="false" customHeight="false" outlineLevel="0" collapsed="false">
      <c r="A13924" s="1" t="s">
        <v>1260</v>
      </c>
      <c r="B13924" s="0" t="s">
        <v>98</v>
      </c>
      <c r="C13924" s="6" t="n">
        <f aca="false">(w_ntm28*Sens!G13911+(1-w_ntm28)*Sens!H13911)*m_game</f>
        <v>108.149178561265</v>
      </c>
    </row>
    <row r="13925" customFormat="false" ht="17.15" hidden="false" customHeight="false" outlineLevel="0" collapsed="false">
      <c r="A13925" s="1" t="s">
        <v>1261</v>
      </c>
      <c r="B13925" s="0" t="s">
        <v>98</v>
      </c>
      <c r="C13925" s="6" t="n">
        <f aca="false">(w_ntm28*Sens!G13912+(1-w_ntm28)*Sens!H13912)*m_pc</f>
        <v>100.267803644067</v>
      </c>
    </row>
    <row r="13926" customFormat="false" ht="17.15" hidden="false" customHeight="false" outlineLevel="0" collapsed="false">
      <c r="A13926" s="1" t="s">
        <v>1262</v>
      </c>
      <c r="B13926" s="0" t="s">
        <v>98</v>
      </c>
      <c r="C13926" s="6" t="n">
        <f aca="false">Sens!$C$13916+Sens!$C$13918+Sens!$C$13919+Sens!$C$13920+Sens!$C$13921+Sens!$C$13922+Sens!$C$13923+Sens!$C$13924+Sens!$C$13925</f>
        <v>2964.84379096232</v>
      </c>
    </row>
    <row r="13927" customFormat="false" ht="17.15" hidden="false" customHeight="false" outlineLevel="0" collapsed="false">
      <c r="A13927" s="1" t="s">
        <v>1263</v>
      </c>
      <c r="B13927" s="0" t="s">
        <v>98</v>
      </c>
      <c r="C13927" s="6" t="n">
        <f aca="false">(Sens!G13888-Sens!G13913)*t_stub</f>
        <v>49.5103617879471</v>
      </c>
      <c r="L13927" s="1" t="s">
        <v>1264</v>
      </c>
    </row>
    <row r="13928" customFormat="false" ht="17.15" hidden="false" customHeight="false" outlineLevel="0" collapsed="false">
      <c r="A13928" s="1" t="s">
        <v>1173</v>
      </c>
      <c r="B13928" s="0" t="s">
        <v>98</v>
      </c>
      <c r="C13928" s="6" t="n">
        <f aca="false">Sens!F13875+oai_v-Sens!F13864+Sens!$C$13927</f>
        <v>163.738631787947</v>
      </c>
      <c r="L13928" s="1" t="s">
        <v>1265</v>
      </c>
    </row>
    <row r="13929" customFormat="false" ht="17.15" hidden="false" customHeight="false" outlineLevel="0" collapsed="false">
      <c r="A13929" s="1" t="s">
        <v>1266</v>
      </c>
      <c r="B13929" s="0" t="s">
        <v>75</v>
      </c>
      <c r="C13929" s="5" t="n">
        <f aca="false">(Sens!$C$13926+Sens!$C$13928)/(Sens!F13877+dil_gap)-Sens!G13867*roll_div_q/q_per_yr</f>
        <v>416.433569657147</v>
      </c>
      <c r="L13929" s="1" t="s">
        <v>1267</v>
      </c>
    </row>
    <row r="13930" customFormat="false" ht="17.15" hidden="false" customHeight="false" outlineLevel="0" collapsed="false">
      <c r="A13930" s="1" t="s">
        <v>1268</v>
      </c>
      <c r="B13930" s="0" t="s">
        <v>75</v>
      </c>
      <c r="C13930" s="5" t="n">
        <f aca="false">w_dcf*Sens!$C$13900+(1-w_dcf)*Sens!$C$13929</f>
        <v>354.254765001716</v>
      </c>
    </row>
    <row r="13931" customFormat="false" ht="17.15" hidden="false" customHeight="false" outlineLevel="0" collapsed="false">
      <c r="A13931" s="3" t="s">
        <v>1960</v>
      </c>
    </row>
    <row r="13932" customFormat="false" ht="15" hidden="false" customHeight="false" outlineLevel="0" collapsed="false">
      <c r="A13932" s="4" t="s">
        <v>43</v>
      </c>
      <c r="B13932" s="4" t="s">
        <v>65</v>
      </c>
      <c r="C13932" s="23" t="s">
        <v>942</v>
      </c>
      <c r="D13932" s="23" t="s">
        <v>943</v>
      </c>
      <c r="E13932" s="23" t="s">
        <v>944</v>
      </c>
      <c r="F13932" s="23" t="s">
        <v>945</v>
      </c>
      <c r="G13932" s="23" t="s">
        <v>946</v>
      </c>
      <c r="H13932" s="23" t="s">
        <v>947</v>
      </c>
      <c r="I13932" s="23" t="s">
        <v>948</v>
      </c>
      <c r="J13932" s="23" t="s">
        <v>949</v>
      </c>
      <c r="K13932" s="23" t="s">
        <v>950</v>
      </c>
      <c r="L13932" s="4" t="s">
        <v>47</v>
      </c>
    </row>
    <row r="13933" customFormat="false" ht="17.15" hidden="false" customHeight="false" outlineLevel="0" collapsed="false">
      <c r="A13933" s="1" t="s">
        <v>1216</v>
      </c>
      <c r="B13933" s="1" t="s">
        <v>279</v>
      </c>
      <c r="F13933" s="8" t="n">
        <f aca="false">(1-v_off)*mid_yr</f>
        <v>0.373972602739726</v>
      </c>
      <c r="G13933" s="8" t="n">
        <f aca="false">Thesis!G6-base_fy-mid_yr-v_off</f>
        <v>1.24794520547945</v>
      </c>
      <c r="H13933" s="8" t="n">
        <f aca="false">Thesis!H6-base_fy-mid_yr-v_off</f>
        <v>2.24794520547945</v>
      </c>
      <c r="I13933" s="8" t="n">
        <f aca="false">Thesis!I6-base_fy-mid_yr-v_off</f>
        <v>3.24794520547945</v>
      </c>
      <c r="J13933" s="8" t="n">
        <f aca="false">Thesis!J6-base_fy-mid_yr-v_off</f>
        <v>4.24794520547945</v>
      </c>
      <c r="K13933" s="8" t="n">
        <f aca="false">Thesis!K6-base_fy-mid_yr-v_off</f>
        <v>5.24794520547945</v>
      </c>
      <c r="L13933" s="12" t="s">
        <v>1217</v>
      </c>
    </row>
    <row r="13934" customFormat="false" ht="15" hidden="false" customHeight="false" outlineLevel="0" collapsed="false">
      <c r="A13934" s="1" t="s">
        <v>1218</v>
      </c>
      <c r="B13934" s="1" t="s">
        <v>279</v>
      </c>
      <c r="F13934" s="8" t="n">
        <f aca="false">Thesis!F6-base_fy-v_off</f>
        <v>0.747945205479452</v>
      </c>
      <c r="G13934" s="8" t="n">
        <f aca="false">Thesis!G6-base_fy-v_off</f>
        <v>1.74794520547945</v>
      </c>
      <c r="H13934" s="8" t="n">
        <f aca="false">Thesis!H6-base_fy-v_off</f>
        <v>2.74794520547945</v>
      </c>
      <c r="I13934" s="8" t="n">
        <f aca="false">Thesis!I6-base_fy-v_off</f>
        <v>3.74794520547945</v>
      </c>
      <c r="J13934" s="8" t="n">
        <f aca="false">Thesis!J6-base_fy-v_off</f>
        <v>4.74794520547945</v>
      </c>
      <c r="K13934" s="8" t="n">
        <f aca="false">Thesis!K6-base_fy-v_off</f>
        <v>5.74794520547945</v>
      </c>
    </row>
    <row r="13935" customFormat="false" ht="15" hidden="false" customHeight="false" outlineLevel="0" collapsed="false">
      <c r="A13935" s="1" t="s">
        <v>1219</v>
      </c>
      <c r="B13935" s="0" t="s">
        <v>229</v>
      </c>
      <c r="F13935" s="15" t="n">
        <f aca="false">1/(1+(wacc-0.01))^Sens!F13933</f>
        <v>0.967311921156654</v>
      </c>
      <c r="G13935" s="15" t="n">
        <f aca="false">1/(1+(wacc-0.01))^Sens!G13933</f>
        <v>0.895025887723348</v>
      </c>
      <c r="H13935" s="15" t="n">
        <f aca="false">1/(1+(wacc-0.01))^Sens!H13933</f>
        <v>0.818918403078609</v>
      </c>
      <c r="I13935" s="15" t="n">
        <f aca="false">1/(1+(wacc-0.01))^Sens!I13933</f>
        <v>0.749282629809374</v>
      </c>
      <c r="J13935" s="15" t="n">
        <f aca="false">1/(1+(wacc-0.01))^Sens!J13933</f>
        <v>0.685568253471231</v>
      </c>
      <c r="K13935" s="15" t="n">
        <f aca="false">1/(1+(wacc-0.01))^Sens!K13933</f>
        <v>0.627271754968039</v>
      </c>
    </row>
    <row r="13936" customFormat="false" ht="17.15" hidden="false" customHeight="false" outlineLevel="0" collapsed="false">
      <c r="A13936" s="1" t="s">
        <v>1220</v>
      </c>
      <c r="B13936" s="0" t="s">
        <v>98</v>
      </c>
      <c r="F13936" s="6" t="n">
        <f aca="false">Q!$I$35-Q!$I$39-Q!$I$43</f>
        <v>9.666</v>
      </c>
      <c r="L13936" s="12" t="s">
        <v>1221</v>
      </c>
    </row>
    <row r="13937" customFormat="false" ht="17.15" hidden="false" customHeight="false" outlineLevel="0" collapsed="false">
      <c r="A13937" s="1" t="s">
        <v>1222</v>
      </c>
      <c r="B13937" s="0" t="s">
        <v>98</v>
      </c>
      <c r="F13937" s="6" t="n">
        <f aca="false">CF!F23-CF!F20-CF!F27+Thesis!F47*(1-tax_f)*(1-v_off)-Sens!F13936</f>
        <v>-1.12880264559539</v>
      </c>
      <c r="G13937" s="6" t="n">
        <f aca="false">CF!G23-CF!G20-CF!G27+Thesis!G47*(1-tax_f)</f>
        <v>38.7194421947551</v>
      </c>
      <c r="H13937" s="6" t="n">
        <f aca="false">CF!H23-CF!H20-CF!H27+Thesis!H47*(1-tax_f)</f>
        <v>98.6927474567662</v>
      </c>
      <c r="I13937" s="6" t="n">
        <f aca="false">CF!I23-CF!I20-CF!I27+Thesis!I47*(1-tax_f)</f>
        <v>181.625440536277</v>
      </c>
      <c r="J13937" s="6" t="n">
        <f aca="false">CF!J23-CF!J20-CF!J27+Thesis!J47*(1-tax_f)</f>
        <v>263.350402418584</v>
      </c>
      <c r="K13937" s="6" t="n">
        <f aca="false">CF!K23-CF!K20-CF!K27+Thesis!K47*(1-tax_f)</f>
        <v>303.659068389018</v>
      </c>
      <c r="L13937" s="1" t="s">
        <v>1223</v>
      </c>
    </row>
    <row r="13938" customFormat="false" ht="15" hidden="false" customHeight="false" outlineLevel="0" collapsed="false">
      <c r="A13938" s="1" t="s">
        <v>1224</v>
      </c>
      <c r="B13938" s="0" t="s">
        <v>98</v>
      </c>
      <c r="F13938" s="6" t="n">
        <f aca="false">Sens!F13937*Sens!F13935</f>
        <v>-1.09190425571759</v>
      </c>
      <c r="G13938" s="6" t="n">
        <f aca="false">Sens!G13937*Sens!G13935</f>
        <v>34.6549031225135</v>
      </c>
      <c r="H13938" s="6" t="n">
        <f aca="false">Sens!H13937*Sens!H13935</f>
        <v>80.8213071427355</v>
      </c>
      <c r="I13938" s="6" t="n">
        <f aca="false">Sens!I13937*Sens!I13935</f>
        <v>136.088787725308</v>
      </c>
      <c r="J13938" s="6" t="n">
        <f aca="false">Sens!J13937*Sens!J13935</f>
        <v>180.544675437054</v>
      </c>
      <c r="K13938" s="6" t="n">
        <f aca="false">Sens!K13937*Sens!K13935</f>
        <v>190.476756740339</v>
      </c>
    </row>
    <row r="13939" customFormat="false" ht="17.15" hidden="false" customHeight="false" outlineLevel="0" collapsed="false">
      <c r="A13939" s="1" t="s">
        <v>1225</v>
      </c>
      <c r="B13939" s="0" t="s">
        <v>98</v>
      </c>
      <c r="C13939" s="6" t="n">
        <f aca="false">SUM(Sens!F13938:K13938)</f>
        <v>621.494525912233</v>
      </c>
    </row>
    <row r="13940" customFormat="false" ht="17.15" hidden="false" customHeight="false" outlineLevel="0" collapsed="false">
      <c r="A13940" s="1" t="s">
        <v>1226</v>
      </c>
      <c r="B13940" s="0" t="s">
        <v>98</v>
      </c>
      <c r="C13940" s="6" t="n">
        <f aca="false">PL!K39*(1+g_tv)*(1-tax_f)</f>
        <v>316.501318799308</v>
      </c>
    </row>
    <row r="13941" customFormat="false" ht="17.15" hidden="false" customHeight="false" outlineLevel="0" collapsed="false">
      <c r="A13941" s="1" t="s">
        <v>1227</v>
      </c>
      <c r="B13941" s="0" t="s">
        <v>98</v>
      </c>
      <c r="C13941" s="6" t="n">
        <f aca="false">Sens!$C$13940*(1-g_tv/((wacc-0.01)+ronic_prem))</f>
        <v>214.334460004827</v>
      </c>
    </row>
    <row r="13942" customFormat="false" ht="17.15" hidden="false" customHeight="false" outlineLevel="0" collapsed="false">
      <c r="A13942" s="1" t="s">
        <v>1228</v>
      </c>
      <c r="B13942" s="0" t="s">
        <v>98</v>
      </c>
      <c r="C13942" s="6" t="n">
        <f aca="false">Sens!$C$13941/((wacc-0.01)-g_tv)</f>
        <v>3405.56195981602</v>
      </c>
    </row>
    <row r="13943" customFormat="false" ht="15" hidden="false" customHeight="false" outlineLevel="0" collapsed="false">
      <c r="A13943" s="1" t="s">
        <v>1229</v>
      </c>
      <c r="B13943" s="0" t="s">
        <v>98</v>
      </c>
      <c r="C13943" s="6" t="n">
        <f aca="false">Sens!$C$13942/(1+(wacc-0.01))^Sens!K13934</f>
        <v>2043.37010586099</v>
      </c>
    </row>
    <row r="13944" customFormat="false" ht="17.15" hidden="false" customHeight="false" outlineLevel="0" collapsed="false">
      <c r="A13944" s="0" t="s">
        <v>1230</v>
      </c>
      <c r="B13944" s="0" t="s">
        <v>98</v>
      </c>
      <c r="C13944" s="6" t="n">
        <f aca="false">Sens!$C$13939+Sens!$C$13943</f>
        <v>2664.86463177322</v>
      </c>
    </row>
    <row r="13945" customFormat="false" ht="15" hidden="false" customHeight="false" outlineLevel="0" collapsed="false">
      <c r="A13945" s="1" t="s">
        <v>1145</v>
      </c>
      <c r="B13945" s="0" t="s">
        <v>168</v>
      </c>
      <c r="C13945" s="7" t="n">
        <f aca="false">Sens!$C$13943/Sens!$C$13944</f>
        <v>0.766781952635739</v>
      </c>
    </row>
    <row r="13946" customFormat="false" ht="17.15" hidden="false" customHeight="false" outlineLevel="0" collapsed="false">
      <c r="A13946" s="1" t="s">
        <v>1231</v>
      </c>
      <c r="B13946" s="0" t="s">
        <v>98</v>
      </c>
      <c r="C13946" s="6" t="n">
        <f aca="false">Sens!$C$13944+cash_val-debt_val-fl_val+oai_v</f>
        <v>2780.71563177322</v>
      </c>
    </row>
    <row r="13947" customFormat="false" ht="17.15" hidden="false" customHeight="false" outlineLevel="0" collapsed="false">
      <c r="A13947" s="0" t="s">
        <v>1153</v>
      </c>
      <c r="B13947" s="0" t="s">
        <v>75</v>
      </c>
      <c r="C13947" s="5" t="n">
        <f aca="false">Sens!$C$13946/shd_val</f>
        <v>373.450930939192</v>
      </c>
    </row>
    <row r="13948" customFormat="false" ht="15" hidden="false" customHeight="false" outlineLevel="0" collapsed="false">
      <c r="A13948" s="1" t="s">
        <v>1232</v>
      </c>
      <c r="B13948" s="0" t="s">
        <v>75</v>
      </c>
      <c r="C13948" s="8" t="n">
        <f aca="false">div_rem27+CF!G31*roll_div_q/q_per_yr</f>
        <v>3.9795</v>
      </c>
    </row>
    <row r="13949" customFormat="false" ht="17.15" hidden="false" customHeight="false" outlineLevel="0" collapsed="false">
      <c r="A13949" s="0" t="s">
        <v>1233</v>
      </c>
      <c r="B13949" s="0" t="s">
        <v>75</v>
      </c>
      <c r="C13949" s="5" t="n">
        <f aca="false">Sens!$C$13947*(1+(wacc-0.01))^t_roll-Sens!$C$13948</f>
        <v>407.070792810084</v>
      </c>
    </row>
    <row r="13950" customFormat="false" ht="17.15" hidden="false" customHeight="false" outlineLevel="0" collapsed="false">
      <c r="A13950" s="1" t="s">
        <v>1234</v>
      </c>
      <c r="B13950" s="0" t="s">
        <v>168</v>
      </c>
      <c r="F13950" s="7" t="n">
        <f aca="false">CF!F17/(Seg!F29-Thesis!F25)</f>
        <v>0.0685527305696859</v>
      </c>
      <c r="G13950" s="7" t="n">
        <f aca="false">CF!G17/(Seg!G29-Thesis!G25)</f>
        <v>0.0653567731599844</v>
      </c>
      <c r="H13950" s="7" t="n">
        <f aca="false">CF!H17/(Seg!H29-Thesis!H25)</f>
        <v>0.0636628841026972</v>
      </c>
      <c r="I13950" s="7" t="n">
        <f aca="false">CF!I17/(Seg!I29-Thesis!I25)</f>
        <v>0.0633581084335176</v>
      </c>
      <c r="J13950" s="7" t="n">
        <f aca="false">CF!J17/(Seg!J29-Thesis!J25)</f>
        <v>0.0640873955995062</v>
      </c>
      <c r="K13950" s="7" t="n">
        <f aca="false">CF!K17/(Seg!K29-Thesis!K25)</f>
        <v>0.0653962234835198</v>
      </c>
    </row>
    <row r="13951" customFormat="false" ht="17.15" hidden="false" customHeight="false" outlineLevel="0" collapsed="false">
      <c r="A13951" s="0" t="s">
        <v>1235</v>
      </c>
      <c r="B13951" s="0" t="s">
        <v>98</v>
      </c>
      <c r="F13951" s="6" t="n">
        <f aca="false">Seg!F14*(al_m365+Sens!F13950+sbc_r)</f>
        <v>84.5213906545575</v>
      </c>
      <c r="G13951" s="6" t="n">
        <f aca="false">Seg!G14*(al_m365+Sens!G13950+sbc_r)</f>
        <v>98.949983331796</v>
      </c>
      <c r="H13951" s="6" t="n">
        <f aca="false">Seg!H14*(al_m365+Sens!H13950+sbc_r)</f>
        <v>113.543734275326</v>
      </c>
      <c r="I13951" s="6" t="n">
        <f aca="false">Seg!I14*(al_m365+Sens!I13950+sbc_r)</f>
        <v>126.62058838692</v>
      </c>
      <c r="J13951" s="6" t="n">
        <f aca="false">Seg!J14*(al_m365+Sens!J13950+sbc_r)</f>
        <v>137.994660156303</v>
      </c>
      <c r="K13951" s="6" t="n">
        <f aca="false">Seg!K14*(al_m365+Sens!K13950+sbc_r)</f>
        <v>148.989224092997</v>
      </c>
      <c r="L13951" s="12" t="s">
        <v>1236</v>
      </c>
    </row>
    <row r="13952" customFormat="false" ht="17.15" hidden="false" customHeight="false" outlineLevel="0" collapsed="false">
      <c r="A13952" s="0" t="s">
        <v>1237</v>
      </c>
      <c r="B13952" s="0" t="s">
        <v>98</v>
      </c>
      <c r="F13952" s="6" t="n">
        <f aca="false">Seg!F15*(al_lic+Sens!F13950+sbc_r)</f>
        <v>32.855200196554</v>
      </c>
      <c r="G13952" s="6" t="n">
        <f aca="false">Seg!G15*(al_lic+Sens!G13950+sbc_r)</f>
        <v>34.1185582613282</v>
      </c>
      <c r="H13952" s="6" t="n">
        <f aca="false">Seg!H15*(al_lic+Sens!H13950+sbc_r)</f>
        <v>35.3024309363621</v>
      </c>
      <c r="I13952" s="6" t="n">
        <f aca="false">Seg!I15*(al_lic+Sens!I13950+sbc_r)</f>
        <v>36.3898468129533</v>
      </c>
      <c r="J13952" s="6" t="n">
        <f aca="false">Seg!J15*(al_lic+Sens!J13950+sbc_r)</f>
        <v>37.3529129529876</v>
      </c>
      <c r="K13952" s="6" t="n">
        <f aca="false">Seg!K15*(al_lic+Sens!K13950+sbc_r)</f>
        <v>38.158536171203</v>
      </c>
    </row>
    <row r="13953" customFormat="false" ht="17.15" hidden="false" customHeight="false" outlineLevel="0" collapsed="false">
      <c r="A13953" s="0" t="s">
        <v>1238</v>
      </c>
      <c r="B13953" s="0" t="s">
        <v>98</v>
      </c>
      <c r="F13953" s="6" t="n">
        <f aca="false">Seg!F17*(al_ind+Sens!F13950+sbc_r)</f>
        <v>9.05892547956683</v>
      </c>
      <c r="G13953" s="6" t="n">
        <f aca="false">Seg!G17*(al_ind+Sens!G13950+sbc_r)</f>
        <v>9.82456487622418</v>
      </c>
      <c r="H13953" s="6" t="n">
        <f aca="false">Seg!H17*(al_ind+Sens!H13950+sbc_r)</f>
        <v>10.6377408477959</v>
      </c>
      <c r="I13953" s="6" t="n">
        <f aca="false">Seg!I17*(al_ind+Sens!I13950+sbc_r)</f>
        <v>11.4966323260293</v>
      </c>
      <c r="J13953" s="6" t="n">
        <f aca="false">Seg!J17*(al_ind+Sens!J13950+sbc_r)</f>
        <v>12.3903660286279</v>
      </c>
      <c r="K13953" s="6" t="n">
        <f aca="false">Seg!K17*(al_ind+Sens!K13950+sbc_r)</f>
        <v>13.3009129057681</v>
      </c>
    </row>
    <row r="13954" customFormat="false" ht="17.15" hidden="false" customHeight="false" outlineLevel="0" collapsed="false">
      <c r="A13954" s="0" t="s">
        <v>1239</v>
      </c>
      <c r="B13954" s="0" t="s">
        <v>98</v>
      </c>
      <c r="F13954" s="6" t="n">
        <f aca="false">Seg!F19*(al_fro+Sens!F13950+sbc_r)</f>
        <v>3.55344443532423</v>
      </c>
      <c r="G13954" s="6" t="n">
        <f aca="false">Seg!G19*(al_fro+Sens!G13950+sbc_r)</f>
        <v>3.75916645971565</v>
      </c>
      <c r="H13954" s="6" t="n">
        <f aca="false">Seg!H19*(al_fro+Sens!H13950+sbc_r)</f>
        <v>3.994970960527</v>
      </c>
      <c r="I13954" s="6" t="n">
        <f aca="false">Seg!I19*(al_fro+Sens!I13950+sbc_r)</f>
        <v>4.26396270432353</v>
      </c>
      <c r="J13954" s="6" t="n">
        <f aca="false">Seg!J19*(al_fro+Sens!J13950+sbc_r)</f>
        <v>4.5667795874336</v>
      </c>
      <c r="K13954" s="6" t="n">
        <f aca="false">Seg!K19*(al_fro+Sens!K13950+sbc_r)</f>
        <v>4.90238443416026</v>
      </c>
    </row>
    <row r="13955" customFormat="false" ht="17.15" hidden="false" customHeight="false" outlineLevel="0" collapsed="false">
      <c r="A13955" s="0" t="s">
        <v>1240</v>
      </c>
      <c r="B13955" s="0" t="s">
        <v>98</v>
      </c>
      <c r="F13955" s="6" t="n">
        <f aca="false">Seg!F22*(al_srch+Sens!F13950+sbc_r)</f>
        <v>11.1872483445711</v>
      </c>
      <c r="G13955" s="6" t="n">
        <f aca="false">Seg!G22*(al_srch+Sens!G13950+sbc_r)</f>
        <v>12.247246048296</v>
      </c>
      <c r="H13955" s="6" t="n">
        <f aca="false">Seg!H22*(al_srch+Sens!H13950+sbc_r)</f>
        <v>13.3552870946193</v>
      </c>
      <c r="I13955" s="6" t="n">
        <f aca="false">Seg!I22*(al_srch+Sens!I13950+sbc_r)</f>
        <v>14.5024145321619</v>
      </c>
      <c r="J13955" s="6" t="n">
        <f aca="false">Seg!J22*(al_srch+Sens!J13950+sbc_r)</f>
        <v>15.667276660652</v>
      </c>
      <c r="K13955" s="6" t="n">
        <f aca="false">Seg!K22*(al_srch+Sens!K13950+sbc_r)</f>
        <v>16.8186381138719</v>
      </c>
    </row>
    <row r="13956" customFormat="false" ht="17.15" hidden="false" customHeight="false" outlineLevel="0" collapsed="false">
      <c r="A13956" s="0" t="s">
        <v>1241</v>
      </c>
      <c r="B13956" s="0" t="s">
        <v>98</v>
      </c>
      <c r="F13956" s="6" t="n">
        <f aca="false">Thesis!F31-Thesis!F32+Thesis!F47</f>
        <v>45.3782580567763</v>
      </c>
      <c r="G13956" s="6" t="n">
        <f aca="false">Thesis!G31-Thesis!G32+Thesis!G47</f>
        <v>91.0863367558165</v>
      </c>
      <c r="H13956" s="6" t="n">
        <f aca="false">Thesis!H31-Thesis!H32+Thesis!H47</f>
        <v>144.617532464853</v>
      </c>
      <c r="I13956" s="6" t="n">
        <f aca="false">Thesis!I31-Thesis!I32+Thesis!I47</f>
        <v>187.137304561304</v>
      </c>
      <c r="J13956" s="6" t="n">
        <f aca="false">Thesis!J31-Thesis!J32+Thesis!J47</f>
        <v>217.006854425907</v>
      </c>
      <c r="K13956" s="6" t="n">
        <f aca="false">Thesis!K31-Thesis!K32+Thesis!K47</f>
        <v>234.933637903877</v>
      </c>
    </row>
    <row r="13957" customFormat="false" ht="17.15" hidden="false" customHeight="false" outlineLevel="0" collapsed="false">
      <c r="A13957" s="0" t="s">
        <v>1242</v>
      </c>
      <c r="B13957" s="0" t="s">
        <v>98</v>
      </c>
      <c r="F13957" s="6" t="n">
        <f aca="false">PL!F32+Thesis!F47+Thesis!F43+Sens!F13950*(Seg!F21-Thesis!F25)+sbc_r*Seg!F21</f>
        <v>240.818167741339</v>
      </c>
      <c r="G13957" s="6" t="n">
        <f aca="false">PL!G32+Thesis!G47+Thesis!G43+Sens!G13950*(Seg!G21-Thesis!G25)+sbc_r*Seg!G21</f>
        <v>311.917784140952</v>
      </c>
      <c r="H13957" s="6" t="n">
        <f aca="false">PL!H32+Thesis!H47+Thesis!H43+Sens!H13950*(Seg!H21-Thesis!H25)+sbc_r*Seg!H21</f>
        <v>395.486245683473</v>
      </c>
      <c r="I13957" s="6" t="n">
        <f aca="false">PL!I32+Thesis!I47+Thesis!I43+Sens!I13950*(Seg!I21-Thesis!I25)+sbc_r*Seg!I21</f>
        <v>465.950805948377</v>
      </c>
      <c r="J13957" s="6" t="n">
        <f aca="false">PL!J32+Thesis!J47+Thesis!J43+Sens!J13950*(Seg!J21-Thesis!J25)+sbc_r*Seg!J21</f>
        <v>520.78677388057</v>
      </c>
      <c r="K13957" s="6" t="n">
        <f aca="false">PL!K32+Thesis!K47+Thesis!K43+Sens!K13950*(Seg!K21-Thesis!K25)+sbc_r*Seg!K21</f>
        <v>561.2469767412</v>
      </c>
    </row>
    <row r="13958" customFormat="false" ht="17.15" hidden="false" customHeight="false" outlineLevel="0" collapsed="false">
      <c r="A13958" s="0" t="s">
        <v>1243</v>
      </c>
      <c r="B13958" s="0" t="s">
        <v>98</v>
      </c>
      <c r="F13958" s="6" t="n">
        <f aca="false">Sens!F13957-Sens!F13951-Sens!F13952-Sens!F13953-Sens!F13954-Sens!F13956</f>
        <v>65.4509489185601</v>
      </c>
      <c r="G13958" s="6" t="n">
        <f aca="false">Sens!G13957-Sens!G13951-Sens!G13952-Sens!G13953-Sens!G13954-Sens!G13956</f>
        <v>74.1791744560715</v>
      </c>
      <c r="H13958" s="6" t="n">
        <f aca="false">Sens!H13957-Sens!H13951-Sens!H13952-Sens!H13953-Sens!H13954-Sens!H13956</f>
        <v>87.3898361986086</v>
      </c>
      <c r="I13958" s="6" t="n">
        <f aca="false">Sens!I13957-Sens!I13951-Sens!I13952-Sens!I13953-Sens!I13954-Sens!I13956</f>
        <v>100.042471156846</v>
      </c>
      <c r="J13958" s="6" t="n">
        <f aca="false">Sens!J13957-Sens!J13951-Sens!J13952-Sens!J13953-Sens!J13954-Sens!J13956</f>
        <v>111.475200729312</v>
      </c>
      <c r="K13958" s="6" t="n">
        <f aca="false">Sens!K13957-Sens!K13951-Sens!K13952-Sens!K13953-Sens!K13954-Sens!K13956</f>
        <v>120.962281233195</v>
      </c>
    </row>
    <row r="13959" customFormat="false" ht="17.15" hidden="false" customHeight="false" outlineLevel="0" collapsed="false">
      <c r="A13959" s="0" t="s">
        <v>1244</v>
      </c>
      <c r="B13959" s="0" t="s">
        <v>98</v>
      </c>
      <c r="F13959" s="6" t="n">
        <f aca="false">PL!F34+Sens!F13950*Seg!F28+sbc_r*Seg!F28</f>
        <v>26.6293388420472</v>
      </c>
      <c r="G13959" s="6" t="n">
        <f aca="false">PL!G34+Sens!G13950*Seg!G28+sbc_r*Seg!G28</f>
        <v>26.4405000412783</v>
      </c>
      <c r="H13959" s="6" t="n">
        <f aca="false">PL!H34+Sens!H13950*Seg!H28+sbc_r*Seg!H28</f>
        <v>27.296860059552</v>
      </c>
      <c r="I13959" s="6" t="n">
        <f aca="false">PL!I34+Sens!I13950*Seg!I28+sbc_r*Seg!I28</f>
        <v>28.3995465815703</v>
      </c>
      <c r="J13959" s="6" t="n">
        <f aca="false">PL!J34+Sens!J13950*Seg!J28+sbc_r*Seg!J28</f>
        <v>29.7093380975903</v>
      </c>
      <c r="K13959" s="6" t="n">
        <f aca="false">PL!K34+Sens!K13950*Seg!K28+sbc_r*Seg!K28</f>
        <v>31.1817775287323</v>
      </c>
    </row>
    <row r="13960" customFormat="false" ht="17.15" hidden="false" customHeight="false" outlineLevel="0" collapsed="false">
      <c r="A13960" s="0" t="s">
        <v>1245</v>
      </c>
      <c r="B13960" s="0" t="s">
        <v>98</v>
      </c>
      <c r="F13960" s="6" t="n">
        <f aca="false">(Sens!F13959-Sens!F13955)*Seg!F24/(Seg!F24+Seg!F26)</f>
        <v>8.72146908842971</v>
      </c>
      <c r="G13960" s="6" t="n">
        <f aca="false">(Sens!G13959-Sens!G13955)*Seg!G24/(Seg!G24+Seg!G26)</f>
        <v>7.87837655379173</v>
      </c>
      <c r="H13960" s="6" t="n">
        <f aca="false">(Sens!H13959-Sens!H13955)*Seg!H24/(Seg!H24+Seg!H26)</f>
        <v>7.63786170689933</v>
      </c>
      <c r="I13960" s="6" t="n">
        <f aca="false">(Sens!I13959-Sens!I13955)*Seg!I24/(Seg!I24+Seg!I26)</f>
        <v>7.5470606300581</v>
      </c>
      <c r="J13960" s="6" t="n">
        <f aca="false">(Sens!J13959-Sens!J13955)*Seg!J24/(Seg!J24+Seg!J26)</f>
        <v>7.59249600034024</v>
      </c>
      <c r="K13960" s="6" t="n">
        <f aca="false">(Sens!K13959-Sens!K13955)*Seg!K24/(Seg!K24+Seg!K26)</f>
        <v>7.76610179704742</v>
      </c>
    </row>
    <row r="13961" customFormat="false" ht="17.15" hidden="false" customHeight="false" outlineLevel="0" collapsed="false">
      <c r="A13961" s="0" t="s">
        <v>1246</v>
      </c>
      <c r="B13961" s="0" t="s">
        <v>98</v>
      </c>
      <c r="F13961" s="6" t="n">
        <f aca="false">Sens!F13959-Sens!F13955-Sens!F13960</f>
        <v>6.72062140904636</v>
      </c>
      <c r="G13961" s="6" t="n">
        <f aca="false">Sens!G13959-Sens!G13955-Sens!G13960</f>
        <v>6.31487743919059</v>
      </c>
      <c r="H13961" s="6" t="n">
        <f aca="false">Sens!H13959-Sens!H13955-Sens!H13960</f>
        <v>6.30371125803333</v>
      </c>
      <c r="I13961" s="6" t="n">
        <f aca="false">Sens!I13959-Sens!I13955-Sens!I13960</f>
        <v>6.35007141935025</v>
      </c>
      <c r="J13961" s="6" t="n">
        <f aca="false">Sens!J13959-Sens!J13955-Sens!J13960</f>
        <v>6.44956543659808</v>
      </c>
      <c r="K13961" s="6" t="n">
        <f aca="false">Sens!K13959-Sens!K13955-Sens!K13960</f>
        <v>6.597037617813</v>
      </c>
    </row>
    <row r="13962" customFormat="false" ht="17.15" hidden="false" customHeight="false" outlineLevel="0" collapsed="false">
      <c r="A13962" s="0" t="s">
        <v>1247</v>
      </c>
      <c r="B13962" s="0" t="s">
        <v>98</v>
      </c>
      <c r="F13962" s="6" t="n">
        <f aca="false">Sens!F13956-tax_f*(Sens!F13956-Thesis!F43)-Thesis!F40</f>
        <v>-125.235434701028</v>
      </c>
      <c r="G13962" s="6" t="n">
        <f aca="false">Sens!G13956-tax_f*(Sens!G13956-Thesis!G43)-Thesis!G40</f>
        <v>-106.928508113935</v>
      </c>
      <c r="H13962" s="6" t="n">
        <f aca="false">Sens!H13956-tax_f*(Sens!H13956-Thesis!H43)-Thesis!H40</f>
        <v>-63.2919599603405</v>
      </c>
      <c r="I13962" s="6" t="n">
        <f aca="false">Sens!I13956-tax_f*(Sens!I13956-Thesis!I43)-Thesis!I40</f>
        <v>3.94121196634245</v>
      </c>
      <c r="J13962" s="6" t="n">
        <f aca="false">Sens!J13956-tax_f*(Sens!J13956-Thesis!J43)-Thesis!J40</f>
        <v>71.0786869547042</v>
      </c>
      <c r="K13962" s="6" t="n">
        <f aca="false">Sens!K13956-tax_f*(Sens!K13956-Thesis!K43)-Thesis!K40</f>
        <v>97.5865911685559</v>
      </c>
    </row>
    <row r="13963" customFormat="false" ht="17.15" hidden="false" customHeight="false" outlineLevel="0" collapsed="false">
      <c r="A13963" s="0" t="s">
        <v>1248</v>
      </c>
      <c r="B13963" s="0" t="s">
        <v>98</v>
      </c>
      <c r="G13963" s="6" t="n">
        <f aca="false">Sens!G13962/(1+(wacc-0.01))^(Sens!G13933-Sens!F13934)</f>
        <v>-102.281249397856</v>
      </c>
      <c r="H13963" s="6" t="n">
        <f aca="false">Sens!H13962/(1+(wacc-0.01))^(Sens!H13933-Sens!F13934)</f>
        <v>-55.3931541950558</v>
      </c>
      <c r="I13963" s="6" t="n">
        <f aca="false">Sens!I13962/(1+(wacc-0.01))^(Sens!I13933-Sens!F13934)</f>
        <v>3.15603911681352</v>
      </c>
      <c r="J13963" s="6" t="n">
        <f aca="false">Sens!J13962/(1+(wacc-0.01))^(Sens!J13933-Sens!F13934)</f>
        <v>52.0783258815061</v>
      </c>
      <c r="K13963" s="6" t="n">
        <f aca="false">Sens!K13962/(1+(wacc-0.01))^(Sens!K13933-Sens!F13934)</f>
        <v>65.4203404780441</v>
      </c>
      <c r="L13963" s="1" t="s">
        <v>1249</v>
      </c>
    </row>
    <row r="13964" customFormat="false" ht="17.15" hidden="false" customHeight="false" outlineLevel="0" collapsed="false">
      <c r="A13964" s="0" t="s">
        <v>1250</v>
      </c>
      <c r="B13964" s="0" t="s">
        <v>98</v>
      </c>
      <c r="C13964" s="6" t="n">
        <f aca="false">(Sens!K13956-Thesis!K43)*(1-tax_f)*(1+g_tv)*(1-g_tv/((wacc-0.01)+ronic_prem))/((wacc-0.01)-g_tv)/(1+(wacc-0.01))^(Sens!K13934-Sens!F13934)</f>
        <v>522.613030426907</v>
      </c>
    </row>
    <row r="13965" customFormat="false" ht="17.15" hidden="false" customHeight="false" outlineLevel="0" collapsed="false">
      <c r="A13965" s="1" t="s">
        <v>1251</v>
      </c>
      <c r="B13965" s="0" t="s">
        <v>98</v>
      </c>
      <c r="C13965" s="6" t="n">
        <f aca="false">(SUM(Sens!G13963:K13963)+Sens!$C$13964)*(1+(wacc-0.01))^(t_roll-Sens!F13934)</f>
        <v>500.111925181453</v>
      </c>
      <c r="L13965" s="12" t="s">
        <v>1252</v>
      </c>
    </row>
    <row r="13966" customFormat="false" ht="17.15" hidden="false" customHeight="false" outlineLevel="0" collapsed="false">
      <c r="A13966" s="1" t="s">
        <v>1253</v>
      </c>
      <c r="B13966" s="0" t="s">
        <v>98</v>
      </c>
      <c r="C13966" s="6" t="n">
        <f aca="false">(w_ntm28*Thesis!G31+(1-w_ntm28)*Thesis!H31)*m_ai</f>
        <v>563.316843258668</v>
      </c>
    </row>
    <row r="13967" customFormat="false" ht="17.15" hidden="false" customHeight="false" outlineLevel="0" collapsed="false">
      <c r="A13967" s="1" t="s">
        <v>1254</v>
      </c>
      <c r="B13967" s="0" t="s">
        <v>98</v>
      </c>
      <c r="C13967" s="6" t="n">
        <f aca="false">(w_ntm28*Sens!G13958+(1-w_ntm28)*Sens!H13958)*m_cloud</f>
        <v>1085.17964696599</v>
      </c>
    </row>
    <row r="13968" customFormat="false" ht="17.15" hidden="false" customHeight="false" outlineLevel="0" collapsed="false">
      <c r="A13968" s="1" t="s">
        <v>1255</v>
      </c>
      <c r="B13968" s="0" t="s">
        <v>98</v>
      </c>
      <c r="C13968" s="6" t="n">
        <f aca="false">(w_ntm28*Sens!G13951+(1-w_ntm28)*Sens!H13951)*m_sw</f>
        <v>1120.47763155275</v>
      </c>
    </row>
    <row r="13969" customFormat="false" ht="17.15" hidden="false" customHeight="false" outlineLevel="0" collapsed="false">
      <c r="A13969" s="1" t="s">
        <v>1256</v>
      </c>
      <c r="B13969" s="0" t="s">
        <v>98</v>
      </c>
      <c r="C13969" s="6" t="n">
        <f aca="false">(w_ntm28*Sens!G13952+(1-w_ntm28)*Sens!H13952)*m_sw</f>
        <v>372.68398809041</v>
      </c>
    </row>
    <row r="13970" customFormat="false" ht="17.15" hidden="false" customHeight="false" outlineLevel="0" collapsed="false">
      <c r="A13970" s="1" t="s">
        <v>1257</v>
      </c>
      <c r="B13970" s="0" t="s">
        <v>98</v>
      </c>
      <c r="C13970" s="6" t="n">
        <f aca="false">(w_ntm28*Sens!G13953+(1-w_ntm28)*Sens!H13953)*m_sw</f>
        <v>108.992632332144</v>
      </c>
    </row>
    <row r="13971" customFormat="false" ht="17.15" hidden="false" customHeight="false" outlineLevel="0" collapsed="false">
      <c r="A13971" s="1" t="s">
        <v>1258</v>
      </c>
      <c r="B13971" s="0" t="s">
        <v>98</v>
      </c>
      <c r="C13971" s="6" t="n">
        <f aca="false">(w_ntm28*Sens!G13954+(1-w_ntm28)*Sens!H13954)*m_sw</f>
        <v>41.4362652527414</v>
      </c>
    </row>
    <row r="13972" customFormat="false" ht="17.15" hidden="false" customHeight="false" outlineLevel="0" collapsed="false">
      <c r="A13972" s="1" t="s">
        <v>1259</v>
      </c>
      <c r="B13972" s="0" t="s">
        <v>98</v>
      </c>
      <c r="C13972" s="6" t="n">
        <f aca="false">(w_ntm28*Sens!G13955+(1-w_ntm28)*Sens!H13955)*m_ads</f>
        <v>114.891070326937</v>
      </c>
    </row>
    <row r="13973" customFormat="false" ht="17.15" hidden="false" customHeight="false" outlineLevel="0" collapsed="false">
      <c r="A13973" s="1" t="s">
        <v>1260</v>
      </c>
      <c r="B13973" s="0" t="s">
        <v>98</v>
      </c>
      <c r="C13973" s="6" t="n">
        <f aca="false">(w_ntm28*Sens!G13960+(1-w_ntm28)*Sens!H13960)*m_game</f>
        <v>98.505199156718</v>
      </c>
    </row>
    <row r="13974" customFormat="false" ht="17.15" hidden="false" customHeight="false" outlineLevel="0" collapsed="false">
      <c r="A13974" s="1" t="s">
        <v>1261</v>
      </c>
      <c r="B13974" s="0" t="s">
        <v>98</v>
      </c>
      <c r="C13974" s="6" t="n">
        <f aca="false">(w_ntm28*Sens!G13961+(1-w_ntm28)*Sens!H13961)*m_pc</f>
        <v>91.3231561150564</v>
      </c>
    </row>
    <row r="13975" customFormat="false" ht="17.15" hidden="false" customHeight="false" outlineLevel="0" collapsed="false">
      <c r="A13975" s="1" t="s">
        <v>1262</v>
      </c>
      <c r="B13975" s="0" t="s">
        <v>98</v>
      </c>
      <c r="C13975" s="6" t="n">
        <f aca="false">Sens!$C$13965+Sens!$C$13967+Sens!$C$13968+Sens!$C$13969+Sens!$C$13970+Sens!$C$13971+Sens!$C$13972+Sens!$C$13973+Sens!$C$13974</f>
        <v>3533.6015149742</v>
      </c>
    </row>
    <row r="13976" customFormat="false" ht="17.15" hidden="false" customHeight="false" outlineLevel="0" collapsed="false">
      <c r="A13976" s="1" t="s">
        <v>1263</v>
      </c>
      <c r="B13976" s="0" t="s">
        <v>98</v>
      </c>
      <c r="C13976" s="6" t="n">
        <f aca="false">(Sens!G13937-Sens!G13962)*t_stub</f>
        <v>48.2832931160316</v>
      </c>
      <c r="L13976" s="1" t="s">
        <v>1264</v>
      </c>
    </row>
    <row r="13977" customFormat="false" ht="17.15" hidden="false" customHeight="false" outlineLevel="0" collapsed="false">
      <c r="A13977" s="1" t="s">
        <v>1173</v>
      </c>
      <c r="B13977" s="0" t="s">
        <v>98</v>
      </c>
      <c r="C13977" s="6" t="n">
        <f aca="false">CF!F39+oai_v-CF!F28+Sens!$C$13976</f>
        <v>162.511563116032</v>
      </c>
      <c r="L13977" s="1" t="s">
        <v>1265</v>
      </c>
    </row>
    <row r="13978" customFormat="false" ht="17.15" hidden="false" customHeight="false" outlineLevel="0" collapsed="false">
      <c r="A13978" s="1" t="s">
        <v>1266</v>
      </c>
      <c r="B13978" s="0" t="s">
        <v>75</v>
      </c>
      <c r="C13978" s="5" t="n">
        <f aca="false">(Sens!$C$13975+Sens!$C$13977)/(CF!F41+dil_gap)-CF!G31*roll_div_q/q_per_yr</f>
        <v>492.416057696506</v>
      </c>
      <c r="L13978" s="1" t="s">
        <v>1267</v>
      </c>
    </row>
    <row r="13979" customFormat="false" ht="17.15" hidden="false" customHeight="false" outlineLevel="0" collapsed="false">
      <c r="A13979" s="1" t="s">
        <v>1268</v>
      </c>
      <c r="B13979" s="0" t="s">
        <v>75</v>
      </c>
      <c r="C13979" s="5" t="n">
        <f aca="false">w_dcf*Sens!$C$13949+(1-w_dcf)*Sens!$C$13978</f>
        <v>449.743425253295</v>
      </c>
    </row>
    <row r="13980" customFormat="false" ht="17.15" hidden="false" customHeight="false" outlineLevel="0" collapsed="false">
      <c r="A13980" s="3" t="s">
        <v>1961</v>
      </c>
    </row>
    <row r="13981" customFormat="false" ht="15" hidden="false" customHeight="false" outlineLevel="0" collapsed="false">
      <c r="A13981" s="4" t="s">
        <v>43</v>
      </c>
      <c r="B13981" s="4" t="s">
        <v>65</v>
      </c>
      <c r="C13981" s="23" t="s">
        <v>942</v>
      </c>
      <c r="D13981" s="23" t="s">
        <v>943</v>
      </c>
      <c r="E13981" s="23" t="s">
        <v>944</v>
      </c>
      <c r="F13981" s="23" t="s">
        <v>945</v>
      </c>
      <c r="G13981" s="23" t="s">
        <v>946</v>
      </c>
      <c r="H13981" s="23" t="s">
        <v>947</v>
      </c>
      <c r="I13981" s="23" t="s">
        <v>948</v>
      </c>
      <c r="J13981" s="23" t="s">
        <v>949</v>
      </c>
      <c r="K13981" s="23" t="s">
        <v>950</v>
      </c>
      <c r="L13981" s="4" t="s">
        <v>47</v>
      </c>
    </row>
    <row r="13982" customFormat="false" ht="17.15" hidden="false" customHeight="false" outlineLevel="0" collapsed="false">
      <c r="A13982" s="1" t="s">
        <v>1216</v>
      </c>
      <c r="B13982" s="1" t="s">
        <v>279</v>
      </c>
      <c r="F13982" s="8" t="n">
        <f aca="false">(1-v_off)*mid_yr</f>
        <v>0.373972602739726</v>
      </c>
      <c r="G13982" s="8" t="n">
        <f aca="false">Thesis!G58-base_fy-mid_yr-v_off</f>
        <v>1.24794520547945</v>
      </c>
      <c r="H13982" s="8" t="n">
        <f aca="false">Thesis!H58-base_fy-mid_yr-v_off</f>
        <v>2.24794520547945</v>
      </c>
      <c r="I13982" s="8" t="n">
        <f aca="false">Thesis!I58-base_fy-mid_yr-v_off</f>
        <v>3.24794520547945</v>
      </c>
      <c r="J13982" s="8" t="n">
        <f aca="false">Thesis!J58-base_fy-mid_yr-v_off</f>
        <v>4.24794520547945</v>
      </c>
      <c r="K13982" s="8" t="n">
        <f aca="false">Thesis!K58-base_fy-mid_yr-v_off</f>
        <v>5.24794520547945</v>
      </c>
      <c r="L13982" s="12" t="s">
        <v>1217</v>
      </c>
    </row>
    <row r="13983" customFormat="false" ht="15" hidden="false" customHeight="false" outlineLevel="0" collapsed="false">
      <c r="A13983" s="1" t="s">
        <v>1218</v>
      </c>
      <c r="B13983" s="1" t="s">
        <v>279</v>
      </c>
      <c r="F13983" s="8" t="n">
        <f aca="false">Thesis!F58-base_fy-v_off</f>
        <v>0.747945205479452</v>
      </c>
      <c r="G13983" s="8" t="n">
        <f aca="false">Thesis!G58-base_fy-v_off</f>
        <v>1.74794520547945</v>
      </c>
      <c r="H13983" s="8" t="n">
        <f aca="false">Thesis!H58-base_fy-v_off</f>
        <v>2.74794520547945</v>
      </c>
      <c r="I13983" s="8" t="n">
        <f aca="false">Thesis!I58-base_fy-v_off</f>
        <v>3.74794520547945</v>
      </c>
      <c r="J13983" s="8" t="n">
        <f aca="false">Thesis!J58-base_fy-v_off</f>
        <v>4.74794520547945</v>
      </c>
      <c r="K13983" s="8" t="n">
        <f aca="false">Thesis!K58-base_fy-v_off</f>
        <v>5.74794520547945</v>
      </c>
    </row>
    <row r="13984" customFormat="false" ht="15" hidden="false" customHeight="false" outlineLevel="0" collapsed="false">
      <c r="A13984" s="1" t="s">
        <v>1219</v>
      </c>
      <c r="B13984" s="0" t="s">
        <v>229</v>
      </c>
      <c r="F13984" s="15" t="n">
        <f aca="false">1/(1+(wacc-0.01))^Sens!F13982</f>
        <v>0.967311921156654</v>
      </c>
      <c r="G13984" s="15" t="n">
        <f aca="false">1/(1+(wacc-0.01))^Sens!G13982</f>
        <v>0.895025887723348</v>
      </c>
      <c r="H13984" s="15" t="n">
        <f aca="false">1/(1+(wacc-0.01))^Sens!H13982</f>
        <v>0.818918403078609</v>
      </c>
      <c r="I13984" s="15" t="n">
        <f aca="false">1/(1+(wacc-0.01))^Sens!I13982</f>
        <v>0.749282629809374</v>
      </c>
      <c r="J13984" s="15" t="n">
        <f aca="false">1/(1+(wacc-0.01))^Sens!J13982</f>
        <v>0.685568253471231</v>
      </c>
      <c r="K13984" s="15" t="n">
        <f aca="false">1/(1+(wacc-0.01))^Sens!K13982</f>
        <v>0.627271754968039</v>
      </c>
    </row>
    <row r="13985" customFormat="false" ht="17.15" hidden="false" customHeight="false" outlineLevel="0" collapsed="false">
      <c r="A13985" s="1" t="s">
        <v>1220</v>
      </c>
      <c r="B13985" s="0" t="s">
        <v>98</v>
      </c>
      <c r="F13985" s="6" t="n">
        <f aca="false">Q!$I$35-Q!$I$39-Q!$I$43</f>
        <v>9.666</v>
      </c>
      <c r="L13985" s="12" t="s">
        <v>1221</v>
      </c>
    </row>
    <row r="13986" customFormat="false" ht="17.15" hidden="false" customHeight="false" outlineLevel="0" collapsed="false">
      <c r="A13986" s="1" t="s">
        <v>1222</v>
      </c>
      <c r="B13986" s="0" t="s">
        <v>98</v>
      </c>
      <c r="F13986" s="6" t="n">
        <f aca="false">CF!F55-CF!F52-CF!F59+Thesis!F99*(1-tax_f)*(1-v_off)-Sens!F13985</f>
        <v>-3.35959137570949</v>
      </c>
      <c r="G13986" s="6" t="n">
        <f aca="false">CF!G55-CF!G52-CF!G59+Thesis!G99*(1-tax_f)</f>
        <v>29.8084555066036</v>
      </c>
      <c r="H13986" s="6" t="n">
        <f aca="false">CF!H55-CF!H52-CF!H59+Thesis!H99*(1-tax_f)</f>
        <v>79.3231801478051</v>
      </c>
      <c r="I13986" s="6" t="n">
        <f aca="false">CF!I55-CF!I52-CF!I59+Thesis!I99*(1-tax_f)</f>
        <v>157.29132812061</v>
      </c>
      <c r="J13986" s="6" t="n">
        <f aca="false">CF!J55-CF!J52-CF!J59+Thesis!J99*(1-tax_f)</f>
        <v>235.537601843622</v>
      </c>
      <c r="K13986" s="6" t="n">
        <f aca="false">CF!K55-CF!K52-CF!K59+Thesis!K99*(1-tax_f)</f>
        <v>273.705067207806</v>
      </c>
      <c r="L13986" s="1" t="s">
        <v>1223</v>
      </c>
    </row>
    <row r="13987" customFormat="false" ht="15" hidden="false" customHeight="false" outlineLevel="0" collapsed="false">
      <c r="A13987" s="1" t="s">
        <v>1224</v>
      </c>
      <c r="B13987" s="0" t="s">
        <v>98</v>
      </c>
      <c r="F13987" s="6" t="n">
        <f aca="false">Sens!F13986*Sens!F13984</f>
        <v>-3.24977278793888</v>
      </c>
      <c r="G13987" s="6" t="n">
        <f aca="false">Sens!G13986*Sens!G13984</f>
        <v>26.6793393514598</v>
      </c>
      <c r="H13987" s="6" t="n">
        <f aca="false">Sens!H13986*Sens!H13984</f>
        <v>64.9592120137574</v>
      </c>
      <c r="I13987" s="6" t="n">
        <f aca="false">Sens!I13986*Sens!I13984</f>
        <v>117.85565998042</v>
      </c>
      <c r="J13987" s="6" t="n">
        <f aca="false">Sens!J13986*Sens!J13984</f>
        <v>161.477102322734</v>
      </c>
      <c r="K13987" s="6" t="n">
        <f aca="false">Sens!K13986*Sens!K13984</f>
        <v>171.687457851086</v>
      </c>
    </row>
    <row r="13988" customFormat="false" ht="17.15" hidden="false" customHeight="false" outlineLevel="0" collapsed="false">
      <c r="A13988" s="1" t="s">
        <v>1225</v>
      </c>
      <c r="B13988" s="0" t="s">
        <v>98</v>
      </c>
      <c r="C13988" s="6" t="n">
        <f aca="false">SUM(Sens!F13987:K13987)</f>
        <v>539.408998731518</v>
      </c>
    </row>
    <row r="13989" customFormat="false" ht="17.15" hidden="false" customHeight="false" outlineLevel="0" collapsed="false">
      <c r="A13989" s="1" t="s">
        <v>1226</v>
      </c>
      <c r="B13989" s="0" t="s">
        <v>98</v>
      </c>
      <c r="C13989" s="6" t="n">
        <f aca="false">PL!K78*(1+g_tv)*(1-tax_f)</f>
        <v>284.979534119394</v>
      </c>
    </row>
    <row r="13990" customFormat="false" ht="17.15" hidden="false" customHeight="false" outlineLevel="0" collapsed="false">
      <c r="A13990" s="1" t="s">
        <v>1227</v>
      </c>
      <c r="B13990" s="0" t="s">
        <v>98</v>
      </c>
      <c r="C13990" s="6" t="n">
        <f aca="false">Sens!$C$13989*(1-g_tv/((wacc-0.01)+ronic_prem))</f>
        <v>192.987930633675</v>
      </c>
    </row>
    <row r="13991" customFormat="false" ht="17.15" hidden="false" customHeight="false" outlineLevel="0" collapsed="false">
      <c r="A13991" s="1" t="s">
        <v>1228</v>
      </c>
      <c r="B13991" s="0" t="s">
        <v>98</v>
      </c>
      <c r="C13991" s="6" t="n">
        <f aca="false">Sens!$C$13990/((wacc-0.01)-g_tv)</f>
        <v>3066.38678285728</v>
      </c>
    </row>
    <row r="13992" customFormat="false" ht="15" hidden="false" customHeight="false" outlineLevel="0" collapsed="false">
      <c r="A13992" s="1" t="s">
        <v>1229</v>
      </c>
      <c r="B13992" s="0" t="s">
        <v>98</v>
      </c>
      <c r="C13992" s="6" t="n">
        <f aca="false">Sens!$C$13991/(1+(wacc-0.01))^Sens!K13983</f>
        <v>1839.86172004233</v>
      </c>
    </row>
    <row r="13993" customFormat="false" ht="17.15" hidden="false" customHeight="false" outlineLevel="0" collapsed="false">
      <c r="A13993" s="0" t="s">
        <v>1230</v>
      </c>
      <c r="B13993" s="0" t="s">
        <v>98</v>
      </c>
      <c r="C13993" s="6" t="n">
        <f aca="false">Sens!$C$13988+Sens!$C$13992</f>
        <v>2379.27071877385</v>
      </c>
    </row>
    <row r="13994" customFormat="false" ht="15" hidden="false" customHeight="false" outlineLevel="0" collapsed="false">
      <c r="A13994" s="1" t="s">
        <v>1145</v>
      </c>
      <c r="B13994" s="0" t="s">
        <v>168</v>
      </c>
      <c r="C13994" s="7" t="n">
        <f aca="false">Sens!$C$13992/Sens!$C$13993</f>
        <v>0.773288094341151</v>
      </c>
    </row>
    <row r="13995" customFormat="false" ht="17.15" hidden="false" customHeight="false" outlineLevel="0" collapsed="false">
      <c r="A13995" s="1" t="s">
        <v>1231</v>
      </c>
      <c r="B13995" s="0" t="s">
        <v>98</v>
      </c>
      <c r="C13995" s="6" t="n">
        <f aca="false">Sens!$C$13993+cash_val-debt_val-fl_val+oai_v</f>
        <v>2495.12171877385</v>
      </c>
    </row>
    <row r="13996" customFormat="false" ht="17.15" hidden="false" customHeight="false" outlineLevel="0" collapsed="false">
      <c r="A13996" s="0" t="s">
        <v>1153</v>
      </c>
      <c r="B13996" s="0" t="s">
        <v>75</v>
      </c>
      <c r="C13996" s="5" t="n">
        <f aca="false">Sens!$C$13995/shd_val</f>
        <v>335.095584041613</v>
      </c>
    </row>
    <row r="13997" customFormat="false" ht="15" hidden="false" customHeight="false" outlineLevel="0" collapsed="false">
      <c r="A13997" s="1" t="s">
        <v>1232</v>
      </c>
      <c r="B13997" s="0" t="s">
        <v>75</v>
      </c>
      <c r="C13997" s="8" t="n">
        <f aca="false">div_rem27+CF!G63*roll_div_q/q_per_yr</f>
        <v>3.9795</v>
      </c>
    </row>
    <row r="13998" customFormat="false" ht="17.15" hidden="false" customHeight="false" outlineLevel="0" collapsed="false">
      <c r="A13998" s="0" t="s">
        <v>1233</v>
      </c>
      <c r="B13998" s="0" t="s">
        <v>75</v>
      </c>
      <c r="C13998" s="5" t="n">
        <f aca="false">Sens!$C$13996*(1+(wacc-0.01))^t_roll-Sens!$C$13997</f>
        <v>364.853796501004</v>
      </c>
    </row>
    <row r="13999" customFormat="false" ht="17.15" hidden="false" customHeight="false" outlineLevel="0" collapsed="false">
      <c r="A13999" s="1" t="s">
        <v>1234</v>
      </c>
      <c r="B13999" s="0" t="s">
        <v>168</v>
      </c>
      <c r="F13999" s="7" t="n">
        <f aca="false">CF!F49/(Seg!F56-Thesis!F77)</f>
        <v>0.0686195668908011</v>
      </c>
      <c r="G13999" s="7" t="n">
        <f aca="false">CF!G49/(Seg!G56-Thesis!G77)</f>
        <v>0.0658333569148391</v>
      </c>
      <c r="H13999" s="7" t="n">
        <f aca="false">CF!H49/(Seg!H56-Thesis!H77)</f>
        <v>0.0643895625218926</v>
      </c>
      <c r="I13999" s="7" t="n">
        <f aca="false">CF!I49/(Seg!I56-Thesis!I77)</f>
        <v>0.0641676618157989</v>
      </c>
      <c r="J13999" s="7" t="n">
        <f aca="false">CF!J49/(Seg!J56-Thesis!J77)</f>
        <v>0.0648858606572163</v>
      </c>
      <c r="K13999" s="7" t="n">
        <f aca="false">CF!K49/(Seg!K56-Thesis!K77)</f>
        <v>0.0661974425163768</v>
      </c>
    </row>
    <row r="14000" customFormat="false" ht="17.15" hidden="false" customHeight="false" outlineLevel="0" collapsed="false">
      <c r="A14000" s="0" t="s">
        <v>1235</v>
      </c>
      <c r="B14000" s="0" t="s">
        <v>98</v>
      </c>
      <c r="F14000" s="6" t="n">
        <f aca="false">Seg!F41*(al_m365+Sens!F13999+sbc_r)</f>
        <v>83.7205619248671</v>
      </c>
      <c r="G14000" s="6" t="n">
        <f aca="false">Seg!G41*(al_m365+Sens!G13999+sbc_r)</f>
        <v>96.1301303332381</v>
      </c>
      <c r="H14000" s="6" t="n">
        <f aca="false">Seg!H41*(al_m365+Sens!H13999+sbc_r)</f>
        <v>108.70354073822</v>
      </c>
      <c r="I14000" s="6" t="n">
        <f aca="false">Seg!I41*(al_m365+Sens!I13999+sbc_r)</f>
        <v>120.260101315626</v>
      </c>
      <c r="J14000" s="6" t="n">
        <f aca="false">Seg!J41*(al_m365+Sens!J13999+sbc_r)</f>
        <v>130.611904548619</v>
      </c>
      <c r="K14000" s="6" t="n">
        <f aca="false">Seg!K41*(al_m365+Sens!K13999+sbc_r)</f>
        <v>140.575094974638</v>
      </c>
      <c r="L14000" s="12" t="s">
        <v>1236</v>
      </c>
    </row>
    <row r="14001" customFormat="false" ht="17.15" hidden="false" customHeight="false" outlineLevel="0" collapsed="false">
      <c r="A14001" s="0" t="s">
        <v>1237</v>
      </c>
      <c r="B14001" s="0" t="s">
        <v>98</v>
      </c>
      <c r="F14001" s="6" t="n">
        <f aca="false">Seg!F42*(al_lic+Sens!F13999+sbc_r)</f>
        <v>32.8577657183496</v>
      </c>
      <c r="G14001" s="6" t="n">
        <f aca="false">Seg!G42*(al_lic+Sens!G13999+sbc_r)</f>
        <v>34.1376266324889</v>
      </c>
      <c r="H14001" s="6" t="n">
        <f aca="false">Seg!H42*(al_lic+Sens!H13999+sbc_r)</f>
        <v>35.3325744664128</v>
      </c>
      <c r="I14001" s="6" t="n">
        <f aca="false">Seg!I42*(al_lic+Sens!I13999+sbc_r)</f>
        <v>36.4244749008727</v>
      </c>
      <c r="J14001" s="6" t="n">
        <f aca="false">Seg!J42*(al_lic+Sens!J13999+sbc_r)</f>
        <v>37.3879406068527</v>
      </c>
      <c r="K14001" s="6" t="n">
        <f aca="false">Seg!K42*(al_lic+Sens!K13999+sbc_r)</f>
        <v>38.1943876078259</v>
      </c>
    </row>
    <row r="14002" customFormat="false" ht="17.15" hidden="false" customHeight="false" outlineLevel="0" collapsed="false">
      <c r="A14002" s="0" t="s">
        <v>1238</v>
      </c>
      <c r="B14002" s="0" t="s">
        <v>98</v>
      </c>
      <c r="F14002" s="6" t="n">
        <f aca="false">Seg!F44*(al_ind+Sens!F13999+sbc_r)</f>
        <v>9.06041701092022</v>
      </c>
      <c r="G14002" s="6" t="n">
        <f aca="false">Seg!G44*(al_ind+Sens!G13999+sbc_r)</f>
        <v>9.83619082712885</v>
      </c>
      <c r="H14002" s="6" t="n">
        <f aca="false">Seg!H44*(al_ind+Sens!H13999+sbc_r)</f>
        <v>10.6570160105312</v>
      </c>
      <c r="I14002" s="6" t="n">
        <f aca="false">Seg!I44*(al_ind+Sens!I13999+sbc_r)</f>
        <v>11.5198571637125</v>
      </c>
      <c r="J14002" s="6" t="n">
        <f aca="false">Seg!J44*(al_ind+Sens!J13999+sbc_r)</f>
        <v>12.4150086539206</v>
      </c>
      <c r="K14002" s="6" t="n">
        <f aca="false">Seg!K44*(al_ind+Sens!K13999+sbc_r)</f>
        <v>13.3273714589988</v>
      </c>
    </row>
    <row r="14003" customFormat="false" ht="17.15" hidden="false" customHeight="false" outlineLevel="0" collapsed="false">
      <c r="A14003" s="0" t="s">
        <v>1239</v>
      </c>
      <c r="B14003" s="0" t="s">
        <v>98</v>
      </c>
      <c r="F14003" s="6" t="n">
        <f aca="false">Seg!F46*(al_fro+Sens!F13999+sbc_r)</f>
        <v>3.55402950182022</v>
      </c>
      <c r="G14003" s="6" t="n">
        <f aca="false">Seg!G46*(al_fro+Sens!G13999+sbc_r)</f>
        <v>3.76361488926481</v>
      </c>
      <c r="H14003" s="6" t="n">
        <f aca="false">Seg!H46*(al_fro+Sens!H13999+sbc_r)</f>
        <v>4.00220968879544</v>
      </c>
      <c r="I14003" s="6" t="n">
        <f aca="false">Seg!I46*(al_fro+Sens!I13999+sbc_r)</f>
        <v>4.2725765173852</v>
      </c>
      <c r="J14003" s="6" t="n">
        <f aca="false">Seg!J46*(al_fro+Sens!J13999+sbc_r)</f>
        <v>4.57586224390293</v>
      </c>
      <c r="K14003" s="6" t="n">
        <f aca="false">Seg!K46*(al_fro+Sens!K13999+sbc_r)</f>
        <v>4.91213639633217</v>
      </c>
    </row>
    <row r="14004" customFormat="false" ht="17.15" hidden="false" customHeight="false" outlineLevel="0" collapsed="false">
      <c r="A14004" s="0" t="s">
        <v>1240</v>
      </c>
      <c r="B14004" s="0" t="s">
        <v>98</v>
      </c>
      <c r="F14004" s="6" t="n">
        <f aca="false">Seg!F49*(al_srch+Sens!F13999+sbc_r)</f>
        <v>11.1890902994147</v>
      </c>
      <c r="G14004" s="6" t="n">
        <f aca="false">Seg!G49*(al_srch+Sens!G13999+sbc_r)</f>
        <v>12.261738891803</v>
      </c>
      <c r="H14004" s="6" t="n">
        <f aca="false">Seg!H49*(al_srch+Sens!H13999+sbc_r)</f>
        <v>13.3794863429193</v>
      </c>
      <c r="I14004" s="6" t="n">
        <f aca="false">Seg!I49*(al_srch+Sens!I13999+sbc_r)</f>
        <v>14.5317114787784</v>
      </c>
      <c r="J14004" s="6" t="n">
        <f aca="false">Seg!J49*(al_srch+Sens!J13999+sbc_r)</f>
        <v>15.6984365817724</v>
      </c>
      <c r="K14004" s="6" t="n">
        <f aca="false">Seg!K49*(al_srch+Sens!K13999+sbc_r)</f>
        <v>16.8520942258664</v>
      </c>
    </row>
    <row r="14005" customFormat="false" ht="17.15" hidden="false" customHeight="false" outlineLevel="0" collapsed="false">
      <c r="A14005" s="0" t="s">
        <v>1241</v>
      </c>
      <c r="B14005" s="0" t="s">
        <v>98</v>
      </c>
      <c r="F14005" s="6" t="n">
        <f aca="false">Thesis!F83-Thesis!F84+Thesis!F99</f>
        <v>42.5431090240393</v>
      </c>
      <c r="G14005" s="6" t="n">
        <f aca="false">Thesis!G83-Thesis!G84+Thesis!G99</f>
        <v>81.4922561130847</v>
      </c>
      <c r="H14005" s="6" t="n">
        <f aca="false">Thesis!H83-Thesis!H84+Thesis!H99</f>
        <v>123.278266211349</v>
      </c>
      <c r="I14005" s="6" t="n">
        <f aca="false">Thesis!I83-Thesis!I84+Thesis!I99</f>
        <v>160.60594185192</v>
      </c>
      <c r="J14005" s="6" t="n">
        <f aca="false">Thesis!J83-Thesis!J84+Thesis!J99</f>
        <v>186.818741832633</v>
      </c>
      <c r="K14005" s="6" t="n">
        <f aca="false">Thesis!K83-Thesis!K84+Thesis!K99</f>
        <v>202.776422159652</v>
      </c>
    </row>
    <row r="14006" customFormat="false" ht="17.15" hidden="false" customHeight="false" outlineLevel="0" collapsed="false">
      <c r="A14006" s="0" t="s">
        <v>1242</v>
      </c>
      <c r="B14006" s="0" t="s">
        <v>98</v>
      </c>
      <c r="F14006" s="6" t="n">
        <f aca="false">PL!F71+Thesis!F99+Thesis!F95+Sens!F13999*(Seg!F48-Thesis!F77)+sbc_r*Seg!F48</f>
        <v>238.090727427296</v>
      </c>
      <c r="G14006" s="6" t="n">
        <f aca="false">PL!G71+Thesis!G99+Thesis!G95+Sens!G13999*(Seg!G48-Thesis!G77)+sbc_r*Seg!G48</f>
        <v>299.90836088563</v>
      </c>
      <c r="H14006" s="6" t="n">
        <f aca="false">PL!H71+Thesis!H99+Thesis!H95+Sens!H13999*(Seg!H48-Thesis!H77)+sbc_r*Seg!H48</f>
        <v>369.457709442386</v>
      </c>
      <c r="I14006" s="6" t="n">
        <f aca="false">PL!I71+Thesis!I99+Thesis!I95+Sens!I13999*(Seg!I48-Thesis!I77)+sbc_r*Seg!I48</f>
        <v>433.16585128823</v>
      </c>
      <c r="J14006" s="6" t="n">
        <f aca="false">PL!J71+Thesis!J99+Thesis!J95+Sens!J13999*(Seg!J48-Thesis!J77)+sbc_r*Seg!J48</f>
        <v>483.301303131191</v>
      </c>
      <c r="K14006" s="6" t="n">
        <f aca="false">PL!K71+Thesis!K99+Thesis!K95+Sens!K13999*(Seg!K48-Thesis!K77)+sbc_r*Seg!K48</f>
        <v>520.789002205336</v>
      </c>
    </row>
    <row r="14007" customFormat="false" ht="17.15" hidden="false" customHeight="false" outlineLevel="0" collapsed="false">
      <c r="A14007" s="0" t="s">
        <v>1243</v>
      </c>
      <c r="B14007" s="0" t="s">
        <v>98</v>
      </c>
      <c r="F14007" s="6" t="n">
        <f aca="false">Sens!F14006-Sens!F14000-Sens!F14001-Sens!F14002-Sens!F14003-Sens!F14005</f>
        <v>66.3548442472996</v>
      </c>
      <c r="G14007" s="6" t="n">
        <f aca="false">Sens!G14006-Sens!G14000-Sens!G14001-Sens!G14002-Sens!G14003-Sens!G14005</f>
        <v>74.548542090425</v>
      </c>
      <c r="H14007" s="6" t="n">
        <f aca="false">Sens!H14006-Sens!H14000-Sens!H14001-Sens!H14002-Sens!H14003-Sens!H14005</f>
        <v>87.4841023270775</v>
      </c>
      <c r="I14007" s="6" t="n">
        <f aca="false">Sens!I14006-Sens!I14000-Sens!I14001-Sens!I14002-Sens!I14003-Sens!I14005</f>
        <v>100.082899538713</v>
      </c>
      <c r="J14007" s="6" t="n">
        <f aca="false">Sens!J14006-Sens!J14000-Sens!J14001-Sens!J14002-Sens!J14003-Sens!J14005</f>
        <v>111.491845245262</v>
      </c>
      <c r="K14007" s="6" t="n">
        <f aca="false">Sens!K14006-Sens!K14000-Sens!K14001-Sens!K14002-Sens!K14003-Sens!K14005</f>
        <v>121.003589607889</v>
      </c>
    </row>
    <row r="14008" customFormat="false" ht="17.15" hidden="false" customHeight="false" outlineLevel="0" collapsed="false">
      <c r="A14008" s="0" t="s">
        <v>1244</v>
      </c>
      <c r="B14008" s="0" t="s">
        <v>98</v>
      </c>
      <c r="F14008" s="6" t="n">
        <f aca="false">PL!F73+Sens!F13999*Seg!F55+sbc_r*Seg!F55</f>
        <v>26.6336365855879</v>
      </c>
      <c r="G14008" s="6" t="n">
        <f aca="false">PL!G73+Sens!G13999*Seg!G55+sbc_r*Seg!G55</f>
        <v>26.4720859498625</v>
      </c>
      <c r="H14008" s="6" t="n">
        <f aca="false">PL!H73+Sens!H13999*Seg!H55+sbc_r*Seg!H55</f>
        <v>27.346793021284</v>
      </c>
      <c r="I14008" s="6" t="n">
        <f aca="false">PL!I73+Sens!I13999*Seg!I55+sbc_r*Seg!I55</f>
        <v>28.4574657863154</v>
      </c>
      <c r="J14008" s="6" t="n">
        <f aca="false">PL!J73+Sens!J13999*Seg!J55+sbc_r*Seg!J55</f>
        <v>29.7689890546037</v>
      </c>
      <c r="K14008" s="6" t="n">
        <f aca="false">PL!K73+Sens!K13999*Seg!K55+sbc_r*Seg!K55</f>
        <v>31.2443947307494</v>
      </c>
    </row>
    <row r="14009" customFormat="false" ht="17.15" hidden="false" customHeight="false" outlineLevel="0" collapsed="false">
      <c r="A14009" s="0" t="s">
        <v>1245</v>
      </c>
      <c r="B14009" s="0" t="s">
        <v>98</v>
      </c>
      <c r="F14009" s="6" t="n">
        <f aca="false">(Sens!F14008-Sens!F14004)*Seg!F51/(Seg!F51+Seg!F53)</f>
        <v>8.72285608232241</v>
      </c>
      <c r="G14009" s="6" t="n">
        <f aca="false">(Sens!G14008-Sens!G14004)*Seg!G51/(Seg!G51+Seg!G53)</f>
        <v>7.88786455444355</v>
      </c>
      <c r="H14009" s="6" t="n">
        <f aca="false">(Sens!H14008-Sens!H14004)*Seg!H51/(Seg!H51+Seg!H53)</f>
        <v>7.65195986819674</v>
      </c>
      <c r="I14009" s="6" t="n">
        <f aca="false">(Sens!I14008-Sens!I14004)*Seg!I51/(Seg!I51+Seg!I53)</f>
        <v>7.56260440676676</v>
      </c>
      <c r="J14009" s="6" t="n">
        <f aca="false">(Sens!J14008-Sens!J14004)*Seg!J51/(Seg!J51+Seg!J53)</f>
        <v>7.60790100885945</v>
      </c>
      <c r="K14009" s="6" t="n">
        <f aca="false">(Sens!K14008-Sens!K14004)*Seg!K51/(Seg!K51+Seg!K53)</f>
        <v>7.78186910160995</v>
      </c>
    </row>
    <row r="14010" customFormat="false" ht="17.15" hidden="false" customHeight="false" outlineLevel="0" collapsed="false">
      <c r="A14010" s="0" t="s">
        <v>1246</v>
      </c>
      <c r="B14010" s="0" t="s">
        <v>98</v>
      </c>
      <c r="F14010" s="6" t="n">
        <f aca="false">Sens!F14008-Sens!F14004-Sens!F14009</f>
        <v>6.72169020385088</v>
      </c>
      <c r="G14010" s="6" t="n">
        <f aca="false">Sens!G14008-Sens!G14004-Sens!G14009</f>
        <v>6.322482503616</v>
      </c>
      <c r="H14010" s="6" t="n">
        <f aca="false">Sens!H14008-Sens!H14004-Sens!H14009</f>
        <v>6.315346810168</v>
      </c>
      <c r="I14010" s="6" t="n">
        <f aca="false">Sens!I14008-Sens!I14004-Sens!I14009</f>
        <v>6.36314990077033</v>
      </c>
      <c r="J14010" s="6" t="n">
        <f aca="false">Sens!J14008-Sens!J14004-Sens!J14009</f>
        <v>6.46265146397189</v>
      </c>
      <c r="K14010" s="6" t="n">
        <f aca="false">Sens!K14008-Sens!K14004-Sens!K14009</f>
        <v>6.61043140327304</v>
      </c>
    </row>
    <row r="14011" customFormat="false" ht="17.15" hidden="false" customHeight="false" outlineLevel="0" collapsed="false">
      <c r="A14011" s="0" t="s">
        <v>1247</v>
      </c>
      <c r="B14011" s="0" t="s">
        <v>98</v>
      </c>
      <c r="F14011" s="6" t="n">
        <f aca="false">Sens!F14005-tax_f*(Sens!F14005-Thesis!F95)-Thesis!F92</f>
        <v>-127.503553927218</v>
      </c>
      <c r="G14011" s="6" t="n">
        <f aca="false">Sens!G14005-tax_f*(Sens!G14005-Thesis!G95)-Thesis!G92</f>
        <v>-114.603772628121</v>
      </c>
      <c r="H14011" s="6" t="n">
        <f aca="false">Sens!H14005-tax_f*(Sens!H14005-Thesis!H95)-Thesis!H92</f>
        <v>-80.3633729631438</v>
      </c>
      <c r="I14011" s="6" t="n">
        <f aca="false">Sens!I14005-tax_f*(Sens!I14005-Thesis!I95)-Thesis!I92</f>
        <v>-17.2838782011649</v>
      </c>
      <c r="J14011" s="6" t="n">
        <f aca="false">Sens!J14005-tax_f*(Sens!J14005-Thesis!J95)-Thesis!J92</f>
        <v>46.9281968800854</v>
      </c>
      <c r="K14011" s="6" t="n">
        <f aca="false">Sens!K14005-tax_f*(Sens!K14005-Thesis!K95)-Thesis!K92</f>
        <v>71.8608185731755</v>
      </c>
    </row>
    <row r="14012" customFormat="false" ht="17.15" hidden="false" customHeight="false" outlineLevel="0" collapsed="false">
      <c r="A14012" s="0" t="s">
        <v>1248</v>
      </c>
      <c r="B14012" s="0" t="s">
        <v>98</v>
      </c>
      <c r="G14012" s="6" t="n">
        <f aca="false">Sens!G14011/(1+(wacc-0.01))^(Sens!G13982-Sens!F13983)</f>
        <v>-109.622936454159</v>
      </c>
      <c r="H14012" s="6" t="n">
        <f aca="false">Sens!H14011/(1+(wacc-0.01))^(Sens!H13982-Sens!F13983)</f>
        <v>-70.3340631728203</v>
      </c>
      <c r="I14012" s="6" t="n">
        <f aca="false">Sens!I14011/(1+(wacc-0.01))^(Sens!I13982-Sens!F13983)</f>
        <v>-13.8405638059958</v>
      </c>
      <c r="J14012" s="6" t="n">
        <f aca="false">Sens!J14011/(1+(wacc-0.01))^(Sens!J13982-Sens!F13983)</f>
        <v>34.383611105675</v>
      </c>
      <c r="K14012" s="6" t="n">
        <f aca="false">Sens!K14011/(1+(wacc-0.01))^(Sens!K13982-Sens!F13983)</f>
        <v>48.1742333838472</v>
      </c>
      <c r="L14012" s="1" t="s">
        <v>1249</v>
      </c>
    </row>
    <row r="14013" customFormat="false" ht="17.15" hidden="false" customHeight="false" outlineLevel="0" collapsed="false">
      <c r="A14013" s="0" t="s">
        <v>1250</v>
      </c>
      <c r="B14013" s="0" t="s">
        <v>98</v>
      </c>
      <c r="C14013" s="6" t="n">
        <f aca="false">(Sens!K14005-Thesis!K95)*(1-tax_f)*(1+g_tv)*(1-g_tv/((wacc-0.01)+ronic_prem))/((wacc-0.01)-g_tv)/(1+(wacc-0.01))^(Sens!K13983-Sens!F13983)</f>
        <v>339.784452015358</v>
      </c>
    </row>
    <row r="14014" customFormat="false" ht="17.15" hidden="false" customHeight="false" outlineLevel="0" collapsed="false">
      <c r="A14014" s="1" t="s">
        <v>1251</v>
      </c>
      <c r="B14014" s="0" t="s">
        <v>98</v>
      </c>
      <c r="C14014" s="6" t="n">
        <f aca="false">(SUM(Sens!G14012:K14012)+Sens!$C$14013)*(1+(wacc-0.01))^(t_roll-Sens!F13983)</f>
        <v>235.377915719856</v>
      </c>
      <c r="L14014" s="12" t="s">
        <v>1252</v>
      </c>
    </row>
    <row r="14015" customFormat="false" ht="17.15" hidden="false" customHeight="false" outlineLevel="0" collapsed="false">
      <c r="A14015" s="1" t="s">
        <v>1253</v>
      </c>
      <c r="B14015" s="0" t="s">
        <v>98</v>
      </c>
      <c r="C14015" s="6" t="n">
        <f aca="false">(w_ntm28*Thesis!G83+(1-w_ntm28)*Thesis!H83)*m_ai</f>
        <v>463.789109510335</v>
      </c>
    </row>
    <row r="14016" customFormat="false" ht="17.15" hidden="false" customHeight="false" outlineLevel="0" collapsed="false">
      <c r="A14016" s="1" t="s">
        <v>1254</v>
      </c>
      <c r="B14016" s="0" t="s">
        <v>98</v>
      </c>
      <c r="C14016" s="6" t="n">
        <f aca="false">(w_ntm28*Sens!G14007+(1-w_ntm28)*Sens!H14007)*m_cloud</f>
        <v>1089.03436702245</v>
      </c>
    </row>
    <row r="14017" customFormat="false" ht="17.15" hidden="false" customHeight="false" outlineLevel="0" collapsed="false">
      <c r="A14017" s="1" t="s">
        <v>1255</v>
      </c>
      <c r="B14017" s="0" t="s">
        <v>98</v>
      </c>
      <c r="C14017" s="6" t="n">
        <f aca="false">(w_ntm28*Sens!G14000+(1-w_ntm28)*Sens!H14000)*m_sw</f>
        <v>1082.84962646159</v>
      </c>
    </row>
    <row r="14018" customFormat="false" ht="17.15" hidden="false" customHeight="false" outlineLevel="0" collapsed="false">
      <c r="A14018" s="1" t="s">
        <v>1256</v>
      </c>
      <c r="B14018" s="0" t="s">
        <v>98</v>
      </c>
      <c r="C14018" s="6" t="n">
        <f aca="false">(w_ntm28*Sens!G14001+(1-w_ntm28)*Sens!H14001)*m_sw</f>
        <v>372.929250898731</v>
      </c>
    </row>
    <row r="14019" customFormat="false" ht="17.15" hidden="false" customHeight="false" outlineLevel="0" collapsed="false">
      <c r="A14019" s="1" t="s">
        <v>1257</v>
      </c>
      <c r="B14019" s="0" t="s">
        <v>98</v>
      </c>
      <c r="C14019" s="6" t="n">
        <f aca="false">(w_ntm28*Sens!G14002+(1-w_ntm28)*Sens!H14002)*m_sw</f>
        <v>109.1453525431</v>
      </c>
    </row>
    <row r="14020" customFormat="false" ht="17.15" hidden="false" customHeight="false" outlineLevel="0" collapsed="false">
      <c r="A14020" s="1" t="s">
        <v>1258</v>
      </c>
      <c r="B14020" s="0" t="s">
        <v>98</v>
      </c>
      <c r="C14020" s="6" t="n">
        <f aca="false">(w_ntm28*Sens!G14003+(1-w_ntm28)*Sens!H14003)*m_sw</f>
        <v>41.4942157634893</v>
      </c>
    </row>
    <row r="14021" customFormat="false" ht="17.15" hidden="false" customHeight="false" outlineLevel="0" collapsed="false">
      <c r="A14021" s="1" t="s">
        <v>1259</v>
      </c>
      <c r="B14021" s="0" t="s">
        <v>98</v>
      </c>
      <c r="C14021" s="6" t="n">
        <f aca="false">(w_ntm28*Sens!G14004+(1-w_ntm28)*Sens!H14004)*m_ads</f>
        <v>115.052171478463</v>
      </c>
    </row>
    <row r="14022" customFormat="false" ht="17.15" hidden="false" customHeight="false" outlineLevel="0" collapsed="false">
      <c r="A14022" s="1" t="s">
        <v>1260</v>
      </c>
      <c r="B14022" s="0" t="s">
        <v>98</v>
      </c>
      <c r="C14022" s="6" t="n">
        <f aca="false">(w_ntm28*Sens!G14009+(1-w_ntm28)*Sens!H14009)*m_game</f>
        <v>98.6441755076202</v>
      </c>
    </row>
    <row r="14023" customFormat="false" ht="17.15" hidden="false" customHeight="false" outlineLevel="0" collapsed="false">
      <c r="A14023" s="1" t="s">
        <v>1261</v>
      </c>
      <c r="B14023" s="0" t="s">
        <v>98</v>
      </c>
      <c r="C14023" s="6" t="n">
        <f aca="false">(w_ntm28*Sens!G14010+(1-w_ntm28)*Sens!H14010)*m_pc</f>
        <v>91.4523754763561</v>
      </c>
    </row>
    <row r="14024" customFormat="false" ht="17.15" hidden="false" customHeight="false" outlineLevel="0" collapsed="false">
      <c r="A14024" s="1" t="s">
        <v>1262</v>
      </c>
      <c r="B14024" s="0" t="s">
        <v>98</v>
      </c>
      <c r="C14024" s="6" t="n">
        <f aca="false">Sens!$C$14014+Sens!$C$14016+Sens!$C$14017+Sens!$C$14018+Sens!$C$14019+Sens!$C$14020+Sens!$C$14021+Sens!$C$14022+Sens!$C$14023</f>
        <v>3235.97945087166</v>
      </c>
    </row>
    <row r="14025" customFormat="false" ht="17.15" hidden="false" customHeight="false" outlineLevel="0" collapsed="false">
      <c r="A14025" s="1" t="s">
        <v>1263</v>
      </c>
      <c r="B14025" s="0" t="s">
        <v>98</v>
      </c>
      <c r="C14025" s="6" t="n">
        <f aca="false">(Sens!G13986-Sens!G14011)*t_stub</f>
        <v>47.8736427515113</v>
      </c>
      <c r="L14025" s="1" t="s">
        <v>1264</v>
      </c>
    </row>
    <row r="14026" customFormat="false" ht="17.15" hidden="false" customHeight="false" outlineLevel="0" collapsed="false">
      <c r="A14026" s="1" t="s">
        <v>1173</v>
      </c>
      <c r="B14026" s="0" t="s">
        <v>98</v>
      </c>
      <c r="C14026" s="6" t="n">
        <f aca="false">CF!F71+oai_v-CF!F60+Sens!$C$14025</f>
        <v>162.101912751511</v>
      </c>
      <c r="L14026" s="1" t="s">
        <v>1265</v>
      </c>
    </row>
    <row r="14027" customFormat="false" ht="17.15" hidden="false" customHeight="false" outlineLevel="0" collapsed="false">
      <c r="A14027" s="1" t="s">
        <v>1266</v>
      </c>
      <c r="B14027" s="0" t="s">
        <v>75</v>
      </c>
      <c r="C14027" s="5" t="n">
        <f aca="false">(Sens!$C$14024+Sens!$C$14026)/(CF!F73+dil_gap)-CF!G63*roll_div_q/q_per_yr</f>
        <v>452.309467716259</v>
      </c>
      <c r="L14027" s="1" t="s">
        <v>1267</v>
      </c>
    </row>
    <row r="14028" customFormat="false" ht="17.15" hidden="false" customHeight="false" outlineLevel="0" collapsed="false">
      <c r="A14028" s="1" t="s">
        <v>1268</v>
      </c>
      <c r="B14028" s="0" t="s">
        <v>75</v>
      </c>
      <c r="C14028" s="5" t="n">
        <f aca="false">w_dcf*Sens!$C$13998+(1-w_dcf)*Sens!$C$14027</f>
        <v>408.581632108631</v>
      </c>
    </row>
    <row r="14029" customFormat="false" ht="17.15" hidden="false" customHeight="false" outlineLevel="0" collapsed="false">
      <c r="A14029" s="3" t="s">
        <v>1962</v>
      </c>
    </row>
    <row r="14030" customFormat="false" ht="15" hidden="false" customHeight="false" outlineLevel="0" collapsed="false">
      <c r="A14030" s="4" t="s">
        <v>43</v>
      </c>
      <c r="B14030" s="4" t="s">
        <v>65</v>
      </c>
      <c r="C14030" s="23" t="s">
        <v>942</v>
      </c>
      <c r="D14030" s="23" t="s">
        <v>943</v>
      </c>
      <c r="E14030" s="23" t="s">
        <v>944</v>
      </c>
      <c r="F14030" s="23" t="s">
        <v>945</v>
      </c>
      <c r="G14030" s="23" t="s">
        <v>946</v>
      </c>
      <c r="H14030" s="23" t="s">
        <v>947</v>
      </c>
      <c r="I14030" s="23" t="s">
        <v>948</v>
      </c>
      <c r="J14030" s="23" t="s">
        <v>949</v>
      </c>
      <c r="K14030" s="23" t="s">
        <v>950</v>
      </c>
      <c r="L14030" s="4" t="s">
        <v>47</v>
      </c>
    </row>
    <row r="14031" customFormat="false" ht="17.15" hidden="false" customHeight="false" outlineLevel="0" collapsed="false">
      <c r="A14031" s="1" t="s">
        <v>1216</v>
      </c>
      <c r="B14031" s="1" t="s">
        <v>279</v>
      </c>
      <c r="F14031" s="8" t="n">
        <f aca="false">(1-v_off)*mid_yr</f>
        <v>0.373972602739726</v>
      </c>
      <c r="G14031" s="8" t="n">
        <f aca="false">Thesis!G110-base_fy-mid_yr-v_off</f>
        <v>1.24794520547945</v>
      </c>
      <c r="H14031" s="8" t="n">
        <f aca="false">Thesis!H110-base_fy-mid_yr-v_off</f>
        <v>2.24794520547945</v>
      </c>
      <c r="I14031" s="8" t="n">
        <f aca="false">Thesis!I110-base_fy-mid_yr-v_off</f>
        <v>3.24794520547945</v>
      </c>
      <c r="J14031" s="8" t="n">
        <f aca="false">Thesis!J110-base_fy-mid_yr-v_off</f>
        <v>4.24794520547945</v>
      </c>
      <c r="K14031" s="8" t="n">
        <f aca="false">Thesis!K110-base_fy-mid_yr-v_off</f>
        <v>5.24794520547945</v>
      </c>
      <c r="L14031" s="12" t="s">
        <v>1217</v>
      </c>
    </row>
    <row r="14032" customFormat="false" ht="15" hidden="false" customHeight="false" outlineLevel="0" collapsed="false">
      <c r="A14032" s="1" t="s">
        <v>1218</v>
      </c>
      <c r="B14032" s="1" t="s">
        <v>279</v>
      </c>
      <c r="F14032" s="8" t="n">
        <f aca="false">Thesis!F110-base_fy-v_off</f>
        <v>0.747945205479452</v>
      </c>
      <c r="G14032" s="8" t="n">
        <f aca="false">Thesis!G110-base_fy-v_off</f>
        <v>1.74794520547945</v>
      </c>
      <c r="H14032" s="8" t="n">
        <f aca="false">Thesis!H110-base_fy-v_off</f>
        <v>2.74794520547945</v>
      </c>
      <c r="I14032" s="8" t="n">
        <f aca="false">Thesis!I110-base_fy-v_off</f>
        <v>3.74794520547945</v>
      </c>
      <c r="J14032" s="8" t="n">
        <f aca="false">Thesis!J110-base_fy-v_off</f>
        <v>4.74794520547945</v>
      </c>
      <c r="K14032" s="8" t="n">
        <f aca="false">Thesis!K110-base_fy-v_off</f>
        <v>5.74794520547945</v>
      </c>
    </row>
    <row r="14033" customFormat="false" ht="15" hidden="false" customHeight="false" outlineLevel="0" collapsed="false">
      <c r="A14033" s="1" t="s">
        <v>1219</v>
      </c>
      <c r="B14033" s="0" t="s">
        <v>229</v>
      </c>
      <c r="F14033" s="15" t="n">
        <f aca="false">1/(1+(wacc-0.01))^Sens!F14031</f>
        <v>0.967311921156654</v>
      </c>
      <c r="G14033" s="15" t="n">
        <f aca="false">1/(1+(wacc-0.01))^Sens!G14031</f>
        <v>0.895025887723348</v>
      </c>
      <c r="H14033" s="15" t="n">
        <f aca="false">1/(1+(wacc-0.01))^Sens!H14031</f>
        <v>0.818918403078609</v>
      </c>
      <c r="I14033" s="15" t="n">
        <f aca="false">1/(1+(wacc-0.01))^Sens!I14031</f>
        <v>0.749282629809374</v>
      </c>
      <c r="J14033" s="15" t="n">
        <f aca="false">1/(1+(wacc-0.01))^Sens!J14031</f>
        <v>0.685568253471231</v>
      </c>
      <c r="K14033" s="15" t="n">
        <f aca="false">1/(1+(wacc-0.01))^Sens!K14031</f>
        <v>0.627271754968039</v>
      </c>
    </row>
    <row r="14034" customFormat="false" ht="17.15" hidden="false" customHeight="false" outlineLevel="0" collapsed="false">
      <c r="A14034" s="1" t="s">
        <v>1220</v>
      </c>
      <c r="B14034" s="0" t="s">
        <v>98</v>
      </c>
      <c r="F14034" s="6" t="n">
        <f aca="false">Q!$I$35-Q!$I$39-Q!$I$43</f>
        <v>9.666</v>
      </c>
      <c r="L14034" s="12" t="s">
        <v>1221</v>
      </c>
    </row>
    <row r="14035" customFormat="false" ht="17.15" hidden="false" customHeight="false" outlineLevel="0" collapsed="false">
      <c r="A14035" s="1" t="s">
        <v>1222</v>
      </c>
      <c r="B14035" s="0" t="s">
        <v>98</v>
      </c>
      <c r="F14035" s="6" t="n">
        <f aca="false">CF!F87-CF!F84-CF!F91+Thesis!F151*(1-tax_f)*(1-v_off)-Sens!F14034</f>
        <v>-6.10282680452259</v>
      </c>
      <c r="G14035" s="6" t="n">
        <f aca="false">CF!G87-CF!G84-CF!G91+Thesis!G151*(1-tax_f)</f>
        <v>19.0084129023516</v>
      </c>
      <c r="H14035" s="6" t="n">
        <f aca="false">CF!H87-CF!H84-CF!H91+Thesis!H151*(1-tax_f)</f>
        <v>55.9229468383331</v>
      </c>
      <c r="I14035" s="6" t="n">
        <f aca="false">CF!I87-CF!I84-CF!I91+Thesis!I151*(1-tax_f)</f>
        <v>127.901908576191</v>
      </c>
      <c r="J14035" s="6" t="n">
        <f aca="false">CF!J87-CF!J84-CF!J91+Thesis!J151*(1-tax_f)</f>
        <v>201.958443859638</v>
      </c>
      <c r="K14035" s="6" t="n">
        <f aca="false">CF!K87-CF!K84-CF!K91+Thesis!K151*(1-tax_f)</f>
        <v>237.542519059905</v>
      </c>
      <c r="L14035" s="1" t="s">
        <v>1223</v>
      </c>
    </row>
    <row r="14036" customFormat="false" ht="15" hidden="false" customHeight="false" outlineLevel="0" collapsed="false">
      <c r="A14036" s="1" t="s">
        <v>1224</v>
      </c>
      <c r="B14036" s="0" t="s">
        <v>98</v>
      </c>
      <c r="F14036" s="6" t="n">
        <f aca="false">Sens!F14035*Sens!F14033</f>
        <v>-5.90333712076907</v>
      </c>
      <c r="G14036" s="6" t="n">
        <f aca="false">Sens!G14035*Sens!G14033</f>
        <v>17.0130216321392</v>
      </c>
      <c r="H14036" s="6" t="n">
        <f aca="false">Sens!H14035*Sens!H14033</f>
        <v>45.7963303202977</v>
      </c>
      <c r="I14036" s="6" t="n">
        <f aca="false">Sens!I14035*Sens!I14033</f>
        <v>95.8346784156064</v>
      </c>
      <c r="J14036" s="6" t="n">
        <f aca="false">Sens!J14035*Sens!J14033</f>
        <v>138.45629763062</v>
      </c>
      <c r="K14036" s="6" t="n">
        <f aca="false">Sens!K14035*Sens!K14033</f>
        <v>149.003712810236</v>
      </c>
    </row>
    <row r="14037" customFormat="false" ht="17.15" hidden="false" customHeight="false" outlineLevel="0" collapsed="false">
      <c r="A14037" s="1" t="s">
        <v>1225</v>
      </c>
      <c r="B14037" s="0" t="s">
        <v>98</v>
      </c>
      <c r="C14037" s="6" t="n">
        <f aca="false">SUM(Sens!F14036:K14036)</f>
        <v>440.20070368813</v>
      </c>
    </row>
    <row r="14038" customFormat="false" ht="17.15" hidden="false" customHeight="false" outlineLevel="0" collapsed="false">
      <c r="A14038" s="1" t="s">
        <v>1226</v>
      </c>
      <c r="B14038" s="0" t="s">
        <v>98</v>
      </c>
      <c r="C14038" s="6" t="n">
        <f aca="false">PL!K117*(1+g_tv)*(1-tax_f)</f>
        <v>247.098906713682</v>
      </c>
    </row>
    <row r="14039" customFormat="false" ht="17.15" hidden="false" customHeight="false" outlineLevel="0" collapsed="false">
      <c r="A14039" s="1" t="s">
        <v>1227</v>
      </c>
      <c r="B14039" s="0" t="s">
        <v>98</v>
      </c>
      <c r="C14039" s="6" t="n">
        <f aca="false">Sens!$C$14038*(1-g_tv/((wacc-0.01)+ronic_prem))</f>
        <v>167.335197651556</v>
      </c>
    </row>
    <row r="14040" customFormat="false" ht="17.15" hidden="false" customHeight="false" outlineLevel="0" collapsed="false">
      <c r="A14040" s="1" t="s">
        <v>1228</v>
      </c>
      <c r="B14040" s="0" t="s">
        <v>98</v>
      </c>
      <c r="C14040" s="6" t="n">
        <f aca="false">Sens!$C$14039/((wacc-0.01)-g_tv)</f>
        <v>2658.79030207087</v>
      </c>
    </row>
    <row r="14041" customFormat="false" ht="15" hidden="false" customHeight="false" outlineLevel="0" collapsed="false">
      <c r="A14041" s="1" t="s">
        <v>1229</v>
      </c>
      <c r="B14041" s="0" t="s">
        <v>98</v>
      </c>
      <c r="C14041" s="6" t="n">
        <f aca="false">Sens!$C$14040/(1+(wacc-0.01))^Sens!K14032</f>
        <v>1595.29989032948</v>
      </c>
    </row>
    <row r="14042" customFormat="false" ht="17.15" hidden="false" customHeight="false" outlineLevel="0" collapsed="false">
      <c r="A14042" s="0" t="s">
        <v>1230</v>
      </c>
      <c r="B14042" s="0" t="s">
        <v>98</v>
      </c>
      <c r="C14042" s="6" t="n">
        <f aca="false">Sens!$C$14037+Sens!$C$14041</f>
        <v>2035.50059401761</v>
      </c>
    </row>
    <row r="14043" customFormat="false" ht="15" hidden="false" customHeight="false" outlineLevel="0" collapsed="false">
      <c r="A14043" s="1" t="s">
        <v>1145</v>
      </c>
      <c r="B14043" s="0" t="s">
        <v>168</v>
      </c>
      <c r="C14043" s="7" t="n">
        <f aca="false">Sens!$C$14041/Sens!$C$14042</f>
        <v>0.783738356558631</v>
      </c>
    </row>
    <row r="14044" customFormat="false" ht="17.15" hidden="false" customHeight="false" outlineLevel="0" collapsed="false">
      <c r="A14044" s="1" t="s">
        <v>1231</v>
      </c>
      <c r="B14044" s="0" t="s">
        <v>98</v>
      </c>
      <c r="C14044" s="6" t="n">
        <f aca="false">Sens!$C$14042+cash_val-debt_val-fl_val+oai_v</f>
        <v>2151.35159401761</v>
      </c>
    </row>
    <row r="14045" customFormat="false" ht="17.15" hidden="false" customHeight="false" outlineLevel="0" collapsed="false">
      <c r="A14045" s="0" t="s">
        <v>1153</v>
      </c>
      <c r="B14045" s="0" t="s">
        <v>75</v>
      </c>
      <c r="C14045" s="5" t="n">
        <f aca="false">Sens!$C$14044/shd_val</f>
        <v>288.927154716305</v>
      </c>
    </row>
    <row r="14046" customFormat="false" ht="15" hidden="false" customHeight="false" outlineLevel="0" collapsed="false">
      <c r="A14046" s="1" t="s">
        <v>1232</v>
      </c>
      <c r="B14046" s="0" t="s">
        <v>75</v>
      </c>
      <c r="C14046" s="8" t="n">
        <f aca="false">div_rem27+CF!G95*roll_div_q/q_per_yr</f>
        <v>3.9795</v>
      </c>
    </row>
    <row r="14047" customFormat="false" ht="17.15" hidden="false" customHeight="false" outlineLevel="0" collapsed="false">
      <c r="A14047" s="0" t="s">
        <v>1233</v>
      </c>
      <c r="B14047" s="0" t="s">
        <v>75</v>
      </c>
      <c r="C14047" s="5" t="n">
        <f aca="false">Sens!$C$14045*(1+(wacc-0.01))^t_roll-Sens!$C$14046</f>
        <v>314.037089885699</v>
      </c>
    </row>
    <row r="14048" customFormat="false" ht="17.15" hidden="false" customHeight="false" outlineLevel="0" collapsed="false">
      <c r="A14048" s="1" t="s">
        <v>1234</v>
      </c>
      <c r="B14048" s="0" t="s">
        <v>168</v>
      </c>
      <c r="F14048" s="7" t="n">
        <f aca="false">CF!F81/(Seg!F83-Thesis!F129)</f>
        <v>0.068677393452264</v>
      </c>
      <c r="G14048" s="7" t="n">
        <f aca="false">CF!G81/(Seg!G83-Thesis!G129)</f>
        <v>0.0663132664471956</v>
      </c>
      <c r="H14048" s="7" t="n">
        <f aca="false">CF!H81/(Seg!H83-Thesis!H129)</f>
        <v>0.0651363826734039</v>
      </c>
      <c r="I14048" s="7" t="n">
        <f aca="false">CF!I81/(Seg!I83-Thesis!I129)</f>
        <v>0.0650087936347709</v>
      </c>
      <c r="J14048" s="7" t="n">
        <f aca="false">CF!J81/(Seg!J83-Thesis!J129)</f>
        <v>0.0657212684841778</v>
      </c>
      <c r="K14048" s="7" t="n">
        <f aca="false">CF!K81/(Seg!K83-Thesis!K129)</f>
        <v>0.0670413306015285</v>
      </c>
    </row>
    <row r="14049" customFormat="false" ht="17.15" hidden="false" customHeight="false" outlineLevel="0" collapsed="false">
      <c r="A14049" s="0" t="s">
        <v>1235</v>
      </c>
      <c r="B14049" s="0" t="s">
        <v>98</v>
      </c>
      <c r="F14049" s="6" t="n">
        <f aca="false">Seg!F68*(al_m365+Sens!F14048+sbc_r)</f>
        <v>82.9185219618347</v>
      </c>
      <c r="G14049" s="6" t="n">
        <f aca="false">Seg!G68*(al_m365+Sens!G14048+sbc_r)</f>
        <v>93.3068052157631</v>
      </c>
      <c r="H14049" s="6" t="n">
        <f aca="false">Seg!H68*(al_m365+Sens!H14048+sbc_r)</f>
        <v>103.856057136159</v>
      </c>
      <c r="I14049" s="6" t="n">
        <f aca="false">Seg!I68*(al_m365+Sens!I14048+sbc_r)</f>
        <v>113.889717587147</v>
      </c>
      <c r="J14049" s="6" t="n">
        <f aca="false">Seg!J68*(al_m365+Sens!J14048+sbc_r)</f>
        <v>123.218477864124</v>
      </c>
      <c r="K14049" s="6" t="n">
        <f aca="false">Seg!K68*(al_m365+Sens!K14048+sbc_r)</f>
        <v>132.149420086311</v>
      </c>
      <c r="L14049" s="12" t="s">
        <v>1236</v>
      </c>
    </row>
    <row r="14050" customFormat="false" ht="17.15" hidden="false" customHeight="false" outlineLevel="0" collapsed="false">
      <c r="A14050" s="0" t="s">
        <v>1237</v>
      </c>
      <c r="B14050" s="0" t="s">
        <v>98</v>
      </c>
      <c r="F14050" s="6" t="n">
        <f aca="false">Seg!F69*(al_lic+Sens!F14048+sbc_r)</f>
        <v>32.8599853992256</v>
      </c>
      <c r="G14050" s="6" t="n">
        <f aca="false">Seg!G69*(al_lic+Sens!G14048+sbc_r)</f>
        <v>34.1568280697879</v>
      </c>
      <c r="H14050" s="6" t="n">
        <f aca="false">Seg!H69*(al_lic+Sens!H14048+sbc_r)</f>
        <v>35.3635535007213</v>
      </c>
      <c r="I14050" s="6" t="n">
        <f aca="false">Seg!I69*(al_lic+Sens!I14048+sbc_r)</f>
        <v>36.4604537346553</v>
      </c>
      <c r="J14050" s="6" t="n">
        <f aca="false">Seg!J69*(al_lic+Sens!J14048+sbc_r)</f>
        <v>37.4245888933574</v>
      </c>
      <c r="K14050" s="6" t="n">
        <f aca="false">Seg!K69*(al_lic+Sens!K14048+sbc_r)</f>
        <v>38.2321483186439</v>
      </c>
    </row>
    <row r="14051" customFormat="false" ht="17.15" hidden="false" customHeight="false" outlineLevel="0" collapsed="false">
      <c r="A14051" s="0" t="s">
        <v>1238</v>
      </c>
      <c r="B14051" s="0" t="s">
        <v>98</v>
      </c>
      <c r="F14051" s="6" t="n">
        <f aca="false">Seg!F71*(al_ind+Sens!F14048+sbc_r)</f>
        <v>9.06170747885803</v>
      </c>
      <c r="G14051" s="6" t="n">
        <f aca="false">Seg!G71*(al_ind+Sens!G14048+sbc_r)</f>
        <v>9.8478979082138</v>
      </c>
      <c r="H14051" s="6" t="n">
        <f aca="false">Seg!H71*(al_ind+Sens!H14048+sbc_r)</f>
        <v>10.6768254332059</v>
      </c>
      <c r="I14051" s="6" t="n">
        <f aca="false">Seg!I71*(al_ind+Sens!I14048+sbc_r)</f>
        <v>11.54398793803</v>
      </c>
      <c r="J14051" s="6" t="n">
        <f aca="false">Seg!J71*(al_ind+Sens!J14048+sbc_r)</f>
        <v>12.4407914253112</v>
      </c>
      <c r="K14051" s="6" t="n">
        <f aca="false">Seg!K71*(al_ind+Sens!K14048+sbc_r)</f>
        <v>13.355239066864</v>
      </c>
    </row>
    <row r="14052" customFormat="false" ht="17.15" hidden="false" customHeight="false" outlineLevel="0" collapsed="false">
      <c r="A14052" s="0" t="s">
        <v>1239</v>
      </c>
      <c r="B14052" s="0" t="s">
        <v>98</v>
      </c>
      <c r="F14052" s="6" t="n">
        <f aca="false">Seg!F73*(al_fro+Sens!F14048+sbc_r)</f>
        <v>3.55453569939552</v>
      </c>
      <c r="G14052" s="6" t="n">
        <f aca="false">Seg!G73*(al_fro+Sens!G14048+sbc_r)</f>
        <v>3.76809436159872</v>
      </c>
      <c r="H14052" s="6" t="n">
        <f aca="false">Seg!H73*(al_fro+Sens!H14048+sbc_r)</f>
        <v>4.00964905674607</v>
      </c>
      <c r="I14052" s="6" t="n">
        <f aca="false">Seg!I73*(al_fro+Sens!I14048+sbc_r)</f>
        <v>4.28152633145235</v>
      </c>
      <c r="J14052" s="6" t="n">
        <f aca="false">Seg!J73*(al_fro+Sens!J14048+sbc_r)</f>
        <v>4.58536512975975</v>
      </c>
      <c r="K14052" s="6" t="n">
        <f aca="false">Seg!K73*(al_fro+Sens!K14048+sbc_r)</f>
        <v>4.92240770086468</v>
      </c>
    </row>
    <row r="14053" customFormat="false" ht="17.15" hidden="false" customHeight="false" outlineLevel="0" collapsed="false">
      <c r="A14053" s="0" t="s">
        <v>1240</v>
      </c>
      <c r="B14053" s="0" t="s">
        <v>98</v>
      </c>
      <c r="F14053" s="6" t="n">
        <f aca="false">Seg!F76*(al_srch+Sens!F14048+sbc_r)</f>
        <v>11.190683952584</v>
      </c>
      <c r="G14053" s="6" t="n">
        <f aca="false">Seg!G76*(al_srch+Sens!G14048+sbc_r)</f>
        <v>12.2763328717258</v>
      </c>
      <c r="H14053" s="6" t="n">
        <f aca="false">Seg!H76*(al_srch+Sens!H14048+sbc_r)</f>
        <v>13.4043563346576</v>
      </c>
      <c r="I14053" s="6" t="n">
        <f aca="false">Seg!I76*(al_srch+Sens!I14048+sbc_r)</f>
        <v>14.5621512181916</v>
      </c>
      <c r="J14053" s="6" t="n">
        <f aca="false">Seg!J76*(al_srch+Sens!J14048+sbc_r)</f>
        <v>15.7310381862385</v>
      </c>
      <c r="K14053" s="6" t="n">
        <f aca="false">Seg!K76*(al_srch+Sens!K14048+sbc_r)</f>
        <v>16.8873320486462</v>
      </c>
    </row>
    <row r="14054" customFormat="false" ht="17.15" hidden="false" customHeight="false" outlineLevel="0" collapsed="false">
      <c r="A14054" s="0" t="s">
        <v>1241</v>
      </c>
      <c r="B14054" s="0" t="s">
        <v>98</v>
      </c>
      <c r="F14054" s="6" t="n">
        <f aca="false">Thesis!F135-Thesis!F136+Thesis!F151</f>
        <v>38.9696429794913</v>
      </c>
      <c r="G14054" s="6" t="n">
        <f aca="false">Thesis!G135-Thesis!G136+Thesis!G151</f>
        <v>69.465497726016</v>
      </c>
      <c r="H14054" s="6" t="n">
        <f aca="false">Thesis!H135-Thesis!H136+Thesis!H151</f>
        <v>96.8147106808268</v>
      </c>
      <c r="I14054" s="6" t="n">
        <f aca="false">Thesis!I135-Thesis!I136+Thesis!I151</f>
        <v>127.654939766446</v>
      </c>
      <c r="J14054" s="6" t="n">
        <f aca="false">Thesis!J135-Thesis!J136+Thesis!J151</f>
        <v>149.308352681229</v>
      </c>
      <c r="K14054" s="6" t="n">
        <f aca="false">Thesis!K135-Thesis!K136+Thesis!K151</f>
        <v>162.731822021841</v>
      </c>
    </row>
    <row r="14055" customFormat="false" ht="17.15" hidden="false" customHeight="false" outlineLevel="0" collapsed="false">
      <c r="A14055" s="0" t="s">
        <v>1242</v>
      </c>
      <c r="B14055" s="0" t="s">
        <v>98</v>
      </c>
      <c r="F14055" s="6" t="n">
        <f aca="false">PL!F110+Thesis!F151+Thesis!F147+Sens!F14048*(Seg!F75-Thesis!F129)+sbc_r*Seg!F75</f>
        <v>234.79972328186</v>
      </c>
      <c r="G14055" s="6" t="n">
        <f aca="false">PL!G110+Thesis!G151+Thesis!G147+Sens!G14048*(Seg!G75-Thesis!G129)+sbc_r*Seg!G75</f>
        <v>285.499052659517</v>
      </c>
      <c r="H14055" s="6" t="n">
        <f aca="false">PL!H110+Thesis!H151+Thesis!H147+Sens!H14048*(Seg!H75-Thesis!H129)+sbc_r*Seg!H75</f>
        <v>338.258569294547</v>
      </c>
      <c r="I14055" s="6" t="n">
        <f aca="false">PL!I110+Thesis!I151+Thesis!I147+Sens!I14048*(Seg!I75-Thesis!I129)+sbc_r*Seg!I75</f>
        <v>393.887902526982</v>
      </c>
      <c r="J14055" s="6" t="n">
        <f aca="false">PL!J110+Thesis!J151+Thesis!J147+Sens!J14048*(Seg!J75-Thesis!J129)+sbc_r*Seg!J75</f>
        <v>438.406631506078</v>
      </c>
      <c r="K14055" s="6" t="n">
        <f aca="false">PL!K110+Thesis!K151+Thesis!K147+Sens!K14048*(Seg!K75-Thesis!K129)+sbc_r*Seg!K75</f>
        <v>472.352875745143</v>
      </c>
    </row>
    <row r="14056" customFormat="false" ht="17.15" hidden="false" customHeight="false" outlineLevel="0" collapsed="false">
      <c r="A14056" s="0" t="s">
        <v>1243</v>
      </c>
      <c r="B14056" s="0" t="s">
        <v>98</v>
      </c>
      <c r="F14056" s="6" t="n">
        <f aca="false">Sens!F14055-Sens!F14049-Sens!F14050-Sens!F14051-Sens!F14052-Sens!F14054</f>
        <v>67.4353297630543</v>
      </c>
      <c r="G14056" s="6" t="n">
        <f aca="false">Sens!G14055-Sens!G14049-Sens!G14050-Sens!G14051-Sens!G14052-Sens!G14054</f>
        <v>74.9539293781376</v>
      </c>
      <c r="H14056" s="6" t="n">
        <f aca="false">Sens!H14055-Sens!H14049-Sens!H14050-Sens!H14051-Sens!H14052-Sens!H14054</f>
        <v>87.537773486888</v>
      </c>
      <c r="I14056" s="6" t="n">
        <f aca="false">Sens!I14055-Sens!I14049-Sens!I14050-Sens!I14051-Sens!I14052-Sens!I14054</f>
        <v>100.057277169252</v>
      </c>
      <c r="J14056" s="6" t="n">
        <f aca="false">Sens!J14055-Sens!J14049-Sens!J14050-Sens!J14051-Sens!J14052-Sens!J14054</f>
        <v>111.429055512297</v>
      </c>
      <c r="K14056" s="6" t="n">
        <f aca="false">Sens!K14055-Sens!K14049-Sens!K14050-Sens!K14051-Sens!K14052-Sens!K14054</f>
        <v>120.961838550618</v>
      </c>
    </row>
    <row r="14057" customFormat="false" ht="17.15" hidden="false" customHeight="false" outlineLevel="0" collapsed="false">
      <c r="A14057" s="0" t="s">
        <v>1244</v>
      </c>
      <c r="B14057" s="0" t="s">
        <v>98</v>
      </c>
      <c r="F14057" s="6" t="n">
        <f aca="false">PL!F112+Sens!F14048*Seg!F82+sbc_r*Seg!F82</f>
        <v>26.6373549789235</v>
      </c>
      <c r="G14057" s="6" t="n">
        <f aca="false">PL!G112+Sens!G14048*Seg!G82+sbc_r*Seg!G82</f>
        <v>26.5038922765853</v>
      </c>
      <c r="H14057" s="6" t="n">
        <f aca="false">PL!H112+Sens!H14048*Seg!H82+sbc_r*Seg!H82</f>
        <v>27.3981100014792</v>
      </c>
      <c r="I14057" s="6" t="n">
        <f aca="false">PL!I112+Sens!I14048*Seg!I82+sbc_r*Seg!I82</f>
        <v>28.5176442589239</v>
      </c>
      <c r="J14057" s="6" t="n">
        <f aca="false">PL!J112+Sens!J14048*Seg!J82+sbc_r*Seg!J82</f>
        <v>29.8313998963726</v>
      </c>
      <c r="K14057" s="6" t="n">
        <f aca="false">PL!K112+Sens!K14048*Seg!K82+sbc_r*Seg!K82</f>
        <v>31.3103466222307</v>
      </c>
    </row>
    <row r="14058" customFormat="false" ht="17.15" hidden="false" customHeight="false" outlineLevel="0" collapsed="false">
      <c r="A14058" s="0" t="s">
        <v>1245</v>
      </c>
      <c r="B14058" s="0" t="s">
        <v>98</v>
      </c>
      <c r="F14058" s="6" t="n">
        <f aca="false">(Sens!F14057-Sens!F14053)*Seg!F78/(Seg!F78+Seg!F80)</f>
        <v>8.72405610479892</v>
      </c>
      <c r="G14058" s="6" t="n">
        <f aca="false">(Sens!G14057-Sens!G14053)*Seg!G78/(Seg!G78+Seg!G80)</f>
        <v>7.897418765869</v>
      </c>
      <c r="H14058" s="6" t="n">
        <f aca="false">(Sens!H14057-Sens!H14053)*Seg!H78/(Seg!H78+Seg!H80)</f>
        <v>7.66644879573063</v>
      </c>
      <c r="I14058" s="6" t="n">
        <f aca="false">(Sens!I14057-Sens!I14053)*Seg!I78/(Seg!I78+Seg!I80)</f>
        <v>7.5787545031814</v>
      </c>
      <c r="J14058" s="6" t="n">
        <f aca="false">(Sens!J14057-Sens!J14053)*Seg!J78/(Seg!J78+Seg!J80)</f>
        <v>7.62401876450459</v>
      </c>
      <c r="K14058" s="6" t="n">
        <f aca="false">(Sens!K14057-Sens!K14053)*Seg!K78/(Seg!K78+Seg!K80)</f>
        <v>7.79847609658838</v>
      </c>
    </row>
    <row r="14059" customFormat="false" ht="17.15" hidden="false" customHeight="false" outlineLevel="0" collapsed="false">
      <c r="A14059" s="0" t="s">
        <v>1246</v>
      </c>
      <c r="B14059" s="0" t="s">
        <v>98</v>
      </c>
      <c r="F14059" s="6" t="n">
        <f aca="false">Sens!F14057-Sens!F14053-Sens!F14058</f>
        <v>6.72261492154066</v>
      </c>
      <c r="G14059" s="6" t="n">
        <f aca="false">Sens!G14057-Sens!G14053-Sens!G14058</f>
        <v>6.33014063899044</v>
      </c>
      <c r="H14059" s="6" t="n">
        <f aca="false">Sens!H14057-Sens!H14053-Sens!H14058</f>
        <v>6.32730487109095</v>
      </c>
      <c r="I14059" s="6" t="n">
        <f aca="false">Sens!I14057-Sens!I14053-Sens!I14058</f>
        <v>6.37673853755084</v>
      </c>
      <c r="J14059" s="6" t="n">
        <f aca="false">Sens!J14057-Sens!J14053-Sens!J14058</f>
        <v>6.47634294562954</v>
      </c>
      <c r="K14059" s="6" t="n">
        <f aca="false">Sens!K14057-Sens!K14053-Sens!K14058</f>
        <v>6.62453847699607</v>
      </c>
    </row>
    <row r="14060" customFormat="false" ht="17.15" hidden="false" customHeight="false" outlineLevel="0" collapsed="false">
      <c r="A14060" s="0" t="s">
        <v>1247</v>
      </c>
      <c r="B14060" s="0" t="s">
        <v>98</v>
      </c>
      <c r="F14060" s="6" t="n">
        <f aca="false">Sens!F14054-tax_f*(Sens!F14054-Thesis!F147)-Thesis!F144</f>
        <v>-130.362326762856</v>
      </c>
      <c r="G14060" s="6" t="n">
        <f aca="false">Sens!G14054-tax_f*(Sens!G14054-Thesis!G147)-Thesis!G144</f>
        <v>-124.225179337776</v>
      </c>
      <c r="H14060" s="6" t="n">
        <f aca="false">Sens!H14054-tax_f*(Sens!H14054-Thesis!H147)-Thesis!H144</f>
        <v>-101.534217387562</v>
      </c>
      <c r="I14060" s="6" t="n">
        <f aca="false">Sens!I14054-tax_f*(Sens!I14054-Thesis!I147)-Thesis!I144</f>
        <v>-43.6446798695439</v>
      </c>
      <c r="J14060" s="6" t="n">
        <f aca="false">Sens!J14054-tax_f*(Sens!J14054-Thesis!J147)-Thesis!J144</f>
        <v>16.9198855589618</v>
      </c>
      <c r="K14060" s="6" t="n">
        <f aca="false">Sens!K14054-tax_f*(Sens!K14054-Thesis!K147)-Thesis!K144</f>
        <v>39.8251384629271</v>
      </c>
    </row>
    <row r="14061" customFormat="false" ht="17.15" hidden="false" customHeight="false" outlineLevel="0" collapsed="false">
      <c r="A14061" s="0" t="s">
        <v>1248</v>
      </c>
      <c r="B14061" s="0" t="s">
        <v>98</v>
      </c>
      <c r="G14061" s="6" t="n">
        <f aca="false">Sens!G14060/(1+(wacc-0.01))^(Sens!G14031-Sens!F14032)</f>
        <v>-118.826183713345</v>
      </c>
      <c r="H14061" s="6" t="n">
        <f aca="false">Sens!H14060/(1+(wacc-0.01))^(Sens!H14031-Sens!F14032)</f>
        <v>-88.8627965281495</v>
      </c>
      <c r="I14061" s="6" t="n">
        <f aca="false">Sens!I14060/(1+(wacc-0.01))^(Sens!I14031-Sens!F14032)</f>
        <v>-34.9497357882313</v>
      </c>
      <c r="J14061" s="6" t="n">
        <f aca="false">Sens!J14060/(1+(wacc-0.01))^(Sens!J14031-Sens!F14032)</f>
        <v>12.3969554274255</v>
      </c>
      <c r="K14061" s="6" t="n">
        <f aca="false">Sens!K14060/(1+(wacc-0.01))^(Sens!K14031-Sens!F14032)</f>
        <v>26.6980748751621</v>
      </c>
      <c r="L14061" s="1" t="s">
        <v>1249</v>
      </c>
    </row>
    <row r="14062" customFormat="false" ht="17.15" hidden="false" customHeight="false" outlineLevel="0" collapsed="false">
      <c r="A14062" s="0" t="s">
        <v>1250</v>
      </c>
      <c r="B14062" s="0" t="s">
        <v>98</v>
      </c>
      <c r="C14062" s="6" t="n">
        <f aca="false">(Sens!K14054-Thesis!K147)*(1-tax_f)*(1+g_tv)*(1-g_tv/((wacc-0.01)+ronic_prem))/((wacc-0.01)-g_tv)/(1+(wacc-0.01))^(Sens!K14032-Sens!F14032)</f>
        <v>112.112461551772</v>
      </c>
    </row>
    <row r="14063" customFormat="false" ht="17.15" hidden="false" customHeight="false" outlineLevel="0" collapsed="false">
      <c r="A14063" s="1" t="s">
        <v>1251</v>
      </c>
      <c r="B14063" s="0" t="s">
        <v>98</v>
      </c>
      <c r="C14063" s="6" t="n">
        <f aca="false">(SUM(Sens!G14061:K14061)+Sens!$C$14062)*(1+(wacc-0.01))^(t_roll-Sens!F14032)</f>
        <v>-94.1648958120674</v>
      </c>
      <c r="L14063" s="12" t="s">
        <v>1252</v>
      </c>
    </row>
    <row r="14064" customFormat="false" ht="17.15" hidden="false" customHeight="false" outlineLevel="0" collapsed="false">
      <c r="A14064" s="1" t="s">
        <v>1253</v>
      </c>
      <c r="B14064" s="0" t="s">
        <v>98</v>
      </c>
      <c r="C14064" s="6" t="n">
        <f aca="false">(w_ntm28*Thesis!G135+(1-w_ntm28)*Thesis!H135)*m_ai</f>
        <v>344.355829012336</v>
      </c>
    </row>
    <row r="14065" customFormat="false" ht="17.15" hidden="false" customHeight="false" outlineLevel="0" collapsed="false">
      <c r="A14065" s="1" t="s">
        <v>1254</v>
      </c>
      <c r="B14065" s="0" t="s">
        <v>98</v>
      </c>
      <c r="C14065" s="6" t="n">
        <f aca="false">(w_ntm28*Sens!G14056+(1-w_ntm28)*Sens!H14056)*m_cloud</f>
        <v>1093.03877543039</v>
      </c>
    </row>
    <row r="14066" customFormat="false" ht="17.15" hidden="false" customHeight="false" outlineLevel="0" collapsed="false">
      <c r="A14066" s="1" t="s">
        <v>1255</v>
      </c>
      <c r="B14066" s="0" t="s">
        <v>98</v>
      </c>
      <c r="C14066" s="6" t="n">
        <f aca="false">(w_ntm28*Sens!G14049+(1-w_ntm28)*Sens!H14049)*m_sw</f>
        <v>1045.17056616266</v>
      </c>
    </row>
    <row r="14067" customFormat="false" ht="17.15" hidden="false" customHeight="false" outlineLevel="0" collapsed="false">
      <c r="A14067" s="1" t="s">
        <v>1256</v>
      </c>
      <c r="B14067" s="0" t="s">
        <v>98</v>
      </c>
      <c r="C14067" s="6" t="n">
        <f aca="false">(w_ntm28*Sens!G14050+(1-w_ntm28)*Sens!H14050)*m_sw</f>
        <v>373.178444957791</v>
      </c>
    </row>
    <row r="14068" customFormat="false" ht="17.15" hidden="false" customHeight="false" outlineLevel="0" collapsed="false">
      <c r="A14068" s="1" t="s">
        <v>1257</v>
      </c>
      <c r="B14068" s="0" t="s">
        <v>98</v>
      </c>
      <c r="C14068" s="6" t="n">
        <f aca="false">(w_ntm28*Sens!G14051+(1-w_ntm28)*Sens!H14051)*m_sw</f>
        <v>109.30055788101</v>
      </c>
    </row>
    <row r="14069" customFormat="false" ht="17.15" hidden="false" customHeight="false" outlineLevel="0" collapsed="false">
      <c r="A14069" s="1" t="s">
        <v>1258</v>
      </c>
      <c r="B14069" s="0" t="s">
        <v>98</v>
      </c>
      <c r="C14069" s="6" t="n">
        <f aca="false">(w_ntm28*Sens!G14052+(1-w_ntm28)*Sens!H14052)*m_sw</f>
        <v>41.5531037214606</v>
      </c>
    </row>
    <row r="14070" customFormat="false" ht="17.15" hidden="false" customHeight="false" outlineLevel="0" collapsed="false">
      <c r="A14070" s="1" t="s">
        <v>1259</v>
      </c>
      <c r="B14070" s="0" t="s">
        <v>98</v>
      </c>
      <c r="C14070" s="6" t="n">
        <f aca="false">(w_ntm28*Sens!G14053+(1-w_ntm28)*Sens!H14053)*m_ads</f>
        <v>115.215899994784</v>
      </c>
    </row>
    <row r="14071" customFormat="false" ht="17.15" hidden="false" customHeight="false" outlineLevel="0" collapsed="false">
      <c r="A14071" s="1" t="s">
        <v>1260</v>
      </c>
      <c r="B14071" s="0" t="s">
        <v>98</v>
      </c>
      <c r="C14071" s="6" t="n">
        <f aca="false">(w_ntm28*Sens!G14058+(1-w_ntm28)*Sens!H14058)*m_game</f>
        <v>98.7853357615783</v>
      </c>
    </row>
    <row r="14072" customFormat="false" ht="17.15" hidden="false" customHeight="false" outlineLevel="0" collapsed="false">
      <c r="A14072" s="1" t="s">
        <v>1261</v>
      </c>
      <c r="B14072" s="0" t="s">
        <v>98</v>
      </c>
      <c r="C14072" s="6" t="n">
        <f aca="false">(w_ntm28*Sens!G14059+(1-w_ntm28)*Sens!H14059)*m_pc</f>
        <v>91.5836445602173</v>
      </c>
    </row>
    <row r="14073" customFormat="false" ht="17.15" hidden="false" customHeight="false" outlineLevel="0" collapsed="false">
      <c r="A14073" s="1" t="s">
        <v>1262</v>
      </c>
      <c r="B14073" s="0" t="s">
        <v>98</v>
      </c>
      <c r="C14073" s="6" t="n">
        <f aca="false">Sens!$C$14063+Sens!$C$14065+Sens!$C$14066+Sens!$C$14067+Sens!$C$14068+Sens!$C$14069+Sens!$C$14070+Sens!$C$14071+Sens!$C$14072</f>
        <v>2873.66143265782</v>
      </c>
    </row>
    <row r="14074" customFormat="false" ht="17.15" hidden="false" customHeight="false" outlineLevel="0" collapsed="false">
      <c r="A14074" s="1" t="s">
        <v>1263</v>
      </c>
      <c r="B14074" s="0" t="s">
        <v>98</v>
      </c>
      <c r="C14074" s="6" t="n">
        <f aca="false">(Sens!G14035-Sens!G14060)*t_stub</f>
        <v>47.4829168796038</v>
      </c>
      <c r="L14074" s="1" t="s">
        <v>1264</v>
      </c>
    </row>
    <row r="14075" customFormat="false" ht="17.15" hidden="false" customHeight="false" outlineLevel="0" collapsed="false">
      <c r="A14075" s="1" t="s">
        <v>1173</v>
      </c>
      <c r="B14075" s="0" t="s">
        <v>98</v>
      </c>
      <c r="C14075" s="6" t="n">
        <f aca="false">CF!F103+oai_v-CF!F92+Sens!$C$14074</f>
        <v>158.55427008544</v>
      </c>
      <c r="L14075" s="1" t="s">
        <v>1265</v>
      </c>
    </row>
    <row r="14076" customFormat="false" ht="17.15" hidden="false" customHeight="false" outlineLevel="0" collapsed="false">
      <c r="A14076" s="1" t="s">
        <v>1266</v>
      </c>
      <c r="B14076" s="0" t="s">
        <v>75</v>
      </c>
      <c r="C14076" s="5" t="n">
        <f aca="false">(Sens!$C$14073+Sens!$C$14075)/(CF!F105+dil_gap)-CF!G95*roll_div_q/q_per_yr</f>
        <v>403.471666321139</v>
      </c>
      <c r="L14076" s="1" t="s">
        <v>1267</v>
      </c>
    </row>
    <row r="14077" customFormat="false" ht="17.15" hidden="false" customHeight="false" outlineLevel="0" collapsed="false">
      <c r="A14077" s="1" t="s">
        <v>1268</v>
      </c>
      <c r="B14077" s="0" t="s">
        <v>75</v>
      </c>
      <c r="C14077" s="5" t="n">
        <f aca="false">w_dcf*Sens!$C$14047+(1-w_dcf)*Sens!$C$14076</f>
        <v>358.754378103419</v>
      </c>
    </row>
    <row r="14078" customFormat="false" ht="17.15" hidden="false" customHeight="false" outlineLevel="0" collapsed="false">
      <c r="A14078" s="3" t="s">
        <v>1963</v>
      </c>
    </row>
    <row r="14079" customFormat="false" ht="15" hidden="false" customHeight="false" outlineLevel="0" collapsed="false">
      <c r="A14079" s="4" t="s">
        <v>43</v>
      </c>
      <c r="B14079" s="4" t="s">
        <v>65</v>
      </c>
      <c r="C14079" s="23" t="s">
        <v>942</v>
      </c>
      <c r="D14079" s="23" t="s">
        <v>943</v>
      </c>
      <c r="E14079" s="23" t="s">
        <v>944</v>
      </c>
      <c r="F14079" s="23" t="s">
        <v>945</v>
      </c>
      <c r="G14079" s="23" t="s">
        <v>946</v>
      </c>
      <c r="H14079" s="23" t="s">
        <v>947</v>
      </c>
      <c r="I14079" s="23" t="s">
        <v>948</v>
      </c>
      <c r="J14079" s="23" t="s">
        <v>949</v>
      </c>
      <c r="K14079" s="23" t="s">
        <v>950</v>
      </c>
      <c r="L14079" s="4" t="s">
        <v>47</v>
      </c>
    </row>
    <row r="14080" customFormat="false" ht="17.15" hidden="false" customHeight="false" outlineLevel="0" collapsed="false">
      <c r="A14080" s="1" t="s">
        <v>1216</v>
      </c>
      <c r="B14080" s="1" t="s">
        <v>279</v>
      </c>
      <c r="F14080" s="8" t="n">
        <f aca="false">(1-v_off)*mid_yr</f>
        <v>0.373972602739726</v>
      </c>
      <c r="G14080" s="8" t="n">
        <f aca="false">Thesis!G6-base_fy-mid_yr-v_off</f>
        <v>1.24794520547945</v>
      </c>
      <c r="H14080" s="8" t="n">
        <f aca="false">Thesis!H6-base_fy-mid_yr-v_off</f>
        <v>2.24794520547945</v>
      </c>
      <c r="I14080" s="8" t="n">
        <f aca="false">Thesis!I6-base_fy-mid_yr-v_off</f>
        <v>3.24794520547945</v>
      </c>
      <c r="J14080" s="8" t="n">
        <f aca="false">Thesis!J6-base_fy-mid_yr-v_off</f>
        <v>4.24794520547945</v>
      </c>
      <c r="K14080" s="8" t="n">
        <f aca="false">Thesis!K6-base_fy-mid_yr-v_off</f>
        <v>5.24794520547945</v>
      </c>
      <c r="L14080" s="12" t="s">
        <v>1217</v>
      </c>
    </row>
    <row r="14081" customFormat="false" ht="15" hidden="false" customHeight="false" outlineLevel="0" collapsed="false">
      <c r="A14081" s="1" t="s">
        <v>1218</v>
      </c>
      <c r="B14081" s="1" t="s">
        <v>279</v>
      </c>
      <c r="F14081" s="8" t="n">
        <f aca="false">Thesis!F6-base_fy-v_off</f>
        <v>0.747945205479452</v>
      </c>
      <c r="G14081" s="8" t="n">
        <f aca="false">Thesis!G6-base_fy-v_off</f>
        <v>1.74794520547945</v>
      </c>
      <c r="H14081" s="8" t="n">
        <f aca="false">Thesis!H6-base_fy-v_off</f>
        <v>2.74794520547945</v>
      </c>
      <c r="I14081" s="8" t="n">
        <f aca="false">Thesis!I6-base_fy-v_off</f>
        <v>3.74794520547945</v>
      </c>
      <c r="J14081" s="8" t="n">
        <f aca="false">Thesis!J6-base_fy-v_off</f>
        <v>4.74794520547945</v>
      </c>
      <c r="K14081" s="8" t="n">
        <f aca="false">Thesis!K6-base_fy-v_off</f>
        <v>5.74794520547945</v>
      </c>
    </row>
    <row r="14082" customFormat="false" ht="15" hidden="false" customHeight="false" outlineLevel="0" collapsed="false">
      <c r="A14082" s="1" t="s">
        <v>1219</v>
      </c>
      <c r="B14082" s="0" t="s">
        <v>229</v>
      </c>
      <c r="F14082" s="15" t="n">
        <f aca="false">1/(1+(wacc+0.01))^Sens!F14080</f>
        <v>0.960774207300618</v>
      </c>
      <c r="G14082" s="15" t="n">
        <f aca="false">1/(1+(wacc+0.01))^Sens!G14080</f>
        <v>0.874998806269897</v>
      </c>
      <c r="H14082" s="15" t="n">
        <f aca="false">1/(1+(wacc+0.01))^Sens!H14080</f>
        <v>0.786207240725602</v>
      </c>
      <c r="I14082" s="15" t="n">
        <f aca="false">1/(1+(wacc+0.01))^Sens!I14080</f>
        <v>0.706425907029985</v>
      </c>
      <c r="J14082" s="15" t="n">
        <f aca="false">1/(1+(wacc+0.01))^Sens!J14080</f>
        <v>0.634740480973652</v>
      </c>
      <c r="K14082" s="15" t="n">
        <f aca="false">1/(1+(wacc+0.01))^Sens!K14080</f>
        <v>0.570329420505754</v>
      </c>
    </row>
    <row r="14083" customFormat="false" ht="17.15" hidden="false" customHeight="false" outlineLevel="0" collapsed="false">
      <c r="A14083" s="1" t="s">
        <v>1220</v>
      </c>
      <c r="B14083" s="0" t="s">
        <v>98</v>
      </c>
      <c r="F14083" s="6" t="n">
        <f aca="false">Q!$I$35-Q!$I$39-Q!$I$43</f>
        <v>9.666</v>
      </c>
      <c r="L14083" s="12" t="s">
        <v>1221</v>
      </c>
    </row>
    <row r="14084" customFormat="false" ht="17.15" hidden="false" customHeight="false" outlineLevel="0" collapsed="false">
      <c r="A14084" s="1" t="s">
        <v>1222</v>
      </c>
      <c r="B14084" s="0" t="s">
        <v>98</v>
      </c>
      <c r="F14084" s="6" t="n">
        <f aca="false">CF!F23-CF!F20-CF!F27+Thesis!F47*(1-tax_f)*(1-v_off)-Sens!F14083</f>
        <v>-1.12880264559539</v>
      </c>
      <c r="G14084" s="6" t="n">
        <f aca="false">CF!G23-CF!G20-CF!G27+Thesis!G47*(1-tax_f)</f>
        <v>38.7194421947551</v>
      </c>
      <c r="H14084" s="6" t="n">
        <f aca="false">CF!H23-CF!H20-CF!H27+Thesis!H47*(1-tax_f)</f>
        <v>98.6927474567662</v>
      </c>
      <c r="I14084" s="6" t="n">
        <f aca="false">CF!I23-CF!I20-CF!I27+Thesis!I47*(1-tax_f)</f>
        <v>181.625440536277</v>
      </c>
      <c r="J14084" s="6" t="n">
        <f aca="false">CF!J23-CF!J20-CF!J27+Thesis!J47*(1-tax_f)</f>
        <v>263.350402418584</v>
      </c>
      <c r="K14084" s="6" t="n">
        <f aca="false">CF!K23-CF!K20-CF!K27+Thesis!K47*(1-tax_f)</f>
        <v>303.659068389018</v>
      </c>
      <c r="L14084" s="1" t="s">
        <v>1223</v>
      </c>
    </row>
    <row r="14085" customFormat="false" ht="15" hidden="false" customHeight="false" outlineLevel="0" collapsed="false">
      <c r="A14085" s="1" t="s">
        <v>1224</v>
      </c>
      <c r="B14085" s="0" t="s">
        <v>98</v>
      </c>
      <c r="F14085" s="6" t="n">
        <f aca="false">Sens!F14084*Sens!F14082</f>
        <v>-1.08452446702076</v>
      </c>
      <c r="G14085" s="6" t="n">
        <f aca="false">Sens!G14084*Sens!G14082</f>
        <v>33.879465699847</v>
      </c>
      <c r="H14085" s="6" t="n">
        <f aca="false">Sens!H14084*Sens!H14082</f>
        <v>77.5929526576129</v>
      </c>
      <c r="I14085" s="6" t="n">
        <f aca="false">Sens!I14084*Sens!I14082</f>
        <v>128.30491657056</v>
      </c>
      <c r="J14085" s="6" t="n">
        <f aca="false">Sens!J14084*Sens!J14082</f>
        <v>167.159161095777</v>
      </c>
      <c r="K14085" s="6" t="n">
        <f aca="false">Sens!K14084*Sens!K14082</f>
        <v>173.185700505626</v>
      </c>
    </row>
    <row r="14086" customFormat="false" ht="17.15" hidden="false" customHeight="false" outlineLevel="0" collapsed="false">
      <c r="A14086" s="1" t="s">
        <v>1225</v>
      </c>
      <c r="B14086" s="0" t="s">
        <v>98</v>
      </c>
      <c r="C14086" s="6" t="n">
        <f aca="false">SUM(Sens!F14085:K14085)</f>
        <v>579.037672062401</v>
      </c>
    </row>
    <row r="14087" customFormat="false" ht="17.15" hidden="false" customHeight="false" outlineLevel="0" collapsed="false">
      <c r="A14087" s="1" t="s">
        <v>1226</v>
      </c>
      <c r="B14087" s="0" t="s">
        <v>98</v>
      </c>
      <c r="C14087" s="6" t="n">
        <f aca="false">PL!K39*(1+g_tv)*(1-tax_f)</f>
        <v>316.501318799308</v>
      </c>
    </row>
    <row r="14088" customFormat="false" ht="17.15" hidden="false" customHeight="false" outlineLevel="0" collapsed="false">
      <c r="A14088" s="1" t="s">
        <v>1227</v>
      </c>
      <c r="B14088" s="0" t="s">
        <v>98</v>
      </c>
      <c r="C14088" s="6" t="n">
        <f aca="false">Sens!$C$14087*(1-g_tv/((wacc+0.01)+ronic_prem))</f>
        <v>232.427242501458</v>
      </c>
    </row>
    <row r="14089" customFormat="false" ht="17.15" hidden="false" customHeight="false" outlineLevel="0" collapsed="false">
      <c r="A14089" s="1" t="s">
        <v>1228</v>
      </c>
      <c r="B14089" s="0" t="s">
        <v>98</v>
      </c>
      <c r="C14089" s="6" t="n">
        <f aca="false">Sens!$C$14088/((wacc+0.01)-g_tv)</f>
        <v>2802.46920992834</v>
      </c>
    </row>
    <row r="14090" customFormat="false" ht="15" hidden="false" customHeight="false" outlineLevel="0" collapsed="false">
      <c r="A14090" s="1" t="s">
        <v>1229</v>
      </c>
      <c r="B14090" s="0" t="s">
        <v>98</v>
      </c>
      <c r="C14090" s="6" t="n">
        <f aca="false">Sens!$C$14089/(1+(wacc+0.01))^Sens!K14081</f>
        <v>1515.06551945841</v>
      </c>
    </row>
    <row r="14091" customFormat="false" ht="17.15" hidden="false" customHeight="false" outlineLevel="0" collapsed="false">
      <c r="A14091" s="0" t="s">
        <v>1230</v>
      </c>
      <c r="B14091" s="0" t="s">
        <v>98</v>
      </c>
      <c r="C14091" s="6" t="n">
        <f aca="false">Sens!$C$14086+Sens!$C$14090</f>
        <v>2094.10319152081</v>
      </c>
    </row>
    <row r="14092" customFormat="false" ht="15" hidden="false" customHeight="false" outlineLevel="0" collapsed="false">
      <c r="A14092" s="1" t="s">
        <v>1145</v>
      </c>
      <c r="B14092" s="0" t="s">
        <v>168</v>
      </c>
      <c r="C14092" s="7" t="n">
        <f aca="false">Sens!$C$14090/Sens!$C$14091</f>
        <v>0.723491337768373</v>
      </c>
    </row>
    <row r="14093" customFormat="false" ht="17.15" hidden="false" customHeight="false" outlineLevel="0" collapsed="false">
      <c r="A14093" s="1" t="s">
        <v>1231</v>
      </c>
      <c r="B14093" s="0" t="s">
        <v>98</v>
      </c>
      <c r="C14093" s="6" t="n">
        <f aca="false">Sens!$C$14091+cash_val-debt_val-fl_val+oai_v</f>
        <v>2209.95419152081</v>
      </c>
    </row>
    <row r="14094" customFormat="false" ht="17.15" hidden="false" customHeight="false" outlineLevel="0" collapsed="false">
      <c r="A14094" s="0" t="s">
        <v>1153</v>
      </c>
      <c r="B14094" s="0" t="s">
        <v>75</v>
      </c>
      <c r="C14094" s="5" t="n">
        <f aca="false">Sens!$C$14093/shd_val</f>
        <v>296.797500875747</v>
      </c>
    </row>
    <row r="14095" customFormat="false" ht="15" hidden="false" customHeight="false" outlineLevel="0" collapsed="false">
      <c r="A14095" s="1" t="s">
        <v>1232</v>
      </c>
      <c r="B14095" s="0" t="s">
        <v>75</v>
      </c>
      <c r="C14095" s="8" t="n">
        <f aca="false">div_rem27+CF!G31*roll_div_q/q_per_yr</f>
        <v>3.9795</v>
      </c>
    </row>
    <row r="14096" customFormat="false" ht="17.15" hidden="false" customHeight="false" outlineLevel="0" collapsed="false">
      <c r="A14096" s="0" t="s">
        <v>1233</v>
      </c>
      <c r="B14096" s="0" t="s">
        <v>75</v>
      </c>
      <c r="C14096" s="5" t="n">
        <f aca="false">Sens!$C$14094*(1+(wacc+0.01))^t_roll-Sens!$C$14095</f>
        <v>329.157470110165</v>
      </c>
    </row>
    <row r="14097" customFormat="false" ht="17.15" hidden="false" customHeight="false" outlineLevel="0" collapsed="false">
      <c r="A14097" s="1" t="s">
        <v>1234</v>
      </c>
      <c r="B14097" s="0" t="s">
        <v>168</v>
      </c>
      <c r="F14097" s="7" t="n">
        <f aca="false">CF!F17/(Seg!F29-Thesis!F25)</f>
        <v>0.0685527305696859</v>
      </c>
      <c r="G14097" s="7" t="n">
        <f aca="false">CF!G17/(Seg!G29-Thesis!G25)</f>
        <v>0.0653567731599844</v>
      </c>
      <c r="H14097" s="7" t="n">
        <f aca="false">CF!H17/(Seg!H29-Thesis!H25)</f>
        <v>0.0636628841026972</v>
      </c>
      <c r="I14097" s="7" t="n">
        <f aca="false">CF!I17/(Seg!I29-Thesis!I25)</f>
        <v>0.0633581084335176</v>
      </c>
      <c r="J14097" s="7" t="n">
        <f aca="false">CF!J17/(Seg!J29-Thesis!J25)</f>
        <v>0.0640873955995062</v>
      </c>
      <c r="K14097" s="7" t="n">
        <f aca="false">CF!K17/(Seg!K29-Thesis!K25)</f>
        <v>0.0653962234835198</v>
      </c>
    </row>
    <row r="14098" customFormat="false" ht="17.15" hidden="false" customHeight="false" outlineLevel="0" collapsed="false">
      <c r="A14098" s="0" t="s">
        <v>1235</v>
      </c>
      <c r="B14098" s="0" t="s">
        <v>98</v>
      </c>
      <c r="F14098" s="6" t="n">
        <f aca="false">Seg!F14*(al_m365+Sens!F14097+sbc_r)</f>
        <v>84.5213906545575</v>
      </c>
      <c r="G14098" s="6" t="n">
        <f aca="false">Seg!G14*(al_m365+Sens!G14097+sbc_r)</f>
        <v>98.949983331796</v>
      </c>
      <c r="H14098" s="6" t="n">
        <f aca="false">Seg!H14*(al_m365+Sens!H14097+sbc_r)</f>
        <v>113.543734275326</v>
      </c>
      <c r="I14098" s="6" t="n">
        <f aca="false">Seg!I14*(al_m365+Sens!I14097+sbc_r)</f>
        <v>126.62058838692</v>
      </c>
      <c r="J14098" s="6" t="n">
        <f aca="false">Seg!J14*(al_m365+Sens!J14097+sbc_r)</f>
        <v>137.994660156303</v>
      </c>
      <c r="K14098" s="6" t="n">
        <f aca="false">Seg!K14*(al_m365+Sens!K14097+sbc_r)</f>
        <v>148.989224092997</v>
      </c>
      <c r="L14098" s="12" t="s">
        <v>1236</v>
      </c>
    </row>
    <row r="14099" customFormat="false" ht="17.15" hidden="false" customHeight="false" outlineLevel="0" collapsed="false">
      <c r="A14099" s="0" t="s">
        <v>1237</v>
      </c>
      <c r="B14099" s="0" t="s">
        <v>98</v>
      </c>
      <c r="F14099" s="6" t="n">
        <f aca="false">Seg!F15*(al_lic+Sens!F14097+sbc_r)</f>
        <v>32.855200196554</v>
      </c>
      <c r="G14099" s="6" t="n">
        <f aca="false">Seg!G15*(al_lic+Sens!G14097+sbc_r)</f>
        <v>34.1185582613282</v>
      </c>
      <c r="H14099" s="6" t="n">
        <f aca="false">Seg!H15*(al_lic+Sens!H14097+sbc_r)</f>
        <v>35.3024309363621</v>
      </c>
      <c r="I14099" s="6" t="n">
        <f aca="false">Seg!I15*(al_lic+Sens!I14097+sbc_r)</f>
        <v>36.3898468129533</v>
      </c>
      <c r="J14099" s="6" t="n">
        <f aca="false">Seg!J15*(al_lic+Sens!J14097+sbc_r)</f>
        <v>37.3529129529876</v>
      </c>
      <c r="K14099" s="6" t="n">
        <f aca="false">Seg!K15*(al_lic+Sens!K14097+sbc_r)</f>
        <v>38.158536171203</v>
      </c>
    </row>
    <row r="14100" customFormat="false" ht="17.15" hidden="false" customHeight="false" outlineLevel="0" collapsed="false">
      <c r="A14100" s="0" t="s">
        <v>1238</v>
      </c>
      <c r="B14100" s="0" t="s">
        <v>98</v>
      </c>
      <c r="F14100" s="6" t="n">
        <f aca="false">Seg!F17*(al_ind+Sens!F14097+sbc_r)</f>
        <v>9.05892547956683</v>
      </c>
      <c r="G14100" s="6" t="n">
        <f aca="false">Seg!G17*(al_ind+Sens!G14097+sbc_r)</f>
        <v>9.82456487622418</v>
      </c>
      <c r="H14100" s="6" t="n">
        <f aca="false">Seg!H17*(al_ind+Sens!H14097+sbc_r)</f>
        <v>10.6377408477959</v>
      </c>
      <c r="I14100" s="6" t="n">
        <f aca="false">Seg!I17*(al_ind+Sens!I14097+sbc_r)</f>
        <v>11.4966323260293</v>
      </c>
      <c r="J14100" s="6" t="n">
        <f aca="false">Seg!J17*(al_ind+Sens!J14097+sbc_r)</f>
        <v>12.3903660286279</v>
      </c>
      <c r="K14100" s="6" t="n">
        <f aca="false">Seg!K17*(al_ind+Sens!K14097+sbc_r)</f>
        <v>13.3009129057681</v>
      </c>
    </row>
    <row r="14101" customFormat="false" ht="17.15" hidden="false" customHeight="false" outlineLevel="0" collapsed="false">
      <c r="A14101" s="0" t="s">
        <v>1239</v>
      </c>
      <c r="B14101" s="0" t="s">
        <v>98</v>
      </c>
      <c r="F14101" s="6" t="n">
        <f aca="false">Seg!F19*(al_fro+Sens!F14097+sbc_r)</f>
        <v>3.55344443532423</v>
      </c>
      <c r="G14101" s="6" t="n">
        <f aca="false">Seg!G19*(al_fro+Sens!G14097+sbc_r)</f>
        <v>3.75916645971565</v>
      </c>
      <c r="H14101" s="6" t="n">
        <f aca="false">Seg!H19*(al_fro+Sens!H14097+sbc_r)</f>
        <v>3.994970960527</v>
      </c>
      <c r="I14101" s="6" t="n">
        <f aca="false">Seg!I19*(al_fro+Sens!I14097+sbc_r)</f>
        <v>4.26396270432353</v>
      </c>
      <c r="J14101" s="6" t="n">
        <f aca="false">Seg!J19*(al_fro+Sens!J14097+sbc_r)</f>
        <v>4.5667795874336</v>
      </c>
      <c r="K14101" s="6" t="n">
        <f aca="false">Seg!K19*(al_fro+Sens!K14097+sbc_r)</f>
        <v>4.90238443416026</v>
      </c>
    </row>
    <row r="14102" customFormat="false" ht="17.15" hidden="false" customHeight="false" outlineLevel="0" collapsed="false">
      <c r="A14102" s="0" t="s">
        <v>1240</v>
      </c>
      <c r="B14102" s="0" t="s">
        <v>98</v>
      </c>
      <c r="F14102" s="6" t="n">
        <f aca="false">Seg!F22*(al_srch+Sens!F14097+sbc_r)</f>
        <v>11.1872483445711</v>
      </c>
      <c r="G14102" s="6" t="n">
        <f aca="false">Seg!G22*(al_srch+Sens!G14097+sbc_r)</f>
        <v>12.247246048296</v>
      </c>
      <c r="H14102" s="6" t="n">
        <f aca="false">Seg!H22*(al_srch+Sens!H14097+sbc_r)</f>
        <v>13.3552870946193</v>
      </c>
      <c r="I14102" s="6" t="n">
        <f aca="false">Seg!I22*(al_srch+Sens!I14097+sbc_r)</f>
        <v>14.5024145321619</v>
      </c>
      <c r="J14102" s="6" t="n">
        <f aca="false">Seg!J22*(al_srch+Sens!J14097+sbc_r)</f>
        <v>15.667276660652</v>
      </c>
      <c r="K14102" s="6" t="n">
        <f aca="false">Seg!K22*(al_srch+Sens!K14097+sbc_r)</f>
        <v>16.8186381138719</v>
      </c>
    </row>
    <row r="14103" customFormat="false" ht="17.15" hidden="false" customHeight="false" outlineLevel="0" collapsed="false">
      <c r="A14103" s="0" t="s">
        <v>1241</v>
      </c>
      <c r="B14103" s="0" t="s">
        <v>98</v>
      </c>
      <c r="F14103" s="6" t="n">
        <f aca="false">Thesis!F31-Thesis!F32+Thesis!F47</f>
        <v>45.3782580567763</v>
      </c>
      <c r="G14103" s="6" t="n">
        <f aca="false">Thesis!G31-Thesis!G32+Thesis!G47</f>
        <v>91.0863367558165</v>
      </c>
      <c r="H14103" s="6" t="n">
        <f aca="false">Thesis!H31-Thesis!H32+Thesis!H47</f>
        <v>144.617532464853</v>
      </c>
      <c r="I14103" s="6" t="n">
        <f aca="false">Thesis!I31-Thesis!I32+Thesis!I47</f>
        <v>187.137304561304</v>
      </c>
      <c r="J14103" s="6" t="n">
        <f aca="false">Thesis!J31-Thesis!J32+Thesis!J47</f>
        <v>217.006854425907</v>
      </c>
      <c r="K14103" s="6" t="n">
        <f aca="false">Thesis!K31-Thesis!K32+Thesis!K47</f>
        <v>234.933637903877</v>
      </c>
    </row>
    <row r="14104" customFormat="false" ht="17.15" hidden="false" customHeight="false" outlineLevel="0" collapsed="false">
      <c r="A14104" s="0" t="s">
        <v>1242</v>
      </c>
      <c r="B14104" s="0" t="s">
        <v>98</v>
      </c>
      <c r="F14104" s="6" t="n">
        <f aca="false">PL!F32+Thesis!F47+Thesis!F43+Sens!F14097*(Seg!F21-Thesis!F25)+sbc_r*Seg!F21</f>
        <v>240.818167741339</v>
      </c>
      <c r="G14104" s="6" t="n">
        <f aca="false">PL!G32+Thesis!G47+Thesis!G43+Sens!G14097*(Seg!G21-Thesis!G25)+sbc_r*Seg!G21</f>
        <v>311.917784140952</v>
      </c>
      <c r="H14104" s="6" t="n">
        <f aca="false">PL!H32+Thesis!H47+Thesis!H43+Sens!H14097*(Seg!H21-Thesis!H25)+sbc_r*Seg!H21</f>
        <v>395.486245683473</v>
      </c>
      <c r="I14104" s="6" t="n">
        <f aca="false">PL!I32+Thesis!I47+Thesis!I43+Sens!I14097*(Seg!I21-Thesis!I25)+sbc_r*Seg!I21</f>
        <v>465.950805948377</v>
      </c>
      <c r="J14104" s="6" t="n">
        <f aca="false">PL!J32+Thesis!J47+Thesis!J43+Sens!J14097*(Seg!J21-Thesis!J25)+sbc_r*Seg!J21</f>
        <v>520.78677388057</v>
      </c>
      <c r="K14104" s="6" t="n">
        <f aca="false">PL!K32+Thesis!K47+Thesis!K43+Sens!K14097*(Seg!K21-Thesis!K25)+sbc_r*Seg!K21</f>
        <v>561.2469767412</v>
      </c>
    </row>
    <row r="14105" customFormat="false" ht="17.15" hidden="false" customHeight="false" outlineLevel="0" collapsed="false">
      <c r="A14105" s="0" t="s">
        <v>1243</v>
      </c>
      <c r="B14105" s="0" t="s">
        <v>98</v>
      </c>
      <c r="F14105" s="6" t="n">
        <f aca="false">Sens!F14104-Sens!F14098-Sens!F14099-Sens!F14100-Sens!F14101-Sens!F14103</f>
        <v>65.4509489185601</v>
      </c>
      <c r="G14105" s="6" t="n">
        <f aca="false">Sens!G14104-Sens!G14098-Sens!G14099-Sens!G14100-Sens!G14101-Sens!G14103</f>
        <v>74.1791744560715</v>
      </c>
      <c r="H14105" s="6" t="n">
        <f aca="false">Sens!H14104-Sens!H14098-Sens!H14099-Sens!H14100-Sens!H14101-Sens!H14103</f>
        <v>87.3898361986086</v>
      </c>
      <c r="I14105" s="6" t="n">
        <f aca="false">Sens!I14104-Sens!I14098-Sens!I14099-Sens!I14100-Sens!I14101-Sens!I14103</f>
        <v>100.042471156846</v>
      </c>
      <c r="J14105" s="6" t="n">
        <f aca="false">Sens!J14104-Sens!J14098-Sens!J14099-Sens!J14100-Sens!J14101-Sens!J14103</f>
        <v>111.475200729312</v>
      </c>
      <c r="K14105" s="6" t="n">
        <f aca="false">Sens!K14104-Sens!K14098-Sens!K14099-Sens!K14100-Sens!K14101-Sens!K14103</f>
        <v>120.962281233195</v>
      </c>
    </row>
    <row r="14106" customFormat="false" ht="17.15" hidden="false" customHeight="false" outlineLevel="0" collapsed="false">
      <c r="A14106" s="0" t="s">
        <v>1244</v>
      </c>
      <c r="B14106" s="0" t="s">
        <v>98</v>
      </c>
      <c r="F14106" s="6" t="n">
        <f aca="false">PL!F34+Sens!F14097*Seg!F28+sbc_r*Seg!F28</f>
        <v>26.6293388420472</v>
      </c>
      <c r="G14106" s="6" t="n">
        <f aca="false">PL!G34+Sens!G14097*Seg!G28+sbc_r*Seg!G28</f>
        <v>26.4405000412783</v>
      </c>
      <c r="H14106" s="6" t="n">
        <f aca="false">PL!H34+Sens!H14097*Seg!H28+sbc_r*Seg!H28</f>
        <v>27.296860059552</v>
      </c>
      <c r="I14106" s="6" t="n">
        <f aca="false">PL!I34+Sens!I14097*Seg!I28+sbc_r*Seg!I28</f>
        <v>28.3995465815703</v>
      </c>
      <c r="J14106" s="6" t="n">
        <f aca="false">PL!J34+Sens!J14097*Seg!J28+sbc_r*Seg!J28</f>
        <v>29.7093380975903</v>
      </c>
      <c r="K14106" s="6" t="n">
        <f aca="false">PL!K34+Sens!K14097*Seg!K28+sbc_r*Seg!K28</f>
        <v>31.1817775287323</v>
      </c>
    </row>
    <row r="14107" customFormat="false" ht="17.15" hidden="false" customHeight="false" outlineLevel="0" collapsed="false">
      <c r="A14107" s="0" t="s">
        <v>1245</v>
      </c>
      <c r="B14107" s="0" t="s">
        <v>98</v>
      </c>
      <c r="F14107" s="6" t="n">
        <f aca="false">(Sens!F14106-Sens!F14102)*Seg!F24/(Seg!F24+Seg!F26)</f>
        <v>8.72146908842971</v>
      </c>
      <c r="G14107" s="6" t="n">
        <f aca="false">(Sens!G14106-Sens!G14102)*Seg!G24/(Seg!G24+Seg!G26)</f>
        <v>7.87837655379173</v>
      </c>
      <c r="H14107" s="6" t="n">
        <f aca="false">(Sens!H14106-Sens!H14102)*Seg!H24/(Seg!H24+Seg!H26)</f>
        <v>7.63786170689933</v>
      </c>
      <c r="I14107" s="6" t="n">
        <f aca="false">(Sens!I14106-Sens!I14102)*Seg!I24/(Seg!I24+Seg!I26)</f>
        <v>7.5470606300581</v>
      </c>
      <c r="J14107" s="6" t="n">
        <f aca="false">(Sens!J14106-Sens!J14102)*Seg!J24/(Seg!J24+Seg!J26)</f>
        <v>7.59249600034024</v>
      </c>
      <c r="K14107" s="6" t="n">
        <f aca="false">(Sens!K14106-Sens!K14102)*Seg!K24/(Seg!K24+Seg!K26)</f>
        <v>7.76610179704742</v>
      </c>
    </row>
    <row r="14108" customFormat="false" ht="17.15" hidden="false" customHeight="false" outlineLevel="0" collapsed="false">
      <c r="A14108" s="0" t="s">
        <v>1246</v>
      </c>
      <c r="B14108" s="0" t="s">
        <v>98</v>
      </c>
      <c r="F14108" s="6" t="n">
        <f aca="false">Sens!F14106-Sens!F14102-Sens!F14107</f>
        <v>6.72062140904636</v>
      </c>
      <c r="G14108" s="6" t="n">
        <f aca="false">Sens!G14106-Sens!G14102-Sens!G14107</f>
        <v>6.31487743919059</v>
      </c>
      <c r="H14108" s="6" t="n">
        <f aca="false">Sens!H14106-Sens!H14102-Sens!H14107</f>
        <v>6.30371125803333</v>
      </c>
      <c r="I14108" s="6" t="n">
        <f aca="false">Sens!I14106-Sens!I14102-Sens!I14107</f>
        <v>6.35007141935025</v>
      </c>
      <c r="J14108" s="6" t="n">
        <f aca="false">Sens!J14106-Sens!J14102-Sens!J14107</f>
        <v>6.44956543659808</v>
      </c>
      <c r="K14108" s="6" t="n">
        <f aca="false">Sens!K14106-Sens!K14102-Sens!K14107</f>
        <v>6.597037617813</v>
      </c>
    </row>
    <row r="14109" customFormat="false" ht="17.15" hidden="false" customHeight="false" outlineLevel="0" collapsed="false">
      <c r="A14109" s="0" t="s">
        <v>1247</v>
      </c>
      <c r="B14109" s="0" t="s">
        <v>98</v>
      </c>
      <c r="F14109" s="6" t="n">
        <f aca="false">Sens!F14103-tax_f*(Sens!F14103-Thesis!F43)-Thesis!F40</f>
        <v>-125.235434701028</v>
      </c>
      <c r="G14109" s="6" t="n">
        <f aca="false">Sens!G14103-tax_f*(Sens!G14103-Thesis!G43)-Thesis!G40</f>
        <v>-106.928508113935</v>
      </c>
      <c r="H14109" s="6" t="n">
        <f aca="false">Sens!H14103-tax_f*(Sens!H14103-Thesis!H43)-Thesis!H40</f>
        <v>-63.2919599603405</v>
      </c>
      <c r="I14109" s="6" t="n">
        <f aca="false">Sens!I14103-tax_f*(Sens!I14103-Thesis!I43)-Thesis!I40</f>
        <v>3.94121196634245</v>
      </c>
      <c r="J14109" s="6" t="n">
        <f aca="false">Sens!J14103-tax_f*(Sens!J14103-Thesis!J43)-Thesis!J40</f>
        <v>71.0786869547042</v>
      </c>
      <c r="K14109" s="6" t="n">
        <f aca="false">Sens!K14103-tax_f*(Sens!K14103-Thesis!K43)-Thesis!K40</f>
        <v>97.5865911685559</v>
      </c>
    </row>
    <row r="14110" customFormat="false" ht="17.15" hidden="false" customHeight="false" outlineLevel="0" collapsed="false">
      <c r="A14110" s="0" t="s">
        <v>1248</v>
      </c>
      <c r="B14110" s="0" t="s">
        <v>98</v>
      </c>
      <c r="G14110" s="6" t="n">
        <f aca="false">Sens!G14109/(1+(wacc+0.01))^(Sens!G14080-Sens!F14081)</f>
        <v>-101.358061709642</v>
      </c>
      <c r="H14110" s="6" t="n">
        <f aca="false">Sens!H14109/(1+(wacc+0.01))^(Sens!H14080-Sens!F14081)</f>
        <v>-53.9067206313085</v>
      </c>
      <c r="I14110" s="6" t="n">
        <f aca="false">Sens!I14109/(1+(wacc+0.01))^(Sens!I14080-Sens!F14081)</f>
        <v>3.01615557864842</v>
      </c>
      <c r="J14110" s="6" t="n">
        <f aca="false">Sens!J14109/(1+(wacc+0.01))^(Sens!J14080-Sens!F14081)</f>
        <v>48.8756922813725</v>
      </c>
      <c r="K14110" s="6" t="n">
        <f aca="false">Sens!K14109/(1+(wacc+0.01))^(Sens!K14080-Sens!F14081)</f>
        <v>60.2938827247007</v>
      </c>
      <c r="L14110" s="1" t="s">
        <v>1249</v>
      </c>
    </row>
    <row r="14111" customFormat="false" ht="17.15" hidden="false" customHeight="false" outlineLevel="0" collapsed="false">
      <c r="A14111" s="0" t="s">
        <v>1250</v>
      </c>
      <c r="B14111" s="0" t="s">
        <v>98</v>
      </c>
      <c r="C14111" s="6" t="n">
        <f aca="false">(Sens!K14103-Thesis!K43)*(1-tax_f)*(1+g_tv)*(1-g_tv/((wacc+0.01)+ronic_prem))/((wacc+0.01)-g_tv)/(1+(wacc+0.01))^(Sens!K14081-Sens!F14081)</f>
        <v>392.785115380483</v>
      </c>
    </row>
    <row r="14112" customFormat="false" ht="17.15" hidden="false" customHeight="false" outlineLevel="0" collapsed="false">
      <c r="A14112" s="1" t="s">
        <v>1251</v>
      </c>
      <c r="B14112" s="0" t="s">
        <v>98</v>
      </c>
      <c r="C14112" s="6" t="n">
        <f aca="false">(SUM(Sens!G14110:K14110)+Sens!$C$14111)*(1+(wacc+0.01))^(t_roll-Sens!F14081)</f>
        <v>362.333447034352</v>
      </c>
      <c r="L14112" s="12" t="s">
        <v>1252</v>
      </c>
    </row>
    <row r="14113" customFormat="false" ht="17.15" hidden="false" customHeight="false" outlineLevel="0" collapsed="false">
      <c r="A14113" s="1" t="s">
        <v>1253</v>
      </c>
      <c r="B14113" s="0" t="s">
        <v>98</v>
      </c>
      <c r="C14113" s="6" t="n">
        <f aca="false">(w_ntm28*Thesis!G31+(1-w_ntm28)*Thesis!H31)*m_ai</f>
        <v>563.316843258668</v>
      </c>
    </row>
    <row r="14114" customFormat="false" ht="17.15" hidden="false" customHeight="false" outlineLevel="0" collapsed="false">
      <c r="A14114" s="1" t="s">
        <v>1254</v>
      </c>
      <c r="B14114" s="0" t="s">
        <v>98</v>
      </c>
      <c r="C14114" s="6" t="n">
        <f aca="false">(w_ntm28*Sens!G14105+(1-w_ntm28)*Sens!H14105)*m_cloud</f>
        <v>1085.17964696599</v>
      </c>
    </row>
    <row r="14115" customFormat="false" ht="17.15" hidden="false" customHeight="false" outlineLevel="0" collapsed="false">
      <c r="A14115" s="1" t="s">
        <v>1255</v>
      </c>
      <c r="B14115" s="0" t="s">
        <v>98</v>
      </c>
      <c r="C14115" s="6" t="n">
        <f aca="false">(w_ntm28*Sens!G14098+(1-w_ntm28)*Sens!H14098)*m_sw</f>
        <v>1120.47763155275</v>
      </c>
    </row>
    <row r="14116" customFormat="false" ht="17.15" hidden="false" customHeight="false" outlineLevel="0" collapsed="false">
      <c r="A14116" s="1" t="s">
        <v>1256</v>
      </c>
      <c r="B14116" s="0" t="s">
        <v>98</v>
      </c>
      <c r="C14116" s="6" t="n">
        <f aca="false">(w_ntm28*Sens!G14099+(1-w_ntm28)*Sens!H14099)*m_sw</f>
        <v>372.68398809041</v>
      </c>
    </row>
    <row r="14117" customFormat="false" ht="17.15" hidden="false" customHeight="false" outlineLevel="0" collapsed="false">
      <c r="A14117" s="1" t="s">
        <v>1257</v>
      </c>
      <c r="B14117" s="0" t="s">
        <v>98</v>
      </c>
      <c r="C14117" s="6" t="n">
        <f aca="false">(w_ntm28*Sens!G14100+(1-w_ntm28)*Sens!H14100)*m_sw</f>
        <v>108.992632332144</v>
      </c>
    </row>
    <row r="14118" customFormat="false" ht="17.15" hidden="false" customHeight="false" outlineLevel="0" collapsed="false">
      <c r="A14118" s="1" t="s">
        <v>1258</v>
      </c>
      <c r="B14118" s="0" t="s">
        <v>98</v>
      </c>
      <c r="C14118" s="6" t="n">
        <f aca="false">(w_ntm28*Sens!G14101+(1-w_ntm28)*Sens!H14101)*m_sw</f>
        <v>41.4362652527414</v>
      </c>
    </row>
    <row r="14119" customFormat="false" ht="17.15" hidden="false" customHeight="false" outlineLevel="0" collapsed="false">
      <c r="A14119" s="1" t="s">
        <v>1259</v>
      </c>
      <c r="B14119" s="0" t="s">
        <v>98</v>
      </c>
      <c r="C14119" s="6" t="n">
        <f aca="false">(w_ntm28*Sens!G14102+(1-w_ntm28)*Sens!H14102)*m_ads</f>
        <v>114.891070326937</v>
      </c>
    </row>
    <row r="14120" customFormat="false" ht="17.15" hidden="false" customHeight="false" outlineLevel="0" collapsed="false">
      <c r="A14120" s="1" t="s">
        <v>1260</v>
      </c>
      <c r="B14120" s="0" t="s">
        <v>98</v>
      </c>
      <c r="C14120" s="6" t="n">
        <f aca="false">(w_ntm28*Sens!G14107+(1-w_ntm28)*Sens!H14107)*m_game</f>
        <v>98.505199156718</v>
      </c>
    </row>
    <row r="14121" customFormat="false" ht="17.15" hidden="false" customHeight="false" outlineLevel="0" collapsed="false">
      <c r="A14121" s="1" t="s">
        <v>1261</v>
      </c>
      <c r="B14121" s="0" t="s">
        <v>98</v>
      </c>
      <c r="C14121" s="6" t="n">
        <f aca="false">(w_ntm28*Sens!G14108+(1-w_ntm28)*Sens!H14108)*m_pc</f>
        <v>91.3231561150564</v>
      </c>
    </row>
    <row r="14122" customFormat="false" ht="17.15" hidden="false" customHeight="false" outlineLevel="0" collapsed="false">
      <c r="A14122" s="1" t="s">
        <v>1262</v>
      </c>
      <c r="B14122" s="0" t="s">
        <v>98</v>
      </c>
      <c r="C14122" s="6" t="n">
        <f aca="false">Sens!$C$14112+Sens!$C$14114+Sens!$C$14115+Sens!$C$14116+Sens!$C$14117+Sens!$C$14118+Sens!$C$14119+Sens!$C$14120+Sens!$C$14121</f>
        <v>3395.8230368271</v>
      </c>
    </row>
    <row r="14123" customFormat="false" ht="17.15" hidden="false" customHeight="false" outlineLevel="0" collapsed="false">
      <c r="A14123" s="1" t="s">
        <v>1263</v>
      </c>
      <c r="B14123" s="0" t="s">
        <v>98</v>
      </c>
      <c r="C14123" s="6" t="n">
        <f aca="false">(Sens!G14084-Sens!G14109)*t_stub</f>
        <v>48.2832931160316</v>
      </c>
      <c r="L14123" s="1" t="s">
        <v>1264</v>
      </c>
    </row>
    <row r="14124" customFormat="false" ht="17.15" hidden="false" customHeight="false" outlineLevel="0" collapsed="false">
      <c r="A14124" s="1" t="s">
        <v>1173</v>
      </c>
      <c r="B14124" s="0" t="s">
        <v>98</v>
      </c>
      <c r="C14124" s="6" t="n">
        <f aca="false">CF!F39+oai_v-CF!F28+Sens!$C$14123</f>
        <v>162.511563116032</v>
      </c>
      <c r="L14124" s="1" t="s">
        <v>1265</v>
      </c>
    </row>
    <row r="14125" customFormat="false" ht="17.15" hidden="false" customHeight="false" outlineLevel="0" collapsed="false">
      <c r="A14125" s="1" t="s">
        <v>1266</v>
      </c>
      <c r="B14125" s="0" t="s">
        <v>75</v>
      </c>
      <c r="C14125" s="5" t="n">
        <f aca="false">(Sens!$C$14122+Sens!$C$14124)/(CF!F41+dil_gap)-CF!G31*roll_div_q/q_per_yr</f>
        <v>474.021719012533</v>
      </c>
      <c r="L14125" s="1" t="s">
        <v>1267</v>
      </c>
    </row>
    <row r="14126" customFormat="false" ht="17.15" hidden="false" customHeight="false" outlineLevel="0" collapsed="false">
      <c r="A14126" s="1" t="s">
        <v>1268</v>
      </c>
      <c r="B14126" s="0" t="s">
        <v>75</v>
      </c>
      <c r="C14126" s="5" t="n">
        <f aca="false">w_dcf*Sens!$C$14096+(1-w_dcf)*Sens!$C$14125</f>
        <v>401.589594561349</v>
      </c>
    </row>
    <row r="14127" customFormat="false" ht="17.15" hidden="false" customHeight="false" outlineLevel="0" collapsed="false">
      <c r="A14127" s="3" t="s">
        <v>1964</v>
      </c>
    </row>
    <row r="14128" customFormat="false" ht="15" hidden="false" customHeight="false" outlineLevel="0" collapsed="false">
      <c r="A14128" s="4" t="s">
        <v>43</v>
      </c>
      <c r="B14128" s="4" t="s">
        <v>65</v>
      </c>
      <c r="C14128" s="23" t="s">
        <v>942</v>
      </c>
      <c r="D14128" s="23" t="s">
        <v>943</v>
      </c>
      <c r="E14128" s="23" t="s">
        <v>944</v>
      </c>
      <c r="F14128" s="23" t="s">
        <v>945</v>
      </c>
      <c r="G14128" s="23" t="s">
        <v>946</v>
      </c>
      <c r="H14128" s="23" t="s">
        <v>947</v>
      </c>
      <c r="I14128" s="23" t="s">
        <v>948</v>
      </c>
      <c r="J14128" s="23" t="s">
        <v>949</v>
      </c>
      <c r="K14128" s="23" t="s">
        <v>950</v>
      </c>
      <c r="L14128" s="4" t="s">
        <v>47</v>
      </c>
    </row>
    <row r="14129" customFormat="false" ht="17.15" hidden="false" customHeight="false" outlineLevel="0" collapsed="false">
      <c r="A14129" s="1" t="s">
        <v>1216</v>
      </c>
      <c r="B14129" s="1" t="s">
        <v>279</v>
      </c>
      <c r="F14129" s="8" t="n">
        <f aca="false">(1-v_off)*mid_yr</f>
        <v>0.373972602739726</v>
      </c>
      <c r="G14129" s="8" t="n">
        <f aca="false">Thesis!G58-base_fy-mid_yr-v_off</f>
        <v>1.24794520547945</v>
      </c>
      <c r="H14129" s="8" t="n">
        <f aca="false">Thesis!H58-base_fy-mid_yr-v_off</f>
        <v>2.24794520547945</v>
      </c>
      <c r="I14129" s="8" t="n">
        <f aca="false">Thesis!I58-base_fy-mid_yr-v_off</f>
        <v>3.24794520547945</v>
      </c>
      <c r="J14129" s="8" t="n">
        <f aca="false">Thesis!J58-base_fy-mid_yr-v_off</f>
        <v>4.24794520547945</v>
      </c>
      <c r="K14129" s="8" t="n">
        <f aca="false">Thesis!K58-base_fy-mid_yr-v_off</f>
        <v>5.24794520547945</v>
      </c>
      <c r="L14129" s="12" t="s">
        <v>1217</v>
      </c>
    </row>
    <row r="14130" customFormat="false" ht="15" hidden="false" customHeight="false" outlineLevel="0" collapsed="false">
      <c r="A14130" s="1" t="s">
        <v>1218</v>
      </c>
      <c r="B14130" s="1" t="s">
        <v>279</v>
      </c>
      <c r="F14130" s="8" t="n">
        <f aca="false">Thesis!F58-base_fy-v_off</f>
        <v>0.747945205479452</v>
      </c>
      <c r="G14130" s="8" t="n">
        <f aca="false">Thesis!G58-base_fy-v_off</f>
        <v>1.74794520547945</v>
      </c>
      <c r="H14130" s="8" t="n">
        <f aca="false">Thesis!H58-base_fy-v_off</f>
        <v>2.74794520547945</v>
      </c>
      <c r="I14130" s="8" t="n">
        <f aca="false">Thesis!I58-base_fy-v_off</f>
        <v>3.74794520547945</v>
      </c>
      <c r="J14130" s="8" t="n">
        <f aca="false">Thesis!J58-base_fy-v_off</f>
        <v>4.74794520547945</v>
      </c>
      <c r="K14130" s="8" t="n">
        <f aca="false">Thesis!K58-base_fy-v_off</f>
        <v>5.74794520547945</v>
      </c>
    </row>
    <row r="14131" customFormat="false" ht="15" hidden="false" customHeight="false" outlineLevel="0" collapsed="false">
      <c r="A14131" s="1" t="s">
        <v>1219</v>
      </c>
      <c r="B14131" s="0" t="s">
        <v>229</v>
      </c>
      <c r="F14131" s="15" t="n">
        <f aca="false">1/(1+(wacc+0.01))^Sens!F14129</f>
        <v>0.960774207300618</v>
      </c>
      <c r="G14131" s="15" t="n">
        <f aca="false">1/(1+(wacc+0.01))^Sens!G14129</f>
        <v>0.874998806269897</v>
      </c>
      <c r="H14131" s="15" t="n">
        <f aca="false">1/(1+(wacc+0.01))^Sens!H14129</f>
        <v>0.786207240725602</v>
      </c>
      <c r="I14131" s="15" t="n">
        <f aca="false">1/(1+(wacc+0.01))^Sens!I14129</f>
        <v>0.706425907029985</v>
      </c>
      <c r="J14131" s="15" t="n">
        <f aca="false">1/(1+(wacc+0.01))^Sens!J14129</f>
        <v>0.634740480973652</v>
      </c>
      <c r="K14131" s="15" t="n">
        <f aca="false">1/(1+(wacc+0.01))^Sens!K14129</f>
        <v>0.570329420505754</v>
      </c>
    </row>
    <row r="14132" customFormat="false" ht="17.15" hidden="false" customHeight="false" outlineLevel="0" collapsed="false">
      <c r="A14132" s="1" t="s">
        <v>1220</v>
      </c>
      <c r="B14132" s="0" t="s">
        <v>98</v>
      </c>
      <c r="F14132" s="6" t="n">
        <f aca="false">Q!$I$35-Q!$I$39-Q!$I$43</f>
        <v>9.666</v>
      </c>
      <c r="L14132" s="12" t="s">
        <v>1221</v>
      </c>
    </row>
    <row r="14133" customFormat="false" ht="17.15" hidden="false" customHeight="false" outlineLevel="0" collapsed="false">
      <c r="A14133" s="1" t="s">
        <v>1222</v>
      </c>
      <c r="B14133" s="0" t="s">
        <v>98</v>
      </c>
      <c r="F14133" s="6" t="n">
        <f aca="false">CF!F55-CF!F52-CF!F59+Thesis!F99*(1-tax_f)*(1-v_off)-Sens!F14132</f>
        <v>-3.35959137570949</v>
      </c>
      <c r="G14133" s="6" t="n">
        <f aca="false">CF!G55-CF!G52-CF!G59+Thesis!G99*(1-tax_f)</f>
        <v>29.8084555066036</v>
      </c>
      <c r="H14133" s="6" t="n">
        <f aca="false">CF!H55-CF!H52-CF!H59+Thesis!H99*(1-tax_f)</f>
        <v>79.3231801478051</v>
      </c>
      <c r="I14133" s="6" t="n">
        <f aca="false">CF!I55-CF!I52-CF!I59+Thesis!I99*(1-tax_f)</f>
        <v>157.29132812061</v>
      </c>
      <c r="J14133" s="6" t="n">
        <f aca="false">CF!J55-CF!J52-CF!J59+Thesis!J99*(1-tax_f)</f>
        <v>235.537601843622</v>
      </c>
      <c r="K14133" s="6" t="n">
        <f aca="false">CF!K55-CF!K52-CF!K59+Thesis!K99*(1-tax_f)</f>
        <v>273.705067207806</v>
      </c>
      <c r="L14133" s="1" t="s">
        <v>1223</v>
      </c>
    </row>
    <row r="14134" customFormat="false" ht="15" hidden="false" customHeight="false" outlineLevel="0" collapsed="false">
      <c r="A14134" s="1" t="s">
        <v>1224</v>
      </c>
      <c r="B14134" s="0" t="s">
        <v>98</v>
      </c>
      <c r="F14134" s="6" t="n">
        <f aca="false">Sens!F14133*Sens!F14131</f>
        <v>-3.22780874085128</v>
      </c>
      <c r="G14134" s="6" t="n">
        <f aca="false">Sens!G14133*Sens!G14131</f>
        <v>26.0823629850275</v>
      </c>
      <c r="H14134" s="6" t="n">
        <f aca="false">Sens!H14133*Sens!H14131</f>
        <v>62.3644585895857</v>
      </c>
      <c r="I14134" s="6" t="n">
        <f aca="false">Sens!I14133*Sens!I14131</f>
        <v>111.114669135553</v>
      </c>
      <c r="J14134" s="6" t="n">
        <f aca="false">Sens!J14133*Sens!J14131</f>
        <v>149.505250681601</v>
      </c>
      <c r="K14134" s="6" t="n">
        <f aca="false">Sens!K14133*Sens!K14131</f>
        <v>156.102052370116</v>
      </c>
    </row>
    <row r="14135" customFormat="false" ht="17.15" hidden="false" customHeight="false" outlineLevel="0" collapsed="false">
      <c r="A14135" s="1" t="s">
        <v>1225</v>
      </c>
      <c r="B14135" s="0" t="s">
        <v>98</v>
      </c>
      <c r="C14135" s="6" t="n">
        <f aca="false">SUM(Sens!F14134:K14134)</f>
        <v>501.940985021033</v>
      </c>
    </row>
    <row r="14136" customFormat="false" ht="17.15" hidden="false" customHeight="false" outlineLevel="0" collapsed="false">
      <c r="A14136" s="1" t="s">
        <v>1226</v>
      </c>
      <c r="B14136" s="0" t="s">
        <v>98</v>
      </c>
      <c r="C14136" s="6" t="n">
        <f aca="false">PL!K78*(1+g_tv)*(1-tax_f)</f>
        <v>284.979534119394</v>
      </c>
    </row>
    <row r="14137" customFormat="false" ht="17.15" hidden="false" customHeight="false" outlineLevel="0" collapsed="false">
      <c r="A14137" s="1" t="s">
        <v>1227</v>
      </c>
      <c r="B14137" s="0" t="s">
        <v>98</v>
      </c>
      <c r="C14137" s="6" t="n">
        <f aca="false">Sens!$C$14136*(1-g_tv/((wacc+0.01)+ronic_prem))</f>
        <v>209.278771842089</v>
      </c>
    </row>
    <row r="14138" customFormat="false" ht="17.15" hidden="false" customHeight="false" outlineLevel="0" collapsed="false">
      <c r="A14138" s="1" t="s">
        <v>1228</v>
      </c>
      <c r="B14138" s="0" t="s">
        <v>98</v>
      </c>
      <c r="C14138" s="6" t="n">
        <f aca="false">Sens!$C$14137/((wacc+0.01)-g_tv)</f>
        <v>2523.35874257681</v>
      </c>
    </row>
    <row r="14139" customFormat="false" ht="15" hidden="false" customHeight="false" outlineLevel="0" collapsed="false">
      <c r="A14139" s="1" t="s">
        <v>1229</v>
      </c>
      <c r="B14139" s="0" t="s">
        <v>98</v>
      </c>
      <c r="C14139" s="6" t="n">
        <f aca="false">Sens!$C$14138/(1+(wacc+0.01))^Sens!K14130</f>
        <v>1364.17335489649</v>
      </c>
    </row>
    <row r="14140" customFormat="false" ht="17.15" hidden="false" customHeight="false" outlineLevel="0" collapsed="false">
      <c r="A14140" s="0" t="s">
        <v>1230</v>
      </c>
      <c r="B14140" s="0" t="s">
        <v>98</v>
      </c>
      <c r="C14140" s="6" t="n">
        <f aca="false">Sens!$C$14135+Sens!$C$14139</f>
        <v>1866.11433991752</v>
      </c>
    </row>
    <row r="14141" customFormat="false" ht="15" hidden="false" customHeight="false" outlineLevel="0" collapsed="false">
      <c r="A14141" s="1" t="s">
        <v>1145</v>
      </c>
      <c r="B14141" s="0" t="s">
        <v>168</v>
      </c>
      <c r="C14141" s="7" t="n">
        <f aca="false">Sens!$C$14139/Sens!$C$14140</f>
        <v>0.731023456449503</v>
      </c>
    </row>
    <row r="14142" customFormat="false" ht="17.15" hidden="false" customHeight="false" outlineLevel="0" collapsed="false">
      <c r="A14142" s="1" t="s">
        <v>1231</v>
      </c>
      <c r="B14142" s="0" t="s">
        <v>98</v>
      </c>
      <c r="C14142" s="6" t="n">
        <f aca="false">Sens!$C$14140+cash_val-debt_val-fl_val+oai_v</f>
        <v>1981.96533991752</v>
      </c>
    </row>
    <row r="14143" customFormat="false" ht="17.15" hidden="false" customHeight="false" outlineLevel="0" collapsed="false">
      <c r="A14143" s="0" t="s">
        <v>1153</v>
      </c>
      <c r="B14143" s="0" t="s">
        <v>75</v>
      </c>
      <c r="C14143" s="5" t="n">
        <f aca="false">Sens!$C$14142/shd_val</f>
        <v>266.178530743691</v>
      </c>
    </row>
    <row r="14144" customFormat="false" ht="15" hidden="false" customHeight="false" outlineLevel="0" collapsed="false">
      <c r="A14144" s="1" t="s">
        <v>1232</v>
      </c>
      <c r="B14144" s="0" t="s">
        <v>75</v>
      </c>
      <c r="C14144" s="8" t="n">
        <f aca="false">div_rem27+CF!G63*roll_div_q/q_per_yr</f>
        <v>3.9795</v>
      </c>
    </row>
    <row r="14145" customFormat="false" ht="17.15" hidden="false" customHeight="false" outlineLevel="0" collapsed="false">
      <c r="A14145" s="0" t="s">
        <v>1233</v>
      </c>
      <c r="B14145" s="0" t="s">
        <v>75</v>
      </c>
      <c r="C14145" s="5" t="n">
        <f aca="false">Sens!$C$14143*(1+(wacc+0.01))^t_roll-Sens!$C$14144</f>
        <v>294.789556271304</v>
      </c>
    </row>
    <row r="14146" customFormat="false" ht="17.15" hidden="false" customHeight="false" outlineLevel="0" collapsed="false">
      <c r="A14146" s="1" t="s">
        <v>1234</v>
      </c>
      <c r="B14146" s="0" t="s">
        <v>168</v>
      </c>
      <c r="F14146" s="7" t="n">
        <f aca="false">CF!F49/(Seg!F56-Thesis!F77)</f>
        <v>0.0686195668908011</v>
      </c>
      <c r="G14146" s="7" t="n">
        <f aca="false">CF!G49/(Seg!G56-Thesis!G77)</f>
        <v>0.0658333569148391</v>
      </c>
      <c r="H14146" s="7" t="n">
        <f aca="false">CF!H49/(Seg!H56-Thesis!H77)</f>
        <v>0.0643895625218926</v>
      </c>
      <c r="I14146" s="7" t="n">
        <f aca="false">CF!I49/(Seg!I56-Thesis!I77)</f>
        <v>0.0641676618157989</v>
      </c>
      <c r="J14146" s="7" t="n">
        <f aca="false">CF!J49/(Seg!J56-Thesis!J77)</f>
        <v>0.0648858606572163</v>
      </c>
      <c r="K14146" s="7" t="n">
        <f aca="false">CF!K49/(Seg!K56-Thesis!K77)</f>
        <v>0.0661974425163768</v>
      </c>
    </row>
    <row r="14147" customFormat="false" ht="17.15" hidden="false" customHeight="false" outlineLevel="0" collapsed="false">
      <c r="A14147" s="0" t="s">
        <v>1235</v>
      </c>
      <c r="B14147" s="0" t="s">
        <v>98</v>
      </c>
      <c r="F14147" s="6" t="n">
        <f aca="false">Seg!F41*(al_m365+Sens!F14146+sbc_r)</f>
        <v>83.7205619248671</v>
      </c>
      <c r="G14147" s="6" t="n">
        <f aca="false">Seg!G41*(al_m365+Sens!G14146+sbc_r)</f>
        <v>96.1301303332381</v>
      </c>
      <c r="H14147" s="6" t="n">
        <f aca="false">Seg!H41*(al_m365+Sens!H14146+sbc_r)</f>
        <v>108.70354073822</v>
      </c>
      <c r="I14147" s="6" t="n">
        <f aca="false">Seg!I41*(al_m365+Sens!I14146+sbc_r)</f>
        <v>120.260101315626</v>
      </c>
      <c r="J14147" s="6" t="n">
        <f aca="false">Seg!J41*(al_m365+Sens!J14146+sbc_r)</f>
        <v>130.611904548619</v>
      </c>
      <c r="K14147" s="6" t="n">
        <f aca="false">Seg!K41*(al_m365+Sens!K14146+sbc_r)</f>
        <v>140.575094974638</v>
      </c>
      <c r="L14147" s="12" t="s">
        <v>1236</v>
      </c>
    </row>
    <row r="14148" customFormat="false" ht="17.15" hidden="false" customHeight="false" outlineLevel="0" collapsed="false">
      <c r="A14148" s="0" t="s">
        <v>1237</v>
      </c>
      <c r="B14148" s="0" t="s">
        <v>98</v>
      </c>
      <c r="F14148" s="6" t="n">
        <f aca="false">Seg!F42*(al_lic+Sens!F14146+sbc_r)</f>
        <v>32.8577657183496</v>
      </c>
      <c r="G14148" s="6" t="n">
        <f aca="false">Seg!G42*(al_lic+Sens!G14146+sbc_r)</f>
        <v>34.1376266324889</v>
      </c>
      <c r="H14148" s="6" t="n">
        <f aca="false">Seg!H42*(al_lic+Sens!H14146+sbc_r)</f>
        <v>35.3325744664128</v>
      </c>
      <c r="I14148" s="6" t="n">
        <f aca="false">Seg!I42*(al_lic+Sens!I14146+sbc_r)</f>
        <v>36.4244749008727</v>
      </c>
      <c r="J14148" s="6" t="n">
        <f aca="false">Seg!J42*(al_lic+Sens!J14146+sbc_r)</f>
        <v>37.3879406068527</v>
      </c>
      <c r="K14148" s="6" t="n">
        <f aca="false">Seg!K42*(al_lic+Sens!K14146+sbc_r)</f>
        <v>38.1943876078259</v>
      </c>
    </row>
    <row r="14149" customFormat="false" ht="17.15" hidden="false" customHeight="false" outlineLevel="0" collapsed="false">
      <c r="A14149" s="0" t="s">
        <v>1238</v>
      </c>
      <c r="B14149" s="0" t="s">
        <v>98</v>
      </c>
      <c r="F14149" s="6" t="n">
        <f aca="false">Seg!F44*(al_ind+Sens!F14146+sbc_r)</f>
        <v>9.06041701092022</v>
      </c>
      <c r="G14149" s="6" t="n">
        <f aca="false">Seg!G44*(al_ind+Sens!G14146+sbc_r)</f>
        <v>9.83619082712885</v>
      </c>
      <c r="H14149" s="6" t="n">
        <f aca="false">Seg!H44*(al_ind+Sens!H14146+sbc_r)</f>
        <v>10.6570160105312</v>
      </c>
      <c r="I14149" s="6" t="n">
        <f aca="false">Seg!I44*(al_ind+Sens!I14146+sbc_r)</f>
        <v>11.5198571637125</v>
      </c>
      <c r="J14149" s="6" t="n">
        <f aca="false">Seg!J44*(al_ind+Sens!J14146+sbc_r)</f>
        <v>12.4150086539206</v>
      </c>
      <c r="K14149" s="6" t="n">
        <f aca="false">Seg!K44*(al_ind+Sens!K14146+sbc_r)</f>
        <v>13.3273714589988</v>
      </c>
    </row>
    <row r="14150" customFormat="false" ht="17.15" hidden="false" customHeight="false" outlineLevel="0" collapsed="false">
      <c r="A14150" s="0" t="s">
        <v>1239</v>
      </c>
      <c r="B14150" s="0" t="s">
        <v>98</v>
      </c>
      <c r="F14150" s="6" t="n">
        <f aca="false">Seg!F46*(al_fro+Sens!F14146+sbc_r)</f>
        <v>3.55402950182022</v>
      </c>
      <c r="G14150" s="6" t="n">
        <f aca="false">Seg!G46*(al_fro+Sens!G14146+sbc_r)</f>
        <v>3.76361488926481</v>
      </c>
      <c r="H14150" s="6" t="n">
        <f aca="false">Seg!H46*(al_fro+Sens!H14146+sbc_r)</f>
        <v>4.00220968879544</v>
      </c>
      <c r="I14150" s="6" t="n">
        <f aca="false">Seg!I46*(al_fro+Sens!I14146+sbc_r)</f>
        <v>4.2725765173852</v>
      </c>
      <c r="J14150" s="6" t="n">
        <f aca="false">Seg!J46*(al_fro+Sens!J14146+sbc_r)</f>
        <v>4.57586224390293</v>
      </c>
      <c r="K14150" s="6" t="n">
        <f aca="false">Seg!K46*(al_fro+Sens!K14146+sbc_r)</f>
        <v>4.91213639633217</v>
      </c>
    </row>
    <row r="14151" customFormat="false" ht="17.15" hidden="false" customHeight="false" outlineLevel="0" collapsed="false">
      <c r="A14151" s="0" t="s">
        <v>1240</v>
      </c>
      <c r="B14151" s="0" t="s">
        <v>98</v>
      </c>
      <c r="F14151" s="6" t="n">
        <f aca="false">Seg!F49*(al_srch+Sens!F14146+sbc_r)</f>
        <v>11.1890902994147</v>
      </c>
      <c r="G14151" s="6" t="n">
        <f aca="false">Seg!G49*(al_srch+Sens!G14146+sbc_r)</f>
        <v>12.261738891803</v>
      </c>
      <c r="H14151" s="6" t="n">
        <f aca="false">Seg!H49*(al_srch+Sens!H14146+sbc_r)</f>
        <v>13.3794863429193</v>
      </c>
      <c r="I14151" s="6" t="n">
        <f aca="false">Seg!I49*(al_srch+Sens!I14146+sbc_r)</f>
        <v>14.5317114787784</v>
      </c>
      <c r="J14151" s="6" t="n">
        <f aca="false">Seg!J49*(al_srch+Sens!J14146+sbc_r)</f>
        <v>15.6984365817724</v>
      </c>
      <c r="K14151" s="6" t="n">
        <f aca="false">Seg!K49*(al_srch+Sens!K14146+sbc_r)</f>
        <v>16.8520942258664</v>
      </c>
    </row>
    <row r="14152" customFormat="false" ht="17.15" hidden="false" customHeight="false" outlineLevel="0" collapsed="false">
      <c r="A14152" s="0" t="s">
        <v>1241</v>
      </c>
      <c r="B14152" s="0" t="s">
        <v>98</v>
      </c>
      <c r="F14152" s="6" t="n">
        <f aca="false">Thesis!F83-Thesis!F84+Thesis!F99</f>
        <v>42.5431090240393</v>
      </c>
      <c r="G14152" s="6" t="n">
        <f aca="false">Thesis!G83-Thesis!G84+Thesis!G99</f>
        <v>81.4922561130847</v>
      </c>
      <c r="H14152" s="6" t="n">
        <f aca="false">Thesis!H83-Thesis!H84+Thesis!H99</f>
        <v>123.278266211349</v>
      </c>
      <c r="I14152" s="6" t="n">
        <f aca="false">Thesis!I83-Thesis!I84+Thesis!I99</f>
        <v>160.60594185192</v>
      </c>
      <c r="J14152" s="6" t="n">
        <f aca="false">Thesis!J83-Thesis!J84+Thesis!J99</f>
        <v>186.818741832633</v>
      </c>
      <c r="K14152" s="6" t="n">
        <f aca="false">Thesis!K83-Thesis!K84+Thesis!K99</f>
        <v>202.776422159652</v>
      </c>
    </row>
    <row r="14153" customFormat="false" ht="17.15" hidden="false" customHeight="false" outlineLevel="0" collapsed="false">
      <c r="A14153" s="0" t="s">
        <v>1242</v>
      </c>
      <c r="B14153" s="0" t="s">
        <v>98</v>
      </c>
      <c r="F14153" s="6" t="n">
        <f aca="false">PL!F71+Thesis!F99+Thesis!F95+Sens!F14146*(Seg!F48-Thesis!F77)+sbc_r*Seg!F48</f>
        <v>238.090727427296</v>
      </c>
      <c r="G14153" s="6" t="n">
        <f aca="false">PL!G71+Thesis!G99+Thesis!G95+Sens!G14146*(Seg!G48-Thesis!G77)+sbc_r*Seg!G48</f>
        <v>299.90836088563</v>
      </c>
      <c r="H14153" s="6" t="n">
        <f aca="false">PL!H71+Thesis!H99+Thesis!H95+Sens!H14146*(Seg!H48-Thesis!H77)+sbc_r*Seg!H48</f>
        <v>369.457709442386</v>
      </c>
      <c r="I14153" s="6" t="n">
        <f aca="false">PL!I71+Thesis!I99+Thesis!I95+Sens!I14146*(Seg!I48-Thesis!I77)+sbc_r*Seg!I48</f>
        <v>433.16585128823</v>
      </c>
      <c r="J14153" s="6" t="n">
        <f aca="false">PL!J71+Thesis!J99+Thesis!J95+Sens!J14146*(Seg!J48-Thesis!J77)+sbc_r*Seg!J48</f>
        <v>483.301303131191</v>
      </c>
      <c r="K14153" s="6" t="n">
        <f aca="false">PL!K71+Thesis!K99+Thesis!K95+Sens!K14146*(Seg!K48-Thesis!K77)+sbc_r*Seg!K48</f>
        <v>520.789002205336</v>
      </c>
    </row>
    <row r="14154" customFormat="false" ht="17.15" hidden="false" customHeight="false" outlineLevel="0" collapsed="false">
      <c r="A14154" s="0" t="s">
        <v>1243</v>
      </c>
      <c r="B14154" s="0" t="s">
        <v>98</v>
      </c>
      <c r="F14154" s="6" t="n">
        <f aca="false">Sens!F14153-Sens!F14147-Sens!F14148-Sens!F14149-Sens!F14150-Sens!F14152</f>
        <v>66.3548442472996</v>
      </c>
      <c r="G14154" s="6" t="n">
        <f aca="false">Sens!G14153-Sens!G14147-Sens!G14148-Sens!G14149-Sens!G14150-Sens!G14152</f>
        <v>74.548542090425</v>
      </c>
      <c r="H14154" s="6" t="n">
        <f aca="false">Sens!H14153-Sens!H14147-Sens!H14148-Sens!H14149-Sens!H14150-Sens!H14152</f>
        <v>87.4841023270775</v>
      </c>
      <c r="I14154" s="6" t="n">
        <f aca="false">Sens!I14153-Sens!I14147-Sens!I14148-Sens!I14149-Sens!I14150-Sens!I14152</f>
        <v>100.082899538713</v>
      </c>
      <c r="J14154" s="6" t="n">
        <f aca="false">Sens!J14153-Sens!J14147-Sens!J14148-Sens!J14149-Sens!J14150-Sens!J14152</f>
        <v>111.491845245262</v>
      </c>
      <c r="K14154" s="6" t="n">
        <f aca="false">Sens!K14153-Sens!K14147-Sens!K14148-Sens!K14149-Sens!K14150-Sens!K14152</f>
        <v>121.003589607889</v>
      </c>
    </row>
    <row r="14155" customFormat="false" ht="17.15" hidden="false" customHeight="false" outlineLevel="0" collapsed="false">
      <c r="A14155" s="0" t="s">
        <v>1244</v>
      </c>
      <c r="B14155" s="0" t="s">
        <v>98</v>
      </c>
      <c r="F14155" s="6" t="n">
        <f aca="false">PL!F73+Sens!F14146*Seg!F55+sbc_r*Seg!F55</f>
        <v>26.6336365855879</v>
      </c>
      <c r="G14155" s="6" t="n">
        <f aca="false">PL!G73+Sens!G14146*Seg!G55+sbc_r*Seg!G55</f>
        <v>26.4720859498625</v>
      </c>
      <c r="H14155" s="6" t="n">
        <f aca="false">PL!H73+Sens!H14146*Seg!H55+sbc_r*Seg!H55</f>
        <v>27.346793021284</v>
      </c>
      <c r="I14155" s="6" t="n">
        <f aca="false">PL!I73+Sens!I14146*Seg!I55+sbc_r*Seg!I55</f>
        <v>28.4574657863154</v>
      </c>
      <c r="J14155" s="6" t="n">
        <f aca="false">PL!J73+Sens!J14146*Seg!J55+sbc_r*Seg!J55</f>
        <v>29.7689890546037</v>
      </c>
      <c r="K14155" s="6" t="n">
        <f aca="false">PL!K73+Sens!K14146*Seg!K55+sbc_r*Seg!K55</f>
        <v>31.2443947307494</v>
      </c>
    </row>
    <row r="14156" customFormat="false" ht="17.15" hidden="false" customHeight="false" outlineLevel="0" collapsed="false">
      <c r="A14156" s="0" t="s">
        <v>1245</v>
      </c>
      <c r="B14156" s="0" t="s">
        <v>98</v>
      </c>
      <c r="F14156" s="6" t="n">
        <f aca="false">(Sens!F14155-Sens!F14151)*Seg!F51/(Seg!F51+Seg!F53)</f>
        <v>8.72285608232241</v>
      </c>
      <c r="G14156" s="6" t="n">
        <f aca="false">(Sens!G14155-Sens!G14151)*Seg!G51/(Seg!G51+Seg!G53)</f>
        <v>7.88786455444355</v>
      </c>
      <c r="H14156" s="6" t="n">
        <f aca="false">(Sens!H14155-Sens!H14151)*Seg!H51/(Seg!H51+Seg!H53)</f>
        <v>7.65195986819674</v>
      </c>
      <c r="I14156" s="6" t="n">
        <f aca="false">(Sens!I14155-Sens!I14151)*Seg!I51/(Seg!I51+Seg!I53)</f>
        <v>7.56260440676676</v>
      </c>
      <c r="J14156" s="6" t="n">
        <f aca="false">(Sens!J14155-Sens!J14151)*Seg!J51/(Seg!J51+Seg!J53)</f>
        <v>7.60790100885945</v>
      </c>
      <c r="K14156" s="6" t="n">
        <f aca="false">(Sens!K14155-Sens!K14151)*Seg!K51/(Seg!K51+Seg!K53)</f>
        <v>7.78186910160995</v>
      </c>
    </row>
    <row r="14157" customFormat="false" ht="17.15" hidden="false" customHeight="false" outlineLevel="0" collapsed="false">
      <c r="A14157" s="0" t="s">
        <v>1246</v>
      </c>
      <c r="B14157" s="0" t="s">
        <v>98</v>
      </c>
      <c r="F14157" s="6" t="n">
        <f aca="false">Sens!F14155-Sens!F14151-Sens!F14156</f>
        <v>6.72169020385088</v>
      </c>
      <c r="G14157" s="6" t="n">
        <f aca="false">Sens!G14155-Sens!G14151-Sens!G14156</f>
        <v>6.322482503616</v>
      </c>
      <c r="H14157" s="6" t="n">
        <f aca="false">Sens!H14155-Sens!H14151-Sens!H14156</f>
        <v>6.315346810168</v>
      </c>
      <c r="I14157" s="6" t="n">
        <f aca="false">Sens!I14155-Sens!I14151-Sens!I14156</f>
        <v>6.36314990077033</v>
      </c>
      <c r="J14157" s="6" t="n">
        <f aca="false">Sens!J14155-Sens!J14151-Sens!J14156</f>
        <v>6.46265146397189</v>
      </c>
      <c r="K14157" s="6" t="n">
        <f aca="false">Sens!K14155-Sens!K14151-Sens!K14156</f>
        <v>6.61043140327304</v>
      </c>
    </row>
    <row r="14158" customFormat="false" ht="17.15" hidden="false" customHeight="false" outlineLevel="0" collapsed="false">
      <c r="A14158" s="0" t="s">
        <v>1247</v>
      </c>
      <c r="B14158" s="0" t="s">
        <v>98</v>
      </c>
      <c r="F14158" s="6" t="n">
        <f aca="false">Sens!F14152-tax_f*(Sens!F14152-Thesis!F95)-Thesis!F92</f>
        <v>-127.503553927218</v>
      </c>
      <c r="G14158" s="6" t="n">
        <f aca="false">Sens!G14152-tax_f*(Sens!G14152-Thesis!G95)-Thesis!G92</f>
        <v>-114.603772628121</v>
      </c>
      <c r="H14158" s="6" t="n">
        <f aca="false">Sens!H14152-tax_f*(Sens!H14152-Thesis!H95)-Thesis!H92</f>
        <v>-80.3633729631438</v>
      </c>
      <c r="I14158" s="6" t="n">
        <f aca="false">Sens!I14152-tax_f*(Sens!I14152-Thesis!I95)-Thesis!I92</f>
        <v>-17.2838782011649</v>
      </c>
      <c r="J14158" s="6" t="n">
        <f aca="false">Sens!J14152-tax_f*(Sens!J14152-Thesis!J95)-Thesis!J92</f>
        <v>46.9281968800854</v>
      </c>
      <c r="K14158" s="6" t="n">
        <f aca="false">Sens!K14152-tax_f*(Sens!K14152-Thesis!K95)-Thesis!K92</f>
        <v>71.8608185731755</v>
      </c>
    </row>
    <row r="14159" customFormat="false" ht="17.15" hidden="false" customHeight="false" outlineLevel="0" collapsed="false">
      <c r="A14159" s="0" t="s">
        <v>1248</v>
      </c>
      <c r="B14159" s="0" t="s">
        <v>98</v>
      </c>
      <c r="G14159" s="6" t="n">
        <f aca="false">Sens!G14158/(1+(wacc+0.01))^(Sens!G14129-Sens!F14130)</f>
        <v>-108.633482904499</v>
      </c>
      <c r="H14159" s="6" t="n">
        <f aca="false">Sens!H14158/(1+(wacc+0.01))^(Sens!H14129-Sens!F14130)</f>
        <v>-68.4467015720228</v>
      </c>
      <c r="I14159" s="6" t="n">
        <f aca="false">Sens!I14158/(1+(wacc+0.01))^(Sens!I14129-Sens!F14130)</f>
        <v>-13.2271154412184</v>
      </c>
      <c r="J14159" s="6" t="n">
        <f aca="false">Sens!J14158/(1+(wacc+0.01))^(Sens!J14129-Sens!F14130)</f>
        <v>32.2691401360913</v>
      </c>
      <c r="K14159" s="6" t="n">
        <f aca="false">Sens!K14158/(1+(wacc+0.01))^(Sens!K14129-Sens!F14130)</f>
        <v>44.3992121834473</v>
      </c>
      <c r="L14159" s="1" t="s">
        <v>1249</v>
      </c>
    </row>
    <row r="14160" customFormat="false" ht="17.15" hidden="false" customHeight="false" outlineLevel="0" collapsed="false">
      <c r="A14160" s="0" t="s">
        <v>1250</v>
      </c>
      <c r="B14160" s="0" t="s">
        <v>98</v>
      </c>
      <c r="C14160" s="6" t="n">
        <f aca="false">(Sens!K14152-Thesis!K95)*(1-tax_f)*(1+g_tv)*(1-g_tv/((wacc+0.01)+ronic_prem))/((wacc+0.01)-g_tv)/(1+(wacc+0.01))^(Sens!K14130-Sens!F14130)</f>
        <v>255.37494746414</v>
      </c>
    </row>
    <row r="14161" customFormat="false" ht="17.15" hidden="false" customHeight="false" outlineLevel="0" collapsed="false">
      <c r="A14161" s="1" t="s">
        <v>1251</v>
      </c>
      <c r="B14161" s="0" t="s">
        <v>98</v>
      </c>
      <c r="C14161" s="6" t="n">
        <f aca="false">(SUM(Sens!G14159:K14159)+Sens!$C$14160)*(1+(wacc+0.01))^(t_roll-Sens!F14130)</f>
        <v>146.853883138457</v>
      </c>
      <c r="L14161" s="12" t="s">
        <v>1252</v>
      </c>
    </row>
    <row r="14162" customFormat="false" ht="17.15" hidden="false" customHeight="false" outlineLevel="0" collapsed="false">
      <c r="A14162" s="1" t="s">
        <v>1253</v>
      </c>
      <c r="B14162" s="0" t="s">
        <v>98</v>
      </c>
      <c r="C14162" s="6" t="n">
        <f aca="false">(w_ntm28*Thesis!G83+(1-w_ntm28)*Thesis!H83)*m_ai</f>
        <v>463.789109510335</v>
      </c>
    </row>
    <row r="14163" customFormat="false" ht="17.15" hidden="false" customHeight="false" outlineLevel="0" collapsed="false">
      <c r="A14163" s="1" t="s">
        <v>1254</v>
      </c>
      <c r="B14163" s="0" t="s">
        <v>98</v>
      </c>
      <c r="C14163" s="6" t="n">
        <f aca="false">(w_ntm28*Sens!G14154+(1-w_ntm28)*Sens!H14154)*m_cloud</f>
        <v>1089.03436702245</v>
      </c>
    </row>
    <row r="14164" customFormat="false" ht="17.15" hidden="false" customHeight="false" outlineLevel="0" collapsed="false">
      <c r="A14164" s="1" t="s">
        <v>1255</v>
      </c>
      <c r="B14164" s="0" t="s">
        <v>98</v>
      </c>
      <c r="C14164" s="6" t="n">
        <f aca="false">(w_ntm28*Sens!G14147+(1-w_ntm28)*Sens!H14147)*m_sw</f>
        <v>1082.84962646159</v>
      </c>
    </row>
    <row r="14165" customFormat="false" ht="17.15" hidden="false" customHeight="false" outlineLevel="0" collapsed="false">
      <c r="A14165" s="1" t="s">
        <v>1256</v>
      </c>
      <c r="B14165" s="0" t="s">
        <v>98</v>
      </c>
      <c r="C14165" s="6" t="n">
        <f aca="false">(w_ntm28*Sens!G14148+(1-w_ntm28)*Sens!H14148)*m_sw</f>
        <v>372.929250898731</v>
      </c>
    </row>
    <row r="14166" customFormat="false" ht="17.15" hidden="false" customHeight="false" outlineLevel="0" collapsed="false">
      <c r="A14166" s="1" t="s">
        <v>1257</v>
      </c>
      <c r="B14166" s="0" t="s">
        <v>98</v>
      </c>
      <c r="C14166" s="6" t="n">
        <f aca="false">(w_ntm28*Sens!G14149+(1-w_ntm28)*Sens!H14149)*m_sw</f>
        <v>109.1453525431</v>
      </c>
    </row>
    <row r="14167" customFormat="false" ht="17.15" hidden="false" customHeight="false" outlineLevel="0" collapsed="false">
      <c r="A14167" s="1" t="s">
        <v>1258</v>
      </c>
      <c r="B14167" s="0" t="s">
        <v>98</v>
      </c>
      <c r="C14167" s="6" t="n">
        <f aca="false">(w_ntm28*Sens!G14150+(1-w_ntm28)*Sens!H14150)*m_sw</f>
        <v>41.4942157634893</v>
      </c>
    </row>
    <row r="14168" customFormat="false" ht="17.15" hidden="false" customHeight="false" outlineLevel="0" collapsed="false">
      <c r="A14168" s="1" t="s">
        <v>1259</v>
      </c>
      <c r="B14168" s="0" t="s">
        <v>98</v>
      </c>
      <c r="C14168" s="6" t="n">
        <f aca="false">(w_ntm28*Sens!G14151+(1-w_ntm28)*Sens!H14151)*m_ads</f>
        <v>115.052171478463</v>
      </c>
    </row>
    <row r="14169" customFormat="false" ht="17.15" hidden="false" customHeight="false" outlineLevel="0" collapsed="false">
      <c r="A14169" s="1" t="s">
        <v>1260</v>
      </c>
      <c r="B14169" s="0" t="s">
        <v>98</v>
      </c>
      <c r="C14169" s="6" t="n">
        <f aca="false">(w_ntm28*Sens!G14156+(1-w_ntm28)*Sens!H14156)*m_game</f>
        <v>98.6441755076202</v>
      </c>
    </row>
    <row r="14170" customFormat="false" ht="17.15" hidden="false" customHeight="false" outlineLevel="0" collapsed="false">
      <c r="A14170" s="1" t="s">
        <v>1261</v>
      </c>
      <c r="B14170" s="0" t="s">
        <v>98</v>
      </c>
      <c r="C14170" s="6" t="n">
        <f aca="false">(w_ntm28*Sens!G14157+(1-w_ntm28)*Sens!H14157)*m_pc</f>
        <v>91.4523754763561</v>
      </c>
    </row>
    <row r="14171" customFormat="false" ht="17.15" hidden="false" customHeight="false" outlineLevel="0" collapsed="false">
      <c r="A14171" s="1" t="s">
        <v>1262</v>
      </c>
      <c r="B14171" s="0" t="s">
        <v>98</v>
      </c>
      <c r="C14171" s="6" t="n">
        <f aca="false">Sens!$C$14161+Sens!$C$14163+Sens!$C$14164+Sens!$C$14165+Sens!$C$14166+Sens!$C$14167+Sens!$C$14168+Sens!$C$14169+Sens!$C$14170</f>
        <v>3147.45541829026</v>
      </c>
    </row>
    <row r="14172" customFormat="false" ht="17.15" hidden="false" customHeight="false" outlineLevel="0" collapsed="false">
      <c r="A14172" s="1" t="s">
        <v>1263</v>
      </c>
      <c r="B14172" s="0" t="s">
        <v>98</v>
      </c>
      <c r="C14172" s="6" t="n">
        <f aca="false">(Sens!G14133-Sens!G14158)*t_stub</f>
        <v>47.8736427515113</v>
      </c>
      <c r="L14172" s="1" t="s">
        <v>1264</v>
      </c>
    </row>
    <row r="14173" customFormat="false" ht="17.15" hidden="false" customHeight="false" outlineLevel="0" collapsed="false">
      <c r="A14173" s="1" t="s">
        <v>1173</v>
      </c>
      <c r="B14173" s="0" t="s">
        <v>98</v>
      </c>
      <c r="C14173" s="6" t="n">
        <f aca="false">CF!F71+oai_v-CF!F60+Sens!$C$14172</f>
        <v>162.101912751511</v>
      </c>
      <c r="L14173" s="1" t="s">
        <v>1265</v>
      </c>
    </row>
    <row r="14174" customFormat="false" ht="17.15" hidden="false" customHeight="false" outlineLevel="0" collapsed="false">
      <c r="A14174" s="1" t="s">
        <v>1266</v>
      </c>
      <c r="B14174" s="0" t="s">
        <v>75</v>
      </c>
      <c r="C14174" s="5" t="n">
        <f aca="false">(Sens!$C$14171+Sens!$C$14173)/(CF!F73+dil_gap)-CF!G63*roll_div_q/q_per_yr</f>
        <v>440.499191712135</v>
      </c>
      <c r="L14174" s="1" t="s">
        <v>1267</v>
      </c>
    </row>
    <row r="14175" customFormat="false" ht="17.15" hidden="false" customHeight="false" outlineLevel="0" collapsed="false">
      <c r="A14175" s="1" t="s">
        <v>1268</v>
      </c>
      <c r="B14175" s="0" t="s">
        <v>75</v>
      </c>
      <c r="C14175" s="5" t="n">
        <f aca="false">w_dcf*Sens!$C$14145+(1-w_dcf)*Sens!$C$14174</f>
        <v>367.64437399172</v>
      </c>
    </row>
    <row r="14176" customFormat="false" ht="17.15" hidden="false" customHeight="false" outlineLevel="0" collapsed="false">
      <c r="A14176" s="3" t="s">
        <v>1965</v>
      </c>
    </row>
    <row r="14177" customFormat="false" ht="15" hidden="false" customHeight="false" outlineLevel="0" collapsed="false">
      <c r="A14177" s="4" t="s">
        <v>43</v>
      </c>
      <c r="B14177" s="4" t="s">
        <v>65</v>
      </c>
      <c r="C14177" s="23" t="s">
        <v>942</v>
      </c>
      <c r="D14177" s="23" t="s">
        <v>943</v>
      </c>
      <c r="E14177" s="23" t="s">
        <v>944</v>
      </c>
      <c r="F14177" s="23" t="s">
        <v>945</v>
      </c>
      <c r="G14177" s="23" t="s">
        <v>946</v>
      </c>
      <c r="H14177" s="23" t="s">
        <v>947</v>
      </c>
      <c r="I14177" s="23" t="s">
        <v>948</v>
      </c>
      <c r="J14177" s="23" t="s">
        <v>949</v>
      </c>
      <c r="K14177" s="23" t="s">
        <v>950</v>
      </c>
      <c r="L14177" s="4" t="s">
        <v>47</v>
      </c>
    </row>
    <row r="14178" customFormat="false" ht="17.15" hidden="false" customHeight="false" outlineLevel="0" collapsed="false">
      <c r="A14178" s="1" t="s">
        <v>1216</v>
      </c>
      <c r="B14178" s="1" t="s">
        <v>279</v>
      </c>
      <c r="F14178" s="8" t="n">
        <f aca="false">(1-v_off)*mid_yr</f>
        <v>0.373972602739726</v>
      </c>
      <c r="G14178" s="8" t="n">
        <f aca="false">Thesis!G110-base_fy-mid_yr-v_off</f>
        <v>1.24794520547945</v>
      </c>
      <c r="H14178" s="8" t="n">
        <f aca="false">Thesis!H110-base_fy-mid_yr-v_off</f>
        <v>2.24794520547945</v>
      </c>
      <c r="I14178" s="8" t="n">
        <f aca="false">Thesis!I110-base_fy-mid_yr-v_off</f>
        <v>3.24794520547945</v>
      </c>
      <c r="J14178" s="8" t="n">
        <f aca="false">Thesis!J110-base_fy-mid_yr-v_off</f>
        <v>4.24794520547945</v>
      </c>
      <c r="K14178" s="8" t="n">
        <f aca="false">Thesis!K110-base_fy-mid_yr-v_off</f>
        <v>5.24794520547945</v>
      </c>
      <c r="L14178" s="12" t="s">
        <v>1217</v>
      </c>
    </row>
    <row r="14179" customFormat="false" ht="15" hidden="false" customHeight="false" outlineLevel="0" collapsed="false">
      <c r="A14179" s="1" t="s">
        <v>1218</v>
      </c>
      <c r="B14179" s="1" t="s">
        <v>279</v>
      </c>
      <c r="F14179" s="8" t="n">
        <f aca="false">Thesis!F110-base_fy-v_off</f>
        <v>0.747945205479452</v>
      </c>
      <c r="G14179" s="8" t="n">
        <f aca="false">Thesis!G110-base_fy-v_off</f>
        <v>1.74794520547945</v>
      </c>
      <c r="H14179" s="8" t="n">
        <f aca="false">Thesis!H110-base_fy-v_off</f>
        <v>2.74794520547945</v>
      </c>
      <c r="I14179" s="8" t="n">
        <f aca="false">Thesis!I110-base_fy-v_off</f>
        <v>3.74794520547945</v>
      </c>
      <c r="J14179" s="8" t="n">
        <f aca="false">Thesis!J110-base_fy-v_off</f>
        <v>4.74794520547945</v>
      </c>
      <c r="K14179" s="8" t="n">
        <f aca="false">Thesis!K110-base_fy-v_off</f>
        <v>5.74794520547945</v>
      </c>
    </row>
    <row r="14180" customFormat="false" ht="15" hidden="false" customHeight="false" outlineLevel="0" collapsed="false">
      <c r="A14180" s="1" t="s">
        <v>1219</v>
      </c>
      <c r="B14180" s="0" t="s">
        <v>229</v>
      </c>
      <c r="F14180" s="15" t="n">
        <f aca="false">1/(1+(wacc+0.01))^Sens!F14178</f>
        <v>0.960774207300618</v>
      </c>
      <c r="G14180" s="15" t="n">
        <f aca="false">1/(1+(wacc+0.01))^Sens!G14178</f>
        <v>0.874998806269897</v>
      </c>
      <c r="H14180" s="15" t="n">
        <f aca="false">1/(1+(wacc+0.01))^Sens!H14178</f>
        <v>0.786207240725602</v>
      </c>
      <c r="I14180" s="15" t="n">
        <f aca="false">1/(1+(wacc+0.01))^Sens!I14178</f>
        <v>0.706425907029985</v>
      </c>
      <c r="J14180" s="15" t="n">
        <f aca="false">1/(1+(wacc+0.01))^Sens!J14178</f>
        <v>0.634740480973652</v>
      </c>
      <c r="K14180" s="15" t="n">
        <f aca="false">1/(1+(wacc+0.01))^Sens!K14178</f>
        <v>0.570329420505754</v>
      </c>
    </row>
    <row r="14181" customFormat="false" ht="17.15" hidden="false" customHeight="false" outlineLevel="0" collapsed="false">
      <c r="A14181" s="1" t="s">
        <v>1220</v>
      </c>
      <c r="B14181" s="0" t="s">
        <v>98</v>
      </c>
      <c r="F14181" s="6" t="n">
        <f aca="false">Q!$I$35-Q!$I$39-Q!$I$43</f>
        <v>9.666</v>
      </c>
      <c r="L14181" s="12" t="s">
        <v>1221</v>
      </c>
    </row>
    <row r="14182" customFormat="false" ht="17.15" hidden="false" customHeight="false" outlineLevel="0" collapsed="false">
      <c r="A14182" s="1" t="s">
        <v>1222</v>
      </c>
      <c r="B14182" s="0" t="s">
        <v>98</v>
      </c>
      <c r="F14182" s="6" t="n">
        <f aca="false">CF!F87-CF!F84-CF!F91+Thesis!F151*(1-tax_f)*(1-v_off)-Sens!F14181</f>
        <v>-6.10282680452259</v>
      </c>
      <c r="G14182" s="6" t="n">
        <f aca="false">CF!G87-CF!G84-CF!G91+Thesis!G151*(1-tax_f)</f>
        <v>19.0084129023516</v>
      </c>
      <c r="H14182" s="6" t="n">
        <f aca="false">CF!H87-CF!H84-CF!H91+Thesis!H151*(1-tax_f)</f>
        <v>55.9229468383331</v>
      </c>
      <c r="I14182" s="6" t="n">
        <f aca="false">CF!I87-CF!I84-CF!I91+Thesis!I151*(1-tax_f)</f>
        <v>127.901908576191</v>
      </c>
      <c r="J14182" s="6" t="n">
        <f aca="false">CF!J87-CF!J84-CF!J91+Thesis!J151*(1-tax_f)</f>
        <v>201.958443859638</v>
      </c>
      <c r="K14182" s="6" t="n">
        <f aca="false">CF!K87-CF!K84-CF!K91+Thesis!K151*(1-tax_f)</f>
        <v>237.542519059905</v>
      </c>
      <c r="L14182" s="1" t="s">
        <v>1223</v>
      </c>
    </row>
    <row r="14183" customFormat="false" ht="15" hidden="false" customHeight="false" outlineLevel="0" collapsed="false">
      <c r="A14183" s="1" t="s">
        <v>1224</v>
      </c>
      <c r="B14183" s="0" t="s">
        <v>98</v>
      </c>
      <c r="F14183" s="6" t="n">
        <f aca="false">Sens!F14182*Sens!F14180</f>
        <v>-5.86343858540815</v>
      </c>
      <c r="G14183" s="6" t="n">
        <f aca="false">Sens!G14182*Sens!G14180</f>
        <v>16.632338598643</v>
      </c>
      <c r="H14183" s="6" t="n">
        <f aca="false">Sens!H14182*Sens!H14180</f>
        <v>43.9670257270104</v>
      </c>
      <c r="I14183" s="6" t="n">
        <f aca="false">Sens!I14182*Sens!I14180</f>
        <v>90.3532217768018</v>
      </c>
      <c r="J14183" s="6" t="n">
        <f aca="false">Sens!J14182*Sens!J14180</f>
        <v>128.191199792157</v>
      </c>
      <c r="K14183" s="6" t="n">
        <f aca="false">Sens!K14182*Sens!K14180</f>
        <v>135.477487240913</v>
      </c>
    </row>
    <row r="14184" customFormat="false" ht="17.15" hidden="false" customHeight="false" outlineLevel="0" collapsed="false">
      <c r="A14184" s="1" t="s">
        <v>1225</v>
      </c>
      <c r="B14184" s="0" t="s">
        <v>98</v>
      </c>
      <c r="C14184" s="6" t="n">
        <f aca="false">SUM(Sens!F14183:K14183)</f>
        <v>408.757834550117</v>
      </c>
    </row>
    <row r="14185" customFormat="false" ht="17.15" hidden="false" customHeight="false" outlineLevel="0" collapsed="false">
      <c r="A14185" s="1" t="s">
        <v>1226</v>
      </c>
      <c r="B14185" s="0" t="s">
        <v>98</v>
      </c>
      <c r="C14185" s="6" t="n">
        <f aca="false">PL!K117*(1+g_tv)*(1-tax_f)</f>
        <v>247.098906713682</v>
      </c>
    </row>
    <row r="14186" customFormat="false" ht="17.15" hidden="false" customHeight="false" outlineLevel="0" collapsed="false">
      <c r="A14186" s="1" t="s">
        <v>1227</v>
      </c>
      <c r="B14186" s="0" t="s">
        <v>98</v>
      </c>
      <c r="C14186" s="6" t="n">
        <f aca="false">Sens!$C$14185*(1-g_tv/((wacc+0.01)+ronic_prem))</f>
        <v>181.460594636586</v>
      </c>
    </row>
    <row r="14187" customFormat="false" ht="17.15" hidden="false" customHeight="false" outlineLevel="0" collapsed="false">
      <c r="A14187" s="1" t="s">
        <v>1228</v>
      </c>
      <c r="B14187" s="0" t="s">
        <v>98</v>
      </c>
      <c r="C14187" s="6" t="n">
        <f aca="false">Sens!$C$14186/((wacc+0.01)-g_tv)</f>
        <v>2187.9437359032</v>
      </c>
    </row>
    <row r="14188" customFormat="false" ht="15" hidden="false" customHeight="false" outlineLevel="0" collapsed="false">
      <c r="A14188" s="1" t="s">
        <v>1229</v>
      </c>
      <c r="B14188" s="0" t="s">
        <v>98</v>
      </c>
      <c r="C14188" s="6" t="n">
        <f aca="false">Sens!$C$14187/(1+(wacc+0.01))^Sens!K14179</f>
        <v>1182.8419384728</v>
      </c>
    </row>
    <row r="14189" customFormat="false" ht="17.15" hidden="false" customHeight="false" outlineLevel="0" collapsed="false">
      <c r="A14189" s="0" t="s">
        <v>1230</v>
      </c>
      <c r="B14189" s="0" t="s">
        <v>98</v>
      </c>
      <c r="C14189" s="6" t="n">
        <f aca="false">Sens!$C$14184+Sens!$C$14188</f>
        <v>1591.59977302291</v>
      </c>
    </row>
    <row r="14190" customFormat="false" ht="15" hidden="false" customHeight="false" outlineLevel="0" collapsed="false">
      <c r="A14190" s="1" t="s">
        <v>1145</v>
      </c>
      <c r="B14190" s="0" t="s">
        <v>168</v>
      </c>
      <c r="C14190" s="7" t="n">
        <f aca="false">Sens!$C$14188/Sens!$C$14189</f>
        <v>0.743178001481009</v>
      </c>
    </row>
    <row r="14191" customFormat="false" ht="17.15" hidden="false" customHeight="false" outlineLevel="0" collapsed="false">
      <c r="A14191" s="1" t="s">
        <v>1231</v>
      </c>
      <c r="B14191" s="0" t="s">
        <v>98</v>
      </c>
      <c r="C14191" s="6" t="n">
        <f aca="false">Sens!$C$14189+cash_val-debt_val-fl_val+oai_v</f>
        <v>1707.45077302291</v>
      </c>
    </row>
    <row r="14192" customFormat="false" ht="17.15" hidden="false" customHeight="false" outlineLevel="0" collapsed="false">
      <c r="A14192" s="0" t="s">
        <v>1153</v>
      </c>
      <c r="B14192" s="0" t="s">
        <v>75</v>
      </c>
      <c r="C14192" s="5" t="n">
        <f aca="false">Sens!$C$14191/shd_val</f>
        <v>229.311143301493</v>
      </c>
    </row>
    <row r="14193" customFormat="false" ht="15" hidden="false" customHeight="false" outlineLevel="0" collapsed="false">
      <c r="A14193" s="1" t="s">
        <v>1232</v>
      </c>
      <c r="B14193" s="0" t="s">
        <v>75</v>
      </c>
      <c r="C14193" s="8" t="n">
        <f aca="false">div_rem27+CF!G95*roll_div_q/q_per_yr</f>
        <v>3.9795</v>
      </c>
    </row>
    <row r="14194" customFormat="false" ht="17.15" hidden="false" customHeight="false" outlineLevel="0" collapsed="false">
      <c r="A14194" s="0" t="s">
        <v>1233</v>
      </c>
      <c r="B14194" s="0" t="s">
        <v>75</v>
      </c>
      <c r="C14194" s="5" t="n">
        <f aca="false">Sens!$C$14192*(1+(wacc+0.01))^t_roll-Sens!$C$14193</f>
        <v>253.408177681081</v>
      </c>
    </row>
    <row r="14195" customFormat="false" ht="17.15" hidden="false" customHeight="false" outlineLevel="0" collapsed="false">
      <c r="A14195" s="1" t="s">
        <v>1234</v>
      </c>
      <c r="B14195" s="0" t="s">
        <v>168</v>
      </c>
      <c r="F14195" s="7" t="n">
        <f aca="false">CF!F81/(Seg!F83-Thesis!F129)</f>
        <v>0.068677393452264</v>
      </c>
      <c r="G14195" s="7" t="n">
        <f aca="false">CF!G81/(Seg!G83-Thesis!G129)</f>
        <v>0.0663132664471956</v>
      </c>
      <c r="H14195" s="7" t="n">
        <f aca="false">CF!H81/(Seg!H83-Thesis!H129)</f>
        <v>0.0651363826734039</v>
      </c>
      <c r="I14195" s="7" t="n">
        <f aca="false">CF!I81/(Seg!I83-Thesis!I129)</f>
        <v>0.0650087936347709</v>
      </c>
      <c r="J14195" s="7" t="n">
        <f aca="false">CF!J81/(Seg!J83-Thesis!J129)</f>
        <v>0.0657212684841778</v>
      </c>
      <c r="K14195" s="7" t="n">
        <f aca="false">CF!K81/(Seg!K83-Thesis!K129)</f>
        <v>0.0670413306015285</v>
      </c>
    </row>
    <row r="14196" customFormat="false" ht="17.15" hidden="false" customHeight="false" outlineLevel="0" collapsed="false">
      <c r="A14196" s="0" t="s">
        <v>1235</v>
      </c>
      <c r="B14196" s="0" t="s">
        <v>98</v>
      </c>
      <c r="F14196" s="6" t="n">
        <f aca="false">Seg!F68*(al_m365+Sens!F14195+sbc_r)</f>
        <v>82.9185219618347</v>
      </c>
      <c r="G14196" s="6" t="n">
        <f aca="false">Seg!G68*(al_m365+Sens!G14195+sbc_r)</f>
        <v>93.3068052157631</v>
      </c>
      <c r="H14196" s="6" t="n">
        <f aca="false">Seg!H68*(al_m365+Sens!H14195+sbc_r)</f>
        <v>103.856057136159</v>
      </c>
      <c r="I14196" s="6" t="n">
        <f aca="false">Seg!I68*(al_m365+Sens!I14195+sbc_r)</f>
        <v>113.889717587147</v>
      </c>
      <c r="J14196" s="6" t="n">
        <f aca="false">Seg!J68*(al_m365+Sens!J14195+sbc_r)</f>
        <v>123.218477864124</v>
      </c>
      <c r="K14196" s="6" t="n">
        <f aca="false">Seg!K68*(al_m365+Sens!K14195+sbc_r)</f>
        <v>132.149420086311</v>
      </c>
      <c r="L14196" s="12" t="s">
        <v>1236</v>
      </c>
    </row>
    <row r="14197" customFormat="false" ht="17.15" hidden="false" customHeight="false" outlineLevel="0" collapsed="false">
      <c r="A14197" s="0" t="s">
        <v>1237</v>
      </c>
      <c r="B14197" s="0" t="s">
        <v>98</v>
      </c>
      <c r="F14197" s="6" t="n">
        <f aca="false">Seg!F69*(al_lic+Sens!F14195+sbc_r)</f>
        <v>32.8599853992256</v>
      </c>
      <c r="G14197" s="6" t="n">
        <f aca="false">Seg!G69*(al_lic+Sens!G14195+sbc_r)</f>
        <v>34.1568280697879</v>
      </c>
      <c r="H14197" s="6" t="n">
        <f aca="false">Seg!H69*(al_lic+Sens!H14195+sbc_r)</f>
        <v>35.3635535007213</v>
      </c>
      <c r="I14197" s="6" t="n">
        <f aca="false">Seg!I69*(al_lic+Sens!I14195+sbc_r)</f>
        <v>36.4604537346553</v>
      </c>
      <c r="J14197" s="6" t="n">
        <f aca="false">Seg!J69*(al_lic+Sens!J14195+sbc_r)</f>
        <v>37.4245888933574</v>
      </c>
      <c r="K14197" s="6" t="n">
        <f aca="false">Seg!K69*(al_lic+Sens!K14195+sbc_r)</f>
        <v>38.2321483186439</v>
      </c>
    </row>
    <row r="14198" customFormat="false" ht="17.15" hidden="false" customHeight="false" outlineLevel="0" collapsed="false">
      <c r="A14198" s="0" t="s">
        <v>1238</v>
      </c>
      <c r="B14198" s="0" t="s">
        <v>98</v>
      </c>
      <c r="F14198" s="6" t="n">
        <f aca="false">Seg!F71*(al_ind+Sens!F14195+sbc_r)</f>
        <v>9.06170747885803</v>
      </c>
      <c r="G14198" s="6" t="n">
        <f aca="false">Seg!G71*(al_ind+Sens!G14195+sbc_r)</f>
        <v>9.8478979082138</v>
      </c>
      <c r="H14198" s="6" t="n">
        <f aca="false">Seg!H71*(al_ind+Sens!H14195+sbc_r)</f>
        <v>10.6768254332059</v>
      </c>
      <c r="I14198" s="6" t="n">
        <f aca="false">Seg!I71*(al_ind+Sens!I14195+sbc_r)</f>
        <v>11.54398793803</v>
      </c>
      <c r="J14198" s="6" t="n">
        <f aca="false">Seg!J71*(al_ind+Sens!J14195+sbc_r)</f>
        <v>12.4407914253112</v>
      </c>
      <c r="K14198" s="6" t="n">
        <f aca="false">Seg!K71*(al_ind+Sens!K14195+sbc_r)</f>
        <v>13.355239066864</v>
      </c>
    </row>
    <row r="14199" customFormat="false" ht="17.15" hidden="false" customHeight="false" outlineLevel="0" collapsed="false">
      <c r="A14199" s="0" t="s">
        <v>1239</v>
      </c>
      <c r="B14199" s="0" t="s">
        <v>98</v>
      </c>
      <c r="F14199" s="6" t="n">
        <f aca="false">Seg!F73*(al_fro+Sens!F14195+sbc_r)</f>
        <v>3.55453569939552</v>
      </c>
      <c r="G14199" s="6" t="n">
        <f aca="false">Seg!G73*(al_fro+Sens!G14195+sbc_r)</f>
        <v>3.76809436159872</v>
      </c>
      <c r="H14199" s="6" t="n">
        <f aca="false">Seg!H73*(al_fro+Sens!H14195+sbc_r)</f>
        <v>4.00964905674607</v>
      </c>
      <c r="I14199" s="6" t="n">
        <f aca="false">Seg!I73*(al_fro+Sens!I14195+sbc_r)</f>
        <v>4.28152633145235</v>
      </c>
      <c r="J14199" s="6" t="n">
        <f aca="false">Seg!J73*(al_fro+Sens!J14195+sbc_r)</f>
        <v>4.58536512975975</v>
      </c>
      <c r="K14199" s="6" t="n">
        <f aca="false">Seg!K73*(al_fro+Sens!K14195+sbc_r)</f>
        <v>4.92240770086468</v>
      </c>
    </row>
    <row r="14200" customFormat="false" ht="17.15" hidden="false" customHeight="false" outlineLevel="0" collapsed="false">
      <c r="A14200" s="0" t="s">
        <v>1240</v>
      </c>
      <c r="B14200" s="0" t="s">
        <v>98</v>
      </c>
      <c r="F14200" s="6" t="n">
        <f aca="false">Seg!F76*(al_srch+Sens!F14195+sbc_r)</f>
        <v>11.190683952584</v>
      </c>
      <c r="G14200" s="6" t="n">
        <f aca="false">Seg!G76*(al_srch+Sens!G14195+sbc_r)</f>
        <v>12.2763328717258</v>
      </c>
      <c r="H14200" s="6" t="n">
        <f aca="false">Seg!H76*(al_srch+Sens!H14195+sbc_r)</f>
        <v>13.4043563346576</v>
      </c>
      <c r="I14200" s="6" t="n">
        <f aca="false">Seg!I76*(al_srch+Sens!I14195+sbc_r)</f>
        <v>14.5621512181916</v>
      </c>
      <c r="J14200" s="6" t="n">
        <f aca="false">Seg!J76*(al_srch+Sens!J14195+sbc_r)</f>
        <v>15.7310381862385</v>
      </c>
      <c r="K14200" s="6" t="n">
        <f aca="false">Seg!K76*(al_srch+Sens!K14195+sbc_r)</f>
        <v>16.8873320486462</v>
      </c>
    </row>
    <row r="14201" customFormat="false" ht="17.15" hidden="false" customHeight="false" outlineLevel="0" collapsed="false">
      <c r="A14201" s="0" t="s">
        <v>1241</v>
      </c>
      <c r="B14201" s="0" t="s">
        <v>98</v>
      </c>
      <c r="F14201" s="6" t="n">
        <f aca="false">Thesis!F135-Thesis!F136+Thesis!F151</f>
        <v>38.9696429794913</v>
      </c>
      <c r="G14201" s="6" t="n">
        <f aca="false">Thesis!G135-Thesis!G136+Thesis!G151</f>
        <v>69.465497726016</v>
      </c>
      <c r="H14201" s="6" t="n">
        <f aca="false">Thesis!H135-Thesis!H136+Thesis!H151</f>
        <v>96.8147106808268</v>
      </c>
      <c r="I14201" s="6" t="n">
        <f aca="false">Thesis!I135-Thesis!I136+Thesis!I151</f>
        <v>127.654939766446</v>
      </c>
      <c r="J14201" s="6" t="n">
        <f aca="false">Thesis!J135-Thesis!J136+Thesis!J151</f>
        <v>149.308352681229</v>
      </c>
      <c r="K14201" s="6" t="n">
        <f aca="false">Thesis!K135-Thesis!K136+Thesis!K151</f>
        <v>162.731822021841</v>
      </c>
    </row>
    <row r="14202" customFormat="false" ht="17.15" hidden="false" customHeight="false" outlineLevel="0" collapsed="false">
      <c r="A14202" s="0" t="s">
        <v>1242</v>
      </c>
      <c r="B14202" s="0" t="s">
        <v>98</v>
      </c>
      <c r="F14202" s="6" t="n">
        <f aca="false">PL!F110+Thesis!F151+Thesis!F147+Sens!F14195*(Seg!F75-Thesis!F129)+sbc_r*Seg!F75</f>
        <v>234.79972328186</v>
      </c>
      <c r="G14202" s="6" t="n">
        <f aca="false">PL!G110+Thesis!G151+Thesis!G147+Sens!G14195*(Seg!G75-Thesis!G129)+sbc_r*Seg!G75</f>
        <v>285.499052659517</v>
      </c>
      <c r="H14202" s="6" t="n">
        <f aca="false">PL!H110+Thesis!H151+Thesis!H147+Sens!H14195*(Seg!H75-Thesis!H129)+sbc_r*Seg!H75</f>
        <v>338.258569294547</v>
      </c>
      <c r="I14202" s="6" t="n">
        <f aca="false">PL!I110+Thesis!I151+Thesis!I147+Sens!I14195*(Seg!I75-Thesis!I129)+sbc_r*Seg!I75</f>
        <v>393.887902526982</v>
      </c>
      <c r="J14202" s="6" t="n">
        <f aca="false">PL!J110+Thesis!J151+Thesis!J147+Sens!J14195*(Seg!J75-Thesis!J129)+sbc_r*Seg!J75</f>
        <v>438.406631506078</v>
      </c>
      <c r="K14202" s="6" t="n">
        <f aca="false">PL!K110+Thesis!K151+Thesis!K147+Sens!K14195*(Seg!K75-Thesis!K129)+sbc_r*Seg!K75</f>
        <v>472.352875745143</v>
      </c>
    </row>
    <row r="14203" customFormat="false" ht="17.15" hidden="false" customHeight="false" outlineLevel="0" collapsed="false">
      <c r="A14203" s="0" t="s">
        <v>1243</v>
      </c>
      <c r="B14203" s="0" t="s">
        <v>98</v>
      </c>
      <c r="F14203" s="6" t="n">
        <f aca="false">Sens!F14202-Sens!F14196-Sens!F14197-Sens!F14198-Sens!F14199-Sens!F14201</f>
        <v>67.4353297630543</v>
      </c>
      <c r="G14203" s="6" t="n">
        <f aca="false">Sens!G14202-Sens!G14196-Sens!G14197-Sens!G14198-Sens!G14199-Sens!G14201</f>
        <v>74.9539293781376</v>
      </c>
      <c r="H14203" s="6" t="n">
        <f aca="false">Sens!H14202-Sens!H14196-Sens!H14197-Sens!H14198-Sens!H14199-Sens!H14201</f>
        <v>87.537773486888</v>
      </c>
      <c r="I14203" s="6" t="n">
        <f aca="false">Sens!I14202-Sens!I14196-Sens!I14197-Sens!I14198-Sens!I14199-Sens!I14201</f>
        <v>100.057277169252</v>
      </c>
      <c r="J14203" s="6" t="n">
        <f aca="false">Sens!J14202-Sens!J14196-Sens!J14197-Sens!J14198-Sens!J14199-Sens!J14201</f>
        <v>111.429055512297</v>
      </c>
      <c r="K14203" s="6" t="n">
        <f aca="false">Sens!K14202-Sens!K14196-Sens!K14197-Sens!K14198-Sens!K14199-Sens!K14201</f>
        <v>120.961838550618</v>
      </c>
    </row>
    <row r="14204" customFormat="false" ht="17.15" hidden="false" customHeight="false" outlineLevel="0" collapsed="false">
      <c r="A14204" s="0" t="s">
        <v>1244</v>
      </c>
      <c r="B14204" s="0" t="s">
        <v>98</v>
      </c>
      <c r="F14204" s="6" t="n">
        <f aca="false">PL!F112+Sens!F14195*Seg!F82+sbc_r*Seg!F82</f>
        <v>26.6373549789235</v>
      </c>
      <c r="G14204" s="6" t="n">
        <f aca="false">PL!G112+Sens!G14195*Seg!G82+sbc_r*Seg!G82</f>
        <v>26.5038922765853</v>
      </c>
      <c r="H14204" s="6" t="n">
        <f aca="false">PL!H112+Sens!H14195*Seg!H82+sbc_r*Seg!H82</f>
        <v>27.3981100014792</v>
      </c>
      <c r="I14204" s="6" t="n">
        <f aca="false">PL!I112+Sens!I14195*Seg!I82+sbc_r*Seg!I82</f>
        <v>28.5176442589239</v>
      </c>
      <c r="J14204" s="6" t="n">
        <f aca="false">PL!J112+Sens!J14195*Seg!J82+sbc_r*Seg!J82</f>
        <v>29.8313998963726</v>
      </c>
      <c r="K14204" s="6" t="n">
        <f aca="false">PL!K112+Sens!K14195*Seg!K82+sbc_r*Seg!K82</f>
        <v>31.3103466222307</v>
      </c>
    </row>
    <row r="14205" customFormat="false" ht="17.15" hidden="false" customHeight="false" outlineLevel="0" collapsed="false">
      <c r="A14205" s="0" t="s">
        <v>1245</v>
      </c>
      <c r="B14205" s="0" t="s">
        <v>98</v>
      </c>
      <c r="F14205" s="6" t="n">
        <f aca="false">(Sens!F14204-Sens!F14200)*Seg!F78/(Seg!F78+Seg!F80)</f>
        <v>8.72405610479892</v>
      </c>
      <c r="G14205" s="6" t="n">
        <f aca="false">(Sens!G14204-Sens!G14200)*Seg!G78/(Seg!G78+Seg!G80)</f>
        <v>7.897418765869</v>
      </c>
      <c r="H14205" s="6" t="n">
        <f aca="false">(Sens!H14204-Sens!H14200)*Seg!H78/(Seg!H78+Seg!H80)</f>
        <v>7.66644879573063</v>
      </c>
      <c r="I14205" s="6" t="n">
        <f aca="false">(Sens!I14204-Sens!I14200)*Seg!I78/(Seg!I78+Seg!I80)</f>
        <v>7.5787545031814</v>
      </c>
      <c r="J14205" s="6" t="n">
        <f aca="false">(Sens!J14204-Sens!J14200)*Seg!J78/(Seg!J78+Seg!J80)</f>
        <v>7.62401876450459</v>
      </c>
      <c r="K14205" s="6" t="n">
        <f aca="false">(Sens!K14204-Sens!K14200)*Seg!K78/(Seg!K78+Seg!K80)</f>
        <v>7.79847609658838</v>
      </c>
    </row>
    <row r="14206" customFormat="false" ht="17.15" hidden="false" customHeight="false" outlineLevel="0" collapsed="false">
      <c r="A14206" s="0" t="s">
        <v>1246</v>
      </c>
      <c r="B14206" s="0" t="s">
        <v>98</v>
      </c>
      <c r="F14206" s="6" t="n">
        <f aca="false">Sens!F14204-Sens!F14200-Sens!F14205</f>
        <v>6.72261492154066</v>
      </c>
      <c r="G14206" s="6" t="n">
        <f aca="false">Sens!G14204-Sens!G14200-Sens!G14205</f>
        <v>6.33014063899044</v>
      </c>
      <c r="H14206" s="6" t="n">
        <f aca="false">Sens!H14204-Sens!H14200-Sens!H14205</f>
        <v>6.32730487109095</v>
      </c>
      <c r="I14206" s="6" t="n">
        <f aca="false">Sens!I14204-Sens!I14200-Sens!I14205</f>
        <v>6.37673853755084</v>
      </c>
      <c r="J14206" s="6" t="n">
        <f aca="false">Sens!J14204-Sens!J14200-Sens!J14205</f>
        <v>6.47634294562954</v>
      </c>
      <c r="K14206" s="6" t="n">
        <f aca="false">Sens!K14204-Sens!K14200-Sens!K14205</f>
        <v>6.62453847699607</v>
      </c>
    </row>
    <row r="14207" customFormat="false" ht="17.15" hidden="false" customHeight="false" outlineLevel="0" collapsed="false">
      <c r="A14207" s="0" t="s">
        <v>1247</v>
      </c>
      <c r="B14207" s="0" t="s">
        <v>98</v>
      </c>
      <c r="F14207" s="6" t="n">
        <f aca="false">Sens!F14201-tax_f*(Sens!F14201-Thesis!F147)-Thesis!F144</f>
        <v>-130.362326762856</v>
      </c>
      <c r="G14207" s="6" t="n">
        <f aca="false">Sens!G14201-tax_f*(Sens!G14201-Thesis!G147)-Thesis!G144</f>
        <v>-124.225179337776</v>
      </c>
      <c r="H14207" s="6" t="n">
        <f aca="false">Sens!H14201-tax_f*(Sens!H14201-Thesis!H147)-Thesis!H144</f>
        <v>-101.534217387562</v>
      </c>
      <c r="I14207" s="6" t="n">
        <f aca="false">Sens!I14201-tax_f*(Sens!I14201-Thesis!I147)-Thesis!I144</f>
        <v>-43.6446798695439</v>
      </c>
      <c r="J14207" s="6" t="n">
        <f aca="false">Sens!J14201-tax_f*(Sens!J14201-Thesis!J147)-Thesis!J144</f>
        <v>16.9198855589618</v>
      </c>
      <c r="K14207" s="6" t="n">
        <f aca="false">Sens!K14201-tax_f*(Sens!K14201-Thesis!K147)-Thesis!K144</f>
        <v>39.8251384629271</v>
      </c>
    </row>
    <row r="14208" customFormat="false" ht="17.15" hidden="false" customHeight="false" outlineLevel="0" collapsed="false">
      <c r="A14208" s="0" t="s">
        <v>1248</v>
      </c>
      <c r="B14208" s="0" t="s">
        <v>98</v>
      </c>
      <c r="G14208" s="6" t="n">
        <f aca="false">Sens!G14207/(1+(wacc+0.01))^(Sens!G14178-Sens!F14179)</f>
        <v>-117.753661912062</v>
      </c>
      <c r="H14208" s="6" t="n">
        <f aca="false">Sens!H14207/(1+(wacc+0.01))^(Sens!H14178-Sens!F14179)</f>
        <v>-86.4782303259295</v>
      </c>
      <c r="I14208" s="6" t="n">
        <f aca="false">Sens!I14207/(1+(wacc+0.01))^(Sens!I14178-Sens!F14179)</f>
        <v>-33.4006761856591</v>
      </c>
      <c r="J14208" s="6" t="n">
        <f aca="false">Sens!J14207/(1+(wacc+0.01))^(Sens!J14178-Sens!F14179)</f>
        <v>11.6345863358851</v>
      </c>
      <c r="K14208" s="6" t="n">
        <f aca="false">Sens!K14207/(1+(wacc+0.01))^(Sens!K14178-Sens!F14179)</f>
        <v>24.6059648075135</v>
      </c>
      <c r="L14208" s="1" t="s">
        <v>1249</v>
      </c>
    </row>
    <row r="14209" customFormat="false" ht="17.15" hidden="false" customHeight="false" outlineLevel="0" collapsed="false">
      <c r="A14209" s="0" t="s">
        <v>1250</v>
      </c>
      <c r="B14209" s="0" t="s">
        <v>98</v>
      </c>
      <c r="C14209" s="6" t="n">
        <f aca="false">(Sens!K14201-Thesis!K147)*(1-tax_f)*(1+g_tv)*(1-g_tv/((wacc+0.01)+ronic_prem))/((wacc+0.01)-g_tv)/(1+(wacc+0.01))^(Sens!K14179-Sens!F14179)</f>
        <v>84.2614010412847</v>
      </c>
    </row>
    <row r="14210" customFormat="false" ht="17.15" hidden="false" customHeight="false" outlineLevel="0" collapsed="false">
      <c r="A14210" s="1" t="s">
        <v>1251</v>
      </c>
      <c r="B14210" s="0" t="s">
        <v>98</v>
      </c>
      <c r="C14210" s="6" t="n">
        <f aca="false">(SUM(Sens!G14208:K14208)+Sens!$C$14209)*(1+(wacc+0.01))^(t_roll-Sens!F14179)</f>
        <v>-121.360034468043</v>
      </c>
      <c r="L14210" s="12" t="s">
        <v>1252</v>
      </c>
    </row>
    <row r="14211" customFormat="false" ht="17.15" hidden="false" customHeight="false" outlineLevel="0" collapsed="false">
      <c r="A14211" s="1" t="s">
        <v>1253</v>
      </c>
      <c r="B14211" s="0" t="s">
        <v>98</v>
      </c>
      <c r="C14211" s="6" t="n">
        <f aca="false">(w_ntm28*Thesis!G135+(1-w_ntm28)*Thesis!H135)*m_ai</f>
        <v>344.355829012336</v>
      </c>
    </row>
    <row r="14212" customFormat="false" ht="17.15" hidden="false" customHeight="false" outlineLevel="0" collapsed="false">
      <c r="A14212" s="1" t="s">
        <v>1254</v>
      </c>
      <c r="B14212" s="0" t="s">
        <v>98</v>
      </c>
      <c r="C14212" s="6" t="n">
        <f aca="false">(w_ntm28*Sens!G14203+(1-w_ntm28)*Sens!H14203)*m_cloud</f>
        <v>1093.03877543039</v>
      </c>
    </row>
    <row r="14213" customFormat="false" ht="17.15" hidden="false" customHeight="false" outlineLevel="0" collapsed="false">
      <c r="A14213" s="1" t="s">
        <v>1255</v>
      </c>
      <c r="B14213" s="0" t="s">
        <v>98</v>
      </c>
      <c r="C14213" s="6" t="n">
        <f aca="false">(w_ntm28*Sens!G14196+(1-w_ntm28)*Sens!H14196)*m_sw</f>
        <v>1045.17056616266</v>
      </c>
    </row>
    <row r="14214" customFormat="false" ht="17.15" hidden="false" customHeight="false" outlineLevel="0" collapsed="false">
      <c r="A14214" s="1" t="s">
        <v>1256</v>
      </c>
      <c r="B14214" s="0" t="s">
        <v>98</v>
      </c>
      <c r="C14214" s="6" t="n">
        <f aca="false">(w_ntm28*Sens!G14197+(1-w_ntm28)*Sens!H14197)*m_sw</f>
        <v>373.178444957791</v>
      </c>
    </row>
    <row r="14215" customFormat="false" ht="17.15" hidden="false" customHeight="false" outlineLevel="0" collapsed="false">
      <c r="A14215" s="1" t="s">
        <v>1257</v>
      </c>
      <c r="B14215" s="0" t="s">
        <v>98</v>
      </c>
      <c r="C14215" s="6" t="n">
        <f aca="false">(w_ntm28*Sens!G14198+(1-w_ntm28)*Sens!H14198)*m_sw</f>
        <v>109.30055788101</v>
      </c>
    </row>
    <row r="14216" customFormat="false" ht="17.15" hidden="false" customHeight="false" outlineLevel="0" collapsed="false">
      <c r="A14216" s="1" t="s">
        <v>1258</v>
      </c>
      <c r="B14216" s="0" t="s">
        <v>98</v>
      </c>
      <c r="C14216" s="6" t="n">
        <f aca="false">(w_ntm28*Sens!G14199+(1-w_ntm28)*Sens!H14199)*m_sw</f>
        <v>41.5531037214606</v>
      </c>
    </row>
    <row r="14217" customFormat="false" ht="17.15" hidden="false" customHeight="false" outlineLevel="0" collapsed="false">
      <c r="A14217" s="1" t="s">
        <v>1259</v>
      </c>
      <c r="B14217" s="0" t="s">
        <v>98</v>
      </c>
      <c r="C14217" s="6" t="n">
        <f aca="false">(w_ntm28*Sens!G14200+(1-w_ntm28)*Sens!H14200)*m_ads</f>
        <v>115.215899994784</v>
      </c>
    </row>
    <row r="14218" customFormat="false" ht="17.15" hidden="false" customHeight="false" outlineLevel="0" collapsed="false">
      <c r="A14218" s="1" t="s">
        <v>1260</v>
      </c>
      <c r="B14218" s="0" t="s">
        <v>98</v>
      </c>
      <c r="C14218" s="6" t="n">
        <f aca="false">(w_ntm28*Sens!G14205+(1-w_ntm28)*Sens!H14205)*m_game</f>
        <v>98.7853357615783</v>
      </c>
    </row>
    <row r="14219" customFormat="false" ht="17.15" hidden="false" customHeight="false" outlineLevel="0" collapsed="false">
      <c r="A14219" s="1" t="s">
        <v>1261</v>
      </c>
      <c r="B14219" s="0" t="s">
        <v>98</v>
      </c>
      <c r="C14219" s="6" t="n">
        <f aca="false">(w_ntm28*Sens!G14206+(1-w_ntm28)*Sens!H14206)*m_pc</f>
        <v>91.5836445602173</v>
      </c>
    </row>
    <row r="14220" customFormat="false" ht="17.15" hidden="false" customHeight="false" outlineLevel="0" collapsed="false">
      <c r="A14220" s="1" t="s">
        <v>1262</v>
      </c>
      <c r="B14220" s="0" t="s">
        <v>98</v>
      </c>
      <c r="C14220" s="6" t="n">
        <f aca="false">Sens!$C$14210+Sens!$C$14212+Sens!$C$14213+Sens!$C$14214+Sens!$C$14215+Sens!$C$14216+Sens!$C$14217+Sens!$C$14218+Sens!$C$14219</f>
        <v>2846.46629400185</v>
      </c>
    </row>
    <row r="14221" customFormat="false" ht="17.15" hidden="false" customHeight="false" outlineLevel="0" collapsed="false">
      <c r="A14221" s="1" t="s">
        <v>1263</v>
      </c>
      <c r="B14221" s="0" t="s">
        <v>98</v>
      </c>
      <c r="C14221" s="6" t="n">
        <f aca="false">(Sens!G14182-Sens!G14207)*t_stub</f>
        <v>47.4829168796038</v>
      </c>
      <c r="L14221" s="1" t="s">
        <v>1264</v>
      </c>
    </row>
    <row r="14222" customFormat="false" ht="17.15" hidden="false" customHeight="false" outlineLevel="0" collapsed="false">
      <c r="A14222" s="1" t="s">
        <v>1173</v>
      </c>
      <c r="B14222" s="0" t="s">
        <v>98</v>
      </c>
      <c r="C14222" s="6" t="n">
        <f aca="false">CF!F103+oai_v-CF!F92+Sens!$C$14221</f>
        <v>158.55427008544</v>
      </c>
      <c r="L14222" s="1" t="s">
        <v>1265</v>
      </c>
    </row>
    <row r="14223" customFormat="false" ht="17.15" hidden="false" customHeight="false" outlineLevel="0" collapsed="false">
      <c r="A14223" s="1" t="s">
        <v>1266</v>
      </c>
      <c r="B14223" s="0" t="s">
        <v>75</v>
      </c>
      <c r="C14223" s="5" t="n">
        <f aca="false">(Sens!$C$14220+Sens!$C$14222)/(CF!F105+dil_gap)-CF!G95*roll_div_q/q_per_yr</f>
        <v>399.843712925198</v>
      </c>
      <c r="L14223" s="1" t="s">
        <v>1267</v>
      </c>
    </row>
    <row r="14224" customFormat="false" ht="17.15" hidden="false" customHeight="false" outlineLevel="0" collapsed="false">
      <c r="A14224" s="1" t="s">
        <v>1268</v>
      </c>
      <c r="B14224" s="0" t="s">
        <v>75</v>
      </c>
      <c r="C14224" s="5" t="n">
        <f aca="false">w_dcf*Sens!$C$14194+(1-w_dcf)*Sens!$C$14223</f>
        <v>326.625945303139</v>
      </c>
    </row>
    <row r="14225" customFormat="false" ht="17.15" hidden="false" customHeight="false" outlineLevel="0" collapsed="false">
      <c r="A14225" s="3" t="s">
        <v>1966</v>
      </c>
    </row>
    <row r="14226" customFormat="false" ht="15" hidden="false" customHeight="false" outlineLevel="0" collapsed="false">
      <c r="A14226" s="4" t="s">
        <v>43</v>
      </c>
      <c r="B14226" s="4" t="s">
        <v>65</v>
      </c>
      <c r="C14226" s="23" t="s">
        <v>942</v>
      </c>
      <c r="D14226" s="23" t="s">
        <v>943</v>
      </c>
      <c r="E14226" s="23" t="s">
        <v>944</v>
      </c>
      <c r="F14226" s="23" t="s">
        <v>945</v>
      </c>
      <c r="G14226" s="23" t="s">
        <v>946</v>
      </c>
      <c r="H14226" s="23" t="s">
        <v>947</v>
      </c>
      <c r="I14226" s="23" t="s">
        <v>948</v>
      </c>
      <c r="J14226" s="23" t="s">
        <v>949</v>
      </c>
      <c r="K14226" s="23" t="s">
        <v>950</v>
      </c>
      <c r="L14226" s="4" t="s">
        <v>47</v>
      </c>
    </row>
    <row r="14227" customFormat="false" ht="17.15" hidden="false" customHeight="false" outlineLevel="0" collapsed="false">
      <c r="A14227" s="1" t="s">
        <v>1216</v>
      </c>
      <c r="B14227" s="1" t="s">
        <v>279</v>
      </c>
      <c r="F14227" s="8" t="n">
        <f aca="false">(1-v_off)*mid_yr</f>
        <v>0.373972602739726</v>
      </c>
      <c r="G14227" s="8" t="n">
        <f aca="false">Thesis!G6-base_fy-mid_yr-v_off</f>
        <v>1.24794520547945</v>
      </c>
      <c r="H14227" s="8" t="n">
        <f aca="false">Thesis!H6-base_fy-mid_yr-v_off</f>
        <v>2.24794520547945</v>
      </c>
      <c r="I14227" s="8" t="n">
        <f aca="false">Thesis!I6-base_fy-mid_yr-v_off</f>
        <v>3.24794520547945</v>
      </c>
      <c r="J14227" s="8" t="n">
        <f aca="false">Thesis!J6-base_fy-mid_yr-v_off</f>
        <v>4.24794520547945</v>
      </c>
      <c r="K14227" s="8" t="n">
        <f aca="false">Thesis!K6-base_fy-mid_yr-v_off</f>
        <v>5.24794520547945</v>
      </c>
      <c r="L14227" s="12" t="s">
        <v>1217</v>
      </c>
    </row>
    <row r="14228" customFormat="false" ht="15" hidden="false" customHeight="false" outlineLevel="0" collapsed="false">
      <c r="A14228" s="1" t="s">
        <v>1218</v>
      </c>
      <c r="B14228" s="1" t="s">
        <v>279</v>
      </c>
      <c r="F14228" s="8" t="n">
        <f aca="false">Thesis!F6-base_fy-v_off</f>
        <v>0.747945205479452</v>
      </c>
      <c r="G14228" s="8" t="n">
        <f aca="false">Thesis!G6-base_fy-v_off</f>
        <v>1.74794520547945</v>
      </c>
      <c r="H14228" s="8" t="n">
        <f aca="false">Thesis!H6-base_fy-v_off</f>
        <v>2.74794520547945</v>
      </c>
      <c r="I14228" s="8" t="n">
        <f aca="false">Thesis!I6-base_fy-v_off</f>
        <v>3.74794520547945</v>
      </c>
      <c r="J14228" s="8" t="n">
        <f aca="false">Thesis!J6-base_fy-v_off</f>
        <v>4.74794520547945</v>
      </c>
      <c r="K14228" s="8" t="n">
        <f aca="false">Thesis!K6-base_fy-v_off</f>
        <v>5.74794520547945</v>
      </c>
    </row>
    <row r="14229" customFormat="false" ht="15" hidden="false" customHeight="false" outlineLevel="0" collapsed="false">
      <c r="A14229" s="1" t="s">
        <v>1219</v>
      </c>
      <c r="B14229" s="0" t="s">
        <v>229</v>
      </c>
      <c r="F14229" s="15" t="n">
        <f aca="false">1/(1+wacc)^Sens!F14227</f>
        <v>0.964022703286649</v>
      </c>
      <c r="G14229" s="15" t="n">
        <f aca="false">1/(1+wacc)^Sens!G14227</f>
        <v>0.884910302296739</v>
      </c>
      <c r="H14229" s="15" t="n">
        <f aca="false">1/(1+wacc)^Sens!H14227</f>
        <v>0.802322009770358</v>
      </c>
      <c r="I14229" s="15" t="n">
        <f aca="false">1/(1+wacc)^Sens!I14227</f>
        <v>0.727441646561469</v>
      </c>
      <c r="J14229" s="15" t="n">
        <f aca="false">1/(1+wacc)^Sens!J14227</f>
        <v>0.659549834988973</v>
      </c>
      <c r="K14229" s="15" t="n">
        <f aca="false">1/(1+wacc)^Sens!K14227</f>
        <v>0.597994336576966</v>
      </c>
    </row>
    <row r="14230" customFormat="false" ht="17.15" hidden="false" customHeight="false" outlineLevel="0" collapsed="false">
      <c r="A14230" s="1" t="s">
        <v>1220</v>
      </c>
      <c r="B14230" s="0" t="s">
        <v>98</v>
      </c>
      <c r="F14230" s="6" t="n">
        <f aca="false">Q!$I$35-Q!$I$39-Q!$I$43</f>
        <v>9.666</v>
      </c>
      <c r="L14230" s="12" t="s">
        <v>1221</v>
      </c>
    </row>
    <row r="14231" customFormat="false" ht="17.15" hidden="false" customHeight="false" outlineLevel="0" collapsed="false">
      <c r="A14231" s="1" t="s">
        <v>1222</v>
      </c>
      <c r="B14231" s="0" t="s">
        <v>98</v>
      </c>
      <c r="F14231" s="6" t="n">
        <f aca="false">CF!F23-CF!F20-CF!F27+Thesis!F47*(1-tax_f)*(1-v_off)-Sens!F14230</f>
        <v>-1.12880264559539</v>
      </c>
      <c r="G14231" s="6" t="n">
        <f aca="false">CF!G23-CF!G20-CF!G27+Thesis!G47*(1-tax_f)</f>
        <v>38.7194421947551</v>
      </c>
      <c r="H14231" s="6" t="n">
        <f aca="false">CF!H23-CF!H20-CF!H27+Thesis!H47*(1-tax_f)</f>
        <v>98.6927474567662</v>
      </c>
      <c r="I14231" s="6" t="n">
        <f aca="false">CF!I23-CF!I20-CF!I27+Thesis!I47*(1-tax_f)</f>
        <v>181.625440536277</v>
      </c>
      <c r="J14231" s="6" t="n">
        <f aca="false">CF!J23-CF!J20-CF!J27+Thesis!J47*(1-tax_f)</f>
        <v>263.350402418584</v>
      </c>
      <c r="K14231" s="6" t="n">
        <f aca="false">CF!K23-CF!K20-CF!K27+Thesis!K47*(1-tax_f)</f>
        <v>303.659068389018</v>
      </c>
      <c r="L14231" s="1" t="s">
        <v>1223</v>
      </c>
    </row>
    <row r="14232" customFormat="false" ht="15" hidden="false" customHeight="false" outlineLevel="0" collapsed="false">
      <c r="A14232" s="1" t="s">
        <v>1224</v>
      </c>
      <c r="B14232" s="0" t="s">
        <v>98</v>
      </c>
      <c r="F14232" s="6" t="n">
        <f aca="false">Sens!F14231*Sens!F14229</f>
        <v>-1.08819137788399</v>
      </c>
      <c r="G14232" s="6" t="n">
        <f aca="false">Sens!G14231*Sens!G14229</f>
        <v>34.2632332973219</v>
      </c>
      <c r="H14232" s="6" t="n">
        <f aca="false">Sens!H14231*Sens!H14229</f>
        <v>79.183363489271</v>
      </c>
      <c r="I14232" s="6" t="n">
        <f aca="false">Sens!I14231*Sens!I14229</f>
        <v>132.121909521162</v>
      </c>
      <c r="J14232" s="6" t="n">
        <f aca="false">Sens!J14231*Sens!J14229</f>
        <v>173.692714459456</v>
      </c>
      <c r="K14232" s="6" t="n">
        <f aca="false">Sens!K14231*Sens!K14229</f>
        <v>181.58640314687</v>
      </c>
    </row>
    <row r="14233" customFormat="false" ht="17.15" hidden="false" customHeight="false" outlineLevel="0" collapsed="false">
      <c r="A14233" s="1" t="s">
        <v>1225</v>
      </c>
      <c r="B14233" s="0" t="s">
        <v>98</v>
      </c>
      <c r="C14233" s="6" t="n">
        <f aca="false">SUM(Sens!F14232:K14232)</f>
        <v>599.759432536197</v>
      </c>
    </row>
    <row r="14234" customFormat="false" ht="17.15" hidden="false" customHeight="false" outlineLevel="0" collapsed="false">
      <c r="A14234" s="1" t="s">
        <v>1226</v>
      </c>
      <c r="B14234" s="0" t="s">
        <v>98</v>
      </c>
      <c r="C14234" s="6" t="n">
        <f aca="false">PL!K39*(1+g_tv_lo)*(1-tax_f)</f>
        <v>313.428490461451</v>
      </c>
    </row>
    <row r="14235" customFormat="false" ht="17.15" hidden="false" customHeight="false" outlineLevel="0" collapsed="false">
      <c r="A14235" s="1" t="s">
        <v>1227</v>
      </c>
      <c r="B14235" s="0" t="s">
        <v>98</v>
      </c>
      <c r="C14235" s="6" t="n">
        <f aca="false">Sens!$C$14234*(1-g_tv_lo/(wacc+ronic_prem))</f>
        <v>252.531099634296</v>
      </c>
    </row>
    <row r="14236" customFormat="false" ht="17.15" hidden="false" customHeight="false" outlineLevel="0" collapsed="false">
      <c r="A14236" s="1" t="s">
        <v>1228</v>
      </c>
      <c r="B14236" s="0" t="s">
        <v>98</v>
      </c>
      <c r="C14236" s="6" t="n">
        <f aca="false">Sens!$C$14235/(wacc-g_tv_lo)</f>
        <v>3044.86954135774</v>
      </c>
    </row>
    <row r="14237" customFormat="false" ht="15" hidden="false" customHeight="false" outlineLevel="0" collapsed="false">
      <c r="A14237" s="1" t="s">
        <v>1229</v>
      </c>
      <c r="B14237" s="0" t="s">
        <v>98</v>
      </c>
      <c r="C14237" s="6" t="n">
        <f aca="false">Sens!$C$14236/(1+wacc)^Sens!K14228</f>
        <v>1733.76602503617</v>
      </c>
    </row>
    <row r="14238" customFormat="false" ht="17.15" hidden="false" customHeight="false" outlineLevel="0" collapsed="false">
      <c r="A14238" s="0" t="s">
        <v>1230</v>
      </c>
      <c r="B14238" s="0" t="s">
        <v>98</v>
      </c>
      <c r="C14238" s="6" t="n">
        <f aca="false">Sens!$C$14233+Sens!$C$14237</f>
        <v>2333.52545757237</v>
      </c>
    </row>
    <row r="14239" customFormat="false" ht="15" hidden="false" customHeight="false" outlineLevel="0" collapsed="false">
      <c r="A14239" s="1" t="s">
        <v>1145</v>
      </c>
      <c r="B14239" s="0" t="s">
        <v>168</v>
      </c>
      <c r="C14239" s="7" t="n">
        <f aca="false">Sens!$C$14237/Sens!$C$14238</f>
        <v>0.74298140584241</v>
      </c>
    </row>
    <row r="14240" customFormat="false" ht="17.15" hidden="false" customHeight="false" outlineLevel="0" collapsed="false">
      <c r="A14240" s="1" t="s">
        <v>1231</v>
      </c>
      <c r="B14240" s="0" t="s">
        <v>98</v>
      </c>
      <c r="C14240" s="6" t="n">
        <f aca="false">Sens!$C$14238+cash_val-debt_val-fl_val+oai_v</f>
        <v>2449.37645757237</v>
      </c>
    </row>
    <row r="14241" customFormat="false" ht="17.15" hidden="false" customHeight="false" outlineLevel="0" collapsed="false">
      <c r="A14241" s="0" t="s">
        <v>1153</v>
      </c>
      <c r="B14241" s="0" t="s">
        <v>75</v>
      </c>
      <c r="C14241" s="5" t="n">
        <f aca="false">Sens!$C$14240/shd_val</f>
        <v>328.951981946329</v>
      </c>
    </row>
    <row r="14242" customFormat="false" ht="15" hidden="false" customHeight="false" outlineLevel="0" collapsed="false">
      <c r="A14242" s="1" t="s">
        <v>1232</v>
      </c>
      <c r="B14242" s="0" t="s">
        <v>75</v>
      </c>
      <c r="C14242" s="8" t="n">
        <f aca="false">div_rem27+CF!G31*roll_div_q/q_per_yr</f>
        <v>3.9795</v>
      </c>
    </row>
    <row r="14243" customFormat="false" ht="17.15" hidden="false" customHeight="false" outlineLevel="0" collapsed="false">
      <c r="A14243" s="0" t="s">
        <v>1233</v>
      </c>
      <c r="B14243" s="0" t="s">
        <v>75</v>
      </c>
      <c r="C14243" s="5" t="n">
        <f aca="false">Sens!$C$14241*(1+wacc)^t_roll-Sens!$C$14242</f>
        <v>361.668986988138</v>
      </c>
    </row>
    <row r="14244" customFormat="false" ht="17.15" hidden="false" customHeight="false" outlineLevel="0" collapsed="false">
      <c r="A14244" s="1" t="s">
        <v>1234</v>
      </c>
      <c r="B14244" s="0" t="s">
        <v>168</v>
      </c>
      <c r="F14244" s="7" t="n">
        <f aca="false">CF!F17/(Seg!F29-Thesis!F25)</f>
        <v>0.0685527305696859</v>
      </c>
      <c r="G14244" s="7" t="n">
        <f aca="false">CF!G17/(Seg!G29-Thesis!G25)</f>
        <v>0.0653567731599844</v>
      </c>
      <c r="H14244" s="7" t="n">
        <f aca="false">CF!H17/(Seg!H29-Thesis!H25)</f>
        <v>0.0636628841026972</v>
      </c>
      <c r="I14244" s="7" t="n">
        <f aca="false">CF!I17/(Seg!I29-Thesis!I25)</f>
        <v>0.0633581084335176</v>
      </c>
      <c r="J14244" s="7" t="n">
        <f aca="false">CF!J17/(Seg!J29-Thesis!J25)</f>
        <v>0.0640873955995062</v>
      </c>
      <c r="K14244" s="7" t="n">
        <f aca="false">CF!K17/(Seg!K29-Thesis!K25)</f>
        <v>0.0653962234835198</v>
      </c>
    </row>
    <row r="14245" customFormat="false" ht="17.15" hidden="false" customHeight="false" outlineLevel="0" collapsed="false">
      <c r="A14245" s="0" t="s">
        <v>1235</v>
      </c>
      <c r="B14245" s="0" t="s">
        <v>98</v>
      </c>
      <c r="F14245" s="6" t="n">
        <f aca="false">Seg!F14*(al_m365+Sens!F14244+sbc_r)</f>
        <v>84.5213906545575</v>
      </c>
      <c r="G14245" s="6" t="n">
        <f aca="false">Seg!G14*(al_m365+Sens!G14244+sbc_r)</f>
        <v>98.949983331796</v>
      </c>
      <c r="H14245" s="6" t="n">
        <f aca="false">Seg!H14*(al_m365+Sens!H14244+sbc_r)</f>
        <v>113.543734275326</v>
      </c>
      <c r="I14245" s="6" t="n">
        <f aca="false">Seg!I14*(al_m365+Sens!I14244+sbc_r)</f>
        <v>126.62058838692</v>
      </c>
      <c r="J14245" s="6" t="n">
        <f aca="false">Seg!J14*(al_m365+Sens!J14244+sbc_r)</f>
        <v>137.994660156303</v>
      </c>
      <c r="K14245" s="6" t="n">
        <f aca="false">Seg!K14*(al_m365+Sens!K14244+sbc_r)</f>
        <v>148.989224092997</v>
      </c>
      <c r="L14245" s="12" t="s">
        <v>1236</v>
      </c>
    </row>
    <row r="14246" customFormat="false" ht="17.15" hidden="false" customHeight="false" outlineLevel="0" collapsed="false">
      <c r="A14246" s="0" t="s">
        <v>1237</v>
      </c>
      <c r="B14246" s="0" t="s">
        <v>98</v>
      </c>
      <c r="F14246" s="6" t="n">
        <f aca="false">Seg!F15*(al_lic+Sens!F14244+sbc_r)</f>
        <v>32.855200196554</v>
      </c>
      <c r="G14246" s="6" t="n">
        <f aca="false">Seg!G15*(al_lic+Sens!G14244+sbc_r)</f>
        <v>34.1185582613282</v>
      </c>
      <c r="H14246" s="6" t="n">
        <f aca="false">Seg!H15*(al_lic+Sens!H14244+sbc_r)</f>
        <v>35.3024309363621</v>
      </c>
      <c r="I14246" s="6" t="n">
        <f aca="false">Seg!I15*(al_lic+Sens!I14244+sbc_r)</f>
        <v>36.3898468129533</v>
      </c>
      <c r="J14246" s="6" t="n">
        <f aca="false">Seg!J15*(al_lic+Sens!J14244+sbc_r)</f>
        <v>37.3529129529876</v>
      </c>
      <c r="K14246" s="6" t="n">
        <f aca="false">Seg!K15*(al_lic+Sens!K14244+sbc_r)</f>
        <v>38.158536171203</v>
      </c>
    </row>
    <row r="14247" customFormat="false" ht="17.15" hidden="false" customHeight="false" outlineLevel="0" collapsed="false">
      <c r="A14247" s="0" t="s">
        <v>1238</v>
      </c>
      <c r="B14247" s="0" t="s">
        <v>98</v>
      </c>
      <c r="F14247" s="6" t="n">
        <f aca="false">Seg!F17*(al_ind+Sens!F14244+sbc_r)</f>
        <v>9.05892547956683</v>
      </c>
      <c r="G14247" s="6" t="n">
        <f aca="false">Seg!G17*(al_ind+Sens!G14244+sbc_r)</f>
        <v>9.82456487622418</v>
      </c>
      <c r="H14247" s="6" t="n">
        <f aca="false">Seg!H17*(al_ind+Sens!H14244+sbc_r)</f>
        <v>10.6377408477959</v>
      </c>
      <c r="I14247" s="6" t="n">
        <f aca="false">Seg!I17*(al_ind+Sens!I14244+sbc_r)</f>
        <v>11.4966323260293</v>
      </c>
      <c r="J14247" s="6" t="n">
        <f aca="false">Seg!J17*(al_ind+Sens!J14244+sbc_r)</f>
        <v>12.3903660286279</v>
      </c>
      <c r="K14247" s="6" t="n">
        <f aca="false">Seg!K17*(al_ind+Sens!K14244+sbc_r)</f>
        <v>13.3009129057681</v>
      </c>
    </row>
    <row r="14248" customFormat="false" ht="17.15" hidden="false" customHeight="false" outlineLevel="0" collapsed="false">
      <c r="A14248" s="0" t="s">
        <v>1239</v>
      </c>
      <c r="B14248" s="0" t="s">
        <v>98</v>
      </c>
      <c r="F14248" s="6" t="n">
        <f aca="false">Seg!F19*(al_fro+Sens!F14244+sbc_r)</f>
        <v>3.55344443532423</v>
      </c>
      <c r="G14248" s="6" t="n">
        <f aca="false">Seg!G19*(al_fro+Sens!G14244+sbc_r)</f>
        <v>3.75916645971565</v>
      </c>
      <c r="H14248" s="6" t="n">
        <f aca="false">Seg!H19*(al_fro+Sens!H14244+sbc_r)</f>
        <v>3.994970960527</v>
      </c>
      <c r="I14248" s="6" t="n">
        <f aca="false">Seg!I19*(al_fro+Sens!I14244+sbc_r)</f>
        <v>4.26396270432353</v>
      </c>
      <c r="J14248" s="6" t="n">
        <f aca="false">Seg!J19*(al_fro+Sens!J14244+sbc_r)</f>
        <v>4.5667795874336</v>
      </c>
      <c r="K14248" s="6" t="n">
        <f aca="false">Seg!K19*(al_fro+Sens!K14244+sbc_r)</f>
        <v>4.90238443416026</v>
      </c>
    </row>
    <row r="14249" customFormat="false" ht="17.15" hidden="false" customHeight="false" outlineLevel="0" collapsed="false">
      <c r="A14249" s="0" t="s">
        <v>1240</v>
      </c>
      <c r="B14249" s="0" t="s">
        <v>98</v>
      </c>
      <c r="F14249" s="6" t="n">
        <f aca="false">Seg!F22*(al_srch+Sens!F14244+sbc_r)</f>
        <v>11.1872483445711</v>
      </c>
      <c r="G14249" s="6" t="n">
        <f aca="false">Seg!G22*(al_srch+Sens!G14244+sbc_r)</f>
        <v>12.247246048296</v>
      </c>
      <c r="H14249" s="6" t="n">
        <f aca="false">Seg!H22*(al_srch+Sens!H14244+sbc_r)</f>
        <v>13.3552870946193</v>
      </c>
      <c r="I14249" s="6" t="n">
        <f aca="false">Seg!I22*(al_srch+Sens!I14244+sbc_r)</f>
        <v>14.5024145321619</v>
      </c>
      <c r="J14249" s="6" t="n">
        <f aca="false">Seg!J22*(al_srch+Sens!J14244+sbc_r)</f>
        <v>15.667276660652</v>
      </c>
      <c r="K14249" s="6" t="n">
        <f aca="false">Seg!K22*(al_srch+Sens!K14244+sbc_r)</f>
        <v>16.8186381138719</v>
      </c>
    </row>
    <row r="14250" customFormat="false" ht="17.15" hidden="false" customHeight="false" outlineLevel="0" collapsed="false">
      <c r="A14250" s="0" t="s">
        <v>1241</v>
      </c>
      <c r="B14250" s="0" t="s">
        <v>98</v>
      </c>
      <c r="F14250" s="6" t="n">
        <f aca="false">Thesis!F31-Thesis!F32+Thesis!F47</f>
        <v>45.3782580567763</v>
      </c>
      <c r="G14250" s="6" t="n">
        <f aca="false">Thesis!G31-Thesis!G32+Thesis!G47</f>
        <v>91.0863367558165</v>
      </c>
      <c r="H14250" s="6" t="n">
        <f aca="false">Thesis!H31-Thesis!H32+Thesis!H47</f>
        <v>144.617532464853</v>
      </c>
      <c r="I14250" s="6" t="n">
        <f aca="false">Thesis!I31-Thesis!I32+Thesis!I47</f>
        <v>187.137304561304</v>
      </c>
      <c r="J14250" s="6" t="n">
        <f aca="false">Thesis!J31-Thesis!J32+Thesis!J47</f>
        <v>217.006854425907</v>
      </c>
      <c r="K14250" s="6" t="n">
        <f aca="false">Thesis!K31-Thesis!K32+Thesis!K47</f>
        <v>234.933637903877</v>
      </c>
    </row>
    <row r="14251" customFormat="false" ht="17.15" hidden="false" customHeight="false" outlineLevel="0" collapsed="false">
      <c r="A14251" s="0" t="s">
        <v>1242</v>
      </c>
      <c r="B14251" s="0" t="s">
        <v>98</v>
      </c>
      <c r="F14251" s="6" t="n">
        <f aca="false">PL!F32+Thesis!F47+Thesis!F43+Sens!F14244*(Seg!F21-Thesis!F25)+sbc_r*Seg!F21</f>
        <v>240.818167741339</v>
      </c>
      <c r="G14251" s="6" t="n">
        <f aca="false">PL!G32+Thesis!G47+Thesis!G43+Sens!G14244*(Seg!G21-Thesis!G25)+sbc_r*Seg!G21</f>
        <v>311.917784140952</v>
      </c>
      <c r="H14251" s="6" t="n">
        <f aca="false">PL!H32+Thesis!H47+Thesis!H43+Sens!H14244*(Seg!H21-Thesis!H25)+sbc_r*Seg!H21</f>
        <v>395.486245683473</v>
      </c>
      <c r="I14251" s="6" t="n">
        <f aca="false">PL!I32+Thesis!I47+Thesis!I43+Sens!I14244*(Seg!I21-Thesis!I25)+sbc_r*Seg!I21</f>
        <v>465.950805948377</v>
      </c>
      <c r="J14251" s="6" t="n">
        <f aca="false">PL!J32+Thesis!J47+Thesis!J43+Sens!J14244*(Seg!J21-Thesis!J25)+sbc_r*Seg!J21</f>
        <v>520.78677388057</v>
      </c>
      <c r="K14251" s="6" t="n">
        <f aca="false">PL!K32+Thesis!K47+Thesis!K43+Sens!K14244*(Seg!K21-Thesis!K25)+sbc_r*Seg!K21</f>
        <v>561.2469767412</v>
      </c>
    </row>
    <row r="14252" customFormat="false" ht="17.15" hidden="false" customHeight="false" outlineLevel="0" collapsed="false">
      <c r="A14252" s="0" t="s">
        <v>1243</v>
      </c>
      <c r="B14252" s="0" t="s">
        <v>98</v>
      </c>
      <c r="F14252" s="6" t="n">
        <f aca="false">Sens!F14251-Sens!F14245-Sens!F14246-Sens!F14247-Sens!F14248-Sens!F14250</f>
        <v>65.4509489185601</v>
      </c>
      <c r="G14252" s="6" t="n">
        <f aca="false">Sens!G14251-Sens!G14245-Sens!G14246-Sens!G14247-Sens!G14248-Sens!G14250</f>
        <v>74.1791744560715</v>
      </c>
      <c r="H14252" s="6" t="n">
        <f aca="false">Sens!H14251-Sens!H14245-Sens!H14246-Sens!H14247-Sens!H14248-Sens!H14250</f>
        <v>87.3898361986086</v>
      </c>
      <c r="I14252" s="6" t="n">
        <f aca="false">Sens!I14251-Sens!I14245-Sens!I14246-Sens!I14247-Sens!I14248-Sens!I14250</f>
        <v>100.042471156846</v>
      </c>
      <c r="J14252" s="6" t="n">
        <f aca="false">Sens!J14251-Sens!J14245-Sens!J14246-Sens!J14247-Sens!J14248-Sens!J14250</f>
        <v>111.475200729312</v>
      </c>
      <c r="K14252" s="6" t="n">
        <f aca="false">Sens!K14251-Sens!K14245-Sens!K14246-Sens!K14247-Sens!K14248-Sens!K14250</f>
        <v>120.962281233195</v>
      </c>
    </row>
    <row r="14253" customFormat="false" ht="17.15" hidden="false" customHeight="false" outlineLevel="0" collapsed="false">
      <c r="A14253" s="0" t="s">
        <v>1244</v>
      </c>
      <c r="B14253" s="0" t="s">
        <v>98</v>
      </c>
      <c r="F14253" s="6" t="n">
        <f aca="false">PL!F34+Sens!F14244*Seg!F28+sbc_r*Seg!F28</f>
        <v>26.6293388420472</v>
      </c>
      <c r="G14253" s="6" t="n">
        <f aca="false">PL!G34+Sens!G14244*Seg!G28+sbc_r*Seg!G28</f>
        <v>26.4405000412783</v>
      </c>
      <c r="H14253" s="6" t="n">
        <f aca="false">PL!H34+Sens!H14244*Seg!H28+sbc_r*Seg!H28</f>
        <v>27.296860059552</v>
      </c>
      <c r="I14253" s="6" t="n">
        <f aca="false">PL!I34+Sens!I14244*Seg!I28+sbc_r*Seg!I28</f>
        <v>28.3995465815703</v>
      </c>
      <c r="J14253" s="6" t="n">
        <f aca="false">PL!J34+Sens!J14244*Seg!J28+sbc_r*Seg!J28</f>
        <v>29.7093380975903</v>
      </c>
      <c r="K14253" s="6" t="n">
        <f aca="false">PL!K34+Sens!K14244*Seg!K28+sbc_r*Seg!K28</f>
        <v>31.1817775287323</v>
      </c>
    </row>
    <row r="14254" customFormat="false" ht="17.15" hidden="false" customHeight="false" outlineLevel="0" collapsed="false">
      <c r="A14254" s="0" t="s">
        <v>1245</v>
      </c>
      <c r="B14254" s="0" t="s">
        <v>98</v>
      </c>
      <c r="F14254" s="6" t="n">
        <f aca="false">(Sens!F14253-Sens!F14249)*Seg!F24/(Seg!F24+Seg!F26)</f>
        <v>8.72146908842971</v>
      </c>
      <c r="G14254" s="6" t="n">
        <f aca="false">(Sens!G14253-Sens!G14249)*Seg!G24/(Seg!G24+Seg!G26)</f>
        <v>7.87837655379173</v>
      </c>
      <c r="H14254" s="6" t="n">
        <f aca="false">(Sens!H14253-Sens!H14249)*Seg!H24/(Seg!H24+Seg!H26)</f>
        <v>7.63786170689933</v>
      </c>
      <c r="I14254" s="6" t="n">
        <f aca="false">(Sens!I14253-Sens!I14249)*Seg!I24/(Seg!I24+Seg!I26)</f>
        <v>7.5470606300581</v>
      </c>
      <c r="J14254" s="6" t="n">
        <f aca="false">(Sens!J14253-Sens!J14249)*Seg!J24/(Seg!J24+Seg!J26)</f>
        <v>7.59249600034024</v>
      </c>
      <c r="K14254" s="6" t="n">
        <f aca="false">(Sens!K14253-Sens!K14249)*Seg!K24/(Seg!K24+Seg!K26)</f>
        <v>7.76610179704742</v>
      </c>
    </row>
    <row r="14255" customFormat="false" ht="17.15" hidden="false" customHeight="false" outlineLevel="0" collapsed="false">
      <c r="A14255" s="0" t="s">
        <v>1246</v>
      </c>
      <c r="B14255" s="0" t="s">
        <v>98</v>
      </c>
      <c r="F14255" s="6" t="n">
        <f aca="false">Sens!F14253-Sens!F14249-Sens!F14254</f>
        <v>6.72062140904636</v>
      </c>
      <c r="G14255" s="6" t="n">
        <f aca="false">Sens!G14253-Sens!G14249-Sens!G14254</f>
        <v>6.31487743919059</v>
      </c>
      <c r="H14255" s="6" t="n">
        <f aca="false">Sens!H14253-Sens!H14249-Sens!H14254</f>
        <v>6.30371125803333</v>
      </c>
      <c r="I14255" s="6" t="n">
        <f aca="false">Sens!I14253-Sens!I14249-Sens!I14254</f>
        <v>6.35007141935025</v>
      </c>
      <c r="J14255" s="6" t="n">
        <f aca="false">Sens!J14253-Sens!J14249-Sens!J14254</f>
        <v>6.44956543659808</v>
      </c>
      <c r="K14255" s="6" t="n">
        <f aca="false">Sens!K14253-Sens!K14249-Sens!K14254</f>
        <v>6.597037617813</v>
      </c>
    </row>
    <row r="14256" customFormat="false" ht="17.15" hidden="false" customHeight="false" outlineLevel="0" collapsed="false">
      <c r="A14256" s="0" t="s">
        <v>1247</v>
      </c>
      <c r="B14256" s="0" t="s">
        <v>98</v>
      </c>
      <c r="F14256" s="6" t="n">
        <f aca="false">Sens!F14250-tax_f*(Sens!F14250-Thesis!F43)-Thesis!F40</f>
        <v>-125.235434701028</v>
      </c>
      <c r="G14256" s="6" t="n">
        <f aca="false">Sens!G14250-tax_f*(Sens!G14250-Thesis!G43)-Thesis!G40</f>
        <v>-106.928508113935</v>
      </c>
      <c r="H14256" s="6" t="n">
        <f aca="false">Sens!H14250-tax_f*(Sens!H14250-Thesis!H43)-Thesis!H40</f>
        <v>-63.2919599603405</v>
      </c>
      <c r="I14256" s="6" t="n">
        <f aca="false">Sens!I14250-tax_f*(Sens!I14250-Thesis!I43)-Thesis!I40</f>
        <v>3.94121196634245</v>
      </c>
      <c r="J14256" s="6" t="n">
        <f aca="false">Sens!J14250-tax_f*(Sens!J14250-Thesis!J43)-Thesis!J40</f>
        <v>71.0786869547042</v>
      </c>
      <c r="K14256" s="6" t="n">
        <f aca="false">Sens!K14250-tax_f*(Sens!K14250-Thesis!K43)-Thesis!K40</f>
        <v>97.5865911685559</v>
      </c>
    </row>
    <row r="14257" customFormat="false" ht="17.15" hidden="false" customHeight="false" outlineLevel="0" collapsed="false">
      <c r="A14257" s="0" t="s">
        <v>1248</v>
      </c>
      <c r="B14257" s="0" t="s">
        <v>98</v>
      </c>
      <c r="G14257" s="6" t="n">
        <f aca="false">Sens!G14256/(1+wacc)^(Sens!G14227-Sens!F14228)</f>
        <v>-101.81651667568</v>
      </c>
      <c r="H14257" s="6" t="n">
        <f aca="false">Sens!H14256/(1+wacc)^(Sens!H14227-Sens!F14228)</f>
        <v>-54.6415143556151</v>
      </c>
      <c r="I14257" s="6" t="n">
        <f aca="false">Sens!I14256/(1+wacc)^(Sens!I14227-Sens!F14228)</f>
        <v>3.08498765169516</v>
      </c>
      <c r="J14257" s="6" t="n">
        <f aca="false">Sens!J14256/(1+wacc)^(Sens!J14227-Sens!F14228)</f>
        <v>50.4443451596971</v>
      </c>
      <c r="K14257" s="6" t="n">
        <f aca="false">Sens!K14256/(1+wacc)^(Sens!K14227-Sens!F14228)</f>
        <v>62.7932114544856</v>
      </c>
      <c r="L14257" s="1" t="s">
        <v>1249</v>
      </c>
    </row>
    <row r="14258" customFormat="false" ht="17.15" hidden="false" customHeight="false" outlineLevel="0" collapsed="false">
      <c r="A14258" s="0" t="s">
        <v>1250</v>
      </c>
      <c r="B14258" s="0" t="s">
        <v>98</v>
      </c>
      <c r="C14258" s="6" t="n">
        <f aca="false">(Sens!K14250-Thesis!K43)*(1-tax_f)*(1+g_tv_lo)*(1-g_tv_lo/(wacc+ronic_prem))/(wacc-g_tv_lo)/(1+wacc)^(Sens!K14228-Sens!F14228)</f>
        <v>446.459679323175</v>
      </c>
    </row>
    <row r="14259" customFormat="false" ht="17.15" hidden="false" customHeight="false" outlineLevel="0" collapsed="false">
      <c r="A14259" s="1" t="s">
        <v>1251</v>
      </c>
      <c r="B14259" s="0" t="s">
        <v>98</v>
      </c>
      <c r="C14259" s="6" t="n">
        <f aca="false">(SUM(Sens!G14257:K14257)+Sens!$C$14258)*(1+wacc)^(t_roll-Sens!F14228)</f>
        <v>419.738182969655</v>
      </c>
      <c r="L14259" s="12" t="s">
        <v>1252</v>
      </c>
    </row>
    <row r="14260" customFormat="false" ht="17.15" hidden="false" customHeight="false" outlineLevel="0" collapsed="false">
      <c r="A14260" s="1" t="s">
        <v>1253</v>
      </c>
      <c r="B14260" s="0" t="s">
        <v>98</v>
      </c>
      <c r="C14260" s="6" t="n">
        <f aca="false">(w_ntm28*Thesis!G31+(1-w_ntm28)*Thesis!H31)*m_ai</f>
        <v>563.316843258668</v>
      </c>
    </row>
    <row r="14261" customFormat="false" ht="17.15" hidden="false" customHeight="false" outlineLevel="0" collapsed="false">
      <c r="A14261" s="1" t="s">
        <v>1254</v>
      </c>
      <c r="B14261" s="0" t="s">
        <v>98</v>
      </c>
      <c r="C14261" s="6" t="n">
        <f aca="false">(w_ntm28*Sens!G14252+(1-w_ntm28)*Sens!H14252)*m_cloud</f>
        <v>1085.17964696599</v>
      </c>
    </row>
    <row r="14262" customFormat="false" ht="17.15" hidden="false" customHeight="false" outlineLevel="0" collapsed="false">
      <c r="A14262" s="1" t="s">
        <v>1255</v>
      </c>
      <c r="B14262" s="0" t="s">
        <v>98</v>
      </c>
      <c r="C14262" s="6" t="n">
        <f aca="false">(w_ntm28*Sens!G14245+(1-w_ntm28)*Sens!H14245)*m_sw</f>
        <v>1120.47763155275</v>
      </c>
    </row>
    <row r="14263" customFormat="false" ht="17.15" hidden="false" customHeight="false" outlineLevel="0" collapsed="false">
      <c r="A14263" s="1" t="s">
        <v>1256</v>
      </c>
      <c r="B14263" s="0" t="s">
        <v>98</v>
      </c>
      <c r="C14263" s="6" t="n">
        <f aca="false">(w_ntm28*Sens!G14246+(1-w_ntm28)*Sens!H14246)*m_sw</f>
        <v>372.68398809041</v>
      </c>
    </row>
    <row r="14264" customFormat="false" ht="17.15" hidden="false" customHeight="false" outlineLevel="0" collapsed="false">
      <c r="A14264" s="1" t="s">
        <v>1257</v>
      </c>
      <c r="B14264" s="0" t="s">
        <v>98</v>
      </c>
      <c r="C14264" s="6" t="n">
        <f aca="false">(w_ntm28*Sens!G14247+(1-w_ntm28)*Sens!H14247)*m_sw</f>
        <v>108.992632332144</v>
      </c>
    </row>
    <row r="14265" customFormat="false" ht="17.15" hidden="false" customHeight="false" outlineLevel="0" collapsed="false">
      <c r="A14265" s="1" t="s">
        <v>1258</v>
      </c>
      <c r="B14265" s="0" t="s">
        <v>98</v>
      </c>
      <c r="C14265" s="6" t="n">
        <f aca="false">(w_ntm28*Sens!G14248+(1-w_ntm28)*Sens!H14248)*m_sw</f>
        <v>41.4362652527414</v>
      </c>
    </row>
    <row r="14266" customFormat="false" ht="17.15" hidden="false" customHeight="false" outlineLevel="0" collapsed="false">
      <c r="A14266" s="1" t="s">
        <v>1259</v>
      </c>
      <c r="B14266" s="0" t="s">
        <v>98</v>
      </c>
      <c r="C14266" s="6" t="n">
        <f aca="false">(w_ntm28*Sens!G14249+(1-w_ntm28)*Sens!H14249)*m_ads</f>
        <v>114.891070326937</v>
      </c>
    </row>
    <row r="14267" customFormat="false" ht="17.15" hidden="false" customHeight="false" outlineLevel="0" collapsed="false">
      <c r="A14267" s="1" t="s">
        <v>1260</v>
      </c>
      <c r="B14267" s="0" t="s">
        <v>98</v>
      </c>
      <c r="C14267" s="6" t="n">
        <f aca="false">(w_ntm28*Sens!G14254+(1-w_ntm28)*Sens!H14254)*m_game</f>
        <v>98.505199156718</v>
      </c>
    </row>
    <row r="14268" customFormat="false" ht="17.15" hidden="false" customHeight="false" outlineLevel="0" collapsed="false">
      <c r="A14268" s="1" t="s">
        <v>1261</v>
      </c>
      <c r="B14268" s="0" t="s">
        <v>98</v>
      </c>
      <c r="C14268" s="6" t="n">
        <f aca="false">(w_ntm28*Sens!G14255+(1-w_ntm28)*Sens!H14255)*m_pc</f>
        <v>91.3231561150564</v>
      </c>
    </row>
    <row r="14269" customFormat="false" ht="17.15" hidden="false" customHeight="false" outlineLevel="0" collapsed="false">
      <c r="A14269" s="1" t="s">
        <v>1262</v>
      </c>
      <c r="B14269" s="0" t="s">
        <v>98</v>
      </c>
      <c r="C14269" s="6" t="n">
        <f aca="false">Sens!$C$14259+Sens!$C$14261+Sens!$C$14262+Sens!$C$14263+Sens!$C$14264+Sens!$C$14265+Sens!$C$14266+Sens!$C$14267+Sens!$C$14268</f>
        <v>3453.2277727624</v>
      </c>
    </row>
    <row r="14270" customFormat="false" ht="17.15" hidden="false" customHeight="false" outlineLevel="0" collapsed="false">
      <c r="A14270" s="1" t="s">
        <v>1263</v>
      </c>
      <c r="B14270" s="0" t="s">
        <v>98</v>
      </c>
      <c r="C14270" s="6" t="n">
        <f aca="false">(Sens!G14231-Sens!G14256)*t_stub</f>
        <v>48.2832931160316</v>
      </c>
      <c r="L14270" s="1" t="s">
        <v>1264</v>
      </c>
    </row>
    <row r="14271" customFormat="false" ht="17.15" hidden="false" customHeight="false" outlineLevel="0" collapsed="false">
      <c r="A14271" s="1" t="s">
        <v>1173</v>
      </c>
      <c r="B14271" s="0" t="s">
        <v>98</v>
      </c>
      <c r="C14271" s="6" t="n">
        <f aca="false">CF!F39+oai_v-CF!F28+Sens!$C$14270</f>
        <v>162.511563116032</v>
      </c>
      <c r="L14271" s="1" t="s">
        <v>1265</v>
      </c>
    </row>
    <row r="14272" customFormat="false" ht="17.15" hidden="false" customHeight="false" outlineLevel="0" collapsed="false">
      <c r="A14272" s="1" t="s">
        <v>1266</v>
      </c>
      <c r="B14272" s="0" t="s">
        <v>75</v>
      </c>
      <c r="C14272" s="5" t="n">
        <f aca="false">(Sens!$C$14269+Sens!$C$14271)/(CF!F41+dil_gap)-CF!G31*roll_div_q/q_per_yr</f>
        <v>481.68563117834</v>
      </c>
      <c r="L14272" s="1" t="s">
        <v>1267</v>
      </c>
    </row>
    <row r="14273" customFormat="false" ht="17.15" hidden="false" customHeight="false" outlineLevel="0" collapsed="false">
      <c r="A14273" s="1" t="s">
        <v>1268</v>
      </c>
      <c r="B14273" s="0" t="s">
        <v>75</v>
      </c>
      <c r="C14273" s="5" t="n">
        <f aca="false">w_dcf*Sens!$C$14243+(1-w_dcf)*Sens!$C$14272</f>
        <v>421.677309083239</v>
      </c>
    </row>
    <row r="14274" customFormat="false" ht="17.15" hidden="false" customHeight="false" outlineLevel="0" collapsed="false">
      <c r="A14274" s="3" t="s">
        <v>1967</v>
      </c>
    </row>
    <row r="14275" customFormat="false" ht="15" hidden="false" customHeight="false" outlineLevel="0" collapsed="false">
      <c r="A14275" s="4" t="s">
        <v>43</v>
      </c>
      <c r="B14275" s="4" t="s">
        <v>65</v>
      </c>
      <c r="C14275" s="23" t="s">
        <v>942</v>
      </c>
      <c r="D14275" s="23" t="s">
        <v>943</v>
      </c>
      <c r="E14275" s="23" t="s">
        <v>944</v>
      </c>
      <c r="F14275" s="23" t="s">
        <v>945</v>
      </c>
      <c r="G14275" s="23" t="s">
        <v>946</v>
      </c>
      <c r="H14275" s="23" t="s">
        <v>947</v>
      </c>
      <c r="I14275" s="23" t="s">
        <v>948</v>
      </c>
      <c r="J14275" s="23" t="s">
        <v>949</v>
      </c>
      <c r="K14275" s="23" t="s">
        <v>950</v>
      </c>
      <c r="L14275" s="4" t="s">
        <v>47</v>
      </c>
    </row>
    <row r="14276" customFormat="false" ht="17.15" hidden="false" customHeight="false" outlineLevel="0" collapsed="false">
      <c r="A14276" s="1" t="s">
        <v>1216</v>
      </c>
      <c r="B14276" s="1" t="s">
        <v>279</v>
      </c>
      <c r="F14276" s="8" t="n">
        <f aca="false">(1-v_off)*mid_yr</f>
        <v>0.373972602739726</v>
      </c>
      <c r="G14276" s="8" t="n">
        <f aca="false">Thesis!G58-base_fy-mid_yr-v_off</f>
        <v>1.24794520547945</v>
      </c>
      <c r="H14276" s="8" t="n">
        <f aca="false">Thesis!H58-base_fy-mid_yr-v_off</f>
        <v>2.24794520547945</v>
      </c>
      <c r="I14276" s="8" t="n">
        <f aca="false">Thesis!I58-base_fy-mid_yr-v_off</f>
        <v>3.24794520547945</v>
      </c>
      <c r="J14276" s="8" t="n">
        <f aca="false">Thesis!J58-base_fy-mid_yr-v_off</f>
        <v>4.24794520547945</v>
      </c>
      <c r="K14276" s="8" t="n">
        <f aca="false">Thesis!K58-base_fy-mid_yr-v_off</f>
        <v>5.24794520547945</v>
      </c>
      <c r="L14276" s="12" t="s">
        <v>1217</v>
      </c>
    </row>
    <row r="14277" customFormat="false" ht="15" hidden="false" customHeight="false" outlineLevel="0" collapsed="false">
      <c r="A14277" s="1" t="s">
        <v>1218</v>
      </c>
      <c r="B14277" s="1" t="s">
        <v>279</v>
      </c>
      <c r="F14277" s="8" t="n">
        <f aca="false">Thesis!F58-base_fy-v_off</f>
        <v>0.747945205479452</v>
      </c>
      <c r="G14277" s="8" t="n">
        <f aca="false">Thesis!G58-base_fy-v_off</f>
        <v>1.74794520547945</v>
      </c>
      <c r="H14277" s="8" t="n">
        <f aca="false">Thesis!H58-base_fy-v_off</f>
        <v>2.74794520547945</v>
      </c>
      <c r="I14277" s="8" t="n">
        <f aca="false">Thesis!I58-base_fy-v_off</f>
        <v>3.74794520547945</v>
      </c>
      <c r="J14277" s="8" t="n">
        <f aca="false">Thesis!J58-base_fy-v_off</f>
        <v>4.74794520547945</v>
      </c>
      <c r="K14277" s="8" t="n">
        <f aca="false">Thesis!K58-base_fy-v_off</f>
        <v>5.74794520547945</v>
      </c>
    </row>
    <row r="14278" customFormat="false" ht="15" hidden="false" customHeight="false" outlineLevel="0" collapsed="false">
      <c r="A14278" s="1" t="s">
        <v>1219</v>
      </c>
      <c r="B14278" s="0" t="s">
        <v>229</v>
      </c>
      <c r="F14278" s="15" t="n">
        <f aca="false">1/(1+wacc)^Sens!F14276</f>
        <v>0.964022703286649</v>
      </c>
      <c r="G14278" s="15" t="n">
        <f aca="false">1/(1+wacc)^Sens!G14276</f>
        <v>0.884910302296739</v>
      </c>
      <c r="H14278" s="15" t="n">
        <f aca="false">1/(1+wacc)^Sens!H14276</f>
        <v>0.802322009770358</v>
      </c>
      <c r="I14278" s="15" t="n">
        <f aca="false">1/(1+wacc)^Sens!I14276</f>
        <v>0.727441646561469</v>
      </c>
      <c r="J14278" s="15" t="n">
        <f aca="false">1/(1+wacc)^Sens!J14276</f>
        <v>0.659549834988973</v>
      </c>
      <c r="K14278" s="15" t="n">
        <f aca="false">1/(1+wacc)^Sens!K14276</f>
        <v>0.597994336576966</v>
      </c>
    </row>
    <row r="14279" customFormat="false" ht="17.15" hidden="false" customHeight="false" outlineLevel="0" collapsed="false">
      <c r="A14279" s="1" t="s">
        <v>1220</v>
      </c>
      <c r="B14279" s="0" t="s">
        <v>98</v>
      </c>
      <c r="F14279" s="6" t="n">
        <f aca="false">Q!$I$35-Q!$I$39-Q!$I$43</f>
        <v>9.666</v>
      </c>
      <c r="L14279" s="12" t="s">
        <v>1221</v>
      </c>
    </row>
    <row r="14280" customFormat="false" ht="17.15" hidden="false" customHeight="false" outlineLevel="0" collapsed="false">
      <c r="A14280" s="1" t="s">
        <v>1222</v>
      </c>
      <c r="B14280" s="0" t="s">
        <v>98</v>
      </c>
      <c r="F14280" s="6" t="n">
        <f aca="false">CF!F55-CF!F52-CF!F59+Thesis!F99*(1-tax_f)*(1-v_off)-Sens!F14279</f>
        <v>-3.35959137570949</v>
      </c>
      <c r="G14280" s="6" t="n">
        <f aca="false">CF!G55-CF!G52-CF!G59+Thesis!G99*(1-tax_f)</f>
        <v>29.8084555066036</v>
      </c>
      <c r="H14280" s="6" t="n">
        <f aca="false">CF!H55-CF!H52-CF!H59+Thesis!H99*(1-tax_f)</f>
        <v>79.3231801478051</v>
      </c>
      <c r="I14280" s="6" t="n">
        <f aca="false">CF!I55-CF!I52-CF!I59+Thesis!I99*(1-tax_f)</f>
        <v>157.29132812061</v>
      </c>
      <c r="J14280" s="6" t="n">
        <f aca="false">CF!J55-CF!J52-CF!J59+Thesis!J99*(1-tax_f)</f>
        <v>235.537601843622</v>
      </c>
      <c r="K14280" s="6" t="n">
        <f aca="false">CF!K55-CF!K52-CF!K59+Thesis!K99*(1-tax_f)</f>
        <v>273.705067207806</v>
      </c>
      <c r="L14280" s="1" t="s">
        <v>1223</v>
      </c>
    </row>
    <row r="14281" customFormat="false" ht="15" hidden="false" customHeight="false" outlineLevel="0" collapsed="false">
      <c r="A14281" s="1" t="s">
        <v>1224</v>
      </c>
      <c r="B14281" s="0" t="s">
        <v>98</v>
      </c>
      <c r="F14281" s="6" t="n">
        <f aca="false">Sens!F14280*Sens!F14278</f>
        <v>-3.23872235994998</v>
      </c>
      <c r="G14281" s="6" t="n">
        <f aca="false">Sens!G14280*Sens!G14278</f>
        <v>26.3778093733475</v>
      </c>
      <c r="H14281" s="6" t="n">
        <f aca="false">Sens!H14280*Sens!H14278</f>
        <v>63.6427333175632</v>
      </c>
      <c r="I14281" s="6" t="n">
        <f aca="false">Sens!I14280*Sens!I14278</f>
        <v>114.420262717897</v>
      </c>
      <c r="J14281" s="6" t="n">
        <f aca="false">Sens!J14280*Sens!J14278</f>
        <v>155.348786429659</v>
      </c>
      <c r="K14281" s="6" t="n">
        <f aca="false">Sens!K14280*Sens!K14278</f>
        <v>163.674080082686</v>
      </c>
    </row>
    <row r="14282" customFormat="false" ht="17.15" hidden="false" customHeight="false" outlineLevel="0" collapsed="false">
      <c r="A14282" s="1" t="s">
        <v>1225</v>
      </c>
      <c r="B14282" s="0" t="s">
        <v>98</v>
      </c>
      <c r="C14282" s="6" t="n">
        <f aca="false">SUM(Sens!F14281:K14281)</f>
        <v>520.224949561203</v>
      </c>
    </row>
    <row r="14283" customFormat="false" ht="17.15" hidden="false" customHeight="false" outlineLevel="0" collapsed="false">
      <c r="A14283" s="1" t="s">
        <v>1226</v>
      </c>
      <c r="B14283" s="0" t="s">
        <v>98</v>
      </c>
      <c r="C14283" s="6" t="n">
        <f aca="false">PL!K78*(1+g_tv_lo)*(1-tax_f)</f>
        <v>282.212742526001</v>
      </c>
    </row>
    <row r="14284" customFormat="false" ht="17.15" hidden="false" customHeight="false" outlineLevel="0" collapsed="false">
      <c r="A14284" s="1" t="s">
        <v>1227</v>
      </c>
      <c r="B14284" s="0" t="s">
        <v>98</v>
      </c>
      <c r="C14284" s="6" t="n">
        <f aca="false">Sens!$C$14283*(1-g_tv_lo/(wacc+ronic_prem))</f>
        <v>227.380395751441</v>
      </c>
    </row>
    <row r="14285" customFormat="false" ht="17.15" hidden="false" customHeight="false" outlineLevel="0" collapsed="false">
      <c r="A14285" s="1" t="s">
        <v>1228</v>
      </c>
      <c r="B14285" s="0" t="s">
        <v>98</v>
      </c>
      <c r="C14285" s="6" t="n">
        <f aca="false">Sens!$C$14284/(wacc-g_tv_lo)</f>
        <v>2741.617338728</v>
      </c>
    </row>
    <row r="14286" customFormat="false" ht="15" hidden="false" customHeight="false" outlineLevel="0" collapsed="false">
      <c r="A14286" s="1" t="s">
        <v>1229</v>
      </c>
      <c r="B14286" s="0" t="s">
        <v>98</v>
      </c>
      <c r="C14286" s="6" t="n">
        <f aca="false">Sens!$C$14285/(1+wacc)^Sens!K14277</f>
        <v>1561.09249705888</v>
      </c>
    </row>
    <row r="14287" customFormat="false" ht="17.15" hidden="false" customHeight="false" outlineLevel="0" collapsed="false">
      <c r="A14287" s="0" t="s">
        <v>1230</v>
      </c>
      <c r="B14287" s="0" t="s">
        <v>98</v>
      </c>
      <c r="C14287" s="6" t="n">
        <f aca="false">Sens!$C$14282+Sens!$C$14286</f>
        <v>2081.31744662008</v>
      </c>
    </row>
    <row r="14288" customFormat="false" ht="15" hidden="false" customHeight="false" outlineLevel="0" collapsed="false">
      <c r="A14288" s="1" t="s">
        <v>1145</v>
      </c>
      <c r="B14288" s="0" t="s">
        <v>168</v>
      </c>
      <c r="C14288" s="7" t="n">
        <f aca="false">Sens!$C$14286/Sens!$C$14287</f>
        <v>0.750050166347276</v>
      </c>
    </row>
    <row r="14289" customFormat="false" ht="17.15" hidden="false" customHeight="false" outlineLevel="0" collapsed="false">
      <c r="A14289" s="1" t="s">
        <v>1231</v>
      </c>
      <c r="B14289" s="0" t="s">
        <v>98</v>
      </c>
      <c r="C14289" s="6" t="n">
        <f aca="false">Sens!$C$14287+cash_val-debt_val-fl_val+oai_v</f>
        <v>2197.16844662008</v>
      </c>
    </row>
    <row r="14290" customFormat="false" ht="17.15" hidden="false" customHeight="false" outlineLevel="0" collapsed="false">
      <c r="A14290" s="0" t="s">
        <v>1153</v>
      </c>
      <c r="B14290" s="0" t="s">
        <v>75</v>
      </c>
      <c r="C14290" s="5" t="n">
        <f aca="false">Sens!$C$14289/shd_val</f>
        <v>295.080371557895</v>
      </c>
    </row>
    <row r="14291" customFormat="false" ht="15" hidden="false" customHeight="false" outlineLevel="0" collapsed="false">
      <c r="A14291" s="1" t="s">
        <v>1232</v>
      </c>
      <c r="B14291" s="0" t="s">
        <v>75</v>
      </c>
      <c r="C14291" s="8" t="n">
        <f aca="false">div_rem27+CF!G63*roll_div_q/q_per_yr</f>
        <v>3.9795</v>
      </c>
    </row>
    <row r="14292" customFormat="false" ht="17.15" hidden="false" customHeight="false" outlineLevel="0" collapsed="false">
      <c r="A14292" s="0" t="s">
        <v>1233</v>
      </c>
      <c r="B14292" s="0" t="s">
        <v>75</v>
      </c>
      <c r="C14292" s="5" t="n">
        <f aca="false">Sens!$C$14290*(1+wacc)^t_roll-Sens!$C$14291</f>
        <v>324.018801641623</v>
      </c>
    </row>
    <row r="14293" customFormat="false" ht="17.15" hidden="false" customHeight="false" outlineLevel="0" collapsed="false">
      <c r="A14293" s="1" t="s">
        <v>1234</v>
      </c>
      <c r="B14293" s="0" t="s">
        <v>168</v>
      </c>
      <c r="F14293" s="7" t="n">
        <f aca="false">CF!F49/(Seg!F56-Thesis!F77)</f>
        <v>0.0686195668908011</v>
      </c>
      <c r="G14293" s="7" t="n">
        <f aca="false">CF!G49/(Seg!G56-Thesis!G77)</f>
        <v>0.0658333569148391</v>
      </c>
      <c r="H14293" s="7" t="n">
        <f aca="false">CF!H49/(Seg!H56-Thesis!H77)</f>
        <v>0.0643895625218926</v>
      </c>
      <c r="I14293" s="7" t="n">
        <f aca="false">CF!I49/(Seg!I56-Thesis!I77)</f>
        <v>0.0641676618157989</v>
      </c>
      <c r="J14293" s="7" t="n">
        <f aca="false">CF!J49/(Seg!J56-Thesis!J77)</f>
        <v>0.0648858606572163</v>
      </c>
      <c r="K14293" s="7" t="n">
        <f aca="false">CF!K49/(Seg!K56-Thesis!K77)</f>
        <v>0.0661974425163768</v>
      </c>
    </row>
    <row r="14294" customFormat="false" ht="17.15" hidden="false" customHeight="false" outlineLevel="0" collapsed="false">
      <c r="A14294" s="0" t="s">
        <v>1235</v>
      </c>
      <c r="B14294" s="0" t="s">
        <v>98</v>
      </c>
      <c r="F14294" s="6" t="n">
        <f aca="false">Seg!F41*(al_m365+Sens!F14293+sbc_r)</f>
        <v>83.7205619248671</v>
      </c>
      <c r="G14294" s="6" t="n">
        <f aca="false">Seg!G41*(al_m365+Sens!G14293+sbc_r)</f>
        <v>96.1301303332381</v>
      </c>
      <c r="H14294" s="6" t="n">
        <f aca="false">Seg!H41*(al_m365+Sens!H14293+sbc_r)</f>
        <v>108.70354073822</v>
      </c>
      <c r="I14294" s="6" t="n">
        <f aca="false">Seg!I41*(al_m365+Sens!I14293+sbc_r)</f>
        <v>120.260101315626</v>
      </c>
      <c r="J14294" s="6" t="n">
        <f aca="false">Seg!J41*(al_m365+Sens!J14293+sbc_r)</f>
        <v>130.611904548619</v>
      </c>
      <c r="K14294" s="6" t="n">
        <f aca="false">Seg!K41*(al_m365+Sens!K14293+sbc_r)</f>
        <v>140.575094974638</v>
      </c>
      <c r="L14294" s="12" t="s">
        <v>1236</v>
      </c>
    </row>
    <row r="14295" customFormat="false" ht="17.15" hidden="false" customHeight="false" outlineLevel="0" collapsed="false">
      <c r="A14295" s="0" t="s">
        <v>1237</v>
      </c>
      <c r="B14295" s="0" t="s">
        <v>98</v>
      </c>
      <c r="F14295" s="6" t="n">
        <f aca="false">Seg!F42*(al_lic+Sens!F14293+sbc_r)</f>
        <v>32.8577657183496</v>
      </c>
      <c r="G14295" s="6" t="n">
        <f aca="false">Seg!G42*(al_lic+Sens!G14293+sbc_r)</f>
        <v>34.1376266324889</v>
      </c>
      <c r="H14295" s="6" t="n">
        <f aca="false">Seg!H42*(al_lic+Sens!H14293+sbc_r)</f>
        <v>35.3325744664128</v>
      </c>
      <c r="I14295" s="6" t="n">
        <f aca="false">Seg!I42*(al_lic+Sens!I14293+sbc_r)</f>
        <v>36.4244749008727</v>
      </c>
      <c r="J14295" s="6" t="n">
        <f aca="false">Seg!J42*(al_lic+Sens!J14293+sbc_r)</f>
        <v>37.3879406068527</v>
      </c>
      <c r="K14295" s="6" t="n">
        <f aca="false">Seg!K42*(al_lic+Sens!K14293+sbc_r)</f>
        <v>38.1943876078259</v>
      </c>
    </row>
    <row r="14296" customFormat="false" ht="17.15" hidden="false" customHeight="false" outlineLevel="0" collapsed="false">
      <c r="A14296" s="0" t="s">
        <v>1238</v>
      </c>
      <c r="B14296" s="0" t="s">
        <v>98</v>
      </c>
      <c r="F14296" s="6" t="n">
        <f aca="false">Seg!F44*(al_ind+Sens!F14293+sbc_r)</f>
        <v>9.06041701092022</v>
      </c>
      <c r="G14296" s="6" t="n">
        <f aca="false">Seg!G44*(al_ind+Sens!G14293+sbc_r)</f>
        <v>9.83619082712885</v>
      </c>
      <c r="H14296" s="6" t="n">
        <f aca="false">Seg!H44*(al_ind+Sens!H14293+sbc_r)</f>
        <v>10.6570160105312</v>
      </c>
      <c r="I14296" s="6" t="n">
        <f aca="false">Seg!I44*(al_ind+Sens!I14293+sbc_r)</f>
        <v>11.5198571637125</v>
      </c>
      <c r="J14296" s="6" t="n">
        <f aca="false">Seg!J44*(al_ind+Sens!J14293+sbc_r)</f>
        <v>12.4150086539206</v>
      </c>
      <c r="K14296" s="6" t="n">
        <f aca="false">Seg!K44*(al_ind+Sens!K14293+sbc_r)</f>
        <v>13.3273714589988</v>
      </c>
    </row>
    <row r="14297" customFormat="false" ht="17.15" hidden="false" customHeight="false" outlineLevel="0" collapsed="false">
      <c r="A14297" s="0" t="s">
        <v>1239</v>
      </c>
      <c r="B14297" s="0" t="s">
        <v>98</v>
      </c>
      <c r="F14297" s="6" t="n">
        <f aca="false">Seg!F46*(al_fro+Sens!F14293+sbc_r)</f>
        <v>3.55402950182022</v>
      </c>
      <c r="G14297" s="6" t="n">
        <f aca="false">Seg!G46*(al_fro+Sens!G14293+sbc_r)</f>
        <v>3.76361488926481</v>
      </c>
      <c r="H14297" s="6" t="n">
        <f aca="false">Seg!H46*(al_fro+Sens!H14293+sbc_r)</f>
        <v>4.00220968879544</v>
      </c>
      <c r="I14297" s="6" t="n">
        <f aca="false">Seg!I46*(al_fro+Sens!I14293+sbc_r)</f>
        <v>4.2725765173852</v>
      </c>
      <c r="J14297" s="6" t="n">
        <f aca="false">Seg!J46*(al_fro+Sens!J14293+sbc_r)</f>
        <v>4.57586224390293</v>
      </c>
      <c r="K14297" s="6" t="n">
        <f aca="false">Seg!K46*(al_fro+Sens!K14293+sbc_r)</f>
        <v>4.91213639633217</v>
      </c>
    </row>
    <row r="14298" customFormat="false" ht="17.15" hidden="false" customHeight="false" outlineLevel="0" collapsed="false">
      <c r="A14298" s="0" t="s">
        <v>1240</v>
      </c>
      <c r="B14298" s="0" t="s">
        <v>98</v>
      </c>
      <c r="F14298" s="6" t="n">
        <f aca="false">Seg!F49*(al_srch+Sens!F14293+sbc_r)</f>
        <v>11.1890902994147</v>
      </c>
      <c r="G14298" s="6" t="n">
        <f aca="false">Seg!G49*(al_srch+Sens!G14293+sbc_r)</f>
        <v>12.261738891803</v>
      </c>
      <c r="H14298" s="6" t="n">
        <f aca="false">Seg!H49*(al_srch+Sens!H14293+sbc_r)</f>
        <v>13.3794863429193</v>
      </c>
      <c r="I14298" s="6" t="n">
        <f aca="false">Seg!I49*(al_srch+Sens!I14293+sbc_r)</f>
        <v>14.5317114787784</v>
      </c>
      <c r="J14298" s="6" t="n">
        <f aca="false">Seg!J49*(al_srch+Sens!J14293+sbc_r)</f>
        <v>15.6984365817724</v>
      </c>
      <c r="K14298" s="6" t="n">
        <f aca="false">Seg!K49*(al_srch+Sens!K14293+sbc_r)</f>
        <v>16.8520942258664</v>
      </c>
    </row>
    <row r="14299" customFormat="false" ht="17.15" hidden="false" customHeight="false" outlineLevel="0" collapsed="false">
      <c r="A14299" s="0" t="s">
        <v>1241</v>
      </c>
      <c r="B14299" s="0" t="s">
        <v>98</v>
      </c>
      <c r="F14299" s="6" t="n">
        <f aca="false">Thesis!F83-Thesis!F84+Thesis!F99</f>
        <v>42.5431090240393</v>
      </c>
      <c r="G14299" s="6" t="n">
        <f aca="false">Thesis!G83-Thesis!G84+Thesis!G99</f>
        <v>81.4922561130847</v>
      </c>
      <c r="H14299" s="6" t="n">
        <f aca="false">Thesis!H83-Thesis!H84+Thesis!H99</f>
        <v>123.278266211349</v>
      </c>
      <c r="I14299" s="6" t="n">
        <f aca="false">Thesis!I83-Thesis!I84+Thesis!I99</f>
        <v>160.60594185192</v>
      </c>
      <c r="J14299" s="6" t="n">
        <f aca="false">Thesis!J83-Thesis!J84+Thesis!J99</f>
        <v>186.818741832633</v>
      </c>
      <c r="K14299" s="6" t="n">
        <f aca="false">Thesis!K83-Thesis!K84+Thesis!K99</f>
        <v>202.776422159652</v>
      </c>
    </row>
    <row r="14300" customFormat="false" ht="17.15" hidden="false" customHeight="false" outlineLevel="0" collapsed="false">
      <c r="A14300" s="0" t="s">
        <v>1242</v>
      </c>
      <c r="B14300" s="0" t="s">
        <v>98</v>
      </c>
      <c r="F14300" s="6" t="n">
        <f aca="false">PL!F71+Thesis!F99+Thesis!F95+Sens!F14293*(Seg!F48-Thesis!F77)+sbc_r*Seg!F48</f>
        <v>238.090727427296</v>
      </c>
      <c r="G14300" s="6" t="n">
        <f aca="false">PL!G71+Thesis!G99+Thesis!G95+Sens!G14293*(Seg!G48-Thesis!G77)+sbc_r*Seg!G48</f>
        <v>299.90836088563</v>
      </c>
      <c r="H14300" s="6" t="n">
        <f aca="false">PL!H71+Thesis!H99+Thesis!H95+Sens!H14293*(Seg!H48-Thesis!H77)+sbc_r*Seg!H48</f>
        <v>369.457709442386</v>
      </c>
      <c r="I14300" s="6" t="n">
        <f aca="false">PL!I71+Thesis!I99+Thesis!I95+Sens!I14293*(Seg!I48-Thesis!I77)+sbc_r*Seg!I48</f>
        <v>433.16585128823</v>
      </c>
      <c r="J14300" s="6" t="n">
        <f aca="false">PL!J71+Thesis!J99+Thesis!J95+Sens!J14293*(Seg!J48-Thesis!J77)+sbc_r*Seg!J48</f>
        <v>483.301303131191</v>
      </c>
      <c r="K14300" s="6" t="n">
        <f aca="false">PL!K71+Thesis!K99+Thesis!K95+Sens!K14293*(Seg!K48-Thesis!K77)+sbc_r*Seg!K48</f>
        <v>520.789002205336</v>
      </c>
    </row>
    <row r="14301" customFormat="false" ht="17.15" hidden="false" customHeight="false" outlineLevel="0" collapsed="false">
      <c r="A14301" s="0" t="s">
        <v>1243</v>
      </c>
      <c r="B14301" s="0" t="s">
        <v>98</v>
      </c>
      <c r="F14301" s="6" t="n">
        <f aca="false">Sens!F14300-Sens!F14294-Sens!F14295-Sens!F14296-Sens!F14297-Sens!F14299</f>
        <v>66.3548442472996</v>
      </c>
      <c r="G14301" s="6" t="n">
        <f aca="false">Sens!G14300-Sens!G14294-Sens!G14295-Sens!G14296-Sens!G14297-Sens!G14299</f>
        <v>74.548542090425</v>
      </c>
      <c r="H14301" s="6" t="n">
        <f aca="false">Sens!H14300-Sens!H14294-Sens!H14295-Sens!H14296-Sens!H14297-Sens!H14299</f>
        <v>87.4841023270775</v>
      </c>
      <c r="I14301" s="6" t="n">
        <f aca="false">Sens!I14300-Sens!I14294-Sens!I14295-Sens!I14296-Sens!I14297-Sens!I14299</f>
        <v>100.082899538713</v>
      </c>
      <c r="J14301" s="6" t="n">
        <f aca="false">Sens!J14300-Sens!J14294-Sens!J14295-Sens!J14296-Sens!J14297-Sens!J14299</f>
        <v>111.491845245262</v>
      </c>
      <c r="K14301" s="6" t="n">
        <f aca="false">Sens!K14300-Sens!K14294-Sens!K14295-Sens!K14296-Sens!K14297-Sens!K14299</f>
        <v>121.003589607889</v>
      </c>
    </row>
    <row r="14302" customFormat="false" ht="17.15" hidden="false" customHeight="false" outlineLevel="0" collapsed="false">
      <c r="A14302" s="0" t="s">
        <v>1244</v>
      </c>
      <c r="B14302" s="0" t="s">
        <v>98</v>
      </c>
      <c r="F14302" s="6" t="n">
        <f aca="false">PL!F73+Sens!F14293*Seg!F55+sbc_r*Seg!F55</f>
        <v>26.6336365855879</v>
      </c>
      <c r="G14302" s="6" t="n">
        <f aca="false">PL!G73+Sens!G14293*Seg!G55+sbc_r*Seg!G55</f>
        <v>26.4720859498625</v>
      </c>
      <c r="H14302" s="6" t="n">
        <f aca="false">PL!H73+Sens!H14293*Seg!H55+sbc_r*Seg!H55</f>
        <v>27.346793021284</v>
      </c>
      <c r="I14302" s="6" t="n">
        <f aca="false">PL!I73+Sens!I14293*Seg!I55+sbc_r*Seg!I55</f>
        <v>28.4574657863154</v>
      </c>
      <c r="J14302" s="6" t="n">
        <f aca="false">PL!J73+Sens!J14293*Seg!J55+sbc_r*Seg!J55</f>
        <v>29.7689890546037</v>
      </c>
      <c r="K14302" s="6" t="n">
        <f aca="false">PL!K73+Sens!K14293*Seg!K55+sbc_r*Seg!K55</f>
        <v>31.2443947307494</v>
      </c>
    </row>
    <row r="14303" customFormat="false" ht="17.15" hidden="false" customHeight="false" outlineLevel="0" collapsed="false">
      <c r="A14303" s="0" t="s">
        <v>1245</v>
      </c>
      <c r="B14303" s="0" t="s">
        <v>98</v>
      </c>
      <c r="F14303" s="6" t="n">
        <f aca="false">(Sens!F14302-Sens!F14298)*Seg!F51/(Seg!F51+Seg!F53)</f>
        <v>8.72285608232241</v>
      </c>
      <c r="G14303" s="6" t="n">
        <f aca="false">(Sens!G14302-Sens!G14298)*Seg!G51/(Seg!G51+Seg!G53)</f>
        <v>7.88786455444355</v>
      </c>
      <c r="H14303" s="6" t="n">
        <f aca="false">(Sens!H14302-Sens!H14298)*Seg!H51/(Seg!H51+Seg!H53)</f>
        <v>7.65195986819674</v>
      </c>
      <c r="I14303" s="6" t="n">
        <f aca="false">(Sens!I14302-Sens!I14298)*Seg!I51/(Seg!I51+Seg!I53)</f>
        <v>7.56260440676676</v>
      </c>
      <c r="J14303" s="6" t="n">
        <f aca="false">(Sens!J14302-Sens!J14298)*Seg!J51/(Seg!J51+Seg!J53)</f>
        <v>7.60790100885945</v>
      </c>
      <c r="K14303" s="6" t="n">
        <f aca="false">(Sens!K14302-Sens!K14298)*Seg!K51/(Seg!K51+Seg!K53)</f>
        <v>7.78186910160995</v>
      </c>
    </row>
    <row r="14304" customFormat="false" ht="17.15" hidden="false" customHeight="false" outlineLevel="0" collapsed="false">
      <c r="A14304" s="0" t="s">
        <v>1246</v>
      </c>
      <c r="B14304" s="0" t="s">
        <v>98</v>
      </c>
      <c r="F14304" s="6" t="n">
        <f aca="false">Sens!F14302-Sens!F14298-Sens!F14303</f>
        <v>6.72169020385088</v>
      </c>
      <c r="G14304" s="6" t="n">
        <f aca="false">Sens!G14302-Sens!G14298-Sens!G14303</f>
        <v>6.322482503616</v>
      </c>
      <c r="H14304" s="6" t="n">
        <f aca="false">Sens!H14302-Sens!H14298-Sens!H14303</f>
        <v>6.315346810168</v>
      </c>
      <c r="I14304" s="6" t="n">
        <f aca="false">Sens!I14302-Sens!I14298-Sens!I14303</f>
        <v>6.36314990077033</v>
      </c>
      <c r="J14304" s="6" t="n">
        <f aca="false">Sens!J14302-Sens!J14298-Sens!J14303</f>
        <v>6.46265146397189</v>
      </c>
      <c r="K14304" s="6" t="n">
        <f aca="false">Sens!K14302-Sens!K14298-Sens!K14303</f>
        <v>6.61043140327304</v>
      </c>
    </row>
    <row r="14305" customFormat="false" ht="17.15" hidden="false" customHeight="false" outlineLevel="0" collapsed="false">
      <c r="A14305" s="0" t="s">
        <v>1247</v>
      </c>
      <c r="B14305" s="0" t="s">
        <v>98</v>
      </c>
      <c r="F14305" s="6" t="n">
        <f aca="false">Sens!F14299-tax_f*(Sens!F14299-Thesis!F95)-Thesis!F92</f>
        <v>-127.503553927218</v>
      </c>
      <c r="G14305" s="6" t="n">
        <f aca="false">Sens!G14299-tax_f*(Sens!G14299-Thesis!G95)-Thesis!G92</f>
        <v>-114.603772628121</v>
      </c>
      <c r="H14305" s="6" t="n">
        <f aca="false">Sens!H14299-tax_f*(Sens!H14299-Thesis!H95)-Thesis!H92</f>
        <v>-80.3633729631438</v>
      </c>
      <c r="I14305" s="6" t="n">
        <f aca="false">Sens!I14299-tax_f*(Sens!I14299-Thesis!I95)-Thesis!I92</f>
        <v>-17.2838782011649</v>
      </c>
      <c r="J14305" s="6" t="n">
        <f aca="false">Sens!J14299-tax_f*(Sens!J14299-Thesis!J95)-Thesis!J92</f>
        <v>46.9281968800854</v>
      </c>
      <c r="K14305" s="6" t="n">
        <f aca="false">Sens!K14299-tax_f*(Sens!K14299-Thesis!K95)-Thesis!K92</f>
        <v>71.8608185731755</v>
      </c>
    </row>
    <row r="14306" customFormat="false" ht="17.15" hidden="false" customHeight="false" outlineLevel="0" collapsed="false">
      <c r="A14306" s="0" t="s">
        <v>1248</v>
      </c>
      <c r="B14306" s="0" t="s">
        <v>98</v>
      </c>
      <c r="G14306" s="6" t="n">
        <f aca="false">Sens!G14305/(1+wacc)^(Sens!G14276-Sens!F14277)</f>
        <v>-109.124845494465</v>
      </c>
      <c r="H14306" s="6" t="n">
        <f aca="false">Sens!H14305/(1+wacc)^(Sens!H14276-Sens!F14277)</f>
        <v>-69.3796874071025</v>
      </c>
      <c r="I14306" s="6" t="n">
        <f aca="false">Sens!I14305/(1+wacc)^(Sens!I14276-Sens!F14277)</f>
        <v>-13.5289731380471</v>
      </c>
      <c r="J14306" s="6" t="n">
        <f aca="false">Sens!J14305/(1+wacc)^(Sens!J14276-Sens!F14277)</f>
        <v>33.3048099587126</v>
      </c>
      <c r="K14306" s="6" t="n">
        <f aca="false">Sens!K14305/(1+wacc)^(Sens!K14276-Sens!F14277)</f>
        <v>46.2396679904913</v>
      </c>
      <c r="L14306" s="1" t="s">
        <v>1249</v>
      </c>
    </row>
    <row r="14307" customFormat="false" ht="17.15" hidden="false" customHeight="false" outlineLevel="0" collapsed="false">
      <c r="A14307" s="0" t="s">
        <v>1250</v>
      </c>
      <c r="B14307" s="0" t="s">
        <v>98</v>
      </c>
      <c r="C14307" s="6" t="n">
        <f aca="false">(Sens!K14299-Thesis!K95)*(1-tax_f)*(1+g_tv_lo)*(1-g_tv_lo/(wacc+ronic_prem))/(wacc-g_tv_lo)/(1+wacc)^(Sens!K14277-Sens!F14277)</f>
        <v>290.272244765612</v>
      </c>
    </row>
    <row r="14308" customFormat="false" ht="17.15" hidden="false" customHeight="false" outlineLevel="0" collapsed="false">
      <c r="A14308" s="1" t="s">
        <v>1251</v>
      </c>
      <c r="B14308" s="0" t="s">
        <v>98</v>
      </c>
      <c r="C14308" s="6" t="n">
        <f aca="false">(SUM(Sens!G14306:K14306)+Sens!$C$14307)*(1+wacc)^(t_roll-Sens!F14277)</f>
        <v>183.652378314003</v>
      </c>
      <c r="L14308" s="12" t="s">
        <v>1252</v>
      </c>
    </row>
    <row r="14309" customFormat="false" ht="17.15" hidden="false" customHeight="false" outlineLevel="0" collapsed="false">
      <c r="A14309" s="1" t="s">
        <v>1253</v>
      </c>
      <c r="B14309" s="0" t="s">
        <v>98</v>
      </c>
      <c r="C14309" s="6" t="n">
        <f aca="false">(w_ntm28*Thesis!G83+(1-w_ntm28)*Thesis!H83)*m_ai</f>
        <v>463.789109510335</v>
      </c>
    </row>
    <row r="14310" customFormat="false" ht="17.15" hidden="false" customHeight="false" outlineLevel="0" collapsed="false">
      <c r="A14310" s="1" t="s">
        <v>1254</v>
      </c>
      <c r="B14310" s="0" t="s">
        <v>98</v>
      </c>
      <c r="C14310" s="6" t="n">
        <f aca="false">(w_ntm28*Sens!G14301+(1-w_ntm28)*Sens!H14301)*m_cloud</f>
        <v>1089.03436702245</v>
      </c>
    </row>
    <row r="14311" customFormat="false" ht="17.15" hidden="false" customHeight="false" outlineLevel="0" collapsed="false">
      <c r="A14311" s="1" t="s">
        <v>1255</v>
      </c>
      <c r="B14311" s="0" t="s">
        <v>98</v>
      </c>
      <c r="C14311" s="6" t="n">
        <f aca="false">(w_ntm28*Sens!G14294+(1-w_ntm28)*Sens!H14294)*m_sw</f>
        <v>1082.84962646159</v>
      </c>
    </row>
    <row r="14312" customFormat="false" ht="17.15" hidden="false" customHeight="false" outlineLevel="0" collapsed="false">
      <c r="A14312" s="1" t="s">
        <v>1256</v>
      </c>
      <c r="B14312" s="0" t="s">
        <v>98</v>
      </c>
      <c r="C14312" s="6" t="n">
        <f aca="false">(w_ntm28*Sens!G14295+(1-w_ntm28)*Sens!H14295)*m_sw</f>
        <v>372.929250898731</v>
      </c>
    </row>
    <row r="14313" customFormat="false" ht="17.15" hidden="false" customHeight="false" outlineLevel="0" collapsed="false">
      <c r="A14313" s="1" t="s">
        <v>1257</v>
      </c>
      <c r="B14313" s="0" t="s">
        <v>98</v>
      </c>
      <c r="C14313" s="6" t="n">
        <f aca="false">(w_ntm28*Sens!G14296+(1-w_ntm28)*Sens!H14296)*m_sw</f>
        <v>109.1453525431</v>
      </c>
    </row>
    <row r="14314" customFormat="false" ht="17.15" hidden="false" customHeight="false" outlineLevel="0" collapsed="false">
      <c r="A14314" s="1" t="s">
        <v>1258</v>
      </c>
      <c r="B14314" s="0" t="s">
        <v>98</v>
      </c>
      <c r="C14314" s="6" t="n">
        <f aca="false">(w_ntm28*Sens!G14297+(1-w_ntm28)*Sens!H14297)*m_sw</f>
        <v>41.4942157634893</v>
      </c>
    </row>
    <row r="14315" customFormat="false" ht="17.15" hidden="false" customHeight="false" outlineLevel="0" collapsed="false">
      <c r="A14315" s="1" t="s">
        <v>1259</v>
      </c>
      <c r="B14315" s="0" t="s">
        <v>98</v>
      </c>
      <c r="C14315" s="6" t="n">
        <f aca="false">(w_ntm28*Sens!G14298+(1-w_ntm28)*Sens!H14298)*m_ads</f>
        <v>115.052171478463</v>
      </c>
    </row>
    <row r="14316" customFormat="false" ht="17.15" hidden="false" customHeight="false" outlineLevel="0" collapsed="false">
      <c r="A14316" s="1" t="s">
        <v>1260</v>
      </c>
      <c r="B14316" s="0" t="s">
        <v>98</v>
      </c>
      <c r="C14316" s="6" t="n">
        <f aca="false">(w_ntm28*Sens!G14303+(1-w_ntm28)*Sens!H14303)*m_game</f>
        <v>98.6441755076202</v>
      </c>
    </row>
    <row r="14317" customFormat="false" ht="17.15" hidden="false" customHeight="false" outlineLevel="0" collapsed="false">
      <c r="A14317" s="1" t="s">
        <v>1261</v>
      </c>
      <c r="B14317" s="0" t="s">
        <v>98</v>
      </c>
      <c r="C14317" s="6" t="n">
        <f aca="false">(w_ntm28*Sens!G14304+(1-w_ntm28)*Sens!H14304)*m_pc</f>
        <v>91.4523754763561</v>
      </c>
    </row>
    <row r="14318" customFormat="false" ht="17.15" hidden="false" customHeight="false" outlineLevel="0" collapsed="false">
      <c r="A14318" s="1" t="s">
        <v>1262</v>
      </c>
      <c r="B14318" s="0" t="s">
        <v>98</v>
      </c>
      <c r="C14318" s="6" t="n">
        <f aca="false">Sens!$C$14308+Sens!$C$14310+Sens!$C$14311+Sens!$C$14312+Sens!$C$14313+Sens!$C$14314+Sens!$C$14315+Sens!$C$14316+Sens!$C$14317</f>
        <v>3184.25391346581</v>
      </c>
    </row>
    <row r="14319" customFormat="false" ht="17.15" hidden="false" customHeight="false" outlineLevel="0" collapsed="false">
      <c r="A14319" s="1" t="s">
        <v>1263</v>
      </c>
      <c r="B14319" s="0" t="s">
        <v>98</v>
      </c>
      <c r="C14319" s="6" t="n">
        <f aca="false">(Sens!G14280-Sens!G14305)*t_stub</f>
        <v>47.8736427515113</v>
      </c>
      <c r="L14319" s="1" t="s">
        <v>1264</v>
      </c>
    </row>
    <row r="14320" customFormat="false" ht="17.15" hidden="false" customHeight="false" outlineLevel="0" collapsed="false">
      <c r="A14320" s="1" t="s">
        <v>1173</v>
      </c>
      <c r="B14320" s="0" t="s">
        <v>98</v>
      </c>
      <c r="C14320" s="6" t="n">
        <f aca="false">CF!F71+oai_v-CF!F60+Sens!$C$14319</f>
        <v>162.101912751511</v>
      </c>
      <c r="L14320" s="1" t="s">
        <v>1265</v>
      </c>
    </row>
    <row r="14321" customFormat="false" ht="17.15" hidden="false" customHeight="false" outlineLevel="0" collapsed="false">
      <c r="A14321" s="1" t="s">
        <v>1266</v>
      </c>
      <c r="B14321" s="0" t="s">
        <v>75</v>
      </c>
      <c r="C14321" s="5" t="n">
        <f aca="false">(Sens!$C$14318+Sens!$C$14320)/(CF!F73+dil_gap)-CF!G63*roll_div_q/q_per_yr</f>
        <v>445.408597349073</v>
      </c>
      <c r="L14321" s="1" t="s">
        <v>1267</v>
      </c>
    </row>
    <row r="14322" customFormat="false" ht="17.15" hidden="false" customHeight="false" outlineLevel="0" collapsed="false">
      <c r="A14322" s="1" t="s">
        <v>1268</v>
      </c>
      <c r="B14322" s="0" t="s">
        <v>75</v>
      </c>
      <c r="C14322" s="5" t="n">
        <f aca="false">w_dcf*Sens!$C$14292+(1-w_dcf)*Sens!$C$14321</f>
        <v>384.713699495348</v>
      </c>
    </row>
    <row r="14323" customFormat="false" ht="17.15" hidden="false" customHeight="false" outlineLevel="0" collapsed="false">
      <c r="A14323" s="3" t="s">
        <v>1968</v>
      </c>
    </row>
    <row r="14324" customFormat="false" ht="15" hidden="false" customHeight="false" outlineLevel="0" collapsed="false">
      <c r="A14324" s="4" t="s">
        <v>43</v>
      </c>
      <c r="B14324" s="4" t="s">
        <v>65</v>
      </c>
      <c r="C14324" s="23" t="s">
        <v>942</v>
      </c>
      <c r="D14324" s="23" t="s">
        <v>943</v>
      </c>
      <c r="E14324" s="23" t="s">
        <v>944</v>
      </c>
      <c r="F14324" s="23" t="s">
        <v>945</v>
      </c>
      <c r="G14324" s="23" t="s">
        <v>946</v>
      </c>
      <c r="H14324" s="23" t="s">
        <v>947</v>
      </c>
      <c r="I14324" s="23" t="s">
        <v>948</v>
      </c>
      <c r="J14324" s="23" t="s">
        <v>949</v>
      </c>
      <c r="K14324" s="23" t="s">
        <v>950</v>
      </c>
      <c r="L14324" s="4" t="s">
        <v>47</v>
      </c>
    </row>
    <row r="14325" customFormat="false" ht="17.15" hidden="false" customHeight="false" outlineLevel="0" collapsed="false">
      <c r="A14325" s="1" t="s">
        <v>1216</v>
      </c>
      <c r="B14325" s="1" t="s">
        <v>279</v>
      </c>
      <c r="F14325" s="8" t="n">
        <f aca="false">(1-v_off)*mid_yr</f>
        <v>0.373972602739726</v>
      </c>
      <c r="G14325" s="8" t="n">
        <f aca="false">Thesis!G110-base_fy-mid_yr-v_off</f>
        <v>1.24794520547945</v>
      </c>
      <c r="H14325" s="8" t="n">
        <f aca="false">Thesis!H110-base_fy-mid_yr-v_off</f>
        <v>2.24794520547945</v>
      </c>
      <c r="I14325" s="8" t="n">
        <f aca="false">Thesis!I110-base_fy-mid_yr-v_off</f>
        <v>3.24794520547945</v>
      </c>
      <c r="J14325" s="8" t="n">
        <f aca="false">Thesis!J110-base_fy-mid_yr-v_off</f>
        <v>4.24794520547945</v>
      </c>
      <c r="K14325" s="8" t="n">
        <f aca="false">Thesis!K110-base_fy-mid_yr-v_off</f>
        <v>5.24794520547945</v>
      </c>
      <c r="L14325" s="12" t="s">
        <v>1217</v>
      </c>
    </row>
    <row r="14326" customFormat="false" ht="15" hidden="false" customHeight="false" outlineLevel="0" collapsed="false">
      <c r="A14326" s="1" t="s">
        <v>1218</v>
      </c>
      <c r="B14326" s="1" t="s">
        <v>279</v>
      </c>
      <c r="F14326" s="8" t="n">
        <f aca="false">Thesis!F110-base_fy-v_off</f>
        <v>0.747945205479452</v>
      </c>
      <c r="G14326" s="8" t="n">
        <f aca="false">Thesis!G110-base_fy-v_off</f>
        <v>1.74794520547945</v>
      </c>
      <c r="H14326" s="8" t="n">
        <f aca="false">Thesis!H110-base_fy-v_off</f>
        <v>2.74794520547945</v>
      </c>
      <c r="I14326" s="8" t="n">
        <f aca="false">Thesis!I110-base_fy-v_off</f>
        <v>3.74794520547945</v>
      </c>
      <c r="J14326" s="8" t="n">
        <f aca="false">Thesis!J110-base_fy-v_off</f>
        <v>4.74794520547945</v>
      </c>
      <c r="K14326" s="8" t="n">
        <f aca="false">Thesis!K110-base_fy-v_off</f>
        <v>5.74794520547945</v>
      </c>
    </row>
    <row r="14327" customFormat="false" ht="15" hidden="false" customHeight="false" outlineLevel="0" collapsed="false">
      <c r="A14327" s="1" t="s">
        <v>1219</v>
      </c>
      <c r="B14327" s="0" t="s">
        <v>229</v>
      </c>
      <c r="F14327" s="15" t="n">
        <f aca="false">1/(1+wacc)^Sens!F14325</f>
        <v>0.964022703286649</v>
      </c>
      <c r="G14327" s="15" t="n">
        <f aca="false">1/(1+wacc)^Sens!G14325</f>
        <v>0.884910302296739</v>
      </c>
      <c r="H14327" s="15" t="n">
        <f aca="false">1/(1+wacc)^Sens!H14325</f>
        <v>0.802322009770358</v>
      </c>
      <c r="I14327" s="15" t="n">
        <f aca="false">1/(1+wacc)^Sens!I14325</f>
        <v>0.727441646561469</v>
      </c>
      <c r="J14327" s="15" t="n">
        <f aca="false">1/(1+wacc)^Sens!J14325</f>
        <v>0.659549834988973</v>
      </c>
      <c r="K14327" s="15" t="n">
        <f aca="false">1/(1+wacc)^Sens!K14325</f>
        <v>0.597994336576966</v>
      </c>
    </row>
    <row r="14328" customFormat="false" ht="17.15" hidden="false" customHeight="false" outlineLevel="0" collapsed="false">
      <c r="A14328" s="1" t="s">
        <v>1220</v>
      </c>
      <c r="B14328" s="0" t="s">
        <v>98</v>
      </c>
      <c r="F14328" s="6" t="n">
        <f aca="false">Q!$I$35-Q!$I$39-Q!$I$43</f>
        <v>9.666</v>
      </c>
      <c r="L14328" s="12" t="s">
        <v>1221</v>
      </c>
    </row>
    <row r="14329" customFormat="false" ht="17.15" hidden="false" customHeight="false" outlineLevel="0" collapsed="false">
      <c r="A14329" s="1" t="s">
        <v>1222</v>
      </c>
      <c r="B14329" s="0" t="s">
        <v>98</v>
      </c>
      <c r="F14329" s="6" t="n">
        <f aca="false">CF!F87-CF!F84-CF!F91+Thesis!F151*(1-tax_f)*(1-v_off)-Sens!F14328</f>
        <v>-6.10282680452259</v>
      </c>
      <c r="G14329" s="6" t="n">
        <f aca="false">CF!G87-CF!G84-CF!G91+Thesis!G151*(1-tax_f)</f>
        <v>19.0084129023516</v>
      </c>
      <c r="H14329" s="6" t="n">
        <f aca="false">CF!H87-CF!H84-CF!H91+Thesis!H151*(1-tax_f)</f>
        <v>55.9229468383331</v>
      </c>
      <c r="I14329" s="6" t="n">
        <f aca="false">CF!I87-CF!I84-CF!I91+Thesis!I151*(1-tax_f)</f>
        <v>127.901908576191</v>
      </c>
      <c r="J14329" s="6" t="n">
        <f aca="false">CF!J87-CF!J84-CF!J91+Thesis!J151*(1-tax_f)</f>
        <v>201.958443859638</v>
      </c>
      <c r="K14329" s="6" t="n">
        <f aca="false">CF!K87-CF!K84-CF!K91+Thesis!K151*(1-tax_f)</f>
        <v>237.542519059905</v>
      </c>
      <c r="L14329" s="1" t="s">
        <v>1223</v>
      </c>
    </row>
    <row r="14330" customFormat="false" ht="15" hidden="false" customHeight="false" outlineLevel="0" collapsed="false">
      <c r="A14330" s="1" t="s">
        <v>1224</v>
      </c>
      <c r="B14330" s="0" t="s">
        <v>98</v>
      </c>
      <c r="F14330" s="6" t="n">
        <f aca="false">Sens!F14329*Sens!F14327</f>
        <v>-5.88326359378609</v>
      </c>
      <c r="G14330" s="6" t="n">
        <f aca="false">Sens!G14329*Sens!G14327</f>
        <v>16.8207404076012</v>
      </c>
      <c r="H14330" s="6" t="n">
        <f aca="false">Sens!H14329*Sens!H14327</f>
        <v>44.8682110996123</v>
      </c>
      <c r="I14330" s="6" t="n">
        <f aca="false">Sens!I14329*Sens!I14327</f>
        <v>93.0411749730187</v>
      </c>
      <c r="J14330" s="6" t="n">
        <f aca="false">Sens!J14329*Sens!J14327</f>
        <v>133.201658322254</v>
      </c>
      <c r="K14330" s="6" t="n">
        <f aca="false">Sens!K14329*Sens!K14327</f>
        <v>142.049081094049</v>
      </c>
    </row>
    <row r="14331" customFormat="false" ht="17.15" hidden="false" customHeight="false" outlineLevel="0" collapsed="false">
      <c r="A14331" s="1" t="s">
        <v>1225</v>
      </c>
      <c r="B14331" s="0" t="s">
        <v>98</v>
      </c>
      <c r="C14331" s="6" t="n">
        <f aca="false">SUM(Sens!F14330:K14330)</f>
        <v>424.097602302749</v>
      </c>
    </row>
    <row r="14332" customFormat="false" ht="17.15" hidden="false" customHeight="false" outlineLevel="0" collapsed="false">
      <c r="A14332" s="1" t="s">
        <v>1226</v>
      </c>
      <c r="B14332" s="0" t="s">
        <v>98</v>
      </c>
      <c r="C14332" s="6" t="n">
        <f aca="false">PL!K117*(1+g_tv_lo)*(1-tax_f)</f>
        <v>244.699888201898</v>
      </c>
    </row>
    <row r="14333" customFormat="false" ht="17.15" hidden="false" customHeight="false" outlineLevel="0" collapsed="false">
      <c r="A14333" s="1" t="s">
        <v>1227</v>
      </c>
      <c r="B14333" s="0" t="s">
        <v>98</v>
      </c>
      <c r="C14333" s="6" t="n">
        <f aca="false">Sens!$C$14332*(1-g_tv_lo/(wacc+ronic_prem))</f>
        <v>197.156077793173</v>
      </c>
    </row>
    <row r="14334" customFormat="false" ht="17.15" hidden="false" customHeight="false" outlineLevel="0" collapsed="false">
      <c r="A14334" s="1" t="s">
        <v>1228</v>
      </c>
      <c r="B14334" s="0" t="s">
        <v>98</v>
      </c>
      <c r="C14334" s="6" t="n">
        <f aca="false">Sens!$C$14333/(wacc-g_tv_lo)</f>
        <v>2377.19052043626</v>
      </c>
    </row>
    <row r="14335" customFormat="false" ht="15" hidden="false" customHeight="false" outlineLevel="0" collapsed="false">
      <c r="A14335" s="1" t="s">
        <v>1229</v>
      </c>
      <c r="B14335" s="0" t="s">
        <v>98</v>
      </c>
      <c r="C14335" s="6" t="n">
        <f aca="false">Sens!$C$14334/(1+wacc)^Sens!K14326</f>
        <v>1353.58579518405</v>
      </c>
    </row>
    <row r="14336" customFormat="false" ht="17.15" hidden="false" customHeight="false" outlineLevel="0" collapsed="false">
      <c r="A14336" s="0" t="s">
        <v>1230</v>
      </c>
      <c r="B14336" s="0" t="s">
        <v>98</v>
      </c>
      <c r="C14336" s="6" t="n">
        <f aca="false">Sens!$C$14331+Sens!$C$14335</f>
        <v>1777.6833974868</v>
      </c>
    </row>
    <row r="14337" customFormat="false" ht="15" hidden="false" customHeight="false" outlineLevel="0" collapsed="false">
      <c r="A14337" s="1" t="s">
        <v>1145</v>
      </c>
      <c r="B14337" s="0" t="s">
        <v>168</v>
      </c>
      <c r="C14337" s="7" t="n">
        <f aca="false">Sens!$C$14335/Sens!$C$14336</f>
        <v>0.761432433411756</v>
      </c>
    </row>
    <row r="14338" customFormat="false" ht="17.15" hidden="false" customHeight="false" outlineLevel="0" collapsed="false">
      <c r="A14338" s="1" t="s">
        <v>1231</v>
      </c>
      <c r="B14338" s="0" t="s">
        <v>98</v>
      </c>
      <c r="C14338" s="6" t="n">
        <f aca="false">Sens!$C$14336+cash_val-debt_val-fl_val+oai_v</f>
        <v>1893.5343974868</v>
      </c>
    </row>
    <row r="14339" customFormat="false" ht="17.15" hidden="false" customHeight="false" outlineLevel="0" collapsed="false">
      <c r="A14339" s="0" t="s">
        <v>1153</v>
      </c>
      <c r="B14339" s="0" t="s">
        <v>75</v>
      </c>
      <c r="C14339" s="5" t="n">
        <f aca="false">Sens!$C$14338/shd_val</f>
        <v>254.302229047382</v>
      </c>
    </row>
    <row r="14340" customFormat="false" ht="15" hidden="false" customHeight="false" outlineLevel="0" collapsed="false">
      <c r="A14340" s="1" t="s">
        <v>1232</v>
      </c>
      <c r="B14340" s="0" t="s">
        <v>75</v>
      </c>
      <c r="C14340" s="8" t="n">
        <f aca="false">div_rem27+CF!G95*roll_div_q/q_per_yr</f>
        <v>3.9795</v>
      </c>
    </row>
    <row r="14341" customFormat="false" ht="17.15" hidden="false" customHeight="false" outlineLevel="0" collapsed="false">
      <c r="A14341" s="0" t="s">
        <v>1233</v>
      </c>
      <c r="B14341" s="0" t="s">
        <v>75</v>
      </c>
      <c r="C14341" s="5" t="n">
        <f aca="false">Sens!$C$14339*(1+wacc)^t_roll-Sens!$C$14340</f>
        <v>278.691620382723</v>
      </c>
    </row>
    <row r="14342" customFormat="false" ht="17.15" hidden="false" customHeight="false" outlineLevel="0" collapsed="false">
      <c r="A14342" s="1" t="s">
        <v>1234</v>
      </c>
      <c r="B14342" s="0" t="s">
        <v>168</v>
      </c>
      <c r="F14342" s="7" t="n">
        <f aca="false">CF!F81/(Seg!F83-Thesis!F129)</f>
        <v>0.068677393452264</v>
      </c>
      <c r="G14342" s="7" t="n">
        <f aca="false">CF!G81/(Seg!G83-Thesis!G129)</f>
        <v>0.0663132664471956</v>
      </c>
      <c r="H14342" s="7" t="n">
        <f aca="false">CF!H81/(Seg!H83-Thesis!H129)</f>
        <v>0.0651363826734039</v>
      </c>
      <c r="I14342" s="7" t="n">
        <f aca="false">CF!I81/(Seg!I83-Thesis!I129)</f>
        <v>0.0650087936347709</v>
      </c>
      <c r="J14342" s="7" t="n">
        <f aca="false">CF!J81/(Seg!J83-Thesis!J129)</f>
        <v>0.0657212684841778</v>
      </c>
      <c r="K14342" s="7" t="n">
        <f aca="false">CF!K81/(Seg!K83-Thesis!K129)</f>
        <v>0.0670413306015285</v>
      </c>
    </row>
    <row r="14343" customFormat="false" ht="17.15" hidden="false" customHeight="false" outlineLevel="0" collapsed="false">
      <c r="A14343" s="0" t="s">
        <v>1235</v>
      </c>
      <c r="B14343" s="0" t="s">
        <v>98</v>
      </c>
      <c r="F14343" s="6" t="n">
        <f aca="false">Seg!F68*(al_m365+Sens!F14342+sbc_r)</f>
        <v>82.9185219618347</v>
      </c>
      <c r="G14343" s="6" t="n">
        <f aca="false">Seg!G68*(al_m365+Sens!G14342+sbc_r)</f>
        <v>93.3068052157631</v>
      </c>
      <c r="H14343" s="6" t="n">
        <f aca="false">Seg!H68*(al_m365+Sens!H14342+sbc_r)</f>
        <v>103.856057136159</v>
      </c>
      <c r="I14343" s="6" t="n">
        <f aca="false">Seg!I68*(al_m365+Sens!I14342+sbc_r)</f>
        <v>113.889717587147</v>
      </c>
      <c r="J14343" s="6" t="n">
        <f aca="false">Seg!J68*(al_m365+Sens!J14342+sbc_r)</f>
        <v>123.218477864124</v>
      </c>
      <c r="K14343" s="6" t="n">
        <f aca="false">Seg!K68*(al_m365+Sens!K14342+sbc_r)</f>
        <v>132.149420086311</v>
      </c>
      <c r="L14343" s="12" t="s">
        <v>1236</v>
      </c>
    </row>
    <row r="14344" customFormat="false" ht="17.15" hidden="false" customHeight="false" outlineLevel="0" collapsed="false">
      <c r="A14344" s="0" t="s">
        <v>1237</v>
      </c>
      <c r="B14344" s="0" t="s">
        <v>98</v>
      </c>
      <c r="F14344" s="6" t="n">
        <f aca="false">Seg!F69*(al_lic+Sens!F14342+sbc_r)</f>
        <v>32.8599853992256</v>
      </c>
      <c r="G14344" s="6" t="n">
        <f aca="false">Seg!G69*(al_lic+Sens!G14342+sbc_r)</f>
        <v>34.1568280697879</v>
      </c>
      <c r="H14344" s="6" t="n">
        <f aca="false">Seg!H69*(al_lic+Sens!H14342+sbc_r)</f>
        <v>35.3635535007213</v>
      </c>
      <c r="I14344" s="6" t="n">
        <f aca="false">Seg!I69*(al_lic+Sens!I14342+sbc_r)</f>
        <v>36.4604537346553</v>
      </c>
      <c r="J14344" s="6" t="n">
        <f aca="false">Seg!J69*(al_lic+Sens!J14342+sbc_r)</f>
        <v>37.4245888933574</v>
      </c>
      <c r="K14344" s="6" t="n">
        <f aca="false">Seg!K69*(al_lic+Sens!K14342+sbc_r)</f>
        <v>38.2321483186439</v>
      </c>
    </row>
    <row r="14345" customFormat="false" ht="17.15" hidden="false" customHeight="false" outlineLevel="0" collapsed="false">
      <c r="A14345" s="0" t="s">
        <v>1238</v>
      </c>
      <c r="B14345" s="0" t="s">
        <v>98</v>
      </c>
      <c r="F14345" s="6" t="n">
        <f aca="false">Seg!F71*(al_ind+Sens!F14342+sbc_r)</f>
        <v>9.06170747885803</v>
      </c>
      <c r="G14345" s="6" t="n">
        <f aca="false">Seg!G71*(al_ind+Sens!G14342+sbc_r)</f>
        <v>9.8478979082138</v>
      </c>
      <c r="H14345" s="6" t="n">
        <f aca="false">Seg!H71*(al_ind+Sens!H14342+sbc_r)</f>
        <v>10.6768254332059</v>
      </c>
      <c r="I14345" s="6" t="n">
        <f aca="false">Seg!I71*(al_ind+Sens!I14342+sbc_r)</f>
        <v>11.54398793803</v>
      </c>
      <c r="J14345" s="6" t="n">
        <f aca="false">Seg!J71*(al_ind+Sens!J14342+sbc_r)</f>
        <v>12.4407914253112</v>
      </c>
      <c r="K14345" s="6" t="n">
        <f aca="false">Seg!K71*(al_ind+Sens!K14342+sbc_r)</f>
        <v>13.355239066864</v>
      </c>
    </row>
    <row r="14346" customFormat="false" ht="17.15" hidden="false" customHeight="false" outlineLevel="0" collapsed="false">
      <c r="A14346" s="0" t="s">
        <v>1239</v>
      </c>
      <c r="B14346" s="0" t="s">
        <v>98</v>
      </c>
      <c r="F14346" s="6" t="n">
        <f aca="false">Seg!F73*(al_fro+Sens!F14342+sbc_r)</f>
        <v>3.55453569939552</v>
      </c>
      <c r="G14346" s="6" t="n">
        <f aca="false">Seg!G73*(al_fro+Sens!G14342+sbc_r)</f>
        <v>3.76809436159872</v>
      </c>
      <c r="H14346" s="6" t="n">
        <f aca="false">Seg!H73*(al_fro+Sens!H14342+sbc_r)</f>
        <v>4.00964905674607</v>
      </c>
      <c r="I14346" s="6" t="n">
        <f aca="false">Seg!I73*(al_fro+Sens!I14342+sbc_r)</f>
        <v>4.28152633145235</v>
      </c>
      <c r="J14346" s="6" t="n">
        <f aca="false">Seg!J73*(al_fro+Sens!J14342+sbc_r)</f>
        <v>4.58536512975975</v>
      </c>
      <c r="K14346" s="6" t="n">
        <f aca="false">Seg!K73*(al_fro+Sens!K14342+sbc_r)</f>
        <v>4.92240770086468</v>
      </c>
    </row>
    <row r="14347" customFormat="false" ht="17.15" hidden="false" customHeight="false" outlineLevel="0" collapsed="false">
      <c r="A14347" s="0" t="s">
        <v>1240</v>
      </c>
      <c r="B14347" s="0" t="s">
        <v>98</v>
      </c>
      <c r="F14347" s="6" t="n">
        <f aca="false">Seg!F76*(al_srch+Sens!F14342+sbc_r)</f>
        <v>11.190683952584</v>
      </c>
      <c r="G14347" s="6" t="n">
        <f aca="false">Seg!G76*(al_srch+Sens!G14342+sbc_r)</f>
        <v>12.2763328717258</v>
      </c>
      <c r="H14347" s="6" t="n">
        <f aca="false">Seg!H76*(al_srch+Sens!H14342+sbc_r)</f>
        <v>13.4043563346576</v>
      </c>
      <c r="I14347" s="6" t="n">
        <f aca="false">Seg!I76*(al_srch+Sens!I14342+sbc_r)</f>
        <v>14.5621512181916</v>
      </c>
      <c r="J14347" s="6" t="n">
        <f aca="false">Seg!J76*(al_srch+Sens!J14342+sbc_r)</f>
        <v>15.7310381862385</v>
      </c>
      <c r="K14347" s="6" t="n">
        <f aca="false">Seg!K76*(al_srch+Sens!K14342+sbc_r)</f>
        <v>16.8873320486462</v>
      </c>
    </row>
    <row r="14348" customFormat="false" ht="17.15" hidden="false" customHeight="false" outlineLevel="0" collapsed="false">
      <c r="A14348" s="0" t="s">
        <v>1241</v>
      </c>
      <c r="B14348" s="0" t="s">
        <v>98</v>
      </c>
      <c r="F14348" s="6" t="n">
        <f aca="false">Thesis!F135-Thesis!F136+Thesis!F151</f>
        <v>38.9696429794913</v>
      </c>
      <c r="G14348" s="6" t="n">
        <f aca="false">Thesis!G135-Thesis!G136+Thesis!G151</f>
        <v>69.465497726016</v>
      </c>
      <c r="H14348" s="6" t="n">
        <f aca="false">Thesis!H135-Thesis!H136+Thesis!H151</f>
        <v>96.8147106808268</v>
      </c>
      <c r="I14348" s="6" t="n">
        <f aca="false">Thesis!I135-Thesis!I136+Thesis!I151</f>
        <v>127.654939766446</v>
      </c>
      <c r="J14348" s="6" t="n">
        <f aca="false">Thesis!J135-Thesis!J136+Thesis!J151</f>
        <v>149.308352681229</v>
      </c>
      <c r="K14348" s="6" t="n">
        <f aca="false">Thesis!K135-Thesis!K136+Thesis!K151</f>
        <v>162.731822021841</v>
      </c>
    </row>
    <row r="14349" customFormat="false" ht="17.15" hidden="false" customHeight="false" outlineLevel="0" collapsed="false">
      <c r="A14349" s="0" t="s">
        <v>1242</v>
      </c>
      <c r="B14349" s="0" t="s">
        <v>98</v>
      </c>
      <c r="F14349" s="6" t="n">
        <f aca="false">PL!F110+Thesis!F151+Thesis!F147+Sens!F14342*(Seg!F75-Thesis!F129)+sbc_r*Seg!F75</f>
        <v>234.79972328186</v>
      </c>
      <c r="G14349" s="6" t="n">
        <f aca="false">PL!G110+Thesis!G151+Thesis!G147+Sens!G14342*(Seg!G75-Thesis!G129)+sbc_r*Seg!G75</f>
        <v>285.499052659517</v>
      </c>
      <c r="H14349" s="6" t="n">
        <f aca="false">PL!H110+Thesis!H151+Thesis!H147+Sens!H14342*(Seg!H75-Thesis!H129)+sbc_r*Seg!H75</f>
        <v>338.258569294547</v>
      </c>
      <c r="I14349" s="6" t="n">
        <f aca="false">PL!I110+Thesis!I151+Thesis!I147+Sens!I14342*(Seg!I75-Thesis!I129)+sbc_r*Seg!I75</f>
        <v>393.887902526982</v>
      </c>
      <c r="J14349" s="6" t="n">
        <f aca="false">PL!J110+Thesis!J151+Thesis!J147+Sens!J14342*(Seg!J75-Thesis!J129)+sbc_r*Seg!J75</f>
        <v>438.406631506078</v>
      </c>
      <c r="K14349" s="6" t="n">
        <f aca="false">PL!K110+Thesis!K151+Thesis!K147+Sens!K14342*(Seg!K75-Thesis!K129)+sbc_r*Seg!K75</f>
        <v>472.352875745143</v>
      </c>
    </row>
    <row r="14350" customFormat="false" ht="17.15" hidden="false" customHeight="false" outlineLevel="0" collapsed="false">
      <c r="A14350" s="0" t="s">
        <v>1243</v>
      </c>
      <c r="B14350" s="0" t="s">
        <v>98</v>
      </c>
      <c r="F14350" s="6" t="n">
        <f aca="false">Sens!F14349-Sens!F14343-Sens!F14344-Sens!F14345-Sens!F14346-Sens!F14348</f>
        <v>67.4353297630543</v>
      </c>
      <c r="G14350" s="6" t="n">
        <f aca="false">Sens!G14349-Sens!G14343-Sens!G14344-Sens!G14345-Sens!G14346-Sens!G14348</f>
        <v>74.9539293781376</v>
      </c>
      <c r="H14350" s="6" t="n">
        <f aca="false">Sens!H14349-Sens!H14343-Sens!H14344-Sens!H14345-Sens!H14346-Sens!H14348</f>
        <v>87.537773486888</v>
      </c>
      <c r="I14350" s="6" t="n">
        <f aca="false">Sens!I14349-Sens!I14343-Sens!I14344-Sens!I14345-Sens!I14346-Sens!I14348</f>
        <v>100.057277169252</v>
      </c>
      <c r="J14350" s="6" t="n">
        <f aca="false">Sens!J14349-Sens!J14343-Sens!J14344-Sens!J14345-Sens!J14346-Sens!J14348</f>
        <v>111.429055512297</v>
      </c>
      <c r="K14350" s="6" t="n">
        <f aca="false">Sens!K14349-Sens!K14343-Sens!K14344-Sens!K14345-Sens!K14346-Sens!K14348</f>
        <v>120.961838550618</v>
      </c>
    </row>
    <row r="14351" customFormat="false" ht="17.15" hidden="false" customHeight="false" outlineLevel="0" collapsed="false">
      <c r="A14351" s="0" t="s">
        <v>1244</v>
      </c>
      <c r="B14351" s="0" t="s">
        <v>98</v>
      </c>
      <c r="F14351" s="6" t="n">
        <f aca="false">PL!F112+Sens!F14342*Seg!F82+sbc_r*Seg!F82</f>
        <v>26.6373549789235</v>
      </c>
      <c r="G14351" s="6" t="n">
        <f aca="false">PL!G112+Sens!G14342*Seg!G82+sbc_r*Seg!G82</f>
        <v>26.5038922765853</v>
      </c>
      <c r="H14351" s="6" t="n">
        <f aca="false">PL!H112+Sens!H14342*Seg!H82+sbc_r*Seg!H82</f>
        <v>27.3981100014792</v>
      </c>
      <c r="I14351" s="6" t="n">
        <f aca="false">PL!I112+Sens!I14342*Seg!I82+sbc_r*Seg!I82</f>
        <v>28.5176442589239</v>
      </c>
      <c r="J14351" s="6" t="n">
        <f aca="false">PL!J112+Sens!J14342*Seg!J82+sbc_r*Seg!J82</f>
        <v>29.8313998963726</v>
      </c>
      <c r="K14351" s="6" t="n">
        <f aca="false">PL!K112+Sens!K14342*Seg!K82+sbc_r*Seg!K82</f>
        <v>31.3103466222307</v>
      </c>
    </row>
    <row r="14352" customFormat="false" ht="17.15" hidden="false" customHeight="false" outlineLevel="0" collapsed="false">
      <c r="A14352" s="0" t="s">
        <v>1245</v>
      </c>
      <c r="B14352" s="0" t="s">
        <v>98</v>
      </c>
      <c r="F14352" s="6" t="n">
        <f aca="false">(Sens!F14351-Sens!F14347)*Seg!F78/(Seg!F78+Seg!F80)</f>
        <v>8.72405610479892</v>
      </c>
      <c r="G14352" s="6" t="n">
        <f aca="false">(Sens!G14351-Sens!G14347)*Seg!G78/(Seg!G78+Seg!G80)</f>
        <v>7.897418765869</v>
      </c>
      <c r="H14352" s="6" t="n">
        <f aca="false">(Sens!H14351-Sens!H14347)*Seg!H78/(Seg!H78+Seg!H80)</f>
        <v>7.66644879573063</v>
      </c>
      <c r="I14352" s="6" t="n">
        <f aca="false">(Sens!I14351-Sens!I14347)*Seg!I78/(Seg!I78+Seg!I80)</f>
        <v>7.5787545031814</v>
      </c>
      <c r="J14352" s="6" t="n">
        <f aca="false">(Sens!J14351-Sens!J14347)*Seg!J78/(Seg!J78+Seg!J80)</f>
        <v>7.62401876450459</v>
      </c>
      <c r="K14352" s="6" t="n">
        <f aca="false">(Sens!K14351-Sens!K14347)*Seg!K78/(Seg!K78+Seg!K80)</f>
        <v>7.79847609658838</v>
      </c>
    </row>
    <row r="14353" customFormat="false" ht="17.15" hidden="false" customHeight="false" outlineLevel="0" collapsed="false">
      <c r="A14353" s="0" t="s">
        <v>1246</v>
      </c>
      <c r="B14353" s="0" t="s">
        <v>98</v>
      </c>
      <c r="F14353" s="6" t="n">
        <f aca="false">Sens!F14351-Sens!F14347-Sens!F14352</f>
        <v>6.72261492154066</v>
      </c>
      <c r="G14353" s="6" t="n">
        <f aca="false">Sens!G14351-Sens!G14347-Sens!G14352</f>
        <v>6.33014063899044</v>
      </c>
      <c r="H14353" s="6" t="n">
        <f aca="false">Sens!H14351-Sens!H14347-Sens!H14352</f>
        <v>6.32730487109095</v>
      </c>
      <c r="I14353" s="6" t="n">
        <f aca="false">Sens!I14351-Sens!I14347-Sens!I14352</f>
        <v>6.37673853755084</v>
      </c>
      <c r="J14353" s="6" t="n">
        <f aca="false">Sens!J14351-Sens!J14347-Sens!J14352</f>
        <v>6.47634294562954</v>
      </c>
      <c r="K14353" s="6" t="n">
        <f aca="false">Sens!K14351-Sens!K14347-Sens!K14352</f>
        <v>6.62453847699607</v>
      </c>
    </row>
    <row r="14354" customFormat="false" ht="17.15" hidden="false" customHeight="false" outlineLevel="0" collapsed="false">
      <c r="A14354" s="0" t="s">
        <v>1247</v>
      </c>
      <c r="B14354" s="0" t="s">
        <v>98</v>
      </c>
      <c r="F14354" s="6" t="n">
        <f aca="false">Sens!F14348-tax_f*(Sens!F14348-Thesis!F147)-Thesis!F144</f>
        <v>-130.362326762856</v>
      </c>
      <c r="G14354" s="6" t="n">
        <f aca="false">Sens!G14348-tax_f*(Sens!G14348-Thesis!G147)-Thesis!G144</f>
        <v>-124.225179337776</v>
      </c>
      <c r="H14354" s="6" t="n">
        <f aca="false">Sens!H14348-tax_f*(Sens!H14348-Thesis!H147)-Thesis!H144</f>
        <v>-101.534217387562</v>
      </c>
      <c r="I14354" s="6" t="n">
        <f aca="false">Sens!I14348-tax_f*(Sens!I14348-Thesis!I147)-Thesis!I144</f>
        <v>-43.6446798695439</v>
      </c>
      <c r="J14354" s="6" t="n">
        <f aca="false">Sens!J14348-tax_f*(Sens!J14348-Thesis!J147)-Thesis!J144</f>
        <v>16.9198855589618</v>
      </c>
      <c r="K14354" s="6" t="n">
        <f aca="false">Sens!K14348-tax_f*(Sens!K14348-Thesis!K147)-Thesis!K144</f>
        <v>39.8251384629271</v>
      </c>
    </row>
    <row r="14355" customFormat="false" ht="17.15" hidden="false" customHeight="false" outlineLevel="0" collapsed="false">
      <c r="A14355" s="0" t="s">
        <v>1248</v>
      </c>
      <c r="B14355" s="0" t="s">
        <v>98</v>
      </c>
      <c r="G14355" s="6" t="n">
        <f aca="false">Sens!G14354/(1+wacc)^(Sens!G14325-Sens!F14326)</f>
        <v>-118.286276192192</v>
      </c>
      <c r="H14355" s="6" t="n">
        <f aca="false">Sens!H14354/(1+wacc)^(Sens!H14325-Sens!F14326)</f>
        <v>-87.6570009910427</v>
      </c>
      <c r="I14355" s="6" t="n">
        <f aca="false">Sens!I14354/(1+wacc)^(Sens!I14325-Sens!F14326)</f>
        <v>-34.1629172979204</v>
      </c>
      <c r="J14355" s="6" t="n">
        <f aca="false">Sens!J14354/(1+wacc)^(Sens!J14325-Sens!F14326)</f>
        <v>12.0079954170053</v>
      </c>
      <c r="K14355" s="6" t="n">
        <f aca="false">Sens!K14354/(1+wacc)^(Sens!K14325-Sens!F14326)</f>
        <v>25.6259421582556</v>
      </c>
      <c r="L14355" s="1" t="s">
        <v>1249</v>
      </c>
    </row>
    <row r="14356" customFormat="false" ht="17.15" hidden="false" customHeight="false" outlineLevel="0" collapsed="false">
      <c r="A14356" s="0" t="s">
        <v>1250</v>
      </c>
      <c r="B14356" s="0" t="s">
        <v>98</v>
      </c>
      <c r="C14356" s="6" t="n">
        <f aca="false">(Sens!K14348-Thesis!K147)*(1-tax_f)*(1+g_tv_lo)*(1-g_tv_lo/(wacc+ronic_prem))/(wacc-g_tv_lo)/(1+wacc)^(Sens!K14326-Sens!F14326)</f>
        <v>95.7758240196356</v>
      </c>
    </row>
    <row r="14357" customFormat="false" ht="17.15" hidden="false" customHeight="false" outlineLevel="0" collapsed="false">
      <c r="A14357" s="1" t="s">
        <v>1251</v>
      </c>
      <c r="B14357" s="0" t="s">
        <v>98</v>
      </c>
      <c r="C14357" s="6" t="n">
        <f aca="false">(SUM(Sens!G14355:K14355)+Sens!$C$14356)*(1+wacc)^(t_roll-Sens!F14326)</f>
        <v>-110.218804809797</v>
      </c>
      <c r="L14357" s="12" t="s">
        <v>1252</v>
      </c>
    </row>
    <row r="14358" customFormat="false" ht="17.15" hidden="false" customHeight="false" outlineLevel="0" collapsed="false">
      <c r="A14358" s="1" t="s">
        <v>1253</v>
      </c>
      <c r="B14358" s="0" t="s">
        <v>98</v>
      </c>
      <c r="C14358" s="6" t="n">
        <f aca="false">(w_ntm28*Thesis!G135+(1-w_ntm28)*Thesis!H135)*m_ai</f>
        <v>344.355829012336</v>
      </c>
    </row>
    <row r="14359" customFormat="false" ht="17.15" hidden="false" customHeight="false" outlineLevel="0" collapsed="false">
      <c r="A14359" s="1" t="s">
        <v>1254</v>
      </c>
      <c r="B14359" s="0" t="s">
        <v>98</v>
      </c>
      <c r="C14359" s="6" t="n">
        <f aca="false">(w_ntm28*Sens!G14350+(1-w_ntm28)*Sens!H14350)*m_cloud</f>
        <v>1093.03877543039</v>
      </c>
    </row>
    <row r="14360" customFormat="false" ht="17.15" hidden="false" customHeight="false" outlineLevel="0" collapsed="false">
      <c r="A14360" s="1" t="s">
        <v>1255</v>
      </c>
      <c r="B14360" s="0" t="s">
        <v>98</v>
      </c>
      <c r="C14360" s="6" t="n">
        <f aca="false">(w_ntm28*Sens!G14343+(1-w_ntm28)*Sens!H14343)*m_sw</f>
        <v>1045.17056616266</v>
      </c>
    </row>
    <row r="14361" customFormat="false" ht="17.15" hidden="false" customHeight="false" outlineLevel="0" collapsed="false">
      <c r="A14361" s="1" t="s">
        <v>1256</v>
      </c>
      <c r="B14361" s="0" t="s">
        <v>98</v>
      </c>
      <c r="C14361" s="6" t="n">
        <f aca="false">(w_ntm28*Sens!G14344+(1-w_ntm28)*Sens!H14344)*m_sw</f>
        <v>373.178444957791</v>
      </c>
    </row>
    <row r="14362" customFormat="false" ht="17.15" hidden="false" customHeight="false" outlineLevel="0" collapsed="false">
      <c r="A14362" s="1" t="s">
        <v>1257</v>
      </c>
      <c r="B14362" s="0" t="s">
        <v>98</v>
      </c>
      <c r="C14362" s="6" t="n">
        <f aca="false">(w_ntm28*Sens!G14345+(1-w_ntm28)*Sens!H14345)*m_sw</f>
        <v>109.30055788101</v>
      </c>
    </row>
    <row r="14363" customFormat="false" ht="17.15" hidden="false" customHeight="false" outlineLevel="0" collapsed="false">
      <c r="A14363" s="1" t="s">
        <v>1258</v>
      </c>
      <c r="B14363" s="0" t="s">
        <v>98</v>
      </c>
      <c r="C14363" s="6" t="n">
        <f aca="false">(w_ntm28*Sens!G14346+(1-w_ntm28)*Sens!H14346)*m_sw</f>
        <v>41.5531037214606</v>
      </c>
    </row>
    <row r="14364" customFormat="false" ht="17.15" hidden="false" customHeight="false" outlineLevel="0" collapsed="false">
      <c r="A14364" s="1" t="s">
        <v>1259</v>
      </c>
      <c r="B14364" s="0" t="s">
        <v>98</v>
      </c>
      <c r="C14364" s="6" t="n">
        <f aca="false">(w_ntm28*Sens!G14347+(1-w_ntm28)*Sens!H14347)*m_ads</f>
        <v>115.215899994784</v>
      </c>
    </row>
    <row r="14365" customFormat="false" ht="17.15" hidden="false" customHeight="false" outlineLevel="0" collapsed="false">
      <c r="A14365" s="1" t="s">
        <v>1260</v>
      </c>
      <c r="B14365" s="0" t="s">
        <v>98</v>
      </c>
      <c r="C14365" s="6" t="n">
        <f aca="false">(w_ntm28*Sens!G14352+(1-w_ntm28)*Sens!H14352)*m_game</f>
        <v>98.7853357615783</v>
      </c>
    </row>
    <row r="14366" customFormat="false" ht="17.15" hidden="false" customHeight="false" outlineLevel="0" collapsed="false">
      <c r="A14366" s="1" t="s">
        <v>1261</v>
      </c>
      <c r="B14366" s="0" t="s">
        <v>98</v>
      </c>
      <c r="C14366" s="6" t="n">
        <f aca="false">(w_ntm28*Sens!G14353+(1-w_ntm28)*Sens!H14353)*m_pc</f>
        <v>91.5836445602173</v>
      </c>
    </row>
    <row r="14367" customFormat="false" ht="17.15" hidden="false" customHeight="false" outlineLevel="0" collapsed="false">
      <c r="A14367" s="1" t="s">
        <v>1262</v>
      </c>
      <c r="B14367" s="0" t="s">
        <v>98</v>
      </c>
      <c r="C14367" s="6" t="n">
        <f aca="false">Sens!$C$14357+Sens!$C$14359+Sens!$C$14360+Sens!$C$14361+Sens!$C$14362+Sens!$C$14363+Sens!$C$14364+Sens!$C$14365+Sens!$C$14366</f>
        <v>2857.60752366009</v>
      </c>
    </row>
    <row r="14368" customFormat="false" ht="17.15" hidden="false" customHeight="false" outlineLevel="0" collapsed="false">
      <c r="A14368" s="1" t="s">
        <v>1263</v>
      </c>
      <c r="B14368" s="0" t="s">
        <v>98</v>
      </c>
      <c r="C14368" s="6" t="n">
        <f aca="false">(Sens!G14329-Sens!G14354)*t_stub</f>
        <v>47.4829168796038</v>
      </c>
      <c r="L14368" s="1" t="s">
        <v>1264</v>
      </c>
    </row>
    <row r="14369" customFormat="false" ht="17.15" hidden="false" customHeight="false" outlineLevel="0" collapsed="false">
      <c r="A14369" s="1" t="s">
        <v>1173</v>
      </c>
      <c r="B14369" s="0" t="s">
        <v>98</v>
      </c>
      <c r="C14369" s="6" t="n">
        <f aca="false">CF!F103+oai_v-CF!F92+Sens!$C$14368</f>
        <v>158.55427008544</v>
      </c>
      <c r="L14369" s="1" t="s">
        <v>1265</v>
      </c>
    </row>
    <row r="14370" customFormat="false" ht="17.15" hidden="false" customHeight="false" outlineLevel="0" collapsed="false">
      <c r="A14370" s="1" t="s">
        <v>1266</v>
      </c>
      <c r="B14370" s="0" t="s">
        <v>75</v>
      </c>
      <c r="C14370" s="5" t="n">
        <f aca="false">(Sens!$C$14367+Sens!$C$14369)/(CF!F105+dil_gap)-CF!G95*roll_div_q/q_per_yr</f>
        <v>401.330002900951</v>
      </c>
      <c r="L14370" s="1" t="s">
        <v>1267</v>
      </c>
    </row>
    <row r="14371" customFormat="false" ht="17.15" hidden="false" customHeight="false" outlineLevel="0" collapsed="false">
      <c r="A14371" s="1" t="s">
        <v>1268</v>
      </c>
      <c r="B14371" s="0" t="s">
        <v>75</v>
      </c>
      <c r="C14371" s="5" t="n">
        <f aca="false">w_dcf*Sens!$C$14341+(1-w_dcf)*Sens!$C$14370</f>
        <v>340.010811641837</v>
      </c>
    </row>
    <row r="14372" customFormat="false" ht="17.15" hidden="false" customHeight="false" outlineLevel="0" collapsed="false">
      <c r="A14372" s="3" t="s">
        <v>1969</v>
      </c>
    </row>
    <row r="14373" customFormat="false" ht="15" hidden="false" customHeight="false" outlineLevel="0" collapsed="false">
      <c r="A14373" s="4" t="s">
        <v>43</v>
      </c>
      <c r="B14373" s="4" t="s">
        <v>65</v>
      </c>
      <c r="C14373" s="23" t="s">
        <v>942</v>
      </c>
      <c r="D14373" s="23" t="s">
        <v>943</v>
      </c>
      <c r="E14373" s="23" t="s">
        <v>944</v>
      </c>
      <c r="F14373" s="23" t="s">
        <v>945</v>
      </c>
      <c r="G14373" s="23" t="s">
        <v>946</v>
      </c>
      <c r="H14373" s="23" t="s">
        <v>947</v>
      </c>
      <c r="I14373" s="23" t="s">
        <v>948</v>
      </c>
      <c r="J14373" s="23" t="s">
        <v>949</v>
      </c>
      <c r="K14373" s="23" t="s">
        <v>950</v>
      </c>
      <c r="L14373" s="4" t="s">
        <v>47</v>
      </c>
    </row>
    <row r="14374" customFormat="false" ht="17.15" hidden="false" customHeight="false" outlineLevel="0" collapsed="false">
      <c r="A14374" s="1" t="s">
        <v>1216</v>
      </c>
      <c r="B14374" s="1" t="s">
        <v>279</v>
      </c>
      <c r="F14374" s="8" t="n">
        <f aca="false">(1-v_off)*mid_yr</f>
        <v>0.373972602739726</v>
      </c>
      <c r="G14374" s="8" t="n">
        <f aca="false">Thesis!G6-base_fy-mid_yr-v_off</f>
        <v>1.24794520547945</v>
      </c>
      <c r="H14374" s="8" t="n">
        <f aca="false">Thesis!H6-base_fy-mid_yr-v_off</f>
        <v>2.24794520547945</v>
      </c>
      <c r="I14374" s="8" t="n">
        <f aca="false">Thesis!I6-base_fy-mid_yr-v_off</f>
        <v>3.24794520547945</v>
      </c>
      <c r="J14374" s="8" t="n">
        <f aca="false">Thesis!J6-base_fy-mid_yr-v_off</f>
        <v>4.24794520547945</v>
      </c>
      <c r="K14374" s="8" t="n">
        <f aca="false">Thesis!K6-base_fy-mid_yr-v_off</f>
        <v>5.24794520547945</v>
      </c>
      <c r="L14374" s="12" t="s">
        <v>1217</v>
      </c>
    </row>
    <row r="14375" customFormat="false" ht="15" hidden="false" customHeight="false" outlineLevel="0" collapsed="false">
      <c r="A14375" s="1" t="s">
        <v>1218</v>
      </c>
      <c r="B14375" s="1" t="s">
        <v>279</v>
      </c>
      <c r="F14375" s="8" t="n">
        <f aca="false">Thesis!F6-base_fy-v_off</f>
        <v>0.747945205479452</v>
      </c>
      <c r="G14375" s="8" t="n">
        <f aca="false">Thesis!G6-base_fy-v_off</f>
        <v>1.74794520547945</v>
      </c>
      <c r="H14375" s="8" t="n">
        <f aca="false">Thesis!H6-base_fy-v_off</f>
        <v>2.74794520547945</v>
      </c>
      <c r="I14375" s="8" t="n">
        <f aca="false">Thesis!I6-base_fy-v_off</f>
        <v>3.74794520547945</v>
      </c>
      <c r="J14375" s="8" t="n">
        <f aca="false">Thesis!J6-base_fy-v_off</f>
        <v>4.74794520547945</v>
      </c>
      <c r="K14375" s="8" t="n">
        <f aca="false">Thesis!K6-base_fy-v_off</f>
        <v>5.74794520547945</v>
      </c>
    </row>
    <row r="14376" customFormat="false" ht="15" hidden="false" customHeight="false" outlineLevel="0" collapsed="false">
      <c r="A14376" s="1" t="s">
        <v>1219</v>
      </c>
      <c r="B14376" s="0" t="s">
        <v>229</v>
      </c>
      <c r="F14376" s="15" t="n">
        <f aca="false">1/(1+wacc)^Sens!F14374</f>
        <v>0.964022703286649</v>
      </c>
      <c r="G14376" s="15" t="n">
        <f aca="false">1/(1+wacc)^Sens!G14374</f>
        <v>0.884910302296739</v>
      </c>
      <c r="H14376" s="15" t="n">
        <f aca="false">1/(1+wacc)^Sens!H14374</f>
        <v>0.802322009770358</v>
      </c>
      <c r="I14376" s="15" t="n">
        <f aca="false">1/(1+wacc)^Sens!I14374</f>
        <v>0.727441646561469</v>
      </c>
      <c r="J14376" s="15" t="n">
        <f aca="false">1/(1+wacc)^Sens!J14374</f>
        <v>0.659549834988973</v>
      </c>
      <c r="K14376" s="15" t="n">
        <f aca="false">1/(1+wacc)^Sens!K14374</f>
        <v>0.597994336576966</v>
      </c>
    </row>
    <row r="14377" customFormat="false" ht="17.15" hidden="false" customHeight="false" outlineLevel="0" collapsed="false">
      <c r="A14377" s="1" t="s">
        <v>1220</v>
      </c>
      <c r="B14377" s="0" t="s">
        <v>98</v>
      </c>
      <c r="F14377" s="6" t="n">
        <f aca="false">Q!$I$35-Q!$I$39-Q!$I$43</f>
        <v>9.666</v>
      </c>
      <c r="L14377" s="12" t="s">
        <v>1221</v>
      </c>
    </row>
    <row r="14378" customFormat="false" ht="17.15" hidden="false" customHeight="false" outlineLevel="0" collapsed="false">
      <c r="A14378" s="1" t="s">
        <v>1222</v>
      </c>
      <c r="B14378" s="0" t="s">
        <v>98</v>
      </c>
      <c r="F14378" s="6" t="n">
        <f aca="false">CF!F23-CF!F20-CF!F27+Thesis!F47*(1-tax_f)*(1-v_off)-Sens!F14377</f>
        <v>-1.12880264559539</v>
      </c>
      <c r="G14378" s="6" t="n">
        <f aca="false">CF!G23-CF!G20-CF!G27+Thesis!G47*(1-tax_f)</f>
        <v>38.7194421947551</v>
      </c>
      <c r="H14378" s="6" t="n">
        <f aca="false">CF!H23-CF!H20-CF!H27+Thesis!H47*(1-tax_f)</f>
        <v>98.6927474567662</v>
      </c>
      <c r="I14378" s="6" t="n">
        <f aca="false">CF!I23-CF!I20-CF!I27+Thesis!I47*(1-tax_f)</f>
        <v>181.625440536277</v>
      </c>
      <c r="J14378" s="6" t="n">
        <f aca="false">CF!J23-CF!J20-CF!J27+Thesis!J47*(1-tax_f)</f>
        <v>263.350402418584</v>
      </c>
      <c r="K14378" s="6" t="n">
        <f aca="false">CF!K23-CF!K20-CF!K27+Thesis!K47*(1-tax_f)</f>
        <v>303.659068389018</v>
      </c>
      <c r="L14378" s="1" t="s">
        <v>1223</v>
      </c>
    </row>
    <row r="14379" customFormat="false" ht="15" hidden="false" customHeight="false" outlineLevel="0" collapsed="false">
      <c r="A14379" s="1" t="s">
        <v>1224</v>
      </c>
      <c r="B14379" s="0" t="s">
        <v>98</v>
      </c>
      <c r="F14379" s="6" t="n">
        <f aca="false">Sens!F14378*Sens!F14376</f>
        <v>-1.08819137788399</v>
      </c>
      <c r="G14379" s="6" t="n">
        <f aca="false">Sens!G14378*Sens!G14376</f>
        <v>34.2632332973219</v>
      </c>
      <c r="H14379" s="6" t="n">
        <f aca="false">Sens!H14378*Sens!H14376</f>
        <v>79.183363489271</v>
      </c>
      <c r="I14379" s="6" t="n">
        <f aca="false">Sens!I14378*Sens!I14376</f>
        <v>132.121909521162</v>
      </c>
      <c r="J14379" s="6" t="n">
        <f aca="false">Sens!J14378*Sens!J14376</f>
        <v>173.692714459456</v>
      </c>
      <c r="K14379" s="6" t="n">
        <f aca="false">Sens!K14378*Sens!K14376</f>
        <v>181.58640314687</v>
      </c>
    </row>
    <row r="14380" customFormat="false" ht="17.15" hidden="false" customHeight="false" outlineLevel="0" collapsed="false">
      <c r="A14380" s="1" t="s">
        <v>1225</v>
      </c>
      <c r="B14380" s="0" t="s">
        <v>98</v>
      </c>
      <c r="C14380" s="6" t="n">
        <f aca="false">SUM(Sens!F14379:K14379)</f>
        <v>599.759432536197</v>
      </c>
    </row>
    <row r="14381" customFormat="false" ht="17.15" hidden="false" customHeight="false" outlineLevel="0" collapsed="false">
      <c r="A14381" s="1" t="s">
        <v>1226</v>
      </c>
      <c r="B14381" s="0" t="s">
        <v>98</v>
      </c>
      <c r="C14381" s="6" t="n">
        <f aca="false">PL!K39*(1+g_tv_hi)*(1-tax_f)</f>
        <v>319.574147137165</v>
      </c>
    </row>
    <row r="14382" customFormat="false" ht="17.15" hidden="false" customHeight="false" outlineLevel="0" collapsed="false">
      <c r="A14382" s="1" t="s">
        <v>1227</v>
      </c>
      <c r="B14382" s="0" t="s">
        <v>98</v>
      </c>
      <c r="C14382" s="6" t="n">
        <f aca="false">Sens!$C$14381*(1-g_tv_hi/(wacc+ronic_prem))</f>
        <v>195.391232509242</v>
      </c>
    </row>
    <row r="14383" customFormat="false" ht="17.15" hidden="false" customHeight="false" outlineLevel="0" collapsed="false">
      <c r="A14383" s="1" t="s">
        <v>1228</v>
      </c>
      <c r="B14383" s="0" t="s">
        <v>98</v>
      </c>
      <c r="C14383" s="6" t="n">
        <f aca="false">Sens!$C$14382/(wacc-g_tv_hi)</f>
        <v>3104.57286569809</v>
      </c>
    </row>
    <row r="14384" customFormat="false" ht="15" hidden="false" customHeight="false" outlineLevel="0" collapsed="false">
      <c r="A14384" s="1" t="s">
        <v>1229</v>
      </c>
      <c r="B14384" s="0" t="s">
        <v>98</v>
      </c>
      <c r="C14384" s="6" t="n">
        <f aca="false">Sens!$C$14383/(1+wacc)^Sens!K14375</f>
        <v>1767.76143729178</v>
      </c>
    </row>
    <row r="14385" customFormat="false" ht="17.15" hidden="false" customHeight="false" outlineLevel="0" collapsed="false">
      <c r="A14385" s="0" t="s">
        <v>1230</v>
      </c>
      <c r="B14385" s="0" t="s">
        <v>98</v>
      </c>
      <c r="C14385" s="6" t="n">
        <f aca="false">Sens!$C$14380+Sens!$C$14384</f>
        <v>2367.52086982798</v>
      </c>
    </row>
    <row r="14386" customFormat="false" ht="15" hidden="false" customHeight="false" outlineLevel="0" collapsed="false">
      <c r="A14386" s="1" t="s">
        <v>1145</v>
      </c>
      <c r="B14386" s="0" t="s">
        <v>168</v>
      </c>
      <c r="C14386" s="7" t="n">
        <f aca="false">Sens!$C$14384/Sens!$C$14385</f>
        <v>0.746671955386068</v>
      </c>
    </row>
    <row r="14387" customFormat="false" ht="17.15" hidden="false" customHeight="false" outlineLevel="0" collapsed="false">
      <c r="A14387" s="1" t="s">
        <v>1231</v>
      </c>
      <c r="B14387" s="0" t="s">
        <v>98</v>
      </c>
      <c r="C14387" s="6" t="n">
        <f aca="false">Sens!$C$14385+cash_val-debt_val-fl_val+oai_v</f>
        <v>2483.37186982798</v>
      </c>
    </row>
    <row r="14388" customFormat="false" ht="17.15" hidden="false" customHeight="false" outlineLevel="0" collapsed="false">
      <c r="A14388" s="0" t="s">
        <v>1153</v>
      </c>
      <c r="B14388" s="0" t="s">
        <v>75</v>
      </c>
      <c r="C14388" s="5" t="n">
        <f aca="false">Sens!$C$14387/shd_val</f>
        <v>333.517575856564</v>
      </c>
    </row>
    <row r="14389" customFormat="false" ht="15" hidden="false" customHeight="false" outlineLevel="0" collapsed="false">
      <c r="A14389" s="1" t="s">
        <v>1232</v>
      </c>
      <c r="B14389" s="0" t="s">
        <v>75</v>
      </c>
      <c r="C14389" s="8" t="n">
        <f aca="false">div_rem27+CF!G31*roll_div_q/q_per_yr</f>
        <v>3.9795</v>
      </c>
    </row>
    <row r="14390" customFormat="false" ht="17.15" hidden="false" customHeight="false" outlineLevel="0" collapsed="false">
      <c r="A14390" s="0" t="s">
        <v>1233</v>
      </c>
      <c r="B14390" s="0" t="s">
        <v>75</v>
      </c>
      <c r="C14390" s="5" t="n">
        <f aca="false">Sens!$C$14388*(1+wacc)^t_roll-Sens!$C$14389</f>
        <v>366.743899428557</v>
      </c>
    </row>
    <row r="14391" customFormat="false" ht="17.15" hidden="false" customHeight="false" outlineLevel="0" collapsed="false">
      <c r="A14391" s="1" t="s">
        <v>1234</v>
      </c>
      <c r="B14391" s="0" t="s">
        <v>168</v>
      </c>
      <c r="F14391" s="7" t="n">
        <f aca="false">CF!F17/(Seg!F29-Thesis!F25)</f>
        <v>0.0685527305696859</v>
      </c>
      <c r="G14391" s="7" t="n">
        <f aca="false">CF!G17/(Seg!G29-Thesis!G25)</f>
        <v>0.0653567731599844</v>
      </c>
      <c r="H14391" s="7" t="n">
        <f aca="false">CF!H17/(Seg!H29-Thesis!H25)</f>
        <v>0.0636628841026972</v>
      </c>
      <c r="I14391" s="7" t="n">
        <f aca="false">CF!I17/(Seg!I29-Thesis!I25)</f>
        <v>0.0633581084335176</v>
      </c>
      <c r="J14391" s="7" t="n">
        <f aca="false">CF!J17/(Seg!J29-Thesis!J25)</f>
        <v>0.0640873955995062</v>
      </c>
      <c r="K14391" s="7" t="n">
        <f aca="false">CF!K17/(Seg!K29-Thesis!K25)</f>
        <v>0.0653962234835198</v>
      </c>
    </row>
    <row r="14392" customFormat="false" ht="17.15" hidden="false" customHeight="false" outlineLevel="0" collapsed="false">
      <c r="A14392" s="0" t="s">
        <v>1235</v>
      </c>
      <c r="B14392" s="0" t="s">
        <v>98</v>
      </c>
      <c r="F14392" s="6" t="n">
        <f aca="false">Seg!F14*(al_m365+Sens!F14391+sbc_r)</f>
        <v>84.5213906545575</v>
      </c>
      <c r="G14392" s="6" t="n">
        <f aca="false">Seg!G14*(al_m365+Sens!G14391+sbc_r)</f>
        <v>98.949983331796</v>
      </c>
      <c r="H14392" s="6" t="n">
        <f aca="false">Seg!H14*(al_m365+Sens!H14391+sbc_r)</f>
        <v>113.543734275326</v>
      </c>
      <c r="I14392" s="6" t="n">
        <f aca="false">Seg!I14*(al_m365+Sens!I14391+sbc_r)</f>
        <v>126.62058838692</v>
      </c>
      <c r="J14392" s="6" t="n">
        <f aca="false">Seg!J14*(al_m365+Sens!J14391+sbc_r)</f>
        <v>137.994660156303</v>
      </c>
      <c r="K14392" s="6" t="n">
        <f aca="false">Seg!K14*(al_m365+Sens!K14391+sbc_r)</f>
        <v>148.989224092997</v>
      </c>
      <c r="L14392" s="12" t="s">
        <v>1236</v>
      </c>
    </row>
    <row r="14393" customFormat="false" ht="17.15" hidden="false" customHeight="false" outlineLevel="0" collapsed="false">
      <c r="A14393" s="0" t="s">
        <v>1237</v>
      </c>
      <c r="B14393" s="0" t="s">
        <v>98</v>
      </c>
      <c r="F14393" s="6" t="n">
        <f aca="false">Seg!F15*(al_lic+Sens!F14391+sbc_r)</f>
        <v>32.855200196554</v>
      </c>
      <c r="G14393" s="6" t="n">
        <f aca="false">Seg!G15*(al_lic+Sens!G14391+sbc_r)</f>
        <v>34.1185582613282</v>
      </c>
      <c r="H14393" s="6" t="n">
        <f aca="false">Seg!H15*(al_lic+Sens!H14391+sbc_r)</f>
        <v>35.3024309363621</v>
      </c>
      <c r="I14393" s="6" t="n">
        <f aca="false">Seg!I15*(al_lic+Sens!I14391+sbc_r)</f>
        <v>36.3898468129533</v>
      </c>
      <c r="J14393" s="6" t="n">
        <f aca="false">Seg!J15*(al_lic+Sens!J14391+sbc_r)</f>
        <v>37.3529129529876</v>
      </c>
      <c r="K14393" s="6" t="n">
        <f aca="false">Seg!K15*(al_lic+Sens!K14391+sbc_r)</f>
        <v>38.158536171203</v>
      </c>
    </row>
    <row r="14394" customFormat="false" ht="17.15" hidden="false" customHeight="false" outlineLevel="0" collapsed="false">
      <c r="A14394" s="0" t="s">
        <v>1238</v>
      </c>
      <c r="B14394" s="0" t="s">
        <v>98</v>
      </c>
      <c r="F14394" s="6" t="n">
        <f aca="false">Seg!F17*(al_ind+Sens!F14391+sbc_r)</f>
        <v>9.05892547956683</v>
      </c>
      <c r="G14394" s="6" t="n">
        <f aca="false">Seg!G17*(al_ind+Sens!G14391+sbc_r)</f>
        <v>9.82456487622418</v>
      </c>
      <c r="H14394" s="6" t="n">
        <f aca="false">Seg!H17*(al_ind+Sens!H14391+sbc_r)</f>
        <v>10.6377408477959</v>
      </c>
      <c r="I14394" s="6" t="n">
        <f aca="false">Seg!I17*(al_ind+Sens!I14391+sbc_r)</f>
        <v>11.4966323260293</v>
      </c>
      <c r="J14394" s="6" t="n">
        <f aca="false">Seg!J17*(al_ind+Sens!J14391+sbc_r)</f>
        <v>12.3903660286279</v>
      </c>
      <c r="K14394" s="6" t="n">
        <f aca="false">Seg!K17*(al_ind+Sens!K14391+sbc_r)</f>
        <v>13.3009129057681</v>
      </c>
    </row>
    <row r="14395" customFormat="false" ht="17.15" hidden="false" customHeight="false" outlineLevel="0" collapsed="false">
      <c r="A14395" s="0" t="s">
        <v>1239</v>
      </c>
      <c r="B14395" s="0" t="s">
        <v>98</v>
      </c>
      <c r="F14395" s="6" t="n">
        <f aca="false">Seg!F19*(al_fro+Sens!F14391+sbc_r)</f>
        <v>3.55344443532423</v>
      </c>
      <c r="G14395" s="6" t="n">
        <f aca="false">Seg!G19*(al_fro+Sens!G14391+sbc_r)</f>
        <v>3.75916645971565</v>
      </c>
      <c r="H14395" s="6" t="n">
        <f aca="false">Seg!H19*(al_fro+Sens!H14391+sbc_r)</f>
        <v>3.994970960527</v>
      </c>
      <c r="I14395" s="6" t="n">
        <f aca="false">Seg!I19*(al_fro+Sens!I14391+sbc_r)</f>
        <v>4.26396270432353</v>
      </c>
      <c r="J14395" s="6" t="n">
        <f aca="false">Seg!J19*(al_fro+Sens!J14391+sbc_r)</f>
        <v>4.5667795874336</v>
      </c>
      <c r="K14395" s="6" t="n">
        <f aca="false">Seg!K19*(al_fro+Sens!K14391+sbc_r)</f>
        <v>4.90238443416026</v>
      </c>
    </row>
    <row r="14396" customFormat="false" ht="17.15" hidden="false" customHeight="false" outlineLevel="0" collapsed="false">
      <c r="A14396" s="0" t="s">
        <v>1240</v>
      </c>
      <c r="B14396" s="0" t="s">
        <v>98</v>
      </c>
      <c r="F14396" s="6" t="n">
        <f aca="false">Seg!F22*(al_srch+Sens!F14391+sbc_r)</f>
        <v>11.1872483445711</v>
      </c>
      <c r="G14396" s="6" t="n">
        <f aca="false">Seg!G22*(al_srch+Sens!G14391+sbc_r)</f>
        <v>12.247246048296</v>
      </c>
      <c r="H14396" s="6" t="n">
        <f aca="false">Seg!H22*(al_srch+Sens!H14391+sbc_r)</f>
        <v>13.3552870946193</v>
      </c>
      <c r="I14396" s="6" t="n">
        <f aca="false">Seg!I22*(al_srch+Sens!I14391+sbc_r)</f>
        <v>14.5024145321619</v>
      </c>
      <c r="J14396" s="6" t="n">
        <f aca="false">Seg!J22*(al_srch+Sens!J14391+sbc_r)</f>
        <v>15.667276660652</v>
      </c>
      <c r="K14396" s="6" t="n">
        <f aca="false">Seg!K22*(al_srch+Sens!K14391+sbc_r)</f>
        <v>16.8186381138719</v>
      </c>
    </row>
    <row r="14397" customFormat="false" ht="17.15" hidden="false" customHeight="false" outlineLevel="0" collapsed="false">
      <c r="A14397" s="0" t="s">
        <v>1241</v>
      </c>
      <c r="B14397" s="0" t="s">
        <v>98</v>
      </c>
      <c r="F14397" s="6" t="n">
        <f aca="false">Thesis!F31-Thesis!F32+Thesis!F47</f>
        <v>45.3782580567763</v>
      </c>
      <c r="G14397" s="6" t="n">
        <f aca="false">Thesis!G31-Thesis!G32+Thesis!G47</f>
        <v>91.0863367558165</v>
      </c>
      <c r="H14397" s="6" t="n">
        <f aca="false">Thesis!H31-Thesis!H32+Thesis!H47</f>
        <v>144.617532464853</v>
      </c>
      <c r="I14397" s="6" t="n">
        <f aca="false">Thesis!I31-Thesis!I32+Thesis!I47</f>
        <v>187.137304561304</v>
      </c>
      <c r="J14397" s="6" t="n">
        <f aca="false">Thesis!J31-Thesis!J32+Thesis!J47</f>
        <v>217.006854425907</v>
      </c>
      <c r="K14397" s="6" t="n">
        <f aca="false">Thesis!K31-Thesis!K32+Thesis!K47</f>
        <v>234.933637903877</v>
      </c>
    </row>
    <row r="14398" customFormat="false" ht="17.15" hidden="false" customHeight="false" outlineLevel="0" collapsed="false">
      <c r="A14398" s="0" t="s">
        <v>1242</v>
      </c>
      <c r="B14398" s="0" t="s">
        <v>98</v>
      </c>
      <c r="F14398" s="6" t="n">
        <f aca="false">PL!F32+Thesis!F47+Thesis!F43+Sens!F14391*(Seg!F21-Thesis!F25)+sbc_r*Seg!F21</f>
        <v>240.818167741339</v>
      </c>
      <c r="G14398" s="6" t="n">
        <f aca="false">PL!G32+Thesis!G47+Thesis!G43+Sens!G14391*(Seg!G21-Thesis!G25)+sbc_r*Seg!G21</f>
        <v>311.917784140952</v>
      </c>
      <c r="H14398" s="6" t="n">
        <f aca="false">PL!H32+Thesis!H47+Thesis!H43+Sens!H14391*(Seg!H21-Thesis!H25)+sbc_r*Seg!H21</f>
        <v>395.486245683473</v>
      </c>
      <c r="I14398" s="6" t="n">
        <f aca="false">PL!I32+Thesis!I47+Thesis!I43+Sens!I14391*(Seg!I21-Thesis!I25)+sbc_r*Seg!I21</f>
        <v>465.950805948377</v>
      </c>
      <c r="J14398" s="6" t="n">
        <f aca="false">PL!J32+Thesis!J47+Thesis!J43+Sens!J14391*(Seg!J21-Thesis!J25)+sbc_r*Seg!J21</f>
        <v>520.78677388057</v>
      </c>
      <c r="K14398" s="6" t="n">
        <f aca="false">PL!K32+Thesis!K47+Thesis!K43+Sens!K14391*(Seg!K21-Thesis!K25)+sbc_r*Seg!K21</f>
        <v>561.2469767412</v>
      </c>
    </row>
    <row r="14399" customFormat="false" ht="17.15" hidden="false" customHeight="false" outlineLevel="0" collapsed="false">
      <c r="A14399" s="0" t="s">
        <v>1243</v>
      </c>
      <c r="B14399" s="0" t="s">
        <v>98</v>
      </c>
      <c r="F14399" s="6" t="n">
        <f aca="false">Sens!F14398-Sens!F14392-Sens!F14393-Sens!F14394-Sens!F14395-Sens!F14397</f>
        <v>65.4509489185601</v>
      </c>
      <c r="G14399" s="6" t="n">
        <f aca="false">Sens!G14398-Sens!G14392-Sens!G14393-Sens!G14394-Sens!G14395-Sens!G14397</f>
        <v>74.1791744560715</v>
      </c>
      <c r="H14399" s="6" t="n">
        <f aca="false">Sens!H14398-Sens!H14392-Sens!H14393-Sens!H14394-Sens!H14395-Sens!H14397</f>
        <v>87.3898361986086</v>
      </c>
      <c r="I14399" s="6" t="n">
        <f aca="false">Sens!I14398-Sens!I14392-Sens!I14393-Sens!I14394-Sens!I14395-Sens!I14397</f>
        <v>100.042471156846</v>
      </c>
      <c r="J14399" s="6" t="n">
        <f aca="false">Sens!J14398-Sens!J14392-Sens!J14393-Sens!J14394-Sens!J14395-Sens!J14397</f>
        <v>111.475200729312</v>
      </c>
      <c r="K14399" s="6" t="n">
        <f aca="false">Sens!K14398-Sens!K14392-Sens!K14393-Sens!K14394-Sens!K14395-Sens!K14397</f>
        <v>120.962281233195</v>
      </c>
    </row>
    <row r="14400" customFormat="false" ht="17.15" hidden="false" customHeight="false" outlineLevel="0" collapsed="false">
      <c r="A14400" s="0" t="s">
        <v>1244</v>
      </c>
      <c r="B14400" s="0" t="s">
        <v>98</v>
      </c>
      <c r="F14400" s="6" t="n">
        <f aca="false">PL!F34+Sens!F14391*Seg!F28+sbc_r*Seg!F28</f>
        <v>26.6293388420472</v>
      </c>
      <c r="G14400" s="6" t="n">
        <f aca="false">PL!G34+Sens!G14391*Seg!G28+sbc_r*Seg!G28</f>
        <v>26.4405000412783</v>
      </c>
      <c r="H14400" s="6" t="n">
        <f aca="false">PL!H34+Sens!H14391*Seg!H28+sbc_r*Seg!H28</f>
        <v>27.296860059552</v>
      </c>
      <c r="I14400" s="6" t="n">
        <f aca="false">PL!I34+Sens!I14391*Seg!I28+sbc_r*Seg!I28</f>
        <v>28.3995465815703</v>
      </c>
      <c r="J14400" s="6" t="n">
        <f aca="false">PL!J34+Sens!J14391*Seg!J28+sbc_r*Seg!J28</f>
        <v>29.7093380975903</v>
      </c>
      <c r="K14400" s="6" t="n">
        <f aca="false">PL!K34+Sens!K14391*Seg!K28+sbc_r*Seg!K28</f>
        <v>31.1817775287323</v>
      </c>
    </row>
    <row r="14401" customFormat="false" ht="17.15" hidden="false" customHeight="false" outlineLevel="0" collapsed="false">
      <c r="A14401" s="0" t="s">
        <v>1245</v>
      </c>
      <c r="B14401" s="0" t="s">
        <v>98</v>
      </c>
      <c r="F14401" s="6" t="n">
        <f aca="false">(Sens!F14400-Sens!F14396)*Seg!F24/(Seg!F24+Seg!F26)</f>
        <v>8.72146908842971</v>
      </c>
      <c r="G14401" s="6" t="n">
        <f aca="false">(Sens!G14400-Sens!G14396)*Seg!G24/(Seg!G24+Seg!G26)</f>
        <v>7.87837655379173</v>
      </c>
      <c r="H14401" s="6" t="n">
        <f aca="false">(Sens!H14400-Sens!H14396)*Seg!H24/(Seg!H24+Seg!H26)</f>
        <v>7.63786170689933</v>
      </c>
      <c r="I14401" s="6" t="n">
        <f aca="false">(Sens!I14400-Sens!I14396)*Seg!I24/(Seg!I24+Seg!I26)</f>
        <v>7.5470606300581</v>
      </c>
      <c r="J14401" s="6" t="n">
        <f aca="false">(Sens!J14400-Sens!J14396)*Seg!J24/(Seg!J24+Seg!J26)</f>
        <v>7.59249600034024</v>
      </c>
      <c r="K14401" s="6" t="n">
        <f aca="false">(Sens!K14400-Sens!K14396)*Seg!K24/(Seg!K24+Seg!K26)</f>
        <v>7.76610179704742</v>
      </c>
    </row>
    <row r="14402" customFormat="false" ht="17.15" hidden="false" customHeight="false" outlineLevel="0" collapsed="false">
      <c r="A14402" s="0" t="s">
        <v>1246</v>
      </c>
      <c r="B14402" s="0" t="s">
        <v>98</v>
      </c>
      <c r="F14402" s="6" t="n">
        <f aca="false">Sens!F14400-Sens!F14396-Sens!F14401</f>
        <v>6.72062140904636</v>
      </c>
      <c r="G14402" s="6" t="n">
        <f aca="false">Sens!G14400-Sens!G14396-Sens!G14401</f>
        <v>6.31487743919059</v>
      </c>
      <c r="H14402" s="6" t="n">
        <f aca="false">Sens!H14400-Sens!H14396-Sens!H14401</f>
        <v>6.30371125803333</v>
      </c>
      <c r="I14402" s="6" t="n">
        <f aca="false">Sens!I14400-Sens!I14396-Sens!I14401</f>
        <v>6.35007141935025</v>
      </c>
      <c r="J14402" s="6" t="n">
        <f aca="false">Sens!J14400-Sens!J14396-Sens!J14401</f>
        <v>6.44956543659808</v>
      </c>
      <c r="K14402" s="6" t="n">
        <f aca="false">Sens!K14400-Sens!K14396-Sens!K14401</f>
        <v>6.597037617813</v>
      </c>
    </row>
    <row r="14403" customFormat="false" ht="17.15" hidden="false" customHeight="false" outlineLevel="0" collapsed="false">
      <c r="A14403" s="0" t="s">
        <v>1247</v>
      </c>
      <c r="B14403" s="0" t="s">
        <v>98</v>
      </c>
      <c r="F14403" s="6" t="n">
        <f aca="false">Sens!F14397-tax_f*(Sens!F14397-Thesis!F43)-Thesis!F40</f>
        <v>-125.235434701028</v>
      </c>
      <c r="G14403" s="6" t="n">
        <f aca="false">Sens!G14397-tax_f*(Sens!G14397-Thesis!G43)-Thesis!G40</f>
        <v>-106.928508113935</v>
      </c>
      <c r="H14403" s="6" t="n">
        <f aca="false">Sens!H14397-tax_f*(Sens!H14397-Thesis!H43)-Thesis!H40</f>
        <v>-63.2919599603405</v>
      </c>
      <c r="I14403" s="6" t="n">
        <f aca="false">Sens!I14397-tax_f*(Sens!I14397-Thesis!I43)-Thesis!I40</f>
        <v>3.94121196634245</v>
      </c>
      <c r="J14403" s="6" t="n">
        <f aca="false">Sens!J14397-tax_f*(Sens!J14397-Thesis!J43)-Thesis!J40</f>
        <v>71.0786869547042</v>
      </c>
      <c r="K14403" s="6" t="n">
        <f aca="false">Sens!K14397-tax_f*(Sens!K14397-Thesis!K43)-Thesis!K40</f>
        <v>97.5865911685559</v>
      </c>
    </row>
    <row r="14404" customFormat="false" ht="17.15" hidden="false" customHeight="false" outlineLevel="0" collapsed="false">
      <c r="A14404" s="0" t="s">
        <v>1248</v>
      </c>
      <c r="B14404" s="0" t="s">
        <v>98</v>
      </c>
      <c r="G14404" s="6" t="n">
        <f aca="false">Sens!G14403/(1+wacc)^(Sens!G14374-Sens!F14375)</f>
        <v>-101.81651667568</v>
      </c>
      <c r="H14404" s="6" t="n">
        <f aca="false">Sens!H14403/(1+wacc)^(Sens!H14374-Sens!F14375)</f>
        <v>-54.6415143556151</v>
      </c>
      <c r="I14404" s="6" t="n">
        <f aca="false">Sens!I14403/(1+wacc)^(Sens!I14374-Sens!F14375)</f>
        <v>3.08498765169516</v>
      </c>
      <c r="J14404" s="6" t="n">
        <f aca="false">Sens!J14403/(1+wacc)^(Sens!J14374-Sens!F14375)</f>
        <v>50.4443451596971</v>
      </c>
      <c r="K14404" s="6" t="n">
        <f aca="false">Sens!K14403/(1+wacc)^(Sens!K14374-Sens!F14375)</f>
        <v>62.7932114544856</v>
      </c>
      <c r="L14404" s="1" t="s">
        <v>1249</v>
      </c>
    </row>
    <row r="14405" customFormat="false" ht="17.15" hidden="false" customHeight="false" outlineLevel="0" collapsed="false">
      <c r="A14405" s="0" t="s">
        <v>1250</v>
      </c>
      <c r="B14405" s="0" t="s">
        <v>98</v>
      </c>
      <c r="C14405" s="6" t="n">
        <f aca="false">(Sens!K14397-Thesis!K43)*(1-tax_f)*(1+g_tv_hi)*(1-g_tv_hi/(wacc+ronic_prem))/(wacc-g_tv_hi)/(1+wacc)^(Sens!K14375-Sens!F14375)</f>
        <v>455.213790682452</v>
      </c>
    </row>
    <row r="14406" customFormat="false" ht="17.15" hidden="false" customHeight="false" outlineLevel="0" collapsed="false">
      <c r="A14406" s="1" t="s">
        <v>1251</v>
      </c>
      <c r="B14406" s="0" t="s">
        <v>98</v>
      </c>
      <c r="C14406" s="6" t="n">
        <f aca="false">(SUM(Sens!G14404:K14404)+Sens!$C$14405)*(1+wacc)^(t_roll-Sens!F14375)</f>
        <v>428.7812940193</v>
      </c>
      <c r="L14406" s="12" t="s">
        <v>1252</v>
      </c>
    </row>
    <row r="14407" customFormat="false" ht="17.15" hidden="false" customHeight="false" outlineLevel="0" collapsed="false">
      <c r="A14407" s="1" t="s">
        <v>1253</v>
      </c>
      <c r="B14407" s="0" t="s">
        <v>98</v>
      </c>
      <c r="C14407" s="6" t="n">
        <f aca="false">(w_ntm28*Thesis!G31+(1-w_ntm28)*Thesis!H31)*m_ai</f>
        <v>563.316843258668</v>
      </c>
    </row>
    <row r="14408" customFormat="false" ht="17.15" hidden="false" customHeight="false" outlineLevel="0" collapsed="false">
      <c r="A14408" s="1" t="s">
        <v>1254</v>
      </c>
      <c r="B14408" s="0" t="s">
        <v>98</v>
      </c>
      <c r="C14408" s="6" t="n">
        <f aca="false">(w_ntm28*Sens!G14399+(1-w_ntm28)*Sens!H14399)*m_cloud</f>
        <v>1085.17964696599</v>
      </c>
    </row>
    <row r="14409" customFormat="false" ht="17.15" hidden="false" customHeight="false" outlineLevel="0" collapsed="false">
      <c r="A14409" s="1" t="s">
        <v>1255</v>
      </c>
      <c r="B14409" s="0" t="s">
        <v>98</v>
      </c>
      <c r="C14409" s="6" t="n">
        <f aca="false">(w_ntm28*Sens!G14392+(1-w_ntm28)*Sens!H14392)*m_sw</f>
        <v>1120.47763155275</v>
      </c>
    </row>
    <row r="14410" customFormat="false" ht="17.15" hidden="false" customHeight="false" outlineLevel="0" collapsed="false">
      <c r="A14410" s="1" t="s">
        <v>1256</v>
      </c>
      <c r="B14410" s="0" t="s">
        <v>98</v>
      </c>
      <c r="C14410" s="6" t="n">
        <f aca="false">(w_ntm28*Sens!G14393+(1-w_ntm28)*Sens!H14393)*m_sw</f>
        <v>372.68398809041</v>
      </c>
    </row>
    <row r="14411" customFormat="false" ht="17.15" hidden="false" customHeight="false" outlineLevel="0" collapsed="false">
      <c r="A14411" s="1" t="s">
        <v>1257</v>
      </c>
      <c r="B14411" s="0" t="s">
        <v>98</v>
      </c>
      <c r="C14411" s="6" t="n">
        <f aca="false">(w_ntm28*Sens!G14394+(1-w_ntm28)*Sens!H14394)*m_sw</f>
        <v>108.992632332144</v>
      </c>
    </row>
    <row r="14412" customFormat="false" ht="17.15" hidden="false" customHeight="false" outlineLevel="0" collapsed="false">
      <c r="A14412" s="1" t="s">
        <v>1258</v>
      </c>
      <c r="B14412" s="0" t="s">
        <v>98</v>
      </c>
      <c r="C14412" s="6" t="n">
        <f aca="false">(w_ntm28*Sens!G14395+(1-w_ntm28)*Sens!H14395)*m_sw</f>
        <v>41.4362652527414</v>
      </c>
    </row>
    <row r="14413" customFormat="false" ht="17.15" hidden="false" customHeight="false" outlineLevel="0" collapsed="false">
      <c r="A14413" s="1" t="s">
        <v>1259</v>
      </c>
      <c r="B14413" s="0" t="s">
        <v>98</v>
      </c>
      <c r="C14413" s="6" t="n">
        <f aca="false">(w_ntm28*Sens!G14396+(1-w_ntm28)*Sens!H14396)*m_ads</f>
        <v>114.891070326937</v>
      </c>
    </row>
    <row r="14414" customFormat="false" ht="17.15" hidden="false" customHeight="false" outlineLevel="0" collapsed="false">
      <c r="A14414" s="1" t="s">
        <v>1260</v>
      </c>
      <c r="B14414" s="0" t="s">
        <v>98</v>
      </c>
      <c r="C14414" s="6" t="n">
        <f aca="false">(w_ntm28*Sens!G14401+(1-w_ntm28)*Sens!H14401)*m_game</f>
        <v>98.505199156718</v>
      </c>
    </row>
    <row r="14415" customFormat="false" ht="17.15" hidden="false" customHeight="false" outlineLevel="0" collapsed="false">
      <c r="A14415" s="1" t="s">
        <v>1261</v>
      </c>
      <c r="B14415" s="0" t="s">
        <v>98</v>
      </c>
      <c r="C14415" s="6" t="n">
        <f aca="false">(w_ntm28*Sens!G14402+(1-w_ntm28)*Sens!H14402)*m_pc</f>
        <v>91.3231561150564</v>
      </c>
    </row>
    <row r="14416" customFormat="false" ht="17.15" hidden="false" customHeight="false" outlineLevel="0" collapsed="false">
      <c r="A14416" s="1" t="s">
        <v>1262</v>
      </c>
      <c r="B14416" s="0" t="s">
        <v>98</v>
      </c>
      <c r="C14416" s="6" t="n">
        <f aca="false">Sens!$C$14406+Sens!$C$14408+Sens!$C$14409+Sens!$C$14410+Sens!$C$14411+Sens!$C$14412+Sens!$C$14413+Sens!$C$14414+Sens!$C$14415</f>
        <v>3462.27088381205</v>
      </c>
    </row>
    <row r="14417" customFormat="false" ht="17.15" hidden="false" customHeight="false" outlineLevel="0" collapsed="false">
      <c r="A14417" s="1" t="s">
        <v>1263</v>
      </c>
      <c r="B14417" s="0" t="s">
        <v>98</v>
      </c>
      <c r="C14417" s="6" t="n">
        <f aca="false">(Sens!G14378-Sens!G14403)*t_stub</f>
        <v>48.2832931160316</v>
      </c>
      <c r="L14417" s="1" t="s">
        <v>1264</v>
      </c>
    </row>
    <row r="14418" customFormat="false" ht="17.15" hidden="false" customHeight="false" outlineLevel="0" collapsed="false">
      <c r="A14418" s="1" t="s">
        <v>1173</v>
      </c>
      <c r="B14418" s="0" t="s">
        <v>98</v>
      </c>
      <c r="C14418" s="6" t="n">
        <f aca="false">CF!F39+oai_v-CF!F28+Sens!$C$14417</f>
        <v>162.511563116032</v>
      </c>
      <c r="L14418" s="1" t="s">
        <v>1265</v>
      </c>
    </row>
    <row r="14419" customFormat="false" ht="17.15" hidden="false" customHeight="false" outlineLevel="0" collapsed="false">
      <c r="A14419" s="1" t="s">
        <v>1266</v>
      </c>
      <c r="B14419" s="0" t="s">
        <v>75</v>
      </c>
      <c r="C14419" s="5" t="n">
        <f aca="false">(Sens!$C$14416+Sens!$C$14418)/(CF!F41+dil_gap)-CF!G31*roll_div_q/q_per_yr</f>
        <v>482.892946352967</v>
      </c>
      <c r="L14419" s="1" t="s">
        <v>1267</v>
      </c>
    </row>
    <row r="14420" customFormat="false" ht="17.15" hidden="false" customHeight="false" outlineLevel="0" collapsed="false">
      <c r="A14420" s="1" t="s">
        <v>1268</v>
      </c>
      <c r="B14420" s="0" t="s">
        <v>75</v>
      </c>
      <c r="C14420" s="5" t="n">
        <f aca="false">w_dcf*Sens!$C$14390+(1-w_dcf)*Sens!$C$14419</f>
        <v>424.818422890762</v>
      </c>
    </row>
    <row r="14421" customFormat="false" ht="17.15" hidden="false" customHeight="false" outlineLevel="0" collapsed="false">
      <c r="A14421" s="3" t="s">
        <v>1970</v>
      </c>
    </row>
    <row r="14422" customFormat="false" ht="15" hidden="false" customHeight="false" outlineLevel="0" collapsed="false">
      <c r="A14422" s="4" t="s">
        <v>43</v>
      </c>
      <c r="B14422" s="4" t="s">
        <v>65</v>
      </c>
      <c r="C14422" s="23" t="s">
        <v>942</v>
      </c>
      <c r="D14422" s="23" t="s">
        <v>943</v>
      </c>
      <c r="E14422" s="23" t="s">
        <v>944</v>
      </c>
      <c r="F14422" s="23" t="s">
        <v>945</v>
      </c>
      <c r="G14422" s="23" t="s">
        <v>946</v>
      </c>
      <c r="H14422" s="23" t="s">
        <v>947</v>
      </c>
      <c r="I14422" s="23" t="s">
        <v>948</v>
      </c>
      <c r="J14422" s="23" t="s">
        <v>949</v>
      </c>
      <c r="K14422" s="23" t="s">
        <v>950</v>
      </c>
      <c r="L14422" s="4" t="s">
        <v>47</v>
      </c>
    </row>
    <row r="14423" customFormat="false" ht="17.15" hidden="false" customHeight="false" outlineLevel="0" collapsed="false">
      <c r="A14423" s="1" t="s">
        <v>1216</v>
      </c>
      <c r="B14423" s="1" t="s">
        <v>279</v>
      </c>
      <c r="F14423" s="8" t="n">
        <f aca="false">(1-v_off)*mid_yr</f>
        <v>0.373972602739726</v>
      </c>
      <c r="G14423" s="8" t="n">
        <f aca="false">Thesis!G58-base_fy-mid_yr-v_off</f>
        <v>1.24794520547945</v>
      </c>
      <c r="H14423" s="8" t="n">
        <f aca="false">Thesis!H58-base_fy-mid_yr-v_off</f>
        <v>2.24794520547945</v>
      </c>
      <c r="I14423" s="8" t="n">
        <f aca="false">Thesis!I58-base_fy-mid_yr-v_off</f>
        <v>3.24794520547945</v>
      </c>
      <c r="J14423" s="8" t="n">
        <f aca="false">Thesis!J58-base_fy-mid_yr-v_off</f>
        <v>4.24794520547945</v>
      </c>
      <c r="K14423" s="8" t="n">
        <f aca="false">Thesis!K58-base_fy-mid_yr-v_off</f>
        <v>5.24794520547945</v>
      </c>
      <c r="L14423" s="12" t="s">
        <v>1217</v>
      </c>
    </row>
    <row r="14424" customFormat="false" ht="15" hidden="false" customHeight="false" outlineLevel="0" collapsed="false">
      <c r="A14424" s="1" t="s">
        <v>1218</v>
      </c>
      <c r="B14424" s="1" t="s">
        <v>279</v>
      </c>
      <c r="F14424" s="8" t="n">
        <f aca="false">Thesis!F58-base_fy-v_off</f>
        <v>0.747945205479452</v>
      </c>
      <c r="G14424" s="8" t="n">
        <f aca="false">Thesis!G58-base_fy-v_off</f>
        <v>1.74794520547945</v>
      </c>
      <c r="H14424" s="8" t="n">
        <f aca="false">Thesis!H58-base_fy-v_off</f>
        <v>2.74794520547945</v>
      </c>
      <c r="I14424" s="8" t="n">
        <f aca="false">Thesis!I58-base_fy-v_off</f>
        <v>3.74794520547945</v>
      </c>
      <c r="J14424" s="8" t="n">
        <f aca="false">Thesis!J58-base_fy-v_off</f>
        <v>4.74794520547945</v>
      </c>
      <c r="K14424" s="8" t="n">
        <f aca="false">Thesis!K58-base_fy-v_off</f>
        <v>5.74794520547945</v>
      </c>
    </row>
    <row r="14425" customFormat="false" ht="15" hidden="false" customHeight="false" outlineLevel="0" collapsed="false">
      <c r="A14425" s="1" t="s">
        <v>1219</v>
      </c>
      <c r="B14425" s="0" t="s">
        <v>229</v>
      </c>
      <c r="F14425" s="15" t="n">
        <f aca="false">1/(1+wacc)^Sens!F14423</f>
        <v>0.964022703286649</v>
      </c>
      <c r="G14425" s="15" t="n">
        <f aca="false">1/(1+wacc)^Sens!G14423</f>
        <v>0.884910302296739</v>
      </c>
      <c r="H14425" s="15" t="n">
        <f aca="false">1/(1+wacc)^Sens!H14423</f>
        <v>0.802322009770358</v>
      </c>
      <c r="I14425" s="15" t="n">
        <f aca="false">1/(1+wacc)^Sens!I14423</f>
        <v>0.727441646561469</v>
      </c>
      <c r="J14425" s="15" t="n">
        <f aca="false">1/(1+wacc)^Sens!J14423</f>
        <v>0.659549834988973</v>
      </c>
      <c r="K14425" s="15" t="n">
        <f aca="false">1/(1+wacc)^Sens!K14423</f>
        <v>0.597994336576966</v>
      </c>
    </row>
    <row r="14426" customFormat="false" ht="17.15" hidden="false" customHeight="false" outlineLevel="0" collapsed="false">
      <c r="A14426" s="1" t="s">
        <v>1220</v>
      </c>
      <c r="B14426" s="0" t="s">
        <v>98</v>
      </c>
      <c r="F14426" s="6" t="n">
        <f aca="false">Q!$I$35-Q!$I$39-Q!$I$43</f>
        <v>9.666</v>
      </c>
      <c r="L14426" s="12" t="s">
        <v>1221</v>
      </c>
    </row>
    <row r="14427" customFormat="false" ht="17.15" hidden="false" customHeight="false" outlineLevel="0" collapsed="false">
      <c r="A14427" s="1" t="s">
        <v>1222</v>
      </c>
      <c r="B14427" s="0" t="s">
        <v>98</v>
      </c>
      <c r="F14427" s="6" t="n">
        <f aca="false">CF!F55-CF!F52-CF!F59+Thesis!F99*(1-tax_f)*(1-v_off)-Sens!F14426</f>
        <v>-3.35959137570949</v>
      </c>
      <c r="G14427" s="6" t="n">
        <f aca="false">CF!G55-CF!G52-CF!G59+Thesis!G99*(1-tax_f)</f>
        <v>29.8084555066036</v>
      </c>
      <c r="H14427" s="6" t="n">
        <f aca="false">CF!H55-CF!H52-CF!H59+Thesis!H99*(1-tax_f)</f>
        <v>79.3231801478051</v>
      </c>
      <c r="I14427" s="6" t="n">
        <f aca="false">CF!I55-CF!I52-CF!I59+Thesis!I99*(1-tax_f)</f>
        <v>157.29132812061</v>
      </c>
      <c r="J14427" s="6" t="n">
        <f aca="false">CF!J55-CF!J52-CF!J59+Thesis!J99*(1-tax_f)</f>
        <v>235.537601843622</v>
      </c>
      <c r="K14427" s="6" t="n">
        <f aca="false">CF!K55-CF!K52-CF!K59+Thesis!K99*(1-tax_f)</f>
        <v>273.705067207806</v>
      </c>
      <c r="L14427" s="1" t="s">
        <v>1223</v>
      </c>
    </row>
    <row r="14428" customFormat="false" ht="15" hidden="false" customHeight="false" outlineLevel="0" collapsed="false">
      <c r="A14428" s="1" t="s">
        <v>1224</v>
      </c>
      <c r="B14428" s="0" t="s">
        <v>98</v>
      </c>
      <c r="F14428" s="6" t="n">
        <f aca="false">Sens!F14427*Sens!F14425</f>
        <v>-3.23872235994998</v>
      </c>
      <c r="G14428" s="6" t="n">
        <f aca="false">Sens!G14427*Sens!G14425</f>
        <v>26.3778093733475</v>
      </c>
      <c r="H14428" s="6" t="n">
        <f aca="false">Sens!H14427*Sens!H14425</f>
        <v>63.6427333175632</v>
      </c>
      <c r="I14428" s="6" t="n">
        <f aca="false">Sens!I14427*Sens!I14425</f>
        <v>114.420262717897</v>
      </c>
      <c r="J14428" s="6" t="n">
        <f aca="false">Sens!J14427*Sens!J14425</f>
        <v>155.348786429659</v>
      </c>
      <c r="K14428" s="6" t="n">
        <f aca="false">Sens!K14427*Sens!K14425</f>
        <v>163.674080082686</v>
      </c>
    </row>
    <row r="14429" customFormat="false" ht="17.15" hidden="false" customHeight="false" outlineLevel="0" collapsed="false">
      <c r="A14429" s="1" t="s">
        <v>1225</v>
      </c>
      <c r="B14429" s="0" t="s">
        <v>98</v>
      </c>
      <c r="C14429" s="6" t="n">
        <f aca="false">SUM(Sens!F14428:K14428)</f>
        <v>520.224949561203</v>
      </c>
    </row>
    <row r="14430" customFormat="false" ht="17.15" hidden="false" customHeight="false" outlineLevel="0" collapsed="false">
      <c r="A14430" s="1" t="s">
        <v>1226</v>
      </c>
      <c r="B14430" s="0" t="s">
        <v>98</v>
      </c>
      <c r="C14430" s="6" t="n">
        <f aca="false">PL!K78*(1+g_tv_hi)*(1-tax_f)</f>
        <v>287.746325712786</v>
      </c>
    </row>
    <row r="14431" customFormat="false" ht="17.15" hidden="false" customHeight="false" outlineLevel="0" collapsed="false">
      <c r="A14431" s="1" t="s">
        <v>1227</v>
      </c>
      <c r="B14431" s="0" t="s">
        <v>98</v>
      </c>
      <c r="C14431" s="6" t="n">
        <f aca="false">Sens!$C$14430*(1-g_tv_hi/(wacc+ronic_prem))</f>
        <v>175.931344054859</v>
      </c>
    </row>
    <row r="14432" customFormat="false" ht="17.15" hidden="false" customHeight="false" outlineLevel="0" collapsed="false">
      <c r="A14432" s="1" t="s">
        <v>1228</v>
      </c>
      <c r="B14432" s="0" t="s">
        <v>98</v>
      </c>
      <c r="C14432" s="6" t="n">
        <f aca="false">Sens!$C$14431/(wacc-g_tv_hi)</f>
        <v>2795.37454144816</v>
      </c>
    </row>
    <row r="14433" customFormat="false" ht="15" hidden="false" customHeight="false" outlineLevel="0" collapsed="false">
      <c r="A14433" s="1" t="s">
        <v>1229</v>
      </c>
      <c r="B14433" s="0" t="s">
        <v>98</v>
      </c>
      <c r="C14433" s="6" t="n">
        <f aca="false">Sens!$C$14432/(1+wacc)^Sens!K14424</f>
        <v>1591.70215386396</v>
      </c>
    </row>
    <row r="14434" customFormat="false" ht="17.15" hidden="false" customHeight="false" outlineLevel="0" collapsed="false">
      <c r="A14434" s="0" t="s">
        <v>1230</v>
      </c>
      <c r="B14434" s="0" t="s">
        <v>98</v>
      </c>
      <c r="C14434" s="6" t="n">
        <f aca="false">Sens!$C$14429+Sens!$C$14433</f>
        <v>2111.92710342516</v>
      </c>
    </row>
    <row r="14435" customFormat="false" ht="15" hidden="false" customHeight="false" outlineLevel="0" collapsed="false">
      <c r="A14435" s="1" t="s">
        <v>1145</v>
      </c>
      <c r="B14435" s="0" t="s">
        <v>168</v>
      </c>
      <c r="C14435" s="7" t="n">
        <f aca="false">Sens!$C$14433/Sens!$C$14434</f>
        <v>0.753672866493596</v>
      </c>
    </row>
    <row r="14436" customFormat="false" ht="17.15" hidden="false" customHeight="false" outlineLevel="0" collapsed="false">
      <c r="A14436" s="1" t="s">
        <v>1231</v>
      </c>
      <c r="B14436" s="0" t="s">
        <v>98</v>
      </c>
      <c r="C14436" s="6" t="n">
        <f aca="false">Sens!$C$14434+cash_val-debt_val-fl_val+oai_v</f>
        <v>2227.77810342516</v>
      </c>
    </row>
    <row r="14437" customFormat="false" ht="17.15" hidden="false" customHeight="false" outlineLevel="0" collapsed="false">
      <c r="A14437" s="0" t="s">
        <v>1153</v>
      </c>
      <c r="B14437" s="0" t="s">
        <v>75</v>
      </c>
      <c r="C14437" s="5" t="n">
        <f aca="false">Sens!$C$14436/shd_val</f>
        <v>299.191257510765</v>
      </c>
    </row>
    <row r="14438" customFormat="false" ht="15" hidden="false" customHeight="false" outlineLevel="0" collapsed="false">
      <c r="A14438" s="1" t="s">
        <v>1232</v>
      </c>
      <c r="B14438" s="0" t="s">
        <v>75</v>
      </c>
      <c r="C14438" s="8" t="n">
        <f aca="false">div_rem27+CF!G63*roll_div_q/q_per_yr</f>
        <v>3.9795</v>
      </c>
    </row>
    <row r="14439" customFormat="false" ht="17.15" hidden="false" customHeight="false" outlineLevel="0" collapsed="false">
      <c r="A14439" s="0" t="s">
        <v>1233</v>
      </c>
      <c r="B14439" s="0" t="s">
        <v>75</v>
      </c>
      <c r="C14439" s="5" t="n">
        <f aca="false">Sens!$C$14437*(1+wacc)^t_roll-Sens!$C$14438</f>
        <v>328.588280809842</v>
      </c>
    </row>
    <row r="14440" customFormat="false" ht="17.15" hidden="false" customHeight="false" outlineLevel="0" collapsed="false">
      <c r="A14440" s="1" t="s">
        <v>1234</v>
      </c>
      <c r="B14440" s="0" t="s">
        <v>168</v>
      </c>
      <c r="F14440" s="7" t="n">
        <f aca="false">CF!F49/(Seg!F56-Thesis!F77)</f>
        <v>0.0686195668908011</v>
      </c>
      <c r="G14440" s="7" t="n">
        <f aca="false">CF!G49/(Seg!G56-Thesis!G77)</f>
        <v>0.0658333569148391</v>
      </c>
      <c r="H14440" s="7" t="n">
        <f aca="false">CF!H49/(Seg!H56-Thesis!H77)</f>
        <v>0.0643895625218926</v>
      </c>
      <c r="I14440" s="7" t="n">
        <f aca="false">CF!I49/(Seg!I56-Thesis!I77)</f>
        <v>0.0641676618157989</v>
      </c>
      <c r="J14440" s="7" t="n">
        <f aca="false">CF!J49/(Seg!J56-Thesis!J77)</f>
        <v>0.0648858606572163</v>
      </c>
      <c r="K14440" s="7" t="n">
        <f aca="false">CF!K49/(Seg!K56-Thesis!K77)</f>
        <v>0.0661974425163768</v>
      </c>
    </row>
    <row r="14441" customFormat="false" ht="17.15" hidden="false" customHeight="false" outlineLevel="0" collapsed="false">
      <c r="A14441" s="0" t="s">
        <v>1235</v>
      </c>
      <c r="B14441" s="0" t="s">
        <v>98</v>
      </c>
      <c r="F14441" s="6" t="n">
        <f aca="false">Seg!F41*(al_m365+Sens!F14440+sbc_r)</f>
        <v>83.7205619248671</v>
      </c>
      <c r="G14441" s="6" t="n">
        <f aca="false">Seg!G41*(al_m365+Sens!G14440+sbc_r)</f>
        <v>96.1301303332381</v>
      </c>
      <c r="H14441" s="6" t="n">
        <f aca="false">Seg!H41*(al_m365+Sens!H14440+sbc_r)</f>
        <v>108.70354073822</v>
      </c>
      <c r="I14441" s="6" t="n">
        <f aca="false">Seg!I41*(al_m365+Sens!I14440+sbc_r)</f>
        <v>120.260101315626</v>
      </c>
      <c r="J14441" s="6" t="n">
        <f aca="false">Seg!J41*(al_m365+Sens!J14440+sbc_r)</f>
        <v>130.611904548619</v>
      </c>
      <c r="K14441" s="6" t="n">
        <f aca="false">Seg!K41*(al_m365+Sens!K14440+sbc_r)</f>
        <v>140.575094974638</v>
      </c>
      <c r="L14441" s="12" t="s">
        <v>1236</v>
      </c>
    </row>
    <row r="14442" customFormat="false" ht="17.15" hidden="false" customHeight="false" outlineLevel="0" collapsed="false">
      <c r="A14442" s="0" t="s">
        <v>1237</v>
      </c>
      <c r="B14442" s="0" t="s">
        <v>98</v>
      </c>
      <c r="F14442" s="6" t="n">
        <f aca="false">Seg!F42*(al_lic+Sens!F14440+sbc_r)</f>
        <v>32.8577657183496</v>
      </c>
      <c r="G14442" s="6" t="n">
        <f aca="false">Seg!G42*(al_lic+Sens!G14440+sbc_r)</f>
        <v>34.1376266324889</v>
      </c>
      <c r="H14442" s="6" t="n">
        <f aca="false">Seg!H42*(al_lic+Sens!H14440+sbc_r)</f>
        <v>35.3325744664128</v>
      </c>
      <c r="I14442" s="6" t="n">
        <f aca="false">Seg!I42*(al_lic+Sens!I14440+sbc_r)</f>
        <v>36.4244749008727</v>
      </c>
      <c r="J14442" s="6" t="n">
        <f aca="false">Seg!J42*(al_lic+Sens!J14440+sbc_r)</f>
        <v>37.3879406068527</v>
      </c>
      <c r="K14442" s="6" t="n">
        <f aca="false">Seg!K42*(al_lic+Sens!K14440+sbc_r)</f>
        <v>38.1943876078259</v>
      </c>
    </row>
    <row r="14443" customFormat="false" ht="17.15" hidden="false" customHeight="false" outlineLevel="0" collapsed="false">
      <c r="A14443" s="0" t="s">
        <v>1238</v>
      </c>
      <c r="B14443" s="0" t="s">
        <v>98</v>
      </c>
      <c r="F14443" s="6" t="n">
        <f aca="false">Seg!F44*(al_ind+Sens!F14440+sbc_r)</f>
        <v>9.06041701092022</v>
      </c>
      <c r="G14443" s="6" t="n">
        <f aca="false">Seg!G44*(al_ind+Sens!G14440+sbc_r)</f>
        <v>9.83619082712885</v>
      </c>
      <c r="H14443" s="6" t="n">
        <f aca="false">Seg!H44*(al_ind+Sens!H14440+sbc_r)</f>
        <v>10.6570160105312</v>
      </c>
      <c r="I14443" s="6" t="n">
        <f aca="false">Seg!I44*(al_ind+Sens!I14440+sbc_r)</f>
        <v>11.5198571637125</v>
      </c>
      <c r="J14443" s="6" t="n">
        <f aca="false">Seg!J44*(al_ind+Sens!J14440+sbc_r)</f>
        <v>12.4150086539206</v>
      </c>
      <c r="K14443" s="6" t="n">
        <f aca="false">Seg!K44*(al_ind+Sens!K14440+sbc_r)</f>
        <v>13.3273714589988</v>
      </c>
    </row>
    <row r="14444" customFormat="false" ht="17.15" hidden="false" customHeight="false" outlineLevel="0" collapsed="false">
      <c r="A14444" s="0" t="s">
        <v>1239</v>
      </c>
      <c r="B14444" s="0" t="s">
        <v>98</v>
      </c>
      <c r="F14444" s="6" t="n">
        <f aca="false">Seg!F46*(al_fro+Sens!F14440+sbc_r)</f>
        <v>3.55402950182022</v>
      </c>
      <c r="G14444" s="6" t="n">
        <f aca="false">Seg!G46*(al_fro+Sens!G14440+sbc_r)</f>
        <v>3.76361488926481</v>
      </c>
      <c r="H14444" s="6" t="n">
        <f aca="false">Seg!H46*(al_fro+Sens!H14440+sbc_r)</f>
        <v>4.00220968879544</v>
      </c>
      <c r="I14444" s="6" t="n">
        <f aca="false">Seg!I46*(al_fro+Sens!I14440+sbc_r)</f>
        <v>4.2725765173852</v>
      </c>
      <c r="J14444" s="6" t="n">
        <f aca="false">Seg!J46*(al_fro+Sens!J14440+sbc_r)</f>
        <v>4.57586224390293</v>
      </c>
      <c r="K14444" s="6" t="n">
        <f aca="false">Seg!K46*(al_fro+Sens!K14440+sbc_r)</f>
        <v>4.91213639633217</v>
      </c>
    </row>
    <row r="14445" customFormat="false" ht="17.15" hidden="false" customHeight="false" outlineLevel="0" collapsed="false">
      <c r="A14445" s="0" t="s">
        <v>1240</v>
      </c>
      <c r="B14445" s="0" t="s">
        <v>98</v>
      </c>
      <c r="F14445" s="6" t="n">
        <f aca="false">Seg!F49*(al_srch+Sens!F14440+sbc_r)</f>
        <v>11.1890902994147</v>
      </c>
      <c r="G14445" s="6" t="n">
        <f aca="false">Seg!G49*(al_srch+Sens!G14440+sbc_r)</f>
        <v>12.261738891803</v>
      </c>
      <c r="H14445" s="6" t="n">
        <f aca="false">Seg!H49*(al_srch+Sens!H14440+sbc_r)</f>
        <v>13.3794863429193</v>
      </c>
      <c r="I14445" s="6" t="n">
        <f aca="false">Seg!I49*(al_srch+Sens!I14440+sbc_r)</f>
        <v>14.5317114787784</v>
      </c>
      <c r="J14445" s="6" t="n">
        <f aca="false">Seg!J49*(al_srch+Sens!J14440+sbc_r)</f>
        <v>15.6984365817724</v>
      </c>
      <c r="K14445" s="6" t="n">
        <f aca="false">Seg!K49*(al_srch+Sens!K14440+sbc_r)</f>
        <v>16.8520942258664</v>
      </c>
    </row>
    <row r="14446" customFormat="false" ht="17.15" hidden="false" customHeight="false" outlineLevel="0" collapsed="false">
      <c r="A14446" s="0" t="s">
        <v>1241</v>
      </c>
      <c r="B14446" s="0" t="s">
        <v>98</v>
      </c>
      <c r="F14446" s="6" t="n">
        <f aca="false">Thesis!F83-Thesis!F84+Thesis!F99</f>
        <v>42.5431090240393</v>
      </c>
      <c r="G14446" s="6" t="n">
        <f aca="false">Thesis!G83-Thesis!G84+Thesis!G99</f>
        <v>81.4922561130847</v>
      </c>
      <c r="H14446" s="6" t="n">
        <f aca="false">Thesis!H83-Thesis!H84+Thesis!H99</f>
        <v>123.278266211349</v>
      </c>
      <c r="I14446" s="6" t="n">
        <f aca="false">Thesis!I83-Thesis!I84+Thesis!I99</f>
        <v>160.60594185192</v>
      </c>
      <c r="J14446" s="6" t="n">
        <f aca="false">Thesis!J83-Thesis!J84+Thesis!J99</f>
        <v>186.818741832633</v>
      </c>
      <c r="K14446" s="6" t="n">
        <f aca="false">Thesis!K83-Thesis!K84+Thesis!K99</f>
        <v>202.776422159652</v>
      </c>
    </row>
    <row r="14447" customFormat="false" ht="17.15" hidden="false" customHeight="false" outlineLevel="0" collapsed="false">
      <c r="A14447" s="0" t="s">
        <v>1242</v>
      </c>
      <c r="B14447" s="0" t="s">
        <v>98</v>
      </c>
      <c r="F14447" s="6" t="n">
        <f aca="false">PL!F71+Thesis!F99+Thesis!F95+Sens!F14440*(Seg!F48-Thesis!F77)+sbc_r*Seg!F48</f>
        <v>238.090727427296</v>
      </c>
      <c r="G14447" s="6" t="n">
        <f aca="false">PL!G71+Thesis!G99+Thesis!G95+Sens!G14440*(Seg!G48-Thesis!G77)+sbc_r*Seg!G48</f>
        <v>299.90836088563</v>
      </c>
      <c r="H14447" s="6" t="n">
        <f aca="false">PL!H71+Thesis!H99+Thesis!H95+Sens!H14440*(Seg!H48-Thesis!H77)+sbc_r*Seg!H48</f>
        <v>369.457709442386</v>
      </c>
      <c r="I14447" s="6" t="n">
        <f aca="false">PL!I71+Thesis!I99+Thesis!I95+Sens!I14440*(Seg!I48-Thesis!I77)+sbc_r*Seg!I48</f>
        <v>433.16585128823</v>
      </c>
      <c r="J14447" s="6" t="n">
        <f aca="false">PL!J71+Thesis!J99+Thesis!J95+Sens!J14440*(Seg!J48-Thesis!J77)+sbc_r*Seg!J48</f>
        <v>483.301303131191</v>
      </c>
      <c r="K14447" s="6" t="n">
        <f aca="false">PL!K71+Thesis!K99+Thesis!K95+Sens!K14440*(Seg!K48-Thesis!K77)+sbc_r*Seg!K48</f>
        <v>520.789002205336</v>
      </c>
    </row>
    <row r="14448" customFormat="false" ht="17.15" hidden="false" customHeight="false" outlineLevel="0" collapsed="false">
      <c r="A14448" s="0" t="s">
        <v>1243</v>
      </c>
      <c r="B14448" s="0" t="s">
        <v>98</v>
      </c>
      <c r="F14448" s="6" t="n">
        <f aca="false">Sens!F14447-Sens!F14441-Sens!F14442-Sens!F14443-Sens!F14444-Sens!F14446</f>
        <v>66.3548442472996</v>
      </c>
      <c r="G14448" s="6" t="n">
        <f aca="false">Sens!G14447-Sens!G14441-Sens!G14442-Sens!G14443-Sens!G14444-Sens!G14446</f>
        <v>74.548542090425</v>
      </c>
      <c r="H14448" s="6" t="n">
        <f aca="false">Sens!H14447-Sens!H14441-Sens!H14442-Sens!H14443-Sens!H14444-Sens!H14446</f>
        <v>87.4841023270775</v>
      </c>
      <c r="I14448" s="6" t="n">
        <f aca="false">Sens!I14447-Sens!I14441-Sens!I14442-Sens!I14443-Sens!I14444-Sens!I14446</f>
        <v>100.082899538713</v>
      </c>
      <c r="J14448" s="6" t="n">
        <f aca="false">Sens!J14447-Sens!J14441-Sens!J14442-Sens!J14443-Sens!J14444-Sens!J14446</f>
        <v>111.491845245262</v>
      </c>
      <c r="K14448" s="6" t="n">
        <f aca="false">Sens!K14447-Sens!K14441-Sens!K14442-Sens!K14443-Sens!K14444-Sens!K14446</f>
        <v>121.003589607889</v>
      </c>
    </row>
    <row r="14449" customFormat="false" ht="17.15" hidden="false" customHeight="false" outlineLevel="0" collapsed="false">
      <c r="A14449" s="0" t="s">
        <v>1244</v>
      </c>
      <c r="B14449" s="0" t="s">
        <v>98</v>
      </c>
      <c r="F14449" s="6" t="n">
        <f aca="false">PL!F73+Sens!F14440*Seg!F55+sbc_r*Seg!F55</f>
        <v>26.6336365855879</v>
      </c>
      <c r="G14449" s="6" t="n">
        <f aca="false">PL!G73+Sens!G14440*Seg!G55+sbc_r*Seg!G55</f>
        <v>26.4720859498625</v>
      </c>
      <c r="H14449" s="6" t="n">
        <f aca="false">PL!H73+Sens!H14440*Seg!H55+sbc_r*Seg!H55</f>
        <v>27.346793021284</v>
      </c>
      <c r="I14449" s="6" t="n">
        <f aca="false">PL!I73+Sens!I14440*Seg!I55+sbc_r*Seg!I55</f>
        <v>28.4574657863154</v>
      </c>
      <c r="J14449" s="6" t="n">
        <f aca="false">PL!J73+Sens!J14440*Seg!J55+sbc_r*Seg!J55</f>
        <v>29.7689890546037</v>
      </c>
      <c r="K14449" s="6" t="n">
        <f aca="false">PL!K73+Sens!K14440*Seg!K55+sbc_r*Seg!K55</f>
        <v>31.2443947307494</v>
      </c>
    </row>
    <row r="14450" customFormat="false" ht="17.15" hidden="false" customHeight="false" outlineLevel="0" collapsed="false">
      <c r="A14450" s="0" t="s">
        <v>1245</v>
      </c>
      <c r="B14450" s="0" t="s">
        <v>98</v>
      </c>
      <c r="F14450" s="6" t="n">
        <f aca="false">(Sens!F14449-Sens!F14445)*Seg!F51/(Seg!F51+Seg!F53)</f>
        <v>8.72285608232241</v>
      </c>
      <c r="G14450" s="6" t="n">
        <f aca="false">(Sens!G14449-Sens!G14445)*Seg!G51/(Seg!G51+Seg!G53)</f>
        <v>7.88786455444355</v>
      </c>
      <c r="H14450" s="6" t="n">
        <f aca="false">(Sens!H14449-Sens!H14445)*Seg!H51/(Seg!H51+Seg!H53)</f>
        <v>7.65195986819674</v>
      </c>
      <c r="I14450" s="6" t="n">
        <f aca="false">(Sens!I14449-Sens!I14445)*Seg!I51/(Seg!I51+Seg!I53)</f>
        <v>7.56260440676676</v>
      </c>
      <c r="J14450" s="6" t="n">
        <f aca="false">(Sens!J14449-Sens!J14445)*Seg!J51/(Seg!J51+Seg!J53)</f>
        <v>7.60790100885945</v>
      </c>
      <c r="K14450" s="6" t="n">
        <f aca="false">(Sens!K14449-Sens!K14445)*Seg!K51/(Seg!K51+Seg!K53)</f>
        <v>7.78186910160995</v>
      </c>
    </row>
    <row r="14451" customFormat="false" ht="17.15" hidden="false" customHeight="false" outlineLevel="0" collapsed="false">
      <c r="A14451" s="0" t="s">
        <v>1246</v>
      </c>
      <c r="B14451" s="0" t="s">
        <v>98</v>
      </c>
      <c r="F14451" s="6" t="n">
        <f aca="false">Sens!F14449-Sens!F14445-Sens!F14450</f>
        <v>6.72169020385088</v>
      </c>
      <c r="G14451" s="6" t="n">
        <f aca="false">Sens!G14449-Sens!G14445-Sens!G14450</f>
        <v>6.322482503616</v>
      </c>
      <c r="H14451" s="6" t="n">
        <f aca="false">Sens!H14449-Sens!H14445-Sens!H14450</f>
        <v>6.315346810168</v>
      </c>
      <c r="I14451" s="6" t="n">
        <f aca="false">Sens!I14449-Sens!I14445-Sens!I14450</f>
        <v>6.36314990077033</v>
      </c>
      <c r="J14451" s="6" t="n">
        <f aca="false">Sens!J14449-Sens!J14445-Sens!J14450</f>
        <v>6.46265146397189</v>
      </c>
      <c r="K14451" s="6" t="n">
        <f aca="false">Sens!K14449-Sens!K14445-Sens!K14450</f>
        <v>6.61043140327304</v>
      </c>
    </row>
    <row r="14452" customFormat="false" ht="17.15" hidden="false" customHeight="false" outlineLevel="0" collapsed="false">
      <c r="A14452" s="0" t="s">
        <v>1247</v>
      </c>
      <c r="B14452" s="0" t="s">
        <v>98</v>
      </c>
      <c r="F14452" s="6" t="n">
        <f aca="false">Sens!F14446-tax_f*(Sens!F14446-Thesis!F95)-Thesis!F92</f>
        <v>-127.503553927218</v>
      </c>
      <c r="G14452" s="6" t="n">
        <f aca="false">Sens!G14446-tax_f*(Sens!G14446-Thesis!G95)-Thesis!G92</f>
        <v>-114.603772628121</v>
      </c>
      <c r="H14452" s="6" t="n">
        <f aca="false">Sens!H14446-tax_f*(Sens!H14446-Thesis!H95)-Thesis!H92</f>
        <v>-80.3633729631438</v>
      </c>
      <c r="I14452" s="6" t="n">
        <f aca="false">Sens!I14446-tax_f*(Sens!I14446-Thesis!I95)-Thesis!I92</f>
        <v>-17.2838782011649</v>
      </c>
      <c r="J14452" s="6" t="n">
        <f aca="false">Sens!J14446-tax_f*(Sens!J14446-Thesis!J95)-Thesis!J92</f>
        <v>46.9281968800854</v>
      </c>
      <c r="K14452" s="6" t="n">
        <f aca="false">Sens!K14446-tax_f*(Sens!K14446-Thesis!K95)-Thesis!K92</f>
        <v>71.8608185731755</v>
      </c>
    </row>
    <row r="14453" customFormat="false" ht="17.15" hidden="false" customHeight="false" outlineLevel="0" collapsed="false">
      <c r="A14453" s="0" t="s">
        <v>1248</v>
      </c>
      <c r="B14453" s="0" t="s">
        <v>98</v>
      </c>
      <c r="G14453" s="6" t="n">
        <f aca="false">Sens!G14452/(1+wacc)^(Sens!G14423-Sens!F14424)</f>
        <v>-109.124845494465</v>
      </c>
      <c r="H14453" s="6" t="n">
        <f aca="false">Sens!H14452/(1+wacc)^(Sens!H14423-Sens!F14424)</f>
        <v>-69.3796874071025</v>
      </c>
      <c r="I14453" s="6" t="n">
        <f aca="false">Sens!I14452/(1+wacc)^(Sens!I14423-Sens!F14424)</f>
        <v>-13.5289731380471</v>
      </c>
      <c r="J14453" s="6" t="n">
        <f aca="false">Sens!J14452/(1+wacc)^(Sens!J14423-Sens!F14424)</f>
        <v>33.3048099587126</v>
      </c>
      <c r="K14453" s="6" t="n">
        <f aca="false">Sens!K14452/(1+wacc)^(Sens!K14423-Sens!F14424)</f>
        <v>46.2396679904913</v>
      </c>
      <c r="L14453" s="1" t="s">
        <v>1249</v>
      </c>
    </row>
    <row r="14454" customFormat="false" ht="17.15" hidden="false" customHeight="false" outlineLevel="0" collapsed="false">
      <c r="A14454" s="0" t="s">
        <v>1250</v>
      </c>
      <c r="B14454" s="0" t="s">
        <v>98</v>
      </c>
      <c r="C14454" s="6" t="n">
        <f aca="false">(Sens!K14446-Thesis!K95)*(1-tax_f)*(1+g_tv_hi)*(1-g_tv_hi/(wacc+ronic_prem))/(wacc-g_tv_hi)/(1+wacc)^(Sens!K14424-Sens!F14424)</f>
        <v>295.963857408075</v>
      </c>
    </row>
    <row r="14455" customFormat="false" ht="17.15" hidden="false" customHeight="false" outlineLevel="0" collapsed="false">
      <c r="A14455" s="1" t="s">
        <v>1251</v>
      </c>
      <c r="B14455" s="0" t="s">
        <v>98</v>
      </c>
      <c r="C14455" s="6" t="n">
        <f aca="false">(SUM(Sens!G14453:K14453)+Sens!$C$14454)*(1+wacc)^(t_roll-Sens!F14424)</f>
        <v>189.531888302508</v>
      </c>
      <c r="L14455" s="12" t="s">
        <v>1252</v>
      </c>
    </row>
    <row r="14456" customFormat="false" ht="17.15" hidden="false" customHeight="false" outlineLevel="0" collapsed="false">
      <c r="A14456" s="1" t="s">
        <v>1253</v>
      </c>
      <c r="B14456" s="0" t="s">
        <v>98</v>
      </c>
      <c r="C14456" s="6" t="n">
        <f aca="false">(w_ntm28*Thesis!G83+(1-w_ntm28)*Thesis!H83)*m_ai</f>
        <v>463.789109510335</v>
      </c>
    </row>
    <row r="14457" customFormat="false" ht="17.15" hidden="false" customHeight="false" outlineLevel="0" collapsed="false">
      <c r="A14457" s="1" t="s">
        <v>1254</v>
      </c>
      <c r="B14457" s="0" t="s">
        <v>98</v>
      </c>
      <c r="C14457" s="6" t="n">
        <f aca="false">(w_ntm28*Sens!G14448+(1-w_ntm28)*Sens!H14448)*m_cloud</f>
        <v>1089.03436702245</v>
      </c>
    </row>
    <row r="14458" customFormat="false" ht="17.15" hidden="false" customHeight="false" outlineLevel="0" collapsed="false">
      <c r="A14458" s="1" t="s">
        <v>1255</v>
      </c>
      <c r="B14458" s="0" t="s">
        <v>98</v>
      </c>
      <c r="C14458" s="6" t="n">
        <f aca="false">(w_ntm28*Sens!G14441+(1-w_ntm28)*Sens!H14441)*m_sw</f>
        <v>1082.84962646159</v>
      </c>
    </row>
    <row r="14459" customFormat="false" ht="17.15" hidden="false" customHeight="false" outlineLevel="0" collapsed="false">
      <c r="A14459" s="1" t="s">
        <v>1256</v>
      </c>
      <c r="B14459" s="0" t="s">
        <v>98</v>
      </c>
      <c r="C14459" s="6" t="n">
        <f aca="false">(w_ntm28*Sens!G14442+(1-w_ntm28)*Sens!H14442)*m_sw</f>
        <v>372.929250898731</v>
      </c>
    </row>
    <row r="14460" customFormat="false" ht="17.15" hidden="false" customHeight="false" outlineLevel="0" collapsed="false">
      <c r="A14460" s="1" t="s">
        <v>1257</v>
      </c>
      <c r="B14460" s="0" t="s">
        <v>98</v>
      </c>
      <c r="C14460" s="6" t="n">
        <f aca="false">(w_ntm28*Sens!G14443+(1-w_ntm28)*Sens!H14443)*m_sw</f>
        <v>109.1453525431</v>
      </c>
    </row>
    <row r="14461" customFormat="false" ht="17.15" hidden="false" customHeight="false" outlineLevel="0" collapsed="false">
      <c r="A14461" s="1" t="s">
        <v>1258</v>
      </c>
      <c r="B14461" s="0" t="s">
        <v>98</v>
      </c>
      <c r="C14461" s="6" t="n">
        <f aca="false">(w_ntm28*Sens!G14444+(1-w_ntm28)*Sens!H14444)*m_sw</f>
        <v>41.4942157634893</v>
      </c>
    </row>
    <row r="14462" customFormat="false" ht="17.15" hidden="false" customHeight="false" outlineLevel="0" collapsed="false">
      <c r="A14462" s="1" t="s">
        <v>1259</v>
      </c>
      <c r="B14462" s="0" t="s">
        <v>98</v>
      </c>
      <c r="C14462" s="6" t="n">
        <f aca="false">(w_ntm28*Sens!G14445+(1-w_ntm28)*Sens!H14445)*m_ads</f>
        <v>115.052171478463</v>
      </c>
    </row>
    <row r="14463" customFormat="false" ht="17.15" hidden="false" customHeight="false" outlineLevel="0" collapsed="false">
      <c r="A14463" s="1" t="s">
        <v>1260</v>
      </c>
      <c r="B14463" s="0" t="s">
        <v>98</v>
      </c>
      <c r="C14463" s="6" t="n">
        <f aca="false">(w_ntm28*Sens!G14450+(1-w_ntm28)*Sens!H14450)*m_game</f>
        <v>98.6441755076202</v>
      </c>
    </row>
    <row r="14464" customFormat="false" ht="17.15" hidden="false" customHeight="false" outlineLevel="0" collapsed="false">
      <c r="A14464" s="1" t="s">
        <v>1261</v>
      </c>
      <c r="B14464" s="0" t="s">
        <v>98</v>
      </c>
      <c r="C14464" s="6" t="n">
        <f aca="false">(w_ntm28*Sens!G14451+(1-w_ntm28)*Sens!H14451)*m_pc</f>
        <v>91.4523754763561</v>
      </c>
    </row>
    <row r="14465" customFormat="false" ht="17.15" hidden="false" customHeight="false" outlineLevel="0" collapsed="false">
      <c r="A14465" s="1" t="s">
        <v>1262</v>
      </c>
      <c r="B14465" s="0" t="s">
        <v>98</v>
      </c>
      <c r="C14465" s="6" t="n">
        <f aca="false">Sens!$C$14455+Sens!$C$14457+Sens!$C$14458+Sens!$C$14459+Sens!$C$14460+Sens!$C$14461+Sens!$C$14462+Sens!$C$14463+Sens!$C$14464</f>
        <v>3190.13342345431</v>
      </c>
    </row>
    <row r="14466" customFormat="false" ht="17.15" hidden="false" customHeight="false" outlineLevel="0" collapsed="false">
      <c r="A14466" s="1" t="s">
        <v>1263</v>
      </c>
      <c r="B14466" s="0" t="s">
        <v>98</v>
      </c>
      <c r="C14466" s="6" t="n">
        <f aca="false">(Sens!G14427-Sens!G14452)*t_stub</f>
        <v>47.8736427515113</v>
      </c>
      <c r="L14466" s="1" t="s">
        <v>1264</v>
      </c>
    </row>
    <row r="14467" customFormat="false" ht="17.15" hidden="false" customHeight="false" outlineLevel="0" collapsed="false">
      <c r="A14467" s="1" t="s">
        <v>1173</v>
      </c>
      <c r="B14467" s="0" t="s">
        <v>98</v>
      </c>
      <c r="C14467" s="6" t="n">
        <f aca="false">CF!F71+oai_v-CF!F60+Sens!$C$14466</f>
        <v>162.101912751511</v>
      </c>
      <c r="L14467" s="1" t="s">
        <v>1265</v>
      </c>
    </row>
    <row r="14468" customFormat="false" ht="17.15" hidden="false" customHeight="false" outlineLevel="0" collapsed="false">
      <c r="A14468" s="1" t="s">
        <v>1266</v>
      </c>
      <c r="B14468" s="0" t="s">
        <v>75</v>
      </c>
      <c r="C14468" s="5" t="n">
        <f aca="false">(Sens!$C$14465+Sens!$C$14467)/(CF!F73+dil_gap)-CF!G63*roll_div_q/q_per_yr</f>
        <v>446.193001693389</v>
      </c>
      <c r="L14468" s="1" t="s">
        <v>1267</v>
      </c>
    </row>
    <row r="14469" customFormat="false" ht="17.15" hidden="false" customHeight="false" outlineLevel="0" collapsed="false">
      <c r="A14469" s="1" t="s">
        <v>1268</v>
      </c>
      <c r="B14469" s="0" t="s">
        <v>75</v>
      </c>
      <c r="C14469" s="5" t="n">
        <f aca="false">w_dcf*Sens!$C$14439+(1-w_dcf)*Sens!$C$14468</f>
        <v>387.390641251616</v>
      </c>
    </row>
    <row r="14470" customFormat="false" ht="17.15" hidden="false" customHeight="false" outlineLevel="0" collapsed="false">
      <c r="A14470" s="3" t="s">
        <v>1971</v>
      </c>
    </row>
    <row r="14471" customFormat="false" ht="15" hidden="false" customHeight="false" outlineLevel="0" collapsed="false">
      <c r="A14471" s="4" t="s">
        <v>43</v>
      </c>
      <c r="B14471" s="4" t="s">
        <v>65</v>
      </c>
      <c r="C14471" s="23" t="s">
        <v>942</v>
      </c>
      <c r="D14471" s="23" t="s">
        <v>943</v>
      </c>
      <c r="E14471" s="23" t="s">
        <v>944</v>
      </c>
      <c r="F14471" s="23" t="s">
        <v>945</v>
      </c>
      <c r="G14471" s="23" t="s">
        <v>946</v>
      </c>
      <c r="H14471" s="23" t="s">
        <v>947</v>
      </c>
      <c r="I14471" s="23" t="s">
        <v>948</v>
      </c>
      <c r="J14471" s="23" t="s">
        <v>949</v>
      </c>
      <c r="K14471" s="23" t="s">
        <v>950</v>
      </c>
      <c r="L14471" s="4" t="s">
        <v>47</v>
      </c>
    </row>
    <row r="14472" customFormat="false" ht="17.15" hidden="false" customHeight="false" outlineLevel="0" collapsed="false">
      <c r="A14472" s="1" t="s">
        <v>1216</v>
      </c>
      <c r="B14472" s="1" t="s">
        <v>279</v>
      </c>
      <c r="F14472" s="8" t="n">
        <f aca="false">(1-v_off)*mid_yr</f>
        <v>0.373972602739726</v>
      </c>
      <c r="G14472" s="8" t="n">
        <f aca="false">Thesis!G110-base_fy-mid_yr-v_off</f>
        <v>1.24794520547945</v>
      </c>
      <c r="H14472" s="8" t="n">
        <f aca="false">Thesis!H110-base_fy-mid_yr-v_off</f>
        <v>2.24794520547945</v>
      </c>
      <c r="I14472" s="8" t="n">
        <f aca="false">Thesis!I110-base_fy-mid_yr-v_off</f>
        <v>3.24794520547945</v>
      </c>
      <c r="J14472" s="8" t="n">
        <f aca="false">Thesis!J110-base_fy-mid_yr-v_off</f>
        <v>4.24794520547945</v>
      </c>
      <c r="K14472" s="8" t="n">
        <f aca="false">Thesis!K110-base_fy-mid_yr-v_off</f>
        <v>5.24794520547945</v>
      </c>
      <c r="L14472" s="12" t="s">
        <v>1217</v>
      </c>
    </row>
    <row r="14473" customFormat="false" ht="15" hidden="false" customHeight="false" outlineLevel="0" collapsed="false">
      <c r="A14473" s="1" t="s">
        <v>1218</v>
      </c>
      <c r="B14473" s="1" t="s">
        <v>279</v>
      </c>
      <c r="F14473" s="8" t="n">
        <f aca="false">Thesis!F110-base_fy-v_off</f>
        <v>0.747945205479452</v>
      </c>
      <c r="G14473" s="8" t="n">
        <f aca="false">Thesis!G110-base_fy-v_off</f>
        <v>1.74794520547945</v>
      </c>
      <c r="H14473" s="8" t="n">
        <f aca="false">Thesis!H110-base_fy-v_off</f>
        <v>2.74794520547945</v>
      </c>
      <c r="I14473" s="8" t="n">
        <f aca="false">Thesis!I110-base_fy-v_off</f>
        <v>3.74794520547945</v>
      </c>
      <c r="J14473" s="8" t="n">
        <f aca="false">Thesis!J110-base_fy-v_off</f>
        <v>4.74794520547945</v>
      </c>
      <c r="K14473" s="8" t="n">
        <f aca="false">Thesis!K110-base_fy-v_off</f>
        <v>5.74794520547945</v>
      </c>
    </row>
    <row r="14474" customFormat="false" ht="15" hidden="false" customHeight="false" outlineLevel="0" collapsed="false">
      <c r="A14474" s="1" t="s">
        <v>1219</v>
      </c>
      <c r="B14474" s="0" t="s">
        <v>229</v>
      </c>
      <c r="F14474" s="15" t="n">
        <f aca="false">1/(1+wacc)^Sens!F14472</f>
        <v>0.964022703286649</v>
      </c>
      <c r="G14474" s="15" t="n">
        <f aca="false">1/(1+wacc)^Sens!G14472</f>
        <v>0.884910302296739</v>
      </c>
      <c r="H14474" s="15" t="n">
        <f aca="false">1/(1+wacc)^Sens!H14472</f>
        <v>0.802322009770358</v>
      </c>
      <c r="I14474" s="15" t="n">
        <f aca="false">1/(1+wacc)^Sens!I14472</f>
        <v>0.727441646561469</v>
      </c>
      <c r="J14474" s="15" t="n">
        <f aca="false">1/(1+wacc)^Sens!J14472</f>
        <v>0.659549834988973</v>
      </c>
      <c r="K14474" s="15" t="n">
        <f aca="false">1/(1+wacc)^Sens!K14472</f>
        <v>0.597994336576966</v>
      </c>
    </row>
    <row r="14475" customFormat="false" ht="17.15" hidden="false" customHeight="false" outlineLevel="0" collapsed="false">
      <c r="A14475" s="1" t="s">
        <v>1220</v>
      </c>
      <c r="B14475" s="0" t="s">
        <v>98</v>
      </c>
      <c r="F14475" s="6" t="n">
        <f aca="false">Q!$I$35-Q!$I$39-Q!$I$43</f>
        <v>9.666</v>
      </c>
      <c r="L14475" s="12" t="s">
        <v>1221</v>
      </c>
    </row>
    <row r="14476" customFormat="false" ht="17.15" hidden="false" customHeight="false" outlineLevel="0" collapsed="false">
      <c r="A14476" s="1" t="s">
        <v>1222</v>
      </c>
      <c r="B14476" s="0" t="s">
        <v>98</v>
      </c>
      <c r="F14476" s="6" t="n">
        <f aca="false">CF!F87-CF!F84-CF!F91+Thesis!F151*(1-tax_f)*(1-v_off)-Sens!F14475</f>
        <v>-6.10282680452259</v>
      </c>
      <c r="G14476" s="6" t="n">
        <f aca="false">CF!G87-CF!G84-CF!G91+Thesis!G151*(1-tax_f)</f>
        <v>19.0084129023516</v>
      </c>
      <c r="H14476" s="6" t="n">
        <f aca="false">CF!H87-CF!H84-CF!H91+Thesis!H151*(1-tax_f)</f>
        <v>55.9229468383331</v>
      </c>
      <c r="I14476" s="6" t="n">
        <f aca="false">CF!I87-CF!I84-CF!I91+Thesis!I151*(1-tax_f)</f>
        <v>127.901908576191</v>
      </c>
      <c r="J14476" s="6" t="n">
        <f aca="false">CF!J87-CF!J84-CF!J91+Thesis!J151*(1-tax_f)</f>
        <v>201.958443859638</v>
      </c>
      <c r="K14476" s="6" t="n">
        <f aca="false">CF!K87-CF!K84-CF!K91+Thesis!K151*(1-tax_f)</f>
        <v>237.542519059905</v>
      </c>
      <c r="L14476" s="1" t="s">
        <v>1223</v>
      </c>
    </row>
    <row r="14477" customFormat="false" ht="15" hidden="false" customHeight="false" outlineLevel="0" collapsed="false">
      <c r="A14477" s="1" t="s">
        <v>1224</v>
      </c>
      <c r="B14477" s="0" t="s">
        <v>98</v>
      </c>
      <c r="F14477" s="6" t="n">
        <f aca="false">Sens!F14476*Sens!F14474</f>
        <v>-5.88326359378609</v>
      </c>
      <c r="G14477" s="6" t="n">
        <f aca="false">Sens!G14476*Sens!G14474</f>
        <v>16.8207404076012</v>
      </c>
      <c r="H14477" s="6" t="n">
        <f aca="false">Sens!H14476*Sens!H14474</f>
        <v>44.8682110996123</v>
      </c>
      <c r="I14477" s="6" t="n">
        <f aca="false">Sens!I14476*Sens!I14474</f>
        <v>93.0411749730187</v>
      </c>
      <c r="J14477" s="6" t="n">
        <f aca="false">Sens!J14476*Sens!J14474</f>
        <v>133.201658322254</v>
      </c>
      <c r="K14477" s="6" t="n">
        <f aca="false">Sens!K14476*Sens!K14474</f>
        <v>142.049081094049</v>
      </c>
    </row>
    <row r="14478" customFormat="false" ht="17.15" hidden="false" customHeight="false" outlineLevel="0" collapsed="false">
      <c r="A14478" s="1" t="s">
        <v>1225</v>
      </c>
      <c r="B14478" s="0" t="s">
        <v>98</v>
      </c>
      <c r="C14478" s="6" t="n">
        <f aca="false">SUM(Sens!F14477:K14477)</f>
        <v>424.097602302749</v>
      </c>
    </row>
    <row r="14479" customFormat="false" ht="17.15" hidden="false" customHeight="false" outlineLevel="0" collapsed="false">
      <c r="A14479" s="1" t="s">
        <v>1226</v>
      </c>
      <c r="B14479" s="0" t="s">
        <v>98</v>
      </c>
      <c r="C14479" s="6" t="n">
        <f aca="false">PL!K117*(1+g_tv_hi)*(1-tax_f)</f>
        <v>249.497925225465</v>
      </c>
    </row>
    <row r="14480" customFormat="false" ht="17.15" hidden="false" customHeight="false" outlineLevel="0" collapsed="false">
      <c r="A14480" s="1" t="s">
        <v>1227</v>
      </c>
      <c r="B14480" s="0" t="s">
        <v>98</v>
      </c>
      <c r="C14480" s="6" t="n">
        <f aca="false">Sens!$C$14479*(1-g_tv_hi/(wacc+ronic_prem))</f>
        <v>152.545841254731</v>
      </c>
    </row>
    <row r="14481" customFormat="false" ht="17.15" hidden="false" customHeight="false" outlineLevel="0" collapsed="false">
      <c r="A14481" s="1" t="s">
        <v>1228</v>
      </c>
      <c r="B14481" s="0" t="s">
        <v>98</v>
      </c>
      <c r="C14481" s="6" t="n">
        <f aca="false">Sens!$C$14480/(wacc-g_tv_hi)</f>
        <v>2423.80209926834</v>
      </c>
    </row>
    <row r="14482" customFormat="false" ht="15" hidden="false" customHeight="false" outlineLevel="0" collapsed="false">
      <c r="A14482" s="1" t="s">
        <v>1229</v>
      </c>
      <c r="B14482" s="0" t="s">
        <v>98</v>
      </c>
      <c r="C14482" s="6" t="n">
        <f aca="false">Sens!$C$14481/(1+wacc)^Sens!K14473</f>
        <v>1380.12669312884</v>
      </c>
    </row>
    <row r="14483" customFormat="false" ht="17.15" hidden="false" customHeight="false" outlineLevel="0" collapsed="false">
      <c r="A14483" s="0" t="s">
        <v>1230</v>
      </c>
      <c r="B14483" s="0" t="s">
        <v>98</v>
      </c>
      <c r="C14483" s="6" t="n">
        <f aca="false">Sens!$C$14478+Sens!$C$14482</f>
        <v>1804.22429543159</v>
      </c>
    </row>
    <row r="14484" customFormat="false" ht="15" hidden="false" customHeight="false" outlineLevel="0" collapsed="false">
      <c r="A14484" s="1" t="s">
        <v>1145</v>
      </c>
      <c r="B14484" s="0" t="s">
        <v>168</v>
      </c>
      <c r="C14484" s="7" t="n">
        <f aca="false">Sens!$C$14482/Sens!$C$14483</f>
        <v>0.764941862618416</v>
      </c>
    </row>
    <row r="14485" customFormat="false" ht="17.15" hidden="false" customHeight="false" outlineLevel="0" collapsed="false">
      <c r="A14485" s="1" t="s">
        <v>1231</v>
      </c>
      <c r="B14485" s="0" t="s">
        <v>98</v>
      </c>
      <c r="C14485" s="6" t="n">
        <f aca="false">Sens!$C$14483+cash_val-debt_val-fl_val+oai_v</f>
        <v>1920.07529543159</v>
      </c>
    </row>
    <row r="14486" customFormat="false" ht="17.15" hidden="false" customHeight="false" outlineLevel="0" collapsed="false">
      <c r="A14486" s="0" t="s">
        <v>1153</v>
      </c>
      <c r="B14486" s="0" t="s">
        <v>75</v>
      </c>
      <c r="C14486" s="5" t="n">
        <f aca="false">Sens!$C$14485/shd_val</f>
        <v>257.866679483157</v>
      </c>
    </row>
    <row r="14487" customFormat="false" ht="15" hidden="false" customHeight="false" outlineLevel="0" collapsed="false">
      <c r="A14487" s="1" t="s">
        <v>1232</v>
      </c>
      <c r="B14487" s="0" t="s">
        <v>75</v>
      </c>
      <c r="C14487" s="8" t="n">
        <f aca="false">div_rem27+CF!G95*roll_div_q/q_per_yr</f>
        <v>3.9795</v>
      </c>
    </row>
    <row r="14488" customFormat="false" ht="17.15" hidden="false" customHeight="false" outlineLevel="0" collapsed="false">
      <c r="A14488" s="0" t="s">
        <v>1233</v>
      </c>
      <c r="B14488" s="0" t="s">
        <v>75</v>
      </c>
      <c r="C14488" s="5" t="n">
        <f aca="false">Sens!$C$14486*(1+wacc)^t_roll-Sens!$C$14487</f>
        <v>282.653705976718</v>
      </c>
    </row>
    <row r="14489" customFormat="false" ht="17.15" hidden="false" customHeight="false" outlineLevel="0" collapsed="false">
      <c r="A14489" s="1" t="s">
        <v>1234</v>
      </c>
      <c r="B14489" s="0" t="s">
        <v>168</v>
      </c>
      <c r="F14489" s="7" t="n">
        <f aca="false">CF!F81/(Seg!F83-Thesis!F129)</f>
        <v>0.068677393452264</v>
      </c>
      <c r="G14489" s="7" t="n">
        <f aca="false">CF!G81/(Seg!G83-Thesis!G129)</f>
        <v>0.0663132664471956</v>
      </c>
      <c r="H14489" s="7" t="n">
        <f aca="false">CF!H81/(Seg!H83-Thesis!H129)</f>
        <v>0.0651363826734039</v>
      </c>
      <c r="I14489" s="7" t="n">
        <f aca="false">CF!I81/(Seg!I83-Thesis!I129)</f>
        <v>0.0650087936347709</v>
      </c>
      <c r="J14489" s="7" t="n">
        <f aca="false">CF!J81/(Seg!J83-Thesis!J129)</f>
        <v>0.0657212684841778</v>
      </c>
      <c r="K14489" s="7" t="n">
        <f aca="false">CF!K81/(Seg!K83-Thesis!K129)</f>
        <v>0.0670413306015285</v>
      </c>
    </row>
    <row r="14490" customFormat="false" ht="17.15" hidden="false" customHeight="false" outlineLevel="0" collapsed="false">
      <c r="A14490" s="0" t="s">
        <v>1235</v>
      </c>
      <c r="B14490" s="0" t="s">
        <v>98</v>
      </c>
      <c r="F14490" s="6" t="n">
        <f aca="false">Seg!F68*(al_m365+Sens!F14489+sbc_r)</f>
        <v>82.9185219618347</v>
      </c>
      <c r="G14490" s="6" t="n">
        <f aca="false">Seg!G68*(al_m365+Sens!G14489+sbc_r)</f>
        <v>93.3068052157631</v>
      </c>
      <c r="H14490" s="6" t="n">
        <f aca="false">Seg!H68*(al_m365+Sens!H14489+sbc_r)</f>
        <v>103.856057136159</v>
      </c>
      <c r="I14490" s="6" t="n">
        <f aca="false">Seg!I68*(al_m365+Sens!I14489+sbc_r)</f>
        <v>113.889717587147</v>
      </c>
      <c r="J14490" s="6" t="n">
        <f aca="false">Seg!J68*(al_m365+Sens!J14489+sbc_r)</f>
        <v>123.218477864124</v>
      </c>
      <c r="K14490" s="6" t="n">
        <f aca="false">Seg!K68*(al_m365+Sens!K14489+sbc_r)</f>
        <v>132.149420086311</v>
      </c>
      <c r="L14490" s="12" t="s">
        <v>1236</v>
      </c>
    </row>
    <row r="14491" customFormat="false" ht="17.15" hidden="false" customHeight="false" outlineLevel="0" collapsed="false">
      <c r="A14491" s="0" t="s">
        <v>1237</v>
      </c>
      <c r="B14491" s="0" t="s">
        <v>98</v>
      </c>
      <c r="F14491" s="6" t="n">
        <f aca="false">Seg!F69*(al_lic+Sens!F14489+sbc_r)</f>
        <v>32.8599853992256</v>
      </c>
      <c r="G14491" s="6" t="n">
        <f aca="false">Seg!G69*(al_lic+Sens!G14489+sbc_r)</f>
        <v>34.1568280697879</v>
      </c>
      <c r="H14491" s="6" t="n">
        <f aca="false">Seg!H69*(al_lic+Sens!H14489+sbc_r)</f>
        <v>35.3635535007213</v>
      </c>
      <c r="I14491" s="6" t="n">
        <f aca="false">Seg!I69*(al_lic+Sens!I14489+sbc_r)</f>
        <v>36.4604537346553</v>
      </c>
      <c r="J14491" s="6" t="n">
        <f aca="false">Seg!J69*(al_lic+Sens!J14489+sbc_r)</f>
        <v>37.4245888933574</v>
      </c>
      <c r="K14491" s="6" t="n">
        <f aca="false">Seg!K69*(al_lic+Sens!K14489+sbc_r)</f>
        <v>38.2321483186439</v>
      </c>
    </row>
    <row r="14492" customFormat="false" ht="17.15" hidden="false" customHeight="false" outlineLevel="0" collapsed="false">
      <c r="A14492" s="0" t="s">
        <v>1238</v>
      </c>
      <c r="B14492" s="0" t="s">
        <v>98</v>
      </c>
      <c r="F14492" s="6" t="n">
        <f aca="false">Seg!F71*(al_ind+Sens!F14489+sbc_r)</f>
        <v>9.06170747885803</v>
      </c>
      <c r="G14492" s="6" t="n">
        <f aca="false">Seg!G71*(al_ind+Sens!G14489+sbc_r)</f>
        <v>9.8478979082138</v>
      </c>
      <c r="H14492" s="6" t="n">
        <f aca="false">Seg!H71*(al_ind+Sens!H14489+sbc_r)</f>
        <v>10.6768254332059</v>
      </c>
      <c r="I14492" s="6" t="n">
        <f aca="false">Seg!I71*(al_ind+Sens!I14489+sbc_r)</f>
        <v>11.54398793803</v>
      </c>
      <c r="J14492" s="6" t="n">
        <f aca="false">Seg!J71*(al_ind+Sens!J14489+sbc_r)</f>
        <v>12.4407914253112</v>
      </c>
      <c r="K14492" s="6" t="n">
        <f aca="false">Seg!K71*(al_ind+Sens!K14489+sbc_r)</f>
        <v>13.355239066864</v>
      </c>
    </row>
    <row r="14493" customFormat="false" ht="17.15" hidden="false" customHeight="false" outlineLevel="0" collapsed="false">
      <c r="A14493" s="0" t="s">
        <v>1239</v>
      </c>
      <c r="B14493" s="0" t="s">
        <v>98</v>
      </c>
      <c r="F14493" s="6" t="n">
        <f aca="false">Seg!F73*(al_fro+Sens!F14489+sbc_r)</f>
        <v>3.55453569939552</v>
      </c>
      <c r="G14493" s="6" t="n">
        <f aca="false">Seg!G73*(al_fro+Sens!G14489+sbc_r)</f>
        <v>3.76809436159872</v>
      </c>
      <c r="H14493" s="6" t="n">
        <f aca="false">Seg!H73*(al_fro+Sens!H14489+sbc_r)</f>
        <v>4.00964905674607</v>
      </c>
      <c r="I14493" s="6" t="n">
        <f aca="false">Seg!I73*(al_fro+Sens!I14489+sbc_r)</f>
        <v>4.28152633145235</v>
      </c>
      <c r="J14493" s="6" t="n">
        <f aca="false">Seg!J73*(al_fro+Sens!J14489+sbc_r)</f>
        <v>4.58536512975975</v>
      </c>
      <c r="K14493" s="6" t="n">
        <f aca="false">Seg!K73*(al_fro+Sens!K14489+sbc_r)</f>
        <v>4.92240770086468</v>
      </c>
    </row>
    <row r="14494" customFormat="false" ht="17.15" hidden="false" customHeight="false" outlineLevel="0" collapsed="false">
      <c r="A14494" s="0" t="s">
        <v>1240</v>
      </c>
      <c r="B14494" s="0" t="s">
        <v>98</v>
      </c>
      <c r="F14494" s="6" t="n">
        <f aca="false">Seg!F76*(al_srch+Sens!F14489+sbc_r)</f>
        <v>11.190683952584</v>
      </c>
      <c r="G14494" s="6" t="n">
        <f aca="false">Seg!G76*(al_srch+Sens!G14489+sbc_r)</f>
        <v>12.2763328717258</v>
      </c>
      <c r="H14494" s="6" t="n">
        <f aca="false">Seg!H76*(al_srch+Sens!H14489+sbc_r)</f>
        <v>13.4043563346576</v>
      </c>
      <c r="I14494" s="6" t="n">
        <f aca="false">Seg!I76*(al_srch+Sens!I14489+sbc_r)</f>
        <v>14.5621512181916</v>
      </c>
      <c r="J14494" s="6" t="n">
        <f aca="false">Seg!J76*(al_srch+Sens!J14489+sbc_r)</f>
        <v>15.7310381862385</v>
      </c>
      <c r="K14494" s="6" t="n">
        <f aca="false">Seg!K76*(al_srch+Sens!K14489+sbc_r)</f>
        <v>16.8873320486462</v>
      </c>
    </row>
    <row r="14495" customFormat="false" ht="17.15" hidden="false" customHeight="false" outlineLevel="0" collapsed="false">
      <c r="A14495" s="0" t="s">
        <v>1241</v>
      </c>
      <c r="B14495" s="0" t="s">
        <v>98</v>
      </c>
      <c r="F14495" s="6" t="n">
        <f aca="false">Thesis!F135-Thesis!F136+Thesis!F151</f>
        <v>38.9696429794913</v>
      </c>
      <c r="G14495" s="6" t="n">
        <f aca="false">Thesis!G135-Thesis!G136+Thesis!G151</f>
        <v>69.465497726016</v>
      </c>
      <c r="H14495" s="6" t="n">
        <f aca="false">Thesis!H135-Thesis!H136+Thesis!H151</f>
        <v>96.8147106808268</v>
      </c>
      <c r="I14495" s="6" t="n">
        <f aca="false">Thesis!I135-Thesis!I136+Thesis!I151</f>
        <v>127.654939766446</v>
      </c>
      <c r="J14495" s="6" t="n">
        <f aca="false">Thesis!J135-Thesis!J136+Thesis!J151</f>
        <v>149.308352681229</v>
      </c>
      <c r="K14495" s="6" t="n">
        <f aca="false">Thesis!K135-Thesis!K136+Thesis!K151</f>
        <v>162.731822021841</v>
      </c>
    </row>
    <row r="14496" customFormat="false" ht="17.15" hidden="false" customHeight="false" outlineLevel="0" collapsed="false">
      <c r="A14496" s="0" t="s">
        <v>1242</v>
      </c>
      <c r="B14496" s="0" t="s">
        <v>98</v>
      </c>
      <c r="F14496" s="6" t="n">
        <f aca="false">PL!F110+Thesis!F151+Thesis!F147+Sens!F14489*(Seg!F75-Thesis!F129)+sbc_r*Seg!F75</f>
        <v>234.79972328186</v>
      </c>
      <c r="G14496" s="6" t="n">
        <f aca="false">PL!G110+Thesis!G151+Thesis!G147+Sens!G14489*(Seg!G75-Thesis!G129)+sbc_r*Seg!G75</f>
        <v>285.499052659517</v>
      </c>
      <c r="H14496" s="6" t="n">
        <f aca="false">PL!H110+Thesis!H151+Thesis!H147+Sens!H14489*(Seg!H75-Thesis!H129)+sbc_r*Seg!H75</f>
        <v>338.258569294547</v>
      </c>
      <c r="I14496" s="6" t="n">
        <f aca="false">PL!I110+Thesis!I151+Thesis!I147+Sens!I14489*(Seg!I75-Thesis!I129)+sbc_r*Seg!I75</f>
        <v>393.887902526982</v>
      </c>
      <c r="J14496" s="6" t="n">
        <f aca="false">PL!J110+Thesis!J151+Thesis!J147+Sens!J14489*(Seg!J75-Thesis!J129)+sbc_r*Seg!J75</f>
        <v>438.406631506078</v>
      </c>
      <c r="K14496" s="6" t="n">
        <f aca="false">PL!K110+Thesis!K151+Thesis!K147+Sens!K14489*(Seg!K75-Thesis!K129)+sbc_r*Seg!K75</f>
        <v>472.352875745143</v>
      </c>
    </row>
    <row r="14497" customFormat="false" ht="17.15" hidden="false" customHeight="false" outlineLevel="0" collapsed="false">
      <c r="A14497" s="0" t="s">
        <v>1243</v>
      </c>
      <c r="B14497" s="0" t="s">
        <v>98</v>
      </c>
      <c r="F14497" s="6" t="n">
        <f aca="false">Sens!F14496-Sens!F14490-Sens!F14491-Sens!F14492-Sens!F14493-Sens!F14495</f>
        <v>67.4353297630543</v>
      </c>
      <c r="G14497" s="6" t="n">
        <f aca="false">Sens!G14496-Sens!G14490-Sens!G14491-Sens!G14492-Sens!G14493-Sens!G14495</f>
        <v>74.9539293781376</v>
      </c>
      <c r="H14497" s="6" t="n">
        <f aca="false">Sens!H14496-Sens!H14490-Sens!H14491-Sens!H14492-Sens!H14493-Sens!H14495</f>
        <v>87.537773486888</v>
      </c>
      <c r="I14497" s="6" t="n">
        <f aca="false">Sens!I14496-Sens!I14490-Sens!I14491-Sens!I14492-Sens!I14493-Sens!I14495</f>
        <v>100.057277169252</v>
      </c>
      <c r="J14497" s="6" t="n">
        <f aca="false">Sens!J14496-Sens!J14490-Sens!J14491-Sens!J14492-Sens!J14493-Sens!J14495</f>
        <v>111.429055512297</v>
      </c>
      <c r="K14497" s="6" t="n">
        <f aca="false">Sens!K14496-Sens!K14490-Sens!K14491-Sens!K14492-Sens!K14493-Sens!K14495</f>
        <v>120.961838550618</v>
      </c>
    </row>
    <row r="14498" customFormat="false" ht="17.15" hidden="false" customHeight="false" outlineLevel="0" collapsed="false">
      <c r="A14498" s="0" t="s">
        <v>1244</v>
      </c>
      <c r="B14498" s="0" t="s">
        <v>98</v>
      </c>
      <c r="F14498" s="6" t="n">
        <f aca="false">PL!F112+Sens!F14489*Seg!F82+sbc_r*Seg!F82</f>
        <v>26.6373549789235</v>
      </c>
      <c r="G14498" s="6" t="n">
        <f aca="false">PL!G112+Sens!G14489*Seg!G82+sbc_r*Seg!G82</f>
        <v>26.5038922765853</v>
      </c>
      <c r="H14498" s="6" t="n">
        <f aca="false">PL!H112+Sens!H14489*Seg!H82+sbc_r*Seg!H82</f>
        <v>27.3981100014792</v>
      </c>
      <c r="I14498" s="6" t="n">
        <f aca="false">PL!I112+Sens!I14489*Seg!I82+sbc_r*Seg!I82</f>
        <v>28.5176442589239</v>
      </c>
      <c r="J14498" s="6" t="n">
        <f aca="false">PL!J112+Sens!J14489*Seg!J82+sbc_r*Seg!J82</f>
        <v>29.8313998963726</v>
      </c>
      <c r="K14498" s="6" t="n">
        <f aca="false">PL!K112+Sens!K14489*Seg!K82+sbc_r*Seg!K82</f>
        <v>31.3103466222307</v>
      </c>
    </row>
    <row r="14499" customFormat="false" ht="17.15" hidden="false" customHeight="false" outlineLevel="0" collapsed="false">
      <c r="A14499" s="0" t="s">
        <v>1245</v>
      </c>
      <c r="B14499" s="0" t="s">
        <v>98</v>
      </c>
      <c r="F14499" s="6" t="n">
        <f aca="false">(Sens!F14498-Sens!F14494)*Seg!F78/(Seg!F78+Seg!F80)</f>
        <v>8.72405610479892</v>
      </c>
      <c r="G14499" s="6" t="n">
        <f aca="false">(Sens!G14498-Sens!G14494)*Seg!G78/(Seg!G78+Seg!G80)</f>
        <v>7.897418765869</v>
      </c>
      <c r="H14499" s="6" t="n">
        <f aca="false">(Sens!H14498-Sens!H14494)*Seg!H78/(Seg!H78+Seg!H80)</f>
        <v>7.66644879573063</v>
      </c>
      <c r="I14499" s="6" t="n">
        <f aca="false">(Sens!I14498-Sens!I14494)*Seg!I78/(Seg!I78+Seg!I80)</f>
        <v>7.5787545031814</v>
      </c>
      <c r="J14499" s="6" t="n">
        <f aca="false">(Sens!J14498-Sens!J14494)*Seg!J78/(Seg!J78+Seg!J80)</f>
        <v>7.62401876450459</v>
      </c>
      <c r="K14499" s="6" t="n">
        <f aca="false">(Sens!K14498-Sens!K14494)*Seg!K78/(Seg!K78+Seg!K80)</f>
        <v>7.79847609658838</v>
      </c>
    </row>
    <row r="14500" customFormat="false" ht="17.15" hidden="false" customHeight="false" outlineLevel="0" collapsed="false">
      <c r="A14500" s="0" t="s">
        <v>1246</v>
      </c>
      <c r="B14500" s="0" t="s">
        <v>98</v>
      </c>
      <c r="F14500" s="6" t="n">
        <f aca="false">Sens!F14498-Sens!F14494-Sens!F14499</f>
        <v>6.72261492154066</v>
      </c>
      <c r="G14500" s="6" t="n">
        <f aca="false">Sens!G14498-Sens!G14494-Sens!G14499</f>
        <v>6.33014063899044</v>
      </c>
      <c r="H14500" s="6" t="n">
        <f aca="false">Sens!H14498-Sens!H14494-Sens!H14499</f>
        <v>6.32730487109095</v>
      </c>
      <c r="I14500" s="6" t="n">
        <f aca="false">Sens!I14498-Sens!I14494-Sens!I14499</f>
        <v>6.37673853755084</v>
      </c>
      <c r="J14500" s="6" t="n">
        <f aca="false">Sens!J14498-Sens!J14494-Sens!J14499</f>
        <v>6.47634294562954</v>
      </c>
      <c r="K14500" s="6" t="n">
        <f aca="false">Sens!K14498-Sens!K14494-Sens!K14499</f>
        <v>6.62453847699607</v>
      </c>
    </row>
    <row r="14501" customFormat="false" ht="17.15" hidden="false" customHeight="false" outlineLevel="0" collapsed="false">
      <c r="A14501" s="0" t="s">
        <v>1247</v>
      </c>
      <c r="B14501" s="0" t="s">
        <v>98</v>
      </c>
      <c r="F14501" s="6" t="n">
        <f aca="false">Sens!F14495-tax_f*(Sens!F14495-Thesis!F147)-Thesis!F144</f>
        <v>-130.362326762856</v>
      </c>
      <c r="G14501" s="6" t="n">
        <f aca="false">Sens!G14495-tax_f*(Sens!G14495-Thesis!G147)-Thesis!G144</f>
        <v>-124.225179337776</v>
      </c>
      <c r="H14501" s="6" t="n">
        <f aca="false">Sens!H14495-tax_f*(Sens!H14495-Thesis!H147)-Thesis!H144</f>
        <v>-101.534217387562</v>
      </c>
      <c r="I14501" s="6" t="n">
        <f aca="false">Sens!I14495-tax_f*(Sens!I14495-Thesis!I147)-Thesis!I144</f>
        <v>-43.6446798695439</v>
      </c>
      <c r="J14501" s="6" t="n">
        <f aca="false">Sens!J14495-tax_f*(Sens!J14495-Thesis!J147)-Thesis!J144</f>
        <v>16.9198855589618</v>
      </c>
      <c r="K14501" s="6" t="n">
        <f aca="false">Sens!K14495-tax_f*(Sens!K14495-Thesis!K147)-Thesis!K144</f>
        <v>39.8251384629271</v>
      </c>
    </row>
    <row r="14502" customFormat="false" ht="17.15" hidden="false" customHeight="false" outlineLevel="0" collapsed="false">
      <c r="A14502" s="0" t="s">
        <v>1248</v>
      </c>
      <c r="B14502" s="0" t="s">
        <v>98</v>
      </c>
      <c r="G14502" s="6" t="n">
        <f aca="false">Sens!G14501/(1+wacc)^(Sens!G14472-Sens!F14473)</f>
        <v>-118.286276192192</v>
      </c>
      <c r="H14502" s="6" t="n">
        <f aca="false">Sens!H14501/(1+wacc)^(Sens!H14472-Sens!F14473)</f>
        <v>-87.6570009910427</v>
      </c>
      <c r="I14502" s="6" t="n">
        <f aca="false">Sens!I14501/(1+wacc)^(Sens!I14472-Sens!F14473)</f>
        <v>-34.1629172979204</v>
      </c>
      <c r="J14502" s="6" t="n">
        <f aca="false">Sens!J14501/(1+wacc)^(Sens!J14472-Sens!F14473)</f>
        <v>12.0079954170053</v>
      </c>
      <c r="K14502" s="6" t="n">
        <f aca="false">Sens!K14501/(1+wacc)^(Sens!K14472-Sens!F14473)</f>
        <v>25.6259421582556</v>
      </c>
      <c r="L14502" s="1" t="s">
        <v>1249</v>
      </c>
    </row>
    <row r="14503" customFormat="false" ht="17.15" hidden="false" customHeight="false" outlineLevel="0" collapsed="false">
      <c r="A14503" s="0" t="s">
        <v>1250</v>
      </c>
      <c r="B14503" s="0" t="s">
        <v>98</v>
      </c>
      <c r="C14503" s="6" t="n">
        <f aca="false">(Sens!K14495-Thesis!K147)*(1-tax_f)*(1+g_tv_hi)*(1-g_tv_hi/(wacc+ronic_prem))/(wacc-g_tv_hi)/(1+wacc)^(Sens!K14473-Sens!F14473)</f>
        <v>97.653781353354</v>
      </c>
    </row>
    <row r="14504" customFormat="false" ht="17.15" hidden="false" customHeight="false" outlineLevel="0" collapsed="false">
      <c r="A14504" s="1" t="s">
        <v>1251</v>
      </c>
      <c r="B14504" s="0" t="s">
        <v>98</v>
      </c>
      <c r="C14504" s="6" t="n">
        <f aca="false">(SUM(Sens!G14502:K14502)+Sens!$C$14503)*(1+wacc)^(t_roll-Sens!F14473)</f>
        <v>-108.278850425128</v>
      </c>
      <c r="L14504" s="12" t="s">
        <v>1252</v>
      </c>
    </row>
    <row r="14505" customFormat="false" ht="17.15" hidden="false" customHeight="false" outlineLevel="0" collapsed="false">
      <c r="A14505" s="1" t="s">
        <v>1253</v>
      </c>
      <c r="B14505" s="0" t="s">
        <v>98</v>
      </c>
      <c r="C14505" s="6" t="n">
        <f aca="false">(w_ntm28*Thesis!G135+(1-w_ntm28)*Thesis!H135)*m_ai</f>
        <v>344.355829012336</v>
      </c>
    </row>
    <row r="14506" customFormat="false" ht="17.15" hidden="false" customHeight="false" outlineLevel="0" collapsed="false">
      <c r="A14506" s="1" t="s">
        <v>1254</v>
      </c>
      <c r="B14506" s="0" t="s">
        <v>98</v>
      </c>
      <c r="C14506" s="6" t="n">
        <f aca="false">(w_ntm28*Sens!G14497+(1-w_ntm28)*Sens!H14497)*m_cloud</f>
        <v>1093.03877543039</v>
      </c>
    </row>
    <row r="14507" customFormat="false" ht="17.15" hidden="false" customHeight="false" outlineLevel="0" collapsed="false">
      <c r="A14507" s="1" t="s">
        <v>1255</v>
      </c>
      <c r="B14507" s="0" t="s">
        <v>98</v>
      </c>
      <c r="C14507" s="6" t="n">
        <f aca="false">(w_ntm28*Sens!G14490+(1-w_ntm28)*Sens!H14490)*m_sw</f>
        <v>1045.17056616266</v>
      </c>
    </row>
    <row r="14508" customFormat="false" ht="17.15" hidden="false" customHeight="false" outlineLevel="0" collapsed="false">
      <c r="A14508" s="1" t="s">
        <v>1256</v>
      </c>
      <c r="B14508" s="0" t="s">
        <v>98</v>
      </c>
      <c r="C14508" s="6" t="n">
        <f aca="false">(w_ntm28*Sens!G14491+(1-w_ntm28)*Sens!H14491)*m_sw</f>
        <v>373.178444957791</v>
      </c>
    </row>
    <row r="14509" customFormat="false" ht="17.15" hidden="false" customHeight="false" outlineLevel="0" collapsed="false">
      <c r="A14509" s="1" t="s">
        <v>1257</v>
      </c>
      <c r="B14509" s="0" t="s">
        <v>98</v>
      </c>
      <c r="C14509" s="6" t="n">
        <f aca="false">(w_ntm28*Sens!G14492+(1-w_ntm28)*Sens!H14492)*m_sw</f>
        <v>109.30055788101</v>
      </c>
    </row>
    <row r="14510" customFormat="false" ht="17.15" hidden="false" customHeight="false" outlineLevel="0" collapsed="false">
      <c r="A14510" s="1" t="s">
        <v>1258</v>
      </c>
      <c r="B14510" s="0" t="s">
        <v>98</v>
      </c>
      <c r="C14510" s="6" t="n">
        <f aca="false">(w_ntm28*Sens!G14493+(1-w_ntm28)*Sens!H14493)*m_sw</f>
        <v>41.5531037214606</v>
      </c>
    </row>
    <row r="14511" customFormat="false" ht="17.15" hidden="false" customHeight="false" outlineLevel="0" collapsed="false">
      <c r="A14511" s="1" t="s">
        <v>1259</v>
      </c>
      <c r="B14511" s="0" t="s">
        <v>98</v>
      </c>
      <c r="C14511" s="6" t="n">
        <f aca="false">(w_ntm28*Sens!G14494+(1-w_ntm28)*Sens!H14494)*m_ads</f>
        <v>115.215899994784</v>
      </c>
    </row>
    <row r="14512" customFormat="false" ht="17.15" hidden="false" customHeight="false" outlineLevel="0" collapsed="false">
      <c r="A14512" s="1" t="s">
        <v>1260</v>
      </c>
      <c r="B14512" s="0" t="s">
        <v>98</v>
      </c>
      <c r="C14512" s="6" t="n">
        <f aca="false">(w_ntm28*Sens!G14499+(1-w_ntm28)*Sens!H14499)*m_game</f>
        <v>98.7853357615783</v>
      </c>
    </row>
    <row r="14513" customFormat="false" ht="17.15" hidden="false" customHeight="false" outlineLevel="0" collapsed="false">
      <c r="A14513" s="1" t="s">
        <v>1261</v>
      </c>
      <c r="B14513" s="0" t="s">
        <v>98</v>
      </c>
      <c r="C14513" s="6" t="n">
        <f aca="false">(w_ntm28*Sens!G14500+(1-w_ntm28)*Sens!H14500)*m_pc</f>
        <v>91.5836445602173</v>
      </c>
    </row>
    <row r="14514" customFormat="false" ht="17.15" hidden="false" customHeight="false" outlineLevel="0" collapsed="false">
      <c r="A14514" s="1" t="s">
        <v>1262</v>
      </c>
      <c r="B14514" s="0" t="s">
        <v>98</v>
      </c>
      <c r="C14514" s="6" t="n">
        <f aca="false">Sens!$C$14504+Sens!$C$14506+Sens!$C$14507+Sens!$C$14508+Sens!$C$14509+Sens!$C$14510+Sens!$C$14511+Sens!$C$14512+Sens!$C$14513</f>
        <v>2859.54747804476</v>
      </c>
    </row>
    <row r="14515" customFormat="false" ht="17.15" hidden="false" customHeight="false" outlineLevel="0" collapsed="false">
      <c r="A14515" s="1" t="s">
        <v>1263</v>
      </c>
      <c r="B14515" s="0" t="s">
        <v>98</v>
      </c>
      <c r="C14515" s="6" t="n">
        <f aca="false">(Sens!G14476-Sens!G14501)*t_stub</f>
        <v>47.4829168796038</v>
      </c>
      <c r="L14515" s="1" t="s">
        <v>1264</v>
      </c>
    </row>
    <row r="14516" customFormat="false" ht="17.15" hidden="false" customHeight="false" outlineLevel="0" collapsed="false">
      <c r="A14516" s="1" t="s">
        <v>1173</v>
      </c>
      <c r="B14516" s="0" t="s">
        <v>98</v>
      </c>
      <c r="C14516" s="6" t="n">
        <f aca="false">CF!F103+oai_v-CF!F92+Sens!$C$14515</f>
        <v>158.55427008544</v>
      </c>
      <c r="L14516" s="1" t="s">
        <v>1265</v>
      </c>
    </row>
    <row r="14517" customFormat="false" ht="17.15" hidden="false" customHeight="false" outlineLevel="0" collapsed="false">
      <c r="A14517" s="1" t="s">
        <v>1266</v>
      </c>
      <c r="B14517" s="0" t="s">
        <v>75</v>
      </c>
      <c r="C14517" s="5" t="n">
        <f aca="false">(Sens!$C$14514+Sens!$C$14516)/(CF!F105+dil_gap)-CF!G95*roll_div_q/q_per_yr</f>
        <v>401.588801511499</v>
      </c>
      <c r="L14517" s="1" t="s">
        <v>1267</v>
      </c>
    </row>
    <row r="14518" customFormat="false" ht="17.15" hidden="false" customHeight="false" outlineLevel="0" collapsed="false">
      <c r="A14518" s="1" t="s">
        <v>1268</v>
      </c>
      <c r="B14518" s="0" t="s">
        <v>75</v>
      </c>
      <c r="C14518" s="5" t="n">
        <f aca="false">w_dcf*Sens!$C$14488+(1-w_dcf)*Sens!$C$14517</f>
        <v>342.121253744109</v>
      </c>
    </row>
    <row r="14519" customFormat="false" ht="17.15" hidden="false" customHeight="false" outlineLevel="0" collapsed="false">
      <c r="A14519" s="3" t="s">
        <v>1972</v>
      </c>
    </row>
    <row r="14520" customFormat="false" ht="15" hidden="false" customHeight="false" outlineLevel="0" collapsed="false">
      <c r="A14520" s="4" t="s">
        <v>43</v>
      </c>
      <c r="B14520" s="4" t="s">
        <v>65</v>
      </c>
      <c r="C14520" s="23" t="s">
        <v>942</v>
      </c>
      <c r="D14520" s="23" t="s">
        <v>943</v>
      </c>
      <c r="E14520" s="23" t="s">
        <v>944</v>
      </c>
      <c r="F14520" s="23" t="s">
        <v>945</v>
      </c>
      <c r="G14520" s="23" t="s">
        <v>946</v>
      </c>
      <c r="H14520" s="23" t="s">
        <v>947</v>
      </c>
      <c r="I14520" s="23" t="s">
        <v>948</v>
      </c>
      <c r="J14520" s="23" t="s">
        <v>949</v>
      </c>
      <c r="K14520" s="23" t="s">
        <v>950</v>
      </c>
      <c r="L14520" s="4" t="s">
        <v>47</v>
      </c>
    </row>
    <row r="14521" customFormat="false" ht="17.15" hidden="false" customHeight="false" outlineLevel="0" collapsed="false">
      <c r="A14521" s="1" t="s">
        <v>1216</v>
      </c>
      <c r="B14521" s="1" t="s">
        <v>279</v>
      </c>
      <c r="F14521" s="8" t="n">
        <f aca="false">(1-v_off)*mid_yr</f>
        <v>0.373972602739726</v>
      </c>
      <c r="G14521" s="8" t="n">
        <f aca="false">Thesis!G6-base_fy-mid_yr-v_off</f>
        <v>1.24794520547945</v>
      </c>
      <c r="H14521" s="8" t="n">
        <f aca="false">Thesis!H6-base_fy-mid_yr-v_off</f>
        <v>2.24794520547945</v>
      </c>
      <c r="I14521" s="8" t="n">
        <f aca="false">Thesis!I6-base_fy-mid_yr-v_off</f>
        <v>3.24794520547945</v>
      </c>
      <c r="J14521" s="8" t="n">
        <f aca="false">Thesis!J6-base_fy-mid_yr-v_off</f>
        <v>4.24794520547945</v>
      </c>
      <c r="K14521" s="8" t="n">
        <f aca="false">Thesis!K6-base_fy-mid_yr-v_off</f>
        <v>5.24794520547945</v>
      </c>
      <c r="L14521" s="12" t="s">
        <v>1217</v>
      </c>
    </row>
    <row r="14522" customFormat="false" ht="15" hidden="false" customHeight="false" outlineLevel="0" collapsed="false">
      <c r="A14522" s="1" t="s">
        <v>1218</v>
      </c>
      <c r="B14522" s="1" t="s">
        <v>279</v>
      </c>
      <c r="F14522" s="8" t="n">
        <f aca="false">Thesis!F6-base_fy-v_off</f>
        <v>0.747945205479452</v>
      </c>
      <c r="G14522" s="8" t="n">
        <f aca="false">Thesis!G6-base_fy-v_off</f>
        <v>1.74794520547945</v>
      </c>
      <c r="H14522" s="8" t="n">
        <f aca="false">Thesis!H6-base_fy-v_off</f>
        <v>2.74794520547945</v>
      </c>
      <c r="I14522" s="8" t="n">
        <f aca="false">Thesis!I6-base_fy-v_off</f>
        <v>3.74794520547945</v>
      </c>
      <c r="J14522" s="8" t="n">
        <f aca="false">Thesis!J6-base_fy-v_off</f>
        <v>4.74794520547945</v>
      </c>
      <c r="K14522" s="8" t="n">
        <f aca="false">Thesis!K6-base_fy-v_off</f>
        <v>5.74794520547945</v>
      </c>
    </row>
    <row r="14523" customFormat="false" ht="15" hidden="false" customHeight="false" outlineLevel="0" collapsed="false">
      <c r="A14523" s="1" t="s">
        <v>1219</v>
      </c>
      <c r="B14523" s="0" t="s">
        <v>229</v>
      </c>
      <c r="F14523" s="15" t="n">
        <f aca="false">1/(1+((px*sh_val*(rf+beta*erp_lo)+(debt_val+fl_val)*kd*(1-tax_w))/(px*sh_val+debt_val+fl_val)))^Sens!F14521</f>
        <v>0.965763509382425</v>
      </c>
      <c r="G14523" s="15" t="n">
        <f aca="false">1/(1+((px*sh_val*(rf+beta*erp_lo)+(debt_val+fl_val)*kd*(1-tax_w))/(px*sh_val+debt_val+fl_val)))^Sens!G14521</f>
        <v>0.890253906323253</v>
      </c>
      <c r="H14523" s="15" t="n">
        <f aca="false">1/(1+((px*sh_val*(rf+beta*erp_lo)+(debt_val+fl_val)*kd*(1-tax_w))/(px*sh_val+debt_val+fl_val)))^Sens!H14521</f>
        <v>0.811070295847671</v>
      </c>
      <c r="I14523" s="15" t="n">
        <f aca="false">1/(1+((px*sh_val*(rf+beta*erp_lo)+(debt_val+fl_val)*kd*(1-tax_w))/(px*sh_val+debt_val+fl_val)))^Sens!I14521</f>
        <v>0.738929669540329</v>
      </c>
      <c r="J14523" s="15" t="n">
        <f aca="false">1/(1+((px*sh_val*(rf+beta*erp_lo)+(debt_val+fl_val)*kd*(1-tax_w))/(px*sh_val+debt_val+fl_val)))^Sens!J14521</f>
        <v>0.6732055893581</v>
      </c>
      <c r="K14523" s="15" t="n">
        <f aca="false">1/(1+((px*sh_val*(rf+beta*erp_lo)+(debt_val+fl_val)*kd*(1-tax_w))/(px*sh_val+debt_val+fl_val)))^Sens!K14521</f>
        <v>0.613327335773261</v>
      </c>
    </row>
    <row r="14524" customFormat="false" ht="17.15" hidden="false" customHeight="false" outlineLevel="0" collapsed="false">
      <c r="A14524" s="1" t="s">
        <v>1220</v>
      </c>
      <c r="B14524" s="0" t="s">
        <v>98</v>
      </c>
      <c r="F14524" s="6" t="n">
        <f aca="false">Q!$I$35-Q!$I$39-Q!$I$43</f>
        <v>9.666</v>
      </c>
      <c r="L14524" s="12" t="s">
        <v>1221</v>
      </c>
    </row>
    <row r="14525" customFormat="false" ht="17.15" hidden="false" customHeight="false" outlineLevel="0" collapsed="false">
      <c r="A14525" s="1" t="s">
        <v>1222</v>
      </c>
      <c r="B14525" s="0" t="s">
        <v>98</v>
      </c>
      <c r="F14525" s="6" t="n">
        <f aca="false">CF!F23-CF!F20-CF!F27+Thesis!F47*(1-tax_f)*(1-v_off)-Sens!F14524</f>
        <v>-1.12880264559539</v>
      </c>
      <c r="G14525" s="6" t="n">
        <f aca="false">CF!G23-CF!G20-CF!G27+Thesis!G47*(1-tax_f)</f>
        <v>38.7194421947551</v>
      </c>
      <c r="H14525" s="6" t="n">
        <f aca="false">CF!H23-CF!H20-CF!H27+Thesis!H47*(1-tax_f)</f>
        <v>98.6927474567662</v>
      </c>
      <c r="I14525" s="6" t="n">
        <f aca="false">CF!I23-CF!I20-CF!I27+Thesis!I47*(1-tax_f)</f>
        <v>181.625440536277</v>
      </c>
      <c r="J14525" s="6" t="n">
        <f aca="false">CF!J23-CF!J20-CF!J27+Thesis!J47*(1-tax_f)</f>
        <v>263.350402418584</v>
      </c>
      <c r="K14525" s="6" t="n">
        <f aca="false">CF!K23-CF!K20-CF!K27+Thesis!K47*(1-tax_f)</f>
        <v>303.659068389018</v>
      </c>
      <c r="L14525" s="1" t="s">
        <v>1223</v>
      </c>
    </row>
    <row r="14526" customFormat="false" ht="15" hidden="false" customHeight="false" outlineLevel="0" collapsed="false">
      <c r="A14526" s="1" t="s">
        <v>1224</v>
      </c>
      <c r="B14526" s="0" t="s">
        <v>98</v>
      </c>
      <c r="F14526" s="6" t="n">
        <f aca="false">Sens!F14525*Sens!F14523</f>
        <v>-1.09015640441037</v>
      </c>
      <c r="G14526" s="6" t="n">
        <f aca="false">Sens!G14525*Sens!G14523</f>
        <v>34.4701346645381</v>
      </c>
      <c r="H14526" s="6" t="n">
        <f aca="false">Sens!H14525*Sens!H14523</f>
        <v>80.0467558777788</v>
      </c>
      <c r="I14526" s="6" t="n">
        <f aca="false">Sens!I14525*Sens!I14523</f>
        <v>134.208426755588</v>
      </c>
      <c r="J14526" s="6" t="n">
        <f aca="false">Sens!J14525*Sens!J14523</f>
        <v>177.288962867895</v>
      </c>
      <c r="K14526" s="6" t="n">
        <f aca="false">Sens!K14525*Sens!K14523</f>
        <v>186.242407398427</v>
      </c>
    </row>
    <row r="14527" customFormat="false" ht="17.15" hidden="false" customHeight="false" outlineLevel="0" collapsed="false">
      <c r="A14527" s="1" t="s">
        <v>1225</v>
      </c>
      <c r="B14527" s="0" t="s">
        <v>98</v>
      </c>
      <c r="C14527" s="6" t="n">
        <f aca="false">SUM(Sens!F14526:K14526)</f>
        <v>611.166531159817</v>
      </c>
    </row>
    <row r="14528" customFormat="false" ht="17.15" hidden="false" customHeight="false" outlineLevel="0" collapsed="false">
      <c r="A14528" s="1" t="s">
        <v>1226</v>
      </c>
      <c r="B14528" s="0" t="s">
        <v>98</v>
      </c>
      <c r="C14528" s="6" t="n">
        <f aca="false">PL!K39*(1+g_tv)*(1-tax_f)</f>
        <v>316.501318799308</v>
      </c>
    </row>
    <row r="14529" customFormat="false" ht="17.15" hidden="false" customHeight="false" outlineLevel="0" collapsed="false">
      <c r="A14529" s="1" t="s">
        <v>1227</v>
      </c>
      <c r="B14529" s="0" t="s">
        <v>98</v>
      </c>
      <c r="C14529" s="6" t="n">
        <f aca="false">Sens!$C$14528*(1-g_tv/(((px*sh_val*(rf+beta*erp_lo)+(debt_val+fl_val)*kd*(1-tax_w))/(px*sh_val+debt_val+fl_val))+ronic_prem))</f>
        <v>219.24451904001</v>
      </c>
    </row>
    <row r="14530" customFormat="false" ht="17.15" hidden="false" customHeight="false" outlineLevel="0" collapsed="false">
      <c r="A14530" s="1" t="s">
        <v>1228</v>
      </c>
      <c r="B14530" s="0" t="s">
        <v>98</v>
      </c>
      <c r="C14530" s="6" t="n">
        <f aca="false">Sens!$C$14529/(((px*sh_val*(rf+beta*erp_lo)+(debt_val+fl_val)*kd*(1-tax_w))/(px*sh_val+debt_val+fl_val))-g_tv)</f>
        <v>3241.89332530994</v>
      </c>
    </row>
    <row r="14531" customFormat="false" ht="15" hidden="false" customHeight="false" outlineLevel="0" collapsed="false">
      <c r="A14531" s="1" t="s">
        <v>1229</v>
      </c>
      <c r="B14531" s="0" t="s">
        <v>98</v>
      </c>
      <c r="C14531" s="6" t="n">
        <f aca="false">Sens!$C$14530/(1+((px*sh_val*(rf+beta*erp_lo)+(debt_val+fl_val)*kd*(1-tax_w))/(px*sh_val+debt_val+fl_val)))^Sens!K14522</f>
        <v>1897.8563876351</v>
      </c>
    </row>
    <row r="14532" customFormat="false" ht="17.15" hidden="false" customHeight="false" outlineLevel="0" collapsed="false">
      <c r="A14532" s="0" t="s">
        <v>1230</v>
      </c>
      <c r="B14532" s="0" t="s">
        <v>98</v>
      </c>
      <c r="C14532" s="6" t="n">
        <f aca="false">Sens!$C$14527+Sens!$C$14531</f>
        <v>2509.02291879492</v>
      </c>
    </row>
    <row r="14533" customFormat="false" ht="15" hidden="false" customHeight="false" outlineLevel="0" collapsed="false">
      <c r="A14533" s="1" t="s">
        <v>1145</v>
      </c>
      <c r="B14533" s="0" t="s">
        <v>168</v>
      </c>
      <c r="C14533" s="7" t="n">
        <f aca="false">Sens!$C$14531/Sens!$C$14532</f>
        <v>0.756412535500728</v>
      </c>
    </row>
    <row r="14534" customFormat="false" ht="17.15" hidden="false" customHeight="false" outlineLevel="0" collapsed="false">
      <c r="A14534" s="1" t="s">
        <v>1231</v>
      </c>
      <c r="B14534" s="0" t="s">
        <v>98</v>
      </c>
      <c r="C14534" s="6" t="n">
        <f aca="false">Sens!$C$14532+cash_val-debt_val-fl_val+oai_v</f>
        <v>2624.87391879492</v>
      </c>
    </row>
    <row r="14535" customFormat="false" ht="17.15" hidden="false" customHeight="false" outlineLevel="0" collapsed="false">
      <c r="A14535" s="0" t="s">
        <v>1153</v>
      </c>
      <c r="B14535" s="0" t="s">
        <v>75</v>
      </c>
      <c r="C14535" s="5" t="n">
        <f aca="false">Sens!$C$14534/shd_val</f>
        <v>352.521342841111</v>
      </c>
    </row>
    <row r="14536" customFormat="false" ht="15" hidden="false" customHeight="false" outlineLevel="0" collapsed="false">
      <c r="A14536" s="1" t="s">
        <v>1232</v>
      </c>
      <c r="B14536" s="0" t="s">
        <v>75</v>
      </c>
      <c r="C14536" s="8" t="n">
        <f aca="false">div_rem27+CF!G31*roll_div_q/q_per_yr</f>
        <v>3.9795</v>
      </c>
    </row>
    <row r="14537" customFormat="false" ht="17.15" hidden="false" customHeight="false" outlineLevel="0" collapsed="false">
      <c r="A14537" s="0" t="s">
        <v>1233</v>
      </c>
      <c r="B14537" s="0" t="s">
        <v>75</v>
      </c>
      <c r="C14537" s="5" t="n">
        <f aca="false">Sens!$C$14535*(1+((px*sh_val*(rf+beta*erp_lo)+(debt_val+fl_val)*kd*(1-tax_w))/(px*sh_val+debt_val+fl_val)))^t_roll-Sens!$C$14536</f>
        <v>385.832380686132</v>
      </c>
    </row>
    <row r="14538" customFormat="false" ht="17.15" hidden="false" customHeight="false" outlineLevel="0" collapsed="false">
      <c r="A14538" s="1" t="s">
        <v>1234</v>
      </c>
      <c r="B14538" s="0" t="s">
        <v>168</v>
      </c>
      <c r="F14538" s="7" t="n">
        <f aca="false">CF!F17/(Seg!F29-Thesis!F25)</f>
        <v>0.0685527305696859</v>
      </c>
      <c r="G14538" s="7" t="n">
        <f aca="false">CF!G17/(Seg!G29-Thesis!G25)</f>
        <v>0.0653567731599844</v>
      </c>
      <c r="H14538" s="7" t="n">
        <f aca="false">CF!H17/(Seg!H29-Thesis!H25)</f>
        <v>0.0636628841026972</v>
      </c>
      <c r="I14538" s="7" t="n">
        <f aca="false">CF!I17/(Seg!I29-Thesis!I25)</f>
        <v>0.0633581084335176</v>
      </c>
      <c r="J14538" s="7" t="n">
        <f aca="false">CF!J17/(Seg!J29-Thesis!J25)</f>
        <v>0.0640873955995062</v>
      </c>
      <c r="K14538" s="7" t="n">
        <f aca="false">CF!K17/(Seg!K29-Thesis!K25)</f>
        <v>0.0653962234835198</v>
      </c>
    </row>
    <row r="14539" customFormat="false" ht="17.15" hidden="false" customHeight="false" outlineLevel="0" collapsed="false">
      <c r="A14539" s="0" t="s">
        <v>1235</v>
      </c>
      <c r="B14539" s="0" t="s">
        <v>98</v>
      </c>
      <c r="F14539" s="6" t="n">
        <f aca="false">Seg!F14*(al_m365+Sens!F14538+sbc_r)</f>
        <v>84.5213906545575</v>
      </c>
      <c r="G14539" s="6" t="n">
        <f aca="false">Seg!G14*(al_m365+Sens!G14538+sbc_r)</f>
        <v>98.949983331796</v>
      </c>
      <c r="H14539" s="6" t="n">
        <f aca="false">Seg!H14*(al_m365+Sens!H14538+sbc_r)</f>
        <v>113.543734275326</v>
      </c>
      <c r="I14539" s="6" t="n">
        <f aca="false">Seg!I14*(al_m365+Sens!I14538+sbc_r)</f>
        <v>126.62058838692</v>
      </c>
      <c r="J14539" s="6" t="n">
        <f aca="false">Seg!J14*(al_m365+Sens!J14538+sbc_r)</f>
        <v>137.994660156303</v>
      </c>
      <c r="K14539" s="6" t="n">
        <f aca="false">Seg!K14*(al_m365+Sens!K14538+sbc_r)</f>
        <v>148.989224092997</v>
      </c>
      <c r="L14539" s="12" t="s">
        <v>1236</v>
      </c>
    </row>
    <row r="14540" customFormat="false" ht="17.15" hidden="false" customHeight="false" outlineLevel="0" collapsed="false">
      <c r="A14540" s="0" t="s">
        <v>1237</v>
      </c>
      <c r="B14540" s="0" t="s">
        <v>98</v>
      </c>
      <c r="F14540" s="6" t="n">
        <f aca="false">Seg!F15*(al_lic+Sens!F14538+sbc_r)</f>
        <v>32.855200196554</v>
      </c>
      <c r="G14540" s="6" t="n">
        <f aca="false">Seg!G15*(al_lic+Sens!G14538+sbc_r)</f>
        <v>34.1185582613282</v>
      </c>
      <c r="H14540" s="6" t="n">
        <f aca="false">Seg!H15*(al_lic+Sens!H14538+sbc_r)</f>
        <v>35.3024309363621</v>
      </c>
      <c r="I14540" s="6" t="n">
        <f aca="false">Seg!I15*(al_lic+Sens!I14538+sbc_r)</f>
        <v>36.3898468129533</v>
      </c>
      <c r="J14540" s="6" t="n">
        <f aca="false">Seg!J15*(al_lic+Sens!J14538+sbc_r)</f>
        <v>37.3529129529876</v>
      </c>
      <c r="K14540" s="6" t="n">
        <f aca="false">Seg!K15*(al_lic+Sens!K14538+sbc_r)</f>
        <v>38.158536171203</v>
      </c>
    </row>
    <row r="14541" customFormat="false" ht="17.15" hidden="false" customHeight="false" outlineLevel="0" collapsed="false">
      <c r="A14541" s="0" t="s">
        <v>1238</v>
      </c>
      <c r="B14541" s="0" t="s">
        <v>98</v>
      </c>
      <c r="F14541" s="6" t="n">
        <f aca="false">Seg!F17*(al_ind+Sens!F14538+sbc_r)</f>
        <v>9.05892547956683</v>
      </c>
      <c r="G14541" s="6" t="n">
        <f aca="false">Seg!G17*(al_ind+Sens!G14538+sbc_r)</f>
        <v>9.82456487622418</v>
      </c>
      <c r="H14541" s="6" t="n">
        <f aca="false">Seg!H17*(al_ind+Sens!H14538+sbc_r)</f>
        <v>10.6377408477959</v>
      </c>
      <c r="I14541" s="6" t="n">
        <f aca="false">Seg!I17*(al_ind+Sens!I14538+sbc_r)</f>
        <v>11.4966323260293</v>
      </c>
      <c r="J14541" s="6" t="n">
        <f aca="false">Seg!J17*(al_ind+Sens!J14538+sbc_r)</f>
        <v>12.3903660286279</v>
      </c>
      <c r="K14541" s="6" t="n">
        <f aca="false">Seg!K17*(al_ind+Sens!K14538+sbc_r)</f>
        <v>13.3009129057681</v>
      </c>
    </row>
    <row r="14542" customFormat="false" ht="17.15" hidden="false" customHeight="false" outlineLevel="0" collapsed="false">
      <c r="A14542" s="0" t="s">
        <v>1239</v>
      </c>
      <c r="B14542" s="0" t="s">
        <v>98</v>
      </c>
      <c r="F14542" s="6" t="n">
        <f aca="false">Seg!F19*(al_fro+Sens!F14538+sbc_r)</f>
        <v>3.55344443532423</v>
      </c>
      <c r="G14542" s="6" t="n">
        <f aca="false">Seg!G19*(al_fro+Sens!G14538+sbc_r)</f>
        <v>3.75916645971565</v>
      </c>
      <c r="H14542" s="6" t="n">
        <f aca="false">Seg!H19*(al_fro+Sens!H14538+sbc_r)</f>
        <v>3.994970960527</v>
      </c>
      <c r="I14542" s="6" t="n">
        <f aca="false">Seg!I19*(al_fro+Sens!I14538+sbc_r)</f>
        <v>4.26396270432353</v>
      </c>
      <c r="J14542" s="6" t="n">
        <f aca="false">Seg!J19*(al_fro+Sens!J14538+sbc_r)</f>
        <v>4.5667795874336</v>
      </c>
      <c r="K14542" s="6" t="n">
        <f aca="false">Seg!K19*(al_fro+Sens!K14538+sbc_r)</f>
        <v>4.90238443416026</v>
      </c>
    </row>
    <row r="14543" customFormat="false" ht="17.15" hidden="false" customHeight="false" outlineLevel="0" collapsed="false">
      <c r="A14543" s="0" t="s">
        <v>1240</v>
      </c>
      <c r="B14543" s="0" t="s">
        <v>98</v>
      </c>
      <c r="F14543" s="6" t="n">
        <f aca="false">Seg!F22*(al_srch+Sens!F14538+sbc_r)</f>
        <v>11.1872483445711</v>
      </c>
      <c r="G14543" s="6" t="n">
        <f aca="false">Seg!G22*(al_srch+Sens!G14538+sbc_r)</f>
        <v>12.247246048296</v>
      </c>
      <c r="H14543" s="6" t="n">
        <f aca="false">Seg!H22*(al_srch+Sens!H14538+sbc_r)</f>
        <v>13.3552870946193</v>
      </c>
      <c r="I14543" s="6" t="n">
        <f aca="false">Seg!I22*(al_srch+Sens!I14538+sbc_r)</f>
        <v>14.5024145321619</v>
      </c>
      <c r="J14543" s="6" t="n">
        <f aca="false">Seg!J22*(al_srch+Sens!J14538+sbc_r)</f>
        <v>15.667276660652</v>
      </c>
      <c r="K14543" s="6" t="n">
        <f aca="false">Seg!K22*(al_srch+Sens!K14538+sbc_r)</f>
        <v>16.8186381138719</v>
      </c>
    </row>
    <row r="14544" customFormat="false" ht="17.15" hidden="false" customHeight="false" outlineLevel="0" collapsed="false">
      <c r="A14544" s="0" t="s">
        <v>1241</v>
      </c>
      <c r="B14544" s="0" t="s">
        <v>98</v>
      </c>
      <c r="F14544" s="6" t="n">
        <f aca="false">Thesis!F31-Thesis!F32+Thesis!F47</f>
        <v>45.3782580567763</v>
      </c>
      <c r="G14544" s="6" t="n">
        <f aca="false">Thesis!G31-Thesis!G32+Thesis!G47</f>
        <v>91.0863367558165</v>
      </c>
      <c r="H14544" s="6" t="n">
        <f aca="false">Thesis!H31-Thesis!H32+Thesis!H47</f>
        <v>144.617532464853</v>
      </c>
      <c r="I14544" s="6" t="n">
        <f aca="false">Thesis!I31-Thesis!I32+Thesis!I47</f>
        <v>187.137304561304</v>
      </c>
      <c r="J14544" s="6" t="n">
        <f aca="false">Thesis!J31-Thesis!J32+Thesis!J47</f>
        <v>217.006854425907</v>
      </c>
      <c r="K14544" s="6" t="n">
        <f aca="false">Thesis!K31-Thesis!K32+Thesis!K47</f>
        <v>234.933637903877</v>
      </c>
    </row>
    <row r="14545" customFormat="false" ht="17.15" hidden="false" customHeight="false" outlineLevel="0" collapsed="false">
      <c r="A14545" s="0" t="s">
        <v>1242</v>
      </c>
      <c r="B14545" s="0" t="s">
        <v>98</v>
      </c>
      <c r="F14545" s="6" t="n">
        <f aca="false">PL!F32+Thesis!F47+Thesis!F43+Sens!F14538*(Seg!F21-Thesis!F25)+sbc_r*Seg!F21</f>
        <v>240.818167741339</v>
      </c>
      <c r="G14545" s="6" t="n">
        <f aca="false">PL!G32+Thesis!G47+Thesis!G43+Sens!G14538*(Seg!G21-Thesis!G25)+sbc_r*Seg!G21</f>
        <v>311.917784140952</v>
      </c>
      <c r="H14545" s="6" t="n">
        <f aca="false">PL!H32+Thesis!H47+Thesis!H43+Sens!H14538*(Seg!H21-Thesis!H25)+sbc_r*Seg!H21</f>
        <v>395.486245683473</v>
      </c>
      <c r="I14545" s="6" t="n">
        <f aca="false">PL!I32+Thesis!I47+Thesis!I43+Sens!I14538*(Seg!I21-Thesis!I25)+sbc_r*Seg!I21</f>
        <v>465.950805948377</v>
      </c>
      <c r="J14545" s="6" t="n">
        <f aca="false">PL!J32+Thesis!J47+Thesis!J43+Sens!J14538*(Seg!J21-Thesis!J25)+sbc_r*Seg!J21</f>
        <v>520.78677388057</v>
      </c>
      <c r="K14545" s="6" t="n">
        <f aca="false">PL!K32+Thesis!K47+Thesis!K43+Sens!K14538*(Seg!K21-Thesis!K25)+sbc_r*Seg!K21</f>
        <v>561.2469767412</v>
      </c>
    </row>
    <row r="14546" customFormat="false" ht="17.15" hidden="false" customHeight="false" outlineLevel="0" collapsed="false">
      <c r="A14546" s="0" t="s">
        <v>1243</v>
      </c>
      <c r="B14546" s="0" t="s">
        <v>98</v>
      </c>
      <c r="F14546" s="6" t="n">
        <f aca="false">Sens!F14545-Sens!F14539-Sens!F14540-Sens!F14541-Sens!F14542-Sens!F14544</f>
        <v>65.4509489185601</v>
      </c>
      <c r="G14546" s="6" t="n">
        <f aca="false">Sens!G14545-Sens!G14539-Sens!G14540-Sens!G14541-Sens!G14542-Sens!G14544</f>
        <v>74.1791744560715</v>
      </c>
      <c r="H14546" s="6" t="n">
        <f aca="false">Sens!H14545-Sens!H14539-Sens!H14540-Sens!H14541-Sens!H14542-Sens!H14544</f>
        <v>87.3898361986086</v>
      </c>
      <c r="I14546" s="6" t="n">
        <f aca="false">Sens!I14545-Sens!I14539-Sens!I14540-Sens!I14541-Sens!I14542-Sens!I14544</f>
        <v>100.042471156846</v>
      </c>
      <c r="J14546" s="6" t="n">
        <f aca="false">Sens!J14545-Sens!J14539-Sens!J14540-Sens!J14541-Sens!J14542-Sens!J14544</f>
        <v>111.475200729312</v>
      </c>
      <c r="K14546" s="6" t="n">
        <f aca="false">Sens!K14545-Sens!K14539-Sens!K14540-Sens!K14541-Sens!K14542-Sens!K14544</f>
        <v>120.962281233195</v>
      </c>
    </row>
    <row r="14547" customFormat="false" ht="17.15" hidden="false" customHeight="false" outlineLevel="0" collapsed="false">
      <c r="A14547" s="0" t="s">
        <v>1244</v>
      </c>
      <c r="B14547" s="0" t="s">
        <v>98</v>
      </c>
      <c r="F14547" s="6" t="n">
        <f aca="false">PL!F34+Sens!F14538*Seg!F28+sbc_r*Seg!F28</f>
        <v>26.6293388420472</v>
      </c>
      <c r="G14547" s="6" t="n">
        <f aca="false">PL!G34+Sens!G14538*Seg!G28+sbc_r*Seg!G28</f>
        <v>26.4405000412783</v>
      </c>
      <c r="H14547" s="6" t="n">
        <f aca="false">PL!H34+Sens!H14538*Seg!H28+sbc_r*Seg!H28</f>
        <v>27.296860059552</v>
      </c>
      <c r="I14547" s="6" t="n">
        <f aca="false">PL!I34+Sens!I14538*Seg!I28+sbc_r*Seg!I28</f>
        <v>28.3995465815703</v>
      </c>
      <c r="J14547" s="6" t="n">
        <f aca="false">PL!J34+Sens!J14538*Seg!J28+sbc_r*Seg!J28</f>
        <v>29.7093380975903</v>
      </c>
      <c r="K14547" s="6" t="n">
        <f aca="false">PL!K34+Sens!K14538*Seg!K28+sbc_r*Seg!K28</f>
        <v>31.1817775287323</v>
      </c>
    </row>
    <row r="14548" customFormat="false" ht="17.15" hidden="false" customHeight="false" outlineLevel="0" collapsed="false">
      <c r="A14548" s="0" t="s">
        <v>1245</v>
      </c>
      <c r="B14548" s="0" t="s">
        <v>98</v>
      </c>
      <c r="F14548" s="6" t="n">
        <f aca="false">(Sens!F14547-Sens!F14543)*Seg!F24/(Seg!F24+Seg!F26)</f>
        <v>8.72146908842971</v>
      </c>
      <c r="G14548" s="6" t="n">
        <f aca="false">(Sens!G14547-Sens!G14543)*Seg!G24/(Seg!G24+Seg!G26)</f>
        <v>7.87837655379173</v>
      </c>
      <c r="H14548" s="6" t="n">
        <f aca="false">(Sens!H14547-Sens!H14543)*Seg!H24/(Seg!H24+Seg!H26)</f>
        <v>7.63786170689933</v>
      </c>
      <c r="I14548" s="6" t="n">
        <f aca="false">(Sens!I14547-Sens!I14543)*Seg!I24/(Seg!I24+Seg!I26)</f>
        <v>7.5470606300581</v>
      </c>
      <c r="J14548" s="6" t="n">
        <f aca="false">(Sens!J14547-Sens!J14543)*Seg!J24/(Seg!J24+Seg!J26)</f>
        <v>7.59249600034024</v>
      </c>
      <c r="K14548" s="6" t="n">
        <f aca="false">(Sens!K14547-Sens!K14543)*Seg!K24/(Seg!K24+Seg!K26)</f>
        <v>7.76610179704742</v>
      </c>
    </row>
    <row r="14549" customFormat="false" ht="17.15" hidden="false" customHeight="false" outlineLevel="0" collapsed="false">
      <c r="A14549" s="0" t="s">
        <v>1246</v>
      </c>
      <c r="B14549" s="0" t="s">
        <v>98</v>
      </c>
      <c r="F14549" s="6" t="n">
        <f aca="false">Sens!F14547-Sens!F14543-Sens!F14548</f>
        <v>6.72062140904636</v>
      </c>
      <c r="G14549" s="6" t="n">
        <f aca="false">Sens!G14547-Sens!G14543-Sens!G14548</f>
        <v>6.31487743919059</v>
      </c>
      <c r="H14549" s="6" t="n">
        <f aca="false">Sens!H14547-Sens!H14543-Sens!H14548</f>
        <v>6.30371125803333</v>
      </c>
      <c r="I14549" s="6" t="n">
        <f aca="false">Sens!I14547-Sens!I14543-Sens!I14548</f>
        <v>6.35007141935025</v>
      </c>
      <c r="J14549" s="6" t="n">
        <f aca="false">Sens!J14547-Sens!J14543-Sens!J14548</f>
        <v>6.44956543659808</v>
      </c>
      <c r="K14549" s="6" t="n">
        <f aca="false">Sens!K14547-Sens!K14543-Sens!K14548</f>
        <v>6.597037617813</v>
      </c>
    </row>
    <row r="14550" customFormat="false" ht="17.15" hidden="false" customHeight="false" outlineLevel="0" collapsed="false">
      <c r="A14550" s="0" t="s">
        <v>1247</v>
      </c>
      <c r="B14550" s="0" t="s">
        <v>98</v>
      </c>
      <c r="F14550" s="6" t="n">
        <f aca="false">Sens!F14544-tax_f*(Sens!F14544-Thesis!F43)-Thesis!F40</f>
        <v>-125.235434701028</v>
      </c>
      <c r="G14550" s="6" t="n">
        <f aca="false">Sens!G14544-tax_f*(Sens!G14544-Thesis!G43)-Thesis!G40</f>
        <v>-106.928508113935</v>
      </c>
      <c r="H14550" s="6" t="n">
        <f aca="false">Sens!H14544-tax_f*(Sens!H14544-Thesis!H43)-Thesis!H40</f>
        <v>-63.2919599603405</v>
      </c>
      <c r="I14550" s="6" t="n">
        <f aca="false">Sens!I14544-tax_f*(Sens!I14544-Thesis!I43)-Thesis!I40</f>
        <v>3.94121196634245</v>
      </c>
      <c r="J14550" s="6" t="n">
        <f aca="false">Sens!J14544-tax_f*(Sens!J14544-Thesis!J43)-Thesis!J40</f>
        <v>71.0786869547042</v>
      </c>
      <c r="K14550" s="6" t="n">
        <f aca="false">Sens!K14544-tax_f*(Sens!K14544-Thesis!K43)-Thesis!K40</f>
        <v>97.5865911685559</v>
      </c>
    </row>
    <row r="14551" customFormat="false" ht="17.15" hidden="false" customHeight="false" outlineLevel="0" collapsed="false">
      <c r="A14551" s="0" t="s">
        <v>1248</v>
      </c>
      <c r="B14551" s="0" t="s">
        <v>98</v>
      </c>
      <c r="G14551" s="6" t="n">
        <f aca="false">Sens!G14550/(1+((px*sh_val*(rf+beta*erp_lo)+(debt_val+fl_val)*kd*(1-tax_w))/(px*sh_val+debt_val+fl_val)))^(Sens!G14521-Sens!F14522)</f>
        <v>-102.062408256505</v>
      </c>
      <c r="H14551" s="6" t="n">
        <f aca="false">Sens!H14550/(1+((px*sh_val*(rf+beta*erp_lo)+(debt_val+fl_val)*kd*(1-tax_w))/(px*sh_val+debt_val+fl_val)))^(Sens!H14521-Sens!F14522)</f>
        <v>-55.0383565339091</v>
      </c>
      <c r="I14551" s="6" t="n">
        <f aca="false">Sens!I14550/(1+((px*sh_val*(rf+beta*erp_lo)+(debt_val+fl_val)*kd*(1-tax_w))/(px*sh_val+debt_val+fl_val)))^(Sens!I14521-Sens!F14522)</f>
        <v>3.12241995392902</v>
      </c>
      <c r="J14551" s="6" t="n">
        <f aca="false">Sens!J14550/(1+((px*sh_val*(rf+beta*erp_lo)+(debt_val+fl_val)*kd*(1-tax_w))/(px*sh_val+debt_val+fl_val)))^(Sens!J14521-Sens!F14522)</f>
        <v>51.3033265137183</v>
      </c>
      <c r="K14551" s="6" t="n">
        <f aca="false">Sens!K14550/(1+((px*sh_val*(rf+beta*erp_lo)+(debt_val+fl_val)*kd*(1-tax_w))/(px*sh_val+debt_val+fl_val)))^(Sens!K14521-Sens!F14522)</f>
        <v>64.1713070930424</v>
      </c>
      <c r="L14551" s="1" t="s">
        <v>1249</v>
      </c>
    </row>
    <row r="14552" customFormat="false" ht="17.15" hidden="false" customHeight="false" outlineLevel="0" collapsed="false">
      <c r="A14552" s="0" t="s">
        <v>1250</v>
      </c>
      <c r="B14552" s="0" t="s">
        <v>98</v>
      </c>
      <c r="C14552" s="6" t="n">
        <f aca="false">(Sens!K14544-Thesis!K43)*(1-tax_f)*(1+g_tv)*(1-g_tv/(((px*sh_val*(rf+beta*erp_lo)+(debt_val+fl_val)*kd*(1-tax_w))/(px*sh_val+debt_val+fl_val))+ronic_prem))/(((px*sh_val*(rf+beta*erp_lo)+(debt_val+fl_val)*kd*(1-tax_w))/(px*sh_val+debt_val+fl_val))-g_tv)/(1+((px*sh_val*(rf+beta*erp_lo)+(debt_val+fl_val)*kd*(1-tax_w))/(px*sh_val+debt_val+fl_val)))^(Sens!K14522-Sens!F14522)</f>
        <v>486.954115542786</v>
      </c>
    </row>
    <row r="14553" customFormat="false" ht="17.15" hidden="false" customHeight="false" outlineLevel="0" collapsed="false">
      <c r="A14553" s="1" t="s">
        <v>1251</v>
      </c>
      <c r="B14553" s="0" t="s">
        <v>98</v>
      </c>
      <c r="C14553" s="6" t="n">
        <f aca="false">(SUM(Sens!G14551:K14551)+Sens!$C$14552)*(1+((px*sh_val*(rf+beta*erp_lo)+(debt_val+fl_val)*kd*(1-tax_w))/(px*sh_val+debt_val+fl_val)))^(t_roll-Sens!F14522)</f>
        <v>462.514826669399</v>
      </c>
      <c r="L14553" s="12" t="s">
        <v>1252</v>
      </c>
    </row>
    <row r="14554" customFormat="false" ht="17.15" hidden="false" customHeight="false" outlineLevel="0" collapsed="false">
      <c r="A14554" s="1" t="s">
        <v>1253</v>
      </c>
      <c r="B14554" s="0" t="s">
        <v>98</v>
      </c>
      <c r="C14554" s="6" t="n">
        <f aca="false">(w_ntm28*Thesis!G31+(1-w_ntm28)*Thesis!H31)*m_ai</f>
        <v>563.316843258668</v>
      </c>
    </row>
    <row r="14555" customFormat="false" ht="17.15" hidden="false" customHeight="false" outlineLevel="0" collapsed="false">
      <c r="A14555" s="1" t="s">
        <v>1254</v>
      </c>
      <c r="B14555" s="0" t="s">
        <v>98</v>
      </c>
      <c r="C14555" s="6" t="n">
        <f aca="false">(w_ntm28*Sens!G14546+(1-w_ntm28)*Sens!H14546)*m_cloud</f>
        <v>1085.17964696599</v>
      </c>
    </row>
    <row r="14556" customFormat="false" ht="17.15" hidden="false" customHeight="false" outlineLevel="0" collapsed="false">
      <c r="A14556" s="1" t="s">
        <v>1255</v>
      </c>
      <c r="B14556" s="0" t="s">
        <v>98</v>
      </c>
      <c r="C14556" s="6" t="n">
        <f aca="false">(w_ntm28*Sens!G14539+(1-w_ntm28)*Sens!H14539)*m_sw</f>
        <v>1120.47763155275</v>
      </c>
    </row>
    <row r="14557" customFormat="false" ht="17.15" hidden="false" customHeight="false" outlineLevel="0" collapsed="false">
      <c r="A14557" s="1" t="s">
        <v>1256</v>
      </c>
      <c r="B14557" s="0" t="s">
        <v>98</v>
      </c>
      <c r="C14557" s="6" t="n">
        <f aca="false">(w_ntm28*Sens!G14540+(1-w_ntm28)*Sens!H14540)*m_sw</f>
        <v>372.68398809041</v>
      </c>
    </row>
    <row r="14558" customFormat="false" ht="17.15" hidden="false" customHeight="false" outlineLevel="0" collapsed="false">
      <c r="A14558" s="1" t="s">
        <v>1257</v>
      </c>
      <c r="B14558" s="0" t="s">
        <v>98</v>
      </c>
      <c r="C14558" s="6" t="n">
        <f aca="false">(w_ntm28*Sens!G14541+(1-w_ntm28)*Sens!H14541)*m_sw</f>
        <v>108.992632332144</v>
      </c>
    </row>
    <row r="14559" customFormat="false" ht="17.15" hidden="false" customHeight="false" outlineLevel="0" collapsed="false">
      <c r="A14559" s="1" t="s">
        <v>1258</v>
      </c>
      <c r="B14559" s="0" t="s">
        <v>98</v>
      </c>
      <c r="C14559" s="6" t="n">
        <f aca="false">(w_ntm28*Sens!G14542+(1-w_ntm28)*Sens!H14542)*m_sw</f>
        <v>41.4362652527414</v>
      </c>
    </row>
    <row r="14560" customFormat="false" ht="17.15" hidden="false" customHeight="false" outlineLevel="0" collapsed="false">
      <c r="A14560" s="1" t="s">
        <v>1259</v>
      </c>
      <c r="B14560" s="0" t="s">
        <v>98</v>
      </c>
      <c r="C14560" s="6" t="n">
        <f aca="false">(w_ntm28*Sens!G14543+(1-w_ntm28)*Sens!H14543)*m_ads</f>
        <v>114.891070326937</v>
      </c>
    </row>
    <row r="14561" customFormat="false" ht="17.15" hidden="false" customHeight="false" outlineLevel="0" collapsed="false">
      <c r="A14561" s="1" t="s">
        <v>1260</v>
      </c>
      <c r="B14561" s="0" t="s">
        <v>98</v>
      </c>
      <c r="C14561" s="6" t="n">
        <f aca="false">(w_ntm28*Sens!G14548+(1-w_ntm28)*Sens!H14548)*m_game</f>
        <v>98.505199156718</v>
      </c>
    </row>
    <row r="14562" customFormat="false" ht="17.15" hidden="false" customHeight="false" outlineLevel="0" collapsed="false">
      <c r="A14562" s="1" t="s">
        <v>1261</v>
      </c>
      <c r="B14562" s="0" t="s">
        <v>98</v>
      </c>
      <c r="C14562" s="6" t="n">
        <f aca="false">(w_ntm28*Sens!G14549+(1-w_ntm28)*Sens!H14549)*m_pc</f>
        <v>91.3231561150564</v>
      </c>
    </row>
    <row r="14563" customFormat="false" ht="17.15" hidden="false" customHeight="false" outlineLevel="0" collapsed="false">
      <c r="A14563" s="1" t="s">
        <v>1262</v>
      </c>
      <c r="B14563" s="0" t="s">
        <v>98</v>
      </c>
      <c r="C14563" s="6" t="n">
        <f aca="false">Sens!$C$14553+Sens!$C$14555+Sens!$C$14556+Sens!$C$14557+Sens!$C$14558+Sens!$C$14559+Sens!$C$14560+Sens!$C$14561+Sens!$C$14562</f>
        <v>3496.00441646214</v>
      </c>
    </row>
    <row r="14564" customFormat="false" ht="17.15" hidden="false" customHeight="false" outlineLevel="0" collapsed="false">
      <c r="A14564" s="1" t="s">
        <v>1263</v>
      </c>
      <c r="B14564" s="0" t="s">
        <v>98</v>
      </c>
      <c r="C14564" s="6" t="n">
        <f aca="false">(Sens!G14525-Sens!G14550)*t_stub</f>
        <v>48.2832931160316</v>
      </c>
      <c r="L14564" s="1" t="s">
        <v>1264</v>
      </c>
    </row>
    <row r="14565" customFormat="false" ht="17.15" hidden="false" customHeight="false" outlineLevel="0" collapsed="false">
      <c r="A14565" s="1" t="s">
        <v>1173</v>
      </c>
      <c r="B14565" s="0" t="s">
        <v>98</v>
      </c>
      <c r="C14565" s="6" t="n">
        <f aca="false">CF!F39+oai_v-CF!F28+Sens!$C$14564</f>
        <v>162.511563116032</v>
      </c>
      <c r="L14565" s="1" t="s">
        <v>1265</v>
      </c>
    </row>
    <row r="14566" customFormat="false" ht="17.15" hidden="false" customHeight="false" outlineLevel="0" collapsed="false">
      <c r="A14566" s="1" t="s">
        <v>1266</v>
      </c>
      <c r="B14566" s="0" t="s">
        <v>75</v>
      </c>
      <c r="C14566" s="5" t="n">
        <f aca="false">(Sens!$C$14563+Sens!$C$14565)/(CF!F41+dil_gap)-CF!G31*roll_div_q/q_per_yr</f>
        <v>487.396596218444</v>
      </c>
      <c r="L14566" s="1" t="s">
        <v>1267</v>
      </c>
    </row>
    <row r="14567" customFormat="false" ht="17.15" hidden="false" customHeight="false" outlineLevel="0" collapsed="false">
      <c r="A14567" s="1" t="s">
        <v>1268</v>
      </c>
      <c r="B14567" s="0" t="s">
        <v>75</v>
      </c>
      <c r="C14567" s="5" t="n">
        <f aca="false">w_dcf*Sens!$C$14537+(1-w_dcf)*Sens!$C$14566</f>
        <v>436.614488452288</v>
      </c>
    </row>
    <row r="14568" customFormat="false" ht="17.15" hidden="false" customHeight="false" outlineLevel="0" collapsed="false">
      <c r="A14568" s="3" t="s">
        <v>1973</v>
      </c>
    </row>
    <row r="14569" customFormat="false" ht="15" hidden="false" customHeight="false" outlineLevel="0" collapsed="false">
      <c r="A14569" s="4" t="s">
        <v>43</v>
      </c>
      <c r="B14569" s="4" t="s">
        <v>65</v>
      </c>
      <c r="C14569" s="23" t="s">
        <v>942</v>
      </c>
      <c r="D14569" s="23" t="s">
        <v>943</v>
      </c>
      <c r="E14569" s="23" t="s">
        <v>944</v>
      </c>
      <c r="F14569" s="23" t="s">
        <v>945</v>
      </c>
      <c r="G14569" s="23" t="s">
        <v>946</v>
      </c>
      <c r="H14569" s="23" t="s">
        <v>947</v>
      </c>
      <c r="I14569" s="23" t="s">
        <v>948</v>
      </c>
      <c r="J14569" s="23" t="s">
        <v>949</v>
      </c>
      <c r="K14569" s="23" t="s">
        <v>950</v>
      </c>
      <c r="L14569" s="4" t="s">
        <v>47</v>
      </c>
    </row>
    <row r="14570" customFormat="false" ht="17.15" hidden="false" customHeight="false" outlineLevel="0" collapsed="false">
      <c r="A14570" s="1" t="s">
        <v>1216</v>
      </c>
      <c r="B14570" s="1" t="s">
        <v>279</v>
      </c>
      <c r="F14570" s="8" t="n">
        <f aca="false">(1-v_off)*mid_yr</f>
        <v>0.373972602739726</v>
      </c>
      <c r="G14570" s="8" t="n">
        <f aca="false">Thesis!G58-base_fy-mid_yr-v_off</f>
        <v>1.24794520547945</v>
      </c>
      <c r="H14570" s="8" t="n">
        <f aca="false">Thesis!H58-base_fy-mid_yr-v_off</f>
        <v>2.24794520547945</v>
      </c>
      <c r="I14570" s="8" t="n">
        <f aca="false">Thesis!I58-base_fy-mid_yr-v_off</f>
        <v>3.24794520547945</v>
      </c>
      <c r="J14570" s="8" t="n">
        <f aca="false">Thesis!J58-base_fy-mid_yr-v_off</f>
        <v>4.24794520547945</v>
      </c>
      <c r="K14570" s="8" t="n">
        <f aca="false">Thesis!K58-base_fy-mid_yr-v_off</f>
        <v>5.24794520547945</v>
      </c>
      <c r="L14570" s="12" t="s">
        <v>1217</v>
      </c>
    </row>
    <row r="14571" customFormat="false" ht="15" hidden="false" customHeight="false" outlineLevel="0" collapsed="false">
      <c r="A14571" s="1" t="s">
        <v>1218</v>
      </c>
      <c r="B14571" s="1" t="s">
        <v>279</v>
      </c>
      <c r="F14571" s="8" t="n">
        <f aca="false">Thesis!F58-base_fy-v_off</f>
        <v>0.747945205479452</v>
      </c>
      <c r="G14571" s="8" t="n">
        <f aca="false">Thesis!G58-base_fy-v_off</f>
        <v>1.74794520547945</v>
      </c>
      <c r="H14571" s="8" t="n">
        <f aca="false">Thesis!H58-base_fy-v_off</f>
        <v>2.74794520547945</v>
      </c>
      <c r="I14571" s="8" t="n">
        <f aca="false">Thesis!I58-base_fy-v_off</f>
        <v>3.74794520547945</v>
      </c>
      <c r="J14571" s="8" t="n">
        <f aca="false">Thesis!J58-base_fy-v_off</f>
        <v>4.74794520547945</v>
      </c>
      <c r="K14571" s="8" t="n">
        <f aca="false">Thesis!K58-base_fy-v_off</f>
        <v>5.74794520547945</v>
      </c>
    </row>
    <row r="14572" customFormat="false" ht="15" hidden="false" customHeight="false" outlineLevel="0" collapsed="false">
      <c r="A14572" s="1" t="s">
        <v>1219</v>
      </c>
      <c r="B14572" s="0" t="s">
        <v>229</v>
      </c>
      <c r="F14572" s="15" t="n">
        <f aca="false">1/(1+((px*sh_val*(rf+beta*erp_lo)+(debt_val+fl_val)*kd*(1-tax_w))/(px*sh_val+debt_val+fl_val)))^Sens!F14570</f>
        <v>0.965763509382425</v>
      </c>
      <c r="G14572" s="15" t="n">
        <f aca="false">1/(1+((px*sh_val*(rf+beta*erp_lo)+(debt_val+fl_val)*kd*(1-tax_w))/(px*sh_val+debt_val+fl_val)))^Sens!G14570</f>
        <v>0.890253906323253</v>
      </c>
      <c r="H14572" s="15" t="n">
        <f aca="false">1/(1+((px*sh_val*(rf+beta*erp_lo)+(debt_val+fl_val)*kd*(1-tax_w))/(px*sh_val+debt_val+fl_val)))^Sens!H14570</f>
        <v>0.811070295847671</v>
      </c>
      <c r="I14572" s="15" t="n">
        <f aca="false">1/(1+((px*sh_val*(rf+beta*erp_lo)+(debt_val+fl_val)*kd*(1-tax_w))/(px*sh_val+debt_val+fl_val)))^Sens!I14570</f>
        <v>0.738929669540329</v>
      </c>
      <c r="J14572" s="15" t="n">
        <f aca="false">1/(1+((px*sh_val*(rf+beta*erp_lo)+(debt_val+fl_val)*kd*(1-tax_w))/(px*sh_val+debt_val+fl_val)))^Sens!J14570</f>
        <v>0.6732055893581</v>
      </c>
      <c r="K14572" s="15" t="n">
        <f aca="false">1/(1+((px*sh_val*(rf+beta*erp_lo)+(debt_val+fl_val)*kd*(1-tax_w))/(px*sh_val+debt_val+fl_val)))^Sens!K14570</f>
        <v>0.613327335773261</v>
      </c>
    </row>
    <row r="14573" customFormat="false" ht="17.15" hidden="false" customHeight="false" outlineLevel="0" collapsed="false">
      <c r="A14573" s="1" t="s">
        <v>1220</v>
      </c>
      <c r="B14573" s="0" t="s">
        <v>98</v>
      </c>
      <c r="F14573" s="6" t="n">
        <f aca="false">Q!$I$35-Q!$I$39-Q!$I$43</f>
        <v>9.666</v>
      </c>
      <c r="L14573" s="12" t="s">
        <v>1221</v>
      </c>
    </row>
    <row r="14574" customFormat="false" ht="17.15" hidden="false" customHeight="false" outlineLevel="0" collapsed="false">
      <c r="A14574" s="1" t="s">
        <v>1222</v>
      </c>
      <c r="B14574" s="0" t="s">
        <v>98</v>
      </c>
      <c r="F14574" s="6" t="n">
        <f aca="false">CF!F55-CF!F52-CF!F59+Thesis!F99*(1-tax_f)*(1-v_off)-Sens!F14573</f>
        <v>-3.35959137570949</v>
      </c>
      <c r="G14574" s="6" t="n">
        <f aca="false">CF!G55-CF!G52-CF!G59+Thesis!G99*(1-tax_f)</f>
        <v>29.8084555066036</v>
      </c>
      <c r="H14574" s="6" t="n">
        <f aca="false">CF!H55-CF!H52-CF!H59+Thesis!H99*(1-tax_f)</f>
        <v>79.3231801478051</v>
      </c>
      <c r="I14574" s="6" t="n">
        <f aca="false">CF!I55-CF!I52-CF!I59+Thesis!I99*(1-tax_f)</f>
        <v>157.29132812061</v>
      </c>
      <c r="J14574" s="6" t="n">
        <f aca="false">CF!J55-CF!J52-CF!J59+Thesis!J99*(1-tax_f)</f>
        <v>235.537601843622</v>
      </c>
      <c r="K14574" s="6" t="n">
        <f aca="false">CF!K55-CF!K52-CF!K59+Thesis!K99*(1-tax_f)</f>
        <v>273.705067207806</v>
      </c>
      <c r="L14574" s="1" t="s">
        <v>1223</v>
      </c>
    </row>
    <row r="14575" customFormat="false" ht="15" hidden="false" customHeight="false" outlineLevel="0" collapsed="false">
      <c r="A14575" s="1" t="s">
        <v>1224</v>
      </c>
      <c r="B14575" s="0" t="s">
        <v>98</v>
      </c>
      <c r="F14575" s="6" t="n">
        <f aca="false">Sens!F14574*Sens!F14572</f>
        <v>-3.24457075709613</v>
      </c>
      <c r="G14575" s="6" t="n">
        <f aca="false">Sens!G14574*Sens!G14572</f>
        <v>26.5370939562168</v>
      </c>
      <c r="H14575" s="6" t="n">
        <f aca="false">Sens!H14574*Sens!H14572</f>
        <v>64.3366751900584</v>
      </c>
      <c r="I14575" s="6" t="n">
        <f aca="false">Sens!I14574*Sens!I14572</f>
        <v>116.227229109722</v>
      </c>
      <c r="J14575" s="6" t="n">
        <f aca="false">Sens!J14574*Sens!J14572</f>
        <v>158.565230065129</v>
      </c>
      <c r="K14575" s="6" t="n">
        <f aca="false">Sens!K14574*Sens!K14572</f>
        <v>167.870799658205</v>
      </c>
    </row>
    <row r="14576" customFormat="false" ht="17.15" hidden="false" customHeight="false" outlineLevel="0" collapsed="false">
      <c r="A14576" s="1" t="s">
        <v>1225</v>
      </c>
      <c r="B14576" s="0" t="s">
        <v>98</v>
      </c>
      <c r="C14576" s="6" t="n">
        <f aca="false">SUM(Sens!F14575:K14575)</f>
        <v>530.292457222235</v>
      </c>
    </row>
    <row r="14577" customFormat="false" ht="17.15" hidden="false" customHeight="false" outlineLevel="0" collapsed="false">
      <c r="A14577" s="1" t="s">
        <v>1226</v>
      </c>
      <c r="B14577" s="0" t="s">
        <v>98</v>
      </c>
      <c r="C14577" s="6" t="n">
        <f aca="false">PL!K78*(1+g_tv)*(1-tax_f)</f>
        <v>284.979534119394</v>
      </c>
    </row>
    <row r="14578" customFormat="false" ht="17.15" hidden="false" customHeight="false" outlineLevel="0" collapsed="false">
      <c r="A14578" s="1" t="s">
        <v>1227</v>
      </c>
      <c r="B14578" s="0" t="s">
        <v>98</v>
      </c>
      <c r="C14578" s="6" t="n">
        <f aca="false">Sens!$C$14577*(1-g_tv/(((px*sh_val*(rf+beta*erp_lo)+(debt_val+fl_val)*kd*(1-tax_w))/(px*sh_val+debt_val+fl_val))+ronic_prem))</f>
        <v>197.408974886044</v>
      </c>
    </row>
    <row r="14579" customFormat="false" ht="17.15" hidden="false" customHeight="false" outlineLevel="0" collapsed="false">
      <c r="A14579" s="1" t="s">
        <v>1228</v>
      </c>
      <c r="B14579" s="0" t="s">
        <v>98</v>
      </c>
      <c r="C14579" s="6" t="n">
        <f aca="false">Sens!$C$14578/(((px*sh_val*(rf+beta*erp_lo)+(debt_val+fl_val)*kd*(1-tax_w))/(px*sh_val+debt_val+fl_val))-g_tv)</f>
        <v>2919.01864111164</v>
      </c>
    </row>
    <row r="14580" customFormat="false" ht="15" hidden="false" customHeight="false" outlineLevel="0" collapsed="false">
      <c r="A14580" s="1" t="s">
        <v>1229</v>
      </c>
      <c r="B14580" s="0" t="s">
        <v>98</v>
      </c>
      <c r="C14580" s="6" t="n">
        <f aca="false">Sens!$C$14579/(1+((px*sh_val*(rf+beta*erp_lo)+(debt_val+fl_val)*kd*(1-tax_w))/(px*sh_val+debt_val+fl_val)))^Sens!K14571</f>
        <v>1708.84036510671</v>
      </c>
    </row>
    <row r="14581" customFormat="false" ht="17.15" hidden="false" customHeight="false" outlineLevel="0" collapsed="false">
      <c r="A14581" s="0" t="s">
        <v>1230</v>
      </c>
      <c r="B14581" s="0" t="s">
        <v>98</v>
      </c>
      <c r="C14581" s="6" t="n">
        <f aca="false">Sens!$C$14576+Sens!$C$14580</f>
        <v>2239.13282232895</v>
      </c>
    </row>
    <row r="14582" customFormat="false" ht="15" hidden="false" customHeight="false" outlineLevel="0" collapsed="false">
      <c r="A14582" s="1" t="s">
        <v>1145</v>
      </c>
      <c r="B14582" s="0" t="s">
        <v>168</v>
      </c>
      <c r="C14582" s="7" t="n">
        <f aca="false">Sens!$C$14580/Sens!$C$14581</f>
        <v>0.763170611437569</v>
      </c>
    </row>
    <row r="14583" customFormat="false" ht="17.15" hidden="false" customHeight="false" outlineLevel="0" collapsed="false">
      <c r="A14583" s="1" t="s">
        <v>1231</v>
      </c>
      <c r="B14583" s="0" t="s">
        <v>98</v>
      </c>
      <c r="C14583" s="6" t="n">
        <f aca="false">Sens!$C$14581+cash_val-debt_val-fl_val+oai_v</f>
        <v>2354.98382232895</v>
      </c>
    </row>
    <row r="14584" customFormat="false" ht="17.15" hidden="false" customHeight="false" outlineLevel="0" collapsed="false">
      <c r="A14584" s="0" t="s">
        <v>1153</v>
      </c>
      <c r="B14584" s="0" t="s">
        <v>75</v>
      </c>
      <c r="C14584" s="5" t="n">
        <f aca="false">Sens!$C$14583/shd_val</f>
        <v>316.275023143829</v>
      </c>
    </row>
    <row r="14585" customFormat="false" ht="15" hidden="false" customHeight="false" outlineLevel="0" collapsed="false">
      <c r="A14585" s="1" t="s">
        <v>1232</v>
      </c>
      <c r="B14585" s="0" t="s">
        <v>75</v>
      </c>
      <c r="C14585" s="8" t="n">
        <f aca="false">div_rem27+CF!G63*roll_div_q/q_per_yr</f>
        <v>3.9795</v>
      </c>
    </row>
    <row r="14586" customFormat="false" ht="17.15" hidden="false" customHeight="false" outlineLevel="0" collapsed="false">
      <c r="A14586" s="0" t="s">
        <v>1233</v>
      </c>
      <c r="B14586" s="0" t="s">
        <v>75</v>
      </c>
      <c r="C14586" s="5" t="n">
        <f aca="false">Sens!$C$14584*(1+((px*sh_val*(rf+beta*erp_lo)+(debt_val+fl_val)*kd*(1-tax_w))/(px*sh_val+debt_val+fl_val)))^t_roll-Sens!$C$14585</f>
        <v>345.751839930003</v>
      </c>
    </row>
    <row r="14587" customFormat="false" ht="17.15" hidden="false" customHeight="false" outlineLevel="0" collapsed="false">
      <c r="A14587" s="1" t="s">
        <v>1234</v>
      </c>
      <c r="B14587" s="0" t="s">
        <v>168</v>
      </c>
      <c r="F14587" s="7" t="n">
        <f aca="false">CF!F49/(Seg!F56-Thesis!F77)</f>
        <v>0.0686195668908011</v>
      </c>
      <c r="G14587" s="7" t="n">
        <f aca="false">CF!G49/(Seg!G56-Thesis!G77)</f>
        <v>0.0658333569148391</v>
      </c>
      <c r="H14587" s="7" t="n">
        <f aca="false">CF!H49/(Seg!H56-Thesis!H77)</f>
        <v>0.0643895625218926</v>
      </c>
      <c r="I14587" s="7" t="n">
        <f aca="false">CF!I49/(Seg!I56-Thesis!I77)</f>
        <v>0.0641676618157989</v>
      </c>
      <c r="J14587" s="7" t="n">
        <f aca="false">CF!J49/(Seg!J56-Thesis!J77)</f>
        <v>0.0648858606572163</v>
      </c>
      <c r="K14587" s="7" t="n">
        <f aca="false">CF!K49/(Seg!K56-Thesis!K77)</f>
        <v>0.0661974425163768</v>
      </c>
    </row>
    <row r="14588" customFormat="false" ht="17.15" hidden="false" customHeight="false" outlineLevel="0" collapsed="false">
      <c r="A14588" s="0" t="s">
        <v>1235</v>
      </c>
      <c r="B14588" s="0" t="s">
        <v>98</v>
      </c>
      <c r="F14588" s="6" t="n">
        <f aca="false">Seg!F41*(al_m365+Sens!F14587+sbc_r)</f>
        <v>83.7205619248671</v>
      </c>
      <c r="G14588" s="6" t="n">
        <f aca="false">Seg!G41*(al_m365+Sens!G14587+sbc_r)</f>
        <v>96.1301303332381</v>
      </c>
      <c r="H14588" s="6" t="n">
        <f aca="false">Seg!H41*(al_m365+Sens!H14587+sbc_r)</f>
        <v>108.70354073822</v>
      </c>
      <c r="I14588" s="6" t="n">
        <f aca="false">Seg!I41*(al_m365+Sens!I14587+sbc_r)</f>
        <v>120.260101315626</v>
      </c>
      <c r="J14588" s="6" t="n">
        <f aca="false">Seg!J41*(al_m365+Sens!J14587+sbc_r)</f>
        <v>130.611904548619</v>
      </c>
      <c r="K14588" s="6" t="n">
        <f aca="false">Seg!K41*(al_m365+Sens!K14587+sbc_r)</f>
        <v>140.575094974638</v>
      </c>
      <c r="L14588" s="12" t="s">
        <v>1236</v>
      </c>
    </row>
    <row r="14589" customFormat="false" ht="17.15" hidden="false" customHeight="false" outlineLevel="0" collapsed="false">
      <c r="A14589" s="0" t="s">
        <v>1237</v>
      </c>
      <c r="B14589" s="0" t="s">
        <v>98</v>
      </c>
      <c r="F14589" s="6" t="n">
        <f aca="false">Seg!F42*(al_lic+Sens!F14587+sbc_r)</f>
        <v>32.8577657183496</v>
      </c>
      <c r="G14589" s="6" t="n">
        <f aca="false">Seg!G42*(al_lic+Sens!G14587+sbc_r)</f>
        <v>34.1376266324889</v>
      </c>
      <c r="H14589" s="6" t="n">
        <f aca="false">Seg!H42*(al_lic+Sens!H14587+sbc_r)</f>
        <v>35.3325744664128</v>
      </c>
      <c r="I14589" s="6" t="n">
        <f aca="false">Seg!I42*(al_lic+Sens!I14587+sbc_r)</f>
        <v>36.4244749008727</v>
      </c>
      <c r="J14589" s="6" t="n">
        <f aca="false">Seg!J42*(al_lic+Sens!J14587+sbc_r)</f>
        <v>37.3879406068527</v>
      </c>
      <c r="K14589" s="6" t="n">
        <f aca="false">Seg!K42*(al_lic+Sens!K14587+sbc_r)</f>
        <v>38.1943876078259</v>
      </c>
    </row>
    <row r="14590" customFormat="false" ht="17.15" hidden="false" customHeight="false" outlineLevel="0" collapsed="false">
      <c r="A14590" s="0" t="s">
        <v>1238</v>
      </c>
      <c r="B14590" s="0" t="s">
        <v>98</v>
      </c>
      <c r="F14590" s="6" t="n">
        <f aca="false">Seg!F44*(al_ind+Sens!F14587+sbc_r)</f>
        <v>9.06041701092022</v>
      </c>
      <c r="G14590" s="6" t="n">
        <f aca="false">Seg!G44*(al_ind+Sens!G14587+sbc_r)</f>
        <v>9.83619082712885</v>
      </c>
      <c r="H14590" s="6" t="n">
        <f aca="false">Seg!H44*(al_ind+Sens!H14587+sbc_r)</f>
        <v>10.6570160105312</v>
      </c>
      <c r="I14590" s="6" t="n">
        <f aca="false">Seg!I44*(al_ind+Sens!I14587+sbc_r)</f>
        <v>11.5198571637125</v>
      </c>
      <c r="J14590" s="6" t="n">
        <f aca="false">Seg!J44*(al_ind+Sens!J14587+sbc_r)</f>
        <v>12.4150086539206</v>
      </c>
      <c r="K14590" s="6" t="n">
        <f aca="false">Seg!K44*(al_ind+Sens!K14587+sbc_r)</f>
        <v>13.3273714589988</v>
      </c>
    </row>
    <row r="14591" customFormat="false" ht="17.15" hidden="false" customHeight="false" outlineLevel="0" collapsed="false">
      <c r="A14591" s="0" t="s">
        <v>1239</v>
      </c>
      <c r="B14591" s="0" t="s">
        <v>98</v>
      </c>
      <c r="F14591" s="6" t="n">
        <f aca="false">Seg!F46*(al_fro+Sens!F14587+sbc_r)</f>
        <v>3.55402950182022</v>
      </c>
      <c r="G14591" s="6" t="n">
        <f aca="false">Seg!G46*(al_fro+Sens!G14587+sbc_r)</f>
        <v>3.76361488926481</v>
      </c>
      <c r="H14591" s="6" t="n">
        <f aca="false">Seg!H46*(al_fro+Sens!H14587+sbc_r)</f>
        <v>4.00220968879544</v>
      </c>
      <c r="I14591" s="6" t="n">
        <f aca="false">Seg!I46*(al_fro+Sens!I14587+sbc_r)</f>
        <v>4.2725765173852</v>
      </c>
      <c r="J14591" s="6" t="n">
        <f aca="false">Seg!J46*(al_fro+Sens!J14587+sbc_r)</f>
        <v>4.57586224390293</v>
      </c>
      <c r="K14591" s="6" t="n">
        <f aca="false">Seg!K46*(al_fro+Sens!K14587+sbc_r)</f>
        <v>4.91213639633217</v>
      </c>
    </row>
    <row r="14592" customFormat="false" ht="17.15" hidden="false" customHeight="false" outlineLevel="0" collapsed="false">
      <c r="A14592" s="0" t="s">
        <v>1240</v>
      </c>
      <c r="B14592" s="0" t="s">
        <v>98</v>
      </c>
      <c r="F14592" s="6" t="n">
        <f aca="false">Seg!F49*(al_srch+Sens!F14587+sbc_r)</f>
        <v>11.1890902994147</v>
      </c>
      <c r="G14592" s="6" t="n">
        <f aca="false">Seg!G49*(al_srch+Sens!G14587+sbc_r)</f>
        <v>12.261738891803</v>
      </c>
      <c r="H14592" s="6" t="n">
        <f aca="false">Seg!H49*(al_srch+Sens!H14587+sbc_r)</f>
        <v>13.3794863429193</v>
      </c>
      <c r="I14592" s="6" t="n">
        <f aca="false">Seg!I49*(al_srch+Sens!I14587+sbc_r)</f>
        <v>14.5317114787784</v>
      </c>
      <c r="J14592" s="6" t="n">
        <f aca="false">Seg!J49*(al_srch+Sens!J14587+sbc_r)</f>
        <v>15.6984365817724</v>
      </c>
      <c r="K14592" s="6" t="n">
        <f aca="false">Seg!K49*(al_srch+Sens!K14587+sbc_r)</f>
        <v>16.8520942258664</v>
      </c>
    </row>
    <row r="14593" customFormat="false" ht="17.15" hidden="false" customHeight="false" outlineLevel="0" collapsed="false">
      <c r="A14593" s="0" t="s">
        <v>1241</v>
      </c>
      <c r="B14593" s="0" t="s">
        <v>98</v>
      </c>
      <c r="F14593" s="6" t="n">
        <f aca="false">Thesis!F83-Thesis!F84+Thesis!F99</f>
        <v>42.5431090240393</v>
      </c>
      <c r="G14593" s="6" t="n">
        <f aca="false">Thesis!G83-Thesis!G84+Thesis!G99</f>
        <v>81.4922561130847</v>
      </c>
      <c r="H14593" s="6" t="n">
        <f aca="false">Thesis!H83-Thesis!H84+Thesis!H99</f>
        <v>123.278266211349</v>
      </c>
      <c r="I14593" s="6" t="n">
        <f aca="false">Thesis!I83-Thesis!I84+Thesis!I99</f>
        <v>160.60594185192</v>
      </c>
      <c r="J14593" s="6" t="n">
        <f aca="false">Thesis!J83-Thesis!J84+Thesis!J99</f>
        <v>186.818741832633</v>
      </c>
      <c r="K14593" s="6" t="n">
        <f aca="false">Thesis!K83-Thesis!K84+Thesis!K99</f>
        <v>202.776422159652</v>
      </c>
    </row>
    <row r="14594" customFormat="false" ht="17.15" hidden="false" customHeight="false" outlineLevel="0" collapsed="false">
      <c r="A14594" s="0" t="s">
        <v>1242</v>
      </c>
      <c r="B14594" s="0" t="s">
        <v>98</v>
      </c>
      <c r="F14594" s="6" t="n">
        <f aca="false">PL!F71+Thesis!F99+Thesis!F95+Sens!F14587*(Seg!F48-Thesis!F77)+sbc_r*Seg!F48</f>
        <v>238.090727427296</v>
      </c>
      <c r="G14594" s="6" t="n">
        <f aca="false">PL!G71+Thesis!G99+Thesis!G95+Sens!G14587*(Seg!G48-Thesis!G77)+sbc_r*Seg!G48</f>
        <v>299.90836088563</v>
      </c>
      <c r="H14594" s="6" t="n">
        <f aca="false">PL!H71+Thesis!H99+Thesis!H95+Sens!H14587*(Seg!H48-Thesis!H77)+sbc_r*Seg!H48</f>
        <v>369.457709442386</v>
      </c>
      <c r="I14594" s="6" t="n">
        <f aca="false">PL!I71+Thesis!I99+Thesis!I95+Sens!I14587*(Seg!I48-Thesis!I77)+sbc_r*Seg!I48</f>
        <v>433.16585128823</v>
      </c>
      <c r="J14594" s="6" t="n">
        <f aca="false">PL!J71+Thesis!J99+Thesis!J95+Sens!J14587*(Seg!J48-Thesis!J77)+sbc_r*Seg!J48</f>
        <v>483.301303131191</v>
      </c>
      <c r="K14594" s="6" t="n">
        <f aca="false">PL!K71+Thesis!K99+Thesis!K95+Sens!K14587*(Seg!K48-Thesis!K77)+sbc_r*Seg!K48</f>
        <v>520.789002205336</v>
      </c>
    </row>
    <row r="14595" customFormat="false" ht="17.15" hidden="false" customHeight="false" outlineLevel="0" collapsed="false">
      <c r="A14595" s="0" t="s">
        <v>1243</v>
      </c>
      <c r="B14595" s="0" t="s">
        <v>98</v>
      </c>
      <c r="F14595" s="6" t="n">
        <f aca="false">Sens!F14594-Sens!F14588-Sens!F14589-Sens!F14590-Sens!F14591-Sens!F14593</f>
        <v>66.3548442472996</v>
      </c>
      <c r="G14595" s="6" t="n">
        <f aca="false">Sens!G14594-Sens!G14588-Sens!G14589-Sens!G14590-Sens!G14591-Sens!G14593</f>
        <v>74.548542090425</v>
      </c>
      <c r="H14595" s="6" t="n">
        <f aca="false">Sens!H14594-Sens!H14588-Sens!H14589-Sens!H14590-Sens!H14591-Sens!H14593</f>
        <v>87.4841023270775</v>
      </c>
      <c r="I14595" s="6" t="n">
        <f aca="false">Sens!I14594-Sens!I14588-Sens!I14589-Sens!I14590-Sens!I14591-Sens!I14593</f>
        <v>100.082899538713</v>
      </c>
      <c r="J14595" s="6" t="n">
        <f aca="false">Sens!J14594-Sens!J14588-Sens!J14589-Sens!J14590-Sens!J14591-Sens!J14593</f>
        <v>111.491845245262</v>
      </c>
      <c r="K14595" s="6" t="n">
        <f aca="false">Sens!K14594-Sens!K14588-Sens!K14589-Sens!K14590-Sens!K14591-Sens!K14593</f>
        <v>121.003589607889</v>
      </c>
    </row>
    <row r="14596" customFormat="false" ht="17.15" hidden="false" customHeight="false" outlineLevel="0" collapsed="false">
      <c r="A14596" s="0" t="s">
        <v>1244</v>
      </c>
      <c r="B14596" s="0" t="s">
        <v>98</v>
      </c>
      <c r="F14596" s="6" t="n">
        <f aca="false">PL!F73+Sens!F14587*Seg!F55+sbc_r*Seg!F55</f>
        <v>26.6336365855879</v>
      </c>
      <c r="G14596" s="6" t="n">
        <f aca="false">PL!G73+Sens!G14587*Seg!G55+sbc_r*Seg!G55</f>
        <v>26.4720859498625</v>
      </c>
      <c r="H14596" s="6" t="n">
        <f aca="false">PL!H73+Sens!H14587*Seg!H55+sbc_r*Seg!H55</f>
        <v>27.346793021284</v>
      </c>
      <c r="I14596" s="6" t="n">
        <f aca="false">PL!I73+Sens!I14587*Seg!I55+sbc_r*Seg!I55</f>
        <v>28.4574657863154</v>
      </c>
      <c r="J14596" s="6" t="n">
        <f aca="false">PL!J73+Sens!J14587*Seg!J55+sbc_r*Seg!J55</f>
        <v>29.7689890546037</v>
      </c>
      <c r="K14596" s="6" t="n">
        <f aca="false">PL!K73+Sens!K14587*Seg!K55+sbc_r*Seg!K55</f>
        <v>31.2443947307494</v>
      </c>
    </row>
    <row r="14597" customFormat="false" ht="17.15" hidden="false" customHeight="false" outlineLevel="0" collapsed="false">
      <c r="A14597" s="0" t="s">
        <v>1245</v>
      </c>
      <c r="B14597" s="0" t="s">
        <v>98</v>
      </c>
      <c r="F14597" s="6" t="n">
        <f aca="false">(Sens!F14596-Sens!F14592)*Seg!F51/(Seg!F51+Seg!F53)</f>
        <v>8.72285608232241</v>
      </c>
      <c r="G14597" s="6" t="n">
        <f aca="false">(Sens!G14596-Sens!G14592)*Seg!G51/(Seg!G51+Seg!G53)</f>
        <v>7.88786455444355</v>
      </c>
      <c r="H14597" s="6" t="n">
        <f aca="false">(Sens!H14596-Sens!H14592)*Seg!H51/(Seg!H51+Seg!H53)</f>
        <v>7.65195986819674</v>
      </c>
      <c r="I14597" s="6" t="n">
        <f aca="false">(Sens!I14596-Sens!I14592)*Seg!I51/(Seg!I51+Seg!I53)</f>
        <v>7.56260440676676</v>
      </c>
      <c r="J14597" s="6" t="n">
        <f aca="false">(Sens!J14596-Sens!J14592)*Seg!J51/(Seg!J51+Seg!J53)</f>
        <v>7.60790100885945</v>
      </c>
      <c r="K14597" s="6" t="n">
        <f aca="false">(Sens!K14596-Sens!K14592)*Seg!K51/(Seg!K51+Seg!K53)</f>
        <v>7.78186910160995</v>
      </c>
    </row>
    <row r="14598" customFormat="false" ht="17.15" hidden="false" customHeight="false" outlineLevel="0" collapsed="false">
      <c r="A14598" s="0" t="s">
        <v>1246</v>
      </c>
      <c r="B14598" s="0" t="s">
        <v>98</v>
      </c>
      <c r="F14598" s="6" t="n">
        <f aca="false">Sens!F14596-Sens!F14592-Sens!F14597</f>
        <v>6.72169020385088</v>
      </c>
      <c r="G14598" s="6" t="n">
        <f aca="false">Sens!G14596-Sens!G14592-Sens!G14597</f>
        <v>6.322482503616</v>
      </c>
      <c r="H14598" s="6" t="n">
        <f aca="false">Sens!H14596-Sens!H14592-Sens!H14597</f>
        <v>6.315346810168</v>
      </c>
      <c r="I14598" s="6" t="n">
        <f aca="false">Sens!I14596-Sens!I14592-Sens!I14597</f>
        <v>6.36314990077033</v>
      </c>
      <c r="J14598" s="6" t="n">
        <f aca="false">Sens!J14596-Sens!J14592-Sens!J14597</f>
        <v>6.46265146397189</v>
      </c>
      <c r="K14598" s="6" t="n">
        <f aca="false">Sens!K14596-Sens!K14592-Sens!K14597</f>
        <v>6.61043140327304</v>
      </c>
    </row>
    <row r="14599" customFormat="false" ht="17.15" hidden="false" customHeight="false" outlineLevel="0" collapsed="false">
      <c r="A14599" s="0" t="s">
        <v>1247</v>
      </c>
      <c r="B14599" s="0" t="s">
        <v>98</v>
      </c>
      <c r="F14599" s="6" t="n">
        <f aca="false">Sens!F14593-tax_f*(Sens!F14593-Thesis!F95)-Thesis!F92</f>
        <v>-127.503553927218</v>
      </c>
      <c r="G14599" s="6" t="n">
        <f aca="false">Sens!G14593-tax_f*(Sens!G14593-Thesis!G95)-Thesis!G92</f>
        <v>-114.603772628121</v>
      </c>
      <c r="H14599" s="6" t="n">
        <f aca="false">Sens!H14593-tax_f*(Sens!H14593-Thesis!H95)-Thesis!H92</f>
        <v>-80.3633729631438</v>
      </c>
      <c r="I14599" s="6" t="n">
        <f aca="false">Sens!I14593-tax_f*(Sens!I14593-Thesis!I95)-Thesis!I92</f>
        <v>-17.2838782011649</v>
      </c>
      <c r="J14599" s="6" t="n">
        <f aca="false">Sens!J14593-tax_f*(Sens!J14593-Thesis!J95)-Thesis!J92</f>
        <v>46.9281968800854</v>
      </c>
      <c r="K14599" s="6" t="n">
        <f aca="false">Sens!K14593-tax_f*(Sens!K14593-Thesis!K95)-Thesis!K92</f>
        <v>71.8608185731755</v>
      </c>
    </row>
    <row r="14600" customFormat="false" ht="17.15" hidden="false" customHeight="false" outlineLevel="0" collapsed="false">
      <c r="A14600" s="0" t="s">
        <v>1248</v>
      </c>
      <c r="B14600" s="0" t="s">
        <v>98</v>
      </c>
      <c r="G14600" s="6" t="n">
        <f aca="false">Sens!G14599/(1+((px*sh_val*(rf+beta*erp_lo)+(debt_val+fl_val)*kd*(1-tax_w))/(px*sh_val+debt_val+fl_val)))^(Sens!G14570-Sens!F14571)</f>
        <v>-109.388387026253</v>
      </c>
      <c r="H14600" s="6" t="n">
        <f aca="false">Sens!H14599/(1+((px*sh_val*(rf+beta*erp_lo)+(debt_val+fl_val)*kd*(1-tax_w))/(px*sh_val+debt_val+fl_val)))^(Sens!H14570-Sens!F14571)</f>
        <v>-69.8835677736092</v>
      </c>
      <c r="I14600" s="6" t="n">
        <f aca="false">Sens!I14599/(1+((px*sh_val*(rf+beta*erp_lo)+(debt_val+fl_val)*kd*(1-tax_w))/(px*sh_val+debt_val+fl_val)))^(Sens!I14570-Sens!F14571)</f>
        <v>-13.6931295848772</v>
      </c>
      <c r="J14600" s="6" t="n">
        <f aca="false">Sens!J14599/(1+((px*sh_val*(rf+beta*erp_lo)+(debt_val+fl_val)*kd*(1-tax_w))/(px*sh_val+debt_val+fl_val)))^(Sens!J14570-Sens!F14571)</f>
        <v>33.8719341955955</v>
      </c>
      <c r="K14600" s="6" t="n">
        <f aca="false">Sens!K14599/(1+((px*sh_val*(rf+beta*erp_lo)+(debt_val+fl_val)*kd*(1-tax_w))/(px*sh_val+debt_val+fl_val)))^(Sens!K14570-Sens!F14571)</f>
        <v>47.2544701213267</v>
      </c>
      <c r="L14600" s="1" t="s">
        <v>1249</v>
      </c>
    </row>
    <row r="14601" customFormat="false" ht="17.15" hidden="false" customHeight="false" outlineLevel="0" collapsed="false">
      <c r="A14601" s="0" t="s">
        <v>1250</v>
      </c>
      <c r="B14601" s="0" t="s">
        <v>98</v>
      </c>
      <c r="C14601" s="6" t="n">
        <f aca="false">(Sens!K14593-Thesis!K95)*(1-tax_f)*(1+g_tv)*(1-g_tv/(((px*sh_val*(rf+beta*erp_lo)+(debt_val+fl_val)*kd*(1-tax_w))/(px*sh_val+debt_val+fl_val))+ronic_prem))/(((px*sh_val*(rf+beta*erp_lo)+(debt_val+fl_val)*kd*(1-tax_w))/(px*sh_val+debt_val+fl_val))-g_tv)/(1+((px*sh_val*(rf+beta*erp_lo)+(debt_val+fl_val)*kd*(1-tax_w))/(px*sh_val+debt_val+fl_val)))^(Sens!K14571-Sens!F14571)</f>
        <v>316.600290603489</v>
      </c>
    </row>
    <row r="14602" customFormat="false" ht="17.15" hidden="false" customHeight="false" outlineLevel="0" collapsed="false">
      <c r="A14602" s="1" t="s">
        <v>1251</v>
      </c>
      <c r="B14602" s="0" t="s">
        <v>98</v>
      </c>
      <c r="C14602" s="6" t="n">
        <f aca="false">(SUM(Sens!G14600:K14600)+Sens!$C$14601)*(1+((px*sh_val*(rf+beta*erp_lo)+(debt_val+fl_val)*kd*(1-tax_w))/(px*sh_val+debt_val+fl_val)))^(t_roll-Sens!F14571)</f>
        <v>211.18339931151</v>
      </c>
      <c r="L14602" s="12" t="s">
        <v>1252</v>
      </c>
    </row>
    <row r="14603" customFormat="false" ht="17.15" hidden="false" customHeight="false" outlineLevel="0" collapsed="false">
      <c r="A14603" s="1" t="s">
        <v>1253</v>
      </c>
      <c r="B14603" s="0" t="s">
        <v>98</v>
      </c>
      <c r="C14603" s="6" t="n">
        <f aca="false">(w_ntm28*Thesis!G83+(1-w_ntm28)*Thesis!H83)*m_ai</f>
        <v>463.789109510335</v>
      </c>
    </row>
    <row r="14604" customFormat="false" ht="17.15" hidden="false" customHeight="false" outlineLevel="0" collapsed="false">
      <c r="A14604" s="1" t="s">
        <v>1254</v>
      </c>
      <c r="B14604" s="0" t="s">
        <v>98</v>
      </c>
      <c r="C14604" s="6" t="n">
        <f aca="false">(w_ntm28*Sens!G14595+(1-w_ntm28)*Sens!H14595)*m_cloud</f>
        <v>1089.03436702245</v>
      </c>
    </row>
    <row r="14605" customFormat="false" ht="17.15" hidden="false" customHeight="false" outlineLevel="0" collapsed="false">
      <c r="A14605" s="1" t="s">
        <v>1255</v>
      </c>
      <c r="B14605" s="0" t="s">
        <v>98</v>
      </c>
      <c r="C14605" s="6" t="n">
        <f aca="false">(w_ntm28*Sens!G14588+(1-w_ntm28)*Sens!H14588)*m_sw</f>
        <v>1082.84962646159</v>
      </c>
    </row>
    <row r="14606" customFormat="false" ht="17.15" hidden="false" customHeight="false" outlineLevel="0" collapsed="false">
      <c r="A14606" s="1" t="s">
        <v>1256</v>
      </c>
      <c r="B14606" s="0" t="s">
        <v>98</v>
      </c>
      <c r="C14606" s="6" t="n">
        <f aca="false">(w_ntm28*Sens!G14589+(1-w_ntm28)*Sens!H14589)*m_sw</f>
        <v>372.929250898731</v>
      </c>
    </row>
    <row r="14607" customFormat="false" ht="17.15" hidden="false" customHeight="false" outlineLevel="0" collapsed="false">
      <c r="A14607" s="1" t="s">
        <v>1257</v>
      </c>
      <c r="B14607" s="0" t="s">
        <v>98</v>
      </c>
      <c r="C14607" s="6" t="n">
        <f aca="false">(w_ntm28*Sens!G14590+(1-w_ntm28)*Sens!H14590)*m_sw</f>
        <v>109.1453525431</v>
      </c>
    </row>
    <row r="14608" customFormat="false" ht="17.15" hidden="false" customHeight="false" outlineLevel="0" collapsed="false">
      <c r="A14608" s="1" t="s">
        <v>1258</v>
      </c>
      <c r="B14608" s="0" t="s">
        <v>98</v>
      </c>
      <c r="C14608" s="6" t="n">
        <f aca="false">(w_ntm28*Sens!G14591+(1-w_ntm28)*Sens!H14591)*m_sw</f>
        <v>41.4942157634893</v>
      </c>
    </row>
    <row r="14609" customFormat="false" ht="17.15" hidden="false" customHeight="false" outlineLevel="0" collapsed="false">
      <c r="A14609" s="1" t="s">
        <v>1259</v>
      </c>
      <c r="B14609" s="0" t="s">
        <v>98</v>
      </c>
      <c r="C14609" s="6" t="n">
        <f aca="false">(w_ntm28*Sens!G14592+(1-w_ntm28)*Sens!H14592)*m_ads</f>
        <v>115.052171478463</v>
      </c>
    </row>
    <row r="14610" customFormat="false" ht="17.15" hidden="false" customHeight="false" outlineLevel="0" collapsed="false">
      <c r="A14610" s="1" t="s">
        <v>1260</v>
      </c>
      <c r="B14610" s="0" t="s">
        <v>98</v>
      </c>
      <c r="C14610" s="6" t="n">
        <f aca="false">(w_ntm28*Sens!G14597+(1-w_ntm28)*Sens!H14597)*m_game</f>
        <v>98.6441755076202</v>
      </c>
    </row>
    <row r="14611" customFormat="false" ht="17.15" hidden="false" customHeight="false" outlineLevel="0" collapsed="false">
      <c r="A14611" s="1" t="s">
        <v>1261</v>
      </c>
      <c r="B14611" s="0" t="s">
        <v>98</v>
      </c>
      <c r="C14611" s="6" t="n">
        <f aca="false">(w_ntm28*Sens!G14598+(1-w_ntm28)*Sens!H14598)*m_pc</f>
        <v>91.4523754763561</v>
      </c>
    </row>
    <row r="14612" customFormat="false" ht="17.15" hidden="false" customHeight="false" outlineLevel="0" collapsed="false">
      <c r="A14612" s="1" t="s">
        <v>1262</v>
      </c>
      <c r="B14612" s="0" t="s">
        <v>98</v>
      </c>
      <c r="C14612" s="6" t="n">
        <f aca="false">Sens!$C$14602+Sens!$C$14604+Sens!$C$14605+Sens!$C$14606+Sens!$C$14607+Sens!$C$14608+Sens!$C$14609+Sens!$C$14610+Sens!$C$14611</f>
        <v>3211.78493446331</v>
      </c>
    </row>
    <row r="14613" customFormat="false" ht="17.15" hidden="false" customHeight="false" outlineLevel="0" collapsed="false">
      <c r="A14613" s="1" t="s">
        <v>1263</v>
      </c>
      <c r="B14613" s="0" t="s">
        <v>98</v>
      </c>
      <c r="C14613" s="6" t="n">
        <f aca="false">(Sens!G14574-Sens!G14599)*t_stub</f>
        <v>47.8736427515113</v>
      </c>
      <c r="L14613" s="1" t="s">
        <v>1264</v>
      </c>
    </row>
    <row r="14614" customFormat="false" ht="17.15" hidden="false" customHeight="false" outlineLevel="0" collapsed="false">
      <c r="A14614" s="1" t="s">
        <v>1173</v>
      </c>
      <c r="B14614" s="0" t="s">
        <v>98</v>
      </c>
      <c r="C14614" s="6" t="n">
        <f aca="false">CF!F71+oai_v-CF!F60+Sens!$C$14613</f>
        <v>162.101912751511</v>
      </c>
      <c r="L14614" s="1" t="s">
        <v>1265</v>
      </c>
    </row>
    <row r="14615" customFormat="false" ht="17.15" hidden="false" customHeight="false" outlineLevel="0" collapsed="false">
      <c r="A14615" s="1" t="s">
        <v>1266</v>
      </c>
      <c r="B14615" s="0" t="s">
        <v>75</v>
      </c>
      <c r="C14615" s="5" t="n">
        <f aca="false">(Sens!$C$14612+Sens!$C$14614)/(CF!F73+dil_gap)-CF!G63*roll_div_q/q_per_yr</f>
        <v>449.081599438725</v>
      </c>
      <c r="L14615" s="1" t="s">
        <v>1267</v>
      </c>
    </row>
    <row r="14616" customFormat="false" ht="17.15" hidden="false" customHeight="false" outlineLevel="0" collapsed="false">
      <c r="A14616" s="1" t="s">
        <v>1268</v>
      </c>
      <c r="B14616" s="0" t="s">
        <v>75</v>
      </c>
      <c r="C14616" s="5" t="n">
        <f aca="false">w_dcf*Sens!$C$14586+(1-w_dcf)*Sens!$C$14615</f>
        <v>397.416719684364</v>
      </c>
    </row>
    <row r="14617" customFormat="false" ht="17.15" hidden="false" customHeight="false" outlineLevel="0" collapsed="false">
      <c r="A14617" s="3" t="s">
        <v>1974</v>
      </c>
    </row>
    <row r="14618" customFormat="false" ht="15" hidden="false" customHeight="false" outlineLevel="0" collapsed="false">
      <c r="A14618" s="4" t="s">
        <v>43</v>
      </c>
      <c r="B14618" s="4" t="s">
        <v>65</v>
      </c>
      <c r="C14618" s="23" t="s">
        <v>942</v>
      </c>
      <c r="D14618" s="23" t="s">
        <v>943</v>
      </c>
      <c r="E14618" s="23" t="s">
        <v>944</v>
      </c>
      <c r="F14618" s="23" t="s">
        <v>945</v>
      </c>
      <c r="G14618" s="23" t="s">
        <v>946</v>
      </c>
      <c r="H14618" s="23" t="s">
        <v>947</v>
      </c>
      <c r="I14618" s="23" t="s">
        <v>948</v>
      </c>
      <c r="J14618" s="23" t="s">
        <v>949</v>
      </c>
      <c r="K14618" s="23" t="s">
        <v>950</v>
      </c>
      <c r="L14618" s="4" t="s">
        <v>47</v>
      </c>
    </row>
    <row r="14619" customFormat="false" ht="17.15" hidden="false" customHeight="false" outlineLevel="0" collapsed="false">
      <c r="A14619" s="1" t="s">
        <v>1216</v>
      </c>
      <c r="B14619" s="1" t="s">
        <v>279</v>
      </c>
      <c r="F14619" s="8" t="n">
        <f aca="false">(1-v_off)*mid_yr</f>
        <v>0.373972602739726</v>
      </c>
      <c r="G14619" s="8" t="n">
        <f aca="false">Thesis!G110-base_fy-mid_yr-v_off</f>
        <v>1.24794520547945</v>
      </c>
      <c r="H14619" s="8" t="n">
        <f aca="false">Thesis!H110-base_fy-mid_yr-v_off</f>
        <v>2.24794520547945</v>
      </c>
      <c r="I14619" s="8" t="n">
        <f aca="false">Thesis!I110-base_fy-mid_yr-v_off</f>
        <v>3.24794520547945</v>
      </c>
      <c r="J14619" s="8" t="n">
        <f aca="false">Thesis!J110-base_fy-mid_yr-v_off</f>
        <v>4.24794520547945</v>
      </c>
      <c r="K14619" s="8" t="n">
        <f aca="false">Thesis!K110-base_fy-mid_yr-v_off</f>
        <v>5.24794520547945</v>
      </c>
      <c r="L14619" s="12" t="s">
        <v>1217</v>
      </c>
    </row>
    <row r="14620" customFormat="false" ht="15" hidden="false" customHeight="false" outlineLevel="0" collapsed="false">
      <c r="A14620" s="1" t="s">
        <v>1218</v>
      </c>
      <c r="B14620" s="1" t="s">
        <v>279</v>
      </c>
      <c r="F14620" s="8" t="n">
        <f aca="false">Thesis!F110-base_fy-v_off</f>
        <v>0.747945205479452</v>
      </c>
      <c r="G14620" s="8" t="n">
        <f aca="false">Thesis!G110-base_fy-v_off</f>
        <v>1.74794520547945</v>
      </c>
      <c r="H14620" s="8" t="n">
        <f aca="false">Thesis!H110-base_fy-v_off</f>
        <v>2.74794520547945</v>
      </c>
      <c r="I14620" s="8" t="n">
        <f aca="false">Thesis!I110-base_fy-v_off</f>
        <v>3.74794520547945</v>
      </c>
      <c r="J14620" s="8" t="n">
        <f aca="false">Thesis!J110-base_fy-v_off</f>
        <v>4.74794520547945</v>
      </c>
      <c r="K14620" s="8" t="n">
        <f aca="false">Thesis!K110-base_fy-v_off</f>
        <v>5.74794520547945</v>
      </c>
    </row>
    <row r="14621" customFormat="false" ht="15" hidden="false" customHeight="false" outlineLevel="0" collapsed="false">
      <c r="A14621" s="1" t="s">
        <v>1219</v>
      </c>
      <c r="B14621" s="0" t="s">
        <v>229</v>
      </c>
      <c r="F14621" s="15" t="n">
        <f aca="false">1/(1+((px*sh_val*(rf+beta*erp_lo)+(debt_val+fl_val)*kd*(1-tax_w))/(px*sh_val+debt_val+fl_val)))^Sens!F14619</f>
        <v>0.965763509382425</v>
      </c>
      <c r="G14621" s="15" t="n">
        <f aca="false">1/(1+((px*sh_val*(rf+beta*erp_lo)+(debt_val+fl_val)*kd*(1-tax_w))/(px*sh_val+debt_val+fl_val)))^Sens!G14619</f>
        <v>0.890253906323253</v>
      </c>
      <c r="H14621" s="15" t="n">
        <f aca="false">1/(1+((px*sh_val*(rf+beta*erp_lo)+(debt_val+fl_val)*kd*(1-tax_w))/(px*sh_val+debt_val+fl_val)))^Sens!H14619</f>
        <v>0.811070295847671</v>
      </c>
      <c r="I14621" s="15" t="n">
        <f aca="false">1/(1+((px*sh_val*(rf+beta*erp_lo)+(debt_val+fl_val)*kd*(1-tax_w))/(px*sh_val+debt_val+fl_val)))^Sens!I14619</f>
        <v>0.738929669540329</v>
      </c>
      <c r="J14621" s="15" t="n">
        <f aca="false">1/(1+((px*sh_val*(rf+beta*erp_lo)+(debt_val+fl_val)*kd*(1-tax_w))/(px*sh_val+debt_val+fl_val)))^Sens!J14619</f>
        <v>0.6732055893581</v>
      </c>
      <c r="K14621" s="15" t="n">
        <f aca="false">1/(1+((px*sh_val*(rf+beta*erp_lo)+(debt_val+fl_val)*kd*(1-tax_w))/(px*sh_val+debt_val+fl_val)))^Sens!K14619</f>
        <v>0.613327335773261</v>
      </c>
    </row>
    <row r="14622" customFormat="false" ht="17.15" hidden="false" customHeight="false" outlineLevel="0" collapsed="false">
      <c r="A14622" s="1" t="s">
        <v>1220</v>
      </c>
      <c r="B14622" s="0" t="s">
        <v>98</v>
      </c>
      <c r="F14622" s="6" t="n">
        <f aca="false">Q!$I$35-Q!$I$39-Q!$I$43</f>
        <v>9.666</v>
      </c>
      <c r="L14622" s="12" t="s">
        <v>1221</v>
      </c>
    </row>
    <row r="14623" customFormat="false" ht="17.15" hidden="false" customHeight="false" outlineLevel="0" collapsed="false">
      <c r="A14623" s="1" t="s">
        <v>1222</v>
      </c>
      <c r="B14623" s="0" t="s">
        <v>98</v>
      </c>
      <c r="F14623" s="6" t="n">
        <f aca="false">CF!F87-CF!F84-CF!F91+Thesis!F151*(1-tax_f)*(1-v_off)-Sens!F14622</f>
        <v>-6.10282680452259</v>
      </c>
      <c r="G14623" s="6" t="n">
        <f aca="false">CF!G87-CF!G84-CF!G91+Thesis!G151*(1-tax_f)</f>
        <v>19.0084129023516</v>
      </c>
      <c r="H14623" s="6" t="n">
        <f aca="false">CF!H87-CF!H84-CF!H91+Thesis!H151*(1-tax_f)</f>
        <v>55.9229468383331</v>
      </c>
      <c r="I14623" s="6" t="n">
        <f aca="false">CF!I87-CF!I84-CF!I91+Thesis!I151*(1-tax_f)</f>
        <v>127.901908576191</v>
      </c>
      <c r="J14623" s="6" t="n">
        <f aca="false">CF!J87-CF!J84-CF!J91+Thesis!J151*(1-tax_f)</f>
        <v>201.958443859638</v>
      </c>
      <c r="K14623" s="6" t="n">
        <f aca="false">CF!K87-CF!K84-CF!K91+Thesis!K151*(1-tax_f)</f>
        <v>237.542519059905</v>
      </c>
      <c r="L14623" s="1" t="s">
        <v>1223</v>
      </c>
    </row>
    <row r="14624" customFormat="false" ht="15" hidden="false" customHeight="false" outlineLevel="0" collapsed="false">
      <c r="A14624" s="1" t="s">
        <v>1224</v>
      </c>
      <c r="B14624" s="0" t="s">
        <v>98</v>
      </c>
      <c r="F14624" s="6" t="n">
        <f aca="false">Sens!F14623*Sens!F14621</f>
        <v>-5.89388743188886</v>
      </c>
      <c r="G14624" s="6" t="n">
        <f aca="false">Sens!G14623*Sens!G14621</f>
        <v>16.9223138393239</v>
      </c>
      <c r="H14624" s="6" t="n">
        <f aca="false">Sens!H14623*Sens!H14621</f>
        <v>45.3574410368404</v>
      </c>
      <c r="I14624" s="6" t="n">
        <f aca="false">Sens!I14623*Sens!I14621</f>
        <v>94.510515037782</v>
      </c>
      <c r="J14624" s="6" t="n">
        <f aca="false">Sens!J14623*Sens!J14621</f>
        <v>135.959553224372</v>
      </c>
      <c r="K14624" s="6" t="n">
        <f aca="false">Sens!K14623*Sens!K14621</f>
        <v>145.691320347881</v>
      </c>
    </row>
    <row r="14625" customFormat="false" ht="17.15" hidden="false" customHeight="false" outlineLevel="0" collapsed="false">
      <c r="A14625" s="1" t="s">
        <v>1225</v>
      </c>
      <c r="B14625" s="0" t="s">
        <v>98</v>
      </c>
      <c r="C14625" s="6" t="n">
        <f aca="false">SUM(Sens!F14624:K14624)</f>
        <v>432.547256054311</v>
      </c>
    </row>
    <row r="14626" customFormat="false" ht="17.15" hidden="false" customHeight="false" outlineLevel="0" collapsed="false">
      <c r="A14626" s="1" t="s">
        <v>1226</v>
      </c>
      <c r="B14626" s="0" t="s">
        <v>98</v>
      </c>
      <c r="C14626" s="6" t="n">
        <f aca="false">PL!K117*(1+g_tv)*(1-tax_f)</f>
        <v>247.098906713682</v>
      </c>
    </row>
    <row r="14627" customFormat="false" ht="17.15" hidden="false" customHeight="false" outlineLevel="0" collapsed="false">
      <c r="A14627" s="1" t="s">
        <v>1227</v>
      </c>
      <c r="B14627" s="0" t="s">
        <v>98</v>
      </c>
      <c r="C14627" s="6" t="n">
        <f aca="false">Sens!$C$14626*(1-g_tv/(((px*sh_val*(rf+beta*erp_lo)+(debt_val+fl_val)*kd*(1-tax_w))/(px*sh_val+debt_val+fl_val))+ronic_prem))</f>
        <v>171.168578896524</v>
      </c>
    </row>
    <row r="14628" customFormat="false" ht="17.15" hidden="false" customHeight="false" outlineLevel="0" collapsed="false">
      <c r="A14628" s="1" t="s">
        <v>1228</v>
      </c>
      <c r="B14628" s="0" t="s">
        <v>98</v>
      </c>
      <c r="C14628" s="6" t="n">
        <f aca="false">Sens!$C$14627/(((px*sh_val*(rf+beta*erp_lo)+(debt_val+fl_val)*kd*(1-tax_w))/(px*sh_val+debt_val+fl_val))-g_tv)</f>
        <v>2531.01092723858</v>
      </c>
    </row>
    <row r="14629" customFormat="false" ht="15" hidden="false" customHeight="false" outlineLevel="0" collapsed="false">
      <c r="A14629" s="1" t="s">
        <v>1229</v>
      </c>
      <c r="B14629" s="0" t="s">
        <v>98</v>
      </c>
      <c r="C14629" s="6" t="n">
        <f aca="false">Sens!$C$14628/(1+((px*sh_val*(rf+beta*erp_lo)+(debt_val+fl_val)*kd*(1-tax_w))/(px*sh_val+debt_val+fl_val)))^Sens!K14620</f>
        <v>1481.69442156914</v>
      </c>
    </row>
    <row r="14630" customFormat="false" ht="17.15" hidden="false" customHeight="false" outlineLevel="0" collapsed="false">
      <c r="A14630" s="0" t="s">
        <v>1230</v>
      </c>
      <c r="B14630" s="0" t="s">
        <v>98</v>
      </c>
      <c r="C14630" s="6" t="n">
        <f aca="false">Sens!$C$14625+Sens!$C$14629</f>
        <v>1914.24167762345</v>
      </c>
    </row>
    <row r="14631" customFormat="false" ht="15" hidden="false" customHeight="false" outlineLevel="0" collapsed="false">
      <c r="A14631" s="1" t="s">
        <v>1145</v>
      </c>
      <c r="B14631" s="0" t="s">
        <v>168</v>
      </c>
      <c r="C14631" s="7" t="n">
        <f aca="false">Sens!$C$14629/Sens!$C$14630</f>
        <v>0.774037280082982</v>
      </c>
    </row>
    <row r="14632" customFormat="false" ht="17.15" hidden="false" customHeight="false" outlineLevel="0" collapsed="false">
      <c r="A14632" s="1" t="s">
        <v>1231</v>
      </c>
      <c r="B14632" s="0" t="s">
        <v>98</v>
      </c>
      <c r="C14632" s="6" t="n">
        <f aca="false">Sens!$C$14630+cash_val-debt_val-fl_val+oai_v</f>
        <v>2030.09267762345</v>
      </c>
    </row>
    <row r="14633" customFormat="false" ht="17.15" hidden="false" customHeight="false" outlineLevel="0" collapsed="false">
      <c r="A14633" s="0" t="s">
        <v>1153</v>
      </c>
      <c r="B14633" s="0" t="s">
        <v>75</v>
      </c>
      <c r="C14633" s="5" t="n">
        <f aca="false">Sens!$C$14632/shd_val</f>
        <v>272.642046417331</v>
      </c>
    </row>
    <row r="14634" customFormat="false" ht="15" hidden="false" customHeight="false" outlineLevel="0" collapsed="false">
      <c r="A14634" s="1" t="s">
        <v>1232</v>
      </c>
      <c r="B14634" s="0" t="s">
        <v>75</v>
      </c>
      <c r="C14634" s="8" t="n">
        <f aca="false">div_rem27+CF!G95*roll_div_q/q_per_yr</f>
        <v>3.9795</v>
      </c>
    </row>
    <row r="14635" customFormat="false" ht="17.15" hidden="false" customHeight="false" outlineLevel="0" collapsed="false">
      <c r="A14635" s="0" t="s">
        <v>1233</v>
      </c>
      <c r="B14635" s="0" t="s">
        <v>75</v>
      </c>
      <c r="C14635" s="5" t="n">
        <f aca="false">Sens!$C$14633*(1+((px*sh_val*(rf+beta*erp_lo)+(debt_val+fl_val)*kd*(1-tax_w))/(px*sh_val+debt_val+fl_val)))^t_roll-Sens!$C$14634</f>
        <v>297.50326416829</v>
      </c>
    </row>
    <row r="14636" customFormat="false" ht="17.15" hidden="false" customHeight="false" outlineLevel="0" collapsed="false">
      <c r="A14636" s="1" t="s">
        <v>1234</v>
      </c>
      <c r="B14636" s="0" t="s">
        <v>168</v>
      </c>
      <c r="F14636" s="7" t="n">
        <f aca="false">CF!F81/(Seg!F83-Thesis!F129)</f>
        <v>0.068677393452264</v>
      </c>
      <c r="G14636" s="7" t="n">
        <f aca="false">CF!G81/(Seg!G83-Thesis!G129)</f>
        <v>0.0663132664471956</v>
      </c>
      <c r="H14636" s="7" t="n">
        <f aca="false">CF!H81/(Seg!H83-Thesis!H129)</f>
        <v>0.0651363826734039</v>
      </c>
      <c r="I14636" s="7" t="n">
        <f aca="false">CF!I81/(Seg!I83-Thesis!I129)</f>
        <v>0.0650087936347709</v>
      </c>
      <c r="J14636" s="7" t="n">
        <f aca="false">CF!J81/(Seg!J83-Thesis!J129)</f>
        <v>0.0657212684841778</v>
      </c>
      <c r="K14636" s="7" t="n">
        <f aca="false">CF!K81/(Seg!K83-Thesis!K129)</f>
        <v>0.0670413306015285</v>
      </c>
    </row>
    <row r="14637" customFormat="false" ht="17.15" hidden="false" customHeight="false" outlineLevel="0" collapsed="false">
      <c r="A14637" s="0" t="s">
        <v>1235</v>
      </c>
      <c r="B14637" s="0" t="s">
        <v>98</v>
      </c>
      <c r="F14637" s="6" t="n">
        <f aca="false">Seg!F68*(al_m365+Sens!F14636+sbc_r)</f>
        <v>82.9185219618347</v>
      </c>
      <c r="G14637" s="6" t="n">
        <f aca="false">Seg!G68*(al_m365+Sens!G14636+sbc_r)</f>
        <v>93.3068052157631</v>
      </c>
      <c r="H14637" s="6" t="n">
        <f aca="false">Seg!H68*(al_m365+Sens!H14636+sbc_r)</f>
        <v>103.856057136159</v>
      </c>
      <c r="I14637" s="6" t="n">
        <f aca="false">Seg!I68*(al_m365+Sens!I14636+sbc_r)</f>
        <v>113.889717587147</v>
      </c>
      <c r="J14637" s="6" t="n">
        <f aca="false">Seg!J68*(al_m365+Sens!J14636+sbc_r)</f>
        <v>123.218477864124</v>
      </c>
      <c r="K14637" s="6" t="n">
        <f aca="false">Seg!K68*(al_m365+Sens!K14636+sbc_r)</f>
        <v>132.149420086311</v>
      </c>
      <c r="L14637" s="12" t="s">
        <v>1236</v>
      </c>
    </row>
    <row r="14638" customFormat="false" ht="17.15" hidden="false" customHeight="false" outlineLevel="0" collapsed="false">
      <c r="A14638" s="0" t="s">
        <v>1237</v>
      </c>
      <c r="B14638" s="0" t="s">
        <v>98</v>
      </c>
      <c r="F14638" s="6" t="n">
        <f aca="false">Seg!F69*(al_lic+Sens!F14636+sbc_r)</f>
        <v>32.8599853992256</v>
      </c>
      <c r="G14638" s="6" t="n">
        <f aca="false">Seg!G69*(al_lic+Sens!G14636+sbc_r)</f>
        <v>34.1568280697879</v>
      </c>
      <c r="H14638" s="6" t="n">
        <f aca="false">Seg!H69*(al_lic+Sens!H14636+sbc_r)</f>
        <v>35.3635535007213</v>
      </c>
      <c r="I14638" s="6" t="n">
        <f aca="false">Seg!I69*(al_lic+Sens!I14636+sbc_r)</f>
        <v>36.4604537346553</v>
      </c>
      <c r="J14638" s="6" t="n">
        <f aca="false">Seg!J69*(al_lic+Sens!J14636+sbc_r)</f>
        <v>37.4245888933574</v>
      </c>
      <c r="K14638" s="6" t="n">
        <f aca="false">Seg!K69*(al_lic+Sens!K14636+sbc_r)</f>
        <v>38.2321483186439</v>
      </c>
    </row>
    <row r="14639" customFormat="false" ht="17.15" hidden="false" customHeight="false" outlineLevel="0" collapsed="false">
      <c r="A14639" s="0" t="s">
        <v>1238</v>
      </c>
      <c r="B14639" s="0" t="s">
        <v>98</v>
      </c>
      <c r="F14639" s="6" t="n">
        <f aca="false">Seg!F71*(al_ind+Sens!F14636+sbc_r)</f>
        <v>9.06170747885803</v>
      </c>
      <c r="G14639" s="6" t="n">
        <f aca="false">Seg!G71*(al_ind+Sens!G14636+sbc_r)</f>
        <v>9.8478979082138</v>
      </c>
      <c r="H14639" s="6" t="n">
        <f aca="false">Seg!H71*(al_ind+Sens!H14636+sbc_r)</f>
        <v>10.6768254332059</v>
      </c>
      <c r="I14639" s="6" t="n">
        <f aca="false">Seg!I71*(al_ind+Sens!I14636+sbc_r)</f>
        <v>11.54398793803</v>
      </c>
      <c r="J14639" s="6" t="n">
        <f aca="false">Seg!J71*(al_ind+Sens!J14636+sbc_r)</f>
        <v>12.4407914253112</v>
      </c>
      <c r="K14639" s="6" t="n">
        <f aca="false">Seg!K71*(al_ind+Sens!K14636+sbc_r)</f>
        <v>13.355239066864</v>
      </c>
    </row>
    <row r="14640" customFormat="false" ht="17.15" hidden="false" customHeight="false" outlineLevel="0" collapsed="false">
      <c r="A14640" s="0" t="s">
        <v>1239</v>
      </c>
      <c r="B14640" s="0" t="s">
        <v>98</v>
      </c>
      <c r="F14640" s="6" t="n">
        <f aca="false">Seg!F73*(al_fro+Sens!F14636+sbc_r)</f>
        <v>3.55453569939552</v>
      </c>
      <c r="G14640" s="6" t="n">
        <f aca="false">Seg!G73*(al_fro+Sens!G14636+sbc_r)</f>
        <v>3.76809436159872</v>
      </c>
      <c r="H14640" s="6" t="n">
        <f aca="false">Seg!H73*(al_fro+Sens!H14636+sbc_r)</f>
        <v>4.00964905674607</v>
      </c>
      <c r="I14640" s="6" t="n">
        <f aca="false">Seg!I73*(al_fro+Sens!I14636+sbc_r)</f>
        <v>4.28152633145235</v>
      </c>
      <c r="J14640" s="6" t="n">
        <f aca="false">Seg!J73*(al_fro+Sens!J14636+sbc_r)</f>
        <v>4.58536512975975</v>
      </c>
      <c r="K14640" s="6" t="n">
        <f aca="false">Seg!K73*(al_fro+Sens!K14636+sbc_r)</f>
        <v>4.92240770086468</v>
      </c>
    </row>
    <row r="14641" customFormat="false" ht="17.15" hidden="false" customHeight="false" outlineLevel="0" collapsed="false">
      <c r="A14641" s="0" t="s">
        <v>1240</v>
      </c>
      <c r="B14641" s="0" t="s">
        <v>98</v>
      </c>
      <c r="F14641" s="6" t="n">
        <f aca="false">Seg!F76*(al_srch+Sens!F14636+sbc_r)</f>
        <v>11.190683952584</v>
      </c>
      <c r="G14641" s="6" t="n">
        <f aca="false">Seg!G76*(al_srch+Sens!G14636+sbc_r)</f>
        <v>12.2763328717258</v>
      </c>
      <c r="H14641" s="6" t="n">
        <f aca="false">Seg!H76*(al_srch+Sens!H14636+sbc_r)</f>
        <v>13.4043563346576</v>
      </c>
      <c r="I14641" s="6" t="n">
        <f aca="false">Seg!I76*(al_srch+Sens!I14636+sbc_r)</f>
        <v>14.5621512181916</v>
      </c>
      <c r="J14641" s="6" t="n">
        <f aca="false">Seg!J76*(al_srch+Sens!J14636+sbc_r)</f>
        <v>15.7310381862385</v>
      </c>
      <c r="K14641" s="6" t="n">
        <f aca="false">Seg!K76*(al_srch+Sens!K14636+sbc_r)</f>
        <v>16.8873320486462</v>
      </c>
    </row>
    <row r="14642" customFormat="false" ht="17.15" hidden="false" customHeight="false" outlineLevel="0" collapsed="false">
      <c r="A14642" s="0" t="s">
        <v>1241</v>
      </c>
      <c r="B14642" s="0" t="s">
        <v>98</v>
      </c>
      <c r="F14642" s="6" t="n">
        <f aca="false">Thesis!F135-Thesis!F136+Thesis!F151</f>
        <v>38.9696429794913</v>
      </c>
      <c r="G14642" s="6" t="n">
        <f aca="false">Thesis!G135-Thesis!G136+Thesis!G151</f>
        <v>69.465497726016</v>
      </c>
      <c r="H14642" s="6" t="n">
        <f aca="false">Thesis!H135-Thesis!H136+Thesis!H151</f>
        <v>96.8147106808268</v>
      </c>
      <c r="I14642" s="6" t="n">
        <f aca="false">Thesis!I135-Thesis!I136+Thesis!I151</f>
        <v>127.654939766446</v>
      </c>
      <c r="J14642" s="6" t="n">
        <f aca="false">Thesis!J135-Thesis!J136+Thesis!J151</f>
        <v>149.308352681229</v>
      </c>
      <c r="K14642" s="6" t="n">
        <f aca="false">Thesis!K135-Thesis!K136+Thesis!K151</f>
        <v>162.731822021841</v>
      </c>
    </row>
    <row r="14643" customFormat="false" ht="17.15" hidden="false" customHeight="false" outlineLevel="0" collapsed="false">
      <c r="A14643" s="0" t="s">
        <v>1242</v>
      </c>
      <c r="B14643" s="0" t="s">
        <v>98</v>
      </c>
      <c r="F14643" s="6" t="n">
        <f aca="false">PL!F110+Thesis!F151+Thesis!F147+Sens!F14636*(Seg!F75-Thesis!F129)+sbc_r*Seg!F75</f>
        <v>234.79972328186</v>
      </c>
      <c r="G14643" s="6" t="n">
        <f aca="false">PL!G110+Thesis!G151+Thesis!G147+Sens!G14636*(Seg!G75-Thesis!G129)+sbc_r*Seg!G75</f>
        <v>285.499052659517</v>
      </c>
      <c r="H14643" s="6" t="n">
        <f aca="false">PL!H110+Thesis!H151+Thesis!H147+Sens!H14636*(Seg!H75-Thesis!H129)+sbc_r*Seg!H75</f>
        <v>338.258569294547</v>
      </c>
      <c r="I14643" s="6" t="n">
        <f aca="false">PL!I110+Thesis!I151+Thesis!I147+Sens!I14636*(Seg!I75-Thesis!I129)+sbc_r*Seg!I75</f>
        <v>393.887902526982</v>
      </c>
      <c r="J14643" s="6" t="n">
        <f aca="false">PL!J110+Thesis!J151+Thesis!J147+Sens!J14636*(Seg!J75-Thesis!J129)+sbc_r*Seg!J75</f>
        <v>438.406631506078</v>
      </c>
      <c r="K14643" s="6" t="n">
        <f aca="false">PL!K110+Thesis!K151+Thesis!K147+Sens!K14636*(Seg!K75-Thesis!K129)+sbc_r*Seg!K75</f>
        <v>472.352875745143</v>
      </c>
    </row>
    <row r="14644" customFormat="false" ht="17.15" hidden="false" customHeight="false" outlineLevel="0" collapsed="false">
      <c r="A14644" s="0" t="s">
        <v>1243</v>
      </c>
      <c r="B14644" s="0" t="s">
        <v>98</v>
      </c>
      <c r="F14644" s="6" t="n">
        <f aca="false">Sens!F14643-Sens!F14637-Sens!F14638-Sens!F14639-Sens!F14640-Sens!F14642</f>
        <v>67.4353297630543</v>
      </c>
      <c r="G14644" s="6" t="n">
        <f aca="false">Sens!G14643-Sens!G14637-Sens!G14638-Sens!G14639-Sens!G14640-Sens!G14642</f>
        <v>74.9539293781376</v>
      </c>
      <c r="H14644" s="6" t="n">
        <f aca="false">Sens!H14643-Sens!H14637-Sens!H14638-Sens!H14639-Sens!H14640-Sens!H14642</f>
        <v>87.537773486888</v>
      </c>
      <c r="I14644" s="6" t="n">
        <f aca="false">Sens!I14643-Sens!I14637-Sens!I14638-Sens!I14639-Sens!I14640-Sens!I14642</f>
        <v>100.057277169252</v>
      </c>
      <c r="J14644" s="6" t="n">
        <f aca="false">Sens!J14643-Sens!J14637-Sens!J14638-Sens!J14639-Sens!J14640-Sens!J14642</f>
        <v>111.429055512297</v>
      </c>
      <c r="K14644" s="6" t="n">
        <f aca="false">Sens!K14643-Sens!K14637-Sens!K14638-Sens!K14639-Sens!K14640-Sens!K14642</f>
        <v>120.961838550618</v>
      </c>
    </row>
    <row r="14645" customFormat="false" ht="17.15" hidden="false" customHeight="false" outlineLevel="0" collapsed="false">
      <c r="A14645" s="0" t="s">
        <v>1244</v>
      </c>
      <c r="B14645" s="0" t="s">
        <v>98</v>
      </c>
      <c r="F14645" s="6" t="n">
        <f aca="false">PL!F112+Sens!F14636*Seg!F82+sbc_r*Seg!F82</f>
        <v>26.6373549789235</v>
      </c>
      <c r="G14645" s="6" t="n">
        <f aca="false">PL!G112+Sens!G14636*Seg!G82+sbc_r*Seg!G82</f>
        <v>26.5038922765853</v>
      </c>
      <c r="H14645" s="6" t="n">
        <f aca="false">PL!H112+Sens!H14636*Seg!H82+sbc_r*Seg!H82</f>
        <v>27.3981100014792</v>
      </c>
      <c r="I14645" s="6" t="n">
        <f aca="false">PL!I112+Sens!I14636*Seg!I82+sbc_r*Seg!I82</f>
        <v>28.5176442589239</v>
      </c>
      <c r="J14645" s="6" t="n">
        <f aca="false">PL!J112+Sens!J14636*Seg!J82+sbc_r*Seg!J82</f>
        <v>29.8313998963726</v>
      </c>
      <c r="K14645" s="6" t="n">
        <f aca="false">PL!K112+Sens!K14636*Seg!K82+sbc_r*Seg!K82</f>
        <v>31.3103466222307</v>
      </c>
    </row>
    <row r="14646" customFormat="false" ht="17.15" hidden="false" customHeight="false" outlineLevel="0" collapsed="false">
      <c r="A14646" s="0" t="s">
        <v>1245</v>
      </c>
      <c r="B14646" s="0" t="s">
        <v>98</v>
      </c>
      <c r="F14646" s="6" t="n">
        <f aca="false">(Sens!F14645-Sens!F14641)*Seg!F78/(Seg!F78+Seg!F80)</f>
        <v>8.72405610479892</v>
      </c>
      <c r="G14646" s="6" t="n">
        <f aca="false">(Sens!G14645-Sens!G14641)*Seg!G78/(Seg!G78+Seg!G80)</f>
        <v>7.897418765869</v>
      </c>
      <c r="H14646" s="6" t="n">
        <f aca="false">(Sens!H14645-Sens!H14641)*Seg!H78/(Seg!H78+Seg!H80)</f>
        <v>7.66644879573063</v>
      </c>
      <c r="I14646" s="6" t="n">
        <f aca="false">(Sens!I14645-Sens!I14641)*Seg!I78/(Seg!I78+Seg!I80)</f>
        <v>7.5787545031814</v>
      </c>
      <c r="J14646" s="6" t="n">
        <f aca="false">(Sens!J14645-Sens!J14641)*Seg!J78/(Seg!J78+Seg!J80)</f>
        <v>7.62401876450459</v>
      </c>
      <c r="K14646" s="6" t="n">
        <f aca="false">(Sens!K14645-Sens!K14641)*Seg!K78/(Seg!K78+Seg!K80)</f>
        <v>7.79847609658838</v>
      </c>
    </row>
    <row r="14647" customFormat="false" ht="17.15" hidden="false" customHeight="false" outlineLevel="0" collapsed="false">
      <c r="A14647" s="0" t="s">
        <v>1246</v>
      </c>
      <c r="B14647" s="0" t="s">
        <v>98</v>
      </c>
      <c r="F14647" s="6" t="n">
        <f aca="false">Sens!F14645-Sens!F14641-Sens!F14646</f>
        <v>6.72261492154066</v>
      </c>
      <c r="G14647" s="6" t="n">
        <f aca="false">Sens!G14645-Sens!G14641-Sens!G14646</f>
        <v>6.33014063899044</v>
      </c>
      <c r="H14647" s="6" t="n">
        <f aca="false">Sens!H14645-Sens!H14641-Sens!H14646</f>
        <v>6.32730487109095</v>
      </c>
      <c r="I14647" s="6" t="n">
        <f aca="false">Sens!I14645-Sens!I14641-Sens!I14646</f>
        <v>6.37673853755084</v>
      </c>
      <c r="J14647" s="6" t="n">
        <f aca="false">Sens!J14645-Sens!J14641-Sens!J14646</f>
        <v>6.47634294562954</v>
      </c>
      <c r="K14647" s="6" t="n">
        <f aca="false">Sens!K14645-Sens!K14641-Sens!K14646</f>
        <v>6.62453847699607</v>
      </c>
    </row>
    <row r="14648" customFormat="false" ht="17.15" hidden="false" customHeight="false" outlineLevel="0" collapsed="false">
      <c r="A14648" s="0" t="s">
        <v>1247</v>
      </c>
      <c r="B14648" s="0" t="s">
        <v>98</v>
      </c>
      <c r="F14648" s="6" t="n">
        <f aca="false">Sens!F14642-tax_f*(Sens!F14642-Thesis!F147)-Thesis!F144</f>
        <v>-130.362326762856</v>
      </c>
      <c r="G14648" s="6" t="n">
        <f aca="false">Sens!G14642-tax_f*(Sens!G14642-Thesis!G147)-Thesis!G144</f>
        <v>-124.225179337776</v>
      </c>
      <c r="H14648" s="6" t="n">
        <f aca="false">Sens!H14642-tax_f*(Sens!H14642-Thesis!H147)-Thesis!H144</f>
        <v>-101.534217387562</v>
      </c>
      <c r="I14648" s="6" t="n">
        <f aca="false">Sens!I14642-tax_f*(Sens!I14642-Thesis!I147)-Thesis!I144</f>
        <v>-43.6446798695439</v>
      </c>
      <c r="J14648" s="6" t="n">
        <f aca="false">Sens!J14642-tax_f*(Sens!J14642-Thesis!J147)-Thesis!J144</f>
        <v>16.9198855589618</v>
      </c>
      <c r="K14648" s="6" t="n">
        <f aca="false">Sens!K14642-tax_f*(Sens!K14642-Thesis!K147)-Thesis!K144</f>
        <v>39.8251384629271</v>
      </c>
    </row>
    <row r="14649" customFormat="false" ht="17.15" hidden="false" customHeight="false" outlineLevel="0" collapsed="false">
      <c r="A14649" s="0" t="s">
        <v>1248</v>
      </c>
      <c r="B14649" s="0" t="s">
        <v>98</v>
      </c>
      <c r="G14649" s="6" t="n">
        <f aca="false">Sens!G14648/(1+((px*sh_val*(rf+beta*erp_lo)+(debt_val+fl_val)*kd*(1-tax_w))/(px*sh_val+debt_val+fl_val)))^(Sens!G14619-Sens!F14620)</f>
        <v>-118.571943001394</v>
      </c>
      <c r="H14649" s="6" t="n">
        <f aca="false">Sens!H14648/(1+((px*sh_val*(rf+beta*erp_lo)+(debt_val+fl_val)*kd*(1-tax_w))/(px*sh_val+debt_val+fl_val)))^(Sens!H14619-Sens!F14620)</f>
        <v>-88.2936230837176</v>
      </c>
      <c r="I14649" s="6" t="n">
        <f aca="false">Sens!I14648/(1+((px*sh_val*(rf+beta*erp_lo)+(debt_val+fl_val)*kd*(1-tax_w))/(px*sh_val+debt_val+fl_val)))^(Sens!I14619-Sens!F14620)</f>
        <v>-34.5774397498282</v>
      </c>
      <c r="J14649" s="6" t="n">
        <f aca="false">Sens!J14648/(1+((px*sh_val*(rf+beta*erp_lo)+(debt_val+fl_val)*kd*(1-tax_w))/(px*sh_val+debt_val+fl_val)))^(Sens!J14619-Sens!F14620)</f>
        <v>12.2124711442593</v>
      </c>
      <c r="K14649" s="6" t="n">
        <f aca="false">Sens!K14648/(1+((px*sh_val*(rf+beta*erp_lo)+(debt_val+fl_val)*kd*(1-tax_w))/(px*sh_val+debt_val+fl_val)))^(Sens!K14619-Sens!F14620)</f>
        <v>26.1883437030117</v>
      </c>
      <c r="L14649" s="1" t="s">
        <v>1249</v>
      </c>
    </row>
    <row r="14650" customFormat="false" ht="17.15" hidden="false" customHeight="false" outlineLevel="0" collapsed="false">
      <c r="A14650" s="0" t="s">
        <v>1250</v>
      </c>
      <c r="B14650" s="0" t="s">
        <v>98</v>
      </c>
      <c r="C14650" s="6" t="n">
        <f aca="false">(Sens!K14642-Thesis!K147)*(1-tax_f)*(1+g_tv)*(1-g_tv/(((px*sh_val*(rf+beta*erp_lo)+(debt_val+fl_val)*kd*(1-tax_w))/(px*sh_val+debt_val+fl_val))+ronic_prem))/(((px*sh_val*(rf+beta*erp_lo)+(debt_val+fl_val)*kd*(1-tax_w))/(px*sh_val+debt_val+fl_val))-g_tv)/(1+((px*sh_val*(rf+beta*erp_lo)+(debt_val+fl_val)*kd*(1-tax_w))/(px*sh_val+debt_val+fl_val)))^(Sens!K14620-Sens!F14620)</f>
        <v>104.462807809579</v>
      </c>
    </row>
    <row r="14651" customFormat="false" ht="17.15" hidden="false" customHeight="false" outlineLevel="0" collapsed="false">
      <c r="A14651" s="1" t="s">
        <v>1251</v>
      </c>
      <c r="B14651" s="0" t="s">
        <v>98</v>
      </c>
      <c r="C14651" s="6" t="n">
        <f aca="false">(SUM(Sens!G14649:K14649)+Sens!$C$14650)*(1+((px*sh_val*(rf+beta*erp_lo)+(debt_val+fl_val)*kd*(1-tax_w))/(px*sh_val+debt_val+fl_val)))^(t_roll-Sens!F14620)</f>
        <v>-101.671056342634</v>
      </c>
      <c r="L14651" s="12" t="s">
        <v>1252</v>
      </c>
    </row>
    <row r="14652" customFormat="false" ht="17.15" hidden="false" customHeight="false" outlineLevel="0" collapsed="false">
      <c r="A14652" s="1" t="s">
        <v>1253</v>
      </c>
      <c r="B14652" s="0" t="s">
        <v>98</v>
      </c>
      <c r="C14652" s="6" t="n">
        <f aca="false">(w_ntm28*Thesis!G135+(1-w_ntm28)*Thesis!H135)*m_ai</f>
        <v>344.355829012336</v>
      </c>
    </row>
    <row r="14653" customFormat="false" ht="17.15" hidden="false" customHeight="false" outlineLevel="0" collapsed="false">
      <c r="A14653" s="1" t="s">
        <v>1254</v>
      </c>
      <c r="B14653" s="0" t="s">
        <v>98</v>
      </c>
      <c r="C14653" s="6" t="n">
        <f aca="false">(w_ntm28*Sens!G14644+(1-w_ntm28)*Sens!H14644)*m_cloud</f>
        <v>1093.03877543039</v>
      </c>
    </row>
    <row r="14654" customFormat="false" ht="17.15" hidden="false" customHeight="false" outlineLevel="0" collapsed="false">
      <c r="A14654" s="1" t="s">
        <v>1255</v>
      </c>
      <c r="B14654" s="0" t="s">
        <v>98</v>
      </c>
      <c r="C14654" s="6" t="n">
        <f aca="false">(w_ntm28*Sens!G14637+(1-w_ntm28)*Sens!H14637)*m_sw</f>
        <v>1045.17056616266</v>
      </c>
    </row>
    <row r="14655" customFormat="false" ht="17.15" hidden="false" customHeight="false" outlineLevel="0" collapsed="false">
      <c r="A14655" s="1" t="s">
        <v>1256</v>
      </c>
      <c r="B14655" s="0" t="s">
        <v>98</v>
      </c>
      <c r="C14655" s="6" t="n">
        <f aca="false">(w_ntm28*Sens!G14638+(1-w_ntm28)*Sens!H14638)*m_sw</f>
        <v>373.178444957791</v>
      </c>
    </row>
    <row r="14656" customFormat="false" ht="17.15" hidden="false" customHeight="false" outlineLevel="0" collapsed="false">
      <c r="A14656" s="1" t="s">
        <v>1257</v>
      </c>
      <c r="B14656" s="0" t="s">
        <v>98</v>
      </c>
      <c r="C14656" s="6" t="n">
        <f aca="false">(w_ntm28*Sens!G14639+(1-w_ntm28)*Sens!H14639)*m_sw</f>
        <v>109.30055788101</v>
      </c>
    </row>
    <row r="14657" customFormat="false" ht="17.15" hidden="false" customHeight="false" outlineLevel="0" collapsed="false">
      <c r="A14657" s="1" t="s">
        <v>1258</v>
      </c>
      <c r="B14657" s="0" t="s">
        <v>98</v>
      </c>
      <c r="C14657" s="6" t="n">
        <f aca="false">(w_ntm28*Sens!G14640+(1-w_ntm28)*Sens!H14640)*m_sw</f>
        <v>41.5531037214606</v>
      </c>
    </row>
    <row r="14658" customFormat="false" ht="17.15" hidden="false" customHeight="false" outlineLevel="0" collapsed="false">
      <c r="A14658" s="1" t="s">
        <v>1259</v>
      </c>
      <c r="B14658" s="0" t="s">
        <v>98</v>
      </c>
      <c r="C14658" s="6" t="n">
        <f aca="false">(w_ntm28*Sens!G14641+(1-w_ntm28)*Sens!H14641)*m_ads</f>
        <v>115.215899994784</v>
      </c>
    </row>
    <row r="14659" customFormat="false" ht="17.15" hidden="false" customHeight="false" outlineLevel="0" collapsed="false">
      <c r="A14659" s="1" t="s">
        <v>1260</v>
      </c>
      <c r="B14659" s="0" t="s">
        <v>98</v>
      </c>
      <c r="C14659" s="6" t="n">
        <f aca="false">(w_ntm28*Sens!G14646+(1-w_ntm28)*Sens!H14646)*m_game</f>
        <v>98.7853357615783</v>
      </c>
    </row>
    <row r="14660" customFormat="false" ht="17.15" hidden="false" customHeight="false" outlineLevel="0" collapsed="false">
      <c r="A14660" s="1" t="s">
        <v>1261</v>
      </c>
      <c r="B14660" s="0" t="s">
        <v>98</v>
      </c>
      <c r="C14660" s="6" t="n">
        <f aca="false">(w_ntm28*Sens!G14647+(1-w_ntm28)*Sens!H14647)*m_pc</f>
        <v>91.5836445602173</v>
      </c>
    </row>
    <row r="14661" customFormat="false" ht="17.15" hidden="false" customHeight="false" outlineLevel="0" collapsed="false">
      <c r="A14661" s="1" t="s">
        <v>1262</v>
      </c>
      <c r="B14661" s="0" t="s">
        <v>98</v>
      </c>
      <c r="C14661" s="6" t="n">
        <f aca="false">Sens!$C$14651+Sens!$C$14653+Sens!$C$14654+Sens!$C$14655+Sens!$C$14656+Sens!$C$14657+Sens!$C$14658+Sens!$C$14659+Sens!$C$14660</f>
        <v>2866.15527212725</v>
      </c>
    </row>
    <row r="14662" customFormat="false" ht="17.15" hidden="false" customHeight="false" outlineLevel="0" collapsed="false">
      <c r="A14662" s="1" t="s">
        <v>1263</v>
      </c>
      <c r="B14662" s="0" t="s">
        <v>98</v>
      </c>
      <c r="C14662" s="6" t="n">
        <f aca="false">(Sens!G14623-Sens!G14648)*t_stub</f>
        <v>47.4829168796038</v>
      </c>
      <c r="L14662" s="1" t="s">
        <v>1264</v>
      </c>
    </row>
    <row r="14663" customFormat="false" ht="17.15" hidden="false" customHeight="false" outlineLevel="0" collapsed="false">
      <c r="A14663" s="1" t="s">
        <v>1173</v>
      </c>
      <c r="B14663" s="0" t="s">
        <v>98</v>
      </c>
      <c r="C14663" s="6" t="n">
        <f aca="false">CF!F103+oai_v-CF!F92+Sens!$C$14662</f>
        <v>158.55427008544</v>
      </c>
      <c r="L14663" s="1" t="s">
        <v>1265</v>
      </c>
    </row>
    <row r="14664" customFormat="false" ht="17.15" hidden="false" customHeight="false" outlineLevel="0" collapsed="false">
      <c r="A14664" s="1" t="s">
        <v>1266</v>
      </c>
      <c r="B14664" s="0" t="s">
        <v>75</v>
      </c>
      <c r="C14664" s="5" t="n">
        <f aca="false">(Sens!$C$14661+Sens!$C$14663)/(CF!F105+dil_gap)-CF!G95*roll_div_q/q_per_yr</f>
        <v>402.470310860818</v>
      </c>
      <c r="L14664" s="1" t="s">
        <v>1267</v>
      </c>
    </row>
    <row r="14665" customFormat="false" ht="17.15" hidden="false" customHeight="false" outlineLevel="0" collapsed="false">
      <c r="A14665" s="1" t="s">
        <v>1268</v>
      </c>
      <c r="B14665" s="0" t="s">
        <v>75</v>
      </c>
      <c r="C14665" s="5" t="n">
        <f aca="false">w_dcf*Sens!$C$14635+(1-w_dcf)*Sens!$C$14664</f>
        <v>349.986787514554</v>
      </c>
    </row>
    <row r="14666" customFormat="false" ht="17.15" hidden="false" customHeight="false" outlineLevel="0" collapsed="false">
      <c r="A14666" s="3" t="s">
        <v>1975</v>
      </c>
    </row>
    <row r="14667" customFormat="false" ht="15" hidden="false" customHeight="false" outlineLevel="0" collapsed="false">
      <c r="A14667" s="4" t="s">
        <v>43</v>
      </c>
      <c r="B14667" s="4" t="s">
        <v>65</v>
      </c>
      <c r="C14667" s="23" t="s">
        <v>942</v>
      </c>
      <c r="D14667" s="23" t="s">
        <v>943</v>
      </c>
      <c r="E14667" s="23" t="s">
        <v>944</v>
      </c>
      <c r="F14667" s="23" t="s">
        <v>945</v>
      </c>
      <c r="G14667" s="23" t="s">
        <v>946</v>
      </c>
      <c r="H14667" s="23" t="s">
        <v>947</v>
      </c>
      <c r="I14667" s="23" t="s">
        <v>948</v>
      </c>
      <c r="J14667" s="23" t="s">
        <v>949</v>
      </c>
      <c r="K14667" s="23" t="s">
        <v>950</v>
      </c>
      <c r="L14667" s="4" t="s">
        <v>47</v>
      </c>
    </row>
    <row r="14668" customFormat="false" ht="17.15" hidden="false" customHeight="false" outlineLevel="0" collapsed="false">
      <c r="A14668" s="1" t="s">
        <v>1216</v>
      </c>
      <c r="B14668" s="1" t="s">
        <v>279</v>
      </c>
      <c r="F14668" s="8" t="n">
        <f aca="false">(1-v_off)*mid_yr</f>
        <v>0.373972602739726</v>
      </c>
      <c r="G14668" s="8" t="n">
        <f aca="false">Thesis!G6-base_fy-mid_yr-v_off</f>
        <v>1.24794520547945</v>
      </c>
      <c r="H14668" s="8" t="n">
        <f aca="false">Thesis!H6-base_fy-mid_yr-v_off</f>
        <v>2.24794520547945</v>
      </c>
      <c r="I14668" s="8" t="n">
        <f aca="false">Thesis!I6-base_fy-mid_yr-v_off</f>
        <v>3.24794520547945</v>
      </c>
      <c r="J14668" s="8" t="n">
        <f aca="false">Thesis!J6-base_fy-mid_yr-v_off</f>
        <v>4.24794520547945</v>
      </c>
      <c r="K14668" s="8" t="n">
        <f aca="false">Thesis!K6-base_fy-mid_yr-v_off</f>
        <v>5.24794520547945</v>
      </c>
      <c r="L14668" s="12" t="s">
        <v>1217</v>
      </c>
    </row>
    <row r="14669" customFormat="false" ht="15" hidden="false" customHeight="false" outlineLevel="0" collapsed="false">
      <c r="A14669" s="1" t="s">
        <v>1218</v>
      </c>
      <c r="B14669" s="1" t="s">
        <v>279</v>
      </c>
      <c r="F14669" s="8" t="n">
        <f aca="false">Thesis!F6-base_fy-v_off</f>
        <v>0.747945205479452</v>
      </c>
      <c r="G14669" s="8" t="n">
        <f aca="false">Thesis!G6-base_fy-v_off</f>
        <v>1.74794520547945</v>
      </c>
      <c r="H14669" s="8" t="n">
        <f aca="false">Thesis!H6-base_fy-v_off</f>
        <v>2.74794520547945</v>
      </c>
      <c r="I14669" s="8" t="n">
        <f aca="false">Thesis!I6-base_fy-v_off</f>
        <v>3.74794520547945</v>
      </c>
      <c r="J14669" s="8" t="n">
        <f aca="false">Thesis!J6-base_fy-v_off</f>
        <v>4.74794520547945</v>
      </c>
      <c r="K14669" s="8" t="n">
        <f aca="false">Thesis!K6-base_fy-v_off</f>
        <v>5.74794520547945</v>
      </c>
    </row>
    <row r="14670" customFormat="false" ht="15" hidden="false" customHeight="false" outlineLevel="0" collapsed="false">
      <c r="A14670" s="1" t="s">
        <v>1219</v>
      </c>
      <c r="B14670" s="0" t="s">
        <v>229</v>
      </c>
      <c r="F14670" s="15" t="n">
        <f aca="false">1/(1+((px*sh_val*(rf+beta*erp_hi)+(debt_val+fl_val)*kd*(1-tax_w))/(px*sh_val+debt_val+fl_val)))^Sens!F14668</f>
        <v>0.96057538035295</v>
      </c>
      <c r="G14670" s="15" t="n">
        <f aca="false">1/(1+((px*sh_val*(rf+beta*erp_hi)+(debt_val+fl_val)*kd*(1-tax_w))/(px*sh_val+debt_val+fl_val)))^Sens!G14668</f>
        <v>0.874394701758995</v>
      </c>
      <c r="H14670" s="15" t="n">
        <f aca="false">1/(1+((px*sh_val*(rf+beta*erp_hi)+(debt_val+fl_val)*kd*(1-tax_w))/(px*sh_val+debt_val+fl_val)))^Sens!H14668</f>
        <v>0.785229752114597</v>
      </c>
      <c r="I14670" s="15" t="n">
        <f aca="false">1/(1+((px*sh_val*(rf+beta*erp_hi)+(debt_val+fl_val)*kd*(1-tax_w))/(px*sh_val+debt_val+fl_val)))^Sens!I14668</f>
        <v>0.705157250341961</v>
      </c>
      <c r="J14670" s="15" t="n">
        <f aca="false">1/(1+((px*sh_val*(rf+beta*erp_hi)+(debt_val+fl_val)*kd*(1-tax_w))/(px*sh_val+debt_val+fl_val)))^Sens!J14668</f>
        <v>0.63325000914798</v>
      </c>
      <c r="K14670" s="15" t="n">
        <f aca="false">1/(1+((px*sh_val*(rf+beta*erp_hi)+(debt_val+fl_val)*kd*(1-tax_w))/(px*sh_val+debt_val+fl_val)))^Sens!K14668</f>
        <v>0.568675389626147</v>
      </c>
    </row>
    <row r="14671" customFormat="false" ht="17.15" hidden="false" customHeight="false" outlineLevel="0" collapsed="false">
      <c r="A14671" s="1" t="s">
        <v>1220</v>
      </c>
      <c r="B14671" s="0" t="s">
        <v>98</v>
      </c>
      <c r="F14671" s="6" t="n">
        <f aca="false">Q!$I$35-Q!$I$39-Q!$I$43</f>
        <v>9.666</v>
      </c>
      <c r="L14671" s="12" t="s">
        <v>1221</v>
      </c>
    </row>
    <row r="14672" customFormat="false" ht="17.15" hidden="false" customHeight="false" outlineLevel="0" collapsed="false">
      <c r="A14672" s="1" t="s">
        <v>1222</v>
      </c>
      <c r="B14672" s="0" t="s">
        <v>98</v>
      </c>
      <c r="F14672" s="6" t="n">
        <f aca="false">CF!F23-CF!F20-CF!F27+Thesis!F47*(1-tax_f)*(1-v_off)-Sens!F14671</f>
        <v>-1.12880264559539</v>
      </c>
      <c r="G14672" s="6" t="n">
        <f aca="false">CF!G23-CF!G20-CF!G27+Thesis!G47*(1-tax_f)</f>
        <v>38.7194421947551</v>
      </c>
      <c r="H14672" s="6" t="n">
        <f aca="false">CF!H23-CF!H20-CF!H27+Thesis!H47*(1-tax_f)</f>
        <v>98.6927474567662</v>
      </c>
      <c r="I14672" s="6" t="n">
        <f aca="false">CF!I23-CF!I20-CF!I27+Thesis!I47*(1-tax_f)</f>
        <v>181.625440536277</v>
      </c>
      <c r="J14672" s="6" t="n">
        <f aca="false">CF!J23-CF!J20-CF!J27+Thesis!J47*(1-tax_f)</f>
        <v>263.350402418584</v>
      </c>
      <c r="K14672" s="6" t="n">
        <f aca="false">CF!K23-CF!K20-CF!K27+Thesis!K47*(1-tax_f)</f>
        <v>303.659068389018</v>
      </c>
      <c r="L14672" s="1" t="s">
        <v>1223</v>
      </c>
    </row>
    <row r="14673" customFormat="false" ht="15" hidden="false" customHeight="false" outlineLevel="0" collapsed="false">
      <c r="A14673" s="1" t="s">
        <v>1224</v>
      </c>
      <c r="B14673" s="0" t="s">
        <v>98</v>
      </c>
      <c r="F14673" s="6" t="n">
        <f aca="false">Sens!F14672*Sens!F14670</f>
        <v>-1.08430003063621</v>
      </c>
      <c r="G14673" s="6" t="n">
        <f aca="false">Sens!G14672*Sens!G14670</f>
        <v>33.8560751101575</v>
      </c>
      <c r="H14673" s="6" t="n">
        <f aca="false">Sens!H14672*Sens!H14670</f>
        <v>77.4964816209851</v>
      </c>
      <c r="I14673" s="6" t="n">
        <f aca="false">Sens!I14672*Sens!I14670</f>
        <v>128.074496240709</v>
      </c>
      <c r="J14673" s="6" t="n">
        <f aca="false">Sens!J14672*Sens!J14670</f>
        <v>166.766644740692</v>
      </c>
      <c r="K14673" s="6" t="n">
        <f aca="false">Sens!K14672*Sens!K14670</f>
        <v>172.683439029637</v>
      </c>
    </row>
    <row r="14674" customFormat="false" ht="17.15" hidden="false" customHeight="false" outlineLevel="0" collapsed="false">
      <c r="A14674" s="1" t="s">
        <v>1225</v>
      </c>
      <c r="B14674" s="0" t="s">
        <v>98</v>
      </c>
      <c r="C14674" s="6" t="n">
        <f aca="false">SUM(Sens!F14673:K14673)</f>
        <v>577.792836711545</v>
      </c>
    </row>
    <row r="14675" customFormat="false" ht="17.15" hidden="false" customHeight="false" outlineLevel="0" collapsed="false">
      <c r="A14675" s="1" t="s">
        <v>1226</v>
      </c>
      <c r="B14675" s="0" t="s">
        <v>98</v>
      </c>
      <c r="C14675" s="6" t="n">
        <f aca="false">PL!K39*(1+g_tv)*(1-tax_f)</f>
        <v>316.501318799308</v>
      </c>
    </row>
    <row r="14676" customFormat="false" ht="17.15" hidden="false" customHeight="false" outlineLevel="0" collapsed="false">
      <c r="A14676" s="1" t="s">
        <v>1227</v>
      </c>
      <c r="B14676" s="0" t="s">
        <v>98</v>
      </c>
      <c r="C14676" s="6" t="n">
        <f aca="false">Sens!$C$14675*(1-g_tv/(((px*sh_val*(rf+beta*erp_hi)+(debt_val+fl_val)*kd*(1-tax_w))/(px*sh_val+debt_val+fl_val))+ronic_prem))</f>
        <v>232.883399506173</v>
      </c>
    </row>
    <row r="14677" customFormat="false" ht="17.15" hidden="false" customHeight="false" outlineLevel="0" collapsed="false">
      <c r="A14677" s="1" t="s">
        <v>1228</v>
      </c>
      <c r="B14677" s="0" t="s">
        <v>98</v>
      </c>
      <c r="C14677" s="6" t="n">
        <f aca="false">Sens!$C$14676/(((px*sh_val*(rf+beta*erp_hi)+(debt_val+fl_val)*kd*(1-tax_w))/(px*sh_val+debt_val+fl_val))-g_tv)</f>
        <v>2787.26397643784</v>
      </c>
    </row>
    <row r="14678" customFormat="false" ht="15" hidden="false" customHeight="false" outlineLevel="0" collapsed="false">
      <c r="A14678" s="1" t="s">
        <v>1229</v>
      </c>
      <c r="B14678" s="0" t="s">
        <v>98</v>
      </c>
      <c r="C14678" s="6" t="n">
        <f aca="false">Sens!$C$14677/(1+((px*sh_val*(rf+beta*erp_hi)+(debt_val+fl_val)*kd*(1-tax_w))/(px*sh_val+debt_val+fl_val)))^Sens!K14669</f>
        <v>1502.05954791168</v>
      </c>
    </row>
    <row r="14679" customFormat="false" ht="17.15" hidden="false" customHeight="false" outlineLevel="0" collapsed="false">
      <c r="A14679" s="0" t="s">
        <v>1230</v>
      </c>
      <c r="B14679" s="0" t="s">
        <v>98</v>
      </c>
      <c r="C14679" s="6" t="n">
        <f aca="false">Sens!$C$14674+Sens!$C$14678</f>
        <v>2079.85238462322</v>
      </c>
    </row>
    <row r="14680" customFormat="false" ht="15" hidden="false" customHeight="false" outlineLevel="0" collapsed="false">
      <c r="A14680" s="1" t="s">
        <v>1145</v>
      </c>
      <c r="B14680" s="0" t="s">
        <v>168</v>
      </c>
      <c r="C14680" s="7" t="n">
        <f aca="false">Sens!$C$14678/Sens!$C$14679</f>
        <v>0.72219526684524</v>
      </c>
    </row>
    <row r="14681" customFormat="false" ht="17.15" hidden="false" customHeight="false" outlineLevel="0" collapsed="false">
      <c r="A14681" s="1" t="s">
        <v>1231</v>
      </c>
      <c r="B14681" s="0" t="s">
        <v>98</v>
      </c>
      <c r="C14681" s="6" t="n">
        <f aca="false">Sens!$C$14679+cash_val-debt_val-fl_val+oai_v</f>
        <v>2195.70338462322</v>
      </c>
    </row>
    <row r="14682" customFormat="false" ht="17.15" hidden="false" customHeight="false" outlineLevel="0" collapsed="false">
      <c r="A14682" s="0" t="s">
        <v>1153</v>
      </c>
      <c r="B14682" s="0" t="s">
        <v>75</v>
      </c>
      <c r="C14682" s="5" t="n">
        <f aca="false">Sens!$C$14681/shd_val</f>
        <v>294.883613298848</v>
      </c>
    </row>
    <row r="14683" customFormat="false" ht="15" hidden="false" customHeight="false" outlineLevel="0" collapsed="false">
      <c r="A14683" s="1" t="s">
        <v>1232</v>
      </c>
      <c r="B14683" s="0" t="s">
        <v>75</v>
      </c>
      <c r="C14683" s="8" t="n">
        <f aca="false">div_rem27+CF!G31*roll_div_q/q_per_yr</f>
        <v>3.9795</v>
      </c>
    </row>
    <row r="14684" customFormat="false" ht="17.15" hidden="false" customHeight="false" outlineLevel="0" collapsed="false">
      <c r="A14684" s="0" t="s">
        <v>1233</v>
      </c>
      <c r="B14684" s="0" t="s">
        <v>75</v>
      </c>
      <c r="C14684" s="5" t="n">
        <f aca="false">Sens!$C$14682*(1+((px*sh_val*(rf+beta*erp_hi)+(debt_val+fl_val)*kd*(1-tax_w))/(px*sh_val+debt_val+fl_val)))^t_roll-Sens!$C$14683</f>
        <v>327.207039304872</v>
      </c>
    </row>
    <row r="14685" customFormat="false" ht="17.15" hidden="false" customHeight="false" outlineLevel="0" collapsed="false">
      <c r="A14685" s="1" t="s">
        <v>1234</v>
      </c>
      <c r="B14685" s="0" t="s">
        <v>168</v>
      </c>
      <c r="F14685" s="7" t="n">
        <f aca="false">CF!F17/(Seg!F29-Thesis!F25)</f>
        <v>0.0685527305696859</v>
      </c>
      <c r="G14685" s="7" t="n">
        <f aca="false">CF!G17/(Seg!G29-Thesis!G25)</f>
        <v>0.0653567731599844</v>
      </c>
      <c r="H14685" s="7" t="n">
        <f aca="false">CF!H17/(Seg!H29-Thesis!H25)</f>
        <v>0.0636628841026972</v>
      </c>
      <c r="I14685" s="7" t="n">
        <f aca="false">CF!I17/(Seg!I29-Thesis!I25)</f>
        <v>0.0633581084335176</v>
      </c>
      <c r="J14685" s="7" t="n">
        <f aca="false">CF!J17/(Seg!J29-Thesis!J25)</f>
        <v>0.0640873955995062</v>
      </c>
      <c r="K14685" s="7" t="n">
        <f aca="false">CF!K17/(Seg!K29-Thesis!K25)</f>
        <v>0.0653962234835198</v>
      </c>
    </row>
    <row r="14686" customFormat="false" ht="17.15" hidden="false" customHeight="false" outlineLevel="0" collapsed="false">
      <c r="A14686" s="0" t="s">
        <v>1235</v>
      </c>
      <c r="B14686" s="0" t="s">
        <v>98</v>
      </c>
      <c r="F14686" s="6" t="n">
        <f aca="false">Seg!F14*(al_m365+Sens!F14685+sbc_r)</f>
        <v>84.5213906545575</v>
      </c>
      <c r="G14686" s="6" t="n">
        <f aca="false">Seg!G14*(al_m365+Sens!G14685+sbc_r)</f>
        <v>98.949983331796</v>
      </c>
      <c r="H14686" s="6" t="n">
        <f aca="false">Seg!H14*(al_m365+Sens!H14685+sbc_r)</f>
        <v>113.543734275326</v>
      </c>
      <c r="I14686" s="6" t="n">
        <f aca="false">Seg!I14*(al_m365+Sens!I14685+sbc_r)</f>
        <v>126.62058838692</v>
      </c>
      <c r="J14686" s="6" t="n">
        <f aca="false">Seg!J14*(al_m365+Sens!J14685+sbc_r)</f>
        <v>137.994660156303</v>
      </c>
      <c r="K14686" s="6" t="n">
        <f aca="false">Seg!K14*(al_m365+Sens!K14685+sbc_r)</f>
        <v>148.989224092997</v>
      </c>
      <c r="L14686" s="12" t="s">
        <v>1236</v>
      </c>
    </row>
    <row r="14687" customFormat="false" ht="17.15" hidden="false" customHeight="false" outlineLevel="0" collapsed="false">
      <c r="A14687" s="0" t="s">
        <v>1237</v>
      </c>
      <c r="B14687" s="0" t="s">
        <v>98</v>
      </c>
      <c r="F14687" s="6" t="n">
        <f aca="false">Seg!F15*(al_lic+Sens!F14685+sbc_r)</f>
        <v>32.855200196554</v>
      </c>
      <c r="G14687" s="6" t="n">
        <f aca="false">Seg!G15*(al_lic+Sens!G14685+sbc_r)</f>
        <v>34.1185582613282</v>
      </c>
      <c r="H14687" s="6" t="n">
        <f aca="false">Seg!H15*(al_lic+Sens!H14685+sbc_r)</f>
        <v>35.3024309363621</v>
      </c>
      <c r="I14687" s="6" t="n">
        <f aca="false">Seg!I15*(al_lic+Sens!I14685+sbc_r)</f>
        <v>36.3898468129533</v>
      </c>
      <c r="J14687" s="6" t="n">
        <f aca="false">Seg!J15*(al_lic+Sens!J14685+sbc_r)</f>
        <v>37.3529129529876</v>
      </c>
      <c r="K14687" s="6" t="n">
        <f aca="false">Seg!K15*(al_lic+Sens!K14685+sbc_r)</f>
        <v>38.158536171203</v>
      </c>
    </row>
    <row r="14688" customFormat="false" ht="17.15" hidden="false" customHeight="false" outlineLevel="0" collapsed="false">
      <c r="A14688" s="0" t="s">
        <v>1238</v>
      </c>
      <c r="B14688" s="0" t="s">
        <v>98</v>
      </c>
      <c r="F14688" s="6" t="n">
        <f aca="false">Seg!F17*(al_ind+Sens!F14685+sbc_r)</f>
        <v>9.05892547956683</v>
      </c>
      <c r="G14688" s="6" t="n">
        <f aca="false">Seg!G17*(al_ind+Sens!G14685+sbc_r)</f>
        <v>9.82456487622418</v>
      </c>
      <c r="H14688" s="6" t="n">
        <f aca="false">Seg!H17*(al_ind+Sens!H14685+sbc_r)</f>
        <v>10.6377408477959</v>
      </c>
      <c r="I14688" s="6" t="n">
        <f aca="false">Seg!I17*(al_ind+Sens!I14685+sbc_r)</f>
        <v>11.4966323260293</v>
      </c>
      <c r="J14688" s="6" t="n">
        <f aca="false">Seg!J17*(al_ind+Sens!J14685+sbc_r)</f>
        <v>12.3903660286279</v>
      </c>
      <c r="K14688" s="6" t="n">
        <f aca="false">Seg!K17*(al_ind+Sens!K14685+sbc_r)</f>
        <v>13.3009129057681</v>
      </c>
    </row>
    <row r="14689" customFormat="false" ht="17.15" hidden="false" customHeight="false" outlineLevel="0" collapsed="false">
      <c r="A14689" s="0" t="s">
        <v>1239</v>
      </c>
      <c r="B14689" s="0" t="s">
        <v>98</v>
      </c>
      <c r="F14689" s="6" t="n">
        <f aca="false">Seg!F19*(al_fro+Sens!F14685+sbc_r)</f>
        <v>3.55344443532423</v>
      </c>
      <c r="G14689" s="6" t="n">
        <f aca="false">Seg!G19*(al_fro+Sens!G14685+sbc_r)</f>
        <v>3.75916645971565</v>
      </c>
      <c r="H14689" s="6" t="n">
        <f aca="false">Seg!H19*(al_fro+Sens!H14685+sbc_r)</f>
        <v>3.994970960527</v>
      </c>
      <c r="I14689" s="6" t="n">
        <f aca="false">Seg!I19*(al_fro+Sens!I14685+sbc_r)</f>
        <v>4.26396270432353</v>
      </c>
      <c r="J14689" s="6" t="n">
        <f aca="false">Seg!J19*(al_fro+Sens!J14685+sbc_r)</f>
        <v>4.5667795874336</v>
      </c>
      <c r="K14689" s="6" t="n">
        <f aca="false">Seg!K19*(al_fro+Sens!K14685+sbc_r)</f>
        <v>4.90238443416026</v>
      </c>
    </row>
    <row r="14690" customFormat="false" ht="17.15" hidden="false" customHeight="false" outlineLevel="0" collapsed="false">
      <c r="A14690" s="0" t="s">
        <v>1240</v>
      </c>
      <c r="B14690" s="0" t="s">
        <v>98</v>
      </c>
      <c r="F14690" s="6" t="n">
        <f aca="false">Seg!F22*(al_srch+Sens!F14685+sbc_r)</f>
        <v>11.1872483445711</v>
      </c>
      <c r="G14690" s="6" t="n">
        <f aca="false">Seg!G22*(al_srch+Sens!G14685+sbc_r)</f>
        <v>12.247246048296</v>
      </c>
      <c r="H14690" s="6" t="n">
        <f aca="false">Seg!H22*(al_srch+Sens!H14685+sbc_r)</f>
        <v>13.3552870946193</v>
      </c>
      <c r="I14690" s="6" t="n">
        <f aca="false">Seg!I22*(al_srch+Sens!I14685+sbc_r)</f>
        <v>14.5024145321619</v>
      </c>
      <c r="J14690" s="6" t="n">
        <f aca="false">Seg!J22*(al_srch+Sens!J14685+sbc_r)</f>
        <v>15.667276660652</v>
      </c>
      <c r="K14690" s="6" t="n">
        <f aca="false">Seg!K22*(al_srch+Sens!K14685+sbc_r)</f>
        <v>16.8186381138719</v>
      </c>
    </row>
    <row r="14691" customFormat="false" ht="17.15" hidden="false" customHeight="false" outlineLevel="0" collapsed="false">
      <c r="A14691" s="0" t="s">
        <v>1241</v>
      </c>
      <c r="B14691" s="0" t="s">
        <v>98</v>
      </c>
      <c r="F14691" s="6" t="n">
        <f aca="false">Thesis!F31-Thesis!F32+Thesis!F47</f>
        <v>45.3782580567763</v>
      </c>
      <c r="G14691" s="6" t="n">
        <f aca="false">Thesis!G31-Thesis!G32+Thesis!G47</f>
        <v>91.0863367558165</v>
      </c>
      <c r="H14691" s="6" t="n">
        <f aca="false">Thesis!H31-Thesis!H32+Thesis!H47</f>
        <v>144.617532464853</v>
      </c>
      <c r="I14691" s="6" t="n">
        <f aca="false">Thesis!I31-Thesis!I32+Thesis!I47</f>
        <v>187.137304561304</v>
      </c>
      <c r="J14691" s="6" t="n">
        <f aca="false">Thesis!J31-Thesis!J32+Thesis!J47</f>
        <v>217.006854425907</v>
      </c>
      <c r="K14691" s="6" t="n">
        <f aca="false">Thesis!K31-Thesis!K32+Thesis!K47</f>
        <v>234.933637903877</v>
      </c>
    </row>
    <row r="14692" customFormat="false" ht="17.15" hidden="false" customHeight="false" outlineLevel="0" collapsed="false">
      <c r="A14692" s="0" t="s">
        <v>1242</v>
      </c>
      <c r="B14692" s="0" t="s">
        <v>98</v>
      </c>
      <c r="F14692" s="6" t="n">
        <f aca="false">PL!F32+Thesis!F47+Thesis!F43+Sens!F14685*(Seg!F21-Thesis!F25)+sbc_r*Seg!F21</f>
        <v>240.818167741339</v>
      </c>
      <c r="G14692" s="6" t="n">
        <f aca="false">PL!G32+Thesis!G47+Thesis!G43+Sens!G14685*(Seg!G21-Thesis!G25)+sbc_r*Seg!G21</f>
        <v>311.917784140952</v>
      </c>
      <c r="H14692" s="6" t="n">
        <f aca="false">PL!H32+Thesis!H47+Thesis!H43+Sens!H14685*(Seg!H21-Thesis!H25)+sbc_r*Seg!H21</f>
        <v>395.486245683473</v>
      </c>
      <c r="I14692" s="6" t="n">
        <f aca="false">PL!I32+Thesis!I47+Thesis!I43+Sens!I14685*(Seg!I21-Thesis!I25)+sbc_r*Seg!I21</f>
        <v>465.950805948377</v>
      </c>
      <c r="J14692" s="6" t="n">
        <f aca="false">PL!J32+Thesis!J47+Thesis!J43+Sens!J14685*(Seg!J21-Thesis!J25)+sbc_r*Seg!J21</f>
        <v>520.78677388057</v>
      </c>
      <c r="K14692" s="6" t="n">
        <f aca="false">PL!K32+Thesis!K47+Thesis!K43+Sens!K14685*(Seg!K21-Thesis!K25)+sbc_r*Seg!K21</f>
        <v>561.2469767412</v>
      </c>
    </row>
    <row r="14693" customFormat="false" ht="17.15" hidden="false" customHeight="false" outlineLevel="0" collapsed="false">
      <c r="A14693" s="0" t="s">
        <v>1243</v>
      </c>
      <c r="B14693" s="0" t="s">
        <v>98</v>
      </c>
      <c r="F14693" s="6" t="n">
        <f aca="false">Sens!F14692-Sens!F14686-Sens!F14687-Sens!F14688-Sens!F14689-Sens!F14691</f>
        <v>65.4509489185601</v>
      </c>
      <c r="G14693" s="6" t="n">
        <f aca="false">Sens!G14692-Sens!G14686-Sens!G14687-Sens!G14688-Sens!G14689-Sens!G14691</f>
        <v>74.1791744560715</v>
      </c>
      <c r="H14693" s="6" t="n">
        <f aca="false">Sens!H14692-Sens!H14686-Sens!H14687-Sens!H14688-Sens!H14689-Sens!H14691</f>
        <v>87.3898361986086</v>
      </c>
      <c r="I14693" s="6" t="n">
        <f aca="false">Sens!I14692-Sens!I14686-Sens!I14687-Sens!I14688-Sens!I14689-Sens!I14691</f>
        <v>100.042471156846</v>
      </c>
      <c r="J14693" s="6" t="n">
        <f aca="false">Sens!J14692-Sens!J14686-Sens!J14687-Sens!J14688-Sens!J14689-Sens!J14691</f>
        <v>111.475200729312</v>
      </c>
      <c r="K14693" s="6" t="n">
        <f aca="false">Sens!K14692-Sens!K14686-Sens!K14687-Sens!K14688-Sens!K14689-Sens!K14691</f>
        <v>120.962281233195</v>
      </c>
    </row>
    <row r="14694" customFormat="false" ht="17.15" hidden="false" customHeight="false" outlineLevel="0" collapsed="false">
      <c r="A14694" s="0" t="s">
        <v>1244</v>
      </c>
      <c r="B14694" s="0" t="s">
        <v>98</v>
      </c>
      <c r="F14694" s="6" t="n">
        <f aca="false">PL!F34+Sens!F14685*Seg!F28+sbc_r*Seg!F28</f>
        <v>26.6293388420472</v>
      </c>
      <c r="G14694" s="6" t="n">
        <f aca="false">PL!G34+Sens!G14685*Seg!G28+sbc_r*Seg!G28</f>
        <v>26.4405000412783</v>
      </c>
      <c r="H14694" s="6" t="n">
        <f aca="false">PL!H34+Sens!H14685*Seg!H28+sbc_r*Seg!H28</f>
        <v>27.296860059552</v>
      </c>
      <c r="I14694" s="6" t="n">
        <f aca="false">PL!I34+Sens!I14685*Seg!I28+sbc_r*Seg!I28</f>
        <v>28.3995465815703</v>
      </c>
      <c r="J14694" s="6" t="n">
        <f aca="false">PL!J34+Sens!J14685*Seg!J28+sbc_r*Seg!J28</f>
        <v>29.7093380975903</v>
      </c>
      <c r="K14694" s="6" t="n">
        <f aca="false">PL!K34+Sens!K14685*Seg!K28+sbc_r*Seg!K28</f>
        <v>31.1817775287323</v>
      </c>
    </row>
    <row r="14695" customFormat="false" ht="17.15" hidden="false" customHeight="false" outlineLevel="0" collapsed="false">
      <c r="A14695" s="0" t="s">
        <v>1245</v>
      </c>
      <c r="B14695" s="0" t="s">
        <v>98</v>
      </c>
      <c r="F14695" s="6" t="n">
        <f aca="false">(Sens!F14694-Sens!F14690)*Seg!F24/(Seg!F24+Seg!F26)</f>
        <v>8.72146908842971</v>
      </c>
      <c r="G14695" s="6" t="n">
        <f aca="false">(Sens!G14694-Sens!G14690)*Seg!G24/(Seg!G24+Seg!G26)</f>
        <v>7.87837655379173</v>
      </c>
      <c r="H14695" s="6" t="n">
        <f aca="false">(Sens!H14694-Sens!H14690)*Seg!H24/(Seg!H24+Seg!H26)</f>
        <v>7.63786170689933</v>
      </c>
      <c r="I14695" s="6" t="n">
        <f aca="false">(Sens!I14694-Sens!I14690)*Seg!I24/(Seg!I24+Seg!I26)</f>
        <v>7.5470606300581</v>
      </c>
      <c r="J14695" s="6" t="n">
        <f aca="false">(Sens!J14694-Sens!J14690)*Seg!J24/(Seg!J24+Seg!J26)</f>
        <v>7.59249600034024</v>
      </c>
      <c r="K14695" s="6" t="n">
        <f aca="false">(Sens!K14694-Sens!K14690)*Seg!K24/(Seg!K24+Seg!K26)</f>
        <v>7.76610179704742</v>
      </c>
    </row>
    <row r="14696" customFormat="false" ht="17.15" hidden="false" customHeight="false" outlineLevel="0" collapsed="false">
      <c r="A14696" s="0" t="s">
        <v>1246</v>
      </c>
      <c r="B14696" s="0" t="s">
        <v>98</v>
      </c>
      <c r="F14696" s="6" t="n">
        <f aca="false">Sens!F14694-Sens!F14690-Sens!F14695</f>
        <v>6.72062140904636</v>
      </c>
      <c r="G14696" s="6" t="n">
        <f aca="false">Sens!G14694-Sens!G14690-Sens!G14695</f>
        <v>6.31487743919059</v>
      </c>
      <c r="H14696" s="6" t="n">
        <f aca="false">Sens!H14694-Sens!H14690-Sens!H14695</f>
        <v>6.30371125803333</v>
      </c>
      <c r="I14696" s="6" t="n">
        <f aca="false">Sens!I14694-Sens!I14690-Sens!I14695</f>
        <v>6.35007141935025</v>
      </c>
      <c r="J14696" s="6" t="n">
        <f aca="false">Sens!J14694-Sens!J14690-Sens!J14695</f>
        <v>6.44956543659808</v>
      </c>
      <c r="K14696" s="6" t="n">
        <f aca="false">Sens!K14694-Sens!K14690-Sens!K14695</f>
        <v>6.597037617813</v>
      </c>
    </row>
    <row r="14697" customFormat="false" ht="17.15" hidden="false" customHeight="false" outlineLevel="0" collapsed="false">
      <c r="A14697" s="0" t="s">
        <v>1247</v>
      </c>
      <c r="B14697" s="0" t="s">
        <v>98</v>
      </c>
      <c r="F14697" s="6" t="n">
        <f aca="false">Sens!F14691-tax_f*(Sens!F14691-Thesis!F43)-Thesis!F40</f>
        <v>-125.235434701028</v>
      </c>
      <c r="G14697" s="6" t="n">
        <f aca="false">Sens!G14691-tax_f*(Sens!G14691-Thesis!G43)-Thesis!G40</f>
        <v>-106.928508113935</v>
      </c>
      <c r="H14697" s="6" t="n">
        <f aca="false">Sens!H14691-tax_f*(Sens!H14691-Thesis!H43)-Thesis!H40</f>
        <v>-63.2919599603405</v>
      </c>
      <c r="I14697" s="6" t="n">
        <f aca="false">Sens!I14691-tax_f*(Sens!I14691-Thesis!I43)-Thesis!I40</f>
        <v>3.94121196634245</v>
      </c>
      <c r="J14697" s="6" t="n">
        <f aca="false">Sens!J14691-tax_f*(Sens!J14691-Thesis!J43)-Thesis!J40</f>
        <v>71.0786869547042</v>
      </c>
      <c r="K14697" s="6" t="n">
        <f aca="false">Sens!K14691-tax_f*(Sens!K14691-Thesis!K43)-Thesis!K40</f>
        <v>97.5865911685559</v>
      </c>
    </row>
    <row r="14698" customFormat="false" ht="17.15" hidden="false" customHeight="false" outlineLevel="0" collapsed="false">
      <c r="A14698" s="0" t="s">
        <v>1248</v>
      </c>
      <c r="B14698" s="0" t="s">
        <v>98</v>
      </c>
      <c r="G14698" s="6" t="n">
        <f aca="false">Sens!G14697/(1+((px*sh_val*(rf+beta*erp_hi)+(debt_val+fl_val)*kd*(1-tax_w))/(px*sh_val+debt_val+fl_val)))^(Sens!G14668-Sens!F14669)</f>
        <v>-101.330018528363</v>
      </c>
      <c r="H14698" s="6" t="n">
        <f aca="false">Sens!H14697/(1+((px*sh_val*(rf+beta*erp_hi)+(debt_val+fl_val)*kd*(1-tax_w))/(px*sh_val+debt_val+fl_val)))^(Sens!H14668-Sens!F14669)</f>
        <v>-53.8619891802897</v>
      </c>
      <c r="I14698" s="6" t="n">
        <f aca="false">Sens!I14697/(1+((px*sh_val*(rf+beta*erp_hi)+(debt_val+fl_val)*kd*(1-tax_w))/(px*sh_val+debt_val+fl_val)))^(Sens!I14668-Sens!F14669)</f>
        <v>3.01198542160825</v>
      </c>
      <c r="J14698" s="6" t="n">
        <f aca="false">Sens!J14697/(1+((px*sh_val*(rf+beta*erp_hi)+(debt_val+fl_val)*kd*(1-tax_w))/(px*sh_val+debt_val+fl_val)))^(Sens!J14668-Sens!F14669)</f>
        <v>48.7811122428609</v>
      </c>
      <c r="K14698" s="6" t="n">
        <f aca="false">Sens!K14697/(1+((px*sh_val*(rf+beta*erp_hi)+(debt_val+fl_val)*kd*(1-tax_w))/(px*sh_val+debt_val+fl_val)))^(Sens!K14668-Sens!F14669)</f>
        <v>60.1439128061791</v>
      </c>
      <c r="L14698" s="1" t="s">
        <v>1249</v>
      </c>
    </row>
    <row r="14699" customFormat="false" ht="17.15" hidden="false" customHeight="false" outlineLevel="0" collapsed="false">
      <c r="A14699" s="0" t="s">
        <v>1250</v>
      </c>
      <c r="B14699" s="0" t="s">
        <v>98</v>
      </c>
      <c r="C14699" s="6" t="n">
        <f aca="false">(Sens!K14691-Thesis!K43)*(1-tax_f)*(1+g_tv)*(1-g_tv/(((px*sh_val*(rf+beta*erp_hi)+(debt_val+fl_val)*kd*(1-tax_w))/(px*sh_val+debt_val+fl_val))+ronic_prem))/(((px*sh_val*(rf+beta*erp_hi)+(debt_val+fl_val)*kd*(1-tax_w))/(px*sh_val+debt_val+fl_val))-g_tv)/(1+((px*sh_val*(rf+beta*erp_hi)+(debt_val+fl_val)*kd*(1-tax_w))/(px*sh_val+debt_val+fl_val)))^(Sens!K14669-Sens!F14669)</f>
        <v>389.574503587495</v>
      </c>
    </row>
    <row r="14700" customFormat="false" ht="17.15" hidden="false" customHeight="false" outlineLevel="0" collapsed="false">
      <c r="A14700" s="1" t="s">
        <v>1251</v>
      </c>
      <c r="B14700" s="0" t="s">
        <v>98</v>
      </c>
      <c r="C14700" s="6" t="n">
        <f aca="false">(SUM(Sens!G14698:K14698)+Sens!$C$14699)*(1+((px*sh_val*(rf+beta*erp_hi)+(debt_val+fl_val)*kd*(1-tax_w))/(px*sh_val+debt_val+fl_val)))^(t_roll-Sens!F14669)</f>
        <v>358.890443587758</v>
      </c>
      <c r="L14700" s="12" t="s">
        <v>1252</v>
      </c>
    </row>
    <row r="14701" customFormat="false" ht="17.15" hidden="false" customHeight="false" outlineLevel="0" collapsed="false">
      <c r="A14701" s="1" t="s">
        <v>1253</v>
      </c>
      <c r="B14701" s="0" t="s">
        <v>98</v>
      </c>
      <c r="C14701" s="6" t="n">
        <f aca="false">(w_ntm28*Thesis!G31+(1-w_ntm28)*Thesis!H31)*m_ai</f>
        <v>563.316843258668</v>
      </c>
    </row>
    <row r="14702" customFormat="false" ht="17.15" hidden="false" customHeight="false" outlineLevel="0" collapsed="false">
      <c r="A14702" s="1" t="s">
        <v>1254</v>
      </c>
      <c r="B14702" s="0" t="s">
        <v>98</v>
      </c>
      <c r="C14702" s="6" t="n">
        <f aca="false">(w_ntm28*Sens!G14693+(1-w_ntm28)*Sens!H14693)*m_cloud</f>
        <v>1085.17964696599</v>
      </c>
    </row>
    <row r="14703" customFormat="false" ht="17.15" hidden="false" customHeight="false" outlineLevel="0" collapsed="false">
      <c r="A14703" s="1" t="s">
        <v>1255</v>
      </c>
      <c r="B14703" s="0" t="s">
        <v>98</v>
      </c>
      <c r="C14703" s="6" t="n">
        <f aca="false">(w_ntm28*Sens!G14686+(1-w_ntm28)*Sens!H14686)*m_sw</f>
        <v>1120.47763155275</v>
      </c>
    </row>
    <row r="14704" customFormat="false" ht="17.15" hidden="false" customHeight="false" outlineLevel="0" collapsed="false">
      <c r="A14704" s="1" t="s">
        <v>1256</v>
      </c>
      <c r="B14704" s="0" t="s">
        <v>98</v>
      </c>
      <c r="C14704" s="6" t="n">
        <f aca="false">(w_ntm28*Sens!G14687+(1-w_ntm28)*Sens!H14687)*m_sw</f>
        <v>372.68398809041</v>
      </c>
    </row>
    <row r="14705" customFormat="false" ht="17.15" hidden="false" customHeight="false" outlineLevel="0" collapsed="false">
      <c r="A14705" s="1" t="s">
        <v>1257</v>
      </c>
      <c r="B14705" s="0" t="s">
        <v>98</v>
      </c>
      <c r="C14705" s="6" t="n">
        <f aca="false">(w_ntm28*Sens!G14688+(1-w_ntm28)*Sens!H14688)*m_sw</f>
        <v>108.992632332144</v>
      </c>
    </row>
    <row r="14706" customFormat="false" ht="17.15" hidden="false" customHeight="false" outlineLevel="0" collapsed="false">
      <c r="A14706" s="1" t="s">
        <v>1258</v>
      </c>
      <c r="B14706" s="0" t="s">
        <v>98</v>
      </c>
      <c r="C14706" s="6" t="n">
        <f aca="false">(w_ntm28*Sens!G14689+(1-w_ntm28)*Sens!H14689)*m_sw</f>
        <v>41.4362652527414</v>
      </c>
    </row>
    <row r="14707" customFormat="false" ht="17.15" hidden="false" customHeight="false" outlineLevel="0" collapsed="false">
      <c r="A14707" s="1" t="s">
        <v>1259</v>
      </c>
      <c r="B14707" s="0" t="s">
        <v>98</v>
      </c>
      <c r="C14707" s="6" t="n">
        <f aca="false">(w_ntm28*Sens!G14690+(1-w_ntm28)*Sens!H14690)*m_ads</f>
        <v>114.891070326937</v>
      </c>
    </row>
    <row r="14708" customFormat="false" ht="17.15" hidden="false" customHeight="false" outlineLevel="0" collapsed="false">
      <c r="A14708" s="1" t="s">
        <v>1260</v>
      </c>
      <c r="B14708" s="0" t="s">
        <v>98</v>
      </c>
      <c r="C14708" s="6" t="n">
        <f aca="false">(w_ntm28*Sens!G14695+(1-w_ntm28)*Sens!H14695)*m_game</f>
        <v>98.505199156718</v>
      </c>
    </row>
    <row r="14709" customFormat="false" ht="17.15" hidden="false" customHeight="false" outlineLevel="0" collapsed="false">
      <c r="A14709" s="1" t="s">
        <v>1261</v>
      </c>
      <c r="B14709" s="0" t="s">
        <v>98</v>
      </c>
      <c r="C14709" s="6" t="n">
        <f aca="false">(w_ntm28*Sens!G14696+(1-w_ntm28)*Sens!H14696)*m_pc</f>
        <v>91.3231561150564</v>
      </c>
    </row>
    <row r="14710" customFormat="false" ht="17.15" hidden="false" customHeight="false" outlineLevel="0" collapsed="false">
      <c r="A14710" s="1" t="s">
        <v>1262</v>
      </c>
      <c r="B14710" s="0" t="s">
        <v>98</v>
      </c>
      <c r="C14710" s="6" t="n">
        <f aca="false">Sens!$C$14700+Sens!$C$14702+Sens!$C$14703+Sens!$C$14704+Sens!$C$14705+Sens!$C$14706+Sens!$C$14707+Sens!$C$14708+Sens!$C$14709</f>
        <v>3392.3800333805</v>
      </c>
    </row>
    <row r="14711" customFormat="false" ht="17.15" hidden="false" customHeight="false" outlineLevel="0" collapsed="false">
      <c r="A14711" s="1" t="s">
        <v>1263</v>
      </c>
      <c r="B14711" s="0" t="s">
        <v>98</v>
      </c>
      <c r="C14711" s="6" t="n">
        <f aca="false">(Sens!G14672-Sens!G14697)*t_stub</f>
        <v>48.2832931160316</v>
      </c>
      <c r="L14711" s="1" t="s">
        <v>1264</v>
      </c>
    </row>
    <row r="14712" customFormat="false" ht="17.15" hidden="false" customHeight="false" outlineLevel="0" collapsed="false">
      <c r="A14712" s="1" t="s">
        <v>1173</v>
      </c>
      <c r="B14712" s="0" t="s">
        <v>98</v>
      </c>
      <c r="C14712" s="6" t="n">
        <f aca="false">CF!F39+oai_v-CF!F28+Sens!$C$14711</f>
        <v>162.511563116032</v>
      </c>
      <c r="L14712" s="1" t="s">
        <v>1265</v>
      </c>
    </row>
    <row r="14713" customFormat="false" ht="17.15" hidden="false" customHeight="false" outlineLevel="0" collapsed="false">
      <c r="A14713" s="1" t="s">
        <v>1266</v>
      </c>
      <c r="B14713" s="0" t="s">
        <v>75</v>
      </c>
      <c r="C14713" s="5" t="n">
        <f aca="false">(Sens!$C$14710+Sens!$C$14712)/(CF!F41+dil_gap)-CF!G31*roll_div_q/q_per_yr</f>
        <v>473.562055265782</v>
      </c>
      <c r="L14713" s="1" t="s">
        <v>1267</v>
      </c>
    </row>
    <row r="14714" customFormat="false" ht="17.15" hidden="false" customHeight="false" outlineLevel="0" collapsed="false">
      <c r="A14714" s="1" t="s">
        <v>1268</v>
      </c>
      <c r="B14714" s="0" t="s">
        <v>75</v>
      </c>
      <c r="C14714" s="5" t="n">
        <f aca="false">w_dcf*Sens!$C$14684+(1-w_dcf)*Sens!$C$14713</f>
        <v>400.384547285327</v>
      </c>
    </row>
    <row r="14715" customFormat="false" ht="17.15" hidden="false" customHeight="false" outlineLevel="0" collapsed="false">
      <c r="A14715" s="3" t="s">
        <v>1976</v>
      </c>
    </row>
    <row r="14716" customFormat="false" ht="15" hidden="false" customHeight="false" outlineLevel="0" collapsed="false">
      <c r="A14716" s="4" t="s">
        <v>43</v>
      </c>
      <c r="B14716" s="4" t="s">
        <v>65</v>
      </c>
      <c r="C14716" s="23" t="s">
        <v>942</v>
      </c>
      <c r="D14716" s="23" t="s">
        <v>943</v>
      </c>
      <c r="E14716" s="23" t="s">
        <v>944</v>
      </c>
      <c r="F14716" s="23" t="s">
        <v>945</v>
      </c>
      <c r="G14716" s="23" t="s">
        <v>946</v>
      </c>
      <c r="H14716" s="23" t="s">
        <v>947</v>
      </c>
      <c r="I14716" s="23" t="s">
        <v>948</v>
      </c>
      <c r="J14716" s="23" t="s">
        <v>949</v>
      </c>
      <c r="K14716" s="23" t="s">
        <v>950</v>
      </c>
      <c r="L14716" s="4" t="s">
        <v>47</v>
      </c>
    </row>
    <row r="14717" customFormat="false" ht="17.15" hidden="false" customHeight="false" outlineLevel="0" collapsed="false">
      <c r="A14717" s="1" t="s">
        <v>1216</v>
      </c>
      <c r="B14717" s="1" t="s">
        <v>279</v>
      </c>
      <c r="F14717" s="8" t="n">
        <f aca="false">(1-v_off)*mid_yr</f>
        <v>0.373972602739726</v>
      </c>
      <c r="G14717" s="8" t="n">
        <f aca="false">Thesis!G58-base_fy-mid_yr-v_off</f>
        <v>1.24794520547945</v>
      </c>
      <c r="H14717" s="8" t="n">
        <f aca="false">Thesis!H58-base_fy-mid_yr-v_off</f>
        <v>2.24794520547945</v>
      </c>
      <c r="I14717" s="8" t="n">
        <f aca="false">Thesis!I58-base_fy-mid_yr-v_off</f>
        <v>3.24794520547945</v>
      </c>
      <c r="J14717" s="8" t="n">
        <f aca="false">Thesis!J58-base_fy-mid_yr-v_off</f>
        <v>4.24794520547945</v>
      </c>
      <c r="K14717" s="8" t="n">
        <f aca="false">Thesis!K58-base_fy-mid_yr-v_off</f>
        <v>5.24794520547945</v>
      </c>
      <c r="L14717" s="12" t="s">
        <v>1217</v>
      </c>
    </row>
    <row r="14718" customFormat="false" ht="15" hidden="false" customHeight="false" outlineLevel="0" collapsed="false">
      <c r="A14718" s="1" t="s">
        <v>1218</v>
      </c>
      <c r="B14718" s="1" t="s">
        <v>279</v>
      </c>
      <c r="F14718" s="8" t="n">
        <f aca="false">Thesis!F58-base_fy-v_off</f>
        <v>0.747945205479452</v>
      </c>
      <c r="G14718" s="8" t="n">
        <f aca="false">Thesis!G58-base_fy-v_off</f>
        <v>1.74794520547945</v>
      </c>
      <c r="H14718" s="8" t="n">
        <f aca="false">Thesis!H58-base_fy-v_off</f>
        <v>2.74794520547945</v>
      </c>
      <c r="I14718" s="8" t="n">
        <f aca="false">Thesis!I58-base_fy-v_off</f>
        <v>3.74794520547945</v>
      </c>
      <c r="J14718" s="8" t="n">
        <f aca="false">Thesis!J58-base_fy-v_off</f>
        <v>4.74794520547945</v>
      </c>
      <c r="K14718" s="8" t="n">
        <f aca="false">Thesis!K58-base_fy-v_off</f>
        <v>5.74794520547945</v>
      </c>
    </row>
    <row r="14719" customFormat="false" ht="15" hidden="false" customHeight="false" outlineLevel="0" collapsed="false">
      <c r="A14719" s="1" t="s">
        <v>1219</v>
      </c>
      <c r="B14719" s="0" t="s">
        <v>229</v>
      </c>
      <c r="F14719" s="15" t="n">
        <f aca="false">1/(1+((px*sh_val*(rf+beta*erp_hi)+(debt_val+fl_val)*kd*(1-tax_w))/(px*sh_val+debt_val+fl_val)))^Sens!F14717</f>
        <v>0.96057538035295</v>
      </c>
      <c r="G14719" s="15" t="n">
        <f aca="false">1/(1+((px*sh_val*(rf+beta*erp_hi)+(debt_val+fl_val)*kd*(1-tax_w))/(px*sh_val+debt_val+fl_val)))^Sens!G14717</f>
        <v>0.874394701758995</v>
      </c>
      <c r="H14719" s="15" t="n">
        <f aca="false">1/(1+((px*sh_val*(rf+beta*erp_hi)+(debt_val+fl_val)*kd*(1-tax_w))/(px*sh_val+debt_val+fl_val)))^Sens!H14717</f>
        <v>0.785229752114597</v>
      </c>
      <c r="I14719" s="15" t="n">
        <f aca="false">1/(1+((px*sh_val*(rf+beta*erp_hi)+(debt_val+fl_val)*kd*(1-tax_w))/(px*sh_val+debt_val+fl_val)))^Sens!I14717</f>
        <v>0.705157250341961</v>
      </c>
      <c r="J14719" s="15" t="n">
        <f aca="false">1/(1+((px*sh_val*(rf+beta*erp_hi)+(debt_val+fl_val)*kd*(1-tax_w))/(px*sh_val+debt_val+fl_val)))^Sens!J14717</f>
        <v>0.63325000914798</v>
      </c>
      <c r="K14719" s="15" t="n">
        <f aca="false">1/(1+((px*sh_val*(rf+beta*erp_hi)+(debt_val+fl_val)*kd*(1-tax_w))/(px*sh_val+debt_val+fl_val)))^Sens!K14717</f>
        <v>0.568675389626147</v>
      </c>
    </row>
    <row r="14720" customFormat="false" ht="17.15" hidden="false" customHeight="false" outlineLevel="0" collapsed="false">
      <c r="A14720" s="1" t="s">
        <v>1220</v>
      </c>
      <c r="B14720" s="0" t="s">
        <v>98</v>
      </c>
      <c r="F14720" s="6" t="n">
        <f aca="false">Q!$I$35-Q!$I$39-Q!$I$43</f>
        <v>9.666</v>
      </c>
      <c r="L14720" s="12" t="s">
        <v>1221</v>
      </c>
    </row>
    <row r="14721" customFormat="false" ht="17.15" hidden="false" customHeight="false" outlineLevel="0" collapsed="false">
      <c r="A14721" s="1" t="s">
        <v>1222</v>
      </c>
      <c r="B14721" s="0" t="s">
        <v>98</v>
      </c>
      <c r="F14721" s="6" t="n">
        <f aca="false">CF!F55-CF!F52-CF!F59+Thesis!F99*(1-tax_f)*(1-v_off)-Sens!F14720</f>
        <v>-3.35959137570949</v>
      </c>
      <c r="G14721" s="6" t="n">
        <f aca="false">CF!G55-CF!G52-CF!G59+Thesis!G99*(1-tax_f)</f>
        <v>29.8084555066036</v>
      </c>
      <c r="H14721" s="6" t="n">
        <f aca="false">CF!H55-CF!H52-CF!H59+Thesis!H99*(1-tax_f)</f>
        <v>79.3231801478051</v>
      </c>
      <c r="I14721" s="6" t="n">
        <f aca="false">CF!I55-CF!I52-CF!I59+Thesis!I99*(1-tax_f)</f>
        <v>157.29132812061</v>
      </c>
      <c r="J14721" s="6" t="n">
        <f aca="false">CF!J55-CF!J52-CF!J59+Thesis!J99*(1-tax_f)</f>
        <v>235.537601843622</v>
      </c>
      <c r="K14721" s="6" t="n">
        <f aca="false">CF!K55-CF!K52-CF!K59+Thesis!K99*(1-tax_f)</f>
        <v>273.705067207806</v>
      </c>
      <c r="L14721" s="1" t="s">
        <v>1223</v>
      </c>
    </row>
    <row r="14722" customFormat="false" ht="15" hidden="false" customHeight="false" outlineLevel="0" collapsed="false">
      <c r="A14722" s="1" t="s">
        <v>1224</v>
      </c>
      <c r="B14722" s="0" t="s">
        <v>98</v>
      </c>
      <c r="F14722" s="6" t="n">
        <f aca="false">Sens!F14721*Sens!F14719</f>
        <v>-3.22714076355264</v>
      </c>
      <c r="G14722" s="6" t="n">
        <f aca="false">Sens!G14721*Sens!G14719</f>
        <v>26.064355562593</v>
      </c>
      <c r="H14722" s="6" t="n">
        <f aca="false">Sens!H14721*Sens!H14719</f>
        <v>62.2869210844026</v>
      </c>
      <c r="I14722" s="6" t="n">
        <f aca="false">Sens!I14721*Sens!I14719</f>
        <v>110.915120440165</v>
      </c>
      <c r="J14722" s="6" t="n">
        <f aca="false">Sens!J14721*Sens!J14719</f>
        <v>149.154188522167</v>
      </c>
      <c r="K14722" s="6" t="n">
        <f aca="false">Sens!K14721*Sens!K14719</f>
        <v>155.64933573705</v>
      </c>
    </row>
    <row r="14723" customFormat="false" ht="17.15" hidden="false" customHeight="false" outlineLevel="0" collapsed="false">
      <c r="A14723" s="1" t="s">
        <v>1225</v>
      </c>
      <c r="B14723" s="0" t="s">
        <v>98</v>
      </c>
      <c r="C14723" s="6" t="n">
        <f aca="false">SUM(Sens!F14722:K14722)</f>
        <v>500.842780582824</v>
      </c>
    </row>
    <row r="14724" customFormat="false" ht="17.15" hidden="false" customHeight="false" outlineLevel="0" collapsed="false">
      <c r="A14724" s="1" t="s">
        <v>1226</v>
      </c>
      <c r="B14724" s="0" t="s">
        <v>98</v>
      </c>
      <c r="C14724" s="6" t="n">
        <f aca="false">PL!K78*(1+g_tv)*(1-tax_f)</f>
        <v>284.979534119394</v>
      </c>
    </row>
    <row r="14725" customFormat="false" ht="17.15" hidden="false" customHeight="false" outlineLevel="0" collapsed="false">
      <c r="A14725" s="1" t="s">
        <v>1227</v>
      </c>
      <c r="B14725" s="0" t="s">
        <v>98</v>
      </c>
      <c r="C14725" s="6" t="n">
        <f aca="false">Sens!$C$14724*(1-g_tv/(((px*sh_val*(rf+beta*erp_hi)+(debt_val+fl_val)*kd*(1-tax_w))/(px*sh_val+debt_val+fl_val))+ronic_prem))</f>
        <v>209.689498126524</v>
      </c>
    </row>
    <row r="14726" customFormat="false" ht="17.15" hidden="false" customHeight="false" outlineLevel="0" collapsed="false">
      <c r="A14726" s="1" t="s">
        <v>1228</v>
      </c>
      <c r="B14726" s="0" t="s">
        <v>98</v>
      </c>
      <c r="C14726" s="6" t="n">
        <f aca="false">Sens!$C$14725/(((px*sh_val*(rf+beta*erp_hi)+(debt_val+fl_val)*kd*(1-tax_w))/(px*sh_val+debt_val+fl_val))-g_tv)</f>
        <v>2509.667866429</v>
      </c>
    </row>
    <row r="14727" customFormat="false" ht="15" hidden="false" customHeight="false" outlineLevel="0" collapsed="false">
      <c r="A14727" s="1" t="s">
        <v>1229</v>
      </c>
      <c r="B14727" s="0" t="s">
        <v>98</v>
      </c>
      <c r="C14727" s="6" t="n">
        <f aca="false">Sens!$C$14726/(1+((px*sh_val*(rf+beta*erp_hi)+(debt_val+fl_val)*kd*(1-tax_w))/(px*sh_val+debt_val+fl_val)))^Sens!K14718</f>
        <v>1352.46270633989</v>
      </c>
    </row>
    <row r="14728" customFormat="false" ht="17.15" hidden="false" customHeight="false" outlineLevel="0" collapsed="false">
      <c r="A14728" s="0" t="s">
        <v>1230</v>
      </c>
      <c r="B14728" s="0" t="s">
        <v>98</v>
      </c>
      <c r="C14728" s="6" t="n">
        <f aca="false">Sens!$C$14723+Sens!$C$14727</f>
        <v>1853.30548692271</v>
      </c>
    </row>
    <row r="14729" customFormat="false" ht="15" hidden="false" customHeight="false" outlineLevel="0" collapsed="false">
      <c r="A14729" s="1" t="s">
        <v>1145</v>
      </c>
      <c r="B14729" s="0" t="s">
        <v>168</v>
      </c>
      <c r="C14729" s="7" t="n">
        <f aca="false">Sens!$C$14727/Sens!$C$14728</f>
        <v>0.729757029201678</v>
      </c>
    </row>
    <row r="14730" customFormat="false" ht="17.15" hidden="false" customHeight="false" outlineLevel="0" collapsed="false">
      <c r="A14730" s="1" t="s">
        <v>1231</v>
      </c>
      <c r="B14730" s="0" t="s">
        <v>98</v>
      </c>
      <c r="C14730" s="6" t="n">
        <f aca="false">Sens!$C$14728+cash_val-debt_val-fl_val+oai_v</f>
        <v>1969.15648692271</v>
      </c>
    </row>
    <row r="14731" customFormat="false" ht="17.15" hidden="false" customHeight="false" outlineLevel="0" collapsed="false">
      <c r="A14731" s="0" t="s">
        <v>1153</v>
      </c>
      <c r="B14731" s="0" t="s">
        <v>75</v>
      </c>
      <c r="C14731" s="5" t="n">
        <f aca="false">Sens!$C$14730/shd_val</f>
        <v>264.458298001976</v>
      </c>
    </row>
    <row r="14732" customFormat="false" ht="15" hidden="false" customHeight="false" outlineLevel="0" collapsed="false">
      <c r="A14732" s="1" t="s">
        <v>1232</v>
      </c>
      <c r="B14732" s="0" t="s">
        <v>75</v>
      </c>
      <c r="C14732" s="8" t="n">
        <f aca="false">div_rem27+CF!G63*roll_div_q/q_per_yr</f>
        <v>3.9795</v>
      </c>
    </row>
    <row r="14733" customFormat="false" ht="17.15" hidden="false" customHeight="false" outlineLevel="0" collapsed="false">
      <c r="A14733" s="0" t="s">
        <v>1233</v>
      </c>
      <c r="B14733" s="0" t="s">
        <v>75</v>
      </c>
      <c r="C14733" s="5" t="n">
        <f aca="false">Sens!$C$14731*(1+((px*sh_val*(rf+beta*erp_hi)+(debt_val+fl_val)*kd*(1-tax_w))/(px*sh_val+debt_val+fl_val)))^t_roll-Sens!$C$14732</f>
        <v>293.036083626102</v>
      </c>
    </row>
    <row r="14734" customFormat="false" ht="17.15" hidden="false" customHeight="false" outlineLevel="0" collapsed="false">
      <c r="A14734" s="1" t="s">
        <v>1234</v>
      </c>
      <c r="B14734" s="0" t="s">
        <v>168</v>
      </c>
      <c r="F14734" s="7" t="n">
        <f aca="false">CF!F49/(Seg!F56-Thesis!F77)</f>
        <v>0.0686195668908011</v>
      </c>
      <c r="G14734" s="7" t="n">
        <f aca="false">CF!G49/(Seg!G56-Thesis!G77)</f>
        <v>0.0658333569148391</v>
      </c>
      <c r="H14734" s="7" t="n">
        <f aca="false">CF!H49/(Seg!H56-Thesis!H77)</f>
        <v>0.0643895625218926</v>
      </c>
      <c r="I14734" s="7" t="n">
        <f aca="false">CF!I49/(Seg!I56-Thesis!I77)</f>
        <v>0.0641676618157989</v>
      </c>
      <c r="J14734" s="7" t="n">
        <f aca="false">CF!J49/(Seg!J56-Thesis!J77)</f>
        <v>0.0648858606572163</v>
      </c>
      <c r="K14734" s="7" t="n">
        <f aca="false">CF!K49/(Seg!K56-Thesis!K77)</f>
        <v>0.0661974425163768</v>
      </c>
    </row>
    <row r="14735" customFormat="false" ht="17.15" hidden="false" customHeight="false" outlineLevel="0" collapsed="false">
      <c r="A14735" s="0" t="s">
        <v>1235</v>
      </c>
      <c r="B14735" s="0" t="s">
        <v>98</v>
      </c>
      <c r="F14735" s="6" t="n">
        <f aca="false">Seg!F41*(al_m365+Sens!F14734+sbc_r)</f>
        <v>83.7205619248671</v>
      </c>
      <c r="G14735" s="6" t="n">
        <f aca="false">Seg!G41*(al_m365+Sens!G14734+sbc_r)</f>
        <v>96.1301303332381</v>
      </c>
      <c r="H14735" s="6" t="n">
        <f aca="false">Seg!H41*(al_m365+Sens!H14734+sbc_r)</f>
        <v>108.70354073822</v>
      </c>
      <c r="I14735" s="6" t="n">
        <f aca="false">Seg!I41*(al_m365+Sens!I14734+sbc_r)</f>
        <v>120.260101315626</v>
      </c>
      <c r="J14735" s="6" t="n">
        <f aca="false">Seg!J41*(al_m365+Sens!J14734+sbc_r)</f>
        <v>130.611904548619</v>
      </c>
      <c r="K14735" s="6" t="n">
        <f aca="false">Seg!K41*(al_m365+Sens!K14734+sbc_r)</f>
        <v>140.575094974638</v>
      </c>
      <c r="L14735" s="12" t="s">
        <v>1236</v>
      </c>
    </row>
    <row r="14736" customFormat="false" ht="17.15" hidden="false" customHeight="false" outlineLevel="0" collapsed="false">
      <c r="A14736" s="0" t="s">
        <v>1237</v>
      </c>
      <c r="B14736" s="0" t="s">
        <v>98</v>
      </c>
      <c r="F14736" s="6" t="n">
        <f aca="false">Seg!F42*(al_lic+Sens!F14734+sbc_r)</f>
        <v>32.8577657183496</v>
      </c>
      <c r="G14736" s="6" t="n">
        <f aca="false">Seg!G42*(al_lic+Sens!G14734+sbc_r)</f>
        <v>34.1376266324889</v>
      </c>
      <c r="H14736" s="6" t="n">
        <f aca="false">Seg!H42*(al_lic+Sens!H14734+sbc_r)</f>
        <v>35.3325744664128</v>
      </c>
      <c r="I14736" s="6" t="n">
        <f aca="false">Seg!I42*(al_lic+Sens!I14734+sbc_r)</f>
        <v>36.4244749008727</v>
      </c>
      <c r="J14736" s="6" t="n">
        <f aca="false">Seg!J42*(al_lic+Sens!J14734+sbc_r)</f>
        <v>37.3879406068527</v>
      </c>
      <c r="K14736" s="6" t="n">
        <f aca="false">Seg!K42*(al_lic+Sens!K14734+sbc_r)</f>
        <v>38.1943876078259</v>
      </c>
    </row>
    <row r="14737" customFormat="false" ht="17.15" hidden="false" customHeight="false" outlineLevel="0" collapsed="false">
      <c r="A14737" s="0" t="s">
        <v>1238</v>
      </c>
      <c r="B14737" s="0" t="s">
        <v>98</v>
      </c>
      <c r="F14737" s="6" t="n">
        <f aca="false">Seg!F44*(al_ind+Sens!F14734+sbc_r)</f>
        <v>9.06041701092022</v>
      </c>
      <c r="G14737" s="6" t="n">
        <f aca="false">Seg!G44*(al_ind+Sens!G14734+sbc_r)</f>
        <v>9.83619082712885</v>
      </c>
      <c r="H14737" s="6" t="n">
        <f aca="false">Seg!H44*(al_ind+Sens!H14734+sbc_r)</f>
        <v>10.6570160105312</v>
      </c>
      <c r="I14737" s="6" t="n">
        <f aca="false">Seg!I44*(al_ind+Sens!I14734+sbc_r)</f>
        <v>11.5198571637125</v>
      </c>
      <c r="J14737" s="6" t="n">
        <f aca="false">Seg!J44*(al_ind+Sens!J14734+sbc_r)</f>
        <v>12.4150086539206</v>
      </c>
      <c r="K14737" s="6" t="n">
        <f aca="false">Seg!K44*(al_ind+Sens!K14734+sbc_r)</f>
        <v>13.3273714589988</v>
      </c>
    </row>
    <row r="14738" customFormat="false" ht="17.15" hidden="false" customHeight="false" outlineLevel="0" collapsed="false">
      <c r="A14738" s="0" t="s">
        <v>1239</v>
      </c>
      <c r="B14738" s="0" t="s">
        <v>98</v>
      </c>
      <c r="F14738" s="6" t="n">
        <f aca="false">Seg!F46*(al_fro+Sens!F14734+sbc_r)</f>
        <v>3.55402950182022</v>
      </c>
      <c r="G14738" s="6" t="n">
        <f aca="false">Seg!G46*(al_fro+Sens!G14734+sbc_r)</f>
        <v>3.76361488926481</v>
      </c>
      <c r="H14738" s="6" t="n">
        <f aca="false">Seg!H46*(al_fro+Sens!H14734+sbc_r)</f>
        <v>4.00220968879544</v>
      </c>
      <c r="I14738" s="6" t="n">
        <f aca="false">Seg!I46*(al_fro+Sens!I14734+sbc_r)</f>
        <v>4.2725765173852</v>
      </c>
      <c r="J14738" s="6" t="n">
        <f aca="false">Seg!J46*(al_fro+Sens!J14734+sbc_r)</f>
        <v>4.57586224390293</v>
      </c>
      <c r="K14738" s="6" t="n">
        <f aca="false">Seg!K46*(al_fro+Sens!K14734+sbc_r)</f>
        <v>4.91213639633217</v>
      </c>
    </row>
    <row r="14739" customFormat="false" ht="17.15" hidden="false" customHeight="false" outlineLevel="0" collapsed="false">
      <c r="A14739" s="0" t="s">
        <v>1240</v>
      </c>
      <c r="B14739" s="0" t="s">
        <v>98</v>
      </c>
      <c r="F14739" s="6" t="n">
        <f aca="false">Seg!F49*(al_srch+Sens!F14734+sbc_r)</f>
        <v>11.1890902994147</v>
      </c>
      <c r="G14739" s="6" t="n">
        <f aca="false">Seg!G49*(al_srch+Sens!G14734+sbc_r)</f>
        <v>12.261738891803</v>
      </c>
      <c r="H14739" s="6" t="n">
        <f aca="false">Seg!H49*(al_srch+Sens!H14734+sbc_r)</f>
        <v>13.3794863429193</v>
      </c>
      <c r="I14739" s="6" t="n">
        <f aca="false">Seg!I49*(al_srch+Sens!I14734+sbc_r)</f>
        <v>14.5317114787784</v>
      </c>
      <c r="J14739" s="6" t="n">
        <f aca="false">Seg!J49*(al_srch+Sens!J14734+sbc_r)</f>
        <v>15.6984365817724</v>
      </c>
      <c r="K14739" s="6" t="n">
        <f aca="false">Seg!K49*(al_srch+Sens!K14734+sbc_r)</f>
        <v>16.8520942258664</v>
      </c>
    </row>
    <row r="14740" customFormat="false" ht="17.15" hidden="false" customHeight="false" outlineLevel="0" collapsed="false">
      <c r="A14740" s="0" t="s">
        <v>1241</v>
      </c>
      <c r="B14740" s="0" t="s">
        <v>98</v>
      </c>
      <c r="F14740" s="6" t="n">
        <f aca="false">Thesis!F83-Thesis!F84+Thesis!F99</f>
        <v>42.5431090240393</v>
      </c>
      <c r="G14740" s="6" t="n">
        <f aca="false">Thesis!G83-Thesis!G84+Thesis!G99</f>
        <v>81.4922561130847</v>
      </c>
      <c r="H14740" s="6" t="n">
        <f aca="false">Thesis!H83-Thesis!H84+Thesis!H99</f>
        <v>123.278266211349</v>
      </c>
      <c r="I14740" s="6" t="n">
        <f aca="false">Thesis!I83-Thesis!I84+Thesis!I99</f>
        <v>160.60594185192</v>
      </c>
      <c r="J14740" s="6" t="n">
        <f aca="false">Thesis!J83-Thesis!J84+Thesis!J99</f>
        <v>186.818741832633</v>
      </c>
      <c r="K14740" s="6" t="n">
        <f aca="false">Thesis!K83-Thesis!K84+Thesis!K99</f>
        <v>202.776422159652</v>
      </c>
    </row>
    <row r="14741" customFormat="false" ht="17.15" hidden="false" customHeight="false" outlineLevel="0" collapsed="false">
      <c r="A14741" s="0" t="s">
        <v>1242</v>
      </c>
      <c r="B14741" s="0" t="s">
        <v>98</v>
      </c>
      <c r="F14741" s="6" t="n">
        <f aca="false">PL!F71+Thesis!F99+Thesis!F95+Sens!F14734*(Seg!F48-Thesis!F77)+sbc_r*Seg!F48</f>
        <v>238.090727427296</v>
      </c>
      <c r="G14741" s="6" t="n">
        <f aca="false">PL!G71+Thesis!G99+Thesis!G95+Sens!G14734*(Seg!G48-Thesis!G77)+sbc_r*Seg!G48</f>
        <v>299.90836088563</v>
      </c>
      <c r="H14741" s="6" t="n">
        <f aca="false">PL!H71+Thesis!H99+Thesis!H95+Sens!H14734*(Seg!H48-Thesis!H77)+sbc_r*Seg!H48</f>
        <v>369.457709442386</v>
      </c>
      <c r="I14741" s="6" t="n">
        <f aca="false">PL!I71+Thesis!I99+Thesis!I95+Sens!I14734*(Seg!I48-Thesis!I77)+sbc_r*Seg!I48</f>
        <v>433.16585128823</v>
      </c>
      <c r="J14741" s="6" t="n">
        <f aca="false">PL!J71+Thesis!J99+Thesis!J95+Sens!J14734*(Seg!J48-Thesis!J77)+sbc_r*Seg!J48</f>
        <v>483.301303131191</v>
      </c>
      <c r="K14741" s="6" t="n">
        <f aca="false">PL!K71+Thesis!K99+Thesis!K95+Sens!K14734*(Seg!K48-Thesis!K77)+sbc_r*Seg!K48</f>
        <v>520.789002205336</v>
      </c>
    </row>
    <row r="14742" customFormat="false" ht="17.15" hidden="false" customHeight="false" outlineLevel="0" collapsed="false">
      <c r="A14742" s="0" t="s">
        <v>1243</v>
      </c>
      <c r="B14742" s="0" t="s">
        <v>98</v>
      </c>
      <c r="F14742" s="6" t="n">
        <f aca="false">Sens!F14741-Sens!F14735-Sens!F14736-Sens!F14737-Sens!F14738-Sens!F14740</f>
        <v>66.3548442472996</v>
      </c>
      <c r="G14742" s="6" t="n">
        <f aca="false">Sens!G14741-Sens!G14735-Sens!G14736-Sens!G14737-Sens!G14738-Sens!G14740</f>
        <v>74.548542090425</v>
      </c>
      <c r="H14742" s="6" t="n">
        <f aca="false">Sens!H14741-Sens!H14735-Sens!H14736-Sens!H14737-Sens!H14738-Sens!H14740</f>
        <v>87.4841023270775</v>
      </c>
      <c r="I14742" s="6" t="n">
        <f aca="false">Sens!I14741-Sens!I14735-Sens!I14736-Sens!I14737-Sens!I14738-Sens!I14740</f>
        <v>100.082899538713</v>
      </c>
      <c r="J14742" s="6" t="n">
        <f aca="false">Sens!J14741-Sens!J14735-Sens!J14736-Sens!J14737-Sens!J14738-Sens!J14740</f>
        <v>111.491845245262</v>
      </c>
      <c r="K14742" s="6" t="n">
        <f aca="false">Sens!K14741-Sens!K14735-Sens!K14736-Sens!K14737-Sens!K14738-Sens!K14740</f>
        <v>121.003589607889</v>
      </c>
    </row>
    <row r="14743" customFormat="false" ht="17.15" hidden="false" customHeight="false" outlineLevel="0" collapsed="false">
      <c r="A14743" s="0" t="s">
        <v>1244</v>
      </c>
      <c r="B14743" s="0" t="s">
        <v>98</v>
      </c>
      <c r="F14743" s="6" t="n">
        <f aca="false">PL!F73+Sens!F14734*Seg!F55+sbc_r*Seg!F55</f>
        <v>26.6336365855879</v>
      </c>
      <c r="G14743" s="6" t="n">
        <f aca="false">PL!G73+Sens!G14734*Seg!G55+sbc_r*Seg!G55</f>
        <v>26.4720859498625</v>
      </c>
      <c r="H14743" s="6" t="n">
        <f aca="false">PL!H73+Sens!H14734*Seg!H55+sbc_r*Seg!H55</f>
        <v>27.346793021284</v>
      </c>
      <c r="I14743" s="6" t="n">
        <f aca="false">PL!I73+Sens!I14734*Seg!I55+sbc_r*Seg!I55</f>
        <v>28.4574657863154</v>
      </c>
      <c r="J14743" s="6" t="n">
        <f aca="false">PL!J73+Sens!J14734*Seg!J55+sbc_r*Seg!J55</f>
        <v>29.7689890546037</v>
      </c>
      <c r="K14743" s="6" t="n">
        <f aca="false">PL!K73+Sens!K14734*Seg!K55+sbc_r*Seg!K55</f>
        <v>31.2443947307494</v>
      </c>
    </row>
    <row r="14744" customFormat="false" ht="17.15" hidden="false" customHeight="false" outlineLevel="0" collapsed="false">
      <c r="A14744" s="0" t="s">
        <v>1245</v>
      </c>
      <c r="B14744" s="0" t="s">
        <v>98</v>
      </c>
      <c r="F14744" s="6" t="n">
        <f aca="false">(Sens!F14743-Sens!F14739)*Seg!F51/(Seg!F51+Seg!F53)</f>
        <v>8.72285608232241</v>
      </c>
      <c r="G14744" s="6" t="n">
        <f aca="false">(Sens!G14743-Sens!G14739)*Seg!G51/(Seg!G51+Seg!G53)</f>
        <v>7.88786455444355</v>
      </c>
      <c r="H14744" s="6" t="n">
        <f aca="false">(Sens!H14743-Sens!H14739)*Seg!H51/(Seg!H51+Seg!H53)</f>
        <v>7.65195986819674</v>
      </c>
      <c r="I14744" s="6" t="n">
        <f aca="false">(Sens!I14743-Sens!I14739)*Seg!I51/(Seg!I51+Seg!I53)</f>
        <v>7.56260440676676</v>
      </c>
      <c r="J14744" s="6" t="n">
        <f aca="false">(Sens!J14743-Sens!J14739)*Seg!J51/(Seg!J51+Seg!J53)</f>
        <v>7.60790100885945</v>
      </c>
      <c r="K14744" s="6" t="n">
        <f aca="false">(Sens!K14743-Sens!K14739)*Seg!K51/(Seg!K51+Seg!K53)</f>
        <v>7.78186910160995</v>
      </c>
    </row>
    <row r="14745" customFormat="false" ht="17.15" hidden="false" customHeight="false" outlineLevel="0" collapsed="false">
      <c r="A14745" s="0" t="s">
        <v>1246</v>
      </c>
      <c r="B14745" s="0" t="s">
        <v>98</v>
      </c>
      <c r="F14745" s="6" t="n">
        <f aca="false">Sens!F14743-Sens!F14739-Sens!F14744</f>
        <v>6.72169020385088</v>
      </c>
      <c r="G14745" s="6" t="n">
        <f aca="false">Sens!G14743-Sens!G14739-Sens!G14744</f>
        <v>6.322482503616</v>
      </c>
      <c r="H14745" s="6" t="n">
        <f aca="false">Sens!H14743-Sens!H14739-Sens!H14744</f>
        <v>6.315346810168</v>
      </c>
      <c r="I14745" s="6" t="n">
        <f aca="false">Sens!I14743-Sens!I14739-Sens!I14744</f>
        <v>6.36314990077033</v>
      </c>
      <c r="J14745" s="6" t="n">
        <f aca="false">Sens!J14743-Sens!J14739-Sens!J14744</f>
        <v>6.46265146397189</v>
      </c>
      <c r="K14745" s="6" t="n">
        <f aca="false">Sens!K14743-Sens!K14739-Sens!K14744</f>
        <v>6.61043140327304</v>
      </c>
    </row>
    <row r="14746" customFormat="false" ht="17.15" hidden="false" customHeight="false" outlineLevel="0" collapsed="false">
      <c r="A14746" s="0" t="s">
        <v>1247</v>
      </c>
      <c r="B14746" s="0" t="s">
        <v>98</v>
      </c>
      <c r="F14746" s="6" t="n">
        <f aca="false">Sens!F14740-tax_f*(Sens!F14740-Thesis!F95)-Thesis!F92</f>
        <v>-127.503553927218</v>
      </c>
      <c r="G14746" s="6" t="n">
        <f aca="false">Sens!G14740-tax_f*(Sens!G14740-Thesis!G95)-Thesis!G92</f>
        <v>-114.603772628121</v>
      </c>
      <c r="H14746" s="6" t="n">
        <f aca="false">Sens!H14740-tax_f*(Sens!H14740-Thesis!H95)-Thesis!H92</f>
        <v>-80.3633729631438</v>
      </c>
      <c r="I14746" s="6" t="n">
        <f aca="false">Sens!I14740-tax_f*(Sens!I14740-Thesis!I95)-Thesis!I92</f>
        <v>-17.2838782011649</v>
      </c>
      <c r="J14746" s="6" t="n">
        <f aca="false">Sens!J14740-tax_f*(Sens!J14740-Thesis!J95)-Thesis!J92</f>
        <v>46.9281968800854</v>
      </c>
      <c r="K14746" s="6" t="n">
        <f aca="false">Sens!K14740-tax_f*(Sens!K14740-Thesis!K95)-Thesis!K92</f>
        <v>71.8608185731755</v>
      </c>
    </row>
    <row r="14747" customFormat="false" ht="17.15" hidden="false" customHeight="false" outlineLevel="0" collapsed="false">
      <c r="A14747" s="0" t="s">
        <v>1248</v>
      </c>
      <c r="B14747" s="0" t="s">
        <v>98</v>
      </c>
      <c r="G14747" s="6" t="n">
        <f aca="false">Sens!G14746/(1+((px*sh_val*(rf+beta*erp_hi)+(debt_val+fl_val)*kd*(1-tax_w))/(px*sh_val+debt_val+fl_val)))^(Sens!G14717-Sens!F14718)</f>
        <v>-108.603426800401</v>
      </c>
      <c r="H14747" s="6" t="n">
        <f aca="false">Sens!H14746/(1+((px*sh_val*(rf+beta*erp_hi)+(debt_val+fl_val)*kd*(1-tax_w))/(px*sh_val+debt_val+fl_val)))^(Sens!H14717-Sens!F14718)</f>
        <v>-68.3899049380798</v>
      </c>
      <c r="I14747" s="6" t="n">
        <f aca="false">Sens!I14746/(1+((px*sh_val*(rf+beta*erp_hi)+(debt_val+fl_val)*kd*(1-tax_w))/(px*sh_val+debt_val+fl_val)))^(Sens!I14717-Sens!F14718)</f>
        <v>-13.2088275422226</v>
      </c>
      <c r="J14747" s="6" t="n">
        <f aca="false">Sens!J14746/(1+((px*sh_val*(rf+beta*erp_hi)+(debt_val+fl_val)*kd*(1-tax_w))/(px*sh_val+debt_val+fl_val)))^(Sens!J14717-Sens!F14718)</f>
        <v>32.2066956698475</v>
      </c>
      <c r="K14747" s="6" t="n">
        <f aca="false">Sens!K14746/(1+((px*sh_val*(rf+beta*erp_hi)+(debt_val+fl_val)*kd*(1-tax_w))/(px*sh_val+debt_val+fl_val)))^(Sens!K14717-Sens!F14718)</f>
        <v>44.2887773278256</v>
      </c>
      <c r="L14747" s="1" t="s">
        <v>1249</v>
      </c>
    </row>
    <row r="14748" customFormat="false" ht="17.15" hidden="false" customHeight="false" outlineLevel="0" collapsed="false">
      <c r="A14748" s="0" t="s">
        <v>1250</v>
      </c>
      <c r="B14748" s="0" t="s">
        <v>98</v>
      </c>
      <c r="C14748" s="6" t="n">
        <f aca="false">(Sens!K14740-Thesis!K95)*(1-tax_f)*(1+g_tv)*(1-g_tv/(((px*sh_val*(rf+beta*erp_hi)+(debt_val+fl_val)*kd*(1-tax_w))/(px*sh_val+debt_val+fl_val))+ronic_prem))/(((px*sh_val*(rf+beta*erp_hi)+(debt_val+fl_val)*kd*(1-tax_w))/(px*sh_val+debt_val+fl_val))-g_tv)/(1+((px*sh_val*(rf+beta*erp_hi)+(debt_val+fl_val)*kd*(1-tax_w))/(px*sh_val+debt_val+fl_val)))^(Sens!K14718-Sens!F14718)</f>
        <v>253.287521576915</v>
      </c>
    </row>
    <row r="14749" customFormat="false" ht="17.15" hidden="false" customHeight="false" outlineLevel="0" collapsed="false">
      <c r="A14749" s="1" t="s">
        <v>1251</v>
      </c>
      <c r="B14749" s="0" t="s">
        <v>98</v>
      </c>
      <c r="C14749" s="6" t="n">
        <f aca="false">(SUM(Sens!G14747:K14747)+Sens!$C$14748)*(1+((px*sh_val*(rf+beta*erp_hi)+(debt_val+fl_val)*kd*(1-tax_w))/(px*sh_val+debt_val+fl_val)))^(t_roll-Sens!F14718)</f>
        <v>144.64743387691</v>
      </c>
      <c r="L14749" s="12" t="s">
        <v>1252</v>
      </c>
    </row>
    <row r="14750" customFormat="false" ht="17.15" hidden="false" customHeight="false" outlineLevel="0" collapsed="false">
      <c r="A14750" s="1" t="s">
        <v>1253</v>
      </c>
      <c r="B14750" s="0" t="s">
        <v>98</v>
      </c>
      <c r="C14750" s="6" t="n">
        <f aca="false">(w_ntm28*Thesis!G83+(1-w_ntm28)*Thesis!H83)*m_ai</f>
        <v>463.789109510335</v>
      </c>
    </row>
    <row r="14751" customFormat="false" ht="17.15" hidden="false" customHeight="false" outlineLevel="0" collapsed="false">
      <c r="A14751" s="1" t="s">
        <v>1254</v>
      </c>
      <c r="B14751" s="0" t="s">
        <v>98</v>
      </c>
      <c r="C14751" s="6" t="n">
        <f aca="false">(w_ntm28*Sens!G14742+(1-w_ntm28)*Sens!H14742)*m_cloud</f>
        <v>1089.03436702245</v>
      </c>
    </row>
    <row r="14752" customFormat="false" ht="17.15" hidden="false" customHeight="false" outlineLevel="0" collapsed="false">
      <c r="A14752" s="1" t="s">
        <v>1255</v>
      </c>
      <c r="B14752" s="0" t="s">
        <v>98</v>
      </c>
      <c r="C14752" s="6" t="n">
        <f aca="false">(w_ntm28*Sens!G14735+(1-w_ntm28)*Sens!H14735)*m_sw</f>
        <v>1082.84962646159</v>
      </c>
    </row>
    <row r="14753" customFormat="false" ht="17.15" hidden="false" customHeight="false" outlineLevel="0" collapsed="false">
      <c r="A14753" s="1" t="s">
        <v>1256</v>
      </c>
      <c r="B14753" s="0" t="s">
        <v>98</v>
      </c>
      <c r="C14753" s="6" t="n">
        <f aca="false">(w_ntm28*Sens!G14736+(1-w_ntm28)*Sens!H14736)*m_sw</f>
        <v>372.929250898731</v>
      </c>
    </row>
    <row r="14754" customFormat="false" ht="17.15" hidden="false" customHeight="false" outlineLevel="0" collapsed="false">
      <c r="A14754" s="1" t="s">
        <v>1257</v>
      </c>
      <c r="B14754" s="0" t="s">
        <v>98</v>
      </c>
      <c r="C14754" s="6" t="n">
        <f aca="false">(w_ntm28*Sens!G14737+(1-w_ntm28)*Sens!H14737)*m_sw</f>
        <v>109.1453525431</v>
      </c>
    </row>
    <row r="14755" customFormat="false" ht="17.15" hidden="false" customHeight="false" outlineLevel="0" collapsed="false">
      <c r="A14755" s="1" t="s">
        <v>1258</v>
      </c>
      <c r="B14755" s="0" t="s">
        <v>98</v>
      </c>
      <c r="C14755" s="6" t="n">
        <f aca="false">(w_ntm28*Sens!G14738+(1-w_ntm28)*Sens!H14738)*m_sw</f>
        <v>41.4942157634893</v>
      </c>
    </row>
    <row r="14756" customFormat="false" ht="17.15" hidden="false" customHeight="false" outlineLevel="0" collapsed="false">
      <c r="A14756" s="1" t="s">
        <v>1259</v>
      </c>
      <c r="B14756" s="0" t="s">
        <v>98</v>
      </c>
      <c r="C14756" s="6" t="n">
        <f aca="false">(w_ntm28*Sens!G14739+(1-w_ntm28)*Sens!H14739)*m_ads</f>
        <v>115.052171478463</v>
      </c>
    </row>
    <row r="14757" customFormat="false" ht="17.15" hidden="false" customHeight="false" outlineLevel="0" collapsed="false">
      <c r="A14757" s="1" t="s">
        <v>1260</v>
      </c>
      <c r="B14757" s="0" t="s">
        <v>98</v>
      </c>
      <c r="C14757" s="6" t="n">
        <f aca="false">(w_ntm28*Sens!G14744+(1-w_ntm28)*Sens!H14744)*m_game</f>
        <v>98.6441755076202</v>
      </c>
    </row>
    <row r="14758" customFormat="false" ht="17.15" hidden="false" customHeight="false" outlineLevel="0" collapsed="false">
      <c r="A14758" s="1" t="s">
        <v>1261</v>
      </c>
      <c r="B14758" s="0" t="s">
        <v>98</v>
      </c>
      <c r="C14758" s="6" t="n">
        <f aca="false">(w_ntm28*Sens!G14745+(1-w_ntm28)*Sens!H14745)*m_pc</f>
        <v>91.4523754763561</v>
      </c>
    </row>
    <row r="14759" customFormat="false" ht="17.15" hidden="false" customHeight="false" outlineLevel="0" collapsed="false">
      <c r="A14759" s="1" t="s">
        <v>1262</v>
      </c>
      <c r="B14759" s="0" t="s">
        <v>98</v>
      </c>
      <c r="C14759" s="6" t="n">
        <f aca="false">Sens!$C$14749+Sens!$C$14751+Sens!$C$14752+Sens!$C$14753+Sens!$C$14754+Sens!$C$14755+Sens!$C$14756+Sens!$C$14757+Sens!$C$14758</f>
        <v>3145.24896902871</v>
      </c>
    </row>
    <row r="14760" customFormat="false" ht="17.15" hidden="false" customHeight="false" outlineLevel="0" collapsed="false">
      <c r="A14760" s="1" t="s">
        <v>1263</v>
      </c>
      <c r="B14760" s="0" t="s">
        <v>98</v>
      </c>
      <c r="C14760" s="6" t="n">
        <f aca="false">(Sens!G14721-Sens!G14746)*t_stub</f>
        <v>47.8736427515113</v>
      </c>
      <c r="L14760" s="1" t="s">
        <v>1264</v>
      </c>
    </row>
    <row r="14761" customFormat="false" ht="17.15" hidden="false" customHeight="false" outlineLevel="0" collapsed="false">
      <c r="A14761" s="1" t="s">
        <v>1173</v>
      </c>
      <c r="B14761" s="0" t="s">
        <v>98</v>
      </c>
      <c r="C14761" s="6" t="n">
        <f aca="false">CF!F71+oai_v-CF!F60+Sens!$C$14760</f>
        <v>162.101912751511</v>
      </c>
      <c r="L14761" s="1" t="s">
        <v>1265</v>
      </c>
    </row>
    <row r="14762" customFormat="false" ht="17.15" hidden="false" customHeight="false" outlineLevel="0" collapsed="false">
      <c r="A14762" s="1" t="s">
        <v>1266</v>
      </c>
      <c r="B14762" s="0" t="s">
        <v>75</v>
      </c>
      <c r="C14762" s="5" t="n">
        <f aca="false">(Sens!$C$14759+Sens!$C$14761)/(CF!F73+dil_gap)-CF!G63*roll_div_q/q_per_yr</f>
        <v>440.204822217117</v>
      </c>
      <c r="L14762" s="1" t="s">
        <v>1267</v>
      </c>
    </row>
    <row r="14763" customFormat="false" ht="17.15" hidden="false" customHeight="false" outlineLevel="0" collapsed="false">
      <c r="A14763" s="1" t="s">
        <v>1268</v>
      </c>
      <c r="B14763" s="0" t="s">
        <v>75</v>
      </c>
      <c r="C14763" s="5" t="n">
        <f aca="false">w_dcf*Sens!$C$14733+(1-w_dcf)*Sens!$C$14762</f>
        <v>366.620452921609</v>
      </c>
    </row>
    <row r="14764" customFormat="false" ht="17.15" hidden="false" customHeight="false" outlineLevel="0" collapsed="false">
      <c r="A14764" s="3" t="s">
        <v>1977</v>
      </c>
    </row>
    <row r="14765" customFormat="false" ht="15" hidden="false" customHeight="false" outlineLevel="0" collapsed="false">
      <c r="A14765" s="4" t="s">
        <v>43</v>
      </c>
      <c r="B14765" s="4" t="s">
        <v>65</v>
      </c>
      <c r="C14765" s="23" t="s">
        <v>942</v>
      </c>
      <c r="D14765" s="23" t="s">
        <v>943</v>
      </c>
      <c r="E14765" s="23" t="s">
        <v>944</v>
      </c>
      <c r="F14765" s="23" t="s">
        <v>945</v>
      </c>
      <c r="G14765" s="23" t="s">
        <v>946</v>
      </c>
      <c r="H14765" s="23" t="s">
        <v>947</v>
      </c>
      <c r="I14765" s="23" t="s">
        <v>948</v>
      </c>
      <c r="J14765" s="23" t="s">
        <v>949</v>
      </c>
      <c r="K14765" s="23" t="s">
        <v>950</v>
      </c>
      <c r="L14765" s="4" t="s">
        <v>47</v>
      </c>
    </row>
    <row r="14766" customFormat="false" ht="17.15" hidden="false" customHeight="false" outlineLevel="0" collapsed="false">
      <c r="A14766" s="1" t="s">
        <v>1216</v>
      </c>
      <c r="B14766" s="1" t="s">
        <v>279</v>
      </c>
      <c r="F14766" s="8" t="n">
        <f aca="false">(1-v_off)*mid_yr</f>
        <v>0.373972602739726</v>
      </c>
      <c r="G14766" s="8" t="n">
        <f aca="false">Thesis!G110-base_fy-mid_yr-v_off</f>
        <v>1.24794520547945</v>
      </c>
      <c r="H14766" s="8" t="n">
        <f aca="false">Thesis!H110-base_fy-mid_yr-v_off</f>
        <v>2.24794520547945</v>
      </c>
      <c r="I14766" s="8" t="n">
        <f aca="false">Thesis!I110-base_fy-mid_yr-v_off</f>
        <v>3.24794520547945</v>
      </c>
      <c r="J14766" s="8" t="n">
        <f aca="false">Thesis!J110-base_fy-mid_yr-v_off</f>
        <v>4.24794520547945</v>
      </c>
      <c r="K14766" s="8" t="n">
        <f aca="false">Thesis!K110-base_fy-mid_yr-v_off</f>
        <v>5.24794520547945</v>
      </c>
      <c r="L14766" s="12" t="s">
        <v>1217</v>
      </c>
    </row>
    <row r="14767" customFormat="false" ht="15" hidden="false" customHeight="false" outlineLevel="0" collapsed="false">
      <c r="A14767" s="1" t="s">
        <v>1218</v>
      </c>
      <c r="B14767" s="1" t="s">
        <v>279</v>
      </c>
      <c r="F14767" s="8" t="n">
        <f aca="false">Thesis!F110-base_fy-v_off</f>
        <v>0.747945205479452</v>
      </c>
      <c r="G14767" s="8" t="n">
        <f aca="false">Thesis!G110-base_fy-v_off</f>
        <v>1.74794520547945</v>
      </c>
      <c r="H14767" s="8" t="n">
        <f aca="false">Thesis!H110-base_fy-v_off</f>
        <v>2.74794520547945</v>
      </c>
      <c r="I14767" s="8" t="n">
        <f aca="false">Thesis!I110-base_fy-v_off</f>
        <v>3.74794520547945</v>
      </c>
      <c r="J14767" s="8" t="n">
        <f aca="false">Thesis!J110-base_fy-v_off</f>
        <v>4.74794520547945</v>
      </c>
      <c r="K14767" s="8" t="n">
        <f aca="false">Thesis!K110-base_fy-v_off</f>
        <v>5.74794520547945</v>
      </c>
    </row>
    <row r="14768" customFormat="false" ht="15" hidden="false" customHeight="false" outlineLevel="0" collapsed="false">
      <c r="A14768" s="1" t="s">
        <v>1219</v>
      </c>
      <c r="B14768" s="0" t="s">
        <v>229</v>
      </c>
      <c r="F14768" s="15" t="n">
        <f aca="false">1/(1+((px*sh_val*(rf+beta*erp_hi)+(debt_val+fl_val)*kd*(1-tax_w))/(px*sh_val+debt_val+fl_val)))^Sens!F14766</f>
        <v>0.96057538035295</v>
      </c>
      <c r="G14768" s="15" t="n">
        <f aca="false">1/(1+((px*sh_val*(rf+beta*erp_hi)+(debt_val+fl_val)*kd*(1-tax_w))/(px*sh_val+debt_val+fl_val)))^Sens!G14766</f>
        <v>0.874394701758995</v>
      </c>
      <c r="H14768" s="15" t="n">
        <f aca="false">1/(1+((px*sh_val*(rf+beta*erp_hi)+(debt_val+fl_val)*kd*(1-tax_w))/(px*sh_val+debt_val+fl_val)))^Sens!H14766</f>
        <v>0.785229752114597</v>
      </c>
      <c r="I14768" s="15" t="n">
        <f aca="false">1/(1+((px*sh_val*(rf+beta*erp_hi)+(debt_val+fl_val)*kd*(1-tax_w))/(px*sh_val+debt_val+fl_val)))^Sens!I14766</f>
        <v>0.705157250341961</v>
      </c>
      <c r="J14768" s="15" t="n">
        <f aca="false">1/(1+((px*sh_val*(rf+beta*erp_hi)+(debt_val+fl_val)*kd*(1-tax_w))/(px*sh_val+debt_val+fl_val)))^Sens!J14766</f>
        <v>0.63325000914798</v>
      </c>
      <c r="K14768" s="15" t="n">
        <f aca="false">1/(1+((px*sh_val*(rf+beta*erp_hi)+(debt_val+fl_val)*kd*(1-tax_w))/(px*sh_val+debt_val+fl_val)))^Sens!K14766</f>
        <v>0.568675389626147</v>
      </c>
    </row>
    <row r="14769" customFormat="false" ht="17.15" hidden="false" customHeight="false" outlineLevel="0" collapsed="false">
      <c r="A14769" s="1" t="s">
        <v>1220</v>
      </c>
      <c r="B14769" s="0" t="s">
        <v>98</v>
      </c>
      <c r="F14769" s="6" t="n">
        <f aca="false">Q!$I$35-Q!$I$39-Q!$I$43</f>
        <v>9.666</v>
      </c>
      <c r="L14769" s="12" t="s">
        <v>1221</v>
      </c>
    </row>
    <row r="14770" customFormat="false" ht="17.15" hidden="false" customHeight="false" outlineLevel="0" collapsed="false">
      <c r="A14770" s="1" t="s">
        <v>1222</v>
      </c>
      <c r="B14770" s="0" t="s">
        <v>98</v>
      </c>
      <c r="F14770" s="6" t="n">
        <f aca="false">CF!F87-CF!F84-CF!F91+Thesis!F151*(1-tax_f)*(1-v_off)-Sens!F14769</f>
        <v>-6.10282680452259</v>
      </c>
      <c r="G14770" s="6" t="n">
        <f aca="false">CF!G87-CF!G84-CF!G91+Thesis!G151*(1-tax_f)</f>
        <v>19.0084129023516</v>
      </c>
      <c r="H14770" s="6" t="n">
        <f aca="false">CF!H87-CF!H84-CF!H91+Thesis!H151*(1-tax_f)</f>
        <v>55.9229468383331</v>
      </c>
      <c r="I14770" s="6" t="n">
        <f aca="false">CF!I87-CF!I84-CF!I91+Thesis!I151*(1-tax_f)</f>
        <v>127.901908576191</v>
      </c>
      <c r="J14770" s="6" t="n">
        <f aca="false">CF!J87-CF!J84-CF!J91+Thesis!J151*(1-tax_f)</f>
        <v>201.958443859638</v>
      </c>
      <c r="K14770" s="6" t="n">
        <f aca="false">CF!K87-CF!K84-CF!K91+Thesis!K151*(1-tax_f)</f>
        <v>237.542519059905</v>
      </c>
      <c r="L14770" s="1" t="s">
        <v>1223</v>
      </c>
    </row>
    <row r="14771" customFormat="false" ht="15" hidden="false" customHeight="false" outlineLevel="0" collapsed="false">
      <c r="A14771" s="1" t="s">
        <v>1224</v>
      </c>
      <c r="B14771" s="0" t="s">
        <v>98</v>
      </c>
      <c r="F14771" s="6" t="n">
        <f aca="false">Sens!F14770*Sens!F14768</f>
        <v>-5.86222517898246</v>
      </c>
      <c r="G14771" s="6" t="n">
        <f aca="false">Sens!G14770*Sens!G14768</f>
        <v>16.6208555306636</v>
      </c>
      <c r="H14771" s="6" t="n">
        <f aca="false">Sens!H14770*Sens!H14768</f>
        <v>43.9123616833821</v>
      </c>
      <c r="I14771" s="6" t="n">
        <f aca="false">Sens!I14770*Sens!I14768</f>
        <v>90.1909581650756</v>
      </c>
      <c r="J14771" s="6" t="n">
        <f aca="false">Sens!J14770*Sens!J14768</f>
        <v>127.890186421628</v>
      </c>
      <c r="K14771" s="6" t="n">
        <f aca="false">Sens!K14770*Sens!K14768</f>
        <v>135.084584579168</v>
      </c>
    </row>
    <row r="14772" customFormat="false" ht="17.15" hidden="false" customHeight="false" outlineLevel="0" collapsed="false">
      <c r="A14772" s="1" t="s">
        <v>1225</v>
      </c>
      <c r="B14772" s="0" t="s">
        <v>98</v>
      </c>
      <c r="C14772" s="6" t="n">
        <f aca="false">SUM(Sens!F14771:K14771)</f>
        <v>407.836721200934</v>
      </c>
    </row>
    <row r="14773" customFormat="false" ht="17.15" hidden="false" customHeight="false" outlineLevel="0" collapsed="false">
      <c r="A14773" s="1" t="s">
        <v>1226</v>
      </c>
      <c r="B14773" s="0" t="s">
        <v>98</v>
      </c>
      <c r="C14773" s="6" t="n">
        <f aca="false">PL!K117*(1+g_tv)*(1-tax_f)</f>
        <v>247.098906713682</v>
      </c>
    </row>
    <row r="14774" customFormat="false" ht="17.15" hidden="false" customHeight="false" outlineLevel="0" collapsed="false">
      <c r="A14774" s="1" t="s">
        <v>1227</v>
      </c>
      <c r="B14774" s="0" t="s">
        <v>98</v>
      </c>
      <c r="C14774" s="6" t="n">
        <f aca="false">Sens!$C$14773*(1-g_tv/(((px*sh_val*(rf+beta*erp_hi)+(debt_val+fl_val)*kd*(1-tax_w))/(px*sh_val+debt_val+fl_val))+ronic_prem))</f>
        <v>181.816725529128</v>
      </c>
    </row>
    <row r="14775" customFormat="false" ht="17.15" hidden="false" customHeight="false" outlineLevel="0" collapsed="false">
      <c r="A14775" s="1" t="s">
        <v>1228</v>
      </c>
      <c r="B14775" s="0" t="s">
        <v>98</v>
      </c>
      <c r="C14775" s="6" t="n">
        <f aca="false">Sens!$C$14774/(((px*sh_val*(rf+beta*erp_hi)+(debt_val+fl_val)*kd*(1-tax_w))/(px*sh_val+debt_val+fl_val))-g_tv)</f>
        <v>2176.07270615179</v>
      </c>
    </row>
    <row r="14776" customFormat="false" ht="15" hidden="false" customHeight="false" outlineLevel="0" collapsed="false">
      <c r="A14776" s="1" t="s">
        <v>1229</v>
      </c>
      <c r="B14776" s="0" t="s">
        <v>98</v>
      </c>
      <c r="C14776" s="6" t="n">
        <f aca="false">Sens!$C$14775/(1+((px*sh_val*(rf+beta*erp_hi)+(debt_val+fl_val)*kd*(1-tax_w))/(px*sh_val+debt_val+fl_val)))^Sens!K14767</f>
        <v>1172.68791648597</v>
      </c>
    </row>
    <row r="14777" customFormat="false" ht="17.15" hidden="false" customHeight="false" outlineLevel="0" collapsed="false">
      <c r="A14777" s="0" t="s">
        <v>1230</v>
      </c>
      <c r="B14777" s="0" t="s">
        <v>98</v>
      </c>
      <c r="C14777" s="6" t="n">
        <f aca="false">Sens!$C$14772+Sens!$C$14776</f>
        <v>1580.5246376869</v>
      </c>
    </row>
    <row r="14778" customFormat="false" ht="15" hidden="false" customHeight="false" outlineLevel="0" collapsed="false">
      <c r="A14778" s="1" t="s">
        <v>1145</v>
      </c>
      <c r="B14778" s="0" t="s">
        <v>168</v>
      </c>
      <c r="C14778" s="7" t="n">
        <f aca="false">Sens!$C$14776/Sens!$C$14777</f>
        <v>0.741961174488363</v>
      </c>
    </row>
    <row r="14779" customFormat="false" ht="17.15" hidden="false" customHeight="false" outlineLevel="0" collapsed="false">
      <c r="A14779" s="1" t="s">
        <v>1231</v>
      </c>
      <c r="B14779" s="0" t="s">
        <v>98</v>
      </c>
      <c r="C14779" s="6" t="n">
        <f aca="false">Sens!$C$14777+cash_val-debt_val-fl_val+oai_v</f>
        <v>1696.3756376869</v>
      </c>
    </row>
    <row r="14780" customFormat="false" ht="17.15" hidden="false" customHeight="false" outlineLevel="0" collapsed="false">
      <c r="A14780" s="0" t="s">
        <v>1153</v>
      </c>
      <c r="B14780" s="0" t="s">
        <v>75</v>
      </c>
      <c r="C14780" s="5" t="n">
        <f aca="false">Sens!$C$14779/shd_val</f>
        <v>227.8237493536</v>
      </c>
    </row>
    <row r="14781" customFormat="false" ht="15" hidden="false" customHeight="false" outlineLevel="0" collapsed="false">
      <c r="A14781" s="1" t="s">
        <v>1232</v>
      </c>
      <c r="B14781" s="0" t="s">
        <v>75</v>
      </c>
      <c r="C14781" s="8" t="n">
        <f aca="false">div_rem27+CF!G95*roll_div_q/q_per_yr</f>
        <v>3.9795</v>
      </c>
    </row>
    <row r="14782" customFormat="false" ht="17.15" hidden="false" customHeight="false" outlineLevel="0" collapsed="false">
      <c r="A14782" s="0" t="s">
        <v>1233</v>
      </c>
      <c r="B14782" s="0" t="s">
        <v>75</v>
      </c>
      <c r="C14782" s="5" t="n">
        <f aca="false">Sens!$C$14780*(1+((px*sh_val*(rf+beta*erp_hi)+(debt_val+fl_val)*kd*(1-tax_w))/(px*sh_val+debt_val+fl_val)))^t_roll-Sens!$C$14781</f>
        <v>251.891479997158</v>
      </c>
    </row>
    <row r="14783" customFormat="false" ht="17.15" hidden="false" customHeight="false" outlineLevel="0" collapsed="false">
      <c r="A14783" s="1" t="s">
        <v>1234</v>
      </c>
      <c r="B14783" s="0" t="s">
        <v>168</v>
      </c>
      <c r="F14783" s="7" t="n">
        <f aca="false">CF!F81/(Seg!F83-Thesis!F129)</f>
        <v>0.068677393452264</v>
      </c>
      <c r="G14783" s="7" t="n">
        <f aca="false">CF!G81/(Seg!G83-Thesis!G129)</f>
        <v>0.0663132664471956</v>
      </c>
      <c r="H14783" s="7" t="n">
        <f aca="false">CF!H81/(Seg!H83-Thesis!H129)</f>
        <v>0.0651363826734039</v>
      </c>
      <c r="I14783" s="7" t="n">
        <f aca="false">CF!I81/(Seg!I83-Thesis!I129)</f>
        <v>0.0650087936347709</v>
      </c>
      <c r="J14783" s="7" t="n">
        <f aca="false">CF!J81/(Seg!J83-Thesis!J129)</f>
        <v>0.0657212684841778</v>
      </c>
      <c r="K14783" s="7" t="n">
        <f aca="false">CF!K81/(Seg!K83-Thesis!K129)</f>
        <v>0.0670413306015285</v>
      </c>
    </row>
    <row r="14784" customFormat="false" ht="17.15" hidden="false" customHeight="false" outlineLevel="0" collapsed="false">
      <c r="A14784" s="0" t="s">
        <v>1235</v>
      </c>
      <c r="B14784" s="0" t="s">
        <v>98</v>
      </c>
      <c r="F14784" s="6" t="n">
        <f aca="false">Seg!F68*(al_m365+Sens!F14783+sbc_r)</f>
        <v>82.9185219618347</v>
      </c>
      <c r="G14784" s="6" t="n">
        <f aca="false">Seg!G68*(al_m365+Sens!G14783+sbc_r)</f>
        <v>93.3068052157631</v>
      </c>
      <c r="H14784" s="6" t="n">
        <f aca="false">Seg!H68*(al_m365+Sens!H14783+sbc_r)</f>
        <v>103.856057136159</v>
      </c>
      <c r="I14784" s="6" t="n">
        <f aca="false">Seg!I68*(al_m365+Sens!I14783+sbc_r)</f>
        <v>113.889717587147</v>
      </c>
      <c r="J14784" s="6" t="n">
        <f aca="false">Seg!J68*(al_m365+Sens!J14783+sbc_r)</f>
        <v>123.218477864124</v>
      </c>
      <c r="K14784" s="6" t="n">
        <f aca="false">Seg!K68*(al_m365+Sens!K14783+sbc_r)</f>
        <v>132.149420086311</v>
      </c>
      <c r="L14784" s="12" t="s">
        <v>1236</v>
      </c>
    </row>
    <row r="14785" customFormat="false" ht="17.15" hidden="false" customHeight="false" outlineLevel="0" collapsed="false">
      <c r="A14785" s="0" t="s">
        <v>1237</v>
      </c>
      <c r="B14785" s="0" t="s">
        <v>98</v>
      </c>
      <c r="F14785" s="6" t="n">
        <f aca="false">Seg!F69*(al_lic+Sens!F14783+sbc_r)</f>
        <v>32.8599853992256</v>
      </c>
      <c r="G14785" s="6" t="n">
        <f aca="false">Seg!G69*(al_lic+Sens!G14783+sbc_r)</f>
        <v>34.1568280697879</v>
      </c>
      <c r="H14785" s="6" t="n">
        <f aca="false">Seg!H69*(al_lic+Sens!H14783+sbc_r)</f>
        <v>35.3635535007213</v>
      </c>
      <c r="I14785" s="6" t="n">
        <f aca="false">Seg!I69*(al_lic+Sens!I14783+sbc_r)</f>
        <v>36.4604537346553</v>
      </c>
      <c r="J14785" s="6" t="n">
        <f aca="false">Seg!J69*(al_lic+Sens!J14783+sbc_r)</f>
        <v>37.4245888933574</v>
      </c>
      <c r="K14785" s="6" t="n">
        <f aca="false">Seg!K69*(al_lic+Sens!K14783+sbc_r)</f>
        <v>38.2321483186439</v>
      </c>
    </row>
    <row r="14786" customFormat="false" ht="17.15" hidden="false" customHeight="false" outlineLevel="0" collapsed="false">
      <c r="A14786" s="0" t="s">
        <v>1238</v>
      </c>
      <c r="B14786" s="0" t="s">
        <v>98</v>
      </c>
      <c r="F14786" s="6" t="n">
        <f aca="false">Seg!F71*(al_ind+Sens!F14783+sbc_r)</f>
        <v>9.06170747885803</v>
      </c>
      <c r="G14786" s="6" t="n">
        <f aca="false">Seg!G71*(al_ind+Sens!G14783+sbc_r)</f>
        <v>9.8478979082138</v>
      </c>
      <c r="H14786" s="6" t="n">
        <f aca="false">Seg!H71*(al_ind+Sens!H14783+sbc_r)</f>
        <v>10.6768254332059</v>
      </c>
      <c r="I14786" s="6" t="n">
        <f aca="false">Seg!I71*(al_ind+Sens!I14783+sbc_r)</f>
        <v>11.54398793803</v>
      </c>
      <c r="J14786" s="6" t="n">
        <f aca="false">Seg!J71*(al_ind+Sens!J14783+sbc_r)</f>
        <v>12.4407914253112</v>
      </c>
      <c r="K14786" s="6" t="n">
        <f aca="false">Seg!K71*(al_ind+Sens!K14783+sbc_r)</f>
        <v>13.355239066864</v>
      </c>
    </row>
    <row r="14787" customFormat="false" ht="17.15" hidden="false" customHeight="false" outlineLevel="0" collapsed="false">
      <c r="A14787" s="0" t="s">
        <v>1239</v>
      </c>
      <c r="B14787" s="0" t="s">
        <v>98</v>
      </c>
      <c r="F14787" s="6" t="n">
        <f aca="false">Seg!F73*(al_fro+Sens!F14783+sbc_r)</f>
        <v>3.55453569939552</v>
      </c>
      <c r="G14787" s="6" t="n">
        <f aca="false">Seg!G73*(al_fro+Sens!G14783+sbc_r)</f>
        <v>3.76809436159872</v>
      </c>
      <c r="H14787" s="6" t="n">
        <f aca="false">Seg!H73*(al_fro+Sens!H14783+sbc_r)</f>
        <v>4.00964905674607</v>
      </c>
      <c r="I14787" s="6" t="n">
        <f aca="false">Seg!I73*(al_fro+Sens!I14783+sbc_r)</f>
        <v>4.28152633145235</v>
      </c>
      <c r="J14787" s="6" t="n">
        <f aca="false">Seg!J73*(al_fro+Sens!J14783+sbc_r)</f>
        <v>4.58536512975975</v>
      </c>
      <c r="K14787" s="6" t="n">
        <f aca="false">Seg!K73*(al_fro+Sens!K14783+sbc_r)</f>
        <v>4.92240770086468</v>
      </c>
    </row>
    <row r="14788" customFormat="false" ht="17.15" hidden="false" customHeight="false" outlineLevel="0" collapsed="false">
      <c r="A14788" s="0" t="s">
        <v>1240</v>
      </c>
      <c r="B14788" s="0" t="s">
        <v>98</v>
      </c>
      <c r="F14788" s="6" t="n">
        <f aca="false">Seg!F76*(al_srch+Sens!F14783+sbc_r)</f>
        <v>11.190683952584</v>
      </c>
      <c r="G14788" s="6" t="n">
        <f aca="false">Seg!G76*(al_srch+Sens!G14783+sbc_r)</f>
        <v>12.2763328717258</v>
      </c>
      <c r="H14788" s="6" t="n">
        <f aca="false">Seg!H76*(al_srch+Sens!H14783+sbc_r)</f>
        <v>13.4043563346576</v>
      </c>
      <c r="I14788" s="6" t="n">
        <f aca="false">Seg!I76*(al_srch+Sens!I14783+sbc_r)</f>
        <v>14.5621512181916</v>
      </c>
      <c r="J14788" s="6" t="n">
        <f aca="false">Seg!J76*(al_srch+Sens!J14783+sbc_r)</f>
        <v>15.7310381862385</v>
      </c>
      <c r="K14788" s="6" t="n">
        <f aca="false">Seg!K76*(al_srch+Sens!K14783+sbc_r)</f>
        <v>16.8873320486462</v>
      </c>
    </row>
    <row r="14789" customFormat="false" ht="17.15" hidden="false" customHeight="false" outlineLevel="0" collapsed="false">
      <c r="A14789" s="0" t="s">
        <v>1241</v>
      </c>
      <c r="B14789" s="0" t="s">
        <v>98</v>
      </c>
      <c r="F14789" s="6" t="n">
        <f aca="false">Thesis!F135-Thesis!F136+Thesis!F151</f>
        <v>38.9696429794913</v>
      </c>
      <c r="G14789" s="6" t="n">
        <f aca="false">Thesis!G135-Thesis!G136+Thesis!G151</f>
        <v>69.465497726016</v>
      </c>
      <c r="H14789" s="6" t="n">
        <f aca="false">Thesis!H135-Thesis!H136+Thesis!H151</f>
        <v>96.8147106808268</v>
      </c>
      <c r="I14789" s="6" t="n">
        <f aca="false">Thesis!I135-Thesis!I136+Thesis!I151</f>
        <v>127.654939766446</v>
      </c>
      <c r="J14789" s="6" t="n">
        <f aca="false">Thesis!J135-Thesis!J136+Thesis!J151</f>
        <v>149.308352681229</v>
      </c>
      <c r="K14789" s="6" t="n">
        <f aca="false">Thesis!K135-Thesis!K136+Thesis!K151</f>
        <v>162.731822021841</v>
      </c>
    </row>
    <row r="14790" customFormat="false" ht="17.15" hidden="false" customHeight="false" outlineLevel="0" collapsed="false">
      <c r="A14790" s="0" t="s">
        <v>1242</v>
      </c>
      <c r="B14790" s="0" t="s">
        <v>98</v>
      </c>
      <c r="F14790" s="6" t="n">
        <f aca="false">PL!F110+Thesis!F151+Thesis!F147+Sens!F14783*(Seg!F75-Thesis!F129)+sbc_r*Seg!F75</f>
        <v>234.79972328186</v>
      </c>
      <c r="G14790" s="6" t="n">
        <f aca="false">PL!G110+Thesis!G151+Thesis!G147+Sens!G14783*(Seg!G75-Thesis!G129)+sbc_r*Seg!G75</f>
        <v>285.499052659517</v>
      </c>
      <c r="H14790" s="6" t="n">
        <f aca="false">PL!H110+Thesis!H151+Thesis!H147+Sens!H14783*(Seg!H75-Thesis!H129)+sbc_r*Seg!H75</f>
        <v>338.258569294547</v>
      </c>
      <c r="I14790" s="6" t="n">
        <f aca="false">PL!I110+Thesis!I151+Thesis!I147+Sens!I14783*(Seg!I75-Thesis!I129)+sbc_r*Seg!I75</f>
        <v>393.887902526982</v>
      </c>
      <c r="J14790" s="6" t="n">
        <f aca="false">PL!J110+Thesis!J151+Thesis!J147+Sens!J14783*(Seg!J75-Thesis!J129)+sbc_r*Seg!J75</f>
        <v>438.406631506078</v>
      </c>
      <c r="K14790" s="6" t="n">
        <f aca="false">PL!K110+Thesis!K151+Thesis!K147+Sens!K14783*(Seg!K75-Thesis!K129)+sbc_r*Seg!K75</f>
        <v>472.352875745143</v>
      </c>
    </row>
    <row r="14791" customFormat="false" ht="17.15" hidden="false" customHeight="false" outlineLevel="0" collapsed="false">
      <c r="A14791" s="0" t="s">
        <v>1243</v>
      </c>
      <c r="B14791" s="0" t="s">
        <v>98</v>
      </c>
      <c r="F14791" s="6" t="n">
        <f aca="false">Sens!F14790-Sens!F14784-Sens!F14785-Sens!F14786-Sens!F14787-Sens!F14789</f>
        <v>67.4353297630543</v>
      </c>
      <c r="G14791" s="6" t="n">
        <f aca="false">Sens!G14790-Sens!G14784-Sens!G14785-Sens!G14786-Sens!G14787-Sens!G14789</f>
        <v>74.9539293781376</v>
      </c>
      <c r="H14791" s="6" t="n">
        <f aca="false">Sens!H14790-Sens!H14784-Sens!H14785-Sens!H14786-Sens!H14787-Sens!H14789</f>
        <v>87.537773486888</v>
      </c>
      <c r="I14791" s="6" t="n">
        <f aca="false">Sens!I14790-Sens!I14784-Sens!I14785-Sens!I14786-Sens!I14787-Sens!I14789</f>
        <v>100.057277169252</v>
      </c>
      <c r="J14791" s="6" t="n">
        <f aca="false">Sens!J14790-Sens!J14784-Sens!J14785-Sens!J14786-Sens!J14787-Sens!J14789</f>
        <v>111.429055512297</v>
      </c>
      <c r="K14791" s="6" t="n">
        <f aca="false">Sens!K14790-Sens!K14784-Sens!K14785-Sens!K14786-Sens!K14787-Sens!K14789</f>
        <v>120.961838550618</v>
      </c>
    </row>
    <row r="14792" customFormat="false" ht="17.15" hidden="false" customHeight="false" outlineLevel="0" collapsed="false">
      <c r="A14792" s="0" t="s">
        <v>1244</v>
      </c>
      <c r="B14792" s="0" t="s">
        <v>98</v>
      </c>
      <c r="F14792" s="6" t="n">
        <f aca="false">PL!F112+Sens!F14783*Seg!F82+sbc_r*Seg!F82</f>
        <v>26.6373549789235</v>
      </c>
      <c r="G14792" s="6" t="n">
        <f aca="false">PL!G112+Sens!G14783*Seg!G82+sbc_r*Seg!G82</f>
        <v>26.5038922765853</v>
      </c>
      <c r="H14792" s="6" t="n">
        <f aca="false">PL!H112+Sens!H14783*Seg!H82+sbc_r*Seg!H82</f>
        <v>27.3981100014792</v>
      </c>
      <c r="I14792" s="6" t="n">
        <f aca="false">PL!I112+Sens!I14783*Seg!I82+sbc_r*Seg!I82</f>
        <v>28.5176442589239</v>
      </c>
      <c r="J14792" s="6" t="n">
        <f aca="false">PL!J112+Sens!J14783*Seg!J82+sbc_r*Seg!J82</f>
        <v>29.8313998963726</v>
      </c>
      <c r="K14792" s="6" t="n">
        <f aca="false">PL!K112+Sens!K14783*Seg!K82+sbc_r*Seg!K82</f>
        <v>31.3103466222307</v>
      </c>
    </row>
    <row r="14793" customFormat="false" ht="17.15" hidden="false" customHeight="false" outlineLevel="0" collapsed="false">
      <c r="A14793" s="0" t="s">
        <v>1245</v>
      </c>
      <c r="B14793" s="0" t="s">
        <v>98</v>
      </c>
      <c r="F14793" s="6" t="n">
        <f aca="false">(Sens!F14792-Sens!F14788)*Seg!F78/(Seg!F78+Seg!F80)</f>
        <v>8.72405610479892</v>
      </c>
      <c r="G14793" s="6" t="n">
        <f aca="false">(Sens!G14792-Sens!G14788)*Seg!G78/(Seg!G78+Seg!G80)</f>
        <v>7.897418765869</v>
      </c>
      <c r="H14793" s="6" t="n">
        <f aca="false">(Sens!H14792-Sens!H14788)*Seg!H78/(Seg!H78+Seg!H80)</f>
        <v>7.66644879573063</v>
      </c>
      <c r="I14793" s="6" t="n">
        <f aca="false">(Sens!I14792-Sens!I14788)*Seg!I78/(Seg!I78+Seg!I80)</f>
        <v>7.5787545031814</v>
      </c>
      <c r="J14793" s="6" t="n">
        <f aca="false">(Sens!J14792-Sens!J14788)*Seg!J78/(Seg!J78+Seg!J80)</f>
        <v>7.62401876450459</v>
      </c>
      <c r="K14793" s="6" t="n">
        <f aca="false">(Sens!K14792-Sens!K14788)*Seg!K78/(Seg!K78+Seg!K80)</f>
        <v>7.79847609658838</v>
      </c>
    </row>
    <row r="14794" customFormat="false" ht="17.15" hidden="false" customHeight="false" outlineLevel="0" collapsed="false">
      <c r="A14794" s="0" t="s">
        <v>1246</v>
      </c>
      <c r="B14794" s="0" t="s">
        <v>98</v>
      </c>
      <c r="F14794" s="6" t="n">
        <f aca="false">Sens!F14792-Sens!F14788-Sens!F14793</f>
        <v>6.72261492154066</v>
      </c>
      <c r="G14794" s="6" t="n">
        <f aca="false">Sens!G14792-Sens!G14788-Sens!G14793</f>
        <v>6.33014063899044</v>
      </c>
      <c r="H14794" s="6" t="n">
        <f aca="false">Sens!H14792-Sens!H14788-Sens!H14793</f>
        <v>6.32730487109095</v>
      </c>
      <c r="I14794" s="6" t="n">
        <f aca="false">Sens!I14792-Sens!I14788-Sens!I14793</f>
        <v>6.37673853755084</v>
      </c>
      <c r="J14794" s="6" t="n">
        <f aca="false">Sens!J14792-Sens!J14788-Sens!J14793</f>
        <v>6.47634294562954</v>
      </c>
      <c r="K14794" s="6" t="n">
        <f aca="false">Sens!K14792-Sens!K14788-Sens!K14793</f>
        <v>6.62453847699607</v>
      </c>
    </row>
    <row r="14795" customFormat="false" ht="17.15" hidden="false" customHeight="false" outlineLevel="0" collapsed="false">
      <c r="A14795" s="0" t="s">
        <v>1247</v>
      </c>
      <c r="B14795" s="0" t="s">
        <v>98</v>
      </c>
      <c r="F14795" s="6" t="n">
        <f aca="false">Sens!F14789-tax_f*(Sens!F14789-Thesis!F147)-Thesis!F144</f>
        <v>-130.362326762856</v>
      </c>
      <c r="G14795" s="6" t="n">
        <f aca="false">Sens!G14789-tax_f*(Sens!G14789-Thesis!G147)-Thesis!G144</f>
        <v>-124.225179337776</v>
      </c>
      <c r="H14795" s="6" t="n">
        <f aca="false">Sens!H14789-tax_f*(Sens!H14789-Thesis!H147)-Thesis!H144</f>
        <v>-101.534217387562</v>
      </c>
      <c r="I14795" s="6" t="n">
        <f aca="false">Sens!I14789-tax_f*(Sens!I14789-Thesis!I147)-Thesis!I144</f>
        <v>-43.6446798695439</v>
      </c>
      <c r="J14795" s="6" t="n">
        <f aca="false">Sens!J14789-tax_f*(Sens!J14789-Thesis!J147)-Thesis!J144</f>
        <v>16.9198855589618</v>
      </c>
      <c r="K14795" s="6" t="n">
        <f aca="false">Sens!K14789-tax_f*(Sens!K14789-Thesis!K147)-Thesis!K144</f>
        <v>39.8251384629271</v>
      </c>
    </row>
    <row r="14796" customFormat="false" ht="17.15" hidden="false" customHeight="false" outlineLevel="0" collapsed="false">
      <c r="A14796" s="0" t="s">
        <v>1248</v>
      </c>
      <c r="B14796" s="0" t="s">
        <v>98</v>
      </c>
      <c r="G14796" s="6" t="n">
        <f aca="false">Sens!G14795/(1+((px*sh_val*(rf+beta*erp_hi)+(debt_val+fl_val)*kd*(1-tax_w))/(px*sh_val+debt_val+fl_val)))^(Sens!G14766-Sens!F14767)</f>
        <v>-117.721082487876</v>
      </c>
      <c r="H14796" s="6" t="n">
        <f aca="false">Sens!H14795/(1+((px*sh_val*(rf+beta*erp_hi)+(debt_val+fl_val)*kd*(1-tax_w))/(px*sh_val+debt_val+fl_val)))^(Sens!H14766-Sens!F14767)</f>
        <v>-86.4064712450819</v>
      </c>
      <c r="I14796" s="6" t="n">
        <f aca="false">Sens!I14795/(1+((px*sh_val*(rf+beta*erp_hi)+(debt_val+fl_val)*kd*(1-tax_w))/(px*sh_val+debt_val+fl_val)))^(Sens!I14766-Sens!F14767)</f>
        <v>-33.3544961855531</v>
      </c>
      <c r="J14796" s="6" t="n">
        <f aca="false">Sens!J14795/(1+((px*sh_val*(rf+beta*erp_hi)+(debt_val+fl_val)*kd*(1-tax_w))/(px*sh_val+debt_val+fl_val)))^(Sens!J14766-Sens!F14767)</f>
        <v>11.6120720844781</v>
      </c>
      <c r="K14796" s="6" t="n">
        <f aca="false">Sens!K14795/(1+((px*sh_val*(rf+beta*erp_hi)+(debt_val+fl_val)*kd*(1-tax_w))/(px*sh_val+debt_val+fl_val)))^(Sens!K14766-Sens!F14767)</f>
        <v>24.5447620059926</v>
      </c>
      <c r="L14796" s="1" t="s">
        <v>1249</v>
      </c>
    </row>
    <row r="14797" customFormat="false" ht="17.15" hidden="false" customHeight="false" outlineLevel="0" collapsed="false">
      <c r="A14797" s="0" t="s">
        <v>1250</v>
      </c>
      <c r="B14797" s="0" t="s">
        <v>98</v>
      </c>
      <c r="C14797" s="6" t="n">
        <f aca="false">(Sens!K14789-Thesis!K147)*(1-tax_f)*(1+g_tv)*(1-g_tv/(((px*sh_val*(rf+beta*erp_hi)+(debt_val+fl_val)*kd*(1-tax_w))/(px*sh_val+debt_val+fl_val))+ronic_prem))/(((px*sh_val*(rf+beta*erp_hi)+(debt_val+fl_val)*kd*(1-tax_w))/(px*sh_val+debt_val+fl_val))-g_tv)/(1+((px*sh_val*(rf+beta*erp_hi)+(debt_val+fl_val)*kd*(1-tax_w))/(px*sh_val+debt_val+fl_val)))^(Sens!K14767-Sens!F14767)</f>
        <v>83.5726512967463</v>
      </c>
    </row>
    <row r="14798" customFormat="false" ht="17.15" hidden="false" customHeight="false" outlineLevel="0" collapsed="false">
      <c r="A14798" s="1" t="s">
        <v>1251</v>
      </c>
      <c r="B14798" s="0" t="s">
        <v>98</v>
      </c>
      <c r="C14798" s="6" t="n">
        <f aca="false">(SUM(Sens!G14796:K14796)+Sens!$C$14797)*(1+((px*sh_val*(rf+beta*erp_hi)+(debt_val+fl_val)*kd*(1-tax_w))/(px*sh_val+debt_val+fl_val)))^(t_roll-Sens!F14767)</f>
        <v>-122.026825932193</v>
      </c>
      <c r="L14798" s="12" t="s">
        <v>1252</v>
      </c>
    </row>
    <row r="14799" customFormat="false" ht="17.15" hidden="false" customHeight="false" outlineLevel="0" collapsed="false">
      <c r="A14799" s="1" t="s">
        <v>1253</v>
      </c>
      <c r="B14799" s="0" t="s">
        <v>98</v>
      </c>
      <c r="C14799" s="6" t="n">
        <f aca="false">(w_ntm28*Thesis!G135+(1-w_ntm28)*Thesis!H135)*m_ai</f>
        <v>344.355829012336</v>
      </c>
    </row>
    <row r="14800" customFormat="false" ht="17.15" hidden="false" customHeight="false" outlineLevel="0" collapsed="false">
      <c r="A14800" s="1" t="s">
        <v>1254</v>
      </c>
      <c r="B14800" s="0" t="s">
        <v>98</v>
      </c>
      <c r="C14800" s="6" t="n">
        <f aca="false">(w_ntm28*Sens!G14791+(1-w_ntm28)*Sens!H14791)*m_cloud</f>
        <v>1093.03877543039</v>
      </c>
    </row>
    <row r="14801" customFormat="false" ht="17.15" hidden="false" customHeight="false" outlineLevel="0" collapsed="false">
      <c r="A14801" s="1" t="s">
        <v>1255</v>
      </c>
      <c r="B14801" s="0" t="s">
        <v>98</v>
      </c>
      <c r="C14801" s="6" t="n">
        <f aca="false">(w_ntm28*Sens!G14784+(1-w_ntm28)*Sens!H14784)*m_sw</f>
        <v>1045.17056616266</v>
      </c>
    </row>
    <row r="14802" customFormat="false" ht="17.15" hidden="false" customHeight="false" outlineLevel="0" collapsed="false">
      <c r="A14802" s="1" t="s">
        <v>1256</v>
      </c>
      <c r="B14802" s="0" t="s">
        <v>98</v>
      </c>
      <c r="C14802" s="6" t="n">
        <f aca="false">(w_ntm28*Sens!G14785+(1-w_ntm28)*Sens!H14785)*m_sw</f>
        <v>373.178444957791</v>
      </c>
    </row>
    <row r="14803" customFormat="false" ht="17.15" hidden="false" customHeight="false" outlineLevel="0" collapsed="false">
      <c r="A14803" s="1" t="s">
        <v>1257</v>
      </c>
      <c r="B14803" s="0" t="s">
        <v>98</v>
      </c>
      <c r="C14803" s="6" t="n">
        <f aca="false">(w_ntm28*Sens!G14786+(1-w_ntm28)*Sens!H14786)*m_sw</f>
        <v>109.30055788101</v>
      </c>
    </row>
    <row r="14804" customFormat="false" ht="17.15" hidden="false" customHeight="false" outlineLevel="0" collapsed="false">
      <c r="A14804" s="1" t="s">
        <v>1258</v>
      </c>
      <c r="B14804" s="0" t="s">
        <v>98</v>
      </c>
      <c r="C14804" s="6" t="n">
        <f aca="false">(w_ntm28*Sens!G14787+(1-w_ntm28)*Sens!H14787)*m_sw</f>
        <v>41.5531037214606</v>
      </c>
    </row>
    <row r="14805" customFormat="false" ht="17.15" hidden="false" customHeight="false" outlineLevel="0" collapsed="false">
      <c r="A14805" s="1" t="s">
        <v>1259</v>
      </c>
      <c r="B14805" s="0" t="s">
        <v>98</v>
      </c>
      <c r="C14805" s="6" t="n">
        <f aca="false">(w_ntm28*Sens!G14788+(1-w_ntm28)*Sens!H14788)*m_ads</f>
        <v>115.215899994784</v>
      </c>
    </row>
    <row r="14806" customFormat="false" ht="17.15" hidden="false" customHeight="false" outlineLevel="0" collapsed="false">
      <c r="A14806" s="1" t="s">
        <v>1260</v>
      </c>
      <c r="B14806" s="0" t="s">
        <v>98</v>
      </c>
      <c r="C14806" s="6" t="n">
        <f aca="false">(w_ntm28*Sens!G14793+(1-w_ntm28)*Sens!H14793)*m_game</f>
        <v>98.7853357615783</v>
      </c>
    </row>
    <row r="14807" customFormat="false" ht="17.15" hidden="false" customHeight="false" outlineLevel="0" collapsed="false">
      <c r="A14807" s="1" t="s">
        <v>1261</v>
      </c>
      <c r="B14807" s="0" t="s">
        <v>98</v>
      </c>
      <c r="C14807" s="6" t="n">
        <f aca="false">(w_ntm28*Sens!G14794+(1-w_ntm28)*Sens!H14794)*m_pc</f>
        <v>91.5836445602173</v>
      </c>
    </row>
    <row r="14808" customFormat="false" ht="17.15" hidden="false" customHeight="false" outlineLevel="0" collapsed="false">
      <c r="A14808" s="1" t="s">
        <v>1262</v>
      </c>
      <c r="B14808" s="0" t="s">
        <v>98</v>
      </c>
      <c r="C14808" s="6" t="n">
        <f aca="false">Sens!$C$14798+Sens!$C$14800+Sens!$C$14801+Sens!$C$14802+Sens!$C$14803+Sens!$C$14804+Sens!$C$14805+Sens!$C$14806+Sens!$C$14807</f>
        <v>2845.7995025377</v>
      </c>
    </row>
    <row r="14809" customFormat="false" ht="17.15" hidden="false" customHeight="false" outlineLevel="0" collapsed="false">
      <c r="A14809" s="1" t="s">
        <v>1263</v>
      </c>
      <c r="B14809" s="0" t="s">
        <v>98</v>
      </c>
      <c r="C14809" s="6" t="n">
        <f aca="false">(Sens!G14770-Sens!G14795)*t_stub</f>
        <v>47.4829168796038</v>
      </c>
      <c r="L14809" s="1" t="s">
        <v>1264</v>
      </c>
    </row>
    <row r="14810" customFormat="false" ht="17.15" hidden="false" customHeight="false" outlineLevel="0" collapsed="false">
      <c r="A14810" s="1" t="s">
        <v>1173</v>
      </c>
      <c r="B14810" s="0" t="s">
        <v>98</v>
      </c>
      <c r="C14810" s="6" t="n">
        <f aca="false">CF!F103+oai_v-CF!F92+Sens!$C$14809</f>
        <v>158.55427008544</v>
      </c>
      <c r="L14810" s="1" t="s">
        <v>1265</v>
      </c>
    </row>
    <row r="14811" customFormat="false" ht="17.15" hidden="false" customHeight="false" outlineLevel="0" collapsed="false">
      <c r="A14811" s="1" t="s">
        <v>1266</v>
      </c>
      <c r="B14811" s="0" t="s">
        <v>75</v>
      </c>
      <c r="C14811" s="5" t="n">
        <f aca="false">(Sens!$C$14808+Sens!$C$14810)/(CF!F105+dil_gap)-CF!G95*roll_div_q/q_per_yr</f>
        <v>399.754759955061</v>
      </c>
      <c r="L14811" s="1" t="s">
        <v>1267</v>
      </c>
    </row>
    <row r="14812" customFormat="false" ht="17.15" hidden="false" customHeight="false" outlineLevel="0" collapsed="false">
      <c r="A14812" s="1" t="s">
        <v>1268</v>
      </c>
      <c r="B14812" s="0" t="s">
        <v>75</v>
      </c>
      <c r="C14812" s="5" t="n">
        <f aca="false">w_dcf*Sens!$C$14782+(1-w_dcf)*Sens!$C$14811</f>
        <v>325.82311997611</v>
      </c>
    </row>
    <row r="14813" customFormat="false" ht="17.15" hidden="false" customHeight="false" outlineLevel="0" collapsed="false">
      <c r="A14813" s="3" t="s">
        <v>1978</v>
      </c>
    </row>
    <row r="14814" customFormat="false" ht="15" hidden="false" customHeight="false" outlineLevel="0" collapsed="false">
      <c r="A14814" s="4" t="s">
        <v>43</v>
      </c>
      <c r="B14814" s="4" t="s">
        <v>65</v>
      </c>
      <c r="C14814" s="23" t="s">
        <v>942</v>
      </c>
      <c r="D14814" s="23" t="s">
        <v>943</v>
      </c>
      <c r="E14814" s="23" t="s">
        <v>944</v>
      </c>
      <c r="F14814" s="23" t="s">
        <v>945</v>
      </c>
      <c r="G14814" s="23" t="s">
        <v>946</v>
      </c>
      <c r="H14814" s="23" t="s">
        <v>947</v>
      </c>
      <c r="I14814" s="23" t="s">
        <v>948</v>
      </c>
      <c r="J14814" s="23" t="s">
        <v>949</v>
      </c>
      <c r="K14814" s="23" t="s">
        <v>950</v>
      </c>
      <c r="L14814" s="4" t="s">
        <v>47</v>
      </c>
    </row>
    <row r="14815" customFormat="false" ht="17.15" hidden="false" customHeight="false" outlineLevel="0" collapsed="false">
      <c r="A14815" s="1" t="s">
        <v>1216</v>
      </c>
      <c r="B14815" s="1" t="s">
        <v>279</v>
      </c>
      <c r="F14815" s="8" t="n">
        <f aca="false">(1-v_off)*mid_yr</f>
        <v>0.373972602739726</v>
      </c>
      <c r="G14815" s="8" t="n">
        <f aca="false">Thesis!G6-base_fy-mid_yr-v_off</f>
        <v>1.24794520547945</v>
      </c>
      <c r="H14815" s="8" t="n">
        <f aca="false">Thesis!H6-base_fy-mid_yr-v_off</f>
        <v>2.24794520547945</v>
      </c>
      <c r="I14815" s="8" t="n">
        <f aca="false">Thesis!I6-base_fy-mid_yr-v_off</f>
        <v>3.24794520547945</v>
      </c>
      <c r="J14815" s="8" t="n">
        <f aca="false">Thesis!J6-base_fy-mid_yr-v_off</f>
        <v>4.24794520547945</v>
      </c>
      <c r="K14815" s="8" t="n">
        <f aca="false">Thesis!K6-base_fy-mid_yr-v_off</f>
        <v>5.24794520547945</v>
      </c>
      <c r="L14815" s="12" t="s">
        <v>1217</v>
      </c>
    </row>
    <row r="14816" customFormat="false" ht="15" hidden="false" customHeight="false" outlineLevel="0" collapsed="false">
      <c r="A14816" s="1" t="s">
        <v>1218</v>
      </c>
      <c r="B14816" s="1" t="s">
        <v>279</v>
      </c>
      <c r="F14816" s="8" t="n">
        <f aca="false">Thesis!F6-base_fy-v_off</f>
        <v>0.747945205479452</v>
      </c>
      <c r="G14816" s="8" t="n">
        <f aca="false">Thesis!G6-base_fy-v_off</f>
        <v>1.74794520547945</v>
      </c>
      <c r="H14816" s="8" t="n">
        <f aca="false">Thesis!H6-base_fy-v_off</f>
        <v>2.74794520547945</v>
      </c>
      <c r="I14816" s="8" t="n">
        <f aca="false">Thesis!I6-base_fy-v_off</f>
        <v>3.74794520547945</v>
      </c>
      <c r="J14816" s="8" t="n">
        <f aca="false">Thesis!J6-base_fy-v_off</f>
        <v>4.74794520547945</v>
      </c>
      <c r="K14816" s="8" t="n">
        <f aca="false">Thesis!K6-base_fy-v_off</f>
        <v>5.74794520547945</v>
      </c>
    </row>
    <row r="14817" customFormat="false" ht="15" hidden="false" customHeight="false" outlineLevel="0" collapsed="false">
      <c r="A14817" s="1" t="s">
        <v>1219</v>
      </c>
      <c r="B14817" s="0" t="s">
        <v>229</v>
      </c>
      <c r="F14817" s="15" t="n">
        <f aca="false">1/(1+wacc)^Sens!F14815</f>
        <v>0.964022703286649</v>
      </c>
      <c r="G14817" s="15" t="n">
        <f aca="false">1/(1+wacc)^Sens!G14815</f>
        <v>0.884910302296739</v>
      </c>
      <c r="H14817" s="15" t="n">
        <f aca="false">1/(1+wacc)^Sens!H14815</f>
        <v>0.802322009770358</v>
      </c>
      <c r="I14817" s="15" t="n">
        <f aca="false">1/(1+wacc)^Sens!I14815</f>
        <v>0.727441646561469</v>
      </c>
      <c r="J14817" s="15" t="n">
        <f aca="false">1/(1+wacc)^Sens!J14815</f>
        <v>0.659549834988973</v>
      </c>
      <c r="K14817" s="15" t="n">
        <f aca="false">1/(1+wacc)^Sens!K14815</f>
        <v>0.597994336576966</v>
      </c>
    </row>
    <row r="14818" customFormat="false" ht="17.15" hidden="false" customHeight="false" outlineLevel="0" collapsed="false">
      <c r="A14818" s="1" t="s">
        <v>1220</v>
      </c>
      <c r="B14818" s="0" t="s">
        <v>98</v>
      </c>
      <c r="F14818" s="6" t="n">
        <f aca="false">Q!$I$35-Q!$I$39-Q!$I$43</f>
        <v>9.666</v>
      </c>
      <c r="L14818" s="12" t="s">
        <v>1221</v>
      </c>
    </row>
    <row r="14819" customFormat="false" ht="17.15" hidden="false" customHeight="false" outlineLevel="0" collapsed="false">
      <c r="A14819" s="1" t="s">
        <v>1222</v>
      </c>
      <c r="B14819" s="0" t="s">
        <v>98</v>
      </c>
      <c r="F14819" s="6" t="n">
        <f aca="false">CF!F23-CF!F20-CF!F27+Thesis!F47*(1-tax_f)*(1-v_off)-Sens!F14818</f>
        <v>-1.12880264559539</v>
      </c>
      <c r="G14819" s="6" t="n">
        <f aca="false">CF!G23-CF!G20-CF!G27+Thesis!G47*(1-tax_f)</f>
        <v>38.7194421947551</v>
      </c>
      <c r="H14819" s="6" t="n">
        <f aca="false">CF!H23-CF!H20-CF!H27+Thesis!H47*(1-tax_f)</f>
        <v>98.6927474567662</v>
      </c>
      <c r="I14819" s="6" t="n">
        <f aca="false">CF!I23-CF!I20-CF!I27+Thesis!I47*(1-tax_f)</f>
        <v>181.625440536277</v>
      </c>
      <c r="J14819" s="6" t="n">
        <f aca="false">CF!J23-CF!J20-CF!J27+Thesis!J47*(1-tax_f)</f>
        <v>263.350402418584</v>
      </c>
      <c r="K14819" s="6" t="n">
        <f aca="false">CF!K23-CF!K20-CF!K27+Thesis!K47*(1-tax_f)</f>
        <v>303.659068389018</v>
      </c>
      <c r="L14819" s="1" t="s">
        <v>1223</v>
      </c>
    </row>
    <row r="14820" customFormat="false" ht="15" hidden="false" customHeight="false" outlineLevel="0" collapsed="false">
      <c r="A14820" s="1" t="s">
        <v>1224</v>
      </c>
      <c r="B14820" s="0" t="s">
        <v>98</v>
      </c>
      <c r="F14820" s="6" t="n">
        <f aca="false">Sens!F14819*Sens!F14817</f>
        <v>-1.08819137788399</v>
      </c>
      <c r="G14820" s="6" t="n">
        <f aca="false">Sens!G14819*Sens!G14817</f>
        <v>34.2632332973219</v>
      </c>
      <c r="H14820" s="6" t="n">
        <f aca="false">Sens!H14819*Sens!H14817</f>
        <v>79.183363489271</v>
      </c>
      <c r="I14820" s="6" t="n">
        <f aca="false">Sens!I14819*Sens!I14817</f>
        <v>132.121909521162</v>
      </c>
      <c r="J14820" s="6" t="n">
        <f aca="false">Sens!J14819*Sens!J14817</f>
        <v>173.692714459456</v>
      </c>
      <c r="K14820" s="6" t="n">
        <f aca="false">Sens!K14819*Sens!K14817</f>
        <v>181.58640314687</v>
      </c>
    </row>
    <row r="14821" customFormat="false" ht="17.15" hidden="false" customHeight="false" outlineLevel="0" collapsed="false">
      <c r="A14821" s="1" t="s">
        <v>1225</v>
      </c>
      <c r="B14821" s="0" t="s">
        <v>98</v>
      </c>
      <c r="C14821" s="6" t="n">
        <f aca="false">SUM(Sens!F14820:K14820)</f>
        <v>599.759432536197</v>
      </c>
    </row>
    <row r="14822" customFormat="false" ht="17.15" hidden="false" customHeight="false" outlineLevel="0" collapsed="false">
      <c r="A14822" s="1" t="s">
        <v>1226</v>
      </c>
      <c r="B14822" s="0" t="s">
        <v>98</v>
      </c>
      <c r="C14822" s="6" t="n">
        <f aca="false">PL!K39*(1+g_tv)*(1-tax_f)</f>
        <v>316.501318799308</v>
      </c>
    </row>
    <row r="14823" customFormat="false" ht="17.15" hidden="false" customHeight="false" outlineLevel="0" collapsed="false">
      <c r="A14823" s="1" t="s">
        <v>1227</v>
      </c>
      <c r="B14823" s="0" t="s">
        <v>98</v>
      </c>
      <c r="C14823" s="6" t="n">
        <f aca="false">Sens!$C$14822*(1-g_tv/(wacc+ronic_prem_hi))</f>
        <v>254.416506359904</v>
      </c>
    </row>
    <row r="14824" customFormat="false" ht="17.15" hidden="false" customHeight="false" outlineLevel="0" collapsed="false">
      <c r="A14824" s="1" t="s">
        <v>1228</v>
      </c>
      <c r="B14824" s="0" t="s">
        <v>98</v>
      </c>
      <c r="C14824" s="6" t="n">
        <f aca="false">Sens!$C$14823/(wacc-g_tv)</f>
        <v>3488.1875209889</v>
      </c>
    </row>
    <row r="14825" customFormat="false" ht="15" hidden="false" customHeight="false" outlineLevel="0" collapsed="false">
      <c r="A14825" s="1" t="s">
        <v>1229</v>
      </c>
      <c r="B14825" s="0" t="s">
        <v>98</v>
      </c>
      <c r="C14825" s="6" t="n">
        <f aca="false">Sens!$C$14824/(1+wacc)^Sens!K14816</f>
        <v>1986.19380262477</v>
      </c>
    </row>
    <row r="14826" customFormat="false" ht="17.15" hidden="false" customHeight="false" outlineLevel="0" collapsed="false">
      <c r="A14826" s="0" t="s">
        <v>1230</v>
      </c>
      <c r="B14826" s="0" t="s">
        <v>98</v>
      </c>
      <c r="C14826" s="6" t="n">
        <f aca="false">Sens!$C$14821+Sens!$C$14825</f>
        <v>2585.95323516097</v>
      </c>
    </row>
    <row r="14827" customFormat="false" ht="15" hidden="false" customHeight="false" outlineLevel="0" collapsed="false">
      <c r="A14827" s="1" t="s">
        <v>1145</v>
      </c>
      <c r="B14827" s="0" t="s">
        <v>168</v>
      </c>
      <c r="C14827" s="7" t="n">
        <f aca="false">Sens!$C$14825/Sens!$C$14826</f>
        <v>0.768070271193878</v>
      </c>
    </row>
    <row r="14828" customFormat="false" ht="17.15" hidden="false" customHeight="false" outlineLevel="0" collapsed="false">
      <c r="A14828" s="1" t="s">
        <v>1231</v>
      </c>
      <c r="B14828" s="0" t="s">
        <v>98</v>
      </c>
      <c r="C14828" s="6" t="n">
        <f aca="false">Sens!$C$14826+cash_val-debt_val-fl_val+oai_v</f>
        <v>2701.80423516097</v>
      </c>
    </row>
    <row r="14829" customFormat="false" ht="17.15" hidden="false" customHeight="false" outlineLevel="0" collapsed="false">
      <c r="A14829" s="0" t="s">
        <v>1153</v>
      </c>
      <c r="B14829" s="0" t="s">
        <v>75</v>
      </c>
      <c r="C14829" s="5" t="n">
        <f aca="false">Sens!$C$14828/shd_val</f>
        <v>362.853107058954</v>
      </c>
    </row>
    <row r="14830" customFormat="false" ht="15" hidden="false" customHeight="false" outlineLevel="0" collapsed="false">
      <c r="A14830" s="1" t="s">
        <v>1232</v>
      </c>
      <c r="B14830" s="0" t="s">
        <v>75</v>
      </c>
      <c r="C14830" s="8" t="n">
        <f aca="false">div_rem27+CF!G31*roll_div_q/q_per_yr</f>
        <v>3.9795</v>
      </c>
    </row>
    <row r="14831" customFormat="false" ht="17.15" hidden="false" customHeight="false" outlineLevel="0" collapsed="false">
      <c r="A14831" s="0" t="s">
        <v>1233</v>
      </c>
      <c r="B14831" s="0" t="s">
        <v>75</v>
      </c>
      <c r="C14831" s="5" t="n">
        <f aca="false">Sens!$C$14829*(1+wacc)^t_roll-Sens!$C$14830</f>
        <v>399.351979597829</v>
      </c>
    </row>
    <row r="14832" customFormat="false" ht="17.15" hidden="false" customHeight="false" outlineLevel="0" collapsed="false">
      <c r="A14832" s="1" t="s">
        <v>1234</v>
      </c>
      <c r="B14832" s="0" t="s">
        <v>168</v>
      </c>
      <c r="F14832" s="7" t="n">
        <f aca="false">CF!F17/(Seg!F29-Thesis!F25)</f>
        <v>0.0685527305696859</v>
      </c>
      <c r="G14832" s="7" t="n">
        <f aca="false">CF!G17/(Seg!G29-Thesis!G25)</f>
        <v>0.0653567731599844</v>
      </c>
      <c r="H14832" s="7" t="n">
        <f aca="false">CF!H17/(Seg!H29-Thesis!H25)</f>
        <v>0.0636628841026972</v>
      </c>
      <c r="I14832" s="7" t="n">
        <f aca="false">CF!I17/(Seg!I29-Thesis!I25)</f>
        <v>0.0633581084335176</v>
      </c>
      <c r="J14832" s="7" t="n">
        <f aca="false">CF!J17/(Seg!J29-Thesis!J25)</f>
        <v>0.0640873955995062</v>
      </c>
      <c r="K14832" s="7" t="n">
        <f aca="false">CF!K17/(Seg!K29-Thesis!K25)</f>
        <v>0.0653962234835198</v>
      </c>
    </row>
    <row r="14833" customFormat="false" ht="17.15" hidden="false" customHeight="false" outlineLevel="0" collapsed="false">
      <c r="A14833" s="0" t="s">
        <v>1235</v>
      </c>
      <c r="B14833" s="0" t="s">
        <v>98</v>
      </c>
      <c r="F14833" s="6" t="n">
        <f aca="false">Seg!F14*(al_m365+Sens!F14832+sbc_r)</f>
        <v>84.5213906545575</v>
      </c>
      <c r="G14833" s="6" t="n">
        <f aca="false">Seg!G14*(al_m365+Sens!G14832+sbc_r)</f>
        <v>98.949983331796</v>
      </c>
      <c r="H14833" s="6" t="n">
        <f aca="false">Seg!H14*(al_m365+Sens!H14832+sbc_r)</f>
        <v>113.543734275326</v>
      </c>
      <c r="I14833" s="6" t="n">
        <f aca="false">Seg!I14*(al_m365+Sens!I14832+sbc_r)</f>
        <v>126.62058838692</v>
      </c>
      <c r="J14833" s="6" t="n">
        <f aca="false">Seg!J14*(al_m365+Sens!J14832+sbc_r)</f>
        <v>137.994660156303</v>
      </c>
      <c r="K14833" s="6" t="n">
        <f aca="false">Seg!K14*(al_m365+Sens!K14832+sbc_r)</f>
        <v>148.989224092997</v>
      </c>
      <c r="L14833" s="12" t="s">
        <v>1236</v>
      </c>
    </row>
    <row r="14834" customFormat="false" ht="17.15" hidden="false" customHeight="false" outlineLevel="0" collapsed="false">
      <c r="A14834" s="0" t="s">
        <v>1237</v>
      </c>
      <c r="B14834" s="0" t="s">
        <v>98</v>
      </c>
      <c r="F14834" s="6" t="n">
        <f aca="false">Seg!F15*(al_lic+Sens!F14832+sbc_r)</f>
        <v>32.855200196554</v>
      </c>
      <c r="G14834" s="6" t="n">
        <f aca="false">Seg!G15*(al_lic+Sens!G14832+sbc_r)</f>
        <v>34.1185582613282</v>
      </c>
      <c r="H14834" s="6" t="n">
        <f aca="false">Seg!H15*(al_lic+Sens!H14832+sbc_r)</f>
        <v>35.3024309363621</v>
      </c>
      <c r="I14834" s="6" t="n">
        <f aca="false">Seg!I15*(al_lic+Sens!I14832+sbc_r)</f>
        <v>36.3898468129533</v>
      </c>
      <c r="J14834" s="6" t="n">
        <f aca="false">Seg!J15*(al_lic+Sens!J14832+sbc_r)</f>
        <v>37.3529129529876</v>
      </c>
      <c r="K14834" s="6" t="n">
        <f aca="false">Seg!K15*(al_lic+Sens!K14832+sbc_r)</f>
        <v>38.158536171203</v>
      </c>
    </row>
    <row r="14835" customFormat="false" ht="17.15" hidden="false" customHeight="false" outlineLevel="0" collapsed="false">
      <c r="A14835" s="0" t="s">
        <v>1238</v>
      </c>
      <c r="B14835" s="0" t="s">
        <v>98</v>
      </c>
      <c r="F14835" s="6" t="n">
        <f aca="false">Seg!F17*(al_ind+Sens!F14832+sbc_r)</f>
        <v>9.05892547956683</v>
      </c>
      <c r="G14835" s="6" t="n">
        <f aca="false">Seg!G17*(al_ind+Sens!G14832+sbc_r)</f>
        <v>9.82456487622418</v>
      </c>
      <c r="H14835" s="6" t="n">
        <f aca="false">Seg!H17*(al_ind+Sens!H14832+sbc_r)</f>
        <v>10.6377408477959</v>
      </c>
      <c r="I14835" s="6" t="n">
        <f aca="false">Seg!I17*(al_ind+Sens!I14832+sbc_r)</f>
        <v>11.4966323260293</v>
      </c>
      <c r="J14835" s="6" t="n">
        <f aca="false">Seg!J17*(al_ind+Sens!J14832+sbc_r)</f>
        <v>12.3903660286279</v>
      </c>
      <c r="K14835" s="6" t="n">
        <f aca="false">Seg!K17*(al_ind+Sens!K14832+sbc_r)</f>
        <v>13.3009129057681</v>
      </c>
    </row>
    <row r="14836" customFormat="false" ht="17.15" hidden="false" customHeight="false" outlineLevel="0" collapsed="false">
      <c r="A14836" s="0" t="s">
        <v>1239</v>
      </c>
      <c r="B14836" s="0" t="s">
        <v>98</v>
      </c>
      <c r="F14836" s="6" t="n">
        <f aca="false">Seg!F19*(al_fro+Sens!F14832+sbc_r)</f>
        <v>3.55344443532423</v>
      </c>
      <c r="G14836" s="6" t="n">
        <f aca="false">Seg!G19*(al_fro+Sens!G14832+sbc_r)</f>
        <v>3.75916645971565</v>
      </c>
      <c r="H14836" s="6" t="n">
        <f aca="false">Seg!H19*(al_fro+Sens!H14832+sbc_r)</f>
        <v>3.994970960527</v>
      </c>
      <c r="I14836" s="6" t="n">
        <f aca="false">Seg!I19*(al_fro+Sens!I14832+sbc_r)</f>
        <v>4.26396270432353</v>
      </c>
      <c r="J14836" s="6" t="n">
        <f aca="false">Seg!J19*(al_fro+Sens!J14832+sbc_r)</f>
        <v>4.5667795874336</v>
      </c>
      <c r="K14836" s="6" t="n">
        <f aca="false">Seg!K19*(al_fro+Sens!K14832+sbc_r)</f>
        <v>4.90238443416026</v>
      </c>
    </row>
    <row r="14837" customFormat="false" ht="17.15" hidden="false" customHeight="false" outlineLevel="0" collapsed="false">
      <c r="A14837" s="0" t="s">
        <v>1240</v>
      </c>
      <c r="B14837" s="0" t="s">
        <v>98</v>
      </c>
      <c r="F14837" s="6" t="n">
        <f aca="false">Seg!F22*(al_srch+Sens!F14832+sbc_r)</f>
        <v>11.1872483445711</v>
      </c>
      <c r="G14837" s="6" t="n">
        <f aca="false">Seg!G22*(al_srch+Sens!G14832+sbc_r)</f>
        <v>12.247246048296</v>
      </c>
      <c r="H14837" s="6" t="n">
        <f aca="false">Seg!H22*(al_srch+Sens!H14832+sbc_r)</f>
        <v>13.3552870946193</v>
      </c>
      <c r="I14837" s="6" t="n">
        <f aca="false">Seg!I22*(al_srch+Sens!I14832+sbc_r)</f>
        <v>14.5024145321619</v>
      </c>
      <c r="J14837" s="6" t="n">
        <f aca="false">Seg!J22*(al_srch+Sens!J14832+sbc_r)</f>
        <v>15.667276660652</v>
      </c>
      <c r="K14837" s="6" t="n">
        <f aca="false">Seg!K22*(al_srch+Sens!K14832+sbc_r)</f>
        <v>16.8186381138719</v>
      </c>
    </row>
    <row r="14838" customFormat="false" ht="17.15" hidden="false" customHeight="false" outlineLevel="0" collapsed="false">
      <c r="A14838" s="0" t="s">
        <v>1241</v>
      </c>
      <c r="B14838" s="0" t="s">
        <v>98</v>
      </c>
      <c r="F14838" s="6" t="n">
        <f aca="false">Thesis!F31-Thesis!F32+Thesis!F47</f>
        <v>45.3782580567763</v>
      </c>
      <c r="G14838" s="6" t="n">
        <f aca="false">Thesis!G31-Thesis!G32+Thesis!G47</f>
        <v>91.0863367558165</v>
      </c>
      <c r="H14838" s="6" t="n">
        <f aca="false">Thesis!H31-Thesis!H32+Thesis!H47</f>
        <v>144.617532464853</v>
      </c>
      <c r="I14838" s="6" t="n">
        <f aca="false">Thesis!I31-Thesis!I32+Thesis!I47</f>
        <v>187.137304561304</v>
      </c>
      <c r="J14838" s="6" t="n">
        <f aca="false">Thesis!J31-Thesis!J32+Thesis!J47</f>
        <v>217.006854425907</v>
      </c>
      <c r="K14838" s="6" t="n">
        <f aca="false">Thesis!K31-Thesis!K32+Thesis!K47</f>
        <v>234.933637903877</v>
      </c>
    </row>
    <row r="14839" customFormat="false" ht="17.15" hidden="false" customHeight="false" outlineLevel="0" collapsed="false">
      <c r="A14839" s="0" t="s">
        <v>1242</v>
      </c>
      <c r="B14839" s="0" t="s">
        <v>98</v>
      </c>
      <c r="F14839" s="6" t="n">
        <f aca="false">PL!F32+Thesis!F47+Thesis!F43+Sens!F14832*(Seg!F21-Thesis!F25)+sbc_r*Seg!F21</f>
        <v>240.818167741339</v>
      </c>
      <c r="G14839" s="6" t="n">
        <f aca="false">PL!G32+Thesis!G47+Thesis!G43+Sens!G14832*(Seg!G21-Thesis!G25)+sbc_r*Seg!G21</f>
        <v>311.917784140952</v>
      </c>
      <c r="H14839" s="6" t="n">
        <f aca="false">PL!H32+Thesis!H47+Thesis!H43+Sens!H14832*(Seg!H21-Thesis!H25)+sbc_r*Seg!H21</f>
        <v>395.486245683473</v>
      </c>
      <c r="I14839" s="6" t="n">
        <f aca="false">PL!I32+Thesis!I47+Thesis!I43+Sens!I14832*(Seg!I21-Thesis!I25)+sbc_r*Seg!I21</f>
        <v>465.950805948377</v>
      </c>
      <c r="J14839" s="6" t="n">
        <f aca="false">PL!J32+Thesis!J47+Thesis!J43+Sens!J14832*(Seg!J21-Thesis!J25)+sbc_r*Seg!J21</f>
        <v>520.78677388057</v>
      </c>
      <c r="K14839" s="6" t="n">
        <f aca="false">PL!K32+Thesis!K47+Thesis!K43+Sens!K14832*(Seg!K21-Thesis!K25)+sbc_r*Seg!K21</f>
        <v>561.2469767412</v>
      </c>
    </row>
    <row r="14840" customFormat="false" ht="17.15" hidden="false" customHeight="false" outlineLevel="0" collapsed="false">
      <c r="A14840" s="0" t="s">
        <v>1243</v>
      </c>
      <c r="B14840" s="0" t="s">
        <v>98</v>
      </c>
      <c r="F14840" s="6" t="n">
        <f aca="false">Sens!F14839-Sens!F14833-Sens!F14834-Sens!F14835-Sens!F14836-Sens!F14838</f>
        <v>65.4509489185601</v>
      </c>
      <c r="G14840" s="6" t="n">
        <f aca="false">Sens!G14839-Sens!G14833-Sens!G14834-Sens!G14835-Sens!G14836-Sens!G14838</f>
        <v>74.1791744560715</v>
      </c>
      <c r="H14840" s="6" t="n">
        <f aca="false">Sens!H14839-Sens!H14833-Sens!H14834-Sens!H14835-Sens!H14836-Sens!H14838</f>
        <v>87.3898361986086</v>
      </c>
      <c r="I14840" s="6" t="n">
        <f aca="false">Sens!I14839-Sens!I14833-Sens!I14834-Sens!I14835-Sens!I14836-Sens!I14838</f>
        <v>100.042471156846</v>
      </c>
      <c r="J14840" s="6" t="n">
        <f aca="false">Sens!J14839-Sens!J14833-Sens!J14834-Sens!J14835-Sens!J14836-Sens!J14838</f>
        <v>111.475200729312</v>
      </c>
      <c r="K14840" s="6" t="n">
        <f aca="false">Sens!K14839-Sens!K14833-Sens!K14834-Sens!K14835-Sens!K14836-Sens!K14838</f>
        <v>120.962281233195</v>
      </c>
    </row>
    <row r="14841" customFormat="false" ht="17.15" hidden="false" customHeight="false" outlineLevel="0" collapsed="false">
      <c r="A14841" s="0" t="s">
        <v>1244</v>
      </c>
      <c r="B14841" s="0" t="s">
        <v>98</v>
      </c>
      <c r="F14841" s="6" t="n">
        <f aca="false">PL!F34+Sens!F14832*Seg!F28+sbc_r*Seg!F28</f>
        <v>26.6293388420472</v>
      </c>
      <c r="G14841" s="6" t="n">
        <f aca="false">PL!G34+Sens!G14832*Seg!G28+sbc_r*Seg!G28</f>
        <v>26.4405000412783</v>
      </c>
      <c r="H14841" s="6" t="n">
        <f aca="false">PL!H34+Sens!H14832*Seg!H28+sbc_r*Seg!H28</f>
        <v>27.296860059552</v>
      </c>
      <c r="I14841" s="6" t="n">
        <f aca="false">PL!I34+Sens!I14832*Seg!I28+sbc_r*Seg!I28</f>
        <v>28.3995465815703</v>
      </c>
      <c r="J14841" s="6" t="n">
        <f aca="false">PL!J34+Sens!J14832*Seg!J28+sbc_r*Seg!J28</f>
        <v>29.7093380975903</v>
      </c>
      <c r="K14841" s="6" t="n">
        <f aca="false">PL!K34+Sens!K14832*Seg!K28+sbc_r*Seg!K28</f>
        <v>31.1817775287323</v>
      </c>
    </row>
    <row r="14842" customFormat="false" ht="17.15" hidden="false" customHeight="false" outlineLevel="0" collapsed="false">
      <c r="A14842" s="0" t="s">
        <v>1245</v>
      </c>
      <c r="B14842" s="0" t="s">
        <v>98</v>
      </c>
      <c r="F14842" s="6" t="n">
        <f aca="false">(Sens!F14841-Sens!F14837)*Seg!F24/(Seg!F24+Seg!F26)</f>
        <v>8.72146908842971</v>
      </c>
      <c r="G14842" s="6" t="n">
        <f aca="false">(Sens!G14841-Sens!G14837)*Seg!G24/(Seg!G24+Seg!G26)</f>
        <v>7.87837655379173</v>
      </c>
      <c r="H14842" s="6" t="n">
        <f aca="false">(Sens!H14841-Sens!H14837)*Seg!H24/(Seg!H24+Seg!H26)</f>
        <v>7.63786170689933</v>
      </c>
      <c r="I14842" s="6" t="n">
        <f aca="false">(Sens!I14841-Sens!I14837)*Seg!I24/(Seg!I24+Seg!I26)</f>
        <v>7.5470606300581</v>
      </c>
      <c r="J14842" s="6" t="n">
        <f aca="false">(Sens!J14841-Sens!J14837)*Seg!J24/(Seg!J24+Seg!J26)</f>
        <v>7.59249600034024</v>
      </c>
      <c r="K14842" s="6" t="n">
        <f aca="false">(Sens!K14841-Sens!K14837)*Seg!K24/(Seg!K24+Seg!K26)</f>
        <v>7.76610179704742</v>
      </c>
    </row>
    <row r="14843" customFormat="false" ht="17.15" hidden="false" customHeight="false" outlineLevel="0" collapsed="false">
      <c r="A14843" s="0" t="s">
        <v>1246</v>
      </c>
      <c r="B14843" s="0" t="s">
        <v>98</v>
      </c>
      <c r="F14843" s="6" t="n">
        <f aca="false">Sens!F14841-Sens!F14837-Sens!F14842</f>
        <v>6.72062140904636</v>
      </c>
      <c r="G14843" s="6" t="n">
        <f aca="false">Sens!G14841-Sens!G14837-Sens!G14842</f>
        <v>6.31487743919059</v>
      </c>
      <c r="H14843" s="6" t="n">
        <f aca="false">Sens!H14841-Sens!H14837-Sens!H14842</f>
        <v>6.30371125803333</v>
      </c>
      <c r="I14843" s="6" t="n">
        <f aca="false">Sens!I14841-Sens!I14837-Sens!I14842</f>
        <v>6.35007141935025</v>
      </c>
      <c r="J14843" s="6" t="n">
        <f aca="false">Sens!J14841-Sens!J14837-Sens!J14842</f>
        <v>6.44956543659808</v>
      </c>
      <c r="K14843" s="6" t="n">
        <f aca="false">Sens!K14841-Sens!K14837-Sens!K14842</f>
        <v>6.597037617813</v>
      </c>
    </row>
    <row r="14844" customFormat="false" ht="17.15" hidden="false" customHeight="false" outlineLevel="0" collapsed="false">
      <c r="A14844" s="0" t="s">
        <v>1247</v>
      </c>
      <c r="B14844" s="0" t="s">
        <v>98</v>
      </c>
      <c r="F14844" s="6" t="n">
        <f aca="false">Sens!F14838-tax_f*(Sens!F14838-Thesis!F43)-Thesis!F40</f>
        <v>-125.235434701028</v>
      </c>
      <c r="G14844" s="6" t="n">
        <f aca="false">Sens!G14838-tax_f*(Sens!G14838-Thesis!G43)-Thesis!G40</f>
        <v>-106.928508113935</v>
      </c>
      <c r="H14844" s="6" t="n">
        <f aca="false">Sens!H14838-tax_f*(Sens!H14838-Thesis!H43)-Thesis!H40</f>
        <v>-63.2919599603405</v>
      </c>
      <c r="I14844" s="6" t="n">
        <f aca="false">Sens!I14838-tax_f*(Sens!I14838-Thesis!I43)-Thesis!I40</f>
        <v>3.94121196634245</v>
      </c>
      <c r="J14844" s="6" t="n">
        <f aca="false">Sens!J14838-tax_f*(Sens!J14838-Thesis!J43)-Thesis!J40</f>
        <v>71.0786869547042</v>
      </c>
      <c r="K14844" s="6" t="n">
        <f aca="false">Sens!K14838-tax_f*(Sens!K14838-Thesis!K43)-Thesis!K40</f>
        <v>97.5865911685559</v>
      </c>
    </row>
    <row r="14845" customFormat="false" ht="17.15" hidden="false" customHeight="false" outlineLevel="0" collapsed="false">
      <c r="A14845" s="0" t="s">
        <v>1248</v>
      </c>
      <c r="B14845" s="0" t="s">
        <v>98</v>
      </c>
      <c r="G14845" s="6" t="n">
        <f aca="false">Sens!G14844/(1+wacc)^(Sens!G14815-Sens!F14816)</f>
        <v>-101.81651667568</v>
      </c>
      <c r="H14845" s="6" t="n">
        <f aca="false">Sens!H14844/(1+wacc)^(Sens!H14815-Sens!F14816)</f>
        <v>-54.6415143556151</v>
      </c>
      <c r="I14845" s="6" t="n">
        <f aca="false">Sens!I14844/(1+wacc)^(Sens!I14815-Sens!F14816)</f>
        <v>3.08498765169516</v>
      </c>
      <c r="J14845" s="6" t="n">
        <f aca="false">Sens!J14844/(1+wacc)^(Sens!J14815-Sens!F14816)</f>
        <v>50.4443451596971</v>
      </c>
      <c r="K14845" s="6" t="n">
        <f aca="false">Sens!K14844/(1+wacc)^(Sens!K14815-Sens!F14816)</f>
        <v>62.7932114544856</v>
      </c>
      <c r="L14845" s="1" t="s">
        <v>1249</v>
      </c>
    </row>
    <row r="14846" customFormat="false" ht="17.15" hidden="false" customHeight="false" outlineLevel="0" collapsed="false">
      <c r="A14846" s="0" t="s">
        <v>1250</v>
      </c>
      <c r="B14846" s="0" t="s">
        <v>98</v>
      </c>
      <c r="C14846" s="6" t="n">
        <f aca="false">(Sens!K14838-Thesis!K43)*(1-tax_f)*(1+g_tv)*(1-g_tv/(wacc+ronic_prem_hi))/(wacc-g_tv)/(1+wacc)^(Sens!K14816-Sens!F14816)</f>
        <v>511.462005477373</v>
      </c>
    </row>
    <row r="14847" customFormat="false" ht="17.15" hidden="false" customHeight="false" outlineLevel="0" collapsed="false">
      <c r="A14847" s="1" t="s">
        <v>1251</v>
      </c>
      <c r="B14847" s="0" t="s">
        <v>98</v>
      </c>
      <c r="C14847" s="6" t="n">
        <f aca="false">(SUM(Sens!G14845:K14845)+Sens!$C$14846)*(1+wacc)^(t_roll-Sens!F14816)</f>
        <v>486.886432491828</v>
      </c>
      <c r="L14847" s="12" t="s">
        <v>1252</v>
      </c>
    </row>
    <row r="14848" customFormat="false" ht="17.15" hidden="false" customHeight="false" outlineLevel="0" collapsed="false">
      <c r="A14848" s="1" t="s">
        <v>1253</v>
      </c>
      <c r="B14848" s="0" t="s">
        <v>98</v>
      </c>
      <c r="C14848" s="6" t="n">
        <f aca="false">(w_ntm28*Thesis!G31+(1-w_ntm28)*Thesis!H31)*m_ai</f>
        <v>563.316843258668</v>
      </c>
    </row>
    <row r="14849" customFormat="false" ht="17.15" hidden="false" customHeight="false" outlineLevel="0" collapsed="false">
      <c r="A14849" s="1" t="s">
        <v>1254</v>
      </c>
      <c r="B14849" s="0" t="s">
        <v>98</v>
      </c>
      <c r="C14849" s="6" t="n">
        <f aca="false">(w_ntm28*Sens!G14840+(1-w_ntm28)*Sens!H14840)*m_cloud</f>
        <v>1085.17964696599</v>
      </c>
    </row>
    <row r="14850" customFormat="false" ht="17.15" hidden="false" customHeight="false" outlineLevel="0" collapsed="false">
      <c r="A14850" s="1" t="s">
        <v>1255</v>
      </c>
      <c r="B14850" s="0" t="s">
        <v>98</v>
      </c>
      <c r="C14850" s="6" t="n">
        <f aca="false">(w_ntm28*Sens!G14833+(1-w_ntm28)*Sens!H14833)*m_sw</f>
        <v>1120.47763155275</v>
      </c>
    </row>
    <row r="14851" customFormat="false" ht="17.15" hidden="false" customHeight="false" outlineLevel="0" collapsed="false">
      <c r="A14851" s="1" t="s">
        <v>1256</v>
      </c>
      <c r="B14851" s="0" t="s">
        <v>98</v>
      </c>
      <c r="C14851" s="6" t="n">
        <f aca="false">(w_ntm28*Sens!G14834+(1-w_ntm28)*Sens!H14834)*m_sw</f>
        <v>372.68398809041</v>
      </c>
    </row>
    <row r="14852" customFormat="false" ht="17.15" hidden="false" customHeight="false" outlineLevel="0" collapsed="false">
      <c r="A14852" s="1" t="s">
        <v>1257</v>
      </c>
      <c r="B14852" s="0" t="s">
        <v>98</v>
      </c>
      <c r="C14852" s="6" t="n">
        <f aca="false">(w_ntm28*Sens!G14835+(1-w_ntm28)*Sens!H14835)*m_sw</f>
        <v>108.992632332144</v>
      </c>
    </row>
    <row r="14853" customFormat="false" ht="17.15" hidden="false" customHeight="false" outlineLevel="0" collapsed="false">
      <c r="A14853" s="1" t="s">
        <v>1258</v>
      </c>
      <c r="B14853" s="0" t="s">
        <v>98</v>
      </c>
      <c r="C14853" s="6" t="n">
        <f aca="false">(w_ntm28*Sens!G14836+(1-w_ntm28)*Sens!H14836)*m_sw</f>
        <v>41.4362652527414</v>
      </c>
    </row>
    <row r="14854" customFormat="false" ht="17.15" hidden="false" customHeight="false" outlineLevel="0" collapsed="false">
      <c r="A14854" s="1" t="s">
        <v>1259</v>
      </c>
      <c r="B14854" s="0" t="s">
        <v>98</v>
      </c>
      <c r="C14854" s="6" t="n">
        <f aca="false">(w_ntm28*Sens!G14837+(1-w_ntm28)*Sens!H14837)*m_ads</f>
        <v>114.891070326937</v>
      </c>
    </row>
    <row r="14855" customFormat="false" ht="17.15" hidden="false" customHeight="false" outlineLevel="0" collapsed="false">
      <c r="A14855" s="1" t="s">
        <v>1260</v>
      </c>
      <c r="B14855" s="0" t="s">
        <v>98</v>
      </c>
      <c r="C14855" s="6" t="n">
        <f aca="false">(w_ntm28*Sens!G14842+(1-w_ntm28)*Sens!H14842)*m_game</f>
        <v>98.505199156718</v>
      </c>
    </row>
    <row r="14856" customFormat="false" ht="17.15" hidden="false" customHeight="false" outlineLevel="0" collapsed="false">
      <c r="A14856" s="1" t="s">
        <v>1261</v>
      </c>
      <c r="B14856" s="0" t="s">
        <v>98</v>
      </c>
      <c r="C14856" s="6" t="n">
        <f aca="false">(w_ntm28*Sens!G14843+(1-w_ntm28)*Sens!H14843)*m_pc</f>
        <v>91.3231561150564</v>
      </c>
    </row>
    <row r="14857" customFormat="false" ht="17.15" hidden="false" customHeight="false" outlineLevel="0" collapsed="false">
      <c r="A14857" s="1" t="s">
        <v>1262</v>
      </c>
      <c r="B14857" s="0" t="s">
        <v>98</v>
      </c>
      <c r="C14857" s="6" t="n">
        <f aca="false">Sens!$C$14847+Sens!$C$14849+Sens!$C$14850+Sens!$C$14851+Sens!$C$14852+Sens!$C$14853+Sens!$C$14854+Sens!$C$14855+Sens!$C$14856</f>
        <v>3520.37602228457</v>
      </c>
    </row>
    <row r="14858" customFormat="false" ht="17.15" hidden="false" customHeight="false" outlineLevel="0" collapsed="false">
      <c r="A14858" s="1" t="s">
        <v>1263</v>
      </c>
      <c r="B14858" s="0" t="s">
        <v>98</v>
      </c>
      <c r="C14858" s="6" t="n">
        <f aca="false">(Sens!G14819-Sens!G14844)*t_stub</f>
        <v>48.2832931160316</v>
      </c>
      <c r="L14858" s="1" t="s">
        <v>1264</v>
      </c>
    </row>
    <row r="14859" customFormat="false" ht="17.15" hidden="false" customHeight="false" outlineLevel="0" collapsed="false">
      <c r="A14859" s="1" t="s">
        <v>1173</v>
      </c>
      <c r="B14859" s="0" t="s">
        <v>98</v>
      </c>
      <c r="C14859" s="6" t="n">
        <f aca="false">CF!F39+oai_v-CF!F28+Sens!$C$14858</f>
        <v>162.511563116032</v>
      </c>
      <c r="L14859" s="1" t="s">
        <v>1265</v>
      </c>
    </row>
    <row r="14860" customFormat="false" ht="17.15" hidden="false" customHeight="false" outlineLevel="0" collapsed="false">
      <c r="A14860" s="1" t="s">
        <v>1266</v>
      </c>
      <c r="B14860" s="0" t="s">
        <v>75</v>
      </c>
      <c r="C14860" s="5" t="n">
        <f aca="false">(Sens!$C$14857+Sens!$C$14859)/(CF!F41+dil_gap)-CF!G31*roll_div_q/q_per_yr</f>
        <v>490.650366892927</v>
      </c>
      <c r="L14860" s="1" t="s">
        <v>1267</v>
      </c>
    </row>
    <row r="14861" customFormat="false" ht="17.15" hidden="false" customHeight="false" outlineLevel="0" collapsed="false">
      <c r="A14861" s="1" t="s">
        <v>1268</v>
      </c>
      <c r="B14861" s="0" t="s">
        <v>75</v>
      </c>
      <c r="C14861" s="5" t="n">
        <f aca="false">w_dcf*Sens!$C$14831+(1-w_dcf)*Sens!$C$14860</f>
        <v>445.001173245378</v>
      </c>
    </row>
    <row r="14862" customFormat="false" ht="17.15" hidden="false" customHeight="false" outlineLevel="0" collapsed="false">
      <c r="A14862" s="3" t="s">
        <v>1979</v>
      </c>
    </row>
    <row r="14863" customFormat="false" ht="15" hidden="false" customHeight="false" outlineLevel="0" collapsed="false">
      <c r="A14863" s="4" t="s">
        <v>43</v>
      </c>
      <c r="B14863" s="4" t="s">
        <v>65</v>
      </c>
      <c r="C14863" s="23" t="s">
        <v>942</v>
      </c>
      <c r="D14863" s="23" t="s">
        <v>943</v>
      </c>
      <c r="E14863" s="23" t="s">
        <v>944</v>
      </c>
      <c r="F14863" s="23" t="s">
        <v>945</v>
      </c>
      <c r="G14863" s="23" t="s">
        <v>946</v>
      </c>
      <c r="H14863" s="23" t="s">
        <v>947</v>
      </c>
      <c r="I14863" s="23" t="s">
        <v>948</v>
      </c>
      <c r="J14863" s="23" t="s">
        <v>949</v>
      </c>
      <c r="K14863" s="23" t="s">
        <v>950</v>
      </c>
      <c r="L14863" s="4" t="s">
        <v>47</v>
      </c>
    </row>
    <row r="14864" customFormat="false" ht="17.15" hidden="false" customHeight="false" outlineLevel="0" collapsed="false">
      <c r="A14864" s="1" t="s">
        <v>1216</v>
      </c>
      <c r="B14864" s="1" t="s">
        <v>279</v>
      </c>
      <c r="F14864" s="8" t="n">
        <f aca="false">(1-v_off)*mid_yr</f>
        <v>0.373972602739726</v>
      </c>
      <c r="G14864" s="8" t="n">
        <f aca="false">Thesis!G58-base_fy-mid_yr-v_off</f>
        <v>1.24794520547945</v>
      </c>
      <c r="H14864" s="8" t="n">
        <f aca="false">Thesis!H58-base_fy-mid_yr-v_off</f>
        <v>2.24794520547945</v>
      </c>
      <c r="I14864" s="8" t="n">
        <f aca="false">Thesis!I58-base_fy-mid_yr-v_off</f>
        <v>3.24794520547945</v>
      </c>
      <c r="J14864" s="8" t="n">
        <f aca="false">Thesis!J58-base_fy-mid_yr-v_off</f>
        <v>4.24794520547945</v>
      </c>
      <c r="K14864" s="8" t="n">
        <f aca="false">Thesis!K58-base_fy-mid_yr-v_off</f>
        <v>5.24794520547945</v>
      </c>
      <c r="L14864" s="12" t="s">
        <v>1217</v>
      </c>
    </row>
    <row r="14865" customFormat="false" ht="15" hidden="false" customHeight="false" outlineLevel="0" collapsed="false">
      <c r="A14865" s="1" t="s">
        <v>1218</v>
      </c>
      <c r="B14865" s="1" t="s">
        <v>279</v>
      </c>
      <c r="F14865" s="8" t="n">
        <f aca="false">Thesis!F58-base_fy-v_off</f>
        <v>0.747945205479452</v>
      </c>
      <c r="G14865" s="8" t="n">
        <f aca="false">Thesis!G58-base_fy-v_off</f>
        <v>1.74794520547945</v>
      </c>
      <c r="H14865" s="8" t="n">
        <f aca="false">Thesis!H58-base_fy-v_off</f>
        <v>2.74794520547945</v>
      </c>
      <c r="I14865" s="8" t="n">
        <f aca="false">Thesis!I58-base_fy-v_off</f>
        <v>3.74794520547945</v>
      </c>
      <c r="J14865" s="8" t="n">
        <f aca="false">Thesis!J58-base_fy-v_off</f>
        <v>4.74794520547945</v>
      </c>
      <c r="K14865" s="8" t="n">
        <f aca="false">Thesis!K58-base_fy-v_off</f>
        <v>5.74794520547945</v>
      </c>
    </row>
    <row r="14866" customFormat="false" ht="15" hidden="false" customHeight="false" outlineLevel="0" collapsed="false">
      <c r="A14866" s="1" t="s">
        <v>1219</v>
      </c>
      <c r="B14866" s="0" t="s">
        <v>229</v>
      </c>
      <c r="F14866" s="15" t="n">
        <f aca="false">1/(1+wacc)^Sens!F14864</f>
        <v>0.964022703286649</v>
      </c>
      <c r="G14866" s="15" t="n">
        <f aca="false">1/(1+wacc)^Sens!G14864</f>
        <v>0.884910302296739</v>
      </c>
      <c r="H14866" s="15" t="n">
        <f aca="false">1/(1+wacc)^Sens!H14864</f>
        <v>0.802322009770358</v>
      </c>
      <c r="I14866" s="15" t="n">
        <f aca="false">1/(1+wacc)^Sens!I14864</f>
        <v>0.727441646561469</v>
      </c>
      <c r="J14866" s="15" t="n">
        <f aca="false">1/(1+wacc)^Sens!J14864</f>
        <v>0.659549834988973</v>
      </c>
      <c r="K14866" s="15" t="n">
        <f aca="false">1/(1+wacc)^Sens!K14864</f>
        <v>0.597994336576966</v>
      </c>
    </row>
    <row r="14867" customFormat="false" ht="17.15" hidden="false" customHeight="false" outlineLevel="0" collapsed="false">
      <c r="A14867" s="1" t="s">
        <v>1220</v>
      </c>
      <c r="B14867" s="0" t="s">
        <v>98</v>
      </c>
      <c r="F14867" s="6" t="n">
        <f aca="false">Q!$I$35-Q!$I$39-Q!$I$43</f>
        <v>9.666</v>
      </c>
      <c r="L14867" s="12" t="s">
        <v>1221</v>
      </c>
    </row>
    <row r="14868" customFormat="false" ht="17.15" hidden="false" customHeight="false" outlineLevel="0" collapsed="false">
      <c r="A14868" s="1" t="s">
        <v>1222</v>
      </c>
      <c r="B14868" s="0" t="s">
        <v>98</v>
      </c>
      <c r="F14868" s="6" t="n">
        <f aca="false">CF!F55-CF!F52-CF!F59+Thesis!F99*(1-tax_f)*(1-v_off)-Sens!F14867</f>
        <v>-3.35959137570949</v>
      </c>
      <c r="G14868" s="6" t="n">
        <f aca="false">CF!G55-CF!G52-CF!G59+Thesis!G99*(1-tax_f)</f>
        <v>29.8084555066036</v>
      </c>
      <c r="H14868" s="6" t="n">
        <f aca="false">CF!H55-CF!H52-CF!H59+Thesis!H99*(1-tax_f)</f>
        <v>79.3231801478051</v>
      </c>
      <c r="I14868" s="6" t="n">
        <f aca="false">CF!I55-CF!I52-CF!I59+Thesis!I99*(1-tax_f)</f>
        <v>157.29132812061</v>
      </c>
      <c r="J14868" s="6" t="n">
        <f aca="false">CF!J55-CF!J52-CF!J59+Thesis!J99*(1-tax_f)</f>
        <v>235.537601843622</v>
      </c>
      <c r="K14868" s="6" t="n">
        <f aca="false">CF!K55-CF!K52-CF!K59+Thesis!K99*(1-tax_f)</f>
        <v>273.705067207806</v>
      </c>
      <c r="L14868" s="1" t="s">
        <v>1223</v>
      </c>
    </row>
    <row r="14869" customFormat="false" ht="15" hidden="false" customHeight="false" outlineLevel="0" collapsed="false">
      <c r="A14869" s="1" t="s">
        <v>1224</v>
      </c>
      <c r="B14869" s="0" t="s">
        <v>98</v>
      </c>
      <c r="F14869" s="6" t="n">
        <f aca="false">Sens!F14868*Sens!F14866</f>
        <v>-3.23872235994998</v>
      </c>
      <c r="G14869" s="6" t="n">
        <f aca="false">Sens!G14868*Sens!G14866</f>
        <v>26.3778093733475</v>
      </c>
      <c r="H14869" s="6" t="n">
        <f aca="false">Sens!H14868*Sens!H14866</f>
        <v>63.6427333175632</v>
      </c>
      <c r="I14869" s="6" t="n">
        <f aca="false">Sens!I14868*Sens!I14866</f>
        <v>114.420262717897</v>
      </c>
      <c r="J14869" s="6" t="n">
        <f aca="false">Sens!J14868*Sens!J14866</f>
        <v>155.348786429659</v>
      </c>
      <c r="K14869" s="6" t="n">
        <f aca="false">Sens!K14868*Sens!K14866</f>
        <v>163.674080082686</v>
      </c>
    </row>
    <row r="14870" customFormat="false" ht="17.15" hidden="false" customHeight="false" outlineLevel="0" collapsed="false">
      <c r="A14870" s="1" t="s">
        <v>1225</v>
      </c>
      <c r="B14870" s="0" t="s">
        <v>98</v>
      </c>
      <c r="C14870" s="6" t="n">
        <f aca="false">SUM(Sens!F14869:K14869)</f>
        <v>520.224949561203</v>
      </c>
    </row>
    <row r="14871" customFormat="false" ht="17.15" hidden="false" customHeight="false" outlineLevel="0" collapsed="false">
      <c r="A14871" s="1" t="s">
        <v>1226</v>
      </c>
      <c r="B14871" s="0" t="s">
        <v>98</v>
      </c>
      <c r="C14871" s="6" t="n">
        <f aca="false">PL!K78*(1+g_tv)*(1-tax_f)</f>
        <v>284.979534119394</v>
      </c>
    </row>
    <row r="14872" customFormat="false" ht="17.15" hidden="false" customHeight="false" outlineLevel="0" collapsed="false">
      <c r="A14872" s="1" t="s">
        <v>1227</v>
      </c>
      <c r="B14872" s="0" t="s">
        <v>98</v>
      </c>
      <c r="C14872" s="6" t="n">
        <f aca="false">Sens!$C$14871*(1-g_tv/(wacc+ronic_prem_hi))</f>
        <v>229.078026372153</v>
      </c>
    </row>
    <row r="14873" customFormat="false" ht="17.15" hidden="false" customHeight="false" outlineLevel="0" collapsed="false">
      <c r="A14873" s="1" t="s">
        <v>1228</v>
      </c>
      <c r="B14873" s="0" t="s">
        <v>98</v>
      </c>
      <c r="C14873" s="6" t="n">
        <f aca="false">Sens!$C$14872/(wacc-g_tv)</f>
        <v>3140.78329412216</v>
      </c>
    </row>
    <row r="14874" customFormat="false" ht="15" hidden="false" customHeight="false" outlineLevel="0" collapsed="false">
      <c r="A14874" s="1" t="s">
        <v>1229</v>
      </c>
      <c r="B14874" s="0" t="s">
        <v>98</v>
      </c>
      <c r="C14874" s="6" t="n">
        <f aca="false">Sens!$C$14873/(1+wacc)^Sens!K14865</f>
        <v>1788.37986107018</v>
      </c>
    </row>
    <row r="14875" customFormat="false" ht="17.15" hidden="false" customHeight="false" outlineLevel="0" collapsed="false">
      <c r="A14875" s="0" t="s">
        <v>1230</v>
      </c>
      <c r="B14875" s="0" t="s">
        <v>98</v>
      </c>
      <c r="C14875" s="6" t="n">
        <f aca="false">Sens!$C$14870+Sens!$C$14874</f>
        <v>2308.60481063138</v>
      </c>
    </row>
    <row r="14876" customFormat="false" ht="15" hidden="false" customHeight="false" outlineLevel="0" collapsed="false">
      <c r="A14876" s="1" t="s">
        <v>1145</v>
      </c>
      <c r="B14876" s="0" t="s">
        <v>168</v>
      </c>
      <c r="C14876" s="7" t="n">
        <f aca="false">Sens!$C$14874/Sens!$C$14875</f>
        <v>0.774658292677244</v>
      </c>
    </row>
    <row r="14877" customFormat="false" ht="17.15" hidden="false" customHeight="false" outlineLevel="0" collapsed="false">
      <c r="A14877" s="1" t="s">
        <v>1231</v>
      </c>
      <c r="B14877" s="0" t="s">
        <v>98</v>
      </c>
      <c r="C14877" s="6" t="n">
        <f aca="false">Sens!$C$14875+cash_val-debt_val-fl_val+oai_v</f>
        <v>2424.45581063138</v>
      </c>
    </row>
    <row r="14878" customFormat="false" ht="17.15" hidden="false" customHeight="false" outlineLevel="0" collapsed="false">
      <c r="A14878" s="0" t="s">
        <v>1153</v>
      </c>
      <c r="B14878" s="0" t="s">
        <v>75</v>
      </c>
      <c r="C14878" s="5" t="n">
        <f aca="false">Sens!$C$14877/shd_val</f>
        <v>325.605131699084</v>
      </c>
    </row>
    <row r="14879" customFormat="false" ht="15" hidden="false" customHeight="false" outlineLevel="0" collapsed="false">
      <c r="A14879" s="1" t="s">
        <v>1232</v>
      </c>
      <c r="B14879" s="0" t="s">
        <v>75</v>
      </c>
      <c r="C14879" s="8" t="n">
        <f aca="false">div_rem27+CF!G63*roll_div_q/q_per_yr</f>
        <v>3.9795</v>
      </c>
    </row>
    <row r="14880" customFormat="false" ht="17.15" hidden="false" customHeight="false" outlineLevel="0" collapsed="false">
      <c r="A14880" s="0" t="s">
        <v>1233</v>
      </c>
      <c r="B14880" s="0" t="s">
        <v>75</v>
      </c>
      <c r="C14880" s="5" t="n">
        <f aca="false">Sens!$C$14878*(1+wacc)^t_roll-Sens!$C$14879</f>
        <v>357.948776148123</v>
      </c>
    </row>
    <row r="14881" customFormat="false" ht="17.15" hidden="false" customHeight="false" outlineLevel="0" collapsed="false">
      <c r="A14881" s="1" t="s">
        <v>1234</v>
      </c>
      <c r="B14881" s="0" t="s">
        <v>168</v>
      </c>
      <c r="F14881" s="7" t="n">
        <f aca="false">CF!F49/(Seg!F56-Thesis!F77)</f>
        <v>0.0686195668908011</v>
      </c>
      <c r="G14881" s="7" t="n">
        <f aca="false">CF!G49/(Seg!G56-Thesis!G77)</f>
        <v>0.0658333569148391</v>
      </c>
      <c r="H14881" s="7" t="n">
        <f aca="false">CF!H49/(Seg!H56-Thesis!H77)</f>
        <v>0.0643895625218926</v>
      </c>
      <c r="I14881" s="7" t="n">
        <f aca="false">CF!I49/(Seg!I56-Thesis!I77)</f>
        <v>0.0641676618157989</v>
      </c>
      <c r="J14881" s="7" t="n">
        <f aca="false">CF!J49/(Seg!J56-Thesis!J77)</f>
        <v>0.0648858606572163</v>
      </c>
      <c r="K14881" s="7" t="n">
        <f aca="false">CF!K49/(Seg!K56-Thesis!K77)</f>
        <v>0.0661974425163768</v>
      </c>
    </row>
    <row r="14882" customFormat="false" ht="17.15" hidden="false" customHeight="false" outlineLevel="0" collapsed="false">
      <c r="A14882" s="0" t="s">
        <v>1235</v>
      </c>
      <c r="B14882" s="0" t="s">
        <v>98</v>
      </c>
      <c r="F14882" s="6" t="n">
        <f aca="false">Seg!F41*(al_m365+Sens!F14881+sbc_r)</f>
        <v>83.7205619248671</v>
      </c>
      <c r="G14882" s="6" t="n">
        <f aca="false">Seg!G41*(al_m365+Sens!G14881+sbc_r)</f>
        <v>96.1301303332381</v>
      </c>
      <c r="H14882" s="6" t="n">
        <f aca="false">Seg!H41*(al_m365+Sens!H14881+sbc_r)</f>
        <v>108.70354073822</v>
      </c>
      <c r="I14882" s="6" t="n">
        <f aca="false">Seg!I41*(al_m365+Sens!I14881+sbc_r)</f>
        <v>120.260101315626</v>
      </c>
      <c r="J14882" s="6" t="n">
        <f aca="false">Seg!J41*(al_m365+Sens!J14881+sbc_r)</f>
        <v>130.611904548619</v>
      </c>
      <c r="K14882" s="6" t="n">
        <f aca="false">Seg!K41*(al_m365+Sens!K14881+sbc_r)</f>
        <v>140.575094974638</v>
      </c>
      <c r="L14882" s="12" t="s">
        <v>1236</v>
      </c>
    </row>
    <row r="14883" customFormat="false" ht="17.15" hidden="false" customHeight="false" outlineLevel="0" collapsed="false">
      <c r="A14883" s="0" t="s">
        <v>1237</v>
      </c>
      <c r="B14883" s="0" t="s">
        <v>98</v>
      </c>
      <c r="F14883" s="6" t="n">
        <f aca="false">Seg!F42*(al_lic+Sens!F14881+sbc_r)</f>
        <v>32.8577657183496</v>
      </c>
      <c r="G14883" s="6" t="n">
        <f aca="false">Seg!G42*(al_lic+Sens!G14881+sbc_r)</f>
        <v>34.1376266324889</v>
      </c>
      <c r="H14883" s="6" t="n">
        <f aca="false">Seg!H42*(al_lic+Sens!H14881+sbc_r)</f>
        <v>35.3325744664128</v>
      </c>
      <c r="I14883" s="6" t="n">
        <f aca="false">Seg!I42*(al_lic+Sens!I14881+sbc_r)</f>
        <v>36.4244749008727</v>
      </c>
      <c r="J14883" s="6" t="n">
        <f aca="false">Seg!J42*(al_lic+Sens!J14881+sbc_r)</f>
        <v>37.3879406068527</v>
      </c>
      <c r="K14883" s="6" t="n">
        <f aca="false">Seg!K42*(al_lic+Sens!K14881+sbc_r)</f>
        <v>38.1943876078259</v>
      </c>
    </row>
    <row r="14884" customFormat="false" ht="17.15" hidden="false" customHeight="false" outlineLevel="0" collapsed="false">
      <c r="A14884" s="0" t="s">
        <v>1238</v>
      </c>
      <c r="B14884" s="0" t="s">
        <v>98</v>
      </c>
      <c r="F14884" s="6" t="n">
        <f aca="false">Seg!F44*(al_ind+Sens!F14881+sbc_r)</f>
        <v>9.06041701092022</v>
      </c>
      <c r="G14884" s="6" t="n">
        <f aca="false">Seg!G44*(al_ind+Sens!G14881+sbc_r)</f>
        <v>9.83619082712885</v>
      </c>
      <c r="H14884" s="6" t="n">
        <f aca="false">Seg!H44*(al_ind+Sens!H14881+sbc_r)</f>
        <v>10.6570160105312</v>
      </c>
      <c r="I14884" s="6" t="n">
        <f aca="false">Seg!I44*(al_ind+Sens!I14881+sbc_r)</f>
        <v>11.5198571637125</v>
      </c>
      <c r="J14884" s="6" t="n">
        <f aca="false">Seg!J44*(al_ind+Sens!J14881+sbc_r)</f>
        <v>12.4150086539206</v>
      </c>
      <c r="K14884" s="6" t="n">
        <f aca="false">Seg!K44*(al_ind+Sens!K14881+sbc_r)</f>
        <v>13.3273714589988</v>
      </c>
    </row>
    <row r="14885" customFormat="false" ht="17.15" hidden="false" customHeight="false" outlineLevel="0" collapsed="false">
      <c r="A14885" s="0" t="s">
        <v>1239</v>
      </c>
      <c r="B14885" s="0" t="s">
        <v>98</v>
      </c>
      <c r="F14885" s="6" t="n">
        <f aca="false">Seg!F46*(al_fro+Sens!F14881+sbc_r)</f>
        <v>3.55402950182022</v>
      </c>
      <c r="G14885" s="6" t="n">
        <f aca="false">Seg!G46*(al_fro+Sens!G14881+sbc_r)</f>
        <v>3.76361488926481</v>
      </c>
      <c r="H14885" s="6" t="n">
        <f aca="false">Seg!H46*(al_fro+Sens!H14881+sbc_r)</f>
        <v>4.00220968879544</v>
      </c>
      <c r="I14885" s="6" t="n">
        <f aca="false">Seg!I46*(al_fro+Sens!I14881+sbc_r)</f>
        <v>4.2725765173852</v>
      </c>
      <c r="J14885" s="6" t="n">
        <f aca="false">Seg!J46*(al_fro+Sens!J14881+sbc_r)</f>
        <v>4.57586224390293</v>
      </c>
      <c r="K14885" s="6" t="n">
        <f aca="false">Seg!K46*(al_fro+Sens!K14881+sbc_r)</f>
        <v>4.91213639633217</v>
      </c>
    </row>
    <row r="14886" customFormat="false" ht="17.15" hidden="false" customHeight="false" outlineLevel="0" collapsed="false">
      <c r="A14886" s="0" t="s">
        <v>1240</v>
      </c>
      <c r="B14886" s="0" t="s">
        <v>98</v>
      </c>
      <c r="F14886" s="6" t="n">
        <f aca="false">Seg!F49*(al_srch+Sens!F14881+sbc_r)</f>
        <v>11.1890902994147</v>
      </c>
      <c r="G14886" s="6" t="n">
        <f aca="false">Seg!G49*(al_srch+Sens!G14881+sbc_r)</f>
        <v>12.261738891803</v>
      </c>
      <c r="H14886" s="6" t="n">
        <f aca="false">Seg!H49*(al_srch+Sens!H14881+sbc_r)</f>
        <v>13.3794863429193</v>
      </c>
      <c r="I14886" s="6" t="n">
        <f aca="false">Seg!I49*(al_srch+Sens!I14881+sbc_r)</f>
        <v>14.5317114787784</v>
      </c>
      <c r="J14886" s="6" t="n">
        <f aca="false">Seg!J49*(al_srch+Sens!J14881+sbc_r)</f>
        <v>15.6984365817724</v>
      </c>
      <c r="K14886" s="6" t="n">
        <f aca="false">Seg!K49*(al_srch+Sens!K14881+sbc_r)</f>
        <v>16.8520942258664</v>
      </c>
    </row>
    <row r="14887" customFormat="false" ht="17.15" hidden="false" customHeight="false" outlineLevel="0" collapsed="false">
      <c r="A14887" s="0" t="s">
        <v>1241</v>
      </c>
      <c r="B14887" s="0" t="s">
        <v>98</v>
      </c>
      <c r="F14887" s="6" t="n">
        <f aca="false">Thesis!F83-Thesis!F84+Thesis!F99</f>
        <v>42.5431090240393</v>
      </c>
      <c r="G14887" s="6" t="n">
        <f aca="false">Thesis!G83-Thesis!G84+Thesis!G99</f>
        <v>81.4922561130847</v>
      </c>
      <c r="H14887" s="6" t="n">
        <f aca="false">Thesis!H83-Thesis!H84+Thesis!H99</f>
        <v>123.278266211349</v>
      </c>
      <c r="I14887" s="6" t="n">
        <f aca="false">Thesis!I83-Thesis!I84+Thesis!I99</f>
        <v>160.60594185192</v>
      </c>
      <c r="J14887" s="6" t="n">
        <f aca="false">Thesis!J83-Thesis!J84+Thesis!J99</f>
        <v>186.818741832633</v>
      </c>
      <c r="K14887" s="6" t="n">
        <f aca="false">Thesis!K83-Thesis!K84+Thesis!K99</f>
        <v>202.776422159652</v>
      </c>
    </row>
    <row r="14888" customFormat="false" ht="17.15" hidden="false" customHeight="false" outlineLevel="0" collapsed="false">
      <c r="A14888" s="0" t="s">
        <v>1242</v>
      </c>
      <c r="B14888" s="0" t="s">
        <v>98</v>
      </c>
      <c r="F14888" s="6" t="n">
        <f aca="false">PL!F71+Thesis!F99+Thesis!F95+Sens!F14881*(Seg!F48-Thesis!F77)+sbc_r*Seg!F48</f>
        <v>238.090727427296</v>
      </c>
      <c r="G14888" s="6" t="n">
        <f aca="false">PL!G71+Thesis!G99+Thesis!G95+Sens!G14881*(Seg!G48-Thesis!G77)+sbc_r*Seg!G48</f>
        <v>299.90836088563</v>
      </c>
      <c r="H14888" s="6" t="n">
        <f aca="false">PL!H71+Thesis!H99+Thesis!H95+Sens!H14881*(Seg!H48-Thesis!H77)+sbc_r*Seg!H48</f>
        <v>369.457709442386</v>
      </c>
      <c r="I14888" s="6" t="n">
        <f aca="false">PL!I71+Thesis!I99+Thesis!I95+Sens!I14881*(Seg!I48-Thesis!I77)+sbc_r*Seg!I48</f>
        <v>433.16585128823</v>
      </c>
      <c r="J14888" s="6" t="n">
        <f aca="false">PL!J71+Thesis!J99+Thesis!J95+Sens!J14881*(Seg!J48-Thesis!J77)+sbc_r*Seg!J48</f>
        <v>483.301303131191</v>
      </c>
      <c r="K14888" s="6" t="n">
        <f aca="false">PL!K71+Thesis!K99+Thesis!K95+Sens!K14881*(Seg!K48-Thesis!K77)+sbc_r*Seg!K48</f>
        <v>520.789002205336</v>
      </c>
    </row>
    <row r="14889" customFormat="false" ht="17.15" hidden="false" customHeight="false" outlineLevel="0" collapsed="false">
      <c r="A14889" s="0" t="s">
        <v>1243</v>
      </c>
      <c r="B14889" s="0" t="s">
        <v>98</v>
      </c>
      <c r="F14889" s="6" t="n">
        <f aca="false">Sens!F14888-Sens!F14882-Sens!F14883-Sens!F14884-Sens!F14885-Sens!F14887</f>
        <v>66.3548442472996</v>
      </c>
      <c r="G14889" s="6" t="n">
        <f aca="false">Sens!G14888-Sens!G14882-Sens!G14883-Sens!G14884-Sens!G14885-Sens!G14887</f>
        <v>74.548542090425</v>
      </c>
      <c r="H14889" s="6" t="n">
        <f aca="false">Sens!H14888-Sens!H14882-Sens!H14883-Sens!H14884-Sens!H14885-Sens!H14887</f>
        <v>87.4841023270775</v>
      </c>
      <c r="I14889" s="6" t="n">
        <f aca="false">Sens!I14888-Sens!I14882-Sens!I14883-Sens!I14884-Sens!I14885-Sens!I14887</f>
        <v>100.082899538713</v>
      </c>
      <c r="J14889" s="6" t="n">
        <f aca="false">Sens!J14888-Sens!J14882-Sens!J14883-Sens!J14884-Sens!J14885-Sens!J14887</f>
        <v>111.491845245262</v>
      </c>
      <c r="K14889" s="6" t="n">
        <f aca="false">Sens!K14888-Sens!K14882-Sens!K14883-Sens!K14884-Sens!K14885-Sens!K14887</f>
        <v>121.003589607889</v>
      </c>
    </row>
    <row r="14890" customFormat="false" ht="17.15" hidden="false" customHeight="false" outlineLevel="0" collapsed="false">
      <c r="A14890" s="0" t="s">
        <v>1244</v>
      </c>
      <c r="B14890" s="0" t="s">
        <v>98</v>
      </c>
      <c r="F14890" s="6" t="n">
        <f aca="false">PL!F73+Sens!F14881*Seg!F55+sbc_r*Seg!F55</f>
        <v>26.6336365855879</v>
      </c>
      <c r="G14890" s="6" t="n">
        <f aca="false">PL!G73+Sens!G14881*Seg!G55+sbc_r*Seg!G55</f>
        <v>26.4720859498625</v>
      </c>
      <c r="H14890" s="6" t="n">
        <f aca="false">PL!H73+Sens!H14881*Seg!H55+sbc_r*Seg!H55</f>
        <v>27.346793021284</v>
      </c>
      <c r="I14890" s="6" t="n">
        <f aca="false">PL!I73+Sens!I14881*Seg!I55+sbc_r*Seg!I55</f>
        <v>28.4574657863154</v>
      </c>
      <c r="J14890" s="6" t="n">
        <f aca="false">PL!J73+Sens!J14881*Seg!J55+sbc_r*Seg!J55</f>
        <v>29.7689890546037</v>
      </c>
      <c r="K14890" s="6" t="n">
        <f aca="false">PL!K73+Sens!K14881*Seg!K55+sbc_r*Seg!K55</f>
        <v>31.2443947307494</v>
      </c>
    </row>
    <row r="14891" customFormat="false" ht="17.15" hidden="false" customHeight="false" outlineLevel="0" collapsed="false">
      <c r="A14891" s="0" t="s">
        <v>1245</v>
      </c>
      <c r="B14891" s="0" t="s">
        <v>98</v>
      </c>
      <c r="F14891" s="6" t="n">
        <f aca="false">(Sens!F14890-Sens!F14886)*Seg!F51/(Seg!F51+Seg!F53)</f>
        <v>8.72285608232241</v>
      </c>
      <c r="G14891" s="6" t="n">
        <f aca="false">(Sens!G14890-Sens!G14886)*Seg!G51/(Seg!G51+Seg!G53)</f>
        <v>7.88786455444355</v>
      </c>
      <c r="H14891" s="6" t="n">
        <f aca="false">(Sens!H14890-Sens!H14886)*Seg!H51/(Seg!H51+Seg!H53)</f>
        <v>7.65195986819674</v>
      </c>
      <c r="I14891" s="6" t="n">
        <f aca="false">(Sens!I14890-Sens!I14886)*Seg!I51/(Seg!I51+Seg!I53)</f>
        <v>7.56260440676676</v>
      </c>
      <c r="J14891" s="6" t="n">
        <f aca="false">(Sens!J14890-Sens!J14886)*Seg!J51/(Seg!J51+Seg!J53)</f>
        <v>7.60790100885945</v>
      </c>
      <c r="K14891" s="6" t="n">
        <f aca="false">(Sens!K14890-Sens!K14886)*Seg!K51/(Seg!K51+Seg!K53)</f>
        <v>7.78186910160995</v>
      </c>
    </row>
    <row r="14892" customFormat="false" ht="17.15" hidden="false" customHeight="false" outlineLevel="0" collapsed="false">
      <c r="A14892" s="0" t="s">
        <v>1246</v>
      </c>
      <c r="B14892" s="0" t="s">
        <v>98</v>
      </c>
      <c r="F14892" s="6" t="n">
        <f aca="false">Sens!F14890-Sens!F14886-Sens!F14891</f>
        <v>6.72169020385088</v>
      </c>
      <c r="G14892" s="6" t="n">
        <f aca="false">Sens!G14890-Sens!G14886-Sens!G14891</f>
        <v>6.322482503616</v>
      </c>
      <c r="H14892" s="6" t="n">
        <f aca="false">Sens!H14890-Sens!H14886-Sens!H14891</f>
        <v>6.315346810168</v>
      </c>
      <c r="I14892" s="6" t="n">
        <f aca="false">Sens!I14890-Sens!I14886-Sens!I14891</f>
        <v>6.36314990077033</v>
      </c>
      <c r="J14892" s="6" t="n">
        <f aca="false">Sens!J14890-Sens!J14886-Sens!J14891</f>
        <v>6.46265146397189</v>
      </c>
      <c r="K14892" s="6" t="n">
        <f aca="false">Sens!K14890-Sens!K14886-Sens!K14891</f>
        <v>6.61043140327304</v>
      </c>
    </row>
    <row r="14893" customFormat="false" ht="17.15" hidden="false" customHeight="false" outlineLevel="0" collapsed="false">
      <c r="A14893" s="0" t="s">
        <v>1247</v>
      </c>
      <c r="B14893" s="0" t="s">
        <v>98</v>
      </c>
      <c r="F14893" s="6" t="n">
        <f aca="false">Sens!F14887-tax_f*(Sens!F14887-Thesis!F95)-Thesis!F92</f>
        <v>-127.503553927218</v>
      </c>
      <c r="G14893" s="6" t="n">
        <f aca="false">Sens!G14887-tax_f*(Sens!G14887-Thesis!G95)-Thesis!G92</f>
        <v>-114.603772628121</v>
      </c>
      <c r="H14893" s="6" t="n">
        <f aca="false">Sens!H14887-tax_f*(Sens!H14887-Thesis!H95)-Thesis!H92</f>
        <v>-80.3633729631438</v>
      </c>
      <c r="I14893" s="6" t="n">
        <f aca="false">Sens!I14887-tax_f*(Sens!I14887-Thesis!I95)-Thesis!I92</f>
        <v>-17.2838782011649</v>
      </c>
      <c r="J14893" s="6" t="n">
        <f aca="false">Sens!J14887-tax_f*(Sens!J14887-Thesis!J95)-Thesis!J92</f>
        <v>46.9281968800854</v>
      </c>
      <c r="K14893" s="6" t="n">
        <f aca="false">Sens!K14887-tax_f*(Sens!K14887-Thesis!K95)-Thesis!K92</f>
        <v>71.8608185731755</v>
      </c>
    </row>
    <row r="14894" customFormat="false" ht="17.15" hidden="false" customHeight="false" outlineLevel="0" collapsed="false">
      <c r="A14894" s="0" t="s">
        <v>1248</v>
      </c>
      <c r="B14894" s="0" t="s">
        <v>98</v>
      </c>
      <c r="G14894" s="6" t="n">
        <f aca="false">Sens!G14893/(1+wacc)^(Sens!G14864-Sens!F14865)</f>
        <v>-109.124845494465</v>
      </c>
      <c r="H14894" s="6" t="n">
        <f aca="false">Sens!H14893/(1+wacc)^(Sens!H14864-Sens!F14865)</f>
        <v>-69.3796874071025</v>
      </c>
      <c r="I14894" s="6" t="n">
        <f aca="false">Sens!I14893/(1+wacc)^(Sens!I14864-Sens!F14865)</f>
        <v>-13.5289731380471</v>
      </c>
      <c r="J14894" s="6" t="n">
        <f aca="false">Sens!J14893/(1+wacc)^(Sens!J14864-Sens!F14865)</f>
        <v>33.3048099587126</v>
      </c>
      <c r="K14894" s="6" t="n">
        <f aca="false">Sens!K14893/(1+wacc)^(Sens!K14864-Sens!F14865)</f>
        <v>46.2396679904913</v>
      </c>
      <c r="L14894" s="1" t="s">
        <v>1249</v>
      </c>
    </row>
    <row r="14895" customFormat="false" ht="17.15" hidden="false" customHeight="false" outlineLevel="0" collapsed="false">
      <c r="A14895" s="0" t="s">
        <v>1250</v>
      </c>
      <c r="B14895" s="0" t="s">
        <v>98</v>
      </c>
      <c r="C14895" s="6" t="n">
        <f aca="false">(Sens!K14887-Thesis!K95)*(1-tax_f)*(1+g_tv)*(1-g_tv/(wacc+ronic_prem_hi))/(wacc-g_tv)/(1+wacc)^(Sens!K14865-Sens!F14865)</f>
        <v>332.534451190097</v>
      </c>
    </row>
    <row r="14896" customFormat="false" ht="17.15" hidden="false" customHeight="false" outlineLevel="0" collapsed="false">
      <c r="A14896" s="1" t="s">
        <v>1251</v>
      </c>
      <c r="B14896" s="0" t="s">
        <v>98</v>
      </c>
      <c r="C14896" s="6" t="n">
        <f aca="false">(SUM(Sens!G14894:K14894)+Sens!$C$14895)*(1+wacc)^(t_roll-Sens!F14865)</f>
        <v>227.30978798296</v>
      </c>
      <c r="L14896" s="12" t="s">
        <v>1252</v>
      </c>
    </row>
    <row r="14897" customFormat="false" ht="17.15" hidden="false" customHeight="false" outlineLevel="0" collapsed="false">
      <c r="A14897" s="1" t="s">
        <v>1253</v>
      </c>
      <c r="B14897" s="0" t="s">
        <v>98</v>
      </c>
      <c r="C14897" s="6" t="n">
        <f aca="false">(w_ntm28*Thesis!G83+(1-w_ntm28)*Thesis!H83)*m_ai</f>
        <v>463.789109510335</v>
      </c>
    </row>
    <row r="14898" customFormat="false" ht="17.15" hidden="false" customHeight="false" outlineLevel="0" collapsed="false">
      <c r="A14898" s="1" t="s">
        <v>1254</v>
      </c>
      <c r="B14898" s="0" t="s">
        <v>98</v>
      </c>
      <c r="C14898" s="6" t="n">
        <f aca="false">(w_ntm28*Sens!G14889+(1-w_ntm28)*Sens!H14889)*m_cloud</f>
        <v>1089.03436702245</v>
      </c>
    </row>
    <row r="14899" customFormat="false" ht="17.15" hidden="false" customHeight="false" outlineLevel="0" collapsed="false">
      <c r="A14899" s="1" t="s">
        <v>1255</v>
      </c>
      <c r="B14899" s="0" t="s">
        <v>98</v>
      </c>
      <c r="C14899" s="6" t="n">
        <f aca="false">(w_ntm28*Sens!G14882+(1-w_ntm28)*Sens!H14882)*m_sw</f>
        <v>1082.84962646159</v>
      </c>
    </row>
    <row r="14900" customFormat="false" ht="17.15" hidden="false" customHeight="false" outlineLevel="0" collapsed="false">
      <c r="A14900" s="1" t="s">
        <v>1256</v>
      </c>
      <c r="B14900" s="0" t="s">
        <v>98</v>
      </c>
      <c r="C14900" s="6" t="n">
        <f aca="false">(w_ntm28*Sens!G14883+(1-w_ntm28)*Sens!H14883)*m_sw</f>
        <v>372.929250898731</v>
      </c>
    </row>
    <row r="14901" customFormat="false" ht="17.15" hidden="false" customHeight="false" outlineLevel="0" collapsed="false">
      <c r="A14901" s="1" t="s">
        <v>1257</v>
      </c>
      <c r="B14901" s="0" t="s">
        <v>98</v>
      </c>
      <c r="C14901" s="6" t="n">
        <f aca="false">(w_ntm28*Sens!G14884+(1-w_ntm28)*Sens!H14884)*m_sw</f>
        <v>109.1453525431</v>
      </c>
    </row>
    <row r="14902" customFormat="false" ht="17.15" hidden="false" customHeight="false" outlineLevel="0" collapsed="false">
      <c r="A14902" s="1" t="s">
        <v>1258</v>
      </c>
      <c r="B14902" s="0" t="s">
        <v>98</v>
      </c>
      <c r="C14902" s="6" t="n">
        <f aca="false">(w_ntm28*Sens!G14885+(1-w_ntm28)*Sens!H14885)*m_sw</f>
        <v>41.4942157634893</v>
      </c>
    </row>
    <row r="14903" customFormat="false" ht="17.15" hidden="false" customHeight="false" outlineLevel="0" collapsed="false">
      <c r="A14903" s="1" t="s">
        <v>1259</v>
      </c>
      <c r="B14903" s="0" t="s">
        <v>98</v>
      </c>
      <c r="C14903" s="6" t="n">
        <f aca="false">(w_ntm28*Sens!G14886+(1-w_ntm28)*Sens!H14886)*m_ads</f>
        <v>115.052171478463</v>
      </c>
    </row>
    <row r="14904" customFormat="false" ht="17.15" hidden="false" customHeight="false" outlineLevel="0" collapsed="false">
      <c r="A14904" s="1" t="s">
        <v>1260</v>
      </c>
      <c r="B14904" s="0" t="s">
        <v>98</v>
      </c>
      <c r="C14904" s="6" t="n">
        <f aca="false">(w_ntm28*Sens!G14891+(1-w_ntm28)*Sens!H14891)*m_game</f>
        <v>98.6441755076202</v>
      </c>
    </row>
    <row r="14905" customFormat="false" ht="17.15" hidden="false" customHeight="false" outlineLevel="0" collapsed="false">
      <c r="A14905" s="1" t="s">
        <v>1261</v>
      </c>
      <c r="B14905" s="0" t="s">
        <v>98</v>
      </c>
      <c r="C14905" s="6" t="n">
        <f aca="false">(w_ntm28*Sens!G14892+(1-w_ntm28)*Sens!H14892)*m_pc</f>
        <v>91.4523754763561</v>
      </c>
    </row>
    <row r="14906" customFormat="false" ht="17.15" hidden="false" customHeight="false" outlineLevel="0" collapsed="false">
      <c r="A14906" s="1" t="s">
        <v>1262</v>
      </c>
      <c r="B14906" s="0" t="s">
        <v>98</v>
      </c>
      <c r="C14906" s="6" t="n">
        <f aca="false">Sens!$C$14896+Sens!$C$14898+Sens!$C$14899+Sens!$C$14900+Sens!$C$14901+Sens!$C$14902+Sens!$C$14903+Sens!$C$14904+Sens!$C$14905</f>
        <v>3227.91132313476</v>
      </c>
    </row>
    <row r="14907" customFormat="false" ht="17.15" hidden="false" customHeight="false" outlineLevel="0" collapsed="false">
      <c r="A14907" s="1" t="s">
        <v>1263</v>
      </c>
      <c r="B14907" s="0" t="s">
        <v>98</v>
      </c>
      <c r="C14907" s="6" t="n">
        <f aca="false">(Sens!G14868-Sens!G14893)*t_stub</f>
        <v>47.8736427515113</v>
      </c>
      <c r="L14907" s="1" t="s">
        <v>1264</v>
      </c>
    </row>
    <row r="14908" customFormat="false" ht="17.15" hidden="false" customHeight="false" outlineLevel="0" collapsed="false">
      <c r="A14908" s="1" t="s">
        <v>1173</v>
      </c>
      <c r="B14908" s="0" t="s">
        <v>98</v>
      </c>
      <c r="C14908" s="6" t="n">
        <f aca="false">CF!F71+oai_v-CF!F60+Sens!$C$14907</f>
        <v>162.101912751511</v>
      </c>
      <c r="L14908" s="1" t="s">
        <v>1265</v>
      </c>
    </row>
    <row r="14909" customFormat="false" ht="17.15" hidden="false" customHeight="false" outlineLevel="0" collapsed="false">
      <c r="A14909" s="1" t="s">
        <v>1266</v>
      </c>
      <c r="B14909" s="0" t="s">
        <v>75</v>
      </c>
      <c r="C14909" s="5" t="n">
        <f aca="false">(Sens!$C$14906+Sens!$C$14908)/(CF!F73+dil_gap)-CF!G63*roll_div_q/q_per_yr</f>
        <v>451.233072836465</v>
      </c>
      <c r="L14909" s="1" t="s">
        <v>1267</v>
      </c>
    </row>
    <row r="14910" customFormat="false" ht="17.15" hidden="false" customHeight="false" outlineLevel="0" collapsed="false">
      <c r="A14910" s="1" t="s">
        <v>1268</v>
      </c>
      <c r="B14910" s="0" t="s">
        <v>75</v>
      </c>
      <c r="C14910" s="5" t="n">
        <f aca="false">w_dcf*Sens!$C$14880+(1-w_dcf)*Sens!$C$14909</f>
        <v>404.590924492294</v>
      </c>
    </row>
    <row r="14911" customFormat="false" ht="17.15" hidden="false" customHeight="false" outlineLevel="0" collapsed="false">
      <c r="A14911" s="3" t="s">
        <v>1980</v>
      </c>
    </row>
    <row r="14912" customFormat="false" ht="15" hidden="false" customHeight="false" outlineLevel="0" collapsed="false">
      <c r="A14912" s="4" t="s">
        <v>43</v>
      </c>
      <c r="B14912" s="4" t="s">
        <v>65</v>
      </c>
      <c r="C14912" s="23" t="s">
        <v>942</v>
      </c>
      <c r="D14912" s="23" t="s">
        <v>943</v>
      </c>
      <c r="E14912" s="23" t="s">
        <v>944</v>
      </c>
      <c r="F14912" s="23" t="s">
        <v>945</v>
      </c>
      <c r="G14912" s="23" t="s">
        <v>946</v>
      </c>
      <c r="H14912" s="23" t="s">
        <v>947</v>
      </c>
      <c r="I14912" s="23" t="s">
        <v>948</v>
      </c>
      <c r="J14912" s="23" t="s">
        <v>949</v>
      </c>
      <c r="K14912" s="23" t="s">
        <v>950</v>
      </c>
      <c r="L14912" s="4" t="s">
        <v>47</v>
      </c>
    </row>
    <row r="14913" customFormat="false" ht="17.15" hidden="false" customHeight="false" outlineLevel="0" collapsed="false">
      <c r="A14913" s="1" t="s">
        <v>1216</v>
      </c>
      <c r="B14913" s="1" t="s">
        <v>279</v>
      </c>
      <c r="F14913" s="8" t="n">
        <f aca="false">(1-v_off)*mid_yr</f>
        <v>0.373972602739726</v>
      </c>
      <c r="G14913" s="8" t="n">
        <f aca="false">Thesis!G110-base_fy-mid_yr-v_off</f>
        <v>1.24794520547945</v>
      </c>
      <c r="H14913" s="8" t="n">
        <f aca="false">Thesis!H110-base_fy-mid_yr-v_off</f>
        <v>2.24794520547945</v>
      </c>
      <c r="I14913" s="8" t="n">
        <f aca="false">Thesis!I110-base_fy-mid_yr-v_off</f>
        <v>3.24794520547945</v>
      </c>
      <c r="J14913" s="8" t="n">
        <f aca="false">Thesis!J110-base_fy-mid_yr-v_off</f>
        <v>4.24794520547945</v>
      </c>
      <c r="K14913" s="8" t="n">
        <f aca="false">Thesis!K110-base_fy-mid_yr-v_off</f>
        <v>5.24794520547945</v>
      </c>
      <c r="L14913" s="12" t="s">
        <v>1217</v>
      </c>
    </row>
    <row r="14914" customFormat="false" ht="15" hidden="false" customHeight="false" outlineLevel="0" collapsed="false">
      <c r="A14914" s="1" t="s">
        <v>1218</v>
      </c>
      <c r="B14914" s="1" t="s">
        <v>279</v>
      </c>
      <c r="F14914" s="8" t="n">
        <f aca="false">Thesis!F110-base_fy-v_off</f>
        <v>0.747945205479452</v>
      </c>
      <c r="G14914" s="8" t="n">
        <f aca="false">Thesis!G110-base_fy-v_off</f>
        <v>1.74794520547945</v>
      </c>
      <c r="H14914" s="8" t="n">
        <f aca="false">Thesis!H110-base_fy-v_off</f>
        <v>2.74794520547945</v>
      </c>
      <c r="I14914" s="8" t="n">
        <f aca="false">Thesis!I110-base_fy-v_off</f>
        <v>3.74794520547945</v>
      </c>
      <c r="J14914" s="8" t="n">
        <f aca="false">Thesis!J110-base_fy-v_off</f>
        <v>4.74794520547945</v>
      </c>
      <c r="K14914" s="8" t="n">
        <f aca="false">Thesis!K110-base_fy-v_off</f>
        <v>5.74794520547945</v>
      </c>
    </row>
    <row r="14915" customFormat="false" ht="15" hidden="false" customHeight="false" outlineLevel="0" collapsed="false">
      <c r="A14915" s="1" t="s">
        <v>1219</v>
      </c>
      <c r="B14915" s="0" t="s">
        <v>229</v>
      </c>
      <c r="F14915" s="15" t="n">
        <f aca="false">1/(1+wacc)^Sens!F14913</f>
        <v>0.964022703286649</v>
      </c>
      <c r="G14915" s="15" t="n">
        <f aca="false">1/(1+wacc)^Sens!G14913</f>
        <v>0.884910302296739</v>
      </c>
      <c r="H14915" s="15" t="n">
        <f aca="false">1/(1+wacc)^Sens!H14913</f>
        <v>0.802322009770358</v>
      </c>
      <c r="I14915" s="15" t="n">
        <f aca="false">1/(1+wacc)^Sens!I14913</f>
        <v>0.727441646561469</v>
      </c>
      <c r="J14915" s="15" t="n">
        <f aca="false">1/(1+wacc)^Sens!J14913</f>
        <v>0.659549834988973</v>
      </c>
      <c r="K14915" s="15" t="n">
        <f aca="false">1/(1+wacc)^Sens!K14913</f>
        <v>0.597994336576966</v>
      </c>
    </row>
    <row r="14916" customFormat="false" ht="17.15" hidden="false" customHeight="false" outlineLevel="0" collapsed="false">
      <c r="A14916" s="1" t="s">
        <v>1220</v>
      </c>
      <c r="B14916" s="0" t="s">
        <v>98</v>
      </c>
      <c r="F14916" s="6" t="n">
        <f aca="false">Q!$I$35-Q!$I$39-Q!$I$43</f>
        <v>9.666</v>
      </c>
      <c r="L14916" s="12" t="s">
        <v>1221</v>
      </c>
    </row>
    <row r="14917" customFormat="false" ht="17.15" hidden="false" customHeight="false" outlineLevel="0" collapsed="false">
      <c r="A14917" s="1" t="s">
        <v>1222</v>
      </c>
      <c r="B14917" s="0" t="s">
        <v>98</v>
      </c>
      <c r="F14917" s="6" t="n">
        <f aca="false">CF!F87-CF!F84-CF!F91+Thesis!F151*(1-tax_f)*(1-v_off)-Sens!F14916</f>
        <v>-6.10282680452259</v>
      </c>
      <c r="G14917" s="6" t="n">
        <f aca="false">CF!G87-CF!G84-CF!G91+Thesis!G151*(1-tax_f)</f>
        <v>19.0084129023516</v>
      </c>
      <c r="H14917" s="6" t="n">
        <f aca="false">CF!H87-CF!H84-CF!H91+Thesis!H151*(1-tax_f)</f>
        <v>55.9229468383331</v>
      </c>
      <c r="I14917" s="6" t="n">
        <f aca="false">CF!I87-CF!I84-CF!I91+Thesis!I151*(1-tax_f)</f>
        <v>127.901908576191</v>
      </c>
      <c r="J14917" s="6" t="n">
        <f aca="false">CF!J87-CF!J84-CF!J91+Thesis!J151*(1-tax_f)</f>
        <v>201.958443859638</v>
      </c>
      <c r="K14917" s="6" t="n">
        <f aca="false">CF!K87-CF!K84-CF!K91+Thesis!K151*(1-tax_f)</f>
        <v>237.542519059905</v>
      </c>
      <c r="L14917" s="1" t="s">
        <v>1223</v>
      </c>
    </row>
    <row r="14918" customFormat="false" ht="15" hidden="false" customHeight="false" outlineLevel="0" collapsed="false">
      <c r="A14918" s="1" t="s">
        <v>1224</v>
      </c>
      <c r="B14918" s="0" t="s">
        <v>98</v>
      </c>
      <c r="F14918" s="6" t="n">
        <f aca="false">Sens!F14917*Sens!F14915</f>
        <v>-5.88326359378609</v>
      </c>
      <c r="G14918" s="6" t="n">
        <f aca="false">Sens!G14917*Sens!G14915</f>
        <v>16.8207404076012</v>
      </c>
      <c r="H14918" s="6" t="n">
        <f aca="false">Sens!H14917*Sens!H14915</f>
        <v>44.8682110996123</v>
      </c>
      <c r="I14918" s="6" t="n">
        <f aca="false">Sens!I14917*Sens!I14915</f>
        <v>93.0411749730187</v>
      </c>
      <c r="J14918" s="6" t="n">
        <f aca="false">Sens!J14917*Sens!J14915</f>
        <v>133.201658322254</v>
      </c>
      <c r="K14918" s="6" t="n">
        <f aca="false">Sens!K14917*Sens!K14915</f>
        <v>142.049081094049</v>
      </c>
    </row>
    <row r="14919" customFormat="false" ht="17.15" hidden="false" customHeight="false" outlineLevel="0" collapsed="false">
      <c r="A14919" s="1" t="s">
        <v>1225</v>
      </c>
      <c r="B14919" s="0" t="s">
        <v>98</v>
      </c>
      <c r="C14919" s="6" t="n">
        <f aca="false">SUM(Sens!F14918:K14918)</f>
        <v>424.097602302749</v>
      </c>
    </row>
    <row r="14920" customFormat="false" ht="17.15" hidden="false" customHeight="false" outlineLevel="0" collapsed="false">
      <c r="A14920" s="1" t="s">
        <v>1226</v>
      </c>
      <c r="B14920" s="0" t="s">
        <v>98</v>
      </c>
      <c r="C14920" s="6" t="n">
        <f aca="false">PL!K117*(1+g_tv)*(1-tax_f)</f>
        <v>247.098906713682</v>
      </c>
    </row>
    <row r="14921" customFormat="false" ht="17.15" hidden="false" customHeight="false" outlineLevel="0" collapsed="false">
      <c r="A14921" s="1" t="s">
        <v>1227</v>
      </c>
      <c r="B14921" s="0" t="s">
        <v>98</v>
      </c>
      <c r="C14921" s="6" t="n">
        <f aca="false">Sens!$C$14920*(1-g_tv/(wacc+ronic_prem_hi))</f>
        <v>198.628052514719</v>
      </c>
    </row>
    <row r="14922" customFormat="false" ht="17.15" hidden="false" customHeight="false" outlineLevel="0" collapsed="false">
      <c r="A14922" s="1" t="s">
        <v>1228</v>
      </c>
      <c r="B14922" s="0" t="s">
        <v>98</v>
      </c>
      <c r="C14922" s="6" t="n">
        <f aca="false">Sens!$C$14921/(wacc-g_tv)</f>
        <v>2723.29772943287</v>
      </c>
    </row>
    <row r="14923" customFormat="false" ht="15" hidden="false" customHeight="false" outlineLevel="0" collapsed="false">
      <c r="A14923" s="1" t="s">
        <v>1229</v>
      </c>
      <c r="B14923" s="0" t="s">
        <v>98</v>
      </c>
      <c r="C14923" s="6" t="n">
        <f aca="false">Sens!$C$14922/(1+wacc)^Sens!K14914</f>
        <v>1550.66120739066</v>
      </c>
    </row>
    <row r="14924" customFormat="false" ht="17.15" hidden="false" customHeight="false" outlineLevel="0" collapsed="false">
      <c r="A14924" s="0" t="s">
        <v>1230</v>
      </c>
      <c r="B14924" s="0" t="s">
        <v>98</v>
      </c>
      <c r="C14924" s="6" t="n">
        <f aca="false">Sens!$C$14919+Sens!$C$14923</f>
        <v>1974.75880969341</v>
      </c>
    </row>
    <row r="14925" customFormat="false" ht="15" hidden="false" customHeight="false" outlineLevel="0" collapsed="false">
      <c r="A14925" s="1" t="s">
        <v>1145</v>
      </c>
      <c r="B14925" s="0" t="s">
        <v>168</v>
      </c>
      <c r="C14925" s="7" t="n">
        <f aca="false">Sens!$C$14923/Sens!$C$14924</f>
        <v>0.785240810056904</v>
      </c>
    </row>
    <row r="14926" customFormat="false" ht="17.15" hidden="false" customHeight="false" outlineLevel="0" collapsed="false">
      <c r="A14926" s="1" t="s">
        <v>1231</v>
      </c>
      <c r="B14926" s="0" t="s">
        <v>98</v>
      </c>
      <c r="C14926" s="6" t="n">
        <f aca="false">Sens!$C$14924+cash_val-debt_val-fl_val+oai_v</f>
        <v>2090.60980969341</v>
      </c>
    </row>
    <row r="14927" customFormat="false" ht="17.15" hidden="false" customHeight="false" outlineLevel="0" collapsed="false">
      <c r="A14927" s="0" t="s">
        <v>1153</v>
      </c>
      <c r="B14927" s="0" t="s">
        <v>75</v>
      </c>
      <c r="C14927" s="5" t="n">
        <f aca="false">Sens!$C$14926/shd_val</f>
        <v>280.769515134758</v>
      </c>
    </row>
    <row r="14928" customFormat="false" ht="15" hidden="false" customHeight="false" outlineLevel="0" collapsed="false">
      <c r="A14928" s="1" t="s">
        <v>1232</v>
      </c>
      <c r="B14928" s="0" t="s">
        <v>75</v>
      </c>
      <c r="C14928" s="8" t="n">
        <f aca="false">div_rem27+CF!G95*roll_div_q/q_per_yr</f>
        <v>3.9795</v>
      </c>
    </row>
    <row r="14929" customFormat="false" ht="17.15" hidden="false" customHeight="false" outlineLevel="0" collapsed="false">
      <c r="A14929" s="0" t="s">
        <v>1233</v>
      </c>
      <c r="B14929" s="0" t="s">
        <v>75</v>
      </c>
      <c r="C14929" s="5" t="n">
        <f aca="false">Sens!$C$14927*(1+wacc)^t_roll-Sens!$C$14928</f>
        <v>308.111486027765</v>
      </c>
    </row>
    <row r="14930" customFormat="false" ht="17.15" hidden="false" customHeight="false" outlineLevel="0" collapsed="false">
      <c r="A14930" s="1" t="s">
        <v>1234</v>
      </c>
      <c r="B14930" s="0" t="s">
        <v>168</v>
      </c>
      <c r="F14930" s="7" t="n">
        <f aca="false">CF!F81/(Seg!F83-Thesis!F129)</f>
        <v>0.068677393452264</v>
      </c>
      <c r="G14930" s="7" t="n">
        <f aca="false">CF!G81/(Seg!G83-Thesis!G129)</f>
        <v>0.0663132664471956</v>
      </c>
      <c r="H14930" s="7" t="n">
        <f aca="false">CF!H81/(Seg!H83-Thesis!H129)</f>
        <v>0.0651363826734039</v>
      </c>
      <c r="I14930" s="7" t="n">
        <f aca="false">CF!I81/(Seg!I83-Thesis!I129)</f>
        <v>0.0650087936347709</v>
      </c>
      <c r="J14930" s="7" t="n">
        <f aca="false">CF!J81/(Seg!J83-Thesis!J129)</f>
        <v>0.0657212684841778</v>
      </c>
      <c r="K14930" s="7" t="n">
        <f aca="false">CF!K81/(Seg!K83-Thesis!K129)</f>
        <v>0.0670413306015285</v>
      </c>
    </row>
    <row r="14931" customFormat="false" ht="17.15" hidden="false" customHeight="false" outlineLevel="0" collapsed="false">
      <c r="A14931" s="0" t="s">
        <v>1235</v>
      </c>
      <c r="B14931" s="0" t="s">
        <v>98</v>
      </c>
      <c r="F14931" s="6" t="n">
        <f aca="false">Seg!F68*(al_m365+Sens!F14930+sbc_r)</f>
        <v>82.9185219618347</v>
      </c>
      <c r="G14931" s="6" t="n">
        <f aca="false">Seg!G68*(al_m365+Sens!G14930+sbc_r)</f>
        <v>93.3068052157631</v>
      </c>
      <c r="H14931" s="6" t="n">
        <f aca="false">Seg!H68*(al_m365+Sens!H14930+sbc_r)</f>
        <v>103.856057136159</v>
      </c>
      <c r="I14931" s="6" t="n">
        <f aca="false">Seg!I68*(al_m365+Sens!I14930+sbc_r)</f>
        <v>113.889717587147</v>
      </c>
      <c r="J14931" s="6" t="n">
        <f aca="false">Seg!J68*(al_m365+Sens!J14930+sbc_r)</f>
        <v>123.218477864124</v>
      </c>
      <c r="K14931" s="6" t="n">
        <f aca="false">Seg!K68*(al_m365+Sens!K14930+sbc_r)</f>
        <v>132.149420086311</v>
      </c>
      <c r="L14931" s="12" t="s">
        <v>1236</v>
      </c>
    </row>
    <row r="14932" customFormat="false" ht="17.15" hidden="false" customHeight="false" outlineLevel="0" collapsed="false">
      <c r="A14932" s="0" t="s">
        <v>1237</v>
      </c>
      <c r="B14932" s="0" t="s">
        <v>98</v>
      </c>
      <c r="F14932" s="6" t="n">
        <f aca="false">Seg!F69*(al_lic+Sens!F14930+sbc_r)</f>
        <v>32.8599853992256</v>
      </c>
      <c r="G14932" s="6" t="n">
        <f aca="false">Seg!G69*(al_lic+Sens!G14930+sbc_r)</f>
        <v>34.1568280697879</v>
      </c>
      <c r="H14932" s="6" t="n">
        <f aca="false">Seg!H69*(al_lic+Sens!H14930+sbc_r)</f>
        <v>35.3635535007213</v>
      </c>
      <c r="I14932" s="6" t="n">
        <f aca="false">Seg!I69*(al_lic+Sens!I14930+sbc_r)</f>
        <v>36.4604537346553</v>
      </c>
      <c r="J14932" s="6" t="n">
        <f aca="false">Seg!J69*(al_lic+Sens!J14930+sbc_r)</f>
        <v>37.4245888933574</v>
      </c>
      <c r="K14932" s="6" t="n">
        <f aca="false">Seg!K69*(al_lic+Sens!K14930+sbc_r)</f>
        <v>38.2321483186439</v>
      </c>
    </row>
    <row r="14933" customFormat="false" ht="17.15" hidden="false" customHeight="false" outlineLevel="0" collapsed="false">
      <c r="A14933" s="0" t="s">
        <v>1238</v>
      </c>
      <c r="B14933" s="0" t="s">
        <v>98</v>
      </c>
      <c r="F14933" s="6" t="n">
        <f aca="false">Seg!F71*(al_ind+Sens!F14930+sbc_r)</f>
        <v>9.06170747885803</v>
      </c>
      <c r="G14933" s="6" t="n">
        <f aca="false">Seg!G71*(al_ind+Sens!G14930+sbc_r)</f>
        <v>9.8478979082138</v>
      </c>
      <c r="H14933" s="6" t="n">
        <f aca="false">Seg!H71*(al_ind+Sens!H14930+sbc_r)</f>
        <v>10.6768254332059</v>
      </c>
      <c r="I14933" s="6" t="n">
        <f aca="false">Seg!I71*(al_ind+Sens!I14930+sbc_r)</f>
        <v>11.54398793803</v>
      </c>
      <c r="J14933" s="6" t="n">
        <f aca="false">Seg!J71*(al_ind+Sens!J14930+sbc_r)</f>
        <v>12.4407914253112</v>
      </c>
      <c r="K14933" s="6" t="n">
        <f aca="false">Seg!K71*(al_ind+Sens!K14930+sbc_r)</f>
        <v>13.355239066864</v>
      </c>
    </row>
    <row r="14934" customFormat="false" ht="17.15" hidden="false" customHeight="false" outlineLevel="0" collapsed="false">
      <c r="A14934" s="0" t="s">
        <v>1239</v>
      </c>
      <c r="B14934" s="0" t="s">
        <v>98</v>
      </c>
      <c r="F14934" s="6" t="n">
        <f aca="false">Seg!F73*(al_fro+Sens!F14930+sbc_r)</f>
        <v>3.55453569939552</v>
      </c>
      <c r="G14934" s="6" t="n">
        <f aca="false">Seg!G73*(al_fro+Sens!G14930+sbc_r)</f>
        <v>3.76809436159872</v>
      </c>
      <c r="H14934" s="6" t="n">
        <f aca="false">Seg!H73*(al_fro+Sens!H14930+sbc_r)</f>
        <v>4.00964905674607</v>
      </c>
      <c r="I14934" s="6" t="n">
        <f aca="false">Seg!I73*(al_fro+Sens!I14930+sbc_r)</f>
        <v>4.28152633145235</v>
      </c>
      <c r="J14934" s="6" t="n">
        <f aca="false">Seg!J73*(al_fro+Sens!J14930+sbc_r)</f>
        <v>4.58536512975975</v>
      </c>
      <c r="K14934" s="6" t="n">
        <f aca="false">Seg!K73*(al_fro+Sens!K14930+sbc_r)</f>
        <v>4.92240770086468</v>
      </c>
    </row>
    <row r="14935" customFormat="false" ht="17.15" hidden="false" customHeight="false" outlineLevel="0" collapsed="false">
      <c r="A14935" s="0" t="s">
        <v>1240</v>
      </c>
      <c r="B14935" s="0" t="s">
        <v>98</v>
      </c>
      <c r="F14935" s="6" t="n">
        <f aca="false">Seg!F76*(al_srch+Sens!F14930+sbc_r)</f>
        <v>11.190683952584</v>
      </c>
      <c r="G14935" s="6" t="n">
        <f aca="false">Seg!G76*(al_srch+Sens!G14930+sbc_r)</f>
        <v>12.2763328717258</v>
      </c>
      <c r="H14935" s="6" t="n">
        <f aca="false">Seg!H76*(al_srch+Sens!H14930+sbc_r)</f>
        <v>13.4043563346576</v>
      </c>
      <c r="I14935" s="6" t="n">
        <f aca="false">Seg!I76*(al_srch+Sens!I14930+sbc_r)</f>
        <v>14.5621512181916</v>
      </c>
      <c r="J14935" s="6" t="n">
        <f aca="false">Seg!J76*(al_srch+Sens!J14930+sbc_r)</f>
        <v>15.7310381862385</v>
      </c>
      <c r="K14935" s="6" t="n">
        <f aca="false">Seg!K76*(al_srch+Sens!K14930+sbc_r)</f>
        <v>16.8873320486462</v>
      </c>
    </row>
    <row r="14936" customFormat="false" ht="17.15" hidden="false" customHeight="false" outlineLevel="0" collapsed="false">
      <c r="A14936" s="0" t="s">
        <v>1241</v>
      </c>
      <c r="B14936" s="0" t="s">
        <v>98</v>
      </c>
      <c r="F14936" s="6" t="n">
        <f aca="false">Thesis!F135-Thesis!F136+Thesis!F151</f>
        <v>38.9696429794913</v>
      </c>
      <c r="G14936" s="6" t="n">
        <f aca="false">Thesis!G135-Thesis!G136+Thesis!G151</f>
        <v>69.465497726016</v>
      </c>
      <c r="H14936" s="6" t="n">
        <f aca="false">Thesis!H135-Thesis!H136+Thesis!H151</f>
        <v>96.8147106808268</v>
      </c>
      <c r="I14936" s="6" t="n">
        <f aca="false">Thesis!I135-Thesis!I136+Thesis!I151</f>
        <v>127.654939766446</v>
      </c>
      <c r="J14936" s="6" t="n">
        <f aca="false">Thesis!J135-Thesis!J136+Thesis!J151</f>
        <v>149.308352681229</v>
      </c>
      <c r="K14936" s="6" t="n">
        <f aca="false">Thesis!K135-Thesis!K136+Thesis!K151</f>
        <v>162.731822021841</v>
      </c>
    </row>
    <row r="14937" customFormat="false" ht="17.15" hidden="false" customHeight="false" outlineLevel="0" collapsed="false">
      <c r="A14937" s="0" t="s">
        <v>1242</v>
      </c>
      <c r="B14937" s="0" t="s">
        <v>98</v>
      </c>
      <c r="F14937" s="6" t="n">
        <f aca="false">PL!F110+Thesis!F151+Thesis!F147+Sens!F14930*(Seg!F75-Thesis!F129)+sbc_r*Seg!F75</f>
        <v>234.79972328186</v>
      </c>
      <c r="G14937" s="6" t="n">
        <f aca="false">PL!G110+Thesis!G151+Thesis!G147+Sens!G14930*(Seg!G75-Thesis!G129)+sbc_r*Seg!G75</f>
        <v>285.499052659517</v>
      </c>
      <c r="H14937" s="6" t="n">
        <f aca="false">PL!H110+Thesis!H151+Thesis!H147+Sens!H14930*(Seg!H75-Thesis!H129)+sbc_r*Seg!H75</f>
        <v>338.258569294547</v>
      </c>
      <c r="I14937" s="6" t="n">
        <f aca="false">PL!I110+Thesis!I151+Thesis!I147+Sens!I14930*(Seg!I75-Thesis!I129)+sbc_r*Seg!I75</f>
        <v>393.887902526982</v>
      </c>
      <c r="J14937" s="6" t="n">
        <f aca="false">PL!J110+Thesis!J151+Thesis!J147+Sens!J14930*(Seg!J75-Thesis!J129)+sbc_r*Seg!J75</f>
        <v>438.406631506078</v>
      </c>
      <c r="K14937" s="6" t="n">
        <f aca="false">PL!K110+Thesis!K151+Thesis!K147+Sens!K14930*(Seg!K75-Thesis!K129)+sbc_r*Seg!K75</f>
        <v>472.352875745143</v>
      </c>
    </row>
    <row r="14938" customFormat="false" ht="17.15" hidden="false" customHeight="false" outlineLevel="0" collapsed="false">
      <c r="A14938" s="0" t="s">
        <v>1243</v>
      </c>
      <c r="B14938" s="0" t="s">
        <v>98</v>
      </c>
      <c r="F14938" s="6" t="n">
        <f aca="false">Sens!F14937-Sens!F14931-Sens!F14932-Sens!F14933-Sens!F14934-Sens!F14936</f>
        <v>67.4353297630543</v>
      </c>
      <c r="G14938" s="6" t="n">
        <f aca="false">Sens!G14937-Sens!G14931-Sens!G14932-Sens!G14933-Sens!G14934-Sens!G14936</f>
        <v>74.9539293781376</v>
      </c>
      <c r="H14938" s="6" t="n">
        <f aca="false">Sens!H14937-Sens!H14931-Sens!H14932-Sens!H14933-Sens!H14934-Sens!H14936</f>
        <v>87.537773486888</v>
      </c>
      <c r="I14938" s="6" t="n">
        <f aca="false">Sens!I14937-Sens!I14931-Sens!I14932-Sens!I14933-Sens!I14934-Sens!I14936</f>
        <v>100.057277169252</v>
      </c>
      <c r="J14938" s="6" t="n">
        <f aca="false">Sens!J14937-Sens!J14931-Sens!J14932-Sens!J14933-Sens!J14934-Sens!J14936</f>
        <v>111.429055512297</v>
      </c>
      <c r="K14938" s="6" t="n">
        <f aca="false">Sens!K14937-Sens!K14931-Sens!K14932-Sens!K14933-Sens!K14934-Sens!K14936</f>
        <v>120.961838550618</v>
      </c>
    </row>
    <row r="14939" customFormat="false" ht="17.15" hidden="false" customHeight="false" outlineLevel="0" collapsed="false">
      <c r="A14939" s="0" t="s">
        <v>1244</v>
      </c>
      <c r="B14939" s="0" t="s">
        <v>98</v>
      </c>
      <c r="F14939" s="6" t="n">
        <f aca="false">PL!F112+Sens!F14930*Seg!F82+sbc_r*Seg!F82</f>
        <v>26.6373549789235</v>
      </c>
      <c r="G14939" s="6" t="n">
        <f aca="false">PL!G112+Sens!G14930*Seg!G82+sbc_r*Seg!G82</f>
        <v>26.5038922765853</v>
      </c>
      <c r="H14939" s="6" t="n">
        <f aca="false">PL!H112+Sens!H14930*Seg!H82+sbc_r*Seg!H82</f>
        <v>27.3981100014792</v>
      </c>
      <c r="I14939" s="6" t="n">
        <f aca="false">PL!I112+Sens!I14930*Seg!I82+sbc_r*Seg!I82</f>
        <v>28.5176442589239</v>
      </c>
      <c r="J14939" s="6" t="n">
        <f aca="false">PL!J112+Sens!J14930*Seg!J82+sbc_r*Seg!J82</f>
        <v>29.8313998963726</v>
      </c>
      <c r="K14939" s="6" t="n">
        <f aca="false">PL!K112+Sens!K14930*Seg!K82+sbc_r*Seg!K82</f>
        <v>31.3103466222307</v>
      </c>
    </row>
    <row r="14940" customFormat="false" ht="17.15" hidden="false" customHeight="false" outlineLevel="0" collapsed="false">
      <c r="A14940" s="0" t="s">
        <v>1245</v>
      </c>
      <c r="B14940" s="0" t="s">
        <v>98</v>
      </c>
      <c r="F14940" s="6" t="n">
        <f aca="false">(Sens!F14939-Sens!F14935)*Seg!F78/(Seg!F78+Seg!F80)</f>
        <v>8.72405610479892</v>
      </c>
      <c r="G14940" s="6" t="n">
        <f aca="false">(Sens!G14939-Sens!G14935)*Seg!G78/(Seg!G78+Seg!G80)</f>
        <v>7.897418765869</v>
      </c>
      <c r="H14940" s="6" t="n">
        <f aca="false">(Sens!H14939-Sens!H14935)*Seg!H78/(Seg!H78+Seg!H80)</f>
        <v>7.66644879573063</v>
      </c>
      <c r="I14940" s="6" t="n">
        <f aca="false">(Sens!I14939-Sens!I14935)*Seg!I78/(Seg!I78+Seg!I80)</f>
        <v>7.5787545031814</v>
      </c>
      <c r="J14940" s="6" t="n">
        <f aca="false">(Sens!J14939-Sens!J14935)*Seg!J78/(Seg!J78+Seg!J80)</f>
        <v>7.62401876450459</v>
      </c>
      <c r="K14940" s="6" t="n">
        <f aca="false">(Sens!K14939-Sens!K14935)*Seg!K78/(Seg!K78+Seg!K80)</f>
        <v>7.79847609658838</v>
      </c>
    </row>
    <row r="14941" customFormat="false" ht="17.15" hidden="false" customHeight="false" outlineLevel="0" collapsed="false">
      <c r="A14941" s="0" t="s">
        <v>1246</v>
      </c>
      <c r="B14941" s="0" t="s">
        <v>98</v>
      </c>
      <c r="F14941" s="6" t="n">
        <f aca="false">Sens!F14939-Sens!F14935-Sens!F14940</f>
        <v>6.72261492154066</v>
      </c>
      <c r="G14941" s="6" t="n">
        <f aca="false">Sens!G14939-Sens!G14935-Sens!G14940</f>
        <v>6.33014063899044</v>
      </c>
      <c r="H14941" s="6" t="n">
        <f aca="false">Sens!H14939-Sens!H14935-Sens!H14940</f>
        <v>6.32730487109095</v>
      </c>
      <c r="I14941" s="6" t="n">
        <f aca="false">Sens!I14939-Sens!I14935-Sens!I14940</f>
        <v>6.37673853755084</v>
      </c>
      <c r="J14941" s="6" t="n">
        <f aca="false">Sens!J14939-Sens!J14935-Sens!J14940</f>
        <v>6.47634294562954</v>
      </c>
      <c r="K14941" s="6" t="n">
        <f aca="false">Sens!K14939-Sens!K14935-Sens!K14940</f>
        <v>6.62453847699607</v>
      </c>
    </row>
    <row r="14942" customFormat="false" ht="17.15" hidden="false" customHeight="false" outlineLevel="0" collapsed="false">
      <c r="A14942" s="0" t="s">
        <v>1247</v>
      </c>
      <c r="B14942" s="0" t="s">
        <v>98</v>
      </c>
      <c r="F14942" s="6" t="n">
        <f aca="false">Sens!F14936-tax_f*(Sens!F14936-Thesis!F147)-Thesis!F144</f>
        <v>-130.362326762856</v>
      </c>
      <c r="G14942" s="6" t="n">
        <f aca="false">Sens!G14936-tax_f*(Sens!G14936-Thesis!G147)-Thesis!G144</f>
        <v>-124.225179337776</v>
      </c>
      <c r="H14942" s="6" t="n">
        <f aca="false">Sens!H14936-tax_f*(Sens!H14936-Thesis!H147)-Thesis!H144</f>
        <v>-101.534217387562</v>
      </c>
      <c r="I14942" s="6" t="n">
        <f aca="false">Sens!I14936-tax_f*(Sens!I14936-Thesis!I147)-Thesis!I144</f>
        <v>-43.6446798695439</v>
      </c>
      <c r="J14942" s="6" t="n">
        <f aca="false">Sens!J14936-tax_f*(Sens!J14936-Thesis!J147)-Thesis!J144</f>
        <v>16.9198855589618</v>
      </c>
      <c r="K14942" s="6" t="n">
        <f aca="false">Sens!K14936-tax_f*(Sens!K14936-Thesis!K147)-Thesis!K144</f>
        <v>39.8251384629271</v>
      </c>
    </row>
    <row r="14943" customFormat="false" ht="17.15" hidden="false" customHeight="false" outlineLevel="0" collapsed="false">
      <c r="A14943" s="0" t="s">
        <v>1248</v>
      </c>
      <c r="B14943" s="0" t="s">
        <v>98</v>
      </c>
      <c r="G14943" s="6" t="n">
        <f aca="false">Sens!G14942/(1+wacc)^(Sens!G14913-Sens!F14914)</f>
        <v>-118.286276192192</v>
      </c>
      <c r="H14943" s="6" t="n">
        <f aca="false">Sens!H14942/(1+wacc)^(Sens!H14913-Sens!F14914)</f>
        <v>-87.6570009910427</v>
      </c>
      <c r="I14943" s="6" t="n">
        <f aca="false">Sens!I14942/(1+wacc)^(Sens!I14913-Sens!F14914)</f>
        <v>-34.1629172979204</v>
      </c>
      <c r="J14943" s="6" t="n">
        <f aca="false">Sens!J14942/(1+wacc)^(Sens!J14913-Sens!F14914)</f>
        <v>12.0079954170053</v>
      </c>
      <c r="K14943" s="6" t="n">
        <f aca="false">Sens!K14942/(1+wacc)^(Sens!K14913-Sens!F14914)</f>
        <v>25.6259421582556</v>
      </c>
      <c r="L14943" s="1" t="s">
        <v>1249</v>
      </c>
    </row>
    <row r="14944" customFormat="false" ht="17.15" hidden="false" customHeight="false" outlineLevel="0" collapsed="false">
      <c r="A14944" s="0" t="s">
        <v>1250</v>
      </c>
      <c r="B14944" s="0" t="s">
        <v>98</v>
      </c>
      <c r="C14944" s="6" t="n">
        <f aca="false">(Sens!K14936-Thesis!K147)*(1-tax_f)*(1+g_tv)*(1-g_tv/(wacc+ronic_prem_hi))/(wacc-g_tv)/(1+wacc)^(Sens!K14914-Sens!F14914)</f>
        <v>109.720311369646</v>
      </c>
    </row>
    <row r="14945" customFormat="false" ht="17.15" hidden="false" customHeight="false" outlineLevel="0" collapsed="false">
      <c r="A14945" s="1" t="s">
        <v>1251</v>
      </c>
      <c r="B14945" s="0" t="s">
        <v>98</v>
      </c>
      <c r="C14945" s="6" t="n">
        <f aca="false">(SUM(Sens!G14943:K14943)+Sens!$C$14944)*(1+wacc)^(t_roll-Sens!F14914)</f>
        <v>-95.8139677611032</v>
      </c>
      <c r="L14945" s="12" t="s">
        <v>1252</v>
      </c>
    </row>
    <row r="14946" customFormat="false" ht="17.15" hidden="false" customHeight="false" outlineLevel="0" collapsed="false">
      <c r="A14946" s="1" t="s">
        <v>1253</v>
      </c>
      <c r="B14946" s="0" t="s">
        <v>98</v>
      </c>
      <c r="C14946" s="6" t="n">
        <f aca="false">(w_ntm28*Thesis!G135+(1-w_ntm28)*Thesis!H135)*m_ai</f>
        <v>344.355829012336</v>
      </c>
    </row>
    <row r="14947" customFormat="false" ht="17.15" hidden="false" customHeight="false" outlineLevel="0" collapsed="false">
      <c r="A14947" s="1" t="s">
        <v>1254</v>
      </c>
      <c r="B14947" s="0" t="s">
        <v>98</v>
      </c>
      <c r="C14947" s="6" t="n">
        <f aca="false">(w_ntm28*Sens!G14938+(1-w_ntm28)*Sens!H14938)*m_cloud</f>
        <v>1093.03877543039</v>
      </c>
    </row>
    <row r="14948" customFormat="false" ht="17.15" hidden="false" customHeight="false" outlineLevel="0" collapsed="false">
      <c r="A14948" s="1" t="s">
        <v>1255</v>
      </c>
      <c r="B14948" s="0" t="s">
        <v>98</v>
      </c>
      <c r="C14948" s="6" t="n">
        <f aca="false">(w_ntm28*Sens!G14931+(1-w_ntm28)*Sens!H14931)*m_sw</f>
        <v>1045.17056616266</v>
      </c>
    </row>
    <row r="14949" customFormat="false" ht="17.15" hidden="false" customHeight="false" outlineLevel="0" collapsed="false">
      <c r="A14949" s="1" t="s">
        <v>1256</v>
      </c>
      <c r="B14949" s="0" t="s">
        <v>98</v>
      </c>
      <c r="C14949" s="6" t="n">
        <f aca="false">(w_ntm28*Sens!G14932+(1-w_ntm28)*Sens!H14932)*m_sw</f>
        <v>373.178444957791</v>
      </c>
    </row>
    <row r="14950" customFormat="false" ht="17.15" hidden="false" customHeight="false" outlineLevel="0" collapsed="false">
      <c r="A14950" s="1" t="s">
        <v>1257</v>
      </c>
      <c r="B14950" s="0" t="s">
        <v>98</v>
      </c>
      <c r="C14950" s="6" t="n">
        <f aca="false">(w_ntm28*Sens!G14933+(1-w_ntm28)*Sens!H14933)*m_sw</f>
        <v>109.30055788101</v>
      </c>
    </row>
    <row r="14951" customFormat="false" ht="17.15" hidden="false" customHeight="false" outlineLevel="0" collapsed="false">
      <c r="A14951" s="1" t="s">
        <v>1258</v>
      </c>
      <c r="B14951" s="0" t="s">
        <v>98</v>
      </c>
      <c r="C14951" s="6" t="n">
        <f aca="false">(w_ntm28*Sens!G14934+(1-w_ntm28)*Sens!H14934)*m_sw</f>
        <v>41.5531037214606</v>
      </c>
    </row>
    <row r="14952" customFormat="false" ht="17.15" hidden="false" customHeight="false" outlineLevel="0" collapsed="false">
      <c r="A14952" s="1" t="s">
        <v>1259</v>
      </c>
      <c r="B14952" s="0" t="s">
        <v>98</v>
      </c>
      <c r="C14952" s="6" t="n">
        <f aca="false">(w_ntm28*Sens!G14935+(1-w_ntm28)*Sens!H14935)*m_ads</f>
        <v>115.215899994784</v>
      </c>
    </row>
    <row r="14953" customFormat="false" ht="17.15" hidden="false" customHeight="false" outlineLevel="0" collapsed="false">
      <c r="A14953" s="1" t="s">
        <v>1260</v>
      </c>
      <c r="B14953" s="0" t="s">
        <v>98</v>
      </c>
      <c r="C14953" s="6" t="n">
        <f aca="false">(w_ntm28*Sens!G14940+(1-w_ntm28)*Sens!H14940)*m_game</f>
        <v>98.7853357615783</v>
      </c>
    </row>
    <row r="14954" customFormat="false" ht="17.15" hidden="false" customHeight="false" outlineLevel="0" collapsed="false">
      <c r="A14954" s="1" t="s">
        <v>1261</v>
      </c>
      <c r="B14954" s="0" t="s">
        <v>98</v>
      </c>
      <c r="C14954" s="6" t="n">
        <f aca="false">(w_ntm28*Sens!G14941+(1-w_ntm28)*Sens!H14941)*m_pc</f>
        <v>91.5836445602173</v>
      </c>
    </row>
    <row r="14955" customFormat="false" ht="17.15" hidden="false" customHeight="false" outlineLevel="0" collapsed="false">
      <c r="A14955" s="1" t="s">
        <v>1262</v>
      </c>
      <c r="B14955" s="0" t="s">
        <v>98</v>
      </c>
      <c r="C14955" s="6" t="n">
        <f aca="false">Sens!$C$14945+Sens!$C$14947+Sens!$C$14948+Sens!$C$14949+Sens!$C$14950+Sens!$C$14951+Sens!$C$14952+Sens!$C$14953+Sens!$C$14954</f>
        <v>2872.01236070879</v>
      </c>
    </row>
    <row r="14956" customFormat="false" ht="17.15" hidden="false" customHeight="false" outlineLevel="0" collapsed="false">
      <c r="A14956" s="1" t="s">
        <v>1263</v>
      </c>
      <c r="B14956" s="0" t="s">
        <v>98</v>
      </c>
      <c r="C14956" s="6" t="n">
        <f aca="false">(Sens!G14917-Sens!G14942)*t_stub</f>
        <v>47.4829168796038</v>
      </c>
      <c r="L14956" s="1" t="s">
        <v>1264</v>
      </c>
    </row>
    <row r="14957" customFormat="false" ht="17.15" hidden="false" customHeight="false" outlineLevel="0" collapsed="false">
      <c r="A14957" s="1" t="s">
        <v>1173</v>
      </c>
      <c r="B14957" s="0" t="s">
        <v>98</v>
      </c>
      <c r="C14957" s="6" t="n">
        <f aca="false">CF!F103+oai_v-CF!F92+Sens!$C$14956</f>
        <v>158.55427008544</v>
      </c>
      <c r="L14957" s="1" t="s">
        <v>1265</v>
      </c>
    </row>
    <row r="14958" customFormat="false" ht="17.15" hidden="false" customHeight="false" outlineLevel="0" collapsed="false">
      <c r="A14958" s="1" t="s">
        <v>1266</v>
      </c>
      <c r="B14958" s="0" t="s">
        <v>75</v>
      </c>
      <c r="C14958" s="5" t="n">
        <f aca="false">(Sens!$C$14955+Sens!$C$14957)/(CF!F105+dil_gap)-CF!G95*roll_div_q/q_per_yr</f>
        <v>403.251672731353</v>
      </c>
      <c r="L14958" s="1" t="s">
        <v>1267</v>
      </c>
    </row>
    <row r="14959" customFormat="false" ht="17.15" hidden="false" customHeight="false" outlineLevel="0" collapsed="false">
      <c r="A14959" s="1" t="s">
        <v>1268</v>
      </c>
      <c r="B14959" s="0" t="s">
        <v>75</v>
      </c>
      <c r="C14959" s="5" t="n">
        <f aca="false">w_dcf*Sens!$C$14929+(1-w_dcf)*Sens!$C$14958</f>
        <v>355.681579379559</v>
      </c>
    </row>
    <row r="14960" customFormat="false" ht="17.15" hidden="false" customHeight="false" outlineLevel="0" collapsed="false">
      <c r="A14960" s="3" t="s">
        <v>1981</v>
      </c>
    </row>
    <row r="14961" customFormat="false" ht="15" hidden="false" customHeight="false" outlineLevel="0" collapsed="false">
      <c r="A14961" s="4" t="s">
        <v>43</v>
      </c>
      <c r="B14961" s="4" t="s">
        <v>65</v>
      </c>
      <c r="C14961" s="23" t="s">
        <v>942</v>
      </c>
      <c r="D14961" s="23" t="s">
        <v>943</v>
      </c>
      <c r="E14961" s="23" t="s">
        <v>944</v>
      </c>
      <c r="F14961" s="23" t="s">
        <v>945</v>
      </c>
      <c r="G14961" s="23" t="s">
        <v>946</v>
      </c>
      <c r="H14961" s="23" t="s">
        <v>947</v>
      </c>
      <c r="I14961" s="23" t="s">
        <v>948</v>
      </c>
      <c r="J14961" s="23" t="s">
        <v>949</v>
      </c>
      <c r="K14961" s="23" t="s">
        <v>950</v>
      </c>
      <c r="L14961" s="4" t="s">
        <v>47</v>
      </c>
    </row>
    <row r="14962" customFormat="false" ht="17.15" hidden="false" customHeight="false" outlineLevel="0" collapsed="false">
      <c r="A14962" s="1" t="s">
        <v>1216</v>
      </c>
      <c r="B14962" s="1" t="s">
        <v>279</v>
      </c>
      <c r="F14962" s="8" t="n">
        <f aca="false">(1-v_off)*mid_yr</f>
        <v>0.373972602739726</v>
      </c>
      <c r="G14962" s="8" t="n">
        <f aca="false">Thesis!G6-base_fy-mid_yr-v_off</f>
        <v>1.24794520547945</v>
      </c>
      <c r="H14962" s="8" t="n">
        <f aca="false">Thesis!H6-base_fy-mid_yr-v_off</f>
        <v>2.24794520547945</v>
      </c>
      <c r="I14962" s="8" t="n">
        <f aca="false">Thesis!I6-base_fy-mid_yr-v_off</f>
        <v>3.24794520547945</v>
      </c>
      <c r="J14962" s="8" t="n">
        <f aca="false">Thesis!J6-base_fy-mid_yr-v_off</f>
        <v>4.24794520547945</v>
      </c>
      <c r="K14962" s="8" t="n">
        <f aca="false">Thesis!K6-base_fy-mid_yr-v_off</f>
        <v>5.24794520547945</v>
      </c>
      <c r="L14962" s="12" t="s">
        <v>1217</v>
      </c>
    </row>
    <row r="14963" customFormat="false" ht="15" hidden="false" customHeight="false" outlineLevel="0" collapsed="false">
      <c r="A14963" s="1" t="s">
        <v>1218</v>
      </c>
      <c r="B14963" s="1" t="s">
        <v>279</v>
      </c>
      <c r="F14963" s="8" t="n">
        <f aca="false">Thesis!F6-base_fy-v_off</f>
        <v>0.747945205479452</v>
      </c>
      <c r="G14963" s="8" t="n">
        <f aca="false">Thesis!G6-base_fy-v_off</f>
        <v>1.74794520547945</v>
      </c>
      <c r="H14963" s="8" t="n">
        <f aca="false">Thesis!H6-base_fy-v_off</f>
        <v>2.74794520547945</v>
      </c>
      <c r="I14963" s="8" t="n">
        <f aca="false">Thesis!I6-base_fy-v_off</f>
        <v>3.74794520547945</v>
      </c>
      <c r="J14963" s="8" t="n">
        <f aca="false">Thesis!J6-base_fy-v_off</f>
        <v>4.74794520547945</v>
      </c>
      <c r="K14963" s="8" t="n">
        <f aca="false">Thesis!K6-base_fy-v_off</f>
        <v>5.74794520547945</v>
      </c>
    </row>
    <row r="14964" customFormat="false" ht="15" hidden="false" customHeight="false" outlineLevel="0" collapsed="false">
      <c r="A14964" s="1" t="s">
        <v>1219</v>
      </c>
      <c r="B14964" s="0" t="s">
        <v>229</v>
      </c>
      <c r="F14964" s="15" t="n">
        <f aca="false">1/(1+wacc)^Sens!F14962</f>
        <v>0.964022703286649</v>
      </c>
      <c r="G14964" s="15" t="n">
        <f aca="false">1/(1+wacc)^Sens!G14962</f>
        <v>0.884910302296739</v>
      </c>
      <c r="H14964" s="15" t="n">
        <f aca="false">1/(1+wacc)^Sens!H14962</f>
        <v>0.802322009770358</v>
      </c>
      <c r="I14964" s="15" t="n">
        <f aca="false">1/(1+wacc)^Sens!I14962</f>
        <v>0.727441646561469</v>
      </c>
      <c r="J14964" s="15" t="n">
        <f aca="false">1/(1+wacc)^Sens!J14962</f>
        <v>0.659549834988973</v>
      </c>
      <c r="K14964" s="15" t="n">
        <f aca="false">1/(1+wacc)^Sens!K14962</f>
        <v>0.597994336576966</v>
      </c>
    </row>
    <row r="14965" customFormat="false" ht="17.15" hidden="false" customHeight="false" outlineLevel="0" collapsed="false">
      <c r="A14965" s="1" t="s">
        <v>1220</v>
      </c>
      <c r="B14965" s="0" t="s">
        <v>98</v>
      </c>
      <c r="F14965" s="6" t="n">
        <f aca="false">Q!$I$35-Q!$I$39-Q!$I$43</f>
        <v>9.666</v>
      </c>
      <c r="L14965" s="12" t="s">
        <v>1221</v>
      </c>
    </row>
    <row r="14966" customFormat="false" ht="17.15" hidden="false" customHeight="false" outlineLevel="0" collapsed="false">
      <c r="A14966" s="1" t="s">
        <v>1222</v>
      </c>
      <c r="B14966" s="0" t="s">
        <v>98</v>
      </c>
      <c r="F14966" s="6" t="n">
        <f aca="false">CF!F23-CF!F20-CF!F27+Thesis!F47*(1-tax_f)*(1-v_off)-Sens!F14965</f>
        <v>-1.12880264559539</v>
      </c>
      <c r="G14966" s="6" t="n">
        <f aca="false">CF!G23-CF!G20-CF!G27+Thesis!G47*(1-tax_f)</f>
        <v>38.7194421947551</v>
      </c>
      <c r="H14966" s="6" t="n">
        <f aca="false">CF!H23-CF!H20-CF!H27+Thesis!H47*(1-tax_f)</f>
        <v>98.6927474567662</v>
      </c>
      <c r="I14966" s="6" t="n">
        <f aca="false">CF!I23-CF!I20-CF!I27+Thesis!I47*(1-tax_f)</f>
        <v>181.625440536277</v>
      </c>
      <c r="J14966" s="6" t="n">
        <f aca="false">CF!J23-CF!J20-CF!J27+Thesis!J47*(1-tax_f)</f>
        <v>263.350402418584</v>
      </c>
      <c r="K14966" s="6" t="n">
        <f aca="false">CF!K23-CF!K20-CF!K27+Thesis!K47*(1-tax_f)</f>
        <v>303.659068389018</v>
      </c>
      <c r="L14966" s="1" t="s">
        <v>1223</v>
      </c>
    </row>
    <row r="14967" customFormat="false" ht="15" hidden="false" customHeight="false" outlineLevel="0" collapsed="false">
      <c r="A14967" s="1" t="s">
        <v>1224</v>
      </c>
      <c r="B14967" s="0" t="s">
        <v>98</v>
      </c>
      <c r="F14967" s="6" t="n">
        <f aca="false">Sens!F14966*Sens!F14964</f>
        <v>-1.08819137788399</v>
      </c>
      <c r="G14967" s="6" t="n">
        <f aca="false">Sens!G14966*Sens!G14964</f>
        <v>34.2632332973219</v>
      </c>
      <c r="H14967" s="6" t="n">
        <f aca="false">Sens!H14966*Sens!H14964</f>
        <v>79.183363489271</v>
      </c>
      <c r="I14967" s="6" t="n">
        <f aca="false">Sens!I14966*Sens!I14964</f>
        <v>132.121909521162</v>
      </c>
      <c r="J14967" s="6" t="n">
        <f aca="false">Sens!J14966*Sens!J14964</f>
        <v>173.692714459456</v>
      </c>
      <c r="K14967" s="6" t="n">
        <f aca="false">Sens!K14966*Sens!K14964</f>
        <v>181.58640314687</v>
      </c>
    </row>
    <row r="14968" customFormat="false" ht="17.15" hidden="false" customHeight="false" outlineLevel="0" collapsed="false">
      <c r="A14968" s="1" t="s">
        <v>1225</v>
      </c>
      <c r="B14968" s="0" t="s">
        <v>98</v>
      </c>
      <c r="C14968" s="6" t="n">
        <f aca="false">SUM(Sens!F14967:K14967)</f>
        <v>599.759432536197</v>
      </c>
    </row>
    <row r="14969" customFormat="false" ht="17.15" hidden="false" customHeight="false" outlineLevel="0" collapsed="false">
      <c r="A14969" s="1" t="s">
        <v>1226</v>
      </c>
      <c r="B14969" s="0" t="s">
        <v>98</v>
      </c>
      <c r="C14969" s="6" t="n">
        <f aca="false">PL!K39*(1+g_tv)*(1-tax_f)</f>
        <v>316.501318799308</v>
      </c>
    </row>
    <row r="14970" customFormat="false" ht="17.15" hidden="false" customHeight="false" outlineLevel="0" collapsed="false">
      <c r="A14970" s="1" t="s">
        <v>1227</v>
      </c>
      <c r="B14970" s="0" t="s">
        <v>98</v>
      </c>
      <c r="C14970" s="6" t="n">
        <f aca="false">Sens!$C$14969*(1-g_tv/(wacc+ronic_prem))</f>
        <v>224.25968269347</v>
      </c>
    </row>
    <row r="14971" customFormat="false" ht="17.15" hidden="false" customHeight="false" outlineLevel="0" collapsed="false">
      <c r="A14971" s="1" t="s">
        <v>1228</v>
      </c>
      <c r="B14971" s="0" t="s">
        <v>98</v>
      </c>
      <c r="C14971" s="6" t="n">
        <f aca="false">Sens!$C$14970/(wacc-g_tv)</f>
        <v>3074.72120352792</v>
      </c>
    </row>
    <row r="14972" customFormat="false" ht="15" hidden="false" customHeight="false" outlineLevel="0" collapsed="false">
      <c r="A14972" s="1" t="s">
        <v>1229</v>
      </c>
      <c r="B14972" s="0" t="s">
        <v>98</v>
      </c>
      <c r="C14972" s="6" t="n">
        <f aca="false">Sens!$C$14971/(1+wacc)^Sens!K14963</f>
        <v>1750.76373116397</v>
      </c>
    </row>
    <row r="14973" customFormat="false" ht="17.15" hidden="false" customHeight="false" outlineLevel="0" collapsed="false">
      <c r="A14973" s="0" t="s">
        <v>1230</v>
      </c>
      <c r="B14973" s="0" t="s">
        <v>98</v>
      </c>
      <c r="C14973" s="6" t="n">
        <f aca="false">Sens!$C$14968+Sens!$C$14972</f>
        <v>2350.52316370017</v>
      </c>
    </row>
    <row r="14974" customFormat="false" ht="15" hidden="false" customHeight="false" outlineLevel="0" collapsed="false">
      <c r="A14974" s="1" t="s">
        <v>1145</v>
      </c>
      <c r="B14974" s="0" t="s">
        <v>168</v>
      </c>
      <c r="C14974" s="7" t="n">
        <f aca="false">Sens!$C$14972/Sens!$C$14973</f>
        <v>0.744840024638574</v>
      </c>
    </row>
    <row r="14975" customFormat="false" ht="17.15" hidden="false" customHeight="false" outlineLevel="0" collapsed="false">
      <c r="A14975" s="1" t="s">
        <v>1231</v>
      </c>
      <c r="B14975" s="0" t="s">
        <v>98</v>
      </c>
      <c r="C14975" s="6" t="n">
        <f aca="false">Sens!$C$14973+cash_val-debt_val-fl_val+oai_v</f>
        <v>2466.37416370017</v>
      </c>
    </row>
    <row r="14976" customFormat="false" ht="17.15" hidden="false" customHeight="false" outlineLevel="0" collapsed="false">
      <c r="A14976" s="0" t="s">
        <v>1153</v>
      </c>
      <c r="B14976" s="0" t="s">
        <v>75</v>
      </c>
      <c r="C14976" s="5" t="n">
        <f aca="false">Sens!$C$14975/shd_val</f>
        <v>331.234778901447</v>
      </c>
    </row>
    <row r="14977" customFormat="false" ht="15" hidden="false" customHeight="false" outlineLevel="0" collapsed="false">
      <c r="A14977" s="1" t="s">
        <v>1232</v>
      </c>
      <c r="B14977" s="0" t="s">
        <v>75</v>
      </c>
      <c r="C14977" s="8" t="n">
        <f aca="false">div_rem27+CF!G31*roll_div_q/q_per_yr</f>
        <v>3.9795</v>
      </c>
    </row>
    <row r="14978" customFormat="false" ht="17.15" hidden="false" customHeight="false" outlineLevel="0" collapsed="false">
      <c r="A14978" s="0" t="s">
        <v>1233</v>
      </c>
      <c r="B14978" s="0" t="s">
        <v>75</v>
      </c>
      <c r="C14978" s="5" t="n">
        <f aca="false">Sens!$C$14976*(1+wacc)^t_roll-Sens!$C$14977</f>
        <v>364.206443208347</v>
      </c>
    </row>
    <row r="14979" customFormat="false" ht="17.15" hidden="false" customHeight="false" outlineLevel="0" collapsed="false">
      <c r="A14979" s="1" t="s">
        <v>1234</v>
      </c>
      <c r="B14979" s="0" t="s">
        <v>168</v>
      </c>
      <c r="F14979" s="7" t="n">
        <f aca="false">CF!F17/(Seg!F29-Thesis!F25)</f>
        <v>0.0685527305696859</v>
      </c>
      <c r="G14979" s="7" t="n">
        <f aca="false">CF!G17/(Seg!G29-Thesis!G25)</f>
        <v>0.0653567731599844</v>
      </c>
      <c r="H14979" s="7" t="n">
        <f aca="false">CF!H17/(Seg!H29-Thesis!H25)</f>
        <v>0.0636628841026972</v>
      </c>
      <c r="I14979" s="7" t="n">
        <f aca="false">CF!I17/(Seg!I29-Thesis!I25)</f>
        <v>0.0633581084335176</v>
      </c>
      <c r="J14979" s="7" t="n">
        <f aca="false">CF!J17/(Seg!J29-Thesis!J25)</f>
        <v>0.0640873955995062</v>
      </c>
      <c r="K14979" s="7" t="n">
        <f aca="false">CF!K17/(Seg!K29-Thesis!K25)</f>
        <v>0.0653962234835198</v>
      </c>
    </row>
    <row r="14980" customFormat="false" ht="17.15" hidden="false" customHeight="false" outlineLevel="0" collapsed="false">
      <c r="A14980" s="0" t="s">
        <v>1235</v>
      </c>
      <c r="B14980" s="0" t="s">
        <v>98</v>
      </c>
      <c r="F14980" s="6" t="n">
        <f aca="false">Seg!F14*(al_m365+Sens!F14979+sbc_r)</f>
        <v>84.5213906545575</v>
      </c>
      <c r="G14980" s="6" t="n">
        <f aca="false">Seg!G14*(al_m365+Sens!G14979+sbc_r)</f>
        <v>98.949983331796</v>
      </c>
      <c r="H14980" s="6" t="n">
        <f aca="false">Seg!H14*(al_m365+Sens!H14979+sbc_r)</f>
        <v>113.543734275326</v>
      </c>
      <c r="I14980" s="6" t="n">
        <f aca="false">Seg!I14*(al_m365+Sens!I14979+sbc_r)</f>
        <v>126.62058838692</v>
      </c>
      <c r="J14980" s="6" t="n">
        <f aca="false">Seg!J14*(al_m365+Sens!J14979+sbc_r)</f>
        <v>137.994660156303</v>
      </c>
      <c r="K14980" s="6" t="n">
        <f aca="false">Seg!K14*(al_m365+Sens!K14979+sbc_r)</f>
        <v>148.989224092997</v>
      </c>
      <c r="L14980" s="12" t="s">
        <v>1236</v>
      </c>
    </row>
    <row r="14981" customFormat="false" ht="17.15" hidden="false" customHeight="false" outlineLevel="0" collapsed="false">
      <c r="A14981" s="0" t="s">
        <v>1237</v>
      </c>
      <c r="B14981" s="0" t="s">
        <v>98</v>
      </c>
      <c r="F14981" s="6" t="n">
        <f aca="false">Seg!F15*(al_lic+Sens!F14979+sbc_r)</f>
        <v>32.855200196554</v>
      </c>
      <c r="G14981" s="6" t="n">
        <f aca="false">Seg!G15*(al_lic+Sens!G14979+sbc_r)</f>
        <v>34.1185582613282</v>
      </c>
      <c r="H14981" s="6" t="n">
        <f aca="false">Seg!H15*(al_lic+Sens!H14979+sbc_r)</f>
        <v>35.3024309363621</v>
      </c>
      <c r="I14981" s="6" t="n">
        <f aca="false">Seg!I15*(al_lic+Sens!I14979+sbc_r)</f>
        <v>36.3898468129533</v>
      </c>
      <c r="J14981" s="6" t="n">
        <f aca="false">Seg!J15*(al_lic+Sens!J14979+sbc_r)</f>
        <v>37.3529129529876</v>
      </c>
      <c r="K14981" s="6" t="n">
        <f aca="false">Seg!K15*(al_lic+Sens!K14979+sbc_r)</f>
        <v>38.158536171203</v>
      </c>
    </row>
    <row r="14982" customFormat="false" ht="17.15" hidden="false" customHeight="false" outlineLevel="0" collapsed="false">
      <c r="A14982" s="0" t="s">
        <v>1238</v>
      </c>
      <c r="B14982" s="0" t="s">
        <v>98</v>
      </c>
      <c r="F14982" s="6" t="n">
        <f aca="false">Seg!F17*(al_ind+Sens!F14979+sbc_r)</f>
        <v>9.05892547956683</v>
      </c>
      <c r="G14982" s="6" t="n">
        <f aca="false">Seg!G17*(al_ind+Sens!G14979+sbc_r)</f>
        <v>9.82456487622418</v>
      </c>
      <c r="H14982" s="6" t="n">
        <f aca="false">Seg!H17*(al_ind+Sens!H14979+sbc_r)</f>
        <v>10.6377408477959</v>
      </c>
      <c r="I14982" s="6" t="n">
        <f aca="false">Seg!I17*(al_ind+Sens!I14979+sbc_r)</f>
        <v>11.4966323260293</v>
      </c>
      <c r="J14982" s="6" t="n">
        <f aca="false">Seg!J17*(al_ind+Sens!J14979+sbc_r)</f>
        <v>12.3903660286279</v>
      </c>
      <c r="K14982" s="6" t="n">
        <f aca="false">Seg!K17*(al_ind+Sens!K14979+sbc_r)</f>
        <v>13.3009129057681</v>
      </c>
    </row>
    <row r="14983" customFormat="false" ht="17.15" hidden="false" customHeight="false" outlineLevel="0" collapsed="false">
      <c r="A14983" s="0" t="s">
        <v>1239</v>
      </c>
      <c r="B14983" s="0" t="s">
        <v>98</v>
      </c>
      <c r="F14983" s="6" t="n">
        <f aca="false">Seg!F19*(al_fro+Sens!F14979+sbc_r)</f>
        <v>3.55344443532423</v>
      </c>
      <c r="G14983" s="6" t="n">
        <f aca="false">Seg!G19*(al_fro+Sens!G14979+sbc_r)</f>
        <v>3.75916645971565</v>
      </c>
      <c r="H14983" s="6" t="n">
        <f aca="false">Seg!H19*(al_fro+Sens!H14979+sbc_r)</f>
        <v>3.994970960527</v>
      </c>
      <c r="I14983" s="6" t="n">
        <f aca="false">Seg!I19*(al_fro+Sens!I14979+sbc_r)</f>
        <v>4.26396270432353</v>
      </c>
      <c r="J14983" s="6" t="n">
        <f aca="false">Seg!J19*(al_fro+Sens!J14979+sbc_r)</f>
        <v>4.5667795874336</v>
      </c>
      <c r="K14983" s="6" t="n">
        <f aca="false">Seg!K19*(al_fro+Sens!K14979+sbc_r)</f>
        <v>4.90238443416026</v>
      </c>
    </row>
    <row r="14984" customFormat="false" ht="17.15" hidden="false" customHeight="false" outlineLevel="0" collapsed="false">
      <c r="A14984" s="0" t="s">
        <v>1240</v>
      </c>
      <c r="B14984" s="0" t="s">
        <v>98</v>
      </c>
      <c r="F14984" s="6" t="n">
        <f aca="false">Seg!F22*(al_srch+Sens!F14979+sbc_r)</f>
        <v>11.1872483445711</v>
      </c>
      <c r="G14984" s="6" t="n">
        <f aca="false">Seg!G22*(al_srch+Sens!G14979+sbc_r)</f>
        <v>12.247246048296</v>
      </c>
      <c r="H14984" s="6" t="n">
        <f aca="false">Seg!H22*(al_srch+Sens!H14979+sbc_r)</f>
        <v>13.3552870946193</v>
      </c>
      <c r="I14984" s="6" t="n">
        <f aca="false">Seg!I22*(al_srch+Sens!I14979+sbc_r)</f>
        <v>14.5024145321619</v>
      </c>
      <c r="J14984" s="6" t="n">
        <f aca="false">Seg!J22*(al_srch+Sens!J14979+sbc_r)</f>
        <v>15.667276660652</v>
      </c>
      <c r="K14984" s="6" t="n">
        <f aca="false">Seg!K22*(al_srch+Sens!K14979+sbc_r)</f>
        <v>16.8186381138719</v>
      </c>
    </row>
    <row r="14985" customFormat="false" ht="17.15" hidden="false" customHeight="false" outlineLevel="0" collapsed="false">
      <c r="A14985" s="0" t="s">
        <v>1241</v>
      </c>
      <c r="B14985" s="0" t="s">
        <v>98</v>
      </c>
      <c r="F14985" s="6" t="n">
        <f aca="false">Thesis!F31-Thesis!F32+Thesis!F47</f>
        <v>45.3782580567763</v>
      </c>
      <c r="G14985" s="6" t="n">
        <f aca="false">Thesis!G31-Thesis!G32+Thesis!G47</f>
        <v>91.0863367558165</v>
      </c>
      <c r="H14985" s="6" t="n">
        <f aca="false">Thesis!H31-Thesis!H32+Thesis!H47</f>
        <v>144.617532464853</v>
      </c>
      <c r="I14985" s="6" t="n">
        <f aca="false">Thesis!I31-Thesis!I32+Thesis!I47</f>
        <v>187.137304561304</v>
      </c>
      <c r="J14985" s="6" t="n">
        <f aca="false">Thesis!J31-Thesis!J32+Thesis!J47</f>
        <v>217.006854425907</v>
      </c>
      <c r="K14985" s="6" t="n">
        <f aca="false">Thesis!K31-Thesis!K32+Thesis!K47</f>
        <v>234.933637903877</v>
      </c>
    </row>
    <row r="14986" customFormat="false" ht="17.15" hidden="false" customHeight="false" outlineLevel="0" collapsed="false">
      <c r="A14986" s="0" t="s">
        <v>1242</v>
      </c>
      <c r="B14986" s="0" t="s">
        <v>98</v>
      </c>
      <c r="F14986" s="6" t="n">
        <f aca="false">PL!F32+Thesis!F47+Thesis!F43+Sens!F14979*(Seg!F21-Thesis!F25)+sbc_r*Seg!F21</f>
        <v>240.818167741339</v>
      </c>
      <c r="G14986" s="6" t="n">
        <f aca="false">PL!G32+Thesis!G47+Thesis!G43+Sens!G14979*(Seg!G21-Thesis!G25)+sbc_r*Seg!G21</f>
        <v>311.917784140952</v>
      </c>
      <c r="H14986" s="6" t="n">
        <f aca="false">PL!H32+Thesis!H47+Thesis!H43+Sens!H14979*(Seg!H21-Thesis!H25)+sbc_r*Seg!H21</f>
        <v>395.486245683473</v>
      </c>
      <c r="I14986" s="6" t="n">
        <f aca="false">PL!I32+Thesis!I47+Thesis!I43+Sens!I14979*(Seg!I21-Thesis!I25)+sbc_r*Seg!I21</f>
        <v>465.950805948377</v>
      </c>
      <c r="J14986" s="6" t="n">
        <f aca="false">PL!J32+Thesis!J47+Thesis!J43+Sens!J14979*(Seg!J21-Thesis!J25)+sbc_r*Seg!J21</f>
        <v>520.78677388057</v>
      </c>
      <c r="K14986" s="6" t="n">
        <f aca="false">PL!K32+Thesis!K47+Thesis!K43+Sens!K14979*(Seg!K21-Thesis!K25)+sbc_r*Seg!K21</f>
        <v>561.2469767412</v>
      </c>
    </row>
    <row r="14987" customFormat="false" ht="17.15" hidden="false" customHeight="false" outlineLevel="0" collapsed="false">
      <c r="A14987" s="0" t="s">
        <v>1243</v>
      </c>
      <c r="B14987" s="0" t="s">
        <v>98</v>
      </c>
      <c r="F14987" s="6" t="n">
        <f aca="false">Sens!F14986-Sens!F14980-Sens!F14981-Sens!F14982-Sens!F14983-Sens!F14985</f>
        <v>65.4509489185601</v>
      </c>
      <c r="G14987" s="6" t="n">
        <f aca="false">Sens!G14986-Sens!G14980-Sens!G14981-Sens!G14982-Sens!G14983-Sens!G14985</f>
        <v>74.1791744560715</v>
      </c>
      <c r="H14987" s="6" t="n">
        <f aca="false">Sens!H14986-Sens!H14980-Sens!H14981-Sens!H14982-Sens!H14983-Sens!H14985</f>
        <v>87.3898361986086</v>
      </c>
      <c r="I14987" s="6" t="n">
        <f aca="false">Sens!I14986-Sens!I14980-Sens!I14981-Sens!I14982-Sens!I14983-Sens!I14985</f>
        <v>100.042471156846</v>
      </c>
      <c r="J14987" s="6" t="n">
        <f aca="false">Sens!J14986-Sens!J14980-Sens!J14981-Sens!J14982-Sens!J14983-Sens!J14985</f>
        <v>111.475200729312</v>
      </c>
      <c r="K14987" s="6" t="n">
        <f aca="false">Sens!K14986-Sens!K14980-Sens!K14981-Sens!K14982-Sens!K14983-Sens!K14985</f>
        <v>120.962281233195</v>
      </c>
    </row>
    <row r="14988" customFormat="false" ht="17.15" hidden="false" customHeight="false" outlineLevel="0" collapsed="false">
      <c r="A14988" s="0" t="s">
        <v>1244</v>
      </c>
      <c r="B14988" s="0" t="s">
        <v>98</v>
      </c>
      <c r="F14988" s="6" t="n">
        <f aca="false">PL!F34+Sens!F14979*Seg!F28+sbc_r*Seg!F28</f>
        <v>26.6293388420472</v>
      </c>
      <c r="G14988" s="6" t="n">
        <f aca="false">PL!G34+Sens!G14979*Seg!G28+sbc_r*Seg!G28</f>
        <v>26.4405000412783</v>
      </c>
      <c r="H14988" s="6" t="n">
        <f aca="false">PL!H34+Sens!H14979*Seg!H28+sbc_r*Seg!H28</f>
        <v>27.296860059552</v>
      </c>
      <c r="I14988" s="6" t="n">
        <f aca="false">PL!I34+Sens!I14979*Seg!I28+sbc_r*Seg!I28</f>
        <v>28.3995465815703</v>
      </c>
      <c r="J14988" s="6" t="n">
        <f aca="false">PL!J34+Sens!J14979*Seg!J28+sbc_r*Seg!J28</f>
        <v>29.7093380975903</v>
      </c>
      <c r="K14988" s="6" t="n">
        <f aca="false">PL!K34+Sens!K14979*Seg!K28+sbc_r*Seg!K28</f>
        <v>31.1817775287323</v>
      </c>
    </row>
    <row r="14989" customFormat="false" ht="17.15" hidden="false" customHeight="false" outlineLevel="0" collapsed="false">
      <c r="A14989" s="0" t="s">
        <v>1245</v>
      </c>
      <c r="B14989" s="0" t="s">
        <v>98</v>
      </c>
      <c r="F14989" s="6" t="n">
        <f aca="false">(Sens!F14988-Sens!F14984)*Seg!F24/(Seg!F24+Seg!F26)</f>
        <v>8.72146908842971</v>
      </c>
      <c r="G14989" s="6" t="n">
        <f aca="false">(Sens!G14988-Sens!G14984)*Seg!G24/(Seg!G24+Seg!G26)</f>
        <v>7.87837655379173</v>
      </c>
      <c r="H14989" s="6" t="n">
        <f aca="false">(Sens!H14988-Sens!H14984)*Seg!H24/(Seg!H24+Seg!H26)</f>
        <v>7.63786170689933</v>
      </c>
      <c r="I14989" s="6" t="n">
        <f aca="false">(Sens!I14988-Sens!I14984)*Seg!I24/(Seg!I24+Seg!I26)</f>
        <v>7.5470606300581</v>
      </c>
      <c r="J14989" s="6" t="n">
        <f aca="false">(Sens!J14988-Sens!J14984)*Seg!J24/(Seg!J24+Seg!J26)</f>
        <v>7.59249600034024</v>
      </c>
      <c r="K14989" s="6" t="n">
        <f aca="false">(Sens!K14988-Sens!K14984)*Seg!K24/(Seg!K24+Seg!K26)</f>
        <v>7.76610179704742</v>
      </c>
    </row>
    <row r="14990" customFormat="false" ht="17.15" hidden="false" customHeight="false" outlineLevel="0" collapsed="false">
      <c r="A14990" s="0" t="s">
        <v>1246</v>
      </c>
      <c r="B14990" s="0" t="s">
        <v>98</v>
      </c>
      <c r="F14990" s="6" t="n">
        <f aca="false">Sens!F14988-Sens!F14984-Sens!F14989</f>
        <v>6.72062140904636</v>
      </c>
      <c r="G14990" s="6" t="n">
        <f aca="false">Sens!G14988-Sens!G14984-Sens!G14989</f>
        <v>6.31487743919059</v>
      </c>
      <c r="H14990" s="6" t="n">
        <f aca="false">Sens!H14988-Sens!H14984-Sens!H14989</f>
        <v>6.30371125803333</v>
      </c>
      <c r="I14990" s="6" t="n">
        <f aca="false">Sens!I14988-Sens!I14984-Sens!I14989</f>
        <v>6.35007141935025</v>
      </c>
      <c r="J14990" s="6" t="n">
        <f aca="false">Sens!J14988-Sens!J14984-Sens!J14989</f>
        <v>6.44956543659808</v>
      </c>
      <c r="K14990" s="6" t="n">
        <f aca="false">Sens!K14988-Sens!K14984-Sens!K14989</f>
        <v>6.597037617813</v>
      </c>
    </row>
    <row r="14991" customFormat="false" ht="17.15" hidden="false" customHeight="false" outlineLevel="0" collapsed="false">
      <c r="A14991" s="0" t="s">
        <v>1247</v>
      </c>
      <c r="B14991" s="0" t="s">
        <v>98</v>
      </c>
      <c r="F14991" s="6" t="n">
        <f aca="false">Sens!F14985-tax_f*(Sens!F14985-Thesis!F43)-Thesis!F40</f>
        <v>-125.235434701028</v>
      </c>
      <c r="G14991" s="6" t="n">
        <f aca="false">Sens!G14985-tax_f*(Sens!G14985-Thesis!G43)-Thesis!G40</f>
        <v>-106.928508113935</v>
      </c>
      <c r="H14991" s="6" t="n">
        <f aca="false">Sens!H14985-tax_f*(Sens!H14985-Thesis!H43)-Thesis!H40</f>
        <v>-63.2919599603405</v>
      </c>
      <c r="I14991" s="6" t="n">
        <f aca="false">Sens!I14985-tax_f*(Sens!I14985-Thesis!I43)-Thesis!I40</f>
        <v>3.94121196634245</v>
      </c>
      <c r="J14991" s="6" t="n">
        <f aca="false">Sens!J14985-tax_f*(Sens!J14985-Thesis!J43)-Thesis!J40</f>
        <v>71.0786869547042</v>
      </c>
      <c r="K14991" s="6" t="n">
        <f aca="false">Sens!K14985-tax_f*(Sens!K14985-Thesis!K43)-Thesis!K40</f>
        <v>97.5865911685559</v>
      </c>
    </row>
    <row r="14992" customFormat="false" ht="17.15" hidden="false" customHeight="false" outlineLevel="0" collapsed="false">
      <c r="A14992" s="0" t="s">
        <v>1248</v>
      </c>
      <c r="B14992" s="0" t="s">
        <v>98</v>
      </c>
      <c r="G14992" s="6" t="n">
        <f aca="false">Sens!G14991/(1+wacc)^(Sens!G14962-Sens!F14963)</f>
        <v>-101.81651667568</v>
      </c>
      <c r="H14992" s="6" t="n">
        <f aca="false">Sens!H14991/(1+wacc)^(Sens!H14962-Sens!F14963)</f>
        <v>-54.6415143556151</v>
      </c>
      <c r="I14992" s="6" t="n">
        <f aca="false">Sens!I14991/(1+wacc)^(Sens!I14962-Sens!F14963)</f>
        <v>3.08498765169516</v>
      </c>
      <c r="J14992" s="6" t="n">
        <f aca="false">Sens!J14991/(1+wacc)^(Sens!J14962-Sens!F14963)</f>
        <v>50.4443451596971</v>
      </c>
      <c r="K14992" s="6" t="n">
        <f aca="false">Sens!K14991/(1+wacc)^(Sens!K14962-Sens!F14963)</f>
        <v>62.7932114544856</v>
      </c>
      <c r="L14992" s="1" t="s">
        <v>1249</v>
      </c>
    </row>
    <row r="14993" customFormat="false" ht="17.15" hidden="false" customHeight="false" outlineLevel="0" collapsed="false">
      <c r="A14993" s="0" t="s">
        <v>1250</v>
      </c>
      <c r="B14993" s="0" t="s">
        <v>98</v>
      </c>
      <c r="C14993" s="6" t="n">
        <f aca="false">(Sens!K14985-Thesis!K43)*(1-tax_f)*(1+g_tv)*(1-g_tv/(wacc+ronic_prem))/(wacc-g_tv)/(1+wacc)^(Sens!K14963-Sens!F14963)</f>
        <v>450.836735002813</v>
      </c>
    </row>
    <row r="14994" customFormat="false" ht="17.15" hidden="false" customHeight="false" outlineLevel="0" collapsed="false">
      <c r="A14994" s="1" t="s">
        <v>1251</v>
      </c>
      <c r="B14994" s="0" t="s">
        <v>98</v>
      </c>
      <c r="C14994" s="6" t="n">
        <f aca="false">(SUM(Sens!G14992:K14992)+Sens!$C$14993)*(1+wacc)^(t_roll-Sens!F14963)</f>
        <v>424.259738494477</v>
      </c>
      <c r="L14994" s="12" t="s">
        <v>1252</v>
      </c>
    </row>
    <row r="14995" customFormat="false" ht="17.15" hidden="false" customHeight="false" outlineLevel="0" collapsed="false">
      <c r="A14995" s="1" t="s">
        <v>1253</v>
      </c>
      <c r="B14995" s="0" t="s">
        <v>98</v>
      </c>
      <c r="C14995" s="6" t="n">
        <f aca="false">(w_ntm28*Thesis!G31+(1-w_ntm28)*Thesis!H31)*m_ai*0.8</f>
        <v>450.653474606935</v>
      </c>
    </row>
    <row r="14996" customFormat="false" ht="17.15" hidden="false" customHeight="false" outlineLevel="0" collapsed="false">
      <c r="A14996" s="1" t="s">
        <v>1254</v>
      </c>
      <c r="B14996" s="0" t="s">
        <v>98</v>
      </c>
      <c r="C14996" s="6" t="n">
        <f aca="false">(w_ntm28*Sens!G14987+(1-w_ntm28)*Sens!H14987)*m_cloud*0.8</f>
        <v>868.143717572789</v>
      </c>
    </row>
    <row r="14997" customFormat="false" ht="17.15" hidden="false" customHeight="false" outlineLevel="0" collapsed="false">
      <c r="A14997" s="1" t="s">
        <v>1255</v>
      </c>
      <c r="B14997" s="0" t="s">
        <v>98</v>
      </c>
      <c r="C14997" s="6" t="n">
        <f aca="false">(w_ntm28*Sens!G14980+(1-w_ntm28)*Sens!H14980)*m_sw*0.8</f>
        <v>896.382105242201</v>
      </c>
    </row>
    <row r="14998" customFormat="false" ht="17.15" hidden="false" customHeight="false" outlineLevel="0" collapsed="false">
      <c r="A14998" s="1" t="s">
        <v>1256</v>
      </c>
      <c r="B14998" s="0" t="s">
        <v>98</v>
      </c>
      <c r="C14998" s="6" t="n">
        <f aca="false">(w_ntm28*Sens!G14981+(1-w_ntm28)*Sens!H14981)*m_sw*0.8</f>
        <v>298.147190472328</v>
      </c>
    </row>
    <row r="14999" customFormat="false" ht="17.15" hidden="false" customHeight="false" outlineLevel="0" collapsed="false">
      <c r="A14999" s="1" t="s">
        <v>1257</v>
      </c>
      <c r="B14999" s="0" t="s">
        <v>98</v>
      </c>
      <c r="C14999" s="6" t="n">
        <f aca="false">(w_ntm28*Sens!G14982+(1-w_ntm28)*Sens!H14982)*m_sw*0.8</f>
        <v>87.1941058657153</v>
      </c>
    </row>
    <row r="15000" customFormat="false" ht="17.15" hidden="false" customHeight="false" outlineLevel="0" collapsed="false">
      <c r="A15000" s="1" t="s">
        <v>1258</v>
      </c>
      <c r="B15000" s="0" t="s">
        <v>98</v>
      </c>
      <c r="C15000" s="6" t="n">
        <f aca="false">(w_ntm28*Sens!G14983+(1-w_ntm28)*Sens!H14983)*m_sw*0.8</f>
        <v>33.1490122021931</v>
      </c>
    </row>
    <row r="15001" customFormat="false" ht="17.15" hidden="false" customHeight="false" outlineLevel="0" collapsed="false">
      <c r="A15001" s="1" t="s">
        <v>1259</v>
      </c>
      <c r="B15001" s="0" t="s">
        <v>98</v>
      </c>
      <c r="C15001" s="6" t="n">
        <f aca="false">(w_ntm28*Sens!G14984+(1-w_ntm28)*Sens!H14984)*m_ads*0.8</f>
        <v>91.9128562615498</v>
      </c>
    </row>
    <row r="15002" customFormat="false" ht="17.15" hidden="false" customHeight="false" outlineLevel="0" collapsed="false">
      <c r="A15002" s="1" t="s">
        <v>1260</v>
      </c>
      <c r="B15002" s="0" t="s">
        <v>98</v>
      </c>
      <c r="C15002" s="6" t="n">
        <f aca="false">(w_ntm28*Sens!G14989+(1-w_ntm28)*Sens!H14989)*m_game*0.8</f>
        <v>78.8041593253744</v>
      </c>
    </row>
    <row r="15003" customFormat="false" ht="17.15" hidden="false" customHeight="false" outlineLevel="0" collapsed="false">
      <c r="A15003" s="1" t="s">
        <v>1261</v>
      </c>
      <c r="B15003" s="0" t="s">
        <v>98</v>
      </c>
      <c r="C15003" s="6" t="n">
        <f aca="false">(w_ntm28*Sens!G14990+(1-w_ntm28)*Sens!H14990)*m_pc*0.8</f>
        <v>73.0585248920451</v>
      </c>
    </row>
    <row r="15004" customFormat="false" ht="17.15" hidden="false" customHeight="false" outlineLevel="0" collapsed="false">
      <c r="A15004" s="1" t="s">
        <v>1262</v>
      </c>
      <c r="B15004" s="0" t="s">
        <v>98</v>
      </c>
      <c r="C15004" s="6" t="n">
        <f aca="false">Sens!$C$14994+Sens!$C$14996+Sens!$C$14997+Sens!$C$14998+Sens!$C$14999+Sens!$C$15000+Sens!$C$15001+Sens!$C$15002+Sens!$C$15003</f>
        <v>2851.05141032867</v>
      </c>
    </row>
    <row r="15005" customFormat="false" ht="17.15" hidden="false" customHeight="false" outlineLevel="0" collapsed="false">
      <c r="A15005" s="1" t="s">
        <v>1263</v>
      </c>
      <c r="B15005" s="0" t="s">
        <v>98</v>
      </c>
      <c r="C15005" s="6" t="n">
        <f aca="false">(Sens!G14966-Sens!G14991)*t_stub</f>
        <v>48.2832931160316</v>
      </c>
      <c r="L15005" s="1" t="s">
        <v>1264</v>
      </c>
    </row>
    <row r="15006" customFormat="false" ht="17.15" hidden="false" customHeight="false" outlineLevel="0" collapsed="false">
      <c r="A15006" s="1" t="s">
        <v>1173</v>
      </c>
      <c r="B15006" s="0" t="s">
        <v>98</v>
      </c>
      <c r="C15006" s="6" t="n">
        <f aca="false">CF!F39+oai_v-CF!F28+Sens!$C$15005</f>
        <v>162.511563116032</v>
      </c>
      <c r="L15006" s="1" t="s">
        <v>1265</v>
      </c>
    </row>
    <row r="15007" customFormat="false" ht="17.15" hidden="false" customHeight="false" outlineLevel="0" collapsed="false">
      <c r="A15007" s="1" t="s">
        <v>1266</v>
      </c>
      <c r="B15007" s="0" t="s">
        <v>75</v>
      </c>
      <c r="C15007" s="5" t="n">
        <f aca="false">(Sens!$C$15004+Sens!$C$15006)/(CF!F41+dil_gap)-CF!G31*roll_div_q/q_per_yr</f>
        <v>401.291101444438</v>
      </c>
      <c r="L15007" s="1" t="s">
        <v>1267</v>
      </c>
    </row>
    <row r="15008" customFormat="false" ht="17.15" hidden="false" customHeight="false" outlineLevel="0" collapsed="false">
      <c r="A15008" s="1" t="s">
        <v>1268</v>
      </c>
      <c r="B15008" s="0" t="s">
        <v>75</v>
      </c>
      <c r="C15008" s="5" t="n">
        <f aca="false">w_dcf*Sens!$C$14978+(1-w_dcf)*Sens!$C$15007</f>
        <v>382.748772326393</v>
      </c>
    </row>
    <row r="15009" customFormat="false" ht="17.15" hidden="false" customHeight="false" outlineLevel="0" collapsed="false">
      <c r="A15009" s="3" t="s">
        <v>1982</v>
      </c>
    </row>
    <row r="15010" customFormat="false" ht="15" hidden="false" customHeight="false" outlineLevel="0" collapsed="false">
      <c r="A15010" s="4" t="s">
        <v>43</v>
      </c>
      <c r="B15010" s="4" t="s">
        <v>65</v>
      </c>
      <c r="C15010" s="23" t="s">
        <v>942</v>
      </c>
      <c r="D15010" s="23" t="s">
        <v>943</v>
      </c>
      <c r="E15010" s="23" t="s">
        <v>944</v>
      </c>
      <c r="F15010" s="23" t="s">
        <v>945</v>
      </c>
      <c r="G15010" s="23" t="s">
        <v>946</v>
      </c>
      <c r="H15010" s="23" t="s">
        <v>947</v>
      </c>
      <c r="I15010" s="23" t="s">
        <v>948</v>
      </c>
      <c r="J15010" s="23" t="s">
        <v>949</v>
      </c>
      <c r="K15010" s="23" t="s">
        <v>950</v>
      </c>
      <c r="L15010" s="4" t="s">
        <v>47</v>
      </c>
    </row>
    <row r="15011" customFormat="false" ht="17.15" hidden="false" customHeight="false" outlineLevel="0" collapsed="false">
      <c r="A15011" s="1" t="s">
        <v>1216</v>
      </c>
      <c r="B15011" s="1" t="s">
        <v>279</v>
      </c>
      <c r="F15011" s="8" t="n">
        <f aca="false">(1-v_off)*mid_yr</f>
        <v>0.373972602739726</v>
      </c>
      <c r="G15011" s="8" t="n">
        <f aca="false">Thesis!G58-base_fy-mid_yr-v_off</f>
        <v>1.24794520547945</v>
      </c>
      <c r="H15011" s="8" t="n">
        <f aca="false">Thesis!H58-base_fy-mid_yr-v_off</f>
        <v>2.24794520547945</v>
      </c>
      <c r="I15011" s="8" t="n">
        <f aca="false">Thesis!I58-base_fy-mid_yr-v_off</f>
        <v>3.24794520547945</v>
      </c>
      <c r="J15011" s="8" t="n">
        <f aca="false">Thesis!J58-base_fy-mid_yr-v_off</f>
        <v>4.24794520547945</v>
      </c>
      <c r="K15011" s="8" t="n">
        <f aca="false">Thesis!K58-base_fy-mid_yr-v_off</f>
        <v>5.24794520547945</v>
      </c>
      <c r="L15011" s="12" t="s">
        <v>1217</v>
      </c>
    </row>
    <row r="15012" customFormat="false" ht="15" hidden="false" customHeight="false" outlineLevel="0" collapsed="false">
      <c r="A15012" s="1" t="s">
        <v>1218</v>
      </c>
      <c r="B15012" s="1" t="s">
        <v>279</v>
      </c>
      <c r="F15012" s="8" t="n">
        <f aca="false">Thesis!F58-base_fy-v_off</f>
        <v>0.747945205479452</v>
      </c>
      <c r="G15012" s="8" t="n">
        <f aca="false">Thesis!G58-base_fy-v_off</f>
        <v>1.74794520547945</v>
      </c>
      <c r="H15012" s="8" t="n">
        <f aca="false">Thesis!H58-base_fy-v_off</f>
        <v>2.74794520547945</v>
      </c>
      <c r="I15012" s="8" t="n">
        <f aca="false">Thesis!I58-base_fy-v_off</f>
        <v>3.74794520547945</v>
      </c>
      <c r="J15012" s="8" t="n">
        <f aca="false">Thesis!J58-base_fy-v_off</f>
        <v>4.74794520547945</v>
      </c>
      <c r="K15012" s="8" t="n">
        <f aca="false">Thesis!K58-base_fy-v_off</f>
        <v>5.74794520547945</v>
      </c>
    </row>
    <row r="15013" customFormat="false" ht="15" hidden="false" customHeight="false" outlineLevel="0" collapsed="false">
      <c r="A15013" s="1" t="s">
        <v>1219</v>
      </c>
      <c r="B15013" s="0" t="s">
        <v>229</v>
      </c>
      <c r="F15013" s="15" t="n">
        <f aca="false">1/(1+wacc)^Sens!F15011</f>
        <v>0.964022703286649</v>
      </c>
      <c r="G15013" s="15" t="n">
        <f aca="false">1/(1+wacc)^Sens!G15011</f>
        <v>0.884910302296739</v>
      </c>
      <c r="H15013" s="15" t="n">
        <f aca="false">1/(1+wacc)^Sens!H15011</f>
        <v>0.802322009770358</v>
      </c>
      <c r="I15013" s="15" t="n">
        <f aca="false">1/(1+wacc)^Sens!I15011</f>
        <v>0.727441646561469</v>
      </c>
      <c r="J15013" s="15" t="n">
        <f aca="false">1/(1+wacc)^Sens!J15011</f>
        <v>0.659549834988973</v>
      </c>
      <c r="K15013" s="15" t="n">
        <f aca="false">1/(1+wacc)^Sens!K15011</f>
        <v>0.597994336576966</v>
      </c>
    </row>
    <row r="15014" customFormat="false" ht="17.15" hidden="false" customHeight="false" outlineLevel="0" collapsed="false">
      <c r="A15014" s="1" t="s">
        <v>1220</v>
      </c>
      <c r="B15014" s="0" t="s">
        <v>98</v>
      </c>
      <c r="F15014" s="6" t="n">
        <f aca="false">Q!$I$35-Q!$I$39-Q!$I$43</f>
        <v>9.666</v>
      </c>
      <c r="L15014" s="12" t="s">
        <v>1221</v>
      </c>
    </row>
    <row r="15015" customFormat="false" ht="17.15" hidden="false" customHeight="false" outlineLevel="0" collapsed="false">
      <c r="A15015" s="1" t="s">
        <v>1222</v>
      </c>
      <c r="B15015" s="0" t="s">
        <v>98</v>
      </c>
      <c r="F15015" s="6" t="n">
        <f aca="false">CF!F55-CF!F52-CF!F59+Thesis!F99*(1-tax_f)*(1-v_off)-Sens!F15014</f>
        <v>-3.35959137570949</v>
      </c>
      <c r="G15015" s="6" t="n">
        <f aca="false">CF!G55-CF!G52-CF!G59+Thesis!G99*(1-tax_f)</f>
        <v>29.8084555066036</v>
      </c>
      <c r="H15015" s="6" t="n">
        <f aca="false">CF!H55-CF!H52-CF!H59+Thesis!H99*(1-tax_f)</f>
        <v>79.3231801478051</v>
      </c>
      <c r="I15015" s="6" t="n">
        <f aca="false">CF!I55-CF!I52-CF!I59+Thesis!I99*(1-tax_f)</f>
        <v>157.29132812061</v>
      </c>
      <c r="J15015" s="6" t="n">
        <f aca="false">CF!J55-CF!J52-CF!J59+Thesis!J99*(1-tax_f)</f>
        <v>235.537601843622</v>
      </c>
      <c r="K15015" s="6" t="n">
        <f aca="false">CF!K55-CF!K52-CF!K59+Thesis!K99*(1-tax_f)</f>
        <v>273.705067207806</v>
      </c>
      <c r="L15015" s="1" t="s">
        <v>1223</v>
      </c>
    </row>
    <row r="15016" customFormat="false" ht="15" hidden="false" customHeight="false" outlineLevel="0" collapsed="false">
      <c r="A15016" s="1" t="s">
        <v>1224</v>
      </c>
      <c r="B15016" s="0" t="s">
        <v>98</v>
      </c>
      <c r="F15016" s="6" t="n">
        <f aca="false">Sens!F15015*Sens!F15013</f>
        <v>-3.23872235994998</v>
      </c>
      <c r="G15016" s="6" t="n">
        <f aca="false">Sens!G15015*Sens!G15013</f>
        <v>26.3778093733475</v>
      </c>
      <c r="H15016" s="6" t="n">
        <f aca="false">Sens!H15015*Sens!H15013</f>
        <v>63.6427333175632</v>
      </c>
      <c r="I15016" s="6" t="n">
        <f aca="false">Sens!I15015*Sens!I15013</f>
        <v>114.420262717897</v>
      </c>
      <c r="J15016" s="6" t="n">
        <f aca="false">Sens!J15015*Sens!J15013</f>
        <v>155.348786429659</v>
      </c>
      <c r="K15016" s="6" t="n">
        <f aca="false">Sens!K15015*Sens!K15013</f>
        <v>163.674080082686</v>
      </c>
    </row>
    <row r="15017" customFormat="false" ht="17.15" hidden="false" customHeight="false" outlineLevel="0" collapsed="false">
      <c r="A15017" s="1" t="s">
        <v>1225</v>
      </c>
      <c r="B15017" s="0" t="s">
        <v>98</v>
      </c>
      <c r="C15017" s="6" t="n">
        <f aca="false">SUM(Sens!F15016:K15016)</f>
        <v>520.224949561203</v>
      </c>
    </row>
    <row r="15018" customFormat="false" ht="17.15" hidden="false" customHeight="false" outlineLevel="0" collapsed="false">
      <c r="A15018" s="1" t="s">
        <v>1226</v>
      </c>
      <c r="B15018" s="0" t="s">
        <v>98</v>
      </c>
      <c r="C15018" s="6" t="n">
        <f aca="false">PL!K78*(1+g_tv)*(1-tax_f)</f>
        <v>284.979534119394</v>
      </c>
    </row>
    <row r="15019" customFormat="false" ht="17.15" hidden="false" customHeight="false" outlineLevel="0" collapsed="false">
      <c r="A15019" s="1" t="s">
        <v>1227</v>
      </c>
      <c r="B15019" s="0" t="s">
        <v>98</v>
      </c>
      <c r="C15019" s="6" t="n">
        <f aca="false">Sens!$C$15018*(1-g_tv/(wacc+ronic_prem))</f>
        <v>201.924655916751</v>
      </c>
    </row>
    <row r="15020" customFormat="false" ht="17.15" hidden="false" customHeight="false" outlineLevel="0" collapsed="false">
      <c r="A15020" s="1" t="s">
        <v>1228</v>
      </c>
      <c r="B15020" s="0" t="s">
        <v>98</v>
      </c>
      <c r="C15020" s="6" t="n">
        <f aca="false">Sens!$C$15019/(wacc-g_tv)</f>
        <v>2768.49594008808</v>
      </c>
    </row>
    <row r="15021" customFormat="false" ht="15" hidden="false" customHeight="false" outlineLevel="0" collapsed="false">
      <c r="A15021" s="1" t="s">
        <v>1229</v>
      </c>
      <c r="B15021" s="0" t="s">
        <v>98</v>
      </c>
      <c r="C15021" s="6" t="n">
        <f aca="false">Sens!$C$15020/(1+wacc)^Sens!K15012</f>
        <v>1576.39732546142</v>
      </c>
    </row>
    <row r="15022" customFormat="false" ht="17.15" hidden="false" customHeight="false" outlineLevel="0" collapsed="false">
      <c r="A15022" s="0" t="s">
        <v>1230</v>
      </c>
      <c r="B15022" s="0" t="s">
        <v>98</v>
      </c>
      <c r="C15022" s="6" t="n">
        <f aca="false">Sens!$C$15017+Sens!$C$15021</f>
        <v>2096.62227502262</v>
      </c>
    </row>
    <row r="15023" customFormat="false" ht="15" hidden="false" customHeight="false" outlineLevel="0" collapsed="false">
      <c r="A15023" s="1" t="s">
        <v>1145</v>
      </c>
      <c r="B15023" s="0" t="s">
        <v>168</v>
      </c>
      <c r="C15023" s="7" t="n">
        <f aca="false">Sens!$C$15021/Sens!$C$15022</f>
        <v>0.751874738831729</v>
      </c>
    </row>
    <row r="15024" customFormat="false" ht="17.15" hidden="false" customHeight="false" outlineLevel="0" collapsed="false">
      <c r="A15024" s="1" t="s">
        <v>1231</v>
      </c>
      <c r="B15024" s="0" t="s">
        <v>98</v>
      </c>
      <c r="C15024" s="6" t="n">
        <f aca="false">Sens!$C$15022+cash_val-debt_val-fl_val+oai_v</f>
        <v>2212.47327502262</v>
      </c>
    </row>
    <row r="15025" customFormat="false" ht="17.15" hidden="false" customHeight="false" outlineLevel="0" collapsed="false">
      <c r="A15025" s="0" t="s">
        <v>1153</v>
      </c>
      <c r="B15025" s="0" t="s">
        <v>75</v>
      </c>
      <c r="C15025" s="5" t="n">
        <f aca="false">Sens!$C$15024/shd_val</f>
        <v>297.13581453433</v>
      </c>
    </row>
    <row r="15026" customFormat="false" ht="15" hidden="false" customHeight="false" outlineLevel="0" collapsed="false">
      <c r="A15026" s="1" t="s">
        <v>1232</v>
      </c>
      <c r="B15026" s="0" t="s">
        <v>75</v>
      </c>
      <c r="C15026" s="8" t="n">
        <f aca="false">div_rem27+CF!G63*roll_div_q/q_per_yr</f>
        <v>3.9795</v>
      </c>
    </row>
    <row r="15027" customFormat="false" ht="17.15" hidden="false" customHeight="false" outlineLevel="0" collapsed="false">
      <c r="A15027" s="0" t="s">
        <v>1233</v>
      </c>
      <c r="B15027" s="0" t="s">
        <v>75</v>
      </c>
      <c r="C15027" s="5" t="n">
        <f aca="false">Sens!$C$15025*(1+wacc)^t_roll-Sens!$C$15026</f>
        <v>326.303541225732</v>
      </c>
    </row>
    <row r="15028" customFormat="false" ht="17.15" hidden="false" customHeight="false" outlineLevel="0" collapsed="false">
      <c r="A15028" s="1" t="s">
        <v>1234</v>
      </c>
      <c r="B15028" s="0" t="s">
        <v>168</v>
      </c>
      <c r="F15028" s="7" t="n">
        <f aca="false">CF!F49/(Seg!F56-Thesis!F77)</f>
        <v>0.0686195668908011</v>
      </c>
      <c r="G15028" s="7" t="n">
        <f aca="false">CF!G49/(Seg!G56-Thesis!G77)</f>
        <v>0.0658333569148391</v>
      </c>
      <c r="H15028" s="7" t="n">
        <f aca="false">CF!H49/(Seg!H56-Thesis!H77)</f>
        <v>0.0643895625218926</v>
      </c>
      <c r="I15028" s="7" t="n">
        <f aca="false">CF!I49/(Seg!I56-Thesis!I77)</f>
        <v>0.0641676618157989</v>
      </c>
      <c r="J15028" s="7" t="n">
        <f aca="false">CF!J49/(Seg!J56-Thesis!J77)</f>
        <v>0.0648858606572163</v>
      </c>
      <c r="K15028" s="7" t="n">
        <f aca="false">CF!K49/(Seg!K56-Thesis!K77)</f>
        <v>0.0661974425163768</v>
      </c>
    </row>
    <row r="15029" customFormat="false" ht="17.15" hidden="false" customHeight="false" outlineLevel="0" collapsed="false">
      <c r="A15029" s="0" t="s">
        <v>1235</v>
      </c>
      <c r="B15029" s="0" t="s">
        <v>98</v>
      </c>
      <c r="F15029" s="6" t="n">
        <f aca="false">Seg!F41*(al_m365+Sens!F15028+sbc_r)</f>
        <v>83.7205619248671</v>
      </c>
      <c r="G15029" s="6" t="n">
        <f aca="false">Seg!G41*(al_m365+Sens!G15028+sbc_r)</f>
        <v>96.1301303332381</v>
      </c>
      <c r="H15029" s="6" t="n">
        <f aca="false">Seg!H41*(al_m365+Sens!H15028+sbc_r)</f>
        <v>108.70354073822</v>
      </c>
      <c r="I15029" s="6" t="n">
        <f aca="false">Seg!I41*(al_m365+Sens!I15028+sbc_r)</f>
        <v>120.260101315626</v>
      </c>
      <c r="J15029" s="6" t="n">
        <f aca="false">Seg!J41*(al_m365+Sens!J15028+sbc_r)</f>
        <v>130.611904548619</v>
      </c>
      <c r="K15029" s="6" t="n">
        <f aca="false">Seg!K41*(al_m365+Sens!K15028+sbc_r)</f>
        <v>140.575094974638</v>
      </c>
      <c r="L15029" s="12" t="s">
        <v>1236</v>
      </c>
    </row>
    <row r="15030" customFormat="false" ht="17.15" hidden="false" customHeight="false" outlineLevel="0" collapsed="false">
      <c r="A15030" s="0" t="s">
        <v>1237</v>
      </c>
      <c r="B15030" s="0" t="s">
        <v>98</v>
      </c>
      <c r="F15030" s="6" t="n">
        <f aca="false">Seg!F42*(al_lic+Sens!F15028+sbc_r)</f>
        <v>32.8577657183496</v>
      </c>
      <c r="G15030" s="6" t="n">
        <f aca="false">Seg!G42*(al_lic+Sens!G15028+sbc_r)</f>
        <v>34.1376266324889</v>
      </c>
      <c r="H15030" s="6" t="n">
        <f aca="false">Seg!H42*(al_lic+Sens!H15028+sbc_r)</f>
        <v>35.3325744664128</v>
      </c>
      <c r="I15030" s="6" t="n">
        <f aca="false">Seg!I42*(al_lic+Sens!I15028+sbc_r)</f>
        <v>36.4244749008727</v>
      </c>
      <c r="J15030" s="6" t="n">
        <f aca="false">Seg!J42*(al_lic+Sens!J15028+sbc_r)</f>
        <v>37.3879406068527</v>
      </c>
      <c r="K15030" s="6" t="n">
        <f aca="false">Seg!K42*(al_lic+Sens!K15028+sbc_r)</f>
        <v>38.1943876078259</v>
      </c>
    </row>
    <row r="15031" customFormat="false" ht="17.15" hidden="false" customHeight="false" outlineLevel="0" collapsed="false">
      <c r="A15031" s="0" t="s">
        <v>1238</v>
      </c>
      <c r="B15031" s="0" t="s">
        <v>98</v>
      </c>
      <c r="F15031" s="6" t="n">
        <f aca="false">Seg!F44*(al_ind+Sens!F15028+sbc_r)</f>
        <v>9.06041701092022</v>
      </c>
      <c r="G15031" s="6" t="n">
        <f aca="false">Seg!G44*(al_ind+Sens!G15028+sbc_r)</f>
        <v>9.83619082712885</v>
      </c>
      <c r="H15031" s="6" t="n">
        <f aca="false">Seg!H44*(al_ind+Sens!H15028+sbc_r)</f>
        <v>10.6570160105312</v>
      </c>
      <c r="I15031" s="6" t="n">
        <f aca="false">Seg!I44*(al_ind+Sens!I15028+sbc_r)</f>
        <v>11.5198571637125</v>
      </c>
      <c r="J15031" s="6" t="n">
        <f aca="false">Seg!J44*(al_ind+Sens!J15028+sbc_r)</f>
        <v>12.4150086539206</v>
      </c>
      <c r="K15031" s="6" t="n">
        <f aca="false">Seg!K44*(al_ind+Sens!K15028+sbc_r)</f>
        <v>13.3273714589988</v>
      </c>
    </row>
    <row r="15032" customFormat="false" ht="17.15" hidden="false" customHeight="false" outlineLevel="0" collapsed="false">
      <c r="A15032" s="0" t="s">
        <v>1239</v>
      </c>
      <c r="B15032" s="0" t="s">
        <v>98</v>
      </c>
      <c r="F15032" s="6" t="n">
        <f aca="false">Seg!F46*(al_fro+Sens!F15028+sbc_r)</f>
        <v>3.55402950182022</v>
      </c>
      <c r="G15032" s="6" t="n">
        <f aca="false">Seg!G46*(al_fro+Sens!G15028+sbc_r)</f>
        <v>3.76361488926481</v>
      </c>
      <c r="H15032" s="6" t="n">
        <f aca="false">Seg!H46*(al_fro+Sens!H15028+sbc_r)</f>
        <v>4.00220968879544</v>
      </c>
      <c r="I15032" s="6" t="n">
        <f aca="false">Seg!I46*(al_fro+Sens!I15028+sbc_r)</f>
        <v>4.2725765173852</v>
      </c>
      <c r="J15032" s="6" t="n">
        <f aca="false">Seg!J46*(al_fro+Sens!J15028+sbc_r)</f>
        <v>4.57586224390293</v>
      </c>
      <c r="K15032" s="6" t="n">
        <f aca="false">Seg!K46*(al_fro+Sens!K15028+sbc_r)</f>
        <v>4.91213639633217</v>
      </c>
    </row>
    <row r="15033" customFormat="false" ht="17.15" hidden="false" customHeight="false" outlineLevel="0" collapsed="false">
      <c r="A15033" s="0" t="s">
        <v>1240</v>
      </c>
      <c r="B15033" s="0" t="s">
        <v>98</v>
      </c>
      <c r="F15033" s="6" t="n">
        <f aca="false">Seg!F49*(al_srch+Sens!F15028+sbc_r)</f>
        <v>11.1890902994147</v>
      </c>
      <c r="G15033" s="6" t="n">
        <f aca="false">Seg!G49*(al_srch+Sens!G15028+sbc_r)</f>
        <v>12.261738891803</v>
      </c>
      <c r="H15033" s="6" t="n">
        <f aca="false">Seg!H49*(al_srch+Sens!H15028+sbc_r)</f>
        <v>13.3794863429193</v>
      </c>
      <c r="I15033" s="6" t="n">
        <f aca="false">Seg!I49*(al_srch+Sens!I15028+sbc_r)</f>
        <v>14.5317114787784</v>
      </c>
      <c r="J15033" s="6" t="n">
        <f aca="false">Seg!J49*(al_srch+Sens!J15028+sbc_r)</f>
        <v>15.6984365817724</v>
      </c>
      <c r="K15033" s="6" t="n">
        <f aca="false">Seg!K49*(al_srch+Sens!K15028+sbc_r)</f>
        <v>16.8520942258664</v>
      </c>
    </row>
    <row r="15034" customFormat="false" ht="17.15" hidden="false" customHeight="false" outlineLevel="0" collapsed="false">
      <c r="A15034" s="0" t="s">
        <v>1241</v>
      </c>
      <c r="B15034" s="0" t="s">
        <v>98</v>
      </c>
      <c r="F15034" s="6" t="n">
        <f aca="false">Thesis!F83-Thesis!F84+Thesis!F99</f>
        <v>42.5431090240393</v>
      </c>
      <c r="G15034" s="6" t="n">
        <f aca="false">Thesis!G83-Thesis!G84+Thesis!G99</f>
        <v>81.4922561130847</v>
      </c>
      <c r="H15034" s="6" t="n">
        <f aca="false">Thesis!H83-Thesis!H84+Thesis!H99</f>
        <v>123.278266211349</v>
      </c>
      <c r="I15034" s="6" t="n">
        <f aca="false">Thesis!I83-Thesis!I84+Thesis!I99</f>
        <v>160.60594185192</v>
      </c>
      <c r="J15034" s="6" t="n">
        <f aca="false">Thesis!J83-Thesis!J84+Thesis!J99</f>
        <v>186.818741832633</v>
      </c>
      <c r="K15034" s="6" t="n">
        <f aca="false">Thesis!K83-Thesis!K84+Thesis!K99</f>
        <v>202.776422159652</v>
      </c>
    </row>
    <row r="15035" customFormat="false" ht="17.15" hidden="false" customHeight="false" outlineLevel="0" collapsed="false">
      <c r="A15035" s="0" t="s">
        <v>1242</v>
      </c>
      <c r="B15035" s="0" t="s">
        <v>98</v>
      </c>
      <c r="F15035" s="6" t="n">
        <f aca="false">PL!F71+Thesis!F99+Thesis!F95+Sens!F15028*(Seg!F48-Thesis!F77)+sbc_r*Seg!F48</f>
        <v>238.090727427296</v>
      </c>
      <c r="G15035" s="6" t="n">
        <f aca="false">PL!G71+Thesis!G99+Thesis!G95+Sens!G15028*(Seg!G48-Thesis!G77)+sbc_r*Seg!G48</f>
        <v>299.90836088563</v>
      </c>
      <c r="H15035" s="6" t="n">
        <f aca="false">PL!H71+Thesis!H99+Thesis!H95+Sens!H15028*(Seg!H48-Thesis!H77)+sbc_r*Seg!H48</f>
        <v>369.457709442386</v>
      </c>
      <c r="I15035" s="6" t="n">
        <f aca="false">PL!I71+Thesis!I99+Thesis!I95+Sens!I15028*(Seg!I48-Thesis!I77)+sbc_r*Seg!I48</f>
        <v>433.16585128823</v>
      </c>
      <c r="J15035" s="6" t="n">
        <f aca="false">PL!J71+Thesis!J99+Thesis!J95+Sens!J15028*(Seg!J48-Thesis!J77)+sbc_r*Seg!J48</f>
        <v>483.301303131191</v>
      </c>
      <c r="K15035" s="6" t="n">
        <f aca="false">PL!K71+Thesis!K99+Thesis!K95+Sens!K15028*(Seg!K48-Thesis!K77)+sbc_r*Seg!K48</f>
        <v>520.789002205336</v>
      </c>
    </row>
    <row r="15036" customFormat="false" ht="17.15" hidden="false" customHeight="false" outlineLevel="0" collapsed="false">
      <c r="A15036" s="0" t="s">
        <v>1243</v>
      </c>
      <c r="B15036" s="0" t="s">
        <v>98</v>
      </c>
      <c r="F15036" s="6" t="n">
        <f aca="false">Sens!F15035-Sens!F15029-Sens!F15030-Sens!F15031-Sens!F15032-Sens!F15034</f>
        <v>66.3548442472996</v>
      </c>
      <c r="G15036" s="6" t="n">
        <f aca="false">Sens!G15035-Sens!G15029-Sens!G15030-Sens!G15031-Sens!G15032-Sens!G15034</f>
        <v>74.548542090425</v>
      </c>
      <c r="H15036" s="6" t="n">
        <f aca="false">Sens!H15035-Sens!H15029-Sens!H15030-Sens!H15031-Sens!H15032-Sens!H15034</f>
        <v>87.4841023270775</v>
      </c>
      <c r="I15036" s="6" t="n">
        <f aca="false">Sens!I15035-Sens!I15029-Sens!I15030-Sens!I15031-Sens!I15032-Sens!I15034</f>
        <v>100.082899538713</v>
      </c>
      <c r="J15036" s="6" t="n">
        <f aca="false">Sens!J15035-Sens!J15029-Sens!J15030-Sens!J15031-Sens!J15032-Sens!J15034</f>
        <v>111.491845245262</v>
      </c>
      <c r="K15036" s="6" t="n">
        <f aca="false">Sens!K15035-Sens!K15029-Sens!K15030-Sens!K15031-Sens!K15032-Sens!K15034</f>
        <v>121.003589607889</v>
      </c>
    </row>
    <row r="15037" customFormat="false" ht="17.15" hidden="false" customHeight="false" outlineLevel="0" collapsed="false">
      <c r="A15037" s="0" t="s">
        <v>1244</v>
      </c>
      <c r="B15037" s="0" t="s">
        <v>98</v>
      </c>
      <c r="F15037" s="6" t="n">
        <f aca="false">PL!F73+Sens!F15028*Seg!F55+sbc_r*Seg!F55</f>
        <v>26.6336365855879</v>
      </c>
      <c r="G15037" s="6" t="n">
        <f aca="false">PL!G73+Sens!G15028*Seg!G55+sbc_r*Seg!G55</f>
        <v>26.4720859498625</v>
      </c>
      <c r="H15037" s="6" t="n">
        <f aca="false">PL!H73+Sens!H15028*Seg!H55+sbc_r*Seg!H55</f>
        <v>27.346793021284</v>
      </c>
      <c r="I15037" s="6" t="n">
        <f aca="false">PL!I73+Sens!I15028*Seg!I55+sbc_r*Seg!I55</f>
        <v>28.4574657863154</v>
      </c>
      <c r="J15037" s="6" t="n">
        <f aca="false">PL!J73+Sens!J15028*Seg!J55+sbc_r*Seg!J55</f>
        <v>29.7689890546037</v>
      </c>
      <c r="K15037" s="6" t="n">
        <f aca="false">PL!K73+Sens!K15028*Seg!K55+sbc_r*Seg!K55</f>
        <v>31.2443947307494</v>
      </c>
    </row>
    <row r="15038" customFormat="false" ht="17.15" hidden="false" customHeight="false" outlineLevel="0" collapsed="false">
      <c r="A15038" s="0" t="s">
        <v>1245</v>
      </c>
      <c r="B15038" s="0" t="s">
        <v>98</v>
      </c>
      <c r="F15038" s="6" t="n">
        <f aca="false">(Sens!F15037-Sens!F15033)*Seg!F51/(Seg!F51+Seg!F53)</f>
        <v>8.72285608232241</v>
      </c>
      <c r="G15038" s="6" t="n">
        <f aca="false">(Sens!G15037-Sens!G15033)*Seg!G51/(Seg!G51+Seg!G53)</f>
        <v>7.88786455444355</v>
      </c>
      <c r="H15038" s="6" t="n">
        <f aca="false">(Sens!H15037-Sens!H15033)*Seg!H51/(Seg!H51+Seg!H53)</f>
        <v>7.65195986819674</v>
      </c>
      <c r="I15038" s="6" t="n">
        <f aca="false">(Sens!I15037-Sens!I15033)*Seg!I51/(Seg!I51+Seg!I53)</f>
        <v>7.56260440676676</v>
      </c>
      <c r="J15038" s="6" t="n">
        <f aca="false">(Sens!J15037-Sens!J15033)*Seg!J51/(Seg!J51+Seg!J53)</f>
        <v>7.60790100885945</v>
      </c>
      <c r="K15038" s="6" t="n">
        <f aca="false">(Sens!K15037-Sens!K15033)*Seg!K51/(Seg!K51+Seg!K53)</f>
        <v>7.78186910160995</v>
      </c>
    </row>
    <row r="15039" customFormat="false" ht="17.15" hidden="false" customHeight="false" outlineLevel="0" collapsed="false">
      <c r="A15039" s="0" t="s">
        <v>1246</v>
      </c>
      <c r="B15039" s="0" t="s">
        <v>98</v>
      </c>
      <c r="F15039" s="6" t="n">
        <f aca="false">Sens!F15037-Sens!F15033-Sens!F15038</f>
        <v>6.72169020385088</v>
      </c>
      <c r="G15039" s="6" t="n">
        <f aca="false">Sens!G15037-Sens!G15033-Sens!G15038</f>
        <v>6.322482503616</v>
      </c>
      <c r="H15039" s="6" t="n">
        <f aca="false">Sens!H15037-Sens!H15033-Sens!H15038</f>
        <v>6.315346810168</v>
      </c>
      <c r="I15039" s="6" t="n">
        <f aca="false">Sens!I15037-Sens!I15033-Sens!I15038</f>
        <v>6.36314990077033</v>
      </c>
      <c r="J15039" s="6" t="n">
        <f aca="false">Sens!J15037-Sens!J15033-Sens!J15038</f>
        <v>6.46265146397189</v>
      </c>
      <c r="K15039" s="6" t="n">
        <f aca="false">Sens!K15037-Sens!K15033-Sens!K15038</f>
        <v>6.61043140327304</v>
      </c>
    </row>
    <row r="15040" customFormat="false" ht="17.15" hidden="false" customHeight="false" outlineLevel="0" collapsed="false">
      <c r="A15040" s="0" t="s">
        <v>1247</v>
      </c>
      <c r="B15040" s="0" t="s">
        <v>98</v>
      </c>
      <c r="F15040" s="6" t="n">
        <f aca="false">Sens!F15034-tax_f*(Sens!F15034-Thesis!F95)-Thesis!F92</f>
        <v>-127.503553927218</v>
      </c>
      <c r="G15040" s="6" t="n">
        <f aca="false">Sens!G15034-tax_f*(Sens!G15034-Thesis!G95)-Thesis!G92</f>
        <v>-114.603772628121</v>
      </c>
      <c r="H15040" s="6" t="n">
        <f aca="false">Sens!H15034-tax_f*(Sens!H15034-Thesis!H95)-Thesis!H92</f>
        <v>-80.3633729631438</v>
      </c>
      <c r="I15040" s="6" t="n">
        <f aca="false">Sens!I15034-tax_f*(Sens!I15034-Thesis!I95)-Thesis!I92</f>
        <v>-17.2838782011649</v>
      </c>
      <c r="J15040" s="6" t="n">
        <f aca="false">Sens!J15034-tax_f*(Sens!J15034-Thesis!J95)-Thesis!J92</f>
        <v>46.9281968800854</v>
      </c>
      <c r="K15040" s="6" t="n">
        <f aca="false">Sens!K15034-tax_f*(Sens!K15034-Thesis!K95)-Thesis!K92</f>
        <v>71.8608185731755</v>
      </c>
    </row>
    <row r="15041" customFormat="false" ht="17.15" hidden="false" customHeight="false" outlineLevel="0" collapsed="false">
      <c r="A15041" s="0" t="s">
        <v>1248</v>
      </c>
      <c r="B15041" s="0" t="s">
        <v>98</v>
      </c>
      <c r="G15041" s="6" t="n">
        <f aca="false">Sens!G15040/(1+wacc)^(Sens!G15011-Sens!F15012)</f>
        <v>-109.124845494465</v>
      </c>
      <c r="H15041" s="6" t="n">
        <f aca="false">Sens!H15040/(1+wacc)^(Sens!H15011-Sens!F15012)</f>
        <v>-69.3796874071025</v>
      </c>
      <c r="I15041" s="6" t="n">
        <f aca="false">Sens!I15040/(1+wacc)^(Sens!I15011-Sens!F15012)</f>
        <v>-13.5289731380471</v>
      </c>
      <c r="J15041" s="6" t="n">
        <f aca="false">Sens!J15040/(1+wacc)^(Sens!J15011-Sens!F15012)</f>
        <v>33.3048099587126</v>
      </c>
      <c r="K15041" s="6" t="n">
        <f aca="false">Sens!K15040/(1+wacc)^(Sens!K15011-Sens!F15012)</f>
        <v>46.2396679904913</v>
      </c>
      <c r="L15041" s="1" t="s">
        <v>1249</v>
      </c>
    </row>
    <row r="15042" customFormat="false" ht="17.15" hidden="false" customHeight="false" outlineLevel="0" collapsed="false">
      <c r="A15042" s="0" t="s">
        <v>1250</v>
      </c>
      <c r="B15042" s="0" t="s">
        <v>98</v>
      </c>
      <c r="C15042" s="6" t="n">
        <f aca="false">(Sens!K15034-Thesis!K95)*(1-tax_f)*(1+g_tv)*(1-g_tv/(wacc+ronic_prem))/(wacc-g_tv)/(1+wacc)^(Sens!K15012-Sens!F15012)</f>
        <v>293.118051086843</v>
      </c>
    </row>
    <row r="15043" customFormat="false" ht="17.15" hidden="false" customHeight="false" outlineLevel="0" collapsed="false">
      <c r="A15043" s="1" t="s">
        <v>1251</v>
      </c>
      <c r="B15043" s="0" t="s">
        <v>98</v>
      </c>
      <c r="C15043" s="6" t="n">
        <f aca="false">(SUM(Sens!G15041:K15041)+Sens!$C$15042)*(1+wacc)^(t_roll-Sens!F15012)</f>
        <v>186.592133308255</v>
      </c>
      <c r="L15043" s="12" t="s">
        <v>1252</v>
      </c>
    </row>
    <row r="15044" customFormat="false" ht="17.15" hidden="false" customHeight="false" outlineLevel="0" collapsed="false">
      <c r="A15044" s="1" t="s">
        <v>1253</v>
      </c>
      <c r="B15044" s="0" t="s">
        <v>98</v>
      </c>
      <c r="C15044" s="6" t="n">
        <f aca="false">(w_ntm28*Thesis!G83+(1-w_ntm28)*Thesis!H83)*m_ai*0.8</f>
        <v>371.031287608268</v>
      </c>
    </row>
    <row r="15045" customFormat="false" ht="17.15" hidden="false" customHeight="false" outlineLevel="0" collapsed="false">
      <c r="A15045" s="1" t="s">
        <v>1254</v>
      </c>
      <c r="B15045" s="0" t="s">
        <v>98</v>
      </c>
      <c r="C15045" s="6" t="n">
        <f aca="false">(w_ntm28*Sens!G15036+(1-w_ntm28)*Sens!H15036)*m_cloud*0.8</f>
        <v>871.227493617963</v>
      </c>
    </row>
    <row r="15046" customFormat="false" ht="17.15" hidden="false" customHeight="false" outlineLevel="0" collapsed="false">
      <c r="A15046" s="1" t="s">
        <v>1255</v>
      </c>
      <c r="B15046" s="0" t="s">
        <v>98</v>
      </c>
      <c r="C15046" s="6" t="n">
        <f aca="false">(w_ntm28*Sens!G15029+(1-w_ntm28)*Sens!H15029)*m_sw*0.8</f>
        <v>866.279701169273</v>
      </c>
    </row>
    <row r="15047" customFormat="false" ht="17.15" hidden="false" customHeight="false" outlineLevel="0" collapsed="false">
      <c r="A15047" s="1" t="s">
        <v>1256</v>
      </c>
      <c r="B15047" s="0" t="s">
        <v>98</v>
      </c>
      <c r="C15047" s="6" t="n">
        <f aca="false">(w_ntm28*Sens!G15030+(1-w_ntm28)*Sens!H15030)*m_sw*0.8</f>
        <v>298.343400718984</v>
      </c>
    </row>
    <row r="15048" customFormat="false" ht="17.15" hidden="false" customHeight="false" outlineLevel="0" collapsed="false">
      <c r="A15048" s="1" t="s">
        <v>1257</v>
      </c>
      <c r="B15048" s="0" t="s">
        <v>98</v>
      </c>
      <c r="C15048" s="6" t="n">
        <f aca="false">(w_ntm28*Sens!G15031+(1-w_ntm28)*Sens!H15031)*m_sw*0.8</f>
        <v>87.3162820344798</v>
      </c>
    </row>
    <row r="15049" customFormat="false" ht="17.15" hidden="false" customHeight="false" outlineLevel="0" collapsed="false">
      <c r="A15049" s="1" t="s">
        <v>1258</v>
      </c>
      <c r="B15049" s="0" t="s">
        <v>98</v>
      </c>
      <c r="C15049" s="6" t="n">
        <f aca="false">(w_ntm28*Sens!G15032+(1-w_ntm28)*Sens!H15032)*m_sw*0.8</f>
        <v>33.1953726107914</v>
      </c>
    </row>
    <row r="15050" customFormat="false" ht="17.15" hidden="false" customHeight="false" outlineLevel="0" collapsed="false">
      <c r="A15050" s="1" t="s">
        <v>1259</v>
      </c>
      <c r="B15050" s="0" t="s">
        <v>98</v>
      </c>
      <c r="C15050" s="6" t="n">
        <f aca="false">(w_ntm28*Sens!G15033+(1-w_ntm28)*Sens!H15033)*m_ads*0.8</f>
        <v>92.0417371827703</v>
      </c>
    </row>
    <row r="15051" customFormat="false" ht="17.15" hidden="false" customHeight="false" outlineLevel="0" collapsed="false">
      <c r="A15051" s="1" t="s">
        <v>1260</v>
      </c>
      <c r="B15051" s="0" t="s">
        <v>98</v>
      </c>
      <c r="C15051" s="6" t="n">
        <f aca="false">(w_ntm28*Sens!G15038+(1-w_ntm28)*Sens!H15038)*m_game*0.8</f>
        <v>78.9153404060962</v>
      </c>
    </row>
    <row r="15052" customFormat="false" ht="17.15" hidden="false" customHeight="false" outlineLevel="0" collapsed="false">
      <c r="A15052" s="1" t="s">
        <v>1261</v>
      </c>
      <c r="B15052" s="0" t="s">
        <v>98</v>
      </c>
      <c r="C15052" s="6" t="n">
        <f aca="false">(w_ntm28*Sens!G15039+(1-w_ntm28)*Sens!H15039)*m_pc*0.8</f>
        <v>73.1619003810849</v>
      </c>
    </row>
    <row r="15053" customFormat="false" ht="17.15" hidden="false" customHeight="false" outlineLevel="0" collapsed="false">
      <c r="A15053" s="1" t="s">
        <v>1262</v>
      </c>
      <c r="B15053" s="0" t="s">
        <v>98</v>
      </c>
      <c r="C15053" s="6" t="n">
        <f aca="false">Sens!$C$15043+Sens!$C$15045+Sens!$C$15046+Sens!$C$15047+Sens!$C$15048+Sens!$C$15049+Sens!$C$15050+Sens!$C$15051+Sens!$C$15052</f>
        <v>2587.0733614297</v>
      </c>
    </row>
    <row r="15054" customFormat="false" ht="17.15" hidden="false" customHeight="false" outlineLevel="0" collapsed="false">
      <c r="A15054" s="1" t="s">
        <v>1263</v>
      </c>
      <c r="B15054" s="0" t="s">
        <v>98</v>
      </c>
      <c r="C15054" s="6" t="n">
        <f aca="false">(Sens!G15015-Sens!G15040)*t_stub</f>
        <v>47.8736427515113</v>
      </c>
      <c r="L15054" s="1" t="s">
        <v>1264</v>
      </c>
    </row>
    <row r="15055" customFormat="false" ht="17.15" hidden="false" customHeight="false" outlineLevel="0" collapsed="false">
      <c r="A15055" s="1" t="s">
        <v>1173</v>
      </c>
      <c r="B15055" s="0" t="s">
        <v>98</v>
      </c>
      <c r="C15055" s="6" t="n">
        <f aca="false">CF!F71+oai_v-CF!F60+Sens!$C$15054</f>
        <v>162.101912751511</v>
      </c>
      <c r="L15055" s="1" t="s">
        <v>1265</v>
      </c>
    </row>
    <row r="15056" customFormat="false" ht="17.15" hidden="false" customHeight="false" outlineLevel="0" collapsed="false">
      <c r="A15056" s="1" t="s">
        <v>1266</v>
      </c>
      <c r="B15056" s="0" t="s">
        <v>75</v>
      </c>
      <c r="C15056" s="5" t="n">
        <f aca="false">(Sens!$C$15053+Sens!$C$15055)/(CF!F73+dil_gap)-CF!G63*roll_div_q/q_per_yr</f>
        <v>365.736818531767</v>
      </c>
      <c r="L15056" s="1" t="s">
        <v>1267</v>
      </c>
    </row>
    <row r="15057" customFormat="false" ht="17.15" hidden="false" customHeight="false" outlineLevel="0" collapsed="false">
      <c r="A15057" s="1" t="s">
        <v>1268</v>
      </c>
      <c r="B15057" s="0" t="s">
        <v>75</v>
      </c>
      <c r="C15057" s="5" t="n">
        <f aca="false">w_dcf*Sens!$C$15027+(1-w_dcf)*Sens!$C$15056</f>
        <v>346.02017987875</v>
      </c>
    </row>
    <row r="15058" customFormat="false" ht="17.15" hidden="false" customHeight="false" outlineLevel="0" collapsed="false">
      <c r="A15058" s="3" t="s">
        <v>1983</v>
      </c>
    </row>
    <row r="15059" customFormat="false" ht="15" hidden="false" customHeight="false" outlineLevel="0" collapsed="false">
      <c r="A15059" s="4" t="s">
        <v>43</v>
      </c>
      <c r="B15059" s="4" t="s">
        <v>65</v>
      </c>
      <c r="C15059" s="23" t="s">
        <v>942</v>
      </c>
      <c r="D15059" s="23" t="s">
        <v>943</v>
      </c>
      <c r="E15059" s="23" t="s">
        <v>944</v>
      </c>
      <c r="F15059" s="23" t="s">
        <v>945</v>
      </c>
      <c r="G15059" s="23" t="s">
        <v>946</v>
      </c>
      <c r="H15059" s="23" t="s">
        <v>947</v>
      </c>
      <c r="I15059" s="23" t="s">
        <v>948</v>
      </c>
      <c r="J15059" s="23" t="s">
        <v>949</v>
      </c>
      <c r="K15059" s="23" t="s">
        <v>950</v>
      </c>
      <c r="L15059" s="4" t="s">
        <v>47</v>
      </c>
    </row>
    <row r="15060" customFormat="false" ht="17.15" hidden="false" customHeight="false" outlineLevel="0" collapsed="false">
      <c r="A15060" s="1" t="s">
        <v>1216</v>
      </c>
      <c r="B15060" s="1" t="s">
        <v>279</v>
      </c>
      <c r="F15060" s="8" t="n">
        <f aca="false">(1-v_off)*mid_yr</f>
        <v>0.373972602739726</v>
      </c>
      <c r="G15060" s="8" t="n">
        <f aca="false">Thesis!G110-base_fy-mid_yr-v_off</f>
        <v>1.24794520547945</v>
      </c>
      <c r="H15060" s="8" t="n">
        <f aca="false">Thesis!H110-base_fy-mid_yr-v_off</f>
        <v>2.24794520547945</v>
      </c>
      <c r="I15060" s="8" t="n">
        <f aca="false">Thesis!I110-base_fy-mid_yr-v_off</f>
        <v>3.24794520547945</v>
      </c>
      <c r="J15060" s="8" t="n">
        <f aca="false">Thesis!J110-base_fy-mid_yr-v_off</f>
        <v>4.24794520547945</v>
      </c>
      <c r="K15060" s="8" t="n">
        <f aca="false">Thesis!K110-base_fy-mid_yr-v_off</f>
        <v>5.24794520547945</v>
      </c>
      <c r="L15060" s="12" t="s">
        <v>1217</v>
      </c>
    </row>
    <row r="15061" customFormat="false" ht="15" hidden="false" customHeight="false" outlineLevel="0" collapsed="false">
      <c r="A15061" s="1" t="s">
        <v>1218</v>
      </c>
      <c r="B15061" s="1" t="s">
        <v>279</v>
      </c>
      <c r="F15061" s="8" t="n">
        <f aca="false">Thesis!F110-base_fy-v_off</f>
        <v>0.747945205479452</v>
      </c>
      <c r="G15061" s="8" t="n">
        <f aca="false">Thesis!G110-base_fy-v_off</f>
        <v>1.74794520547945</v>
      </c>
      <c r="H15061" s="8" t="n">
        <f aca="false">Thesis!H110-base_fy-v_off</f>
        <v>2.74794520547945</v>
      </c>
      <c r="I15061" s="8" t="n">
        <f aca="false">Thesis!I110-base_fy-v_off</f>
        <v>3.74794520547945</v>
      </c>
      <c r="J15061" s="8" t="n">
        <f aca="false">Thesis!J110-base_fy-v_off</f>
        <v>4.74794520547945</v>
      </c>
      <c r="K15061" s="8" t="n">
        <f aca="false">Thesis!K110-base_fy-v_off</f>
        <v>5.74794520547945</v>
      </c>
    </row>
    <row r="15062" customFormat="false" ht="15" hidden="false" customHeight="false" outlineLevel="0" collapsed="false">
      <c r="A15062" s="1" t="s">
        <v>1219</v>
      </c>
      <c r="B15062" s="0" t="s">
        <v>229</v>
      </c>
      <c r="F15062" s="15" t="n">
        <f aca="false">1/(1+wacc)^Sens!F15060</f>
        <v>0.964022703286649</v>
      </c>
      <c r="G15062" s="15" t="n">
        <f aca="false">1/(1+wacc)^Sens!G15060</f>
        <v>0.884910302296739</v>
      </c>
      <c r="H15062" s="15" t="n">
        <f aca="false">1/(1+wacc)^Sens!H15060</f>
        <v>0.802322009770358</v>
      </c>
      <c r="I15062" s="15" t="n">
        <f aca="false">1/(1+wacc)^Sens!I15060</f>
        <v>0.727441646561469</v>
      </c>
      <c r="J15062" s="15" t="n">
        <f aca="false">1/(1+wacc)^Sens!J15060</f>
        <v>0.659549834988973</v>
      </c>
      <c r="K15062" s="15" t="n">
        <f aca="false">1/(1+wacc)^Sens!K15060</f>
        <v>0.597994336576966</v>
      </c>
    </row>
    <row r="15063" customFormat="false" ht="17.15" hidden="false" customHeight="false" outlineLevel="0" collapsed="false">
      <c r="A15063" s="1" t="s">
        <v>1220</v>
      </c>
      <c r="B15063" s="0" t="s">
        <v>98</v>
      </c>
      <c r="F15063" s="6" t="n">
        <f aca="false">Q!$I$35-Q!$I$39-Q!$I$43</f>
        <v>9.666</v>
      </c>
      <c r="L15063" s="12" t="s">
        <v>1221</v>
      </c>
    </row>
    <row r="15064" customFormat="false" ht="17.15" hidden="false" customHeight="false" outlineLevel="0" collapsed="false">
      <c r="A15064" s="1" t="s">
        <v>1222</v>
      </c>
      <c r="B15064" s="0" t="s">
        <v>98</v>
      </c>
      <c r="F15064" s="6" t="n">
        <f aca="false">CF!F87-CF!F84-CF!F91+Thesis!F151*(1-tax_f)*(1-v_off)-Sens!F15063</f>
        <v>-6.10282680452259</v>
      </c>
      <c r="G15064" s="6" t="n">
        <f aca="false">CF!G87-CF!G84-CF!G91+Thesis!G151*(1-tax_f)</f>
        <v>19.0084129023516</v>
      </c>
      <c r="H15064" s="6" t="n">
        <f aca="false">CF!H87-CF!H84-CF!H91+Thesis!H151*(1-tax_f)</f>
        <v>55.9229468383331</v>
      </c>
      <c r="I15064" s="6" t="n">
        <f aca="false">CF!I87-CF!I84-CF!I91+Thesis!I151*(1-tax_f)</f>
        <v>127.901908576191</v>
      </c>
      <c r="J15064" s="6" t="n">
        <f aca="false">CF!J87-CF!J84-CF!J91+Thesis!J151*(1-tax_f)</f>
        <v>201.958443859638</v>
      </c>
      <c r="K15064" s="6" t="n">
        <f aca="false">CF!K87-CF!K84-CF!K91+Thesis!K151*(1-tax_f)</f>
        <v>237.542519059905</v>
      </c>
      <c r="L15064" s="1" t="s">
        <v>1223</v>
      </c>
    </row>
    <row r="15065" customFormat="false" ht="15" hidden="false" customHeight="false" outlineLevel="0" collapsed="false">
      <c r="A15065" s="1" t="s">
        <v>1224</v>
      </c>
      <c r="B15065" s="0" t="s">
        <v>98</v>
      </c>
      <c r="F15065" s="6" t="n">
        <f aca="false">Sens!F15064*Sens!F15062</f>
        <v>-5.88326359378609</v>
      </c>
      <c r="G15065" s="6" t="n">
        <f aca="false">Sens!G15064*Sens!G15062</f>
        <v>16.8207404076012</v>
      </c>
      <c r="H15065" s="6" t="n">
        <f aca="false">Sens!H15064*Sens!H15062</f>
        <v>44.8682110996123</v>
      </c>
      <c r="I15065" s="6" t="n">
        <f aca="false">Sens!I15064*Sens!I15062</f>
        <v>93.0411749730187</v>
      </c>
      <c r="J15065" s="6" t="n">
        <f aca="false">Sens!J15064*Sens!J15062</f>
        <v>133.201658322254</v>
      </c>
      <c r="K15065" s="6" t="n">
        <f aca="false">Sens!K15064*Sens!K15062</f>
        <v>142.049081094049</v>
      </c>
    </row>
    <row r="15066" customFormat="false" ht="17.15" hidden="false" customHeight="false" outlineLevel="0" collapsed="false">
      <c r="A15066" s="1" t="s">
        <v>1225</v>
      </c>
      <c r="B15066" s="0" t="s">
        <v>98</v>
      </c>
      <c r="C15066" s="6" t="n">
        <f aca="false">SUM(Sens!F15065:K15065)</f>
        <v>424.097602302749</v>
      </c>
    </row>
    <row r="15067" customFormat="false" ht="17.15" hidden="false" customHeight="false" outlineLevel="0" collapsed="false">
      <c r="A15067" s="1" t="s">
        <v>1226</v>
      </c>
      <c r="B15067" s="0" t="s">
        <v>98</v>
      </c>
      <c r="C15067" s="6" t="n">
        <f aca="false">PL!K117*(1+g_tv)*(1-tax_f)</f>
        <v>247.098906713682</v>
      </c>
    </row>
    <row r="15068" customFormat="false" ht="17.15" hidden="false" customHeight="false" outlineLevel="0" collapsed="false">
      <c r="A15068" s="1" t="s">
        <v>1227</v>
      </c>
      <c r="B15068" s="0" t="s">
        <v>98</v>
      </c>
      <c r="C15068" s="6" t="n">
        <f aca="false">Sens!$C$15067*(1-g_tv/(wacc+ronic_prem))</f>
        <v>175.084017418113</v>
      </c>
    </row>
    <row r="15069" customFormat="false" ht="17.15" hidden="false" customHeight="false" outlineLevel="0" collapsed="false">
      <c r="A15069" s="1" t="s">
        <v>1228</v>
      </c>
      <c r="B15069" s="0" t="s">
        <v>98</v>
      </c>
      <c r="C15069" s="6" t="n">
        <f aca="false">Sens!$C$15068/(wacc-g_tv)</f>
        <v>2400.4963098523</v>
      </c>
    </row>
    <row r="15070" customFormat="false" ht="15" hidden="false" customHeight="false" outlineLevel="0" collapsed="false">
      <c r="A15070" s="1" t="s">
        <v>1229</v>
      </c>
      <c r="B15070" s="0" t="s">
        <v>98</v>
      </c>
      <c r="C15070" s="6" t="n">
        <f aca="false">Sens!$C$15069/(1+wacc)^Sens!K15061</f>
        <v>1366.85624415645</v>
      </c>
    </row>
    <row r="15071" customFormat="false" ht="17.15" hidden="false" customHeight="false" outlineLevel="0" collapsed="false">
      <c r="A15071" s="0" t="s">
        <v>1230</v>
      </c>
      <c r="B15071" s="0" t="s">
        <v>98</v>
      </c>
      <c r="C15071" s="6" t="n">
        <f aca="false">Sens!$C$15066+Sens!$C$15070</f>
        <v>1790.9538464592</v>
      </c>
    </row>
    <row r="15072" customFormat="false" ht="15" hidden="false" customHeight="false" outlineLevel="0" collapsed="false">
      <c r="A15072" s="1" t="s">
        <v>1145</v>
      </c>
      <c r="B15072" s="0" t="s">
        <v>168</v>
      </c>
      <c r="C15072" s="7" t="n">
        <f aca="false">Sens!$C$15070/Sens!$C$15071</f>
        <v>0.763200149941769</v>
      </c>
    </row>
    <row r="15073" customFormat="false" ht="17.15" hidden="false" customHeight="false" outlineLevel="0" collapsed="false">
      <c r="A15073" s="1" t="s">
        <v>1231</v>
      </c>
      <c r="B15073" s="0" t="s">
        <v>98</v>
      </c>
      <c r="C15073" s="6" t="n">
        <f aca="false">Sens!$C$15071+cash_val-debt_val-fl_val+oai_v</f>
        <v>1906.8048464592</v>
      </c>
    </row>
    <row r="15074" customFormat="false" ht="17.15" hidden="false" customHeight="false" outlineLevel="0" collapsed="false">
      <c r="A15074" s="0" t="s">
        <v>1153</v>
      </c>
      <c r="B15074" s="0" t="s">
        <v>75</v>
      </c>
      <c r="C15074" s="5" t="n">
        <f aca="false">Sens!$C$15073/shd_val</f>
        <v>256.084454265269</v>
      </c>
    </row>
    <row r="15075" customFormat="false" ht="15" hidden="false" customHeight="false" outlineLevel="0" collapsed="false">
      <c r="A15075" s="1" t="s">
        <v>1232</v>
      </c>
      <c r="B15075" s="0" t="s">
        <v>75</v>
      </c>
      <c r="C15075" s="8" t="n">
        <f aca="false">div_rem27+CF!G95*roll_div_q/q_per_yr</f>
        <v>3.9795</v>
      </c>
    </row>
    <row r="15076" customFormat="false" ht="17.15" hidden="false" customHeight="false" outlineLevel="0" collapsed="false">
      <c r="A15076" s="0" t="s">
        <v>1233</v>
      </c>
      <c r="B15076" s="0" t="s">
        <v>75</v>
      </c>
      <c r="C15076" s="5" t="n">
        <f aca="false">Sens!$C$15074*(1+wacc)^t_roll-Sens!$C$15075</f>
        <v>280.67266317972</v>
      </c>
    </row>
    <row r="15077" customFormat="false" ht="17.15" hidden="false" customHeight="false" outlineLevel="0" collapsed="false">
      <c r="A15077" s="1" t="s">
        <v>1234</v>
      </c>
      <c r="B15077" s="0" t="s">
        <v>168</v>
      </c>
      <c r="F15077" s="7" t="n">
        <f aca="false">CF!F81/(Seg!F83-Thesis!F129)</f>
        <v>0.068677393452264</v>
      </c>
      <c r="G15077" s="7" t="n">
        <f aca="false">CF!G81/(Seg!G83-Thesis!G129)</f>
        <v>0.0663132664471956</v>
      </c>
      <c r="H15077" s="7" t="n">
        <f aca="false">CF!H81/(Seg!H83-Thesis!H129)</f>
        <v>0.0651363826734039</v>
      </c>
      <c r="I15077" s="7" t="n">
        <f aca="false">CF!I81/(Seg!I83-Thesis!I129)</f>
        <v>0.0650087936347709</v>
      </c>
      <c r="J15077" s="7" t="n">
        <f aca="false">CF!J81/(Seg!J83-Thesis!J129)</f>
        <v>0.0657212684841778</v>
      </c>
      <c r="K15077" s="7" t="n">
        <f aca="false">CF!K81/(Seg!K83-Thesis!K129)</f>
        <v>0.0670413306015285</v>
      </c>
    </row>
    <row r="15078" customFormat="false" ht="17.15" hidden="false" customHeight="false" outlineLevel="0" collapsed="false">
      <c r="A15078" s="0" t="s">
        <v>1235</v>
      </c>
      <c r="B15078" s="0" t="s">
        <v>98</v>
      </c>
      <c r="F15078" s="6" t="n">
        <f aca="false">Seg!F68*(al_m365+Sens!F15077+sbc_r)</f>
        <v>82.9185219618347</v>
      </c>
      <c r="G15078" s="6" t="n">
        <f aca="false">Seg!G68*(al_m365+Sens!G15077+sbc_r)</f>
        <v>93.3068052157631</v>
      </c>
      <c r="H15078" s="6" t="n">
        <f aca="false">Seg!H68*(al_m365+Sens!H15077+sbc_r)</f>
        <v>103.856057136159</v>
      </c>
      <c r="I15078" s="6" t="n">
        <f aca="false">Seg!I68*(al_m365+Sens!I15077+sbc_r)</f>
        <v>113.889717587147</v>
      </c>
      <c r="J15078" s="6" t="n">
        <f aca="false">Seg!J68*(al_m365+Sens!J15077+sbc_r)</f>
        <v>123.218477864124</v>
      </c>
      <c r="K15078" s="6" t="n">
        <f aca="false">Seg!K68*(al_m365+Sens!K15077+sbc_r)</f>
        <v>132.149420086311</v>
      </c>
      <c r="L15078" s="12" t="s">
        <v>1236</v>
      </c>
    </row>
    <row r="15079" customFormat="false" ht="17.15" hidden="false" customHeight="false" outlineLevel="0" collapsed="false">
      <c r="A15079" s="0" t="s">
        <v>1237</v>
      </c>
      <c r="B15079" s="0" t="s">
        <v>98</v>
      </c>
      <c r="F15079" s="6" t="n">
        <f aca="false">Seg!F69*(al_lic+Sens!F15077+sbc_r)</f>
        <v>32.8599853992256</v>
      </c>
      <c r="G15079" s="6" t="n">
        <f aca="false">Seg!G69*(al_lic+Sens!G15077+sbc_r)</f>
        <v>34.1568280697879</v>
      </c>
      <c r="H15079" s="6" t="n">
        <f aca="false">Seg!H69*(al_lic+Sens!H15077+sbc_r)</f>
        <v>35.3635535007213</v>
      </c>
      <c r="I15079" s="6" t="n">
        <f aca="false">Seg!I69*(al_lic+Sens!I15077+sbc_r)</f>
        <v>36.4604537346553</v>
      </c>
      <c r="J15079" s="6" t="n">
        <f aca="false">Seg!J69*(al_lic+Sens!J15077+sbc_r)</f>
        <v>37.4245888933574</v>
      </c>
      <c r="K15079" s="6" t="n">
        <f aca="false">Seg!K69*(al_lic+Sens!K15077+sbc_r)</f>
        <v>38.2321483186439</v>
      </c>
    </row>
    <row r="15080" customFormat="false" ht="17.15" hidden="false" customHeight="false" outlineLevel="0" collapsed="false">
      <c r="A15080" s="0" t="s">
        <v>1238</v>
      </c>
      <c r="B15080" s="0" t="s">
        <v>98</v>
      </c>
      <c r="F15080" s="6" t="n">
        <f aca="false">Seg!F71*(al_ind+Sens!F15077+sbc_r)</f>
        <v>9.06170747885803</v>
      </c>
      <c r="G15080" s="6" t="n">
        <f aca="false">Seg!G71*(al_ind+Sens!G15077+sbc_r)</f>
        <v>9.8478979082138</v>
      </c>
      <c r="H15080" s="6" t="n">
        <f aca="false">Seg!H71*(al_ind+Sens!H15077+sbc_r)</f>
        <v>10.6768254332059</v>
      </c>
      <c r="I15080" s="6" t="n">
        <f aca="false">Seg!I71*(al_ind+Sens!I15077+sbc_r)</f>
        <v>11.54398793803</v>
      </c>
      <c r="J15080" s="6" t="n">
        <f aca="false">Seg!J71*(al_ind+Sens!J15077+sbc_r)</f>
        <v>12.4407914253112</v>
      </c>
      <c r="K15080" s="6" t="n">
        <f aca="false">Seg!K71*(al_ind+Sens!K15077+sbc_r)</f>
        <v>13.355239066864</v>
      </c>
    </row>
    <row r="15081" customFormat="false" ht="17.15" hidden="false" customHeight="false" outlineLevel="0" collapsed="false">
      <c r="A15081" s="0" t="s">
        <v>1239</v>
      </c>
      <c r="B15081" s="0" t="s">
        <v>98</v>
      </c>
      <c r="F15081" s="6" t="n">
        <f aca="false">Seg!F73*(al_fro+Sens!F15077+sbc_r)</f>
        <v>3.55453569939552</v>
      </c>
      <c r="G15081" s="6" t="n">
        <f aca="false">Seg!G73*(al_fro+Sens!G15077+sbc_r)</f>
        <v>3.76809436159872</v>
      </c>
      <c r="H15081" s="6" t="n">
        <f aca="false">Seg!H73*(al_fro+Sens!H15077+sbc_r)</f>
        <v>4.00964905674607</v>
      </c>
      <c r="I15081" s="6" t="n">
        <f aca="false">Seg!I73*(al_fro+Sens!I15077+sbc_r)</f>
        <v>4.28152633145235</v>
      </c>
      <c r="J15081" s="6" t="n">
        <f aca="false">Seg!J73*(al_fro+Sens!J15077+sbc_r)</f>
        <v>4.58536512975975</v>
      </c>
      <c r="K15081" s="6" t="n">
        <f aca="false">Seg!K73*(al_fro+Sens!K15077+sbc_r)</f>
        <v>4.92240770086468</v>
      </c>
    </row>
    <row r="15082" customFormat="false" ht="17.15" hidden="false" customHeight="false" outlineLevel="0" collapsed="false">
      <c r="A15082" s="0" t="s">
        <v>1240</v>
      </c>
      <c r="B15082" s="0" t="s">
        <v>98</v>
      </c>
      <c r="F15082" s="6" t="n">
        <f aca="false">Seg!F76*(al_srch+Sens!F15077+sbc_r)</f>
        <v>11.190683952584</v>
      </c>
      <c r="G15082" s="6" t="n">
        <f aca="false">Seg!G76*(al_srch+Sens!G15077+sbc_r)</f>
        <v>12.2763328717258</v>
      </c>
      <c r="H15082" s="6" t="n">
        <f aca="false">Seg!H76*(al_srch+Sens!H15077+sbc_r)</f>
        <v>13.4043563346576</v>
      </c>
      <c r="I15082" s="6" t="n">
        <f aca="false">Seg!I76*(al_srch+Sens!I15077+sbc_r)</f>
        <v>14.5621512181916</v>
      </c>
      <c r="J15082" s="6" t="n">
        <f aca="false">Seg!J76*(al_srch+Sens!J15077+sbc_r)</f>
        <v>15.7310381862385</v>
      </c>
      <c r="K15082" s="6" t="n">
        <f aca="false">Seg!K76*(al_srch+Sens!K15077+sbc_r)</f>
        <v>16.8873320486462</v>
      </c>
    </row>
    <row r="15083" customFormat="false" ht="17.15" hidden="false" customHeight="false" outlineLevel="0" collapsed="false">
      <c r="A15083" s="0" t="s">
        <v>1241</v>
      </c>
      <c r="B15083" s="0" t="s">
        <v>98</v>
      </c>
      <c r="F15083" s="6" t="n">
        <f aca="false">Thesis!F135-Thesis!F136+Thesis!F151</f>
        <v>38.9696429794913</v>
      </c>
      <c r="G15083" s="6" t="n">
        <f aca="false">Thesis!G135-Thesis!G136+Thesis!G151</f>
        <v>69.465497726016</v>
      </c>
      <c r="H15083" s="6" t="n">
        <f aca="false">Thesis!H135-Thesis!H136+Thesis!H151</f>
        <v>96.8147106808268</v>
      </c>
      <c r="I15083" s="6" t="n">
        <f aca="false">Thesis!I135-Thesis!I136+Thesis!I151</f>
        <v>127.654939766446</v>
      </c>
      <c r="J15083" s="6" t="n">
        <f aca="false">Thesis!J135-Thesis!J136+Thesis!J151</f>
        <v>149.308352681229</v>
      </c>
      <c r="K15083" s="6" t="n">
        <f aca="false">Thesis!K135-Thesis!K136+Thesis!K151</f>
        <v>162.731822021841</v>
      </c>
    </row>
    <row r="15084" customFormat="false" ht="17.15" hidden="false" customHeight="false" outlineLevel="0" collapsed="false">
      <c r="A15084" s="0" t="s">
        <v>1242</v>
      </c>
      <c r="B15084" s="0" t="s">
        <v>98</v>
      </c>
      <c r="F15084" s="6" t="n">
        <f aca="false">PL!F110+Thesis!F151+Thesis!F147+Sens!F15077*(Seg!F75-Thesis!F129)+sbc_r*Seg!F75</f>
        <v>234.79972328186</v>
      </c>
      <c r="G15084" s="6" t="n">
        <f aca="false">PL!G110+Thesis!G151+Thesis!G147+Sens!G15077*(Seg!G75-Thesis!G129)+sbc_r*Seg!G75</f>
        <v>285.499052659517</v>
      </c>
      <c r="H15084" s="6" t="n">
        <f aca="false">PL!H110+Thesis!H151+Thesis!H147+Sens!H15077*(Seg!H75-Thesis!H129)+sbc_r*Seg!H75</f>
        <v>338.258569294547</v>
      </c>
      <c r="I15084" s="6" t="n">
        <f aca="false">PL!I110+Thesis!I151+Thesis!I147+Sens!I15077*(Seg!I75-Thesis!I129)+sbc_r*Seg!I75</f>
        <v>393.887902526982</v>
      </c>
      <c r="J15084" s="6" t="n">
        <f aca="false">PL!J110+Thesis!J151+Thesis!J147+Sens!J15077*(Seg!J75-Thesis!J129)+sbc_r*Seg!J75</f>
        <v>438.406631506078</v>
      </c>
      <c r="K15084" s="6" t="n">
        <f aca="false">PL!K110+Thesis!K151+Thesis!K147+Sens!K15077*(Seg!K75-Thesis!K129)+sbc_r*Seg!K75</f>
        <v>472.352875745143</v>
      </c>
    </row>
    <row r="15085" customFormat="false" ht="17.15" hidden="false" customHeight="false" outlineLevel="0" collapsed="false">
      <c r="A15085" s="0" t="s">
        <v>1243</v>
      </c>
      <c r="B15085" s="0" t="s">
        <v>98</v>
      </c>
      <c r="F15085" s="6" t="n">
        <f aca="false">Sens!F15084-Sens!F15078-Sens!F15079-Sens!F15080-Sens!F15081-Sens!F15083</f>
        <v>67.4353297630543</v>
      </c>
      <c r="G15085" s="6" t="n">
        <f aca="false">Sens!G15084-Sens!G15078-Sens!G15079-Sens!G15080-Sens!G15081-Sens!G15083</f>
        <v>74.9539293781376</v>
      </c>
      <c r="H15085" s="6" t="n">
        <f aca="false">Sens!H15084-Sens!H15078-Sens!H15079-Sens!H15080-Sens!H15081-Sens!H15083</f>
        <v>87.537773486888</v>
      </c>
      <c r="I15085" s="6" t="n">
        <f aca="false">Sens!I15084-Sens!I15078-Sens!I15079-Sens!I15080-Sens!I15081-Sens!I15083</f>
        <v>100.057277169252</v>
      </c>
      <c r="J15085" s="6" t="n">
        <f aca="false">Sens!J15084-Sens!J15078-Sens!J15079-Sens!J15080-Sens!J15081-Sens!J15083</f>
        <v>111.429055512297</v>
      </c>
      <c r="K15085" s="6" t="n">
        <f aca="false">Sens!K15084-Sens!K15078-Sens!K15079-Sens!K15080-Sens!K15081-Sens!K15083</f>
        <v>120.961838550618</v>
      </c>
    </row>
    <row r="15086" customFormat="false" ht="17.15" hidden="false" customHeight="false" outlineLevel="0" collapsed="false">
      <c r="A15086" s="0" t="s">
        <v>1244</v>
      </c>
      <c r="B15086" s="0" t="s">
        <v>98</v>
      </c>
      <c r="F15086" s="6" t="n">
        <f aca="false">PL!F112+Sens!F15077*Seg!F82+sbc_r*Seg!F82</f>
        <v>26.6373549789235</v>
      </c>
      <c r="G15086" s="6" t="n">
        <f aca="false">PL!G112+Sens!G15077*Seg!G82+sbc_r*Seg!G82</f>
        <v>26.5038922765853</v>
      </c>
      <c r="H15086" s="6" t="n">
        <f aca="false">PL!H112+Sens!H15077*Seg!H82+sbc_r*Seg!H82</f>
        <v>27.3981100014792</v>
      </c>
      <c r="I15086" s="6" t="n">
        <f aca="false">PL!I112+Sens!I15077*Seg!I82+sbc_r*Seg!I82</f>
        <v>28.5176442589239</v>
      </c>
      <c r="J15086" s="6" t="n">
        <f aca="false">PL!J112+Sens!J15077*Seg!J82+sbc_r*Seg!J82</f>
        <v>29.8313998963726</v>
      </c>
      <c r="K15086" s="6" t="n">
        <f aca="false">PL!K112+Sens!K15077*Seg!K82+sbc_r*Seg!K82</f>
        <v>31.3103466222307</v>
      </c>
    </row>
    <row r="15087" customFormat="false" ht="17.15" hidden="false" customHeight="false" outlineLevel="0" collapsed="false">
      <c r="A15087" s="0" t="s">
        <v>1245</v>
      </c>
      <c r="B15087" s="0" t="s">
        <v>98</v>
      </c>
      <c r="F15087" s="6" t="n">
        <f aca="false">(Sens!F15086-Sens!F15082)*Seg!F78/(Seg!F78+Seg!F80)</f>
        <v>8.72405610479892</v>
      </c>
      <c r="G15087" s="6" t="n">
        <f aca="false">(Sens!G15086-Sens!G15082)*Seg!G78/(Seg!G78+Seg!G80)</f>
        <v>7.897418765869</v>
      </c>
      <c r="H15087" s="6" t="n">
        <f aca="false">(Sens!H15086-Sens!H15082)*Seg!H78/(Seg!H78+Seg!H80)</f>
        <v>7.66644879573063</v>
      </c>
      <c r="I15087" s="6" t="n">
        <f aca="false">(Sens!I15086-Sens!I15082)*Seg!I78/(Seg!I78+Seg!I80)</f>
        <v>7.5787545031814</v>
      </c>
      <c r="J15087" s="6" t="n">
        <f aca="false">(Sens!J15086-Sens!J15082)*Seg!J78/(Seg!J78+Seg!J80)</f>
        <v>7.62401876450459</v>
      </c>
      <c r="K15087" s="6" t="n">
        <f aca="false">(Sens!K15086-Sens!K15082)*Seg!K78/(Seg!K78+Seg!K80)</f>
        <v>7.79847609658838</v>
      </c>
    </row>
    <row r="15088" customFormat="false" ht="17.15" hidden="false" customHeight="false" outlineLevel="0" collapsed="false">
      <c r="A15088" s="0" t="s">
        <v>1246</v>
      </c>
      <c r="B15088" s="0" t="s">
        <v>98</v>
      </c>
      <c r="F15088" s="6" t="n">
        <f aca="false">Sens!F15086-Sens!F15082-Sens!F15087</f>
        <v>6.72261492154066</v>
      </c>
      <c r="G15088" s="6" t="n">
        <f aca="false">Sens!G15086-Sens!G15082-Sens!G15087</f>
        <v>6.33014063899044</v>
      </c>
      <c r="H15088" s="6" t="n">
        <f aca="false">Sens!H15086-Sens!H15082-Sens!H15087</f>
        <v>6.32730487109095</v>
      </c>
      <c r="I15088" s="6" t="n">
        <f aca="false">Sens!I15086-Sens!I15082-Sens!I15087</f>
        <v>6.37673853755084</v>
      </c>
      <c r="J15088" s="6" t="n">
        <f aca="false">Sens!J15086-Sens!J15082-Sens!J15087</f>
        <v>6.47634294562954</v>
      </c>
      <c r="K15088" s="6" t="n">
        <f aca="false">Sens!K15086-Sens!K15082-Sens!K15087</f>
        <v>6.62453847699607</v>
      </c>
    </row>
    <row r="15089" customFormat="false" ht="17.15" hidden="false" customHeight="false" outlineLevel="0" collapsed="false">
      <c r="A15089" s="0" t="s">
        <v>1247</v>
      </c>
      <c r="B15089" s="0" t="s">
        <v>98</v>
      </c>
      <c r="F15089" s="6" t="n">
        <f aca="false">Sens!F15083-tax_f*(Sens!F15083-Thesis!F147)-Thesis!F144</f>
        <v>-130.362326762856</v>
      </c>
      <c r="G15089" s="6" t="n">
        <f aca="false">Sens!G15083-tax_f*(Sens!G15083-Thesis!G147)-Thesis!G144</f>
        <v>-124.225179337776</v>
      </c>
      <c r="H15089" s="6" t="n">
        <f aca="false">Sens!H15083-tax_f*(Sens!H15083-Thesis!H147)-Thesis!H144</f>
        <v>-101.534217387562</v>
      </c>
      <c r="I15089" s="6" t="n">
        <f aca="false">Sens!I15083-tax_f*(Sens!I15083-Thesis!I147)-Thesis!I144</f>
        <v>-43.6446798695439</v>
      </c>
      <c r="J15089" s="6" t="n">
        <f aca="false">Sens!J15083-tax_f*(Sens!J15083-Thesis!J147)-Thesis!J144</f>
        <v>16.9198855589618</v>
      </c>
      <c r="K15089" s="6" t="n">
        <f aca="false">Sens!K15083-tax_f*(Sens!K15083-Thesis!K147)-Thesis!K144</f>
        <v>39.8251384629271</v>
      </c>
    </row>
    <row r="15090" customFormat="false" ht="17.15" hidden="false" customHeight="false" outlineLevel="0" collapsed="false">
      <c r="A15090" s="0" t="s">
        <v>1248</v>
      </c>
      <c r="B15090" s="0" t="s">
        <v>98</v>
      </c>
      <c r="G15090" s="6" t="n">
        <f aca="false">Sens!G15089/(1+wacc)^(Sens!G15060-Sens!F15061)</f>
        <v>-118.286276192192</v>
      </c>
      <c r="H15090" s="6" t="n">
        <f aca="false">Sens!H15089/(1+wacc)^(Sens!H15060-Sens!F15061)</f>
        <v>-87.6570009910427</v>
      </c>
      <c r="I15090" s="6" t="n">
        <f aca="false">Sens!I15089/(1+wacc)^(Sens!I15060-Sens!F15061)</f>
        <v>-34.1629172979204</v>
      </c>
      <c r="J15090" s="6" t="n">
        <f aca="false">Sens!J15089/(1+wacc)^(Sens!J15060-Sens!F15061)</f>
        <v>12.0079954170053</v>
      </c>
      <c r="K15090" s="6" t="n">
        <f aca="false">Sens!K15089/(1+wacc)^(Sens!K15060-Sens!F15061)</f>
        <v>25.6259421582556</v>
      </c>
      <c r="L15090" s="1" t="s">
        <v>1249</v>
      </c>
    </row>
    <row r="15091" customFormat="false" ht="17.15" hidden="false" customHeight="false" outlineLevel="0" collapsed="false">
      <c r="A15091" s="0" t="s">
        <v>1250</v>
      </c>
      <c r="B15091" s="0" t="s">
        <v>98</v>
      </c>
      <c r="C15091" s="6" t="n">
        <f aca="false">(Sens!K15083-Thesis!K147)*(1-tax_f)*(1+g_tv)*(1-g_tv/(wacc+ronic_prem))/(wacc-g_tv)/(1+wacc)^(Sens!K15061-Sens!F15061)</f>
        <v>96.7148026864948</v>
      </c>
    </row>
    <row r="15092" customFormat="false" ht="17.15" hidden="false" customHeight="false" outlineLevel="0" collapsed="false">
      <c r="A15092" s="1" t="s">
        <v>1251</v>
      </c>
      <c r="B15092" s="0" t="s">
        <v>98</v>
      </c>
      <c r="C15092" s="6" t="n">
        <f aca="false">(SUM(Sens!G15090:K15090)+Sens!$C$15091)*(1+wacc)^(t_roll-Sens!F15061)</f>
        <v>-109.248827617462</v>
      </c>
      <c r="L15092" s="12" t="s">
        <v>1252</v>
      </c>
    </row>
    <row r="15093" customFormat="false" ht="17.15" hidden="false" customHeight="false" outlineLevel="0" collapsed="false">
      <c r="A15093" s="1" t="s">
        <v>1253</v>
      </c>
      <c r="B15093" s="0" t="s">
        <v>98</v>
      </c>
      <c r="C15093" s="6" t="n">
        <f aca="false">(w_ntm28*Thesis!G135+(1-w_ntm28)*Thesis!H135)*m_ai*0.8</f>
        <v>275.484663209869</v>
      </c>
    </row>
    <row r="15094" customFormat="false" ht="17.15" hidden="false" customHeight="false" outlineLevel="0" collapsed="false">
      <c r="A15094" s="1" t="s">
        <v>1254</v>
      </c>
      <c r="B15094" s="0" t="s">
        <v>98</v>
      </c>
      <c r="C15094" s="6" t="n">
        <f aca="false">(w_ntm28*Sens!G15085+(1-w_ntm28)*Sens!H15085)*m_cloud*0.8</f>
        <v>874.43102034431</v>
      </c>
    </row>
    <row r="15095" customFormat="false" ht="17.15" hidden="false" customHeight="false" outlineLevel="0" collapsed="false">
      <c r="A15095" s="1" t="s">
        <v>1255</v>
      </c>
      <c r="B15095" s="0" t="s">
        <v>98</v>
      </c>
      <c r="C15095" s="6" t="n">
        <f aca="false">(w_ntm28*Sens!G15078+(1-w_ntm28)*Sens!H15078)*m_sw*0.8</f>
        <v>836.136452930128</v>
      </c>
    </row>
    <row r="15096" customFormat="false" ht="17.15" hidden="false" customHeight="false" outlineLevel="0" collapsed="false">
      <c r="A15096" s="1" t="s">
        <v>1256</v>
      </c>
      <c r="B15096" s="0" t="s">
        <v>98</v>
      </c>
      <c r="C15096" s="6" t="n">
        <f aca="false">(w_ntm28*Sens!G15079+(1-w_ntm28)*Sens!H15079)*m_sw*0.8</f>
        <v>298.542755966233</v>
      </c>
    </row>
    <row r="15097" customFormat="false" ht="17.15" hidden="false" customHeight="false" outlineLevel="0" collapsed="false">
      <c r="A15097" s="1" t="s">
        <v>1257</v>
      </c>
      <c r="B15097" s="0" t="s">
        <v>98</v>
      </c>
      <c r="C15097" s="6" t="n">
        <f aca="false">(w_ntm28*Sens!G15080+(1-w_ntm28)*Sens!H15080)*m_sw*0.8</f>
        <v>87.4404463048079</v>
      </c>
    </row>
    <row r="15098" customFormat="false" ht="17.15" hidden="false" customHeight="false" outlineLevel="0" collapsed="false">
      <c r="A15098" s="1" t="s">
        <v>1258</v>
      </c>
      <c r="B15098" s="0" t="s">
        <v>98</v>
      </c>
      <c r="C15098" s="6" t="n">
        <f aca="false">(w_ntm28*Sens!G15081+(1-w_ntm28)*Sens!H15081)*m_sw*0.8</f>
        <v>33.2424829771685</v>
      </c>
    </row>
    <row r="15099" customFormat="false" ht="17.15" hidden="false" customHeight="false" outlineLevel="0" collapsed="false">
      <c r="A15099" s="1" t="s">
        <v>1259</v>
      </c>
      <c r="B15099" s="0" t="s">
        <v>98</v>
      </c>
      <c r="C15099" s="6" t="n">
        <f aca="false">(w_ntm28*Sens!G15082+(1-w_ntm28)*Sens!H15082)*m_ads*0.8</f>
        <v>92.1727199958273</v>
      </c>
    </row>
    <row r="15100" customFormat="false" ht="17.15" hidden="false" customHeight="false" outlineLevel="0" collapsed="false">
      <c r="A15100" s="1" t="s">
        <v>1260</v>
      </c>
      <c r="B15100" s="0" t="s">
        <v>98</v>
      </c>
      <c r="C15100" s="6" t="n">
        <f aca="false">(w_ntm28*Sens!G15087+(1-w_ntm28)*Sens!H15087)*m_game*0.8</f>
        <v>79.0282686092626</v>
      </c>
    </row>
    <row r="15101" customFormat="false" ht="17.15" hidden="false" customHeight="false" outlineLevel="0" collapsed="false">
      <c r="A15101" s="1" t="s">
        <v>1261</v>
      </c>
      <c r="B15101" s="0" t="s">
        <v>98</v>
      </c>
      <c r="C15101" s="6" t="n">
        <f aca="false">(w_ntm28*Sens!G15088+(1-w_ntm28)*Sens!H15088)*m_pc*0.8</f>
        <v>73.2669156481738</v>
      </c>
    </row>
    <row r="15102" customFormat="false" ht="17.15" hidden="false" customHeight="false" outlineLevel="0" collapsed="false">
      <c r="A15102" s="1" t="s">
        <v>1262</v>
      </c>
      <c r="B15102" s="0" t="s">
        <v>98</v>
      </c>
      <c r="C15102" s="6" t="n">
        <f aca="false">Sens!$C$15092+Sens!$C$15094+Sens!$C$15095+Sens!$C$15096+Sens!$C$15097+Sens!$C$15098+Sens!$C$15099+Sens!$C$15100+Sens!$C$15101</f>
        <v>2265.01223515845</v>
      </c>
    </row>
    <row r="15103" customFormat="false" ht="17.15" hidden="false" customHeight="false" outlineLevel="0" collapsed="false">
      <c r="A15103" s="1" t="s">
        <v>1263</v>
      </c>
      <c r="B15103" s="0" t="s">
        <v>98</v>
      </c>
      <c r="C15103" s="6" t="n">
        <f aca="false">(Sens!G15064-Sens!G15089)*t_stub</f>
        <v>47.4829168796038</v>
      </c>
      <c r="L15103" s="1" t="s">
        <v>1264</v>
      </c>
    </row>
    <row r="15104" customFormat="false" ht="17.15" hidden="false" customHeight="false" outlineLevel="0" collapsed="false">
      <c r="A15104" s="1" t="s">
        <v>1173</v>
      </c>
      <c r="B15104" s="0" t="s">
        <v>98</v>
      </c>
      <c r="C15104" s="6" t="n">
        <f aca="false">CF!F103+oai_v-CF!F92+Sens!$C$15103</f>
        <v>158.55427008544</v>
      </c>
      <c r="L15104" s="1" t="s">
        <v>1265</v>
      </c>
    </row>
    <row r="15105" customFormat="false" ht="17.15" hidden="false" customHeight="false" outlineLevel="0" collapsed="false">
      <c r="A15105" s="1" t="s">
        <v>1266</v>
      </c>
      <c r="B15105" s="0" t="s">
        <v>75</v>
      </c>
      <c r="C15105" s="5" t="n">
        <f aca="false">(Sens!$C$15102+Sens!$C$15104)/(CF!F105+dil_gap)-CF!G95*roll_div_q/q_per_yr</f>
        <v>322.275135171277</v>
      </c>
      <c r="L15105" s="1" t="s">
        <v>1267</v>
      </c>
    </row>
    <row r="15106" customFormat="false" ht="17.15" hidden="false" customHeight="false" outlineLevel="0" collapsed="false">
      <c r="A15106" s="1" t="s">
        <v>1268</v>
      </c>
      <c r="B15106" s="0" t="s">
        <v>75</v>
      </c>
      <c r="C15106" s="5" t="n">
        <f aca="false">w_dcf*Sens!$C$15076+(1-w_dcf)*Sens!$C$15105</f>
        <v>301.473899175498</v>
      </c>
    </row>
    <row r="15107" customFormat="false" ht="17.15" hidden="false" customHeight="false" outlineLevel="0" collapsed="false">
      <c r="A15107" s="3" t="s">
        <v>1984</v>
      </c>
    </row>
    <row r="15108" customFormat="false" ht="15" hidden="false" customHeight="false" outlineLevel="0" collapsed="false">
      <c r="A15108" s="4" t="s">
        <v>43</v>
      </c>
      <c r="B15108" s="4" t="s">
        <v>65</v>
      </c>
      <c r="C15108" s="23" t="s">
        <v>942</v>
      </c>
      <c r="D15108" s="23" t="s">
        <v>943</v>
      </c>
      <c r="E15108" s="23" t="s">
        <v>944</v>
      </c>
      <c r="F15108" s="23" t="s">
        <v>945</v>
      </c>
      <c r="G15108" s="23" t="s">
        <v>946</v>
      </c>
      <c r="H15108" s="23" t="s">
        <v>947</v>
      </c>
      <c r="I15108" s="23" t="s">
        <v>948</v>
      </c>
      <c r="J15108" s="23" t="s">
        <v>949</v>
      </c>
      <c r="K15108" s="23" t="s">
        <v>950</v>
      </c>
      <c r="L15108" s="4" t="s">
        <v>47</v>
      </c>
    </row>
    <row r="15109" customFormat="false" ht="17.15" hidden="false" customHeight="false" outlineLevel="0" collapsed="false">
      <c r="A15109" s="1" t="s">
        <v>1216</v>
      </c>
      <c r="B15109" s="1" t="s">
        <v>279</v>
      </c>
      <c r="F15109" s="8" t="n">
        <f aca="false">(1-v_off)*mid_yr</f>
        <v>0.373972602739726</v>
      </c>
      <c r="G15109" s="8" t="n">
        <f aca="false">Thesis!G6-base_fy-mid_yr-v_off</f>
        <v>1.24794520547945</v>
      </c>
      <c r="H15109" s="8" t="n">
        <f aca="false">Thesis!H6-base_fy-mid_yr-v_off</f>
        <v>2.24794520547945</v>
      </c>
      <c r="I15109" s="8" t="n">
        <f aca="false">Thesis!I6-base_fy-mid_yr-v_off</f>
        <v>3.24794520547945</v>
      </c>
      <c r="J15109" s="8" t="n">
        <f aca="false">Thesis!J6-base_fy-mid_yr-v_off</f>
        <v>4.24794520547945</v>
      </c>
      <c r="K15109" s="8" t="n">
        <f aca="false">Thesis!K6-base_fy-mid_yr-v_off</f>
        <v>5.24794520547945</v>
      </c>
      <c r="L15109" s="12" t="s">
        <v>1217</v>
      </c>
    </row>
    <row r="15110" customFormat="false" ht="15" hidden="false" customHeight="false" outlineLevel="0" collapsed="false">
      <c r="A15110" s="1" t="s">
        <v>1218</v>
      </c>
      <c r="B15110" s="1" t="s">
        <v>279</v>
      </c>
      <c r="F15110" s="8" t="n">
        <f aca="false">Thesis!F6-base_fy-v_off</f>
        <v>0.747945205479452</v>
      </c>
      <c r="G15110" s="8" t="n">
        <f aca="false">Thesis!G6-base_fy-v_off</f>
        <v>1.74794520547945</v>
      </c>
      <c r="H15110" s="8" t="n">
        <f aca="false">Thesis!H6-base_fy-v_off</f>
        <v>2.74794520547945</v>
      </c>
      <c r="I15110" s="8" t="n">
        <f aca="false">Thesis!I6-base_fy-v_off</f>
        <v>3.74794520547945</v>
      </c>
      <c r="J15110" s="8" t="n">
        <f aca="false">Thesis!J6-base_fy-v_off</f>
        <v>4.74794520547945</v>
      </c>
      <c r="K15110" s="8" t="n">
        <f aca="false">Thesis!K6-base_fy-v_off</f>
        <v>5.74794520547945</v>
      </c>
    </row>
    <row r="15111" customFormat="false" ht="15" hidden="false" customHeight="false" outlineLevel="0" collapsed="false">
      <c r="A15111" s="1" t="s">
        <v>1219</v>
      </c>
      <c r="B15111" s="0" t="s">
        <v>229</v>
      </c>
      <c r="F15111" s="15" t="n">
        <f aca="false">1/(1+wacc)^Sens!F15109</f>
        <v>0.964022703286649</v>
      </c>
      <c r="G15111" s="15" t="n">
        <f aca="false">1/(1+wacc)^Sens!G15109</f>
        <v>0.884910302296739</v>
      </c>
      <c r="H15111" s="15" t="n">
        <f aca="false">1/(1+wacc)^Sens!H15109</f>
        <v>0.802322009770358</v>
      </c>
      <c r="I15111" s="15" t="n">
        <f aca="false">1/(1+wacc)^Sens!I15109</f>
        <v>0.727441646561469</v>
      </c>
      <c r="J15111" s="15" t="n">
        <f aca="false">1/(1+wacc)^Sens!J15109</f>
        <v>0.659549834988973</v>
      </c>
      <c r="K15111" s="15" t="n">
        <f aca="false">1/(1+wacc)^Sens!K15109</f>
        <v>0.597994336576966</v>
      </c>
    </row>
    <row r="15112" customFormat="false" ht="17.15" hidden="false" customHeight="false" outlineLevel="0" collapsed="false">
      <c r="A15112" s="1" t="s">
        <v>1220</v>
      </c>
      <c r="B15112" s="0" t="s">
        <v>98</v>
      </c>
      <c r="F15112" s="6" t="n">
        <f aca="false">Q!$I$35-Q!$I$39-Q!$I$43</f>
        <v>9.666</v>
      </c>
      <c r="L15112" s="12" t="s">
        <v>1221</v>
      </c>
    </row>
    <row r="15113" customFormat="false" ht="17.15" hidden="false" customHeight="false" outlineLevel="0" collapsed="false">
      <c r="A15113" s="1" t="s">
        <v>1222</v>
      </c>
      <c r="B15113" s="0" t="s">
        <v>98</v>
      </c>
      <c r="F15113" s="6" t="n">
        <f aca="false">CF!F23-CF!F20-CF!F27+Thesis!F47*(1-tax_f)*(1-v_off)-Sens!F15112</f>
        <v>-1.12880264559539</v>
      </c>
      <c r="G15113" s="6" t="n">
        <f aca="false">CF!G23-CF!G20-CF!G27+Thesis!G47*(1-tax_f)</f>
        <v>38.7194421947551</v>
      </c>
      <c r="H15113" s="6" t="n">
        <f aca="false">CF!H23-CF!H20-CF!H27+Thesis!H47*(1-tax_f)</f>
        <v>98.6927474567662</v>
      </c>
      <c r="I15113" s="6" t="n">
        <f aca="false">CF!I23-CF!I20-CF!I27+Thesis!I47*(1-tax_f)</f>
        <v>181.625440536277</v>
      </c>
      <c r="J15113" s="6" t="n">
        <f aca="false">CF!J23-CF!J20-CF!J27+Thesis!J47*(1-tax_f)</f>
        <v>263.350402418584</v>
      </c>
      <c r="K15113" s="6" t="n">
        <f aca="false">CF!K23-CF!K20-CF!K27+Thesis!K47*(1-tax_f)</f>
        <v>303.659068389018</v>
      </c>
      <c r="L15113" s="1" t="s">
        <v>1223</v>
      </c>
    </row>
    <row r="15114" customFormat="false" ht="15" hidden="false" customHeight="false" outlineLevel="0" collapsed="false">
      <c r="A15114" s="1" t="s">
        <v>1224</v>
      </c>
      <c r="B15114" s="0" t="s">
        <v>98</v>
      </c>
      <c r="F15114" s="6" t="n">
        <f aca="false">Sens!F15113*Sens!F15111</f>
        <v>-1.08819137788399</v>
      </c>
      <c r="G15114" s="6" t="n">
        <f aca="false">Sens!G15113*Sens!G15111</f>
        <v>34.2632332973219</v>
      </c>
      <c r="H15114" s="6" t="n">
        <f aca="false">Sens!H15113*Sens!H15111</f>
        <v>79.183363489271</v>
      </c>
      <c r="I15114" s="6" t="n">
        <f aca="false">Sens!I15113*Sens!I15111</f>
        <v>132.121909521162</v>
      </c>
      <c r="J15114" s="6" t="n">
        <f aca="false">Sens!J15113*Sens!J15111</f>
        <v>173.692714459456</v>
      </c>
      <c r="K15114" s="6" t="n">
        <f aca="false">Sens!K15113*Sens!K15111</f>
        <v>181.58640314687</v>
      </c>
    </row>
    <row r="15115" customFormat="false" ht="17.15" hidden="false" customHeight="false" outlineLevel="0" collapsed="false">
      <c r="A15115" s="1" t="s">
        <v>1225</v>
      </c>
      <c r="B15115" s="0" t="s">
        <v>98</v>
      </c>
      <c r="C15115" s="6" t="n">
        <f aca="false">SUM(Sens!F15114:K15114)</f>
        <v>599.759432536197</v>
      </c>
    </row>
    <row r="15116" customFormat="false" ht="17.15" hidden="false" customHeight="false" outlineLevel="0" collapsed="false">
      <c r="A15116" s="1" t="s">
        <v>1226</v>
      </c>
      <c r="B15116" s="0" t="s">
        <v>98</v>
      </c>
      <c r="C15116" s="6" t="n">
        <f aca="false">PL!K39*(1+g_tv)*(1-tax_f)</f>
        <v>316.501318799308</v>
      </c>
    </row>
    <row r="15117" customFormat="false" ht="17.15" hidden="false" customHeight="false" outlineLevel="0" collapsed="false">
      <c r="A15117" s="1" t="s">
        <v>1227</v>
      </c>
      <c r="B15117" s="0" t="s">
        <v>98</v>
      </c>
      <c r="C15117" s="6" t="n">
        <f aca="false">Sens!$C$15116*(1-g_tv/(wacc+ronic_prem))</f>
        <v>224.25968269347</v>
      </c>
    </row>
    <row r="15118" customFormat="false" ht="17.15" hidden="false" customHeight="false" outlineLevel="0" collapsed="false">
      <c r="A15118" s="1" t="s">
        <v>1228</v>
      </c>
      <c r="B15118" s="0" t="s">
        <v>98</v>
      </c>
      <c r="C15118" s="6" t="n">
        <f aca="false">Sens!$C$15117/(wacc-g_tv)</f>
        <v>3074.72120352792</v>
      </c>
    </row>
    <row r="15119" customFormat="false" ht="15" hidden="false" customHeight="false" outlineLevel="0" collapsed="false">
      <c r="A15119" s="1" t="s">
        <v>1229</v>
      </c>
      <c r="B15119" s="0" t="s">
        <v>98</v>
      </c>
      <c r="C15119" s="6" t="n">
        <f aca="false">Sens!$C$15118/(1+wacc)^Sens!K15110</f>
        <v>1750.76373116397</v>
      </c>
    </row>
    <row r="15120" customFormat="false" ht="17.15" hidden="false" customHeight="false" outlineLevel="0" collapsed="false">
      <c r="A15120" s="0" t="s">
        <v>1230</v>
      </c>
      <c r="B15120" s="0" t="s">
        <v>98</v>
      </c>
      <c r="C15120" s="6" t="n">
        <f aca="false">Sens!$C$15115+Sens!$C$15119</f>
        <v>2350.52316370017</v>
      </c>
    </row>
    <row r="15121" customFormat="false" ht="15" hidden="false" customHeight="false" outlineLevel="0" collapsed="false">
      <c r="A15121" s="1" t="s">
        <v>1145</v>
      </c>
      <c r="B15121" s="0" t="s">
        <v>168</v>
      </c>
      <c r="C15121" s="7" t="n">
        <f aca="false">Sens!$C$15119/Sens!$C$15120</f>
        <v>0.744840024638574</v>
      </c>
    </row>
    <row r="15122" customFormat="false" ht="17.15" hidden="false" customHeight="false" outlineLevel="0" collapsed="false">
      <c r="A15122" s="1" t="s">
        <v>1231</v>
      </c>
      <c r="B15122" s="0" t="s">
        <v>98</v>
      </c>
      <c r="C15122" s="6" t="n">
        <f aca="false">Sens!$C$15120+cash_val-debt_val-fl_val+oai_v</f>
        <v>2466.37416370017</v>
      </c>
    </row>
    <row r="15123" customFormat="false" ht="17.15" hidden="false" customHeight="false" outlineLevel="0" collapsed="false">
      <c r="A15123" s="0" t="s">
        <v>1153</v>
      </c>
      <c r="B15123" s="0" t="s">
        <v>75</v>
      </c>
      <c r="C15123" s="5" t="n">
        <f aca="false">Sens!$C$15122/shd_val</f>
        <v>331.234778901447</v>
      </c>
    </row>
    <row r="15124" customFormat="false" ht="15" hidden="false" customHeight="false" outlineLevel="0" collapsed="false">
      <c r="A15124" s="1" t="s">
        <v>1232</v>
      </c>
      <c r="B15124" s="0" t="s">
        <v>75</v>
      </c>
      <c r="C15124" s="8" t="n">
        <f aca="false">div_rem27+CF!G31*roll_div_q/q_per_yr</f>
        <v>3.9795</v>
      </c>
    </row>
    <row r="15125" customFormat="false" ht="17.15" hidden="false" customHeight="false" outlineLevel="0" collapsed="false">
      <c r="A15125" s="0" t="s">
        <v>1233</v>
      </c>
      <c r="B15125" s="0" t="s">
        <v>75</v>
      </c>
      <c r="C15125" s="5" t="n">
        <f aca="false">Sens!$C$15123*(1+wacc)^t_roll-Sens!$C$15124</f>
        <v>364.206443208347</v>
      </c>
    </row>
    <row r="15126" customFormat="false" ht="17.15" hidden="false" customHeight="false" outlineLevel="0" collapsed="false">
      <c r="A15126" s="1" t="s">
        <v>1234</v>
      </c>
      <c r="B15126" s="0" t="s">
        <v>168</v>
      </c>
      <c r="F15126" s="7" t="n">
        <f aca="false">CF!F17/(Seg!F29-Thesis!F25)</f>
        <v>0.0685527305696859</v>
      </c>
      <c r="G15126" s="7" t="n">
        <f aca="false">CF!G17/(Seg!G29-Thesis!G25)</f>
        <v>0.0653567731599844</v>
      </c>
      <c r="H15126" s="7" t="n">
        <f aca="false">CF!H17/(Seg!H29-Thesis!H25)</f>
        <v>0.0636628841026972</v>
      </c>
      <c r="I15126" s="7" t="n">
        <f aca="false">CF!I17/(Seg!I29-Thesis!I25)</f>
        <v>0.0633581084335176</v>
      </c>
      <c r="J15126" s="7" t="n">
        <f aca="false">CF!J17/(Seg!J29-Thesis!J25)</f>
        <v>0.0640873955995062</v>
      </c>
      <c r="K15126" s="7" t="n">
        <f aca="false">CF!K17/(Seg!K29-Thesis!K25)</f>
        <v>0.0653962234835198</v>
      </c>
    </row>
    <row r="15127" customFormat="false" ht="17.15" hidden="false" customHeight="false" outlineLevel="0" collapsed="false">
      <c r="A15127" s="0" t="s">
        <v>1235</v>
      </c>
      <c r="B15127" s="0" t="s">
        <v>98</v>
      </c>
      <c r="F15127" s="6" t="n">
        <f aca="false">Seg!F14*(al_m365+Sens!F15126+sbc_r)</f>
        <v>84.5213906545575</v>
      </c>
      <c r="G15127" s="6" t="n">
        <f aca="false">Seg!G14*(al_m365+Sens!G15126+sbc_r)</f>
        <v>98.949983331796</v>
      </c>
      <c r="H15127" s="6" t="n">
        <f aca="false">Seg!H14*(al_m365+Sens!H15126+sbc_r)</f>
        <v>113.543734275326</v>
      </c>
      <c r="I15127" s="6" t="n">
        <f aca="false">Seg!I14*(al_m365+Sens!I15126+sbc_r)</f>
        <v>126.62058838692</v>
      </c>
      <c r="J15127" s="6" t="n">
        <f aca="false">Seg!J14*(al_m365+Sens!J15126+sbc_r)</f>
        <v>137.994660156303</v>
      </c>
      <c r="K15127" s="6" t="n">
        <f aca="false">Seg!K14*(al_m365+Sens!K15126+sbc_r)</f>
        <v>148.989224092997</v>
      </c>
      <c r="L15127" s="12" t="s">
        <v>1236</v>
      </c>
    </row>
    <row r="15128" customFormat="false" ht="17.15" hidden="false" customHeight="false" outlineLevel="0" collapsed="false">
      <c r="A15128" s="0" t="s">
        <v>1237</v>
      </c>
      <c r="B15128" s="0" t="s">
        <v>98</v>
      </c>
      <c r="F15128" s="6" t="n">
        <f aca="false">Seg!F15*(al_lic+Sens!F15126+sbc_r)</f>
        <v>32.855200196554</v>
      </c>
      <c r="G15128" s="6" t="n">
        <f aca="false">Seg!G15*(al_lic+Sens!G15126+sbc_r)</f>
        <v>34.1185582613282</v>
      </c>
      <c r="H15128" s="6" t="n">
        <f aca="false">Seg!H15*(al_lic+Sens!H15126+sbc_r)</f>
        <v>35.3024309363621</v>
      </c>
      <c r="I15128" s="6" t="n">
        <f aca="false">Seg!I15*(al_lic+Sens!I15126+sbc_r)</f>
        <v>36.3898468129533</v>
      </c>
      <c r="J15128" s="6" t="n">
        <f aca="false">Seg!J15*(al_lic+Sens!J15126+sbc_r)</f>
        <v>37.3529129529876</v>
      </c>
      <c r="K15128" s="6" t="n">
        <f aca="false">Seg!K15*(al_lic+Sens!K15126+sbc_r)</f>
        <v>38.158536171203</v>
      </c>
    </row>
    <row r="15129" customFormat="false" ht="17.15" hidden="false" customHeight="false" outlineLevel="0" collapsed="false">
      <c r="A15129" s="0" t="s">
        <v>1238</v>
      </c>
      <c r="B15129" s="0" t="s">
        <v>98</v>
      </c>
      <c r="F15129" s="6" t="n">
        <f aca="false">Seg!F17*(al_ind+Sens!F15126+sbc_r)</f>
        <v>9.05892547956683</v>
      </c>
      <c r="G15129" s="6" t="n">
        <f aca="false">Seg!G17*(al_ind+Sens!G15126+sbc_r)</f>
        <v>9.82456487622418</v>
      </c>
      <c r="H15129" s="6" t="n">
        <f aca="false">Seg!H17*(al_ind+Sens!H15126+sbc_r)</f>
        <v>10.6377408477959</v>
      </c>
      <c r="I15129" s="6" t="n">
        <f aca="false">Seg!I17*(al_ind+Sens!I15126+sbc_r)</f>
        <v>11.4966323260293</v>
      </c>
      <c r="J15129" s="6" t="n">
        <f aca="false">Seg!J17*(al_ind+Sens!J15126+sbc_r)</f>
        <v>12.3903660286279</v>
      </c>
      <c r="K15129" s="6" t="n">
        <f aca="false">Seg!K17*(al_ind+Sens!K15126+sbc_r)</f>
        <v>13.3009129057681</v>
      </c>
    </row>
    <row r="15130" customFormat="false" ht="17.15" hidden="false" customHeight="false" outlineLevel="0" collapsed="false">
      <c r="A15130" s="0" t="s">
        <v>1239</v>
      </c>
      <c r="B15130" s="0" t="s">
        <v>98</v>
      </c>
      <c r="F15130" s="6" t="n">
        <f aca="false">Seg!F19*(al_fro+Sens!F15126+sbc_r)</f>
        <v>3.55344443532423</v>
      </c>
      <c r="G15130" s="6" t="n">
        <f aca="false">Seg!G19*(al_fro+Sens!G15126+sbc_r)</f>
        <v>3.75916645971565</v>
      </c>
      <c r="H15130" s="6" t="n">
        <f aca="false">Seg!H19*(al_fro+Sens!H15126+sbc_r)</f>
        <v>3.994970960527</v>
      </c>
      <c r="I15130" s="6" t="n">
        <f aca="false">Seg!I19*(al_fro+Sens!I15126+sbc_r)</f>
        <v>4.26396270432353</v>
      </c>
      <c r="J15130" s="6" t="n">
        <f aca="false">Seg!J19*(al_fro+Sens!J15126+sbc_r)</f>
        <v>4.5667795874336</v>
      </c>
      <c r="K15130" s="6" t="n">
        <f aca="false">Seg!K19*(al_fro+Sens!K15126+sbc_r)</f>
        <v>4.90238443416026</v>
      </c>
    </row>
    <row r="15131" customFormat="false" ht="17.15" hidden="false" customHeight="false" outlineLevel="0" collapsed="false">
      <c r="A15131" s="0" t="s">
        <v>1240</v>
      </c>
      <c r="B15131" s="0" t="s">
        <v>98</v>
      </c>
      <c r="F15131" s="6" t="n">
        <f aca="false">Seg!F22*(al_srch+Sens!F15126+sbc_r)</f>
        <v>11.1872483445711</v>
      </c>
      <c r="G15131" s="6" t="n">
        <f aca="false">Seg!G22*(al_srch+Sens!G15126+sbc_r)</f>
        <v>12.247246048296</v>
      </c>
      <c r="H15131" s="6" t="n">
        <f aca="false">Seg!H22*(al_srch+Sens!H15126+sbc_r)</f>
        <v>13.3552870946193</v>
      </c>
      <c r="I15131" s="6" t="n">
        <f aca="false">Seg!I22*(al_srch+Sens!I15126+sbc_r)</f>
        <v>14.5024145321619</v>
      </c>
      <c r="J15131" s="6" t="n">
        <f aca="false">Seg!J22*(al_srch+Sens!J15126+sbc_r)</f>
        <v>15.667276660652</v>
      </c>
      <c r="K15131" s="6" t="n">
        <f aca="false">Seg!K22*(al_srch+Sens!K15126+sbc_r)</f>
        <v>16.8186381138719</v>
      </c>
    </row>
    <row r="15132" customFormat="false" ht="17.15" hidden="false" customHeight="false" outlineLevel="0" collapsed="false">
      <c r="A15132" s="0" t="s">
        <v>1241</v>
      </c>
      <c r="B15132" s="0" t="s">
        <v>98</v>
      </c>
      <c r="F15132" s="6" t="n">
        <f aca="false">Thesis!F31-Thesis!F32+Thesis!F47</f>
        <v>45.3782580567763</v>
      </c>
      <c r="G15132" s="6" t="n">
        <f aca="false">Thesis!G31-Thesis!G32+Thesis!G47</f>
        <v>91.0863367558165</v>
      </c>
      <c r="H15132" s="6" t="n">
        <f aca="false">Thesis!H31-Thesis!H32+Thesis!H47</f>
        <v>144.617532464853</v>
      </c>
      <c r="I15132" s="6" t="n">
        <f aca="false">Thesis!I31-Thesis!I32+Thesis!I47</f>
        <v>187.137304561304</v>
      </c>
      <c r="J15132" s="6" t="n">
        <f aca="false">Thesis!J31-Thesis!J32+Thesis!J47</f>
        <v>217.006854425907</v>
      </c>
      <c r="K15132" s="6" t="n">
        <f aca="false">Thesis!K31-Thesis!K32+Thesis!K47</f>
        <v>234.933637903877</v>
      </c>
    </row>
    <row r="15133" customFormat="false" ht="17.15" hidden="false" customHeight="false" outlineLevel="0" collapsed="false">
      <c r="A15133" s="0" t="s">
        <v>1242</v>
      </c>
      <c r="B15133" s="0" t="s">
        <v>98</v>
      </c>
      <c r="F15133" s="6" t="n">
        <f aca="false">PL!F32+Thesis!F47+Thesis!F43+Sens!F15126*(Seg!F21-Thesis!F25)+sbc_r*Seg!F21</f>
        <v>240.818167741339</v>
      </c>
      <c r="G15133" s="6" t="n">
        <f aca="false">PL!G32+Thesis!G47+Thesis!G43+Sens!G15126*(Seg!G21-Thesis!G25)+sbc_r*Seg!G21</f>
        <v>311.917784140952</v>
      </c>
      <c r="H15133" s="6" t="n">
        <f aca="false">PL!H32+Thesis!H47+Thesis!H43+Sens!H15126*(Seg!H21-Thesis!H25)+sbc_r*Seg!H21</f>
        <v>395.486245683473</v>
      </c>
      <c r="I15133" s="6" t="n">
        <f aca="false">PL!I32+Thesis!I47+Thesis!I43+Sens!I15126*(Seg!I21-Thesis!I25)+sbc_r*Seg!I21</f>
        <v>465.950805948377</v>
      </c>
      <c r="J15133" s="6" t="n">
        <f aca="false">PL!J32+Thesis!J47+Thesis!J43+Sens!J15126*(Seg!J21-Thesis!J25)+sbc_r*Seg!J21</f>
        <v>520.78677388057</v>
      </c>
      <c r="K15133" s="6" t="n">
        <f aca="false">PL!K32+Thesis!K47+Thesis!K43+Sens!K15126*(Seg!K21-Thesis!K25)+sbc_r*Seg!K21</f>
        <v>561.2469767412</v>
      </c>
    </row>
    <row r="15134" customFormat="false" ht="17.15" hidden="false" customHeight="false" outlineLevel="0" collapsed="false">
      <c r="A15134" s="0" t="s">
        <v>1243</v>
      </c>
      <c r="B15134" s="0" t="s">
        <v>98</v>
      </c>
      <c r="F15134" s="6" t="n">
        <f aca="false">Sens!F15133-Sens!F15127-Sens!F15128-Sens!F15129-Sens!F15130-Sens!F15132</f>
        <v>65.4509489185601</v>
      </c>
      <c r="G15134" s="6" t="n">
        <f aca="false">Sens!G15133-Sens!G15127-Sens!G15128-Sens!G15129-Sens!G15130-Sens!G15132</f>
        <v>74.1791744560715</v>
      </c>
      <c r="H15134" s="6" t="n">
        <f aca="false">Sens!H15133-Sens!H15127-Sens!H15128-Sens!H15129-Sens!H15130-Sens!H15132</f>
        <v>87.3898361986086</v>
      </c>
      <c r="I15134" s="6" t="n">
        <f aca="false">Sens!I15133-Sens!I15127-Sens!I15128-Sens!I15129-Sens!I15130-Sens!I15132</f>
        <v>100.042471156846</v>
      </c>
      <c r="J15134" s="6" t="n">
        <f aca="false">Sens!J15133-Sens!J15127-Sens!J15128-Sens!J15129-Sens!J15130-Sens!J15132</f>
        <v>111.475200729312</v>
      </c>
      <c r="K15134" s="6" t="n">
        <f aca="false">Sens!K15133-Sens!K15127-Sens!K15128-Sens!K15129-Sens!K15130-Sens!K15132</f>
        <v>120.962281233195</v>
      </c>
    </row>
    <row r="15135" customFormat="false" ht="17.15" hidden="false" customHeight="false" outlineLevel="0" collapsed="false">
      <c r="A15135" s="0" t="s">
        <v>1244</v>
      </c>
      <c r="B15135" s="0" t="s">
        <v>98</v>
      </c>
      <c r="F15135" s="6" t="n">
        <f aca="false">PL!F34+Sens!F15126*Seg!F28+sbc_r*Seg!F28</f>
        <v>26.6293388420472</v>
      </c>
      <c r="G15135" s="6" t="n">
        <f aca="false">PL!G34+Sens!G15126*Seg!G28+sbc_r*Seg!G28</f>
        <v>26.4405000412783</v>
      </c>
      <c r="H15135" s="6" t="n">
        <f aca="false">PL!H34+Sens!H15126*Seg!H28+sbc_r*Seg!H28</f>
        <v>27.296860059552</v>
      </c>
      <c r="I15135" s="6" t="n">
        <f aca="false">PL!I34+Sens!I15126*Seg!I28+sbc_r*Seg!I28</f>
        <v>28.3995465815703</v>
      </c>
      <c r="J15135" s="6" t="n">
        <f aca="false">PL!J34+Sens!J15126*Seg!J28+sbc_r*Seg!J28</f>
        <v>29.7093380975903</v>
      </c>
      <c r="K15135" s="6" t="n">
        <f aca="false">PL!K34+Sens!K15126*Seg!K28+sbc_r*Seg!K28</f>
        <v>31.1817775287323</v>
      </c>
    </row>
    <row r="15136" customFormat="false" ht="17.15" hidden="false" customHeight="false" outlineLevel="0" collapsed="false">
      <c r="A15136" s="0" t="s">
        <v>1245</v>
      </c>
      <c r="B15136" s="0" t="s">
        <v>98</v>
      </c>
      <c r="F15136" s="6" t="n">
        <f aca="false">(Sens!F15135-Sens!F15131)*Seg!F24/(Seg!F24+Seg!F26)</f>
        <v>8.72146908842971</v>
      </c>
      <c r="G15136" s="6" t="n">
        <f aca="false">(Sens!G15135-Sens!G15131)*Seg!G24/(Seg!G24+Seg!G26)</f>
        <v>7.87837655379173</v>
      </c>
      <c r="H15136" s="6" t="n">
        <f aca="false">(Sens!H15135-Sens!H15131)*Seg!H24/(Seg!H24+Seg!H26)</f>
        <v>7.63786170689933</v>
      </c>
      <c r="I15136" s="6" t="n">
        <f aca="false">(Sens!I15135-Sens!I15131)*Seg!I24/(Seg!I24+Seg!I26)</f>
        <v>7.5470606300581</v>
      </c>
      <c r="J15136" s="6" t="n">
        <f aca="false">(Sens!J15135-Sens!J15131)*Seg!J24/(Seg!J24+Seg!J26)</f>
        <v>7.59249600034024</v>
      </c>
      <c r="K15136" s="6" t="n">
        <f aca="false">(Sens!K15135-Sens!K15131)*Seg!K24/(Seg!K24+Seg!K26)</f>
        <v>7.76610179704742</v>
      </c>
    </row>
    <row r="15137" customFormat="false" ht="17.15" hidden="false" customHeight="false" outlineLevel="0" collapsed="false">
      <c r="A15137" s="0" t="s">
        <v>1246</v>
      </c>
      <c r="B15137" s="0" t="s">
        <v>98</v>
      </c>
      <c r="F15137" s="6" t="n">
        <f aca="false">Sens!F15135-Sens!F15131-Sens!F15136</f>
        <v>6.72062140904636</v>
      </c>
      <c r="G15137" s="6" t="n">
        <f aca="false">Sens!G15135-Sens!G15131-Sens!G15136</f>
        <v>6.31487743919059</v>
      </c>
      <c r="H15137" s="6" t="n">
        <f aca="false">Sens!H15135-Sens!H15131-Sens!H15136</f>
        <v>6.30371125803333</v>
      </c>
      <c r="I15137" s="6" t="n">
        <f aca="false">Sens!I15135-Sens!I15131-Sens!I15136</f>
        <v>6.35007141935025</v>
      </c>
      <c r="J15137" s="6" t="n">
        <f aca="false">Sens!J15135-Sens!J15131-Sens!J15136</f>
        <v>6.44956543659808</v>
      </c>
      <c r="K15137" s="6" t="n">
        <f aca="false">Sens!K15135-Sens!K15131-Sens!K15136</f>
        <v>6.597037617813</v>
      </c>
    </row>
    <row r="15138" customFormat="false" ht="17.15" hidden="false" customHeight="false" outlineLevel="0" collapsed="false">
      <c r="A15138" s="0" t="s">
        <v>1247</v>
      </c>
      <c r="B15138" s="0" t="s">
        <v>98</v>
      </c>
      <c r="F15138" s="6" t="n">
        <f aca="false">Sens!F15132-tax_f*(Sens!F15132-Thesis!F43)-Thesis!F40</f>
        <v>-125.235434701028</v>
      </c>
      <c r="G15138" s="6" t="n">
        <f aca="false">Sens!G15132-tax_f*(Sens!G15132-Thesis!G43)-Thesis!G40</f>
        <v>-106.928508113935</v>
      </c>
      <c r="H15138" s="6" t="n">
        <f aca="false">Sens!H15132-tax_f*(Sens!H15132-Thesis!H43)-Thesis!H40</f>
        <v>-63.2919599603405</v>
      </c>
      <c r="I15138" s="6" t="n">
        <f aca="false">Sens!I15132-tax_f*(Sens!I15132-Thesis!I43)-Thesis!I40</f>
        <v>3.94121196634245</v>
      </c>
      <c r="J15138" s="6" t="n">
        <f aca="false">Sens!J15132-tax_f*(Sens!J15132-Thesis!J43)-Thesis!J40</f>
        <v>71.0786869547042</v>
      </c>
      <c r="K15138" s="6" t="n">
        <f aca="false">Sens!K15132-tax_f*(Sens!K15132-Thesis!K43)-Thesis!K40</f>
        <v>97.5865911685559</v>
      </c>
    </row>
    <row r="15139" customFormat="false" ht="17.15" hidden="false" customHeight="false" outlineLevel="0" collapsed="false">
      <c r="A15139" s="0" t="s">
        <v>1248</v>
      </c>
      <c r="B15139" s="0" t="s">
        <v>98</v>
      </c>
      <c r="G15139" s="6" t="n">
        <f aca="false">Sens!G15138/(1+wacc)^(Sens!G15109-Sens!F15110)</f>
        <v>-101.81651667568</v>
      </c>
      <c r="H15139" s="6" t="n">
        <f aca="false">Sens!H15138/(1+wacc)^(Sens!H15109-Sens!F15110)</f>
        <v>-54.6415143556151</v>
      </c>
      <c r="I15139" s="6" t="n">
        <f aca="false">Sens!I15138/(1+wacc)^(Sens!I15109-Sens!F15110)</f>
        <v>3.08498765169516</v>
      </c>
      <c r="J15139" s="6" t="n">
        <f aca="false">Sens!J15138/(1+wacc)^(Sens!J15109-Sens!F15110)</f>
        <v>50.4443451596971</v>
      </c>
      <c r="K15139" s="6" t="n">
        <f aca="false">Sens!K15138/(1+wacc)^(Sens!K15109-Sens!F15110)</f>
        <v>62.7932114544856</v>
      </c>
      <c r="L15139" s="1" t="s">
        <v>1249</v>
      </c>
    </row>
    <row r="15140" customFormat="false" ht="17.15" hidden="false" customHeight="false" outlineLevel="0" collapsed="false">
      <c r="A15140" s="0" t="s">
        <v>1250</v>
      </c>
      <c r="B15140" s="0" t="s">
        <v>98</v>
      </c>
      <c r="C15140" s="6" t="n">
        <f aca="false">(Sens!K15132-Thesis!K43)*(1-tax_f)*(1+g_tv)*(1-g_tv/(wacc+ronic_prem))/(wacc-g_tv)/(1+wacc)^(Sens!K15110-Sens!F15110)</f>
        <v>450.836735002813</v>
      </c>
    </row>
    <row r="15141" customFormat="false" ht="17.15" hidden="false" customHeight="false" outlineLevel="0" collapsed="false">
      <c r="A15141" s="1" t="s">
        <v>1251</v>
      </c>
      <c r="B15141" s="0" t="s">
        <v>98</v>
      </c>
      <c r="C15141" s="6" t="n">
        <f aca="false">(SUM(Sens!G15139:K15139)+Sens!$C$15140)*(1+wacc)^(t_roll-Sens!F15110)</f>
        <v>424.259738494477</v>
      </c>
      <c r="L15141" s="12" t="s">
        <v>1252</v>
      </c>
    </row>
    <row r="15142" customFormat="false" ht="17.15" hidden="false" customHeight="false" outlineLevel="0" collapsed="false">
      <c r="A15142" s="1" t="s">
        <v>1253</v>
      </c>
      <c r="B15142" s="0" t="s">
        <v>98</v>
      </c>
      <c r="C15142" s="6" t="n">
        <f aca="false">(w_ntm28*Thesis!G31+(1-w_ntm28)*Thesis!H31)*m_ai*1.2</f>
        <v>675.980211910402</v>
      </c>
    </row>
    <row r="15143" customFormat="false" ht="17.15" hidden="false" customHeight="false" outlineLevel="0" collapsed="false">
      <c r="A15143" s="1" t="s">
        <v>1254</v>
      </c>
      <c r="B15143" s="0" t="s">
        <v>98</v>
      </c>
      <c r="C15143" s="6" t="n">
        <f aca="false">(w_ntm28*Sens!G15134+(1-w_ntm28)*Sens!H15134)*m_cloud*1.2</f>
        <v>1302.21557635918</v>
      </c>
    </row>
    <row r="15144" customFormat="false" ht="17.15" hidden="false" customHeight="false" outlineLevel="0" collapsed="false">
      <c r="A15144" s="1" t="s">
        <v>1255</v>
      </c>
      <c r="B15144" s="0" t="s">
        <v>98</v>
      </c>
      <c r="C15144" s="6" t="n">
        <f aca="false">(w_ntm28*Sens!G15127+(1-w_ntm28)*Sens!H15127)*m_sw*1.2</f>
        <v>1344.5731578633</v>
      </c>
    </row>
    <row r="15145" customFormat="false" ht="17.15" hidden="false" customHeight="false" outlineLevel="0" collapsed="false">
      <c r="A15145" s="1" t="s">
        <v>1256</v>
      </c>
      <c r="B15145" s="0" t="s">
        <v>98</v>
      </c>
      <c r="C15145" s="6" t="n">
        <f aca="false">(w_ntm28*Sens!G15128+(1-w_ntm28)*Sens!H15128)*m_sw*1.2</f>
        <v>447.220785708492</v>
      </c>
    </row>
    <row r="15146" customFormat="false" ht="17.15" hidden="false" customHeight="false" outlineLevel="0" collapsed="false">
      <c r="A15146" s="1" t="s">
        <v>1257</v>
      </c>
      <c r="B15146" s="0" t="s">
        <v>98</v>
      </c>
      <c r="C15146" s="6" t="n">
        <f aca="false">(w_ntm28*Sens!G15129+(1-w_ntm28)*Sens!H15129)*m_sw*1.2</f>
        <v>130.791158798573</v>
      </c>
    </row>
    <row r="15147" customFormat="false" ht="17.15" hidden="false" customHeight="false" outlineLevel="0" collapsed="false">
      <c r="A15147" s="1" t="s">
        <v>1258</v>
      </c>
      <c r="B15147" s="0" t="s">
        <v>98</v>
      </c>
      <c r="C15147" s="6" t="n">
        <f aca="false">(w_ntm28*Sens!G15130+(1-w_ntm28)*Sens!H15130)*m_sw*1.2</f>
        <v>49.7235183032896</v>
      </c>
    </row>
    <row r="15148" customFormat="false" ht="17.15" hidden="false" customHeight="false" outlineLevel="0" collapsed="false">
      <c r="A15148" s="1" t="s">
        <v>1259</v>
      </c>
      <c r="B15148" s="0" t="s">
        <v>98</v>
      </c>
      <c r="C15148" s="6" t="n">
        <f aca="false">(w_ntm28*Sens!G15131+(1-w_ntm28)*Sens!H15131)*m_ads*1.2</f>
        <v>137.869284392325</v>
      </c>
    </row>
    <row r="15149" customFormat="false" ht="17.15" hidden="false" customHeight="false" outlineLevel="0" collapsed="false">
      <c r="A15149" s="1" t="s">
        <v>1260</v>
      </c>
      <c r="B15149" s="0" t="s">
        <v>98</v>
      </c>
      <c r="C15149" s="6" t="n">
        <f aca="false">(w_ntm28*Sens!G15136+(1-w_ntm28)*Sens!H15136)*m_game*1.2</f>
        <v>118.206238988062</v>
      </c>
    </row>
    <row r="15150" customFormat="false" ht="17.15" hidden="false" customHeight="false" outlineLevel="0" collapsed="false">
      <c r="A15150" s="1" t="s">
        <v>1261</v>
      </c>
      <c r="B15150" s="0" t="s">
        <v>98</v>
      </c>
      <c r="C15150" s="6" t="n">
        <f aca="false">(w_ntm28*Sens!G15137+(1-w_ntm28)*Sens!H15137)*m_pc*1.2</f>
        <v>109.587787338068</v>
      </c>
    </row>
    <row r="15151" customFormat="false" ht="17.15" hidden="false" customHeight="false" outlineLevel="0" collapsed="false">
      <c r="A15151" s="1" t="s">
        <v>1262</v>
      </c>
      <c r="B15151" s="0" t="s">
        <v>98</v>
      </c>
      <c r="C15151" s="6" t="n">
        <f aca="false">Sens!$C$15141+Sens!$C$15143+Sens!$C$15144+Sens!$C$15145+Sens!$C$15146+Sens!$C$15147+Sens!$C$15148+Sens!$C$15149+Sens!$C$15150</f>
        <v>4064.44724624577</v>
      </c>
    </row>
    <row r="15152" customFormat="false" ht="17.15" hidden="false" customHeight="false" outlineLevel="0" collapsed="false">
      <c r="A15152" s="1" t="s">
        <v>1263</v>
      </c>
      <c r="B15152" s="0" t="s">
        <v>98</v>
      </c>
      <c r="C15152" s="6" t="n">
        <f aca="false">(Sens!G15113-Sens!G15138)*t_stub</f>
        <v>48.2832931160316</v>
      </c>
      <c r="L15152" s="1" t="s">
        <v>1264</v>
      </c>
    </row>
    <row r="15153" customFormat="false" ht="17.15" hidden="false" customHeight="false" outlineLevel="0" collapsed="false">
      <c r="A15153" s="1" t="s">
        <v>1173</v>
      </c>
      <c r="B15153" s="0" t="s">
        <v>98</v>
      </c>
      <c r="C15153" s="6" t="n">
        <f aca="false">CF!F39+oai_v-CF!F28+Sens!$C$15152</f>
        <v>162.511563116032</v>
      </c>
      <c r="L15153" s="1" t="s">
        <v>1265</v>
      </c>
    </row>
    <row r="15154" customFormat="false" ht="17.15" hidden="false" customHeight="false" outlineLevel="0" collapsed="false">
      <c r="A15154" s="1" t="s">
        <v>1266</v>
      </c>
      <c r="B15154" s="0" t="s">
        <v>75</v>
      </c>
      <c r="C15154" s="5" t="n">
        <f aca="false">(Sens!$C$15151+Sens!$C$15153)/(CF!F41+dil_gap)-CF!G31*roll_div_q/q_per_yr</f>
        <v>563.287476086868</v>
      </c>
      <c r="L15154" s="1" t="s">
        <v>1267</v>
      </c>
    </row>
    <row r="15155" customFormat="false" ht="17.15" hidden="false" customHeight="false" outlineLevel="0" collapsed="false">
      <c r="A15155" s="1" t="s">
        <v>1268</v>
      </c>
      <c r="B15155" s="0" t="s">
        <v>75</v>
      </c>
      <c r="C15155" s="5" t="n">
        <f aca="false">w_dcf*Sens!$C$15125+(1-w_dcf)*Sens!$C$15154</f>
        <v>463.746959647608</v>
      </c>
    </row>
    <row r="15156" customFormat="false" ht="17.15" hidden="false" customHeight="false" outlineLevel="0" collapsed="false">
      <c r="A15156" s="3" t="s">
        <v>1985</v>
      </c>
    </row>
    <row r="15157" customFormat="false" ht="15" hidden="false" customHeight="false" outlineLevel="0" collapsed="false">
      <c r="A15157" s="4" t="s">
        <v>43</v>
      </c>
      <c r="B15157" s="4" t="s">
        <v>65</v>
      </c>
      <c r="C15157" s="23" t="s">
        <v>942</v>
      </c>
      <c r="D15157" s="23" t="s">
        <v>943</v>
      </c>
      <c r="E15157" s="23" t="s">
        <v>944</v>
      </c>
      <c r="F15157" s="23" t="s">
        <v>945</v>
      </c>
      <c r="G15157" s="23" t="s">
        <v>946</v>
      </c>
      <c r="H15157" s="23" t="s">
        <v>947</v>
      </c>
      <c r="I15157" s="23" t="s">
        <v>948</v>
      </c>
      <c r="J15157" s="23" t="s">
        <v>949</v>
      </c>
      <c r="K15157" s="23" t="s">
        <v>950</v>
      </c>
      <c r="L15157" s="4" t="s">
        <v>47</v>
      </c>
    </row>
    <row r="15158" customFormat="false" ht="17.15" hidden="false" customHeight="false" outlineLevel="0" collapsed="false">
      <c r="A15158" s="1" t="s">
        <v>1216</v>
      </c>
      <c r="B15158" s="1" t="s">
        <v>279</v>
      </c>
      <c r="F15158" s="8" t="n">
        <f aca="false">(1-v_off)*mid_yr</f>
        <v>0.373972602739726</v>
      </c>
      <c r="G15158" s="8" t="n">
        <f aca="false">Thesis!G58-base_fy-mid_yr-v_off</f>
        <v>1.24794520547945</v>
      </c>
      <c r="H15158" s="8" t="n">
        <f aca="false">Thesis!H58-base_fy-mid_yr-v_off</f>
        <v>2.24794520547945</v>
      </c>
      <c r="I15158" s="8" t="n">
        <f aca="false">Thesis!I58-base_fy-mid_yr-v_off</f>
        <v>3.24794520547945</v>
      </c>
      <c r="J15158" s="8" t="n">
        <f aca="false">Thesis!J58-base_fy-mid_yr-v_off</f>
        <v>4.24794520547945</v>
      </c>
      <c r="K15158" s="8" t="n">
        <f aca="false">Thesis!K58-base_fy-mid_yr-v_off</f>
        <v>5.24794520547945</v>
      </c>
      <c r="L15158" s="12" t="s">
        <v>1217</v>
      </c>
    </row>
    <row r="15159" customFormat="false" ht="15" hidden="false" customHeight="false" outlineLevel="0" collapsed="false">
      <c r="A15159" s="1" t="s">
        <v>1218</v>
      </c>
      <c r="B15159" s="1" t="s">
        <v>279</v>
      </c>
      <c r="F15159" s="8" t="n">
        <f aca="false">Thesis!F58-base_fy-v_off</f>
        <v>0.747945205479452</v>
      </c>
      <c r="G15159" s="8" t="n">
        <f aca="false">Thesis!G58-base_fy-v_off</f>
        <v>1.74794520547945</v>
      </c>
      <c r="H15159" s="8" t="n">
        <f aca="false">Thesis!H58-base_fy-v_off</f>
        <v>2.74794520547945</v>
      </c>
      <c r="I15159" s="8" t="n">
        <f aca="false">Thesis!I58-base_fy-v_off</f>
        <v>3.74794520547945</v>
      </c>
      <c r="J15159" s="8" t="n">
        <f aca="false">Thesis!J58-base_fy-v_off</f>
        <v>4.74794520547945</v>
      </c>
      <c r="K15159" s="8" t="n">
        <f aca="false">Thesis!K58-base_fy-v_off</f>
        <v>5.74794520547945</v>
      </c>
    </row>
    <row r="15160" customFormat="false" ht="15" hidden="false" customHeight="false" outlineLevel="0" collapsed="false">
      <c r="A15160" s="1" t="s">
        <v>1219</v>
      </c>
      <c r="B15160" s="0" t="s">
        <v>229</v>
      </c>
      <c r="F15160" s="15" t="n">
        <f aca="false">1/(1+wacc)^Sens!F15158</f>
        <v>0.964022703286649</v>
      </c>
      <c r="G15160" s="15" t="n">
        <f aca="false">1/(1+wacc)^Sens!G15158</f>
        <v>0.884910302296739</v>
      </c>
      <c r="H15160" s="15" t="n">
        <f aca="false">1/(1+wacc)^Sens!H15158</f>
        <v>0.802322009770358</v>
      </c>
      <c r="I15160" s="15" t="n">
        <f aca="false">1/(1+wacc)^Sens!I15158</f>
        <v>0.727441646561469</v>
      </c>
      <c r="J15160" s="15" t="n">
        <f aca="false">1/(1+wacc)^Sens!J15158</f>
        <v>0.659549834988973</v>
      </c>
      <c r="K15160" s="15" t="n">
        <f aca="false">1/(1+wacc)^Sens!K15158</f>
        <v>0.597994336576966</v>
      </c>
    </row>
    <row r="15161" customFormat="false" ht="17.15" hidden="false" customHeight="false" outlineLevel="0" collapsed="false">
      <c r="A15161" s="1" t="s">
        <v>1220</v>
      </c>
      <c r="B15161" s="0" t="s">
        <v>98</v>
      </c>
      <c r="F15161" s="6" t="n">
        <f aca="false">Q!$I$35-Q!$I$39-Q!$I$43</f>
        <v>9.666</v>
      </c>
      <c r="L15161" s="12" t="s">
        <v>1221</v>
      </c>
    </row>
    <row r="15162" customFormat="false" ht="17.15" hidden="false" customHeight="false" outlineLevel="0" collapsed="false">
      <c r="A15162" s="1" t="s">
        <v>1222</v>
      </c>
      <c r="B15162" s="0" t="s">
        <v>98</v>
      </c>
      <c r="F15162" s="6" t="n">
        <f aca="false">CF!F55-CF!F52-CF!F59+Thesis!F99*(1-tax_f)*(1-v_off)-Sens!F15161</f>
        <v>-3.35959137570949</v>
      </c>
      <c r="G15162" s="6" t="n">
        <f aca="false">CF!G55-CF!G52-CF!G59+Thesis!G99*(1-tax_f)</f>
        <v>29.8084555066036</v>
      </c>
      <c r="H15162" s="6" t="n">
        <f aca="false">CF!H55-CF!H52-CF!H59+Thesis!H99*(1-tax_f)</f>
        <v>79.3231801478051</v>
      </c>
      <c r="I15162" s="6" t="n">
        <f aca="false">CF!I55-CF!I52-CF!I59+Thesis!I99*(1-tax_f)</f>
        <v>157.29132812061</v>
      </c>
      <c r="J15162" s="6" t="n">
        <f aca="false">CF!J55-CF!J52-CF!J59+Thesis!J99*(1-tax_f)</f>
        <v>235.537601843622</v>
      </c>
      <c r="K15162" s="6" t="n">
        <f aca="false">CF!K55-CF!K52-CF!K59+Thesis!K99*(1-tax_f)</f>
        <v>273.705067207806</v>
      </c>
      <c r="L15162" s="1" t="s">
        <v>1223</v>
      </c>
    </row>
    <row r="15163" customFormat="false" ht="15" hidden="false" customHeight="false" outlineLevel="0" collapsed="false">
      <c r="A15163" s="1" t="s">
        <v>1224</v>
      </c>
      <c r="B15163" s="0" t="s">
        <v>98</v>
      </c>
      <c r="F15163" s="6" t="n">
        <f aca="false">Sens!F15162*Sens!F15160</f>
        <v>-3.23872235994998</v>
      </c>
      <c r="G15163" s="6" t="n">
        <f aca="false">Sens!G15162*Sens!G15160</f>
        <v>26.3778093733475</v>
      </c>
      <c r="H15163" s="6" t="n">
        <f aca="false">Sens!H15162*Sens!H15160</f>
        <v>63.6427333175632</v>
      </c>
      <c r="I15163" s="6" t="n">
        <f aca="false">Sens!I15162*Sens!I15160</f>
        <v>114.420262717897</v>
      </c>
      <c r="J15163" s="6" t="n">
        <f aca="false">Sens!J15162*Sens!J15160</f>
        <v>155.348786429659</v>
      </c>
      <c r="K15163" s="6" t="n">
        <f aca="false">Sens!K15162*Sens!K15160</f>
        <v>163.674080082686</v>
      </c>
    </row>
    <row r="15164" customFormat="false" ht="17.15" hidden="false" customHeight="false" outlineLevel="0" collapsed="false">
      <c r="A15164" s="1" t="s">
        <v>1225</v>
      </c>
      <c r="B15164" s="0" t="s">
        <v>98</v>
      </c>
      <c r="C15164" s="6" t="n">
        <f aca="false">SUM(Sens!F15163:K15163)</f>
        <v>520.224949561203</v>
      </c>
    </row>
    <row r="15165" customFormat="false" ht="17.15" hidden="false" customHeight="false" outlineLevel="0" collapsed="false">
      <c r="A15165" s="1" t="s">
        <v>1226</v>
      </c>
      <c r="B15165" s="0" t="s">
        <v>98</v>
      </c>
      <c r="C15165" s="6" t="n">
        <f aca="false">PL!K78*(1+g_tv)*(1-tax_f)</f>
        <v>284.979534119394</v>
      </c>
    </row>
    <row r="15166" customFormat="false" ht="17.15" hidden="false" customHeight="false" outlineLevel="0" collapsed="false">
      <c r="A15166" s="1" t="s">
        <v>1227</v>
      </c>
      <c r="B15166" s="0" t="s">
        <v>98</v>
      </c>
      <c r="C15166" s="6" t="n">
        <f aca="false">Sens!$C$15165*(1-g_tv/(wacc+ronic_prem))</f>
        <v>201.924655916751</v>
      </c>
    </row>
    <row r="15167" customFormat="false" ht="17.15" hidden="false" customHeight="false" outlineLevel="0" collapsed="false">
      <c r="A15167" s="1" t="s">
        <v>1228</v>
      </c>
      <c r="B15167" s="0" t="s">
        <v>98</v>
      </c>
      <c r="C15167" s="6" t="n">
        <f aca="false">Sens!$C$15166/(wacc-g_tv)</f>
        <v>2768.49594008808</v>
      </c>
    </row>
    <row r="15168" customFormat="false" ht="15" hidden="false" customHeight="false" outlineLevel="0" collapsed="false">
      <c r="A15168" s="1" t="s">
        <v>1229</v>
      </c>
      <c r="B15168" s="0" t="s">
        <v>98</v>
      </c>
      <c r="C15168" s="6" t="n">
        <f aca="false">Sens!$C$15167/(1+wacc)^Sens!K15159</f>
        <v>1576.39732546142</v>
      </c>
    </row>
    <row r="15169" customFormat="false" ht="17.15" hidden="false" customHeight="false" outlineLevel="0" collapsed="false">
      <c r="A15169" s="0" t="s">
        <v>1230</v>
      </c>
      <c r="B15169" s="0" t="s">
        <v>98</v>
      </c>
      <c r="C15169" s="6" t="n">
        <f aca="false">Sens!$C$15164+Sens!$C$15168</f>
        <v>2096.62227502262</v>
      </c>
    </row>
    <row r="15170" customFormat="false" ht="15" hidden="false" customHeight="false" outlineLevel="0" collapsed="false">
      <c r="A15170" s="1" t="s">
        <v>1145</v>
      </c>
      <c r="B15170" s="0" t="s">
        <v>168</v>
      </c>
      <c r="C15170" s="7" t="n">
        <f aca="false">Sens!$C$15168/Sens!$C$15169</f>
        <v>0.751874738831729</v>
      </c>
    </row>
    <row r="15171" customFormat="false" ht="17.15" hidden="false" customHeight="false" outlineLevel="0" collapsed="false">
      <c r="A15171" s="1" t="s">
        <v>1231</v>
      </c>
      <c r="B15171" s="0" t="s">
        <v>98</v>
      </c>
      <c r="C15171" s="6" t="n">
        <f aca="false">Sens!$C$15169+cash_val-debt_val-fl_val+oai_v</f>
        <v>2212.47327502262</v>
      </c>
    </row>
    <row r="15172" customFormat="false" ht="17.15" hidden="false" customHeight="false" outlineLevel="0" collapsed="false">
      <c r="A15172" s="0" t="s">
        <v>1153</v>
      </c>
      <c r="B15172" s="0" t="s">
        <v>75</v>
      </c>
      <c r="C15172" s="5" t="n">
        <f aca="false">Sens!$C$15171/shd_val</f>
        <v>297.13581453433</v>
      </c>
    </row>
    <row r="15173" customFormat="false" ht="15" hidden="false" customHeight="false" outlineLevel="0" collapsed="false">
      <c r="A15173" s="1" t="s">
        <v>1232</v>
      </c>
      <c r="B15173" s="0" t="s">
        <v>75</v>
      </c>
      <c r="C15173" s="8" t="n">
        <f aca="false">div_rem27+CF!G63*roll_div_q/q_per_yr</f>
        <v>3.9795</v>
      </c>
    </row>
    <row r="15174" customFormat="false" ht="17.15" hidden="false" customHeight="false" outlineLevel="0" collapsed="false">
      <c r="A15174" s="0" t="s">
        <v>1233</v>
      </c>
      <c r="B15174" s="0" t="s">
        <v>75</v>
      </c>
      <c r="C15174" s="5" t="n">
        <f aca="false">Sens!$C$15172*(1+wacc)^t_roll-Sens!$C$15173</f>
        <v>326.303541225732</v>
      </c>
    </row>
    <row r="15175" customFormat="false" ht="17.15" hidden="false" customHeight="false" outlineLevel="0" collapsed="false">
      <c r="A15175" s="1" t="s">
        <v>1234</v>
      </c>
      <c r="B15175" s="0" t="s">
        <v>168</v>
      </c>
      <c r="F15175" s="7" t="n">
        <f aca="false">CF!F49/(Seg!F56-Thesis!F77)</f>
        <v>0.0686195668908011</v>
      </c>
      <c r="G15175" s="7" t="n">
        <f aca="false">CF!G49/(Seg!G56-Thesis!G77)</f>
        <v>0.0658333569148391</v>
      </c>
      <c r="H15175" s="7" t="n">
        <f aca="false">CF!H49/(Seg!H56-Thesis!H77)</f>
        <v>0.0643895625218926</v>
      </c>
      <c r="I15175" s="7" t="n">
        <f aca="false">CF!I49/(Seg!I56-Thesis!I77)</f>
        <v>0.0641676618157989</v>
      </c>
      <c r="J15175" s="7" t="n">
        <f aca="false">CF!J49/(Seg!J56-Thesis!J77)</f>
        <v>0.0648858606572163</v>
      </c>
      <c r="K15175" s="7" t="n">
        <f aca="false">CF!K49/(Seg!K56-Thesis!K77)</f>
        <v>0.0661974425163768</v>
      </c>
    </row>
    <row r="15176" customFormat="false" ht="17.15" hidden="false" customHeight="false" outlineLevel="0" collapsed="false">
      <c r="A15176" s="0" t="s">
        <v>1235</v>
      </c>
      <c r="B15176" s="0" t="s">
        <v>98</v>
      </c>
      <c r="F15176" s="6" t="n">
        <f aca="false">Seg!F41*(al_m365+Sens!F15175+sbc_r)</f>
        <v>83.7205619248671</v>
      </c>
      <c r="G15176" s="6" t="n">
        <f aca="false">Seg!G41*(al_m365+Sens!G15175+sbc_r)</f>
        <v>96.1301303332381</v>
      </c>
      <c r="H15176" s="6" t="n">
        <f aca="false">Seg!H41*(al_m365+Sens!H15175+sbc_r)</f>
        <v>108.70354073822</v>
      </c>
      <c r="I15176" s="6" t="n">
        <f aca="false">Seg!I41*(al_m365+Sens!I15175+sbc_r)</f>
        <v>120.260101315626</v>
      </c>
      <c r="J15176" s="6" t="n">
        <f aca="false">Seg!J41*(al_m365+Sens!J15175+sbc_r)</f>
        <v>130.611904548619</v>
      </c>
      <c r="K15176" s="6" t="n">
        <f aca="false">Seg!K41*(al_m365+Sens!K15175+sbc_r)</f>
        <v>140.575094974638</v>
      </c>
      <c r="L15176" s="12" t="s">
        <v>1236</v>
      </c>
    </row>
    <row r="15177" customFormat="false" ht="17.15" hidden="false" customHeight="false" outlineLevel="0" collapsed="false">
      <c r="A15177" s="0" t="s">
        <v>1237</v>
      </c>
      <c r="B15177" s="0" t="s">
        <v>98</v>
      </c>
      <c r="F15177" s="6" t="n">
        <f aca="false">Seg!F42*(al_lic+Sens!F15175+sbc_r)</f>
        <v>32.8577657183496</v>
      </c>
      <c r="G15177" s="6" t="n">
        <f aca="false">Seg!G42*(al_lic+Sens!G15175+sbc_r)</f>
        <v>34.1376266324889</v>
      </c>
      <c r="H15177" s="6" t="n">
        <f aca="false">Seg!H42*(al_lic+Sens!H15175+sbc_r)</f>
        <v>35.3325744664128</v>
      </c>
      <c r="I15177" s="6" t="n">
        <f aca="false">Seg!I42*(al_lic+Sens!I15175+sbc_r)</f>
        <v>36.4244749008727</v>
      </c>
      <c r="J15177" s="6" t="n">
        <f aca="false">Seg!J42*(al_lic+Sens!J15175+sbc_r)</f>
        <v>37.3879406068527</v>
      </c>
      <c r="K15177" s="6" t="n">
        <f aca="false">Seg!K42*(al_lic+Sens!K15175+sbc_r)</f>
        <v>38.1943876078259</v>
      </c>
    </row>
    <row r="15178" customFormat="false" ht="17.15" hidden="false" customHeight="false" outlineLevel="0" collapsed="false">
      <c r="A15178" s="0" t="s">
        <v>1238</v>
      </c>
      <c r="B15178" s="0" t="s">
        <v>98</v>
      </c>
      <c r="F15178" s="6" t="n">
        <f aca="false">Seg!F44*(al_ind+Sens!F15175+sbc_r)</f>
        <v>9.06041701092022</v>
      </c>
      <c r="G15178" s="6" t="n">
        <f aca="false">Seg!G44*(al_ind+Sens!G15175+sbc_r)</f>
        <v>9.83619082712885</v>
      </c>
      <c r="H15178" s="6" t="n">
        <f aca="false">Seg!H44*(al_ind+Sens!H15175+sbc_r)</f>
        <v>10.6570160105312</v>
      </c>
      <c r="I15178" s="6" t="n">
        <f aca="false">Seg!I44*(al_ind+Sens!I15175+sbc_r)</f>
        <v>11.5198571637125</v>
      </c>
      <c r="J15178" s="6" t="n">
        <f aca="false">Seg!J44*(al_ind+Sens!J15175+sbc_r)</f>
        <v>12.4150086539206</v>
      </c>
      <c r="K15178" s="6" t="n">
        <f aca="false">Seg!K44*(al_ind+Sens!K15175+sbc_r)</f>
        <v>13.3273714589988</v>
      </c>
    </row>
    <row r="15179" customFormat="false" ht="17.15" hidden="false" customHeight="false" outlineLevel="0" collapsed="false">
      <c r="A15179" s="0" t="s">
        <v>1239</v>
      </c>
      <c r="B15179" s="0" t="s">
        <v>98</v>
      </c>
      <c r="F15179" s="6" t="n">
        <f aca="false">Seg!F46*(al_fro+Sens!F15175+sbc_r)</f>
        <v>3.55402950182022</v>
      </c>
      <c r="G15179" s="6" t="n">
        <f aca="false">Seg!G46*(al_fro+Sens!G15175+sbc_r)</f>
        <v>3.76361488926481</v>
      </c>
      <c r="H15179" s="6" t="n">
        <f aca="false">Seg!H46*(al_fro+Sens!H15175+sbc_r)</f>
        <v>4.00220968879544</v>
      </c>
      <c r="I15179" s="6" t="n">
        <f aca="false">Seg!I46*(al_fro+Sens!I15175+sbc_r)</f>
        <v>4.2725765173852</v>
      </c>
      <c r="J15179" s="6" t="n">
        <f aca="false">Seg!J46*(al_fro+Sens!J15175+sbc_r)</f>
        <v>4.57586224390293</v>
      </c>
      <c r="K15179" s="6" t="n">
        <f aca="false">Seg!K46*(al_fro+Sens!K15175+sbc_r)</f>
        <v>4.91213639633217</v>
      </c>
    </row>
    <row r="15180" customFormat="false" ht="17.15" hidden="false" customHeight="false" outlineLevel="0" collapsed="false">
      <c r="A15180" s="0" t="s">
        <v>1240</v>
      </c>
      <c r="B15180" s="0" t="s">
        <v>98</v>
      </c>
      <c r="F15180" s="6" t="n">
        <f aca="false">Seg!F49*(al_srch+Sens!F15175+sbc_r)</f>
        <v>11.1890902994147</v>
      </c>
      <c r="G15180" s="6" t="n">
        <f aca="false">Seg!G49*(al_srch+Sens!G15175+sbc_r)</f>
        <v>12.261738891803</v>
      </c>
      <c r="H15180" s="6" t="n">
        <f aca="false">Seg!H49*(al_srch+Sens!H15175+sbc_r)</f>
        <v>13.3794863429193</v>
      </c>
      <c r="I15180" s="6" t="n">
        <f aca="false">Seg!I49*(al_srch+Sens!I15175+sbc_r)</f>
        <v>14.5317114787784</v>
      </c>
      <c r="J15180" s="6" t="n">
        <f aca="false">Seg!J49*(al_srch+Sens!J15175+sbc_r)</f>
        <v>15.6984365817724</v>
      </c>
      <c r="K15180" s="6" t="n">
        <f aca="false">Seg!K49*(al_srch+Sens!K15175+sbc_r)</f>
        <v>16.8520942258664</v>
      </c>
    </row>
    <row r="15181" customFormat="false" ht="17.15" hidden="false" customHeight="false" outlineLevel="0" collapsed="false">
      <c r="A15181" s="0" t="s">
        <v>1241</v>
      </c>
      <c r="B15181" s="0" t="s">
        <v>98</v>
      </c>
      <c r="F15181" s="6" t="n">
        <f aca="false">Thesis!F83-Thesis!F84+Thesis!F99</f>
        <v>42.5431090240393</v>
      </c>
      <c r="G15181" s="6" t="n">
        <f aca="false">Thesis!G83-Thesis!G84+Thesis!G99</f>
        <v>81.4922561130847</v>
      </c>
      <c r="H15181" s="6" t="n">
        <f aca="false">Thesis!H83-Thesis!H84+Thesis!H99</f>
        <v>123.278266211349</v>
      </c>
      <c r="I15181" s="6" t="n">
        <f aca="false">Thesis!I83-Thesis!I84+Thesis!I99</f>
        <v>160.60594185192</v>
      </c>
      <c r="J15181" s="6" t="n">
        <f aca="false">Thesis!J83-Thesis!J84+Thesis!J99</f>
        <v>186.818741832633</v>
      </c>
      <c r="K15181" s="6" t="n">
        <f aca="false">Thesis!K83-Thesis!K84+Thesis!K99</f>
        <v>202.776422159652</v>
      </c>
    </row>
    <row r="15182" customFormat="false" ht="17.15" hidden="false" customHeight="false" outlineLevel="0" collapsed="false">
      <c r="A15182" s="0" t="s">
        <v>1242</v>
      </c>
      <c r="B15182" s="0" t="s">
        <v>98</v>
      </c>
      <c r="F15182" s="6" t="n">
        <f aca="false">PL!F71+Thesis!F99+Thesis!F95+Sens!F15175*(Seg!F48-Thesis!F77)+sbc_r*Seg!F48</f>
        <v>238.090727427296</v>
      </c>
      <c r="G15182" s="6" t="n">
        <f aca="false">PL!G71+Thesis!G99+Thesis!G95+Sens!G15175*(Seg!G48-Thesis!G77)+sbc_r*Seg!G48</f>
        <v>299.90836088563</v>
      </c>
      <c r="H15182" s="6" t="n">
        <f aca="false">PL!H71+Thesis!H99+Thesis!H95+Sens!H15175*(Seg!H48-Thesis!H77)+sbc_r*Seg!H48</f>
        <v>369.457709442386</v>
      </c>
      <c r="I15182" s="6" t="n">
        <f aca="false">PL!I71+Thesis!I99+Thesis!I95+Sens!I15175*(Seg!I48-Thesis!I77)+sbc_r*Seg!I48</f>
        <v>433.16585128823</v>
      </c>
      <c r="J15182" s="6" t="n">
        <f aca="false">PL!J71+Thesis!J99+Thesis!J95+Sens!J15175*(Seg!J48-Thesis!J77)+sbc_r*Seg!J48</f>
        <v>483.301303131191</v>
      </c>
      <c r="K15182" s="6" t="n">
        <f aca="false">PL!K71+Thesis!K99+Thesis!K95+Sens!K15175*(Seg!K48-Thesis!K77)+sbc_r*Seg!K48</f>
        <v>520.789002205336</v>
      </c>
    </row>
    <row r="15183" customFormat="false" ht="17.15" hidden="false" customHeight="false" outlineLevel="0" collapsed="false">
      <c r="A15183" s="0" t="s">
        <v>1243</v>
      </c>
      <c r="B15183" s="0" t="s">
        <v>98</v>
      </c>
      <c r="F15183" s="6" t="n">
        <f aca="false">Sens!F15182-Sens!F15176-Sens!F15177-Sens!F15178-Sens!F15179-Sens!F15181</f>
        <v>66.3548442472996</v>
      </c>
      <c r="G15183" s="6" t="n">
        <f aca="false">Sens!G15182-Sens!G15176-Sens!G15177-Sens!G15178-Sens!G15179-Sens!G15181</f>
        <v>74.548542090425</v>
      </c>
      <c r="H15183" s="6" t="n">
        <f aca="false">Sens!H15182-Sens!H15176-Sens!H15177-Sens!H15178-Sens!H15179-Sens!H15181</f>
        <v>87.4841023270775</v>
      </c>
      <c r="I15183" s="6" t="n">
        <f aca="false">Sens!I15182-Sens!I15176-Sens!I15177-Sens!I15178-Sens!I15179-Sens!I15181</f>
        <v>100.082899538713</v>
      </c>
      <c r="J15183" s="6" t="n">
        <f aca="false">Sens!J15182-Sens!J15176-Sens!J15177-Sens!J15178-Sens!J15179-Sens!J15181</f>
        <v>111.491845245262</v>
      </c>
      <c r="K15183" s="6" t="n">
        <f aca="false">Sens!K15182-Sens!K15176-Sens!K15177-Sens!K15178-Sens!K15179-Sens!K15181</f>
        <v>121.003589607889</v>
      </c>
    </row>
    <row r="15184" customFormat="false" ht="17.15" hidden="false" customHeight="false" outlineLevel="0" collapsed="false">
      <c r="A15184" s="0" t="s">
        <v>1244</v>
      </c>
      <c r="B15184" s="0" t="s">
        <v>98</v>
      </c>
      <c r="F15184" s="6" t="n">
        <f aca="false">PL!F73+Sens!F15175*Seg!F55+sbc_r*Seg!F55</f>
        <v>26.6336365855879</v>
      </c>
      <c r="G15184" s="6" t="n">
        <f aca="false">PL!G73+Sens!G15175*Seg!G55+sbc_r*Seg!G55</f>
        <v>26.4720859498625</v>
      </c>
      <c r="H15184" s="6" t="n">
        <f aca="false">PL!H73+Sens!H15175*Seg!H55+sbc_r*Seg!H55</f>
        <v>27.346793021284</v>
      </c>
      <c r="I15184" s="6" t="n">
        <f aca="false">PL!I73+Sens!I15175*Seg!I55+sbc_r*Seg!I55</f>
        <v>28.4574657863154</v>
      </c>
      <c r="J15184" s="6" t="n">
        <f aca="false">PL!J73+Sens!J15175*Seg!J55+sbc_r*Seg!J55</f>
        <v>29.7689890546037</v>
      </c>
      <c r="K15184" s="6" t="n">
        <f aca="false">PL!K73+Sens!K15175*Seg!K55+sbc_r*Seg!K55</f>
        <v>31.2443947307494</v>
      </c>
    </row>
    <row r="15185" customFormat="false" ht="17.15" hidden="false" customHeight="false" outlineLevel="0" collapsed="false">
      <c r="A15185" s="0" t="s">
        <v>1245</v>
      </c>
      <c r="B15185" s="0" t="s">
        <v>98</v>
      </c>
      <c r="F15185" s="6" t="n">
        <f aca="false">(Sens!F15184-Sens!F15180)*Seg!F51/(Seg!F51+Seg!F53)</f>
        <v>8.72285608232241</v>
      </c>
      <c r="G15185" s="6" t="n">
        <f aca="false">(Sens!G15184-Sens!G15180)*Seg!G51/(Seg!G51+Seg!G53)</f>
        <v>7.88786455444355</v>
      </c>
      <c r="H15185" s="6" t="n">
        <f aca="false">(Sens!H15184-Sens!H15180)*Seg!H51/(Seg!H51+Seg!H53)</f>
        <v>7.65195986819674</v>
      </c>
      <c r="I15185" s="6" t="n">
        <f aca="false">(Sens!I15184-Sens!I15180)*Seg!I51/(Seg!I51+Seg!I53)</f>
        <v>7.56260440676676</v>
      </c>
      <c r="J15185" s="6" t="n">
        <f aca="false">(Sens!J15184-Sens!J15180)*Seg!J51/(Seg!J51+Seg!J53)</f>
        <v>7.60790100885945</v>
      </c>
      <c r="K15185" s="6" t="n">
        <f aca="false">(Sens!K15184-Sens!K15180)*Seg!K51/(Seg!K51+Seg!K53)</f>
        <v>7.78186910160995</v>
      </c>
    </row>
    <row r="15186" customFormat="false" ht="17.15" hidden="false" customHeight="false" outlineLevel="0" collapsed="false">
      <c r="A15186" s="0" t="s">
        <v>1246</v>
      </c>
      <c r="B15186" s="0" t="s">
        <v>98</v>
      </c>
      <c r="F15186" s="6" t="n">
        <f aca="false">Sens!F15184-Sens!F15180-Sens!F15185</f>
        <v>6.72169020385088</v>
      </c>
      <c r="G15186" s="6" t="n">
        <f aca="false">Sens!G15184-Sens!G15180-Sens!G15185</f>
        <v>6.322482503616</v>
      </c>
      <c r="H15186" s="6" t="n">
        <f aca="false">Sens!H15184-Sens!H15180-Sens!H15185</f>
        <v>6.315346810168</v>
      </c>
      <c r="I15186" s="6" t="n">
        <f aca="false">Sens!I15184-Sens!I15180-Sens!I15185</f>
        <v>6.36314990077033</v>
      </c>
      <c r="J15186" s="6" t="n">
        <f aca="false">Sens!J15184-Sens!J15180-Sens!J15185</f>
        <v>6.46265146397189</v>
      </c>
      <c r="K15186" s="6" t="n">
        <f aca="false">Sens!K15184-Sens!K15180-Sens!K15185</f>
        <v>6.61043140327304</v>
      </c>
    </row>
    <row r="15187" customFormat="false" ht="17.15" hidden="false" customHeight="false" outlineLevel="0" collapsed="false">
      <c r="A15187" s="0" t="s">
        <v>1247</v>
      </c>
      <c r="B15187" s="0" t="s">
        <v>98</v>
      </c>
      <c r="F15187" s="6" t="n">
        <f aca="false">Sens!F15181-tax_f*(Sens!F15181-Thesis!F95)-Thesis!F92</f>
        <v>-127.503553927218</v>
      </c>
      <c r="G15187" s="6" t="n">
        <f aca="false">Sens!G15181-tax_f*(Sens!G15181-Thesis!G95)-Thesis!G92</f>
        <v>-114.603772628121</v>
      </c>
      <c r="H15187" s="6" t="n">
        <f aca="false">Sens!H15181-tax_f*(Sens!H15181-Thesis!H95)-Thesis!H92</f>
        <v>-80.3633729631438</v>
      </c>
      <c r="I15187" s="6" t="n">
        <f aca="false">Sens!I15181-tax_f*(Sens!I15181-Thesis!I95)-Thesis!I92</f>
        <v>-17.2838782011649</v>
      </c>
      <c r="J15187" s="6" t="n">
        <f aca="false">Sens!J15181-tax_f*(Sens!J15181-Thesis!J95)-Thesis!J92</f>
        <v>46.9281968800854</v>
      </c>
      <c r="K15187" s="6" t="n">
        <f aca="false">Sens!K15181-tax_f*(Sens!K15181-Thesis!K95)-Thesis!K92</f>
        <v>71.8608185731755</v>
      </c>
    </row>
    <row r="15188" customFormat="false" ht="17.15" hidden="false" customHeight="false" outlineLevel="0" collapsed="false">
      <c r="A15188" s="0" t="s">
        <v>1248</v>
      </c>
      <c r="B15188" s="0" t="s">
        <v>98</v>
      </c>
      <c r="G15188" s="6" t="n">
        <f aca="false">Sens!G15187/(1+wacc)^(Sens!G15158-Sens!F15159)</f>
        <v>-109.124845494465</v>
      </c>
      <c r="H15188" s="6" t="n">
        <f aca="false">Sens!H15187/(1+wacc)^(Sens!H15158-Sens!F15159)</f>
        <v>-69.3796874071025</v>
      </c>
      <c r="I15188" s="6" t="n">
        <f aca="false">Sens!I15187/(1+wacc)^(Sens!I15158-Sens!F15159)</f>
        <v>-13.5289731380471</v>
      </c>
      <c r="J15188" s="6" t="n">
        <f aca="false">Sens!J15187/(1+wacc)^(Sens!J15158-Sens!F15159)</f>
        <v>33.3048099587126</v>
      </c>
      <c r="K15188" s="6" t="n">
        <f aca="false">Sens!K15187/(1+wacc)^(Sens!K15158-Sens!F15159)</f>
        <v>46.2396679904913</v>
      </c>
      <c r="L15188" s="1" t="s">
        <v>1249</v>
      </c>
    </row>
    <row r="15189" customFormat="false" ht="17.15" hidden="false" customHeight="false" outlineLevel="0" collapsed="false">
      <c r="A15189" s="0" t="s">
        <v>1250</v>
      </c>
      <c r="B15189" s="0" t="s">
        <v>98</v>
      </c>
      <c r="C15189" s="6" t="n">
        <f aca="false">(Sens!K15181-Thesis!K95)*(1-tax_f)*(1+g_tv)*(1-g_tv/(wacc+ronic_prem))/(wacc-g_tv)/(1+wacc)^(Sens!K15159-Sens!F15159)</f>
        <v>293.118051086843</v>
      </c>
    </row>
    <row r="15190" customFormat="false" ht="17.15" hidden="false" customHeight="false" outlineLevel="0" collapsed="false">
      <c r="A15190" s="1" t="s">
        <v>1251</v>
      </c>
      <c r="B15190" s="0" t="s">
        <v>98</v>
      </c>
      <c r="C15190" s="6" t="n">
        <f aca="false">(SUM(Sens!G15188:K15188)+Sens!$C$15189)*(1+wacc)^(t_roll-Sens!F15159)</f>
        <v>186.592133308255</v>
      </c>
      <c r="L15190" s="12" t="s">
        <v>1252</v>
      </c>
    </row>
    <row r="15191" customFormat="false" ht="17.15" hidden="false" customHeight="false" outlineLevel="0" collapsed="false">
      <c r="A15191" s="1" t="s">
        <v>1253</v>
      </c>
      <c r="B15191" s="0" t="s">
        <v>98</v>
      </c>
      <c r="C15191" s="6" t="n">
        <f aca="false">(w_ntm28*Thesis!G83+(1-w_ntm28)*Thesis!H83)*m_ai*1.2</f>
        <v>556.546931412402</v>
      </c>
    </row>
    <row r="15192" customFormat="false" ht="17.15" hidden="false" customHeight="false" outlineLevel="0" collapsed="false">
      <c r="A15192" s="1" t="s">
        <v>1254</v>
      </c>
      <c r="B15192" s="0" t="s">
        <v>98</v>
      </c>
      <c r="C15192" s="6" t="n">
        <f aca="false">(w_ntm28*Sens!G15183+(1-w_ntm28)*Sens!H15183)*m_cloud*1.2</f>
        <v>1306.84124042694</v>
      </c>
    </row>
    <row r="15193" customFormat="false" ht="17.15" hidden="false" customHeight="false" outlineLevel="0" collapsed="false">
      <c r="A15193" s="1" t="s">
        <v>1255</v>
      </c>
      <c r="B15193" s="0" t="s">
        <v>98</v>
      </c>
      <c r="C15193" s="6" t="n">
        <f aca="false">(w_ntm28*Sens!G15176+(1-w_ntm28)*Sens!H15176)*m_sw*1.2</f>
        <v>1299.41955175391</v>
      </c>
    </row>
    <row r="15194" customFormat="false" ht="17.15" hidden="false" customHeight="false" outlineLevel="0" collapsed="false">
      <c r="A15194" s="1" t="s">
        <v>1256</v>
      </c>
      <c r="B15194" s="0" t="s">
        <v>98</v>
      </c>
      <c r="C15194" s="6" t="n">
        <f aca="false">(w_ntm28*Sens!G15177+(1-w_ntm28)*Sens!H15177)*m_sw*1.2</f>
        <v>447.515101078477</v>
      </c>
    </row>
    <row r="15195" customFormat="false" ht="17.15" hidden="false" customHeight="false" outlineLevel="0" collapsed="false">
      <c r="A15195" s="1" t="s">
        <v>1257</v>
      </c>
      <c r="B15195" s="0" t="s">
        <v>98</v>
      </c>
      <c r="C15195" s="6" t="n">
        <f aca="false">(w_ntm28*Sens!G15178+(1-w_ntm28)*Sens!H15178)*m_sw*1.2</f>
        <v>130.97442305172</v>
      </c>
    </row>
    <row r="15196" customFormat="false" ht="17.15" hidden="false" customHeight="false" outlineLevel="0" collapsed="false">
      <c r="A15196" s="1" t="s">
        <v>1258</v>
      </c>
      <c r="B15196" s="0" t="s">
        <v>98</v>
      </c>
      <c r="C15196" s="6" t="n">
        <f aca="false">(w_ntm28*Sens!G15179+(1-w_ntm28)*Sens!H15179)*m_sw*1.2</f>
        <v>49.7930589161871</v>
      </c>
    </row>
    <row r="15197" customFormat="false" ht="17.15" hidden="false" customHeight="false" outlineLevel="0" collapsed="false">
      <c r="A15197" s="1" t="s">
        <v>1259</v>
      </c>
      <c r="B15197" s="0" t="s">
        <v>98</v>
      </c>
      <c r="C15197" s="6" t="n">
        <f aca="false">(w_ntm28*Sens!G15180+(1-w_ntm28)*Sens!H15180)*m_ads*1.2</f>
        <v>138.062605774155</v>
      </c>
    </row>
    <row r="15198" customFormat="false" ht="17.15" hidden="false" customHeight="false" outlineLevel="0" collapsed="false">
      <c r="A15198" s="1" t="s">
        <v>1260</v>
      </c>
      <c r="B15198" s="0" t="s">
        <v>98</v>
      </c>
      <c r="C15198" s="6" t="n">
        <f aca="false">(w_ntm28*Sens!G15185+(1-w_ntm28)*Sens!H15185)*m_game*1.2</f>
        <v>118.373010609144</v>
      </c>
    </row>
    <row r="15199" customFormat="false" ht="17.15" hidden="false" customHeight="false" outlineLevel="0" collapsed="false">
      <c r="A15199" s="1" t="s">
        <v>1261</v>
      </c>
      <c r="B15199" s="0" t="s">
        <v>98</v>
      </c>
      <c r="C15199" s="6" t="n">
        <f aca="false">(w_ntm28*Sens!G15186+(1-w_ntm28)*Sens!H15186)*m_pc*1.2</f>
        <v>109.742850571627</v>
      </c>
    </row>
    <row r="15200" customFormat="false" ht="17.15" hidden="false" customHeight="false" outlineLevel="0" collapsed="false">
      <c r="A15200" s="1" t="s">
        <v>1262</v>
      </c>
      <c r="B15200" s="0" t="s">
        <v>98</v>
      </c>
      <c r="C15200" s="6" t="n">
        <f aca="false">Sens!$C$15190+Sens!$C$15192+Sens!$C$15193+Sens!$C$15194+Sens!$C$15195+Sens!$C$15196+Sens!$C$15197+Sens!$C$15198+Sens!$C$15199</f>
        <v>3787.31397549042</v>
      </c>
    </row>
    <row r="15201" customFormat="false" ht="17.15" hidden="false" customHeight="false" outlineLevel="0" collapsed="false">
      <c r="A15201" s="1" t="s">
        <v>1263</v>
      </c>
      <c r="B15201" s="0" t="s">
        <v>98</v>
      </c>
      <c r="C15201" s="6" t="n">
        <f aca="false">(Sens!G15162-Sens!G15187)*t_stub</f>
        <v>47.8736427515113</v>
      </c>
      <c r="L15201" s="1" t="s">
        <v>1264</v>
      </c>
    </row>
    <row r="15202" customFormat="false" ht="17.15" hidden="false" customHeight="false" outlineLevel="0" collapsed="false">
      <c r="A15202" s="1" t="s">
        <v>1173</v>
      </c>
      <c r="B15202" s="0" t="s">
        <v>98</v>
      </c>
      <c r="C15202" s="6" t="n">
        <f aca="false">CF!F71+oai_v-CF!F60+Sens!$C$15201</f>
        <v>162.101912751511</v>
      </c>
      <c r="L15202" s="1" t="s">
        <v>1265</v>
      </c>
    </row>
    <row r="15203" customFormat="false" ht="17.15" hidden="false" customHeight="false" outlineLevel="0" collapsed="false">
      <c r="A15203" s="1" t="s">
        <v>1266</v>
      </c>
      <c r="B15203" s="0" t="s">
        <v>75</v>
      </c>
      <c r="C15203" s="5" t="n">
        <f aca="false">(Sens!$C$15200+Sens!$C$15202)/(CF!F73+dil_gap)-CF!G63*roll_div_q/q_per_yr</f>
        <v>525.864780510695</v>
      </c>
      <c r="L15203" s="1" t="s">
        <v>1267</v>
      </c>
    </row>
    <row r="15204" customFormat="false" ht="17.15" hidden="false" customHeight="false" outlineLevel="0" collapsed="false">
      <c r="A15204" s="1" t="s">
        <v>1268</v>
      </c>
      <c r="B15204" s="0" t="s">
        <v>75</v>
      </c>
      <c r="C15204" s="5" t="n">
        <f aca="false">w_dcf*Sens!$C$15174+(1-w_dcf)*Sens!$C$15203</f>
        <v>426.084160868214</v>
      </c>
    </row>
    <row r="15205" customFormat="false" ht="17.15" hidden="false" customHeight="false" outlineLevel="0" collapsed="false">
      <c r="A15205" s="3" t="s">
        <v>1986</v>
      </c>
    </row>
    <row r="15206" customFormat="false" ht="15" hidden="false" customHeight="false" outlineLevel="0" collapsed="false">
      <c r="A15206" s="4" t="s">
        <v>43</v>
      </c>
      <c r="B15206" s="4" t="s">
        <v>65</v>
      </c>
      <c r="C15206" s="23" t="s">
        <v>942</v>
      </c>
      <c r="D15206" s="23" t="s">
        <v>943</v>
      </c>
      <c r="E15206" s="23" t="s">
        <v>944</v>
      </c>
      <c r="F15206" s="23" t="s">
        <v>945</v>
      </c>
      <c r="G15206" s="23" t="s">
        <v>946</v>
      </c>
      <c r="H15206" s="23" t="s">
        <v>947</v>
      </c>
      <c r="I15206" s="23" t="s">
        <v>948</v>
      </c>
      <c r="J15206" s="23" t="s">
        <v>949</v>
      </c>
      <c r="K15206" s="23" t="s">
        <v>950</v>
      </c>
      <c r="L15206" s="4" t="s">
        <v>47</v>
      </c>
    </row>
    <row r="15207" customFormat="false" ht="17.15" hidden="false" customHeight="false" outlineLevel="0" collapsed="false">
      <c r="A15207" s="1" t="s">
        <v>1216</v>
      </c>
      <c r="B15207" s="1" t="s">
        <v>279</v>
      </c>
      <c r="F15207" s="8" t="n">
        <f aca="false">(1-v_off)*mid_yr</f>
        <v>0.373972602739726</v>
      </c>
      <c r="G15207" s="8" t="n">
        <f aca="false">Thesis!G110-base_fy-mid_yr-v_off</f>
        <v>1.24794520547945</v>
      </c>
      <c r="H15207" s="8" t="n">
        <f aca="false">Thesis!H110-base_fy-mid_yr-v_off</f>
        <v>2.24794520547945</v>
      </c>
      <c r="I15207" s="8" t="n">
        <f aca="false">Thesis!I110-base_fy-mid_yr-v_off</f>
        <v>3.24794520547945</v>
      </c>
      <c r="J15207" s="8" t="n">
        <f aca="false">Thesis!J110-base_fy-mid_yr-v_off</f>
        <v>4.24794520547945</v>
      </c>
      <c r="K15207" s="8" t="n">
        <f aca="false">Thesis!K110-base_fy-mid_yr-v_off</f>
        <v>5.24794520547945</v>
      </c>
      <c r="L15207" s="12" t="s">
        <v>1217</v>
      </c>
    </row>
    <row r="15208" customFormat="false" ht="15" hidden="false" customHeight="false" outlineLevel="0" collapsed="false">
      <c r="A15208" s="1" t="s">
        <v>1218</v>
      </c>
      <c r="B15208" s="1" t="s">
        <v>279</v>
      </c>
      <c r="F15208" s="8" t="n">
        <f aca="false">Thesis!F110-base_fy-v_off</f>
        <v>0.747945205479452</v>
      </c>
      <c r="G15208" s="8" t="n">
        <f aca="false">Thesis!G110-base_fy-v_off</f>
        <v>1.74794520547945</v>
      </c>
      <c r="H15208" s="8" t="n">
        <f aca="false">Thesis!H110-base_fy-v_off</f>
        <v>2.74794520547945</v>
      </c>
      <c r="I15208" s="8" t="n">
        <f aca="false">Thesis!I110-base_fy-v_off</f>
        <v>3.74794520547945</v>
      </c>
      <c r="J15208" s="8" t="n">
        <f aca="false">Thesis!J110-base_fy-v_off</f>
        <v>4.74794520547945</v>
      </c>
      <c r="K15208" s="8" t="n">
        <f aca="false">Thesis!K110-base_fy-v_off</f>
        <v>5.74794520547945</v>
      </c>
    </row>
    <row r="15209" customFormat="false" ht="15" hidden="false" customHeight="false" outlineLevel="0" collapsed="false">
      <c r="A15209" s="1" t="s">
        <v>1219</v>
      </c>
      <c r="B15209" s="0" t="s">
        <v>229</v>
      </c>
      <c r="F15209" s="15" t="n">
        <f aca="false">1/(1+wacc)^Sens!F15207</f>
        <v>0.964022703286649</v>
      </c>
      <c r="G15209" s="15" t="n">
        <f aca="false">1/(1+wacc)^Sens!G15207</f>
        <v>0.884910302296739</v>
      </c>
      <c r="H15209" s="15" t="n">
        <f aca="false">1/(1+wacc)^Sens!H15207</f>
        <v>0.802322009770358</v>
      </c>
      <c r="I15209" s="15" t="n">
        <f aca="false">1/(1+wacc)^Sens!I15207</f>
        <v>0.727441646561469</v>
      </c>
      <c r="J15209" s="15" t="n">
        <f aca="false">1/(1+wacc)^Sens!J15207</f>
        <v>0.659549834988973</v>
      </c>
      <c r="K15209" s="15" t="n">
        <f aca="false">1/(1+wacc)^Sens!K15207</f>
        <v>0.597994336576966</v>
      </c>
    </row>
    <row r="15210" customFormat="false" ht="17.15" hidden="false" customHeight="false" outlineLevel="0" collapsed="false">
      <c r="A15210" s="1" t="s">
        <v>1220</v>
      </c>
      <c r="B15210" s="0" t="s">
        <v>98</v>
      </c>
      <c r="F15210" s="6" t="n">
        <f aca="false">Q!$I$35-Q!$I$39-Q!$I$43</f>
        <v>9.666</v>
      </c>
      <c r="L15210" s="12" t="s">
        <v>1221</v>
      </c>
    </row>
    <row r="15211" customFormat="false" ht="17.15" hidden="false" customHeight="false" outlineLevel="0" collapsed="false">
      <c r="A15211" s="1" t="s">
        <v>1222</v>
      </c>
      <c r="B15211" s="0" t="s">
        <v>98</v>
      </c>
      <c r="F15211" s="6" t="n">
        <f aca="false">CF!F87-CF!F84-CF!F91+Thesis!F151*(1-tax_f)*(1-v_off)-Sens!F15210</f>
        <v>-6.10282680452259</v>
      </c>
      <c r="G15211" s="6" t="n">
        <f aca="false">CF!G87-CF!G84-CF!G91+Thesis!G151*(1-tax_f)</f>
        <v>19.0084129023516</v>
      </c>
      <c r="H15211" s="6" t="n">
        <f aca="false">CF!H87-CF!H84-CF!H91+Thesis!H151*(1-tax_f)</f>
        <v>55.9229468383331</v>
      </c>
      <c r="I15211" s="6" t="n">
        <f aca="false">CF!I87-CF!I84-CF!I91+Thesis!I151*(1-tax_f)</f>
        <v>127.901908576191</v>
      </c>
      <c r="J15211" s="6" t="n">
        <f aca="false">CF!J87-CF!J84-CF!J91+Thesis!J151*(1-tax_f)</f>
        <v>201.958443859638</v>
      </c>
      <c r="K15211" s="6" t="n">
        <f aca="false">CF!K87-CF!K84-CF!K91+Thesis!K151*(1-tax_f)</f>
        <v>237.542519059905</v>
      </c>
      <c r="L15211" s="1" t="s">
        <v>1223</v>
      </c>
    </row>
    <row r="15212" customFormat="false" ht="15" hidden="false" customHeight="false" outlineLevel="0" collapsed="false">
      <c r="A15212" s="1" t="s">
        <v>1224</v>
      </c>
      <c r="B15212" s="0" t="s">
        <v>98</v>
      </c>
      <c r="F15212" s="6" t="n">
        <f aca="false">Sens!F15211*Sens!F15209</f>
        <v>-5.88326359378609</v>
      </c>
      <c r="G15212" s="6" t="n">
        <f aca="false">Sens!G15211*Sens!G15209</f>
        <v>16.8207404076012</v>
      </c>
      <c r="H15212" s="6" t="n">
        <f aca="false">Sens!H15211*Sens!H15209</f>
        <v>44.8682110996123</v>
      </c>
      <c r="I15212" s="6" t="n">
        <f aca="false">Sens!I15211*Sens!I15209</f>
        <v>93.0411749730187</v>
      </c>
      <c r="J15212" s="6" t="n">
        <f aca="false">Sens!J15211*Sens!J15209</f>
        <v>133.201658322254</v>
      </c>
      <c r="K15212" s="6" t="n">
        <f aca="false">Sens!K15211*Sens!K15209</f>
        <v>142.049081094049</v>
      </c>
    </row>
    <row r="15213" customFormat="false" ht="17.15" hidden="false" customHeight="false" outlineLevel="0" collapsed="false">
      <c r="A15213" s="1" t="s">
        <v>1225</v>
      </c>
      <c r="B15213" s="0" t="s">
        <v>98</v>
      </c>
      <c r="C15213" s="6" t="n">
        <f aca="false">SUM(Sens!F15212:K15212)</f>
        <v>424.097602302749</v>
      </c>
    </row>
    <row r="15214" customFormat="false" ht="17.15" hidden="false" customHeight="false" outlineLevel="0" collapsed="false">
      <c r="A15214" s="1" t="s">
        <v>1226</v>
      </c>
      <c r="B15214" s="0" t="s">
        <v>98</v>
      </c>
      <c r="C15214" s="6" t="n">
        <f aca="false">PL!K117*(1+g_tv)*(1-tax_f)</f>
        <v>247.098906713682</v>
      </c>
    </row>
    <row r="15215" customFormat="false" ht="17.15" hidden="false" customHeight="false" outlineLevel="0" collapsed="false">
      <c r="A15215" s="1" t="s">
        <v>1227</v>
      </c>
      <c r="B15215" s="0" t="s">
        <v>98</v>
      </c>
      <c r="C15215" s="6" t="n">
        <f aca="false">Sens!$C$15214*(1-g_tv/(wacc+ronic_prem))</f>
        <v>175.084017418113</v>
      </c>
    </row>
    <row r="15216" customFormat="false" ht="17.15" hidden="false" customHeight="false" outlineLevel="0" collapsed="false">
      <c r="A15216" s="1" t="s">
        <v>1228</v>
      </c>
      <c r="B15216" s="0" t="s">
        <v>98</v>
      </c>
      <c r="C15216" s="6" t="n">
        <f aca="false">Sens!$C$15215/(wacc-g_tv)</f>
        <v>2400.4963098523</v>
      </c>
    </row>
    <row r="15217" customFormat="false" ht="15" hidden="false" customHeight="false" outlineLevel="0" collapsed="false">
      <c r="A15217" s="1" t="s">
        <v>1229</v>
      </c>
      <c r="B15217" s="0" t="s">
        <v>98</v>
      </c>
      <c r="C15217" s="6" t="n">
        <f aca="false">Sens!$C$15216/(1+wacc)^Sens!K15208</f>
        <v>1366.85624415645</v>
      </c>
    </row>
    <row r="15218" customFormat="false" ht="17.15" hidden="false" customHeight="false" outlineLevel="0" collapsed="false">
      <c r="A15218" s="0" t="s">
        <v>1230</v>
      </c>
      <c r="B15218" s="0" t="s">
        <v>98</v>
      </c>
      <c r="C15218" s="6" t="n">
        <f aca="false">Sens!$C$15213+Sens!$C$15217</f>
        <v>1790.9538464592</v>
      </c>
    </row>
    <row r="15219" customFormat="false" ht="15" hidden="false" customHeight="false" outlineLevel="0" collapsed="false">
      <c r="A15219" s="1" t="s">
        <v>1145</v>
      </c>
      <c r="B15219" s="0" t="s">
        <v>168</v>
      </c>
      <c r="C15219" s="7" t="n">
        <f aca="false">Sens!$C$15217/Sens!$C$15218</f>
        <v>0.763200149941769</v>
      </c>
    </row>
    <row r="15220" customFormat="false" ht="17.15" hidden="false" customHeight="false" outlineLevel="0" collapsed="false">
      <c r="A15220" s="1" t="s">
        <v>1231</v>
      </c>
      <c r="B15220" s="0" t="s">
        <v>98</v>
      </c>
      <c r="C15220" s="6" t="n">
        <f aca="false">Sens!$C$15218+cash_val-debt_val-fl_val+oai_v</f>
        <v>1906.8048464592</v>
      </c>
    </row>
    <row r="15221" customFormat="false" ht="17.15" hidden="false" customHeight="false" outlineLevel="0" collapsed="false">
      <c r="A15221" s="0" t="s">
        <v>1153</v>
      </c>
      <c r="B15221" s="0" t="s">
        <v>75</v>
      </c>
      <c r="C15221" s="5" t="n">
        <f aca="false">Sens!$C$15220/shd_val</f>
        <v>256.084454265269</v>
      </c>
    </row>
    <row r="15222" customFormat="false" ht="15" hidden="false" customHeight="false" outlineLevel="0" collapsed="false">
      <c r="A15222" s="1" t="s">
        <v>1232</v>
      </c>
      <c r="B15222" s="0" t="s">
        <v>75</v>
      </c>
      <c r="C15222" s="8" t="n">
        <f aca="false">div_rem27+CF!G95*roll_div_q/q_per_yr</f>
        <v>3.9795</v>
      </c>
    </row>
    <row r="15223" customFormat="false" ht="17.15" hidden="false" customHeight="false" outlineLevel="0" collapsed="false">
      <c r="A15223" s="0" t="s">
        <v>1233</v>
      </c>
      <c r="B15223" s="0" t="s">
        <v>75</v>
      </c>
      <c r="C15223" s="5" t="n">
        <f aca="false">Sens!$C$15221*(1+wacc)^t_roll-Sens!$C$15222</f>
        <v>280.67266317972</v>
      </c>
    </row>
    <row r="15224" customFormat="false" ht="17.15" hidden="false" customHeight="false" outlineLevel="0" collapsed="false">
      <c r="A15224" s="1" t="s">
        <v>1234</v>
      </c>
      <c r="B15224" s="0" t="s">
        <v>168</v>
      </c>
      <c r="F15224" s="7" t="n">
        <f aca="false">CF!F81/(Seg!F83-Thesis!F129)</f>
        <v>0.068677393452264</v>
      </c>
      <c r="G15224" s="7" t="n">
        <f aca="false">CF!G81/(Seg!G83-Thesis!G129)</f>
        <v>0.0663132664471956</v>
      </c>
      <c r="H15224" s="7" t="n">
        <f aca="false">CF!H81/(Seg!H83-Thesis!H129)</f>
        <v>0.0651363826734039</v>
      </c>
      <c r="I15224" s="7" t="n">
        <f aca="false">CF!I81/(Seg!I83-Thesis!I129)</f>
        <v>0.0650087936347709</v>
      </c>
      <c r="J15224" s="7" t="n">
        <f aca="false">CF!J81/(Seg!J83-Thesis!J129)</f>
        <v>0.0657212684841778</v>
      </c>
      <c r="K15224" s="7" t="n">
        <f aca="false">CF!K81/(Seg!K83-Thesis!K129)</f>
        <v>0.0670413306015285</v>
      </c>
    </row>
    <row r="15225" customFormat="false" ht="17.15" hidden="false" customHeight="false" outlineLevel="0" collapsed="false">
      <c r="A15225" s="0" t="s">
        <v>1235</v>
      </c>
      <c r="B15225" s="0" t="s">
        <v>98</v>
      </c>
      <c r="F15225" s="6" t="n">
        <f aca="false">Seg!F68*(al_m365+Sens!F15224+sbc_r)</f>
        <v>82.9185219618347</v>
      </c>
      <c r="G15225" s="6" t="n">
        <f aca="false">Seg!G68*(al_m365+Sens!G15224+sbc_r)</f>
        <v>93.3068052157631</v>
      </c>
      <c r="H15225" s="6" t="n">
        <f aca="false">Seg!H68*(al_m365+Sens!H15224+sbc_r)</f>
        <v>103.856057136159</v>
      </c>
      <c r="I15225" s="6" t="n">
        <f aca="false">Seg!I68*(al_m365+Sens!I15224+sbc_r)</f>
        <v>113.889717587147</v>
      </c>
      <c r="J15225" s="6" t="n">
        <f aca="false">Seg!J68*(al_m365+Sens!J15224+sbc_r)</f>
        <v>123.218477864124</v>
      </c>
      <c r="K15225" s="6" t="n">
        <f aca="false">Seg!K68*(al_m365+Sens!K15224+sbc_r)</f>
        <v>132.149420086311</v>
      </c>
      <c r="L15225" s="12" t="s">
        <v>1236</v>
      </c>
    </row>
    <row r="15226" customFormat="false" ht="17.15" hidden="false" customHeight="false" outlineLevel="0" collapsed="false">
      <c r="A15226" s="0" t="s">
        <v>1237</v>
      </c>
      <c r="B15226" s="0" t="s">
        <v>98</v>
      </c>
      <c r="F15226" s="6" t="n">
        <f aca="false">Seg!F69*(al_lic+Sens!F15224+sbc_r)</f>
        <v>32.8599853992256</v>
      </c>
      <c r="G15226" s="6" t="n">
        <f aca="false">Seg!G69*(al_lic+Sens!G15224+sbc_r)</f>
        <v>34.1568280697879</v>
      </c>
      <c r="H15226" s="6" t="n">
        <f aca="false">Seg!H69*(al_lic+Sens!H15224+sbc_r)</f>
        <v>35.3635535007213</v>
      </c>
      <c r="I15226" s="6" t="n">
        <f aca="false">Seg!I69*(al_lic+Sens!I15224+sbc_r)</f>
        <v>36.4604537346553</v>
      </c>
      <c r="J15226" s="6" t="n">
        <f aca="false">Seg!J69*(al_lic+Sens!J15224+sbc_r)</f>
        <v>37.4245888933574</v>
      </c>
      <c r="K15226" s="6" t="n">
        <f aca="false">Seg!K69*(al_lic+Sens!K15224+sbc_r)</f>
        <v>38.2321483186439</v>
      </c>
    </row>
    <row r="15227" customFormat="false" ht="17.15" hidden="false" customHeight="false" outlineLevel="0" collapsed="false">
      <c r="A15227" s="0" t="s">
        <v>1238</v>
      </c>
      <c r="B15227" s="0" t="s">
        <v>98</v>
      </c>
      <c r="F15227" s="6" t="n">
        <f aca="false">Seg!F71*(al_ind+Sens!F15224+sbc_r)</f>
        <v>9.06170747885803</v>
      </c>
      <c r="G15227" s="6" t="n">
        <f aca="false">Seg!G71*(al_ind+Sens!G15224+sbc_r)</f>
        <v>9.8478979082138</v>
      </c>
      <c r="H15227" s="6" t="n">
        <f aca="false">Seg!H71*(al_ind+Sens!H15224+sbc_r)</f>
        <v>10.6768254332059</v>
      </c>
      <c r="I15227" s="6" t="n">
        <f aca="false">Seg!I71*(al_ind+Sens!I15224+sbc_r)</f>
        <v>11.54398793803</v>
      </c>
      <c r="J15227" s="6" t="n">
        <f aca="false">Seg!J71*(al_ind+Sens!J15224+sbc_r)</f>
        <v>12.4407914253112</v>
      </c>
      <c r="K15227" s="6" t="n">
        <f aca="false">Seg!K71*(al_ind+Sens!K15224+sbc_r)</f>
        <v>13.355239066864</v>
      </c>
    </row>
    <row r="15228" customFormat="false" ht="17.15" hidden="false" customHeight="false" outlineLevel="0" collapsed="false">
      <c r="A15228" s="0" t="s">
        <v>1239</v>
      </c>
      <c r="B15228" s="0" t="s">
        <v>98</v>
      </c>
      <c r="F15228" s="6" t="n">
        <f aca="false">Seg!F73*(al_fro+Sens!F15224+sbc_r)</f>
        <v>3.55453569939552</v>
      </c>
      <c r="G15228" s="6" t="n">
        <f aca="false">Seg!G73*(al_fro+Sens!G15224+sbc_r)</f>
        <v>3.76809436159872</v>
      </c>
      <c r="H15228" s="6" t="n">
        <f aca="false">Seg!H73*(al_fro+Sens!H15224+sbc_r)</f>
        <v>4.00964905674607</v>
      </c>
      <c r="I15228" s="6" t="n">
        <f aca="false">Seg!I73*(al_fro+Sens!I15224+sbc_r)</f>
        <v>4.28152633145235</v>
      </c>
      <c r="J15228" s="6" t="n">
        <f aca="false">Seg!J73*(al_fro+Sens!J15224+sbc_r)</f>
        <v>4.58536512975975</v>
      </c>
      <c r="K15228" s="6" t="n">
        <f aca="false">Seg!K73*(al_fro+Sens!K15224+sbc_r)</f>
        <v>4.92240770086468</v>
      </c>
    </row>
    <row r="15229" customFormat="false" ht="17.15" hidden="false" customHeight="false" outlineLevel="0" collapsed="false">
      <c r="A15229" s="0" t="s">
        <v>1240</v>
      </c>
      <c r="B15229" s="0" t="s">
        <v>98</v>
      </c>
      <c r="F15229" s="6" t="n">
        <f aca="false">Seg!F76*(al_srch+Sens!F15224+sbc_r)</f>
        <v>11.190683952584</v>
      </c>
      <c r="G15229" s="6" t="n">
        <f aca="false">Seg!G76*(al_srch+Sens!G15224+sbc_r)</f>
        <v>12.2763328717258</v>
      </c>
      <c r="H15229" s="6" t="n">
        <f aca="false">Seg!H76*(al_srch+Sens!H15224+sbc_r)</f>
        <v>13.4043563346576</v>
      </c>
      <c r="I15229" s="6" t="n">
        <f aca="false">Seg!I76*(al_srch+Sens!I15224+sbc_r)</f>
        <v>14.5621512181916</v>
      </c>
      <c r="J15229" s="6" t="n">
        <f aca="false">Seg!J76*(al_srch+Sens!J15224+sbc_r)</f>
        <v>15.7310381862385</v>
      </c>
      <c r="K15229" s="6" t="n">
        <f aca="false">Seg!K76*(al_srch+Sens!K15224+sbc_r)</f>
        <v>16.8873320486462</v>
      </c>
    </row>
    <row r="15230" customFormat="false" ht="17.15" hidden="false" customHeight="false" outlineLevel="0" collapsed="false">
      <c r="A15230" s="0" t="s">
        <v>1241</v>
      </c>
      <c r="B15230" s="0" t="s">
        <v>98</v>
      </c>
      <c r="F15230" s="6" t="n">
        <f aca="false">Thesis!F135-Thesis!F136+Thesis!F151</f>
        <v>38.9696429794913</v>
      </c>
      <c r="G15230" s="6" t="n">
        <f aca="false">Thesis!G135-Thesis!G136+Thesis!G151</f>
        <v>69.465497726016</v>
      </c>
      <c r="H15230" s="6" t="n">
        <f aca="false">Thesis!H135-Thesis!H136+Thesis!H151</f>
        <v>96.8147106808268</v>
      </c>
      <c r="I15230" s="6" t="n">
        <f aca="false">Thesis!I135-Thesis!I136+Thesis!I151</f>
        <v>127.654939766446</v>
      </c>
      <c r="J15230" s="6" t="n">
        <f aca="false">Thesis!J135-Thesis!J136+Thesis!J151</f>
        <v>149.308352681229</v>
      </c>
      <c r="K15230" s="6" t="n">
        <f aca="false">Thesis!K135-Thesis!K136+Thesis!K151</f>
        <v>162.731822021841</v>
      </c>
    </row>
    <row r="15231" customFormat="false" ht="17.15" hidden="false" customHeight="false" outlineLevel="0" collapsed="false">
      <c r="A15231" s="0" t="s">
        <v>1242</v>
      </c>
      <c r="B15231" s="0" t="s">
        <v>98</v>
      </c>
      <c r="F15231" s="6" t="n">
        <f aca="false">PL!F110+Thesis!F151+Thesis!F147+Sens!F15224*(Seg!F75-Thesis!F129)+sbc_r*Seg!F75</f>
        <v>234.79972328186</v>
      </c>
      <c r="G15231" s="6" t="n">
        <f aca="false">PL!G110+Thesis!G151+Thesis!G147+Sens!G15224*(Seg!G75-Thesis!G129)+sbc_r*Seg!G75</f>
        <v>285.499052659517</v>
      </c>
      <c r="H15231" s="6" t="n">
        <f aca="false">PL!H110+Thesis!H151+Thesis!H147+Sens!H15224*(Seg!H75-Thesis!H129)+sbc_r*Seg!H75</f>
        <v>338.258569294547</v>
      </c>
      <c r="I15231" s="6" t="n">
        <f aca="false">PL!I110+Thesis!I151+Thesis!I147+Sens!I15224*(Seg!I75-Thesis!I129)+sbc_r*Seg!I75</f>
        <v>393.887902526982</v>
      </c>
      <c r="J15231" s="6" t="n">
        <f aca="false">PL!J110+Thesis!J151+Thesis!J147+Sens!J15224*(Seg!J75-Thesis!J129)+sbc_r*Seg!J75</f>
        <v>438.406631506078</v>
      </c>
      <c r="K15231" s="6" t="n">
        <f aca="false">PL!K110+Thesis!K151+Thesis!K147+Sens!K15224*(Seg!K75-Thesis!K129)+sbc_r*Seg!K75</f>
        <v>472.352875745143</v>
      </c>
    </row>
    <row r="15232" customFormat="false" ht="17.15" hidden="false" customHeight="false" outlineLevel="0" collapsed="false">
      <c r="A15232" s="0" t="s">
        <v>1243</v>
      </c>
      <c r="B15232" s="0" t="s">
        <v>98</v>
      </c>
      <c r="F15232" s="6" t="n">
        <f aca="false">Sens!F15231-Sens!F15225-Sens!F15226-Sens!F15227-Sens!F15228-Sens!F15230</f>
        <v>67.4353297630543</v>
      </c>
      <c r="G15232" s="6" t="n">
        <f aca="false">Sens!G15231-Sens!G15225-Sens!G15226-Sens!G15227-Sens!G15228-Sens!G15230</f>
        <v>74.9539293781376</v>
      </c>
      <c r="H15232" s="6" t="n">
        <f aca="false">Sens!H15231-Sens!H15225-Sens!H15226-Sens!H15227-Sens!H15228-Sens!H15230</f>
        <v>87.537773486888</v>
      </c>
      <c r="I15232" s="6" t="n">
        <f aca="false">Sens!I15231-Sens!I15225-Sens!I15226-Sens!I15227-Sens!I15228-Sens!I15230</f>
        <v>100.057277169252</v>
      </c>
      <c r="J15232" s="6" t="n">
        <f aca="false">Sens!J15231-Sens!J15225-Sens!J15226-Sens!J15227-Sens!J15228-Sens!J15230</f>
        <v>111.429055512297</v>
      </c>
      <c r="K15232" s="6" t="n">
        <f aca="false">Sens!K15231-Sens!K15225-Sens!K15226-Sens!K15227-Sens!K15228-Sens!K15230</f>
        <v>120.961838550618</v>
      </c>
    </row>
    <row r="15233" customFormat="false" ht="17.15" hidden="false" customHeight="false" outlineLevel="0" collapsed="false">
      <c r="A15233" s="0" t="s">
        <v>1244</v>
      </c>
      <c r="B15233" s="0" t="s">
        <v>98</v>
      </c>
      <c r="F15233" s="6" t="n">
        <f aca="false">PL!F112+Sens!F15224*Seg!F82+sbc_r*Seg!F82</f>
        <v>26.6373549789235</v>
      </c>
      <c r="G15233" s="6" t="n">
        <f aca="false">PL!G112+Sens!G15224*Seg!G82+sbc_r*Seg!G82</f>
        <v>26.5038922765853</v>
      </c>
      <c r="H15233" s="6" t="n">
        <f aca="false">PL!H112+Sens!H15224*Seg!H82+sbc_r*Seg!H82</f>
        <v>27.3981100014792</v>
      </c>
      <c r="I15233" s="6" t="n">
        <f aca="false">PL!I112+Sens!I15224*Seg!I82+sbc_r*Seg!I82</f>
        <v>28.5176442589239</v>
      </c>
      <c r="J15233" s="6" t="n">
        <f aca="false">PL!J112+Sens!J15224*Seg!J82+sbc_r*Seg!J82</f>
        <v>29.8313998963726</v>
      </c>
      <c r="K15233" s="6" t="n">
        <f aca="false">PL!K112+Sens!K15224*Seg!K82+sbc_r*Seg!K82</f>
        <v>31.3103466222307</v>
      </c>
    </row>
    <row r="15234" customFormat="false" ht="17.15" hidden="false" customHeight="false" outlineLevel="0" collapsed="false">
      <c r="A15234" s="0" t="s">
        <v>1245</v>
      </c>
      <c r="B15234" s="0" t="s">
        <v>98</v>
      </c>
      <c r="F15234" s="6" t="n">
        <f aca="false">(Sens!F15233-Sens!F15229)*Seg!F78/(Seg!F78+Seg!F80)</f>
        <v>8.72405610479892</v>
      </c>
      <c r="G15234" s="6" t="n">
        <f aca="false">(Sens!G15233-Sens!G15229)*Seg!G78/(Seg!G78+Seg!G80)</f>
        <v>7.897418765869</v>
      </c>
      <c r="H15234" s="6" t="n">
        <f aca="false">(Sens!H15233-Sens!H15229)*Seg!H78/(Seg!H78+Seg!H80)</f>
        <v>7.66644879573063</v>
      </c>
      <c r="I15234" s="6" t="n">
        <f aca="false">(Sens!I15233-Sens!I15229)*Seg!I78/(Seg!I78+Seg!I80)</f>
        <v>7.5787545031814</v>
      </c>
      <c r="J15234" s="6" t="n">
        <f aca="false">(Sens!J15233-Sens!J15229)*Seg!J78/(Seg!J78+Seg!J80)</f>
        <v>7.62401876450459</v>
      </c>
      <c r="K15234" s="6" t="n">
        <f aca="false">(Sens!K15233-Sens!K15229)*Seg!K78/(Seg!K78+Seg!K80)</f>
        <v>7.79847609658838</v>
      </c>
    </row>
    <row r="15235" customFormat="false" ht="17.15" hidden="false" customHeight="false" outlineLevel="0" collapsed="false">
      <c r="A15235" s="0" t="s">
        <v>1246</v>
      </c>
      <c r="B15235" s="0" t="s">
        <v>98</v>
      </c>
      <c r="F15235" s="6" t="n">
        <f aca="false">Sens!F15233-Sens!F15229-Sens!F15234</f>
        <v>6.72261492154066</v>
      </c>
      <c r="G15235" s="6" t="n">
        <f aca="false">Sens!G15233-Sens!G15229-Sens!G15234</f>
        <v>6.33014063899044</v>
      </c>
      <c r="H15235" s="6" t="n">
        <f aca="false">Sens!H15233-Sens!H15229-Sens!H15234</f>
        <v>6.32730487109095</v>
      </c>
      <c r="I15235" s="6" t="n">
        <f aca="false">Sens!I15233-Sens!I15229-Sens!I15234</f>
        <v>6.37673853755084</v>
      </c>
      <c r="J15235" s="6" t="n">
        <f aca="false">Sens!J15233-Sens!J15229-Sens!J15234</f>
        <v>6.47634294562954</v>
      </c>
      <c r="K15235" s="6" t="n">
        <f aca="false">Sens!K15233-Sens!K15229-Sens!K15234</f>
        <v>6.62453847699607</v>
      </c>
    </row>
    <row r="15236" customFormat="false" ht="17.15" hidden="false" customHeight="false" outlineLevel="0" collapsed="false">
      <c r="A15236" s="0" t="s">
        <v>1247</v>
      </c>
      <c r="B15236" s="0" t="s">
        <v>98</v>
      </c>
      <c r="F15236" s="6" t="n">
        <f aca="false">Sens!F15230-tax_f*(Sens!F15230-Thesis!F147)-Thesis!F144</f>
        <v>-130.362326762856</v>
      </c>
      <c r="G15236" s="6" t="n">
        <f aca="false">Sens!G15230-tax_f*(Sens!G15230-Thesis!G147)-Thesis!G144</f>
        <v>-124.225179337776</v>
      </c>
      <c r="H15236" s="6" t="n">
        <f aca="false">Sens!H15230-tax_f*(Sens!H15230-Thesis!H147)-Thesis!H144</f>
        <v>-101.534217387562</v>
      </c>
      <c r="I15236" s="6" t="n">
        <f aca="false">Sens!I15230-tax_f*(Sens!I15230-Thesis!I147)-Thesis!I144</f>
        <v>-43.6446798695439</v>
      </c>
      <c r="J15236" s="6" t="n">
        <f aca="false">Sens!J15230-tax_f*(Sens!J15230-Thesis!J147)-Thesis!J144</f>
        <v>16.9198855589618</v>
      </c>
      <c r="K15236" s="6" t="n">
        <f aca="false">Sens!K15230-tax_f*(Sens!K15230-Thesis!K147)-Thesis!K144</f>
        <v>39.8251384629271</v>
      </c>
    </row>
    <row r="15237" customFormat="false" ht="17.15" hidden="false" customHeight="false" outlineLevel="0" collapsed="false">
      <c r="A15237" s="0" t="s">
        <v>1248</v>
      </c>
      <c r="B15237" s="0" t="s">
        <v>98</v>
      </c>
      <c r="G15237" s="6" t="n">
        <f aca="false">Sens!G15236/(1+wacc)^(Sens!G15207-Sens!F15208)</f>
        <v>-118.286276192192</v>
      </c>
      <c r="H15237" s="6" t="n">
        <f aca="false">Sens!H15236/(1+wacc)^(Sens!H15207-Sens!F15208)</f>
        <v>-87.6570009910427</v>
      </c>
      <c r="I15237" s="6" t="n">
        <f aca="false">Sens!I15236/(1+wacc)^(Sens!I15207-Sens!F15208)</f>
        <v>-34.1629172979204</v>
      </c>
      <c r="J15237" s="6" t="n">
        <f aca="false">Sens!J15236/(1+wacc)^(Sens!J15207-Sens!F15208)</f>
        <v>12.0079954170053</v>
      </c>
      <c r="K15237" s="6" t="n">
        <f aca="false">Sens!K15236/(1+wacc)^(Sens!K15207-Sens!F15208)</f>
        <v>25.6259421582556</v>
      </c>
      <c r="L15237" s="1" t="s">
        <v>1249</v>
      </c>
    </row>
    <row r="15238" customFormat="false" ht="17.15" hidden="false" customHeight="false" outlineLevel="0" collapsed="false">
      <c r="A15238" s="0" t="s">
        <v>1250</v>
      </c>
      <c r="B15238" s="0" t="s">
        <v>98</v>
      </c>
      <c r="C15238" s="6" t="n">
        <f aca="false">(Sens!K15230-Thesis!K147)*(1-tax_f)*(1+g_tv)*(1-g_tv/(wacc+ronic_prem))/(wacc-g_tv)/(1+wacc)^(Sens!K15208-Sens!F15208)</f>
        <v>96.7148026864948</v>
      </c>
    </row>
    <row r="15239" customFormat="false" ht="17.15" hidden="false" customHeight="false" outlineLevel="0" collapsed="false">
      <c r="A15239" s="1" t="s">
        <v>1251</v>
      </c>
      <c r="B15239" s="0" t="s">
        <v>98</v>
      </c>
      <c r="C15239" s="6" t="n">
        <f aca="false">(SUM(Sens!G15237:K15237)+Sens!$C$15238)*(1+wacc)^(t_roll-Sens!F15208)</f>
        <v>-109.248827617462</v>
      </c>
      <c r="L15239" s="12" t="s">
        <v>1252</v>
      </c>
    </row>
    <row r="15240" customFormat="false" ht="17.15" hidden="false" customHeight="false" outlineLevel="0" collapsed="false">
      <c r="A15240" s="1" t="s">
        <v>1253</v>
      </c>
      <c r="B15240" s="0" t="s">
        <v>98</v>
      </c>
      <c r="C15240" s="6" t="n">
        <f aca="false">(w_ntm28*Thesis!G135+(1-w_ntm28)*Thesis!H135)*m_ai*1.2</f>
        <v>413.226994814803</v>
      </c>
    </row>
    <row r="15241" customFormat="false" ht="17.15" hidden="false" customHeight="false" outlineLevel="0" collapsed="false">
      <c r="A15241" s="1" t="s">
        <v>1254</v>
      </c>
      <c r="B15241" s="0" t="s">
        <v>98</v>
      </c>
      <c r="C15241" s="6" t="n">
        <f aca="false">(w_ntm28*Sens!G15232+(1-w_ntm28)*Sens!H15232)*m_cloud*1.2</f>
        <v>1311.64653051646</v>
      </c>
    </row>
    <row r="15242" customFormat="false" ht="17.15" hidden="false" customHeight="false" outlineLevel="0" collapsed="false">
      <c r="A15242" s="1" t="s">
        <v>1255</v>
      </c>
      <c r="B15242" s="0" t="s">
        <v>98</v>
      </c>
      <c r="C15242" s="6" t="n">
        <f aca="false">(w_ntm28*Sens!G15225+(1-w_ntm28)*Sens!H15225)*m_sw*1.2</f>
        <v>1254.20467939519</v>
      </c>
    </row>
    <row r="15243" customFormat="false" ht="17.15" hidden="false" customHeight="false" outlineLevel="0" collapsed="false">
      <c r="A15243" s="1" t="s">
        <v>1256</v>
      </c>
      <c r="B15243" s="0" t="s">
        <v>98</v>
      </c>
      <c r="C15243" s="6" t="n">
        <f aca="false">(w_ntm28*Sens!G15226+(1-w_ntm28)*Sens!H15226)*m_sw*1.2</f>
        <v>447.814133949349</v>
      </c>
    </row>
    <row r="15244" customFormat="false" ht="17.15" hidden="false" customHeight="false" outlineLevel="0" collapsed="false">
      <c r="A15244" s="1" t="s">
        <v>1257</v>
      </c>
      <c r="B15244" s="0" t="s">
        <v>98</v>
      </c>
      <c r="C15244" s="6" t="n">
        <f aca="false">(w_ntm28*Sens!G15227+(1-w_ntm28)*Sens!H15227)*m_sw*1.2</f>
        <v>131.160669457212</v>
      </c>
    </row>
    <row r="15245" customFormat="false" ht="17.15" hidden="false" customHeight="false" outlineLevel="0" collapsed="false">
      <c r="A15245" s="1" t="s">
        <v>1258</v>
      </c>
      <c r="B15245" s="0" t="s">
        <v>98</v>
      </c>
      <c r="C15245" s="6" t="n">
        <f aca="false">(w_ntm28*Sens!G15228+(1-w_ntm28)*Sens!H15228)*m_sw*1.2</f>
        <v>49.8637244657528</v>
      </c>
    </row>
    <row r="15246" customFormat="false" ht="17.15" hidden="false" customHeight="false" outlineLevel="0" collapsed="false">
      <c r="A15246" s="1" t="s">
        <v>1259</v>
      </c>
      <c r="B15246" s="0" t="s">
        <v>98</v>
      </c>
      <c r="C15246" s="6" t="n">
        <f aca="false">(w_ntm28*Sens!G15229+(1-w_ntm28)*Sens!H15229)*m_ads*1.2</f>
        <v>138.259079993741</v>
      </c>
    </row>
    <row r="15247" customFormat="false" ht="17.15" hidden="false" customHeight="false" outlineLevel="0" collapsed="false">
      <c r="A15247" s="1" t="s">
        <v>1260</v>
      </c>
      <c r="B15247" s="0" t="s">
        <v>98</v>
      </c>
      <c r="C15247" s="6" t="n">
        <f aca="false">(w_ntm28*Sens!G15234+(1-w_ntm28)*Sens!H15234)*m_game*1.2</f>
        <v>118.542402913894</v>
      </c>
    </row>
    <row r="15248" customFormat="false" ht="17.15" hidden="false" customHeight="false" outlineLevel="0" collapsed="false">
      <c r="A15248" s="1" t="s">
        <v>1261</v>
      </c>
      <c r="B15248" s="0" t="s">
        <v>98</v>
      </c>
      <c r="C15248" s="6" t="n">
        <f aca="false">(w_ntm28*Sens!G15235+(1-w_ntm28)*Sens!H15235)*m_pc*1.2</f>
        <v>109.900373472261</v>
      </c>
    </row>
    <row r="15249" customFormat="false" ht="17.15" hidden="false" customHeight="false" outlineLevel="0" collapsed="false">
      <c r="A15249" s="1" t="s">
        <v>1262</v>
      </c>
      <c r="B15249" s="0" t="s">
        <v>98</v>
      </c>
      <c r="C15249" s="6" t="n">
        <f aca="false">Sens!$C$15239+Sens!$C$15241+Sens!$C$15242+Sens!$C$15243+Sens!$C$15244+Sens!$C$15245+Sens!$C$15246+Sens!$C$15247+Sens!$C$15248</f>
        <v>3452.1427665464</v>
      </c>
    </row>
    <row r="15250" customFormat="false" ht="17.15" hidden="false" customHeight="false" outlineLevel="0" collapsed="false">
      <c r="A15250" s="1" t="s">
        <v>1263</v>
      </c>
      <c r="B15250" s="0" t="s">
        <v>98</v>
      </c>
      <c r="C15250" s="6" t="n">
        <f aca="false">(Sens!G15211-Sens!G15236)*t_stub</f>
        <v>47.4829168796038</v>
      </c>
      <c r="L15250" s="1" t="s">
        <v>1264</v>
      </c>
    </row>
    <row r="15251" customFormat="false" ht="17.15" hidden="false" customHeight="false" outlineLevel="0" collapsed="false">
      <c r="A15251" s="1" t="s">
        <v>1173</v>
      </c>
      <c r="B15251" s="0" t="s">
        <v>98</v>
      </c>
      <c r="C15251" s="6" t="n">
        <f aca="false">CF!F103+oai_v-CF!F92+Sens!$C$15250</f>
        <v>158.55427008544</v>
      </c>
      <c r="L15251" s="1" t="s">
        <v>1265</v>
      </c>
    </row>
    <row r="15252" customFormat="false" ht="17.15" hidden="false" customHeight="false" outlineLevel="0" collapsed="false">
      <c r="A15252" s="1" t="s">
        <v>1266</v>
      </c>
      <c r="B15252" s="0" t="s">
        <v>75</v>
      </c>
      <c r="C15252" s="5" t="n">
        <f aca="false">(Sens!$C$15249+Sens!$C$15251)/(CF!F105+dil_gap)-CF!G95*roll_div_q/q_per_yr</f>
        <v>480.643669241174</v>
      </c>
      <c r="L15252" s="1" t="s">
        <v>1267</v>
      </c>
    </row>
    <row r="15253" customFormat="false" ht="17.15" hidden="false" customHeight="false" outlineLevel="0" collapsed="false">
      <c r="A15253" s="1" t="s">
        <v>1268</v>
      </c>
      <c r="B15253" s="0" t="s">
        <v>75</v>
      </c>
      <c r="C15253" s="5" t="n">
        <f aca="false">w_dcf*Sens!$C$15223+(1-w_dcf)*Sens!$C$15252</f>
        <v>380.658166210447</v>
      </c>
    </row>
    <row r="15254" customFormat="false" ht="17.15" hidden="false" customHeight="false" outlineLevel="0" collapsed="false">
      <c r="A15254" s="3" t="s">
        <v>1987</v>
      </c>
    </row>
    <row r="15255" customFormat="false" ht="15" hidden="false" customHeight="false" outlineLevel="0" collapsed="false">
      <c r="A15255" s="4" t="s">
        <v>43</v>
      </c>
      <c r="B15255" s="4" t="s">
        <v>65</v>
      </c>
      <c r="C15255" s="23" t="s">
        <v>942</v>
      </c>
      <c r="D15255" s="23" t="s">
        <v>943</v>
      </c>
      <c r="E15255" s="23" t="s">
        <v>944</v>
      </c>
      <c r="F15255" s="23" t="s">
        <v>945</v>
      </c>
      <c r="G15255" s="23" t="s">
        <v>946</v>
      </c>
      <c r="H15255" s="23" t="s">
        <v>947</v>
      </c>
      <c r="I15255" s="23" t="s">
        <v>948</v>
      </c>
      <c r="J15255" s="23" t="s">
        <v>949</v>
      </c>
      <c r="K15255" s="23" t="s">
        <v>950</v>
      </c>
      <c r="L15255" s="4" t="s">
        <v>47</v>
      </c>
    </row>
    <row r="15256" customFormat="false" ht="17.15" hidden="false" customHeight="false" outlineLevel="0" collapsed="false">
      <c r="A15256" s="1" t="s">
        <v>951</v>
      </c>
      <c r="B15256" s="1" t="s">
        <v>279</v>
      </c>
      <c r="C15256" s="21" t="n">
        <v>2024</v>
      </c>
      <c r="D15256" s="21" t="n">
        <v>2025</v>
      </c>
      <c r="E15256" s="21" t="n">
        <v>2026</v>
      </c>
      <c r="F15256" s="21" t="n">
        <v>2027</v>
      </c>
      <c r="G15256" s="21" t="n">
        <v>2028</v>
      </c>
      <c r="H15256" s="21" t="n">
        <v>2029</v>
      </c>
      <c r="I15256" s="21" t="n">
        <v>2030</v>
      </c>
      <c r="J15256" s="21" t="n">
        <v>2031</v>
      </c>
      <c r="K15256" s="21" t="n">
        <v>2032</v>
      </c>
    </row>
    <row r="15257" customFormat="false" ht="17.15" hidden="false" customHeight="false" outlineLevel="0" collapsed="false">
      <c r="A15257" s="1" t="s">
        <v>952</v>
      </c>
      <c r="B15257" s="0" t="s">
        <v>459</v>
      </c>
      <c r="F15257" s="30" t="n">
        <f aca="false">pace_epoch</f>
        <v>650</v>
      </c>
      <c r="G15257" s="30" t="n">
        <f aca="false">pace_epoch</f>
        <v>650</v>
      </c>
      <c r="H15257" s="30" t="n">
        <f aca="false">pace_epoch</f>
        <v>650</v>
      </c>
      <c r="I15257" s="30" t="n">
        <f aca="false">pace_epoch+(g_tv*Sens!H15258-pace_epoch)*MIN(1,(Sens!I15256-pace_y0)/(pace_y1-pace_y0))</f>
        <v>477.193333333333</v>
      </c>
      <c r="J15257" s="30" t="n">
        <f aca="false">pace_epoch+(g_tv*Sens!I15258-pace_epoch)*MIN(1,(Sens!J15256-pace_y0)/(pace_y1-pace_y0))</f>
        <v>304.386666666667</v>
      </c>
      <c r="K15257" s="30" t="n">
        <f aca="false">pace_epoch+(g_tv*Sens!J15258-pace_epoch)*MIN(1,(Sens!K15256-pace_y0)/(pace_y1-pace_y0))</f>
        <v>131.58</v>
      </c>
      <c r="L15257" s="12" t="s">
        <v>953</v>
      </c>
    </row>
    <row r="15258" customFormat="false" ht="17.15" hidden="false" customHeight="false" outlineLevel="0" collapsed="false">
      <c r="A15258" s="1" t="s">
        <v>954</v>
      </c>
      <c r="B15258" s="0" t="s">
        <v>459</v>
      </c>
      <c r="C15258" s="30" t="n">
        <f aca="false">mw_ext_24</f>
        <v>640</v>
      </c>
      <c r="D15258" s="30" t="n">
        <f aca="false">mw_ext_25</f>
        <v>1630</v>
      </c>
      <c r="E15258" s="30" t="n">
        <f aca="false">mw_ext_26</f>
        <v>3250</v>
      </c>
      <c r="F15258" s="30" t="n">
        <f aca="false">MIN(cap_epoch,Sens!E15258+Sens!F15257)</f>
        <v>3900</v>
      </c>
      <c r="G15258" s="30" t="n">
        <f aca="false">MIN(cap_epoch,Sens!F15258+Sens!G15257)</f>
        <v>4386</v>
      </c>
      <c r="H15258" s="30" t="n">
        <f aca="false">MIN(cap_epoch,Sens!G15258+Sens!H15257)</f>
        <v>4386</v>
      </c>
      <c r="I15258" s="30" t="n">
        <f aca="false">MIN(cap_epoch,Sens!H15258+Sens!I15257)</f>
        <v>4386</v>
      </c>
      <c r="J15258" s="30" t="n">
        <f aca="false">MIN(cap_epoch,Sens!I15258+Sens!J15257)</f>
        <v>4386</v>
      </c>
      <c r="K15258" s="30" t="n">
        <f aca="false">MIN(cap_epoch,Sens!J15258+Sens!K15257)</f>
        <v>4386</v>
      </c>
      <c r="L15258" s="1" t="s">
        <v>955</v>
      </c>
    </row>
    <row r="15259" customFormat="false" ht="17.15" hidden="false" customHeight="false" outlineLevel="0" collapsed="false">
      <c r="A15259" s="1" t="s">
        <v>956</v>
      </c>
      <c r="B15259" s="0" t="s">
        <v>459</v>
      </c>
      <c r="C15259" s="30" t="n">
        <f aca="false">rent_ext_24</f>
        <v>150</v>
      </c>
      <c r="D15259" s="30" t="n">
        <f aca="false">rent_ext_25</f>
        <v>400</v>
      </c>
      <c r="E15259" s="30" t="n">
        <f aca="false">rent_ext_26</f>
        <v>550</v>
      </c>
      <c r="F15259" s="30" t="n">
        <f aca="false">rent_ext_f</f>
        <v>756</v>
      </c>
      <c r="G15259" s="30" t="n">
        <f aca="false">rent_ext_f</f>
        <v>756</v>
      </c>
      <c r="H15259" s="30" t="n">
        <f aca="false">rent_ext_f</f>
        <v>756</v>
      </c>
      <c r="I15259" s="30" t="n">
        <f aca="false">rent_ext_f</f>
        <v>756</v>
      </c>
      <c r="J15259" s="30" t="n">
        <f aca="false">rent_ext_f</f>
        <v>756</v>
      </c>
      <c r="K15259" s="30" t="n">
        <f aca="false">rent_ext_f</f>
        <v>756</v>
      </c>
      <c r="L15259" s="1" t="s">
        <v>957</v>
      </c>
    </row>
    <row r="15260" customFormat="false" ht="17.15" hidden="false" customHeight="false" outlineLevel="0" collapsed="false">
      <c r="A15260" s="1" t="s">
        <v>958</v>
      </c>
      <c r="B15260" s="0" t="s">
        <v>459</v>
      </c>
      <c r="C15260" s="30" t="n">
        <f aca="false">Sens!C15258-Sens!C15259</f>
        <v>490</v>
      </c>
      <c r="D15260" s="30" t="n">
        <f aca="false">Sens!D15258-Sens!D15259</f>
        <v>1230</v>
      </c>
      <c r="E15260" s="30" t="n">
        <f aca="false">Sens!E15258-Sens!E15259</f>
        <v>2700</v>
      </c>
      <c r="F15260" s="30" t="n">
        <f aca="false">Sens!F15258-Sens!F15259</f>
        <v>3144</v>
      </c>
      <c r="G15260" s="30" t="n">
        <f aca="false">Sens!G15258-Sens!G15259</f>
        <v>3630</v>
      </c>
      <c r="H15260" s="30" t="n">
        <f aca="false">Sens!H15258-Sens!H15259</f>
        <v>3630</v>
      </c>
      <c r="I15260" s="30" t="n">
        <f aca="false">Sens!I15258-Sens!I15259</f>
        <v>3630</v>
      </c>
      <c r="J15260" s="30" t="n">
        <f aca="false">Sens!J15258-Sens!J15259</f>
        <v>3630</v>
      </c>
      <c r="K15260" s="30" t="n">
        <f aca="false">Sens!K15258-Sens!K15259</f>
        <v>3630</v>
      </c>
    </row>
    <row r="15261" customFormat="false" ht="17.15" hidden="false" customHeight="false" outlineLevel="0" collapsed="false">
      <c r="A15261" s="1" t="s">
        <v>959</v>
      </c>
      <c r="B15261" s="0" t="s">
        <v>459</v>
      </c>
      <c r="C15261" s="30" t="n">
        <f aca="false">Sens!C15260/ext_sh</f>
        <v>816.666666666667</v>
      </c>
      <c r="D15261" s="30" t="n">
        <f aca="false">Sens!D15260/ext_sh</f>
        <v>2050</v>
      </c>
      <c r="E15261" s="30" t="n">
        <f aca="false">Sens!E15260/ext_sh</f>
        <v>4500</v>
      </c>
      <c r="F15261" s="30" t="n">
        <f aca="false">Sens!F15260/ext_sh</f>
        <v>5240</v>
      </c>
      <c r="G15261" s="30" t="n">
        <f aca="false">Sens!G15260/ext_sh</f>
        <v>6050</v>
      </c>
      <c r="H15261" s="30" t="n">
        <f aca="false">Sens!H15260/ext_sh</f>
        <v>6050</v>
      </c>
      <c r="I15261" s="30" t="n">
        <f aca="false">Sens!I15260/ext_sh</f>
        <v>6050</v>
      </c>
      <c r="J15261" s="30" t="n">
        <f aca="false">Sens!J15260/ext_sh</f>
        <v>6050</v>
      </c>
      <c r="K15261" s="30" t="n">
        <f aca="false">Sens!K15260/ext_sh</f>
        <v>6050</v>
      </c>
      <c r="L15261" s="1" t="s">
        <v>960</v>
      </c>
    </row>
    <row r="15262" customFormat="false" ht="17.15" hidden="false" customHeight="false" outlineLevel="0" collapsed="false">
      <c r="A15262" s="1" t="s">
        <v>961</v>
      </c>
      <c r="B15262" s="0" t="s">
        <v>459</v>
      </c>
      <c r="C15262" s="30" t="n">
        <f aca="false">Sens!C15261-Sens!C15260</f>
        <v>326.666666666667</v>
      </c>
      <c r="D15262" s="30" t="n">
        <f aca="false">Sens!D15261-Sens!D15260</f>
        <v>820</v>
      </c>
      <c r="E15262" s="30" t="n">
        <f aca="false">Sens!E15261-Sens!E15260</f>
        <v>1800</v>
      </c>
      <c r="F15262" s="30" t="n">
        <f aca="false">Sens!F15261-Sens!F15260</f>
        <v>2096</v>
      </c>
      <c r="G15262" s="30" t="n">
        <f aca="false">Sens!G15261-Sens!G15260</f>
        <v>2420</v>
      </c>
      <c r="H15262" s="30" t="n">
        <f aca="false">Sens!H15261-Sens!H15260</f>
        <v>2420</v>
      </c>
      <c r="I15262" s="30" t="n">
        <f aca="false">Sens!I15261-Sens!I15260</f>
        <v>2420</v>
      </c>
      <c r="J15262" s="30" t="n">
        <f aca="false">Sens!J15261-Sens!J15260</f>
        <v>2420</v>
      </c>
      <c r="K15262" s="30" t="n">
        <f aca="false">Sens!K15261-Sens!K15260</f>
        <v>2420</v>
      </c>
    </row>
    <row r="15263" customFormat="false" ht="17.15" hidden="false" customHeight="false" outlineLevel="0" collapsed="false">
      <c r="A15263" s="1" t="s">
        <v>962</v>
      </c>
      <c r="B15263" s="0" t="s">
        <v>459</v>
      </c>
      <c r="C15263" s="30" t="n">
        <f aca="false">Sens!C15261</f>
        <v>816.666666666667</v>
      </c>
      <c r="D15263" s="30" t="n">
        <f aca="false">Sens!D15261-Sens!C15261</f>
        <v>1233.33333333333</v>
      </c>
      <c r="E15263" s="30" t="n">
        <f aca="false">Sens!E15261-Sens!D15261</f>
        <v>2450</v>
      </c>
      <c r="F15263" s="30" t="n">
        <f aca="false">Sens!F15261-Sens!E15261</f>
        <v>740</v>
      </c>
      <c r="G15263" s="30" t="n">
        <f aca="false">Sens!G15261-Sens!F15261</f>
        <v>810</v>
      </c>
      <c r="H15263" s="30" t="n">
        <f aca="false">Sens!H15261-Sens!G15261</f>
        <v>0</v>
      </c>
      <c r="I15263" s="30" t="n">
        <f aca="false">Sens!I15261-Sens!H15261</f>
        <v>0</v>
      </c>
      <c r="J15263" s="30" t="n">
        <f aca="false">Sens!J15261-Sens!I15261</f>
        <v>0</v>
      </c>
      <c r="K15263" s="30" t="n">
        <f aca="false">Sens!K15261-Sens!J15261</f>
        <v>0</v>
      </c>
    </row>
    <row r="15264" customFormat="false" ht="17.15" hidden="false" customHeight="false" outlineLevel="0" collapsed="false">
      <c r="A15264" s="1" t="s">
        <v>963</v>
      </c>
      <c r="B15264" s="0" t="s">
        <v>459</v>
      </c>
      <c r="D15264" s="30" t="n">
        <f aca="false">Sens!D15258-Sens!C15258</f>
        <v>990</v>
      </c>
      <c r="E15264" s="30" t="n">
        <f aca="false">Sens!E15258-Sens!D15258</f>
        <v>1620</v>
      </c>
      <c r="F15264" s="30" t="n">
        <f aca="false">Sens!F15258-Sens!E15258</f>
        <v>650</v>
      </c>
      <c r="G15264" s="30" t="n">
        <f aca="false">Sens!G15258-Sens!F15258</f>
        <v>486</v>
      </c>
      <c r="H15264" s="30" t="n">
        <f aca="false">Sens!H15258-Sens!G15258</f>
        <v>0</v>
      </c>
      <c r="I15264" s="30" t="n">
        <f aca="false">Sens!I15258-Sens!H15258</f>
        <v>0</v>
      </c>
      <c r="J15264" s="30" t="n">
        <f aca="false">Sens!J15258-Sens!I15258</f>
        <v>0</v>
      </c>
      <c r="K15264" s="30" t="n">
        <f aca="false">Sens!K15258-Sens!J15258</f>
        <v>0</v>
      </c>
    </row>
    <row r="15265" customFormat="false" ht="17.15" hidden="false" customHeight="false" outlineLevel="0" collapsed="false">
      <c r="A15265" s="1" t="s">
        <v>964</v>
      </c>
      <c r="B15265" s="0" t="s">
        <v>459</v>
      </c>
      <c r="F15265" s="30" t="n">
        <f aca="false">Sens!F15284*ext_sh</f>
        <v>0</v>
      </c>
      <c r="G15265" s="30" t="n">
        <f aca="false">Sens!G15284*ext_sh</f>
        <v>0</v>
      </c>
      <c r="H15265" s="30" t="n">
        <f aca="false">Sens!H15284*ext_sh</f>
        <v>0</v>
      </c>
      <c r="I15265" s="30" t="n">
        <f aca="false">Sens!I15284*ext_sh</f>
        <v>490</v>
      </c>
      <c r="J15265" s="30" t="n">
        <f aca="false">Sens!J15284*ext_sh</f>
        <v>740</v>
      </c>
      <c r="K15265" s="30" t="n">
        <f aca="false">Sens!K15284*ext_sh</f>
        <v>1470</v>
      </c>
      <c r="L15265" s="1" t="s">
        <v>965</v>
      </c>
    </row>
    <row r="15266" customFormat="false" ht="17.15" hidden="false" customHeight="false" outlineLevel="0" collapsed="false">
      <c r="A15266" s="1" t="s">
        <v>966</v>
      </c>
      <c r="B15266" s="0" t="s">
        <v>459</v>
      </c>
      <c r="C15266" s="30" t="n">
        <f aca="false">mix_h*Sens!C15258</f>
        <v>128</v>
      </c>
      <c r="D15266" s="30" t="n">
        <f aca="false">mix_h*Sens!D15258</f>
        <v>326</v>
      </c>
      <c r="E15266" s="30" t="n">
        <f aca="false">mix_h*Sens!E15258</f>
        <v>650</v>
      </c>
      <c r="F15266" s="30" t="n">
        <f aca="false">Sens!E15266-Sens!F15265*mix_h</f>
        <v>650</v>
      </c>
      <c r="G15266" s="30" t="n">
        <f aca="false">Sens!F15266-Sens!G15265*mix_h</f>
        <v>650</v>
      </c>
      <c r="H15266" s="30" t="n">
        <f aca="false">Sens!G15266-Sens!H15265*mix_h</f>
        <v>650</v>
      </c>
      <c r="I15266" s="30" t="n">
        <f aca="false">Sens!H15266-Sens!I15265*mix_h</f>
        <v>552</v>
      </c>
      <c r="J15266" s="30" t="n">
        <f aca="false">Sens!I15266-Sens!J15265*mix_h</f>
        <v>404</v>
      </c>
      <c r="K15266" s="30" t="n">
        <f aca="false">Sens!J15266-Sens!K15265*mix_h</f>
        <v>110</v>
      </c>
    </row>
    <row r="15267" customFormat="false" ht="17.15" hidden="false" customHeight="false" outlineLevel="0" collapsed="false">
      <c r="A15267" s="1" t="s">
        <v>967</v>
      </c>
      <c r="B15267" s="0" t="s">
        <v>459</v>
      </c>
      <c r="C15267" s="30" t="n">
        <f aca="false">mix_g2*Sens!C15258</f>
        <v>288</v>
      </c>
      <c r="D15267" s="30" t="n">
        <f aca="false">mix_g2*Sens!D15258</f>
        <v>733.5</v>
      </c>
      <c r="E15267" s="30" t="n">
        <f aca="false">mix_g2*Sens!E15258</f>
        <v>1462.5</v>
      </c>
      <c r="F15267" s="30" t="n">
        <f aca="false">Sens!E15267-Sens!F15265*mix_g2</f>
        <v>1462.5</v>
      </c>
      <c r="G15267" s="30" t="n">
        <f aca="false">Sens!F15267-Sens!G15265*mix_g2</f>
        <v>1462.5</v>
      </c>
      <c r="H15267" s="30" t="n">
        <f aca="false">Sens!G15267-Sens!H15265*mix_g2</f>
        <v>1462.5</v>
      </c>
      <c r="I15267" s="30" t="n">
        <f aca="false">Sens!H15267-Sens!I15265*mix_g2</f>
        <v>1242</v>
      </c>
      <c r="J15267" s="30" t="n">
        <f aca="false">Sens!I15267-Sens!J15265*mix_g2</f>
        <v>909</v>
      </c>
      <c r="K15267" s="30" t="n">
        <f aca="false">Sens!J15267-Sens!K15265*mix_g2</f>
        <v>247.5</v>
      </c>
    </row>
    <row r="15268" customFormat="false" ht="17.15" hidden="false" customHeight="false" outlineLevel="0" collapsed="false">
      <c r="A15268" s="1" t="s">
        <v>968</v>
      </c>
      <c r="B15268" s="0" t="s">
        <v>459</v>
      </c>
      <c r="C15268" s="30" t="n">
        <f aca="false">mix_g3*Sens!C15258</f>
        <v>224</v>
      </c>
      <c r="D15268" s="30" t="n">
        <f aca="false">mix_g3*Sens!D15258</f>
        <v>570.5</v>
      </c>
      <c r="E15268" s="30" t="n">
        <f aca="false">mix_g3*Sens!E15258</f>
        <v>1137.5</v>
      </c>
      <c r="F15268" s="30" t="n">
        <f aca="false">Sens!E15268+(Sens!F15264+Sens!F15265)*(a_g3_27-nonnv*a_mai)-Sens!F15265*mix_g3</f>
        <v>1527.5</v>
      </c>
      <c r="G15268" s="30" t="n">
        <f aca="false">Sens!F15268+(Sens!G15264+Sens!G15265)*(a_g3_28-nonnv*a_mai)-Sens!G15265*mix_g3</f>
        <v>1624.7</v>
      </c>
      <c r="H15268" s="30" t="n">
        <f aca="false">Sens!G15268+(Sens!H15264+Sens!H15265)*(a_g3_29-nonnv*a_mai)-Sens!H15265*mix_g3</f>
        <v>1624.7</v>
      </c>
      <c r="I15268" s="30" t="n">
        <f aca="false">Sens!H15268+(Sens!I15264+Sens!I15265)*(a_g3_29-nonnv*a_mai)-Sens!I15265*mix_g3</f>
        <v>1453.2</v>
      </c>
      <c r="J15268" s="30" t="n">
        <f aca="false">Sens!I15268+(Sens!J15264+Sens!J15265)*(a_g3_29-nonnv*a_mai)-Sens!J15265*mix_g3</f>
        <v>1194.2</v>
      </c>
      <c r="K15268" s="30" t="n">
        <f aca="false">Sens!J15268+(Sens!K15264+Sens!K15265)*(a_g3_29-nonnv*a_mai)-Sens!K15265*mix_g3</f>
        <v>679.7</v>
      </c>
    </row>
    <row r="15269" customFormat="false" ht="17.15" hidden="false" customHeight="false" outlineLevel="0" collapsed="false">
      <c r="A15269" s="1" t="s">
        <v>969</v>
      </c>
      <c r="B15269" s="0" t="s">
        <v>459</v>
      </c>
      <c r="C15269" s="30" t="n">
        <v>0</v>
      </c>
      <c r="D15269" s="30" t="n">
        <v>0</v>
      </c>
      <c r="E15269" s="30" t="n">
        <v>0</v>
      </c>
      <c r="F15269" s="30" t="n">
        <f aca="false">Sens!E15269+(Sens!F15264+Sens!F15265)*nonnv*a_mai</f>
        <v>65</v>
      </c>
      <c r="G15269" s="30" t="n">
        <f aca="false">Sens!F15269+(Sens!G15264+Sens!G15265)*nonnv*a_mai</f>
        <v>113.6</v>
      </c>
      <c r="H15269" s="30" t="n">
        <f aca="false">Sens!G15269+(Sens!H15264+Sens!H15265)*nonnv*a_mai</f>
        <v>113.6</v>
      </c>
      <c r="I15269" s="30" t="n">
        <f aca="false">Sens!H15269+(Sens!I15264+Sens!I15265)*nonnv*a_mai</f>
        <v>162.6</v>
      </c>
      <c r="J15269" s="30" t="n">
        <f aca="false">Sens!I15269+(Sens!J15264+Sens!J15265)*nonnv*a_mai</f>
        <v>236.6</v>
      </c>
      <c r="K15269" s="30" t="n">
        <f aca="false">Sens!J15269+(Sens!K15264+Sens!K15265)*nonnv*a_mai</f>
        <v>383.6</v>
      </c>
      <c r="L15269" s="12" t="s">
        <v>970</v>
      </c>
    </row>
    <row r="15270" customFormat="false" ht="17.15" hidden="false" customHeight="false" outlineLevel="0" collapsed="false">
      <c r="A15270" s="1" t="s">
        <v>971</v>
      </c>
      <c r="B15270" s="0" t="s">
        <v>459</v>
      </c>
      <c r="C15270" s="30" t="n">
        <v>0</v>
      </c>
      <c r="D15270" s="30" t="n">
        <v>0</v>
      </c>
      <c r="E15270" s="30" t="n">
        <v>0</v>
      </c>
      <c r="F15270" s="30" t="n">
        <f aca="false">Sens!E15270+(Sens!F15264+Sens!F15265)*(1-a_g3_27)</f>
        <v>195</v>
      </c>
      <c r="G15270" s="30" t="n">
        <f aca="false">Sens!F15270+(Sens!G15264+Sens!G15265)*(1-a_g3_28)</f>
        <v>535.2</v>
      </c>
      <c r="H15270" s="30" t="n">
        <f aca="false">Sens!G15270+(Sens!H15264+Sens!H15265)*(1-a_g3_29)</f>
        <v>535.2</v>
      </c>
      <c r="I15270" s="30" t="n">
        <f aca="false">Sens!H15270+(Sens!I15264+Sens!I15265)*(1-a_g3_29)</f>
        <v>976.2</v>
      </c>
      <c r="J15270" s="30" t="n">
        <f aca="false">Sens!I15270+(Sens!J15264+Sens!J15265)*(1-a_g3_29)</f>
        <v>1642.2</v>
      </c>
      <c r="K15270" s="30" t="n">
        <f aca="false">Sens!J15270+(Sens!K15264+Sens!K15265)*(1-a_g3_29)</f>
        <v>2965.2</v>
      </c>
    </row>
    <row r="15271" customFormat="false" ht="17.15" hidden="false" customHeight="false" outlineLevel="0" collapsed="false">
      <c r="A15271" s="1" t="s">
        <v>972</v>
      </c>
      <c r="B15271" s="0" t="s">
        <v>403</v>
      </c>
      <c r="C15271" s="15" t="n">
        <f aca="false">(Sens!C15266*tk_hold_h100+Sens!C15267*tk_hold_gb200+Sens!C15268*tk_hold_gb300+Sens!C15270*tk_hold_vr200+Sens!C15269*nv_hold_mai*tk_hold_vr200)/Sens!C15258</f>
        <v>9.7235358126469</v>
      </c>
      <c r="D15271" s="15" t="n">
        <f aca="false">(Sens!D15266*tk_hold_h100+Sens!D15267*tk_hold_gb200+Sens!D15268*tk_hold_gb300+Sens!D15270*tk_hold_vr200+Sens!D15269*nv_hold_mai*tk_hold_vr200)/Sens!D15258</f>
        <v>9.7235358126469</v>
      </c>
      <c r="E15271" s="15" t="n">
        <f aca="false">(Sens!E15266*tk_hold_h100+Sens!E15267*tk_hold_gb200+Sens!E15268*tk_hold_gb300+Sens!E15270*tk_hold_vr200+Sens!E15269*nv_hold_mai*tk_hold_vr200)/Sens!E15258</f>
        <v>9.7235358126469</v>
      </c>
      <c r="F15271" s="15" t="n">
        <f aca="false">(Sens!F15266*tk_hold_h100+Sens!F15267*tk_hold_gb200+Sens!F15268*tk_hold_gb300+Sens!F15270*tk_hold_vr200+Sens!F15269*nv_hold_mai*tk_hold_vr200)/Sens!F15258</f>
        <v>9.9047400860175</v>
      </c>
      <c r="G15271" s="15" t="n">
        <f aca="false">(Sens!G15266*tk_hold_h100+Sens!G15267*tk_hold_gb200+Sens!G15268*tk_hold_gb300+Sens!G15270*tk_hold_vr200+Sens!G15269*nv_hold_mai*tk_hold_vr200)/Sens!G15258</f>
        <v>10.0644846479809</v>
      </c>
      <c r="H15271" s="15" t="n">
        <f aca="false">(Sens!H15266*tk_hold_h100+Sens!H15267*tk_hold_gb200+Sens!H15268*tk_hold_gb300+Sens!H15270*tk_hold_vr200+Sens!H15269*nv_hold_mai*tk_hold_vr200)/Sens!H15258</f>
        <v>10.0644846479809</v>
      </c>
      <c r="I15271" s="15" t="n">
        <f aca="false">(Sens!I15266*tk_hold_h100+Sens!I15267*tk_hold_gb200+Sens!I15268*tk_hold_gb300+Sens!I15270*tk_hold_vr200+Sens!I15269*nv_hold_mai*tk_hold_vr200)/Sens!I15258</f>
        <v>10.2757076768083</v>
      </c>
      <c r="J15271" s="15" t="n">
        <f aca="false">(Sens!J15266*tk_hold_h100+Sens!J15267*tk_hold_gb200+Sens!J15268*tk_hold_gb300+Sens!J15270*tk_hold_vr200+Sens!J15269*nv_hold_mai*tk_hold_vr200)/Sens!J15258</f>
        <v>10.5946975570782</v>
      </c>
      <c r="K15271" s="15" t="n">
        <f aca="false">(Sens!K15266*tk_hold_h100+Sens!K15267*tk_hold_gb200+Sens!K15268*tk_hold_gb300+Sens!K15270*tk_hold_vr200+Sens!K15269*nv_hold_mai*tk_hold_vr200)/Sens!K15258</f>
        <v>11.2283666435604</v>
      </c>
      <c r="L15271" s="1" t="s">
        <v>973</v>
      </c>
    </row>
    <row r="15272" customFormat="false" ht="17.15" hidden="false" customHeight="false" outlineLevel="0" collapsed="false">
      <c r="A15272" s="1" t="s">
        <v>974</v>
      </c>
      <c r="B15272" s="0" t="s">
        <v>403</v>
      </c>
      <c r="C15272" s="15" t="n">
        <f aca="false">(Sens!C15266*tk_hold_h100+Sens!C15267*tk_hold_gb200+Sens!C15268*tk_hold_gb300+Sens!C15270*tk_hold_vr200+Sens!C15269*nv_out_mai*tk_hold_vr200)/Sens!C15258</f>
        <v>9.7235358126469</v>
      </c>
      <c r="D15272" s="15" t="n">
        <f aca="false">(Sens!D15266*tk_hold_h100+Sens!D15267*tk_hold_gb200+Sens!D15268*tk_hold_gb300+Sens!D15270*tk_hold_vr200+Sens!D15269*nv_out_mai*tk_hold_vr200)/Sens!D15258</f>
        <v>9.7235358126469</v>
      </c>
      <c r="E15272" s="15" t="n">
        <f aca="false">(Sens!E15266*tk_hold_h100+Sens!E15267*tk_hold_gb200+Sens!E15268*tk_hold_gb300+Sens!E15270*tk_hold_vr200+Sens!E15269*nv_out_mai*tk_hold_vr200)/Sens!E15258</f>
        <v>9.7235358126469</v>
      </c>
      <c r="F15272" s="15" t="n">
        <f aca="false">(Sens!F15266*tk_hold_h100+Sens!F15267*tk_hold_gb200+Sens!F15268*tk_hold_gb300+Sens!F15270*tk_hold_vr200+Sens!F15269*nv_out_mai*tk_hold_vr200)/Sens!F15258</f>
        <v>9.91492797852132</v>
      </c>
      <c r="G15272" s="15" t="n">
        <f aca="false">(Sens!G15266*tk_hold_h100+Sens!G15267*tk_hold_gb200+Sens!G15268*tk_hold_gb300+Sens!G15270*tk_hold_vr200+Sens!G15269*nv_out_mai*tk_hold_vr200)/Sens!G15258</f>
        <v>10.0803169952919</v>
      </c>
      <c r="H15272" s="15" t="n">
        <f aca="false">(Sens!H15266*tk_hold_h100+Sens!H15267*tk_hold_gb200+Sens!H15268*tk_hold_gb300+Sens!H15270*tk_hold_vr200+Sens!H15269*nv_out_mai*tk_hold_vr200)/Sens!H15258</f>
        <v>10.0803169952919</v>
      </c>
      <c r="I15272" s="15" t="n">
        <f aca="false">(Sens!I15266*tk_hold_h100+Sens!I15267*tk_hold_gb200+Sens!I15268*tk_hold_gb300+Sens!I15270*tk_hold_vr200+Sens!I15269*nv_out_mai*tk_hold_vr200)/Sens!I15258</f>
        <v>10.2983691175897</v>
      </c>
      <c r="J15272" s="15" t="n">
        <f aca="false">(Sens!J15266*tk_hold_h100+Sens!J15267*tk_hold_gb200+Sens!J15268*tk_hold_gb300+Sens!J15270*tk_hold_vr200+Sens!J15269*nv_out_mai*tk_hold_vr200)/Sens!J15258</f>
        <v>10.6276723226925</v>
      </c>
      <c r="K15272" s="15" t="n">
        <f aca="false">(Sens!K15266*tk_hold_h100+Sens!K15267*tk_hold_gb200+Sens!K15268*tk_hold_gb300+Sens!K15270*tk_hold_vr200+Sens!K15269*nv_out_mai*tk_hold_vr200)/Sens!K15258</f>
        <v>11.2818286895859</v>
      </c>
      <c r="L15272" s="12" t="s">
        <v>975</v>
      </c>
    </row>
    <row r="15273" customFormat="false" ht="17.15" hidden="false" customHeight="false" outlineLevel="0" collapsed="false">
      <c r="A15273" s="0" t="s">
        <v>976</v>
      </c>
      <c r="B15273" s="0" t="s">
        <v>229</v>
      </c>
      <c r="C15273" s="15" t="n">
        <f aca="false">k_B</f>
        <v>1.17213932619116</v>
      </c>
      <c r="D15273" s="15" t="n">
        <f aca="false">k_B</f>
        <v>1.17213932619116</v>
      </c>
      <c r="E15273" s="15" t="n">
        <f aca="false">k_B</f>
        <v>1.17213932619116</v>
      </c>
      <c r="F15273" s="15" t="n">
        <f aca="false">(k_B+((ls_C*k_long+(1-ls_C)*k_spot)-k_B)*MIN(1,(Sens!F15256-base_fy)/k_ramp))</f>
        <v>1.07843258004497</v>
      </c>
      <c r="G15273" s="15" t="n">
        <f aca="false">(k_B+((ls_C*k_long+(1-ls_C)*k_spot)-k_B)*MIN(1,(Sens!G15256-base_fy)/k_ramp))</f>
        <v>0.984725833898784</v>
      </c>
      <c r="H15273" s="15" t="n">
        <f aca="false">(k_B+((ls_C*k_long+(1-ls_C)*k_spot)-k_B)*MIN(1,(Sens!H15256-base_fy)/k_ramp))</f>
        <v>0.891019087752599</v>
      </c>
      <c r="I15273" s="15" t="n">
        <f aca="false">(k_B+((ls_C*k_long+(1-ls_C)*k_spot)-k_B)*MIN(1,(Sens!I15256-base_fy)/k_ramp))</f>
        <v>0.891019087752599</v>
      </c>
      <c r="J15273" s="15" t="n">
        <f aca="false">(k_B+((ls_C*k_long+(1-ls_C)*k_spot)-k_B)*MIN(1,(Sens!J15256-base_fy)/k_ramp))</f>
        <v>0.891019087752599</v>
      </c>
      <c r="K15273" s="15" t="n">
        <f aca="false">(k_B+((ls_C*k_long+(1-ls_C)*k_spot)-k_B)*MIN(1,(Sens!K15256-base_fy)/k_ramp))</f>
        <v>0.891019087752599</v>
      </c>
      <c r="L15273" s="1" t="s">
        <v>977</v>
      </c>
    </row>
    <row r="15274" customFormat="false" ht="17.15" hidden="false" customHeight="false" outlineLevel="0" collapsed="false">
      <c r="A15274" s="1" t="s">
        <v>978</v>
      </c>
      <c r="B15274" s="0" t="s">
        <v>403</v>
      </c>
      <c r="C15274" s="15" t="n">
        <f aca="false">Sens!C15272*Sens!C15273*chip_f</f>
        <v>11.3973387156315</v>
      </c>
      <c r="D15274" s="15" t="n">
        <f aca="false">Sens!D15272*Sens!D15273*chip_f</f>
        <v>11.3973387156315</v>
      </c>
      <c r="E15274" s="15" t="n">
        <f aca="false">Sens!E15272*Sens!E15273*chip_f</f>
        <v>11.3973387156315</v>
      </c>
      <c r="F15274" s="15" t="n">
        <f aca="false">Sens!F15272*Sens!F15273*chip_f</f>
        <v>10.6925813608368</v>
      </c>
      <c r="G15274" s="15" t="n">
        <f aca="false">Sens!G15272*Sens!G15273*chip_f</f>
        <v>9.92634855915291</v>
      </c>
      <c r="H15274" s="15" t="n">
        <f aca="false">Sens!H15272*Sens!H15273*chip_f</f>
        <v>8.98175485340201</v>
      </c>
      <c r="I15274" s="15" t="n">
        <f aca="false">Sens!I15272*Sens!I15273*chip_f</f>
        <v>9.17604345649432</v>
      </c>
      <c r="J15274" s="15" t="n">
        <f aca="false">Sens!J15272*Sens!J15273*chip_f</f>
        <v>9.46945889789902</v>
      </c>
      <c r="K15274" s="15" t="n">
        <f aca="false">Sens!K15272*Sens!K15273*chip_f</f>
        <v>10.0523247071759</v>
      </c>
      <c r="L15274" s="1" t="s">
        <v>979</v>
      </c>
    </row>
    <row r="15275" customFormat="false" ht="17.15" hidden="false" customHeight="false" outlineLevel="0" collapsed="false">
      <c r="A15275" s="0" t="s">
        <v>980</v>
      </c>
      <c r="B15275" s="0" t="s">
        <v>98</v>
      </c>
      <c r="D15275" s="6" t="n">
        <f aca="false">(Sens!C15258+Sens!D15258)/2*Sens!D15274/1000</f>
        <v>12.9359794422418</v>
      </c>
      <c r="E15275" s="6" t="n">
        <f aca="false">(Sens!D15258+Sens!E15258)/2*Sens!E15274/1000</f>
        <v>27.8095064661409</v>
      </c>
      <c r="F15275" s="6" t="n">
        <f aca="false">(Sens!E15258+Sens!F15258)/2*Sens!F15274/1000</f>
        <v>38.2259783649916</v>
      </c>
      <c r="G15275" s="6" t="n">
        <f aca="false">(Sens!F15258+Sens!G15258)/2*Sens!G15274/1000</f>
        <v>41.1248620805705</v>
      </c>
      <c r="H15275" s="6" t="n">
        <f aca="false">(Sens!G15258+Sens!H15258)/2*Sens!H15274/1000</f>
        <v>39.3939767870212</v>
      </c>
      <c r="I15275" s="6" t="n">
        <f aca="false">(Sens!H15258+Sens!I15258)/2*Sens!I15274/1000</f>
        <v>40.2461266001841</v>
      </c>
      <c r="J15275" s="6" t="n">
        <f aca="false">(Sens!I15258+Sens!J15258)/2*Sens!J15274/1000</f>
        <v>41.5330467261851</v>
      </c>
      <c r="K15275" s="6" t="n">
        <f aca="false">(Sens!J15258+Sens!K15258)/2*Sens!K15274/1000</f>
        <v>44.0894961656736</v>
      </c>
      <c r="L15275" s="12" t="s">
        <v>981</v>
      </c>
    </row>
    <row r="15276" customFormat="false" ht="17.15" hidden="false" customHeight="false" outlineLevel="0" collapsed="false">
      <c r="A15276" s="1" t="s">
        <v>982</v>
      </c>
      <c r="B15276" s="0" t="s">
        <v>403</v>
      </c>
      <c r="C15276" s="15" t="n">
        <f aca="false">(Sens!C15266*tk_opex_h100+Sens!C15267*tk_opex_gb200+Sens!C15268*tk_opex_gb300+(Sens!C15270+Sens!C15269)*tk_opex_vr200)/Sens!C15258</f>
        <v>1.88636041306092</v>
      </c>
      <c r="D15276" s="15" t="n">
        <f aca="false">(Sens!D15266*tk_opex_h100+Sens!D15267*tk_opex_gb200+Sens!D15268*tk_opex_gb300+(Sens!D15270+Sens!D15269)*tk_opex_vr200)/Sens!D15258</f>
        <v>1.88636041306092</v>
      </c>
      <c r="E15276" s="15" t="n">
        <f aca="false">(Sens!E15266*tk_opex_h100+Sens!E15267*tk_opex_gb200+Sens!E15268*tk_opex_gb300+(Sens!E15270+Sens!E15269)*tk_opex_vr200)/Sens!E15258</f>
        <v>1.88636041306092</v>
      </c>
      <c r="F15276" s="15" t="n">
        <f aca="false">(Sens!F15266*tk_opex_h100+Sens!F15267*tk_opex_gb200+Sens!F15268*tk_opex_gb300+(Sens!F15270+Sens!F15269)*tk_opex_vr200)/Sens!F15258</f>
        <v>1.90979686208616</v>
      </c>
      <c r="G15276" s="15" t="n">
        <f aca="false">(Sens!G15266*tk_opex_h100+Sens!G15267*tk_opex_gb200+Sens!G15268*tk_opex_gb300+(Sens!G15270+Sens!G15269)*tk_opex_vr200)/Sens!G15258</f>
        <v>1.92769515165485</v>
      </c>
      <c r="H15276" s="15" t="n">
        <f aca="false">(Sens!H15266*tk_opex_h100+Sens!H15267*tk_opex_gb200+Sens!H15268*tk_opex_gb300+(Sens!H15270+Sens!H15269)*tk_opex_vr200)/Sens!H15258</f>
        <v>1.92769515165485</v>
      </c>
      <c r="I15276" s="15" t="n">
        <f aca="false">(Sens!I15266*tk_opex_h100+Sens!I15267*tk_opex_gb200+Sens!I15268*tk_opex_gb300+(Sens!I15270+Sens!I15269)*tk_opex_vr200)/Sens!I15258</f>
        <v>1.95083610383771</v>
      </c>
      <c r="J15276" s="15" t="n">
        <f aca="false">(Sens!J15266*tk_opex_h100+Sens!J15267*tk_opex_gb200+Sens!J15268*tk_opex_gb300+(Sens!J15270+Sens!J15269)*tk_opex_vr200)/Sens!J15258</f>
        <v>1.98578366427713</v>
      </c>
      <c r="K15276" s="15" t="n">
        <f aca="false">(Sens!K15266*tk_opex_h100+Sens!K15267*tk_opex_gb200+Sens!K15268*tk_opex_gb300+(Sens!K15270+Sens!K15269)*tk_opex_vr200)/Sens!K15258</f>
        <v>2.05520652082571</v>
      </c>
      <c r="L15276" s="12" t="s">
        <v>983</v>
      </c>
    </row>
    <row r="15277" customFormat="false" ht="17.15" hidden="false" customHeight="false" outlineLevel="0" collapsed="false">
      <c r="A15277" s="0" t="s">
        <v>984</v>
      </c>
      <c r="B15277" s="0" t="s">
        <v>98</v>
      </c>
      <c r="D15277" s="6" t="n">
        <f aca="false">(Sens!C15261+Sens!D15261)/2*Sens!D15276/1000</f>
        <v>2.70378325872065</v>
      </c>
      <c r="E15277" s="6" t="n">
        <f aca="false">(Sens!D15261+Sens!E15261)/2*Sens!E15276/1000</f>
        <v>6.17783035277451</v>
      </c>
      <c r="F15277" s="6" t="n">
        <f aca="false">(Sens!E15261+Sens!F15261)/2*Sens!F15276/1000</f>
        <v>9.30071071835958</v>
      </c>
      <c r="G15277" s="6" t="n">
        <f aca="false">(Sens!F15261+Sens!G15261)/2*Sens!G15276/1000</f>
        <v>10.8818391310916</v>
      </c>
      <c r="H15277" s="6" t="n">
        <f aca="false">(Sens!G15261+Sens!H15261)/2*Sens!H15276/1000</f>
        <v>11.6625556675118</v>
      </c>
      <c r="I15277" s="6" t="n">
        <f aca="false">(Sens!H15261+Sens!I15261)/2*Sens!I15276/1000</f>
        <v>11.8025584282181</v>
      </c>
      <c r="J15277" s="6" t="n">
        <f aca="false">(Sens!I15261+Sens!J15261)/2*Sens!J15276/1000</f>
        <v>12.0139911688766</v>
      </c>
      <c r="K15277" s="6" t="n">
        <f aca="false">(Sens!J15261+Sens!K15261)/2*Sens!K15276/1000</f>
        <v>12.4339994509955</v>
      </c>
    </row>
    <row r="15278" customFormat="false" ht="17.15" hidden="false" customHeight="false" outlineLevel="0" collapsed="false">
      <c r="A15278" s="0" t="s">
        <v>985</v>
      </c>
      <c r="B15278" s="0" t="s">
        <v>98</v>
      </c>
      <c r="D15278" s="6" t="n">
        <f aca="false">(Sens!C15259+Sens!D15259)/2*rent_mw/1000</f>
        <v>2.44475</v>
      </c>
      <c r="E15278" s="6" t="n">
        <f aca="false">(Sens!D15259+Sens!E15259)/2*rent_mw/1000</f>
        <v>4.22275</v>
      </c>
      <c r="F15278" s="6" t="n">
        <f aca="false">(Sens!E15259+Sens!F15259)/2*rent_mw/1000</f>
        <v>5.80517</v>
      </c>
      <c r="G15278" s="6" t="n">
        <f aca="false">(Sens!F15259+Sens!G15259)/2*rent_mw/1000</f>
        <v>6.72084</v>
      </c>
      <c r="H15278" s="6" t="n">
        <f aca="false">(Sens!G15259+Sens!H15259)/2*rent_mw/1000</f>
        <v>6.72084</v>
      </c>
      <c r="I15278" s="6" t="n">
        <f aca="false">(Sens!H15259+Sens!I15259)/2*rent_mw/1000</f>
        <v>6.72084</v>
      </c>
      <c r="J15278" s="6" t="n">
        <f aca="false">(Sens!I15259+Sens!J15259)/2*rent_mw/1000</f>
        <v>6.72084</v>
      </c>
      <c r="K15278" s="6" t="n">
        <f aca="false">(Sens!J15259+Sens!K15259)/2*rent_mw/1000</f>
        <v>6.72084</v>
      </c>
    </row>
    <row r="15279" customFormat="false" ht="17.15" hidden="false" customHeight="false" outlineLevel="0" collapsed="false">
      <c r="A15279" s="0" t="s">
        <v>986</v>
      </c>
      <c r="B15279" s="0" t="s">
        <v>98</v>
      </c>
      <c r="D15279" s="6" t="n">
        <f aca="false">(Sens!C15261+Sens!D15261)/2*(1-self_build)*fac_rent/1000</f>
        <v>0.853242375631075</v>
      </c>
      <c r="E15279" s="6" t="n">
        <f aca="false">(Sens!D15261+Sens!E15261)/2*(1-self_build)*fac_rent/1000</f>
        <v>1.94955961408728</v>
      </c>
      <c r="F15279" s="6" t="n">
        <f aca="false">(Sens!E15261+Sens!F15261)/2*(1-self_build)*fac_rent/1000</f>
        <v>2.89903979255117</v>
      </c>
      <c r="G15279" s="6" t="n">
        <f aca="false">(Sens!F15261+Sens!G15261)/2*(1-self_build)*fac_rent/1000</f>
        <v>3.36038596077029</v>
      </c>
      <c r="H15279" s="6" t="n">
        <f aca="false">(Sens!G15261+Sens!H15261)/2*(1-self_build)*fac_rent/1000</f>
        <v>3.60147653900094</v>
      </c>
      <c r="I15279" s="6" t="n">
        <f aca="false">(Sens!H15261+Sens!I15261)/2*(1-self_build)*fac_rent/1000</f>
        <v>3.60147653900094</v>
      </c>
      <c r="J15279" s="6" t="n">
        <f aca="false">(Sens!I15261+Sens!J15261)/2*(1-self_build)*fac_rent/1000</f>
        <v>3.60147653900094</v>
      </c>
      <c r="K15279" s="6" t="n">
        <f aca="false">(Sens!J15261+Sens!K15261)/2*(1-self_build)*fac_rent/1000</f>
        <v>3.60147653900094</v>
      </c>
      <c r="L15279" s="12" t="s">
        <v>987</v>
      </c>
    </row>
    <row r="15280" customFormat="false" ht="17.15" hidden="false" customHeight="false" outlineLevel="0" collapsed="false">
      <c r="A15280" s="1" t="s">
        <v>988</v>
      </c>
      <c r="B15280" s="0" t="s">
        <v>168</v>
      </c>
      <c r="D15280" s="7" t="n">
        <f aca="false">(Sens!C15260+Sens!D15260)/(Sens!C15261+Sens!D15261)</f>
        <v>0.6</v>
      </c>
      <c r="E15280" s="7" t="n">
        <f aca="false">(Sens!D15260+Sens!E15260)/(Sens!D15261+Sens!E15261)</f>
        <v>0.6</v>
      </c>
      <c r="F15280" s="7" t="n">
        <f aca="false">(Sens!E15260+Sens!F15260)/(Sens!E15261+Sens!F15261)</f>
        <v>0.6</v>
      </c>
      <c r="G15280" s="7" t="n">
        <f aca="false">(Sens!F15260+Sens!G15260)/(Sens!F15261+Sens!G15261)</f>
        <v>0.6</v>
      </c>
      <c r="H15280" s="7" t="n">
        <f aca="false">(Sens!G15260+Sens!H15260)/(Sens!G15261+Sens!H15261)</f>
        <v>0.6</v>
      </c>
      <c r="I15280" s="7" t="n">
        <f aca="false">(Sens!H15260+Sens!I15260)/(Sens!H15261+Sens!I15261)</f>
        <v>0.6</v>
      </c>
      <c r="J15280" s="7" t="n">
        <f aca="false">(Sens!I15260+Sens!J15260)/(Sens!I15261+Sens!J15261)</f>
        <v>0.6</v>
      </c>
      <c r="K15280" s="7" t="n">
        <f aca="false">(Sens!J15260+Sens!K15260)/(Sens!J15261+Sens!K15261)</f>
        <v>0.6</v>
      </c>
    </row>
    <row r="15281" customFormat="false" ht="17.15" hidden="false" customHeight="false" outlineLevel="0" collapsed="false">
      <c r="A15281" s="0" t="s">
        <v>989</v>
      </c>
      <c r="B15281" s="0" t="s">
        <v>98</v>
      </c>
      <c r="D15281" s="6" t="n">
        <f aca="false">Sens!D15275-Sens!D15280*(Sens!D15277+Sens!D15279)-Sens!D15278</f>
        <v>8.35701406163072</v>
      </c>
      <c r="E15281" s="6" t="n">
        <f aca="false">Sens!E15275-Sens!E15280*(Sens!E15277+Sens!E15279)-Sens!E15278</f>
        <v>18.7103224860238</v>
      </c>
      <c r="F15281" s="6" t="n">
        <f aca="false">Sens!F15275-Sens!F15280*(Sens!F15277+Sens!F15279)-Sens!F15278</f>
        <v>25.1009580584451</v>
      </c>
      <c r="G15281" s="6" t="n">
        <f aca="false">Sens!G15275-Sens!G15280*(Sens!G15277+Sens!G15279)-Sens!G15278</f>
        <v>25.8586870254534</v>
      </c>
      <c r="H15281" s="6" t="n">
        <f aca="false">Sens!H15275-Sens!H15280*(Sens!H15277+Sens!H15279)-Sens!H15278</f>
        <v>23.5147174631136</v>
      </c>
      <c r="I15281" s="6" t="n">
        <f aca="false">Sens!I15275-Sens!I15280*(Sens!I15277+Sens!I15279)-Sens!I15278</f>
        <v>24.2828656198526</v>
      </c>
      <c r="J15281" s="6" t="n">
        <f aca="false">Sens!J15275-Sens!J15280*(Sens!J15277+Sens!J15279)-Sens!J15278</f>
        <v>25.4429261014586</v>
      </c>
      <c r="K15281" s="6" t="n">
        <f aca="false">Sens!K15275-Sens!K15280*(Sens!K15277+Sens!K15279)-Sens!K15278</f>
        <v>27.7473705716757</v>
      </c>
    </row>
    <row r="15282" customFormat="false" ht="17.15" hidden="false" customHeight="false" outlineLevel="0" collapsed="false">
      <c r="A15282" s="1" t="s">
        <v>990</v>
      </c>
      <c r="B15282" s="0" t="s">
        <v>98</v>
      </c>
      <c r="D15282" s="6" t="n">
        <f aca="false">(1-Sens!D15280)*(Sens!D15277+Sens!D15279)</f>
        <v>1.42281025374069</v>
      </c>
      <c r="E15282" s="6" t="n">
        <f aca="false">(1-Sens!E15280)*(Sens!E15277+Sens!E15279)</f>
        <v>3.25095598674472</v>
      </c>
      <c r="F15282" s="6" t="n">
        <f aca="false">(1-Sens!F15280)*(Sens!F15277+Sens!F15279)</f>
        <v>4.8799002043643</v>
      </c>
      <c r="G15282" s="6" t="n">
        <f aca="false">(1-Sens!G15280)*(Sens!G15277+Sens!G15279)</f>
        <v>5.69689003674476</v>
      </c>
      <c r="H15282" s="6" t="n">
        <f aca="false">(1-Sens!H15280)*(Sens!H15277+Sens!H15279)</f>
        <v>6.1056128826051</v>
      </c>
      <c r="I15282" s="6" t="n">
        <f aca="false">(1-Sens!I15280)*(Sens!I15277+Sens!I15279)</f>
        <v>6.16161398688763</v>
      </c>
      <c r="J15282" s="6" t="n">
        <f aca="false">(1-Sens!J15280)*(Sens!J15277+Sens!J15279)</f>
        <v>6.24618708315103</v>
      </c>
      <c r="K15282" s="6" t="n">
        <f aca="false">(1-Sens!K15280)*(Sens!K15277+Sens!K15279)</f>
        <v>6.41419039599859</v>
      </c>
    </row>
    <row r="15283" customFormat="false" ht="17.15" hidden="false" customHeight="false" outlineLevel="0" collapsed="false">
      <c r="A15283" s="1" t="s">
        <v>991</v>
      </c>
      <c r="B15283" s="0" t="s">
        <v>417</v>
      </c>
      <c r="C15283" s="8" t="n">
        <f aca="false">cxit_open</f>
        <v>27.5918995</v>
      </c>
      <c r="D15283" s="8" t="n">
        <f aca="false">cxit_open</f>
        <v>27.5918995</v>
      </c>
      <c r="E15283" s="8" t="n">
        <f aca="false">cxit_open</f>
        <v>27.5918995</v>
      </c>
      <c r="F15283" s="8" t="n">
        <f aca="false">((a_g3_27-nonnv*a_mai)*tk_cxit_gb300+nonnv*a_mai*nv_hold_mai*tk_cxit_vr200+(1-a_g3_27)*tk_cxit_vr200)</f>
        <v>32.4975576</v>
      </c>
      <c r="G15283" s="8" t="n">
        <f aca="false">((a_g3_28-nonnv*a_mai)*tk_cxit_gb300+nonnv*a_mai*nv_hold_mai*tk_cxit_vr200+(1-a_g3_28)*tk_cxit_vr200)</f>
        <v>34.6372088</v>
      </c>
      <c r="H15283" s="8" t="n">
        <f aca="false">((a_g3_29-nonnv*a_mai)*tk_cxit_gb300+nonnv*a_mai*nv_hold_mai*tk_cxit_vr200+(1-a_g3_29)*tk_cxit_vr200)</f>
        <v>35.7070344</v>
      </c>
      <c r="I15283" s="8" t="n">
        <f aca="false">((a_g3_29-nonnv*a_mai)*tk_cxit_gb300+nonnv*a_mai*nv_hold_mai*tk_cxit_vr200+(1-a_g3_29)*tk_cxit_vr200)</f>
        <v>35.7070344</v>
      </c>
      <c r="J15283" s="8" t="n">
        <f aca="false">((a_g3_29-nonnv*a_mai)*tk_cxit_gb300+nonnv*a_mai*nv_hold_mai*tk_cxit_vr200+(1-a_g3_29)*tk_cxit_vr200)</f>
        <v>35.7070344</v>
      </c>
      <c r="K15283" s="8" t="n">
        <f aca="false">((a_g3_29-nonnv*a_mai)*tk_cxit_gb300+nonnv*a_mai*nv_hold_mai*tk_cxit_vr200+(1-a_g3_29)*tk_cxit_vr200)</f>
        <v>35.7070344</v>
      </c>
      <c r="L15283" s="12" t="s">
        <v>992</v>
      </c>
    </row>
    <row r="15284" customFormat="false" ht="17.15" hidden="false" customHeight="false" outlineLevel="0" collapsed="false">
      <c r="A15284" s="0" t="s">
        <v>993</v>
      </c>
      <c r="B15284" s="0" t="s">
        <v>459</v>
      </c>
      <c r="F15284" s="30" t="n">
        <f aca="false">Sens!C15263*IF(Sens!F15256-Sens!C15256=life_it,1,0)+Sens!D15263*IF(Sens!F15256-Sens!D15256=life_it,1,0)+Sens!E15263*IF(Sens!F15256-Sens!E15256=life_it,1,0)</f>
        <v>0</v>
      </c>
      <c r="G15284" s="30" t="n">
        <f aca="false">Sens!C15263*IF(Sens!G15256-Sens!C15256=life_it,1,0)+Sens!D15263*IF(Sens!G15256-Sens!D15256=life_it,1,0)+Sens!E15263*IF(Sens!G15256-Sens!E15256=life_it,1,0)+Sens!F15263*IF(Sens!G15256-Sens!F15256=life_it,1,0)</f>
        <v>0</v>
      </c>
      <c r="H15284" s="30" t="n">
        <f aca="false">Sens!C15263*IF(Sens!H15256-Sens!C15256=life_it,1,0)+Sens!D15263*IF(Sens!H15256-Sens!D15256=life_it,1,0)+Sens!E15263*IF(Sens!H15256-Sens!E15256=life_it,1,0)+Sens!F15263*IF(Sens!H15256-Sens!F15256=life_it,1,0)+Sens!G15263*IF(Sens!H15256-Sens!G15256=life_it,1,0)</f>
        <v>0</v>
      </c>
      <c r="I15284" s="30" t="n">
        <f aca="false">Sens!C15263*IF(Sens!I15256-Sens!C15256=life_it,1,0)+Sens!D15263*IF(Sens!I15256-Sens!D15256=life_it,1,0)+Sens!E15263*IF(Sens!I15256-Sens!E15256=life_it,1,0)+Sens!F15263*IF(Sens!I15256-Sens!F15256=life_it,1,0)+Sens!G15263*IF(Sens!I15256-Sens!G15256=life_it,1,0)+Sens!H15263*IF(Sens!I15256-Sens!H15256=life_it,1,0)</f>
        <v>816.666666666667</v>
      </c>
      <c r="J15284" s="30" t="n">
        <f aca="false">Sens!C15263*IF(Sens!J15256-Sens!C15256=life_it,1,0)+Sens!D15263*IF(Sens!J15256-Sens!D15256=life_it,1,0)+Sens!E15263*IF(Sens!J15256-Sens!E15256=life_it,1,0)+Sens!F15263*IF(Sens!J15256-Sens!F15256=life_it,1,0)+Sens!G15263*IF(Sens!J15256-Sens!G15256=life_it,1,0)+Sens!H15263*IF(Sens!J15256-Sens!H15256=life_it,1,0)+Sens!I15263*IF(Sens!J15256-Sens!I15256=life_it,1,0)</f>
        <v>1233.33333333333</v>
      </c>
      <c r="K15284" s="30" t="n">
        <f aca="false">Sens!C15263*IF(Sens!K15256-Sens!C15256=life_it,1,0)+Sens!D15263*IF(Sens!K15256-Sens!D15256=life_it,1,0)+Sens!E15263*IF(Sens!K15256-Sens!E15256=life_it,1,0)+Sens!F15263*IF(Sens!K15256-Sens!F15256=life_it,1,0)+Sens!G15263*IF(Sens!K15256-Sens!G15256=life_it,1,0)+Sens!H15263*IF(Sens!K15256-Sens!H15256=life_it,1,0)+Sens!I15263*IF(Sens!K15256-Sens!I15256=life_it,1,0)+Sens!J15263*IF(Sens!K15256-Sens!J15256=life_it,1,0)</f>
        <v>2450</v>
      </c>
      <c r="L15284" s="1" t="s">
        <v>994</v>
      </c>
    </row>
    <row r="15285" customFormat="false" ht="17.15" hidden="false" customHeight="false" outlineLevel="0" collapsed="false">
      <c r="A15285" s="0" t="s">
        <v>995</v>
      </c>
      <c r="B15285" s="0" t="s">
        <v>98</v>
      </c>
      <c r="C15285" s="6" t="n">
        <f aca="false">Sens!C15263*Sens!C15283/1000</f>
        <v>22.5333845916667</v>
      </c>
      <c r="D15285" s="6" t="n">
        <f aca="false">Sens!D15263*Sens!D15283/1000</f>
        <v>34.0300093833333</v>
      </c>
      <c r="E15285" s="6" t="n">
        <f aca="false">Sens!E15263*Sens!E15283/1000</f>
        <v>67.600153775</v>
      </c>
      <c r="F15285" s="6" t="n">
        <f aca="false">(Sens!F15263+Sens!F15284)*Sens!F15283/1000</f>
        <v>24.048192624</v>
      </c>
      <c r="G15285" s="6" t="n">
        <f aca="false">(Sens!G15263+Sens!G15284)*Sens!G15283/1000</f>
        <v>28.056139128</v>
      </c>
      <c r="H15285" s="6" t="n">
        <f aca="false">(Sens!H15263+Sens!H15284)*Sens!H15283/1000</f>
        <v>0</v>
      </c>
      <c r="I15285" s="6" t="n">
        <f aca="false">(Sens!I15263+Sens!I15284)*Sens!I15283/1000</f>
        <v>29.16074476</v>
      </c>
      <c r="J15285" s="6" t="n">
        <f aca="false">(Sens!J15263+Sens!J15284)*Sens!J15283/1000</f>
        <v>44.03867576</v>
      </c>
      <c r="K15285" s="6" t="n">
        <f aca="false">(Sens!K15263+Sens!K15284)*Sens!K15283/1000</f>
        <v>87.48223428</v>
      </c>
    </row>
    <row r="15286" customFormat="false" ht="17.15" hidden="false" customHeight="false" outlineLevel="0" collapsed="false">
      <c r="A15286" s="0" t="s">
        <v>996</v>
      </c>
      <c r="B15286" s="0" t="s">
        <v>98</v>
      </c>
      <c r="C15286" s="6" t="n">
        <f aca="false">Sens!C15263*self_build*tk_cxfac/1000</f>
        <v>6.2083</v>
      </c>
      <c r="D15286" s="6" t="n">
        <f aca="false">Sens!D15263*self_build*tk_cxfac/1000</f>
        <v>9.3758</v>
      </c>
      <c r="E15286" s="6" t="n">
        <f aca="false">Sens!E15263*self_build*tk_cxfac/1000</f>
        <v>18.6249</v>
      </c>
      <c r="F15286" s="6" t="n">
        <f aca="false">Sens!F15263*self_build*tk_cxfac/1000</f>
        <v>5.62548</v>
      </c>
      <c r="G15286" s="6" t="n">
        <f aca="false">Sens!G15263*self_build*tk_cxfac/1000</f>
        <v>6.15762</v>
      </c>
      <c r="H15286" s="6" t="n">
        <f aca="false">Sens!H15263*self_build*tk_cxfac/1000</f>
        <v>0</v>
      </c>
      <c r="I15286" s="6" t="n">
        <f aca="false">Sens!I15263*self_build*tk_cxfac/1000</f>
        <v>0</v>
      </c>
      <c r="J15286" s="6" t="n">
        <f aca="false">Sens!J15263*self_build*tk_cxfac/1000</f>
        <v>0</v>
      </c>
      <c r="K15286" s="6" t="n">
        <f aca="false">Sens!K15263*self_build*tk_cxfac/1000</f>
        <v>0</v>
      </c>
    </row>
    <row r="15287" customFormat="false" ht="17.15" hidden="false" customHeight="false" outlineLevel="0" collapsed="false">
      <c r="A15287" s="0" t="s">
        <v>997</v>
      </c>
      <c r="B15287" s="0" t="s">
        <v>98</v>
      </c>
      <c r="F15287" s="15" t="n">
        <f aca="false">capex_floor27-Sens!F15285-Sens!F15286-Sens!F15383</f>
        <v>138.140066594294</v>
      </c>
      <c r="L15287" s="12" t="s">
        <v>998</v>
      </c>
    </row>
    <row r="15288" customFormat="false" ht="17.15" hidden="false" customHeight="false" outlineLevel="0" collapsed="false">
      <c r="A15288" s="0" t="s">
        <v>999</v>
      </c>
      <c r="B15288" s="0" t="s">
        <v>98</v>
      </c>
      <c r="F15288" s="6" t="n">
        <f aca="false">MAX(0,Sens!F15287)</f>
        <v>138.140066594294</v>
      </c>
    </row>
    <row r="15289" customFormat="false" ht="17.15" hidden="false" customHeight="false" outlineLevel="0" collapsed="false">
      <c r="A15289" s="0" t="s">
        <v>1000</v>
      </c>
      <c r="B15289" s="0" t="s">
        <v>98</v>
      </c>
      <c r="C15289" s="6" t="n">
        <f aca="false">Sens!C15285</f>
        <v>22.5333845916667</v>
      </c>
      <c r="D15289" s="6" t="n">
        <f aca="false">Sens!D15285</f>
        <v>34.0300093833333</v>
      </c>
      <c r="E15289" s="6" t="n">
        <f aca="false">Sens!E15285</f>
        <v>67.600153775</v>
      </c>
      <c r="F15289" s="6" t="n">
        <f aca="false">Sens!F15285</f>
        <v>24.048192624</v>
      </c>
      <c r="G15289" s="6" t="n">
        <f aca="false">Sens!G15285</f>
        <v>28.056139128</v>
      </c>
      <c r="H15289" s="6" t="n">
        <f aca="false">Sens!H15285</f>
        <v>0</v>
      </c>
      <c r="I15289" s="6" t="n">
        <f aca="false">Sens!I15285</f>
        <v>29.16074476</v>
      </c>
      <c r="J15289" s="6" t="n">
        <f aca="false">Sens!J15285</f>
        <v>44.03867576</v>
      </c>
      <c r="K15289" s="6" t="n">
        <f aca="false">Sens!K15285</f>
        <v>87.48223428</v>
      </c>
    </row>
    <row r="15290" customFormat="false" ht="17.15" hidden="false" customHeight="false" outlineLevel="0" collapsed="false">
      <c r="A15290" s="0" t="s">
        <v>1001</v>
      </c>
      <c r="B15290" s="0" t="s">
        <v>98</v>
      </c>
      <c r="C15290" s="6" t="n">
        <f aca="false">Sens!C15289+Sens!C15286</f>
        <v>28.7416845916667</v>
      </c>
      <c r="D15290" s="6" t="n">
        <f aca="false">Sens!D15289+Sens!D15286</f>
        <v>43.4058093833333</v>
      </c>
      <c r="E15290" s="6" t="n">
        <f aca="false">Sens!E15289+Sens!E15286</f>
        <v>86.225053775</v>
      </c>
      <c r="F15290" s="6" t="n">
        <f aca="false">Sens!F15289+Sens!F15286</f>
        <v>29.673672624</v>
      </c>
      <c r="G15290" s="6" t="n">
        <f aca="false">Sens!G15289+Sens!G15286</f>
        <v>34.213759128</v>
      </c>
      <c r="H15290" s="6" t="n">
        <f aca="false">Sens!H15289+Sens!H15286</f>
        <v>0</v>
      </c>
      <c r="I15290" s="6" t="n">
        <f aca="false">Sens!I15289+Sens!I15286</f>
        <v>29.16074476</v>
      </c>
      <c r="J15290" s="6" t="n">
        <f aca="false">Sens!J15289+Sens!J15286</f>
        <v>44.03867576</v>
      </c>
      <c r="K15290" s="6" t="n">
        <f aca="false">Sens!K15289+Sens!K15286</f>
        <v>87.48223428</v>
      </c>
      <c r="L15290" s="12" t="s">
        <v>1002</v>
      </c>
    </row>
    <row r="15291" customFormat="false" ht="17.15" hidden="false" customHeight="false" outlineLevel="0" collapsed="false">
      <c r="A15291" s="0" t="s">
        <v>1003</v>
      </c>
      <c r="B15291" s="0" t="s">
        <v>98</v>
      </c>
      <c r="E15291" s="6" t="n">
        <f aca="false">(Sens!C15289*IF(2&lt;life_it,1,IF(2=life_it,0.5,0))+Sens!D15289*IF(1&lt;life_it,1,IF(1=life_it,0.5,0))+Sens!E15289*0.5)/life_it</f>
        <v>15.0605784770833</v>
      </c>
      <c r="F15291" s="6" t="n">
        <f aca="false">(Sens!C15289*IF(3&lt;life_it,1,IF(3=life_it,0.5,0))+Sens!D15289*IF(2&lt;life_it,1,IF(2=life_it,0.5,0))+Sens!E15289*IF(1&lt;life_it,1,IF(1=life_it,0.5,0))+Sens!F15289*0.5)/life_it</f>
        <v>22.697940677</v>
      </c>
      <c r="G15291" s="6" t="n">
        <f aca="false">(Sens!C15289*IF(4&lt;life_it,1,IF(4=life_it,0.5,0))+Sens!D15289*IF(3&lt;life_it,1,IF(3=life_it,0.5,0))+Sens!E15289*IF(2&lt;life_it,1,IF(2=life_it,0.5,0))+Sens!F15289*IF(1&lt;life_it,1,IF(1=life_it,0.5,0))+Sens!G15289*0.5)/life_it</f>
        <v>27.039968323</v>
      </c>
      <c r="H15291" s="6" t="n">
        <f aca="false">(Sens!C15289*IF(5&lt;life_it,1,IF(5=life_it,0.5,0))+Sens!D15289*IF(4&lt;life_it,1,IF(4=life_it,0.5,0))+Sens!E15289*IF(3&lt;life_it,1,IF(3=life_it,0.5,0))+Sens!F15289*IF(2&lt;life_it,1,IF(2=life_it,0.5,0))+Sens!G15289*IF(1&lt;life_it,1,IF(1=life_it,0.5,0))+Sens!H15289*0.5)/life_it</f>
        <v>29.377979917</v>
      </c>
      <c r="I15291" s="6" t="n">
        <f aca="false">(Sens!C15289*IF(6&lt;life_it,1,IF(6=life_it,0.5,0))+Sens!D15289*IF(5&lt;life_it,1,IF(5=life_it,0.5,0))+Sens!E15289*IF(4&lt;life_it,1,IF(4=life_it,0.5,0))+Sens!F15289*IF(3&lt;life_it,1,IF(3=life_it,0.5,0))+Sens!G15289*IF(2&lt;life_it,1,IF(2=life_it,0.5,0))+Sens!H15289*IF(1&lt;life_it,1,IF(1=life_it,0.5,0))+Sens!I15289*0.5)/life_it</f>
        <v>29.9302599310278</v>
      </c>
      <c r="J15291" s="6" t="n">
        <f aca="false">(Sens!C15289*IF(7&lt;life_it,1,IF(7=life_it,0.5,0))+Sens!D15289*IF(6&lt;life_it,1,IF(6=life_it,0.5,0))+Sens!E15289*IF(5&lt;life_it,1,IF(5=life_it,0.5,0))+Sens!F15289*IF(4&lt;life_it,1,IF(4=life_it,0.5,0))+Sens!G15289*IF(3&lt;life_it,1,IF(3=life_it,0.5,0))+Sens!H15289*IF(2&lt;life_it,1,IF(2=life_it,0.5,0))+Sens!I15289*IF(1&lt;life_it,1,IF(1=life_it,0.5,0))+Sens!J15289*0.5)/life_it</f>
        <v>31.3165954764444</v>
      </c>
      <c r="K15291" s="6" t="n">
        <f aca="false">(Sens!C15289*IF(8&lt;life_it,1,IF(8=life_it,0.5,0))+Sens!D15289*IF(7&lt;life_it,1,IF(7=life_it,0.5,0))+Sens!E15289*IF(6&lt;life_it,1,IF(6=life_it,0.5,0))+Sens!F15289*IF(5&lt;life_it,1,IF(5=life_it,0.5,0))+Sens!G15289*IF(4&lt;life_it,1,IF(4=life_it,0.5,0))+Sens!H15289*IF(3&lt;life_it,1,IF(3=life_it,0.5,0))+Sens!I15289*IF(2&lt;life_it,1,IF(2=life_it,0.5,0))+Sens!J15289*IF(1&lt;life_it,1,IF(1=life_it,0.5,0))+Sens!K15289*0.5)/life_it</f>
        <v>33.8074910499167</v>
      </c>
    </row>
    <row r="15292" customFormat="false" ht="17.15" hidden="false" customHeight="false" outlineLevel="0" collapsed="false">
      <c r="A15292" s="0" t="s">
        <v>1004</v>
      </c>
      <c r="B15292" s="0" t="s">
        <v>98</v>
      </c>
      <c r="E15292" s="6" t="n">
        <f aca="false">(Sens!C15286*IF(2&lt;life_fac,1,IF(2=life_fac,0.5,0))+Sens!D15286*IF(1&lt;life_fac,1,IF(1=life_fac,0.5,0))+Sens!E15286*0.5)/life_fac</f>
        <v>1.2448275</v>
      </c>
      <c r="F15292" s="6" t="n">
        <f aca="false">(Sens!C15286*IF(3&lt;life_fac,1,IF(3=life_fac,0.5,0))+Sens!D15286*IF(2&lt;life_fac,1,IF(2=life_fac,0.5,0))+Sens!E15286*IF(1&lt;life_fac,1,IF(1=life_fac,0.5,0))+Sens!F15286*0.5)/life_fac</f>
        <v>1.851087</v>
      </c>
      <c r="G15292" s="6" t="n">
        <f aca="false">(Sens!C15286*IF(4&lt;life_fac,1,IF(4=life_fac,0.5,0))+Sens!D15286*IF(3&lt;life_fac,1,IF(3=life_fac,0.5,0))+Sens!E15286*IF(2&lt;life_fac,1,IF(2=life_fac,0.5,0))+Sens!F15286*IF(1&lt;life_fac,1,IF(1=life_fac,0.5,0))+Sens!G15286*0.5)/life_fac</f>
        <v>2.1456645</v>
      </c>
      <c r="H15292" s="6" t="n">
        <f aca="false">(Sens!C15286*IF(5&lt;life_fac,1,IF(5=life_fac,0.5,0))+Sens!D15286*IF(4&lt;life_fac,1,IF(4=life_fac,0.5,0))+Sens!E15286*IF(3&lt;life_fac,1,IF(3=life_fac,0.5,0))+Sens!F15286*IF(2&lt;life_fac,1,IF(2=life_fac,0.5,0))+Sens!G15286*IF(1&lt;life_fac,1,IF(1=life_fac,0.5,0))+Sens!H15286*0.5)/life_fac</f>
        <v>2.299605</v>
      </c>
      <c r="I15292" s="6" t="n">
        <f aca="false">(Sens!C15286*IF(6&lt;life_fac,1,IF(6=life_fac,0.5,0))+Sens!D15286*IF(5&lt;life_fac,1,IF(5=life_fac,0.5,0))+Sens!E15286*IF(4&lt;life_fac,1,IF(4=life_fac,0.5,0))+Sens!F15286*IF(3&lt;life_fac,1,IF(3=life_fac,0.5,0))+Sens!G15286*IF(2&lt;life_fac,1,IF(2=life_fac,0.5,0))+Sens!H15286*IF(1&lt;life_fac,1,IF(1=life_fac,0.5,0))+Sens!I15286*0.5)/life_fac</f>
        <v>2.299605</v>
      </c>
      <c r="J15292" s="6" t="n">
        <f aca="false">(Sens!C15286*IF(7&lt;life_fac,1,IF(7=life_fac,0.5,0))+Sens!D15286*IF(6&lt;life_fac,1,IF(6=life_fac,0.5,0))+Sens!E15286*IF(5&lt;life_fac,1,IF(5=life_fac,0.5,0))+Sens!F15286*IF(4&lt;life_fac,1,IF(4=life_fac,0.5,0))+Sens!G15286*IF(3&lt;life_fac,1,IF(3=life_fac,0.5,0))+Sens!H15286*IF(2&lt;life_fac,1,IF(2=life_fac,0.5,0))+Sens!I15286*IF(1&lt;life_fac,1,IF(1=life_fac,0.5,0))+Sens!J15286*0.5)/life_fac</f>
        <v>2.299605</v>
      </c>
      <c r="K15292" s="6" t="n">
        <f aca="false">(Sens!C15286*IF(8&lt;life_fac,1,IF(8=life_fac,0.5,0))+Sens!D15286*IF(7&lt;life_fac,1,IF(7=life_fac,0.5,0))+Sens!E15286*IF(6&lt;life_fac,1,IF(6=life_fac,0.5,0))+Sens!F15286*IF(5&lt;life_fac,1,IF(5=life_fac,0.5,0))+Sens!G15286*IF(4&lt;life_fac,1,IF(4=life_fac,0.5,0))+Sens!H15286*IF(3&lt;life_fac,1,IF(3=life_fac,0.5,0))+Sens!I15286*IF(2&lt;life_fac,1,IF(2=life_fac,0.5,0))+Sens!J15286*IF(1&lt;life_fac,1,IF(1=life_fac,0.5,0))+Sens!K15286*0.5)/life_fac</f>
        <v>2.299605</v>
      </c>
    </row>
    <row r="15293" customFormat="false" ht="17.15" hidden="false" customHeight="false" outlineLevel="0" collapsed="false">
      <c r="A15293" s="0" t="s">
        <v>1005</v>
      </c>
      <c r="B15293" s="0" t="s">
        <v>98</v>
      </c>
      <c r="E15293" s="6" t="n">
        <f aca="false">Sens!E15291+Sens!E15292</f>
        <v>16.3054059770833</v>
      </c>
      <c r="F15293" s="6" t="n">
        <f aca="false">Sens!F15291+Sens!F15292</f>
        <v>24.549027677</v>
      </c>
      <c r="G15293" s="6" t="n">
        <f aca="false">Sens!G15291+Sens!G15292</f>
        <v>29.185632823</v>
      </c>
      <c r="H15293" s="6" t="n">
        <f aca="false">Sens!H15291+Sens!H15292</f>
        <v>31.677584917</v>
      </c>
      <c r="I15293" s="6" t="n">
        <f aca="false">Sens!I15291+Sens!I15292</f>
        <v>32.2298649310278</v>
      </c>
      <c r="J15293" s="6" t="n">
        <f aca="false">Sens!J15291+Sens!J15292</f>
        <v>33.6162004764444</v>
      </c>
      <c r="K15293" s="6" t="n">
        <f aca="false">Sens!K15291+Sens!K15292</f>
        <v>36.1070960499167</v>
      </c>
    </row>
    <row r="15294" customFormat="false" ht="17.15" hidden="false" customHeight="false" outlineLevel="0" collapsed="false">
      <c r="A15294" s="0" t="s">
        <v>1006</v>
      </c>
      <c r="B15294" s="0" t="s">
        <v>98</v>
      </c>
      <c r="E15294" s="6" t="n">
        <f aca="false">Sens!E15281-Sens!E15280*Sens!E15293</f>
        <v>8.92707889977379</v>
      </c>
      <c r="F15294" s="6" t="n">
        <f aca="false">Sens!F15281-Sens!F15280*Sens!F15293</f>
        <v>10.3715414522451</v>
      </c>
      <c r="G15294" s="6" t="n">
        <f aca="false">Sens!G15281-Sens!G15280*Sens!G15293</f>
        <v>8.34730733165337</v>
      </c>
      <c r="H15294" s="6" t="n">
        <f aca="false">Sens!H15281-Sens!H15280*Sens!H15293</f>
        <v>4.50816651291358</v>
      </c>
      <c r="I15294" s="6" t="n">
        <f aca="false">Sens!I15281-Sens!I15280*Sens!I15293</f>
        <v>4.94494666123597</v>
      </c>
      <c r="J15294" s="6" t="n">
        <f aca="false">Sens!J15281-Sens!J15280*Sens!J15293</f>
        <v>5.27320581559189</v>
      </c>
      <c r="K15294" s="6" t="n">
        <f aca="false">Sens!K15281-Sens!K15280*Sens!K15293</f>
        <v>6.08311294172574</v>
      </c>
    </row>
    <row r="15295" customFormat="false" ht="17.15" hidden="false" customHeight="false" outlineLevel="0" collapsed="false">
      <c r="A15295" s="3" t="s">
        <v>1988</v>
      </c>
    </row>
    <row r="15296" customFormat="false" ht="15" hidden="false" customHeight="false" outlineLevel="0" collapsed="false">
      <c r="A15296" s="4" t="s">
        <v>43</v>
      </c>
      <c r="B15296" s="4" t="s">
        <v>65</v>
      </c>
      <c r="C15296" s="23" t="s">
        <v>942</v>
      </c>
      <c r="D15296" s="23" t="s">
        <v>943</v>
      </c>
      <c r="E15296" s="23" t="s">
        <v>944</v>
      </c>
      <c r="F15296" s="23" t="s">
        <v>945</v>
      </c>
      <c r="G15296" s="23" t="s">
        <v>946</v>
      </c>
      <c r="H15296" s="23" t="s">
        <v>947</v>
      </c>
      <c r="I15296" s="23" t="s">
        <v>948</v>
      </c>
      <c r="J15296" s="23" t="s">
        <v>949</v>
      </c>
      <c r="K15296" s="23" t="s">
        <v>950</v>
      </c>
      <c r="L15296" s="4" t="s">
        <v>47</v>
      </c>
    </row>
    <row r="15297" customFormat="false" ht="17.15" hidden="false" customHeight="false" outlineLevel="0" collapsed="false">
      <c r="A15297" s="0" t="s">
        <v>1025</v>
      </c>
      <c r="B15297" s="0" t="s">
        <v>98</v>
      </c>
      <c r="D15297" s="6" t="n">
        <f aca="false">Sens!D15275</f>
        <v>12.9359794422418</v>
      </c>
      <c r="E15297" s="6" t="n">
        <f aca="false">Sens!E15275</f>
        <v>27.8095064661409</v>
      </c>
      <c r="F15297" s="6" t="n">
        <f aca="false">Sens!F15275</f>
        <v>38.2259783649916</v>
      </c>
      <c r="G15297" s="6" t="n">
        <f aca="false">Sens!G15275</f>
        <v>41.1248620805705</v>
      </c>
      <c r="H15297" s="6" t="n">
        <f aca="false">Sens!H15275</f>
        <v>39.3939767870212</v>
      </c>
      <c r="I15297" s="6" t="n">
        <f aca="false">Sens!I15275</f>
        <v>40.2461266001841</v>
      </c>
      <c r="J15297" s="6" t="n">
        <f aca="false">Sens!J15275</f>
        <v>41.5330467261851</v>
      </c>
      <c r="K15297" s="6" t="n">
        <f aca="false">Sens!K15275</f>
        <v>44.0894961656736</v>
      </c>
    </row>
    <row r="15298" customFormat="false" ht="17.15" hidden="false" customHeight="false" outlineLevel="0" collapsed="false">
      <c r="A15298" s="0" t="s">
        <v>1026</v>
      </c>
      <c r="B15298" s="0" t="s">
        <v>98</v>
      </c>
      <c r="D15298" s="6" t="n">
        <f aca="false">Q!L6-Sens!D15297</f>
        <v>59.6740205577583</v>
      </c>
      <c r="E15298" s="6" t="n">
        <f aca="false">Q!M6-Sens!E15297</f>
        <v>74.1284935338591</v>
      </c>
      <c r="F15298" s="6" t="n">
        <f aca="false">Q!$I$6+(Sens!F15297+Sens!E15298*(1+Sens!F15299))*(1-Q!$E$6/Q!M6)-Sens!F15297</f>
        <v>95.0709626604845</v>
      </c>
      <c r="G15298" s="6" t="n">
        <f aca="false">Sens!F15298*(1+Sens!G15299)</f>
        <v>112.958493491404</v>
      </c>
      <c r="H15298" s="6" t="n">
        <f aca="false">Sens!G15298*(1+Sens!H15299)</f>
        <v>131.157455688971</v>
      </c>
      <c r="I15298" s="6" t="n">
        <f aca="false">Sens!H15298*(1+Sens!I15299)</f>
        <v>148.74234272792</v>
      </c>
      <c r="J15298" s="6" t="n">
        <f aca="false">Sens!I15298*(1+Sens!J15299)</f>
        <v>164.663323547782</v>
      </c>
      <c r="K15298" s="6" t="n">
        <f aca="false">Sens!J15298*(1+Sens!K15299)</f>
        <v>177.836389431605</v>
      </c>
      <c r="L15298" s="12" t="s">
        <v>1027</v>
      </c>
    </row>
    <row r="15299" customFormat="false" ht="15" hidden="false" customHeight="false" outlineLevel="0" collapsed="false">
      <c r="A15299" s="1" t="s">
        <v>1028</v>
      </c>
      <c r="B15299" s="0" t="s">
        <v>168</v>
      </c>
      <c r="E15299" s="7" t="n">
        <f aca="false">Sens!E15298/Sens!D15298-1</f>
        <v>0.242223883039864</v>
      </c>
      <c r="F15299" s="7" t="n">
        <f aca="false">Sens!$E$15299+(glt_azo-Sens!$E$15299)*MIN(1,(Sens!F15256-base_fy)/n_conv)</f>
        <v>0.215186569199887</v>
      </c>
      <c r="G15299" s="7" t="n">
        <f aca="false">Sens!$E$15299+(glt_azo-Sens!$E$15299)*MIN(1,(Sens!G15256-base_fy)/n_conv)</f>
        <v>0.18814925535991</v>
      </c>
      <c r="H15299" s="7" t="n">
        <f aca="false">Sens!$E$15299+(glt_azo-Sens!$E$15299)*MIN(1,(Sens!H15256-base_fy)/n_conv)</f>
        <v>0.161111941519932</v>
      </c>
      <c r="I15299" s="7" t="n">
        <f aca="false">Sens!$E$15299+(glt_azo-Sens!$E$15299)*MIN(1,(Sens!I15256-base_fy)/n_conv)</f>
        <v>0.134074627679955</v>
      </c>
      <c r="J15299" s="7" t="n">
        <f aca="false">Sens!$E$15299+(glt_azo-Sens!$E$15299)*MIN(1,(Sens!J15256-base_fy)/n_conv)</f>
        <v>0.107037313839977</v>
      </c>
      <c r="K15299" s="7" t="n">
        <f aca="false">Sens!$E$15299+(glt_azo-Sens!$E$15299)*MIN(1,(Sens!K15256-base_fy)/n_conv)</f>
        <v>0.08</v>
      </c>
    </row>
    <row r="15300" customFormat="false" ht="15" hidden="false" customHeight="false" outlineLevel="0" collapsed="false">
      <c r="A15300" s="0" t="s">
        <v>1029</v>
      </c>
      <c r="B15300" s="0" t="s">
        <v>98</v>
      </c>
      <c r="D15300" s="6" t="n">
        <f aca="false">Sens!D15297+Sens!D15298</f>
        <v>72.61</v>
      </c>
      <c r="E15300" s="6" t="n">
        <f aca="false">Sens!E15297+Sens!E15298</f>
        <v>101.938</v>
      </c>
      <c r="F15300" s="6" t="n">
        <f aca="false">Sens!F15297+Sens!F15298</f>
        <v>133.296941025476</v>
      </c>
      <c r="G15300" s="6" t="n">
        <f aca="false">Sens!G15297+Sens!G15298</f>
        <v>154.083355571975</v>
      </c>
      <c r="H15300" s="6" t="n">
        <f aca="false">Sens!H15297+Sens!H15298</f>
        <v>170.551432475992</v>
      </c>
      <c r="I15300" s="6" t="n">
        <f aca="false">Sens!I15297+Sens!I15298</f>
        <v>188.988469328104</v>
      </c>
      <c r="J15300" s="6" t="n">
        <f aca="false">Sens!J15297+Sens!J15298</f>
        <v>206.196370273967</v>
      </c>
      <c r="K15300" s="6" t="n">
        <f aca="false">Sens!K15297+Sens!K15298</f>
        <v>221.925885597278</v>
      </c>
    </row>
    <row r="15301" customFormat="false" ht="17.15" hidden="false" customHeight="false" outlineLevel="0" collapsed="false">
      <c r="A15301" s="0" t="s">
        <v>1030</v>
      </c>
      <c r="B15301" s="1" t="s">
        <v>613</v>
      </c>
      <c r="C15301" s="30" t="n">
        <f aca="false">cop_s24</f>
        <v>1</v>
      </c>
      <c r="D15301" s="30" t="n">
        <f aca="false">cop_s25</f>
        <v>5</v>
      </c>
      <c r="E15301" s="30" t="n">
        <f aca="false">cop_s26</f>
        <v>30</v>
      </c>
      <c r="F15301" s="30" t="n">
        <f aca="false">Sens!E15301+cop_add_C</f>
        <v>40</v>
      </c>
      <c r="G15301" s="30" t="n">
        <f aca="false">Sens!F15301+cop_add_C</f>
        <v>50</v>
      </c>
      <c r="H15301" s="30" t="n">
        <f aca="false">Sens!G15301+cop_add_C</f>
        <v>60</v>
      </c>
      <c r="I15301" s="30" t="n">
        <f aca="false">Sens!H15301+cop_add_C*cop_tail</f>
        <v>65</v>
      </c>
      <c r="J15301" s="30" t="n">
        <f aca="false">Sens!I15301+cop_add_C*cop_tail</f>
        <v>70</v>
      </c>
      <c r="K15301" s="30" t="n">
        <f aca="false">Sens!J15301+cop_add_C*cop_tail</f>
        <v>75</v>
      </c>
      <c r="L15301" s="12" t="s">
        <v>1031</v>
      </c>
    </row>
    <row r="15302" customFormat="false" ht="17.15" hidden="false" customHeight="false" outlineLevel="0" collapsed="false">
      <c r="A15302" s="0" t="s">
        <v>1032</v>
      </c>
      <c r="B15302" s="0" t="s">
        <v>98</v>
      </c>
      <c r="D15302" s="6" t="n">
        <f aca="false">(Sens!C15301+Sens!D15301)/2*cop_px*12/1000</f>
        <v>0.9</v>
      </c>
      <c r="E15302" s="6" t="n">
        <f aca="false">(Sens!D15301+Sens!E15301)/2*cop_px*12/1000</f>
        <v>5.25</v>
      </c>
      <c r="F15302" s="6" t="n">
        <f aca="false">(Sens!E15301+Sens!F15301)/2*cop_px*12/1000</f>
        <v>10.5</v>
      </c>
      <c r="G15302" s="6" t="n">
        <f aca="false">(Sens!F15301+Sens!G15301)/2*cop_px*12/1000</f>
        <v>13.5</v>
      </c>
      <c r="H15302" s="6" t="n">
        <f aca="false">(Sens!G15301+Sens!H15301)/2*cop_px*12/1000</f>
        <v>16.5</v>
      </c>
      <c r="I15302" s="6" t="n">
        <f aca="false">(Sens!H15301+Sens!I15301)/2*cop_px*12/1000</f>
        <v>18.75</v>
      </c>
      <c r="J15302" s="6" t="n">
        <f aca="false">(Sens!I15301+Sens!J15301)/2*cop_px*12/1000</f>
        <v>20.25</v>
      </c>
      <c r="K15302" s="6" t="n">
        <f aca="false">(Sens!J15301+Sens!K15301)/2*cop_px*12/1000</f>
        <v>21.75</v>
      </c>
      <c r="L15302" s="1" t="s">
        <v>1033</v>
      </c>
    </row>
    <row r="15303" customFormat="false" ht="17.15" hidden="false" customHeight="false" outlineLevel="0" collapsed="false">
      <c r="A15303" s="0" t="s">
        <v>1034</v>
      </c>
      <c r="B15303" s="0" t="s">
        <v>98</v>
      </c>
      <c r="D15303" s="6" t="n">
        <f aca="false">Q!L7-Sens!D15302</f>
        <v>83.705</v>
      </c>
      <c r="E15303" s="6" t="n">
        <f aca="false">Q!M7-Sens!E15302</f>
        <v>95.049</v>
      </c>
      <c r="F15303" s="6" t="n">
        <f aca="false">Q!$I$7+(Sens!E15303*(1+Sens!F15304)+Sens!F15302)*(1-Q!$E$7/Q!M7)-Sens!F15302</f>
        <v>106.938354189776</v>
      </c>
      <c r="G15303" s="6" t="n">
        <f aca="false">Sens!F15303*(1+Sens!G15304)</f>
        <v>119.095360443801</v>
      </c>
      <c r="H15303" s="6" t="n">
        <f aca="false">Sens!G15303*(1+Sens!H15304)</f>
        <v>131.333811964563</v>
      </c>
      <c r="I15303" s="6" t="n">
        <f aca="false">Sens!H15303*(1+Sens!I15304)</f>
        <v>143.395665319381</v>
      </c>
      <c r="J15303" s="6" t="n">
        <f aca="false">Sens!I15303*(1+Sens!J15304)</f>
        <v>154.999327755573</v>
      </c>
      <c r="K15303" s="6" t="n">
        <f aca="false">Sens!J15303*(1+Sens!K15304)</f>
        <v>165.849280698463</v>
      </c>
      <c r="L15303" s="12" t="s">
        <v>1035</v>
      </c>
    </row>
    <row r="15304" customFormat="false" ht="15" hidden="false" customHeight="false" outlineLevel="0" collapsed="false">
      <c r="A15304" s="1" t="s">
        <v>1028</v>
      </c>
      <c r="B15304" s="0" t="s">
        <v>168</v>
      </c>
      <c r="E15304" s="7" t="n">
        <f aca="false">Sens!E15303/Sens!D15303-1</f>
        <v>0.135523564900544</v>
      </c>
      <c r="F15304" s="7" t="n">
        <f aca="false">Sens!$E$15304+(glt_m365b-Sens!$E$15304)*MIN(1,(Sens!F15256-base_fy)/n_conv)</f>
        <v>0.124602970750453</v>
      </c>
      <c r="G15304" s="7" t="n">
        <f aca="false">Sens!$E$15304+(glt_m365b-Sens!$E$15304)*MIN(1,(Sens!G15256-base_fy)/n_conv)</f>
        <v>0.113682376600363</v>
      </c>
      <c r="H15304" s="7" t="n">
        <f aca="false">Sens!$E$15304+(glt_m365b-Sens!$E$15304)*MIN(1,(Sens!H15256-base_fy)/n_conv)</f>
        <v>0.102761782450272</v>
      </c>
      <c r="I15304" s="7" t="n">
        <f aca="false">Sens!$E$15304+(glt_m365b-Sens!$E$15304)*MIN(1,(Sens!I15256-base_fy)/n_conv)</f>
        <v>0.0918411883001813</v>
      </c>
      <c r="J15304" s="7" t="n">
        <f aca="false">Sens!$E$15304+(glt_m365b-Sens!$E$15304)*MIN(1,(Sens!J15256-base_fy)/n_conv)</f>
        <v>0.0809205941500906</v>
      </c>
      <c r="K15304" s="7" t="n">
        <f aca="false">Sens!$E$15304+(glt_m365b-Sens!$E$15304)*MIN(1,(Sens!K15256-base_fy)/n_conv)</f>
        <v>0.07</v>
      </c>
    </row>
    <row r="15305" customFormat="false" ht="15" hidden="false" customHeight="false" outlineLevel="0" collapsed="false">
      <c r="A15305" s="0" t="s">
        <v>1036</v>
      </c>
      <c r="B15305" s="0" t="s">
        <v>98</v>
      </c>
      <c r="D15305" s="6" t="n">
        <f aca="false">Sens!D15303+Sens!D15302</f>
        <v>84.605</v>
      </c>
      <c r="E15305" s="6" t="n">
        <f aca="false">Sens!E15303+Sens!E15302</f>
        <v>100.299</v>
      </c>
      <c r="F15305" s="6" t="n">
        <f aca="false">Sens!F15303+Sens!F15302</f>
        <v>117.438354189776</v>
      </c>
      <c r="G15305" s="6" t="n">
        <f aca="false">Sens!G15303+Sens!G15302</f>
        <v>132.595360443801</v>
      </c>
      <c r="H15305" s="6" t="n">
        <f aca="false">Sens!H15303+Sens!H15302</f>
        <v>147.833811964563</v>
      </c>
      <c r="I15305" s="6" t="n">
        <f aca="false">Sens!I15303+Sens!I15302</f>
        <v>162.145665319381</v>
      </c>
      <c r="J15305" s="6" t="n">
        <f aca="false">Sens!J15303+Sens!J15302</f>
        <v>175.249327755573</v>
      </c>
      <c r="K15305" s="6" t="n">
        <f aca="false">Sens!K15303+Sens!K15302</f>
        <v>187.599280698463</v>
      </c>
    </row>
    <row r="15306" customFormat="false" ht="17.15" hidden="false" customHeight="false" outlineLevel="0" collapsed="false">
      <c r="A15306" s="0" t="s">
        <v>1037</v>
      </c>
      <c r="B15306" s="0" t="s">
        <v>98</v>
      </c>
      <c r="D15306" s="6" t="n">
        <f aca="false">Q!L8</f>
        <v>35.391</v>
      </c>
      <c r="E15306" s="6" t="n">
        <f aca="false">Q!M8</f>
        <v>37.285</v>
      </c>
      <c r="F15306" s="6" t="n">
        <f aca="false">Q!$I$8+(Q!M8-Q!$E$8)*(1+Sens!F15307)</f>
        <v>38.3851437782675</v>
      </c>
      <c r="G15306" s="6" t="n">
        <f aca="false">Sens!F15306*(1+Sens!G15307)</f>
        <v>40.0105353288615</v>
      </c>
      <c r="H15306" s="6" t="n">
        <f aca="false">Sens!G15306*(1+Sens!H15307)</f>
        <v>41.4812512033683</v>
      </c>
      <c r="I15306" s="6" t="n">
        <f aca="false">Sens!H15306*(1+Sens!I15307)</f>
        <v>42.7743107216329</v>
      </c>
      <c r="J15306" s="6" t="n">
        <f aca="false">Sens!I15306*(1+Sens!J15307)</f>
        <v>43.8687373064601</v>
      </c>
      <c r="K15306" s="6" t="n">
        <f aca="false">Sens!J15306*(1+Sens!K15307)</f>
        <v>44.7461120525893</v>
      </c>
      <c r="L15306" s="12" t="s">
        <v>1038</v>
      </c>
    </row>
    <row r="15307" customFormat="false" ht="15" hidden="false" customHeight="false" outlineLevel="0" collapsed="false">
      <c r="A15307" s="1" t="s">
        <v>1028</v>
      </c>
      <c r="B15307" s="0" t="s">
        <v>168</v>
      </c>
      <c r="E15307" s="7" t="n">
        <f aca="false">Sens!E15306/Sens!D15306-1</f>
        <v>0.0535164307309768</v>
      </c>
      <c r="F15307" s="7" t="n">
        <f aca="false">Sens!$E$15307+(glt_lic-Sens!$E$15307)*MIN(1,(Sens!F15256-base_fy)/n_conv)</f>
        <v>0.0479303589424807</v>
      </c>
      <c r="G15307" s="7" t="n">
        <f aca="false">Sens!$E$15307+(glt_lic-Sens!$E$15307)*MIN(1,(Sens!G15256-base_fy)/n_conv)</f>
        <v>0.0423442871539845</v>
      </c>
      <c r="H15307" s="7" t="n">
        <f aca="false">Sens!$E$15307+(glt_lic-Sens!$E$15307)*MIN(1,(Sens!H15256-base_fy)/n_conv)</f>
        <v>0.0367582153654884</v>
      </c>
      <c r="I15307" s="7" t="n">
        <f aca="false">Sens!$E$15307+(glt_lic-Sens!$E$15307)*MIN(1,(Sens!I15256-base_fy)/n_conv)</f>
        <v>0.0311721435769923</v>
      </c>
      <c r="J15307" s="7" t="n">
        <f aca="false">Sens!$E$15307+(glt_lic-Sens!$E$15307)*MIN(1,(Sens!J15256-base_fy)/n_conv)</f>
        <v>0.0255860717884961</v>
      </c>
      <c r="K15307" s="7" t="n">
        <f aca="false">Sens!$E$15307+(glt_lic-Sens!$E$15307)*MIN(1,(Sens!K15256-base_fy)/n_conv)</f>
        <v>0.02</v>
      </c>
    </row>
    <row r="15308" customFormat="false" ht="17.15" hidden="false" customHeight="false" outlineLevel="0" collapsed="false">
      <c r="A15308" s="0" t="s">
        <v>1039</v>
      </c>
      <c r="B15308" s="0" t="s">
        <v>98</v>
      </c>
      <c r="D15308" s="6" t="n">
        <f aca="false">Q!L9</f>
        <v>18.417</v>
      </c>
      <c r="E15308" s="6" t="n">
        <f aca="false">Q!M9</f>
        <v>20.345</v>
      </c>
      <c r="F15308" s="6" t="n">
        <f aca="false">Q!$I$9+(Q!M9-Q!$E$9)*(1+Sens!F15309)</f>
        <v>22.3161797133988</v>
      </c>
      <c r="G15308" s="6" t="n">
        <f aca="false">Sens!F15308*(1+Sens!G15309)</f>
        <v>24.3943499673233</v>
      </c>
      <c r="H15308" s="6" t="n">
        <f aca="false">Sens!G15308*(1+Sens!H15309)</f>
        <v>26.5250243109019</v>
      </c>
      <c r="I15308" s="6" t="n">
        <f aca="false">Sens!H15308*(1+Sens!I15309)</f>
        <v>28.6884573538181</v>
      </c>
      <c r="J15308" s="6" t="n">
        <f aca="false">Sens!I15308*(1+Sens!J15309)</f>
        <v>30.8624968052127</v>
      </c>
      <c r="K15308" s="6" t="n">
        <f aca="false">Sens!J15308*(1+Sens!K15309)</f>
        <v>33.0228715815776</v>
      </c>
      <c r="L15308" s="12" t="s">
        <v>1038</v>
      </c>
    </row>
    <row r="15309" customFormat="false" ht="15" hidden="false" customHeight="false" outlineLevel="0" collapsed="false">
      <c r="A15309" s="1" t="s">
        <v>1028</v>
      </c>
      <c r="B15309" s="0" t="s">
        <v>168</v>
      </c>
      <c r="E15309" s="7" t="n">
        <f aca="false">Sens!E15308/Sens!D15308-1</f>
        <v>0.104685888038225</v>
      </c>
      <c r="F15309" s="7" t="n">
        <f aca="false">Sens!$E$15309+(glt_ind-Sens!$E$15309)*MIN(1,(Sens!F15256-base_fy)/n_conv)</f>
        <v>0.0989049066985211</v>
      </c>
      <c r="G15309" s="7" t="n">
        <f aca="false">Sens!$E$15309+(glt_ind-Sens!$E$15309)*MIN(1,(Sens!G15256-base_fy)/n_conv)</f>
        <v>0.0931239253588169</v>
      </c>
      <c r="H15309" s="7" t="n">
        <f aca="false">Sens!$E$15309+(glt_ind-Sens!$E$15309)*MIN(1,(Sens!H15256-base_fy)/n_conv)</f>
        <v>0.0873429440191127</v>
      </c>
      <c r="I15309" s="7" t="n">
        <f aca="false">Sens!$E$15309+(glt_ind-Sens!$E$15309)*MIN(1,(Sens!I15256-base_fy)/n_conv)</f>
        <v>0.0815619626794085</v>
      </c>
      <c r="J15309" s="7" t="n">
        <f aca="false">Sens!$E$15309+(glt_ind-Sens!$E$15309)*MIN(1,(Sens!J15256-base_fy)/n_conv)</f>
        <v>0.0757809813397042</v>
      </c>
      <c r="K15309" s="7" t="n">
        <f aca="false">Sens!$E$15309+(glt_ind-Sens!$E$15309)*MIN(1,(Sens!K15256-base_fy)/n_conv)</f>
        <v>0.07</v>
      </c>
    </row>
    <row r="15310" customFormat="false" ht="17.15" hidden="false" customHeight="false" outlineLevel="0" collapsed="false">
      <c r="A15310" s="0" t="s">
        <v>1040</v>
      </c>
      <c r="B15310" s="0" t="s">
        <v>98</v>
      </c>
      <c r="D15310" s="6" t="n">
        <f aca="false">Q!L10</f>
        <v>7.76</v>
      </c>
      <c r="E15310" s="6" t="n">
        <f aca="false">Q!M10</f>
        <v>8.26</v>
      </c>
      <c r="F15310" s="6" t="n">
        <f aca="false">Q!$I$10+(Q!M10-Q!$E$10)*(1+Sens!F15311)</f>
        <v>8.75372082474227</v>
      </c>
      <c r="G15310" s="6" t="n">
        <f aca="false">Sens!F15310*(1+Sens!G15311)</f>
        <v>9.33399324642364</v>
      </c>
      <c r="H15310" s="6" t="n">
        <f aca="false">Sens!G15310*(1+Sens!H15311)</f>
        <v>9.96139155535851</v>
      </c>
      <c r="I15310" s="6" t="n">
        <f aca="false">Sens!H15310*(1+Sens!I15311)</f>
        <v>10.6402039077391</v>
      </c>
      <c r="J15310" s="6" t="n">
        <f aca="false">Sens!I15310*(1+Sens!J15311)</f>
        <v>11.3751458271397</v>
      </c>
      <c r="K15310" s="6" t="n">
        <f aca="false">Sens!J15310*(1+Sens!K15311)</f>
        <v>12.1714060350394</v>
      </c>
      <c r="L15310" s="12" t="s">
        <v>1038</v>
      </c>
    </row>
    <row r="15311" customFormat="false" ht="15" hidden="false" customHeight="false" outlineLevel="0" collapsed="false">
      <c r="A15311" s="1" t="s">
        <v>1028</v>
      </c>
      <c r="B15311" s="0" t="s">
        <v>168</v>
      </c>
      <c r="E15311" s="7" t="n">
        <f aca="false">Sens!E15310/Sens!D15310-1</f>
        <v>0.0644329896907216</v>
      </c>
      <c r="F15311" s="7" t="n">
        <f aca="false">Sens!$E$15311+(glt_fro-Sens!$E$15311)*MIN(1,(Sens!F15256-base_fy)/n_conv)</f>
        <v>0.065360824742268</v>
      </c>
      <c r="G15311" s="7" t="n">
        <f aca="false">Sens!$E$15311+(glt_fro-Sens!$E$15311)*MIN(1,(Sens!G15256-base_fy)/n_conv)</f>
        <v>0.0662886597938144</v>
      </c>
      <c r="H15311" s="7" t="n">
        <f aca="false">Sens!$E$15311+(glt_fro-Sens!$E$15311)*MIN(1,(Sens!H15256-base_fy)/n_conv)</f>
        <v>0.0672164948453608</v>
      </c>
      <c r="I15311" s="7" t="n">
        <f aca="false">Sens!$E$15311+(glt_fro-Sens!$E$15311)*MIN(1,(Sens!I15256-base_fy)/n_conv)</f>
        <v>0.0681443298969072</v>
      </c>
      <c r="J15311" s="7" t="n">
        <f aca="false">Sens!$E$15311+(glt_fro-Sens!$E$15311)*MIN(1,(Sens!J15256-base_fy)/n_conv)</f>
        <v>0.0690721649484536</v>
      </c>
      <c r="K15311" s="7" t="n">
        <f aca="false">Sens!$E$15311+(glt_fro-Sens!$E$15311)*MIN(1,(Sens!K15256-base_fy)/n_conv)</f>
        <v>0.07</v>
      </c>
    </row>
    <row r="15312" customFormat="false" ht="15" hidden="false" customHeight="false" outlineLevel="0" collapsed="false">
      <c r="A15312" s="0" t="s">
        <v>856</v>
      </c>
      <c r="B15312" s="0" t="s">
        <v>98</v>
      </c>
      <c r="D15312" s="6" t="n">
        <f aca="false">Sens!D15300+Sens!D15305+Sens!D15306+Sens!D15308+Sens!D15310</f>
        <v>218.783</v>
      </c>
      <c r="E15312" s="6" t="n">
        <f aca="false">Sens!E15300+Sens!E15305+Sens!E15306+Sens!E15308+Sens!E15310</f>
        <v>268.127</v>
      </c>
      <c r="F15312" s="6" t="n">
        <f aca="false">Sens!F15300+Sens!F15305+Sens!F15306+Sens!F15308+Sens!F15310</f>
        <v>320.19033953166</v>
      </c>
      <c r="G15312" s="6" t="n">
        <f aca="false">Sens!G15300+Sens!G15305+Sens!G15306+Sens!G15308+Sens!G15310</f>
        <v>360.417594558384</v>
      </c>
      <c r="H15312" s="6" t="n">
        <f aca="false">Sens!H15300+Sens!H15305+Sens!H15306+Sens!H15308+Sens!H15310</f>
        <v>396.352911510184</v>
      </c>
      <c r="I15312" s="6" t="n">
        <f aca="false">Sens!I15300+Sens!I15305+Sens!I15306+Sens!I15308+Sens!I15310</f>
        <v>433.237106630676</v>
      </c>
      <c r="J15312" s="6" t="n">
        <f aca="false">Sens!J15300+Sens!J15305+Sens!J15306+Sens!J15308+Sens!J15310</f>
        <v>467.552077968353</v>
      </c>
      <c r="K15312" s="6" t="n">
        <f aca="false">Sens!K15300+Sens!K15305+Sens!K15306+Sens!K15308+Sens!K15310</f>
        <v>499.465555964948</v>
      </c>
    </row>
    <row r="15313" customFormat="false" ht="17.15" hidden="false" customHeight="false" outlineLevel="0" collapsed="false">
      <c r="A15313" s="0" t="s">
        <v>1041</v>
      </c>
      <c r="B15313" s="0" t="s">
        <v>98</v>
      </c>
      <c r="D15313" s="6" t="n">
        <f aca="false">Q!L13</f>
        <v>22.171</v>
      </c>
      <c r="E15313" s="6" t="n">
        <f aca="false">Q!M13</f>
        <v>24.835</v>
      </c>
      <c r="F15313" s="6" t="n">
        <f aca="false">Q!$I$13+(Q!M13-Q!$E$13)*(1+Sens!F15314)</f>
        <v>27.5591895660247</v>
      </c>
      <c r="G15313" s="6" t="n">
        <f aca="false">Sens!F15313*(1+Sens!G15314)</f>
        <v>30.4098563144583</v>
      </c>
      <c r="H15313" s="6" t="n">
        <f aca="false">Sens!G15313*(1+Sens!H15314)</f>
        <v>33.3011792571777</v>
      </c>
      <c r="I15313" s="6" t="n">
        <f aca="false">Sens!H15313*(1+Sens!I15314)</f>
        <v>36.189023797112</v>
      </c>
      <c r="J15313" s="6" t="n">
        <f aca="false">Sens!I15313*(1+Sens!J15314)</f>
        <v>39.0247773769199</v>
      </c>
      <c r="K15313" s="6" t="n">
        <f aca="false">Sens!J15313*(1+Sens!K15314)</f>
        <v>41.7565117933043</v>
      </c>
      <c r="L15313" s="12" t="s">
        <v>1038</v>
      </c>
    </row>
    <row r="15314" customFormat="false" ht="15" hidden="false" customHeight="false" outlineLevel="0" collapsed="false">
      <c r="A15314" s="1" t="s">
        <v>1028</v>
      </c>
      <c r="B15314" s="0" t="s">
        <v>168</v>
      </c>
      <c r="E15314" s="7" t="n">
        <f aca="false">Sens!E15313/Sens!D15313-1</f>
        <v>0.120156961796942</v>
      </c>
      <c r="F15314" s="7" t="n">
        <f aca="false">Sens!$E$15314+(glt_srch-Sens!$E$15314)*MIN(1,(Sens!F15256-base_fy)/n_conv)</f>
        <v>0.111797468164118</v>
      </c>
      <c r="G15314" s="7" t="n">
        <f aca="false">Sens!$E$15314+(glt_srch-Sens!$E$15314)*MIN(1,(Sens!G15256-base_fy)/n_conv)</f>
        <v>0.103437974531295</v>
      </c>
      <c r="H15314" s="7" t="n">
        <f aca="false">Sens!$E$15314+(glt_srch-Sens!$E$15314)*MIN(1,(Sens!H15256-base_fy)/n_conv)</f>
        <v>0.095078480898471</v>
      </c>
      <c r="I15314" s="7" t="n">
        <f aca="false">Sens!$E$15314+(glt_srch-Sens!$E$15314)*MIN(1,(Sens!I15256-base_fy)/n_conv)</f>
        <v>0.0867189872656474</v>
      </c>
      <c r="J15314" s="7" t="n">
        <f aca="false">Sens!$E$15314+(glt_srch-Sens!$E$15314)*MIN(1,(Sens!J15256-base_fy)/n_conv)</f>
        <v>0.0783594936328237</v>
      </c>
      <c r="K15314" s="7" t="n">
        <f aca="false">Sens!$E$15314+(glt_srch-Sens!$E$15314)*MIN(1,(Sens!K15256-base_fy)/n_conv)</f>
        <v>0.07</v>
      </c>
    </row>
    <row r="15315" customFormat="false" ht="17.15" hidden="false" customHeight="false" outlineLevel="0" collapsed="false">
      <c r="A15315" s="0" t="s">
        <v>1042</v>
      </c>
      <c r="B15315" s="0" t="s">
        <v>98</v>
      </c>
      <c r="D15315" s="6" t="n">
        <f aca="false">Q!L14</f>
        <v>23.455</v>
      </c>
      <c r="E15315" s="6" t="n">
        <f aca="false">Q!M14</f>
        <v>21.79</v>
      </c>
      <c r="F15315" s="6" t="n">
        <f aca="false">Q!$I$14+(Q!M14-Q!$E$14)*(1+Sens!F15316)</f>
        <v>20.7520981041711</v>
      </c>
      <c r="G15315" s="6" t="n">
        <f aca="false">Sens!F15315*(1+Sens!G15316)</f>
        <v>19.9083593495882</v>
      </c>
      <c r="H15315" s="6" t="n">
        <f aca="false">Sens!G15315*(1+Sens!H15316)</f>
        <v>19.4008256265831</v>
      </c>
      <c r="I15315" s="6" t="n">
        <f aca="false">Sens!H15315*(1+Sens!I15316)</f>
        <v>19.200434522122</v>
      </c>
      <c r="J15315" s="6" t="n">
        <f aca="false">Sens!I15315*(1+Sens!J15316)</f>
        <v>19.2932782348507</v>
      </c>
      <c r="K15315" s="6" t="n">
        <f aca="false">Sens!J15315*(1+Sens!K15316)</f>
        <v>19.6791437995477</v>
      </c>
      <c r="L15315" s="12" t="s">
        <v>1038</v>
      </c>
    </row>
    <row r="15316" customFormat="false" ht="15" hidden="false" customHeight="false" outlineLevel="0" collapsed="false">
      <c r="A15316" s="1" t="s">
        <v>1028</v>
      </c>
      <c r="B15316" s="0" t="s">
        <v>168</v>
      </c>
      <c r="E15316" s="7" t="n">
        <f aca="false">Sens!E15315/Sens!D15315-1</f>
        <v>-0.0709869963760392</v>
      </c>
      <c r="F15316" s="7" t="n">
        <f aca="false">Sens!$E$15316+(glt_xbox-Sens!$E$15316)*MIN(1,(Sens!F15256-base_fy)/n_conv)</f>
        <v>-0.0558224969800327</v>
      </c>
      <c r="G15316" s="7" t="n">
        <f aca="false">Sens!$E$15316+(glt_xbox-Sens!$E$15316)*MIN(1,(Sens!G15256-base_fy)/n_conv)</f>
        <v>-0.0406579975840262</v>
      </c>
      <c r="H15316" s="7" t="n">
        <f aca="false">Sens!$E$15316+(glt_xbox-Sens!$E$15316)*MIN(1,(Sens!H15256-base_fy)/n_conv)</f>
        <v>-0.0254934981880196</v>
      </c>
      <c r="I15316" s="7" t="n">
        <f aca="false">Sens!$E$15316+(glt_xbox-Sens!$E$15316)*MIN(1,(Sens!I15256-base_fy)/n_conv)</f>
        <v>-0.0103289987920131</v>
      </c>
      <c r="J15316" s="7" t="n">
        <f aca="false">Sens!$E$15316+(glt_xbox-Sens!$E$15316)*MIN(1,(Sens!J15256-base_fy)/n_conv)</f>
        <v>0.00483550060399347</v>
      </c>
      <c r="K15316" s="7" t="n">
        <f aca="false">Sens!$E$15316+(glt_xbox-Sens!$E$15316)*MIN(1,(Sens!K15256-base_fy)/n_conv)</f>
        <v>0.02</v>
      </c>
    </row>
    <row r="15317" customFormat="false" ht="17.15" hidden="false" customHeight="false" outlineLevel="0" collapsed="false">
      <c r="A15317" s="0" t="s">
        <v>1043</v>
      </c>
      <c r="B15317" s="0" t="s">
        <v>98</v>
      </c>
      <c r="D15317" s="6" t="n">
        <f aca="false">Q!L15</f>
        <v>17.315</v>
      </c>
      <c r="E15317" s="6" t="n">
        <f aca="false">Q!M15</f>
        <v>17.087</v>
      </c>
      <c r="F15317" s="6" t="n">
        <f aca="false">Q!$I$15+(Q!M15-Q!$E$15)*(1+Sens!F15318)</f>
        <v>15.9912273250553</v>
      </c>
      <c r="G15317" s="6" t="n">
        <f aca="false">Sens!F15317*(1+Sens!G15318)</f>
        <v>15.9574562664827</v>
      </c>
      <c r="H15317" s="6" t="n">
        <f aca="false">Sens!G15317*(1+Sens!H15318)</f>
        <v>16.0119687434196</v>
      </c>
      <c r="I15317" s="6" t="n">
        <f aca="false">Sens!H15317*(1+Sens!I15318)</f>
        <v>16.1551810001948</v>
      </c>
      <c r="J15317" s="6" t="n">
        <f aca="false">Sens!I15317*(1+Sens!J15318)</f>
        <v>16.3889793892005</v>
      </c>
      <c r="K15317" s="6" t="n">
        <f aca="false">Sens!J15317*(1+Sens!K15318)</f>
        <v>16.7167589769845</v>
      </c>
      <c r="L15317" s="12" t="s">
        <v>1038</v>
      </c>
    </row>
    <row r="15318" customFormat="false" ht="15" hidden="false" customHeight="false" outlineLevel="0" collapsed="false">
      <c r="A15318" s="1" t="s">
        <v>1028</v>
      </c>
      <c r="B15318" s="0" t="s">
        <v>168</v>
      </c>
      <c r="E15318" s="7" t="n">
        <f aca="false">Sens!E15317/Sens!D15317-1</f>
        <v>-0.0131677736066995</v>
      </c>
      <c r="F15318" s="7" t="n">
        <f aca="false">Sens!$E$15318+(glt_win-Sens!$E$15318)*MIN(1,(Sens!F15256-base_fy)/n_conv)</f>
        <v>-0.00763981133891627</v>
      </c>
      <c r="G15318" s="7" t="n">
        <f aca="false">Sens!$E$15318+(glt_win-Sens!$E$15318)*MIN(1,(Sens!G15256-base_fy)/n_conv)</f>
        <v>-0.00211184907113301</v>
      </c>
      <c r="H15318" s="7" t="n">
        <f aca="false">Sens!$E$15318+(glt_win-Sens!$E$15318)*MIN(1,(Sens!H15256-base_fy)/n_conv)</f>
        <v>0.00341611319665024</v>
      </c>
      <c r="I15318" s="7" t="n">
        <f aca="false">Sens!$E$15318+(glt_win-Sens!$E$15318)*MIN(1,(Sens!I15256-base_fy)/n_conv)</f>
        <v>0.00894407546443349</v>
      </c>
      <c r="J15318" s="7" t="n">
        <f aca="false">Sens!$E$15318+(glt_win-Sens!$E$15318)*MIN(1,(Sens!J15256-base_fy)/n_conv)</f>
        <v>0.0144720377322168</v>
      </c>
      <c r="K15318" s="7" t="n">
        <f aca="false">Sens!$E$15318+(glt_win-Sens!$E$15318)*MIN(1,(Sens!K15256-base_fy)/n_conv)</f>
        <v>0.02</v>
      </c>
    </row>
    <row r="15319" customFormat="false" ht="15" hidden="false" customHeight="false" outlineLevel="0" collapsed="false">
      <c r="A15319" s="0" t="s">
        <v>870</v>
      </c>
      <c r="B15319" s="0" t="s">
        <v>98</v>
      </c>
      <c r="D15319" s="6" t="n">
        <f aca="false">Sens!D15313+Sens!D15315+Sens!D15317</f>
        <v>62.941</v>
      </c>
      <c r="E15319" s="6" t="n">
        <f aca="false">Sens!E15313+Sens!E15315+Sens!E15317</f>
        <v>63.712</v>
      </c>
      <c r="F15319" s="6" t="n">
        <f aca="false">Sens!F15313+Sens!F15315+Sens!F15317</f>
        <v>64.3025149952511</v>
      </c>
      <c r="G15319" s="6" t="n">
        <f aca="false">Sens!G15313+Sens!G15315+Sens!G15317</f>
        <v>66.2756719305292</v>
      </c>
      <c r="H15319" s="6" t="n">
        <f aca="false">Sens!H15313+Sens!H15315+Sens!H15317</f>
        <v>68.7139736271804</v>
      </c>
      <c r="I15319" s="6" t="n">
        <f aca="false">Sens!I15313+Sens!I15315+Sens!I15317</f>
        <v>71.5446393194289</v>
      </c>
      <c r="J15319" s="6" t="n">
        <f aca="false">Sens!J15313+Sens!J15315+Sens!J15317</f>
        <v>74.707035000971</v>
      </c>
      <c r="K15319" s="6" t="n">
        <f aca="false">Sens!K15313+Sens!K15315+Sens!K15317</f>
        <v>78.1524145698365</v>
      </c>
    </row>
    <row r="15320" customFormat="false" ht="15" hidden="false" customHeight="false" outlineLevel="0" collapsed="false">
      <c r="A15320" s="1" t="s">
        <v>1044</v>
      </c>
      <c r="B15320" s="0" t="s">
        <v>98</v>
      </c>
      <c r="D15320" s="6" t="n">
        <f aca="false">Sens!D15312+Sens!D15319</f>
        <v>281.724</v>
      </c>
      <c r="E15320" s="6" t="n">
        <f aca="false">Sens!E15312+Sens!E15319</f>
        <v>331.839</v>
      </c>
      <c r="F15320" s="6" t="n">
        <f aca="false">Sens!F15312+Sens!F15319</f>
        <v>384.492854526911</v>
      </c>
      <c r="G15320" s="6" t="n">
        <f aca="false">Sens!G15312+Sens!G15319</f>
        <v>426.693266488913</v>
      </c>
      <c r="H15320" s="6" t="n">
        <f aca="false">Sens!H15312+Sens!H15319</f>
        <v>465.066885137364</v>
      </c>
      <c r="I15320" s="6" t="n">
        <f aca="false">Sens!I15312+Sens!I15319</f>
        <v>504.781745950104</v>
      </c>
      <c r="J15320" s="6" t="n">
        <f aca="false">Sens!J15312+Sens!J15319</f>
        <v>542.259112969324</v>
      </c>
      <c r="K15320" s="6" t="n">
        <f aca="false">Sens!K15312+Sens!K15319</f>
        <v>577.617970534784</v>
      </c>
    </row>
    <row r="15321" customFormat="false" ht="15" hidden="false" customHeight="false" outlineLevel="0" collapsed="false">
      <c r="A15321" s="26" t="s">
        <v>1045</v>
      </c>
      <c r="B15321" s="31" t="s">
        <v>98</v>
      </c>
      <c r="C15321" s="31"/>
      <c r="D15321" s="27" t="n">
        <f aca="false">(Sens!D15300+Sens!D15305+Sens!D15306+Sens!D15308+Sens!D15310-Sens!D15312)+(Sens!D15313+Sens!D15315+Sens!D15317-Sens!D15319)+(Sens!D15312-Q!L5)+(Sens!D15319-Q!L12)+(Sens!D15300-Q!L6)+(Sens!D15305-Q!L7)</f>
        <v>0</v>
      </c>
      <c r="E15321" s="27" t="n">
        <f aca="false">(Sens!E15300+Sens!E15305+Sens!E15306+Sens!E15308+Sens!E15310-Sens!E15312)+(Sens!E15313+Sens!E15315+Sens!E15317-Sens!E15319)+(Sens!E15312-Q!M5)+(Sens!E15319-Q!M12)+(Sens!E15300-Q!M6)+(Sens!E15305-Q!M7)</f>
        <v>0</v>
      </c>
      <c r="F15321" s="27" t="n">
        <f aca="false">(Sens!F15300+Sens!F15305+Sens!F15306+Sens!F15308+Sens!F15310-Sens!F15312)+(Sens!F15313+Sens!F15315+Sens!F15317-Sens!F15319)</f>
        <v>0</v>
      </c>
      <c r="G15321" s="27" t="n">
        <f aca="false">(Sens!G15300+Sens!G15305+Sens!G15306+Sens!G15308+Sens!G15310-Sens!G15312)+(Sens!G15313+Sens!G15315+Sens!G15317-Sens!G15319)</f>
        <v>0</v>
      </c>
      <c r="H15321" s="27" t="n">
        <f aca="false">(Sens!H15300+Sens!H15305+Sens!H15306+Sens!H15308+Sens!H15310-Sens!H15312)+(Sens!H15313+Sens!H15315+Sens!H15317-Sens!H15319)</f>
        <v>0</v>
      </c>
      <c r="I15321" s="27" t="n">
        <f aca="false">(Sens!I15300+Sens!I15305+Sens!I15306+Sens!I15308+Sens!I15310-Sens!I15312)+(Sens!I15313+Sens!I15315+Sens!I15317-Sens!I15319)</f>
        <v>0</v>
      </c>
      <c r="J15321" s="27" t="n">
        <f aca="false">(Sens!J15300+Sens!J15305+Sens!J15306+Sens!J15308+Sens!J15310-Sens!J15312)+(Sens!J15313+Sens!J15315+Sens!J15317-Sens!J15319)</f>
        <v>0</v>
      </c>
      <c r="K15321" s="27" t="n">
        <f aca="false">(Sens!K15300+Sens!K15305+Sens!K15306+Sens!K15308+Sens!K15310-Sens!K15312)+(Sens!K15313+Sens!K15315+Sens!K15317-Sens!K15319)</f>
        <v>0</v>
      </c>
    </row>
    <row r="15322" customFormat="false" ht="17.15" hidden="false" customHeight="false" outlineLevel="0" collapsed="false">
      <c r="A15322" s="3" t="s">
        <v>1989</v>
      </c>
    </row>
    <row r="15323" customFormat="false" ht="15" hidden="false" customHeight="false" outlineLevel="0" collapsed="false">
      <c r="A15323" s="4" t="s">
        <v>43</v>
      </c>
      <c r="B15323" s="4" t="s">
        <v>65</v>
      </c>
      <c r="C15323" s="23" t="s">
        <v>942</v>
      </c>
      <c r="D15323" s="23" t="s">
        <v>943</v>
      </c>
      <c r="E15323" s="23" t="s">
        <v>944</v>
      </c>
      <c r="F15323" s="23" t="s">
        <v>945</v>
      </c>
      <c r="G15323" s="23" t="s">
        <v>946</v>
      </c>
      <c r="H15323" s="23" t="s">
        <v>947</v>
      </c>
      <c r="I15323" s="23" t="s">
        <v>948</v>
      </c>
      <c r="J15323" s="23" t="s">
        <v>949</v>
      </c>
      <c r="K15323" s="23" t="s">
        <v>950</v>
      </c>
      <c r="L15323" s="4" t="s">
        <v>47</v>
      </c>
    </row>
    <row r="15324" customFormat="false" ht="15" hidden="false" customHeight="false" outlineLevel="0" collapsed="false">
      <c r="A15324" s="0" t="s">
        <v>1029</v>
      </c>
      <c r="B15324" s="0" t="s">
        <v>98</v>
      </c>
      <c r="D15324" s="6" t="n">
        <f aca="false">Sens!D15300</f>
        <v>72.61</v>
      </c>
      <c r="E15324" s="6" t="n">
        <f aca="false">Sens!E15300</f>
        <v>101.938</v>
      </c>
      <c r="F15324" s="6" t="n">
        <f aca="false">Sens!F15300</f>
        <v>133.296941025476</v>
      </c>
      <c r="G15324" s="6" t="n">
        <f aca="false">Sens!G15300</f>
        <v>154.083355571975</v>
      </c>
      <c r="H15324" s="6" t="n">
        <f aca="false">Sens!H15300</f>
        <v>170.551432475992</v>
      </c>
      <c r="I15324" s="6" t="n">
        <f aca="false">Sens!I15300</f>
        <v>188.988469328104</v>
      </c>
      <c r="J15324" s="6" t="n">
        <f aca="false">Sens!J15300</f>
        <v>206.196370273967</v>
      </c>
      <c r="K15324" s="6" t="n">
        <f aca="false">Sens!K15300</f>
        <v>221.925885597278</v>
      </c>
    </row>
    <row r="15325" customFormat="false" ht="17.15" hidden="false" customHeight="false" outlineLevel="0" collapsed="false">
      <c r="A15325" s="0" t="s">
        <v>1025</v>
      </c>
      <c r="B15325" s="0" t="s">
        <v>98</v>
      </c>
      <c r="D15325" s="6" t="n">
        <f aca="false">Sens!D15297</f>
        <v>12.9359794422418</v>
      </c>
      <c r="E15325" s="6" t="n">
        <f aca="false">Sens!E15297</f>
        <v>27.8095064661409</v>
      </c>
      <c r="F15325" s="6" t="n">
        <f aca="false">Sens!F15297</f>
        <v>38.2259783649916</v>
      </c>
      <c r="G15325" s="6" t="n">
        <f aca="false">Sens!G15297</f>
        <v>41.1248620805705</v>
      </c>
      <c r="H15325" s="6" t="n">
        <f aca="false">Sens!H15297</f>
        <v>39.3939767870212</v>
      </c>
      <c r="I15325" s="6" t="n">
        <f aca="false">Sens!I15297</f>
        <v>40.2461266001841</v>
      </c>
      <c r="J15325" s="6" t="n">
        <f aca="false">Sens!J15297</f>
        <v>41.5330467261851</v>
      </c>
      <c r="K15325" s="6" t="n">
        <f aca="false">Sens!K15297</f>
        <v>44.0894961656736</v>
      </c>
    </row>
    <row r="15326" customFormat="false" ht="17.15" hidden="false" customHeight="false" outlineLevel="0" collapsed="false">
      <c r="A15326" s="0" t="s">
        <v>1056</v>
      </c>
      <c r="B15326" s="0" t="s">
        <v>98</v>
      </c>
      <c r="D15326" s="6" t="n">
        <f aca="false">Sens!D15298</f>
        <v>59.6740205577583</v>
      </c>
      <c r="E15326" s="6" t="n">
        <f aca="false">Sens!E15298</f>
        <v>74.1284935338591</v>
      </c>
      <c r="F15326" s="6" t="n">
        <f aca="false">Sens!F15298</f>
        <v>95.0709626604845</v>
      </c>
      <c r="G15326" s="6" t="n">
        <f aca="false">Sens!G15298</f>
        <v>112.958493491404</v>
      </c>
      <c r="H15326" s="6" t="n">
        <f aca="false">Sens!H15298</f>
        <v>131.157455688971</v>
      </c>
      <c r="I15326" s="6" t="n">
        <f aca="false">Sens!I15298</f>
        <v>148.74234272792</v>
      </c>
      <c r="J15326" s="6" t="n">
        <f aca="false">Sens!J15298</f>
        <v>164.663323547782</v>
      </c>
      <c r="K15326" s="6" t="n">
        <f aca="false">Sens!K15298</f>
        <v>177.836389431605</v>
      </c>
    </row>
    <row r="15327" customFormat="false" ht="15" hidden="false" customHeight="false" outlineLevel="0" collapsed="false">
      <c r="A15327" s="0" t="s">
        <v>1036</v>
      </c>
      <c r="B15327" s="0" t="s">
        <v>98</v>
      </c>
      <c r="D15327" s="6" t="n">
        <f aca="false">Sens!D15305</f>
        <v>84.605</v>
      </c>
      <c r="E15327" s="6" t="n">
        <f aca="false">Sens!E15305</f>
        <v>100.299</v>
      </c>
      <c r="F15327" s="6" t="n">
        <f aca="false">Sens!F15305</f>
        <v>117.438354189776</v>
      </c>
      <c r="G15327" s="6" t="n">
        <f aca="false">Sens!G15305</f>
        <v>132.595360443801</v>
      </c>
      <c r="H15327" s="6" t="n">
        <f aca="false">Sens!H15305</f>
        <v>147.833811964563</v>
      </c>
      <c r="I15327" s="6" t="n">
        <f aca="false">Sens!I15305</f>
        <v>162.145665319381</v>
      </c>
      <c r="J15327" s="6" t="n">
        <f aca="false">Sens!J15305</f>
        <v>175.249327755573</v>
      </c>
      <c r="K15327" s="6" t="n">
        <f aca="false">Sens!K15305</f>
        <v>187.599280698463</v>
      </c>
    </row>
    <row r="15328" customFormat="false" ht="17.15" hidden="false" customHeight="false" outlineLevel="0" collapsed="false">
      <c r="A15328" s="0" t="s">
        <v>1057</v>
      </c>
      <c r="B15328" s="0" t="s">
        <v>98</v>
      </c>
      <c r="D15328" s="6" t="n">
        <f aca="false">Sens!D15303</f>
        <v>83.705</v>
      </c>
      <c r="E15328" s="6" t="n">
        <f aca="false">Sens!E15303</f>
        <v>95.049</v>
      </c>
      <c r="F15328" s="6" t="n">
        <f aca="false">Sens!F15303</f>
        <v>106.938354189776</v>
      </c>
      <c r="G15328" s="6" t="n">
        <f aca="false">Sens!G15303</f>
        <v>119.095360443801</v>
      </c>
      <c r="H15328" s="6" t="n">
        <f aca="false">Sens!H15303</f>
        <v>131.333811964563</v>
      </c>
      <c r="I15328" s="6" t="n">
        <f aca="false">Sens!I15303</f>
        <v>143.395665319381</v>
      </c>
      <c r="J15328" s="6" t="n">
        <f aca="false">Sens!J15303</f>
        <v>154.999327755573</v>
      </c>
      <c r="K15328" s="6" t="n">
        <f aca="false">Sens!K15303</f>
        <v>165.849280698463</v>
      </c>
    </row>
    <row r="15329" customFormat="false" ht="17.15" hidden="false" customHeight="false" outlineLevel="0" collapsed="false">
      <c r="A15329" s="0" t="s">
        <v>1058</v>
      </c>
      <c r="B15329" s="0" t="s">
        <v>98</v>
      </c>
      <c r="D15329" s="6" t="n">
        <f aca="false">Sens!D15302</f>
        <v>0.9</v>
      </c>
      <c r="E15329" s="6" t="n">
        <f aca="false">Sens!E15302</f>
        <v>5.25</v>
      </c>
      <c r="F15329" s="6" t="n">
        <f aca="false">Sens!F15302</f>
        <v>10.5</v>
      </c>
      <c r="G15329" s="6" t="n">
        <f aca="false">Sens!G15302</f>
        <v>13.5</v>
      </c>
      <c r="H15329" s="6" t="n">
        <f aca="false">Sens!H15302</f>
        <v>16.5</v>
      </c>
      <c r="I15329" s="6" t="n">
        <f aca="false">Sens!I15302</f>
        <v>18.75</v>
      </c>
      <c r="J15329" s="6" t="n">
        <f aca="false">Sens!J15302</f>
        <v>20.25</v>
      </c>
      <c r="K15329" s="6" t="n">
        <f aca="false">Sens!K15302</f>
        <v>21.75</v>
      </c>
    </row>
    <row r="15330" customFormat="false" ht="15" hidden="false" customHeight="false" outlineLevel="0" collapsed="false">
      <c r="A15330" s="0" t="s">
        <v>1037</v>
      </c>
      <c r="B15330" s="0" t="s">
        <v>98</v>
      </c>
      <c r="D15330" s="6" t="n">
        <f aca="false">Sens!D15306</f>
        <v>35.391</v>
      </c>
      <c r="E15330" s="6" t="n">
        <f aca="false">Sens!E15306</f>
        <v>37.285</v>
      </c>
      <c r="F15330" s="6" t="n">
        <f aca="false">Sens!F15306</f>
        <v>38.3851437782675</v>
      </c>
      <c r="G15330" s="6" t="n">
        <f aca="false">Sens!G15306</f>
        <v>40.0105353288615</v>
      </c>
      <c r="H15330" s="6" t="n">
        <f aca="false">Sens!H15306</f>
        <v>41.4812512033683</v>
      </c>
      <c r="I15330" s="6" t="n">
        <f aca="false">Sens!I15306</f>
        <v>42.7743107216329</v>
      </c>
      <c r="J15330" s="6" t="n">
        <f aca="false">Sens!J15306</f>
        <v>43.8687373064601</v>
      </c>
      <c r="K15330" s="6" t="n">
        <f aca="false">Sens!K15306</f>
        <v>44.7461120525893</v>
      </c>
    </row>
    <row r="15331" customFormat="false" ht="15" hidden="false" customHeight="false" outlineLevel="0" collapsed="false">
      <c r="A15331" s="0" t="s">
        <v>1039</v>
      </c>
      <c r="B15331" s="0" t="s">
        <v>98</v>
      </c>
      <c r="D15331" s="6" t="n">
        <f aca="false">Sens!D15308</f>
        <v>18.417</v>
      </c>
      <c r="E15331" s="6" t="n">
        <f aca="false">Sens!E15308</f>
        <v>20.345</v>
      </c>
      <c r="F15331" s="6" t="n">
        <f aca="false">Sens!F15308</f>
        <v>22.3161797133988</v>
      </c>
      <c r="G15331" s="6" t="n">
        <f aca="false">Sens!G15308</f>
        <v>24.3943499673233</v>
      </c>
      <c r="H15331" s="6" t="n">
        <f aca="false">Sens!H15308</f>
        <v>26.5250243109019</v>
      </c>
      <c r="I15331" s="6" t="n">
        <f aca="false">Sens!I15308</f>
        <v>28.6884573538181</v>
      </c>
      <c r="J15331" s="6" t="n">
        <f aca="false">Sens!J15308</f>
        <v>30.8624968052127</v>
      </c>
      <c r="K15331" s="6" t="n">
        <f aca="false">Sens!K15308</f>
        <v>33.0228715815776</v>
      </c>
    </row>
    <row r="15332" customFormat="false" ht="15" hidden="false" customHeight="false" outlineLevel="0" collapsed="false">
      <c r="A15332" s="0" t="s">
        <v>1040</v>
      </c>
      <c r="B15332" s="0" t="s">
        <v>98</v>
      </c>
      <c r="D15332" s="6" t="n">
        <f aca="false">Sens!D15310</f>
        <v>7.76</v>
      </c>
      <c r="E15332" s="6" t="n">
        <f aca="false">Sens!E15310</f>
        <v>8.26</v>
      </c>
      <c r="F15332" s="6" t="n">
        <f aca="false">Sens!F15310</f>
        <v>8.75372082474227</v>
      </c>
      <c r="G15332" s="6" t="n">
        <f aca="false">Sens!G15310</f>
        <v>9.33399324642364</v>
      </c>
      <c r="H15332" s="6" t="n">
        <f aca="false">Sens!H15310</f>
        <v>9.96139155535851</v>
      </c>
      <c r="I15332" s="6" t="n">
        <f aca="false">Sens!I15310</f>
        <v>10.6402039077391</v>
      </c>
      <c r="J15332" s="6" t="n">
        <f aca="false">Sens!J15310</f>
        <v>11.3751458271397</v>
      </c>
      <c r="K15332" s="6" t="n">
        <f aca="false">Sens!K15310</f>
        <v>12.1714060350394</v>
      </c>
    </row>
    <row r="15333" customFormat="false" ht="15" hidden="false" customHeight="false" outlineLevel="0" collapsed="false">
      <c r="A15333" s="0" t="s">
        <v>856</v>
      </c>
      <c r="B15333" s="0" t="s">
        <v>98</v>
      </c>
      <c r="D15333" s="6" t="n">
        <f aca="false">Sens!D15312</f>
        <v>218.783</v>
      </c>
      <c r="E15333" s="6" t="n">
        <f aca="false">Sens!E15312</f>
        <v>268.127</v>
      </c>
      <c r="F15333" s="6" t="n">
        <f aca="false">Sens!F15312</f>
        <v>320.19033953166</v>
      </c>
      <c r="G15333" s="6" t="n">
        <f aca="false">Sens!G15312</f>
        <v>360.417594558384</v>
      </c>
      <c r="H15333" s="6" t="n">
        <f aca="false">Sens!H15312</f>
        <v>396.352911510184</v>
      </c>
      <c r="I15333" s="6" t="n">
        <f aca="false">Sens!I15312</f>
        <v>433.237106630676</v>
      </c>
      <c r="J15333" s="6" t="n">
        <f aca="false">Sens!J15312</f>
        <v>467.552077968353</v>
      </c>
      <c r="K15333" s="6" t="n">
        <f aca="false">Sens!K15312</f>
        <v>499.465555964948</v>
      </c>
    </row>
    <row r="15334" customFormat="false" ht="15" hidden="false" customHeight="false" outlineLevel="0" collapsed="false">
      <c r="A15334" s="0" t="s">
        <v>1041</v>
      </c>
      <c r="B15334" s="0" t="s">
        <v>98</v>
      </c>
      <c r="D15334" s="6" t="n">
        <f aca="false">Sens!D15313</f>
        <v>22.171</v>
      </c>
      <c r="E15334" s="6" t="n">
        <f aca="false">Sens!E15313</f>
        <v>24.835</v>
      </c>
      <c r="F15334" s="6" t="n">
        <f aca="false">Sens!F15313</f>
        <v>27.5591895660247</v>
      </c>
      <c r="G15334" s="6" t="n">
        <f aca="false">Sens!G15313</f>
        <v>30.4098563144583</v>
      </c>
      <c r="H15334" s="6" t="n">
        <f aca="false">Sens!H15313</f>
        <v>33.3011792571777</v>
      </c>
      <c r="I15334" s="6" t="n">
        <f aca="false">Sens!I15313</f>
        <v>36.189023797112</v>
      </c>
      <c r="J15334" s="6" t="n">
        <f aca="false">Sens!J15313</f>
        <v>39.0247773769199</v>
      </c>
      <c r="K15334" s="6" t="n">
        <f aca="false">Sens!K15313</f>
        <v>41.7565117933043</v>
      </c>
    </row>
    <row r="15335" customFormat="false" ht="15" hidden="false" customHeight="false" outlineLevel="0" collapsed="false">
      <c r="A15335" s="0" t="s">
        <v>1042</v>
      </c>
      <c r="B15335" s="0" t="s">
        <v>98</v>
      </c>
      <c r="D15335" s="6" t="n">
        <f aca="false">Sens!D15315</f>
        <v>23.455</v>
      </c>
      <c r="E15335" s="6" t="n">
        <f aca="false">Sens!E15315</f>
        <v>21.79</v>
      </c>
      <c r="F15335" s="6" t="n">
        <f aca="false">Sens!F15315</f>
        <v>20.7520981041711</v>
      </c>
      <c r="G15335" s="6" t="n">
        <f aca="false">Sens!G15315</f>
        <v>19.9083593495882</v>
      </c>
      <c r="H15335" s="6" t="n">
        <f aca="false">Sens!H15315</f>
        <v>19.4008256265831</v>
      </c>
      <c r="I15335" s="6" t="n">
        <f aca="false">Sens!I15315</f>
        <v>19.200434522122</v>
      </c>
      <c r="J15335" s="6" t="n">
        <f aca="false">Sens!J15315</f>
        <v>19.2932782348507</v>
      </c>
      <c r="K15335" s="6" t="n">
        <f aca="false">Sens!K15315</f>
        <v>19.6791437995477</v>
      </c>
    </row>
    <row r="15336" customFormat="false" ht="15" hidden="false" customHeight="false" outlineLevel="0" collapsed="false">
      <c r="A15336" s="0" t="s">
        <v>1043</v>
      </c>
      <c r="B15336" s="0" t="s">
        <v>98</v>
      </c>
      <c r="D15336" s="6" t="n">
        <f aca="false">Sens!D15317</f>
        <v>17.315</v>
      </c>
      <c r="E15336" s="6" t="n">
        <f aca="false">Sens!E15317</f>
        <v>17.087</v>
      </c>
      <c r="F15336" s="6" t="n">
        <f aca="false">Sens!F15317</f>
        <v>15.9912273250553</v>
      </c>
      <c r="G15336" s="6" t="n">
        <f aca="false">Sens!G15317</f>
        <v>15.9574562664827</v>
      </c>
      <c r="H15336" s="6" t="n">
        <f aca="false">Sens!H15317</f>
        <v>16.0119687434196</v>
      </c>
      <c r="I15336" s="6" t="n">
        <f aca="false">Sens!I15317</f>
        <v>16.1551810001948</v>
      </c>
      <c r="J15336" s="6" t="n">
        <f aca="false">Sens!J15317</f>
        <v>16.3889793892005</v>
      </c>
      <c r="K15336" s="6" t="n">
        <f aca="false">Sens!K15317</f>
        <v>16.7167589769845</v>
      </c>
    </row>
    <row r="15337" customFormat="false" ht="15" hidden="false" customHeight="false" outlineLevel="0" collapsed="false">
      <c r="A15337" s="0" t="s">
        <v>870</v>
      </c>
      <c r="B15337" s="0" t="s">
        <v>98</v>
      </c>
      <c r="D15337" s="6" t="n">
        <f aca="false">Sens!D15319</f>
        <v>62.941</v>
      </c>
      <c r="E15337" s="6" t="n">
        <f aca="false">Sens!E15319</f>
        <v>63.712</v>
      </c>
      <c r="F15337" s="6" t="n">
        <f aca="false">Sens!F15319</f>
        <v>64.3025149952511</v>
      </c>
      <c r="G15337" s="6" t="n">
        <f aca="false">Sens!G15319</f>
        <v>66.2756719305292</v>
      </c>
      <c r="H15337" s="6" t="n">
        <f aca="false">Sens!H15319</f>
        <v>68.7139736271804</v>
      </c>
      <c r="I15337" s="6" t="n">
        <f aca="false">Sens!I15319</f>
        <v>71.5446393194289</v>
      </c>
      <c r="J15337" s="6" t="n">
        <f aca="false">Sens!J15319</f>
        <v>74.707035000971</v>
      </c>
      <c r="K15337" s="6" t="n">
        <f aca="false">Sens!K15319</f>
        <v>78.1524145698365</v>
      </c>
    </row>
    <row r="15338" customFormat="false" ht="15" hidden="false" customHeight="false" outlineLevel="0" collapsed="false">
      <c r="A15338" s="1" t="s">
        <v>1059</v>
      </c>
      <c r="B15338" s="0" t="s">
        <v>98</v>
      </c>
      <c r="D15338" s="6" t="n">
        <f aca="false">Sens!D15320</f>
        <v>281.724</v>
      </c>
      <c r="E15338" s="6" t="n">
        <f aca="false">Sens!E15320</f>
        <v>331.839</v>
      </c>
      <c r="F15338" s="6" t="n">
        <f aca="false">Sens!F15320</f>
        <v>384.492854526911</v>
      </c>
      <c r="G15338" s="6" t="n">
        <f aca="false">Sens!G15320</f>
        <v>426.693266488913</v>
      </c>
      <c r="H15338" s="6" t="n">
        <f aca="false">Sens!H15320</f>
        <v>465.066885137364</v>
      </c>
      <c r="I15338" s="6" t="n">
        <f aca="false">Sens!I15320</f>
        <v>504.781745950104</v>
      </c>
      <c r="J15338" s="6" t="n">
        <f aca="false">Sens!J15320</f>
        <v>542.259112969324</v>
      </c>
      <c r="K15338" s="6" t="n">
        <f aca="false">Sens!K15320</f>
        <v>577.617970534784</v>
      </c>
    </row>
    <row r="15339" customFormat="false" ht="15" hidden="false" customHeight="false" outlineLevel="0" collapsed="false">
      <c r="A15339" s="1" t="s">
        <v>1060</v>
      </c>
      <c r="B15339" s="0" t="s">
        <v>168</v>
      </c>
      <c r="E15339" s="7" t="n">
        <f aca="false">Sens!E15338/Sens!D15338-1</f>
        <v>0.177886867998467</v>
      </c>
      <c r="F15339" s="7" t="n">
        <f aca="false">Sens!F15338/Sens!E15338-1</f>
        <v>0.158672894165277</v>
      </c>
      <c r="G15339" s="7" t="n">
        <f aca="false">Sens!G15338/Sens!F15338-1</f>
        <v>0.109756036985202</v>
      </c>
      <c r="H15339" s="7" t="n">
        <f aca="false">Sens!H15338/Sens!G15338-1</f>
        <v>0.0899325620116118</v>
      </c>
      <c r="I15339" s="7" t="n">
        <f aca="false">Sens!I15338/Sens!H15338-1</f>
        <v>0.0853960195446071</v>
      </c>
      <c r="J15339" s="7" t="n">
        <f aca="false">Sens!J15338/Sens!I15338-1</f>
        <v>0.0742446954944438</v>
      </c>
      <c r="K15339" s="7" t="n">
        <f aca="false">Sens!K15338/Sens!J15338-1</f>
        <v>0.0652065713969121</v>
      </c>
    </row>
    <row r="15340" customFormat="false" ht="17.15" hidden="false" customHeight="false" outlineLevel="0" collapsed="false">
      <c r="A15340" s="26" t="s">
        <v>1061</v>
      </c>
      <c r="B15340" s="31" t="s">
        <v>98</v>
      </c>
      <c r="C15340" s="31"/>
      <c r="D15340" s="27" t="n">
        <f aca="false">(Sens!D15333+Sens!D15337-Sens!D15338)+(Sens!D15325+Sens!D15326-Sens!D15324)+(Sens!D15328+Sens!D15329-Sens!D15327)+(Sens!D15338-Q!L18)</f>
        <v>0</v>
      </c>
      <c r="E15340" s="27" t="n">
        <f aca="false">(Sens!E15333+Sens!E15337-Sens!E15338)+(Sens!E15325+Sens!E15326-Sens!E15324)+(Sens!E15328+Sens!E15329-Sens!E15327)+(Sens!E15338-Q!M18)</f>
        <v>0</v>
      </c>
      <c r="F15340" s="27" t="n">
        <f aca="false">(Sens!F15333+Sens!F15337-Sens!F15338)+(Sens!F15325+Sens!F15326-Sens!F15324)+(Sens!F15328+Sens!F15329-Sens!F15327)</f>
        <v>0</v>
      </c>
      <c r="G15340" s="27" t="n">
        <f aca="false">(Sens!G15333+Sens!G15337-Sens!G15338)+(Sens!G15325+Sens!G15326-Sens!G15324)+(Sens!G15328+Sens!G15329-Sens!G15327)</f>
        <v>0</v>
      </c>
      <c r="H15340" s="27" t="n">
        <f aca="false">(Sens!H15333+Sens!H15337-Sens!H15338)+(Sens!H15325+Sens!H15326-Sens!H15324)+(Sens!H15328+Sens!H15329-Sens!H15327)</f>
        <v>0</v>
      </c>
      <c r="I15340" s="27" t="n">
        <f aca="false">(Sens!I15333+Sens!I15337-Sens!I15338)+(Sens!I15325+Sens!I15326-Sens!I15324)+(Sens!I15328+Sens!I15329-Sens!I15327)</f>
        <v>0</v>
      </c>
      <c r="J15340" s="27" t="n">
        <f aca="false">(Sens!J15333+Sens!J15337-Sens!J15338)+(Sens!J15325+Sens!J15326-Sens!J15324)+(Sens!J15328+Sens!J15329-Sens!J15327)</f>
        <v>0</v>
      </c>
      <c r="K15340" s="27" t="n">
        <f aca="false">(Sens!K15333+Sens!K15337-Sens!K15338)+(Sens!K15325+Sens!K15326-Sens!K15324)+(Sens!K15328+Sens!K15329-Sens!K15327)</f>
        <v>0</v>
      </c>
    </row>
    <row r="15341" customFormat="false" ht="17.15" hidden="false" customHeight="false" outlineLevel="0" collapsed="false">
      <c r="A15341" s="0" t="s">
        <v>1062</v>
      </c>
      <c r="B15341" s="0" t="s">
        <v>168</v>
      </c>
      <c r="E15341" s="7" t="n">
        <f aca="false">(Q!M21+Sens!E15277+Sens!E15278+Sens!E15279+Sens!E15293-Sens!E15275)/(Q!M5-Sens!E15275)</f>
        <v>0.570957350878296</v>
      </c>
      <c r="F15341" s="7" t="n">
        <f aca="false">Sens!$E$15341+dm_seg</f>
        <v>0.570957350878296</v>
      </c>
      <c r="G15341" s="7" t="n">
        <f aca="false">Sens!$E$15341+dm_seg</f>
        <v>0.570957350878296</v>
      </c>
      <c r="H15341" s="7" t="n">
        <f aca="false">Sens!$E$15341+dm_seg</f>
        <v>0.570957350878296</v>
      </c>
      <c r="I15341" s="7" t="n">
        <f aca="false">Sens!$E$15341+dm_seg</f>
        <v>0.570957350878296</v>
      </c>
      <c r="J15341" s="7" t="n">
        <f aca="false">Sens!$E$15341+dm_seg</f>
        <v>0.570957350878296</v>
      </c>
      <c r="K15341" s="7" t="n">
        <f aca="false">Sens!$E$15341+dm_seg</f>
        <v>0.570957350878296</v>
      </c>
      <c r="L15341" s="12" t="s">
        <v>1063</v>
      </c>
    </row>
    <row r="15342" customFormat="false" ht="17.15" hidden="false" customHeight="false" outlineLevel="0" collapsed="false">
      <c r="A15342" s="0" t="s">
        <v>884</v>
      </c>
      <c r="B15342" s="0" t="s">
        <v>98</v>
      </c>
      <c r="D15342" s="6" t="n">
        <f aca="false">Q!L21</f>
        <v>110.814</v>
      </c>
      <c r="E15342" s="6" t="n">
        <f aca="false">Q!M21</f>
        <v>136.365</v>
      </c>
      <c r="F15342" s="6" t="n">
        <f aca="false">Q!$I$21+(Sens!F15341*(Sens!F15312-Sens!F15275)+Sens!F15275-(Sens!F15277+Sens!F15278+Sens!F15279)-Sens!F15293-Sens!F15376)*(Sens!F15312-Q!$I$5)/Sens!F15312</f>
        <v>149.14482335196</v>
      </c>
      <c r="G15342" s="6" t="n">
        <f aca="false">(Sens!G15341*(Sens!G15312-Sens!G15275)+Sens!G15275-(Sens!G15277+Sens!G15278+Sens!G15279)-Sens!G15293-Sens!G15376)</f>
        <v>160.846090862447</v>
      </c>
      <c r="H15342" s="6" t="n">
        <f aca="false">(Sens!H15341*(Sens!H15312-Sens!H15275)+Sens!H15275-(Sens!H15277+Sens!H15278+Sens!H15279)-Sens!H15293-Sens!H15376)</f>
        <v>178.350502011246</v>
      </c>
      <c r="I15342" s="6" t="n">
        <f aca="false">(Sens!I15341*(Sens!I15312-Sens!I15275)+Sens!I15275-(Sens!I15277+Sens!I15278+Sens!I15279)-Sens!I15293-Sens!I15376)</f>
        <v>200.202064724488</v>
      </c>
      <c r="J15342" s="6" t="n">
        <f aca="false">(Sens!J15341*(Sens!J15312-Sens!J15275)+Sens!J15275-(Sens!J15277+Sens!J15278+Sens!J15279)-Sens!J15293-Sens!J15376)</f>
        <v>219.755866274377</v>
      </c>
      <c r="K15342" s="6" t="n">
        <f aca="false">(Sens!K15341*(Sens!K15312-Sens!K15275)+Sens!K15275-(Sens!K15277+Sens!K15278+Sens!K15279)-Sens!K15293-Sens!K15376)</f>
        <v>237.069360089824</v>
      </c>
      <c r="L15342" s="1" t="s">
        <v>1064</v>
      </c>
    </row>
    <row r="15343" customFormat="false" ht="17.15" hidden="false" customHeight="false" outlineLevel="0" collapsed="false">
      <c r="A15343" s="0" t="s">
        <v>1065</v>
      </c>
      <c r="B15343" s="0" t="s">
        <v>168</v>
      </c>
      <c r="E15343" s="7" t="n">
        <f aca="false">Q!M22/Q!M12</f>
        <v>0.296207935710698</v>
      </c>
      <c r="F15343" s="7" t="n">
        <f aca="false">Sens!$E$15343+dm_seg</f>
        <v>0.296207935710698</v>
      </c>
      <c r="G15343" s="7" t="n">
        <f aca="false">Sens!$E$15343+dm_seg</f>
        <v>0.296207935710698</v>
      </c>
      <c r="H15343" s="7" t="n">
        <f aca="false">Sens!$E$15343+dm_seg</f>
        <v>0.296207935710698</v>
      </c>
      <c r="I15343" s="7" t="n">
        <f aca="false">Sens!$E$15343+dm_seg</f>
        <v>0.296207935710698</v>
      </c>
      <c r="J15343" s="7" t="n">
        <f aca="false">Sens!$E$15343+dm_seg</f>
        <v>0.296207935710698</v>
      </c>
      <c r="K15343" s="7" t="n">
        <f aca="false">Sens!$E$15343+dm_seg</f>
        <v>0.296207935710698</v>
      </c>
      <c r="L15343" s="12" t="s">
        <v>1066</v>
      </c>
    </row>
    <row r="15344" customFormat="false" ht="17.15" hidden="false" customHeight="false" outlineLevel="0" collapsed="false">
      <c r="A15344" s="0" t="s">
        <v>886</v>
      </c>
      <c r="B15344" s="0" t="s">
        <v>98</v>
      </c>
      <c r="D15344" s="6" t="n">
        <f aca="false">Q!L22</f>
        <v>17.714</v>
      </c>
      <c r="E15344" s="6" t="n">
        <f aca="false">Q!M22</f>
        <v>18.872</v>
      </c>
      <c r="F15344" s="6" t="n">
        <f aca="false">Q!$I$22+(Sens!F15319-Q!$I$12)*Sens!F15343</f>
        <v>19.8174315512051</v>
      </c>
      <c r="G15344" s="6" t="n">
        <f aca="false">Sens!G15319*Sens!G15343</f>
        <v>19.6313799703815</v>
      </c>
      <c r="H15344" s="6" t="n">
        <f aca="false">Sens!H15319*Sens!H15343</f>
        <v>20.3536242825865</v>
      </c>
      <c r="I15344" s="6" t="n">
        <f aca="false">Sens!I15319*Sens!I15343</f>
        <v>21.1920899239745</v>
      </c>
      <c r="J15344" s="6" t="n">
        <f aca="false">Sens!J15319*Sens!J15343</f>
        <v>22.1288166207045</v>
      </c>
      <c r="K15344" s="6" t="n">
        <f aca="false">Sens!K15319*Sens!K15343</f>
        <v>23.1493653905379</v>
      </c>
      <c r="L15344" s="12" t="s">
        <v>1067</v>
      </c>
    </row>
    <row r="15345" customFormat="false" ht="15" hidden="false" customHeight="false" outlineLevel="0" collapsed="false">
      <c r="A15345" s="1" t="s">
        <v>1068</v>
      </c>
      <c r="B15345" s="0" t="s">
        <v>98</v>
      </c>
      <c r="D15345" s="6" t="n">
        <f aca="false">Sens!D15342+Sens!D15344</f>
        <v>128.528</v>
      </c>
      <c r="E15345" s="6" t="n">
        <f aca="false">Sens!E15342+Sens!E15344</f>
        <v>155.237</v>
      </c>
      <c r="F15345" s="6" t="n">
        <f aca="false">Sens!F15342+Sens!F15344</f>
        <v>168.962254903165</v>
      </c>
      <c r="G15345" s="6" t="n">
        <f aca="false">Sens!G15342+Sens!G15344</f>
        <v>180.477470832828</v>
      </c>
      <c r="H15345" s="6" t="n">
        <f aca="false">Sens!H15342+Sens!H15344</f>
        <v>198.704126293833</v>
      </c>
      <c r="I15345" s="6" t="n">
        <f aca="false">Sens!I15342+Sens!I15344</f>
        <v>221.394154648462</v>
      </c>
      <c r="J15345" s="6" t="n">
        <f aca="false">Sens!J15342+Sens!J15344</f>
        <v>241.884682895082</v>
      </c>
      <c r="K15345" s="6" t="n">
        <f aca="false">Sens!K15342+Sens!K15344</f>
        <v>260.218725480362</v>
      </c>
    </row>
    <row r="15346" customFormat="false" ht="15" hidden="false" customHeight="false" outlineLevel="0" collapsed="false">
      <c r="A15346" s="26" t="s">
        <v>1069</v>
      </c>
      <c r="B15346" s="31" t="s">
        <v>98</v>
      </c>
      <c r="C15346" s="31"/>
      <c r="D15346" s="27" t="n">
        <f aca="false">Sens!D15345-Q!L23</f>
        <v>0</v>
      </c>
      <c r="E15346" s="27" t="n">
        <f aca="false">Sens!E15345-Q!M23</f>
        <v>0</v>
      </c>
      <c r="F15346" s="31"/>
      <c r="G15346" s="31"/>
      <c r="H15346" s="31"/>
      <c r="I15346" s="31"/>
      <c r="J15346" s="31"/>
      <c r="K15346" s="31"/>
    </row>
    <row r="15347" customFormat="false" ht="15" hidden="false" customHeight="false" outlineLevel="0" collapsed="false">
      <c r="A15347" s="1" t="s">
        <v>1070</v>
      </c>
      <c r="B15347" s="0" t="s">
        <v>168</v>
      </c>
      <c r="D15347" s="7" t="n">
        <f aca="false">Sens!D15345/Sens!D15338</f>
        <v>0.456219562408598</v>
      </c>
      <c r="E15347" s="7" t="n">
        <f aca="false">Sens!E15345/Sens!E15338</f>
        <v>0.467808184089272</v>
      </c>
      <c r="F15347" s="7" t="n">
        <f aca="false">Sens!F15345/Sens!F15338</f>
        <v>0.439441859357984</v>
      </c>
      <c r="G15347" s="7" t="n">
        <f aca="false">Sens!G15345/Sens!G15338</f>
        <v>0.422967703047917</v>
      </c>
      <c r="H15347" s="7" t="n">
        <f aca="false">Sens!H15345/Sens!H15338</f>
        <v>0.42725924516243</v>
      </c>
      <c r="I15347" s="7" t="n">
        <f aca="false">Sens!I15345/Sens!I15338</f>
        <v>0.438593820843803</v>
      </c>
      <c r="J15347" s="7" t="n">
        <f aca="false">Sens!J15345/Sens!J15338</f>
        <v>0.446068451612662</v>
      </c>
      <c r="K15347" s="7" t="n">
        <f aca="false">Sens!K15345/Sens!K15338</f>
        <v>0.450503167758856</v>
      </c>
    </row>
    <row r="15348" customFormat="false" ht="17.15" hidden="false" customHeight="false" outlineLevel="0" collapsed="false">
      <c r="A15348" s="1" t="s">
        <v>1071</v>
      </c>
      <c r="B15348" s="0" t="s">
        <v>98</v>
      </c>
      <c r="F15348" s="6" t="n">
        <f aca="false">Sens!F15363</f>
        <v>3.32169808276811</v>
      </c>
      <c r="G15348" s="6" t="n">
        <f aca="false">Sens!G15363</f>
        <v>4.83073330153996</v>
      </c>
      <c r="H15348" s="6" t="n">
        <f aca="false">Sens!H15363</f>
        <v>4.74830776187797</v>
      </c>
      <c r="I15348" s="6" t="n">
        <f aca="false">Sens!I15363</f>
        <v>3.69811128440021</v>
      </c>
      <c r="J15348" s="6" t="n">
        <f aca="false">Sens!J15363</f>
        <v>3.19575402518239</v>
      </c>
      <c r="K15348" s="6" t="n">
        <f aca="false">Sens!K15363</f>
        <v>3.04269068486014</v>
      </c>
      <c r="L15348" s="1" t="s">
        <v>1072</v>
      </c>
    </row>
    <row r="15349" customFormat="false" ht="17.15" hidden="false" customHeight="false" outlineLevel="0" collapsed="false">
      <c r="A15349" s="1" t="s">
        <v>1073</v>
      </c>
      <c r="B15349" s="0" t="s">
        <v>98</v>
      </c>
      <c r="D15349" s="6" t="n">
        <f aca="false">Sens!D15345</f>
        <v>128.528</v>
      </c>
      <c r="E15349" s="6" t="n">
        <f aca="false">Sens!E15345</f>
        <v>155.237</v>
      </c>
      <c r="F15349" s="6" t="n">
        <f aca="false">Sens!F15345+Sens!F15348</f>
        <v>172.283952985933</v>
      </c>
      <c r="G15349" s="6" t="n">
        <f aca="false">Sens!G15345+Sens!G15348</f>
        <v>185.308204134368</v>
      </c>
      <c r="H15349" s="6" t="n">
        <f aca="false">Sens!H15345+Sens!H15348</f>
        <v>203.452434055711</v>
      </c>
      <c r="I15349" s="6" t="n">
        <f aca="false">Sens!I15345+Sens!I15348</f>
        <v>225.092265932863</v>
      </c>
      <c r="J15349" s="6" t="n">
        <f aca="false">Sens!J15345+Sens!J15348</f>
        <v>245.080436920264</v>
      </c>
      <c r="K15349" s="6" t="n">
        <f aca="false">Sens!K15345+Sens!K15348</f>
        <v>263.261416165222</v>
      </c>
    </row>
    <row r="15350" customFormat="false" ht="17.15" hidden="false" customHeight="false" outlineLevel="0" collapsed="false">
      <c r="A15350" s="1" t="s">
        <v>1074</v>
      </c>
      <c r="B15350" s="0" t="s">
        <v>98</v>
      </c>
      <c r="E15350" s="6" t="n">
        <f aca="false">Sens!E15293</f>
        <v>16.3054059770833</v>
      </c>
      <c r="F15350" s="6" t="n">
        <f aca="false">Sens!F15293</f>
        <v>24.549027677</v>
      </c>
      <c r="G15350" s="6" t="n">
        <f aca="false">Sens!G15293</f>
        <v>29.185632823</v>
      </c>
      <c r="H15350" s="6" t="n">
        <f aca="false">Sens!H15293</f>
        <v>31.677584917</v>
      </c>
      <c r="I15350" s="6" t="n">
        <f aca="false">Sens!I15293</f>
        <v>32.2298649310278</v>
      </c>
      <c r="J15350" s="6" t="n">
        <f aca="false">Sens!J15293</f>
        <v>33.6162004764444</v>
      </c>
      <c r="K15350" s="6" t="n">
        <f aca="false">Sens!K15293</f>
        <v>36.1070960499167</v>
      </c>
    </row>
    <row r="15351" customFormat="false" ht="17.15" hidden="false" customHeight="false" outlineLevel="0" collapsed="false">
      <c r="A15351" s="1" t="s">
        <v>1075</v>
      </c>
      <c r="B15351" s="0" t="s">
        <v>98</v>
      </c>
      <c r="E15351" s="6" t="n">
        <f aca="false">Sens!E15375</f>
        <v>22.2285940229167</v>
      </c>
      <c r="F15351" s="6" t="n">
        <f aca="false">Sens!F15375</f>
        <v>37.458367358225</v>
      </c>
      <c r="G15351" s="6" t="n">
        <f aca="false">Sens!G15375</f>
        <v>37.8971931807589</v>
      </c>
      <c r="H15351" s="6" t="n">
        <f aca="false">Sens!H15375</f>
        <v>38.8470034950136</v>
      </c>
      <c r="I15351" s="6" t="n">
        <f aca="false">Sens!I15375</f>
        <v>40.2363776179593</v>
      </c>
      <c r="J15351" s="6" t="n">
        <f aca="false">Sens!J15375</f>
        <v>41.976670284337</v>
      </c>
      <c r="K15351" s="6" t="n">
        <f aca="false">Sens!K15375</f>
        <v>43.9704272663843</v>
      </c>
    </row>
    <row r="15352" customFormat="false" ht="17.15" hidden="false" customHeight="false" outlineLevel="0" collapsed="false">
      <c r="A15352" s="1" t="s">
        <v>1076</v>
      </c>
      <c r="B15352" s="0" t="s">
        <v>98</v>
      </c>
      <c r="D15352" s="6" t="n">
        <f aca="false">Q!L27</f>
        <v>-4.901</v>
      </c>
      <c r="E15352" s="6" t="n">
        <f aca="false">Q!M27</f>
        <v>10.697</v>
      </c>
      <c r="F15352" s="6" t="n">
        <f aca="false">Q!$I$27+oie_f*(q_per_yr-1)/q_per_yr</f>
        <v>-0.862</v>
      </c>
      <c r="G15352" s="6" t="n">
        <f aca="false">oie_f</f>
        <v>-1.2</v>
      </c>
      <c r="H15352" s="6" t="n">
        <f aca="false">oie_f</f>
        <v>-1.2</v>
      </c>
      <c r="I15352" s="6" t="n">
        <f aca="false">oie_f</f>
        <v>-1.2</v>
      </c>
      <c r="J15352" s="6" t="n">
        <f aca="false">oie_f</f>
        <v>-1.2</v>
      </c>
      <c r="K15352" s="6" t="n">
        <f aca="false">oie_f</f>
        <v>-1.2</v>
      </c>
      <c r="L15352" s="12" t="s">
        <v>1077</v>
      </c>
    </row>
    <row r="15353" customFormat="false" ht="15" hidden="false" customHeight="false" outlineLevel="0" collapsed="false">
      <c r="A15353" s="1" t="s">
        <v>1078</v>
      </c>
      <c r="B15353" s="0" t="s">
        <v>98</v>
      </c>
      <c r="D15353" s="6" t="n">
        <f aca="false">Sens!D15345+Sens!D15352</f>
        <v>123.627</v>
      </c>
      <c r="E15353" s="6" t="n">
        <f aca="false">Sens!E15345+Sens!E15352</f>
        <v>165.934</v>
      </c>
      <c r="F15353" s="6" t="n">
        <f aca="false">Sens!F15345+Sens!F15352</f>
        <v>168.100254903165</v>
      </c>
      <c r="G15353" s="6" t="n">
        <f aca="false">Sens!G15345+Sens!G15352</f>
        <v>179.277470832828</v>
      </c>
      <c r="H15353" s="6" t="n">
        <f aca="false">Sens!H15345+Sens!H15352</f>
        <v>197.504126293833</v>
      </c>
      <c r="I15353" s="6" t="n">
        <f aca="false">Sens!I15345+Sens!I15352</f>
        <v>220.194154648462</v>
      </c>
      <c r="J15353" s="6" t="n">
        <f aca="false">Sens!J15345+Sens!J15352</f>
        <v>240.684682895082</v>
      </c>
      <c r="K15353" s="6" t="n">
        <f aca="false">Sens!K15345+Sens!K15352</f>
        <v>259.018725480362</v>
      </c>
    </row>
    <row r="15354" customFormat="false" ht="15" hidden="false" customHeight="false" outlineLevel="0" collapsed="false">
      <c r="A15354" s="1" t="s">
        <v>1079</v>
      </c>
      <c r="B15354" s="0" t="s">
        <v>98</v>
      </c>
      <c r="D15354" s="6" t="n">
        <f aca="false">Q!L29</f>
        <v>21.795</v>
      </c>
      <c r="E15354" s="6" t="n">
        <f aca="false">Q!M29</f>
        <v>32.185</v>
      </c>
      <c r="F15354" s="6" t="n">
        <f aca="false">Q!$I$29+(Sens!F15353-Q!$I$28)*tax_f</f>
        <v>33.7534509806329</v>
      </c>
      <c r="G15354" s="6" t="n">
        <f aca="false">Sens!G15353*tax_f</f>
        <v>35.8554941665657</v>
      </c>
      <c r="H15354" s="6" t="n">
        <f aca="false">Sens!H15353*tax_f</f>
        <v>39.5008252587666</v>
      </c>
      <c r="I15354" s="6" t="n">
        <f aca="false">Sens!I15353*tax_f</f>
        <v>44.0388309296925</v>
      </c>
      <c r="J15354" s="6" t="n">
        <f aca="false">Sens!J15353*tax_f</f>
        <v>48.1369365790164</v>
      </c>
      <c r="K15354" s="6" t="n">
        <f aca="false">Sens!K15353*tax_f</f>
        <v>51.8037450960724</v>
      </c>
    </row>
    <row r="15355" customFormat="false" ht="15" hidden="false" customHeight="false" outlineLevel="0" collapsed="false">
      <c r="A15355" s="1" t="s">
        <v>1080</v>
      </c>
      <c r="B15355" s="0" t="s">
        <v>98</v>
      </c>
      <c r="D15355" s="6" t="n">
        <f aca="false">Sens!D15353-Sens!D15354</f>
        <v>101.832</v>
      </c>
      <c r="E15355" s="6" t="n">
        <f aca="false">Sens!E15353-Sens!E15354</f>
        <v>133.749</v>
      </c>
      <c r="F15355" s="6" t="n">
        <f aca="false">Sens!F15353-Sens!F15354</f>
        <v>134.346803922532</v>
      </c>
      <c r="G15355" s="6" t="n">
        <f aca="false">Sens!G15353-Sens!G15354</f>
        <v>143.421976666263</v>
      </c>
      <c r="H15355" s="6" t="n">
        <f aca="false">Sens!H15353-Sens!H15354</f>
        <v>158.003301035066</v>
      </c>
      <c r="I15355" s="6" t="n">
        <f aca="false">Sens!I15353-Sens!I15354</f>
        <v>176.15532371877</v>
      </c>
      <c r="J15355" s="6" t="n">
        <f aca="false">Sens!J15353-Sens!J15354</f>
        <v>192.547746316066</v>
      </c>
      <c r="K15355" s="6" t="n">
        <f aca="false">Sens!K15353-Sens!K15354</f>
        <v>207.21498038429</v>
      </c>
    </row>
    <row r="15356" customFormat="false" ht="17.15" hidden="false" customHeight="false" outlineLevel="0" collapsed="false">
      <c r="A15356" s="1" t="s">
        <v>1081</v>
      </c>
      <c r="B15356" s="1" t="s">
        <v>81</v>
      </c>
      <c r="D15356" s="15" t="n">
        <f aca="false">Q!L31</f>
        <v>7.465</v>
      </c>
      <c r="E15356" s="15" t="n">
        <f aca="false">Q!M31</f>
        <v>7.453</v>
      </c>
      <c r="F15356" s="15" t="n">
        <f aca="false">Sens!F15400</f>
        <v>7.4735</v>
      </c>
      <c r="G15356" s="15" t="n">
        <f aca="false">Sens!G15400</f>
        <v>7.49981593415111</v>
      </c>
      <c r="H15356" s="15" t="n">
        <f aca="false">Sens!H15400</f>
        <v>7.50883180733101</v>
      </c>
      <c r="I15356" s="15" t="n">
        <f aca="false">Sens!I15400</f>
        <v>7.52051317138648</v>
      </c>
      <c r="J15356" s="15" t="n">
        <f aca="false">Sens!J15400</f>
        <v>7.53466258254895</v>
      </c>
      <c r="K15356" s="15" t="n">
        <f aca="false">Sens!K15400</f>
        <v>7.55109722251421</v>
      </c>
    </row>
    <row r="15357" customFormat="false" ht="17.15" hidden="false" customHeight="false" outlineLevel="0" collapsed="false">
      <c r="A15357" s="0" t="s">
        <v>1082</v>
      </c>
      <c r="B15357" s="0" t="s">
        <v>75</v>
      </c>
      <c r="D15357" s="8" t="n">
        <f aca="false">Sens!D15355/Sens!D15356</f>
        <v>13.641259209645</v>
      </c>
      <c r="E15357" s="8" t="n">
        <f aca="false">Sens!E15355/Sens!E15356</f>
        <v>17.9456594659869</v>
      </c>
      <c r="F15357" s="8" t="n">
        <f aca="false">Sens!F15355/Sens!F15356</f>
        <v>17.9764238874064</v>
      </c>
      <c r="G15357" s="8" t="n">
        <f aca="false">Sens!G15355/Sens!G15356</f>
        <v>19.1233995508046</v>
      </c>
      <c r="H15357" s="8" t="n">
        <f aca="false">Sens!H15355/Sens!H15356</f>
        <v>21.0423278999011</v>
      </c>
      <c r="I15357" s="8" t="n">
        <f aca="false">Sens!I15355/Sens!I15356</f>
        <v>23.4233116416833</v>
      </c>
      <c r="J15357" s="8" t="n">
        <f aca="false">Sens!J15355/Sens!J15356</f>
        <v>25.5549262102361</v>
      </c>
      <c r="K15357" s="8" t="n">
        <f aca="false">Sens!K15355/Sens!K15356</f>
        <v>27.4417047321893</v>
      </c>
      <c r="L15357" s="1" t="s">
        <v>1083</v>
      </c>
    </row>
    <row r="15358" customFormat="false" ht="17.15" hidden="false" customHeight="false" outlineLevel="0" collapsed="false">
      <c r="A15358" s="1" t="s">
        <v>1084</v>
      </c>
      <c r="B15358" s="0" t="s">
        <v>98</v>
      </c>
      <c r="D15358" s="6" t="n">
        <f aca="false">Sens!D15355</f>
        <v>101.832</v>
      </c>
      <c r="E15358" s="6" t="n">
        <f aca="false">Sens!E15355</f>
        <v>133.749</v>
      </c>
      <c r="F15358" s="6" t="n">
        <f aca="false">Sens!F15355+Sens!F15348*(1-tax_f)</f>
        <v>137.004162388746</v>
      </c>
      <c r="G15358" s="6" t="n">
        <f aca="false">Sens!G15355+Sens!G15348*(1-tax_f)</f>
        <v>147.286563307495</v>
      </c>
      <c r="H15358" s="6" t="n">
        <f aca="false">Sens!H15355+Sens!H15348*(1-tax_f)</f>
        <v>161.801947244569</v>
      </c>
      <c r="I15358" s="6" t="n">
        <f aca="false">Sens!I15355+Sens!I15348*(1-tax_f)</f>
        <v>179.11381274629</v>
      </c>
      <c r="J15358" s="6" t="n">
        <f aca="false">Sens!J15355+Sens!J15348*(1-tax_f)</f>
        <v>195.104349536211</v>
      </c>
      <c r="K15358" s="6" t="n">
        <f aca="false">Sens!K15355+Sens!K15348*(1-tax_f)</f>
        <v>209.649132932178</v>
      </c>
    </row>
    <row r="15359" customFormat="false" ht="17.15" hidden="false" customHeight="false" outlineLevel="0" collapsed="false">
      <c r="A15359" s="0" t="s">
        <v>1085</v>
      </c>
      <c r="B15359" s="0" t="s">
        <v>75</v>
      </c>
      <c r="D15359" s="8" t="n">
        <f aca="false">Sens!D15358/Sens!D15356</f>
        <v>13.641259209645</v>
      </c>
      <c r="E15359" s="8" t="n">
        <f aca="false">Sens!E15358/Sens!E15356</f>
        <v>17.9456594659869</v>
      </c>
      <c r="F15359" s="8" t="n">
        <f aca="false">Sens!F15358/Sens!F15356</f>
        <v>18.331994699772</v>
      </c>
      <c r="G15359" s="8" t="n">
        <f aca="false">Sens!G15358/Sens!G15356</f>
        <v>19.6386904159623</v>
      </c>
      <c r="H15359" s="8" t="n">
        <f aca="false">Sens!H15358/Sens!H15356</f>
        <v>21.5482183375846</v>
      </c>
      <c r="I15359" s="8" t="n">
        <f aca="false">Sens!I15358/Sens!I15356</f>
        <v>23.8167008905416</v>
      </c>
      <c r="J15359" s="8" t="n">
        <f aca="false">Sens!J15358/Sens!J15356</f>
        <v>25.8942384477963</v>
      </c>
      <c r="K15359" s="8" t="n">
        <f aca="false">Sens!K15358/Sens!K15356</f>
        <v>27.7640621957683</v>
      </c>
      <c r="L15359" s="1" t="s">
        <v>1086</v>
      </c>
    </row>
    <row r="15360" customFormat="false" ht="17.15" hidden="false" customHeight="false" outlineLevel="0" collapsed="false">
      <c r="A15360" s="0" t="s">
        <v>1087</v>
      </c>
      <c r="B15360" s="0" t="s">
        <v>168</v>
      </c>
      <c r="E15360" s="7" t="n">
        <f aca="false">Sens!E15359/Sens!D15359-1</f>
        <v>0.315542736208578</v>
      </c>
      <c r="F15360" s="7" t="n">
        <f aca="false">Sens!F15359/Sens!E15359-1</f>
        <v>0.021528060003446</v>
      </c>
      <c r="G15360" s="7" t="n">
        <f aca="false">Sens!G15359/Sens!F15359-1</f>
        <v>0.0712795163641702</v>
      </c>
      <c r="H15360" s="7" t="n">
        <f aca="false">Sens!H15359/Sens!G15359-1</f>
        <v>0.0972329560259386</v>
      </c>
      <c r="I15360" s="7" t="n">
        <f aca="false">Sens!I15359/Sens!H15359-1</f>
        <v>0.105274715404209</v>
      </c>
      <c r="J15360" s="7" t="n">
        <f aca="false">Sens!J15359/Sens!I15359-1</f>
        <v>0.0872302829347706</v>
      </c>
      <c r="K15360" s="7" t="n">
        <f aca="false">Sens!K15359/Sens!J15359-1</f>
        <v>0.0722100304954558</v>
      </c>
    </row>
    <row r="15361" customFormat="false" ht="17.15" hidden="false" customHeight="false" outlineLevel="0" collapsed="false">
      <c r="A15361" s="0" t="s">
        <v>1007</v>
      </c>
      <c r="B15361" s="0" t="s">
        <v>98</v>
      </c>
      <c r="E15361" s="6" t="n">
        <f aca="false">Sens!E15302</f>
        <v>5.25</v>
      </c>
      <c r="F15361" s="6" t="n">
        <f aca="false">Sens!F15302</f>
        <v>10.5</v>
      </c>
      <c r="G15361" s="6" t="n">
        <f aca="false">Sens!G15302</f>
        <v>13.5</v>
      </c>
      <c r="H15361" s="6" t="n">
        <f aca="false">Sens!H15302</f>
        <v>16.5</v>
      </c>
      <c r="I15361" s="6" t="n">
        <f aca="false">Sens!I15302</f>
        <v>18.75</v>
      </c>
      <c r="J15361" s="6" t="n">
        <f aca="false">Sens!J15302</f>
        <v>20.25</v>
      </c>
      <c r="K15361" s="6" t="n">
        <f aca="false">Sens!K15302</f>
        <v>21.75</v>
      </c>
    </row>
    <row r="15362" customFormat="false" ht="17.15" hidden="false" customHeight="false" outlineLevel="0" collapsed="false">
      <c r="A15362" s="1" t="s">
        <v>1008</v>
      </c>
      <c r="B15362" s="0" t="s">
        <v>98</v>
      </c>
      <c r="F15362" s="6" t="n">
        <f aca="false">MAX(0,((Sens!E15262+Sens!F15262)/2-(shadow_base*(Sens!$D$15262+Sens!$E$15262)/2+(1-shadow_base)*Sens!$E$15262))*Sens!F15271/1000-(Sens!F15361-Sens!$E$15361)*Sens!F15341)</f>
        <v>3.32169808276811</v>
      </c>
      <c r="G15362" s="6" t="n">
        <f aca="false">MAX(0,((Sens!F15262+Sens!G15262)/2-(shadow_base*(Sens!$D$15262+Sens!$E$15262)/2+(1-shadow_base)*Sens!$E$15262))*Sens!G15271/1000-(Sens!G15361-Sens!$E$15361)*Sens!G15341)</f>
        <v>4.83073330153996</v>
      </c>
      <c r="H15362" s="6" t="n">
        <f aca="false">MAX(0,((Sens!G15262+Sens!H15262)/2-(shadow_base*(Sens!$D$15262+Sens!$E$15262)/2+(1-shadow_base)*Sens!$E$15262))*Sens!H15271/1000-(Sens!H15361-Sens!$E$15361)*Sens!H15341)</f>
        <v>4.74830776187797</v>
      </c>
      <c r="I15362" s="6" t="n">
        <f aca="false">MAX(0,((Sens!H15262+Sens!I15262)/2-(shadow_base*(Sens!$D$15262+Sens!$E$15262)/2+(1-shadow_base)*Sens!$E$15262))*Sens!I15271/1000-(Sens!I15361-Sens!$E$15361)*Sens!I15341)</f>
        <v>3.69811128440021</v>
      </c>
      <c r="J15362" s="6" t="n">
        <f aca="false">MAX(0,((Sens!I15262+Sens!J15262)/2-(shadow_base*(Sens!$D$15262+Sens!$E$15262)/2+(1-shadow_base)*Sens!$E$15262))*Sens!J15271/1000-(Sens!J15361-Sens!$E$15361)*Sens!J15341)</f>
        <v>3.19575402518239</v>
      </c>
      <c r="K15362" s="6" t="n">
        <f aca="false">MAX(0,((Sens!J15262+Sens!K15262)/2-(shadow_base*(Sens!$D$15262+Sens!$E$15262)/2+(1-shadow_base)*Sens!$E$15262))*Sens!K15271/1000-(Sens!K15361-Sens!$E$15361)*Sens!K15341)</f>
        <v>3.04269068486014</v>
      </c>
      <c r="L15362" s="1" t="s">
        <v>1009</v>
      </c>
    </row>
    <row r="15363" customFormat="false" ht="17.15" hidden="false" customHeight="false" outlineLevel="0" collapsed="false">
      <c r="A15363" s="1" t="s">
        <v>1010</v>
      </c>
      <c r="B15363" s="0" t="s">
        <v>98</v>
      </c>
      <c r="F15363" s="6" t="n">
        <f aca="false">IF(internal_ai_reading=2,1,0)*Sens!F15362</f>
        <v>3.32169808276811</v>
      </c>
      <c r="G15363" s="6" t="n">
        <f aca="false">IF(internal_ai_reading=2,1,0)*Sens!G15362</f>
        <v>4.83073330153996</v>
      </c>
      <c r="H15363" s="6" t="n">
        <f aca="false">IF(internal_ai_reading=2,1,0)*Sens!H15362</f>
        <v>4.74830776187797</v>
      </c>
      <c r="I15363" s="6" t="n">
        <f aca="false">IF(internal_ai_reading=2,1,0)*Sens!I15362</f>
        <v>3.69811128440021</v>
      </c>
      <c r="J15363" s="6" t="n">
        <f aca="false">IF(internal_ai_reading=2,1,0)*Sens!J15362</f>
        <v>3.19575402518239</v>
      </c>
      <c r="K15363" s="6" t="n">
        <f aca="false">IF(internal_ai_reading=2,1,0)*Sens!K15362</f>
        <v>3.04269068486014</v>
      </c>
    </row>
    <row r="15364" customFormat="false" ht="17.15" hidden="false" customHeight="false" outlineLevel="0" collapsed="false">
      <c r="A15364" s="0" t="s">
        <v>1011</v>
      </c>
      <c r="B15364" s="0" t="s">
        <v>98</v>
      </c>
      <c r="F15364" s="6" t="n">
        <f aca="false">Sens!F15281+Sens!F15361*Sens!F15341+Sens!F15363-Sens!F15282-Sens!F15293</f>
        <v>4.98878044407102</v>
      </c>
      <c r="G15364" s="6" t="n">
        <f aca="false">Sens!G15281+Sens!G15361*Sens!G15341+Sens!G15363-Sens!G15282-Sens!G15293</f>
        <v>3.51482170410556</v>
      </c>
      <c r="H15364" s="6" t="n">
        <f aca="false">Sens!H15281+Sens!H15361*Sens!H15341+Sens!H15363-Sens!H15282-Sens!H15293</f>
        <v>-0.0993762851216644</v>
      </c>
      <c r="I15364" s="6" t="n">
        <f aca="false">Sens!I15281+Sens!I15361*Sens!I15341+Sens!I15363-Sens!I15282-Sens!I15293</f>
        <v>0.29494831530549</v>
      </c>
      <c r="J15364" s="6" t="n">
        <f aca="false">Sens!J15281+Sens!J15361*Sens!J15341+Sens!J15363-Sens!J15282-Sens!J15293</f>
        <v>0.338178922330961</v>
      </c>
      <c r="K15364" s="6" t="n">
        <f aca="false">Sens!K15281+Sens!K15361*Sens!K15341+Sens!K15363-Sens!K15282-Sens!K15293</f>
        <v>0.687097192223561</v>
      </c>
    </row>
    <row r="15365" customFormat="false" ht="17.15" hidden="false" customHeight="false" outlineLevel="0" collapsed="false">
      <c r="A15365" s="0" t="s">
        <v>1012</v>
      </c>
      <c r="B15365" s="0" t="s">
        <v>98</v>
      </c>
      <c r="E15365" s="6" t="n">
        <f aca="false">Sens!E15261*(cxit_open+self_build*tk_cxfac)/1000*ai_net_open</f>
        <v>126.6980382</v>
      </c>
      <c r="F15365" s="6" t="n">
        <f aca="false">Sens!E15365+Sens!F15290-Sens!F15293</f>
        <v>131.822683147</v>
      </c>
      <c r="G15365" s="6" t="n">
        <f aca="false">Sens!F15365+Sens!G15290-Sens!G15293</f>
        <v>136.850809452</v>
      </c>
      <c r="H15365" s="6" t="n">
        <f aca="false">Sens!G15365+Sens!H15290-Sens!H15293</f>
        <v>105.173224535</v>
      </c>
      <c r="I15365" s="6" t="n">
        <f aca="false">Sens!H15365+Sens!I15290-Sens!I15293</f>
        <v>102.104104363972</v>
      </c>
      <c r="J15365" s="6" t="n">
        <f aca="false">Sens!I15365+Sens!J15290-Sens!J15293</f>
        <v>112.526579647528</v>
      </c>
      <c r="K15365" s="6" t="n">
        <f aca="false">Sens!J15365+Sens!K15290-Sens!K15293</f>
        <v>163.901717877611</v>
      </c>
      <c r="L15365" s="1" t="s">
        <v>1013</v>
      </c>
    </row>
    <row r="15366" customFormat="false" ht="17.15" hidden="false" customHeight="false" outlineLevel="0" collapsed="false">
      <c r="A15366" s="0" t="s">
        <v>1014</v>
      </c>
      <c r="B15366" s="0" t="s">
        <v>168</v>
      </c>
      <c r="F15366" s="7" t="n">
        <f aca="false">Sens!F15364*(1-tax_f)/((Sens!E15365+Sens!F15365)/2)</f>
        <v>0.0308758565616089</v>
      </c>
      <c r="G15366" s="7" t="n">
        <f aca="false">Sens!G15364*(1-tax_f)/((Sens!F15365+Sens!G15365)/2)</f>
        <v>0.0209314088716686</v>
      </c>
      <c r="H15366" s="7" t="n">
        <f aca="false">Sens!H15364*(1-tax_f)/((Sens!G15365+Sens!H15365)/2)</f>
        <v>-0.00065696804393899</v>
      </c>
      <c r="I15366" s="7" t="n">
        <f aca="false">Sens!I15364*(1-tax_f)/((Sens!H15365+Sens!I15365)/2)</f>
        <v>0.00227674346729351</v>
      </c>
      <c r="J15366" s="7" t="n">
        <f aca="false">Sens!J15364*(1-tax_f)/((Sens!I15365+Sens!J15365)/2)</f>
        <v>0.00252101081549247</v>
      </c>
      <c r="K15366" s="7" t="n">
        <f aca="false">Sens!K15364*(1-tax_f)/((Sens!J15365+Sens!K15365)/2)</f>
        <v>0.00397700060883861</v>
      </c>
    </row>
    <row r="15367" customFormat="false" ht="17.15" hidden="false" customHeight="false" outlineLevel="0" collapsed="false">
      <c r="A15367" s="1" t="s">
        <v>1015</v>
      </c>
      <c r="B15367" s="0" t="s">
        <v>168</v>
      </c>
      <c r="F15367" s="7" t="n">
        <f aca="false">(Sens!F15364-Sens!F15363)*(1-tax_f)/((Sens!E15365+Sens!F15365)/2)</f>
        <v>0.0103176711104114</v>
      </c>
      <c r="G15367" s="7" t="n">
        <f aca="false">(Sens!G15364-Sens!G15363)*(1-tax_f)/((Sens!F15365+Sens!G15365)/2)</f>
        <v>-0.00783649527732706</v>
      </c>
      <c r="H15367" s="7" t="n">
        <f aca="false">(Sens!H15364-Sens!H15363)*(1-tax_f)/((Sens!G15365+Sens!H15365)/2)</f>
        <v>-0.0320476208392429</v>
      </c>
      <c r="I15367" s="7" t="n">
        <f aca="false">(Sens!I15364-Sens!I15363)*(1-tax_f)/((Sens!H15365+Sens!I15365)/2)</f>
        <v>-0.0262694467333931</v>
      </c>
      <c r="J15367" s="7" t="n">
        <f aca="false">(Sens!J15364-Sens!J15363)*(1-tax_f)/((Sens!I15365+Sens!J15365)/2)</f>
        <v>-0.0213022671274593</v>
      </c>
      <c r="K15367" s="7" t="n">
        <f aca="false">(Sens!K15364-Sens!K15363)*(1-tax_f)/((Sens!J15365+Sens!K15365)/2)</f>
        <v>-0.0136344564647032</v>
      </c>
    </row>
    <row r="15368" customFormat="false" ht="17.15" hidden="false" customHeight="false" outlineLevel="0" collapsed="false">
      <c r="A15368" s="1" t="s">
        <v>1016</v>
      </c>
      <c r="B15368" s="0" t="s">
        <v>168</v>
      </c>
      <c r="F15368" s="7" t="n">
        <f aca="false">(Sens!F15364-Sens!F15363+Sens!F15362)*(1-tax_f)/((Sens!E15365+Sens!F15365)/2)</f>
        <v>0.0308758565616089</v>
      </c>
      <c r="G15368" s="7" t="n">
        <f aca="false">(Sens!G15364-Sens!G15363+Sens!G15362)*(1-tax_f)/((Sens!F15365+Sens!G15365)/2)</f>
        <v>0.0209314088716686</v>
      </c>
      <c r="H15368" s="7" t="n">
        <f aca="false">(Sens!H15364-Sens!H15363+Sens!H15362)*(1-tax_f)/((Sens!G15365+Sens!H15365)/2)</f>
        <v>-0.00065696804393899</v>
      </c>
      <c r="I15368" s="7" t="n">
        <f aca="false">(Sens!I15364-Sens!I15363+Sens!I15362)*(1-tax_f)/((Sens!H15365+Sens!I15365)/2)</f>
        <v>0.00227674346729351</v>
      </c>
      <c r="J15368" s="7" t="n">
        <f aca="false">(Sens!J15364-Sens!J15363+Sens!J15362)*(1-tax_f)/((Sens!I15365+Sens!J15365)/2)</f>
        <v>0.00252101081549247</v>
      </c>
      <c r="K15368" s="7" t="n">
        <f aca="false">(Sens!K15364-Sens!K15363+Sens!K15362)*(1-tax_f)/((Sens!J15365+Sens!K15365)/2)</f>
        <v>0.00397700060883861</v>
      </c>
    </row>
    <row r="15369" customFormat="false" ht="17.15" hidden="false" customHeight="false" outlineLevel="0" collapsed="false">
      <c r="A15369" s="1" t="s">
        <v>1017</v>
      </c>
      <c r="B15369" s="0" t="s">
        <v>168</v>
      </c>
      <c r="F15369" s="7" t="n">
        <f aca="false">Sens!F15294*(1-tax_f)/(Sens!F15280*(Sens!E15365+Sens!F15365)/2)</f>
        <v>0.106983470139441</v>
      </c>
      <c r="G15369" s="7" t="n">
        <f aca="false">Sens!G15294*(1-tax_f)/(Sens!G15280*(Sens!F15365+Sens!G15365)/2)</f>
        <v>0.0828495807398649</v>
      </c>
      <c r="H15369" s="7" t="n">
        <f aca="false">Sens!H15294*(1-tax_f)/(Sens!H15280*(Sens!G15365+Sens!H15365)/2)</f>
        <v>0.049671832874314</v>
      </c>
      <c r="I15369" s="7" t="n">
        <f aca="false">Sens!I15294*(1-tax_f)/(Sens!I15280*(Sens!H15365+Sens!I15365)/2)</f>
        <v>0.063617784443709</v>
      </c>
      <c r="J15369" s="7" t="n">
        <f aca="false">Sens!J15294*(1-tax_f)/(Sens!J15280*(Sens!I15365+Sens!J15365)/2)</f>
        <v>0.0655166442751414</v>
      </c>
      <c r="K15369" s="7" t="n">
        <f aca="false">Sens!K15294*(1-tax_f)/(Sens!K15280*(Sens!J15365+Sens!K15365)/2)</f>
        <v>0.0586829736915535</v>
      </c>
    </row>
    <row r="15370" customFormat="false" ht="17.15" hidden="false" customHeight="false" outlineLevel="0" collapsed="false">
      <c r="A15370" s="0" t="s">
        <v>1018</v>
      </c>
      <c r="B15370" s="0" t="s">
        <v>253</v>
      </c>
      <c r="F15370" s="7" t="n">
        <f aca="false">Sens!F15366-wacc</f>
        <v>-0.0720607343839884</v>
      </c>
      <c r="G15370" s="7" t="n">
        <f aca="false">Sens!G15366-wacc</f>
        <v>-0.0820051820739287</v>
      </c>
      <c r="H15370" s="7" t="n">
        <f aca="false">Sens!H15366-wacc</f>
        <v>-0.103593558989536</v>
      </c>
      <c r="I15370" s="7" t="n">
        <f aca="false">Sens!I15366-wacc</f>
        <v>-0.100659847478304</v>
      </c>
      <c r="J15370" s="7" t="n">
        <f aca="false">Sens!J15366-wacc</f>
        <v>-0.100415580130105</v>
      </c>
      <c r="K15370" s="7" t="n">
        <f aca="false">Sens!K15366-wacc</f>
        <v>-0.0989595903367587</v>
      </c>
    </row>
    <row r="15371" customFormat="false" ht="17.15" hidden="false" customHeight="false" outlineLevel="0" collapsed="false">
      <c r="A15371" s="0" t="s">
        <v>1019</v>
      </c>
      <c r="B15371" s="0" t="s">
        <v>98</v>
      </c>
      <c r="F15371" s="6" t="n">
        <f aca="false">Sens!F15364*(1-tax_f)-wacc*(Sens!E15365+Sens!F15365)/2</f>
        <v>-9.31459651687162</v>
      </c>
      <c r="G15371" s="6" t="n">
        <f aca="false">Sens!G15364*(1-tax_f)-wacc*(Sens!F15365+Sens!G15365)/2</f>
        <v>-11.0163093395097</v>
      </c>
      <c r="H15371" s="6" t="n">
        <f aca="false">Sens!H15364*(1-tax_f)-wacc*(Sens!G15365+Sens!H15365)/2</f>
        <v>-12.5360655208589</v>
      </c>
      <c r="I15371" s="6" t="n">
        <f aca="false">Sens!I15364*(1-tax_f)-wacc*(Sens!H15365+Sens!I15365)/2</f>
        <v>-10.4322521563404</v>
      </c>
      <c r="J15371" s="6" t="n">
        <f aca="false">Sens!J15364*(1-tax_f)-wacc*(Sens!I15365+Sens!J15365)/2</f>
        <v>-10.776132324368</v>
      </c>
      <c r="K15371" s="6" t="n">
        <f aca="false">Sens!K15364*(1-tax_f)-wacc*(Sens!J15365+Sens!K15365)/2</f>
        <v>-13.6776155402877</v>
      </c>
    </row>
    <row r="15372" customFormat="false" ht="17.15" hidden="false" customHeight="false" outlineLevel="0" collapsed="false">
      <c r="A15372" s="3" t="s">
        <v>1990</v>
      </c>
    </row>
    <row r="15373" customFormat="false" ht="15" hidden="false" customHeight="false" outlineLevel="0" collapsed="false">
      <c r="A15373" s="4" t="s">
        <v>43</v>
      </c>
      <c r="B15373" s="4" t="s">
        <v>65</v>
      </c>
      <c r="C15373" s="23" t="s">
        <v>942</v>
      </c>
      <c r="D15373" s="23" t="s">
        <v>943</v>
      </c>
      <c r="E15373" s="23" t="s">
        <v>944</v>
      </c>
      <c r="F15373" s="23" t="s">
        <v>945</v>
      </c>
      <c r="G15373" s="23" t="s">
        <v>946</v>
      </c>
      <c r="H15373" s="23" t="s">
        <v>947</v>
      </c>
      <c r="I15373" s="23" t="s">
        <v>948</v>
      </c>
      <c r="J15373" s="23" t="s">
        <v>949</v>
      </c>
      <c r="K15373" s="23" t="s">
        <v>950</v>
      </c>
      <c r="L15373" s="4" t="s">
        <v>47</v>
      </c>
    </row>
    <row r="15374" customFormat="false" ht="15" hidden="false" customHeight="false" outlineLevel="0" collapsed="false">
      <c r="A15374" s="1" t="s">
        <v>1080</v>
      </c>
      <c r="B15374" s="0" t="s">
        <v>98</v>
      </c>
      <c r="F15374" s="6" t="n">
        <f aca="false">Sens!F15355</f>
        <v>134.346803922532</v>
      </c>
      <c r="G15374" s="6" t="n">
        <f aca="false">Sens!G15355</f>
        <v>143.421976666263</v>
      </c>
      <c r="H15374" s="6" t="n">
        <f aca="false">Sens!H15355</f>
        <v>158.003301035066</v>
      </c>
      <c r="I15374" s="6" t="n">
        <f aca="false">Sens!I15355</f>
        <v>176.15532371877</v>
      </c>
      <c r="J15374" s="6" t="n">
        <f aca="false">Sens!J15355</f>
        <v>192.547746316066</v>
      </c>
      <c r="K15374" s="6" t="n">
        <f aca="false">Sens!K15355</f>
        <v>207.21498038429</v>
      </c>
    </row>
    <row r="15375" customFormat="false" ht="17.15" hidden="false" customHeight="false" outlineLevel="0" collapsed="false">
      <c r="A15375" s="1" t="s">
        <v>1102</v>
      </c>
      <c r="B15375" s="0" t="s">
        <v>98</v>
      </c>
      <c r="E15375" s="6" t="n">
        <f aca="false">Q!M38-Sens!E15293</f>
        <v>22.2285940229167</v>
      </c>
      <c r="F15375" s="6" t="n">
        <f aca="false">Sens!E15375*(1-1/life_nonai)+(Sens!F15383+Sens!F15384)/life_nonai</f>
        <v>37.458367358225</v>
      </c>
      <c r="G15375" s="6" t="n">
        <f aca="false">Sens!F15375*(1-1/life_nonai)+(Sens!G15383)/life_nonai</f>
        <v>37.8971931807589</v>
      </c>
      <c r="H15375" s="6" t="n">
        <f aca="false">Sens!G15375*(1-1/life_nonai)+(Sens!H15383)/life_nonai</f>
        <v>38.8470034950136</v>
      </c>
      <c r="I15375" s="6" t="n">
        <f aca="false">Sens!H15375*(1-1/life_nonai)+(Sens!I15383)/life_nonai</f>
        <v>40.2363776179593</v>
      </c>
      <c r="J15375" s="6" t="n">
        <f aca="false">Sens!I15375*(1-1/life_nonai)+(Sens!J15383)/life_nonai</f>
        <v>41.976670284337</v>
      </c>
      <c r="K15375" s="6" t="n">
        <f aca="false">Sens!J15375*(1-1/life_nonai)+(Sens!K15383)/life_nonai</f>
        <v>43.9704272663843</v>
      </c>
      <c r="L15375" s="12" t="s">
        <v>1103</v>
      </c>
    </row>
    <row r="15376" customFormat="false" ht="17.15" hidden="false" customHeight="false" outlineLevel="0" collapsed="false">
      <c r="A15376" s="1" t="s">
        <v>1104</v>
      </c>
      <c r="B15376" s="0" t="s">
        <v>98</v>
      </c>
      <c r="F15376" s="6" t="n">
        <f aca="false">Sens!$F$15384/life_nonai*(1-1/life_nonai)^(Sens!F15256-2027)</f>
        <v>13.8140066594294</v>
      </c>
      <c r="G15376" s="6" t="n">
        <f aca="false">Sens!$F$15384/life_nonai*(1-1/life_nonai)^(Sens!G15256-2027)</f>
        <v>12.4326059934865</v>
      </c>
      <c r="H15376" s="6" t="n">
        <f aca="false">Sens!$F$15384/life_nonai*(1-1/life_nonai)^(Sens!H15256-2027)</f>
        <v>11.1893453941378</v>
      </c>
      <c r="I15376" s="6" t="n">
        <f aca="false">Sens!$F$15384/life_nonai*(1-1/life_nonai)^(Sens!I15256-2027)</f>
        <v>10.0704108547241</v>
      </c>
      <c r="J15376" s="6" t="n">
        <f aca="false">Sens!$F$15384/life_nonai*(1-1/life_nonai)^(Sens!J15256-2027)</f>
        <v>9.06336976925165</v>
      </c>
      <c r="K15376" s="6" t="n">
        <f aca="false">Sens!$F$15384/life_nonai*(1-1/life_nonai)^(Sens!K15256-2027)</f>
        <v>8.15703279232649</v>
      </c>
      <c r="L15376" s="1" t="s">
        <v>1105</v>
      </c>
    </row>
    <row r="15377" customFormat="false" ht="17.15" hidden="false" customHeight="false" outlineLevel="0" collapsed="false">
      <c r="A15377" s="1" t="s">
        <v>1106</v>
      </c>
      <c r="B15377" s="0" t="s">
        <v>98</v>
      </c>
      <c r="E15377" s="6" t="n">
        <f aca="false">Sens!E15293+Sens!E15375</f>
        <v>38.534</v>
      </c>
      <c r="F15377" s="6" t="n">
        <f aca="false">Sens!F15293+Sens!F15375</f>
        <v>62.007395035225</v>
      </c>
      <c r="G15377" s="6" t="n">
        <f aca="false">Sens!G15293+Sens!G15375</f>
        <v>67.0828260037589</v>
      </c>
      <c r="H15377" s="6" t="n">
        <f aca="false">Sens!H15293+Sens!H15375</f>
        <v>70.5245884120136</v>
      </c>
      <c r="I15377" s="6" t="n">
        <f aca="false">Sens!I15293+Sens!I15375</f>
        <v>72.4662425489871</v>
      </c>
      <c r="J15377" s="6" t="n">
        <f aca="false">Sens!J15293+Sens!J15375</f>
        <v>75.5928707607814</v>
      </c>
      <c r="K15377" s="6" t="n">
        <f aca="false">Sens!K15293+Sens!K15375</f>
        <v>80.0775233163009</v>
      </c>
    </row>
    <row r="15378" customFormat="false" ht="17.15" hidden="false" customHeight="false" outlineLevel="0" collapsed="false">
      <c r="A15378" s="1" t="s">
        <v>1107</v>
      </c>
      <c r="B15378" s="0" t="s">
        <v>98</v>
      </c>
      <c r="F15378" s="6" t="n">
        <f aca="false">Sens!F15320*sbc_r</f>
        <v>14.3733372521203</v>
      </c>
      <c r="G15378" s="6" t="n">
        <f aca="false">Sens!G15320*sbc_r</f>
        <v>15.9508977871648</v>
      </c>
      <c r="H15378" s="6" t="n">
        <f aca="false">Sens!H15320*sbc_r</f>
        <v>17.3854028915498</v>
      </c>
      <c r="I15378" s="6" t="n">
        <f aca="false">Sens!I15320*sbc_r</f>
        <v>18.8700470966675</v>
      </c>
      <c r="J15378" s="6" t="n">
        <f aca="false">Sens!J15320*sbc_r</f>
        <v>20.2710479973254</v>
      </c>
      <c r="K15378" s="6" t="n">
        <f aca="false">Sens!K15320*sbc_r</f>
        <v>21.5928535358532</v>
      </c>
    </row>
    <row r="15379" customFormat="false" ht="17.15" hidden="false" customHeight="false" outlineLevel="0" collapsed="false">
      <c r="A15379" s="1" t="s">
        <v>1108</v>
      </c>
      <c r="B15379" s="0" t="s">
        <v>98</v>
      </c>
      <c r="F15379" s="6" t="n">
        <f aca="false">wc27-wc26q1</f>
        <v>-4.677</v>
      </c>
      <c r="G15379" s="6" t="n">
        <f aca="false">wc_f</f>
        <v>0</v>
      </c>
      <c r="H15379" s="6" t="n">
        <f aca="false">wc_f</f>
        <v>0</v>
      </c>
      <c r="I15379" s="6" t="n">
        <f aca="false">wc_f</f>
        <v>0</v>
      </c>
      <c r="J15379" s="6" t="n">
        <f aca="false">wc_f</f>
        <v>0</v>
      </c>
      <c r="K15379" s="6" t="n">
        <f aca="false">wc_f</f>
        <v>0</v>
      </c>
      <c r="L15379" s="12" t="s">
        <v>1109</v>
      </c>
    </row>
    <row r="15380" customFormat="false" ht="17.15" hidden="false" customHeight="false" outlineLevel="0" collapsed="false">
      <c r="A15380" s="0" t="s">
        <v>1110</v>
      </c>
      <c r="B15380" s="0" t="s">
        <v>98</v>
      </c>
      <c r="F15380" s="6" t="n">
        <f aca="false">Q!$I$35-Q!$I$26-Q!$I$38-Q!$I$39</f>
        <v>6.493</v>
      </c>
      <c r="L15380" s="1" t="s">
        <v>1111</v>
      </c>
    </row>
    <row r="15381" customFormat="false" ht="15" hidden="false" customHeight="false" outlineLevel="0" collapsed="false">
      <c r="A15381" s="1" t="s">
        <v>908</v>
      </c>
      <c r="B15381" s="0" t="s">
        <v>98</v>
      </c>
      <c r="E15381" s="6" t="n">
        <f aca="false">Q!M35</f>
        <v>182.935</v>
      </c>
      <c r="F15381" s="6" t="n">
        <f aca="false">Sens!F15374+Sens!F15377+Sens!F15378+Sens!F15379+Sens!F15380</f>
        <v>212.543536209877</v>
      </c>
      <c r="G15381" s="6" t="n">
        <f aca="false">Sens!G15374+Sens!G15377+Sens!G15378+Sens!G15379</f>
        <v>226.455700457186</v>
      </c>
      <c r="H15381" s="6" t="n">
        <f aca="false">Sens!H15374+Sens!H15377+Sens!H15378+Sens!H15379</f>
        <v>245.91329233863</v>
      </c>
      <c r="I15381" s="6" t="n">
        <f aca="false">Sens!I15374+Sens!I15377+Sens!I15378+Sens!I15379</f>
        <v>267.491613364424</v>
      </c>
      <c r="J15381" s="6" t="n">
        <f aca="false">Sens!J15374+Sens!J15377+Sens!J15378+Sens!J15379</f>
        <v>288.411665074172</v>
      </c>
      <c r="K15381" s="6" t="n">
        <f aca="false">Sens!K15374+Sens!K15377+Sens!K15378+Sens!K15379</f>
        <v>308.885357236444</v>
      </c>
    </row>
    <row r="15382" customFormat="false" ht="17.15" hidden="false" customHeight="false" outlineLevel="0" collapsed="false">
      <c r="A15382" s="0" t="s">
        <v>1112</v>
      </c>
      <c r="B15382" s="0" t="s">
        <v>98</v>
      </c>
      <c r="F15382" s="6" t="n">
        <f aca="false">Sens!F15290</f>
        <v>29.673672624</v>
      </c>
      <c r="G15382" s="6" t="n">
        <f aca="false">Sens!G15290</f>
        <v>34.213759128</v>
      </c>
      <c r="H15382" s="6" t="n">
        <f aca="false">Sens!H15290</f>
        <v>0</v>
      </c>
      <c r="I15382" s="6" t="n">
        <f aca="false">Sens!I15290</f>
        <v>29.16074476</v>
      </c>
      <c r="J15382" s="6" t="n">
        <f aca="false">Sens!J15290</f>
        <v>44.03867576</v>
      </c>
      <c r="K15382" s="6" t="n">
        <f aca="false">Sens!K15290</f>
        <v>87.48223428</v>
      </c>
    </row>
    <row r="15383" customFormat="false" ht="17.15" hidden="false" customHeight="false" outlineLevel="0" collapsed="false">
      <c r="A15383" s="1" t="s">
        <v>1113</v>
      </c>
      <c r="B15383" s="0" t="s">
        <v>98</v>
      </c>
      <c r="E15383" s="6" t="n">
        <f aca="false">Sens!E15298*cx_azo+Sens!E15305*cx_m365+Sens!E15306*cx_lic+(Sens!E15308+Sens!E15310)*cx_ind+Sens!E15313*cx_srch+(Sens!E15315+Sens!E15317)*cx_dev</f>
        <v>30.1846587067718</v>
      </c>
      <c r="F15383" s="6" t="n">
        <f aca="false">Sens!F15298*cx_azo+Sens!F15305*cx_m365+Sens!F15306*cx_lic+(Sens!F15308+Sens!F15310)*cx_ind+Sens!F15313*cx_srch+(Sens!F15315+Sens!F15317)*cx_dev</f>
        <v>36.3862607817056</v>
      </c>
      <c r="G15383" s="6" t="n">
        <f aca="false">Sens!G15298*cx_azo+Sens!G15305*cx_m365+Sens!G15306*cx_lic+(Sens!G15308+Sens!G15310)*cx_ind+Sens!G15313*cx_srch+(Sens!G15315+Sens!G15317)*cx_dev</f>
        <v>41.8466255835643</v>
      </c>
      <c r="H15383" s="6" t="n">
        <f aca="false">Sens!H15298*cx_azo+Sens!H15305*cx_m365+Sens!H15306*cx_lic+(Sens!H15308+Sens!H15310)*cx_ind+Sens!H15313*cx_srch+(Sens!H15315+Sens!H15317)*cx_dev</f>
        <v>47.3952963233052</v>
      </c>
      <c r="I15383" s="6" t="n">
        <f aca="false">Sens!I15298*cx_azo+Sens!I15305*cx_m365+Sens!I15306*cx_lic+(Sens!I15308+Sens!I15310)*cx_ind+Sens!I15313*cx_srch+(Sens!I15315+Sens!I15317)*cx_dev</f>
        <v>52.7407447244711</v>
      </c>
      <c r="J15383" s="6" t="n">
        <f aca="false">Sens!J15298*cx_azo+Sens!J15305*cx_m365+Sens!J15306*cx_lic+(Sens!J15308+Sens!J15310)*cx_ind+Sens!J15313*cx_srch+(Sens!J15315+Sens!J15317)*cx_dev</f>
        <v>57.6393042817356</v>
      </c>
      <c r="K15383" s="6" t="n">
        <f aca="false">Sens!K15298*cx_azo+Sens!K15305*cx_m365+Sens!K15306*cx_lic+(Sens!K15308+Sens!K15310)*cx_ind+Sens!K15313*cx_srch+(Sens!K15315+Sens!K15317)*cx_dev</f>
        <v>61.9142401048102</v>
      </c>
    </row>
    <row r="15384" customFormat="false" ht="17.15" hidden="false" customHeight="false" outlineLevel="0" collapsed="false">
      <c r="A15384" s="0" t="s">
        <v>1114</v>
      </c>
      <c r="B15384" s="0" t="s">
        <v>98</v>
      </c>
      <c r="F15384" s="6" t="n">
        <f aca="false">Sens!F15288</f>
        <v>138.140066594294</v>
      </c>
      <c r="L15384" s="1" t="s">
        <v>1115</v>
      </c>
    </row>
    <row r="15385" customFormat="false" ht="17.15" hidden="false" customHeight="false" outlineLevel="0" collapsed="false">
      <c r="A15385" s="1" t="s">
        <v>1116</v>
      </c>
      <c r="B15385" s="0" t="s">
        <v>98</v>
      </c>
      <c r="E15385" s="6" t="n">
        <f aca="false">Q!M43</f>
        <v>145.3</v>
      </c>
      <c r="F15385" s="6" t="n">
        <f aca="false">Sens!F15382+Sens!F15383+Sens!F15384</f>
        <v>204.2</v>
      </c>
      <c r="G15385" s="6" t="n">
        <f aca="false">Sens!G15382+Sens!G15383</f>
        <v>76.0603847115643</v>
      </c>
      <c r="H15385" s="6" t="n">
        <f aca="false">Sens!H15382+Sens!H15383</f>
        <v>47.3952963233052</v>
      </c>
      <c r="I15385" s="6" t="n">
        <f aca="false">Sens!I15382+Sens!I15383</f>
        <v>81.9014894844711</v>
      </c>
      <c r="J15385" s="6" t="n">
        <f aca="false">Sens!J15382+Sens!J15383</f>
        <v>101.677980041736</v>
      </c>
      <c r="K15385" s="6" t="n">
        <f aca="false">Sens!K15382+Sens!K15383</f>
        <v>149.39647438481</v>
      </c>
      <c r="L15385" s="1" t="s">
        <v>1117</v>
      </c>
    </row>
    <row r="15386" customFormat="false" ht="15" hidden="false" customHeight="false" outlineLevel="0" collapsed="false">
      <c r="A15386" s="1" t="s">
        <v>1118</v>
      </c>
      <c r="B15386" s="0" t="s">
        <v>98</v>
      </c>
      <c r="E15386" s="6" t="n">
        <f aca="false">fl_liab</f>
        <v>66.594</v>
      </c>
      <c r="F15386" s="6" t="n">
        <f aca="false">Sens!E15386-Sens!F15387</f>
        <v>62.46973</v>
      </c>
      <c r="G15386" s="6" t="n">
        <f aca="false">Sens!F15386-Sens!G15387</f>
        <v>57.98686785</v>
      </c>
      <c r="H15386" s="6" t="n">
        <f aca="false">Sens!G15386-Sens!H15387</f>
        <v>53.92827690325</v>
      </c>
      <c r="I15386" s="6" t="n">
        <f aca="false">Sens!H15386-Sens!I15387</f>
        <v>49.7850493638962</v>
      </c>
      <c r="J15386" s="6" t="n">
        <f aca="false">Sens!I15386-Sens!J15387</f>
        <v>45.4823765852716</v>
      </c>
      <c r="K15386" s="6" t="n">
        <f aca="false">Sens!J15386-Sens!K15387</f>
        <v>40.9860835316088</v>
      </c>
    </row>
    <row r="15387" customFormat="false" ht="15" hidden="false" customHeight="false" outlineLevel="0" collapsed="false">
      <c r="A15387" s="1" t="s">
        <v>1119</v>
      </c>
      <c r="B15387" s="0" t="s">
        <v>98</v>
      </c>
      <c r="F15387" s="6" t="n">
        <f aca="false">fl_pay_27-Sens!E15386*fl_rate</f>
        <v>4.12427</v>
      </c>
      <c r="G15387" s="6" t="n">
        <f aca="false">fl_pay_28-Sens!F15386*fl_rate</f>
        <v>4.48286215</v>
      </c>
      <c r="H15387" s="6" t="n">
        <f aca="false">fl_pay_29-Sens!G15386*fl_rate</f>
        <v>4.05859094675</v>
      </c>
      <c r="I15387" s="6" t="n">
        <f aca="false">fl_pay_30-Sens!H15386*fl_rate</f>
        <v>4.14322753935375</v>
      </c>
      <c r="J15387" s="6" t="n">
        <f aca="false">fl_pay_31-Sens!I15386*fl_rate</f>
        <v>4.30267277862467</v>
      </c>
      <c r="K15387" s="6" t="n">
        <f aca="false">fl_pay_32-Sens!J15386*fl_rate</f>
        <v>4.49629305366278</v>
      </c>
    </row>
    <row r="15388" customFormat="false" ht="17.15" hidden="false" customHeight="false" outlineLevel="0" collapsed="false">
      <c r="A15388" s="1" t="s">
        <v>1120</v>
      </c>
      <c r="B15388" s="0" t="s">
        <v>98</v>
      </c>
      <c r="E15388" s="6" t="n">
        <f aca="false">Q!M35-Q!M36-Q!M44</f>
        <v>63.886</v>
      </c>
      <c r="F15388" s="6" t="n">
        <f aca="false">Sens!F15381-Sens!F15385-Sens!F15387</f>
        <v>4.21926620987702</v>
      </c>
      <c r="G15388" s="6" t="n">
        <f aca="false">Sens!G15381-Sens!G15385-Sens!G15387</f>
        <v>145.912453595622</v>
      </c>
      <c r="H15388" s="6" t="n">
        <f aca="false">Sens!H15381-Sens!H15385-Sens!H15387</f>
        <v>194.459405068574</v>
      </c>
      <c r="I15388" s="6" t="n">
        <f aca="false">Sens!I15381-Sens!I15385-Sens!I15387</f>
        <v>181.4468963406</v>
      </c>
      <c r="J15388" s="6" t="n">
        <f aca="false">Sens!J15381-Sens!J15385-Sens!J15387</f>
        <v>182.431012253812</v>
      </c>
      <c r="K15388" s="6" t="n">
        <f aca="false">Sens!K15381-Sens!K15385-Sens!K15387</f>
        <v>154.992589797971</v>
      </c>
      <c r="L15388" s="12" t="s">
        <v>1121</v>
      </c>
    </row>
    <row r="15389" customFormat="false" ht="15" hidden="false" customHeight="false" outlineLevel="0" collapsed="false">
      <c r="A15389" s="1" t="s">
        <v>1122</v>
      </c>
      <c r="B15389" s="0" t="s">
        <v>75</v>
      </c>
      <c r="F15389" s="8" t="n">
        <f aca="false">dps_27</f>
        <v>3.85</v>
      </c>
      <c r="G15389" s="8" t="n">
        <f aca="false">Sens!F15389*(1+dps_g)</f>
        <v>4.158</v>
      </c>
      <c r="H15389" s="8" t="n">
        <f aca="false">Sens!G15389*(1+dps_g)</f>
        <v>4.49064</v>
      </c>
      <c r="I15389" s="8" t="n">
        <f aca="false">Sens!H15389*(1+dps_g)</f>
        <v>4.8498912</v>
      </c>
      <c r="J15389" s="8" t="n">
        <f aca="false">Sens!I15389*(1+dps_g)</f>
        <v>5.237882496</v>
      </c>
      <c r="K15389" s="8" t="n">
        <f aca="false">Sens!J15389*(1+dps_g)</f>
        <v>5.65691309568</v>
      </c>
    </row>
    <row r="15390" customFormat="false" ht="17.15" hidden="false" customHeight="false" outlineLevel="0" collapsed="false">
      <c r="A15390" s="1" t="s">
        <v>1123</v>
      </c>
      <c r="B15390" s="0" t="s">
        <v>98</v>
      </c>
      <c r="E15390" s="6" t="n">
        <f aca="false">Q!M41</f>
        <v>26.445</v>
      </c>
      <c r="F15390" s="6" t="n">
        <f aca="false">Sens!F15389*Sens!E15399</f>
        <v>28.59395</v>
      </c>
      <c r="G15390" s="6" t="n">
        <f aca="false">Sens!G15389*Sens!F15399</f>
        <v>31.068576</v>
      </c>
      <c r="H15390" s="6" t="n">
        <f aca="false">Sens!H15389*Sens!G15399</f>
        <v>33.5883340530727</v>
      </c>
      <c r="I15390" s="6" t="n">
        <f aca="false">Sens!I15389*Sens!H15399</f>
        <v>36.3258390543911</v>
      </c>
      <c r="J15390" s="6" t="n">
        <f aca="false">Sens!J15389*Sens!I15399</f>
        <v>39.299804064135</v>
      </c>
      <c r="K15390" s="6" t="n">
        <f aca="false">Sens!K15389*Sens!J15399</f>
        <v>42.5305426516441</v>
      </c>
      <c r="L15390" s="1" t="s">
        <v>1124</v>
      </c>
    </row>
    <row r="15391" customFormat="false" ht="15" hidden="false" customHeight="false" outlineLevel="0" collapsed="false">
      <c r="A15391" s="1" t="s">
        <v>1125</v>
      </c>
      <c r="B15391" s="0" t="s">
        <v>98</v>
      </c>
      <c r="E15391" s="6" t="n">
        <f aca="false">Sens!E15388-Sens!E15390</f>
        <v>37.441</v>
      </c>
      <c r="F15391" s="6" t="n">
        <f aca="false">Sens!F15388-Sens!F15390</f>
        <v>-24.374683790123</v>
      </c>
      <c r="G15391" s="6" t="n">
        <f aca="false">Sens!G15388-Sens!G15390</f>
        <v>114.843877595622</v>
      </c>
      <c r="H15391" s="6" t="n">
        <f aca="false">Sens!H15388-Sens!H15390</f>
        <v>160.871071015502</v>
      </c>
      <c r="I15391" s="6" t="n">
        <f aca="false">Sens!I15388-Sens!I15390</f>
        <v>145.121057286208</v>
      </c>
      <c r="J15391" s="6" t="n">
        <f aca="false">Sens!J15388-Sens!J15390</f>
        <v>143.131208189677</v>
      </c>
      <c r="K15391" s="6" t="n">
        <f aca="false">Sens!K15388-Sens!K15390</f>
        <v>112.462047146327</v>
      </c>
    </row>
    <row r="15392" customFormat="false" ht="15" hidden="false" customHeight="false" outlineLevel="0" collapsed="false">
      <c r="A15392" s="1" t="s">
        <v>1126</v>
      </c>
      <c r="B15392" s="0" t="s">
        <v>98</v>
      </c>
      <c r="F15392" s="6" t="n">
        <f aca="false">debt_mat_27</f>
        <v>9.25</v>
      </c>
      <c r="G15392" s="6" t="n">
        <f aca="false">debt_mat_28</f>
        <v>0</v>
      </c>
      <c r="H15392" s="6" t="n">
        <f aca="false">debt_mat_29</f>
        <v>2.001</v>
      </c>
      <c r="I15392" s="6" t="n">
        <f aca="false">debt_mat_30</f>
        <v>0</v>
      </c>
      <c r="J15392" s="6" t="n">
        <f aca="false">debt_mat_31</f>
        <v>0.5</v>
      </c>
      <c r="K15392" s="6" t="n">
        <f aca="false">debt_mat_32</f>
        <v>0</v>
      </c>
    </row>
    <row r="15393" customFormat="false" ht="15" hidden="false" customHeight="false" outlineLevel="0" collapsed="false">
      <c r="A15393" s="1" t="s">
        <v>1127</v>
      </c>
      <c r="B15393" s="0" t="s">
        <v>98</v>
      </c>
      <c r="E15393" s="6" t="n">
        <f aca="false">Q!M40</f>
        <v>22.271</v>
      </c>
      <c r="F15393" s="6" t="n">
        <f aca="false">MAX(0,MIN(bb_target,Sens!E15395+Sens!F15391-Sens!F15392-min_cash))</f>
        <v>0</v>
      </c>
      <c r="G15393" s="6" t="n">
        <f aca="false">MAX(0,MIN(bb_target,Sens!F15395+Sens!G15391-Sens!G15392-min_cash))</f>
        <v>22.271</v>
      </c>
      <c r="H15393" s="6" t="n">
        <f aca="false">MAX(0,MIN(bb_target,Sens!G15395+Sens!H15391-Sens!H15392-min_cash))</f>
        <v>22.271</v>
      </c>
      <c r="I15393" s="6" t="n">
        <f aca="false">MAX(0,MIN(bb_target,Sens!H15395+Sens!I15391-Sens!I15392-min_cash))</f>
        <v>22.271</v>
      </c>
      <c r="J15393" s="6" t="n">
        <f aca="false">MAX(0,MIN(bb_target,Sens!I15395+Sens!J15391-Sens!J15392-min_cash))</f>
        <v>22.271</v>
      </c>
      <c r="K15393" s="6" t="n">
        <f aca="false">MAX(0,MIN(bb_target,Sens!J15395+Sens!K15391-Sens!K15392-min_cash))</f>
        <v>22.271</v>
      </c>
    </row>
    <row r="15394" customFormat="false" ht="15" hidden="false" customHeight="false" outlineLevel="0" collapsed="false">
      <c r="A15394" s="1" t="s">
        <v>1128</v>
      </c>
      <c r="B15394" s="0" t="s">
        <v>98</v>
      </c>
      <c r="F15394" s="6" t="n">
        <f aca="false">MAX(0,min_cash-(Sens!E15395+Sens!F15391-Sens!F15392-Sens!F15393))</f>
        <v>6.78168379012298</v>
      </c>
      <c r="G15394" s="6" t="n">
        <f aca="false">MAX(0,min_cash-(Sens!F15395+Sens!G15391-Sens!G15392-Sens!G15393))</f>
        <v>0</v>
      </c>
      <c r="H15394" s="6" t="n">
        <f aca="false">MAX(0,min_cash-(Sens!G15395+Sens!H15391-Sens!H15392-Sens!H15393))</f>
        <v>0</v>
      </c>
      <c r="I15394" s="6" t="n">
        <f aca="false">MAX(0,min_cash-(Sens!H15395+Sens!I15391-Sens!I15392-Sens!I15393))</f>
        <v>0</v>
      </c>
      <c r="J15394" s="6" t="n">
        <f aca="false">MAX(0,min_cash-(Sens!I15395+Sens!J15391-Sens!J15392-Sens!J15393))</f>
        <v>0</v>
      </c>
      <c r="K15394" s="6" t="n">
        <f aca="false">MAX(0,min_cash-(Sens!J15395+Sens!K15391-Sens!K15392-Sens!K15393))</f>
        <v>0</v>
      </c>
    </row>
    <row r="15395" customFormat="false" ht="15" hidden="false" customHeight="false" outlineLevel="0" collapsed="false">
      <c r="A15395" s="1" t="s">
        <v>1129</v>
      </c>
      <c r="B15395" s="0" t="s">
        <v>98</v>
      </c>
      <c r="E15395" s="6" t="n">
        <f aca="false">cash_open</f>
        <v>76.843</v>
      </c>
      <c r="F15395" s="6" t="n">
        <f aca="false">Sens!E15395+Sens!F15391-Sens!F15392-Sens!F15393+Sens!F15394</f>
        <v>50</v>
      </c>
      <c r="G15395" s="6" t="n">
        <f aca="false">Sens!F15395+Sens!G15391-Sens!G15392-Sens!G15393+Sens!G15394</f>
        <v>142.572877595622</v>
      </c>
      <c r="H15395" s="6" t="n">
        <f aca="false">Sens!G15395+Sens!H15391-Sens!H15392-Sens!H15393+Sens!H15394</f>
        <v>279.171948611124</v>
      </c>
      <c r="I15395" s="6" t="n">
        <f aca="false">Sens!H15395+Sens!I15391-Sens!I15392-Sens!I15393+Sens!I15394</f>
        <v>402.022005897332</v>
      </c>
      <c r="J15395" s="6" t="n">
        <f aca="false">Sens!I15395+Sens!J15391-Sens!J15392-Sens!J15393+Sens!J15394</f>
        <v>522.382214087009</v>
      </c>
      <c r="K15395" s="6" t="n">
        <f aca="false">Sens!J15395+Sens!K15391-Sens!K15392-Sens!K15393+Sens!K15394</f>
        <v>612.573261233336</v>
      </c>
    </row>
    <row r="15396" customFormat="false" ht="15" hidden="false" customHeight="false" outlineLevel="0" collapsed="false">
      <c r="A15396" s="1" t="s">
        <v>1130</v>
      </c>
      <c r="B15396" s="0" t="s">
        <v>98</v>
      </c>
      <c r="E15396" s="6" t="n">
        <f aca="false">debt_face</f>
        <v>46.136</v>
      </c>
      <c r="F15396" s="6" t="n">
        <f aca="false">Sens!E15396-Sens!F15392+Sens!F15394</f>
        <v>43.667683790123</v>
      </c>
      <c r="G15396" s="6" t="n">
        <f aca="false">Sens!F15396-Sens!G15392+Sens!G15394</f>
        <v>43.667683790123</v>
      </c>
      <c r="H15396" s="6" t="n">
        <f aca="false">Sens!G15396-Sens!H15392+Sens!H15394</f>
        <v>41.666683790123</v>
      </c>
      <c r="I15396" s="6" t="n">
        <f aca="false">Sens!H15396-Sens!I15392+Sens!I15394</f>
        <v>41.666683790123</v>
      </c>
      <c r="J15396" s="6" t="n">
        <f aca="false">Sens!I15396-Sens!J15392+Sens!J15394</f>
        <v>41.166683790123</v>
      </c>
      <c r="K15396" s="6" t="n">
        <f aca="false">Sens!J15396-Sens!K15392+Sens!K15394</f>
        <v>41.166683790123</v>
      </c>
    </row>
    <row r="15397" customFormat="false" ht="15" hidden="false" customHeight="false" outlineLevel="0" collapsed="false">
      <c r="A15397" s="1" t="s">
        <v>1131</v>
      </c>
      <c r="B15397" s="0" t="s">
        <v>98</v>
      </c>
      <c r="E15397" s="6" t="n">
        <f aca="false">Sens!E15395-Sens!E15396</f>
        <v>30.707</v>
      </c>
      <c r="F15397" s="6" t="n">
        <f aca="false">Sens!F15395-Sens!F15396</f>
        <v>6.33231620987701</v>
      </c>
      <c r="G15397" s="6" t="n">
        <f aca="false">Sens!G15395-Sens!G15396</f>
        <v>98.9051938054992</v>
      </c>
      <c r="H15397" s="6" t="n">
        <f aca="false">Sens!H15395-Sens!H15396</f>
        <v>237.505264821001</v>
      </c>
      <c r="I15397" s="6" t="n">
        <f aca="false">Sens!I15395-Sens!I15396</f>
        <v>360.355322107209</v>
      </c>
      <c r="J15397" s="6" t="n">
        <f aca="false">Sens!J15395-Sens!J15396</f>
        <v>481.215530296886</v>
      </c>
      <c r="K15397" s="6" t="n">
        <f aca="false">Sens!K15395-Sens!K15396</f>
        <v>571.406577443213</v>
      </c>
    </row>
    <row r="15398" customFormat="false" ht="15" hidden="false" customHeight="false" outlineLevel="0" collapsed="false">
      <c r="A15398" s="1" t="s">
        <v>1132</v>
      </c>
      <c r="B15398" s="0" t="s">
        <v>75</v>
      </c>
      <c r="F15398" s="30" t="n">
        <f aca="false">px*(1+bb_g)^(Sens!F15256-base_fy-mid_yr)</f>
        <v>551.84177959629</v>
      </c>
      <c r="G15398" s="30" t="n">
        <f aca="false">px*(1+bb_g)^(Sens!G15256-base_fy-mid_yr)</f>
        <v>595.989121963993</v>
      </c>
      <c r="H15398" s="30" t="n">
        <f aca="false">px*(1+bb_g)^(Sens!H15256-base_fy-mid_yr)</f>
        <v>643.668251721112</v>
      </c>
      <c r="I15398" s="30" t="n">
        <f aca="false">px*(1+bb_g)^(Sens!I15256-base_fy-mid_yr)</f>
        <v>695.161711858801</v>
      </c>
      <c r="J15398" s="30" t="n">
        <f aca="false">px*(1+bb_g)^(Sens!J15256-base_fy-mid_yr)</f>
        <v>750.774648807506</v>
      </c>
      <c r="K15398" s="30" t="n">
        <f aca="false">px*(1+bb_g)^(Sens!K15256-base_fy-mid_yr)</f>
        <v>810.836620712106</v>
      </c>
    </row>
    <row r="15399" customFormat="false" ht="15" hidden="false" customHeight="false" outlineLevel="0" collapsed="false">
      <c r="A15399" s="1" t="s">
        <v>1133</v>
      </c>
      <c r="B15399" s="1" t="s">
        <v>81</v>
      </c>
      <c r="E15399" s="15" t="n">
        <f aca="false">sh_out26</f>
        <v>7.427</v>
      </c>
      <c r="F15399" s="15" t="n">
        <f aca="false">Sens!E15399+sh_iss-Sens!F15393/Sens!F15398</f>
        <v>7.472</v>
      </c>
      <c r="G15399" s="15" t="n">
        <f aca="false">Sens!F15399+sh_iss-Sens!G15393/Sens!G15398</f>
        <v>7.47963186830221</v>
      </c>
      <c r="H15399" s="15" t="n">
        <f aca="false">Sens!G15399+sh_iss-Sens!H15393/Sens!H15398</f>
        <v>7.49003174635981</v>
      </c>
      <c r="I15399" s="15" t="n">
        <f aca="false">Sens!H15399+sh_iss-Sens!I15393/Sens!I15398</f>
        <v>7.50299459641315</v>
      </c>
      <c r="J15399" s="15" t="n">
        <f aca="false">Sens!I15399+sh_iss-Sens!J15393/Sens!J15398</f>
        <v>7.51833056868476</v>
      </c>
      <c r="K15399" s="15" t="n">
        <f aca="false">Sens!J15399+sh_iss-Sens!K15393/Sens!K15398</f>
        <v>7.53586387634365</v>
      </c>
    </row>
    <row r="15400" customFormat="false" ht="15" hidden="false" customHeight="false" outlineLevel="0" collapsed="false">
      <c r="A15400" s="1" t="s">
        <v>1134</v>
      </c>
      <c r="B15400" s="1" t="s">
        <v>81</v>
      </c>
      <c r="E15400" s="15" t="n">
        <f aca="false">sh_dil26</f>
        <v>7.453</v>
      </c>
      <c r="F15400" s="15" t="n">
        <f aca="false">(Sens!E15399+Sens!F15399)/2+dil_gap</f>
        <v>7.4735</v>
      </c>
      <c r="G15400" s="15" t="n">
        <f aca="false">(Sens!F15399+Sens!G15399)/2+dil_gap</f>
        <v>7.49981593415111</v>
      </c>
      <c r="H15400" s="15" t="n">
        <f aca="false">(Sens!G15399+Sens!H15399)/2+dil_gap</f>
        <v>7.50883180733101</v>
      </c>
      <c r="I15400" s="15" t="n">
        <f aca="false">(Sens!H15399+Sens!I15399)/2+dil_gap</f>
        <v>7.52051317138648</v>
      </c>
      <c r="J15400" s="15" t="n">
        <f aca="false">(Sens!I15399+Sens!J15399)/2+dil_gap</f>
        <v>7.53466258254895</v>
      </c>
      <c r="K15400" s="15" t="n">
        <f aca="false">(Sens!J15399+Sens!K15399)/2+dil_gap</f>
        <v>7.55109722251421</v>
      </c>
    </row>
    <row r="15401" customFormat="false" ht="17.15" hidden="false" customHeight="false" outlineLevel="0" collapsed="false">
      <c r="A15401" s="1" t="s">
        <v>1135</v>
      </c>
      <c r="B15401" s="0" t="s">
        <v>98</v>
      </c>
      <c r="C15401" s="6" t="n">
        <f aca="false">SUM(Sens!F15391:J15391)</f>
        <v>539.592530296886</v>
      </c>
    </row>
    <row r="15402" customFormat="false" ht="15" hidden="false" customHeight="false" outlineLevel="0" collapsed="false">
      <c r="A15402" s="26" t="s">
        <v>1100</v>
      </c>
      <c r="B15402" s="31" t="s">
        <v>98</v>
      </c>
      <c r="C15402" s="27" t="n">
        <f aca="false">Sens!$C$15401-(Sens!F15391+Sens!G15391+Sens!H15391+Sens!I15391+Sens!J15391)</f>
        <v>0</v>
      </c>
      <c r="D15402" s="31"/>
      <c r="E15402" s="31"/>
      <c r="F15402" s="31"/>
      <c r="G15402" s="31"/>
      <c r="H15402" s="31"/>
      <c r="I15402" s="31"/>
      <c r="J15402" s="31"/>
      <c r="K15402" s="31"/>
    </row>
    <row r="15403" customFormat="false" ht="17.15" hidden="false" customHeight="false" outlineLevel="0" collapsed="false">
      <c r="A15403" s="1" t="s">
        <v>1094</v>
      </c>
      <c r="B15403" s="1" t="s">
        <v>1136</v>
      </c>
      <c r="C15403" s="33" t="str">
        <f aca="false">IF(SUM(Sens!F15394:J15394)&gt;0.05,"需要舉債 "&amp;TEXT(SUM(Sens!F15394:J15394),"0.0")&amp;" 十億美元","不需舉債")&amp;"；"&amp;IF(SUM(Sens!F15393:J15393)&lt;COUNT(Sens!F15393:J15393)*bb_target-0.05,"回購較每年 "&amp;TEXT(bb_target,"0.0")&amp;" 的目標少 "&amp;TEXT(COUNT(Sens!F15393:J15393)*bb_target-SUM(Sens!F15393:J15393),"0.0")&amp;" 十億美元（"&amp;TEXT(COUNTIF(Sens!F15393:J15393,"&lt;"&amp;(bb_target-0.05)),"0")&amp;" 年減少）","回購不減")</f>
        <v>需要舉債 6.8 十億美元；回購較每年 22.3 的目標少 22.3 十億美元（1 年減少）</v>
      </c>
    </row>
    <row r="15404" customFormat="false" ht="17.15" hidden="false" customHeight="false" outlineLevel="0" collapsed="false">
      <c r="A15404" s="3" t="s">
        <v>1991</v>
      </c>
    </row>
    <row r="15405" customFormat="false" ht="15" hidden="false" customHeight="false" outlineLevel="0" collapsed="false">
      <c r="A15405" s="4" t="s">
        <v>43</v>
      </c>
      <c r="B15405" s="4" t="s">
        <v>65</v>
      </c>
      <c r="C15405" s="23" t="s">
        <v>942</v>
      </c>
      <c r="D15405" s="23" t="s">
        <v>943</v>
      </c>
      <c r="E15405" s="23" t="s">
        <v>944</v>
      </c>
      <c r="F15405" s="23" t="s">
        <v>945</v>
      </c>
      <c r="G15405" s="23" t="s">
        <v>946</v>
      </c>
      <c r="H15405" s="23" t="s">
        <v>947</v>
      </c>
      <c r="I15405" s="23" t="s">
        <v>948</v>
      </c>
      <c r="J15405" s="23" t="s">
        <v>949</v>
      </c>
      <c r="K15405" s="23" t="s">
        <v>950</v>
      </c>
      <c r="L15405" s="4" t="s">
        <v>47</v>
      </c>
    </row>
    <row r="15406" customFormat="false" ht="17.15" hidden="false" customHeight="false" outlineLevel="0" collapsed="false">
      <c r="A15406" s="1" t="s">
        <v>1216</v>
      </c>
      <c r="B15406" s="1" t="s">
        <v>279</v>
      </c>
      <c r="F15406" s="8" t="n">
        <f aca="false">(1-v_off)*mid_yr</f>
        <v>0.373972602739726</v>
      </c>
      <c r="G15406" s="8" t="n">
        <f aca="false">Sens!G15256-base_fy-mid_yr-v_off</f>
        <v>1.24794520547945</v>
      </c>
      <c r="H15406" s="8" t="n">
        <f aca="false">Sens!H15256-base_fy-mid_yr-v_off</f>
        <v>2.24794520547945</v>
      </c>
      <c r="I15406" s="8" t="n">
        <f aca="false">Sens!I15256-base_fy-mid_yr-v_off</f>
        <v>3.24794520547945</v>
      </c>
      <c r="J15406" s="8" t="n">
        <f aca="false">Sens!J15256-base_fy-mid_yr-v_off</f>
        <v>4.24794520547945</v>
      </c>
      <c r="K15406" s="8" t="n">
        <f aca="false">Sens!K15256-base_fy-mid_yr-v_off</f>
        <v>5.24794520547945</v>
      </c>
      <c r="L15406" s="12" t="s">
        <v>1217</v>
      </c>
    </row>
    <row r="15407" customFormat="false" ht="15" hidden="false" customHeight="false" outlineLevel="0" collapsed="false">
      <c r="A15407" s="1" t="s">
        <v>1218</v>
      </c>
      <c r="B15407" s="1" t="s">
        <v>279</v>
      </c>
      <c r="F15407" s="8" t="n">
        <f aca="false">Sens!F15256-base_fy-v_off</f>
        <v>0.747945205479452</v>
      </c>
      <c r="G15407" s="8" t="n">
        <f aca="false">Sens!G15256-base_fy-v_off</f>
        <v>1.74794520547945</v>
      </c>
      <c r="H15407" s="8" t="n">
        <f aca="false">Sens!H15256-base_fy-v_off</f>
        <v>2.74794520547945</v>
      </c>
      <c r="I15407" s="8" t="n">
        <f aca="false">Sens!I15256-base_fy-v_off</f>
        <v>3.74794520547945</v>
      </c>
      <c r="J15407" s="8" t="n">
        <f aca="false">Sens!J15256-base_fy-v_off</f>
        <v>4.74794520547945</v>
      </c>
      <c r="K15407" s="8" t="n">
        <f aca="false">Sens!K15256-base_fy-v_off</f>
        <v>5.74794520547945</v>
      </c>
    </row>
    <row r="15408" customFormat="false" ht="15" hidden="false" customHeight="false" outlineLevel="0" collapsed="false">
      <c r="A15408" s="1" t="s">
        <v>1219</v>
      </c>
      <c r="B15408" s="0" t="s">
        <v>229</v>
      </c>
      <c r="F15408" s="15" t="n">
        <f aca="false">1/(1+wacc)^Sens!F15406</f>
        <v>0.964022703286649</v>
      </c>
      <c r="G15408" s="15" t="n">
        <f aca="false">1/(1+wacc)^Sens!G15406</f>
        <v>0.884910302296739</v>
      </c>
      <c r="H15408" s="15" t="n">
        <f aca="false">1/(1+wacc)^Sens!H15406</f>
        <v>0.802322009770358</v>
      </c>
      <c r="I15408" s="15" t="n">
        <f aca="false">1/(1+wacc)^Sens!I15406</f>
        <v>0.727441646561469</v>
      </c>
      <c r="J15408" s="15" t="n">
        <f aca="false">1/(1+wacc)^Sens!J15406</f>
        <v>0.659549834988973</v>
      </c>
      <c r="K15408" s="15" t="n">
        <f aca="false">1/(1+wacc)^Sens!K15406</f>
        <v>0.597994336576966</v>
      </c>
    </row>
    <row r="15409" customFormat="false" ht="17.15" hidden="false" customHeight="false" outlineLevel="0" collapsed="false">
      <c r="A15409" s="1" t="s">
        <v>1220</v>
      </c>
      <c r="B15409" s="0" t="s">
        <v>98</v>
      </c>
      <c r="F15409" s="6" t="n">
        <f aca="false">Q!$I$35-Q!$I$39-Q!$I$43</f>
        <v>9.666</v>
      </c>
      <c r="L15409" s="12" t="s">
        <v>1221</v>
      </c>
    </row>
    <row r="15410" customFormat="false" ht="17.15" hidden="false" customHeight="false" outlineLevel="0" collapsed="false">
      <c r="A15410" s="1" t="s">
        <v>1222</v>
      </c>
      <c r="B15410" s="0" t="s">
        <v>98</v>
      </c>
      <c r="F15410" s="6" t="n">
        <f aca="false">Sens!F15381-Sens!F15378-Sens!F15385+Sens!F15363*(1-tax_f)*(1-v_off)-Sens!F15409</f>
        <v>-13.7082425181979</v>
      </c>
      <c r="G15410" s="6" t="n">
        <f aca="false">Sens!G15381-Sens!G15378-Sens!G15385+Sens!G15363*(1-tax_f)</f>
        <v>138.309004599689</v>
      </c>
      <c r="H15410" s="6" t="n">
        <f aca="false">Sens!H15381-Sens!H15378-Sens!H15385+Sens!H15363*(1-tax_f)</f>
        <v>184.931239333277</v>
      </c>
      <c r="I15410" s="6" t="n">
        <f aca="false">Sens!I15381-Sens!I15378-Sens!I15385+Sens!I15363*(1-tax_f)</f>
        <v>169.678565810806</v>
      </c>
      <c r="J15410" s="6" t="n">
        <f aca="false">Sens!J15381-Sens!J15378-Sens!J15385+Sens!J15363*(1-tax_f)</f>
        <v>169.019240255257</v>
      </c>
      <c r="K15410" s="6" t="n">
        <f aca="false">Sens!K15381-Sens!K15378-Sens!K15385+Sens!K15363*(1-tax_f)</f>
        <v>140.330181863668</v>
      </c>
      <c r="L15410" s="1" t="s">
        <v>1223</v>
      </c>
    </row>
    <row r="15411" customFormat="false" ht="15" hidden="false" customHeight="false" outlineLevel="0" collapsed="false">
      <c r="A15411" s="1" t="s">
        <v>1224</v>
      </c>
      <c r="B15411" s="0" t="s">
        <v>98</v>
      </c>
      <c r="F15411" s="6" t="n">
        <f aca="false">Sens!F15410*Sens!F15408</f>
        <v>-13.2150570097021</v>
      </c>
      <c r="G15411" s="6" t="n">
        <f aca="false">Sens!G15410*Sens!G15408</f>
        <v>122.391063070672</v>
      </c>
      <c r="H15411" s="6" t="n">
        <f aca="false">Sens!H15410*Sens!H15408</f>
        <v>148.374403611198</v>
      </c>
      <c r="I15411" s="6" t="n">
        <f aca="false">Sens!I15410*Sens!I15408</f>
        <v>123.431255299601</v>
      </c>
      <c r="J15411" s="6" t="n">
        <f aca="false">Sens!J15410*Sens!J15408</f>
        <v>111.476612020316</v>
      </c>
      <c r="K15411" s="6" t="n">
        <f aca="false">Sens!K15410*Sens!K15408</f>
        <v>83.9166540052893</v>
      </c>
    </row>
    <row r="15412" customFormat="false" ht="17.15" hidden="false" customHeight="false" outlineLevel="0" collapsed="false">
      <c r="A15412" s="1" t="s">
        <v>1225</v>
      </c>
      <c r="B15412" s="0" t="s">
        <v>98</v>
      </c>
      <c r="C15412" s="6" t="n">
        <f aca="false">SUM(Sens!F15411:K15411)</f>
        <v>576.374930997375</v>
      </c>
    </row>
    <row r="15413" customFormat="false" ht="17.15" hidden="false" customHeight="false" outlineLevel="0" collapsed="false">
      <c r="A15413" s="1" t="s">
        <v>1226</v>
      </c>
      <c r="B15413" s="0" t="s">
        <v>98</v>
      </c>
      <c r="C15413" s="6" t="n">
        <f aca="false">Sens!K15349*(1+g_tv)*(1-tax_f)</f>
        <v>216.927406920143</v>
      </c>
    </row>
    <row r="15414" customFormat="false" ht="17.15" hidden="false" customHeight="false" outlineLevel="0" collapsed="false">
      <c r="A15414" s="1" t="s">
        <v>1227</v>
      </c>
      <c r="B15414" s="0" t="s">
        <v>98</v>
      </c>
      <c r="C15414" s="6" t="n">
        <f aca="false">Sens!$C$15413*(1-g_tv/(wacc+ronic_prem))</f>
        <v>153.705746402517</v>
      </c>
    </row>
    <row r="15415" customFormat="false" ht="17.15" hidden="false" customHeight="false" outlineLevel="0" collapsed="false">
      <c r="A15415" s="1" t="s">
        <v>1228</v>
      </c>
      <c r="B15415" s="0" t="s">
        <v>98</v>
      </c>
      <c r="C15415" s="6" t="n">
        <f aca="false">Sens!$C$15414/(wacc-g_tv)</f>
        <v>2107.38868392087</v>
      </c>
    </row>
    <row r="15416" customFormat="false" ht="15" hidden="false" customHeight="false" outlineLevel="0" collapsed="false">
      <c r="A15416" s="1" t="s">
        <v>1229</v>
      </c>
      <c r="B15416" s="0" t="s">
        <v>98</v>
      </c>
      <c r="C15416" s="6" t="n">
        <f aca="false">Sens!$C$15415/(1+wacc)^Sens!K15407</f>
        <v>1199.95909581678</v>
      </c>
    </row>
    <row r="15417" customFormat="false" ht="17.15" hidden="false" customHeight="false" outlineLevel="0" collapsed="false">
      <c r="A15417" s="0" t="s">
        <v>1230</v>
      </c>
      <c r="B15417" s="0" t="s">
        <v>98</v>
      </c>
      <c r="C15417" s="6" t="n">
        <f aca="false">Sens!$C$15412+Sens!$C$15416</f>
        <v>1776.33402681415</v>
      </c>
    </row>
    <row r="15418" customFormat="false" ht="15" hidden="false" customHeight="false" outlineLevel="0" collapsed="false">
      <c r="A15418" s="1" t="s">
        <v>1145</v>
      </c>
      <c r="B15418" s="0" t="s">
        <v>168</v>
      </c>
      <c r="C15418" s="7" t="n">
        <f aca="false">Sens!$C$15416/Sens!$C$15417</f>
        <v>0.675525592429763</v>
      </c>
    </row>
    <row r="15419" customFormat="false" ht="17.15" hidden="false" customHeight="false" outlineLevel="0" collapsed="false">
      <c r="A15419" s="1" t="s">
        <v>1231</v>
      </c>
      <c r="B15419" s="0" t="s">
        <v>98</v>
      </c>
      <c r="C15419" s="6" t="n">
        <f aca="false">Sens!$C$15417+cash_val-debt_val-fl_val+oai_v</f>
        <v>1892.18502681415</v>
      </c>
    </row>
    <row r="15420" customFormat="false" ht="17.15" hidden="false" customHeight="false" outlineLevel="0" collapsed="false">
      <c r="A15420" s="0" t="s">
        <v>1153</v>
      </c>
      <c r="B15420" s="0" t="s">
        <v>75</v>
      </c>
      <c r="C15420" s="5" t="n">
        <f aca="false">Sens!$C$15419/shd_val</f>
        <v>254.121008167359</v>
      </c>
    </row>
    <row r="15421" customFormat="false" ht="15" hidden="false" customHeight="false" outlineLevel="0" collapsed="false">
      <c r="A15421" s="1" t="s">
        <v>1232</v>
      </c>
      <c r="B15421" s="0" t="s">
        <v>75</v>
      </c>
      <c r="C15421" s="8" t="n">
        <f aca="false">div_rem27+Sens!G15389*roll_div_q/q_per_yr</f>
        <v>3.9795</v>
      </c>
    </row>
    <row r="15422" customFormat="false" ht="17.15" hidden="false" customHeight="false" outlineLevel="0" collapsed="false">
      <c r="A15422" s="0" t="s">
        <v>1233</v>
      </c>
      <c r="B15422" s="0" t="s">
        <v>75</v>
      </c>
      <c r="C15422" s="5" t="n">
        <f aca="false">Sens!$C$15420*(1+wacc)^t_roll-Sens!$C$15421</f>
        <v>278.490183260505</v>
      </c>
    </row>
    <row r="15423" customFormat="false" ht="17.15" hidden="false" customHeight="false" outlineLevel="0" collapsed="false">
      <c r="A15423" s="1" t="s">
        <v>1234</v>
      </c>
      <c r="B15423" s="0" t="s">
        <v>168</v>
      </c>
      <c r="F15423" s="7" t="n">
        <f aca="false">Sens!F15375/(Sens!F15320-Sens!F15275)</f>
        <v>0.108177737857631</v>
      </c>
      <c r="G15423" s="7" t="n">
        <f aca="false">Sens!G15375/(Sens!G15320-Sens!G15275)</f>
        <v>0.0982891563402672</v>
      </c>
      <c r="H15423" s="7" t="n">
        <f aca="false">Sens!H15375/(Sens!H15320-Sens!H15275)</f>
        <v>0.0912602205424856</v>
      </c>
      <c r="I15423" s="7" t="n">
        <f aca="false">Sens!I15375/(Sens!I15320-Sens!I15275)</f>
        <v>0.0866163453176461</v>
      </c>
      <c r="J15423" s="7" t="n">
        <f aca="false">Sens!J15375/(Sens!J15320-Sens!J15275)</f>
        <v>0.0838316059702677</v>
      </c>
      <c r="K15423" s="7" t="n">
        <f aca="false">Sens!K15375/(Sens!K15320-Sens!K15275)</f>
        <v>0.0824143965668911</v>
      </c>
    </row>
    <row r="15424" customFormat="false" ht="17.15" hidden="false" customHeight="false" outlineLevel="0" collapsed="false">
      <c r="A15424" s="0" t="s">
        <v>1235</v>
      </c>
      <c r="B15424" s="0" t="s">
        <v>98</v>
      </c>
      <c r="F15424" s="6" t="n">
        <f aca="false">Sens!F15305*(al_m365+Sens!F15423+sbc_r)</f>
        <v>87.5573773987304</v>
      </c>
      <c r="G15424" s="6" t="n">
        <f aca="false">Sens!G15305*(al_m365+Sens!G15423+sbc_r)</f>
        <v>97.5466598616462</v>
      </c>
      <c r="H15424" s="6" t="n">
        <f aca="false">Sens!H15305*(al_m365+Sens!H15423+sbc_r)</f>
        <v>107.718043671489</v>
      </c>
      <c r="I15424" s="6" t="n">
        <f aca="false">Sens!I15305*(al_m365+Sens!I15423+sbc_r)</f>
        <v>117.393288430689</v>
      </c>
      <c r="J15424" s="6" t="n">
        <f aca="false">Sens!J15305*(al_m365+Sens!J15423+sbc_r)</f>
        <v>126.392302333988</v>
      </c>
      <c r="K15424" s="6" t="n">
        <f aca="false">Sens!K15305*(al_m365+Sens!K15423+sbc_r)</f>
        <v>135.033396203543</v>
      </c>
      <c r="L15424" s="12" t="s">
        <v>1236</v>
      </c>
    </row>
    <row r="15425" customFormat="false" ht="17.15" hidden="false" customHeight="false" outlineLevel="0" collapsed="false">
      <c r="A15425" s="0" t="s">
        <v>1237</v>
      </c>
      <c r="B15425" s="0" t="s">
        <v>98</v>
      </c>
      <c r="F15425" s="6" t="n">
        <f aca="false">Sens!F15306*(al_lic+Sens!F15423+sbc_r)</f>
        <v>34.3762117985167</v>
      </c>
      <c r="G15425" s="6" t="n">
        <f aca="false">Sens!G15306*(al_lic+Sens!G15423+sbc_r)</f>
        <v>35.4362005420265</v>
      </c>
      <c r="H15425" s="6" t="n">
        <f aca="false">Sens!H15306*(al_lic+Sens!H15423+sbc_r)</f>
        <v>36.4472029817648</v>
      </c>
      <c r="I15425" s="6" t="n">
        <f aca="false">Sens!I15306*(al_lic+Sens!I15423+sbc_r)</f>
        <v>37.3847018642724</v>
      </c>
      <c r="J15425" s="6" t="n">
        <f aca="false">Sens!J15306*(al_lic+Sens!J15423+sbc_r)</f>
        <v>38.2190665310661</v>
      </c>
      <c r="K15425" s="6" t="n">
        <f aca="false">Sens!K15306*(al_lic+Sens!K15423+sbc_r)</f>
        <v>38.9200332509219</v>
      </c>
    </row>
    <row r="15426" customFormat="false" ht="17.15" hidden="false" customHeight="false" outlineLevel="0" collapsed="false">
      <c r="A15426" s="0" t="s">
        <v>1238</v>
      </c>
      <c r="B15426" s="0" t="s">
        <v>98</v>
      </c>
      <c r="F15426" s="6" t="n">
        <f aca="false">Sens!F15308*(al_ind+Sens!F15423+sbc_r)</f>
        <v>9.94320426334936</v>
      </c>
      <c r="G15426" s="6" t="n">
        <f aca="false">Sens!G15308*(al_ind+Sens!G15423+sbc_r)</f>
        <v>10.627928956782</v>
      </c>
      <c r="H15426" s="6" t="n">
        <f aca="false">Sens!H15308*(al_ind+Sens!H15423+sbc_r)</f>
        <v>11.3697608677774</v>
      </c>
      <c r="I15426" s="6" t="n">
        <f aca="false">Sens!I15308*(al_ind+Sens!I15423+sbc_r)</f>
        <v>12.1638752630046</v>
      </c>
      <c r="J15426" s="6" t="n">
        <f aca="false">Sens!J15308*(al_ind+Sens!J15423+sbc_r)</f>
        <v>12.999721658117</v>
      </c>
      <c r="K15426" s="6" t="n">
        <f aca="false">Sens!K15308*(al_ind+Sens!K15423+sbc_r)</f>
        <v>13.8629018500533</v>
      </c>
    </row>
    <row r="15427" customFormat="false" ht="17.15" hidden="false" customHeight="false" outlineLevel="0" collapsed="false">
      <c r="A15427" s="0" t="s">
        <v>1239</v>
      </c>
      <c r="B15427" s="0" t="s">
        <v>98</v>
      </c>
      <c r="F15427" s="6" t="n">
        <f aca="false">Sens!F15310*(al_fro+Sens!F15423+sbc_r)</f>
        <v>3.90031068680128</v>
      </c>
      <c r="G15427" s="6" t="n">
        <f aca="false">Sens!G15310*(al_fro+Sens!G15423+sbc_r)</f>
        <v>4.06655710190904</v>
      </c>
      <c r="H15427" s="6" t="n">
        <f aca="false">Sens!H15310*(al_fro+Sens!H15423+sbc_r)</f>
        <v>4.2698788346887</v>
      </c>
      <c r="I15427" s="6" t="n">
        <f aca="false">Sens!I15310*(al_fro+Sens!I15423+sbc_r)</f>
        <v>4.51143508730516</v>
      </c>
      <c r="J15427" s="6" t="n">
        <f aca="false">Sens!J15310*(al_fro+Sens!J15423+sbc_r)</f>
        <v>4.79137285964274</v>
      </c>
      <c r="K15427" s="6" t="n">
        <f aca="false">Sens!K15310*(al_fro+Sens!K15423+sbc_r)</f>
        <v>5.10951952873256</v>
      </c>
    </row>
    <row r="15428" customFormat="false" ht="17.15" hidden="false" customHeight="false" outlineLevel="0" collapsed="false">
      <c r="A15428" s="0" t="s">
        <v>1240</v>
      </c>
      <c r="B15428" s="0" t="s">
        <v>98</v>
      </c>
      <c r="F15428" s="6" t="n">
        <f aca="false">Sens!F15313*(al_srch+Sens!F15423+sbc_r)</f>
        <v>12.2792814319747</v>
      </c>
      <c r="G15428" s="6" t="n">
        <f aca="false">Sens!G15313*(al_srch+Sens!G15423+sbc_r)</f>
        <v>13.2487150889011</v>
      </c>
      <c r="H15428" s="6" t="n">
        <f aca="false">Sens!H15313*(al_srch+Sens!H15423+sbc_r)</f>
        <v>14.2743109424213</v>
      </c>
      <c r="I15428" s="6" t="n">
        <f aca="false">Sens!I15313*(al_srch+Sens!I15423+sbc_r)</f>
        <v>15.3441074202405</v>
      </c>
      <c r="J15428" s="6" t="n">
        <f aca="false">Sens!J15313*(al_srch+Sens!J15423+sbc_r)</f>
        <v>16.437790074854</v>
      </c>
      <c r="K15428" s="6" t="n">
        <f aca="false">Sens!K15313*(al_srch+Sens!K15423+sbc_r)</f>
        <v>17.5292576589282</v>
      </c>
    </row>
    <row r="15429" customFormat="false" ht="17.15" hidden="false" customHeight="false" outlineLevel="0" collapsed="false">
      <c r="A15429" s="0" t="s">
        <v>1241</v>
      </c>
      <c r="B15429" s="0" t="s">
        <v>98</v>
      </c>
      <c r="F15429" s="6" t="n">
        <f aca="false">Sens!F15281-Sens!F15282+Sens!F15363</f>
        <v>23.5427559368489</v>
      </c>
      <c r="G15429" s="6" t="n">
        <f aca="false">Sens!G15281-Sens!G15282+Sens!G15363</f>
        <v>24.9925302902486</v>
      </c>
      <c r="H15429" s="6" t="n">
        <f aca="false">Sens!H15281-Sens!H15282+Sens!H15363</f>
        <v>22.1574123423864</v>
      </c>
      <c r="I15429" s="6" t="n">
        <f aca="false">Sens!I15281-Sens!I15282+Sens!I15363</f>
        <v>21.8193629173652</v>
      </c>
      <c r="J15429" s="6" t="n">
        <f aca="false">Sens!J15281-Sens!J15282+Sens!J15363</f>
        <v>22.3924930434899</v>
      </c>
      <c r="K15429" s="6" t="n">
        <f aca="false">Sens!K15281-Sens!K15282+Sens!K15363</f>
        <v>24.3758708605373</v>
      </c>
    </row>
    <row r="15430" customFormat="false" ht="17.15" hidden="false" customHeight="false" outlineLevel="0" collapsed="false">
      <c r="A15430" s="0" t="s">
        <v>1242</v>
      </c>
      <c r="B15430" s="0" t="s">
        <v>98</v>
      </c>
      <c r="F15430" s="6" t="n">
        <f aca="false">Sens!F15342+Sens!F15363+Sens!F15293+Sens!F15423*(Sens!F15312-Sens!F15275)+sbc_r*Sens!F15312</f>
        <v>219.487358805911</v>
      </c>
      <c r="G15430" s="6" t="n">
        <f aca="false">Sens!G15342+Sens!G15363+Sens!G15293+Sens!G15423*(Sens!G15312-Sens!G15275)+sbc_r*Sens!G15312</f>
        <v>239.718812060467</v>
      </c>
      <c r="H15430" s="6" t="n">
        <f aca="false">Sens!H15342+Sens!H15363+Sens!H15293+Sens!H15423*(Sens!H15312-Sens!H15275)+sbc_r*Sens!H15312</f>
        <v>262.169242651418</v>
      </c>
      <c r="I15430" s="6" t="n">
        <f aca="false">Sens!I15342+Sens!I15363+Sens!I15293+Sens!I15423*(Sens!I15312-Sens!I15275)+sbc_r*Sens!I15312</f>
        <v>286.365006827866</v>
      </c>
      <c r="J15430" s="6" t="n">
        <f aca="false">Sens!J15342+Sens!J15363+Sens!J15293+Sens!J15423*(Sens!J15312-Sens!J15275)+sbc_r*Sens!J15312</f>
        <v>309.759986165546</v>
      </c>
      <c r="K15430" s="6" t="n">
        <f aca="false">Sens!K15342+Sens!K15363+Sens!K15293+Sens!K15423*(Sens!K15312-Sens!K15275)+sbc_r*Sens!K15312</f>
        <v>332.420004170611</v>
      </c>
    </row>
    <row r="15431" customFormat="false" ht="17.15" hidden="false" customHeight="false" outlineLevel="0" collapsed="false">
      <c r="A15431" s="0" t="s">
        <v>1243</v>
      </c>
      <c r="B15431" s="0" t="s">
        <v>98</v>
      </c>
      <c r="F15431" s="6" t="n">
        <f aca="false">Sens!F15430-Sens!F15424-Sens!F15425-Sens!F15426-Sens!F15427-Sens!F15429</f>
        <v>60.1674987216642</v>
      </c>
      <c r="G15431" s="6" t="n">
        <f aca="false">Sens!G15430-Sens!G15424-Sens!G15425-Sens!G15426-Sens!G15427-Sens!G15429</f>
        <v>67.0489353078547</v>
      </c>
      <c r="H15431" s="6" t="n">
        <f aca="false">Sens!H15430-Sens!H15424-Sens!H15425-Sens!H15426-Sens!H15427-Sens!H15429</f>
        <v>80.2069439533114</v>
      </c>
      <c r="I15431" s="6" t="n">
        <f aca="false">Sens!I15430-Sens!I15424-Sens!I15425-Sens!I15426-Sens!I15427-Sens!I15429</f>
        <v>93.0923432652294</v>
      </c>
      <c r="J15431" s="6" t="n">
        <f aca="false">Sens!J15430-Sens!J15424-Sens!J15425-Sens!J15426-Sens!J15427-Sens!J15429</f>
        <v>104.965029739242</v>
      </c>
      <c r="K15431" s="6" t="n">
        <f aca="false">Sens!K15430-Sens!K15424-Sens!K15425-Sens!K15426-Sens!K15427-Sens!K15429</f>
        <v>115.118282476823</v>
      </c>
    </row>
    <row r="15432" customFormat="false" ht="17.15" hidden="false" customHeight="false" outlineLevel="0" collapsed="false">
      <c r="A15432" s="0" t="s">
        <v>1244</v>
      </c>
      <c r="B15432" s="0" t="s">
        <v>98</v>
      </c>
      <c r="F15432" s="6" t="n">
        <f aca="false">Sens!F15344+Sens!F15423*Sens!F15319+sbc_r*Sens!F15319</f>
        <v>29.1773264673672</v>
      </c>
      <c r="G15432" s="6" t="n">
        <f aca="false">Sens!G15344+Sens!G15423*Sens!G15319+sbc_r*Sens!G15319</f>
        <v>28.6231158648252</v>
      </c>
      <c r="H15432" s="6" t="n">
        <f aca="false">Sens!H15344+Sens!H15423*Sens!H15319+sbc_r*Sens!H15319</f>
        <v>29.193182707856</v>
      </c>
      <c r="I15432" s="6" t="n">
        <f aca="false">Sens!I15344+Sens!I15423*Sens!I15319+sbc_r*Sens!I15319</f>
        <v>30.0635487506511</v>
      </c>
      <c r="J15432" s="6" t="n">
        <f aca="false">Sens!J15344+Sens!J15423*Sens!J15319+sbc_r*Sens!J15319</f>
        <v>31.1843695128253</v>
      </c>
      <c r="K15432" s="6" t="n">
        <f aca="false">Sens!K15344+Sens!K15423*Sens!K15319+sbc_r*Sens!K15319</f>
        <v>32.5117888467652</v>
      </c>
    </row>
    <row r="15433" customFormat="false" ht="17.15" hidden="false" customHeight="false" outlineLevel="0" collapsed="false">
      <c r="A15433" s="0" t="s">
        <v>1245</v>
      </c>
      <c r="B15433" s="0" t="s">
        <v>98</v>
      </c>
      <c r="F15433" s="6" t="n">
        <f aca="false">(Sens!F15432-Sens!F15428)*Sens!F15315/(Sens!F15315+Sens!F15317)</f>
        <v>9.54377112704764</v>
      </c>
      <c r="G15433" s="6" t="n">
        <f aca="false">(Sens!G15432-Sens!G15428)*Sens!G15315/(Sens!G15315+Sens!G15317)</f>
        <v>8.53400627238313</v>
      </c>
      <c r="H15433" s="6" t="n">
        <f aca="false">(Sens!H15432-Sens!H15428)*Sens!H15315/(Sens!H15315+Sens!H15317)</f>
        <v>8.17327281892581</v>
      </c>
      <c r="I15433" s="6" t="n">
        <f aca="false">(Sens!I15432-Sens!I15428)*Sens!I15315/(Sens!I15315+Sens!I15317)</f>
        <v>7.99362888445182</v>
      </c>
      <c r="J15433" s="6" t="n">
        <f aca="false">(Sens!J15432-Sens!J15428)*Sens!J15315/(Sens!J15315+Sens!J15317)</f>
        <v>7.97342654455077</v>
      </c>
      <c r="K15433" s="6" t="n">
        <f aca="false">(Sens!K15432-Sens!K15428)*Sens!K15315/(Sens!K15315+Sens!K15317)</f>
        <v>8.10100487236068</v>
      </c>
    </row>
    <row r="15434" customFormat="false" ht="17.15" hidden="false" customHeight="false" outlineLevel="0" collapsed="false">
      <c r="A15434" s="0" t="s">
        <v>1246</v>
      </c>
      <c r="B15434" s="0" t="s">
        <v>98</v>
      </c>
      <c r="F15434" s="6" t="n">
        <f aca="false">Sens!F15432-Sens!F15428-Sens!F15433</f>
        <v>7.35427390834487</v>
      </c>
      <c r="G15434" s="6" t="n">
        <f aca="false">Sens!G15432-Sens!G15428-Sens!G15433</f>
        <v>6.840394503541</v>
      </c>
      <c r="H15434" s="6" t="n">
        <f aca="false">Sens!H15432-Sens!H15428-Sens!H15433</f>
        <v>6.74559894650885</v>
      </c>
      <c r="I15434" s="6" t="n">
        <f aca="false">Sens!I15432-Sens!I15428-Sens!I15433</f>
        <v>6.72581244595876</v>
      </c>
      <c r="J15434" s="6" t="n">
        <f aca="false">Sens!J15432-Sens!J15428-Sens!J15433</f>
        <v>6.77315289342053</v>
      </c>
      <c r="K15434" s="6" t="n">
        <f aca="false">Sens!K15432-Sens!K15428-Sens!K15433</f>
        <v>6.88152631547632</v>
      </c>
    </row>
    <row r="15435" customFormat="false" ht="17.15" hidden="false" customHeight="false" outlineLevel="0" collapsed="false">
      <c r="A15435" s="0" t="s">
        <v>1247</v>
      </c>
      <c r="B15435" s="0" t="s">
        <v>98</v>
      </c>
      <c r="F15435" s="6" t="n">
        <f aca="false">Sens!F15429-tax_f*(Sens!F15429-Sens!F15293)-Sens!F15290</f>
        <v>-5.92966233912087</v>
      </c>
      <c r="G15435" s="6" t="n">
        <f aca="false">Sens!G15429-tax_f*(Sens!G15429-Sens!G15293)-Sens!G15290</f>
        <v>-8.38260833120114</v>
      </c>
      <c r="H15435" s="6" t="n">
        <f aca="false">Sens!H15429-tax_f*(Sens!H15429-Sens!H15293)-Sens!H15290</f>
        <v>24.0614468573092</v>
      </c>
      <c r="I15435" s="6" t="n">
        <f aca="false">Sens!I15429-tax_f*(Sens!I15429-Sens!I15293)-Sens!I15290</f>
        <v>-5.25928143990227</v>
      </c>
      <c r="J15435" s="6" t="n">
        <f aca="false">Sens!J15429-tax_f*(Sens!J15429-Sens!J15293)-Sens!J15290</f>
        <v>-19.4014412299192</v>
      </c>
      <c r="K15435" s="6" t="n">
        <f aca="false">Sens!K15429-tax_f*(Sens!K15429-Sens!K15293)-Sens!K15290</f>
        <v>-60.7601183815868</v>
      </c>
    </row>
    <row r="15436" customFormat="false" ht="17.15" hidden="false" customHeight="false" outlineLevel="0" collapsed="false">
      <c r="A15436" s="0" t="s">
        <v>1248</v>
      </c>
      <c r="B15436" s="0" t="s">
        <v>98</v>
      </c>
      <c r="G15436" s="6" t="n">
        <f aca="false">Sens!G15435/(1+wacc)^(Sens!G15406-Sens!F15407)</f>
        <v>-7.98185625137517</v>
      </c>
      <c r="H15436" s="6" t="n">
        <f aca="false">Sens!H15435/(1+wacc)^(Sens!H15406-Sens!F15407)</f>
        <v>20.772842153954</v>
      </c>
      <c r="I15436" s="6" t="n">
        <f aca="false">Sens!I15435/(1+wacc)^(Sens!I15406-Sens!F15407)</f>
        <v>-4.11670786485131</v>
      </c>
      <c r="J15436" s="6" t="n">
        <f aca="false">Sens!J15435/(1+wacc)^(Sens!J15406-Sens!F15407)</f>
        <v>-13.769148530013</v>
      </c>
      <c r="K15436" s="6" t="n">
        <f aca="false">Sens!K15435/(1+wacc)^(Sens!K15406-Sens!F15407)</f>
        <v>-39.0967951216224</v>
      </c>
      <c r="L15436" s="1" t="s">
        <v>1249</v>
      </c>
    </row>
    <row r="15437" customFormat="false" ht="17.15" hidden="false" customHeight="false" outlineLevel="0" collapsed="false">
      <c r="A15437" s="0" t="s">
        <v>1250</v>
      </c>
      <c r="B15437" s="0" t="s">
        <v>98</v>
      </c>
      <c r="C15437" s="6" t="n">
        <f aca="false">(Sens!K15429-Sens!K15293)*(1-tax_f)*(1+g_tv)*(1-g_tv/(wacc+ronic_prem))/(wacc-g_tv)/(1+wacc)^(Sens!K15407-Sens!F15407)</f>
        <v>-57.5371142920865</v>
      </c>
    </row>
    <row r="15438" customFormat="false" ht="17.15" hidden="false" customHeight="false" outlineLevel="0" collapsed="false">
      <c r="A15438" s="1" t="s">
        <v>1251</v>
      </c>
      <c r="B15438" s="0" t="s">
        <v>98</v>
      </c>
      <c r="C15438" s="6" t="n">
        <f aca="false">(SUM(Sens!G15436:K15436)+Sens!$C$15437)*(1+wacc)^(t_roll-Sens!F15407)</f>
        <v>-105.087154581357</v>
      </c>
      <c r="L15438" s="12" t="s">
        <v>1252</v>
      </c>
    </row>
    <row r="15439" customFormat="false" ht="17.15" hidden="false" customHeight="false" outlineLevel="0" collapsed="false">
      <c r="A15439" s="1" t="s">
        <v>1253</v>
      </c>
      <c r="B15439" s="0" t="s">
        <v>98</v>
      </c>
      <c r="C15439" s="6" t="n">
        <f aca="false">(w_ntm28*Sens!G15281+(1-w_ntm28)*Sens!H15281)*m_ai</f>
        <v>150.528401372214</v>
      </c>
    </row>
    <row r="15440" customFormat="false" ht="17.15" hidden="false" customHeight="false" outlineLevel="0" collapsed="false">
      <c r="A15440" s="1" t="s">
        <v>1254</v>
      </c>
      <c r="B15440" s="0" t="s">
        <v>98</v>
      </c>
      <c r="C15440" s="6" t="n">
        <f aca="false">(w_ntm28*Sens!G15431+(1-w_ntm28)*Sens!H15431)*m_cloud</f>
        <v>986.400509345306</v>
      </c>
    </row>
    <row r="15441" customFormat="false" ht="17.15" hidden="false" customHeight="false" outlineLevel="0" collapsed="false">
      <c r="A15441" s="1" t="s">
        <v>1255</v>
      </c>
      <c r="B15441" s="0" t="s">
        <v>98</v>
      </c>
      <c r="C15441" s="6" t="n">
        <f aca="false">(w_ntm28*Sens!G15424+(1-w_ntm28)*Sens!H15424)*m_sw</f>
        <v>1089.61930573196</v>
      </c>
    </row>
    <row r="15442" customFormat="false" ht="17.15" hidden="false" customHeight="false" outlineLevel="0" collapsed="false">
      <c r="A15442" s="1" t="s">
        <v>1256</v>
      </c>
      <c r="B15442" s="0" t="s">
        <v>98</v>
      </c>
      <c r="C15442" s="6" t="n">
        <f aca="false">(w_ntm28*Sens!G15425+(1-w_ntm28)*Sens!H15425)*m_sw</f>
        <v>386.300716982381</v>
      </c>
    </row>
    <row r="15443" customFormat="false" ht="17.15" hidden="false" customHeight="false" outlineLevel="0" collapsed="false">
      <c r="A15443" s="1" t="s">
        <v>1257</v>
      </c>
      <c r="B15443" s="0" t="s">
        <v>98</v>
      </c>
      <c r="C15443" s="6" t="n">
        <f aca="false">(w_ntm28*Sens!G15426+(1-w_ntm28)*Sens!H15426)*m_sw</f>
        <v>117.415644121328</v>
      </c>
    </row>
    <row r="15444" customFormat="false" ht="17.15" hidden="false" customHeight="false" outlineLevel="0" collapsed="false">
      <c r="A15444" s="1" t="s">
        <v>1258</v>
      </c>
      <c r="B15444" s="0" t="s">
        <v>98</v>
      </c>
      <c r="C15444" s="6" t="n">
        <f aca="false">(w_ntm28*Sens!G15427+(1-w_ntm28)*Sens!H15427)*m_sw</f>
        <v>44.6407481134462</v>
      </c>
    </row>
    <row r="15445" customFormat="false" ht="17.15" hidden="false" customHeight="false" outlineLevel="0" collapsed="false">
      <c r="A15445" s="1" t="s">
        <v>1259</v>
      </c>
      <c r="B15445" s="0" t="s">
        <v>98</v>
      </c>
      <c r="C15445" s="6" t="n">
        <f aca="false">(w_ntm28*Sens!G15428+(1-w_ntm28)*Sens!H15428)*m_ads</f>
        <v>123.767524287473</v>
      </c>
    </row>
    <row r="15446" customFormat="false" ht="17.15" hidden="false" customHeight="false" outlineLevel="0" collapsed="false">
      <c r="A15446" s="1" t="s">
        <v>1260</v>
      </c>
      <c r="B15446" s="0" t="s">
        <v>98</v>
      </c>
      <c r="C15446" s="6" t="n">
        <f aca="false">(w_ntm28*Sens!G15433+(1-w_ntm28)*Sens!H15433)*m_game</f>
        <v>106.286615324144</v>
      </c>
    </row>
    <row r="15447" customFormat="false" ht="17.15" hidden="false" customHeight="false" outlineLevel="0" collapsed="false">
      <c r="A15447" s="1" t="s">
        <v>1261</v>
      </c>
      <c r="B15447" s="0" t="s">
        <v>98</v>
      </c>
      <c r="C15447" s="6" t="n">
        <f aca="false">(w_ntm28*Sens!G15434+(1-w_ntm28)*Sens!H15434)*m_pc</f>
        <v>98.5295413286201</v>
      </c>
    </row>
    <row r="15448" customFormat="false" ht="17.15" hidden="false" customHeight="false" outlineLevel="0" collapsed="false">
      <c r="A15448" s="1" t="s">
        <v>1262</v>
      </c>
      <c r="B15448" s="0" t="s">
        <v>98</v>
      </c>
      <c r="C15448" s="6" t="n">
        <f aca="false">Sens!$C$15438+Sens!$C$15440+Sens!$C$15441+Sens!$C$15442+Sens!$C$15443+Sens!$C$15444+Sens!$C$15445+Sens!$C$15446+Sens!$C$15447</f>
        <v>2847.8734506533</v>
      </c>
    </row>
    <row r="15449" customFormat="false" ht="17.15" hidden="false" customHeight="false" outlineLevel="0" collapsed="false">
      <c r="A15449" s="1" t="s">
        <v>1263</v>
      </c>
      <c r="B15449" s="0" t="s">
        <v>98</v>
      </c>
      <c r="C15449" s="6" t="n">
        <f aca="false">(Sens!G15410-Sens!G15435)*t_stub</f>
        <v>48.6292744236651</v>
      </c>
      <c r="L15449" s="1" t="s">
        <v>1264</v>
      </c>
    </row>
    <row r="15450" customFormat="false" ht="17.15" hidden="false" customHeight="false" outlineLevel="0" collapsed="false">
      <c r="A15450" s="1" t="s">
        <v>1173</v>
      </c>
      <c r="B15450" s="0" t="s">
        <v>98</v>
      </c>
      <c r="C15450" s="6" t="n">
        <f aca="false">Sens!F15397+oai_v-Sens!F15386+Sens!$C$15449</f>
        <v>156.075860633542</v>
      </c>
      <c r="L15450" s="1" t="s">
        <v>1265</v>
      </c>
    </row>
    <row r="15451" customFormat="false" ht="17.15" hidden="false" customHeight="false" outlineLevel="0" collapsed="false">
      <c r="A15451" s="1" t="s">
        <v>1266</v>
      </c>
      <c r="B15451" s="0" t="s">
        <v>75</v>
      </c>
      <c r="C15451" s="5" t="n">
        <f aca="false">(Sens!$C$15448+Sens!$C$15450)/(Sens!F15399+dil_gap)-Sens!G15389*roll_div_q/q_per_yr</f>
        <v>399.700802999846</v>
      </c>
      <c r="L15451" s="1" t="s">
        <v>1267</v>
      </c>
    </row>
    <row r="15452" customFormat="false" ht="17.15" hidden="false" customHeight="false" outlineLevel="0" collapsed="false">
      <c r="A15452" s="1" t="s">
        <v>1268</v>
      </c>
      <c r="B15452" s="0" t="s">
        <v>75</v>
      </c>
      <c r="C15452" s="5" t="n">
        <f aca="false">w_dcf*Sens!$C$15422+(1-w_dcf)*Sens!$C$15451</f>
        <v>339.095493130176</v>
      </c>
    </row>
    <row r="15453" customFormat="false" ht="17.15" hidden="false" customHeight="false" outlineLevel="0" collapsed="false">
      <c r="A15453" s="3" t="s">
        <v>1992</v>
      </c>
    </row>
    <row r="15454" customFormat="false" ht="15" hidden="false" customHeight="false" outlineLevel="0" collapsed="false">
      <c r="A15454" s="4" t="s">
        <v>43</v>
      </c>
      <c r="B15454" s="4" t="s">
        <v>65</v>
      </c>
      <c r="C15454" s="23" t="s">
        <v>942</v>
      </c>
      <c r="D15454" s="23" t="s">
        <v>943</v>
      </c>
      <c r="E15454" s="23" t="s">
        <v>944</v>
      </c>
      <c r="F15454" s="23" t="s">
        <v>945</v>
      </c>
      <c r="G15454" s="23" t="s">
        <v>946</v>
      </c>
      <c r="H15454" s="23" t="s">
        <v>947</v>
      </c>
      <c r="I15454" s="23" t="s">
        <v>948</v>
      </c>
      <c r="J15454" s="23" t="s">
        <v>949</v>
      </c>
      <c r="K15454" s="23" t="s">
        <v>950</v>
      </c>
      <c r="L15454" s="4" t="s">
        <v>47</v>
      </c>
    </row>
    <row r="15455" customFormat="false" ht="17.15" hidden="false" customHeight="false" outlineLevel="0" collapsed="false">
      <c r="A15455" s="1" t="s">
        <v>951</v>
      </c>
      <c r="B15455" s="1" t="s">
        <v>279</v>
      </c>
      <c r="C15455" s="21" t="n">
        <v>2024</v>
      </c>
      <c r="D15455" s="21" t="n">
        <v>2025</v>
      </c>
      <c r="E15455" s="21" t="n">
        <v>2026</v>
      </c>
      <c r="F15455" s="21" t="n">
        <v>2027</v>
      </c>
      <c r="G15455" s="21" t="n">
        <v>2028</v>
      </c>
      <c r="H15455" s="21" t="n">
        <v>2029</v>
      </c>
      <c r="I15455" s="21" t="n">
        <v>2030</v>
      </c>
      <c r="J15455" s="21" t="n">
        <v>2031</v>
      </c>
      <c r="K15455" s="21" t="n">
        <v>2032</v>
      </c>
    </row>
    <row r="15456" customFormat="false" ht="17.15" hidden="false" customHeight="false" outlineLevel="0" collapsed="false">
      <c r="A15456" s="1" t="s">
        <v>952</v>
      </c>
      <c r="B15456" s="0" t="s">
        <v>459</v>
      </c>
      <c r="F15456" s="30" t="n">
        <f aca="false">pace</f>
        <v>2726.5351</v>
      </c>
      <c r="G15456" s="30" t="n">
        <f aca="false">pace</f>
        <v>2726.5351</v>
      </c>
      <c r="H15456" s="30" t="n">
        <f aca="false">pace</f>
        <v>2726.5351</v>
      </c>
      <c r="I15456" s="30" t="n">
        <f aca="false">pace+(g_tv*Sens!H15457-pace)*MIN(1,(Sens!I15455-pace_y0)/(pace_y1-pace_y0))</f>
        <v>1931.98611966667</v>
      </c>
      <c r="J15456" s="30" t="n">
        <f aca="false">pace+(g_tv*Sens!I15457-pace)*MIN(1,(Sens!J15455-pace_y0)/(pace_y1-pace_y0))</f>
        <v>1176.07686172667</v>
      </c>
      <c r="K15456" s="30" t="n">
        <f aca="false">pace+(g_tv*Sens!J15457-pace)*MIN(1,(Sens!K15455-pace_y0)/(pace_y1-pace_y0))</f>
        <v>436.1300484418</v>
      </c>
      <c r="L15456" s="12" t="s">
        <v>953</v>
      </c>
    </row>
    <row r="15457" customFormat="false" ht="17.15" hidden="false" customHeight="false" outlineLevel="0" collapsed="false">
      <c r="A15457" s="1" t="s">
        <v>954</v>
      </c>
      <c r="B15457" s="0" t="s">
        <v>459</v>
      </c>
      <c r="C15457" s="30" t="n">
        <f aca="false">mw_ext_24</f>
        <v>640</v>
      </c>
      <c r="D15457" s="30" t="n">
        <f aca="false">mw_ext_25</f>
        <v>1630</v>
      </c>
      <c r="E15457" s="30" t="n">
        <f aca="false">mw_ext_26</f>
        <v>3250</v>
      </c>
      <c r="F15457" s="30" t="n">
        <f aca="false">Sens!E15457+Sens!F15456</f>
        <v>5976.5351</v>
      </c>
      <c r="G15457" s="30" t="n">
        <f aca="false">Sens!F15457+Sens!G15456</f>
        <v>8703.0702</v>
      </c>
      <c r="H15457" s="30" t="n">
        <f aca="false">Sens!G15457+Sens!H15456</f>
        <v>11429.6053</v>
      </c>
      <c r="I15457" s="30" t="n">
        <f aca="false">Sens!H15457+Sens!I15456</f>
        <v>13361.5914196667</v>
      </c>
      <c r="J15457" s="30" t="n">
        <f aca="false">Sens!I15457+Sens!J15456</f>
        <v>14537.6682813933</v>
      </c>
      <c r="K15457" s="30" t="n">
        <f aca="false">Sens!J15457+Sens!K15456</f>
        <v>14973.7983298351</v>
      </c>
      <c r="L15457" s="1" t="s">
        <v>955</v>
      </c>
    </row>
    <row r="15458" customFormat="false" ht="17.15" hidden="false" customHeight="false" outlineLevel="0" collapsed="false">
      <c r="A15458" s="1" t="s">
        <v>956</v>
      </c>
      <c r="B15458" s="0" t="s">
        <v>459</v>
      </c>
      <c r="C15458" s="30" t="n">
        <f aca="false">rent_ext_24</f>
        <v>150</v>
      </c>
      <c r="D15458" s="30" t="n">
        <f aca="false">rent_ext_25</f>
        <v>400</v>
      </c>
      <c r="E15458" s="30" t="n">
        <f aca="false">rent_ext_26</f>
        <v>550</v>
      </c>
      <c r="F15458" s="30" t="n">
        <f aca="false">rent_ext_f</f>
        <v>756</v>
      </c>
      <c r="G15458" s="30" t="n">
        <f aca="false">rent_ext_f</f>
        <v>756</v>
      </c>
      <c r="H15458" s="30" t="n">
        <f aca="false">rent_ext_f</f>
        <v>756</v>
      </c>
      <c r="I15458" s="30" t="n">
        <f aca="false">rent_ext_f</f>
        <v>756</v>
      </c>
      <c r="J15458" s="30" t="n">
        <f aca="false">rent_ext_f</f>
        <v>756</v>
      </c>
      <c r="K15458" s="30" t="n">
        <f aca="false">rent_ext_f</f>
        <v>756</v>
      </c>
      <c r="L15458" s="1" t="s">
        <v>957</v>
      </c>
    </row>
    <row r="15459" customFormat="false" ht="17.15" hidden="false" customHeight="false" outlineLevel="0" collapsed="false">
      <c r="A15459" s="1" t="s">
        <v>958</v>
      </c>
      <c r="B15459" s="0" t="s">
        <v>459</v>
      </c>
      <c r="C15459" s="30" t="n">
        <f aca="false">Sens!C15457-Sens!C15458</f>
        <v>490</v>
      </c>
      <c r="D15459" s="30" t="n">
        <f aca="false">Sens!D15457-Sens!D15458</f>
        <v>1230</v>
      </c>
      <c r="E15459" s="30" t="n">
        <f aca="false">Sens!E15457-Sens!E15458</f>
        <v>2700</v>
      </c>
      <c r="F15459" s="30" t="n">
        <f aca="false">Sens!F15457-Sens!F15458</f>
        <v>5220.5351</v>
      </c>
      <c r="G15459" s="30" t="n">
        <f aca="false">Sens!G15457-Sens!G15458</f>
        <v>7947.0702</v>
      </c>
      <c r="H15459" s="30" t="n">
        <f aca="false">Sens!H15457-Sens!H15458</f>
        <v>10673.6053</v>
      </c>
      <c r="I15459" s="30" t="n">
        <f aca="false">Sens!I15457-Sens!I15458</f>
        <v>12605.5914196667</v>
      </c>
      <c r="J15459" s="30" t="n">
        <f aca="false">Sens!J15457-Sens!J15458</f>
        <v>13781.6682813933</v>
      </c>
      <c r="K15459" s="30" t="n">
        <f aca="false">Sens!K15457-Sens!K15458</f>
        <v>14217.7983298351</v>
      </c>
    </row>
    <row r="15460" customFormat="false" ht="17.15" hidden="false" customHeight="false" outlineLevel="0" collapsed="false">
      <c r="A15460" s="1" t="s">
        <v>959</v>
      </c>
      <c r="B15460" s="0" t="s">
        <v>459</v>
      </c>
      <c r="C15460" s="30" t="n">
        <f aca="false">Sens!C15459/ext_sh</f>
        <v>816.666666666667</v>
      </c>
      <c r="D15460" s="30" t="n">
        <f aca="false">Sens!D15459/ext_sh</f>
        <v>2050</v>
      </c>
      <c r="E15460" s="30" t="n">
        <f aca="false">Sens!E15459/ext_sh</f>
        <v>4500</v>
      </c>
      <c r="F15460" s="30" t="n">
        <f aca="false">Sens!F15459/ext_sh</f>
        <v>8700.89183333333</v>
      </c>
      <c r="G15460" s="30" t="n">
        <f aca="false">Sens!G15459/ext_sh</f>
        <v>13245.117</v>
      </c>
      <c r="H15460" s="30" t="n">
        <f aca="false">Sens!H15459/ext_sh</f>
        <v>17789.3421666667</v>
      </c>
      <c r="I15460" s="30" t="n">
        <f aca="false">Sens!I15459/ext_sh</f>
        <v>21009.3190327778</v>
      </c>
      <c r="J15460" s="30" t="n">
        <f aca="false">Sens!J15459/ext_sh</f>
        <v>22969.4471356556</v>
      </c>
      <c r="K15460" s="30" t="n">
        <f aca="false">Sens!K15459/ext_sh</f>
        <v>23696.3305497252</v>
      </c>
      <c r="L15460" s="1" t="s">
        <v>960</v>
      </c>
    </row>
    <row r="15461" customFormat="false" ht="17.15" hidden="false" customHeight="false" outlineLevel="0" collapsed="false">
      <c r="A15461" s="1" t="s">
        <v>961</v>
      </c>
      <c r="B15461" s="0" t="s">
        <v>459</v>
      </c>
      <c r="C15461" s="30" t="n">
        <f aca="false">Sens!C15460-Sens!C15459</f>
        <v>326.666666666667</v>
      </c>
      <c r="D15461" s="30" t="n">
        <f aca="false">Sens!D15460-Sens!D15459</f>
        <v>820</v>
      </c>
      <c r="E15461" s="30" t="n">
        <f aca="false">Sens!E15460-Sens!E15459</f>
        <v>1800</v>
      </c>
      <c r="F15461" s="30" t="n">
        <f aca="false">Sens!F15460-Sens!F15459</f>
        <v>3480.35673333333</v>
      </c>
      <c r="G15461" s="30" t="n">
        <f aca="false">Sens!G15460-Sens!G15459</f>
        <v>5298.0468</v>
      </c>
      <c r="H15461" s="30" t="n">
        <f aca="false">Sens!H15460-Sens!H15459</f>
        <v>7115.73686666667</v>
      </c>
      <c r="I15461" s="30" t="n">
        <f aca="false">Sens!I15460-Sens!I15459</f>
        <v>8403.72761311111</v>
      </c>
      <c r="J15461" s="30" t="n">
        <f aca="false">Sens!J15460-Sens!J15459</f>
        <v>9187.77885426222</v>
      </c>
      <c r="K15461" s="30" t="n">
        <f aca="false">Sens!K15460-Sens!K15459</f>
        <v>9478.53221989009</v>
      </c>
    </row>
    <row r="15462" customFormat="false" ht="17.15" hidden="false" customHeight="false" outlineLevel="0" collapsed="false">
      <c r="A15462" s="1" t="s">
        <v>962</v>
      </c>
      <c r="B15462" s="0" t="s">
        <v>459</v>
      </c>
      <c r="C15462" s="30" t="n">
        <f aca="false">Sens!C15460</f>
        <v>816.666666666667</v>
      </c>
      <c r="D15462" s="30" t="n">
        <f aca="false">Sens!D15460-Sens!C15460</f>
        <v>1233.33333333333</v>
      </c>
      <c r="E15462" s="30" t="n">
        <f aca="false">Sens!E15460-Sens!D15460</f>
        <v>2450</v>
      </c>
      <c r="F15462" s="30" t="n">
        <f aca="false">Sens!F15460-Sens!E15460</f>
        <v>4200.89183333333</v>
      </c>
      <c r="G15462" s="30" t="n">
        <f aca="false">Sens!G15460-Sens!F15460</f>
        <v>4544.22516666667</v>
      </c>
      <c r="H15462" s="30" t="n">
        <f aca="false">Sens!H15460-Sens!G15460</f>
        <v>4544.22516666667</v>
      </c>
      <c r="I15462" s="30" t="n">
        <f aca="false">Sens!I15460-Sens!H15460</f>
        <v>3219.97686611111</v>
      </c>
      <c r="J15462" s="30" t="n">
        <f aca="false">Sens!J15460-Sens!I15460</f>
        <v>1960.12810287778</v>
      </c>
      <c r="K15462" s="30" t="n">
        <f aca="false">Sens!K15460-Sens!J15460</f>
        <v>726.883414069667</v>
      </c>
    </row>
    <row r="15463" customFormat="false" ht="17.15" hidden="false" customHeight="false" outlineLevel="0" collapsed="false">
      <c r="A15463" s="1" t="s">
        <v>963</v>
      </c>
      <c r="B15463" s="0" t="s">
        <v>459</v>
      </c>
      <c r="D15463" s="30" t="n">
        <f aca="false">Sens!D15457-Sens!C15457</f>
        <v>990</v>
      </c>
      <c r="E15463" s="30" t="n">
        <f aca="false">Sens!E15457-Sens!D15457</f>
        <v>1620</v>
      </c>
      <c r="F15463" s="30" t="n">
        <f aca="false">Sens!F15457-Sens!E15457</f>
        <v>2726.5351</v>
      </c>
      <c r="G15463" s="30" t="n">
        <f aca="false">Sens!G15457-Sens!F15457</f>
        <v>2726.5351</v>
      </c>
      <c r="H15463" s="30" t="n">
        <f aca="false">Sens!H15457-Sens!G15457</f>
        <v>2726.5351</v>
      </c>
      <c r="I15463" s="30" t="n">
        <f aca="false">Sens!I15457-Sens!H15457</f>
        <v>1931.98611966667</v>
      </c>
      <c r="J15463" s="30" t="n">
        <f aca="false">Sens!J15457-Sens!I15457</f>
        <v>1176.07686172667</v>
      </c>
      <c r="K15463" s="30" t="n">
        <f aca="false">Sens!K15457-Sens!J15457</f>
        <v>436.130048441799</v>
      </c>
    </row>
    <row r="15464" customFormat="false" ht="17.15" hidden="false" customHeight="false" outlineLevel="0" collapsed="false">
      <c r="A15464" s="1" t="s">
        <v>964</v>
      </c>
      <c r="B15464" s="0" t="s">
        <v>459</v>
      </c>
      <c r="F15464" s="30" t="n">
        <f aca="false">Sens!F15483*ext_sh</f>
        <v>0</v>
      </c>
      <c r="G15464" s="30" t="n">
        <f aca="false">Sens!G15483*ext_sh</f>
        <v>0</v>
      </c>
      <c r="H15464" s="30" t="n">
        <f aca="false">Sens!H15483*ext_sh</f>
        <v>0</v>
      </c>
      <c r="I15464" s="30" t="n">
        <f aca="false">Sens!I15483*ext_sh</f>
        <v>490</v>
      </c>
      <c r="J15464" s="30" t="n">
        <f aca="false">Sens!J15483*ext_sh</f>
        <v>740</v>
      </c>
      <c r="K15464" s="30" t="n">
        <f aca="false">Sens!K15483*ext_sh</f>
        <v>1470</v>
      </c>
      <c r="L15464" s="1" t="s">
        <v>965</v>
      </c>
    </row>
    <row r="15465" customFormat="false" ht="17.15" hidden="false" customHeight="false" outlineLevel="0" collapsed="false">
      <c r="A15465" s="1" t="s">
        <v>966</v>
      </c>
      <c r="B15465" s="0" t="s">
        <v>459</v>
      </c>
      <c r="C15465" s="30" t="n">
        <f aca="false">mix_h*Sens!C15457</f>
        <v>128</v>
      </c>
      <c r="D15465" s="30" t="n">
        <f aca="false">mix_h*Sens!D15457</f>
        <v>326</v>
      </c>
      <c r="E15465" s="30" t="n">
        <f aca="false">mix_h*Sens!E15457</f>
        <v>650</v>
      </c>
      <c r="F15465" s="30" t="n">
        <f aca="false">Sens!E15465-Sens!F15464*mix_h</f>
        <v>650</v>
      </c>
      <c r="G15465" s="30" t="n">
        <f aca="false">Sens!F15465-Sens!G15464*mix_h</f>
        <v>650</v>
      </c>
      <c r="H15465" s="30" t="n">
        <f aca="false">Sens!G15465-Sens!H15464*mix_h</f>
        <v>650</v>
      </c>
      <c r="I15465" s="30" t="n">
        <f aca="false">Sens!H15465-Sens!I15464*mix_h</f>
        <v>552</v>
      </c>
      <c r="J15465" s="30" t="n">
        <f aca="false">Sens!I15465-Sens!J15464*mix_h</f>
        <v>404</v>
      </c>
      <c r="K15465" s="30" t="n">
        <f aca="false">Sens!J15465-Sens!K15464*mix_h</f>
        <v>110</v>
      </c>
    </row>
    <row r="15466" customFormat="false" ht="17.15" hidden="false" customHeight="false" outlineLevel="0" collapsed="false">
      <c r="A15466" s="1" t="s">
        <v>967</v>
      </c>
      <c r="B15466" s="0" t="s">
        <v>459</v>
      </c>
      <c r="C15466" s="30" t="n">
        <f aca="false">mix_g2*Sens!C15457</f>
        <v>288</v>
      </c>
      <c r="D15466" s="30" t="n">
        <f aca="false">mix_g2*Sens!D15457</f>
        <v>733.5</v>
      </c>
      <c r="E15466" s="30" t="n">
        <f aca="false">mix_g2*Sens!E15457</f>
        <v>1462.5</v>
      </c>
      <c r="F15466" s="30" t="n">
        <f aca="false">Sens!E15466-Sens!F15464*mix_g2</f>
        <v>1462.5</v>
      </c>
      <c r="G15466" s="30" t="n">
        <f aca="false">Sens!F15466-Sens!G15464*mix_g2</f>
        <v>1462.5</v>
      </c>
      <c r="H15466" s="30" t="n">
        <f aca="false">Sens!G15466-Sens!H15464*mix_g2</f>
        <v>1462.5</v>
      </c>
      <c r="I15466" s="30" t="n">
        <f aca="false">Sens!H15466-Sens!I15464*mix_g2</f>
        <v>1242</v>
      </c>
      <c r="J15466" s="30" t="n">
        <f aca="false">Sens!I15466-Sens!J15464*mix_g2</f>
        <v>909</v>
      </c>
      <c r="K15466" s="30" t="n">
        <f aca="false">Sens!J15466-Sens!K15464*mix_g2</f>
        <v>247.5</v>
      </c>
    </row>
    <row r="15467" customFormat="false" ht="17.15" hidden="false" customHeight="false" outlineLevel="0" collapsed="false">
      <c r="A15467" s="1" t="s">
        <v>968</v>
      </c>
      <c r="B15467" s="0" t="s">
        <v>459</v>
      </c>
      <c r="C15467" s="30" t="n">
        <f aca="false">mix_g3*Sens!C15457</f>
        <v>224</v>
      </c>
      <c r="D15467" s="30" t="n">
        <f aca="false">mix_g3*Sens!D15457</f>
        <v>570.5</v>
      </c>
      <c r="E15467" s="30" t="n">
        <f aca="false">mix_g3*Sens!E15457</f>
        <v>1137.5</v>
      </c>
      <c r="F15467" s="30" t="n">
        <f aca="false">Sens!E15467+(Sens!F15463+Sens!F15464)*(a_g3_27-nonnv*a_mai)-Sens!F15464*mix_g3</f>
        <v>2773.42106</v>
      </c>
      <c r="G15467" s="30" t="n">
        <f aca="false">Sens!F15467+(Sens!G15463+Sens!G15464)*(a_g3_28-nonnv*a_mai)-Sens!G15464*mix_g3</f>
        <v>3318.72808</v>
      </c>
      <c r="H15467" s="30" t="n">
        <f aca="false">Sens!G15467+(Sens!H15463+Sens!H15464)*(a_g3_29-nonnv*a_mai)-Sens!H15464*mix_g3</f>
        <v>3318.72808</v>
      </c>
      <c r="I15467" s="30" t="n">
        <f aca="false">Sens!H15467+(Sens!I15463+Sens!I15464)*(a_g3_29-nonnv*a_mai)-Sens!I15464*mix_g3</f>
        <v>3147.22808</v>
      </c>
      <c r="J15467" s="30" t="n">
        <f aca="false">Sens!I15467+(Sens!J15463+Sens!J15464)*(a_g3_29-nonnv*a_mai)-Sens!J15464*mix_g3</f>
        <v>2888.22808</v>
      </c>
      <c r="K15467" s="30" t="n">
        <f aca="false">Sens!J15467+(Sens!K15463+Sens!K15464)*(a_g3_29-nonnv*a_mai)-Sens!K15464*mix_g3</f>
        <v>2373.72808</v>
      </c>
    </row>
    <row r="15468" customFormat="false" ht="17.15" hidden="false" customHeight="false" outlineLevel="0" collapsed="false">
      <c r="A15468" s="1" t="s">
        <v>969</v>
      </c>
      <c r="B15468" s="0" t="s">
        <v>459</v>
      </c>
      <c r="C15468" s="30" t="n">
        <v>0</v>
      </c>
      <c r="D15468" s="30" t="n">
        <v>0</v>
      </c>
      <c r="E15468" s="30" t="n">
        <v>0</v>
      </c>
      <c r="F15468" s="30" t="n">
        <f aca="false">Sens!E15468+(Sens!F15463+Sens!F15464)*nonnv*a_mai</f>
        <v>272.65351</v>
      </c>
      <c r="G15468" s="30" t="n">
        <f aca="false">Sens!F15468+(Sens!G15463+Sens!G15464)*nonnv*a_mai</f>
        <v>545.30702</v>
      </c>
      <c r="H15468" s="30" t="n">
        <f aca="false">Sens!G15468+(Sens!H15463+Sens!H15464)*nonnv*a_mai</f>
        <v>817.96053</v>
      </c>
      <c r="I15468" s="30" t="n">
        <f aca="false">Sens!H15468+(Sens!I15463+Sens!I15464)*nonnv*a_mai</f>
        <v>1060.15914196667</v>
      </c>
      <c r="J15468" s="30" t="n">
        <f aca="false">Sens!I15468+(Sens!J15463+Sens!J15464)*nonnv*a_mai</f>
        <v>1251.76682813933</v>
      </c>
      <c r="K15468" s="30" t="n">
        <f aca="false">Sens!J15468+(Sens!K15463+Sens!K15464)*nonnv*a_mai</f>
        <v>1442.37983298351</v>
      </c>
      <c r="L15468" s="12" t="s">
        <v>970</v>
      </c>
    </row>
    <row r="15469" customFormat="false" ht="17.15" hidden="false" customHeight="false" outlineLevel="0" collapsed="false">
      <c r="A15469" s="1" t="s">
        <v>971</v>
      </c>
      <c r="B15469" s="0" t="s">
        <v>459</v>
      </c>
      <c r="C15469" s="30" t="n">
        <v>0</v>
      </c>
      <c r="D15469" s="30" t="n">
        <v>0</v>
      </c>
      <c r="E15469" s="30" t="n">
        <v>0</v>
      </c>
      <c r="F15469" s="30" t="n">
        <f aca="false">Sens!E15469+(Sens!F15463+Sens!F15464)*(1-a_g3_27)</f>
        <v>817.96053</v>
      </c>
      <c r="G15469" s="30" t="n">
        <f aca="false">Sens!F15469+(Sens!G15463+Sens!G15464)*(1-a_g3_28)</f>
        <v>2726.5351</v>
      </c>
      <c r="H15469" s="30" t="n">
        <f aca="false">Sens!G15469+(Sens!H15463+Sens!H15464)*(1-a_g3_29)</f>
        <v>5180.41669</v>
      </c>
      <c r="I15469" s="30" t="n">
        <f aca="false">Sens!H15469+(Sens!I15463+Sens!I15464)*(1-a_g3_29)</f>
        <v>7360.2041977</v>
      </c>
      <c r="J15469" s="30" t="n">
        <f aca="false">Sens!I15469+(Sens!J15463+Sens!J15464)*(1-a_g3_29)</f>
        <v>9084.673373254</v>
      </c>
      <c r="K15469" s="30" t="n">
        <f aca="false">Sens!J15469+(Sens!K15463+Sens!K15464)*(1-a_g3_29)</f>
        <v>10800.1904168516</v>
      </c>
    </row>
    <row r="15470" customFormat="false" ht="17.15" hidden="false" customHeight="false" outlineLevel="0" collapsed="false">
      <c r="A15470" s="1" t="s">
        <v>972</v>
      </c>
      <c r="B15470" s="0" t="s">
        <v>403</v>
      </c>
      <c r="C15470" s="15" t="n">
        <f aca="false">(Sens!C15465*tk_hold_h100+Sens!C15466*tk_hold_gb200+Sens!C15467*tk_hold_gb300+Sens!C15469*tk_hold_vr200+Sens!C15468*nv_hold_mai*tk_hold_vr200)/Sens!C15457</f>
        <v>9.7235358126469</v>
      </c>
      <c r="D15470" s="15" t="n">
        <f aca="false">(Sens!D15465*tk_hold_h100+Sens!D15466*tk_hold_gb200+Sens!D15467*tk_hold_gb300+Sens!D15469*tk_hold_vr200+Sens!D15468*nv_hold_mai*tk_hold_vr200)/Sens!D15457</f>
        <v>9.7235358126469</v>
      </c>
      <c r="E15470" s="15" t="n">
        <f aca="false">(Sens!E15465*tk_hold_h100+Sens!E15466*tk_hold_gb200+Sens!E15467*tk_hold_gb300+Sens!E15469*tk_hold_vr200+Sens!E15468*nv_hold_mai*tk_hold_vr200)/Sens!E15457</f>
        <v>9.7235358126469</v>
      </c>
      <c r="F15470" s="15" t="n">
        <f aca="false">(Sens!F15465*tk_hold_h100+Sens!F15466*tk_hold_gb200+Sens!F15467*tk_hold_gb300+Sens!F15469*tk_hold_vr200+Sens!F15468*nv_hold_mai*tk_hold_vr200)/Sens!F15457</f>
        <v>10.2195353876665</v>
      </c>
      <c r="G15470" s="15" t="n">
        <f aca="false">(Sens!G15465*tk_hold_h100+Sens!G15466*tk_hold_gb200+Sens!G15467*tk_hold_gb300+Sens!G15469*tk_hold_vr200+Sens!G15468*nv_hold_mai*tk_hold_vr200)/Sens!G15457</f>
        <v>10.5725598017306</v>
      </c>
      <c r="H15470" s="15" t="n">
        <f aca="false">(Sens!H15465*tk_hold_h100+Sens!H15466*tk_hold_gb200+Sens!H15467*tk_hold_gb300+Sens!H15469*tk_hold_vr200+Sens!H15468*nv_hold_mai*tk_hold_vr200)/Sens!H15457</f>
        <v>10.8210427149036</v>
      </c>
      <c r="I15470" s="15" t="n">
        <f aca="false">(Sens!I15465*tk_hold_h100+Sens!I15466*tk_hold_gb200+Sens!I15467*tk_hold_gb300+Sens!I15469*tk_hold_vr200+Sens!I15468*nv_hold_mai*tk_hold_vr200)/Sens!I15457</f>
        <v>11.0050618241982</v>
      </c>
      <c r="J15470" s="15" t="n">
        <f aca="false">(Sens!J15465*tk_hold_h100+Sens!J15466*tk_hold_gb200+Sens!J15467*tk_hold_gb300+Sens!J15469*tk_hold_vr200+Sens!J15468*nv_hold_mai*tk_hold_vr200)/Sens!J15457</f>
        <v>11.1505789658881</v>
      </c>
      <c r="K15470" s="15" t="n">
        <f aca="false">(Sens!K15465*tk_hold_h100+Sens!K15466*tk_hold_gb200+Sens!K15467*tk_hold_gb300+Sens!K15469*tk_hold_vr200+Sens!K15468*nv_hold_mai*tk_hold_vr200)/Sens!K15457</f>
        <v>11.3496914757183</v>
      </c>
      <c r="L15470" s="1" t="s">
        <v>973</v>
      </c>
    </row>
    <row r="15471" customFormat="false" ht="17.15" hidden="false" customHeight="false" outlineLevel="0" collapsed="false">
      <c r="A15471" s="1" t="s">
        <v>974</v>
      </c>
      <c r="B15471" s="0" t="s">
        <v>403</v>
      </c>
      <c r="C15471" s="15" t="n">
        <f aca="false">(Sens!C15465*tk_hold_h100+Sens!C15466*tk_hold_gb200+Sens!C15467*tk_hold_gb300+Sens!C15469*tk_hold_vr200+Sens!C15468*nv_out_mai*tk_hold_vr200)/Sens!C15457</f>
        <v>9.7235358126469</v>
      </c>
      <c r="D15471" s="15" t="n">
        <f aca="false">(Sens!D15465*tk_hold_h100+Sens!D15466*tk_hold_gb200+Sens!D15467*tk_hold_gb300+Sens!D15469*tk_hold_vr200+Sens!D15468*nv_out_mai*tk_hold_vr200)/Sens!D15457</f>
        <v>9.7235358126469</v>
      </c>
      <c r="E15471" s="15" t="n">
        <f aca="false">(Sens!E15465*tk_hold_h100+Sens!E15466*tk_hold_gb200+Sens!E15467*tk_hold_gb300+Sens!E15469*tk_hold_vr200+Sens!E15468*nv_out_mai*tk_hold_vr200)/Sens!E15457</f>
        <v>9.7235358126469</v>
      </c>
      <c r="F15471" s="15" t="n">
        <f aca="false">(Sens!F15465*tk_hold_h100+Sens!F15466*tk_hold_gb200+Sens!F15467*tk_hold_gb300+Sens!F15469*tk_hold_vr200+Sens!F15468*nv_out_mai*tk_hold_vr200)/Sens!F15457</f>
        <v>10.247422093969</v>
      </c>
      <c r="G15471" s="15" t="n">
        <f aca="false">(Sens!G15465*tk_hold_h100+Sens!G15466*tk_hold_gb200+Sens!G15467*tk_hold_gb300+Sens!G15469*tk_hold_vr200+Sens!G15468*nv_out_mai*tk_hold_vr200)/Sens!G15457</f>
        <v>10.6108602808053</v>
      </c>
      <c r="H15471" s="15" t="n">
        <f aca="false">(Sens!H15465*tk_hold_h100+Sens!H15466*tk_hold_gb200+Sens!H15467*tk_hold_gb300+Sens!H15469*tk_hold_vr200+Sens!H15468*nv_out_mai*tk_hold_vr200)/Sens!H15457</f>
        <v>10.8647885507393</v>
      </c>
      <c r="I15471" s="15" t="n">
        <f aca="false">(Sens!I15465*tk_hold_h100+Sens!I15466*tk_hold_gb200+Sens!I15467*tk_hold_gb300+Sens!I15469*tk_hold_vr200+Sens!I15468*nv_out_mai*tk_hold_vr200)/Sens!I15457</f>
        <v>11.0535625770025</v>
      </c>
      <c r="J15471" s="15" t="n">
        <f aca="false">(Sens!J15465*tk_hold_h100+Sens!J15466*tk_hold_gb200+Sens!J15467*tk_hold_gb300+Sens!J15469*tk_hold_vr200+Sens!J15468*nv_out_mai*tk_hold_vr200)/Sens!J15457</f>
        <v>11.2032127128058</v>
      </c>
      <c r="K15471" s="15" t="n">
        <f aca="false">(Sens!K15465*tk_hold_h100+Sens!K15466*tk_hold_gb200+Sens!K15467*tk_hold_gb300+Sens!K15469*tk_hold_vr200+Sens!K15468*nv_out_mai*tk_hold_vr200)/Sens!K15457</f>
        <v>11.4085735724225</v>
      </c>
      <c r="L15471" s="12" t="s">
        <v>975</v>
      </c>
    </row>
    <row r="15472" customFormat="false" ht="17.15" hidden="false" customHeight="false" outlineLevel="0" collapsed="false">
      <c r="A15472" s="0" t="s">
        <v>976</v>
      </c>
      <c r="B15472" s="0" t="s">
        <v>229</v>
      </c>
      <c r="C15472" s="15" t="n">
        <f aca="false">k_B</f>
        <v>1.17213932619116</v>
      </c>
      <c r="D15472" s="15" t="n">
        <f aca="false">k_B</f>
        <v>1.17213932619116</v>
      </c>
      <c r="E15472" s="15" t="n">
        <f aca="false">k_B</f>
        <v>1.17213932619116</v>
      </c>
      <c r="F15472" s="15" t="n">
        <f aca="false">(k_B+((ls_C*k_long+(1-ls_C)*k_spot)-k_B)*MIN(1,(Sens!F15455-base_fy)/k_ramp))*(k_long_lo/k_C)</f>
        <v>0.568553904031711</v>
      </c>
      <c r="G15472" s="15" t="n">
        <f aca="false">(k_B+((ls_C*k_long+(1-ls_C)*k_spot)-k_B)*MIN(1,(Sens!G15455-base_fy)/k_ramp))*(k_long_lo/k_C)</f>
        <v>0.519151338362468</v>
      </c>
      <c r="H15472" s="15" t="n">
        <f aca="false">(k_B+((ls_C*k_long+(1-ls_C)*k_spot)-k_B)*MIN(1,(Sens!H15455-base_fy)/k_ramp))*(k_long_lo/k_C)</f>
        <v>0.469748772693226</v>
      </c>
      <c r="I15472" s="15" t="n">
        <f aca="false">(k_B+((ls_C*k_long+(1-ls_C)*k_spot)-k_B)*MIN(1,(Sens!I15455-base_fy)/k_ramp))*(k_long_lo/k_C)</f>
        <v>0.469748772693226</v>
      </c>
      <c r="J15472" s="15" t="n">
        <f aca="false">(k_B+((ls_C*k_long+(1-ls_C)*k_spot)-k_B)*MIN(1,(Sens!J15455-base_fy)/k_ramp))*(k_long_lo/k_C)</f>
        <v>0.469748772693226</v>
      </c>
      <c r="K15472" s="15" t="n">
        <f aca="false">(k_B+((ls_C*k_long+(1-ls_C)*k_spot)-k_B)*MIN(1,(Sens!K15455-base_fy)/k_ramp))*(k_long_lo/k_C)</f>
        <v>0.469748772693226</v>
      </c>
      <c r="L15472" s="1" t="s">
        <v>977</v>
      </c>
    </row>
    <row r="15473" customFormat="false" ht="17.15" hidden="false" customHeight="false" outlineLevel="0" collapsed="false">
      <c r="A15473" s="1" t="s">
        <v>978</v>
      </c>
      <c r="B15473" s="0" t="s">
        <v>403</v>
      </c>
      <c r="C15473" s="15" t="n">
        <f aca="false">Sens!C15471*Sens!C15472*chip_f</f>
        <v>11.3973387156315</v>
      </c>
      <c r="D15473" s="15" t="n">
        <f aca="false">Sens!D15471*Sens!D15472*chip_f</f>
        <v>11.3973387156315</v>
      </c>
      <c r="E15473" s="15" t="n">
        <f aca="false">Sens!E15471*Sens!E15472*chip_f</f>
        <v>11.3973387156315</v>
      </c>
      <c r="F15473" s="15" t="n">
        <f aca="false">Sens!F15471*Sens!F15472*chip_f</f>
        <v>5.82621183778686</v>
      </c>
      <c r="G15473" s="15" t="n">
        <f aca="false">Sens!G15471*Sens!G15472*chip_f</f>
        <v>5.50864231595722</v>
      </c>
      <c r="H15473" s="15" t="n">
        <f aca="false">Sens!H15471*Sens!H15472*chip_f</f>
        <v>5.10372108728121</v>
      </c>
      <c r="I15473" s="15" t="n">
        <f aca="false">Sens!I15471*Sens!I15472*chip_f</f>
        <v>5.19239745443471</v>
      </c>
      <c r="J15473" s="15" t="n">
        <f aca="false">Sens!J15471*Sens!J15472*chip_f</f>
        <v>5.26269542206165</v>
      </c>
      <c r="K15473" s="15" t="n">
        <f aca="false">Sens!K15471*Sens!K15472*chip_f</f>
        <v>5.35916343382583</v>
      </c>
      <c r="L15473" s="1" t="s">
        <v>979</v>
      </c>
    </row>
    <row r="15474" customFormat="false" ht="17.15" hidden="false" customHeight="false" outlineLevel="0" collapsed="false">
      <c r="A15474" s="0" t="s">
        <v>980</v>
      </c>
      <c r="B15474" s="0" t="s">
        <v>98</v>
      </c>
      <c r="D15474" s="6" t="n">
        <f aca="false">(Sens!C15457+Sens!D15457)/2*Sens!D15473/1000</f>
        <v>12.9359794422418</v>
      </c>
      <c r="E15474" s="6" t="n">
        <f aca="false">(Sens!D15457+Sens!E15457)/2*Sens!E15473/1000</f>
        <v>27.8095064661409</v>
      </c>
      <c r="F15474" s="6" t="n">
        <f aca="false">(Sens!E15457+Sens!F15457)/2*Sens!F15473/1000</f>
        <v>26.877874010688</v>
      </c>
      <c r="G15474" s="6" t="n">
        <f aca="false">(Sens!F15457+Sens!G15457)/2*Sens!G15473/1000</f>
        <v>40.4323474685649</v>
      </c>
      <c r="H15474" s="6" t="n">
        <f aca="false">(Sens!G15457+Sens!H15457)/2*Sens!H15473/1000</f>
        <v>51.3757802463699</v>
      </c>
      <c r="I15474" s="6" t="n">
        <f aca="false">(Sens!H15457+Sens!I15457)/2*Sens!I15473/1000</f>
        <v>64.3628733697936</v>
      </c>
      <c r="J15474" s="6" t="n">
        <f aca="false">(Sens!I15457+Sens!J15457)/2*Sens!J15473/1000</f>
        <v>73.4126531538388</v>
      </c>
      <c r="K15474" s="6" t="n">
        <f aca="false">(Sens!J15457+Sens!K15457)/2*Sens!K15473/1000</f>
        <v>79.0783863707338</v>
      </c>
      <c r="L15474" s="12" t="s">
        <v>981</v>
      </c>
    </row>
    <row r="15475" customFormat="false" ht="17.15" hidden="false" customHeight="false" outlineLevel="0" collapsed="false">
      <c r="A15475" s="1" t="s">
        <v>982</v>
      </c>
      <c r="B15475" s="0" t="s">
        <v>403</v>
      </c>
      <c r="C15475" s="15" t="n">
        <f aca="false">(Sens!C15465*tk_opex_h100+Sens!C15466*tk_opex_gb200+Sens!C15467*tk_opex_gb300+(Sens!C15469+Sens!C15468)*tk_opex_vr200)/Sens!C15457</f>
        <v>1.88636041306092</v>
      </c>
      <c r="D15475" s="15" t="n">
        <f aca="false">(Sens!D15465*tk_opex_h100+Sens!D15466*tk_opex_gb200+Sens!D15467*tk_opex_gb300+(Sens!D15469+Sens!D15468)*tk_opex_vr200)/Sens!D15457</f>
        <v>1.88636041306092</v>
      </c>
      <c r="E15475" s="15" t="n">
        <f aca="false">(Sens!E15465*tk_opex_h100+Sens!E15466*tk_opex_gb200+Sens!E15467*tk_opex_gb300+(Sens!E15469+Sens!E15468)*tk_opex_vr200)/Sens!E15457</f>
        <v>1.88636041306092</v>
      </c>
      <c r="F15475" s="15" t="n">
        <f aca="false">(Sens!F15465*tk_opex_h100+Sens!F15466*tk_opex_gb200+Sens!F15467*tk_opex_gb300+(Sens!F15469+Sens!F15468)*tk_opex_vr200)/Sens!F15457</f>
        <v>1.95051159746876</v>
      </c>
      <c r="G15475" s="15" t="n">
        <f aca="false">(Sens!G15465*tk_opex_h100+Sens!G15466*tk_opex_gb200+Sens!G15467*tk_opex_gb300+(Sens!G15469+Sens!G15468)*tk_opex_vr200)/Sens!G15457</f>
        <v>1.98836003669956</v>
      </c>
      <c r="H15475" s="15" t="n">
        <f aca="false">(Sens!H15465*tk_opex_h100+Sens!H15466*tk_opex_gb200+Sens!H15467*tk_opex_gb300+(Sens!H15469+Sens!H15468)*tk_opex_vr200)/Sens!H15457</f>
        <v>2.01344013834343</v>
      </c>
      <c r="I15475" s="15" t="n">
        <f aca="false">(Sens!I15465*tk_opex_h100+Sens!I15466*tk_opex_gb200+Sens!I15467*tk_opex_gb300+(Sens!I15469+Sens!I15468)*tk_opex_vr200)/Sens!I15457</f>
        <v>2.03261166882178</v>
      </c>
      <c r="J15475" s="15" t="n">
        <f aca="false">(Sens!J15465*tk_opex_h100+Sens!J15466*tk_opex_gb200+Sens!J15467*tk_opex_gb300+(Sens!J15469+Sens!J15468)*tk_opex_vr200)/Sens!J15457</f>
        <v>2.04808073288745</v>
      </c>
      <c r="K15475" s="15" t="n">
        <f aca="false">(Sens!K15465*tk_opex_h100+Sens!K15466*tk_opex_gb200+Sens!K15467*tk_opex_gb300+(Sens!K15469+Sens!K15468)*tk_opex_vr200)/Sens!K15457</f>
        <v>2.06973825807449</v>
      </c>
      <c r="L15475" s="12" t="s">
        <v>983</v>
      </c>
    </row>
    <row r="15476" customFormat="false" ht="17.15" hidden="false" customHeight="false" outlineLevel="0" collapsed="false">
      <c r="A15476" s="0" t="s">
        <v>984</v>
      </c>
      <c r="B15476" s="0" t="s">
        <v>98</v>
      </c>
      <c r="D15476" s="6" t="n">
        <f aca="false">(Sens!C15460+Sens!D15460)/2*Sens!D15475/1000</f>
        <v>2.70378325872065</v>
      </c>
      <c r="E15476" s="6" t="n">
        <f aca="false">(Sens!D15460+Sens!E15460)/2*Sens!E15475/1000</f>
        <v>6.17783035277451</v>
      </c>
      <c r="F15476" s="6" t="n">
        <f aca="false">(Sens!E15460+Sens!F15460)/2*Sens!F15475/1000</f>
        <v>12.8742463089237</v>
      </c>
      <c r="G15476" s="6" t="n">
        <f aca="false">(Sens!F15460+Sens!G15460)/2*Sens!G15475/1000</f>
        <v>21.8182834646277</v>
      </c>
      <c r="H15476" s="6" t="n">
        <f aca="false">(Sens!G15460+Sens!H15460)/2*Sens!H15475/1000</f>
        <v>31.2430128789734</v>
      </c>
      <c r="I15476" s="6" t="n">
        <f aca="false">(Sens!H15460+Sens!I15460)/2*Sens!I15475/1000</f>
        <v>39.4313057443268</v>
      </c>
      <c r="J15476" s="6" t="n">
        <f aca="false">(Sens!I15460+Sens!J15460)/2*Sens!J15475/1000</f>
        <v>45.0360318228653</v>
      </c>
      <c r="K15476" s="6" t="n">
        <f aca="false">(Sens!J15460+Sens!K15460)/2*Sens!K15475/1000</f>
        <v>48.2929727091156</v>
      </c>
    </row>
    <row r="15477" customFormat="false" ht="17.15" hidden="false" customHeight="false" outlineLevel="0" collapsed="false">
      <c r="A15477" s="0" t="s">
        <v>985</v>
      </c>
      <c r="B15477" s="0" t="s">
        <v>98</v>
      </c>
      <c r="D15477" s="6" t="n">
        <f aca="false">(Sens!C15458+Sens!D15458)/2*rent_mw/1000</f>
        <v>2.44475</v>
      </c>
      <c r="E15477" s="6" t="n">
        <f aca="false">(Sens!D15458+Sens!E15458)/2*rent_mw/1000</f>
        <v>4.22275</v>
      </c>
      <c r="F15477" s="6" t="n">
        <f aca="false">(Sens!E15458+Sens!F15458)/2*rent_mw/1000</f>
        <v>5.80517</v>
      </c>
      <c r="G15477" s="6" t="n">
        <f aca="false">(Sens!F15458+Sens!G15458)/2*rent_mw/1000</f>
        <v>6.72084</v>
      </c>
      <c r="H15477" s="6" t="n">
        <f aca="false">(Sens!G15458+Sens!H15458)/2*rent_mw/1000</f>
        <v>6.72084</v>
      </c>
      <c r="I15477" s="6" t="n">
        <f aca="false">(Sens!H15458+Sens!I15458)/2*rent_mw/1000</f>
        <v>6.72084</v>
      </c>
      <c r="J15477" s="6" t="n">
        <f aca="false">(Sens!I15458+Sens!J15458)/2*rent_mw/1000</f>
        <v>6.72084</v>
      </c>
      <c r="K15477" s="6" t="n">
        <f aca="false">(Sens!J15458+Sens!K15458)/2*rent_mw/1000</f>
        <v>6.72084</v>
      </c>
    </row>
    <row r="15478" customFormat="false" ht="17.15" hidden="false" customHeight="false" outlineLevel="0" collapsed="false">
      <c r="A15478" s="0" t="s">
        <v>986</v>
      </c>
      <c r="B15478" s="0" t="s">
        <v>98</v>
      </c>
      <c r="D15478" s="6" t="n">
        <f aca="false">(Sens!C15460+Sens!D15460)/2*(1-self_build)*fac_rent/1000</f>
        <v>0.853242375631075</v>
      </c>
      <c r="E15478" s="6" t="n">
        <f aca="false">(Sens!D15460+Sens!E15460)/2*(1-self_build)*fac_rent/1000</f>
        <v>1.94955961408728</v>
      </c>
      <c r="F15478" s="6" t="n">
        <f aca="false">(Sens!E15460+Sens!F15460)/2*(1-self_build)*fac_rent/1000</f>
        <v>3.92914894476356</v>
      </c>
      <c r="G15478" s="6" t="n">
        <f aca="false">(Sens!F15460+Sens!G15460)/2*(1-self_build)*fac_rent/1000</f>
        <v>6.53206908578159</v>
      </c>
      <c r="H15478" s="6" t="n">
        <f aca="false">(Sens!G15460+Sens!H15460)/2*(1-self_build)*fac_rent/1000</f>
        <v>9.23717988341591</v>
      </c>
      <c r="I15478" s="6" t="n">
        <f aca="false">(Sens!H15460+Sens!I15460)/2*(1-self_build)*fac_rent/1000</f>
        <v>11.5481378557393</v>
      </c>
      <c r="J15478" s="6" t="n">
        <f aca="false">(Sens!I15460+Sens!J15460)/2*(1-self_build)*fac_rent/1000</f>
        <v>13.0899582289108</v>
      </c>
      <c r="K15478" s="6" t="n">
        <f aca="false">(Sens!J15460+Sens!K15460)/2*(1-self_build)*fac_rent/1000</f>
        <v>13.8897275626556</v>
      </c>
      <c r="L15478" s="12" t="s">
        <v>987</v>
      </c>
    </row>
    <row r="15479" customFormat="false" ht="17.15" hidden="false" customHeight="false" outlineLevel="0" collapsed="false">
      <c r="A15479" s="1" t="s">
        <v>988</v>
      </c>
      <c r="B15479" s="0" t="s">
        <v>168</v>
      </c>
      <c r="D15479" s="7" t="n">
        <f aca="false">(Sens!C15459+Sens!D15459)/(Sens!C15460+Sens!D15460)</f>
        <v>0.6</v>
      </c>
      <c r="E15479" s="7" t="n">
        <f aca="false">(Sens!D15459+Sens!E15459)/(Sens!D15460+Sens!E15460)</f>
        <v>0.6</v>
      </c>
      <c r="F15479" s="7" t="n">
        <f aca="false">(Sens!E15459+Sens!F15459)/(Sens!E15460+Sens!F15460)</f>
        <v>0.6</v>
      </c>
      <c r="G15479" s="7" t="n">
        <f aca="false">(Sens!F15459+Sens!G15459)/(Sens!F15460+Sens!G15460)</f>
        <v>0.6</v>
      </c>
      <c r="H15479" s="7" t="n">
        <f aca="false">(Sens!G15459+Sens!H15459)/(Sens!G15460+Sens!H15460)</f>
        <v>0.6</v>
      </c>
      <c r="I15479" s="7" t="n">
        <f aca="false">(Sens!H15459+Sens!I15459)/(Sens!H15460+Sens!I15460)</f>
        <v>0.6</v>
      </c>
      <c r="J15479" s="7" t="n">
        <f aca="false">(Sens!I15459+Sens!J15459)/(Sens!I15460+Sens!J15460)</f>
        <v>0.6</v>
      </c>
      <c r="K15479" s="7" t="n">
        <f aca="false">(Sens!J15459+Sens!K15459)/(Sens!J15460+Sens!K15460)</f>
        <v>0.6</v>
      </c>
    </row>
    <row r="15480" customFormat="false" ht="17.15" hidden="false" customHeight="false" outlineLevel="0" collapsed="false">
      <c r="A15480" s="0" t="s">
        <v>989</v>
      </c>
      <c r="B15480" s="0" t="s">
        <v>98</v>
      </c>
      <c r="D15480" s="6" t="n">
        <f aca="false">Sens!D15474-Sens!D15479*(Sens!D15476+Sens!D15478)-Sens!D15477</f>
        <v>8.35701406163072</v>
      </c>
      <c r="E15480" s="6" t="n">
        <f aca="false">Sens!E15474-Sens!E15479*(Sens!E15476+Sens!E15478)-Sens!E15477</f>
        <v>18.7103224860238</v>
      </c>
      <c r="F15480" s="6" t="n">
        <f aca="false">Sens!F15474-Sens!F15479*(Sens!F15476+Sens!F15478)-Sens!F15477</f>
        <v>10.9906668584756</v>
      </c>
      <c r="G15480" s="6" t="n">
        <f aca="false">Sens!G15474-Sens!G15479*(Sens!G15476+Sens!G15478)-Sens!G15477</f>
        <v>16.7012959383193</v>
      </c>
      <c r="H15480" s="6" t="n">
        <f aca="false">Sens!H15474-Sens!H15479*(Sens!H15476+Sens!H15478)-Sens!H15477</f>
        <v>20.3668245889363</v>
      </c>
      <c r="I15480" s="6" t="n">
        <f aca="false">Sens!I15474-Sens!I15479*(Sens!I15476+Sens!I15478)-Sens!I15477</f>
        <v>27.054367209754</v>
      </c>
      <c r="J15480" s="6" t="n">
        <f aca="false">Sens!J15474-Sens!J15479*(Sens!J15476+Sens!J15478)-Sens!J15477</f>
        <v>31.8162191227732</v>
      </c>
      <c r="K15480" s="6" t="n">
        <f aca="false">Sens!K15474-Sens!K15479*(Sens!K15476+Sens!K15478)-Sens!K15477</f>
        <v>35.0479262076711</v>
      </c>
    </row>
    <row r="15481" customFormat="false" ht="17.15" hidden="false" customHeight="false" outlineLevel="0" collapsed="false">
      <c r="A15481" s="1" t="s">
        <v>990</v>
      </c>
      <c r="B15481" s="0" t="s">
        <v>98</v>
      </c>
      <c r="D15481" s="6" t="n">
        <f aca="false">(1-Sens!D15479)*(Sens!D15476+Sens!D15478)</f>
        <v>1.42281025374069</v>
      </c>
      <c r="E15481" s="6" t="n">
        <f aca="false">(1-Sens!E15479)*(Sens!E15476+Sens!E15478)</f>
        <v>3.25095598674472</v>
      </c>
      <c r="F15481" s="6" t="n">
        <f aca="false">(1-Sens!F15479)*(Sens!F15476+Sens!F15478)</f>
        <v>6.72135810147489</v>
      </c>
      <c r="G15481" s="6" t="n">
        <f aca="false">(1-Sens!G15479)*(Sens!G15476+Sens!G15478)</f>
        <v>11.3401410201637</v>
      </c>
      <c r="H15481" s="6" t="n">
        <f aca="false">(1-Sens!H15479)*(Sens!H15476+Sens!H15478)</f>
        <v>16.1920771049557</v>
      </c>
      <c r="I15481" s="6" t="n">
        <f aca="false">(1-Sens!I15479)*(Sens!I15476+Sens!I15478)</f>
        <v>20.3917774400264</v>
      </c>
      <c r="J15481" s="6" t="n">
        <f aca="false">(1-Sens!J15479)*(Sens!J15476+Sens!J15478)</f>
        <v>23.2503960207104</v>
      </c>
      <c r="K15481" s="6" t="n">
        <f aca="false">(1-Sens!K15479)*(Sens!K15476+Sens!K15478)</f>
        <v>24.8730801087085</v>
      </c>
    </row>
    <row r="15482" customFormat="false" ht="17.15" hidden="false" customHeight="false" outlineLevel="0" collapsed="false">
      <c r="A15482" s="1" t="s">
        <v>991</v>
      </c>
      <c r="B15482" s="0" t="s">
        <v>417</v>
      </c>
      <c r="C15482" s="8" t="n">
        <f aca="false">cxit_open</f>
        <v>27.5918995</v>
      </c>
      <c r="D15482" s="8" t="n">
        <f aca="false">cxit_open</f>
        <v>27.5918995</v>
      </c>
      <c r="E15482" s="8" t="n">
        <f aca="false">cxit_open</f>
        <v>27.5918995</v>
      </c>
      <c r="F15482" s="8" t="n">
        <f aca="false">((a_g3_27-nonnv*a_mai)*tk_cxit_gb300+nonnv*a_mai*nv_hold_mai*tk_cxit_vr200+(1-a_g3_27)*tk_cxit_vr200)</f>
        <v>32.4975576</v>
      </c>
      <c r="G15482" s="8" t="n">
        <f aca="false">((a_g3_28-nonnv*a_mai)*tk_cxit_gb300+nonnv*a_mai*nv_hold_mai*tk_cxit_vr200+(1-a_g3_28)*tk_cxit_vr200)</f>
        <v>34.6372088</v>
      </c>
      <c r="H15482" s="8" t="n">
        <f aca="false">((a_g3_29-nonnv*a_mai)*tk_cxit_gb300+nonnv*a_mai*nv_hold_mai*tk_cxit_vr200+(1-a_g3_29)*tk_cxit_vr200)</f>
        <v>35.7070344</v>
      </c>
      <c r="I15482" s="8" t="n">
        <f aca="false">((a_g3_29-nonnv*a_mai)*tk_cxit_gb300+nonnv*a_mai*nv_hold_mai*tk_cxit_vr200+(1-a_g3_29)*tk_cxit_vr200)</f>
        <v>35.7070344</v>
      </c>
      <c r="J15482" s="8" t="n">
        <f aca="false">((a_g3_29-nonnv*a_mai)*tk_cxit_gb300+nonnv*a_mai*nv_hold_mai*tk_cxit_vr200+(1-a_g3_29)*tk_cxit_vr200)</f>
        <v>35.7070344</v>
      </c>
      <c r="K15482" s="8" t="n">
        <f aca="false">((a_g3_29-nonnv*a_mai)*tk_cxit_gb300+nonnv*a_mai*nv_hold_mai*tk_cxit_vr200+(1-a_g3_29)*tk_cxit_vr200)</f>
        <v>35.7070344</v>
      </c>
      <c r="L15482" s="12" t="s">
        <v>992</v>
      </c>
    </row>
    <row r="15483" customFormat="false" ht="17.15" hidden="false" customHeight="false" outlineLevel="0" collapsed="false">
      <c r="A15483" s="0" t="s">
        <v>993</v>
      </c>
      <c r="B15483" s="0" t="s">
        <v>459</v>
      </c>
      <c r="F15483" s="30" t="n">
        <f aca="false">Sens!C15462*IF(Sens!F15455-Sens!C15455=life_it,1,0)+Sens!D15462*IF(Sens!F15455-Sens!D15455=life_it,1,0)+Sens!E15462*IF(Sens!F15455-Sens!E15455=life_it,1,0)</f>
        <v>0</v>
      </c>
      <c r="G15483" s="30" t="n">
        <f aca="false">Sens!C15462*IF(Sens!G15455-Sens!C15455=life_it,1,0)+Sens!D15462*IF(Sens!G15455-Sens!D15455=life_it,1,0)+Sens!E15462*IF(Sens!G15455-Sens!E15455=life_it,1,0)+Sens!F15462*IF(Sens!G15455-Sens!F15455=life_it,1,0)</f>
        <v>0</v>
      </c>
      <c r="H15483" s="30" t="n">
        <f aca="false">Sens!C15462*IF(Sens!H15455-Sens!C15455=life_it,1,0)+Sens!D15462*IF(Sens!H15455-Sens!D15455=life_it,1,0)+Sens!E15462*IF(Sens!H15455-Sens!E15455=life_it,1,0)+Sens!F15462*IF(Sens!H15455-Sens!F15455=life_it,1,0)+Sens!G15462*IF(Sens!H15455-Sens!G15455=life_it,1,0)</f>
        <v>0</v>
      </c>
      <c r="I15483" s="30" t="n">
        <f aca="false">Sens!C15462*IF(Sens!I15455-Sens!C15455=life_it,1,0)+Sens!D15462*IF(Sens!I15455-Sens!D15455=life_it,1,0)+Sens!E15462*IF(Sens!I15455-Sens!E15455=life_it,1,0)+Sens!F15462*IF(Sens!I15455-Sens!F15455=life_it,1,0)+Sens!G15462*IF(Sens!I15455-Sens!G15455=life_it,1,0)+Sens!H15462*IF(Sens!I15455-Sens!H15455=life_it,1,0)</f>
        <v>816.666666666667</v>
      </c>
      <c r="J15483" s="30" t="n">
        <f aca="false">Sens!C15462*IF(Sens!J15455-Sens!C15455=life_it,1,0)+Sens!D15462*IF(Sens!J15455-Sens!D15455=life_it,1,0)+Sens!E15462*IF(Sens!J15455-Sens!E15455=life_it,1,0)+Sens!F15462*IF(Sens!J15455-Sens!F15455=life_it,1,0)+Sens!G15462*IF(Sens!J15455-Sens!G15455=life_it,1,0)+Sens!H15462*IF(Sens!J15455-Sens!H15455=life_it,1,0)+Sens!I15462*IF(Sens!J15455-Sens!I15455=life_it,1,0)</f>
        <v>1233.33333333333</v>
      </c>
      <c r="K15483" s="30" t="n">
        <f aca="false">Sens!C15462*IF(Sens!K15455-Sens!C15455=life_it,1,0)+Sens!D15462*IF(Sens!K15455-Sens!D15455=life_it,1,0)+Sens!E15462*IF(Sens!K15455-Sens!E15455=life_it,1,0)+Sens!F15462*IF(Sens!K15455-Sens!F15455=life_it,1,0)+Sens!G15462*IF(Sens!K15455-Sens!G15455=life_it,1,0)+Sens!H15462*IF(Sens!K15455-Sens!H15455=life_it,1,0)+Sens!I15462*IF(Sens!K15455-Sens!I15455=life_it,1,0)+Sens!J15462*IF(Sens!K15455-Sens!J15455=life_it,1,0)</f>
        <v>2450</v>
      </c>
      <c r="L15483" s="1" t="s">
        <v>994</v>
      </c>
    </row>
    <row r="15484" customFormat="false" ht="17.15" hidden="false" customHeight="false" outlineLevel="0" collapsed="false">
      <c r="A15484" s="0" t="s">
        <v>995</v>
      </c>
      <c r="B15484" s="0" t="s">
        <v>98</v>
      </c>
      <c r="C15484" s="6" t="n">
        <f aca="false">Sens!C15462*Sens!C15482/1000</f>
        <v>22.5333845916667</v>
      </c>
      <c r="D15484" s="6" t="n">
        <f aca="false">Sens!D15462*Sens!D15482/1000</f>
        <v>34.0300093833333</v>
      </c>
      <c r="E15484" s="6" t="n">
        <f aca="false">Sens!E15462*Sens!E15482/1000</f>
        <v>67.600153775</v>
      </c>
      <c r="F15484" s="6" t="n">
        <f aca="false">(Sens!F15462+Sens!F15483)*Sens!F15482/1000</f>
        <v>136.51872432512</v>
      </c>
      <c r="G15484" s="6" t="n">
        <f aca="false">(Sens!G15462+Sens!G15483)*Sens!G15482/1000</f>
        <v>157.399275932048</v>
      </c>
      <c r="H15484" s="6" t="n">
        <f aca="false">(Sens!H15462+Sens!H15483)*Sens!H15482/1000</f>
        <v>162.260804347512</v>
      </c>
      <c r="I15484" s="6" t="n">
        <f aca="false">(Sens!I15462+Sens!I15483)*Sens!I15482/1000</f>
        <v>144.136569485434</v>
      </c>
      <c r="J15484" s="6" t="n">
        <f aca="false">(Sens!J15462+Sens!J15483)*Sens!J15482/1000</f>
        <v>114.029037357864</v>
      </c>
      <c r="K15484" s="6" t="n">
        <f aca="false">(Sens!K15462+Sens!K15483)*Sens!K15482/1000</f>
        <v>113.437085350975</v>
      </c>
    </row>
    <row r="15485" customFormat="false" ht="17.15" hidden="false" customHeight="false" outlineLevel="0" collapsed="false">
      <c r="A15485" s="0" t="s">
        <v>996</v>
      </c>
      <c r="B15485" s="0" t="s">
        <v>98</v>
      </c>
      <c r="C15485" s="6" t="n">
        <f aca="false">Sens!C15462*self_build*tk_cxfac/1000</f>
        <v>6.2083</v>
      </c>
      <c r="D15485" s="6" t="n">
        <f aca="false">Sens!D15462*self_build*tk_cxfac/1000</f>
        <v>9.3758</v>
      </c>
      <c r="E15485" s="6" t="n">
        <f aca="false">Sens!E15462*self_build*tk_cxfac/1000</f>
        <v>18.6249</v>
      </c>
      <c r="F15485" s="6" t="n">
        <f aca="false">Sens!F15462*self_build*tk_cxfac/1000</f>
        <v>31.935179717</v>
      </c>
      <c r="G15485" s="6" t="n">
        <f aca="false">Sens!G15462*self_build*tk_cxfac/1000</f>
        <v>34.545199717</v>
      </c>
      <c r="H15485" s="6" t="n">
        <f aca="false">Sens!H15462*self_build*tk_cxfac/1000</f>
        <v>34.545199717</v>
      </c>
      <c r="I15485" s="6" t="n">
        <f aca="false">Sens!I15462*self_build*tk_cxfac/1000</f>
        <v>24.4782641361767</v>
      </c>
      <c r="J15485" s="6" t="n">
        <f aca="false">Sens!J15462*self_build*tk_cxfac/1000</f>
        <v>14.9008938380769</v>
      </c>
      <c r="K15485" s="6" t="n">
        <f aca="false">Sens!K15462*self_build*tk_cxfac/1000</f>
        <v>5.52576771375761</v>
      </c>
    </row>
    <row r="15486" customFormat="false" ht="17.15" hidden="false" customHeight="false" outlineLevel="0" collapsed="false">
      <c r="A15486" s="0" t="s">
        <v>997</v>
      </c>
      <c r="B15486" s="0" t="s">
        <v>98</v>
      </c>
      <c r="F15486" s="15" t="n">
        <f aca="false">capex_floor27-Sens!F15484-Sens!F15485-Sens!F15582</f>
        <v>-1.13853828194043</v>
      </c>
      <c r="L15486" s="12" t="s">
        <v>998</v>
      </c>
    </row>
    <row r="15487" customFormat="false" ht="17.15" hidden="false" customHeight="false" outlineLevel="0" collapsed="false">
      <c r="A15487" s="0" t="s">
        <v>999</v>
      </c>
      <c r="B15487" s="0" t="s">
        <v>98</v>
      </c>
      <c r="F15487" s="6" t="n">
        <f aca="false">MAX(0,Sens!F15486)</f>
        <v>0</v>
      </c>
    </row>
    <row r="15488" customFormat="false" ht="17.15" hidden="false" customHeight="false" outlineLevel="0" collapsed="false">
      <c r="A15488" s="0" t="s">
        <v>1000</v>
      </c>
      <c r="B15488" s="0" t="s">
        <v>98</v>
      </c>
      <c r="C15488" s="6" t="n">
        <f aca="false">Sens!C15484</f>
        <v>22.5333845916667</v>
      </c>
      <c r="D15488" s="6" t="n">
        <f aca="false">Sens!D15484</f>
        <v>34.0300093833333</v>
      </c>
      <c r="E15488" s="6" t="n">
        <f aca="false">Sens!E15484</f>
        <v>67.600153775</v>
      </c>
      <c r="F15488" s="6" t="n">
        <f aca="false">Sens!F15484</f>
        <v>136.51872432512</v>
      </c>
      <c r="G15488" s="6" t="n">
        <f aca="false">Sens!G15484</f>
        <v>157.399275932048</v>
      </c>
      <c r="H15488" s="6" t="n">
        <f aca="false">Sens!H15484</f>
        <v>162.260804347512</v>
      </c>
      <c r="I15488" s="6" t="n">
        <f aca="false">Sens!I15484</f>
        <v>144.136569485434</v>
      </c>
      <c r="J15488" s="6" t="n">
        <f aca="false">Sens!J15484</f>
        <v>114.029037357864</v>
      </c>
      <c r="K15488" s="6" t="n">
        <f aca="false">Sens!K15484</f>
        <v>113.437085350975</v>
      </c>
    </row>
    <row r="15489" customFormat="false" ht="17.15" hidden="false" customHeight="false" outlineLevel="0" collapsed="false">
      <c r="A15489" s="0" t="s">
        <v>1001</v>
      </c>
      <c r="B15489" s="0" t="s">
        <v>98</v>
      </c>
      <c r="C15489" s="6" t="n">
        <f aca="false">Sens!C15488+Sens!C15485</f>
        <v>28.7416845916667</v>
      </c>
      <c r="D15489" s="6" t="n">
        <f aca="false">Sens!D15488+Sens!D15485</f>
        <v>43.4058093833333</v>
      </c>
      <c r="E15489" s="6" t="n">
        <f aca="false">Sens!E15488+Sens!E15485</f>
        <v>86.225053775</v>
      </c>
      <c r="F15489" s="6" t="n">
        <f aca="false">Sens!F15488+Sens!F15485</f>
        <v>168.45390404212</v>
      </c>
      <c r="G15489" s="6" t="n">
        <f aca="false">Sens!G15488+Sens!G15485</f>
        <v>191.944475649048</v>
      </c>
      <c r="H15489" s="6" t="n">
        <f aca="false">Sens!H15488+Sens!H15485</f>
        <v>196.806004064512</v>
      </c>
      <c r="I15489" s="6" t="n">
        <f aca="false">Sens!I15488+Sens!I15485</f>
        <v>168.61483362161</v>
      </c>
      <c r="J15489" s="6" t="n">
        <f aca="false">Sens!J15488+Sens!J15485</f>
        <v>128.92993119594</v>
      </c>
      <c r="K15489" s="6" t="n">
        <f aca="false">Sens!K15488+Sens!K15485</f>
        <v>118.962853064733</v>
      </c>
      <c r="L15489" s="12" t="s">
        <v>1002</v>
      </c>
    </row>
    <row r="15490" customFormat="false" ht="17.15" hidden="false" customHeight="false" outlineLevel="0" collapsed="false">
      <c r="A15490" s="0" t="s">
        <v>1003</v>
      </c>
      <c r="B15490" s="0" t="s">
        <v>98</v>
      </c>
      <c r="E15490" s="6" t="n">
        <f aca="false">(Sens!C15488*IF(2&lt;life_it,1,IF(2=life_it,0.5,0))+Sens!D15488*IF(1&lt;life_it,1,IF(1=life_it,0.5,0))+Sens!E15488*0.5)/life_it</f>
        <v>15.0605784770833</v>
      </c>
      <c r="F15490" s="6" t="n">
        <f aca="false">(Sens!C15488*IF(3&lt;life_it,1,IF(3=life_it,0.5,0))+Sens!D15488*IF(2&lt;life_it,1,IF(2=life_it,0.5,0))+Sens!E15488*IF(1&lt;life_it,1,IF(1=life_it,0.5,0))+Sens!F15488*0.5)/life_it</f>
        <v>32.0704849854266</v>
      </c>
      <c r="G15490" s="6" t="n">
        <f aca="false">(Sens!C15488*IF(4&lt;life_it,1,IF(4=life_it,0.5,0))+Sens!D15488*IF(3&lt;life_it,1,IF(3=life_it,0.5,0))+Sens!E15488*IF(2&lt;life_it,1,IF(2=life_it,0.5,0))+Sens!F15488*IF(1&lt;life_it,1,IF(1=life_it,0.5,0))+Sens!G15488*0.5)/life_it</f>
        <v>56.5636516735239</v>
      </c>
      <c r="H15490" s="6" t="n">
        <f aca="false">(Sens!C15488*IF(5&lt;life_it,1,IF(5=life_it,0.5,0))+Sens!D15488*IF(4&lt;life_it,1,IF(4=life_it,0.5,0))+Sens!E15488*IF(3&lt;life_it,1,IF(3=life_it,0.5,0))+Sens!F15488*IF(2&lt;life_it,1,IF(2=life_it,0.5,0))+Sens!G15488*IF(1&lt;life_it,1,IF(1=life_it,0.5,0))+Sens!H15488*0.5)/life_it</f>
        <v>83.2019916968207</v>
      </c>
      <c r="I15490" s="6" t="n">
        <f aca="false">(Sens!C15488*IF(6&lt;life_it,1,IF(6=life_it,0.5,0))+Sens!D15488*IF(5&lt;life_it,1,IF(5=life_it,0.5,0))+Sens!E15488*IF(4&lt;life_it,1,IF(4=life_it,0.5,0))+Sens!F15488*IF(3&lt;life_it,1,IF(3=life_it,0.5,0))+Sens!G15488*IF(2&lt;life_it,1,IF(2=life_it,0.5,0))+Sens!H15488*IF(1&lt;life_it,1,IF(1=life_it,0.5,0))+Sens!I15488*0.5)/life_it</f>
        <v>106.857324133594</v>
      </c>
      <c r="J15490" s="6" t="n">
        <f aca="false">(Sens!C15488*IF(7&lt;life_it,1,IF(7=life_it,0.5,0))+Sens!D15488*IF(6&lt;life_it,1,IF(6=life_it,0.5,0))+Sens!E15488*IF(5&lt;life_it,1,IF(5=life_it,0.5,0))+Sens!F15488*IF(4&lt;life_it,1,IF(4=life_it,0.5,0))+Sens!G15488*IF(3&lt;life_it,1,IF(3=life_it,0.5,0))+Sens!H15488*IF(2&lt;life_it,1,IF(2=life_it,0.5,0))+Sens!I15488*IF(1&lt;life_it,1,IF(1=life_it,0.5,0))+Sens!J15488*0.5)/life_it</f>
        <v>123.657508539285</v>
      </c>
      <c r="K15490" s="6" t="n">
        <f aca="false">(Sens!C15488*IF(8&lt;life_it,1,IF(8=life_it,0.5,0))+Sens!D15488*IF(7&lt;life_it,1,IF(7=life_it,0.5,0))+Sens!E15488*IF(6&lt;life_it,1,IF(6=life_it,0.5,0))+Sens!F15488*IF(5&lt;life_it,1,IF(5=life_it,0.5,0))+Sens!G15488*IF(4&lt;life_it,1,IF(4=life_it,0.5,0))+Sens!H15488*IF(3&lt;life_it,1,IF(3=life_it,0.5,0))+Sens!I15488*IF(2&lt;life_it,1,IF(2=life_it,0.5,0))+Sens!J15488*IF(1&lt;life_it,1,IF(1=life_it,0.5,0))+Sens!K15488*0.5)/life_it</f>
        <v>134.143838501827</v>
      </c>
    </row>
    <row r="15491" customFormat="false" ht="17.15" hidden="false" customHeight="false" outlineLevel="0" collapsed="false">
      <c r="A15491" s="0" t="s">
        <v>1004</v>
      </c>
      <c r="B15491" s="0" t="s">
        <v>98</v>
      </c>
      <c r="E15491" s="6" t="n">
        <f aca="false">(Sens!C15485*IF(2&lt;life_fac,1,IF(2=life_fac,0.5,0))+Sens!D15485*IF(1&lt;life_fac,1,IF(1=life_fac,0.5,0))+Sens!E15485*0.5)/life_fac</f>
        <v>1.2448275</v>
      </c>
      <c r="F15491" s="6" t="n">
        <f aca="false">(Sens!C15485*IF(3&lt;life_fac,1,IF(3=life_fac,0.5,0))+Sens!D15485*IF(2&lt;life_fac,1,IF(2=life_fac,0.5,0))+Sens!E15485*IF(1&lt;life_fac,1,IF(1=life_fac,0.5,0))+Sens!F15485*0.5)/life_fac</f>
        <v>2.508829492925</v>
      </c>
      <c r="G15491" s="6" t="n">
        <f aca="false">(Sens!C15485*IF(4&lt;life_fac,1,IF(4=life_fac,0.5,0))+Sens!D15485*IF(3&lt;life_fac,1,IF(3=life_fac,0.5,0))+Sens!E15485*IF(2&lt;life_fac,1,IF(2=life_fac,0.5,0))+Sens!F15485*IF(1&lt;life_fac,1,IF(1=life_fac,0.5,0))+Sens!G15485*0.5)/life_fac</f>
        <v>4.170838978775</v>
      </c>
      <c r="H15491" s="6" t="n">
        <f aca="false">(Sens!C15485*IF(5&lt;life_fac,1,IF(5=life_fac,0.5,0))+Sens!D15485*IF(4&lt;life_fac,1,IF(4=life_fac,0.5,0))+Sens!E15485*IF(3&lt;life_fac,1,IF(3=life_fac,0.5,0))+Sens!F15485*IF(2&lt;life_fac,1,IF(2=life_fac,0.5,0))+Sens!G15485*IF(1&lt;life_fac,1,IF(1=life_fac,0.5,0))+Sens!H15485*0.5)/life_fac</f>
        <v>5.898098964625</v>
      </c>
      <c r="I15491" s="6" t="n">
        <f aca="false">(Sens!C15485*IF(6&lt;life_fac,1,IF(6=life_fac,0.5,0))+Sens!D15485*IF(5&lt;life_fac,1,IF(5=life_fac,0.5,0))+Sens!E15485*IF(4&lt;life_fac,1,IF(4=life_fac,0.5,0))+Sens!F15485*IF(3&lt;life_fac,1,IF(3=life_fac,0.5,0))+Sens!G15485*IF(2&lt;life_fac,1,IF(2=life_fac,0.5,0))+Sens!H15485*IF(1&lt;life_fac,1,IF(1=life_fac,0.5,0))+Sens!I15485*0.5)/life_fac</f>
        <v>7.37368556095442</v>
      </c>
      <c r="J15491" s="6" t="n">
        <f aca="false">(Sens!C15485*IF(7&lt;life_fac,1,IF(7=life_fac,0.5,0))+Sens!D15485*IF(6&lt;life_fac,1,IF(6=life_fac,0.5,0))+Sens!E15485*IF(5&lt;life_fac,1,IF(5=life_fac,0.5,0))+Sens!F15485*IF(4&lt;life_fac,1,IF(4=life_fac,0.5,0))+Sens!G15485*IF(3&lt;life_fac,1,IF(3=life_fac,0.5,0))+Sens!H15485*IF(2&lt;life_fac,1,IF(2=life_fac,0.5,0))+Sens!I15485*IF(1&lt;life_fac,1,IF(1=life_fac,0.5,0))+Sens!J15485*0.5)/life_fac</f>
        <v>8.35816451031075</v>
      </c>
      <c r="K15491" s="6" t="n">
        <f aca="false">(Sens!C15485*IF(8&lt;life_fac,1,IF(8=life_fac,0.5,0))+Sens!D15485*IF(7&lt;life_fac,1,IF(7=life_fac,0.5,0))+Sens!E15485*IF(6&lt;life_fac,1,IF(6=life_fac,0.5,0))+Sens!F15485*IF(5&lt;life_fac,1,IF(5=life_fac,0.5,0))+Sens!G15485*IF(4&lt;life_fac,1,IF(4=life_fac,0.5,0))+Sens!H15485*IF(3&lt;life_fac,1,IF(3=life_fac,0.5,0))+Sens!I15485*IF(2&lt;life_fac,1,IF(2=life_fac,0.5,0))+Sens!J15485*IF(1&lt;life_fac,1,IF(1=life_fac,0.5,0))+Sens!K15485*0.5)/life_fac</f>
        <v>8.86883104910662</v>
      </c>
    </row>
    <row r="15492" customFormat="false" ht="17.15" hidden="false" customHeight="false" outlineLevel="0" collapsed="false">
      <c r="A15492" s="0" t="s">
        <v>1005</v>
      </c>
      <c r="B15492" s="0" t="s">
        <v>98</v>
      </c>
      <c r="E15492" s="6" t="n">
        <f aca="false">Sens!E15490+Sens!E15491</f>
        <v>16.3054059770833</v>
      </c>
      <c r="F15492" s="6" t="n">
        <f aca="false">Sens!F15490+Sens!F15491</f>
        <v>34.5793144783516</v>
      </c>
      <c r="G15492" s="6" t="n">
        <f aca="false">Sens!G15490+Sens!G15491</f>
        <v>60.7344906522989</v>
      </c>
      <c r="H15492" s="6" t="n">
        <f aca="false">Sens!H15490+Sens!H15491</f>
        <v>89.1000906614457</v>
      </c>
      <c r="I15492" s="6" t="n">
        <f aca="false">Sens!I15490+Sens!I15491</f>
        <v>114.231009694548</v>
      </c>
      <c r="J15492" s="6" t="n">
        <f aca="false">Sens!J15490+Sens!J15491</f>
        <v>132.015673049596</v>
      </c>
      <c r="K15492" s="6" t="n">
        <f aca="false">Sens!K15490+Sens!K15491</f>
        <v>143.012669550934</v>
      </c>
    </row>
    <row r="15493" customFormat="false" ht="17.15" hidden="false" customHeight="false" outlineLevel="0" collapsed="false">
      <c r="A15493" s="0" t="s">
        <v>1006</v>
      </c>
      <c r="B15493" s="0" t="s">
        <v>98</v>
      </c>
      <c r="E15493" s="6" t="n">
        <f aca="false">Sens!E15480-Sens!E15479*Sens!E15492</f>
        <v>8.92707889977379</v>
      </c>
      <c r="F15493" s="6" t="n">
        <f aca="false">Sens!F15480-Sens!F15479*Sens!F15492</f>
        <v>-9.75692182853533</v>
      </c>
      <c r="G15493" s="6" t="n">
        <f aca="false">Sens!G15480-Sens!G15479*Sens!G15492</f>
        <v>-19.73939845306</v>
      </c>
      <c r="H15493" s="6" t="n">
        <f aca="false">Sens!H15480-Sens!H15479*Sens!H15492</f>
        <v>-33.0932298079311</v>
      </c>
      <c r="I15493" s="6" t="n">
        <f aca="false">Sens!I15480-Sens!I15479*Sens!I15492</f>
        <v>-41.484238606975</v>
      </c>
      <c r="J15493" s="6" t="n">
        <f aca="false">Sens!J15480-Sens!J15479*Sens!J15492</f>
        <v>-47.3931847069845</v>
      </c>
      <c r="K15493" s="6" t="n">
        <f aca="false">Sens!K15480-Sens!K15479*Sens!K15492</f>
        <v>-50.7596755228894</v>
      </c>
    </row>
    <row r="15494" customFormat="false" ht="17.15" hidden="false" customHeight="false" outlineLevel="0" collapsed="false">
      <c r="A15494" s="3" t="s">
        <v>1993</v>
      </c>
    </row>
    <row r="15495" customFormat="false" ht="15" hidden="false" customHeight="false" outlineLevel="0" collapsed="false">
      <c r="A15495" s="4" t="s">
        <v>43</v>
      </c>
      <c r="B15495" s="4" t="s">
        <v>65</v>
      </c>
      <c r="C15495" s="23" t="s">
        <v>942</v>
      </c>
      <c r="D15495" s="23" t="s">
        <v>943</v>
      </c>
      <c r="E15495" s="23" t="s">
        <v>944</v>
      </c>
      <c r="F15495" s="23" t="s">
        <v>945</v>
      </c>
      <c r="G15495" s="23" t="s">
        <v>946</v>
      </c>
      <c r="H15495" s="23" t="s">
        <v>947</v>
      </c>
      <c r="I15495" s="23" t="s">
        <v>948</v>
      </c>
      <c r="J15495" s="23" t="s">
        <v>949</v>
      </c>
      <c r="K15495" s="23" t="s">
        <v>950</v>
      </c>
      <c r="L15495" s="4" t="s">
        <v>47</v>
      </c>
    </row>
    <row r="15496" customFormat="false" ht="17.15" hidden="false" customHeight="false" outlineLevel="0" collapsed="false">
      <c r="A15496" s="0" t="s">
        <v>1025</v>
      </c>
      <c r="B15496" s="0" t="s">
        <v>98</v>
      </c>
      <c r="D15496" s="6" t="n">
        <f aca="false">Sens!D15474</f>
        <v>12.9359794422418</v>
      </c>
      <c r="E15496" s="6" t="n">
        <f aca="false">Sens!E15474</f>
        <v>27.8095064661409</v>
      </c>
      <c r="F15496" s="6" t="n">
        <f aca="false">Sens!F15474</f>
        <v>26.877874010688</v>
      </c>
      <c r="G15496" s="6" t="n">
        <f aca="false">Sens!G15474</f>
        <v>40.4323474685649</v>
      </c>
      <c r="H15496" s="6" t="n">
        <f aca="false">Sens!H15474</f>
        <v>51.3757802463699</v>
      </c>
      <c r="I15496" s="6" t="n">
        <f aca="false">Sens!I15474</f>
        <v>64.3628733697936</v>
      </c>
      <c r="J15496" s="6" t="n">
        <f aca="false">Sens!J15474</f>
        <v>73.4126531538388</v>
      </c>
      <c r="K15496" s="6" t="n">
        <f aca="false">Sens!K15474</f>
        <v>79.0783863707338</v>
      </c>
    </row>
    <row r="15497" customFormat="false" ht="17.15" hidden="false" customHeight="false" outlineLevel="0" collapsed="false">
      <c r="A15497" s="0" t="s">
        <v>1026</v>
      </c>
      <c r="B15497" s="0" t="s">
        <v>98</v>
      </c>
      <c r="D15497" s="6" t="n">
        <f aca="false">Q!L6-Sens!D15496</f>
        <v>59.6740205577583</v>
      </c>
      <c r="E15497" s="6" t="n">
        <f aca="false">Q!M6-Sens!E15496</f>
        <v>74.1284935338591</v>
      </c>
      <c r="F15497" s="6" t="n">
        <f aca="false">Q!$I$6+(Sens!F15496+Sens!E15497*(1+Sens!F15498))*(1-Q!$E$6/Q!M6)-Sens!F15496</f>
        <v>97.5628299510605</v>
      </c>
      <c r="G15497" s="6" t="n">
        <f aca="false">Sens!F15497*(1+Sens!G15498)</f>
        <v>115.919203757158</v>
      </c>
      <c r="H15497" s="6" t="n">
        <f aca="false">Sens!G15497*(1+Sens!H15498)</f>
        <v>134.595171733918</v>
      </c>
      <c r="I15497" s="6" t="n">
        <f aca="false">Sens!H15497*(1+Sens!I15498)</f>
        <v>152.640969271663</v>
      </c>
      <c r="J15497" s="6" t="n">
        <f aca="false">Sens!I15497*(1+Sens!J15498)</f>
        <v>168.979248604432</v>
      </c>
      <c r="K15497" s="6" t="n">
        <f aca="false">Sens!J15497*(1+Sens!K15498)</f>
        <v>182.497588492787</v>
      </c>
      <c r="L15497" s="12" t="s">
        <v>1027</v>
      </c>
    </row>
    <row r="15498" customFormat="false" ht="15" hidden="false" customHeight="false" outlineLevel="0" collapsed="false">
      <c r="A15498" s="1" t="s">
        <v>1028</v>
      </c>
      <c r="B15498" s="0" t="s">
        <v>168</v>
      </c>
      <c r="E15498" s="7" t="n">
        <f aca="false">Sens!E15497/Sens!D15497-1</f>
        <v>0.242223883039864</v>
      </c>
      <c r="F15498" s="7" t="n">
        <f aca="false">Sens!$E$15498+(glt_azo-Sens!$E$15498)*MIN(1,(Sens!F15455-base_fy)/n_conv)</f>
        <v>0.215186569199887</v>
      </c>
      <c r="G15498" s="7" t="n">
        <f aca="false">Sens!$E$15498+(glt_azo-Sens!$E$15498)*MIN(1,(Sens!G15455-base_fy)/n_conv)</f>
        <v>0.18814925535991</v>
      </c>
      <c r="H15498" s="7" t="n">
        <f aca="false">Sens!$E$15498+(glt_azo-Sens!$E$15498)*MIN(1,(Sens!H15455-base_fy)/n_conv)</f>
        <v>0.161111941519932</v>
      </c>
      <c r="I15498" s="7" t="n">
        <f aca="false">Sens!$E$15498+(glt_azo-Sens!$E$15498)*MIN(1,(Sens!I15455-base_fy)/n_conv)</f>
        <v>0.134074627679955</v>
      </c>
      <c r="J15498" s="7" t="n">
        <f aca="false">Sens!$E$15498+(glt_azo-Sens!$E$15498)*MIN(1,(Sens!J15455-base_fy)/n_conv)</f>
        <v>0.107037313839977</v>
      </c>
      <c r="K15498" s="7" t="n">
        <f aca="false">Sens!$E$15498+(glt_azo-Sens!$E$15498)*MIN(1,(Sens!K15455-base_fy)/n_conv)</f>
        <v>0.08</v>
      </c>
    </row>
    <row r="15499" customFormat="false" ht="15" hidden="false" customHeight="false" outlineLevel="0" collapsed="false">
      <c r="A15499" s="0" t="s">
        <v>1029</v>
      </c>
      <c r="B15499" s="0" t="s">
        <v>98</v>
      </c>
      <c r="D15499" s="6" t="n">
        <f aca="false">Sens!D15496+Sens!D15497</f>
        <v>72.61</v>
      </c>
      <c r="E15499" s="6" t="n">
        <f aca="false">Sens!E15496+Sens!E15497</f>
        <v>101.938</v>
      </c>
      <c r="F15499" s="6" t="n">
        <f aca="false">Sens!F15496+Sens!F15497</f>
        <v>124.440703961748</v>
      </c>
      <c r="G15499" s="6" t="n">
        <f aca="false">Sens!G15496+Sens!G15497</f>
        <v>156.351551225723</v>
      </c>
      <c r="H15499" s="6" t="n">
        <f aca="false">Sens!H15496+Sens!H15497</f>
        <v>185.970951980288</v>
      </c>
      <c r="I15499" s="6" t="n">
        <f aca="false">Sens!I15496+Sens!I15497</f>
        <v>217.003842641457</v>
      </c>
      <c r="J15499" s="6" t="n">
        <f aca="false">Sens!J15496+Sens!J15497</f>
        <v>242.391901758271</v>
      </c>
      <c r="K15499" s="6" t="n">
        <f aca="false">Sens!K15496+Sens!K15497</f>
        <v>261.575974863521</v>
      </c>
    </row>
    <row r="15500" customFormat="false" ht="17.15" hidden="false" customHeight="false" outlineLevel="0" collapsed="false">
      <c r="A15500" s="0" t="s">
        <v>1030</v>
      </c>
      <c r="B15500" s="1" t="s">
        <v>613</v>
      </c>
      <c r="C15500" s="30" t="n">
        <f aca="false">cop_s24</f>
        <v>1</v>
      </c>
      <c r="D15500" s="30" t="n">
        <f aca="false">cop_s25</f>
        <v>5</v>
      </c>
      <c r="E15500" s="30" t="n">
        <f aca="false">cop_s26</f>
        <v>30</v>
      </c>
      <c r="F15500" s="30" t="n">
        <f aca="false">Sens!E15500+cop_add_C</f>
        <v>40</v>
      </c>
      <c r="G15500" s="30" t="n">
        <f aca="false">Sens!F15500+cop_add_C</f>
        <v>50</v>
      </c>
      <c r="H15500" s="30" t="n">
        <f aca="false">Sens!G15500+cop_add_C</f>
        <v>60</v>
      </c>
      <c r="I15500" s="30" t="n">
        <f aca="false">Sens!H15500+cop_add_C*cop_tail</f>
        <v>65</v>
      </c>
      <c r="J15500" s="30" t="n">
        <f aca="false">Sens!I15500+cop_add_C*cop_tail</f>
        <v>70</v>
      </c>
      <c r="K15500" s="30" t="n">
        <f aca="false">Sens!J15500+cop_add_C*cop_tail</f>
        <v>75</v>
      </c>
      <c r="L15500" s="12" t="s">
        <v>1031</v>
      </c>
    </row>
    <row r="15501" customFormat="false" ht="17.15" hidden="false" customHeight="false" outlineLevel="0" collapsed="false">
      <c r="A15501" s="0" t="s">
        <v>1032</v>
      </c>
      <c r="B15501" s="0" t="s">
        <v>98</v>
      </c>
      <c r="D15501" s="6" t="n">
        <f aca="false">(Sens!C15500+Sens!D15500)/2*cop_px*12/1000</f>
        <v>0.9</v>
      </c>
      <c r="E15501" s="6" t="n">
        <f aca="false">(Sens!D15500+Sens!E15500)/2*cop_px*12/1000</f>
        <v>5.25</v>
      </c>
      <c r="F15501" s="6" t="n">
        <f aca="false">(Sens!E15500+Sens!F15500)/2*cop_px*12/1000</f>
        <v>10.5</v>
      </c>
      <c r="G15501" s="6" t="n">
        <f aca="false">(Sens!F15500+Sens!G15500)/2*cop_px*12/1000</f>
        <v>13.5</v>
      </c>
      <c r="H15501" s="6" t="n">
        <f aca="false">(Sens!G15500+Sens!H15500)/2*cop_px*12/1000</f>
        <v>16.5</v>
      </c>
      <c r="I15501" s="6" t="n">
        <f aca="false">(Sens!H15500+Sens!I15500)/2*cop_px*12/1000</f>
        <v>18.75</v>
      </c>
      <c r="J15501" s="6" t="n">
        <f aca="false">(Sens!I15500+Sens!J15500)/2*cop_px*12/1000</f>
        <v>20.25</v>
      </c>
      <c r="K15501" s="6" t="n">
        <f aca="false">(Sens!J15500+Sens!K15500)/2*cop_px*12/1000</f>
        <v>21.75</v>
      </c>
      <c r="L15501" s="1" t="s">
        <v>1033</v>
      </c>
    </row>
    <row r="15502" customFormat="false" ht="17.15" hidden="false" customHeight="false" outlineLevel="0" collapsed="false">
      <c r="A15502" s="0" t="s">
        <v>1034</v>
      </c>
      <c r="B15502" s="0" t="s">
        <v>98</v>
      </c>
      <c r="D15502" s="6" t="n">
        <f aca="false">Q!L7-Sens!D15501</f>
        <v>83.705</v>
      </c>
      <c r="E15502" s="6" t="n">
        <f aca="false">Q!M7-Sens!E15501</f>
        <v>95.049</v>
      </c>
      <c r="F15502" s="6" t="n">
        <f aca="false">Q!$I$7+(Sens!E15502*(1+Sens!F15503)+Sens!F15501)*(1-Q!$E$7/Q!M7)-Sens!F15501</f>
        <v>106.938354189776</v>
      </c>
      <c r="G15502" s="6" t="n">
        <f aca="false">Sens!F15502*(1+Sens!G15503)</f>
        <v>119.095360443801</v>
      </c>
      <c r="H15502" s="6" t="n">
        <f aca="false">Sens!G15502*(1+Sens!H15503)</f>
        <v>131.333811964563</v>
      </c>
      <c r="I15502" s="6" t="n">
        <f aca="false">Sens!H15502*(1+Sens!I15503)</f>
        <v>143.395665319381</v>
      </c>
      <c r="J15502" s="6" t="n">
        <f aca="false">Sens!I15502*(1+Sens!J15503)</f>
        <v>154.999327755573</v>
      </c>
      <c r="K15502" s="6" t="n">
        <f aca="false">Sens!J15502*(1+Sens!K15503)</f>
        <v>165.849280698463</v>
      </c>
      <c r="L15502" s="12" t="s">
        <v>1035</v>
      </c>
    </row>
    <row r="15503" customFormat="false" ht="15" hidden="false" customHeight="false" outlineLevel="0" collapsed="false">
      <c r="A15503" s="1" t="s">
        <v>1028</v>
      </c>
      <c r="B15503" s="0" t="s">
        <v>168</v>
      </c>
      <c r="E15503" s="7" t="n">
        <f aca="false">Sens!E15502/Sens!D15502-1</f>
        <v>0.135523564900544</v>
      </c>
      <c r="F15503" s="7" t="n">
        <f aca="false">Sens!$E$15503+(glt_m365b-Sens!$E$15503)*MIN(1,(Sens!F15455-base_fy)/n_conv)</f>
        <v>0.124602970750453</v>
      </c>
      <c r="G15503" s="7" t="n">
        <f aca="false">Sens!$E$15503+(glt_m365b-Sens!$E$15503)*MIN(1,(Sens!G15455-base_fy)/n_conv)</f>
        <v>0.113682376600363</v>
      </c>
      <c r="H15503" s="7" t="n">
        <f aca="false">Sens!$E$15503+(glt_m365b-Sens!$E$15503)*MIN(1,(Sens!H15455-base_fy)/n_conv)</f>
        <v>0.102761782450272</v>
      </c>
      <c r="I15503" s="7" t="n">
        <f aca="false">Sens!$E$15503+(glt_m365b-Sens!$E$15503)*MIN(1,(Sens!I15455-base_fy)/n_conv)</f>
        <v>0.0918411883001813</v>
      </c>
      <c r="J15503" s="7" t="n">
        <f aca="false">Sens!$E$15503+(glt_m365b-Sens!$E$15503)*MIN(1,(Sens!J15455-base_fy)/n_conv)</f>
        <v>0.0809205941500906</v>
      </c>
      <c r="K15503" s="7" t="n">
        <f aca="false">Sens!$E$15503+(glt_m365b-Sens!$E$15503)*MIN(1,(Sens!K15455-base_fy)/n_conv)</f>
        <v>0.07</v>
      </c>
    </row>
    <row r="15504" customFormat="false" ht="15" hidden="false" customHeight="false" outlineLevel="0" collapsed="false">
      <c r="A15504" s="0" t="s">
        <v>1036</v>
      </c>
      <c r="B15504" s="0" t="s">
        <v>98</v>
      </c>
      <c r="D15504" s="6" t="n">
        <f aca="false">Sens!D15502+Sens!D15501</f>
        <v>84.605</v>
      </c>
      <c r="E15504" s="6" t="n">
        <f aca="false">Sens!E15502+Sens!E15501</f>
        <v>100.299</v>
      </c>
      <c r="F15504" s="6" t="n">
        <f aca="false">Sens!F15502+Sens!F15501</f>
        <v>117.438354189776</v>
      </c>
      <c r="G15504" s="6" t="n">
        <f aca="false">Sens!G15502+Sens!G15501</f>
        <v>132.595360443801</v>
      </c>
      <c r="H15504" s="6" t="n">
        <f aca="false">Sens!H15502+Sens!H15501</f>
        <v>147.833811964563</v>
      </c>
      <c r="I15504" s="6" t="n">
        <f aca="false">Sens!I15502+Sens!I15501</f>
        <v>162.145665319381</v>
      </c>
      <c r="J15504" s="6" t="n">
        <f aca="false">Sens!J15502+Sens!J15501</f>
        <v>175.249327755573</v>
      </c>
      <c r="K15504" s="6" t="n">
        <f aca="false">Sens!K15502+Sens!K15501</f>
        <v>187.599280698463</v>
      </c>
    </row>
    <row r="15505" customFormat="false" ht="17.15" hidden="false" customHeight="false" outlineLevel="0" collapsed="false">
      <c r="A15505" s="0" t="s">
        <v>1037</v>
      </c>
      <c r="B15505" s="0" t="s">
        <v>98</v>
      </c>
      <c r="D15505" s="6" t="n">
        <f aca="false">Q!L8</f>
        <v>35.391</v>
      </c>
      <c r="E15505" s="6" t="n">
        <f aca="false">Q!M8</f>
        <v>37.285</v>
      </c>
      <c r="F15505" s="6" t="n">
        <f aca="false">Q!$I$8+(Q!M8-Q!$E$8)*(1+Sens!F15506)</f>
        <v>38.3851437782675</v>
      </c>
      <c r="G15505" s="6" t="n">
        <f aca="false">Sens!F15505*(1+Sens!G15506)</f>
        <v>40.0105353288615</v>
      </c>
      <c r="H15505" s="6" t="n">
        <f aca="false">Sens!G15505*(1+Sens!H15506)</f>
        <v>41.4812512033683</v>
      </c>
      <c r="I15505" s="6" t="n">
        <f aca="false">Sens!H15505*(1+Sens!I15506)</f>
        <v>42.7743107216329</v>
      </c>
      <c r="J15505" s="6" t="n">
        <f aca="false">Sens!I15505*(1+Sens!J15506)</f>
        <v>43.8687373064601</v>
      </c>
      <c r="K15505" s="6" t="n">
        <f aca="false">Sens!J15505*(1+Sens!K15506)</f>
        <v>44.7461120525893</v>
      </c>
      <c r="L15505" s="12" t="s">
        <v>1038</v>
      </c>
    </row>
    <row r="15506" customFormat="false" ht="15" hidden="false" customHeight="false" outlineLevel="0" collapsed="false">
      <c r="A15506" s="1" t="s">
        <v>1028</v>
      </c>
      <c r="B15506" s="0" t="s">
        <v>168</v>
      </c>
      <c r="E15506" s="7" t="n">
        <f aca="false">Sens!E15505/Sens!D15505-1</f>
        <v>0.0535164307309768</v>
      </c>
      <c r="F15506" s="7" t="n">
        <f aca="false">Sens!$E$15506+(glt_lic-Sens!$E$15506)*MIN(1,(Sens!F15455-base_fy)/n_conv)</f>
        <v>0.0479303589424807</v>
      </c>
      <c r="G15506" s="7" t="n">
        <f aca="false">Sens!$E$15506+(glt_lic-Sens!$E$15506)*MIN(1,(Sens!G15455-base_fy)/n_conv)</f>
        <v>0.0423442871539845</v>
      </c>
      <c r="H15506" s="7" t="n">
        <f aca="false">Sens!$E$15506+(glt_lic-Sens!$E$15506)*MIN(1,(Sens!H15455-base_fy)/n_conv)</f>
        <v>0.0367582153654884</v>
      </c>
      <c r="I15506" s="7" t="n">
        <f aca="false">Sens!$E$15506+(glt_lic-Sens!$E$15506)*MIN(1,(Sens!I15455-base_fy)/n_conv)</f>
        <v>0.0311721435769923</v>
      </c>
      <c r="J15506" s="7" t="n">
        <f aca="false">Sens!$E$15506+(glt_lic-Sens!$E$15506)*MIN(1,(Sens!J15455-base_fy)/n_conv)</f>
        <v>0.0255860717884961</v>
      </c>
      <c r="K15506" s="7" t="n">
        <f aca="false">Sens!$E$15506+(glt_lic-Sens!$E$15506)*MIN(1,(Sens!K15455-base_fy)/n_conv)</f>
        <v>0.02</v>
      </c>
    </row>
    <row r="15507" customFormat="false" ht="17.15" hidden="false" customHeight="false" outlineLevel="0" collapsed="false">
      <c r="A15507" s="0" t="s">
        <v>1039</v>
      </c>
      <c r="B15507" s="0" t="s">
        <v>98</v>
      </c>
      <c r="D15507" s="6" t="n">
        <f aca="false">Q!L9</f>
        <v>18.417</v>
      </c>
      <c r="E15507" s="6" t="n">
        <f aca="false">Q!M9</f>
        <v>20.345</v>
      </c>
      <c r="F15507" s="6" t="n">
        <f aca="false">Q!$I$9+(Q!M9-Q!$E$9)*(1+Sens!F15508)</f>
        <v>22.3161797133988</v>
      </c>
      <c r="G15507" s="6" t="n">
        <f aca="false">Sens!F15507*(1+Sens!G15508)</f>
        <v>24.3943499673233</v>
      </c>
      <c r="H15507" s="6" t="n">
        <f aca="false">Sens!G15507*(1+Sens!H15508)</f>
        <v>26.5250243109019</v>
      </c>
      <c r="I15507" s="6" t="n">
        <f aca="false">Sens!H15507*(1+Sens!I15508)</f>
        <v>28.6884573538181</v>
      </c>
      <c r="J15507" s="6" t="n">
        <f aca="false">Sens!I15507*(1+Sens!J15508)</f>
        <v>30.8624968052127</v>
      </c>
      <c r="K15507" s="6" t="n">
        <f aca="false">Sens!J15507*(1+Sens!K15508)</f>
        <v>33.0228715815776</v>
      </c>
      <c r="L15507" s="12" t="s">
        <v>1038</v>
      </c>
    </row>
    <row r="15508" customFormat="false" ht="15" hidden="false" customHeight="false" outlineLevel="0" collapsed="false">
      <c r="A15508" s="1" t="s">
        <v>1028</v>
      </c>
      <c r="B15508" s="0" t="s">
        <v>168</v>
      </c>
      <c r="E15508" s="7" t="n">
        <f aca="false">Sens!E15507/Sens!D15507-1</f>
        <v>0.104685888038225</v>
      </c>
      <c r="F15508" s="7" t="n">
        <f aca="false">Sens!$E$15508+(glt_ind-Sens!$E$15508)*MIN(1,(Sens!F15455-base_fy)/n_conv)</f>
        <v>0.0989049066985211</v>
      </c>
      <c r="G15508" s="7" t="n">
        <f aca="false">Sens!$E$15508+(glt_ind-Sens!$E$15508)*MIN(1,(Sens!G15455-base_fy)/n_conv)</f>
        <v>0.0931239253588169</v>
      </c>
      <c r="H15508" s="7" t="n">
        <f aca="false">Sens!$E$15508+(glt_ind-Sens!$E$15508)*MIN(1,(Sens!H15455-base_fy)/n_conv)</f>
        <v>0.0873429440191127</v>
      </c>
      <c r="I15508" s="7" t="n">
        <f aca="false">Sens!$E$15508+(glt_ind-Sens!$E$15508)*MIN(1,(Sens!I15455-base_fy)/n_conv)</f>
        <v>0.0815619626794085</v>
      </c>
      <c r="J15508" s="7" t="n">
        <f aca="false">Sens!$E$15508+(glt_ind-Sens!$E$15508)*MIN(1,(Sens!J15455-base_fy)/n_conv)</f>
        <v>0.0757809813397042</v>
      </c>
      <c r="K15508" s="7" t="n">
        <f aca="false">Sens!$E$15508+(glt_ind-Sens!$E$15508)*MIN(1,(Sens!K15455-base_fy)/n_conv)</f>
        <v>0.07</v>
      </c>
    </row>
    <row r="15509" customFormat="false" ht="17.15" hidden="false" customHeight="false" outlineLevel="0" collapsed="false">
      <c r="A15509" s="0" t="s">
        <v>1040</v>
      </c>
      <c r="B15509" s="0" t="s">
        <v>98</v>
      </c>
      <c r="D15509" s="6" t="n">
        <f aca="false">Q!L10</f>
        <v>7.76</v>
      </c>
      <c r="E15509" s="6" t="n">
        <f aca="false">Q!M10</f>
        <v>8.26</v>
      </c>
      <c r="F15509" s="6" t="n">
        <f aca="false">Q!$I$10+(Q!M10-Q!$E$10)*(1+Sens!F15510)</f>
        <v>8.75372082474227</v>
      </c>
      <c r="G15509" s="6" t="n">
        <f aca="false">Sens!F15509*(1+Sens!G15510)</f>
        <v>9.33399324642364</v>
      </c>
      <c r="H15509" s="6" t="n">
        <f aca="false">Sens!G15509*(1+Sens!H15510)</f>
        <v>9.96139155535851</v>
      </c>
      <c r="I15509" s="6" t="n">
        <f aca="false">Sens!H15509*(1+Sens!I15510)</f>
        <v>10.6402039077391</v>
      </c>
      <c r="J15509" s="6" t="n">
        <f aca="false">Sens!I15509*(1+Sens!J15510)</f>
        <v>11.3751458271397</v>
      </c>
      <c r="K15509" s="6" t="n">
        <f aca="false">Sens!J15509*(1+Sens!K15510)</f>
        <v>12.1714060350394</v>
      </c>
      <c r="L15509" s="12" t="s">
        <v>1038</v>
      </c>
    </row>
    <row r="15510" customFormat="false" ht="15" hidden="false" customHeight="false" outlineLevel="0" collapsed="false">
      <c r="A15510" s="1" t="s">
        <v>1028</v>
      </c>
      <c r="B15510" s="0" t="s">
        <v>168</v>
      </c>
      <c r="E15510" s="7" t="n">
        <f aca="false">Sens!E15509/Sens!D15509-1</f>
        <v>0.0644329896907216</v>
      </c>
      <c r="F15510" s="7" t="n">
        <f aca="false">Sens!$E$15510+(glt_fro-Sens!$E$15510)*MIN(1,(Sens!F15455-base_fy)/n_conv)</f>
        <v>0.065360824742268</v>
      </c>
      <c r="G15510" s="7" t="n">
        <f aca="false">Sens!$E$15510+(glt_fro-Sens!$E$15510)*MIN(1,(Sens!G15455-base_fy)/n_conv)</f>
        <v>0.0662886597938144</v>
      </c>
      <c r="H15510" s="7" t="n">
        <f aca="false">Sens!$E$15510+(glt_fro-Sens!$E$15510)*MIN(1,(Sens!H15455-base_fy)/n_conv)</f>
        <v>0.0672164948453608</v>
      </c>
      <c r="I15510" s="7" t="n">
        <f aca="false">Sens!$E$15510+(glt_fro-Sens!$E$15510)*MIN(1,(Sens!I15455-base_fy)/n_conv)</f>
        <v>0.0681443298969072</v>
      </c>
      <c r="J15510" s="7" t="n">
        <f aca="false">Sens!$E$15510+(glt_fro-Sens!$E$15510)*MIN(1,(Sens!J15455-base_fy)/n_conv)</f>
        <v>0.0690721649484536</v>
      </c>
      <c r="K15510" s="7" t="n">
        <f aca="false">Sens!$E$15510+(glt_fro-Sens!$E$15510)*MIN(1,(Sens!K15455-base_fy)/n_conv)</f>
        <v>0.07</v>
      </c>
    </row>
    <row r="15511" customFormat="false" ht="15" hidden="false" customHeight="false" outlineLevel="0" collapsed="false">
      <c r="A15511" s="0" t="s">
        <v>856</v>
      </c>
      <c r="B15511" s="0" t="s">
        <v>98</v>
      </c>
      <c r="D15511" s="6" t="n">
        <f aca="false">Sens!D15499+Sens!D15504+Sens!D15505+Sens!D15507+Sens!D15509</f>
        <v>218.783</v>
      </c>
      <c r="E15511" s="6" t="n">
        <f aca="false">Sens!E15499+Sens!E15504+Sens!E15505+Sens!E15507+Sens!E15509</f>
        <v>268.127</v>
      </c>
      <c r="F15511" s="6" t="n">
        <f aca="false">Sens!F15499+Sens!F15504+Sens!F15505+Sens!F15507+Sens!F15509</f>
        <v>311.334102467933</v>
      </c>
      <c r="G15511" s="6" t="n">
        <f aca="false">Sens!G15499+Sens!G15504+Sens!G15505+Sens!G15507+Sens!G15509</f>
        <v>362.685790212132</v>
      </c>
      <c r="H15511" s="6" t="n">
        <f aca="false">Sens!H15499+Sens!H15504+Sens!H15505+Sens!H15507+Sens!H15509</f>
        <v>411.77243101448</v>
      </c>
      <c r="I15511" s="6" t="n">
        <f aca="false">Sens!I15499+Sens!I15504+Sens!I15505+Sens!I15507+Sens!I15509</f>
        <v>461.252479944028</v>
      </c>
      <c r="J15511" s="6" t="n">
        <f aca="false">Sens!J15499+Sens!J15504+Sens!J15505+Sens!J15507+Sens!J15509</f>
        <v>503.747609452657</v>
      </c>
      <c r="K15511" s="6" t="n">
        <f aca="false">Sens!K15499+Sens!K15504+Sens!K15505+Sens!K15507+Sens!K15509</f>
        <v>539.11564523119</v>
      </c>
    </row>
    <row r="15512" customFormat="false" ht="17.15" hidden="false" customHeight="false" outlineLevel="0" collapsed="false">
      <c r="A15512" s="0" t="s">
        <v>1041</v>
      </c>
      <c r="B15512" s="0" t="s">
        <v>98</v>
      </c>
      <c r="D15512" s="6" t="n">
        <f aca="false">Q!L13</f>
        <v>22.171</v>
      </c>
      <c r="E15512" s="6" t="n">
        <f aca="false">Q!M13</f>
        <v>24.835</v>
      </c>
      <c r="F15512" s="6" t="n">
        <f aca="false">Q!$I$13+(Q!M13-Q!$E$13)*(1+Sens!F15513)</f>
        <v>27.5591895660247</v>
      </c>
      <c r="G15512" s="6" t="n">
        <f aca="false">Sens!F15512*(1+Sens!G15513)</f>
        <v>30.4098563144583</v>
      </c>
      <c r="H15512" s="6" t="n">
        <f aca="false">Sens!G15512*(1+Sens!H15513)</f>
        <v>33.3011792571777</v>
      </c>
      <c r="I15512" s="6" t="n">
        <f aca="false">Sens!H15512*(1+Sens!I15513)</f>
        <v>36.189023797112</v>
      </c>
      <c r="J15512" s="6" t="n">
        <f aca="false">Sens!I15512*(1+Sens!J15513)</f>
        <v>39.0247773769199</v>
      </c>
      <c r="K15512" s="6" t="n">
        <f aca="false">Sens!J15512*(1+Sens!K15513)</f>
        <v>41.7565117933043</v>
      </c>
      <c r="L15512" s="12" t="s">
        <v>1038</v>
      </c>
    </row>
    <row r="15513" customFormat="false" ht="15" hidden="false" customHeight="false" outlineLevel="0" collapsed="false">
      <c r="A15513" s="1" t="s">
        <v>1028</v>
      </c>
      <c r="B15513" s="0" t="s">
        <v>168</v>
      </c>
      <c r="E15513" s="7" t="n">
        <f aca="false">Sens!E15512/Sens!D15512-1</f>
        <v>0.120156961796942</v>
      </c>
      <c r="F15513" s="7" t="n">
        <f aca="false">Sens!$E$15513+(glt_srch-Sens!$E$15513)*MIN(1,(Sens!F15455-base_fy)/n_conv)</f>
        <v>0.111797468164118</v>
      </c>
      <c r="G15513" s="7" t="n">
        <f aca="false">Sens!$E$15513+(glt_srch-Sens!$E$15513)*MIN(1,(Sens!G15455-base_fy)/n_conv)</f>
        <v>0.103437974531295</v>
      </c>
      <c r="H15513" s="7" t="n">
        <f aca="false">Sens!$E$15513+(glt_srch-Sens!$E$15513)*MIN(1,(Sens!H15455-base_fy)/n_conv)</f>
        <v>0.095078480898471</v>
      </c>
      <c r="I15513" s="7" t="n">
        <f aca="false">Sens!$E$15513+(glt_srch-Sens!$E$15513)*MIN(1,(Sens!I15455-base_fy)/n_conv)</f>
        <v>0.0867189872656474</v>
      </c>
      <c r="J15513" s="7" t="n">
        <f aca="false">Sens!$E$15513+(glt_srch-Sens!$E$15513)*MIN(1,(Sens!J15455-base_fy)/n_conv)</f>
        <v>0.0783594936328237</v>
      </c>
      <c r="K15513" s="7" t="n">
        <f aca="false">Sens!$E$15513+(glt_srch-Sens!$E$15513)*MIN(1,(Sens!K15455-base_fy)/n_conv)</f>
        <v>0.07</v>
      </c>
    </row>
    <row r="15514" customFormat="false" ht="17.15" hidden="false" customHeight="false" outlineLevel="0" collapsed="false">
      <c r="A15514" s="0" t="s">
        <v>1042</v>
      </c>
      <c r="B15514" s="0" t="s">
        <v>98</v>
      </c>
      <c r="D15514" s="6" t="n">
        <f aca="false">Q!L14</f>
        <v>23.455</v>
      </c>
      <c r="E15514" s="6" t="n">
        <f aca="false">Q!M14</f>
        <v>21.79</v>
      </c>
      <c r="F15514" s="6" t="n">
        <f aca="false">Q!$I$14+(Q!M14-Q!$E$14)*(1+Sens!F15515)</f>
        <v>20.7520981041711</v>
      </c>
      <c r="G15514" s="6" t="n">
        <f aca="false">Sens!F15514*(1+Sens!G15515)</f>
        <v>19.9083593495882</v>
      </c>
      <c r="H15514" s="6" t="n">
        <f aca="false">Sens!G15514*(1+Sens!H15515)</f>
        <v>19.4008256265831</v>
      </c>
      <c r="I15514" s="6" t="n">
        <f aca="false">Sens!H15514*(1+Sens!I15515)</f>
        <v>19.200434522122</v>
      </c>
      <c r="J15514" s="6" t="n">
        <f aca="false">Sens!I15514*(1+Sens!J15515)</f>
        <v>19.2932782348507</v>
      </c>
      <c r="K15514" s="6" t="n">
        <f aca="false">Sens!J15514*(1+Sens!K15515)</f>
        <v>19.6791437995477</v>
      </c>
      <c r="L15514" s="12" t="s">
        <v>1038</v>
      </c>
    </row>
    <row r="15515" customFormat="false" ht="15" hidden="false" customHeight="false" outlineLevel="0" collapsed="false">
      <c r="A15515" s="1" t="s">
        <v>1028</v>
      </c>
      <c r="B15515" s="0" t="s">
        <v>168</v>
      </c>
      <c r="E15515" s="7" t="n">
        <f aca="false">Sens!E15514/Sens!D15514-1</f>
        <v>-0.0709869963760392</v>
      </c>
      <c r="F15515" s="7" t="n">
        <f aca="false">Sens!$E$15515+(glt_xbox-Sens!$E$15515)*MIN(1,(Sens!F15455-base_fy)/n_conv)</f>
        <v>-0.0558224969800327</v>
      </c>
      <c r="G15515" s="7" t="n">
        <f aca="false">Sens!$E$15515+(glt_xbox-Sens!$E$15515)*MIN(1,(Sens!G15455-base_fy)/n_conv)</f>
        <v>-0.0406579975840262</v>
      </c>
      <c r="H15515" s="7" t="n">
        <f aca="false">Sens!$E$15515+(glt_xbox-Sens!$E$15515)*MIN(1,(Sens!H15455-base_fy)/n_conv)</f>
        <v>-0.0254934981880196</v>
      </c>
      <c r="I15515" s="7" t="n">
        <f aca="false">Sens!$E$15515+(glt_xbox-Sens!$E$15515)*MIN(1,(Sens!I15455-base_fy)/n_conv)</f>
        <v>-0.0103289987920131</v>
      </c>
      <c r="J15515" s="7" t="n">
        <f aca="false">Sens!$E$15515+(glt_xbox-Sens!$E$15515)*MIN(1,(Sens!J15455-base_fy)/n_conv)</f>
        <v>0.00483550060399347</v>
      </c>
      <c r="K15515" s="7" t="n">
        <f aca="false">Sens!$E$15515+(glt_xbox-Sens!$E$15515)*MIN(1,(Sens!K15455-base_fy)/n_conv)</f>
        <v>0.02</v>
      </c>
    </row>
    <row r="15516" customFormat="false" ht="17.15" hidden="false" customHeight="false" outlineLevel="0" collapsed="false">
      <c r="A15516" s="0" t="s">
        <v>1043</v>
      </c>
      <c r="B15516" s="0" t="s">
        <v>98</v>
      </c>
      <c r="D15516" s="6" t="n">
        <f aca="false">Q!L15</f>
        <v>17.315</v>
      </c>
      <c r="E15516" s="6" t="n">
        <f aca="false">Q!M15</f>
        <v>17.087</v>
      </c>
      <c r="F15516" s="6" t="n">
        <f aca="false">Q!$I$15+(Q!M15-Q!$E$15)*(1+Sens!F15517)</f>
        <v>15.9912273250553</v>
      </c>
      <c r="G15516" s="6" t="n">
        <f aca="false">Sens!F15516*(1+Sens!G15517)</f>
        <v>15.9574562664827</v>
      </c>
      <c r="H15516" s="6" t="n">
        <f aca="false">Sens!G15516*(1+Sens!H15517)</f>
        <v>16.0119687434196</v>
      </c>
      <c r="I15516" s="6" t="n">
        <f aca="false">Sens!H15516*(1+Sens!I15517)</f>
        <v>16.1551810001948</v>
      </c>
      <c r="J15516" s="6" t="n">
        <f aca="false">Sens!I15516*(1+Sens!J15517)</f>
        <v>16.3889793892005</v>
      </c>
      <c r="K15516" s="6" t="n">
        <f aca="false">Sens!J15516*(1+Sens!K15517)</f>
        <v>16.7167589769845</v>
      </c>
      <c r="L15516" s="12" t="s">
        <v>1038</v>
      </c>
    </row>
    <row r="15517" customFormat="false" ht="15" hidden="false" customHeight="false" outlineLevel="0" collapsed="false">
      <c r="A15517" s="1" t="s">
        <v>1028</v>
      </c>
      <c r="B15517" s="0" t="s">
        <v>168</v>
      </c>
      <c r="E15517" s="7" t="n">
        <f aca="false">Sens!E15516/Sens!D15516-1</f>
        <v>-0.0131677736066995</v>
      </c>
      <c r="F15517" s="7" t="n">
        <f aca="false">Sens!$E$15517+(glt_win-Sens!$E$15517)*MIN(1,(Sens!F15455-base_fy)/n_conv)</f>
        <v>-0.00763981133891627</v>
      </c>
      <c r="G15517" s="7" t="n">
        <f aca="false">Sens!$E$15517+(glt_win-Sens!$E$15517)*MIN(1,(Sens!G15455-base_fy)/n_conv)</f>
        <v>-0.00211184907113301</v>
      </c>
      <c r="H15517" s="7" t="n">
        <f aca="false">Sens!$E$15517+(glt_win-Sens!$E$15517)*MIN(1,(Sens!H15455-base_fy)/n_conv)</f>
        <v>0.00341611319665024</v>
      </c>
      <c r="I15517" s="7" t="n">
        <f aca="false">Sens!$E$15517+(glt_win-Sens!$E$15517)*MIN(1,(Sens!I15455-base_fy)/n_conv)</f>
        <v>0.00894407546443349</v>
      </c>
      <c r="J15517" s="7" t="n">
        <f aca="false">Sens!$E$15517+(glt_win-Sens!$E$15517)*MIN(1,(Sens!J15455-base_fy)/n_conv)</f>
        <v>0.0144720377322168</v>
      </c>
      <c r="K15517" s="7" t="n">
        <f aca="false">Sens!$E$15517+(glt_win-Sens!$E$15517)*MIN(1,(Sens!K15455-base_fy)/n_conv)</f>
        <v>0.02</v>
      </c>
    </row>
    <row r="15518" customFormat="false" ht="15" hidden="false" customHeight="false" outlineLevel="0" collapsed="false">
      <c r="A15518" s="0" t="s">
        <v>870</v>
      </c>
      <c r="B15518" s="0" t="s">
        <v>98</v>
      </c>
      <c r="D15518" s="6" t="n">
        <f aca="false">Sens!D15512+Sens!D15514+Sens!D15516</f>
        <v>62.941</v>
      </c>
      <c r="E15518" s="6" t="n">
        <f aca="false">Sens!E15512+Sens!E15514+Sens!E15516</f>
        <v>63.712</v>
      </c>
      <c r="F15518" s="6" t="n">
        <f aca="false">Sens!F15512+Sens!F15514+Sens!F15516</f>
        <v>64.3025149952511</v>
      </c>
      <c r="G15518" s="6" t="n">
        <f aca="false">Sens!G15512+Sens!G15514+Sens!G15516</f>
        <v>66.2756719305292</v>
      </c>
      <c r="H15518" s="6" t="n">
        <f aca="false">Sens!H15512+Sens!H15514+Sens!H15516</f>
        <v>68.7139736271804</v>
      </c>
      <c r="I15518" s="6" t="n">
        <f aca="false">Sens!I15512+Sens!I15514+Sens!I15516</f>
        <v>71.5446393194289</v>
      </c>
      <c r="J15518" s="6" t="n">
        <f aca="false">Sens!J15512+Sens!J15514+Sens!J15516</f>
        <v>74.707035000971</v>
      </c>
      <c r="K15518" s="6" t="n">
        <f aca="false">Sens!K15512+Sens!K15514+Sens!K15516</f>
        <v>78.1524145698365</v>
      </c>
    </row>
    <row r="15519" customFormat="false" ht="15" hidden="false" customHeight="false" outlineLevel="0" collapsed="false">
      <c r="A15519" s="1" t="s">
        <v>1044</v>
      </c>
      <c r="B15519" s="0" t="s">
        <v>98</v>
      </c>
      <c r="D15519" s="6" t="n">
        <f aca="false">Sens!D15511+Sens!D15518</f>
        <v>281.724</v>
      </c>
      <c r="E15519" s="6" t="n">
        <f aca="false">Sens!E15511+Sens!E15518</f>
        <v>331.839</v>
      </c>
      <c r="F15519" s="6" t="n">
        <f aca="false">Sens!F15511+Sens!F15518</f>
        <v>375.636617463184</v>
      </c>
      <c r="G15519" s="6" t="n">
        <f aca="false">Sens!G15511+Sens!G15518</f>
        <v>428.961462142661</v>
      </c>
      <c r="H15519" s="6" t="n">
        <f aca="false">Sens!H15511+Sens!H15518</f>
        <v>480.48640464166</v>
      </c>
      <c r="I15519" s="6" t="n">
        <f aca="false">Sens!I15511+Sens!I15518</f>
        <v>532.797119263457</v>
      </c>
      <c r="J15519" s="6" t="n">
        <f aca="false">Sens!J15511+Sens!J15518</f>
        <v>578.454644453628</v>
      </c>
      <c r="K15519" s="6" t="n">
        <f aca="false">Sens!K15511+Sens!K15518</f>
        <v>617.268059801027</v>
      </c>
    </row>
    <row r="15520" customFormat="false" ht="15" hidden="false" customHeight="false" outlineLevel="0" collapsed="false">
      <c r="A15520" s="26" t="s">
        <v>1045</v>
      </c>
      <c r="B15520" s="31" t="s">
        <v>98</v>
      </c>
      <c r="C15520" s="31"/>
      <c r="D15520" s="27" t="n">
        <f aca="false">(Sens!D15499+Sens!D15504+Sens!D15505+Sens!D15507+Sens!D15509-Sens!D15511)+(Sens!D15512+Sens!D15514+Sens!D15516-Sens!D15518)+(Sens!D15511-Q!L5)+(Sens!D15518-Q!L12)+(Sens!D15499-Q!L6)+(Sens!D15504-Q!L7)</f>
        <v>0</v>
      </c>
      <c r="E15520" s="27" t="n">
        <f aca="false">(Sens!E15499+Sens!E15504+Sens!E15505+Sens!E15507+Sens!E15509-Sens!E15511)+(Sens!E15512+Sens!E15514+Sens!E15516-Sens!E15518)+(Sens!E15511-Q!M5)+(Sens!E15518-Q!M12)+(Sens!E15499-Q!M6)+(Sens!E15504-Q!M7)</f>
        <v>0</v>
      </c>
      <c r="F15520" s="27" t="n">
        <f aca="false">(Sens!F15499+Sens!F15504+Sens!F15505+Sens!F15507+Sens!F15509-Sens!F15511)+(Sens!F15512+Sens!F15514+Sens!F15516-Sens!F15518)</f>
        <v>0</v>
      </c>
      <c r="G15520" s="27" t="n">
        <f aca="false">(Sens!G15499+Sens!G15504+Sens!G15505+Sens!G15507+Sens!G15509-Sens!G15511)+(Sens!G15512+Sens!G15514+Sens!G15516-Sens!G15518)</f>
        <v>0</v>
      </c>
      <c r="H15520" s="27" t="n">
        <f aca="false">(Sens!H15499+Sens!H15504+Sens!H15505+Sens!H15507+Sens!H15509-Sens!H15511)+(Sens!H15512+Sens!H15514+Sens!H15516-Sens!H15518)</f>
        <v>0</v>
      </c>
      <c r="I15520" s="27" t="n">
        <f aca="false">(Sens!I15499+Sens!I15504+Sens!I15505+Sens!I15507+Sens!I15509-Sens!I15511)+(Sens!I15512+Sens!I15514+Sens!I15516-Sens!I15518)</f>
        <v>0</v>
      </c>
      <c r="J15520" s="27" t="n">
        <f aca="false">(Sens!J15499+Sens!J15504+Sens!J15505+Sens!J15507+Sens!J15509-Sens!J15511)+(Sens!J15512+Sens!J15514+Sens!J15516-Sens!J15518)</f>
        <v>0</v>
      </c>
      <c r="K15520" s="27" t="n">
        <f aca="false">(Sens!K15499+Sens!K15504+Sens!K15505+Sens!K15507+Sens!K15509-Sens!K15511)+(Sens!K15512+Sens!K15514+Sens!K15516-Sens!K15518)</f>
        <v>0</v>
      </c>
    </row>
    <row r="15521" customFormat="false" ht="17.15" hidden="false" customHeight="false" outlineLevel="0" collapsed="false">
      <c r="A15521" s="3" t="s">
        <v>1994</v>
      </c>
    </row>
    <row r="15522" customFormat="false" ht="15" hidden="false" customHeight="false" outlineLevel="0" collapsed="false">
      <c r="A15522" s="4" t="s">
        <v>43</v>
      </c>
      <c r="B15522" s="4" t="s">
        <v>65</v>
      </c>
      <c r="C15522" s="23" t="s">
        <v>942</v>
      </c>
      <c r="D15522" s="23" t="s">
        <v>943</v>
      </c>
      <c r="E15522" s="23" t="s">
        <v>944</v>
      </c>
      <c r="F15522" s="23" t="s">
        <v>945</v>
      </c>
      <c r="G15522" s="23" t="s">
        <v>946</v>
      </c>
      <c r="H15522" s="23" t="s">
        <v>947</v>
      </c>
      <c r="I15522" s="23" t="s">
        <v>948</v>
      </c>
      <c r="J15522" s="23" t="s">
        <v>949</v>
      </c>
      <c r="K15522" s="23" t="s">
        <v>950</v>
      </c>
      <c r="L15522" s="4" t="s">
        <v>47</v>
      </c>
    </row>
    <row r="15523" customFormat="false" ht="15" hidden="false" customHeight="false" outlineLevel="0" collapsed="false">
      <c r="A15523" s="0" t="s">
        <v>1029</v>
      </c>
      <c r="B15523" s="0" t="s">
        <v>98</v>
      </c>
      <c r="D15523" s="6" t="n">
        <f aca="false">Sens!D15499</f>
        <v>72.61</v>
      </c>
      <c r="E15523" s="6" t="n">
        <f aca="false">Sens!E15499</f>
        <v>101.938</v>
      </c>
      <c r="F15523" s="6" t="n">
        <f aca="false">Sens!F15499</f>
        <v>124.440703961748</v>
      </c>
      <c r="G15523" s="6" t="n">
        <f aca="false">Sens!G15499</f>
        <v>156.351551225723</v>
      </c>
      <c r="H15523" s="6" t="n">
        <f aca="false">Sens!H15499</f>
        <v>185.970951980288</v>
      </c>
      <c r="I15523" s="6" t="n">
        <f aca="false">Sens!I15499</f>
        <v>217.003842641457</v>
      </c>
      <c r="J15523" s="6" t="n">
        <f aca="false">Sens!J15499</f>
        <v>242.391901758271</v>
      </c>
      <c r="K15523" s="6" t="n">
        <f aca="false">Sens!K15499</f>
        <v>261.575974863521</v>
      </c>
    </row>
    <row r="15524" customFormat="false" ht="17.15" hidden="false" customHeight="false" outlineLevel="0" collapsed="false">
      <c r="A15524" s="0" t="s">
        <v>1025</v>
      </c>
      <c r="B15524" s="0" t="s">
        <v>98</v>
      </c>
      <c r="D15524" s="6" t="n">
        <f aca="false">Sens!D15496</f>
        <v>12.9359794422418</v>
      </c>
      <c r="E15524" s="6" t="n">
        <f aca="false">Sens!E15496</f>
        <v>27.8095064661409</v>
      </c>
      <c r="F15524" s="6" t="n">
        <f aca="false">Sens!F15496</f>
        <v>26.877874010688</v>
      </c>
      <c r="G15524" s="6" t="n">
        <f aca="false">Sens!G15496</f>
        <v>40.4323474685649</v>
      </c>
      <c r="H15524" s="6" t="n">
        <f aca="false">Sens!H15496</f>
        <v>51.3757802463699</v>
      </c>
      <c r="I15524" s="6" t="n">
        <f aca="false">Sens!I15496</f>
        <v>64.3628733697936</v>
      </c>
      <c r="J15524" s="6" t="n">
        <f aca="false">Sens!J15496</f>
        <v>73.4126531538388</v>
      </c>
      <c r="K15524" s="6" t="n">
        <f aca="false">Sens!K15496</f>
        <v>79.0783863707338</v>
      </c>
    </row>
    <row r="15525" customFormat="false" ht="17.15" hidden="false" customHeight="false" outlineLevel="0" collapsed="false">
      <c r="A15525" s="0" t="s">
        <v>1056</v>
      </c>
      <c r="B15525" s="0" t="s">
        <v>98</v>
      </c>
      <c r="D15525" s="6" t="n">
        <f aca="false">Sens!D15497</f>
        <v>59.6740205577583</v>
      </c>
      <c r="E15525" s="6" t="n">
        <f aca="false">Sens!E15497</f>
        <v>74.1284935338591</v>
      </c>
      <c r="F15525" s="6" t="n">
        <f aca="false">Sens!F15497</f>
        <v>97.5628299510605</v>
      </c>
      <c r="G15525" s="6" t="n">
        <f aca="false">Sens!G15497</f>
        <v>115.919203757158</v>
      </c>
      <c r="H15525" s="6" t="n">
        <f aca="false">Sens!H15497</f>
        <v>134.595171733918</v>
      </c>
      <c r="I15525" s="6" t="n">
        <f aca="false">Sens!I15497</f>
        <v>152.640969271663</v>
      </c>
      <c r="J15525" s="6" t="n">
        <f aca="false">Sens!J15497</f>
        <v>168.979248604432</v>
      </c>
      <c r="K15525" s="6" t="n">
        <f aca="false">Sens!K15497</f>
        <v>182.497588492787</v>
      </c>
    </row>
    <row r="15526" customFormat="false" ht="15" hidden="false" customHeight="false" outlineLevel="0" collapsed="false">
      <c r="A15526" s="0" t="s">
        <v>1036</v>
      </c>
      <c r="B15526" s="0" t="s">
        <v>98</v>
      </c>
      <c r="D15526" s="6" t="n">
        <f aca="false">Sens!D15504</f>
        <v>84.605</v>
      </c>
      <c r="E15526" s="6" t="n">
        <f aca="false">Sens!E15504</f>
        <v>100.299</v>
      </c>
      <c r="F15526" s="6" t="n">
        <f aca="false">Sens!F15504</f>
        <v>117.438354189776</v>
      </c>
      <c r="G15526" s="6" t="n">
        <f aca="false">Sens!G15504</f>
        <v>132.595360443801</v>
      </c>
      <c r="H15526" s="6" t="n">
        <f aca="false">Sens!H15504</f>
        <v>147.833811964563</v>
      </c>
      <c r="I15526" s="6" t="n">
        <f aca="false">Sens!I15504</f>
        <v>162.145665319381</v>
      </c>
      <c r="J15526" s="6" t="n">
        <f aca="false">Sens!J15504</f>
        <v>175.249327755573</v>
      </c>
      <c r="K15526" s="6" t="n">
        <f aca="false">Sens!K15504</f>
        <v>187.599280698463</v>
      </c>
    </row>
    <row r="15527" customFormat="false" ht="17.15" hidden="false" customHeight="false" outlineLevel="0" collapsed="false">
      <c r="A15527" s="0" t="s">
        <v>1057</v>
      </c>
      <c r="B15527" s="0" t="s">
        <v>98</v>
      </c>
      <c r="D15527" s="6" t="n">
        <f aca="false">Sens!D15502</f>
        <v>83.705</v>
      </c>
      <c r="E15527" s="6" t="n">
        <f aca="false">Sens!E15502</f>
        <v>95.049</v>
      </c>
      <c r="F15527" s="6" t="n">
        <f aca="false">Sens!F15502</f>
        <v>106.938354189776</v>
      </c>
      <c r="G15527" s="6" t="n">
        <f aca="false">Sens!G15502</f>
        <v>119.095360443801</v>
      </c>
      <c r="H15527" s="6" t="n">
        <f aca="false">Sens!H15502</f>
        <v>131.333811964563</v>
      </c>
      <c r="I15527" s="6" t="n">
        <f aca="false">Sens!I15502</f>
        <v>143.395665319381</v>
      </c>
      <c r="J15527" s="6" t="n">
        <f aca="false">Sens!J15502</f>
        <v>154.999327755573</v>
      </c>
      <c r="K15527" s="6" t="n">
        <f aca="false">Sens!K15502</f>
        <v>165.849280698463</v>
      </c>
    </row>
    <row r="15528" customFormat="false" ht="17.15" hidden="false" customHeight="false" outlineLevel="0" collapsed="false">
      <c r="A15528" s="0" t="s">
        <v>1058</v>
      </c>
      <c r="B15528" s="0" t="s">
        <v>98</v>
      </c>
      <c r="D15528" s="6" t="n">
        <f aca="false">Sens!D15501</f>
        <v>0.9</v>
      </c>
      <c r="E15528" s="6" t="n">
        <f aca="false">Sens!E15501</f>
        <v>5.25</v>
      </c>
      <c r="F15528" s="6" t="n">
        <f aca="false">Sens!F15501</f>
        <v>10.5</v>
      </c>
      <c r="G15528" s="6" t="n">
        <f aca="false">Sens!G15501</f>
        <v>13.5</v>
      </c>
      <c r="H15528" s="6" t="n">
        <f aca="false">Sens!H15501</f>
        <v>16.5</v>
      </c>
      <c r="I15528" s="6" t="n">
        <f aca="false">Sens!I15501</f>
        <v>18.75</v>
      </c>
      <c r="J15528" s="6" t="n">
        <f aca="false">Sens!J15501</f>
        <v>20.25</v>
      </c>
      <c r="K15528" s="6" t="n">
        <f aca="false">Sens!K15501</f>
        <v>21.75</v>
      </c>
    </row>
    <row r="15529" customFormat="false" ht="15" hidden="false" customHeight="false" outlineLevel="0" collapsed="false">
      <c r="A15529" s="0" t="s">
        <v>1037</v>
      </c>
      <c r="B15529" s="0" t="s">
        <v>98</v>
      </c>
      <c r="D15529" s="6" t="n">
        <f aca="false">Sens!D15505</f>
        <v>35.391</v>
      </c>
      <c r="E15529" s="6" t="n">
        <f aca="false">Sens!E15505</f>
        <v>37.285</v>
      </c>
      <c r="F15529" s="6" t="n">
        <f aca="false">Sens!F15505</f>
        <v>38.3851437782675</v>
      </c>
      <c r="G15529" s="6" t="n">
        <f aca="false">Sens!G15505</f>
        <v>40.0105353288615</v>
      </c>
      <c r="H15529" s="6" t="n">
        <f aca="false">Sens!H15505</f>
        <v>41.4812512033683</v>
      </c>
      <c r="I15529" s="6" t="n">
        <f aca="false">Sens!I15505</f>
        <v>42.7743107216329</v>
      </c>
      <c r="J15529" s="6" t="n">
        <f aca="false">Sens!J15505</f>
        <v>43.8687373064601</v>
      </c>
      <c r="K15529" s="6" t="n">
        <f aca="false">Sens!K15505</f>
        <v>44.7461120525893</v>
      </c>
    </row>
    <row r="15530" customFormat="false" ht="15" hidden="false" customHeight="false" outlineLevel="0" collapsed="false">
      <c r="A15530" s="0" t="s">
        <v>1039</v>
      </c>
      <c r="B15530" s="0" t="s">
        <v>98</v>
      </c>
      <c r="D15530" s="6" t="n">
        <f aca="false">Sens!D15507</f>
        <v>18.417</v>
      </c>
      <c r="E15530" s="6" t="n">
        <f aca="false">Sens!E15507</f>
        <v>20.345</v>
      </c>
      <c r="F15530" s="6" t="n">
        <f aca="false">Sens!F15507</f>
        <v>22.3161797133988</v>
      </c>
      <c r="G15530" s="6" t="n">
        <f aca="false">Sens!G15507</f>
        <v>24.3943499673233</v>
      </c>
      <c r="H15530" s="6" t="n">
        <f aca="false">Sens!H15507</f>
        <v>26.5250243109019</v>
      </c>
      <c r="I15530" s="6" t="n">
        <f aca="false">Sens!I15507</f>
        <v>28.6884573538181</v>
      </c>
      <c r="J15530" s="6" t="n">
        <f aca="false">Sens!J15507</f>
        <v>30.8624968052127</v>
      </c>
      <c r="K15530" s="6" t="n">
        <f aca="false">Sens!K15507</f>
        <v>33.0228715815776</v>
      </c>
    </row>
    <row r="15531" customFormat="false" ht="15" hidden="false" customHeight="false" outlineLevel="0" collapsed="false">
      <c r="A15531" s="0" t="s">
        <v>1040</v>
      </c>
      <c r="B15531" s="0" t="s">
        <v>98</v>
      </c>
      <c r="D15531" s="6" t="n">
        <f aca="false">Sens!D15509</f>
        <v>7.76</v>
      </c>
      <c r="E15531" s="6" t="n">
        <f aca="false">Sens!E15509</f>
        <v>8.26</v>
      </c>
      <c r="F15531" s="6" t="n">
        <f aca="false">Sens!F15509</f>
        <v>8.75372082474227</v>
      </c>
      <c r="G15531" s="6" t="n">
        <f aca="false">Sens!G15509</f>
        <v>9.33399324642364</v>
      </c>
      <c r="H15531" s="6" t="n">
        <f aca="false">Sens!H15509</f>
        <v>9.96139155535851</v>
      </c>
      <c r="I15531" s="6" t="n">
        <f aca="false">Sens!I15509</f>
        <v>10.6402039077391</v>
      </c>
      <c r="J15531" s="6" t="n">
        <f aca="false">Sens!J15509</f>
        <v>11.3751458271397</v>
      </c>
      <c r="K15531" s="6" t="n">
        <f aca="false">Sens!K15509</f>
        <v>12.1714060350394</v>
      </c>
    </row>
    <row r="15532" customFormat="false" ht="15" hidden="false" customHeight="false" outlineLevel="0" collapsed="false">
      <c r="A15532" s="0" t="s">
        <v>856</v>
      </c>
      <c r="B15532" s="0" t="s">
        <v>98</v>
      </c>
      <c r="D15532" s="6" t="n">
        <f aca="false">Sens!D15511</f>
        <v>218.783</v>
      </c>
      <c r="E15532" s="6" t="n">
        <f aca="false">Sens!E15511</f>
        <v>268.127</v>
      </c>
      <c r="F15532" s="6" t="n">
        <f aca="false">Sens!F15511</f>
        <v>311.334102467933</v>
      </c>
      <c r="G15532" s="6" t="n">
        <f aca="false">Sens!G15511</f>
        <v>362.685790212132</v>
      </c>
      <c r="H15532" s="6" t="n">
        <f aca="false">Sens!H15511</f>
        <v>411.77243101448</v>
      </c>
      <c r="I15532" s="6" t="n">
        <f aca="false">Sens!I15511</f>
        <v>461.252479944028</v>
      </c>
      <c r="J15532" s="6" t="n">
        <f aca="false">Sens!J15511</f>
        <v>503.747609452657</v>
      </c>
      <c r="K15532" s="6" t="n">
        <f aca="false">Sens!K15511</f>
        <v>539.11564523119</v>
      </c>
    </row>
    <row r="15533" customFormat="false" ht="15" hidden="false" customHeight="false" outlineLevel="0" collapsed="false">
      <c r="A15533" s="0" t="s">
        <v>1041</v>
      </c>
      <c r="B15533" s="0" t="s">
        <v>98</v>
      </c>
      <c r="D15533" s="6" t="n">
        <f aca="false">Sens!D15512</f>
        <v>22.171</v>
      </c>
      <c r="E15533" s="6" t="n">
        <f aca="false">Sens!E15512</f>
        <v>24.835</v>
      </c>
      <c r="F15533" s="6" t="n">
        <f aca="false">Sens!F15512</f>
        <v>27.5591895660247</v>
      </c>
      <c r="G15533" s="6" t="n">
        <f aca="false">Sens!G15512</f>
        <v>30.4098563144583</v>
      </c>
      <c r="H15533" s="6" t="n">
        <f aca="false">Sens!H15512</f>
        <v>33.3011792571777</v>
      </c>
      <c r="I15533" s="6" t="n">
        <f aca="false">Sens!I15512</f>
        <v>36.189023797112</v>
      </c>
      <c r="J15533" s="6" t="n">
        <f aca="false">Sens!J15512</f>
        <v>39.0247773769199</v>
      </c>
      <c r="K15533" s="6" t="n">
        <f aca="false">Sens!K15512</f>
        <v>41.7565117933043</v>
      </c>
    </row>
    <row r="15534" customFormat="false" ht="15" hidden="false" customHeight="false" outlineLevel="0" collapsed="false">
      <c r="A15534" s="0" t="s">
        <v>1042</v>
      </c>
      <c r="B15534" s="0" t="s">
        <v>98</v>
      </c>
      <c r="D15534" s="6" t="n">
        <f aca="false">Sens!D15514</f>
        <v>23.455</v>
      </c>
      <c r="E15534" s="6" t="n">
        <f aca="false">Sens!E15514</f>
        <v>21.79</v>
      </c>
      <c r="F15534" s="6" t="n">
        <f aca="false">Sens!F15514</f>
        <v>20.7520981041711</v>
      </c>
      <c r="G15534" s="6" t="n">
        <f aca="false">Sens!G15514</f>
        <v>19.9083593495882</v>
      </c>
      <c r="H15534" s="6" t="n">
        <f aca="false">Sens!H15514</f>
        <v>19.4008256265831</v>
      </c>
      <c r="I15534" s="6" t="n">
        <f aca="false">Sens!I15514</f>
        <v>19.200434522122</v>
      </c>
      <c r="J15534" s="6" t="n">
        <f aca="false">Sens!J15514</f>
        <v>19.2932782348507</v>
      </c>
      <c r="K15534" s="6" t="n">
        <f aca="false">Sens!K15514</f>
        <v>19.6791437995477</v>
      </c>
    </row>
    <row r="15535" customFormat="false" ht="15" hidden="false" customHeight="false" outlineLevel="0" collapsed="false">
      <c r="A15535" s="0" t="s">
        <v>1043</v>
      </c>
      <c r="B15535" s="0" t="s">
        <v>98</v>
      </c>
      <c r="D15535" s="6" t="n">
        <f aca="false">Sens!D15516</f>
        <v>17.315</v>
      </c>
      <c r="E15535" s="6" t="n">
        <f aca="false">Sens!E15516</f>
        <v>17.087</v>
      </c>
      <c r="F15535" s="6" t="n">
        <f aca="false">Sens!F15516</f>
        <v>15.9912273250553</v>
      </c>
      <c r="G15535" s="6" t="n">
        <f aca="false">Sens!G15516</f>
        <v>15.9574562664827</v>
      </c>
      <c r="H15535" s="6" t="n">
        <f aca="false">Sens!H15516</f>
        <v>16.0119687434196</v>
      </c>
      <c r="I15535" s="6" t="n">
        <f aca="false">Sens!I15516</f>
        <v>16.1551810001948</v>
      </c>
      <c r="J15535" s="6" t="n">
        <f aca="false">Sens!J15516</f>
        <v>16.3889793892005</v>
      </c>
      <c r="K15535" s="6" t="n">
        <f aca="false">Sens!K15516</f>
        <v>16.7167589769845</v>
      </c>
    </row>
    <row r="15536" customFormat="false" ht="15" hidden="false" customHeight="false" outlineLevel="0" collapsed="false">
      <c r="A15536" s="0" t="s">
        <v>870</v>
      </c>
      <c r="B15536" s="0" t="s">
        <v>98</v>
      </c>
      <c r="D15536" s="6" t="n">
        <f aca="false">Sens!D15518</f>
        <v>62.941</v>
      </c>
      <c r="E15536" s="6" t="n">
        <f aca="false">Sens!E15518</f>
        <v>63.712</v>
      </c>
      <c r="F15536" s="6" t="n">
        <f aca="false">Sens!F15518</f>
        <v>64.3025149952511</v>
      </c>
      <c r="G15536" s="6" t="n">
        <f aca="false">Sens!G15518</f>
        <v>66.2756719305292</v>
      </c>
      <c r="H15536" s="6" t="n">
        <f aca="false">Sens!H15518</f>
        <v>68.7139736271804</v>
      </c>
      <c r="I15536" s="6" t="n">
        <f aca="false">Sens!I15518</f>
        <v>71.5446393194289</v>
      </c>
      <c r="J15536" s="6" t="n">
        <f aca="false">Sens!J15518</f>
        <v>74.707035000971</v>
      </c>
      <c r="K15536" s="6" t="n">
        <f aca="false">Sens!K15518</f>
        <v>78.1524145698365</v>
      </c>
    </row>
    <row r="15537" customFormat="false" ht="15" hidden="false" customHeight="false" outlineLevel="0" collapsed="false">
      <c r="A15537" s="1" t="s">
        <v>1059</v>
      </c>
      <c r="B15537" s="0" t="s">
        <v>98</v>
      </c>
      <c r="D15537" s="6" t="n">
        <f aca="false">Sens!D15519</f>
        <v>281.724</v>
      </c>
      <c r="E15537" s="6" t="n">
        <f aca="false">Sens!E15519</f>
        <v>331.839</v>
      </c>
      <c r="F15537" s="6" t="n">
        <f aca="false">Sens!F15519</f>
        <v>375.636617463184</v>
      </c>
      <c r="G15537" s="6" t="n">
        <f aca="false">Sens!G15519</f>
        <v>428.961462142661</v>
      </c>
      <c r="H15537" s="6" t="n">
        <f aca="false">Sens!H15519</f>
        <v>480.48640464166</v>
      </c>
      <c r="I15537" s="6" t="n">
        <f aca="false">Sens!I15519</f>
        <v>532.797119263457</v>
      </c>
      <c r="J15537" s="6" t="n">
        <f aca="false">Sens!J15519</f>
        <v>578.454644453628</v>
      </c>
      <c r="K15537" s="6" t="n">
        <f aca="false">Sens!K15519</f>
        <v>617.268059801027</v>
      </c>
    </row>
    <row r="15538" customFormat="false" ht="15" hidden="false" customHeight="false" outlineLevel="0" collapsed="false">
      <c r="A15538" s="1" t="s">
        <v>1060</v>
      </c>
      <c r="B15538" s="0" t="s">
        <v>168</v>
      </c>
      <c r="E15538" s="7" t="n">
        <f aca="false">Sens!E15537/Sens!D15537-1</f>
        <v>0.177886867998467</v>
      </c>
      <c r="F15538" s="7" t="n">
        <f aca="false">Sens!F15537/Sens!E15537-1</f>
        <v>0.131984539078239</v>
      </c>
      <c r="G15538" s="7" t="n">
        <f aca="false">Sens!G15537/Sens!F15537-1</f>
        <v>0.141958590298252</v>
      </c>
      <c r="H15538" s="7" t="n">
        <f aca="false">Sens!H15537/Sens!G15537-1</f>
        <v>0.120115551270346</v>
      </c>
      <c r="I15538" s="7" t="n">
        <f aca="false">Sens!I15537/Sens!H15537-1</f>
        <v>0.108870332472381</v>
      </c>
      <c r="J15538" s="7" t="n">
        <f aca="false">Sens!J15537/Sens!I15537-1</f>
        <v>0.0856940166142193</v>
      </c>
      <c r="K15538" s="7" t="n">
        <f aca="false">Sens!K15537/Sens!J15537-1</f>
        <v>0.0670984591783506</v>
      </c>
    </row>
    <row r="15539" customFormat="false" ht="17.15" hidden="false" customHeight="false" outlineLevel="0" collapsed="false">
      <c r="A15539" s="26" t="s">
        <v>1061</v>
      </c>
      <c r="B15539" s="31" t="s">
        <v>98</v>
      </c>
      <c r="C15539" s="31"/>
      <c r="D15539" s="27" t="n">
        <f aca="false">(Sens!D15532+Sens!D15536-Sens!D15537)+(Sens!D15524+Sens!D15525-Sens!D15523)+(Sens!D15527+Sens!D15528-Sens!D15526)+(Sens!D15537-Q!L18)</f>
        <v>0</v>
      </c>
      <c r="E15539" s="27" t="n">
        <f aca="false">(Sens!E15532+Sens!E15536-Sens!E15537)+(Sens!E15524+Sens!E15525-Sens!E15523)+(Sens!E15527+Sens!E15528-Sens!E15526)+(Sens!E15537-Q!M18)</f>
        <v>0</v>
      </c>
      <c r="F15539" s="27" t="n">
        <f aca="false">(Sens!F15532+Sens!F15536-Sens!F15537)+(Sens!F15524+Sens!F15525-Sens!F15523)+(Sens!F15527+Sens!F15528-Sens!F15526)</f>
        <v>0</v>
      </c>
      <c r="G15539" s="27" t="n">
        <f aca="false">(Sens!G15532+Sens!G15536-Sens!G15537)+(Sens!G15524+Sens!G15525-Sens!G15523)+(Sens!G15527+Sens!G15528-Sens!G15526)</f>
        <v>0</v>
      </c>
      <c r="H15539" s="27" t="n">
        <f aca="false">(Sens!H15532+Sens!H15536-Sens!H15537)+(Sens!H15524+Sens!H15525-Sens!H15523)+(Sens!H15527+Sens!H15528-Sens!H15526)</f>
        <v>0</v>
      </c>
      <c r="I15539" s="27" t="n">
        <f aca="false">(Sens!I15532+Sens!I15536-Sens!I15537)+(Sens!I15524+Sens!I15525-Sens!I15523)+(Sens!I15527+Sens!I15528-Sens!I15526)</f>
        <v>0</v>
      </c>
      <c r="J15539" s="27" t="n">
        <f aca="false">(Sens!J15532+Sens!J15536-Sens!J15537)+(Sens!J15524+Sens!J15525-Sens!J15523)+(Sens!J15527+Sens!J15528-Sens!J15526)</f>
        <v>0</v>
      </c>
      <c r="K15539" s="27" t="n">
        <f aca="false">(Sens!K15532+Sens!K15536-Sens!K15537)+(Sens!K15524+Sens!K15525-Sens!K15523)+(Sens!K15527+Sens!K15528-Sens!K15526)</f>
        <v>0</v>
      </c>
    </row>
    <row r="15540" customFormat="false" ht="17.15" hidden="false" customHeight="false" outlineLevel="0" collapsed="false">
      <c r="A15540" s="0" t="s">
        <v>1062</v>
      </c>
      <c r="B15540" s="0" t="s">
        <v>168</v>
      </c>
      <c r="E15540" s="7" t="n">
        <f aca="false">(Q!M21+Sens!E15476+Sens!E15477+Sens!E15478+Sens!E15492-Sens!E15474)/(Q!M5-Sens!E15474)</f>
        <v>0.570957350878296</v>
      </c>
      <c r="F15540" s="7" t="n">
        <f aca="false">Sens!$E$15540+dm_seg</f>
        <v>0.570957350878296</v>
      </c>
      <c r="G15540" s="7" t="n">
        <f aca="false">Sens!$E$15540+dm_seg</f>
        <v>0.570957350878296</v>
      </c>
      <c r="H15540" s="7" t="n">
        <f aca="false">Sens!$E$15540+dm_seg</f>
        <v>0.570957350878296</v>
      </c>
      <c r="I15540" s="7" t="n">
        <f aca="false">Sens!$E$15540+dm_seg</f>
        <v>0.570957350878296</v>
      </c>
      <c r="J15540" s="7" t="n">
        <f aca="false">Sens!$E$15540+dm_seg</f>
        <v>0.570957350878296</v>
      </c>
      <c r="K15540" s="7" t="n">
        <f aca="false">Sens!$E$15540+dm_seg</f>
        <v>0.570957350878296</v>
      </c>
      <c r="L15540" s="12" t="s">
        <v>1063</v>
      </c>
    </row>
    <row r="15541" customFormat="false" ht="17.15" hidden="false" customHeight="false" outlineLevel="0" collapsed="false">
      <c r="A15541" s="0" t="s">
        <v>884</v>
      </c>
      <c r="B15541" s="0" t="s">
        <v>98</v>
      </c>
      <c r="D15541" s="6" t="n">
        <f aca="false">Q!L21</f>
        <v>110.814</v>
      </c>
      <c r="E15541" s="6" t="n">
        <f aca="false">Q!M21</f>
        <v>136.365</v>
      </c>
      <c r="F15541" s="6" t="n">
        <f aca="false">Q!$I$21+(Sens!F15540*(Sens!F15511-Sens!F15474)+Sens!F15474-(Sens!F15476+Sens!F15477+Sens!F15478)-Sens!F15492-Sens!F15575)*(Sens!F15511-Q!$I$5)/Sens!F15511</f>
        <v>140.075434147587</v>
      </c>
      <c r="G15541" s="6" t="n">
        <f aca="false">(Sens!G15540*(Sens!G15511-Sens!G15474)+Sens!G15474-(Sens!G15476+Sens!G15477+Sens!G15478)-Sens!G15492-Sens!G15575)</f>
        <v>128.619636246134</v>
      </c>
      <c r="H15541" s="6" t="n">
        <f aca="false">(Sens!H15540*(Sens!H15511-Sens!H15474)+Sens!H15474-(Sens!H15476+Sens!H15477+Sens!H15478)-Sens!H15492-Sens!H15575)</f>
        <v>120.845773810506</v>
      </c>
      <c r="I15541" s="6" t="n">
        <f aca="false">(Sens!I15540*(Sens!I15511-Sens!I15474)+Sens!I15474-(Sens!I15476+Sens!I15477+Sens!I15478)-Sens!I15492-Sens!I15575)</f>
        <v>119.038618435933</v>
      </c>
      <c r="J15541" s="6" t="n">
        <f aca="false">(Sens!J15540*(Sens!J15511-Sens!J15474)+Sens!J15474-(Sens!J15476+Sens!J15477+Sens!J15478)-Sens!J15492-Sens!J15575)</f>
        <v>122.253056691167</v>
      </c>
      <c r="K15541" s="6" t="n">
        <f aca="false">(Sens!K15540*(Sens!K15511-Sens!K15474)+Sens!K15474-(Sens!K15476+Sens!K15477+Sens!K15478)-Sens!K15492-Sens!K15575)</f>
        <v>129.823831172308</v>
      </c>
      <c r="L15541" s="1" t="s">
        <v>1064</v>
      </c>
    </row>
    <row r="15542" customFormat="false" ht="17.15" hidden="false" customHeight="false" outlineLevel="0" collapsed="false">
      <c r="A15542" s="0" t="s">
        <v>1065</v>
      </c>
      <c r="B15542" s="0" t="s">
        <v>168</v>
      </c>
      <c r="E15542" s="7" t="n">
        <f aca="false">Q!M22/Q!M12</f>
        <v>0.296207935710698</v>
      </c>
      <c r="F15542" s="7" t="n">
        <f aca="false">Sens!$E$15542+dm_seg</f>
        <v>0.296207935710698</v>
      </c>
      <c r="G15542" s="7" t="n">
        <f aca="false">Sens!$E$15542+dm_seg</f>
        <v>0.296207935710698</v>
      </c>
      <c r="H15542" s="7" t="n">
        <f aca="false">Sens!$E$15542+dm_seg</f>
        <v>0.296207935710698</v>
      </c>
      <c r="I15542" s="7" t="n">
        <f aca="false">Sens!$E$15542+dm_seg</f>
        <v>0.296207935710698</v>
      </c>
      <c r="J15542" s="7" t="n">
        <f aca="false">Sens!$E$15542+dm_seg</f>
        <v>0.296207935710698</v>
      </c>
      <c r="K15542" s="7" t="n">
        <f aca="false">Sens!$E$15542+dm_seg</f>
        <v>0.296207935710698</v>
      </c>
      <c r="L15542" s="12" t="s">
        <v>1066</v>
      </c>
    </row>
    <row r="15543" customFormat="false" ht="17.15" hidden="false" customHeight="false" outlineLevel="0" collapsed="false">
      <c r="A15543" s="0" t="s">
        <v>886</v>
      </c>
      <c r="B15543" s="0" t="s">
        <v>98</v>
      </c>
      <c r="D15543" s="6" t="n">
        <f aca="false">Q!L22</f>
        <v>17.714</v>
      </c>
      <c r="E15543" s="6" t="n">
        <f aca="false">Q!M22</f>
        <v>18.872</v>
      </c>
      <c r="F15543" s="6" t="n">
        <f aca="false">Q!$I$22+(Sens!F15518-Q!$I$12)*Sens!F15542</f>
        <v>19.8174315512051</v>
      </c>
      <c r="G15543" s="6" t="n">
        <f aca="false">Sens!G15518*Sens!G15542</f>
        <v>19.6313799703815</v>
      </c>
      <c r="H15543" s="6" t="n">
        <f aca="false">Sens!H15518*Sens!H15542</f>
        <v>20.3536242825865</v>
      </c>
      <c r="I15543" s="6" t="n">
        <f aca="false">Sens!I15518*Sens!I15542</f>
        <v>21.1920899239745</v>
      </c>
      <c r="J15543" s="6" t="n">
        <f aca="false">Sens!J15518*Sens!J15542</f>
        <v>22.1288166207045</v>
      </c>
      <c r="K15543" s="6" t="n">
        <f aca="false">Sens!K15518*Sens!K15542</f>
        <v>23.1493653905379</v>
      </c>
      <c r="L15543" s="12" t="s">
        <v>1067</v>
      </c>
    </row>
    <row r="15544" customFormat="false" ht="15" hidden="false" customHeight="false" outlineLevel="0" collapsed="false">
      <c r="A15544" s="1" t="s">
        <v>1068</v>
      </c>
      <c r="B15544" s="0" t="s">
        <v>98</v>
      </c>
      <c r="D15544" s="6" t="n">
        <f aca="false">Sens!D15541+Sens!D15543</f>
        <v>128.528</v>
      </c>
      <c r="E15544" s="6" t="n">
        <f aca="false">Sens!E15541+Sens!E15543</f>
        <v>155.237</v>
      </c>
      <c r="F15544" s="6" t="n">
        <f aca="false">Sens!F15541+Sens!F15543</f>
        <v>159.892865698792</v>
      </c>
      <c r="G15544" s="6" t="n">
        <f aca="false">Sens!G15541+Sens!G15543</f>
        <v>148.251016216516</v>
      </c>
      <c r="H15544" s="6" t="n">
        <f aca="false">Sens!H15541+Sens!H15543</f>
        <v>141.199398093092</v>
      </c>
      <c r="I15544" s="6" t="n">
        <f aca="false">Sens!I15541+Sens!I15543</f>
        <v>140.230708359908</v>
      </c>
      <c r="J15544" s="6" t="n">
        <f aca="false">Sens!J15541+Sens!J15543</f>
        <v>144.381873311871</v>
      </c>
      <c r="K15544" s="6" t="n">
        <f aca="false">Sens!K15541+Sens!K15543</f>
        <v>152.973196562846</v>
      </c>
    </row>
    <row r="15545" customFormat="false" ht="15" hidden="false" customHeight="false" outlineLevel="0" collapsed="false">
      <c r="A15545" s="26" t="s">
        <v>1069</v>
      </c>
      <c r="B15545" s="31" t="s">
        <v>98</v>
      </c>
      <c r="C15545" s="31"/>
      <c r="D15545" s="27" t="n">
        <f aca="false">Sens!D15544-Q!L23</f>
        <v>0</v>
      </c>
      <c r="E15545" s="27" t="n">
        <f aca="false">Sens!E15544-Q!M23</f>
        <v>0</v>
      </c>
      <c r="F15545" s="31"/>
      <c r="G15545" s="31"/>
      <c r="H15545" s="31"/>
      <c r="I15545" s="31"/>
      <c r="J15545" s="31"/>
      <c r="K15545" s="31"/>
    </row>
    <row r="15546" customFormat="false" ht="15" hidden="false" customHeight="false" outlineLevel="0" collapsed="false">
      <c r="A15546" s="1" t="s">
        <v>1070</v>
      </c>
      <c r="B15546" s="0" t="s">
        <v>168</v>
      </c>
      <c r="D15546" s="7" t="n">
        <f aca="false">Sens!D15544/Sens!D15537</f>
        <v>0.456219562408598</v>
      </c>
      <c r="E15546" s="7" t="n">
        <f aca="false">Sens!E15544/Sens!E15537</f>
        <v>0.467808184089272</v>
      </c>
      <c r="F15546" s="7" t="n">
        <f aca="false">Sens!F15544/Sens!F15537</f>
        <v>0.425658357746401</v>
      </c>
      <c r="G15546" s="7" t="n">
        <f aca="false">Sens!G15544/Sens!G15537</f>
        <v>0.34560451066164</v>
      </c>
      <c r="H15546" s="7" t="n">
        <f aca="false">Sens!H15544/Sens!H15537</f>
        <v>0.293867623993225</v>
      </c>
      <c r="I15546" s="7" t="n">
        <f aca="false">Sens!I15544/Sens!I15537</f>
        <v>0.263197197000171</v>
      </c>
      <c r="J15546" s="7" t="n">
        <f aca="false">Sens!J15544/Sens!J15537</f>
        <v>0.249599298227168</v>
      </c>
      <c r="K15546" s="7" t="n">
        <f aca="false">Sens!K15544/Sens!K15537</f>
        <v>0.24782295816854</v>
      </c>
    </row>
    <row r="15547" customFormat="false" ht="17.15" hidden="false" customHeight="false" outlineLevel="0" collapsed="false">
      <c r="A15547" s="1" t="s">
        <v>1071</v>
      </c>
      <c r="B15547" s="0" t="s">
        <v>98</v>
      </c>
      <c r="F15547" s="6" t="n">
        <f aca="false">Sens!F15562</f>
        <v>10.5962787979473</v>
      </c>
      <c r="G15547" s="6" t="n">
        <f aca="false">Sens!G15562</f>
        <v>27.844646674932</v>
      </c>
      <c r="H15547" s="6" t="n">
        <f aca="false">Sens!H15562</f>
        <v>46.566205501382</v>
      </c>
      <c r="I15547" s="6" t="n">
        <f aca="false">Sens!I15562</f>
        <v>63.2717778126444</v>
      </c>
      <c r="J15547" s="6" t="n">
        <f aca="false">Sens!J15562</f>
        <v>74.9061222882009</v>
      </c>
      <c r="K15547" s="6" t="n">
        <f aca="false">Sens!K15562</f>
        <v>81.6395437180232</v>
      </c>
      <c r="L15547" s="1" t="s">
        <v>1072</v>
      </c>
    </row>
    <row r="15548" customFormat="false" ht="17.15" hidden="false" customHeight="false" outlineLevel="0" collapsed="false">
      <c r="A15548" s="1" t="s">
        <v>1073</v>
      </c>
      <c r="B15548" s="0" t="s">
        <v>98</v>
      </c>
      <c r="D15548" s="6" t="n">
        <f aca="false">Sens!D15544</f>
        <v>128.528</v>
      </c>
      <c r="E15548" s="6" t="n">
        <f aca="false">Sens!E15544</f>
        <v>155.237</v>
      </c>
      <c r="F15548" s="6" t="n">
        <f aca="false">Sens!F15544+Sens!F15547</f>
        <v>170.489144496739</v>
      </c>
      <c r="G15548" s="6" t="n">
        <f aca="false">Sens!G15544+Sens!G15547</f>
        <v>176.095662891448</v>
      </c>
      <c r="H15548" s="6" t="n">
        <f aca="false">Sens!H15544+Sens!H15547</f>
        <v>187.765603594474</v>
      </c>
      <c r="I15548" s="6" t="n">
        <f aca="false">Sens!I15544+Sens!I15547</f>
        <v>203.502486172552</v>
      </c>
      <c r="J15548" s="6" t="n">
        <f aca="false">Sens!J15544+Sens!J15547</f>
        <v>219.287995600072</v>
      </c>
      <c r="K15548" s="6" t="n">
        <f aca="false">Sens!K15544+Sens!K15547</f>
        <v>234.612740280869</v>
      </c>
    </row>
    <row r="15549" customFormat="false" ht="17.15" hidden="false" customHeight="false" outlineLevel="0" collapsed="false">
      <c r="A15549" s="1" t="s">
        <v>1074</v>
      </c>
      <c r="B15549" s="0" t="s">
        <v>98</v>
      </c>
      <c r="E15549" s="6" t="n">
        <f aca="false">Sens!E15492</f>
        <v>16.3054059770833</v>
      </c>
      <c r="F15549" s="6" t="n">
        <f aca="false">Sens!F15492</f>
        <v>34.5793144783516</v>
      </c>
      <c r="G15549" s="6" t="n">
        <f aca="false">Sens!G15492</f>
        <v>60.7344906522989</v>
      </c>
      <c r="H15549" s="6" t="n">
        <f aca="false">Sens!H15492</f>
        <v>89.1000906614457</v>
      </c>
      <c r="I15549" s="6" t="n">
        <f aca="false">Sens!I15492</f>
        <v>114.231009694548</v>
      </c>
      <c r="J15549" s="6" t="n">
        <f aca="false">Sens!J15492</f>
        <v>132.015673049596</v>
      </c>
      <c r="K15549" s="6" t="n">
        <f aca="false">Sens!K15492</f>
        <v>143.012669550934</v>
      </c>
    </row>
    <row r="15550" customFormat="false" ht="17.15" hidden="false" customHeight="false" outlineLevel="0" collapsed="false">
      <c r="A15550" s="1" t="s">
        <v>1075</v>
      </c>
      <c r="B15550" s="0" t="s">
        <v>98</v>
      </c>
      <c r="E15550" s="6" t="n">
        <f aca="false">Sens!E15574</f>
        <v>22.2285940229167</v>
      </c>
      <c r="F15550" s="6" t="n">
        <f aca="false">Sens!F15574</f>
        <v>23.6941980446071</v>
      </c>
      <c r="G15550" s="6" t="n">
        <f aca="false">Sens!G15574</f>
        <v>25.5686550038179</v>
      </c>
      <c r="H15550" s="6" t="n">
        <f aca="false">Sens!H15574</f>
        <v>27.8200734566656</v>
      </c>
      <c r="I15550" s="6" t="n">
        <f aca="false">Sens!I15574</f>
        <v>30.390113114321</v>
      </c>
      <c r="J15550" s="6" t="n">
        <f aca="false">Sens!J15574</f>
        <v>33.2013507321954</v>
      </c>
      <c r="K15550" s="6" t="n">
        <f aca="false">Sens!K15574</f>
        <v>36.1658636506806</v>
      </c>
    </row>
    <row r="15551" customFormat="false" ht="17.15" hidden="false" customHeight="false" outlineLevel="0" collapsed="false">
      <c r="A15551" s="1" t="s">
        <v>1076</v>
      </c>
      <c r="B15551" s="0" t="s">
        <v>98</v>
      </c>
      <c r="D15551" s="6" t="n">
        <f aca="false">Q!L27</f>
        <v>-4.901</v>
      </c>
      <c r="E15551" s="6" t="n">
        <f aca="false">Q!M27</f>
        <v>10.697</v>
      </c>
      <c r="F15551" s="6" t="n">
        <f aca="false">Q!$I$27+oie_f*(q_per_yr-1)/q_per_yr</f>
        <v>-0.862</v>
      </c>
      <c r="G15551" s="6" t="n">
        <f aca="false">oie_f</f>
        <v>-1.2</v>
      </c>
      <c r="H15551" s="6" t="n">
        <f aca="false">oie_f</f>
        <v>-1.2</v>
      </c>
      <c r="I15551" s="6" t="n">
        <f aca="false">oie_f</f>
        <v>-1.2</v>
      </c>
      <c r="J15551" s="6" t="n">
        <f aca="false">oie_f</f>
        <v>-1.2</v>
      </c>
      <c r="K15551" s="6" t="n">
        <f aca="false">oie_f</f>
        <v>-1.2</v>
      </c>
      <c r="L15551" s="12" t="s">
        <v>1077</v>
      </c>
    </row>
    <row r="15552" customFormat="false" ht="15" hidden="false" customHeight="false" outlineLevel="0" collapsed="false">
      <c r="A15552" s="1" t="s">
        <v>1078</v>
      </c>
      <c r="B15552" s="0" t="s">
        <v>98</v>
      </c>
      <c r="D15552" s="6" t="n">
        <f aca="false">Sens!D15544+Sens!D15551</f>
        <v>123.627</v>
      </c>
      <c r="E15552" s="6" t="n">
        <f aca="false">Sens!E15544+Sens!E15551</f>
        <v>165.934</v>
      </c>
      <c r="F15552" s="6" t="n">
        <f aca="false">Sens!F15544+Sens!F15551</f>
        <v>159.030865698792</v>
      </c>
      <c r="G15552" s="6" t="n">
        <f aca="false">Sens!G15544+Sens!G15551</f>
        <v>147.051016216516</v>
      </c>
      <c r="H15552" s="6" t="n">
        <f aca="false">Sens!H15544+Sens!H15551</f>
        <v>139.999398093092</v>
      </c>
      <c r="I15552" s="6" t="n">
        <f aca="false">Sens!I15544+Sens!I15551</f>
        <v>139.030708359908</v>
      </c>
      <c r="J15552" s="6" t="n">
        <f aca="false">Sens!J15544+Sens!J15551</f>
        <v>143.181873311871</v>
      </c>
      <c r="K15552" s="6" t="n">
        <f aca="false">Sens!K15544+Sens!K15551</f>
        <v>151.773196562846</v>
      </c>
    </row>
    <row r="15553" customFormat="false" ht="15" hidden="false" customHeight="false" outlineLevel="0" collapsed="false">
      <c r="A15553" s="1" t="s">
        <v>1079</v>
      </c>
      <c r="B15553" s="0" t="s">
        <v>98</v>
      </c>
      <c r="D15553" s="6" t="n">
        <f aca="false">Q!L29</f>
        <v>21.795</v>
      </c>
      <c r="E15553" s="6" t="n">
        <f aca="false">Q!M29</f>
        <v>32.185</v>
      </c>
      <c r="F15553" s="6" t="n">
        <f aca="false">Q!$I$29+(Sens!F15552-Q!$I$28)*tax_f</f>
        <v>31.9395731397584</v>
      </c>
      <c r="G15553" s="6" t="n">
        <f aca="false">Sens!G15552*tax_f</f>
        <v>29.4102032433032</v>
      </c>
      <c r="H15553" s="6" t="n">
        <f aca="false">Sens!H15552*tax_f</f>
        <v>27.9998796186184</v>
      </c>
      <c r="I15553" s="6" t="n">
        <f aca="false">Sens!I15552*tax_f</f>
        <v>27.8061416719815</v>
      </c>
      <c r="J15553" s="6" t="n">
        <f aca="false">Sens!J15552*tax_f</f>
        <v>28.6363746623743</v>
      </c>
      <c r="K15553" s="6" t="n">
        <f aca="false">Sens!K15552*tax_f</f>
        <v>30.3546393125691</v>
      </c>
    </row>
    <row r="15554" customFormat="false" ht="15" hidden="false" customHeight="false" outlineLevel="0" collapsed="false">
      <c r="A15554" s="1" t="s">
        <v>1080</v>
      </c>
      <c r="B15554" s="0" t="s">
        <v>98</v>
      </c>
      <c r="D15554" s="6" t="n">
        <f aca="false">Sens!D15552-Sens!D15553</f>
        <v>101.832</v>
      </c>
      <c r="E15554" s="6" t="n">
        <f aca="false">Sens!E15552-Sens!E15553</f>
        <v>133.749</v>
      </c>
      <c r="F15554" s="6" t="n">
        <f aca="false">Sens!F15552-Sens!F15553</f>
        <v>127.091292559034</v>
      </c>
      <c r="G15554" s="6" t="n">
        <f aca="false">Sens!G15552-Sens!G15553</f>
        <v>117.640812973213</v>
      </c>
      <c r="H15554" s="6" t="n">
        <f aca="false">Sens!H15552-Sens!H15553</f>
        <v>111.999518474474</v>
      </c>
      <c r="I15554" s="6" t="n">
        <f aca="false">Sens!I15552-Sens!I15553</f>
        <v>111.224566687926</v>
      </c>
      <c r="J15554" s="6" t="n">
        <f aca="false">Sens!J15552-Sens!J15553</f>
        <v>114.545498649497</v>
      </c>
      <c r="K15554" s="6" t="n">
        <f aca="false">Sens!K15552-Sens!K15553</f>
        <v>121.418557250276</v>
      </c>
    </row>
    <row r="15555" customFormat="false" ht="17.15" hidden="false" customHeight="false" outlineLevel="0" collapsed="false">
      <c r="A15555" s="1" t="s">
        <v>1081</v>
      </c>
      <c r="B15555" s="1" t="s">
        <v>81</v>
      </c>
      <c r="D15555" s="15" t="n">
        <f aca="false">Q!L31</f>
        <v>7.465</v>
      </c>
      <c r="E15555" s="15" t="n">
        <f aca="false">Q!M31</f>
        <v>7.453</v>
      </c>
      <c r="F15555" s="15" t="n">
        <f aca="false">Sens!F15599</f>
        <v>7.4735</v>
      </c>
      <c r="G15555" s="15" t="n">
        <f aca="false">Sens!G15599</f>
        <v>7.5185</v>
      </c>
      <c r="H15555" s="15" t="n">
        <f aca="false">Sens!H15599</f>
        <v>7.5635</v>
      </c>
      <c r="I15555" s="15" t="n">
        <f aca="false">Sens!I15599</f>
        <v>7.5992865932255</v>
      </c>
      <c r="J15555" s="15" t="n">
        <f aca="false">Sens!J15599</f>
        <v>7.6202411725868</v>
      </c>
      <c r="K15555" s="15" t="n">
        <f aca="false">Sens!K15599</f>
        <v>7.63667581255205</v>
      </c>
    </row>
    <row r="15556" customFormat="false" ht="17.15" hidden="false" customHeight="false" outlineLevel="0" collapsed="false">
      <c r="A15556" s="0" t="s">
        <v>1082</v>
      </c>
      <c r="B15556" s="0" t="s">
        <v>75</v>
      </c>
      <c r="D15556" s="8" t="n">
        <f aca="false">Sens!D15554/Sens!D15555</f>
        <v>13.641259209645</v>
      </c>
      <c r="E15556" s="8" t="n">
        <f aca="false">Sens!E15554/Sens!E15555</f>
        <v>17.9456594659869</v>
      </c>
      <c r="F15556" s="8" t="n">
        <f aca="false">Sens!F15554/Sens!F15555</f>
        <v>17.0055920999577</v>
      </c>
      <c r="G15556" s="8" t="n">
        <f aca="false">Sens!G15554/Sens!G15555</f>
        <v>15.6468461758612</v>
      </c>
      <c r="H15556" s="8" t="n">
        <f aca="false">Sens!H15554/Sens!H15555</f>
        <v>14.8078956137335</v>
      </c>
      <c r="I15556" s="8" t="n">
        <f aca="false">Sens!I15554/Sens!I15555</f>
        <v>14.6361852949564</v>
      </c>
      <c r="J15556" s="8" t="n">
        <f aca="false">Sens!J15554/Sens!J15555</f>
        <v>15.0317419167211</v>
      </c>
      <c r="K15556" s="8" t="n">
        <f aca="false">Sens!K15554/Sens!K15555</f>
        <v>15.8993991928669</v>
      </c>
      <c r="L15556" s="1" t="s">
        <v>1083</v>
      </c>
    </row>
    <row r="15557" customFormat="false" ht="17.15" hidden="false" customHeight="false" outlineLevel="0" collapsed="false">
      <c r="A15557" s="1" t="s">
        <v>1084</v>
      </c>
      <c r="B15557" s="0" t="s">
        <v>98</v>
      </c>
      <c r="D15557" s="6" t="n">
        <f aca="false">Sens!D15554</f>
        <v>101.832</v>
      </c>
      <c r="E15557" s="6" t="n">
        <f aca="false">Sens!E15554</f>
        <v>133.749</v>
      </c>
      <c r="F15557" s="6" t="n">
        <f aca="false">Sens!F15554+Sens!F15547*(1-tax_f)</f>
        <v>135.568315597392</v>
      </c>
      <c r="G15557" s="6" t="n">
        <f aca="false">Sens!G15554+Sens!G15547*(1-tax_f)</f>
        <v>139.916530313158</v>
      </c>
      <c r="H15557" s="6" t="n">
        <f aca="false">Sens!H15554+Sens!H15547*(1-tax_f)</f>
        <v>149.252482875579</v>
      </c>
      <c r="I15557" s="6" t="n">
        <f aca="false">Sens!I15554+Sens!I15547*(1-tax_f)</f>
        <v>161.841988938042</v>
      </c>
      <c r="J15557" s="6" t="n">
        <f aca="false">Sens!J15554+Sens!J15547*(1-tax_f)</f>
        <v>174.470396480058</v>
      </c>
      <c r="K15557" s="6" t="n">
        <f aca="false">Sens!K15554+Sens!K15547*(1-tax_f)</f>
        <v>186.730192224695</v>
      </c>
    </row>
    <row r="15558" customFormat="false" ht="17.15" hidden="false" customHeight="false" outlineLevel="0" collapsed="false">
      <c r="A15558" s="0" t="s">
        <v>1085</v>
      </c>
      <c r="B15558" s="0" t="s">
        <v>75</v>
      </c>
      <c r="D15558" s="8" t="n">
        <f aca="false">Sens!D15557/Sens!D15555</f>
        <v>13.641259209645</v>
      </c>
      <c r="E15558" s="8" t="n">
        <f aca="false">Sens!E15557/Sens!E15555</f>
        <v>17.9456594659869</v>
      </c>
      <c r="F15558" s="8" t="n">
        <f aca="false">Sens!F15557/Sens!F15555</f>
        <v>18.1398696189726</v>
      </c>
      <c r="G15558" s="8" t="n">
        <f aca="false">Sens!G15557/Sens!G15555</f>
        <v>18.6096336121777</v>
      </c>
      <c r="H15558" s="8" t="n">
        <f aca="false">Sens!H15557/Sens!H15555</f>
        <v>19.733256148024</v>
      </c>
      <c r="I15558" s="8" t="n">
        <f aca="false">Sens!I15557/Sens!I15555</f>
        <v>21.2969976790082</v>
      </c>
      <c r="J15558" s="8" t="n">
        <f aca="false">Sens!J15557/Sens!J15555</f>
        <v>22.8956528446503</v>
      </c>
      <c r="K15558" s="8" t="n">
        <f aca="false">Sens!K15557/Sens!K15555</f>
        <v>24.4517636741598</v>
      </c>
      <c r="L15558" s="1" t="s">
        <v>1086</v>
      </c>
    </row>
    <row r="15559" customFormat="false" ht="17.15" hidden="false" customHeight="false" outlineLevel="0" collapsed="false">
      <c r="A15559" s="0" t="s">
        <v>1087</v>
      </c>
      <c r="B15559" s="0" t="s">
        <v>168</v>
      </c>
      <c r="E15559" s="7" t="n">
        <f aca="false">Sens!E15558/Sens!D15558-1</f>
        <v>0.315542736208578</v>
      </c>
      <c r="F15559" s="7" t="n">
        <f aca="false">Sens!F15558/Sens!E15558-1</f>
        <v>0.0108221240547783</v>
      </c>
      <c r="G15559" s="7" t="n">
        <f aca="false">Sens!G15558/Sens!F15558-1</f>
        <v>0.0258967678970437</v>
      </c>
      <c r="H15559" s="7" t="n">
        <f aca="false">Sens!H15558/Sens!G15558-1</f>
        <v>0.0603785415265212</v>
      </c>
      <c r="I15559" s="7" t="n">
        <f aca="false">Sens!I15558/Sens!H15558-1</f>
        <v>0.0792439686210045</v>
      </c>
      <c r="J15559" s="7" t="n">
        <f aca="false">Sens!J15558/Sens!I15558-1</f>
        <v>0.0750648138172914</v>
      </c>
      <c r="K15559" s="7" t="n">
        <f aca="false">Sens!K15558/Sens!J15558-1</f>
        <v>0.0679653399738349</v>
      </c>
    </row>
    <row r="15560" customFormat="false" ht="17.15" hidden="false" customHeight="false" outlineLevel="0" collapsed="false">
      <c r="A15560" s="0" t="s">
        <v>1007</v>
      </c>
      <c r="B15560" s="0" t="s">
        <v>98</v>
      </c>
      <c r="E15560" s="6" t="n">
        <f aca="false">Sens!E15501</f>
        <v>5.25</v>
      </c>
      <c r="F15560" s="6" t="n">
        <f aca="false">Sens!F15501</f>
        <v>10.5</v>
      </c>
      <c r="G15560" s="6" t="n">
        <f aca="false">Sens!G15501</f>
        <v>13.5</v>
      </c>
      <c r="H15560" s="6" t="n">
        <f aca="false">Sens!H15501</f>
        <v>16.5</v>
      </c>
      <c r="I15560" s="6" t="n">
        <f aca="false">Sens!I15501</f>
        <v>18.75</v>
      </c>
      <c r="J15560" s="6" t="n">
        <f aca="false">Sens!J15501</f>
        <v>20.25</v>
      </c>
      <c r="K15560" s="6" t="n">
        <f aca="false">Sens!K15501</f>
        <v>21.75</v>
      </c>
    </row>
    <row r="15561" customFormat="false" ht="17.15" hidden="false" customHeight="false" outlineLevel="0" collapsed="false">
      <c r="A15561" s="1" t="s">
        <v>1008</v>
      </c>
      <c r="B15561" s="0" t="s">
        <v>98</v>
      </c>
      <c r="F15561" s="6" t="n">
        <f aca="false">MAX(0,((Sens!E15461+Sens!F15461)/2-(shadow_base*(Sens!$D$15461+Sens!$E$15461)/2+(1-shadow_base)*Sens!$E$15461))*Sens!F15470/1000-(Sens!F15560-Sens!$E$15560)*Sens!F15540)</f>
        <v>10.5962787979473</v>
      </c>
      <c r="G15561" s="6" t="n">
        <f aca="false">MAX(0,((Sens!F15461+Sens!G15461)/2-(shadow_base*(Sens!$D$15461+Sens!$E$15461)/2+(1-shadow_base)*Sens!$E$15461))*Sens!G15470/1000-(Sens!G15560-Sens!$E$15560)*Sens!G15540)</f>
        <v>27.844646674932</v>
      </c>
      <c r="H15561" s="6" t="n">
        <f aca="false">MAX(0,((Sens!G15461+Sens!H15461)/2-(shadow_base*(Sens!$D$15461+Sens!$E$15461)/2+(1-shadow_base)*Sens!$E$15461))*Sens!H15470/1000-(Sens!H15560-Sens!$E$15560)*Sens!H15540)</f>
        <v>46.566205501382</v>
      </c>
      <c r="I15561" s="6" t="n">
        <f aca="false">MAX(0,((Sens!H15461+Sens!I15461)/2-(shadow_base*(Sens!$D$15461+Sens!$E$15461)/2+(1-shadow_base)*Sens!$E$15461))*Sens!I15470/1000-(Sens!I15560-Sens!$E$15560)*Sens!I15540)</f>
        <v>63.2717778126444</v>
      </c>
      <c r="J15561" s="6" t="n">
        <f aca="false">MAX(0,((Sens!I15461+Sens!J15461)/2-(shadow_base*(Sens!$D$15461+Sens!$E$15461)/2+(1-shadow_base)*Sens!$E$15461))*Sens!J15470/1000-(Sens!J15560-Sens!$E$15560)*Sens!J15540)</f>
        <v>74.9061222882009</v>
      </c>
      <c r="K15561" s="6" t="n">
        <f aca="false">MAX(0,((Sens!J15461+Sens!K15461)/2-(shadow_base*(Sens!$D$15461+Sens!$E$15461)/2+(1-shadow_base)*Sens!$E$15461))*Sens!K15470/1000-(Sens!K15560-Sens!$E$15560)*Sens!K15540)</f>
        <v>81.6395437180232</v>
      </c>
      <c r="L15561" s="1" t="s">
        <v>1009</v>
      </c>
    </row>
    <row r="15562" customFormat="false" ht="17.15" hidden="false" customHeight="false" outlineLevel="0" collapsed="false">
      <c r="A15562" s="1" t="s">
        <v>1010</v>
      </c>
      <c r="B15562" s="0" t="s">
        <v>98</v>
      </c>
      <c r="F15562" s="6" t="n">
        <f aca="false">IF(internal_ai_reading=2,1,0)*Sens!F15561</f>
        <v>10.5962787979473</v>
      </c>
      <c r="G15562" s="6" t="n">
        <f aca="false">IF(internal_ai_reading=2,1,0)*Sens!G15561</f>
        <v>27.844646674932</v>
      </c>
      <c r="H15562" s="6" t="n">
        <f aca="false">IF(internal_ai_reading=2,1,0)*Sens!H15561</f>
        <v>46.566205501382</v>
      </c>
      <c r="I15562" s="6" t="n">
        <f aca="false">IF(internal_ai_reading=2,1,0)*Sens!I15561</f>
        <v>63.2717778126444</v>
      </c>
      <c r="J15562" s="6" t="n">
        <f aca="false">IF(internal_ai_reading=2,1,0)*Sens!J15561</f>
        <v>74.9061222882009</v>
      </c>
      <c r="K15562" s="6" t="n">
        <f aca="false">IF(internal_ai_reading=2,1,0)*Sens!K15561</f>
        <v>81.6395437180232</v>
      </c>
    </row>
    <row r="15563" customFormat="false" ht="17.15" hidden="false" customHeight="false" outlineLevel="0" collapsed="false">
      <c r="A15563" s="0" t="s">
        <v>1011</v>
      </c>
      <c r="B15563" s="0" t="s">
        <v>98</v>
      </c>
      <c r="F15563" s="6" t="n">
        <f aca="false">Sens!F15480+Sens!F15560*Sens!F15540+Sens!F15562-Sens!F15481-Sens!F15492</f>
        <v>-13.7186747391814</v>
      </c>
      <c r="G15563" s="6" t="n">
        <f aca="false">Sens!G15480+Sens!G15560*Sens!G15540+Sens!G15562-Sens!G15481-Sens!G15492</f>
        <v>-19.8207648223543</v>
      </c>
      <c r="H15563" s="6" t="n">
        <f aca="false">Sens!H15480+Sens!H15560*Sens!H15540+Sens!H15562-Sens!H15481-Sens!H15492</f>
        <v>-28.9383413865912</v>
      </c>
      <c r="I15563" s="6" t="n">
        <f aca="false">Sens!I15480+Sens!I15560*Sens!I15540+Sens!I15562-Sens!I15481-Sens!I15492</f>
        <v>-33.5911917832083</v>
      </c>
      <c r="J15563" s="6" t="n">
        <f aca="false">Sens!J15480+Sens!J15560*Sens!J15540+Sens!J15562-Sens!J15481-Sens!J15492</f>
        <v>-36.981841304047</v>
      </c>
      <c r="K15563" s="6" t="n">
        <f aca="false">Sens!K15480+Sens!K15560*Sens!K15540+Sens!K15562-Sens!K15481-Sens!K15492</f>
        <v>-38.7799573523454</v>
      </c>
    </row>
    <row r="15564" customFormat="false" ht="17.15" hidden="false" customHeight="false" outlineLevel="0" collapsed="false">
      <c r="A15564" s="0" t="s">
        <v>1012</v>
      </c>
      <c r="B15564" s="0" t="s">
        <v>98</v>
      </c>
      <c r="E15564" s="6" t="n">
        <f aca="false">Sens!E15460*(cxit_open+self_build*tk_cxfac)/1000*ai_net_open</f>
        <v>126.6980382</v>
      </c>
      <c r="F15564" s="6" t="n">
        <f aca="false">Sens!E15564+Sens!F15489-Sens!F15492</f>
        <v>260.572627763768</v>
      </c>
      <c r="G15564" s="6" t="n">
        <f aca="false">Sens!F15564+Sens!G15489-Sens!G15492</f>
        <v>391.782612760517</v>
      </c>
      <c r="H15564" s="6" t="n">
        <f aca="false">Sens!G15564+Sens!H15489-Sens!H15492</f>
        <v>499.488526163584</v>
      </c>
      <c r="I15564" s="6" t="n">
        <f aca="false">Sens!H15564+Sens!I15489-Sens!I15492</f>
        <v>553.872350090646</v>
      </c>
      <c r="J15564" s="6" t="n">
        <f aca="false">Sens!I15564+Sens!J15489-Sens!J15492</f>
        <v>550.78660823699</v>
      </c>
      <c r="K15564" s="6" t="n">
        <f aca="false">Sens!J15564+Sens!K15489-Sens!K15492</f>
        <v>526.736791750789</v>
      </c>
      <c r="L15564" s="1" t="s">
        <v>1013</v>
      </c>
    </row>
    <row r="15565" customFormat="false" ht="17.15" hidden="false" customHeight="false" outlineLevel="0" collapsed="false">
      <c r="A15565" s="0" t="s">
        <v>1014</v>
      </c>
      <c r="B15565" s="0" t="s">
        <v>168</v>
      </c>
      <c r="F15565" s="7" t="n">
        <f aca="false">Sens!F15563*(1-tax_f)/((Sens!E15564+Sens!F15564)/2)</f>
        <v>-0.0566783944972064</v>
      </c>
      <c r="G15565" s="7" t="n">
        <f aca="false">Sens!G15563*(1-tax_f)/((Sens!F15564+Sens!G15564)/2)</f>
        <v>-0.0486134267738535</v>
      </c>
      <c r="H15565" s="7" t="n">
        <f aca="false">Sens!H15563*(1-tax_f)/((Sens!G15564+Sens!H15564)/2)</f>
        <v>-0.0519497874400361</v>
      </c>
      <c r="I15565" s="7" t="n">
        <f aca="false">Sens!I15563*(1-tax_f)/((Sens!H15564+Sens!I15564)/2)</f>
        <v>-0.0510232609400254</v>
      </c>
      <c r="J15565" s="7" t="n">
        <f aca="false">Sens!J15563*(1-tax_f)/((Sens!I15564+Sens!J15564)/2)</f>
        <v>-0.0535648995017025</v>
      </c>
      <c r="K15565" s="7" t="n">
        <f aca="false">Sens!K15563*(1-tax_f)/((Sens!J15564+Sens!K15564)/2)</f>
        <v>-0.0575838369398348</v>
      </c>
    </row>
    <row r="15566" customFormat="false" ht="17.15" hidden="false" customHeight="false" outlineLevel="0" collapsed="false">
      <c r="A15566" s="1" t="s">
        <v>1015</v>
      </c>
      <c r="B15566" s="0" t="s">
        <v>168</v>
      </c>
      <c r="F15566" s="7" t="n">
        <f aca="false">(Sens!F15563-Sens!F15562)*(1-tax_f)/((Sens!E15564+Sens!F15564)/2)</f>
        <v>-0.100456680762508</v>
      </c>
      <c r="G15566" s="7" t="n">
        <f aca="false">(Sens!G15563-Sens!G15562)*(1-tax_f)/((Sens!F15564+Sens!G15564)/2)</f>
        <v>-0.116906638681044</v>
      </c>
      <c r="H15566" s="7" t="n">
        <f aca="false">(Sens!H15563-Sens!H15562)*(1-tax_f)/((Sens!G15564+Sens!H15564)/2)</f>
        <v>-0.135544919772214</v>
      </c>
      <c r="I15566" s="7" t="n">
        <f aca="false">(Sens!I15563-Sens!I15562)*(1-tax_f)/((Sens!H15564+Sens!I15564)/2)</f>
        <v>-0.147129777502729</v>
      </c>
      <c r="J15566" s="7" t="n">
        <f aca="false">(Sens!J15563-Sens!J15562)*(1-tax_f)/((Sens!I15564+Sens!J15564)/2)</f>
        <v>-0.162059738345507</v>
      </c>
      <c r="K15566" s="7" t="n">
        <f aca="false">(Sens!K15563-Sens!K15562)*(1-tax_f)/((Sens!J15564+Sens!K15564)/2)</f>
        <v>-0.178809297055428</v>
      </c>
    </row>
    <row r="15567" customFormat="false" ht="17.15" hidden="false" customHeight="false" outlineLevel="0" collapsed="false">
      <c r="A15567" s="1" t="s">
        <v>1016</v>
      </c>
      <c r="B15567" s="0" t="s">
        <v>168</v>
      </c>
      <c r="F15567" s="7" t="n">
        <f aca="false">(Sens!F15563-Sens!F15562+Sens!F15561)*(1-tax_f)/((Sens!E15564+Sens!F15564)/2)</f>
        <v>-0.0566783944972064</v>
      </c>
      <c r="G15567" s="7" t="n">
        <f aca="false">(Sens!G15563-Sens!G15562+Sens!G15561)*(1-tax_f)/((Sens!F15564+Sens!G15564)/2)</f>
        <v>-0.0486134267738535</v>
      </c>
      <c r="H15567" s="7" t="n">
        <f aca="false">(Sens!H15563-Sens!H15562+Sens!H15561)*(1-tax_f)/((Sens!G15564+Sens!H15564)/2)</f>
        <v>-0.0519497874400361</v>
      </c>
      <c r="I15567" s="7" t="n">
        <f aca="false">(Sens!I15563-Sens!I15562+Sens!I15561)*(1-tax_f)/((Sens!H15564+Sens!I15564)/2)</f>
        <v>-0.0510232609400254</v>
      </c>
      <c r="J15567" s="7" t="n">
        <f aca="false">(Sens!J15563-Sens!J15562+Sens!J15561)*(1-tax_f)/((Sens!I15564+Sens!J15564)/2)</f>
        <v>-0.0535648995017025</v>
      </c>
      <c r="K15567" s="7" t="n">
        <f aca="false">(Sens!K15563-Sens!K15562+Sens!K15561)*(1-tax_f)/((Sens!J15564+Sens!K15564)/2)</f>
        <v>-0.0575838369398348</v>
      </c>
    </row>
    <row r="15568" customFormat="false" ht="17.15" hidden="false" customHeight="false" outlineLevel="0" collapsed="false">
      <c r="A15568" s="1" t="s">
        <v>1017</v>
      </c>
      <c r="B15568" s="0" t="s">
        <v>168</v>
      </c>
      <c r="F15568" s="7" t="n">
        <f aca="false">Sens!F15493*(1-tax_f)/(Sens!F15479*(Sens!E15564+Sens!F15564)/2)</f>
        <v>-0.0671841698742599</v>
      </c>
      <c r="G15568" s="7" t="n">
        <f aca="false">Sens!G15493*(1-tax_f)/(Sens!G15479*(Sens!F15564+Sens!G15564)/2)</f>
        <v>-0.0806897723892312</v>
      </c>
      <c r="H15568" s="7" t="n">
        <f aca="false">Sens!H15493*(1-tax_f)/(Sens!H15479*(Sens!G15564+Sens!H15564)/2)</f>
        <v>-0.0990143279268292</v>
      </c>
      <c r="I15568" s="7" t="n">
        <f aca="false">Sens!I15493*(1-tax_f)/(Sens!I15479*(Sens!H15564+Sens!I15564)/2)</f>
        <v>-0.105020642762668</v>
      </c>
      <c r="J15568" s="7" t="n">
        <f aca="false">Sens!J15493*(1-tax_f)/(Sens!J15479*(Sens!I15564+Sens!J15564)/2)</f>
        <v>-0.114408003422725</v>
      </c>
      <c r="K15568" s="7" t="n">
        <f aca="false">Sens!K15493*(1-tax_f)/(Sens!K15479*(Sens!J15564+Sens!K15564)/2)</f>
        <v>-0.125620598800212</v>
      </c>
    </row>
    <row r="15569" customFormat="false" ht="17.15" hidden="false" customHeight="false" outlineLevel="0" collapsed="false">
      <c r="A15569" s="0" t="s">
        <v>1018</v>
      </c>
      <c r="B15569" s="0" t="s">
        <v>253</v>
      </c>
      <c r="F15569" s="7" t="n">
        <f aca="false">Sens!F15565-wacc</f>
        <v>-0.159614985442804</v>
      </c>
      <c r="G15569" s="7" t="n">
        <f aca="false">Sens!G15565-wacc</f>
        <v>-0.151550017719451</v>
      </c>
      <c r="H15569" s="7" t="n">
        <f aca="false">Sens!H15565-wacc</f>
        <v>-0.154886378385633</v>
      </c>
      <c r="I15569" s="7" t="n">
        <f aca="false">Sens!I15565-wacc</f>
        <v>-0.153959851885623</v>
      </c>
      <c r="J15569" s="7" t="n">
        <f aca="false">Sens!J15565-wacc</f>
        <v>-0.1565014904473</v>
      </c>
      <c r="K15569" s="7" t="n">
        <f aca="false">Sens!K15565-wacc</f>
        <v>-0.160520427885432</v>
      </c>
    </row>
    <row r="15570" customFormat="false" ht="17.15" hidden="false" customHeight="false" outlineLevel="0" collapsed="false">
      <c r="A15570" s="0" t="s">
        <v>1019</v>
      </c>
      <c r="B15570" s="0" t="s">
        <v>98</v>
      </c>
      <c r="F15570" s="6" t="n">
        <f aca="false">Sens!F15563*(1-tax_f)-wacc*(Sens!E15564+Sens!F15564)/2</f>
        <v>-30.9071008551159</v>
      </c>
      <c r="G15570" s="6" t="n">
        <f aca="false">Sens!G15563*(1-tax_f)-wacc*(Sens!F15564+Sens!G15564)/2</f>
        <v>-49.432224130416</v>
      </c>
      <c r="H15570" s="6" t="n">
        <f aca="false">Sens!H15563*(1-tax_f)-wacc*(Sens!G15564+Sens!H15564)/2</f>
        <v>-69.0228794337963</v>
      </c>
      <c r="I15570" s="6" t="n">
        <f aca="false">Sens!I15563*(1-tax_f)-wacc*(Sens!H15564+Sens!I15564)/2</f>
        <v>-81.0876422451054</v>
      </c>
      <c r="J15570" s="6" t="n">
        <f aca="false">Sens!J15563*(1-tax_f)-wacc*(Sens!I15564+Sens!J15564)/2</f>
        <v>-86.4403867071183</v>
      </c>
      <c r="K15570" s="6" t="n">
        <f aca="false">Sens!K15563*(1-tax_f)-wacc*(Sens!J15564+Sens!K15564)/2</f>
        <v>-86.4822586113019</v>
      </c>
    </row>
    <row r="15571" customFormat="false" ht="17.15" hidden="false" customHeight="false" outlineLevel="0" collapsed="false">
      <c r="A15571" s="3" t="s">
        <v>1995</v>
      </c>
    </row>
    <row r="15572" customFormat="false" ht="15" hidden="false" customHeight="false" outlineLevel="0" collapsed="false">
      <c r="A15572" s="4" t="s">
        <v>43</v>
      </c>
      <c r="B15572" s="4" t="s">
        <v>65</v>
      </c>
      <c r="C15572" s="23" t="s">
        <v>942</v>
      </c>
      <c r="D15572" s="23" t="s">
        <v>943</v>
      </c>
      <c r="E15572" s="23" t="s">
        <v>944</v>
      </c>
      <c r="F15572" s="23" t="s">
        <v>945</v>
      </c>
      <c r="G15572" s="23" t="s">
        <v>946</v>
      </c>
      <c r="H15572" s="23" t="s">
        <v>947</v>
      </c>
      <c r="I15572" s="23" t="s">
        <v>948</v>
      </c>
      <c r="J15572" s="23" t="s">
        <v>949</v>
      </c>
      <c r="K15572" s="23" t="s">
        <v>950</v>
      </c>
      <c r="L15572" s="4" t="s">
        <v>47</v>
      </c>
    </row>
    <row r="15573" customFormat="false" ht="15" hidden="false" customHeight="false" outlineLevel="0" collapsed="false">
      <c r="A15573" s="1" t="s">
        <v>1080</v>
      </c>
      <c r="B15573" s="0" t="s">
        <v>98</v>
      </c>
      <c r="F15573" s="6" t="n">
        <f aca="false">Sens!F15554</f>
        <v>127.091292559034</v>
      </c>
      <c r="G15573" s="6" t="n">
        <f aca="false">Sens!G15554</f>
        <v>117.640812973213</v>
      </c>
      <c r="H15573" s="6" t="n">
        <f aca="false">Sens!H15554</f>
        <v>111.999518474474</v>
      </c>
      <c r="I15573" s="6" t="n">
        <f aca="false">Sens!I15554</f>
        <v>111.224566687926</v>
      </c>
      <c r="J15573" s="6" t="n">
        <f aca="false">Sens!J15554</f>
        <v>114.545498649497</v>
      </c>
      <c r="K15573" s="6" t="n">
        <f aca="false">Sens!K15554</f>
        <v>121.418557250276</v>
      </c>
    </row>
    <row r="15574" customFormat="false" ht="17.15" hidden="false" customHeight="false" outlineLevel="0" collapsed="false">
      <c r="A15574" s="1" t="s">
        <v>1102</v>
      </c>
      <c r="B15574" s="0" t="s">
        <v>98</v>
      </c>
      <c r="E15574" s="6" t="n">
        <f aca="false">Q!M38-Sens!E15492</f>
        <v>22.2285940229167</v>
      </c>
      <c r="F15574" s="6" t="n">
        <f aca="false">Sens!E15574*(1-1/life_nonai)+(Sens!F15582+Sens!F15583)/life_nonai</f>
        <v>23.6941980446071</v>
      </c>
      <c r="G15574" s="6" t="n">
        <f aca="false">Sens!F15574*(1-1/life_nonai)+(Sens!G15582)/life_nonai</f>
        <v>25.5686550038179</v>
      </c>
      <c r="H15574" s="6" t="n">
        <f aca="false">Sens!G15574*(1-1/life_nonai)+(Sens!H15582)/life_nonai</f>
        <v>27.8200734566656</v>
      </c>
      <c r="I15574" s="6" t="n">
        <f aca="false">Sens!H15574*(1-1/life_nonai)+(Sens!I15582)/life_nonai</f>
        <v>30.390113114321</v>
      </c>
      <c r="J15574" s="6" t="n">
        <f aca="false">Sens!I15574*(1-1/life_nonai)+(Sens!J15582)/life_nonai</f>
        <v>33.2013507321954</v>
      </c>
      <c r="K15574" s="6" t="n">
        <f aca="false">Sens!J15574*(1-1/life_nonai)+(Sens!K15582)/life_nonai</f>
        <v>36.1658636506806</v>
      </c>
      <c r="L15574" s="12" t="s">
        <v>1103</v>
      </c>
    </row>
    <row r="15575" customFormat="false" ht="17.15" hidden="false" customHeight="false" outlineLevel="0" collapsed="false">
      <c r="A15575" s="1" t="s">
        <v>1104</v>
      </c>
      <c r="B15575" s="0" t="s">
        <v>98</v>
      </c>
      <c r="F15575" s="6" t="n">
        <f aca="false">Sens!$F$15583/life_nonai*(1-1/life_nonai)^(Sens!F15455-2027)</f>
        <v>0</v>
      </c>
      <c r="G15575" s="6" t="n">
        <f aca="false">Sens!$F$15583/life_nonai*(1-1/life_nonai)^(Sens!G15455-2027)</f>
        <v>0</v>
      </c>
      <c r="H15575" s="6" t="n">
        <f aca="false">Sens!$F$15583/life_nonai*(1-1/life_nonai)^(Sens!H15455-2027)</f>
        <v>0</v>
      </c>
      <c r="I15575" s="6" t="n">
        <f aca="false">Sens!$F$15583/life_nonai*(1-1/life_nonai)^(Sens!I15455-2027)</f>
        <v>0</v>
      </c>
      <c r="J15575" s="6" t="n">
        <f aca="false">Sens!$F$15583/life_nonai*(1-1/life_nonai)^(Sens!J15455-2027)</f>
        <v>0</v>
      </c>
      <c r="K15575" s="6" t="n">
        <f aca="false">Sens!$F$15583/life_nonai*(1-1/life_nonai)^(Sens!K15455-2027)</f>
        <v>0</v>
      </c>
      <c r="L15575" s="1" t="s">
        <v>1105</v>
      </c>
    </row>
    <row r="15576" customFormat="false" ht="17.15" hidden="false" customHeight="false" outlineLevel="0" collapsed="false">
      <c r="A15576" s="1" t="s">
        <v>1106</v>
      </c>
      <c r="B15576" s="0" t="s">
        <v>98</v>
      </c>
      <c r="E15576" s="6" t="n">
        <f aca="false">Sens!E15492+Sens!E15574</f>
        <v>38.534</v>
      </c>
      <c r="F15576" s="6" t="n">
        <f aca="false">Sens!F15492+Sens!F15574</f>
        <v>58.2735125229587</v>
      </c>
      <c r="G15576" s="6" t="n">
        <f aca="false">Sens!G15492+Sens!G15574</f>
        <v>86.3031456561168</v>
      </c>
      <c r="H15576" s="6" t="n">
        <f aca="false">Sens!H15492+Sens!H15574</f>
        <v>116.920164118111</v>
      </c>
      <c r="I15576" s="6" t="n">
        <f aca="false">Sens!I15492+Sens!I15574</f>
        <v>144.621122808869</v>
      </c>
      <c r="J15576" s="6" t="n">
        <f aca="false">Sens!J15492+Sens!J15574</f>
        <v>165.217023781792</v>
      </c>
      <c r="K15576" s="6" t="n">
        <f aca="false">Sens!K15492+Sens!K15574</f>
        <v>179.178533201615</v>
      </c>
    </row>
    <row r="15577" customFormat="false" ht="17.15" hidden="false" customHeight="false" outlineLevel="0" collapsed="false">
      <c r="A15577" s="1" t="s">
        <v>1107</v>
      </c>
      <c r="B15577" s="0" t="s">
        <v>98</v>
      </c>
      <c r="F15577" s="6" t="n">
        <f aca="false">Sens!F15519*sbc_r</f>
        <v>14.0422682072656</v>
      </c>
      <c r="G15577" s="6" t="n">
        <f aca="false">Sens!G15519*sbc_r</f>
        <v>16.0356888065589</v>
      </c>
      <c r="H15577" s="6" t="n">
        <f aca="false">Sens!H15519*sbc_r</f>
        <v>17.9618244075585</v>
      </c>
      <c r="I15577" s="6" t="n">
        <f aca="false">Sens!I15519*sbc_r</f>
        <v>19.9173342026199</v>
      </c>
      <c r="J15577" s="6" t="n">
        <f aca="false">Sens!J15519*sbc_r</f>
        <v>21.6241305706902</v>
      </c>
      <c r="K15577" s="6" t="n">
        <f aca="false">Sens!K15519*sbc_r</f>
        <v>23.0750764130549</v>
      </c>
    </row>
    <row r="15578" customFormat="false" ht="17.15" hidden="false" customHeight="false" outlineLevel="0" collapsed="false">
      <c r="A15578" s="1" t="s">
        <v>1108</v>
      </c>
      <c r="B15578" s="0" t="s">
        <v>98</v>
      </c>
      <c r="F15578" s="6" t="n">
        <f aca="false">wc27-wc26q1</f>
        <v>-4.677</v>
      </c>
      <c r="G15578" s="6" t="n">
        <f aca="false">wc_f</f>
        <v>0</v>
      </c>
      <c r="H15578" s="6" t="n">
        <f aca="false">wc_f</f>
        <v>0</v>
      </c>
      <c r="I15578" s="6" t="n">
        <f aca="false">wc_f</f>
        <v>0</v>
      </c>
      <c r="J15578" s="6" t="n">
        <f aca="false">wc_f</f>
        <v>0</v>
      </c>
      <c r="K15578" s="6" t="n">
        <f aca="false">wc_f</f>
        <v>0</v>
      </c>
      <c r="L15578" s="12" t="s">
        <v>1109</v>
      </c>
    </row>
    <row r="15579" customFormat="false" ht="17.15" hidden="false" customHeight="false" outlineLevel="0" collapsed="false">
      <c r="A15579" s="0" t="s">
        <v>1110</v>
      </c>
      <c r="B15579" s="0" t="s">
        <v>98</v>
      </c>
      <c r="F15579" s="6" t="n">
        <f aca="false">Q!$I$35-Q!$I$26-Q!$I$38-Q!$I$39</f>
        <v>6.493</v>
      </c>
      <c r="L15579" s="1" t="s">
        <v>1111</v>
      </c>
    </row>
    <row r="15580" customFormat="false" ht="15" hidden="false" customHeight="false" outlineLevel="0" collapsed="false">
      <c r="A15580" s="1" t="s">
        <v>908</v>
      </c>
      <c r="B15580" s="0" t="s">
        <v>98</v>
      </c>
      <c r="E15580" s="6" t="n">
        <f aca="false">Q!M35</f>
        <v>182.935</v>
      </c>
      <c r="F15580" s="6" t="n">
        <f aca="false">Sens!F15573+Sens!F15576+Sens!F15577+Sens!F15578+Sens!F15579</f>
        <v>201.223073289258</v>
      </c>
      <c r="G15580" s="6" t="n">
        <f aca="false">Sens!G15573+Sens!G15576+Sens!G15577+Sens!G15578</f>
        <v>219.979647435888</v>
      </c>
      <c r="H15580" s="6" t="n">
        <f aca="false">Sens!H15573+Sens!H15576+Sens!H15577+Sens!H15578</f>
        <v>246.881507000143</v>
      </c>
      <c r="I15580" s="6" t="n">
        <f aca="false">Sens!I15573+Sens!I15576+Sens!I15577+Sens!I15578</f>
        <v>275.763023699415</v>
      </c>
      <c r="J15580" s="6" t="n">
        <f aca="false">Sens!J15573+Sens!J15576+Sens!J15577+Sens!J15578</f>
        <v>301.386653001979</v>
      </c>
      <c r="K15580" s="6" t="n">
        <f aca="false">Sens!K15573+Sens!K15576+Sens!K15577+Sens!K15578</f>
        <v>323.672166864946</v>
      </c>
    </row>
    <row r="15581" customFormat="false" ht="17.15" hidden="false" customHeight="false" outlineLevel="0" collapsed="false">
      <c r="A15581" s="0" t="s">
        <v>1112</v>
      </c>
      <c r="B15581" s="0" t="s">
        <v>98</v>
      </c>
      <c r="F15581" s="6" t="n">
        <f aca="false">Sens!F15489</f>
        <v>168.45390404212</v>
      </c>
      <c r="G15581" s="6" t="n">
        <f aca="false">Sens!G15489</f>
        <v>191.944475649048</v>
      </c>
      <c r="H15581" s="6" t="n">
        <f aca="false">Sens!H15489</f>
        <v>196.806004064512</v>
      </c>
      <c r="I15581" s="6" t="n">
        <f aca="false">Sens!I15489</f>
        <v>168.61483362161</v>
      </c>
      <c r="J15581" s="6" t="n">
        <f aca="false">Sens!J15489</f>
        <v>128.92993119594</v>
      </c>
      <c r="K15581" s="6" t="n">
        <f aca="false">Sens!K15489</f>
        <v>118.962853064733</v>
      </c>
    </row>
    <row r="15582" customFormat="false" ht="17.15" hidden="false" customHeight="false" outlineLevel="0" collapsed="false">
      <c r="A15582" s="1" t="s">
        <v>1113</v>
      </c>
      <c r="B15582" s="0" t="s">
        <v>98</v>
      </c>
      <c r="E15582" s="6" t="n">
        <f aca="false">Sens!E15497*cx_azo+Sens!E15504*cx_m365+Sens!E15505*cx_lic+(Sens!E15507+Sens!E15509)*cx_ind+Sens!E15512*cx_srch+(Sens!E15514+Sens!E15516)*cx_dev</f>
        <v>30.1846587067718</v>
      </c>
      <c r="F15582" s="6" t="n">
        <f aca="false">Sens!F15497*cx_azo+Sens!F15504*cx_m365+Sens!F15505*cx_lic+(Sens!F15507+Sens!F15509)*cx_ind+Sens!F15512*cx_srch+(Sens!F15514+Sens!F15516)*cx_dev</f>
        <v>36.8846342398208</v>
      </c>
      <c r="G15582" s="6" t="n">
        <f aca="false">Sens!G15497*cx_azo+Sens!G15504*cx_m365+Sens!G15505*cx_lic+(Sens!G15507+Sens!G15509)*cx_ind+Sens!G15512*cx_srch+(Sens!G15514+Sens!G15516)*cx_dev</f>
        <v>42.438767636715</v>
      </c>
      <c r="H15582" s="6" t="n">
        <f aca="false">Sens!H15497*cx_azo+Sens!H15504*cx_m365+Sens!H15505*cx_lic+(Sens!H15507+Sens!H15509)*cx_ind+Sens!H15512*cx_srch+(Sens!H15514+Sens!H15516)*cx_dev</f>
        <v>48.0828395322947</v>
      </c>
      <c r="I15582" s="6" t="n">
        <f aca="false">Sens!I15497*cx_azo+Sens!I15504*cx_m365+Sens!I15505*cx_lic+(Sens!I15507+Sens!I15509)*cx_ind+Sens!I15512*cx_srch+(Sens!I15514+Sens!I15516)*cx_dev</f>
        <v>53.5204700332197</v>
      </c>
      <c r="J15582" s="6" t="n">
        <f aca="false">Sens!J15497*cx_azo+Sens!J15504*cx_m365+Sens!J15505*cx_lic+(Sens!J15507+Sens!J15509)*cx_ind+Sens!J15512*cx_srch+(Sens!J15514+Sens!J15516)*cx_dev</f>
        <v>58.5024892930657</v>
      </c>
      <c r="K15582" s="6" t="n">
        <f aca="false">Sens!K15497*cx_azo+Sens!K15504*cx_m365+Sens!K15505*cx_lic+(Sens!K15507+Sens!K15509)*cx_ind+Sens!K15512*cx_srch+(Sens!K15514+Sens!K15516)*cx_dev</f>
        <v>62.8464799170466</v>
      </c>
    </row>
    <row r="15583" customFormat="false" ht="17.15" hidden="false" customHeight="false" outlineLevel="0" collapsed="false">
      <c r="A15583" s="0" t="s">
        <v>1114</v>
      </c>
      <c r="B15583" s="0" t="s">
        <v>98</v>
      </c>
      <c r="F15583" s="6" t="n">
        <f aca="false">Sens!F15487</f>
        <v>0</v>
      </c>
      <c r="L15583" s="1" t="s">
        <v>1115</v>
      </c>
    </row>
    <row r="15584" customFormat="false" ht="17.15" hidden="false" customHeight="false" outlineLevel="0" collapsed="false">
      <c r="A15584" s="1" t="s">
        <v>1116</v>
      </c>
      <c r="B15584" s="0" t="s">
        <v>98</v>
      </c>
      <c r="E15584" s="6" t="n">
        <f aca="false">Q!M43</f>
        <v>145.3</v>
      </c>
      <c r="F15584" s="6" t="n">
        <f aca="false">Sens!F15581+Sens!F15582+Sens!F15583</f>
        <v>205.33853828194</v>
      </c>
      <c r="G15584" s="6" t="n">
        <f aca="false">Sens!G15581+Sens!G15582</f>
        <v>234.383243285763</v>
      </c>
      <c r="H15584" s="6" t="n">
        <f aca="false">Sens!H15581+Sens!H15582</f>
        <v>244.888843596807</v>
      </c>
      <c r="I15584" s="6" t="n">
        <f aca="false">Sens!I15581+Sens!I15582</f>
        <v>222.13530365483</v>
      </c>
      <c r="J15584" s="6" t="n">
        <f aca="false">Sens!J15581+Sens!J15582</f>
        <v>187.432420489006</v>
      </c>
      <c r="K15584" s="6" t="n">
        <f aca="false">Sens!K15581+Sens!K15582</f>
        <v>181.809332981779</v>
      </c>
      <c r="L15584" s="1" t="s">
        <v>1117</v>
      </c>
    </row>
    <row r="15585" customFormat="false" ht="15" hidden="false" customHeight="false" outlineLevel="0" collapsed="false">
      <c r="A15585" s="1" t="s">
        <v>1118</v>
      </c>
      <c r="B15585" s="0" t="s">
        <v>98</v>
      </c>
      <c r="E15585" s="6" t="n">
        <f aca="false">fl_liab</f>
        <v>66.594</v>
      </c>
      <c r="F15585" s="6" t="n">
        <f aca="false">Sens!E15585-Sens!F15586</f>
        <v>62.46973</v>
      </c>
      <c r="G15585" s="6" t="n">
        <f aca="false">Sens!F15585-Sens!G15586</f>
        <v>57.98686785</v>
      </c>
      <c r="H15585" s="6" t="n">
        <f aca="false">Sens!G15585-Sens!H15586</f>
        <v>53.92827690325</v>
      </c>
      <c r="I15585" s="6" t="n">
        <f aca="false">Sens!H15585-Sens!I15586</f>
        <v>49.7850493638962</v>
      </c>
      <c r="J15585" s="6" t="n">
        <f aca="false">Sens!I15585-Sens!J15586</f>
        <v>45.4823765852716</v>
      </c>
      <c r="K15585" s="6" t="n">
        <f aca="false">Sens!J15585-Sens!K15586</f>
        <v>40.9860835316088</v>
      </c>
    </row>
    <row r="15586" customFormat="false" ht="15" hidden="false" customHeight="false" outlineLevel="0" collapsed="false">
      <c r="A15586" s="1" t="s">
        <v>1119</v>
      </c>
      <c r="B15586" s="0" t="s">
        <v>98</v>
      </c>
      <c r="F15586" s="6" t="n">
        <f aca="false">fl_pay_27-Sens!E15585*fl_rate</f>
        <v>4.12427</v>
      </c>
      <c r="G15586" s="6" t="n">
        <f aca="false">fl_pay_28-Sens!F15585*fl_rate</f>
        <v>4.48286215</v>
      </c>
      <c r="H15586" s="6" t="n">
        <f aca="false">fl_pay_29-Sens!G15585*fl_rate</f>
        <v>4.05859094675</v>
      </c>
      <c r="I15586" s="6" t="n">
        <f aca="false">fl_pay_30-Sens!H15585*fl_rate</f>
        <v>4.14322753935375</v>
      </c>
      <c r="J15586" s="6" t="n">
        <f aca="false">fl_pay_31-Sens!I15585*fl_rate</f>
        <v>4.30267277862467</v>
      </c>
      <c r="K15586" s="6" t="n">
        <f aca="false">fl_pay_32-Sens!J15585*fl_rate</f>
        <v>4.49629305366278</v>
      </c>
    </row>
    <row r="15587" customFormat="false" ht="17.15" hidden="false" customHeight="false" outlineLevel="0" collapsed="false">
      <c r="A15587" s="1" t="s">
        <v>1120</v>
      </c>
      <c r="B15587" s="0" t="s">
        <v>98</v>
      </c>
      <c r="E15587" s="6" t="n">
        <f aca="false">Q!M35-Q!M36-Q!M44</f>
        <v>63.886</v>
      </c>
      <c r="F15587" s="6" t="n">
        <f aca="false">Sens!F15580-Sens!F15584-Sens!F15586</f>
        <v>-8.23973499268249</v>
      </c>
      <c r="G15587" s="6" t="n">
        <f aca="false">Sens!G15580-Sens!G15584-Sens!G15586</f>
        <v>-18.8864579998747</v>
      </c>
      <c r="H15587" s="6" t="n">
        <f aca="false">Sens!H15580-Sens!H15584-Sens!H15586</f>
        <v>-2.06592754341366</v>
      </c>
      <c r="I15587" s="6" t="n">
        <f aca="false">Sens!I15580-Sens!I15584-Sens!I15586</f>
        <v>49.4844925052315</v>
      </c>
      <c r="J15587" s="6" t="n">
        <f aca="false">Sens!J15580-Sens!J15584-Sens!J15586</f>
        <v>109.651559734348</v>
      </c>
      <c r="K15587" s="6" t="n">
        <f aca="false">Sens!K15580-Sens!K15584-Sens!K15586</f>
        <v>137.366540829504</v>
      </c>
      <c r="L15587" s="12" t="s">
        <v>1121</v>
      </c>
    </row>
    <row r="15588" customFormat="false" ht="15" hidden="false" customHeight="false" outlineLevel="0" collapsed="false">
      <c r="A15588" s="1" t="s">
        <v>1122</v>
      </c>
      <c r="B15588" s="0" t="s">
        <v>75</v>
      </c>
      <c r="F15588" s="8" t="n">
        <f aca="false">dps_27</f>
        <v>3.85</v>
      </c>
      <c r="G15588" s="8" t="n">
        <f aca="false">Sens!F15588*(1+dps_g)</f>
        <v>4.158</v>
      </c>
      <c r="H15588" s="8" t="n">
        <f aca="false">Sens!G15588*(1+dps_g)</f>
        <v>4.49064</v>
      </c>
      <c r="I15588" s="8" t="n">
        <f aca="false">Sens!H15588*(1+dps_g)</f>
        <v>4.8498912</v>
      </c>
      <c r="J15588" s="8" t="n">
        <f aca="false">Sens!I15588*(1+dps_g)</f>
        <v>5.237882496</v>
      </c>
      <c r="K15588" s="8" t="n">
        <f aca="false">Sens!J15588*(1+dps_g)</f>
        <v>5.65691309568</v>
      </c>
    </row>
    <row r="15589" customFormat="false" ht="17.15" hidden="false" customHeight="false" outlineLevel="0" collapsed="false">
      <c r="A15589" s="1" t="s">
        <v>1123</v>
      </c>
      <c r="B15589" s="0" t="s">
        <v>98</v>
      </c>
      <c r="E15589" s="6" t="n">
        <f aca="false">Q!M41</f>
        <v>26.445</v>
      </c>
      <c r="F15589" s="6" t="n">
        <f aca="false">Sens!F15588*Sens!E15598</f>
        <v>28.59395</v>
      </c>
      <c r="G15589" s="6" t="n">
        <f aca="false">Sens!G15588*Sens!F15598</f>
        <v>31.068576</v>
      </c>
      <c r="H15589" s="6" t="n">
        <f aca="false">Sens!H15588*Sens!G15598</f>
        <v>33.75614088</v>
      </c>
      <c r="I15589" s="6" t="n">
        <f aca="false">Sens!I15588*Sens!H15598</f>
        <v>36.6748772544</v>
      </c>
      <c r="J15589" s="6" t="n">
        <f aca="false">Sens!J15588*Sens!I15598</f>
        <v>39.7480546629266</v>
      </c>
      <c r="K15589" s="6" t="n">
        <f aca="false">Sens!K15588*Sens!J15598</f>
        <v>43.014653298339</v>
      </c>
      <c r="L15589" s="1" t="s">
        <v>1124</v>
      </c>
    </row>
    <row r="15590" customFormat="false" ht="15" hidden="false" customHeight="false" outlineLevel="0" collapsed="false">
      <c r="A15590" s="1" t="s">
        <v>1125</v>
      </c>
      <c r="B15590" s="0" t="s">
        <v>98</v>
      </c>
      <c r="E15590" s="6" t="n">
        <f aca="false">Sens!E15587-Sens!E15589</f>
        <v>37.441</v>
      </c>
      <c r="F15590" s="6" t="n">
        <f aca="false">Sens!F15587-Sens!F15589</f>
        <v>-36.8336849926825</v>
      </c>
      <c r="G15590" s="6" t="n">
        <f aca="false">Sens!G15587-Sens!G15589</f>
        <v>-49.9550339998747</v>
      </c>
      <c r="H15590" s="6" t="n">
        <f aca="false">Sens!H15587-Sens!H15589</f>
        <v>-35.8220684234137</v>
      </c>
      <c r="I15590" s="6" t="n">
        <f aca="false">Sens!I15587-Sens!I15589</f>
        <v>12.8096152508315</v>
      </c>
      <c r="J15590" s="6" t="n">
        <f aca="false">Sens!J15587-Sens!J15589</f>
        <v>69.9035050714215</v>
      </c>
      <c r="K15590" s="6" t="n">
        <f aca="false">Sens!K15587-Sens!K15589</f>
        <v>94.351887531165</v>
      </c>
    </row>
    <row r="15591" customFormat="false" ht="15" hidden="false" customHeight="false" outlineLevel="0" collapsed="false">
      <c r="A15591" s="1" t="s">
        <v>1126</v>
      </c>
      <c r="B15591" s="0" t="s">
        <v>98</v>
      </c>
      <c r="F15591" s="6" t="n">
        <f aca="false">debt_mat_27</f>
        <v>9.25</v>
      </c>
      <c r="G15591" s="6" t="n">
        <f aca="false">debt_mat_28</f>
        <v>0</v>
      </c>
      <c r="H15591" s="6" t="n">
        <f aca="false">debt_mat_29</f>
        <v>2.001</v>
      </c>
      <c r="I15591" s="6" t="n">
        <f aca="false">debt_mat_30</f>
        <v>0</v>
      </c>
      <c r="J15591" s="6" t="n">
        <f aca="false">debt_mat_31</f>
        <v>0.5</v>
      </c>
      <c r="K15591" s="6" t="n">
        <f aca="false">debt_mat_32</f>
        <v>0</v>
      </c>
    </row>
    <row r="15592" customFormat="false" ht="15" hidden="false" customHeight="false" outlineLevel="0" collapsed="false">
      <c r="A15592" s="1" t="s">
        <v>1127</v>
      </c>
      <c r="B15592" s="0" t="s">
        <v>98</v>
      </c>
      <c r="E15592" s="6" t="n">
        <f aca="false">Q!M40</f>
        <v>22.271</v>
      </c>
      <c r="F15592" s="6" t="n">
        <f aca="false">MAX(0,MIN(bb_target,Sens!E15594+Sens!F15590-Sens!F15591-min_cash))</f>
        <v>0</v>
      </c>
      <c r="G15592" s="6" t="n">
        <f aca="false">MAX(0,MIN(bb_target,Sens!F15594+Sens!G15590-Sens!G15591-min_cash))</f>
        <v>0</v>
      </c>
      <c r="H15592" s="6" t="n">
        <f aca="false">MAX(0,MIN(bb_target,Sens!G15594+Sens!H15590-Sens!H15591-min_cash))</f>
        <v>0</v>
      </c>
      <c r="I15592" s="6" t="n">
        <f aca="false">MAX(0,MIN(bb_target,Sens!H15594+Sens!I15590-Sens!I15591-min_cash))</f>
        <v>12.8096152508315</v>
      </c>
      <c r="J15592" s="6" t="n">
        <f aca="false">MAX(0,MIN(bb_target,Sens!I15594+Sens!J15590-Sens!J15591-min_cash))</f>
        <v>22.271</v>
      </c>
      <c r="K15592" s="6" t="n">
        <f aca="false">MAX(0,MIN(bb_target,Sens!J15594+Sens!K15590-Sens!K15591-min_cash))</f>
        <v>22.271</v>
      </c>
    </row>
    <row r="15593" customFormat="false" ht="15" hidden="false" customHeight="false" outlineLevel="0" collapsed="false">
      <c r="A15593" s="1" t="s">
        <v>1128</v>
      </c>
      <c r="B15593" s="0" t="s">
        <v>98</v>
      </c>
      <c r="F15593" s="6" t="n">
        <f aca="false">MAX(0,min_cash-(Sens!E15594+Sens!F15590-Sens!F15591-Sens!F15592))</f>
        <v>19.2406849926825</v>
      </c>
      <c r="G15593" s="6" t="n">
        <f aca="false">MAX(0,min_cash-(Sens!F15594+Sens!G15590-Sens!G15591-Sens!G15592))</f>
        <v>49.9550339998747</v>
      </c>
      <c r="H15593" s="6" t="n">
        <f aca="false">MAX(0,min_cash-(Sens!G15594+Sens!H15590-Sens!H15591-Sens!H15592))</f>
        <v>37.8230684234137</v>
      </c>
      <c r="I15593" s="6" t="n">
        <f aca="false">MAX(0,min_cash-(Sens!H15594+Sens!I15590-Sens!I15591-Sens!I15592))</f>
        <v>0</v>
      </c>
      <c r="J15593" s="6" t="n">
        <f aca="false">MAX(0,min_cash-(Sens!I15594+Sens!J15590-Sens!J15591-Sens!J15592))</f>
        <v>0</v>
      </c>
      <c r="K15593" s="6" t="n">
        <f aca="false">MAX(0,min_cash-(Sens!J15594+Sens!K15590-Sens!K15591-Sens!K15592))</f>
        <v>0</v>
      </c>
    </row>
    <row r="15594" customFormat="false" ht="15" hidden="false" customHeight="false" outlineLevel="0" collapsed="false">
      <c r="A15594" s="1" t="s">
        <v>1129</v>
      </c>
      <c r="B15594" s="0" t="s">
        <v>98</v>
      </c>
      <c r="E15594" s="6" t="n">
        <f aca="false">cash_open</f>
        <v>76.843</v>
      </c>
      <c r="F15594" s="6" t="n">
        <f aca="false">Sens!E15594+Sens!F15590-Sens!F15591-Sens!F15592+Sens!F15593</f>
        <v>50</v>
      </c>
      <c r="G15594" s="6" t="n">
        <f aca="false">Sens!F15594+Sens!G15590-Sens!G15591-Sens!G15592+Sens!G15593</f>
        <v>50</v>
      </c>
      <c r="H15594" s="6" t="n">
        <f aca="false">Sens!G15594+Sens!H15590-Sens!H15591-Sens!H15592+Sens!H15593</f>
        <v>50</v>
      </c>
      <c r="I15594" s="6" t="n">
        <f aca="false">Sens!H15594+Sens!I15590-Sens!I15591-Sens!I15592+Sens!I15593</f>
        <v>50</v>
      </c>
      <c r="J15594" s="6" t="n">
        <f aca="false">Sens!I15594+Sens!J15590-Sens!J15591-Sens!J15592+Sens!J15593</f>
        <v>97.1325050714215</v>
      </c>
      <c r="K15594" s="6" t="n">
        <f aca="false">Sens!J15594+Sens!K15590-Sens!K15591-Sens!K15592+Sens!K15593</f>
        <v>169.213392602586</v>
      </c>
    </row>
    <row r="15595" customFormat="false" ht="15" hidden="false" customHeight="false" outlineLevel="0" collapsed="false">
      <c r="A15595" s="1" t="s">
        <v>1130</v>
      </c>
      <c r="B15595" s="0" t="s">
        <v>98</v>
      </c>
      <c r="E15595" s="6" t="n">
        <f aca="false">debt_face</f>
        <v>46.136</v>
      </c>
      <c r="F15595" s="6" t="n">
        <f aca="false">Sens!E15595-Sens!F15591+Sens!F15593</f>
        <v>56.1266849926825</v>
      </c>
      <c r="G15595" s="6" t="n">
        <f aca="false">Sens!F15595-Sens!G15591+Sens!G15593</f>
        <v>106.081718992557</v>
      </c>
      <c r="H15595" s="6" t="n">
        <f aca="false">Sens!G15595-Sens!H15591+Sens!H15593</f>
        <v>141.903787415971</v>
      </c>
      <c r="I15595" s="6" t="n">
        <f aca="false">Sens!H15595-Sens!I15591+Sens!I15593</f>
        <v>141.903787415971</v>
      </c>
      <c r="J15595" s="6" t="n">
        <f aca="false">Sens!I15595-Sens!J15591+Sens!J15593</f>
        <v>141.403787415971</v>
      </c>
      <c r="K15595" s="6" t="n">
        <f aca="false">Sens!J15595-Sens!K15591+Sens!K15593</f>
        <v>141.403787415971</v>
      </c>
    </row>
    <row r="15596" customFormat="false" ht="15" hidden="false" customHeight="false" outlineLevel="0" collapsed="false">
      <c r="A15596" s="1" t="s">
        <v>1131</v>
      </c>
      <c r="B15596" s="0" t="s">
        <v>98</v>
      </c>
      <c r="E15596" s="6" t="n">
        <f aca="false">Sens!E15594-Sens!E15595</f>
        <v>30.707</v>
      </c>
      <c r="F15596" s="6" t="n">
        <f aca="false">Sens!F15594-Sens!F15595</f>
        <v>-6.12668499268249</v>
      </c>
      <c r="G15596" s="6" t="n">
        <f aca="false">Sens!G15594-Sens!G15595</f>
        <v>-56.0817189925572</v>
      </c>
      <c r="H15596" s="6" t="n">
        <f aca="false">Sens!H15594-Sens!H15595</f>
        <v>-91.9037874159709</v>
      </c>
      <c r="I15596" s="6" t="n">
        <f aca="false">Sens!I15594-Sens!I15595</f>
        <v>-91.9037874159709</v>
      </c>
      <c r="J15596" s="6" t="n">
        <f aca="false">Sens!J15594-Sens!J15595</f>
        <v>-44.2712823445494</v>
      </c>
      <c r="K15596" s="6" t="n">
        <f aca="false">Sens!K15594-Sens!K15595</f>
        <v>27.8096051866156</v>
      </c>
    </row>
    <row r="15597" customFormat="false" ht="15" hidden="false" customHeight="false" outlineLevel="0" collapsed="false">
      <c r="A15597" s="1" t="s">
        <v>1132</v>
      </c>
      <c r="B15597" s="0" t="s">
        <v>75</v>
      </c>
      <c r="F15597" s="30" t="n">
        <f aca="false">px*(1+bb_g)^(Sens!F15455-base_fy-mid_yr)</f>
        <v>551.84177959629</v>
      </c>
      <c r="G15597" s="30" t="n">
        <f aca="false">px*(1+bb_g)^(Sens!G15455-base_fy-mid_yr)</f>
        <v>595.989121963993</v>
      </c>
      <c r="H15597" s="30" t="n">
        <f aca="false">px*(1+bb_g)^(Sens!H15455-base_fy-mid_yr)</f>
        <v>643.668251721112</v>
      </c>
      <c r="I15597" s="30" t="n">
        <f aca="false">px*(1+bb_g)^(Sens!I15455-base_fy-mid_yr)</f>
        <v>695.161711858801</v>
      </c>
      <c r="J15597" s="30" t="n">
        <f aca="false">px*(1+bb_g)^(Sens!J15455-base_fy-mid_yr)</f>
        <v>750.774648807506</v>
      </c>
      <c r="K15597" s="30" t="n">
        <f aca="false">px*(1+bb_g)^(Sens!K15455-base_fy-mid_yr)</f>
        <v>810.836620712106</v>
      </c>
    </row>
    <row r="15598" customFormat="false" ht="15" hidden="false" customHeight="false" outlineLevel="0" collapsed="false">
      <c r="A15598" s="1" t="s">
        <v>1133</v>
      </c>
      <c r="B15598" s="1" t="s">
        <v>81</v>
      </c>
      <c r="E15598" s="15" t="n">
        <f aca="false">sh_out26</f>
        <v>7.427</v>
      </c>
      <c r="F15598" s="15" t="n">
        <f aca="false">Sens!E15598+sh_iss-Sens!F15592/Sens!F15597</f>
        <v>7.472</v>
      </c>
      <c r="G15598" s="15" t="n">
        <f aca="false">Sens!F15598+sh_iss-Sens!G15592/Sens!G15597</f>
        <v>7.517</v>
      </c>
      <c r="H15598" s="15" t="n">
        <f aca="false">Sens!G15598+sh_iss-Sens!H15592/Sens!H15597</f>
        <v>7.562</v>
      </c>
      <c r="I15598" s="15" t="n">
        <f aca="false">Sens!H15598+sh_iss-Sens!I15592/Sens!I15597</f>
        <v>7.58857318645099</v>
      </c>
      <c r="J15598" s="15" t="n">
        <f aca="false">Sens!I15598+sh_iss-Sens!J15592/Sens!J15597</f>
        <v>7.6039091587226</v>
      </c>
      <c r="K15598" s="15" t="n">
        <f aca="false">Sens!J15598+sh_iss-Sens!K15592/Sens!K15597</f>
        <v>7.62144246638149</v>
      </c>
    </row>
    <row r="15599" customFormat="false" ht="15" hidden="false" customHeight="false" outlineLevel="0" collapsed="false">
      <c r="A15599" s="1" t="s">
        <v>1134</v>
      </c>
      <c r="B15599" s="1" t="s">
        <v>81</v>
      </c>
      <c r="E15599" s="15" t="n">
        <f aca="false">sh_dil26</f>
        <v>7.453</v>
      </c>
      <c r="F15599" s="15" t="n">
        <f aca="false">(Sens!E15598+Sens!F15598)/2+dil_gap</f>
        <v>7.4735</v>
      </c>
      <c r="G15599" s="15" t="n">
        <f aca="false">(Sens!F15598+Sens!G15598)/2+dil_gap</f>
        <v>7.5185</v>
      </c>
      <c r="H15599" s="15" t="n">
        <f aca="false">(Sens!G15598+Sens!H15598)/2+dil_gap</f>
        <v>7.5635</v>
      </c>
      <c r="I15599" s="15" t="n">
        <f aca="false">(Sens!H15598+Sens!I15598)/2+dil_gap</f>
        <v>7.5992865932255</v>
      </c>
      <c r="J15599" s="15" t="n">
        <f aca="false">(Sens!I15598+Sens!J15598)/2+dil_gap</f>
        <v>7.6202411725868</v>
      </c>
      <c r="K15599" s="15" t="n">
        <f aca="false">(Sens!J15598+Sens!K15598)/2+dil_gap</f>
        <v>7.63667581255205</v>
      </c>
    </row>
    <row r="15600" customFormat="false" ht="17.15" hidden="false" customHeight="false" outlineLevel="0" collapsed="false">
      <c r="A15600" s="1" t="s">
        <v>1135</v>
      </c>
      <c r="B15600" s="0" t="s">
        <v>98</v>
      </c>
      <c r="C15600" s="6" t="n">
        <f aca="false">SUM(Sens!F15590:J15590)</f>
        <v>-39.8976670937179</v>
      </c>
    </row>
    <row r="15601" customFormat="false" ht="15" hidden="false" customHeight="false" outlineLevel="0" collapsed="false">
      <c r="A15601" s="26" t="s">
        <v>1100</v>
      </c>
      <c r="B15601" s="31" t="s">
        <v>98</v>
      </c>
      <c r="C15601" s="27" t="n">
        <f aca="false">Sens!$C$15600-(Sens!F15590+Sens!G15590+Sens!H15590+Sens!I15590+Sens!J15590)</f>
        <v>0</v>
      </c>
      <c r="D15601" s="31"/>
      <c r="E15601" s="31"/>
      <c r="F15601" s="31"/>
      <c r="G15601" s="31"/>
      <c r="H15601" s="31"/>
      <c r="I15601" s="31"/>
      <c r="J15601" s="31"/>
      <c r="K15601" s="31"/>
    </row>
    <row r="15602" customFormat="false" ht="17.15" hidden="false" customHeight="false" outlineLevel="0" collapsed="false">
      <c r="A15602" s="1" t="s">
        <v>1094</v>
      </c>
      <c r="B15602" s="1" t="s">
        <v>1136</v>
      </c>
      <c r="C15602" s="33" t="str">
        <f aca="false">IF(SUM(Sens!F15593:J15593)&gt;0.05,"需要舉債 "&amp;TEXT(SUM(Sens!F15593:J15593),"0.0")&amp;" 十億美元","不需舉債")&amp;"；"&amp;IF(SUM(Sens!F15592:J15592)&lt;COUNT(Sens!F15592:J15592)*bb_target-0.05,"回購較每年 "&amp;TEXT(bb_target,"0.0")&amp;" 的目標少 "&amp;TEXT(COUNT(Sens!F15592:J15592)*bb_target-SUM(Sens!F15592:J15592),"0.0")&amp;" 十億美元（"&amp;TEXT(COUNTIF(Sens!F15592:J15592,"&lt;"&amp;(bb_target-0.05)),"0")&amp;" 年減少）","回購不減")</f>
        <v>需要舉債 107.0 十億美元；回購較每年 22.3 的目標少 76.3 十億美元（4 年減少）</v>
      </c>
    </row>
    <row r="15603" customFormat="false" ht="17.15" hidden="false" customHeight="false" outlineLevel="0" collapsed="false">
      <c r="A15603" s="3" t="s">
        <v>1996</v>
      </c>
    </row>
    <row r="15604" customFormat="false" ht="15" hidden="false" customHeight="false" outlineLevel="0" collapsed="false">
      <c r="A15604" s="4" t="s">
        <v>43</v>
      </c>
      <c r="B15604" s="4" t="s">
        <v>65</v>
      </c>
      <c r="C15604" s="23" t="s">
        <v>942</v>
      </c>
      <c r="D15604" s="23" t="s">
        <v>943</v>
      </c>
      <c r="E15604" s="23" t="s">
        <v>944</v>
      </c>
      <c r="F15604" s="23" t="s">
        <v>945</v>
      </c>
      <c r="G15604" s="23" t="s">
        <v>946</v>
      </c>
      <c r="H15604" s="23" t="s">
        <v>947</v>
      </c>
      <c r="I15604" s="23" t="s">
        <v>948</v>
      </c>
      <c r="J15604" s="23" t="s">
        <v>949</v>
      </c>
      <c r="K15604" s="23" t="s">
        <v>950</v>
      </c>
      <c r="L15604" s="4" t="s">
        <v>47</v>
      </c>
    </row>
    <row r="15605" customFormat="false" ht="17.15" hidden="false" customHeight="false" outlineLevel="0" collapsed="false">
      <c r="A15605" s="1" t="s">
        <v>1216</v>
      </c>
      <c r="B15605" s="1" t="s">
        <v>279</v>
      </c>
      <c r="F15605" s="8" t="n">
        <f aca="false">(1-v_off)*mid_yr</f>
        <v>0.373972602739726</v>
      </c>
      <c r="G15605" s="8" t="n">
        <f aca="false">Sens!G15455-base_fy-mid_yr-v_off</f>
        <v>1.24794520547945</v>
      </c>
      <c r="H15605" s="8" t="n">
        <f aca="false">Sens!H15455-base_fy-mid_yr-v_off</f>
        <v>2.24794520547945</v>
      </c>
      <c r="I15605" s="8" t="n">
        <f aca="false">Sens!I15455-base_fy-mid_yr-v_off</f>
        <v>3.24794520547945</v>
      </c>
      <c r="J15605" s="8" t="n">
        <f aca="false">Sens!J15455-base_fy-mid_yr-v_off</f>
        <v>4.24794520547945</v>
      </c>
      <c r="K15605" s="8" t="n">
        <f aca="false">Sens!K15455-base_fy-mid_yr-v_off</f>
        <v>5.24794520547945</v>
      </c>
      <c r="L15605" s="12" t="s">
        <v>1217</v>
      </c>
    </row>
    <row r="15606" customFormat="false" ht="15" hidden="false" customHeight="false" outlineLevel="0" collapsed="false">
      <c r="A15606" s="1" t="s">
        <v>1218</v>
      </c>
      <c r="B15606" s="1" t="s">
        <v>279</v>
      </c>
      <c r="F15606" s="8" t="n">
        <f aca="false">Sens!F15455-base_fy-v_off</f>
        <v>0.747945205479452</v>
      </c>
      <c r="G15606" s="8" t="n">
        <f aca="false">Sens!G15455-base_fy-v_off</f>
        <v>1.74794520547945</v>
      </c>
      <c r="H15606" s="8" t="n">
        <f aca="false">Sens!H15455-base_fy-v_off</f>
        <v>2.74794520547945</v>
      </c>
      <c r="I15606" s="8" t="n">
        <f aca="false">Sens!I15455-base_fy-v_off</f>
        <v>3.74794520547945</v>
      </c>
      <c r="J15606" s="8" t="n">
        <f aca="false">Sens!J15455-base_fy-v_off</f>
        <v>4.74794520547945</v>
      </c>
      <c r="K15606" s="8" t="n">
        <f aca="false">Sens!K15455-base_fy-v_off</f>
        <v>5.74794520547945</v>
      </c>
    </row>
    <row r="15607" customFormat="false" ht="15" hidden="false" customHeight="false" outlineLevel="0" collapsed="false">
      <c r="A15607" s="1" t="s">
        <v>1219</v>
      </c>
      <c r="B15607" s="0" t="s">
        <v>229</v>
      </c>
      <c r="F15607" s="15" t="n">
        <f aca="false">1/(1+wacc)^Sens!F15605</f>
        <v>0.964022703286649</v>
      </c>
      <c r="G15607" s="15" t="n">
        <f aca="false">1/(1+wacc)^Sens!G15605</f>
        <v>0.884910302296739</v>
      </c>
      <c r="H15607" s="15" t="n">
        <f aca="false">1/(1+wacc)^Sens!H15605</f>
        <v>0.802322009770358</v>
      </c>
      <c r="I15607" s="15" t="n">
        <f aca="false">1/(1+wacc)^Sens!I15605</f>
        <v>0.727441646561469</v>
      </c>
      <c r="J15607" s="15" t="n">
        <f aca="false">1/(1+wacc)^Sens!J15605</f>
        <v>0.659549834988973</v>
      </c>
      <c r="K15607" s="15" t="n">
        <f aca="false">1/(1+wacc)^Sens!K15605</f>
        <v>0.597994336576966</v>
      </c>
    </row>
    <row r="15608" customFormat="false" ht="17.15" hidden="false" customHeight="false" outlineLevel="0" collapsed="false">
      <c r="A15608" s="1" t="s">
        <v>1220</v>
      </c>
      <c r="B15608" s="0" t="s">
        <v>98</v>
      </c>
      <c r="F15608" s="6" t="n">
        <f aca="false">Q!$I$35-Q!$I$39-Q!$I$43</f>
        <v>9.666</v>
      </c>
      <c r="L15608" s="12" t="s">
        <v>1221</v>
      </c>
    </row>
    <row r="15609" customFormat="false" ht="17.15" hidden="false" customHeight="false" outlineLevel="0" collapsed="false">
      <c r="A15609" s="1" t="s">
        <v>1222</v>
      </c>
      <c r="B15609" s="0" t="s">
        <v>98</v>
      </c>
      <c r="F15609" s="6" t="n">
        <f aca="false">Sens!F15580-Sens!F15577-Sens!F15584+Sens!F15562*(1-tax_f)*(1-v_off)-Sens!F15608</f>
        <v>-21.4833844616694</v>
      </c>
      <c r="G15609" s="6" t="n">
        <f aca="false">Sens!G15580-Sens!G15577-Sens!G15584+Sens!G15562*(1-tax_f)</f>
        <v>-8.16356731648803</v>
      </c>
      <c r="H15609" s="6" t="n">
        <f aca="false">Sens!H15580-Sens!H15577-Sens!H15584+Sens!H15562*(1-tax_f)</f>
        <v>21.2838033968834</v>
      </c>
      <c r="I15609" s="6" t="n">
        <f aca="false">Sens!I15580-Sens!I15577-Sens!I15584+Sens!I15562*(1-tax_f)</f>
        <v>84.3278080920809</v>
      </c>
      <c r="J15609" s="6" t="n">
        <f aca="false">Sens!J15580-Sens!J15577-Sens!J15584+Sens!J15562*(1-tax_f)</f>
        <v>152.254999772843</v>
      </c>
      <c r="K15609" s="6" t="n">
        <f aca="false">Sens!K15580-Sens!K15577-Sens!K15584+Sens!K15562*(1-tax_f)</f>
        <v>184.09939244453</v>
      </c>
      <c r="L15609" s="1" t="s">
        <v>1223</v>
      </c>
    </row>
    <row r="15610" customFormat="false" ht="15" hidden="false" customHeight="false" outlineLevel="0" collapsed="false">
      <c r="A15610" s="1" t="s">
        <v>1224</v>
      </c>
      <c r="B15610" s="0" t="s">
        <v>98</v>
      </c>
      <c r="F15610" s="6" t="n">
        <f aca="false">Sens!F15609*Sens!F15607</f>
        <v>-20.7104703644849</v>
      </c>
      <c r="G15610" s="6" t="n">
        <f aca="false">Sens!G15609*Sens!G15607</f>
        <v>-7.2240248218532</v>
      </c>
      <c r="H15610" s="6" t="n">
        <f aca="false">Sens!H15609*Sens!H15607</f>
        <v>17.0764639169447</v>
      </c>
      <c r="I15610" s="6" t="n">
        <f aca="false">Sens!I15609*Sens!I15607</f>
        <v>61.3435595694229</v>
      </c>
      <c r="J15610" s="6" t="n">
        <f aca="false">Sens!J15609*Sens!J15607</f>
        <v>100.419759976425</v>
      </c>
      <c r="K15610" s="6" t="n">
        <f aca="false">Sens!K15609*Sens!K15607</f>
        <v>110.090394049089</v>
      </c>
    </row>
    <row r="15611" customFormat="false" ht="17.15" hidden="false" customHeight="false" outlineLevel="0" collapsed="false">
      <c r="A15611" s="1" t="s">
        <v>1225</v>
      </c>
      <c r="B15611" s="0" t="s">
        <v>98</v>
      </c>
      <c r="C15611" s="6" t="n">
        <f aca="false">SUM(Sens!F15610:K15610)</f>
        <v>260.995682325544</v>
      </c>
    </row>
    <row r="15612" customFormat="false" ht="17.15" hidden="false" customHeight="false" outlineLevel="0" collapsed="false">
      <c r="A15612" s="1" t="s">
        <v>1226</v>
      </c>
      <c r="B15612" s="0" t="s">
        <v>98</v>
      </c>
      <c r="C15612" s="6" t="n">
        <f aca="false">Sens!K15548*(1+g_tv)*(1-tax_f)</f>
        <v>193.320897991436</v>
      </c>
    </row>
    <row r="15613" customFormat="false" ht="17.15" hidden="false" customHeight="false" outlineLevel="0" collapsed="false">
      <c r="A15613" s="1" t="s">
        <v>1227</v>
      </c>
      <c r="B15613" s="0" t="s">
        <v>98</v>
      </c>
      <c r="C15613" s="6" t="n">
        <f aca="false">Sens!$C$15612*(1-g_tv/(wacc+ronic_prem))</f>
        <v>136.979155113937</v>
      </c>
    </row>
    <row r="15614" customFormat="false" ht="17.15" hidden="false" customHeight="false" outlineLevel="0" collapsed="false">
      <c r="A15614" s="1" t="s">
        <v>1228</v>
      </c>
      <c r="B15614" s="0" t="s">
        <v>98</v>
      </c>
      <c r="C15614" s="6" t="n">
        <f aca="false">Sens!$C$15613/(wacc-g_tv)</f>
        <v>1878.05809591661</v>
      </c>
    </row>
    <row r="15615" customFormat="false" ht="15" hidden="false" customHeight="false" outlineLevel="0" collapsed="false">
      <c r="A15615" s="1" t="s">
        <v>1229</v>
      </c>
      <c r="B15615" s="0" t="s">
        <v>98</v>
      </c>
      <c r="C15615" s="6" t="n">
        <f aca="false">Sens!$C$15614/(1+wacc)^Sens!K15606</f>
        <v>1069.37695540558</v>
      </c>
    </row>
    <row r="15616" customFormat="false" ht="17.15" hidden="false" customHeight="false" outlineLevel="0" collapsed="false">
      <c r="A15616" s="0" t="s">
        <v>1230</v>
      </c>
      <c r="B15616" s="0" t="s">
        <v>98</v>
      </c>
      <c r="C15616" s="6" t="n">
        <f aca="false">Sens!$C$15611+Sens!$C$15615</f>
        <v>1330.37263773113</v>
      </c>
    </row>
    <row r="15617" customFormat="false" ht="15" hidden="false" customHeight="false" outlineLevel="0" collapsed="false">
      <c r="A15617" s="1" t="s">
        <v>1145</v>
      </c>
      <c r="B15617" s="0" t="s">
        <v>168</v>
      </c>
      <c r="C15617" s="7" t="n">
        <f aca="false">Sens!$C$15615/Sens!$C$15616</f>
        <v>0.803817611003594</v>
      </c>
    </row>
    <row r="15618" customFormat="false" ht="17.15" hidden="false" customHeight="false" outlineLevel="0" collapsed="false">
      <c r="A15618" s="1" t="s">
        <v>1231</v>
      </c>
      <c r="B15618" s="0" t="s">
        <v>98</v>
      </c>
      <c r="C15618" s="6" t="n">
        <f aca="false">Sens!$C$15616+cash_val-debt_val-fl_val+oai_v</f>
        <v>1446.22363773113</v>
      </c>
    </row>
    <row r="15619" customFormat="false" ht="17.15" hidden="false" customHeight="false" outlineLevel="0" collapsed="false">
      <c r="A15619" s="0" t="s">
        <v>1153</v>
      </c>
      <c r="B15619" s="0" t="s">
        <v>75</v>
      </c>
      <c r="C15619" s="5" t="n">
        <f aca="false">Sens!$C$15618/shd_val</f>
        <v>194.228261849467</v>
      </c>
    </row>
    <row r="15620" customFormat="false" ht="15" hidden="false" customHeight="false" outlineLevel="0" collapsed="false">
      <c r="A15620" s="1" t="s">
        <v>1232</v>
      </c>
      <c r="B15620" s="0" t="s">
        <v>75</v>
      </c>
      <c r="C15620" s="8" t="n">
        <f aca="false">div_rem27+Sens!G15588*roll_div_q/q_per_yr</f>
        <v>3.9795</v>
      </c>
    </row>
    <row r="15621" customFormat="false" ht="17.15" hidden="false" customHeight="false" outlineLevel="0" collapsed="false">
      <c r="A15621" s="0" t="s">
        <v>1233</v>
      </c>
      <c r="B15621" s="0" t="s">
        <v>75</v>
      </c>
      <c r="C15621" s="5" t="n">
        <f aca="false">Sens!$C$15619*(1+wacc)^t_roll-Sens!$C$15620</f>
        <v>211.916053069447</v>
      </c>
    </row>
    <row r="15622" customFormat="false" ht="17.15" hidden="false" customHeight="false" outlineLevel="0" collapsed="false">
      <c r="A15622" s="1" t="s">
        <v>1234</v>
      </c>
      <c r="B15622" s="0" t="s">
        <v>168</v>
      </c>
      <c r="F15622" s="7" t="n">
        <f aca="false">Sens!F15574/(Sens!F15519-Sens!F15474)</f>
        <v>0.0679386495376408</v>
      </c>
      <c r="G15622" s="7" t="n">
        <f aca="false">Sens!G15574/(Sens!G15519-Sens!G15474)</f>
        <v>0.0658088519962403</v>
      </c>
      <c r="H15622" s="7" t="n">
        <f aca="false">Sens!H15574/(Sens!H15519-Sens!H15474)</f>
        <v>0.0648319381415225</v>
      </c>
      <c r="I15622" s="7" t="n">
        <f aca="false">Sens!I15574/(Sens!I15519-Sens!I15474)</f>
        <v>0.0648759423136191</v>
      </c>
      <c r="J15622" s="7" t="n">
        <f aca="false">Sens!J15574/(Sens!J15519-Sens!J15474)</f>
        <v>0.0657397826401476</v>
      </c>
      <c r="K15622" s="7" t="n">
        <f aca="false">Sens!K15574/(Sens!K15519-Sens!K15474)</f>
        <v>0.0671991036546056</v>
      </c>
    </row>
    <row r="15623" customFormat="false" ht="17.15" hidden="false" customHeight="false" outlineLevel="0" collapsed="false">
      <c r="A15623" s="0" t="s">
        <v>1235</v>
      </c>
      <c r="B15623" s="0" t="s">
        <v>98</v>
      </c>
      <c r="F15623" s="6" t="n">
        <f aca="false">Sens!F15504*(al_m365+Sens!F15622+sbc_r)</f>
        <v>82.8317650923337</v>
      </c>
      <c r="G15623" s="6" t="n">
        <f aca="false">Sens!G15504*(al_m365+Sens!G15622+sbc_r)</f>
        <v>93.2399221998256</v>
      </c>
      <c r="H15623" s="6" t="n">
        <f aca="false">Sens!H15504*(al_m365+Sens!H15622+sbc_r)</f>
        <v>103.811049940479</v>
      </c>
      <c r="I15623" s="6" t="n">
        <f aca="false">Sens!I15504*(al_m365+Sens!I15622+sbc_r)</f>
        <v>113.86817632129</v>
      </c>
      <c r="J15623" s="6" t="n">
        <f aca="false">Sens!J15504*(al_m365+Sens!J15622+sbc_r)</f>
        <v>123.221722457512</v>
      </c>
      <c r="K15623" s="6" t="n">
        <f aca="false">Sens!K15504*(al_m365+Sens!K15622+sbc_r)</f>
        <v>132.179018197582</v>
      </c>
      <c r="L15623" s="12" t="s">
        <v>1236</v>
      </c>
    </row>
    <row r="15624" customFormat="false" ht="17.15" hidden="false" customHeight="false" outlineLevel="0" collapsed="false">
      <c r="A15624" s="0" t="s">
        <v>1237</v>
      </c>
      <c r="B15624" s="0" t="s">
        <v>98</v>
      </c>
      <c r="F15624" s="6" t="n">
        <f aca="false">Sens!F15505*(al_lic+Sens!F15622+sbc_r)</f>
        <v>32.8316286078475</v>
      </c>
      <c r="G15624" s="6" t="n">
        <f aca="false">Sens!G15505*(al_lic+Sens!G15622+sbc_r)</f>
        <v>34.1366461775776</v>
      </c>
      <c r="H15624" s="6" t="n">
        <f aca="false">Sens!H15505*(al_lic+Sens!H15622+sbc_r)</f>
        <v>35.3509247606169</v>
      </c>
      <c r="I15624" s="6" t="n">
        <f aca="false">Sens!I15505*(al_lic+Sens!I15622+sbc_r)</f>
        <v>36.4547711109646</v>
      </c>
      <c r="J15624" s="6" t="n">
        <f aca="false">Sens!J15505*(al_lic+Sens!J15622+sbc_r)</f>
        <v>37.4254010860021</v>
      </c>
      <c r="K15624" s="6" t="n">
        <f aca="false">Sens!K15505*(al_lic+Sens!K15622+sbc_r)</f>
        <v>38.2392080493558</v>
      </c>
    </row>
    <row r="15625" customFormat="false" ht="17.15" hidden="false" customHeight="false" outlineLevel="0" collapsed="false">
      <c r="A15625" s="0" t="s">
        <v>1238</v>
      </c>
      <c r="B15625" s="0" t="s">
        <v>98</v>
      </c>
      <c r="F15625" s="6" t="n">
        <f aca="false">Sens!F15507*(al_ind+Sens!F15622+sbc_r)</f>
        <v>9.04522153689712</v>
      </c>
      <c r="G15625" s="6" t="n">
        <f aca="false">Sens!G15507*(al_ind+Sens!G15622+sbc_r)</f>
        <v>9.83559304556863</v>
      </c>
      <c r="H15625" s="6" t="n">
        <f aca="false">Sens!H15507*(al_ind+Sens!H15622+sbc_r)</f>
        <v>10.6687500345965</v>
      </c>
      <c r="I15625" s="6" t="n">
        <f aca="false">Sens!I15507*(al_ind+Sens!I15622+sbc_r)</f>
        <v>11.5401766385687</v>
      </c>
      <c r="J15625" s="6" t="n">
        <f aca="false">Sens!J15507*(al_ind+Sens!J15622+sbc_r)</f>
        <v>12.4413628183907</v>
      </c>
      <c r="K15625" s="6" t="n">
        <f aca="false">Sens!K15507*(al_ind+Sens!K15622+sbc_r)</f>
        <v>13.3604491861348</v>
      </c>
    </row>
    <row r="15626" customFormat="false" ht="17.15" hidden="false" customHeight="false" outlineLevel="0" collapsed="false">
      <c r="A15626" s="0" t="s">
        <v>1239</v>
      </c>
      <c r="B15626" s="0" t="s">
        <v>98</v>
      </c>
      <c r="F15626" s="6" t="n">
        <f aca="false">Sens!F15509*(al_fro+Sens!F15622+sbc_r)</f>
        <v>3.54806894140593</v>
      </c>
      <c r="G15626" s="6" t="n">
        <f aca="false">Sens!G15509*(al_fro+Sens!G15622+sbc_r)</f>
        <v>3.76338616052011</v>
      </c>
      <c r="H15626" s="6" t="n">
        <f aca="false">Sens!H15509*(al_fro+Sens!H15622+sbc_r)</f>
        <v>4.00661636555711</v>
      </c>
      <c r="I15626" s="6" t="n">
        <f aca="false">Sens!I15509*(al_fro+Sens!I15622+sbc_r)</f>
        <v>4.28011276630588</v>
      </c>
      <c r="J15626" s="6" t="n">
        <f aca="false">Sens!J15509*(al_fro+Sens!J15622+sbc_r)</f>
        <v>4.58557573098377</v>
      </c>
      <c r="K15626" s="6" t="n">
        <f aca="false">Sens!K15509*(al_fro+Sens!K15622+sbc_r)</f>
        <v>4.92432802075507</v>
      </c>
    </row>
    <row r="15627" customFormat="false" ht="17.15" hidden="false" customHeight="false" outlineLevel="0" collapsed="false">
      <c r="A15627" s="0" t="s">
        <v>1240</v>
      </c>
      <c r="B15627" s="0" t="s">
        <v>98</v>
      </c>
      <c r="F15627" s="6" t="n">
        <f aca="false">Sens!F15512*(al_srch+Sens!F15622+sbc_r)</f>
        <v>11.1703247690001</v>
      </c>
      <c r="G15627" s="6" t="n">
        <f aca="false">Sens!G15512*(al_srch+Sens!G15622+sbc_r)</f>
        <v>12.2609937007494</v>
      </c>
      <c r="H15627" s="6" t="n">
        <f aca="false">Sens!H15512*(al_srch+Sens!H15622+sbc_r)</f>
        <v>13.3942179727276</v>
      </c>
      <c r="I15627" s="6" t="n">
        <f aca="false">Sens!I15512*(al_srch+Sens!I15622+sbc_r)</f>
        <v>14.557343458569</v>
      </c>
      <c r="J15627" s="6" t="n">
        <f aca="false">Sens!J15512*(al_srch+Sens!J15622+sbc_r)</f>
        <v>15.7317606970535</v>
      </c>
      <c r="K15627" s="6" t="n">
        <f aca="false">Sens!K15512*(al_srch+Sens!K15622+sbc_r)</f>
        <v>16.8939201009977</v>
      </c>
    </row>
    <row r="15628" customFormat="false" ht="17.15" hidden="false" customHeight="false" outlineLevel="0" collapsed="false">
      <c r="A15628" s="0" t="s">
        <v>1241</v>
      </c>
      <c r="B15628" s="0" t="s">
        <v>98</v>
      </c>
      <c r="F15628" s="6" t="n">
        <f aca="false">Sens!F15480-Sens!F15481+Sens!F15562</f>
        <v>14.8655875549481</v>
      </c>
      <c r="G15628" s="6" t="n">
        <f aca="false">Sens!G15480-Sens!G15481+Sens!G15562</f>
        <v>33.2058015930876</v>
      </c>
      <c r="H15628" s="6" t="n">
        <f aca="false">Sens!H15480-Sens!H15481+Sens!H15562</f>
        <v>50.7409529853626</v>
      </c>
      <c r="I15628" s="6" t="n">
        <f aca="false">Sens!I15480-Sens!I15481+Sens!I15562</f>
        <v>69.934367582372</v>
      </c>
      <c r="J15628" s="6" t="n">
        <f aca="false">Sens!J15480-Sens!J15481+Sens!J15562</f>
        <v>83.4719453902636</v>
      </c>
      <c r="K15628" s="6" t="n">
        <f aca="false">Sens!K15480-Sens!K15481+Sens!K15562</f>
        <v>91.8143898169858</v>
      </c>
    </row>
    <row r="15629" customFormat="false" ht="17.15" hidden="false" customHeight="false" outlineLevel="0" collapsed="false">
      <c r="A15629" s="0" t="s">
        <v>1242</v>
      </c>
      <c r="B15629" s="0" t="s">
        <v>98</v>
      </c>
      <c r="F15629" s="6" t="n">
        <f aca="false">Sens!F15541+Sens!F15562+Sens!F15492+Sens!F15622*(Sens!F15511-Sens!F15474)+sbc_r*Sens!F15511</f>
        <v>216.215073339688</v>
      </c>
      <c r="G15629" s="6" t="n">
        <f aca="false">Sens!G15541+Sens!G15562+Sens!G15492+Sens!G15622*(Sens!G15511-Sens!G15474)+sbc_r*Sens!G15511</f>
        <v>251.964035484207</v>
      </c>
      <c r="H15629" s="6" t="n">
        <f aca="false">Sens!H15541+Sens!H15562+Sens!H15492+Sens!H15622*(Sens!H15511-Sens!H15474)+sbc_r*Sens!H15511</f>
        <v>295.270401712199</v>
      </c>
      <c r="I15629" s="6" t="n">
        <f aca="false">Sens!I15541+Sens!I15562+Sens!I15492+Sens!I15622*(Sens!I15511-Sens!I15474)+sbc_r*Sens!I15511</f>
        <v>339.532803724972</v>
      </c>
      <c r="J15629" s="6" t="n">
        <f aca="false">Sens!J15541+Sens!J15562+Sens!J15492+Sens!J15622*(Sens!J15511-Sens!J15474)+sbc_r*Sens!J15511</f>
        <v>376.296366918483</v>
      </c>
      <c r="K15629" s="6" t="n">
        <f aca="false">Sens!K15541+Sens!K15562+Sens!K15492+Sens!K15622*(Sens!K15511-Sens!K15474)+sbc_r*Sens!K15511</f>
        <v>405.543672928256</v>
      </c>
    </row>
    <row r="15630" customFormat="false" ht="17.15" hidden="false" customHeight="false" outlineLevel="0" collapsed="false">
      <c r="A15630" s="0" t="s">
        <v>1243</v>
      </c>
      <c r="B15630" s="0" t="s">
        <v>98</v>
      </c>
      <c r="F15630" s="6" t="n">
        <f aca="false">Sens!F15629-Sens!F15623-Sens!F15624-Sens!F15625-Sens!F15626-Sens!F15628</f>
        <v>73.0928016062556</v>
      </c>
      <c r="G15630" s="6" t="n">
        <f aca="false">Sens!G15629-Sens!G15623-Sens!G15624-Sens!G15625-Sens!G15626-Sens!G15628</f>
        <v>77.7826863076273</v>
      </c>
      <c r="H15630" s="6" t="n">
        <f aca="false">Sens!H15629-Sens!H15623-Sens!H15624-Sens!H15625-Sens!H15626-Sens!H15628</f>
        <v>90.692107625587</v>
      </c>
      <c r="I15630" s="6" t="n">
        <f aca="false">Sens!I15629-Sens!I15623-Sens!I15624-Sens!I15625-Sens!I15626-Sens!I15628</f>
        <v>103.455199305471</v>
      </c>
      <c r="J15630" s="6" t="n">
        <f aca="false">Sens!J15629-Sens!J15623-Sens!J15624-Sens!J15625-Sens!J15626-Sens!J15628</f>
        <v>115.150359435331</v>
      </c>
      <c r="K15630" s="6" t="n">
        <f aca="false">Sens!K15629-Sens!K15623-Sens!K15624-Sens!K15625-Sens!K15626-Sens!K15628</f>
        <v>125.026279657442</v>
      </c>
    </row>
    <row r="15631" customFormat="false" ht="17.15" hidden="false" customHeight="false" outlineLevel="0" collapsed="false">
      <c r="A15631" s="0" t="s">
        <v>1244</v>
      </c>
      <c r="B15631" s="0" t="s">
        <v>98</v>
      </c>
      <c r="F15631" s="6" t="n">
        <f aca="false">Sens!F15543+Sens!F15622*Sens!F15518+sbc_r*Sens!F15518</f>
        <v>26.5898518872758</v>
      </c>
      <c r="G15631" s="6" t="n">
        <f aca="false">Sens!G15543+Sens!G15622*Sens!G15518+sbc_r*Sens!G15518</f>
        <v>26.4704618699168</v>
      </c>
      <c r="H15631" s="6" t="n">
        <f aca="false">Sens!H15543+Sens!H15622*Sens!H15518+sbc_r*Sens!H15518</f>
        <v>27.3771904079446</v>
      </c>
      <c r="I15631" s="6" t="n">
        <f aca="false">Sens!I15543+Sens!I15622*Sens!I15518+sbc_r*Sens!I15518</f>
        <v>28.508139459069</v>
      </c>
      <c r="J15631" s="6" t="n">
        <f aca="false">Sens!J15543+Sens!J15622*Sens!J15518+sbc_r*Sens!J15518</f>
        <v>29.8327830340707</v>
      </c>
      <c r="K15631" s="6" t="n">
        <f aca="false">Sens!K15543+Sens!K15622*Sens!K15518+sbc_r*Sens!K15518</f>
        <v>31.3226769672827</v>
      </c>
    </row>
    <row r="15632" customFormat="false" ht="17.15" hidden="false" customHeight="false" outlineLevel="0" collapsed="false">
      <c r="A15632" s="0" t="s">
        <v>1245</v>
      </c>
      <c r="B15632" s="0" t="s">
        <v>98</v>
      </c>
      <c r="F15632" s="6" t="n">
        <f aca="false">(Sens!F15631-Sens!F15627)*Sens!F15514/(Sens!F15514+Sens!F15516)</f>
        <v>8.7087256186088</v>
      </c>
      <c r="G15632" s="6" t="n">
        <f aca="false">(Sens!G15631-Sens!G15627)*Sens!G15514/(Sens!G15514+Sens!G15516)</f>
        <v>7.88737670171825</v>
      </c>
      <c r="H15632" s="6" t="n">
        <f aca="false">(Sens!H15631-Sens!H15627)*Sens!H15514/(Sens!H15514+Sens!H15516)</f>
        <v>7.66054232045463</v>
      </c>
      <c r="I15632" s="6" t="n">
        <f aca="false">(Sens!I15631-Sens!I15627)*Sens!I15514/(Sens!I15514+Sens!I15516)</f>
        <v>7.57620370008845</v>
      </c>
      <c r="J15632" s="6" t="n">
        <f aca="false">(Sens!J15631-Sens!J15627)*Sens!J15514/(Sens!J15514+Sens!J15516)</f>
        <v>7.624375963267</v>
      </c>
      <c r="K15632" s="6" t="n">
        <f aca="false">(Sens!K15631-Sens!K15627)*Sens!K15514/(Sens!K15514+Sens!K15516)</f>
        <v>7.80158093518757</v>
      </c>
    </row>
    <row r="15633" customFormat="false" ht="17.15" hidden="false" customHeight="false" outlineLevel="0" collapsed="false">
      <c r="A15633" s="0" t="s">
        <v>1246</v>
      </c>
      <c r="B15633" s="0" t="s">
        <v>98</v>
      </c>
      <c r="F15633" s="6" t="n">
        <f aca="false">Sens!F15631-Sens!F15627-Sens!F15632</f>
        <v>6.71080149966692</v>
      </c>
      <c r="G15633" s="6" t="n">
        <f aca="false">Sens!G15631-Sens!G15627-Sens!G15632</f>
        <v>6.32209146744914</v>
      </c>
      <c r="H15633" s="6" t="n">
        <f aca="false">Sens!H15631-Sens!H15627-Sens!H15632</f>
        <v>6.32243011476236</v>
      </c>
      <c r="I15633" s="6" t="n">
        <f aca="false">Sens!I15631-Sens!I15627-Sens!I15632</f>
        <v>6.37459230041152</v>
      </c>
      <c r="J15633" s="6" t="n">
        <f aca="false">Sens!J15631-Sens!J15627-Sens!J15632</f>
        <v>6.47664637375014</v>
      </c>
      <c r="K15633" s="6" t="n">
        <f aca="false">Sens!K15631-Sens!K15627-Sens!K15632</f>
        <v>6.62717593109742</v>
      </c>
    </row>
    <row r="15634" customFormat="false" ht="17.15" hidden="false" customHeight="false" outlineLevel="0" collapsed="false">
      <c r="A15634" s="0" t="s">
        <v>1247</v>
      </c>
      <c r="B15634" s="0" t="s">
        <v>98</v>
      </c>
      <c r="F15634" s="6" t="n">
        <f aca="false">Sens!F15628-tax_f*(Sens!F15628-Sens!F15492)-Sens!F15489</f>
        <v>-149.645571102491</v>
      </c>
      <c r="G15634" s="6" t="n">
        <f aca="false">Sens!G15628-tax_f*(Sens!G15628-Sens!G15492)-Sens!G15489</f>
        <v>-153.232936244118</v>
      </c>
      <c r="H15634" s="6" t="n">
        <f aca="false">Sens!H15628-tax_f*(Sens!H15628-Sens!H15492)-Sens!H15489</f>
        <v>-138.393223543933</v>
      </c>
      <c r="I15634" s="6" t="n">
        <f aca="false">Sens!I15628-tax_f*(Sens!I15628-Sens!I15492)-Sens!I15489</f>
        <v>-89.8211376168031</v>
      </c>
      <c r="J15634" s="6" t="n">
        <f aca="false">Sens!J15628-tax_f*(Sens!J15628-Sens!J15492)-Sens!J15489</f>
        <v>-35.7492402738102</v>
      </c>
      <c r="K15634" s="6" t="n">
        <f aca="false">Sens!K15628-tax_f*(Sens!K15628-Sens!K15492)-Sens!K15489</f>
        <v>-16.9088073009572</v>
      </c>
    </row>
    <row r="15635" customFormat="false" ht="17.15" hidden="false" customHeight="false" outlineLevel="0" collapsed="false">
      <c r="A15635" s="0" t="s">
        <v>1248</v>
      </c>
      <c r="B15635" s="0" t="s">
        <v>98</v>
      </c>
      <c r="G15635" s="6" t="n">
        <f aca="false">Sens!G15634/(1+wacc)^(Sens!G15605-Sens!F15606)</f>
        <v>-145.907242919154</v>
      </c>
      <c r="H15635" s="6" t="n">
        <f aca="false">Sens!H15634/(1+wacc)^(Sens!H15605-Sens!F15606)</f>
        <v>-119.478292594101</v>
      </c>
      <c r="I15635" s="6" t="n">
        <f aca="false">Sens!I15634/(1+wacc)^(Sens!I15605-Sens!F15606)</f>
        <v>-70.3075862895552</v>
      </c>
      <c r="J15635" s="6" t="n">
        <f aca="false">Sens!J15634/(1+wacc)^(Sens!J15605-Sens!F15606)</f>
        <v>-25.3711357487264</v>
      </c>
      <c r="K15635" s="6" t="n">
        <f aca="false">Sens!K15634/(1+wacc)^(Sens!K15605-Sens!F15606)</f>
        <v>-10.8801660102897</v>
      </c>
      <c r="L15635" s="1" t="s">
        <v>1249</v>
      </c>
    </row>
    <row r="15636" customFormat="false" ht="17.15" hidden="false" customHeight="false" outlineLevel="0" collapsed="false">
      <c r="A15636" s="0" t="s">
        <v>1250</v>
      </c>
      <c r="B15636" s="0" t="s">
        <v>98</v>
      </c>
      <c r="C15636" s="6" t="n">
        <f aca="false">(Sens!K15628-Sens!K15492)*(1-tax_f)*(1+g_tv)*(1-g_tv/(wacc+ronic_prem))/(wacc-g_tv)/(1+wacc)^(Sens!K15606-Sens!F15606)</f>
        <v>-251.107725327558</v>
      </c>
    </row>
    <row r="15637" customFormat="false" ht="17.15" hidden="false" customHeight="false" outlineLevel="0" collapsed="false">
      <c r="A15637" s="1" t="s">
        <v>1251</v>
      </c>
      <c r="B15637" s="0" t="s">
        <v>98</v>
      </c>
      <c r="C15637" s="6" t="n">
        <f aca="false">(SUM(Sens!G15635:K15635)+Sens!$C$15636)*(1+wacc)^(t_roll-Sens!F15606)</f>
        <v>-643.620984573777</v>
      </c>
      <c r="L15637" s="12" t="s">
        <v>1252</v>
      </c>
    </row>
    <row r="15638" customFormat="false" ht="17.15" hidden="false" customHeight="false" outlineLevel="0" collapsed="false">
      <c r="A15638" s="1" t="s">
        <v>1253</v>
      </c>
      <c r="B15638" s="0" t="s">
        <v>98</v>
      </c>
      <c r="C15638" s="6" t="n">
        <f aca="false">(w_ntm28*Sens!G15480+(1-w_ntm28)*Sens!H15480)*m_ai</f>
        <v>107.438407488667</v>
      </c>
    </row>
    <row r="15639" customFormat="false" ht="17.15" hidden="false" customHeight="false" outlineLevel="0" collapsed="false">
      <c r="A15639" s="1" t="s">
        <v>1254</v>
      </c>
      <c r="B15639" s="0" t="s">
        <v>98</v>
      </c>
      <c r="C15639" s="6" t="n">
        <f aca="false">(w_ntm28*Sens!G15630+(1-w_ntm28)*Sens!H15630)*m_cloud</f>
        <v>1133.61147631581</v>
      </c>
    </row>
    <row r="15640" customFormat="false" ht="17.15" hidden="false" customHeight="false" outlineLevel="0" collapsed="false">
      <c r="A15640" s="1" t="s">
        <v>1255</v>
      </c>
      <c r="B15640" s="0" t="s">
        <v>98</v>
      </c>
      <c r="C15640" s="6" t="n">
        <f aca="false">(w_ntm28*Sens!G15623+(1-w_ntm28)*Sens!H15623)*m_sw</f>
        <v>1044.52590373589</v>
      </c>
    </row>
    <row r="15641" customFormat="false" ht="17.15" hidden="false" customHeight="false" outlineLevel="0" collapsed="false">
      <c r="A15641" s="1" t="s">
        <v>1256</v>
      </c>
      <c r="B15641" s="0" t="s">
        <v>98</v>
      </c>
      <c r="C15641" s="6" t="n">
        <f aca="false">(w_ntm28*Sens!G15624+(1-w_ntm28)*Sens!H15624)*m_sw</f>
        <v>372.987299385287</v>
      </c>
    </row>
    <row r="15642" customFormat="false" ht="17.15" hidden="false" customHeight="false" outlineLevel="0" collapsed="false">
      <c r="A15642" s="1" t="s">
        <v>1257</v>
      </c>
      <c r="B15642" s="0" t="s">
        <v>98</v>
      </c>
      <c r="C15642" s="6" t="n">
        <f aca="false">(w_ntm28*Sens!G15625+(1-w_ntm28)*Sens!H15625)*m_sw</f>
        <v>109.182682858662</v>
      </c>
    </row>
    <row r="15643" customFormat="false" ht="17.15" hidden="false" customHeight="false" outlineLevel="0" collapsed="false">
      <c r="A15643" s="1" t="s">
        <v>1258</v>
      </c>
      <c r="B15643" s="0" t="s">
        <v>98</v>
      </c>
      <c r="C15643" s="6" t="n">
        <f aca="false">(w_ntm28*Sens!G15626+(1-w_ntm28)*Sens!H15626)*m_sw</f>
        <v>41.5082043575294</v>
      </c>
    </row>
    <row r="15644" customFormat="false" ht="17.15" hidden="false" customHeight="false" outlineLevel="0" collapsed="false">
      <c r="A15644" s="1" t="s">
        <v>1259</v>
      </c>
      <c r="B15644" s="0" t="s">
        <v>98</v>
      </c>
      <c r="C15644" s="6" t="n">
        <f aca="false">(w_ntm28*Sens!G15627+(1-w_ntm28)*Sens!H15627)*m_ads</f>
        <v>115.091736926502</v>
      </c>
    </row>
    <row r="15645" customFormat="false" ht="17.15" hidden="false" customHeight="false" outlineLevel="0" collapsed="false">
      <c r="A15645" s="1" t="s">
        <v>1260</v>
      </c>
      <c r="B15645" s="0" t="s">
        <v>98</v>
      </c>
      <c r="C15645" s="6" t="n">
        <f aca="false">(w_ntm28*Sens!G15632+(1-w_ntm28)*Sens!H15632)*m_game</f>
        <v>98.675676816008</v>
      </c>
    </row>
    <row r="15646" customFormat="false" ht="17.15" hidden="false" customHeight="false" outlineLevel="0" collapsed="false">
      <c r="A15646" s="1" t="s">
        <v>1261</v>
      </c>
      <c r="B15646" s="0" t="s">
        <v>98</v>
      </c>
      <c r="C15646" s="6" t="n">
        <f aca="false">(w_ntm28*Sens!G15633+(1-w_ntm28)*Sens!H15633)*m_pc</f>
        <v>91.4822745673992</v>
      </c>
    </row>
    <row r="15647" customFormat="false" ht="17.15" hidden="false" customHeight="false" outlineLevel="0" collapsed="false">
      <c r="A15647" s="1" t="s">
        <v>1262</v>
      </c>
      <c r="B15647" s="0" t="s">
        <v>98</v>
      </c>
      <c r="C15647" s="6" t="n">
        <f aca="false">Sens!$C$15637+Sens!$C$15639+Sens!$C$15640+Sens!$C$15641+Sens!$C$15642+Sens!$C$15643+Sens!$C$15644+Sens!$C$15645+Sens!$C$15646</f>
        <v>2363.44427038931</v>
      </c>
    </row>
    <row r="15648" customFormat="false" ht="17.15" hidden="false" customHeight="false" outlineLevel="0" collapsed="false">
      <c r="A15648" s="1" t="s">
        <v>1263</v>
      </c>
      <c r="B15648" s="0" t="s">
        <v>98</v>
      </c>
      <c r="C15648" s="6" t="n">
        <f aca="false">(Sens!G15609-Sens!G15634)*t_stub</f>
        <v>48.091489425324</v>
      </c>
      <c r="L15648" s="1" t="s">
        <v>1264</v>
      </c>
    </row>
    <row r="15649" customFormat="false" ht="17.15" hidden="false" customHeight="false" outlineLevel="0" collapsed="false">
      <c r="A15649" s="1" t="s">
        <v>1173</v>
      </c>
      <c r="B15649" s="0" t="s">
        <v>98</v>
      </c>
      <c r="C15649" s="6" t="n">
        <f aca="false">Sens!F15596+oai_v-Sens!F15585+Sens!$C$15648</f>
        <v>143.079074432642</v>
      </c>
      <c r="L15649" s="1" t="s">
        <v>1265</v>
      </c>
    </row>
    <row r="15650" customFormat="false" ht="17.15" hidden="false" customHeight="false" outlineLevel="0" collapsed="false">
      <c r="A15650" s="1" t="s">
        <v>1266</v>
      </c>
      <c r="B15650" s="0" t="s">
        <v>75</v>
      </c>
      <c r="C15650" s="5" t="n">
        <f aca="false">(Sens!$C$15647+Sens!$C$15649)/(Sens!F15598+dil_gap)-Sens!G15588*roll_div_q/q_per_yr</f>
        <v>333.341949415948</v>
      </c>
      <c r="L15650" s="1" t="s">
        <v>1267</v>
      </c>
    </row>
    <row r="15651" customFormat="false" ht="17.15" hidden="false" customHeight="false" outlineLevel="0" collapsed="false">
      <c r="A15651" s="1" t="s">
        <v>1268</v>
      </c>
      <c r="B15651" s="0" t="s">
        <v>75</v>
      </c>
      <c r="C15651" s="5" t="n">
        <f aca="false">w_dcf*Sens!$C$15621+(1-w_dcf)*Sens!$C$15650</f>
        <v>272.629001242697</v>
      </c>
    </row>
    <row r="15652" customFormat="false" ht="17.15" hidden="false" customHeight="false" outlineLevel="0" collapsed="false">
      <c r="A15652" s="3" t="s">
        <v>1997</v>
      </c>
    </row>
    <row r="15653" customFormat="false" ht="15" hidden="false" customHeight="false" outlineLevel="0" collapsed="false">
      <c r="A15653" s="4" t="s">
        <v>43</v>
      </c>
      <c r="B15653" s="4" t="s">
        <v>65</v>
      </c>
      <c r="C15653" s="23" t="s">
        <v>942</v>
      </c>
      <c r="D15653" s="23" t="s">
        <v>943</v>
      </c>
      <c r="E15653" s="23" t="s">
        <v>944</v>
      </c>
      <c r="F15653" s="23" t="s">
        <v>945</v>
      </c>
      <c r="G15653" s="23" t="s">
        <v>946</v>
      </c>
      <c r="H15653" s="23" t="s">
        <v>947</v>
      </c>
      <c r="I15653" s="23" t="s">
        <v>948</v>
      </c>
      <c r="J15653" s="23" t="s">
        <v>949</v>
      </c>
      <c r="K15653" s="23" t="s">
        <v>950</v>
      </c>
      <c r="L15653" s="4" t="s">
        <v>47</v>
      </c>
    </row>
    <row r="15654" customFormat="false" ht="17.15" hidden="false" customHeight="false" outlineLevel="0" collapsed="false">
      <c r="A15654" s="1" t="s">
        <v>1216</v>
      </c>
      <c r="B15654" s="1" t="s">
        <v>279</v>
      </c>
      <c r="F15654" s="8" t="n">
        <f aca="false">(1-v_off)*mid_yr</f>
        <v>0.373972602739726</v>
      </c>
      <c r="G15654" s="8" t="n">
        <f aca="false">Thesis!G6-base_fy-mid_yr-v_off</f>
        <v>1.24794520547945</v>
      </c>
      <c r="H15654" s="8" t="n">
        <f aca="false">Thesis!H6-base_fy-mid_yr-v_off</f>
        <v>2.24794520547945</v>
      </c>
      <c r="I15654" s="8" t="n">
        <f aca="false">Thesis!I6-base_fy-mid_yr-v_off</f>
        <v>3.24794520547945</v>
      </c>
      <c r="J15654" s="8" t="n">
        <f aca="false">Thesis!J6-base_fy-mid_yr-v_off</f>
        <v>4.24794520547945</v>
      </c>
      <c r="K15654" s="8" t="n">
        <f aca="false">Thesis!K6-base_fy-mid_yr-v_off</f>
        <v>5.24794520547945</v>
      </c>
      <c r="L15654" s="12" t="s">
        <v>1217</v>
      </c>
    </row>
    <row r="15655" customFormat="false" ht="15" hidden="false" customHeight="false" outlineLevel="0" collapsed="false">
      <c r="A15655" s="1" t="s">
        <v>1218</v>
      </c>
      <c r="B15655" s="1" t="s">
        <v>279</v>
      </c>
      <c r="F15655" s="8" t="n">
        <f aca="false">Thesis!F6-base_fy-v_off</f>
        <v>0.747945205479452</v>
      </c>
      <c r="G15655" s="8" t="n">
        <f aca="false">Thesis!G6-base_fy-v_off</f>
        <v>1.74794520547945</v>
      </c>
      <c r="H15655" s="8" t="n">
        <f aca="false">Thesis!H6-base_fy-v_off</f>
        <v>2.74794520547945</v>
      </c>
      <c r="I15655" s="8" t="n">
        <f aca="false">Thesis!I6-base_fy-v_off</f>
        <v>3.74794520547945</v>
      </c>
      <c r="J15655" s="8" t="n">
        <f aca="false">Thesis!J6-base_fy-v_off</f>
        <v>4.74794520547945</v>
      </c>
      <c r="K15655" s="8" t="n">
        <f aca="false">Thesis!K6-base_fy-v_off</f>
        <v>5.74794520547945</v>
      </c>
    </row>
    <row r="15656" customFormat="false" ht="15" hidden="false" customHeight="false" outlineLevel="0" collapsed="false">
      <c r="A15656" s="1" t="s">
        <v>1219</v>
      </c>
      <c r="B15656" s="0" t="s">
        <v>229</v>
      </c>
      <c r="F15656" s="15" t="n">
        <f aca="false">1/(1+wacc)^Sens!F15654</f>
        <v>0.964022703286649</v>
      </c>
      <c r="G15656" s="15" t="n">
        <f aca="false">1/(1+wacc)^Sens!G15654</f>
        <v>0.884910302296739</v>
      </c>
      <c r="H15656" s="15" t="n">
        <f aca="false">1/(1+wacc)^Sens!H15654</f>
        <v>0.802322009770358</v>
      </c>
      <c r="I15656" s="15" t="n">
        <f aca="false">1/(1+wacc)^Sens!I15654</f>
        <v>0.727441646561469</v>
      </c>
      <c r="J15656" s="15" t="n">
        <f aca="false">1/(1+wacc)^Sens!J15654</f>
        <v>0.659549834988973</v>
      </c>
      <c r="K15656" s="15" t="n">
        <f aca="false">1/(1+wacc)^Sens!K15654</f>
        <v>0.597994336576966</v>
      </c>
    </row>
    <row r="15657" customFormat="false" ht="17.15" hidden="false" customHeight="false" outlineLevel="0" collapsed="false">
      <c r="A15657" s="1" t="s">
        <v>1220</v>
      </c>
      <c r="B15657" s="0" t="s">
        <v>98</v>
      </c>
      <c r="F15657" s="6" t="n">
        <f aca="false">Q!$I$35-Q!$I$39-Q!$I$43</f>
        <v>9.666</v>
      </c>
      <c r="L15657" s="12" t="s">
        <v>1221</v>
      </c>
    </row>
    <row r="15658" customFormat="false" ht="17.15" hidden="false" customHeight="false" outlineLevel="0" collapsed="false">
      <c r="A15658" s="1" t="s">
        <v>1222</v>
      </c>
      <c r="B15658" s="0" t="s">
        <v>98</v>
      </c>
      <c r="F15658" s="6" t="n">
        <f aca="false">CF!F23-CF!F20-CF!F27+Thesis!F47*(1-tax_f)*(1-v_off)-Sens!F15657</f>
        <v>-1.12880264559539</v>
      </c>
      <c r="G15658" s="6" t="n">
        <f aca="false">CF!G23-CF!G20-CF!G27+Thesis!G47*(1-tax_f)</f>
        <v>38.7194421947551</v>
      </c>
      <c r="H15658" s="6" t="n">
        <f aca="false">CF!H23-CF!H20-CF!H27+Thesis!H47*(1-tax_f)</f>
        <v>98.6927474567662</v>
      </c>
      <c r="I15658" s="6" t="n">
        <f aca="false">CF!I23-CF!I20-CF!I27+Thesis!I47*(1-tax_f)</f>
        <v>181.625440536277</v>
      </c>
      <c r="J15658" s="6" t="n">
        <f aca="false">CF!J23-CF!J20-CF!J27+Thesis!J47*(1-tax_f)</f>
        <v>263.350402418584</v>
      </c>
      <c r="K15658" s="6" t="n">
        <f aca="false">CF!K23-CF!K20-CF!K27+Thesis!K47*(1-tax_f)</f>
        <v>303.659068389018</v>
      </c>
      <c r="L15658" s="1" t="s">
        <v>1223</v>
      </c>
    </row>
    <row r="15659" customFormat="false" ht="15" hidden="false" customHeight="false" outlineLevel="0" collapsed="false">
      <c r="A15659" s="1" t="s">
        <v>1224</v>
      </c>
      <c r="B15659" s="0" t="s">
        <v>98</v>
      </c>
      <c r="F15659" s="6" t="n">
        <f aca="false">Sens!F15658*Sens!F15656</f>
        <v>-1.08819137788399</v>
      </c>
      <c r="G15659" s="6" t="n">
        <f aca="false">Sens!G15658*Sens!G15656</f>
        <v>34.2632332973219</v>
      </c>
      <c r="H15659" s="6" t="n">
        <f aca="false">Sens!H15658*Sens!H15656</f>
        <v>79.183363489271</v>
      </c>
      <c r="I15659" s="6" t="n">
        <f aca="false">Sens!I15658*Sens!I15656</f>
        <v>132.121909521162</v>
      </c>
      <c r="J15659" s="6" t="n">
        <f aca="false">Sens!J15658*Sens!J15656</f>
        <v>173.692714459456</v>
      </c>
      <c r="K15659" s="6" t="n">
        <f aca="false">Sens!K15658*Sens!K15656</f>
        <v>181.58640314687</v>
      </c>
    </row>
    <row r="15660" customFormat="false" ht="17.15" hidden="false" customHeight="false" outlineLevel="0" collapsed="false">
      <c r="A15660" s="1" t="s">
        <v>1225</v>
      </c>
      <c r="B15660" s="0" t="s">
        <v>98</v>
      </c>
      <c r="C15660" s="6" t="n">
        <f aca="false">SUM(Sens!F15659:K15659)</f>
        <v>599.759432536197</v>
      </c>
    </row>
    <row r="15661" customFormat="false" ht="17.15" hidden="false" customHeight="false" outlineLevel="0" collapsed="false">
      <c r="A15661" s="1" t="s">
        <v>1226</v>
      </c>
      <c r="B15661" s="0" t="s">
        <v>98</v>
      </c>
      <c r="C15661" s="6" t="n">
        <f aca="false">PL!K39*(1+g_tv)*(1-tax_f)</f>
        <v>316.501318799308</v>
      </c>
    </row>
    <row r="15662" customFormat="false" ht="17.15" hidden="false" customHeight="false" outlineLevel="0" collapsed="false">
      <c r="A15662" s="1" t="s">
        <v>1998</v>
      </c>
      <c r="B15662" s="0" t="s">
        <v>98</v>
      </c>
      <c r="C15662" s="6" t="n">
        <f aca="false">Val!K76*(1+g_tv)</f>
        <v>312.768840440688</v>
      </c>
    </row>
    <row r="15663" customFormat="false" ht="17.15" hidden="false" customHeight="false" outlineLevel="0" collapsed="false">
      <c r="A15663" s="1" t="s">
        <v>1228</v>
      </c>
      <c r="B15663" s="0" t="s">
        <v>98</v>
      </c>
      <c r="C15663" s="6" t="n">
        <f aca="false">Sens!$C$15662/(wacc-g_tv)</f>
        <v>4288.22949339625</v>
      </c>
    </row>
    <row r="15664" customFormat="false" ht="15" hidden="false" customHeight="false" outlineLevel="0" collapsed="false">
      <c r="A15664" s="1" t="s">
        <v>1229</v>
      </c>
      <c r="B15664" s="0" t="s">
        <v>98</v>
      </c>
      <c r="C15664" s="6" t="n">
        <f aca="false">Sens!$C$15663/(1+wacc)^Sens!K15655</f>
        <v>2441.74224945389</v>
      </c>
    </row>
    <row r="15665" customFormat="false" ht="17.15" hidden="false" customHeight="false" outlineLevel="0" collapsed="false">
      <c r="A15665" s="0" t="s">
        <v>1230</v>
      </c>
      <c r="B15665" s="0" t="s">
        <v>98</v>
      </c>
      <c r="C15665" s="6" t="n">
        <f aca="false">Sens!$C$15660+Sens!$C$15664</f>
        <v>3041.50168199008</v>
      </c>
    </row>
    <row r="15666" customFormat="false" ht="15" hidden="false" customHeight="false" outlineLevel="0" collapsed="false">
      <c r="A15666" s="1" t="s">
        <v>1145</v>
      </c>
      <c r="B15666" s="0" t="s">
        <v>168</v>
      </c>
      <c r="C15666" s="7" t="n">
        <f aca="false">Sens!$C$15664/Sens!$C$15665</f>
        <v>0.802808120709712</v>
      </c>
    </row>
    <row r="15667" customFormat="false" ht="17.15" hidden="false" customHeight="false" outlineLevel="0" collapsed="false">
      <c r="A15667" s="1" t="s">
        <v>1231</v>
      </c>
      <c r="B15667" s="0" t="s">
        <v>98</v>
      </c>
      <c r="C15667" s="6" t="n">
        <f aca="false">Sens!$C$15665+cash_val-debt_val-fl_val+oai_v</f>
        <v>3157.35268199008</v>
      </c>
    </row>
    <row r="15668" customFormat="false" ht="17.15" hidden="false" customHeight="false" outlineLevel="0" collapsed="false">
      <c r="A15668" s="0" t="s">
        <v>1153</v>
      </c>
      <c r="B15668" s="0" t="s">
        <v>75</v>
      </c>
      <c r="C15668" s="5" t="n">
        <f aca="false">Sens!$C$15667/shd_val</f>
        <v>424.033398064744</v>
      </c>
    </row>
    <row r="15669" customFormat="false" ht="15" hidden="false" customHeight="false" outlineLevel="0" collapsed="false">
      <c r="A15669" s="1" t="s">
        <v>1232</v>
      </c>
      <c r="B15669" s="0" t="s">
        <v>75</v>
      </c>
      <c r="C15669" s="8" t="n">
        <f aca="false">div_rem27+CF!G31*roll_div_q/q_per_yr</f>
        <v>3.9795</v>
      </c>
    </row>
    <row r="15670" customFormat="false" ht="17.15" hidden="false" customHeight="false" outlineLevel="0" collapsed="false">
      <c r="A15670" s="0" t="s">
        <v>1233</v>
      </c>
      <c r="B15670" s="0" t="s">
        <v>75</v>
      </c>
      <c r="C15670" s="5" t="n">
        <f aca="false">Sens!$C$15668*(1+wacc)^t_roll-Sens!$C$15669</f>
        <v>467.357287568313</v>
      </c>
    </row>
    <row r="15671" customFormat="false" ht="17.15" hidden="false" customHeight="false" outlineLevel="0" collapsed="false">
      <c r="A15671" s="1" t="s">
        <v>1234</v>
      </c>
      <c r="B15671" s="0" t="s">
        <v>168</v>
      </c>
      <c r="F15671" s="7" t="n">
        <f aca="false">CF!F17/(Seg!F29-Thesis!F25)</f>
        <v>0.0685527305696859</v>
      </c>
      <c r="G15671" s="7" t="n">
        <f aca="false">CF!G17/(Seg!G29-Thesis!G25)</f>
        <v>0.0653567731599844</v>
      </c>
      <c r="H15671" s="7" t="n">
        <f aca="false">CF!H17/(Seg!H29-Thesis!H25)</f>
        <v>0.0636628841026972</v>
      </c>
      <c r="I15671" s="7" t="n">
        <f aca="false">CF!I17/(Seg!I29-Thesis!I25)</f>
        <v>0.0633581084335176</v>
      </c>
      <c r="J15671" s="7" t="n">
        <f aca="false">CF!J17/(Seg!J29-Thesis!J25)</f>
        <v>0.0640873955995062</v>
      </c>
      <c r="K15671" s="7" t="n">
        <f aca="false">CF!K17/(Seg!K29-Thesis!K25)</f>
        <v>0.0653962234835198</v>
      </c>
    </row>
    <row r="15672" customFormat="false" ht="17.15" hidden="false" customHeight="false" outlineLevel="0" collapsed="false">
      <c r="A15672" s="0" t="s">
        <v>1235</v>
      </c>
      <c r="B15672" s="0" t="s">
        <v>98</v>
      </c>
      <c r="F15672" s="6" t="n">
        <f aca="false">Seg!F14*(al_m365+Sens!F15671+sbc_r)</f>
        <v>84.5213906545575</v>
      </c>
      <c r="G15672" s="6" t="n">
        <f aca="false">Seg!G14*(al_m365+Sens!G15671+sbc_r)</f>
        <v>98.949983331796</v>
      </c>
      <c r="H15672" s="6" t="n">
        <f aca="false">Seg!H14*(al_m365+Sens!H15671+sbc_r)</f>
        <v>113.543734275326</v>
      </c>
      <c r="I15672" s="6" t="n">
        <f aca="false">Seg!I14*(al_m365+Sens!I15671+sbc_r)</f>
        <v>126.62058838692</v>
      </c>
      <c r="J15672" s="6" t="n">
        <f aca="false">Seg!J14*(al_m365+Sens!J15671+sbc_r)</f>
        <v>137.994660156303</v>
      </c>
      <c r="K15672" s="6" t="n">
        <f aca="false">Seg!K14*(al_m365+Sens!K15671+sbc_r)</f>
        <v>148.989224092997</v>
      </c>
      <c r="L15672" s="12" t="s">
        <v>1236</v>
      </c>
    </row>
    <row r="15673" customFormat="false" ht="17.15" hidden="false" customHeight="false" outlineLevel="0" collapsed="false">
      <c r="A15673" s="0" t="s">
        <v>1237</v>
      </c>
      <c r="B15673" s="0" t="s">
        <v>98</v>
      </c>
      <c r="F15673" s="6" t="n">
        <f aca="false">Seg!F15*(al_lic+Sens!F15671+sbc_r)</f>
        <v>32.855200196554</v>
      </c>
      <c r="G15673" s="6" t="n">
        <f aca="false">Seg!G15*(al_lic+Sens!G15671+sbc_r)</f>
        <v>34.1185582613282</v>
      </c>
      <c r="H15673" s="6" t="n">
        <f aca="false">Seg!H15*(al_lic+Sens!H15671+sbc_r)</f>
        <v>35.3024309363621</v>
      </c>
      <c r="I15673" s="6" t="n">
        <f aca="false">Seg!I15*(al_lic+Sens!I15671+sbc_r)</f>
        <v>36.3898468129533</v>
      </c>
      <c r="J15673" s="6" t="n">
        <f aca="false">Seg!J15*(al_lic+Sens!J15671+sbc_r)</f>
        <v>37.3529129529876</v>
      </c>
      <c r="K15673" s="6" t="n">
        <f aca="false">Seg!K15*(al_lic+Sens!K15671+sbc_r)</f>
        <v>38.158536171203</v>
      </c>
    </row>
    <row r="15674" customFormat="false" ht="17.15" hidden="false" customHeight="false" outlineLevel="0" collapsed="false">
      <c r="A15674" s="0" t="s">
        <v>1238</v>
      </c>
      <c r="B15674" s="0" t="s">
        <v>98</v>
      </c>
      <c r="F15674" s="6" t="n">
        <f aca="false">Seg!F17*(al_ind+Sens!F15671+sbc_r)</f>
        <v>9.05892547956683</v>
      </c>
      <c r="G15674" s="6" t="n">
        <f aca="false">Seg!G17*(al_ind+Sens!G15671+sbc_r)</f>
        <v>9.82456487622418</v>
      </c>
      <c r="H15674" s="6" t="n">
        <f aca="false">Seg!H17*(al_ind+Sens!H15671+sbc_r)</f>
        <v>10.6377408477959</v>
      </c>
      <c r="I15674" s="6" t="n">
        <f aca="false">Seg!I17*(al_ind+Sens!I15671+sbc_r)</f>
        <v>11.4966323260293</v>
      </c>
      <c r="J15674" s="6" t="n">
        <f aca="false">Seg!J17*(al_ind+Sens!J15671+sbc_r)</f>
        <v>12.3903660286279</v>
      </c>
      <c r="K15674" s="6" t="n">
        <f aca="false">Seg!K17*(al_ind+Sens!K15671+sbc_r)</f>
        <v>13.3009129057681</v>
      </c>
    </row>
    <row r="15675" customFormat="false" ht="17.15" hidden="false" customHeight="false" outlineLevel="0" collapsed="false">
      <c r="A15675" s="0" t="s">
        <v>1239</v>
      </c>
      <c r="B15675" s="0" t="s">
        <v>98</v>
      </c>
      <c r="F15675" s="6" t="n">
        <f aca="false">Seg!F19*(al_fro+Sens!F15671+sbc_r)</f>
        <v>3.55344443532423</v>
      </c>
      <c r="G15675" s="6" t="n">
        <f aca="false">Seg!G19*(al_fro+Sens!G15671+sbc_r)</f>
        <v>3.75916645971565</v>
      </c>
      <c r="H15675" s="6" t="n">
        <f aca="false">Seg!H19*(al_fro+Sens!H15671+sbc_r)</f>
        <v>3.994970960527</v>
      </c>
      <c r="I15675" s="6" t="n">
        <f aca="false">Seg!I19*(al_fro+Sens!I15671+sbc_r)</f>
        <v>4.26396270432353</v>
      </c>
      <c r="J15675" s="6" t="n">
        <f aca="false">Seg!J19*(al_fro+Sens!J15671+sbc_r)</f>
        <v>4.5667795874336</v>
      </c>
      <c r="K15675" s="6" t="n">
        <f aca="false">Seg!K19*(al_fro+Sens!K15671+sbc_r)</f>
        <v>4.90238443416026</v>
      </c>
    </row>
    <row r="15676" customFormat="false" ht="17.15" hidden="false" customHeight="false" outlineLevel="0" collapsed="false">
      <c r="A15676" s="0" t="s">
        <v>1240</v>
      </c>
      <c r="B15676" s="0" t="s">
        <v>98</v>
      </c>
      <c r="F15676" s="6" t="n">
        <f aca="false">Seg!F22*(al_srch+Sens!F15671+sbc_r)</f>
        <v>11.1872483445711</v>
      </c>
      <c r="G15676" s="6" t="n">
        <f aca="false">Seg!G22*(al_srch+Sens!G15671+sbc_r)</f>
        <v>12.247246048296</v>
      </c>
      <c r="H15676" s="6" t="n">
        <f aca="false">Seg!H22*(al_srch+Sens!H15671+sbc_r)</f>
        <v>13.3552870946193</v>
      </c>
      <c r="I15676" s="6" t="n">
        <f aca="false">Seg!I22*(al_srch+Sens!I15671+sbc_r)</f>
        <v>14.5024145321619</v>
      </c>
      <c r="J15676" s="6" t="n">
        <f aca="false">Seg!J22*(al_srch+Sens!J15671+sbc_r)</f>
        <v>15.667276660652</v>
      </c>
      <c r="K15676" s="6" t="n">
        <f aca="false">Seg!K22*(al_srch+Sens!K15671+sbc_r)</f>
        <v>16.8186381138719</v>
      </c>
    </row>
    <row r="15677" customFormat="false" ht="17.15" hidden="false" customHeight="false" outlineLevel="0" collapsed="false">
      <c r="A15677" s="0" t="s">
        <v>1241</v>
      </c>
      <c r="B15677" s="0" t="s">
        <v>98</v>
      </c>
      <c r="F15677" s="6" t="n">
        <f aca="false">Thesis!F31-Thesis!F32+Thesis!F47</f>
        <v>45.3782580567763</v>
      </c>
      <c r="G15677" s="6" t="n">
        <f aca="false">Thesis!G31-Thesis!G32+Thesis!G47</f>
        <v>91.0863367558165</v>
      </c>
      <c r="H15677" s="6" t="n">
        <f aca="false">Thesis!H31-Thesis!H32+Thesis!H47</f>
        <v>144.617532464853</v>
      </c>
      <c r="I15677" s="6" t="n">
        <f aca="false">Thesis!I31-Thesis!I32+Thesis!I47</f>
        <v>187.137304561304</v>
      </c>
      <c r="J15677" s="6" t="n">
        <f aca="false">Thesis!J31-Thesis!J32+Thesis!J47</f>
        <v>217.006854425907</v>
      </c>
      <c r="K15677" s="6" t="n">
        <f aca="false">Thesis!K31-Thesis!K32+Thesis!K47</f>
        <v>234.933637903877</v>
      </c>
    </row>
    <row r="15678" customFormat="false" ht="17.15" hidden="false" customHeight="false" outlineLevel="0" collapsed="false">
      <c r="A15678" s="0" t="s">
        <v>1242</v>
      </c>
      <c r="B15678" s="0" t="s">
        <v>98</v>
      </c>
      <c r="F15678" s="6" t="n">
        <f aca="false">PL!F32+Thesis!F47+Thesis!F43+Sens!F15671*(Seg!F21-Thesis!F25)+sbc_r*Seg!F21</f>
        <v>240.818167741339</v>
      </c>
      <c r="G15678" s="6" t="n">
        <f aca="false">PL!G32+Thesis!G47+Thesis!G43+Sens!G15671*(Seg!G21-Thesis!G25)+sbc_r*Seg!G21</f>
        <v>311.917784140952</v>
      </c>
      <c r="H15678" s="6" t="n">
        <f aca="false">PL!H32+Thesis!H47+Thesis!H43+Sens!H15671*(Seg!H21-Thesis!H25)+sbc_r*Seg!H21</f>
        <v>395.486245683473</v>
      </c>
      <c r="I15678" s="6" t="n">
        <f aca="false">PL!I32+Thesis!I47+Thesis!I43+Sens!I15671*(Seg!I21-Thesis!I25)+sbc_r*Seg!I21</f>
        <v>465.950805948377</v>
      </c>
      <c r="J15678" s="6" t="n">
        <f aca="false">PL!J32+Thesis!J47+Thesis!J43+Sens!J15671*(Seg!J21-Thesis!J25)+sbc_r*Seg!J21</f>
        <v>520.78677388057</v>
      </c>
      <c r="K15678" s="6" t="n">
        <f aca="false">PL!K32+Thesis!K47+Thesis!K43+Sens!K15671*(Seg!K21-Thesis!K25)+sbc_r*Seg!K21</f>
        <v>561.2469767412</v>
      </c>
    </row>
    <row r="15679" customFormat="false" ht="17.15" hidden="false" customHeight="false" outlineLevel="0" collapsed="false">
      <c r="A15679" s="0" t="s">
        <v>1243</v>
      </c>
      <c r="B15679" s="0" t="s">
        <v>98</v>
      </c>
      <c r="F15679" s="6" t="n">
        <f aca="false">Sens!F15678-Sens!F15672-Sens!F15673-Sens!F15674-Sens!F15675-Sens!F15677</f>
        <v>65.4509489185601</v>
      </c>
      <c r="G15679" s="6" t="n">
        <f aca="false">Sens!G15678-Sens!G15672-Sens!G15673-Sens!G15674-Sens!G15675-Sens!G15677</f>
        <v>74.1791744560715</v>
      </c>
      <c r="H15679" s="6" t="n">
        <f aca="false">Sens!H15678-Sens!H15672-Sens!H15673-Sens!H15674-Sens!H15675-Sens!H15677</f>
        <v>87.3898361986086</v>
      </c>
      <c r="I15679" s="6" t="n">
        <f aca="false">Sens!I15678-Sens!I15672-Sens!I15673-Sens!I15674-Sens!I15675-Sens!I15677</f>
        <v>100.042471156846</v>
      </c>
      <c r="J15679" s="6" t="n">
        <f aca="false">Sens!J15678-Sens!J15672-Sens!J15673-Sens!J15674-Sens!J15675-Sens!J15677</f>
        <v>111.475200729312</v>
      </c>
      <c r="K15679" s="6" t="n">
        <f aca="false">Sens!K15678-Sens!K15672-Sens!K15673-Sens!K15674-Sens!K15675-Sens!K15677</f>
        <v>120.962281233195</v>
      </c>
    </row>
    <row r="15680" customFormat="false" ht="17.15" hidden="false" customHeight="false" outlineLevel="0" collapsed="false">
      <c r="A15680" s="0" t="s">
        <v>1244</v>
      </c>
      <c r="B15680" s="0" t="s">
        <v>98</v>
      </c>
      <c r="F15680" s="6" t="n">
        <f aca="false">PL!F34+Sens!F15671*Seg!F28+sbc_r*Seg!F28</f>
        <v>26.6293388420472</v>
      </c>
      <c r="G15680" s="6" t="n">
        <f aca="false">PL!G34+Sens!G15671*Seg!G28+sbc_r*Seg!G28</f>
        <v>26.4405000412783</v>
      </c>
      <c r="H15680" s="6" t="n">
        <f aca="false">PL!H34+Sens!H15671*Seg!H28+sbc_r*Seg!H28</f>
        <v>27.296860059552</v>
      </c>
      <c r="I15680" s="6" t="n">
        <f aca="false">PL!I34+Sens!I15671*Seg!I28+sbc_r*Seg!I28</f>
        <v>28.3995465815703</v>
      </c>
      <c r="J15680" s="6" t="n">
        <f aca="false">PL!J34+Sens!J15671*Seg!J28+sbc_r*Seg!J28</f>
        <v>29.7093380975903</v>
      </c>
      <c r="K15680" s="6" t="n">
        <f aca="false">PL!K34+Sens!K15671*Seg!K28+sbc_r*Seg!K28</f>
        <v>31.1817775287323</v>
      </c>
    </row>
    <row r="15681" customFormat="false" ht="17.15" hidden="false" customHeight="false" outlineLevel="0" collapsed="false">
      <c r="A15681" s="0" t="s">
        <v>1245</v>
      </c>
      <c r="B15681" s="0" t="s">
        <v>98</v>
      </c>
      <c r="F15681" s="6" t="n">
        <f aca="false">(Sens!F15680-Sens!F15676)*Seg!F24/(Seg!F24+Seg!F26)</f>
        <v>8.72146908842971</v>
      </c>
      <c r="G15681" s="6" t="n">
        <f aca="false">(Sens!G15680-Sens!G15676)*Seg!G24/(Seg!G24+Seg!G26)</f>
        <v>7.87837655379173</v>
      </c>
      <c r="H15681" s="6" t="n">
        <f aca="false">(Sens!H15680-Sens!H15676)*Seg!H24/(Seg!H24+Seg!H26)</f>
        <v>7.63786170689933</v>
      </c>
      <c r="I15681" s="6" t="n">
        <f aca="false">(Sens!I15680-Sens!I15676)*Seg!I24/(Seg!I24+Seg!I26)</f>
        <v>7.5470606300581</v>
      </c>
      <c r="J15681" s="6" t="n">
        <f aca="false">(Sens!J15680-Sens!J15676)*Seg!J24/(Seg!J24+Seg!J26)</f>
        <v>7.59249600034024</v>
      </c>
      <c r="K15681" s="6" t="n">
        <f aca="false">(Sens!K15680-Sens!K15676)*Seg!K24/(Seg!K24+Seg!K26)</f>
        <v>7.76610179704742</v>
      </c>
    </row>
    <row r="15682" customFormat="false" ht="17.15" hidden="false" customHeight="false" outlineLevel="0" collapsed="false">
      <c r="A15682" s="0" t="s">
        <v>1246</v>
      </c>
      <c r="B15682" s="0" t="s">
        <v>98</v>
      </c>
      <c r="F15682" s="6" t="n">
        <f aca="false">Sens!F15680-Sens!F15676-Sens!F15681</f>
        <v>6.72062140904636</v>
      </c>
      <c r="G15682" s="6" t="n">
        <f aca="false">Sens!G15680-Sens!G15676-Sens!G15681</f>
        <v>6.31487743919059</v>
      </c>
      <c r="H15682" s="6" t="n">
        <f aca="false">Sens!H15680-Sens!H15676-Sens!H15681</f>
        <v>6.30371125803333</v>
      </c>
      <c r="I15682" s="6" t="n">
        <f aca="false">Sens!I15680-Sens!I15676-Sens!I15681</f>
        <v>6.35007141935025</v>
      </c>
      <c r="J15682" s="6" t="n">
        <f aca="false">Sens!J15680-Sens!J15676-Sens!J15681</f>
        <v>6.44956543659808</v>
      </c>
      <c r="K15682" s="6" t="n">
        <f aca="false">Sens!K15680-Sens!K15676-Sens!K15681</f>
        <v>6.597037617813</v>
      </c>
    </row>
    <row r="15683" customFormat="false" ht="17.15" hidden="false" customHeight="false" outlineLevel="0" collapsed="false">
      <c r="A15683" s="0" t="s">
        <v>1247</v>
      </c>
      <c r="B15683" s="0" t="s">
        <v>98</v>
      </c>
      <c r="F15683" s="6" t="n">
        <f aca="false">Sens!F15677-tax_f*(Sens!F15677-Thesis!F43)-Thesis!F40</f>
        <v>-125.235434701028</v>
      </c>
      <c r="G15683" s="6" t="n">
        <f aca="false">Sens!G15677-tax_f*(Sens!G15677-Thesis!G43)-Thesis!G40</f>
        <v>-106.928508113935</v>
      </c>
      <c r="H15683" s="6" t="n">
        <f aca="false">Sens!H15677-tax_f*(Sens!H15677-Thesis!H43)-Thesis!H40</f>
        <v>-63.2919599603405</v>
      </c>
      <c r="I15683" s="6" t="n">
        <f aca="false">Sens!I15677-tax_f*(Sens!I15677-Thesis!I43)-Thesis!I40</f>
        <v>3.94121196634245</v>
      </c>
      <c r="J15683" s="6" t="n">
        <f aca="false">Sens!J15677-tax_f*(Sens!J15677-Thesis!J43)-Thesis!J40</f>
        <v>71.0786869547042</v>
      </c>
      <c r="K15683" s="6" t="n">
        <f aca="false">Sens!K15677-tax_f*(Sens!K15677-Thesis!K43)-Thesis!K40</f>
        <v>97.5865911685559</v>
      </c>
    </row>
    <row r="15684" customFormat="false" ht="17.15" hidden="false" customHeight="false" outlineLevel="0" collapsed="false">
      <c r="A15684" s="0" t="s">
        <v>1248</v>
      </c>
      <c r="B15684" s="0" t="s">
        <v>98</v>
      </c>
      <c r="G15684" s="6" t="n">
        <f aca="false">Sens!G15683/(1+wacc)^(Sens!G15654-Sens!F15655)</f>
        <v>-101.81651667568</v>
      </c>
      <c r="H15684" s="6" t="n">
        <f aca="false">Sens!H15683/(1+wacc)^(Sens!H15654-Sens!F15655)</f>
        <v>-54.6415143556151</v>
      </c>
      <c r="I15684" s="6" t="n">
        <f aca="false">Sens!I15683/(1+wacc)^(Sens!I15654-Sens!F15655)</f>
        <v>3.08498765169516</v>
      </c>
      <c r="J15684" s="6" t="n">
        <f aca="false">Sens!J15683/(1+wacc)^(Sens!J15654-Sens!F15655)</f>
        <v>50.4443451596971</v>
      </c>
      <c r="K15684" s="6" t="n">
        <f aca="false">Sens!K15683/(1+wacc)^(Sens!K15654-Sens!F15655)</f>
        <v>62.7932114544856</v>
      </c>
      <c r="L15684" s="1" t="s">
        <v>1249</v>
      </c>
    </row>
    <row r="15685" customFormat="false" ht="17.15" hidden="false" customHeight="false" outlineLevel="0" collapsed="false">
      <c r="A15685" s="0" t="s">
        <v>1250</v>
      </c>
      <c r="B15685" s="0" t="s">
        <v>98</v>
      </c>
      <c r="C15685" s="6" t="n">
        <f aca="false">(Sens!K15677-Thesis!K43)*(1-tax_f)*(1+g_tv)*(1-g_tv/(wacc+0))/(wacc-g_tv)/(1+wacc)^(Sens!K15655-Sens!F15655)</f>
        <v>450.836735002813</v>
      </c>
    </row>
    <row r="15686" customFormat="false" ht="17.15" hidden="false" customHeight="false" outlineLevel="0" collapsed="false">
      <c r="A15686" s="1" t="s">
        <v>1251</v>
      </c>
      <c r="B15686" s="0" t="s">
        <v>98</v>
      </c>
      <c r="C15686" s="6" t="n">
        <f aca="false">(SUM(Sens!G15684:K15684)+Sens!$C$15685)*(1+wacc)^(t_roll-Sens!F15655)</f>
        <v>424.259738494477</v>
      </c>
      <c r="L15686" s="12" t="s">
        <v>1252</v>
      </c>
    </row>
    <row r="15687" customFormat="false" ht="17.15" hidden="false" customHeight="false" outlineLevel="0" collapsed="false">
      <c r="A15687" s="1" t="s">
        <v>1253</v>
      </c>
      <c r="B15687" s="0" t="s">
        <v>98</v>
      </c>
      <c r="C15687" s="6" t="n">
        <f aca="false">(w_ntm28*Thesis!G31+(1-w_ntm28)*Thesis!H31)*m_ai</f>
        <v>563.316843258668</v>
      </c>
    </row>
    <row r="15688" customFormat="false" ht="17.15" hidden="false" customHeight="false" outlineLevel="0" collapsed="false">
      <c r="A15688" s="1" t="s">
        <v>1254</v>
      </c>
      <c r="B15688" s="0" t="s">
        <v>98</v>
      </c>
      <c r="C15688" s="6" t="n">
        <f aca="false">(w_ntm28*Sens!G15679+(1-w_ntm28)*Sens!H15679)*m_cloud</f>
        <v>1085.17964696599</v>
      </c>
    </row>
    <row r="15689" customFormat="false" ht="17.15" hidden="false" customHeight="false" outlineLevel="0" collapsed="false">
      <c r="A15689" s="1" t="s">
        <v>1255</v>
      </c>
      <c r="B15689" s="0" t="s">
        <v>98</v>
      </c>
      <c r="C15689" s="6" t="n">
        <f aca="false">(w_ntm28*Sens!G15672+(1-w_ntm28)*Sens!H15672)*m_sw</f>
        <v>1120.47763155275</v>
      </c>
    </row>
    <row r="15690" customFormat="false" ht="17.15" hidden="false" customHeight="false" outlineLevel="0" collapsed="false">
      <c r="A15690" s="1" t="s">
        <v>1256</v>
      </c>
      <c r="B15690" s="0" t="s">
        <v>98</v>
      </c>
      <c r="C15690" s="6" t="n">
        <f aca="false">(w_ntm28*Sens!G15673+(1-w_ntm28)*Sens!H15673)*m_sw</f>
        <v>372.68398809041</v>
      </c>
    </row>
    <row r="15691" customFormat="false" ht="17.15" hidden="false" customHeight="false" outlineLevel="0" collapsed="false">
      <c r="A15691" s="1" t="s">
        <v>1257</v>
      </c>
      <c r="B15691" s="0" t="s">
        <v>98</v>
      </c>
      <c r="C15691" s="6" t="n">
        <f aca="false">(w_ntm28*Sens!G15674+(1-w_ntm28)*Sens!H15674)*m_sw</f>
        <v>108.992632332144</v>
      </c>
    </row>
    <row r="15692" customFormat="false" ht="17.15" hidden="false" customHeight="false" outlineLevel="0" collapsed="false">
      <c r="A15692" s="1" t="s">
        <v>1258</v>
      </c>
      <c r="B15692" s="0" t="s">
        <v>98</v>
      </c>
      <c r="C15692" s="6" t="n">
        <f aca="false">(w_ntm28*Sens!G15675+(1-w_ntm28)*Sens!H15675)*m_sw</f>
        <v>41.4362652527414</v>
      </c>
    </row>
    <row r="15693" customFormat="false" ht="17.15" hidden="false" customHeight="false" outlineLevel="0" collapsed="false">
      <c r="A15693" s="1" t="s">
        <v>1259</v>
      </c>
      <c r="B15693" s="0" t="s">
        <v>98</v>
      </c>
      <c r="C15693" s="6" t="n">
        <f aca="false">(w_ntm28*Sens!G15676+(1-w_ntm28)*Sens!H15676)*m_ads</f>
        <v>114.891070326937</v>
      </c>
    </row>
    <row r="15694" customFormat="false" ht="17.15" hidden="false" customHeight="false" outlineLevel="0" collapsed="false">
      <c r="A15694" s="1" t="s">
        <v>1260</v>
      </c>
      <c r="B15694" s="0" t="s">
        <v>98</v>
      </c>
      <c r="C15694" s="6" t="n">
        <f aca="false">(w_ntm28*Sens!G15681+(1-w_ntm28)*Sens!H15681)*m_game</f>
        <v>98.505199156718</v>
      </c>
    </row>
    <row r="15695" customFormat="false" ht="17.15" hidden="false" customHeight="false" outlineLevel="0" collapsed="false">
      <c r="A15695" s="1" t="s">
        <v>1261</v>
      </c>
      <c r="B15695" s="0" t="s">
        <v>98</v>
      </c>
      <c r="C15695" s="6" t="n">
        <f aca="false">(w_ntm28*Sens!G15682+(1-w_ntm28)*Sens!H15682)*m_pc</f>
        <v>91.3231561150564</v>
      </c>
    </row>
    <row r="15696" customFormat="false" ht="17.15" hidden="false" customHeight="false" outlineLevel="0" collapsed="false">
      <c r="A15696" s="1" t="s">
        <v>1262</v>
      </c>
      <c r="B15696" s="0" t="s">
        <v>98</v>
      </c>
      <c r="C15696" s="6" t="n">
        <f aca="false">Sens!$C$15686+Sens!$C$15688+Sens!$C$15689+Sens!$C$15690+Sens!$C$15691+Sens!$C$15692+Sens!$C$15693+Sens!$C$15694+Sens!$C$15695</f>
        <v>3457.74932828722</v>
      </c>
    </row>
    <row r="15697" customFormat="false" ht="17.15" hidden="false" customHeight="false" outlineLevel="0" collapsed="false">
      <c r="A15697" s="1" t="s">
        <v>1263</v>
      </c>
      <c r="B15697" s="0" t="s">
        <v>98</v>
      </c>
      <c r="C15697" s="6" t="n">
        <f aca="false">(Sens!G15658-Sens!G15683)*t_stub</f>
        <v>48.2832931160316</v>
      </c>
      <c r="L15697" s="1" t="s">
        <v>1264</v>
      </c>
    </row>
    <row r="15698" customFormat="false" ht="17.15" hidden="false" customHeight="false" outlineLevel="0" collapsed="false">
      <c r="A15698" s="1" t="s">
        <v>1173</v>
      </c>
      <c r="B15698" s="0" t="s">
        <v>98</v>
      </c>
      <c r="C15698" s="6" t="n">
        <f aca="false">CF!F39+oai_v-CF!F28+Sens!$C$15697</f>
        <v>162.511563116032</v>
      </c>
      <c r="L15698" s="1" t="s">
        <v>1265</v>
      </c>
    </row>
    <row r="15699" customFormat="false" ht="17.15" hidden="false" customHeight="false" outlineLevel="0" collapsed="false">
      <c r="A15699" s="1" t="s">
        <v>1266</v>
      </c>
      <c r="B15699" s="0" t="s">
        <v>75</v>
      </c>
      <c r="C15699" s="5" t="n">
        <f aca="false">(Sens!$C$15696+Sens!$C$15698)/(CF!F41+dil_gap)-CF!G31*roll_div_q/q_per_yr</f>
        <v>482.289288765653</v>
      </c>
      <c r="L15699" s="1" t="s">
        <v>1267</v>
      </c>
    </row>
    <row r="15700" customFormat="false" ht="17.15" hidden="false" customHeight="false" outlineLevel="0" collapsed="false">
      <c r="A15700" s="1" t="s">
        <v>1268</v>
      </c>
      <c r="B15700" s="0" t="s">
        <v>75</v>
      </c>
      <c r="C15700" s="5" t="n">
        <f aca="false">w_dcf*Sens!$C$15670+(1-w_dcf)*Sens!$C$15699</f>
        <v>474.823288166983</v>
      </c>
    </row>
    <row r="15701" customFormat="false" ht="17.15" hidden="false" customHeight="false" outlineLevel="0" collapsed="false">
      <c r="A15701" s="3" t="s">
        <v>1999</v>
      </c>
    </row>
    <row r="15702" customFormat="false" ht="15" hidden="false" customHeight="false" outlineLevel="0" collapsed="false">
      <c r="A15702" s="4" t="s">
        <v>43</v>
      </c>
      <c r="B15702" s="4" t="s">
        <v>65</v>
      </c>
      <c r="C15702" s="23" t="s">
        <v>942</v>
      </c>
      <c r="D15702" s="23" t="s">
        <v>943</v>
      </c>
      <c r="E15702" s="23" t="s">
        <v>944</v>
      </c>
      <c r="F15702" s="23" t="s">
        <v>945</v>
      </c>
      <c r="G15702" s="23" t="s">
        <v>946</v>
      </c>
      <c r="H15702" s="23" t="s">
        <v>947</v>
      </c>
      <c r="I15702" s="23" t="s">
        <v>948</v>
      </c>
      <c r="J15702" s="23" t="s">
        <v>949</v>
      </c>
      <c r="K15702" s="23" t="s">
        <v>950</v>
      </c>
      <c r="L15702" s="4" t="s">
        <v>47</v>
      </c>
    </row>
    <row r="15703" customFormat="false" ht="17.15" hidden="false" customHeight="false" outlineLevel="0" collapsed="false">
      <c r="A15703" s="1" t="s">
        <v>1216</v>
      </c>
      <c r="B15703" s="1" t="s">
        <v>279</v>
      </c>
      <c r="F15703" s="8" t="n">
        <f aca="false">(1-v_off)*mid_yr</f>
        <v>0.373972602739726</v>
      </c>
      <c r="G15703" s="8" t="n">
        <f aca="false">Thesis!G58-base_fy-mid_yr-v_off</f>
        <v>1.24794520547945</v>
      </c>
      <c r="H15703" s="8" t="n">
        <f aca="false">Thesis!H58-base_fy-mid_yr-v_off</f>
        <v>2.24794520547945</v>
      </c>
      <c r="I15703" s="8" t="n">
        <f aca="false">Thesis!I58-base_fy-mid_yr-v_off</f>
        <v>3.24794520547945</v>
      </c>
      <c r="J15703" s="8" t="n">
        <f aca="false">Thesis!J58-base_fy-mid_yr-v_off</f>
        <v>4.24794520547945</v>
      </c>
      <c r="K15703" s="8" t="n">
        <f aca="false">Thesis!K58-base_fy-mid_yr-v_off</f>
        <v>5.24794520547945</v>
      </c>
      <c r="L15703" s="12" t="s">
        <v>1217</v>
      </c>
    </row>
    <row r="15704" customFormat="false" ht="15" hidden="false" customHeight="false" outlineLevel="0" collapsed="false">
      <c r="A15704" s="1" t="s">
        <v>1218</v>
      </c>
      <c r="B15704" s="1" t="s">
        <v>279</v>
      </c>
      <c r="F15704" s="8" t="n">
        <f aca="false">Thesis!F58-base_fy-v_off</f>
        <v>0.747945205479452</v>
      </c>
      <c r="G15704" s="8" t="n">
        <f aca="false">Thesis!G58-base_fy-v_off</f>
        <v>1.74794520547945</v>
      </c>
      <c r="H15704" s="8" t="n">
        <f aca="false">Thesis!H58-base_fy-v_off</f>
        <v>2.74794520547945</v>
      </c>
      <c r="I15704" s="8" t="n">
        <f aca="false">Thesis!I58-base_fy-v_off</f>
        <v>3.74794520547945</v>
      </c>
      <c r="J15704" s="8" t="n">
        <f aca="false">Thesis!J58-base_fy-v_off</f>
        <v>4.74794520547945</v>
      </c>
      <c r="K15704" s="8" t="n">
        <f aca="false">Thesis!K58-base_fy-v_off</f>
        <v>5.74794520547945</v>
      </c>
    </row>
    <row r="15705" customFormat="false" ht="15" hidden="false" customHeight="false" outlineLevel="0" collapsed="false">
      <c r="A15705" s="1" t="s">
        <v>1219</v>
      </c>
      <c r="B15705" s="0" t="s">
        <v>229</v>
      </c>
      <c r="F15705" s="15" t="n">
        <f aca="false">1/(1+wacc)^Sens!F15703</f>
        <v>0.964022703286649</v>
      </c>
      <c r="G15705" s="15" t="n">
        <f aca="false">1/(1+wacc)^Sens!G15703</f>
        <v>0.884910302296739</v>
      </c>
      <c r="H15705" s="15" t="n">
        <f aca="false">1/(1+wacc)^Sens!H15703</f>
        <v>0.802322009770358</v>
      </c>
      <c r="I15705" s="15" t="n">
        <f aca="false">1/(1+wacc)^Sens!I15703</f>
        <v>0.727441646561469</v>
      </c>
      <c r="J15705" s="15" t="n">
        <f aca="false">1/(1+wacc)^Sens!J15703</f>
        <v>0.659549834988973</v>
      </c>
      <c r="K15705" s="15" t="n">
        <f aca="false">1/(1+wacc)^Sens!K15703</f>
        <v>0.597994336576966</v>
      </c>
    </row>
    <row r="15706" customFormat="false" ht="17.15" hidden="false" customHeight="false" outlineLevel="0" collapsed="false">
      <c r="A15706" s="1" t="s">
        <v>1220</v>
      </c>
      <c r="B15706" s="0" t="s">
        <v>98</v>
      </c>
      <c r="F15706" s="6" t="n">
        <f aca="false">Q!$I$35-Q!$I$39-Q!$I$43</f>
        <v>9.666</v>
      </c>
      <c r="L15706" s="12" t="s">
        <v>1221</v>
      </c>
    </row>
    <row r="15707" customFormat="false" ht="17.15" hidden="false" customHeight="false" outlineLevel="0" collapsed="false">
      <c r="A15707" s="1" t="s">
        <v>1222</v>
      </c>
      <c r="B15707" s="0" t="s">
        <v>98</v>
      </c>
      <c r="F15707" s="6" t="n">
        <f aca="false">CF!F55-CF!F52-CF!F59+Thesis!F99*(1-tax_f)*(1-v_off)-Sens!F15706</f>
        <v>-3.35959137570949</v>
      </c>
      <c r="G15707" s="6" t="n">
        <f aca="false">CF!G55-CF!G52-CF!G59+Thesis!G99*(1-tax_f)</f>
        <v>29.8084555066036</v>
      </c>
      <c r="H15707" s="6" t="n">
        <f aca="false">CF!H55-CF!H52-CF!H59+Thesis!H99*(1-tax_f)</f>
        <v>79.3231801478051</v>
      </c>
      <c r="I15707" s="6" t="n">
        <f aca="false">CF!I55-CF!I52-CF!I59+Thesis!I99*(1-tax_f)</f>
        <v>157.29132812061</v>
      </c>
      <c r="J15707" s="6" t="n">
        <f aca="false">CF!J55-CF!J52-CF!J59+Thesis!J99*(1-tax_f)</f>
        <v>235.537601843622</v>
      </c>
      <c r="K15707" s="6" t="n">
        <f aca="false">CF!K55-CF!K52-CF!K59+Thesis!K99*(1-tax_f)</f>
        <v>273.705067207806</v>
      </c>
      <c r="L15707" s="1" t="s">
        <v>1223</v>
      </c>
    </row>
    <row r="15708" customFormat="false" ht="15" hidden="false" customHeight="false" outlineLevel="0" collapsed="false">
      <c r="A15708" s="1" t="s">
        <v>1224</v>
      </c>
      <c r="B15708" s="0" t="s">
        <v>98</v>
      </c>
      <c r="F15708" s="6" t="n">
        <f aca="false">Sens!F15707*Sens!F15705</f>
        <v>-3.23872235994998</v>
      </c>
      <c r="G15708" s="6" t="n">
        <f aca="false">Sens!G15707*Sens!G15705</f>
        <v>26.3778093733475</v>
      </c>
      <c r="H15708" s="6" t="n">
        <f aca="false">Sens!H15707*Sens!H15705</f>
        <v>63.6427333175632</v>
      </c>
      <c r="I15708" s="6" t="n">
        <f aca="false">Sens!I15707*Sens!I15705</f>
        <v>114.420262717897</v>
      </c>
      <c r="J15708" s="6" t="n">
        <f aca="false">Sens!J15707*Sens!J15705</f>
        <v>155.348786429659</v>
      </c>
      <c r="K15708" s="6" t="n">
        <f aca="false">Sens!K15707*Sens!K15705</f>
        <v>163.674080082686</v>
      </c>
    </row>
    <row r="15709" customFormat="false" ht="17.15" hidden="false" customHeight="false" outlineLevel="0" collapsed="false">
      <c r="A15709" s="1" t="s">
        <v>1225</v>
      </c>
      <c r="B15709" s="0" t="s">
        <v>98</v>
      </c>
      <c r="C15709" s="6" t="n">
        <f aca="false">SUM(Sens!F15708:K15708)</f>
        <v>520.224949561203</v>
      </c>
    </row>
    <row r="15710" customFormat="false" ht="17.15" hidden="false" customHeight="false" outlineLevel="0" collapsed="false">
      <c r="A15710" s="1" t="s">
        <v>1226</v>
      </c>
      <c r="B15710" s="0" t="s">
        <v>98</v>
      </c>
      <c r="C15710" s="6" t="n">
        <f aca="false">PL!K78*(1+g_tv)*(1-tax_f)</f>
        <v>284.979534119394</v>
      </c>
    </row>
    <row r="15711" customFormat="false" ht="17.15" hidden="false" customHeight="false" outlineLevel="0" collapsed="false">
      <c r="A15711" s="1" t="s">
        <v>1998</v>
      </c>
      <c r="B15711" s="0" t="s">
        <v>98</v>
      </c>
      <c r="C15711" s="6" t="n">
        <f aca="false">Val!K125*(1+g_tv)</f>
        <v>281.91621922404</v>
      </c>
    </row>
    <row r="15712" customFormat="false" ht="17.15" hidden="false" customHeight="false" outlineLevel="0" collapsed="false">
      <c r="A15712" s="1" t="s">
        <v>1228</v>
      </c>
      <c r="B15712" s="0" t="s">
        <v>98</v>
      </c>
      <c r="C15712" s="6" t="n">
        <f aca="false">Sens!$C$15711/(wacc-g_tv)</f>
        <v>3865.22341624547</v>
      </c>
    </row>
    <row r="15713" customFormat="false" ht="15" hidden="false" customHeight="false" outlineLevel="0" collapsed="false">
      <c r="A15713" s="1" t="s">
        <v>1229</v>
      </c>
      <c r="B15713" s="0" t="s">
        <v>98</v>
      </c>
      <c r="C15713" s="6" t="n">
        <f aca="false">Sens!$C$15712/(1+wacc)^Sens!K15704</f>
        <v>2200.88018459812</v>
      </c>
    </row>
    <row r="15714" customFormat="false" ht="17.15" hidden="false" customHeight="false" outlineLevel="0" collapsed="false">
      <c r="A15714" s="0" t="s">
        <v>1230</v>
      </c>
      <c r="B15714" s="0" t="s">
        <v>98</v>
      </c>
      <c r="C15714" s="6" t="n">
        <f aca="false">Sens!$C$15709+Sens!$C$15713</f>
        <v>2721.10513415933</v>
      </c>
    </row>
    <row r="15715" customFormat="false" ht="15" hidden="false" customHeight="false" outlineLevel="0" collapsed="false">
      <c r="A15715" s="1" t="s">
        <v>1145</v>
      </c>
      <c r="B15715" s="0" t="s">
        <v>168</v>
      </c>
      <c r="C15715" s="7" t="n">
        <f aca="false">Sens!$C$15713/Sens!$C$15714</f>
        <v>0.80881850427954</v>
      </c>
    </row>
    <row r="15716" customFormat="false" ht="17.15" hidden="false" customHeight="false" outlineLevel="0" collapsed="false">
      <c r="A15716" s="1" t="s">
        <v>1231</v>
      </c>
      <c r="B15716" s="0" t="s">
        <v>98</v>
      </c>
      <c r="C15716" s="6" t="n">
        <f aca="false">Sens!$C$15714+cash_val-debt_val-fl_val+oai_v</f>
        <v>2836.95613415933</v>
      </c>
    </row>
    <row r="15717" customFormat="false" ht="17.15" hidden="false" customHeight="false" outlineLevel="0" collapsed="false">
      <c r="A15717" s="0" t="s">
        <v>1153</v>
      </c>
      <c r="B15717" s="0" t="s">
        <v>75</v>
      </c>
      <c r="C15717" s="5" t="n">
        <f aca="false">Sens!$C$15716/shd_val</f>
        <v>381.004047026501</v>
      </c>
    </row>
    <row r="15718" customFormat="false" ht="15" hidden="false" customHeight="false" outlineLevel="0" collapsed="false">
      <c r="A15718" s="1" t="s">
        <v>1232</v>
      </c>
      <c r="B15718" s="0" t="s">
        <v>75</v>
      </c>
      <c r="C15718" s="8" t="n">
        <f aca="false">div_rem27+CF!G63*roll_div_q/q_per_yr</f>
        <v>3.9795</v>
      </c>
    </row>
    <row r="15719" customFormat="false" ht="17.15" hidden="false" customHeight="false" outlineLevel="0" collapsed="false">
      <c r="A15719" s="0" t="s">
        <v>1233</v>
      </c>
      <c r="B15719" s="0" t="s">
        <v>75</v>
      </c>
      <c r="C15719" s="5" t="n">
        <f aca="false">Sens!$C$15717*(1+wacc)^t_roll-Sens!$C$15718</f>
        <v>419.527762389219</v>
      </c>
    </row>
    <row r="15720" customFormat="false" ht="17.15" hidden="false" customHeight="false" outlineLevel="0" collapsed="false">
      <c r="A15720" s="1" t="s">
        <v>1234</v>
      </c>
      <c r="B15720" s="0" t="s">
        <v>168</v>
      </c>
      <c r="F15720" s="7" t="n">
        <f aca="false">CF!F49/(Seg!F56-Thesis!F77)</f>
        <v>0.0686195668908011</v>
      </c>
      <c r="G15720" s="7" t="n">
        <f aca="false">CF!G49/(Seg!G56-Thesis!G77)</f>
        <v>0.0658333569148391</v>
      </c>
      <c r="H15720" s="7" t="n">
        <f aca="false">CF!H49/(Seg!H56-Thesis!H77)</f>
        <v>0.0643895625218926</v>
      </c>
      <c r="I15720" s="7" t="n">
        <f aca="false">CF!I49/(Seg!I56-Thesis!I77)</f>
        <v>0.0641676618157989</v>
      </c>
      <c r="J15720" s="7" t="n">
        <f aca="false">CF!J49/(Seg!J56-Thesis!J77)</f>
        <v>0.0648858606572163</v>
      </c>
      <c r="K15720" s="7" t="n">
        <f aca="false">CF!K49/(Seg!K56-Thesis!K77)</f>
        <v>0.0661974425163768</v>
      </c>
    </row>
    <row r="15721" customFormat="false" ht="17.15" hidden="false" customHeight="false" outlineLevel="0" collapsed="false">
      <c r="A15721" s="0" t="s">
        <v>1235</v>
      </c>
      <c r="B15721" s="0" t="s">
        <v>98</v>
      </c>
      <c r="F15721" s="6" t="n">
        <f aca="false">Seg!F41*(al_m365+Sens!F15720+sbc_r)</f>
        <v>83.7205619248671</v>
      </c>
      <c r="G15721" s="6" t="n">
        <f aca="false">Seg!G41*(al_m365+Sens!G15720+sbc_r)</f>
        <v>96.1301303332381</v>
      </c>
      <c r="H15721" s="6" t="n">
        <f aca="false">Seg!H41*(al_m365+Sens!H15720+sbc_r)</f>
        <v>108.70354073822</v>
      </c>
      <c r="I15721" s="6" t="n">
        <f aca="false">Seg!I41*(al_m365+Sens!I15720+sbc_r)</f>
        <v>120.260101315626</v>
      </c>
      <c r="J15721" s="6" t="n">
        <f aca="false">Seg!J41*(al_m365+Sens!J15720+sbc_r)</f>
        <v>130.611904548619</v>
      </c>
      <c r="K15721" s="6" t="n">
        <f aca="false">Seg!K41*(al_m365+Sens!K15720+sbc_r)</f>
        <v>140.575094974638</v>
      </c>
      <c r="L15721" s="12" t="s">
        <v>1236</v>
      </c>
    </row>
    <row r="15722" customFormat="false" ht="17.15" hidden="false" customHeight="false" outlineLevel="0" collapsed="false">
      <c r="A15722" s="0" t="s">
        <v>1237</v>
      </c>
      <c r="B15722" s="0" t="s">
        <v>98</v>
      </c>
      <c r="F15722" s="6" t="n">
        <f aca="false">Seg!F42*(al_lic+Sens!F15720+sbc_r)</f>
        <v>32.8577657183496</v>
      </c>
      <c r="G15722" s="6" t="n">
        <f aca="false">Seg!G42*(al_lic+Sens!G15720+sbc_r)</f>
        <v>34.1376266324889</v>
      </c>
      <c r="H15722" s="6" t="n">
        <f aca="false">Seg!H42*(al_lic+Sens!H15720+sbc_r)</f>
        <v>35.3325744664128</v>
      </c>
      <c r="I15722" s="6" t="n">
        <f aca="false">Seg!I42*(al_lic+Sens!I15720+sbc_r)</f>
        <v>36.4244749008727</v>
      </c>
      <c r="J15722" s="6" t="n">
        <f aca="false">Seg!J42*(al_lic+Sens!J15720+sbc_r)</f>
        <v>37.3879406068527</v>
      </c>
      <c r="K15722" s="6" t="n">
        <f aca="false">Seg!K42*(al_lic+Sens!K15720+sbc_r)</f>
        <v>38.1943876078259</v>
      </c>
    </row>
    <row r="15723" customFormat="false" ht="17.15" hidden="false" customHeight="false" outlineLevel="0" collapsed="false">
      <c r="A15723" s="0" t="s">
        <v>1238</v>
      </c>
      <c r="B15723" s="0" t="s">
        <v>98</v>
      </c>
      <c r="F15723" s="6" t="n">
        <f aca="false">Seg!F44*(al_ind+Sens!F15720+sbc_r)</f>
        <v>9.06041701092022</v>
      </c>
      <c r="G15723" s="6" t="n">
        <f aca="false">Seg!G44*(al_ind+Sens!G15720+sbc_r)</f>
        <v>9.83619082712885</v>
      </c>
      <c r="H15723" s="6" t="n">
        <f aca="false">Seg!H44*(al_ind+Sens!H15720+sbc_r)</f>
        <v>10.6570160105312</v>
      </c>
      <c r="I15723" s="6" t="n">
        <f aca="false">Seg!I44*(al_ind+Sens!I15720+sbc_r)</f>
        <v>11.5198571637125</v>
      </c>
      <c r="J15723" s="6" t="n">
        <f aca="false">Seg!J44*(al_ind+Sens!J15720+sbc_r)</f>
        <v>12.4150086539206</v>
      </c>
      <c r="K15723" s="6" t="n">
        <f aca="false">Seg!K44*(al_ind+Sens!K15720+sbc_r)</f>
        <v>13.3273714589988</v>
      </c>
    </row>
    <row r="15724" customFormat="false" ht="17.15" hidden="false" customHeight="false" outlineLevel="0" collapsed="false">
      <c r="A15724" s="0" t="s">
        <v>1239</v>
      </c>
      <c r="B15724" s="0" t="s">
        <v>98</v>
      </c>
      <c r="F15724" s="6" t="n">
        <f aca="false">Seg!F46*(al_fro+Sens!F15720+sbc_r)</f>
        <v>3.55402950182022</v>
      </c>
      <c r="G15724" s="6" t="n">
        <f aca="false">Seg!G46*(al_fro+Sens!G15720+sbc_r)</f>
        <v>3.76361488926481</v>
      </c>
      <c r="H15724" s="6" t="n">
        <f aca="false">Seg!H46*(al_fro+Sens!H15720+sbc_r)</f>
        <v>4.00220968879544</v>
      </c>
      <c r="I15724" s="6" t="n">
        <f aca="false">Seg!I46*(al_fro+Sens!I15720+sbc_r)</f>
        <v>4.2725765173852</v>
      </c>
      <c r="J15724" s="6" t="n">
        <f aca="false">Seg!J46*(al_fro+Sens!J15720+sbc_r)</f>
        <v>4.57586224390293</v>
      </c>
      <c r="K15724" s="6" t="n">
        <f aca="false">Seg!K46*(al_fro+Sens!K15720+sbc_r)</f>
        <v>4.91213639633217</v>
      </c>
    </row>
    <row r="15725" customFormat="false" ht="17.15" hidden="false" customHeight="false" outlineLevel="0" collapsed="false">
      <c r="A15725" s="0" t="s">
        <v>1240</v>
      </c>
      <c r="B15725" s="0" t="s">
        <v>98</v>
      </c>
      <c r="F15725" s="6" t="n">
        <f aca="false">Seg!F49*(al_srch+Sens!F15720+sbc_r)</f>
        <v>11.1890902994147</v>
      </c>
      <c r="G15725" s="6" t="n">
        <f aca="false">Seg!G49*(al_srch+Sens!G15720+sbc_r)</f>
        <v>12.261738891803</v>
      </c>
      <c r="H15725" s="6" t="n">
        <f aca="false">Seg!H49*(al_srch+Sens!H15720+sbc_r)</f>
        <v>13.3794863429193</v>
      </c>
      <c r="I15725" s="6" t="n">
        <f aca="false">Seg!I49*(al_srch+Sens!I15720+sbc_r)</f>
        <v>14.5317114787784</v>
      </c>
      <c r="J15725" s="6" t="n">
        <f aca="false">Seg!J49*(al_srch+Sens!J15720+sbc_r)</f>
        <v>15.6984365817724</v>
      </c>
      <c r="K15725" s="6" t="n">
        <f aca="false">Seg!K49*(al_srch+Sens!K15720+sbc_r)</f>
        <v>16.8520942258664</v>
      </c>
    </row>
    <row r="15726" customFormat="false" ht="17.15" hidden="false" customHeight="false" outlineLevel="0" collapsed="false">
      <c r="A15726" s="0" t="s">
        <v>1241</v>
      </c>
      <c r="B15726" s="0" t="s">
        <v>98</v>
      </c>
      <c r="F15726" s="6" t="n">
        <f aca="false">Thesis!F83-Thesis!F84+Thesis!F99</f>
        <v>42.5431090240393</v>
      </c>
      <c r="G15726" s="6" t="n">
        <f aca="false">Thesis!G83-Thesis!G84+Thesis!G99</f>
        <v>81.4922561130847</v>
      </c>
      <c r="H15726" s="6" t="n">
        <f aca="false">Thesis!H83-Thesis!H84+Thesis!H99</f>
        <v>123.278266211349</v>
      </c>
      <c r="I15726" s="6" t="n">
        <f aca="false">Thesis!I83-Thesis!I84+Thesis!I99</f>
        <v>160.60594185192</v>
      </c>
      <c r="J15726" s="6" t="n">
        <f aca="false">Thesis!J83-Thesis!J84+Thesis!J99</f>
        <v>186.818741832633</v>
      </c>
      <c r="K15726" s="6" t="n">
        <f aca="false">Thesis!K83-Thesis!K84+Thesis!K99</f>
        <v>202.776422159652</v>
      </c>
    </row>
    <row r="15727" customFormat="false" ht="17.15" hidden="false" customHeight="false" outlineLevel="0" collapsed="false">
      <c r="A15727" s="0" t="s">
        <v>1242</v>
      </c>
      <c r="B15727" s="0" t="s">
        <v>98</v>
      </c>
      <c r="F15727" s="6" t="n">
        <f aca="false">PL!F71+Thesis!F99+Thesis!F95+Sens!F15720*(Seg!F48-Thesis!F77)+sbc_r*Seg!F48</f>
        <v>238.090727427296</v>
      </c>
      <c r="G15727" s="6" t="n">
        <f aca="false">PL!G71+Thesis!G99+Thesis!G95+Sens!G15720*(Seg!G48-Thesis!G77)+sbc_r*Seg!G48</f>
        <v>299.90836088563</v>
      </c>
      <c r="H15727" s="6" t="n">
        <f aca="false">PL!H71+Thesis!H99+Thesis!H95+Sens!H15720*(Seg!H48-Thesis!H77)+sbc_r*Seg!H48</f>
        <v>369.457709442386</v>
      </c>
      <c r="I15727" s="6" t="n">
        <f aca="false">PL!I71+Thesis!I99+Thesis!I95+Sens!I15720*(Seg!I48-Thesis!I77)+sbc_r*Seg!I48</f>
        <v>433.16585128823</v>
      </c>
      <c r="J15727" s="6" t="n">
        <f aca="false">PL!J71+Thesis!J99+Thesis!J95+Sens!J15720*(Seg!J48-Thesis!J77)+sbc_r*Seg!J48</f>
        <v>483.301303131191</v>
      </c>
      <c r="K15727" s="6" t="n">
        <f aca="false">PL!K71+Thesis!K99+Thesis!K95+Sens!K15720*(Seg!K48-Thesis!K77)+sbc_r*Seg!K48</f>
        <v>520.789002205336</v>
      </c>
    </row>
    <row r="15728" customFormat="false" ht="17.15" hidden="false" customHeight="false" outlineLevel="0" collapsed="false">
      <c r="A15728" s="0" t="s">
        <v>1243</v>
      </c>
      <c r="B15728" s="0" t="s">
        <v>98</v>
      </c>
      <c r="F15728" s="6" t="n">
        <f aca="false">Sens!F15727-Sens!F15721-Sens!F15722-Sens!F15723-Sens!F15724-Sens!F15726</f>
        <v>66.3548442472996</v>
      </c>
      <c r="G15728" s="6" t="n">
        <f aca="false">Sens!G15727-Sens!G15721-Sens!G15722-Sens!G15723-Sens!G15724-Sens!G15726</f>
        <v>74.548542090425</v>
      </c>
      <c r="H15728" s="6" t="n">
        <f aca="false">Sens!H15727-Sens!H15721-Sens!H15722-Sens!H15723-Sens!H15724-Sens!H15726</f>
        <v>87.4841023270775</v>
      </c>
      <c r="I15728" s="6" t="n">
        <f aca="false">Sens!I15727-Sens!I15721-Sens!I15722-Sens!I15723-Sens!I15724-Sens!I15726</f>
        <v>100.082899538713</v>
      </c>
      <c r="J15728" s="6" t="n">
        <f aca="false">Sens!J15727-Sens!J15721-Sens!J15722-Sens!J15723-Sens!J15724-Sens!J15726</f>
        <v>111.491845245262</v>
      </c>
      <c r="K15728" s="6" t="n">
        <f aca="false">Sens!K15727-Sens!K15721-Sens!K15722-Sens!K15723-Sens!K15724-Sens!K15726</f>
        <v>121.003589607889</v>
      </c>
    </row>
    <row r="15729" customFormat="false" ht="17.15" hidden="false" customHeight="false" outlineLevel="0" collapsed="false">
      <c r="A15729" s="0" t="s">
        <v>1244</v>
      </c>
      <c r="B15729" s="0" t="s">
        <v>98</v>
      </c>
      <c r="F15729" s="6" t="n">
        <f aca="false">PL!F73+Sens!F15720*Seg!F55+sbc_r*Seg!F55</f>
        <v>26.6336365855879</v>
      </c>
      <c r="G15729" s="6" t="n">
        <f aca="false">PL!G73+Sens!G15720*Seg!G55+sbc_r*Seg!G55</f>
        <v>26.4720859498625</v>
      </c>
      <c r="H15729" s="6" t="n">
        <f aca="false">PL!H73+Sens!H15720*Seg!H55+sbc_r*Seg!H55</f>
        <v>27.346793021284</v>
      </c>
      <c r="I15729" s="6" t="n">
        <f aca="false">PL!I73+Sens!I15720*Seg!I55+sbc_r*Seg!I55</f>
        <v>28.4574657863154</v>
      </c>
      <c r="J15729" s="6" t="n">
        <f aca="false">PL!J73+Sens!J15720*Seg!J55+sbc_r*Seg!J55</f>
        <v>29.7689890546037</v>
      </c>
      <c r="K15729" s="6" t="n">
        <f aca="false">PL!K73+Sens!K15720*Seg!K55+sbc_r*Seg!K55</f>
        <v>31.2443947307494</v>
      </c>
    </row>
    <row r="15730" customFormat="false" ht="17.15" hidden="false" customHeight="false" outlineLevel="0" collapsed="false">
      <c r="A15730" s="0" t="s">
        <v>1245</v>
      </c>
      <c r="B15730" s="0" t="s">
        <v>98</v>
      </c>
      <c r="F15730" s="6" t="n">
        <f aca="false">(Sens!F15729-Sens!F15725)*Seg!F51/(Seg!F51+Seg!F53)</f>
        <v>8.72285608232241</v>
      </c>
      <c r="G15730" s="6" t="n">
        <f aca="false">(Sens!G15729-Sens!G15725)*Seg!G51/(Seg!G51+Seg!G53)</f>
        <v>7.88786455444355</v>
      </c>
      <c r="H15730" s="6" t="n">
        <f aca="false">(Sens!H15729-Sens!H15725)*Seg!H51/(Seg!H51+Seg!H53)</f>
        <v>7.65195986819674</v>
      </c>
      <c r="I15730" s="6" t="n">
        <f aca="false">(Sens!I15729-Sens!I15725)*Seg!I51/(Seg!I51+Seg!I53)</f>
        <v>7.56260440676676</v>
      </c>
      <c r="J15730" s="6" t="n">
        <f aca="false">(Sens!J15729-Sens!J15725)*Seg!J51/(Seg!J51+Seg!J53)</f>
        <v>7.60790100885945</v>
      </c>
      <c r="K15730" s="6" t="n">
        <f aca="false">(Sens!K15729-Sens!K15725)*Seg!K51/(Seg!K51+Seg!K53)</f>
        <v>7.78186910160995</v>
      </c>
    </row>
    <row r="15731" customFormat="false" ht="17.15" hidden="false" customHeight="false" outlineLevel="0" collapsed="false">
      <c r="A15731" s="0" t="s">
        <v>1246</v>
      </c>
      <c r="B15731" s="0" t="s">
        <v>98</v>
      </c>
      <c r="F15731" s="6" t="n">
        <f aca="false">Sens!F15729-Sens!F15725-Sens!F15730</f>
        <v>6.72169020385088</v>
      </c>
      <c r="G15731" s="6" t="n">
        <f aca="false">Sens!G15729-Sens!G15725-Sens!G15730</f>
        <v>6.322482503616</v>
      </c>
      <c r="H15731" s="6" t="n">
        <f aca="false">Sens!H15729-Sens!H15725-Sens!H15730</f>
        <v>6.315346810168</v>
      </c>
      <c r="I15731" s="6" t="n">
        <f aca="false">Sens!I15729-Sens!I15725-Sens!I15730</f>
        <v>6.36314990077033</v>
      </c>
      <c r="J15731" s="6" t="n">
        <f aca="false">Sens!J15729-Sens!J15725-Sens!J15730</f>
        <v>6.46265146397189</v>
      </c>
      <c r="K15731" s="6" t="n">
        <f aca="false">Sens!K15729-Sens!K15725-Sens!K15730</f>
        <v>6.61043140327304</v>
      </c>
    </row>
    <row r="15732" customFormat="false" ht="17.15" hidden="false" customHeight="false" outlineLevel="0" collapsed="false">
      <c r="A15732" s="0" t="s">
        <v>1247</v>
      </c>
      <c r="B15732" s="0" t="s">
        <v>98</v>
      </c>
      <c r="F15732" s="6" t="n">
        <f aca="false">Sens!F15726-tax_f*(Sens!F15726-Thesis!F95)-Thesis!F92</f>
        <v>-127.503553927218</v>
      </c>
      <c r="G15732" s="6" t="n">
        <f aca="false">Sens!G15726-tax_f*(Sens!G15726-Thesis!G95)-Thesis!G92</f>
        <v>-114.603772628121</v>
      </c>
      <c r="H15732" s="6" t="n">
        <f aca="false">Sens!H15726-tax_f*(Sens!H15726-Thesis!H95)-Thesis!H92</f>
        <v>-80.3633729631438</v>
      </c>
      <c r="I15732" s="6" t="n">
        <f aca="false">Sens!I15726-tax_f*(Sens!I15726-Thesis!I95)-Thesis!I92</f>
        <v>-17.2838782011649</v>
      </c>
      <c r="J15732" s="6" t="n">
        <f aca="false">Sens!J15726-tax_f*(Sens!J15726-Thesis!J95)-Thesis!J92</f>
        <v>46.9281968800854</v>
      </c>
      <c r="K15732" s="6" t="n">
        <f aca="false">Sens!K15726-tax_f*(Sens!K15726-Thesis!K95)-Thesis!K92</f>
        <v>71.8608185731755</v>
      </c>
    </row>
    <row r="15733" customFormat="false" ht="17.15" hidden="false" customHeight="false" outlineLevel="0" collapsed="false">
      <c r="A15733" s="0" t="s">
        <v>1248</v>
      </c>
      <c r="B15733" s="0" t="s">
        <v>98</v>
      </c>
      <c r="G15733" s="6" t="n">
        <f aca="false">Sens!G15732/(1+wacc)^(Sens!G15703-Sens!F15704)</f>
        <v>-109.124845494465</v>
      </c>
      <c r="H15733" s="6" t="n">
        <f aca="false">Sens!H15732/(1+wacc)^(Sens!H15703-Sens!F15704)</f>
        <v>-69.3796874071025</v>
      </c>
      <c r="I15733" s="6" t="n">
        <f aca="false">Sens!I15732/(1+wacc)^(Sens!I15703-Sens!F15704)</f>
        <v>-13.5289731380471</v>
      </c>
      <c r="J15733" s="6" t="n">
        <f aca="false">Sens!J15732/(1+wacc)^(Sens!J15703-Sens!F15704)</f>
        <v>33.3048099587126</v>
      </c>
      <c r="K15733" s="6" t="n">
        <f aca="false">Sens!K15732/(1+wacc)^(Sens!K15703-Sens!F15704)</f>
        <v>46.2396679904913</v>
      </c>
      <c r="L15733" s="1" t="s">
        <v>1249</v>
      </c>
    </row>
    <row r="15734" customFormat="false" ht="17.15" hidden="false" customHeight="false" outlineLevel="0" collapsed="false">
      <c r="A15734" s="0" t="s">
        <v>1250</v>
      </c>
      <c r="B15734" s="0" t="s">
        <v>98</v>
      </c>
      <c r="C15734" s="6" t="n">
        <f aca="false">(Sens!K15726-Thesis!K95)*(1-tax_f)*(1+g_tv)*(1-g_tv/(wacc+0))/(wacc-g_tv)/(1+wacc)^(Sens!K15704-Sens!F15704)</f>
        <v>293.118051086843</v>
      </c>
    </row>
    <row r="15735" customFormat="false" ht="17.15" hidden="false" customHeight="false" outlineLevel="0" collapsed="false">
      <c r="A15735" s="1" t="s">
        <v>1251</v>
      </c>
      <c r="B15735" s="0" t="s">
        <v>98</v>
      </c>
      <c r="C15735" s="6" t="n">
        <f aca="false">(SUM(Sens!G15733:K15733)+Sens!$C$15734)*(1+wacc)^(t_roll-Sens!F15704)</f>
        <v>186.592133308255</v>
      </c>
      <c r="L15735" s="12" t="s">
        <v>1252</v>
      </c>
    </row>
    <row r="15736" customFormat="false" ht="17.15" hidden="false" customHeight="false" outlineLevel="0" collapsed="false">
      <c r="A15736" s="1" t="s">
        <v>1253</v>
      </c>
      <c r="B15736" s="0" t="s">
        <v>98</v>
      </c>
      <c r="C15736" s="6" t="n">
        <f aca="false">(w_ntm28*Thesis!G83+(1-w_ntm28)*Thesis!H83)*m_ai</f>
        <v>463.789109510335</v>
      </c>
    </row>
    <row r="15737" customFormat="false" ht="17.15" hidden="false" customHeight="false" outlineLevel="0" collapsed="false">
      <c r="A15737" s="1" t="s">
        <v>1254</v>
      </c>
      <c r="B15737" s="0" t="s">
        <v>98</v>
      </c>
      <c r="C15737" s="6" t="n">
        <f aca="false">(w_ntm28*Sens!G15728+(1-w_ntm28)*Sens!H15728)*m_cloud</f>
        <v>1089.03436702245</v>
      </c>
    </row>
    <row r="15738" customFormat="false" ht="17.15" hidden="false" customHeight="false" outlineLevel="0" collapsed="false">
      <c r="A15738" s="1" t="s">
        <v>1255</v>
      </c>
      <c r="B15738" s="0" t="s">
        <v>98</v>
      </c>
      <c r="C15738" s="6" t="n">
        <f aca="false">(w_ntm28*Sens!G15721+(1-w_ntm28)*Sens!H15721)*m_sw</f>
        <v>1082.84962646159</v>
      </c>
    </row>
    <row r="15739" customFormat="false" ht="17.15" hidden="false" customHeight="false" outlineLevel="0" collapsed="false">
      <c r="A15739" s="1" t="s">
        <v>1256</v>
      </c>
      <c r="B15739" s="0" t="s">
        <v>98</v>
      </c>
      <c r="C15739" s="6" t="n">
        <f aca="false">(w_ntm28*Sens!G15722+(1-w_ntm28)*Sens!H15722)*m_sw</f>
        <v>372.929250898731</v>
      </c>
    </row>
    <row r="15740" customFormat="false" ht="17.15" hidden="false" customHeight="false" outlineLevel="0" collapsed="false">
      <c r="A15740" s="1" t="s">
        <v>1257</v>
      </c>
      <c r="B15740" s="0" t="s">
        <v>98</v>
      </c>
      <c r="C15740" s="6" t="n">
        <f aca="false">(w_ntm28*Sens!G15723+(1-w_ntm28)*Sens!H15723)*m_sw</f>
        <v>109.1453525431</v>
      </c>
    </row>
    <row r="15741" customFormat="false" ht="17.15" hidden="false" customHeight="false" outlineLevel="0" collapsed="false">
      <c r="A15741" s="1" t="s">
        <v>1258</v>
      </c>
      <c r="B15741" s="0" t="s">
        <v>98</v>
      </c>
      <c r="C15741" s="6" t="n">
        <f aca="false">(w_ntm28*Sens!G15724+(1-w_ntm28)*Sens!H15724)*m_sw</f>
        <v>41.4942157634893</v>
      </c>
    </row>
    <row r="15742" customFormat="false" ht="17.15" hidden="false" customHeight="false" outlineLevel="0" collapsed="false">
      <c r="A15742" s="1" t="s">
        <v>1259</v>
      </c>
      <c r="B15742" s="0" t="s">
        <v>98</v>
      </c>
      <c r="C15742" s="6" t="n">
        <f aca="false">(w_ntm28*Sens!G15725+(1-w_ntm28)*Sens!H15725)*m_ads</f>
        <v>115.052171478463</v>
      </c>
    </row>
    <row r="15743" customFormat="false" ht="17.15" hidden="false" customHeight="false" outlineLevel="0" collapsed="false">
      <c r="A15743" s="1" t="s">
        <v>1260</v>
      </c>
      <c r="B15743" s="0" t="s">
        <v>98</v>
      </c>
      <c r="C15743" s="6" t="n">
        <f aca="false">(w_ntm28*Sens!G15730+(1-w_ntm28)*Sens!H15730)*m_game</f>
        <v>98.6441755076202</v>
      </c>
    </row>
    <row r="15744" customFormat="false" ht="17.15" hidden="false" customHeight="false" outlineLevel="0" collapsed="false">
      <c r="A15744" s="1" t="s">
        <v>1261</v>
      </c>
      <c r="B15744" s="0" t="s">
        <v>98</v>
      </c>
      <c r="C15744" s="6" t="n">
        <f aca="false">(w_ntm28*Sens!G15731+(1-w_ntm28)*Sens!H15731)*m_pc</f>
        <v>91.4523754763561</v>
      </c>
    </row>
    <row r="15745" customFormat="false" ht="17.15" hidden="false" customHeight="false" outlineLevel="0" collapsed="false">
      <c r="A15745" s="1" t="s">
        <v>1262</v>
      </c>
      <c r="B15745" s="0" t="s">
        <v>98</v>
      </c>
      <c r="C15745" s="6" t="n">
        <f aca="false">Sens!$C$15735+Sens!$C$15737+Sens!$C$15738+Sens!$C$15739+Sens!$C$15740+Sens!$C$15741+Sens!$C$15742+Sens!$C$15743+Sens!$C$15744</f>
        <v>3187.19366846006</v>
      </c>
    </row>
    <row r="15746" customFormat="false" ht="17.15" hidden="false" customHeight="false" outlineLevel="0" collapsed="false">
      <c r="A15746" s="1" t="s">
        <v>1263</v>
      </c>
      <c r="B15746" s="0" t="s">
        <v>98</v>
      </c>
      <c r="C15746" s="6" t="n">
        <f aca="false">(Sens!G15707-Sens!G15732)*t_stub</f>
        <v>47.8736427515113</v>
      </c>
      <c r="L15746" s="1" t="s">
        <v>1264</v>
      </c>
    </row>
    <row r="15747" customFormat="false" ht="17.15" hidden="false" customHeight="false" outlineLevel="0" collapsed="false">
      <c r="A15747" s="1" t="s">
        <v>1173</v>
      </c>
      <c r="B15747" s="0" t="s">
        <v>98</v>
      </c>
      <c r="C15747" s="6" t="n">
        <f aca="false">CF!F71+oai_v-CF!F60+Sens!$C$15746</f>
        <v>162.101912751511</v>
      </c>
      <c r="L15747" s="1" t="s">
        <v>1265</v>
      </c>
    </row>
    <row r="15748" customFormat="false" ht="17.15" hidden="false" customHeight="false" outlineLevel="0" collapsed="false">
      <c r="A15748" s="1" t="s">
        <v>1266</v>
      </c>
      <c r="B15748" s="0" t="s">
        <v>75</v>
      </c>
      <c r="C15748" s="5" t="n">
        <f aca="false">(Sens!$C$15745+Sens!$C$15747)/(CF!F73+dil_gap)-CF!G63*roll_div_q/q_per_yr</f>
        <v>445.800799521231</v>
      </c>
      <c r="L15748" s="1" t="s">
        <v>1267</v>
      </c>
    </row>
    <row r="15749" customFormat="false" ht="17.15" hidden="false" customHeight="false" outlineLevel="0" collapsed="false">
      <c r="A15749" s="1" t="s">
        <v>1268</v>
      </c>
      <c r="B15749" s="0" t="s">
        <v>75</v>
      </c>
      <c r="C15749" s="5" t="n">
        <f aca="false">w_dcf*Sens!$C$15719+(1-w_dcf)*Sens!$C$15748</f>
        <v>432.664280955225</v>
      </c>
    </row>
    <row r="15750" customFormat="false" ht="17.15" hidden="false" customHeight="false" outlineLevel="0" collapsed="false">
      <c r="A15750" s="3" t="s">
        <v>2000</v>
      </c>
    </row>
    <row r="15751" customFormat="false" ht="15" hidden="false" customHeight="false" outlineLevel="0" collapsed="false">
      <c r="A15751" s="4" t="s">
        <v>43</v>
      </c>
      <c r="B15751" s="4" t="s">
        <v>65</v>
      </c>
      <c r="C15751" s="23" t="s">
        <v>942</v>
      </c>
      <c r="D15751" s="23" t="s">
        <v>943</v>
      </c>
      <c r="E15751" s="23" t="s">
        <v>944</v>
      </c>
      <c r="F15751" s="23" t="s">
        <v>945</v>
      </c>
      <c r="G15751" s="23" t="s">
        <v>946</v>
      </c>
      <c r="H15751" s="23" t="s">
        <v>947</v>
      </c>
      <c r="I15751" s="23" t="s">
        <v>948</v>
      </c>
      <c r="J15751" s="23" t="s">
        <v>949</v>
      </c>
      <c r="K15751" s="23" t="s">
        <v>950</v>
      </c>
      <c r="L15751" s="4" t="s">
        <v>47</v>
      </c>
    </row>
    <row r="15752" customFormat="false" ht="17.15" hidden="false" customHeight="false" outlineLevel="0" collapsed="false">
      <c r="A15752" s="1" t="s">
        <v>1216</v>
      </c>
      <c r="B15752" s="1" t="s">
        <v>279</v>
      </c>
      <c r="F15752" s="8" t="n">
        <f aca="false">(1-v_off)*mid_yr</f>
        <v>0.373972602739726</v>
      </c>
      <c r="G15752" s="8" t="n">
        <f aca="false">Thesis!G110-base_fy-mid_yr-v_off</f>
        <v>1.24794520547945</v>
      </c>
      <c r="H15752" s="8" t="n">
        <f aca="false">Thesis!H110-base_fy-mid_yr-v_off</f>
        <v>2.24794520547945</v>
      </c>
      <c r="I15752" s="8" t="n">
        <f aca="false">Thesis!I110-base_fy-mid_yr-v_off</f>
        <v>3.24794520547945</v>
      </c>
      <c r="J15752" s="8" t="n">
        <f aca="false">Thesis!J110-base_fy-mid_yr-v_off</f>
        <v>4.24794520547945</v>
      </c>
      <c r="K15752" s="8" t="n">
        <f aca="false">Thesis!K110-base_fy-mid_yr-v_off</f>
        <v>5.24794520547945</v>
      </c>
      <c r="L15752" s="12" t="s">
        <v>1217</v>
      </c>
    </row>
    <row r="15753" customFormat="false" ht="15" hidden="false" customHeight="false" outlineLevel="0" collapsed="false">
      <c r="A15753" s="1" t="s">
        <v>1218</v>
      </c>
      <c r="B15753" s="1" t="s">
        <v>279</v>
      </c>
      <c r="F15753" s="8" t="n">
        <f aca="false">Thesis!F110-base_fy-v_off</f>
        <v>0.747945205479452</v>
      </c>
      <c r="G15753" s="8" t="n">
        <f aca="false">Thesis!G110-base_fy-v_off</f>
        <v>1.74794520547945</v>
      </c>
      <c r="H15753" s="8" t="n">
        <f aca="false">Thesis!H110-base_fy-v_off</f>
        <v>2.74794520547945</v>
      </c>
      <c r="I15753" s="8" t="n">
        <f aca="false">Thesis!I110-base_fy-v_off</f>
        <v>3.74794520547945</v>
      </c>
      <c r="J15753" s="8" t="n">
        <f aca="false">Thesis!J110-base_fy-v_off</f>
        <v>4.74794520547945</v>
      </c>
      <c r="K15753" s="8" t="n">
        <f aca="false">Thesis!K110-base_fy-v_off</f>
        <v>5.74794520547945</v>
      </c>
    </row>
    <row r="15754" customFormat="false" ht="15" hidden="false" customHeight="false" outlineLevel="0" collapsed="false">
      <c r="A15754" s="1" t="s">
        <v>1219</v>
      </c>
      <c r="B15754" s="0" t="s">
        <v>229</v>
      </c>
      <c r="F15754" s="15" t="n">
        <f aca="false">1/(1+wacc)^Sens!F15752</f>
        <v>0.964022703286649</v>
      </c>
      <c r="G15754" s="15" t="n">
        <f aca="false">1/(1+wacc)^Sens!G15752</f>
        <v>0.884910302296739</v>
      </c>
      <c r="H15754" s="15" t="n">
        <f aca="false">1/(1+wacc)^Sens!H15752</f>
        <v>0.802322009770358</v>
      </c>
      <c r="I15754" s="15" t="n">
        <f aca="false">1/(1+wacc)^Sens!I15752</f>
        <v>0.727441646561469</v>
      </c>
      <c r="J15754" s="15" t="n">
        <f aca="false">1/(1+wacc)^Sens!J15752</f>
        <v>0.659549834988973</v>
      </c>
      <c r="K15754" s="15" t="n">
        <f aca="false">1/(1+wacc)^Sens!K15752</f>
        <v>0.597994336576966</v>
      </c>
    </row>
    <row r="15755" customFormat="false" ht="17.15" hidden="false" customHeight="false" outlineLevel="0" collapsed="false">
      <c r="A15755" s="1" t="s">
        <v>1220</v>
      </c>
      <c r="B15755" s="0" t="s">
        <v>98</v>
      </c>
      <c r="F15755" s="6" t="n">
        <f aca="false">Q!$I$35-Q!$I$39-Q!$I$43</f>
        <v>9.666</v>
      </c>
      <c r="L15755" s="12" t="s">
        <v>1221</v>
      </c>
    </row>
    <row r="15756" customFormat="false" ht="17.15" hidden="false" customHeight="false" outlineLevel="0" collapsed="false">
      <c r="A15756" s="1" t="s">
        <v>1222</v>
      </c>
      <c r="B15756" s="0" t="s">
        <v>98</v>
      </c>
      <c r="F15756" s="6" t="n">
        <f aca="false">CF!F87-CF!F84-CF!F91+Thesis!F151*(1-tax_f)*(1-v_off)-Sens!F15755</f>
        <v>-6.10282680452259</v>
      </c>
      <c r="G15756" s="6" t="n">
        <f aca="false">CF!G87-CF!G84-CF!G91+Thesis!G151*(1-tax_f)</f>
        <v>19.0084129023516</v>
      </c>
      <c r="H15756" s="6" t="n">
        <f aca="false">CF!H87-CF!H84-CF!H91+Thesis!H151*(1-tax_f)</f>
        <v>55.9229468383331</v>
      </c>
      <c r="I15756" s="6" t="n">
        <f aca="false">CF!I87-CF!I84-CF!I91+Thesis!I151*(1-tax_f)</f>
        <v>127.901908576191</v>
      </c>
      <c r="J15756" s="6" t="n">
        <f aca="false">CF!J87-CF!J84-CF!J91+Thesis!J151*(1-tax_f)</f>
        <v>201.958443859638</v>
      </c>
      <c r="K15756" s="6" t="n">
        <f aca="false">CF!K87-CF!K84-CF!K91+Thesis!K151*(1-tax_f)</f>
        <v>237.542519059905</v>
      </c>
      <c r="L15756" s="1" t="s">
        <v>1223</v>
      </c>
    </row>
    <row r="15757" customFormat="false" ht="15" hidden="false" customHeight="false" outlineLevel="0" collapsed="false">
      <c r="A15757" s="1" t="s">
        <v>1224</v>
      </c>
      <c r="B15757" s="0" t="s">
        <v>98</v>
      </c>
      <c r="F15757" s="6" t="n">
        <f aca="false">Sens!F15756*Sens!F15754</f>
        <v>-5.88326359378609</v>
      </c>
      <c r="G15757" s="6" t="n">
        <f aca="false">Sens!G15756*Sens!G15754</f>
        <v>16.8207404076012</v>
      </c>
      <c r="H15757" s="6" t="n">
        <f aca="false">Sens!H15756*Sens!H15754</f>
        <v>44.8682110996123</v>
      </c>
      <c r="I15757" s="6" t="n">
        <f aca="false">Sens!I15756*Sens!I15754</f>
        <v>93.0411749730187</v>
      </c>
      <c r="J15757" s="6" t="n">
        <f aca="false">Sens!J15756*Sens!J15754</f>
        <v>133.201658322254</v>
      </c>
      <c r="K15757" s="6" t="n">
        <f aca="false">Sens!K15756*Sens!K15754</f>
        <v>142.049081094049</v>
      </c>
    </row>
    <row r="15758" customFormat="false" ht="17.15" hidden="false" customHeight="false" outlineLevel="0" collapsed="false">
      <c r="A15758" s="1" t="s">
        <v>1225</v>
      </c>
      <c r="B15758" s="0" t="s">
        <v>98</v>
      </c>
      <c r="C15758" s="6" t="n">
        <f aca="false">SUM(Sens!F15757:K15757)</f>
        <v>424.097602302749</v>
      </c>
    </row>
    <row r="15759" customFormat="false" ht="17.15" hidden="false" customHeight="false" outlineLevel="0" collapsed="false">
      <c r="A15759" s="1" t="s">
        <v>1226</v>
      </c>
      <c r="B15759" s="0" t="s">
        <v>98</v>
      </c>
      <c r="C15759" s="6" t="n">
        <f aca="false">PL!K117*(1+g_tv)*(1-tax_f)</f>
        <v>247.098906713682</v>
      </c>
    </row>
    <row r="15760" customFormat="false" ht="17.15" hidden="false" customHeight="false" outlineLevel="0" collapsed="false">
      <c r="A15760" s="1" t="s">
        <v>1998</v>
      </c>
      <c r="B15760" s="0" t="s">
        <v>98</v>
      </c>
      <c r="C15760" s="6" t="n">
        <f aca="false">Val!K174*(1+g_tv)</f>
        <v>244.668794631702</v>
      </c>
    </row>
    <row r="15761" customFormat="false" ht="17.15" hidden="false" customHeight="false" outlineLevel="0" collapsed="false">
      <c r="A15761" s="1" t="s">
        <v>1228</v>
      </c>
      <c r="B15761" s="0" t="s">
        <v>98</v>
      </c>
      <c r="C15761" s="6" t="n">
        <f aca="false">Sens!$C$15760/(wacc-g_tv)</f>
        <v>3354.54113579559</v>
      </c>
    </row>
    <row r="15762" customFormat="false" ht="15" hidden="false" customHeight="false" outlineLevel="0" collapsed="false">
      <c r="A15762" s="1" t="s">
        <v>1229</v>
      </c>
      <c r="B15762" s="0" t="s">
        <v>98</v>
      </c>
      <c r="C15762" s="6" t="n">
        <f aca="false">Sens!$C$15761/(1+wacc)^Sens!K15753</f>
        <v>1910.09479119924</v>
      </c>
    </row>
    <row r="15763" customFormat="false" ht="17.15" hidden="false" customHeight="false" outlineLevel="0" collapsed="false">
      <c r="A15763" s="0" t="s">
        <v>1230</v>
      </c>
      <c r="B15763" s="0" t="s">
        <v>98</v>
      </c>
      <c r="C15763" s="6" t="n">
        <f aca="false">Sens!$C$15758+Sens!$C$15762</f>
        <v>2334.19239350199</v>
      </c>
    </row>
    <row r="15764" customFormat="false" ht="15" hidden="false" customHeight="false" outlineLevel="0" collapsed="false">
      <c r="A15764" s="1" t="s">
        <v>1145</v>
      </c>
      <c r="B15764" s="0" t="s">
        <v>168</v>
      </c>
      <c r="C15764" s="7" t="n">
        <f aca="false">Sens!$C$15762/Sens!$C$15763</f>
        <v>0.818310777002201</v>
      </c>
    </row>
    <row r="15765" customFormat="false" ht="17.15" hidden="false" customHeight="false" outlineLevel="0" collapsed="false">
      <c r="A15765" s="1" t="s">
        <v>1231</v>
      </c>
      <c r="B15765" s="0" t="s">
        <v>98</v>
      </c>
      <c r="C15765" s="6" t="n">
        <f aca="false">Sens!$C$15763+cash_val-debt_val-fl_val+oai_v</f>
        <v>2450.04339350199</v>
      </c>
    </row>
    <row r="15766" customFormat="false" ht="17.15" hidden="false" customHeight="false" outlineLevel="0" collapsed="false">
      <c r="A15766" s="0" t="s">
        <v>1153</v>
      </c>
      <c r="B15766" s="0" t="s">
        <v>75</v>
      </c>
      <c r="C15766" s="5" t="n">
        <f aca="false">Sens!$C$15765/shd_val</f>
        <v>329.04155163873</v>
      </c>
    </row>
    <row r="15767" customFormat="false" ht="15" hidden="false" customHeight="false" outlineLevel="0" collapsed="false">
      <c r="A15767" s="1" t="s">
        <v>1232</v>
      </c>
      <c r="B15767" s="0" t="s">
        <v>75</v>
      </c>
      <c r="C15767" s="8" t="n">
        <f aca="false">div_rem27+CF!G95*roll_div_q/q_per_yr</f>
        <v>3.9795</v>
      </c>
    </row>
    <row r="15768" customFormat="false" ht="17.15" hidden="false" customHeight="false" outlineLevel="0" collapsed="false">
      <c r="A15768" s="0" t="s">
        <v>1233</v>
      </c>
      <c r="B15768" s="0" t="s">
        <v>75</v>
      </c>
      <c r="C15768" s="5" t="n">
        <f aca="false">Sens!$C$15766*(1+wacc)^t_roll-Sens!$C$15767</f>
        <v>361.768548700193</v>
      </c>
    </row>
    <row r="15769" customFormat="false" ht="17.15" hidden="false" customHeight="false" outlineLevel="0" collapsed="false">
      <c r="A15769" s="1" t="s">
        <v>1234</v>
      </c>
      <c r="B15769" s="0" t="s">
        <v>168</v>
      </c>
      <c r="F15769" s="7" t="n">
        <f aca="false">CF!F81/(Seg!F83-Thesis!F129)</f>
        <v>0.068677393452264</v>
      </c>
      <c r="G15769" s="7" t="n">
        <f aca="false">CF!G81/(Seg!G83-Thesis!G129)</f>
        <v>0.0663132664471956</v>
      </c>
      <c r="H15769" s="7" t="n">
        <f aca="false">CF!H81/(Seg!H83-Thesis!H129)</f>
        <v>0.0651363826734039</v>
      </c>
      <c r="I15769" s="7" t="n">
        <f aca="false">CF!I81/(Seg!I83-Thesis!I129)</f>
        <v>0.0650087936347709</v>
      </c>
      <c r="J15769" s="7" t="n">
        <f aca="false">CF!J81/(Seg!J83-Thesis!J129)</f>
        <v>0.0657212684841778</v>
      </c>
      <c r="K15769" s="7" t="n">
        <f aca="false">CF!K81/(Seg!K83-Thesis!K129)</f>
        <v>0.0670413306015285</v>
      </c>
    </row>
    <row r="15770" customFormat="false" ht="17.15" hidden="false" customHeight="false" outlineLevel="0" collapsed="false">
      <c r="A15770" s="0" t="s">
        <v>1235</v>
      </c>
      <c r="B15770" s="0" t="s">
        <v>98</v>
      </c>
      <c r="F15770" s="6" t="n">
        <f aca="false">Seg!F68*(al_m365+Sens!F15769+sbc_r)</f>
        <v>82.9185219618347</v>
      </c>
      <c r="G15770" s="6" t="n">
        <f aca="false">Seg!G68*(al_m365+Sens!G15769+sbc_r)</f>
        <v>93.3068052157631</v>
      </c>
      <c r="H15770" s="6" t="n">
        <f aca="false">Seg!H68*(al_m365+Sens!H15769+sbc_r)</f>
        <v>103.856057136159</v>
      </c>
      <c r="I15770" s="6" t="n">
        <f aca="false">Seg!I68*(al_m365+Sens!I15769+sbc_r)</f>
        <v>113.889717587147</v>
      </c>
      <c r="J15770" s="6" t="n">
        <f aca="false">Seg!J68*(al_m365+Sens!J15769+sbc_r)</f>
        <v>123.218477864124</v>
      </c>
      <c r="K15770" s="6" t="n">
        <f aca="false">Seg!K68*(al_m365+Sens!K15769+sbc_r)</f>
        <v>132.149420086311</v>
      </c>
      <c r="L15770" s="12" t="s">
        <v>1236</v>
      </c>
    </row>
    <row r="15771" customFormat="false" ht="17.15" hidden="false" customHeight="false" outlineLevel="0" collapsed="false">
      <c r="A15771" s="0" t="s">
        <v>1237</v>
      </c>
      <c r="B15771" s="0" t="s">
        <v>98</v>
      </c>
      <c r="F15771" s="6" t="n">
        <f aca="false">Seg!F69*(al_lic+Sens!F15769+sbc_r)</f>
        <v>32.8599853992256</v>
      </c>
      <c r="G15771" s="6" t="n">
        <f aca="false">Seg!G69*(al_lic+Sens!G15769+sbc_r)</f>
        <v>34.1568280697879</v>
      </c>
      <c r="H15771" s="6" t="n">
        <f aca="false">Seg!H69*(al_lic+Sens!H15769+sbc_r)</f>
        <v>35.3635535007213</v>
      </c>
      <c r="I15771" s="6" t="n">
        <f aca="false">Seg!I69*(al_lic+Sens!I15769+sbc_r)</f>
        <v>36.4604537346553</v>
      </c>
      <c r="J15771" s="6" t="n">
        <f aca="false">Seg!J69*(al_lic+Sens!J15769+sbc_r)</f>
        <v>37.4245888933574</v>
      </c>
      <c r="K15771" s="6" t="n">
        <f aca="false">Seg!K69*(al_lic+Sens!K15769+sbc_r)</f>
        <v>38.2321483186439</v>
      </c>
    </row>
    <row r="15772" customFormat="false" ht="17.15" hidden="false" customHeight="false" outlineLevel="0" collapsed="false">
      <c r="A15772" s="0" t="s">
        <v>1238</v>
      </c>
      <c r="B15772" s="0" t="s">
        <v>98</v>
      </c>
      <c r="F15772" s="6" t="n">
        <f aca="false">Seg!F71*(al_ind+Sens!F15769+sbc_r)</f>
        <v>9.06170747885803</v>
      </c>
      <c r="G15772" s="6" t="n">
        <f aca="false">Seg!G71*(al_ind+Sens!G15769+sbc_r)</f>
        <v>9.8478979082138</v>
      </c>
      <c r="H15772" s="6" t="n">
        <f aca="false">Seg!H71*(al_ind+Sens!H15769+sbc_r)</f>
        <v>10.6768254332059</v>
      </c>
      <c r="I15772" s="6" t="n">
        <f aca="false">Seg!I71*(al_ind+Sens!I15769+sbc_r)</f>
        <v>11.54398793803</v>
      </c>
      <c r="J15772" s="6" t="n">
        <f aca="false">Seg!J71*(al_ind+Sens!J15769+sbc_r)</f>
        <v>12.4407914253112</v>
      </c>
      <c r="K15772" s="6" t="n">
        <f aca="false">Seg!K71*(al_ind+Sens!K15769+sbc_r)</f>
        <v>13.355239066864</v>
      </c>
    </row>
    <row r="15773" customFormat="false" ht="17.15" hidden="false" customHeight="false" outlineLevel="0" collapsed="false">
      <c r="A15773" s="0" t="s">
        <v>1239</v>
      </c>
      <c r="B15773" s="0" t="s">
        <v>98</v>
      </c>
      <c r="F15773" s="6" t="n">
        <f aca="false">Seg!F73*(al_fro+Sens!F15769+sbc_r)</f>
        <v>3.55453569939552</v>
      </c>
      <c r="G15773" s="6" t="n">
        <f aca="false">Seg!G73*(al_fro+Sens!G15769+sbc_r)</f>
        <v>3.76809436159872</v>
      </c>
      <c r="H15773" s="6" t="n">
        <f aca="false">Seg!H73*(al_fro+Sens!H15769+sbc_r)</f>
        <v>4.00964905674607</v>
      </c>
      <c r="I15773" s="6" t="n">
        <f aca="false">Seg!I73*(al_fro+Sens!I15769+sbc_r)</f>
        <v>4.28152633145235</v>
      </c>
      <c r="J15773" s="6" t="n">
        <f aca="false">Seg!J73*(al_fro+Sens!J15769+sbc_r)</f>
        <v>4.58536512975975</v>
      </c>
      <c r="K15773" s="6" t="n">
        <f aca="false">Seg!K73*(al_fro+Sens!K15769+sbc_r)</f>
        <v>4.92240770086468</v>
      </c>
    </row>
    <row r="15774" customFormat="false" ht="17.15" hidden="false" customHeight="false" outlineLevel="0" collapsed="false">
      <c r="A15774" s="0" t="s">
        <v>1240</v>
      </c>
      <c r="B15774" s="0" t="s">
        <v>98</v>
      </c>
      <c r="F15774" s="6" t="n">
        <f aca="false">Seg!F76*(al_srch+Sens!F15769+sbc_r)</f>
        <v>11.190683952584</v>
      </c>
      <c r="G15774" s="6" t="n">
        <f aca="false">Seg!G76*(al_srch+Sens!G15769+sbc_r)</f>
        <v>12.2763328717258</v>
      </c>
      <c r="H15774" s="6" t="n">
        <f aca="false">Seg!H76*(al_srch+Sens!H15769+sbc_r)</f>
        <v>13.4043563346576</v>
      </c>
      <c r="I15774" s="6" t="n">
        <f aca="false">Seg!I76*(al_srch+Sens!I15769+sbc_r)</f>
        <v>14.5621512181916</v>
      </c>
      <c r="J15774" s="6" t="n">
        <f aca="false">Seg!J76*(al_srch+Sens!J15769+sbc_r)</f>
        <v>15.7310381862385</v>
      </c>
      <c r="K15774" s="6" t="n">
        <f aca="false">Seg!K76*(al_srch+Sens!K15769+sbc_r)</f>
        <v>16.8873320486462</v>
      </c>
    </row>
    <row r="15775" customFormat="false" ht="17.15" hidden="false" customHeight="false" outlineLevel="0" collapsed="false">
      <c r="A15775" s="0" t="s">
        <v>1241</v>
      </c>
      <c r="B15775" s="0" t="s">
        <v>98</v>
      </c>
      <c r="F15775" s="6" t="n">
        <f aca="false">Thesis!F135-Thesis!F136+Thesis!F151</f>
        <v>38.9696429794913</v>
      </c>
      <c r="G15775" s="6" t="n">
        <f aca="false">Thesis!G135-Thesis!G136+Thesis!G151</f>
        <v>69.465497726016</v>
      </c>
      <c r="H15775" s="6" t="n">
        <f aca="false">Thesis!H135-Thesis!H136+Thesis!H151</f>
        <v>96.8147106808268</v>
      </c>
      <c r="I15775" s="6" t="n">
        <f aca="false">Thesis!I135-Thesis!I136+Thesis!I151</f>
        <v>127.654939766446</v>
      </c>
      <c r="J15775" s="6" t="n">
        <f aca="false">Thesis!J135-Thesis!J136+Thesis!J151</f>
        <v>149.308352681229</v>
      </c>
      <c r="K15775" s="6" t="n">
        <f aca="false">Thesis!K135-Thesis!K136+Thesis!K151</f>
        <v>162.731822021841</v>
      </c>
    </row>
    <row r="15776" customFormat="false" ht="17.15" hidden="false" customHeight="false" outlineLevel="0" collapsed="false">
      <c r="A15776" s="0" t="s">
        <v>1242</v>
      </c>
      <c r="B15776" s="0" t="s">
        <v>98</v>
      </c>
      <c r="F15776" s="6" t="n">
        <f aca="false">PL!F110+Thesis!F151+Thesis!F147+Sens!F15769*(Seg!F75-Thesis!F129)+sbc_r*Seg!F75</f>
        <v>234.79972328186</v>
      </c>
      <c r="G15776" s="6" t="n">
        <f aca="false">PL!G110+Thesis!G151+Thesis!G147+Sens!G15769*(Seg!G75-Thesis!G129)+sbc_r*Seg!G75</f>
        <v>285.499052659517</v>
      </c>
      <c r="H15776" s="6" t="n">
        <f aca="false">PL!H110+Thesis!H151+Thesis!H147+Sens!H15769*(Seg!H75-Thesis!H129)+sbc_r*Seg!H75</f>
        <v>338.258569294547</v>
      </c>
      <c r="I15776" s="6" t="n">
        <f aca="false">PL!I110+Thesis!I151+Thesis!I147+Sens!I15769*(Seg!I75-Thesis!I129)+sbc_r*Seg!I75</f>
        <v>393.887902526982</v>
      </c>
      <c r="J15776" s="6" t="n">
        <f aca="false">PL!J110+Thesis!J151+Thesis!J147+Sens!J15769*(Seg!J75-Thesis!J129)+sbc_r*Seg!J75</f>
        <v>438.406631506078</v>
      </c>
      <c r="K15776" s="6" t="n">
        <f aca="false">PL!K110+Thesis!K151+Thesis!K147+Sens!K15769*(Seg!K75-Thesis!K129)+sbc_r*Seg!K75</f>
        <v>472.352875745143</v>
      </c>
    </row>
    <row r="15777" customFormat="false" ht="17.15" hidden="false" customHeight="false" outlineLevel="0" collapsed="false">
      <c r="A15777" s="0" t="s">
        <v>1243</v>
      </c>
      <c r="B15777" s="0" t="s">
        <v>98</v>
      </c>
      <c r="F15777" s="6" t="n">
        <f aca="false">Sens!F15776-Sens!F15770-Sens!F15771-Sens!F15772-Sens!F15773-Sens!F15775</f>
        <v>67.4353297630543</v>
      </c>
      <c r="G15777" s="6" t="n">
        <f aca="false">Sens!G15776-Sens!G15770-Sens!G15771-Sens!G15772-Sens!G15773-Sens!G15775</f>
        <v>74.9539293781376</v>
      </c>
      <c r="H15777" s="6" t="n">
        <f aca="false">Sens!H15776-Sens!H15770-Sens!H15771-Sens!H15772-Sens!H15773-Sens!H15775</f>
        <v>87.537773486888</v>
      </c>
      <c r="I15777" s="6" t="n">
        <f aca="false">Sens!I15776-Sens!I15770-Sens!I15771-Sens!I15772-Sens!I15773-Sens!I15775</f>
        <v>100.057277169252</v>
      </c>
      <c r="J15777" s="6" t="n">
        <f aca="false">Sens!J15776-Sens!J15770-Sens!J15771-Sens!J15772-Sens!J15773-Sens!J15775</f>
        <v>111.429055512297</v>
      </c>
      <c r="K15777" s="6" t="n">
        <f aca="false">Sens!K15776-Sens!K15770-Sens!K15771-Sens!K15772-Sens!K15773-Sens!K15775</f>
        <v>120.961838550618</v>
      </c>
    </row>
    <row r="15778" customFormat="false" ht="17.15" hidden="false" customHeight="false" outlineLevel="0" collapsed="false">
      <c r="A15778" s="0" t="s">
        <v>1244</v>
      </c>
      <c r="B15778" s="0" t="s">
        <v>98</v>
      </c>
      <c r="F15778" s="6" t="n">
        <f aca="false">PL!F112+Sens!F15769*Seg!F82+sbc_r*Seg!F82</f>
        <v>26.6373549789235</v>
      </c>
      <c r="G15778" s="6" t="n">
        <f aca="false">PL!G112+Sens!G15769*Seg!G82+sbc_r*Seg!G82</f>
        <v>26.5038922765853</v>
      </c>
      <c r="H15778" s="6" t="n">
        <f aca="false">PL!H112+Sens!H15769*Seg!H82+sbc_r*Seg!H82</f>
        <v>27.3981100014792</v>
      </c>
      <c r="I15778" s="6" t="n">
        <f aca="false">PL!I112+Sens!I15769*Seg!I82+sbc_r*Seg!I82</f>
        <v>28.5176442589239</v>
      </c>
      <c r="J15778" s="6" t="n">
        <f aca="false">PL!J112+Sens!J15769*Seg!J82+sbc_r*Seg!J82</f>
        <v>29.8313998963726</v>
      </c>
      <c r="K15778" s="6" t="n">
        <f aca="false">PL!K112+Sens!K15769*Seg!K82+sbc_r*Seg!K82</f>
        <v>31.3103466222307</v>
      </c>
    </row>
    <row r="15779" customFormat="false" ht="17.15" hidden="false" customHeight="false" outlineLevel="0" collapsed="false">
      <c r="A15779" s="0" t="s">
        <v>1245</v>
      </c>
      <c r="B15779" s="0" t="s">
        <v>98</v>
      </c>
      <c r="F15779" s="6" t="n">
        <f aca="false">(Sens!F15778-Sens!F15774)*Seg!F78/(Seg!F78+Seg!F80)</f>
        <v>8.72405610479892</v>
      </c>
      <c r="G15779" s="6" t="n">
        <f aca="false">(Sens!G15778-Sens!G15774)*Seg!G78/(Seg!G78+Seg!G80)</f>
        <v>7.897418765869</v>
      </c>
      <c r="H15779" s="6" t="n">
        <f aca="false">(Sens!H15778-Sens!H15774)*Seg!H78/(Seg!H78+Seg!H80)</f>
        <v>7.66644879573063</v>
      </c>
      <c r="I15779" s="6" t="n">
        <f aca="false">(Sens!I15778-Sens!I15774)*Seg!I78/(Seg!I78+Seg!I80)</f>
        <v>7.5787545031814</v>
      </c>
      <c r="J15779" s="6" t="n">
        <f aca="false">(Sens!J15778-Sens!J15774)*Seg!J78/(Seg!J78+Seg!J80)</f>
        <v>7.62401876450459</v>
      </c>
      <c r="K15779" s="6" t="n">
        <f aca="false">(Sens!K15778-Sens!K15774)*Seg!K78/(Seg!K78+Seg!K80)</f>
        <v>7.79847609658838</v>
      </c>
    </row>
    <row r="15780" customFormat="false" ht="17.15" hidden="false" customHeight="false" outlineLevel="0" collapsed="false">
      <c r="A15780" s="0" t="s">
        <v>1246</v>
      </c>
      <c r="B15780" s="0" t="s">
        <v>98</v>
      </c>
      <c r="F15780" s="6" t="n">
        <f aca="false">Sens!F15778-Sens!F15774-Sens!F15779</f>
        <v>6.72261492154066</v>
      </c>
      <c r="G15780" s="6" t="n">
        <f aca="false">Sens!G15778-Sens!G15774-Sens!G15779</f>
        <v>6.33014063899044</v>
      </c>
      <c r="H15780" s="6" t="n">
        <f aca="false">Sens!H15778-Sens!H15774-Sens!H15779</f>
        <v>6.32730487109095</v>
      </c>
      <c r="I15780" s="6" t="n">
        <f aca="false">Sens!I15778-Sens!I15774-Sens!I15779</f>
        <v>6.37673853755084</v>
      </c>
      <c r="J15780" s="6" t="n">
        <f aca="false">Sens!J15778-Sens!J15774-Sens!J15779</f>
        <v>6.47634294562954</v>
      </c>
      <c r="K15780" s="6" t="n">
        <f aca="false">Sens!K15778-Sens!K15774-Sens!K15779</f>
        <v>6.62453847699607</v>
      </c>
    </row>
    <row r="15781" customFormat="false" ht="17.15" hidden="false" customHeight="false" outlineLevel="0" collapsed="false">
      <c r="A15781" s="0" t="s">
        <v>1247</v>
      </c>
      <c r="B15781" s="0" t="s">
        <v>98</v>
      </c>
      <c r="F15781" s="6" t="n">
        <f aca="false">Sens!F15775-tax_f*(Sens!F15775-Thesis!F147)-Thesis!F144</f>
        <v>-130.362326762856</v>
      </c>
      <c r="G15781" s="6" t="n">
        <f aca="false">Sens!G15775-tax_f*(Sens!G15775-Thesis!G147)-Thesis!G144</f>
        <v>-124.225179337776</v>
      </c>
      <c r="H15781" s="6" t="n">
        <f aca="false">Sens!H15775-tax_f*(Sens!H15775-Thesis!H147)-Thesis!H144</f>
        <v>-101.534217387562</v>
      </c>
      <c r="I15781" s="6" t="n">
        <f aca="false">Sens!I15775-tax_f*(Sens!I15775-Thesis!I147)-Thesis!I144</f>
        <v>-43.6446798695439</v>
      </c>
      <c r="J15781" s="6" t="n">
        <f aca="false">Sens!J15775-tax_f*(Sens!J15775-Thesis!J147)-Thesis!J144</f>
        <v>16.9198855589618</v>
      </c>
      <c r="K15781" s="6" t="n">
        <f aca="false">Sens!K15775-tax_f*(Sens!K15775-Thesis!K147)-Thesis!K144</f>
        <v>39.8251384629271</v>
      </c>
    </row>
    <row r="15782" customFormat="false" ht="17.15" hidden="false" customHeight="false" outlineLevel="0" collapsed="false">
      <c r="A15782" s="0" t="s">
        <v>1248</v>
      </c>
      <c r="B15782" s="0" t="s">
        <v>98</v>
      </c>
      <c r="G15782" s="6" t="n">
        <f aca="false">Sens!G15781/(1+wacc)^(Sens!G15752-Sens!F15753)</f>
        <v>-118.286276192192</v>
      </c>
      <c r="H15782" s="6" t="n">
        <f aca="false">Sens!H15781/(1+wacc)^(Sens!H15752-Sens!F15753)</f>
        <v>-87.6570009910427</v>
      </c>
      <c r="I15782" s="6" t="n">
        <f aca="false">Sens!I15781/(1+wacc)^(Sens!I15752-Sens!F15753)</f>
        <v>-34.1629172979204</v>
      </c>
      <c r="J15782" s="6" t="n">
        <f aca="false">Sens!J15781/(1+wacc)^(Sens!J15752-Sens!F15753)</f>
        <v>12.0079954170053</v>
      </c>
      <c r="K15782" s="6" t="n">
        <f aca="false">Sens!K15781/(1+wacc)^(Sens!K15752-Sens!F15753)</f>
        <v>25.6259421582556</v>
      </c>
      <c r="L15782" s="1" t="s">
        <v>1249</v>
      </c>
    </row>
    <row r="15783" customFormat="false" ht="17.15" hidden="false" customHeight="false" outlineLevel="0" collapsed="false">
      <c r="A15783" s="0" t="s">
        <v>1250</v>
      </c>
      <c r="B15783" s="0" t="s">
        <v>98</v>
      </c>
      <c r="C15783" s="6" t="n">
        <f aca="false">(Sens!K15775-Thesis!K147)*(1-tax_f)*(1+g_tv)*(1-g_tv/(wacc+0))/(wacc-g_tv)/(1+wacc)^(Sens!K15753-Sens!F15753)</f>
        <v>96.7148026864948</v>
      </c>
    </row>
    <row r="15784" customFormat="false" ht="17.15" hidden="false" customHeight="false" outlineLevel="0" collapsed="false">
      <c r="A15784" s="1" t="s">
        <v>1251</v>
      </c>
      <c r="B15784" s="0" t="s">
        <v>98</v>
      </c>
      <c r="C15784" s="6" t="n">
        <f aca="false">(SUM(Sens!G15782:K15782)+Sens!$C$15783)*(1+wacc)^(t_roll-Sens!F15753)</f>
        <v>-109.248827617462</v>
      </c>
      <c r="L15784" s="12" t="s">
        <v>1252</v>
      </c>
    </row>
    <row r="15785" customFormat="false" ht="17.15" hidden="false" customHeight="false" outlineLevel="0" collapsed="false">
      <c r="A15785" s="1" t="s">
        <v>1253</v>
      </c>
      <c r="B15785" s="0" t="s">
        <v>98</v>
      </c>
      <c r="C15785" s="6" t="n">
        <f aca="false">(w_ntm28*Thesis!G135+(1-w_ntm28)*Thesis!H135)*m_ai</f>
        <v>344.355829012336</v>
      </c>
    </row>
    <row r="15786" customFormat="false" ht="17.15" hidden="false" customHeight="false" outlineLevel="0" collapsed="false">
      <c r="A15786" s="1" t="s">
        <v>1254</v>
      </c>
      <c r="B15786" s="0" t="s">
        <v>98</v>
      </c>
      <c r="C15786" s="6" t="n">
        <f aca="false">(w_ntm28*Sens!G15777+(1-w_ntm28)*Sens!H15777)*m_cloud</f>
        <v>1093.03877543039</v>
      </c>
    </row>
    <row r="15787" customFormat="false" ht="17.15" hidden="false" customHeight="false" outlineLevel="0" collapsed="false">
      <c r="A15787" s="1" t="s">
        <v>1255</v>
      </c>
      <c r="B15787" s="0" t="s">
        <v>98</v>
      </c>
      <c r="C15787" s="6" t="n">
        <f aca="false">(w_ntm28*Sens!G15770+(1-w_ntm28)*Sens!H15770)*m_sw</f>
        <v>1045.17056616266</v>
      </c>
    </row>
    <row r="15788" customFormat="false" ht="17.15" hidden="false" customHeight="false" outlineLevel="0" collapsed="false">
      <c r="A15788" s="1" t="s">
        <v>1256</v>
      </c>
      <c r="B15788" s="0" t="s">
        <v>98</v>
      </c>
      <c r="C15788" s="6" t="n">
        <f aca="false">(w_ntm28*Sens!G15771+(1-w_ntm28)*Sens!H15771)*m_sw</f>
        <v>373.178444957791</v>
      </c>
    </row>
    <row r="15789" customFormat="false" ht="17.15" hidden="false" customHeight="false" outlineLevel="0" collapsed="false">
      <c r="A15789" s="1" t="s">
        <v>1257</v>
      </c>
      <c r="B15789" s="0" t="s">
        <v>98</v>
      </c>
      <c r="C15789" s="6" t="n">
        <f aca="false">(w_ntm28*Sens!G15772+(1-w_ntm28)*Sens!H15772)*m_sw</f>
        <v>109.30055788101</v>
      </c>
    </row>
    <row r="15790" customFormat="false" ht="17.15" hidden="false" customHeight="false" outlineLevel="0" collapsed="false">
      <c r="A15790" s="1" t="s">
        <v>1258</v>
      </c>
      <c r="B15790" s="0" t="s">
        <v>98</v>
      </c>
      <c r="C15790" s="6" t="n">
        <f aca="false">(w_ntm28*Sens!G15773+(1-w_ntm28)*Sens!H15773)*m_sw</f>
        <v>41.5531037214606</v>
      </c>
    </row>
    <row r="15791" customFormat="false" ht="17.15" hidden="false" customHeight="false" outlineLevel="0" collapsed="false">
      <c r="A15791" s="1" t="s">
        <v>1259</v>
      </c>
      <c r="B15791" s="0" t="s">
        <v>98</v>
      </c>
      <c r="C15791" s="6" t="n">
        <f aca="false">(w_ntm28*Sens!G15774+(1-w_ntm28)*Sens!H15774)*m_ads</f>
        <v>115.215899994784</v>
      </c>
    </row>
    <row r="15792" customFormat="false" ht="17.15" hidden="false" customHeight="false" outlineLevel="0" collapsed="false">
      <c r="A15792" s="1" t="s">
        <v>1260</v>
      </c>
      <c r="B15792" s="0" t="s">
        <v>98</v>
      </c>
      <c r="C15792" s="6" t="n">
        <f aca="false">(w_ntm28*Sens!G15779+(1-w_ntm28)*Sens!H15779)*m_game</f>
        <v>98.7853357615783</v>
      </c>
    </row>
    <row r="15793" customFormat="false" ht="17.15" hidden="false" customHeight="false" outlineLevel="0" collapsed="false">
      <c r="A15793" s="1" t="s">
        <v>1261</v>
      </c>
      <c r="B15793" s="0" t="s">
        <v>98</v>
      </c>
      <c r="C15793" s="6" t="n">
        <f aca="false">(w_ntm28*Sens!G15780+(1-w_ntm28)*Sens!H15780)*m_pc</f>
        <v>91.5836445602173</v>
      </c>
    </row>
    <row r="15794" customFormat="false" ht="17.15" hidden="false" customHeight="false" outlineLevel="0" collapsed="false">
      <c r="A15794" s="1" t="s">
        <v>1262</v>
      </c>
      <c r="B15794" s="0" t="s">
        <v>98</v>
      </c>
      <c r="C15794" s="6" t="n">
        <f aca="false">Sens!$C$15784+Sens!$C$15786+Sens!$C$15787+Sens!$C$15788+Sens!$C$15789+Sens!$C$15790+Sens!$C$15791+Sens!$C$15792+Sens!$C$15793</f>
        <v>2858.57750085243</v>
      </c>
    </row>
    <row r="15795" customFormat="false" ht="17.15" hidden="false" customHeight="false" outlineLevel="0" collapsed="false">
      <c r="A15795" s="1" t="s">
        <v>1263</v>
      </c>
      <c r="B15795" s="0" t="s">
        <v>98</v>
      </c>
      <c r="C15795" s="6" t="n">
        <f aca="false">(Sens!G15756-Sens!G15781)*t_stub</f>
        <v>47.4829168796038</v>
      </c>
      <c r="L15795" s="1" t="s">
        <v>1264</v>
      </c>
    </row>
    <row r="15796" customFormat="false" ht="17.15" hidden="false" customHeight="false" outlineLevel="0" collapsed="false">
      <c r="A15796" s="1" t="s">
        <v>1173</v>
      </c>
      <c r="B15796" s="0" t="s">
        <v>98</v>
      </c>
      <c r="C15796" s="6" t="n">
        <f aca="false">CF!F103+oai_v-CF!F92+Sens!$C$15795</f>
        <v>158.55427008544</v>
      </c>
      <c r="L15796" s="1" t="s">
        <v>1265</v>
      </c>
    </row>
    <row r="15797" customFormat="false" ht="17.15" hidden="false" customHeight="false" outlineLevel="0" collapsed="false">
      <c r="A15797" s="1" t="s">
        <v>1266</v>
      </c>
      <c r="B15797" s="0" t="s">
        <v>75</v>
      </c>
      <c r="C15797" s="5" t="n">
        <f aca="false">(Sens!$C$15794+Sens!$C$15796)/(CF!F105+dil_gap)-CF!G95*roll_div_q/q_per_yr</f>
        <v>401.459402206225</v>
      </c>
      <c r="L15797" s="1" t="s">
        <v>1267</v>
      </c>
    </row>
    <row r="15798" customFormat="false" ht="17.15" hidden="false" customHeight="false" outlineLevel="0" collapsed="false">
      <c r="A15798" s="1" t="s">
        <v>1268</v>
      </c>
      <c r="B15798" s="0" t="s">
        <v>75</v>
      </c>
      <c r="C15798" s="5" t="n">
        <f aca="false">w_dcf*Sens!$C$15768+(1-w_dcf)*Sens!$C$15797</f>
        <v>381.613975453209</v>
      </c>
    </row>
    <row r="15799" customFormat="false" ht="17.15" hidden="false" customHeight="false" outlineLevel="0" collapsed="false">
      <c r="A15799" s="3" t="s">
        <v>2001</v>
      </c>
    </row>
    <row r="15800" customFormat="false" ht="15" hidden="false" customHeight="false" outlineLevel="0" collapsed="false">
      <c r="A15800" s="4" t="s">
        <v>43</v>
      </c>
      <c r="B15800" s="4" t="s">
        <v>65</v>
      </c>
      <c r="C15800" s="23" t="s">
        <v>942</v>
      </c>
      <c r="D15800" s="23" t="s">
        <v>943</v>
      </c>
      <c r="E15800" s="23" t="s">
        <v>944</v>
      </c>
      <c r="F15800" s="23" t="s">
        <v>945</v>
      </c>
      <c r="G15800" s="23" t="s">
        <v>946</v>
      </c>
      <c r="H15800" s="23" t="s">
        <v>947</v>
      </c>
      <c r="I15800" s="23" t="s">
        <v>948</v>
      </c>
      <c r="J15800" s="23" t="s">
        <v>949</v>
      </c>
      <c r="K15800" s="23" t="s">
        <v>950</v>
      </c>
      <c r="L15800" s="4" t="s">
        <v>47</v>
      </c>
    </row>
    <row r="15801" customFormat="false" ht="17.15" hidden="false" customHeight="false" outlineLevel="0" collapsed="false">
      <c r="A15801" s="1" t="s">
        <v>1216</v>
      </c>
      <c r="B15801" s="1" t="s">
        <v>279</v>
      </c>
      <c r="F15801" s="8" t="n">
        <f aca="false">(1-v_off)*mid_yr</f>
        <v>0.373972602739726</v>
      </c>
      <c r="G15801" s="8" t="n">
        <f aca="false">Thesis!G6-base_fy-mid_yr-v_off</f>
        <v>1.24794520547945</v>
      </c>
      <c r="H15801" s="8" t="n">
        <f aca="false">Thesis!H6-base_fy-mid_yr-v_off</f>
        <v>2.24794520547945</v>
      </c>
      <c r="I15801" s="8" t="n">
        <f aca="false">Thesis!I6-base_fy-mid_yr-v_off</f>
        <v>3.24794520547945</v>
      </c>
      <c r="J15801" s="8" t="n">
        <f aca="false">Thesis!J6-base_fy-mid_yr-v_off</f>
        <v>4.24794520547945</v>
      </c>
      <c r="K15801" s="8" t="n">
        <f aca="false">Thesis!K6-base_fy-mid_yr-v_off</f>
        <v>5.24794520547945</v>
      </c>
      <c r="L15801" s="12" t="s">
        <v>1217</v>
      </c>
    </row>
    <row r="15802" customFormat="false" ht="15" hidden="false" customHeight="false" outlineLevel="0" collapsed="false">
      <c r="A15802" s="1" t="s">
        <v>1218</v>
      </c>
      <c r="B15802" s="1" t="s">
        <v>279</v>
      </c>
      <c r="F15802" s="8" t="n">
        <f aca="false">Thesis!F6-base_fy-v_off</f>
        <v>0.747945205479452</v>
      </c>
      <c r="G15802" s="8" t="n">
        <f aca="false">Thesis!G6-base_fy-v_off</f>
        <v>1.74794520547945</v>
      </c>
      <c r="H15802" s="8" t="n">
        <f aca="false">Thesis!H6-base_fy-v_off</f>
        <v>2.74794520547945</v>
      </c>
      <c r="I15802" s="8" t="n">
        <f aca="false">Thesis!I6-base_fy-v_off</f>
        <v>3.74794520547945</v>
      </c>
      <c r="J15802" s="8" t="n">
        <f aca="false">Thesis!J6-base_fy-v_off</f>
        <v>4.74794520547945</v>
      </c>
      <c r="K15802" s="8" t="n">
        <f aca="false">Thesis!K6-base_fy-v_off</f>
        <v>5.74794520547945</v>
      </c>
    </row>
    <row r="15803" customFormat="false" ht="15" hidden="false" customHeight="false" outlineLevel="0" collapsed="false">
      <c r="A15803" s="1" t="s">
        <v>1219</v>
      </c>
      <c r="B15803" s="0" t="s">
        <v>229</v>
      </c>
      <c r="F15803" s="15" t="n">
        <f aca="false">1/(1+wacc)^Sens!F15801</f>
        <v>0.964022703286649</v>
      </c>
      <c r="G15803" s="15" t="n">
        <f aca="false">1/(1+wacc)^Sens!G15801</f>
        <v>0.884910302296739</v>
      </c>
      <c r="H15803" s="15" t="n">
        <f aca="false">1/(1+wacc)^Sens!H15801</f>
        <v>0.802322009770358</v>
      </c>
      <c r="I15803" s="15" t="n">
        <f aca="false">1/(1+wacc)^Sens!I15801</f>
        <v>0.727441646561469</v>
      </c>
      <c r="J15803" s="15" t="n">
        <f aca="false">1/(1+wacc)^Sens!J15801</f>
        <v>0.659549834988973</v>
      </c>
      <c r="K15803" s="15" t="n">
        <f aca="false">1/(1+wacc)^Sens!K15801</f>
        <v>0.597994336576966</v>
      </c>
    </row>
    <row r="15804" customFormat="false" ht="17.15" hidden="false" customHeight="false" outlineLevel="0" collapsed="false">
      <c r="A15804" s="1" t="s">
        <v>1220</v>
      </c>
      <c r="B15804" s="0" t="s">
        <v>98</v>
      </c>
      <c r="F15804" s="6" t="n">
        <f aca="false">Q!$I$35-Q!$I$39-Q!$I$43</f>
        <v>9.666</v>
      </c>
      <c r="L15804" s="12" t="s">
        <v>1221</v>
      </c>
    </row>
    <row r="15805" customFormat="false" ht="17.15" hidden="false" customHeight="false" outlineLevel="0" collapsed="false">
      <c r="A15805" s="1" t="s">
        <v>1222</v>
      </c>
      <c r="B15805" s="0" t="s">
        <v>98</v>
      </c>
      <c r="F15805" s="6" t="n">
        <f aca="false">CF!F23-CF!F20-CF!F27+Thesis!F47*(1-tax_f)*(1-v_off)-Sens!F15804</f>
        <v>-1.12880264559539</v>
      </c>
      <c r="G15805" s="6" t="n">
        <f aca="false">CF!G23-CF!G20-CF!G27+Thesis!G47*(1-tax_f)</f>
        <v>38.7194421947551</v>
      </c>
      <c r="H15805" s="6" t="n">
        <f aca="false">CF!H23-CF!H20-CF!H27+Thesis!H47*(1-tax_f)</f>
        <v>98.6927474567662</v>
      </c>
      <c r="I15805" s="6" t="n">
        <f aca="false">CF!I23-CF!I20-CF!I27+Thesis!I47*(1-tax_f)</f>
        <v>181.625440536277</v>
      </c>
      <c r="J15805" s="6" t="n">
        <f aca="false">CF!J23-CF!J20-CF!J27+Thesis!J47*(1-tax_f)</f>
        <v>263.350402418584</v>
      </c>
      <c r="K15805" s="6" t="n">
        <f aca="false">CF!K23-CF!K20-CF!K27+Thesis!K47*(1-tax_f)</f>
        <v>303.659068389018</v>
      </c>
      <c r="L15805" s="1" t="s">
        <v>1223</v>
      </c>
    </row>
    <row r="15806" customFormat="false" ht="15" hidden="false" customHeight="false" outlineLevel="0" collapsed="false">
      <c r="A15806" s="1" t="s">
        <v>1224</v>
      </c>
      <c r="B15806" s="0" t="s">
        <v>98</v>
      </c>
      <c r="F15806" s="6" t="n">
        <f aca="false">Sens!F15805*Sens!F15803</f>
        <v>-1.08819137788399</v>
      </c>
      <c r="G15806" s="6" t="n">
        <f aca="false">Sens!G15805*Sens!G15803</f>
        <v>34.2632332973219</v>
      </c>
      <c r="H15806" s="6" t="n">
        <f aca="false">Sens!H15805*Sens!H15803</f>
        <v>79.183363489271</v>
      </c>
      <c r="I15806" s="6" t="n">
        <f aca="false">Sens!I15805*Sens!I15803</f>
        <v>132.121909521162</v>
      </c>
      <c r="J15806" s="6" t="n">
        <f aca="false">Sens!J15805*Sens!J15803</f>
        <v>173.692714459456</v>
      </c>
      <c r="K15806" s="6" t="n">
        <f aca="false">Sens!K15805*Sens!K15803</f>
        <v>181.58640314687</v>
      </c>
    </row>
    <row r="15807" customFormat="false" ht="17.15" hidden="false" customHeight="false" outlineLevel="0" collapsed="false">
      <c r="A15807" s="1" t="s">
        <v>1225</v>
      </c>
      <c r="B15807" s="0" t="s">
        <v>98</v>
      </c>
      <c r="C15807" s="6" t="n">
        <f aca="false">SUM(Sens!F15806:K15806)</f>
        <v>599.759432536197</v>
      </c>
    </row>
    <row r="15808" customFormat="false" ht="17.15" hidden="false" customHeight="false" outlineLevel="0" collapsed="false">
      <c r="A15808" s="1" t="s">
        <v>1226</v>
      </c>
      <c r="B15808" s="0" t="s">
        <v>98</v>
      </c>
      <c r="C15808" s="6" t="n">
        <f aca="false">PL!K39*(1+g_tv)*(1-tax_f)</f>
        <v>316.501318799308</v>
      </c>
    </row>
    <row r="15809" customFormat="false" ht="17.15" hidden="false" customHeight="false" outlineLevel="0" collapsed="false">
      <c r="A15809" s="1" t="s">
        <v>1227</v>
      </c>
      <c r="B15809" s="0" t="s">
        <v>98</v>
      </c>
      <c r="C15809" s="6" t="n">
        <f aca="false">Sens!$C$15808*(1-g_tv/(wacc+ronic_prem))</f>
        <v>224.25968269347</v>
      </c>
    </row>
    <row r="15810" customFormat="false" ht="17.15" hidden="false" customHeight="false" outlineLevel="0" collapsed="false">
      <c r="A15810" s="1" t="s">
        <v>1228</v>
      </c>
      <c r="B15810" s="0" t="s">
        <v>98</v>
      </c>
      <c r="C15810" s="6" t="n">
        <f aca="false">Sens!$C$15809/(wacc-g_tv)</f>
        <v>3074.72120352792</v>
      </c>
    </row>
    <row r="15811" customFormat="false" ht="15" hidden="false" customHeight="false" outlineLevel="0" collapsed="false">
      <c r="A15811" s="1" t="s">
        <v>1229</v>
      </c>
      <c r="B15811" s="0" t="s">
        <v>98</v>
      </c>
      <c r="C15811" s="6" t="n">
        <f aca="false">Sens!$C$15810/(1+wacc)^Sens!K15802</f>
        <v>1750.76373116397</v>
      </c>
    </row>
    <row r="15812" customFormat="false" ht="17.15" hidden="false" customHeight="false" outlineLevel="0" collapsed="false">
      <c r="A15812" s="0" t="s">
        <v>1230</v>
      </c>
      <c r="B15812" s="0" t="s">
        <v>98</v>
      </c>
      <c r="C15812" s="6" t="n">
        <f aca="false">Sens!$C$15807+Sens!$C$15811</f>
        <v>2350.52316370017</v>
      </c>
    </row>
    <row r="15813" customFormat="false" ht="15" hidden="false" customHeight="false" outlineLevel="0" collapsed="false">
      <c r="A15813" s="1" t="s">
        <v>1145</v>
      </c>
      <c r="B15813" s="0" t="s">
        <v>168</v>
      </c>
      <c r="C15813" s="7" t="n">
        <f aca="false">Sens!$C$15811/Sens!$C$15812</f>
        <v>0.744840024638574</v>
      </c>
    </row>
    <row r="15814" customFormat="false" ht="17.15" hidden="false" customHeight="false" outlineLevel="0" collapsed="false">
      <c r="A15814" s="1" t="s">
        <v>1231</v>
      </c>
      <c r="B15814" s="0" t="s">
        <v>98</v>
      </c>
      <c r="C15814" s="6" t="n">
        <f aca="false">Sens!$C$15812+cash_val-debt_val-fl_val+oai_v</f>
        <v>2466.37416370017</v>
      </c>
    </row>
    <row r="15815" customFormat="false" ht="17.15" hidden="false" customHeight="false" outlineLevel="0" collapsed="false">
      <c r="A15815" s="0" t="s">
        <v>1153</v>
      </c>
      <c r="B15815" s="0" t="s">
        <v>75</v>
      </c>
      <c r="C15815" s="5" t="n">
        <f aca="false">Sens!$C$15814/shd_val</f>
        <v>331.234778901447</v>
      </c>
    </row>
    <row r="15816" customFormat="false" ht="15" hidden="false" customHeight="false" outlineLevel="0" collapsed="false">
      <c r="A15816" s="1" t="s">
        <v>1232</v>
      </c>
      <c r="B15816" s="0" t="s">
        <v>75</v>
      </c>
      <c r="C15816" s="8" t="n">
        <f aca="false">div_rem27+CF!G31*roll_div_q/q_per_yr</f>
        <v>3.9795</v>
      </c>
    </row>
    <row r="15817" customFormat="false" ht="17.15" hidden="false" customHeight="false" outlineLevel="0" collapsed="false">
      <c r="A15817" s="0" t="s">
        <v>1233</v>
      </c>
      <c r="B15817" s="0" t="s">
        <v>75</v>
      </c>
      <c r="C15817" s="5" t="n">
        <f aca="false">Sens!$C$15815*(1+wacc)^t_roll-Sens!$C$15816</f>
        <v>364.206443208347</v>
      </c>
    </row>
    <row r="15818" customFormat="false" ht="17.15" hidden="false" customHeight="false" outlineLevel="0" collapsed="false">
      <c r="A15818" s="1" t="s">
        <v>1234</v>
      </c>
      <c r="B15818" s="0" t="s">
        <v>168</v>
      </c>
      <c r="F15818" s="7" t="n">
        <f aca="false">CF!F17/(Seg!F29-Thesis!F25)</f>
        <v>0.0685527305696859</v>
      </c>
      <c r="G15818" s="7" t="n">
        <f aca="false">CF!G17/(Seg!G29-Thesis!G25)</f>
        <v>0.0653567731599844</v>
      </c>
      <c r="H15818" s="7" t="n">
        <f aca="false">CF!H17/(Seg!H29-Thesis!H25)</f>
        <v>0.0636628841026972</v>
      </c>
      <c r="I15818" s="7" t="n">
        <f aca="false">CF!I17/(Seg!I29-Thesis!I25)</f>
        <v>0.0633581084335176</v>
      </c>
      <c r="J15818" s="7" t="n">
        <f aca="false">CF!J17/(Seg!J29-Thesis!J25)</f>
        <v>0.0640873955995062</v>
      </c>
      <c r="K15818" s="7" t="n">
        <f aca="false">CF!K17/(Seg!K29-Thesis!K25)</f>
        <v>0.0653962234835198</v>
      </c>
    </row>
    <row r="15819" customFormat="false" ht="17.15" hidden="false" customHeight="false" outlineLevel="0" collapsed="false">
      <c r="A15819" s="0" t="s">
        <v>1235</v>
      </c>
      <c r="B15819" s="0" t="s">
        <v>98</v>
      </c>
      <c r="F15819" s="6" t="n">
        <f aca="false">Seg!F14*(al_m365+Sens!F15818+sbc_r)</f>
        <v>84.5213906545575</v>
      </c>
      <c r="G15819" s="6" t="n">
        <f aca="false">Seg!G14*(al_m365+Sens!G15818+sbc_r)</f>
        <v>98.949983331796</v>
      </c>
      <c r="H15819" s="6" t="n">
        <f aca="false">Seg!H14*(al_m365+Sens!H15818+sbc_r)</f>
        <v>113.543734275326</v>
      </c>
      <c r="I15819" s="6" t="n">
        <f aca="false">Seg!I14*(al_m365+Sens!I15818+sbc_r)</f>
        <v>126.62058838692</v>
      </c>
      <c r="J15819" s="6" t="n">
        <f aca="false">Seg!J14*(al_m365+Sens!J15818+sbc_r)</f>
        <v>137.994660156303</v>
      </c>
      <c r="K15819" s="6" t="n">
        <f aca="false">Seg!K14*(al_m365+Sens!K15818+sbc_r)</f>
        <v>148.989224092997</v>
      </c>
      <c r="L15819" s="12" t="s">
        <v>1236</v>
      </c>
    </row>
    <row r="15820" customFormat="false" ht="17.15" hidden="false" customHeight="false" outlineLevel="0" collapsed="false">
      <c r="A15820" s="0" t="s">
        <v>1237</v>
      </c>
      <c r="B15820" s="0" t="s">
        <v>98</v>
      </c>
      <c r="F15820" s="6" t="n">
        <f aca="false">Seg!F15*(al_lic+Sens!F15818+sbc_r)</f>
        <v>32.855200196554</v>
      </c>
      <c r="G15820" s="6" t="n">
        <f aca="false">Seg!G15*(al_lic+Sens!G15818+sbc_r)</f>
        <v>34.1185582613282</v>
      </c>
      <c r="H15820" s="6" t="n">
        <f aca="false">Seg!H15*(al_lic+Sens!H15818+sbc_r)</f>
        <v>35.3024309363621</v>
      </c>
      <c r="I15820" s="6" t="n">
        <f aca="false">Seg!I15*(al_lic+Sens!I15818+sbc_r)</f>
        <v>36.3898468129533</v>
      </c>
      <c r="J15820" s="6" t="n">
        <f aca="false">Seg!J15*(al_lic+Sens!J15818+sbc_r)</f>
        <v>37.3529129529876</v>
      </c>
      <c r="K15820" s="6" t="n">
        <f aca="false">Seg!K15*(al_lic+Sens!K15818+sbc_r)</f>
        <v>38.158536171203</v>
      </c>
    </row>
    <row r="15821" customFormat="false" ht="17.15" hidden="false" customHeight="false" outlineLevel="0" collapsed="false">
      <c r="A15821" s="0" t="s">
        <v>1238</v>
      </c>
      <c r="B15821" s="0" t="s">
        <v>98</v>
      </c>
      <c r="F15821" s="6" t="n">
        <f aca="false">Seg!F17*(al_ind+Sens!F15818+sbc_r)</f>
        <v>9.05892547956683</v>
      </c>
      <c r="G15821" s="6" t="n">
        <f aca="false">Seg!G17*(al_ind+Sens!G15818+sbc_r)</f>
        <v>9.82456487622418</v>
      </c>
      <c r="H15821" s="6" t="n">
        <f aca="false">Seg!H17*(al_ind+Sens!H15818+sbc_r)</f>
        <v>10.6377408477959</v>
      </c>
      <c r="I15821" s="6" t="n">
        <f aca="false">Seg!I17*(al_ind+Sens!I15818+sbc_r)</f>
        <v>11.4966323260293</v>
      </c>
      <c r="J15821" s="6" t="n">
        <f aca="false">Seg!J17*(al_ind+Sens!J15818+sbc_r)</f>
        <v>12.3903660286279</v>
      </c>
      <c r="K15821" s="6" t="n">
        <f aca="false">Seg!K17*(al_ind+Sens!K15818+sbc_r)</f>
        <v>13.3009129057681</v>
      </c>
    </row>
    <row r="15822" customFormat="false" ht="17.15" hidden="false" customHeight="false" outlineLevel="0" collapsed="false">
      <c r="A15822" s="0" t="s">
        <v>1239</v>
      </c>
      <c r="B15822" s="0" t="s">
        <v>98</v>
      </c>
      <c r="F15822" s="6" t="n">
        <f aca="false">Seg!F19*(al_fro+Sens!F15818+sbc_r)</f>
        <v>3.55344443532423</v>
      </c>
      <c r="G15822" s="6" t="n">
        <f aca="false">Seg!G19*(al_fro+Sens!G15818+sbc_r)</f>
        <v>3.75916645971565</v>
      </c>
      <c r="H15822" s="6" t="n">
        <f aca="false">Seg!H19*(al_fro+Sens!H15818+sbc_r)</f>
        <v>3.994970960527</v>
      </c>
      <c r="I15822" s="6" t="n">
        <f aca="false">Seg!I19*(al_fro+Sens!I15818+sbc_r)</f>
        <v>4.26396270432353</v>
      </c>
      <c r="J15822" s="6" t="n">
        <f aca="false">Seg!J19*(al_fro+Sens!J15818+sbc_r)</f>
        <v>4.5667795874336</v>
      </c>
      <c r="K15822" s="6" t="n">
        <f aca="false">Seg!K19*(al_fro+Sens!K15818+sbc_r)</f>
        <v>4.90238443416026</v>
      </c>
    </row>
    <row r="15823" customFormat="false" ht="17.15" hidden="false" customHeight="false" outlineLevel="0" collapsed="false">
      <c r="A15823" s="0" t="s">
        <v>1240</v>
      </c>
      <c r="B15823" s="0" t="s">
        <v>98</v>
      </c>
      <c r="F15823" s="6" t="n">
        <f aca="false">Seg!F22*(al_srch+Sens!F15818+sbc_r)</f>
        <v>11.1872483445711</v>
      </c>
      <c r="G15823" s="6" t="n">
        <f aca="false">Seg!G22*(al_srch+Sens!G15818+sbc_r)</f>
        <v>12.247246048296</v>
      </c>
      <c r="H15823" s="6" t="n">
        <f aca="false">Seg!H22*(al_srch+Sens!H15818+sbc_r)</f>
        <v>13.3552870946193</v>
      </c>
      <c r="I15823" s="6" t="n">
        <f aca="false">Seg!I22*(al_srch+Sens!I15818+sbc_r)</f>
        <v>14.5024145321619</v>
      </c>
      <c r="J15823" s="6" t="n">
        <f aca="false">Seg!J22*(al_srch+Sens!J15818+sbc_r)</f>
        <v>15.667276660652</v>
      </c>
      <c r="K15823" s="6" t="n">
        <f aca="false">Seg!K22*(al_srch+Sens!K15818+sbc_r)</f>
        <v>16.8186381138719</v>
      </c>
    </row>
    <row r="15824" customFormat="false" ht="17.15" hidden="false" customHeight="false" outlineLevel="0" collapsed="false">
      <c r="A15824" s="0" t="s">
        <v>1241</v>
      </c>
      <c r="B15824" s="0" t="s">
        <v>98</v>
      </c>
      <c r="F15824" s="6" t="n">
        <f aca="false">Thesis!F31-Thesis!F32+Thesis!F47</f>
        <v>45.3782580567763</v>
      </c>
      <c r="G15824" s="6" t="n">
        <f aca="false">Thesis!G31-Thesis!G32+Thesis!G47</f>
        <v>91.0863367558165</v>
      </c>
      <c r="H15824" s="6" t="n">
        <f aca="false">Thesis!H31-Thesis!H32+Thesis!H47</f>
        <v>144.617532464853</v>
      </c>
      <c r="I15824" s="6" t="n">
        <f aca="false">Thesis!I31-Thesis!I32+Thesis!I47</f>
        <v>187.137304561304</v>
      </c>
      <c r="J15824" s="6" t="n">
        <f aca="false">Thesis!J31-Thesis!J32+Thesis!J47</f>
        <v>217.006854425907</v>
      </c>
      <c r="K15824" s="6" t="n">
        <f aca="false">Thesis!K31-Thesis!K32+Thesis!K47</f>
        <v>234.933637903877</v>
      </c>
    </row>
    <row r="15825" customFormat="false" ht="17.15" hidden="false" customHeight="false" outlineLevel="0" collapsed="false">
      <c r="A15825" s="0" t="s">
        <v>1242</v>
      </c>
      <c r="B15825" s="0" t="s">
        <v>98</v>
      </c>
      <c r="F15825" s="6" t="n">
        <f aca="false">PL!F32+Thesis!F47+Thesis!F43+Sens!F15818*(Seg!F21-Thesis!F25)+sbc_r*Seg!F21</f>
        <v>240.818167741339</v>
      </c>
      <c r="G15825" s="6" t="n">
        <f aca="false">PL!G32+Thesis!G47+Thesis!G43+Sens!G15818*(Seg!G21-Thesis!G25)+sbc_r*Seg!G21</f>
        <v>311.917784140952</v>
      </c>
      <c r="H15825" s="6" t="n">
        <f aca="false">PL!H32+Thesis!H47+Thesis!H43+Sens!H15818*(Seg!H21-Thesis!H25)+sbc_r*Seg!H21</f>
        <v>395.486245683473</v>
      </c>
      <c r="I15825" s="6" t="n">
        <f aca="false">PL!I32+Thesis!I47+Thesis!I43+Sens!I15818*(Seg!I21-Thesis!I25)+sbc_r*Seg!I21</f>
        <v>465.950805948377</v>
      </c>
      <c r="J15825" s="6" t="n">
        <f aca="false">PL!J32+Thesis!J47+Thesis!J43+Sens!J15818*(Seg!J21-Thesis!J25)+sbc_r*Seg!J21</f>
        <v>520.78677388057</v>
      </c>
      <c r="K15825" s="6" t="n">
        <f aca="false">PL!K32+Thesis!K47+Thesis!K43+Sens!K15818*(Seg!K21-Thesis!K25)+sbc_r*Seg!K21</f>
        <v>561.2469767412</v>
      </c>
    </row>
    <row r="15826" customFormat="false" ht="17.15" hidden="false" customHeight="false" outlineLevel="0" collapsed="false">
      <c r="A15826" s="0" t="s">
        <v>1243</v>
      </c>
      <c r="B15826" s="0" t="s">
        <v>98</v>
      </c>
      <c r="F15826" s="6" t="n">
        <f aca="false">Sens!F15825-Sens!F15819-Sens!F15820-Sens!F15821-Sens!F15822-Sens!F15824</f>
        <v>65.4509489185601</v>
      </c>
      <c r="G15826" s="6" t="n">
        <f aca="false">Sens!G15825-Sens!G15819-Sens!G15820-Sens!G15821-Sens!G15822-Sens!G15824</f>
        <v>74.1791744560715</v>
      </c>
      <c r="H15826" s="6" t="n">
        <f aca="false">Sens!H15825-Sens!H15819-Sens!H15820-Sens!H15821-Sens!H15822-Sens!H15824</f>
        <v>87.3898361986086</v>
      </c>
      <c r="I15826" s="6" t="n">
        <f aca="false">Sens!I15825-Sens!I15819-Sens!I15820-Sens!I15821-Sens!I15822-Sens!I15824</f>
        <v>100.042471156846</v>
      </c>
      <c r="J15826" s="6" t="n">
        <f aca="false">Sens!J15825-Sens!J15819-Sens!J15820-Sens!J15821-Sens!J15822-Sens!J15824</f>
        <v>111.475200729312</v>
      </c>
      <c r="K15826" s="6" t="n">
        <f aca="false">Sens!K15825-Sens!K15819-Sens!K15820-Sens!K15821-Sens!K15822-Sens!K15824</f>
        <v>120.962281233195</v>
      </c>
    </row>
    <row r="15827" customFormat="false" ht="17.15" hidden="false" customHeight="false" outlineLevel="0" collapsed="false">
      <c r="A15827" s="0" t="s">
        <v>1244</v>
      </c>
      <c r="B15827" s="0" t="s">
        <v>98</v>
      </c>
      <c r="F15827" s="6" t="n">
        <f aca="false">PL!F34+Sens!F15818*Seg!F28+sbc_r*Seg!F28</f>
        <v>26.6293388420472</v>
      </c>
      <c r="G15827" s="6" t="n">
        <f aca="false">PL!G34+Sens!G15818*Seg!G28+sbc_r*Seg!G28</f>
        <v>26.4405000412783</v>
      </c>
      <c r="H15827" s="6" t="n">
        <f aca="false">PL!H34+Sens!H15818*Seg!H28+sbc_r*Seg!H28</f>
        <v>27.296860059552</v>
      </c>
      <c r="I15827" s="6" t="n">
        <f aca="false">PL!I34+Sens!I15818*Seg!I28+sbc_r*Seg!I28</f>
        <v>28.3995465815703</v>
      </c>
      <c r="J15827" s="6" t="n">
        <f aca="false">PL!J34+Sens!J15818*Seg!J28+sbc_r*Seg!J28</f>
        <v>29.7093380975903</v>
      </c>
      <c r="K15827" s="6" t="n">
        <f aca="false">PL!K34+Sens!K15818*Seg!K28+sbc_r*Seg!K28</f>
        <v>31.1817775287323</v>
      </c>
    </row>
    <row r="15828" customFormat="false" ht="17.15" hidden="false" customHeight="false" outlineLevel="0" collapsed="false">
      <c r="A15828" s="0" t="s">
        <v>1245</v>
      </c>
      <c r="B15828" s="0" t="s">
        <v>98</v>
      </c>
      <c r="F15828" s="6" t="n">
        <f aca="false">(Sens!F15827-Sens!F15823)*Seg!F24/(Seg!F24+Seg!F26)</f>
        <v>8.72146908842971</v>
      </c>
      <c r="G15828" s="6" t="n">
        <f aca="false">(Sens!G15827-Sens!G15823)*Seg!G24/(Seg!G24+Seg!G26)</f>
        <v>7.87837655379173</v>
      </c>
      <c r="H15828" s="6" t="n">
        <f aca="false">(Sens!H15827-Sens!H15823)*Seg!H24/(Seg!H24+Seg!H26)</f>
        <v>7.63786170689933</v>
      </c>
      <c r="I15828" s="6" t="n">
        <f aca="false">(Sens!I15827-Sens!I15823)*Seg!I24/(Seg!I24+Seg!I26)</f>
        <v>7.5470606300581</v>
      </c>
      <c r="J15828" s="6" t="n">
        <f aca="false">(Sens!J15827-Sens!J15823)*Seg!J24/(Seg!J24+Seg!J26)</f>
        <v>7.59249600034024</v>
      </c>
      <c r="K15828" s="6" t="n">
        <f aca="false">(Sens!K15827-Sens!K15823)*Seg!K24/(Seg!K24+Seg!K26)</f>
        <v>7.76610179704742</v>
      </c>
    </row>
    <row r="15829" customFormat="false" ht="17.15" hidden="false" customHeight="false" outlineLevel="0" collapsed="false">
      <c r="A15829" s="0" t="s">
        <v>1246</v>
      </c>
      <c r="B15829" s="0" t="s">
        <v>98</v>
      </c>
      <c r="F15829" s="6" t="n">
        <f aca="false">Sens!F15827-Sens!F15823-Sens!F15828</f>
        <v>6.72062140904636</v>
      </c>
      <c r="G15829" s="6" t="n">
        <f aca="false">Sens!G15827-Sens!G15823-Sens!G15828</f>
        <v>6.31487743919059</v>
      </c>
      <c r="H15829" s="6" t="n">
        <f aca="false">Sens!H15827-Sens!H15823-Sens!H15828</f>
        <v>6.30371125803333</v>
      </c>
      <c r="I15829" s="6" t="n">
        <f aca="false">Sens!I15827-Sens!I15823-Sens!I15828</f>
        <v>6.35007141935025</v>
      </c>
      <c r="J15829" s="6" t="n">
        <f aca="false">Sens!J15827-Sens!J15823-Sens!J15828</f>
        <v>6.44956543659808</v>
      </c>
      <c r="K15829" s="6" t="n">
        <f aca="false">Sens!K15827-Sens!K15823-Sens!K15828</f>
        <v>6.597037617813</v>
      </c>
    </row>
    <row r="15830" customFormat="false" ht="17.15" hidden="false" customHeight="false" outlineLevel="0" collapsed="false">
      <c r="A15830" s="0" t="s">
        <v>1247</v>
      </c>
      <c r="B15830" s="0" t="s">
        <v>98</v>
      </c>
      <c r="F15830" s="6" t="n">
        <f aca="false">Sens!F15824-tax_f*(Sens!F15824-Thesis!F43)-Thesis!F40</f>
        <v>-125.235434701028</v>
      </c>
      <c r="G15830" s="6" t="n">
        <f aca="false">Sens!G15824-tax_f*(Sens!G15824-Thesis!G43)-Thesis!G40</f>
        <v>-106.928508113935</v>
      </c>
      <c r="H15830" s="6" t="n">
        <f aca="false">Sens!H15824-tax_f*(Sens!H15824-Thesis!H43)-Thesis!H40</f>
        <v>-63.2919599603405</v>
      </c>
      <c r="I15830" s="6" t="n">
        <f aca="false">Sens!I15824-tax_f*(Sens!I15824-Thesis!I43)-Thesis!I40</f>
        <v>3.94121196634245</v>
      </c>
      <c r="J15830" s="6" t="n">
        <f aca="false">Sens!J15824-tax_f*(Sens!J15824-Thesis!J43)-Thesis!J40</f>
        <v>71.0786869547042</v>
      </c>
      <c r="K15830" s="6" t="n">
        <f aca="false">Sens!K15824-tax_f*(Sens!K15824-Thesis!K43)-Thesis!K40</f>
        <v>97.5865911685559</v>
      </c>
    </row>
    <row r="15831" customFormat="false" ht="17.15" hidden="false" customHeight="false" outlineLevel="0" collapsed="false">
      <c r="A15831" s="0" t="s">
        <v>1248</v>
      </c>
      <c r="B15831" s="0" t="s">
        <v>98</v>
      </c>
      <c r="G15831" s="6" t="n">
        <f aca="false">Sens!G15830/(1+wacc)^(Sens!G15801-Sens!F15802)</f>
        <v>-101.81651667568</v>
      </c>
      <c r="H15831" s="6" t="n">
        <f aca="false">Sens!H15830/(1+wacc)^(Sens!H15801-Sens!F15802)</f>
        <v>-54.6415143556151</v>
      </c>
      <c r="I15831" s="6" t="n">
        <f aca="false">Sens!I15830/(1+wacc)^(Sens!I15801-Sens!F15802)</f>
        <v>3.08498765169516</v>
      </c>
      <c r="J15831" s="6" t="n">
        <f aca="false">Sens!J15830/(1+wacc)^(Sens!J15801-Sens!F15802)</f>
        <v>50.4443451596971</v>
      </c>
      <c r="K15831" s="6" t="n">
        <f aca="false">Sens!K15830/(1+wacc)^(Sens!K15801-Sens!F15802)</f>
        <v>62.7932114544856</v>
      </c>
      <c r="L15831" s="1" t="s">
        <v>1249</v>
      </c>
    </row>
    <row r="15832" customFormat="false" ht="17.15" hidden="false" customHeight="false" outlineLevel="0" collapsed="false">
      <c r="A15832" s="0" t="s">
        <v>1250</v>
      </c>
      <c r="B15832" s="0" t="s">
        <v>98</v>
      </c>
      <c r="C15832" s="6" t="n">
        <f aca="false">(Sens!K15824-Thesis!K43)*(1-tax_f)*(1+g_tv)*(1-g_tv/(wacc+ronic_prem))/(wacc-g_tv)/(1+wacc)^(Sens!K15802-Sens!F15802)</f>
        <v>450.836735002813</v>
      </c>
    </row>
    <row r="15833" customFormat="false" ht="17.15" hidden="false" customHeight="false" outlineLevel="0" collapsed="false">
      <c r="A15833" s="1" t="s">
        <v>1251</v>
      </c>
      <c r="B15833" s="0" t="s">
        <v>98</v>
      </c>
      <c r="C15833" s="6" t="n">
        <f aca="false">(SUM(Sens!G15831:K15831)+Sens!$C$15832)*(1+wacc)^(t_roll-Sens!F15802)</f>
        <v>424.259738494477</v>
      </c>
      <c r="L15833" s="12" t="s">
        <v>1252</v>
      </c>
    </row>
    <row r="15834" customFormat="false" ht="17.15" hidden="false" customHeight="false" outlineLevel="0" collapsed="false">
      <c r="A15834" s="1" t="s">
        <v>1253</v>
      </c>
      <c r="B15834" s="0" t="s">
        <v>98</v>
      </c>
      <c r="C15834" s="6" t="n">
        <f aca="false">(w_ntm28*Thesis!G31+(1-w_ntm28)*Thesis!H31)*m_ai</f>
        <v>563.316843258668</v>
      </c>
    </row>
    <row r="15835" customFormat="false" ht="17.15" hidden="false" customHeight="false" outlineLevel="0" collapsed="false">
      <c r="A15835" s="1" t="s">
        <v>1254</v>
      </c>
      <c r="B15835" s="0" t="s">
        <v>98</v>
      </c>
      <c r="C15835" s="6" t="n">
        <f aca="false">(w_ntm28*Sens!G15826+(1-w_ntm28)*Sens!H15826)*m_own</f>
        <v>1230.44609753669</v>
      </c>
    </row>
    <row r="15836" customFormat="false" ht="17.15" hidden="false" customHeight="false" outlineLevel="0" collapsed="false">
      <c r="A15836" s="1" t="s">
        <v>1255</v>
      </c>
      <c r="B15836" s="0" t="s">
        <v>98</v>
      </c>
      <c r="C15836" s="6" t="n">
        <f aca="false">(w_ntm28*Sens!G15819+(1-w_ntm28)*Sens!H15819)*m_own</f>
        <v>1625.73004503996</v>
      </c>
    </row>
    <row r="15837" customFormat="false" ht="17.15" hidden="false" customHeight="false" outlineLevel="0" collapsed="false">
      <c r="A15837" s="1" t="s">
        <v>1256</v>
      </c>
      <c r="B15837" s="0" t="s">
        <v>98</v>
      </c>
      <c r="C15837" s="6" t="n">
        <f aca="false">(w_ntm28*Sens!G15820+(1-w_ntm28)*Sens!H15820)*m_own</f>
        <v>540.736860497844</v>
      </c>
    </row>
    <row r="15838" customFormat="false" ht="17.15" hidden="false" customHeight="false" outlineLevel="0" collapsed="false">
      <c r="A15838" s="1" t="s">
        <v>1257</v>
      </c>
      <c r="B15838" s="0" t="s">
        <v>98</v>
      </c>
      <c r="C15838" s="6" t="n">
        <f aca="false">(w_ntm28*Sens!G15821+(1-w_ntm28)*Sens!H15821)*m_own</f>
        <v>158.14023598562</v>
      </c>
    </row>
    <row r="15839" customFormat="false" ht="17.15" hidden="false" customHeight="false" outlineLevel="0" collapsed="false">
      <c r="A15839" s="1" t="s">
        <v>1258</v>
      </c>
      <c r="B15839" s="0" t="s">
        <v>98</v>
      </c>
      <c r="C15839" s="6" t="n">
        <f aca="false">(w_ntm28*Sens!G15822+(1-w_ntm28)*Sens!H15822)*m_own</f>
        <v>60.120951528746</v>
      </c>
    </row>
    <row r="15840" customFormat="false" ht="17.15" hidden="false" customHeight="false" outlineLevel="0" collapsed="false">
      <c r="A15840" s="1" t="s">
        <v>1259</v>
      </c>
      <c r="B15840" s="0" t="s">
        <v>98</v>
      </c>
      <c r="C15840" s="6" t="n">
        <f aca="false">(w_ntm28*Sens!G15823+(1-w_ntm28)*Sens!H15823)*m_own</f>
        <v>197.622730189145</v>
      </c>
    </row>
    <row r="15841" customFormat="false" ht="17.15" hidden="false" customHeight="false" outlineLevel="0" collapsed="false">
      <c r="A15841" s="1" t="s">
        <v>1260</v>
      </c>
      <c r="B15841" s="0" t="s">
        <v>98</v>
      </c>
      <c r="C15841" s="6" t="n">
        <f aca="false">(w_ntm28*Sens!G15828+(1-w_ntm28)*Sens!H15828)*m_own</f>
        <v>122.21508082231</v>
      </c>
    </row>
    <row r="15842" customFormat="false" ht="17.15" hidden="false" customHeight="false" outlineLevel="0" collapsed="false">
      <c r="A15842" s="1" t="s">
        <v>1261</v>
      </c>
      <c r="B15842" s="0" t="s">
        <v>98</v>
      </c>
      <c r="C15842" s="6" t="n">
        <f aca="false">(w_ntm28*Sens!G15829+(1-w_ntm28)*Sens!H15829)*m_own</f>
        <v>98.8966037541765</v>
      </c>
    </row>
    <row r="15843" customFormat="false" ht="17.15" hidden="false" customHeight="false" outlineLevel="0" collapsed="false">
      <c r="A15843" s="1" t="s">
        <v>1262</v>
      </c>
      <c r="B15843" s="0" t="s">
        <v>98</v>
      </c>
      <c r="C15843" s="6" t="n">
        <f aca="false">Sens!$C$15833+Sens!$C$15835+Sens!$C$15836+Sens!$C$15837+Sens!$C$15838+Sens!$C$15839+Sens!$C$15840+Sens!$C$15841+Sens!$C$15842</f>
        <v>4458.16834384897</v>
      </c>
    </row>
    <row r="15844" customFormat="false" ht="17.15" hidden="false" customHeight="false" outlineLevel="0" collapsed="false">
      <c r="A15844" s="1" t="s">
        <v>1263</v>
      </c>
      <c r="B15844" s="0" t="s">
        <v>98</v>
      </c>
      <c r="C15844" s="6" t="n">
        <f aca="false">(Sens!G15805-Sens!G15830)*t_stub</f>
        <v>48.2832931160316</v>
      </c>
      <c r="L15844" s="1" t="s">
        <v>1264</v>
      </c>
    </row>
    <row r="15845" customFormat="false" ht="17.15" hidden="false" customHeight="false" outlineLevel="0" collapsed="false">
      <c r="A15845" s="1" t="s">
        <v>1173</v>
      </c>
      <c r="B15845" s="0" t="s">
        <v>98</v>
      </c>
      <c r="C15845" s="6" t="n">
        <f aca="false">CF!F39+oai_v-CF!F28+Sens!$C$15844</f>
        <v>162.511563116032</v>
      </c>
      <c r="L15845" s="1" t="s">
        <v>1265</v>
      </c>
    </row>
    <row r="15846" customFormat="false" ht="17.15" hidden="false" customHeight="false" outlineLevel="0" collapsed="false">
      <c r="A15846" s="1" t="s">
        <v>1266</v>
      </c>
      <c r="B15846" s="0" t="s">
        <v>75</v>
      </c>
      <c r="C15846" s="5" t="n">
        <f aca="false">(Sens!$C$15843+Sens!$C$15845)/(CF!F41+dil_gap)-CF!G31*roll_div_q/q_per_yr</f>
        <v>615.851848358469</v>
      </c>
      <c r="L15846" s="1" t="s">
        <v>1267</v>
      </c>
    </row>
    <row r="15847" customFormat="false" ht="17.15" hidden="false" customHeight="false" outlineLevel="0" collapsed="false">
      <c r="A15847" s="1" t="s">
        <v>1268</v>
      </c>
      <c r="B15847" s="0" t="s">
        <v>75</v>
      </c>
      <c r="C15847" s="5" t="n">
        <f aca="false">w_dcf*Sens!$C$15817+(1-w_dcf)*Sens!$C$15846</f>
        <v>490.029145783408</v>
      </c>
    </row>
    <row r="15848" customFormat="false" ht="17.15" hidden="false" customHeight="false" outlineLevel="0" collapsed="false">
      <c r="A15848" s="3" t="s">
        <v>2002</v>
      </c>
    </row>
    <row r="15849" customFormat="false" ht="15" hidden="false" customHeight="false" outlineLevel="0" collapsed="false">
      <c r="A15849" s="4" t="s">
        <v>43</v>
      </c>
      <c r="B15849" s="4" t="s">
        <v>65</v>
      </c>
      <c r="C15849" s="23" t="s">
        <v>942</v>
      </c>
      <c r="D15849" s="23" t="s">
        <v>943</v>
      </c>
      <c r="E15849" s="23" t="s">
        <v>944</v>
      </c>
      <c r="F15849" s="23" t="s">
        <v>945</v>
      </c>
      <c r="G15849" s="23" t="s">
        <v>946</v>
      </c>
      <c r="H15849" s="23" t="s">
        <v>947</v>
      </c>
      <c r="I15849" s="23" t="s">
        <v>948</v>
      </c>
      <c r="J15849" s="23" t="s">
        <v>949</v>
      </c>
      <c r="K15849" s="23" t="s">
        <v>950</v>
      </c>
      <c r="L15849" s="4" t="s">
        <v>47</v>
      </c>
    </row>
    <row r="15850" customFormat="false" ht="17.15" hidden="false" customHeight="false" outlineLevel="0" collapsed="false">
      <c r="A15850" s="1" t="s">
        <v>1216</v>
      </c>
      <c r="B15850" s="1" t="s">
        <v>279</v>
      </c>
      <c r="F15850" s="8" t="n">
        <f aca="false">(1-v_off)*mid_yr</f>
        <v>0.373972602739726</v>
      </c>
      <c r="G15850" s="8" t="n">
        <f aca="false">Thesis!G58-base_fy-mid_yr-v_off</f>
        <v>1.24794520547945</v>
      </c>
      <c r="H15850" s="8" t="n">
        <f aca="false">Thesis!H58-base_fy-mid_yr-v_off</f>
        <v>2.24794520547945</v>
      </c>
      <c r="I15850" s="8" t="n">
        <f aca="false">Thesis!I58-base_fy-mid_yr-v_off</f>
        <v>3.24794520547945</v>
      </c>
      <c r="J15850" s="8" t="n">
        <f aca="false">Thesis!J58-base_fy-mid_yr-v_off</f>
        <v>4.24794520547945</v>
      </c>
      <c r="K15850" s="8" t="n">
        <f aca="false">Thesis!K58-base_fy-mid_yr-v_off</f>
        <v>5.24794520547945</v>
      </c>
      <c r="L15850" s="12" t="s">
        <v>1217</v>
      </c>
    </row>
    <row r="15851" customFormat="false" ht="15" hidden="false" customHeight="false" outlineLevel="0" collapsed="false">
      <c r="A15851" s="1" t="s">
        <v>1218</v>
      </c>
      <c r="B15851" s="1" t="s">
        <v>279</v>
      </c>
      <c r="F15851" s="8" t="n">
        <f aca="false">Thesis!F58-base_fy-v_off</f>
        <v>0.747945205479452</v>
      </c>
      <c r="G15851" s="8" t="n">
        <f aca="false">Thesis!G58-base_fy-v_off</f>
        <v>1.74794520547945</v>
      </c>
      <c r="H15851" s="8" t="n">
        <f aca="false">Thesis!H58-base_fy-v_off</f>
        <v>2.74794520547945</v>
      </c>
      <c r="I15851" s="8" t="n">
        <f aca="false">Thesis!I58-base_fy-v_off</f>
        <v>3.74794520547945</v>
      </c>
      <c r="J15851" s="8" t="n">
        <f aca="false">Thesis!J58-base_fy-v_off</f>
        <v>4.74794520547945</v>
      </c>
      <c r="K15851" s="8" t="n">
        <f aca="false">Thesis!K58-base_fy-v_off</f>
        <v>5.74794520547945</v>
      </c>
    </row>
    <row r="15852" customFormat="false" ht="15" hidden="false" customHeight="false" outlineLevel="0" collapsed="false">
      <c r="A15852" s="1" t="s">
        <v>1219</v>
      </c>
      <c r="B15852" s="0" t="s">
        <v>229</v>
      </c>
      <c r="F15852" s="15" t="n">
        <f aca="false">1/(1+wacc)^Sens!F15850</f>
        <v>0.964022703286649</v>
      </c>
      <c r="G15852" s="15" t="n">
        <f aca="false">1/(1+wacc)^Sens!G15850</f>
        <v>0.884910302296739</v>
      </c>
      <c r="H15852" s="15" t="n">
        <f aca="false">1/(1+wacc)^Sens!H15850</f>
        <v>0.802322009770358</v>
      </c>
      <c r="I15852" s="15" t="n">
        <f aca="false">1/(1+wacc)^Sens!I15850</f>
        <v>0.727441646561469</v>
      </c>
      <c r="J15852" s="15" t="n">
        <f aca="false">1/(1+wacc)^Sens!J15850</f>
        <v>0.659549834988973</v>
      </c>
      <c r="K15852" s="15" t="n">
        <f aca="false">1/(1+wacc)^Sens!K15850</f>
        <v>0.597994336576966</v>
      </c>
    </row>
    <row r="15853" customFormat="false" ht="17.15" hidden="false" customHeight="false" outlineLevel="0" collapsed="false">
      <c r="A15853" s="1" t="s">
        <v>1220</v>
      </c>
      <c r="B15853" s="0" t="s">
        <v>98</v>
      </c>
      <c r="F15853" s="6" t="n">
        <f aca="false">Q!$I$35-Q!$I$39-Q!$I$43</f>
        <v>9.666</v>
      </c>
      <c r="L15853" s="12" t="s">
        <v>1221</v>
      </c>
    </row>
    <row r="15854" customFormat="false" ht="17.15" hidden="false" customHeight="false" outlineLevel="0" collapsed="false">
      <c r="A15854" s="1" t="s">
        <v>1222</v>
      </c>
      <c r="B15854" s="0" t="s">
        <v>98</v>
      </c>
      <c r="F15854" s="6" t="n">
        <f aca="false">CF!F55-CF!F52-CF!F59+Thesis!F99*(1-tax_f)*(1-v_off)-Sens!F15853</f>
        <v>-3.35959137570949</v>
      </c>
      <c r="G15854" s="6" t="n">
        <f aca="false">CF!G55-CF!G52-CF!G59+Thesis!G99*(1-tax_f)</f>
        <v>29.8084555066036</v>
      </c>
      <c r="H15854" s="6" t="n">
        <f aca="false">CF!H55-CF!H52-CF!H59+Thesis!H99*(1-tax_f)</f>
        <v>79.3231801478051</v>
      </c>
      <c r="I15854" s="6" t="n">
        <f aca="false">CF!I55-CF!I52-CF!I59+Thesis!I99*(1-tax_f)</f>
        <v>157.29132812061</v>
      </c>
      <c r="J15854" s="6" t="n">
        <f aca="false">CF!J55-CF!J52-CF!J59+Thesis!J99*(1-tax_f)</f>
        <v>235.537601843622</v>
      </c>
      <c r="K15854" s="6" t="n">
        <f aca="false">CF!K55-CF!K52-CF!K59+Thesis!K99*(1-tax_f)</f>
        <v>273.705067207806</v>
      </c>
      <c r="L15854" s="1" t="s">
        <v>1223</v>
      </c>
    </row>
    <row r="15855" customFormat="false" ht="15" hidden="false" customHeight="false" outlineLevel="0" collapsed="false">
      <c r="A15855" s="1" t="s">
        <v>1224</v>
      </c>
      <c r="B15855" s="0" t="s">
        <v>98</v>
      </c>
      <c r="F15855" s="6" t="n">
        <f aca="false">Sens!F15854*Sens!F15852</f>
        <v>-3.23872235994998</v>
      </c>
      <c r="G15855" s="6" t="n">
        <f aca="false">Sens!G15854*Sens!G15852</f>
        <v>26.3778093733475</v>
      </c>
      <c r="H15855" s="6" t="n">
        <f aca="false">Sens!H15854*Sens!H15852</f>
        <v>63.6427333175632</v>
      </c>
      <c r="I15855" s="6" t="n">
        <f aca="false">Sens!I15854*Sens!I15852</f>
        <v>114.420262717897</v>
      </c>
      <c r="J15855" s="6" t="n">
        <f aca="false">Sens!J15854*Sens!J15852</f>
        <v>155.348786429659</v>
      </c>
      <c r="K15855" s="6" t="n">
        <f aca="false">Sens!K15854*Sens!K15852</f>
        <v>163.674080082686</v>
      </c>
    </row>
    <row r="15856" customFormat="false" ht="17.15" hidden="false" customHeight="false" outlineLevel="0" collapsed="false">
      <c r="A15856" s="1" t="s">
        <v>1225</v>
      </c>
      <c r="B15856" s="0" t="s">
        <v>98</v>
      </c>
      <c r="C15856" s="6" t="n">
        <f aca="false">SUM(Sens!F15855:K15855)</f>
        <v>520.224949561203</v>
      </c>
    </row>
    <row r="15857" customFormat="false" ht="17.15" hidden="false" customHeight="false" outlineLevel="0" collapsed="false">
      <c r="A15857" s="1" t="s">
        <v>1226</v>
      </c>
      <c r="B15857" s="0" t="s">
        <v>98</v>
      </c>
      <c r="C15857" s="6" t="n">
        <f aca="false">PL!K78*(1+g_tv)*(1-tax_f)</f>
        <v>284.979534119394</v>
      </c>
    </row>
    <row r="15858" customFormat="false" ht="17.15" hidden="false" customHeight="false" outlineLevel="0" collapsed="false">
      <c r="A15858" s="1" t="s">
        <v>1227</v>
      </c>
      <c r="B15858" s="0" t="s">
        <v>98</v>
      </c>
      <c r="C15858" s="6" t="n">
        <f aca="false">Sens!$C$15857*(1-g_tv/(wacc+ronic_prem))</f>
        <v>201.924655916751</v>
      </c>
    </row>
    <row r="15859" customFormat="false" ht="17.15" hidden="false" customHeight="false" outlineLevel="0" collapsed="false">
      <c r="A15859" s="1" t="s">
        <v>1228</v>
      </c>
      <c r="B15859" s="0" t="s">
        <v>98</v>
      </c>
      <c r="C15859" s="6" t="n">
        <f aca="false">Sens!$C$15858/(wacc-g_tv)</f>
        <v>2768.49594008808</v>
      </c>
    </row>
    <row r="15860" customFormat="false" ht="15" hidden="false" customHeight="false" outlineLevel="0" collapsed="false">
      <c r="A15860" s="1" t="s">
        <v>1229</v>
      </c>
      <c r="B15860" s="0" t="s">
        <v>98</v>
      </c>
      <c r="C15860" s="6" t="n">
        <f aca="false">Sens!$C$15859/(1+wacc)^Sens!K15851</f>
        <v>1576.39732546142</v>
      </c>
    </row>
    <row r="15861" customFormat="false" ht="17.15" hidden="false" customHeight="false" outlineLevel="0" collapsed="false">
      <c r="A15861" s="0" t="s">
        <v>1230</v>
      </c>
      <c r="B15861" s="0" t="s">
        <v>98</v>
      </c>
      <c r="C15861" s="6" t="n">
        <f aca="false">Sens!$C$15856+Sens!$C$15860</f>
        <v>2096.62227502262</v>
      </c>
    </row>
    <row r="15862" customFormat="false" ht="15" hidden="false" customHeight="false" outlineLevel="0" collapsed="false">
      <c r="A15862" s="1" t="s">
        <v>1145</v>
      </c>
      <c r="B15862" s="0" t="s">
        <v>168</v>
      </c>
      <c r="C15862" s="7" t="n">
        <f aca="false">Sens!$C$15860/Sens!$C$15861</f>
        <v>0.751874738831729</v>
      </c>
    </row>
    <row r="15863" customFormat="false" ht="17.15" hidden="false" customHeight="false" outlineLevel="0" collapsed="false">
      <c r="A15863" s="1" t="s">
        <v>1231</v>
      </c>
      <c r="B15863" s="0" t="s">
        <v>98</v>
      </c>
      <c r="C15863" s="6" t="n">
        <f aca="false">Sens!$C$15861+cash_val-debt_val-fl_val+oai_v</f>
        <v>2212.47327502262</v>
      </c>
    </row>
    <row r="15864" customFormat="false" ht="17.15" hidden="false" customHeight="false" outlineLevel="0" collapsed="false">
      <c r="A15864" s="0" t="s">
        <v>1153</v>
      </c>
      <c r="B15864" s="0" t="s">
        <v>75</v>
      </c>
      <c r="C15864" s="5" t="n">
        <f aca="false">Sens!$C$15863/shd_val</f>
        <v>297.13581453433</v>
      </c>
    </row>
    <row r="15865" customFormat="false" ht="15" hidden="false" customHeight="false" outlineLevel="0" collapsed="false">
      <c r="A15865" s="1" t="s">
        <v>1232</v>
      </c>
      <c r="B15865" s="0" t="s">
        <v>75</v>
      </c>
      <c r="C15865" s="8" t="n">
        <f aca="false">div_rem27+CF!G63*roll_div_q/q_per_yr</f>
        <v>3.9795</v>
      </c>
    </row>
    <row r="15866" customFormat="false" ht="17.15" hidden="false" customHeight="false" outlineLevel="0" collapsed="false">
      <c r="A15866" s="0" t="s">
        <v>1233</v>
      </c>
      <c r="B15866" s="0" t="s">
        <v>75</v>
      </c>
      <c r="C15866" s="5" t="n">
        <f aca="false">Sens!$C$15864*(1+wacc)^t_roll-Sens!$C$15865</f>
        <v>326.303541225732</v>
      </c>
    </row>
    <row r="15867" customFormat="false" ht="17.15" hidden="false" customHeight="false" outlineLevel="0" collapsed="false">
      <c r="A15867" s="1" t="s">
        <v>1234</v>
      </c>
      <c r="B15867" s="0" t="s">
        <v>168</v>
      </c>
      <c r="F15867" s="7" t="n">
        <f aca="false">CF!F49/(Seg!F56-Thesis!F77)</f>
        <v>0.0686195668908011</v>
      </c>
      <c r="G15867" s="7" t="n">
        <f aca="false">CF!G49/(Seg!G56-Thesis!G77)</f>
        <v>0.0658333569148391</v>
      </c>
      <c r="H15867" s="7" t="n">
        <f aca="false">CF!H49/(Seg!H56-Thesis!H77)</f>
        <v>0.0643895625218926</v>
      </c>
      <c r="I15867" s="7" t="n">
        <f aca="false">CF!I49/(Seg!I56-Thesis!I77)</f>
        <v>0.0641676618157989</v>
      </c>
      <c r="J15867" s="7" t="n">
        <f aca="false">CF!J49/(Seg!J56-Thesis!J77)</f>
        <v>0.0648858606572163</v>
      </c>
      <c r="K15867" s="7" t="n">
        <f aca="false">CF!K49/(Seg!K56-Thesis!K77)</f>
        <v>0.0661974425163768</v>
      </c>
    </row>
    <row r="15868" customFormat="false" ht="17.15" hidden="false" customHeight="false" outlineLevel="0" collapsed="false">
      <c r="A15868" s="0" t="s">
        <v>1235</v>
      </c>
      <c r="B15868" s="0" t="s">
        <v>98</v>
      </c>
      <c r="F15868" s="6" t="n">
        <f aca="false">Seg!F41*(al_m365+Sens!F15867+sbc_r)</f>
        <v>83.7205619248671</v>
      </c>
      <c r="G15868" s="6" t="n">
        <f aca="false">Seg!G41*(al_m365+Sens!G15867+sbc_r)</f>
        <v>96.1301303332381</v>
      </c>
      <c r="H15868" s="6" t="n">
        <f aca="false">Seg!H41*(al_m365+Sens!H15867+sbc_r)</f>
        <v>108.70354073822</v>
      </c>
      <c r="I15868" s="6" t="n">
        <f aca="false">Seg!I41*(al_m365+Sens!I15867+sbc_r)</f>
        <v>120.260101315626</v>
      </c>
      <c r="J15868" s="6" t="n">
        <f aca="false">Seg!J41*(al_m365+Sens!J15867+sbc_r)</f>
        <v>130.611904548619</v>
      </c>
      <c r="K15868" s="6" t="n">
        <f aca="false">Seg!K41*(al_m365+Sens!K15867+sbc_r)</f>
        <v>140.575094974638</v>
      </c>
      <c r="L15868" s="12" t="s">
        <v>1236</v>
      </c>
    </row>
    <row r="15869" customFormat="false" ht="17.15" hidden="false" customHeight="false" outlineLevel="0" collapsed="false">
      <c r="A15869" s="0" t="s">
        <v>1237</v>
      </c>
      <c r="B15869" s="0" t="s">
        <v>98</v>
      </c>
      <c r="F15869" s="6" t="n">
        <f aca="false">Seg!F42*(al_lic+Sens!F15867+sbc_r)</f>
        <v>32.8577657183496</v>
      </c>
      <c r="G15869" s="6" t="n">
        <f aca="false">Seg!G42*(al_lic+Sens!G15867+sbc_r)</f>
        <v>34.1376266324889</v>
      </c>
      <c r="H15869" s="6" t="n">
        <f aca="false">Seg!H42*(al_lic+Sens!H15867+sbc_r)</f>
        <v>35.3325744664128</v>
      </c>
      <c r="I15869" s="6" t="n">
        <f aca="false">Seg!I42*(al_lic+Sens!I15867+sbc_r)</f>
        <v>36.4244749008727</v>
      </c>
      <c r="J15869" s="6" t="n">
        <f aca="false">Seg!J42*(al_lic+Sens!J15867+sbc_r)</f>
        <v>37.3879406068527</v>
      </c>
      <c r="K15869" s="6" t="n">
        <f aca="false">Seg!K42*(al_lic+Sens!K15867+sbc_r)</f>
        <v>38.1943876078259</v>
      </c>
    </row>
    <row r="15870" customFormat="false" ht="17.15" hidden="false" customHeight="false" outlineLevel="0" collapsed="false">
      <c r="A15870" s="0" t="s">
        <v>1238</v>
      </c>
      <c r="B15870" s="0" t="s">
        <v>98</v>
      </c>
      <c r="F15870" s="6" t="n">
        <f aca="false">Seg!F44*(al_ind+Sens!F15867+sbc_r)</f>
        <v>9.06041701092022</v>
      </c>
      <c r="G15870" s="6" t="n">
        <f aca="false">Seg!G44*(al_ind+Sens!G15867+sbc_r)</f>
        <v>9.83619082712885</v>
      </c>
      <c r="H15870" s="6" t="n">
        <f aca="false">Seg!H44*(al_ind+Sens!H15867+sbc_r)</f>
        <v>10.6570160105312</v>
      </c>
      <c r="I15870" s="6" t="n">
        <f aca="false">Seg!I44*(al_ind+Sens!I15867+sbc_r)</f>
        <v>11.5198571637125</v>
      </c>
      <c r="J15870" s="6" t="n">
        <f aca="false">Seg!J44*(al_ind+Sens!J15867+sbc_r)</f>
        <v>12.4150086539206</v>
      </c>
      <c r="K15870" s="6" t="n">
        <f aca="false">Seg!K44*(al_ind+Sens!K15867+sbc_r)</f>
        <v>13.3273714589988</v>
      </c>
    </row>
    <row r="15871" customFormat="false" ht="17.15" hidden="false" customHeight="false" outlineLevel="0" collapsed="false">
      <c r="A15871" s="0" t="s">
        <v>1239</v>
      </c>
      <c r="B15871" s="0" t="s">
        <v>98</v>
      </c>
      <c r="F15871" s="6" t="n">
        <f aca="false">Seg!F46*(al_fro+Sens!F15867+sbc_r)</f>
        <v>3.55402950182022</v>
      </c>
      <c r="G15871" s="6" t="n">
        <f aca="false">Seg!G46*(al_fro+Sens!G15867+sbc_r)</f>
        <v>3.76361488926481</v>
      </c>
      <c r="H15871" s="6" t="n">
        <f aca="false">Seg!H46*(al_fro+Sens!H15867+sbc_r)</f>
        <v>4.00220968879544</v>
      </c>
      <c r="I15871" s="6" t="n">
        <f aca="false">Seg!I46*(al_fro+Sens!I15867+sbc_r)</f>
        <v>4.2725765173852</v>
      </c>
      <c r="J15871" s="6" t="n">
        <f aca="false">Seg!J46*(al_fro+Sens!J15867+sbc_r)</f>
        <v>4.57586224390293</v>
      </c>
      <c r="K15871" s="6" t="n">
        <f aca="false">Seg!K46*(al_fro+Sens!K15867+sbc_r)</f>
        <v>4.91213639633217</v>
      </c>
    </row>
    <row r="15872" customFormat="false" ht="17.15" hidden="false" customHeight="false" outlineLevel="0" collapsed="false">
      <c r="A15872" s="0" t="s">
        <v>1240</v>
      </c>
      <c r="B15872" s="0" t="s">
        <v>98</v>
      </c>
      <c r="F15872" s="6" t="n">
        <f aca="false">Seg!F49*(al_srch+Sens!F15867+sbc_r)</f>
        <v>11.1890902994147</v>
      </c>
      <c r="G15872" s="6" t="n">
        <f aca="false">Seg!G49*(al_srch+Sens!G15867+sbc_r)</f>
        <v>12.261738891803</v>
      </c>
      <c r="H15872" s="6" t="n">
        <f aca="false">Seg!H49*(al_srch+Sens!H15867+sbc_r)</f>
        <v>13.3794863429193</v>
      </c>
      <c r="I15872" s="6" t="n">
        <f aca="false">Seg!I49*(al_srch+Sens!I15867+sbc_r)</f>
        <v>14.5317114787784</v>
      </c>
      <c r="J15872" s="6" t="n">
        <f aca="false">Seg!J49*(al_srch+Sens!J15867+sbc_r)</f>
        <v>15.6984365817724</v>
      </c>
      <c r="K15872" s="6" t="n">
        <f aca="false">Seg!K49*(al_srch+Sens!K15867+sbc_r)</f>
        <v>16.8520942258664</v>
      </c>
    </row>
    <row r="15873" customFormat="false" ht="17.15" hidden="false" customHeight="false" outlineLevel="0" collapsed="false">
      <c r="A15873" s="0" t="s">
        <v>1241</v>
      </c>
      <c r="B15873" s="0" t="s">
        <v>98</v>
      </c>
      <c r="F15873" s="6" t="n">
        <f aca="false">Thesis!F83-Thesis!F84+Thesis!F99</f>
        <v>42.5431090240393</v>
      </c>
      <c r="G15873" s="6" t="n">
        <f aca="false">Thesis!G83-Thesis!G84+Thesis!G99</f>
        <v>81.4922561130847</v>
      </c>
      <c r="H15873" s="6" t="n">
        <f aca="false">Thesis!H83-Thesis!H84+Thesis!H99</f>
        <v>123.278266211349</v>
      </c>
      <c r="I15873" s="6" t="n">
        <f aca="false">Thesis!I83-Thesis!I84+Thesis!I99</f>
        <v>160.60594185192</v>
      </c>
      <c r="J15873" s="6" t="n">
        <f aca="false">Thesis!J83-Thesis!J84+Thesis!J99</f>
        <v>186.818741832633</v>
      </c>
      <c r="K15873" s="6" t="n">
        <f aca="false">Thesis!K83-Thesis!K84+Thesis!K99</f>
        <v>202.776422159652</v>
      </c>
    </row>
    <row r="15874" customFormat="false" ht="17.15" hidden="false" customHeight="false" outlineLevel="0" collapsed="false">
      <c r="A15874" s="0" t="s">
        <v>1242</v>
      </c>
      <c r="B15874" s="0" t="s">
        <v>98</v>
      </c>
      <c r="F15874" s="6" t="n">
        <f aca="false">PL!F71+Thesis!F99+Thesis!F95+Sens!F15867*(Seg!F48-Thesis!F77)+sbc_r*Seg!F48</f>
        <v>238.090727427296</v>
      </c>
      <c r="G15874" s="6" t="n">
        <f aca="false">PL!G71+Thesis!G99+Thesis!G95+Sens!G15867*(Seg!G48-Thesis!G77)+sbc_r*Seg!G48</f>
        <v>299.90836088563</v>
      </c>
      <c r="H15874" s="6" t="n">
        <f aca="false">PL!H71+Thesis!H99+Thesis!H95+Sens!H15867*(Seg!H48-Thesis!H77)+sbc_r*Seg!H48</f>
        <v>369.457709442386</v>
      </c>
      <c r="I15874" s="6" t="n">
        <f aca="false">PL!I71+Thesis!I99+Thesis!I95+Sens!I15867*(Seg!I48-Thesis!I77)+sbc_r*Seg!I48</f>
        <v>433.16585128823</v>
      </c>
      <c r="J15874" s="6" t="n">
        <f aca="false">PL!J71+Thesis!J99+Thesis!J95+Sens!J15867*(Seg!J48-Thesis!J77)+sbc_r*Seg!J48</f>
        <v>483.301303131191</v>
      </c>
      <c r="K15874" s="6" t="n">
        <f aca="false">PL!K71+Thesis!K99+Thesis!K95+Sens!K15867*(Seg!K48-Thesis!K77)+sbc_r*Seg!K48</f>
        <v>520.789002205336</v>
      </c>
    </row>
    <row r="15875" customFormat="false" ht="17.15" hidden="false" customHeight="false" outlineLevel="0" collapsed="false">
      <c r="A15875" s="0" t="s">
        <v>1243</v>
      </c>
      <c r="B15875" s="0" t="s">
        <v>98</v>
      </c>
      <c r="F15875" s="6" t="n">
        <f aca="false">Sens!F15874-Sens!F15868-Sens!F15869-Sens!F15870-Sens!F15871-Sens!F15873</f>
        <v>66.3548442472996</v>
      </c>
      <c r="G15875" s="6" t="n">
        <f aca="false">Sens!G15874-Sens!G15868-Sens!G15869-Sens!G15870-Sens!G15871-Sens!G15873</f>
        <v>74.548542090425</v>
      </c>
      <c r="H15875" s="6" t="n">
        <f aca="false">Sens!H15874-Sens!H15868-Sens!H15869-Sens!H15870-Sens!H15871-Sens!H15873</f>
        <v>87.4841023270775</v>
      </c>
      <c r="I15875" s="6" t="n">
        <f aca="false">Sens!I15874-Sens!I15868-Sens!I15869-Sens!I15870-Sens!I15871-Sens!I15873</f>
        <v>100.082899538713</v>
      </c>
      <c r="J15875" s="6" t="n">
        <f aca="false">Sens!J15874-Sens!J15868-Sens!J15869-Sens!J15870-Sens!J15871-Sens!J15873</f>
        <v>111.491845245262</v>
      </c>
      <c r="K15875" s="6" t="n">
        <f aca="false">Sens!K15874-Sens!K15868-Sens!K15869-Sens!K15870-Sens!K15871-Sens!K15873</f>
        <v>121.003589607889</v>
      </c>
    </row>
    <row r="15876" customFormat="false" ht="17.15" hidden="false" customHeight="false" outlineLevel="0" collapsed="false">
      <c r="A15876" s="0" t="s">
        <v>1244</v>
      </c>
      <c r="B15876" s="0" t="s">
        <v>98</v>
      </c>
      <c r="F15876" s="6" t="n">
        <f aca="false">PL!F73+Sens!F15867*Seg!F55+sbc_r*Seg!F55</f>
        <v>26.6336365855879</v>
      </c>
      <c r="G15876" s="6" t="n">
        <f aca="false">PL!G73+Sens!G15867*Seg!G55+sbc_r*Seg!G55</f>
        <v>26.4720859498625</v>
      </c>
      <c r="H15876" s="6" t="n">
        <f aca="false">PL!H73+Sens!H15867*Seg!H55+sbc_r*Seg!H55</f>
        <v>27.346793021284</v>
      </c>
      <c r="I15876" s="6" t="n">
        <f aca="false">PL!I73+Sens!I15867*Seg!I55+sbc_r*Seg!I55</f>
        <v>28.4574657863154</v>
      </c>
      <c r="J15876" s="6" t="n">
        <f aca="false">PL!J73+Sens!J15867*Seg!J55+sbc_r*Seg!J55</f>
        <v>29.7689890546037</v>
      </c>
      <c r="K15876" s="6" t="n">
        <f aca="false">PL!K73+Sens!K15867*Seg!K55+sbc_r*Seg!K55</f>
        <v>31.2443947307494</v>
      </c>
    </row>
    <row r="15877" customFormat="false" ht="17.15" hidden="false" customHeight="false" outlineLevel="0" collapsed="false">
      <c r="A15877" s="0" t="s">
        <v>1245</v>
      </c>
      <c r="B15877" s="0" t="s">
        <v>98</v>
      </c>
      <c r="F15877" s="6" t="n">
        <f aca="false">(Sens!F15876-Sens!F15872)*Seg!F51/(Seg!F51+Seg!F53)</f>
        <v>8.72285608232241</v>
      </c>
      <c r="G15877" s="6" t="n">
        <f aca="false">(Sens!G15876-Sens!G15872)*Seg!G51/(Seg!G51+Seg!G53)</f>
        <v>7.88786455444355</v>
      </c>
      <c r="H15877" s="6" t="n">
        <f aca="false">(Sens!H15876-Sens!H15872)*Seg!H51/(Seg!H51+Seg!H53)</f>
        <v>7.65195986819674</v>
      </c>
      <c r="I15877" s="6" t="n">
        <f aca="false">(Sens!I15876-Sens!I15872)*Seg!I51/(Seg!I51+Seg!I53)</f>
        <v>7.56260440676676</v>
      </c>
      <c r="J15877" s="6" t="n">
        <f aca="false">(Sens!J15876-Sens!J15872)*Seg!J51/(Seg!J51+Seg!J53)</f>
        <v>7.60790100885945</v>
      </c>
      <c r="K15877" s="6" t="n">
        <f aca="false">(Sens!K15876-Sens!K15872)*Seg!K51/(Seg!K51+Seg!K53)</f>
        <v>7.78186910160995</v>
      </c>
    </row>
    <row r="15878" customFormat="false" ht="17.15" hidden="false" customHeight="false" outlineLevel="0" collapsed="false">
      <c r="A15878" s="0" t="s">
        <v>1246</v>
      </c>
      <c r="B15878" s="0" t="s">
        <v>98</v>
      </c>
      <c r="F15878" s="6" t="n">
        <f aca="false">Sens!F15876-Sens!F15872-Sens!F15877</f>
        <v>6.72169020385088</v>
      </c>
      <c r="G15878" s="6" t="n">
        <f aca="false">Sens!G15876-Sens!G15872-Sens!G15877</f>
        <v>6.322482503616</v>
      </c>
      <c r="H15878" s="6" t="n">
        <f aca="false">Sens!H15876-Sens!H15872-Sens!H15877</f>
        <v>6.315346810168</v>
      </c>
      <c r="I15878" s="6" t="n">
        <f aca="false">Sens!I15876-Sens!I15872-Sens!I15877</f>
        <v>6.36314990077033</v>
      </c>
      <c r="J15878" s="6" t="n">
        <f aca="false">Sens!J15876-Sens!J15872-Sens!J15877</f>
        <v>6.46265146397189</v>
      </c>
      <c r="K15878" s="6" t="n">
        <f aca="false">Sens!K15876-Sens!K15872-Sens!K15877</f>
        <v>6.61043140327304</v>
      </c>
    </row>
    <row r="15879" customFormat="false" ht="17.15" hidden="false" customHeight="false" outlineLevel="0" collapsed="false">
      <c r="A15879" s="0" t="s">
        <v>1247</v>
      </c>
      <c r="B15879" s="0" t="s">
        <v>98</v>
      </c>
      <c r="F15879" s="6" t="n">
        <f aca="false">Sens!F15873-tax_f*(Sens!F15873-Thesis!F95)-Thesis!F92</f>
        <v>-127.503553927218</v>
      </c>
      <c r="G15879" s="6" t="n">
        <f aca="false">Sens!G15873-tax_f*(Sens!G15873-Thesis!G95)-Thesis!G92</f>
        <v>-114.603772628121</v>
      </c>
      <c r="H15879" s="6" t="n">
        <f aca="false">Sens!H15873-tax_f*(Sens!H15873-Thesis!H95)-Thesis!H92</f>
        <v>-80.3633729631438</v>
      </c>
      <c r="I15879" s="6" t="n">
        <f aca="false">Sens!I15873-tax_f*(Sens!I15873-Thesis!I95)-Thesis!I92</f>
        <v>-17.2838782011649</v>
      </c>
      <c r="J15879" s="6" t="n">
        <f aca="false">Sens!J15873-tax_f*(Sens!J15873-Thesis!J95)-Thesis!J92</f>
        <v>46.9281968800854</v>
      </c>
      <c r="K15879" s="6" t="n">
        <f aca="false">Sens!K15873-tax_f*(Sens!K15873-Thesis!K95)-Thesis!K92</f>
        <v>71.8608185731755</v>
      </c>
    </row>
    <row r="15880" customFormat="false" ht="17.15" hidden="false" customHeight="false" outlineLevel="0" collapsed="false">
      <c r="A15880" s="0" t="s">
        <v>1248</v>
      </c>
      <c r="B15880" s="0" t="s">
        <v>98</v>
      </c>
      <c r="G15880" s="6" t="n">
        <f aca="false">Sens!G15879/(1+wacc)^(Sens!G15850-Sens!F15851)</f>
        <v>-109.124845494465</v>
      </c>
      <c r="H15880" s="6" t="n">
        <f aca="false">Sens!H15879/(1+wacc)^(Sens!H15850-Sens!F15851)</f>
        <v>-69.3796874071025</v>
      </c>
      <c r="I15880" s="6" t="n">
        <f aca="false">Sens!I15879/(1+wacc)^(Sens!I15850-Sens!F15851)</f>
        <v>-13.5289731380471</v>
      </c>
      <c r="J15880" s="6" t="n">
        <f aca="false">Sens!J15879/(1+wacc)^(Sens!J15850-Sens!F15851)</f>
        <v>33.3048099587126</v>
      </c>
      <c r="K15880" s="6" t="n">
        <f aca="false">Sens!K15879/(1+wacc)^(Sens!K15850-Sens!F15851)</f>
        <v>46.2396679904913</v>
      </c>
      <c r="L15880" s="1" t="s">
        <v>1249</v>
      </c>
    </row>
    <row r="15881" customFormat="false" ht="17.15" hidden="false" customHeight="false" outlineLevel="0" collapsed="false">
      <c r="A15881" s="0" t="s">
        <v>1250</v>
      </c>
      <c r="B15881" s="0" t="s">
        <v>98</v>
      </c>
      <c r="C15881" s="6" t="n">
        <f aca="false">(Sens!K15873-Thesis!K95)*(1-tax_f)*(1+g_tv)*(1-g_tv/(wacc+ronic_prem))/(wacc-g_tv)/(1+wacc)^(Sens!K15851-Sens!F15851)</f>
        <v>293.118051086843</v>
      </c>
    </row>
    <row r="15882" customFormat="false" ht="17.15" hidden="false" customHeight="false" outlineLevel="0" collapsed="false">
      <c r="A15882" s="1" t="s">
        <v>1251</v>
      </c>
      <c r="B15882" s="0" t="s">
        <v>98</v>
      </c>
      <c r="C15882" s="6" t="n">
        <f aca="false">(SUM(Sens!G15880:K15880)+Sens!$C$15881)*(1+wacc)^(t_roll-Sens!F15851)</f>
        <v>186.592133308255</v>
      </c>
      <c r="L15882" s="12" t="s">
        <v>1252</v>
      </c>
    </row>
    <row r="15883" customFormat="false" ht="17.15" hidden="false" customHeight="false" outlineLevel="0" collapsed="false">
      <c r="A15883" s="1" t="s">
        <v>1253</v>
      </c>
      <c r="B15883" s="0" t="s">
        <v>98</v>
      </c>
      <c r="C15883" s="6" t="n">
        <f aca="false">(w_ntm28*Thesis!G83+(1-w_ntm28)*Thesis!H83)*m_ai</f>
        <v>463.789109510335</v>
      </c>
    </row>
    <row r="15884" customFormat="false" ht="17.15" hidden="false" customHeight="false" outlineLevel="0" collapsed="false">
      <c r="A15884" s="1" t="s">
        <v>1254</v>
      </c>
      <c r="B15884" s="0" t="s">
        <v>98</v>
      </c>
      <c r="C15884" s="6" t="n">
        <f aca="false">(w_ntm28*Sens!G15875+(1-w_ntm28)*Sens!H15875)*m_own</f>
        <v>1234.81682570491</v>
      </c>
    </row>
    <row r="15885" customFormat="false" ht="17.15" hidden="false" customHeight="false" outlineLevel="0" collapsed="false">
      <c r="A15885" s="1" t="s">
        <v>1255</v>
      </c>
      <c r="B15885" s="0" t="s">
        <v>98</v>
      </c>
      <c r="C15885" s="6" t="n">
        <f aca="false">(w_ntm28*Sens!G15868+(1-w_ntm28)*Sens!H15868)*m_own</f>
        <v>1571.13459691233</v>
      </c>
    </row>
    <row r="15886" customFormat="false" ht="17.15" hidden="false" customHeight="false" outlineLevel="0" collapsed="false">
      <c r="A15886" s="1" t="s">
        <v>1256</v>
      </c>
      <c r="B15886" s="0" t="s">
        <v>98</v>
      </c>
      <c r="C15886" s="6" t="n">
        <f aca="false">(w_ntm28*Sens!G15869+(1-w_ntm28)*Sens!H15869)*m_own</f>
        <v>541.092718665102</v>
      </c>
    </row>
    <row r="15887" customFormat="false" ht="17.15" hidden="false" customHeight="false" outlineLevel="0" collapsed="false">
      <c r="A15887" s="1" t="s">
        <v>1257</v>
      </c>
      <c r="B15887" s="0" t="s">
        <v>98</v>
      </c>
      <c r="C15887" s="6" t="n">
        <f aca="false">(w_ntm28*Sens!G15870+(1-w_ntm28)*Sens!H15870)*m_own</f>
        <v>158.361821699109</v>
      </c>
    </row>
    <row r="15888" customFormat="false" ht="17.15" hidden="false" customHeight="false" outlineLevel="0" collapsed="false">
      <c r="A15888" s="1" t="s">
        <v>1258</v>
      </c>
      <c r="B15888" s="0" t="s">
        <v>98</v>
      </c>
      <c r="C15888" s="6" t="n">
        <f aca="false">(w_ntm28*Sens!G15871+(1-w_ntm28)*Sens!H15871)*m_own</f>
        <v>60.2050334272108</v>
      </c>
    </row>
    <row r="15889" customFormat="false" ht="17.15" hidden="false" customHeight="false" outlineLevel="0" collapsed="false">
      <c r="A15889" s="1" t="s">
        <v>1259</v>
      </c>
      <c r="B15889" s="0" t="s">
        <v>98</v>
      </c>
      <c r="C15889" s="6" t="n">
        <f aca="false">(w_ntm28*Sens!G15872+(1-w_ntm28)*Sens!H15872)*m_own</f>
        <v>197.899838316961</v>
      </c>
    </row>
    <row r="15890" customFormat="false" ht="17.15" hidden="false" customHeight="false" outlineLevel="0" collapsed="false">
      <c r="A15890" s="1" t="s">
        <v>1260</v>
      </c>
      <c r="B15890" s="0" t="s">
        <v>98</v>
      </c>
      <c r="C15890" s="6" t="n">
        <f aca="false">(w_ntm28*Sens!G15877+(1-w_ntm28)*Sens!H15877)*m_own</f>
        <v>122.387508329724</v>
      </c>
    </row>
    <row r="15891" customFormat="false" ht="17.15" hidden="false" customHeight="false" outlineLevel="0" collapsed="false">
      <c r="A15891" s="1" t="s">
        <v>1261</v>
      </c>
      <c r="B15891" s="0" t="s">
        <v>98</v>
      </c>
      <c r="C15891" s="6" t="n">
        <f aca="false">(w_ntm28*Sens!G15878+(1-w_ntm28)*Sens!H15878)*m_own</f>
        <v>99.0365393030062</v>
      </c>
    </row>
    <row r="15892" customFormat="false" ht="17.15" hidden="false" customHeight="false" outlineLevel="0" collapsed="false">
      <c r="A15892" s="1" t="s">
        <v>1262</v>
      </c>
      <c r="B15892" s="0" t="s">
        <v>98</v>
      </c>
      <c r="C15892" s="6" t="n">
        <f aca="false">Sens!$C$15882+Sens!$C$15884+Sens!$C$15885+Sens!$C$15886+Sens!$C$15887+Sens!$C$15888+Sens!$C$15889+Sens!$C$15890+Sens!$C$15891</f>
        <v>4171.5270156666</v>
      </c>
    </row>
    <row r="15893" customFormat="false" ht="17.15" hidden="false" customHeight="false" outlineLevel="0" collapsed="false">
      <c r="A15893" s="1" t="s">
        <v>1263</v>
      </c>
      <c r="B15893" s="0" t="s">
        <v>98</v>
      </c>
      <c r="C15893" s="6" t="n">
        <f aca="false">(Sens!G15854-Sens!G15879)*t_stub</f>
        <v>47.8736427515113</v>
      </c>
      <c r="L15893" s="1" t="s">
        <v>1264</v>
      </c>
    </row>
    <row r="15894" customFormat="false" ht="17.15" hidden="false" customHeight="false" outlineLevel="0" collapsed="false">
      <c r="A15894" s="1" t="s">
        <v>1173</v>
      </c>
      <c r="B15894" s="0" t="s">
        <v>98</v>
      </c>
      <c r="C15894" s="6" t="n">
        <f aca="false">CF!F71+oai_v-CF!F60+Sens!$C$15893</f>
        <v>162.101912751511</v>
      </c>
      <c r="L15894" s="1" t="s">
        <v>1265</v>
      </c>
    </row>
    <row r="15895" customFormat="false" ht="17.15" hidden="false" customHeight="false" outlineLevel="0" collapsed="false">
      <c r="A15895" s="1" t="s">
        <v>1266</v>
      </c>
      <c r="B15895" s="0" t="s">
        <v>75</v>
      </c>
      <c r="C15895" s="5" t="n">
        <f aca="false">(Sens!$C$15892+Sens!$C$15894)/(CF!F73+dil_gap)-CF!G63*roll_div_q/q_per_yr</f>
        <v>577.123878368576</v>
      </c>
      <c r="L15895" s="1" t="s">
        <v>1267</v>
      </c>
    </row>
    <row r="15896" customFormat="false" ht="17.15" hidden="false" customHeight="false" outlineLevel="0" collapsed="false">
      <c r="A15896" s="1" t="s">
        <v>1268</v>
      </c>
      <c r="B15896" s="0" t="s">
        <v>75</v>
      </c>
      <c r="C15896" s="5" t="n">
        <f aca="false">w_dcf*Sens!$C$15866+(1-w_dcf)*Sens!$C$15895</f>
        <v>451.713709797154</v>
      </c>
    </row>
    <row r="15897" customFormat="false" ht="17.15" hidden="false" customHeight="false" outlineLevel="0" collapsed="false">
      <c r="A15897" s="3" t="s">
        <v>2003</v>
      </c>
    </row>
    <row r="15898" customFormat="false" ht="15" hidden="false" customHeight="false" outlineLevel="0" collapsed="false">
      <c r="A15898" s="4" t="s">
        <v>43</v>
      </c>
      <c r="B15898" s="4" t="s">
        <v>65</v>
      </c>
      <c r="C15898" s="23" t="s">
        <v>942</v>
      </c>
      <c r="D15898" s="23" t="s">
        <v>943</v>
      </c>
      <c r="E15898" s="23" t="s">
        <v>944</v>
      </c>
      <c r="F15898" s="23" t="s">
        <v>945</v>
      </c>
      <c r="G15898" s="23" t="s">
        <v>946</v>
      </c>
      <c r="H15898" s="23" t="s">
        <v>947</v>
      </c>
      <c r="I15898" s="23" t="s">
        <v>948</v>
      </c>
      <c r="J15898" s="23" t="s">
        <v>949</v>
      </c>
      <c r="K15898" s="23" t="s">
        <v>950</v>
      </c>
      <c r="L15898" s="4" t="s">
        <v>47</v>
      </c>
    </row>
    <row r="15899" customFormat="false" ht="17.15" hidden="false" customHeight="false" outlineLevel="0" collapsed="false">
      <c r="A15899" s="1" t="s">
        <v>1216</v>
      </c>
      <c r="B15899" s="1" t="s">
        <v>279</v>
      </c>
      <c r="F15899" s="8" t="n">
        <f aca="false">(1-v_off)*mid_yr</f>
        <v>0.373972602739726</v>
      </c>
      <c r="G15899" s="8" t="n">
        <f aca="false">Thesis!G110-base_fy-mid_yr-v_off</f>
        <v>1.24794520547945</v>
      </c>
      <c r="H15899" s="8" t="n">
        <f aca="false">Thesis!H110-base_fy-mid_yr-v_off</f>
        <v>2.24794520547945</v>
      </c>
      <c r="I15899" s="8" t="n">
        <f aca="false">Thesis!I110-base_fy-mid_yr-v_off</f>
        <v>3.24794520547945</v>
      </c>
      <c r="J15899" s="8" t="n">
        <f aca="false">Thesis!J110-base_fy-mid_yr-v_off</f>
        <v>4.24794520547945</v>
      </c>
      <c r="K15899" s="8" t="n">
        <f aca="false">Thesis!K110-base_fy-mid_yr-v_off</f>
        <v>5.24794520547945</v>
      </c>
      <c r="L15899" s="12" t="s">
        <v>1217</v>
      </c>
    </row>
    <row r="15900" customFormat="false" ht="15" hidden="false" customHeight="false" outlineLevel="0" collapsed="false">
      <c r="A15900" s="1" t="s">
        <v>1218</v>
      </c>
      <c r="B15900" s="1" t="s">
        <v>279</v>
      </c>
      <c r="F15900" s="8" t="n">
        <f aca="false">Thesis!F110-base_fy-v_off</f>
        <v>0.747945205479452</v>
      </c>
      <c r="G15900" s="8" t="n">
        <f aca="false">Thesis!G110-base_fy-v_off</f>
        <v>1.74794520547945</v>
      </c>
      <c r="H15900" s="8" t="n">
        <f aca="false">Thesis!H110-base_fy-v_off</f>
        <v>2.74794520547945</v>
      </c>
      <c r="I15900" s="8" t="n">
        <f aca="false">Thesis!I110-base_fy-v_off</f>
        <v>3.74794520547945</v>
      </c>
      <c r="J15900" s="8" t="n">
        <f aca="false">Thesis!J110-base_fy-v_off</f>
        <v>4.74794520547945</v>
      </c>
      <c r="K15900" s="8" t="n">
        <f aca="false">Thesis!K110-base_fy-v_off</f>
        <v>5.74794520547945</v>
      </c>
    </row>
    <row r="15901" customFormat="false" ht="15" hidden="false" customHeight="false" outlineLevel="0" collapsed="false">
      <c r="A15901" s="1" t="s">
        <v>1219</v>
      </c>
      <c r="B15901" s="0" t="s">
        <v>229</v>
      </c>
      <c r="F15901" s="15" t="n">
        <f aca="false">1/(1+wacc)^Sens!F15899</f>
        <v>0.964022703286649</v>
      </c>
      <c r="G15901" s="15" t="n">
        <f aca="false">1/(1+wacc)^Sens!G15899</f>
        <v>0.884910302296739</v>
      </c>
      <c r="H15901" s="15" t="n">
        <f aca="false">1/(1+wacc)^Sens!H15899</f>
        <v>0.802322009770358</v>
      </c>
      <c r="I15901" s="15" t="n">
        <f aca="false">1/(1+wacc)^Sens!I15899</f>
        <v>0.727441646561469</v>
      </c>
      <c r="J15901" s="15" t="n">
        <f aca="false">1/(1+wacc)^Sens!J15899</f>
        <v>0.659549834988973</v>
      </c>
      <c r="K15901" s="15" t="n">
        <f aca="false">1/(1+wacc)^Sens!K15899</f>
        <v>0.597994336576966</v>
      </c>
    </row>
    <row r="15902" customFormat="false" ht="17.15" hidden="false" customHeight="false" outlineLevel="0" collapsed="false">
      <c r="A15902" s="1" t="s">
        <v>1220</v>
      </c>
      <c r="B15902" s="0" t="s">
        <v>98</v>
      </c>
      <c r="F15902" s="6" t="n">
        <f aca="false">Q!$I$35-Q!$I$39-Q!$I$43</f>
        <v>9.666</v>
      </c>
      <c r="L15902" s="12" t="s">
        <v>1221</v>
      </c>
    </row>
    <row r="15903" customFormat="false" ht="17.15" hidden="false" customHeight="false" outlineLevel="0" collapsed="false">
      <c r="A15903" s="1" t="s">
        <v>1222</v>
      </c>
      <c r="B15903" s="0" t="s">
        <v>98</v>
      </c>
      <c r="F15903" s="6" t="n">
        <f aca="false">CF!F87-CF!F84-CF!F91+Thesis!F151*(1-tax_f)*(1-v_off)-Sens!F15902</f>
        <v>-6.10282680452259</v>
      </c>
      <c r="G15903" s="6" t="n">
        <f aca="false">CF!G87-CF!G84-CF!G91+Thesis!G151*(1-tax_f)</f>
        <v>19.0084129023516</v>
      </c>
      <c r="H15903" s="6" t="n">
        <f aca="false">CF!H87-CF!H84-CF!H91+Thesis!H151*(1-tax_f)</f>
        <v>55.9229468383331</v>
      </c>
      <c r="I15903" s="6" t="n">
        <f aca="false">CF!I87-CF!I84-CF!I91+Thesis!I151*(1-tax_f)</f>
        <v>127.901908576191</v>
      </c>
      <c r="J15903" s="6" t="n">
        <f aca="false">CF!J87-CF!J84-CF!J91+Thesis!J151*(1-tax_f)</f>
        <v>201.958443859638</v>
      </c>
      <c r="K15903" s="6" t="n">
        <f aca="false">CF!K87-CF!K84-CF!K91+Thesis!K151*(1-tax_f)</f>
        <v>237.542519059905</v>
      </c>
      <c r="L15903" s="1" t="s">
        <v>1223</v>
      </c>
    </row>
    <row r="15904" customFormat="false" ht="15" hidden="false" customHeight="false" outlineLevel="0" collapsed="false">
      <c r="A15904" s="1" t="s">
        <v>1224</v>
      </c>
      <c r="B15904" s="0" t="s">
        <v>98</v>
      </c>
      <c r="F15904" s="6" t="n">
        <f aca="false">Sens!F15903*Sens!F15901</f>
        <v>-5.88326359378609</v>
      </c>
      <c r="G15904" s="6" t="n">
        <f aca="false">Sens!G15903*Sens!G15901</f>
        <v>16.8207404076012</v>
      </c>
      <c r="H15904" s="6" t="n">
        <f aca="false">Sens!H15903*Sens!H15901</f>
        <v>44.8682110996123</v>
      </c>
      <c r="I15904" s="6" t="n">
        <f aca="false">Sens!I15903*Sens!I15901</f>
        <v>93.0411749730187</v>
      </c>
      <c r="J15904" s="6" t="n">
        <f aca="false">Sens!J15903*Sens!J15901</f>
        <v>133.201658322254</v>
      </c>
      <c r="K15904" s="6" t="n">
        <f aca="false">Sens!K15903*Sens!K15901</f>
        <v>142.049081094049</v>
      </c>
    </row>
    <row r="15905" customFormat="false" ht="17.15" hidden="false" customHeight="false" outlineLevel="0" collapsed="false">
      <c r="A15905" s="1" t="s">
        <v>1225</v>
      </c>
      <c r="B15905" s="0" t="s">
        <v>98</v>
      </c>
      <c r="C15905" s="6" t="n">
        <f aca="false">SUM(Sens!F15904:K15904)</f>
        <v>424.097602302749</v>
      </c>
    </row>
    <row r="15906" customFormat="false" ht="17.15" hidden="false" customHeight="false" outlineLevel="0" collapsed="false">
      <c r="A15906" s="1" t="s">
        <v>1226</v>
      </c>
      <c r="B15906" s="0" t="s">
        <v>98</v>
      </c>
      <c r="C15906" s="6" t="n">
        <f aca="false">PL!K117*(1+g_tv)*(1-tax_f)</f>
        <v>247.098906713682</v>
      </c>
    </row>
    <row r="15907" customFormat="false" ht="17.15" hidden="false" customHeight="false" outlineLevel="0" collapsed="false">
      <c r="A15907" s="1" t="s">
        <v>1227</v>
      </c>
      <c r="B15907" s="0" t="s">
        <v>98</v>
      </c>
      <c r="C15907" s="6" t="n">
        <f aca="false">Sens!$C$15906*(1-g_tv/(wacc+ronic_prem))</f>
        <v>175.084017418113</v>
      </c>
    </row>
    <row r="15908" customFormat="false" ht="17.15" hidden="false" customHeight="false" outlineLevel="0" collapsed="false">
      <c r="A15908" s="1" t="s">
        <v>1228</v>
      </c>
      <c r="B15908" s="0" t="s">
        <v>98</v>
      </c>
      <c r="C15908" s="6" t="n">
        <f aca="false">Sens!$C$15907/(wacc-g_tv)</f>
        <v>2400.4963098523</v>
      </c>
    </row>
    <row r="15909" customFormat="false" ht="15" hidden="false" customHeight="false" outlineLevel="0" collapsed="false">
      <c r="A15909" s="1" t="s">
        <v>1229</v>
      </c>
      <c r="B15909" s="0" t="s">
        <v>98</v>
      </c>
      <c r="C15909" s="6" t="n">
        <f aca="false">Sens!$C$15908/(1+wacc)^Sens!K15900</f>
        <v>1366.85624415645</v>
      </c>
    </row>
    <row r="15910" customFormat="false" ht="17.15" hidden="false" customHeight="false" outlineLevel="0" collapsed="false">
      <c r="A15910" s="0" t="s">
        <v>1230</v>
      </c>
      <c r="B15910" s="0" t="s">
        <v>98</v>
      </c>
      <c r="C15910" s="6" t="n">
        <f aca="false">Sens!$C$15905+Sens!$C$15909</f>
        <v>1790.9538464592</v>
      </c>
    </row>
    <row r="15911" customFormat="false" ht="15" hidden="false" customHeight="false" outlineLevel="0" collapsed="false">
      <c r="A15911" s="1" t="s">
        <v>1145</v>
      </c>
      <c r="B15911" s="0" t="s">
        <v>168</v>
      </c>
      <c r="C15911" s="7" t="n">
        <f aca="false">Sens!$C$15909/Sens!$C$15910</f>
        <v>0.763200149941769</v>
      </c>
    </row>
    <row r="15912" customFormat="false" ht="17.15" hidden="false" customHeight="false" outlineLevel="0" collapsed="false">
      <c r="A15912" s="1" t="s">
        <v>1231</v>
      </c>
      <c r="B15912" s="0" t="s">
        <v>98</v>
      </c>
      <c r="C15912" s="6" t="n">
        <f aca="false">Sens!$C$15910+cash_val-debt_val-fl_val+oai_v</f>
        <v>1906.8048464592</v>
      </c>
    </row>
    <row r="15913" customFormat="false" ht="17.15" hidden="false" customHeight="false" outlineLevel="0" collapsed="false">
      <c r="A15913" s="0" t="s">
        <v>1153</v>
      </c>
      <c r="B15913" s="0" t="s">
        <v>75</v>
      </c>
      <c r="C15913" s="5" t="n">
        <f aca="false">Sens!$C$15912/shd_val</f>
        <v>256.084454265269</v>
      </c>
    </row>
    <row r="15914" customFormat="false" ht="15" hidden="false" customHeight="false" outlineLevel="0" collapsed="false">
      <c r="A15914" s="1" t="s">
        <v>1232</v>
      </c>
      <c r="B15914" s="0" t="s">
        <v>75</v>
      </c>
      <c r="C15914" s="8" t="n">
        <f aca="false">div_rem27+CF!G95*roll_div_q/q_per_yr</f>
        <v>3.9795</v>
      </c>
    </row>
    <row r="15915" customFormat="false" ht="17.15" hidden="false" customHeight="false" outlineLevel="0" collapsed="false">
      <c r="A15915" s="0" t="s">
        <v>1233</v>
      </c>
      <c r="B15915" s="0" t="s">
        <v>75</v>
      </c>
      <c r="C15915" s="5" t="n">
        <f aca="false">Sens!$C$15913*(1+wacc)^t_roll-Sens!$C$15914</f>
        <v>280.67266317972</v>
      </c>
    </row>
    <row r="15916" customFormat="false" ht="17.15" hidden="false" customHeight="false" outlineLevel="0" collapsed="false">
      <c r="A15916" s="1" t="s">
        <v>1234</v>
      </c>
      <c r="B15916" s="0" t="s">
        <v>168</v>
      </c>
      <c r="F15916" s="7" t="n">
        <f aca="false">CF!F81/(Seg!F83-Thesis!F129)</f>
        <v>0.068677393452264</v>
      </c>
      <c r="G15916" s="7" t="n">
        <f aca="false">CF!G81/(Seg!G83-Thesis!G129)</f>
        <v>0.0663132664471956</v>
      </c>
      <c r="H15916" s="7" t="n">
        <f aca="false">CF!H81/(Seg!H83-Thesis!H129)</f>
        <v>0.0651363826734039</v>
      </c>
      <c r="I15916" s="7" t="n">
        <f aca="false">CF!I81/(Seg!I83-Thesis!I129)</f>
        <v>0.0650087936347709</v>
      </c>
      <c r="J15916" s="7" t="n">
        <f aca="false">CF!J81/(Seg!J83-Thesis!J129)</f>
        <v>0.0657212684841778</v>
      </c>
      <c r="K15916" s="7" t="n">
        <f aca="false">CF!K81/(Seg!K83-Thesis!K129)</f>
        <v>0.0670413306015285</v>
      </c>
    </row>
    <row r="15917" customFormat="false" ht="17.15" hidden="false" customHeight="false" outlineLevel="0" collapsed="false">
      <c r="A15917" s="0" t="s">
        <v>1235</v>
      </c>
      <c r="B15917" s="0" t="s">
        <v>98</v>
      </c>
      <c r="F15917" s="6" t="n">
        <f aca="false">Seg!F68*(al_m365+Sens!F15916+sbc_r)</f>
        <v>82.9185219618347</v>
      </c>
      <c r="G15917" s="6" t="n">
        <f aca="false">Seg!G68*(al_m365+Sens!G15916+sbc_r)</f>
        <v>93.3068052157631</v>
      </c>
      <c r="H15917" s="6" t="n">
        <f aca="false">Seg!H68*(al_m365+Sens!H15916+sbc_r)</f>
        <v>103.856057136159</v>
      </c>
      <c r="I15917" s="6" t="n">
        <f aca="false">Seg!I68*(al_m365+Sens!I15916+sbc_r)</f>
        <v>113.889717587147</v>
      </c>
      <c r="J15917" s="6" t="n">
        <f aca="false">Seg!J68*(al_m365+Sens!J15916+sbc_r)</f>
        <v>123.218477864124</v>
      </c>
      <c r="K15917" s="6" t="n">
        <f aca="false">Seg!K68*(al_m365+Sens!K15916+sbc_r)</f>
        <v>132.149420086311</v>
      </c>
      <c r="L15917" s="12" t="s">
        <v>1236</v>
      </c>
    </row>
    <row r="15918" customFormat="false" ht="17.15" hidden="false" customHeight="false" outlineLevel="0" collapsed="false">
      <c r="A15918" s="0" t="s">
        <v>1237</v>
      </c>
      <c r="B15918" s="0" t="s">
        <v>98</v>
      </c>
      <c r="F15918" s="6" t="n">
        <f aca="false">Seg!F69*(al_lic+Sens!F15916+sbc_r)</f>
        <v>32.8599853992256</v>
      </c>
      <c r="G15918" s="6" t="n">
        <f aca="false">Seg!G69*(al_lic+Sens!G15916+sbc_r)</f>
        <v>34.1568280697879</v>
      </c>
      <c r="H15918" s="6" t="n">
        <f aca="false">Seg!H69*(al_lic+Sens!H15916+sbc_r)</f>
        <v>35.3635535007213</v>
      </c>
      <c r="I15918" s="6" t="n">
        <f aca="false">Seg!I69*(al_lic+Sens!I15916+sbc_r)</f>
        <v>36.4604537346553</v>
      </c>
      <c r="J15918" s="6" t="n">
        <f aca="false">Seg!J69*(al_lic+Sens!J15916+sbc_r)</f>
        <v>37.4245888933574</v>
      </c>
      <c r="K15918" s="6" t="n">
        <f aca="false">Seg!K69*(al_lic+Sens!K15916+sbc_r)</f>
        <v>38.2321483186439</v>
      </c>
    </row>
    <row r="15919" customFormat="false" ht="17.15" hidden="false" customHeight="false" outlineLevel="0" collapsed="false">
      <c r="A15919" s="0" t="s">
        <v>1238</v>
      </c>
      <c r="B15919" s="0" t="s">
        <v>98</v>
      </c>
      <c r="F15919" s="6" t="n">
        <f aca="false">Seg!F71*(al_ind+Sens!F15916+sbc_r)</f>
        <v>9.06170747885803</v>
      </c>
      <c r="G15919" s="6" t="n">
        <f aca="false">Seg!G71*(al_ind+Sens!G15916+sbc_r)</f>
        <v>9.8478979082138</v>
      </c>
      <c r="H15919" s="6" t="n">
        <f aca="false">Seg!H71*(al_ind+Sens!H15916+sbc_r)</f>
        <v>10.6768254332059</v>
      </c>
      <c r="I15919" s="6" t="n">
        <f aca="false">Seg!I71*(al_ind+Sens!I15916+sbc_r)</f>
        <v>11.54398793803</v>
      </c>
      <c r="J15919" s="6" t="n">
        <f aca="false">Seg!J71*(al_ind+Sens!J15916+sbc_r)</f>
        <v>12.4407914253112</v>
      </c>
      <c r="K15919" s="6" t="n">
        <f aca="false">Seg!K71*(al_ind+Sens!K15916+sbc_r)</f>
        <v>13.355239066864</v>
      </c>
    </row>
    <row r="15920" customFormat="false" ht="17.15" hidden="false" customHeight="false" outlineLevel="0" collapsed="false">
      <c r="A15920" s="0" t="s">
        <v>1239</v>
      </c>
      <c r="B15920" s="0" t="s">
        <v>98</v>
      </c>
      <c r="F15920" s="6" t="n">
        <f aca="false">Seg!F73*(al_fro+Sens!F15916+sbc_r)</f>
        <v>3.55453569939552</v>
      </c>
      <c r="G15920" s="6" t="n">
        <f aca="false">Seg!G73*(al_fro+Sens!G15916+sbc_r)</f>
        <v>3.76809436159872</v>
      </c>
      <c r="H15920" s="6" t="n">
        <f aca="false">Seg!H73*(al_fro+Sens!H15916+sbc_r)</f>
        <v>4.00964905674607</v>
      </c>
      <c r="I15920" s="6" t="n">
        <f aca="false">Seg!I73*(al_fro+Sens!I15916+sbc_r)</f>
        <v>4.28152633145235</v>
      </c>
      <c r="J15920" s="6" t="n">
        <f aca="false">Seg!J73*(al_fro+Sens!J15916+sbc_r)</f>
        <v>4.58536512975975</v>
      </c>
      <c r="K15920" s="6" t="n">
        <f aca="false">Seg!K73*(al_fro+Sens!K15916+sbc_r)</f>
        <v>4.92240770086468</v>
      </c>
    </row>
    <row r="15921" customFormat="false" ht="17.15" hidden="false" customHeight="false" outlineLevel="0" collapsed="false">
      <c r="A15921" s="0" t="s">
        <v>1240</v>
      </c>
      <c r="B15921" s="0" t="s">
        <v>98</v>
      </c>
      <c r="F15921" s="6" t="n">
        <f aca="false">Seg!F76*(al_srch+Sens!F15916+sbc_r)</f>
        <v>11.190683952584</v>
      </c>
      <c r="G15921" s="6" t="n">
        <f aca="false">Seg!G76*(al_srch+Sens!G15916+sbc_r)</f>
        <v>12.2763328717258</v>
      </c>
      <c r="H15921" s="6" t="n">
        <f aca="false">Seg!H76*(al_srch+Sens!H15916+sbc_r)</f>
        <v>13.4043563346576</v>
      </c>
      <c r="I15921" s="6" t="n">
        <f aca="false">Seg!I76*(al_srch+Sens!I15916+sbc_r)</f>
        <v>14.5621512181916</v>
      </c>
      <c r="J15921" s="6" t="n">
        <f aca="false">Seg!J76*(al_srch+Sens!J15916+sbc_r)</f>
        <v>15.7310381862385</v>
      </c>
      <c r="K15921" s="6" t="n">
        <f aca="false">Seg!K76*(al_srch+Sens!K15916+sbc_r)</f>
        <v>16.8873320486462</v>
      </c>
    </row>
    <row r="15922" customFormat="false" ht="17.15" hidden="false" customHeight="false" outlineLevel="0" collapsed="false">
      <c r="A15922" s="0" t="s">
        <v>1241</v>
      </c>
      <c r="B15922" s="0" t="s">
        <v>98</v>
      </c>
      <c r="F15922" s="6" t="n">
        <f aca="false">Thesis!F135-Thesis!F136+Thesis!F151</f>
        <v>38.9696429794913</v>
      </c>
      <c r="G15922" s="6" t="n">
        <f aca="false">Thesis!G135-Thesis!G136+Thesis!G151</f>
        <v>69.465497726016</v>
      </c>
      <c r="H15922" s="6" t="n">
        <f aca="false">Thesis!H135-Thesis!H136+Thesis!H151</f>
        <v>96.8147106808268</v>
      </c>
      <c r="I15922" s="6" t="n">
        <f aca="false">Thesis!I135-Thesis!I136+Thesis!I151</f>
        <v>127.654939766446</v>
      </c>
      <c r="J15922" s="6" t="n">
        <f aca="false">Thesis!J135-Thesis!J136+Thesis!J151</f>
        <v>149.308352681229</v>
      </c>
      <c r="K15922" s="6" t="n">
        <f aca="false">Thesis!K135-Thesis!K136+Thesis!K151</f>
        <v>162.731822021841</v>
      </c>
    </row>
    <row r="15923" customFormat="false" ht="17.15" hidden="false" customHeight="false" outlineLevel="0" collapsed="false">
      <c r="A15923" s="0" t="s">
        <v>1242</v>
      </c>
      <c r="B15923" s="0" t="s">
        <v>98</v>
      </c>
      <c r="F15923" s="6" t="n">
        <f aca="false">PL!F110+Thesis!F151+Thesis!F147+Sens!F15916*(Seg!F75-Thesis!F129)+sbc_r*Seg!F75</f>
        <v>234.79972328186</v>
      </c>
      <c r="G15923" s="6" t="n">
        <f aca="false">PL!G110+Thesis!G151+Thesis!G147+Sens!G15916*(Seg!G75-Thesis!G129)+sbc_r*Seg!G75</f>
        <v>285.499052659517</v>
      </c>
      <c r="H15923" s="6" t="n">
        <f aca="false">PL!H110+Thesis!H151+Thesis!H147+Sens!H15916*(Seg!H75-Thesis!H129)+sbc_r*Seg!H75</f>
        <v>338.258569294547</v>
      </c>
      <c r="I15923" s="6" t="n">
        <f aca="false">PL!I110+Thesis!I151+Thesis!I147+Sens!I15916*(Seg!I75-Thesis!I129)+sbc_r*Seg!I75</f>
        <v>393.887902526982</v>
      </c>
      <c r="J15923" s="6" t="n">
        <f aca="false">PL!J110+Thesis!J151+Thesis!J147+Sens!J15916*(Seg!J75-Thesis!J129)+sbc_r*Seg!J75</f>
        <v>438.406631506078</v>
      </c>
      <c r="K15923" s="6" t="n">
        <f aca="false">PL!K110+Thesis!K151+Thesis!K147+Sens!K15916*(Seg!K75-Thesis!K129)+sbc_r*Seg!K75</f>
        <v>472.352875745143</v>
      </c>
    </row>
    <row r="15924" customFormat="false" ht="17.15" hidden="false" customHeight="false" outlineLevel="0" collapsed="false">
      <c r="A15924" s="0" t="s">
        <v>1243</v>
      </c>
      <c r="B15924" s="0" t="s">
        <v>98</v>
      </c>
      <c r="F15924" s="6" t="n">
        <f aca="false">Sens!F15923-Sens!F15917-Sens!F15918-Sens!F15919-Sens!F15920-Sens!F15922</f>
        <v>67.4353297630543</v>
      </c>
      <c r="G15924" s="6" t="n">
        <f aca="false">Sens!G15923-Sens!G15917-Sens!G15918-Sens!G15919-Sens!G15920-Sens!G15922</f>
        <v>74.9539293781376</v>
      </c>
      <c r="H15924" s="6" t="n">
        <f aca="false">Sens!H15923-Sens!H15917-Sens!H15918-Sens!H15919-Sens!H15920-Sens!H15922</f>
        <v>87.537773486888</v>
      </c>
      <c r="I15924" s="6" t="n">
        <f aca="false">Sens!I15923-Sens!I15917-Sens!I15918-Sens!I15919-Sens!I15920-Sens!I15922</f>
        <v>100.057277169252</v>
      </c>
      <c r="J15924" s="6" t="n">
        <f aca="false">Sens!J15923-Sens!J15917-Sens!J15918-Sens!J15919-Sens!J15920-Sens!J15922</f>
        <v>111.429055512297</v>
      </c>
      <c r="K15924" s="6" t="n">
        <f aca="false">Sens!K15923-Sens!K15917-Sens!K15918-Sens!K15919-Sens!K15920-Sens!K15922</f>
        <v>120.961838550618</v>
      </c>
    </row>
    <row r="15925" customFormat="false" ht="17.15" hidden="false" customHeight="false" outlineLevel="0" collapsed="false">
      <c r="A15925" s="0" t="s">
        <v>1244</v>
      </c>
      <c r="B15925" s="0" t="s">
        <v>98</v>
      </c>
      <c r="F15925" s="6" t="n">
        <f aca="false">PL!F112+Sens!F15916*Seg!F82+sbc_r*Seg!F82</f>
        <v>26.6373549789235</v>
      </c>
      <c r="G15925" s="6" t="n">
        <f aca="false">PL!G112+Sens!G15916*Seg!G82+sbc_r*Seg!G82</f>
        <v>26.5038922765853</v>
      </c>
      <c r="H15925" s="6" t="n">
        <f aca="false">PL!H112+Sens!H15916*Seg!H82+sbc_r*Seg!H82</f>
        <v>27.3981100014792</v>
      </c>
      <c r="I15925" s="6" t="n">
        <f aca="false">PL!I112+Sens!I15916*Seg!I82+sbc_r*Seg!I82</f>
        <v>28.5176442589239</v>
      </c>
      <c r="J15925" s="6" t="n">
        <f aca="false">PL!J112+Sens!J15916*Seg!J82+sbc_r*Seg!J82</f>
        <v>29.8313998963726</v>
      </c>
      <c r="K15925" s="6" t="n">
        <f aca="false">PL!K112+Sens!K15916*Seg!K82+sbc_r*Seg!K82</f>
        <v>31.3103466222307</v>
      </c>
    </row>
    <row r="15926" customFormat="false" ht="17.15" hidden="false" customHeight="false" outlineLevel="0" collapsed="false">
      <c r="A15926" s="0" t="s">
        <v>1245</v>
      </c>
      <c r="B15926" s="0" t="s">
        <v>98</v>
      </c>
      <c r="F15926" s="6" t="n">
        <f aca="false">(Sens!F15925-Sens!F15921)*Seg!F78/(Seg!F78+Seg!F80)</f>
        <v>8.72405610479892</v>
      </c>
      <c r="G15926" s="6" t="n">
        <f aca="false">(Sens!G15925-Sens!G15921)*Seg!G78/(Seg!G78+Seg!G80)</f>
        <v>7.897418765869</v>
      </c>
      <c r="H15926" s="6" t="n">
        <f aca="false">(Sens!H15925-Sens!H15921)*Seg!H78/(Seg!H78+Seg!H80)</f>
        <v>7.66644879573063</v>
      </c>
      <c r="I15926" s="6" t="n">
        <f aca="false">(Sens!I15925-Sens!I15921)*Seg!I78/(Seg!I78+Seg!I80)</f>
        <v>7.5787545031814</v>
      </c>
      <c r="J15926" s="6" t="n">
        <f aca="false">(Sens!J15925-Sens!J15921)*Seg!J78/(Seg!J78+Seg!J80)</f>
        <v>7.62401876450459</v>
      </c>
      <c r="K15926" s="6" t="n">
        <f aca="false">(Sens!K15925-Sens!K15921)*Seg!K78/(Seg!K78+Seg!K80)</f>
        <v>7.79847609658838</v>
      </c>
    </row>
    <row r="15927" customFormat="false" ht="17.15" hidden="false" customHeight="false" outlineLevel="0" collapsed="false">
      <c r="A15927" s="0" t="s">
        <v>1246</v>
      </c>
      <c r="B15927" s="0" t="s">
        <v>98</v>
      </c>
      <c r="F15927" s="6" t="n">
        <f aca="false">Sens!F15925-Sens!F15921-Sens!F15926</f>
        <v>6.72261492154066</v>
      </c>
      <c r="G15927" s="6" t="n">
        <f aca="false">Sens!G15925-Sens!G15921-Sens!G15926</f>
        <v>6.33014063899044</v>
      </c>
      <c r="H15927" s="6" t="n">
        <f aca="false">Sens!H15925-Sens!H15921-Sens!H15926</f>
        <v>6.32730487109095</v>
      </c>
      <c r="I15927" s="6" t="n">
        <f aca="false">Sens!I15925-Sens!I15921-Sens!I15926</f>
        <v>6.37673853755084</v>
      </c>
      <c r="J15927" s="6" t="n">
        <f aca="false">Sens!J15925-Sens!J15921-Sens!J15926</f>
        <v>6.47634294562954</v>
      </c>
      <c r="K15927" s="6" t="n">
        <f aca="false">Sens!K15925-Sens!K15921-Sens!K15926</f>
        <v>6.62453847699607</v>
      </c>
    </row>
    <row r="15928" customFormat="false" ht="17.15" hidden="false" customHeight="false" outlineLevel="0" collapsed="false">
      <c r="A15928" s="0" t="s">
        <v>1247</v>
      </c>
      <c r="B15928" s="0" t="s">
        <v>98</v>
      </c>
      <c r="F15928" s="6" t="n">
        <f aca="false">Sens!F15922-tax_f*(Sens!F15922-Thesis!F147)-Thesis!F144</f>
        <v>-130.362326762856</v>
      </c>
      <c r="G15928" s="6" t="n">
        <f aca="false">Sens!G15922-tax_f*(Sens!G15922-Thesis!G147)-Thesis!G144</f>
        <v>-124.225179337776</v>
      </c>
      <c r="H15928" s="6" t="n">
        <f aca="false">Sens!H15922-tax_f*(Sens!H15922-Thesis!H147)-Thesis!H144</f>
        <v>-101.534217387562</v>
      </c>
      <c r="I15928" s="6" t="n">
        <f aca="false">Sens!I15922-tax_f*(Sens!I15922-Thesis!I147)-Thesis!I144</f>
        <v>-43.6446798695439</v>
      </c>
      <c r="J15928" s="6" t="n">
        <f aca="false">Sens!J15922-tax_f*(Sens!J15922-Thesis!J147)-Thesis!J144</f>
        <v>16.9198855589618</v>
      </c>
      <c r="K15928" s="6" t="n">
        <f aca="false">Sens!K15922-tax_f*(Sens!K15922-Thesis!K147)-Thesis!K144</f>
        <v>39.8251384629271</v>
      </c>
    </row>
    <row r="15929" customFormat="false" ht="17.15" hidden="false" customHeight="false" outlineLevel="0" collapsed="false">
      <c r="A15929" s="0" t="s">
        <v>1248</v>
      </c>
      <c r="B15929" s="0" t="s">
        <v>98</v>
      </c>
      <c r="G15929" s="6" t="n">
        <f aca="false">Sens!G15928/(1+wacc)^(Sens!G15899-Sens!F15900)</f>
        <v>-118.286276192192</v>
      </c>
      <c r="H15929" s="6" t="n">
        <f aca="false">Sens!H15928/(1+wacc)^(Sens!H15899-Sens!F15900)</f>
        <v>-87.6570009910427</v>
      </c>
      <c r="I15929" s="6" t="n">
        <f aca="false">Sens!I15928/(1+wacc)^(Sens!I15899-Sens!F15900)</f>
        <v>-34.1629172979204</v>
      </c>
      <c r="J15929" s="6" t="n">
        <f aca="false">Sens!J15928/(1+wacc)^(Sens!J15899-Sens!F15900)</f>
        <v>12.0079954170053</v>
      </c>
      <c r="K15929" s="6" t="n">
        <f aca="false">Sens!K15928/(1+wacc)^(Sens!K15899-Sens!F15900)</f>
        <v>25.6259421582556</v>
      </c>
      <c r="L15929" s="1" t="s">
        <v>1249</v>
      </c>
    </row>
    <row r="15930" customFormat="false" ht="17.15" hidden="false" customHeight="false" outlineLevel="0" collapsed="false">
      <c r="A15930" s="0" t="s">
        <v>1250</v>
      </c>
      <c r="B15930" s="0" t="s">
        <v>98</v>
      </c>
      <c r="C15930" s="6" t="n">
        <f aca="false">(Sens!K15922-Thesis!K147)*(1-tax_f)*(1+g_tv)*(1-g_tv/(wacc+ronic_prem))/(wacc-g_tv)/(1+wacc)^(Sens!K15900-Sens!F15900)</f>
        <v>96.7148026864948</v>
      </c>
    </row>
    <row r="15931" customFormat="false" ht="17.15" hidden="false" customHeight="false" outlineLevel="0" collapsed="false">
      <c r="A15931" s="1" t="s">
        <v>1251</v>
      </c>
      <c r="B15931" s="0" t="s">
        <v>98</v>
      </c>
      <c r="C15931" s="6" t="n">
        <f aca="false">(SUM(Sens!G15929:K15929)+Sens!$C$15930)*(1+wacc)^(t_roll-Sens!F15900)</f>
        <v>-109.248827617462</v>
      </c>
      <c r="L15931" s="12" t="s">
        <v>1252</v>
      </c>
    </row>
    <row r="15932" customFormat="false" ht="17.15" hidden="false" customHeight="false" outlineLevel="0" collapsed="false">
      <c r="A15932" s="1" t="s">
        <v>1253</v>
      </c>
      <c r="B15932" s="0" t="s">
        <v>98</v>
      </c>
      <c r="C15932" s="6" t="n">
        <f aca="false">(w_ntm28*Thesis!G135+(1-w_ntm28)*Thesis!H135)*m_ai</f>
        <v>344.355829012336</v>
      </c>
    </row>
    <row r="15933" customFormat="false" ht="17.15" hidden="false" customHeight="false" outlineLevel="0" collapsed="false">
      <c r="A15933" s="1" t="s">
        <v>1254</v>
      </c>
      <c r="B15933" s="0" t="s">
        <v>98</v>
      </c>
      <c r="C15933" s="6" t="n">
        <f aca="false">(w_ntm28*Sens!G15924+(1-w_ntm28)*Sens!H15924)*m_own</f>
        <v>1239.35728010088</v>
      </c>
    </row>
    <row r="15934" customFormat="false" ht="17.15" hidden="false" customHeight="false" outlineLevel="0" collapsed="false">
      <c r="A15934" s="1" t="s">
        <v>1255</v>
      </c>
      <c r="B15934" s="0" t="s">
        <v>98</v>
      </c>
      <c r="C15934" s="6" t="n">
        <f aca="false">(w_ntm28*Sens!G15917+(1-w_ntm28)*Sens!H15917)*m_own</f>
        <v>1516.46507146008</v>
      </c>
    </row>
    <row r="15935" customFormat="false" ht="17.15" hidden="false" customHeight="false" outlineLevel="0" collapsed="false">
      <c r="A15935" s="1" t="s">
        <v>1256</v>
      </c>
      <c r="B15935" s="0" t="s">
        <v>98</v>
      </c>
      <c r="C15935" s="6" t="n">
        <f aca="false">(w_ntm28*Sens!G15918+(1-w_ntm28)*Sens!H15918)*m_own</f>
        <v>541.45428078598</v>
      </c>
    </row>
    <row r="15936" customFormat="false" ht="17.15" hidden="false" customHeight="false" outlineLevel="0" collapsed="false">
      <c r="A15936" s="1" t="s">
        <v>1257</v>
      </c>
      <c r="B15936" s="0" t="s">
        <v>98</v>
      </c>
      <c r="C15936" s="6" t="n">
        <f aca="false">(w_ntm28*Sens!G15919+(1-w_ntm28)*Sens!H15919)*m_own</f>
        <v>158.587013147725</v>
      </c>
    </row>
    <row r="15937" customFormat="false" ht="17.15" hidden="false" customHeight="false" outlineLevel="0" collapsed="false">
      <c r="A15937" s="1" t="s">
        <v>1258</v>
      </c>
      <c r="B15937" s="0" t="s">
        <v>98</v>
      </c>
      <c r="C15937" s="6" t="n">
        <f aca="false">(w_ntm28*Sens!G15920+(1-w_ntm28)*Sens!H15920)*m_own</f>
        <v>60.2904754921563</v>
      </c>
    </row>
    <row r="15938" customFormat="false" ht="17.15" hidden="false" customHeight="false" outlineLevel="0" collapsed="false">
      <c r="A15938" s="1" t="s">
        <v>1259</v>
      </c>
      <c r="B15938" s="0" t="s">
        <v>98</v>
      </c>
      <c r="C15938" s="6" t="n">
        <f aca="false">(w_ntm28*Sens!G15921+(1-w_ntm28)*Sens!H15921)*m_own</f>
        <v>198.181465742949</v>
      </c>
    </row>
    <row r="15939" customFormat="false" ht="17.15" hidden="false" customHeight="false" outlineLevel="0" collapsed="false">
      <c r="A15939" s="1" t="s">
        <v>1260</v>
      </c>
      <c r="B15939" s="0" t="s">
        <v>98</v>
      </c>
      <c r="C15939" s="6" t="n">
        <f aca="false">(w_ntm28*Sens!G15926+(1-w_ntm28)*Sens!H15926)*m_own</f>
        <v>122.562645398569</v>
      </c>
    </row>
    <row r="15940" customFormat="false" ht="17.15" hidden="false" customHeight="false" outlineLevel="0" collapsed="false">
      <c r="A15940" s="1" t="s">
        <v>1261</v>
      </c>
      <c r="B15940" s="0" t="s">
        <v>98</v>
      </c>
      <c r="C15940" s="6" t="n">
        <f aca="false">(w_ntm28*Sens!G15927+(1-w_ntm28)*Sens!H15927)*m_own</f>
        <v>99.1786945583003</v>
      </c>
    </row>
    <row r="15941" customFormat="false" ht="17.15" hidden="false" customHeight="false" outlineLevel="0" collapsed="false">
      <c r="A15941" s="1" t="s">
        <v>1262</v>
      </c>
      <c r="B15941" s="0" t="s">
        <v>98</v>
      </c>
      <c r="C15941" s="6" t="n">
        <f aca="false">Sens!$C$15931+Sens!$C$15933+Sens!$C$15934+Sens!$C$15935+Sens!$C$15936+Sens!$C$15937+Sens!$C$15938+Sens!$C$15939+Sens!$C$15940</f>
        <v>3826.82809906918</v>
      </c>
    </row>
    <row r="15942" customFormat="false" ht="17.15" hidden="false" customHeight="false" outlineLevel="0" collapsed="false">
      <c r="A15942" s="1" t="s">
        <v>1263</v>
      </c>
      <c r="B15942" s="0" t="s">
        <v>98</v>
      </c>
      <c r="C15942" s="6" t="n">
        <f aca="false">(Sens!G15903-Sens!G15928)*t_stub</f>
        <v>47.4829168796038</v>
      </c>
      <c r="L15942" s="1" t="s">
        <v>1264</v>
      </c>
    </row>
    <row r="15943" customFormat="false" ht="17.15" hidden="false" customHeight="false" outlineLevel="0" collapsed="false">
      <c r="A15943" s="1" t="s">
        <v>1173</v>
      </c>
      <c r="B15943" s="0" t="s">
        <v>98</v>
      </c>
      <c r="C15943" s="6" t="n">
        <f aca="false">CF!F103+oai_v-CF!F92+Sens!$C$15942</f>
        <v>158.55427008544</v>
      </c>
      <c r="L15943" s="1" t="s">
        <v>1265</v>
      </c>
    </row>
    <row r="15944" customFormat="false" ht="17.15" hidden="false" customHeight="false" outlineLevel="0" collapsed="false">
      <c r="A15944" s="1" t="s">
        <v>1266</v>
      </c>
      <c r="B15944" s="0" t="s">
        <v>75</v>
      </c>
      <c r="C15944" s="5" t="n">
        <f aca="false">(Sens!$C$15941+Sens!$C$15943)/(CF!F105+dil_gap)-CF!G95*roll_div_q/q_per_yr</f>
        <v>530.628372085728</v>
      </c>
      <c r="L15944" s="1" t="s">
        <v>1267</v>
      </c>
    </row>
    <row r="15945" customFormat="false" ht="17.15" hidden="false" customHeight="false" outlineLevel="0" collapsed="false">
      <c r="A15945" s="1" t="s">
        <v>1268</v>
      </c>
      <c r="B15945" s="0" t="s">
        <v>75</v>
      </c>
      <c r="C15945" s="5" t="n">
        <f aca="false">w_dcf*Sens!$C$15915+(1-w_dcf)*Sens!$C$15944</f>
        <v>405.650517632724</v>
      </c>
    </row>
    <row r="15946" customFormat="false" ht="17.15" hidden="false" customHeight="false" outlineLevel="0" collapsed="false">
      <c r="A15946" s="3" t="s">
        <v>2004</v>
      </c>
    </row>
    <row r="15947" customFormat="false" ht="15" hidden="false" customHeight="false" outlineLevel="0" collapsed="false">
      <c r="A15947" s="4" t="s">
        <v>43</v>
      </c>
      <c r="B15947" s="4" t="s">
        <v>65</v>
      </c>
      <c r="C15947" s="23" t="s">
        <v>942</v>
      </c>
      <c r="D15947" s="23" t="s">
        <v>943</v>
      </c>
      <c r="E15947" s="23" t="s">
        <v>944</v>
      </c>
      <c r="F15947" s="23" t="s">
        <v>945</v>
      </c>
      <c r="G15947" s="23" t="s">
        <v>946</v>
      </c>
      <c r="H15947" s="23" t="s">
        <v>947</v>
      </c>
      <c r="I15947" s="23" t="s">
        <v>948</v>
      </c>
      <c r="J15947" s="23" t="s">
        <v>949</v>
      </c>
      <c r="K15947" s="23" t="s">
        <v>950</v>
      </c>
      <c r="L15947" s="4" t="s">
        <v>47</v>
      </c>
    </row>
    <row r="15948" customFormat="false" ht="17.15" hidden="false" customHeight="false" outlineLevel="0" collapsed="false">
      <c r="A15948" s="1" t="s">
        <v>951</v>
      </c>
      <c r="B15948" s="1" t="s">
        <v>279</v>
      </c>
      <c r="C15948" s="21" t="n">
        <v>2024</v>
      </c>
      <c r="D15948" s="21" t="n">
        <v>2025</v>
      </c>
      <c r="E15948" s="21" t="n">
        <v>2026</v>
      </c>
      <c r="F15948" s="21" t="n">
        <v>2027</v>
      </c>
      <c r="G15948" s="21" t="n">
        <v>2028</v>
      </c>
      <c r="H15948" s="21" t="n">
        <v>2029</v>
      </c>
      <c r="I15948" s="21" t="n">
        <v>2030</v>
      </c>
      <c r="J15948" s="21" t="n">
        <v>2031</v>
      </c>
      <c r="K15948" s="21" t="n">
        <v>2032</v>
      </c>
    </row>
    <row r="15949" customFormat="false" ht="17.15" hidden="false" customHeight="false" outlineLevel="0" collapsed="false">
      <c r="A15949" s="1" t="s">
        <v>952</v>
      </c>
      <c r="B15949" s="0" t="s">
        <v>459</v>
      </c>
      <c r="F15949" s="30" t="n">
        <f aca="false">pace_epoch</f>
        <v>650</v>
      </c>
      <c r="G15949" s="30" t="n">
        <f aca="false">pace_epoch</f>
        <v>650</v>
      </c>
      <c r="H15949" s="30" t="n">
        <f aca="false">pace_epoch</f>
        <v>650</v>
      </c>
      <c r="I15949" s="30" t="n">
        <f aca="false">pace_epoch+(g_tv*Sens!H15950-pace_epoch)*MIN(1,(Sens!I15948-pace_y0)/(pace_y1-pace_y0))</f>
        <v>477.193333333333</v>
      </c>
      <c r="J15949" s="30" t="n">
        <f aca="false">pace_epoch+(g_tv*Sens!I15950-pace_epoch)*MIN(1,(Sens!J15948-pace_y0)/(pace_y1-pace_y0))</f>
        <v>304.386666666667</v>
      </c>
      <c r="K15949" s="30" t="n">
        <f aca="false">pace_epoch+(g_tv*Sens!J15950-pace_epoch)*MIN(1,(Sens!K15948-pace_y0)/(pace_y1-pace_y0))</f>
        <v>131.58</v>
      </c>
      <c r="L15949" s="12" t="s">
        <v>953</v>
      </c>
    </row>
    <row r="15950" customFormat="false" ht="17.15" hidden="false" customHeight="false" outlineLevel="0" collapsed="false">
      <c r="A15950" s="1" t="s">
        <v>954</v>
      </c>
      <c r="B15950" s="0" t="s">
        <v>459</v>
      </c>
      <c r="C15950" s="30" t="n">
        <f aca="false">mw_ext_24</f>
        <v>640</v>
      </c>
      <c r="D15950" s="30" t="n">
        <f aca="false">mw_ext_25</f>
        <v>1630</v>
      </c>
      <c r="E15950" s="30" t="n">
        <f aca="false">mw_ext_26</f>
        <v>3250</v>
      </c>
      <c r="F15950" s="30" t="n">
        <f aca="false">MIN(cap_epoch,Sens!E15950+Sens!F15949)</f>
        <v>3900</v>
      </c>
      <c r="G15950" s="30" t="n">
        <f aca="false">MIN(cap_epoch,Sens!F15950+Sens!G15949)</f>
        <v>4386</v>
      </c>
      <c r="H15950" s="30" t="n">
        <f aca="false">MIN(cap_epoch,Sens!G15950+Sens!H15949)</f>
        <v>4386</v>
      </c>
      <c r="I15950" s="30" t="n">
        <f aca="false">MIN(cap_epoch,Sens!H15950+Sens!I15949)</f>
        <v>4386</v>
      </c>
      <c r="J15950" s="30" t="n">
        <f aca="false">MIN(cap_epoch,Sens!I15950+Sens!J15949)</f>
        <v>4386</v>
      </c>
      <c r="K15950" s="30" t="n">
        <f aca="false">MIN(cap_epoch,Sens!J15950+Sens!K15949)</f>
        <v>4386</v>
      </c>
      <c r="L15950" s="1" t="s">
        <v>955</v>
      </c>
    </row>
    <row r="15951" customFormat="false" ht="17.15" hidden="false" customHeight="false" outlineLevel="0" collapsed="false">
      <c r="A15951" s="1" t="s">
        <v>956</v>
      </c>
      <c r="B15951" s="0" t="s">
        <v>459</v>
      </c>
      <c r="C15951" s="30" t="n">
        <f aca="false">rent_ext_24</f>
        <v>150</v>
      </c>
      <c r="D15951" s="30" t="n">
        <f aca="false">rent_ext_25</f>
        <v>400</v>
      </c>
      <c r="E15951" s="30" t="n">
        <f aca="false">rent_ext_26</f>
        <v>550</v>
      </c>
      <c r="F15951" s="30" t="n">
        <f aca="false">rent_ext_f</f>
        <v>756</v>
      </c>
      <c r="G15951" s="30" t="n">
        <f aca="false">rent_ext_f</f>
        <v>756</v>
      </c>
      <c r="H15951" s="30" t="n">
        <f aca="false">rent_ext_f</f>
        <v>756</v>
      </c>
      <c r="I15951" s="30" t="n">
        <f aca="false">rent_ext_f</f>
        <v>756</v>
      </c>
      <c r="J15951" s="30" t="n">
        <f aca="false">rent_ext_f</f>
        <v>756</v>
      </c>
      <c r="K15951" s="30" t="n">
        <f aca="false">rent_ext_f</f>
        <v>756</v>
      </c>
      <c r="L15951" s="1" t="s">
        <v>957</v>
      </c>
    </row>
    <row r="15952" customFormat="false" ht="17.15" hidden="false" customHeight="false" outlineLevel="0" collapsed="false">
      <c r="A15952" s="1" t="s">
        <v>958</v>
      </c>
      <c r="B15952" s="0" t="s">
        <v>459</v>
      </c>
      <c r="C15952" s="30" t="n">
        <f aca="false">Sens!C15950-Sens!C15951</f>
        <v>490</v>
      </c>
      <c r="D15952" s="30" t="n">
        <f aca="false">Sens!D15950-Sens!D15951</f>
        <v>1230</v>
      </c>
      <c r="E15952" s="30" t="n">
        <f aca="false">Sens!E15950-Sens!E15951</f>
        <v>2700</v>
      </c>
      <c r="F15952" s="30" t="n">
        <f aca="false">Sens!F15950-Sens!F15951</f>
        <v>3144</v>
      </c>
      <c r="G15952" s="30" t="n">
        <f aca="false">Sens!G15950-Sens!G15951</f>
        <v>3630</v>
      </c>
      <c r="H15952" s="30" t="n">
        <f aca="false">Sens!H15950-Sens!H15951</f>
        <v>3630</v>
      </c>
      <c r="I15952" s="30" t="n">
        <f aca="false">Sens!I15950-Sens!I15951</f>
        <v>3630</v>
      </c>
      <c r="J15952" s="30" t="n">
        <f aca="false">Sens!J15950-Sens!J15951</f>
        <v>3630</v>
      </c>
      <c r="K15952" s="30" t="n">
        <f aca="false">Sens!K15950-Sens!K15951</f>
        <v>3630</v>
      </c>
    </row>
    <row r="15953" customFormat="false" ht="17.15" hidden="false" customHeight="false" outlineLevel="0" collapsed="false">
      <c r="A15953" s="1" t="s">
        <v>959</v>
      </c>
      <c r="B15953" s="0" t="s">
        <v>459</v>
      </c>
      <c r="C15953" s="30" t="n">
        <f aca="false">Sens!C15952/ext_sh</f>
        <v>816.666666666667</v>
      </c>
      <c r="D15953" s="30" t="n">
        <f aca="false">Sens!D15952/ext_sh</f>
        <v>2050</v>
      </c>
      <c r="E15953" s="30" t="n">
        <f aca="false">Sens!E15952/ext_sh</f>
        <v>4500</v>
      </c>
      <c r="F15953" s="30" t="n">
        <f aca="false">Sens!F15952/ext_sh</f>
        <v>5240</v>
      </c>
      <c r="G15953" s="30" t="n">
        <f aca="false">Sens!G15952/ext_sh</f>
        <v>6050</v>
      </c>
      <c r="H15953" s="30" t="n">
        <f aca="false">Sens!H15952/ext_sh</f>
        <v>6050</v>
      </c>
      <c r="I15953" s="30" t="n">
        <f aca="false">Sens!I15952/ext_sh</f>
        <v>6050</v>
      </c>
      <c r="J15953" s="30" t="n">
        <f aca="false">Sens!J15952/ext_sh</f>
        <v>6050</v>
      </c>
      <c r="K15953" s="30" t="n">
        <f aca="false">Sens!K15952/ext_sh</f>
        <v>6050</v>
      </c>
      <c r="L15953" s="1" t="s">
        <v>960</v>
      </c>
    </row>
    <row r="15954" customFormat="false" ht="17.15" hidden="false" customHeight="false" outlineLevel="0" collapsed="false">
      <c r="A15954" s="1" t="s">
        <v>961</v>
      </c>
      <c r="B15954" s="0" t="s">
        <v>459</v>
      </c>
      <c r="C15954" s="30" t="n">
        <f aca="false">Sens!C15953-Sens!C15952</f>
        <v>326.666666666667</v>
      </c>
      <c r="D15954" s="30" t="n">
        <f aca="false">Sens!D15953-Sens!D15952</f>
        <v>820</v>
      </c>
      <c r="E15954" s="30" t="n">
        <f aca="false">Sens!E15953-Sens!E15952</f>
        <v>1800</v>
      </c>
      <c r="F15954" s="30" t="n">
        <f aca="false">Sens!F15953-Sens!F15952</f>
        <v>2096</v>
      </c>
      <c r="G15954" s="30" t="n">
        <f aca="false">Sens!G15953-Sens!G15952</f>
        <v>2420</v>
      </c>
      <c r="H15954" s="30" t="n">
        <f aca="false">Sens!H15953-Sens!H15952</f>
        <v>2420</v>
      </c>
      <c r="I15954" s="30" t="n">
        <f aca="false">Sens!I15953-Sens!I15952</f>
        <v>2420</v>
      </c>
      <c r="J15954" s="30" t="n">
        <f aca="false">Sens!J15953-Sens!J15952</f>
        <v>2420</v>
      </c>
      <c r="K15954" s="30" t="n">
        <f aca="false">Sens!K15953-Sens!K15952</f>
        <v>2420</v>
      </c>
    </row>
    <row r="15955" customFormat="false" ht="17.15" hidden="false" customHeight="false" outlineLevel="0" collapsed="false">
      <c r="A15955" s="1" t="s">
        <v>962</v>
      </c>
      <c r="B15955" s="0" t="s">
        <v>459</v>
      </c>
      <c r="C15955" s="30" t="n">
        <f aca="false">Sens!C15953</f>
        <v>816.666666666667</v>
      </c>
      <c r="D15955" s="30" t="n">
        <f aca="false">Sens!D15953-Sens!C15953</f>
        <v>1233.33333333333</v>
      </c>
      <c r="E15955" s="30" t="n">
        <f aca="false">Sens!E15953-Sens!D15953</f>
        <v>2450</v>
      </c>
      <c r="F15955" s="30" t="n">
        <f aca="false">Sens!F15953-Sens!E15953</f>
        <v>740</v>
      </c>
      <c r="G15955" s="30" t="n">
        <f aca="false">Sens!G15953-Sens!F15953</f>
        <v>810</v>
      </c>
      <c r="H15955" s="30" t="n">
        <f aca="false">Sens!H15953-Sens!G15953</f>
        <v>0</v>
      </c>
      <c r="I15955" s="30" t="n">
        <f aca="false">Sens!I15953-Sens!H15953</f>
        <v>0</v>
      </c>
      <c r="J15955" s="30" t="n">
        <f aca="false">Sens!J15953-Sens!I15953</f>
        <v>0</v>
      </c>
      <c r="K15955" s="30" t="n">
        <f aca="false">Sens!K15953-Sens!J15953</f>
        <v>0</v>
      </c>
    </row>
    <row r="15956" customFormat="false" ht="17.15" hidden="false" customHeight="false" outlineLevel="0" collapsed="false">
      <c r="A15956" s="1" t="s">
        <v>963</v>
      </c>
      <c r="B15956" s="0" t="s">
        <v>459</v>
      </c>
      <c r="D15956" s="30" t="n">
        <f aca="false">Sens!D15950-Sens!C15950</f>
        <v>990</v>
      </c>
      <c r="E15956" s="30" t="n">
        <f aca="false">Sens!E15950-Sens!D15950</f>
        <v>1620</v>
      </c>
      <c r="F15956" s="30" t="n">
        <f aca="false">Sens!F15950-Sens!E15950</f>
        <v>650</v>
      </c>
      <c r="G15956" s="30" t="n">
        <f aca="false">Sens!G15950-Sens!F15950</f>
        <v>486</v>
      </c>
      <c r="H15956" s="30" t="n">
        <f aca="false">Sens!H15950-Sens!G15950</f>
        <v>0</v>
      </c>
      <c r="I15956" s="30" t="n">
        <f aca="false">Sens!I15950-Sens!H15950</f>
        <v>0</v>
      </c>
      <c r="J15956" s="30" t="n">
        <f aca="false">Sens!J15950-Sens!I15950</f>
        <v>0</v>
      </c>
      <c r="K15956" s="30" t="n">
        <f aca="false">Sens!K15950-Sens!J15950</f>
        <v>0</v>
      </c>
    </row>
    <row r="15957" customFormat="false" ht="17.15" hidden="false" customHeight="false" outlineLevel="0" collapsed="false">
      <c r="A15957" s="1" t="s">
        <v>964</v>
      </c>
      <c r="B15957" s="0" t="s">
        <v>459</v>
      </c>
      <c r="F15957" s="30" t="n">
        <f aca="false">Sens!F15976*ext_sh</f>
        <v>0</v>
      </c>
      <c r="G15957" s="30" t="n">
        <f aca="false">Sens!G15976*ext_sh</f>
        <v>0</v>
      </c>
      <c r="H15957" s="30" t="n">
        <f aca="false">Sens!H15976*ext_sh</f>
        <v>0</v>
      </c>
      <c r="I15957" s="30" t="n">
        <f aca="false">Sens!I15976*ext_sh</f>
        <v>490</v>
      </c>
      <c r="J15957" s="30" t="n">
        <f aca="false">Sens!J15976*ext_sh</f>
        <v>740</v>
      </c>
      <c r="K15957" s="30" t="n">
        <f aca="false">Sens!K15976*ext_sh</f>
        <v>1470</v>
      </c>
      <c r="L15957" s="1" t="s">
        <v>965</v>
      </c>
    </row>
    <row r="15958" customFormat="false" ht="17.15" hidden="false" customHeight="false" outlineLevel="0" collapsed="false">
      <c r="A15958" s="1" t="s">
        <v>966</v>
      </c>
      <c r="B15958" s="0" t="s">
        <v>459</v>
      </c>
      <c r="C15958" s="30" t="n">
        <f aca="false">mix_h*Sens!C15950</f>
        <v>128</v>
      </c>
      <c r="D15958" s="30" t="n">
        <f aca="false">mix_h*Sens!D15950</f>
        <v>326</v>
      </c>
      <c r="E15958" s="30" t="n">
        <f aca="false">mix_h*Sens!E15950</f>
        <v>650</v>
      </c>
      <c r="F15958" s="30" t="n">
        <f aca="false">Sens!E15958-Sens!F15957*mix_h</f>
        <v>650</v>
      </c>
      <c r="G15958" s="30" t="n">
        <f aca="false">Sens!F15958-Sens!G15957*mix_h</f>
        <v>650</v>
      </c>
      <c r="H15958" s="30" t="n">
        <f aca="false">Sens!G15958-Sens!H15957*mix_h</f>
        <v>650</v>
      </c>
      <c r="I15958" s="30" t="n">
        <f aca="false">Sens!H15958-Sens!I15957*mix_h</f>
        <v>552</v>
      </c>
      <c r="J15958" s="30" t="n">
        <f aca="false">Sens!I15958-Sens!J15957*mix_h</f>
        <v>404</v>
      </c>
      <c r="K15958" s="30" t="n">
        <f aca="false">Sens!J15958-Sens!K15957*mix_h</f>
        <v>110</v>
      </c>
    </row>
    <row r="15959" customFormat="false" ht="17.15" hidden="false" customHeight="false" outlineLevel="0" collapsed="false">
      <c r="A15959" s="1" t="s">
        <v>967</v>
      </c>
      <c r="B15959" s="0" t="s">
        <v>459</v>
      </c>
      <c r="C15959" s="30" t="n">
        <f aca="false">mix_g2*Sens!C15950</f>
        <v>288</v>
      </c>
      <c r="D15959" s="30" t="n">
        <f aca="false">mix_g2*Sens!D15950</f>
        <v>733.5</v>
      </c>
      <c r="E15959" s="30" t="n">
        <f aca="false">mix_g2*Sens!E15950</f>
        <v>1462.5</v>
      </c>
      <c r="F15959" s="30" t="n">
        <f aca="false">Sens!E15959-Sens!F15957*mix_g2</f>
        <v>1462.5</v>
      </c>
      <c r="G15959" s="30" t="n">
        <f aca="false">Sens!F15959-Sens!G15957*mix_g2</f>
        <v>1462.5</v>
      </c>
      <c r="H15959" s="30" t="n">
        <f aca="false">Sens!G15959-Sens!H15957*mix_g2</f>
        <v>1462.5</v>
      </c>
      <c r="I15959" s="30" t="n">
        <f aca="false">Sens!H15959-Sens!I15957*mix_g2</f>
        <v>1242</v>
      </c>
      <c r="J15959" s="30" t="n">
        <f aca="false">Sens!I15959-Sens!J15957*mix_g2</f>
        <v>909</v>
      </c>
      <c r="K15959" s="30" t="n">
        <f aca="false">Sens!J15959-Sens!K15957*mix_g2</f>
        <v>247.5</v>
      </c>
    </row>
    <row r="15960" customFormat="false" ht="17.15" hidden="false" customHeight="false" outlineLevel="0" collapsed="false">
      <c r="A15960" s="1" t="s">
        <v>968</v>
      </c>
      <c r="B15960" s="0" t="s">
        <v>459</v>
      </c>
      <c r="C15960" s="30" t="n">
        <f aca="false">mix_g3*Sens!C15950</f>
        <v>224</v>
      </c>
      <c r="D15960" s="30" t="n">
        <f aca="false">mix_g3*Sens!D15950</f>
        <v>570.5</v>
      </c>
      <c r="E15960" s="30" t="n">
        <f aca="false">mix_g3*Sens!E15950</f>
        <v>1137.5</v>
      </c>
      <c r="F15960" s="30" t="n">
        <f aca="false">Sens!E15960+(Sens!F15956+Sens!F15957)*(a_g3_27-nonnv*a_mai)-Sens!F15957*mix_g3</f>
        <v>1527.5</v>
      </c>
      <c r="G15960" s="30" t="n">
        <f aca="false">Sens!F15960+(Sens!G15956+Sens!G15957)*(a_g3_28-nonnv*a_mai)-Sens!G15957*mix_g3</f>
        <v>1624.7</v>
      </c>
      <c r="H15960" s="30" t="n">
        <f aca="false">Sens!G15960+(Sens!H15956+Sens!H15957)*(a_g3_29-nonnv*a_mai)-Sens!H15957*mix_g3</f>
        <v>1624.7</v>
      </c>
      <c r="I15960" s="30" t="n">
        <f aca="false">Sens!H15960+(Sens!I15956+Sens!I15957)*(a_g3_29-nonnv*a_mai)-Sens!I15957*mix_g3</f>
        <v>1453.2</v>
      </c>
      <c r="J15960" s="30" t="n">
        <f aca="false">Sens!I15960+(Sens!J15956+Sens!J15957)*(a_g3_29-nonnv*a_mai)-Sens!J15957*mix_g3</f>
        <v>1194.2</v>
      </c>
      <c r="K15960" s="30" t="n">
        <f aca="false">Sens!J15960+(Sens!K15956+Sens!K15957)*(a_g3_29-nonnv*a_mai)-Sens!K15957*mix_g3</f>
        <v>679.7</v>
      </c>
    </row>
    <row r="15961" customFormat="false" ht="17.15" hidden="false" customHeight="false" outlineLevel="0" collapsed="false">
      <c r="A15961" s="1" t="s">
        <v>969</v>
      </c>
      <c r="B15961" s="0" t="s">
        <v>459</v>
      </c>
      <c r="C15961" s="30" t="n">
        <v>0</v>
      </c>
      <c r="D15961" s="30" t="n">
        <v>0</v>
      </c>
      <c r="E15961" s="30" t="n">
        <v>0</v>
      </c>
      <c r="F15961" s="30" t="n">
        <f aca="false">Sens!E15961+(Sens!F15956+Sens!F15957)*nonnv*a_mai</f>
        <v>65</v>
      </c>
      <c r="G15961" s="30" t="n">
        <f aca="false">Sens!F15961+(Sens!G15956+Sens!G15957)*nonnv*a_mai</f>
        <v>113.6</v>
      </c>
      <c r="H15961" s="30" t="n">
        <f aca="false">Sens!G15961+(Sens!H15956+Sens!H15957)*nonnv*a_mai</f>
        <v>113.6</v>
      </c>
      <c r="I15961" s="30" t="n">
        <f aca="false">Sens!H15961+(Sens!I15956+Sens!I15957)*nonnv*a_mai</f>
        <v>162.6</v>
      </c>
      <c r="J15961" s="30" t="n">
        <f aca="false">Sens!I15961+(Sens!J15956+Sens!J15957)*nonnv*a_mai</f>
        <v>236.6</v>
      </c>
      <c r="K15961" s="30" t="n">
        <f aca="false">Sens!J15961+(Sens!K15956+Sens!K15957)*nonnv*a_mai</f>
        <v>383.6</v>
      </c>
      <c r="L15961" s="12" t="s">
        <v>970</v>
      </c>
    </row>
    <row r="15962" customFormat="false" ht="17.15" hidden="false" customHeight="false" outlineLevel="0" collapsed="false">
      <c r="A15962" s="1" t="s">
        <v>971</v>
      </c>
      <c r="B15962" s="0" t="s">
        <v>459</v>
      </c>
      <c r="C15962" s="30" t="n">
        <v>0</v>
      </c>
      <c r="D15962" s="30" t="n">
        <v>0</v>
      </c>
      <c r="E15962" s="30" t="n">
        <v>0</v>
      </c>
      <c r="F15962" s="30" t="n">
        <f aca="false">Sens!E15962+(Sens!F15956+Sens!F15957)*(1-a_g3_27)</f>
        <v>195</v>
      </c>
      <c r="G15962" s="30" t="n">
        <f aca="false">Sens!F15962+(Sens!G15956+Sens!G15957)*(1-a_g3_28)</f>
        <v>535.2</v>
      </c>
      <c r="H15962" s="30" t="n">
        <f aca="false">Sens!G15962+(Sens!H15956+Sens!H15957)*(1-a_g3_29)</f>
        <v>535.2</v>
      </c>
      <c r="I15962" s="30" t="n">
        <f aca="false">Sens!H15962+(Sens!I15956+Sens!I15957)*(1-a_g3_29)</f>
        <v>976.2</v>
      </c>
      <c r="J15962" s="30" t="n">
        <f aca="false">Sens!I15962+(Sens!J15956+Sens!J15957)*(1-a_g3_29)</f>
        <v>1642.2</v>
      </c>
      <c r="K15962" s="30" t="n">
        <f aca="false">Sens!J15962+(Sens!K15956+Sens!K15957)*(1-a_g3_29)</f>
        <v>2965.2</v>
      </c>
    </row>
    <row r="15963" customFormat="false" ht="17.15" hidden="false" customHeight="false" outlineLevel="0" collapsed="false">
      <c r="A15963" s="1" t="s">
        <v>972</v>
      </c>
      <c r="B15963" s="0" t="s">
        <v>403</v>
      </c>
      <c r="C15963" s="15" t="n">
        <f aca="false">(Sens!C15958*tk_hold_h100+Sens!C15959*tk_hold_gb200+Sens!C15960*tk_hold_gb300+Sens!C15962*tk_hold_vr200+Sens!C15961*nv_hold_mai*tk_hold_vr200)/Sens!C15950</f>
        <v>9.7235358126469</v>
      </c>
      <c r="D15963" s="15" t="n">
        <f aca="false">(Sens!D15958*tk_hold_h100+Sens!D15959*tk_hold_gb200+Sens!D15960*tk_hold_gb300+Sens!D15962*tk_hold_vr200+Sens!D15961*nv_hold_mai*tk_hold_vr200)/Sens!D15950</f>
        <v>9.7235358126469</v>
      </c>
      <c r="E15963" s="15" t="n">
        <f aca="false">(Sens!E15958*tk_hold_h100+Sens!E15959*tk_hold_gb200+Sens!E15960*tk_hold_gb300+Sens!E15962*tk_hold_vr200+Sens!E15961*nv_hold_mai*tk_hold_vr200)/Sens!E15950</f>
        <v>9.7235358126469</v>
      </c>
      <c r="F15963" s="15" t="n">
        <f aca="false">(Sens!F15958*tk_hold_h100+Sens!F15959*tk_hold_gb200+Sens!F15960*tk_hold_gb300+Sens!F15962*tk_hold_vr200+Sens!F15961*nv_hold_mai*tk_hold_vr200)/Sens!F15950</f>
        <v>9.9047400860175</v>
      </c>
      <c r="G15963" s="15" t="n">
        <f aca="false">(Sens!G15958*tk_hold_h100+Sens!G15959*tk_hold_gb200+Sens!G15960*tk_hold_gb300+Sens!G15962*tk_hold_vr200+Sens!G15961*nv_hold_mai*tk_hold_vr200)/Sens!G15950</f>
        <v>10.0644846479809</v>
      </c>
      <c r="H15963" s="15" t="n">
        <f aca="false">(Sens!H15958*tk_hold_h100+Sens!H15959*tk_hold_gb200+Sens!H15960*tk_hold_gb300+Sens!H15962*tk_hold_vr200+Sens!H15961*nv_hold_mai*tk_hold_vr200)/Sens!H15950</f>
        <v>10.0644846479809</v>
      </c>
      <c r="I15963" s="15" t="n">
        <f aca="false">(Sens!I15958*tk_hold_h100+Sens!I15959*tk_hold_gb200+Sens!I15960*tk_hold_gb300+Sens!I15962*tk_hold_vr200+Sens!I15961*nv_hold_mai*tk_hold_vr200)/Sens!I15950</f>
        <v>10.2757076768083</v>
      </c>
      <c r="J15963" s="15" t="n">
        <f aca="false">(Sens!J15958*tk_hold_h100+Sens!J15959*tk_hold_gb200+Sens!J15960*tk_hold_gb300+Sens!J15962*tk_hold_vr200+Sens!J15961*nv_hold_mai*tk_hold_vr200)/Sens!J15950</f>
        <v>10.5946975570782</v>
      </c>
      <c r="K15963" s="15" t="n">
        <f aca="false">(Sens!K15958*tk_hold_h100+Sens!K15959*tk_hold_gb200+Sens!K15960*tk_hold_gb300+Sens!K15962*tk_hold_vr200+Sens!K15961*nv_hold_mai*tk_hold_vr200)/Sens!K15950</f>
        <v>11.2283666435604</v>
      </c>
      <c r="L15963" s="1" t="s">
        <v>973</v>
      </c>
    </row>
    <row r="15964" customFormat="false" ht="17.15" hidden="false" customHeight="false" outlineLevel="0" collapsed="false">
      <c r="A15964" s="1" t="s">
        <v>974</v>
      </c>
      <c r="B15964" s="0" t="s">
        <v>403</v>
      </c>
      <c r="C15964" s="15" t="n">
        <f aca="false">(Sens!C15958*tk_hold_h100+Sens!C15959*tk_hold_gb200+Sens!C15960*tk_hold_gb300+Sens!C15962*tk_hold_vr200+Sens!C15961*nv_out_mai*tk_hold_vr200)/Sens!C15950</f>
        <v>9.7235358126469</v>
      </c>
      <c r="D15964" s="15" t="n">
        <f aca="false">(Sens!D15958*tk_hold_h100+Sens!D15959*tk_hold_gb200+Sens!D15960*tk_hold_gb300+Sens!D15962*tk_hold_vr200+Sens!D15961*nv_out_mai*tk_hold_vr200)/Sens!D15950</f>
        <v>9.7235358126469</v>
      </c>
      <c r="E15964" s="15" t="n">
        <f aca="false">(Sens!E15958*tk_hold_h100+Sens!E15959*tk_hold_gb200+Sens!E15960*tk_hold_gb300+Sens!E15962*tk_hold_vr200+Sens!E15961*nv_out_mai*tk_hold_vr200)/Sens!E15950</f>
        <v>9.7235358126469</v>
      </c>
      <c r="F15964" s="15" t="n">
        <f aca="false">(Sens!F15958*tk_hold_h100+Sens!F15959*tk_hold_gb200+Sens!F15960*tk_hold_gb300+Sens!F15962*tk_hold_vr200+Sens!F15961*nv_out_mai*tk_hold_vr200)/Sens!F15950</f>
        <v>9.91492797852132</v>
      </c>
      <c r="G15964" s="15" t="n">
        <f aca="false">(Sens!G15958*tk_hold_h100+Sens!G15959*tk_hold_gb200+Sens!G15960*tk_hold_gb300+Sens!G15962*tk_hold_vr200+Sens!G15961*nv_out_mai*tk_hold_vr200)/Sens!G15950</f>
        <v>10.0803169952919</v>
      </c>
      <c r="H15964" s="15" t="n">
        <f aca="false">(Sens!H15958*tk_hold_h100+Sens!H15959*tk_hold_gb200+Sens!H15960*tk_hold_gb300+Sens!H15962*tk_hold_vr200+Sens!H15961*nv_out_mai*tk_hold_vr200)/Sens!H15950</f>
        <v>10.0803169952919</v>
      </c>
      <c r="I15964" s="15" t="n">
        <f aca="false">(Sens!I15958*tk_hold_h100+Sens!I15959*tk_hold_gb200+Sens!I15960*tk_hold_gb300+Sens!I15962*tk_hold_vr200+Sens!I15961*nv_out_mai*tk_hold_vr200)/Sens!I15950</f>
        <v>10.2983691175897</v>
      </c>
      <c r="J15964" s="15" t="n">
        <f aca="false">(Sens!J15958*tk_hold_h100+Sens!J15959*tk_hold_gb200+Sens!J15960*tk_hold_gb300+Sens!J15962*tk_hold_vr200+Sens!J15961*nv_out_mai*tk_hold_vr200)/Sens!J15950</f>
        <v>10.6276723226925</v>
      </c>
      <c r="K15964" s="15" t="n">
        <f aca="false">(Sens!K15958*tk_hold_h100+Sens!K15959*tk_hold_gb200+Sens!K15960*tk_hold_gb300+Sens!K15962*tk_hold_vr200+Sens!K15961*nv_out_mai*tk_hold_vr200)/Sens!K15950</f>
        <v>11.2818286895859</v>
      </c>
      <c r="L15964" s="12" t="s">
        <v>975</v>
      </c>
    </row>
    <row r="15965" customFormat="false" ht="17.15" hidden="false" customHeight="false" outlineLevel="0" collapsed="false">
      <c r="A15965" s="0" t="s">
        <v>976</v>
      </c>
      <c r="B15965" s="0" t="s">
        <v>229</v>
      </c>
      <c r="C15965" s="15" t="n">
        <f aca="false">k_B</f>
        <v>1.17213932619116</v>
      </c>
      <c r="D15965" s="15" t="n">
        <f aca="false">k_B</f>
        <v>1.17213932619116</v>
      </c>
      <c r="E15965" s="15" t="n">
        <f aca="false">k_B</f>
        <v>1.17213932619116</v>
      </c>
      <c r="F15965" s="15" t="n">
        <f aca="false">(k_B+((ls_A*k_long+(1-ls_A)*k_spot)-k_B)*MIN(1,(Sens!F15948-base_fy)/k_ramp))</f>
        <v>1.25022828131298</v>
      </c>
      <c r="G15965" s="15" t="n">
        <f aca="false">(k_B+((ls_A*k_long+(1-ls_A)*k_spot)-k_B)*MIN(1,(Sens!G15948-base_fy)/k_ramp))</f>
        <v>1.3283172364348</v>
      </c>
      <c r="H15965" s="15" t="n">
        <f aca="false">(k_B+((ls_A*k_long+(1-ls_A)*k_spot)-k_B)*MIN(1,(Sens!H15948-base_fy)/k_ramp))</f>
        <v>1.40640619155662</v>
      </c>
      <c r="I15965" s="15" t="n">
        <f aca="false">(k_B+((ls_A*k_long+(1-ls_A)*k_spot)-k_B)*MIN(1,(Sens!I15948-base_fy)/k_ramp))</f>
        <v>1.40640619155662</v>
      </c>
      <c r="J15965" s="15" t="n">
        <f aca="false">(k_B+((ls_A*k_long+(1-ls_A)*k_spot)-k_B)*MIN(1,(Sens!J15948-base_fy)/k_ramp))</f>
        <v>1.40640619155662</v>
      </c>
      <c r="K15965" s="15" t="n">
        <f aca="false">(k_B+((ls_A*k_long+(1-ls_A)*k_spot)-k_B)*MIN(1,(Sens!K15948-base_fy)/k_ramp))</f>
        <v>1.40640619155662</v>
      </c>
      <c r="L15965" s="1" t="s">
        <v>977</v>
      </c>
    </row>
    <row r="15966" customFormat="false" ht="17.15" hidden="false" customHeight="false" outlineLevel="0" collapsed="false">
      <c r="A15966" s="1" t="s">
        <v>978</v>
      </c>
      <c r="B15966" s="0" t="s">
        <v>403</v>
      </c>
      <c r="C15966" s="15" t="n">
        <f aca="false">Sens!C15964*Sens!C15965*chip_f</f>
        <v>11.3973387156315</v>
      </c>
      <c r="D15966" s="15" t="n">
        <f aca="false">Sens!D15964*Sens!D15965*chip_f</f>
        <v>11.3973387156315</v>
      </c>
      <c r="E15966" s="15" t="n">
        <f aca="false">Sens!E15964*Sens!E15965*chip_f</f>
        <v>11.3973387156315</v>
      </c>
      <c r="F15966" s="15" t="n">
        <f aca="false">Sens!F15964*Sens!F15965*chip_f</f>
        <v>12.3959233659286</v>
      </c>
      <c r="G15966" s="15" t="n">
        <f aca="false">Sens!G15964*Sens!G15965*chip_f</f>
        <v>13.3898588135729</v>
      </c>
      <c r="H15966" s="15" t="n">
        <f aca="false">Sens!H15964*Sens!H15965*chip_f</f>
        <v>14.1770202350319</v>
      </c>
      <c r="I15966" s="15" t="n">
        <f aca="false">Sens!I15964*Sens!I15965*chip_f</f>
        <v>14.4836900899136</v>
      </c>
      <c r="J15966" s="15" t="n">
        <f aca="false">Sens!J15964*Sens!J15965*chip_f</f>
        <v>14.9468241564696</v>
      </c>
      <c r="K15966" s="15" t="n">
        <f aca="false">Sens!K15964*Sens!K15965*chip_f</f>
        <v>15.8668337211147</v>
      </c>
      <c r="L15966" s="1" t="s">
        <v>979</v>
      </c>
    </row>
    <row r="15967" customFormat="false" ht="17.15" hidden="false" customHeight="false" outlineLevel="0" collapsed="false">
      <c r="A15967" s="0" t="s">
        <v>980</v>
      </c>
      <c r="B15967" s="0" t="s">
        <v>98</v>
      </c>
      <c r="D15967" s="6" t="n">
        <f aca="false">(Sens!C15950+Sens!D15950)/2*Sens!D15966/1000</f>
        <v>12.9359794422418</v>
      </c>
      <c r="E15967" s="6" t="n">
        <f aca="false">(Sens!D15950+Sens!E15950)/2*Sens!E15966/1000</f>
        <v>27.8095064661409</v>
      </c>
      <c r="F15967" s="6" t="n">
        <f aca="false">(Sens!E15950+Sens!F15950)/2*Sens!F15966/1000</f>
        <v>44.3154260331949</v>
      </c>
      <c r="G15967" s="6" t="n">
        <f aca="false">(Sens!F15950+Sens!G15950)/2*Sens!G15966/1000</f>
        <v>55.4741850646324</v>
      </c>
      <c r="H15967" s="6" t="n">
        <f aca="false">(Sens!G15950+Sens!H15950)/2*Sens!H15966/1000</f>
        <v>62.1804107508501</v>
      </c>
      <c r="I15967" s="6" t="n">
        <f aca="false">(Sens!H15950+Sens!I15950)/2*Sens!I15966/1000</f>
        <v>63.5254647343612</v>
      </c>
      <c r="J15967" s="6" t="n">
        <f aca="false">(Sens!I15950+Sens!J15950)/2*Sens!J15966/1000</f>
        <v>65.5567707502758</v>
      </c>
      <c r="K15967" s="6" t="n">
        <f aca="false">(Sens!J15950+Sens!K15950)/2*Sens!K15966/1000</f>
        <v>69.5919327008091</v>
      </c>
      <c r="L15967" s="12" t="s">
        <v>981</v>
      </c>
    </row>
    <row r="15968" customFormat="false" ht="17.15" hidden="false" customHeight="false" outlineLevel="0" collapsed="false">
      <c r="A15968" s="1" t="s">
        <v>982</v>
      </c>
      <c r="B15968" s="0" t="s">
        <v>403</v>
      </c>
      <c r="C15968" s="15" t="n">
        <f aca="false">(Sens!C15958*tk_opex_h100+Sens!C15959*tk_opex_gb200+Sens!C15960*tk_opex_gb300+(Sens!C15962+Sens!C15961)*tk_opex_vr200)/Sens!C15950</f>
        <v>1.88636041306092</v>
      </c>
      <c r="D15968" s="15" t="n">
        <f aca="false">(Sens!D15958*tk_opex_h100+Sens!D15959*tk_opex_gb200+Sens!D15960*tk_opex_gb300+(Sens!D15962+Sens!D15961)*tk_opex_vr200)/Sens!D15950</f>
        <v>1.88636041306092</v>
      </c>
      <c r="E15968" s="15" t="n">
        <f aca="false">(Sens!E15958*tk_opex_h100+Sens!E15959*tk_opex_gb200+Sens!E15960*tk_opex_gb300+(Sens!E15962+Sens!E15961)*tk_opex_vr200)/Sens!E15950</f>
        <v>1.88636041306092</v>
      </c>
      <c r="F15968" s="15" t="n">
        <f aca="false">(Sens!F15958*tk_opex_h100+Sens!F15959*tk_opex_gb200+Sens!F15960*tk_opex_gb300+(Sens!F15962+Sens!F15961)*tk_opex_vr200)/Sens!F15950</f>
        <v>1.90979686208616</v>
      </c>
      <c r="G15968" s="15" t="n">
        <f aca="false">(Sens!G15958*tk_opex_h100+Sens!G15959*tk_opex_gb200+Sens!G15960*tk_opex_gb300+(Sens!G15962+Sens!G15961)*tk_opex_vr200)/Sens!G15950</f>
        <v>1.92769515165485</v>
      </c>
      <c r="H15968" s="15" t="n">
        <f aca="false">(Sens!H15958*tk_opex_h100+Sens!H15959*tk_opex_gb200+Sens!H15960*tk_opex_gb300+(Sens!H15962+Sens!H15961)*tk_opex_vr200)/Sens!H15950</f>
        <v>1.92769515165485</v>
      </c>
      <c r="I15968" s="15" t="n">
        <f aca="false">(Sens!I15958*tk_opex_h100+Sens!I15959*tk_opex_gb200+Sens!I15960*tk_opex_gb300+(Sens!I15962+Sens!I15961)*tk_opex_vr200)/Sens!I15950</f>
        <v>1.95083610383771</v>
      </c>
      <c r="J15968" s="15" t="n">
        <f aca="false">(Sens!J15958*tk_opex_h100+Sens!J15959*tk_opex_gb200+Sens!J15960*tk_opex_gb300+(Sens!J15962+Sens!J15961)*tk_opex_vr200)/Sens!J15950</f>
        <v>1.98578366427713</v>
      </c>
      <c r="K15968" s="15" t="n">
        <f aca="false">(Sens!K15958*tk_opex_h100+Sens!K15959*tk_opex_gb200+Sens!K15960*tk_opex_gb300+(Sens!K15962+Sens!K15961)*tk_opex_vr200)/Sens!K15950</f>
        <v>2.05520652082571</v>
      </c>
      <c r="L15968" s="12" t="s">
        <v>983</v>
      </c>
    </row>
    <row r="15969" customFormat="false" ht="17.15" hidden="false" customHeight="false" outlineLevel="0" collapsed="false">
      <c r="A15969" s="0" t="s">
        <v>984</v>
      </c>
      <c r="B15969" s="0" t="s">
        <v>98</v>
      </c>
      <c r="D15969" s="6" t="n">
        <f aca="false">(Sens!C15953+Sens!D15953)/2*Sens!D15968/1000</f>
        <v>2.70378325872065</v>
      </c>
      <c r="E15969" s="6" t="n">
        <f aca="false">(Sens!D15953+Sens!E15953)/2*Sens!E15968/1000</f>
        <v>6.17783035277451</v>
      </c>
      <c r="F15969" s="6" t="n">
        <f aca="false">(Sens!E15953+Sens!F15953)/2*Sens!F15968/1000</f>
        <v>9.30071071835958</v>
      </c>
      <c r="G15969" s="6" t="n">
        <f aca="false">(Sens!F15953+Sens!G15953)/2*Sens!G15968/1000</f>
        <v>10.8818391310916</v>
      </c>
      <c r="H15969" s="6" t="n">
        <f aca="false">(Sens!G15953+Sens!H15953)/2*Sens!H15968/1000</f>
        <v>11.6625556675118</v>
      </c>
      <c r="I15969" s="6" t="n">
        <f aca="false">(Sens!H15953+Sens!I15953)/2*Sens!I15968/1000</f>
        <v>11.8025584282181</v>
      </c>
      <c r="J15969" s="6" t="n">
        <f aca="false">(Sens!I15953+Sens!J15953)/2*Sens!J15968/1000</f>
        <v>12.0139911688766</v>
      </c>
      <c r="K15969" s="6" t="n">
        <f aca="false">(Sens!J15953+Sens!K15953)/2*Sens!K15968/1000</f>
        <v>12.4339994509955</v>
      </c>
    </row>
    <row r="15970" customFormat="false" ht="17.15" hidden="false" customHeight="false" outlineLevel="0" collapsed="false">
      <c r="A15970" s="0" t="s">
        <v>985</v>
      </c>
      <c r="B15970" s="0" t="s">
        <v>98</v>
      </c>
      <c r="D15970" s="6" t="n">
        <f aca="false">(Sens!C15951+Sens!D15951)/2*rent_mw/1000</f>
        <v>2.44475</v>
      </c>
      <c r="E15970" s="6" t="n">
        <f aca="false">(Sens!D15951+Sens!E15951)/2*rent_mw/1000</f>
        <v>4.22275</v>
      </c>
      <c r="F15970" s="6" t="n">
        <f aca="false">(Sens!E15951+Sens!F15951)/2*rent_mw/1000</f>
        <v>5.80517</v>
      </c>
      <c r="G15970" s="6" t="n">
        <f aca="false">(Sens!F15951+Sens!G15951)/2*rent_mw/1000</f>
        <v>6.72084</v>
      </c>
      <c r="H15970" s="6" t="n">
        <f aca="false">(Sens!G15951+Sens!H15951)/2*rent_mw/1000</f>
        <v>6.72084</v>
      </c>
      <c r="I15970" s="6" t="n">
        <f aca="false">(Sens!H15951+Sens!I15951)/2*rent_mw/1000</f>
        <v>6.72084</v>
      </c>
      <c r="J15970" s="6" t="n">
        <f aca="false">(Sens!I15951+Sens!J15951)/2*rent_mw/1000</f>
        <v>6.72084</v>
      </c>
      <c r="K15970" s="6" t="n">
        <f aca="false">(Sens!J15951+Sens!K15951)/2*rent_mw/1000</f>
        <v>6.72084</v>
      </c>
    </row>
    <row r="15971" customFormat="false" ht="17.15" hidden="false" customHeight="false" outlineLevel="0" collapsed="false">
      <c r="A15971" s="0" t="s">
        <v>986</v>
      </c>
      <c r="B15971" s="0" t="s">
        <v>98</v>
      </c>
      <c r="D15971" s="6" t="n">
        <f aca="false">(Sens!C15953+Sens!D15953)/2*(1-self_build)*fac_rent/1000</f>
        <v>0.853242375631075</v>
      </c>
      <c r="E15971" s="6" t="n">
        <f aca="false">(Sens!D15953+Sens!E15953)/2*(1-self_build)*fac_rent/1000</f>
        <v>1.94955961408728</v>
      </c>
      <c r="F15971" s="6" t="n">
        <f aca="false">(Sens!E15953+Sens!F15953)/2*(1-self_build)*fac_rent/1000</f>
        <v>2.89903979255117</v>
      </c>
      <c r="G15971" s="6" t="n">
        <f aca="false">(Sens!F15953+Sens!G15953)/2*(1-self_build)*fac_rent/1000</f>
        <v>3.36038596077029</v>
      </c>
      <c r="H15971" s="6" t="n">
        <f aca="false">(Sens!G15953+Sens!H15953)/2*(1-self_build)*fac_rent/1000</f>
        <v>3.60147653900094</v>
      </c>
      <c r="I15971" s="6" t="n">
        <f aca="false">(Sens!H15953+Sens!I15953)/2*(1-self_build)*fac_rent/1000</f>
        <v>3.60147653900094</v>
      </c>
      <c r="J15971" s="6" t="n">
        <f aca="false">(Sens!I15953+Sens!J15953)/2*(1-self_build)*fac_rent/1000</f>
        <v>3.60147653900094</v>
      </c>
      <c r="K15971" s="6" t="n">
        <f aca="false">(Sens!J15953+Sens!K15953)/2*(1-self_build)*fac_rent/1000</f>
        <v>3.60147653900094</v>
      </c>
      <c r="L15971" s="12" t="s">
        <v>987</v>
      </c>
    </row>
    <row r="15972" customFormat="false" ht="17.15" hidden="false" customHeight="false" outlineLevel="0" collapsed="false">
      <c r="A15972" s="1" t="s">
        <v>988</v>
      </c>
      <c r="B15972" s="0" t="s">
        <v>168</v>
      </c>
      <c r="D15972" s="7" t="n">
        <f aca="false">(Sens!C15952+Sens!D15952)/(Sens!C15953+Sens!D15953)</f>
        <v>0.6</v>
      </c>
      <c r="E15972" s="7" t="n">
        <f aca="false">(Sens!D15952+Sens!E15952)/(Sens!D15953+Sens!E15953)</f>
        <v>0.6</v>
      </c>
      <c r="F15972" s="7" t="n">
        <f aca="false">(Sens!E15952+Sens!F15952)/(Sens!E15953+Sens!F15953)</f>
        <v>0.6</v>
      </c>
      <c r="G15972" s="7" t="n">
        <f aca="false">(Sens!F15952+Sens!G15952)/(Sens!F15953+Sens!G15953)</f>
        <v>0.6</v>
      </c>
      <c r="H15972" s="7" t="n">
        <f aca="false">(Sens!G15952+Sens!H15952)/(Sens!G15953+Sens!H15953)</f>
        <v>0.6</v>
      </c>
      <c r="I15972" s="7" t="n">
        <f aca="false">(Sens!H15952+Sens!I15952)/(Sens!H15953+Sens!I15953)</f>
        <v>0.6</v>
      </c>
      <c r="J15972" s="7" t="n">
        <f aca="false">(Sens!I15952+Sens!J15952)/(Sens!I15953+Sens!J15953)</f>
        <v>0.6</v>
      </c>
      <c r="K15972" s="7" t="n">
        <f aca="false">(Sens!J15952+Sens!K15952)/(Sens!J15953+Sens!K15953)</f>
        <v>0.6</v>
      </c>
    </row>
    <row r="15973" customFormat="false" ht="17.15" hidden="false" customHeight="false" outlineLevel="0" collapsed="false">
      <c r="A15973" s="0" t="s">
        <v>989</v>
      </c>
      <c r="B15973" s="0" t="s">
        <v>98</v>
      </c>
      <c r="D15973" s="6" t="n">
        <f aca="false">Sens!D15967-Sens!D15972*(Sens!D15969+Sens!D15971)-Sens!D15970</f>
        <v>8.35701406163072</v>
      </c>
      <c r="E15973" s="6" t="n">
        <f aca="false">Sens!E15967-Sens!E15972*(Sens!E15969+Sens!E15971)-Sens!E15970</f>
        <v>18.7103224860238</v>
      </c>
      <c r="F15973" s="6" t="n">
        <f aca="false">Sens!F15967-Sens!F15972*(Sens!F15969+Sens!F15971)-Sens!F15970</f>
        <v>31.1904057266485</v>
      </c>
      <c r="G15973" s="6" t="n">
        <f aca="false">Sens!G15967-Sens!G15972*(Sens!G15969+Sens!G15971)-Sens!G15970</f>
        <v>40.2080100095152</v>
      </c>
      <c r="H15973" s="6" t="n">
        <f aca="false">Sens!H15967-Sens!H15972*(Sens!H15969+Sens!H15971)-Sens!H15970</f>
        <v>46.3011514269424</v>
      </c>
      <c r="I15973" s="6" t="n">
        <f aca="false">Sens!I15967-Sens!I15972*(Sens!I15969+Sens!I15971)-Sens!I15970</f>
        <v>47.5622037540297</v>
      </c>
      <c r="J15973" s="6" t="n">
        <f aca="false">Sens!J15967-Sens!J15972*(Sens!J15969+Sens!J15971)-Sens!J15970</f>
        <v>49.4666501255493</v>
      </c>
      <c r="K15973" s="6" t="n">
        <f aca="false">Sens!K15967-Sens!K15972*(Sens!K15969+Sens!K15971)-Sens!K15970</f>
        <v>53.2498071068112</v>
      </c>
    </row>
    <row r="15974" customFormat="false" ht="17.15" hidden="false" customHeight="false" outlineLevel="0" collapsed="false">
      <c r="A15974" s="1" t="s">
        <v>990</v>
      </c>
      <c r="B15974" s="0" t="s">
        <v>98</v>
      </c>
      <c r="D15974" s="6" t="n">
        <f aca="false">(1-Sens!D15972)*(Sens!D15969+Sens!D15971)</f>
        <v>1.42281025374069</v>
      </c>
      <c r="E15974" s="6" t="n">
        <f aca="false">(1-Sens!E15972)*(Sens!E15969+Sens!E15971)</f>
        <v>3.25095598674472</v>
      </c>
      <c r="F15974" s="6" t="n">
        <f aca="false">(1-Sens!F15972)*(Sens!F15969+Sens!F15971)</f>
        <v>4.8799002043643</v>
      </c>
      <c r="G15974" s="6" t="n">
        <f aca="false">(1-Sens!G15972)*(Sens!G15969+Sens!G15971)</f>
        <v>5.69689003674476</v>
      </c>
      <c r="H15974" s="6" t="n">
        <f aca="false">(1-Sens!H15972)*(Sens!H15969+Sens!H15971)</f>
        <v>6.1056128826051</v>
      </c>
      <c r="I15974" s="6" t="n">
        <f aca="false">(1-Sens!I15972)*(Sens!I15969+Sens!I15971)</f>
        <v>6.16161398688763</v>
      </c>
      <c r="J15974" s="6" t="n">
        <f aca="false">(1-Sens!J15972)*(Sens!J15969+Sens!J15971)</f>
        <v>6.24618708315103</v>
      </c>
      <c r="K15974" s="6" t="n">
        <f aca="false">(1-Sens!K15972)*(Sens!K15969+Sens!K15971)</f>
        <v>6.41419039599859</v>
      </c>
    </row>
    <row r="15975" customFormat="false" ht="17.15" hidden="false" customHeight="false" outlineLevel="0" collapsed="false">
      <c r="A15975" s="1" t="s">
        <v>991</v>
      </c>
      <c r="B15975" s="0" t="s">
        <v>417</v>
      </c>
      <c r="C15975" s="8" t="n">
        <f aca="false">cxit_open</f>
        <v>27.5918995</v>
      </c>
      <c r="D15975" s="8" t="n">
        <f aca="false">cxit_open</f>
        <v>27.5918995</v>
      </c>
      <c r="E15975" s="8" t="n">
        <f aca="false">cxit_open</f>
        <v>27.5918995</v>
      </c>
      <c r="F15975" s="8" t="n">
        <f aca="false">((a_g3_27-nonnv*a_mai)*tk_cxit_gb300+nonnv*a_mai*nv_hold_mai*tk_cxit_vr200+(1-a_g3_27)*tk_cxit_vr200)</f>
        <v>32.4975576</v>
      </c>
      <c r="G15975" s="8" t="n">
        <f aca="false">((a_g3_28-nonnv*a_mai)*tk_cxit_gb300+nonnv*a_mai*nv_hold_mai*tk_cxit_vr200+(1-a_g3_28)*tk_cxit_vr200)</f>
        <v>34.6372088</v>
      </c>
      <c r="H15975" s="8" t="n">
        <f aca="false">((a_g3_29-nonnv*a_mai)*tk_cxit_gb300+nonnv*a_mai*nv_hold_mai*tk_cxit_vr200+(1-a_g3_29)*tk_cxit_vr200)</f>
        <v>35.7070344</v>
      </c>
      <c r="I15975" s="8" t="n">
        <f aca="false">((a_g3_29-nonnv*a_mai)*tk_cxit_gb300+nonnv*a_mai*nv_hold_mai*tk_cxit_vr200+(1-a_g3_29)*tk_cxit_vr200)</f>
        <v>35.7070344</v>
      </c>
      <c r="J15975" s="8" t="n">
        <f aca="false">((a_g3_29-nonnv*a_mai)*tk_cxit_gb300+nonnv*a_mai*nv_hold_mai*tk_cxit_vr200+(1-a_g3_29)*tk_cxit_vr200)</f>
        <v>35.7070344</v>
      </c>
      <c r="K15975" s="8" t="n">
        <f aca="false">((a_g3_29-nonnv*a_mai)*tk_cxit_gb300+nonnv*a_mai*nv_hold_mai*tk_cxit_vr200+(1-a_g3_29)*tk_cxit_vr200)</f>
        <v>35.7070344</v>
      </c>
      <c r="L15975" s="12" t="s">
        <v>992</v>
      </c>
    </row>
    <row r="15976" customFormat="false" ht="17.15" hidden="false" customHeight="false" outlineLevel="0" collapsed="false">
      <c r="A15976" s="0" t="s">
        <v>993</v>
      </c>
      <c r="B15976" s="0" t="s">
        <v>459</v>
      </c>
      <c r="F15976" s="30" t="n">
        <f aca="false">Sens!C15955*IF(Sens!F15948-Sens!C15948=life_it,1,0)+Sens!D15955*IF(Sens!F15948-Sens!D15948=life_it,1,0)+Sens!E15955*IF(Sens!F15948-Sens!E15948=life_it,1,0)</f>
        <v>0</v>
      </c>
      <c r="G15976" s="30" t="n">
        <f aca="false">Sens!C15955*IF(Sens!G15948-Sens!C15948=life_it,1,0)+Sens!D15955*IF(Sens!G15948-Sens!D15948=life_it,1,0)+Sens!E15955*IF(Sens!G15948-Sens!E15948=life_it,1,0)+Sens!F15955*IF(Sens!G15948-Sens!F15948=life_it,1,0)</f>
        <v>0</v>
      </c>
      <c r="H15976" s="30" t="n">
        <f aca="false">Sens!C15955*IF(Sens!H15948-Sens!C15948=life_it,1,0)+Sens!D15955*IF(Sens!H15948-Sens!D15948=life_it,1,0)+Sens!E15955*IF(Sens!H15948-Sens!E15948=life_it,1,0)+Sens!F15955*IF(Sens!H15948-Sens!F15948=life_it,1,0)+Sens!G15955*IF(Sens!H15948-Sens!G15948=life_it,1,0)</f>
        <v>0</v>
      </c>
      <c r="I15976" s="30" t="n">
        <f aca="false">Sens!C15955*IF(Sens!I15948-Sens!C15948=life_it,1,0)+Sens!D15955*IF(Sens!I15948-Sens!D15948=life_it,1,0)+Sens!E15955*IF(Sens!I15948-Sens!E15948=life_it,1,0)+Sens!F15955*IF(Sens!I15948-Sens!F15948=life_it,1,0)+Sens!G15955*IF(Sens!I15948-Sens!G15948=life_it,1,0)+Sens!H15955*IF(Sens!I15948-Sens!H15948=life_it,1,0)</f>
        <v>816.666666666667</v>
      </c>
      <c r="J15976" s="30" t="n">
        <f aca="false">Sens!C15955*IF(Sens!J15948-Sens!C15948=life_it,1,0)+Sens!D15955*IF(Sens!J15948-Sens!D15948=life_it,1,0)+Sens!E15955*IF(Sens!J15948-Sens!E15948=life_it,1,0)+Sens!F15955*IF(Sens!J15948-Sens!F15948=life_it,1,0)+Sens!G15955*IF(Sens!J15948-Sens!G15948=life_it,1,0)+Sens!H15955*IF(Sens!J15948-Sens!H15948=life_it,1,0)+Sens!I15955*IF(Sens!J15948-Sens!I15948=life_it,1,0)</f>
        <v>1233.33333333333</v>
      </c>
      <c r="K15976" s="30" t="n">
        <f aca="false">Sens!C15955*IF(Sens!K15948-Sens!C15948=life_it,1,0)+Sens!D15955*IF(Sens!K15948-Sens!D15948=life_it,1,0)+Sens!E15955*IF(Sens!K15948-Sens!E15948=life_it,1,0)+Sens!F15955*IF(Sens!K15948-Sens!F15948=life_it,1,0)+Sens!G15955*IF(Sens!K15948-Sens!G15948=life_it,1,0)+Sens!H15955*IF(Sens!K15948-Sens!H15948=life_it,1,0)+Sens!I15955*IF(Sens!K15948-Sens!I15948=life_it,1,0)+Sens!J15955*IF(Sens!K15948-Sens!J15948=life_it,1,0)</f>
        <v>2450</v>
      </c>
      <c r="L15976" s="1" t="s">
        <v>994</v>
      </c>
    </row>
    <row r="15977" customFormat="false" ht="17.15" hidden="false" customHeight="false" outlineLevel="0" collapsed="false">
      <c r="A15977" s="0" t="s">
        <v>995</v>
      </c>
      <c r="B15977" s="0" t="s">
        <v>98</v>
      </c>
      <c r="C15977" s="6" t="n">
        <f aca="false">Sens!C15955*Sens!C15975/1000</f>
        <v>22.5333845916667</v>
      </c>
      <c r="D15977" s="6" t="n">
        <f aca="false">Sens!D15955*Sens!D15975/1000</f>
        <v>34.0300093833333</v>
      </c>
      <c r="E15977" s="6" t="n">
        <f aca="false">Sens!E15955*Sens!E15975/1000</f>
        <v>67.600153775</v>
      </c>
      <c r="F15977" s="6" t="n">
        <f aca="false">(Sens!F15955+Sens!F15976)*Sens!F15975/1000</f>
        <v>24.048192624</v>
      </c>
      <c r="G15977" s="6" t="n">
        <f aca="false">(Sens!G15955+Sens!G15976)*Sens!G15975/1000</f>
        <v>28.056139128</v>
      </c>
      <c r="H15977" s="6" t="n">
        <f aca="false">(Sens!H15955+Sens!H15976)*Sens!H15975/1000</f>
        <v>0</v>
      </c>
      <c r="I15977" s="6" t="n">
        <f aca="false">(Sens!I15955+Sens!I15976)*Sens!I15975/1000</f>
        <v>29.16074476</v>
      </c>
      <c r="J15977" s="6" t="n">
        <f aca="false">(Sens!J15955+Sens!J15976)*Sens!J15975/1000</f>
        <v>44.03867576</v>
      </c>
      <c r="K15977" s="6" t="n">
        <f aca="false">(Sens!K15955+Sens!K15976)*Sens!K15975/1000</f>
        <v>87.48223428</v>
      </c>
    </row>
    <row r="15978" customFormat="false" ht="17.15" hidden="false" customHeight="false" outlineLevel="0" collapsed="false">
      <c r="A15978" s="0" t="s">
        <v>996</v>
      </c>
      <c r="B15978" s="0" t="s">
        <v>98</v>
      </c>
      <c r="C15978" s="6" t="n">
        <f aca="false">Sens!C15955*self_build*tk_cxfac/1000</f>
        <v>6.2083</v>
      </c>
      <c r="D15978" s="6" t="n">
        <f aca="false">Sens!D15955*self_build*tk_cxfac/1000</f>
        <v>9.3758</v>
      </c>
      <c r="E15978" s="6" t="n">
        <f aca="false">Sens!E15955*self_build*tk_cxfac/1000</f>
        <v>18.6249</v>
      </c>
      <c r="F15978" s="6" t="n">
        <f aca="false">Sens!F15955*self_build*tk_cxfac/1000</f>
        <v>5.62548</v>
      </c>
      <c r="G15978" s="6" t="n">
        <f aca="false">Sens!G15955*self_build*tk_cxfac/1000</f>
        <v>6.15762</v>
      </c>
      <c r="H15978" s="6" t="n">
        <f aca="false">Sens!H15955*self_build*tk_cxfac/1000</f>
        <v>0</v>
      </c>
      <c r="I15978" s="6" t="n">
        <f aca="false">Sens!I15955*self_build*tk_cxfac/1000</f>
        <v>0</v>
      </c>
      <c r="J15978" s="6" t="n">
        <f aca="false">Sens!J15955*self_build*tk_cxfac/1000</f>
        <v>0</v>
      </c>
      <c r="K15978" s="6" t="n">
        <f aca="false">Sens!K15955*self_build*tk_cxfac/1000</f>
        <v>0</v>
      </c>
    </row>
    <row r="15979" customFormat="false" ht="17.15" hidden="false" customHeight="false" outlineLevel="0" collapsed="false">
      <c r="A15979" s="0" t="s">
        <v>997</v>
      </c>
      <c r="B15979" s="0" t="s">
        <v>98</v>
      </c>
      <c r="F15979" s="15" t="n">
        <f aca="false">capex_floor27-Sens!F15977-Sens!F15978-Sens!F16075</f>
        <v>138.178366300118</v>
      </c>
      <c r="L15979" s="12" t="s">
        <v>998</v>
      </c>
    </row>
    <row r="15980" customFormat="false" ht="17.15" hidden="false" customHeight="false" outlineLevel="0" collapsed="false">
      <c r="A15980" s="0" t="s">
        <v>999</v>
      </c>
      <c r="B15980" s="0" t="s">
        <v>98</v>
      </c>
      <c r="F15980" s="6" t="n">
        <f aca="false">MAX(0,Sens!F15979)</f>
        <v>138.178366300118</v>
      </c>
    </row>
    <row r="15981" customFormat="false" ht="17.15" hidden="false" customHeight="false" outlineLevel="0" collapsed="false">
      <c r="A15981" s="0" t="s">
        <v>1000</v>
      </c>
      <c r="B15981" s="0" t="s">
        <v>98</v>
      </c>
      <c r="C15981" s="6" t="n">
        <f aca="false">Sens!C15977</f>
        <v>22.5333845916667</v>
      </c>
      <c r="D15981" s="6" t="n">
        <f aca="false">Sens!D15977</f>
        <v>34.0300093833333</v>
      </c>
      <c r="E15981" s="6" t="n">
        <f aca="false">Sens!E15977</f>
        <v>67.600153775</v>
      </c>
      <c r="F15981" s="6" t="n">
        <f aca="false">Sens!F15977</f>
        <v>24.048192624</v>
      </c>
      <c r="G15981" s="6" t="n">
        <f aca="false">Sens!G15977</f>
        <v>28.056139128</v>
      </c>
      <c r="H15981" s="6" t="n">
        <f aca="false">Sens!H15977</f>
        <v>0</v>
      </c>
      <c r="I15981" s="6" t="n">
        <f aca="false">Sens!I15977</f>
        <v>29.16074476</v>
      </c>
      <c r="J15981" s="6" t="n">
        <f aca="false">Sens!J15977</f>
        <v>44.03867576</v>
      </c>
      <c r="K15981" s="6" t="n">
        <f aca="false">Sens!K15977</f>
        <v>87.48223428</v>
      </c>
    </row>
    <row r="15982" customFormat="false" ht="17.15" hidden="false" customHeight="false" outlineLevel="0" collapsed="false">
      <c r="A15982" s="0" t="s">
        <v>1001</v>
      </c>
      <c r="B15982" s="0" t="s">
        <v>98</v>
      </c>
      <c r="C15982" s="6" t="n">
        <f aca="false">Sens!C15981+Sens!C15978</f>
        <v>28.7416845916667</v>
      </c>
      <c r="D15982" s="6" t="n">
        <f aca="false">Sens!D15981+Sens!D15978</f>
        <v>43.4058093833333</v>
      </c>
      <c r="E15982" s="6" t="n">
        <f aca="false">Sens!E15981+Sens!E15978</f>
        <v>86.225053775</v>
      </c>
      <c r="F15982" s="6" t="n">
        <f aca="false">Sens!F15981+Sens!F15978</f>
        <v>29.673672624</v>
      </c>
      <c r="G15982" s="6" t="n">
        <f aca="false">Sens!G15981+Sens!G15978</f>
        <v>34.213759128</v>
      </c>
      <c r="H15982" s="6" t="n">
        <f aca="false">Sens!H15981+Sens!H15978</f>
        <v>0</v>
      </c>
      <c r="I15982" s="6" t="n">
        <f aca="false">Sens!I15981+Sens!I15978</f>
        <v>29.16074476</v>
      </c>
      <c r="J15982" s="6" t="n">
        <f aca="false">Sens!J15981+Sens!J15978</f>
        <v>44.03867576</v>
      </c>
      <c r="K15982" s="6" t="n">
        <f aca="false">Sens!K15981+Sens!K15978</f>
        <v>87.48223428</v>
      </c>
      <c r="L15982" s="12" t="s">
        <v>1002</v>
      </c>
    </row>
    <row r="15983" customFormat="false" ht="17.15" hidden="false" customHeight="false" outlineLevel="0" collapsed="false">
      <c r="A15983" s="0" t="s">
        <v>1003</v>
      </c>
      <c r="B15983" s="0" t="s">
        <v>98</v>
      </c>
      <c r="E15983" s="6" t="n">
        <f aca="false">(Sens!C15981*IF(2&lt;life_it,1,IF(2=life_it,0.5,0))+Sens!D15981*IF(1&lt;life_it,1,IF(1=life_it,0.5,0))+Sens!E15981*0.5)/life_it</f>
        <v>15.0605784770833</v>
      </c>
      <c r="F15983" s="6" t="n">
        <f aca="false">(Sens!C15981*IF(3&lt;life_it,1,IF(3=life_it,0.5,0))+Sens!D15981*IF(2&lt;life_it,1,IF(2=life_it,0.5,0))+Sens!E15981*IF(1&lt;life_it,1,IF(1=life_it,0.5,0))+Sens!F15981*0.5)/life_it</f>
        <v>22.697940677</v>
      </c>
      <c r="G15983" s="6" t="n">
        <f aca="false">(Sens!C15981*IF(4&lt;life_it,1,IF(4=life_it,0.5,0))+Sens!D15981*IF(3&lt;life_it,1,IF(3=life_it,0.5,0))+Sens!E15981*IF(2&lt;life_it,1,IF(2=life_it,0.5,0))+Sens!F15981*IF(1&lt;life_it,1,IF(1=life_it,0.5,0))+Sens!G15981*0.5)/life_it</f>
        <v>27.039968323</v>
      </c>
      <c r="H15983" s="6" t="n">
        <f aca="false">(Sens!C15981*IF(5&lt;life_it,1,IF(5=life_it,0.5,0))+Sens!D15981*IF(4&lt;life_it,1,IF(4=life_it,0.5,0))+Sens!E15981*IF(3&lt;life_it,1,IF(3=life_it,0.5,0))+Sens!F15981*IF(2&lt;life_it,1,IF(2=life_it,0.5,0))+Sens!G15981*IF(1&lt;life_it,1,IF(1=life_it,0.5,0))+Sens!H15981*0.5)/life_it</f>
        <v>29.377979917</v>
      </c>
      <c r="I15983" s="6" t="n">
        <f aca="false">(Sens!C15981*IF(6&lt;life_it,1,IF(6=life_it,0.5,0))+Sens!D15981*IF(5&lt;life_it,1,IF(5=life_it,0.5,0))+Sens!E15981*IF(4&lt;life_it,1,IF(4=life_it,0.5,0))+Sens!F15981*IF(3&lt;life_it,1,IF(3=life_it,0.5,0))+Sens!G15981*IF(2&lt;life_it,1,IF(2=life_it,0.5,0))+Sens!H15981*IF(1&lt;life_it,1,IF(1=life_it,0.5,0))+Sens!I15981*0.5)/life_it</f>
        <v>29.9302599310278</v>
      </c>
      <c r="J15983" s="6" t="n">
        <f aca="false">(Sens!C15981*IF(7&lt;life_it,1,IF(7=life_it,0.5,0))+Sens!D15981*IF(6&lt;life_it,1,IF(6=life_it,0.5,0))+Sens!E15981*IF(5&lt;life_it,1,IF(5=life_it,0.5,0))+Sens!F15981*IF(4&lt;life_it,1,IF(4=life_it,0.5,0))+Sens!G15981*IF(3&lt;life_it,1,IF(3=life_it,0.5,0))+Sens!H15981*IF(2&lt;life_it,1,IF(2=life_it,0.5,0))+Sens!I15981*IF(1&lt;life_it,1,IF(1=life_it,0.5,0))+Sens!J15981*0.5)/life_it</f>
        <v>31.3165954764444</v>
      </c>
      <c r="K15983" s="6" t="n">
        <f aca="false">(Sens!C15981*IF(8&lt;life_it,1,IF(8=life_it,0.5,0))+Sens!D15981*IF(7&lt;life_it,1,IF(7=life_it,0.5,0))+Sens!E15981*IF(6&lt;life_it,1,IF(6=life_it,0.5,0))+Sens!F15981*IF(5&lt;life_it,1,IF(5=life_it,0.5,0))+Sens!G15981*IF(4&lt;life_it,1,IF(4=life_it,0.5,0))+Sens!H15981*IF(3&lt;life_it,1,IF(3=life_it,0.5,0))+Sens!I15981*IF(2&lt;life_it,1,IF(2=life_it,0.5,0))+Sens!J15981*IF(1&lt;life_it,1,IF(1=life_it,0.5,0))+Sens!K15981*0.5)/life_it</f>
        <v>33.8074910499167</v>
      </c>
    </row>
    <row r="15984" customFormat="false" ht="17.15" hidden="false" customHeight="false" outlineLevel="0" collapsed="false">
      <c r="A15984" s="0" t="s">
        <v>1004</v>
      </c>
      <c r="B15984" s="0" t="s">
        <v>98</v>
      </c>
      <c r="E15984" s="6" t="n">
        <f aca="false">(Sens!C15978*IF(2&lt;life_fac,1,IF(2=life_fac,0.5,0))+Sens!D15978*IF(1&lt;life_fac,1,IF(1=life_fac,0.5,0))+Sens!E15978*0.5)/life_fac</f>
        <v>1.2448275</v>
      </c>
      <c r="F15984" s="6" t="n">
        <f aca="false">(Sens!C15978*IF(3&lt;life_fac,1,IF(3=life_fac,0.5,0))+Sens!D15978*IF(2&lt;life_fac,1,IF(2=life_fac,0.5,0))+Sens!E15978*IF(1&lt;life_fac,1,IF(1=life_fac,0.5,0))+Sens!F15978*0.5)/life_fac</f>
        <v>1.851087</v>
      </c>
      <c r="G15984" s="6" t="n">
        <f aca="false">(Sens!C15978*IF(4&lt;life_fac,1,IF(4=life_fac,0.5,0))+Sens!D15978*IF(3&lt;life_fac,1,IF(3=life_fac,0.5,0))+Sens!E15978*IF(2&lt;life_fac,1,IF(2=life_fac,0.5,0))+Sens!F15978*IF(1&lt;life_fac,1,IF(1=life_fac,0.5,0))+Sens!G15978*0.5)/life_fac</f>
        <v>2.1456645</v>
      </c>
      <c r="H15984" s="6" t="n">
        <f aca="false">(Sens!C15978*IF(5&lt;life_fac,1,IF(5=life_fac,0.5,0))+Sens!D15978*IF(4&lt;life_fac,1,IF(4=life_fac,0.5,0))+Sens!E15978*IF(3&lt;life_fac,1,IF(3=life_fac,0.5,0))+Sens!F15978*IF(2&lt;life_fac,1,IF(2=life_fac,0.5,0))+Sens!G15978*IF(1&lt;life_fac,1,IF(1=life_fac,0.5,0))+Sens!H15978*0.5)/life_fac</f>
        <v>2.299605</v>
      </c>
      <c r="I15984" s="6" t="n">
        <f aca="false">(Sens!C15978*IF(6&lt;life_fac,1,IF(6=life_fac,0.5,0))+Sens!D15978*IF(5&lt;life_fac,1,IF(5=life_fac,0.5,0))+Sens!E15978*IF(4&lt;life_fac,1,IF(4=life_fac,0.5,0))+Sens!F15978*IF(3&lt;life_fac,1,IF(3=life_fac,0.5,0))+Sens!G15978*IF(2&lt;life_fac,1,IF(2=life_fac,0.5,0))+Sens!H15978*IF(1&lt;life_fac,1,IF(1=life_fac,0.5,0))+Sens!I15978*0.5)/life_fac</f>
        <v>2.299605</v>
      </c>
      <c r="J15984" s="6" t="n">
        <f aca="false">(Sens!C15978*IF(7&lt;life_fac,1,IF(7=life_fac,0.5,0))+Sens!D15978*IF(6&lt;life_fac,1,IF(6=life_fac,0.5,0))+Sens!E15978*IF(5&lt;life_fac,1,IF(5=life_fac,0.5,0))+Sens!F15978*IF(4&lt;life_fac,1,IF(4=life_fac,0.5,0))+Sens!G15978*IF(3&lt;life_fac,1,IF(3=life_fac,0.5,0))+Sens!H15978*IF(2&lt;life_fac,1,IF(2=life_fac,0.5,0))+Sens!I15978*IF(1&lt;life_fac,1,IF(1=life_fac,0.5,0))+Sens!J15978*0.5)/life_fac</f>
        <v>2.299605</v>
      </c>
      <c r="K15984" s="6" t="n">
        <f aca="false">(Sens!C15978*IF(8&lt;life_fac,1,IF(8=life_fac,0.5,0))+Sens!D15978*IF(7&lt;life_fac,1,IF(7=life_fac,0.5,0))+Sens!E15978*IF(6&lt;life_fac,1,IF(6=life_fac,0.5,0))+Sens!F15978*IF(5&lt;life_fac,1,IF(5=life_fac,0.5,0))+Sens!G15978*IF(4&lt;life_fac,1,IF(4=life_fac,0.5,0))+Sens!H15978*IF(3&lt;life_fac,1,IF(3=life_fac,0.5,0))+Sens!I15978*IF(2&lt;life_fac,1,IF(2=life_fac,0.5,0))+Sens!J15978*IF(1&lt;life_fac,1,IF(1=life_fac,0.5,0))+Sens!K15978*0.5)/life_fac</f>
        <v>2.299605</v>
      </c>
    </row>
    <row r="15985" customFormat="false" ht="17.15" hidden="false" customHeight="false" outlineLevel="0" collapsed="false">
      <c r="A15985" s="0" t="s">
        <v>1005</v>
      </c>
      <c r="B15985" s="0" t="s">
        <v>98</v>
      </c>
      <c r="E15985" s="6" t="n">
        <f aca="false">Sens!E15983+Sens!E15984</f>
        <v>16.3054059770833</v>
      </c>
      <c r="F15985" s="6" t="n">
        <f aca="false">Sens!F15983+Sens!F15984</f>
        <v>24.549027677</v>
      </c>
      <c r="G15985" s="6" t="n">
        <f aca="false">Sens!G15983+Sens!G15984</f>
        <v>29.185632823</v>
      </c>
      <c r="H15985" s="6" t="n">
        <f aca="false">Sens!H15983+Sens!H15984</f>
        <v>31.677584917</v>
      </c>
      <c r="I15985" s="6" t="n">
        <f aca="false">Sens!I15983+Sens!I15984</f>
        <v>32.2298649310278</v>
      </c>
      <c r="J15985" s="6" t="n">
        <f aca="false">Sens!J15983+Sens!J15984</f>
        <v>33.6162004764444</v>
      </c>
      <c r="K15985" s="6" t="n">
        <f aca="false">Sens!K15983+Sens!K15984</f>
        <v>36.1070960499167</v>
      </c>
    </row>
    <row r="15986" customFormat="false" ht="17.15" hidden="false" customHeight="false" outlineLevel="0" collapsed="false">
      <c r="A15986" s="0" t="s">
        <v>1006</v>
      </c>
      <c r="B15986" s="0" t="s">
        <v>98</v>
      </c>
      <c r="E15986" s="6" t="n">
        <f aca="false">Sens!E15973-Sens!E15972*Sens!E15985</f>
        <v>8.92707889977379</v>
      </c>
      <c r="F15986" s="6" t="n">
        <f aca="false">Sens!F15973-Sens!F15972*Sens!F15985</f>
        <v>16.4609891204485</v>
      </c>
      <c r="G15986" s="6" t="n">
        <f aca="false">Sens!G15973-Sens!G15972*Sens!G15985</f>
        <v>22.6966303157152</v>
      </c>
      <c r="H15986" s="6" t="n">
        <f aca="false">Sens!H15973-Sens!H15972*Sens!H15985</f>
        <v>27.2946004767424</v>
      </c>
      <c r="I15986" s="6" t="n">
        <f aca="false">Sens!I15973-Sens!I15972*Sens!I15985</f>
        <v>28.224284795413</v>
      </c>
      <c r="J15986" s="6" t="n">
        <f aca="false">Sens!J15973-Sens!J15972*Sens!J15985</f>
        <v>29.2969298396826</v>
      </c>
      <c r="K15986" s="6" t="n">
        <f aca="false">Sens!K15973-Sens!K15972*Sens!K15985</f>
        <v>31.5855494768612</v>
      </c>
    </row>
    <row r="15987" customFormat="false" ht="17.15" hidden="false" customHeight="false" outlineLevel="0" collapsed="false">
      <c r="A15987" s="3" t="s">
        <v>2005</v>
      </c>
    </row>
    <row r="15988" customFormat="false" ht="15" hidden="false" customHeight="false" outlineLevel="0" collapsed="false">
      <c r="A15988" s="4" t="s">
        <v>43</v>
      </c>
      <c r="B15988" s="4" t="s">
        <v>65</v>
      </c>
      <c r="C15988" s="23" t="s">
        <v>942</v>
      </c>
      <c r="D15988" s="23" t="s">
        <v>943</v>
      </c>
      <c r="E15988" s="23" t="s">
        <v>944</v>
      </c>
      <c r="F15988" s="23" t="s">
        <v>945</v>
      </c>
      <c r="G15988" s="23" t="s">
        <v>946</v>
      </c>
      <c r="H15988" s="23" t="s">
        <v>947</v>
      </c>
      <c r="I15988" s="23" t="s">
        <v>948</v>
      </c>
      <c r="J15988" s="23" t="s">
        <v>949</v>
      </c>
      <c r="K15988" s="23" t="s">
        <v>950</v>
      </c>
      <c r="L15988" s="4" t="s">
        <v>47</v>
      </c>
    </row>
    <row r="15989" customFormat="false" ht="17.15" hidden="false" customHeight="false" outlineLevel="0" collapsed="false">
      <c r="A15989" s="0" t="s">
        <v>1025</v>
      </c>
      <c r="B15989" s="0" t="s">
        <v>98</v>
      </c>
      <c r="D15989" s="6" t="n">
        <f aca="false">Sens!D15967</f>
        <v>12.9359794422418</v>
      </c>
      <c r="E15989" s="6" t="n">
        <f aca="false">Sens!E15967</f>
        <v>27.8095064661409</v>
      </c>
      <c r="F15989" s="6" t="n">
        <f aca="false">Sens!F15967</f>
        <v>44.3154260331949</v>
      </c>
      <c r="G15989" s="6" t="n">
        <f aca="false">Sens!G15967</f>
        <v>55.4741850646324</v>
      </c>
      <c r="H15989" s="6" t="n">
        <f aca="false">Sens!H15967</f>
        <v>62.1804107508501</v>
      </c>
      <c r="I15989" s="6" t="n">
        <f aca="false">Sens!I15967</f>
        <v>63.5254647343612</v>
      </c>
      <c r="J15989" s="6" t="n">
        <f aca="false">Sens!J15967</f>
        <v>65.5567707502758</v>
      </c>
      <c r="K15989" s="6" t="n">
        <f aca="false">Sens!K15967</f>
        <v>69.5919327008091</v>
      </c>
    </row>
    <row r="15990" customFormat="false" ht="17.15" hidden="false" customHeight="false" outlineLevel="0" collapsed="false">
      <c r="A15990" s="0" t="s">
        <v>1026</v>
      </c>
      <c r="B15990" s="0" t="s">
        <v>98</v>
      </c>
      <c r="D15990" s="6" t="n">
        <f aca="false">Q!L6-Sens!D15989</f>
        <v>59.6740205577583</v>
      </c>
      <c r="E15990" s="6" t="n">
        <f aca="false">Q!M6-Sens!E15989</f>
        <v>74.1284935338591</v>
      </c>
      <c r="F15990" s="6" t="n">
        <f aca="false">Q!$I$6+(Sens!F15989+Sens!E15990*(1+Sens!F15991))*(1-Q!$E$6/Q!M6)-Sens!F15989</f>
        <v>93.7338146233927</v>
      </c>
      <c r="G15990" s="6" t="n">
        <f aca="false">Sens!F15990*(1+Sens!G15991)</f>
        <v>111.369762046828</v>
      </c>
      <c r="H15990" s="6" t="n">
        <f aca="false">Sens!G15990*(1+Sens!H15991)</f>
        <v>129.312760636805</v>
      </c>
      <c r="I15990" s="6" t="n">
        <f aca="false">Sens!H15990*(1+Sens!I15991)</f>
        <v>146.650320873452</v>
      </c>
      <c r="J15990" s="6" t="n">
        <f aca="false">Sens!I15990*(1+Sens!J15991)</f>
        <v>162.347377293517</v>
      </c>
      <c r="K15990" s="6" t="n">
        <f aca="false">Sens!J15990*(1+Sens!K15991)</f>
        <v>175.335167476998</v>
      </c>
      <c r="L15990" s="12" t="s">
        <v>1027</v>
      </c>
    </row>
    <row r="15991" customFormat="false" ht="15" hidden="false" customHeight="false" outlineLevel="0" collapsed="false">
      <c r="A15991" s="1" t="s">
        <v>1028</v>
      </c>
      <c r="B15991" s="0" t="s">
        <v>168</v>
      </c>
      <c r="E15991" s="7" t="n">
        <f aca="false">Sens!E15990/Sens!D15990-1</f>
        <v>0.242223883039864</v>
      </c>
      <c r="F15991" s="7" t="n">
        <f aca="false">Sens!$E$15991+(glt_azo-Sens!$E$15991)*MIN(1,(Sens!F15948-base_fy)/n_conv)</f>
        <v>0.215186569199887</v>
      </c>
      <c r="G15991" s="7" t="n">
        <f aca="false">Sens!$E$15991+(glt_azo-Sens!$E$15991)*MIN(1,(Sens!G15948-base_fy)/n_conv)</f>
        <v>0.18814925535991</v>
      </c>
      <c r="H15991" s="7" t="n">
        <f aca="false">Sens!$E$15991+(glt_azo-Sens!$E$15991)*MIN(1,(Sens!H15948-base_fy)/n_conv)</f>
        <v>0.161111941519932</v>
      </c>
      <c r="I15991" s="7" t="n">
        <f aca="false">Sens!$E$15991+(glt_azo-Sens!$E$15991)*MIN(1,(Sens!I15948-base_fy)/n_conv)</f>
        <v>0.134074627679955</v>
      </c>
      <c r="J15991" s="7" t="n">
        <f aca="false">Sens!$E$15991+(glt_azo-Sens!$E$15991)*MIN(1,(Sens!J15948-base_fy)/n_conv)</f>
        <v>0.107037313839977</v>
      </c>
      <c r="K15991" s="7" t="n">
        <f aca="false">Sens!$E$15991+(glt_azo-Sens!$E$15991)*MIN(1,(Sens!K15948-base_fy)/n_conv)</f>
        <v>0.08</v>
      </c>
    </row>
    <row r="15992" customFormat="false" ht="15" hidden="false" customHeight="false" outlineLevel="0" collapsed="false">
      <c r="A15992" s="0" t="s">
        <v>1029</v>
      </c>
      <c r="B15992" s="0" t="s">
        <v>98</v>
      </c>
      <c r="D15992" s="6" t="n">
        <f aca="false">Sens!D15989+Sens!D15990</f>
        <v>72.61</v>
      </c>
      <c r="E15992" s="6" t="n">
        <f aca="false">Sens!E15989+Sens!E15990</f>
        <v>101.938</v>
      </c>
      <c r="F15992" s="6" t="n">
        <f aca="false">Sens!F15989+Sens!F15990</f>
        <v>138.049240656588</v>
      </c>
      <c r="G15992" s="6" t="n">
        <f aca="false">Sens!G15989+Sens!G15990</f>
        <v>166.84394711146</v>
      </c>
      <c r="H15992" s="6" t="n">
        <f aca="false">Sens!H15989+Sens!H15990</f>
        <v>191.493171387655</v>
      </c>
      <c r="I15992" s="6" t="n">
        <f aca="false">Sens!I15989+Sens!I15990</f>
        <v>210.175785607813</v>
      </c>
      <c r="J15992" s="6" t="n">
        <f aca="false">Sens!J15989+Sens!J15990</f>
        <v>227.904148043793</v>
      </c>
      <c r="K15992" s="6" t="n">
        <f aca="false">Sens!K15989+Sens!K15990</f>
        <v>244.927100177807</v>
      </c>
    </row>
    <row r="15993" customFormat="false" ht="17.15" hidden="false" customHeight="false" outlineLevel="0" collapsed="false">
      <c r="A15993" s="0" t="s">
        <v>1030</v>
      </c>
      <c r="B15993" s="1" t="s">
        <v>613</v>
      </c>
      <c r="C15993" s="30" t="n">
        <f aca="false">cop_s24</f>
        <v>1</v>
      </c>
      <c r="D15993" s="30" t="n">
        <f aca="false">cop_s25</f>
        <v>5</v>
      </c>
      <c r="E15993" s="30" t="n">
        <f aca="false">cop_s26</f>
        <v>30</v>
      </c>
      <c r="F15993" s="30" t="n">
        <f aca="false">Sens!E15993+cop_add_A</f>
        <v>60</v>
      </c>
      <c r="G15993" s="30" t="n">
        <f aca="false">Sens!F15993+cop_add_A</f>
        <v>90</v>
      </c>
      <c r="H15993" s="30" t="n">
        <f aca="false">Sens!G15993+cop_add_A</f>
        <v>120</v>
      </c>
      <c r="I15993" s="30" t="n">
        <f aca="false">Sens!H15993+cop_add_A*cop_tail</f>
        <v>135</v>
      </c>
      <c r="J15993" s="30" t="n">
        <f aca="false">Sens!I15993+cop_add_A*cop_tail</f>
        <v>150</v>
      </c>
      <c r="K15993" s="30" t="n">
        <f aca="false">Sens!J15993+cop_add_A*cop_tail</f>
        <v>165</v>
      </c>
      <c r="L15993" s="12" t="s">
        <v>1031</v>
      </c>
    </row>
    <row r="15994" customFormat="false" ht="17.15" hidden="false" customHeight="false" outlineLevel="0" collapsed="false">
      <c r="A15994" s="0" t="s">
        <v>1032</v>
      </c>
      <c r="B15994" s="0" t="s">
        <v>98</v>
      </c>
      <c r="D15994" s="6" t="n">
        <f aca="false">(Sens!C15993+Sens!D15993)/2*cop_px*12/1000</f>
        <v>0.9</v>
      </c>
      <c r="E15994" s="6" t="n">
        <f aca="false">(Sens!D15993+Sens!E15993)/2*cop_px*12/1000</f>
        <v>5.25</v>
      </c>
      <c r="F15994" s="6" t="n">
        <f aca="false">(Sens!E15993+Sens!F15993)/2*cop_px*12/1000</f>
        <v>13.5</v>
      </c>
      <c r="G15994" s="6" t="n">
        <f aca="false">(Sens!F15993+Sens!G15993)/2*cop_px*12/1000</f>
        <v>22.5</v>
      </c>
      <c r="H15994" s="6" t="n">
        <f aca="false">(Sens!G15993+Sens!H15993)/2*cop_px*12/1000</f>
        <v>31.5</v>
      </c>
      <c r="I15994" s="6" t="n">
        <f aca="false">(Sens!H15993+Sens!I15993)/2*cop_px*12/1000</f>
        <v>38.25</v>
      </c>
      <c r="J15994" s="6" t="n">
        <f aca="false">(Sens!I15993+Sens!J15993)/2*cop_px*12/1000</f>
        <v>42.75</v>
      </c>
      <c r="K15994" s="6" t="n">
        <f aca="false">(Sens!J15993+Sens!K15993)/2*cop_px*12/1000</f>
        <v>47.25</v>
      </c>
      <c r="L15994" s="1" t="s">
        <v>1033</v>
      </c>
    </row>
    <row r="15995" customFormat="false" ht="17.15" hidden="false" customHeight="false" outlineLevel="0" collapsed="false">
      <c r="A15995" s="0" t="s">
        <v>1034</v>
      </c>
      <c r="B15995" s="0" t="s">
        <v>98</v>
      </c>
      <c r="D15995" s="6" t="n">
        <f aca="false">Q!L7-Sens!D15994</f>
        <v>83.705</v>
      </c>
      <c r="E15995" s="6" t="n">
        <f aca="false">Q!M7-Sens!E15994</f>
        <v>95.049</v>
      </c>
      <c r="F15995" s="6" t="n">
        <f aca="false">Q!$I$7+(Sens!E15995*(1+Sens!F15996)+Sens!F15994)*(1-Q!$E$7/Q!M7)-Sens!F15994</f>
        <v>106.229653205718</v>
      </c>
      <c r="G15995" s="6" t="n">
        <f aca="false">Sens!F15995*(1+Sens!G15996)</f>
        <v>118.306092647576</v>
      </c>
      <c r="H15995" s="6" t="n">
        <f aca="false">Sens!G15995*(1+Sens!H15996)</f>
        <v>130.463437602768</v>
      </c>
      <c r="I15995" s="6" t="n">
        <f aca="false">Sens!H15995*(1+Sens!I15996)</f>
        <v>142.445354741933</v>
      </c>
      <c r="J15995" s="6" t="n">
        <f aca="false">Sens!I15995*(1+Sens!J15996)</f>
        <v>153.972117481571</v>
      </c>
      <c r="K15995" s="6" t="n">
        <f aca="false">Sens!J15995*(1+Sens!K15996)</f>
        <v>164.75016570528</v>
      </c>
      <c r="L15995" s="12" t="s">
        <v>1035</v>
      </c>
    </row>
    <row r="15996" customFormat="false" ht="15" hidden="false" customHeight="false" outlineLevel="0" collapsed="false">
      <c r="A15996" s="1" t="s">
        <v>1028</v>
      </c>
      <c r="B15996" s="0" t="s">
        <v>168</v>
      </c>
      <c r="E15996" s="7" t="n">
        <f aca="false">Sens!E15995/Sens!D15995-1</f>
        <v>0.135523564900544</v>
      </c>
      <c r="F15996" s="7" t="n">
        <f aca="false">Sens!$E$15996+(glt_m365b-Sens!$E$15996)*MIN(1,(Sens!F15948-base_fy)/n_conv)</f>
        <v>0.124602970750453</v>
      </c>
      <c r="G15996" s="7" t="n">
        <f aca="false">Sens!$E$15996+(glt_m365b-Sens!$E$15996)*MIN(1,(Sens!G15948-base_fy)/n_conv)</f>
        <v>0.113682376600363</v>
      </c>
      <c r="H15996" s="7" t="n">
        <f aca="false">Sens!$E$15996+(glt_m365b-Sens!$E$15996)*MIN(1,(Sens!H15948-base_fy)/n_conv)</f>
        <v>0.102761782450272</v>
      </c>
      <c r="I15996" s="7" t="n">
        <f aca="false">Sens!$E$15996+(glt_m365b-Sens!$E$15996)*MIN(1,(Sens!I15948-base_fy)/n_conv)</f>
        <v>0.0918411883001813</v>
      </c>
      <c r="J15996" s="7" t="n">
        <f aca="false">Sens!$E$15996+(glt_m365b-Sens!$E$15996)*MIN(1,(Sens!J15948-base_fy)/n_conv)</f>
        <v>0.0809205941500906</v>
      </c>
      <c r="K15996" s="7" t="n">
        <f aca="false">Sens!$E$15996+(glt_m365b-Sens!$E$15996)*MIN(1,(Sens!K15948-base_fy)/n_conv)</f>
        <v>0.07</v>
      </c>
    </row>
    <row r="15997" customFormat="false" ht="15" hidden="false" customHeight="false" outlineLevel="0" collapsed="false">
      <c r="A15997" s="0" t="s">
        <v>1036</v>
      </c>
      <c r="B15997" s="0" t="s">
        <v>98</v>
      </c>
      <c r="D15997" s="6" t="n">
        <f aca="false">Sens!D15995+Sens!D15994</f>
        <v>84.605</v>
      </c>
      <c r="E15997" s="6" t="n">
        <f aca="false">Sens!E15995+Sens!E15994</f>
        <v>100.299</v>
      </c>
      <c r="F15997" s="6" t="n">
        <f aca="false">Sens!F15995+Sens!F15994</f>
        <v>119.729653205718</v>
      </c>
      <c r="G15997" s="6" t="n">
        <f aca="false">Sens!G15995+Sens!G15994</f>
        <v>140.806092647576</v>
      </c>
      <c r="H15997" s="6" t="n">
        <f aca="false">Sens!H15995+Sens!H15994</f>
        <v>161.963437602768</v>
      </c>
      <c r="I15997" s="6" t="n">
        <f aca="false">Sens!I15995+Sens!I15994</f>
        <v>180.695354741933</v>
      </c>
      <c r="J15997" s="6" t="n">
        <f aca="false">Sens!J15995+Sens!J15994</f>
        <v>196.722117481571</v>
      </c>
      <c r="K15997" s="6" t="n">
        <f aca="false">Sens!K15995+Sens!K15994</f>
        <v>212.00016570528</v>
      </c>
    </row>
    <row r="15998" customFormat="false" ht="17.15" hidden="false" customHeight="false" outlineLevel="0" collapsed="false">
      <c r="A15998" s="0" t="s">
        <v>1037</v>
      </c>
      <c r="B15998" s="0" t="s">
        <v>98</v>
      </c>
      <c r="D15998" s="6" t="n">
        <f aca="false">Q!L8</f>
        <v>35.391</v>
      </c>
      <c r="E15998" s="6" t="n">
        <f aca="false">Q!M8</f>
        <v>37.285</v>
      </c>
      <c r="F15998" s="6" t="n">
        <f aca="false">Q!$I$8+(Q!M8-Q!$E$8)*(1+Sens!F15999)</f>
        <v>38.3851437782675</v>
      </c>
      <c r="G15998" s="6" t="n">
        <f aca="false">Sens!F15998*(1+Sens!G15999)</f>
        <v>40.0105353288615</v>
      </c>
      <c r="H15998" s="6" t="n">
        <f aca="false">Sens!G15998*(1+Sens!H15999)</f>
        <v>41.4812512033683</v>
      </c>
      <c r="I15998" s="6" t="n">
        <f aca="false">Sens!H15998*(1+Sens!I15999)</f>
        <v>42.7743107216329</v>
      </c>
      <c r="J15998" s="6" t="n">
        <f aca="false">Sens!I15998*(1+Sens!J15999)</f>
        <v>43.8687373064601</v>
      </c>
      <c r="K15998" s="6" t="n">
        <f aca="false">Sens!J15998*(1+Sens!K15999)</f>
        <v>44.7461120525893</v>
      </c>
      <c r="L15998" s="12" t="s">
        <v>1038</v>
      </c>
    </row>
    <row r="15999" customFormat="false" ht="15" hidden="false" customHeight="false" outlineLevel="0" collapsed="false">
      <c r="A15999" s="1" t="s">
        <v>1028</v>
      </c>
      <c r="B15999" s="0" t="s">
        <v>168</v>
      </c>
      <c r="E15999" s="7" t="n">
        <f aca="false">Sens!E15998/Sens!D15998-1</f>
        <v>0.0535164307309768</v>
      </c>
      <c r="F15999" s="7" t="n">
        <f aca="false">Sens!$E$15999+(glt_lic-Sens!$E$15999)*MIN(1,(Sens!F15948-base_fy)/n_conv)</f>
        <v>0.0479303589424807</v>
      </c>
      <c r="G15999" s="7" t="n">
        <f aca="false">Sens!$E$15999+(glt_lic-Sens!$E$15999)*MIN(1,(Sens!G15948-base_fy)/n_conv)</f>
        <v>0.0423442871539845</v>
      </c>
      <c r="H15999" s="7" t="n">
        <f aca="false">Sens!$E$15999+(glt_lic-Sens!$E$15999)*MIN(1,(Sens!H15948-base_fy)/n_conv)</f>
        <v>0.0367582153654884</v>
      </c>
      <c r="I15999" s="7" t="n">
        <f aca="false">Sens!$E$15999+(glt_lic-Sens!$E$15999)*MIN(1,(Sens!I15948-base_fy)/n_conv)</f>
        <v>0.0311721435769923</v>
      </c>
      <c r="J15999" s="7" t="n">
        <f aca="false">Sens!$E$15999+(glt_lic-Sens!$E$15999)*MIN(1,(Sens!J15948-base_fy)/n_conv)</f>
        <v>0.0255860717884961</v>
      </c>
      <c r="K15999" s="7" t="n">
        <f aca="false">Sens!$E$15999+(glt_lic-Sens!$E$15999)*MIN(1,(Sens!K15948-base_fy)/n_conv)</f>
        <v>0.02</v>
      </c>
    </row>
    <row r="16000" customFormat="false" ht="17.15" hidden="false" customHeight="false" outlineLevel="0" collapsed="false">
      <c r="A16000" s="0" t="s">
        <v>1039</v>
      </c>
      <c r="B16000" s="0" t="s">
        <v>98</v>
      </c>
      <c r="D16000" s="6" t="n">
        <f aca="false">Q!L9</f>
        <v>18.417</v>
      </c>
      <c r="E16000" s="6" t="n">
        <f aca="false">Q!M9</f>
        <v>20.345</v>
      </c>
      <c r="F16000" s="6" t="n">
        <f aca="false">Q!$I$9+(Q!M9-Q!$E$9)*(1+Sens!F16001)</f>
        <v>22.3161797133988</v>
      </c>
      <c r="G16000" s="6" t="n">
        <f aca="false">Sens!F16000*(1+Sens!G16001)</f>
        <v>24.3943499673233</v>
      </c>
      <c r="H16000" s="6" t="n">
        <f aca="false">Sens!G16000*(1+Sens!H16001)</f>
        <v>26.5250243109019</v>
      </c>
      <c r="I16000" s="6" t="n">
        <f aca="false">Sens!H16000*(1+Sens!I16001)</f>
        <v>28.6884573538181</v>
      </c>
      <c r="J16000" s="6" t="n">
        <f aca="false">Sens!I16000*(1+Sens!J16001)</f>
        <v>30.8624968052127</v>
      </c>
      <c r="K16000" s="6" t="n">
        <f aca="false">Sens!J16000*(1+Sens!K16001)</f>
        <v>33.0228715815776</v>
      </c>
      <c r="L16000" s="12" t="s">
        <v>1038</v>
      </c>
    </row>
    <row r="16001" customFormat="false" ht="15" hidden="false" customHeight="false" outlineLevel="0" collapsed="false">
      <c r="A16001" s="1" t="s">
        <v>1028</v>
      </c>
      <c r="B16001" s="0" t="s">
        <v>168</v>
      </c>
      <c r="E16001" s="7" t="n">
        <f aca="false">Sens!E16000/Sens!D16000-1</f>
        <v>0.104685888038225</v>
      </c>
      <c r="F16001" s="7" t="n">
        <f aca="false">Sens!$E$16001+(glt_ind-Sens!$E$16001)*MIN(1,(Sens!F15948-base_fy)/n_conv)</f>
        <v>0.0989049066985211</v>
      </c>
      <c r="G16001" s="7" t="n">
        <f aca="false">Sens!$E$16001+(glt_ind-Sens!$E$16001)*MIN(1,(Sens!G15948-base_fy)/n_conv)</f>
        <v>0.0931239253588169</v>
      </c>
      <c r="H16001" s="7" t="n">
        <f aca="false">Sens!$E$16001+(glt_ind-Sens!$E$16001)*MIN(1,(Sens!H15948-base_fy)/n_conv)</f>
        <v>0.0873429440191127</v>
      </c>
      <c r="I16001" s="7" t="n">
        <f aca="false">Sens!$E$16001+(glt_ind-Sens!$E$16001)*MIN(1,(Sens!I15948-base_fy)/n_conv)</f>
        <v>0.0815619626794085</v>
      </c>
      <c r="J16001" s="7" t="n">
        <f aca="false">Sens!$E$16001+(glt_ind-Sens!$E$16001)*MIN(1,(Sens!J15948-base_fy)/n_conv)</f>
        <v>0.0757809813397042</v>
      </c>
      <c r="K16001" s="7" t="n">
        <f aca="false">Sens!$E$16001+(glt_ind-Sens!$E$16001)*MIN(1,(Sens!K15948-base_fy)/n_conv)</f>
        <v>0.07</v>
      </c>
    </row>
    <row r="16002" customFormat="false" ht="17.15" hidden="false" customHeight="false" outlineLevel="0" collapsed="false">
      <c r="A16002" s="0" t="s">
        <v>1040</v>
      </c>
      <c r="B16002" s="0" t="s">
        <v>98</v>
      </c>
      <c r="D16002" s="6" t="n">
        <f aca="false">Q!L10</f>
        <v>7.76</v>
      </c>
      <c r="E16002" s="6" t="n">
        <f aca="false">Q!M10</f>
        <v>8.26</v>
      </c>
      <c r="F16002" s="6" t="n">
        <f aca="false">Q!$I$10+(Q!M10-Q!$E$10)*(1+Sens!F16003)</f>
        <v>8.75372082474227</v>
      </c>
      <c r="G16002" s="6" t="n">
        <f aca="false">Sens!F16002*(1+Sens!G16003)</f>
        <v>9.33399324642364</v>
      </c>
      <c r="H16002" s="6" t="n">
        <f aca="false">Sens!G16002*(1+Sens!H16003)</f>
        <v>9.96139155535851</v>
      </c>
      <c r="I16002" s="6" t="n">
        <f aca="false">Sens!H16002*(1+Sens!I16003)</f>
        <v>10.6402039077391</v>
      </c>
      <c r="J16002" s="6" t="n">
        <f aca="false">Sens!I16002*(1+Sens!J16003)</f>
        <v>11.3751458271397</v>
      </c>
      <c r="K16002" s="6" t="n">
        <f aca="false">Sens!J16002*(1+Sens!K16003)</f>
        <v>12.1714060350394</v>
      </c>
      <c r="L16002" s="12" t="s">
        <v>1038</v>
      </c>
    </row>
    <row r="16003" customFormat="false" ht="15" hidden="false" customHeight="false" outlineLevel="0" collapsed="false">
      <c r="A16003" s="1" t="s">
        <v>1028</v>
      </c>
      <c r="B16003" s="0" t="s">
        <v>168</v>
      </c>
      <c r="E16003" s="7" t="n">
        <f aca="false">Sens!E16002/Sens!D16002-1</f>
        <v>0.0644329896907216</v>
      </c>
      <c r="F16003" s="7" t="n">
        <f aca="false">Sens!$E$16003+(glt_fro-Sens!$E$16003)*MIN(1,(Sens!F15948-base_fy)/n_conv)</f>
        <v>0.065360824742268</v>
      </c>
      <c r="G16003" s="7" t="n">
        <f aca="false">Sens!$E$16003+(glt_fro-Sens!$E$16003)*MIN(1,(Sens!G15948-base_fy)/n_conv)</f>
        <v>0.0662886597938144</v>
      </c>
      <c r="H16003" s="7" t="n">
        <f aca="false">Sens!$E$16003+(glt_fro-Sens!$E$16003)*MIN(1,(Sens!H15948-base_fy)/n_conv)</f>
        <v>0.0672164948453608</v>
      </c>
      <c r="I16003" s="7" t="n">
        <f aca="false">Sens!$E$16003+(glt_fro-Sens!$E$16003)*MIN(1,(Sens!I15948-base_fy)/n_conv)</f>
        <v>0.0681443298969072</v>
      </c>
      <c r="J16003" s="7" t="n">
        <f aca="false">Sens!$E$16003+(glt_fro-Sens!$E$16003)*MIN(1,(Sens!J15948-base_fy)/n_conv)</f>
        <v>0.0690721649484536</v>
      </c>
      <c r="K16003" s="7" t="n">
        <f aca="false">Sens!$E$16003+(glt_fro-Sens!$E$16003)*MIN(1,(Sens!K15948-base_fy)/n_conv)</f>
        <v>0.07</v>
      </c>
    </row>
    <row r="16004" customFormat="false" ht="15" hidden="false" customHeight="false" outlineLevel="0" collapsed="false">
      <c r="A16004" s="0" t="s">
        <v>856</v>
      </c>
      <c r="B16004" s="0" t="s">
        <v>98</v>
      </c>
      <c r="D16004" s="6" t="n">
        <f aca="false">Sens!D15992+Sens!D15997+Sens!D15998+Sens!D16000+Sens!D16002</f>
        <v>218.783</v>
      </c>
      <c r="E16004" s="6" t="n">
        <f aca="false">Sens!E15992+Sens!E15997+Sens!E15998+Sens!E16000+Sens!E16002</f>
        <v>268.127</v>
      </c>
      <c r="F16004" s="6" t="n">
        <f aca="false">Sens!F15992+Sens!F15997+Sens!F15998+Sens!F16000+Sens!F16002</f>
        <v>327.233938178714</v>
      </c>
      <c r="G16004" s="6" t="n">
        <f aca="false">Sens!G15992+Sens!G15997+Sens!G15998+Sens!G16000+Sens!G16002</f>
        <v>381.388918301645</v>
      </c>
      <c r="H16004" s="6" t="n">
        <f aca="false">Sens!H15992+Sens!H15997+Sens!H15998+Sens!H16000+Sens!H16002</f>
        <v>431.424276060052</v>
      </c>
      <c r="I16004" s="6" t="n">
        <f aca="false">Sens!I15992+Sens!I15997+Sens!I15998+Sens!I16000+Sens!I16002</f>
        <v>472.974112332936</v>
      </c>
      <c r="J16004" s="6" t="n">
        <f aca="false">Sens!J15992+Sens!J15997+Sens!J15998+Sens!J16000+Sens!J16002</f>
        <v>510.732645464176</v>
      </c>
      <c r="K16004" s="6" t="n">
        <f aca="false">Sens!K15992+Sens!K15997+Sens!K15998+Sens!K16000+Sens!K16002</f>
        <v>546.867655552294</v>
      </c>
    </row>
    <row r="16005" customFormat="false" ht="17.15" hidden="false" customHeight="false" outlineLevel="0" collapsed="false">
      <c r="A16005" s="0" t="s">
        <v>1041</v>
      </c>
      <c r="B16005" s="0" t="s">
        <v>98</v>
      </c>
      <c r="D16005" s="6" t="n">
        <f aca="false">Q!L13</f>
        <v>22.171</v>
      </c>
      <c r="E16005" s="6" t="n">
        <f aca="false">Q!M13</f>
        <v>24.835</v>
      </c>
      <c r="F16005" s="6" t="n">
        <f aca="false">Q!$I$13+(Q!M13-Q!$E$13)*(1+Sens!F16006)</f>
        <v>27.5591895660247</v>
      </c>
      <c r="G16005" s="6" t="n">
        <f aca="false">Sens!F16005*(1+Sens!G16006)</f>
        <v>30.4098563144583</v>
      </c>
      <c r="H16005" s="6" t="n">
        <f aca="false">Sens!G16005*(1+Sens!H16006)</f>
        <v>33.3011792571777</v>
      </c>
      <c r="I16005" s="6" t="n">
        <f aca="false">Sens!H16005*(1+Sens!I16006)</f>
        <v>36.189023797112</v>
      </c>
      <c r="J16005" s="6" t="n">
        <f aca="false">Sens!I16005*(1+Sens!J16006)</f>
        <v>39.0247773769199</v>
      </c>
      <c r="K16005" s="6" t="n">
        <f aca="false">Sens!J16005*(1+Sens!K16006)</f>
        <v>41.7565117933043</v>
      </c>
      <c r="L16005" s="12" t="s">
        <v>1038</v>
      </c>
    </row>
    <row r="16006" customFormat="false" ht="15" hidden="false" customHeight="false" outlineLevel="0" collapsed="false">
      <c r="A16006" s="1" t="s">
        <v>1028</v>
      </c>
      <c r="B16006" s="0" t="s">
        <v>168</v>
      </c>
      <c r="E16006" s="7" t="n">
        <f aca="false">Sens!E16005/Sens!D16005-1</f>
        <v>0.120156961796942</v>
      </c>
      <c r="F16006" s="7" t="n">
        <f aca="false">Sens!$E$16006+(glt_srch-Sens!$E$16006)*MIN(1,(Sens!F15948-base_fy)/n_conv)</f>
        <v>0.111797468164118</v>
      </c>
      <c r="G16006" s="7" t="n">
        <f aca="false">Sens!$E$16006+(glt_srch-Sens!$E$16006)*MIN(1,(Sens!G15948-base_fy)/n_conv)</f>
        <v>0.103437974531295</v>
      </c>
      <c r="H16006" s="7" t="n">
        <f aca="false">Sens!$E$16006+(glt_srch-Sens!$E$16006)*MIN(1,(Sens!H15948-base_fy)/n_conv)</f>
        <v>0.095078480898471</v>
      </c>
      <c r="I16006" s="7" t="n">
        <f aca="false">Sens!$E$16006+(glt_srch-Sens!$E$16006)*MIN(1,(Sens!I15948-base_fy)/n_conv)</f>
        <v>0.0867189872656474</v>
      </c>
      <c r="J16006" s="7" t="n">
        <f aca="false">Sens!$E$16006+(glt_srch-Sens!$E$16006)*MIN(1,(Sens!J15948-base_fy)/n_conv)</f>
        <v>0.0783594936328237</v>
      </c>
      <c r="K16006" s="7" t="n">
        <f aca="false">Sens!$E$16006+(glt_srch-Sens!$E$16006)*MIN(1,(Sens!K15948-base_fy)/n_conv)</f>
        <v>0.07</v>
      </c>
    </row>
    <row r="16007" customFormat="false" ht="17.15" hidden="false" customHeight="false" outlineLevel="0" collapsed="false">
      <c r="A16007" s="0" t="s">
        <v>1042</v>
      </c>
      <c r="B16007" s="0" t="s">
        <v>98</v>
      </c>
      <c r="D16007" s="6" t="n">
        <f aca="false">Q!L14</f>
        <v>23.455</v>
      </c>
      <c r="E16007" s="6" t="n">
        <f aca="false">Q!M14</f>
        <v>21.79</v>
      </c>
      <c r="F16007" s="6" t="n">
        <f aca="false">Q!$I$14+(Q!M14-Q!$E$14)*(1+Sens!F16008)</f>
        <v>20.7520981041711</v>
      </c>
      <c r="G16007" s="6" t="n">
        <f aca="false">Sens!F16007*(1+Sens!G16008)</f>
        <v>19.9083593495882</v>
      </c>
      <c r="H16007" s="6" t="n">
        <f aca="false">Sens!G16007*(1+Sens!H16008)</f>
        <v>19.4008256265831</v>
      </c>
      <c r="I16007" s="6" t="n">
        <f aca="false">Sens!H16007*(1+Sens!I16008)</f>
        <v>19.200434522122</v>
      </c>
      <c r="J16007" s="6" t="n">
        <f aca="false">Sens!I16007*(1+Sens!J16008)</f>
        <v>19.2932782348507</v>
      </c>
      <c r="K16007" s="6" t="n">
        <f aca="false">Sens!J16007*(1+Sens!K16008)</f>
        <v>19.6791437995477</v>
      </c>
      <c r="L16007" s="12" t="s">
        <v>1038</v>
      </c>
    </row>
    <row r="16008" customFormat="false" ht="15" hidden="false" customHeight="false" outlineLevel="0" collapsed="false">
      <c r="A16008" s="1" t="s">
        <v>1028</v>
      </c>
      <c r="B16008" s="0" t="s">
        <v>168</v>
      </c>
      <c r="E16008" s="7" t="n">
        <f aca="false">Sens!E16007/Sens!D16007-1</f>
        <v>-0.0709869963760392</v>
      </c>
      <c r="F16008" s="7" t="n">
        <f aca="false">Sens!$E$16008+(glt_xbox-Sens!$E$16008)*MIN(1,(Sens!F15948-base_fy)/n_conv)</f>
        <v>-0.0558224969800327</v>
      </c>
      <c r="G16008" s="7" t="n">
        <f aca="false">Sens!$E$16008+(glt_xbox-Sens!$E$16008)*MIN(1,(Sens!G15948-base_fy)/n_conv)</f>
        <v>-0.0406579975840262</v>
      </c>
      <c r="H16008" s="7" t="n">
        <f aca="false">Sens!$E$16008+(glt_xbox-Sens!$E$16008)*MIN(1,(Sens!H15948-base_fy)/n_conv)</f>
        <v>-0.0254934981880196</v>
      </c>
      <c r="I16008" s="7" t="n">
        <f aca="false">Sens!$E$16008+(glt_xbox-Sens!$E$16008)*MIN(1,(Sens!I15948-base_fy)/n_conv)</f>
        <v>-0.0103289987920131</v>
      </c>
      <c r="J16008" s="7" t="n">
        <f aca="false">Sens!$E$16008+(glt_xbox-Sens!$E$16008)*MIN(1,(Sens!J15948-base_fy)/n_conv)</f>
        <v>0.00483550060399347</v>
      </c>
      <c r="K16008" s="7" t="n">
        <f aca="false">Sens!$E$16008+(glt_xbox-Sens!$E$16008)*MIN(1,(Sens!K15948-base_fy)/n_conv)</f>
        <v>0.02</v>
      </c>
    </row>
    <row r="16009" customFormat="false" ht="17.15" hidden="false" customHeight="false" outlineLevel="0" collapsed="false">
      <c r="A16009" s="0" t="s">
        <v>1043</v>
      </c>
      <c r="B16009" s="0" t="s">
        <v>98</v>
      </c>
      <c r="D16009" s="6" t="n">
        <f aca="false">Q!L15</f>
        <v>17.315</v>
      </c>
      <c r="E16009" s="6" t="n">
        <f aca="false">Q!M15</f>
        <v>17.087</v>
      </c>
      <c r="F16009" s="6" t="n">
        <f aca="false">Q!$I$15+(Q!M15-Q!$E$15)*(1+Sens!F16010)</f>
        <v>15.9912273250553</v>
      </c>
      <c r="G16009" s="6" t="n">
        <f aca="false">Sens!F16009*(1+Sens!G16010)</f>
        <v>15.9574562664827</v>
      </c>
      <c r="H16009" s="6" t="n">
        <f aca="false">Sens!G16009*(1+Sens!H16010)</f>
        <v>16.0119687434196</v>
      </c>
      <c r="I16009" s="6" t="n">
        <f aca="false">Sens!H16009*(1+Sens!I16010)</f>
        <v>16.1551810001948</v>
      </c>
      <c r="J16009" s="6" t="n">
        <f aca="false">Sens!I16009*(1+Sens!J16010)</f>
        <v>16.3889793892005</v>
      </c>
      <c r="K16009" s="6" t="n">
        <f aca="false">Sens!J16009*(1+Sens!K16010)</f>
        <v>16.7167589769845</v>
      </c>
      <c r="L16009" s="12" t="s">
        <v>1038</v>
      </c>
    </row>
    <row r="16010" customFormat="false" ht="15" hidden="false" customHeight="false" outlineLevel="0" collapsed="false">
      <c r="A16010" s="1" t="s">
        <v>1028</v>
      </c>
      <c r="B16010" s="0" t="s">
        <v>168</v>
      </c>
      <c r="E16010" s="7" t="n">
        <f aca="false">Sens!E16009/Sens!D16009-1</f>
        <v>-0.0131677736066995</v>
      </c>
      <c r="F16010" s="7" t="n">
        <f aca="false">Sens!$E$16010+(glt_win-Sens!$E$16010)*MIN(1,(Sens!F15948-base_fy)/n_conv)</f>
        <v>-0.00763981133891627</v>
      </c>
      <c r="G16010" s="7" t="n">
        <f aca="false">Sens!$E$16010+(glt_win-Sens!$E$16010)*MIN(1,(Sens!G15948-base_fy)/n_conv)</f>
        <v>-0.00211184907113301</v>
      </c>
      <c r="H16010" s="7" t="n">
        <f aca="false">Sens!$E$16010+(glt_win-Sens!$E$16010)*MIN(1,(Sens!H15948-base_fy)/n_conv)</f>
        <v>0.00341611319665024</v>
      </c>
      <c r="I16010" s="7" t="n">
        <f aca="false">Sens!$E$16010+(glt_win-Sens!$E$16010)*MIN(1,(Sens!I15948-base_fy)/n_conv)</f>
        <v>0.00894407546443349</v>
      </c>
      <c r="J16010" s="7" t="n">
        <f aca="false">Sens!$E$16010+(glt_win-Sens!$E$16010)*MIN(1,(Sens!J15948-base_fy)/n_conv)</f>
        <v>0.0144720377322168</v>
      </c>
      <c r="K16010" s="7" t="n">
        <f aca="false">Sens!$E$16010+(glt_win-Sens!$E$16010)*MIN(1,(Sens!K15948-base_fy)/n_conv)</f>
        <v>0.02</v>
      </c>
    </row>
    <row r="16011" customFormat="false" ht="15" hidden="false" customHeight="false" outlineLevel="0" collapsed="false">
      <c r="A16011" s="0" t="s">
        <v>870</v>
      </c>
      <c r="B16011" s="0" t="s">
        <v>98</v>
      </c>
      <c r="D16011" s="6" t="n">
        <f aca="false">Sens!D16005+Sens!D16007+Sens!D16009</f>
        <v>62.941</v>
      </c>
      <c r="E16011" s="6" t="n">
        <f aca="false">Sens!E16005+Sens!E16007+Sens!E16009</f>
        <v>63.712</v>
      </c>
      <c r="F16011" s="6" t="n">
        <f aca="false">Sens!F16005+Sens!F16007+Sens!F16009</f>
        <v>64.3025149952511</v>
      </c>
      <c r="G16011" s="6" t="n">
        <f aca="false">Sens!G16005+Sens!G16007+Sens!G16009</f>
        <v>66.2756719305292</v>
      </c>
      <c r="H16011" s="6" t="n">
        <f aca="false">Sens!H16005+Sens!H16007+Sens!H16009</f>
        <v>68.7139736271804</v>
      </c>
      <c r="I16011" s="6" t="n">
        <f aca="false">Sens!I16005+Sens!I16007+Sens!I16009</f>
        <v>71.5446393194289</v>
      </c>
      <c r="J16011" s="6" t="n">
        <f aca="false">Sens!J16005+Sens!J16007+Sens!J16009</f>
        <v>74.707035000971</v>
      </c>
      <c r="K16011" s="6" t="n">
        <f aca="false">Sens!K16005+Sens!K16007+Sens!K16009</f>
        <v>78.1524145698365</v>
      </c>
    </row>
    <row r="16012" customFormat="false" ht="15" hidden="false" customHeight="false" outlineLevel="0" collapsed="false">
      <c r="A16012" s="1" t="s">
        <v>1044</v>
      </c>
      <c r="B16012" s="0" t="s">
        <v>98</v>
      </c>
      <c r="D16012" s="6" t="n">
        <f aca="false">Sens!D16004+Sens!D16011</f>
        <v>281.724</v>
      </c>
      <c r="E16012" s="6" t="n">
        <f aca="false">Sens!E16004+Sens!E16011</f>
        <v>331.839</v>
      </c>
      <c r="F16012" s="6" t="n">
        <f aca="false">Sens!F16004+Sens!F16011</f>
        <v>391.536453173965</v>
      </c>
      <c r="G16012" s="6" t="n">
        <f aca="false">Sens!G16004+Sens!G16011</f>
        <v>447.664590232174</v>
      </c>
      <c r="H16012" s="6" t="n">
        <f aca="false">Sens!H16004+Sens!H16011</f>
        <v>500.138249687232</v>
      </c>
      <c r="I16012" s="6" t="n">
        <f aca="false">Sens!I16004+Sens!I16011</f>
        <v>544.518751652365</v>
      </c>
      <c r="J16012" s="6" t="n">
        <f aca="false">Sens!J16004+Sens!J16011</f>
        <v>585.439680465147</v>
      </c>
      <c r="K16012" s="6" t="n">
        <f aca="false">Sens!K16004+Sens!K16011</f>
        <v>625.020070122131</v>
      </c>
    </row>
    <row r="16013" customFormat="false" ht="15" hidden="false" customHeight="false" outlineLevel="0" collapsed="false">
      <c r="A16013" s="26" t="s">
        <v>1045</v>
      </c>
      <c r="B16013" s="31" t="s">
        <v>98</v>
      </c>
      <c r="C16013" s="31"/>
      <c r="D16013" s="27" t="n">
        <f aca="false">(Sens!D15992+Sens!D15997+Sens!D15998+Sens!D16000+Sens!D16002-Sens!D16004)+(Sens!D16005+Sens!D16007+Sens!D16009-Sens!D16011)+(Sens!D16004-Q!L5)+(Sens!D16011-Q!L12)+(Sens!D15992-Q!L6)+(Sens!D15997-Q!L7)</f>
        <v>0</v>
      </c>
      <c r="E16013" s="27" t="n">
        <f aca="false">(Sens!E15992+Sens!E15997+Sens!E15998+Sens!E16000+Sens!E16002-Sens!E16004)+(Sens!E16005+Sens!E16007+Sens!E16009-Sens!E16011)+(Sens!E16004-Q!M5)+(Sens!E16011-Q!M12)+(Sens!E15992-Q!M6)+(Sens!E15997-Q!M7)</f>
        <v>0</v>
      </c>
      <c r="F16013" s="27" t="n">
        <f aca="false">(Sens!F15992+Sens!F15997+Sens!F15998+Sens!F16000+Sens!F16002-Sens!F16004)+(Sens!F16005+Sens!F16007+Sens!F16009-Sens!F16011)</f>
        <v>0</v>
      </c>
      <c r="G16013" s="27" t="n">
        <f aca="false">(Sens!G15992+Sens!G15997+Sens!G15998+Sens!G16000+Sens!G16002-Sens!G16004)+(Sens!G16005+Sens!G16007+Sens!G16009-Sens!G16011)</f>
        <v>0</v>
      </c>
      <c r="H16013" s="27" t="n">
        <f aca="false">(Sens!H15992+Sens!H15997+Sens!H15998+Sens!H16000+Sens!H16002-Sens!H16004)+(Sens!H16005+Sens!H16007+Sens!H16009-Sens!H16011)</f>
        <v>0</v>
      </c>
      <c r="I16013" s="27" t="n">
        <f aca="false">(Sens!I15992+Sens!I15997+Sens!I15998+Sens!I16000+Sens!I16002-Sens!I16004)+(Sens!I16005+Sens!I16007+Sens!I16009-Sens!I16011)</f>
        <v>0</v>
      </c>
      <c r="J16013" s="27" t="n">
        <f aca="false">(Sens!J15992+Sens!J15997+Sens!J15998+Sens!J16000+Sens!J16002-Sens!J16004)+(Sens!J16005+Sens!J16007+Sens!J16009-Sens!J16011)</f>
        <v>0</v>
      </c>
      <c r="K16013" s="27" t="n">
        <f aca="false">(Sens!K15992+Sens!K15997+Sens!K15998+Sens!K16000+Sens!K16002-Sens!K16004)+(Sens!K16005+Sens!K16007+Sens!K16009-Sens!K16011)</f>
        <v>0</v>
      </c>
    </row>
    <row r="16014" customFormat="false" ht="17.15" hidden="false" customHeight="false" outlineLevel="0" collapsed="false">
      <c r="A16014" s="3" t="s">
        <v>2006</v>
      </c>
    </row>
    <row r="16015" customFormat="false" ht="15" hidden="false" customHeight="false" outlineLevel="0" collapsed="false">
      <c r="A16015" s="4" t="s">
        <v>43</v>
      </c>
      <c r="B16015" s="4" t="s">
        <v>65</v>
      </c>
      <c r="C16015" s="23" t="s">
        <v>942</v>
      </c>
      <c r="D16015" s="23" t="s">
        <v>943</v>
      </c>
      <c r="E16015" s="23" t="s">
        <v>944</v>
      </c>
      <c r="F16015" s="23" t="s">
        <v>945</v>
      </c>
      <c r="G16015" s="23" t="s">
        <v>946</v>
      </c>
      <c r="H16015" s="23" t="s">
        <v>947</v>
      </c>
      <c r="I16015" s="23" t="s">
        <v>948</v>
      </c>
      <c r="J16015" s="23" t="s">
        <v>949</v>
      </c>
      <c r="K16015" s="23" t="s">
        <v>950</v>
      </c>
      <c r="L16015" s="4" t="s">
        <v>47</v>
      </c>
    </row>
    <row r="16016" customFormat="false" ht="15" hidden="false" customHeight="false" outlineLevel="0" collapsed="false">
      <c r="A16016" s="0" t="s">
        <v>1029</v>
      </c>
      <c r="B16016" s="0" t="s">
        <v>98</v>
      </c>
      <c r="D16016" s="6" t="n">
        <f aca="false">Sens!D15992</f>
        <v>72.61</v>
      </c>
      <c r="E16016" s="6" t="n">
        <f aca="false">Sens!E15992</f>
        <v>101.938</v>
      </c>
      <c r="F16016" s="6" t="n">
        <f aca="false">Sens!F15992</f>
        <v>138.049240656588</v>
      </c>
      <c r="G16016" s="6" t="n">
        <f aca="false">Sens!G15992</f>
        <v>166.84394711146</v>
      </c>
      <c r="H16016" s="6" t="n">
        <f aca="false">Sens!H15992</f>
        <v>191.493171387655</v>
      </c>
      <c r="I16016" s="6" t="n">
        <f aca="false">Sens!I15992</f>
        <v>210.175785607813</v>
      </c>
      <c r="J16016" s="6" t="n">
        <f aca="false">Sens!J15992</f>
        <v>227.904148043793</v>
      </c>
      <c r="K16016" s="6" t="n">
        <f aca="false">Sens!K15992</f>
        <v>244.927100177807</v>
      </c>
    </row>
    <row r="16017" customFormat="false" ht="17.15" hidden="false" customHeight="false" outlineLevel="0" collapsed="false">
      <c r="A16017" s="0" t="s">
        <v>1025</v>
      </c>
      <c r="B16017" s="0" t="s">
        <v>98</v>
      </c>
      <c r="D16017" s="6" t="n">
        <f aca="false">Sens!D15989</f>
        <v>12.9359794422418</v>
      </c>
      <c r="E16017" s="6" t="n">
        <f aca="false">Sens!E15989</f>
        <v>27.8095064661409</v>
      </c>
      <c r="F16017" s="6" t="n">
        <f aca="false">Sens!F15989</f>
        <v>44.3154260331949</v>
      </c>
      <c r="G16017" s="6" t="n">
        <f aca="false">Sens!G15989</f>
        <v>55.4741850646324</v>
      </c>
      <c r="H16017" s="6" t="n">
        <f aca="false">Sens!H15989</f>
        <v>62.1804107508501</v>
      </c>
      <c r="I16017" s="6" t="n">
        <f aca="false">Sens!I15989</f>
        <v>63.5254647343612</v>
      </c>
      <c r="J16017" s="6" t="n">
        <f aca="false">Sens!J15989</f>
        <v>65.5567707502758</v>
      </c>
      <c r="K16017" s="6" t="n">
        <f aca="false">Sens!K15989</f>
        <v>69.5919327008091</v>
      </c>
    </row>
    <row r="16018" customFormat="false" ht="17.15" hidden="false" customHeight="false" outlineLevel="0" collapsed="false">
      <c r="A16018" s="0" t="s">
        <v>1056</v>
      </c>
      <c r="B16018" s="0" t="s">
        <v>98</v>
      </c>
      <c r="D16018" s="6" t="n">
        <f aca="false">Sens!D15990</f>
        <v>59.6740205577583</v>
      </c>
      <c r="E16018" s="6" t="n">
        <f aca="false">Sens!E15990</f>
        <v>74.1284935338591</v>
      </c>
      <c r="F16018" s="6" t="n">
        <f aca="false">Sens!F15990</f>
        <v>93.7338146233927</v>
      </c>
      <c r="G16018" s="6" t="n">
        <f aca="false">Sens!G15990</f>
        <v>111.369762046828</v>
      </c>
      <c r="H16018" s="6" t="n">
        <f aca="false">Sens!H15990</f>
        <v>129.312760636805</v>
      </c>
      <c r="I16018" s="6" t="n">
        <f aca="false">Sens!I15990</f>
        <v>146.650320873452</v>
      </c>
      <c r="J16018" s="6" t="n">
        <f aca="false">Sens!J15990</f>
        <v>162.347377293517</v>
      </c>
      <c r="K16018" s="6" t="n">
        <f aca="false">Sens!K15990</f>
        <v>175.335167476998</v>
      </c>
    </row>
    <row r="16019" customFormat="false" ht="15" hidden="false" customHeight="false" outlineLevel="0" collapsed="false">
      <c r="A16019" s="0" t="s">
        <v>1036</v>
      </c>
      <c r="B16019" s="0" t="s">
        <v>98</v>
      </c>
      <c r="D16019" s="6" t="n">
        <f aca="false">Sens!D15997</f>
        <v>84.605</v>
      </c>
      <c r="E16019" s="6" t="n">
        <f aca="false">Sens!E15997</f>
        <v>100.299</v>
      </c>
      <c r="F16019" s="6" t="n">
        <f aca="false">Sens!F15997</f>
        <v>119.729653205718</v>
      </c>
      <c r="G16019" s="6" t="n">
        <f aca="false">Sens!G15997</f>
        <v>140.806092647576</v>
      </c>
      <c r="H16019" s="6" t="n">
        <f aca="false">Sens!H15997</f>
        <v>161.963437602768</v>
      </c>
      <c r="I16019" s="6" t="n">
        <f aca="false">Sens!I15997</f>
        <v>180.695354741933</v>
      </c>
      <c r="J16019" s="6" t="n">
        <f aca="false">Sens!J15997</f>
        <v>196.722117481571</v>
      </c>
      <c r="K16019" s="6" t="n">
        <f aca="false">Sens!K15997</f>
        <v>212.00016570528</v>
      </c>
    </row>
    <row r="16020" customFormat="false" ht="17.15" hidden="false" customHeight="false" outlineLevel="0" collapsed="false">
      <c r="A16020" s="0" t="s">
        <v>1057</v>
      </c>
      <c r="B16020" s="0" t="s">
        <v>98</v>
      </c>
      <c r="D16020" s="6" t="n">
        <f aca="false">Sens!D15995</f>
        <v>83.705</v>
      </c>
      <c r="E16020" s="6" t="n">
        <f aca="false">Sens!E15995</f>
        <v>95.049</v>
      </c>
      <c r="F16020" s="6" t="n">
        <f aca="false">Sens!F15995</f>
        <v>106.229653205718</v>
      </c>
      <c r="G16020" s="6" t="n">
        <f aca="false">Sens!G15995</f>
        <v>118.306092647576</v>
      </c>
      <c r="H16020" s="6" t="n">
        <f aca="false">Sens!H15995</f>
        <v>130.463437602768</v>
      </c>
      <c r="I16020" s="6" t="n">
        <f aca="false">Sens!I15995</f>
        <v>142.445354741933</v>
      </c>
      <c r="J16020" s="6" t="n">
        <f aca="false">Sens!J15995</f>
        <v>153.972117481571</v>
      </c>
      <c r="K16020" s="6" t="n">
        <f aca="false">Sens!K15995</f>
        <v>164.75016570528</v>
      </c>
    </row>
    <row r="16021" customFormat="false" ht="17.15" hidden="false" customHeight="false" outlineLevel="0" collapsed="false">
      <c r="A16021" s="0" t="s">
        <v>1058</v>
      </c>
      <c r="B16021" s="0" t="s">
        <v>98</v>
      </c>
      <c r="D16021" s="6" t="n">
        <f aca="false">Sens!D15994</f>
        <v>0.9</v>
      </c>
      <c r="E16021" s="6" t="n">
        <f aca="false">Sens!E15994</f>
        <v>5.25</v>
      </c>
      <c r="F16021" s="6" t="n">
        <f aca="false">Sens!F15994</f>
        <v>13.5</v>
      </c>
      <c r="G16021" s="6" t="n">
        <f aca="false">Sens!G15994</f>
        <v>22.5</v>
      </c>
      <c r="H16021" s="6" t="n">
        <f aca="false">Sens!H15994</f>
        <v>31.5</v>
      </c>
      <c r="I16021" s="6" t="n">
        <f aca="false">Sens!I15994</f>
        <v>38.25</v>
      </c>
      <c r="J16021" s="6" t="n">
        <f aca="false">Sens!J15994</f>
        <v>42.75</v>
      </c>
      <c r="K16021" s="6" t="n">
        <f aca="false">Sens!K15994</f>
        <v>47.25</v>
      </c>
    </row>
    <row r="16022" customFormat="false" ht="15" hidden="false" customHeight="false" outlineLevel="0" collapsed="false">
      <c r="A16022" s="0" t="s">
        <v>1037</v>
      </c>
      <c r="B16022" s="0" t="s">
        <v>98</v>
      </c>
      <c r="D16022" s="6" t="n">
        <f aca="false">Sens!D15998</f>
        <v>35.391</v>
      </c>
      <c r="E16022" s="6" t="n">
        <f aca="false">Sens!E15998</f>
        <v>37.285</v>
      </c>
      <c r="F16022" s="6" t="n">
        <f aca="false">Sens!F15998</f>
        <v>38.3851437782675</v>
      </c>
      <c r="G16022" s="6" t="n">
        <f aca="false">Sens!G15998</f>
        <v>40.0105353288615</v>
      </c>
      <c r="H16022" s="6" t="n">
        <f aca="false">Sens!H15998</f>
        <v>41.4812512033683</v>
      </c>
      <c r="I16022" s="6" t="n">
        <f aca="false">Sens!I15998</f>
        <v>42.7743107216329</v>
      </c>
      <c r="J16022" s="6" t="n">
        <f aca="false">Sens!J15998</f>
        <v>43.8687373064601</v>
      </c>
      <c r="K16022" s="6" t="n">
        <f aca="false">Sens!K15998</f>
        <v>44.7461120525893</v>
      </c>
    </row>
    <row r="16023" customFormat="false" ht="15" hidden="false" customHeight="false" outlineLevel="0" collapsed="false">
      <c r="A16023" s="0" t="s">
        <v>1039</v>
      </c>
      <c r="B16023" s="0" t="s">
        <v>98</v>
      </c>
      <c r="D16023" s="6" t="n">
        <f aca="false">Sens!D16000</f>
        <v>18.417</v>
      </c>
      <c r="E16023" s="6" t="n">
        <f aca="false">Sens!E16000</f>
        <v>20.345</v>
      </c>
      <c r="F16023" s="6" t="n">
        <f aca="false">Sens!F16000</f>
        <v>22.3161797133988</v>
      </c>
      <c r="G16023" s="6" t="n">
        <f aca="false">Sens!G16000</f>
        <v>24.3943499673233</v>
      </c>
      <c r="H16023" s="6" t="n">
        <f aca="false">Sens!H16000</f>
        <v>26.5250243109019</v>
      </c>
      <c r="I16023" s="6" t="n">
        <f aca="false">Sens!I16000</f>
        <v>28.6884573538181</v>
      </c>
      <c r="J16023" s="6" t="n">
        <f aca="false">Sens!J16000</f>
        <v>30.8624968052127</v>
      </c>
      <c r="K16023" s="6" t="n">
        <f aca="false">Sens!K16000</f>
        <v>33.0228715815776</v>
      </c>
    </row>
    <row r="16024" customFormat="false" ht="15" hidden="false" customHeight="false" outlineLevel="0" collapsed="false">
      <c r="A16024" s="0" t="s">
        <v>1040</v>
      </c>
      <c r="B16024" s="0" t="s">
        <v>98</v>
      </c>
      <c r="D16024" s="6" t="n">
        <f aca="false">Sens!D16002</f>
        <v>7.76</v>
      </c>
      <c r="E16024" s="6" t="n">
        <f aca="false">Sens!E16002</f>
        <v>8.26</v>
      </c>
      <c r="F16024" s="6" t="n">
        <f aca="false">Sens!F16002</f>
        <v>8.75372082474227</v>
      </c>
      <c r="G16024" s="6" t="n">
        <f aca="false">Sens!G16002</f>
        <v>9.33399324642364</v>
      </c>
      <c r="H16024" s="6" t="n">
        <f aca="false">Sens!H16002</f>
        <v>9.96139155535851</v>
      </c>
      <c r="I16024" s="6" t="n">
        <f aca="false">Sens!I16002</f>
        <v>10.6402039077391</v>
      </c>
      <c r="J16024" s="6" t="n">
        <f aca="false">Sens!J16002</f>
        <v>11.3751458271397</v>
      </c>
      <c r="K16024" s="6" t="n">
        <f aca="false">Sens!K16002</f>
        <v>12.1714060350394</v>
      </c>
    </row>
    <row r="16025" customFormat="false" ht="15" hidden="false" customHeight="false" outlineLevel="0" collapsed="false">
      <c r="A16025" s="0" t="s">
        <v>856</v>
      </c>
      <c r="B16025" s="0" t="s">
        <v>98</v>
      </c>
      <c r="D16025" s="6" t="n">
        <f aca="false">Sens!D16004</f>
        <v>218.783</v>
      </c>
      <c r="E16025" s="6" t="n">
        <f aca="false">Sens!E16004</f>
        <v>268.127</v>
      </c>
      <c r="F16025" s="6" t="n">
        <f aca="false">Sens!F16004</f>
        <v>327.233938178714</v>
      </c>
      <c r="G16025" s="6" t="n">
        <f aca="false">Sens!G16004</f>
        <v>381.388918301645</v>
      </c>
      <c r="H16025" s="6" t="n">
        <f aca="false">Sens!H16004</f>
        <v>431.424276060052</v>
      </c>
      <c r="I16025" s="6" t="n">
        <f aca="false">Sens!I16004</f>
        <v>472.974112332936</v>
      </c>
      <c r="J16025" s="6" t="n">
        <f aca="false">Sens!J16004</f>
        <v>510.732645464176</v>
      </c>
      <c r="K16025" s="6" t="n">
        <f aca="false">Sens!K16004</f>
        <v>546.867655552294</v>
      </c>
    </row>
    <row r="16026" customFormat="false" ht="15" hidden="false" customHeight="false" outlineLevel="0" collapsed="false">
      <c r="A16026" s="0" t="s">
        <v>1041</v>
      </c>
      <c r="B16026" s="0" t="s">
        <v>98</v>
      </c>
      <c r="D16026" s="6" t="n">
        <f aca="false">Sens!D16005</f>
        <v>22.171</v>
      </c>
      <c r="E16026" s="6" t="n">
        <f aca="false">Sens!E16005</f>
        <v>24.835</v>
      </c>
      <c r="F16026" s="6" t="n">
        <f aca="false">Sens!F16005</f>
        <v>27.5591895660247</v>
      </c>
      <c r="G16026" s="6" t="n">
        <f aca="false">Sens!G16005</f>
        <v>30.4098563144583</v>
      </c>
      <c r="H16026" s="6" t="n">
        <f aca="false">Sens!H16005</f>
        <v>33.3011792571777</v>
      </c>
      <c r="I16026" s="6" t="n">
        <f aca="false">Sens!I16005</f>
        <v>36.189023797112</v>
      </c>
      <c r="J16026" s="6" t="n">
        <f aca="false">Sens!J16005</f>
        <v>39.0247773769199</v>
      </c>
      <c r="K16026" s="6" t="n">
        <f aca="false">Sens!K16005</f>
        <v>41.7565117933043</v>
      </c>
    </row>
    <row r="16027" customFormat="false" ht="15" hidden="false" customHeight="false" outlineLevel="0" collapsed="false">
      <c r="A16027" s="0" t="s">
        <v>1042</v>
      </c>
      <c r="B16027" s="0" t="s">
        <v>98</v>
      </c>
      <c r="D16027" s="6" t="n">
        <f aca="false">Sens!D16007</f>
        <v>23.455</v>
      </c>
      <c r="E16027" s="6" t="n">
        <f aca="false">Sens!E16007</f>
        <v>21.79</v>
      </c>
      <c r="F16027" s="6" t="n">
        <f aca="false">Sens!F16007</f>
        <v>20.7520981041711</v>
      </c>
      <c r="G16027" s="6" t="n">
        <f aca="false">Sens!G16007</f>
        <v>19.9083593495882</v>
      </c>
      <c r="H16027" s="6" t="n">
        <f aca="false">Sens!H16007</f>
        <v>19.4008256265831</v>
      </c>
      <c r="I16027" s="6" t="n">
        <f aca="false">Sens!I16007</f>
        <v>19.200434522122</v>
      </c>
      <c r="J16027" s="6" t="n">
        <f aca="false">Sens!J16007</f>
        <v>19.2932782348507</v>
      </c>
      <c r="K16027" s="6" t="n">
        <f aca="false">Sens!K16007</f>
        <v>19.6791437995477</v>
      </c>
    </row>
    <row r="16028" customFormat="false" ht="15" hidden="false" customHeight="false" outlineLevel="0" collapsed="false">
      <c r="A16028" s="0" t="s">
        <v>1043</v>
      </c>
      <c r="B16028" s="0" t="s">
        <v>98</v>
      </c>
      <c r="D16028" s="6" t="n">
        <f aca="false">Sens!D16009</f>
        <v>17.315</v>
      </c>
      <c r="E16028" s="6" t="n">
        <f aca="false">Sens!E16009</f>
        <v>17.087</v>
      </c>
      <c r="F16028" s="6" t="n">
        <f aca="false">Sens!F16009</f>
        <v>15.9912273250553</v>
      </c>
      <c r="G16028" s="6" t="n">
        <f aca="false">Sens!G16009</f>
        <v>15.9574562664827</v>
      </c>
      <c r="H16028" s="6" t="n">
        <f aca="false">Sens!H16009</f>
        <v>16.0119687434196</v>
      </c>
      <c r="I16028" s="6" t="n">
        <f aca="false">Sens!I16009</f>
        <v>16.1551810001948</v>
      </c>
      <c r="J16028" s="6" t="n">
        <f aca="false">Sens!J16009</f>
        <v>16.3889793892005</v>
      </c>
      <c r="K16028" s="6" t="n">
        <f aca="false">Sens!K16009</f>
        <v>16.7167589769845</v>
      </c>
    </row>
    <row r="16029" customFormat="false" ht="15" hidden="false" customHeight="false" outlineLevel="0" collapsed="false">
      <c r="A16029" s="0" t="s">
        <v>870</v>
      </c>
      <c r="B16029" s="0" t="s">
        <v>98</v>
      </c>
      <c r="D16029" s="6" t="n">
        <f aca="false">Sens!D16011</f>
        <v>62.941</v>
      </c>
      <c r="E16029" s="6" t="n">
        <f aca="false">Sens!E16011</f>
        <v>63.712</v>
      </c>
      <c r="F16029" s="6" t="n">
        <f aca="false">Sens!F16011</f>
        <v>64.3025149952511</v>
      </c>
      <c r="G16029" s="6" t="n">
        <f aca="false">Sens!G16011</f>
        <v>66.2756719305292</v>
      </c>
      <c r="H16029" s="6" t="n">
        <f aca="false">Sens!H16011</f>
        <v>68.7139736271804</v>
      </c>
      <c r="I16029" s="6" t="n">
        <f aca="false">Sens!I16011</f>
        <v>71.5446393194289</v>
      </c>
      <c r="J16029" s="6" t="n">
        <f aca="false">Sens!J16011</f>
        <v>74.707035000971</v>
      </c>
      <c r="K16029" s="6" t="n">
        <f aca="false">Sens!K16011</f>
        <v>78.1524145698365</v>
      </c>
    </row>
    <row r="16030" customFormat="false" ht="15" hidden="false" customHeight="false" outlineLevel="0" collapsed="false">
      <c r="A16030" s="1" t="s">
        <v>1059</v>
      </c>
      <c r="B16030" s="0" t="s">
        <v>98</v>
      </c>
      <c r="D16030" s="6" t="n">
        <f aca="false">Sens!D16012</f>
        <v>281.724</v>
      </c>
      <c r="E16030" s="6" t="n">
        <f aca="false">Sens!E16012</f>
        <v>331.839</v>
      </c>
      <c r="F16030" s="6" t="n">
        <f aca="false">Sens!F16012</f>
        <v>391.536453173965</v>
      </c>
      <c r="G16030" s="6" t="n">
        <f aca="false">Sens!G16012</f>
        <v>447.664590232174</v>
      </c>
      <c r="H16030" s="6" t="n">
        <f aca="false">Sens!H16012</f>
        <v>500.138249687232</v>
      </c>
      <c r="I16030" s="6" t="n">
        <f aca="false">Sens!I16012</f>
        <v>544.518751652365</v>
      </c>
      <c r="J16030" s="6" t="n">
        <f aca="false">Sens!J16012</f>
        <v>585.439680465147</v>
      </c>
      <c r="K16030" s="6" t="n">
        <f aca="false">Sens!K16012</f>
        <v>625.020070122131</v>
      </c>
    </row>
    <row r="16031" customFormat="false" ht="15" hidden="false" customHeight="false" outlineLevel="0" collapsed="false">
      <c r="A16031" s="1" t="s">
        <v>1060</v>
      </c>
      <c r="B16031" s="0" t="s">
        <v>168</v>
      </c>
      <c r="E16031" s="7" t="n">
        <f aca="false">Sens!E16030/Sens!D16030-1</f>
        <v>0.177886867998467</v>
      </c>
      <c r="F16031" s="7" t="n">
        <f aca="false">Sens!F16030/Sens!E16030-1</f>
        <v>0.179898846048732</v>
      </c>
      <c r="G16031" s="7" t="n">
        <f aca="false">Sens!G16030/Sens!F16030-1</f>
        <v>0.14335354116637</v>
      </c>
      <c r="H16031" s="7" t="n">
        <f aca="false">Sens!H16030/Sens!G16030-1</f>
        <v>0.117216462056656</v>
      </c>
      <c r="I16031" s="7" t="n">
        <f aca="false">Sens!I16030/Sens!H16030-1</f>
        <v>0.0887364683522736</v>
      </c>
      <c r="J16031" s="7" t="n">
        <f aca="false">Sens!J16030/Sens!I16030-1</f>
        <v>0.0751506329003466</v>
      </c>
      <c r="K16031" s="7" t="n">
        <f aca="false">Sens!K16030/Sens!J16030-1</f>
        <v>0.0676079722261671</v>
      </c>
    </row>
    <row r="16032" customFormat="false" ht="17.15" hidden="false" customHeight="false" outlineLevel="0" collapsed="false">
      <c r="A16032" s="26" t="s">
        <v>1061</v>
      </c>
      <c r="B16032" s="31" t="s">
        <v>98</v>
      </c>
      <c r="C16032" s="31"/>
      <c r="D16032" s="27" t="n">
        <f aca="false">(Sens!D16025+Sens!D16029-Sens!D16030)+(Sens!D16017+Sens!D16018-Sens!D16016)+(Sens!D16020+Sens!D16021-Sens!D16019)+(Sens!D16030-Q!L18)</f>
        <v>0</v>
      </c>
      <c r="E16032" s="27" t="n">
        <f aca="false">(Sens!E16025+Sens!E16029-Sens!E16030)+(Sens!E16017+Sens!E16018-Sens!E16016)+(Sens!E16020+Sens!E16021-Sens!E16019)+(Sens!E16030-Q!M18)</f>
        <v>0</v>
      </c>
      <c r="F16032" s="27" t="n">
        <f aca="false">(Sens!F16025+Sens!F16029-Sens!F16030)+(Sens!F16017+Sens!F16018-Sens!F16016)+(Sens!F16020+Sens!F16021-Sens!F16019)</f>
        <v>0</v>
      </c>
      <c r="G16032" s="27" t="n">
        <f aca="false">(Sens!G16025+Sens!G16029-Sens!G16030)+(Sens!G16017+Sens!G16018-Sens!G16016)+(Sens!G16020+Sens!G16021-Sens!G16019)</f>
        <v>0</v>
      </c>
      <c r="H16032" s="27" t="n">
        <f aca="false">(Sens!H16025+Sens!H16029-Sens!H16030)+(Sens!H16017+Sens!H16018-Sens!H16016)+(Sens!H16020+Sens!H16021-Sens!H16019)</f>
        <v>0</v>
      </c>
      <c r="I16032" s="27" t="n">
        <f aca="false">(Sens!I16025+Sens!I16029-Sens!I16030)+(Sens!I16017+Sens!I16018-Sens!I16016)+(Sens!I16020+Sens!I16021-Sens!I16019)</f>
        <v>0</v>
      </c>
      <c r="J16032" s="27" t="n">
        <f aca="false">(Sens!J16025+Sens!J16029-Sens!J16030)+(Sens!J16017+Sens!J16018-Sens!J16016)+(Sens!J16020+Sens!J16021-Sens!J16019)</f>
        <v>0</v>
      </c>
      <c r="K16032" s="27" t="n">
        <f aca="false">(Sens!K16025+Sens!K16029-Sens!K16030)+(Sens!K16017+Sens!K16018-Sens!K16016)+(Sens!K16020+Sens!K16021-Sens!K16019)</f>
        <v>0</v>
      </c>
    </row>
    <row r="16033" customFormat="false" ht="17.15" hidden="false" customHeight="false" outlineLevel="0" collapsed="false">
      <c r="A16033" s="0" t="s">
        <v>1062</v>
      </c>
      <c r="B16033" s="0" t="s">
        <v>168</v>
      </c>
      <c r="E16033" s="7" t="n">
        <f aca="false">(Q!M21+Sens!E15969+Sens!E15970+Sens!E15971+Sens!E15985-Sens!E15967)/(Q!M5-Sens!E15967)</f>
        <v>0.570957350878296</v>
      </c>
      <c r="F16033" s="7" t="n">
        <f aca="false">Sens!$E$16033+dm_seg</f>
        <v>0.570957350878296</v>
      </c>
      <c r="G16033" s="7" t="n">
        <f aca="false">Sens!$E$16033+dm_seg</f>
        <v>0.570957350878296</v>
      </c>
      <c r="H16033" s="7" t="n">
        <f aca="false">Sens!$E$16033+dm_seg</f>
        <v>0.570957350878296</v>
      </c>
      <c r="I16033" s="7" t="n">
        <f aca="false">Sens!$E$16033+dm_seg</f>
        <v>0.570957350878296</v>
      </c>
      <c r="J16033" s="7" t="n">
        <f aca="false">Sens!$E$16033+dm_seg</f>
        <v>0.570957350878296</v>
      </c>
      <c r="K16033" s="7" t="n">
        <f aca="false">Sens!$E$16033+dm_seg</f>
        <v>0.570957350878296</v>
      </c>
      <c r="L16033" s="12" t="s">
        <v>1063</v>
      </c>
    </row>
    <row r="16034" customFormat="false" ht="17.15" hidden="false" customHeight="false" outlineLevel="0" collapsed="false">
      <c r="A16034" s="0" t="s">
        <v>884</v>
      </c>
      <c r="B16034" s="0" t="s">
        <v>98</v>
      </c>
      <c r="D16034" s="6" t="n">
        <f aca="false">Q!L21</f>
        <v>110.814</v>
      </c>
      <c r="E16034" s="6" t="n">
        <f aca="false">Q!M21</f>
        <v>136.365</v>
      </c>
      <c r="F16034" s="6" t="n">
        <f aca="false">Q!$I$21+(Sens!F16033*(Sens!F16004-Sens!F15967)+Sens!F15967-(Sens!F15969+Sens!F15970+Sens!F15971)-Sens!F15985-Sens!F16068)*(Sens!F16004-Q!$I$5)/Sens!F16004</f>
        <v>154.956656769667</v>
      </c>
      <c r="G16034" s="6" t="n">
        <f aca="false">(Sens!G16033*(Sens!G16004-Sens!G15967)+Sens!G15967-(Sens!G15969+Sens!G15970+Sens!G15971)-Sens!G15985-Sens!G16068)</f>
        <v>178.972846883971</v>
      </c>
      <c r="H16034" s="6" t="n">
        <f aca="false">(Sens!H16033*(Sens!H16004-Sens!H15967)+Sens!H15967-(Sens!H15969+Sens!H15970+Sens!H15971)-Sens!H15985-Sens!H16068)</f>
        <v>208.148005122032</v>
      </c>
      <c r="I16034" s="6" t="n">
        <f aca="false">(Sens!I16033*(Sens!I16004-Sens!I15967)+Sens!I15967-(Sens!I15969+Sens!I15970+Sens!I15971)-Sens!I15985-Sens!I16068)</f>
        <v>232.875237086419</v>
      </c>
      <c r="J16034" s="6" t="n">
        <f aca="false">(Sens!J16033*(Sens!J16004-Sens!J15967)+Sens!J15967-(Sens!J15969+Sens!J15970+Sens!J15971)-Sens!J15985-Sens!J16068)</f>
        <v>254.71481805458</v>
      </c>
      <c r="K16034" s="6" t="n">
        <f aca="false">(Sens!K16033*(Sens!K16004-Sens!K15967)+Sens!K15967-(Sens!K15969+Sens!K15970+Sens!K15971)-Sens!K15985-Sens!K16068)</f>
        <v>275.073308667048</v>
      </c>
      <c r="L16034" s="1" t="s">
        <v>1064</v>
      </c>
    </row>
    <row r="16035" customFormat="false" ht="17.15" hidden="false" customHeight="false" outlineLevel="0" collapsed="false">
      <c r="A16035" s="0" t="s">
        <v>1065</v>
      </c>
      <c r="B16035" s="0" t="s">
        <v>168</v>
      </c>
      <c r="E16035" s="7" t="n">
        <f aca="false">Q!M22/Q!M12</f>
        <v>0.296207935710698</v>
      </c>
      <c r="F16035" s="7" t="n">
        <f aca="false">Sens!$E$16035+dm_seg</f>
        <v>0.296207935710698</v>
      </c>
      <c r="G16035" s="7" t="n">
        <f aca="false">Sens!$E$16035+dm_seg</f>
        <v>0.296207935710698</v>
      </c>
      <c r="H16035" s="7" t="n">
        <f aca="false">Sens!$E$16035+dm_seg</f>
        <v>0.296207935710698</v>
      </c>
      <c r="I16035" s="7" t="n">
        <f aca="false">Sens!$E$16035+dm_seg</f>
        <v>0.296207935710698</v>
      </c>
      <c r="J16035" s="7" t="n">
        <f aca="false">Sens!$E$16035+dm_seg</f>
        <v>0.296207935710698</v>
      </c>
      <c r="K16035" s="7" t="n">
        <f aca="false">Sens!$E$16035+dm_seg</f>
        <v>0.296207935710698</v>
      </c>
      <c r="L16035" s="12" t="s">
        <v>1066</v>
      </c>
    </row>
    <row r="16036" customFormat="false" ht="17.15" hidden="false" customHeight="false" outlineLevel="0" collapsed="false">
      <c r="A16036" s="0" t="s">
        <v>886</v>
      </c>
      <c r="B16036" s="0" t="s">
        <v>98</v>
      </c>
      <c r="D16036" s="6" t="n">
        <f aca="false">Q!L22</f>
        <v>17.714</v>
      </c>
      <c r="E16036" s="6" t="n">
        <f aca="false">Q!M22</f>
        <v>18.872</v>
      </c>
      <c r="F16036" s="6" t="n">
        <f aca="false">Q!$I$22+(Sens!F16011-Q!$I$12)*Sens!F16035</f>
        <v>19.8174315512051</v>
      </c>
      <c r="G16036" s="6" t="n">
        <f aca="false">Sens!G16011*Sens!G16035</f>
        <v>19.6313799703815</v>
      </c>
      <c r="H16036" s="6" t="n">
        <f aca="false">Sens!H16011*Sens!H16035</f>
        <v>20.3536242825865</v>
      </c>
      <c r="I16036" s="6" t="n">
        <f aca="false">Sens!I16011*Sens!I16035</f>
        <v>21.1920899239745</v>
      </c>
      <c r="J16036" s="6" t="n">
        <f aca="false">Sens!J16011*Sens!J16035</f>
        <v>22.1288166207045</v>
      </c>
      <c r="K16036" s="6" t="n">
        <f aca="false">Sens!K16011*Sens!K16035</f>
        <v>23.1493653905379</v>
      </c>
      <c r="L16036" s="12" t="s">
        <v>1067</v>
      </c>
    </row>
    <row r="16037" customFormat="false" ht="15" hidden="false" customHeight="false" outlineLevel="0" collapsed="false">
      <c r="A16037" s="1" t="s">
        <v>1068</v>
      </c>
      <c r="B16037" s="0" t="s">
        <v>98</v>
      </c>
      <c r="D16037" s="6" t="n">
        <f aca="false">Sens!D16034+Sens!D16036</f>
        <v>128.528</v>
      </c>
      <c r="E16037" s="6" t="n">
        <f aca="false">Sens!E16034+Sens!E16036</f>
        <v>155.237</v>
      </c>
      <c r="F16037" s="6" t="n">
        <f aca="false">Sens!F16034+Sens!F16036</f>
        <v>174.774088320872</v>
      </c>
      <c r="G16037" s="6" t="n">
        <f aca="false">Sens!G16034+Sens!G16036</f>
        <v>198.604226854352</v>
      </c>
      <c r="H16037" s="6" t="n">
        <f aca="false">Sens!H16034+Sens!H16036</f>
        <v>228.501629404618</v>
      </c>
      <c r="I16037" s="6" t="n">
        <f aca="false">Sens!I16034+Sens!I16036</f>
        <v>254.067327010393</v>
      </c>
      <c r="J16037" s="6" t="n">
        <f aca="false">Sens!J16034+Sens!J16036</f>
        <v>276.843634675284</v>
      </c>
      <c r="K16037" s="6" t="n">
        <f aca="false">Sens!K16034+Sens!K16036</f>
        <v>298.222674057586</v>
      </c>
    </row>
    <row r="16038" customFormat="false" ht="15" hidden="false" customHeight="false" outlineLevel="0" collapsed="false">
      <c r="A16038" s="26" t="s">
        <v>1069</v>
      </c>
      <c r="B16038" s="31" t="s">
        <v>98</v>
      </c>
      <c r="C16038" s="31"/>
      <c r="D16038" s="27" t="n">
        <f aca="false">Sens!D16037-Q!L23</f>
        <v>0</v>
      </c>
      <c r="E16038" s="27" t="n">
        <f aca="false">Sens!E16037-Q!M23</f>
        <v>0</v>
      </c>
      <c r="F16038" s="31"/>
      <c r="G16038" s="31"/>
      <c r="H16038" s="31"/>
      <c r="I16038" s="31"/>
      <c r="J16038" s="31"/>
      <c r="K16038" s="31"/>
    </row>
    <row r="16039" customFormat="false" ht="15" hidden="false" customHeight="false" outlineLevel="0" collapsed="false">
      <c r="A16039" s="1" t="s">
        <v>1070</v>
      </c>
      <c r="B16039" s="0" t="s">
        <v>168</v>
      </c>
      <c r="D16039" s="7" t="n">
        <f aca="false">Sens!D16037/Sens!D16030</f>
        <v>0.456219562408598</v>
      </c>
      <c r="E16039" s="7" t="n">
        <f aca="false">Sens!E16037/Sens!E16030</f>
        <v>0.467808184089272</v>
      </c>
      <c r="F16039" s="7" t="n">
        <f aca="false">Sens!F16037/Sens!F16030</f>
        <v>0.446380118387641</v>
      </c>
      <c r="G16039" s="7" t="n">
        <f aca="false">Sens!G16037/Sens!G16030</f>
        <v>0.443645155743387</v>
      </c>
      <c r="H16039" s="7" t="n">
        <f aca="false">Sens!H16037/Sens!H16030</f>
        <v>0.456876932623159</v>
      </c>
      <c r="I16039" s="7" t="n">
        <f aca="false">Sens!I16037/Sens!I16030</f>
        <v>0.466590592591009</v>
      </c>
      <c r="J16039" s="7" t="n">
        <f aca="false">Sens!J16037/Sens!J16030</f>
        <v>0.472881569037693</v>
      </c>
      <c r="K16039" s="7" t="n">
        <f aca="false">Sens!K16037/Sens!K16030</f>
        <v>0.477140956448506</v>
      </c>
    </row>
    <row r="16040" customFormat="false" ht="17.15" hidden="false" customHeight="false" outlineLevel="0" collapsed="false">
      <c r="A16040" s="1" t="s">
        <v>1071</v>
      </c>
      <c r="B16040" s="0" t="s">
        <v>98</v>
      </c>
      <c r="F16040" s="6" t="n">
        <f aca="false">Sens!F16055</f>
        <v>0</v>
      </c>
      <c r="G16040" s="6" t="n">
        <f aca="false">Sens!G16055</f>
        <v>0</v>
      </c>
      <c r="H16040" s="6" t="n">
        <f aca="false">Sens!H16055</f>
        <v>0</v>
      </c>
      <c r="I16040" s="6" t="n">
        <f aca="false">Sens!I16055</f>
        <v>0</v>
      </c>
      <c r="J16040" s="6" t="n">
        <f aca="false">Sens!J16055</f>
        <v>0</v>
      </c>
      <c r="K16040" s="6" t="n">
        <f aca="false">Sens!K16055</f>
        <v>0</v>
      </c>
      <c r="L16040" s="1" t="s">
        <v>1072</v>
      </c>
    </row>
    <row r="16041" customFormat="false" ht="17.15" hidden="false" customHeight="false" outlineLevel="0" collapsed="false">
      <c r="A16041" s="1" t="s">
        <v>1073</v>
      </c>
      <c r="B16041" s="0" t="s">
        <v>98</v>
      </c>
      <c r="D16041" s="6" t="n">
        <f aca="false">Sens!D16037</f>
        <v>128.528</v>
      </c>
      <c r="E16041" s="6" t="n">
        <f aca="false">Sens!E16037</f>
        <v>155.237</v>
      </c>
      <c r="F16041" s="6" t="n">
        <f aca="false">Sens!F16037+Sens!F16040</f>
        <v>174.774088320872</v>
      </c>
      <c r="G16041" s="6" t="n">
        <f aca="false">Sens!G16037+Sens!G16040</f>
        <v>198.604226854352</v>
      </c>
      <c r="H16041" s="6" t="n">
        <f aca="false">Sens!H16037+Sens!H16040</f>
        <v>228.501629404618</v>
      </c>
      <c r="I16041" s="6" t="n">
        <f aca="false">Sens!I16037+Sens!I16040</f>
        <v>254.067327010393</v>
      </c>
      <c r="J16041" s="6" t="n">
        <f aca="false">Sens!J16037+Sens!J16040</f>
        <v>276.843634675284</v>
      </c>
      <c r="K16041" s="6" t="n">
        <f aca="false">Sens!K16037+Sens!K16040</f>
        <v>298.222674057586</v>
      </c>
    </row>
    <row r="16042" customFormat="false" ht="17.15" hidden="false" customHeight="false" outlineLevel="0" collapsed="false">
      <c r="A16042" s="1" t="s">
        <v>1074</v>
      </c>
      <c r="B16042" s="0" t="s">
        <v>98</v>
      </c>
      <c r="E16042" s="6" t="n">
        <f aca="false">Sens!E15985</f>
        <v>16.3054059770833</v>
      </c>
      <c r="F16042" s="6" t="n">
        <f aca="false">Sens!F15985</f>
        <v>24.549027677</v>
      </c>
      <c r="G16042" s="6" t="n">
        <f aca="false">Sens!G15985</f>
        <v>29.185632823</v>
      </c>
      <c r="H16042" s="6" t="n">
        <f aca="false">Sens!H15985</f>
        <v>31.677584917</v>
      </c>
      <c r="I16042" s="6" t="n">
        <f aca="false">Sens!I15985</f>
        <v>32.2298649310278</v>
      </c>
      <c r="J16042" s="6" t="n">
        <f aca="false">Sens!J15985</f>
        <v>33.6162004764444</v>
      </c>
      <c r="K16042" s="6" t="n">
        <f aca="false">Sens!K15985</f>
        <v>36.1070960499167</v>
      </c>
    </row>
    <row r="16043" customFormat="false" ht="17.15" hidden="false" customHeight="false" outlineLevel="0" collapsed="false">
      <c r="A16043" s="1" t="s">
        <v>1075</v>
      </c>
      <c r="B16043" s="0" t="s">
        <v>98</v>
      </c>
      <c r="E16043" s="6" t="n">
        <f aca="false">Sens!E16067</f>
        <v>22.2285940229167</v>
      </c>
      <c r="F16043" s="6" t="n">
        <f aca="false">Sens!F16067</f>
        <v>37.458367358225</v>
      </c>
      <c r="G16043" s="6" t="n">
        <f aca="false">Sens!G16067</f>
        <v>37.9475258739052</v>
      </c>
      <c r="H16043" s="6" t="n">
        <f aca="false">Sens!H16067</f>
        <v>38.9967052741839</v>
      </c>
      <c r="I16043" s="6" t="n">
        <f aca="false">Sens!I16067</f>
        <v>40.5147656763488</v>
      </c>
      <c r="J16043" s="6" t="n">
        <f aca="false">Sens!J16067</f>
        <v>42.3956285090621</v>
      </c>
      <c r="K16043" s="6" t="n">
        <f aca="false">Sens!K16067</f>
        <v>44.541474079613</v>
      </c>
    </row>
    <row r="16044" customFormat="false" ht="17.15" hidden="false" customHeight="false" outlineLevel="0" collapsed="false">
      <c r="A16044" s="1" t="s">
        <v>1076</v>
      </c>
      <c r="B16044" s="0" t="s">
        <v>98</v>
      </c>
      <c r="D16044" s="6" t="n">
        <f aca="false">Q!L27</f>
        <v>-4.901</v>
      </c>
      <c r="E16044" s="6" t="n">
        <f aca="false">Q!M27</f>
        <v>10.697</v>
      </c>
      <c r="F16044" s="6" t="n">
        <f aca="false">Q!$I$27+oie_f*(q_per_yr-1)/q_per_yr</f>
        <v>-0.862</v>
      </c>
      <c r="G16044" s="6" t="n">
        <f aca="false">oie_f</f>
        <v>-1.2</v>
      </c>
      <c r="H16044" s="6" t="n">
        <f aca="false">oie_f</f>
        <v>-1.2</v>
      </c>
      <c r="I16044" s="6" t="n">
        <f aca="false">oie_f</f>
        <v>-1.2</v>
      </c>
      <c r="J16044" s="6" t="n">
        <f aca="false">oie_f</f>
        <v>-1.2</v>
      </c>
      <c r="K16044" s="6" t="n">
        <f aca="false">oie_f</f>
        <v>-1.2</v>
      </c>
      <c r="L16044" s="12" t="s">
        <v>1077</v>
      </c>
    </row>
    <row r="16045" customFormat="false" ht="15" hidden="false" customHeight="false" outlineLevel="0" collapsed="false">
      <c r="A16045" s="1" t="s">
        <v>1078</v>
      </c>
      <c r="B16045" s="0" t="s">
        <v>98</v>
      </c>
      <c r="D16045" s="6" t="n">
        <f aca="false">Sens!D16037+Sens!D16044</f>
        <v>123.627</v>
      </c>
      <c r="E16045" s="6" t="n">
        <f aca="false">Sens!E16037+Sens!E16044</f>
        <v>165.934</v>
      </c>
      <c r="F16045" s="6" t="n">
        <f aca="false">Sens!F16037+Sens!F16044</f>
        <v>173.912088320872</v>
      </c>
      <c r="G16045" s="6" t="n">
        <f aca="false">Sens!G16037+Sens!G16044</f>
        <v>197.404226854352</v>
      </c>
      <c r="H16045" s="6" t="n">
        <f aca="false">Sens!H16037+Sens!H16044</f>
        <v>227.301629404618</v>
      </c>
      <c r="I16045" s="6" t="n">
        <f aca="false">Sens!I16037+Sens!I16044</f>
        <v>252.867327010393</v>
      </c>
      <c r="J16045" s="6" t="n">
        <f aca="false">Sens!J16037+Sens!J16044</f>
        <v>275.643634675284</v>
      </c>
      <c r="K16045" s="6" t="n">
        <f aca="false">Sens!K16037+Sens!K16044</f>
        <v>297.022674057586</v>
      </c>
    </row>
    <row r="16046" customFormat="false" ht="15" hidden="false" customHeight="false" outlineLevel="0" collapsed="false">
      <c r="A16046" s="1" t="s">
        <v>1079</v>
      </c>
      <c r="B16046" s="0" t="s">
        <v>98</v>
      </c>
      <c r="D16046" s="6" t="n">
        <f aca="false">Q!L29</f>
        <v>21.795</v>
      </c>
      <c r="E16046" s="6" t="n">
        <f aca="false">Q!M29</f>
        <v>32.185</v>
      </c>
      <c r="F16046" s="6" t="n">
        <f aca="false">Q!$I$29+(Sens!F16045-Q!$I$28)*tax_f</f>
        <v>34.9158176641744</v>
      </c>
      <c r="G16046" s="6" t="n">
        <f aca="false">Sens!G16045*tax_f</f>
        <v>39.4808453708705</v>
      </c>
      <c r="H16046" s="6" t="n">
        <f aca="false">Sens!H16045*tax_f</f>
        <v>45.4603258809237</v>
      </c>
      <c r="I16046" s="6" t="n">
        <f aca="false">Sens!I16045*tax_f</f>
        <v>50.5734654020787</v>
      </c>
      <c r="J16046" s="6" t="n">
        <f aca="false">Sens!J16045*tax_f</f>
        <v>55.1287269350568</v>
      </c>
      <c r="K16046" s="6" t="n">
        <f aca="false">Sens!K16045*tax_f</f>
        <v>59.4045348115172</v>
      </c>
    </row>
    <row r="16047" customFormat="false" ht="15" hidden="false" customHeight="false" outlineLevel="0" collapsed="false">
      <c r="A16047" s="1" t="s">
        <v>1080</v>
      </c>
      <c r="B16047" s="0" t="s">
        <v>98</v>
      </c>
      <c r="D16047" s="6" t="n">
        <f aca="false">Sens!D16045-Sens!D16046</f>
        <v>101.832</v>
      </c>
      <c r="E16047" s="6" t="n">
        <f aca="false">Sens!E16045-Sens!E16046</f>
        <v>133.749</v>
      </c>
      <c r="F16047" s="6" t="n">
        <f aca="false">Sens!F16045-Sens!F16046</f>
        <v>138.996270656697</v>
      </c>
      <c r="G16047" s="6" t="n">
        <f aca="false">Sens!G16045-Sens!G16046</f>
        <v>157.923381483482</v>
      </c>
      <c r="H16047" s="6" t="n">
        <f aca="false">Sens!H16045-Sens!H16046</f>
        <v>181.841303523695</v>
      </c>
      <c r="I16047" s="6" t="n">
        <f aca="false">Sens!I16045-Sens!I16046</f>
        <v>202.293861608315</v>
      </c>
      <c r="J16047" s="6" t="n">
        <f aca="false">Sens!J16045-Sens!J16046</f>
        <v>220.514907740227</v>
      </c>
      <c r="K16047" s="6" t="n">
        <f aca="false">Sens!K16045-Sens!K16046</f>
        <v>237.618139246069</v>
      </c>
    </row>
    <row r="16048" customFormat="false" ht="17.15" hidden="false" customHeight="false" outlineLevel="0" collapsed="false">
      <c r="A16048" s="1" t="s">
        <v>1081</v>
      </c>
      <c r="B16048" s="1" t="s">
        <v>81</v>
      </c>
      <c r="D16048" s="15" t="n">
        <f aca="false">Q!L31</f>
        <v>7.465</v>
      </c>
      <c r="E16048" s="15" t="n">
        <f aca="false">Q!M31</f>
        <v>7.453</v>
      </c>
      <c r="F16048" s="15" t="n">
        <f aca="false">Sens!F16092</f>
        <v>7.4735</v>
      </c>
      <c r="G16048" s="15" t="n">
        <f aca="false">Sens!G16092</f>
        <v>7.49981593415111</v>
      </c>
      <c r="H16048" s="15" t="n">
        <f aca="false">Sens!H16092</f>
        <v>7.50883180733101</v>
      </c>
      <c r="I16048" s="15" t="n">
        <f aca="false">Sens!I16092</f>
        <v>7.52051317138648</v>
      </c>
      <c r="J16048" s="15" t="n">
        <f aca="false">Sens!J16092</f>
        <v>7.53466258254895</v>
      </c>
      <c r="K16048" s="15" t="n">
        <f aca="false">Sens!K16092</f>
        <v>7.55109722251421</v>
      </c>
    </row>
    <row r="16049" customFormat="false" ht="17.15" hidden="false" customHeight="false" outlineLevel="0" collapsed="false">
      <c r="A16049" s="0" t="s">
        <v>1082</v>
      </c>
      <c r="B16049" s="0" t="s">
        <v>75</v>
      </c>
      <c r="D16049" s="8" t="n">
        <f aca="false">Sens!D16047/Sens!D16048</f>
        <v>13.641259209645</v>
      </c>
      <c r="E16049" s="8" t="n">
        <f aca="false">Sens!E16047/Sens!E16048</f>
        <v>17.9456594659869</v>
      </c>
      <c r="F16049" s="8" t="n">
        <f aca="false">Sens!F16047/Sens!F16048</f>
        <v>18.5985509676453</v>
      </c>
      <c r="G16049" s="8" t="n">
        <f aca="false">Sens!G16047/Sens!G16048</f>
        <v>21.0569676469476</v>
      </c>
      <c r="H16049" s="8" t="n">
        <f aca="false">Sens!H16047/Sens!H16048</f>
        <v>24.2169898313823</v>
      </c>
      <c r="I16049" s="8" t="n">
        <f aca="false">Sens!I16047/Sens!I16048</f>
        <v>26.8989438617019</v>
      </c>
      <c r="J16049" s="8" t="n">
        <f aca="false">Sens!J16047/Sens!J16048</f>
        <v>29.2667263230821</v>
      </c>
      <c r="K16049" s="8" t="n">
        <f aca="false">Sens!K16047/Sens!K16048</f>
        <v>31.4680280552594</v>
      </c>
      <c r="L16049" s="1" t="s">
        <v>1083</v>
      </c>
    </row>
    <row r="16050" customFormat="false" ht="17.15" hidden="false" customHeight="false" outlineLevel="0" collapsed="false">
      <c r="A16050" s="1" t="s">
        <v>1084</v>
      </c>
      <c r="B16050" s="0" t="s">
        <v>98</v>
      </c>
      <c r="D16050" s="6" t="n">
        <f aca="false">Sens!D16047</f>
        <v>101.832</v>
      </c>
      <c r="E16050" s="6" t="n">
        <f aca="false">Sens!E16047</f>
        <v>133.749</v>
      </c>
      <c r="F16050" s="6" t="n">
        <f aca="false">Sens!F16047+Sens!F16040*(1-tax_f)</f>
        <v>138.996270656697</v>
      </c>
      <c r="G16050" s="6" t="n">
        <f aca="false">Sens!G16047+Sens!G16040*(1-tax_f)</f>
        <v>157.923381483482</v>
      </c>
      <c r="H16050" s="6" t="n">
        <f aca="false">Sens!H16047+Sens!H16040*(1-tax_f)</f>
        <v>181.841303523695</v>
      </c>
      <c r="I16050" s="6" t="n">
        <f aca="false">Sens!I16047+Sens!I16040*(1-tax_f)</f>
        <v>202.293861608315</v>
      </c>
      <c r="J16050" s="6" t="n">
        <f aca="false">Sens!J16047+Sens!J16040*(1-tax_f)</f>
        <v>220.514907740227</v>
      </c>
      <c r="K16050" s="6" t="n">
        <f aca="false">Sens!K16047+Sens!K16040*(1-tax_f)</f>
        <v>237.618139246069</v>
      </c>
    </row>
    <row r="16051" customFormat="false" ht="17.15" hidden="false" customHeight="false" outlineLevel="0" collapsed="false">
      <c r="A16051" s="0" t="s">
        <v>1085</v>
      </c>
      <c r="B16051" s="0" t="s">
        <v>75</v>
      </c>
      <c r="D16051" s="8" t="n">
        <f aca="false">Sens!D16050/Sens!D16048</f>
        <v>13.641259209645</v>
      </c>
      <c r="E16051" s="8" t="n">
        <f aca="false">Sens!E16050/Sens!E16048</f>
        <v>17.9456594659869</v>
      </c>
      <c r="F16051" s="8" t="n">
        <f aca="false">Sens!F16050/Sens!F16048</f>
        <v>18.5985509676453</v>
      </c>
      <c r="G16051" s="8" t="n">
        <f aca="false">Sens!G16050/Sens!G16048</f>
        <v>21.0569676469476</v>
      </c>
      <c r="H16051" s="8" t="n">
        <f aca="false">Sens!H16050/Sens!H16048</f>
        <v>24.2169898313823</v>
      </c>
      <c r="I16051" s="8" t="n">
        <f aca="false">Sens!I16050/Sens!I16048</f>
        <v>26.8989438617019</v>
      </c>
      <c r="J16051" s="8" t="n">
        <f aca="false">Sens!J16050/Sens!J16048</f>
        <v>29.2667263230821</v>
      </c>
      <c r="K16051" s="8" t="n">
        <f aca="false">Sens!K16050/Sens!K16048</f>
        <v>31.4680280552594</v>
      </c>
      <c r="L16051" s="1" t="s">
        <v>1086</v>
      </c>
    </row>
    <row r="16052" customFormat="false" ht="17.15" hidden="false" customHeight="false" outlineLevel="0" collapsed="false">
      <c r="A16052" s="0" t="s">
        <v>1087</v>
      </c>
      <c r="B16052" s="0" t="s">
        <v>168</v>
      </c>
      <c r="E16052" s="7" t="n">
        <f aca="false">Sens!E16051/Sens!D16051-1</f>
        <v>0.315542736208578</v>
      </c>
      <c r="F16052" s="7" t="n">
        <f aca="false">Sens!F16051/Sens!E16051-1</f>
        <v>0.0363815831285521</v>
      </c>
      <c r="G16052" s="7" t="n">
        <f aca="false">Sens!G16051/Sens!F16051-1</f>
        <v>0.132183237477963</v>
      </c>
      <c r="H16052" s="7" t="n">
        <f aca="false">Sens!H16051/Sens!G16051-1</f>
        <v>0.150070144828889</v>
      </c>
      <c r="I16052" s="7" t="n">
        <f aca="false">Sens!I16051/Sens!H16051-1</f>
        <v>0.110746795906243</v>
      </c>
      <c r="J16052" s="7" t="n">
        <f aca="false">Sens!J16051/Sens!I16051-1</f>
        <v>0.0880251088501427</v>
      </c>
      <c r="K16052" s="7" t="n">
        <f aca="false">Sens!K16051/Sens!J16051-1</f>
        <v>0.0752151678283615</v>
      </c>
    </row>
    <row r="16053" customFormat="false" ht="17.15" hidden="false" customHeight="false" outlineLevel="0" collapsed="false">
      <c r="A16053" s="0" t="s">
        <v>1007</v>
      </c>
      <c r="B16053" s="0" t="s">
        <v>98</v>
      </c>
      <c r="E16053" s="6" t="n">
        <f aca="false">Sens!E15994</f>
        <v>5.25</v>
      </c>
      <c r="F16053" s="6" t="n">
        <f aca="false">Sens!F15994</f>
        <v>13.5</v>
      </c>
      <c r="G16053" s="6" t="n">
        <f aca="false">Sens!G15994</f>
        <v>22.5</v>
      </c>
      <c r="H16053" s="6" t="n">
        <f aca="false">Sens!H15994</f>
        <v>31.5</v>
      </c>
      <c r="I16053" s="6" t="n">
        <f aca="false">Sens!I15994</f>
        <v>38.25</v>
      </c>
      <c r="J16053" s="6" t="n">
        <f aca="false">Sens!J15994</f>
        <v>42.75</v>
      </c>
      <c r="K16053" s="6" t="n">
        <f aca="false">Sens!K15994</f>
        <v>47.25</v>
      </c>
    </row>
    <row r="16054" customFormat="false" ht="17.15" hidden="false" customHeight="false" outlineLevel="0" collapsed="false">
      <c r="A16054" s="1" t="s">
        <v>1008</v>
      </c>
      <c r="B16054" s="0" t="s">
        <v>98</v>
      </c>
      <c r="F16054" s="6" t="n">
        <f aca="false">MAX(0,((Sens!E15954+Sens!F15954)/2-(shadow_base*(Sens!$D$15954+Sens!$E$15954)/2+(1-shadow_base)*Sens!$E$15954))*Sens!F15963/1000-(Sens!F16053-Sens!$E$16053)*Sens!F16033)</f>
        <v>1.60882603013322</v>
      </c>
      <c r="G16054" s="6" t="n">
        <f aca="false">MAX(0,((Sens!F15954+Sens!G15954)/2-(shadow_base*(Sens!$D$15954+Sens!$E$15954)/2+(1-shadow_base)*Sens!$E$15954))*Sens!G15963/1000-(Sens!G16053-Sens!$E$16053)*Sens!G16033)</f>
        <v>0</v>
      </c>
      <c r="H16054" s="6" t="n">
        <f aca="false">MAX(0,((Sens!G15954+Sens!H15954)/2-(shadow_base*(Sens!$D$15954+Sens!$E$15954)/2+(1-shadow_base)*Sens!$E$15954))*Sens!H15963/1000-(Sens!H16053-Sens!$E$16053)*Sens!H16033)</f>
        <v>0</v>
      </c>
      <c r="I16054" s="6" t="n">
        <f aca="false">MAX(0,((Sens!H15954+Sens!I15954)/2-(shadow_base*(Sens!$D$15954+Sens!$E$15954)/2+(1-shadow_base)*Sens!$E$15954))*Sens!I15963/1000-(Sens!I16053-Sens!$E$16053)*Sens!I16033)</f>
        <v>0</v>
      </c>
      <c r="J16054" s="6" t="n">
        <f aca="false">MAX(0,((Sens!I15954+Sens!J15954)/2-(shadow_base*(Sens!$D$15954+Sens!$E$15954)/2+(1-shadow_base)*Sens!$E$15954))*Sens!J15963/1000-(Sens!J16053-Sens!$E$16053)*Sens!J16033)</f>
        <v>0</v>
      </c>
      <c r="K16054" s="6" t="n">
        <f aca="false">MAX(0,((Sens!J15954+Sens!K15954)/2-(shadow_base*(Sens!$D$15954+Sens!$E$15954)/2+(1-shadow_base)*Sens!$E$15954))*Sens!K15963/1000-(Sens!K16053-Sens!$E$16053)*Sens!K16033)</f>
        <v>0</v>
      </c>
      <c r="L16054" s="1" t="s">
        <v>1009</v>
      </c>
    </row>
    <row r="16055" customFormat="false" ht="17.15" hidden="false" customHeight="false" outlineLevel="0" collapsed="false">
      <c r="A16055" s="1" t="s">
        <v>1010</v>
      </c>
      <c r="B16055" s="0" t="s">
        <v>98</v>
      </c>
      <c r="F16055" s="6" t="n">
        <f aca="false">IF(1=2,1,0)*Sens!F16054</f>
        <v>0</v>
      </c>
      <c r="G16055" s="6" t="n">
        <f aca="false">IF(1=2,1,0)*Sens!G16054</f>
        <v>0</v>
      </c>
      <c r="H16055" s="6" t="n">
        <f aca="false">IF(1=2,1,0)*Sens!H16054</f>
        <v>0</v>
      </c>
      <c r="I16055" s="6" t="n">
        <f aca="false">IF(1=2,1,0)*Sens!I16054</f>
        <v>0</v>
      </c>
      <c r="J16055" s="6" t="n">
        <f aca="false">IF(1=2,1,0)*Sens!J16054</f>
        <v>0</v>
      </c>
      <c r="K16055" s="6" t="n">
        <f aca="false">IF(1=2,1,0)*Sens!K16054</f>
        <v>0</v>
      </c>
    </row>
    <row r="16056" customFormat="false" ht="17.15" hidden="false" customHeight="false" outlineLevel="0" collapsed="false">
      <c r="A16056" s="0" t="s">
        <v>1011</v>
      </c>
      <c r="B16056" s="0" t="s">
        <v>98</v>
      </c>
      <c r="F16056" s="6" t="n">
        <f aca="false">Sens!F15973+Sens!F16053*Sens!F16033+Sens!F16055-Sens!F15974-Sens!F15985</f>
        <v>9.46940208214114</v>
      </c>
      <c r="G16056" s="6" t="n">
        <f aca="false">Sens!G15973+Sens!G16053*Sens!G16033+Sens!G16055-Sens!G15974-Sens!G15985</f>
        <v>18.1720275445321</v>
      </c>
      <c r="H16056" s="6" t="n">
        <f aca="false">Sens!H15973+Sens!H16053*Sens!H16033+Sens!H16055-Sens!H15974-Sens!H15985</f>
        <v>26.5031101800036</v>
      </c>
      <c r="I16056" s="6" t="n">
        <f aca="false">Sens!I15973+Sens!I16053*Sens!I16033+Sens!I16055-Sens!I15974-Sens!I15985</f>
        <v>31.0098435072091</v>
      </c>
      <c r="J16056" s="6" t="n">
        <f aca="false">Sens!J15973+Sens!J16053*Sens!J16033+Sens!J16055-Sens!J15974-Sens!J15985</f>
        <v>34.012689316001</v>
      </c>
      <c r="K16056" s="6" t="n">
        <f aca="false">Sens!K15973+Sens!K16053*Sens!K16033+Sens!K16055-Sens!K15974-Sens!K15985</f>
        <v>37.7062554898954</v>
      </c>
    </row>
    <row r="16057" customFormat="false" ht="17.15" hidden="false" customHeight="false" outlineLevel="0" collapsed="false">
      <c r="A16057" s="0" t="s">
        <v>1012</v>
      </c>
      <c r="B16057" s="0" t="s">
        <v>98</v>
      </c>
      <c r="E16057" s="6" t="n">
        <f aca="false">Sens!E15953*(cxit_open+self_build*tk_cxfac)/1000*ai_net_open</f>
        <v>126.6980382</v>
      </c>
      <c r="F16057" s="6" t="n">
        <f aca="false">Sens!E16057+Sens!F15982-Sens!F15985</f>
        <v>131.822683147</v>
      </c>
      <c r="G16057" s="6" t="n">
        <f aca="false">Sens!F16057+Sens!G15982-Sens!G15985</f>
        <v>136.850809452</v>
      </c>
      <c r="H16057" s="6" t="n">
        <f aca="false">Sens!G16057+Sens!H15982-Sens!H15985</f>
        <v>105.173224535</v>
      </c>
      <c r="I16057" s="6" t="n">
        <f aca="false">Sens!H16057+Sens!I15982-Sens!I15985</f>
        <v>102.104104363972</v>
      </c>
      <c r="J16057" s="6" t="n">
        <f aca="false">Sens!I16057+Sens!J15982-Sens!J15985</f>
        <v>112.526579647528</v>
      </c>
      <c r="K16057" s="6" t="n">
        <f aca="false">Sens!J16057+Sens!K15982-Sens!K15985</f>
        <v>163.901717877611</v>
      </c>
      <c r="L16057" s="1" t="s">
        <v>1013</v>
      </c>
    </row>
    <row r="16058" customFormat="false" ht="17.15" hidden="false" customHeight="false" outlineLevel="0" collapsed="false">
      <c r="A16058" s="0" t="s">
        <v>1014</v>
      </c>
      <c r="B16058" s="0" t="s">
        <v>168</v>
      </c>
      <c r="F16058" s="7" t="n">
        <f aca="false">Sens!F16056*(1-tax_f)/((Sens!E16057+Sens!F16057)/2)</f>
        <v>0.0586066882858852</v>
      </c>
      <c r="G16058" s="7" t="n">
        <f aca="false">Sens!G16056*(1-tax_f)/((Sens!F16057+Sens!G16057)/2)</f>
        <v>0.108217761975673</v>
      </c>
      <c r="H16058" s="7" t="n">
        <f aca="false">Sens!H16056*(1-tax_f)/((Sens!G16057+Sens!H16057)/2)</f>
        <v>0.175209773961059</v>
      </c>
      <c r="I16058" s="7" t="n">
        <f aca="false">Sens!I16056*(1-tax_f)/((Sens!H16057+Sens!I16057)/2)</f>
        <v>0.239368916393734</v>
      </c>
      <c r="J16058" s="7" t="n">
        <f aca="false">Sens!J16056*(1-tax_f)/((Sens!I16057+Sens!J16057)/2)</f>
        <v>0.25355322868321</v>
      </c>
      <c r="K16058" s="7" t="n">
        <f aca="false">Sens!K16056*(1-tax_f)/((Sens!J16057+Sens!K16057)/2)</f>
        <v>0.218248310046283</v>
      </c>
    </row>
    <row r="16059" customFormat="false" ht="17.15" hidden="false" customHeight="false" outlineLevel="0" collapsed="false">
      <c r="A16059" s="1" t="s">
        <v>1015</v>
      </c>
      <c r="B16059" s="0" t="s">
        <v>168</v>
      </c>
      <c r="F16059" s="7" t="n">
        <f aca="false">(Sens!F16056-Sens!F16055)*(1-tax_f)/((Sens!E16057+Sens!F16057)/2)</f>
        <v>0.0586066882858852</v>
      </c>
      <c r="G16059" s="7" t="n">
        <f aca="false">(Sens!G16056-Sens!G16055)*(1-tax_f)/((Sens!F16057+Sens!G16057)/2)</f>
        <v>0.108217761975673</v>
      </c>
      <c r="H16059" s="7" t="n">
        <f aca="false">(Sens!H16056-Sens!H16055)*(1-tax_f)/((Sens!G16057+Sens!H16057)/2)</f>
        <v>0.175209773961059</v>
      </c>
      <c r="I16059" s="7" t="n">
        <f aca="false">(Sens!I16056-Sens!I16055)*(1-tax_f)/((Sens!H16057+Sens!I16057)/2)</f>
        <v>0.239368916393734</v>
      </c>
      <c r="J16059" s="7" t="n">
        <f aca="false">(Sens!J16056-Sens!J16055)*(1-tax_f)/((Sens!I16057+Sens!J16057)/2)</f>
        <v>0.25355322868321</v>
      </c>
      <c r="K16059" s="7" t="n">
        <f aca="false">(Sens!K16056-Sens!K16055)*(1-tax_f)/((Sens!J16057+Sens!K16057)/2)</f>
        <v>0.218248310046283</v>
      </c>
    </row>
    <row r="16060" customFormat="false" ht="17.15" hidden="false" customHeight="false" outlineLevel="0" collapsed="false">
      <c r="A16060" s="1" t="s">
        <v>1016</v>
      </c>
      <c r="B16060" s="0" t="s">
        <v>168</v>
      </c>
      <c r="F16060" s="7" t="n">
        <f aca="false">(Sens!F16056-Sens!F16055+Sens!F16054)*(1-tax_f)/((Sens!E16057+Sens!F16057)/2)</f>
        <v>0.0685638075249192</v>
      </c>
      <c r="G16060" s="7" t="n">
        <f aca="false">(Sens!G16056-Sens!G16055+Sens!G16054)*(1-tax_f)/((Sens!F16057+Sens!G16057)/2)</f>
        <v>0.108217761975673</v>
      </c>
      <c r="H16060" s="7" t="n">
        <f aca="false">(Sens!H16056-Sens!H16055+Sens!H16054)*(1-tax_f)/((Sens!G16057+Sens!H16057)/2)</f>
        <v>0.175209773961059</v>
      </c>
      <c r="I16060" s="7" t="n">
        <f aca="false">(Sens!I16056-Sens!I16055+Sens!I16054)*(1-tax_f)/((Sens!H16057+Sens!I16057)/2)</f>
        <v>0.239368916393734</v>
      </c>
      <c r="J16060" s="7" t="n">
        <f aca="false">(Sens!J16056-Sens!J16055+Sens!J16054)*(1-tax_f)/((Sens!I16057+Sens!J16057)/2)</f>
        <v>0.25355322868321</v>
      </c>
      <c r="K16060" s="7" t="n">
        <f aca="false">(Sens!K16056-Sens!K16055+Sens!K16054)*(1-tax_f)/((Sens!J16057+Sens!K16057)/2)</f>
        <v>0.218248310046283</v>
      </c>
    </row>
    <row r="16061" customFormat="false" ht="17.15" hidden="false" customHeight="false" outlineLevel="0" collapsed="false">
      <c r="A16061" s="1" t="s">
        <v>1017</v>
      </c>
      <c r="B16061" s="0" t="s">
        <v>168</v>
      </c>
      <c r="F16061" s="7" t="n">
        <f aca="false">Sens!F15986*(1-tax_f)/(Sens!F15972*(Sens!E16057+Sens!F16057)/2)</f>
        <v>0.169796721744959</v>
      </c>
      <c r="G16061" s="7" t="n">
        <f aca="false">Sens!G15986*(1-tax_f)/(Sens!G15972*(Sens!F16057+Sens!G16057)/2)</f>
        <v>0.225271004307476</v>
      </c>
      <c r="H16061" s="7" t="n">
        <f aca="false">Sens!H15986*(1-tax_f)/(Sens!H15972*(Sens!G16057+Sens!H16057)/2)</f>
        <v>0.300737080001</v>
      </c>
      <c r="I16061" s="7" t="n">
        <f aca="false">Sens!I15986*(1-tax_f)/(Sens!I15972*(Sens!H16057+Sens!I16057)/2)</f>
        <v>0.36311139213454</v>
      </c>
      <c r="J16061" s="7" t="n">
        <f aca="false">Sens!J15986*(1-tax_f)/(Sens!J15972*(Sens!I16057+Sens!J16057)/2)</f>
        <v>0.363998030379327</v>
      </c>
      <c r="K16061" s="7" t="n">
        <f aca="false">Sens!K15986*(1-tax_f)/(Sens!K15972*(Sens!J16057+Sens!K16057)/2)</f>
        <v>0.304701554408107</v>
      </c>
    </row>
    <row r="16062" customFormat="false" ht="17.15" hidden="false" customHeight="false" outlineLevel="0" collapsed="false">
      <c r="A16062" s="0" t="s">
        <v>1018</v>
      </c>
      <c r="B16062" s="0" t="s">
        <v>253</v>
      </c>
      <c r="F16062" s="7" t="n">
        <f aca="false">Sens!F16058-wacc</f>
        <v>-0.0443299026597121</v>
      </c>
      <c r="G16062" s="7" t="n">
        <f aca="false">Sens!G16058-wacc</f>
        <v>0.00528117103007597</v>
      </c>
      <c r="H16062" s="7" t="n">
        <f aca="false">Sens!H16058-wacc</f>
        <v>0.0722731830154612</v>
      </c>
      <c r="I16062" s="7" t="n">
        <f aca="false">Sens!I16058-wacc</f>
        <v>0.136432325448137</v>
      </c>
      <c r="J16062" s="7" t="n">
        <f aca="false">Sens!J16058-wacc</f>
        <v>0.150616637737612</v>
      </c>
      <c r="K16062" s="7" t="n">
        <f aca="false">Sens!K16058-wacc</f>
        <v>0.115311719100686</v>
      </c>
    </row>
    <row r="16063" customFormat="false" ht="17.15" hidden="false" customHeight="false" outlineLevel="0" collapsed="false">
      <c r="A16063" s="0" t="s">
        <v>1019</v>
      </c>
      <c r="B16063" s="0" t="s">
        <v>98</v>
      </c>
      <c r="F16063" s="6" t="n">
        <f aca="false">Sens!F16056*(1-tax_f)-wacc*(Sens!E16057+Sens!F16057)/2</f>
        <v>-5.73009920641553</v>
      </c>
      <c r="G16063" s="6" t="n">
        <f aca="false">Sens!G16056*(1-tax_f)-wacc*(Sens!F16057+Sens!G16057)/2</f>
        <v>0.709455332831585</v>
      </c>
      <c r="H16063" s="6" t="n">
        <f aca="false">Sens!H16056*(1-tax_f)-wacc*(Sens!G16057+Sens!H16057)/2</f>
        <v>8.74592365124133</v>
      </c>
      <c r="I16063" s="6" t="n">
        <f aca="false">Sens!I16056*(1-tax_f)-wacc*(Sens!H16057+Sens!I16057)/2</f>
        <v>14.1396639971825</v>
      </c>
      <c r="J16063" s="6" t="n">
        <f aca="false">Sens!J16056*(1-tax_f)-wacc*(Sens!I16057+Sens!J16057)/2</f>
        <v>16.163475990568</v>
      </c>
      <c r="K16063" s="6" t="n">
        <f aca="false">Sens!K16056*(1-tax_f)-wacc*(Sens!J16057+Sens!K16057)/2</f>
        <v>15.9377110978498</v>
      </c>
    </row>
    <row r="16064" customFormat="false" ht="17.15" hidden="false" customHeight="false" outlineLevel="0" collapsed="false">
      <c r="A16064" s="3" t="s">
        <v>2007</v>
      </c>
    </row>
    <row r="16065" customFormat="false" ht="15" hidden="false" customHeight="false" outlineLevel="0" collapsed="false">
      <c r="A16065" s="4" t="s">
        <v>43</v>
      </c>
      <c r="B16065" s="4" t="s">
        <v>65</v>
      </c>
      <c r="C16065" s="23" t="s">
        <v>942</v>
      </c>
      <c r="D16065" s="23" t="s">
        <v>943</v>
      </c>
      <c r="E16065" s="23" t="s">
        <v>944</v>
      </c>
      <c r="F16065" s="23" t="s">
        <v>945</v>
      </c>
      <c r="G16065" s="23" t="s">
        <v>946</v>
      </c>
      <c r="H16065" s="23" t="s">
        <v>947</v>
      </c>
      <c r="I16065" s="23" t="s">
        <v>948</v>
      </c>
      <c r="J16065" s="23" t="s">
        <v>949</v>
      </c>
      <c r="K16065" s="23" t="s">
        <v>950</v>
      </c>
      <c r="L16065" s="4" t="s">
        <v>47</v>
      </c>
    </row>
    <row r="16066" customFormat="false" ht="15" hidden="false" customHeight="false" outlineLevel="0" collapsed="false">
      <c r="A16066" s="1" t="s">
        <v>1080</v>
      </c>
      <c r="B16066" s="0" t="s">
        <v>98</v>
      </c>
      <c r="F16066" s="6" t="n">
        <f aca="false">Sens!F16047</f>
        <v>138.996270656697</v>
      </c>
      <c r="G16066" s="6" t="n">
        <f aca="false">Sens!G16047</f>
        <v>157.923381483482</v>
      </c>
      <c r="H16066" s="6" t="n">
        <f aca="false">Sens!H16047</f>
        <v>181.841303523695</v>
      </c>
      <c r="I16066" s="6" t="n">
        <f aca="false">Sens!I16047</f>
        <v>202.293861608315</v>
      </c>
      <c r="J16066" s="6" t="n">
        <f aca="false">Sens!J16047</f>
        <v>220.514907740227</v>
      </c>
      <c r="K16066" s="6" t="n">
        <f aca="false">Sens!K16047</f>
        <v>237.618139246069</v>
      </c>
    </row>
    <row r="16067" customFormat="false" ht="17.15" hidden="false" customHeight="false" outlineLevel="0" collapsed="false">
      <c r="A16067" s="1" t="s">
        <v>1102</v>
      </c>
      <c r="B16067" s="0" t="s">
        <v>98</v>
      </c>
      <c r="E16067" s="6" t="n">
        <f aca="false">Q!M38-Sens!E15985</f>
        <v>22.2285940229167</v>
      </c>
      <c r="F16067" s="6" t="n">
        <f aca="false">Sens!E16067*(1-1/life_nonai)+(Sens!F16075+Sens!F16076)/life_nonai</f>
        <v>37.458367358225</v>
      </c>
      <c r="G16067" s="6" t="n">
        <f aca="false">Sens!F16067*(1-1/life_nonai)+(Sens!G16075)/life_nonai</f>
        <v>37.9475258739052</v>
      </c>
      <c r="H16067" s="6" t="n">
        <f aca="false">Sens!G16067*(1-1/life_nonai)+(Sens!H16075)/life_nonai</f>
        <v>38.9967052741839</v>
      </c>
      <c r="I16067" s="6" t="n">
        <f aca="false">Sens!H16067*(1-1/life_nonai)+(Sens!I16075)/life_nonai</f>
        <v>40.5147656763488</v>
      </c>
      <c r="J16067" s="6" t="n">
        <f aca="false">Sens!I16067*(1-1/life_nonai)+(Sens!J16075)/life_nonai</f>
        <v>42.3956285090621</v>
      </c>
      <c r="K16067" s="6" t="n">
        <f aca="false">Sens!J16067*(1-1/life_nonai)+(Sens!K16075)/life_nonai</f>
        <v>44.541474079613</v>
      </c>
      <c r="L16067" s="12" t="s">
        <v>1103</v>
      </c>
    </row>
    <row r="16068" customFormat="false" ht="17.15" hidden="false" customHeight="false" outlineLevel="0" collapsed="false">
      <c r="A16068" s="1" t="s">
        <v>1104</v>
      </c>
      <c r="B16068" s="0" t="s">
        <v>98</v>
      </c>
      <c r="F16068" s="6" t="n">
        <f aca="false">Sens!$F$16076/life_nonai*(1-1/life_nonai)^(Sens!F15948-2027)</f>
        <v>13.8178366300118</v>
      </c>
      <c r="G16068" s="6" t="n">
        <f aca="false">Sens!$F$16076/life_nonai*(1-1/life_nonai)^(Sens!G15948-2027)</f>
        <v>12.4360529670107</v>
      </c>
      <c r="H16068" s="6" t="n">
        <f aca="false">Sens!$F$16076/life_nonai*(1-1/life_nonai)^(Sens!H15948-2027)</f>
        <v>11.1924476703096</v>
      </c>
      <c r="I16068" s="6" t="n">
        <f aca="false">Sens!$F$16076/life_nonai*(1-1/life_nonai)^(Sens!I15948-2027)</f>
        <v>10.0732029032786</v>
      </c>
      <c r="J16068" s="6" t="n">
        <f aca="false">Sens!$F$16076/life_nonai*(1-1/life_nonai)^(Sens!J15948-2027)</f>
        <v>9.06588261295078</v>
      </c>
      <c r="K16068" s="6" t="n">
        <f aca="false">Sens!$F$16076/life_nonai*(1-1/life_nonai)^(Sens!K15948-2027)</f>
        <v>8.1592943516557</v>
      </c>
      <c r="L16068" s="1" t="s">
        <v>1105</v>
      </c>
    </row>
    <row r="16069" customFormat="false" ht="17.15" hidden="false" customHeight="false" outlineLevel="0" collapsed="false">
      <c r="A16069" s="1" t="s">
        <v>1106</v>
      </c>
      <c r="B16069" s="0" t="s">
        <v>98</v>
      </c>
      <c r="E16069" s="6" t="n">
        <f aca="false">Sens!E15985+Sens!E16067</f>
        <v>38.534</v>
      </c>
      <c r="F16069" s="6" t="n">
        <f aca="false">Sens!F15985+Sens!F16067</f>
        <v>62.007395035225</v>
      </c>
      <c r="G16069" s="6" t="n">
        <f aca="false">Sens!G15985+Sens!G16067</f>
        <v>67.1331586969052</v>
      </c>
      <c r="H16069" s="6" t="n">
        <f aca="false">Sens!H15985+Sens!H16067</f>
        <v>70.6742901911839</v>
      </c>
      <c r="I16069" s="6" t="n">
        <f aca="false">Sens!I15985+Sens!I16067</f>
        <v>72.7446306073766</v>
      </c>
      <c r="J16069" s="6" t="n">
        <f aca="false">Sens!J15985+Sens!J16067</f>
        <v>76.0118289855066</v>
      </c>
      <c r="K16069" s="6" t="n">
        <f aca="false">Sens!K15985+Sens!K16067</f>
        <v>80.6485701295297</v>
      </c>
    </row>
    <row r="16070" customFormat="false" ht="17.15" hidden="false" customHeight="false" outlineLevel="0" collapsed="false">
      <c r="A16070" s="1" t="s">
        <v>1107</v>
      </c>
      <c r="B16070" s="0" t="s">
        <v>98</v>
      </c>
      <c r="F16070" s="6" t="n">
        <f aca="false">Sens!F16012*sbc_r</f>
        <v>14.6366451852345</v>
      </c>
      <c r="G16070" s="6" t="n">
        <f aca="false">Sens!G16012*sbc_r</f>
        <v>16.7348601033336</v>
      </c>
      <c r="H16070" s="6" t="n">
        <f aca="false">Sens!H16012*sbc_r</f>
        <v>18.6964611976595</v>
      </c>
      <c r="I16070" s="6" t="n">
        <f aca="false">Sens!I16012*sbc_r</f>
        <v>20.3555191350251</v>
      </c>
      <c r="J16070" s="6" t="n">
        <f aca="false">Sens!J16012*sbc_r</f>
        <v>21.8852492810373</v>
      </c>
      <c r="K16070" s="6" t="n">
        <f aca="false">Sens!K16012*sbc_r</f>
        <v>23.3648666065924</v>
      </c>
    </row>
    <row r="16071" customFormat="false" ht="17.15" hidden="false" customHeight="false" outlineLevel="0" collapsed="false">
      <c r="A16071" s="1" t="s">
        <v>1108</v>
      </c>
      <c r="B16071" s="0" t="s">
        <v>98</v>
      </c>
      <c r="F16071" s="6" t="n">
        <f aca="false">wc27-wc26q1</f>
        <v>-4.677</v>
      </c>
      <c r="G16071" s="6" t="n">
        <f aca="false">wc_f</f>
        <v>0</v>
      </c>
      <c r="H16071" s="6" t="n">
        <f aca="false">wc_f</f>
        <v>0</v>
      </c>
      <c r="I16071" s="6" t="n">
        <f aca="false">wc_f</f>
        <v>0</v>
      </c>
      <c r="J16071" s="6" t="n">
        <f aca="false">wc_f</f>
        <v>0</v>
      </c>
      <c r="K16071" s="6" t="n">
        <f aca="false">wc_f</f>
        <v>0</v>
      </c>
      <c r="L16071" s="12" t="s">
        <v>1109</v>
      </c>
    </row>
    <row r="16072" customFormat="false" ht="17.15" hidden="false" customHeight="false" outlineLevel="0" collapsed="false">
      <c r="A16072" s="0" t="s">
        <v>1110</v>
      </c>
      <c r="B16072" s="0" t="s">
        <v>98</v>
      </c>
      <c r="F16072" s="6" t="n">
        <f aca="false">Q!$I$35-Q!$I$26-Q!$I$38-Q!$I$39</f>
        <v>6.493</v>
      </c>
      <c r="L16072" s="1" t="s">
        <v>1111</v>
      </c>
    </row>
    <row r="16073" customFormat="false" ht="15" hidden="false" customHeight="false" outlineLevel="0" collapsed="false">
      <c r="A16073" s="1" t="s">
        <v>908</v>
      </c>
      <c r="B16073" s="0" t="s">
        <v>98</v>
      </c>
      <c r="E16073" s="6" t="n">
        <f aca="false">Q!M35</f>
        <v>182.935</v>
      </c>
      <c r="F16073" s="6" t="n">
        <f aca="false">Sens!F16066+Sens!F16069+Sens!F16070+Sens!F16071+Sens!F16072</f>
        <v>217.456310877157</v>
      </c>
      <c r="G16073" s="6" t="n">
        <f aca="false">Sens!G16066+Sens!G16069+Sens!G16070+Sens!G16071</f>
        <v>241.791400283721</v>
      </c>
      <c r="H16073" s="6" t="n">
        <f aca="false">Sens!H16066+Sens!H16069+Sens!H16070+Sens!H16071</f>
        <v>271.212054912538</v>
      </c>
      <c r="I16073" s="6" t="n">
        <f aca="false">Sens!I16066+Sens!I16069+Sens!I16070+Sens!I16071</f>
        <v>295.394011350716</v>
      </c>
      <c r="J16073" s="6" t="n">
        <f aca="false">Sens!J16066+Sens!J16069+Sens!J16070+Sens!J16071</f>
        <v>318.411986006771</v>
      </c>
      <c r="K16073" s="6" t="n">
        <f aca="false">Sens!K16066+Sens!K16069+Sens!K16070+Sens!K16071</f>
        <v>341.631575982191</v>
      </c>
    </row>
    <row r="16074" customFormat="false" ht="17.15" hidden="false" customHeight="false" outlineLevel="0" collapsed="false">
      <c r="A16074" s="0" t="s">
        <v>1112</v>
      </c>
      <c r="B16074" s="0" t="s">
        <v>98</v>
      </c>
      <c r="F16074" s="6" t="n">
        <f aca="false">Sens!F15982</f>
        <v>29.673672624</v>
      </c>
      <c r="G16074" s="6" t="n">
        <f aca="false">Sens!G15982</f>
        <v>34.213759128</v>
      </c>
      <c r="H16074" s="6" t="n">
        <f aca="false">Sens!H15982</f>
        <v>0</v>
      </c>
      <c r="I16074" s="6" t="n">
        <f aca="false">Sens!I15982</f>
        <v>29.16074476</v>
      </c>
      <c r="J16074" s="6" t="n">
        <f aca="false">Sens!J15982</f>
        <v>44.03867576</v>
      </c>
      <c r="K16074" s="6" t="n">
        <f aca="false">Sens!K15982</f>
        <v>87.48223428</v>
      </c>
    </row>
    <row r="16075" customFormat="false" ht="17.15" hidden="false" customHeight="false" outlineLevel="0" collapsed="false">
      <c r="A16075" s="1" t="s">
        <v>1113</v>
      </c>
      <c r="B16075" s="0" t="s">
        <v>98</v>
      </c>
      <c r="E16075" s="6" t="n">
        <f aca="false">Sens!E15990*cx_azo+Sens!E15997*cx_m365+Sens!E15998*cx_lic+(Sens!E16000+Sens!E16002)*cx_ind+Sens!E16005*cx_srch+(Sens!E16007+Sens!E16009)*cx_dev</f>
        <v>30.1846587067718</v>
      </c>
      <c r="F16075" s="6" t="n">
        <f aca="false">Sens!F15990*cx_azo+Sens!F15997*cx_m365+Sens!F15998*cx_lic+(Sens!F16000+Sens!F16002)*cx_ind+Sens!F16005*cx_srch+(Sens!F16007+Sens!F16009)*cx_dev</f>
        <v>36.3479610758815</v>
      </c>
      <c r="G16075" s="6" t="n">
        <f aca="false">Sens!G15990*cx_azo+Sens!G15997*cx_m365+Sens!G15998*cx_lic+(Sens!G16000+Sens!G16002)*cx_ind+Sens!G16005*cx_srch+(Sens!G16007+Sens!G16009)*cx_dev</f>
        <v>42.3499525150266</v>
      </c>
      <c r="H16075" s="6" t="n">
        <f aca="false">Sens!H15990*cx_azo+Sens!H15997*cx_m365+Sens!H15998*cx_lic+(Sens!H16000+Sens!H16002)*cx_ind+Sens!H16005*cx_srch+(Sens!H16007+Sens!H16009)*cx_dev</f>
        <v>48.4393198766925</v>
      </c>
      <c r="I16075" s="6" t="n">
        <f aca="false">Sens!I15990*cx_azo+Sens!I15997*cx_m365+Sens!I15998*cx_lic+(Sens!I16000+Sens!I16002)*cx_ind+Sens!I16005*cx_srch+(Sens!I16007+Sens!I16009)*cx_dev</f>
        <v>54.1773092958326</v>
      </c>
      <c r="J16075" s="6" t="n">
        <f aca="false">Sens!J15990*cx_azo+Sens!J15997*cx_m365+Sens!J15998*cx_lic+(Sens!J16000+Sens!J16002)*cx_ind+Sens!J16005*cx_srch+(Sens!J16007+Sens!J16009)*cx_dev</f>
        <v>59.3233940034824</v>
      </c>
      <c r="K16075" s="6" t="n">
        <f aca="false">Sens!K15990*cx_azo+Sens!K15997*cx_m365+Sens!K15998*cx_lic+(Sens!K16000+Sens!K16002)*cx_ind+Sens!K16005*cx_srch+(Sens!K16007+Sens!K16009)*cx_dev</f>
        <v>63.8540842145706</v>
      </c>
    </row>
    <row r="16076" customFormat="false" ht="17.15" hidden="false" customHeight="false" outlineLevel="0" collapsed="false">
      <c r="A16076" s="0" t="s">
        <v>1114</v>
      </c>
      <c r="B16076" s="0" t="s">
        <v>98</v>
      </c>
      <c r="F16076" s="6" t="n">
        <f aca="false">Sens!F15980</f>
        <v>138.178366300118</v>
      </c>
      <c r="L16076" s="1" t="s">
        <v>1115</v>
      </c>
    </row>
    <row r="16077" customFormat="false" ht="17.15" hidden="false" customHeight="false" outlineLevel="0" collapsed="false">
      <c r="A16077" s="1" t="s">
        <v>1116</v>
      </c>
      <c r="B16077" s="0" t="s">
        <v>98</v>
      </c>
      <c r="E16077" s="6" t="n">
        <f aca="false">Q!M43</f>
        <v>145.3</v>
      </c>
      <c r="F16077" s="6" t="n">
        <f aca="false">Sens!F16074+Sens!F16075+Sens!F16076</f>
        <v>204.2</v>
      </c>
      <c r="G16077" s="6" t="n">
        <f aca="false">Sens!G16074+Sens!G16075</f>
        <v>76.5637116430266</v>
      </c>
      <c r="H16077" s="6" t="n">
        <f aca="false">Sens!H16074+Sens!H16075</f>
        <v>48.4393198766925</v>
      </c>
      <c r="I16077" s="6" t="n">
        <f aca="false">Sens!I16074+Sens!I16075</f>
        <v>83.3380540558326</v>
      </c>
      <c r="J16077" s="6" t="n">
        <f aca="false">Sens!J16074+Sens!J16075</f>
        <v>103.362069763482</v>
      </c>
      <c r="K16077" s="6" t="n">
        <f aca="false">Sens!K16074+Sens!K16075</f>
        <v>151.336318494571</v>
      </c>
      <c r="L16077" s="1" t="s">
        <v>1117</v>
      </c>
    </row>
    <row r="16078" customFormat="false" ht="15" hidden="false" customHeight="false" outlineLevel="0" collapsed="false">
      <c r="A16078" s="1" t="s">
        <v>1118</v>
      </c>
      <c r="B16078" s="0" t="s">
        <v>98</v>
      </c>
      <c r="E16078" s="6" t="n">
        <f aca="false">fl_liab</f>
        <v>66.594</v>
      </c>
      <c r="F16078" s="6" t="n">
        <f aca="false">Sens!E16078-Sens!F16079</f>
        <v>62.46973</v>
      </c>
      <c r="G16078" s="6" t="n">
        <f aca="false">Sens!F16078-Sens!G16079</f>
        <v>57.98686785</v>
      </c>
      <c r="H16078" s="6" t="n">
        <f aca="false">Sens!G16078-Sens!H16079</f>
        <v>53.92827690325</v>
      </c>
      <c r="I16078" s="6" t="n">
        <f aca="false">Sens!H16078-Sens!I16079</f>
        <v>49.7850493638962</v>
      </c>
      <c r="J16078" s="6" t="n">
        <f aca="false">Sens!I16078-Sens!J16079</f>
        <v>45.4823765852716</v>
      </c>
      <c r="K16078" s="6" t="n">
        <f aca="false">Sens!J16078-Sens!K16079</f>
        <v>40.9860835316088</v>
      </c>
    </row>
    <row r="16079" customFormat="false" ht="15" hidden="false" customHeight="false" outlineLevel="0" collapsed="false">
      <c r="A16079" s="1" t="s">
        <v>1119</v>
      </c>
      <c r="B16079" s="0" t="s">
        <v>98</v>
      </c>
      <c r="F16079" s="6" t="n">
        <f aca="false">fl_pay_27-Sens!E16078*fl_rate</f>
        <v>4.12427</v>
      </c>
      <c r="G16079" s="6" t="n">
        <f aca="false">fl_pay_28-Sens!F16078*fl_rate</f>
        <v>4.48286215</v>
      </c>
      <c r="H16079" s="6" t="n">
        <f aca="false">fl_pay_29-Sens!G16078*fl_rate</f>
        <v>4.05859094675</v>
      </c>
      <c r="I16079" s="6" t="n">
        <f aca="false">fl_pay_30-Sens!H16078*fl_rate</f>
        <v>4.14322753935375</v>
      </c>
      <c r="J16079" s="6" t="n">
        <f aca="false">fl_pay_31-Sens!I16078*fl_rate</f>
        <v>4.30267277862467</v>
      </c>
      <c r="K16079" s="6" t="n">
        <f aca="false">fl_pay_32-Sens!J16078*fl_rate</f>
        <v>4.49629305366278</v>
      </c>
    </row>
    <row r="16080" customFormat="false" ht="17.15" hidden="false" customHeight="false" outlineLevel="0" collapsed="false">
      <c r="A16080" s="1" t="s">
        <v>1120</v>
      </c>
      <c r="B16080" s="0" t="s">
        <v>98</v>
      </c>
      <c r="E16080" s="6" t="n">
        <f aca="false">Q!M35-Q!M36-Q!M44</f>
        <v>63.886</v>
      </c>
      <c r="F16080" s="6" t="n">
        <f aca="false">Sens!F16073-Sens!F16077-Sens!F16079</f>
        <v>9.13204087715698</v>
      </c>
      <c r="G16080" s="6" t="n">
        <f aca="false">Sens!G16073-Sens!G16077-Sens!G16079</f>
        <v>160.744826490694</v>
      </c>
      <c r="H16080" s="6" t="n">
        <f aca="false">Sens!H16073-Sens!H16077-Sens!H16079</f>
        <v>218.714144089096</v>
      </c>
      <c r="I16080" s="6" t="n">
        <f aca="false">Sens!I16073-Sens!I16077-Sens!I16079</f>
        <v>207.91272975553</v>
      </c>
      <c r="J16080" s="6" t="n">
        <f aca="false">Sens!J16073-Sens!J16077-Sens!J16079</f>
        <v>210.747243464664</v>
      </c>
      <c r="K16080" s="6" t="n">
        <f aca="false">Sens!K16073-Sens!K16077-Sens!K16079</f>
        <v>185.798964433957</v>
      </c>
      <c r="L16080" s="12" t="s">
        <v>1121</v>
      </c>
    </row>
    <row r="16081" customFormat="false" ht="15" hidden="false" customHeight="false" outlineLevel="0" collapsed="false">
      <c r="A16081" s="1" t="s">
        <v>1122</v>
      </c>
      <c r="B16081" s="0" t="s">
        <v>75</v>
      </c>
      <c r="F16081" s="8" t="n">
        <f aca="false">dps_27</f>
        <v>3.85</v>
      </c>
      <c r="G16081" s="8" t="n">
        <f aca="false">Sens!F16081*(1+dps_g)</f>
        <v>4.158</v>
      </c>
      <c r="H16081" s="8" t="n">
        <f aca="false">Sens!G16081*(1+dps_g)</f>
        <v>4.49064</v>
      </c>
      <c r="I16081" s="8" t="n">
        <f aca="false">Sens!H16081*(1+dps_g)</f>
        <v>4.8498912</v>
      </c>
      <c r="J16081" s="8" t="n">
        <f aca="false">Sens!I16081*(1+dps_g)</f>
        <v>5.237882496</v>
      </c>
      <c r="K16081" s="8" t="n">
        <f aca="false">Sens!J16081*(1+dps_g)</f>
        <v>5.65691309568</v>
      </c>
    </row>
    <row r="16082" customFormat="false" ht="17.15" hidden="false" customHeight="false" outlineLevel="0" collapsed="false">
      <c r="A16082" s="1" t="s">
        <v>1123</v>
      </c>
      <c r="B16082" s="0" t="s">
        <v>98</v>
      </c>
      <c r="E16082" s="6" t="n">
        <f aca="false">Q!M41</f>
        <v>26.445</v>
      </c>
      <c r="F16082" s="6" t="n">
        <f aca="false">Sens!F16081*Sens!E16091</f>
        <v>28.59395</v>
      </c>
      <c r="G16082" s="6" t="n">
        <f aca="false">Sens!G16081*Sens!F16091</f>
        <v>31.068576</v>
      </c>
      <c r="H16082" s="6" t="n">
        <f aca="false">Sens!H16081*Sens!G16091</f>
        <v>33.5883340530727</v>
      </c>
      <c r="I16082" s="6" t="n">
        <f aca="false">Sens!I16081*Sens!H16091</f>
        <v>36.3258390543911</v>
      </c>
      <c r="J16082" s="6" t="n">
        <f aca="false">Sens!J16081*Sens!I16091</f>
        <v>39.299804064135</v>
      </c>
      <c r="K16082" s="6" t="n">
        <f aca="false">Sens!K16081*Sens!J16091</f>
        <v>42.5305426516441</v>
      </c>
      <c r="L16082" s="1" t="s">
        <v>1124</v>
      </c>
    </row>
    <row r="16083" customFormat="false" ht="15" hidden="false" customHeight="false" outlineLevel="0" collapsed="false">
      <c r="A16083" s="1" t="s">
        <v>1125</v>
      </c>
      <c r="B16083" s="0" t="s">
        <v>98</v>
      </c>
      <c r="E16083" s="6" t="n">
        <f aca="false">Sens!E16080-Sens!E16082</f>
        <v>37.441</v>
      </c>
      <c r="F16083" s="6" t="n">
        <f aca="false">Sens!F16080-Sens!F16082</f>
        <v>-19.461909122843</v>
      </c>
      <c r="G16083" s="6" t="n">
        <f aca="false">Sens!G16080-Sens!G16082</f>
        <v>129.676250490694</v>
      </c>
      <c r="H16083" s="6" t="n">
        <f aca="false">Sens!H16080-Sens!H16082</f>
        <v>185.125810036023</v>
      </c>
      <c r="I16083" s="6" t="n">
        <f aca="false">Sens!I16080-Sens!I16082</f>
        <v>171.586890701139</v>
      </c>
      <c r="J16083" s="6" t="n">
        <f aca="false">Sens!J16080-Sens!J16082</f>
        <v>171.447439400529</v>
      </c>
      <c r="K16083" s="6" t="n">
        <f aca="false">Sens!K16080-Sens!K16082</f>
        <v>143.268421782313</v>
      </c>
    </row>
    <row r="16084" customFormat="false" ht="15" hidden="false" customHeight="false" outlineLevel="0" collapsed="false">
      <c r="A16084" s="1" t="s">
        <v>1126</v>
      </c>
      <c r="B16084" s="0" t="s">
        <v>98</v>
      </c>
      <c r="F16084" s="6" t="n">
        <f aca="false">debt_mat_27</f>
        <v>9.25</v>
      </c>
      <c r="G16084" s="6" t="n">
        <f aca="false">debt_mat_28</f>
        <v>0</v>
      </c>
      <c r="H16084" s="6" t="n">
        <f aca="false">debt_mat_29</f>
        <v>2.001</v>
      </c>
      <c r="I16084" s="6" t="n">
        <f aca="false">debt_mat_30</f>
        <v>0</v>
      </c>
      <c r="J16084" s="6" t="n">
        <f aca="false">debt_mat_31</f>
        <v>0.5</v>
      </c>
      <c r="K16084" s="6" t="n">
        <f aca="false">debt_mat_32</f>
        <v>0</v>
      </c>
    </row>
    <row r="16085" customFormat="false" ht="15" hidden="false" customHeight="false" outlineLevel="0" collapsed="false">
      <c r="A16085" s="1" t="s">
        <v>1127</v>
      </c>
      <c r="B16085" s="0" t="s">
        <v>98</v>
      </c>
      <c r="E16085" s="6" t="n">
        <f aca="false">Q!M40</f>
        <v>22.271</v>
      </c>
      <c r="F16085" s="6" t="n">
        <f aca="false">MAX(0,MIN(bb_target,Sens!E16087+Sens!F16083-Sens!F16084-min_cash))</f>
        <v>0</v>
      </c>
      <c r="G16085" s="6" t="n">
        <f aca="false">MAX(0,MIN(bb_target,Sens!F16087+Sens!G16083-Sens!G16084-min_cash))</f>
        <v>22.271</v>
      </c>
      <c r="H16085" s="6" t="n">
        <f aca="false">MAX(0,MIN(bb_target,Sens!G16087+Sens!H16083-Sens!H16084-min_cash))</f>
        <v>22.271</v>
      </c>
      <c r="I16085" s="6" t="n">
        <f aca="false">MAX(0,MIN(bb_target,Sens!H16087+Sens!I16083-Sens!I16084-min_cash))</f>
        <v>22.271</v>
      </c>
      <c r="J16085" s="6" t="n">
        <f aca="false">MAX(0,MIN(bb_target,Sens!I16087+Sens!J16083-Sens!J16084-min_cash))</f>
        <v>22.271</v>
      </c>
      <c r="K16085" s="6" t="n">
        <f aca="false">MAX(0,MIN(bb_target,Sens!J16087+Sens!K16083-Sens!K16084-min_cash))</f>
        <v>22.271</v>
      </c>
    </row>
    <row r="16086" customFormat="false" ht="15" hidden="false" customHeight="false" outlineLevel="0" collapsed="false">
      <c r="A16086" s="1" t="s">
        <v>1128</v>
      </c>
      <c r="B16086" s="0" t="s">
        <v>98</v>
      </c>
      <c r="F16086" s="6" t="n">
        <f aca="false">MAX(0,min_cash-(Sens!E16087+Sens!F16083-Sens!F16084-Sens!F16085))</f>
        <v>1.86890912284302</v>
      </c>
      <c r="G16086" s="6" t="n">
        <f aca="false">MAX(0,min_cash-(Sens!F16087+Sens!G16083-Sens!G16084-Sens!G16085))</f>
        <v>0</v>
      </c>
      <c r="H16086" s="6" t="n">
        <f aca="false">MAX(0,min_cash-(Sens!G16087+Sens!H16083-Sens!H16084-Sens!H16085))</f>
        <v>0</v>
      </c>
      <c r="I16086" s="6" t="n">
        <f aca="false">MAX(0,min_cash-(Sens!H16087+Sens!I16083-Sens!I16084-Sens!I16085))</f>
        <v>0</v>
      </c>
      <c r="J16086" s="6" t="n">
        <f aca="false">MAX(0,min_cash-(Sens!I16087+Sens!J16083-Sens!J16084-Sens!J16085))</f>
        <v>0</v>
      </c>
      <c r="K16086" s="6" t="n">
        <f aca="false">MAX(0,min_cash-(Sens!J16087+Sens!K16083-Sens!K16084-Sens!K16085))</f>
        <v>0</v>
      </c>
    </row>
    <row r="16087" customFormat="false" ht="15" hidden="false" customHeight="false" outlineLevel="0" collapsed="false">
      <c r="A16087" s="1" t="s">
        <v>1129</v>
      </c>
      <c r="B16087" s="0" t="s">
        <v>98</v>
      </c>
      <c r="E16087" s="6" t="n">
        <f aca="false">cash_open</f>
        <v>76.843</v>
      </c>
      <c r="F16087" s="6" t="n">
        <f aca="false">Sens!E16087+Sens!F16083-Sens!F16084-Sens!F16085+Sens!F16086</f>
        <v>50</v>
      </c>
      <c r="G16087" s="6" t="n">
        <f aca="false">Sens!F16087+Sens!G16083-Sens!G16084-Sens!G16085+Sens!G16086</f>
        <v>157.405250490694</v>
      </c>
      <c r="H16087" s="6" t="n">
        <f aca="false">Sens!G16087+Sens!H16083-Sens!H16084-Sens!H16085+Sens!H16086</f>
        <v>318.259060526717</v>
      </c>
      <c r="I16087" s="6" t="n">
        <f aca="false">Sens!H16087+Sens!I16083-Sens!I16084-Sens!I16085+Sens!I16086</f>
        <v>467.574951227856</v>
      </c>
      <c r="J16087" s="6" t="n">
        <f aca="false">Sens!I16087+Sens!J16083-Sens!J16084-Sens!J16085+Sens!J16086</f>
        <v>616.251390628385</v>
      </c>
      <c r="K16087" s="6" t="n">
        <f aca="false">Sens!J16087+Sens!K16083-Sens!K16084-Sens!K16085+Sens!K16086</f>
        <v>737.248812410699</v>
      </c>
    </row>
    <row r="16088" customFormat="false" ht="15" hidden="false" customHeight="false" outlineLevel="0" collapsed="false">
      <c r="A16088" s="1" t="s">
        <v>1130</v>
      </c>
      <c r="B16088" s="0" t="s">
        <v>98</v>
      </c>
      <c r="E16088" s="6" t="n">
        <f aca="false">debt_face</f>
        <v>46.136</v>
      </c>
      <c r="F16088" s="6" t="n">
        <f aca="false">Sens!E16088-Sens!F16084+Sens!F16086</f>
        <v>38.754909122843</v>
      </c>
      <c r="G16088" s="6" t="n">
        <f aca="false">Sens!F16088-Sens!G16084+Sens!G16086</f>
        <v>38.754909122843</v>
      </c>
      <c r="H16088" s="6" t="n">
        <f aca="false">Sens!G16088-Sens!H16084+Sens!H16086</f>
        <v>36.753909122843</v>
      </c>
      <c r="I16088" s="6" t="n">
        <f aca="false">Sens!H16088-Sens!I16084+Sens!I16086</f>
        <v>36.753909122843</v>
      </c>
      <c r="J16088" s="6" t="n">
        <f aca="false">Sens!I16088-Sens!J16084+Sens!J16086</f>
        <v>36.253909122843</v>
      </c>
      <c r="K16088" s="6" t="n">
        <f aca="false">Sens!J16088-Sens!K16084+Sens!K16086</f>
        <v>36.253909122843</v>
      </c>
    </row>
    <row r="16089" customFormat="false" ht="15" hidden="false" customHeight="false" outlineLevel="0" collapsed="false">
      <c r="A16089" s="1" t="s">
        <v>1131</v>
      </c>
      <c r="B16089" s="0" t="s">
        <v>98</v>
      </c>
      <c r="E16089" s="6" t="n">
        <f aca="false">Sens!E16087-Sens!E16088</f>
        <v>30.707</v>
      </c>
      <c r="F16089" s="6" t="n">
        <f aca="false">Sens!F16087-Sens!F16088</f>
        <v>11.245090877157</v>
      </c>
      <c r="G16089" s="6" t="n">
        <f aca="false">Sens!G16087-Sens!G16088</f>
        <v>118.650341367851</v>
      </c>
      <c r="H16089" s="6" t="n">
        <f aca="false">Sens!H16087-Sens!H16088</f>
        <v>281.505151403874</v>
      </c>
      <c r="I16089" s="6" t="n">
        <f aca="false">Sens!I16087-Sens!I16088</f>
        <v>430.821042105013</v>
      </c>
      <c r="J16089" s="6" t="n">
        <f aca="false">Sens!J16087-Sens!J16088</f>
        <v>579.997481505542</v>
      </c>
      <c r="K16089" s="6" t="n">
        <f aca="false">Sens!K16087-Sens!K16088</f>
        <v>700.994903287856</v>
      </c>
    </row>
    <row r="16090" customFormat="false" ht="15" hidden="false" customHeight="false" outlineLevel="0" collapsed="false">
      <c r="A16090" s="1" t="s">
        <v>1132</v>
      </c>
      <c r="B16090" s="0" t="s">
        <v>75</v>
      </c>
      <c r="F16090" s="30" t="n">
        <f aca="false">px*(1+bb_g)^(Sens!F15948-base_fy-mid_yr)</f>
        <v>551.84177959629</v>
      </c>
      <c r="G16090" s="30" t="n">
        <f aca="false">px*(1+bb_g)^(Sens!G15948-base_fy-mid_yr)</f>
        <v>595.989121963993</v>
      </c>
      <c r="H16090" s="30" t="n">
        <f aca="false">px*(1+bb_g)^(Sens!H15948-base_fy-mid_yr)</f>
        <v>643.668251721112</v>
      </c>
      <c r="I16090" s="30" t="n">
        <f aca="false">px*(1+bb_g)^(Sens!I15948-base_fy-mid_yr)</f>
        <v>695.161711858801</v>
      </c>
      <c r="J16090" s="30" t="n">
        <f aca="false">px*(1+bb_g)^(Sens!J15948-base_fy-mid_yr)</f>
        <v>750.774648807506</v>
      </c>
      <c r="K16090" s="30" t="n">
        <f aca="false">px*(1+bb_g)^(Sens!K15948-base_fy-mid_yr)</f>
        <v>810.836620712106</v>
      </c>
    </row>
    <row r="16091" customFormat="false" ht="15" hidden="false" customHeight="false" outlineLevel="0" collapsed="false">
      <c r="A16091" s="1" t="s">
        <v>1133</v>
      </c>
      <c r="B16091" s="1" t="s">
        <v>81</v>
      </c>
      <c r="E16091" s="15" t="n">
        <f aca="false">sh_out26</f>
        <v>7.427</v>
      </c>
      <c r="F16091" s="15" t="n">
        <f aca="false">Sens!E16091+sh_iss-Sens!F16085/Sens!F16090</f>
        <v>7.472</v>
      </c>
      <c r="G16091" s="15" t="n">
        <f aca="false">Sens!F16091+sh_iss-Sens!G16085/Sens!G16090</f>
        <v>7.47963186830221</v>
      </c>
      <c r="H16091" s="15" t="n">
        <f aca="false">Sens!G16091+sh_iss-Sens!H16085/Sens!H16090</f>
        <v>7.49003174635981</v>
      </c>
      <c r="I16091" s="15" t="n">
        <f aca="false">Sens!H16091+sh_iss-Sens!I16085/Sens!I16090</f>
        <v>7.50299459641315</v>
      </c>
      <c r="J16091" s="15" t="n">
        <f aca="false">Sens!I16091+sh_iss-Sens!J16085/Sens!J16090</f>
        <v>7.51833056868476</v>
      </c>
      <c r="K16091" s="15" t="n">
        <f aca="false">Sens!J16091+sh_iss-Sens!K16085/Sens!K16090</f>
        <v>7.53586387634365</v>
      </c>
    </row>
    <row r="16092" customFormat="false" ht="15" hidden="false" customHeight="false" outlineLevel="0" collapsed="false">
      <c r="A16092" s="1" t="s">
        <v>1134</v>
      </c>
      <c r="B16092" s="1" t="s">
        <v>81</v>
      </c>
      <c r="E16092" s="15" t="n">
        <f aca="false">sh_dil26</f>
        <v>7.453</v>
      </c>
      <c r="F16092" s="15" t="n">
        <f aca="false">(Sens!E16091+Sens!F16091)/2+dil_gap</f>
        <v>7.4735</v>
      </c>
      <c r="G16092" s="15" t="n">
        <f aca="false">(Sens!F16091+Sens!G16091)/2+dil_gap</f>
        <v>7.49981593415111</v>
      </c>
      <c r="H16092" s="15" t="n">
        <f aca="false">(Sens!G16091+Sens!H16091)/2+dil_gap</f>
        <v>7.50883180733101</v>
      </c>
      <c r="I16092" s="15" t="n">
        <f aca="false">(Sens!H16091+Sens!I16091)/2+dil_gap</f>
        <v>7.52051317138648</v>
      </c>
      <c r="J16092" s="15" t="n">
        <f aca="false">(Sens!I16091+Sens!J16091)/2+dil_gap</f>
        <v>7.53466258254895</v>
      </c>
      <c r="K16092" s="15" t="n">
        <f aca="false">(Sens!J16091+Sens!K16091)/2+dil_gap</f>
        <v>7.55109722251421</v>
      </c>
    </row>
    <row r="16093" customFormat="false" ht="17.15" hidden="false" customHeight="false" outlineLevel="0" collapsed="false">
      <c r="A16093" s="1" t="s">
        <v>1135</v>
      </c>
      <c r="B16093" s="0" t="s">
        <v>98</v>
      </c>
      <c r="C16093" s="6" t="n">
        <f aca="false">SUM(Sens!F16083:J16083)</f>
        <v>638.374481505542</v>
      </c>
    </row>
    <row r="16094" customFormat="false" ht="15" hidden="false" customHeight="false" outlineLevel="0" collapsed="false">
      <c r="A16094" s="26" t="s">
        <v>1100</v>
      </c>
      <c r="B16094" s="31" t="s">
        <v>98</v>
      </c>
      <c r="C16094" s="27" t="n">
        <f aca="false">Sens!$C$16093-(Sens!F16083+Sens!G16083+Sens!H16083+Sens!I16083+Sens!J16083)</f>
        <v>0</v>
      </c>
      <c r="D16094" s="31"/>
      <c r="E16094" s="31"/>
      <c r="F16094" s="31"/>
      <c r="G16094" s="31"/>
      <c r="H16094" s="31"/>
      <c r="I16094" s="31"/>
      <c r="J16094" s="31"/>
      <c r="K16094" s="31"/>
    </row>
    <row r="16095" customFormat="false" ht="17.15" hidden="false" customHeight="false" outlineLevel="0" collapsed="false">
      <c r="A16095" s="1" t="s">
        <v>1094</v>
      </c>
      <c r="B16095" s="1" t="s">
        <v>1136</v>
      </c>
      <c r="C16095" s="33" t="str">
        <f aca="false">IF(SUM(Sens!F16086:J16086)&gt;0.05,"需要舉債 "&amp;TEXT(SUM(Sens!F16086:J16086),"0.0")&amp;" 十億美元","不需舉債")&amp;"；"&amp;IF(SUM(Sens!F16085:J16085)&lt;COUNT(Sens!F16085:J16085)*bb_target-0.05,"回購較每年 "&amp;TEXT(bb_target,"0.0")&amp;" 的目標少 "&amp;TEXT(COUNT(Sens!F16085:J16085)*bb_target-SUM(Sens!F16085:J16085),"0.0")&amp;" 十億美元（"&amp;TEXT(COUNTIF(Sens!F16085:J16085,"&lt;"&amp;(bb_target-0.05)),"0")&amp;" 年減少）","回購不減")</f>
        <v>需要舉債 1.9 十億美元；回購較每年 22.3 的目標少 22.3 十億美元（1 年減少）</v>
      </c>
    </row>
    <row r="16096" customFormat="false" ht="17.15" hidden="false" customHeight="false" outlineLevel="0" collapsed="false">
      <c r="A16096" s="3" t="s">
        <v>2008</v>
      </c>
    </row>
    <row r="16097" customFormat="false" ht="15" hidden="false" customHeight="false" outlineLevel="0" collapsed="false">
      <c r="A16097" s="4" t="s">
        <v>43</v>
      </c>
      <c r="B16097" s="4" t="s">
        <v>65</v>
      </c>
      <c r="C16097" s="23" t="s">
        <v>942</v>
      </c>
      <c r="D16097" s="23" t="s">
        <v>943</v>
      </c>
      <c r="E16097" s="23" t="s">
        <v>944</v>
      </c>
      <c r="F16097" s="23" t="s">
        <v>945</v>
      </c>
      <c r="G16097" s="23" t="s">
        <v>946</v>
      </c>
      <c r="H16097" s="23" t="s">
        <v>947</v>
      </c>
      <c r="I16097" s="23" t="s">
        <v>948</v>
      </c>
      <c r="J16097" s="23" t="s">
        <v>949</v>
      </c>
      <c r="K16097" s="23" t="s">
        <v>950</v>
      </c>
      <c r="L16097" s="4" t="s">
        <v>47</v>
      </c>
    </row>
    <row r="16098" customFormat="false" ht="17.15" hidden="false" customHeight="false" outlineLevel="0" collapsed="false">
      <c r="A16098" s="1" t="s">
        <v>1216</v>
      </c>
      <c r="B16098" s="1" t="s">
        <v>279</v>
      </c>
      <c r="F16098" s="8" t="n">
        <f aca="false">(1-v_off)*mid_yr</f>
        <v>0.373972602739726</v>
      </c>
      <c r="G16098" s="8" t="n">
        <f aca="false">Sens!G15948-base_fy-mid_yr-v_off</f>
        <v>1.24794520547945</v>
      </c>
      <c r="H16098" s="8" t="n">
        <f aca="false">Sens!H15948-base_fy-mid_yr-v_off</f>
        <v>2.24794520547945</v>
      </c>
      <c r="I16098" s="8" t="n">
        <f aca="false">Sens!I15948-base_fy-mid_yr-v_off</f>
        <v>3.24794520547945</v>
      </c>
      <c r="J16098" s="8" t="n">
        <f aca="false">Sens!J15948-base_fy-mid_yr-v_off</f>
        <v>4.24794520547945</v>
      </c>
      <c r="K16098" s="8" t="n">
        <f aca="false">Sens!K15948-base_fy-mid_yr-v_off</f>
        <v>5.24794520547945</v>
      </c>
      <c r="L16098" s="12" t="s">
        <v>1217</v>
      </c>
    </row>
    <row r="16099" customFormat="false" ht="15" hidden="false" customHeight="false" outlineLevel="0" collapsed="false">
      <c r="A16099" s="1" t="s">
        <v>1218</v>
      </c>
      <c r="B16099" s="1" t="s">
        <v>279</v>
      </c>
      <c r="F16099" s="8" t="n">
        <f aca="false">Sens!F15948-base_fy-v_off</f>
        <v>0.747945205479452</v>
      </c>
      <c r="G16099" s="8" t="n">
        <f aca="false">Sens!G15948-base_fy-v_off</f>
        <v>1.74794520547945</v>
      </c>
      <c r="H16099" s="8" t="n">
        <f aca="false">Sens!H15948-base_fy-v_off</f>
        <v>2.74794520547945</v>
      </c>
      <c r="I16099" s="8" t="n">
        <f aca="false">Sens!I15948-base_fy-v_off</f>
        <v>3.74794520547945</v>
      </c>
      <c r="J16099" s="8" t="n">
        <f aca="false">Sens!J15948-base_fy-v_off</f>
        <v>4.74794520547945</v>
      </c>
      <c r="K16099" s="8" t="n">
        <f aca="false">Sens!K15948-base_fy-v_off</f>
        <v>5.74794520547945</v>
      </c>
    </row>
    <row r="16100" customFormat="false" ht="15" hidden="false" customHeight="false" outlineLevel="0" collapsed="false">
      <c r="A16100" s="1" t="s">
        <v>1219</v>
      </c>
      <c r="B16100" s="0" t="s">
        <v>229</v>
      </c>
      <c r="F16100" s="15" t="n">
        <f aca="false">1/(1+wacc)^Sens!F16098</f>
        <v>0.964022703286649</v>
      </c>
      <c r="G16100" s="15" t="n">
        <f aca="false">1/(1+wacc)^Sens!G16098</f>
        <v>0.884910302296739</v>
      </c>
      <c r="H16100" s="15" t="n">
        <f aca="false">1/(1+wacc)^Sens!H16098</f>
        <v>0.802322009770358</v>
      </c>
      <c r="I16100" s="15" t="n">
        <f aca="false">1/(1+wacc)^Sens!I16098</f>
        <v>0.727441646561469</v>
      </c>
      <c r="J16100" s="15" t="n">
        <f aca="false">1/(1+wacc)^Sens!J16098</f>
        <v>0.659549834988973</v>
      </c>
      <c r="K16100" s="15" t="n">
        <f aca="false">1/(1+wacc)^Sens!K16098</f>
        <v>0.597994336576966</v>
      </c>
    </row>
    <row r="16101" customFormat="false" ht="17.15" hidden="false" customHeight="false" outlineLevel="0" collapsed="false">
      <c r="A16101" s="1" t="s">
        <v>1220</v>
      </c>
      <c r="B16101" s="0" t="s">
        <v>98</v>
      </c>
      <c r="F16101" s="6" t="n">
        <f aca="false">Q!$I$35-Q!$I$39-Q!$I$43</f>
        <v>9.666</v>
      </c>
      <c r="L16101" s="12" t="s">
        <v>1221</v>
      </c>
    </row>
    <row r="16102" customFormat="false" ht="17.15" hidden="false" customHeight="false" outlineLevel="0" collapsed="false">
      <c r="A16102" s="1" t="s">
        <v>1222</v>
      </c>
      <c r="B16102" s="0" t="s">
        <v>98</v>
      </c>
      <c r="F16102" s="6" t="n">
        <f aca="false">Sens!F16073-Sens!F16070-Sens!F16077+Sens!F16055*(1-tax_f)*(1-v_off)-Sens!F16101</f>
        <v>-11.0463343080775</v>
      </c>
      <c r="G16102" s="6" t="n">
        <f aca="false">Sens!G16073-Sens!G16070-Sens!G16077+Sens!G16055*(1-tax_f)</f>
        <v>148.492828537361</v>
      </c>
      <c r="H16102" s="6" t="n">
        <f aca="false">Sens!H16073-Sens!H16070-Sens!H16077+Sens!H16055*(1-tax_f)</f>
        <v>204.076273838186</v>
      </c>
      <c r="I16102" s="6" t="n">
        <f aca="false">Sens!I16073-Sens!I16070-Sens!I16077+Sens!I16055*(1-tax_f)</f>
        <v>191.700438159859</v>
      </c>
      <c r="J16102" s="6" t="n">
        <f aca="false">Sens!J16073-Sens!J16070-Sens!J16077+Sens!J16055*(1-tax_f)</f>
        <v>193.164666962251</v>
      </c>
      <c r="K16102" s="6" t="n">
        <f aca="false">Sens!K16073-Sens!K16070-Sens!K16077+Sens!K16055*(1-tax_f)</f>
        <v>166.930390881028</v>
      </c>
      <c r="L16102" s="1" t="s">
        <v>1223</v>
      </c>
    </row>
    <row r="16103" customFormat="false" ht="15" hidden="false" customHeight="false" outlineLevel="0" collapsed="false">
      <c r="A16103" s="1" t="s">
        <v>1224</v>
      </c>
      <c r="B16103" s="0" t="s">
        <v>98</v>
      </c>
      <c r="F16103" s="6" t="n">
        <f aca="false">Sens!F16102*Sens!F16100</f>
        <v>-10.648917061081</v>
      </c>
      <c r="G16103" s="6" t="n">
        <f aca="false">Sens!G16102*Sens!G16100</f>
        <v>131.402833789894</v>
      </c>
      <c r="H16103" s="6" t="n">
        <f aca="false">Sens!H16102*Sens!H16100</f>
        <v>163.734886172299</v>
      </c>
      <c r="I16103" s="6" t="n">
        <f aca="false">Sens!I16102*Sens!I16100</f>
        <v>139.450882381563</v>
      </c>
      <c r="J16103" s="6" t="n">
        <f aca="false">Sens!J16102*Sens!J16100</f>
        <v>127.401724220653</v>
      </c>
      <c r="K16103" s="6" t="n">
        <f aca="false">Sens!K16102*Sens!K16100</f>
        <v>99.8234283494337</v>
      </c>
    </row>
    <row r="16104" customFormat="false" ht="17.15" hidden="false" customHeight="false" outlineLevel="0" collapsed="false">
      <c r="A16104" s="1" t="s">
        <v>1225</v>
      </c>
      <c r="B16104" s="0" t="s">
        <v>98</v>
      </c>
      <c r="C16104" s="6" t="n">
        <f aca="false">SUM(Sens!F16103:K16103)</f>
        <v>651.164837852761</v>
      </c>
    </row>
    <row r="16105" customFormat="false" ht="17.15" hidden="false" customHeight="false" outlineLevel="0" collapsed="false">
      <c r="A16105" s="1" t="s">
        <v>1226</v>
      </c>
      <c r="B16105" s="0" t="s">
        <v>98</v>
      </c>
      <c r="C16105" s="6" t="n">
        <f aca="false">Sens!K16041*(1+g_tv)*(1-tax_f)</f>
        <v>245.735483423451</v>
      </c>
    </row>
    <row r="16106" customFormat="false" ht="17.15" hidden="false" customHeight="false" outlineLevel="0" collapsed="false">
      <c r="A16106" s="1" t="s">
        <v>1227</v>
      </c>
      <c r="B16106" s="0" t="s">
        <v>98</v>
      </c>
      <c r="C16106" s="6" t="n">
        <f aca="false">Sens!$C$16105*(1-g_tv/(wacc+ronic_prem))</f>
        <v>174.117952329967</v>
      </c>
    </row>
    <row r="16107" customFormat="false" ht="17.15" hidden="false" customHeight="false" outlineLevel="0" collapsed="false">
      <c r="A16107" s="1" t="s">
        <v>1228</v>
      </c>
      <c r="B16107" s="0" t="s">
        <v>98</v>
      </c>
      <c r="C16107" s="6" t="n">
        <f aca="false">Sens!$C$16106/(wacc-g_tv)</f>
        <v>2387.25103644946</v>
      </c>
    </row>
    <row r="16108" customFormat="false" ht="15" hidden="false" customHeight="false" outlineLevel="0" collapsed="false">
      <c r="A16108" s="1" t="s">
        <v>1229</v>
      </c>
      <c r="B16108" s="0" t="s">
        <v>98</v>
      </c>
      <c r="C16108" s="6" t="n">
        <f aca="false">Sens!$C$16107/(1+wacc)^Sens!K16099</f>
        <v>1359.31431018974</v>
      </c>
    </row>
    <row r="16109" customFormat="false" ht="17.15" hidden="false" customHeight="false" outlineLevel="0" collapsed="false">
      <c r="A16109" s="0" t="s">
        <v>1230</v>
      </c>
      <c r="B16109" s="0" t="s">
        <v>98</v>
      </c>
      <c r="C16109" s="6" t="n">
        <f aca="false">Sens!$C$16104+Sens!$C$16108</f>
        <v>2010.4791480425</v>
      </c>
    </row>
    <row r="16110" customFormat="false" ht="15" hidden="false" customHeight="false" outlineLevel="0" collapsed="false">
      <c r="A16110" s="1" t="s">
        <v>1145</v>
      </c>
      <c r="B16110" s="0" t="s">
        <v>168</v>
      </c>
      <c r="C16110" s="7" t="n">
        <f aca="false">Sens!$C$16108/Sens!$C$16109</f>
        <v>0.676114602587763</v>
      </c>
    </row>
    <row r="16111" customFormat="false" ht="17.15" hidden="false" customHeight="false" outlineLevel="0" collapsed="false">
      <c r="A16111" s="1" t="s">
        <v>1231</v>
      </c>
      <c r="B16111" s="0" t="s">
        <v>98</v>
      </c>
      <c r="C16111" s="6" t="n">
        <f aca="false">Sens!$C$16109+cash_val-debt_val-fl_val+oai_v</f>
        <v>2126.3301480425</v>
      </c>
    </row>
    <row r="16112" customFormat="false" ht="17.15" hidden="false" customHeight="false" outlineLevel="0" collapsed="false">
      <c r="A16112" s="0" t="s">
        <v>1153</v>
      </c>
      <c r="B16112" s="0" t="s">
        <v>75</v>
      </c>
      <c r="C16112" s="5" t="n">
        <f aca="false">Sens!$C$16111/shd_val</f>
        <v>285.566767128995</v>
      </c>
    </row>
    <row r="16113" customFormat="false" ht="15" hidden="false" customHeight="false" outlineLevel="0" collapsed="false">
      <c r="A16113" s="1" t="s">
        <v>1232</v>
      </c>
      <c r="B16113" s="0" t="s">
        <v>75</v>
      </c>
      <c r="C16113" s="8" t="n">
        <f aca="false">div_rem27+Sens!G16081*roll_div_q/q_per_yr</f>
        <v>3.9795</v>
      </c>
    </row>
    <row r="16114" customFormat="false" ht="17.15" hidden="false" customHeight="false" outlineLevel="0" collapsed="false">
      <c r="A16114" s="0" t="s">
        <v>1233</v>
      </c>
      <c r="B16114" s="0" t="s">
        <v>75</v>
      </c>
      <c r="C16114" s="5" t="n">
        <f aca="false">Sens!$C$16112*(1+wacc)^t_roll-Sens!$C$16113</f>
        <v>313.443899357562</v>
      </c>
    </row>
    <row r="16115" customFormat="false" ht="17.15" hidden="false" customHeight="false" outlineLevel="0" collapsed="false">
      <c r="A16115" s="1" t="s">
        <v>1234</v>
      </c>
      <c r="B16115" s="0" t="s">
        <v>168</v>
      </c>
      <c r="F16115" s="7" t="n">
        <f aca="false">Sens!F16067/(Sens!F16012-Sens!F15967)</f>
        <v>0.107880469298418</v>
      </c>
      <c r="G16115" s="7" t="n">
        <f aca="false">Sens!G16067/(Sens!G16012-Sens!G15967)</f>
        <v>0.0967579149665688</v>
      </c>
      <c r="H16115" s="7" t="n">
        <f aca="false">Sens!H16067/(Sens!H16012-Sens!H15967)</f>
        <v>0.0890421447162373</v>
      </c>
      <c r="I16115" s="7" t="n">
        <f aca="false">Sens!I16067/(Sens!I16012-Sens!I15967)</f>
        <v>0.0842314576487123</v>
      </c>
      <c r="J16115" s="7" t="n">
        <f aca="false">Sens!J16067/(Sens!J16012-Sens!J15967)</f>
        <v>0.0815484173778937</v>
      </c>
      <c r="K16115" s="7" t="n">
        <f aca="false">Sens!K16067/(Sens!K16012-Sens!K15967)</f>
        <v>0.0801930458302042</v>
      </c>
    </row>
    <row r="16116" customFormat="false" ht="17.15" hidden="false" customHeight="false" outlineLevel="0" collapsed="false">
      <c r="A16116" s="0" t="s">
        <v>1235</v>
      </c>
      <c r="B16116" s="0" t="s">
        <v>98</v>
      </c>
      <c r="F16116" s="6" t="n">
        <f aca="false">Sens!F15997*(al_m365+Sens!F16115+sbc_r)</f>
        <v>89.2300871739136</v>
      </c>
      <c r="G16116" s="6" t="n">
        <f aca="false">Sens!G15997*(al_m365+Sens!G16115+sbc_r)</f>
        <v>103.371455414254</v>
      </c>
      <c r="H16116" s="6" t="n">
        <f aca="false">Sens!H15997*(al_m365+Sens!H16115+sbc_r)</f>
        <v>117.654246568111</v>
      </c>
      <c r="I16116" s="6" t="n">
        <f aca="false">Sens!I15997*(al_m365+Sens!I16115+sbc_r)</f>
        <v>130.392305628012</v>
      </c>
      <c r="J16116" s="6" t="n">
        <f aca="false">Sens!J15997*(al_m365+Sens!J16115+sbc_r)</f>
        <v>141.429629333939</v>
      </c>
      <c r="K16116" s="6" t="n">
        <f aca="false">Sens!K15997*(al_m365+Sens!K16115+sbc_r)</f>
        <v>152.126152882406</v>
      </c>
      <c r="L16116" s="12" t="s">
        <v>1236</v>
      </c>
    </row>
    <row r="16117" customFormat="false" ht="17.15" hidden="false" customHeight="false" outlineLevel="0" collapsed="false">
      <c r="A16117" s="0" t="s">
        <v>1237</v>
      </c>
      <c r="B16117" s="0" t="s">
        <v>98</v>
      </c>
      <c r="F16117" s="6" t="n">
        <f aca="false">Sens!F15998*(al_lic+Sens!F16115+sbc_r)</f>
        <v>34.3648011021305</v>
      </c>
      <c r="G16117" s="6" t="n">
        <f aca="false">Sens!G15998*(al_lic+Sens!G16115+sbc_r)</f>
        <v>35.3749347549471</v>
      </c>
      <c r="H16117" s="6" t="n">
        <f aca="false">Sens!H15998*(al_lic+Sens!H16115+sbc_r)</f>
        <v>36.3551944212281</v>
      </c>
      <c r="I16117" s="6" t="n">
        <f aca="false">Sens!I15998*(al_lic+Sens!I16115+sbc_r)</f>
        <v>37.2826899380852</v>
      </c>
      <c r="J16117" s="6" t="n">
        <f aca="false">Sens!J15998*(al_lic+Sens!J16115+sbc_r)</f>
        <v>38.1189059304861</v>
      </c>
      <c r="K16117" s="6" t="n">
        <f aca="false">Sens!K15998*(al_lic+Sens!K16115+sbc_r)</f>
        <v>38.82063644195</v>
      </c>
    </row>
    <row r="16118" customFormat="false" ht="17.15" hidden="false" customHeight="false" outlineLevel="0" collapsed="false">
      <c r="A16118" s="0" t="s">
        <v>1238</v>
      </c>
      <c r="B16118" s="0" t="s">
        <v>98</v>
      </c>
      <c r="F16118" s="6" t="n">
        <f aca="false">Sens!F16000*(al_ind+Sens!F16115+sbc_r)</f>
        <v>9.93657036475881</v>
      </c>
      <c r="G16118" s="6" t="n">
        <f aca="false">Sens!G16000*(al_ind+Sens!G16115+sbc_r)</f>
        <v>10.5905753188275</v>
      </c>
      <c r="H16118" s="6" t="n">
        <f aca="false">Sens!H16000*(al_ind+Sens!H16115+sbc_r)</f>
        <v>11.3109263525627</v>
      </c>
      <c r="I16118" s="6" t="n">
        <f aca="false">Sens!I16000*(al_ind+Sens!I16115+sbc_r)</f>
        <v>12.0954565148207</v>
      </c>
      <c r="J16118" s="6" t="n">
        <f aca="false">Sens!J16000*(al_ind+Sens!J16115+sbc_r)</f>
        <v>12.9292567574792</v>
      </c>
      <c r="K16118" s="6" t="n">
        <f aca="false">Sens!K16000*(al_ind+Sens!K16115+sbc_r)</f>
        <v>13.789546469938</v>
      </c>
    </row>
    <row r="16119" customFormat="false" ht="17.15" hidden="false" customHeight="false" outlineLevel="0" collapsed="false">
      <c r="A16119" s="0" t="s">
        <v>1239</v>
      </c>
      <c r="B16119" s="0" t="s">
        <v>98</v>
      </c>
      <c r="F16119" s="6" t="n">
        <f aca="false">Sens!F16002*(al_fro+Sens!F16115+sbc_r)</f>
        <v>3.89770848082395</v>
      </c>
      <c r="G16119" s="6" t="n">
        <f aca="false">Sens!G16002*(al_fro+Sens!G16115+sbc_r)</f>
        <v>4.0522645052683</v>
      </c>
      <c r="H16119" s="6" t="n">
        <f aca="false">Sens!H16002*(al_fro+Sens!H16115+sbc_r)</f>
        <v>4.24778371288396</v>
      </c>
      <c r="I16119" s="6" t="n">
        <f aca="false">Sens!I16002*(al_fro+Sens!I16115+sbc_r)</f>
        <v>4.48605939621065</v>
      </c>
      <c r="J16119" s="6" t="n">
        <f aca="false">Sens!J16002*(al_fro+Sens!J16115+sbc_r)</f>
        <v>4.76540125645362</v>
      </c>
      <c r="K16119" s="6" t="n">
        <f aca="false">Sens!K16002*(al_fro+Sens!K16115+sbc_r)</f>
        <v>5.0824825669701</v>
      </c>
    </row>
    <row r="16120" customFormat="false" ht="17.15" hidden="false" customHeight="false" outlineLevel="0" collapsed="false">
      <c r="A16120" s="0" t="s">
        <v>1240</v>
      </c>
      <c r="B16120" s="0" t="s">
        <v>98</v>
      </c>
      <c r="F16120" s="6" t="n">
        <f aca="false">Sens!F16005*(al_srch+Sens!F16115+sbc_r)</f>
        <v>12.2710889513994</v>
      </c>
      <c r="G16120" s="6" t="n">
        <f aca="false">Sens!G16005*(al_srch+Sens!G16115+sbc_r)</f>
        <v>13.2021502587442</v>
      </c>
      <c r="H16120" s="6" t="n">
        <f aca="false">Sens!H16005*(al_srch+Sens!H16115+sbc_r)</f>
        <v>14.2004464017254</v>
      </c>
      <c r="I16120" s="6" t="n">
        <f aca="false">Sens!I16005*(al_srch+Sens!I16115+sbc_r)</f>
        <v>15.2578006636361</v>
      </c>
      <c r="J16120" s="6" t="n">
        <f aca="false">Sens!J16005*(al_srch+Sens!J16115+sbc_r)</f>
        <v>16.3486891483271</v>
      </c>
      <c r="K16120" s="6" t="n">
        <f aca="false">Sens!K16005*(al_srch+Sens!K16115+sbc_r)</f>
        <v>17.4365018006946</v>
      </c>
    </row>
    <row r="16121" customFormat="false" ht="17.15" hidden="false" customHeight="false" outlineLevel="0" collapsed="false">
      <c r="A16121" s="0" t="s">
        <v>1241</v>
      </c>
      <c r="B16121" s="0" t="s">
        <v>98</v>
      </c>
      <c r="F16121" s="6" t="n">
        <f aca="false">Sens!F15973-Sens!F15974+Sens!F16055</f>
        <v>26.3105055222842</v>
      </c>
      <c r="G16121" s="6" t="n">
        <f aca="false">Sens!G15973-Sens!G15974+Sens!G16055</f>
        <v>34.5111199727705</v>
      </c>
      <c r="H16121" s="6" t="n">
        <f aca="false">Sens!H15973-Sens!H15974+Sens!H16055</f>
        <v>40.1955385443373</v>
      </c>
      <c r="I16121" s="6" t="n">
        <f aca="false">Sens!I15973-Sens!I15974+Sens!I16055</f>
        <v>41.4005897671421</v>
      </c>
      <c r="J16121" s="6" t="n">
        <f aca="false">Sens!J15973-Sens!J15974+Sens!J16055</f>
        <v>43.2204630423983</v>
      </c>
      <c r="K16121" s="6" t="n">
        <f aca="false">Sens!K15973-Sens!K15974+Sens!K16055</f>
        <v>46.8356167108126</v>
      </c>
    </row>
    <row r="16122" customFormat="false" ht="17.15" hidden="false" customHeight="false" outlineLevel="0" collapsed="false">
      <c r="A16122" s="0" t="s">
        <v>1242</v>
      </c>
      <c r="B16122" s="0" t="s">
        <v>98</v>
      </c>
      <c r="F16122" s="6" t="n">
        <f aca="false">Sens!F16034+Sens!F16055+Sens!F15985+Sens!F16115*(Sens!F16004-Sens!F15967)+sbc_r*Sens!F16004</f>
        <v>222.25991718995</v>
      </c>
      <c r="G16122" s="6" t="n">
        <f aca="false">Sens!G16034+Sens!G16055+Sens!G15985+Sens!G16115*(Sens!G16004-Sens!G15967)+sbc_r*Sens!G16004</f>
        <v>253.950613840696</v>
      </c>
      <c r="H16122" s="6" t="n">
        <f aca="false">Sens!H16034+Sens!H16055+Sens!H15985+Sens!H16115*(Sens!H16004-Sens!H15967)+sbc_r*Sens!H16004</f>
        <v>288.831610889434</v>
      </c>
      <c r="I16122" s="6" t="n">
        <f aca="false">Sens!I16034+Sens!I16055+Sens!I15985+Sens!I16115*(Sens!I16004-Sens!I15967)+sbc_r*Sens!I16004</f>
        <v>317.274553930235</v>
      </c>
      <c r="J16122" s="6" t="n">
        <f aca="false">Sens!J16034+Sens!J16055+Sens!J15985+Sens!J16115*(Sens!J16004-Sens!J15967)+sbc_r*Sens!J16004</f>
        <v>343.726913679087</v>
      </c>
      <c r="K16122" s="6" t="n">
        <f aca="false">Sens!K16034+Sens!K16055+Sens!K15985+Sens!K16115*(Sens!K16004-Sens!K15967)+sbc_r*Sens!K16004</f>
        <v>369.897925870621</v>
      </c>
    </row>
    <row r="16123" customFormat="false" ht="17.15" hidden="false" customHeight="false" outlineLevel="0" collapsed="false">
      <c r="A16123" s="0" t="s">
        <v>1243</v>
      </c>
      <c r="B16123" s="0" t="s">
        <v>98</v>
      </c>
      <c r="F16123" s="6" t="n">
        <f aca="false">Sens!F16122-Sens!F16116-Sens!F16117-Sens!F16118-Sens!F16119-Sens!F16121</f>
        <v>58.5202445460394</v>
      </c>
      <c r="G16123" s="6" t="n">
        <f aca="false">Sens!G16122-Sens!G16116-Sens!G16117-Sens!G16118-Sens!G16119-Sens!G16121</f>
        <v>66.0502638746287</v>
      </c>
      <c r="H16123" s="6" t="n">
        <f aca="false">Sens!H16122-Sens!H16116-Sens!H16117-Sens!H16118-Sens!H16119-Sens!H16121</f>
        <v>79.0679212903104</v>
      </c>
      <c r="I16123" s="6" t="n">
        <f aca="false">Sens!I16122-Sens!I16116-Sens!I16117-Sens!I16118-Sens!I16119-Sens!I16121</f>
        <v>91.6174526859643</v>
      </c>
      <c r="J16123" s="6" t="n">
        <f aca="false">Sens!J16122-Sens!J16116-Sens!J16117-Sens!J16118-Sens!J16119-Sens!J16121</f>
        <v>103.263257358331</v>
      </c>
      <c r="K16123" s="6" t="n">
        <f aca="false">Sens!K16122-Sens!K16116-Sens!K16117-Sens!K16118-Sens!K16119-Sens!K16121</f>
        <v>113.243490798545</v>
      </c>
    </row>
    <row r="16124" customFormat="false" ht="17.15" hidden="false" customHeight="false" outlineLevel="0" collapsed="false">
      <c r="A16124" s="0" t="s">
        <v>1244</v>
      </c>
      <c r="B16124" s="0" t="s">
        <v>98</v>
      </c>
      <c r="F16124" s="6" t="n">
        <f aca="false">Sens!F16036+Sens!F16115*Sens!F16011+sbc_r*Sens!F16011</f>
        <v>29.1582113513808</v>
      </c>
      <c r="G16124" s="6" t="n">
        <f aca="false">Sens!G16036+Sens!G16115*Sens!G16011+sbc_r*Sens!G16011</f>
        <v>28.5216318138955</v>
      </c>
      <c r="H16124" s="6" t="n">
        <f aca="false">Sens!H16036+Sens!H16115*Sens!H16011+sbc_r*Sens!H16011</f>
        <v>29.0407699040281</v>
      </c>
      <c r="I16124" s="6" t="n">
        <f aca="false">Sens!I16036+Sens!I16115*Sens!I16011+sbc_r*Sens!I16011</f>
        <v>29.8929228225599</v>
      </c>
      <c r="J16124" s="6" t="n">
        <f aca="false">Sens!J16036+Sens!J16115*Sens!J16011+sbc_r*Sens!J16011</f>
        <v>31.0137992627411</v>
      </c>
      <c r="K16124" s="6" t="n">
        <f aca="false">Sens!K16036+Sens!K16115*Sens!K16011+sbc_r*Sens!K16011</f>
        <v>32.3381849230866</v>
      </c>
    </row>
    <row r="16125" customFormat="false" ht="17.15" hidden="false" customHeight="false" outlineLevel="0" collapsed="false">
      <c r="A16125" s="0" t="s">
        <v>1245</v>
      </c>
      <c r="B16125" s="0" t="s">
        <v>98</v>
      </c>
      <c r="F16125" s="6" t="n">
        <f aca="false">(Sens!F16124-Sens!F16120)*Sens!F16007/(Sens!F16007+Sens!F16009)</f>
        <v>9.53760218074356</v>
      </c>
      <c r="G16125" s="6" t="n">
        <f aca="false">(Sens!G16124-Sens!G16120)*Sens!G16007/(Sens!G16007+Sens!G16009)</f>
        <v>8.50352176886459</v>
      </c>
      <c r="H16125" s="6" t="n">
        <f aca="false">(Sens!H16124-Sens!H16120)*Sens!H16007/(Sens!H16007+Sens!H16009)</f>
        <v>8.13024031659423</v>
      </c>
      <c r="I16125" s="6" t="n">
        <f aca="false">(Sens!I16124-Sens!I16120)*Sens!I16007/(Sens!I16007+Sens!I16009)</f>
        <v>7.94783800492183</v>
      </c>
      <c r="J16125" s="6" t="n">
        <f aca="false">(Sens!J16124-Sens!J16120)*Sens!J16007/(Sens!J16007+Sens!J16009)</f>
        <v>7.92937635177546</v>
      </c>
      <c r="K16125" s="6" t="n">
        <f aca="false">(Sens!K16124-Sens!K16120)*Sens!K16007/(Sens!K16007+Sens!K16009)</f>
        <v>8.05729059178418</v>
      </c>
    </row>
    <row r="16126" customFormat="false" ht="17.15" hidden="false" customHeight="false" outlineLevel="0" collapsed="false">
      <c r="A16126" s="0" t="s">
        <v>1246</v>
      </c>
      <c r="B16126" s="0" t="s">
        <v>98</v>
      </c>
      <c r="F16126" s="6" t="n">
        <f aca="false">Sens!F16124-Sens!F16120-Sens!F16125</f>
        <v>7.34952021923789</v>
      </c>
      <c r="G16126" s="6" t="n">
        <f aca="false">Sens!G16124-Sens!G16120-Sens!G16125</f>
        <v>6.81595978628678</v>
      </c>
      <c r="H16126" s="6" t="n">
        <f aca="false">Sens!H16124-Sens!H16120-Sens!H16125</f>
        <v>6.71008318570843</v>
      </c>
      <c r="I16126" s="6" t="n">
        <f aca="false">Sens!I16124-Sens!I16120-Sens!I16125</f>
        <v>6.687284154002</v>
      </c>
      <c r="J16126" s="6" t="n">
        <f aca="false">Sens!J16124-Sens!J16120-Sens!J16125</f>
        <v>6.73573376263846</v>
      </c>
      <c r="K16126" s="6" t="n">
        <f aca="false">Sens!K16124-Sens!K16120-Sens!K16125</f>
        <v>6.84439253060777</v>
      </c>
    </row>
    <row r="16127" customFormat="false" ht="17.15" hidden="false" customHeight="false" outlineLevel="0" collapsed="false">
      <c r="A16127" s="0" t="s">
        <v>1247</v>
      </c>
      <c r="B16127" s="0" t="s">
        <v>98</v>
      </c>
      <c r="F16127" s="6" t="n">
        <f aca="false">Sens!F16121-tax_f*(Sens!F16121-Sens!F15985)-Sens!F15982</f>
        <v>-3.71546267077268</v>
      </c>
      <c r="G16127" s="6" t="n">
        <f aca="false">Sens!G16121-tax_f*(Sens!G16121-Sens!G15985)-Sens!G15982</f>
        <v>-0.767736585183634</v>
      </c>
      <c r="H16127" s="6" t="n">
        <f aca="false">Sens!H16121-tax_f*(Sens!H16121-Sens!H15985)-Sens!H15982</f>
        <v>38.4919478188698</v>
      </c>
      <c r="I16127" s="6" t="n">
        <f aca="false">Sens!I16121-tax_f*(Sens!I16121-Sens!I15985)-Sens!I15982</f>
        <v>10.4057000399192</v>
      </c>
      <c r="J16127" s="6" t="n">
        <f aca="false">Sens!J16121-tax_f*(Sens!J16121-Sens!J15985)-Sens!J15982</f>
        <v>-2.73906523079249</v>
      </c>
      <c r="K16127" s="6" t="n">
        <f aca="false">Sens!K16121-tax_f*(Sens!K16121-Sens!K15985)-Sens!K15982</f>
        <v>-42.7923217013666</v>
      </c>
    </row>
    <row r="16128" customFormat="false" ht="17.15" hidden="false" customHeight="false" outlineLevel="0" collapsed="false">
      <c r="A16128" s="0" t="s">
        <v>1248</v>
      </c>
      <c r="B16128" s="0" t="s">
        <v>98</v>
      </c>
      <c r="G16128" s="6" t="n">
        <f aca="false">Sens!G16127/(1+wacc)^(Sens!G16098-Sens!F16099)</f>
        <v>-0.731032969660333</v>
      </c>
      <c r="H16128" s="6" t="n">
        <f aca="false">Sens!H16127/(1+wacc)^(Sens!H16098-Sens!F16099)</f>
        <v>33.2310505258218</v>
      </c>
      <c r="I16128" s="6" t="n">
        <f aca="false">Sens!I16127/(1+wacc)^(Sens!I16098-Sens!F16099)</f>
        <v>8.14507222766444</v>
      </c>
      <c r="J16128" s="6" t="n">
        <f aca="false">Sens!J16127/(1+wacc)^(Sens!J16098-Sens!F16099)</f>
        <v>-1.94390692677078</v>
      </c>
      <c r="K16128" s="6" t="n">
        <f aca="false">Sens!K16127/(1+wacc)^(Sens!K16098-Sens!F16099)</f>
        <v>-27.5352102481074</v>
      </c>
      <c r="L16128" s="1" t="s">
        <v>1249</v>
      </c>
    </row>
    <row r="16129" customFormat="false" ht="17.15" hidden="false" customHeight="false" outlineLevel="0" collapsed="false">
      <c r="A16129" s="0" t="s">
        <v>1250</v>
      </c>
      <c r="B16129" s="0" t="s">
        <v>98</v>
      </c>
      <c r="C16129" s="6" t="n">
        <f aca="false">(Sens!K16121-Sens!K15985)*(1-tax_f)*(1+g_tv)*(1-g_tv/(wacc+ronic_prem))/(wacc-g_tv)/(1+wacc)^(Sens!K16099-Sens!F16099)</f>
        <v>52.6192370776268</v>
      </c>
    </row>
    <row r="16130" customFormat="false" ht="17.15" hidden="false" customHeight="false" outlineLevel="0" collapsed="false">
      <c r="A16130" s="1" t="s">
        <v>1251</v>
      </c>
      <c r="B16130" s="0" t="s">
        <v>98</v>
      </c>
      <c r="C16130" s="6" t="n">
        <f aca="false">(SUM(Sens!G16128:K16128)+Sens!$C$16129)*(1+wacc)^(t_roll-Sens!F16099)</f>
        <v>65.8909523591203</v>
      </c>
      <c r="L16130" s="12" t="s">
        <v>1252</v>
      </c>
    </row>
    <row r="16131" customFormat="false" ht="17.15" hidden="false" customHeight="false" outlineLevel="0" collapsed="false">
      <c r="A16131" s="1" t="s">
        <v>1253</v>
      </c>
      <c r="B16131" s="0" t="s">
        <v>98</v>
      </c>
      <c r="C16131" s="6" t="n">
        <f aca="false">(w_ntm28*Sens!G15973+(1-w_ntm28)*Sens!H15973)*m_ai</f>
        <v>253.267407510646</v>
      </c>
    </row>
    <row r="16132" customFormat="false" ht="17.15" hidden="false" customHeight="false" outlineLevel="0" collapsed="false">
      <c r="A16132" s="1" t="s">
        <v>1254</v>
      </c>
      <c r="B16132" s="0" t="s">
        <v>98</v>
      </c>
      <c r="C16132" s="6" t="n">
        <f aca="false">(w_ntm28*Sens!G16123+(1-w_ntm28)*Sens!H16123)*m_cloud</f>
        <v>971.961175673852</v>
      </c>
    </row>
    <row r="16133" customFormat="false" ht="17.15" hidden="false" customHeight="false" outlineLevel="0" collapsed="false">
      <c r="A16133" s="1" t="s">
        <v>1255</v>
      </c>
      <c r="B16133" s="0" t="s">
        <v>98</v>
      </c>
      <c r="C16133" s="6" t="n">
        <f aca="false">(w_ntm28*Sens!G16116+(1-w_ntm28)*Sens!H16116)*m_sw</f>
        <v>1167.1254098038</v>
      </c>
    </row>
    <row r="16134" customFormat="false" ht="17.15" hidden="false" customHeight="false" outlineLevel="0" collapsed="false">
      <c r="A16134" s="1" t="s">
        <v>1256</v>
      </c>
      <c r="B16134" s="0" t="s">
        <v>98</v>
      </c>
      <c r="C16134" s="6" t="n">
        <f aca="false">(w_ntm28*Sens!G16117+(1-w_ntm28)*Sens!H16117)*m_sw</f>
        <v>385.529888579456</v>
      </c>
    </row>
    <row r="16135" customFormat="false" ht="17.15" hidden="false" customHeight="false" outlineLevel="0" collapsed="false">
      <c r="A16135" s="1" t="s">
        <v>1257</v>
      </c>
      <c r="B16135" s="0" t="s">
        <v>98</v>
      </c>
      <c r="C16135" s="6" t="n">
        <f aca="false">(w_ntm28*Sens!G16118+(1-w_ntm28)*Sens!H16118)*m_sw</f>
        <v>116.935953004216</v>
      </c>
    </row>
    <row r="16136" customFormat="false" ht="17.15" hidden="false" customHeight="false" outlineLevel="0" collapsed="false">
      <c r="A16136" s="1" t="s">
        <v>1258</v>
      </c>
      <c r="B16136" s="0" t="s">
        <v>98</v>
      </c>
      <c r="C16136" s="6" t="n">
        <f aca="false">(w_ntm28*Sens!G16119+(1-w_ntm28)*Sens!H16119)*m_sw</f>
        <v>44.4586837611987</v>
      </c>
    </row>
    <row r="16137" customFormat="false" ht="17.15" hidden="false" customHeight="false" outlineLevel="0" collapsed="false">
      <c r="A16137" s="1" t="s">
        <v>1259</v>
      </c>
      <c r="B16137" s="0" t="s">
        <v>98</v>
      </c>
      <c r="C16137" s="6" t="n">
        <f aca="false">(w_ntm28*Sens!G16120+(1-w_ntm28)*Sens!H16120)*m_ads</f>
        <v>123.261554181836</v>
      </c>
    </row>
    <row r="16138" customFormat="false" ht="17.15" hidden="false" customHeight="false" outlineLevel="0" collapsed="false">
      <c r="A16138" s="1" t="s">
        <v>1260</v>
      </c>
      <c r="B16138" s="0" t="s">
        <v>98</v>
      </c>
      <c r="C16138" s="6" t="n">
        <f aca="false">(w_ntm28*Sens!G16125+(1-w_ntm28)*Sens!H16125)*m_game</f>
        <v>105.849492628264</v>
      </c>
    </row>
    <row r="16139" customFormat="false" ht="17.15" hidden="false" customHeight="false" outlineLevel="0" collapsed="false">
      <c r="A16139" s="1" t="s">
        <v>1261</v>
      </c>
      <c r="B16139" s="0" t="s">
        <v>98</v>
      </c>
      <c r="C16139" s="6" t="n">
        <f aca="false">(w_ntm28*Sens!G16126+(1-w_ntm28)*Sens!H16126)*m_pc</f>
        <v>98.123255561695</v>
      </c>
    </row>
    <row r="16140" customFormat="false" ht="17.15" hidden="false" customHeight="false" outlineLevel="0" collapsed="false">
      <c r="A16140" s="1" t="s">
        <v>1262</v>
      </c>
      <c r="B16140" s="0" t="s">
        <v>98</v>
      </c>
      <c r="C16140" s="6" t="n">
        <f aca="false">Sens!$C$16130+Sens!$C$16132+Sens!$C$16133+Sens!$C$16134+Sens!$C$16135+Sens!$C$16136+Sens!$C$16137+Sens!$C$16138+Sens!$C$16139</f>
        <v>3079.13636555344</v>
      </c>
    </row>
    <row r="16141" customFormat="false" ht="17.15" hidden="false" customHeight="false" outlineLevel="0" collapsed="false">
      <c r="A16141" s="1" t="s">
        <v>1263</v>
      </c>
      <c r="B16141" s="0" t="s">
        <v>98</v>
      </c>
      <c r="C16141" s="6" t="n">
        <f aca="false">(Sens!G16102-Sens!G16127)*t_stub</f>
        <v>49.4808996707612</v>
      </c>
      <c r="L16141" s="1" t="s">
        <v>1264</v>
      </c>
    </row>
    <row r="16142" customFormat="false" ht="17.15" hidden="false" customHeight="false" outlineLevel="0" collapsed="false">
      <c r="A16142" s="1" t="s">
        <v>1173</v>
      </c>
      <c r="B16142" s="0" t="s">
        <v>98</v>
      </c>
      <c r="C16142" s="6" t="n">
        <f aca="false">Sens!F16089+oai_v-Sens!F16078+Sens!$C$16141</f>
        <v>161.840260547918</v>
      </c>
      <c r="L16142" s="1" t="s">
        <v>1265</v>
      </c>
    </row>
    <row r="16143" customFormat="false" ht="17.15" hidden="false" customHeight="false" outlineLevel="0" collapsed="false">
      <c r="A16143" s="1" t="s">
        <v>1266</v>
      </c>
      <c r="B16143" s="0" t="s">
        <v>75</v>
      </c>
      <c r="C16143" s="5" t="n">
        <f aca="false">(Sens!$C$16140+Sens!$C$16142)/(Sens!F16091+dil_gap)-Sens!G16081*roll_div_q/q_per_yr</f>
        <v>431.321309245112</v>
      </c>
      <c r="L16143" s="1" t="s">
        <v>1267</v>
      </c>
    </row>
    <row r="16144" customFormat="false" ht="17.15" hidden="false" customHeight="false" outlineLevel="0" collapsed="false">
      <c r="A16144" s="1" t="s">
        <v>1268</v>
      </c>
      <c r="B16144" s="0" t="s">
        <v>75</v>
      </c>
      <c r="C16144" s="5" t="n">
        <f aca="false">w_dcf*Sens!$C$16114+(1-w_dcf)*Sens!$C$16143</f>
        <v>372.382604301337</v>
      </c>
    </row>
    <row r="16145" customFormat="false" ht="17.15" hidden="false" customHeight="false" outlineLevel="0" collapsed="false">
      <c r="A16145" s="3" t="s">
        <v>2009</v>
      </c>
    </row>
    <row r="16146" customFormat="false" ht="15" hidden="false" customHeight="false" outlineLevel="0" collapsed="false">
      <c r="A16146" s="4" t="s">
        <v>43</v>
      </c>
      <c r="B16146" s="4" t="s">
        <v>65</v>
      </c>
      <c r="C16146" s="23" t="s">
        <v>942</v>
      </c>
      <c r="D16146" s="23" t="s">
        <v>943</v>
      </c>
      <c r="E16146" s="23" t="s">
        <v>944</v>
      </c>
      <c r="F16146" s="23" t="s">
        <v>945</v>
      </c>
      <c r="G16146" s="23" t="s">
        <v>946</v>
      </c>
      <c r="H16146" s="23" t="s">
        <v>947</v>
      </c>
      <c r="I16146" s="23" t="s">
        <v>948</v>
      </c>
      <c r="J16146" s="23" t="s">
        <v>949</v>
      </c>
      <c r="K16146" s="23" t="s">
        <v>950</v>
      </c>
      <c r="L16146" s="4" t="s">
        <v>47</v>
      </c>
    </row>
    <row r="16147" customFormat="false" ht="17.15" hidden="false" customHeight="false" outlineLevel="0" collapsed="false">
      <c r="A16147" s="1" t="s">
        <v>951</v>
      </c>
      <c r="B16147" s="1" t="s">
        <v>279</v>
      </c>
      <c r="C16147" s="21" t="n">
        <v>2024</v>
      </c>
      <c r="D16147" s="21" t="n">
        <v>2025</v>
      </c>
      <c r="E16147" s="21" t="n">
        <v>2026</v>
      </c>
      <c r="F16147" s="21" t="n">
        <v>2027</v>
      </c>
      <c r="G16147" s="21" t="n">
        <v>2028</v>
      </c>
      <c r="H16147" s="21" t="n">
        <v>2029</v>
      </c>
      <c r="I16147" s="21" t="n">
        <v>2030</v>
      </c>
      <c r="J16147" s="21" t="n">
        <v>2031</v>
      </c>
      <c r="K16147" s="21" t="n">
        <v>2032</v>
      </c>
    </row>
    <row r="16148" customFormat="false" ht="17.15" hidden="false" customHeight="false" outlineLevel="0" collapsed="false">
      <c r="A16148" s="1" t="s">
        <v>952</v>
      </c>
      <c r="B16148" s="0" t="s">
        <v>459</v>
      </c>
      <c r="F16148" s="30" t="n">
        <f aca="false">pace_epoch</f>
        <v>650</v>
      </c>
      <c r="G16148" s="30" t="n">
        <f aca="false">pace_epoch</f>
        <v>650</v>
      </c>
      <c r="H16148" s="30" t="n">
        <f aca="false">pace_epoch</f>
        <v>650</v>
      </c>
      <c r="I16148" s="30" t="n">
        <f aca="false">pace_epoch+(g_tv*Sens!H16149-pace_epoch)*MIN(1,(Sens!I16147-pace_y0)/(pace_y1-pace_y0))</f>
        <v>477.193333333333</v>
      </c>
      <c r="J16148" s="30" t="n">
        <f aca="false">pace_epoch+(g_tv*Sens!I16149-pace_epoch)*MIN(1,(Sens!J16147-pace_y0)/(pace_y1-pace_y0))</f>
        <v>304.386666666667</v>
      </c>
      <c r="K16148" s="30" t="n">
        <f aca="false">pace_epoch+(g_tv*Sens!J16149-pace_epoch)*MIN(1,(Sens!K16147-pace_y0)/(pace_y1-pace_y0))</f>
        <v>131.58</v>
      </c>
      <c r="L16148" s="12" t="s">
        <v>953</v>
      </c>
    </row>
    <row r="16149" customFormat="false" ht="17.15" hidden="false" customHeight="false" outlineLevel="0" collapsed="false">
      <c r="A16149" s="1" t="s">
        <v>954</v>
      </c>
      <c r="B16149" s="0" t="s">
        <v>459</v>
      </c>
      <c r="C16149" s="30" t="n">
        <f aca="false">mw_ext_24</f>
        <v>640</v>
      </c>
      <c r="D16149" s="30" t="n">
        <f aca="false">mw_ext_25</f>
        <v>1630</v>
      </c>
      <c r="E16149" s="30" t="n">
        <f aca="false">mw_ext_26</f>
        <v>3250</v>
      </c>
      <c r="F16149" s="30" t="n">
        <f aca="false">MIN(cap_epoch,Sens!E16149+Sens!F16148)</f>
        <v>3900</v>
      </c>
      <c r="G16149" s="30" t="n">
        <f aca="false">MIN(cap_epoch,Sens!F16149+Sens!G16148)</f>
        <v>4386</v>
      </c>
      <c r="H16149" s="30" t="n">
        <f aca="false">MIN(cap_epoch,Sens!G16149+Sens!H16148)</f>
        <v>4386</v>
      </c>
      <c r="I16149" s="30" t="n">
        <f aca="false">MIN(cap_epoch,Sens!H16149+Sens!I16148)</f>
        <v>4386</v>
      </c>
      <c r="J16149" s="30" t="n">
        <f aca="false">MIN(cap_epoch,Sens!I16149+Sens!J16148)</f>
        <v>4386</v>
      </c>
      <c r="K16149" s="30" t="n">
        <f aca="false">MIN(cap_epoch,Sens!J16149+Sens!K16148)</f>
        <v>4386</v>
      </c>
      <c r="L16149" s="1" t="s">
        <v>955</v>
      </c>
    </row>
    <row r="16150" customFormat="false" ht="17.15" hidden="false" customHeight="false" outlineLevel="0" collapsed="false">
      <c r="A16150" s="1" t="s">
        <v>956</v>
      </c>
      <c r="B16150" s="0" t="s">
        <v>459</v>
      </c>
      <c r="C16150" s="30" t="n">
        <f aca="false">rent_ext_24</f>
        <v>150</v>
      </c>
      <c r="D16150" s="30" t="n">
        <f aca="false">rent_ext_25</f>
        <v>400</v>
      </c>
      <c r="E16150" s="30" t="n">
        <f aca="false">rent_ext_26</f>
        <v>550</v>
      </c>
      <c r="F16150" s="30" t="n">
        <f aca="false">rent_ext_f</f>
        <v>756</v>
      </c>
      <c r="G16150" s="30" t="n">
        <f aca="false">rent_ext_f</f>
        <v>756</v>
      </c>
      <c r="H16150" s="30" t="n">
        <f aca="false">rent_ext_f</f>
        <v>756</v>
      </c>
      <c r="I16150" s="30" t="n">
        <f aca="false">rent_ext_f</f>
        <v>756</v>
      </c>
      <c r="J16150" s="30" t="n">
        <f aca="false">rent_ext_f</f>
        <v>756</v>
      </c>
      <c r="K16150" s="30" t="n">
        <f aca="false">rent_ext_f</f>
        <v>756</v>
      </c>
      <c r="L16150" s="1" t="s">
        <v>957</v>
      </c>
    </row>
    <row r="16151" customFormat="false" ht="17.15" hidden="false" customHeight="false" outlineLevel="0" collapsed="false">
      <c r="A16151" s="1" t="s">
        <v>958</v>
      </c>
      <c r="B16151" s="0" t="s">
        <v>459</v>
      </c>
      <c r="C16151" s="30" t="n">
        <f aca="false">Sens!C16149-Sens!C16150</f>
        <v>490</v>
      </c>
      <c r="D16151" s="30" t="n">
        <f aca="false">Sens!D16149-Sens!D16150</f>
        <v>1230</v>
      </c>
      <c r="E16151" s="30" t="n">
        <f aca="false">Sens!E16149-Sens!E16150</f>
        <v>2700</v>
      </c>
      <c r="F16151" s="30" t="n">
        <f aca="false">Sens!F16149-Sens!F16150</f>
        <v>3144</v>
      </c>
      <c r="G16151" s="30" t="n">
        <f aca="false">Sens!G16149-Sens!G16150</f>
        <v>3630</v>
      </c>
      <c r="H16151" s="30" t="n">
        <f aca="false">Sens!H16149-Sens!H16150</f>
        <v>3630</v>
      </c>
      <c r="I16151" s="30" t="n">
        <f aca="false">Sens!I16149-Sens!I16150</f>
        <v>3630</v>
      </c>
      <c r="J16151" s="30" t="n">
        <f aca="false">Sens!J16149-Sens!J16150</f>
        <v>3630</v>
      </c>
      <c r="K16151" s="30" t="n">
        <f aca="false">Sens!K16149-Sens!K16150</f>
        <v>3630</v>
      </c>
    </row>
    <row r="16152" customFormat="false" ht="17.15" hidden="false" customHeight="false" outlineLevel="0" collapsed="false">
      <c r="A16152" s="1" t="s">
        <v>959</v>
      </c>
      <c r="B16152" s="0" t="s">
        <v>459</v>
      </c>
      <c r="C16152" s="30" t="n">
        <f aca="false">Sens!C16151/ext_sh</f>
        <v>816.666666666667</v>
      </c>
      <c r="D16152" s="30" t="n">
        <f aca="false">Sens!D16151/ext_sh</f>
        <v>2050</v>
      </c>
      <c r="E16152" s="30" t="n">
        <f aca="false">Sens!E16151/ext_sh</f>
        <v>4500</v>
      </c>
      <c r="F16152" s="30" t="n">
        <f aca="false">Sens!F16151/ext_sh</f>
        <v>5240</v>
      </c>
      <c r="G16152" s="30" t="n">
        <f aca="false">Sens!G16151/ext_sh</f>
        <v>6050</v>
      </c>
      <c r="H16152" s="30" t="n">
        <f aca="false">Sens!H16151/ext_sh</f>
        <v>6050</v>
      </c>
      <c r="I16152" s="30" t="n">
        <f aca="false">Sens!I16151/ext_sh</f>
        <v>6050</v>
      </c>
      <c r="J16152" s="30" t="n">
        <f aca="false">Sens!J16151/ext_sh</f>
        <v>6050</v>
      </c>
      <c r="K16152" s="30" t="n">
        <f aca="false">Sens!K16151/ext_sh</f>
        <v>6050</v>
      </c>
      <c r="L16152" s="1" t="s">
        <v>960</v>
      </c>
    </row>
    <row r="16153" customFormat="false" ht="17.15" hidden="false" customHeight="false" outlineLevel="0" collapsed="false">
      <c r="A16153" s="1" t="s">
        <v>961</v>
      </c>
      <c r="B16153" s="0" t="s">
        <v>459</v>
      </c>
      <c r="C16153" s="30" t="n">
        <f aca="false">Sens!C16152-Sens!C16151</f>
        <v>326.666666666667</v>
      </c>
      <c r="D16153" s="30" t="n">
        <f aca="false">Sens!D16152-Sens!D16151</f>
        <v>820</v>
      </c>
      <c r="E16153" s="30" t="n">
        <f aca="false">Sens!E16152-Sens!E16151</f>
        <v>1800</v>
      </c>
      <c r="F16153" s="30" t="n">
        <f aca="false">Sens!F16152-Sens!F16151</f>
        <v>2096</v>
      </c>
      <c r="G16153" s="30" t="n">
        <f aca="false">Sens!G16152-Sens!G16151</f>
        <v>2420</v>
      </c>
      <c r="H16153" s="30" t="n">
        <f aca="false">Sens!H16152-Sens!H16151</f>
        <v>2420</v>
      </c>
      <c r="I16153" s="30" t="n">
        <f aca="false">Sens!I16152-Sens!I16151</f>
        <v>2420</v>
      </c>
      <c r="J16153" s="30" t="n">
        <f aca="false">Sens!J16152-Sens!J16151</f>
        <v>2420</v>
      </c>
      <c r="K16153" s="30" t="n">
        <f aca="false">Sens!K16152-Sens!K16151</f>
        <v>2420</v>
      </c>
    </row>
    <row r="16154" customFormat="false" ht="17.15" hidden="false" customHeight="false" outlineLevel="0" collapsed="false">
      <c r="A16154" s="1" t="s">
        <v>962</v>
      </c>
      <c r="B16154" s="0" t="s">
        <v>459</v>
      </c>
      <c r="C16154" s="30" t="n">
        <f aca="false">Sens!C16152</f>
        <v>816.666666666667</v>
      </c>
      <c r="D16154" s="30" t="n">
        <f aca="false">Sens!D16152-Sens!C16152</f>
        <v>1233.33333333333</v>
      </c>
      <c r="E16154" s="30" t="n">
        <f aca="false">Sens!E16152-Sens!D16152</f>
        <v>2450</v>
      </c>
      <c r="F16154" s="30" t="n">
        <f aca="false">Sens!F16152-Sens!E16152</f>
        <v>740</v>
      </c>
      <c r="G16154" s="30" t="n">
        <f aca="false">Sens!G16152-Sens!F16152</f>
        <v>810</v>
      </c>
      <c r="H16154" s="30" t="n">
        <f aca="false">Sens!H16152-Sens!G16152</f>
        <v>0</v>
      </c>
      <c r="I16154" s="30" t="n">
        <f aca="false">Sens!I16152-Sens!H16152</f>
        <v>0</v>
      </c>
      <c r="J16154" s="30" t="n">
        <f aca="false">Sens!J16152-Sens!I16152</f>
        <v>0</v>
      </c>
      <c r="K16154" s="30" t="n">
        <f aca="false">Sens!K16152-Sens!J16152</f>
        <v>0</v>
      </c>
    </row>
    <row r="16155" customFormat="false" ht="17.15" hidden="false" customHeight="false" outlineLevel="0" collapsed="false">
      <c r="A16155" s="1" t="s">
        <v>963</v>
      </c>
      <c r="B16155" s="0" t="s">
        <v>459</v>
      </c>
      <c r="D16155" s="30" t="n">
        <f aca="false">Sens!D16149-Sens!C16149</f>
        <v>990</v>
      </c>
      <c r="E16155" s="30" t="n">
        <f aca="false">Sens!E16149-Sens!D16149</f>
        <v>1620</v>
      </c>
      <c r="F16155" s="30" t="n">
        <f aca="false">Sens!F16149-Sens!E16149</f>
        <v>650</v>
      </c>
      <c r="G16155" s="30" t="n">
        <f aca="false">Sens!G16149-Sens!F16149</f>
        <v>486</v>
      </c>
      <c r="H16155" s="30" t="n">
        <f aca="false">Sens!H16149-Sens!G16149</f>
        <v>0</v>
      </c>
      <c r="I16155" s="30" t="n">
        <f aca="false">Sens!I16149-Sens!H16149</f>
        <v>0</v>
      </c>
      <c r="J16155" s="30" t="n">
        <f aca="false">Sens!J16149-Sens!I16149</f>
        <v>0</v>
      </c>
      <c r="K16155" s="30" t="n">
        <f aca="false">Sens!K16149-Sens!J16149</f>
        <v>0</v>
      </c>
    </row>
    <row r="16156" customFormat="false" ht="17.15" hidden="false" customHeight="false" outlineLevel="0" collapsed="false">
      <c r="A16156" s="1" t="s">
        <v>964</v>
      </c>
      <c r="B16156" s="0" t="s">
        <v>459</v>
      </c>
      <c r="F16156" s="30" t="n">
        <f aca="false">Sens!F16175*ext_sh</f>
        <v>0</v>
      </c>
      <c r="G16156" s="30" t="n">
        <f aca="false">Sens!G16175*ext_sh</f>
        <v>0</v>
      </c>
      <c r="H16156" s="30" t="n">
        <f aca="false">Sens!H16175*ext_sh</f>
        <v>0</v>
      </c>
      <c r="I16156" s="30" t="n">
        <f aca="false">Sens!I16175*ext_sh</f>
        <v>490</v>
      </c>
      <c r="J16156" s="30" t="n">
        <f aca="false">Sens!J16175*ext_sh</f>
        <v>740</v>
      </c>
      <c r="K16156" s="30" t="n">
        <f aca="false">Sens!K16175*ext_sh</f>
        <v>1470</v>
      </c>
      <c r="L16156" s="1" t="s">
        <v>965</v>
      </c>
    </row>
    <row r="16157" customFormat="false" ht="17.15" hidden="false" customHeight="false" outlineLevel="0" collapsed="false">
      <c r="A16157" s="1" t="s">
        <v>966</v>
      </c>
      <c r="B16157" s="0" t="s">
        <v>459</v>
      </c>
      <c r="C16157" s="30" t="n">
        <f aca="false">mix_h*Sens!C16149</f>
        <v>128</v>
      </c>
      <c r="D16157" s="30" t="n">
        <f aca="false">mix_h*Sens!D16149</f>
        <v>326</v>
      </c>
      <c r="E16157" s="30" t="n">
        <f aca="false">mix_h*Sens!E16149</f>
        <v>650</v>
      </c>
      <c r="F16157" s="30" t="n">
        <f aca="false">Sens!E16157-Sens!F16156*mix_h</f>
        <v>650</v>
      </c>
      <c r="G16157" s="30" t="n">
        <f aca="false">Sens!F16157-Sens!G16156*mix_h</f>
        <v>650</v>
      </c>
      <c r="H16157" s="30" t="n">
        <f aca="false">Sens!G16157-Sens!H16156*mix_h</f>
        <v>650</v>
      </c>
      <c r="I16157" s="30" t="n">
        <f aca="false">Sens!H16157-Sens!I16156*mix_h</f>
        <v>552</v>
      </c>
      <c r="J16157" s="30" t="n">
        <f aca="false">Sens!I16157-Sens!J16156*mix_h</f>
        <v>404</v>
      </c>
      <c r="K16157" s="30" t="n">
        <f aca="false">Sens!J16157-Sens!K16156*mix_h</f>
        <v>110</v>
      </c>
    </row>
    <row r="16158" customFormat="false" ht="17.15" hidden="false" customHeight="false" outlineLevel="0" collapsed="false">
      <c r="A16158" s="1" t="s">
        <v>967</v>
      </c>
      <c r="B16158" s="0" t="s">
        <v>459</v>
      </c>
      <c r="C16158" s="30" t="n">
        <f aca="false">mix_g2*Sens!C16149</f>
        <v>288</v>
      </c>
      <c r="D16158" s="30" t="n">
        <f aca="false">mix_g2*Sens!D16149</f>
        <v>733.5</v>
      </c>
      <c r="E16158" s="30" t="n">
        <f aca="false">mix_g2*Sens!E16149</f>
        <v>1462.5</v>
      </c>
      <c r="F16158" s="30" t="n">
        <f aca="false">Sens!E16158-Sens!F16156*mix_g2</f>
        <v>1462.5</v>
      </c>
      <c r="G16158" s="30" t="n">
        <f aca="false">Sens!F16158-Sens!G16156*mix_g2</f>
        <v>1462.5</v>
      </c>
      <c r="H16158" s="30" t="n">
        <f aca="false">Sens!G16158-Sens!H16156*mix_g2</f>
        <v>1462.5</v>
      </c>
      <c r="I16158" s="30" t="n">
        <f aca="false">Sens!H16158-Sens!I16156*mix_g2</f>
        <v>1242</v>
      </c>
      <c r="J16158" s="30" t="n">
        <f aca="false">Sens!I16158-Sens!J16156*mix_g2</f>
        <v>909</v>
      </c>
      <c r="K16158" s="30" t="n">
        <f aca="false">Sens!J16158-Sens!K16156*mix_g2</f>
        <v>247.5</v>
      </c>
    </row>
    <row r="16159" customFormat="false" ht="17.15" hidden="false" customHeight="false" outlineLevel="0" collapsed="false">
      <c r="A16159" s="1" t="s">
        <v>968</v>
      </c>
      <c r="B16159" s="0" t="s">
        <v>459</v>
      </c>
      <c r="C16159" s="30" t="n">
        <f aca="false">mix_g3*Sens!C16149</f>
        <v>224</v>
      </c>
      <c r="D16159" s="30" t="n">
        <f aca="false">mix_g3*Sens!D16149</f>
        <v>570.5</v>
      </c>
      <c r="E16159" s="30" t="n">
        <f aca="false">mix_g3*Sens!E16149</f>
        <v>1137.5</v>
      </c>
      <c r="F16159" s="30" t="n">
        <f aca="false">Sens!E16159+(Sens!F16155+Sens!F16156)*(a_g3_27-nonnv*a_mai)-Sens!F16156*mix_g3</f>
        <v>1527.5</v>
      </c>
      <c r="G16159" s="30" t="n">
        <f aca="false">Sens!F16159+(Sens!G16155+Sens!G16156)*(a_g3_28-nonnv*a_mai)-Sens!G16156*mix_g3</f>
        <v>1624.7</v>
      </c>
      <c r="H16159" s="30" t="n">
        <f aca="false">Sens!G16159+(Sens!H16155+Sens!H16156)*(a_g3_29-nonnv*a_mai)-Sens!H16156*mix_g3</f>
        <v>1624.7</v>
      </c>
      <c r="I16159" s="30" t="n">
        <f aca="false">Sens!H16159+(Sens!I16155+Sens!I16156)*(a_g3_29-nonnv*a_mai)-Sens!I16156*mix_g3</f>
        <v>1453.2</v>
      </c>
      <c r="J16159" s="30" t="n">
        <f aca="false">Sens!I16159+(Sens!J16155+Sens!J16156)*(a_g3_29-nonnv*a_mai)-Sens!J16156*mix_g3</f>
        <v>1194.2</v>
      </c>
      <c r="K16159" s="30" t="n">
        <f aca="false">Sens!J16159+(Sens!K16155+Sens!K16156)*(a_g3_29-nonnv*a_mai)-Sens!K16156*mix_g3</f>
        <v>679.7</v>
      </c>
    </row>
    <row r="16160" customFormat="false" ht="17.15" hidden="false" customHeight="false" outlineLevel="0" collapsed="false">
      <c r="A16160" s="1" t="s">
        <v>969</v>
      </c>
      <c r="B16160" s="0" t="s">
        <v>459</v>
      </c>
      <c r="C16160" s="30" t="n">
        <v>0</v>
      </c>
      <c r="D16160" s="30" t="n">
        <v>0</v>
      </c>
      <c r="E16160" s="30" t="n">
        <v>0</v>
      </c>
      <c r="F16160" s="30" t="n">
        <f aca="false">Sens!E16160+(Sens!F16155+Sens!F16156)*nonnv*a_mai</f>
        <v>65</v>
      </c>
      <c r="G16160" s="30" t="n">
        <f aca="false">Sens!F16160+(Sens!G16155+Sens!G16156)*nonnv*a_mai</f>
        <v>113.6</v>
      </c>
      <c r="H16160" s="30" t="n">
        <f aca="false">Sens!G16160+(Sens!H16155+Sens!H16156)*nonnv*a_mai</f>
        <v>113.6</v>
      </c>
      <c r="I16160" s="30" t="n">
        <f aca="false">Sens!H16160+(Sens!I16155+Sens!I16156)*nonnv*a_mai</f>
        <v>162.6</v>
      </c>
      <c r="J16160" s="30" t="n">
        <f aca="false">Sens!I16160+(Sens!J16155+Sens!J16156)*nonnv*a_mai</f>
        <v>236.6</v>
      </c>
      <c r="K16160" s="30" t="n">
        <f aca="false">Sens!J16160+(Sens!K16155+Sens!K16156)*nonnv*a_mai</f>
        <v>383.6</v>
      </c>
      <c r="L16160" s="12" t="s">
        <v>970</v>
      </c>
    </row>
    <row r="16161" customFormat="false" ht="17.15" hidden="false" customHeight="false" outlineLevel="0" collapsed="false">
      <c r="A16161" s="1" t="s">
        <v>971</v>
      </c>
      <c r="B16161" s="0" t="s">
        <v>459</v>
      </c>
      <c r="C16161" s="30" t="n">
        <v>0</v>
      </c>
      <c r="D16161" s="30" t="n">
        <v>0</v>
      </c>
      <c r="E16161" s="30" t="n">
        <v>0</v>
      </c>
      <c r="F16161" s="30" t="n">
        <f aca="false">Sens!E16161+(Sens!F16155+Sens!F16156)*(1-a_g3_27)</f>
        <v>195</v>
      </c>
      <c r="G16161" s="30" t="n">
        <f aca="false">Sens!F16161+(Sens!G16155+Sens!G16156)*(1-a_g3_28)</f>
        <v>535.2</v>
      </c>
      <c r="H16161" s="30" t="n">
        <f aca="false">Sens!G16161+(Sens!H16155+Sens!H16156)*(1-a_g3_29)</f>
        <v>535.2</v>
      </c>
      <c r="I16161" s="30" t="n">
        <f aca="false">Sens!H16161+(Sens!I16155+Sens!I16156)*(1-a_g3_29)</f>
        <v>976.2</v>
      </c>
      <c r="J16161" s="30" t="n">
        <f aca="false">Sens!I16161+(Sens!J16155+Sens!J16156)*(1-a_g3_29)</f>
        <v>1642.2</v>
      </c>
      <c r="K16161" s="30" t="n">
        <f aca="false">Sens!J16161+(Sens!K16155+Sens!K16156)*(1-a_g3_29)</f>
        <v>2965.2</v>
      </c>
    </row>
    <row r="16162" customFormat="false" ht="17.15" hidden="false" customHeight="false" outlineLevel="0" collapsed="false">
      <c r="A16162" s="1" t="s">
        <v>972</v>
      </c>
      <c r="B16162" s="0" t="s">
        <v>403</v>
      </c>
      <c r="C16162" s="15" t="n">
        <f aca="false">(Sens!C16157*tk_hold_h100+Sens!C16158*tk_hold_gb200+Sens!C16159*tk_hold_gb300+Sens!C16161*tk_hold_vr200+Sens!C16160*nv_hold_mai*tk_hold_vr200)/Sens!C16149</f>
        <v>9.7235358126469</v>
      </c>
      <c r="D16162" s="15" t="n">
        <f aca="false">(Sens!D16157*tk_hold_h100+Sens!D16158*tk_hold_gb200+Sens!D16159*tk_hold_gb300+Sens!D16161*tk_hold_vr200+Sens!D16160*nv_hold_mai*tk_hold_vr200)/Sens!D16149</f>
        <v>9.7235358126469</v>
      </c>
      <c r="E16162" s="15" t="n">
        <f aca="false">(Sens!E16157*tk_hold_h100+Sens!E16158*tk_hold_gb200+Sens!E16159*tk_hold_gb300+Sens!E16161*tk_hold_vr200+Sens!E16160*nv_hold_mai*tk_hold_vr200)/Sens!E16149</f>
        <v>9.7235358126469</v>
      </c>
      <c r="F16162" s="15" t="n">
        <f aca="false">(Sens!F16157*tk_hold_h100+Sens!F16158*tk_hold_gb200+Sens!F16159*tk_hold_gb300+Sens!F16161*tk_hold_vr200+Sens!F16160*nv_hold_mai*tk_hold_vr200)/Sens!F16149</f>
        <v>9.9047400860175</v>
      </c>
      <c r="G16162" s="15" t="n">
        <f aca="false">(Sens!G16157*tk_hold_h100+Sens!G16158*tk_hold_gb200+Sens!G16159*tk_hold_gb300+Sens!G16161*tk_hold_vr200+Sens!G16160*nv_hold_mai*tk_hold_vr200)/Sens!G16149</f>
        <v>10.0644846479809</v>
      </c>
      <c r="H16162" s="15" t="n">
        <f aca="false">(Sens!H16157*tk_hold_h100+Sens!H16158*tk_hold_gb200+Sens!H16159*tk_hold_gb300+Sens!H16161*tk_hold_vr200+Sens!H16160*nv_hold_mai*tk_hold_vr200)/Sens!H16149</f>
        <v>10.0644846479809</v>
      </c>
      <c r="I16162" s="15" t="n">
        <f aca="false">(Sens!I16157*tk_hold_h100+Sens!I16158*tk_hold_gb200+Sens!I16159*tk_hold_gb300+Sens!I16161*tk_hold_vr200+Sens!I16160*nv_hold_mai*tk_hold_vr200)/Sens!I16149</f>
        <v>10.2757076768083</v>
      </c>
      <c r="J16162" s="15" t="n">
        <f aca="false">(Sens!J16157*tk_hold_h100+Sens!J16158*tk_hold_gb200+Sens!J16159*tk_hold_gb300+Sens!J16161*tk_hold_vr200+Sens!J16160*nv_hold_mai*tk_hold_vr200)/Sens!J16149</f>
        <v>10.5946975570782</v>
      </c>
      <c r="K16162" s="15" t="n">
        <f aca="false">(Sens!K16157*tk_hold_h100+Sens!K16158*tk_hold_gb200+Sens!K16159*tk_hold_gb300+Sens!K16161*tk_hold_vr200+Sens!K16160*nv_hold_mai*tk_hold_vr200)/Sens!K16149</f>
        <v>11.2283666435604</v>
      </c>
      <c r="L16162" s="1" t="s">
        <v>973</v>
      </c>
    </row>
    <row r="16163" customFormat="false" ht="17.15" hidden="false" customHeight="false" outlineLevel="0" collapsed="false">
      <c r="A16163" s="1" t="s">
        <v>974</v>
      </c>
      <c r="B16163" s="0" t="s">
        <v>403</v>
      </c>
      <c r="C16163" s="15" t="n">
        <f aca="false">(Sens!C16157*tk_hold_h100+Sens!C16158*tk_hold_gb200+Sens!C16159*tk_hold_gb300+Sens!C16161*tk_hold_vr200+Sens!C16160*nv_out_mai*tk_hold_vr200)/Sens!C16149</f>
        <v>9.7235358126469</v>
      </c>
      <c r="D16163" s="15" t="n">
        <f aca="false">(Sens!D16157*tk_hold_h100+Sens!D16158*tk_hold_gb200+Sens!D16159*tk_hold_gb300+Sens!D16161*tk_hold_vr200+Sens!D16160*nv_out_mai*tk_hold_vr200)/Sens!D16149</f>
        <v>9.7235358126469</v>
      </c>
      <c r="E16163" s="15" t="n">
        <f aca="false">(Sens!E16157*tk_hold_h100+Sens!E16158*tk_hold_gb200+Sens!E16159*tk_hold_gb300+Sens!E16161*tk_hold_vr200+Sens!E16160*nv_out_mai*tk_hold_vr200)/Sens!E16149</f>
        <v>9.7235358126469</v>
      </c>
      <c r="F16163" s="15" t="n">
        <f aca="false">(Sens!F16157*tk_hold_h100+Sens!F16158*tk_hold_gb200+Sens!F16159*tk_hold_gb300+Sens!F16161*tk_hold_vr200+Sens!F16160*nv_out_mai*tk_hold_vr200)/Sens!F16149</f>
        <v>9.91492797852132</v>
      </c>
      <c r="G16163" s="15" t="n">
        <f aca="false">(Sens!G16157*tk_hold_h100+Sens!G16158*tk_hold_gb200+Sens!G16159*tk_hold_gb300+Sens!G16161*tk_hold_vr200+Sens!G16160*nv_out_mai*tk_hold_vr200)/Sens!G16149</f>
        <v>10.0803169952919</v>
      </c>
      <c r="H16163" s="15" t="n">
        <f aca="false">(Sens!H16157*tk_hold_h100+Sens!H16158*tk_hold_gb200+Sens!H16159*tk_hold_gb300+Sens!H16161*tk_hold_vr200+Sens!H16160*nv_out_mai*tk_hold_vr200)/Sens!H16149</f>
        <v>10.0803169952919</v>
      </c>
      <c r="I16163" s="15" t="n">
        <f aca="false">(Sens!I16157*tk_hold_h100+Sens!I16158*tk_hold_gb200+Sens!I16159*tk_hold_gb300+Sens!I16161*tk_hold_vr200+Sens!I16160*nv_out_mai*tk_hold_vr200)/Sens!I16149</f>
        <v>10.2983691175897</v>
      </c>
      <c r="J16163" s="15" t="n">
        <f aca="false">(Sens!J16157*tk_hold_h100+Sens!J16158*tk_hold_gb200+Sens!J16159*tk_hold_gb300+Sens!J16161*tk_hold_vr200+Sens!J16160*nv_out_mai*tk_hold_vr200)/Sens!J16149</f>
        <v>10.6276723226925</v>
      </c>
      <c r="K16163" s="15" t="n">
        <f aca="false">(Sens!K16157*tk_hold_h100+Sens!K16158*tk_hold_gb200+Sens!K16159*tk_hold_gb300+Sens!K16161*tk_hold_vr200+Sens!K16160*nv_out_mai*tk_hold_vr200)/Sens!K16149</f>
        <v>11.2818286895859</v>
      </c>
      <c r="L16163" s="12" t="s">
        <v>975</v>
      </c>
    </row>
    <row r="16164" customFormat="false" ht="17.15" hidden="false" customHeight="false" outlineLevel="0" collapsed="false">
      <c r="A16164" s="0" t="s">
        <v>976</v>
      </c>
      <c r="B16164" s="0" t="s">
        <v>229</v>
      </c>
      <c r="C16164" s="15" t="n">
        <f aca="false">k_B</f>
        <v>1.17213932619116</v>
      </c>
      <c r="D16164" s="15" t="n">
        <f aca="false">k_B</f>
        <v>1.17213932619116</v>
      </c>
      <c r="E16164" s="15" t="n">
        <f aca="false">k_B</f>
        <v>1.17213932619116</v>
      </c>
      <c r="F16164" s="15" t="n">
        <f aca="false">(k_B+((ls_B*k_long+(1-ls_B)*k_spot)-k_B)*MIN(1,(Sens!F16147-base_fy)/k_ramp))</f>
        <v>1.17213932619116</v>
      </c>
      <c r="G16164" s="15" t="n">
        <f aca="false">(k_B+((ls_B*k_long+(1-ls_B)*k_spot)-k_B)*MIN(1,(Sens!G16147-base_fy)/k_ramp))</f>
        <v>1.17213932619116</v>
      </c>
      <c r="H16164" s="15" t="n">
        <f aca="false">(k_B+((ls_B*k_long+(1-ls_B)*k_spot)-k_B)*MIN(1,(Sens!H16147-base_fy)/k_ramp))</f>
        <v>1.17213932619116</v>
      </c>
      <c r="I16164" s="15" t="n">
        <f aca="false">(k_B+((ls_B*k_long+(1-ls_B)*k_spot)-k_B)*MIN(1,(Sens!I16147-base_fy)/k_ramp))</f>
        <v>1.17213932619116</v>
      </c>
      <c r="J16164" s="15" t="n">
        <f aca="false">(k_B+((ls_B*k_long+(1-ls_B)*k_spot)-k_B)*MIN(1,(Sens!J16147-base_fy)/k_ramp))</f>
        <v>1.17213932619116</v>
      </c>
      <c r="K16164" s="15" t="n">
        <f aca="false">(k_B+((ls_B*k_long+(1-ls_B)*k_spot)-k_B)*MIN(1,(Sens!K16147-base_fy)/k_ramp))</f>
        <v>1.17213932619116</v>
      </c>
      <c r="L16164" s="1" t="s">
        <v>977</v>
      </c>
    </row>
    <row r="16165" customFormat="false" ht="17.15" hidden="false" customHeight="false" outlineLevel="0" collapsed="false">
      <c r="A16165" s="1" t="s">
        <v>978</v>
      </c>
      <c r="B16165" s="0" t="s">
        <v>403</v>
      </c>
      <c r="C16165" s="15" t="n">
        <f aca="false">Sens!C16163*Sens!C16164*chip_f</f>
        <v>11.3973387156315</v>
      </c>
      <c r="D16165" s="15" t="n">
        <f aca="false">Sens!D16163*Sens!D16164*chip_f</f>
        <v>11.3973387156315</v>
      </c>
      <c r="E16165" s="15" t="n">
        <f aca="false">Sens!E16163*Sens!E16164*chip_f</f>
        <v>11.3973387156315</v>
      </c>
      <c r="F16165" s="15" t="n">
        <f aca="false">Sens!F16163*Sens!F16164*chip_f</f>
        <v>11.6216769999778</v>
      </c>
      <c r="G16165" s="15" t="n">
        <f aca="false">Sens!G16163*Sens!G16164*chip_f</f>
        <v>11.8155359706547</v>
      </c>
      <c r="H16165" s="15" t="n">
        <f aca="false">Sens!H16163*Sens!H16164*chip_f</f>
        <v>11.8155359706547</v>
      </c>
      <c r="I16165" s="15" t="n">
        <f aca="false">Sens!I16163*Sens!I16164*chip_f</f>
        <v>12.0711234383594</v>
      </c>
      <c r="J16165" s="15" t="n">
        <f aca="false">Sens!J16163*Sens!J16164*chip_f</f>
        <v>12.4571126753012</v>
      </c>
      <c r="K16165" s="15" t="n">
        <f aca="false">Sens!K16163*Sens!K16164*chip_f</f>
        <v>13.2238750784153</v>
      </c>
      <c r="L16165" s="1" t="s">
        <v>979</v>
      </c>
    </row>
    <row r="16166" customFormat="false" ht="17.15" hidden="false" customHeight="false" outlineLevel="0" collapsed="false">
      <c r="A16166" s="0" t="s">
        <v>980</v>
      </c>
      <c r="B16166" s="0" t="s">
        <v>98</v>
      </c>
      <c r="D16166" s="6" t="n">
        <f aca="false">(Sens!C16149+Sens!D16149)/2*Sens!D16165/1000</f>
        <v>12.9359794422418</v>
      </c>
      <c r="E16166" s="6" t="n">
        <f aca="false">(Sens!D16149+Sens!E16149)/2*Sens!E16165/1000</f>
        <v>27.8095064661409</v>
      </c>
      <c r="F16166" s="6" t="n">
        <f aca="false">(Sens!E16149+Sens!F16149)/2*Sens!F16165/1000</f>
        <v>41.5474952749207</v>
      </c>
      <c r="G16166" s="6" t="n">
        <f aca="false">(Sens!F16149+Sens!G16149)/2*Sens!G16165/1000</f>
        <v>48.9517655264224</v>
      </c>
      <c r="H16166" s="6" t="n">
        <f aca="false">(Sens!G16149+Sens!H16149)/2*Sens!H16165/1000</f>
        <v>51.8229407672915</v>
      </c>
      <c r="I16166" s="6" t="n">
        <f aca="false">(Sens!H16149+Sens!I16149)/2*Sens!I16165/1000</f>
        <v>52.9439474006443</v>
      </c>
      <c r="J16166" s="6" t="n">
        <f aca="false">(Sens!I16149+Sens!J16149)/2*Sens!J16165/1000</f>
        <v>54.636896193871</v>
      </c>
      <c r="K16166" s="6" t="n">
        <f aca="false">(Sens!J16149+Sens!K16149)/2*Sens!K16165/1000</f>
        <v>57.9999160939293</v>
      </c>
      <c r="L16166" s="12" t="s">
        <v>981</v>
      </c>
    </row>
    <row r="16167" customFormat="false" ht="17.15" hidden="false" customHeight="false" outlineLevel="0" collapsed="false">
      <c r="A16167" s="1" t="s">
        <v>982</v>
      </c>
      <c r="B16167" s="0" t="s">
        <v>403</v>
      </c>
      <c r="C16167" s="15" t="n">
        <f aca="false">(Sens!C16157*tk_opex_h100+Sens!C16158*tk_opex_gb200+Sens!C16159*tk_opex_gb300+(Sens!C16161+Sens!C16160)*tk_opex_vr200)/Sens!C16149</f>
        <v>1.88636041306092</v>
      </c>
      <c r="D16167" s="15" t="n">
        <f aca="false">(Sens!D16157*tk_opex_h100+Sens!D16158*tk_opex_gb200+Sens!D16159*tk_opex_gb300+(Sens!D16161+Sens!D16160)*tk_opex_vr200)/Sens!D16149</f>
        <v>1.88636041306092</v>
      </c>
      <c r="E16167" s="15" t="n">
        <f aca="false">(Sens!E16157*tk_opex_h100+Sens!E16158*tk_opex_gb200+Sens!E16159*tk_opex_gb300+(Sens!E16161+Sens!E16160)*tk_opex_vr200)/Sens!E16149</f>
        <v>1.88636041306092</v>
      </c>
      <c r="F16167" s="15" t="n">
        <f aca="false">(Sens!F16157*tk_opex_h100+Sens!F16158*tk_opex_gb200+Sens!F16159*tk_opex_gb300+(Sens!F16161+Sens!F16160)*tk_opex_vr200)/Sens!F16149</f>
        <v>1.90979686208616</v>
      </c>
      <c r="G16167" s="15" t="n">
        <f aca="false">(Sens!G16157*tk_opex_h100+Sens!G16158*tk_opex_gb200+Sens!G16159*tk_opex_gb300+(Sens!G16161+Sens!G16160)*tk_opex_vr200)/Sens!G16149</f>
        <v>1.92769515165485</v>
      </c>
      <c r="H16167" s="15" t="n">
        <f aca="false">(Sens!H16157*tk_opex_h100+Sens!H16158*tk_opex_gb200+Sens!H16159*tk_opex_gb300+(Sens!H16161+Sens!H16160)*tk_opex_vr200)/Sens!H16149</f>
        <v>1.92769515165485</v>
      </c>
      <c r="I16167" s="15" t="n">
        <f aca="false">(Sens!I16157*tk_opex_h100+Sens!I16158*tk_opex_gb200+Sens!I16159*tk_opex_gb300+(Sens!I16161+Sens!I16160)*tk_opex_vr200)/Sens!I16149</f>
        <v>1.95083610383771</v>
      </c>
      <c r="J16167" s="15" t="n">
        <f aca="false">(Sens!J16157*tk_opex_h100+Sens!J16158*tk_opex_gb200+Sens!J16159*tk_opex_gb300+(Sens!J16161+Sens!J16160)*tk_opex_vr200)/Sens!J16149</f>
        <v>1.98578366427713</v>
      </c>
      <c r="K16167" s="15" t="n">
        <f aca="false">(Sens!K16157*tk_opex_h100+Sens!K16158*tk_opex_gb200+Sens!K16159*tk_opex_gb300+(Sens!K16161+Sens!K16160)*tk_opex_vr200)/Sens!K16149</f>
        <v>2.05520652082571</v>
      </c>
      <c r="L16167" s="12" t="s">
        <v>983</v>
      </c>
    </row>
    <row r="16168" customFormat="false" ht="17.15" hidden="false" customHeight="false" outlineLevel="0" collapsed="false">
      <c r="A16168" s="0" t="s">
        <v>984</v>
      </c>
      <c r="B16168" s="0" t="s">
        <v>98</v>
      </c>
      <c r="D16168" s="6" t="n">
        <f aca="false">(Sens!C16152+Sens!D16152)/2*Sens!D16167/1000</f>
        <v>2.70378325872065</v>
      </c>
      <c r="E16168" s="6" t="n">
        <f aca="false">(Sens!D16152+Sens!E16152)/2*Sens!E16167/1000</f>
        <v>6.17783035277451</v>
      </c>
      <c r="F16168" s="6" t="n">
        <f aca="false">(Sens!E16152+Sens!F16152)/2*Sens!F16167/1000</f>
        <v>9.30071071835958</v>
      </c>
      <c r="G16168" s="6" t="n">
        <f aca="false">(Sens!F16152+Sens!G16152)/2*Sens!G16167/1000</f>
        <v>10.8818391310916</v>
      </c>
      <c r="H16168" s="6" t="n">
        <f aca="false">(Sens!G16152+Sens!H16152)/2*Sens!H16167/1000</f>
        <v>11.6625556675118</v>
      </c>
      <c r="I16168" s="6" t="n">
        <f aca="false">(Sens!H16152+Sens!I16152)/2*Sens!I16167/1000</f>
        <v>11.8025584282181</v>
      </c>
      <c r="J16168" s="6" t="n">
        <f aca="false">(Sens!I16152+Sens!J16152)/2*Sens!J16167/1000</f>
        <v>12.0139911688766</v>
      </c>
      <c r="K16168" s="6" t="n">
        <f aca="false">(Sens!J16152+Sens!K16152)/2*Sens!K16167/1000</f>
        <v>12.4339994509955</v>
      </c>
    </row>
    <row r="16169" customFormat="false" ht="17.15" hidden="false" customHeight="false" outlineLevel="0" collapsed="false">
      <c r="A16169" s="0" t="s">
        <v>985</v>
      </c>
      <c r="B16169" s="0" t="s">
        <v>98</v>
      </c>
      <c r="D16169" s="6" t="n">
        <f aca="false">(Sens!C16150+Sens!D16150)/2*rent_mw/1000</f>
        <v>2.44475</v>
      </c>
      <c r="E16169" s="6" t="n">
        <f aca="false">(Sens!D16150+Sens!E16150)/2*rent_mw/1000</f>
        <v>4.22275</v>
      </c>
      <c r="F16169" s="6" t="n">
        <f aca="false">(Sens!E16150+Sens!F16150)/2*rent_mw/1000</f>
        <v>5.80517</v>
      </c>
      <c r="G16169" s="6" t="n">
        <f aca="false">(Sens!F16150+Sens!G16150)/2*rent_mw/1000</f>
        <v>6.72084</v>
      </c>
      <c r="H16169" s="6" t="n">
        <f aca="false">(Sens!G16150+Sens!H16150)/2*rent_mw/1000</f>
        <v>6.72084</v>
      </c>
      <c r="I16169" s="6" t="n">
        <f aca="false">(Sens!H16150+Sens!I16150)/2*rent_mw/1000</f>
        <v>6.72084</v>
      </c>
      <c r="J16169" s="6" t="n">
        <f aca="false">(Sens!I16150+Sens!J16150)/2*rent_mw/1000</f>
        <v>6.72084</v>
      </c>
      <c r="K16169" s="6" t="n">
        <f aca="false">(Sens!J16150+Sens!K16150)/2*rent_mw/1000</f>
        <v>6.72084</v>
      </c>
    </row>
    <row r="16170" customFormat="false" ht="17.15" hidden="false" customHeight="false" outlineLevel="0" collapsed="false">
      <c r="A16170" s="0" t="s">
        <v>986</v>
      </c>
      <c r="B16170" s="0" t="s">
        <v>98</v>
      </c>
      <c r="D16170" s="6" t="n">
        <f aca="false">(Sens!C16152+Sens!D16152)/2*(1-self_build)*fac_rent/1000</f>
        <v>0.853242375631075</v>
      </c>
      <c r="E16170" s="6" t="n">
        <f aca="false">(Sens!D16152+Sens!E16152)/2*(1-self_build)*fac_rent/1000</f>
        <v>1.94955961408728</v>
      </c>
      <c r="F16170" s="6" t="n">
        <f aca="false">(Sens!E16152+Sens!F16152)/2*(1-self_build)*fac_rent/1000</f>
        <v>2.89903979255117</v>
      </c>
      <c r="G16170" s="6" t="n">
        <f aca="false">(Sens!F16152+Sens!G16152)/2*(1-self_build)*fac_rent/1000</f>
        <v>3.36038596077029</v>
      </c>
      <c r="H16170" s="6" t="n">
        <f aca="false">(Sens!G16152+Sens!H16152)/2*(1-self_build)*fac_rent/1000</f>
        <v>3.60147653900094</v>
      </c>
      <c r="I16170" s="6" t="n">
        <f aca="false">(Sens!H16152+Sens!I16152)/2*(1-self_build)*fac_rent/1000</f>
        <v>3.60147653900094</v>
      </c>
      <c r="J16170" s="6" t="n">
        <f aca="false">(Sens!I16152+Sens!J16152)/2*(1-self_build)*fac_rent/1000</f>
        <v>3.60147653900094</v>
      </c>
      <c r="K16170" s="6" t="n">
        <f aca="false">(Sens!J16152+Sens!K16152)/2*(1-self_build)*fac_rent/1000</f>
        <v>3.60147653900094</v>
      </c>
      <c r="L16170" s="12" t="s">
        <v>987</v>
      </c>
    </row>
    <row r="16171" customFormat="false" ht="17.15" hidden="false" customHeight="false" outlineLevel="0" collapsed="false">
      <c r="A16171" s="1" t="s">
        <v>988</v>
      </c>
      <c r="B16171" s="0" t="s">
        <v>168</v>
      </c>
      <c r="D16171" s="7" t="n">
        <f aca="false">(Sens!C16151+Sens!D16151)/(Sens!C16152+Sens!D16152)</f>
        <v>0.6</v>
      </c>
      <c r="E16171" s="7" t="n">
        <f aca="false">(Sens!D16151+Sens!E16151)/(Sens!D16152+Sens!E16152)</f>
        <v>0.6</v>
      </c>
      <c r="F16171" s="7" t="n">
        <f aca="false">(Sens!E16151+Sens!F16151)/(Sens!E16152+Sens!F16152)</f>
        <v>0.6</v>
      </c>
      <c r="G16171" s="7" t="n">
        <f aca="false">(Sens!F16151+Sens!G16151)/(Sens!F16152+Sens!G16152)</f>
        <v>0.6</v>
      </c>
      <c r="H16171" s="7" t="n">
        <f aca="false">(Sens!G16151+Sens!H16151)/(Sens!G16152+Sens!H16152)</f>
        <v>0.6</v>
      </c>
      <c r="I16171" s="7" t="n">
        <f aca="false">(Sens!H16151+Sens!I16151)/(Sens!H16152+Sens!I16152)</f>
        <v>0.6</v>
      </c>
      <c r="J16171" s="7" t="n">
        <f aca="false">(Sens!I16151+Sens!J16151)/(Sens!I16152+Sens!J16152)</f>
        <v>0.6</v>
      </c>
      <c r="K16171" s="7" t="n">
        <f aca="false">(Sens!J16151+Sens!K16151)/(Sens!J16152+Sens!K16152)</f>
        <v>0.6</v>
      </c>
    </row>
    <row r="16172" customFormat="false" ht="17.15" hidden="false" customHeight="false" outlineLevel="0" collapsed="false">
      <c r="A16172" s="0" t="s">
        <v>989</v>
      </c>
      <c r="B16172" s="0" t="s">
        <v>98</v>
      </c>
      <c r="D16172" s="6" t="n">
        <f aca="false">Sens!D16166-Sens!D16171*(Sens!D16168+Sens!D16170)-Sens!D16169</f>
        <v>8.35701406163072</v>
      </c>
      <c r="E16172" s="6" t="n">
        <f aca="false">Sens!E16166-Sens!E16171*(Sens!E16168+Sens!E16170)-Sens!E16169</f>
        <v>18.7103224860238</v>
      </c>
      <c r="F16172" s="6" t="n">
        <f aca="false">Sens!F16166-Sens!F16171*(Sens!F16168+Sens!F16170)-Sens!F16169</f>
        <v>28.4224749683742</v>
      </c>
      <c r="G16172" s="6" t="n">
        <f aca="false">Sens!G16166-Sens!G16171*(Sens!G16168+Sens!G16170)-Sens!G16169</f>
        <v>33.6855904713053</v>
      </c>
      <c r="H16172" s="6" t="n">
        <f aca="false">Sens!H16166-Sens!H16171*(Sens!H16168+Sens!H16170)-Sens!H16169</f>
        <v>35.9436814433839</v>
      </c>
      <c r="I16172" s="6" t="n">
        <f aca="false">Sens!I16166-Sens!I16171*(Sens!I16168+Sens!I16170)-Sens!I16169</f>
        <v>36.9806864203129</v>
      </c>
      <c r="J16172" s="6" t="n">
        <f aca="false">Sens!J16166-Sens!J16171*(Sens!J16168+Sens!J16170)-Sens!J16169</f>
        <v>38.5467755691444</v>
      </c>
      <c r="K16172" s="6" t="n">
        <f aca="false">Sens!K16166-Sens!K16171*(Sens!K16168+Sens!K16170)-Sens!K16169</f>
        <v>41.6577904999314</v>
      </c>
    </row>
    <row r="16173" customFormat="false" ht="17.15" hidden="false" customHeight="false" outlineLevel="0" collapsed="false">
      <c r="A16173" s="1" t="s">
        <v>990</v>
      </c>
      <c r="B16173" s="0" t="s">
        <v>98</v>
      </c>
      <c r="D16173" s="6" t="n">
        <f aca="false">(1-Sens!D16171)*(Sens!D16168+Sens!D16170)</f>
        <v>1.42281025374069</v>
      </c>
      <c r="E16173" s="6" t="n">
        <f aca="false">(1-Sens!E16171)*(Sens!E16168+Sens!E16170)</f>
        <v>3.25095598674472</v>
      </c>
      <c r="F16173" s="6" t="n">
        <f aca="false">(1-Sens!F16171)*(Sens!F16168+Sens!F16170)</f>
        <v>4.8799002043643</v>
      </c>
      <c r="G16173" s="6" t="n">
        <f aca="false">(1-Sens!G16171)*(Sens!G16168+Sens!G16170)</f>
        <v>5.69689003674476</v>
      </c>
      <c r="H16173" s="6" t="n">
        <f aca="false">(1-Sens!H16171)*(Sens!H16168+Sens!H16170)</f>
        <v>6.1056128826051</v>
      </c>
      <c r="I16173" s="6" t="n">
        <f aca="false">(1-Sens!I16171)*(Sens!I16168+Sens!I16170)</f>
        <v>6.16161398688763</v>
      </c>
      <c r="J16173" s="6" t="n">
        <f aca="false">(1-Sens!J16171)*(Sens!J16168+Sens!J16170)</f>
        <v>6.24618708315103</v>
      </c>
      <c r="K16173" s="6" t="n">
        <f aca="false">(1-Sens!K16171)*(Sens!K16168+Sens!K16170)</f>
        <v>6.41419039599859</v>
      </c>
    </row>
    <row r="16174" customFormat="false" ht="17.15" hidden="false" customHeight="false" outlineLevel="0" collapsed="false">
      <c r="A16174" s="1" t="s">
        <v>991</v>
      </c>
      <c r="B16174" s="0" t="s">
        <v>417</v>
      </c>
      <c r="C16174" s="8" t="n">
        <f aca="false">cxit_open</f>
        <v>27.5918995</v>
      </c>
      <c r="D16174" s="8" t="n">
        <f aca="false">cxit_open</f>
        <v>27.5918995</v>
      </c>
      <c r="E16174" s="8" t="n">
        <f aca="false">cxit_open</f>
        <v>27.5918995</v>
      </c>
      <c r="F16174" s="8" t="n">
        <f aca="false">((a_g3_27-nonnv*a_mai)*tk_cxit_gb300+nonnv*a_mai*nv_hold_mai*tk_cxit_vr200+(1-a_g3_27)*tk_cxit_vr200)</f>
        <v>32.4975576</v>
      </c>
      <c r="G16174" s="8" t="n">
        <f aca="false">((a_g3_28-nonnv*a_mai)*tk_cxit_gb300+nonnv*a_mai*nv_hold_mai*tk_cxit_vr200+(1-a_g3_28)*tk_cxit_vr200)</f>
        <v>34.6372088</v>
      </c>
      <c r="H16174" s="8" t="n">
        <f aca="false">((a_g3_29-nonnv*a_mai)*tk_cxit_gb300+nonnv*a_mai*nv_hold_mai*tk_cxit_vr200+(1-a_g3_29)*tk_cxit_vr200)</f>
        <v>35.7070344</v>
      </c>
      <c r="I16174" s="8" t="n">
        <f aca="false">((a_g3_29-nonnv*a_mai)*tk_cxit_gb300+nonnv*a_mai*nv_hold_mai*tk_cxit_vr200+(1-a_g3_29)*tk_cxit_vr200)</f>
        <v>35.7070344</v>
      </c>
      <c r="J16174" s="8" t="n">
        <f aca="false">((a_g3_29-nonnv*a_mai)*tk_cxit_gb300+nonnv*a_mai*nv_hold_mai*tk_cxit_vr200+(1-a_g3_29)*tk_cxit_vr200)</f>
        <v>35.7070344</v>
      </c>
      <c r="K16174" s="8" t="n">
        <f aca="false">((a_g3_29-nonnv*a_mai)*tk_cxit_gb300+nonnv*a_mai*nv_hold_mai*tk_cxit_vr200+(1-a_g3_29)*tk_cxit_vr200)</f>
        <v>35.7070344</v>
      </c>
      <c r="L16174" s="12" t="s">
        <v>992</v>
      </c>
    </row>
    <row r="16175" customFormat="false" ht="17.15" hidden="false" customHeight="false" outlineLevel="0" collapsed="false">
      <c r="A16175" s="0" t="s">
        <v>993</v>
      </c>
      <c r="B16175" s="0" t="s">
        <v>459</v>
      </c>
      <c r="F16175" s="30" t="n">
        <f aca="false">Sens!C16154*IF(Sens!F16147-Sens!C16147=life_it,1,0)+Sens!D16154*IF(Sens!F16147-Sens!D16147=life_it,1,0)+Sens!E16154*IF(Sens!F16147-Sens!E16147=life_it,1,0)</f>
        <v>0</v>
      </c>
      <c r="G16175" s="30" t="n">
        <f aca="false">Sens!C16154*IF(Sens!G16147-Sens!C16147=life_it,1,0)+Sens!D16154*IF(Sens!G16147-Sens!D16147=life_it,1,0)+Sens!E16154*IF(Sens!G16147-Sens!E16147=life_it,1,0)+Sens!F16154*IF(Sens!G16147-Sens!F16147=life_it,1,0)</f>
        <v>0</v>
      </c>
      <c r="H16175" s="30" t="n">
        <f aca="false">Sens!C16154*IF(Sens!H16147-Sens!C16147=life_it,1,0)+Sens!D16154*IF(Sens!H16147-Sens!D16147=life_it,1,0)+Sens!E16154*IF(Sens!H16147-Sens!E16147=life_it,1,0)+Sens!F16154*IF(Sens!H16147-Sens!F16147=life_it,1,0)+Sens!G16154*IF(Sens!H16147-Sens!G16147=life_it,1,0)</f>
        <v>0</v>
      </c>
      <c r="I16175" s="30" t="n">
        <f aca="false">Sens!C16154*IF(Sens!I16147-Sens!C16147=life_it,1,0)+Sens!D16154*IF(Sens!I16147-Sens!D16147=life_it,1,0)+Sens!E16154*IF(Sens!I16147-Sens!E16147=life_it,1,0)+Sens!F16154*IF(Sens!I16147-Sens!F16147=life_it,1,0)+Sens!G16154*IF(Sens!I16147-Sens!G16147=life_it,1,0)+Sens!H16154*IF(Sens!I16147-Sens!H16147=life_it,1,0)</f>
        <v>816.666666666667</v>
      </c>
      <c r="J16175" s="30" t="n">
        <f aca="false">Sens!C16154*IF(Sens!J16147-Sens!C16147=life_it,1,0)+Sens!D16154*IF(Sens!J16147-Sens!D16147=life_it,1,0)+Sens!E16154*IF(Sens!J16147-Sens!E16147=life_it,1,0)+Sens!F16154*IF(Sens!J16147-Sens!F16147=life_it,1,0)+Sens!G16154*IF(Sens!J16147-Sens!G16147=life_it,1,0)+Sens!H16154*IF(Sens!J16147-Sens!H16147=life_it,1,0)+Sens!I16154*IF(Sens!J16147-Sens!I16147=life_it,1,0)</f>
        <v>1233.33333333333</v>
      </c>
      <c r="K16175" s="30" t="n">
        <f aca="false">Sens!C16154*IF(Sens!K16147-Sens!C16147=life_it,1,0)+Sens!D16154*IF(Sens!K16147-Sens!D16147=life_it,1,0)+Sens!E16154*IF(Sens!K16147-Sens!E16147=life_it,1,0)+Sens!F16154*IF(Sens!K16147-Sens!F16147=life_it,1,0)+Sens!G16154*IF(Sens!K16147-Sens!G16147=life_it,1,0)+Sens!H16154*IF(Sens!K16147-Sens!H16147=life_it,1,0)+Sens!I16154*IF(Sens!K16147-Sens!I16147=life_it,1,0)+Sens!J16154*IF(Sens!K16147-Sens!J16147=life_it,1,0)</f>
        <v>2450</v>
      </c>
      <c r="L16175" s="1" t="s">
        <v>994</v>
      </c>
    </row>
    <row r="16176" customFormat="false" ht="17.15" hidden="false" customHeight="false" outlineLevel="0" collapsed="false">
      <c r="A16176" s="0" t="s">
        <v>995</v>
      </c>
      <c r="B16176" s="0" t="s">
        <v>98</v>
      </c>
      <c r="C16176" s="6" t="n">
        <f aca="false">Sens!C16154*Sens!C16174/1000</f>
        <v>22.5333845916667</v>
      </c>
      <c r="D16176" s="6" t="n">
        <f aca="false">Sens!D16154*Sens!D16174/1000</f>
        <v>34.0300093833333</v>
      </c>
      <c r="E16176" s="6" t="n">
        <f aca="false">Sens!E16154*Sens!E16174/1000</f>
        <v>67.600153775</v>
      </c>
      <c r="F16176" s="6" t="n">
        <f aca="false">(Sens!F16154+Sens!F16175)*Sens!F16174/1000</f>
        <v>24.048192624</v>
      </c>
      <c r="G16176" s="6" t="n">
        <f aca="false">(Sens!G16154+Sens!G16175)*Sens!G16174/1000</f>
        <v>28.056139128</v>
      </c>
      <c r="H16176" s="6" t="n">
        <f aca="false">(Sens!H16154+Sens!H16175)*Sens!H16174/1000</f>
        <v>0</v>
      </c>
      <c r="I16176" s="6" t="n">
        <f aca="false">(Sens!I16154+Sens!I16175)*Sens!I16174/1000</f>
        <v>29.16074476</v>
      </c>
      <c r="J16176" s="6" t="n">
        <f aca="false">(Sens!J16154+Sens!J16175)*Sens!J16174/1000</f>
        <v>44.03867576</v>
      </c>
      <c r="K16176" s="6" t="n">
        <f aca="false">(Sens!K16154+Sens!K16175)*Sens!K16174/1000</f>
        <v>87.48223428</v>
      </c>
    </row>
    <row r="16177" customFormat="false" ht="17.15" hidden="false" customHeight="false" outlineLevel="0" collapsed="false">
      <c r="A16177" s="0" t="s">
        <v>996</v>
      </c>
      <c r="B16177" s="0" t="s">
        <v>98</v>
      </c>
      <c r="C16177" s="6" t="n">
        <f aca="false">Sens!C16154*self_build*tk_cxfac/1000</f>
        <v>6.2083</v>
      </c>
      <c r="D16177" s="6" t="n">
        <f aca="false">Sens!D16154*self_build*tk_cxfac/1000</f>
        <v>9.3758</v>
      </c>
      <c r="E16177" s="6" t="n">
        <f aca="false">Sens!E16154*self_build*tk_cxfac/1000</f>
        <v>18.6249</v>
      </c>
      <c r="F16177" s="6" t="n">
        <f aca="false">Sens!F16154*self_build*tk_cxfac/1000</f>
        <v>5.62548</v>
      </c>
      <c r="G16177" s="6" t="n">
        <f aca="false">Sens!G16154*self_build*tk_cxfac/1000</f>
        <v>6.15762</v>
      </c>
      <c r="H16177" s="6" t="n">
        <f aca="false">Sens!H16154*self_build*tk_cxfac/1000</f>
        <v>0</v>
      </c>
      <c r="I16177" s="6" t="n">
        <f aca="false">Sens!I16154*self_build*tk_cxfac/1000</f>
        <v>0</v>
      </c>
      <c r="J16177" s="6" t="n">
        <f aca="false">Sens!J16154*self_build*tk_cxfac/1000</f>
        <v>0</v>
      </c>
      <c r="K16177" s="6" t="n">
        <f aca="false">Sens!K16154*self_build*tk_cxfac/1000</f>
        <v>0</v>
      </c>
    </row>
    <row r="16178" customFormat="false" ht="17.15" hidden="false" customHeight="false" outlineLevel="0" collapsed="false">
      <c r="A16178" s="0" t="s">
        <v>997</v>
      </c>
      <c r="B16178" s="0" t="s">
        <v>98</v>
      </c>
      <c r="F16178" s="15" t="n">
        <f aca="false">capex_floor27-Sens!F16176-Sens!F16177-Sens!F16274</f>
        <v>138.171372338453</v>
      </c>
      <c r="L16178" s="12" t="s">
        <v>998</v>
      </c>
    </row>
    <row r="16179" customFormat="false" ht="17.15" hidden="false" customHeight="false" outlineLevel="0" collapsed="false">
      <c r="A16179" s="0" t="s">
        <v>999</v>
      </c>
      <c r="B16179" s="0" t="s">
        <v>98</v>
      </c>
      <c r="F16179" s="6" t="n">
        <f aca="false">MAX(0,Sens!F16178)</f>
        <v>138.171372338453</v>
      </c>
    </row>
    <row r="16180" customFormat="false" ht="17.15" hidden="false" customHeight="false" outlineLevel="0" collapsed="false">
      <c r="A16180" s="0" t="s">
        <v>1000</v>
      </c>
      <c r="B16180" s="0" t="s">
        <v>98</v>
      </c>
      <c r="C16180" s="6" t="n">
        <f aca="false">Sens!C16176</f>
        <v>22.5333845916667</v>
      </c>
      <c r="D16180" s="6" t="n">
        <f aca="false">Sens!D16176</f>
        <v>34.0300093833333</v>
      </c>
      <c r="E16180" s="6" t="n">
        <f aca="false">Sens!E16176</f>
        <v>67.600153775</v>
      </c>
      <c r="F16180" s="6" t="n">
        <f aca="false">Sens!F16176</f>
        <v>24.048192624</v>
      </c>
      <c r="G16180" s="6" t="n">
        <f aca="false">Sens!G16176</f>
        <v>28.056139128</v>
      </c>
      <c r="H16180" s="6" t="n">
        <f aca="false">Sens!H16176</f>
        <v>0</v>
      </c>
      <c r="I16180" s="6" t="n">
        <f aca="false">Sens!I16176</f>
        <v>29.16074476</v>
      </c>
      <c r="J16180" s="6" t="n">
        <f aca="false">Sens!J16176</f>
        <v>44.03867576</v>
      </c>
      <c r="K16180" s="6" t="n">
        <f aca="false">Sens!K16176</f>
        <v>87.48223428</v>
      </c>
    </row>
    <row r="16181" customFormat="false" ht="17.15" hidden="false" customHeight="false" outlineLevel="0" collapsed="false">
      <c r="A16181" s="0" t="s">
        <v>1001</v>
      </c>
      <c r="B16181" s="0" t="s">
        <v>98</v>
      </c>
      <c r="C16181" s="6" t="n">
        <f aca="false">Sens!C16180+Sens!C16177</f>
        <v>28.7416845916667</v>
      </c>
      <c r="D16181" s="6" t="n">
        <f aca="false">Sens!D16180+Sens!D16177</f>
        <v>43.4058093833333</v>
      </c>
      <c r="E16181" s="6" t="n">
        <f aca="false">Sens!E16180+Sens!E16177</f>
        <v>86.225053775</v>
      </c>
      <c r="F16181" s="6" t="n">
        <f aca="false">Sens!F16180+Sens!F16177</f>
        <v>29.673672624</v>
      </c>
      <c r="G16181" s="6" t="n">
        <f aca="false">Sens!G16180+Sens!G16177</f>
        <v>34.213759128</v>
      </c>
      <c r="H16181" s="6" t="n">
        <f aca="false">Sens!H16180+Sens!H16177</f>
        <v>0</v>
      </c>
      <c r="I16181" s="6" t="n">
        <f aca="false">Sens!I16180+Sens!I16177</f>
        <v>29.16074476</v>
      </c>
      <c r="J16181" s="6" t="n">
        <f aca="false">Sens!J16180+Sens!J16177</f>
        <v>44.03867576</v>
      </c>
      <c r="K16181" s="6" t="n">
        <f aca="false">Sens!K16180+Sens!K16177</f>
        <v>87.48223428</v>
      </c>
      <c r="L16181" s="12" t="s">
        <v>1002</v>
      </c>
    </row>
    <row r="16182" customFormat="false" ht="17.15" hidden="false" customHeight="false" outlineLevel="0" collapsed="false">
      <c r="A16182" s="0" t="s">
        <v>1003</v>
      </c>
      <c r="B16182" s="0" t="s">
        <v>98</v>
      </c>
      <c r="E16182" s="6" t="n">
        <f aca="false">(Sens!C16180*IF(2&lt;life_it,1,IF(2=life_it,0.5,0))+Sens!D16180*IF(1&lt;life_it,1,IF(1=life_it,0.5,0))+Sens!E16180*0.5)/life_it</f>
        <v>15.0605784770833</v>
      </c>
      <c r="F16182" s="6" t="n">
        <f aca="false">(Sens!C16180*IF(3&lt;life_it,1,IF(3=life_it,0.5,0))+Sens!D16180*IF(2&lt;life_it,1,IF(2=life_it,0.5,0))+Sens!E16180*IF(1&lt;life_it,1,IF(1=life_it,0.5,0))+Sens!F16180*0.5)/life_it</f>
        <v>22.697940677</v>
      </c>
      <c r="G16182" s="6" t="n">
        <f aca="false">(Sens!C16180*IF(4&lt;life_it,1,IF(4=life_it,0.5,0))+Sens!D16180*IF(3&lt;life_it,1,IF(3=life_it,0.5,0))+Sens!E16180*IF(2&lt;life_it,1,IF(2=life_it,0.5,0))+Sens!F16180*IF(1&lt;life_it,1,IF(1=life_it,0.5,0))+Sens!G16180*0.5)/life_it</f>
        <v>27.039968323</v>
      </c>
      <c r="H16182" s="6" t="n">
        <f aca="false">(Sens!C16180*IF(5&lt;life_it,1,IF(5=life_it,0.5,0))+Sens!D16180*IF(4&lt;life_it,1,IF(4=life_it,0.5,0))+Sens!E16180*IF(3&lt;life_it,1,IF(3=life_it,0.5,0))+Sens!F16180*IF(2&lt;life_it,1,IF(2=life_it,0.5,0))+Sens!G16180*IF(1&lt;life_it,1,IF(1=life_it,0.5,0))+Sens!H16180*0.5)/life_it</f>
        <v>29.377979917</v>
      </c>
      <c r="I16182" s="6" t="n">
        <f aca="false">(Sens!C16180*IF(6&lt;life_it,1,IF(6=life_it,0.5,0))+Sens!D16180*IF(5&lt;life_it,1,IF(5=life_it,0.5,0))+Sens!E16180*IF(4&lt;life_it,1,IF(4=life_it,0.5,0))+Sens!F16180*IF(3&lt;life_it,1,IF(3=life_it,0.5,0))+Sens!G16180*IF(2&lt;life_it,1,IF(2=life_it,0.5,0))+Sens!H16180*IF(1&lt;life_it,1,IF(1=life_it,0.5,0))+Sens!I16180*0.5)/life_it</f>
        <v>29.9302599310278</v>
      </c>
      <c r="J16182" s="6" t="n">
        <f aca="false">(Sens!C16180*IF(7&lt;life_it,1,IF(7=life_it,0.5,0))+Sens!D16180*IF(6&lt;life_it,1,IF(6=life_it,0.5,0))+Sens!E16180*IF(5&lt;life_it,1,IF(5=life_it,0.5,0))+Sens!F16180*IF(4&lt;life_it,1,IF(4=life_it,0.5,0))+Sens!G16180*IF(3&lt;life_it,1,IF(3=life_it,0.5,0))+Sens!H16180*IF(2&lt;life_it,1,IF(2=life_it,0.5,0))+Sens!I16180*IF(1&lt;life_it,1,IF(1=life_it,0.5,0))+Sens!J16180*0.5)/life_it</f>
        <v>31.3165954764444</v>
      </c>
      <c r="K16182" s="6" t="n">
        <f aca="false">(Sens!C16180*IF(8&lt;life_it,1,IF(8=life_it,0.5,0))+Sens!D16180*IF(7&lt;life_it,1,IF(7=life_it,0.5,0))+Sens!E16180*IF(6&lt;life_it,1,IF(6=life_it,0.5,0))+Sens!F16180*IF(5&lt;life_it,1,IF(5=life_it,0.5,0))+Sens!G16180*IF(4&lt;life_it,1,IF(4=life_it,0.5,0))+Sens!H16180*IF(3&lt;life_it,1,IF(3=life_it,0.5,0))+Sens!I16180*IF(2&lt;life_it,1,IF(2=life_it,0.5,0))+Sens!J16180*IF(1&lt;life_it,1,IF(1=life_it,0.5,0))+Sens!K16180*0.5)/life_it</f>
        <v>33.8074910499167</v>
      </c>
    </row>
    <row r="16183" customFormat="false" ht="17.15" hidden="false" customHeight="false" outlineLevel="0" collapsed="false">
      <c r="A16183" s="0" t="s">
        <v>1004</v>
      </c>
      <c r="B16183" s="0" t="s">
        <v>98</v>
      </c>
      <c r="E16183" s="6" t="n">
        <f aca="false">(Sens!C16177*IF(2&lt;life_fac,1,IF(2=life_fac,0.5,0))+Sens!D16177*IF(1&lt;life_fac,1,IF(1=life_fac,0.5,0))+Sens!E16177*0.5)/life_fac</f>
        <v>1.2448275</v>
      </c>
      <c r="F16183" s="6" t="n">
        <f aca="false">(Sens!C16177*IF(3&lt;life_fac,1,IF(3=life_fac,0.5,0))+Sens!D16177*IF(2&lt;life_fac,1,IF(2=life_fac,0.5,0))+Sens!E16177*IF(1&lt;life_fac,1,IF(1=life_fac,0.5,0))+Sens!F16177*0.5)/life_fac</f>
        <v>1.851087</v>
      </c>
      <c r="G16183" s="6" t="n">
        <f aca="false">(Sens!C16177*IF(4&lt;life_fac,1,IF(4=life_fac,0.5,0))+Sens!D16177*IF(3&lt;life_fac,1,IF(3=life_fac,0.5,0))+Sens!E16177*IF(2&lt;life_fac,1,IF(2=life_fac,0.5,0))+Sens!F16177*IF(1&lt;life_fac,1,IF(1=life_fac,0.5,0))+Sens!G16177*0.5)/life_fac</f>
        <v>2.1456645</v>
      </c>
      <c r="H16183" s="6" t="n">
        <f aca="false">(Sens!C16177*IF(5&lt;life_fac,1,IF(5=life_fac,0.5,0))+Sens!D16177*IF(4&lt;life_fac,1,IF(4=life_fac,0.5,0))+Sens!E16177*IF(3&lt;life_fac,1,IF(3=life_fac,0.5,0))+Sens!F16177*IF(2&lt;life_fac,1,IF(2=life_fac,0.5,0))+Sens!G16177*IF(1&lt;life_fac,1,IF(1=life_fac,0.5,0))+Sens!H16177*0.5)/life_fac</f>
        <v>2.299605</v>
      </c>
      <c r="I16183" s="6" t="n">
        <f aca="false">(Sens!C16177*IF(6&lt;life_fac,1,IF(6=life_fac,0.5,0))+Sens!D16177*IF(5&lt;life_fac,1,IF(5=life_fac,0.5,0))+Sens!E16177*IF(4&lt;life_fac,1,IF(4=life_fac,0.5,0))+Sens!F16177*IF(3&lt;life_fac,1,IF(3=life_fac,0.5,0))+Sens!G16177*IF(2&lt;life_fac,1,IF(2=life_fac,0.5,0))+Sens!H16177*IF(1&lt;life_fac,1,IF(1=life_fac,0.5,0))+Sens!I16177*0.5)/life_fac</f>
        <v>2.299605</v>
      </c>
      <c r="J16183" s="6" t="n">
        <f aca="false">(Sens!C16177*IF(7&lt;life_fac,1,IF(7=life_fac,0.5,0))+Sens!D16177*IF(6&lt;life_fac,1,IF(6=life_fac,0.5,0))+Sens!E16177*IF(5&lt;life_fac,1,IF(5=life_fac,0.5,0))+Sens!F16177*IF(4&lt;life_fac,1,IF(4=life_fac,0.5,0))+Sens!G16177*IF(3&lt;life_fac,1,IF(3=life_fac,0.5,0))+Sens!H16177*IF(2&lt;life_fac,1,IF(2=life_fac,0.5,0))+Sens!I16177*IF(1&lt;life_fac,1,IF(1=life_fac,0.5,0))+Sens!J16177*0.5)/life_fac</f>
        <v>2.299605</v>
      </c>
      <c r="K16183" s="6" t="n">
        <f aca="false">(Sens!C16177*IF(8&lt;life_fac,1,IF(8=life_fac,0.5,0))+Sens!D16177*IF(7&lt;life_fac,1,IF(7=life_fac,0.5,0))+Sens!E16177*IF(6&lt;life_fac,1,IF(6=life_fac,0.5,0))+Sens!F16177*IF(5&lt;life_fac,1,IF(5=life_fac,0.5,0))+Sens!G16177*IF(4&lt;life_fac,1,IF(4=life_fac,0.5,0))+Sens!H16177*IF(3&lt;life_fac,1,IF(3=life_fac,0.5,0))+Sens!I16177*IF(2&lt;life_fac,1,IF(2=life_fac,0.5,0))+Sens!J16177*IF(1&lt;life_fac,1,IF(1=life_fac,0.5,0))+Sens!K16177*0.5)/life_fac</f>
        <v>2.299605</v>
      </c>
    </row>
    <row r="16184" customFormat="false" ht="17.15" hidden="false" customHeight="false" outlineLevel="0" collapsed="false">
      <c r="A16184" s="0" t="s">
        <v>1005</v>
      </c>
      <c r="B16184" s="0" t="s">
        <v>98</v>
      </c>
      <c r="E16184" s="6" t="n">
        <f aca="false">Sens!E16182+Sens!E16183</f>
        <v>16.3054059770833</v>
      </c>
      <c r="F16184" s="6" t="n">
        <f aca="false">Sens!F16182+Sens!F16183</f>
        <v>24.549027677</v>
      </c>
      <c r="G16184" s="6" t="n">
        <f aca="false">Sens!G16182+Sens!G16183</f>
        <v>29.185632823</v>
      </c>
      <c r="H16184" s="6" t="n">
        <f aca="false">Sens!H16182+Sens!H16183</f>
        <v>31.677584917</v>
      </c>
      <c r="I16184" s="6" t="n">
        <f aca="false">Sens!I16182+Sens!I16183</f>
        <v>32.2298649310278</v>
      </c>
      <c r="J16184" s="6" t="n">
        <f aca="false">Sens!J16182+Sens!J16183</f>
        <v>33.6162004764444</v>
      </c>
      <c r="K16184" s="6" t="n">
        <f aca="false">Sens!K16182+Sens!K16183</f>
        <v>36.1070960499167</v>
      </c>
    </row>
    <row r="16185" customFormat="false" ht="17.15" hidden="false" customHeight="false" outlineLevel="0" collapsed="false">
      <c r="A16185" s="0" t="s">
        <v>1006</v>
      </c>
      <c r="B16185" s="0" t="s">
        <v>98</v>
      </c>
      <c r="E16185" s="6" t="n">
        <f aca="false">Sens!E16172-Sens!E16171*Sens!E16184</f>
        <v>8.92707889977379</v>
      </c>
      <c r="F16185" s="6" t="n">
        <f aca="false">Sens!F16172-Sens!F16171*Sens!F16184</f>
        <v>13.6930583621742</v>
      </c>
      <c r="G16185" s="6" t="n">
        <f aca="false">Sens!G16172-Sens!G16171*Sens!G16184</f>
        <v>16.1742107775053</v>
      </c>
      <c r="H16185" s="6" t="n">
        <f aca="false">Sens!H16172-Sens!H16171*Sens!H16184</f>
        <v>16.9371304931839</v>
      </c>
      <c r="I16185" s="6" t="n">
        <f aca="false">Sens!I16172-Sens!I16171*Sens!I16184</f>
        <v>17.6427674616962</v>
      </c>
      <c r="J16185" s="6" t="n">
        <f aca="false">Sens!J16172-Sens!J16171*Sens!J16184</f>
        <v>18.3770552832778</v>
      </c>
      <c r="K16185" s="6" t="n">
        <f aca="false">Sens!K16172-Sens!K16171*Sens!K16184</f>
        <v>19.9935328699814</v>
      </c>
    </row>
    <row r="16186" customFormat="false" ht="17.15" hidden="false" customHeight="false" outlineLevel="0" collapsed="false">
      <c r="A16186" s="3" t="s">
        <v>2010</v>
      </c>
    </row>
    <row r="16187" customFormat="false" ht="15" hidden="false" customHeight="false" outlineLevel="0" collapsed="false">
      <c r="A16187" s="4" t="s">
        <v>43</v>
      </c>
      <c r="B16187" s="4" t="s">
        <v>65</v>
      </c>
      <c r="C16187" s="23" t="s">
        <v>942</v>
      </c>
      <c r="D16187" s="23" t="s">
        <v>943</v>
      </c>
      <c r="E16187" s="23" t="s">
        <v>944</v>
      </c>
      <c r="F16187" s="23" t="s">
        <v>945</v>
      </c>
      <c r="G16187" s="23" t="s">
        <v>946</v>
      </c>
      <c r="H16187" s="23" t="s">
        <v>947</v>
      </c>
      <c r="I16187" s="23" t="s">
        <v>948</v>
      </c>
      <c r="J16187" s="23" t="s">
        <v>949</v>
      </c>
      <c r="K16187" s="23" t="s">
        <v>950</v>
      </c>
      <c r="L16187" s="4" t="s">
        <v>47</v>
      </c>
    </row>
    <row r="16188" customFormat="false" ht="17.15" hidden="false" customHeight="false" outlineLevel="0" collapsed="false">
      <c r="A16188" s="0" t="s">
        <v>1025</v>
      </c>
      <c r="B16188" s="0" t="s">
        <v>98</v>
      </c>
      <c r="D16188" s="6" t="n">
        <f aca="false">Sens!D16166</f>
        <v>12.9359794422418</v>
      </c>
      <c r="E16188" s="6" t="n">
        <f aca="false">Sens!E16166</f>
        <v>27.8095064661409</v>
      </c>
      <c r="F16188" s="6" t="n">
        <f aca="false">Sens!F16166</f>
        <v>41.5474952749207</v>
      </c>
      <c r="G16188" s="6" t="n">
        <f aca="false">Sens!G16166</f>
        <v>48.9517655264224</v>
      </c>
      <c r="H16188" s="6" t="n">
        <f aca="false">Sens!H16166</f>
        <v>51.8229407672915</v>
      </c>
      <c r="I16188" s="6" t="n">
        <f aca="false">Sens!I16166</f>
        <v>52.9439474006443</v>
      </c>
      <c r="J16188" s="6" t="n">
        <f aca="false">Sens!J16166</f>
        <v>54.636896193871</v>
      </c>
      <c r="K16188" s="6" t="n">
        <f aca="false">Sens!K16166</f>
        <v>57.9999160939293</v>
      </c>
    </row>
    <row r="16189" customFormat="false" ht="17.15" hidden="false" customHeight="false" outlineLevel="0" collapsed="false">
      <c r="A16189" s="0" t="s">
        <v>1026</v>
      </c>
      <c r="B16189" s="0" t="s">
        <v>98</v>
      </c>
      <c r="D16189" s="6" t="n">
        <f aca="false">Q!L6-Sens!D16188</f>
        <v>59.6740205577583</v>
      </c>
      <c r="E16189" s="6" t="n">
        <f aca="false">Q!M6-Sens!E16188</f>
        <v>74.1284935338591</v>
      </c>
      <c r="F16189" s="6" t="n">
        <f aca="false">Q!$I$6+(Sens!F16188+Sens!E16189*(1+Sens!F16190))*(1-Q!$E$6/Q!M6)-Sens!F16188</f>
        <v>94.3416091857071</v>
      </c>
      <c r="G16189" s="6" t="n">
        <f aca="false">Sens!F16189*(1+Sens!G16190)</f>
        <v>112.091912703454</v>
      </c>
      <c r="H16189" s="6" t="n">
        <f aca="false">Sens!G16189*(1+Sens!H16190)</f>
        <v>130.15125838779</v>
      </c>
      <c r="I16189" s="6" t="n">
        <f aca="false">Sens!H16189*(1+Sens!I16190)</f>
        <v>147.60123989821</v>
      </c>
      <c r="J16189" s="6" t="n">
        <f aca="false">Sens!I16189*(1+Sens!J16190)</f>
        <v>163.400080136365</v>
      </c>
      <c r="K16189" s="6" t="n">
        <f aca="false">Sens!J16189*(1+Sens!K16190)</f>
        <v>176.472086547274</v>
      </c>
      <c r="L16189" s="12" t="s">
        <v>1027</v>
      </c>
    </row>
    <row r="16190" customFormat="false" ht="15" hidden="false" customHeight="false" outlineLevel="0" collapsed="false">
      <c r="A16190" s="1" t="s">
        <v>1028</v>
      </c>
      <c r="B16190" s="0" t="s">
        <v>168</v>
      </c>
      <c r="E16190" s="7" t="n">
        <f aca="false">Sens!E16189/Sens!D16189-1</f>
        <v>0.242223883039864</v>
      </c>
      <c r="F16190" s="7" t="n">
        <f aca="false">Sens!$E$16190+(glt_azo-Sens!$E$16190)*MIN(1,(Sens!F16147-base_fy)/n_conv)</f>
        <v>0.215186569199887</v>
      </c>
      <c r="G16190" s="7" t="n">
        <f aca="false">Sens!$E$16190+(glt_azo-Sens!$E$16190)*MIN(1,(Sens!G16147-base_fy)/n_conv)</f>
        <v>0.18814925535991</v>
      </c>
      <c r="H16190" s="7" t="n">
        <f aca="false">Sens!$E$16190+(glt_azo-Sens!$E$16190)*MIN(1,(Sens!H16147-base_fy)/n_conv)</f>
        <v>0.161111941519932</v>
      </c>
      <c r="I16190" s="7" t="n">
        <f aca="false">Sens!$E$16190+(glt_azo-Sens!$E$16190)*MIN(1,(Sens!I16147-base_fy)/n_conv)</f>
        <v>0.134074627679955</v>
      </c>
      <c r="J16190" s="7" t="n">
        <f aca="false">Sens!$E$16190+(glt_azo-Sens!$E$16190)*MIN(1,(Sens!J16147-base_fy)/n_conv)</f>
        <v>0.107037313839977</v>
      </c>
      <c r="K16190" s="7" t="n">
        <f aca="false">Sens!$E$16190+(glt_azo-Sens!$E$16190)*MIN(1,(Sens!K16147-base_fy)/n_conv)</f>
        <v>0.08</v>
      </c>
    </row>
    <row r="16191" customFormat="false" ht="15" hidden="false" customHeight="false" outlineLevel="0" collapsed="false">
      <c r="A16191" s="0" t="s">
        <v>1029</v>
      </c>
      <c r="B16191" s="0" t="s">
        <v>98</v>
      </c>
      <c r="D16191" s="6" t="n">
        <f aca="false">Sens!D16188+Sens!D16189</f>
        <v>72.61</v>
      </c>
      <c r="E16191" s="6" t="n">
        <f aca="false">Sens!E16188+Sens!E16189</f>
        <v>101.938</v>
      </c>
      <c r="F16191" s="6" t="n">
        <f aca="false">Sens!F16188+Sens!F16189</f>
        <v>135.889104460628</v>
      </c>
      <c r="G16191" s="6" t="n">
        <f aca="false">Sens!G16188+Sens!G16189</f>
        <v>161.043678229876</v>
      </c>
      <c r="H16191" s="6" t="n">
        <f aca="false">Sens!H16188+Sens!H16189</f>
        <v>181.974199155081</v>
      </c>
      <c r="I16191" s="6" t="n">
        <f aca="false">Sens!I16188+Sens!I16189</f>
        <v>200.545187298855</v>
      </c>
      <c r="J16191" s="6" t="n">
        <f aca="false">Sens!J16188+Sens!J16189</f>
        <v>218.036976330236</v>
      </c>
      <c r="K16191" s="6" t="n">
        <f aca="false">Sens!K16188+Sens!K16189</f>
        <v>234.472002641203</v>
      </c>
    </row>
    <row r="16192" customFormat="false" ht="17.15" hidden="false" customHeight="false" outlineLevel="0" collapsed="false">
      <c r="A16192" s="0" t="s">
        <v>1030</v>
      </c>
      <c r="B16192" s="1" t="s">
        <v>613</v>
      </c>
      <c r="C16192" s="30" t="n">
        <f aca="false">cop_s24</f>
        <v>1</v>
      </c>
      <c r="D16192" s="30" t="n">
        <f aca="false">cop_s25</f>
        <v>5</v>
      </c>
      <c r="E16192" s="30" t="n">
        <f aca="false">cop_s26</f>
        <v>30</v>
      </c>
      <c r="F16192" s="30" t="n">
        <f aca="false">Sens!E16192+cop_add_B</f>
        <v>50</v>
      </c>
      <c r="G16192" s="30" t="n">
        <f aca="false">Sens!F16192+cop_add_B</f>
        <v>70</v>
      </c>
      <c r="H16192" s="30" t="n">
        <f aca="false">Sens!G16192+cop_add_B</f>
        <v>90</v>
      </c>
      <c r="I16192" s="30" t="n">
        <f aca="false">Sens!H16192+cop_add_B*cop_tail</f>
        <v>100</v>
      </c>
      <c r="J16192" s="30" t="n">
        <f aca="false">Sens!I16192+cop_add_B*cop_tail</f>
        <v>110</v>
      </c>
      <c r="K16192" s="30" t="n">
        <f aca="false">Sens!J16192+cop_add_B*cop_tail</f>
        <v>120</v>
      </c>
      <c r="L16192" s="12" t="s">
        <v>1031</v>
      </c>
    </row>
    <row r="16193" customFormat="false" ht="17.15" hidden="false" customHeight="false" outlineLevel="0" collapsed="false">
      <c r="A16193" s="0" t="s">
        <v>1032</v>
      </c>
      <c r="B16193" s="0" t="s">
        <v>98</v>
      </c>
      <c r="D16193" s="6" t="n">
        <f aca="false">(Sens!C16192+Sens!D16192)/2*cop_px*12/1000</f>
        <v>0.9</v>
      </c>
      <c r="E16193" s="6" t="n">
        <f aca="false">(Sens!D16192+Sens!E16192)/2*cop_px*12/1000</f>
        <v>5.25</v>
      </c>
      <c r="F16193" s="6" t="n">
        <f aca="false">(Sens!E16192+Sens!F16192)/2*cop_px*12/1000</f>
        <v>12</v>
      </c>
      <c r="G16193" s="6" t="n">
        <f aca="false">(Sens!F16192+Sens!G16192)/2*cop_px*12/1000</f>
        <v>18</v>
      </c>
      <c r="H16193" s="6" t="n">
        <f aca="false">(Sens!G16192+Sens!H16192)/2*cop_px*12/1000</f>
        <v>24</v>
      </c>
      <c r="I16193" s="6" t="n">
        <f aca="false">(Sens!H16192+Sens!I16192)/2*cop_px*12/1000</f>
        <v>28.5</v>
      </c>
      <c r="J16193" s="6" t="n">
        <f aca="false">(Sens!I16192+Sens!J16192)/2*cop_px*12/1000</f>
        <v>31.5</v>
      </c>
      <c r="K16193" s="6" t="n">
        <f aca="false">(Sens!J16192+Sens!K16192)/2*cop_px*12/1000</f>
        <v>34.5</v>
      </c>
      <c r="L16193" s="1" t="s">
        <v>1033</v>
      </c>
    </row>
    <row r="16194" customFormat="false" ht="17.15" hidden="false" customHeight="false" outlineLevel="0" collapsed="false">
      <c r="A16194" s="0" t="s">
        <v>1034</v>
      </c>
      <c r="B16194" s="0" t="s">
        <v>98</v>
      </c>
      <c r="D16194" s="6" t="n">
        <f aca="false">Q!L7-Sens!D16193</f>
        <v>83.705</v>
      </c>
      <c r="E16194" s="6" t="n">
        <f aca="false">Q!M7-Sens!E16193</f>
        <v>95.049</v>
      </c>
      <c r="F16194" s="6" t="n">
        <f aca="false">Q!$I$7+(Sens!E16194*(1+Sens!F16195)+Sens!F16193)*(1-Q!$E$7/Q!M7)-Sens!F16193</f>
        <v>106.584003697747</v>
      </c>
      <c r="G16194" s="6" t="n">
        <f aca="false">Sens!F16194*(1+Sens!G16195)</f>
        <v>118.700726545688</v>
      </c>
      <c r="H16194" s="6" t="n">
        <f aca="false">Sens!G16194*(1+Sens!H16195)</f>
        <v>130.898624783666</v>
      </c>
      <c r="I16194" s="6" t="n">
        <f aca="false">Sens!H16194*(1+Sens!I16195)</f>
        <v>142.920510030657</v>
      </c>
      <c r="J16194" s="6" t="n">
        <f aca="false">Sens!I16194*(1+Sens!J16195)</f>
        <v>154.485722618572</v>
      </c>
      <c r="K16194" s="6" t="n">
        <f aca="false">Sens!J16194*(1+Sens!K16195)</f>
        <v>165.299723201872</v>
      </c>
      <c r="L16194" s="12" t="s">
        <v>1035</v>
      </c>
    </row>
    <row r="16195" customFormat="false" ht="15" hidden="false" customHeight="false" outlineLevel="0" collapsed="false">
      <c r="A16195" s="1" t="s">
        <v>1028</v>
      </c>
      <c r="B16195" s="0" t="s">
        <v>168</v>
      </c>
      <c r="E16195" s="7" t="n">
        <f aca="false">Sens!E16194/Sens!D16194-1</f>
        <v>0.135523564900544</v>
      </c>
      <c r="F16195" s="7" t="n">
        <f aca="false">Sens!$E$16195+(glt_m365b-Sens!$E$16195)*MIN(1,(Sens!F16147-base_fy)/n_conv)</f>
        <v>0.124602970750453</v>
      </c>
      <c r="G16195" s="7" t="n">
        <f aca="false">Sens!$E$16195+(glt_m365b-Sens!$E$16195)*MIN(1,(Sens!G16147-base_fy)/n_conv)</f>
        <v>0.113682376600363</v>
      </c>
      <c r="H16195" s="7" t="n">
        <f aca="false">Sens!$E$16195+(glt_m365b-Sens!$E$16195)*MIN(1,(Sens!H16147-base_fy)/n_conv)</f>
        <v>0.102761782450272</v>
      </c>
      <c r="I16195" s="7" t="n">
        <f aca="false">Sens!$E$16195+(glt_m365b-Sens!$E$16195)*MIN(1,(Sens!I16147-base_fy)/n_conv)</f>
        <v>0.0918411883001813</v>
      </c>
      <c r="J16195" s="7" t="n">
        <f aca="false">Sens!$E$16195+(glt_m365b-Sens!$E$16195)*MIN(1,(Sens!J16147-base_fy)/n_conv)</f>
        <v>0.0809205941500906</v>
      </c>
      <c r="K16195" s="7" t="n">
        <f aca="false">Sens!$E$16195+(glt_m365b-Sens!$E$16195)*MIN(1,(Sens!K16147-base_fy)/n_conv)</f>
        <v>0.07</v>
      </c>
    </row>
    <row r="16196" customFormat="false" ht="15" hidden="false" customHeight="false" outlineLevel="0" collapsed="false">
      <c r="A16196" s="0" t="s">
        <v>1036</v>
      </c>
      <c r="B16196" s="0" t="s">
        <v>98</v>
      </c>
      <c r="D16196" s="6" t="n">
        <f aca="false">Sens!D16194+Sens!D16193</f>
        <v>84.605</v>
      </c>
      <c r="E16196" s="6" t="n">
        <f aca="false">Sens!E16194+Sens!E16193</f>
        <v>100.299</v>
      </c>
      <c r="F16196" s="6" t="n">
        <f aca="false">Sens!F16194+Sens!F16193</f>
        <v>118.584003697747</v>
      </c>
      <c r="G16196" s="6" t="n">
        <f aca="false">Sens!G16194+Sens!G16193</f>
        <v>136.700726545688</v>
      </c>
      <c r="H16196" s="6" t="n">
        <f aca="false">Sens!H16194+Sens!H16193</f>
        <v>154.898624783666</v>
      </c>
      <c r="I16196" s="6" t="n">
        <f aca="false">Sens!I16194+Sens!I16193</f>
        <v>171.420510030657</v>
      </c>
      <c r="J16196" s="6" t="n">
        <f aca="false">Sens!J16194+Sens!J16193</f>
        <v>185.985722618572</v>
      </c>
      <c r="K16196" s="6" t="n">
        <f aca="false">Sens!K16194+Sens!K16193</f>
        <v>199.799723201872</v>
      </c>
    </row>
    <row r="16197" customFormat="false" ht="17.15" hidden="false" customHeight="false" outlineLevel="0" collapsed="false">
      <c r="A16197" s="0" t="s">
        <v>1037</v>
      </c>
      <c r="B16197" s="0" t="s">
        <v>98</v>
      </c>
      <c r="D16197" s="6" t="n">
        <f aca="false">Q!L8</f>
        <v>35.391</v>
      </c>
      <c r="E16197" s="6" t="n">
        <f aca="false">Q!M8</f>
        <v>37.285</v>
      </c>
      <c r="F16197" s="6" t="n">
        <f aca="false">Q!$I$8+(Q!M8-Q!$E$8)*(1+Sens!F16198)</f>
        <v>38.3851437782675</v>
      </c>
      <c r="G16197" s="6" t="n">
        <f aca="false">Sens!F16197*(1+Sens!G16198)</f>
        <v>40.0105353288615</v>
      </c>
      <c r="H16197" s="6" t="n">
        <f aca="false">Sens!G16197*(1+Sens!H16198)</f>
        <v>41.4812512033683</v>
      </c>
      <c r="I16197" s="6" t="n">
        <f aca="false">Sens!H16197*(1+Sens!I16198)</f>
        <v>42.7743107216329</v>
      </c>
      <c r="J16197" s="6" t="n">
        <f aca="false">Sens!I16197*(1+Sens!J16198)</f>
        <v>43.8687373064601</v>
      </c>
      <c r="K16197" s="6" t="n">
        <f aca="false">Sens!J16197*(1+Sens!K16198)</f>
        <v>44.7461120525893</v>
      </c>
      <c r="L16197" s="12" t="s">
        <v>1038</v>
      </c>
    </row>
    <row r="16198" customFormat="false" ht="15" hidden="false" customHeight="false" outlineLevel="0" collapsed="false">
      <c r="A16198" s="1" t="s">
        <v>1028</v>
      </c>
      <c r="B16198" s="0" t="s">
        <v>168</v>
      </c>
      <c r="E16198" s="7" t="n">
        <f aca="false">Sens!E16197/Sens!D16197-1</f>
        <v>0.0535164307309768</v>
      </c>
      <c r="F16198" s="7" t="n">
        <f aca="false">Sens!$E$16198+(glt_lic-Sens!$E$16198)*MIN(1,(Sens!F16147-base_fy)/n_conv)</f>
        <v>0.0479303589424807</v>
      </c>
      <c r="G16198" s="7" t="n">
        <f aca="false">Sens!$E$16198+(glt_lic-Sens!$E$16198)*MIN(1,(Sens!G16147-base_fy)/n_conv)</f>
        <v>0.0423442871539845</v>
      </c>
      <c r="H16198" s="7" t="n">
        <f aca="false">Sens!$E$16198+(glt_lic-Sens!$E$16198)*MIN(1,(Sens!H16147-base_fy)/n_conv)</f>
        <v>0.0367582153654884</v>
      </c>
      <c r="I16198" s="7" t="n">
        <f aca="false">Sens!$E$16198+(glt_lic-Sens!$E$16198)*MIN(1,(Sens!I16147-base_fy)/n_conv)</f>
        <v>0.0311721435769923</v>
      </c>
      <c r="J16198" s="7" t="n">
        <f aca="false">Sens!$E$16198+(glt_lic-Sens!$E$16198)*MIN(1,(Sens!J16147-base_fy)/n_conv)</f>
        <v>0.0255860717884961</v>
      </c>
      <c r="K16198" s="7" t="n">
        <f aca="false">Sens!$E$16198+(glt_lic-Sens!$E$16198)*MIN(1,(Sens!K16147-base_fy)/n_conv)</f>
        <v>0.02</v>
      </c>
    </row>
    <row r="16199" customFormat="false" ht="17.15" hidden="false" customHeight="false" outlineLevel="0" collapsed="false">
      <c r="A16199" s="0" t="s">
        <v>1039</v>
      </c>
      <c r="B16199" s="0" t="s">
        <v>98</v>
      </c>
      <c r="D16199" s="6" t="n">
        <f aca="false">Q!L9</f>
        <v>18.417</v>
      </c>
      <c r="E16199" s="6" t="n">
        <f aca="false">Q!M9</f>
        <v>20.345</v>
      </c>
      <c r="F16199" s="6" t="n">
        <f aca="false">Q!$I$9+(Q!M9-Q!$E$9)*(1+Sens!F16200)</f>
        <v>22.3161797133988</v>
      </c>
      <c r="G16199" s="6" t="n">
        <f aca="false">Sens!F16199*(1+Sens!G16200)</f>
        <v>24.3943499673233</v>
      </c>
      <c r="H16199" s="6" t="n">
        <f aca="false">Sens!G16199*(1+Sens!H16200)</f>
        <v>26.5250243109019</v>
      </c>
      <c r="I16199" s="6" t="n">
        <f aca="false">Sens!H16199*(1+Sens!I16200)</f>
        <v>28.6884573538181</v>
      </c>
      <c r="J16199" s="6" t="n">
        <f aca="false">Sens!I16199*(1+Sens!J16200)</f>
        <v>30.8624968052127</v>
      </c>
      <c r="K16199" s="6" t="n">
        <f aca="false">Sens!J16199*(1+Sens!K16200)</f>
        <v>33.0228715815776</v>
      </c>
      <c r="L16199" s="12" t="s">
        <v>1038</v>
      </c>
    </row>
    <row r="16200" customFormat="false" ht="15" hidden="false" customHeight="false" outlineLevel="0" collapsed="false">
      <c r="A16200" s="1" t="s">
        <v>1028</v>
      </c>
      <c r="B16200" s="0" t="s">
        <v>168</v>
      </c>
      <c r="E16200" s="7" t="n">
        <f aca="false">Sens!E16199/Sens!D16199-1</f>
        <v>0.104685888038225</v>
      </c>
      <c r="F16200" s="7" t="n">
        <f aca="false">Sens!$E$16200+(glt_ind-Sens!$E$16200)*MIN(1,(Sens!F16147-base_fy)/n_conv)</f>
        <v>0.0989049066985211</v>
      </c>
      <c r="G16200" s="7" t="n">
        <f aca="false">Sens!$E$16200+(glt_ind-Sens!$E$16200)*MIN(1,(Sens!G16147-base_fy)/n_conv)</f>
        <v>0.0931239253588169</v>
      </c>
      <c r="H16200" s="7" t="n">
        <f aca="false">Sens!$E$16200+(glt_ind-Sens!$E$16200)*MIN(1,(Sens!H16147-base_fy)/n_conv)</f>
        <v>0.0873429440191127</v>
      </c>
      <c r="I16200" s="7" t="n">
        <f aca="false">Sens!$E$16200+(glt_ind-Sens!$E$16200)*MIN(1,(Sens!I16147-base_fy)/n_conv)</f>
        <v>0.0815619626794085</v>
      </c>
      <c r="J16200" s="7" t="n">
        <f aca="false">Sens!$E$16200+(glt_ind-Sens!$E$16200)*MIN(1,(Sens!J16147-base_fy)/n_conv)</f>
        <v>0.0757809813397042</v>
      </c>
      <c r="K16200" s="7" t="n">
        <f aca="false">Sens!$E$16200+(glt_ind-Sens!$E$16200)*MIN(1,(Sens!K16147-base_fy)/n_conv)</f>
        <v>0.07</v>
      </c>
    </row>
    <row r="16201" customFormat="false" ht="17.15" hidden="false" customHeight="false" outlineLevel="0" collapsed="false">
      <c r="A16201" s="0" t="s">
        <v>1040</v>
      </c>
      <c r="B16201" s="0" t="s">
        <v>98</v>
      </c>
      <c r="D16201" s="6" t="n">
        <f aca="false">Q!L10</f>
        <v>7.76</v>
      </c>
      <c r="E16201" s="6" t="n">
        <f aca="false">Q!M10</f>
        <v>8.26</v>
      </c>
      <c r="F16201" s="6" t="n">
        <f aca="false">Q!$I$10+(Q!M10-Q!$E$10)*(1+Sens!F16202)</f>
        <v>8.75372082474227</v>
      </c>
      <c r="G16201" s="6" t="n">
        <f aca="false">Sens!F16201*(1+Sens!G16202)</f>
        <v>9.33399324642364</v>
      </c>
      <c r="H16201" s="6" t="n">
        <f aca="false">Sens!G16201*(1+Sens!H16202)</f>
        <v>9.96139155535851</v>
      </c>
      <c r="I16201" s="6" t="n">
        <f aca="false">Sens!H16201*(1+Sens!I16202)</f>
        <v>10.6402039077391</v>
      </c>
      <c r="J16201" s="6" t="n">
        <f aca="false">Sens!I16201*(1+Sens!J16202)</f>
        <v>11.3751458271397</v>
      </c>
      <c r="K16201" s="6" t="n">
        <f aca="false">Sens!J16201*(1+Sens!K16202)</f>
        <v>12.1714060350394</v>
      </c>
      <c r="L16201" s="12" t="s">
        <v>1038</v>
      </c>
    </row>
    <row r="16202" customFormat="false" ht="15" hidden="false" customHeight="false" outlineLevel="0" collapsed="false">
      <c r="A16202" s="1" t="s">
        <v>1028</v>
      </c>
      <c r="B16202" s="0" t="s">
        <v>168</v>
      </c>
      <c r="E16202" s="7" t="n">
        <f aca="false">Sens!E16201/Sens!D16201-1</f>
        <v>0.0644329896907216</v>
      </c>
      <c r="F16202" s="7" t="n">
        <f aca="false">Sens!$E$16202+(glt_fro-Sens!$E$16202)*MIN(1,(Sens!F16147-base_fy)/n_conv)</f>
        <v>0.065360824742268</v>
      </c>
      <c r="G16202" s="7" t="n">
        <f aca="false">Sens!$E$16202+(glt_fro-Sens!$E$16202)*MIN(1,(Sens!G16147-base_fy)/n_conv)</f>
        <v>0.0662886597938144</v>
      </c>
      <c r="H16202" s="7" t="n">
        <f aca="false">Sens!$E$16202+(glt_fro-Sens!$E$16202)*MIN(1,(Sens!H16147-base_fy)/n_conv)</f>
        <v>0.0672164948453608</v>
      </c>
      <c r="I16202" s="7" t="n">
        <f aca="false">Sens!$E$16202+(glt_fro-Sens!$E$16202)*MIN(1,(Sens!I16147-base_fy)/n_conv)</f>
        <v>0.0681443298969072</v>
      </c>
      <c r="J16202" s="7" t="n">
        <f aca="false">Sens!$E$16202+(glt_fro-Sens!$E$16202)*MIN(1,(Sens!J16147-base_fy)/n_conv)</f>
        <v>0.0690721649484536</v>
      </c>
      <c r="K16202" s="7" t="n">
        <f aca="false">Sens!$E$16202+(glt_fro-Sens!$E$16202)*MIN(1,(Sens!K16147-base_fy)/n_conv)</f>
        <v>0.07</v>
      </c>
    </row>
    <row r="16203" customFormat="false" ht="15" hidden="false" customHeight="false" outlineLevel="0" collapsed="false">
      <c r="A16203" s="0" t="s">
        <v>856</v>
      </c>
      <c r="B16203" s="0" t="s">
        <v>98</v>
      </c>
      <c r="D16203" s="6" t="n">
        <f aca="false">Sens!D16191+Sens!D16196+Sens!D16197+Sens!D16199+Sens!D16201</f>
        <v>218.783</v>
      </c>
      <c r="E16203" s="6" t="n">
        <f aca="false">Sens!E16191+Sens!E16196+Sens!E16197+Sens!E16199+Sens!E16201</f>
        <v>268.127</v>
      </c>
      <c r="F16203" s="6" t="n">
        <f aca="false">Sens!F16191+Sens!F16196+Sens!F16197+Sens!F16199+Sens!F16201</f>
        <v>323.928152474783</v>
      </c>
      <c r="G16203" s="6" t="n">
        <f aca="false">Sens!G16191+Sens!G16196+Sens!G16197+Sens!G16199+Sens!G16201</f>
        <v>371.483283318173</v>
      </c>
      <c r="H16203" s="6" t="n">
        <f aca="false">Sens!H16191+Sens!H16196+Sens!H16197+Sens!H16199+Sens!H16201</f>
        <v>414.840491008376</v>
      </c>
      <c r="I16203" s="6" t="n">
        <f aca="false">Sens!I16191+Sens!I16196+Sens!I16197+Sens!I16199+Sens!I16201</f>
        <v>454.068669312702</v>
      </c>
      <c r="J16203" s="6" t="n">
        <f aca="false">Sens!J16191+Sens!J16196+Sens!J16197+Sens!J16199+Sens!J16201</f>
        <v>490.12907888762</v>
      </c>
      <c r="K16203" s="6" t="n">
        <f aca="false">Sens!K16191+Sens!K16196+Sens!K16197+Sens!K16199+Sens!K16201</f>
        <v>524.212115512281</v>
      </c>
    </row>
    <row r="16204" customFormat="false" ht="17.15" hidden="false" customHeight="false" outlineLevel="0" collapsed="false">
      <c r="A16204" s="0" t="s">
        <v>1041</v>
      </c>
      <c r="B16204" s="0" t="s">
        <v>98</v>
      </c>
      <c r="D16204" s="6" t="n">
        <f aca="false">Q!L13</f>
        <v>22.171</v>
      </c>
      <c r="E16204" s="6" t="n">
        <f aca="false">Q!M13</f>
        <v>24.835</v>
      </c>
      <c r="F16204" s="6" t="n">
        <f aca="false">Q!$I$13+(Q!M13-Q!$E$13)*(1+Sens!F16205)</f>
        <v>27.5591895660247</v>
      </c>
      <c r="G16204" s="6" t="n">
        <f aca="false">Sens!F16204*(1+Sens!G16205)</f>
        <v>30.4098563144583</v>
      </c>
      <c r="H16204" s="6" t="n">
        <f aca="false">Sens!G16204*(1+Sens!H16205)</f>
        <v>33.3011792571777</v>
      </c>
      <c r="I16204" s="6" t="n">
        <f aca="false">Sens!H16204*(1+Sens!I16205)</f>
        <v>36.189023797112</v>
      </c>
      <c r="J16204" s="6" t="n">
        <f aca="false">Sens!I16204*(1+Sens!J16205)</f>
        <v>39.0247773769199</v>
      </c>
      <c r="K16204" s="6" t="n">
        <f aca="false">Sens!J16204*(1+Sens!K16205)</f>
        <v>41.7565117933043</v>
      </c>
      <c r="L16204" s="12" t="s">
        <v>1038</v>
      </c>
    </row>
    <row r="16205" customFormat="false" ht="15" hidden="false" customHeight="false" outlineLevel="0" collapsed="false">
      <c r="A16205" s="1" t="s">
        <v>1028</v>
      </c>
      <c r="B16205" s="0" t="s">
        <v>168</v>
      </c>
      <c r="E16205" s="7" t="n">
        <f aca="false">Sens!E16204/Sens!D16204-1</f>
        <v>0.120156961796942</v>
      </c>
      <c r="F16205" s="7" t="n">
        <f aca="false">Sens!$E$16205+(glt_srch-Sens!$E$16205)*MIN(1,(Sens!F16147-base_fy)/n_conv)</f>
        <v>0.111797468164118</v>
      </c>
      <c r="G16205" s="7" t="n">
        <f aca="false">Sens!$E$16205+(glt_srch-Sens!$E$16205)*MIN(1,(Sens!G16147-base_fy)/n_conv)</f>
        <v>0.103437974531295</v>
      </c>
      <c r="H16205" s="7" t="n">
        <f aca="false">Sens!$E$16205+(glt_srch-Sens!$E$16205)*MIN(1,(Sens!H16147-base_fy)/n_conv)</f>
        <v>0.095078480898471</v>
      </c>
      <c r="I16205" s="7" t="n">
        <f aca="false">Sens!$E$16205+(glt_srch-Sens!$E$16205)*MIN(1,(Sens!I16147-base_fy)/n_conv)</f>
        <v>0.0867189872656474</v>
      </c>
      <c r="J16205" s="7" t="n">
        <f aca="false">Sens!$E$16205+(glt_srch-Sens!$E$16205)*MIN(1,(Sens!J16147-base_fy)/n_conv)</f>
        <v>0.0783594936328237</v>
      </c>
      <c r="K16205" s="7" t="n">
        <f aca="false">Sens!$E$16205+(glt_srch-Sens!$E$16205)*MIN(1,(Sens!K16147-base_fy)/n_conv)</f>
        <v>0.07</v>
      </c>
    </row>
    <row r="16206" customFormat="false" ht="17.15" hidden="false" customHeight="false" outlineLevel="0" collapsed="false">
      <c r="A16206" s="0" t="s">
        <v>1042</v>
      </c>
      <c r="B16206" s="0" t="s">
        <v>98</v>
      </c>
      <c r="D16206" s="6" t="n">
        <f aca="false">Q!L14</f>
        <v>23.455</v>
      </c>
      <c r="E16206" s="6" t="n">
        <f aca="false">Q!M14</f>
        <v>21.79</v>
      </c>
      <c r="F16206" s="6" t="n">
        <f aca="false">Q!$I$14+(Q!M14-Q!$E$14)*(1+Sens!F16207)</f>
        <v>20.7520981041711</v>
      </c>
      <c r="G16206" s="6" t="n">
        <f aca="false">Sens!F16206*(1+Sens!G16207)</f>
        <v>19.9083593495882</v>
      </c>
      <c r="H16206" s="6" t="n">
        <f aca="false">Sens!G16206*(1+Sens!H16207)</f>
        <v>19.4008256265831</v>
      </c>
      <c r="I16206" s="6" t="n">
        <f aca="false">Sens!H16206*(1+Sens!I16207)</f>
        <v>19.200434522122</v>
      </c>
      <c r="J16206" s="6" t="n">
        <f aca="false">Sens!I16206*(1+Sens!J16207)</f>
        <v>19.2932782348507</v>
      </c>
      <c r="K16206" s="6" t="n">
        <f aca="false">Sens!J16206*(1+Sens!K16207)</f>
        <v>19.6791437995477</v>
      </c>
      <c r="L16206" s="12" t="s">
        <v>1038</v>
      </c>
    </row>
    <row r="16207" customFormat="false" ht="15" hidden="false" customHeight="false" outlineLevel="0" collapsed="false">
      <c r="A16207" s="1" t="s">
        <v>1028</v>
      </c>
      <c r="B16207" s="0" t="s">
        <v>168</v>
      </c>
      <c r="E16207" s="7" t="n">
        <f aca="false">Sens!E16206/Sens!D16206-1</f>
        <v>-0.0709869963760392</v>
      </c>
      <c r="F16207" s="7" t="n">
        <f aca="false">Sens!$E$16207+(glt_xbox-Sens!$E$16207)*MIN(1,(Sens!F16147-base_fy)/n_conv)</f>
        <v>-0.0558224969800327</v>
      </c>
      <c r="G16207" s="7" t="n">
        <f aca="false">Sens!$E$16207+(glt_xbox-Sens!$E$16207)*MIN(1,(Sens!G16147-base_fy)/n_conv)</f>
        <v>-0.0406579975840262</v>
      </c>
      <c r="H16207" s="7" t="n">
        <f aca="false">Sens!$E$16207+(glt_xbox-Sens!$E$16207)*MIN(1,(Sens!H16147-base_fy)/n_conv)</f>
        <v>-0.0254934981880196</v>
      </c>
      <c r="I16207" s="7" t="n">
        <f aca="false">Sens!$E$16207+(glt_xbox-Sens!$E$16207)*MIN(1,(Sens!I16147-base_fy)/n_conv)</f>
        <v>-0.0103289987920131</v>
      </c>
      <c r="J16207" s="7" t="n">
        <f aca="false">Sens!$E$16207+(glt_xbox-Sens!$E$16207)*MIN(1,(Sens!J16147-base_fy)/n_conv)</f>
        <v>0.00483550060399347</v>
      </c>
      <c r="K16207" s="7" t="n">
        <f aca="false">Sens!$E$16207+(glt_xbox-Sens!$E$16207)*MIN(1,(Sens!K16147-base_fy)/n_conv)</f>
        <v>0.02</v>
      </c>
    </row>
    <row r="16208" customFormat="false" ht="17.15" hidden="false" customHeight="false" outlineLevel="0" collapsed="false">
      <c r="A16208" s="0" t="s">
        <v>1043</v>
      </c>
      <c r="B16208" s="0" t="s">
        <v>98</v>
      </c>
      <c r="D16208" s="6" t="n">
        <f aca="false">Q!L15</f>
        <v>17.315</v>
      </c>
      <c r="E16208" s="6" t="n">
        <f aca="false">Q!M15</f>
        <v>17.087</v>
      </c>
      <c r="F16208" s="6" t="n">
        <f aca="false">Q!$I$15+(Q!M15-Q!$E$15)*(1+Sens!F16209)</f>
        <v>15.9912273250553</v>
      </c>
      <c r="G16208" s="6" t="n">
        <f aca="false">Sens!F16208*(1+Sens!G16209)</f>
        <v>15.9574562664827</v>
      </c>
      <c r="H16208" s="6" t="n">
        <f aca="false">Sens!G16208*(1+Sens!H16209)</f>
        <v>16.0119687434196</v>
      </c>
      <c r="I16208" s="6" t="n">
        <f aca="false">Sens!H16208*(1+Sens!I16209)</f>
        <v>16.1551810001948</v>
      </c>
      <c r="J16208" s="6" t="n">
        <f aca="false">Sens!I16208*(1+Sens!J16209)</f>
        <v>16.3889793892005</v>
      </c>
      <c r="K16208" s="6" t="n">
        <f aca="false">Sens!J16208*(1+Sens!K16209)</f>
        <v>16.7167589769845</v>
      </c>
      <c r="L16208" s="12" t="s">
        <v>1038</v>
      </c>
    </row>
    <row r="16209" customFormat="false" ht="15" hidden="false" customHeight="false" outlineLevel="0" collapsed="false">
      <c r="A16209" s="1" t="s">
        <v>1028</v>
      </c>
      <c r="B16209" s="0" t="s">
        <v>168</v>
      </c>
      <c r="E16209" s="7" t="n">
        <f aca="false">Sens!E16208/Sens!D16208-1</f>
        <v>-0.0131677736066995</v>
      </c>
      <c r="F16209" s="7" t="n">
        <f aca="false">Sens!$E$16209+(glt_win-Sens!$E$16209)*MIN(1,(Sens!F16147-base_fy)/n_conv)</f>
        <v>-0.00763981133891627</v>
      </c>
      <c r="G16209" s="7" t="n">
        <f aca="false">Sens!$E$16209+(glt_win-Sens!$E$16209)*MIN(1,(Sens!G16147-base_fy)/n_conv)</f>
        <v>-0.00211184907113301</v>
      </c>
      <c r="H16209" s="7" t="n">
        <f aca="false">Sens!$E$16209+(glt_win-Sens!$E$16209)*MIN(1,(Sens!H16147-base_fy)/n_conv)</f>
        <v>0.00341611319665024</v>
      </c>
      <c r="I16209" s="7" t="n">
        <f aca="false">Sens!$E$16209+(glt_win-Sens!$E$16209)*MIN(1,(Sens!I16147-base_fy)/n_conv)</f>
        <v>0.00894407546443349</v>
      </c>
      <c r="J16209" s="7" t="n">
        <f aca="false">Sens!$E$16209+(glt_win-Sens!$E$16209)*MIN(1,(Sens!J16147-base_fy)/n_conv)</f>
        <v>0.0144720377322168</v>
      </c>
      <c r="K16209" s="7" t="n">
        <f aca="false">Sens!$E$16209+(glt_win-Sens!$E$16209)*MIN(1,(Sens!K16147-base_fy)/n_conv)</f>
        <v>0.02</v>
      </c>
    </row>
    <row r="16210" customFormat="false" ht="15" hidden="false" customHeight="false" outlineLevel="0" collapsed="false">
      <c r="A16210" s="0" t="s">
        <v>870</v>
      </c>
      <c r="B16210" s="0" t="s">
        <v>98</v>
      </c>
      <c r="D16210" s="6" t="n">
        <f aca="false">Sens!D16204+Sens!D16206+Sens!D16208</f>
        <v>62.941</v>
      </c>
      <c r="E16210" s="6" t="n">
        <f aca="false">Sens!E16204+Sens!E16206+Sens!E16208</f>
        <v>63.712</v>
      </c>
      <c r="F16210" s="6" t="n">
        <f aca="false">Sens!F16204+Sens!F16206+Sens!F16208</f>
        <v>64.3025149952511</v>
      </c>
      <c r="G16210" s="6" t="n">
        <f aca="false">Sens!G16204+Sens!G16206+Sens!G16208</f>
        <v>66.2756719305292</v>
      </c>
      <c r="H16210" s="6" t="n">
        <f aca="false">Sens!H16204+Sens!H16206+Sens!H16208</f>
        <v>68.7139736271804</v>
      </c>
      <c r="I16210" s="6" t="n">
        <f aca="false">Sens!I16204+Sens!I16206+Sens!I16208</f>
        <v>71.5446393194289</v>
      </c>
      <c r="J16210" s="6" t="n">
        <f aca="false">Sens!J16204+Sens!J16206+Sens!J16208</f>
        <v>74.707035000971</v>
      </c>
      <c r="K16210" s="6" t="n">
        <f aca="false">Sens!K16204+Sens!K16206+Sens!K16208</f>
        <v>78.1524145698365</v>
      </c>
    </row>
    <row r="16211" customFormat="false" ht="15" hidden="false" customHeight="false" outlineLevel="0" collapsed="false">
      <c r="A16211" s="1" t="s">
        <v>1044</v>
      </c>
      <c r="B16211" s="0" t="s">
        <v>98</v>
      </c>
      <c r="D16211" s="6" t="n">
        <f aca="false">Sens!D16203+Sens!D16210</f>
        <v>281.724</v>
      </c>
      <c r="E16211" s="6" t="n">
        <f aca="false">Sens!E16203+Sens!E16210</f>
        <v>331.839</v>
      </c>
      <c r="F16211" s="6" t="n">
        <f aca="false">Sens!F16203+Sens!F16210</f>
        <v>388.230667470034</v>
      </c>
      <c r="G16211" s="6" t="n">
        <f aca="false">Sens!G16203+Sens!G16210</f>
        <v>437.758955248702</v>
      </c>
      <c r="H16211" s="6" t="n">
        <f aca="false">Sens!H16203+Sens!H16210</f>
        <v>483.554464635556</v>
      </c>
      <c r="I16211" s="6" t="n">
        <f aca="false">Sens!I16203+Sens!I16210</f>
        <v>525.613308632131</v>
      </c>
      <c r="J16211" s="6" t="n">
        <f aca="false">Sens!J16203+Sens!J16210</f>
        <v>564.836113888591</v>
      </c>
      <c r="K16211" s="6" t="n">
        <f aca="false">Sens!K16203+Sens!K16210</f>
        <v>602.364530082118</v>
      </c>
    </row>
    <row r="16212" customFormat="false" ht="15" hidden="false" customHeight="false" outlineLevel="0" collapsed="false">
      <c r="A16212" s="26" t="s">
        <v>1045</v>
      </c>
      <c r="B16212" s="31" t="s">
        <v>98</v>
      </c>
      <c r="C16212" s="31"/>
      <c r="D16212" s="27" t="n">
        <f aca="false">(Sens!D16191+Sens!D16196+Sens!D16197+Sens!D16199+Sens!D16201-Sens!D16203)+(Sens!D16204+Sens!D16206+Sens!D16208-Sens!D16210)+(Sens!D16203-Q!L5)+(Sens!D16210-Q!L12)+(Sens!D16191-Q!L6)+(Sens!D16196-Q!L7)</f>
        <v>0</v>
      </c>
      <c r="E16212" s="27" t="n">
        <f aca="false">(Sens!E16191+Sens!E16196+Sens!E16197+Sens!E16199+Sens!E16201-Sens!E16203)+(Sens!E16204+Sens!E16206+Sens!E16208-Sens!E16210)+(Sens!E16203-Q!M5)+(Sens!E16210-Q!M12)+(Sens!E16191-Q!M6)+(Sens!E16196-Q!M7)</f>
        <v>0</v>
      </c>
      <c r="F16212" s="27" t="n">
        <f aca="false">(Sens!F16191+Sens!F16196+Sens!F16197+Sens!F16199+Sens!F16201-Sens!F16203)+(Sens!F16204+Sens!F16206+Sens!F16208-Sens!F16210)</f>
        <v>0</v>
      </c>
      <c r="G16212" s="27" t="n">
        <f aca="false">(Sens!G16191+Sens!G16196+Sens!G16197+Sens!G16199+Sens!G16201-Sens!G16203)+(Sens!G16204+Sens!G16206+Sens!G16208-Sens!G16210)</f>
        <v>0</v>
      </c>
      <c r="H16212" s="27" t="n">
        <f aca="false">(Sens!H16191+Sens!H16196+Sens!H16197+Sens!H16199+Sens!H16201-Sens!H16203)+(Sens!H16204+Sens!H16206+Sens!H16208-Sens!H16210)</f>
        <v>0</v>
      </c>
      <c r="I16212" s="27" t="n">
        <f aca="false">(Sens!I16191+Sens!I16196+Sens!I16197+Sens!I16199+Sens!I16201-Sens!I16203)+(Sens!I16204+Sens!I16206+Sens!I16208-Sens!I16210)</f>
        <v>0</v>
      </c>
      <c r="J16212" s="27" t="n">
        <f aca="false">(Sens!J16191+Sens!J16196+Sens!J16197+Sens!J16199+Sens!J16201-Sens!J16203)+(Sens!J16204+Sens!J16206+Sens!J16208-Sens!J16210)</f>
        <v>0</v>
      </c>
      <c r="K16212" s="27" t="n">
        <f aca="false">(Sens!K16191+Sens!K16196+Sens!K16197+Sens!K16199+Sens!K16201-Sens!K16203)+(Sens!K16204+Sens!K16206+Sens!K16208-Sens!K16210)</f>
        <v>0</v>
      </c>
    </row>
    <row r="16213" customFormat="false" ht="17.15" hidden="false" customHeight="false" outlineLevel="0" collapsed="false">
      <c r="A16213" s="3" t="s">
        <v>2011</v>
      </c>
    </row>
    <row r="16214" customFormat="false" ht="15" hidden="false" customHeight="false" outlineLevel="0" collapsed="false">
      <c r="A16214" s="4" t="s">
        <v>43</v>
      </c>
      <c r="B16214" s="4" t="s">
        <v>65</v>
      </c>
      <c r="C16214" s="23" t="s">
        <v>942</v>
      </c>
      <c r="D16214" s="23" t="s">
        <v>943</v>
      </c>
      <c r="E16214" s="23" t="s">
        <v>944</v>
      </c>
      <c r="F16214" s="23" t="s">
        <v>945</v>
      </c>
      <c r="G16214" s="23" t="s">
        <v>946</v>
      </c>
      <c r="H16214" s="23" t="s">
        <v>947</v>
      </c>
      <c r="I16214" s="23" t="s">
        <v>948</v>
      </c>
      <c r="J16214" s="23" t="s">
        <v>949</v>
      </c>
      <c r="K16214" s="23" t="s">
        <v>950</v>
      </c>
      <c r="L16214" s="4" t="s">
        <v>47</v>
      </c>
    </row>
    <row r="16215" customFormat="false" ht="15" hidden="false" customHeight="false" outlineLevel="0" collapsed="false">
      <c r="A16215" s="0" t="s">
        <v>1029</v>
      </c>
      <c r="B16215" s="0" t="s">
        <v>98</v>
      </c>
      <c r="D16215" s="6" t="n">
        <f aca="false">Sens!D16191</f>
        <v>72.61</v>
      </c>
      <c r="E16215" s="6" t="n">
        <f aca="false">Sens!E16191</f>
        <v>101.938</v>
      </c>
      <c r="F16215" s="6" t="n">
        <f aca="false">Sens!F16191</f>
        <v>135.889104460628</v>
      </c>
      <c r="G16215" s="6" t="n">
        <f aca="false">Sens!G16191</f>
        <v>161.043678229876</v>
      </c>
      <c r="H16215" s="6" t="n">
        <f aca="false">Sens!H16191</f>
        <v>181.974199155081</v>
      </c>
      <c r="I16215" s="6" t="n">
        <f aca="false">Sens!I16191</f>
        <v>200.545187298855</v>
      </c>
      <c r="J16215" s="6" t="n">
        <f aca="false">Sens!J16191</f>
        <v>218.036976330236</v>
      </c>
      <c r="K16215" s="6" t="n">
        <f aca="false">Sens!K16191</f>
        <v>234.472002641203</v>
      </c>
    </row>
    <row r="16216" customFormat="false" ht="17.15" hidden="false" customHeight="false" outlineLevel="0" collapsed="false">
      <c r="A16216" s="0" t="s">
        <v>1025</v>
      </c>
      <c r="B16216" s="0" t="s">
        <v>98</v>
      </c>
      <c r="D16216" s="6" t="n">
        <f aca="false">Sens!D16188</f>
        <v>12.9359794422418</v>
      </c>
      <c r="E16216" s="6" t="n">
        <f aca="false">Sens!E16188</f>
        <v>27.8095064661409</v>
      </c>
      <c r="F16216" s="6" t="n">
        <f aca="false">Sens!F16188</f>
        <v>41.5474952749207</v>
      </c>
      <c r="G16216" s="6" t="n">
        <f aca="false">Sens!G16188</f>
        <v>48.9517655264224</v>
      </c>
      <c r="H16216" s="6" t="n">
        <f aca="false">Sens!H16188</f>
        <v>51.8229407672915</v>
      </c>
      <c r="I16216" s="6" t="n">
        <f aca="false">Sens!I16188</f>
        <v>52.9439474006443</v>
      </c>
      <c r="J16216" s="6" t="n">
        <f aca="false">Sens!J16188</f>
        <v>54.636896193871</v>
      </c>
      <c r="K16216" s="6" t="n">
        <f aca="false">Sens!K16188</f>
        <v>57.9999160939293</v>
      </c>
    </row>
    <row r="16217" customFormat="false" ht="17.15" hidden="false" customHeight="false" outlineLevel="0" collapsed="false">
      <c r="A16217" s="0" t="s">
        <v>1056</v>
      </c>
      <c r="B16217" s="0" t="s">
        <v>98</v>
      </c>
      <c r="D16217" s="6" t="n">
        <f aca="false">Sens!D16189</f>
        <v>59.6740205577583</v>
      </c>
      <c r="E16217" s="6" t="n">
        <f aca="false">Sens!E16189</f>
        <v>74.1284935338591</v>
      </c>
      <c r="F16217" s="6" t="n">
        <f aca="false">Sens!F16189</f>
        <v>94.3416091857071</v>
      </c>
      <c r="G16217" s="6" t="n">
        <f aca="false">Sens!G16189</f>
        <v>112.091912703454</v>
      </c>
      <c r="H16217" s="6" t="n">
        <f aca="false">Sens!H16189</f>
        <v>130.15125838779</v>
      </c>
      <c r="I16217" s="6" t="n">
        <f aca="false">Sens!I16189</f>
        <v>147.60123989821</v>
      </c>
      <c r="J16217" s="6" t="n">
        <f aca="false">Sens!J16189</f>
        <v>163.400080136365</v>
      </c>
      <c r="K16217" s="6" t="n">
        <f aca="false">Sens!K16189</f>
        <v>176.472086547274</v>
      </c>
    </row>
    <row r="16218" customFormat="false" ht="15" hidden="false" customHeight="false" outlineLevel="0" collapsed="false">
      <c r="A16218" s="0" t="s">
        <v>1036</v>
      </c>
      <c r="B16218" s="0" t="s">
        <v>98</v>
      </c>
      <c r="D16218" s="6" t="n">
        <f aca="false">Sens!D16196</f>
        <v>84.605</v>
      </c>
      <c r="E16218" s="6" t="n">
        <f aca="false">Sens!E16196</f>
        <v>100.299</v>
      </c>
      <c r="F16218" s="6" t="n">
        <f aca="false">Sens!F16196</f>
        <v>118.584003697747</v>
      </c>
      <c r="G16218" s="6" t="n">
        <f aca="false">Sens!G16196</f>
        <v>136.700726545688</v>
      </c>
      <c r="H16218" s="6" t="n">
        <f aca="false">Sens!H16196</f>
        <v>154.898624783666</v>
      </c>
      <c r="I16218" s="6" t="n">
        <f aca="false">Sens!I16196</f>
        <v>171.420510030657</v>
      </c>
      <c r="J16218" s="6" t="n">
        <f aca="false">Sens!J16196</f>
        <v>185.985722618572</v>
      </c>
      <c r="K16218" s="6" t="n">
        <f aca="false">Sens!K16196</f>
        <v>199.799723201872</v>
      </c>
    </row>
    <row r="16219" customFormat="false" ht="17.15" hidden="false" customHeight="false" outlineLevel="0" collapsed="false">
      <c r="A16219" s="0" t="s">
        <v>1057</v>
      </c>
      <c r="B16219" s="0" t="s">
        <v>98</v>
      </c>
      <c r="D16219" s="6" t="n">
        <f aca="false">Sens!D16194</f>
        <v>83.705</v>
      </c>
      <c r="E16219" s="6" t="n">
        <f aca="false">Sens!E16194</f>
        <v>95.049</v>
      </c>
      <c r="F16219" s="6" t="n">
        <f aca="false">Sens!F16194</f>
        <v>106.584003697747</v>
      </c>
      <c r="G16219" s="6" t="n">
        <f aca="false">Sens!G16194</f>
        <v>118.700726545688</v>
      </c>
      <c r="H16219" s="6" t="n">
        <f aca="false">Sens!H16194</f>
        <v>130.898624783666</v>
      </c>
      <c r="I16219" s="6" t="n">
        <f aca="false">Sens!I16194</f>
        <v>142.920510030657</v>
      </c>
      <c r="J16219" s="6" t="n">
        <f aca="false">Sens!J16194</f>
        <v>154.485722618572</v>
      </c>
      <c r="K16219" s="6" t="n">
        <f aca="false">Sens!K16194</f>
        <v>165.299723201872</v>
      </c>
    </row>
    <row r="16220" customFormat="false" ht="17.15" hidden="false" customHeight="false" outlineLevel="0" collapsed="false">
      <c r="A16220" s="0" t="s">
        <v>1058</v>
      </c>
      <c r="B16220" s="0" t="s">
        <v>98</v>
      </c>
      <c r="D16220" s="6" t="n">
        <f aca="false">Sens!D16193</f>
        <v>0.9</v>
      </c>
      <c r="E16220" s="6" t="n">
        <f aca="false">Sens!E16193</f>
        <v>5.25</v>
      </c>
      <c r="F16220" s="6" t="n">
        <f aca="false">Sens!F16193</f>
        <v>12</v>
      </c>
      <c r="G16220" s="6" t="n">
        <f aca="false">Sens!G16193</f>
        <v>18</v>
      </c>
      <c r="H16220" s="6" t="n">
        <f aca="false">Sens!H16193</f>
        <v>24</v>
      </c>
      <c r="I16220" s="6" t="n">
        <f aca="false">Sens!I16193</f>
        <v>28.5</v>
      </c>
      <c r="J16220" s="6" t="n">
        <f aca="false">Sens!J16193</f>
        <v>31.5</v>
      </c>
      <c r="K16220" s="6" t="n">
        <f aca="false">Sens!K16193</f>
        <v>34.5</v>
      </c>
    </row>
    <row r="16221" customFormat="false" ht="15" hidden="false" customHeight="false" outlineLevel="0" collapsed="false">
      <c r="A16221" s="0" t="s">
        <v>1037</v>
      </c>
      <c r="B16221" s="0" t="s">
        <v>98</v>
      </c>
      <c r="D16221" s="6" t="n">
        <f aca="false">Sens!D16197</f>
        <v>35.391</v>
      </c>
      <c r="E16221" s="6" t="n">
        <f aca="false">Sens!E16197</f>
        <v>37.285</v>
      </c>
      <c r="F16221" s="6" t="n">
        <f aca="false">Sens!F16197</f>
        <v>38.3851437782675</v>
      </c>
      <c r="G16221" s="6" t="n">
        <f aca="false">Sens!G16197</f>
        <v>40.0105353288615</v>
      </c>
      <c r="H16221" s="6" t="n">
        <f aca="false">Sens!H16197</f>
        <v>41.4812512033683</v>
      </c>
      <c r="I16221" s="6" t="n">
        <f aca="false">Sens!I16197</f>
        <v>42.7743107216329</v>
      </c>
      <c r="J16221" s="6" t="n">
        <f aca="false">Sens!J16197</f>
        <v>43.8687373064601</v>
      </c>
      <c r="K16221" s="6" t="n">
        <f aca="false">Sens!K16197</f>
        <v>44.7461120525893</v>
      </c>
    </row>
    <row r="16222" customFormat="false" ht="15" hidden="false" customHeight="false" outlineLevel="0" collapsed="false">
      <c r="A16222" s="0" t="s">
        <v>1039</v>
      </c>
      <c r="B16222" s="0" t="s">
        <v>98</v>
      </c>
      <c r="D16222" s="6" t="n">
        <f aca="false">Sens!D16199</f>
        <v>18.417</v>
      </c>
      <c r="E16222" s="6" t="n">
        <f aca="false">Sens!E16199</f>
        <v>20.345</v>
      </c>
      <c r="F16222" s="6" t="n">
        <f aca="false">Sens!F16199</f>
        <v>22.3161797133988</v>
      </c>
      <c r="G16222" s="6" t="n">
        <f aca="false">Sens!G16199</f>
        <v>24.3943499673233</v>
      </c>
      <c r="H16222" s="6" t="n">
        <f aca="false">Sens!H16199</f>
        <v>26.5250243109019</v>
      </c>
      <c r="I16222" s="6" t="n">
        <f aca="false">Sens!I16199</f>
        <v>28.6884573538181</v>
      </c>
      <c r="J16222" s="6" t="n">
        <f aca="false">Sens!J16199</f>
        <v>30.8624968052127</v>
      </c>
      <c r="K16222" s="6" t="n">
        <f aca="false">Sens!K16199</f>
        <v>33.0228715815776</v>
      </c>
    </row>
    <row r="16223" customFormat="false" ht="15" hidden="false" customHeight="false" outlineLevel="0" collapsed="false">
      <c r="A16223" s="0" t="s">
        <v>1040</v>
      </c>
      <c r="B16223" s="0" t="s">
        <v>98</v>
      </c>
      <c r="D16223" s="6" t="n">
        <f aca="false">Sens!D16201</f>
        <v>7.76</v>
      </c>
      <c r="E16223" s="6" t="n">
        <f aca="false">Sens!E16201</f>
        <v>8.26</v>
      </c>
      <c r="F16223" s="6" t="n">
        <f aca="false">Sens!F16201</f>
        <v>8.75372082474227</v>
      </c>
      <c r="G16223" s="6" t="n">
        <f aca="false">Sens!G16201</f>
        <v>9.33399324642364</v>
      </c>
      <c r="H16223" s="6" t="n">
        <f aca="false">Sens!H16201</f>
        <v>9.96139155535851</v>
      </c>
      <c r="I16223" s="6" t="n">
        <f aca="false">Sens!I16201</f>
        <v>10.6402039077391</v>
      </c>
      <c r="J16223" s="6" t="n">
        <f aca="false">Sens!J16201</f>
        <v>11.3751458271397</v>
      </c>
      <c r="K16223" s="6" t="n">
        <f aca="false">Sens!K16201</f>
        <v>12.1714060350394</v>
      </c>
    </row>
    <row r="16224" customFormat="false" ht="15" hidden="false" customHeight="false" outlineLevel="0" collapsed="false">
      <c r="A16224" s="0" t="s">
        <v>856</v>
      </c>
      <c r="B16224" s="0" t="s">
        <v>98</v>
      </c>
      <c r="D16224" s="6" t="n">
        <f aca="false">Sens!D16203</f>
        <v>218.783</v>
      </c>
      <c r="E16224" s="6" t="n">
        <f aca="false">Sens!E16203</f>
        <v>268.127</v>
      </c>
      <c r="F16224" s="6" t="n">
        <f aca="false">Sens!F16203</f>
        <v>323.928152474783</v>
      </c>
      <c r="G16224" s="6" t="n">
        <f aca="false">Sens!G16203</f>
        <v>371.483283318173</v>
      </c>
      <c r="H16224" s="6" t="n">
        <f aca="false">Sens!H16203</f>
        <v>414.840491008376</v>
      </c>
      <c r="I16224" s="6" t="n">
        <f aca="false">Sens!I16203</f>
        <v>454.068669312702</v>
      </c>
      <c r="J16224" s="6" t="n">
        <f aca="false">Sens!J16203</f>
        <v>490.12907888762</v>
      </c>
      <c r="K16224" s="6" t="n">
        <f aca="false">Sens!K16203</f>
        <v>524.212115512281</v>
      </c>
    </row>
    <row r="16225" customFormat="false" ht="15" hidden="false" customHeight="false" outlineLevel="0" collapsed="false">
      <c r="A16225" s="0" t="s">
        <v>1041</v>
      </c>
      <c r="B16225" s="0" t="s">
        <v>98</v>
      </c>
      <c r="D16225" s="6" t="n">
        <f aca="false">Sens!D16204</f>
        <v>22.171</v>
      </c>
      <c r="E16225" s="6" t="n">
        <f aca="false">Sens!E16204</f>
        <v>24.835</v>
      </c>
      <c r="F16225" s="6" t="n">
        <f aca="false">Sens!F16204</f>
        <v>27.5591895660247</v>
      </c>
      <c r="G16225" s="6" t="n">
        <f aca="false">Sens!G16204</f>
        <v>30.4098563144583</v>
      </c>
      <c r="H16225" s="6" t="n">
        <f aca="false">Sens!H16204</f>
        <v>33.3011792571777</v>
      </c>
      <c r="I16225" s="6" t="n">
        <f aca="false">Sens!I16204</f>
        <v>36.189023797112</v>
      </c>
      <c r="J16225" s="6" t="n">
        <f aca="false">Sens!J16204</f>
        <v>39.0247773769199</v>
      </c>
      <c r="K16225" s="6" t="n">
        <f aca="false">Sens!K16204</f>
        <v>41.7565117933043</v>
      </c>
    </row>
    <row r="16226" customFormat="false" ht="15" hidden="false" customHeight="false" outlineLevel="0" collapsed="false">
      <c r="A16226" s="0" t="s">
        <v>1042</v>
      </c>
      <c r="B16226" s="0" t="s">
        <v>98</v>
      </c>
      <c r="D16226" s="6" t="n">
        <f aca="false">Sens!D16206</f>
        <v>23.455</v>
      </c>
      <c r="E16226" s="6" t="n">
        <f aca="false">Sens!E16206</f>
        <v>21.79</v>
      </c>
      <c r="F16226" s="6" t="n">
        <f aca="false">Sens!F16206</f>
        <v>20.7520981041711</v>
      </c>
      <c r="G16226" s="6" t="n">
        <f aca="false">Sens!G16206</f>
        <v>19.9083593495882</v>
      </c>
      <c r="H16226" s="6" t="n">
        <f aca="false">Sens!H16206</f>
        <v>19.4008256265831</v>
      </c>
      <c r="I16226" s="6" t="n">
        <f aca="false">Sens!I16206</f>
        <v>19.200434522122</v>
      </c>
      <c r="J16226" s="6" t="n">
        <f aca="false">Sens!J16206</f>
        <v>19.2932782348507</v>
      </c>
      <c r="K16226" s="6" t="n">
        <f aca="false">Sens!K16206</f>
        <v>19.6791437995477</v>
      </c>
    </row>
    <row r="16227" customFormat="false" ht="15" hidden="false" customHeight="false" outlineLevel="0" collapsed="false">
      <c r="A16227" s="0" t="s">
        <v>1043</v>
      </c>
      <c r="B16227" s="0" t="s">
        <v>98</v>
      </c>
      <c r="D16227" s="6" t="n">
        <f aca="false">Sens!D16208</f>
        <v>17.315</v>
      </c>
      <c r="E16227" s="6" t="n">
        <f aca="false">Sens!E16208</f>
        <v>17.087</v>
      </c>
      <c r="F16227" s="6" t="n">
        <f aca="false">Sens!F16208</f>
        <v>15.9912273250553</v>
      </c>
      <c r="G16227" s="6" t="n">
        <f aca="false">Sens!G16208</f>
        <v>15.9574562664827</v>
      </c>
      <c r="H16227" s="6" t="n">
        <f aca="false">Sens!H16208</f>
        <v>16.0119687434196</v>
      </c>
      <c r="I16227" s="6" t="n">
        <f aca="false">Sens!I16208</f>
        <v>16.1551810001948</v>
      </c>
      <c r="J16227" s="6" t="n">
        <f aca="false">Sens!J16208</f>
        <v>16.3889793892005</v>
      </c>
      <c r="K16227" s="6" t="n">
        <f aca="false">Sens!K16208</f>
        <v>16.7167589769845</v>
      </c>
    </row>
    <row r="16228" customFormat="false" ht="15" hidden="false" customHeight="false" outlineLevel="0" collapsed="false">
      <c r="A16228" s="0" t="s">
        <v>870</v>
      </c>
      <c r="B16228" s="0" t="s">
        <v>98</v>
      </c>
      <c r="D16228" s="6" t="n">
        <f aca="false">Sens!D16210</f>
        <v>62.941</v>
      </c>
      <c r="E16228" s="6" t="n">
        <f aca="false">Sens!E16210</f>
        <v>63.712</v>
      </c>
      <c r="F16228" s="6" t="n">
        <f aca="false">Sens!F16210</f>
        <v>64.3025149952511</v>
      </c>
      <c r="G16228" s="6" t="n">
        <f aca="false">Sens!G16210</f>
        <v>66.2756719305292</v>
      </c>
      <c r="H16228" s="6" t="n">
        <f aca="false">Sens!H16210</f>
        <v>68.7139736271804</v>
      </c>
      <c r="I16228" s="6" t="n">
        <f aca="false">Sens!I16210</f>
        <v>71.5446393194289</v>
      </c>
      <c r="J16228" s="6" t="n">
        <f aca="false">Sens!J16210</f>
        <v>74.707035000971</v>
      </c>
      <c r="K16228" s="6" t="n">
        <f aca="false">Sens!K16210</f>
        <v>78.1524145698365</v>
      </c>
    </row>
    <row r="16229" customFormat="false" ht="15" hidden="false" customHeight="false" outlineLevel="0" collapsed="false">
      <c r="A16229" s="1" t="s">
        <v>1059</v>
      </c>
      <c r="B16229" s="0" t="s">
        <v>98</v>
      </c>
      <c r="D16229" s="6" t="n">
        <f aca="false">Sens!D16211</f>
        <v>281.724</v>
      </c>
      <c r="E16229" s="6" t="n">
        <f aca="false">Sens!E16211</f>
        <v>331.839</v>
      </c>
      <c r="F16229" s="6" t="n">
        <f aca="false">Sens!F16211</f>
        <v>388.230667470034</v>
      </c>
      <c r="G16229" s="6" t="n">
        <f aca="false">Sens!G16211</f>
        <v>437.758955248702</v>
      </c>
      <c r="H16229" s="6" t="n">
        <f aca="false">Sens!H16211</f>
        <v>483.554464635556</v>
      </c>
      <c r="I16229" s="6" t="n">
        <f aca="false">Sens!I16211</f>
        <v>525.613308632131</v>
      </c>
      <c r="J16229" s="6" t="n">
        <f aca="false">Sens!J16211</f>
        <v>564.836113888591</v>
      </c>
      <c r="K16229" s="6" t="n">
        <f aca="false">Sens!K16211</f>
        <v>602.364530082118</v>
      </c>
    </row>
    <row r="16230" customFormat="false" ht="15" hidden="false" customHeight="false" outlineLevel="0" collapsed="false">
      <c r="A16230" s="1" t="s">
        <v>1060</v>
      </c>
      <c r="B16230" s="0" t="s">
        <v>168</v>
      </c>
      <c r="E16230" s="7" t="n">
        <f aca="false">Sens!E16229/Sens!D16229-1</f>
        <v>0.177886867998467</v>
      </c>
      <c r="F16230" s="7" t="n">
        <f aca="false">Sens!F16229/Sens!E16229-1</f>
        <v>0.169936829215476</v>
      </c>
      <c r="G16230" s="7" t="n">
        <f aca="false">Sens!G16229/Sens!F16229-1</f>
        <v>0.12757438277977</v>
      </c>
      <c r="H16230" s="7" t="n">
        <f aca="false">Sens!H16229/Sens!G16229-1</f>
        <v>0.1046135295184</v>
      </c>
      <c r="I16230" s="7" t="n">
        <f aca="false">Sens!I16229/Sens!H16229-1</f>
        <v>0.0869785041241908</v>
      </c>
      <c r="J16230" s="7" t="n">
        <f aca="false">Sens!J16229/Sens!I16229-1</f>
        <v>0.0746229302270425</v>
      </c>
      <c r="K16230" s="7" t="n">
        <f aca="false">Sens!K16229/Sens!J16229-1</f>
        <v>0.0664412477721441</v>
      </c>
    </row>
    <row r="16231" customFormat="false" ht="17.15" hidden="false" customHeight="false" outlineLevel="0" collapsed="false">
      <c r="A16231" s="26" t="s">
        <v>1061</v>
      </c>
      <c r="B16231" s="31" t="s">
        <v>98</v>
      </c>
      <c r="C16231" s="31"/>
      <c r="D16231" s="27" t="n">
        <f aca="false">(Sens!D16224+Sens!D16228-Sens!D16229)+(Sens!D16216+Sens!D16217-Sens!D16215)+(Sens!D16219+Sens!D16220-Sens!D16218)+(Sens!D16229-Q!L18)</f>
        <v>0</v>
      </c>
      <c r="E16231" s="27" t="n">
        <f aca="false">(Sens!E16224+Sens!E16228-Sens!E16229)+(Sens!E16216+Sens!E16217-Sens!E16215)+(Sens!E16219+Sens!E16220-Sens!E16218)+(Sens!E16229-Q!M18)</f>
        <v>0</v>
      </c>
      <c r="F16231" s="27" t="n">
        <f aca="false">(Sens!F16224+Sens!F16228-Sens!F16229)+(Sens!F16216+Sens!F16217-Sens!F16215)+(Sens!F16219+Sens!F16220-Sens!F16218)</f>
        <v>0</v>
      </c>
      <c r="G16231" s="27" t="n">
        <f aca="false">(Sens!G16224+Sens!G16228-Sens!G16229)+(Sens!G16216+Sens!G16217-Sens!G16215)+(Sens!G16219+Sens!G16220-Sens!G16218)</f>
        <v>0</v>
      </c>
      <c r="H16231" s="27" t="n">
        <f aca="false">(Sens!H16224+Sens!H16228-Sens!H16229)+(Sens!H16216+Sens!H16217-Sens!H16215)+(Sens!H16219+Sens!H16220-Sens!H16218)</f>
        <v>0</v>
      </c>
      <c r="I16231" s="27" t="n">
        <f aca="false">(Sens!I16224+Sens!I16228-Sens!I16229)+(Sens!I16216+Sens!I16217-Sens!I16215)+(Sens!I16219+Sens!I16220-Sens!I16218)</f>
        <v>0</v>
      </c>
      <c r="J16231" s="27" t="n">
        <f aca="false">(Sens!J16224+Sens!J16228-Sens!J16229)+(Sens!J16216+Sens!J16217-Sens!J16215)+(Sens!J16219+Sens!J16220-Sens!J16218)</f>
        <v>0</v>
      </c>
      <c r="K16231" s="27" t="n">
        <f aca="false">(Sens!K16224+Sens!K16228-Sens!K16229)+(Sens!K16216+Sens!K16217-Sens!K16215)+(Sens!K16219+Sens!K16220-Sens!K16218)</f>
        <v>0</v>
      </c>
    </row>
    <row r="16232" customFormat="false" ht="17.15" hidden="false" customHeight="false" outlineLevel="0" collapsed="false">
      <c r="A16232" s="0" t="s">
        <v>1062</v>
      </c>
      <c r="B16232" s="0" t="s">
        <v>168</v>
      </c>
      <c r="E16232" s="7" t="n">
        <f aca="false">(Q!M21+Sens!E16168+Sens!E16169+Sens!E16170+Sens!E16184-Sens!E16166)/(Q!M5-Sens!E16166)</f>
        <v>0.570957350878296</v>
      </c>
      <c r="F16232" s="7" t="n">
        <f aca="false">Sens!$E$16232+dm_seg</f>
        <v>0.570957350878296</v>
      </c>
      <c r="G16232" s="7" t="n">
        <f aca="false">Sens!$E$16232+dm_seg</f>
        <v>0.570957350878296</v>
      </c>
      <c r="H16232" s="7" t="n">
        <f aca="false">Sens!$E$16232+dm_seg</f>
        <v>0.570957350878296</v>
      </c>
      <c r="I16232" s="7" t="n">
        <f aca="false">Sens!$E$16232+dm_seg</f>
        <v>0.570957350878296</v>
      </c>
      <c r="J16232" s="7" t="n">
        <f aca="false">Sens!$E$16232+dm_seg</f>
        <v>0.570957350878296</v>
      </c>
      <c r="K16232" s="7" t="n">
        <f aca="false">Sens!$E$16232+dm_seg</f>
        <v>0.570957350878296</v>
      </c>
      <c r="L16232" s="12" t="s">
        <v>1063</v>
      </c>
    </row>
    <row r="16233" customFormat="false" ht="17.15" hidden="false" customHeight="false" outlineLevel="0" collapsed="false">
      <c r="A16233" s="0" t="s">
        <v>884</v>
      </c>
      <c r="B16233" s="0" t="s">
        <v>98</v>
      </c>
      <c r="D16233" s="6" t="n">
        <f aca="false">Q!L21</f>
        <v>110.814</v>
      </c>
      <c r="E16233" s="6" t="n">
        <f aca="false">Q!M21</f>
        <v>136.365</v>
      </c>
      <c r="F16233" s="6" t="n">
        <f aca="false">Q!$I$21+(Sens!F16232*(Sens!F16203-Sens!F16166)+Sens!F16166-(Sens!F16168+Sens!F16169+Sens!F16170)-Sens!F16184-Sens!F16267)*(Sens!F16203-Q!$I$5)/Sens!F16203</f>
        <v>152.253180035428</v>
      </c>
      <c r="G16233" s="6" t="n">
        <f aca="false">(Sens!G16232*(Sens!G16203-Sens!G16166)+Sens!G16166-(Sens!G16168+Sens!G16169+Sens!G16170)-Sens!G16184-Sens!G16267)</f>
        <v>170.519385074234</v>
      </c>
      <c r="H16233" s="6" t="n">
        <f aca="false">(Sens!H16232*(Sens!H16203-Sens!H16166)+Sens!H16166-(Sens!H16168+Sens!H16169+Sens!H16170)-Sens!H16184-Sens!H16267)</f>
        <v>194.236141292342</v>
      </c>
      <c r="I16233" s="6" t="n">
        <f aca="false">(Sens!I16232*(Sens!I16203-Sens!I16166)+Sens!I16166-(Sens!I16168+Sens!I16169+Sens!I16170)-Sens!I16184-Sens!I16267)</f>
        <v>217.541623053626</v>
      </c>
      <c r="J16233" s="6" t="n">
        <f aca="false">(Sens!J16232*(Sens!J16203-Sens!J16166)+Sens!J16166-(Sens!J16168+Sens!J16169+Sens!J16170)-Sens!J16184-Sens!J16267)</f>
        <v>238.266427229453</v>
      </c>
      <c r="K16233" s="6" t="n">
        <f aca="false">(Sens!K16232*(Sens!K16203-Sens!K16166)+Sens!K16166-(Sens!K16168+Sens!K16169+Sens!K16170)-Sens!K16184-Sens!K16267)</f>
        <v>257.164905015849</v>
      </c>
      <c r="L16233" s="1" t="s">
        <v>1064</v>
      </c>
    </row>
    <row r="16234" customFormat="false" ht="17.15" hidden="false" customHeight="false" outlineLevel="0" collapsed="false">
      <c r="A16234" s="0" t="s">
        <v>1065</v>
      </c>
      <c r="B16234" s="0" t="s">
        <v>168</v>
      </c>
      <c r="E16234" s="7" t="n">
        <f aca="false">Q!M22/Q!M12</f>
        <v>0.296207935710698</v>
      </c>
      <c r="F16234" s="7" t="n">
        <f aca="false">Sens!$E$16234+dm_seg</f>
        <v>0.296207935710698</v>
      </c>
      <c r="G16234" s="7" t="n">
        <f aca="false">Sens!$E$16234+dm_seg</f>
        <v>0.296207935710698</v>
      </c>
      <c r="H16234" s="7" t="n">
        <f aca="false">Sens!$E$16234+dm_seg</f>
        <v>0.296207935710698</v>
      </c>
      <c r="I16234" s="7" t="n">
        <f aca="false">Sens!$E$16234+dm_seg</f>
        <v>0.296207935710698</v>
      </c>
      <c r="J16234" s="7" t="n">
        <f aca="false">Sens!$E$16234+dm_seg</f>
        <v>0.296207935710698</v>
      </c>
      <c r="K16234" s="7" t="n">
        <f aca="false">Sens!$E$16234+dm_seg</f>
        <v>0.296207935710698</v>
      </c>
      <c r="L16234" s="12" t="s">
        <v>1066</v>
      </c>
    </row>
    <row r="16235" customFormat="false" ht="17.15" hidden="false" customHeight="false" outlineLevel="0" collapsed="false">
      <c r="A16235" s="0" t="s">
        <v>886</v>
      </c>
      <c r="B16235" s="0" t="s">
        <v>98</v>
      </c>
      <c r="D16235" s="6" t="n">
        <f aca="false">Q!L22</f>
        <v>17.714</v>
      </c>
      <c r="E16235" s="6" t="n">
        <f aca="false">Q!M22</f>
        <v>18.872</v>
      </c>
      <c r="F16235" s="6" t="n">
        <f aca="false">Q!$I$22+(Sens!F16210-Q!$I$12)*Sens!F16234</f>
        <v>19.8174315512051</v>
      </c>
      <c r="G16235" s="6" t="n">
        <f aca="false">Sens!G16210*Sens!G16234</f>
        <v>19.6313799703815</v>
      </c>
      <c r="H16235" s="6" t="n">
        <f aca="false">Sens!H16210*Sens!H16234</f>
        <v>20.3536242825865</v>
      </c>
      <c r="I16235" s="6" t="n">
        <f aca="false">Sens!I16210*Sens!I16234</f>
        <v>21.1920899239745</v>
      </c>
      <c r="J16235" s="6" t="n">
        <f aca="false">Sens!J16210*Sens!J16234</f>
        <v>22.1288166207045</v>
      </c>
      <c r="K16235" s="6" t="n">
        <f aca="false">Sens!K16210*Sens!K16234</f>
        <v>23.1493653905379</v>
      </c>
      <c r="L16235" s="12" t="s">
        <v>1067</v>
      </c>
    </row>
    <row r="16236" customFormat="false" ht="15" hidden="false" customHeight="false" outlineLevel="0" collapsed="false">
      <c r="A16236" s="1" t="s">
        <v>1068</v>
      </c>
      <c r="B16236" s="0" t="s">
        <v>98</v>
      </c>
      <c r="D16236" s="6" t="n">
        <f aca="false">Sens!D16233+Sens!D16235</f>
        <v>128.528</v>
      </c>
      <c r="E16236" s="6" t="n">
        <f aca="false">Sens!E16233+Sens!E16235</f>
        <v>155.237</v>
      </c>
      <c r="F16236" s="6" t="n">
        <f aca="false">Sens!F16233+Sens!F16235</f>
        <v>172.070611586633</v>
      </c>
      <c r="G16236" s="6" t="n">
        <f aca="false">Sens!G16233+Sens!G16235</f>
        <v>190.150765044615</v>
      </c>
      <c r="H16236" s="6" t="n">
        <f aca="false">Sens!H16233+Sens!H16235</f>
        <v>214.589765574929</v>
      </c>
      <c r="I16236" s="6" t="n">
        <f aca="false">Sens!I16233+Sens!I16235</f>
        <v>238.7337129776</v>
      </c>
      <c r="J16236" s="6" t="n">
        <f aca="false">Sens!J16233+Sens!J16235</f>
        <v>260.395243850157</v>
      </c>
      <c r="K16236" s="6" t="n">
        <f aca="false">Sens!K16233+Sens!K16235</f>
        <v>280.314270406387</v>
      </c>
    </row>
    <row r="16237" customFormat="false" ht="15" hidden="false" customHeight="false" outlineLevel="0" collapsed="false">
      <c r="A16237" s="26" t="s">
        <v>1069</v>
      </c>
      <c r="B16237" s="31" t="s">
        <v>98</v>
      </c>
      <c r="C16237" s="31"/>
      <c r="D16237" s="27" t="n">
        <f aca="false">Sens!D16236-Q!L23</f>
        <v>0</v>
      </c>
      <c r="E16237" s="27" t="n">
        <f aca="false">Sens!E16236-Q!M23</f>
        <v>0</v>
      </c>
      <c r="F16237" s="31"/>
      <c r="G16237" s="31"/>
      <c r="H16237" s="31"/>
      <c r="I16237" s="31"/>
      <c r="J16237" s="31"/>
      <c r="K16237" s="31"/>
    </row>
    <row r="16238" customFormat="false" ht="15" hidden="false" customHeight="false" outlineLevel="0" collapsed="false">
      <c r="A16238" s="1" t="s">
        <v>1070</v>
      </c>
      <c r="B16238" s="0" t="s">
        <v>168</v>
      </c>
      <c r="D16238" s="7" t="n">
        <f aca="false">Sens!D16236/Sens!D16229</f>
        <v>0.456219562408598</v>
      </c>
      <c r="E16238" s="7" t="n">
        <f aca="false">Sens!E16236/Sens!E16229</f>
        <v>0.467808184089272</v>
      </c>
      <c r="F16238" s="7" t="n">
        <f aca="false">Sens!F16236/Sens!F16229</f>
        <v>0.443217463236375</v>
      </c>
      <c r="G16238" s="7" t="n">
        <f aca="false">Sens!G16236/Sens!G16229</f>
        <v>0.434373215589812</v>
      </c>
      <c r="H16238" s="7" t="n">
        <f aca="false">Sens!H16236/Sens!H16229</f>
        <v>0.443775792116117</v>
      </c>
      <c r="I16238" s="7" t="n">
        <f aca="false">Sens!I16236/Sens!I16229</f>
        <v>0.454200281950407</v>
      </c>
      <c r="J16238" s="7" t="n">
        <f aca="false">Sens!J16236/Sens!J16229</f>
        <v>0.461010260228364</v>
      </c>
      <c r="K16238" s="7" t="n">
        <f aca="false">Sens!K16236/Sens!K16229</f>
        <v>0.465356534801564</v>
      </c>
    </row>
    <row r="16239" customFormat="false" ht="17.15" hidden="false" customHeight="false" outlineLevel="0" collapsed="false">
      <c r="A16239" s="1" t="s">
        <v>1071</v>
      </c>
      <c r="B16239" s="0" t="s">
        <v>98</v>
      </c>
      <c r="F16239" s="6" t="n">
        <f aca="false">Sens!F16254</f>
        <v>0</v>
      </c>
      <c r="G16239" s="6" t="n">
        <f aca="false">Sens!G16254</f>
        <v>0</v>
      </c>
      <c r="H16239" s="6" t="n">
        <f aca="false">Sens!H16254</f>
        <v>0</v>
      </c>
      <c r="I16239" s="6" t="n">
        <f aca="false">Sens!I16254</f>
        <v>0</v>
      </c>
      <c r="J16239" s="6" t="n">
        <f aca="false">Sens!J16254</f>
        <v>0</v>
      </c>
      <c r="K16239" s="6" t="n">
        <f aca="false">Sens!K16254</f>
        <v>0</v>
      </c>
      <c r="L16239" s="1" t="s">
        <v>1072</v>
      </c>
    </row>
    <row r="16240" customFormat="false" ht="17.15" hidden="false" customHeight="false" outlineLevel="0" collapsed="false">
      <c r="A16240" s="1" t="s">
        <v>1073</v>
      </c>
      <c r="B16240" s="0" t="s">
        <v>98</v>
      </c>
      <c r="D16240" s="6" t="n">
        <f aca="false">Sens!D16236</f>
        <v>128.528</v>
      </c>
      <c r="E16240" s="6" t="n">
        <f aca="false">Sens!E16236</f>
        <v>155.237</v>
      </c>
      <c r="F16240" s="6" t="n">
        <f aca="false">Sens!F16236+Sens!F16239</f>
        <v>172.070611586633</v>
      </c>
      <c r="G16240" s="6" t="n">
        <f aca="false">Sens!G16236+Sens!G16239</f>
        <v>190.150765044615</v>
      </c>
      <c r="H16240" s="6" t="n">
        <f aca="false">Sens!H16236+Sens!H16239</f>
        <v>214.589765574929</v>
      </c>
      <c r="I16240" s="6" t="n">
        <f aca="false">Sens!I16236+Sens!I16239</f>
        <v>238.7337129776</v>
      </c>
      <c r="J16240" s="6" t="n">
        <f aca="false">Sens!J16236+Sens!J16239</f>
        <v>260.395243850157</v>
      </c>
      <c r="K16240" s="6" t="n">
        <f aca="false">Sens!K16236+Sens!K16239</f>
        <v>280.314270406387</v>
      </c>
    </row>
    <row r="16241" customFormat="false" ht="17.15" hidden="false" customHeight="false" outlineLevel="0" collapsed="false">
      <c r="A16241" s="1" t="s">
        <v>1074</v>
      </c>
      <c r="B16241" s="0" t="s">
        <v>98</v>
      </c>
      <c r="E16241" s="6" t="n">
        <f aca="false">Sens!E16184</f>
        <v>16.3054059770833</v>
      </c>
      <c r="F16241" s="6" t="n">
        <f aca="false">Sens!F16184</f>
        <v>24.549027677</v>
      </c>
      <c r="G16241" s="6" t="n">
        <f aca="false">Sens!G16184</f>
        <v>29.185632823</v>
      </c>
      <c r="H16241" s="6" t="n">
        <f aca="false">Sens!H16184</f>
        <v>31.677584917</v>
      </c>
      <c r="I16241" s="6" t="n">
        <f aca="false">Sens!I16184</f>
        <v>32.2298649310278</v>
      </c>
      <c r="J16241" s="6" t="n">
        <f aca="false">Sens!J16184</f>
        <v>33.6162004764444</v>
      </c>
      <c r="K16241" s="6" t="n">
        <f aca="false">Sens!K16184</f>
        <v>36.1070960499167</v>
      </c>
    </row>
    <row r="16242" customFormat="false" ht="17.15" hidden="false" customHeight="false" outlineLevel="0" collapsed="false">
      <c r="A16242" s="1" t="s">
        <v>1075</v>
      </c>
      <c r="B16242" s="0" t="s">
        <v>98</v>
      </c>
      <c r="E16242" s="6" t="n">
        <f aca="false">Sens!E16266</f>
        <v>22.2285940229167</v>
      </c>
      <c r="F16242" s="6" t="n">
        <f aca="false">Sens!F16266</f>
        <v>37.458367358225</v>
      </c>
      <c r="G16242" s="6" t="n">
        <f aca="false">Sens!G16266</f>
        <v>37.9209152260188</v>
      </c>
      <c r="H16242" s="6" t="n">
        <f aca="false">Sens!H16266</f>
        <v>38.9188775179148</v>
      </c>
      <c r="I16242" s="6" t="n">
        <f aca="false">Sens!I16266</f>
        <v>40.370990629089</v>
      </c>
      <c r="J16242" s="6" t="n">
        <f aca="false">Sens!J16266</f>
        <v>42.1799210747553</v>
      </c>
      <c r="K16242" s="6" t="n">
        <f aca="false">Sens!K16266</f>
        <v>44.2480713451083</v>
      </c>
    </row>
    <row r="16243" customFormat="false" ht="17.15" hidden="false" customHeight="false" outlineLevel="0" collapsed="false">
      <c r="A16243" s="1" t="s">
        <v>1076</v>
      </c>
      <c r="B16243" s="0" t="s">
        <v>98</v>
      </c>
      <c r="D16243" s="6" t="n">
        <f aca="false">Q!L27</f>
        <v>-4.901</v>
      </c>
      <c r="E16243" s="6" t="n">
        <f aca="false">Q!M27</f>
        <v>10.697</v>
      </c>
      <c r="F16243" s="6" t="n">
        <f aca="false">Q!$I$27+oie_f*(q_per_yr-1)/q_per_yr</f>
        <v>-0.862</v>
      </c>
      <c r="G16243" s="6" t="n">
        <f aca="false">oie_f</f>
        <v>-1.2</v>
      </c>
      <c r="H16243" s="6" t="n">
        <f aca="false">oie_f</f>
        <v>-1.2</v>
      </c>
      <c r="I16243" s="6" t="n">
        <f aca="false">oie_f</f>
        <v>-1.2</v>
      </c>
      <c r="J16243" s="6" t="n">
        <f aca="false">oie_f</f>
        <v>-1.2</v>
      </c>
      <c r="K16243" s="6" t="n">
        <f aca="false">oie_f</f>
        <v>-1.2</v>
      </c>
      <c r="L16243" s="12" t="s">
        <v>1077</v>
      </c>
    </row>
    <row r="16244" customFormat="false" ht="15" hidden="false" customHeight="false" outlineLevel="0" collapsed="false">
      <c r="A16244" s="1" t="s">
        <v>1078</v>
      </c>
      <c r="B16244" s="0" t="s">
        <v>98</v>
      </c>
      <c r="D16244" s="6" t="n">
        <f aca="false">Sens!D16236+Sens!D16243</f>
        <v>123.627</v>
      </c>
      <c r="E16244" s="6" t="n">
        <f aca="false">Sens!E16236+Sens!E16243</f>
        <v>165.934</v>
      </c>
      <c r="F16244" s="6" t="n">
        <f aca="false">Sens!F16236+Sens!F16243</f>
        <v>171.208611586633</v>
      </c>
      <c r="G16244" s="6" t="n">
        <f aca="false">Sens!G16236+Sens!G16243</f>
        <v>188.950765044615</v>
      </c>
      <c r="H16244" s="6" t="n">
        <f aca="false">Sens!H16236+Sens!H16243</f>
        <v>213.389765574929</v>
      </c>
      <c r="I16244" s="6" t="n">
        <f aca="false">Sens!I16236+Sens!I16243</f>
        <v>237.5337129776</v>
      </c>
      <c r="J16244" s="6" t="n">
        <f aca="false">Sens!J16236+Sens!J16243</f>
        <v>259.195243850157</v>
      </c>
      <c r="K16244" s="6" t="n">
        <f aca="false">Sens!K16236+Sens!K16243</f>
        <v>279.114270406387</v>
      </c>
    </row>
    <row r="16245" customFormat="false" ht="15" hidden="false" customHeight="false" outlineLevel="0" collapsed="false">
      <c r="A16245" s="1" t="s">
        <v>1079</v>
      </c>
      <c r="B16245" s="0" t="s">
        <v>98</v>
      </c>
      <c r="D16245" s="6" t="n">
        <f aca="false">Q!L29</f>
        <v>21.795</v>
      </c>
      <c r="E16245" s="6" t="n">
        <f aca="false">Q!M29</f>
        <v>32.185</v>
      </c>
      <c r="F16245" s="6" t="n">
        <f aca="false">Q!$I$29+(Sens!F16244-Q!$I$28)*tax_f</f>
        <v>34.3751223173267</v>
      </c>
      <c r="G16245" s="6" t="n">
        <f aca="false">Sens!G16244*tax_f</f>
        <v>37.790153008923</v>
      </c>
      <c r="H16245" s="6" t="n">
        <f aca="false">Sens!H16244*tax_f</f>
        <v>42.6779531149857</v>
      </c>
      <c r="I16245" s="6" t="n">
        <f aca="false">Sens!I16244*tax_f</f>
        <v>47.50674259552</v>
      </c>
      <c r="J16245" s="6" t="n">
        <f aca="false">Sens!J16244*tax_f</f>
        <v>51.8390487700315</v>
      </c>
      <c r="K16245" s="6" t="n">
        <f aca="false">Sens!K16244*tax_f</f>
        <v>55.8228540812774</v>
      </c>
    </row>
    <row r="16246" customFormat="false" ht="15" hidden="false" customHeight="false" outlineLevel="0" collapsed="false">
      <c r="A16246" s="1" t="s">
        <v>1080</v>
      </c>
      <c r="B16246" s="0" t="s">
        <v>98</v>
      </c>
      <c r="D16246" s="6" t="n">
        <f aca="false">Sens!D16244-Sens!D16245</f>
        <v>101.832</v>
      </c>
      <c r="E16246" s="6" t="n">
        <f aca="false">Sens!E16244-Sens!E16245</f>
        <v>133.749</v>
      </c>
      <c r="F16246" s="6" t="n">
        <f aca="false">Sens!F16244-Sens!F16245</f>
        <v>136.833489269307</v>
      </c>
      <c r="G16246" s="6" t="n">
        <f aca="false">Sens!G16244-Sens!G16245</f>
        <v>151.160612035692</v>
      </c>
      <c r="H16246" s="6" t="n">
        <f aca="false">Sens!H16244-Sens!H16245</f>
        <v>170.711812459943</v>
      </c>
      <c r="I16246" s="6" t="n">
        <f aca="false">Sens!I16244-Sens!I16245</f>
        <v>190.02697038208</v>
      </c>
      <c r="J16246" s="6" t="n">
        <f aca="false">Sens!J16244-Sens!J16245</f>
        <v>207.356195080126</v>
      </c>
      <c r="K16246" s="6" t="n">
        <f aca="false">Sens!K16244-Sens!K16245</f>
        <v>223.29141632511</v>
      </c>
    </row>
    <row r="16247" customFormat="false" ht="17.15" hidden="false" customHeight="false" outlineLevel="0" collapsed="false">
      <c r="A16247" s="1" t="s">
        <v>1081</v>
      </c>
      <c r="B16247" s="1" t="s">
        <v>81</v>
      </c>
      <c r="D16247" s="15" t="n">
        <f aca="false">Q!L31</f>
        <v>7.465</v>
      </c>
      <c r="E16247" s="15" t="n">
        <f aca="false">Q!M31</f>
        <v>7.453</v>
      </c>
      <c r="F16247" s="15" t="n">
        <f aca="false">Sens!F16291</f>
        <v>7.4735</v>
      </c>
      <c r="G16247" s="15" t="n">
        <f aca="false">Sens!G16291</f>
        <v>7.49981593415111</v>
      </c>
      <c r="H16247" s="15" t="n">
        <f aca="false">Sens!H16291</f>
        <v>7.50883180733101</v>
      </c>
      <c r="I16247" s="15" t="n">
        <f aca="false">Sens!I16291</f>
        <v>7.52051317138648</v>
      </c>
      <c r="J16247" s="15" t="n">
        <f aca="false">Sens!J16291</f>
        <v>7.53466258254895</v>
      </c>
      <c r="K16247" s="15" t="n">
        <f aca="false">Sens!K16291</f>
        <v>7.55109722251421</v>
      </c>
    </row>
    <row r="16248" customFormat="false" ht="17.15" hidden="false" customHeight="false" outlineLevel="0" collapsed="false">
      <c r="A16248" s="0" t="s">
        <v>1082</v>
      </c>
      <c r="B16248" s="0" t="s">
        <v>75</v>
      </c>
      <c r="D16248" s="8" t="n">
        <f aca="false">Sens!D16246/Sens!D16247</f>
        <v>13.641259209645</v>
      </c>
      <c r="E16248" s="8" t="n">
        <f aca="false">Sens!E16246/Sens!E16247</f>
        <v>17.9456594659869</v>
      </c>
      <c r="F16248" s="8" t="n">
        <f aca="false">Sens!F16246/Sens!F16247</f>
        <v>18.3091575927352</v>
      </c>
      <c r="G16248" s="8" t="n">
        <f aca="false">Sens!G16246/Sens!G16247</f>
        <v>20.1552429236787</v>
      </c>
      <c r="H16248" s="8" t="n">
        <f aca="false">Sens!H16246/Sens!H16247</f>
        <v>22.7348030745973</v>
      </c>
      <c r="I16248" s="8" t="n">
        <f aca="false">Sens!I16246/Sens!I16247</f>
        <v>25.2678196356442</v>
      </c>
      <c r="J16248" s="8" t="n">
        <f aca="false">Sens!J16246/Sens!J16247</f>
        <v>27.5203027087615</v>
      </c>
      <c r="K16248" s="8" t="n">
        <f aca="false">Sens!K16246/Sens!K16247</f>
        <v>29.5707245907718</v>
      </c>
      <c r="L16248" s="1" t="s">
        <v>1083</v>
      </c>
    </row>
    <row r="16249" customFormat="false" ht="17.15" hidden="false" customHeight="false" outlineLevel="0" collapsed="false">
      <c r="A16249" s="1" t="s">
        <v>1084</v>
      </c>
      <c r="B16249" s="0" t="s">
        <v>98</v>
      </c>
      <c r="D16249" s="6" t="n">
        <f aca="false">Sens!D16246</f>
        <v>101.832</v>
      </c>
      <c r="E16249" s="6" t="n">
        <f aca="false">Sens!E16246</f>
        <v>133.749</v>
      </c>
      <c r="F16249" s="6" t="n">
        <f aca="false">Sens!F16246+Sens!F16239*(1-tax_f)</f>
        <v>136.833489269307</v>
      </c>
      <c r="G16249" s="6" t="n">
        <f aca="false">Sens!G16246+Sens!G16239*(1-tax_f)</f>
        <v>151.160612035692</v>
      </c>
      <c r="H16249" s="6" t="n">
        <f aca="false">Sens!H16246+Sens!H16239*(1-tax_f)</f>
        <v>170.711812459943</v>
      </c>
      <c r="I16249" s="6" t="n">
        <f aca="false">Sens!I16246+Sens!I16239*(1-tax_f)</f>
        <v>190.02697038208</v>
      </c>
      <c r="J16249" s="6" t="n">
        <f aca="false">Sens!J16246+Sens!J16239*(1-tax_f)</f>
        <v>207.356195080126</v>
      </c>
      <c r="K16249" s="6" t="n">
        <f aca="false">Sens!K16246+Sens!K16239*(1-tax_f)</f>
        <v>223.29141632511</v>
      </c>
    </row>
    <row r="16250" customFormat="false" ht="17.15" hidden="false" customHeight="false" outlineLevel="0" collapsed="false">
      <c r="A16250" s="0" t="s">
        <v>1085</v>
      </c>
      <c r="B16250" s="0" t="s">
        <v>75</v>
      </c>
      <c r="D16250" s="8" t="n">
        <f aca="false">Sens!D16249/Sens!D16247</f>
        <v>13.641259209645</v>
      </c>
      <c r="E16250" s="8" t="n">
        <f aca="false">Sens!E16249/Sens!E16247</f>
        <v>17.9456594659869</v>
      </c>
      <c r="F16250" s="8" t="n">
        <f aca="false">Sens!F16249/Sens!F16247</f>
        <v>18.3091575927352</v>
      </c>
      <c r="G16250" s="8" t="n">
        <f aca="false">Sens!G16249/Sens!G16247</f>
        <v>20.1552429236787</v>
      </c>
      <c r="H16250" s="8" t="n">
        <f aca="false">Sens!H16249/Sens!H16247</f>
        <v>22.7348030745973</v>
      </c>
      <c r="I16250" s="8" t="n">
        <f aca="false">Sens!I16249/Sens!I16247</f>
        <v>25.2678196356442</v>
      </c>
      <c r="J16250" s="8" t="n">
        <f aca="false">Sens!J16249/Sens!J16247</f>
        <v>27.5203027087615</v>
      </c>
      <c r="K16250" s="8" t="n">
        <f aca="false">Sens!K16249/Sens!K16247</f>
        <v>29.5707245907718</v>
      </c>
      <c r="L16250" s="1" t="s">
        <v>1086</v>
      </c>
    </row>
    <row r="16251" customFormat="false" ht="17.15" hidden="false" customHeight="false" outlineLevel="0" collapsed="false">
      <c r="A16251" s="0" t="s">
        <v>1087</v>
      </c>
      <c r="B16251" s="0" t="s">
        <v>168</v>
      </c>
      <c r="E16251" s="7" t="n">
        <f aca="false">Sens!E16250/Sens!D16250-1</f>
        <v>0.315542736208578</v>
      </c>
      <c r="F16251" s="7" t="n">
        <f aca="false">Sens!F16250/Sens!E16250-1</f>
        <v>0.0202554900496867</v>
      </c>
      <c r="G16251" s="7" t="n">
        <f aca="false">Sens!G16250/Sens!F16250-1</f>
        <v>0.100828523736997</v>
      </c>
      <c r="H16251" s="7" t="n">
        <f aca="false">Sens!H16250/Sens!G16250-1</f>
        <v>0.127984572584239</v>
      </c>
      <c r="I16251" s="7" t="n">
        <f aca="false">Sens!I16250/Sens!H16250-1</f>
        <v>0.111415812696314</v>
      </c>
      <c r="J16251" s="7" t="n">
        <f aca="false">Sens!J16250/Sens!I16250-1</f>
        <v>0.0891443387517232</v>
      </c>
      <c r="K16251" s="7" t="n">
        <f aca="false">Sens!K16250/Sens!J16250-1</f>
        <v>0.0745057895514181</v>
      </c>
    </row>
    <row r="16252" customFormat="false" ht="17.15" hidden="false" customHeight="false" outlineLevel="0" collapsed="false">
      <c r="A16252" s="0" t="s">
        <v>1007</v>
      </c>
      <c r="B16252" s="0" t="s">
        <v>98</v>
      </c>
      <c r="E16252" s="6" t="n">
        <f aca="false">Sens!E16193</f>
        <v>5.25</v>
      </c>
      <c r="F16252" s="6" t="n">
        <f aca="false">Sens!F16193</f>
        <v>12</v>
      </c>
      <c r="G16252" s="6" t="n">
        <f aca="false">Sens!G16193</f>
        <v>18</v>
      </c>
      <c r="H16252" s="6" t="n">
        <f aca="false">Sens!H16193</f>
        <v>24</v>
      </c>
      <c r="I16252" s="6" t="n">
        <f aca="false">Sens!I16193</f>
        <v>28.5</v>
      </c>
      <c r="J16252" s="6" t="n">
        <f aca="false">Sens!J16193</f>
        <v>31.5</v>
      </c>
      <c r="K16252" s="6" t="n">
        <f aca="false">Sens!K16193</f>
        <v>34.5</v>
      </c>
    </row>
    <row r="16253" customFormat="false" ht="17.15" hidden="false" customHeight="false" outlineLevel="0" collapsed="false">
      <c r="A16253" s="1" t="s">
        <v>1008</v>
      </c>
      <c r="B16253" s="0" t="s">
        <v>98</v>
      </c>
      <c r="F16253" s="6" t="n">
        <f aca="false">MAX(0,((Sens!E16153+Sens!F16153)/2-(shadow_base*(Sens!$D$16153+Sens!$E$16153)/2+(1-shadow_base)*Sens!$E$16153))*Sens!F16162/1000-(Sens!F16252-Sens!$E$16252)*Sens!F16232)</f>
        <v>2.46526205645066</v>
      </c>
      <c r="G16253" s="6" t="n">
        <f aca="false">MAX(0,((Sens!F16153+Sens!G16153)/2-(shadow_base*(Sens!$D$16153+Sens!$E$16153)/2+(1-shadow_base)*Sens!$E$16153))*Sens!G16162/1000-(Sens!G16252-Sens!$E$16252)*Sens!G16232)</f>
        <v>2.26142522258762</v>
      </c>
      <c r="H16253" s="6" t="n">
        <f aca="false">MAX(0,((Sens!G16153+Sens!H16153)/2-(shadow_base*(Sens!$D$16153+Sens!$E$16153)/2+(1-shadow_base)*Sens!$E$16153))*Sens!H16162/1000-(Sens!H16252-Sens!$E$16252)*Sens!H16232)</f>
        <v>0.466127630290755</v>
      </c>
      <c r="I16253" s="6" t="n">
        <f aca="false">MAX(0,((Sens!H16153+Sens!I16153)/2-(shadow_base*(Sens!$D$16153+Sens!$E$16153)/2+(1-shadow_base)*Sens!$E$16153))*Sens!I16162/1000-(Sens!I16252-Sens!$E$16252)*Sens!I16232)</f>
        <v>0</v>
      </c>
      <c r="J16253" s="6" t="n">
        <f aca="false">MAX(0,((Sens!I16153+Sens!J16153)/2-(shadow_base*(Sens!$D$16153+Sens!$E$16153)/2+(1-shadow_base)*Sens!$E$16153))*Sens!J16162/1000-(Sens!J16252-Sens!$E$16252)*Sens!J16232)</f>
        <v>0</v>
      </c>
      <c r="K16253" s="6" t="n">
        <f aca="false">MAX(0,((Sens!J16153+Sens!K16153)/2-(shadow_base*(Sens!$D$16153+Sens!$E$16153)/2+(1-shadow_base)*Sens!$E$16153))*Sens!K16162/1000-(Sens!K16252-Sens!$E$16252)*Sens!K16232)</f>
        <v>0</v>
      </c>
      <c r="L16253" s="1" t="s">
        <v>1009</v>
      </c>
    </row>
    <row r="16254" customFormat="false" ht="17.15" hidden="false" customHeight="false" outlineLevel="0" collapsed="false">
      <c r="A16254" s="1" t="s">
        <v>1010</v>
      </c>
      <c r="B16254" s="0" t="s">
        <v>98</v>
      </c>
      <c r="F16254" s="6" t="n">
        <f aca="false">IF(1=2,1,0)*Sens!F16253</f>
        <v>0</v>
      </c>
      <c r="G16254" s="6" t="n">
        <f aca="false">IF(1=2,1,0)*Sens!G16253</f>
        <v>0</v>
      </c>
      <c r="H16254" s="6" t="n">
        <f aca="false">IF(1=2,1,0)*Sens!H16253</f>
        <v>0</v>
      </c>
      <c r="I16254" s="6" t="n">
        <f aca="false">IF(1=2,1,0)*Sens!I16253</f>
        <v>0</v>
      </c>
      <c r="J16254" s="6" t="n">
        <f aca="false">IF(1=2,1,0)*Sens!J16253</f>
        <v>0</v>
      </c>
      <c r="K16254" s="6" t="n">
        <f aca="false">IF(1=2,1,0)*Sens!K16253</f>
        <v>0</v>
      </c>
    </row>
    <row r="16255" customFormat="false" ht="17.15" hidden="false" customHeight="false" outlineLevel="0" collapsed="false">
      <c r="A16255" s="0" t="s">
        <v>1011</v>
      </c>
      <c r="B16255" s="0" t="s">
        <v>98</v>
      </c>
      <c r="F16255" s="6" t="n">
        <f aca="false">Sens!F16172+Sens!F16252*Sens!F16232+Sens!F16254-Sens!F16173-Sens!F16184</f>
        <v>5.84503529754946</v>
      </c>
      <c r="G16255" s="6" t="n">
        <f aca="false">Sens!G16172+Sens!G16252*Sens!G16232+Sens!G16254-Sens!G16173-Sens!G16184</f>
        <v>9.08029992736985</v>
      </c>
      <c r="H16255" s="6" t="n">
        <f aca="false">Sens!H16172+Sens!H16252*Sens!H16232+Sens!H16254-Sens!H16173-Sens!H16184</f>
        <v>11.8634600648579</v>
      </c>
      <c r="I16255" s="6" t="n">
        <f aca="false">Sens!I16172+Sens!I16252*Sens!I16232+Sens!I16254-Sens!I16173-Sens!I16184</f>
        <v>14.8614920024289</v>
      </c>
      <c r="J16255" s="6" t="n">
        <f aca="false">Sens!J16172+Sens!J16252*Sens!J16232+Sens!J16254-Sens!J16173-Sens!J16184</f>
        <v>16.6695445622153</v>
      </c>
      <c r="K16255" s="6" t="n">
        <f aca="false">Sens!K16172+Sens!K16252*Sens!K16232+Sens!K16254-Sens!K16173-Sens!K16184</f>
        <v>18.8345326593174</v>
      </c>
    </row>
    <row r="16256" customFormat="false" ht="17.15" hidden="false" customHeight="false" outlineLevel="0" collapsed="false">
      <c r="A16256" s="0" t="s">
        <v>1012</v>
      </c>
      <c r="B16256" s="0" t="s">
        <v>98</v>
      </c>
      <c r="E16256" s="6" t="n">
        <f aca="false">Sens!E16152*(cxit_open+self_build*tk_cxfac)/1000*ai_net_open</f>
        <v>126.6980382</v>
      </c>
      <c r="F16256" s="6" t="n">
        <f aca="false">Sens!E16256+Sens!F16181-Sens!F16184</f>
        <v>131.822683147</v>
      </c>
      <c r="G16256" s="6" t="n">
        <f aca="false">Sens!F16256+Sens!G16181-Sens!G16184</f>
        <v>136.850809452</v>
      </c>
      <c r="H16256" s="6" t="n">
        <f aca="false">Sens!G16256+Sens!H16181-Sens!H16184</f>
        <v>105.173224535</v>
      </c>
      <c r="I16256" s="6" t="n">
        <f aca="false">Sens!H16256+Sens!I16181-Sens!I16184</f>
        <v>102.104104363972</v>
      </c>
      <c r="J16256" s="6" t="n">
        <f aca="false">Sens!I16256+Sens!J16181-Sens!J16184</f>
        <v>112.526579647528</v>
      </c>
      <c r="K16256" s="6" t="n">
        <f aca="false">Sens!J16256+Sens!K16181-Sens!K16184</f>
        <v>163.901717877611</v>
      </c>
      <c r="L16256" s="1" t="s">
        <v>1013</v>
      </c>
    </row>
    <row r="16257" customFormat="false" ht="17.15" hidden="false" customHeight="false" outlineLevel="0" collapsed="false">
      <c r="A16257" s="0" t="s">
        <v>1014</v>
      </c>
      <c r="B16257" s="0" t="s">
        <v>168</v>
      </c>
      <c r="F16257" s="7" t="n">
        <f aca="false">Sens!F16255*(1-tax_f)/((Sens!E16256+Sens!F16256)/2)</f>
        <v>0.0361752683782988</v>
      </c>
      <c r="G16257" s="7" t="n">
        <f aca="false">Sens!G16255*(1-tax_f)/((Sens!F16256+Sens!G16256)/2)</f>
        <v>0.0540748539919261</v>
      </c>
      <c r="H16257" s="7" t="n">
        <f aca="false">Sens!H16255*(1-tax_f)/((Sens!G16256+Sens!H16256)/2)</f>
        <v>0.0784283105734539</v>
      </c>
      <c r="I16257" s="7" t="n">
        <f aca="false">Sens!I16255*(1-tax_f)/((Sens!H16256+Sens!I16256)/2)</f>
        <v>0.114717742312648</v>
      </c>
      <c r="J16257" s="7" t="n">
        <f aca="false">Sens!J16255*(1-tax_f)/((Sens!I16256+Sens!J16256)/2)</f>
        <v>0.12426588221708</v>
      </c>
      <c r="K16257" s="7" t="n">
        <f aca="false">Sens!K16255*(1-tax_f)/((Sens!J16256+Sens!K16256)/2)</f>
        <v>0.109016524446696</v>
      </c>
    </row>
    <row r="16258" customFormat="false" ht="17.15" hidden="false" customHeight="false" outlineLevel="0" collapsed="false">
      <c r="A16258" s="1" t="s">
        <v>1015</v>
      </c>
      <c r="B16258" s="0" t="s">
        <v>168</v>
      </c>
      <c r="F16258" s="7" t="n">
        <f aca="false">(Sens!F16255-Sens!F16254)*(1-tax_f)/((Sens!E16256+Sens!F16256)/2)</f>
        <v>0.0361752683782988</v>
      </c>
      <c r="G16258" s="7" t="n">
        <f aca="false">(Sens!G16255-Sens!G16254)*(1-tax_f)/((Sens!F16256+Sens!G16256)/2)</f>
        <v>0.0540748539919261</v>
      </c>
      <c r="H16258" s="7" t="n">
        <f aca="false">(Sens!H16255-Sens!H16254)*(1-tax_f)/((Sens!G16256+Sens!H16256)/2)</f>
        <v>0.0784283105734539</v>
      </c>
      <c r="I16258" s="7" t="n">
        <f aca="false">(Sens!I16255-Sens!I16254)*(1-tax_f)/((Sens!H16256+Sens!I16256)/2)</f>
        <v>0.114717742312648</v>
      </c>
      <c r="J16258" s="7" t="n">
        <f aca="false">(Sens!J16255-Sens!J16254)*(1-tax_f)/((Sens!I16256+Sens!J16256)/2)</f>
        <v>0.12426588221708</v>
      </c>
      <c r="K16258" s="7" t="n">
        <f aca="false">(Sens!K16255-Sens!K16254)*(1-tax_f)/((Sens!J16256+Sens!K16256)/2)</f>
        <v>0.109016524446696</v>
      </c>
    </row>
    <row r="16259" customFormat="false" ht="17.15" hidden="false" customHeight="false" outlineLevel="0" collapsed="false">
      <c r="A16259" s="1" t="s">
        <v>1016</v>
      </c>
      <c r="B16259" s="0" t="s">
        <v>168</v>
      </c>
      <c r="F16259" s="7" t="n">
        <f aca="false">(Sens!F16255-Sens!F16254+Sens!F16253)*(1-tax_f)/((Sens!E16256+Sens!F16256)/2)</f>
        <v>0.0514329207234146</v>
      </c>
      <c r="G16259" s="7" t="n">
        <f aca="false">(Sens!G16255-Sens!G16254+Sens!G16253)*(1-tax_f)/((Sens!F16256+Sens!G16256)/2)</f>
        <v>0.0675420565847049</v>
      </c>
      <c r="H16259" s="7" t="n">
        <f aca="false">(Sens!H16255-Sens!H16254+Sens!H16253)*(1-tax_f)/((Sens!G16256+Sens!H16256)/2)</f>
        <v>0.0815098401066128</v>
      </c>
      <c r="I16259" s="7" t="n">
        <f aca="false">(Sens!I16255-Sens!I16254+Sens!I16253)*(1-tax_f)/((Sens!H16256+Sens!I16256)/2)</f>
        <v>0.114717742312648</v>
      </c>
      <c r="J16259" s="7" t="n">
        <f aca="false">(Sens!J16255-Sens!J16254+Sens!J16253)*(1-tax_f)/((Sens!I16256+Sens!J16256)/2)</f>
        <v>0.12426588221708</v>
      </c>
      <c r="K16259" s="7" t="n">
        <f aca="false">(Sens!K16255-Sens!K16254+Sens!K16253)*(1-tax_f)/((Sens!J16256+Sens!K16256)/2)</f>
        <v>0.109016524446696</v>
      </c>
    </row>
    <row r="16260" customFormat="false" ht="17.15" hidden="false" customHeight="false" outlineLevel="0" collapsed="false">
      <c r="A16260" s="1" t="s">
        <v>1017</v>
      </c>
      <c r="B16260" s="0" t="s">
        <v>168</v>
      </c>
      <c r="F16260" s="7" t="n">
        <f aca="false">Sens!F16185*(1-tax_f)/(Sens!F16171*(Sens!E16256+Sens!F16256)/2)</f>
        <v>0.141245243742451</v>
      </c>
      <c r="G16260" s="7" t="n">
        <f aca="false">Sens!G16185*(1-tax_f)/(Sens!G16171*(Sens!F16256+Sens!G16256)/2)</f>
        <v>0.160533993594925</v>
      </c>
      <c r="H16260" s="7" t="n">
        <f aca="false">Sens!H16185*(1-tax_f)/(Sens!H16171*(Sens!G16256+Sens!H16256)/2)</f>
        <v>0.186616513125234</v>
      </c>
      <c r="I16260" s="7" t="n">
        <f aca="false">Sens!I16185*(1-tax_f)/(Sens!I16171*(Sens!H16256+Sens!I16256)/2)</f>
        <v>0.226977934093253</v>
      </c>
      <c r="J16260" s="7" t="n">
        <f aca="false">Sens!J16185*(1-tax_f)/(Sens!J16171*(Sens!I16256+Sens!J16256)/2)</f>
        <v>0.228324673059243</v>
      </c>
      <c r="K16260" s="7" t="n">
        <f aca="false">Sens!K16185*(1-tax_f)/(Sens!K16171*(Sens!J16256+Sens!K16256)/2)</f>
        <v>0.192874926809674</v>
      </c>
    </row>
    <row r="16261" customFormat="false" ht="17.15" hidden="false" customHeight="false" outlineLevel="0" collapsed="false">
      <c r="A16261" s="0" t="s">
        <v>1018</v>
      </c>
      <c r="B16261" s="0" t="s">
        <v>253</v>
      </c>
      <c r="F16261" s="7" t="n">
        <f aca="false">Sens!F16257-wacc</f>
        <v>-0.0667613225672985</v>
      </c>
      <c r="G16261" s="7" t="n">
        <f aca="false">Sens!G16257-wacc</f>
        <v>-0.0488617369536712</v>
      </c>
      <c r="H16261" s="7" t="n">
        <f aca="false">Sens!H16257-wacc</f>
        <v>-0.0245082803721434</v>
      </c>
      <c r="I16261" s="7" t="n">
        <f aca="false">Sens!I16257-wacc</f>
        <v>0.0117811513670505</v>
      </c>
      <c r="J16261" s="7" t="n">
        <f aca="false">Sens!J16257-wacc</f>
        <v>0.0213292912714831</v>
      </c>
      <c r="K16261" s="7" t="n">
        <f aca="false">Sens!K16257-wacc</f>
        <v>0.0060799335010986</v>
      </c>
    </row>
    <row r="16262" customFormat="false" ht="17.15" hidden="false" customHeight="false" outlineLevel="0" collapsed="false">
      <c r="A16262" s="0" t="s">
        <v>1019</v>
      </c>
      <c r="B16262" s="0" t="s">
        <v>98</v>
      </c>
      <c r="F16262" s="6" t="n">
        <f aca="false">Sens!F16255*(1-tax_f)-wacc*(Sens!E16256+Sens!F16256)/2</f>
        <v>-8.62959263408887</v>
      </c>
      <c r="G16262" s="6" t="n">
        <f aca="false">Sens!G16255*(1-tax_f)-wacc*(Sens!F16256+Sens!G16256)/2</f>
        <v>-6.56392676089823</v>
      </c>
      <c r="H16262" s="6" t="n">
        <f aca="false">Sens!H16255*(1-tax_f)-wacc*(Sens!G16256+Sens!H16256)/2</f>
        <v>-2.96579644087528</v>
      </c>
      <c r="I16262" s="6" t="n">
        <f aca="false">Sens!I16255*(1-tax_f)-wacc*(Sens!H16256+Sens!I16256)/2</f>
        <v>1.22098279335835</v>
      </c>
      <c r="J16262" s="6" t="n">
        <f aca="false">Sens!J16255*(1-tax_f)-wacc*(Sens!I16256+Sens!J16256)/2</f>
        <v>2.28896018753947</v>
      </c>
      <c r="K16262" s="6" t="n">
        <f aca="false">Sens!K16255*(1-tax_f)-wacc*(Sens!J16256+Sens!K16256)/2</f>
        <v>0.840332833387372</v>
      </c>
    </row>
    <row r="16263" customFormat="false" ht="17.15" hidden="false" customHeight="false" outlineLevel="0" collapsed="false">
      <c r="A16263" s="3" t="s">
        <v>2012</v>
      </c>
    </row>
    <row r="16264" customFormat="false" ht="15" hidden="false" customHeight="false" outlineLevel="0" collapsed="false">
      <c r="A16264" s="4" t="s">
        <v>43</v>
      </c>
      <c r="B16264" s="4" t="s">
        <v>65</v>
      </c>
      <c r="C16264" s="23" t="s">
        <v>942</v>
      </c>
      <c r="D16264" s="23" t="s">
        <v>943</v>
      </c>
      <c r="E16264" s="23" t="s">
        <v>944</v>
      </c>
      <c r="F16264" s="23" t="s">
        <v>945</v>
      </c>
      <c r="G16264" s="23" t="s">
        <v>946</v>
      </c>
      <c r="H16264" s="23" t="s">
        <v>947</v>
      </c>
      <c r="I16264" s="23" t="s">
        <v>948</v>
      </c>
      <c r="J16264" s="23" t="s">
        <v>949</v>
      </c>
      <c r="K16264" s="23" t="s">
        <v>950</v>
      </c>
      <c r="L16264" s="4" t="s">
        <v>47</v>
      </c>
    </row>
    <row r="16265" customFormat="false" ht="15" hidden="false" customHeight="false" outlineLevel="0" collapsed="false">
      <c r="A16265" s="1" t="s">
        <v>1080</v>
      </c>
      <c r="B16265" s="0" t="s">
        <v>98</v>
      </c>
      <c r="F16265" s="6" t="n">
        <f aca="false">Sens!F16246</f>
        <v>136.833489269307</v>
      </c>
      <c r="G16265" s="6" t="n">
        <f aca="false">Sens!G16246</f>
        <v>151.160612035692</v>
      </c>
      <c r="H16265" s="6" t="n">
        <f aca="false">Sens!H16246</f>
        <v>170.711812459943</v>
      </c>
      <c r="I16265" s="6" t="n">
        <f aca="false">Sens!I16246</f>
        <v>190.02697038208</v>
      </c>
      <c r="J16265" s="6" t="n">
        <f aca="false">Sens!J16246</f>
        <v>207.356195080126</v>
      </c>
      <c r="K16265" s="6" t="n">
        <f aca="false">Sens!K16246</f>
        <v>223.29141632511</v>
      </c>
    </row>
    <row r="16266" customFormat="false" ht="17.15" hidden="false" customHeight="false" outlineLevel="0" collapsed="false">
      <c r="A16266" s="1" t="s">
        <v>1102</v>
      </c>
      <c r="B16266" s="0" t="s">
        <v>98</v>
      </c>
      <c r="E16266" s="6" t="n">
        <f aca="false">Q!M38-Sens!E16184</f>
        <v>22.2285940229167</v>
      </c>
      <c r="F16266" s="6" t="n">
        <f aca="false">Sens!E16266*(1-1/life_nonai)+(Sens!F16274+Sens!F16275)/life_nonai</f>
        <v>37.458367358225</v>
      </c>
      <c r="G16266" s="6" t="n">
        <f aca="false">Sens!F16266*(1-1/life_nonai)+(Sens!G16274)/life_nonai</f>
        <v>37.9209152260188</v>
      </c>
      <c r="H16266" s="6" t="n">
        <f aca="false">Sens!G16266*(1-1/life_nonai)+(Sens!H16274)/life_nonai</f>
        <v>38.9188775179148</v>
      </c>
      <c r="I16266" s="6" t="n">
        <f aca="false">Sens!H16266*(1-1/life_nonai)+(Sens!I16274)/life_nonai</f>
        <v>40.370990629089</v>
      </c>
      <c r="J16266" s="6" t="n">
        <f aca="false">Sens!I16266*(1-1/life_nonai)+(Sens!J16274)/life_nonai</f>
        <v>42.1799210747553</v>
      </c>
      <c r="K16266" s="6" t="n">
        <f aca="false">Sens!J16266*(1-1/life_nonai)+(Sens!K16274)/life_nonai</f>
        <v>44.2480713451083</v>
      </c>
      <c r="L16266" s="12" t="s">
        <v>1103</v>
      </c>
    </row>
    <row r="16267" customFormat="false" ht="17.15" hidden="false" customHeight="false" outlineLevel="0" collapsed="false">
      <c r="A16267" s="1" t="s">
        <v>1104</v>
      </c>
      <c r="B16267" s="0" t="s">
        <v>98</v>
      </c>
      <c r="F16267" s="6" t="n">
        <f aca="false">Sens!$F$16275/life_nonai*(1-1/life_nonai)^(Sens!F16147-2027)</f>
        <v>13.8171372338453</v>
      </c>
      <c r="G16267" s="6" t="n">
        <f aca="false">Sens!$F$16275/life_nonai*(1-1/life_nonai)^(Sens!G16147-2027)</f>
        <v>12.4354235104607</v>
      </c>
      <c r="H16267" s="6" t="n">
        <f aca="false">Sens!$F$16275/life_nonai*(1-1/life_nonai)^(Sens!H16147-2027)</f>
        <v>11.1918811594147</v>
      </c>
      <c r="I16267" s="6" t="n">
        <f aca="false">Sens!$F$16275/life_nonai*(1-1/life_nonai)^(Sens!I16147-2027)</f>
        <v>10.0726930434732</v>
      </c>
      <c r="J16267" s="6" t="n">
        <f aca="false">Sens!$F$16275/life_nonai*(1-1/life_nonai)^(Sens!J16147-2027)</f>
        <v>9.06542373912588</v>
      </c>
      <c r="K16267" s="6" t="n">
        <f aca="false">Sens!$F$16275/life_nonai*(1-1/life_nonai)^(Sens!K16147-2027)</f>
        <v>8.15888136521329</v>
      </c>
      <c r="L16267" s="1" t="s">
        <v>1105</v>
      </c>
    </row>
    <row r="16268" customFormat="false" ht="17.15" hidden="false" customHeight="false" outlineLevel="0" collapsed="false">
      <c r="A16268" s="1" t="s">
        <v>1106</v>
      </c>
      <c r="B16268" s="0" t="s">
        <v>98</v>
      </c>
      <c r="E16268" s="6" t="n">
        <f aca="false">Sens!E16184+Sens!E16266</f>
        <v>38.534</v>
      </c>
      <c r="F16268" s="6" t="n">
        <f aca="false">Sens!F16184+Sens!F16266</f>
        <v>62.007395035225</v>
      </c>
      <c r="G16268" s="6" t="n">
        <f aca="false">Sens!G16184+Sens!G16266</f>
        <v>67.1065480490188</v>
      </c>
      <c r="H16268" s="6" t="n">
        <f aca="false">Sens!H16184+Sens!H16266</f>
        <v>70.5964624349148</v>
      </c>
      <c r="I16268" s="6" t="n">
        <f aca="false">Sens!I16184+Sens!I16266</f>
        <v>72.6008555601168</v>
      </c>
      <c r="J16268" s="6" t="n">
        <f aca="false">Sens!J16184+Sens!J16266</f>
        <v>75.7961215511998</v>
      </c>
      <c r="K16268" s="6" t="n">
        <f aca="false">Sens!K16184+Sens!K16266</f>
        <v>80.355167395025</v>
      </c>
    </row>
    <row r="16269" customFormat="false" ht="17.15" hidden="false" customHeight="false" outlineLevel="0" collapsed="false">
      <c r="A16269" s="1" t="s">
        <v>1107</v>
      </c>
      <c r="B16269" s="0" t="s">
        <v>98</v>
      </c>
      <c r="F16269" s="6" t="n">
        <f aca="false">Sens!F16211*sbc_r</f>
        <v>14.513066366418</v>
      </c>
      <c r="G16269" s="6" t="n">
        <f aca="false">Sens!G16211*sbc_r</f>
        <v>16.3645618503556</v>
      </c>
      <c r="H16269" s="6" t="n">
        <f aca="false">Sens!H16211*sbc_r</f>
        <v>18.0765164245434</v>
      </c>
      <c r="I16269" s="6" t="n">
        <f aca="false">Sens!I16211*sbc_r</f>
        <v>19.6487847829266</v>
      </c>
      <c r="J16269" s="6" t="n">
        <f aca="false">Sens!J16211*sbc_r</f>
        <v>21.1150346788291</v>
      </c>
      <c r="K16269" s="6" t="n">
        <f aca="false">Sens!K16211*sbc_r</f>
        <v>22.5179439296426</v>
      </c>
    </row>
    <row r="16270" customFormat="false" ht="17.15" hidden="false" customHeight="false" outlineLevel="0" collapsed="false">
      <c r="A16270" s="1" t="s">
        <v>1108</v>
      </c>
      <c r="B16270" s="0" t="s">
        <v>98</v>
      </c>
      <c r="F16270" s="6" t="n">
        <f aca="false">wc27-wc26q1</f>
        <v>-4.677</v>
      </c>
      <c r="G16270" s="6" t="n">
        <f aca="false">wc_f</f>
        <v>0</v>
      </c>
      <c r="H16270" s="6" t="n">
        <f aca="false">wc_f</f>
        <v>0</v>
      </c>
      <c r="I16270" s="6" t="n">
        <f aca="false">wc_f</f>
        <v>0</v>
      </c>
      <c r="J16270" s="6" t="n">
        <f aca="false">wc_f</f>
        <v>0</v>
      </c>
      <c r="K16270" s="6" t="n">
        <f aca="false">wc_f</f>
        <v>0</v>
      </c>
      <c r="L16270" s="12" t="s">
        <v>1109</v>
      </c>
    </row>
    <row r="16271" customFormat="false" ht="17.15" hidden="false" customHeight="false" outlineLevel="0" collapsed="false">
      <c r="A16271" s="0" t="s">
        <v>1110</v>
      </c>
      <c r="B16271" s="0" t="s">
        <v>98</v>
      </c>
      <c r="F16271" s="6" t="n">
        <f aca="false">Q!$I$35-Q!$I$26-Q!$I$38-Q!$I$39</f>
        <v>6.493</v>
      </c>
      <c r="L16271" s="1" t="s">
        <v>1111</v>
      </c>
    </row>
    <row r="16272" customFormat="false" ht="15" hidden="false" customHeight="false" outlineLevel="0" collapsed="false">
      <c r="A16272" s="1" t="s">
        <v>908</v>
      </c>
      <c r="B16272" s="0" t="s">
        <v>98</v>
      </c>
      <c r="E16272" s="6" t="n">
        <f aca="false">Q!M35</f>
        <v>182.935</v>
      </c>
      <c r="F16272" s="6" t="n">
        <f aca="false">Sens!F16265+Sens!F16268+Sens!F16269+Sens!F16270+Sens!F16271</f>
        <v>215.16995067095</v>
      </c>
      <c r="G16272" s="6" t="n">
        <f aca="false">Sens!G16265+Sens!G16268+Sens!G16269+Sens!G16270</f>
        <v>234.631721935066</v>
      </c>
      <c r="H16272" s="6" t="n">
        <f aca="false">Sens!H16265+Sens!H16268+Sens!H16269+Sens!H16270</f>
        <v>259.384791319401</v>
      </c>
      <c r="I16272" s="6" t="n">
        <f aca="false">Sens!I16265+Sens!I16268+Sens!I16269+Sens!I16270</f>
        <v>282.276610725124</v>
      </c>
      <c r="J16272" s="6" t="n">
        <f aca="false">Sens!J16265+Sens!J16268+Sens!J16269+Sens!J16270</f>
        <v>304.267351310155</v>
      </c>
      <c r="K16272" s="6" t="n">
        <f aca="false">Sens!K16265+Sens!K16268+Sens!K16269+Sens!K16270</f>
        <v>326.164527649777</v>
      </c>
    </row>
    <row r="16273" customFormat="false" ht="17.15" hidden="false" customHeight="false" outlineLevel="0" collapsed="false">
      <c r="A16273" s="0" t="s">
        <v>1112</v>
      </c>
      <c r="B16273" s="0" t="s">
        <v>98</v>
      </c>
      <c r="F16273" s="6" t="n">
        <f aca="false">Sens!F16181</f>
        <v>29.673672624</v>
      </c>
      <c r="G16273" s="6" t="n">
        <f aca="false">Sens!G16181</f>
        <v>34.213759128</v>
      </c>
      <c r="H16273" s="6" t="n">
        <f aca="false">Sens!H16181</f>
        <v>0</v>
      </c>
      <c r="I16273" s="6" t="n">
        <f aca="false">Sens!I16181</f>
        <v>29.16074476</v>
      </c>
      <c r="J16273" s="6" t="n">
        <f aca="false">Sens!J16181</f>
        <v>44.03867576</v>
      </c>
      <c r="K16273" s="6" t="n">
        <f aca="false">Sens!K16181</f>
        <v>87.48223428</v>
      </c>
    </row>
    <row r="16274" customFormat="false" ht="17.15" hidden="false" customHeight="false" outlineLevel="0" collapsed="false">
      <c r="A16274" s="1" t="s">
        <v>1113</v>
      </c>
      <c r="B16274" s="0" t="s">
        <v>98</v>
      </c>
      <c r="E16274" s="6" t="n">
        <f aca="false">Sens!E16189*cx_azo+Sens!E16196*cx_m365+Sens!E16197*cx_lic+(Sens!E16199+Sens!E16201)*cx_ind+Sens!E16204*cx_srch+(Sens!E16206+Sens!E16208)*cx_dev</f>
        <v>30.1846587067718</v>
      </c>
      <c r="F16274" s="6" t="n">
        <f aca="false">Sens!F16189*cx_azo+Sens!F16196*cx_m365+Sens!F16197*cx_lic+(Sens!F16199+Sens!F16201)*cx_ind+Sens!F16204*cx_srch+(Sens!F16206+Sens!F16208)*cx_dev</f>
        <v>36.3549550375473</v>
      </c>
      <c r="G16274" s="6" t="n">
        <f aca="false">Sens!G16189*cx_azo+Sens!G16196*cx_m365+Sens!G16197*cx_lic+(Sens!G16199+Sens!G16201)*cx_ind+Sens!G16204*cx_srch+(Sens!G16206+Sens!G16208)*cx_dev</f>
        <v>42.0838460361629</v>
      </c>
      <c r="H16274" s="6" t="n">
        <f aca="false">Sens!H16189*cx_azo+Sens!H16196*cx_m365+Sens!H16197*cx_lic+(Sens!H16199+Sens!H16201)*cx_ind+Sens!H16204*cx_srch+(Sens!H16206+Sens!H16208)*cx_dev</f>
        <v>47.9005381449792</v>
      </c>
      <c r="I16274" s="6" t="n">
        <f aca="false">Sens!I16189*cx_azo+Sens!I16196*cx_m365+Sens!I16197*cx_lic+(Sens!I16199+Sens!I16201)*cx_ind+Sens!I16204*cx_srch+(Sens!I16206+Sens!I16208)*cx_dev</f>
        <v>53.4400086296567</v>
      </c>
      <c r="J16274" s="6" t="n">
        <f aca="false">Sens!J16189*cx_azo+Sens!J16196*cx_m365+Sens!J16197*cx_lic+(Sens!J16199+Sens!J16201)*cx_ind+Sens!J16204*cx_srch+(Sens!J16206+Sens!J16208)*cx_dev</f>
        <v>58.4602950857521</v>
      </c>
      <c r="K16274" s="6" t="n">
        <f aca="false">Sens!K16189*cx_azo+Sens!K16196*cx_m365+Sens!K16197*cx_lic+(Sens!K16199+Sens!K16201)*cx_ind+Sens!K16204*cx_srch+(Sens!K16206+Sens!K16208)*cx_dev</f>
        <v>62.8614237782849</v>
      </c>
    </row>
    <row r="16275" customFormat="false" ht="17.15" hidden="false" customHeight="false" outlineLevel="0" collapsed="false">
      <c r="A16275" s="0" t="s">
        <v>1114</v>
      </c>
      <c r="B16275" s="0" t="s">
        <v>98</v>
      </c>
      <c r="F16275" s="6" t="n">
        <f aca="false">Sens!F16179</f>
        <v>138.171372338453</v>
      </c>
      <c r="L16275" s="1" t="s">
        <v>1115</v>
      </c>
    </row>
    <row r="16276" customFormat="false" ht="17.15" hidden="false" customHeight="false" outlineLevel="0" collapsed="false">
      <c r="A16276" s="1" t="s">
        <v>1116</v>
      </c>
      <c r="B16276" s="0" t="s">
        <v>98</v>
      </c>
      <c r="E16276" s="6" t="n">
        <f aca="false">Q!M43</f>
        <v>145.3</v>
      </c>
      <c r="F16276" s="6" t="n">
        <f aca="false">Sens!F16273+Sens!F16274+Sens!F16275</f>
        <v>204.2</v>
      </c>
      <c r="G16276" s="6" t="n">
        <f aca="false">Sens!G16273+Sens!G16274</f>
        <v>76.2976051641629</v>
      </c>
      <c r="H16276" s="6" t="n">
        <f aca="false">Sens!H16273+Sens!H16274</f>
        <v>47.9005381449792</v>
      </c>
      <c r="I16276" s="6" t="n">
        <f aca="false">Sens!I16273+Sens!I16274</f>
        <v>82.6007533896567</v>
      </c>
      <c r="J16276" s="6" t="n">
        <f aca="false">Sens!J16273+Sens!J16274</f>
        <v>102.498970845752</v>
      </c>
      <c r="K16276" s="6" t="n">
        <f aca="false">Sens!K16273+Sens!K16274</f>
        <v>150.343658058285</v>
      </c>
      <c r="L16276" s="1" t="s">
        <v>1117</v>
      </c>
    </row>
    <row r="16277" customFormat="false" ht="15" hidden="false" customHeight="false" outlineLevel="0" collapsed="false">
      <c r="A16277" s="1" t="s">
        <v>1118</v>
      </c>
      <c r="B16277" s="0" t="s">
        <v>98</v>
      </c>
      <c r="E16277" s="6" t="n">
        <f aca="false">fl_liab</f>
        <v>66.594</v>
      </c>
      <c r="F16277" s="6" t="n">
        <f aca="false">Sens!E16277-Sens!F16278</f>
        <v>62.46973</v>
      </c>
      <c r="G16277" s="6" t="n">
        <f aca="false">Sens!F16277-Sens!G16278</f>
        <v>57.98686785</v>
      </c>
      <c r="H16277" s="6" t="n">
        <f aca="false">Sens!G16277-Sens!H16278</f>
        <v>53.92827690325</v>
      </c>
      <c r="I16277" s="6" t="n">
        <f aca="false">Sens!H16277-Sens!I16278</f>
        <v>49.7850493638962</v>
      </c>
      <c r="J16277" s="6" t="n">
        <f aca="false">Sens!I16277-Sens!J16278</f>
        <v>45.4823765852716</v>
      </c>
      <c r="K16277" s="6" t="n">
        <f aca="false">Sens!J16277-Sens!K16278</f>
        <v>40.9860835316088</v>
      </c>
    </row>
    <row r="16278" customFormat="false" ht="15" hidden="false" customHeight="false" outlineLevel="0" collapsed="false">
      <c r="A16278" s="1" t="s">
        <v>1119</v>
      </c>
      <c r="B16278" s="0" t="s">
        <v>98</v>
      </c>
      <c r="F16278" s="6" t="n">
        <f aca="false">fl_pay_27-Sens!E16277*fl_rate</f>
        <v>4.12427</v>
      </c>
      <c r="G16278" s="6" t="n">
        <f aca="false">fl_pay_28-Sens!F16277*fl_rate</f>
        <v>4.48286215</v>
      </c>
      <c r="H16278" s="6" t="n">
        <f aca="false">fl_pay_29-Sens!G16277*fl_rate</f>
        <v>4.05859094675</v>
      </c>
      <c r="I16278" s="6" t="n">
        <f aca="false">fl_pay_30-Sens!H16277*fl_rate</f>
        <v>4.14322753935375</v>
      </c>
      <c r="J16278" s="6" t="n">
        <f aca="false">fl_pay_31-Sens!I16277*fl_rate</f>
        <v>4.30267277862467</v>
      </c>
      <c r="K16278" s="6" t="n">
        <f aca="false">fl_pay_32-Sens!J16277*fl_rate</f>
        <v>4.49629305366278</v>
      </c>
    </row>
    <row r="16279" customFormat="false" ht="17.15" hidden="false" customHeight="false" outlineLevel="0" collapsed="false">
      <c r="A16279" s="1" t="s">
        <v>1120</v>
      </c>
      <c r="B16279" s="0" t="s">
        <v>98</v>
      </c>
      <c r="E16279" s="6" t="n">
        <f aca="false">Q!M35-Q!M36-Q!M44</f>
        <v>63.886</v>
      </c>
      <c r="F16279" s="6" t="n">
        <f aca="false">Sens!F16272-Sens!F16276-Sens!F16278</f>
        <v>6.84568067094963</v>
      </c>
      <c r="G16279" s="6" t="n">
        <f aca="false">Sens!G16272-Sens!G16276-Sens!G16278</f>
        <v>153.851254620904</v>
      </c>
      <c r="H16279" s="6" t="n">
        <f aca="false">Sens!H16272-Sens!H16276-Sens!H16278</f>
        <v>207.425662227672</v>
      </c>
      <c r="I16279" s="6" t="n">
        <f aca="false">Sens!I16272-Sens!I16276-Sens!I16278</f>
        <v>195.532629796113</v>
      </c>
      <c r="J16279" s="6" t="n">
        <f aca="false">Sens!J16272-Sens!J16276-Sens!J16278</f>
        <v>197.465707685778</v>
      </c>
      <c r="K16279" s="6" t="n">
        <f aca="false">Sens!K16272-Sens!K16276-Sens!K16278</f>
        <v>171.324576537829</v>
      </c>
      <c r="L16279" s="12" t="s">
        <v>1121</v>
      </c>
    </row>
    <row r="16280" customFormat="false" ht="15" hidden="false" customHeight="false" outlineLevel="0" collapsed="false">
      <c r="A16280" s="1" t="s">
        <v>1122</v>
      </c>
      <c r="B16280" s="0" t="s">
        <v>75</v>
      </c>
      <c r="F16280" s="8" t="n">
        <f aca="false">dps_27</f>
        <v>3.85</v>
      </c>
      <c r="G16280" s="8" t="n">
        <f aca="false">Sens!F16280*(1+dps_g)</f>
        <v>4.158</v>
      </c>
      <c r="H16280" s="8" t="n">
        <f aca="false">Sens!G16280*(1+dps_g)</f>
        <v>4.49064</v>
      </c>
      <c r="I16280" s="8" t="n">
        <f aca="false">Sens!H16280*(1+dps_g)</f>
        <v>4.8498912</v>
      </c>
      <c r="J16280" s="8" t="n">
        <f aca="false">Sens!I16280*(1+dps_g)</f>
        <v>5.237882496</v>
      </c>
      <c r="K16280" s="8" t="n">
        <f aca="false">Sens!J16280*(1+dps_g)</f>
        <v>5.65691309568</v>
      </c>
    </row>
    <row r="16281" customFormat="false" ht="17.15" hidden="false" customHeight="false" outlineLevel="0" collapsed="false">
      <c r="A16281" s="1" t="s">
        <v>1123</v>
      </c>
      <c r="B16281" s="0" t="s">
        <v>98</v>
      </c>
      <c r="E16281" s="6" t="n">
        <f aca="false">Q!M41</f>
        <v>26.445</v>
      </c>
      <c r="F16281" s="6" t="n">
        <f aca="false">Sens!F16280*Sens!E16290</f>
        <v>28.59395</v>
      </c>
      <c r="G16281" s="6" t="n">
        <f aca="false">Sens!G16280*Sens!F16290</f>
        <v>31.068576</v>
      </c>
      <c r="H16281" s="6" t="n">
        <f aca="false">Sens!H16280*Sens!G16290</f>
        <v>33.5883340530727</v>
      </c>
      <c r="I16281" s="6" t="n">
        <f aca="false">Sens!I16280*Sens!H16290</f>
        <v>36.3258390543911</v>
      </c>
      <c r="J16281" s="6" t="n">
        <f aca="false">Sens!J16280*Sens!I16290</f>
        <v>39.299804064135</v>
      </c>
      <c r="K16281" s="6" t="n">
        <f aca="false">Sens!K16280*Sens!J16290</f>
        <v>42.5305426516441</v>
      </c>
      <c r="L16281" s="1" t="s">
        <v>1124</v>
      </c>
    </row>
    <row r="16282" customFormat="false" ht="15" hidden="false" customHeight="false" outlineLevel="0" collapsed="false">
      <c r="A16282" s="1" t="s">
        <v>1125</v>
      </c>
      <c r="B16282" s="0" t="s">
        <v>98</v>
      </c>
      <c r="E16282" s="6" t="n">
        <f aca="false">Sens!E16279-Sens!E16281</f>
        <v>37.441</v>
      </c>
      <c r="F16282" s="6" t="n">
        <f aca="false">Sens!F16279-Sens!F16281</f>
        <v>-21.7482693290504</v>
      </c>
      <c r="G16282" s="6" t="n">
        <f aca="false">Sens!G16279-Sens!G16281</f>
        <v>122.782678620904</v>
      </c>
      <c r="H16282" s="6" t="n">
        <f aca="false">Sens!H16279-Sens!H16281</f>
        <v>173.837328174599</v>
      </c>
      <c r="I16282" s="6" t="n">
        <f aca="false">Sens!I16279-Sens!I16281</f>
        <v>159.206790741722</v>
      </c>
      <c r="J16282" s="6" t="n">
        <f aca="false">Sens!J16279-Sens!J16281</f>
        <v>158.165903621643</v>
      </c>
      <c r="K16282" s="6" t="n">
        <f aca="false">Sens!K16279-Sens!K16281</f>
        <v>128.794033886185</v>
      </c>
    </row>
    <row r="16283" customFormat="false" ht="15" hidden="false" customHeight="false" outlineLevel="0" collapsed="false">
      <c r="A16283" s="1" t="s">
        <v>1126</v>
      </c>
      <c r="B16283" s="0" t="s">
        <v>98</v>
      </c>
      <c r="F16283" s="6" t="n">
        <f aca="false">debt_mat_27</f>
        <v>9.25</v>
      </c>
      <c r="G16283" s="6" t="n">
        <f aca="false">debt_mat_28</f>
        <v>0</v>
      </c>
      <c r="H16283" s="6" t="n">
        <f aca="false">debt_mat_29</f>
        <v>2.001</v>
      </c>
      <c r="I16283" s="6" t="n">
        <f aca="false">debt_mat_30</f>
        <v>0</v>
      </c>
      <c r="J16283" s="6" t="n">
        <f aca="false">debt_mat_31</f>
        <v>0.5</v>
      </c>
      <c r="K16283" s="6" t="n">
        <f aca="false">debt_mat_32</f>
        <v>0</v>
      </c>
    </row>
    <row r="16284" customFormat="false" ht="15" hidden="false" customHeight="false" outlineLevel="0" collapsed="false">
      <c r="A16284" s="1" t="s">
        <v>1127</v>
      </c>
      <c r="B16284" s="0" t="s">
        <v>98</v>
      </c>
      <c r="E16284" s="6" t="n">
        <f aca="false">Q!M40</f>
        <v>22.271</v>
      </c>
      <c r="F16284" s="6" t="n">
        <f aca="false">MAX(0,MIN(bb_target,Sens!E16286+Sens!F16282-Sens!F16283-min_cash))</f>
        <v>0</v>
      </c>
      <c r="G16284" s="6" t="n">
        <f aca="false">MAX(0,MIN(bb_target,Sens!F16286+Sens!G16282-Sens!G16283-min_cash))</f>
        <v>22.271</v>
      </c>
      <c r="H16284" s="6" t="n">
        <f aca="false">MAX(0,MIN(bb_target,Sens!G16286+Sens!H16282-Sens!H16283-min_cash))</f>
        <v>22.271</v>
      </c>
      <c r="I16284" s="6" t="n">
        <f aca="false">MAX(0,MIN(bb_target,Sens!H16286+Sens!I16282-Sens!I16283-min_cash))</f>
        <v>22.271</v>
      </c>
      <c r="J16284" s="6" t="n">
        <f aca="false">MAX(0,MIN(bb_target,Sens!I16286+Sens!J16282-Sens!J16283-min_cash))</f>
        <v>22.271</v>
      </c>
      <c r="K16284" s="6" t="n">
        <f aca="false">MAX(0,MIN(bb_target,Sens!J16286+Sens!K16282-Sens!K16283-min_cash))</f>
        <v>22.271</v>
      </c>
    </row>
    <row r="16285" customFormat="false" ht="15" hidden="false" customHeight="false" outlineLevel="0" collapsed="false">
      <c r="A16285" s="1" t="s">
        <v>1128</v>
      </c>
      <c r="B16285" s="0" t="s">
        <v>98</v>
      </c>
      <c r="F16285" s="6" t="n">
        <f aca="false">MAX(0,min_cash-(Sens!E16286+Sens!F16282-Sens!F16283-Sens!F16284))</f>
        <v>4.15526932905037</v>
      </c>
      <c r="G16285" s="6" t="n">
        <f aca="false">MAX(0,min_cash-(Sens!F16286+Sens!G16282-Sens!G16283-Sens!G16284))</f>
        <v>0</v>
      </c>
      <c r="H16285" s="6" t="n">
        <f aca="false">MAX(0,min_cash-(Sens!G16286+Sens!H16282-Sens!H16283-Sens!H16284))</f>
        <v>0</v>
      </c>
      <c r="I16285" s="6" t="n">
        <f aca="false">MAX(0,min_cash-(Sens!H16286+Sens!I16282-Sens!I16283-Sens!I16284))</f>
        <v>0</v>
      </c>
      <c r="J16285" s="6" t="n">
        <f aca="false">MAX(0,min_cash-(Sens!I16286+Sens!J16282-Sens!J16283-Sens!J16284))</f>
        <v>0</v>
      </c>
      <c r="K16285" s="6" t="n">
        <f aca="false">MAX(0,min_cash-(Sens!J16286+Sens!K16282-Sens!K16283-Sens!K16284))</f>
        <v>0</v>
      </c>
    </row>
    <row r="16286" customFormat="false" ht="15" hidden="false" customHeight="false" outlineLevel="0" collapsed="false">
      <c r="A16286" s="1" t="s">
        <v>1129</v>
      </c>
      <c r="B16286" s="0" t="s">
        <v>98</v>
      </c>
      <c r="E16286" s="6" t="n">
        <f aca="false">cash_open</f>
        <v>76.843</v>
      </c>
      <c r="F16286" s="6" t="n">
        <f aca="false">Sens!E16286+Sens!F16282-Sens!F16283-Sens!F16284+Sens!F16285</f>
        <v>50</v>
      </c>
      <c r="G16286" s="6" t="n">
        <f aca="false">Sens!F16286+Sens!G16282-Sens!G16283-Sens!G16284+Sens!G16285</f>
        <v>150.511678620904</v>
      </c>
      <c r="H16286" s="6" t="n">
        <f aca="false">Sens!G16286+Sens!H16282-Sens!H16283-Sens!H16284+Sens!H16285</f>
        <v>300.077006795503</v>
      </c>
      <c r="I16286" s="6" t="n">
        <f aca="false">Sens!H16286+Sens!I16282-Sens!I16283-Sens!I16284+Sens!I16285</f>
        <v>437.012797537225</v>
      </c>
      <c r="J16286" s="6" t="n">
        <f aca="false">Sens!I16286+Sens!J16282-Sens!J16283-Sens!J16284+Sens!J16285</f>
        <v>572.407701158868</v>
      </c>
      <c r="K16286" s="6" t="n">
        <f aca="false">Sens!J16286+Sens!K16282-Sens!K16283-Sens!K16284+Sens!K16285</f>
        <v>678.930735045053</v>
      </c>
    </row>
    <row r="16287" customFormat="false" ht="15" hidden="false" customHeight="false" outlineLevel="0" collapsed="false">
      <c r="A16287" s="1" t="s">
        <v>1130</v>
      </c>
      <c r="B16287" s="0" t="s">
        <v>98</v>
      </c>
      <c r="E16287" s="6" t="n">
        <f aca="false">debt_face</f>
        <v>46.136</v>
      </c>
      <c r="F16287" s="6" t="n">
        <f aca="false">Sens!E16287-Sens!F16283+Sens!F16285</f>
        <v>41.0412693290504</v>
      </c>
      <c r="G16287" s="6" t="n">
        <f aca="false">Sens!F16287-Sens!G16283+Sens!G16285</f>
        <v>41.0412693290504</v>
      </c>
      <c r="H16287" s="6" t="n">
        <f aca="false">Sens!G16287-Sens!H16283+Sens!H16285</f>
        <v>39.0402693290504</v>
      </c>
      <c r="I16287" s="6" t="n">
        <f aca="false">Sens!H16287-Sens!I16283+Sens!I16285</f>
        <v>39.0402693290504</v>
      </c>
      <c r="J16287" s="6" t="n">
        <f aca="false">Sens!I16287-Sens!J16283+Sens!J16285</f>
        <v>38.5402693290504</v>
      </c>
      <c r="K16287" s="6" t="n">
        <f aca="false">Sens!J16287-Sens!K16283+Sens!K16285</f>
        <v>38.5402693290504</v>
      </c>
    </row>
    <row r="16288" customFormat="false" ht="15" hidden="false" customHeight="false" outlineLevel="0" collapsed="false">
      <c r="A16288" s="1" t="s">
        <v>1131</v>
      </c>
      <c r="B16288" s="0" t="s">
        <v>98</v>
      </c>
      <c r="E16288" s="6" t="n">
        <f aca="false">Sens!E16286-Sens!E16287</f>
        <v>30.707</v>
      </c>
      <c r="F16288" s="6" t="n">
        <f aca="false">Sens!F16286-Sens!F16287</f>
        <v>8.95873067094963</v>
      </c>
      <c r="G16288" s="6" t="n">
        <f aca="false">Sens!G16286-Sens!G16287</f>
        <v>109.470409291853</v>
      </c>
      <c r="H16288" s="6" t="n">
        <f aca="false">Sens!H16286-Sens!H16287</f>
        <v>261.036737466453</v>
      </c>
      <c r="I16288" s="6" t="n">
        <f aca="false">Sens!I16286-Sens!I16287</f>
        <v>397.972528208175</v>
      </c>
      <c r="J16288" s="6" t="n">
        <f aca="false">Sens!J16286-Sens!J16287</f>
        <v>533.867431829818</v>
      </c>
      <c r="K16288" s="6" t="n">
        <f aca="false">Sens!K16286-Sens!K16287</f>
        <v>640.390465716003</v>
      </c>
    </row>
    <row r="16289" customFormat="false" ht="15" hidden="false" customHeight="false" outlineLevel="0" collapsed="false">
      <c r="A16289" s="1" t="s">
        <v>1132</v>
      </c>
      <c r="B16289" s="0" t="s">
        <v>75</v>
      </c>
      <c r="F16289" s="30" t="n">
        <f aca="false">px*(1+bb_g)^(Sens!F16147-base_fy-mid_yr)</f>
        <v>551.84177959629</v>
      </c>
      <c r="G16289" s="30" t="n">
        <f aca="false">px*(1+bb_g)^(Sens!G16147-base_fy-mid_yr)</f>
        <v>595.989121963993</v>
      </c>
      <c r="H16289" s="30" t="n">
        <f aca="false">px*(1+bb_g)^(Sens!H16147-base_fy-mid_yr)</f>
        <v>643.668251721112</v>
      </c>
      <c r="I16289" s="30" t="n">
        <f aca="false">px*(1+bb_g)^(Sens!I16147-base_fy-mid_yr)</f>
        <v>695.161711858801</v>
      </c>
      <c r="J16289" s="30" t="n">
        <f aca="false">px*(1+bb_g)^(Sens!J16147-base_fy-mid_yr)</f>
        <v>750.774648807506</v>
      </c>
      <c r="K16289" s="30" t="n">
        <f aca="false">px*(1+bb_g)^(Sens!K16147-base_fy-mid_yr)</f>
        <v>810.836620712106</v>
      </c>
    </row>
    <row r="16290" customFormat="false" ht="15" hidden="false" customHeight="false" outlineLevel="0" collapsed="false">
      <c r="A16290" s="1" t="s">
        <v>1133</v>
      </c>
      <c r="B16290" s="1" t="s">
        <v>81</v>
      </c>
      <c r="E16290" s="15" t="n">
        <f aca="false">sh_out26</f>
        <v>7.427</v>
      </c>
      <c r="F16290" s="15" t="n">
        <f aca="false">Sens!E16290+sh_iss-Sens!F16284/Sens!F16289</f>
        <v>7.472</v>
      </c>
      <c r="G16290" s="15" t="n">
        <f aca="false">Sens!F16290+sh_iss-Sens!G16284/Sens!G16289</f>
        <v>7.47963186830221</v>
      </c>
      <c r="H16290" s="15" t="n">
        <f aca="false">Sens!G16290+sh_iss-Sens!H16284/Sens!H16289</f>
        <v>7.49003174635981</v>
      </c>
      <c r="I16290" s="15" t="n">
        <f aca="false">Sens!H16290+sh_iss-Sens!I16284/Sens!I16289</f>
        <v>7.50299459641315</v>
      </c>
      <c r="J16290" s="15" t="n">
        <f aca="false">Sens!I16290+sh_iss-Sens!J16284/Sens!J16289</f>
        <v>7.51833056868476</v>
      </c>
      <c r="K16290" s="15" t="n">
        <f aca="false">Sens!J16290+sh_iss-Sens!K16284/Sens!K16289</f>
        <v>7.53586387634365</v>
      </c>
    </row>
    <row r="16291" customFormat="false" ht="15" hidden="false" customHeight="false" outlineLevel="0" collapsed="false">
      <c r="A16291" s="1" t="s">
        <v>1134</v>
      </c>
      <c r="B16291" s="1" t="s">
        <v>81</v>
      </c>
      <c r="E16291" s="15" t="n">
        <f aca="false">sh_dil26</f>
        <v>7.453</v>
      </c>
      <c r="F16291" s="15" t="n">
        <f aca="false">(Sens!E16290+Sens!F16290)/2+dil_gap</f>
        <v>7.4735</v>
      </c>
      <c r="G16291" s="15" t="n">
        <f aca="false">(Sens!F16290+Sens!G16290)/2+dil_gap</f>
        <v>7.49981593415111</v>
      </c>
      <c r="H16291" s="15" t="n">
        <f aca="false">(Sens!G16290+Sens!H16290)/2+dil_gap</f>
        <v>7.50883180733101</v>
      </c>
      <c r="I16291" s="15" t="n">
        <f aca="false">(Sens!H16290+Sens!I16290)/2+dil_gap</f>
        <v>7.52051317138648</v>
      </c>
      <c r="J16291" s="15" t="n">
        <f aca="false">(Sens!I16290+Sens!J16290)/2+dil_gap</f>
        <v>7.53466258254895</v>
      </c>
      <c r="K16291" s="15" t="n">
        <f aca="false">(Sens!J16290+Sens!K16290)/2+dil_gap</f>
        <v>7.55109722251421</v>
      </c>
    </row>
    <row r="16292" customFormat="false" ht="17.15" hidden="false" customHeight="false" outlineLevel="0" collapsed="false">
      <c r="A16292" s="1" t="s">
        <v>1135</v>
      </c>
      <c r="B16292" s="0" t="s">
        <v>98</v>
      </c>
      <c r="C16292" s="6" t="n">
        <f aca="false">SUM(Sens!F16282:J16282)</f>
        <v>592.244431829818</v>
      </c>
    </row>
    <row r="16293" customFormat="false" ht="15" hidden="false" customHeight="false" outlineLevel="0" collapsed="false">
      <c r="A16293" s="26" t="s">
        <v>1100</v>
      </c>
      <c r="B16293" s="31" t="s">
        <v>98</v>
      </c>
      <c r="C16293" s="27" t="n">
        <f aca="false">Sens!$C$16292-(Sens!F16282+Sens!G16282+Sens!H16282+Sens!I16282+Sens!J16282)</f>
        <v>0</v>
      </c>
      <c r="D16293" s="31"/>
      <c r="E16293" s="31"/>
      <c r="F16293" s="31"/>
      <c r="G16293" s="31"/>
      <c r="H16293" s="31"/>
      <c r="I16293" s="31"/>
      <c r="J16293" s="31"/>
      <c r="K16293" s="31"/>
    </row>
    <row r="16294" customFormat="false" ht="17.15" hidden="false" customHeight="false" outlineLevel="0" collapsed="false">
      <c r="A16294" s="1" t="s">
        <v>1094</v>
      </c>
      <c r="B16294" s="1" t="s">
        <v>1136</v>
      </c>
      <c r="C16294" s="33" t="str">
        <f aca="false">IF(SUM(Sens!F16285:J16285)&gt;0.05,"需要舉債 "&amp;TEXT(SUM(Sens!F16285:J16285),"0.0")&amp;" 十億美元","不需舉債")&amp;"；"&amp;IF(SUM(Sens!F16284:J16284)&lt;COUNT(Sens!F16284:J16284)*bb_target-0.05,"回購較每年 "&amp;TEXT(bb_target,"0.0")&amp;" 的目標少 "&amp;TEXT(COUNT(Sens!F16284:J16284)*bb_target-SUM(Sens!F16284:J16284),"0.0")&amp;" 十億美元（"&amp;TEXT(COUNTIF(Sens!F16284:J16284,"&lt;"&amp;(bb_target-0.05)),"0")&amp;" 年減少）","回購不減")</f>
        <v>需要舉債 4.2 十億美元；回購較每年 22.3 的目標少 22.3 十億美元（1 年減少）</v>
      </c>
    </row>
    <row r="16295" customFormat="false" ht="17.15" hidden="false" customHeight="false" outlineLevel="0" collapsed="false">
      <c r="A16295" s="3" t="s">
        <v>2013</v>
      </c>
    </row>
    <row r="16296" customFormat="false" ht="15" hidden="false" customHeight="false" outlineLevel="0" collapsed="false">
      <c r="A16296" s="4" t="s">
        <v>43</v>
      </c>
      <c r="B16296" s="4" t="s">
        <v>65</v>
      </c>
      <c r="C16296" s="23" t="s">
        <v>942</v>
      </c>
      <c r="D16296" s="23" t="s">
        <v>943</v>
      </c>
      <c r="E16296" s="23" t="s">
        <v>944</v>
      </c>
      <c r="F16296" s="23" t="s">
        <v>945</v>
      </c>
      <c r="G16296" s="23" t="s">
        <v>946</v>
      </c>
      <c r="H16296" s="23" t="s">
        <v>947</v>
      </c>
      <c r="I16296" s="23" t="s">
        <v>948</v>
      </c>
      <c r="J16296" s="23" t="s">
        <v>949</v>
      </c>
      <c r="K16296" s="23" t="s">
        <v>950</v>
      </c>
      <c r="L16296" s="4" t="s">
        <v>47</v>
      </c>
    </row>
    <row r="16297" customFormat="false" ht="17.15" hidden="false" customHeight="false" outlineLevel="0" collapsed="false">
      <c r="A16297" s="1" t="s">
        <v>1216</v>
      </c>
      <c r="B16297" s="1" t="s">
        <v>279</v>
      </c>
      <c r="F16297" s="8" t="n">
        <f aca="false">(1-v_off)*mid_yr</f>
        <v>0.373972602739726</v>
      </c>
      <c r="G16297" s="8" t="n">
        <f aca="false">Sens!G16147-base_fy-mid_yr-v_off</f>
        <v>1.24794520547945</v>
      </c>
      <c r="H16297" s="8" t="n">
        <f aca="false">Sens!H16147-base_fy-mid_yr-v_off</f>
        <v>2.24794520547945</v>
      </c>
      <c r="I16297" s="8" t="n">
        <f aca="false">Sens!I16147-base_fy-mid_yr-v_off</f>
        <v>3.24794520547945</v>
      </c>
      <c r="J16297" s="8" t="n">
        <f aca="false">Sens!J16147-base_fy-mid_yr-v_off</f>
        <v>4.24794520547945</v>
      </c>
      <c r="K16297" s="8" t="n">
        <f aca="false">Sens!K16147-base_fy-mid_yr-v_off</f>
        <v>5.24794520547945</v>
      </c>
      <c r="L16297" s="12" t="s">
        <v>1217</v>
      </c>
    </row>
    <row r="16298" customFormat="false" ht="15" hidden="false" customHeight="false" outlineLevel="0" collapsed="false">
      <c r="A16298" s="1" t="s">
        <v>1218</v>
      </c>
      <c r="B16298" s="1" t="s">
        <v>279</v>
      </c>
      <c r="F16298" s="8" t="n">
        <f aca="false">Sens!F16147-base_fy-v_off</f>
        <v>0.747945205479452</v>
      </c>
      <c r="G16298" s="8" t="n">
        <f aca="false">Sens!G16147-base_fy-v_off</f>
        <v>1.74794520547945</v>
      </c>
      <c r="H16298" s="8" t="n">
        <f aca="false">Sens!H16147-base_fy-v_off</f>
        <v>2.74794520547945</v>
      </c>
      <c r="I16298" s="8" t="n">
        <f aca="false">Sens!I16147-base_fy-v_off</f>
        <v>3.74794520547945</v>
      </c>
      <c r="J16298" s="8" t="n">
        <f aca="false">Sens!J16147-base_fy-v_off</f>
        <v>4.74794520547945</v>
      </c>
      <c r="K16298" s="8" t="n">
        <f aca="false">Sens!K16147-base_fy-v_off</f>
        <v>5.74794520547945</v>
      </c>
    </row>
    <row r="16299" customFormat="false" ht="15" hidden="false" customHeight="false" outlineLevel="0" collapsed="false">
      <c r="A16299" s="1" t="s">
        <v>1219</v>
      </c>
      <c r="B16299" s="0" t="s">
        <v>229</v>
      </c>
      <c r="F16299" s="15" t="n">
        <f aca="false">1/(1+wacc)^Sens!F16297</f>
        <v>0.964022703286649</v>
      </c>
      <c r="G16299" s="15" t="n">
        <f aca="false">1/(1+wacc)^Sens!G16297</f>
        <v>0.884910302296739</v>
      </c>
      <c r="H16299" s="15" t="n">
        <f aca="false">1/(1+wacc)^Sens!H16297</f>
        <v>0.802322009770358</v>
      </c>
      <c r="I16299" s="15" t="n">
        <f aca="false">1/(1+wacc)^Sens!I16297</f>
        <v>0.727441646561469</v>
      </c>
      <c r="J16299" s="15" t="n">
        <f aca="false">1/(1+wacc)^Sens!J16297</f>
        <v>0.659549834988973</v>
      </c>
      <c r="K16299" s="15" t="n">
        <f aca="false">1/(1+wacc)^Sens!K16297</f>
        <v>0.597994336576966</v>
      </c>
    </row>
    <row r="16300" customFormat="false" ht="17.15" hidden="false" customHeight="false" outlineLevel="0" collapsed="false">
      <c r="A16300" s="1" t="s">
        <v>1220</v>
      </c>
      <c r="B16300" s="0" t="s">
        <v>98</v>
      </c>
      <c r="F16300" s="6" t="n">
        <f aca="false">Q!$I$35-Q!$I$39-Q!$I$43</f>
        <v>9.666</v>
      </c>
      <c r="L16300" s="12" t="s">
        <v>1221</v>
      </c>
    </row>
    <row r="16301" customFormat="false" ht="17.15" hidden="false" customHeight="false" outlineLevel="0" collapsed="false">
      <c r="A16301" s="1" t="s">
        <v>1222</v>
      </c>
      <c r="B16301" s="0" t="s">
        <v>98</v>
      </c>
      <c r="F16301" s="6" t="n">
        <f aca="false">Sens!F16272-Sens!F16269-Sens!F16276+Sens!F16254*(1-tax_f)*(1-v_off)-Sens!F16300</f>
        <v>-13.2091156954683</v>
      </c>
      <c r="G16301" s="6" t="n">
        <f aca="false">Sens!G16272-Sens!G16269-Sens!G16276+Sens!G16254*(1-tax_f)</f>
        <v>141.969554920548</v>
      </c>
      <c r="H16301" s="6" t="n">
        <f aca="false">Sens!H16272-Sens!H16269-Sens!H16276+Sens!H16254*(1-tax_f)</f>
        <v>193.407736749879</v>
      </c>
      <c r="I16301" s="6" t="n">
        <f aca="false">Sens!I16272-Sens!I16269-Sens!I16276+Sens!I16254*(1-tax_f)</f>
        <v>180.02707255254</v>
      </c>
      <c r="J16301" s="6" t="n">
        <f aca="false">Sens!J16272-Sens!J16269-Sens!J16276+Sens!J16254*(1-tax_f)</f>
        <v>180.653345785574</v>
      </c>
      <c r="K16301" s="6" t="n">
        <f aca="false">Sens!K16272-Sens!K16269-Sens!K16276+Sens!K16254*(1-tax_f)</f>
        <v>153.30292566185</v>
      </c>
      <c r="L16301" s="1" t="s">
        <v>1223</v>
      </c>
    </row>
    <row r="16302" customFormat="false" ht="15" hidden="false" customHeight="false" outlineLevel="0" collapsed="false">
      <c r="A16302" s="1" t="s">
        <v>1224</v>
      </c>
      <c r="B16302" s="0" t="s">
        <v>98</v>
      </c>
      <c r="F16302" s="6" t="n">
        <f aca="false">Sens!F16301*Sens!F16299</f>
        <v>-12.7338874207715</v>
      </c>
      <c r="G16302" s="6" t="n">
        <f aca="false">Sens!G16301*Sens!G16299</f>
        <v>125.630321761676</v>
      </c>
      <c r="H16302" s="6" t="n">
        <f aca="false">Sens!H16301*Sens!H16299</f>
        <v>155.175284054299</v>
      </c>
      <c r="I16302" s="6" t="n">
        <f aca="false">Sens!I16301*Sens!I16299</f>
        <v>130.959190083261</v>
      </c>
      <c r="J16302" s="6" t="n">
        <f aca="false">Sens!J16301*Sens!J16299</f>
        <v>119.149884403081</v>
      </c>
      <c r="K16302" s="6" t="n">
        <f aca="false">Sens!K16301*Sens!K16299</f>
        <v>91.6742813264656</v>
      </c>
    </row>
    <row r="16303" customFormat="false" ht="17.15" hidden="false" customHeight="false" outlineLevel="0" collapsed="false">
      <c r="A16303" s="1" t="s">
        <v>1225</v>
      </c>
      <c r="B16303" s="0" t="s">
        <v>98</v>
      </c>
      <c r="C16303" s="6" t="n">
        <f aca="false">SUM(Sens!F16302:K16302)</f>
        <v>609.85507420801</v>
      </c>
    </row>
    <row r="16304" customFormat="false" ht="17.15" hidden="false" customHeight="false" outlineLevel="0" collapsed="false">
      <c r="A16304" s="1" t="s">
        <v>1226</v>
      </c>
      <c r="B16304" s="0" t="s">
        <v>98</v>
      </c>
      <c r="C16304" s="6" t="n">
        <f aca="false">Sens!K16240*(1+g_tv)*(1-tax_f)</f>
        <v>230.978958814863</v>
      </c>
    </row>
    <row r="16305" customFormat="false" ht="17.15" hidden="false" customHeight="false" outlineLevel="0" collapsed="false">
      <c r="A16305" s="1" t="s">
        <v>1227</v>
      </c>
      <c r="B16305" s="0" t="s">
        <v>98</v>
      </c>
      <c r="C16305" s="6" t="n">
        <f aca="false">Sens!$C$16304*(1-g_tv/(wacc+ronic_prem))</f>
        <v>163.662092180839</v>
      </c>
    </row>
    <row r="16306" customFormat="false" ht="17.15" hidden="false" customHeight="false" outlineLevel="0" collapsed="false">
      <c r="A16306" s="1" t="s">
        <v>1228</v>
      </c>
      <c r="B16306" s="0" t="s">
        <v>98</v>
      </c>
      <c r="C16306" s="6" t="n">
        <f aca="false">Sens!$C$16305/(wacc-g_tv)</f>
        <v>2243.89555446748</v>
      </c>
    </row>
    <row r="16307" customFormat="false" ht="15" hidden="false" customHeight="false" outlineLevel="0" collapsed="false">
      <c r="A16307" s="1" t="s">
        <v>1229</v>
      </c>
      <c r="B16307" s="0" t="s">
        <v>98</v>
      </c>
      <c r="C16307" s="6" t="n">
        <f aca="false">Sens!$C$16306/(1+wacc)^Sens!K16298</f>
        <v>1277.68688386256</v>
      </c>
    </row>
    <row r="16308" customFormat="false" ht="17.15" hidden="false" customHeight="false" outlineLevel="0" collapsed="false">
      <c r="A16308" s="0" t="s">
        <v>1230</v>
      </c>
      <c r="B16308" s="0" t="s">
        <v>98</v>
      </c>
      <c r="C16308" s="6" t="n">
        <f aca="false">Sens!$C$16303+Sens!$C$16307</f>
        <v>1887.54195807057</v>
      </c>
    </row>
    <row r="16309" customFormat="false" ht="15" hidden="false" customHeight="false" outlineLevel="0" collapsed="false">
      <c r="A16309" s="1" t="s">
        <v>1145</v>
      </c>
      <c r="B16309" s="0" t="s">
        <v>168</v>
      </c>
      <c r="C16309" s="7" t="n">
        <f aca="false">Sens!$C$16307/Sens!$C$16308</f>
        <v>0.676905156147417</v>
      </c>
    </row>
    <row r="16310" customFormat="false" ht="17.15" hidden="false" customHeight="false" outlineLevel="0" collapsed="false">
      <c r="A16310" s="1" t="s">
        <v>1231</v>
      </c>
      <c r="B16310" s="0" t="s">
        <v>98</v>
      </c>
      <c r="C16310" s="6" t="n">
        <f aca="false">Sens!$C$16308+cash_val-debt_val-fl_val+oai_v</f>
        <v>2003.39295807057</v>
      </c>
    </row>
    <row r="16311" customFormat="false" ht="17.15" hidden="false" customHeight="false" outlineLevel="0" collapsed="false">
      <c r="A16311" s="0" t="s">
        <v>1153</v>
      </c>
      <c r="B16311" s="0" t="s">
        <v>75</v>
      </c>
      <c r="C16311" s="5" t="n">
        <f aca="false">Sens!$C$16310/shd_val</f>
        <v>269.056266192664</v>
      </c>
    </row>
    <row r="16312" customFormat="false" ht="15" hidden="false" customHeight="false" outlineLevel="0" collapsed="false">
      <c r="A16312" s="1" t="s">
        <v>1232</v>
      </c>
      <c r="B16312" s="0" t="s">
        <v>75</v>
      </c>
      <c r="C16312" s="8" t="n">
        <f aca="false">div_rem27+Sens!G16280*roll_div_q/q_per_yr</f>
        <v>3.9795</v>
      </c>
    </row>
    <row r="16313" customFormat="false" ht="17.15" hidden="false" customHeight="false" outlineLevel="0" collapsed="false">
      <c r="A16313" s="0" t="s">
        <v>1233</v>
      </c>
      <c r="B16313" s="0" t="s">
        <v>75</v>
      </c>
      <c r="C16313" s="5" t="n">
        <f aca="false">Sens!$C$16311*(1+wacc)^t_roll-Sens!$C$16312</f>
        <v>295.091556103491</v>
      </c>
    </row>
    <row r="16314" customFormat="false" ht="17.15" hidden="false" customHeight="false" outlineLevel="0" collapsed="false">
      <c r="A16314" s="1" t="s">
        <v>1234</v>
      </c>
      <c r="B16314" s="0" t="s">
        <v>168</v>
      </c>
      <c r="F16314" s="7" t="n">
        <f aca="false">Sens!F16266/(Sens!F16211-Sens!F16166)</f>
        <v>0.108047838379486</v>
      </c>
      <c r="G16314" s="7" t="n">
        <f aca="false">Sens!G16266/(Sens!G16211-Sens!G16166)</f>
        <v>0.0975314146147999</v>
      </c>
      <c r="H16314" s="7" t="n">
        <f aca="false">Sens!H16266/(Sens!H16211-Sens!H16166)</f>
        <v>0.0901460175277594</v>
      </c>
      <c r="I16314" s="7" t="n">
        <f aca="false">Sens!I16266/(Sens!I16211-Sens!I16166)</f>
        <v>0.0854106357219918</v>
      </c>
      <c r="J16314" s="7" t="n">
        <f aca="false">Sens!J16266/(Sens!J16211-Sens!J16166)</f>
        <v>0.0826734334586806</v>
      </c>
      <c r="K16314" s="7" t="n">
        <f aca="false">Sens!K16266/(Sens!K16211-Sens!K16166)</f>
        <v>0.0812838862190781</v>
      </c>
    </row>
    <row r="16315" customFormat="false" ht="17.15" hidden="false" customHeight="false" outlineLevel="0" collapsed="false">
      <c r="A16315" s="0" t="s">
        <v>1235</v>
      </c>
      <c r="B16315" s="0" t="s">
        <v>98</v>
      </c>
      <c r="F16315" s="6" t="n">
        <f aca="false">Sens!F16196*(al_m365+Sens!F16314+sbc_r)</f>
        <v>88.396124216877</v>
      </c>
      <c r="G16315" s="6" t="n">
        <f aca="false">Sens!G16196*(al_m365+Sens!G16314+sbc_r)</f>
        <v>100.46327785091</v>
      </c>
      <c r="H16315" s="6" t="n">
        <f aca="false">Sens!H16196*(al_m365+Sens!H16314+sbc_r)</f>
        <v>112.693180197931</v>
      </c>
      <c r="I16315" s="6" t="n">
        <f aca="false">Sens!I16196*(al_m365+Sens!I16314+sbc_r)</f>
        <v>123.901582737194</v>
      </c>
      <c r="J16315" s="6" t="n">
        <f aca="false">Sens!J16196*(al_m365+Sens!J16314+sbc_r)</f>
        <v>133.92013912973</v>
      </c>
      <c r="K16315" s="6" t="n">
        <f aca="false">Sens!K16196*(al_m365+Sens!K16314+sbc_r)</f>
        <v>143.589362250538</v>
      </c>
      <c r="L16315" s="12" t="s">
        <v>1236</v>
      </c>
    </row>
    <row r="16316" customFormat="false" ht="17.15" hidden="false" customHeight="false" outlineLevel="0" collapsed="false">
      <c r="A16316" s="0" t="s">
        <v>1237</v>
      </c>
      <c r="B16316" s="0" t="s">
        <v>98</v>
      </c>
      <c r="F16316" s="6" t="n">
        <f aca="false">Sens!F16197*(al_lic+Sens!F16314+sbc_r)</f>
        <v>34.3712255883714</v>
      </c>
      <c r="G16316" s="6" t="n">
        <f aca="false">Sens!G16197*(al_lic+Sens!G16314+sbc_r)</f>
        <v>35.4058828899495</v>
      </c>
      <c r="H16316" s="6" t="n">
        <f aca="false">Sens!H16197*(al_lic+Sens!H16314+sbc_r)</f>
        <v>36.4009844466194</v>
      </c>
      <c r="I16316" s="6" t="n">
        <f aca="false">Sens!I16197*(al_lic+Sens!I16314+sbc_r)</f>
        <v>37.3331284673878</v>
      </c>
      <c r="J16316" s="6" t="n">
        <f aca="false">Sens!J16197*(al_lic+Sens!J16314+sbc_r)</f>
        <v>38.1682589653997</v>
      </c>
      <c r="K16316" s="6" t="n">
        <f aca="false">Sens!K16197*(al_lic+Sens!K16314+sbc_r)</f>
        <v>38.869447308222</v>
      </c>
    </row>
    <row r="16317" customFormat="false" ht="17.15" hidden="false" customHeight="false" outlineLevel="0" collapsed="false">
      <c r="A16317" s="0" t="s">
        <v>1238</v>
      </c>
      <c r="B16317" s="0" t="s">
        <v>98</v>
      </c>
      <c r="F16317" s="6" t="n">
        <f aca="false">Sens!F16199*(al_ind+Sens!F16314+sbc_r)</f>
        <v>9.94030540325038</v>
      </c>
      <c r="G16317" s="6" t="n">
        <f aca="false">Sens!G16199*(al_ind+Sens!G16314+sbc_r)</f>
        <v>10.6094443399461</v>
      </c>
      <c r="H16317" s="6" t="n">
        <f aca="false">Sens!H16199*(al_ind+Sens!H16314+sbc_r)</f>
        <v>11.3402066057245</v>
      </c>
      <c r="I16317" s="6" t="n">
        <f aca="false">Sens!I16199*(al_ind+Sens!I16314+sbc_r)</f>
        <v>12.1292853146886</v>
      </c>
      <c r="J16317" s="6" t="n">
        <f aca="false">Sens!J16199*(al_ind+Sens!J16314+sbc_r)</f>
        <v>12.9639775626783</v>
      </c>
      <c r="K16317" s="6" t="n">
        <f aca="false">Sens!K16199*(al_ind+Sens!K16314+sbc_r)</f>
        <v>13.8255691520158</v>
      </c>
    </row>
    <row r="16318" customFormat="false" ht="17.15" hidden="false" customHeight="false" outlineLevel="0" collapsed="false">
      <c r="A16318" s="0" t="s">
        <v>1239</v>
      </c>
      <c r="B16318" s="0" t="s">
        <v>98</v>
      </c>
      <c r="F16318" s="6" t="n">
        <f aca="false">Sens!F16201*(al_fro+Sens!F16314+sbc_r)</f>
        <v>3.89917358303431</v>
      </c>
      <c r="G16318" s="6" t="n">
        <f aca="false">Sens!G16201*(al_fro+Sens!G16314+sbc_r)</f>
        <v>4.059484345761</v>
      </c>
      <c r="H16318" s="6" t="n">
        <f aca="false">Sens!H16201*(al_fro+Sens!H16314+sbc_r)</f>
        <v>4.25877982218685</v>
      </c>
      <c r="I16318" s="6" t="n">
        <f aca="false">Sens!I16201*(al_fro+Sens!I16314+sbc_r)</f>
        <v>4.49860609135388</v>
      </c>
      <c r="J16318" s="6" t="n">
        <f aca="false">Sens!J16201*(al_fro+Sens!J16314+sbc_r)</f>
        <v>4.77819847843045</v>
      </c>
      <c r="K16318" s="6" t="n">
        <f aca="false">Sens!K16201*(al_fro+Sens!K16314+sbc_r)</f>
        <v>5.09575962826251</v>
      </c>
    </row>
    <row r="16319" customFormat="false" ht="17.15" hidden="false" customHeight="false" outlineLevel="0" collapsed="false">
      <c r="A16319" s="0" t="s">
        <v>1240</v>
      </c>
      <c r="B16319" s="0" t="s">
        <v>98</v>
      </c>
      <c r="F16319" s="6" t="n">
        <f aca="false">Sens!F16204*(al_srch+Sens!F16314+sbc_r)</f>
        <v>12.275701507632</v>
      </c>
      <c r="G16319" s="6" t="n">
        <f aca="false">Sens!G16204*(al_srch+Sens!G16314+sbc_r)</f>
        <v>13.2256722719062</v>
      </c>
      <c r="H16319" s="6" t="n">
        <f aca="false">Sens!H16204*(al_srch+Sens!H16314+sbc_r)</f>
        <v>14.2372066680991</v>
      </c>
      <c r="I16319" s="6" t="n">
        <f aca="false">Sens!I16204*(al_srch+Sens!I16314+sbc_r)</f>
        <v>15.300473966991</v>
      </c>
      <c r="J16319" s="6" t="n">
        <f aca="false">Sens!J16204*(al_srch+Sens!J16314+sbc_r)</f>
        <v>16.3925926504253</v>
      </c>
      <c r="K16319" s="6" t="n">
        <f aca="false">Sens!K16204*(al_srch+Sens!K16314+sbc_r)</f>
        <v>17.4820514902573</v>
      </c>
    </row>
    <row r="16320" customFormat="false" ht="17.15" hidden="false" customHeight="false" outlineLevel="0" collapsed="false">
      <c r="A16320" s="0" t="s">
        <v>1241</v>
      </c>
      <c r="B16320" s="0" t="s">
        <v>98</v>
      </c>
      <c r="F16320" s="6" t="n">
        <f aca="false">Sens!F16172-Sens!F16173+Sens!F16254</f>
        <v>23.5425747640099</v>
      </c>
      <c r="G16320" s="6" t="n">
        <f aca="false">Sens!G16172-Sens!G16173+Sens!G16254</f>
        <v>27.9887004345605</v>
      </c>
      <c r="H16320" s="6" t="n">
        <f aca="false">Sens!H16172-Sens!H16173+Sens!H16254</f>
        <v>29.8380685607788</v>
      </c>
      <c r="I16320" s="6" t="n">
        <f aca="false">Sens!I16172-Sens!I16173+Sens!I16254</f>
        <v>30.8190724334252</v>
      </c>
      <c r="J16320" s="6" t="n">
        <f aca="false">Sens!J16172-Sens!J16173+Sens!J16254</f>
        <v>32.3005884859934</v>
      </c>
      <c r="K16320" s="6" t="n">
        <f aca="false">Sens!K16172-Sens!K16173+Sens!K16254</f>
        <v>35.2436001039328</v>
      </c>
    </row>
    <row r="16321" customFormat="false" ht="17.15" hidden="false" customHeight="false" outlineLevel="0" collapsed="false">
      <c r="A16321" s="0" t="s">
        <v>1242</v>
      </c>
      <c r="B16321" s="0" t="s">
        <v>98</v>
      </c>
      <c r="F16321" s="6" t="n">
        <f aca="false">Sens!F16233+Sens!F16254+Sens!F16184+Sens!F16314*(Sens!F16203-Sens!F16166)+sbc_r*Sens!F16203</f>
        <v>219.42209938405</v>
      </c>
      <c r="G16321" s="6" t="n">
        <f aca="false">Sens!G16233+Sens!G16254+Sens!G16184+Sens!G16314*(Sens!G16203-Sens!G16166)+sbc_r*Sens!G16203</f>
        <v>245.048978921169</v>
      </c>
      <c r="H16321" s="6" t="n">
        <f aca="false">Sens!H16233+Sens!H16254+Sens!H16184+Sens!H16314*(Sens!H16203-Sens!H16166)+sbc_r*Sens!H16203</f>
        <v>274.1461230431</v>
      </c>
      <c r="I16321" s="6" t="n">
        <f aca="false">Sens!I16233+Sens!I16254+Sens!I16184+Sens!I16314*(Sens!I16203-Sens!I16166)+sbc_r*Sens!I16203</f>
        <v>301.006066628138</v>
      </c>
      <c r="J16321" s="6" t="n">
        <f aca="false">Sens!J16233+Sens!J16254+Sens!J16184+Sens!J16314*(Sens!J16203-Sens!J16166)+sbc_r*Sens!J16203</f>
        <v>326.208554201721</v>
      </c>
      <c r="K16321" s="6" t="n">
        <f aca="false">Sens!K16233+Sens!K16254+Sens!K16184+Sens!K16314*(Sens!K16203-Sens!K16166)+sbc_r*Sens!K16203</f>
        <v>350.763944997667</v>
      </c>
    </row>
    <row r="16322" customFormat="false" ht="17.15" hidden="false" customHeight="false" outlineLevel="0" collapsed="false">
      <c r="A16322" s="0" t="s">
        <v>1243</v>
      </c>
      <c r="B16322" s="0" t="s">
        <v>98</v>
      </c>
      <c r="F16322" s="6" t="n">
        <f aca="false">Sens!F16321-Sens!F16315-Sens!F16316-Sens!F16317-Sens!F16318-Sens!F16320</f>
        <v>59.2726958285074</v>
      </c>
      <c r="G16322" s="6" t="n">
        <f aca="false">Sens!G16321-Sens!G16315-Sens!G16316-Sens!G16317-Sens!G16318-Sens!G16320</f>
        <v>66.5221890600424</v>
      </c>
      <c r="H16322" s="6" t="n">
        <f aca="false">Sens!H16321-Sens!H16315-Sens!H16316-Sens!H16317-Sens!H16318-Sens!H16320</f>
        <v>79.6149034098598</v>
      </c>
      <c r="I16322" s="6" t="n">
        <f aca="false">Sens!I16321-Sens!I16315-Sens!I16316-Sens!I16317-Sens!I16318-Sens!I16320</f>
        <v>92.3243915840883</v>
      </c>
      <c r="J16322" s="6" t="n">
        <f aca="false">Sens!J16321-Sens!J16315-Sens!J16316-Sens!J16317-Sens!J16318-Sens!J16320</f>
        <v>104.07739157949</v>
      </c>
      <c r="K16322" s="6" t="n">
        <f aca="false">Sens!K16321-Sens!K16315-Sens!K16316-Sens!K16317-Sens!K16318-Sens!K16320</f>
        <v>114.140206554696</v>
      </c>
    </row>
    <row r="16323" customFormat="false" ht="17.15" hidden="false" customHeight="false" outlineLevel="0" collapsed="false">
      <c r="A16323" s="0" t="s">
        <v>1244</v>
      </c>
      <c r="B16323" s="0" t="s">
        <v>98</v>
      </c>
      <c r="F16323" s="6" t="n">
        <f aca="false">Sens!F16235+Sens!F16314*Sens!F16210+sbc_r*Sens!F16210</f>
        <v>29.1689736042259</v>
      </c>
      <c r="G16323" s="6" t="n">
        <f aca="false">Sens!G16235+Sens!G16314*Sens!G16210+sbc_r*Sens!G16210</f>
        <v>28.5728960228201</v>
      </c>
      <c r="H16323" s="6" t="n">
        <f aca="false">Sens!H16235+Sens!H16314*Sens!H16210+sbc_r*Sens!H16210</f>
        <v>29.1166213912868</v>
      </c>
      <c r="I16323" s="6" t="n">
        <f aca="false">Sens!I16235+Sens!I16314*Sens!I16210+sbc_r*Sens!I16210</f>
        <v>29.9772866925061</v>
      </c>
      <c r="J16323" s="6" t="n">
        <f aca="false">Sens!J16235+Sens!J16314*Sens!J16210+sbc_r*Sens!J16210</f>
        <v>31.097845878465</v>
      </c>
      <c r="K16323" s="6" t="n">
        <f aca="false">Sens!K16235+Sens!K16314*Sens!K16210+sbc_r*Sens!K16210</f>
        <v>32.4234367333874</v>
      </c>
    </row>
    <row r="16324" customFormat="false" ht="17.15" hidden="false" customHeight="false" outlineLevel="0" collapsed="false">
      <c r="A16324" s="0" t="s">
        <v>1245</v>
      </c>
      <c r="B16324" s="0" t="s">
        <v>98</v>
      </c>
      <c r="F16324" s="6" t="n">
        <f aca="false">(Sens!F16323-Sens!F16319)*Sens!F16206/(Sens!F16206+Sens!F16208)</f>
        <v>9.54107544033349</v>
      </c>
      <c r="G16324" s="6" t="n">
        <f aca="false">(Sens!G16323-Sens!G16319)*Sens!G16206/(Sens!G16206+Sens!G16208)</f>
        <v>8.51892087781835</v>
      </c>
      <c r="H16324" s="6" t="n">
        <f aca="false">(Sens!H16323-Sens!H16319)*Sens!H16206/(Sens!H16206+Sens!H16208)</f>
        <v>8.15165636052449</v>
      </c>
      <c r="I16324" s="6" t="n">
        <f aca="false">(Sens!I16323-Sens!I16319)*Sens!I16206/(Sens!I16206+Sens!I16208)</f>
        <v>7.97047873630776</v>
      </c>
      <c r="J16324" s="6" t="n">
        <f aca="false">(Sens!J16323-Sens!J16319)*Sens!J16206/(Sens!J16206+Sens!J16208)</f>
        <v>7.95108160004076</v>
      </c>
      <c r="K16324" s="6" t="n">
        <f aca="false">(Sens!K16323-Sens!K16319)*Sens!K16206/(Sens!K16206+Sens!K16208)</f>
        <v>8.07875739665919</v>
      </c>
    </row>
    <row r="16325" customFormat="false" ht="17.15" hidden="false" customHeight="false" outlineLevel="0" collapsed="false">
      <c r="A16325" s="0" t="s">
        <v>1246</v>
      </c>
      <c r="B16325" s="0" t="s">
        <v>98</v>
      </c>
      <c r="F16325" s="6" t="n">
        <f aca="false">Sens!F16323-Sens!F16319-Sens!F16324</f>
        <v>7.35219665626043</v>
      </c>
      <c r="G16325" s="6" t="n">
        <f aca="false">Sens!G16323-Sens!G16319-Sens!G16324</f>
        <v>6.82830287309557</v>
      </c>
      <c r="H16325" s="6" t="n">
        <f aca="false">Sens!H16323-Sens!H16319-Sens!H16324</f>
        <v>6.72775836266323</v>
      </c>
      <c r="I16325" s="6" t="n">
        <f aca="false">Sens!I16323-Sens!I16319-Sens!I16324</f>
        <v>6.70633398920729</v>
      </c>
      <c r="J16325" s="6" t="n">
        <f aca="false">Sens!J16323-Sens!J16319-Sens!J16324</f>
        <v>6.75417162799899</v>
      </c>
      <c r="K16325" s="6" t="n">
        <f aca="false">Sens!K16323-Sens!K16319-Sens!K16324</f>
        <v>6.86262784647094</v>
      </c>
    </row>
    <row r="16326" customFormat="false" ht="17.15" hidden="false" customHeight="false" outlineLevel="0" collapsed="false">
      <c r="A16326" s="0" t="s">
        <v>1247</v>
      </c>
      <c r="B16326" s="0" t="s">
        <v>98</v>
      </c>
      <c r="F16326" s="6" t="n">
        <f aca="false">Sens!F16320-tax_f*(Sens!F16320-Sens!F16184)-Sens!F16181</f>
        <v>-5.92980727739207</v>
      </c>
      <c r="G16326" s="6" t="n">
        <f aca="false">Sens!G16320-tax_f*(Sens!G16320-Sens!G16184)-Sens!G16181</f>
        <v>-5.98567221575158</v>
      </c>
      <c r="H16326" s="6" t="n">
        <f aca="false">Sens!H16320-tax_f*(Sens!H16320-Sens!H16184)-Sens!H16181</f>
        <v>30.205971832023</v>
      </c>
      <c r="I16326" s="6" t="n">
        <f aca="false">Sens!I16320-tax_f*(Sens!I16320-Sens!I16184)-Sens!I16181</f>
        <v>1.94048617294574</v>
      </c>
      <c r="J16326" s="6" t="n">
        <f aca="false">Sens!J16320-tax_f*(Sens!J16320-Sens!J16184)-Sens!J16181</f>
        <v>-11.4749648759164</v>
      </c>
      <c r="K16326" s="6" t="n">
        <f aca="false">Sens!K16320-tax_f*(Sens!K16320-Sens!K16184)-Sens!K16181</f>
        <v>-52.0659349868704</v>
      </c>
    </row>
    <row r="16327" customFormat="false" ht="17.15" hidden="false" customHeight="false" outlineLevel="0" collapsed="false">
      <c r="A16327" s="0" t="s">
        <v>1248</v>
      </c>
      <c r="B16327" s="0" t="s">
        <v>98</v>
      </c>
      <c r="G16327" s="6" t="n">
        <f aca="false">Sens!G16326/(1+wacc)^(Sens!G16297-Sens!F16298)</f>
        <v>-5.69951181139505</v>
      </c>
      <c r="H16327" s="6" t="n">
        <f aca="false">Sens!H16326/(1+wacc)^(Sens!H16297-Sens!F16298)</f>
        <v>26.0775625295695</v>
      </c>
      <c r="I16327" s="6" t="n">
        <f aca="false">Sens!I16326/(1+wacc)^(Sens!I16297-Sens!F16298)</f>
        <v>1.51891751393882</v>
      </c>
      <c r="J16327" s="6" t="n">
        <f aca="false">Sens!J16326/(1+wacc)^(Sens!J16297-Sens!F16298)</f>
        <v>-8.14375045032843</v>
      </c>
      <c r="K16327" s="6" t="n">
        <f aca="false">Sens!K16326/(1+wacc)^(Sens!K16297-Sens!F16298)</f>
        <v>-33.502423089654</v>
      </c>
      <c r="L16327" s="1" t="s">
        <v>1249</v>
      </c>
    </row>
    <row r="16328" customFormat="false" ht="17.15" hidden="false" customHeight="false" outlineLevel="0" collapsed="false">
      <c r="A16328" s="0" t="s">
        <v>1250</v>
      </c>
      <c r="B16328" s="0" t="s">
        <v>98</v>
      </c>
      <c r="C16328" s="6" t="n">
        <f aca="false">(Sens!K16320-Sens!K16184)*(1-tax_f)*(1+g_tv)*(1-g_tv/(wacc+ronic_prem))/(wacc-g_tv)/(1+wacc)^(Sens!K16298-Sens!F16298)</f>
        <v>-4.23511305364801</v>
      </c>
    </row>
    <row r="16329" customFormat="false" ht="17.15" hidden="false" customHeight="false" outlineLevel="0" collapsed="false">
      <c r="A16329" s="1" t="s">
        <v>1251</v>
      </c>
      <c r="B16329" s="0" t="s">
        <v>98</v>
      </c>
      <c r="C16329" s="6" t="n">
        <f aca="false">(SUM(Sens!G16327:K16327)+Sens!$C$16328)*(1+wacc)^(t_roll-Sens!F16298)</f>
        <v>-24.7761132445933</v>
      </c>
      <c r="L16329" s="12" t="s">
        <v>1252</v>
      </c>
    </row>
    <row r="16330" customFormat="false" ht="17.15" hidden="false" customHeight="false" outlineLevel="0" collapsed="false">
      <c r="A16330" s="1" t="s">
        <v>1253</v>
      </c>
      <c r="B16330" s="0" t="s">
        <v>98</v>
      </c>
      <c r="C16330" s="6" t="n">
        <f aca="false">(w_ntm28*Sens!G16172+(1-w_ntm28)*Sens!H16172)*m_ai</f>
        <v>206.567859265904</v>
      </c>
    </row>
    <row r="16331" customFormat="false" ht="17.15" hidden="false" customHeight="false" outlineLevel="0" collapsed="false">
      <c r="A16331" s="1" t="s">
        <v>1254</v>
      </c>
      <c r="B16331" s="0" t="s">
        <v>98</v>
      </c>
      <c r="C16331" s="6" t="n">
        <f aca="false">(w_ntm28*Sens!G16322+(1-w_ntm28)*Sens!H16322)*m_cloud</f>
        <v>978.824207543312</v>
      </c>
    </row>
    <row r="16332" customFormat="false" ht="17.15" hidden="false" customHeight="false" outlineLevel="0" collapsed="false">
      <c r="A16332" s="1" t="s">
        <v>1255</v>
      </c>
      <c r="B16332" s="0" t="s">
        <v>98</v>
      </c>
      <c r="C16332" s="6" t="n">
        <f aca="false">(w_ntm28*Sens!G16315+(1-w_ntm28)*Sens!H16315)*m_sw</f>
        <v>1128.42793076719</v>
      </c>
    </row>
    <row r="16333" customFormat="false" ht="17.15" hidden="false" customHeight="false" outlineLevel="0" collapsed="false">
      <c r="A16333" s="1" t="s">
        <v>1256</v>
      </c>
      <c r="B16333" s="0" t="s">
        <v>98</v>
      </c>
      <c r="C16333" s="6" t="n">
        <f aca="false">(w_ntm28*Sens!G16316+(1-w_ntm28)*Sens!H16316)*m_sw</f>
        <v>385.916827314041</v>
      </c>
    </row>
    <row r="16334" customFormat="false" ht="17.15" hidden="false" customHeight="false" outlineLevel="0" collapsed="false">
      <c r="A16334" s="1" t="s">
        <v>1257</v>
      </c>
      <c r="B16334" s="0" t="s">
        <v>98</v>
      </c>
      <c r="C16334" s="6" t="n">
        <f aca="false">(w_ntm28*Sens!G16317+(1-w_ntm28)*Sens!H16317)*m_sw</f>
        <v>117.176705437031</v>
      </c>
    </row>
    <row r="16335" customFormat="false" ht="17.15" hidden="false" customHeight="false" outlineLevel="0" collapsed="false">
      <c r="A16335" s="1" t="s">
        <v>1258</v>
      </c>
      <c r="B16335" s="0" t="s">
        <v>98</v>
      </c>
      <c r="C16335" s="6" t="n">
        <f aca="false">(w_ntm28*Sens!G16318+(1-w_ntm28)*Sens!H16318)*m_sw</f>
        <v>44.5500663792815</v>
      </c>
    </row>
    <row r="16336" customFormat="false" ht="17.15" hidden="false" customHeight="false" outlineLevel="0" collapsed="false">
      <c r="A16336" s="1" t="s">
        <v>1259</v>
      </c>
      <c r="B16336" s="0" t="s">
        <v>98</v>
      </c>
      <c r="C16336" s="6" t="n">
        <f aca="false">(w_ntm28*Sens!G16319+(1-w_ntm28)*Sens!H16319)*m_ads</f>
        <v>123.515489196841</v>
      </c>
    </row>
    <row r="16337" customFormat="false" ht="17.15" hidden="false" customHeight="false" outlineLevel="0" collapsed="false">
      <c r="A16337" s="1" t="s">
        <v>1260</v>
      </c>
      <c r="B16337" s="0" t="s">
        <v>98</v>
      </c>
      <c r="C16337" s="6" t="n">
        <f aca="false">(w_ntm28*Sens!G16324+(1-w_ntm28)*Sens!H16324)*m_game</f>
        <v>106.068967666543</v>
      </c>
    </row>
    <row r="16338" customFormat="false" ht="17.15" hidden="false" customHeight="false" outlineLevel="0" collapsed="false">
      <c r="A16338" s="1" t="s">
        <v>1261</v>
      </c>
      <c r="B16338" s="0" t="s">
        <v>98</v>
      </c>
      <c r="C16338" s="6" t="n">
        <f aca="false">(w_ntm28*Sens!G16325+(1-w_ntm28)*Sens!H16325)*m_pc</f>
        <v>98.3272261684471</v>
      </c>
    </row>
    <row r="16339" customFormat="false" ht="17.15" hidden="false" customHeight="false" outlineLevel="0" collapsed="false">
      <c r="A16339" s="1" t="s">
        <v>1262</v>
      </c>
      <c r="B16339" s="0" t="s">
        <v>98</v>
      </c>
      <c r="C16339" s="6" t="n">
        <f aca="false">Sens!$C$16329+Sens!$C$16331+Sens!$C$16332+Sens!$C$16333+Sens!$C$16334+Sens!$C$16335+Sens!$C$16336+Sens!$C$16337+Sens!$C$16338</f>
        <v>2958.0313072281</v>
      </c>
    </row>
    <row r="16340" customFormat="false" ht="17.15" hidden="false" customHeight="false" outlineLevel="0" collapsed="false">
      <c r="A16340" s="1" t="s">
        <v>1263</v>
      </c>
      <c r="B16340" s="0" t="s">
        <v>98</v>
      </c>
      <c r="C16340" s="6" t="n">
        <f aca="false">(Sens!G16301-Sens!G16326)*t_stub</f>
        <v>49.04817118765</v>
      </c>
      <c r="L16340" s="1" t="s">
        <v>1264</v>
      </c>
    </row>
    <row r="16341" customFormat="false" ht="17.15" hidden="false" customHeight="false" outlineLevel="0" collapsed="false">
      <c r="A16341" s="1" t="s">
        <v>1173</v>
      </c>
      <c r="B16341" s="0" t="s">
        <v>98</v>
      </c>
      <c r="C16341" s="6" t="n">
        <f aca="false">Sens!F16288+oai_v-Sens!F16277+Sens!$C$16340</f>
        <v>159.1211718586</v>
      </c>
      <c r="L16341" s="1" t="s">
        <v>1265</v>
      </c>
    </row>
    <row r="16342" customFormat="false" ht="17.15" hidden="false" customHeight="false" outlineLevel="0" collapsed="false">
      <c r="A16342" s="1" t="s">
        <v>1266</v>
      </c>
      <c r="B16342" s="0" t="s">
        <v>75</v>
      </c>
      <c r="C16342" s="5" t="n">
        <f aca="false">(Sens!$C$16339+Sens!$C$16341)/(Sens!F16290+dil_gap)-Sens!G16280*roll_div_q/q_per_yr</f>
        <v>414.802613005162</v>
      </c>
      <c r="L16342" s="1" t="s">
        <v>1267</v>
      </c>
    </row>
    <row r="16343" customFormat="false" ht="17.15" hidden="false" customHeight="false" outlineLevel="0" collapsed="false">
      <c r="A16343" s="1" t="s">
        <v>1268</v>
      </c>
      <c r="B16343" s="0" t="s">
        <v>75</v>
      </c>
      <c r="C16343" s="5" t="n">
        <f aca="false">w_dcf*Sens!$C$16313+(1-w_dcf)*Sens!$C$16342</f>
        <v>354.947084554327</v>
      </c>
    </row>
    <row r="16344" customFormat="false" ht="17.15" hidden="false" customHeight="false" outlineLevel="0" collapsed="false">
      <c r="A16344" s="3" t="s">
        <v>2014</v>
      </c>
    </row>
    <row r="16345" customFormat="false" ht="15" hidden="false" customHeight="false" outlineLevel="0" collapsed="false">
      <c r="A16345" s="4" t="s">
        <v>43</v>
      </c>
      <c r="B16345" s="4" t="s">
        <v>65</v>
      </c>
      <c r="C16345" s="23" t="s">
        <v>942</v>
      </c>
      <c r="D16345" s="23" t="s">
        <v>943</v>
      </c>
      <c r="E16345" s="23" t="s">
        <v>944</v>
      </c>
      <c r="F16345" s="23" t="s">
        <v>945</v>
      </c>
      <c r="G16345" s="23" t="s">
        <v>946</v>
      </c>
      <c r="H16345" s="23" t="s">
        <v>947</v>
      </c>
      <c r="I16345" s="23" t="s">
        <v>948</v>
      </c>
      <c r="J16345" s="23" t="s">
        <v>949</v>
      </c>
      <c r="K16345" s="23" t="s">
        <v>950</v>
      </c>
      <c r="L16345" s="4" t="s">
        <v>47</v>
      </c>
    </row>
    <row r="16346" customFormat="false" ht="17.15" hidden="false" customHeight="false" outlineLevel="0" collapsed="false">
      <c r="A16346" s="1" t="s">
        <v>951</v>
      </c>
      <c r="B16346" s="1" t="s">
        <v>279</v>
      </c>
      <c r="C16346" s="21" t="n">
        <v>2024</v>
      </c>
      <c r="D16346" s="21" t="n">
        <v>2025</v>
      </c>
      <c r="E16346" s="21" t="n">
        <v>2026</v>
      </c>
      <c r="F16346" s="21" t="n">
        <v>2027</v>
      </c>
      <c r="G16346" s="21" t="n">
        <v>2028</v>
      </c>
      <c r="H16346" s="21" t="n">
        <v>2029</v>
      </c>
      <c r="I16346" s="21" t="n">
        <v>2030</v>
      </c>
      <c r="J16346" s="21" t="n">
        <v>2031</v>
      </c>
      <c r="K16346" s="21" t="n">
        <v>2032</v>
      </c>
    </row>
    <row r="16347" customFormat="false" ht="17.15" hidden="false" customHeight="false" outlineLevel="0" collapsed="false">
      <c r="A16347" s="1" t="s">
        <v>952</v>
      </c>
      <c r="B16347" s="0" t="s">
        <v>459</v>
      </c>
      <c r="F16347" s="30" t="n">
        <f aca="false">pace_epoch</f>
        <v>650</v>
      </c>
      <c r="G16347" s="30" t="n">
        <f aca="false">pace_epoch</f>
        <v>650</v>
      </c>
      <c r="H16347" s="30" t="n">
        <f aca="false">pace_epoch</f>
        <v>650</v>
      </c>
      <c r="I16347" s="30" t="n">
        <f aca="false">pace_epoch+(g_tv*Sens!H16348-pace_epoch)*MIN(1,(Sens!I16346-pace_y0)/(pace_y1-pace_y0))</f>
        <v>477.193333333333</v>
      </c>
      <c r="J16347" s="30" t="n">
        <f aca="false">pace_epoch+(g_tv*Sens!I16348-pace_epoch)*MIN(1,(Sens!J16346-pace_y0)/(pace_y1-pace_y0))</f>
        <v>304.386666666667</v>
      </c>
      <c r="K16347" s="30" t="n">
        <f aca="false">pace_epoch+(g_tv*Sens!J16348-pace_epoch)*MIN(1,(Sens!K16346-pace_y0)/(pace_y1-pace_y0))</f>
        <v>131.58</v>
      </c>
      <c r="L16347" s="12" t="s">
        <v>953</v>
      </c>
    </row>
    <row r="16348" customFormat="false" ht="17.15" hidden="false" customHeight="false" outlineLevel="0" collapsed="false">
      <c r="A16348" s="1" t="s">
        <v>954</v>
      </c>
      <c r="B16348" s="0" t="s">
        <v>459</v>
      </c>
      <c r="C16348" s="30" t="n">
        <f aca="false">mw_ext_24</f>
        <v>640</v>
      </c>
      <c r="D16348" s="30" t="n">
        <f aca="false">mw_ext_25</f>
        <v>1630</v>
      </c>
      <c r="E16348" s="30" t="n">
        <f aca="false">mw_ext_26</f>
        <v>3250</v>
      </c>
      <c r="F16348" s="30" t="n">
        <f aca="false">MIN(cap_epoch,Sens!E16348+Sens!F16347)</f>
        <v>3900</v>
      </c>
      <c r="G16348" s="30" t="n">
        <f aca="false">MIN(cap_epoch,Sens!F16348+Sens!G16347)</f>
        <v>4386</v>
      </c>
      <c r="H16348" s="30" t="n">
        <f aca="false">MIN(cap_epoch,Sens!G16348+Sens!H16347)</f>
        <v>4386</v>
      </c>
      <c r="I16348" s="30" t="n">
        <f aca="false">MIN(cap_epoch,Sens!H16348+Sens!I16347)</f>
        <v>4386</v>
      </c>
      <c r="J16348" s="30" t="n">
        <f aca="false">MIN(cap_epoch,Sens!I16348+Sens!J16347)</f>
        <v>4386</v>
      </c>
      <c r="K16348" s="30" t="n">
        <f aca="false">MIN(cap_epoch,Sens!J16348+Sens!K16347)</f>
        <v>4386</v>
      </c>
      <c r="L16348" s="1" t="s">
        <v>955</v>
      </c>
    </row>
    <row r="16349" customFormat="false" ht="17.15" hidden="false" customHeight="false" outlineLevel="0" collapsed="false">
      <c r="A16349" s="1" t="s">
        <v>956</v>
      </c>
      <c r="B16349" s="0" t="s">
        <v>459</v>
      </c>
      <c r="C16349" s="30" t="n">
        <f aca="false">rent_ext_24</f>
        <v>150</v>
      </c>
      <c r="D16349" s="30" t="n">
        <f aca="false">rent_ext_25</f>
        <v>400</v>
      </c>
      <c r="E16349" s="30" t="n">
        <f aca="false">rent_ext_26</f>
        <v>550</v>
      </c>
      <c r="F16349" s="30" t="n">
        <f aca="false">rent_ext_f</f>
        <v>756</v>
      </c>
      <c r="G16349" s="30" t="n">
        <f aca="false">rent_ext_f</f>
        <v>756</v>
      </c>
      <c r="H16349" s="30" t="n">
        <f aca="false">rent_ext_f</f>
        <v>756</v>
      </c>
      <c r="I16349" s="30" t="n">
        <f aca="false">rent_ext_f</f>
        <v>756</v>
      </c>
      <c r="J16349" s="30" t="n">
        <f aca="false">rent_ext_f</f>
        <v>756</v>
      </c>
      <c r="K16349" s="30" t="n">
        <f aca="false">rent_ext_f</f>
        <v>756</v>
      </c>
      <c r="L16349" s="1" t="s">
        <v>957</v>
      </c>
    </row>
    <row r="16350" customFormat="false" ht="17.15" hidden="false" customHeight="false" outlineLevel="0" collapsed="false">
      <c r="A16350" s="1" t="s">
        <v>958</v>
      </c>
      <c r="B16350" s="0" t="s">
        <v>459</v>
      </c>
      <c r="C16350" s="30" t="n">
        <f aca="false">Sens!C16348-Sens!C16349</f>
        <v>490</v>
      </c>
      <c r="D16350" s="30" t="n">
        <f aca="false">Sens!D16348-Sens!D16349</f>
        <v>1230</v>
      </c>
      <c r="E16350" s="30" t="n">
        <f aca="false">Sens!E16348-Sens!E16349</f>
        <v>2700</v>
      </c>
      <c r="F16350" s="30" t="n">
        <f aca="false">Sens!F16348-Sens!F16349</f>
        <v>3144</v>
      </c>
      <c r="G16350" s="30" t="n">
        <f aca="false">Sens!G16348-Sens!G16349</f>
        <v>3630</v>
      </c>
      <c r="H16350" s="30" t="n">
        <f aca="false">Sens!H16348-Sens!H16349</f>
        <v>3630</v>
      </c>
      <c r="I16350" s="30" t="n">
        <f aca="false">Sens!I16348-Sens!I16349</f>
        <v>3630</v>
      </c>
      <c r="J16350" s="30" t="n">
        <f aca="false">Sens!J16348-Sens!J16349</f>
        <v>3630</v>
      </c>
      <c r="K16350" s="30" t="n">
        <f aca="false">Sens!K16348-Sens!K16349</f>
        <v>3630</v>
      </c>
    </row>
    <row r="16351" customFormat="false" ht="17.15" hidden="false" customHeight="false" outlineLevel="0" collapsed="false">
      <c r="A16351" s="1" t="s">
        <v>959</v>
      </c>
      <c r="B16351" s="0" t="s">
        <v>459</v>
      </c>
      <c r="C16351" s="30" t="n">
        <f aca="false">Sens!C16350/ext_sh</f>
        <v>816.666666666667</v>
      </c>
      <c r="D16351" s="30" t="n">
        <f aca="false">Sens!D16350/ext_sh</f>
        <v>2050</v>
      </c>
      <c r="E16351" s="30" t="n">
        <f aca="false">Sens!E16350/ext_sh</f>
        <v>4500</v>
      </c>
      <c r="F16351" s="30" t="n">
        <f aca="false">Sens!F16350/ext_sh</f>
        <v>5240</v>
      </c>
      <c r="G16351" s="30" t="n">
        <f aca="false">Sens!G16350/ext_sh</f>
        <v>6050</v>
      </c>
      <c r="H16351" s="30" t="n">
        <f aca="false">Sens!H16350/ext_sh</f>
        <v>6050</v>
      </c>
      <c r="I16351" s="30" t="n">
        <f aca="false">Sens!I16350/ext_sh</f>
        <v>6050</v>
      </c>
      <c r="J16351" s="30" t="n">
        <f aca="false">Sens!J16350/ext_sh</f>
        <v>6050</v>
      </c>
      <c r="K16351" s="30" t="n">
        <f aca="false">Sens!K16350/ext_sh</f>
        <v>6050</v>
      </c>
      <c r="L16351" s="1" t="s">
        <v>960</v>
      </c>
    </row>
    <row r="16352" customFormat="false" ht="17.15" hidden="false" customHeight="false" outlineLevel="0" collapsed="false">
      <c r="A16352" s="1" t="s">
        <v>961</v>
      </c>
      <c r="B16352" s="0" t="s">
        <v>459</v>
      </c>
      <c r="C16352" s="30" t="n">
        <f aca="false">Sens!C16351-Sens!C16350</f>
        <v>326.666666666667</v>
      </c>
      <c r="D16352" s="30" t="n">
        <f aca="false">Sens!D16351-Sens!D16350</f>
        <v>820</v>
      </c>
      <c r="E16352" s="30" t="n">
        <f aca="false">Sens!E16351-Sens!E16350</f>
        <v>1800</v>
      </c>
      <c r="F16352" s="30" t="n">
        <f aca="false">Sens!F16351-Sens!F16350</f>
        <v>2096</v>
      </c>
      <c r="G16352" s="30" t="n">
        <f aca="false">Sens!G16351-Sens!G16350</f>
        <v>2420</v>
      </c>
      <c r="H16352" s="30" t="n">
        <f aca="false">Sens!H16351-Sens!H16350</f>
        <v>2420</v>
      </c>
      <c r="I16352" s="30" t="n">
        <f aca="false">Sens!I16351-Sens!I16350</f>
        <v>2420</v>
      </c>
      <c r="J16352" s="30" t="n">
        <f aca="false">Sens!J16351-Sens!J16350</f>
        <v>2420</v>
      </c>
      <c r="K16352" s="30" t="n">
        <f aca="false">Sens!K16351-Sens!K16350</f>
        <v>2420</v>
      </c>
    </row>
    <row r="16353" customFormat="false" ht="17.15" hidden="false" customHeight="false" outlineLevel="0" collapsed="false">
      <c r="A16353" s="1" t="s">
        <v>962</v>
      </c>
      <c r="B16353" s="0" t="s">
        <v>459</v>
      </c>
      <c r="C16353" s="30" t="n">
        <f aca="false">Sens!C16351</f>
        <v>816.666666666667</v>
      </c>
      <c r="D16353" s="30" t="n">
        <f aca="false">Sens!D16351-Sens!C16351</f>
        <v>1233.33333333333</v>
      </c>
      <c r="E16353" s="30" t="n">
        <f aca="false">Sens!E16351-Sens!D16351</f>
        <v>2450</v>
      </c>
      <c r="F16353" s="30" t="n">
        <f aca="false">Sens!F16351-Sens!E16351</f>
        <v>740</v>
      </c>
      <c r="G16353" s="30" t="n">
        <f aca="false">Sens!G16351-Sens!F16351</f>
        <v>810</v>
      </c>
      <c r="H16353" s="30" t="n">
        <f aca="false">Sens!H16351-Sens!G16351</f>
        <v>0</v>
      </c>
      <c r="I16353" s="30" t="n">
        <f aca="false">Sens!I16351-Sens!H16351</f>
        <v>0</v>
      </c>
      <c r="J16353" s="30" t="n">
        <f aca="false">Sens!J16351-Sens!I16351</f>
        <v>0</v>
      </c>
      <c r="K16353" s="30" t="n">
        <f aca="false">Sens!K16351-Sens!J16351</f>
        <v>0</v>
      </c>
    </row>
    <row r="16354" customFormat="false" ht="17.15" hidden="false" customHeight="false" outlineLevel="0" collapsed="false">
      <c r="A16354" s="1" t="s">
        <v>963</v>
      </c>
      <c r="B16354" s="0" t="s">
        <v>459</v>
      </c>
      <c r="D16354" s="30" t="n">
        <f aca="false">Sens!D16348-Sens!C16348</f>
        <v>990</v>
      </c>
      <c r="E16354" s="30" t="n">
        <f aca="false">Sens!E16348-Sens!D16348</f>
        <v>1620</v>
      </c>
      <c r="F16354" s="30" t="n">
        <f aca="false">Sens!F16348-Sens!E16348</f>
        <v>650</v>
      </c>
      <c r="G16354" s="30" t="n">
        <f aca="false">Sens!G16348-Sens!F16348</f>
        <v>486</v>
      </c>
      <c r="H16354" s="30" t="n">
        <f aca="false">Sens!H16348-Sens!G16348</f>
        <v>0</v>
      </c>
      <c r="I16354" s="30" t="n">
        <f aca="false">Sens!I16348-Sens!H16348</f>
        <v>0</v>
      </c>
      <c r="J16354" s="30" t="n">
        <f aca="false">Sens!J16348-Sens!I16348</f>
        <v>0</v>
      </c>
      <c r="K16354" s="30" t="n">
        <f aca="false">Sens!K16348-Sens!J16348</f>
        <v>0</v>
      </c>
    </row>
    <row r="16355" customFormat="false" ht="17.15" hidden="false" customHeight="false" outlineLevel="0" collapsed="false">
      <c r="A16355" s="1" t="s">
        <v>964</v>
      </c>
      <c r="B16355" s="0" t="s">
        <v>459</v>
      </c>
      <c r="F16355" s="30" t="n">
        <f aca="false">Sens!F16374*ext_sh</f>
        <v>0</v>
      </c>
      <c r="G16355" s="30" t="n">
        <f aca="false">Sens!G16374*ext_sh</f>
        <v>0</v>
      </c>
      <c r="H16355" s="30" t="n">
        <f aca="false">Sens!H16374*ext_sh</f>
        <v>0</v>
      </c>
      <c r="I16355" s="30" t="n">
        <f aca="false">Sens!I16374*ext_sh</f>
        <v>490</v>
      </c>
      <c r="J16355" s="30" t="n">
        <f aca="false">Sens!J16374*ext_sh</f>
        <v>740</v>
      </c>
      <c r="K16355" s="30" t="n">
        <f aca="false">Sens!K16374*ext_sh</f>
        <v>1470</v>
      </c>
      <c r="L16355" s="1" t="s">
        <v>965</v>
      </c>
    </row>
    <row r="16356" customFormat="false" ht="17.15" hidden="false" customHeight="false" outlineLevel="0" collapsed="false">
      <c r="A16356" s="1" t="s">
        <v>966</v>
      </c>
      <c r="B16356" s="0" t="s">
        <v>459</v>
      </c>
      <c r="C16356" s="30" t="n">
        <f aca="false">mix_h*Sens!C16348</f>
        <v>128</v>
      </c>
      <c r="D16356" s="30" t="n">
        <f aca="false">mix_h*Sens!D16348</f>
        <v>326</v>
      </c>
      <c r="E16356" s="30" t="n">
        <f aca="false">mix_h*Sens!E16348</f>
        <v>650</v>
      </c>
      <c r="F16356" s="30" t="n">
        <f aca="false">Sens!E16356-Sens!F16355*mix_h</f>
        <v>650</v>
      </c>
      <c r="G16356" s="30" t="n">
        <f aca="false">Sens!F16356-Sens!G16355*mix_h</f>
        <v>650</v>
      </c>
      <c r="H16356" s="30" t="n">
        <f aca="false">Sens!G16356-Sens!H16355*mix_h</f>
        <v>650</v>
      </c>
      <c r="I16356" s="30" t="n">
        <f aca="false">Sens!H16356-Sens!I16355*mix_h</f>
        <v>552</v>
      </c>
      <c r="J16356" s="30" t="n">
        <f aca="false">Sens!I16356-Sens!J16355*mix_h</f>
        <v>404</v>
      </c>
      <c r="K16356" s="30" t="n">
        <f aca="false">Sens!J16356-Sens!K16355*mix_h</f>
        <v>110</v>
      </c>
    </row>
    <row r="16357" customFormat="false" ht="17.15" hidden="false" customHeight="false" outlineLevel="0" collapsed="false">
      <c r="A16357" s="1" t="s">
        <v>967</v>
      </c>
      <c r="B16357" s="0" t="s">
        <v>459</v>
      </c>
      <c r="C16357" s="30" t="n">
        <f aca="false">mix_g2*Sens!C16348</f>
        <v>288</v>
      </c>
      <c r="D16357" s="30" t="n">
        <f aca="false">mix_g2*Sens!D16348</f>
        <v>733.5</v>
      </c>
      <c r="E16357" s="30" t="n">
        <f aca="false">mix_g2*Sens!E16348</f>
        <v>1462.5</v>
      </c>
      <c r="F16357" s="30" t="n">
        <f aca="false">Sens!E16357-Sens!F16355*mix_g2</f>
        <v>1462.5</v>
      </c>
      <c r="G16357" s="30" t="n">
        <f aca="false">Sens!F16357-Sens!G16355*mix_g2</f>
        <v>1462.5</v>
      </c>
      <c r="H16357" s="30" t="n">
        <f aca="false">Sens!G16357-Sens!H16355*mix_g2</f>
        <v>1462.5</v>
      </c>
      <c r="I16357" s="30" t="n">
        <f aca="false">Sens!H16357-Sens!I16355*mix_g2</f>
        <v>1242</v>
      </c>
      <c r="J16357" s="30" t="n">
        <f aca="false">Sens!I16357-Sens!J16355*mix_g2</f>
        <v>909</v>
      </c>
      <c r="K16357" s="30" t="n">
        <f aca="false">Sens!J16357-Sens!K16355*mix_g2</f>
        <v>247.5</v>
      </c>
    </row>
    <row r="16358" customFormat="false" ht="17.15" hidden="false" customHeight="false" outlineLevel="0" collapsed="false">
      <c r="A16358" s="1" t="s">
        <v>968</v>
      </c>
      <c r="B16358" s="0" t="s">
        <v>459</v>
      </c>
      <c r="C16358" s="30" t="n">
        <f aca="false">mix_g3*Sens!C16348</f>
        <v>224</v>
      </c>
      <c r="D16358" s="30" t="n">
        <f aca="false">mix_g3*Sens!D16348</f>
        <v>570.5</v>
      </c>
      <c r="E16358" s="30" t="n">
        <f aca="false">mix_g3*Sens!E16348</f>
        <v>1137.5</v>
      </c>
      <c r="F16358" s="30" t="n">
        <f aca="false">Sens!E16358+(Sens!F16354+Sens!F16355)*(a_g3_27-nonnv*a_mai)-Sens!F16355*mix_g3</f>
        <v>1527.5</v>
      </c>
      <c r="G16358" s="30" t="n">
        <f aca="false">Sens!F16358+(Sens!G16354+Sens!G16355)*(a_g3_28-nonnv*a_mai)-Sens!G16355*mix_g3</f>
        <v>1624.7</v>
      </c>
      <c r="H16358" s="30" t="n">
        <f aca="false">Sens!G16358+(Sens!H16354+Sens!H16355)*(a_g3_29-nonnv*a_mai)-Sens!H16355*mix_g3</f>
        <v>1624.7</v>
      </c>
      <c r="I16358" s="30" t="n">
        <f aca="false">Sens!H16358+(Sens!I16354+Sens!I16355)*(a_g3_29-nonnv*a_mai)-Sens!I16355*mix_g3</f>
        <v>1453.2</v>
      </c>
      <c r="J16358" s="30" t="n">
        <f aca="false">Sens!I16358+(Sens!J16354+Sens!J16355)*(a_g3_29-nonnv*a_mai)-Sens!J16355*mix_g3</f>
        <v>1194.2</v>
      </c>
      <c r="K16358" s="30" t="n">
        <f aca="false">Sens!J16358+(Sens!K16354+Sens!K16355)*(a_g3_29-nonnv*a_mai)-Sens!K16355*mix_g3</f>
        <v>679.7</v>
      </c>
    </row>
    <row r="16359" customFormat="false" ht="17.15" hidden="false" customHeight="false" outlineLevel="0" collapsed="false">
      <c r="A16359" s="1" t="s">
        <v>969</v>
      </c>
      <c r="B16359" s="0" t="s">
        <v>459</v>
      </c>
      <c r="C16359" s="30" t="n">
        <v>0</v>
      </c>
      <c r="D16359" s="30" t="n">
        <v>0</v>
      </c>
      <c r="E16359" s="30" t="n">
        <v>0</v>
      </c>
      <c r="F16359" s="30" t="n">
        <f aca="false">Sens!E16359+(Sens!F16354+Sens!F16355)*nonnv*a_mai</f>
        <v>65</v>
      </c>
      <c r="G16359" s="30" t="n">
        <f aca="false">Sens!F16359+(Sens!G16354+Sens!G16355)*nonnv*a_mai</f>
        <v>113.6</v>
      </c>
      <c r="H16359" s="30" t="n">
        <f aca="false">Sens!G16359+(Sens!H16354+Sens!H16355)*nonnv*a_mai</f>
        <v>113.6</v>
      </c>
      <c r="I16359" s="30" t="n">
        <f aca="false">Sens!H16359+(Sens!I16354+Sens!I16355)*nonnv*a_mai</f>
        <v>162.6</v>
      </c>
      <c r="J16359" s="30" t="n">
        <f aca="false">Sens!I16359+(Sens!J16354+Sens!J16355)*nonnv*a_mai</f>
        <v>236.6</v>
      </c>
      <c r="K16359" s="30" t="n">
        <f aca="false">Sens!J16359+(Sens!K16354+Sens!K16355)*nonnv*a_mai</f>
        <v>383.6</v>
      </c>
      <c r="L16359" s="12" t="s">
        <v>970</v>
      </c>
    </row>
    <row r="16360" customFormat="false" ht="17.15" hidden="false" customHeight="false" outlineLevel="0" collapsed="false">
      <c r="A16360" s="1" t="s">
        <v>971</v>
      </c>
      <c r="B16360" s="0" t="s">
        <v>459</v>
      </c>
      <c r="C16360" s="30" t="n">
        <v>0</v>
      </c>
      <c r="D16360" s="30" t="n">
        <v>0</v>
      </c>
      <c r="E16360" s="30" t="n">
        <v>0</v>
      </c>
      <c r="F16360" s="30" t="n">
        <f aca="false">Sens!E16360+(Sens!F16354+Sens!F16355)*(1-a_g3_27)</f>
        <v>195</v>
      </c>
      <c r="G16360" s="30" t="n">
        <f aca="false">Sens!F16360+(Sens!G16354+Sens!G16355)*(1-a_g3_28)</f>
        <v>535.2</v>
      </c>
      <c r="H16360" s="30" t="n">
        <f aca="false">Sens!G16360+(Sens!H16354+Sens!H16355)*(1-a_g3_29)</f>
        <v>535.2</v>
      </c>
      <c r="I16360" s="30" t="n">
        <f aca="false">Sens!H16360+(Sens!I16354+Sens!I16355)*(1-a_g3_29)</f>
        <v>976.2</v>
      </c>
      <c r="J16360" s="30" t="n">
        <f aca="false">Sens!I16360+(Sens!J16354+Sens!J16355)*(1-a_g3_29)</f>
        <v>1642.2</v>
      </c>
      <c r="K16360" s="30" t="n">
        <f aca="false">Sens!J16360+(Sens!K16354+Sens!K16355)*(1-a_g3_29)</f>
        <v>2965.2</v>
      </c>
    </row>
    <row r="16361" customFormat="false" ht="17.15" hidden="false" customHeight="false" outlineLevel="0" collapsed="false">
      <c r="A16361" s="1" t="s">
        <v>972</v>
      </c>
      <c r="B16361" s="0" t="s">
        <v>403</v>
      </c>
      <c r="C16361" s="15" t="n">
        <f aca="false">(Sens!C16356*tk_hold_h100+Sens!C16357*tk_hold_gb200+Sens!C16358*tk_hold_gb300+Sens!C16360*tk_hold_vr200+Sens!C16359*nv_hold_mai*tk_hold_vr200)/Sens!C16348</f>
        <v>9.7235358126469</v>
      </c>
      <c r="D16361" s="15" t="n">
        <f aca="false">(Sens!D16356*tk_hold_h100+Sens!D16357*tk_hold_gb200+Sens!D16358*tk_hold_gb300+Sens!D16360*tk_hold_vr200+Sens!D16359*nv_hold_mai*tk_hold_vr200)/Sens!D16348</f>
        <v>9.7235358126469</v>
      </c>
      <c r="E16361" s="15" t="n">
        <f aca="false">(Sens!E16356*tk_hold_h100+Sens!E16357*tk_hold_gb200+Sens!E16358*tk_hold_gb300+Sens!E16360*tk_hold_vr200+Sens!E16359*nv_hold_mai*tk_hold_vr200)/Sens!E16348</f>
        <v>9.7235358126469</v>
      </c>
      <c r="F16361" s="15" t="n">
        <f aca="false">(Sens!F16356*tk_hold_h100+Sens!F16357*tk_hold_gb200+Sens!F16358*tk_hold_gb300+Sens!F16360*tk_hold_vr200+Sens!F16359*nv_hold_mai*tk_hold_vr200)/Sens!F16348</f>
        <v>9.9047400860175</v>
      </c>
      <c r="G16361" s="15" t="n">
        <f aca="false">(Sens!G16356*tk_hold_h100+Sens!G16357*tk_hold_gb200+Sens!G16358*tk_hold_gb300+Sens!G16360*tk_hold_vr200+Sens!G16359*nv_hold_mai*tk_hold_vr200)/Sens!G16348</f>
        <v>10.0644846479809</v>
      </c>
      <c r="H16361" s="15" t="n">
        <f aca="false">(Sens!H16356*tk_hold_h100+Sens!H16357*tk_hold_gb200+Sens!H16358*tk_hold_gb300+Sens!H16360*tk_hold_vr200+Sens!H16359*nv_hold_mai*tk_hold_vr200)/Sens!H16348</f>
        <v>10.0644846479809</v>
      </c>
      <c r="I16361" s="15" t="n">
        <f aca="false">(Sens!I16356*tk_hold_h100+Sens!I16357*tk_hold_gb200+Sens!I16358*tk_hold_gb300+Sens!I16360*tk_hold_vr200+Sens!I16359*nv_hold_mai*tk_hold_vr200)/Sens!I16348</f>
        <v>10.2757076768083</v>
      </c>
      <c r="J16361" s="15" t="n">
        <f aca="false">(Sens!J16356*tk_hold_h100+Sens!J16357*tk_hold_gb200+Sens!J16358*tk_hold_gb300+Sens!J16360*tk_hold_vr200+Sens!J16359*nv_hold_mai*tk_hold_vr200)/Sens!J16348</f>
        <v>10.5946975570782</v>
      </c>
      <c r="K16361" s="15" t="n">
        <f aca="false">(Sens!K16356*tk_hold_h100+Sens!K16357*tk_hold_gb200+Sens!K16358*tk_hold_gb300+Sens!K16360*tk_hold_vr200+Sens!K16359*nv_hold_mai*tk_hold_vr200)/Sens!K16348</f>
        <v>11.2283666435604</v>
      </c>
      <c r="L16361" s="1" t="s">
        <v>973</v>
      </c>
    </row>
    <row r="16362" customFormat="false" ht="17.15" hidden="false" customHeight="false" outlineLevel="0" collapsed="false">
      <c r="A16362" s="1" t="s">
        <v>974</v>
      </c>
      <c r="B16362" s="0" t="s">
        <v>403</v>
      </c>
      <c r="C16362" s="15" t="n">
        <f aca="false">(Sens!C16356*tk_hold_h100+Sens!C16357*tk_hold_gb200+Sens!C16358*tk_hold_gb300+Sens!C16360*tk_hold_vr200+Sens!C16359*nv_out_mai*tk_hold_vr200)/Sens!C16348</f>
        <v>9.7235358126469</v>
      </c>
      <c r="D16362" s="15" t="n">
        <f aca="false">(Sens!D16356*tk_hold_h100+Sens!D16357*tk_hold_gb200+Sens!D16358*tk_hold_gb300+Sens!D16360*tk_hold_vr200+Sens!D16359*nv_out_mai*tk_hold_vr200)/Sens!D16348</f>
        <v>9.7235358126469</v>
      </c>
      <c r="E16362" s="15" t="n">
        <f aca="false">(Sens!E16356*tk_hold_h100+Sens!E16357*tk_hold_gb200+Sens!E16358*tk_hold_gb300+Sens!E16360*tk_hold_vr200+Sens!E16359*nv_out_mai*tk_hold_vr200)/Sens!E16348</f>
        <v>9.7235358126469</v>
      </c>
      <c r="F16362" s="15" t="n">
        <f aca="false">(Sens!F16356*tk_hold_h100+Sens!F16357*tk_hold_gb200+Sens!F16358*tk_hold_gb300+Sens!F16360*tk_hold_vr200+Sens!F16359*nv_out_mai*tk_hold_vr200)/Sens!F16348</f>
        <v>9.91492797852132</v>
      </c>
      <c r="G16362" s="15" t="n">
        <f aca="false">(Sens!G16356*tk_hold_h100+Sens!G16357*tk_hold_gb200+Sens!G16358*tk_hold_gb300+Sens!G16360*tk_hold_vr200+Sens!G16359*nv_out_mai*tk_hold_vr200)/Sens!G16348</f>
        <v>10.0803169952919</v>
      </c>
      <c r="H16362" s="15" t="n">
        <f aca="false">(Sens!H16356*tk_hold_h100+Sens!H16357*tk_hold_gb200+Sens!H16358*tk_hold_gb300+Sens!H16360*tk_hold_vr200+Sens!H16359*nv_out_mai*tk_hold_vr200)/Sens!H16348</f>
        <v>10.0803169952919</v>
      </c>
      <c r="I16362" s="15" t="n">
        <f aca="false">(Sens!I16356*tk_hold_h100+Sens!I16357*tk_hold_gb200+Sens!I16358*tk_hold_gb300+Sens!I16360*tk_hold_vr200+Sens!I16359*nv_out_mai*tk_hold_vr200)/Sens!I16348</f>
        <v>10.2983691175897</v>
      </c>
      <c r="J16362" s="15" t="n">
        <f aca="false">(Sens!J16356*tk_hold_h100+Sens!J16357*tk_hold_gb200+Sens!J16358*tk_hold_gb300+Sens!J16360*tk_hold_vr200+Sens!J16359*nv_out_mai*tk_hold_vr200)/Sens!J16348</f>
        <v>10.6276723226925</v>
      </c>
      <c r="K16362" s="15" t="n">
        <f aca="false">(Sens!K16356*tk_hold_h100+Sens!K16357*tk_hold_gb200+Sens!K16358*tk_hold_gb300+Sens!K16360*tk_hold_vr200+Sens!K16359*nv_out_mai*tk_hold_vr200)/Sens!K16348</f>
        <v>11.2818286895859</v>
      </c>
      <c r="L16362" s="12" t="s">
        <v>975</v>
      </c>
    </row>
    <row r="16363" customFormat="false" ht="17.15" hidden="false" customHeight="false" outlineLevel="0" collapsed="false">
      <c r="A16363" s="0" t="s">
        <v>976</v>
      </c>
      <c r="B16363" s="0" t="s">
        <v>229</v>
      </c>
      <c r="C16363" s="15" t="n">
        <f aca="false">k_B</f>
        <v>1.17213932619116</v>
      </c>
      <c r="D16363" s="15" t="n">
        <f aca="false">k_B</f>
        <v>1.17213932619116</v>
      </c>
      <c r="E16363" s="15" t="n">
        <f aca="false">k_B</f>
        <v>1.17213932619116</v>
      </c>
      <c r="F16363" s="15" t="n">
        <f aca="false">(k_B+((ls_C*k_long+(1-ls_C)*k_spot)-k_B)*MIN(1,(Sens!F16346-base_fy)/k_ramp))</f>
        <v>1.07843258004497</v>
      </c>
      <c r="G16363" s="15" t="n">
        <f aca="false">(k_B+((ls_C*k_long+(1-ls_C)*k_spot)-k_B)*MIN(1,(Sens!G16346-base_fy)/k_ramp))</f>
        <v>0.984725833898784</v>
      </c>
      <c r="H16363" s="15" t="n">
        <f aca="false">(k_B+((ls_C*k_long+(1-ls_C)*k_spot)-k_B)*MIN(1,(Sens!H16346-base_fy)/k_ramp))</f>
        <v>0.891019087752599</v>
      </c>
      <c r="I16363" s="15" t="n">
        <f aca="false">(k_B+((ls_C*k_long+(1-ls_C)*k_spot)-k_B)*MIN(1,(Sens!I16346-base_fy)/k_ramp))</f>
        <v>0.891019087752599</v>
      </c>
      <c r="J16363" s="15" t="n">
        <f aca="false">(k_B+((ls_C*k_long+(1-ls_C)*k_spot)-k_B)*MIN(1,(Sens!J16346-base_fy)/k_ramp))</f>
        <v>0.891019087752599</v>
      </c>
      <c r="K16363" s="15" t="n">
        <f aca="false">(k_B+((ls_C*k_long+(1-ls_C)*k_spot)-k_B)*MIN(1,(Sens!K16346-base_fy)/k_ramp))</f>
        <v>0.891019087752599</v>
      </c>
      <c r="L16363" s="1" t="s">
        <v>977</v>
      </c>
    </row>
    <row r="16364" customFormat="false" ht="17.15" hidden="false" customHeight="false" outlineLevel="0" collapsed="false">
      <c r="A16364" s="1" t="s">
        <v>978</v>
      </c>
      <c r="B16364" s="0" t="s">
        <v>403</v>
      </c>
      <c r="C16364" s="15" t="n">
        <f aca="false">Sens!C16362*Sens!C16363*chip_f</f>
        <v>11.3973387156315</v>
      </c>
      <c r="D16364" s="15" t="n">
        <f aca="false">Sens!D16362*Sens!D16363*chip_f</f>
        <v>11.3973387156315</v>
      </c>
      <c r="E16364" s="15" t="n">
        <f aca="false">Sens!E16362*Sens!E16363*chip_f</f>
        <v>11.3973387156315</v>
      </c>
      <c r="F16364" s="15" t="n">
        <f aca="false">Sens!F16362*Sens!F16363*chip_f</f>
        <v>10.6925813608368</v>
      </c>
      <c r="G16364" s="15" t="n">
        <f aca="false">Sens!G16362*Sens!G16363*chip_f</f>
        <v>9.92634855915291</v>
      </c>
      <c r="H16364" s="15" t="n">
        <f aca="false">Sens!H16362*Sens!H16363*chip_f</f>
        <v>8.98175485340201</v>
      </c>
      <c r="I16364" s="15" t="n">
        <f aca="false">Sens!I16362*Sens!I16363*chip_f</f>
        <v>9.17604345649432</v>
      </c>
      <c r="J16364" s="15" t="n">
        <f aca="false">Sens!J16362*Sens!J16363*chip_f</f>
        <v>9.46945889789902</v>
      </c>
      <c r="K16364" s="15" t="n">
        <f aca="false">Sens!K16362*Sens!K16363*chip_f</f>
        <v>10.0523247071759</v>
      </c>
      <c r="L16364" s="1" t="s">
        <v>979</v>
      </c>
    </row>
    <row r="16365" customFormat="false" ht="17.15" hidden="false" customHeight="false" outlineLevel="0" collapsed="false">
      <c r="A16365" s="0" t="s">
        <v>980</v>
      </c>
      <c r="B16365" s="0" t="s">
        <v>98</v>
      </c>
      <c r="D16365" s="6" t="n">
        <f aca="false">(Sens!C16348+Sens!D16348)/2*Sens!D16364/1000</f>
        <v>12.9359794422418</v>
      </c>
      <c r="E16365" s="6" t="n">
        <f aca="false">(Sens!D16348+Sens!E16348)/2*Sens!E16364/1000</f>
        <v>27.8095064661409</v>
      </c>
      <c r="F16365" s="6" t="n">
        <f aca="false">(Sens!E16348+Sens!F16348)/2*Sens!F16364/1000</f>
        <v>38.2259783649916</v>
      </c>
      <c r="G16365" s="6" t="n">
        <f aca="false">(Sens!F16348+Sens!G16348)/2*Sens!G16364/1000</f>
        <v>41.1248620805705</v>
      </c>
      <c r="H16365" s="6" t="n">
        <f aca="false">(Sens!G16348+Sens!H16348)/2*Sens!H16364/1000</f>
        <v>39.3939767870212</v>
      </c>
      <c r="I16365" s="6" t="n">
        <f aca="false">(Sens!H16348+Sens!I16348)/2*Sens!I16364/1000</f>
        <v>40.2461266001841</v>
      </c>
      <c r="J16365" s="6" t="n">
        <f aca="false">(Sens!I16348+Sens!J16348)/2*Sens!J16364/1000</f>
        <v>41.5330467261851</v>
      </c>
      <c r="K16365" s="6" t="n">
        <f aca="false">(Sens!J16348+Sens!K16348)/2*Sens!K16364/1000</f>
        <v>44.0894961656736</v>
      </c>
      <c r="L16365" s="12" t="s">
        <v>981</v>
      </c>
    </row>
    <row r="16366" customFormat="false" ht="17.15" hidden="false" customHeight="false" outlineLevel="0" collapsed="false">
      <c r="A16366" s="1" t="s">
        <v>982</v>
      </c>
      <c r="B16366" s="0" t="s">
        <v>403</v>
      </c>
      <c r="C16366" s="15" t="n">
        <f aca="false">(Sens!C16356*tk_opex_h100+Sens!C16357*tk_opex_gb200+Sens!C16358*tk_opex_gb300+(Sens!C16360+Sens!C16359)*tk_opex_vr200)/Sens!C16348</f>
        <v>1.88636041306092</v>
      </c>
      <c r="D16366" s="15" t="n">
        <f aca="false">(Sens!D16356*tk_opex_h100+Sens!D16357*tk_opex_gb200+Sens!D16358*tk_opex_gb300+(Sens!D16360+Sens!D16359)*tk_opex_vr200)/Sens!D16348</f>
        <v>1.88636041306092</v>
      </c>
      <c r="E16366" s="15" t="n">
        <f aca="false">(Sens!E16356*tk_opex_h100+Sens!E16357*tk_opex_gb200+Sens!E16358*tk_opex_gb300+(Sens!E16360+Sens!E16359)*tk_opex_vr200)/Sens!E16348</f>
        <v>1.88636041306092</v>
      </c>
      <c r="F16366" s="15" t="n">
        <f aca="false">(Sens!F16356*tk_opex_h100+Sens!F16357*tk_opex_gb200+Sens!F16358*tk_opex_gb300+(Sens!F16360+Sens!F16359)*tk_opex_vr200)/Sens!F16348</f>
        <v>1.90979686208616</v>
      </c>
      <c r="G16366" s="15" t="n">
        <f aca="false">(Sens!G16356*tk_opex_h100+Sens!G16357*tk_opex_gb200+Sens!G16358*tk_opex_gb300+(Sens!G16360+Sens!G16359)*tk_opex_vr200)/Sens!G16348</f>
        <v>1.92769515165485</v>
      </c>
      <c r="H16366" s="15" t="n">
        <f aca="false">(Sens!H16356*tk_opex_h100+Sens!H16357*tk_opex_gb200+Sens!H16358*tk_opex_gb300+(Sens!H16360+Sens!H16359)*tk_opex_vr200)/Sens!H16348</f>
        <v>1.92769515165485</v>
      </c>
      <c r="I16366" s="15" t="n">
        <f aca="false">(Sens!I16356*tk_opex_h100+Sens!I16357*tk_opex_gb200+Sens!I16358*tk_opex_gb300+(Sens!I16360+Sens!I16359)*tk_opex_vr200)/Sens!I16348</f>
        <v>1.95083610383771</v>
      </c>
      <c r="J16366" s="15" t="n">
        <f aca="false">(Sens!J16356*tk_opex_h100+Sens!J16357*tk_opex_gb200+Sens!J16358*tk_opex_gb300+(Sens!J16360+Sens!J16359)*tk_opex_vr200)/Sens!J16348</f>
        <v>1.98578366427713</v>
      </c>
      <c r="K16366" s="15" t="n">
        <f aca="false">(Sens!K16356*tk_opex_h100+Sens!K16357*tk_opex_gb200+Sens!K16358*tk_opex_gb300+(Sens!K16360+Sens!K16359)*tk_opex_vr200)/Sens!K16348</f>
        <v>2.05520652082571</v>
      </c>
      <c r="L16366" s="12" t="s">
        <v>983</v>
      </c>
    </row>
    <row r="16367" customFormat="false" ht="17.15" hidden="false" customHeight="false" outlineLevel="0" collapsed="false">
      <c r="A16367" s="0" t="s">
        <v>984</v>
      </c>
      <c r="B16367" s="0" t="s">
        <v>98</v>
      </c>
      <c r="D16367" s="6" t="n">
        <f aca="false">(Sens!C16351+Sens!D16351)/2*Sens!D16366/1000</f>
        <v>2.70378325872065</v>
      </c>
      <c r="E16367" s="6" t="n">
        <f aca="false">(Sens!D16351+Sens!E16351)/2*Sens!E16366/1000</f>
        <v>6.17783035277451</v>
      </c>
      <c r="F16367" s="6" t="n">
        <f aca="false">(Sens!E16351+Sens!F16351)/2*Sens!F16366/1000</f>
        <v>9.30071071835958</v>
      </c>
      <c r="G16367" s="6" t="n">
        <f aca="false">(Sens!F16351+Sens!G16351)/2*Sens!G16366/1000</f>
        <v>10.8818391310916</v>
      </c>
      <c r="H16367" s="6" t="n">
        <f aca="false">(Sens!G16351+Sens!H16351)/2*Sens!H16366/1000</f>
        <v>11.6625556675118</v>
      </c>
      <c r="I16367" s="6" t="n">
        <f aca="false">(Sens!H16351+Sens!I16351)/2*Sens!I16366/1000</f>
        <v>11.8025584282181</v>
      </c>
      <c r="J16367" s="6" t="n">
        <f aca="false">(Sens!I16351+Sens!J16351)/2*Sens!J16366/1000</f>
        <v>12.0139911688766</v>
      </c>
      <c r="K16367" s="6" t="n">
        <f aca="false">(Sens!J16351+Sens!K16351)/2*Sens!K16366/1000</f>
        <v>12.4339994509955</v>
      </c>
    </row>
    <row r="16368" customFormat="false" ht="17.15" hidden="false" customHeight="false" outlineLevel="0" collapsed="false">
      <c r="A16368" s="0" t="s">
        <v>985</v>
      </c>
      <c r="B16368" s="0" t="s">
        <v>98</v>
      </c>
      <c r="D16368" s="6" t="n">
        <f aca="false">(Sens!C16349+Sens!D16349)/2*rent_mw/1000</f>
        <v>2.44475</v>
      </c>
      <c r="E16368" s="6" t="n">
        <f aca="false">(Sens!D16349+Sens!E16349)/2*rent_mw/1000</f>
        <v>4.22275</v>
      </c>
      <c r="F16368" s="6" t="n">
        <f aca="false">(Sens!E16349+Sens!F16349)/2*rent_mw/1000</f>
        <v>5.80517</v>
      </c>
      <c r="G16368" s="6" t="n">
        <f aca="false">(Sens!F16349+Sens!G16349)/2*rent_mw/1000</f>
        <v>6.72084</v>
      </c>
      <c r="H16368" s="6" t="n">
        <f aca="false">(Sens!G16349+Sens!H16349)/2*rent_mw/1000</f>
        <v>6.72084</v>
      </c>
      <c r="I16368" s="6" t="n">
        <f aca="false">(Sens!H16349+Sens!I16349)/2*rent_mw/1000</f>
        <v>6.72084</v>
      </c>
      <c r="J16368" s="6" t="n">
        <f aca="false">(Sens!I16349+Sens!J16349)/2*rent_mw/1000</f>
        <v>6.72084</v>
      </c>
      <c r="K16368" s="6" t="n">
        <f aca="false">(Sens!J16349+Sens!K16349)/2*rent_mw/1000</f>
        <v>6.72084</v>
      </c>
    </row>
    <row r="16369" customFormat="false" ht="17.15" hidden="false" customHeight="false" outlineLevel="0" collapsed="false">
      <c r="A16369" s="0" t="s">
        <v>986</v>
      </c>
      <c r="B16369" s="0" t="s">
        <v>98</v>
      </c>
      <c r="D16369" s="6" t="n">
        <f aca="false">(Sens!C16351+Sens!D16351)/2*(1-self_build)*fac_rent/1000</f>
        <v>0.853242375631075</v>
      </c>
      <c r="E16369" s="6" t="n">
        <f aca="false">(Sens!D16351+Sens!E16351)/2*(1-self_build)*fac_rent/1000</f>
        <v>1.94955961408728</v>
      </c>
      <c r="F16369" s="6" t="n">
        <f aca="false">(Sens!E16351+Sens!F16351)/2*(1-self_build)*fac_rent/1000</f>
        <v>2.89903979255117</v>
      </c>
      <c r="G16369" s="6" t="n">
        <f aca="false">(Sens!F16351+Sens!G16351)/2*(1-self_build)*fac_rent/1000</f>
        <v>3.36038596077029</v>
      </c>
      <c r="H16369" s="6" t="n">
        <f aca="false">(Sens!G16351+Sens!H16351)/2*(1-self_build)*fac_rent/1000</f>
        <v>3.60147653900094</v>
      </c>
      <c r="I16369" s="6" t="n">
        <f aca="false">(Sens!H16351+Sens!I16351)/2*(1-self_build)*fac_rent/1000</f>
        <v>3.60147653900094</v>
      </c>
      <c r="J16369" s="6" t="n">
        <f aca="false">(Sens!I16351+Sens!J16351)/2*(1-self_build)*fac_rent/1000</f>
        <v>3.60147653900094</v>
      </c>
      <c r="K16369" s="6" t="n">
        <f aca="false">(Sens!J16351+Sens!K16351)/2*(1-self_build)*fac_rent/1000</f>
        <v>3.60147653900094</v>
      </c>
      <c r="L16369" s="12" t="s">
        <v>987</v>
      </c>
    </row>
    <row r="16370" customFormat="false" ht="17.15" hidden="false" customHeight="false" outlineLevel="0" collapsed="false">
      <c r="A16370" s="1" t="s">
        <v>988</v>
      </c>
      <c r="B16370" s="0" t="s">
        <v>168</v>
      </c>
      <c r="D16370" s="7" t="n">
        <f aca="false">(Sens!C16350+Sens!D16350)/(Sens!C16351+Sens!D16351)</f>
        <v>0.6</v>
      </c>
      <c r="E16370" s="7" t="n">
        <f aca="false">(Sens!D16350+Sens!E16350)/(Sens!D16351+Sens!E16351)</f>
        <v>0.6</v>
      </c>
      <c r="F16370" s="7" t="n">
        <f aca="false">(Sens!E16350+Sens!F16350)/(Sens!E16351+Sens!F16351)</f>
        <v>0.6</v>
      </c>
      <c r="G16370" s="7" t="n">
        <f aca="false">(Sens!F16350+Sens!G16350)/(Sens!F16351+Sens!G16351)</f>
        <v>0.6</v>
      </c>
      <c r="H16370" s="7" t="n">
        <f aca="false">(Sens!G16350+Sens!H16350)/(Sens!G16351+Sens!H16351)</f>
        <v>0.6</v>
      </c>
      <c r="I16370" s="7" t="n">
        <f aca="false">(Sens!H16350+Sens!I16350)/(Sens!H16351+Sens!I16351)</f>
        <v>0.6</v>
      </c>
      <c r="J16370" s="7" t="n">
        <f aca="false">(Sens!I16350+Sens!J16350)/(Sens!I16351+Sens!J16351)</f>
        <v>0.6</v>
      </c>
      <c r="K16370" s="7" t="n">
        <f aca="false">(Sens!J16350+Sens!K16350)/(Sens!J16351+Sens!K16351)</f>
        <v>0.6</v>
      </c>
    </row>
    <row r="16371" customFormat="false" ht="17.15" hidden="false" customHeight="false" outlineLevel="0" collapsed="false">
      <c r="A16371" s="0" t="s">
        <v>989</v>
      </c>
      <c r="B16371" s="0" t="s">
        <v>98</v>
      </c>
      <c r="D16371" s="6" t="n">
        <f aca="false">Sens!D16365-Sens!D16370*(Sens!D16367+Sens!D16369)-Sens!D16368</f>
        <v>8.35701406163072</v>
      </c>
      <c r="E16371" s="6" t="n">
        <f aca="false">Sens!E16365-Sens!E16370*(Sens!E16367+Sens!E16369)-Sens!E16368</f>
        <v>18.7103224860238</v>
      </c>
      <c r="F16371" s="6" t="n">
        <f aca="false">Sens!F16365-Sens!F16370*(Sens!F16367+Sens!F16369)-Sens!F16368</f>
        <v>25.1009580584451</v>
      </c>
      <c r="G16371" s="6" t="n">
        <f aca="false">Sens!G16365-Sens!G16370*(Sens!G16367+Sens!G16369)-Sens!G16368</f>
        <v>25.8586870254534</v>
      </c>
      <c r="H16371" s="6" t="n">
        <f aca="false">Sens!H16365-Sens!H16370*(Sens!H16367+Sens!H16369)-Sens!H16368</f>
        <v>23.5147174631136</v>
      </c>
      <c r="I16371" s="6" t="n">
        <f aca="false">Sens!I16365-Sens!I16370*(Sens!I16367+Sens!I16369)-Sens!I16368</f>
        <v>24.2828656198526</v>
      </c>
      <c r="J16371" s="6" t="n">
        <f aca="false">Sens!J16365-Sens!J16370*(Sens!J16367+Sens!J16369)-Sens!J16368</f>
        <v>25.4429261014586</v>
      </c>
      <c r="K16371" s="6" t="n">
        <f aca="false">Sens!K16365-Sens!K16370*(Sens!K16367+Sens!K16369)-Sens!K16368</f>
        <v>27.7473705716757</v>
      </c>
    </row>
    <row r="16372" customFormat="false" ht="17.15" hidden="false" customHeight="false" outlineLevel="0" collapsed="false">
      <c r="A16372" s="1" t="s">
        <v>990</v>
      </c>
      <c r="B16372" s="0" t="s">
        <v>98</v>
      </c>
      <c r="D16372" s="6" t="n">
        <f aca="false">(1-Sens!D16370)*(Sens!D16367+Sens!D16369)</f>
        <v>1.42281025374069</v>
      </c>
      <c r="E16372" s="6" t="n">
        <f aca="false">(1-Sens!E16370)*(Sens!E16367+Sens!E16369)</f>
        <v>3.25095598674472</v>
      </c>
      <c r="F16372" s="6" t="n">
        <f aca="false">(1-Sens!F16370)*(Sens!F16367+Sens!F16369)</f>
        <v>4.8799002043643</v>
      </c>
      <c r="G16372" s="6" t="n">
        <f aca="false">(1-Sens!G16370)*(Sens!G16367+Sens!G16369)</f>
        <v>5.69689003674476</v>
      </c>
      <c r="H16372" s="6" t="n">
        <f aca="false">(1-Sens!H16370)*(Sens!H16367+Sens!H16369)</f>
        <v>6.1056128826051</v>
      </c>
      <c r="I16372" s="6" t="n">
        <f aca="false">(1-Sens!I16370)*(Sens!I16367+Sens!I16369)</f>
        <v>6.16161398688763</v>
      </c>
      <c r="J16372" s="6" t="n">
        <f aca="false">(1-Sens!J16370)*(Sens!J16367+Sens!J16369)</f>
        <v>6.24618708315103</v>
      </c>
      <c r="K16372" s="6" t="n">
        <f aca="false">(1-Sens!K16370)*(Sens!K16367+Sens!K16369)</f>
        <v>6.41419039599859</v>
      </c>
    </row>
    <row r="16373" customFormat="false" ht="17.15" hidden="false" customHeight="false" outlineLevel="0" collapsed="false">
      <c r="A16373" s="1" t="s">
        <v>991</v>
      </c>
      <c r="B16373" s="0" t="s">
        <v>417</v>
      </c>
      <c r="C16373" s="8" t="n">
        <f aca="false">cxit_open</f>
        <v>27.5918995</v>
      </c>
      <c r="D16373" s="8" t="n">
        <f aca="false">cxit_open</f>
        <v>27.5918995</v>
      </c>
      <c r="E16373" s="8" t="n">
        <f aca="false">cxit_open</f>
        <v>27.5918995</v>
      </c>
      <c r="F16373" s="8" t="n">
        <f aca="false">((a_g3_27-nonnv*a_mai)*tk_cxit_gb300+nonnv*a_mai*nv_hold_mai*tk_cxit_vr200+(1-a_g3_27)*tk_cxit_vr200)</f>
        <v>32.4975576</v>
      </c>
      <c r="G16373" s="8" t="n">
        <f aca="false">((a_g3_28-nonnv*a_mai)*tk_cxit_gb300+nonnv*a_mai*nv_hold_mai*tk_cxit_vr200+(1-a_g3_28)*tk_cxit_vr200)</f>
        <v>34.6372088</v>
      </c>
      <c r="H16373" s="8" t="n">
        <f aca="false">((a_g3_29-nonnv*a_mai)*tk_cxit_gb300+nonnv*a_mai*nv_hold_mai*tk_cxit_vr200+(1-a_g3_29)*tk_cxit_vr200)</f>
        <v>35.7070344</v>
      </c>
      <c r="I16373" s="8" t="n">
        <f aca="false">((a_g3_29-nonnv*a_mai)*tk_cxit_gb300+nonnv*a_mai*nv_hold_mai*tk_cxit_vr200+(1-a_g3_29)*tk_cxit_vr200)</f>
        <v>35.7070344</v>
      </c>
      <c r="J16373" s="8" t="n">
        <f aca="false">((a_g3_29-nonnv*a_mai)*tk_cxit_gb300+nonnv*a_mai*nv_hold_mai*tk_cxit_vr200+(1-a_g3_29)*tk_cxit_vr200)</f>
        <v>35.7070344</v>
      </c>
      <c r="K16373" s="8" t="n">
        <f aca="false">((a_g3_29-nonnv*a_mai)*tk_cxit_gb300+nonnv*a_mai*nv_hold_mai*tk_cxit_vr200+(1-a_g3_29)*tk_cxit_vr200)</f>
        <v>35.7070344</v>
      </c>
      <c r="L16373" s="12" t="s">
        <v>992</v>
      </c>
    </row>
    <row r="16374" customFormat="false" ht="17.15" hidden="false" customHeight="false" outlineLevel="0" collapsed="false">
      <c r="A16374" s="0" t="s">
        <v>993</v>
      </c>
      <c r="B16374" s="0" t="s">
        <v>459</v>
      </c>
      <c r="F16374" s="30" t="n">
        <f aca="false">Sens!C16353*IF(Sens!F16346-Sens!C16346=life_it,1,0)+Sens!D16353*IF(Sens!F16346-Sens!D16346=life_it,1,0)+Sens!E16353*IF(Sens!F16346-Sens!E16346=life_it,1,0)</f>
        <v>0</v>
      </c>
      <c r="G16374" s="30" t="n">
        <f aca="false">Sens!C16353*IF(Sens!G16346-Sens!C16346=life_it,1,0)+Sens!D16353*IF(Sens!G16346-Sens!D16346=life_it,1,0)+Sens!E16353*IF(Sens!G16346-Sens!E16346=life_it,1,0)+Sens!F16353*IF(Sens!G16346-Sens!F16346=life_it,1,0)</f>
        <v>0</v>
      </c>
      <c r="H16374" s="30" t="n">
        <f aca="false">Sens!C16353*IF(Sens!H16346-Sens!C16346=life_it,1,0)+Sens!D16353*IF(Sens!H16346-Sens!D16346=life_it,1,0)+Sens!E16353*IF(Sens!H16346-Sens!E16346=life_it,1,0)+Sens!F16353*IF(Sens!H16346-Sens!F16346=life_it,1,0)+Sens!G16353*IF(Sens!H16346-Sens!G16346=life_it,1,0)</f>
        <v>0</v>
      </c>
      <c r="I16374" s="30" t="n">
        <f aca="false">Sens!C16353*IF(Sens!I16346-Sens!C16346=life_it,1,0)+Sens!D16353*IF(Sens!I16346-Sens!D16346=life_it,1,0)+Sens!E16353*IF(Sens!I16346-Sens!E16346=life_it,1,0)+Sens!F16353*IF(Sens!I16346-Sens!F16346=life_it,1,0)+Sens!G16353*IF(Sens!I16346-Sens!G16346=life_it,1,0)+Sens!H16353*IF(Sens!I16346-Sens!H16346=life_it,1,0)</f>
        <v>816.666666666667</v>
      </c>
      <c r="J16374" s="30" t="n">
        <f aca="false">Sens!C16353*IF(Sens!J16346-Sens!C16346=life_it,1,0)+Sens!D16353*IF(Sens!J16346-Sens!D16346=life_it,1,0)+Sens!E16353*IF(Sens!J16346-Sens!E16346=life_it,1,0)+Sens!F16353*IF(Sens!J16346-Sens!F16346=life_it,1,0)+Sens!G16353*IF(Sens!J16346-Sens!G16346=life_it,1,0)+Sens!H16353*IF(Sens!J16346-Sens!H16346=life_it,1,0)+Sens!I16353*IF(Sens!J16346-Sens!I16346=life_it,1,0)</f>
        <v>1233.33333333333</v>
      </c>
      <c r="K16374" s="30" t="n">
        <f aca="false">Sens!C16353*IF(Sens!K16346-Sens!C16346=life_it,1,0)+Sens!D16353*IF(Sens!K16346-Sens!D16346=life_it,1,0)+Sens!E16353*IF(Sens!K16346-Sens!E16346=life_it,1,0)+Sens!F16353*IF(Sens!K16346-Sens!F16346=life_it,1,0)+Sens!G16353*IF(Sens!K16346-Sens!G16346=life_it,1,0)+Sens!H16353*IF(Sens!K16346-Sens!H16346=life_it,1,0)+Sens!I16353*IF(Sens!K16346-Sens!I16346=life_it,1,0)+Sens!J16353*IF(Sens!K16346-Sens!J16346=life_it,1,0)</f>
        <v>2450</v>
      </c>
      <c r="L16374" s="1" t="s">
        <v>994</v>
      </c>
    </row>
    <row r="16375" customFormat="false" ht="17.15" hidden="false" customHeight="false" outlineLevel="0" collapsed="false">
      <c r="A16375" s="0" t="s">
        <v>995</v>
      </c>
      <c r="B16375" s="0" t="s">
        <v>98</v>
      </c>
      <c r="C16375" s="6" t="n">
        <f aca="false">Sens!C16353*Sens!C16373/1000</f>
        <v>22.5333845916667</v>
      </c>
      <c r="D16375" s="6" t="n">
        <f aca="false">Sens!D16353*Sens!D16373/1000</f>
        <v>34.0300093833333</v>
      </c>
      <c r="E16375" s="6" t="n">
        <f aca="false">Sens!E16353*Sens!E16373/1000</f>
        <v>67.600153775</v>
      </c>
      <c r="F16375" s="6" t="n">
        <f aca="false">(Sens!F16353+Sens!F16374)*Sens!F16373/1000</f>
        <v>24.048192624</v>
      </c>
      <c r="G16375" s="6" t="n">
        <f aca="false">(Sens!G16353+Sens!G16374)*Sens!G16373/1000</f>
        <v>28.056139128</v>
      </c>
      <c r="H16375" s="6" t="n">
        <f aca="false">(Sens!H16353+Sens!H16374)*Sens!H16373/1000</f>
        <v>0</v>
      </c>
      <c r="I16375" s="6" t="n">
        <f aca="false">(Sens!I16353+Sens!I16374)*Sens!I16373/1000</f>
        <v>29.16074476</v>
      </c>
      <c r="J16375" s="6" t="n">
        <f aca="false">(Sens!J16353+Sens!J16374)*Sens!J16373/1000</f>
        <v>44.03867576</v>
      </c>
      <c r="K16375" s="6" t="n">
        <f aca="false">(Sens!K16353+Sens!K16374)*Sens!K16373/1000</f>
        <v>87.48223428</v>
      </c>
    </row>
    <row r="16376" customFormat="false" ht="17.15" hidden="false" customHeight="false" outlineLevel="0" collapsed="false">
      <c r="A16376" s="0" t="s">
        <v>996</v>
      </c>
      <c r="B16376" s="0" t="s">
        <v>98</v>
      </c>
      <c r="C16376" s="6" t="n">
        <f aca="false">Sens!C16353*self_build*tk_cxfac/1000</f>
        <v>6.2083</v>
      </c>
      <c r="D16376" s="6" t="n">
        <f aca="false">Sens!D16353*self_build*tk_cxfac/1000</f>
        <v>9.3758</v>
      </c>
      <c r="E16376" s="6" t="n">
        <f aca="false">Sens!E16353*self_build*tk_cxfac/1000</f>
        <v>18.6249</v>
      </c>
      <c r="F16376" s="6" t="n">
        <f aca="false">Sens!F16353*self_build*tk_cxfac/1000</f>
        <v>5.62548</v>
      </c>
      <c r="G16376" s="6" t="n">
        <f aca="false">Sens!G16353*self_build*tk_cxfac/1000</f>
        <v>6.15762</v>
      </c>
      <c r="H16376" s="6" t="n">
        <f aca="false">Sens!H16353*self_build*tk_cxfac/1000</f>
        <v>0</v>
      </c>
      <c r="I16376" s="6" t="n">
        <f aca="false">Sens!I16353*self_build*tk_cxfac/1000</f>
        <v>0</v>
      </c>
      <c r="J16376" s="6" t="n">
        <f aca="false">Sens!J16353*self_build*tk_cxfac/1000</f>
        <v>0</v>
      </c>
      <c r="K16376" s="6" t="n">
        <f aca="false">Sens!K16353*self_build*tk_cxfac/1000</f>
        <v>0</v>
      </c>
    </row>
    <row r="16377" customFormat="false" ht="17.15" hidden="false" customHeight="false" outlineLevel="0" collapsed="false">
      <c r="A16377" s="0" t="s">
        <v>997</v>
      </c>
      <c r="B16377" s="0" t="s">
        <v>98</v>
      </c>
      <c r="F16377" s="15" t="n">
        <f aca="false">capex_floor27-Sens!F16375-Sens!F16376-Sens!F16473</f>
        <v>138.140066594294</v>
      </c>
      <c r="L16377" s="12" t="s">
        <v>998</v>
      </c>
    </row>
    <row r="16378" customFormat="false" ht="17.15" hidden="false" customHeight="false" outlineLevel="0" collapsed="false">
      <c r="A16378" s="0" t="s">
        <v>999</v>
      </c>
      <c r="B16378" s="0" t="s">
        <v>98</v>
      </c>
      <c r="F16378" s="6" t="n">
        <f aca="false">MAX(0,Sens!F16377)</f>
        <v>138.140066594294</v>
      </c>
    </row>
    <row r="16379" customFormat="false" ht="17.15" hidden="false" customHeight="false" outlineLevel="0" collapsed="false">
      <c r="A16379" s="0" t="s">
        <v>1000</v>
      </c>
      <c r="B16379" s="0" t="s">
        <v>98</v>
      </c>
      <c r="C16379" s="6" t="n">
        <f aca="false">Sens!C16375</f>
        <v>22.5333845916667</v>
      </c>
      <c r="D16379" s="6" t="n">
        <f aca="false">Sens!D16375</f>
        <v>34.0300093833333</v>
      </c>
      <c r="E16379" s="6" t="n">
        <f aca="false">Sens!E16375</f>
        <v>67.600153775</v>
      </c>
      <c r="F16379" s="6" t="n">
        <f aca="false">Sens!F16375</f>
        <v>24.048192624</v>
      </c>
      <c r="G16379" s="6" t="n">
        <f aca="false">Sens!G16375</f>
        <v>28.056139128</v>
      </c>
      <c r="H16379" s="6" t="n">
        <f aca="false">Sens!H16375</f>
        <v>0</v>
      </c>
      <c r="I16379" s="6" t="n">
        <f aca="false">Sens!I16375</f>
        <v>29.16074476</v>
      </c>
      <c r="J16379" s="6" t="n">
        <f aca="false">Sens!J16375</f>
        <v>44.03867576</v>
      </c>
      <c r="K16379" s="6" t="n">
        <f aca="false">Sens!K16375</f>
        <v>87.48223428</v>
      </c>
    </row>
    <row r="16380" customFormat="false" ht="17.15" hidden="false" customHeight="false" outlineLevel="0" collapsed="false">
      <c r="A16380" s="0" t="s">
        <v>1001</v>
      </c>
      <c r="B16380" s="0" t="s">
        <v>98</v>
      </c>
      <c r="C16380" s="6" t="n">
        <f aca="false">Sens!C16379+Sens!C16376</f>
        <v>28.7416845916667</v>
      </c>
      <c r="D16380" s="6" t="n">
        <f aca="false">Sens!D16379+Sens!D16376</f>
        <v>43.4058093833333</v>
      </c>
      <c r="E16380" s="6" t="n">
        <f aca="false">Sens!E16379+Sens!E16376</f>
        <v>86.225053775</v>
      </c>
      <c r="F16380" s="6" t="n">
        <f aca="false">Sens!F16379+Sens!F16376</f>
        <v>29.673672624</v>
      </c>
      <c r="G16380" s="6" t="n">
        <f aca="false">Sens!G16379+Sens!G16376</f>
        <v>34.213759128</v>
      </c>
      <c r="H16380" s="6" t="n">
        <f aca="false">Sens!H16379+Sens!H16376</f>
        <v>0</v>
      </c>
      <c r="I16380" s="6" t="n">
        <f aca="false">Sens!I16379+Sens!I16376</f>
        <v>29.16074476</v>
      </c>
      <c r="J16380" s="6" t="n">
        <f aca="false">Sens!J16379+Sens!J16376</f>
        <v>44.03867576</v>
      </c>
      <c r="K16380" s="6" t="n">
        <f aca="false">Sens!K16379+Sens!K16376</f>
        <v>87.48223428</v>
      </c>
      <c r="L16380" s="12" t="s">
        <v>1002</v>
      </c>
    </row>
    <row r="16381" customFormat="false" ht="17.15" hidden="false" customHeight="false" outlineLevel="0" collapsed="false">
      <c r="A16381" s="0" t="s">
        <v>1003</v>
      </c>
      <c r="B16381" s="0" t="s">
        <v>98</v>
      </c>
      <c r="E16381" s="6" t="n">
        <f aca="false">(Sens!C16379*IF(2&lt;life_it,1,IF(2=life_it,0.5,0))+Sens!D16379*IF(1&lt;life_it,1,IF(1=life_it,0.5,0))+Sens!E16379*0.5)/life_it</f>
        <v>15.0605784770833</v>
      </c>
      <c r="F16381" s="6" t="n">
        <f aca="false">(Sens!C16379*IF(3&lt;life_it,1,IF(3=life_it,0.5,0))+Sens!D16379*IF(2&lt;life_it,1,IF(2=life_it,0.5,0))+Sens!E16379*IF(1&lt;life_it,1,IF(1=life_it,0.5,0))+Sens!F16379*0.5)/life_it</f>
        <v>22.697940677</v>
      </c>
      <c r="G16381" s="6" t="n">
        <f aca="false">(Sens!C16379*IF(4&lt;life_it,1,IF(4=life_it,0.5,0))+Sens!D16379*IF(3&lt;life_it,1,IF(3=life_it,0.5,0))+Sens!E16379*IF(2&lt;life_it,1,IF(2=life_it,0.5,0))+Sens!F16379*IF(1&lt;life_it,1,IF(1=life_it,0.5,0))+Sens!G16379*0.5)/life_it</f>
        <v>27.039968323</v>
      </c>
      <c r="H16381" s="6" t="n">
        <f aca="false">(Sens!C16379*IF(5&lt;life_it,1,IF(5=life_it,0.5,0))+Sens!D16379*IF(4&lt;life_it,1,IF(4=life_it,0.5,0))+Sens!E16379*IF(3&lt;life_it,1,IF(3=life_it,0.5,0))+Sens!F16379*IF(2&lt;life_it,1,IF(2=life_it,0.5,0))+Sens!G16379*IF(1&lt;life_it,1,IF(1=life_it,0.5,0))+Sens!H16379*0.5)/life_it</f>
        <v>29.377979917</v>
      </c>
      <c r="I16381" s="6" t="n">
        <f aca="false">(Sens!C16379*IF(6&lt;life_it,1,IF(6=life_it,0.5,0))+Sens!D16379*IF(5&lt;life_it,1,IF(5=life_it,0.5,0))+Sens!E16379*IF(4&lt;life_it,1,IF(4=life_it,0.5,0))+Sens!F16379*IF(3&lt;life_it,1,IF(3=life_it,0.5,0))+Sens!G16379*IF(2&lt;life_it,1,IF(2=life_it,0.5,0))+Sens!H16379*IF(1&lt;life_it,1,IF(1=life_it,0.5,0))+Sens!I16379*0.5)/life_it</f>
        <v>29.9302599310278</v>
      </c>
      <c r="J16381" s="6" t="n">
        <f aca="false">(Sens!C16379*IF(7&lt;life_it,1,IF(7=life_it,0.5,0))+Sens!D16379*IF(6&lt;life_it,1,IF(6=life_it,0.5,0))+Sens!E16379*IF(5&lt;life_it,1,IF(5=life_it,0.5,0))+Sens!F16379*IF(4&lt;life_it,1,IF(4=life_it,0.5,0))+Sens!G16379*IF(3&lt;life_it,1,IF(3=life_it,0.5,0))+Sens!H16379*IF(2&lt;life_it,1,IF(2=life_it,0.5,0))+Sens!I16379*IF(1&lt;life_it,1,IF(1=life_it,0.5,0))+Sens!J16379*0.5)/life_it</f>
        <v>31.3165954764444</v>
      </c>
      <c r="K16381" s="6" t="n">
        <f aca="false">(Sens!C16379*IF(8&lt;life_it,1,IF(8=life_it,0.5,0))+Sens!D16379*IF(7&lt;life_it,1,IF(7=life_it,0.5,0))+Sens!E16379*IF(6&lt;life_it,1,IF(6=life_it,0.5,0))+Sens!F16379*IF(5&lt;life_it,1,IF(5=life_it,0.5,0))+Sens!G16379*IF(4&lt;life_it,1,IF(4=life_it,0.5,0))+Sens!H16379*IF(3&lt;life_it,1,IF(3=life_it,0.5,0))+Sens!I16379*IF(2&lt;life_it,1,IF(2=life_it,0.5,0))+Sens!J16379*IF(1&lt;life_it,1,IF(1=life_it,0.5,0))+Sens!K16379*0.5)/life_it</f>
        <v>33.8074910499167</v>
      </c>
    </row>
    <row r="16382" customFormat="false" ht="17.15" hidden="false" customHeight="false" outlineLevel="0" collapsed="false">
      <c r="A16382" s="0" t="s">
        <v>1004</v>
      </c>
      <c r="B16382" s="0" t="s">
        <v>98</v>
      </c>
      <c r="E16382" s="6" t="n">
        <f aca="false">(Sens!C16376*IF(2&lt;life_fac,1,IF(2=life_fac,0.5,0))+Sens!D16376*IF(1&lt;life_fac,1,IF(1=life_fac,0.5,0))+Sens!E16376*0.5)/life_fac</f>
        <v>1.2448275</v>
      </c>
      <c r="F16382" s="6" t="n">
        <f aca="false">(Sens!C16376*IF(3&lt;life_fac,1,IF(3=life_fac,0.5,0))+Sens!D16376*IF(2&lt;life_fac,1,IF(2=life_fac,0.5,0))+Sens!E16376*IF(1&lt;life_fac,1,IF(1=life_fac,0.5,0))+Sens!F16376*0.5)/life_fac</f>
        <v>1.851087</v>
      </c>
      <c r="G16382" s="6" t="n">
        <f aca="false">(Sens!C16376*IF(4&lt;life_fac,1,IF(4=life_fac,0.5,0))+Sens!D16376*IF(3&lt;life_fac,1,IF(3=life_fac,0.5,0))+Sens!E16376*IF(2&lt;life_fac,1,IF(2=life_fac,0.5,0))+Sens!F16376*IF(1&lt;life_fac,1,IF(1=life_fac,0.5,0))+Sens!G16376*0.5)/life_fac</f>
        <v>2.1456645</v>
      </c>
      <c r="H16382" s="6" t="n">
        <f aca="false">(Sens!C16376*IF(5&lt;life_fac,1,IF(5=life_fac,0.5,0))+Sens!D16376*IF(4&lt;life_fac,1,IF(4=life_fac,0.5,0))+Sens!E16376*IF(3&lt;life_fac,1,IF(3=life_fac,0.5,0))+Sens!F16376*IF(2&lt;life_fac,1,IF(2=life_fac,0.5,0))+Sens!G16376*IF(1&lt;life_fac,1,IF(1=life_fac,0.5,0))+Sens!H16376*0.5)/life_fac</f>
        <v>2.299605</v>
      </c>
      <c r="I16382" s="6" t="n">
        <f aca="false">(Sens!C16376*IF(6&lt;life_fac,1,IF(6=life_fac,0.5,0))+Sens!D16376*IF(5&lt;life_fac,1,IF(5=life_fac,0.5,0))+Sens!E16376*IF(4&lt;life_fac,1,IF(4=life_fac,0.5,0))+Sens!F16376*IF(3&lt;life_fac,1,IF(3=life_fac,0.5,0))+Sens!G16376*IF(2&lt;life_fac,1,IF(2=life_fac,0.5,0))+Sens!H16376*IF(1&lt;life_fac,1,IF(1=life_fac,0.5,0))+Sens!I16376*0.5)/life_fac</f>
        <v>2.299605</v>
      </c>
      <c r="J16382" s="6" t="n">
        <f aca="false">(Sens!C16376*IF(7&lt;life_fac,1,IF(7=life_fac,0.5,0))+Sens!D16376*IF(6&lt;life_fac,1,IF(6=life_fac,0.5,0))+Sens!E16376*IF(5&lt;life_fac,1,IF(5=life_fac,0.5,0))+Sens!F16376*IF(4&lt;life_fac,1,IF(4=life_fac,0.5,0))+Sens!G16376*IF(3&lt;life_fac,1,IF(3=life_fac,0.5,0))+Sens!H16376*IF(2&lt;life_fac,1,IF(2=life_fac,0.5,0))+Sens!I16376*IF(1&lt;life_fac,1,IF(1=life_fac,0.5,0))+Sens!J16376*0.5)/life_fac</f>
        <v>2.299605</v>
      </c>
      <c r="K16382" s="6" t="n">
        <f aca="false">(Sens!C16376*IF(8&lt;life_fac,1,IF(8=life_fac,0.5,0))+Sens!D16376*IF(7&lt;life_fac,1,IF(7=life_fac,0.5,0))+Sens!E16376*IF(6&lt;life_fac,1,IF(6=life_fac,0.5,0))+Sens!F16376*IF(5&lt;life_fac,1,IF(5=life_fac,0.5,0))+Sens!G16376*IF(4&lt;life_fac,1,IF(4=life_fac,0.5,0))+Sens!H16376*IF(3&lt;life_fac,1,IF(3=life_fac,0.5,0))+Sens!I16376*IF(2&lt;life_fac,1,IF(2=life_fac,0.5,0))+Sens!J16376*IF(1&lt;life_fac,1,IF(1=life_fac,0.5,0))+Sens!K16376*0.5)/life_fac</f>
        <v>2.299605</v>
      </c>
    </row>
    <row r="16383" customFormat="false" ht="17.15" hidden="false" customHeight="false" outlineLevel="0" collapsed="false">
      <c r="A16383" s="0" t="s">
        <v>1005</v>
      </c>
      <c r="B16383" s="0" t="s">
        <v>98</v>
      </c>
      <c r="E16383" s="6" t="n">
        <f aca="false">Sens!E16381+Sens!E16382</f>
        <v>16.3054059770833</v>
      </c>
      <c r="F16383" s="6" t="n">
        <f aca="false">Sens!F16381+Sens!F16382</f>
        <v>24.549027677</v>
      </c>
      <c r="G16383" s="6" t="n">
        <f aca="false">Sens!G16381+Sens!G16382</f>
        <v>29.185632823</v>
      </c>
      <c r="H16383" s="6" t="n">
        <f aca="false">Sens!H16381+Sens!H16382</f>
        <v>31.677584917</v>
      </c>
      <c r="I16383" s="6" t="n">
        <f aca="false">Sens!I16381+Sens!I16382</f>
        <v>32.2298649310278</v>
      </c>
      <c r="J16383" s="6" t="n">
        <f aca="false">Sens!J16381+Sens!J16382</f>
        <v>33.6162004764444</v>
      </c>
      <c r="K16383" s="6" t="n">
        <f aca="false">Sens!K16381+Sens!K16382</f>
        <v>36.1070960499167</v>
      </c>
    </row>
    <row r="16384" customFormat="false" ht="17.15" hidden="false" customHeight="false" outlineLevel="0" collapsed="false">
      <c r="A16384" s="0" t="s">
        <v>1006</v>
      </c>
      <c r="B16384" s="0" t="s">
        <v>98</v>
      </c>
      <c r="E16384" s="6" t="n">
        <f aca="false">Sens!E16371-Sens!E16370*Sens!E16383</f>
        <v>8.92707889977379</v>
      </c>
      <c r="F16384" s="6" t="n">
        <f aca="false">Sens!F16371-Sens!F16370*Sens!F16383</f>
        <v>10.3715414522451</v>
      </c>
      <c r="G16384" s="6" t="n">
        <f aca="false">Sens!G16371-Sens!G16370*Sens!G16383</f>
        <v>8.34730733165337</v>
      </c>
      <c r="H16384" s="6" t="n">
        <f aca="false">Sens!H16371-Sens!H16370*Sens!H16383</f>
        <v>4.50816651291358</v>
      </c>
      <c r="I16384" s="6" t="n">
        <f aca="false">Sens!I16371-Sens!I16370*Sens!I16383</f>
        <v>4.94494666123597</v>
      </c>
      <c r="J16384" s="6" t="n">
        <f aca="false">Sens!J16371-Sens!J16370*Sens!J16383</f>
        <v>5.27320581559189</v>
      </c>
      <c r="K16384" s="6" t="n">
        <f aca="false">Sens!K16371-Sens!K16370*Sens!K16383</f>
        <v>6.08311294172574</v>
      </c>
    </row>
    <row r="16385" customFormat="false" ht="17.15" hidden="false" customHeight="false" outlineLevel="0" collapsed="false">
      <c r="A16385" s="3" t="s">
        <v>2015</v>
      </c>
    </row>
    <row r="16386" customFormat="false" ht="15" hidden="false" customHeight="false" outlineLevel="0" collapsed="false">
      <c r="A16386" s="4" t="s">
        <v>43</v>
      </c>
      <c r="B16386" s="4" t="s">
        <v>65</v>
      </c>
      <c r="C16386" s="23" t="s">
        <v>942</v>
      </c>
      <c r="D16386" s="23" t="s">
        <v>943</v>
      </c>
      <c r="E16386" s="23" t="s">
        <v>944</v>
      </c>
      <c r="F16386" s="23" t="s">
        <v>945</v>
      </c>
      <c r="G16386" s="23" t="s">
        <v>946</v>
      </c>
      <c r="H16386" s="23" t="s">
        <v>947</v>
      </c>
      <c r="I16386" s="23" t="s">
        <v>948</v>
      </c>
      <c r="J16386" s="23" t="s">
        <v>949</v>
      </c>
      <c r="K16386" s="23" t="s">
        <v>950</v>
      </c>
      <c r="L16386" s="4" t="s">
        <v>47</v>
      </c>
    </row>
    <row r="16387" customFormat="false" ht="17.15" hidden="false" customHeight="false" outlineLevel="0" collapsed="false">
      <c r="A16387" s="0" t="s">
        <v>1025</v>
      </c>
      <c r="B16387" s="0" t="s">
        <v>98</v>
      </c>
      <c r="D16387" s="6" t="n">
        <f aca="false">Sens!D16365</f>
        <v>12.9359794422418</v>
      </c>
      <c r="E16387" s="6" t="n">
        <f aca="false">Sens!E16365</f>
        <v>27.8095064661409</v>
      </c>
      <c r="F16387" s="6" t="n">
        <f aca="false">Sens!F16365</f>
        <v>38.2259783649916</v>
      </c>
      <c r="G16387" s="6" t="n">
        <f aca="false">Sens!G16365</f>
        <v>41.1248620805705</v>
      </c>
      <c r="H16387" s="6" t="n">
        <f aca="false">Sens!H16365</f>
        <v>39.3939767870212</v>
      </c>
      <c r="I16387" s="6" t="n">
        <f aca="false">Sens!I16365</f>
        <v>40.2461266001841</v>
      </c>
      <c r="J16387" s="6" t="n">
        <f aca="false">Sens!J16365</f>
        <v>41.5330467261851</v>
      </c>
      <c r="K16387" s="6" t="n">
        <f aca="false">Sens!K16365</f>
        <v>44.0894961656736</v>
      </c>
    </row>
    <row r="16388" customFormat="false" ht="17.15" hidden="false" customHeight="false" outlineLevel="0" collapsed="false">
      <c r="A16388" s="0" t="s">
        <v>1026</v>
      </c>
      <c r="B16388" s="0" t="s">
        <v>98</v>
      </c>
      <c r="D16388" s="6" t="n">
        <f aca="false">Q!L6-Sens!D16387</f>
        <v>59.6740205577583</v>
      </c>
      <c r="E16388" s="6" t="n">
        <f aca="false">Q!M6-Sens!E16387</f>
        <v>74.1284935338591</v>
      </c>
      <c r="F16388" s="6" t="n">
        <f aca="false">Q!$I$6+(Sens!F16387+Sens!E16388*(1+Sens!F16389))*(1-Q!$E$6/Q!M6)-Sens!F16387</f>
        <v>95.0709626604845</v>
      </c>
      <c r="G16388" s="6" t="n">
        <f aca="false">Sens!F16388*(1+Sens!G16389)</f>
        <v>112.958493491404</v>
      </c>
      <c r="H16388" s="6" t="n">
        <f aca="false">Sens!G16388*(1+Sens!H16389)</f>
        <v>131.157455688971</v>
      </c>
      <c r="I16388" s="6" t="n">
        <f aca="false">Sens!H16388*(1+Sens!I16389)</f>
        <v>148.74234272792</v>
      </c>
      <c r="J16388" s="6" t="n">
        <f aca="false">Sens!I16388*(1+Sens!J16389)</f>
        <v>164.663323547782</v>
      </c>
      <c r="K16388" s="6" t="n">
        <f aca="false">Sens!J16388*(1+Sens!K16389)</f>
        <v>177.836389431605</v>
      </c>
      <c r="L16388" s="12" t="s">
        <v>1027</v>
      </c>
    </row>
    <row r="16389" customFormat="false" ht="15" hidden="false" customHeight="false" outlineLevel="0" collapsed="false">
      <c r="A16389" s="1" t="s">
        <v>1028</v>
      </c>
      <c r="B16389" s="0" t="s">
        <v>168</v>
      </c>
      <c r="E16389" s="7" t="n">
        <f aca="false">Sens!E16388/Sens!D16388-1</f>
        <v>0.242223883039864</v>
      </c>
      <c r="F16389" s="7" t="n">
        <f aca="false">Sens!$E$16389+(glt_azo-Sens!$E$16389)*MIN(1,(Sens!F16346-base_fy)/n_conv)</f>
        <v>0.215186569199887</v>
      </c>
      <c r="G16389" s="7" t="n">
        <f aca="false">Sens!$E$16389+(glt_azo-Sens!$E$16389)*MIN(1,(Sens!G16346-base_fy)/n_conv)</f>
        <v>0.18814925535991</v>
      </c>
      <c r="H16389" s="7" t="n">
        <f aca="false">Sens!$E$16389+(glt_azo-Sens!$E$16389)*MIN(1,(Sens!H16346-base_fy)/n_conv)</f>
        <v>0.161111941519932</v>
      </c>
      <c r="I16389" s="7" t="n">
        <f aca="false">Sens!$E$16389+(glt_azo-Sens!$E$16389)*MIN(1,(Sens!I16346-base_fy)/n_conv)</f>
        <v>0.134074627679955</v>
      </c>
      <c r="J16389" s="7" t="n">
        <f aca="false">Sens!$E$16389+(glt_azo-Sens!$E$16389)*MIN(1,(Sens!J16346-base_fy)/n_conv)</f>
        <v>0.107037313839977</v>
      </c>
      <c r="K16389" s="7" t="n">
        <f aca="false">Sens!$E$16389+(glt_azo-Sens!$E$16389)*MIN(1,(Sens!K16346-base_fy)/n_conv)</f>
        <v>0.08</v>
      </c>
    </row>
    <row r="16390" customFormat="false" ht="15" hidden="false" customHeight="false" outlineLevel="0" collapsed="false">
      <c r="A16390" s="0" t="s">
        <v>1029</v>
      </c>
      <c r="B16390" s="0" t="s">
        <v>98</v>
      </c>
      <c r="D16390" s="6" t="n">
        <f aca="false">Sens!D16387+Sens!D16388</f>
        <v>72.61</v>
      </c>
      <c r="E16390" s="6" t="n">
        <f aca="false">Sens!E16387+Sens!E16388</f>
        <v>101.938</v>
      </c>
      <c r="F16390" s="6" t="n">
        <f aca="false">Sens!F16387+Sens!F16388</f>
        <v>133.296941025476</v>
      </c>
      <c r="G16390" s="6" t="n">
        <f aca="false">Sens!G16387+Sens!G16388</f>
        <v>154.083355571975</v>
      </c>
      <c r="H16390" s="6" t="n">
        <f aca="false">Sens!H16387+Sens!H16388</f>
        <v>170.551432475992</v>
      </c>
      <c r="I16390" s="6" t="n">
        <f aca="false">Sens!I16387+Sens!I16388</f>
        <v>188.988469328104</v>
      </c>
      <c r="J16390" s="6" t="n">
        <f aca="false">Sens!J16387+Sens!J16388</f>
        <v>206.196370273967</v>
      </c>
      <c r="K16390" s="6" t="n">
        <f aca="false">Sens!K16387+Sens!K16388</f>
        <v>221.925885597278</v>
      </c>
    </row>
    <row r="16391" customFormat="false" ht="17.15" hidden="false" customHeight="false" outlineLevel="0" collapsed="false">
      <c r="A16391" s="0" t="s">
        <v>1030</v>
      </c>
      <c r="B16391" s="1" t="s">
        <v>613</v>
      </c>
      <c r="C16391" s="30" t="n">
        <f aca="false">cop_s24</f>
        <v>1</v>
      </c>
      <c r="D16391" s="30" t="n">
        <f aca="false">cop_s25</f>
        <v>5</v>
      </c>
      <c r="E16391" s="30" t="n">
        <f aca="false">cop_s26</f>
        <v>30</v>
      </c>
      <c r="F16391" s="30" t="n">
        <f aca="false">Sens!E16391+cop_add_C</f>
        <v>40</v>
      </c>
      <c r="G16391" s="30" t="n">
        <f aca="false">Sens!F16391+cop_add_C</f>
        <v>50</v>
      </c>
      <c r="H16391" s="30" t="n">
        <f aca="false">Sens!G16391+cop_add_C</f>
        <v>60</v>
      </c>
      <c r="I16391" s="30" t="n">
        <f aca="false">Sens!H16391+cop_add_C*cop_tail</f>
        <v>65</v>
      </c>
      <c r="J16391" s="30" t="n">
        <f aca="false">Sens!I16391+cop_add_C*cop_tail</f>
        <v>70</v>
      </c>
      <c r="K16391" s="30" t="n">
        <f aca="false">Sens!J16391+cop_add_C*cop_tail</f>
        <v>75</v>
      </c>
      <c r="L16391" s="12" t="s">
        <v>1031</v>
      </c>
    </row>
    <row r="16392" customFormat="false" ht="17.15" hidden="false" customHeight="false" outlineLevel="0" collapsed="false">
      <c r="A16392" s="0" t="s">
        <v>1032</v>
      </c>
      <c r="B16392" s="0" t="s">
        <v>98</v>
      </c>
      <c r="D16392" s="6" t="n">
        <f aca="false">(Sens!C16391+Sens!D16391)/2*cop_px*12/1000</f>
        <v>0.9</v>
      </c>
      <c r="E16392" s="6" t="n">
        <f aca="false">(Sens!D16391+Sens!E16391)/2*cop_px*12/1000</f>
        <v>5.25</v>
      </c>
      <c r="F16392" s="6" t="n">
        <f aca="false">(Sens!E16391+Sens!F16391)/2*cop_px*12/1000</f>
        <v>10.5</v>
      </c>
      <c r="G16392" s="6" t="n">
        <f aca="false">(Sens!F16391+Sens!G16391)/2*cop_px*12/1000</f>
        <v>13.5</v>
      </c>
      <c r="H16392" s="6" t="n">
        <f aca="false">(Sens!G16391+Sens!H16391)/2*cop_px*12/1000</f>
        <v>16.5</v>
      </c>
      <c r="I16392" s="6" t="n">
        <f aca="false">(Sens!H16391+Sens!I16391)/2*cop_px*12/1000</f>
        <v>18.75</v>
      </c>
      <c r="J16392" s="6" t="n">
        <f aca="false">(Sens!I16391+Sens!J16391)/2*cop_px*12/1000</f>
        <v>20.25</v>
      </c>
      <c r="K16392" s="6" t="n">
        <f aca="false">(Sens!J16391+Sens!K16391)/2*cop_px*12/1000</f>
        <v>21.75</v>
      </c>
      <c r="L16392" s="1" t="s">
        <v>1033</v>
      </c>
    </row>
    <row r="16393" customFormat="false" ht="17.15" hidden="false" customHeight="false" outlineLevel="0" collapsed="false">
      <c r="A16393" s="0" t="s">
        <v>1034</v>
      </c>
      <c r="B16393" s="0" t="s">
        <v>98</v>
      </c>
      <c r="D16393" s="6" t="n">
        <f aca="false">Q!L7-Sens!D16392</f>
        <v>83.705</v>
      </c>
      <c r="E16393" s="6" t="n">
        <f aca="false">Q!M7-Sens!E16392</f>
        <v>95.049</v>
      </c>
      <c r="F16393" s="6" t="n">
        <f aca="false">Q!$I$7+(Sens!E16393*(1+Sens!F16394)+Sens!F16392)*(1-Q!$E$7/Q!M7)-Sens!F16392</f>
        <v>106.938354189776</v>
      </c>
      <c r="G16393" s="6" t="n">
        <f aca="false">Sens!F16393*(1+Sens!G16394)</f>
        <v>119.095360443801</v>
      </c>
      <c r="H16393" s="6" t="n">
        <f aca="false">Sens!G16393*(1+Sens!H16394)</f>
        <v>131.333811964563</v>
      </c>
      <c r="I16393" s="6" t="n">
        <f aca="false">Sens!H16393*(1+Sens!I16394)</f>
        <v>143.395665319381</v>
      </c>
      <c r="J16393" s="6" t="n">
        <f aca="false">Sens!I16393*(1+Sens!J16394)</f>
        <v>154.999327755573</v>
      </c>
      <c r="K16393" s="6" t="n">
        <f aca="false">Sens!J16393*(1+Sens!K16394)</f>
        <v>165.849280698463</v>
      </c>
      <c r="L16393" s="12" t="s">
        <v>1035</v>
      </c>
    </row>
    <row r="16394" customFormat="false" ht="15" hidden="false" customHeight="false" outlineLevel="0" collapsed="false">
      <c r="A16394" s="1" t="s">
        <v>1028</v>
      </c>
      <c r="B16394" s="0" t="s">
        <v>168</v>
      </c>
      <c r="E16394" s="7" t="n">
        <f aca="false">Sens!E16393/Sens!D16393-1</f>
        <v>0.135523564900544</v>
      </c>
      <c r="F16394" s="7" t="n">
        <f aca="false">Sens!$E$16394+(glt_m365b-Sens!$E$16394)*MIN(1,(Sens!F16346-base_fy)/n_conv)</f>
        <v>0.124602970750453</v>
      </c>
      <c r="G16394" s="7" t="n">
        <f aca="false">Sens!$E$16394+(glt_m365b-Sens!$E$16394)*MIN(1,(Sens!G16346-base_fy)/n_conv)</f>
        <v>0.113682376600363</v>
      </c>
      <c r="H16394" s="7" t="n">
        <f aca="false">Sens!$E$16394+(glt_m365b-Sens!$E$16394)*MIN(1,(Sens!H16346-base_fy)/n_conv)</f>
        <v>0.102761782450272</v>
      </c>
      <c r="I16394" s="7" t="n">
        <f aca="false">Sens!$E$16394+(glt_m365b-Sens!$E$16394)*MIN(1,(Sens!I16346-base_fy)/n_conv)</f>
        <v>0.0918411883001813</v>
      </c>
      <c r="J16394" s="7" t="n">
        <f aca="false">Sens!$E$16394+(glt_m365b-Sens!$E$16394)*MIN(1,(Sens!J16346-base_fy)/n_conv)</f>
        <v>0.0809205941500906</v>
      </c>
      <c r="K16394" s="7" t="n">
        <f aca="false">Sens!$E$16394+(glt_m365b-Sens!$E$16394)*MIN(1,(Sens!K16346-base_fy)/n_conv)</f>
        <v>0.07</v>
      </c>
    </row>
    <row r="16395" customFormat="false" ht="15" hidden="false" customHeight="false" outlineLevel="0" collapsed="false">
      <c r="A16395" s="0" t="s">
        <v>1036</v>
      </c>
      <c r="B16395" s="0" t="s">
        <v>98</v>
      </c>
      <c r="D16395" s="6" t="n">
        <f aca="false">Sens!D16393+Sens!D16392</f>
        <v>84.605</v>
      </c>
      <c r="E16395" s="6" t="n">
        <f aca="false">Sens!E16393+Sens!E16392</f>
        <v>100.299</v>
      </c>
      <c r="F16395" s="6" t="n">
        <f aca="false">Sens!F16393+Sens!F16392</f>
        <v>117.438354189776</v>
      </c>
      <c r="G16395" s="6" t="n">
        <f aca="false">Sens!G16393+Sens!G16392</f>
        <v>132.595360443801</v>
      </c>
      <c r="H16395" s="6" t="n">
        <f aca="false">Sens!H16393+Sens!H16392</f>
        <v>147.833811964563</v>
      </c>
      <c r="I16395" s="6" t="n">
        <f aca="false">Sens!I16393+Sens!I16392</f>
        <v>162.145665319381</v>
      </c>
      <c r="J16395" s="6" t="n">
        <f aca="false">Sens!J16393+Sens!J16392</f>
        <v>175.249327755573</v>
      </c>
      <c r="K16395" s="6" t="n">
        <f aca="false">Sens!K16393+Sens!K16392</f>
        <v>187.599280698463</v>
      </c>
    </row>
    <row r="16396" customFormat="false" ht="17.15" hidden="false" customHeight="false" outlineLevel="0" collapsed="false">
      <c r="A16396" s="0" t="s">
        <v>1037</v>
      </c>
      <c r="B16396" s="0" t="s">
        <v>98</v>
      </c>
      <c r="D16396" s="6" t="n">
        <f aca="false">Q!L8</f>
        <v>35.391</v>
      </c>
      <c r="E16396" s="6" t="n">
        <f aca="false">Q!M8</f>
        <v>37.285</v>
      </c>
      <c r="F16396" s="6" t="n">
        <f aca="false">Q!$I$8+(Q!M8-Q!$E$8)*(1+Sens!F16397)</f>
        <v>38.3851437782675</v>
      </c>
      <c r="G16396" s="6" t="n">
        <f aca="false">Sens!F16396*(1+Sens!G16397)</f>
        <v>40.0105353288615</v>
      </c>
      <c r="H16396" s="6" t="n">
        <f aca="false">Sens!G16396*(1+Sens!H16397)</f>
        <v>41.4812512033683</v>
      </c>
      <c r="I16396" s="6" t="n">
        <f aca="false">Sens!H16396*(1+Sens!I16397)</f>
        <v>42.7743107216329</v>
      </c>
      <c r="J16396" s="6" t="n">
        <f aca="false">Sens!I16396*(1+Sens!J16397)</f>
        <v>43.8687373064601</v>
      </c>
      <c r="K16396" s="6" t="n">
        <f aca="false">Sens!J16396*(1+Sens!K16397)</f>
        <v>44.7461120525893</v>
      </c>
      <c r="L16396" s="12" t="s">
        <v>1038</v>
      </c>
    </row>
    <row r="16397" customFormat="false" ht="15" hidden="false" customHeight="false" outlineLevel="0" collapsed="false">
      <c r="A16397" s="1" t="s">
        <v>1028</v>
      </c>
      <c r="B16397" s="0" t="s">
        <v>168</v>
      </c>
      <c r="E16397" s="7" t="n">
        <f aca="false">Sens!E16396/Sens!D16396-1</f>
        <v>0.0535164307309768</v>
      </c>
      <c r="F16397" s="7" t="n">
        <f aca="false">Sens!$E$16397+(glt_lic-Sens!$E$16397)*MIN(1,(Sens!F16346-base_fy)/n_conv)</f>
        <v>0.0479303589424807</v>
      </c>
      <c r="G16397" s="7" t="n">
        <f aca="false">Sens!$E$16397+(glt_lic-Sens!$E$16397)*MIN(1,(Sens!G16346-base_fy)/n_conv)</f>
        <v>0.0423442871539845</v>
      </c>
      <c r="H16397" s="7" t="n">
        <f aca="false">Sens!$E$16397+(glt_lic-Sens!$E$16397)*MIN(1,(Sens!H16346-base_fy)/n_conv)</f>
        <v>0.0367582153654884</v>
      </c>
      <c r="I16397" s="7" t="n">
        <f aca="false">Sens!$E$16397+(glt_lic-Sens!$E$16397)*MIN(1,(Sens!I16346-base_fy)/n_conv)</f>
        <v>0.0311721435769923</v>
      </c>
      <c r="J16397" s="7" t="n">
        <f aca="false">Sens!$E$16397+(glt_lic-Sens!$E$16397)*MIN(1,(Sens!J16346-base_fy)/n_conv)</f>
        <v>0.0255860717884961</v>
      </c>
      <c r="K16397" s="7" t="n">
        <f aca="false">Sens!$E$16397+(glt_lic-Sens!$E$16397)*MIN(1,(Sens!K16346-base_fy)/n_conv)</f>
        <v>0.02</v>
      </c>
    </row>
    <row r="16398" customFormat="false" ht="17.15" hidden="false" customHeight="false" outlineLevel="0" collapsed="false">
      <c r="A16398" s="0" t="s">
        <v>1039</v>
      </c>
      <c r="B16398" s="0" t="s">
        <v>98</v>
      </c>
      <c r="D16398" s="6" t="n">
        <f aca="false">Q!L9</f>
        <v>18.417</v>
      </c>
      <c r="E16398" s="6" t="n">
        <f aca="false">Q!M9</f>
        <v>20.345</v>
      </c>
      <c r="F16398" s="6" t="n">
        <f aca="false">Q!$I$9+(Q!M9-Q!$E$9)*(1+Sens!F16399)</f>
        <v>22.3161797133988</v>
      </c>
      <c r="G16398" s="6" t="n">
        <f aca="false">Sens!F16398*(1+Sens!G16399)</f>
        <v>24.3943499673233</v>
      </c>
      <c r="H16398" s="6" t="n">
        <f aca="false">Sens!G16398*(1+Sens!H16399)</f>
        <v>26.5250243109019</v>
      </c>
      <c r="I16398" s="6" t="n">
        <f aca="false">Sens!H16398*(1+Sens!I16399)</f>
        <v>28.6884573538181</v>
      </c>
      <c r="J16398" s="6" t="n">
        <f aca="false">Sens!I16398*(1+Sens!J16399)</f>
        <v>30.8624968052127</v>
      </c>
      <c r="K16398" s="6" t="n">
        <f aca="false">Sens!J16398*(1+Sens!K16399)</f>
        <v>33.0228715815776</v>
      </c>
      <c r="L16398" s="12" t="s">
        <v>1038</v>
      </c>
    </row>
    <row r="16399" customFormat="false" ht="15" hidden="false" customHeight="false" outlineLevel="0" collapsed="false">
      <c r="A16399" s="1" t="s">
        <v>1028</v>
      </c>
      <c r="B16399" s="0" t="s">
        <v>168</v>
      </c>
      <c r="E16399" s="7" t="n">
        <f aca="false">Sens!E16398/Sens!D16398-1</f>
        <v>0.104685888038225</v>
      </c>
      <c r="F16399" s="7" t="n">
        <f aca="false">Sens!$E$16399+(glt_ind-Sens!$E$16399)*MIN(1,(Sens!F16346-base_fy)/n_conv)</f>
        <v>0.0989049066985211</v>
      </c>
      <c r="G16399" s="7" t="n">
        <f aca="false">Sens!$E$16399+(glt_ind-Sens!$E$16399)*MIN(1,(Sens!G16346-base_fy)/n_conv)</f>
        <v>0.0931239253588169</v>
      </c>
      <c r="H16399" s="7" t="n">
        <f aca="false">Sens!$E$16399+(glt_ind-Sens!$E$16399)*MIN(1,(Sens!H16346-base_fy)/n_conv)</f>
        <v>0.0873429440191127</v>
      </c>
      <c r="I16399" s="7" t="n">
        <f aca="false">Sens!$E$16399+(glt_ind-Sens!$E$16399)*MIN(1,(Sens!I16346-base_fy)/n_conv)</f>
        <v>0.0815619626794085</v>
      </c>
      <c r="J16399" s="7" t="n">
        <f aca="false">Sens!$E$16399+(glt_ind-Sens!$E$16399)*MIN(1,(Sens!J16346-base_fy)/n_conv)</f>
        <v>0.0757809813397042</v>
      </c>
      <c r="K16399" s="7" t="n">
        <f aca="false">Sens!$E$16399+(glt_ind-Sens!$E$16399)*MIN(1,(Sens!K16346-base_fy)/n_conv)</f>
        <v>0.07</v>
      </c>
    </row>
    <row r="16400" customFormat="false" ht="17.15" hidden="false" customHeight="false" outlineLevel="0" collapsed="false">
      <c r="A16400" s="0" t="s">
        <v>1040</v>
      </c>
      <c r="B16400" s="0" t="s">
        <v>98</v>
      </c>
      <c r="D16400" s="6" t="n">
        <f aca="false">Q!L10</f>
        <v>7.76</v>
      </c>
      <c r="E16400" s="6" t="n">
        <f aca="false">Q!M10</f>
        <v>8.26</v>
      </c>
      <c r="F16400" s="6" t="n">
        <f aca="false">Q!$I$10+(Q!M10-Q!$E$10)*(1+Sens!F16401)</f>
        <v>8.75372082474227</v>
      </c>
      <c r="G16400" s="6" t="n">
        <f aca="false">Sens!F16400*(1+Sens!G16401)</f>
        <v>9.33399324642364</v>
      </c>
      <c r="H16400" s="6" t="n">
        <f aca="false">Sens!G16400*(1+Sens!H16401)</f>
        <v>9.96139155535851</v>
      </c>
      <c r="I16400" s="6" t="n">
        <f aca="false">Sens!H16400*(1+Sens!I16401)</f>
        <v>10.6402039077391</v>
      </c>
      <c r="J16400" s="6" t="n">
        <f aca="false">Sens!I16400*(1+Sens!J16401)</f>
        <v>11.3751458271397</v>
      </c>
      <c r="K16400" s="6" t="n">
        <f aca="false">Sens!J16400*(1+Sens!K16401)</f>
        <v>12.1714060350394</v>
      </c>
      <c r="L16400" s="12" t="s">
        <v>1038</v>
      </c>
    </row>
    <row r="16401" customFormat="false" ht="15" hidden="false" customHeight="false" outlineLevel="0" collapsed="false">
      <c r="A16401" s="1" t="s">
        <v>1028</v>
      </c>
      <c r="B16401" s="0" t="s">
        <v>168</v>
      </c>
      <c r="E16401" s="7" t="n">
        <f aca="false">Sens!E16400/Sens!D16400-1</f>
        <v>0.0644329896907216</v>
      </c>
      <c r="F16401" s="7" t="n">
        <f aca="false">Sens!$E$16401+(glt_fro-Sens!$E$16401)*MIN(1,(Sens!F16346-base_fy)/n_conv)</f>
        <v>0.065360824742268</v>
      </c>
      <c r="G16401" s="7" t="n">
        <f aca="false">Sens!$E$16401+(glt_fro-Sens!$E$16401)*MIN(1,(Sens!G16346-base_fy)/n_conv)</f>
        <v>0.0662886597938144</v>
      </c>
      <c r="H16401" s="7" t="n">
        <f aca="false">Sens!$E$16401+(glt_fro-Sens!$E$16401)*MIN(1,(Sens!H16346-base_fy)/n_conv)</f>
        <v>0.0672164948453608</v>
      </c>
      <c r="I16401" s="7" t="n">
        <f aca="false">Sens!$E$16401+(glt_fro-Sens!$E$16401)*MIN(1,(Sens!I16346-base_fy)/n_conv)</f>
        <v>0.0681443298969072</v>
      </c>
      <c r="J16401" s="7" t="n">
        <f aca="false">Sens!$E$16401+(glt_fro-Sens!$E$16401)*MIN(1,(Sens!J16346-base_fy)/n_conv)</f>
        <v>0.0690721649484536</v>
      </c>
      <c r="K16401" s="7" t="n">
        <f aca="false">Sens!$E$16401+(glt_fro-Sens!$E$16401)*MIN(1,(Sens!K16346-base_fy)/n_conv)</f>
        <v>0.07</v>
      </c>
    </row>
    <row r="16402" customFormat="false" ht="15" hidden="false" customHeight="false" outlineLevel="0" collapsed="false">
      <c r="A16402" s="0" t="s">
        <v>856</v>
      </c>
      <c r="B16402" s="0" t="s">
        <v>98</v>
      </c>
      <c r="D16402" s="6" t="n">
        <f aca="false">Sens!D16390+Sens!D16395+Sens!D16396+Sens!D16398+Sens!D16400</f>
        <v>218.783</v>
      </c>
      <c r="E16402" s="6" t="n">
        <f aca="false">Sens!E16390+Sens!E16395+Sens!E16396+Sens!E16398+Sens!E16400</f>
        <v>268.127</v>
      </c>
      <c r="F16402" s="6" t="n">
        <f aca="false">Sens!F16390+Sens!F16395+Sens!F16396+Sens!F16398+Sens!F16400</f>
        <v>320.19033953166</v>
      </c>
      <c r="G16402" s="6" t="n">
        <f aca="false">Sens!G16390+Sens!G16395+Sens!G16396+Sens!G16398+Sens!G16400</f>
        <v>360.417594558384</v>
      </c>
      <c r="H16402" s="6" t="n">
        <f aca="false">Sens!H16390+Sens!H16395+Sens!H16396+Sens!H16398+Sens!H16400</f>
        <v>396.352911510184</v>
      </c>
      <c r="I16402" s="6" t="n">
        <f aca="false">Sens!I16390+Sens!I16395+Sens!I16396+Sens!I16398+Sens!I16400</f>
        <v>433.237106630676</v>
      </c>
      <c r="J16402" s="6" t="n">
        <f aca="false">Sens!J16390+Sens!J16395+Sens!J16396+Sens!J16398+Sens!J16400</f>
        <v>467.552077968353</v>
      </c>
      <c r="K16402" s="6" t="n">
        <f aca="false">Sens!K16390+Sens!K16395+Sens!K16396+Sens!K16398+Sens!K16400</f>
        <v>499.465555964948</v>
      </c>
    </row>
    <row r="16403" customFormat="false" ht="17.15" hidden="false" customHeight="false" outlineLevel="0" collapsed="false">
      <c r="A16403" s="0" t="s">
        <v>1041</v>
      </c>
      <c r="B16403" s="0" t="s">
        <v>98</v>
      </c>
      <c r="D16403" s="6" t="n">
        <f aca="false">Q!L13</f>
        <v>22.171</v>
      </c>
      <c r="E16403" s="6" t="n">
        <f aca="false">Q!M13</f>
        <v>24.835</v>
      </c>
      <c r="F16403" s="6" t="n">
        <f aca="false">Q!$I$13+(Q!M13-Q!$E$13)*(1+Sens!F16404)</f>
        <v>27.5591895660247</v>
      </c>
      <c r="G16403" s="6" t="n">
        <f aca="false">Sens!F16403*(1+Sens!G16404)</f>
        <v>30.4098563144583</v>
      </c>
      <c r="H16403" s="6" t="n">
        <f aca="false">Sens!G16403*(1+Sens!H16404)</f>
        <v>33.3011792571777</v>
      </c>
      <c r="I16403" s="6" t="n">
        <f aca="false">Sens!H16403*(1+Sens!I16404)</f>
        <v>36.189023797112</v>
      </c>
      <c r="J16403" s="6" t="n">
        <f aca="false">Sens!I16403*(1+Sens!J16404)</f>
        <v>39.0247773769199</v>
      </c>
      <c r="K16403" s="6" t="n">
        <f aca="false">Sens!J16403*(1+Sens!K16404)</f>
        <v>41.7565117933043</v>
      </c>
      <c r="L16403" s="12" t="s">
        <v>1038</v>
      </c>
    </row>
    <row r="16404" customFormat="false" ht="15" hidden="false" customHeight="false" outlineLevel="0" collapsed="false">
      <c r="A16404" s="1" t="s">
        <v>1028</v>
      </c>
      <c r="B16404" s="0" t="s">
        <v>168</v>
      </c>
      <c r="E16404" s="7" t="n">
        <f aca="false">Sens!E16403/Sens!D16403-1</f>
        <v>0.120156961796942</v>
      </c>
      <c r="F16404" s="7" t="n">
        <f aca="false">Sens!$E$16404+(glt_srch-Sens!$E$16404)*MIN(1,(Sens!F16346-base_fy)/n_conv)</f>
        <v>0.111797468164118</v>
      </c>
      <c r="G16404" s="7" t="n">
        <f aca="false">Sens!$E$16404+(glt_srch-Sens!$E$16404)*MIN(1,(Sens!G16346-base_fy)/n_conv)</f>
        <v>0.103437974531295</v>
      </c>
      <c r="H16404" s="7" t="n">
        <f aca="false">Sens!$E$16404+(glt_srch-Sens!$E$16404)*MIN(1,(Sens!H16346-base_fy)/n_conv)</f>
        <v>0.095078480898471</v>
      </c>
      <c r="I16404" s="7" t="n">
        <f aca="false">Sens!$E$16404+(glt_srch-Sens!$E$16404)*MIN(1,(Sens!I16346-base_fy)/n_conv)</f>
        <v>0.0867189872656474</v>
      </c>
      <c r="J16404" s="7" t="n">
        <f aca="false">Sens!$E$16404+(glt_srch-Sens!$E$16404)*MIN(1,(Sens!J16346-base_fy)/n_conv)</f>
        <v>0.0783594936328237</v>
      </c>
      <c r="K16404" s="7" t="n">
        <f aca="false">Sens!$E$16404+(glt_srch-Sens!$E$16404)*MIN(1,(Sens!K16346-base_fy)/n_conv)</f>
        <v>0.07</v>
      </c>
    </row>
    <row r="16405" customFormat="false" ht="17.15" hidden="false" customHeight="false" outlineLevel="0" collapsed="false">
      <c r="A16405" s="0" t="s">
        <v>1042</v>
      </c>
      <c r="B16405" s="0" t="s">
        <v>98</v>
      </c>
      <c r="D16405" s="6" t="n">
        <f aca="false">Q!L14</f>
        <v>23.455</v>
      </c>
      <c r="E16405" s="6" t="n">
        <f aca="false">Q!M14</f>
        <v>21.79</v>
      </c>
      <c r="F16405" s="6" t="n">
        <f aca="false">Q!$I$14+(Q!M14-Q!$E$14)*(1+Sens!F16406)</f>
        <v>20.7520981041711</v>
      </c>
      <c r="G16405" s="6" t="n">
        <f aca="false">Sens!F16405*(1+Sens!G16406)</f>
        <v>19.9083593495882</v>
      </c>
      <c r="H16405" s="6" t="n">
        <f aca="false">Sens!G16405*(1+Sens!H16406)</f>
        <v>19.4008256265831</v>
      </c>
      <c r="I16405" s="6" t="n">
        <f aca="false">Sens!H16405*(1+Sens!I16406)</f>
        <v>19.200434522122</v>
      </c>
      <c r="J16405" s="6" t="n">
        <f aca="false">Sens!I16405*(1+Sens!J16406)</f>
        <v>19.2932782348507</v>
      </c>
      <c r="K16405" s="6" t="n">
        <f aca="false">Sens!J16405*(1+Sens!K16406)</f>
        <v>19.6791437995477</v>
      </c>
      <c r="L16405" s="12" t="s">
        <v>1038</v>
      </c>
    </row>
    <row r="16406" customFormat="false" ht="15" hidden="false" customHeight="false" outlineLevel="0" collapsed="false">
      <c r="A16406" s="1" t="s">
        <v>1028</v>
      </c>
      <c r="B16406" s="0" t="s">
        <v>168</v>
      </c>
      <c r="E16406" s="7" t="n">
        <f aca="false">Sens!E16405/Sens!D16405-1</f>
        <v>-0.0709869963760392</v>
      </c>
      <c r="F16406" s="7" t="n">
        <f aca="false">Sens!$E$16406+(glt_xbox-Sens!$E$16406)*MIN(1,(Sens!F16346-base_fy)/n_conv)</f>
        <v>-0.0558224969800327</v>
      </c>
      <c r="G16406" s="7" t="n">
        <f aca="false">Sens!$E$16406+(glt_xbox-Sens!$E$16406)*MIN(1,(Sens!G16346-base_fy)/n_conv)</f>
        <v>-0.0406579975840262</v>
      </c>
      <c r="H16406" s="7" t="n">
        <f aca="false">Sens!$E$16406+(glt_xbox-Sens!$E$16406)*MIN(1,(Sens!H16346-base_fy)/n_conv)</f>
        <v>-0.0254934981880196</v>
      </c>
      <c r="I16406" s="7" t="n">
        <f aca="false">Sens!$E$16406+(glt_xbox-Sens!$E$16406)*MIN(1,(Sens!I16346-base_fy)/n_conv)</f>
        <v>-0.0103289987920131</v>
      </c>
      <c r="J16406" s="7" t="n">
        <f aca="false">Sens!$E$16406+(glt_xbox-Sens!$E$16406)*MIN(1,(Sens!J16346-base_fy)/n_conv)</f>
        <v>0.00483550060399347</v>
      </c>
      <c r="K16406" s="7" t="n">
        <f aca="false">Sens!$E$16406+(glt_xbox-Sens!$E$16406)*MIN(1,(Sens!K16346-base_fy)/n_conv)</f>
        <v>0.02</v>
      </c>
    </row>
    <row r="16407" customFormat="false" ht="17.15" hidden="false" customHeight="false" outlineLevel="0" collapsed="false">
      <c r="A16407" s="0" t="s">
        <v>1043</v>
      </c>
      <c r="B16407" s="0" t="s">
        <v>98</v>
      </c>
      <c r="D16407" s="6" t="n">
        <f aca="false">Q!L15</f>
        <v>17.315</v>
      </c>
      <c r="E16407" s="6" t="n">
        <f aca="false">Q!M15</f>
        <v>17.087</v>
      </c>
      <c r="F16407" s="6" t="n">
        <f aca="false">Q!$I$15+(Q!M15-Q!$E$15)*(1+Sens!F16408)</f>
        <v>15.9912273250553</v>
      </c>
      <c r="G16407" s="6" t="n">
        <f aca="false">Sens!F16407*(1+Sens!G16408)</f>
        <v>15.9574562664827</v>
      </c>
      <c r="H16407" s="6" t="n">
        <f aca="false">Sens!G16407*(1+Sens!H16408)</f>
        <v>16.0119687434196</v>
      </c>
      <c r="I16407" s="6" t="n">
        <f aca="false">Sens!H16407*(1+Sens!I16408)</f>
        <v>16.1551810001948</v>
      </c>
      <c r="J16407" s="6" t="n">
        <f aca="false">Sens!I16407*(1+Sens!J16408)</f>
        <v>16.3889793892005</v>
      </c>
      <c r="K16407" s="6" t="n">
        <f aca="false">Sens!J16407*(1+Sens!K16408)</f>
        <v>16.7167589769845</v>
      </c>
      <c r="L16407" s="12" t="s">
        <v>1038</v>
      </c>
    </row>
    <row r="16408" customFormat="false" ht="15" hidden="false" customHeight="false" outlineLevel="0" collapsed="false">
      <c r="A16408" s="1" t="s">
        <v>1028</v>
      </c>
      <c r="B16408" s="0" t="s">
        <v>168</v>
      </c>
      <c r="E16408" s="7" t="n">
        <f aca="false">Sens!E16407/Sens!D16407-1</f>
        <v>-0.0131677736066995</v>
      </c>
      <c r="F16408" s="7" t="n">
        <f aca="false">Sens!$E$16408+(glt_win-Sens!$E$16408)*MIN(1,(Sens!F16346-base_fy)/n_conv)</f>
        <v>-0.00763981133891627</v>
      </c>
      <c r="G16408" s="7" t="n">
        <f aca="false">Sens!$E$16408+(glt_win-Sens!$E$16408)*MIN(1,(Sens!G16346-base_fy)/n_conv)</f>
        <v>-0.00211184907113301</v>
      </c>
      <c r="H16408" s="7" t="n">
        <f aca="false">Sens!$E$16408+(glt_win-Sens!$E$16408)*MIN(1,(Sens!H16346-base_fy)/n_conv)</f>
        <v>0.00341611319665024</v>
      </c>
      <c r="I16408" s="7" t="n">
        <f aca="false">Sens!$E$16408+(glt_win-Sens!$E$16408)*MIN(1,(Sens!I16346-base_fy)/n_conv)</f>
        <v>0.00894407546443349</v>
      </c>
      <c r="J16408" s="7" t="n">
        <f aca="false">Sens!$E$16408+(glt_win-Sens!$E$16408)*MIN(1,(Sens!J16346-base_fy)/n_conv)</f>
        <v>0.0144720377322168</v>
      </c>
      <c r="K16408" s="7" t="n">
        <f aca="false">Sens!$E$16408+(glt_win-Sens!$E$16408)*MIN(1,(Sens!K16346-base_fy)/n_conv)</f>
        <v>0.02</v>
      </c>
    </row>
    <row r="16409" customFormat="false" ht="15" hidden="false" customHeight="false" outlineLevel="0" collapsed="false">
      <c r="A16409" s="0" t="s">
        <v>870</v>
      </c>
      <c r="B16409" s="0" t="s">
        <v>98</v>
      </c>
      <c r="D16409" s="6" t="n">
        <f aca="false">Sens!D16403+Sens!D16405+Sens!D16407</f>
        <v>62.941</v>
      </c>
      <c r="E16409" s="6" t="n">
        <f aca="false">Sens!E16403+Sens!E16405+Sens!E16407</f>
        <v>63.712</v>
      </c>
      <c r="F16409" s="6" t="n">
        <f aca="false">Sens!F16403+Sens!F16405+Sens!F16407</f>
        <v>64.3025149952511</v>
      </c>
      <c r="G16409" s="6" t="n">
        <f aca="false">Sens!G16403+Sens!G16405+Sens!G16407</f>
        <v>66.2756719305292</v>
      </c>
      <c r="H16409" s="6" t="n">
        <f aca="false">Sens!H16403+Sens!H16405+Sens!H16407</f>
        <v>68.7139736271804</v>
      </c>
      <c r="I16409" s="6" t="n">
        <f aca="false">Sens!I16403+Sens!I16405+Sens!I16407</f>
        <v>71.5446393194289</v>
      </c>
      <c r="J16409" s="6" t="n">
        <f aca="false">Sens!J16403+Sens!J16405+Sens!J16407</f>
        <v>74.707035000971</v>
      </c>
      <c r="K16409" s="6" t="n">
        <f aca="false">Sens!K16403+Sens!K16405+Sens!K16407</f>
        <v>78.1524145698365</v>
      </c>
    </row>
    <row r="16410" customFormat="false" ht="15" hidden="false" customHeight="false" outlineLevel="0" collapsed="false">
      <c r="A16410" s="1" t="s">
        <v>1044</v>
      </c>
      <c r="B16410" s="0" t="s">
        <v>98</v>
      </c>
      <c r="D16410" s="6" t="n">
        <f aca="false">Sens!D16402+Sens!D16409</f>
        <v>281.724</v>
      </c>
      <c r="E16410" s="6" t="n">
        <f aca="false">Sens!E16402+Sens!E16409</f>
        <v>331.839</v>
      </c>
      <c r="F16410" s="6" t="n">
        <f aca="false">Sens!F16402+Sens!F16409</f>
        <v>384.492854526911</v>
      </c>
      <c r="G16410" s="6" t="n">
        <f aca="false">Sens!G16402+Sens!G16409</f>
        <v>426.693266488913</v>
      </c>
      <c r="H16410" s="6" t="n">
        <f aca="false">Sens!H16402+Sens!H16409</f>
        <v>465.066885137364</v>
      </c>
      <c r="I16410" s="6" t="n">
        <f aca="false">Sens!I16402+Sens!I16409</f>
        <v>504.781745950104</v>
      </c>
      <c r="J16410" s="6" t="n">
        <f aca="false">Sens!J16402+Sens!J16409</f>
        <v>542.259112969324</v>
      </c>
      <c r="K16410" s="6" t="n">
        <f aca="false">Sens!K16402+Sens!K16409</f>
        <v>577.617970534784</v>
      </c>
    </row>
    <row r="16411" customFormat="false" ht="15" hidden="false" customHeight="false" outlineLevel="0" collapsed="false">
      <c r="A16411" s="26" t="s">
        <v>1045</v>
      </c>
      <c r="B16411" s="31" t="s">
        <v>98</v>
      </c>
      <c r="C16411" s="31"/>
      <c r="D16411" s="27" t="n">
        <f aca="false">(Sens!D16390+Sens!D16395+Sens!D16396+Sens!D16398+Sens!D16400-Sens!D16402)+(Sens!D16403+Sens!D16405+Sens!D16407-Sens!D16409)+(Sens!D16402-Q!L5)+(Sens!D16409-Q!L12)+(Sens!D16390-Q!L6)+(Sens!D16395-Q!L7)</f>
        <v>0</v>
      </c>
      <c r="E16411" s="27" t="n">
        <f aca="false">(Sens!E16390+Sens!E16395+Sens!E16396+Sens!E16398+Sens!E16400-Sens!E16402)+(Sens!E16403+Sens!E16405+Sens!E16407-Sens!E16409)+(Sens!E16402-Q!M5)+(Sens!E16409-Q!M12)+(Sens!E16390-Q!M6)+(Sens!E16395-Q!M7)</f>
        <v>0</v>
      </c>
      <c r="F16411" s="27" t="n">
        <f aca="false">(Sens!F16390+Sens!F16395+Sens!F16396+Sens!F16398+Sens!F16400-Sens!F16402)+(Sens!F16403+Sens!F16405+Sens!F16407-Sens!F16409)</f>
        <v>0</v>
      </c>
      <c r="G16411" s="27" t="n">
        <f aca="false">(Sens!G16390+Sens!G16395+Sens!G16396+Sens!G16398+Sens!G16400-Sens!G16402)+(Sens!G16403+Sens!G16405+Sens!G16407-Sens!G16409)</f>
        <v>0</v>
      </c>
      <c r="H16411" s="27" t="n">
        <f aca="false">(Sens!H16390+Sens!H16395+Sens!H16396+Sens!H16398+Sens!H16400-Sens!H16402)+(Sens!H16403+Sens!H16405+Sens!H16407-Sens!H16409)</f>
        <v>0</v>
      </c>
      <c r="I16411" s="27" t="n">
        <f aca="false">(Sens!I16390+Sens!I16395+Sens!I16396+Sens!I16398+Sens!I16400-Sens!I16402)+(Sens!I16403+Sens!I16405+Sens!I16407-Sens!I16409)</f>
        <v>0</v>
      </c>
      <c r="J16411" s="27" t="n">
        <f aca="false">(Sens!J16390+Sens!J16395+Sens!J16396+Sens!J16398+Sens!J16400-Sens!J16402)+(Sens!J16403+Sens!J16405+Sens!J16407-Sens!J16409)</f>
        <v>0</v>
      </c>
      <c r="K16411" s="27" t="n">
        <f aca="false">(Sens!K16390+Sens!K16395+Sens!K16396+Sens!K16398+Sens!K16400-Sens!K16402)+(Sens!K16403+Sens!K16405+Sens!K16407-Sens!K16409)</f>
        <v>0</v>
      </c>
    </row>
    <row r="16412" customFormat="false" ht="17.15" hidden="false" customHeight="false" outlineLevel="0" collapsed="false">
      <c r="A16412" s="3" t="s">
        <v>2016</v>
      </c>
    </row>
    <row r="16413" customFormat="false" ht="15" hidden="false" customHeight="false" outlineLevel="0" collapsed="false">
      <c r="A16413" s="4" t="s">
        <v>43</v>
      </c>
      <c r="B16413" s="4" t="s">
        <v>65</v>
      </c>
      <c r="C16413" s="23" t="s">
        <v>942</v>
      </c>
      <c r="D16413" s="23" t="s">
        <v>943</v>
      </c>
      <c r="E16413" s="23" t="s">
        <v>944</v>
      </c>
      <c r="F16413" s="23" t="s">
        <v>945</v>
      </c>
      <c r="G16413" s="23" t="s">
        <v>946</v>
      </c>
      <c r="H16413" s="23" t="s">
        <v>947</v>
      </c>
      <c r="I16413" s="23" t="s">
        <v>948</v>
      </c>
      <c r="J16413" s="23" t="s">
        <v>949</v>
      </c>
      <c r="K16413" s="23" t="s">
        <v>950</v>
      </c>
      <c r="L16413" s="4" t="s">
        <v>47</v>
      </c>
    </row>
    <row r="16414" customFormat="false" ht="15" hidden="false" customHeight="false" outlineLevel="0" collapsed="false">
      <c r="A16414" s="0" t="s">
        <v>1029</v>
      </c>
      <c r="B16414" s="0" t="s">
        <v>98</v>
      </c>
      <c r="D16414" s="6" t="n">
        <f aca="false">Sens!D16390</f>
        <v>72.61</v>
      </c>
      <c r="E16414" s="6" t="n">
        <f aca="false">Sens!E16390</f>
        <v>101.938</v>
      </c>
      <c r="F16414" s="6" t="n">
        <f aca="false">Sens!F16390</f>
        <v>133.296941025476</v>
      </c>
      <c r="G16414" s="6" t="n">
        <f aca="false">Sens!G16390</f>
        <v>154.083355571975</v>
      </c>
      <c r="H16414" s="6" t="n">
        <f aca="false">Sens!H16390</f>
        <v>170.551432475992</v>
      </c>
      <c r="I16414" s="6" t="n">
        <f aca="false">Sens!I16390</f>
        <v>188.988469328104</v>
      </c>
      <c r="J16414" s="6" t="n">
        <f aca="false">Sens!J16390</f>
        <v>206.196370273967</v>
      </c>
      <c r="K16414" s="6" t="n">
        <f aca="false">Sens!K16390</f>
        <v>221.925885597278</v>
      </c>
    </row>
    <row r="16415" customFormat="false" ht="17.15" hidden="false" customHeight="false" outlineLevel="0" collapsed="false">
      <c r="A16415" s="0" t="s">
        <v>1025</v>
      </c>
      <c r="B16415" s="0" t="s">
        <v>98</v>
      </c>
      <c r="D16415" s="6" t="n">
        <f aca="false">Sens!D16387</f>
        <v>12.9359794422418</v>
      </c>
      <c r="E16415" s="6" t="n">
        <f aca="false">Sens!E16387</f>
        <v>27.8095064661409</v>
      </c>
      <c r="F16415" s="6" t="n">
        <f aca="false">Sens!F16387</f>
        <v>38.2259783649916</v>
      </c>
      <c r="G16415" s="6" t="n">
        <f aca="false">Sens!G16387</f>
        <v>41.1248620805705</v>
      </c>
      <c r="H16415" s="6" t="n">
        <f aca="false">Sens!H16387</f>
        <v>39.3939767870212</v>
      </c>
      <c r="I16415" s="6" t="n">
        <f aca="false">Sens!I16387</f>
        <v>40.2461266001841</v>
      </c>
      <c r="J16415" s="6" t="n">
        <f aca="false">Sens!J16387</f>
        <v>41.5330467261851</v>
      </c>
      <c r="K16415" s="6" t="n">
        <f aca="false">Sens!K16387</f>
        <v>44.0894961656736</v>
      </c>
    </row>
    <row r="16416" customFormat="false" ht="17.15" hidden="false" customHeight="false" outlineLevel="0" collapsed="false">
      <c r="A16416" s="0" t="s">
        <v>1056</v>
      </c>
      <c r="B16416" s="0" t="s">
        <v>98</v>
      </c>
      <c r="D16416" s="6" t="n">
        <f aca="false">Sens!D16388</f>
        <v>59.6740205577583</v>
      </c>
      <c r="E16416" s="6" t="n">
        <f aca="false">Sens!E16388</f>
        <v>74.1284935338591</v>
      </c>
      <c r="F16416" s="6" t="n">
        <f aca="false">Sens!F16388</f>
        <v>95.0709626604845</v>
      </c>
      <c r="G16416" s="6" t="n">
        <f aca="false">Sens!G16388</f>
        <v>112.958493491404</v>
      </c>
      <c r="H16416" s="6" t="n">
        <f aca="false">Sens!H16388</f>
        <v>131.157455688971</v>
      </c>
      <c r="I16416" s="6" t="n">
        <f aca="false">Sens!I16388</f>
        <v>148.74234272792</v>
      </c>
      <c r="J16416" s="6" t="n">
        <f aca="false">Sens!J16388</f>
        <v>164.663323547782</v>
      </c>
      <c r="K16416" s="6" t="n">
        <f aca="false">Sens!K16388</f>
        <v>177.836389431605</v>
      </c>
    </row>
    <row r="16417" customFormat="false" ht="15" hidden="false" customHeight="false" outlineLevel="0" collapsed="false">
      <c r="A16417" s="0" t="s">
        <v>1036</v>
      </c>
      <c r="B16417" s="0" t="s">
        <v>98</v>
      </c>
      <c r="D16417" s="6" t="n">
        <f aca="false">Sens!D16395</f>
        <v>84.605</v>
      </c>
      <c r="E16417" s="6" t="n">
        <f aca="false">Sens!E16395</f>
        <v>100.299</v>
      </c>
      <c r="F16417" s="6" t="n">
        <f aca="false">Sens!F16395</f>
        <v>117.438354189776</v>
      </c>
      <c r="G16417" s="6" t="n">
        <f aca="false">Sens!G16395</f>
        <v>132.595360443801</v>
      </c>
      <c r="H16417" s="6" t="n">
        <f aca="false">Sens!H16395</f>
        <v>147.833811964563</v>
      </c>
      <c r="I16417" s="6" t="n">
        <f aca="false">Sens!I16395</f>
        <v>162.145665319381</v>
      </c>
      <c r="J16417" s="6" t="n">
        <f aca="false">Sens!J16395</f>
        <v>175.249327755573</v>
      </c>
      <c r="K16417" s="6" t="n">
        <f aca="false">Sens!K16395</f>
        <v>187.599280698463</v>
      </c>
    </row>
    <row r="16418" customFormat="false" ht="17.15" hidden="false" customHeight="false" outlineLevel="0" collapsed="false">
      <c r="A16418" s="0" t="s">
        <v>1057</v>
      </c>
      <c r="B16418" s="0" t="s">
        <v>98</v>
      </c>
      <c r="D16418" s="6" t="n">
        <f aca="false">Sens!D16393</f>
        <v>83.705</v>
      </c>
      <c r="E16418" s="6" t="n">
        <f aca="false">Sens!E16393</f>
        <v>95.049</v>
      </c>
      <c r="F16418" s="6" t="n">
        <f aca="false">Sens!F16393</f>
        <v>106.938354189776</v>
      </c>
      <c r="G16418" s="6" t="n">
        <f aca="false">Sens!G16393</f>
        <v>119.095360443801</v>
      </c>
      <c r="H16418" s="6" t="n">
        <f aca="false">Sens!H16393</f>
        <v>131.333811964563</v>
      </c>
      <c r="I16418" s="6" t="n">
        <f aca="false">Sens!I16393</f>
        <v>143.395665319381</v>
      </c>
      <c r="J16418" s="6" t="n">
        <f aca="false">Sens!J16393</f>
        <v>154.999327755573</v>
      </c>
      <c r="K16418" s="6" t="n">
        <f aca="false">Sens!K16393</f>
        <v>165.849280698463</v>
      </c>
    </row>
    <row r="16419" customFormat="false" ht="17.15" hidden="false" customHeight="false" outlineLevel="0" collapsed="false">
      <c r="A16419" s="0" t="s">
        <v>1058</v>
      </c>
      <c r="B16419" s="0" t="s">
        <v>98</v>
      </c>
      <c r="D16419" s="6" t="n">
        <f aca="false">Sens!D16392</f>
        <v>0.9</v>
      </c>
      <c r="E16419" s="6" t="n">
        <f aca="false">Sens!E16392</f>
        <v>5.25</v>
      </c>
      <c r="F16419" s="6" t="n">
        <f aca="false">Sens!F16392</f>
        <v>10.5</v>
      </c>
      <c r="G16419" s="6" t="n">
        <f aca="false">Sens!G16392</f>
        <v>13.5</v>
      </c>
      <c r="H16419" s="6" t="n">
        <f aca="false">Sens!H16392</f>
        <v>16.5</v>
      </c>
      <c r="I16419" s="6" t="n">
        <f aca="false">Sens!I16392</f>
        <v>18.75</v>
      </c>
      <c r="J16419" s="6" t="n">
        <f aca="false">Sens!J16392</f>
        <v>20.25</v>
      </c>
      <c r="K16419" s="6" t="n">
        <f aca="false">Sens!K16392</f>
        <v>21.75</v>
      </c>
    </row>
    <row r="16420" customFormat="false" ht="15" hidden="false" customHeight="false" outlineLevel="0" collapsed="false">
      <c r="A16420" s="0" t="s">
        <v>1037</v>
      </c>
      <c r="B16420" s="0" t="s">
        <v>98</v>
      </c>
      <c r="D16420" s="6" t="n">
        <f aca="false">Sens!D16396</f>
        <v>35.391</v>
      </c>
      <c r="E16420" s="6" t="n">
        <f aca="false">Sens!E16396</f>
        <v>37.285</v>
      </c>
      <c r="F16420" s="6" t="n">
        <f aca="false">Sens!F16396</f>
        <v>38.3851437782675</v>
      </c>
      <c r="G16420" s="6" t="n">
        <f aca="false">Sens!G16396</f>
        <v>40.0105353288615</v>
      </c>
      <c r="H16420" s="6" t="n">
        <f aca="false">Sens!H16396</f>
        <v>41.4812512033683</v>
      </c>
      <c r="I16420" s="6" t="n">
        <f aca="false">Sens!I16396</f>
        <v>42.7743107216329</v>
      </c>
      <c r="J16420" s="6" t="n">
        <f aca="false">Sens!J16396</f>
        <v>43.8687373064601</v>
      </c>
      <c r="K16420" s="6" t="n">
        <f aca="false">Sens!K16396</f>
        <v>44.7461120525893</v>
      </c>
    </row>
    <row r="16421" customFormat="false" ht="15" hidden="false" customHeight="false" outlineLevel="0" collapsed="false">
      <c r="A16421" s="0" t="s">
        <v>1039</v>
      </c>
      <c r="B16421" s="0" t="s">
        <v>98</v>
      </c>
      <c r="D16421" s="6" t="n">
        <f aca="false">Sens!D16398</f>
        <v>18.417</v>
      </c>
      <c r="E16421" s="6" t="n">
        <f aca="false">Sens!E16398</f>
        <v>20.345</v>
      </c>
      <c r="F16421" s="6" t="n">
        <f aca="false">Sens!F16398</f>
        <v>22.3161797133988</v>
      </c>
      <c r="G16421" s="6" t="n">
        <f aca="false">Sens!G16398</f>
        <v>24.3943499673233</v>
      </c>
      <c r="H16421" s="6" t="n">
        <f aca="false">Sens!H16398</f>
        <v>26.5250243109019</v>
      </c>
      <c r="I16421" s="6" t="n">
        <f aca="false">Sens!I16398</f>
        <v>28.6884573538181</v>
      </c>
      <c r="J16421" s="6" t="n">
        <f aca="false">Sens!J16398</f>
        <v>30.8624968052127</v>
      </c>
      <c r="K16421" s="6" t="n">
        <f aca="false">Sens!K16398</f>
        <v>33.0228715815776</v>
      </c>
    </row>
    <row r="16422" customFormat="false" ht="15" hidden="false" customHeight="false" outlineLevel="0" collapsed="false">
      <c r="A16422" s="0" t="s">
        <v>1040</v>
      </c>
      <c r="B16422" s="0" t="s">
        <v>98</v>
      </c>
      <c r="D16422" s="6" t="n">
        <f aca="false">Sens!D16400</f>
        <v>7.76</v>
      </c>
      <c r="E16422" s="6" t="n">
        <f aca="false">Sens!E16400</f>
        <v>8.26</v>
      </c>
      <c r="F16422" s="6" t="n">
        <f aca="false">Sens!F16400</f>
        <v>8.75372082474227</v>
      </c>
      <c r="G16422" s="6" t="n">
        <f aca="false">Sens!G16400</f>
        <v>9.33399324642364</v>
      </c>
      <c r="H16422" s="6" t="n">
        <f aca="false">Sens!H16400</f>
        <v>9.96139155535851</v>
      </c>
      <c r="I16422" s="6" t="n">
        <f aca="false">Sens!I16400</f>
        <v>10.6402039077391</v>
      </c>
      <c r="J16422" s="6" t="n">
        <f aca="false">Sens!J16400</f>
        <v>11.3751458271397</v>
      </c>
      <c r="K16422" s="6" t="n">
        <f aca="false">Sens!K16400</f>
        <v>12.1714060350394</v>
      </c>
    </row>
    <row r="16423" customFormat="false" ht="15" hidden="false" customHeight="false" outlineLevel="0" collapsed="false">
      <c r="A16423" s="0" t="s">
        <v>856</v>
      </c>
      <c r="B16423" s="0" t="s">
        <v>98</v>
      </c>
      <c r="D16423" s="6" t="n">
        <f aca="false">Sens!D16402</f>
        <v>218.783</v>
      </c>
      <c r="E16423" s="6" t="n">
        <f aca="false">Sens!E16402</f>
        <v>268.127</v>
      </c>
      <c r="F16423" s="6" t="n">
        <f aca="false">Sens!F16402</f>
        <v>320.19033953166</v>
      </c>
      <c r="G16423" s="6" t="n">
        <f aca="false">Sens!G16402</f>
        <v>360.417594558384</v>
      </c>
      <c r="H16423" s="6" t="n">
        <f aca="false">Sens!H16402</f>
        <v>396.352911510184</v>
      </c>
      <c r="I16423" s="6" t="n">
        <f aca="false">Sens!I16402</f>
        <v>433.237106630676</v>
      </c>
      <c r="J16423" s="6" t="n">
        <f aca="false">Sens!J16402</f>
        <v>467.552077968353</v>
      </c>
      <c r="K16423" s="6" t="n">
        <f aca="false">Sens!K16402</f>
        <v>499.465555964948</v>
      </c>
    </row>
    <row r="16424" customFormat="false" ht="15" hidden="false" customHeight="false" outlineLevel="0" collapsed="false">
      <c r="A16424" s="0" t="s">
        <v>1041</v>
      </c>
      <c r="B16424" s="0" t="s">
        <v>98</v>
      </c>
      <c r="D16424" s="6" t="n">
        <f aca="false">Sens!D16403</f>
        <v>22.171</v>
      </c>
      <c r="E16424" s="6" t="n">
        <f aca="false">Sens!E16403</f>
        <v>24.835</v>
      </c>
      <c r="F16424" s="6" t="n">
        <f aca="false">Sens!F16403</f>
        <v>27.5591895660247</v>
      </c>
      <c r="G16424" s="6" t="n">
        <f aca="false">Sens!G16403</f>
        <v>30.4098563144583</v>
      </c>
      <c r="H16424" s="6" t="n">
        <f aca="false">Sens!H16403</f>
        <v>33.3011792571777</v>
      </c>
      <c r="I16424" s="6" t="n">
        <f aca="false">Sens!I16403</f>
        <v>36.189023797112</v>
      </c>
      <c r="J16424" s="6" t="n">
        <f aca="false">Sens!J16403</f>
        <v>39.0247773769199</v>
      </c>
      <c r="K16424" s="6" t="n">
        <f aca="false">Sens!K16403</f>
        <v>41.7565117933043</v>
      </c>
    </row>
    <row r="16425" customFormat="false" ht="15" hidden="false" customHeight="false" outlineLevel="0" collapsed="false">
      <c r="A16425" s="0" t="s">
        <v>1042</v>
      </c>
      <c r="B16425" s="0" t="s">
        <v>98</v>
      </c>
      <c r="D16425" s="6" t="n">
        <f aca="false">Sens!D16405</f>
        <v>23.455</v>
      </c>
      <c r="E16425" s="6" t="n">
        <f aca="false">Sens!E16405</f>
        <v>21.79</v>
      </c>
      <c r="F16425" s="6" t="n">
        <f aca="false">Sens!F16405</f>
        <v>20.7520981041711</v>
      </c>
      <c r="G16425" s="6" t="n">
        <f aca="false">Sens!G16405</f>
        <v>19.9083593495882</v>
      </c>
      <c r="H16425" s="6" t="n">
        <f aca="false">Sens!H16405</f>
        <v>19.4008256265831</v>
      </c>
      <c r="I16425" s="6" t="n">
        <f aca="false">Sens!I16405</f>
        <v>19.200434522122</v>
      </c>
      <c r="J16425" s="6" t="n">
        <f aca="false">Sens!J16405</f>
        <v>19.2932782348507</v>
      </c>
      <c r="K16425" s="6" t="n">
        <f aca="false">Sens!K16405</f>
        <v>19.6791437995477</v>
      </c>
    </row>
    <row r="16426" customFormat="false" ht="15" hidden="false" customHeight="false" outlineLevel="0" collapsed="false">
      <c r="A16426" s="0" t="s">
        <v>1043</v>
      </c>
      <c r="B16426" s="0" t="s">
        <v>98</v>
      </c>
      <c r="D16426" s="6" t="n">
        <f aca="false">Sens!D16407</f>
        <v>17.315</v>
      </c>
      <c r="E16426" s="6" t="n">
        <f aca="false">Sens!E16407</f>
        <v>17.087</v>
      </c>
      <c r="F16426" s="6" t="n">
        <f aca="false">Sens!F16407</f>
        <v>15.9912273250553</v>
      </c>
      <c r="G16426" s="6" t="n">
        <f aca="false">Sens!G16407</f>
        <v>15.9574562664827</v>
      </c>
      <c r="H16426" s="6" t="n">
        <f aca="false">Sens!H16407</f>
        <v>16.0119687434196</v>
      </c>
      <c r="I16426" s="6" t="n">
        <f aca="false">Sens!I16407</f>
        <v>16.1551810001948</v>
      </c>
      <c r="J16426" s="6" t="n">
        <f aca="false">Sens!J16407</f>
        <v>16.3889793892005</v>
      </c>
      <c r="K16426" s="6" t="n">
        <f aca="false">Sens!K16407</f>
        <v>16.7167589769845</v>
      </c>
    </row>
    <row r="16427" customFormat="false" ht="15" hidden="false" customHeight="false" outlineLevel="0" collapsed="false">
      <c r="A16427" s="0" t="s">
        <v>870</v>
      </c>
      <c r="B16427" s="0" t="s">
        <v>98</v>
      </c>
      <c r="D16427" s="6" t="n">
        <f aca="false">Sens!D16409</f>
        <v>62.941</v>
      </c>
      <c r="E16427" s="6" t="n">
        <f aca="false">Sens!E16409</f>
        <v>63.712</v>
      </c>
      <c r="F16427" s="6" t="n">
        <f aca="false">Sens!F16409</f>
        <v>64.3025149952511</v>
      </c>
      <c r="G16427" s="6" t="n">
        <f aca="false">Sens!G16409</f>
        <v>66.2756719305292</v>
      </c>
      <c r="H16427" s="6" t="n">
        <f aca="false">Sens!H16409</f>
        <v>68.7139736271804</v>
      </c>
      <c r="I16427" s="6" t="n">
        <f aca="false">Sens!I16409</f>
        <v>71.5446393194289</v>
      </c>
      <c r="J16427" s="6" t="n">
        <f aca="false">Sens!J16409</f>
        <v>74.707035000971</v>
      </c>
      <c r="K16427" s="6" t="n">
        <f aca="false">Sens!K16409</f>
        <v>78.1524145698365</v>
      </c>
    </row>
    <row r="16428" customFormat="false" ht="15" hidden="false" customHeight="false" outlineLevel="0" collapsed="false">
      <c r="A16428" s="1" t="s">
        <v>1059</v>
      </c>
      <c r="B16428" s="0" t="s">
        <v>98</v>
      </c>
      <c r="D16428" s="6" t="n">
        <f aca="false">Sens!D16410</f>
        <v>281.724</v>
      </c>
      <c r="E16428" s="6" t="n">
        <f aca="false">Sens!E16410</f>
        <v>331.839</v>
      </c>
      <c r="F16428" s="6" t="n">
        <f aca="false">Sens!F16410</f>
        <v>384.492854526911</v>
      </c>
      <c r="G16428" s="6" t="n">
        <f aca="false">Sens!G16410</f>
        <v>426.693266488913</v>
      </c>
      <c r="H16428" s="6" t="n">
        <f aca="false">Sens!H16410</f>
        <v>465.066885137364</v>
      </c>
      <c r="I16428" s="6" t="n">
        <f aca="false">Sens!I16410</f>
        <v>504.781745950104</v>
      </c>
      <c r="J16428" s="6" t="n">
        <f aca="false">Sens!J16410</f>
        <v>542.259112969324</v>
      </c>
      <c r="K16428" s="6" t="n">
        <f aca="false">Sens!K16410</f>
        <v>577.617970534784</v>
      </c>
    </row>
    <row r="16429" customFormat="false" ht="15" hidden="false" customHeight="false" outlineLevel="0" collapsed="false">
      <c r="A16429" s="1" t="s">
        <v>1060</v>
      </c>
      <c r="B16429" s="0" t="s">
        <v>168</v>
      </c>
      <c r="E16429" s="7" t="n">
        <f aca="false">Sens!E16428/Sens!D16428-1</f>
        <v>0.177886867998467</v>
      </c>
      <c r="F16429" s="7" t="n">
        <f aca="false">Sens!F16428/Sens!E16428-1</f>
        <v>0.158672894165277</v>
      </c>
      <c r="G16429" s="7" t="n">
        <f aca="false">Sens!G16428/Sens!F16428-1</f>
        <v>0.109756036985202</v>
      </c>
      <c r="H16429" s="7" t="n">
        <f aca="false">Sens!H16428/Sens!G16428-1</f>
        <v>0.0899325620116118</v>
      </c>
      <c r="I16429" s="7" t="n">
        <f aca="false">Sens!I16428/Sens!H16428-1</f>
        <v>0.0853960195446071</v>
      </c>
      <c r="J16429" s="7" t="n">
        <f aca="false">Sens!J16428/Sens!I16428-1</f>
        <v>0.0742446954944438</v>
      </c>
      <c r="K16429" s="7" t="n">
        <f aca="false">Sens!K16428/Sens!J16428-1</f>
        <v>0.0652065713969121</v>
      </c>
    </row>
    <row r="16430" customFormat="false" ht="17.15" hidden="false" customHeight="false" outlineLevel="0" collapsed="false">
      <c r="A16430" s="26" t="s">
        <v>1061</v>
      </c>
      <c r="B16430" s="31" t="s">
        <v>98</v>
      </c>
      <c r="C16430" s="31"/>
      <c r="D16430" s="27" t="n">
        <f aca="false">(Sens!D16423+Sens!D16427-Sens!D16428)+(Sens!D16415+Sens!D16416-Sens!D16414)+(Sens!D16418+Sens!D16419-Sens!D16417)+(Sens!D16428-Q!L18)</f>
        <v>0</v>
      </c>
      <c r="E16430" s="27" t="n">
        <f aca="false">(Sens!E16423+Sens!E16427-Sens!E16428)+(Sens!E16415+Sens!E16416-Sens!E16414)+(Sens!E16418+Sens!E16419-Sens!E16417)+(Sens!E16428-Q!M18)</f>
        <v>0</v>
      </c>
      <c r="F16430" s="27" t="n">
        <f aca="false">(Sens!F16423+Sens!F16427-Sens!F16428)+(Sens!F16415+Sens!F16416-Sens!F16414)+(Sens!F16418+Sens!F16419-Sens!F16417)</f>
        <v>0</v>
      </c>
      <c r="G16430" s="27" t="n">
        <f aca="false">(Sens!G16423+Sens!G16427-Sens!G16428)+(Sens!G16415+Sens!G16416-Sens!G16414)+(Sens!G16418+Sens!G16419-Sens!G16417)</f>
        <v>0</v>
      </c>
      <c r="H16430" s="27" t="n">
        <f aca="false">(Sens!H16423+Sens!H16427-Sens!H16428)+(Sens!H16415+Sens!H16416-Sens!H16414)+(Sens!H16418+Sens!H16419-Sens!H16417)</f>
        <v>0</v>
      </c>
      <c r="I16430" s="27" t="n">
        <f aca="false">(Sens!I16423+Sens!I16427-Sens!I16428)+(Sens!I16415+Sens!I16416-Sens!I16414)+(Sens!I16418+Sens!I16419-Sens!I16417)</f>
        <v>0</v>
      </c>
      <c r="J16430" s="27" t="n">
        <f aca="false">(Sens!J16423+Sens!J16427-Sens!J16428)+(Sens!J16415+Sens!J16416-Sens!J16414)+(Sens!J16418+Sens!J16419-Sens!J16417)</f>
        <v>0</v>
      </c>
      <c r="K16430" s="27" t="n">
        <f aca="false">(Sens!K16423+Sens!K16427-Sens!K16428)+(Sens!K16415+Sens!K16416-Sens!K16414)+(Sens!K16418+Sens!K16419-Sens!K16417)</f>
        <v>0</v>
      </c>
    </row>
    <row r="16431" customFormat="false" ht="17.15" hidden="false" customHeight="false" outlineLevel="0" collapsed="false">
      <c r="A16431" s="0" t="s">
        <v>1062</v>
      </c>
      <c r="B16431" s="0" t="s">
        <v>168</v>
      </c>
      <c r="E16431" s="7" t="n">
        <f aca="false">(Q!M21+Sens!E16367+Sens!E16368+Sens!E16369+Sens!E16383-Sens!E16365)/(Q!M5-Sens!E16365)</f>
        <v>0.570957350878296</v>
      </c>
      <c r="F16431" s="7" t="n">
        <f aca="false">Sens!$E$16431+dm_seg</f>
        <v>0.570957350878296</v>
      </c>
      <c r="G16431" s="7" t="n">
        <f aca="false">Sens!$E$16431+dm_seg</f>
        <v>0.570957350878296</v>
      </c>
      <c r="H16431" s="7" t="n">
        <f aca="false">Sens!$E$16431+dm_seg</f>
        <v>0.570957350878296</v>
      </c>
      <c r="I16431" s="7" t="n">
        <f aca="false">Sens!$E$16431+dm_seg</f>
        <v>0.570957350878296</v>
      </c>
      <c r="J16431" s="7" t="n">
        <f aca="false">Sens!$E$16431+dm_seg</f>
        <v>0.570957350878296</v>
      </c>
      <c r="K16431" s="7" t="n">
        <f aca="false">Sens!$E$16431+dm_seg</f>
        <v>0.570957350878296</v>
      </c>
      <c r="L16431" s="12" t="s">
        <v>1063</v>
      </c>
    </row>
    <row r="16432" customFormat="false" ht="17.15" hidden="false" customHeight="false" outlineLevel="0" collapsed="false">
      <c r="A16432" s="0" t="s">
        <v>884</v>
      </c>
      <c r="B16432" s="0" t="s">
        <v>98</v>
      </c>
      <c r="D16432" s="6" t="n">
        <f aca="false">Q!L21</f>
        <v>110.814</v>
      </c>
      <c r="E16432" s="6" t="n">
        <f aca="false">Q!M21</f>
        <v>136.365</v>
      </c>
      <c r="F16432" s="6" t="n">
        <f aca="false">Q!$I$21+(Sens!F16431*(Sens!F16402-Sens!F16365)+Sens!F16365-(Sens!F16367+Sens!F16368+Sens!F16369)-Sens!F16383-Sens!F16466)*(Sens!F16402-Q!$I$5)/Sens!F16402</f>
        <v>149.14482335196</v>
      </c>
      <c r="G16432" s="6" t="n">
        <f aca="false">(Sens!G16431*(Sens!G16402-Sens!G16365)+Sens!G16365-(Sens!G16367+Sens!G16368+Sens!G16369)-Sens!G16383-Sens!G16466)</f>
        <v>160.846090862447</v>
      </c>
      <c r="H16432" s="6" t="n">
        <f aca="false">(Sens!H16431*(Sens!H16402-Sens!H16365)+Sens!H16365-(Sens!H16367+Sens!H16368+Sens!H16369)-Sens!H16383-Sens!H16466)</f>
        <v>178.350502011246</v>
      </c>
      <c r="I16432" s="6" t="n">
        <f aca="false">(Sens!I16431*(Sens!I16402-Sens!I16365)+Sens!I16365-(Sens!I16367+Sens!I16368+Sens!I16369)-Sens!I16383-Sens!I16466)</f>
        <v>200.202064724488</v>
      </c>
      <c r="J16432" s="6" t="n">
        <f aca="false">(Sens!J16431*(Sens!J16402-Sens!J16365)+Sens!J16365-(Sens!J16367+Sens!J16368+Sens!J16369)-Sens!J16383-Sens!J16466)</f>
        <v>219.755866274377</v>
      </c>
      <c r="K16432" s="6" t="n">
        <f aca="false">(Sens!K16431*(Sens!K16402-Sens!K16365)+Sens!K16365-(Sens!K16367+Sens!K16368+Sens!K16369)-Sens!K16383-Sens!K16466)</f>
        <v>237.069360089824</v>
      </c>
      <c r="L16432" s="1" t="s">
        <v>1064</v>
      </c>
    </row>
    <row r="16433" customFormat="false" ht="17.15" hidden="false" customHeight="false" outlineLevel="0" collapsed="false">
      <c r="A16433" s="0" t="s">
        <v>1065</v>
      </c>
      <c r="B16433" s="0" t="s">
        <v>168</v>
      </c>
      <c r="E16433" s="7" t="n">
        <f aca="false">Q!M22/Q!M12</f>
        <v>0.296207935710698</v>
      </c>
      <c r="F16433" s="7" t="n">
        <f aca="false">Sens!$E$16433+dm_seg</f>
        <v>0.296207935710698</v>
      </c>
      <c r="G16433" s="7" t="n">
        <f aca="false">Sens!$E$16433+dm_seg</f>
        <v>0.296207935710698</v>
      </c>
      <c r="H16433" s="7" t="n">
        <f aca="false">Sens!$E$16433+dm_seg</f>
        <v>0.296207935710698</v>
      </c>
      <c r="I16433" s="7" t="n">
        <f aca="false">Sens!$E$16433+dm_seg</f>
        <v>0.296207935710698</v>
      </c>
      <c r="J16433" s="7" t="n">
        <f aca="false">Sens!$E$16433+dm_seg</f>
        <v>0.296207935710698</v>
      </c>
      <c r="K16433" s="7" t="n">
        <f aca="false">Sens!$E$16433+dm_seg</f>
        <v>0.296207935710698</v>
      </c>
      <c r="L16433" s="12" t="s">
        <v>1066</v>
      </c>
    </row>
    <row r="16434" customFormat="false" ht="17.15" hidden="false" customHeight="false" outlineLevel="0" collapsed="false">
      <c r="A16434" s="0" t="s">
        <v>886</v>
      </c>
      <c r="B16434" s="0" t="s">
        <v>98</v>
      </c>
      <c r="D16434" s="6" t="n">
        <f aca="false">Q!L22</f>
        <v>17.714</v>
      </c>
      <c r="E16434" s="6" t="n">
        <f aca="false">Q!M22</f>
        <v>18.872</v>
      </c>
      <c r="F16434" s="6" t="n">
        <f aca="false">Q!$I$22+(Sens!F16409-Q!$I$12)*Sens!F16433</f>
        <v>19.8174315512051</v>
      </c>
      <c r="G16434" s="6" t="n">
        <f aca="false">Sens!G16409*Sens!G16433</f>
        <v>19.6313799703815</v>
      </c>
      <c r="H16434" s="6" t="n">
        <f aca="false">Sens!H16409*Sens!H16433</f>
        <v>20.3536242825865</v>
      </c>
      <c r="I16434" s="6" t="n">
        <f aca="false">Sens!I16409*Sens!I16433</f>
        <v>21.1920899239745</v>
      </c>
      <c r="J16434" s="6" t="n">
        <f aca="false">Sens!J16409*Sens!J16433</f>
        <v>22.1288166207045</v>
      </c>
      <c r="K16434" s="6" t="n">
        <f aca="false">Sens!K16409*Sens!K16433</f>
        <v>23.1493653905379</v>
      </c>
      <c r="L16434" s="12" t="s">
        <v>1067</v>
      </c>
    </row>
    <row r="16435" customFormat="false" ht="15" hidden="false" customHeight="false" outlineLevel="0" collapsed="false">
      <c r="A16435" s="1" t="s">
        <v>1068</v>
      </c>
      <c r="B16435" s="0" t="s">
        <v>98</v>
      </c>
      <c r="D16435" s="6" t="n">
        <f aca="false">Sens!D16432+Sens!D16434</f>
        <v>128.528</v>
      </c>
      <c r="E16435" s="6" t="n">
        <f aca="false">Sens!E16432+Sens!E16434</f>
        <v>155.237</v>
      </c>
      <c r="F16435" s="6" t="n">
        <f aca="false">Sens!F16432+Sens!F16434</f>
        <v>168.962254903165</v>
      </c>
      <c r="G16435" s="6" t="n">
        <f aca="false">Sens!G16432+Sens!G16434</f>
        <v>180.477470832828</v>
      </c>
      <c r="H16435" s="6" t="n">
        <f aca="false">Sens!H16432+Sens!H16434</f>
        <v>198.704126293833</v>
      </c>
      <c r="I16435" s="6" t="n">
        <f aca="false">Sens!I16432+Sens!I16434</f>
        <v>221.394154648462</v>
      </c>
      <c r="J16435" s="6" t="n">
        <f aca="false">Sens!J16432+Sens!J16434</f>
        <v>241.884682895082</v>
      </c>
      <c r="K16435" s="6" t="n">
        <f aca="false">Sens!K16432+Sens!K16434</f>
        <v>260.218725480362</v>
      </c>
    </row>
    <row r="16436" customFormat="false" ht="15" hidden="false" customHeight="false" outlineLevel="0" collapsed="false">
      <c r="A16436" s="26" t="s">
        <v>1069</v>
      </c>
      <c r="B16436" s="31" t="s">
        <v>98</v>
      </c>
      <c r="C16436" s="31"/>
      <c r="D16436" s="27" t="n">
        <f aca="false">Sens!D16435-Q!L23</f>
        <v>0</v>
      </c>
      <c r="E16436" s="27" t="n">
        <f aca="false">Sens!E16435-Q!M23</f>
        <v>0</v>
      </c>
      <c r="F16436" s="31"/>
      <c r="G16436" s="31"/>
      <c r="H16436" s="31"/>
      <c r="I16436" s="31"/>
      <c r="J16436" s="31"/>
      <c r="K16436" s="31"/>
    </row>
    <row r="16437" customFormat="false" ht="15" hidden="false" customHeight="false" outlineLevel="0" collapsed="false">
      <c r="A16437" s="1" t="s">
        <v>1070</v>
      </c>
      <c r="B16437" s="0" t="s">
        <v>168</v>
      </c>
      <c r="D16437" s="7" t="n">
        <f aca="false">Sens!D16435/Sens!D16428</f>
        <v>0.456219562408598</v>
      </c>
      <c r="E16437" s="7" t="n">
        <f aca="false">Sens!E16435/Sens!E16428</f>
        <v>0.467808184089272</v>
      </c>
      <c r="F16437" s="7" t="n">
        <f aca="false">Sens!F16435/Sens!F16428</f>
        <v>0.439441859357984</v>
      </c>
      <c r="G16437" s="7" t="n">
        <f aca="false">Sens!G16435/Sens!G16428</f>
        <v>0.422967703047917</v>
      </c>
      <c r="H16437" s="7" t="n">
        <f aca="false">Sens!H16435/Sens!H16428</f>
        <v>0.42725924516243</v>
      </c>
      <c r="I16437" s="7" t="n">
        <f aca="false">Sens!I16435/Sens!I16428</f>
        <v>0.438593820843803</v>
      </c>
      <c r="J16437" s="7" t="n">
        <f aca="false">Sens!J16435/Sens!J16428</f>
        <v>0.446068451612662</v>
      </c>
      <c r="K16437" s="7" t="n">
        <f aca="false">Sens!K16435/Sens!K16428</f>
        <v>0.450503167758856</v>
      </c>
    </row>
    <row r="16438" customFormat="false" ht="17.15" hidden="false" customHeight="false" outlineLevel="0" collapsed="false">
      <c r="A16438" s="1" t="s">
        <v>1071</v>
      </c>
      <c r="B16438" s="0" t="s">
        <v>98</v>
      </c>
      <c r="F16438" s="6" t="n">
        <f aca="false">Sens!F16453</f>
        <v>0</v>
      </c>
      <c r="G16438" s="6" t="n">
        <f aca="false">Sens!G16453</f>
        <v>0</v>
      </c>
      <c r="H16438" s="6" t="n">
        <f aca="false">Sens!H16453</f>
        <v>0</v>
      </c>
      <c r="I16438" s="6" t="n">
        <f aca="false">Sens!I16453</f>
        <v>0</v>
      </c>
      <c r="J16438" s="6" t="n">
        <f aca="false">Sens!J16453</f>
        <v>0</v>
      </c>
      <c r="K16438" s="6" t="n">
        <f aca="false">Sens!K16453</f>
        <v>0</v>
      </c>
      <c r="L16438" s="1" t="s">
        <v>1072</v>
      </c>
    </row>
    <row r="16439" customFormat="false" ht="17.15" hidden="false" customHeight="false" outlineLevel="0" collapsed="false">
      <c r="A16439" s="1" t="s">
        <v>1073</v>
      </c>
      <c r="B16439" s="0" t="s">
        <v>98</v>
      </c>
      <c r="D16439" s="6" t="n">
        <f aca="false">Sens!D16435</f>
        <v>128.528</v>
      </c>
      <c r="E16439" s="6" t="n">
        <f aca="false">Sens!E16435</f>
        <v>155.237</v>
      </c>
      <c r="F16439" s="6" t="n">
        <f aca="false">Sens!F16435+Sens!F16438</f>
        <v>168.962254903165</v>
      </c>
      <c r="G16439" s="6" t="n">
        <f aca="false">Sens!G16435+Sens!G16438</f>
        <v>180.477470832828</v>
      </c>
      <c r="H16439" s="6" t="n">
        <f aca="false">Sens!H16435+Sens!H16438</f>
        <v>198.704126293833</v>
      </c>
      <c r="I16439" s="6" t="n">
        <f aca="false">Sens!I16435+Sens!I16438</f>
        <v>221.394154648462</v>
      </c>
      <c r="J16439" s="6" t="n">
        <f aca="false">Sens!J16435+Sens!J16438</f>
        <v>241.884682895082</v>
      </c>
      <c r="K16439" s="6" t="n">
        <f aca="false">Sens!K16435+Sens!K16438</f>
        <v>260.218725480362</v>
      </c>
    </row>
    <row r="16440" customFormat="false" ht="17.15" hidden="false" customHeight="false" outlineLevel="0" collapsed="false">
      <c r="A16440" s="1" t="s">
        <v>1074</v>
      </c>
      <c r="B16440" s="0" t="s">
        <v>98</v>
      </c>
      <c r="E16440" s="6" t="n">
        <f aca="false">Sens!E16383</f>
        <v>16.3054059770833</v>
      </c>
      <c r="F16440" s="6" t="n">
        <f aca="false">Sens!F16383</f>
        <v>24.549027677</v>
      </c>
      <c r="G16440" s="6" t="n">
        <f aca="false">Sens!G16383</f>
        <v>29.185632823</v>
      </c>
      <c r="H16440" s="6" t="n">
        <f aca="false">Sens!H16383</f>
        <v>31.677584917</v>
      </c>
      <c r="I16440" s="6" t="n">
        <f aca="false">Sens!I16383</f>
        <v>32.2298649310278</v>
      </c>
      <c r="J16440" s="6" t="n">
        <f aca="false">Sens!J16383</f>
        <v>33.6162004764444</v>
      </c>
      <c r="K16440" s="6" t="n">
        <f aca="false">Sens!K16383</f>
        <v>36.1070960499167</v>
      </c>
    </row>
    <row r="16441" customFormat="false" ht="17.15" hidden="false" customHeight="false" outlineLevel="0" collapsed="false">
      <c r="A16441" s="1" t="s">
        <v>1075</v>
      </c>
      <c r="B16441" s="0" t="s">
        <v>98</v>
      </c>
      <c r="E16441" s="6" t="n">
        <f aca="false">Sens!E16465</f>
        <v>22.2285940229167</v>
      </c>
      <c r="F16441" s="6" t="n">
        <f aca="false">Sens!F16465</f>
        <v>37.458367358225</v>
      </c>
      <c r="G16441" s="6" t="n">
        <f aca="false">Sens!G16465</f>
        <v>37.8971931807589</v>
      </c>
      <c r="H16441" s="6" t="n">
        <f aca="false">Sens!H16465</f>
        <v>38.8470034950136</v>
      </c>
      <c r="I16441" s="6" t="n">
        <f aca="false">Sens!I16465</f>
        <v>40.2363776179593</v>
      </c>
      <c r="J16441" s="6" t="n">
        <f aca="false">Sens!J16465</f>
        <v>41.976670284337</v>
      </c>
      <c r="K16441" s="6" t="n">
        <f aca="false">Sens!K16465</f>
        <v>43.9704272663843</v>
      </c>
    </row>
    <row r="16442" customFormat="false" ht="17.15" hidden="false" customHeight="false" outlineLevel="0" collapsed="false">
      <c r="A16442" s="1" t="s">
        <v>1076</v>
      </c>
      <c r="B16442" s="0" t="s">
        <v>98</v>
      </c>
      <c r="D16442" s="6" t="n">
        <f aca="false">Q!L27</f>
        <v>-4.901</v>
      </c>
      <c r="E16442" s="6" t="n">
        <f aca="false">Q!M27</f>
        <v>10.697</v>
      </c>
      <c r="F16442" s="6" t="n">
        <f aca="false">Q!$I$27+oie_f*(q_per_yr-1)/q_per_yr</f>
        <v>-0.862</v>
      </c>
      <c r="G16442" s="6" t="n">
        <f aca="false">oie_f</f>
        <v>-1.2</v>
      </c>
      <c r="H16442" s="6" t="n">
        <f aca="false">oie_f</f>
        <v>-1.2</v>
      </c>
      <c r="I16442" s="6" t="n">
        <f aca="false">oie_f</f>
        <v>-1.2</v>
      </c>
      <c r="J16442" s="6" t="n">
        <f aca="false">oie_f</f>
        <v>-1.2</v>
      </c>
      <c r="K16442" s="6" t="n">
        <f aca="false">oie_f</f>
        <v>-1.2</v>
      </c>
      <c r="L16442" s="12" t="s">
        <v>1077</v>
      </c>
    </row>
    <row r="16443" customFormat="false" ht="15" hidden="false" customHeight="false" outlineLevel="0" collapsed="false">
      <c r="A16443" s="1" t="s">
        <v>1078</v>
      </c>
      <c r="B16443" s="0" t="s">
        <v>98</v>
      </c>
      <c r="D16443" s="6" t="n">
        <f aca="false">Sens!D16435+Sens!D16442</f>
        <v>123.627</v>
      </c>
      <c r="E16443" s="6" t="n">
        <f aca="false">Sens!E16435+Sens!E16442</f>
        <v>165.934</v>
      </c>
      <c r="F16443" s="6" t="n">
        <f aca="false">Sens!F16435+Sens!F16442</f>
        <v>168.100254903165</v>
      </c>
      <c r="G16443" s="6" t="n">
        <f aca="false">Sens!G16435+Sens!G16442</f>
        <v>179.277470832828</v>
      </c>
      <c r="H16443" s="6" t="n">
        <f aca="false">Sens!H16435+Sens!H16442</f>
        <v>197.504126293833</v>
      </c>
      <c r="I16443" s="6" t="n">
        <f aca="false">Sens!I16435+Sens!I16442</f>
        <v>220.194154648462</v>
      </c>
      <c r="J16443" s="6" t="n">
        <f aca="false">Sens!J16435+Sens!J16442</f>
        <v>240.684682895082</v>
      </c>
      <c r="K16443" s="6" t="n">
        <f aca="false">Sens!K16435+Sens!K16442</f>
        <v>259.018725480362</v>
      </c>
    </row>
    <row r="16444" customFormat="false" ht="15" hidden="false" customHeight="false" outlineLevel="0" collapsed="false">
      <c r="A16444" s="1" t="s">
        <v>1079</v>
      </c>
      <c r="B16444" s="0" t="s">
        <v>98</v>
      </c>
      <c r="D16444" s="6" t="n">
        <f aca="false">Q!L29</f>
        <v>21.795</v>
      </c>
      <c r="E16444" s="6" t="n">
        <f aca="false">Q!M29</f>
        <v>32.185</v>
      </c>
      <c r="F16444" s="6" t="n">
        <f aca="false">Q!$I$29+(Sens!F16443-Q!$I$28)*tax_f</f>
        <v>33.7534509806329</v>
      </c>
      <c r="G16444" s="6" t="n">
        <f aca="false">Sens!G16443*tax_f</f>
        <v>35.8554941665657</v>
      </c>
      <c r="H16444" s="6" t="n">
        <f aca="false">Sens!H16443*tax_f</f>
        <v>39.5008252587666</v>
      </c>
      <c r="I16444" s="6" t="n">
        <f aca="false">Sens!I16443*tax_f</f>
        <v>44.0388309296925</v>
      </c>
      <c r="J16444" s="6" t="n">
        <f aca="false">Sens!J16443*tax_f</f>
        <v>48.1369365790164</v>
      </c>
      <c r="K16444" s="6" t="n">
        <f aca="false">Sens!K16443*tax_f</f>
        <v>51.8037450960724</v>
      </c>
    </row>
    <row r="16445" customFormat="false" ht="15" hidden="false" customHeight="false" outlineLevel="0" collapsed="false">
      <c r="A16445" s="1" t="s">
        <v>1080</v>
      </c>
      <c r="B16445" s="0" t="s">
        <v>98</v>
      </c>
      <c r="D16445" s="6" t="n">
        <f aca="false">Sens!D16443-Sens!D16444</f>
        <v>101.832</v>
      </c>
      <c r="E16445" s="6" t="n">
        <f aca="false">Sens!E16443-Sens!E16444</f>
        <v>133.749</v>
      </c>
      <c r="F16445" s="6" t="n">
        <f aca="false">Sens!F16443-Sens!F16444</f>
        <v>134.346803922532</v>
      </c>
      <c r="G16445" s="6" t="n">
        <f aca="false">Sens!G16443-Sens!G16444</f>
        <v>143.421976666263</v>
      </c>
      <c r="H16445" s="6" t="n">
        <f aca="false">Sens!H16443-Sens!H16444</f>
        <v>158.003301035066</v>
      </c>
      <c r="I16445" s="6" t="n">
        <f aca="false">Sens!I16443-Sens!I16444</f>
        <v>176.15532371877</v>
      </c>
      <c r="J16445" s="6" t="n">
        <f aca="false">Sens!J16443-Sens!J16444</f>
        <v>192.547746316066</v>
      </c>
      <c r="K16445" s="6" t="n">
        <f aca="false">Sens!K16443-Sens!K16444</f>
        <v>207.21498038429</v>
      </c>
    </row>
    <row r="16446" customFormat="false" ht="17.15" hidden="false" customHeight="false" outlineLevel="0" collapsed="false">
      <c r="A16446" s="1" t="s">
        <v>1081</v>
      </c>
      <c r="B16446" s="1" t="s">
        <v>81</v>
      </c>
      <c r="D16446" s="15" t="n">
        <f aca="false">Q!L31</f>
        <v>7.465</v>
      </c>
      <c r="E16446" s="15" t="n">
        <f aca="false">Q!M31</f>
        <v>7.453</v>
      </c>
      <c r="F16446" s="15" t="n">
        <f aca="false">Sens!F16490</f>
        <v>7.4735</v>
      </c>
      <c r="G16446" s="15" t="n">
        <f aca="false">Sens!G16490</f>
        <v>7.49981593415111</v>
      </c>
      <c r="H16446" s="15" t="n">
        <f aca="false">Sens!H16490</f>
        <v>7.50883180733101</v>
      </c>
      <c r="I16446" s="15" t="n">
        <f aca="false">Sens!I16490</f>
        <v>7.52051317138648</v>
      </c>
      <c r="J16446" s="15" t="n">
        <f aca="false">Sens!J16490</f>
        <v>7.53466258254895</v>
      </c>
      <c r="K16446" s="15" t="n">
        <f aca="false">Sens!K16490</f>
        <v>7.55109722251421</v>
      </c>
    </row>
    <row r="16447" customFormat="false" ht="17.15" hidden="false" customHeight="false" outlineLevel="0" collapsed="false">
      <c r="A16447" s="0" t="s">
        <v>1082</v>
      </c>
      <c r="B16447" s="0" t="s">
        <v>75</v>
      </c>
      <c r="D16447" s="8" t="n">
        <f aca="false">Sens!D16445/Sens!D16446</f>
        <v>13.641259209645</v>
      </c>
      <c r="E16447" s="8" t="n">
        <f aca="false">Sens!E16445/Sens!E16446</f>
        <v>17.9456594659869</v>
      </c>
      <c r="F16447" s="8" t="n">
        <f aca="false">Sens!F16445/Sens!F16446</f>
        <v>17.9764238874064</v>
      </c>
      <c r="G16447" s="8" t="n">
        <f aca="false">Sens!G16445/Sens!G16446</f>
        <v>19.1233995508046</v>
      </c>
      <c r="H16447" s="8" t="n">
        <f aca="false">Sens!H16445/Sens!H16446</f>
        <v>21.0423278999011</v>
      </c>
      <c r="I16447" s="8" t="n">
        <f aca="false">Sens!I16445/Sens!I16446</f>
        <v>23.4233116416833</v>
      </c>
      <c r="J16447" s="8" t="n">
        <f aca="false">Sens!J16445/Sens!J16446</f>
        <v>25.5549262102361</v>
      </c>
      <c r="K16447" s="8" t="n">
        <f aca="false">Sens!K16445/Sens!K16446</f>
        <v>27.4417047321893</v>
      </c>
      <c r="L16447" s="1" t="s">
        <v>1083</v>
      </c>
    </row>
    <row r="16448" customFormat="false" ht="17.15" hidden="false" customHeight="false" outlineLevel="0" collapsed="false">
      <c r="A16448" s="1" t="s">
        <v>1084</v>
      </c>
      <c r="B16448" s="0" t="s">
        <v>98</v>
      </c>
      <c r="D16448" s="6" t="n">
        <f aca="false">Sens!D16445</f>
        <v>101.832</v>
      </c>
      <c r="E16448" s="6" t="n">
        <f aca="false">Sens!E16445</f>
        <v>133.749</v>
      </c>
      <c r="F16448" s="6" t="n">
        <f aca="false">Sens!F16445+Sens!F16438*(1-tax_f)</f>
        <v>134.346803922532</v>
      </c>
      <c r="G16448" s="6" t="n">
        <f aca="false">Sens!G16445+Sens!G16438*(1-tax_f)</f>
        <v>143.421976666263</v>
      </c>
      <c r="H16448" s="6" t="n">
        <f aca="false">Sens!H16445+Sens!H16438*(1-tax_f)</f>
        <v>158.003301035066</v>
      </c>
      <c r="I16448" s="6" t="n">
        <f aca="false">Sens!I16445+Sens!I16438*(1-tax_f)</f>
        <v>176.15532371877</v>
      </c>
      <c r="J16448" s="6" t="n">
        <f aca="false">Sens!J16445+Sens!J16438*(1-tax_f)</f>
        <v>192.547746316066</v>
      </c>
      <c r="K16448" s="6" t="n">
        <f aca="false">Sens!K16445+Sens!K16438*(1-tax_f)</f>
        <v>207.21498038429</v>
      </c>
    </row>
    <row r="16449" customFormat="false" ht="17.15" hidden="false" customHeight="false" outlineLevel="0" collapsed="false">
      <c r="A16449" s="0" t="s">
        <v>1085</v>
      </c>
      <c r="B16449" s="0" t="s">
        <v>75</v>
      </c>
      <c r="D16449" s="8" t="n">
        <f aca="false">Sens!D16448/Sens!D16446</f>
        <v>13.641259209645</v>
      </c>
      <c r="E16449" s="8" t="n">
        <f aca="false">Sens!E16448/Sens!E16446</f>
        <v>17.9456594659869</v>
      </c>
      <c r="F16449" s="8" t="n">
        <f aca="false">Sens!F16448/Sens!F16446</f>
        <v>17.9764238874064</v>
      </c>
      <c r="G16449" s="8" t="n">
        <f aca="false">Sens!G16448/Sens!G16446</f>
        <v>19.1233995508046</v>
      </c>
      <c r="H16449" s="8" t="n">
        <f aca="false">Sens!H16448/Sens!H16446</f>
        <v>21.0423278999011</v>
      </c>
      <c r="I16449" s="8" t="n">
        <f aca="false">Sens!I16448/Sens!I16446</f>
        <v>23.4233116416833</v>
      </c>
      <c r="J16449" s="8" t="n">
        <f aca="false">Sens!J16448/Sens!J16446</f>
        <v>25.5549262102361</v>
      </c>
      <c r="K16449" s="8" t="n">
        <f aca="false">Sens!K16448/Sens!K16446</f>
        <v>27.4417047321893</v>
      </c>
      <c r="L16449" s="1" t="s">
        <v>1086</v>
      </c>
    </row>
    <row r="16450" customFormat="false" ht="17.15" hidden="false" customHeight="false" outlineLevel="0" collapsed="false">
      <c r="A16450" s="0" t="s">
        <v>1087</v>
      </c>
      <c r="B16450" s="0" t="s">
        <v>168</v>
      </c>
      <c r="E16450" s="7" t="n">
        <f aca="false">Sens!E16449/Sens!D16449-1</f>
        <v>0.315542736208578</v>
      </c>
      <c r="F16450" s="7" t="n">
        <f aca="false">Sens!F16449/Sens!E16449-1</f>
        <v>0.00171430988523213</v>
      </c>
      <c r="G16450" s="7" t="n">
        <f aca="false">Sens!G16449/Sens!F16449-1</f>
        <v>0.063804440225832</v>
      </c>
      <c r="H16450" s="7" t="n">
        <f aca="false">Sens!H16449/Sens!G16449-1</f>
        <v>0.100344520021061</v>
      </c>
      <c r="I16450" s="7" t="n">
        <f aca="false">Sens!I16449/Sens!H16449-1</f>
        <v>0.113152107176955</v>
      </c>
      <c r="J16450" s="7" t="n">
        <f aca="false">Sens!J16449/Sens!I16449-1</f>
        <v>0.0910039793331108</v>
      </c>
      <c r="K16450" s="7" t="n">
        <f aca="false">Sens!K16449/Sens!J16449-1</f>
        <v>0.0738322821373454</v>
      </c>
    </row>
    <row r="16451" customFormat="false" ht="17.15" hidden="false" customHeight="false" outlineLevel="0" collapsed="false">
      <c r="A16451" s="0" t="s">
        <v>1007</v>
      </c>
      <c r="B16451" s="0" t="s">
        <v>98</v>
      </c>
      <c r="E16451" s="6" t="n">
        <f aca="false">Sens!E16392</f>
        <v>5.25</v>
      </c>
      <c r="F16451" s="6" t="n">
        <f aca="false">Sens!F16392</f>
        <v>10.5</v>
      </c>
      <c r="G16451" s="6" t="n">
        <f aca="false">Sens!G16392</f>
        <v>13.5</v>
      </c>
      <c r="H16451" s="6" t="n">
        <f aca="false">Sens!H16392</f>
        <v>16.5</v>
      </c>
      <c r="I16451" s="6" t="n">
        <f aca="false">Sens!I16392</f>
        <v>18.75</v>
      </c>
      <c r="J16451" s="6" t="n">
        <f aca="false">Sens!J16392</f>
        <v>20.25</v>
      </c>
      <c r="K16451" s="6" t="n">
        <f aca="false">Sens!K16392</f>
        <v>21.75</v>
      </c>
    </row>
    <row r="16452" customFormat="false" ht="17.15" hidden="false" customHeight="false" outlineLevel="0" collapsed="false">
      <c r="A16452" s="1" t="s">
        <v>1008</v>
      </c>
      <c r="B16452" s="0" t="s">
        <v>98</v>
      </c>
      <c r="F16452" s="6" t="n">
        <f aca="false">MAX(0,((Sens!E16352+Sens!F16352)/2-(shadow_base*(Sens!$D$16352+Sens!$E$16352)/2+(1-shadow_base)*Sens!$E$16352))*Sens!F16361/1000-(Sens!F16451-Sens!$E$16451)*Sens!F16431)</f>
        <v>3.32169808276811</v>
      </c>
      <c r="G16452" s="6" t="n">
        <f aca="false">MAX(0,((Sens!F16352+Sens!G16352)/2-(shadow_base*(Sens!$D$16352+Sens!$E$16352)/2+(1-shadow_base)*Sens!$E$16352))*Sens!G16361/1000-(Sens!G16451-Sens!$E$16451)*Sens!G16431)</f>
        <v>4.83073330153996</v>
      </c>
      <c r="H16452" s="6" t="n">
        <f aca="false">MAX(0,((Sens!G16352+Sens!H16352)/2-(shadow_base*(Sens!$D$16352+Sens!$E$16352)/2+(1-shadow_base)*Sens!$E$16352))*Sens!H16361/1000-(Sens!H16451-Sens!$E$16451)*Sens!H16431)</f>
        <v>4.74830776187797</v>
      </c>
      <c r="I16452" s="6" t="n">
        <f aca="false">MAX(0,((Sens!H16352+Sens!I16352)/2-(shadow_base*(Sens!$D$16352+Sens!$E$16352)/2+(1-shadow_base)*Sens!$E$16352))*Sens!I16361/1000-(Sens!I16451-Sens!$E$16451)*Sens!I16431)</f>
        <v>3.69811128440021</v>
      </c>
      <c r="J16452" s="6" t="n">
        <f aca="false">MAX(0,((Sens!I16352+Sens!J16352)/2-(shadow_base*(Sens!$D$16352+Sens!$E$16352)/2+(1-shadow_base)*Sens!$E$16352))*Sens!J16361/1000-(Sens!J16451-Sens!$E$16451)*Sens!J16431)</f>
        <v>3.19575402518239</v>
      </c>
      <c r="K16452" s="6" t="n">
        <f aca="false">MAX(0,((Sens!J16352+Sens!K16352)/2-(shadow_base*(Sens!$D$16352+Sens!$E$16352)/2+(1-shadow_base)*Sens!$E$16352))*Sens!K16361/1000-(Sens!K16451-Sens!$E$16451)*Sens!K16431)</f>
        <v>3.04269068486014</v>
      </c>
      <c r="L16452" s="1" t="s">
        <v>1009</v>
      </c>
    </row>
    <row r="16453" customFormat="false" ht="17.15" hidden="false" customHeight="false" outlineLevel="0" collapsed="false">
      <c r="A16453" s="1" t="s">
        <v>1010</v>
      </c>
      <c r="B16453" s="0" t="s">
        <v>98</v>
      </c>
      <c r="F16453" s="6" t="n">
        <f aca="false">IF(1=2,1,0)*Sens!F16452</f>
        <v>0</v>
      </c>
      <c r="G16453" s="6" t="n">
        <f aca="false">IF(1=2,1,0)*Sens!G16452</f>
        <v>0</v>
      </c>
      <c r="H16453" s="6" t="n">
        <f aca="false">IF(1=2,1,0)*Sens!H16452</f>
        <v>0</v>
      </c>
      <c r="I16453" s="6" t="n">
        <f aca="false">IF(1=2,1,0)*Sens!I16452</f>
        <v>0</v>
      </c>
      <c r="J16453" s="6" t="n">
        <f aca="false">IF(1=2,1,0)*Sens!J16452</f>
        <v>0</v>
      </c>
      <c r="K16453" s="6" t="n">
        <f aca="false">IF(1=2,1,0)*Sens!K16452</f>
        <v>0</v>
      </c>
    </row>
    <row r="16454" customFormat="false" ht="17.15" hidden="false" customHeight="false" outlineLevel="0" collapsed="false">
      <c r="A16454" s="0" t="s">
        <v>1011</v>
      </c>
      <c r="B16454" s="0" t="s">
        <v>98</v>
      </c>
      <c r="F16454" s="6" t="n">
        <f aca="false">Sens!F16371+Sens!F16451*Sens!F16431+Sens!F16453-Sens!F16372-Sens!F16383</f>
        <v>1.66708236130291</v>
      </c>
      <c r="G16454" s="6" t="n">
        <f aca="false">Sens!G16371+Sens!G16451*Sens!G16431+Sens!G16453-Sens!G16372-Sens!G16383</f>
        <v>-1.3159115974344</v>
      </c>
      <c r="H16454" s="6" t="n">
        <f aca="false">Sens!H16371+Sens!H16451*Sens!H16431+Sens!H16453-Sens!H16372-Sens!H16383</f>
        <v>-4.84768404699964</v>
      </c>
      <c r="I16454" s="6" t="n">
        <f aca="false">Sens!I16371+Sens!I16451*Sens!I16431+Sens!I16453-Sens!I16372-Sens!I16383</f>
        <v>-3.40316296909472</v>
      </c>
      <c r="J16454" s="6" t="n">
        <f aca="false">Sens!J16371+Sens!J16451*Sens!J16431+Sens!J16453-Sens!J16372-Sens!J16383</f>
        <v>-2.85757510285142</v>
      </c>
      <c r="K16454" s="6" t="n">
        <f aca="false">Sens!K16371+Sens!K16451*Sens!K16431+Sens!K16453-Sens!K16372-Sens!K16383</f>
        <v>-2.35559349263657</v>
      </c>
    </row>
    <row r="16455" customFormat="false" ht="17.15" hidden="false" customHeight="false" outlineLevel="0" collapsed="false">
      <c r="A16455" s="0" t="s">
        <v>1012</v>
      </c>
      <c r="B16455" s="0" t="s">
        <v>98</v>
      </c>
      <c r="E16455" s="6" t="n">
        <f aca="false">Sens!E16351*(cxit_open+self_build*tk_cxfac)/1000*ai_net_open</f>
        <v>126.6980382</v>
      </c>
      <c r="F16455" s="6" t="n">
        <f aca="false">Sens!E16455+Sens!F16380-Sens!F16383</f>
        <v>131.822683147</v>
      </c>
      <c r="G16455" s="6" t="n">
        <f aca="false">Sens!F16455+Sens!G16380-Sens!G16383</f>
        <v>136.850809452</v>
      </c>
      <c r="H16455" s="6" t="n">
        <f aca="false">Sens!G16455+Sens!H16380-Sens!H16383</f>
        <v>105.173224535</v>
      </c>
      <c r="I16455" s="6" t="n">
        <f aca="false">Sens!H16455+Sens!I16380-Sens!I16383</f>
        <v>102.104104363972</v>
      </c>
      <c r="J16455" s="6" t="n">
        <f aca="false">Sens!I16455+Sens!J16380-Sens!J16383</f>
        <v>112.526579647528</v>
      </c>
      <c r="K16455" s="6" t="n">
        <f aca="false">Sens!J16455+Sens!K16380-Sens!K16383</f>
        <v>163.901717877611</v>
      </c>
      <c r="L16455" s="1" t="s">
        <v>1013</v>
      </c>
    </row>
    <row r="16456" customFormat="false" ht="17.15" hidden="false" customHeight="false" outlineLevel="0" collapsed="false">
      <c r="A16456" s="0" t="s">
        <v>1014</v>
      </c>
      <c r="B16456" s="0" t="s">
        <v>168</v>
      </c>
      <c r="F16456" s="7" t="n">
        <f aca="false">Sens!F16454*(1-tax_f)/((Sens!E16455+Sens!F16455)/2)</f>
        <v>0.0103176711104114</v>
      </c>
      <c r="G16456" s="7" t="n">
        <f aca="false">Sens!G16454*(1-tax_f)/((Sens!F16455+Sens!G16455)/2)</f>
        <v>-0.00783649527732708</v>
      </c>
      <c r="H16456" s="7" t="n">
        <f aca="false">Sens!H16454*(1-tax_f)/((Sens!G16455+Sens!H16455)/2)</f>
        <v>-0.0320476208392429</v>
      </c>
      <c r="I16456" s="7" t="n">
        <f aca="false">Sens!I16454*(1-tax_f)/((Sens!H16455+Sens!I16455)/2)</f>
        <v>-0.0262694467333931</v>
      </c>
      <c r="J16456" s="7" t="n">
        <f aca="false">Sens!J16454*(1-tax_f)/((Sens!I16455+Sens!J16455)/2)</f>
        <v>-0.0213022671274592</v>
      </c>
      <c r="K16456" s="7" t="n">
        <f aca="false">Sens!K16454*(1-tax_f)/((Sens!J16455+Sens!K16455)/2)</f>
        <v>-0.0136344564647032</v>
      </c>
    </row>
    <row r="16457" customFormat="false" ht="17.15" hidden="false" customHeight="false" outlineLevel="0" collapsed="false">
      <c r="A16457" s="1" t="s">
        <v>1015</v>
      </c>
      <c r="B16457" s="0" t="s">
        <v>168</v>
      </c>
      <c r="F16457" s="7" t="n">
        <f aca="false">(Sens!F16454-Sens!F16453)*(1-tax_f)/((Sens!E16455+Sens!F16455)/2)</f>
        <v>0.0103176711104114</v>
      </c>
      <c r="G16457" s="7" t="n">
        <f aca="false">(Sens!G16454-Sens!G16453)*(1-tax_f)/((Sens!F16455+Sens!G16455)/2)</f>
        <v>-0.00783649527732708</v>
      </c>
      <c r="H16457" s="7" t="n">
        <f aca="false">(Sens!H16454-Sens!H16453)*(1-tax_f)/((Sens!G16455+Sens!H16455)/2)</f>
        <v>-0.0320476208392429</v>
      </c>
      <c r="I16457" s="7" t="n">
        <f aca="false">(Sens!I16454-Sens!I16453)*(1-tax_f)/((Sens!H16455+Sens!I16455)/2)</f>
        <v>-0.0262694467333931</v>
      </c>
      <c r="J16457" s="7" t="n">
        <f aca="false">(Sens!J16454-Sens!J16453)*(1-tax_f)/((Sens!I16455+Sens!J16455)/2)</f>
        <v>-0.0213022671274592</v>
      </c>
      <c r="K16457" s="7" t="n">
        <f aca="false">(Sens!K16454-Sens!K16453)*(1-tax_f)/((Sens!J16455+Sens!K16455)/2)</f>
        <v>-0.0136344564647032</v>
      </c>
    </row>
    <row r="16458" customFormat="false" ht="17.15" hidden="false" customHeight="false" outlineLevel="0" collapsed="false">
      <c r="A16458" s="1" t="s">
        <v>1016</v>
      </c>
      <c r="B16458" s="0" t="s">
        <v>168</v>
      </c>
      <c r="F16458" s="7" t="n">
        <f aca="false">(Sens!F16454-Sens!F16453+Sens!F16452)*(1-tax_f)/((Sens!E16455+Sens!F16455)/2)</f>
        <v>0.0308758565616089</v>
      </c>
      <c r="G16458" s="7" t="n">
        <f aca="false">(Sens!G16454-Sens!G16453+Sens!G16452)*(1-tax_f)/((Sens!F16455+Sens!G16455)/2)</f>
        <v>0.0209314088716686</v>
      </c>
      <c r="H16458" s="7" t="n">
        <f aca="false">(Sens!H16454-Sens!H16453+Sens!H16452)*(1-tax_f)/((Sens!G16455+Sens!H16455)/2)</f>
        <v>-0.00065696804393899</v>
      </c>
      <c r="I16458" s="7" t="n">
        <f aca="false">(Sens!I16454-Sens!I16453+Sens!I16452)*(1-tax_f)/((Sens!H16455+Sens!I16455)/2)</f>
        <v>0.0022767434672935</v>
      </c>
      <c r="J16458" s="7" t="n">
        <f aca="false">(Sens!J16454-Sens!J16453+Sens!J16452)*(1-tax_f)/((Sens!I16455+Sens!J16455)/2)</f>
        <v>0.00252101081549252</v>
      </c>
      <c r="K16458" s="7" t="n">
        <f aca="false">(Sens!K16454-Sens!K16453+Sens!K16452)*(1-tax_f)/((Sens!J16455+Sens!K16455)/2)</f>
        <v>0.00397700060883865</v>
      </c>
    </row>
    <row r="16459" customFormat="false" ht="17.15" hidden="false" customHeight="false" outlineLevel="0" collapsed="false">
      <c r="A16459" s="1" t="s">
        <v>1017</v>
      </c>
      <c r="B16459" s="0" t="s">
        <v>168</v>
      </c>
      <c r="F16459" s="7" t="n">
        <f aca="false">Sens!F16384*(1-tax_f)/(Sens!F16370*(Sens!E16455+Sens!F16455)/2)</f>
        <v>0.106983470139441</v>
      </c>
      <c r="G16459" s="7" t="n">
        <f aca="false">Sens!G16384*(1-tax_f)/(Sens!G16370*(Sens!F16455+Sens!G16455)/2)</f>
        <v>0.0828495807398649</v>
      </c>
      <c r="H16459" s="7" t="n">
        <f aca="false">Sens!H16384*(1-tax_f)/(Sens!H16370*(Sens!G16455+Sens!H16455)/2)</f>
        <v>0.049671832874314</v>
      </c>
      <c r="I16459" s="7" t="n">
        <f aca="false">Sens!I16384*(1-tax_f)/(Sens!I16370*(Sens!H16455+Sens!I16455)/2)</f>
        <v>0.063617784443709</v>
      </c>
      <c r="J16459" s="7" t="n">
        <f aca="false">Sens!J16384*(1-tax_f)/(Sens!J16370*(Sens!I16455+Sens!J16455)/2)</f>
        <v>0.0655166442751414</v>
      </c>
      <c r="K16459" s="7" t="n">
        <f aca="false">Sens!K16384*(1-tax_f)/(Sens!K16370*(Sens!J16455+Sens!K16455)/2)</f>
        <v>0.0586829736915535</v>
      </c>
    </row>
    <row r="16460" customFormat="false" ht="17.15" hidden="false" customHeight="false" outlineLevel="0" collapsed="false">
      <c r="A16460" s="0" t="s">
        <v>1018</v>
      </c>
      <c r="B16460" s="0" t="s">
        <v>253</v>
      </c>
      <c r="F16460" s="7" t="n">
        <f aca="false">Sens!F16456-wacc</f>
        <v>-0.0926189198351859</v>
      </c>
      <c r="G16460" s="7" t="n">
        <f aca="false">Sens!G16456-wacc</f>
        <v>-0.110773086222924</v>
      </c>
      <c r="H16460" s="7" t="n">
        <f aca="false">Sens!H16456-wacc</f>
        <v>-0.13498421178484</v>
      </c>
      <c r="I16460" s="7" t="n">
        <f aca="false">Sens!I16456-wacc</f>
        <v>-0.12920603767899</v>
      </c>
      <c r="J16460" s="7" t="n">
        <f aca="false">Sens!J16456-wacc</f>
        <v>-0.124238858073057</v>
      </c>
      <c r="K16460" s="7" t="n">
        <f aca="false">Sens!K16456-wacc</f>
        <v>-0.1165710474103</v>
      </c>
    </row>
    <row r="16461" customFormat="false" ht="17.15" hidden="false" customHeight="false" outlineLevel="0" collapsed="false">
      <c r="A16461" s="0" t="s">
        <v>1019</v>
      </c>
      <c r="B16461" s="0" t="s">
        <v>98</v>
      </c>
      <c r="F16461" s="6" t="n">
        <f aca="false">Sens!F16454*(1-tax_f)-wacc*(Sens!E16455+Sens!F16455)/2</f>
        <v>-11.9719549830861</v>
      </c>
      <c r="G16461" s="6" t="n">
        <f aca="false">Sens!G16454*(1-tax_f)-wacc*(Sens!F16455+Sens!G16455)/2</f>
        <v>-14.8808959807416</v>
      </c>
      <c r="H16461" s="6" t="n">
        <f aca="false">Sens!H16454*(1-tax_f)-wacc*(Sens!G16455+Sens!H16455)/2</f>
        <v>-16.3347117303613</v>
      </c>
      <c r="I16461" s="6" t="n">
        <f aca="false">Sens!I16454*(1-tax_f)-wacc*(Sens!H16455+Sens!I16455)/2</f>
        <v>-13.3907411838605</v>
      </c>
      <c r="J16461" s="6" t="n">
        <f aca="false">Sens!J16454*(1-tax_f)-wacc*(Sens!I16455+Sens!J16455)/2</f>
        <v>-13.3327355445139</v>
      </c>
      <c r="K16461" s="6" t="n">
        <f aca="false">Sens!K16454*(1-tax_f)-wacc*(Sens!J16455+Sens!K16455)/2</f>
        <v>-16.1117680881758</v>
      </c>
    </row>
    <row r="16462" customFormat="false" ht="17.15" hidden="false" customHeight="false" outlineLevel="0" collapsed="false">
      <c r="A16462" s="3" t="s">
        <v>2017</v>
      </c>
    </row>
    <row r="16463" customFormat="false" ht="15" hidden="false" customHeight="false" outlineLevel="0" collapsed="false">
      <c r="A16463" s="4" t="s">
        <v>43</v>
      </c>
      <c r="B16463" s="4" t="s">
        <v>65</v>
      </c>
      <c r="C16463" s="23" t="s">
        <v>942</v>
      </c>
      <c r="D16463" s="23" t="s">
        <v>943</v>
      </c>
      <c r="E16463" s="23" t="s">
        <v>944</v>
      </c>
      <c r="F16463" s="23" t="s">
        <v>945</v>
      </c>
      <c r="G16463" s="23" t="s">
        <v>946</v>
      </c>
      <c r="H16463" s="23" t="s">
        <v>947</v>
      </c>
      <c r="I16463" s="23" t="s">
        <v>948</v>
      </c>
      <c r="J16463" s="23" t="s">
        <v>949</v>
      </c>
      <c r="K16463" s="23" t="s">
        <v>950</v>
      </c>
      <c r="L16463" s="4" t="s">
        <v>47</v>
      </c>
    </row>
    <row r="16464" customFormat="false" ht="15" hidden="false" customHeight="false" outlineLevel="0" collapsed="false">
      <c r="A16464" s="1" t="s">
        <v>1080</v>
      </c>
      <c r="B16464" s="0" t="s">
        <v>98</v>
      </c>
      <c r="F16464" s="6" t="n">
        <f aca="false">Sens!F16445</f>
        <v>134.346803922532</v>
      </c>
      <c r="G16464" s="6" t="n">
        <f aca="false">Sens!G16445</f>
        <v>143.421976666263</v>
      </c>
      <c r="H16464" s="6" t="n">
        <f aca="false">Sens!H16445</f>
        <v>158.003301035066</v>
      </c>
      <c r="I16464" s="6" t="n">
        <f aca="false">Sens!I16445</f>
        <v>176.15532371877</v>
      </c>
      <c r="J16464" s="6" t="n">
        <f aca="false">Sens!J16445</f>
        <v>192.547746316066</v>
      </c>
      <c r="K16464" s="6" t="n">
        <f aca="false">Sens!K16445</f>
        <v>207.21498038429</v>
      </c>
    </row>
    <row r="16465" customFormat="false" ht="17.15" hidden="false" customHeight="false" outlineLevel="0" collapsed="false">
      <c r="A16465" s="1" t="s">
        <v>1102</v>
      </c>
      <c r="B16465" s="0" t="s">
        <v>98</v>
      </c>
      <c r="E16465" s="6" t="n">
        <f aca="false">Q!M38-Sens!E16383</f>
        <v>22.2285940229167</v>
      </c>
      <c r="F16465" s="6" t="n">
        <f aca="false">Sens!E16465*(1-1/life_nonai)+(Sens!F16473+Sens!F16474)/life_nonai</f>
        <v>37.458367358225</v>
      </c>
      <c r="G16465" s="6" t="n">
        <f aca="false">Sens!F16465*(1-1/life_nonai)+(Sens!G16473)/life_nonai</f>
        <v>37.8971931807589</v>
      </c>
      <c r="H16465" s="6" t="n">
        <f aca="false">Sens!G16465*(1-1/life_nonai)+(Sens!H16473)/life_nonai</f>
        <v>38.8470034950136</v>
      </c>
      <c r="I16465" s="6" t="n">
        <f aca="false">Sens!H16465*(1-1/life_nonai)+(Sens!I16473)/life_nonai</f>
        <v>40.2363776179593</v>
      </c>
      <c r="J16465" s="6" t="n">
        <f aca="false">Sens!I16465*(1-1/life_nonai)+(Sens!J16473)/life_nonai</f>
        <v>41.976670284337</v>
      </c>
      <c r="K16465" s="6" t="n">
        <f aca="false">Sens!J16465*(1-1/life_nonai)+(Sens!K16473)/life_nonai</f>
        <v>43.9704272663843</v>
      </c>
      <c r="L16465" s="12" t="s">
        <v>1103</v>
      </c>
    </row>
    <row r="16466" customFormat="false" ht="17.15" hidden="false" customHeight="false" outlineLevel="0" collapsed="false">
      <c r="A16466" s="1" t="s">
        <v>1104</v>
      </c>
      <c r="B16466" s="0" t="s">
        <v>98</v>
      </c>
      <c r="F16466" s="6" t="n">
        <f aca="false">Sens!$F$16474/life_nonai*(1-1/life_nonai)^(Sens!F16346-2027)</f>
        <v>13.8140066594294</v>
      </c>
      <c r="G16466" s="6" t="n">
        <f aca="false">Sens!$F$16474/life_nonai*(1-1/life_nonai)^(Sens!G16346-2027)</f>
        <v>12.4326059934865</v>
      </c>
      <c r="H16466" s="6" t="n">
        <f aca="false">Sens!$F$16474/life_nonai*(1-1/life_nonai)^(Sens!H16346-2027)</f>
        <v>11.1893453941378</v>
      </c>
      <c r="I16466" s="6" t="n">
        <f aca="false">Sens!$F$16474/life_nonai*(1-1/life_nonai)^(Sens!I16346-2027)</f>
        <v>10.0704108547241</v>
      </c>
      <c r="J16466" s="6" t="n">
        <f aca="false">Sens!$F$16474/life_nonai*(1-1/life_nonai)^(Sens!J16346-2027)</f>
        <v>9.06336976925165</v>
      </c>
      <c r="K16466" s="6" t="n">
        <f aca="false">Sens!$F$16474/life_nonai*(1-1/life_nonai)^(Sens!K16346-2027)</f>
        <v>8.15703279232649</v>
      </c>
      <c r="L16466" s="1" t="s">
        <v>1105</v>
      </c>
    </row>
    <row r="16467" customFormat="false" ht="17.15" hidden="false" customHeight="false" outlineLevel="0" collapsed="false">
      <c r="A16467" s="1" t="s">
        <v>1106</v>
      </c>
      <c r="B16467" s="0" t="s">
        <v>98</v>
      </c>
      <c r="E16467" s="6" t="n">
        <f aca="false">Sens!E16383+Sens!E16465</f>
        <v>38.534</v>
      </c>
      <c r="F16467" s="6" t="n">
        <f aca="false">Sens!F16383+Sens!F16465</f>
        <v>62.007395035225</v>
      </c>
      <c r="G16467" s="6" t="n">
        <f aca="false">Sens!G16383+Sens!G16465</f>
        <v>67.0828260037589</v>
      </c>
      <c r="H16467" s="6" t="n">
        <f aca="false">Sens!H16383+Sens!H16465</f>
        <v>70.5245884120136</v>
      </c>
      <c r="I16467" s="6" t="n">
        <f aca="false">Sens!I16383+Sens!I16465</f>
        <v>72.4662425489871</v>
      </c>
      <c r="J16467" s="6" t="n">
        <f aca="false">Sens!J16383+Sens!J16465</f>
        <v>75.5928707607814</v>
      </c>
      <c r="K16467" s="6" t="n">
        <f aca="false">Sens!K16383+Sens!K16465</f>
        <v>80.0775233163009</v>
      </c>
    </row>
    <row r="16468" customFormat="false" ht="17.15" hidden="false" customHeight="false" outlineLevel="0" collapsed="false">
      <c r="A16468" s="1" t="s">
        <v>1107</v>
      </c>
      <c r="B16468" s="0" t="s">
        <v>98</v>
      </c>
      <c r="F16468" s="6" t="n">
        <f aca="false">Sens!F16410*sbc_r</f>
        <v>14.3733372521203</v>
      </c>
      <c r="G16468" s="6" t="n">
        <f aca="false">Sens!G16410*sbc_r</f>
        <v>15.9508977871648</v>
      </c>
      <c r="H16468" s="6" t="n">
        <f aca="false">Sens!H16410*sbc_r</f>
        <v>17.3854028915498</v>
      </c>
      <c r="I16468" s="6" t="n">
        <f aca="false">Sens!I16410*sbc_r</f>
        <v>18.8700470966675</v>
      </c>
      <c r="J16468" s="6" t="n">
        <f aca="false">Sens!J16410*sbc_r</f>
        <v>20.2710479973254</v>
      </c>
      <c r="K16468" s="6" t="n">
        <f aca="false">Sens!K16410*sbc_r</f>
        <v>21.5928535358532</v>
      </c>
    </row>
    <row r="16469" customFormat="false" ht="17.15" hidden="false" customHeight="false" outlineLevel="0" collapsed="false">
      <c r="A16469" s="1" t="s">
        <v>1108</v>
      </c>
      <c r="B16469" s="0" t="s">
        <v>98</v>
      </c>
      <c r="F16469" s="6" t="n">
        <f aca="false">wc27-wc26q1</f>
        <v>-4.677</v>
      </c>
      <c r="G16469" s="6" t="n">
        <f aca="false">wc_f</f>
        <v>0</v>
      </c>
      <c r="H16469" s="6" t="n">
        <f aca="false">wc_f</f>
        <v>0</v>
      </c>
      <c r="I16469" s="6" t="n">
        <f aca="false">wc_f</f>
        <v>0</v>
      </c>
      <c r="J16469" s="6" t="n">
        <f aca="false">wc_f</f>
        <v>0</v>
      </c>
      <c r="K16469" s="6" t="n">
        <f aca="false">wc_f</f>
        <v>0</v>
      </c>
      <c r="L16469" s="12" t="s">
        <v>1109</v>
      </c>
    </row>
    <row r="16470" customFormat="false" ht="17.15" hidden="false" customHeight="false" outlineLevel="0" collapsed="false">
      <c r="A16470" s="0" t="s">
        <v>1110</v>
      </c>
      <c r="B16470" s="0" t="s">
        <v>98</v>
      </c>
      <c r="F16470" s="6" t="n">
        <f aca="false">Q!$I$35-Q!$I$26-Q!$I$38-Q!$I$39</f>
        <v>6.493</v>
      </c>
      <c r="L16470" s="1" t="s">
        <v>1111</v>
      </c>
    </row>
    <row r="16471" customFormat="false" ht="15" hidden="false" customHeight="false" outlineLevel="0" collapsed="false">
      <c r="A16471" s="1" t="s">
        <v>908</v>
      </c>
      <c r="B16471" s="0" t="s">
        <v>98</v>
      </c>
      <c r="E16471" s="6" t="n">
        <f aca="false">Q!M35</f>
        <v>182.935</v>
      </c>
      <c r="F16471" s="6" t="n">
        <f aca="false">Sens!F16464+Sens!F16467+Sens!F16468+Sens!F16469+Sens!F16470</f>
        <v>212.543536209877</v>
      </c>
      <c r="G16471" s="6" t="n">
        <f aca="false">Sens!G16464+Sens!G16467+Sens!G16468+Sens!G16469</f>
        <v>226.455700457186</v>
      </c>
      <c r="H16471" s="6" t="n">
        <f aca="false">Sens!H16464+Sens!H16467+Sens!H16468+Sens!H16469</f>
        <v>245.91329233863</v>
      </c>
      <c r="I16471" s="6" t="n">
        <f aca="false">Sens!I16464+Sens!I16467+Sens!I16468+Sens!I16469</f>
        <v>267.491613364424</v>
      </c>
      <c r="J16471" s="6" t="n">
        <f aca="false">Sens!J16464+Sens!J16467+Sens!J16468+Sens!J16469</f>
        <v>288.411665074172</v>
      </c>
      <c r="K16471" s="6" t="n">
        <f aca="false">Sens!K16464+Sens!K16467+Sens!K16468+Sens!K16469</f>
        <v>308.885357236444</v>
      </c>
    </row>
    <row r="16472" customFormat="false" ht="17.15" hidden="false" customHeight="false" outlineLevel="0" collapsed="false">
      <c r="A16472" s="0" t="s">
        <v>1112</v>
      </c>
      <c r="B16472" s="0" t="s">
        <v>98</v>
      </c>
      <c r="F16472" s="6" t="n">
        <f aca="false">Sens!F16380</f>
        <v>29.673672624</v>
      </c>
      <c r="G16472" s="6" t="n">
        <f aca="false">Sens!G16380</f>
        <v>34.213759128</v>
      </c>
      <c r="H16472" s="6" t="n">
        <f aca="false">Sens!H16380</f>
        <v>0</v>
      </c>
      <c r="I16472" s="6" t="n">
        <f aca="false">Sens!I16380</f>
        <v>29.16074476</v>
      </c>
      <c r="J16472" s="6" t="n">
        <f aca="false">Sens!J16380</f>
        <v>44.03867576</v>
      </c>
      <c r="K16472" s="6" t="n">
        <f aca="false">Sens!K16380</f>
        <v>87.48223428</v>
      </c>
    </row>
    <row r="16473" customFormat="false" ht="17.15" hidden="false" customHeight="false" outlineLevel="0" collapsed="false">
      <c r="A16473" s="1" t="s">
        <v>1113</v>
      </c>
      <c r="B16473" s="0" t="s">
        <v>98</v>
      </c>
      <c r="E16473" s="6" t="n">
        <f aca="false">Sens!E16388*cx_azo+Sens!E16395*cx_m365+Sens!E16396*cx_lic+(Sens!E16398+Sens!E16400)*cx_ind+Sens!E16403*cx_srch+(Sens!E16405+Sens!E16407)*cx_dev</f>
        <v>30.1846587067718</v>
      </c>
      <c r="F16473" s="6" t="n">
        <f aca="false">Sens!F16388*cx_azo+Sens!F16395*cx_m365+Sens!F16396*cx_lic+(Sens!F16398+Sens!F16400)*cx_ind+Sens!F16403*cx_srch+(Sens!F16405+Sens!F16407)*cx_dev</f>
        <v>36.3862607817056</v>
      </c>
      <c r="G16473" s="6" t="n">
        <f aca="false">Sens!G16388*cx_azo+Sens!G16395*cx_m365+Sens!G16396*cx_lic+(Sens!G16398+Sens!G16400)*cx_ind+Sens!G16403*cx_srch+(Sens!G16405+Sens!G16407)*cx_dev</f>
        <v>41.8466255835643</v>
      </c>
      <c r="H16473" s="6" t="n">
        <f aca="false">Sens!H16388*cx_azo+Sens!H16395*cx_m365+Sens!H16396*cx_lic+(Sens!H16398+Sens!H16400)*cx_ind+Sens!H16403*cx_srch+(Sens!H16405+Sens!H16407)*cx_dev</f>
        <v>47.3952963233052</v>
      </c>
      <c r="I16473" s="6" t="n">
        <f aca="false">Sens!I16388*cx_azo+Sens!I16395*cx_m365+Sens!I16396*cx_lic+(Sens!I16398+Sens!I16400)*cx_ind+Sens!I16403*cx_srch+(Sens!I16405+Sens!I16407)*cx_dev</f>
        <v>52.7407447244711</v>
      </c>
      <c r="J16473" s="6" t="n">
        <f aca="false">Sens!J16388*cx_azo+Sens!J16395*cx_m365+Sens!J16396*cx_lic+(Sens!J16398+Sens!J16400)*cx_ind+Sens!J16403*cx_srch+(Sens!J16405+Sens!J16407)*cx_dev</f>
        <v>57.6393042817356</v>
      </c>
      <c r="K16473" s="6" t="n">
        <f aca="false">Sens!K16388*cx_azo+Sens!K16395*cx_m365+Sens!K16396*cx_lic+(Sens!K16398+Sens!K16400)*cx_ind+Sens!K16403*cx_srch+(Sens!K16405+Sens!K16407)*cx_dev</f>
        <v>61.9142401048102</v>
      </c>
    </row>
    <row r="16474" customFormat="false" ht="17.15" hidden="false" customHeight="false" outlineLevel="0" collapsed="false">
      <c r="A16474" s="0" t="s">
        <v>1114</v>
      </c>
      <c r="B16474" s="0" t="s">
        <v>98</v>
      </c>
      <c r="F16474" s="6" t="n">
        <f aca="false">Sens!F16378</f>
        <v>138.140066594294</v>
      </c>
      <c r="L16474" s="1" t="s">
        <v>1115</v>
      </c>
    </row>
    <row r="16475" customFormat="false" ht="17.15" hidden="false" customHeight="false" outlineLevel="0" collapsed="false">
      <c r="A16475" s="1" t="s">
        <v>1116</v>
      </c>
      <c r="B16475" s="0" t="s">
        <v>98</v>
      </c>
      <c r="E16475" s="6" t="n">
        <f aca="false">Q!M43</f>
        <v>145.3</v>
      </c>
      <c r="F16475" s="6" t="n">
        <f aca="false">Sens!F16472+Sens!F16473+Sens!F16474</f>
        <v>204.2</v>
      </c>
      <c r="G16475" s="6" t="n">
        <f aca="false">Sens!G16472+Sens!G16473</f>
        <v>76.0603847115643</v>
      </c>
      <c r="H16475" s="6" t="n">
        <f aca="false">Sens!H16472+Sens!H16473</f>
        <v>47.3952963233052</v>
      </c>
      <c r="I16475" s="6" t="n">
        <f aca="false">Sens!I16472+Sens!I16473</f>
        <v>81.9014894844711</v>
      </c>
      <c r="J16475" s="6" t="n">
        <f aca="false">Sens!J16472+Sens!J16473</f>
        <v>101.677980041736</v>
      </c>
      <c r="K16475" s="6" t="n">
        <f aca="false">Sens!K16472+Sens!K16473</f>
        <v>149.39647438481</v>
      </c>
      <c r="L16475" s="1" t="s">
        <v>1117</v>
      </c>
    </row>
    <row r="16476" customFormat="false" ht="15" hidden="false" customHeight="false" outlineLevel="0" collapsed="false">
      <c r="A16476" s="1" t="s">
        <v>1118</v>
      </c>
      <c r="B16476" s="0" t="s">
        <v>98</v>
      </c>
      <c r="E16476" s="6" t="n">
        <f aca="false">fl_liab</f>
        <v>66.594</v>
      </c>
      <c r="F16476" s="6" t="n">
        <f aca="false">Sens!E16476-Sens!F16477</f>
        <v>62.46973</v>
      </c>
      <c r="G16476" s="6" t="n">
        <f aca="false">Sens!F16476-Sens!G16477</f>
        <v>57.98686785</v>
      </c>
      <c r="H16476" s="6" t="n">
        <f aca="false">Sens!G16476-Sens!H16477</f>
        <v>53.92827690325</v>
      </c>
      <c r="I16476" s="6" t="n">
        <f aca="false">Sens!H16476-Sens!I16477</f>
        <v>49.7850493638962</v>
      </c>
      <c r="J16476" s="6" t="n">
        <f aca="false">Sens!I16476-Sens!J16477</f>
        <v>45.4823765852716</v>
      </c>
      <c r="K16476" s="6" t="n">
        <f aca="false">Sens!J16476-Sens!K16477</f>
        <v>40.9860835316088</v>
      </c>
    </row>
    <row r="16477" customFormat="false" ht="15" hidden="false" customHeight="false" outlineLevel="0" collapsed="false">
      <c r="A16477" s="1" t="s">
        <v>1119</v>
      </c>
      <c r="B16477" s="0" t="s">
        <v>98</v>
      </c>
      <c r="F16477" s="6" t="n">
        <f aca="false">fl_pay_27-Sens!E16476*fl_rate</f>
        <v>4.12427</v>
      </c>
      <c r="G16477" s="6" t="n">
        <f aca="false">fl_pay_28-Sens!F16476*fl_rate</f>
        <v>4.48286215</v>
      </c>
      <c r="H16477" s="6" t="n">
        <f aca="false">fl_pay_29-Sens!G16476*fl_rate</f>
        <v>4.05859094675</v>
      </c>
      <c r="I16477" s="6" t="n">
        <f aca="false">fl_pay_30-Sens!H16476*fl_rate</f>
        <v>4.14322753935375</v>
      </c>
      <c r="J16477" s="6" t="n">
        <f aca="false">fl_pay_31-Sens!I16476*fl_rate</f>
        <v>4.30267277862467</v>
      </c>
      <c r="K16477" s="6" t="n">
        <f aca="false">fl_pay_32-Sens!J16476*fl_rate</f>
        <v>4.49629305366278</v>
      </c>
    </row>
    <row r="16478" customFormat="false" ht="17.15" hidden="false" customHeight="false" outlineLevel="0" collapsed="false">
      <c r="A16478" s="1" t="s">
        <v>1120</v>
      </c>
      <c r="B16478" s="0" t="s">
        <v>98</v>
      </c>
      <c r="E16478" s="6" t="n">
        <f aca="false">Q!M35-Q!M36-Q!M44</f>
        <v>63.886</v>
      </c>
      <c r="F16478" s="6" t="n">
        <f aca="false">Sens!F16471-Sens!F16475-Sens!F16477</f>
        <v>4.21926620987702</v>
      </c>
      <c r="G16478" s="6" t="n">
        <f aca="false">Sens!G16471-Sens!G16475-Sens!G16477</f>
        <v>145.912453595622</v>
      </c>
      <c r="H16478" s="6" t="n">
        <f aca="false">Sens!H16471-Sens!H16475-Sens!H16477</f>
        <v>194.459405068574</v>
      </c>
      <c r="I16478" s="6" t="n">
        <f aca="false">Sens!I16471-Sens!I16475-Sens!I16477</f>
        <v>181.4468963406</v>
      </c>
      <c r="J16478" s="6" t="n">
        <f aca="false">Sens!J16471-Sens!J16475-Sens!J16477</f>
        <v>182.431012253812</v>
      </c>
      <c r="K16478" s="6" t="n">
        <f aca="false">Sens!K16471-Sens!K16475-Sens!K16477</f>
        <v>154.992589797971</v>
      </c>
      <c r="L16478" s="12" t="s">
        <v>1121</v>
      </c>
    </row>
    <row r="16479" customFormat="false" ht="15" hidden="false" customHeight="false" outlineLevel="0" collapsed="false">
      <c r="A16479" s="1" t="s">
        <v>1122</v>
      </c>
      <c r="B16479" s="0" t="s">
        <v>75</v>
      </c>
      <c r="F16479" s="8" t="n">
        <f aca="false">dps_27</f>
        <v>3.85</v>
      </c>
      <c r="G16479" s="8" t="n">
        <f aca="false">Sens!F16479*(1+dps_g)</f>
        <v>4.158</v>
      </c>
      <c r="H16479" s="8" t="n">
        <f aca="false">Sens!G16479*(1+dps_g)</f>
        <v>4.49064</v>
      </c>
      <c r="I16479" s="8" t="n">
        <f aca="false">Sens!H16479*(1+dps_g)</f>
        <v>4.8498912</v>
      </c>
      <c r="J16479" s="8" t="n">
        <f aca="false">Sens!I16479*(1+dps_g)</f>
        <v>5.237882496</v>
      </c>
      <c r="K16479" s="8" t="n">
        <f aca="false">Sens!J16479*(1+dps_g)</f>
        <v>5.65691309568</v>
      </c>
    </row>
    <row r="16480" customFormat="false" ht="17.15" hidden="false" customHeight="false" outlineLevel="0" collapsed="false">
      <c r="A16480" s="1" t="s">
        <v>1123</v>
      </c>
      <c r="B16480" s="0" t="s">
        <v>98</v>
      </c>
      <c r="E16480" s="6" t="n">
        <f aca="false">Q!M41</f>
        <v>26.445</v>
      </c>
      <c r="F16480" s="6" t="n">
        <f aca="false">Sens!F16479*Sens!E16489</f>
        <v>28.59395</v>
      </c>
      <c r="G16480" s="6" t="n">
        <f aca="false">Sens!G16479*Sens!F16489</f>
        <v>31.068576</v>
      </c>
      <c r="H16480" s="6" t="n">
        <f aca="false">Sens!H16479*Sens!G16489</f>
        <v>33.5883340530727</v>
      </c>
      <c r="I16480" s="6" t="n">
        <f aca="false">Sens!I16479*Sens!H16489</f>
        <v>36.3258390543911</v>
      </c>
      <c r="J16480" s="6" t="n">
        <f aca="false">Sens!J16479*Sens!I16489</f>
        <v>39.299804064135</v>
      </c>
      <c r="K16480" s="6" t="n">
        <f aca="false">Sens!K16479*Sens!J16489</f>
        <v>42.5305426516441</v>
      </c>
      <c r="L16480" s="1" t="s">
        <v>1124</v>
      </c>
    </row>
    <row r="16481" customFormat="false" ht="15" hidden="false" customHeight="false" outlineLevel="0" collapsed="false">
      <c r="A16481" s="1" t="s">
        <v>1125</v>
      </c>
      <c r="B16481" s="0" t="s">
        <v>98</v>
      </c>
      <c r="E16481" s="6" t="n">
        <f aca="false">Sens!E16478-Sens!E16480</f>
        <v>37.441</v>
      </c>
      <c r="F16481" s="6" t="n">
        <f aca="false">Sens!F16478-Sens!F16480</f>
        <v>-24.374683790123</v>
      </c>
      <c r="G16481" s="6" t="n">
        <f aca="false">Sens!G16478-Sens!G16480</f>
        <v>114.843877595622</v>
      </c>
      <c r="H16481" s="6" t="n">
        <f aca="false">Sens!H16478-Sens!H16480</f>
        <v>160.871071015502</v>
      </c>
      <c r="I16481" s="6" t="n">
        <f aca="false">Sens!I16478-Sens!I16480</f>
        <v>145.121057286208</v>
      </c>
      <c r="J16481" s="6" t="n">
        <f aca="false">Sens!J16478-Sens!J16480</f>
        <v>143.131208189677</v>
      </c>
      <c r="K16481" s="6" t="n">
        <f aca="false">Sens!K16478-Sens!K16480</f>
        <v>112.462047146327</v>
      </c>
    </row>
    <row r="16482" customFormat="false" ht="15" hidden="false" customHeight="false" outlineLevel="0" collapsed="false">
      <c r="A16482" s="1" t="s">
        <v>1126</v>
      </c>
      <c r="B16482" s="0" t="s">
        <v>98</v>
      </c>
      <c r="F16482" s="6" t="n">
        <f aca="false">debt_mat_27</f>
        <v>9.25</v>
      </c>
      <c r="G16482" s="6" t="n">
        <f aca="false">debt_mat_28</f>
        <v>0</v>
      </c>
      <c r="H16482" s="6" t="n">
        <f aca="false">debt_mat_29</f>
        <v>2.001</v>
      </c>
      <c r="I16482" s="6" t="n">
        <f aca="false">debt_mat_30</f>
        <v>0</v>
      </c>
      <c r="J16482" s="6" t="n">
        <f aca="false">debt_mat_31</f>
        <v>0.5</v>
      </c>
      <c r="K16482" s="6" t="n">
        <f aca="false">debt_mat_32</f>
        <v>0</v>
      </c>
    </row>
    <row r="16483" customFormat="false" ht="15" hidden="false" customHeight="false" outlineLevel="0" collapsed="false">
      <c r="A16483" s="1" t="s">
        <v>1127</v>
      </c>
      <c r="B16483" s="0" t="s">
        <v>98</v>
      </c>
      <c r="E16483" s="6" t="n">
        <f aca="false">Q!M40</f>
        <v>22.271</v>
      </c>
      <c r="F16483" s="6" t="n">
        <f aca="false">MAX(0,MIN(bb_target,Sens!E16485+Sens!F16481-Sens!F16482-min_cash))</f>
        <v>0</v>
      </c>
      <c r="G16483" s="6" t="n">
        <f aca="false">MAX(0,MIN(bb_target,Sens!F16485+Sens!G16481-Sens!G16482-min_cash))</f>
        <v>22.271</v>
      </c>
      <c r="H16483" s="6" t="n">
        <f aca="false">MAX(0,MIN(bb_target,Sens!G16485+Sens!H16481-Sens!H16482-min_cash))</f>
        <v>22.271</v>
      </c>
      <c r="I16483" s="6" t="n">
        <f aca="false">MAX(0,MIN(bb_target,Sens!H16485+Sens!I16481-Sens!I16482-min_cash))</f>
        <v>22.271</v>
      </c>
      <c r="J16483" s="6" t="n">
        <f aca="false">MAX(0,MIN(bb_target,Sens!I16485+Sens!J16481-Sens!J16482-min_cash))</f>
        <v>22.271</v>
      </c>
      <c r="K16483" s="6" t="n">
        <f aca="false">MAX(0,MIN(bb_target,Sens!J16485+Sens!K16481-Sens!K16482-min_cash))</f>
        <v>22.271</v>
      </c>
    </row>
    <row r="16484" customFormat="false" ht="15" hidden="false" customHeight="false" outlineLevel="0" collapsed="false">
      <c r="A16484" s="1" t="s">
        <v>1128</v>
      </c>
      <c r="B16484" s="0" t="s">
        <v>98</v>
      </c>
      <c r="F16484" s="6" t="n">
        <f aca="false">MAX(0,min_cash-(Sens!E16485+Sens!F16481-Sens!F16482-Sens!F16483))</f>
        <v>6.78168379012298</v>
      </c>
      <c r="G16484" s="6" t="n">
        <f aca="false">MAX(0,min_cash-(Sens!F16485+Sens!G16481-Sens!G16482-Sens!G16483))</f>
        <v>0</v>
      </c>
      <c r="H16484" s="6" t="n">
        <f aca="false">MAX(0,min_cash-(Sens!G16485+Sens!H16481-Sens!H16482-Sens!H16483))</f>
        <v>0</v>
      </c>
      <c r="I16484" s="6" t="n">
        <f aca="false">MAX(0,min_cash-(Sens!H16485+Sens!I16481-Sens!I16482-Sens!I16483))</f>
        <v>0</v>
      </c>
      <c r="J16484" s="6" t="n">
        <f aca="false">MAX(0,min_cash-(Sens!I16485+Sens!J16481-Sens!J16482-Sens!J16483))</f>
        <v>0</v>
      </c>
      <c r="K16484" s="6" t="n">
        <f aca="false">MAX(0,min_cash-(Sens!J16485+Sens!K16481-Sens!K16482-Sens!K16483))</f>
        <v>0</v>
      </c>
    </row>
    <row r="16485" customFormat="false" ht="15" hidden="false" customHeight="false" outlineLevel="0" collapsed="false">
      <c r="A16485" s="1" t="s">
        <v>1129</v>
      </c>
      <c r="B16485" s="0" t="s">
        <v>98</v>
      </c>
      <c r="E16485" s="6" t="n">
        <f aca="false">cash_open</f>
        <v>76.843</v>
      </c>
      <c r="F16485" s="6" t="n">
        <f aca="false">Sens!E16485+Sens!F16481-Sens!F16482-Sens!F16483+Sens!F16484</f>
        <v>50</v>
      </c>
      <c r="G16485" s="6" t="n">
        <f aca="false">Sens!F16485+Sens!G16481-Sens!G16482-Sens!G16483+Sens!G16484</f>
        <v>142.572877595622</v>
      </c>
      <c r="H16485" s="6" t="n">
        <f aca="false">Sens!G16485+Sens!H16481-Sens!H16482-Sens!H16483+Sens!H16484</f>
        <v>279.171948611124</v>
      </c>
      <c r="I16485" s="6" t="n">
        <f aca="false">Sens!H16485+Sens!I16481-Sens!I16482-Sens!I16483+Sens!I16484</f>
        <v>402.022005897332</v>
      </c>
      <c r="J16485" s="6" t="n">
        <f aca="false">Sens!I16485+Sens!J16481-Sens!J16482-Sens!J16483+Sens!J16484</f>
        <v>522.382214087009</v>
      </c>
      <c r="K16485" s="6" t="n">
        <f aca="false">Sens!J16485+Sens!K16481-Sens!K16482-Sens!K16483+Sens!K16484</f>
        <v>612.573261233336</v>
      </c>
    </row>
    <row r="16486" customFormat="false" ht="15" hidden="false" customHeight="false" outlineLevel="0" collapsed="false">
      <c r="A16486" s="1" t="s">
        <v>1130</v>
      </c>
      <c r="B16486" s="0" t="s">
        <v>98</v>
      </c>
      <c r="E16486" s="6" t="n">
        <f aca="false">debt_face</f>
        <v>46.136</v>
      </c>
      <c r="F16486" s="6" t="n">
        <f aca="false">Sens!E16486-Sens!F16482+Sens!F16484</f>
        <v>43.667683790123</v>
      </c>
      <c r="G16486" s="6" t="n">
        <f aca="false">Sens!F16486-Sens!G16482+Sens!G16484</f>
        <v>43.667683790123</v>
      </c>
      <c r="H16486" s="6" t="n">
        <f aca="false">Sens!G16486-Sens!H16482+Sens!H16484</f>
        <v>41.666683790123</v>
      </c>
      <c r="I16486" s="6" t="n">
        <f aca="false">Sens!H16486-Sens!I16482+Sens!I16484</f>
        <v>41.666683790123</v>
      </c>
      <c r="J16486" s="6" t="n">
        <f aca="false">Sens!I16486-Sens!J16482+Sens!J16484</f>
        <v>41.166683790123</v>
      </c>
      <c r="K16486" s="6" t="n">
        <f aca="false">Sens!J16486-Sens!K16482+Sens!K16484</f>
        <v>41.166683790123</v>
      </c>
    </row>
    <row r="16487" customFormat="false" ht="15" hidden="false" customHeight="false" outlineLevel="0" collapsed="false">
      <c r="A16487" s="1" t="s">
        <v>1131</v>
      </c>
      <c r="B16487" s="0" t="s">
        <v>98</v>
      </c>
      <c r="E16487" s="6" t="n">
        <f aca="false">Sens!E16485-Sens!E16486</f>
        <v>30.707</v>
      </c>
      <c r="F16487" s="6" t="n">
        <f aca="false">Sens!F16485-Sens!F16486</f>
        <v>6.33231620987701</v>
      </c>
      <c r="G16487" s="6" t="n">
        <f aca="false">Sens!G16485-Sens!G16486</f>
        <v>98.9051938054992</v>
      </c>
      <c r="H16487" s="6" t="n">
        <f aca="false">Sens!H16485-Sens!H16486</f>
        <v>237.505264821001</v>
      </c>
      <c r="I16487" s="6" t="n">
        <f aca="false">Sens!I16485-Sens!I16486</f>
        <v>360.355322107209</v>
      </c>
      <c r="J16487" s="6" t="n">
        <f aca="false">Sens!J16485-Sens!J16486</f>
        <v>481.215530296886</v>
      </c>
      <c r="K16487" s="6" t="n">
        <f aca="false">Sens!K16485-Sens!K16486</f>
        <v>571.406577443213</v>
      </c>
    </row>
    <row r="16488" customFormat="false" ht="15" hidden="false" customHeight="false" outlineLevel="0" collapsed="false">
      <c r="A16488" s="1" t="s">
        <v>1132</v>
      </c>
      <c r="B16488" s="0" t="s">
        <v>75</v>
      </c>
      <c r="F16488" s="30" t="n">
        <f aca="false">px*(1+bb_g)^(Sens!F16346-base_fy-mid_yr)</f>
        <v>551.84177959629</v>
      </c>
      <c r="G16488" s="30" t="n">
        <f aca="false">px*(1+bb_g)^(Sens!G16346-base_fy-mid_yr)</f>
        <v>595.989121963993</v>
      </c>
      <c r="H16488" s="30" t="n">
        <f aca="false">px*(1+bb_g)^(Sens!H16346-base_fy-mid_yr)</f>
        <v>643.668251721112</v>
      </c>
      <c r="I16488" s="30" t="n">
        <f aca="false">px*(1+bb_g)^(Sens!I16346-base_fy-mid_yr)</f>
        <v>695.161711858801</v>
      </c>
      <c r="J16488" s="30" t="n">
        <f aca="false">px*(1+bb_g)^(Sens!J16346-base_fy-mid_yr)</f>
        <v>750.774648807506</v>
      </c>
      <c r="K16488" s="30" t="n">
        <f aca="false">px*(1+bb_g)^(Sens!K16346-base_fy-mid_yr)</f>
        <v>810.836620712106</v>
      </c>
    </row>
    <row r="16489" customFormat="false" ht="15" hidden="false" customHeight="false" outlineLevel="0" collapsed="false">
      <c r="A16489" s="1" t="s">
        <v>1133</v>
      </c>
      <c r="B16489" s="1" t="s">
        <v>81</v>
      </c>
      <c r="E16489" s="15" t="n">
        <f aca="false">sh_out26</f>
        <v>7.427</v>
      </c>
      <c r="F16489" s="15" t="n">
        <f aca="false">Sens!E16489+sh_iss-Sens!F16483/Sens!F16488</f>
        <v>7.472</v>
      </c>
      <c r="G16489" s="15" t="n">
        <f aca="false">Sens!F16489+sh_iss-Sens!G16483/Sens!G16488</f>
        <v>7.47963186830221</v>
      </c>
      <c r="H16489" s="15" t="n">
        <f aca="false">Sens!G16489+sh_iss-Sens!H16483/Sens!H16488</f>
        <v>7.49003174635981</v>
      </c>
      <c r="I16489" s="15" t="n">
        <f aca="false">Sens!H16489+sh_iss-Sens!I16483/Sens!I16488</f>
        <v>7.50299459641315</v>
      </c>
      <c r="J16489" s="15" t="n">
        <f aca="false">Sens!I16489+sh_iss-Sens!J16483/Sens!J16488</f>
        <v>7.51833056868476</v>
      </c>
      <c r="K16489" s="15" t="n">
        <f aca="false">Sens!J16489+sh_iss-Sens!K16483/Sens!K16488</f>
        <v>7.53586387634365</v>
      </c>
    </row>
    <row r="16490" customFormat="false" ht="15" hidden="false" customHeight="false" outlineLevel="0" collapsed="false">
      <c r="A16490" s="1" t="s">
        <v>1134</v>
      </c>
      <c r="B16490" s="1" t="s">
        <v>81</v>
      </c>
      <c r="E16490" s="15" t="n">
        <f aca="false">sh_dil26</f>
        <v>7.453</v>
      </c>
      <c r="F16490" s="15" t="n">
        <f aca="false">(Sens!E16489+Sens!F16489)/2+dil_gap</f>
        <v>7.4735</v>
      </c>
      <c r="G16490" s="15" t="n">
        <f aca="false">(Sens!F16489+Sens!G16489)/2+dil_gap</f>
        <v>7.49981593415111</v>
      </c>
      <c r="H16490" s="15" t="n">
        <f aca="false">(Sens!G16489+Sens!H16489)/2+dil_gap</f>
        <v>7.50883180733101</v>
      </c>
      <c r="I16490" s="15" t="n">
        <f aca="false">(Sens!H16489+Sens!I16489)/2+dil_gap</f>
        <v>7.52051317138648</v>
      </c>
      <c r="J16490" s="15" t="n">
        <f aca="false">(Sens!I16489+Sens!J16489)/2+dil_gap</f>
        <v>7.53466258254895</v>
      </c>
      <c r="K16490" s="15" t="n">
        <f aca="false">(Sens!J16489+Sens!K16489)/2+dil_gap</f>
        <v>7.55109722251421</v>
      </c>
    </row>
    <row r="16491" customFormat="false" ht="17.15" hidden="false" customHeight="false" outlineLevel="0" collapsed="false">
      <c r="A16491" s="1" t="s">
        <v>1135</v>
      </c>
      <c r="B16491" s="0" t="s">
        <v>98</v>
      </c>
      <c r="C16491" s="6" t="n">
        <f aca="false">SUM(Sens!F16481:J16481)</f>
        <v>539.592530296886</v>
      </c>
    </row>
    <row r="16492" customFormat="false" ht="15" hidden="false" customHeight="false" outlineLevel="0" collapsed="false">
      <c r="A16492" s="26" t="s">
        <v>1100</v>
      </c>
      <c r="B16492" s="31" t="s">
        <v>98</v>
      </c>
      <c r="C16492" s="27" t="n">
        <f aca="false">Sens!$C$16491-(Sens!F16481+Sens!G16481+Sens!H16481+Sens!I16481+Sens!J16481)</f>
        <v>0</v>
      </c>
      <c r="D16492" s="31"/>
      <c r="E16492" s="31"/>
      <c r="F16492" s="31"/>
      <c r="G16492" s="31"/>
      <c r="H16492" s="31"/>
      <c r="I16492" s="31"/>
      <c r="J16492" s="31"/>
      <c r="K16492" s="31"/>
    </row>
    <row r="16493" customFormat="false" ht="17.15" hidden="false" customHeight="false" outlineLevel="0" collapsed="false">
      <c r="A16493" s="1" t="s">
        <v>1094</v>
      </c>
      <c r="B16493" s="1" t="s">
        <v>1136</v>
      </c>
      <c r="C16493" s="33" t="str">
        <f aca="false">IF(SUM(Sens!F16484:J16484)&gt;0.05,"需要舉債 "&amp;TEXT(SUM(Sens!F16484:J16484),"0.0")&amp;" 十億美元","不需舉債")&amp;"；"&amp;IF(SUM(Sens!F16483:J16483)&lt;COUNT(Sens!F16483:J16483)*bb_target-0.05,"回購較每年 "&amp;TEXT(bb_target,"0.0")&amp;" 的目標少 "&amp;TEXT(COUNT(Sens!F16483:J16483)*bb_target-SUM(Sens!F16483:J16483),"0.0")&amp;" 十億美元（"&amp;TEXT(COUNTIF(Sens!F16483:J16483,"&lt;"&amp;(bb_target-0.05)),"0")&amp;" 年減少）","回購不減")</f>
        <v>需要舉債 6.8 十億美元；回購較每年 22.3 的目標少 22.3 十億美元（1 年減少）</v>
      </c>
    </row>
    <row r="16494" customFormat="false" ht="17.15" hidden="false" customHeight="false" outlineLevel="0" collapsed="false">
      <c r="A16494" s="3" t="s">
        <v>2018</v>
      </c>
    </row>
    <row r="16495" customFormat="false" ht="15" hidden="false" customHeight="false" outlineLevel="0" collapsed="false">
      <c r="A16495" s="4" t="s">
        <v>43</v>
      </c>
      <c r="B16495" s="4" t="s">
        <v>65</v>
      </c>
      <c r="C16495" s="23" t="s">
        <v>942</v>
      </c>
      <c r="D16495" s="23" t="s">
        <v>943</v>
      </c>
      <c r="E16495" s="23" t="s">
        <v>944</v>
      </c>
      <c r="F16495" s="23" t="s">
        <v>945</v>
      </c>
      <c r="G16495" s="23" t="s">
        <v>946</v>
      </c>
      <c r="H16495" s="23" t="s">
        <v>947</v>
      </c>
      <c r="I16495" s="23" t="s">
        <v>948</v>
      </c>
      <c r="J16495" s="23" t="s">
        <v>949</v>
      </c>
      <c r="K16495" s="23" t="s">
        <v>950</v>
      </c>
      <c r="L16495" s="4" t="s">
        <v>47</v>
      </c>
    </row>
    <row r="16496" customFormat="false" ht="17.15" hidden="false" customHeight="false" outlineLevel="0" collapsed="false">
      <c r="A16496" s="1" t="s">
        <v>1216</v>
      </c>
      <c r="B16496" s="1" t="s">
        <v>279</v>
      </c>
      <c r="F16496" s="8" t="n">
        <f aca="false">(1-v_off)*mid_yr</f>
        <v>0.373972602739726</v>
      </c>
      <c r="G16496" s="8" t="n">
        <f aca="false">Sens!G16346-base_fy-mid_yr-v_off</f>
        <v>1.24794520547945</v>
      </c>
      <c r="H16496" s="8" t="n">
        <f aca="false">Sens!H16346-base_fy-mid_yr-v_off</f>
        <v>2.24794520547945</v>
      </c>
      <c r="I16496" s="8" t="n">
        <f aca="false">Sens!I16346-base_fy-mid_yr-v_off</f>
        <v>3.24794520547945</v>
      </c>
      <c r="J16496" s="8" t="n">
        <f aca="false">Sens!J16346-base_fy-mid_yr-v_off</f>
        <v>4.24794520547945</v>
      </c>
      <c r="K16496" s="8" t="n">
        <f aca="false">Sens!K16346-base_fy-mid_yr-v_off</f>
        <v>5.24794520547945</v>
      </c>
      <c r="L16496" s="12" t="s">
        <v>1217</v>
      </c>
    </row>
    <row r="16497" customFormat="false" ht="15" hidden="false" customHeight="false" outlineLevel="0" collapsed="false">
      <c r="A16497" s="1" t="s">
        <v>1218</v>
      </c>
      <c r="B16497" s="1" t="s">
        <v>279</v>
      </c>
      <c r="F16497" s="8" t="n">
        <f aca="false">Sens!F16346-base_fy-v_off</f>
        <v>0.747945205479452</v>
      </c>
      <c r="G16497" s="8" t="n">
        <f aca="false">Sens!G16346-base_fy-v_off</f>
        <v>1.74794520547945</v>
      </c>
      <c r="H16497" s="8" t="n">
        <f aca="false">Sens!H16346-base_fy-v_off</f>
        <v>2.74794520547945</v>
      </c>
      <c r="I16497" s="8" t="n">
        <f aca="false">Sens!I16346-base_fy-v_off</f>
        <v>3.74794520547945</v>
      </c>
      <c r="J16497" s="8" t="n">
        <f aca="false">Sens!J16346-base_fy-v_off</f>
        <v>4.74794520547945</v>
      </c>
      <c r="K16497" s="8" t="n">
        <f aca="false">Sens!K16346-base_fy-v_off</f>
        <v>5.74794520547945</v>
      </c>
    </row>
    <row r="16498" customFormat="false" ht="15" hidden="false" customHeight="false" outlineLevel="0" collapsed="false">
      <c r="A16498" s="1" t="s">
        <v>1219</v>
      </c>
      <c r="B16498" s="0" t="s">
        <v>229</v>
      </c>
      <c r="F16498" s="15" t="n">
        <f aca="false">1/(1+wacc)^Sens!F16496</f>
        <v>0.964022703286649</v>
      </c>
      <c r="G16498" s="15" t="n">
        <f aca="false">1/(1+wacc)^Sens!G16496</f>
        <v>0.884910302296739</v>
      </c>
      <c r="H16498" s="15" t="n">
        <f aca="false">1/(1+wacc)^Sens!H16496</f>
        <v>0.802322009770358</v>
      </c>
      <c r="I16498" s="15" t="n">
        <f aca="false">1/(1+wacc)^Sens!I16496</f>
        <v>0.727441646561469</v>
      </c>
      <c r="J16498" s="15" t="n">
        <f aca="false">1/(1+wacc)^Sens!J16496</f>
        <v>0.659549834988973</v>
      </c>
      <c r="K16498" s="15" t="n">
        <f aca="false">1/(1+wacc)^Sens!K16496</f>
        <v>0.597994336576966</v>
      </c>
    </row>
    <row r="16499" customFormat="false" ht="17.15" hidden="false" customHeight="false" outlineLevel="0" collapsed="false">
      <c r="A16499" s="1" t="s">
        <v>1220</v>
      </c>
      <c r="B16499" s="0" t="s">
        <v>98</v>
      </c>
      <c r="F16499" s="6" t="n">
        <f aca="false">Q!$I$35-Q!$I$39-Q!$I$43</f>
        <v>9.666</v>
      </c>
      <c r="L16499" s="12" t="s">
        <v>1221</v>
      </c>
    </row>
    <row r="16500" customFormat="false" ht="17.15" hidden="false" customHeight="false" outlineLevel="0" collapsed="false">
      <c r="A16500" s="1" t="s">
        <v>1222</v>
      </c>
      <c r="B16500" s="0" t="s">
        <v>98</v>
      </c>
      <c r="F16500" s="6" t="n">
        <f aca="false">Sens!F16471-Sens!F16468-Sens!F16475+Sens!F16453*(1-tax_f)*(1-v_off)-Sens!F16499</f>
        <v>-15.6958010422432</v>
      </c>
      <c r="G16500" s="6" t="n">
        <f aca="false">Sens!G16471-Sens!G16468-Sens!G16475+Sens!G16453*(1-tax_f)</f>
        <v>134.444417958457</v>
      </c>
      <c r="H16500" s="6" t="n">
        <f aca="false">Sens!H16471-Sens!H16468-Sens!H16475+Sens!H16453*(1-tax_f)</f>
        <v>181.132593123775</v>
      </c>
      <c r="I16500" s="6" t="n">
        <f aca="false">Sens!I16471-Sens!I16468-Sens!I16475+Sens!I16453*(1-tax_f)</f>
        <v>166.720076783286</v>
      </c>
      <c r="J16500" s="6" t="n">
        <f aca="false">Sens!J16471-Sens!J16468-Sens!J16475+Sens!J16453*(1-tax_f)</f>
        <v>166.462637035111</v>
      </c>
      <c r="K16500" s="6" t="n">
        <f aca="false">Sens!K16471-Sens!K16468-Sens!K16475+Sens!K16453*(1-tax_f)</f>
        <v>137.89602931578</v>
      </c>
      <c r="L16500" s="1" t="s">
        <v>1223</v>
      </c>
    </row>
    <row r="16501" customFormat="false" ht="15" hidden="false" customHeight="false" outlineLevel="0" collapsed="false">
      <c r="A16501" s="1" t="s">
        <v>1224</v>
      </c>
      <c r="B16501" s="0" t="s">
        <v>98</v>
      </c>
      <c r="F16501" s="6" t="n">
        <f aca="false">Sens!F16500*Sens!F16498</f>
        <v>-15.1311085509927</v>
      </c>
      <c r="G16501" s="6" t="n">
        <f aca="false">Sens!G16500*Sens!G16498</f>
        <v>118.971250537728</v>
      </c>
      <c r="H16501" s="6" t="n">
        <f aca="false">Sens!H16500*Sens!H16498</f>
        <v>145.326666149983</v>
      </c>
      <c r="I16501" s="6" t="n">
        <f aca="false">Sens!I16500*Sens!I16498</f>
        <v>121.279127170088</v>
      </c>
      <c r="J16501" s="6" t="n">
        <f aca="false">Sens!J16500*Sens!J16498</f>
        <v>109.790404788337</v>
      </c>
      <c r="K16501" s="6" t="n">
        <f aca="false">Sens!K16500*Sens!K16498</f>
        <v>82.4610445672878</v>
      </c>
    </row>
    <row r="16502" customFormat="false" ht="17.15" hidden="false" customHeight="false" outlineLevel="0" collapsed="false">
      <c r="A16502" s="1" t="s">
        <v>1225</v>
      </c>
      <c r="B16502" s="0" t="s">
        <v>98</v>
      </c>
      <c r="C16502" s="6" t="n">
        <f aca="false">SUM(Sens!F16501:K16501)</f>
        <v>562.697384662431</v>
      </c>
    </row>
    <row r="16503" customFormat="false" ht="17.15" hidden="false" customHeight="false" outlineLevel="0" collapsed="false">
      <c r="A16503" s="1" t="s">
        <v>1226</v>
      </c>
      <c r="B16503" s="0" t="s">
        <v>98</v>
      </c>
      <c r="C16503" s="6" t="n">
        <f aca="false">Sens!K16439*(1+g_tv)*(1-tax_f)</f>
        <v>214.420229795818</v>
      </c>
    </row>
    <row r="16504" customFormat="false" ht="17.15" hidden="false" customHeight="false" outlineLevel="0" collapsed="false">
      <c r="A16504" s="1" t="s">
        <v>1227</v>
      </c>
      <c r="B16504" s="0" t="s">
        <v>98</v>
      </c>
      <c r="C16504" s="6" t="n">
        <f aca="false">Sens!$C$16503*(1-g_tv/(wacc+ronic_prem))</f>
        <v>151.929264874761</v>
      </c>
    </row>
    <row r="16505" customFormat="false" ht="17.15" hidden="false" customHeight="false" outlineLevel="0" collapsed="false">
      <c r="A16505" s="1" t="s">
        <v>1228</v>
      </c>
      <c r="B16505" s="0" t="s">
        <v>98</v>
      </c>
      <c r="C16505" s="6" t="n">
        <f aca="false">Sens!$C$16504/(wacc-g_tv)</f>
        <v>2083.03216403524</v>
      </c>
    </row>
    <row r="16506" customFormat="false" ht="15" hidden="false" customHeight="false" outlineLevel="0" collapsed="false">
      <c r="A16506" s="1" t="s">
        <v>1229</v>
      </c>
      <c r="B16506" s="0" t="s">
        <v>98</v>
      </c>
      <c r="C16506" s="6" t="n">
        <f aca="false">Sens!$C$16505/(1+wacc)^Sens!K16497</f>
        <v>1186.09035494226</v>
      </c>
    </row>
    <row r="16507" customFormat="false" ht="17.15" hidden="false" customHeight="false" outlineLevel="0" collapsed="false">
      <c r="A16507" s="0" t="s">
        <v>1230</v>
      </c>
      <c r="B16507" s="0" t="s">
        <v>98</v>
      </c>
      <c r="C16507" s="6" t="n">
        <f aca="false">Sens!$C$16502+Sens!$C$16506</f>
        <v>1748.78773960469</v>
      </c>
    </row>
    <row r="16508" customFormat="false" ht="15" hidden="false" customHeight="false" outlineLevel="0" collapsed="false">
      <c r="A16508" s="1" t="s">
        <v>1145</v>
      </c>
      <c r="B16508" s="0" t="s">
        <v>168</v>
      </c>
      <c r="C16508" s="7" t="n">
        <f aca="false">Sens!$C$16506/Sens!$C$16507</f>
        <v>0.678235744728158</v>
      </c>
    </row>
    <row r="16509" customFormat="false" ht="17.15" hidden="false" customHeight="false" outlineLevel="0" collapsed="false">
      <c r="A16509" s="1" t="s">
        <v>1231</v>
      </c>
      <c r="B16509" s="0" t="s">
        <v>98</v>
      </c>
      <c r="C16509" s="6" t="n">
        <f aca="false">Sens!$C$16507+cash_val-debt_val-fl_val+oai_v</f>
        <v>1864.63873960469</v>
      </c>
    </row>
    <row r="16510" customFormat="false" ht="17.15" hidden="false" customHeight="false" outlineLevel="0" collapsed="false">
      <c r="A16510" s="0" t="s">
        <v>1153</v>
      </c>
      <c r="B16510" s="0" t="s">
        <v>75</v>
      </c>
      <c r="C16510" s="5" t="n">
        <f aca="false">Sens!$C$16509/shd_val</f>
        <v>250.421533656284</v>
      </c>
    </row>
    <row r="16511" customFormat="false" ht="15" hidden="false" customHeight="false" outlineLevel="0" collapsed="false">
      <c r="A16511" s="1" t="s">
        <v>1232</v>
      </c>
      <c r="B16511" s="0" t="s">
        <v>75</v>
      </c>
      <c r="C16511" s="8" t="n">
        <f aca="false">div_rem27+Sens!G16479*roll_div_q/q_per_yr</f>
        <v>3.9795</v>
      </c>
    </row>
    <row r="16512" customFormat="false" ht="17.15" hidden="false" customHeight="false" outlineLevel="0" collapsed="false">
      <c r="A16512" s="0" t="s">
        <v>1233</v>
      </c>
      <c r="B16512" s="0" t="s">
        <v>75</v>
      </c>
      <c r="C16512" s="5" t="n">
        <f aca="false">Sens!$C$16510*(1+wacc)^t_roll-Sens!$C$16511</f>
        <v>274.378010871021</v>
      </c>
    </row>
    <row r="16513" customFormat="false" ht="17.15" hidden="false" customHeight="false" outlineLevel="0" collapsed="false">
      <c r="A16513" s="1" t="s">
        <v>1234</v>
      </c>
      <c r="B16513" s="0" t="s">
        <v>168</v>
      </c>
      <c r="F16513" s="7" t="n">
        <f aca="false">Sens!F16465/(Sens!F16410-Sens!F16365)</f>
        <v>0.108177737857631</v>
      </c>
      <c r="G16513" s="7" t="n">
        <f aca="false">Sens!G16465/(Sens!G16410-Sens!G16365)</f>
        <v>0.0982891563402672</v>
      </c>
      <c r="H16513" s="7" t="n">
        <f aca="false">Sens!H16465/(Sens!H16410-Sens!H16365)</f>
        <v>0.0912602205424856</v>
      </c>
      <c r="I16513" s="7" t="n">
        <f aca="false">Sens!I16465/(Sens!I16410-Sens!I16365)</f>
        <v>0.0866163453176461</v>
      </c>
      <c r="J16513" s="7" t="n">
        <f aca="false">Sens!J16465/(Sens!J16410-Sens!J16365)</f>
        <v>0.0838316059702677</v>
      </c>
      <c r="K16513" s="7" t="n">
        <f aca="false">Sens!K16465/(Sens!K16410-Sens!K16365)</f>
        <v>0.0824143965668911</v>
      </c>
    </row>
    <row r="16514" customFormat="false" ht="17.15" hidden="false" customHeight="false" outlineLevel="0" collapsed="false">
      <c r="A16514" s="0" t="s">
        <v>1235</v>
      </c>
      <c r="B16514" s="0" t="s">
        <v>98</v>
      </c>
      <c r="F16514" s="6" t="n">
        <f aca="false">Sens!F16395*(al_m365+Sens!F16513+sbc_r)</f>
        <v>87.5573773987304</v>
      </c>
      <c r="G16514" s="6" t="n">
        <f aca="false">Sens!G16395*(al_m365+Sens!G16513+sbc_r)</f>
        <v>97.5466598616462</v>
      </c>
      <c r="H16514" s="6" t="n">
        <f aca="false">Sens!H16395*(al_m365+Sens!H16513+sbc_r)</f>
        <v>107.718043671489</v>
      </c>
      <c r="I16514" s="6" t="n">
        <f aca="false">Sens!I16395*(al_m365+Sens!I16513+sbc_r)</f>
        <v>117.393288430689</v>
      </c>
      <c r="J16514" s="6" t="n">
        <f aca="false">Sens!J16395*(al_m365+Sens!J16513+sbc_r)</f>
        <v>126.392302333988</v>
      </c>
      <c r="K16514" s="6" t="n">
        <f aca="false">Sens!K16395*(al_m365+Sens!K16513+sbc_r)</f>
        <v>135.033396203543</v>
      </c>
      <c r="L16514" s="12" t="s">
        <v>1236</v>
      </c>
    </row>
    <row r="16515" customFormat="false" ht="17.15" hidden="false" customHeight="false" outlineLevel="0" collapsed="false">
      <c r="A16515" s="0" t="s">
        <v>1237</v>
      </c>
      <c r="B16515" s="0" t="s">
        <v>98</v>
      </c>
      <c r="F16515" s="6" t="n">
        <f aca="false">Sens!F16396*(al_lic+Sens!F16513+sbc_r)</f>
        <v>34.3762117985167</v>
      </c>
      <c r="G16515" s="6" t="n">
        <f aca="false">Sens!G16396*(al_lic+Sens!G16513+sbc_r)</f>
        <v>35.4362005420265</v>
      </c>
      <c r="H16515" s="6" t="n">
        <f aca="false">Sens!H16396*(al_lic+Sens!H16513+sbc_r)</f>
        <v>36.4472029817648</v>
      </c>
      <c r="I16515" s="6" t="n">
        <f aca="false">Sens!I16396*(al_lic+Sens!I16513+sbc_r)</f>
        <v>37.3847018642724</v>
      </c>
      <c r="J16515" s="6" t="n">
        <f aca="false">Sens!J16396*(al_lic+Sens!J16513+sbc_r)</f>
        <v>38.2190665310661</v>
      </c>
      <c r="K16515" s="6" t="n">
        <f aca="false">Sens!K16396*(al_lic+Sens!K16513+sbc_r)</f>
        <v>38.9200332509219</v>
      </c>
    </row>
    <row r="16516" customFormat="false" ht="17.15" hidden="false" customHeight="false" outlineLevel="0" collapsed="false">
      <c r="A16516" s="0" t="s">
        <v>1238</v>
      </c>
      <c r="B16516" s="0" t="s">
        <v>98</v>
      </c>
      <c r="F16516" s="6" t="n">
        <f aca="false">Sens!F16398*(al_ind+Sens!F16513+sbc_r)</f>
        <v>9.94320426334936</v>
      </c>
      <c r="G16516" s="6" t="n">
        <f aca="false">Sens!G16398*(al_ind+Sens!G16513+sbc_r)</f>
        <v>10.627928956782</v>
      </c>
      <c r="H16516" s="6" t="n">
        <f aca="false">Sens!H16398*(al_ind+Sens!H16513+sbc_r)</f>
        <v>11.3697608677774</v>
      </c>
      <c r="I16516" s="6" t="n">
        <f aca="false">Sens!I16398*(al_ind+Sens!I16513+sbc_r)</f>
        <v>12.1638752630046</v>
      </c>
      <c r="J16516" s="6" t="n">
        <f aca="false">Sens!J16398*(al_ind+Sens!J16513+sbc_r)</f>
        <v>12.999721658117</v>
      </c>
      <c r="K16516" s="6" t="n">
        <f aca="false">Sens!K16398*(al_ind+Sens!K16513+sbc_r)</f>
        <v>13.8629018500533</v>
      </c>
    </row>
    <row r="16517" customFormat="false" ht="17.15" hidden="false" customHeight="false" outlineLevel="0" collapsed="false">
      <c r="A16517" s="0" t="s">
        <v>1239</v>
      </c>
      <c r="B16517" s="0" t="s">
        <v>98</v>
      </c>
      <c r="F16517" s="6" t="n">
        <f aca="false">Sens!F16400*(al_fro+Sens!F16513+sbc_r)</f>
        <v>3.90031068680128</v>
      </c>
      <c r="G16517" s="6" t="n">
        <f aca="false">Sens!G16400*(al_fro+Sens!G16513+sbc_r)</f>
        <v>4.06655710190904</v>
      </c>
      <c r="H16517" s="6" t="n">
        <f aca="false">Sens!H16400*(al_fro+Sens!H16513+sbc_r)</f>
        <v>4.2698788346887</v>
      </c>
      <c r="I16517" s="6" t="n">
        <f aca="false">Sens!I16400*(al_fro+Sens!I16513+sbc_r)</f>
        <v>4.51143508730516</v>
      </c>
      <c r="J16517" s="6" t="n">
        <f aca="false">Sens!J16400*(al_fro+Sens!J16513+sbc_r)</f>
        <v>4.79137285964274</v>
      </c>
      <c r="K16517" s="6" t="n">
        <f aca="false">Sens!K16400*(al_fro+Sens!K16513+sbc_r)</f>
        <v>5.10951952873256</v>
      </c>
    </row>
    <row r="16518" customFormat="false" ht="17.15" hidden="false" customHeight="false" outlineLevel="0" collapsed="false">
      <c r="A16518" s="0" t="s">
        <v>1240</v>
      </c>
      <c r="B16518" s="0" t="s">
        <v>98</v>
      </c>
      <c r="F16518" s="6" t="n">
        <f aca="false">Sens!F16403*(al_srch+Sens!F16513+sbc_r)</f>
        <v>12.2792814319747</v>
      </c>
      <c r="G16518" s="6" t="n">
        <f aca="false">Sens!G16403*(al_srch+Sens!G16513+sbc_r)</f>
        <v>13.2487150889011</v>
      </c>
      <c r="H16518" s="6" t="n">
        <f aca="false">Sens!H16403*(al_srch+Sens!H16513+sbc_r)</f>
        <v>14.2743109424213</v>
      </c>
      <c r="I16518" s="6" t="n">
        <f aca="false">Sens!I16403*(al_srch+Sens!I16513+sbc_r)</f>
        <v>15.3441074202405</v>
      </c>
      <c r="J16518" s="6" t="n">
        <f aca="false">Sens!J16403*(al_srch+Sens!J16513+sbc_r)</f>
        <v>16.437790074854</v>
      </c>
      <c r="K16518" s="6" t="n">
        <f aca="false">Sens!K16403*(al_srch+Sens!K16513+sbc_r)</f>
        <v>17.5292576589282</v>
      </c>
    </row>
    <row r="16519" customFormat="false" ht="17.15" hidden="false" customHeight="false" outlineLevel="0" collapsed="false">
      <c r="A16519" s="0" t="s">
        <v>1241</v>
      </c>
      <c r="B16519" s="0" t="s">
        <v>98</v>
      </c>
      <c r="F16519" s="6" t="n">
        <f aca="false">Sens!F16371-Sens!F16372+Sens!F16453</f>
        <v>20.2210578540808</v>
      </c>
      <c r="G16519" s="6" t="n">
        <f aca="false">Sens!G16371-Sens!G16372+Sens!G16453</f>
        <v>20.1617969887086</v>
      </c>
      <c r="H16519" s="6" t="n">
        <f aca="false">Sens!H16371-Sens!H16372+Sens!H16453</f>
        <v>17.4091045805085</v>
      </c>
      <c r="I16519" s="6" t="n">
        <f aca="false">Sens!I16371-Sens!I16372+Sens!I16453</f>
        <v>18.121251632965</v>
      </c>
      <c r="J16519" s="6" t="n">
        <f aca="false">Sens!J16371-Sens!J16372+Sens!J16453</f>
        <v>19.1967390183075</v>
      </c>
      <c r="K16519" s="6" t="n">
        <f aca="false">Sens!K16371-Sens!K16372+Sens!K16453</f>
        <v>21.3331801756772</v>
      </c>
    </row>
    <row r="16520" customFormat="false" ht="17.15" hidden="false" customHeight="false" outlineLevel="0" collapsed="false">
      <c r="A16520" s="0" t="s">
        <v>1242</v>
      </c>
      <c r="B16520" s="0" t="s">
        <v>98</v>
      </c>
      <c r="F16520" s="6" t="n">
        <f aca="false">Sens!F16432+Sens!F16453+Sens!F16383+Sens!F16513*(Sens!F16402-Sens!F16365)+sbc_r*Sens!F16402</f>
        <v>216.165660723143</v>
      </c>
      <c r="G16520" s="6" t="n">
        <f aca="false">Sens!G16432+Sens!G16453+Sens!G16383+Sens!G16513*(Sens!G16402-Sens!G16365)+sbc_r*Sens!G16402</f>
        <v>234.888078758927</v>
      </c>
      <c r="H16520" s="6" t="n">
        <f aca="false">Sens!H16432+Sens!H16453+Sens!H16383+Sens!H16513*(Sens!H16402-Sens!H16365)+sbc_r*Sens!H16402</f>
        <v>257.42093488954</v>
      </c>
      <c r="I16520" s="6" t="n">
        <f aca="false">Sens!I16432+Sens!I16453+Sens!I16383+Sens!I16513*(Sens!I16402-Sens!I16365)+sbc_r*Sens!I16402</f>
        <v>282.666895543466</v>
      </c>
      <c r="J16520" s="6" t="n">
        <f aca="false">Sens!J16432+Sens!J16453+Sens!J16383+Sens!J16513*(Sens!J16402-Sens!J16365)+sbc_r*Sens!J16402</f>
        <v>306.564232140363</v>
      </c>
      <c r="K16520" s="6" t="n">
        <f aca="false">Sens!K16432+Sens!K16453+Sens!K16383+Sens!K16513*(Sens!K16402-Sens!K16365)+sbc_r*Sens!K16402</f>
        <v>329.377313485751</v>
      </c>
    </row>
    <row r="16521" customFormat="false" ht="17.15" hidden="false" customHeight="false" outlineLevel="0" collapsed="false">
      <c r="A16521" s="0" t="s">
        <v>1243</v>
      </c>
      <c r="B16521" s="0" t="s">
        <v>98</v>
      </c>
      <c r="F16521" s="6" t="n">
        <f aca="false">Sens!F16520-Sens!F16514-Sens!F16515-Sens!F16516-Sens!F16517-Sens!F16519</f>
        <v>60.1674987216642</v>
      </c>
      <c r="G16521" s="6" t="n">
        <f aca="false">Sens!G16520-Sens!G16514-Sens!G16515-Sens!G16516-Sens!G16517-Sens!G16519</f>
        <v>67.0489353078547</v>
      </c>
      <c r="H16521" s="6" t="n">
        <f aca="false">Sens!H16520-Sens!H16514-Sens!H16515-Sens!H16516-Sens!H16517-Sens!H16519</f>
        <v>80.2069439533114</v>
      </c>
      <c r="I16521" s="6" t="n">
        <f aca="false">Sens!I16520-Sens!I16514-Sens!I16515-Sens!I16516-Sens!I16517-Sens!I16519</f>
        <v>93.0923432652294</v>
      </c>
      <c r="J16521" s="6" t="n">
        <f aca="false">Sens!J16520-Sens!J16514-Sens!J16515-Sens!J16516-Sens!J16517-Sens!J16519</f>
        <v>104.965029739242</v>
      </c>
      <c r="K16521" s="6" t="n">
        <f aca="false">Sens!K16520-Sens!K16514-Sens!K16515-Sens!K16516-Sens!K16517-Sens!K16519</f>
        <v>115.118282476823</v>
      </c>
    </row>
    <row r="16522" customFormat="false" ht="17.15" hidden="false" customHeight="false" outlineLevel="0" collapsed="false">
      <c r="A16522" s="0" t="s">
        <v>1244</v>
      </c>
      <c r="B16522" s="0" t="s">
        <v>98</v>
      </c>
      <c r="F16522" s="6" t="n">
        <f aca="false">Sens!F16434+Sens!F16513*Sens!F16409+sbc_r*Sens!F16409</f>
        <v>29.1773264673672</v>
      </c>
      <c r="G16522" s="6" t="n">
        <f aca="false">Sens!G16434+Sens!G16513*Sens!G16409+sbc_r*Sens!G16409</f>
        <v>28.6231158648252</v>
      </c>
      <c r="H16522" s="6" t="n">
        <f aca="false">Sens!H16434+Sens!H16513*Sens!H16409+sbc_r*Sens!H16409</f>
        <v>29.193182707856</v>
      </c>
      <c r="I16522" s="6" t="n">
        <f aca="false">Sens!I16434+Sens!I16513*Sens!I16409+sbc_r*Sens!I16409</f>
        <v>30.0635487506511</v>
      </c>
      <c r="J16522" s="6" t="n">
        <f aca="false">Sens!J16434+Sens!J16513*Sens!J16409+sbc_r*Sens!J16409</f>
        <v>31.1843695128253</v>
      </c>
      <c r="K16522" s="6" t="n">
        <f aca="false">Sens!K16434+Sens!K16513*Sens!K16409+sbc_r*Sens!K16409</f>
        <v>32.5117888467652</v>
      </c>
    </row>
    <row r="16523" customFormat="false" ht="17.15" hidden="false" customHeight="false" outlineLevel="0" collapsed="false">
      <c r="A16523" s="0" t="s">
        <v>1245</v>
      </c>
      <c r="B16523" s="0" t="s">
        <v>98</v>
      </c>
      <c r="F16523" s="6" t="n">
        <f aca="false">(Sens!F16522-Sens!F16518)*Sens!F16405/(Sens!F16405+Sens!F16407)</f>
        <v>9.54377112704764</v>
      </c>
      <c r="G16523" s="6" t="n">
        <f aca="false">(Sens!G16522-Sens!G16518)*Sens!G16405/(Sens!G16405+Sens!G16407)</f>
        <v>8.53400627238313</v>
      </c>
      <c r="H16523" s="6" t="n">
        <f aca="false">(Sens!H16522-Sens!H16518)*Sens!H16405/(Sens!H16405+Sens!H16407)</f>
        <v>8.17327281892581</v>
      </c>
      <c r="I16523" s="6" t="n">
        <f aca="false">(Sens!I16522-Sens!I16518)*Sens!I16405/(Sens!I16405+Sens!I16407)</f>
        <v>7.99362888445182</v>
      </c>
      <c r="J16523" s="6" t="n">
        <f aca="false">(Sens!J16522-Sens!J16518)*Sens!J16405/(Sens!J16405+Sens!J16407)</f>
        <v>7.97342654455077</v>
      </c>
      <c r="K16523" s="6" t="n">
        <f aca="false">(Sens!K16522-Sens!K16518)*Sens!K16405/(Sens!K16405+Sens!K16407)</f>
        <v>8.10100487236068</v>
      </c>
    </row>
    <row r="16524" customFormat="false" ht="17.15" hidden="false" customHeight="false" outlineLevel="0" collapsed="false">
      <c r="A16524" s="0" t="s">
        <v>1246</v>
      </c>
      <c r="B16524" s="0" t="s">
        <v>98</v>
      </c>
      <c r="F16524" s="6" t="n">
        <f aca="false">Sens!F16522-Sens!F16518-Sens!F16523</f>
        <v>7.35427390834487</v>
      </c>
      <c r="G16524" s="6" t="n">
        <f aca="false">Sens!G16522-Sens!G16518-Sens!G16523</f>
        <v>6.840394503541</v>
      </c>
      <c r="H16524" s="6" t="n">
        <f aca="false">Sens!H16522-Sens!H16518-Sens!H16523</f>
        <v>6.74559894650885</v>
      </c>
      <c r="I16524" s="6" t="n">
        <f aca="false">Sens!I16522-Sens!I16518-Sens!I16523</f>
        <v>6.72581244595876</v>
      </c>
      <c r="J16524" s="6" t="n">
        <f aca="false">Sens!J16522-Sens!J16518-Sens!J16523</f>
        <v>6.77315289342053</v>
      </c>
      <c r="K16524" s="6" t="n">
        <f aca="false">Sens!K16522-Sens!K16518-Sens!K16523</f>
        <v>6.88152631547632</v>
      </c>
    </row>
    <row r="16525" customFormat="false" ht="17.15" hidden="false" customHeight="false" outlineLevel="0" collapsed="false">
      <c r="A16525" s="0" t="s">
        <v>1247</v>
      </c>
      <c r="B16525" s="0" t="s">
        <v>98</v>
      </c>
      <c r="F16525" s="6" t="n">
        <f aca="false">Sens!F16519-tax_f*(Sens!F16519-Sens!F16383)-Sens!F16380</f>
        <v>-8.58702080533535</v>
      </c>
      <c r="G16525" s="6" t="n">
        <f aca="false">Sens!G16519-tax_f*(Sens!G16519-Sens!G16383)-Sens!G16380</f>
        <v>-12.2471949724331</v>
      </c>
      <c r="H16525" s="6" t="n">
        <f aca="false">Sens!H16519-tax_f*(Sens!H16519-Sens!H16383)-Sens!H16380</f>
        <v>20.2628006478068</v>
      </c>
      <c r="I16525" s="6" t="n">
        <f aca="false">Sens!I16519-tax_f*(Sens!I16519-Sens!I16383)-Sens!I16380</f>
        <v>-8.21777046742244</v>
      </c>
      <c r="J16525" s="6" t="n">
        <f aca="false">Sens!J16519-tax_f*(Sens!J16519-Sens!J16383)-Sens!J16380</f>
        <v>-21.9580444500651</v>
      </c>
      <c r="K16525" s="6" t="n">
        <f aca="false">Sens!K16519-tax_f*(Sens!K16519-Sens!K16383)-Sens!K16380</f>
        <v>-63.1942709294749</v>
      </c>
    </row>
    <row r="16526" customFormat="false" ht="17.15" hidden="false" customHeight="false" outlineLevel="0" collapsed="false">
      <c r="A16526" s="0" t="s">
        <v>1248</v>
      </c>
      <c r="B16526" s="0" t="s">
        <v>98</v>
      </c>
      <c r="G16526" s="6" t="n">
        <f aca="false">Sens!G16525/(1+wacc)^(Sens!G16496-Sens!F16497)</f>
        <v>-11.6616864214767</v>
      </c>
      <c r="H16526" s="6" t="n">
        <f aca="false">Sens!H16525/(1+wacc)^(Sens!H16496-Sens!F16497)</f>
        <v>17.4933769340668</v>
      </c>
      <c r="I16526" s="6" t="n">
        <f aca="false">Sens!I16525/(1+wacc)^(Sens!I16496-Sens!F16497)</f>
        <v>-6.43246814253192</v>
      </c>
      <c r="J16526" s="6" t="n">
        <f aca="false">Sens!J16525/(1+wacc)^(Sens!J16496-Sens!F16497)</f>
        <v>-15.5835626785976</v>
      </c>
      <c r="K16526" s="6" t="n">
        <f aca="false">Sens!K16525/(1+wacc)^(Sens!K16496-Sens!F16497)</f>
        <v>-40.6630784995099</v>
      </c>
      <c r="L16526" s="1" t="s">
        <v>1249</v>
      </c>
    </row>
    <row r="16527" customFormat="false" ht="17.15" hidden="false" customHeight="false" outlineLevel="0" collapsed="false">
      <c r="A16527" s="0" t="s">
        <v>1250</v>
      </c>
      <c r="B16527" s="0" t="s">
        <v>98</v>
      </c>
      <c r="C16527" s="6" t="n">
        <f aca="false">(Sens!K16519-Sens!K16383)*(1-tax_f)*(1+g_tv)*(1-g_tv/(wacc+ronic_prem))/(wacc-g_tv)/(1+wacc)^(Sens!K16497-Sens!F16497)</f>
        <v>-72.4603332111777</v>
      </c>
    </row>
    <row r="16528" customFormat="false" ht="17.15" hidden="false" customHeight="false" outlineLevel="0" collapsed="false">
      <c r="A16528" s="1" t="s">
        <v>1251</v>
      </c>
      <c r="B16528" s="0" t="s">
        <v>98</v>
      </c>
      <c r="C16528" s="6" t="n">
        <f aca="false">(SUM(Sens!G16526:K16526)+Sens!$C$16527)*(1+wacc)^(t_roll-Sens!F16497)</f>
        <v>-133.576591969049</v>
      </c>
      <c r="L16528" s="12" t="s">
        <v>1252</v>
      </c>
    </row>
    <row r="16529" customFormat="false" ht="17.15" hidden="false" customHeight="false" outlineLevel="0" collapsed="false">
      <c r="A16529" s="1" t="s">
        <v>1253</v>
      </c>
      <c r="B16529" s="0" t="s">
        <v>98</v>
      </c>
      <c r="C16529" s="6" t="n">
        <f aca="false">(w_ntm28*Sens!G16371+(1-w_ntm28)*Sens!H16371)*m_ai</f>
        <v>150.528401372214</v>
      </c>
    </row>
    <row r="16530" customFormat="false" ht="17.15" hidden="false" customHeight="false" outlineLevel="0" collapsed="false">
      <c r="A16530" s="1" t="s">
        <v>1254</v>
      </c>
      <c r="B16530" s="0" t="s">
        <v>98</v>
      </c>
      <c r="C16530" s="6" t="n">
        <f aca="false">(w_ntm28*Sens!G16521+(1-w_ntm28)*Sens!H16521)*m_cloud</f>
        <v>986.400509345306</v>
      </c>
    </row>
    <row r="16531" customFormat="false" ht="17.15" hidden="false" customHeight="false" outlineLevel="0" collapsed="false">
      <c r="A16531" s="1" t="s">
        <v>1255</v>
      </c>
      <c r="B16531" s="0" t="s">
        <v>98</v>
      </c>
      <c r="C16531" s="6" t="n">
        <f aca="false">(w_ntm28*Sens!G16514+(1-w_ntm28)*Sens!H16514)*m_sw</f>
        <v>1089.61930573196</v>
      </c>
    </row>
    <row r="16532" customFormat="false" ht="17.15" hidden="false" customHeight="false" outlineLevel="0" collapsed="false">
      <c r="A16532" s="1" t="s">
        <v>1256</v>
      </c>
      <c r="B16532" s="0" t="s">
        <v>98</v>
      </c>
      <c r="C16532" s="6" t="n">
        <f aca="false">(w_ntm28*Sens!G16515+(1-w_ntm28)*Sens!H16515)*m_sw</f>
        <v>386.300716982381</v>
      </c>
    </row>
    <row r="16533" customFormat="false" ht="17.15" hidden="false" customHeight="false" outlineLevel="0" collapsed="false">
      <c r="A16533" s="1" t="s">
        <v>1257</v>
      </c>
      <c r="B16533" s="0" t="s">
        <v>98</v>
      </c>
      <c r="C16533" s="6" t="n">
        <f aca="false">(w_ntm28*Sens!G16516+(1-w_ntm28)*Sens!H16516)*m_sw</f>
        <v>117.415644121328</v>
      </c>
    </row>
    <row r="16534" customFormat="false" ht="17.15" hidden="false" customHeight="false" outlineLevel="0" collapsed="false">
      <c r="A16534" s="1" t="s">
        <v>1258</v>
      </c>
      <c r="B16534" s="0" t="s">
        <v>98</v>
      </c>
      <c r="C16534" s="6" t="n">
        <f aca="false">(w_ntm28*Sens!G16517+(1-w_ntm28)*Sens!H16517)*m_sw</f>
        <v>44.6407481134462</v>
      </c>
    </row>
    <row r="16535" customFormat="false" ht="17.15" hidden="false" customHeight="false" outlineLevel="0" collapsed="false">
      <c r="A16535" s="1" t="s">
        <v>1259</v>
      </c>
      <c r="B16535" s="0" t="s">
        <v>98</v>
      </c>
      <c r="C16535" s="6" t="n">
        <f aca="false">(w_ntm28*Sens!G16518+(1-w_ntm28)*Sens!H16518)*m_ads</f>
        <v>123.767524287473</v>
      </c>
    </row>
    <row r="16536" customFormat="false" ht="17.15" hidden="false" customHeight="false" outlineLevel="0" collapsed="false">
      <c r="A16536" s="1" t="s">
        <v>1260</v>
      </c>
      <c r="B16536" s="0" t="s">
        <v>98</v>
      </c>
      <c r="C16536" s="6" t="n">
        <f aca="false">(w_ntm28*Sens!G16523+(1-w_ntm28)*Sens!H16523)*m_game</f>
        <v>106.286615324144</v>
      </c>
    </row>
    <row r="16537" customFormat="false" ht="17.15" hidden="false" customHeight="false" outlineLevel="0" collapsed="false">
      <c r="A16537" s="1" t="s">
        <v>1261</v>
      </c>
      <c r="B16537" s="0" t="s">
        <v>98</v>
      </c>
      <c r="C16537" s="6" t="n">
        <f aca="false">(w_ntm28*Sens!G16524+(1-w_ntm28)*Sens!H16524)*m_pc</f>
        <v>98.5295413286201</v>
      </c>
    </row>
    <row r="16538" customFormat="false" ht="17.15" hidden="false" customHeight="false" outlineLevel="0" collapsed="false">
      <c r="A16538" s="1" t="s">
        <v>1262</v>
      </c>
      <c r="B16538" s="0" t="s">
        <v>98</v>
      </c>
      <c r="C16538" s="6" t="n">
        <f aca="false">Sens!$C$16528+Sens!$C$16530+Sens!$C$16531+Sens!$C$16532+Sens!$C$16533+Sens!$C$16534+Sens!$C$16535+Sens!$C$16536+Sens!$C$16537</f>
        <v>2819.38401326561</v>
      </c>
    </row>
    <row r="16539" customFormat="false" ht="17.15" hidden="false" customHeight="false" outlineLevel="0" collapsed="false">
      <c r="A16539" s="1" t="s">
        <v>1263</v>
      </c>
      <c r="B16539" s="0" t="s">
        <v>98</v>
      </c>
      <c r="C16539" s="6" t="n">
        <f aca="false">(Sens!G16500-Sens!G16525)*t_stub</f>
        <v>48.6292744236651</v>
      </c>
      <c r="L16539" s="1" t="s">
        <v>1264</v>
      </c>
    </row>
    <row r="16540" customFormat="false" ht="17.15" hidden="false" customHeight="false" outlineLevel="0" collapsed="false">
      <c r="A16540" s="1" t="s">
        <v>1173</v>
      </c>
      <c r="B16540" s="0" t="s">
        <v>98</v>
      </c>
      <c r="C16540" s="6" t="n">
        <f aca="false">Sens!F16487+oai_v-Sens!F16476+Sens!$C$16539</f>
        <v>156.075860633542</v>
      </c>
      <c r="L16540" s="1" t="s">
        <v>1265</v>
      </c>
    </row>
    <row r="16541" customFormat="false" ht="17.15" hidden="false" customHeight="false" outlineLevel="0" collapsed="false">
      <c r="A16541" s="1" t="s">
        <v>1266</v>
      </c>
      <c r="B16541" s="0" t="s">
        <v>75</v>
      </c>
      <c r="C16541" s="5" t="n">
        <f aca="false">(Sens!$C$16538+Sens!$C$16540)/(Sens!F16489+dil_gap)-Sens!G16479*roll_div_q/q_per_yr</f>
        <v>395.900184351541</v>
      </c>
      <c r="L16541" s="1" t="s">
        <v>1267</v>
      </c>
    </row>
    <row r="16542" customFormat="false" ht="17.15" hidden="false" customHeight="false" outlineLevel="0" collapsed="false">
      <c r="A16542" s="1" t="s">
        <v>1268</v>
      </c>
      <c r="B16542" s="0" t="s">
        <v>75</v>
      </c>
      <c r="C16542" s="5" t="n">
        <f aca="false">w_dcf*Sens!$C$16512+(1-w_dcf)*Sens!$C$16541</f>
        <v>335.139097611281</v>
      </c>
    </row>
    <row r="16543" customFormat="false" ht="17.15" hidden="false" customHeight="false" outlineLevel="0" collapsed="false">
      <c r="A16543" s="3" t="s">
        <v>2019</v>
      </c>
    </row>
    <row r="16544" customFormat="false" ht="15" hidden="false" customHeight="false" outlineLevel="0" collapsed="false">
      <c r="A16544" s="4" t="s">
        <v>43</v>
      </c>
      <c r="B16544" s="4" t="s">
        <v>65</v>
      </c>
      <c r="C16544" s="23" t="s">
        <v>942</v>
      </c>
      <c r="D16544" s="23" t="s">
        <v>943</v>
      </c>
      <c r="E16544" s="23" t="s">
        <v>944</v>
      </c>
      <c r="F16544" s="23" t="s">
        <v>945</v>
      </c>
      <c r="G16544" s="23" t="s">
        <v>946</v>
      </c>
      <c r="H16544" s="23" t="s">
        <v>947</v>
      </c>
      <c r="I16544" s="23" t="s">
        <v>948</v>
      </c>
      <c r="J16544" s="23" t="s">
        <v>949</v>
      </c>
      <c r="K16544" s="23" t="s">
        <v>950</v>
      </c>
      <c r="L16544" s="4" t="s">
        <v>47</v>
      </c>
    </row>
    <row r="16545" customFormat="false" ht="17.15" hidden="false" customHeight="false" outlineLevel="0" collapsed="false">
      <c r="A16545" s="1" t="s">
        <v>951</v>
      </c>
      <c r="B16545" s="1" t="s">
        <v>279</v>
      </c>
      <c r="C16545" s="21" t="n">
        <v>2024</v>
      </c>
      <c r="D16545" s="21" t="n">
        <v>2025</v>
      </c>
      <c r="E16545" s="21" t="n">
        <v>2026</v>
      </c>
      <c r="F16545" s="21" t="n">
        <v>2027</v>
      </c>
      <c r="G16545" s="21" t="n">
        <v>2028</v>
      </c>
      <c r="H16545" s="21" t="n">
        <v>2029</v>
      </c>
      <c r="I16545" s="21" t="n">
        <v>2030</v>
      </c>
      <c r="J16545" s="21" t="n">
        <v>2031</v>
      </c>
      <c r="K16545" s="21" t="n">
        <v>2032</v>
      </c>
    </row>
    <row r="16546" customFormat="false" ht="17.15" hidden="false" customHeight="false" outlineLevel="0" collapsed="false">
      <c r="A16546" s="1" t="s">
        <v>952</v>
      </c>
      <c r="B16546" s="0" t="s">
        <v>459</v>
      </c>
      <c r="F16546" s="30" t="n">
        <f aca="false">pace</f>
        <v>2726.5351</v>
      </c>
      <c r="G16546" s="30" t="n">
        <f aca="false">pace</f>
        <v>2726.5351</v>
      </c>
      <c r="H16546" s="30" t="n">
        <f aca="false">pace</f>
        <v>2726.5351</v>
      </c>
      <c r="I16546" s="30" t="n">
        <f aca="false">pace+(g_tv*Sens!H16547-pace)*MIN(1,(Sens!I16545-pace_y0)/(pace_y1-pace_y0))</f>
        <v>1931.98611966667</v>
      </c>
      <c r="J16546" s="30" t="n">
        <f aca="false">pace+(g_tv*Sens!I16547-pace)*MIN(1,(Sens!J16545-pace_y0)/(pace_y1-pace_y0))</f>
        <v>1176.07686172667</v>
      </c>
      <c r="K16546" s="30" t="n">
        <f aca="false">pace+(g_tv*Sens!J16547-pace)*MIN(1,(Sens!K16545-pace_y0)/(pace_y1-pace_y0))</f>
        <v>436.1300484418</v>
      </c>
      <c r="L16546" s="12" t="s">
        <v>953</v>
      </c>
    </row>
    <row r="16547" customFormat="false" ht="17.15" hidden="false" customHeight="false" outlineLevel="0" collapsed="false">
      <c r="A16547" s="1" t="s">
        <v>954</v>
      </c>
      <c r="B16547" s="0" t="s">
        <v>459</v>
      </c>
      <c r="C16547" s="30" t="n">
        <f aca="false">mw_ext_24</f>
        <v>640</v>
      </c>
      <c r="D16547" s="30" t="n">
        <f aca="false">mw_ext_25</f>
        <v>1630</v>
      </c>
      <c r="E16547" s="30" t="n">
        <f aca="false">mw_ext_26</f>
        <v>3250</v>
      </c>
      <c r="F16547" s="30" t="n">
        <f aca="false">Sens!E16547+Sens!F16546</f>
        <v>5976.5351</v>
      </c>
      <c r="G16547" s="30" t="n">
        <f aca="false">Sens!F16547+Sens!G16546</f>
        <v>8703.0702</v>
      </c>
      <c r="H16547" s="30" t="n">
        <f aca="false">Sens!G16547+Sens!H16546</f>
        <v>11429.6053</v>
      </c>
      <c r="I16547" s="30" t="n">
        <f aca="false">Sens!H16547+Sens!I16546</f>
        <v>13361.5914196667</v>
      </c>
      <c r="J16547" s="30" t="n">
        <f aca="false">Sens!I16547+Sens!J16546</f>
        <v>14537.6682813933</v>
      </c>
      <c r="K16547" s="30" t="n">
        <f aca="false">Sens!J16547+Sens!K16546</f>
        <v>14973.7983298351</v>
      </c>
      <c r="L16547" s="1" t="s">
        <v>955</v>
      </c>
    </row>
    <row r="16548" customFormat="false" ht="17.15" hidden="false" customHeight="false" outlineLevel="0" collapsed="false">
      <c r="A16548" s="1" t="s">
        <v>956</v>
      </c>
      <c r="B16548" s="0" t="s">
        <v>459</v>
      </c>
      <c r="C16548" s="30" t="n">
        <f aca="false">rent_ext_24</f>
        <v>150</v>
      </c>
      <c r="D16548" s="30" t="n">
        <f aca="false">rent_ext_25</f>
        <v>400</v>
      </c>
      <c r="E16548" s="30" t="n">
        <f aca="false">rent_ext_26</f>
        <v>550</v>
      </c>
      <c r="F16548" s="30" t="n">
        <f aca="false">rent_ext_f</f>
        <v>756</v>
      </c>
      <c r="G16548" s="30" t="n">
        <f aca="false">rent_ext_f</f>
        <v>756</v>
      </c>
      <c r="H16548" s="30" t="n">
        <f aca="false">rent_ext_f</f>
        <v>756</v>
      </c>
      <c r="I16548" s="30" t="n">
        <f aca="false">rent_ext_f</f>
        <v>756</v>
      </c>
      <c r="J16548" s="30" t="n">
        <f aca="false">rent_ext_f</f>
        <v>756</v>
      </c>
      <c r="K16548" s="30" t="n">
        <f aca="false">rent_ext_f</f>
        <v>756</v>
      </c>
      <c r="L16548" s="1" t="s">
        <v>957</v>
      </c>
    </row>
    <row r="16549" customFormat="false" ht="17.15" hidden="false" customHeight="false" outlineLevel="0" collapsed="false">
      <c r="A16549" s="1" t="s">
        <v>958</v>
      </c>
      <c r="B16549" s="0" t="s">
        <v>459</v>
      </c>
      <c r="C16549" s="30" t="n">
        <f aca="false">Sens!C16547-Sens!C16548</f>
        <v>490</v>
      </c>
      <c r="D16549" s="30" t="n">
        <f aca="false">Sens!D16547-Sens!D16548</f>
        <v>1230</v>
      </c>
      <c r="E16549" s="30" t="n">
        <f aca="false">Sens!E16547-Sens!E16548</f>
        <v>2700</v>
      </c>
      <c r="F16549" s="30" t="n">
        <f aca="false">Sens!F16547-Sens!F16548</f>
        <v>5220.5351</v>
      </c>
      <c r="G16549" s="30" t="n">
        <f aca="false">Sens!G16547-Sens!G16548</f>
        <v>7947.0702</v>
      </c>
      <c r="H16549" s="30" t="n">
        <f aca="false">Sens!H16547-Sens!H16548</f>
        <v>10673.6053</v>
      </c>
      <c r="I16549" s="30" t="n">
        <f aca="false">Sens!I16547-Sens!I16548</f>
        <v>12605.5914196667</v>
      </c>
      <c r="J16549" s="30" t="n">
        <f aca="false">Sens!J16547-Sens!J16548</f>
        <v>13781.6682813933</v>
      </c>
      <c r="K16549" s="30" t="n">
        <f aca="false">Sens!K16547-Sens!K16548</f>
        <v>14217.7983298351</v>
      </c>
    </row>
    <row r="16550" customFormat="false" ht="17.15" hidden="false" customHeight="false" outlineLevel="0" collapsed="false">
      <c r="A16550" s="1" t="s">
        <v>959</v>
      </c>
      <c r="B16550" s="0" t="s">
        <v>459</v>
      </c>
      <c r="C16550" s="30" t="n">
        <f aca="false">Sens!C16549/ext_sh</f>
        <v>816.666666666667</v>
      </c>
      <c r="D16550" s="30" t="n">
        <f aca="false">Sens!D16549/ext_sh</f>
        <v>2050</v>
      </c>
      <c r="E16550" s="30" t="n">
        <f aca="false">Sens!E16549/ext_sh</f>
        <v>4500</v>
      </c>
      <c r="F16550" s="30" t="n">
        <f aca="false">Sens!F16549/ext_sh</f>
        <v>8700.89183333333</v>
      </c>
      <c r="G16550" s="30" t="n">
        <f aca="false">Sens!G16549/ext_sh</f>
        <v>13245.117</v>
      </c>
      <c r="H16550" s="30" t="n">
        <f aca="false">Sens!H16549/ext_sh</f>
        <v>17789.3421666667</v>
      </c>
      <c r="I16550" s="30" t="n">
        <f aca="false">Sens!I16549/ext_sh</f>
        <v>21009.3190327778</v>
      </c>
      <c r="J16550" s="30" t="n">
        <f aca="false">Sens!J16549/ext_sh</f>
        <v>22969.4471356556</v>
      </c>
      <c r="K16550" s="30" t="n">
        <f aca="false">Sens!K16549/ext_sh</f>
        <v>23696.3305497252</v>
      </c>
      <c r="L16550" s="1" t="s">
        <v>960</v>
      </c>
    </row>
    <row r="16551" customFormat="false" ht="17.15" hidden="false" customHeight="false" outlineLevel="0" collapsed="false">
      <c r="A16551" s="1" t="s">
        <v>961</v>
      </c>
      <c r="B16551" s="0" t="s">
        <v>459</v>
      </c>
      <c r="C16551" s="30" t="n">
        <f aca="false">Sens!C16550-Sens!C16549</f>
        <v>326.666666666667</v>
      </c>
      <c r="D16551" s="30" t="n">
        <f aca="false">Sens!D16550-Sens!D16549</f>
        <v>820</v>
      </c>
      <c r="E16551" s="30" t="n">
        <f aca="false">Sens!E16550-Sens!E16549</f>
        <v>1800</v>
      </c>
      <c r="F16551" s="30" t="n">
        <f aca="false">Sens!F16550-Sens!F16549</f>
        <v>3480.35673333333</v>
      </c>
      <c r="G16551" s="30" t="n">
        <f aca="false">Sens!G16550-Sens!G16549</f>
        <v>5298.0468</v>
      </c>
      <c r="H16551" s="30" t="n">
        <f aca="false">Sens!H16550-Sens!H16549</f>
        <v>7115.73686666667</v>
      </c>
      <c r="I16551" s="30" t="n">
        <f aca="false">Sens!I16550-Sens!I16549</f>
        <v>8403.72761311111</v>
      </c>
      <c r="J16551" s="30" t="n">
        <f aca="false">Sens!J16550-Sens!J16549</f>
        <v>9187.77885426222</v>
      </c>
      <c r="K16551" s="30" t="n">
        <f aca="false">Sens!K16550-Sens!K16549</f>
        <v>9478.53221989009</v>
      </c>
    </row>
    <row r="16552" customFormat="false" ht="17.15" hidden="false" customHeight="false" outlineLevel="0" collapsed="false">
      <c r="A16552" s="1" t="s">
        <v>962</v>
      </c>
      <c r="B16552" s="0" t="s">
        <v>459</v>
      </c>
      <c r="C16552" s="30" t="n">
        <f aca="false">Sens!C16550</f>
        <v>816.666666666667</v>
      </c>
      <c r="D16552" s="30" t="n">
        <f aca="false">Sens!D16550-Sens!C16550</f>
        <v>1233.33333333333</v>
      </c>
      <c r="E16552" s="30" t="n">
        <f aca="false">Sens!E16550-Sens!D16550</f>
        <v>2450</v>
      </c>
      <c r="F16552" s="30" t="n">
        <f aca="false">Sens!F16550-Sens!E16550</f>
        <v>4200.89183333333</v>
      </c>
      <c r="G16552" s="30" t="n">
        <f aca="false">Sens!G16550-Sens!F16550</f>
        <v>4544.22516666667</v>
      </c>
      <c r="H16552" s="30" t="n">
        <f aca="false">Sens!H16550-Sens!G16550</f>
        <v>4544.22516666667</v>
      </c>
      <c r="I16552" s="30" t="n">
        <f aca="false">Sens!I16550-Sens!H16550</f>
        <v>3219.97686611111</v>
      </c>
      <c r="J16552" s="30" t="n">
        <f aca="false">Sens!J16550-Sens!I16550</f>
        <v>1960.12810287778</v>
      </c>
      <c r="K16552" s="30" t="n">
        <f aca="false">Sens!K16550-Sens!J16550</f>
        <v>726.883414069667</v>
      </c>
    </row>
    <row r="16553" customFormat="false" ht="17.15" hidden="false" customHeight="false" outlineLevel="0" collapsed="false">
      <c r="A16553" s="1" t="s">
        <v>963</v>
      </c>
      <c r="B16553" s="0" t="s">
        <v>459</v>
      </c>
      <c r="D16553" s="30" t="n">
        <f aca="false">Sens!D16547-Sens!C16547</f>
        <v>990</v>
      </c>
      <c r="E16553" s="30" t="n">
        <f aca="false">Sens!E16547-Sens!D16547</f>
        <v>1620</v>
      </c>
      <c r="F16553" s="30" t="n">
        <f aca="false">Sens!F16547-Sens!E16547</f>
        <v>2726.5351</v>
      </c>
      <c r="G16553" s="30" t="n">
        <f aca="false">Sens!G16547-Sens!F16547</f>
        <v>2726.5351</v>
      </c>
      <c r="H16553" s="30" t="n">
        <f aca="false">Sens!H16547-Sens!G16547</f>
        <v>2726.5351</v>
      </c>
      <c r="I16553" s="30" t="n">
        <f aca="false">Sens!I16547-Sens!H16547</f>
        <v>1931.98611966667</v>
      </c>
      <c r="J16553" s="30" t="n">
        <f aca="false">Sens!J16547-Sens!I16547</f>
        <v>1176.07686172667</v>
      </c>
      <c r="K16553" s="30" t="n">
        <f aca="false">Sens!K16547-Sens!J16547</f>
        <v>436.130048441799</v>
      </c>
    </row>
    <row r="16554" customFormat="false" ht="17.15" hidden="false" customHeight="false" outlineLevel="0" collapsed="false">
      <c r="A16554" s="1" t="s">
        <v>964</v>
      </c>
      <c r="B16554" s="0" t="s">
        <v>459</v>
      </c>
      <c r="F16554" s="30" t="n">
        <f aca="false">Sens!F16573*ext_sh</f>
        <v>0</v>
      </c>
      <c r="G16554" s="30" t="n">
        <f aca="false">Sens!G16573*ext_sh</f>
        <v>0</v>
      </c>
      <c r="H16554" s="30" t="n">
        <f aca="false">Sens!H16573*ext_sh</f>
        <v>0</v>
      </c>
      <c r="I16554" s="30" t="n">
        <f aca="false">Sens!I16573*ext_sh</f>
        <v>490</v>
      </c>
      <c r="J16554" s="30" t="n">
        <f aca="false">Sens!J16573*ext_sh</f>
        <v>740</v>
      </c>
      <c r="K16554" s="30" t="n">
        <f aca="false">Sens!K16573*ext_sh</f>
        <v>1470</v>
      </c>
      <c r="L16554" s="1" t="s">
        <v>965</v>
      </c>
    </row>
    <row r="16555" customFormat="false" ht="17.15" hidden="false" customHeight="false" outlineLevel="0" collapsed="false">
      <c r="A16555" s="1" t="s">
        <v>966</v>
      </c>
      <c r="B16555" s="0" t="s">
        <v>459</v>
      </c>
      <c r="C16555" s="30" t="n">
        <f aca="false">mix_h*Sens!C16547</f>
        <v>128</v>
      </c>
      <c r="D16555" s="30" t="n">
        <f aca="false">mix_h*Sens!D16547</f>
        <v>326</v>
      </c>
      <c r="E16555" s="30" t="n">
        <f aca="false">mix_h*Sens!E16547</f>
        <v>650</v>
      </c>
      <c r="F16555" s="30" t="n">
        <f aca="false">Sens!E16555-Sens!F16554*mix_h</f>
        <v>650</v>
      </c>
      <c r="G16555" s="30" t="n">
        <f aca="false">Sens!F16555-Sens!G16554*mix_h</f>
        <v>650</v>
      </c>
      <c r="H16555" s="30" t="n">
        <f aca="false">Sens!G16555-Sens!H16554*mix_h</f>
        <v>650</v>
      </c>
      <c r="I16555" s="30" t="n">
        <f aca="false">Sens!H16555-Sens!I16554*mix_h</f>
        <v>552</v>
      </c>
      <c r="J16555" s="30" t="n">
        <f aca="false">Sens!I16555-Sens!J16554*mix_h</f>
        <v>404</v>
      </c>
      <c r="K16555" s="30" t="n">
        <f aca="false">Sens!J16555-Sens!K16554*mix_h</f>
        <v>110</v>
      </c>
    </row>
    <row r="16556" customFormat="false" ht="17.15" hidden="false" customHeight="false" outlineLevel="0" collapsed="false">
      <c r="A16556" s="1" t="s">
        <v>967</v>
      </c>
      <c r="B16556" s="0" t="s">
        <v>459</v>
      </c>
      <c r="C16556" s="30" t="n">
        <f aca="false">mix_g2*Sens!C16547</f>
        <v>288</v>
      </c>
      <c r="D16556" s="30" t="n">
        <f aca="false">mix_g2*Sens!D16547</f>
        <v>733.5</v>
      </c>
      <c r="E16556" s="30" t="n">
        <f aca="false">mix_g2*Sens!E16547</f>
        <v>1462.5</v>
      </c>
      <c r="F16556" s="30" t="n">
        <f aca="false">Sens!E16556-Sens!F16554*mix_g2</f>
        <v>1462.5</v>
      </c>
      <c r="G16556" s="30" t="n">
        <f aca="false">Sens!F16556-Sens!G16554*mix_g2</f>
        <v>1462.5</v>
      </c>
      <c r="H16556" s="30" t="n">
        <f aca="false">Sens!G16556-Sens!H16554*mix_g2</f>
        <v>1462.5</v>
      </c>
      <c r="I16556" s="30" t="n">
        <f aca="false">Sens!H16556-Sens!I16554*mix_g2</f>
        <v>1242</v>
      </c>
      <c r="J16556" s="30" t="n">
        <f aca="false">Sens!I16556-Sens!J16554*mix_g2</f>
        <v>909</v>
      </c>
      <c r="K16556" s="30" t="n">
        <f aca="false">Sens!J16556-Sens!K16554*mix_g2</f>
        <v>247.5</v>
      </c>
    </row>
    <row r="16557" customFormat="false" ht="17.15" hidden="false" customHeight="false" outlineLevel="0" collapsed="false">
      <c r="A16557" s="1" t="s">
        <v>968</v>
      </c>
      <c r="B16557" s="0" t="s">
        <v>459</v>
      </c>
      <c r="C16557" s="30" t="n">
        <f aca="false">mix_g3*Sens!C16547</f>
        <v>224</v>
      </c>
      <c r="D16557" s="30" t="n">
        <f aca="false">mix_g3*Sens!D16547</f>
        <v>570.5</v>
      </c>
      <c r="E16557" s="30" t="n">
        <f aca="false">mix_g3*Sens!E16547</f>
        <v>1137.5</v>
      </c>
      <c r="F16557" s="30" t="n">
        <f aca="false">Sens!E16557+(Sens!F16553+Sens!F16554)*(a_g3_27-nonnv*a_mai)-Sens!F16554*mix_g3</f>
        <v>2773.42106</v>
      </c>
      <c r="G16557" s="30" t="n">
        <f aca="false">Sens!F16557+(Sens!G16553+Sens!G16554)*(a_g3_28-nonnv*a_mai)-Sens!G16554*mix_g3</f>
        <v>3318.72808</v>
      </c>
      <c r="H16557" s="30" t="n">
        <f aca="false">Sens!G16557+(Sens!H16553+Sens!H16554)*(a_g3_29-nonnv*a_mai)-Sens!H16554*mix_g3</f>
        <v>3318.72808</v>
      </c>
      <c r="I16557" s="30" t="n">
        <f aca="false">Sens!H16557+(Sens!I16553+Sens!I16554)*(a_g3_29-nonnv*a_mai)-Sens!I16554*mix_g3</f>
        <v>3147.22808</v>
      </c>
      <c r="J16557" s="30" t="n">
        <f aca="false">Sens!I16557+(Sens!J16553+Sens!J16554)*(a_g3_29-nonnv*a_mai)-Sens!J16554*mix_g3</f>
        <v>2888.22808</v>
      </c>
      <c r="K16557" s="30" t="n">
        <f aca="false">Sens!J16557+(Sens!K16553+Sens!K16554)*(a_g3_29-nonnv*a_mai)-Sens!K16554*mix_g3</f>
        <v>2373.72808</v>
      </c>
    </row>
    <row r="16558" customFormat="false" ht="17.15" hidden="false" customHeight="false" outlineLevel="0" collapsed="false">
      <c r="A16558" s="1" t="s">
        <v>969</v>
      </c>
      <c r="B16558" s="0" t="s">
        <v>459</v>
      </c>
      <c r="C16558" s="30" t="n">
        <v>0</v>
      </c>
      <c r="D16558" s="30" t="n">
        <v>0</v>
      </c>
      <c r="E16558" s="30" t="n">
        <v>0</v>
      </c>
      <c r="F16558" s="30" t="n">
        <f aca="false">Sens!E16558+(Sens!F16553+Sens!F16554)*nonnv*a_mai</f>
        <v>272.65351</v>
      </c>
      <c r="G16558" s="30" t="n">
        <f aca="false">Sens!F16558+(Sens!G16553+Sens!G16554)*nonnv*a_mai</f>
        <v>545.30702</v>
      </c>
      <c r="H16558" s="30" t="n">
        <f aca="false">Sens!G16558+(Sens!H16553+Sens!H16554)*nonnv*a_mai</f>
        <v>817.96053</v>
      </c>
      <c r="I16558" s="30" t="n">
        <f aca="false">Sens!H16558+(Sens!I16553+Sens!I16554)*nonnv*a_mai</f>
        <v>1060.15914196667</v>
      </c>
      <c r="J16558" s="30" t="n">
        <f aca="false">Sens!I16558+(Sens!J16553+Sens!J16554)*nonnv*a_mai</f>
        <v>1251.76682813933</v>
      </c>
      <c r="K16558" s="30" t="n">
        <f aca="false">Sens!J16558+(Sens!K16553+Sens!K16554)*nonnv*a_mai</f>
        <v>1442.37983298351</v>
      </c>
      <c r="L16558" s="12" t="s">
        <v>970</v>
      </c>
    </row>
    <row r="16559" customFormat="false" ht="17.15" hidden="false" customHeight="false" outlineLevel="0" collapsed="false">
      <c r="A16559" s="1" t="s">
        <v>971</v>
      </c>
      <c r="B16559" s="0" t="s">
        <v>459</v>
      </c>
      <c r="C16559" s="30" t="n">
        <v>0</v>
      </c>
      <c r="D16559" s="30" t="n">
        <v>0</v>
      </c>
      <c r="E16559" s="30" t="n">
        <v>0</v>
      </c>
      <c r="F16559" s="30" t="n">
        <f aca="false">Sens!E16559+(Sens!F16553+Sens!F16554)*(1-a_g3_27)</f>
        <v>817.96053</v>
      </c>
      <c r="G16559" s="30" t="n">
        <f aca="false">Sens!F16559+(Sens!G16553+Sens!G16554)*(1-a_g3_28)</f>
        <v>2726.5351</v>
      </c>
      <c r="H16559" s="30" t="n">
        <f aca="false">Sens!G16559+(Sens!H16553+Sens!H16554)*(1-a_g3_29)</f>
        <v>5180.41669</v>
      </c>
      <c r="I16559" s="30" t="n">
        <f aca="false">Sens!H16559+(Sens!I16553+Sens!I16554)*(1-a_g3_29)</f>
        <v>7360.2041977</v>
      </c>
      <c r="J16559" s="30" t="n">
        <f aca="false">Sens!I16559+(Sens!J16553+Sens!J16554)*(1-a_g3_29)</f>
        <v>9084.673373254</v>
      </c>
      <c r="K16559" s="30" t="n">
        <f aca="false">Sens!J16559+(Sens!K16553+Sens!K16554)*(1-a_g3_29)</f>
        <v>10800.1904168516</v>
      </c>
    </row>
    <row r="16560" customFormat="false" ht="17.15" hidden="false" customHeight="false" outlineLevel="0" collapsed="false">
      <c r="A16560" s="1" t="s">
        <v>972</v>
      </c>
      <c r="B16560" s="0" t="s">
        <v>403</v>
      </c>
      <c r="C16560" s="15" t="n">
        <f aca="false">(Sens!C16555*tk_hold_h100+Sens!C16556*tk_hold_gb200+Sens!C16557*tk_hold_gb300+Sens!C16559*tk_hold_vr200+Sens!C16558*nv_hold_mai*tk_hold_vr200)/Sens!C16547</f>
        <v>9.7235358126469</v>
      </c>
      <c r="D16560" s="15" t="n">
        <f aca="false">(Sens!D16555*tk_hold_h100+Sens!D16556*tk_hold_gb200+Sens!D16557*tk_hold_gb300+Sens!D16559*tk_hold_vr200+Sens!D16558*nv_hold_mai*tk_hold_vr200)/Sens!D16547</f>
        <v>9.7235358126469</v>
      </c>
      <c r="E16560" s="15" t="n">
        <f aca="false">(Sens!E16555*tk_hold_h100+Sens!E16556*tk_hold_gb200+Sens!E16557*tk_hold_gb300+Sens!E16559*tk_hold_vr200+Sens!E16558*nv_hold_mai*tk_hold_vr200)/Sens!E16547</f>
        <v>9.7235358126469</v>
      </c>
      <c r="F16560" s="15" t="n">
        <f aca="false">(Sens!F16555*tk_hold_h100+Sens!F16556*tk_hold_gb200+Sens!F16557*tk_hold_gb300+Sens!F16559*tk_hold_vr200+Sens!F16558*nv_hold_mai*tk_hold_vr200)/Sens!F16547</f>
        <v>10.2195353876665</v>
      </c>
      <c r="G16560" s="15" t="n">
        <f aca="false">(Sens!G16555*tk_hold_h100+Sens!G16556*tk_hold_gb200+Sens!G16557*tk_hold_gb300+Sens!G16559*tk_hold_vr200+Sens!G16558*nv_hold_mai*tk_hold_vr200)/Sens!G16547</f>
        <v>10.5725598017306</v>
      </c>
      <c r="H16560" s="15" t="n">
        <f aca="false">(Sens!H16555*tk_hold_h100+Sens!H16556*tk_hold_gb200+Sens!H16557*tk_hold_gb300+Sens!H16559*tk_hold_vr200+Sens!H16558*nv_hold_mai*tk_hold_vr200)/Sens!H16547</f>
        <v>10.8210427149036</v>
      </c>
      <c r="I16560" s="15" t="n">
        <f aca="false">(Sens!I16555*tk_hold_h100+Sens!I16556*tk_hold_gb200+Sens!I16557*tk_hold_gb300+Sens!I16559*tk_hold_vr200+Sens!I16558*nv_hold_mai*tk_hold_vr200)/Sens!I16547</f>
        <v>11.0050618241982</v>
      </c>
      <c r="J16560" s="15" t="n">
        <f aca="false">(Sens!J16555*tk_hold_h100+Sens!J16556*tk_hold_gb200+Sens!J16557*tk_hold_gb300+Sens!J16559*tk_hold_vr200+Sens!J16558*nv_hold_mai*tk_hold_vr200)/Sens!J16547</f>
        <v>11.1505789658881</v>
      </c>
      <c r="K16560" s="15" t="n">
        <f aca="false">(Sens!K16555*tk_hold_h100+Sens!K16556*tk_hold_gb200+Sens!K16557*tk_hold_gb300+Sens!K16559*tk_hold_vr200+Sens!K16558*nv_hold_mai*tk_hold_vr200)/Sens!K16547</f>
        <v>11.3496914757183</v>
      </c>
      <c r="L16560" s="1" t="s">
        <v>973</v>
      </c>
    </row>
    <row r="16561" customFormat="false" ht="17.15" hidden="false" customHeight="false" outlineLevel="0" collapsed="false">
      <c r="A16561" s="1" t="s">
        <v>974</v>
      </c>
      <c r="B16561" s="0" t="s">
        <v>403</v>
      </c>
      <c r="C16561" s="15" t="n">
        <f aca="false">(Sens!C16555*tk_hold_h100+Sens!C16556*tk_hold_gb200+Sens!C16557*tk_hold_gb300+Sens!C16559*tk_hold_vr200+Sens!C16558*nv_out_mai*tk_hold_vr200)/Sens!C16547</f>
        <v>9.7235358126469</v>
      </c>
      <c r="D16561" s="15" t="n">
        <f aca="false">(Sens!D16555*tk_hold_h100+Sens!D16556*tk_hold_gb200+Sens!D16557*tk_hold_gb300+Sens!D16559*tk_hold_vr200+Sens!D16558*nv_out_mai*tk_hold_vr200)/Sens!D16547</f>
        <v>9.7235358126469</v>
      </c>
      <c r="E16561" s="15" t="n">
        <f aca="false">(Sens!E16555*tk_hold_h100+Sens!E16556*tk_hold_gb200+Sens!E16557*tk_hold_gb300+Sens!E16559*tk_hold_vr200+Sens!E16558*nv_out_mai*tk_hold_vr200)/Sens!E16547</f>
        <v>9.7235358126469</v>
      </c>
      <c r="F16561" s="15" t="n">
        <f aca="false">(Sens!F16555*tk_hold_h100+Sens!F16556*tk_hold_gb200+Sens!F16557*tk_hold_gb300+Sens!F16559*tk_hold_vr200+Sens!F16558*nv_out_mai*tk_hold_vr200)/Sens!F16547</f>
        <v>10.247422093969</v>
      </c>
      <c r="G16561" s="15" t="n">
        <f aca="false">(Sens!G16555*tk_hold_h100+Sens!G16556*tk_hold_gb200+Sens!G16557*tk_hold_gb300+Sens!G16559*tk_hold_vr200+Sens!G16558*nv_out_mai*tk_hold_vr200)/Sens!G16547</f>
        <v>10.6108602808053</v>
      </c>
      <c r="H16561" s="15" t="n">
        <f aca="false">(Sens!H16555*tk_hold_h100+Sens!H16556*tk_hold_gb200+Sens!H16557*tk_hold_gb300+Sens!H16559*tk_hold_vr200+Sens!H16558*nv_out_mai*tk_hold_vr200)/Sens!H16547</f>
        <v>10.8647885507393</v>
      </c>
      <c r="I16561" s="15" t="n">
        <f aca="false">(Sens!I16555*tk_hold_h100+Sens!I16556*tk_hold_gb200+Sens!I16557*tk_hold_gb300+Sens!I16559*tk_hold_vr200+Sens!I16558*nv_out_mai*tk_hold_vr200)/Sens!I16547</f>
        <v>11.0535625770025</v>
      </c>
      <c r="J16561" s="15" t="n">
        <f aca="false">(Sens!J16555*tk_hold_h100+Sens!J16556*tk_hold_gb200+Sens!J16557*tk_hold_gb300+Sens!J16559*tk_hold_vr200+Sens!J16558*nv_out_mai*tk_hold_vr200)/Sens!J16547</f>
        <v>11.2032127128058</v>
      </c>
      <c r="K16561" s="15" t="n">
        <f aca="false">(Sens!K16555*tk_hold_h100+Sens!K16556*tk_hold_gb200+Sens!K16557*tk_hold_gb300+Sens!K16559*tk_hold_vr200+Sens!K16558*nv_out_mai*tk_hold_vr200)/Sens!K16547</f>
        <v>11.4085735724225</v>
      </c>
      <c r="L16561" s="12" t="s">
        <v>975</v>
      </c>
    </row>
    <row r="16562" customFormat="false" ht="17.15" hidden="false" customHeight="false" outlineLevel="0" collapsed="false">
      <c r="A16562" s="0" t="s">
        <v>976</v>
      </c>
      <c r="B16562" s="0" t="s">
        <v>229</v>
      </c>
      <c r="C16562" s="15" t="n">
        <f aca="false">k_B</f>
        <v>1.17213932619116</v>
      </c>
      <c r="D16562" s="15" t="n">
        <f aca="false">k_B</f>
        <v>1.17213932619116</v>
      </c>
      <c r="E16562" s="15" t="n">
        <f aca="false">k_B</f>
        <v>1.17213932619116</v>
      </c>
      <c r="F16562" s="15" t="n">
        <f aca="false">(k_B+((ls_A*k_long+(1-ls_A)*k_spot)-k_B)*MIN(1,(Sens!F16545-base_fy)/k_ramp))</f>
        <v>1.25022828131298</v>
      </c>
      <c r="G16562" s="15" t="n">
        <f aca="false">(k_B+((ls_A*k_long+(1-ls_A)*k_spot)-k_B)*MIN(1,(Sens!G16545-base_fy)/k_ramp))</f>
        <v>1.3283172364348</v>
      </c>
      <c r="H16562" s="15" t="n">
        <f aca="false">(k_B+((ls_A*k_long+(1-ls_A)*k_spot)-k_B)*MIN(1,(Sens!H16545-base_fy)/k_ramp))</f>
        <v>1.40640619155662</v>
      </c>
      <c r="I16562" s="15" t="n">
        <f aca="false">(k_B+((ls_A*k_long+(1-ls_A)*k_spot)-k_B)*MIN(1,(Sens!I16545-base_fy)/k_ramp))</f>
        <v>1.40640619155662</v>
      </c>
      <c r="J16562" s="15" t="n">
        <f aca="false">(k_B+((ls_A*k_long+(1-ls_A)*k_spot)-k_B)*MIN(1,(Sens!J16545-base_fy)/k_ramp))</f>
        <v>1.40640619155662</v>
      </c>
      <c r="K16562" s="15" t="n">
        <f aca="false">(k_B+((ls_A*k_long+(1-ls_A)*k_spot)-k_B)*MIN(1,(Sens!K16545-base_fy)/k_ramp))</f>
        <v>1.40640619155662</v>
      </c>
      <c r="L16562" s="1" t="s">
        <v>977</v>
      </c>
    </row>
    <row r="16563" customFormat="false" ht="17.15" hidden="false" customHeight="false" outlineLevel="0" collapsed="false">
      <c r="A16563" s="1" t="s">
        <v>978</v>
      </c>
      <c r="B16563" s="0" t="s">
        <v>403</v>
      </c>
      <c r="C16563" s="15" t="n">
        <f aca="false">Sens!C16561*Sens!C16562*chip_f</f>
        <v>11.3973387156315</v>
      </c>
      <c r="D16563" s="15" t="n">
        <f aca="false">Sens!D16561*Sens!D16562*chip_f</f>
        <v>11.3973387156315</v>
      </c>
      <c r="E16563" s="15" t="n">
        <f aca="false">Sens!E16561*Sens!E16562*chip_f</f>
        <v>11.3973387156315</v>
      </c>
      <c r="F16563" s="15" t="n">
        <f aca="false">Sens!F16561*Sens!F16562*chip_f</f>
        <v>12.8116169124314</v>
      </c>
      <c r="G16563" s="15" t="n">
        <f aca="false">Sens!G16561*Sens!G16562*chip_f</f>
        <v>14.094588604395</v>
      </c>
      <c r="H16563" s="15" t="n">
        <f aca="false">Sens!H16561*Sens!H16562*chip_f</f>
        <v>15.2803058877132</v>
      </c>
      <c r="I16563" s="15" t="n">
        <f aca="false">Sens!I16561*Sens!I16562*chip_f</f>
        <v>15.5457988470549</v>
      </c>
      <c r="J16563" s="15" t="n">
        <f aca="false">Sens!J16561*Sens!J16562*chip_f</f>
        <v>15.7562677246158</v>
      </c>
      <c r="K16563" s="15" t="n">
        <f aca="false">Sens!K16561*Sens!K16562*chip_f</f>
        <v>16.0450885090842</v>
      </c>
      <c r="L16563" s="1" t="s">
        <v>979</v>
      </c>
    </row>
    <row r="16564" customFormat="false" ht="17.15" hidden="false" customHeight="false" outlineLevel="0" collapsed="false">
      <c r="A16564" s="0" t="s">
        <v>980</v>
      </c>
      <c r="B16564" s="0" t="s">
        <v>98</v>
      </c>
      <c r="D16564" s="6" t="n">
        <f aca="false">(Sens!C16547+Sens!D16547)/2*Sens!D16563/1000</f>
        <v>12.9359794422418</v>
      </c>
      <c r="E16564" s="6" t="n">
        <f aca="false">(Sens!D16547+Sens!E16547)/2*Sens!E16563/1000</f>
        <v>27.8095064661409</v>
      </c>
      <c r="F16564" s="6" t="n">
        <f aca="false">(Sens!E16547+Sens!F16547)/2*Sens!F16563/1000</f>
        <v>59.1034165651511</v>
      </c>
      <c r="G16564" s="6" t="n">
        <f aca="false">(Sens!F16547+Sens!G16547)/2*Sens!G16563/1000</f>
        <v>103.451498789198</v>
      </c>
      <c r="H16564" s="6" t="n">
        <f aca="false">(Sens!G16547+Sens!H16547)/2*Sens!H16563/1000</f>
        <v>153.816719989035</v>
      </c>
      <c r="I16564" s="6" t="n">
        <f aca="false">(Sens!H16547+Sens!I16547)/2*Sens!I16563/1000</f>
        <v>192.699478690852</v>
      </c>
      <c r="J16564" s="6" t="n">
        <f aca="false">(Sens!I16547+Sens!J16547)/2*Sens!J16563/1000</f>
        <v>219.794102584244</v>
      </c>
      <c r="K16564" s="6" t="n">
        <f aca="false">(Sens!J16547+Sens!K16547)/2*Sens!K16563/1000</f>
        <v>236.757046905022</v>
      </c>
      <c r="L16564" s="12" t="s">
        <v>981</v>
      </c>
    </row>
    <row r="16565" customFormat="false" ht="17.15" hidden="false" customHeight="false" outlineLevel="0" collapsed="false">
      <c r="A16565" s="1" t="s">
        <v>982</v>
      </c>
      <c r="B16565" s="0" t="s">
        <v>403</v>
      </c>
      <c r="C16565" s="15" t="n">
        <f aca="false">(Sens!C16555*tk_opex_h100+Sens!C16556*tk_opex_gb200+Sens!C16557*tk_opex_gb300+(Sens!C16559+Sens!C16558)*tk_opex_vr200)/Sens!C16547</f>
        <v>1.88636041306092</v>
      </c>
      <c r="D16565" s="15" t="n">
        <f aca="false">(Sens!D16555*tk_opex_h100+Sens!D16556*tk_opex_gb200+Sens!D16557*tk_opex_gb300+(Sens!D16559+Sens!D16558)*tk_opex_vr200)/Sens!D16547</f>
        <v>1.88636041306092</v>
      </c>
      <c r="E16565" s="15" t="n">
        <f aca="false">(Sens!E16555*tk_opex_h100+Sens!E16556*tk_opex_gb200+Sens!E16557*tk_opex_gb300+(Sens!E16559+Sens!E16558)*tk_opex_vr200)/Sens!E16547</f>
        <v>1.88636041306092</v>
      </c>
      <c r="F16565" s="15" t="n">
        <f aca="false">(Sens!F16555*tk_opex_h100+Sens!F16556*tk_opex_gb200+Sens!F16557*tk_opex_gb300+(Sens!F16559+Sens!F16558)*tk_opex_vr200)/Sens!F16547</f>
        <v>1.95051159746876</v>
      </c>
      <c r="G16565" s="15" t="n">
        <f aca="false">(Sens!G16555*tk_opex_h100+Sens!G16556*tk_opex_gb200+Sens!G16557*tk_opex_gb300+(Sens!G16559+Sens!G16558)*tk_opex_vr200)/Sens!G16547</f>
        <v>1.98836003669956</v>
      </c>
      <c r="H16565" s="15" t="n">
        <f aca="false">(Sens!H16555*tk_opex_h100+Sens!H16556*tk_opex_gb200+Sens!H16557*tk_opex_gb300+(Sens!H16559+Sens!H16558)*tk_opex_vr200)/Sens!H16547</f>
        <v>2.01344013834343</v>
      </c>
      <c r="I16565" s="15" t="n">
        <f aca="false">(Sens!I16555*tk_opex_h100+Sens!I16556*tk_opex_gb200+Sens!I16557*tk_opex_gb300+(Sens!I16559+Sens!I16558)*tk_opex_vr200)/Sens!I16547</f>
        <v>2.03261166882178</v>
      </c>
      <c r="J16565" s="15" t="n">
        <f aca="false">(Sens!J16555*tk_opex_h100+Sens!J16556*tk_opex_gb200+Sens!J16557*tk_opex_gb300+(Sens!J16559+Sens!J16558)*tk_opex_vr200)/Sens!J16547</f>
        <v>2.04808073288745</v>
      </c>
      <c r="K16565" s="15" t="n">
        <f aca="false">(Sens!K16555*tk_opex_h100+Sens!K16556*tk_opex_gb200+Sens!K16557*tk_opex_gb300+(Sens!K16559+Sens!K16558)*tk_opex_vr200)/Sens!K16547</f>
        <v>2.06973825807449</v>
      </c>
      <c r="L16565" s="12" t="s">
        <v>983</v>
      </c>
    </row>
    <row r="16566" customFormat="false" ht="17.15" hidden="false" customHeight="false" outlineLevel="0" collapsed="false">
      <c r="A16566" s="0" t="s">
        <v>984</v>
      </c>
      <c r="B16566" s="0" t="s">
        <v>98</v>
      </c>
      <c r="D16566" s="6" t="n">
        <f aca="false">(Sens!C16550+Sens!D16550)/2*Sens!D16565/1000</f>
        <v>2.70378325872065</v>
      </c>
      <c r="E16566" s="6" t="n">
        <f aca="false">(Sens!D16550+Sens!E16550)/2*Sens!E16565/1000</f>
        <v>6.17783035277451</v>
      </c>
      <c r="F16566" s="6" t="n">
        <f aca="false">(Sens!E16550+Sens!F16550)/2*Sens!F16565/1000</f>
        <v>12.8742463089237</v>
      </c>
      <c r="G16566" s="6" t="n">
        <f aca="false">(Sens!F16550+Sens!G16550)/2*Sens!G16565/1000</f>
        <v>21.8182834646277</v>
      </c>
      <c r="H16566" s="6" t="n">
        <f aca="false">(Sens!G16550+Sens!H16550)/2*Sens!H16565/1000</f>
        <v>31.2430128789734</v>
      </c>
      <c r="I16566" s="6" t="n">
        <f aca="false">(Sens!H16550+Sens!I16550)/2*Sens!I16565/1000</f>
        <v>39.4313057443268</v>
      </c>
      <c r="J16566" s="6" t="n">
        <f aca="false">(Sens!I16550+Sens!J16550)/2*Sens!J16565/1000</f>
        <v>45.0360318228653</v>
      </c>
      <c r="K16566" s="6" t="n">
        <f aca="false">(Sens!J16550+Sens!K16550)/2*Sens!K16565/1000</f>
        <v>48.2929727091156</v>
      </c>
    </row>
    <row r="16567" customFormat="false" ht="17.15" hidden="false" customHeight="false" outlineLevel="0" collapsed="false">
      <c r="A16567" s="0" t="s">
        <v>985</v>
      </c>
      <c r="B16567" s="0" t="s">
        <v>98</v>
      </c>
      <c r="D16567" s="6" t="n">
        <f aca="false">(Sens!C16548+Sens!D16548)/2*rent_mw/1000</f>
        <v>2.44475</v>
      </c>
      <c r="E16567" s="6" t="n">
        <f aca="false">(Sens!D16548+Sens!E16548)/2*rent_mw/1000</f>
        <v>4.22275</v>
      </c>
      <c r="F16567" s="6" t="n">
        <f aca="false">(Sens!E16548+Sens!F16548)/2*rent_mw/1000</f>
        <v>5.80517</v>
      </c>
      <c r="G16567" s="6" t="n">
        <f aca="false">(Sens!F16548+Sens!G16548)/2*rent_mw/1000</f>
        <v>6.72084</v>
      </c>
      <c r="H16567" s="6" t="n">
        <f aca="false">(Sens!G16548+Sens!H16548)/2*rent_mw/1000</f>
        <v>6.72084</v>
      </c>
      <c r="I16567" s="6" t="n">
        <f aca="false">(Sens!H16548+Sens!I16548)/2*rent_mw/1000</f>
        <v>6.72084</v>
      </c>
      <c r="J16567" s="6" t="n">
        <f aca="false">(Sens!I16548+Sens!J16548)/2*rent_mw/1000</f>
        <v>6.72084</v>
      </c>
      <c r="K16567" s="6" t="n">
        <f aca="false">(Sens!J16548+Sens!K16548)/2*rent_mw/1000</f>
        <v>6.72084</v>
      </c>
    </row>
    <row r="16568" customFormat="false" ht="17.15" hidden="false" customHeight="false" outlineLevel="0" collapsed="false">
      <c r="A16568" s="0" t="s">
        <v>986</v>
      </c>
      <c r="B16568" s="0" t="s">
        <v>98</v>
      </c>
      <c r="D16568" s="6" t="n">
        <f aca="false">(Sens!C16550+Sens!D16550)/2*(1-self_build)*fac_rent/1000</f>
        <v>0.853242375631075</v>
      </c>
      <c r="E16568" s="6" t="n">
        <f aca="false">(Sens!D16550+Sens!E16550)/2*(1-self_build)*fac_rent/1000</f>
        <v>1.94955961408728</v>
      </c>
      <c r="F16568" s="6" t="n">
        <f aca="false">(Sens!E16550+Sens!F16550)/2*(1-self_build)*fac_rent/1000</f>
        <v>3.92914894476356</v>
      </c>
      <c r="G16568" s="6" t="n">
        <f aca="false">(Sens!F16550+Sens!G16550)/2*(1-self_build)*fac_rent/1000</f>
        <v>6.53206908578159</v>
      </c>
      <c r="H16568" s="6" t="n">
        <f aca="false">(Sens!G16550+Sens!H16550)/2*(1-self_build)*fac_rent/1000</f>
        <v>9.23717988341591</v>
      </c>
      <c r="I16568" s="6" t="n">
        <f aca="false">(Sens!H16550+Sens!I16550)/2*(1-self_build)*fac_rent/1000</f>
        <v>11.5481378557393</v>
      </c>
      <c r="J16568" s="6" t="n">
        <f aca="false">(Sens!I16550+Sens!J16550)/2*(1-self_build)*fac_rent/1000</f>
        <v>13.0899582289108</v>
      </c>
      <c r="K16568" s="6" t="n">
        <f aca="false">(Sens!J16550+Sens!K16550)/2*(1-self_build)*fac_rent/1000</f>
        <v>13.8897275626556</v>
      </c>
      <c r="L16568" s="12" t="s">
        <v>987</v>
      </c>
    </row>
    <row r="16569" customFormat="false" ht="17.15" hidden="false" customHeight="false" outlineLevel="0" collapsed="false">
      <c r="A16569" s="1" t="s">
        <v>988</v>
      </c>
      <c r="B16569" s="0" t="s">
        <v>168</v>
      </c>
      <c r="D16569" s="7" t="n">
        <f aca="false">(Sens!C16549+Sens!D16549)/(Sens!C16550+Sens!D16550)</f>
        <v>0.6</v>
      </c>
      <c r="E16569" s="7" t="n">
        <f aca="false">(Sens!D16549+Sens!E16549)/(Sens!D16550+Sens!E16550)</f>
        <v>0.6</v>
      </c>
      <c r="F16569" s="7" t="n">
        <f aca="false">(Sens!E16549+Sens!F16549)/(Sens!E16550+Sens!F16550)</f>
        <v>0.6</v>
      </c>
      <c r="G16569" s="7" t="n">
        <f aca="false">(Sens!F16549+Sens!G16549)/(Sens!F16550+Sens!G16550)</f>
        <v>0.6</v>
      </c>
      <c r="H16569" s="7" t="n">
        <f aca="false">(Sens!G16549+Sens!H16549)/(Sens!G16550+Sens!H16550)</f>
        <v>0.6</v>
      </c>
      <c r="I16569" s="7" t="n">
        <f aca="false">(Sens!H16549+Sens!I16549)/(Sens!H16550+Sens!I16550)</f>
        <v>0.6</v>
      </c>
      <c r="J16569" s="7" t="n">
        <f aca="false">(Sens!I16549+Sens!J16549)/(Sens!I16550+Sens!J16550)</f>
        <v>0.6</v>
      </c>
      <c r="K16569" s="7" t="n">
        <f aca="false">(Sens!J16549+Sens!K16549)/(Sens!J16550+Sens!K16550)</f>
        <v>0.6</v>
      </c>
    </row>
    <row r="16570" customFormat="false" ht="17.15" hidden="false" customHeight="false" outlineLevel="0" collapsed="false">
      <c r="A16570" s="0" t="s">
        <v>989</v>
      </c>
      <c r="B16570" s="0" t="s">
        <v>98</v>
      </c>
      <c r="D16570" s="6" t="n">
        <f aca="false">Sens!D16564-Sens!D16569*(Sens!D16566+Sens!D16568)-Sens!D16567</f>
        <v>8.35701406163072</v>
      </c>
      <c r="E16570" s="6" t="n">
        <f aca="false">Sens!E16564-Sens!E16569*(Sens!E16566+Sens!E16568)-Sens!E16567</f>
        <v>18.7103224860238</v>
      </c>
      <c r="F16570" s="6" t="n">
        <f aca="false">Sens!F16564-Sens!F16569*(Sens!F16566+Sens!F16568)-Sens!F16567</f>
        <v>43.2162094129388</v>
      </c>
      <c r="G16570" s="6" t="n">
        <f aca="false">Sens!G16564-Sens!G16569*(Sens!G16566+Sens!G16568)-Sens!G16567</f>
        <v>79.7204472589529</v>
      </c>
      <c r="H16570" s="6" t="n">
        <f aca="false">Sens!H16564-Sens!H16569*(Sens!H16566+Sens!H16568)-Sens!H16567</f>
        <v>122.807764331602</v>
      </c>
      <c r="I16570" s="6" t="n">
        <f aca="false">Sens!I16564-Sens!I16569*(Sens!I16566+Sens!I16568)-Sens!I16567</f>
        <v>155.390972530813</v>
      </c>
      <c r="J16570" s="6" t="n">
        <f aca="false">Sens!J16564-Sens!J16569*(Sens!J16566+Sens!J16568)-Sens!J16567</f>
        <v>178.197668553178</v>
      </c>
      <c r="K16570" s="6" t="n">
        <f aca="false">Sens!K16564-Sens!K16569*(Sens!K16566+Sens!K16568)-Sens!K16567</f>
        <v>192.726586741959</v>
      </c>
    </row>
    <row r="16571" customFormat="false" ht="17.15" hidden="false" customHeight="false" outlineLevel="0" collapsed="false">
      <c r="A16571" s="1" t="s">
        <v>990</v>
      </c>
      <c r="B16571" s="0" t="s">
        <v>98</v>
      </c>
      <c r="D16571" s="6" t="n">
        <f aca="false">(1-Sens!D16569)*(Sens!D16566+Sens!D16568)</f>
        <v>1.42281025374069</v>
      </c>
      <c r="E16571" s="6" t="n">
        <f aca="false">(1-Sens!E16569)*(Sens!E16566+Sens!E16568)</f>
        <v>3.25095598674472</v>
      </c>
      <c r="F16571" s="6" t="n">
        <f aca="false">(1-Sens!F16569)*(Sens!F16566+Sens!F16568)</f>
        <v>6.72135810147489</v>
      </c>
      <c r="G16571" s="6" t="n">
        <f aca="false">(1-Sens!G16569)*(Sens!G16566+Sens!G16568)</f>
        <v>11.3401410201637</v>
      </c>
      <c r="H16571" s="6" t="n">
        <f aca="false">(1-Sens!H16569)*(Sens!H16566+Sens!H16568)</f>
        <v>16.1920771049557</v>
      </c>
      <c r="I16571" s="6" t="n">
        <f aca="false">(1-Sens!I16569)*(Sens!I16566+Sens!I16568)</f>
        <v>20.3917774400264</v>
      </c>
      <c r="J16571" s="6" t="n">
        <f aca="false">(1-Sens!J16569)*(Sens!J16566+Sens!J16568)</f>
        <v>23.2503960207104</v>
      </c>
      <c r="K16571" s="6" t="n">
        <f aca="false">(1-Sens!K16569)*(Sens!K16566+Sens!K16568)</f>
        <v>24.8730801087085</v>
      </c>
    </row>
    <row r="16572" customFormat="false" ht="17.15" hidden="false" customHeight="false" outlineLevel="0" collapsed="false">
      <c r="A16572" s="1" t="s">
        <v>991</v>
      </c>
      <c r="B16572" s="0" t="s">
        <v>417</v>
      </c>
      <c r="C16572" s="8" t="n">
        <f aca="false">cxit_open</f>
        <v>27.5918995</v>
      </c>
      <c r="D16572" s="8" t="n">
        <f aca="false">cxit_open</f>
        <v>27.5918995</v>
      </c>
      <c r="E16572" s="8" t="n">
        <f aca="false">cxit_open</f>
        <v>27.5918995</v>
      </c>
      <c r="F16572" s="8" t="n">
        <f aca="false">((a_g3_27-nonnv*a_mai)*tk_cxit_gb300+nonnv*a_mai*nv_hold_mai*tk_cxit_vr200+(1-a_g3_27)*tk_cxit_vr200)</f>
        <v>32.4975576</v>
      </c>
      <c r="G16572" s="8" t="n">
        <f aca="false">((a_g3_28-nonnv*a_mai)*tk_cxit_gb300+nonnv*a_mai*nv_hold_mai*tk_cxit_vr200+(1-a_g3_28)*tk_cxit_vr200)</f>
        <v>34.6372088</v>
      </c>
      <c r="H16572" s="8" t="n">
        <f aca="false">((a_g3_29-nonnv*a_mai)*tk_cxit_gb300+nonnv*a_mai*nv_hold_mai*tk_cxit_vr200+(1-a_g3_29)*tk_cxit_vr200)</f>
        <v>35.7070344</v>
      </c>
      <c r="I16572" s="8" t="n">
        <f aca="false">((a_g3_29-nonnv*a_mai)*tk_cxit_gb300+nonnv*a_mai*nv_hold_mai*tk_cxit_vr200+(1-a_g3_29)*tk_cxit_vr200)</f>
        <v>35.7070344</v>
      </c>
      <c r="J16572" s="8" t="n">
        <f aca="false">((a_g3_29-nonnv*a_mai)*tk_cxit_gb300+nonnv*a_mai*nv_hold_mai*tk_cxit_vr200+(1-a_g3_29)*tk_cxit_vr200)</f>
        <v>35.7070344</v>
      </c>
      <c r="K16572" s="8" t="n">
        <f aca="false">((a_g3_29-nonnv*a_mai)*tk_cxit_gb300+nonnv*a_mai*nv_hold_mai*tk_cxit_vr200+(1-a_g3_29)*tk_cxit_vr200)</f>
        <v>35.7070344</v>
      </c>
      <c r="L16572" s="12" t="s">
        <v>992</v>
      </c>
    </row>
    <row r="16573" customFormat="false" ht="17.15" hidden="false" customHeight="false" outlineLevel="0" collapsed="false">
      <c r="A16573" s="0" t="s">
        <v>993</v>
      </c>
      <c r="B16573" s="0" t="s">
        <v>459</v>
      </c>
      <c r="F16573" s="30" t="n">
        <f aca="false">Sens!C16552*IF(Sens!F16545-Sens!C16545=life_it,1,0)+Sens!D16552*IF(Sens!F16545-Sens!D16545=life_it,1,0)+Sens!E16552*IF(Sens!F16545-Sens!E16545=life_it,1,0)</f>
        <v>0</v>
      </c>
      <c r="G16573" s="30" t="n">
        <f aca="false">Sens!C16552*IF(Sens!G16545-Sens!C16545=life_it,1,0)+Sens!D16552*IF(Sens!G16545-Sens!D16545=life_it,1,0)+Sens!E16552*IF(Sens!G16545-Sens!E16545=life_it,1,0)+Sens!F16552*IF(Sens!G16545-Sens!F16545=life_it,1,0)</f>
        <v>0</v>
      </c>
      <c r="H16573" s="30" t="n">
        <f aca="false">Sens!C16552*IF(Sens!H16545-Sens!C16545=life_it,1,0)+Sens!D16552*IF(Sens!H16545-Sens!D16545=life_it,1,0)+Sens!E16552*IF(Sens!H16545-Sens!E16545=life_it,1,0)+Sens!F16552*IF(Sens!H16545-Sens!F16545=life_it,1,0)+Sens!G16552*IF(Sens!H16545-Sens!G16545=life_it,1,0)</f>
        <v>0</v>
      </c>
      <c r="I16573" s="30" t="n">
        <f aca="false">Sens!C16552*IF(Sens!I16545-Sens!C16545=life_it,1,0)+Sens!D16552*IF(Sens!I16545-Sens!D16545=life_it,1,0)+Sens!E16552*IF(Sens!I16545-Sens!E16545=life_it,1,0)+Sens!F16552*IF(Sens!I16545-Sens!F16545=life_it,1,0)+Sens!G16552*IF(Sens!I16545-Sens!G16545=life_it,1,0)+Sens!H16552*IF(Sens!I16545-Sens!H16545=life_it,1,0)</f>
        <v>816.666666666667</v>
      </c>
      <c r="J16573" s="30" t="n">
        <f aca="false">Sens!C16552*IF(Sens!J16545-Sens!C16545=life_it,1,0)+Sens!D16552*IF(Sens!J16545-Sens!D16545=life_it,1,0)+Sens!E16552*IF(Sens!J16545-Sens!E16545=life_it,1,0)+Sens!F16552*IF(Sens!J16545-Sens!F16545=life_it,1,0)+Sens!G16552*IF(Sens!J16545-Sens!G16545=life_it,1,0)+Sens!H16552*IF(Sens!J16545-Sens!H16545=life_it,1,0)+Sens!I16552*IF(Sens!J16545-Sens!I16545=life_it,1,0)</f>
        <v>1233.33333333333</v>
      </c>
      <c r="K16573" s="30" t="n">
        <f aca="false">Sens!C16552*IF(Sens!K16545-Sens!C16545=life_it,1,0)+Sens!D16552*IF(Sens!K16545-Sens!D16545=life_it,1,0)+Sens!E16552*IF(Sens!K16545-Sens!E16545=life_it,1,0)+Sens!F16552*IF(Sens!K16545-Sens!F16545=life_it,1,0)+Sens!G16552*IF(Sens!K16545-Sens!G16545=life_it,1,0)+Sens!H16552*IF(Sens!K16545-Sens!H16545=life_it,1,0)+Sens!I16552*IF(Sens!K16545-Sens!I16545=life_it,1,0)+Sens!J16552*IF(Sens!K16545-Sens!J16545=life_it,1,0)</f>
        <v>2450</v>
      </c>
      <c r="L16573" s="1" t="s">
        <v>994</v>
      </c>
    </row>
    <row r="16574" customFormat="false" ht="17.15" hidden="false" customHeight="false" outlineLevel="0" collapsed="false">
      <c r="A16574" s="0" t="s">
        <v>995</v>
      </c>
      <c r="B16574" s="0" t="s">
        <v>98</v>
      </c>
      <c r="C16574" s="6" t="n">
        <f aca="false">Sens!C16552*Sens!C16572/1000</f>
        <v>22.5333845916667</v>
      </c>
      <c r="D16574" s="6" t="n">
        <f aca="false">Sens!D16552*Sens!D16572/1000</f>
        <v>34.0300093833333</v>
      </c>
      <c r="E16574" s="6" t="n">
        <f aca="false">Sens!E16552*Sens!E16572/1000</f>
        <v>67.600153775</v>
      </c>
      <c r="F16574" s="6" t="n">
        <f aca="false">(Sens!F16552+Sens!F16573)*Sens!F16572/1000</f>
        <v>136.51872432512</v>
      </c>
      <c r="G16574" s="6" t="n">
        <f aca="false">(Sens!G16552+Sens!G16573)*Sens!G16572/1000</f>
        <v>157.399275932048</v>
      </c>
      <c r="H16574" s="6" t="n">
        <f aca="false">(Sens!H16552+Sens!H16573)*Sens!H16572/1000</f>
        <v>162.260804347512</v>
      </c>
      <c r="I16574" s="6" t="n">
        <f aca="false">(Sens!I16552+Sens!I16573)*Sens!I16572/1000</f>
        <v>144.136569485434</v>
      </c>
      <c r="J16574" s="6" t="n">
        <f aca="false">(Sens!J16552+Sens!J16573)*Sens!J16572/1000</f>
        <v>114.029037357864</v>
      </c>
      <c r="K16574" s="6" t="n">
        <f aca="false">(Sens!K16552+Sens!K16573)*Sens!K16572/1000</f>
        <v>113.437085350975</v>
      </c>
    </row>
    <row r="16575" customFormat="false" ht="17.15" hidden="false" customHeight="false" outlineLevel="0" collapsed="false">
      <c r="A16575" s="0" t="s">
        <v>996</v>
      </c>
      <c r="B16575" s="0" t="s">
        <v>98</v>
      </c>
      <c r="C16575" s="6" t="n">
        <f aca="false">Sens!C16552*self_build*tk_cxfac/1000</f>
        <v>6.2083</v>
      </c>
      <c r="D16575" s="6" t="n">
        <f aca="false">Sens!D16552*self_build*tk_cxfac/1000</f>
        <v>9.3758</v>
      </c>
      <c r="E16575" s="6" t="n">
        <f aca="false">Sens!E16552*self_build*tk_cxfac/1000</f>
        <v>18.6249</v>
      </c>
      <c r="F16575" s="6" t="n">
        <f aca="false">Sens!F16552*self_build*tk_cxfac/1000</f>
        <v>31.935179717</v>
      </c>
      <c r="G16575" s="6" t="n">
        <f aca="false">Sens!G16552*self_build*tk_cxfac/1000</f>
        <v>34.545199717</v>
      </c>
      <c r="H16575" s="6" t="n">
        <f aca="false">Sens!H16552*self_build*tk_cxfac/1000</f>
        <v>34.545199717</v>
      </c>
      <c r="I16575" s="6" t="n">
        <f aca="false">Sens!I16552*self_build*tk_cxfac/1000</f>
        <v>24.4782641361767</v>
      </c>
      <c r="J16575" s="6" t="n">
        <f aca="false">Sens!J16552*self_build*tk_cxfac/1000</f>
        <v>14.9008938380769</v>
      </c>
      <c r="K16575" s="6" t="n">
        <f aca="false">Sens!K16552*self_build*tk_cxfac/1000</f>
        <v>5.52576771375761</v>
      </c>
    </row>
    <row r="16576" customFormat="false" ht="17.15" hidden="false" customHeight="false" outlineLevel="0" collapsed="false">
      <c r="A16576" s="0" t="s">
        <v>997</v>
      </c>
      <c r="B16576" s="0" t="s">
        <v>98</v>
      </c>
      <c r="F16576" s="15" t="n">
        <f aca="false">capex_floor27-Sens!F16574-Sens!F16575-Sens!F16672</f>
        <v>0.0475774452575593</v>
      </c>
      <c r="L16576" s="12" t="s">
        <v>998</v>
      </c>
    </row>
    <row r="16577" customFormat="false" ht="17.15" hidden="false" customHeight="false" outlineLevel="0" collapsed="false">
      <c r="A16577" s="0" t="s">
        <v>999</v>
      </c>
      <c r="B16577" s="0" t="s">
        <v>98</v>
      </c>
      <c r="F16577" s="6" t="n">
        <f aca="false">MAX(0,Sens!F16576)</f>
        <v>0.0475774452575593</v>
      </c>
    </row>
    <row r="16578" customFormat="false" ht="17.15" hidden="false" customHeight="false" outlineLevel="0" collapsed="false">
      <c r="A16578" s="0" t="s">
        <v>1000</v>
      </c>
      <c r="B16578" s="0" t="s">
        <v>98</v>
      </c>
      <c r="C16578" s="6" t="n">
        <f aca="false">Sens!C16574</f>
        <v>22.5333845916667</v>
      </c>
      <c r="D16578" s="6" t="n">
        <f aca="false">Sens!D16574</f>
        <v>34.0300093833333</v>
      </c>
      <c r="E16578" s="6" t="n">
        <f aca="false">Sens!E16574</f>
        <v>67.600153775</v>
      </c>
      <c r="F16578" s="6" t="n">
        <f aca="false">Sens!F16574</f>
        <v>136.51872432512</v>
      </c>
      <c r="G16578" s="6" t="n">
        <f aca="false">Sens!G16574</f>
        <v>157.399275932048</v>
      </c>
      <c r="H16578" s="6" t="n">
        <f aca="false">Sens!H16574</f>
        <v>162.260804347512</v>
      </c>
      <c r="I16578" s="6" t="n">
        <f aca="false">Sens!I16574</f>
        <v>144.136569485434</v>
      </c>
      <c r="J16578" s="6" t="n">
        <f aca="false">Sens!J16574</f>
        <v>114.029037357864</v>
      </c>
      <c r="K16578" s="6" t="n">
        <f aca="false">Sens!K16574</f>
        <v>113.437085350975</v>
      </c>
    </row>
    <row r="16579" customFormat="false" ht="17.15" hidden="false" customHeight="false" outlineLevel="0" collapsed="false">
      <c r="A16579" s="0" t="s">
        <v>1001</v>
      </c>
      <c r="B16579" s="0" t="s">
        <v>98</v>
      </c>
      <c r="C16579" s="6" t="n">
        <f aca="false">Sens!C16578+Sens!C16575</f>
        <v>28.7416845916667</v>
      </c>
      <c r="D16579" s="6" t="n">
        <f aca="false">Sens!D16578+Sens!D16575</f>
        <v>43.4058093833333</v>
      </c>
      <c r="E16579" s="6" t="n">
        <f aca="false">Sens!E16578+Sens!E16575</f>
        <v>86.225053775</v>
      </c>
      <c r="F16579" s="6" t="n">
        <f aca="false">Sens!F16578+Sens!F16575</f>
        <v>168.45390404212</v>
      </c>
      <c r="G16579" s="6" t="n">
        <f aca="false">Sens!G16578+Sens!G16575</f>
        <v>191.944475649048</v>
      </c>
      <c r="H16579" s="6" t="n">
        <f aca="false">Sens!H16578+Sens!H16575</f>
        <v>196.806004064512</v>
      </c>
      <c r="I16579" s="6" t="n">
        <f aca="false">Sens!I16578+Sens!I16575</f>
        <v>168.61483362161</v>
      </c>
      <c r="J16579" s="6" t="n">
        <f aca="false">Sens!J16578+Sens!J16575</f>
        <v>128.92993119594</v>
      </c>
      <c r="K16579" s="6" t="n">
        <f aca="false">Sens!K16578+Sens!K16575</f>
        <v>118.962853064733</v>
      </c>
      <c r="L16579" s="12" t="s">
        <v>1002</v>
      </c>
    </row>
    <row r="16580" customFormat="false" ht="17.15" hidden="false" customHeight="false" outlineLevel="0" collapsed="false">
      <c r="A16580" s="0" t="s">
        <v>1003</v>
      </c>
      <c r="B16580" s="0" t="s">
        <v>98</v>
      </c>
      <c r="E16580" s="6" t="n">
        <f aca="false">(Sens!C16578*IF(2&lt;life_it,1,IF(2=life_it,0.5,0))+Sens!D16578*IF(1&lt;life_it,1,IF(1=life_it,0.5,0))+Sens!E16578*0.5)/life_it</f>
        <v>15.0605784770833</v>
      </c>
      <c r="F16580" s="6" t="n">
        <f aca="false">(Sens!C16578*IF(3&lt;life_it,1,IF(3=life_it,0.5,0))+Sens!D16578*IF(2&lt;life_it,1,IF(2=life_it,0.5,0))+Sens!E16578*IF(1&lt;life_it,1,IF(1=life_it,0.5,0))+Sens!F16578*0.5)/life_it</f>
        <v>32.0704849854266</v>
      </c>
      <c r="G16580" s="6" t="n">
        <f aca="false">(Sens!C16578*IF(4&lt;life_it,1,IF(4=life_it,0.5,0))+Sens!D16578*IF(3&lt;life_it,1,IF(3=life_it,0.5,0))+Sens!E16578*IF(2&lt;life_it,1,IF(2=life_it,0.5,0))+Sens!F16578*IF(1&lt;life_it,1,IF(1=life_it,0.5,0))+Sens!G16578*0.5)/life_it</f>
        <v>56.5636516735239</v>
      </c>
      <c r="H16580" s="6" t="n">
        <f aca="false">(Sens!C16578*IF(5&lt;life_it,1,IF(5=life_it,0.5,0))+Sens!D16578*IF(4&lt;life_it,1,IF(4=life_it,0.5,0))+Sens!E16578*IF(3&lt;life_it,1,IF(3=life_it,0.5,0))+Sens!F16578*IF(2&lt;life_it,1,IF(2=life_it,0.5,0))+Sens!G16578*IF(1&lt;life_it,1,IF(1=life_it,0.5,0))+Sens!H16578*0.5)/life_it</f>
        <v>83.2019916968207</v>
      </c>
      <c r="I16580" s="6" t="n">
        <f aca="false">(Sens!C16578*IF(6&lt;life_it,1,IF(6=life_it,0.5,0))+Sens!D16578*IF(5&lt;life_it,1,IF(5=life_it,0.5,0))+Sens!E16578*IF(4&lt;life_it,1,IF(4=life_it,0.5,0))+Sens!F16578*IF(3&lt;life_it,1,IF(3=life_it,0.5,0))+Sens!G16578*IF(2&lt;life_it,1,IF(2=life_it,0.5,0))+Sens!H16578*IF(1&lt;life_it,1,IF(1=life_it,0.5,0))+Sens!I16578*0.5)/life_it</f>
        <v>106.857324133594</v>
      </c>
      <c r="J16580" s="6" t="n">
        <f aca="false">(Sens!C16578*IF(7&lt;life_it,1,IF(7=life_it,0.5,0))+Sens!D16578*IF(6&lt;life_it,1,IF(6=life_it,0.5,0))+Sens!E16578*IF(5&lt;life_it,1,IF(5=life_it,0.5,0))+Sens!F16578*IF(4&lt;life_it,1,IF(4=life_it,0.5,0))+Sens!G16578*IF(3&lt;life_it,1,IF(3=life_it,0.5,0))+Sens!H16578*IF(2&lt;life_it,1,IF(2=life_it,0.5,0))+Sens!I16578*IF(1&lt;life_it,1,IF(1=life_it,0.5,0))+Sens!J16578*0.5)/life_it</f>
        <v>123.657508539285</v>
      </c>
      <c r="K16580" s="6" t="n">
        <f aca="false">(Sens!C16578*IF(8&lt;life_it,1,IF(8=life_it,0.5,0))+Sens!D16578*IF(7&lt;life_it,1,IF(7=life_it,0.5,0))+Sens!E16578*IF(6&lt;life_it,1,IF(6=life_it,0.5,0))+Sens!F16578*IF(5&lt;life_it,1,IF(5=life_it,0.5,0))+Sens!G16578*IF(4&lt;life_it,1,IF(4=life_it,0.5,0))+Sens!H16578*IF(3&lt;life_it,1,IF(3=life_it,0.5,0))+Sens!I16578*IF(2&lt;life_it,1,IF(2=life_it,0.5,0))+Sens!J16578*IF(1&lt;life_it,1,IF(1=life_it,0.5,0))+Sens!K16578*0.5)/life_it</f>
        <v>134.143838501827</v>
      </c>
    </row>
    <row r="16581" customFormat="false" ht="17.15" hidden="false" customHeight="false" outlineLevel="0" collapsed="false">
      <c r="A16581" s="0" t="s">
        <v>1004</v>
      </c>
      <c r="B16581" s="0" t="s">
        <v>98</v>
      </c>
      <c r="E16581" s="6" t="n">
        <f aca="false">(Sens!C16575*IF(2&lt;life_fac,1,IF(2=life_fac,0.5,0))+Sens!D16575*IF(1&lt;life_fac,1,IF(1=life_fac,0.5,0))+Sens!E16575*0.5)/life_fac</f>
        <v>1.2448275</v>
      </c>
      <c r="F16581" s="6" t="n">
        <f aca="false">(Sens!C16575*IF(3&lt;life_fac,1,IF(3=life_fac,0.5,0))+Sens!D16575*IF(2&lt;life_fac,1,IF(2=life_fac,0.5,0))+Sens!E16575*IF(1&lt;life_fac,1,IF(1=life_fac,0.5,0))+Sens!F16575*0.5)/life_fac</f>
        <v>2.508829492925</v>
      </c>
      <c r="G16581" s="6" t="n">
        <f aca="false">(Sens!C16575*IF(4&lt;life_fac,1,IF(4=life_fac,0.5,0))+Sens!D16575*IF(3&lt;life_fac,1,IF(3=life_fac,0.5,0))+Sens!E16575*IF(2&lt;life_fac,1,IF(2=life_fac,0.5,0))+Sens!F16575*IF(1&lt;life_fac,1,IF(1=life_fac,0.5,0))+Sens!G16575*0.5)/life_fac</f>
        <v>4.170838978775</v>
      </c>
      <c r="H16581" s="6" t="n">
        <f aca="false">(Sens!C16575*IF(5&lt;life_fac,1,IF(5=life_fac,0.5,0))+Sens!D16575*IF(4&lt;life_fac,1,IF(4=life_fac,0.5,0))+Sens!E16575*IF(3&lt;life_fac,1,IF(3=life_fac,0.5,0))+Sens!F16575*IF(2&lt;life_fac,1,IF(2=life_fac,0.5,0))+Sens!G16575*IF(1&lt;life_fac,1,IF(1=life_fac,0.5,0))+Sens!H16575*0.5)/life_fac</f>
        <v>5.898098964625</v>
      </c>
      <c r="I16581" s="6" t="n">
        <f aca="false">(Sens!C16575*IF(6&lt;life_fac,1,IF(6=life_fac,0.5,0))+Sens!D16575*IF(5&lt;life_fac,1,IF(5=life_fac,0.5,0))+Sens!E16575*IF(4&lt;life_fac,1,IF(4=life_fac,0.5,0))+Sens!F16575*IF(3&lt;life_fac,1,IF(3=life_fac,0.5,0))+Sens!G16575*IF(2&lt;life_fac,1,IF(2=life_fac,0.5,0))+Sens!H16575*IF(1&lt;life_fac,1,IF(1=life_fac,0.5,0))+Sens!I16575*0.5)/life_fac</f>
        <v>7.37368556095442</v>
      </c>
      <c r="J16581" s="6" t="n">
        <f aca="false">(Sens!C16575*IF(7&lt;life_fac,1,IF(7=life_fac,0.5,0))+Sens!D16575*IF(6&lt;life_fac,1,IF(6=life_fac,0.5,0))+Sens!E16575*IF(5&lt;life_fac,1,IF(5=life_fac,0.5,0))+Sens!F16575*IF(4&lt;life_fac,1,IF(4=life_fac,0.5,0))+Sens!G16575*IF(3&lt;life_fac,1,IF(3=life_fac,0.5,0))+Sens!H16575*IF(2&lt;life_fac,1,IF(2=life_fac,0.5,0))+Sens!I16575*IF(1&lt;life_fac,1,IF(1=life_fac,0.5,0))+Sens!J16575*0.5)/life_fac</f>
        <v>8.35816451031075</v>
      </c>
      <c r="K16581" s="6" t="n">
        <f aca="false">(Sens!C16575*IF(8&lt;life_fac,1,IF(8=life_fac,0.5,0))+Sens!D16575*IF(7&lt;life_fac,1,IF(7=life_fac,0.5,0))+Sens!E16575*IF(6&lt;life_fac,1,IF(6=life_fac,0.5,0))+Sens!F16575*IF(5&lt;life_fac,1,IF(5=life_fac,0.5,0))+Sens!G16575*IF(4&lt;life_fac,1,IF(4=life_fac,0.5,0))+Sens!H16575*IF(3&lt;life_fac,1,IF(3=life_fac,0.5,0))+Sens!I16575*IF(2&lt;life_fac,1,IF(2=life_fac,0.5,0))+Sens!J16575*IF(1&lt;life_fac,1,IF(1=life_fac,0.5,0))+Sens!K16575*0.5)/life_fac</f>
        <v>8.86883104910662</v>
      </c>
    </row>
    <row r="16582" customFormat="false" ht="17.15" hidden="false" customHeight="false" outlineLevel="0" collapsed="false">
      <c r="A16582" s="0" t="s">
        <v>1005</v>
      </c>
      <c r="B16582" s="0" t="s">
        <v>98</v>
      </c>
      <c r="E16582" s="6" t="n">
        <f aca="false">Sens!E16580+Sens!E16581</f>
        <v>16.3054059770833</v>
      </c>
      <c r="F16582" s="6" t="n">
        <f aca="false">Sens!F16580+Sens!F16581</f>
        <v>34.5793144783516</v>
      </c>
      <c r="G16582" s="6" t="n">
        <f aca="false">Sens!G16580+Sens!G16581</f>
        <v>60.7344906522989</v>
      </c>
      <c r="H16582" s="6" t="n">
        <f aca="false">Sens!H16580+Sens!H16581</f>
        <v>89.1000906614457</v>
      </c>
      <c r="I16582" s="6" t="n">
        <f aca="false">Sens!I16580+Sens!I16581</f>
        <v>114.231009694548</v>
      </c>
      <c r="J16582" s="6" t="n">
        <f aca="false">Sens!J16580+Sens!J16581</f>
        <v>132.015673049596</v>
      </c>
      <c r="K16582" s="6" t="n">
        <f aca="false">Sens!K16580+Sens!K16581</f>
        <v>143.012669550934</v>
      </c>
    </row>
    <row r="16583" customFormat="false" ht="17.15" hidden="false" customHeight="false" outlineLevel="0" collapsed="false">
      <c r="A16583" s="0" t="s">
        <v>1006</v>
      </c>
      <c r="B16583" s="0" t="s">
        <v>98</v>
      </c>
      <c r="E16583" s="6" t="n">
        <f aca="false">Sens!E16570-Sens!E16569*Sens!E16582</f>
        <v>8.92707889977379</v>
      </c>
      <c r="F16583" s="6" t="n">
        <f aca="false">Sens!F16570-Sens!F16569*Sens!F16582</f>
        <v>22.4686207259278</v>
      </c>
      <c r="G16583" s="6" t="n">
        <f aca="false">Sens!G16570-Sens!G16569*Sens!G16582</f>
        <v>43.2797528675735</v>
      </c>
      <c r="H16583" s="6" t="n">
        <f aca="false">Sens!H16570-Sens!H16569*Sens!H16582</f>
        <v>69.3477099347341</v>
      </c>
      <c r="I16583" s="6" t="n">
        <f aca="false">Sens!I16570-Sens!I16569*Sens!I16582</f>
        <v>86.8523667140836</v>
      </c>
      <c r="J16583" s="6" t="n">
        <f aca="false">Sens!J16570-Sens!J16569*Sens!J16582</f>
        <v>98.9882647234202</v>
      </c>
      <c r="K16583" s="6" t="n">
        <f aca="false">Sens!K16570-Sens!K16569*Sens!K16582</f>
        <v>106.918985011399</v>
      </c>
    </row>
    <row r="16584" customFormat="false" ht="17.15" hidden="false" customHeight="false" outlineLevel="0" collapsed="false">
      <c r="A16584" s="3" t="s">
        <v>2020</v>
      </c>
    </row>
    <row r="16585" customFormat="false" ht="15" hidden="false" customHeight="false" outlineLevel="0" collapsed="false">
      <c r="A16585" s="4" t="s">
        <v>43</v>
      </c>
      <c r="B16585" s="4" t="s">
        <v>65</v>
      </c>
      <c r="C16585" s="23" t="s">
        <v>942</v>
      </c>
      <c r="D16585" s="23" t="s">
        <v>943</v>
      </c>
      <c r="E16585" s="23" t="s">
        <v>944</v>
      </c>
      <c r="F16585" s="23" t="s">
        <v>945</v>
      </c>
      <c r="G16585" s="23" t="s">
        <v>946</v>
      </c>
      <c r="H16585" s="23" t="s">
        <v>947</v>
      </c>
      <c r="I16585" s="23" t="s">
        <v>948</v>
      </c>
      <c r="J16585" s="23" t="s">
        <v>949</v>
      </c>
      <c r="K16585" s="23" t="s">
        <v>950</v>
      </c>
      <c r="L16585" s="4" t="s">
        <v>47</v>
      </c>
    </row>
    <row r="16586" customFormat="false" ht="17.15" hidden="false" customHeight="false" outlineLevel="0" collapsed="false">
      <c r="A16586" s="0" t="s">
        <v>1025</v>
      </c>
      <c r="B16586" s="0" t="s">
        <v>98</v>
      </c>
      <c r="D16586" s="6" t="n">
        <f aca="false">Sens!D16564</f>
        <v>12.9359794422418</v>
      </c>
      <c r="E16586" s="6" t="n">
        <f aca="false">Sens!E16564</f>
        <v>27.8095064661409</v>
      </c>
      <c r="F16586" s="6" t="n">
        <f aca="false">Sens!F16564</f>
        <v>59.1034165651511</v>
      </c>
      <c r="G16586" s="6" t="n">
        <f aca="false">Sens!G16564</f>
        <v>103.451498789198</v>
      </c>
      <c r="H16586" s="6" t="n">
        <f aca="false">Sens!H16564</f>
        <v>153.816719989035</v>
      </c>
      <c r="I16586" s="6" t="n">
        <f aca="false">Sens!I16564</f>
        <v>192.699478690852</v>
      </c>
      <c r="J16586" s="6" t="n">
        <f aca="false">Sens!J16564</f>
        <v>219.794102584244</v>
      </c>
      <c r="K16586" s="6" t="n">
        <f aca="false">Sens!K16564</f>
        <v>236.757046905022</v>
      </c>
    </row>
    <row r="16587" customFormat="false" ht="17.15" hidden="false" customHeight="false" outlineLevel="0" collapsed="false">
      <c r="A16587" s="0" t="s">
        <v>1026</v>
      </c>
      <c r="B16587" s="0" t="s">
        <v>98</v>
      </c>
      <c r="D16587" s="6" t="n">
        <f aca="false">Q!L6-Sens!D16586</f>
        <v>59.6740205577583</v>
      </c>
      <c r="E16587" s="6" t="n">
        <f aca="false">Q!M6-Sens!E16586</f>
        <v>74.1284935338591</v>
      </c>
      <c r="F16587" s="6" t="n">
        <f aca="false">Q!$I$6+(Sens!F16586+Sens!E16587*(1+Sens!F16588))*(1-Q!$E$6/Q!M6)-Sens!F16586</f>
        <v>90.4866018070994</v>
      </c>
      <c r="G16587" s="6" t="n">
        <f aca="false">Sens!F16587*(1+Sens!G16588)</f>
        <v>107.511588557154</v>
      </c>
      <c r="H16587" s="6" t="n">
        <f aca="false">Sens!G16587*(1+Sens!H16588)</f>
        <v>124.832989325489</v>
      </c>
      <c r="I16587" s="6" t="n">
        <f aca="false">Sens!H16587*(1+Sens!I16588)</f>
        <v>141.56992589148</v>
      </c>
      <c r="J16587" s="6" t="n">
        <f aca="false">Sens!I16587*(1+Sens!J16588)</f>
        <v>156.723190479428</v>
      </c>
      <c r="K16587" s="6" t="n">
        <f aca="false">Sens!J16587*(1+Sens!K16588)</f>
        <v>169.261045717783</v>
      </c>
      <c r="L16587" s="12" t="s">
        <v>1027</v>
      </c>
    </row>
    <row r="16588" customFormat="false" ht="15" hidden="false" customHeight="false" outlineLevel="0" collapsed="false">
      <c r="A16588" s="1" t="s">
        <v>1028</v>
      </c>
      <c r="B16588" s="0" t="s">
        <v>168</v>
      </c>
      <c r="E16588" s="7" t="n">
        <f aca="false">Sens!E16587/Sens!D16587-1</f>
        <v>0.242223883039864</v>
      </c>
      <c r="F16588" s="7" t="n">
        <f aca="false">Sens!$E$16588+(glt_azo-Sens!$E$16588)*MIN(1,(Sens!F16545-base_fy)/n_conv)</f>
        <v>0.215186569199887</v>
      </c>
      <c r="G16588" s="7" t="n">
        <f aca="false">Sens!$E$16588+(glt_azo-Sens!$E$16588)*MIN(1,(Sens!G16545-base_fy)/n_conv)</f>
        <v>0.18814925535991</v>
      </c>
      <c r="H16588" s="7" t="n">
        <f aca="false">Sens!$E$16588+(glt_azo-Sens!$E$16588)*MIN(1,(Sens!H16545-base_fy)/n_conv)</f>
        <v>0.161111941519932</v>
      </c>
      <c r="I16588" s="7" t="n">
        <f aca="false">Sens!$E$16588+(glt_azo-Sens!$E$16588)*MIN(1,(Sens!I16545-base_fy)/n_conv)</f>
        <v>0.134074627679955</v>
      </c>
      <c r="J16588" s="7" t="n">
        <f aca="false">Sens!$E$16588+(glt_azo-Sens!$E$16588)*MIN(1,(Sens!J16545-base_fy)/n_conv)</f>
        <v>0.107037313839977</v>
      </c>
      <c r="K16588" s="7" t="n">
        <f aca="false">Sens!$E$16588+(glt_azo-Sens!$E$16588)*MIN(1,(Sens!K16545-base_fy)/n_conv)</f>
        <v>0.08</v>
      </c>
    </row>
    <row r="16589" customFormat="false" ht="15" hidden="false" customHeight="false" outlineLevel="0" collapsed="false">
      <c r="A16589" s="0" t="s">
        <v>1029</v>
      </c>
      <c r="B16589" s="0" t="s">
        <v>98</v>
      </c>
      <c r="D16589" s="6" t="n">
        <f aca="false">Sens!D16586+Sens!D16587</f>
        <v>72.61</v>
      </c>
      <c r="E16589" s="6" t="n">
        <f aca="false">Sens!E16586+Sens!E16587</f>
        <v>101.938</v>
      </c>
      <c r="F16589" s="6" t="n">
        <f aca="false">Sens!F16586+Sens!F16587</f>
        <v>149.59001837225</v>
      </c>
      <c r="G16589" s="6" t="n">
        <f aca="false">Sens!G16586+Sens!G16587</f>
        <v>210.963087346352</v>
      </c>
      <c r="H16589" s="6" t="n">
        <f aca="false">Sens!H16586+Sens!H16587</f>
        <v>278.649709314524</v>
      </c>
      <c r="I16589" s="6" t="n">
        <f aca="false">Sens!I16586+Sens!I16587</f>
        <v>334.269404582332</v>
      </c>
      <c r="J16589" s="6" t="n">
        <f aca="false">Sens!J16586+Sens!J16587</f>
        <v>376.517293063672</v>
      </c>
      <c r="K16589" s="6" t="n">
        <f aca="false">Sens!K16586+Sens!K16587</f>
        <v>406.018092622804</v>
      </c>
    </row>
    <row r="16590" customFormat="false" ht="17.15" hidden="false" customHeight="false" outlineLevel="0" collapsed="false">
      <c r="A16590" s="0" t="s">
        <v>1030</v>
      </c>
      <c r="B16590" s="1" t="s">
        <v>613</v>
      </c>
      <c r="C16590" s="30" t="n">
        <f aca="false">cop_s24</f>
        <v>1</v>
      </c>
      <c r="D16590" s="30" t="n">
        <f aca="false">cop_s25</f>
        <v>5</v>
      </c>
      <c r="E16590" s="30" t="n">
        <f aca="false">cop_s26</f>
        <v>30</v>
      </c>
      <c r="F16590" s="30" t="n">
        <f aca="false">Sens!E16590+cop_add_A</f>
        <v>60</v>
      </c>
      <c r="G16590" s="30" t="n">
        <f aca="false">Sens!F16590+cop_add_A</f>
        <v>90</v>
      </c>
      <c r="H16590" s="30" t="n">
        <f aca="false">Sens!G16590+cop_add_A</f>
        <v>120</v>
      </c>
      <c r="I16590" s="30" t="n">
        <f aca="false">Sens!H16590+cop_add_A*cop_tail</f>
        <v>135</v>
      </c>
      <c r="J16590" s="30" t="n">
        <f aca="false">Sens!I16590+cop_add_A*cop_tail</f>
        <v>150</v>
      </c>
      <c r="K16590" s="30" t="n">
        <f aca="false">Sens!J16590+cop_add_A*cop_tail</f>
        <v>165</v>
      </c>
      <c r="L16590" s="12" t="s">
        <v>1031</v>
      </c>
    </row>
    <row r="16591" customFormat="false" ht="17.15" hidden="false" customHeight="false" outlineLevel="0" collapsed="false">
      <c r="A16591" s="0" t="s">
        <v>1032</v>
      </c>
      <c r="B16591" s="0" t="s">
        <v>98</v>
      </c>
      <c r="D16591" s="6" t="n">
        <f aca="false">(Sens!C16590+Sens!D16590)/2*cop_px*12/1000</f>
        <v>0.9</v>
      </c>
      <c r="E16591" s="6" t="n">
        <f aca="false">(Sens!D16590+Sens!E16590)/2*cop_px*12/1000</f>
        <v>5.25</v>
      </c>
      <c r="F16591" s="6" t="n">
        <f aca="false">(Sens!E16590+Sens!F16590)/2*cop_px*12/1000</f>
        <v>13.5</v>
      </c>
      <c r="G16591" s="6" t="n">
        <f aca="false">(Sens!F16590+Sens!G16590)/2*cop_px*12/1000</f>
        <v>22.5</v>
      </c>
      <c r="H16591" s="6" t="n">
        <f aca="false">(Sens!G16590+Sens!H16590)/2*cop_px*12/1000</f>
        <v>31.5</v>
      </c>
      <c r="I16591" s="6" t="n">
        <f aca="false">(Sens!H16590+Sens!I16590)/2*cop_px*12/1000</f>
        <v>38.25</v>
      </c>
      <c r="J16591" s="6" t="n">
        <f aca="false">(Sens!I16590+Sens!J16590)/2*cop_px*12/1000</f>
        <v>42.75</v>
      </c>
      <c r="K16591" s="6" t="n">
        <f aca="false">(Sens!J16590+Sens!K16590)/2*cop_px*12/1000</f>
        <v>47.25</v>
      </c>
      <c r="L16591" s="1" t="s">
        <v>1033</v>
      </c>
    </row>
    <row r="16592" customFormat="false" ht="17.15" hidden="false" customHeight="false" outlineLevel="0" collapsed="false">
      <c r="A16592" s="0" t="s">
        <v>1034</v>
      </c>
      <c r="B16592" s="0" t="s">
        <v>98</v>
      </c>
      <c r="D16592" s="6" t="n">
        <f aca="false">Q!L7-Sens!D16591</f>
        <v>83.705</v>
      </c>
      <c r="E16592" s="6" t="n">
        <f aca="false">Q!M7-Sens!E16591</f>
        <v>95.049</v>
      </c>
      <c r="F16592" s="6" t="n">
        <f aca="false">Q!$I$7+(Sens!E16592*(1+Sens!F16593)+Sens!F16591)*(1-Q!$E$7/Q!M7)-Sens!F16591</f>
        <v>106.229653205718</v>
      </c>
      <c r="G16592" s="6" t="n">
        <f aca="false">Sens!F16592*(1+Sens!G16593)</f>
        <v>118.306092647576</v>
      </c>
      <c r="H16592" s="6" t="n">
        <f aca="false">Sens!G16592*(1+Sens!H16593)</f>
        <v>130.463437602768</v>
      </c>
      <c r="I16592" s="6" t="n">
        <f aca="false">Sens!H16592*(1+Sens!I16593)</f>
        <v>142.445354741933</v>
      </c>
      <c r="J16592" s="6" t="n">
        <f aca="false">Sens!I16592*(1+Sens!J16593)</f>
        <v>153.972117481571</v>
      </c>
      <c r="K16592" s="6" t="n">
        <f aca="false">Sens!J16592*(1+Sens!K16593)</f>
        <v>164.75016570528</v>
      </c>
      <c r="L16592" s="12" t="s">
        <v>1035</v>
      </c>
    </row>
    <row r="16593" customFormat="false" ht="15" hidden="false" customHeight="false" outlineLevel="0" collapsed="false">
      <c r="A16593" s="1" t="s">
        <v>1028</v>
      </c>
      <c r="B16593" s="0" t="s">
        <v>168</v>
      </c>
      <c r="E16593" s="7" t="n">
        <f aca="false">Sens!E16592/Sens!D16592-1</f>
        <v>0.135523564900544</v>
      </c>
      <c r="F16593" s="7" t="n">
        <f aca="false">Sens!$E$16593+(glt_m365b-Sens!$E$16593)*MIN(1,(Sens!F16545-base_fy)/n_conv)</f>
        <v>0.124602970750453</v>
      </c>
      <c r="G16593" s="7" t="n">
        <f aca="false">Sens!$E$16593+(glt_m365b-Sens!$E$16593)*MIN(1,(Sens!G16545-base_fy)/n_conv)</f>
        <v>0.113682376600363</v>
      </c>
      <c r="H16593" s="7" t="n">
        <f aca="false">Sens!$E$16593+(glt_m365b-Sens!$E$16593)*MIN(1,(Sens!H16545-base_fy)/n_conv)</f>
        <v>0.102761782450272</v>
      </c>
      <c r="I16593" s="7" t="n">
        <f aca="false">Sens!$E$16593+(glt_m365b-Sens!$E$16593)*MIN(1,(Sens!I16545-base_fy)/n_conv)</f>
        <v>0.0918411883001813</v>
      </c>
      <c r="J16593" s="7" t="n">
        <f aca="false">Sens!$E$16593+(glt_m365b-Sens!$E$16593)*MIN(1,(Sens!J16545-base_fy)/n_conv)</f>
        <v>0.0809205941500906</v>
      </c>
      <c r="K16593" s="7" t="n">
        <f aca="false">Sens!$E$16593+(glt_m365b-Sens!$E$16593)*MIN(1,(Sens!K16545-base_fy)/n_conv)</f>
        <v>0.07</v>
      </c>
    </row>
    <row r="16594" customFormat="false" ht="15" hidden="false" customHeight="false" outlineLevel="0" collapsed="false">
      <c r="A16594" s="0" t="s">
        <v>1036</v>
      </c>
      <c r="B16594" s="0" t="s">
        <v>98</v>
      </c>
      <c r="D16594" s="6" t="n">
        <f aca="false">Sens!D16592+Sens!D16591</f>
        <v>84.605</v>
      </c>
      <c r="E16594" s="6" t="n">
        <f aca="false">Sens!E16592+Sens!E16591</f>
        <v>100.299</v>
      </c>
      <c r="F16594" s="6" t="n">
        <f aca="false">Sens!F16592+Sens!F16591</f>
        <v>119.729653205718</v>
      </c>
      <c r="G16594" s="6" t="n">
        <f aca="false">Sens!G16592+Sens!G16591</f>
        <v>140.806092647576</v>
      </c>
      <c r="H16594" s="6" t="n">
        <f aca="false">Sens!H16592+Sens!H16591</f>
        <v>161.963437602768</v>
      </c>
      <c r="I16594" s="6" t="n">
        <f aca="false">Sens!I16592+Sens!I16591</f>
        <v>180.695354741933</v>
      </c>
      <c r="J16594" s="6" t="n">
        <f aca="false">Sens!J16592+Sens!J16591</f>
        <v>196.722117481571</v>
      </c>
      <c r="K16594" s="6" t="n">
        <f aca="false">Sens!K16592+Sens!K16591</f>
        <v>212.00016570528</v>
      </c>
    </row>
    <row r="16595" customFormat="false" ht="17.15" hidden="false" customHeight="false" outlineLevel="0" collapsed="false">
      <c r="A16595" s="0" t="s">
        <v>1037</v>
      </c>
      <c r="B16595" s="0" t="s">
        <v>98</v>
      </c>
      <c r="D16595" s="6" t="n">
        <f aca="false">Q!L8</f>
        <v>35.391</v>
      </c>
      <c r="E16595" s="6" t="n">
        <f aca="false">Q!M8</f>
        <v>37.285</v>
      </c>
      <c r="F16595" s="6" t="n">
        <f aca="false">Q!$I$8+(Q!M8-Q!$E$8)*(1+Sens!F16596)</f>
        <v>38.3851437782675</v>
      </c>
      <c r="G16595" s="6" t="n">
        <f aca="false">Sens!F16595*(1+Sens!G16596)</f>
        <v>40.0105353288615</v>
      </c>
      <c r="H16595" s="6" t="n">
        <f aca="false">Sens!G16595*(1+Sens!H16596)</f>
        <v>41.4812512033683</v>
      </c>
      <c r="I16595" s="6" t="n">
        <f aca="false">Sens!H16595*(1+Sens!I16596)</f>
        <v>42.7743107216329</v>
      </c>
      <c r="J16595" s="6" t="n">
        <f aca="false">Sens!I16595*(1+Sens!J16596)</f>
        <v>43.8687373064601</v>
      </c>
      <c r="K16595" s="6" t="n">
        <f aca="false">Sens!J16595*(1+Sens!K16596)</f>
        <v>44.7461120525893</v>
      </c>
      <c r="L16595" s="12" t="s">
        <v>1038</v>
      </c>
    </row>
    <row r="16596" customFormat="false" ht="15" hidden="false" customHeight="false" outlineLevel="0" collapsed="false">
      <c r="A16596" s="1" t="s">
        <v>1028</v>
      </c>
      <c r="B16596" s="0" t="s">
        <v>168</v>
      </c>
      <c r="E16596" s="7" t="n">
        <f aca="false">Sens!E16595/Sens!D16595-1</f>
        <v>0.0535164307309768</v>
      </c>
      <c r="F16596" s="7" t="n">
        <f aca="false">Sens!$E$16596+(glt_lic-Sens!$E$16596)*MIN(1,(Sens!F16545-base_fy)/n_conv)</f>
        <v>0.0479303589424807</v>
      </c>
      <c r="G16596" s="7" t="n">
        <f aca="false">Sens!$E$16596+(glt_lic-Sens!$E$16596)*MIN(1,(Sens!G16545-base_fy)/n_conv)</f>
        <v>0.0423442871539845</v>
      </c>
      <c r="H16596" s="7" t="n">
        <f aca="false">Sens!$E$16596+(glt_lic-Sens!$E$16596)*MIN(1,(Sens!H16545-base_fy)/n_conv)</f>
        <v>0.0367582153654884</v>
      </c>
      <c r="I16596" s="7" t="n">
        <f aca="false">Sens!$E$16596+(glt_lic-Sens!$E$16596)*MIN(1,(Sens!I16545-base_fy)/n_conv)</f>
        <v>0.0311721435769923</v>
      </c>
      <c r="J16596" s="7" t="n">
        <f aca="false">Sens!$E$16596+(glt_lic-Sens!$E$16596)*MIN(1,(Sens!J16545-base_fy)/n_conv)</f>
        <v>0.0255860717884961</v>
      </c>
      <c r="K16596" s="7" t="n">
        <f aca="false">Sens!$E$16596+(glt_lic-Sens!$E$16596)*MIN(1,(Sens!K16545-base_fy)/n_conv)</f>
        <v>0.02</v>
      </c>
    </row>
    <row r="16597" customFormat="false" ht="17.15" hidden="false" customHeight="false" outlineLevel="0" collapsed="false">
      <c r="A16597" s="0" t="s">
        <v>1039</v>
      </c>
      <c r="B16597" s="0" t="s">
        <v>98</v>
      </c>
      <c r="D16597" s="6" t="n">
        <f aca="false">Q!L9</f>
        <v>18.417</v>
      </c>
      <c r="E16597" s="6" t="n">
        <f aca="false">Q!M9</f>
        <v>20.345</v>
      </c>
      <c r="F16597" s="6" t="n">
        <f aca="false">Q!$I$9+(Q!M9-Q!$E$9)*(1+Sens!F16598)</f>
        <v>22.3161797133988</v>
      </c>
      <c r="G16597" s="6" t="n">
        <f aca="false">Sens!F16597*(1+Sens!G16598)</f>
        <v>24.3943499673233</v>
      </c>
      <c r="H16597" s="6" t="n">
        <f aca="false">Sens!G16597*(1+Sens!H16598)</f>
        <v>26.5250243109019</v>
      </c>
      <c r="I16597" s="6" t="n">
        <f aca="false">Sens!H16597*(1+Sens!I16598)</f>
        <v>28.6884573538181</v>
      </c>
      <c r="J16597" s="6" t="n">
        <f aca="false">Sens!I16597*(1+Sens!J16598)</f>
        <v>30.8624968052127</v>
      </c>
      <c r="K16597" s="6" t="n">
        <f aca="false">Sens!J16597*(1+Sens!K16598)</f>
        <v>33.0228715815776</v>
      </c>
      <c r="L16597" s="12" t="s">
        <v>1038</v>
      </c>
    </row>
    <row r="16598" customFormat="false" ht="15" hidden="false" customHeight="false" outlineLevel="0" collapsed="false">
      <c r="A16598" s="1" t="s">
        <v>1028</v>
      </c>
      <c r="B16598" s="0" t="s">
        <v>168</v>
      </c>
      <c r="E16598" s="7" t="n">
        <f aca="false">Sens!E16597/Sens!D16597-1</f>
        <v>0.104685888038225</v>
      </c>
      <c r="F16598" s="7" t="n">
        <f aca="false">Sens!$E$16598+(glt_ind-Sens!$E$16598)*MIN(1,(Sens!F16545-base_fy)/n_conv)</f>
        <v>0.0989049066985211</v>
      </c>
      <c r="G16598" s="7" t="n">
        <f aca="false">Sens!$E$16598+(glt_ind-Sens!$E$16598)*MIN(1,(Sens!G16545-base_fy)/n_conv)</f>
        <v>0.0931239253588169</v>
      </c>
      <c r="H16598" s="7" t="n">
        <f aca="false">Sens!$E$16598+(glt_ind-Sens!$E$16598)*MIN(1,(Sens!H16545-base_fy)/n_conv)</f>
        <v>0.0873429440191127</v>
      </c>
      <c r="I16598" s="7" t="n">
        <f aca="false">Sens!$E$16598+(glt_ind-Sens!$E$16598)*MIN(1,(Sens!I16545-base_fy)/n_conv)</f>
        <v>0.0815619626794085</v>
      </c>
      <c r="J16598" s="7" t="n">
        <f aca="false">Sens!$E$16598+(glt_ind-Sens!$E$16598)*MIN(1,(Sens!J16545-base_fy)/n_conv)</f>
        <v>0.0757809813397042</v>
      </c>
      <c r="K16598" s="7" t="n">
        <f aca="false">Sens!$E$16598+(glt_ind-Sens!$E$16598)*MIN(1,(Sens!K16545-base_fy)/n_conv)</f>
        <v>0.07</v>
      </c>
    </row>
    <row r="16599" customFormat="false" ht="17.15" hidden="false" customHeight="false" outlineLevel="0" collapsed="false">
      <c r="A16599" s="0" t="s">
        <v>1040</v>
      </c>
      <c r="B16599" s="0" t="s">
        <v>98</v>
      </c>
      <c r="D16599" s="6" t="n">
        <f aca="false">Q!L10</f>
        <v>7.76</v>
      </c>
      <c r="E16599" s="6" t="n">
        <f aca="false">Q!M10</f>
        <v>8.26</v>
      </c>
      <c r="F16599" s="6" t="n">
        <f aca="false">Q!$I$10+(Q!M10-Q!$E$10)*(1+Sens!F16600)</f>
        <v>8.75372082474227</v>
      </c>
      <c r="G16599" s="6" t="n">
        <f aca="false">Sens!F16599*(1+Sens!G16600)</f>
        <v>9.33399324642364</v>
      </c>
      <c r="H16599" s="6" t="n">
        <f aca="false">Sens!G16599*(1+Sens!H16600)</f>
        <v>9.96139155535851</v>
      </c>
      <c r="I16599" s="6" t="n">
        <f aca="false">Sens!H16599*(1+Sens!I16600)</f>
        <v>10.6402039077391</v>
      </c>
      <c r="J16599" s="6" t="n">
        <f aca="false">Sens!I16599*(1+Sens!J16600)</f>
        <v>11.3751458271397</v>
      </c>
      <c r="K16599" s="6" t="n">
        <f aca="false">Sens!J16599*(1+Sens!K16600)</f>
        <v>12.1714060350394</v>
      </c>
      <c r="L16599" s="12" t="s">
        <v>1038</v>
      </c>
    </row>
    <row r="16600" customFormat="false" ht="15" hidden="false" customHeight="false" outlineLevel="0" collapsed="false">
      <c r="A16600" s="1" t="s">
        <v>1028</v>
      </c>
      <c r="B16600" s="0" t="s">
        <v>168</v>
      </c>
      <c r="E16600" s="7" t="n">
        <f aca="false">Sens!E16599/Sens!D16599-1</f>
        <v>0.0644329896907216</v>
      </c>
      <c r="F16600" s="7" t="n">
        <f aca="false">Sens!$E$16600+(glt_fro-Sens!$E$16600)*MIN(1,(Sens!F16545-base_fy)/n_conv)</f>
        <v>0.065360824742268</v>
      </c>
      <c r="G16600" s="7" t="n">
        <f aca="false">Sens!$E$16600+(glt_fro-Sens!$E$16600)*MIN(1,(Sens!G16545-base_fy)/n_conv)</f>
        <v>0.0662886597938144</v>
      </c>
      <c r="H16600" s="7" t="n">
        <f aca="false">Sens!$E$16600+(glt_fro-Sens!$E$16600)*MIN(1,(Sens!H16545-base_fy)/n_conv)</f>
        <v>0.0672164948453608</v>
      </c>
      <c r="I16600" s="7" t="n">
        <f aca="false">Sens!$E$16600+(glt_fro-Sens!$E$16600)*MIN(1,(Sens!I16545-base_fy)/n_conv)</f>
        <v>0.0681443298969072</v>
      </c>
      <c r="J16600" s="7" t="n">
        <f aca="false">Sens!$E$16600+(glt_fro-Sens!$E$16600)*MIN(1,(Sens!J16545-base_fy)/n_conv)</f>
        <v>0.0690721649484536</v>
      </c>
      <c r="K16600" s="7" t="n">
        <f aca="false">Sens!$E$16600+(glt_fro-Sens!$E$16600)*MIN(1,(Sens!K16545-base_fy)/n_conv)</f>
        <v>0.07</v>
      </c>
    </row>
    <row r="16601" customFormat="false" ht="15" hidden="false" customHeight="false" outlineLevel="0" collapsed="false">
      <c r="A16601" s="0" t="s">
        <v>856</v>
      </c>
      <c r="B16601" s="0" t="s">
        <v>98</v>
      </c>
      <c r="D16601" s="6" t="n">
        <f aca="false">Sens!D16589+Sens!D16594+Sens!D16595+Sens!D16597+Sens!D16599</f>
        <v>218.783</v>
      </c>
      <c r="E16601" s="6" t="n">
        <f aca="false">Sens!E16589+Sens!E16594+Sens!E16595+Sens!E16597+Sens!E16599</f>
        <v>268.127</v>
      </c>
      <c r="F16601" s="6" t="n">
        <f aca="false">Sens!F16589+Sens!F16594+Sens!F16595+Sens!F16597+Sens!F16599</f>
        <v>338.774715894377</v>
      </c>
      <c r="G16601" s="6" t="n">
        <f aca="false">Sens!G16589+Sens!G16594+Sens!G16595+Sens!G16597+Sens!G16599</f>
        <v>425.508058536537</v>
      </c>
      <c r="H16601" s="6" t="n">
        <f aca="false">Sens!H16589+Sens!H16594+Sens!H16595+Sens!H16597+Sens!H16599</f>
        <v>518.580813986921</v>
      </c>
      <c r="I16601" s="6" t="n">
        <f aca="false">Sens!I16589+Sens!I16594+Sens!I16595+Sens!I16597+Sens!I16599</f>
        <v>597.067731307455</v>
      </c>
      <c r="J16601" s="6" t="n">
        <f aca="false">Sens!J16589+Sens!J16594+Sens!J16595+Sens!J16597+Sens!J16599</f>
        <v>659.345790484055</v>
      </c>
      <c r="K16601" s="6" t="n">
        <f aca="false">Sens!K16589+Sens!K16594+Sens!K16595+Sens!K16597+Sens!K16599</f>
        <v>707.958647997291</v>
      </c>
    </row>
    <row r="16602" customFormat="false" ht="17.15" hidden="false" customHeight="false" outlineLevel="0" collapsed="false">
      <c r="A16602" s="0" t="s">
        <v>1041</v>
      </c>
      <c r="B16602" s="0" t="s">
        <v>98</v>
      </c>
      <c r="D16602" s="6" t="n">
        <f aca="false">Q!L13</f>
        <v>22.171</v>
      </c>
      <c r="E16602" s="6" t="n">
        <f aca="false">Q!M13</f>
        <v>24.835</v>
      </c>
      <c r="F16602" s="6" t="n">
        <f aca="false">Q!$I$13+(Q!M13-Q!$E$13)*(1+Sens!F16603)</f>
        <v>27.5591895660247</v>
      </c>
      <c r="G16602" s="6" t="n">
        <f aca="false">Sens!F16602*(1+Sens!G16603)</f>
        <v>30.4098563144583</v>
      </c>
      <c r="H16602" s="6" t="n">
        <f aca="false">Sens!G16602*(1+Sens!H16603)</f>
        <v>33.3011792571777</v>
      </c>
      <c r="I16602" s="6" t="n">
        <f aca="false">Sens!H16602*(1+Sens!I16603)</f>
        <v>36.189023797112</v>
      </c>
      <c r="J16602" s="6" t="n">
        <f aca="false">Sens!I16602*(1+Sens!J16603)</f>
        <v>39.0247773769199</v>
      </c>
      <c r="K16602" s="6" t="n">
        <f aca="false">Sens!J16602*(1+Sens!K16603)</f>
        <v>41.7565117933043</v>
      </c>
      <c r="L16602" s="12" t="s">
        <v>1038</v>
      </c>
    </row>
    <row r="16603" customFormat="false" ht="15" hidden="false" customHeight="false" outlineLevel="0" collapsed="false">
      <c r="A16603" s="1" t="s">
        <v>1028</v>
      </c>
      <c r="B16603" s="0" t="s">
        <v>168</v>
      </c>
      <c r="E16603" s="7" t="n">
        <f aca="false">Sens!E16602/Sens!D16602-1</f>
        <v>0.120156961796942</v>
      </c>
      <c r="F16603" s="7" t="n">
        <f aca="false">Sens!$E$16603+(glt_srch-Sens!$E$16603)*MIN(1,(Sens!F16545-base_fy)/n_conv)</f>
        <v>0.111797468164118</v>
      </c>
      <c r="G16603" s="7" t="n">
        <f aca="false">Sens!$E$16603+(glt_srch-Sens!$E$16603)*MIN(1,(Sens!G16545-base_fy)/n_conv)</f>
        <v>0.103437974531295</v>
      </c>
      <c r="H16603" s="7" t="n">
        <f aca="false">Sens!$E$16603+(glt_srch-Sens!$E$16603)*MIN(1,(Sens!H16545-base_fy)/n_conv)</f>
        <v>0.095078480898471</v>
      </c>
      <c r="I16603" s="7" t="n">
        <f aca="false">Sens!$E$16603+(glt_srch-Sens!$E$16603)*MIN(1,(Sens!I16545-base_fy)/n_conv)</f>
        <v>0.0867189872656474</v>
      </c>
      <c r="J16603" s="7" t="n">
        <f aca="false">Sens!$E$16603+(glt_srch-Sens!$E$16603)*MIN(1,(Sens!J16545-base_fy)/n_conv)</f>
        <v>0.0783594936328237</v>
      </c>
      <c r="K16603" s="7" t="n">
        <f aca="false">Sens!$E$16603+(glt_srch-Sens!$E$16603)*MIN(1,(Sens!K16545-base_fy)/n_conv)</f>
        <v>0.07</v>
      </c>
    </row>
    <row r="16604" customFormat="false" ht="17.15" hidden="false" customHeight="false" outlineLevel="0" collapsed="false">
      <c r="A16604" s="0" t="s">
        <v>1042</v>
      </c>
      <c r="B16604" s="0" t="s">
        <v>98</v>
      </c>
      <c r="D16604" s="6" t="n">
        <f aca="false">Q!L14</f>
        <v>23.455</v>
      </c>
      <c r="E16604" s="6" t="n">
        <f aca="false">Q!M14</f>
        <v>21.79</v>
      </c>
      <c r="F16604" s="6" t="n">
        <f aca="false">Q!$I$14+(Q!M14-Q!$E$14)*(1+Sens!F16605)</f>
        <v>20.7520981041711</v>
      </c>
      <c r="G16604" s="6" t="n">
        <f aca="false">Sens!F16604*(1+Sens!G16605)</f>
        <v>19.9083593495882</v>
      </c>
      <c r="H16604" s="6" t="n">
        <f aca="false">Sens!G16604*(1+Sens!H16605)</f>
        <v>19.4008256265831</v>
      </c>
      <c r="I16604" s="6" t="n">
        <f aca="false">Sens!H16604*(1+Sens!I16605)</f>
        <v>19.200434522122</v>
      </c>
      <c r="J16604" s="6" t="n">
        <f aca="false">Sens!I16604*(1+Sens!J16605)</f>
        <v>19.2932782348507</v>
      </c>
      <c r="K16604" s="6" t="n">
        <f aca="false">Sens!J16604*(1+Sens!K16605)</f>
        <v>19.6791437995477</v>
      </c>
      <c r="L16604" s="12" t="s">
        <v>1038</v>
      </c>
    </row>
    <row r="16605" customFormat="false" ht="15" hidden="false" customHeight="false" outlineLevel="0" collapsed="false">
      <c r="A16605" s="1" t="s">
        <v>1028</v>
      </c>
      <c r="B16605" s="0" t="s">
        <v>168</v>
      </c>
      <c r="E16605" s="7" t="n">
        <f aca="false">Sens!E16604/Sens!D16604-1</f>
        <v>-0.0709869963760392</v>
      </c>
      <c r="F16605" s="7" t="n">
        <f aca="false">Sens!$E$16605+(glt_xbox-Sens!$E$16605)*MIN(1,(Sens!F16545-base_fy)/n_conv)</f>
        <v>-0.0558224969800327</v>
      </c>
      <c r="G16605" s="7" t="n">
        <f aca="false">Sens!$E$16605+(glt_xbox-Sens!$E$16605)*MIN(1,(Sens!G16545-base_fy)/n_conv)</f>
        <v>-0.0406579975840262</v>
      </c>
      <c r="H16605" s="7" t="n">
        <f aca="false">Sens!$E$16605+(glt_xbox-Sens!$E$16605)*MIN(1,(Sens!H16545-base_fy)/n_conv)</f>
        <v>-0.0254934981880196</v>
      </c>
      <c r="I16605" s="7" t="n">
        <f aca="false">Sens!$E$16605+(glt_xbox-Sens!$E$16605)*MIN(1,(Sens!I16545-base_fy)/n_conv)</f>
        <v>-0.0103289987920131</v>
      </c>
      <c r="J16605" s="7" t="n">
        <f aca="false">Sens!$E$16605+(glt_xbox-Sens!$E$16605)*MIN(1,(Sens!J16545-base_fy)/n_conv)</f>
        <v>0.00483550060399347</v>
      </c>
      <c r="K16605" s="7" t="n">
        <f aca="false">Sens!$E$16605+(glt_xbox-Sens!$E$16605)*MIN(1,(Sens!K16545-base_fy)/n_conv)</f>
        <v>0.02</v>
      </c>
    </row>
    <row r="16606" customFormat="false" ht="17.15" hidden="false" customHeight="false" outlineLevel="0" collapsed="false">
      <c r="A16606" s="0" t="s">
        <v>1043</v>
      </c>
      <c r="B16606" s="0" t="s">
        <v>98</v>
      </c>
      <c r="D16606" s="6" t="n">
        <f aca="false">Q!L15</f>
        <v>17.315</v>
      </c>
      <c r="E16606" s="6" t="n">
        <f aca="false">Q!M15</f>
        <v>17.087</v>
      </c>
      <c r="F16606" s="6" t="n">
        <f aca="false">Q!$I$15+(Q!M15-Q!$E$15)*(1+Sens!F16607)</f>
        <v>15.9912273250553</v>
      </c>
      <c r="G16606" s="6" t="n">
        <f aca="false">Sens!F16606*(1+Sens!G16607)</f>
        <v>15.9574562664827</v>
      </c>
      <c r="H16606" s="6" t="n">
        <f aca="false">Sens!G16606*(1+Sens!H16607)</f>
        <v>16.0119687434196</v>
      </c>
      <c r="I16606" s="6" t="n">
        <f aca="false">Sens!H16606*(1+Sens!I16607)</f>
        <v>16.1551810001948</v>
      </c>
      <c r="J16606" s="6" t="n">
        <f aca="false">Sens!I16606*(1+Sens!J16607)</f>
        <v>16.3889793892005</v>
      </c>
      <c r="K16606" s="6" t="n">
        <f aca="false">Sens!J16606*(1+Sens!K16607)</f>
        <v>16.7167589769845</v>
      </c>
      <c r="L16606" s="12" t="s">
        <v>1038</v>
      </c>
    </row>
    <row r="16607" customFormat="false" ht="15" hidden="false" customHeight="false" outlineLevel="0" collapsed="false">
      <c r="A16607" s="1" t="s">
        <v>1028</v>
      </c>
      <c r="B16607" s="0" t="s">
        <v>168</v>
      </c>
      <c r="E16607" s="7" t="n">
        <f aca="false">Sens!E16606/Sens!D16606-1</f>
        <v>-0.0131677736066995</v>
      </c>
      <c r="F16607" s="7" t="n">
        <f aca="false">Sens!$E$16607+(glt_win-Sens!$E$16607)*MIN(1,(Sens!F16545-base_fy)/n_conv)</f>
        <v>-0.00763981133891627</v>
      </c>
      <c r="G16607" s="7" t="n">
        <f aca="false">Sens!$E$16607+(glt_win-Sens!$E$16607)*MIN(1,(Sens!G16545-base_fy)/n_conv)</f>
        <v>-0.00211184907113301</v>
      </c>
      <c r="H16607" s="7" t="n">
        <f aca="false">Sens!$E$16607+(glt_win-Sens!$E$16607)*MIN(1,(Sens!H16545-base_fy)/n_conv)</f>
        <v>0.00341611319665024</v>
      </c>
      <c r="I16607" s="7" t="n">
        <f aca="false">Sens!$E$16607+(glt_win-Sens!$E$16607)*MIN(1,(Sens!I16545-base_fy)/n_conv)</f>
        <v>0.00894407546443349</v>
      </c>
      <c r="J16607" s="7" t="n">
        <f aca="false">Sens!$E$16607+(glt_win-Sens!$E$16607)*MIN(1,(Sens!J16545-base_fy)/n_conv)</f>
        <v>0.0144720377322168</v>
      </c>
      <c r="K16607" s="7" t="n">
        <f aca="false">Sens!$E$16607+(glt_win-Sens!$E$16607)*MIN(1,(Sens!K16545-base_fy)/n_conv)</f>
        <v>0.02</v>
      </c>
    </row>
    <row r="16608" customFormat="false" ht="15" hidden="false" customHeight="false" outlineLevel="0" collapsed="false">
      <c r="A16608" s="0" t="s">
        <v>870</v>
      </c>
      <c r="B16608" s="0" t="s">
        <v>98</v>
      </c>
      <c r="D16608" s="6" t="n">
        <f aca="false">Sens!D16602+Sens!D16604+Sens!D16606</f>
        <v>62.941</v>
      </c>
      <c r="E16608" s="6" t="n">
        <f aca="false">Sens!E16602+Sens!E16604+Sens!E16606</f>
        <v>63.712</v>
      </c>
      <c r="F16608" s="6" t="n">
        <f aca="false">Sens!F16602+Sens!F16604+Sens!F16606</f>
        <v>64.3025149952511</v>
      </c>
      <c r="G16608" s="6" t="n">
        <f aca="false">Sens!G16602+Sens!G16604+Sens!G16606</f>
        <v>66.2756719305292</v>
      </c>
      <c r="H16608" s="6" t="n">
        <f aca="false">Sens!H16602+Sens!H16604+Sens!H16606</f>
        <v>68.7139736271804</v>
      </c>
      <c r="I16608" s="6" t="n">
        <f aca="false">Sens!I16602+Sens!I16604+Sens!I16606</f>
        <v>71.5446393194289</v>
      </c>
      <c r="J16608" s="6" t="n">
        <f aca="false">Sens!J16602+Sens!J16604+Sens!J16606</f>
        <v>74.707035000971</v>
      </c>
      <c r="K16608" s="6" t="n">
        <f aca="false">Sens!K16602+Sens!K16604+Sens!K16606</f>
        <v>78.1524145698365</v>
      </c>
    </row>
    <row r="16609" customFormat="false" ht="15" hidden="false" customHeight="false" outlineLevel="0" collapsed="false">
      <c r="A16609" s="1" t="s">
        <v>1044</v>
      </c>
      <c r="B16609" s="0" t="s">
        <v>98</v>
      </c>
      <c r="D16609" s="6" t="n">
        <f aca="false">Sens!D16601+Sens!D16608</f>
        <v>281.724</v>
      </c>
      <c r="E16609" s="6" t="n">
        <f aca="false">Sens!E16601+Sens!E16608</f>
        <v>331.839</v>
      </c>
      <c r="F16609" s="6" t="n">
        <f aca="false">Sens!F16601+Sens!F16608</f>
        <v>403.077230889628</v>
      </c>
      <c r="G16609" s="6" t="n">
        <f aca="false">Sens!G16601+Sens!G16608</f>
        <v>491.783730467066</v>
      </c>
      <c r="H16609" s="6" t="n">
        <f aca="false">Sens!H16601+Sens!H16608</f>
        <v>587.294787614101</v>
      </c>
      <c r="I16609" s="6" t="n">
        <f aca="false">Sens!I16601+Sens!I16608</f>
        <v>668.612370626884</v>
      </c>
      <c r="J16609" s="6" t="n">
        <f aca="false">Sens!J16601+Sens!J16608</f>
        <v>734.052825485026</v>
      </c>
      <c r="K16609" s="6" t="n">
        <f aca="false">Sens!K16601+Sens!K16608</f>
        <v>786.111062567128</v>
      </c>
    </row>
    <row r="16610" customFormat="false" ht="15" hidden="false" customHeight="false" outlineLevel="0" collapsed="false">
      <c r="A16610" s="26" t="s">
        <v>1045</v>
      </c>
      <c r="B16610" s="31" t="s">
        <v>98</v>
      </c>
      <c r="C16610" s="31"/>
      <c r="D16610" s="27" t="n">
        <f aca="false">(Sens!D16589+Sens!D16594+Sens!D16595+Sens!D16597+Sens!D16599-Sens!D16601)+(Sens!D16602+Sens!D16604+Sens!D16606-Sens!D16608)+(Sens!D16601-Q!L5)+(Sens!D16608-Q!L12)+(Sens!D16589-Q!L6)+(Sens!D16594-Q!L7)</f>
        <v>0</v>
      </c>
      <c r="E16610" s="27" t="n">
        <f aca="false">(Sens!E16589+Sens!E16594+Sens!E16595+Sens!E16597+Sens!E16599-Sens!E16601)+(Sens!E16602+Sens!E16604+Sens!E16606-Sens!E16608)+(Sens!E16601-Q!M5)+(Sens!E16608-Q!M12)+(Sens!E16589-Q!M6)+(Sens!E16594-Q!M7)</f>
        <v>0</v>
      </c>
      <c r="F16610" s="27" t="n">
        <f aca="false">(Sens!F16589+Sens!F16594+Sens!F16595+Sens!F16597+Sens!F16599-Sens!F16601)+(Sens!F16602+Sens!F16604+Sens!F16606-Sens!F16608)</f>
        <v>0</v>
      </c>
      <c r="G16610" s="27" t="n">
        <f aca="false">(Sens!G16589+Sens!G16594+Sens!G16595+Sens!G16597+Sens!G16599-Sens!G16601)+(Sens!G16602+Sens!G16604+Sens!G16606-Sens!G16608)</f>
        <v>0</v>
      </c>
      <c r="H16610" s="27" t="n">
        <f aca="false">(Sens!H16589+Sens!H16594+Sens!H16595+Sens!H16597+Sens!H16599-Sens!H16601)+(Sens!H16602+Sens!H16604+Sens!H16606-Sens!H16608)</f>
        <v>0</v>
      </c>
      <c r="I16610" s="27" t="n">
        <f aca="false">(Sens!I16589+Sens!I16594+Sens!I16595+Sens!I16597+Sens!I16599-Sens!I16601)+(Sens!I16602+Sens!I16604+Sens!I16606-Sens!I16608)</f>
        <v>0</v>
      </c>
      <c r="J16610" s="27" t="n">
        <f aca="false">(Sens!J16589+Sens!J16594+Sens!J16595+Sens!J16597+Sens!J16599-Sens!J16601)+(Sens!J16602+Sens!J16604+Sens!J16606-Sens!J16608)</f>
        <v>0</v>
      </c>
      <c r="K16610" s="27" t="n">
        <f aca="false">(Sens!K16589+Sens!K16594+Sens!K16595+Sens!K16597+Sens!K16599-Sens!K16601)+(Sens!K16602+Sens!K16604+Sens!K16606-Sens!K16608)</f>
        <v>0</v>
      </c>
    </row>
    <row r="16611" customFormat="false" ht="17.15" hidden="false" customHeight="false" outlineLevel="0" collapsed="false">
      <c r="A16611" s="3" t="s">
        <v>2021</v>
      </c>
    </row>
    <row r="16612" customFormat="false" ht="15" hidden="false" customHeight="false" outlineLevel="0" collapsed="false">
      <c r="A16612" s="4" t="s">
        <v>43</v>
      </c>
      <c r="B16612" s="4" t="s">
        <v>65</v>
      </c>
      <c r="C16612" s="23" t="s">
        <v>942</v>
      </c>
      <c r="D16612" s="23" t="s">
        <v>943</v>
      </c>
      <c r="E16612" s="23" t="s">
        <v>944</v>
      </c>
      <c r="F16612" s="23" t="s">
        <v>945</v>
      </c>
      <c r="G16612" s="23" t="s">
        <v>946</v>
      </c>
      <c r="H16612" s="23" t="s">
        <v>947</v>
      </c>
      <c r="I16612" s="23" t="s">
        <v>948</v>
      </c>
      <c r="J16612" s="23" t="s">
        <v>949</v>
      </c>
      <c r="K16612" s="23" t="s">
        <v>950</v>
      </c>
      <c r="L16612" s="4" t="s">
        <v>47</v>
      </c>
    </row>
    <row r="16613" customFormat="false" ht="15" hidden="false" customHeight="false" outlineLevel="0" collapsed="false">
      <c r="A16613" s="0" t="s">
        <v>1029</v>
      </c>
      <c r="B16613" s="0" t="s">
        <v>98</v>
      </c>
      <c r="D16613" s="6" t="n">
        <f aca="false">Sens!D16589</f>
        <v>72.61</v>
      </c>
      <c r="E16613" s="6" t="n">
        <f aca="false">Sens!E16589</f>
        <v>101.938</v>
      </c>
      <c r="F16613" s="6" t="n">
        <f aca="false">Sens!F16589</f>
        <v>149.59001837225</v>
      </c>
      <c r="G16613" s="6" t="n">
        <f aca="false">Sens!G16589</f>
        <v>210.963087346352</v>
      </c>
      <c r="H16613" s="6" t="n">
        <f aca="false">Sens!H16589</f>
        <v>278.649709314524</v>
      </c>
      <c r="I16613" s="6" t="n">
        <f aca="false">Sens!I16589</f>
        <v>334.269404582332</v>
      </c>
      <c r="J16613" s="6" t="n">
        <f aca="false">Sens!J16589</f>
        <v>376.517293063672</v>
      </c>
      <c r="K16613" s="6" t="n">
        <f aca="false">Sens!K16589</f>
        <v>406.018092622804</v>
      </c>
    </row>
    <row r="16614" customFormat="false" ht="17.15" hidden="false" customHeight="false" outlineLevel="0" collapsed="false">
      <c r="A16614" s="0" t="s">
        <v>1025</v>
      </c>
      <c r="B16614" s="0" t="s">
        <v>98</v>
      </c>
      <c r="D16614" s="6" t="n">
        <f aca="false">Sens!D16586</f>
        <v>12.9359794422418</v>
      </c>
      <c r="E16614" s="6" t="n">
        <f aca="false">Sens!E16586</f>
        <v>27.8095064661409</v>
      </c>
      <c r="F16614" s="6" t="n">
        <f aca="false">Sens!F16586</f>
        <v>59.1034165651511</v>
      </c>
      <c r="G16614" s="6" t="n">
        <f aca="false">Sens!G16586</f>
        <v>103.451498789198</v>
      </c>
      <c r="H16614" s="6" t="n">
        <f aca="false">Sens!H16586</f>
        <v>153.816719989035</v>
      </c>
      <c r="I16614" s="6" t="n">
        <f aca="false">Sens!I16586</f>
        <v>192.699478690852</v>
      </c>
      <c r="J16614" s="6" t="n">
        <f aca="false">Sens!J16586</f>
        <v>219.794102584244</v>
      </c>
      <c r="K16614" s="6" t="n">
        <f aca="false">Sens!K16586</f>
        <v>236.757046905022</v>
      </c>
    </row>
    <row r="16615" customFormat="false" ht="17.15" hidden="false" customHeight="false" outlineLevel="0" collapsed="false">
      <c r="A16615" s="0" t="s">
        <v>1056</v>
      </c>
      <c r="B16615" s="0" t="s">
        <v>98</v>
      </c>
      <c r="D16615" s="6" t="n">
        <f aca="false">Sens!D16587</f>
        <v>59.6740205577583</v>
      </c>
      <c r="E16615" s="6" t="n">
        <f aca="false">Sens!E16587</f>
        <v>74.1284935338591</v>
      </c>
      <c r="F16615" s="6" t="n">
        <f aca="false">Sens!F16587</f>
        <v>90.4866018070994</v>
      </c>
      <c r="G16615" s="6" t="n">
        <f aca="false">Sens!G16587</f>
        <v>107.511588557154</v>
      </c>
      <c r="H16615" s="6" t="n">
        <f aca="false">Sens!H16587</f>
        <v>124.832989325489</v>
      </c>
      <c r="I16615" s="6" t="n">
        <f aca="false">Sens!I16587</f>
        <v>141.56992589148</v>
      </c>
      <c r="J16615" s="6" t="n">
        <f aca="false">Sens!J16587</f>
        <v>156.723190479428</v>
      </c>
      <c r="K16615" s="6" t="n">
        <f aca="false">Sens!K16587</f>
        <v>169.261045717783</v>
      </c>
    </row>
    <row r="16616" customFormat="false" ht="15" hidden="false" customHeight="false" outlineLevel="0" collapsed="false">
      <c r="A16616" s="0" t="s">
        <v>1036</v>
      </c>
      <c r="B16616" s="0" t="s">
        <v>98</v>
      </c>
      <c r="D16616" s="6" t="n">
        <f aca="false">Sens!D16594</f>
        <v>84.605</v>
      </c>
      <c r="E16616" s="6" t="n">
        <f aca="false">Sens!E16594</f>
        <v>100.299</v>
      </c>
      <c r="F16616" s="6" t="n">
        <f aca="false">Sens!F16594</f>
        <v>119.729653205718</v>
      </c>
      <c r="G16616" s="6" t="n">
        <f aca="false">Sens!G16594</f>
        <v>140.806092647576</v>
      </c>
      <c r="H16616" s="6" t="n">
        <f aca="false">Sens!H16594</f>
        <v>161.963437602768</v>
      </c>
      <c r="I16616" s="6" t="n">
        <f aca="false">Sens!I16594</f>
        <v>180.695354741933</v>
      </c>
      <c r="J16616" s="6" t="n">
        <f aca="false">Sens!J16594</f>
        <v>196.722117481571</v>
      </c>
      <c r="K16616" s="6" t="n">
        <f aca="false">Sens!K16594</f>
        <v>212.00016570528</v>
      </c>
    </row>
    <row r="16617" customFormat="false" ht="17.15" hidden="false" customHeight="false" outlineLevel="0" collapsed="false">
      <c r="A16617" s="0" t="s">
        <v>1057</v>
      </c>
      <c r="B16617" s="0" t="s">
        <v>98</v>
      </c>
      <c r="D16617" s="6" t="n">
        <f aca="false">Sens!D16592</f>
        <v>83.705</v>
      </c>
      <c r="E16617" s="6" t="n">
        <f aca="false">Sens!E16592</f>
        <v>95.049</v>
      </c>
      <c r="F16617" s="6" t="n">
        <f aca="false">Sens!F16592</f>
        <v>106.229653205718</v>
      </c>
      <c r="G16617" s="6" t="n">
        <f aca="false">Sens!G16592</f>
        <v>118.306092647576</v>
      </c>
      <c r="H16617" s="6" t="n">
        <f aca="false">Sens!H16592</f>
        <v>130.463437602768</v>
      </c>
      <c r="I16617" s="6" t="n">
        <f aca="false">Sens!I16592</f>
        <v>142.445354741933</v>
      </c>
      <c r="J16617" s="6" t="n">
        <f aca="false">Sens!J16592</f>
        <v>153.972117481571</v>
      </c>
      <c r="K16617" s="6" t="n">
        <f aca="false">Sens!K16592</f>
        <v>164.75016570528</v>
      </c>
    </row>
    <row r="16618" customFormat="false" ht="17.15" hidden="false" customHeight="false" outlineLevel="0" collapsed="false">
      <c r="A16618" s="0" t="s">
        <v>1058</v>
      </c>
      <c r="B16618" s="0" t="s">
        <v>98</v>
      </c>
      <c r="D16618" s="6" t="n">
        <f aca="false">Sens!D16591</f>
        <v>0.9</v>
      </c>
      <c r="E16618" s="6" t="n">
        <f aca="false">Sens!E16591</f>
        <v>5.25</v>
      </c>
      <c r="F16618" s="6" t="n">
        <f aca="false">Sens!F16591</f>
        <v>13.5</v>
      </c>
      <c r="G16618" s="6" t="n">
        <f aca="false">Sens!G16591</f>
        <v>22.5</v>
      </c>
      <c r="H16618" s="6" t="n">
        <f aca="false">Sens!H16591</f>
        <v>31.5</v>
      </c>
      <c r="I16618" s="6" t="n">
        <f aca="false">Sens!I16591</f>
        <v>38.25</v>
      </c>
      <c r="J16618" s="6" t="n">
        <f aca="false">Sens!J16591</f>
        <v>42.75</v>
      </c>
      <c r="K16618" s="6" t="n">
        <f aca="false">Sens!K16591</f>
        <v>47.25</v>
      </c>
    </row>
    <row r="16619" customFormat="false" ht="15" hidden="false" customHeight="false" outlineLevel="0" collapsed="false">
      <c r="A16619" s="0" t="s">
        <v>1037</v>
      </c>
      <c r="B16619" s="0" t="s">
        <v>98</v>
      </c>
      <c r="D16619" s="6" t="n">
        <f aca="false">Sens!D16595</f>
        <v>35.391</v>
      </c>
      <c r="E16619" s="6" t="n">
        <f aca="false">Sens!E16595</f>
        <v>37.285</v>
      </c>
      <c r="F16619" s="6" t="n">
        <f aca="false">Sens!F16595</f>
        <v>38.3851437782675</v>
      </c>
      <c r="G16619" s="6" t="n">
        <f aca="false">Sens!G16595</f>
        <v>40.0105353288615</v>
      </c>
      <c r="H16619" s="6" t="n">
        <f aca="false">Sens!H16595</f>
        <v>41.4812512033683</v>
      </c>
      <c r="I16619" s="6" t="n">
        <f aca="false">Sens!I16595</f>
        <v>42.7743107216329</v>
      </c>
      <c r="J16619" s="6" t="n">
        <f aca="false">Sens!J16595</f>
        <v>43.8687373064601</v>
      </c>
      <c r="K16619" s="6" t="n">
        <f aca="false">Sens!K16595</f>
        <v>44.7461120525893</v>
      </c>
    </row>
    <row r="16620" customFormat="false" ht="15" hidden="false" customHeight="false" outlineLevel="0" collapsed="false">
      <c r="A16620" s="0" t="s">
        <v>1039</v>
      </c>
      <c r="B16620" s="0" t="s">
        <v>98</v>
      </c>
      <c r="D16620" s="6" t="n">
        <f aca="false">Sens!D16597</f>
        <v>18.417</v>
      </c>
      <c r="E16620" s="6" t="n">
        <f aca="false">Sens!E16597</f>
        <v>20.345</v>
      </c>
      <c r="F16620" s="6" t="n">
        <f aca="false">Sens!F16597</f>
        <v>22.3161797133988</v>
      </c>
      <c r="G16620" s="6" t="n">
        <f aca="false">Sens!G16597</f>
        <v>24.3943499673233</v>
      </c>
      <c r="H16620" s="6" t="n">
        <f aca="false">Sens!H16597</f>
        <v>26.5250243109019</v>
      </c>
      <c r="I16620" s="6" t="n">
        <f aca="false">Sens!I16597</f>
        <v>28.6884573538181</v>
      </c>
      <c r="J16620" s="6" t="n">
        <f aca="false">Sens!J16597</f>
        <v>30.8624968052127</v>
      </c>
      <c r="K16620" s="6" t="n">
        <f aca="false">Sens!K16597</f>
        <v>33.0228715815776</v>
      </c>
    </row>
    <row r="16621" customFormat="false" ht="15" hidden="false" customHeight="false" outlineLevel="0" collapsed="false">
      <c r="A16621" s="0" t="s">
        <v>1040</v>
      </c>
      <c r="B16621" s="0" t="s">
        <v>98</v>
      </c>
      <c r="D16621" s="6" t="n">
        <f aca="false">Sens!D16599</f>
        <v>7.76</v>
      </c>
      <c r="E16621" s="6" t="n">
        <f aca="false">Sens!E16599</f>
        <v>8.26</v>
      </c>
      <c r="F16621" s="6" t="n">
        <f aca="false">Sens!F16599</f>
        <v>8.75372082474227</v>
      </c>
      <c r="G16621" s="6" t="n">
        <f aca="false">Sens!G16599</f>
        <v>9.33399324642364</v>
      </c>
      <c r="H16621" s="6" t="n">
        <f aca="false">Sens!H16599</f>
        <v>9.96139155535851</v>
      </c>
      <c r="I16621" s="6" t="n">
        <f aca="false">Sens!I16599</f>
        <v>10.6402039077391</v>
      </c>
      <c r="J16621" s="6" t="n">
        <f aca="false">Sens!J16599</f>
        <v>11.3751458271397</v>
      </c>
      <c r="K16621" s="6" t="n">
        <f aca="false">Sens!K16599</f>
        <v>12.1714060350394</v>
      </c>
    </row>
    <row r="16622" customFormat="false" ht="15" hidden="false" customHeight="false" outlineLevel="0" collapsed="false">
      <c r="A16622" s="0" t="s">
        <v>856</v>
      </c>
      <c r="B16622" s="0" t="s">
        <v>98</v>
      </c>
      <c r="D16622" s="6" t="n">
        <f aca="false">Sens!D16601</f>
        <v>218.783</v>
      </c>
      <c r="E16622" s="6" t="n">
        <f aca="false">Sens!E16601</f>
        <v>268.127</v>
      </c>
      <c r="F16622" s="6" t="n">
        <f aca="false">Sens!F16601</f>
        <v>338.774715894377</v>
      </c>
      <c r="G16622" s="6" t="n">
        <f aca="false">Sens!G16601</f>
        <v>425.508058536537</v>
      </c>
      <c r="H16622" s="6" t="n">
        <f aca="false">Sens!H16601</f>
        <v>518.580813986921</v>
      </c>
      <c r="I16622" s="6" t="n">
        <f aca="false">Sens!I16601</f>
        <v>597.067731307455</v>
      </c>
      <c r="J16622" s="6" t="n">
        <f aca="false">Sens!J16601</f>
        <v>659.345790484055</v>
      </c>
      <c r="K16622" s="6" t="n">
        <f aca="false">Sens!K16601</f>
        <v>707.958647997291</v>
      </c>
    </row>
    <row r="16623" customFormat="false" ht="15" hidden="false" customHeight="false" outlineLevel="0" collapsed="false">
      <c r="A16623" s="0" t="s">
        <v>1041</v>
      </c>
      <c r="B16623" s="0" t="s">
        <v>98</v>
      </c>
      <c r="D16623" s="6" t="n">
        <f aca="false">Sens!D16602</f>
        <v>22.171</v>
      </c>
      <c r="E16623" s="6" t="n">
        <f aca="false">Sens!E16602</f>
        <v>24.835</v>
      </c>
      <c r="F16623" s="6" t="n">
        <f aca="false">Sens!F16602</f>
        <v>27.5591895660247</v>
      </c>
      <c r="G16623" s="6" t="n">
        <f aca="false">Sens!G16602</f>
        <v>30.4098563144583</v>
      </c>
      <c r="H16623" s="6" t="n">
        <f aca="false">Sens!H16602</f>
        <v>33.3011792571777</v>
      </c>
      <c r="I16623" s="6" t="n">
        <f aca="false">Sens!I16602</f>
        <v>36.189023797112</v>
      </c>
      <c r="J16623" s="6" t="n">
        <f aca="false">Sens!J16602</f>
        <v>39.0247773769199</v>
      </c>
      <c r="K16623" s="6" t="n">
        <f aca="false">Sens!K16602</f>
        <v>41.7565117933043</v>
      </c>
    </row>
    <row r="16624" customFormat="false" ht="15" hidden="false" customHeight="false" outlineLevel="0" collapsed="false">
      <c r="A16624" s="0" t="s">
        <v>1042</v>
      </c>
      <c r="B16624" s="0" t="s">
        <v>98</v>
      </c>
      <c r="D16624" s="6" t="n">
        <f aca="false">Sens!D16604</f>
        <v>23.455</v>
      </c>
      <c r="E16624" s="6" t="n">
        <f aca="false">Sens!E16604</f>
        <v>21.79</v>
      </c>
      <c r="F16624" s="6" t="n">
        <f aca="false">Sens!F16604</f>
        <v>20.7520981041711</v>
      </c>
      <c r="G16624" s="6" t="n">
        <f aca="false">Sens!G16604</f>
        <v>19.9083593495882</v>
      </c>
      <c r="H16624" s="6" t="n">
        <f aca="false">Sens!H16604</f>
        <v>19.4008256265831</v>
      </c>
      <c r="I16624" s="6" t="n">
        <f aca="false">Sens!I16604</f>
        <v>19.200434522122</v>
      </c>
      <c r="J16624" s="6" t="n">
        <f aca="false">Sens!J16604</f>
        <v>19.2932782348507</v>
      </c>
      <c r="K16624" s="6" t="n">
        <f aca="false">Sens!K16604</f>
        <v>19.6791437995477</v>
      </c>
    </row>
    <row r="16625" customFormat="false" ht="15" hidden="false" customHeight="false" outlineLevel="0" collapsed="false">
      <c r="A16625" s="0" t="s">
        <v>1043</v>
      </c>
      <c r="B16625" s="0" t="s">
        <v>98</v>
      </c>
      <c r="D16625" s="6" t="n">
        <f aca="false">Sens!D16606</f>
        <v>17.315</v>
      </c>
      <c r="E16625" s="6" t="n">
        <f aca="false">Sens!E16606</f>
        <v>17.087</v>
      </c>
      <c r="F16625" s="6" t="n">
        <f aca="false">Sens!F16606</f>
        <v>15.9912273250553</v>
      </c>
      <c r="G16625" s="6" t="n">
        <f aca="false">Sens!G16606</f>
        <v>15.9574562664827</v>
      </c>
      <c r="H16625" s="6" t="n">
        <f aca="false">Sens!H16606</f>
        <v>16.0119687434196</v>
      </c>
      <c r="I16625" s="6" t="n">
        <f aca="false">Sens!I16606</f>
        <v>16.1551810001948</v>
      </c>
      <c r="J16625" s="6" t="n">
        <f aca="false">Sens!J16606</f>
        <v>16.3889793892005</v>
      </c>
      <c r="K16625" s="6" t="n">
        <f aca="false">Sens!K16606</f>
        <v>16.7167589769845</v>
      </c>
    </row>
    <row r="16626" customFormat="false" ht="15" hidden="false" customHeight="false" outlineLevel="0" collapsed="false">
      <c r="A16626" s="0" t="s">
        <v>870</v>
      </c>
      <c r="B16626" s="0" t="s">
        <v>98</v>
      </c>
      <c r="D16626" s="6" t="n">
        <f aca="false">Sens!D16608</f>
        <v>62.941</v>
      </c>
      <c r="E16626" s="6" t="n">
        <f aca="false">Sens!E16608</f>
        <v>63.712</v>
      </c>
      <c r="F16626" s="6" t="n">
        <f aca="false">Sens!F16608</f>
        <v>64.3025149952511</v>
      </c>
      <c r="G16626" s="6" t="n">
        <f aca="false">Sens!G16608</f>
        <v>66.2756719305292</v>
      </c>
      <c r="H16626" s="6" t="n">
        <f aca="false">Sens!H16608</f>
        <v>68.7139736271804</v>
      </c>
      <c r="I16626" s="6" t="n">
        <f aca="false">Sens!I16608</f>
        <v>71.5446393194289</v>
      </c>
      <c r="J16626" s="6" t="n">
        <f aca="false">Sens!J16608</f>
        <v>74.707035000971</v>
      </c>
      <c r="K16626" s="6" t="n">
        <f aca="false">Sens!K16608</f>
        <v>78.1524145698365</v>
      </c>
    </row>
    <row r="16627" customFormat="false" ht="15" hidden="false" customHeight="false" outlineLevel="0" collapsed="false">
      <c r="A16627" s="1" t="s">
        <v>1059</v>
      </c>
      <c r="B16627" s="0" t="s">
        <v>98</v>
      </c>
      <c r="D16627" s="6" t="n">
        <f aca="false">Sens!D16609</f>
        <v>281.724</v>
      </c>
      <c r="E16627" s="6" t="n">
        <f aca="false">Sens!E16609</f>
        <v>331.839</v>
      </c>
      <c r="F16627" s="6" t="n">
        <f aca="false">Sens!F16609</f>
        <v>403.077230889628</v>
      </c>
      <c r="G16627" s="6" t="n">
        <f aca="false">Sens!G16609</f>
        <v>491.783730467066</v>
      </c>
      <c r="H16627" s="6" t="n">
        <f aca="false">Sens!H16609</f>
        <v>587.294787614101</v>
      </c>
      <c r="I16627" s="6" t="n">
        <f aca="false">Sens!I16609</f>
        <v>668.612370626884</v>
      </c>
      <c r="J16627" s="6" t="n">
        <f aca="false">Sens!J16609</f>
        <v>734.052825485026</v>
      </c>
      <c r="K16627" s="6" t="n">
        <f aca="false">Sens!K16609</f>
        <v>786.111062567128</v>
      </c>
    </row>
    <row r="16628" customFormat="false" ht="15" hidden="false" customHeight="false" outlineLevel="0" collapsed="false">
      <c r="A16628" s="1" t="s">
        <v>1060</v>
      </c>
      <c r="B16628" s="0" t="s">
        <v>168</v>
      </c>
      <c r="E16628" s="7" t="n">
        <f aca="false">Sens!E16627/Sens!D16627-1</f>
        <v>0.177886867998467</v>
      </c>
      <c r="F16628" s="7" t="n">
        <f aca="false">Sens!F16627/Sens!E16627-1</f>
        <v>0.21467709006364</v>
      </c>
      <c r="G16628" s="7" t="n">
        <f aca="false">Sens!G16627/Sens!F16627-1</f>
        <v>0.220073208753704</v>
      </c>
      <c r="H16628" s="7" t="n">
        <f aca="false">Sens!H16627/Sens!G16627-1</f>
        <v>0.194213535808362</v>
      </c>
      <c r="I16628" s="7" t="n">
        <f aca="false">Sens!I16627/Sens!H16627-1</f>
        <v>0.13846127145643</v>
      </c>
      <c r="J16628" s="7" t="n">
        <f aca="false">Sens!J16627/Sens!I16627-1</f>
        <v>0.0978750285412546</v>
      </c>
      <c r="K16628" s="7" t="n">
        <f aca="false">Sens!K16627/Sens!J16627-1</f>
        <v>0.0709189247350204</v>
      </c>
    </row>
    <row r="16629" customFormat="false" ht="17.15" hidden="false" customHeight="false" outlineLevel="0" collapsed="false">
      <c r="A16629" s="26" t="s">
        <v>1061</v>
      </c>
      <c r="B16629" s="31" t="s">
        <v>98</v>
      </c>
      <c r="C16629" s="31"/>
      <c r="D16629" s="27" t="n">
        <f aca="false">(Sens!D16622+Sens!D16626-Sens!D16627)+(Sens!D16614+Sens!D16615-Sens!D16613)+(Sens!D16617+Sens!D16618-Sens!D16616)+(Sens!D16627-Q!L18)</f>
        <v>0</v>
      </c>
      <c r="E16629" s="27" t="n">
        <f aca="false">(Sens!E16622+Sens!E16626-Sens!E16627)+(Sens!E16614+Sens!E16615-Sens!E16613)+(Sens!E16617+Sens!E16618-Sens!E16616)+(Sens!E16627-Q!M18)</f>
        <v>0</v>
      </c>
      <c r="F16629" s="27" t="n">
        <f aca="false">(Sens!F16622+Sens!F16626-Sens!F16627)+(Sens!F16614+Sens!F16615-Sens!F16613)+(Sens!F16617+Sens!F16618-Sens!F16616)</f>
        <v>0</v>
      </c>
      <c r="G16629" s="27" t="n">
        <f aca="false">(Sens!G16622+Sens!G16626-Sens!G16627)+(Sens!G16614+Sens!G16615-Sens!G16613)+(Sens!G16617+Sens!G16618-Sens!G16616)</f>
        <v>0</v>
      </c>
      <c r="H16629" s="27" t="n">
        <f aca="false">(Sens!H16622+Sens!H16626-Sens!H16627)+(Sens!H16614+Sens!H16615-Sens!H16613)+(Sens!H16617+Sens!H16618-Sens!H16616)</f>
        <v>0</v>
      </c>
      <c r="I16629" s="27" t="n">
        <f aca="false">(Sens!I16622+Sens!I16626-Sens!I16627)+(Sens!I16614+Sens!I16615-Sens!I16613)+(Sens!I16617+Sens!I16618-Sens!I16616)</f>
        <v>0</v>
      </c>
      <c r="J16629" s="27" t="n">
        <f aca="false">(Sens!J16622+Sens!J16626-Sens!J16627)+(Sens!J16614+Sens!J16615-Sens!J16613)+(Sens!J16617+Sens!J16618-Sens!J16616)</f>
        <v>0</v>
      </c>
      <c r="K16629" s="27" t="n">
        <f aca="false">(Sens!K16622+Sens!K16626-Sens!K16627)+(Sens!K16614+Sens!K16615-Sens!K16613)+(Sens!K16617+Sens!K16618-Sens!K16616)</f>
        <v>0</v>
      </c>
    </row>
    <row r="16630" customFormat="false" ht="17.15" hidden="false" customHeight="false" outlineLevel="0" collapsed="false">
      <c r="A16630" s="0" t="s">
        <v>1062</v>
      </c>
      <c r="B16630" s="0" t="s">
        <v>168</v>
      </c>
      <c r="E16630" s="7" t="n">
        <f aca="false">(Q!M21+Sens!E16566+Sens!E16567+Sens!E16568+Sens!E16582-Sens!E16564)/(Q!M5-Sens!E16564)</f>
        <v>0.570957350878296</v>
      </c>
      <c r="F16630" s="7" t="n">
        <f aca="false">Sens!$E$16630+dm_seg</f>
        <v>0.570957350878296</v>
      </c>
      <c r="G16630" s="7" t="n">
        <f aca="false">Sens!$E$16630+dm_seg</f>
        <v>0.570957350878296</v>
      </c>
      <c r="H16630" s="7" t="n">
        <f aca="false">Sens!$E$16630+dm_seg</f>
        <v>0.570957350878296</v>
      </c>
      <c r="I16630" s="7" t="n">
        <f aca="false">Sens!$E$16630+dm_seg</f>
        <v>0.570957350878296</v>
      </c>
      <c r="J16630" s="7" t="n">
        <f aca="false">Sens!$E$16630+dm_seg</f>
        <v>0.570957350878296</v>
      </c>
      <c r="K16630" s="7" t="n">
        <f aca="false">Sens!$E$16630+dm_seg</f>
        <v>0.570957350878296</v>
      </c>
      <c r="L16630" s="12" t="s">
        <v>1063</v>
      </c>
    </row>
    <row r="16631" customFormat="false" ht="17.15" hidden="false" customHeight="false" outlineLevel="0" collapsed="false">
      <c r="A16631" s="0" t="s">
        <v>884</v>
      </c>
      <c r="B16631" s="0" t="s">
        <v>98</v>
      </c>
      <c r="D16631" s="6" t="n">
        <f aca="false">Q!L21</f>
        <v>110.814</v>
      </c>
      <c r="E16631" s="6" t="n">
        <f aca="false">Q!M21</f>
        <v>136.365</v>
      </c>
      <c r="F16631" s="6" t="n">
        <f aca="false">Q!$I$21+(Sens!F16630*(Sens!F16601-Sens!F16564)+Sens!F16564-(Sens!F16566+Sens!F16567+Sens!F16568)-Sens!F16582-Sens!F16665)*(Sens!F16601-Q!$I$5)/Sens!F16601</f>
        <v>165.518940289865</v>
      </c>
      <c r="G16631" s="6" t="n">
        <f aca="false">(Sens!G16630*(Sens!G16601-Sens!G16564)+Sens!G16564-(Sens!G16566+Sens!G16567+Sens!G16568)-Sens!G16582-Sens!G16665)</f>
        <v>191.522093802735</v>
      </c>
      <c r="H16631" s="6" t="n">
        <f aca="false">(Sens!H16630*(Sens!H16601-Sens!H16564)+Sens!H16564-(Sens!H16566+Sens!H16567+Sens!H16568)-Sens!H16582-Sens!H16665)</f>
        <v>225.776483596689</v>
      </c>
      <c r="I16631" s="6" t="n">
        <f aca="false">(Sens!I16630*(Sens!I16601-Sens!I16564)+Sens!I16564-(Sens!I16566+Sens!I16567+Sens!I16568)-Sens!I16582-Sens!I16665)</f>
        <v>251.64174329374</v>
      </c>
      <c r="J16631" s="6" t="n">
        <f aca="false">(Sens!J16630*(Sens!J16601-Sens!J16564)+Sens!J16564-(Sens!J16566+Sens!J16567+Sens!J16568)-Sens!J16582-Sens!J16665)</f>
        <v>273.893745224048</v>
      </c>
      <c r="K16631" s="6" t="n">
        <f aca="false">(Sens!K16630*(Sens!K16601-Sens!K16564)+Sens!K16564-(Sens!K16566+Sens!K16567+Sens!K16568)-Sens!K16582-Sens!K16665)</f>
        <v>293.874045571005</v>
      </c>
      <c r="L16631" s="1" t="s">
        <v>1064</v>
      </c>
    </row>
    <row r="16632" customFormat="false" ht="17.15" hidden="false" customHeight="false" outlineLevel="0" collapsed="false">
      <c r="A16632" s="0" t="s">
        <v>1065</v>
      </c>
      <c r="B16632" s="0" t="s">
        <v>168</v>
      </c>
      <c r="E16632" s="7" t="n">
        <f aca="false">Q!M22/Q!M12</f>
        <v>0.296207935710698</v>
      </c>
      <c r="F16632" s="7" t="n">
        <f aca="false">Sens!$E$16632+dm_seg</f>
        <v>0.296207935710698</v>
      </c>
      <c r="G16632" s="7" t="n">
        <f aca="false">Sens!$E$16632+dm_seg</f>
        <v>0.296207935710698</v>
      </c>
      <c r="H16632" s="7" t="n">
        <f aca="false">Sens!$E$16632+dm_seg</f>
        <v>0.296207935710698</v>
      </c>
      <c r="I16632" s="7" t="n">
        <f aca="false">Sens!$E$16632+dm_seg</f>
        <v>0.296207935710698</v>
      </c>
      <c r="J16632" s="7" t="n">
        <f aca="false">Sens!$E$16632+dm_seg</f>
        <v>0.296207935710698</v>
      </c>
      <c r="K16632" s="7" t="n">
        <f aca="false">Sens!$E$16632+dm_seg</f>
        <v>0.296207935710698</v>
      </c>
      <c r="L16632" s="12" t="s">
        <v>1066</v>
      </c>
    </row>
    <row r="16633" customFormat="false" ht="17.15" hidden="false" customHeight="false" outlineLevel="0" collapsed="false">
      <c r="A16633" s="0" t="s">
        <v>886</v>
      </c>
      <c r="B16633" s="0" t="s">
        <v>98</v>
      </c>
      <c r="D16633" s="6" t="n">
        <f aca="false">Q!L22</f>
        <v>17.714</v>
      </c>
      <c r="E16633" s="6" t="n">
        <f aca="false">Q!M22</f>
        <v>18.872</v>
      </c>
      <c r="F16633" s="6" t="n">
        <f aca="false">Q!$I$22+(Sens!F16608-Q!$I$12)*Sens!F16632</f>
        <v>19.8174315512051</v>
      </c>
      <c r="G16633" s="6" t="n">
        <f aca="false">Sens!G16608*Sens!G16632</f>
        <v>19.6313799703815</v>
      </c>
      <c r="H16633" s="6" t="n">
        <f aca="false">Sens!H16608*Sens!H16632</f>
        <v>20.3536242825865</v>
      </c>
      <c r="I16633" s="6" t="n">
        <f aca="false">Sens!I16608*Sens!I16632</f>
        <v>21.1920899239745</v>
      </c>
      <c r="J16633" s="6" t="n">
        <f aca="false">Sens!J16608*Sens!J16632</f>
        <v>22.1288166207045</v>
      </c>
      <c r="K16633" s="6" t="n">
        <f aca="false">Sens!K16608*Sens!K16632</f>
        <v>23.1493653905379</v>
      </c>
      <c r="L16633" s="12" t="s">
        <v>1067</v>
      </c>
    </row>
    <row r="16634" customFormat="false" ht="15" hidden="false" customHeight="false" outlineLevel="0" collapsed="false">
      <c r="A16634" s="1" t="s">
        <v>1068</v>
      </c>
      <c r="B16634" s="0" t="s">
        <v>98</v>
      </c>
      <c r="D16634" s="6" t="n">
        <f aca="false">Sens!D16631+Sens!D16633</f>
        <v>128.528</v>
      </c>
      <c r="E16634" s="6" t="n">
        <f aca="false">Sens!E16631+Sens!E16633</f>
        <v>155.237</v>
      </c>
      <c r="F16634" s="6" t="n">
        <f aca="false">Sens!F16631+Sens!F16633</f>
        <v>185.33637184107</v>
      </c>
      <c r="G16634" s="6" t="n">
        <f aca="false">Sens!G16631+Sens!G16633</f>
        <v>211.153473773117</v>
      </c>
      <c r="H16634" s="6" t="n">
        <f aca="false">Sens!H16631+Sens!H16633</f>
        <v>246.130107879275</v>
      </c>
      <c r="I16634" s="6" t="n">
        <f aca="false">Sens!I16631+Sens!I16633</f>
        <v>272.833833217714</v>
      </c>
      <c r="J16634" s="6" t="n">
        <f aca="false">Sens!J16631+Sens!J16633</f>
        <v>296.022561844752</v>
      </c>
      <c r="K16634" s="6" t="n">
        <f aca="false">Sens!K16631+Sens!K16633</f>
        <v>317.023410961543</v>
      </c>
    </row>
    <row r="16635" customFormat="false" ht="15" hidden="false" customHeight="false" outlineLevel="0" collapsed="false">
      <c r="A16635" s="26" t="s">
        <v>1069</v>
      </c>
      <c r="B16635" s="31" t="s">
        <v>98</v>
      </c>
      <c r="C16635" s="31"/>
      <c r="D16635" s="27" t="n">
        <f aca="false">Sens!D16634-Q!L23</f>
        <v>0</v>
      </c>
      <c r="E16635" s="27" t="n">
        <f aca="false">Sens!E16634-Q!M23</f>
        <v>0</v>
      </c>
      <c r="F16635" s="31"/>
      <c r="G16635" s="31"/>
      <c r="H16635" s="31"/>
      <c r="I16635" s="31"/>
      <c r="J16635" s="31"/>
      <c r="K16635" s="31"/>
    </row>
    <row r="16636" customFormat="false" ht="15" hidden="false" customHeight="false" outlineLevel="0" collapsed="false">
      <c r="A16636" s="1" t="s">
        <v>1070</v>
      </c>
      <c r="B16636" s="0" t="s">
        <v>168</v>
      </c>
      <c r="D16636" s="7" t="n">
        <f aca="false">Sens!D16634/Sens!D16627</f>
        <v>0.456219562408598</v>
      </c>
      <c r="E16636" s="7" t="n">
        <f aca="false">Sens!E16634/Sens!E16627</f>
        <v>0.467808184089272</v>
      </c>
      <c r="F16636" s="7" t="n">
        <f aca="false">Sens!F16634/Sens!F16627</f>
        <v>0.45980362480911</v>
      </c>
      <c r="G16636" s="7" t="n">
        <f aca="false">Sens!G16634/Sens!G16627</f>
        <v>0.429362462992779</v>
      </c>
      <c r="H16636" s="7" t="n">
        <f aca="false">Sens!H16634/Sens!H16627</f>
        <v>0.419091252076636</v>
      </c>
      <c r="I16636" s="7" t="n">
        <f aca="false">Sens!I16634/Sens!I16627</f>
        <v>0.408059804460256</v>
      </c>
      <c r="J16636" s="7" t="n">
        <f aca="false">Sens!J16634/Sens!J16627</f>
        <v>0.403271469800767</v>
      </c>
      <c r="K16636" s="7" t="n">
        <f aca="false">Sens!K16634/Sens!K16627</f>
        <v>0.403280689024106</v>
      </c>
    </row>
    <row r="16637" customFormat="false" ht="17.15" hidden="false" customHeight="false" outlineLevel="0" collapsed="false">
      <c r="A16637" s="1" t="s">
        <v>1071</v>
      </c>
      <c r="B16637" s="0" t="s">
        <v>98</v>
      </c>
      <c r="F16637" s="6" t="n">
        <f aca="false">Sens!F16652</f>
        <v>3.87583440535588</v>
      </c>
      <c r="G16637" s="6" t="n">
        <f aca="false">Sens!G16652</f>
        <v>17.5254762141793</v>
      </c>
      <c r="H16637" s="6" t="n">
        <f aca="false">Sens!H16652</f>
        <v>32.6995343079048</v>
      </c>
      <c r="I16637" s="6" t="n">
        <f aca="false">Sens!I16652</f>
        <v>46.7456291766606</v>
      </c>
      <c r="J16637" s="6" t="n">
        <f aca="false">Sens!J16652</f>
        <v>56.5957982001541</v>
      </c>
      <c r="K16637" s="6" t="n">
        <f aca="false">Sens!K16652</f>
        <v>61.5187824475247</v>
      </c>
      <c r="L16637" s="1" t="s">
        <v>1072</v>
      </c>
    </row>
    <row r="16638" customFormat="false" ht="17.15" hidden="false" customHeight="false" outlineLevel="0" collapsed="false">
      <c r="A16638" s="1" t="s">
        <v>1073</v>
      </c>
      <c r="B16638" s="0" t="s">
        <v>98</v>
      </c>
      <c r="D16638" s="6" t="n">
        <f aca="false">Sens!D16634</f>
        <v>128.528</v>
      </c>
      <c r="E16638" s="6" t="n">
        <f aca="false">Sens!E16634</f>
        <v>155.237</v>
      </c>
      <c r="F16638" s="6" t="n">
        <f aca="false">Sens!F16634+Sens!F16637</f>
        <v>189.212206246425</v>
      </c>
      <c r="G16638" s="6" t="n">
        <f aca="false">Sens!G16634+Sens!G16637</f>
        <v>228.678949987296</v>
      </c>
      <c r="H16638" s="6" t="n">
        <f aca="false">Sens!H16634+Sens!H16637</f>
        <v>278.82964218718</v>
      </c>
      <c r="I16638" s="6" t="n">
        <f aca="false">Sens!I16634+Sens!I16637</f>
        <v>319.579462394375</v>
      </c>
      <c r="J16638" s="6" t="n">
        <f aca="false">Sens!J16634+Sens!J16637</f>
        <v>352.618360044906</v>
      </c>
      <c r="K16638" s="6" t="n">
        <f aca="false">Sens!K16634+Sens!K16637</f>
        <v>378.542193409068</v>
      </c>
    </row>
    <row r="16639" customFormat="false" ht="17.15" hidden="false" customHeight="false" outlineLevel="0" collapsed="false">
      <c r="A16639" s="1" t="s">
        <v>1074</v>
      </c>
      <c r="B16639" s="0" t="s">
        <v>98</v>
      </c>
      <c r="E16639" s="6" t="n">
        <f aca="false">Sens!E16582</f>
        <v>16.3054059770833</v>
      </c>
      <c r="F16639" s="6" t="n">
        <f aca="false">Sens!F16582</f>
        <v>34.5793144783516</v>
      </c>
      <c r="G16639" s="6" t="n">
        <f aca="false">Sens!G16582</f>
        <v>60.7344906522989</v>
      </c>
      <c r="H16639" s="6" t="n">
        <f aca="false">Sens!H16582</f>
        <v>89.1000906614457</v>
      </c>
      <c r="I16639" s="6" t="n">
        <f aca="false">Sens!I16582</f>
        <v>114.231009694548</v>
      </c>
      <c r="J16639" s="6" t="n">
        <f aca="false">Sens!J16582</f>
        <v>132.015673049596</v>
      </c>
      <c r="K16639" s="6" t="n">
        <f aca="false">Sens!K16582</f>
        <v>143.012669550934</v>
      </c>
    </row>
    <row r="16640" customFormat="false" ht="17.15" hidden="false" customHeight="false" outlineLevel="0" collapsed="false">
      <c r="A16640" s="1" t="s">
        <v>1075</v>
      </c>
      <c r="B16640" s="0" t="s">
        <v>98</v>
      </c>
      <c r="E16640" s="6" t="n">
        <f aca="false">Sens!E16664</f>
        <v>22.2285940229167</v>
      </c>
      <c r="F16640" s="6" t="n">
        <f aca="false">Sens!F16664</f>
        <v>23.580344216413</v>
      </c>
      <c r="G16640" s="6" t="n">
        <f aca="false">Sens!G16664</f>
        <v>25.3801415764809</v>
      </c>
      <c r="H16640" s="6" t="n">
        <f aca="false">Sens!H16664</f>
        <v>27.5964639802758</v>
      </c>
      <c r="I16640" s="6" t="n">
        <f aca="false">Sens!I16664</f>
        <v>30.152940612192</v>
      </c>
      <c r="J16640" s="6" t="n">
        <f aca="false">Sens!J16664</f>
        <v>32.9575022150393</v>
      </c>
      <c r="K16640" s="6" t="n">
        <f aca="false">Sens!K16664</f>
        <v>35.9256779798081</v>
      </c>
    </row>
    <row r="16641" customFormat="false" ht="17.15" hidden="false" customHeight="false" outlineLevel="0" collapsed="false">
      <c r="A16641" s="1" t="s">
        <v>1076</v>
      </c>
      <c r="B16641" s="0" t="s">
        <v>98</v>
      </c>
      <c r="D16641" s="6" t="n">
        <f aca="false">Q!L27</f>
        <v>-4.901</v>
      </c>
      <c r="E16641" s="6" t="n">
        <f aca="false">Q!M27</f>
        <v>10.697</v>
      </c>
      <c r="F16641" s="6" t="n">
        <f aca="false">Q!$I$27+oie_f*(q_per_yr-1)/q_per_yr</f>
        <v>-0.862</v>
      </c>
      <c r="G16641" s="6" t="n">
        <f aca="false">oie_f</f>
        <v>-1.2</v>
      </c>
      <c r="H16641" s="6" t="n">
        <f aca="false">oie_f</f>
        <v>-1.2</v>
      </c>
      <c r="I16641" s="6" t="n">
        <f aca="false">oie_f</f>
        <v>-1.2</v>
      </c>
      <c r="J16641" s="6" t="n">
        <f aca="false">oie_f</f>
        <v>-1.2</v>
      </c>
      <c r="K16641" s="6" t="n">
        <f aca="false">oie_f</f>
        <v>-1.2</v>
      </c>
      <c r="L16641" s="12" t="s">
        <v>1077</v>
      </c>
    </row>
    <row r="16642" customFormat="false" ht="15" hidden="false" customHeight="false" outlineLevel="0" collapsed="false">
      <c r="A16642" s="1" t="s">
        <v>1078</v>
      </c>
      <c r="B16642" s="0" t="s">
        <v>98</v>
      </c>
      <c r="D16642" s="6" t="n">
        <f aca="false">Sens!D16634+Sens!D16641</f>
        <v>123.627</v>
      </c>
      <c r="E16642" s="6" t="n">
        <f aca="false">Sens!E16634+Sens!E16641</f>
        <v>165.934</v>
      </c>
      <c r="F16642" s="6" t="n">
        <f aca="false">Sens!F16634+Sens!F16641</f>
        <v>184.47437184107</v>
      </c>
      <c r="G16642" s="6" t="n">
        <f aca="false">Sens!G16634+Sens!G16641</f>
        <v>209.953473773117</v>
      </c>
      <c r="H16642" s="6" t="n">
        <f aca="false">Sens!H16634+Sens!H16641</f>
        <v>244.930107879275</v>
      </c>
      <c r="I16642" s="6" t="n">
        <f aca="false">Sens!I16634+Sens!I16641</f>
        <v>271.633833217714</v>
      </c>
      <c r="J16642" s="6" t="n">
        <f aca="false">Sens!J16634+Sens!J16641</f>
        <v>294.822561844752</v>
      </c>
      <c r="K16642" s="6" t="n">
        <f aca="false">Sens!K16634+Sens!K16641</f>
        <v>315.823410961543</v>
      </c>
    </row>
    <row r="16643" customFormat="false" ht="15" hidden="false" customHeight="false" outlineLevel="0" collapsed="false">
      <c r="A16643" s="1" t="s">
        <v>1079</v>
      </c>
      <c r="B16643" s="0" t="s">
        <v>98</v>
      </c>
      <c r="D16643" s="6" t="n">
        <f aca="false">Q!L29</f>
        <v>21.795</v>
      </c>
      <c r="E16643" s="6" t="n">
        <f aca="false">Q!M29</f>
        <v>32.185</v>
      </c>
      <c r="F16643" s="6" t="n">
        <f aca="false">Q!$I$29+(Sens!F16642-Q!$I$28)*tax_f</f>
        <v>37.0282743682139</v>
      </c>
      <c r="G16643" s="6" t="n">
        <f aca="false">Sens!G16642*tax_f</f>
        <v>41.9906947546233</v>
      </c>
      <c r="H16643" s="6" t="n">
        <f aca="false">Sens!H16642*tax_f</f>
        <v>48.9860215758551</v>
      </c>
      <c r="I16643" s="6" t="n">
        <f aca="false">Sens!I16642*tax_f</f>
        <v>54.3267666435428</v>
      </c>
      <c r="J16643" s="6" t="n">
        <f aca="false">Sens!J16642*tax_f</f>
        <v>58.9645123689505</v>
      </c>
      <c r="K16643" s="6" t="n">
        <f aca="false">Sens!K16642*tax_f</f>
        <v>63.1646821923086</v>
      </c>
    </row>
    <row r="16644" customFormat="false" ht="15" hidden="false" customHeight="false" outlineLevel="0" collapsed="false">
      <c r="A16644" s="1" t="s">
        <v>1080</v>
      </c>
      <c r="B16644" s="0" t="s">
        <v>98</v>
      </c>
      <c r="D16644" s="6" t="n">
        <f aca="false">Sens!D16642-Sens!D16643</f>
        <v>101.832</v>
      </c>
      <c r="E16644" s="6" t="n">
        <f aca="false">Sens!E16642-Sens!E16643</f>
        <v>133.749</v>
      </c>
      <c r="F16644" s="6" t="n">
        <f aca="false">Sens!F16642-Sens!F16643</f>
        <v>147.446097472856</v>
      </c>
      <c r="G16644" s="6" t="n">
        <f aca="false">Sens!G16642-Sens!G16643</f>
        <v>167.962779018493</v>
      </c>
      <c r="H16644" s="6" t="n">
        <f aca="false">Sens!H16642-Sens!H16643</f>
        <v>195.94408630342</v>
      </c>
      <c r="I16644" s="6" t="n">
        <f aca="false">Sens!I16642-Sens!I16643</f>
        <v>217.307066574171</v>
      </c>
      <c r="J16644" s="6" t="n">
        <f aca="false">Sens!J16642-Sens!J16643</f>
        <v>235.858049475802</v>
      </c>
      <c r="K16644" s="6" t="n">
        <f aca="false">Sens!K16642-Sens!K16643</f>
        <v>252.658728769235</v>
      </c>
    </row>
    <row r="16645" customFormat="false" ht="17.15" hidden="false" customHeight="false" outlineLevel="0" collapsed="false">
      <c r="A16645" s="1" t="s">
        <v>1081</v>
      </c>
      <c r="B16645" s="1" t="s">
        <v>81</v>
      </c>
      <c r="D16645" s="15" t="n">
        <f aca="false">Q!L31</f>
        <v>7.465</v>
      </c>
      <c r="E16645" s="15" t="n">
        <f aca="false">Q!M31</f>
        <v>7.453</v>
      </c>
      <c r="F16645" s="15" t="n">
        <f aca="false">Sens!F16689</f>
        <v>7.4706326876771</v>
      </c>
      <c r="G16645" s="15" t="n">
        <f aca="false">Sens!G16689</f>
        <v>7.50990360175967</v>
      </c>
      <c r="H16645" s="15" t="n">
        <f aca="false">Sens!H16689</f>
        <v>7.53474176719395</v>
      </c>
      <c r="I16645" s="15" t="n">
        <f aca="false">Sens!I16689</f>
        <v>7.54642313124942</v>
      </c>
      <c r="J16645" s="15" t="n">
        <f aca="false">Sens!J16689</f>
        <v>7.56057254241189</v>
      </c>
      <c r="K16645" s="15" t="n">
        <f aca="false">Sens!K16689</f>
        <v>7.57700718237714</v>
      </c>
    </row>
    <row r="16646" customFormat="false" ht="17.15" hidden="false" customHeight="false" outlineLevel="0" collapsed="false">
      <c r="A16646" s="0" t="s">
        <v>1082</v>
      </c>
      <c r="B16646" s="0" t="s">
        <v>75</v>
      </c>
      <c r="D16646" s="8" t="n">
        <f aca="false">Sens!D16644/Sens!D16645</f>
        <v>13.641259209645</v>
      </c>
      <c r="E16646" s="8" t="n">
        <f aca="false">Sens!E16644/Sens!E16645</f>
        <v>17.9456594659869</v>
      </c>
      <c r="F16646" s="8" t="n">
        <f aca="false">Sens!F16644/Sens!F16645</f>
        <v>19.7367617492518</v>
      </c>
      <c r="G16646" s="8" t="n">
        <f aca="false">Sens!G16644/Sens!G16645</f>
        <v>22.365503996501</v>
      </c>
      <c r="H16646" s="8" t="n">
        <f aca="false">Sens!H16644/Sens!H16645</f>
        <v>26.0054149641273</v>
      </c>
      <c r="I16646" s="8" t="n">
        <f aca="false">Sens!I16644/Sens!I16645</f>
        <v>28.7960352599779</v>
      </c>
      <c r="J16646" s="8" t="n">
        <f aca="false">Sens!J16644/Sens!J16645</f>
        <v>31.195792137795</v>
      </c>
      <c r="K16646" s="8" t="n">
        <f aca="false">Sens!K16644/Sens!K16645</f>
        <v>33.3454519294738</v>
      </c>
      <c r="L16646" s="1" t="s">
        <v>1083</v>
      </c>
    </row>
    <row r="16647" customFormat="false" ht="17.15" hidden="false" customHeight="false" outlineLevel="0" collapsed="false">
      <c r="A16647" s="1" t="s">
        <v>1084</v>
      </c>
      <c r="B16647" s="0" t="s">
        <v>98</v>
      </c>
      <c r="D16647" s="6" t="n">
        <f aca="false">Sens!D16644</f>
        <v>101.832</v>
      </c>
      <c r="E16647" s="6" t="n">
        <f aca="false">Sens!E16644</f>
        <v>133.749</v>
      </c>
      <c r="F16647" s="6" t="n">
        <f aca="false">Sens!F16644+Sens!F16637*(1-tax_f)</f>
        <v>150.54676499714</v>
      </c>
      <c r="G16647" s="6" t="n">
        <f aca="false">Sens!G16644+Sens!G16637*(1-tax_f)</f>
        <v>181.983159989837</v>
      </c>
      <c r="H16647" s="6" t="n">
        <f aca="false">Sens!H16644+Sens!H16637*(1-tax_f)</f>
        <v>222.103713749744</v>
      </c>
      <c r="I16647" s="6" t="n">
        <f aca="false">Sens!I16644+Sens!I16637*(1-tax_f)</f>
        <v>254.7035699155</v>
      </c>
      <c r="J16647" s="6" t="n">
        <f aca="false">Sens!J16644+Sens!J16637*(1-tax_f)</f>
        <v>281.134688035925</v>
      </c>
      <c r="K16647" s="6" t="n">
        <f aca="false">Sens!K16644+Sens!K16637*(1-tax_f)</f>
        <v>301.873754727254</v>
      </c>
    </row>
    <row r="16648" customFormat="false" ht="17.15" hidden="false" customHeight="false" outlineLevel="0" collapsed="false">
      <c r="A16648" s="0" t="s">
        <v>1085</v>
      </c>
      <c r="B16648" s="0" t="s">
        <v>75</v>
      </c>
      <c r="D16648" s="8" t="n">
        <f aca="false">Sens!D16647/Sens!D16645</f>
        <v>13.641259209645</v>
      </c>
      <c r="E16648" s="8" t="n">
        <f aca="false">Sens!E16647/Sens!E16645</f>
        <v>17.9456594659869</v>
      </c>
      <c r="F16648" s="8" t="n">
        <f aca="false">Sens!F16647/Sens!F16645</f>
        <v>20.1518092631524</v>
      </c>
      <c r="G16648" s="8" t="n">
        <f aca="false">Sens!G16647/Sens!G16645</f>
        <v>24.2324228965064</v>
      </c>
      <c r="H16648" s="8" t="n">
        <f aca="false">Sens!H16647/Sens!H16645</f>
        <v>29.4772827805164</v>
      </c>
      <c r="I16648" s="8" t="n">
        <f aca="false">Sens!I16647/Sens!I16645</f>
        <v>33.7515622283069</v>
      </c>
      <c r="J16648" s="8" t="n">
        <f aca="false">Sens!J16647/Sens!J16645</f>
        <v>37.1843119629986</v>
      </c>
      <c r="K16648" s="8" t="n">
        <f aca="false">Sens!K16647/Sens!K16645</f>
        <v>39.8407639667232</v>
      </c>
      <c r="L16648" s="1" t="s">
        <v>1086</v>
      </c>
    </row>
    <row r="16649" customFormat="false" ht="17.15" hidden="false" customHeight="false" outlineLevel="0" collapsed="false">
      <c r="A16649" s="0" t="s">
        <v>1087</v>
      </c>
      <c r="B16649" s="0" t="s">
        <v>168</v>
      </c>
      <c r="E16649" s="7" t="n">
        <f aca="false">Sens!E16648/Sens!D16648-1</f>
        <v>0.315542736208578</v>
      </c>
      <c r="F16649" s="7" t="n">
        <f aca="false">Sens!F16648/Sens!E16648-1</f>
        <v>0.122935008398379</v>
      </c>
      <c r="G16649" s="7" t="n">
        <f aca="false">Sens!G16648/Sens!F16648-1</f>
        <v>0.20249366099427</v>
      </c>
      <c r="H16649" s="7" t="n">
        <f aca="false">Sens!H16648/Sens!G16648-1</f>
        <v>0.216439763634458</v>
      </c>
      <c r="I16649" s="7" t="n">
        <f aca="false">Sens!I16648/Sens!H16648-1</f>
        <v>0.145002491566681</v>
      </c>
      <c r="J16649" s="7" t="n">
        <f aca="false">Sens!J16648/Sens!I16648-1</f>
        <v>0.101706395439458</v>
      </c>
      <c r="K16649" s="7" t="n">
        <f aca="false">Sens!K16648/Sens!J16648-1</f>
        <v>0.0714401279326615</v>
      </c>
    </row>
    <row r="16650" customFormat="false" ht="17.15" hidden="false" customHeight="false" outlineLevel="0" collapsed="false">
      <c r="A16650" s="0" t="s">
        <v>1007</v>
      </c>
      <c r="B16650" s="0" t="s">
        <v>98</v>
      </c>
      <c r="E16650" s="6" t="n">
        <f aca="false">Sens!E16591</f>
        <v>5.25</v>
      </c>
      <c r="F16650" s="6" t="n">
        <f aca="false">Sens!F16591</f>
        <v>13.5</v>
      </c>
      <c r="G16650" s="6" t="n">
        <f aca="false">Sens!G16591</f>
        <v>22.5</v>
      </c>
      <c r="H16650" s="6" t="n">
        <f aca="false">Sens!H16591</f>
        <v>31.5</v>
      </c>
      <c r="I16650" s="6" t="n">
        <f aca="false">Sens!I16591</f>
        <v>38.25</v>
      </c>
      <c r="J16650" s="6" t="n">
        <f aca="false">Sens!J16591</f>
        <v>42.75</v>
      </c>
      <c r="K16650" s="6" t="n">
        <f aca="false">Sens!K16591</f>
        <v>47.25</v>
      </c>
    </row>
    <row r="16651" customFormat="false" ht="17.15" hidden="false" customHeight="false" outlineLevel="0" collapsed="false">
      <c r="A16651" s="1" t="s">
        <v>1008</v>
      </c>
      <c r="B16651" s="0" t="s">
        <v>98</v>
      </c>
      <c r="F16651" s="6" t="n">
        <f aca="false">MAX(0,((Sens!E16551+Sens!F16551)/2-(0*(Sens!$D$16551+Sens!$E$16551)/2+(1-0)*Sens!$E$16551))*Sens!F16560/1000-(Sens!F16650-Sens!$E$16650)*Sens!F16630)</f>
        <v>3.87583440535588</v>
      </c>
      <c r="G16651" s="6" t="n">
        <f aca="false">MAX(0,((Sens!F16551+Sens!G16551)/2-(0*(Sens!$D$16551+Sens!$E$16551)/2+(1-0)*Sens!$E$16551))*Sens!G16560/1000-(Sens!G16650-Sens!$E$16650)*Sens!G16630)</f>
        <v>17.5254762141793</v>
      </c>
      <c r="H16651" s="6" t="n">
        <f aca="false">MAX(0,((Sens!G16551+Sens!H16551)/2-(0*(Sens!$D$16551+Sens!$E$16551)/2+(1-0)*Sens!$E$16551))*Sens!H16560/1000-(Sens!H16650-Sens!$E$16650)*Sens!H16630)</f>
        <v>32.6995343079048</v>
      </c>
      <c r="I16651" s="6" t="n">
        <f aca="false">MAX(0,((Sens!H16551+Sens!I16551)/2-(0*(Sens!$D$16551+Sens!$E$16551)/2+(1-0)*Sens!$E$16551))*Sens!I16560/1000-(Sens!I16650-Sens!$E$16650)*Sens!I16630)</f>
        <v>46.7456291766606</v>
      </c>
      <c r="J16651" s="6" t="n">
        <f aca="false">MAX(0,((Sens!I16551+Sens!J16551)/2-(0*(Sens!$D$16551+Sens!$E$16551)/2+(1-0)*Sens!$E$16551))*Sens!J16560/1000-(Sens!J16650-Sens!$E$16650)*Sens!J16630)</f>
        <v>56.5957982001541</v>
      </c>
      <c r="K16651" s="6" t="n">
        <f aca="false">MAX(0,((Sens!J16551+Sens!K16551)/2-(0*(Sens!$D$16551+Sens!$E$16551)/2+(1-0)*Sens!$E$16551))*Sens!K16560/1000-(Sens!K16650-Sens!$E$16650)*Sens!K16630)</f>
        <v>61.5187824475247</v>
      </c>
      <c r="L16651" s="1" t="s">
        <v>1009</v>
      </c>
    </row>
    <row r="16652" customFormat="false" ht="17.15" hidden="false" customHeight="false" outlineLevel="0" collapsed="false">
      <c r="A16652" s="1" t="s">
        <v>1010</v>
      </c>
      <c r="B16652" s="0" t="s">
        <v>98</v>
      </c>
      <c r="F16652" s="6" t="n">
        <f aca="false">IF(internal_ai_reading=2,1,0)*Sens!F16651</f>
        <v>3.87583440535588</v>
      </c>
      <c r="G16652" s="6" t="n">
        <f aca="false">IF(internal_ai_reading=2,1,0)*Sens!G16651</f>
        <v>17.5254762141793</v>
      </c>
      <c r="H16652" s="6" t="n">
        <f aca="false">IF(internal_ai_reading=2,1,0)*Sens!H16651</f>
        <v>32.6995343079048</v>
      </c>
      <c r="I16652" s="6" t="n">
        <f aca="false">IF(internal_ai_reading=2,1,0)*Sens!I16651</f>
        <v>46.7456291766606</v>
      </c>
      <c r="J16652" s="6" t="n">
        <f aca="false">IF(internal_ai_reading=2,1,0)*Sens!J16651</f>
        <v>56.5957982001541</v>
      </c>
      <c r="K16652" s="6" t="n">
        <f aca="false">IF(internal_ai_reading=2,1,0)*Sens!K16651</f>
        <v>61.5187824475247</v>
      </c>
    </row>
    <row r="16653" customFormat="false" ht="17.15" hidden="false" customHeight="false" outlineLevel="0" collapsed="false">
      <c r="A16653" s="0" t="s">
        <v>1011</v>
      </c>
      <c r="B16653" s="0" t="s">
        <v>98</v>
      </c>
      <c r="F16653" s="6" t="n">
        <f aca="false">Sens!F16570+Sens!F16650*Sens!F16630+Sens!F16652-Sens!F16571-Sens!F16582</f>
        <v>13.4992954753251</v>
      </c>
      <c r="G16653" s="6" t="n">
        <f aca="false">Sens!G16570+Sens!G16650*Sens!G16630+Sens!G16652-Sens!G16571-Sens!G16582</f>
        <v>38.0178321954312</v>
      </c>
      <c r="H16653" s="6" t="n">
        <f aca="false">Sens!H16570+Sens!H16650*Sens!H16630+Sens!H16652-Sens!H16571-Sens!H16582</f>
        <v>68.2002874257712</v>
      </c>
      <c r="I16653" s="6" t="n">
        <f aca="false">Sens!I16570+Sens!I16650*Sens!I16630+Sens!I16652-Sens!I16571-Sens!I16582</f>
        <v>89.3529332439933</v>
      </c>
      <c r="J16653" s="6" t="n">
        <f aca="false">Sens!J16570+Sens!J16650*Sens!J16630+Sens!J16652-Sens!J16571-Sens!J16582</f>
        <v>103.935824433073</v>
      </c>
      <c r="K16653" s="6" t="n">
        <f aca="false">Sens!K16570+Sens!K16650*Sens!K16630+Sens!K16652-Sens!K16571-Sens!K16582</f>
        <v>113.337354358841</v>
      </c>
    </row>
    <row r="16654" customFormat="false" ht="17.15" hidden="false" customHeight="false" outlineLevel="0" collapsed="false">
      <c r="A16654" s="0" t="s">
        <v>1012</v>
      </c>
      <c r="B16654" s="0" t="s">
        <v>98</v>
      </c>
      <c r="E16654" s="6" t="n">
        <f aca="false">Sens!E16550*(cxit_open+self_build*tk_cxfac)/1000*ai_net_open</f>
        <v>126.6980382</v>
      </c>
      <c r="F16654" s="6" t="n">
        <f aca="false">Sens!E16654+Sens!F16579-Sens!F16582</f>
        <v>260.572627763768</v>
      </c>
      <c r="G16654" s="6" t="n">
        <f aca="false">Sens!F16654+Sens!G16579-Sens!G16582</f>
        <v>391.782612760517</v>
      </c>
      <c r="H16654" s="6" t="n">
        <f aca="false">Sens!G16654+Sens!H16579-Sens!H16582</f>
        <v>499.488526163584</v>
      </c>
      <c r="I16654" s="6" t="n">
        <f aca="false">Sens!H16654+Sens!I16579-Sens!I16582</f>
        <v>553.872350090646</v>
      </c>
      <c r="J16654" s="6" t="n">
        <f aca="false">Sens!I16654+Sens!J16579-Sens!J16582</f>
        <v>550.78660823699</v>
      </c>
      <c r="K16654" s="6" t="n">
        <f aca="false">Sens!J16654+Sens!K16579-Sens!K16582</f>
        <v>526.736791750789</v>
      </c>
      <c r="L16654" s="1" t="s">
        <v>1013</v>
      </c>
    </row>
    <row r="16655" customFormat="false" ht="17.15" hidden="false" customHeight="false" outlineLevel="0" collapsed="false">
      <c r="A16655" s="0" t="s">
        <v>1014</v>
      </c>
      <c r="B16655" s="0" t="s">
        <v>168</v>
      </c>
      <c r="F16655" s="7" t="n">
        <f aca="false">Sens!F16653*(1-tax_f)/((Sens!E16654+Sens!F16654)/2)</f>
        <v>0.0557720340288849</v>
      </c>
      <c r="G16655" s="7" t="n">
        <f aca="false">Sens!G16653*(1-tax_f)/((Sens!F16654+Sens!G16654)/2)</f>
        <v>0.0932444897105498</v>
      </c>
      <c r="H16655" s="7" t="n">
        <f aca="false">Sens!H16653*(1-tax_f)/((Sens!G16654+Sens!H16654)/2)</f>
        <v>0.122432394717683</v>
      </c>
      <c r="I16655" s="7" t="n">
        <f aca="false">Sens!I16653*(1-tax_f)/((Sens!H16654+Sens!I16654)/2)</f>
        <v>0.135722425631351</v>
      </c>
      <c r="J16655" s="7" t="n">
        <f aca="false">Sens!J16653*(1-tax_f)/((Sens!I16654+Sens!J16654)/2)</f>
        <v>0.150541773856319</v>
      </c>
      <c r="K16655" s="7" t="n">
        <f aca="false">Sens!K16653*(1-tax_f)/((Sens!J16654+Sens!K16654)/2)</f>
        <v>0.16829311268433</v>
      </c>
    </row>
    <row r="16656" customFormat="false" ht="17.15" hidden="false" customHeight="false" outlineLevel="0" collapsed="false">
      <c r="A16656" s="1" t="s">
        <v>1015</v>
      </c>
      <c r="B16656" s="0" t="s">
        <v>168</v>
      </c>
      <c r="F16656" s="7" t="n">
        <f aca="false">(Sens!F16653-Sens!F16652)*(1-tax_f)/((Sens!E16654+Sens!F16654)/2)</f>
        <v>0.0397591118181705</v>
      </c>
      <c r="G16656" s="7" t="n">
        <f aca="false">(Sens!G16653-Sens!G16652)*(1-tax_f)/((Sens!F16654+Sens!G16654)/2)</f>
        <v>0.0502606057761598</v>
      </c>
      <c r="H16656" s="7" t="n">
        <f aca="false">(Sens!H16653-Sens!H16652)*(1-tax_f)/((Sens!G16654+Sens!H16654)/2)</f>
        <v>0.0637305557287023</v>
      </c>
      <c r="I16656" s="7" t="n">
        <f aca="false">(Sens!I16653-Sens!I16652)*(1-tax_f)/((Sens!H16654+Sens!I16654)/2)</f>
        <v>0.0647182632699936</v>
      </c>
      <c r="J16656" s="7" t="n">
        <f aca="false">(Sens!J16653-Sens!J16652)*(1-tax_f)/((Sens!I16654+Sens!J16654)/2)</f>
        <v>0.0685678067440289</v>
      </c>
      <c r="K16656" s="7" t="n">
        <f aca="false">(Sens!K16653-Sens!K16652)*(1-tax_f)/((Sens!J16654+Sens!K16654)/2)</f>
        <v>0.0769447002812617</v>
      </c>
    </row>
    <row r="16657" customFormat="false" ht="17.15" hidden="false" customHeight="false" outlineLevel="0" collapsed="false">
      <c r="A16657" s="1" t="s">
        <v>1016</v>
      </c>
      <c r="B16657" s="0" t="s">
        <v>168</v>
      </c>
      <c r="F16657" s="7" t="n">
        <f aca="false">(Sens!F16653-Sens!F16652+Sens!F16651)*(1-tax_f)/((Sens!E16654+Sens!F16654)/2)</f>
        <v>0.0557720340288849</v>
      </c>
      <c r="G16657" s="7" t="n">
        <f aca="false">(Sens!G16653-Sens!G16652+Sens!G16651)*(1-tax_f)/((Sens!F16654+Sens!G16654)/2)</f>
        <v>0.0932444897105498</v>
      </c>
      <c r="H16657" s="7" t="n">
        <f aca="false">(Sens!H16653-Sens!H16652+Sens!H16651)*(1-tax_f)/((Sens!G16654+Sens!H16654)/2)</f>
        <v>0.122432394717683</v>
      </c>
      <c r="I16657" s="7" t="n">
        <f aca="false">(Sens!I16653-Sens!I16652+Sens!I16651)*(1-tax_f)/((Sens!H16654+Sens!I16654)/2)</f>
        <v>0.135722425631351</v>
      </c>
      <c r="J16657" s="7" t="n">
        <f aca="false">(Sens!J16653-Sens!J16652+Sens!J16651)*(1-tax_f)/((Sens!I16654+Sens!J16654)/2)</f>
        <v>0.150541773856319</v>
      </c>
      <c r="K16657" s="7" t="n">
        <f aca="false">(Sens!K16653-Sens!K16652+Sens!K16651)*(1-tax_f)/((Sens!J16654+Sens!K16654)/2)</f>
        <v>0.16829311268433</v>
      </c>
    </row>
    <row r="16658" customFormat="false" ht="17.15" hidden="false" customHeight="false" outlineLevel="0" collapsed="false">
      <c r="A16658" s="1" t="s">
        <v>1017</v>
      </c>
      <c r="B16658" s="0" t="s">
        <v>168</v>
      </c>
      <c r="F16658" s="7" t="n">
        <f aca="false">Sens!F16583*(1-tax_f)/(Sens!F16569*(Sens!E16654+Sens!F16654)/2)</f>
        <v>0.15471433083293</v>
      </c>
      <c r="G16658" s="7" t="n">
        <f aca="false">Sens!G16583*(1-tax_f)/(Sens!G16569*(Sens!F16654+Sens!G16654)/2)</f>
        <v>0.176916911437355</v>
      </c>
      <c r="H16658" s="7" t="n">
        <f aca="false">Sens!H16583*(1-tax_f)/(Sens!H16569*(Sens!G16654+Sens!H16654)/2)</f>
        <v>0.207487057996582</v>
      </c>
      <c r="I16658" s="7" t="n">
        <f aca="false">Sens!I16583*(1-tax_f)/(Sens!I16569*(Sens!H16654+Sens!I16654)/2)</f>
        <v>0.219873660070946</v>
      </c>
      <c r="J16658" s="7" t="n">
        <f aca="false">Sens!J16583*(1-tax_f)/(Sens!J16569*(Sens!I16654+Sens!J16654)/2)</f>
        <v>0.238959457974928</v>
      </c>
      <c r="K16658" s="7" t="n">
        <f aca="false">Sens!K16583*(1-tax_f)/(Sens!K16569*(Sens!J16654+Sens!K16654)/2)</f>
        <v>0.264604270651536</v>
      </c>
    </row>
    <row r="16659" customFormat="false" ht="17.15" hidden="false" customHeight="false" outlineLevel="0" collapsed="false">
      <c r="A16659" s="0" t="s">
        <v>1018</v>
      </c>
      <c r="B16659" s="0" t="s">
        <v>253</v>
      </c>
      <c r="F16659" s="7" t="n">
        <f aca="false">Sens!F16655-wacc</f>
        <v>-0.0471645569167124</v>
      </c>
      <c r="G16659" s="7" t="n">
        <f aca="false">Sens!G16655-wacc</f>
        <v>-0.00969210123504749</v>
      </c>
      <c r="H16659" s="7" t="n">
        <f aca="false">Sens!H16655-wacc</f>
        <v>0.0194958037720852</v>
      </c>
      <c r="I16659" s="7" t="n">
        <f aca="false">Sens!I16655-wacc</f>
        <v>0.0327858346857536</v>
      </c>
      <c r="J16659" s="7" t="n">
        <f aca="false">Sens!J16655-wacc</f>
        <v>0.047605182910722</v>
      </c>
      <c r="K16659" s="7" t="n">
        <f aca="false">Sens!K16655-wacc</f>
        <v>0.0653565217387323</v>
      </c>
    </row>
    <row r="16660" customFormat="false" ht="17.15" hidden="false" customHeight="false" outlineLevel="0" collapsed="false">
      <c r="A16660" s="0" t="s">
        <v>1019</v>
      </c>
      <c r="B16660" s="0" t="s">
        <v>98</v>
      </c>
      <c r="F16660" s="6" t="n">
        <f aca="false">Sens!F16653*(1-tax_f)-wacc*(Sens!E16654+Sens!F16654)/2</f>
        <v>-9.13272468351061</v>
      </c>
      <c r="G16660" s="6" t="n">
        <f aca="false">Sens!G16653*(1-tax_f)-wacc*(Sens!F16654+Sens!G16654)/2</f>
        <v>-3.16134651618756</v>
      </c>
      <c r="H16660" s="6" t="n">
        <f aca="false">Sens!H16653*(1-tax_f)-wacc*(Sens!G16654+Sens!H16654)/2</f>
        <v>8.68802361609359</v>
      </c>
      <c r="I16660" s="6" t="n">
        <f aca="false">Sens!I16653*(1-tax_f)-wacc*(Sens!H16654+Sens!I16654)/2</f>
        <v>17.2676577766558</v>
      </c>
      <c r="J16660" s="6" t="n">
        <f aca="false">Sens!J16653*(1-tax_f)-wacc*(Sens!I16654+Sens!J16654)/2</f>
        <v>26.2937458825774</v>
      </c>
      <c r="K16660" s="6" t="n">
        <f aca="false">Sens!K16653*(1-tax_f)-wacc*(Sens!J16654+Sens!K16654)/2</f>
        <v>35.211590757647</v>
      </c>
    </row>
    <row r="16661" customFormat="false" ht="17.15" hidden="false" customHeight="false" outlineLevel="0" collapsed="false">
      <c r="A16661" s="3" t="s">
        <v>2022</v>
      </c>
    </row>
    <row r="16662" customFormat="false" ht="15" hidden="false" customHeight="false" outlineLevel="0" collapsed="false">
      <c r="A16662" s="4" t="s">
        <v>43</v>
      </c>
      <c r="B16662" s="4" t="s">
        <v>65</v>
      </c>
      <c r="C16662" s="23" t="s">
        <v>942</v>
      </c>
      <c r="D16662" s="23" t="s">
        <v>943</v>
      </c>
      <c r="E16662" s="23" t="s">
        <v>944</v>
      </c>
      <c r="F16662" s="23" t="s">
        <v>945</v>
      </c>
      <c r="G16662" s="23" t="s">
        <v>946</v>
      </c>
      <c r="H16662" s="23" t="s">
        <v>947</v>
      </c>
      <c r="I16662" s="23" t="s">
        <v>948</v>
      </c>
      <c r="J16662" s="23" t="s">
        <v>949</v>
      </c>
      <c r="K16662" s="23" t="s">
        <v>950</v>
      </c>
      <c r="L16662" s="4" t="s">
        <v>47</v>
      </c>
    </row>
    <row r="16663" customFormat="false" ht="15" hidden="false" customHeight="false" outlineLevel="0" collapsed="false">
      <c r="A16663" s="1" t="s">
        <v>1080</v>
      </c>
      <c r="B16663" s="0" t="s">
        <v>98</v>
      </c>
      <c r="F16663" s="6" t="n">
        <f aca="false">Sens!F16644</f>
        <v>147.446097472856</v>
      </c>
      <c r="G16663" s="6" t="n">
        <f aca="false">Sens!G16644</f>
        <v>167.962779018493</v>
      </c>
      <c r="H16663" s="6" t="n">
        <f aca="false">Sens!H16644</f>
        <v>195.94408630342</v>
      </c>
      <c r="I16663" s="6" t="n">
        <f aca="false">Sens!I16644</f>
        <v>217.307066574171</v>
      </c>
      <c r="J16663" s="6" t="n">
        <f aca="false">Sens!J16644</f>
        <v>235.858049475802</v>
      </c>
      <c r="K16663" s="6" t="n">
        <f aca="false">Sens!K16644</f>
        <v>252.658728769235</v>
      </c>
    </row>
    <row r="16664" customFormat="false" ht="17.15" hidden="false" customHeight="false" outlineLevel="0" collapsed="false">
      <c r="A16664" s="1" t="s">
        <v>1102</v>
      </c>
      <c r="B16664" s="0" t="s">
        <v>98</v>
      </c>
      <c r="E16664" s="6" t="n">
        <f aca="false">Q!M38-Sens!E16582</f>
        <v>22.2285940229167</v>
      </c>
      <c r="F16664" s="6" t="n">
        <f aca="false">Sens!E16664*(1-1/life_nonai)+(Sens!F16672+Sens!F16673)/life_nonai</f>
        <v>23.580344216413</v>
      </c>
      <c r="G16664" s="6" t="n">
        <f aca="false">Sens!F16664*(1-1/life_nonai)+(Sens!G16672)/life_nonai</f>
        <v>25.3801415764809</v>
      </c>
      <c r="H16664" s="6" t="n">
        <f aca="false">Sens!G16664*(1-1/life_nonai)+(Sens!H16672)/life_nonai</f>
        <v>27.5964639802758</v>
      </c>
      <c r="I16664" s="6" t="n">
        <f aca="false">Sens!H16664*(1-1/life_nonai)+(Sens!I16672)/life_nonai</f>
        <v>30.152940612192</v>
      </c>
      <c r="J16664" s="6" t="n">
        <f aca="false">Sens!I16664*(1-1/life_nonai)+(Sens!J16672)/life_nonai</f>
        <v>32.9575022150393</v>
      </c>
      <c r="K16664" s="6" t="n">
        <f aca="false">Sens!J16664*(1-1/life_nonai)+(Sens!K16672)/life_nonai</f>
        <v>35.9256779798081</v>
      </c>
      <c r="L16664" s="12" t="s">
        <v>1103</v>
      </c>
    </row>
    <row r="16665" customFormat="false" ht="17.15" hidden="false" customHeight="false" outlineLevel="0" collapsed="false">
      <c r="A16665" s="1" t="s">
        <v>1104</v>
      </c>
      <c r="B16665" s="0" t="s">
        <v>98</v>
      </c>
      <c r="F16665" s="6" t="n">
        <f aca="false">Sens!$F$16673/life_nonai*(1-1/life_nonai)^(Sens!F16545-2027)</f>
        <v>0.00475774452575592</v>
      </c>
      <c r="G16665" s="6" t="n">
        <f aca="false">Sens!$F$16673/life_nonai*(1-1/life_nonai)^(Sens!G16545-2027)</f>
        <v>0.00428197007318033</v>
      </c>
      <c r="H16665" s="6" t="n">
        <f aca="false">Sens!$F$16673/life_nonai*(1-1/life_nonai)^(Sens!H16545-2027)</f>
        <v>0.0038537730658623</v>
      </c>
      <c r="I16665" s="6" t="n">
        <f aca="false">Sens!$F$16673/life_nonai*(1-1/life_nonai)^(Sens!I16545-2027)</f>
        <v>0.00346839575927607</v>
      </c>
      <c r="J16665" s="6" t="n">
        <f aca="false">Sens!$F$16673/life_nonai*(1-1/life_nonai)^(Sens!J16545-2027)</f>
        <v>0.00312155618334846</v>
      </c>
      <c r="K16665" s="6" t="n">
        <f aca="false">Sens!$F$16673/life_nonai*(1-1/life_nonai)^(Sens!K16545-2027)</f>
        <v>0.00280940056501362</v>
      </c>
      <c r="L16665" s="1" t="s">
        <v>1105</v>
      </c>
    </row>
    <row r="16666" customFormat="false" ht="17.15" hidden="false" customHeight="false" outlineLevel="0" collapsed="false">
      <c r="A16666" s="1" t="s">
        <v>1106</v>
      </c>
      <c r="B16666" s="0" t="s">
        <v>98</v>
      </c>
      <c r="E16666" s="6" t="n">
        <f aca="false">Sens!E16582+Sens!E16664</f>
        <v>38.534</v>
      </c>
      <c r="F16666" s="6" t="n">
        <f aca="false">Sens!F16582+Sens!F16664</f>
        <v>58.1596586947647</v>
      </c>
      <c r="G16666" s="6" t="n">
        <f aca="false">Sens!G16582+Sens!G16664</f>
        <v>86.1146322287799</v>
      </c>
      <c r="H16666" s="6" t="n">
        <f aca="false">Sens!H16582+Sens!H16664</f>
        <v>116.696554641721</v>
      </c>
      <c r="I16666" s="6" t="n">
        <f aca="false">Sens!I16582+Sens!I16664</f>
        <v>144.38395030674</v>
      </c>
      <c r="J16666" s="6" t="n">
        <f aca="false">Sens!J16582+Sens!J16664</f>
        <v>164.973175264635</v>
      </c>
      <c r="K16666" s="6" t="n">
        <f aca="false">Sens!K16582+Sens!K16664</f>
        <v>178.938347530742</v>
      </c>
    </row>
    <row r="16667" customFormat="false" ht="17.15" hidden="false" customHeight="false" outlineLevel="0" collapsed="false">
      <c r="A16667" s="1" t="s">
        <v>1107</v>
      </c>
      <c r="B16667" s="0" t="s">
        <v>98</v>
      </c>
      <c r="F16667" s="6" t="n">
        <f aca="false">Sens!F16609*sbc_r</f>
        <v>15.0680693022395</v>
      </c>
      <c r="G16667" s="6" t="n">
        <f aca="false">Sens!G16609*sbc_r</f>
        <v>18.3841476633065</v>
      </c>
      <c r="H16667" s="6" t="n">
        <f aca="false">Sens!H16609*sbc_r</f>
        <v>21.9545979838202</v>
      </c>
      <c r="I16667" s="6" t="n">
        <f aca="false">Sens!I16609*sbc_r</f>
        <v>24.9944595349748</v>
      </c>
      <c r="J16667" s="6" t="n">
        <f aca="false">Sens!J16609*sbc_r</f>
        <v>27.4407929753337</v>
      </c>
      <c r="K16667" s="6" t="n">
        <f aca="false">Sens!K16609*sbc_r</f>
        <v>29.3868645070206</v>
      </c>
    </row>
    <row r="16668" customFormat="false" ht="17.15" hidden="false" customHeight="false" outlineLevel="0" collapsed="false">
      <c r="A16668" s="1" t="s">
        <v>1108</v>
      </c>
      <c r="B16668" s="0" t="s">
        <v>98</v>
      </c>
      <c r="F16668" s="6" t="n">
        <f aca="false">wc27-wc26q1</f>
        <v>-4.677</v>
      </c>
      <c r="G16668" s="6" t="n">
        <f aca="false">wc_f</f>
        <v>0</v>
      </c>
      <c r="H16668" s="6" t="n">
        <f aca="false">wc_f</f>
        <v>0</v>
      </c>
      <c r="I16668" s="6" t="n">
        <f aca="false">wc_f</f>
        <v>0</v>
      </c>
      <c r="J16668" s="6" t="n">
        <f aca="false">wc_f</f>
        <v>0</v>
      </c>
      <c r="K16668" s="6" t="n">
        <f aca="false">wc_f</f>
        <v>0</v>
      </c>
      <c r="L16668" s="12" t="s">
        <v>1109</v>
      </c>
    </row>
    <row r="16669" customFormat="false" ht="17.15" hidden="false" customHeight="false" outlineLevel="0" collapsed="false">
      <c r="A16669" s="0" t="s">
        <v>1110</v>
      </c>
      <c r="B16669" s="0" t="s">
        <v>98</v>
      </c>
      <c r="F16669" s="6" t="n">
        <f aca="false">Q!$I$35-Q!$I$26-Q!$I$38-Q!$I$39</f>
        <v>6.493</v>
      </c>
      <c r="L16669" s="1" t="s">
        <v>1111</v>
      </c>
    </row>
    <row r="16670" customFormat="false" ht="15" hidden="false" customHeight="false" outlineLevel="0" collapsed="false">
      <c r="A16670" s="1" t="s">
        <v>908</v>
      </c>
      <c r="B16670" s="0" t="s">
        <v>98</v>
      </c>
      <c r="E16670" s="6" t="n">
        <f aca="false">Q!M35</f>
        <v>182.935</v>
      </c>
      <c r="F16670" s="6" t="n">
        <f aca="false">Sens!F16663+Sens!F16666+Sens!F16667+Sens!F16668+Sens!F16669</f>
        <v>222.48982546986</v>
      </c>
      <c r="G16670" s="6" t="n">
        <f aca="false">Sens!G16663+Sens!G16666+Sens!G16667+Sens!G16668</f>
        <v>272.46155891058</v>
      </c>
      <c r="H16670" s="6" t="n">
        <f aca="false">Sens!H16663+Sens!H16666+Sens!H16667+Sens!H16668</f>
        <v>334.595238928962</v>
      </c>
      <c r="I16670" s="6" t="n">
        <f aca="false">Sens!I16663+Sens!I16666+Sens!I16667+Sens!I16668</f>
        <v>386.685476415886</v>
      </c>
      <c r="J16670" s="6" t="n">
        <f aca="false">Sens!J16663+Sens!J16666+Sens!J16667+Sens!J16668</f>
        <v>428.272017715771</v>
      </c>
      <c r="K16670" s="6" t="n">
        <f aca="false">Sens!K16663+Sens!K16666+Sens!K16667+Sens!K16668</f>
        <v>460.983940806997</v>
      </c>
    </row>
    <row r="16671" customFormat="false" ht="17.15" hidden="false" customHeight="false" outlineLevel="0" collapsed="false">
      <c r="A16671" s="0" t="s">
        <v>1112</v>
      </c>
      <c r="B16671" s="0" t="s">
        <v>98</v>
      </c>
      <c r="F16671" s="6" t="n">
        <f aca="false">Sens!F16579</f>
        <v>168.45390404212</v>
      </c>
      <c r="G16671" s="6" t="n">
        <f aca="false">Sens!G16579</f>
        <v>191.944475649048</v>
      </c>
      <c r="H16671" s="6" t="n">
        <f aca="false">Sens!H16579</f>
        <v>196.806004064512</v>
      </c>
      <c r="I16671" s="6" t="n">
        <f aca="false">Sens!I16579</f>
        <v>168.61483362161</v>
      </c>
      <c r="J16671" s="6" t="n">
        <f aca="false">Sens!J16579</f>
        <v>128.92993119594</v>
      </c>
      <c r="K16671" s="6" t="n">
        <f aca="false">Sens!K16579</f>
        <v>118.962853064733</v>
      </c>
    </row>
    <row r="16672" customFormat="false" ht="17.15" hidden="false" customHeight="false" outlineLevel="0" collapsed="false">
      <c r="A16672" s="1" t="s">
        <v>1113</v>
      </c>
      <c r="B16672" s="0" t="s">
        <v>98</v>
      </c>
      <c r="E16672" s="6" t="n">
        <f aca="false">Sens!E16587*cx_azo+Sens!E16594*cx_m365+Sens!E16595*cx_lic+(Sens!E16597+Sens!E16599)*cx_ind+Sens!E16602*cx_srch+(Sens!E16604+Sens!E16606)*cx_dev</f>
        <v>30.1846587067718</v>
      </c>
      <c r="F16672" s="6" t="n">
        <f aca="false">Sens!F16587*cx_azo+Sens!F16594*cx_m365+Sens!F16595*cx_lic+(Sens!F16597+Sens!F16599)*cx_ind+Sens!F16602*cx_srch+(Sens!F16604+Sens!F16606)*cx_dev</f>
        <v>35.6985185126228</v>
      </c>
      <c r="G16672" s="6" t="n">
        <f aca="false">Sens!G16587*cx_azo+Sens!G16594*cx_m365+Sens!G16595*cx_lic+(Sens!G16597+Sens!G16599)*cx_ind+Sens!G16602*cx_srch+(Sens!G16604+Sens!G16606)*cx_dev</f>
        <v>41.5783178170917</v>
      </c>
      <c r="H16672" s="6" t="n">
        <f aca="false">Sens!H16587*cx_azo+Sens!H16594*cx_m365+Sens!H16595*cx_lic+(Sens!H16597+Sens!H16599)*cx_ind+Sens!H16602*cx_srch+(Sens!H16604+Sens!H16606)*cx_dev</f>
        <v>47.5433656144293</v>
      </c>
      <c r="I16672" s="6" t="n">
        <f aca="false">Sens!I16587*cx_azo+Sens!I16594*cx_m365+Sens!I16595*cx_lic+(Sens!I16597+Sens!I16599)*cx_ind+Sens!I16602*cx_srch+(Sens!I16604+Sens!I16606)*cx_dev</f>
        <v>53.1612302994382</v>
      </c>
      <c r="J16672" s="6" t="n">
        <f aca="false">Sens!J16587*cx_azo+Sens!J16594*cx_m365+Sens!J16595*cx_lic+(Sens!J16597+Sens!J16599)*cx_ind+Sens!J16602*cx_srch+(Sens!J16604+Sens!J16606)*cx_dev</f>
        <v>58.1985566406647</v>
      </c>
      <c r="K16672" s="6" t="n">
        <f aca="false">Sens!K16587*cx_azo+Sens!K16594*cx_m365+Sens!K16595*cx_lic+(Sens!K16597+Sens!K16599)*cx_ind+Sens!K16602*cx_srch+(Sens!K16604+Sens!K16606)*cx_dev</f>
        <v>62.6392598627275</v>
      </c>
    </row>
    <row r="16673" customFormat="false" ht="17.15" hidden="false" customHeight="false" outlineLevel="0" collapsed="false">
      <c r="A16673" s="0" t="s">
        <v>1114</v>
      </c>
      <c r="B16673" s="0" t="s">
        <v>98</v>
      </c>
      <c r="F16673" s="6" t="n">
        <f aca="false">Sens!F16577</f>
        <v>0.0475774452575593</v>
      </c>
      <c r="L16673" s="1" t="s">
        <v>1115</v>
      </c>
    </row>
    <row r="16674" customFormat="false" ht="17.15" hidden="false" customHeight="false" outlineLevel="0" collapsed="false">
      <c r="A16674" s="1" t="s">
        <v>1116</v>
      </c>
      <c r="B16674" s="0" t="s">
        <v>98</v>
      </c>
      <c r="E16674" s="6" t="n">
        <f aca="false">Q!M43</f>
        <v>145.3</v>
      </c>
      <c r="F16674" s="6" t="n">
        <f aca="false">Sens!F16671+Sens!F16672+Sens!F16673</f>
        <v>204.2</v>
      </c>
      <c r="G16674" s="6" t="n">
        <f aca="false">Sens!G16671+Sens!G16672</f>
        <v>233.52279346614</v>
      </c>
      <c r="H16674" s="6" t="n">
        <f aca="false">Sens!H16671+Sens!H16672</f>
        <v>244.349369678942</v>
      </c>
      <c r="I16674" s="6" t="n">
        <f aca="false">Sens!I16671+Sens!I16672</f>
        <v>221.776063921049</v>
      </c>
      <c r="J16674" s="6" t="n">
        <f aca="false">Sens!J16671+Sens!J16672</f>
        <v>187.128487836605</v>
      </c>
      <c r="K16674" s="6" t="n">
        <f aca="false">Sens!K16671+Sens!K16672</f>
        <v>181.60211292746</v>
      </c>
      <c r="L16674" s="1" t="s">
        <v>1117</v>
      </c>
    </row>
    <row r="16675" customFormat="false" ht="15" hidden="false" customHeight="false" outlineLevel="0" collapsed="false">
      <c r="A16675" s="1" t="s">
        <v>1118</v>
      </c>
      <c r="B16675" s="0" t="s">
        <v>98</v>
      </c>
      <c r="E16675" s="6" t="n">
        <f aca="false">fl_liab</f>
        <v>66.594</v>
      </c>
      <c r="F16675" s="6" t="n">
        <f aca="false">Sens!E16675-Sens!F16676</f>
        <v>62.46973</v>
      </c>
      <c r="G16675" s="6" t="n">
        <f aca="false">Sens!F16675-Sens!G16676</f>
        <v>57.98686785</v>
      </c>
      <c r="H16675" s="6" t="n">
        <f aca="false">Sens!G16675-Sens!H16676</f>
        <v>53.92827690325</v>
      </c>
      <c r="I16675" s="6" t="n">
        <f aca="false">Sens!H16675-Sens!I16676</f>
        <v>49.7850493638962</v>
      </c>
      <c r="J16675" s="6" t="n">
        <f aca="false">Sens!I16675-Sens!J16676</f>
        <v>45.4823765852716</v>
      </c>
      <c r="K16675" s="6" t="n">
        <f aca="false">Sens!J16675-Sens!K16676</f>
        <v>40.9860835316088</v>
      </c>
    </row>
    <row r="16676" customFormat="false" ht="15" hidden="false" customHeight="false" outlineLevel="0" collapsed="false">
      <c r="A16676" s="1" t="s">
        <v>1119</v>
      </c>
      <c r="B16676" s="0" t="s">
        <v>98</v>
      </c>
      <c r="F16676" s="6" t="n">
        <f aca="false">fl_pay_27-Sens!E16675*fl_rate</f>
        <v>4.12427</v>
      </c>
      <c r="G16676" s="6" t="n">
        <f aca="false">fl_pay_28-Sens!F16675*fl_rate</f>
        <v>4.48286215</v>
      </c>
      <c r="H16676" s="6" t="n">
        <f aca="false">fl_pay_29-Sens!G16675*fl_rate</f>
        <v>4.05859094675</v>
      </c>
      <c r="I16676" s="6" t="n">
        <f aca="false">fl_pay_30-Sens!H16675*fl_rate</f>
        <v>4.14322753935375</v>
      </c>
      <c r="J16676" s="6" t="n">
        <f aca="false">fl_pay_31-Sens!I16675*fl_rate</f>
        <v>4.30267277862467</v>
      </c>
      <c r="K16676" s="6" t="n">
        <f aca="false">fl_pay_32-Sens!J16675*fl_rate</f>
        <v>4.49629305366278</v>
      </c>
    </row>
    <row r="16677" customFormat="false" ht="17.15" hidden="false" customHeight="false" outlineLevel="0" collapsed="false">
      <c r="A16677" s="1" t="s">
        <v>1120</v>
      </c>
      <c r="B16677" s="0" t="s">
        <v>98</v>
      </c>
      <c r="E16677" s="6" t="n">
        <f aca="false">Q!M35-Q!M36-Q!M44</f>
        <v>63.886</v>
      </c>
      <c r="F16677" s="6" t="n">
        <f aca="false">Sens!F16670-Sens!F16674-Sens!F16676</f>
        <v>14.1655554698598</v>
      </c>
      <c r="G16677" s="6" t="n">
        <f aca="false">Sens!G16670-Sens!G16674-Sens!G16676</f>
        <v>34.4559032944397</v>
      </c>
      <c r="H16677" s="6" t="n">
        <f aca="false">Sens!H16670-Sens!H16674-Sens!H16676</f>
        <v>86.1872783032704</v>
      </c>
      <c r="I16677" s="6" t="n">
        <f aca="false">Sens!I16670-Sens!I16674-Sens!I16676</f>
        <v>160.766184955484</v>
      </c>
      <c r="J16677" s="6" t="n">
        <f aca="false">Sens!J16670-Sens!J16674-Sens!J16676</f>
        <v>236.840857100541</v>
      </c>
      <c r="K16677" s="6" t="n">
        <f aca="false">Sens!K16670-Sens!K16674-Sens!K16676</f>
        <v>274.885534825874</v>
      </c>
      <c r="L16677" s="12" t="s">
        <v>1121</v>
      </c>
    </row>
    <row r="16678" customFormat="false" ht="15" hidden="false" customHeight="false" outlineLevel="0" collapsed="false">
      <c r="A16678" s="1" t="s">
        <v>1122</v>
      </c>
      <c r="B16678" s="0" t="s">
        <v>75</v>
      </c>
      <c r="F16678" s="8" t="n">
        <f aca="false">dps_27</f>
        <v>3.85</v>
      </c>
      <c r="G16678" s="8" t="n">
        <f aca="false">Sens!F16678*(1+dps_g)</f>
        <v>4.158</v>
      </c>
      <c r="H16678" s="8" t="n">
        <f aca="false">Sens!G16678*(1+dps_g)</f>
        <v>4.49064</v>
      </c>
      <c r="I16678" s="8" t="n">
        <f aca="false">Sens!H16678*(1+dps_g)</f>
        <v>4.8498912</v>
      </c>
      <c r="J16678" s="8" t="n">
        <f aca="false">Sens!I16678*(1+dps_g)</f>
        <v>5.237882496</v>
      </c>
      <c r="K16678" s="8" t="n">
        <f aca="false">Sens!J16678*(1+dps_g)</f>
        <v>5.65691309568</v>
      </c>
    </row>
    <row r="16679" customFormat="false" ht="17.15" hidden="false" customHeight="false" outlineLevel="0" collapsed="false">
      <c r="A16679" s="1" t="s">
        <v>1123</v>
      </c>
      <c r="B16679" s="0" t="s">
        <v>98</v>
      </c>
      <c r="E16679" s="6" t="n">
        <f aca="false">Q!M41</f>
        <v>26.445</v>
      </c>
      <c r="F16679" s="6" t="n">
        <f aca="false">Sens!F16678*Sens!E16688</f>
        <v>28.59395</v>
      </c>
      <c r="G16679" s="6" t="n">
        <f aca="false">Sens!G16678*Sens!F16688</f>
        <v>31.0447314307227</v>
      </c>
      <c r="H16679" s="6" t="n">
        <f aca="false">Sens!H16678*Sens!G16688</f>
        <v>33.7046863552316</v>
      </c>
      <c r="I16679" s="6" t="n">
        <f aca="false">Sens!I16678*Sens!H16688</f>
        <v>36.4514995407227</v>
      </c>
      <c r="J16679" s="6" t="n">
        <f aca="false">Sens!J16678*Sens!I16688</f>
        <v>39.4355173893732</v>
      </c>
      <c r="K16679" s="6" t="n">
        <f aca="false">Sens!K16678*Sens!J16688</f>
        <v>42.6771130429013</v>
      </c>
      <c r="L16679" s="1" t="s">
        <v>1124</v>
      </c>
    </row>
    <row r="16680" customFormat="false" ht="15" hidden="false" customHeight="false" outlineLevel="0" collapsed="false">
      <c r="A16680" s="1" t="s">
        <v>1125</v>
      </c>
      <c r="B16680" s="0" t="s">
        <v>98</v>
      </c>
      <c r="E16680" s="6" t="n">
        <f aca="false">Sens!E16677-Sens!E16679</f>
        <v>37.441</v>
      </c>
      <c r="F16680" s="6" t="n">
        <f aca="false">Sens!F16677-Sens!F16679</f>
        <v>-14.4283945301402</v>
      </c>
      <c r="G16680" s="6" t="n">
        <f aca="false">Sens!G16677-Sens!G16679</f>
        <v>3.41117186371696</v>
      </c>
      <c r="H16680" s="6" t="n">
        <f aca="false">Sens!H16677-Sens!H16679</f>
        <v>52.4825919480388</v>
      </c>
      <c r="I16680" s="6" t="n">
        <f aca="false">Sens!I16677-Sens!I16679</f>
        <v>124.314685414761</v>
      </c>
      <c r="J16680" s="6" t="n">
        <f aca="false">Sens!J16677-Sens!J16679</f>
        <v>197.405339711168</v>
      </c>
      <c r="K16680" s="6" t="n">
        <f aca="false">Sens!K16677-Sens!K16679</f>
        <v>232.208421782973</v>
      </c>
    </row>
    <row r="16681" customFormat="false" ht="15" hidden="false" customHeight="false" outlineLevel="0" collapsed="false">
      <c r="A16681" s="1" t="s">
        <v>1126</v>
      </c>
      <c r="B16681" s="0" t="s">
        <v>98</v>
      </c>
      <c r="F16681" s="6" t="n">
        <f aca="false">debt_mat_27</f>
        <v>9.25</v>
      </c>
      <c r="G16681" s="6" t="n">
        <f aca="false">debt_mat_28</f>
        <v>0</v>
      </c>
      <c r="H16681" s="6" t="n">
        <f aca="false">debt_mat_29</f>
        <v>2.001</v>
      </c>
      <c r="I16681" s="6" t="n">
        <f aca="false">debt_mat_30</f>
        <v>0</v>
      </c>
      <c r="J16681" s="6" t="n">
        <f aca="false">debt_mat_31</f>
        <v>0.5</v>
      </c>
      <c r="K16681" s="6" t="n">
        <f aca="false">debt_mat_32</f>
        <v>0</v>
      </c>
    </row>
    <row r="16682" customFormat="false" ht="15" hidden="false" customHeight="false" outlineLevel="0" collapsed="false">
      <c r="A16682" s="1" t="s">
        <v>1127</v>
      </c>
      <c r="B16682" s="0" t="s">
        <v>98</v>
      </c>
      <c r="E16682" s="6" t="n">
        <f aca="false">Q!M40</f>
        <v>22.271</v>
      </c>
      <c r="F16682" s="6" t="n">
        <f aca="false">MAX(0,MIN(bb_target,Sens!E16684+Sens!F16680-Sens!F16681-min_cash))</f>
        <v>3.16460546985984</v>
      </c>
      <c r="G16682" s="6" t="n">
        <f aca="false">MAX(0,MIN(bb_target,Sens!F16684+Sens!G16680-Sens!G16681-min_cash))</f>
        <v>3.41117186371696</v>
      </c>
      <c r="H16682" s="6" t="n">
        <f aca="false">MAX(0,MIN(bb_target,Sens!G16684+Sens!H16680-Sens!H16681-min_cash))</f>
        <v>22.271</v>
      </c>
      <c r="I16682" s="6" t="n">
        <f aca="false">MAX(0,MIN(bb_target,Sens!H16684+Sens!I16680-Sens!I16681-min_cash))</f>
        <v>22.271</v>
      </c>
      <c r="J16682" s="6" t="n">
        <f aca="false">MAX(0,MIN(bb_target,Sens!I16684+Sens!J16680-Sens!J16681-min_cash))</f>
        <v>22.271</v>
      </c>
      <c r="K16682" s="6" t="n">
        <f aca="false">MAX(0,MIN(bb_target,Sens!J16684+Sens!K16680-Sens!K16681-min_cash))</f>
        <v>22.271</v>
      </c>
    </row>
    <row r="16683" customFormat="false" ht="15" hidden="false" customHeight="false" outlineLevel="0" collapsed="false">
      <c r="A16683" s="1" t="s">
        <v>1128</v>
      </c>
      <c r="B16683" s="0" t="s">
        <v>98</v>
      </c>
      <c r="F16683" s="6" t="n">
        <f aca="false">MAX(0,min_cash-(Sens!E16684+Sens!F16680-Sens!F16681-Sens!F16682))</f>
        <v>0</v>
      </c>
      <c r="G16683" s="6" t="n">
        <f aca="false">MAX(0,min_cash-(Sens!F16684+Sens!G16680-Sens!G16681-Sens!G16682))</f>
        <v>0</v>
      </c>
      <c r="H16683" s="6" t="n">
        <f aca="false">MAX(0,min_cash-(Sens!G16684+Sens!H16680-Sens!H16681-Sens!H16682))</f>
        <v>0</v>
      </c>
      <c r="I16683" s="6" t="n">
        <f aca="false">MAX(0,min_cash-(Sens!H16684+Sens!I16680-Sens!I16681-Sens!I16682))</f>
        <v>0</v>
      </c>
      <c r="J16683" s="6" t="n">
        <f aca="false">MAX(0,min_cash-(Sens!I16684+Sens!J16680-Sens!J16681-Sens!J16682))</f>
        <v>0</v>
      </c>
      <c r="K16683" s="6" t="n">
        <f aca="false">MAX(0,min_cash-(Sens!J16684+Sens!K16680-Sens!K16681-Sens!K16682))</f>
        <v>0</v>
      </c>
    </row>
    <row r="16684" customFormat="false" ht="15" hidden="false" customHeight="false" outlineLevel="0" collapsed="false">
      <c r="A16684" s="1" t="s">
        <v>1129</v>
      </c>
      <c r="B16684" s="0" t="s">
        <v>98</v>
      </c>
      <c r="E16684" s="6" t="n">
        <f aca="false">cash_open</f>
        <v>76.843</v>
      </c>
      <c r="F16684" s="6" t="n">
        <f aca="false">Sens!E16684+Sens!F16680-Sens!F16681-Sens!F16682+Sens!F16683</f>
        <v>50</v>
      </c>
      <c r="G16684" s="6" t="n">
        <f aca="false">Sens!F16684+Sens!G16680-Sens!G16681-Sens!G16682+Sens!G16683</f>
        <v>50</v>
      </c>
      <c r="H16684" s="6" t="n">
        <f aca="false">Sens!G16684+Sens!H16680-Sens!H16681-Sens!H16682+Sens!H16683</f>
        <v>78.2105919480388</v>
      </c>
      <c r="I16684" s="6" t="n">
        <f aca="false">Sens!H16684+Sens!I16680-Sens!I16681-Sens!I16682+Sens!I16683</f>
        <v>180.2542773628</v>
      </c>
      <c r="J16684" s="6" t="n">
        <f aca="false">Sens!I16684+Sens!J16680-Sens!J16681-Sens!J16682+Sens!J16683</f>
        <v>354.888617073968</v>
      </c>
      <c r="K16684" s="6" t="n">
        <f aca="false">Sens!J16684+Sens!K16680-Sens!K16681-Sens!K16682+Sens!K16683</f>
        <v>564.826038856941</v>
      </c>
    </row>
    <row r="16685" customFormat="false" ht="15" hidden="false" customHeight="false" outlineLevel="0" collapsed="false">
      <c r="A16685" s="1" t="s">
        <v>1130</v>
      </c>
      <c r="B16685" s="0" t="s">
        <v>98</v>
      </c>
      <c r="E16685" s="6" t="n">
        <f aca="false">debt_face</f>
        <v>46.136</v>
      </c>
      <c r="F16685" s="6" t="n">
        <f aca="false">Sens!E16685-Sens!F16681+Sens!F16683</f>
        <v>36.886</v>
      </c>
      <c r="G16685" s="6" t="n">
        <f aca="false">Sens!F16685-Sens!G16681+Sens!G16683</f>
        <v>36.886</v>
      </c>
      <c r="H16685" s="6" t="n">
        <f aca="false">Sens!G16685-Sens!H16681+Sens!H16683</f>
        <v>34.885</v>
      </c>
      <c r="I16685" s="6" t="n">
        <f aca="false">Sens!H16685-Sens!I16681+Sens!I16683</f>
        <v>34.885</v>
      </c>
      <c r="J16685" s="6" t="n">
        <f aca="false">Sens!I16685-Sens!J16681+Sens!J16683</f>
        <v>34.385</v>
      </c>
      <c r="K16685" s="6" t="n">
        <f aca="false">Sens!J16685-Sens!K16681+Sens!K16683</f>
        <v>34.385</v>
      </c>
    </row>
    <row r="16686" customFormat="false" ht="15" hidden="false" customHeight="false" outlineLevel="0" collapsed="false">
      <c r="A16686" s="1" t="s">
        <v>1131</v>
      </c>
      <c r="B16686" s="0" t="s">
        <v>98</v>
      </c>
      <c r="E16686" s="6" t="n">
        <f aca="false">Sens!E16684-Sens!E16685</f>
        <v>30.707</v>
      </c>
      <c r="F16686" s="6" t="n">
        <f aca="false">Sens!F16684-Sens!F16685</f>
        <v>13.114</v>
      </c>
      <c r="G16686" s="6" t="n">
        <f aca="false">Sens!G16684-Sens!G16685</f>
        <v>13.114</v>
      </c>
      <c r="H16686" s="6" t="n">
        <f aca="false">Sens!H16684-Sens!H16685</f>
        <v>43.3255919480388</v>
      </c>
      <c r="I16686" s="6" t="n">
        <f aca="false">Sens!I16684-Sens!I16685</f>
        <v>145.3692773628</v>
      </c>
      <c r="J16686" s="6" t="n">
        <f aca="false">Sens!J16684-Sens!J16685</f>
        <v>320.503617073968</v>
      </c>
      <c r="K16686" s="6" t="n">
        <f aca="false">Sens!K16684-Sens!K16685</f>
        <v>530.441038856941</v>
      </c>
    </row>
    <row r="16687" customFormat="false" ht="15" hidden="false" customHeight="false" outlineLevel="0" collapsed="false">
      <c r="A16687" s="1" t="s">
        <v>1132</v>
      </c>
      <c r="B16687" s="0" t="s">
        <v>75</v>
      </c>
      <c r="F16687" s="30" t="n">
        <f aca="false">px*(1+bb_g)^(Sens!F16545-base_fy-mid_yr)</f>
        <v>551.84177959629</v>
      </c>
      <c r="G16687" s="30" t="n">
        <f aca="false">px*(1+bb_g)^(Sens!G16545-base_fy-mid_yr)</f>
        <v>595.989121963993</v>
      </c>
      <c r="H16687" s="30" t="n">
        <f aca="false">px*(1+bb_g)^(Sens!H16545-base_fy-mid_yr)</f>
        <v>643.668251721112</v>
      </c>
      <c r="I16687" s="30" t="n">
        <f aca="false">px*(1+bb_g)^(Sens!I16545-base_fy-mid_yr)</f>
        <v>695.161711858801</v>
      </c>
      <c r="J16687" s="30" t="n">
        <f aca="false">px*(1+bb_g)^(Sens!J16545-base_fy-mid_yr)</f>
        <v>750.774648807506</v>
      </c>
      <c r="K16687" s="30" t="n">
        <f aca="false">px*(1+bb_g)^(Sens!K16545-base_fy-mid_yr)</f>
        <v>810.836620712106</v>
      </c>
    </row>
    <row r="16688" customFormat="false" ht="15" hidden="false" customHeight="false" outlineLevel="0" collapsed="false">
      <c r="A16688" s="1" t="s">
        <v>1133</v>
      </c>
      <c r="B16688" s="1" t="s">
        <v>81</v>
      </c>
      <c r="E16688" s="15" t="n">
        <f aca="false">sh_out26</f>
        <v>7.427</v>
      </c>
      <c r="F16688" s="15" t="n">
        <f aca="false">Sens!E16688+sh_iss-Sens!F16682/Sens!F16687</f>
        <v>7.46626537535419</v>
      </c>
      <c r="G16688" s="15" t="n">
        <f aca="false">Sens!F16688+sh_iss-Sens!G16682/Sens!G16687</f>
        <v>7.50554182816515</v>
      </c>
      <c r="H16688" s="15" t="n">
        <f aca="false">Sens!G16688+sh_iss-Sens!H16682/Sens!H16687</f>
        <v>7.51594170622275</v>
      </c>
      <c r="I16688" s="15" t="n">
        <f aca="false">Sens!H16688+sh_iss-Sens!I16682/Sens!I16687</f>
        <v>7.52890455627609</v>
      </c>
      <c r="J16688" s="15" t="n">
        <f aca="false">Sens!I16688+sh_iss-Sens!J16682/Sens!J16687</f>
        <v>7.5442405285477</v>
      </c>
      <c r="K16688" s="15" t="n">
        <f aca="false">Sens!J16688+sh_iss-Sens!K16682/Sens!K16687</f>
        <v>7.56177383620659</v>
      </c>
    </row>
    <row r="16689" customFormat="false" ht="15" hidden="false" customHeight="false" outlineLevel="0" collapsed="false">
      <c r="A16689" s="1" t="s">
        <v>1134</v>
      </c>
      <c r="B16689" s="1" t="s">
        <v>81</v>
      </c>
      <c r="E16689" s="15" t="n">
        <f aca="false">sh_dil26</f>
        <v>7.453</v>
      </c>
      <c r="F16689" s="15" t="n">
        <f aca="false">(Sens!E16688+Sens!F16688)/2+dil_gap</f>
        <v>7.4706326876771</v>
      </c>
      <c r="G16689" s="15" t="n">
        <f aca="false">(Sens!F16688+Sens!G16688)/2+dil_gap</f>
        <v>7.50990360175967</v>
      </c>
      <c r="H16689" s="15" t="n">
        <f aca="false">(Sens!G16688+Sens!H16688)/2+dil_gap</f>
        <v>7.53474176719395</v>
      </c>
      <c r="I16689" s="15" t="n">
        <f aca="false">(Sens!H16688+Sens!I16688)/2+dil_gap</f>
        <v>7.54642313124942</v>
      </c>
      <c r="J16689" s="15" t="n">
        <f aca="false">(Sens!I16688+Sens!J16688)/2+dil_gap</f>
        <v>7.56057254241189</v>
      </c>
      <c r="K16689" s="15" t="n">
        <f aca="false">(Sens!J16688+Sens!K16688)/2+dil_gap</f>
        <v>7.57700718237714</v>
      </c>
    </row>
    <row r="16690" customFormat="false" ht="17.15" hidden="false" customHeight="false" outlineLevel="0" collapsed="false">
      <c r="A16690" s="1" t="s">
        <v>1135</v>
      </c>
      <c r="B16690" s="0" t="s">
        <v>98</v>
      </c>
      <c r="C16690" s="6" t="n">
        <f aca="false">SUM(Sens!F16680:J16680)</f>
        <v>363.185394407545</v>
      </c>
    </row>
    <row r="16691" customFormat="false" ht="15" hidden="false" customHeight="false" outlineLevel="0" collapsed="false">
      <c r="A16691" s="26" t="s">
        <v>1100</v>
      </c>
      <c r="B16691" s="31" t="s">
        <v>98</v>
      </c>
      <c r="C16691" s="27" t="n">
        <f aca="false">Sens!$C$16690-(Sens!F16680+Sens!G16680+Sens!H16680+Sens!I16680+Sens!J16680)</f>
        <v>0</v>
      </c>
      <c r="D16691" s="31"/>
      <c r="E16691" s="31"/>
      <c r="F16691" s="31"/>
      <c r="G16691" s="31"/>
      <c r="H16691" s="31"/>
      <c r="I16691" s="31"/>
      <c r="J16691" s="31"/>
      <c r="K16691" s="31"/>
    </row>
    <row r="16692" customFormat="false" ht="17.15" hidden="false" customHeight="false" outlineLevel="0" collapsed="false">
      <c r="A16692" s="1" t="s">
        <v>1094</v>
      </c>
      <c r="B16692" s="1" t="s">
        <v>1136</v>
      </c>
      <c r="C16692" s="33" t="str">
        <f aca="false">IF(SUM(Sens!F16683:J16683)&gt;0.05,"需要舉債 "&amp;TEXT(SUM(Sens!F16683:J16683),"0.0")&amp;" 十億美元","不需舉債")&amp;"；"&amp;IF(SUM(Sens!F16682:J16682)&lt;COUNT(Sens!F16682:J16682)*bb_target-0.05,"回購較每年 "&amp;TEXT(bb_target,"0.0")&amp;" 的目標少 "&amp;TEXT(COUNT(Sens!F16682:J16682)*bb_target-SUM(Sens!F16682:J16682),"0.0")&amp;" 十億美元（"&amp;TEXT(COUNTIF(Sens!F16682:J16682,"&lt;"&amp;(bb_target-0.05)),"0")&amp;" 年減少）","回購不減")</f>
        <v>不需舉債；回購較每年 22.3 的目標少 38.0 十億美元（2 年減少）</v>
      </c>
    </row>
    <row r="16693" customFormat="false" ht="17.15" hidden="false" customHeight="false" outlineLevel="0" collapsed="false">
      <c r="A16693" s="3" t="s">
        <v>2023</v>
      </c>
    </row>
    <row r="16694" customFormat="false" ht="15" hidden="false" customHeight="false" outlineLevel="0" collapsed="false">
      <c r="A16694" s="4" t="s">
        <v>43</v>
      </c>
      <c r="B16694" s="4" t="s">
        <v>65</v>
      </c>
      <c r="C16694" s="23" t="s">
        <v>942</v>
      </c>
      <c r="D16694" s="23" t="s">
        <v>943</v>
      </c>
      <c r="E16694" s="23" t="s">
        <v>944</v>
      </c>
      <c r="F16694" s="23" t="s">
        <v>945</v>
      </c>
      <c r="G16694" s="23" t="s">
        <v>946</v>
      </c>
      <c r="H16694" s="23" t="s">
        <v>947</v>
      </c>
      <c r="I16694" s="23" t="s">
        <v>948</v>
      </c>
      <c r="J16694" s="23" t="s">
        <v>949</v>
      </c>
      <c r="K16694" s="23" t="s">
        <v>950</v>
      </c>
      <c r="L16694" s="4" t="s">
        <v>47</v>
      </c>
    </row>
    <row r="16695" customFormat="false" ht="17.15" hidden="false" customHeight="false" outlineLevel="0" collapsed="false">
      <c r="A16695" s="1" t="s">
        <v>1216</v>
      </c>
      <c r="B16695" s="1" t="s">
        <v>279</v>
      </c>
      <c r="F16695" s="8" t="n">
        <f aca="false">(1-v_off)*mid_yr</f>
        <v>0.373972602739726</v>
      </c>
      <c r="G16695" s="8" t="n">
        <f aca="false">Sens!G16545-base_fy-mid_yr-v_off</f>
        <v>1.24794520547945</v>
      </c>
      <c r="H16695" s="8" t="n">
        <f aca="false">Sens!H16545-base_fy-mid_yr-v_off</f>
        <v>2.24794520547945</v>
      </c>
      <c r="I16695" s="8" t="n">
        <f aca="false">Sens!I16545-base_fy-mid_yr-v_off</f>
        <v>3.24794520547945</v>
      </c>
      <c r="J16695" s="8" t="n">
        <f aca="false">Sens!J16545-base_fy-mid_yr-v_off</f>
        <v>4.24794520547945</v>
      </c>
      <c r="K16695" s="8" t="n">
        <f aca="false">Sens!K16545-base_fy-mid_yr-v_off</f>
        <v>5.24794520547945</v>
      </c>
      <c r="L16695" s="12" t="s">
        <v>1217</v>
      </c>
    </row>
    <row r="16696" customFormat="false" ht="15" hidden="false" customHeight="false" outlineLevel="0" collapsed="false">
      <c r="A16696" s="1" t="s">
        <v>1218</v>
      </c>
      <c r="B16696" s="1" t="s">
        <v>279</v>
      </c>
      <c r="F16696" s="8" t="n">
        <f aca="false">Sens!F16545-base_fy-v_off</f>
        <v>0.747945205479452</v>
      </c>
      <c r="G16696" s="8" t="n">
        <f aca="false">Sens!G16545-base_fy-v_off</f>
        <v>1.74794520547945</v>
      </c>
      <c r="H16696" s="8" t="n">
        <f aca="false">Sens!H16545-base_fy-v_off</f>
        <v>2.74794520547945</v>
      </c>
      <c r="I16696" s="8" t="n">
        <f aca="false">Sens!I16545-base_fy-v_off</f>
        <v>3.74794520547945</v>
      </c>
      <c r="J16696" s="8" t="n">
        <f aca="false">Sens!J16545-base_fy-v_off</f>
        <v>4.74794520547945</v>
      </c>
      <c r="K16696" s="8" t="n">
        <f aca="false">Sens!K16545-base_fy-v_off</f>
        <v>5.74794520547945</v>
      </c>
    </row>
    <row r="16697" customFormat="false" ht="15" hidden="false" customHeight="false" outlineLevel="0" collapsed="false">
      <c r="A16697" s="1" t="s">
        <v>1219</v>
      </c>
      <c r="B16697" s="0" t="s">
        <v>229</v>
      </c>
      <c r="F16697" s="15" t="n">
        <f aca="false">1/(1+wacc)^Sens!F16695</f>
        <v>0.964022703286649</v>
      </c>
      <c r="G16697" s="15" t="n">
        <f aca="false">1/(1+wacc)^Sens!G16695</f>
        <v>0.884910302296739</v>
      </c>
      <c r="H16697" s="15" t="n">
        <f aca="false">1/(1+wacc)^Sens!H16695</f>
        <v>0.802322009770358</v>
      </c>
      <c r="I16697" s="15" t="n">
        <f aca="false">1/(1+wacc)^Sens!I16695</f>
        <v>0.727441646561469</v>
      </c>
      <c r="J16697" s="15" t="n">
        <f aca="false">1/(1+wacc)^Sens!J16695</f>
        <v>0.659549834988973</v>
      </c>
      <c r="K16697" s="15" t="n">
        <f aca="false">1/(1+wacc)^Sens!K16695</f>
        <v>0.597994336576966</v>
      </c>
    </row>
    <row r="16698" customFormat="false" ht="17.15" hidden="false" customHeight="false" outlineLevel="0" collapsed="false">
      <c r="A16698" s="1" t="s">
        <v>1220</v>
      </c>
      <c r="B16698" s="0" t="s">
        <v>98</v>
      </c>
      <c r="F16698" s="6" t="n">
        <f aca="false">Q!$I$35-Q!$I$39-Q!$I$43</f>
        <v>9.666</v>
      </c>
      <c r="L16698" s="12" t="s">
        <v>1221</v>
      </c>
    </row>
    <row r="16699" customFormat="false" ht="17.15" hidden="false" customHeight="false" outlineLevel="0" collapsed="false">
      <c r="A16699" s="1" t="s">
        <v>1222</v>
      </c>
      <c r="B16699" s="0" t="s">
        <v>98</v>
      </c>
      <c r="F16699" s="6" t="n">
        <f aca="false">Sens!F16670-Sens!F16667-Sens!F16674+Sens!F16652*(1-tax_f)*(1-v_off)-Sens!F16698</f>
        <v>-4.12511442380503</v>
      </c>
      <c r="G16699" s="6" t="n">
        <f aca="false">Sens!G16670-Sens!G16667-Sens!G16674+Sens!G16652*(1-tax_f)</f>
        <v>34.5749987524767</v>
      </c>
      <c r="H16699" s="6" t="n">
        <f aca="false">Sens!H16670-Sens!H16667-Sens!H16674+Sens!H16652*(1-tax_f)</f>
        <v>94.450898712524</v>
      </c>
      <c r="I16699" s="6" t="n">
        <f aca="false">Sens!I16670-Sens!I16667-Sens!I16674+Sens!I16652*(1-tax_f)</f>
        <v>177.311456301192</v>
      </c>
      <c r="J16699" s="6" t="n">
        <f aca="false">Sens!J16670-Sens!J16667-Sens!J16674+Sens!J16652*(1-tax_f)</f>
        <v>258.979375463956</v>
      </c>
      <c r="K16699" s="6" t="n">
        <f aca="false">Sens!K16670-Sens!K16667-Sens!K16674+Sens!K16652*(1-tax_f)</f>
        <v>299.209989330536</v>
      </c>
      <c r="L16699" s="1" t="s">
        <v>1223</v>
      </c>
    </row>
    <row r="16700" customFormat="false" ht="15" hidden="false" customHeight="false" outlineLevel="0" collapsed="false">
      <c r="A16700" s="1" t="s">
        <v>1224</v>
      </c>
      <c r="B16700" s="0" t="s">
        <v>98</v>
      </c>
      <c r="F16700" s="6" t="n">
        <f aca="false">Sens!F16699*Sens!F16697</f>
        <v>-3.97670395820327</v>
      </c>
      <c r="G16700" s="6" t="n">
        <f aca="false">Sens!G16699*Sens!G16697</f>
        <v>30.5957725979635</v>
      </c>
      <c r="H16700" s="6" t="n">
        <f aca="false">Sens!H16699*Sens!H16697</f>
        <v>75.7800348796487</v>
      </c>
      <c r="I16700" s="6" t="n">
        <f aca="false">Sens!I16699*Sens!I16697</f>
        <v>128.983737725951</v>
      </c>
      <c r="J16700" s="6" t="n">
        <f aca="false">Sens!J16699*Sens!J16697</f>
        <v>170.809804352799</v>
      </c>
      <c r="K16700" s="6" t="n">
        <f aca="false">Sens!K16699*Sens!K16697</f>
        <v>178.925879066915</v>
      </c>
    </row>
    <row r="16701" customFormat="false" ht="17.15" hidden="false" customHeight="false" outlineLevel="0" collapsed="false">
      <c r="A16701" s="1" t="s">
        <v>1225</v>
      </c>
      <c r="B16701" s="0" t="s">
        <v>98</v>
      </c>
      <c r="C16701" s="6" t="n">
        <f aca="false">SUM(Sens!F16700:K16700)</f>
        <v>581.118524665074</v>
      </c>
    </row>
    <row r="16702" customFormat="false" ht="17.15" hidden="false" customHeight="false" outlineLevel="0" collapsed="false">
      <c r="A16702" s="1" t="s">
        <v>1226</v>
      </c>
      <c r="B16702" s="0" t="s">
        <v>98</v>
      </c>
      <c r="C16702" s="6" t="n">
        <f aca="false">Sens!K16638*(1+g_tv)*(1-tax_f)</f>
        <v>311.918767369072</v>
      </c>
    </row>
    <row r="16703" customFormat="false" ht="17.15" hidden="false" customHeight="false" outlineLevel="0" collapsed="false">
      <c r="A16703" s="1" t="s">
        <v>1227</v>
      </c>
      <c r="B16703" s="0" t="s">
        <v>98</v>
      </c>
      <c r="C16703" s="6" t="n">
        <f aca="false">Sens!$C$16702*(1-g_tv/(wacc+ronic_prem))</f>
        <v>221.012677172072</v>
      </c>
    </row>
    <row r="16704" customFormat="false" ht="17.15" hidden="false" customHeight="false" outlineLevel="0" collapsed="false">
      <c r="A16704" s="1" t="s">
        <v>1228</v>
      </c>
      <c r="B16704" s="0" t="s">
        <v>98</v>
      </c>
      <c r="C16704" s="6" t="n">
        <f aca="false">Sens!$C$16703/(wacc-g_tv)</f>
        <v>3030.20300656667</v>
      </c>
    </row>
    <row r="16705" customFormat="false" ht="15" hidden="false" customHeight="false" outlineLevel="0" collapsed="false">
      <c r="A16705" s="1" t="s">
        <v>1229</v>
      </c>
      <c r="B16705" s="0" t="s">
        <v>98</v>
      </c>
      <c r="C16705" s="6" t="n">
        <f aca="false">Sens!$C$16704/(1+wacc)^Sens!K16696</f>
        <v>1725.41481675601</v>
      </c>
    </row>
    <row r="16706" customFormat="false" ht="17.15" hidden="false" customHeight="false" outlineLevel="0" collapsed="false">
      <c r="A16706" s="0" t="s">
        <v>1230</v>
      </c>
      <c r="B16706" s="0" t="s">
        <v>98</v>
      </c>
      <c r="C16706" s="6" t="n">
        <f aca="false">Sens!$C$16701+Sens!$C$16705</f>
        <v>2306.53334142109</v>
      </c>
    </row>
    <row r="16707" customFormat="false" ht="15" hidden="false" customHeight="false" outlineLevel="0" collapsed="false">
      <c r="A16707" s="1" t="s">
        <v>1145</v>
      </c>
      <c r="B16707" s="0" t="s">
        <v>168</v>
      </c>
      <c r="C16707" s="7" t="n">
        <f aca="false">Sens!$C$16705/Sens!$C$16706</f>
        <v>0.748055441372012</v>
      </c>
    </row>
    <row r="16708" customFormat="false" ht="17.15" hidden="false" customHeight="false" outlineLevel="0" collapsed="false">
      <c r="A16708" s="1" t="s">
        <v>1231</v>
      </c>
      <c r="B16708" s="0" t="s">
        <v>98</v>
      </c>
      <c r="C16708" s="6" t="n">
        <f aca="false">Sens!$C$16706+cash_val-debt_val-fl_val+oai_v</f>
        <v>2422.38434142109</v>
      </c>
    </row>
    <row r="16709" customFormat="false" ht="17.15" hidden="false" customHeight="false" outlineLevel="0" collapsed="false">
      <c r="A16709" s="0" t="s">
        <v>1153</v>
      </c>
      <c r="B16709" s="0" t="s">
        <v>75</v>
      </c>
      <c r="C16709" s="5" t="n">
        <f aca="false">Sens!$C$16708/shd_val</f>
        <v>325.326932772104</v>
      </c>
    </row>
    <row r="16710" customFormat="false" ht="15" hidden="false" customHeight="false" outlineLevel="0" collapsed="false">
      <c r="A16710" s="1" t="s">
        <v>1232</v>
      </c>
      <c r="B16710" s="0" t="s">
        <v>75</v>
      </c>
      <c r="C16710" s="8" t="n">
        <f aca="false">div_rem27+Sens!G16678*roll_div_q/q_per_yr</f>
        <v>3.9795</v>
      </c>
    </row>
    <row r="16711" customFormat="false" ht="17.15" hidden="false" customHeight="false" outlineLevel="0" collapsed="false">
      <c r="A16711" s="0" t="s">
        <v>1233</v>
      </c>
      <c r="B16711" s="0" t="s">
        <v>75</v>
      </c>
      <c r="C16711" s="5" t="n">
        <f aca="false">Sens!$C$16709*(1+wacc)^t_roll-Sens!$C$16710</f>
        <v>357.639542514296</v>
      </c>
    </row>
    <row r="16712" customFormat="false" ht="17.15" hidden="false" customHeight="false" outlineLevel="0" collapsed="false">
      <c r="A16712" s="1" t="s">
        <v>1234</v>
      </c>
      <c r="B16712" s="0" t="s">
        <v>168</v>
      </c>
      <c r="F16712" s="7" t="n">
        <f aca="false">Sens!F16664/(Sens!F16609-Sens!F16564)</f>
        <v>0.0685527305696859</v>
      </c>
      <c r="G16712" s="7" t="n">
        <f aca="false">Sens!G16664/(Sens!G16609-Sens!G16564)</f>
        <v>0.0653567731599844</v>
      </c>
      <c r="H16712" s="7" t="n">
        <f aca="false">Sens!H16664/(Sens!H16609-Sens!H16564)</f>
        <v>0.0636628841026972</v>
      </c>
      <c r="I16712" s="7" t="n">
        <f aca="false">Sens!I16664/(Sens!I16609-Sens!I16564)</f>
        <v>0.0633581084335176</v>
      </c>
      <c r="J16712" s="7" t="n">
        <f aca="false">Sens!J16664/(Sens!J16609-Sens!J16564)</f>
        <v>0.0640873955995062</v>
      </c>
      <c r="K16712" s="7" t="n">
        <f aca="false">Sens!K16664/(Sens!K16609-Sens!K16564)</f>
        <v>0.0653962234835198</v>
      </c>
    </row>
    <row r="16713" customFormat="false" ht="17.15" hidden="false" customHeight="false" outlineLevel="0" collapsed="false">
      <c r="A16713" s="0" t="s">
        <v>1235</v>
      </c>
      <c r="B16713" s="0" t="s">
        <v>98</v>
      </c>
      <c r="F16713" s="6" t="n">
        <f aca="false">Sens!F16594*(al_m365+Sens!F16712+sbc_r)</f>
        <v>84.5213906545575</v>
      </c>
      <c r="G16713" s="6" t="n">
        <f aca="false">Sens!G16594*(al_m365+Sens!G16712+sbc_r)</f>
        <v>98.949983331796</v>
      </c>
      <c r="H16713" s="6" t="n">
        <f aca="false">Sens!H16594*(al_m365+Sens!H16712+sbc_r)</f>
        <v>113.543734275326</v>
      </c>
      <c r="I16713" s="6" t="n">
        <f aca="false">Sens!I16594*(al_m365+Sens!I16712+sbc_r)</f>
        <v>126.62058838692</v>
      </c>
      <c r="J16713" s="6" t="n">
        <f aca="false">Sens!J16594*(al_m365+Sens!J16712+sbc_r)</f>
        <v>137.994660156303</v>
      </c>
      <c r="K16713" s="6" t="n">
        <f aca="false">Sens!K16594*(al_m365+Sens!K16712+sbc_r)</f>
        <v>148.989224092997</v>
      </c>
      <c r="L16713" s="12" t="s">
        <v>1236</v>
      </c>
    </row>
    <row r="16714" customFormat="false" ht="17.15" hidden="false" customHeight="false" outlineLevel="0" collapsed="false">
      <c r="A16714" s="0" t="s">
        <v>1237</v>
      </c>
      <c r="B16714" s="0" t="s">
        <v>98</v>
      </c>
      <c r="F16714" s="6" t="n">
        <f aca="false">Sens!F16595*(al_lic+Sens!F16712+sbc_r)</f>
        <v>32.855200196554</v>
      </c>
      <c r="G16714" s="6" t="n">
        <f aca="false">Sens!G16595*(al_lic+Sens!G16712+sbc_r)</f>
        <v>34.1185582613282</v>
      </c>
      <c r="H16714" s="6" t="n">
        <f aca="false">Sens!H16595*(al_lic+Sens!H16712+sbc_r)</f>
        <v>35.3024309363621</v>
      </c>
      <c r="I16714" s="6" t="n">
        <f aca="false">Sens!I16595*(al_lic+Sens!I16712+sbc_r)</f>
        <v>36.3898468129533</v>
      </c>
      <c r="J16714" s="6" t="n">
        <f aca="false">Sens!J16595*(al_lic+Sens!J16712+sbc_r)</f>
        <v>37.3529129529876</v>
      </c>
      <c r="K16714" s="6" t="n">
        <f aca="false">Sens!K16595*(al_lic+Sens!K16712+sbc_r)</f>
        <v>38.158536171203</v>
      </c>
    </row>
    <row r="16715" customFormat="false" ht="17.15" hidden="false" customHeight="false" outlineLevel="0" collapsed="false">
      <c r="A16715" s="0" t="s">
        <v>1238</v>
      </c>
      <c r="B16715" s="0" t="s">
        <v>98</v>
      </c>
      <c r="F16715" s="6" t="n">
        <f aca="false">Sens!F16597*(al_ind+Sens!F16712+sbc_r)</f>
        <v>9.05892547956683</v>
      </c>
      <c r="G16715" s="6" t="n">
        <f aca="false">Sens!G16597*(al_ind+Sens!G16712+sbc_r)</f>
        <v>9.82456487622418</v>
      </c>
      <c r="H16715" s="6" t="n">
        <f aca="false">Sens!H16597*(al_ind+Sens!H16712+sbc_r)</f>
        <v>10.6377408477959</v>
      </c>
      <c r="I16715" s="6" t="n">
        <f aca="false">Sens!I16597*(al_ind+Sens!I16712+sbc_r)</f>
        <v>11.4966323260293</v>
      </c>
      <c r="J16715" s="6" t="n">
        <f aca="false">Sens!J16597*(al_ind+Sens!J16712+sbc_r)</f>
        <v>12.3903660286279</v>
      </c>
      <c r="K16715" s="6" t="n">
        <f aca="false">Sens!K16597*(al_ind+Sens!K16712+sbc_r)</f>
        <v>13.3009129057681</v>
      </c>
    </row>
    <row r="16716" customFormat="false" ht="17.15" hidden="false" customHeight="false" outlineLevel="0" collapsed="false">
      <c r="A16716" s="0" t="s">
        <v>1239</v>
      </c>
      <c r="B16716" s="0" t="s">
        <v>98</v>
      </c>
      <c r="F16716" s="6" t="n">
        <f aca="false">Sens!F16599*(al_fro+Sens!F16712+sbc_r)</f>
        <v>3.55344443532423</v>
      </c>
      <c r="G16716" s="6" t="n">
        <f aca="false">Sens!G16599*(al_fro+Sens!G16712+sbc_r)</f>
        <v>3.75916645971565</v>
      </c>
      <c r="H16716" s="6" t="n">
        <f aca="false">Sens!H16599*(al_fro+Sens!H16712+sbc_r)</f>
        <v>3.994970960527</v>
      </c>
      <c r="I16716" s="6" t="n">
        <f aca="false">Sens!I16599*(al_fro+Sens!I16712+sbc_r)</f>
        <v>4.26396270432353</v>
      </c>
      <c r="J16716" s="6" t="n">
        <f aca="false">Sens!J16599*(al_fro+Sens!J16712+sbc_r)</f>
        <v>4.5667795874336</v>
      </c>
      <c r="K16716" s="6" t="n">
        <f aca="false">Sens!K16599*(al_fro+Sens!K16712+sbc_r)</f>
        <v>4.90238443416026</v>
      </c>
    </row>
    <row r="16717" customFormat="false" ht="17.15" hidden="false" customHeight="false" outlineLevel="0" collapsed="false">
      <c r="A16717" s="0" t="s">
        <v>1240</v>
      </c>
      <c r="B16717" s="0" t="s">
        <v>98</v>
      </c>
      <c r="F16717" s="6" t="n">
        <f aca="false">Sens!F16602*(al_srch+Sens!F16712+sbc_r)</f>
        <v>11.1872483445711</v>
      </c>
      <c r="G16717" s="6" t="n">
        <f aca="false">Sens!G16602*(al_srch+Sens!G16712+sbc_r)</f>
        <v>12.247246048296</v>
      </c>
      <c r="H16717" s="6" t="n">
        <f aca="false">Sens!H16602*(al_srch+Sens!H16712+sbc_r)</f>
        <v>13.3552870946193</v>
      </c>
      <c r="I16717" s="6" t="n">
        <f aca="false">Sens!I16602*(al_srch+Sens!I16712+sbc_r)</f>
        <v>14.5024145321619</v>
      </c>
      <c r="J16717" s="6" t="n">
        <f aca="false">Sens!J16602*(al_srch+Sens!J16712+sbc_r)</f>
        <v>15.667276660652</v>
      </c>
      <c r="K16717" s="6" t="n">
        <f aca="false">Sens!K16602*(al_srch+Sens!K16712+sbc_r)</f>
        <v>16.8186381138719</v>
      </c>
    </row>
    <row r="16718" customFormat="false" ht="17.15" hidden="false" customHeight="false" outlineLevel="0" collapsed="false">
      <c r="A16718" s="0" t="s">
        <v>1241</v>
      </c>
      <c r="B16718" s="0" t="s">
        <v>98</v>
      </c>
      <c r="F16718" s="6" t="n">
        <f aca="false">Sens!F16570-Sens!F16571+Sens!F16652</f>
        <v>40.3706857168198</v>
      </c>
      <c r="G16718" s="6" t="n">
        <f aca="false">Sens!G16570-Sens!G16571+Sens!G16652</f>
        <v>85.9057824529685</v>
      </c>
      <c r="H16718" s="6" t="n">
        <f aca="false">Sens!H16570-Sens!H16571+Sens!H16652</f>
        <v>139.315221534551</v>
      </c>
      <c r="I16718" s="6" t="n">
        <f aca="false">Sens!I16570-Sens!I16571+Sens!I16652</f>
        <v>181.744824267447</v>
      </c>
      <c r="J16718" s="6" t="n">
        <f aca="false">Sens!J16570-Sens!J16571+Sens!J16652</f>
        <v>211.543070732622</v>
      </c>
      <c r="K16718" s="6" t="n">
        <f aca="false">Sens!K16570-Sens!K16571+Sens!K16652</f>
        <v>229.372289080775</v>
      </c>
    </row>
    <row r="16719" customFormat="false" ht="17.15" hidden="false" customHeight="false" outlineLevel="0" collapsed="false">
      <c r="A16719" s="0" t="s">
        <v>1242</v>
      </c>
      <c r="B16719" s="0" t="s">
        <v>98</v>
      </c>
      <c r="F16719" s="6" t="n">
        <f aca="false">Sens!F16631+Sens!F16652+Sens!F16582+Sens!F16712*(Sens!F16601-Sens!F16564)+sbc_r*Sens!F16601</f>
        <v>235.810595401382</v>
      </c>
      <c r="G16719" s="6" t="n">
        <f aca="false">Sens!G16631+Sens!G16652+Sens!G16582+Sens!G16712*(Sens!G16601-Sens!G16564)+sbc_r*Sens!G16601</f>
        <v>306.737229838104</v>
      </c>
      <c r="H16719" s="6" t="n">
        <f aca="false">Sens!H16631+Sens!H16652+Sens!H16582+Sens!H16712*(Sens!H16601-Sens!H16564)+sbc_r*Sens!H16601</f>
        <v>390.18393475317</v>
      </c>
      <c r="I16719" s="6" t="n">
        <f aca="false">Sens!I16631+Sens!I16652+Sens!I16582+Sens!I16712*(Sens!I16601-Sens!I16564)+sbc_r*Sens!I16601</f>
        <v>460.558325654519</v>
      </c>
      <c r="J16719" s="6" t="n">
        <f aca="false">Sens!J16631+Sens!J16652+Sens!J16582+Sens!J16712*(Sens!J16601-Sens!J16564)+sbc_r*Sens!J16601</f>
        <v>515.322990187285</v>
      </c>
      <c r="K16719" s="6" t="n">
        <f aca="false">Sens!K16631+Sens!K16652+Sens!K16582+Sens!K16712*(Sens!K16601-Sens!K16564)+sbc_r*Sens!K16601</f>
        <v>555.685627918098</v>
      </c>
    </row>
    <row r="16720" customFormat="false" ht="17.15" hidden="false" customHeight="false" outlineLevel="0" collapsed="false">
      <c r="A16720" s="0" t="s">
        <v>1243</v>
      </c>
      <c r="B16720" s="0" t="s">
        <v>98</v>
      </c>
      <c r="F16720" s="6" t="n">
        <f aca="false">Sens!F16719-Sens!F16713-Sens!F16714-Sens!F16715-Sens!F16716-Sens!F16718</f>
        <v>65.4509489185601</v>
      </c>
      <c r="G16720" s="6" t="n">
        <f aca="false">Sens!G16719-Sens!G16713-Sens!G16714-Sens!G16715-Sens!G16716-Sens!G16718</f>
        <v>74.1791744560715</v>
      </c>
      <c r="H16720" s="6" t="n">
        <f aca="false">Sens!H16719-Sens!H16713-Sens!H16714-Sens!H16715-Sens!H16716-Sens!H16718</f>
        <v>87.3898361986085</v>
      </c>
      <c r="I16720" s="6" t="n">
        <f aca="false">Sens!I16719-Sens!I16713-Sens!I16714-Sens!I16715-Sens!I16716-Sens!I16718</f>
        <v>100.042471156846</v>
      </c>
      <c r="J16720" s="6" t="n">
        <f aca="false">Sens!J16719-Sens!J16713-Sens!J16714-Sens!J16715-Sens!J16716-Sens!J16718</f>
        <v>111.475200729312</v>
      </c>
      <c r="K16720" s="6" t="n">
        <f aca="false">Sens!K16719-Sens!K16713-Sens!K16714-Sens!K16715-Sens!K16716-Sens!K16718</f>
        <v>120.962281233195</v>
      </c>
    </row>
    <row r="16721" customFormat="false" ht="17.15" hidden="false" customHeight="false" outlineLevel="0" collapsed="false">
      <c r="A16721" s="0" t="s">
        <v>1244</v>
      </c>
      <c r="B16721" s="0" t="s">
        <v>98</v>
      </c>
      <c r="F16721" s="6" t="n">
        <f aca="false">Sens!F16633+Sens!F16712*Sens!F16608+sbc_r*Sens!F16608</f>
        <v>26.6293388420472</v>
      </c>
      <c r="G16721" s="6" t="n">
        <f aca="false">Sens!G16633+Sens!G16712*Sens!G16608+sbc_r*Sens!G16608</f>
        <v>26.4405000412783</v>
      </c>
      <c r="H16721" s="6" t="n">
        <f aca="false">Sens!H16633+Sens!H16712*Sens!H16608+sbc_r*Sens!H16608</f>
        <v>27.296860059552</v>
      </c>
      <c r="I16721" s="6" t="n">
        <f aca="false">Sens!I16633+Sens!I16712*Sens!I16608+sbc_r*Sens!I16608</f>
        <v>28.3995465815703</v>
      </c>
      <c r="J16721" s="6" t="n">
        <f aca="false">Sens!J16633+Sens!J16712*Sens!J16608+sbc_r*Sens!J16608</f>
        <v>29.7093380975903</v>
      </c>
      <c r="K16721" s="6" t="n">
        <f aca="false">Sens!K16633+Sens!K16712*Sens!K16608+sbc_r*Sens!K16608</f>
        <v>31.1817775287323</v>
      </c>
    </row>
    <row r="16722" customFormat="false" ht="17.15" hidden="false" customHeight="false" outlineLevel="0" collapsed="false">
      <c r="A16722" s="0" t="s">
        <v>1245</v>
      </c>
      <c r="B16722" s="0" t="s">
        <v>98</v>
      </c>
      <c r="F16722" s="6" t="n">
        <f aca="false">(Sens!F16721-Sens!F16717)*Sens!F16604/(Sens!F16604+Sens!F16606)</f>
        <v>8.72146908842971</v>
      </c>
      <c r="G16722" s="6" t="n">
        <f aca="false">(Sens!G16721-Sens!G16717)*Sens!G16604/(Sens!G16604+Sens!G16606)</f>
        <v>7.87837655379173</v>
      </c>
      <c r="H16722" s="6" t="n">
        <f aca="false">(Sens!H16721-Sens!H16717)*Sens!H16604/(Sens!H16604+Sens!H16606)</f>
        <v>7.63786170689933</v>
      </c>
      <c r="I16722" s="6" t="n">
        <f aca="false">(Sens!I16721-Sens!I16717)*Sens!I16604/(Sens!I16604+Sens!I16606)</f>
        <v>7.5470606300581</v>
      </c>
      <c r="J16722" s="6" t="n">
        <f aca="false">(Sens!J16721-Sens!J16717)*Sens!J16604/(Sens!J16604+Sens!J16606)</f>
        <v>7.59249600034024</v>
      </c>
      <c r="K16722" s="6" t="n">
        <f aca="false">(Sens!K16721-Sens!K16717)*Sens!K16604/(Sens!K16604+Sens!K16606)</f>
        <v>7.76610179704742</v>
      </c>
    </row>
    <row r="16723" customFormat="false" ht="17.15" hidden="false" customHeight="false" outlineLevel="0" collapsed="false">
      <c r="A16723" s="0" t="s">
        <v>1246</v>
      </c>
      <c r="B16723" s="0" t="s">
        <v>98</v>
      </c>
      <c r="F16723" s="6" t="n">
        <f aca="false">Sens!F16721-Sens!F16717-Sens!F16722</f>
        <v>6.72062140904636</v>
      </c>
      <c r="G16723" s="6" t="n">
        <f aca="false">Sens!G16721-Sens!G16717-Sens!G16722</f>
        <v>6.31487743919059</v>
      </c>
      <c r="H16723" s="6" t="n">
        <f aca="false">Sens!H16721-Sens!H16717-Sens!H16722</f>
        <v>6.30371125803333</v>
      </c>
      <c r="I16723" s="6" t="n">
        <f aca="false">Sens!I16721-Sens!I16717-Sens!I16722</f>
        <v>6.35007141935025</v>
      </c>
      <c r="J16723" s="6" t="n">
        <f aca="false">Sens!J16721-Sens!J16717-Sens!J16722</f>
        <v>6.44956543659808</v>
      </c>
      <c r="K16723" s="6" t="n">
        <f aca="false">Sens!K16721-Sens!K16717-Sens!K16722</f>
        <v>6.597037617813</v>
      </c>
    </row>
    <row r="16724" customFormat="false" ht="17.15" hidden="false" customHeight="false" outlineLevel="0" collapsed="false">
      <c r="A16724" s="0" t="s">
        <v>1247</v>
      </c>
      <c r="B16724" s="0" t="s">
        <v>98</v>
      </c>
      <c r="F16724" s="6" t="n">
        <f aca="false">Sens!F16718-tax_f*(Sens!F16718-Sens!F16582)-Sens!F16579</f>
        <v>-129.241492572993</v>
      </c>
      <c r="G16724" s="6" t="n">
        <f aca="false">Sens!G16718-tax_f*(Sens!G16718-Sens!G16582)-Sens!G16579</f>
        <v>-111.072951556214</v>
      </c>
      <c r="H16724" s="6" t="n">
        <f aca="false">Sens!H16718-tax_f*(Sens!H16718-Sens!H16582)-Sens!H16579</f>
        <v>-67.5338087045827</v>
      </c>
      <c r="I16724" s="6" t="n">
        <f aca="false">Sens!I16718-tax_f*(Sens!I16718-Sens!I16582)-Sens!I16579</f>
        <v>-0.372772268743233</v>
      </c>
      <c r="J16724" s="6" t="n">
        <f aca="false">Sens!J16718-tax_f*(Sens!J16718-Sens!J16582)-Sens!J16579</f>
        <v>66.7076600000761</v>
      </c>
      <c r="K16724" s="6" t="n">
        <f aca="false">Sens!K16718-tax_f*(Sens!K16718-Sens!K16582)-Sens!K16579</f>
        <v>93.1375121100744</v>
      </c>
    </row>
    <row r="16725" customFormat="false" ht="17.15" hidden="false" customHeight="false" outlineLevel="0" collapsed="false">
      <c r="A16725" s="0" t="s">
        <v>1248</v>
      </c>
      <c r="B16725" s="0" t="s">
        <v>98</v>
      </c>
      <c r="G16725" s="6" t="n">
        <f aca="false">Sens!G16724/(1+wacc)^(Sens!G16695-Sens!F16696)</f>
        <v>-105.76282437505</v>
      </c>
      <c r="H16725" s="6" t="n">
        <f aca="false">Sens!H16724/(1+wacc)^(Sens!H16695-Sens!F16696)</f>
        <v>-58.3036072849239</v>
      </c>
      <c r="I16725" s="6" t="n">
        <f aca="false">Sens!I16724/(1+wacc)^(Sens!I16695-Sens!F16696)</f>
        <v>-0.291787870276486</v>
      </c>
      <c r="J16725" s="6" t="n">
        <f aca="false">Sens!J16724/(1+wacc)^(Sens!J16695-Sens!F16696)</f>
        <v>47.3422395659047</v>
      </c>
      <c r="K16725" s="6" t="n">
        <f aca="false">Sens!K16724/(1+wacc)^(Sens!K16695-Sens!F16696)</f>
        <v>59.9304005011405</v>
      </c>
      <c r="L16725" s="1" t="s">
        <v>1249</v>
      </c>
    </row>
    <row r="16726" customFormat="false" ht="17.15" hidden="false" customHeight="false" outlineLevel="0" collapsed="false">
      <c r="A16726" s="0" t="s">
        <v>1250</v>
      </c>
      <c r="B16726" s="0" t="s">
        <v>98</v>
      </c>
      <c r="C16726" s="6" t="n">
        <f aca="false">(Sens!K16718-Sens!K16582)*(1-tax_f)*(1+g_tv)*(1-g_tv/(wacc+ronic_prem))/(wacc-g_tv)/(1+wacc)^(Sens!K16696-Sens!F16696)</f>
        <v>423.560473769446</v>
      </c>
    </row>
    <row r="16727" customFormat="false" ht="17.15" hidden="false" customHeight="false" outlineLevel="0" collapsed="false">
      <c r="A16727" s="1" t="s">
        <v>1251</v>
      </c>
      <c r="B16727" s="0" t="s">
        <v>98</v>
      </c>
      <c r="C16727" s="6" t="n">
        <f aca="false">(SUM(Sens!G16725:K16725)+Sens!$C$16726)*(1+wacc)^(t_roll-Sens!F16696)</f>
        <v>378.573338869632</v>
      </c>
      <c r="L16727" s="12" t="s">
        <v>1252</v>
      </c>
    </row>
    <row r="16728" customFormat="false" ht="17.15" hidden="false" customHeight="false" outlineLevel="0" collapsed="false">
      <c r="A16728" s="1" t="s">
        <v>1253</v>
      </c>
      <c r="B16728" s="0" t="s">
        <v>98</v>
      </c>
      <c r="C16728" s="6" t="n">
        <f aca="false">(w_ntm28*Sens!G16570+(1-w_ntm28)*Sens!H16570)*m_ai</f>
        <v>563.316843258668</v>
      </c>
    </row>
    <row r="16729" customFormat="false" ht="17.15" hidden="false" customHeight="false" outlineLevel="0" collapsed="false">
      <c r="A16729" s="1" t="s">
        <v>1254</v>
      </c>
      <c r="B16729" s="0" t="s">
        <v>98</v>
      </c>
      <c r="C16729" s="6" t="n">
        <f aca="false">(w_ntm28*Sens!G16720+(1-w_ntm28)*Sens!H16720)*m_cloud</f>
        <v>1085.17964696599</v>
      </c>
    </row>
    <row r="16730" customFormat="false" ht="17.15" hidden="false" customHeight="false" outlineLevel="0" collapsed="false">
      <c r="A16730" s="1" t="s">
        <v>1255</v>
      </c>
      <c r="B16730" s="0" t="s">
        <v>98</v>
      </c>
      <c r="C16730" s="6" t="n">
        <f aca="false">(w_ntm28*Sens!G16713+(1-w_ntm28)*Sens!H16713)*m_sw</f>
        <v>1120.47763155275</v>
      </c>
    </row>
    <row r="16731" customFormat="false" ht="17.15" hidden="false" customHeight="false" outlineLevel="0" collapsed="false">
      <c r="A16731" s="1" t="s">
        <v>1256</v>
      </c>
      <c r="B16731" s="0" t="s">
        <v>98</v>
      </c>
      <c r="C16731" s="6" t="n">
        <f aca="false">(w_ntm28*Sens!G16714+(1-w_ntm28)*Sens!H16714)*m_sw</f>
        <v>372.68398809041</v>
      </c>
    </row>
    <row r="16732" customFormat="false" ht="17.15" hidden="false" customHeight="false" outlineLevel="0" collapsed="false">
      <c r="A16732" s="1" t="s">
        <v>1257</v>
      </c>
      <c r="B16732" s="0" t="s">
        <v>98</v>
      </c>
      <c r="C16732" s="6" t="n">
        <f aca="false">(w_ntm28*Sens!G16715+(1-w_ntm28)*Sens!H16715)*m_sw</f>
        <v>108.992632332144</v>
      </c>
    </row>
    <row r="16733" customFormat="false" ht="17.15" hidden="false" customHeight="false" outlineLevel="0" collapsed="false">
      <c r="A16733" s="1" t="s">
        <v>1258</v>
      </c>
      <c r="B16733" s="0" t="s">
        <v>98</v>
      </c>
      <c r="C16733" s="6" t="n">
        <f aca="false">(w_ntm28*Sens!G16716+(1-w_ntm28)*Sens!H16716)*m_sw</f>
        <v>41.4362652527414</v>
      </c>
    </row>
    <row r="16734" customFormat="false" ht="17.15" hidden="false" customHeight="false" outlineLevel="0" collapsed="false">
      <c r="A16734" s="1" t="s">
        <v>1259</v>
      </c>
      <c r="B16734" s="0" t="s">
        <v>98</v>
      </c>
      <c r="C16734" s="6" t="n">
        <f aca="false">(w_ntm28*Sens!G16717+(1-w_ntm28)*Sens!H16717)*m_ads</f>
        <v>114.891070326937</v>
      </c>
    </row>
    <row r="16735" customFormat="false" ht="17.15" hidden="false" customHeight="false" outlineLevel="0" collapsed="false">
      <c r="A16735" s="1" t="s">
        <v>1260</v>
      </c>
      <c r="B16735" s="0" t="s">
        <v>98</v>
      </c>
      <c r="C16735" s="6" t="n">
        <f aca="false">(w_ntm28*Sens!G16722+(1-w_ntm28)*Sens!H16722)*m_game</f>
        <v>98.505199156718</v>
      </c>
    </row>
    <row r="16736" customFormat="false" ht="17.15" hidden="false" customHeight="false" outlineLevel="0" collapsed="false">
      <c r="A16736" s="1" t="s">
        <v>1261</v>
      </c>
      <c r="B16736" s="0" t="s">
        <v>98</v>
      </c>
      <c r="C16736" s="6" t="n">
        <f aca="false">(w_ntm28*Sens!G16723+(1-w_ntm28)*Sens!H16723)*m_pc</f>
        <v>91.3231561150564</v>
      </c>
    </row>
    <row r="16737" customFormat="false" ht="17.15" hidden="false" customHeight="false" outlineLevel="0" collapsed="false">
      <c r="A16737" s="1" t="s">
        <v>1262</v>
      </c>
      <c r="B16737" s="0" t="s">
        <v>98</v>
      </c>
      <c r="C16737" s="6" t="n">
        <f aca="false">Sens!$C$16727+Sens!$C$16729+Sens!$C$16730+Sens!$C$16731+Sens!$C$16732+Sens!$C$16733+Sens!$C$16734+Sens!$C$16735+Sens!$C$16736</f>
        <v>3412.06292866238</v>
      </c>
    </row>
    <row r="16738" customFormat="false" ht="17.15" hidden="false" customHeight="false" outlineLevel="0" collapsed="false">
      <c r="A16738" s="1" t="s">
        <v>1263</v>
      </c>
      <c r="B16738" s="0" t="s">
        <v>98</v>
      </c>
      <c r="C16738" s="6" t="n">
        <f aca="false">(Sens!G16699-Sens!G16724)*t_stub</f>
        <v>48.2832931160316</v>
      </c>
      <c r="L16738" s="1" t="s">
        <v>1264</v>
      </c>
    </row>
    <row r="16739" customFormat="false" ht="17.15" hidden="false" customHeight="false" outlineLevel="0" collapsed="false">
      <c r="A16739" s="1" t="s">
        <v>1173</v>
      </c>
      <c r="B16739" s="0" t="s">
        <v>98</v>
      </c>
      <c r="C16739" s="6" t="n">
        <f aca="false">Sens!F16686+oai_v-Sens!F16675+Sens!$C$16738</f>
        <v>162.511563116032</v>
      </c>
      <c r="L16739" s="1" t="s">
        <v>1265</v>
      </c>
    </row>
    <row r="16740" customFormat="false" ht="17.15" hidden="false" customHeight="false" outlineLevel="0" collapsed="false">
      <c r="A16740" s="1" t="s">
        <v>1266</v>
      </c>
      <c r="B16740" s="0" t="s">
        <v>75</v>
      </c>
      <c r="C16740" s="5" t="n">
        <f aca="false">(Sens!$C$16737+Sens!$C$16739)/(Sens!F16688+dil_gap)-Sens!G16678*roll_div_q/q_per_yr</f>
        <v>476.18985205208</v>
      </c>
      <c r="L16740" s="1" t="s">
        <v>1267</v>
      </c>
    </row>
    <row r="16741" customFormat="false" ht="17.15" hidden="false" customHeight="false" outlineLevel="0" collapsed="false">
      <c r="A16741" s="1" t="s">
        <v>1268</v>
      </c>
      <c r="B16741" s="0" t="s">
        <v>75</v>
      </c>
      <c r="C16741" s="5" t="n">
        <f aca="false">w_dcf*Sens!$C$16711+(1-w_dcf)*Sens!$C$16740</f>
        <v>416.914697283188</v>
      </c>
    </row>
    <row r="16742" customFormat="false" ht="17.15" hidden="false" customHeight="false" outlineLevel="0" collapsed="false">
      <c r="A16742" s="3" t="s">
        <v>2024</v>
      </c>
    </row>
    <row r="16743" customFormat="false" ht="15" hidden="false" customHeight="false" outlineLevel="0" collapsed="false">
      <c r="A16743" s="4" t="s">
        <v>43</v>
      </c>
      <c r="B16743" s="4" t="s">
        <v>65</v>
      </c>
      <c r="C16743" s="23" t="s">
        <v>942</v>
      </c>
      <c r="D16743" s="23" t="s">
        <v>943</v>
      </c>
      <c r="E16743" s="23" t="s">
        <v>944</v>
      </c>
      <c r="F16743" s="23" t="s">
        <v>945</v>
      </c>
      <c r="G16743" s="23" t="s">
        <v>946</v>
      </c>
      <c r="H16743" s="23" t="s">
        <v>947</v>
      </c>
      <c r="I16743" s="23" t="s">
        <v>948</v>
      </c>
      <c r="J16743" s="23" t="s">
        <v>949</v>
      </c>
      <c r="K16743" s="23" t="s">
        <v>950</v>
      </c>
      <c r="L16743" s="4" t="s">
        <v>47</v>
      </c>
    </row>
    <row r="16744" customFormat="false" ht="17.15" hidden="false" customHeight="false" outlineLevel="0" collapsed="false">
      <c r="A16744" s="1" t="s">
        <v>951</v>
      </c>
      <c r="B16744" s="1" t="s">
        <v>279</v>
      </c>
      <c r="C16744" s="21" t="n">
        <v>2024</v>
      </c>
      <c r="D16744" s="21" t="n">
        <v>2025</v>
      </c>
      <c r="E16744" s="21" t="n">
        <v>2026</v>
      </c>
      <c r="F16744" s="21" t="n">
        <v>2027</v>
      </c>
      <c r="G16744" s="21" t="n">
        <v>2028</v>
      </c>
      <c r="H16744" s="21" t="n">
        <v>2029</v>
      </c>
      <c r="I16744" s="21" t="n">
        <v>2030</v>
      </c>
      <c r="J16744" s="21" t="n">
        <v>2031</v>
      </c>
      <c r="K16744" s="21" t="n">
        <v>2032</v>
      </c>
    </row>
    <row r="16745" customFormat="false" ht="17.15" hidden="false" customHeight="false" outlineLevel="0" collapsed="false">
      <c r="A16745" s="1" t="s">
        <v>952</v>
      </c>
      <c r="B16745" s="0" t="s">
        <v>459</v>
      </c>
      <c r="F16745" s="30" t="n">
        <f aca="false">pace</f>
        <v>2726.5351</v>
      </c>
      <c r="G16745" s="30" t="n">
        <f aca="false">pace</f>
        <v>2726.5351</v>
      </c>
      <c r="H16745" s="30" t="n">
        <f aca="false">pace</f>
        <v>2726.5351</v>
      </c>
      <c r="I16745" s="30" t="n">
        <f aca="false">pace+(g_tv*Sens!H16746-pace)*MIN(1,(Sens!I16744-pace_y0)/(pace_y1-pace_y0))</f>
        <v>1931.98611966667</v>
      </c>
      <c r="J16745" s="30" t="n">
        <f aca="false">pace+(g_tv*Sens!I16746-pace)*MIN(1,(Sens!J16744-pace_y0)/(pace_y1-pace_y0))</f>
        <v>1176.07686172667</v>
      </c>
      <c r="K16745" s="30" t="n">
        <f aca="false">pace+(g_tv*Sens!J16746-pace)*MIN(1,(Sens!K16744-pace_y0)/(pace_y1-pace_y0))</f>
        <v>436.1300484418</v>
      </c>
      <c r="L16745" s="12" t="s">
        <v>953</v>
      </c>
    </row>
    <row r="16746" customFormat="false" ht="17.15" hidden="false" customHeight="false" outlineLevel="0" collapsed="false">
      <c r="A16746" s="1" t="s">
        <v>954</v>
      </c>
      <c r="B16746" s="0" t="s">
        <v>459</v>
      </c>
      <c r="C16746" s="30" t="n">
        <f aca="false">mw_ext_24</f>
        <v>640</v>
      </c>
      <c r="D16746" s="30" t="n">
        <f aca="false">mw_ext_25</f>
        <v>1630</v>
      </c>
      <c r="E16746" s="30" t="n">
        <f aca="false">mw_ext_26</f>
        <v>3250</v>
      </c>
      <c r="F16746" s="30" t="n">
        <f aca="false">Sens!E16746+Sens!F16745</f>
        <v>5976.5351</v>
      </c>
      <c r="G16746" s="30" t="n">
        <f aca="false">Sens!F16746+Sens!G16745</f>
        <v>8703.0702</v>
      </c>
      <c r="H16746" s="30" t="n">
        <f aca="false">Sens!G16746+Sens!H16745</f>
        <v>11429.6053</v>
      </c>
      <c r="I16746" s="30" t="n">
        <f aca="false">Sens!H16746+Sens!I16745</f>
        <v>13361.5914196667</v>
      </c>
      <c r="J16746" s="30" t="n">
        <f aca="false">Sens!I16746+Sens!J16745</f>
        <v>14537.6682813933</v>
      </c>
      <c r="K16746" s="30" t="n">
        <f aca="false">Sens!J16746+Sens!K16745</f>
        <v>14973.7983298351</v>
      </c>
      <c r="L16746" s="1" t="s">
        <v>955</v>
      </c>
    </row>
    <row r="16747" customFormat="false" ht="17.15" hidden="false" customHeight="false" outlineLevel="0" collapsed="false">
      <c r="A16747" s="1" t="s">
        <v>956</v>
      </c>
      <c r="B16747" s="0" t="s">
        <v>459</v>
      </c>
      <c r="C16747" s="30" t="n">
        <f aca="false">rent_ext_24</f>
        <v>150</v>
      </c>
      <c r="D16747" s="30" t="n">
        <f aca="false">rent_ext_25</f>
        <v>400</v>
      </c>
      <c r="E16747" s="30" t="n">
        <f aca="false">rent_ext_26</f>
        <v>550</v>
      </c>
      <c r="F16747" s="30" t="n">
        <f aca="false">rent_ext_f</f>
        <v>756</v>
      </c>
      <c r="G16747" s="30" t="n">
        <f aca="false">rent_ext_f</f>
        <v>756</v>
      </c>
      <c r="H16747" s="30" t="n">
        <f aca="false">rent_ext_f</f>
        <v>756</v>
      </c>
      <c r="I16747" s="30" t="n">
        <f aca="false">rent_ext_f</f>
        <v>756</v>
      </c>
      <c r="J16747" s="30" t="n">
        <f aca="false">rent_ext_f</f>
        <v>756</v>
      </c>
      <c r="K16747" s="30" t="n">
        <f aca="false">rent_ext_f</f>
        <v>756</v>
      </c>
      <c r="L16747" s="1" t="s">
        <v>957</v>
      </c>
    </row>
    <row r="16748" customFormat="false" ht="17.15" hidden="false" customHeight="false" outlineLevel="0" collapsed="false">
      <c r="A16748" s="1" t="s">
        <v>958</v>
      </c>
      <c r="B16748" s="0" t="s">
        <v>459</v>
      </c>
      <c r="C16748" s="30" t="n">
        <f aca="false">Sens!C16746-Sens!C16747</f>
        <v>490</v>
      </c>
      <c r="D16748" s="30" t="n">
        <f aca="false">Sens!D16746-Sens!D16747</f>
        <v>1230</v>
      </c>
      <c r="E16748" s="30" t="n">
        <f aca="false">Sens!E16746-Sens!E16747</f>
        <v>2700</v>
      </c>
      <c r="F16748" s="30" t="n">
        <f aca="false">Sens!F16746-Sens!F16747</f>
        <v>5220.5351</v>
      </c>
      <c r="G16748" s="30" t="n">
        <f aca="false">Sens!G16746-Sens!G16747</f>
        <v>7947.0702</v>
      </c>
      <c r="H16748" s="30" t="n">
        <f aca="false">Sens!H16746-Sens!H16747</f>
        <v>10673.6053</v>
      </c>
      <c r="I16748" s="30" t="n">
        <f aca="false">Sens!I16746-Sens!I16747</f>
        <v>12605.5914196667</v>
      </c>
      <c r="J16748" s="30" t="n">
        <f aca="false">Sens!J16746-Sens!J16747</f>
        <v>13781.6682813933</v>
      </c>
      <c r="K16748" s="30" t="n">
        <f aca="false">Sens!K16746-Sens!K16747</f>
        <v>14217.7983298351</v>
      </c>
    </row>
    <row r="16749" customFormat="false" ht="17.15" hidden="false" customHeight="false" outlineLevel="0" collapsed="false">
      <c r="A16749" s="1" t="s">
        <v>959</v>
      </c>
      <c r="B16749" s="0" t="s">
        <v>459</v>
      </c>
      <c r="C16749" s="30" t="n">
        <f aca="false">Sens!C16748/ext_sh</f>
        <v>816.666666666667</v>
      </c>
      <c r="D16749" s="30" t="n">
        <f aca="false">Sens!D16748/ext_sh</f>
        <v>2050</v>
      </c>
      <c r="E16749" s="30" t="n">
        <f aca="false">Sens!E16748/ext_sh</f>
        <v>4500</v>
      </c>
      <c r="F16749" s="30" t="n">
        <f aca="false">Sens!F16748/ext_sh</f>
        <v>8700.89183333333</v>
      </c>
      <c r="G16749" s="30" t="n">
        <f aca="false">Sens!G16748/ext_sh</f>
        <v>13245.117</v>
      </c>
      <c r="H16749" s="30" t="n">
        <f aca="false">Sens!H16748/ext_sh</f>
        <v>17789.3421666667</v>
      </c>
      <c r="I16749" s="30" t="n">
        <f aca="false">Sens!I16748/ext_sh</f>
        <v>21009.3190327778</v>
      </c>
      <c r="J16749" s="30" t="n">
        <f aca="false">Sens!J16748/ext_sh</f>
        <v>22969.4471356556</v>
      </c>
      <c r="K16749" s="30" t="n">
        <f aca="false">Sens!K16748/ext_sh</f>
        <v>23696.3305497252</v>
      </c>
      <c r="L16749" s="1" t="s">
        <v>960</v>
      </c>
    </row>
    <row r="16750" customFormat="false" ht="17.15" hidden="false" customHeight="false" outlineLevel="0" collapsed="false">
      <c r="A16750" s="1" t="s">
        <v>961</v>
      </c>
      <c r="B16750" s="0" t="s">
        <v>459</v>
      </c>
      <c r="C16750" s="30" t="n">
        <f aca="false">Sens!C16749-Sens!C16748</f>
        <v>326.666666666667</v>
      </c>
      <c r="D16750" s="30" t="n">
        <f aca="false">Sens!D16749-Sens!D16748</f>
        <v>820</v>
      </c>
      <c r="E16750" s="30" t="n">
        <f aca="false">Sens!E16749-Sens!E16748</f>
        <v>1800</v>
      </c>
      <c r="F16750" s="30" t="n">
        <f aca="false">Sens!F16749-Sens!F16748</f>
        <v>3480.35673333333</v>
      </c>
      <c r="G16750" s="30" t="n">
        <f aca="false">Sens!G16749-Sens!G16748</f>
        <v>5298.0468</v>
      </c>
      <c r="H16750" s="30" t="n">
        <f aca="false">Sens!H16749-Sens!H16748</f>
        <v>7115.73686666667</v>
      </c>
      <c r="I16750" s="30" t="n">
        <f aca="false">Sens!I16749-Sens!I16748</f>
        <v>8403.72761311111</v>
      </c>
      <c r="J16750" s="30" t="n">
        <f aca="false">Sens!J16749-Sens!J16748</f>
        <v>9187.77885426222</v>
      </c>
      <c r="K16750" s="30" t="n">
        <f aca="false">Sens!K16749-Sens!K16748</f>
        <v>9478.53221989009</v>
      </c>
    </row>
    <row r="16751" customFormat="false" ht="17.15" hidden="false" customHeight="false" outlineLevel="0" collapsed="false">
      <c r="A16751" s="1" t="s">
        <v>962</v>
      </c>
      <c r="B16751" s="0" t="s">
        <v>459</v>
      </c>
      <c r="C16751" s="30" t="n">
        <f aca="false">Sens!C16749</f>
        <v>816.666666666667</v>
      </c>
      <c r="D16751" s="30" t="n">
        <f aca="false">Sens!D16749-Sens!C16749</f>
        <v>1233.33333333333</v>
      </c>
      <c r="E16751" s="30" t="n">
        <f aca="false">Sens!E16749-Sens!D16749</f>
        <v>2450</v>
      </c>
      <c r="F16751" s="30" t="n">
        <f aca="false">Sens!F16749-Sens!E16749</f>
        <v>4200.89183333333</v>
      </c>
      <c r="G16751" s="30" t="n">
        <f aca="false">Sens!G16749-Sens!F16749</f>
        <v>4544.22516666667</v>
      </c>
      <c r="H16751" s="30" t="n">
        <f aca="false">Sens!H16749-Sens!G16749</f>
        <v>4544.22516666667</v>
      </c>
      <c r="I16751" s="30" t="n">
        <f aca="false">Sens!I16749-Sens!H16749</f>
        <v>3219.97686611111</v>
      </c>
      <c r="J16751" s="30" t="n">
        <f aca="false">Sens!J16749-Sens!I16749</f>
        <v>1960.12810287778</v>
      </c>
      <c r="K16751" s="30" t="n">
        <f aca="false">Sens!K16749-Sens!J16749</f>
        <v>726.883414069667</v>
      </c>
    </row>
    <row r="16752" customFormat="false" ht="17.15" hidden="false" customHeight="false" outlineLevel="0" collapsed="false">
      <c r="A16752" s="1" t="s">
        <v>963</v>
      </c>
      <c r="B16752" s="0" t="s">
        <v>459</v>
      </c>
      <c r="D16752" s="30" t="n">
        <f aca="false">Sens!D16746-Sens!C16746</f>
        <v>990</v>
      </c>
      <c r="E16752" s="30" t="n">
        <f aca="false">Sens!E16746-Sens!D16746</f>
        <v>1620</v>
      </c>
      <c r="F16752" s="30" t="n">
        <f aca="false">Sens!F16746-Sens!E16746</f>
        <v>2726.5351</v>
      </c>
      <c r="G16752" s="30" t="n">
        <f aca="false">Sens!G16746-Sens!F16746</f>
        <v>2726.5351</v>
      </c>
      <c r="H16752" s="30" t="n">
        <f aca="false">Sens!H16746-Sens!G16746</f>
        <v>2726.5351</v>
      </c>
      <c r="I16752" s="30" t="n">
        <f aca="false">Sens!I16746-Sens!H16746</f>
        <v>1931.98611966667</v>
      </c>
      <c r="J16752" s="30" t="n">
        <f aca="false">Sens!J16746-Sens!I16746</f>
        <v>1176.07686172667</v>
      </c>
      <c r="K16752" s="30" t="n">
        <f aca="false">Sens!K16746-Sens!J16746</f>
        <v>436.130048441799</v>
      </c>
    </row>
    <row r="16753" customFormat="false" ht="17.15" hidden="false" customHeight="false" outlineLevel="0" collapsed="false">
      <c r="A16753" s="1" t="s">
        <v>964</v>
      </c>
      <c r="B16753" s="0" t="s">
        <v>459</v>
      </c>
      <c r="F16753" s="30" t="n">
        <f aca="false">Sens!F16772*ext_sh</f>
        <v>0</v>
      </c>
      <c r="G16753" s="30" t="n">
        <f aca="false">Sens!G16772*ext_sh</f>
        <v>0</v>
      </c>
      <c r="H16753" s="30" t="n">
        <f aca="false">Sens!H16772*ext_sh</f>
        <v>0</v>
      </c>
      <c r="I16753" s="30" t="n">
        <f aca="false">Sens!I16772*ext_sh</f>
        <v>490</v>
      </c>
      <c r="J16753" s="30" t="n">
        <f aca="false">Sens!J16772*ext_sh</f>
        <v>740</v>
      </c>
      <c r="K16753" s="30" t="n">
        <f aca="false">Sens!K16772*ext_sh</f>
        <v>1470</v>
      </c>
      <c r="L16753" s="1" t="s">
        <v>965</v>
      </c>
    </row>
    <row r="16754" customFormat="false" ht="17.15" hidden="false" customHeight="false" outlineLevel="0" collapsed="false">
      <c r="A16754" s="1" t="s">
        <v>966</v>
      </c>
      <c r="B16754" s="0" t="s">
        <v>459</v>
      </c>
      <c r="C16754" s="30" t="n">
        <f aca="false">mix_h*Sens!C16746</f>
        <v>128</v>
      </c>
      <c r="D16754" s="30" t="n">
        <f aca="false">mix_h*Sens!D16746</f>
        <v>326</v>
      </c>
      <c r="E16754" s="30" t="n">
        <f aca="false">mix_h*Sens!E16746</f>
        <v>650</v>
      </c>
      <c r="F16754" s="30" t="n">
        <f aca="false">Sens!E16754-Sens!F16753*mix_h</f>
        <v>650</v>
      </c>
      <c r="G16754" s="30" t="n">
        <f aca="false">Sens!F16754-Sens!G16753*mix_h</f>
        <v>650</v>
      </c>
      <c r="H16754" s="30" t="n">
        <f aca="false">Sens!G16754-Sens!H16753*mix_h</f>
        <v>650</v>
      </c>
      <c r="I16754" s="30" t="n">
        <f aca="false">Sens!H16754-Sens!I16753*mix_h</f>
        <v>552</v>
      </c>
      <c r="J16754" s="30" t="n">
        <f aca="false">Sens!I16754-Sens!J16753*mix_h</f>
        <v>404</v>
      </c>
      <c r="K16754" s="30" t="n">
        <f aca="false">Sens!J16754-Sens!K16753*mix_h</f>
        <v>110</v>
      </c>
    </row>
    <row r="16755" customFormat="false" ht="17.15" hidden="false" customHeight="false" outlineLevel="0" collapsed="false">
      <c r="A16755" s="1" t="s">
        <v>967</v>
      </c>
      <c r="B16755" s="0" t="s">
        <v>459</v>
      </c>
      <c r="C16755" s="30" t="n">
        <f aca="false">mix_g2*Sens!C16746</f>
        <v>288</v>
      </c>
      <c r="D16755" s="30" t="n">
        <f aca="false">mix_g2*Sens!D16746</f>
        <v>733.5</v>
      </c>
      <c r="E16755" s="30" t="n">
        <f aca="false">mix_g2*Sens!E16746</f>
        <v>1462.5</v>
      </c>
      <c r="F16755" s="30" t="n">
        <f aca="false">Sens!E16755-Sens!F16753*mix_g2</f>
        <v>1462.5</v>
      </c>
      <c r="G16755" s="30" t="n">
        <f aca="false">Sens!F16755-Sens!G16753*mix_g2</f>
        <v>1462.5</v>
      </c>
      <c r="H16755" s="30" t="n">
        <f aca="false">Sens!G16755-Sens!H16753*mix_g2</f>
        <v>1462.5</v>
      </c>
      <c r="I16755" s="30" t="n">
        <f aca="false">Sens!H16755-Sens!I16753*mix_g2</f>
        <v>1242</v>
      </c>
      <c r="J16755" s="30" t="n">
        <f aca="false">Sens!I16755-Sens!J16753*mix_g2</f>
        <v>909</v>
      </c>
      <c r="K16755" s="30" t="n">
        <f aca="false">Sens!J16755-Sens!K16753*mix_g2</f>
        <v>247.5</v>
      </c>
    </row>
    <row r="16756" customFormat="false" ht="17.15" hidden="false" customHeight="false" outlineLevel="0" collapsed="false">
      <c r="A16756" s="1" t="s">
        <v>968</v>
      </c>
      <c r="B16756" s="0" t="s">
        <v>459</v>
      </c>
      <c r="C16756" s="30" t="n">
        <f aca="false">mix_g3*Sens!C16746</f>
        <v>224</v>
      </c>
      <c r="D16756" s="30" t="n">
        <f aca="false">mix_g3*Sens!D16746</f>
        <v>570.5</v>
      </c>
      <c r="E16756" s="30" t="n">
        <f aca="false">mix_g3*Sens!E16746</f>
        <v>1137.5</v>
      </c>
      <c r="F16756" s="30" t="n">
        <f aca="false">Sens!E16756+(Sens!F16752+Sens!F16753)*(a_g3_27-nonnv*a_mai)-Sens!F16753*mix_g3</f>
        <v>2773.42106</v>
      </c>
      <c r="G16756" s="30" t="n">
        <f aca="false">Sens!F16756+(Sens!G16752+Sens!G16753)*(a_g3_28-nonnv*a_mai)-Sens!G16753*mix_g3</f>
        <v>3318.72808</v>
      </c>
      <c r="H16756" s="30" t="n">
        <f aca="false">Sens!G16756+(Sens!H16752+Sens!H16753)*(a_g3_29-nonnv*a_mai)-Sens!H16753*mix_g3</f>
        <v>3318.72808</v>
      </c>
      <c r="I16756" s="30" t="n">
        <f aca="false">Sens!H16756+(Sens!I16752+Sens!I16753)*(a_g3_29-nonnv*a_mai)-Sens!I16753*mix_g3</f>
        <v>3147.22808</v>
      </c>
      <c r="J16756" s="30" t="n">
        <f aca="false">Sens!I16756+(Sens!J16752+Sens!J16753)*(a_g3_29-nonnv*a_mai)-Sens!J16753*mix_g3</f>
        <v>2888.22808</v>
      </c>
      <c r="K16756" s="30" t="n">
        <f aca="false">Sens!J16756+(Sens!K16752+Sens!K16753)*(a_g3_29-nonnv*a_mai)-Sens!K16753*mix_g3</f>
        <v>2373.72808</v>
      </c>
    </row>
    <row r="16757" customFormat="false" ht="17.15" hidden="false" customHeight="false" outlineLevel="0" collapsed="false">
      <c r="A16757" s="1" t="s">
        <v>969</v>
      </c>
      <c r="B16757" s="0" t="s">
        <v>459</v>
      </c>
      <c r="C16757" s="30" t="n">
        <v>0</v>
      </c>
      <c r="D16757" s="30" t="n">
        <v>0</v>
      </c>
      <c r="E16757" s="30" t="n">
        <v>0</v>
      </c>
      <c r="F16757" s="30" t="n">
        <f aca="false">Sens!E16757+(Sens!F16752+Sens!F16753)*nonnv*a_mai</f>
        <v>272.65351</v>
      </c>
      <c r="G16757" s="30" t="n">
        <f aca="false">Sens!F16757+(Sens!G16752+Sens!G16753)*nonnv*a_mai</f>
        <v>545.30702</v>
      </c>
      <c r="H16757" s="30" t="n">
        <f aca="false">Sens!G16757+(Sens!H16752+Sens!H16753)*nonnv*a_mai</f>
        <v>817.96053</v>
      </c>
      <c r="I16757" s="30" t="n">
        <f aca="false">Sens!H16757+(Sens!I16752+Sens!I16753)*nonnv*a_mai</f>
        <v>1060.15914196667</v>
      </c>
      <c r="J16757" s="30" t="n">
        <f aca="false">Sens!I16757+(Sens!J16752+Sens!J16753)*nonnv*a_mai</f>
        <v>1251.76682813933</v>
      </c>
      <c r="K16757" s="30" t="n">
        <f aca="false">Sens!J16757+(Sens!K16752+Sens!K16753)*nonnv*a_mai</f>
        <v>1442.37983298351</v>
      </c>
      <c r="L16757" s="12" t="s">
        <v>970</v>
      </c>
    </row>
    <row r="16758" customFormat="false" ht="17.15" hidden="false" customHeight="false" outlineLevel="0" collapsed="false">
      <c r="A16758" s="1" t="s">
        <v>971</v>
      </c>
      <c r="B16758" s="0" t="s">
        <v>459</v>
      </c>
      <c r="C16758" s="30" t="n">
        <v>0</v>
      </c>
      <c r="D16758" s="30" t="n">
        <v>0</v>
      </c>
      <c r="E16758" s="30" t="n">
        <v>0</v>
      </c>
      <c r="F16758" s="30" t="n">
        <f aca="false">Sens!E16758+(Sens!F16752+Sens!F16753)*(1-a_g3_27)</f>
        <v>817.96053</v>
      </c>
      <c r="G16758" s="30" t="n">
        <f aca="false">Sens!F16758+(Sens!G16752+Sens!G16753)*(1-a_g3_28)</f>
        <v>2726.5351</v>
      </c>
      <c r="H16758" s="30" t="n">
        <f aca="false">Sens!G16758+(Sens!H16752+Sens!H16753)*(1-a_g3_29)</f>
        <v>5180.41669</v>
      </c>
      <c r="I16758" s="30" t="n">
        <f aca="false">Sens!H16758+(Sens!I16752+Sens!I16753)*(1-a_g3_29)</f>
        <v>7360.2041977</v>
      </c>
      <c r="J16758" s="30" t="n">
        <f aca="false">Sens!I16758+(Sens!J16752+Sens!J16753)*(1-a_g3_29)</f>
        <v>9084.673373254</v>
      </c>
      <c r="K16758" s="30" t="n">
        <f aca="false">Sens!J16758+(Sens!K16752+Sens!K16753)*(1-a_g3_29)</f>
        <v>10800.1904168516</v>
      </c>
    </row>
    <row r="16759" customFormat="false" ht="17.15" hidden="false" customHeight="false" outlineLevel="0" collapsed="false">
      <c r="A16759" s="1" t="s">
        <v>972</v>
      </c>
      <c r="B16759" s="0" t="s">
        <v>403</v>
      </c>
      <c r="C16759" s="15" t="n">
        <f aca="false">(Sens!C16754*tk_hold_h100+Sens!C16755*tk_hold_gb200+Sens!C16756*tk_hold_gb300+Sens!C16758*tk_hold_vr200+Sens!C16757*nv_hold_mai*tk_hold_vr200)/Sens!C16746</f>
        <v>9.7235358126469</v>
      </c>
      <c r="D16759" s="15" t="n">
        <f aca="false">(Sens!D16754*tk_hold_h100+Sens!D16755*tk_hold_gb200+Sens!D16756*tk_hold_gb300+Sens!D16758*tk_hold_vr200+Sens!D16757*nv_hold_mai*tk_hold_vr200)/Sens!D16746</f>
        <v>9.7235358126469</v>
      </c>
      <c r="E16759" s="15" t="n">
        <f aca="false">(Sens!E16754*tk_hold_h100+Sens!E16755*tk_hold_gb200+Sens!E16756*tk_hold_gb300+Sens!E16758*tk_hold_vr200+Sens!E16757*nv_hold_mai*tk_hold_vr200)/Sens!E16746</f>
        <v>9.7235358126469</v>
      </c>
      <c r="F16759" s="15" t="n">
        <f aca="false">(Sens!F16754*tk_hold_h100+Sens!F16755*tk_hold_gb200+Sens!F16756*tk_hold_gb300+Sens!F16758*tk_hold_vr200+Sens!F16757*nv_hold_mai*tk_hold_vr200)/Sens!F16746</f>
        <v>10.2195353876665</v>
      </c>
      <c r="G16759" s="15" t="n">
        <f aca="false">(Sens!G16754*tk_hold_h100+Sens!G16755*tk_hold_gb200+Sens!G16756*tk_hold_gb300+Sens!G16758*tk_hold_vr200+Sens!G16757*nv_hold_mai*tk_hold_vr200)/Sens!G16746</f>
        <v>10.5725598017306</v>
      </c>
      <c r="H16759" s="15" t="n">
        <f aca="false">(Sens!H16754*tk_hold_h100+Sens!H16755*tk_hold_gb200+Sens!H16756*tk_hold_gb300+Sens!H16758*tk_hold_vr200+Sens!H16757*nv_hold_mai*tk_hold_vr200)/Sens!H16746</f>
        <v>10.8210427149036</v>
      </c>
      <c r="I16759" s="15" t="n">
        <f aca="false">(Sens!I16754*tk_hold_h100+Sens!I16755*tk_hold_gb200+Sens!I16756*tk_hold_gb300+Sens!I16758*tk_hold_vr200+Sens!I16757*nv_hold_mai*tk_hold_vr200)/Sens!I16746</f>
        <v>11.0050618241982</v>
      </c>
      <c r="J16759" s="15" t="n">
        <f aca="false">(Sens!J16754*tk_hold_h100+Sens!J16755*tk_hold_gb200+Sens!J16756*tk_hold_gb300+Sens!J16758*tk_hold_vr200+Sens!J16757*nv_hold_mai*tk_hold_vr200)/Sens!J16746</f>
        <v>11.1505789658881</v>
      </c>
      <c r="K16759" s="15" t="n">
        <f aca="false">(Sens!K16754*tk_hold_h100+Sens!K16755*tk_hold_gb200+Sens!K16756*tk_hold_gb300+Sens!K16758*tk_hold_vr200+Sens!K16757*nv_hold_mai*tk_hold_vr200)/Sens!K16746</f>
        <v>11.3496914757183</v>
      </c>
      <c r="L16759" s="1" t="s">
        <v>973</v>
      </c>
    </row>
    <row r="16760" customFormat="false" ht="17.15" hidden="false" customHeight="false" outlineLevel="0" collapsed="false">
      <c r="A16760" s="1" t="s">
        <v>974</v>
      </c>
      <c r="B16760" s="0" t="s">
        <v>403</v>
      </c>
      <c r="C16760" s="15" t="n">
        <f aca="false">(Sens!C16754*tk_hold_h100+Sens!C16755*tk_hold_gb200+Sens!C16756*tk_hold_gb300+Sens!C16758*tk_hold_vr200+Sens!C16757*nv_out_mai*tk_hold_vr200)/Sens!C16746</f>
        <v>9.7235358126469</v>
      </c>
      <c r="D16760" s="15" t="n">
        <f aca="false">(Sens!D16754*tk_hold_h100+Sens!D16755*tk_hold_gb200+Sens!D16756*tk_hold_gb300+Sens!D16758*tk_hold_vr200+Sens!D16757*nv_out_mai*tk_hold_vr200)/Sens!D16746</f>
        <v>9.7235358126469</v>
      </c>
      <c r="E16760" s="15" t="n">
        <f aca="false">(Sens!E16754*tk_hold_h100+Sens!E16755*tk_hold_gb200+Sens!E16756*tk_hold_gb300+Sens!E16758*tk_hold_vr200+Sens!E16757*nv_out_mai*tk_hold_vr200)/Sens!E16746</f>
        <v>9.7235358126469</v>
      </c>
      <c r="F16760" s="15" t="n">
        <f aca="false">(Sens!F16754*tk_hold_h100+Sens!F16755*tk_hold_gb200+Sens!F16756*tk_hold_gb300+Sens!F16758*tk_hold_vr200+Sens!F16757*nv_out_mai*tk_hold_vr200)/Sens!F16746</f>
        <v>10.247422093969</v>
      </c>
      <c r="G16760" s="15" t="n">
        <f aca="false">(Sens!G16754*tk_hold_h100+Sens!G16755*tk_hold_gb200+Sens!G16756*tk_hold_gb300+Sens!G16758*tk_hold_vr200+Sens!G16757*nv_out_mai*tk_hold_vr200)/Sens!G16746</f>
        <v>10.6108602808053</v>
      </c>
      <c r="H16760" s="15" t="n">
        <f aca="false">(Sens!H16754*tk_hold_h100+Sens!H16755*tk_hold_gb200+Sens!H16756*tk_hold_gb300+Sens!H16758*tk_hold_vr200+Sens!H16757*nv_out_mai*tk_hold_vr200)/Sens!H16746</f>
        <v>10.8647885507393</v>
      </c>
      <c r="I16760" s="15" t="n">
        <f aca="false">(Sens!I16754*tk_hold_h100+Sens!I16755*tk_hold_gb200+Sens!I16756*tk_hold_gb300+Sens!I16758*tk_hold_vr200+Sens!I16757*nv_out_mai*tk_hold_vr200)/Sens!I16746</f>
        <v>11.0535625770025</v>
      </c>
      <c r="J16760" s="15" t="n">
        <f aca="false">(Sens!J16754*tk_hold_h100+Sens!J16755*tk_hold_gb200+Sens!J16756*tk_hold_gb300+Sens!J16758*tk_hold_vr200+Sens!J16757*nv_out_mai*tk_hold_vr200)/Sens!J16746</f>
        <v>11.2032127128058</v>
      </c>
      <c r="K16760" s="15" t="n">
        <f aca="false">(Sens!K16754*tk_hold_h100+Sens!K16755*tk_hold_gb200+Sens!K16756*tk_hold_gb300+Sens!K16758*tk_hold_vr200+Sens!K16757*nv_out_mai*tk_hold_vr200)/Sens!K16746</f>
        <v>11.4085735724225</v>
      </c>
      <c r="L16760" s="12" t="s">
        <v>975</v>
      </c>
    </row>
    <row r="16761" customFormat="false" ht="17.15" hidden="false" customHeight="false" outlineLevel="0" collapsed="false">
      <c r="A16761" s="0" t="s">
        <v>976</v>
      </c>
      <c r="B16761" s="0" t="s">
        <v>229</v>
      </c>
      <c r="C16761" s="15" t="n">
        <f aca="false">k_B</f>
        <v>1.17213932619116</v>
      </c>
      <c r="D16761" s="15" t="n">
        <f aca="false">k_B</f>
        <v>1.17213932619116</v>
      </c>
      <c r="E16761" s="15" t="n">
        <f aca="false">k_B</f>
        <v>1.17213932619116</v>
      </c>
      <c r="F16761" s="15" t="n">
        <f aca="false">(k_B+((ls_B*k_long+(1-ls_B)*k_spot)-k_B)*MIN(1,(Sens!F16744-base_fy)/k_ramp))</f>
        <v>1.17213932619116</v>
      </c>
      <c r="G16761" s="15" t="n">
        <f aca="false">(k_B+((ls_B*k_long+(1-ls_B)*k_spot)-k_B)*MIN(1,(Sens!G16744-base_fy)/k_ramp))</f>
        <v>1.17213932619116</v>
      </c>
      <c r="H16761" s="15" t="n">
        <f aca="false">(k_B+((ls_B*k_long+(1-ls_B)*k_spot)-k_B)*MIN(1,(Sens!H16744-base_fy)/k_ramp))</f>
        <v>1.17213932619116</v>
      </c>
      <c r="I16761" s="15" t="n">
        <f aca="false">(k_B+((ls_B*k_long+(1-ls_B)*k_spot)-k_B)*MIN(1,(Sens!I16744-base_fy)/k_ramp))</f>
        <v>1.17213932619116</v>
      </c>
      <c r="J16761" s="15" t="n">
        <f aca="false">(k_B+((ls_B*k_long+(1-ls_B)*k_spot)-k_B)*MIN(1,(Sens!J16744-base_fy)/k_ramp))</f>
        <v>1.17213932619116</v>
      </c>
      <c r="K16761" s="15" t="n">
        <f aca="false">(k_B+((ls_B*k_long+(1-ls_B)*k_spot)-k_B)*MIN(1,(Sens!K16744-base_fy)/k_ramp))</f>
        <v>1.17213932619116</v>
      </c>
      <c r="L16761" s="1" t="s">
        <v>977</v>
      </c>
    </row>
    <row r="16762" customFormat="false" ht="17.15" hidden="false" customHeight="false" outlineLevel="0" collapsed="false">
      <c r="A16762" s="1" t="s">
        <v>978</v>
      </c>
      <c r="B16762" s="0" t="s">
        <v>403</v>
      </c>
      <c r="C16762" s="15" t="n">
        <f aca="false">Sens!C16760*Sens!C16761*chip_f</f>
        <v>11.3973387156315</v>
      </c>
      <c r="D16762" s="15" t="n">
        <f aca="false">Sens!D16760*Sens!D16761*chip_f</f>
        <v>11.3973387156315</v>
      </c>
      <c r="E16762" s="15" t="n">
        <f aca="false">Sens!E16760*Sens!E16761*chip_f</f>
        <v>11.3973387156315</v>
      </c>
      <c r="F16762" s="15" t="n">
        <f aca="false">Sens!F16760*Sens!F16761*chip_f</f>
        <v>12.0114064284211</v>
      </c>
      <c r="G16762" s="15" t="n">
        <f aca="false">Sens!G16760*Sens!G16761*chip_f</f>
        <v>12.4374066198516</v>
      </c>
      <c r="H16762" s="15" t="n">
        <f aca="false">Sens!H16760*Sens!H16761*chip_f</f>
        <v>12.735045931073</v>
      </c>
      <c r="I16762" s="15" t="n">
        <f aca="false">Sens!I16760*Sens!I16761*chip_f</f>
        <v>12.9563153910195</v>
      </c>
      <c r="J16762" s="15" t="n">
        <f aca="false">Sens!J16760*Sens!J16761*chip_f</f>
        <v>13.1317262003643</v>
      </c>
      <c r="K16762" s="15" t="n">
        <f aca="false">Sens!K16760*Sens!K16761*chip_f</f>
        <v>13.3724377399815</v>
      </c>
      <c r="L16762" s="1" t="s">
        <v>979</v>
      </c>
    </row>
    <row r="16763" customFormat="false" ht="17.15" hidden="false" customHeight="false" outlineLevel="0" collapsed="false">
      <c r="A16763" s="0" t="s">
        <v>980</v>
      </c>
      <c r="B16763" s="0" t="s">
        <v>98</v>
      </c>
      <c r="D16763" s="6" t="n">
        <f aca="false">(Sens!C16746+Sens!D16746)/2*Sens!D16762/1000</f>
        <v>12.9359794422418</v>
      </c>
      <c r="E16763" s="6" t="n">
        <f aca="false">(Sens!D16746+Sens!E16746)/2*Sens!E16762/1000</f>
        <v>27.8095064661409</v>
      </c>
      <c r="F16763" s="6" t="n">
        <f aca="false">(Sens!E16746+Sens!F16746)/2*Sens!F16762/1000</f>
        <v>55.4118315060966</v>
      </c>
      <c r="G16763" s="6" t="n">
        <f aca="false">(Sens!F16746+Sens!G16746)/2*Sens!G16762/1000</f>
        <v>91.2881100675143</v>
      </c>
      <c r="H16763" s="6" t="n">
        <f aca="false">(Sens!G16746+Sens!H16746)/2*Sens!H16762/1000</f>
        <v>128.195273603944</v>
      </c>
      <c r="I16763" s="6" t="n">
        <f aca="false">(Sens!H16746+Sens!I16746)/2*Sens!I16762/1000</f>
        <v>160.601281810405</v>
      </c>
      <c r="J16763" s="6" t="n">
        <f aca="false">(Sens!I16746+Sens!J16746)/2*Sens!J16762/1000</f>
        <v>183.182719793589</v>
      </c>
      <c r="K16763" s="6" t="n">
        <f aca="false">(Sens!J16746+Sens!K16746)/2*Sens!K16762/1000</f>
        <v>197.320124937098</v>
      </c>
      <c r="L16763" s="12" t="s">
        <v>981</v>
      </c>
    </row>
    <row r="16764" customFormat="false" ht="17.15" hidden="false" customHeight="false" outlineLevel="0" collapsed="false">
      <c r="A16764" s="1" t="s">
        <v>982</v>
      </c>
      <c r="B16764" s="0" t="s">
        <v>403</v>
      </c>
      <c r="C16764" s="15" t="n">
        <f aca="false">(Sens!C16754*tk_opex_h100+Sens!C16755*tk_opex_gb200+Sens!C16756*tk_opex_gb300+(Sens!C16758+Sens!C16757)*tk_opex_vr200)/Sens!C16746</f>
        <v>1.88636041306092</v>
      </c>
      <c r="D16764" s="15" t="n">
        <f aca="false">(Sens!D16754*tk_opex_h100+Sens!D16755*tk_opex_gb200+Sens!D16756*tk_opex_gb300+(Sens!D16758+Sens!D16757)*tk_opex_vr200)/Sens!D16746</f>
        <v>1.88636041306092</v>
      </c>
      <c r="E16764" s="15" t="n">
        <f aca="false">(Sens!E16754*tk_opex_h100+Sens!E16755*tk_opex_gb200+Sens!E16756*tk_opex_gb300+(Sens!E16758+Sens!E16757)*tk_opex_vr200)/Sens!E16746</f>
        <v>1.88636041306092</v>
      </c>
      <c r="F16764" s="15" t="n">
        <f aca="false">(Sens!F16754*tk_opex_h100+Sens!F16755*tk_opex_gb200+Sens!F16756*tk_opex_gb300+(Sens!F16758+Sens!F16757)*tk_opex_vr200)/Sens!F16746</f>
        <v>1.95051159746876</v>
      </c>
      <c r="G16764" s="15" t="n">
        <f aca="false">(Sens!G16754*tk_opex_h100+Sens!G16755*tk_opex_gb200+Sens!G16756*tk_opex_gb300+(Sens!G16758+Sens!G16757)*tk_opex_vr200)/Sens!G16746</f>
        <v>1.98836003669956</v>
      </c>
      <c r="H16764" s="15" t="n">
        <f aca="false">(Sens!H16754*tk_opex_h100+Sens!H16755*tk_opex_gb200+Sens!H16756*tk_opex_gb300+(Sens!H16758+Sens!H16757)*tk_opex_vr200)/Sens!H16746</f>
        <v>2.01344013834343</v>
      </c>
      <c r="I16764" s="15" t="n">
        <f aca="false">(Sens!I16754*tk_opex_h100+Sens!I16755*tk_opex_gb200+Sens!I16756*tk_opex_gb300+(Sens!I16758+Sens!I16757)*tk_opex_vr200)/Sens!I16746</f>
        <v>2.03261166882178</v>
      </c>
      <c r="J16764" s="15" t="n">
        <f aca="false">(Sens!J16754*tk_opex_h100+Sens!J16755*tk_opex_gb200+Sens!J16756*tk_opex_gb300+(Sens!J16758+Sens!J16757)*tk_opex_vr200)/Sens!J16746</f>
        <v>2.04808073288745</v>
      </c>
      <c r="K16764" s="15" t="n">
        <f aca="false">(Sens!K16754*tk_opex_h100+Sens!K16755*tk_opex_gb200+Sens!K16756*tk_opex_gb300+(Sens!K16758+Sens!K16757)*tk_opex_vr200)/Sens!K16746</f>
        <v>2.06973825807449</v>
      </c>
      <c r="L16764" s="12" t="s">
        <v>983</v>
      </c>
    </row>
    <row r="16765" customFormat="false" ht="17.15" hidden="false" customHeight="false" outlineLevel="0" collapsed="false">
      <c r="A16765" s="0" t="s">
        <v>984</v>
      </c>
      <c r="B16765" s="0" t="s">
        <v>98</v>
      </c>
      <c r="D16765" s="6" t="n">
        <f aca="false">(Sens!C16749+Sens!D16749)/2*Sens!D16764/1000</f>
        <v>2.70378325872065</v>
      </c>
      <c r="E16765" s="6" t="n">
        <f aca="false">(Sens!D16749+Sens!E16749)/2*Sens!E16764/1000</f>
        <v>6.17783035277451</v>
      </c>
      <c r="F16765" s="6" t="n">
        <f aca="false">(Sens!E16749+Sens!F16749)/2*Sens!F16764/1000</f>
        <v>12.8742463089237</v>
      </c>
      <c r="G16765" s="6" t="n">
        <f aca="false">(Sens!F16749+Sens!G16749)/2*Sens!G16764/1000</f>
        <v>21.8182834646277</v>
      </c>
      <c r="H16765" s="6" t="n">
        <f aca="false">(Sens!G16749+Sens!H16749)/2*Sens!H16764/1000</f>
        <v>31.2430128789734</v>
      </c>
      <c r="I16765" s="6" t="n">
        <f aca="false">(Sens!H16749+Sens!I16749)/2*Sens!I16764/1000</f>
        <v>39.4313057443268</v>
      </c>
      <c r="J16765" s="6" t="n">
        <f aca="false">(Sens!I16749+Sens!J16749)/2*Sens!J16764/1000</f>
        <v>45.0360318228653</v>
      </c>
      <c r="K16765" s="6" t="n">
        <f aca="false">(Sens!J16749+Sens!K16749)/2*Sens!K16764/1000</f>
        <v>48.2929727091156</v>
      </c>
    </row>
    <row r="16766" customFormat="false" ht="17.15" hidden="false" customHeight="false" outlineLevel="0" collapsed="false">
      <c r="A16766" s="0" t="s">
        <v>985</v>
      </c>
      <c r="B16766" s="0" t="s">
        <v>98</v>
      </c>
      <c r="D16766" s="6" t="n">
        <f aca="false">(Sens!C16747+Sens!D16747)/2*rent_mw/1000</f>
        <v>2.44475</v>
      </c>
      <c r="E16766" s="6" t="n">
        <f aca="false">(Sens!D16747+Sens!E16747)/2*rent_mw/1000</f>
        <v>4.22275</v>
      </c>
      <c r="F16766" s="6" t="n">
        <f aca="false">(Sens!E16747+Sens!F16747)/2*rent_mw/1000</f>
        <v>5.80517</v>
      </c>
      <c r="G16766" s="6" t="n">
        <f aca="false">(Sens!F16747+Sens!G16747)/2*rent_mw/1000</f>
        <v>6.72084</v>
      </c>
      <c r="H16766" s="6" t="n">
        <f aca="false">(Sens!G16747+Sens!H16747)/2*rent_mw/1000</f>
        <v>6.72084</v>
      </c>
      <c r="I16766" s="6" t="n">
        <f aca="false">(Sens!H16747+Sens!I16747)/2*rent_mw/1000</f>
        <v>6.72084</v>
      </c>
      <c r="J16766" s="6" t="n">
        <f aca="false">(Sens!I16747+Sens!J16747)/2*rent_mw/1000</f>
        <v>6.72084</v>
      </c>
      <c r="K16766" s="6" t="n">
        <f aca="false">(Sens!J16747+Sens!K16747)/2*rent_mw/1000</f>
        <v>6.72084</v>
      </c>
    </row>
    <row r="16767" customFormat="false" ht="17.15" hidden="false" customHeight="false" outlineLevel="0" collapsed="false">
      <c r="A16767" s="0" t="s">
        <v>986</v>
      </c>
      <c r="B16767" s="0" t="s">
        <v>98</v>
      </c>
      <c r="D16767" s="6" t="n">
        <f aca="false">(Sens!C16749+Sens!D16749)/2*(1-self_build)*fac_rent/1000</f>
        <v>0.853242375631075</v>
      </c>
      <c r="E16767" s="6" t="n">
        <f aca="false">(Sens!D16749+Sens!E16749)/2*(1-self_build)*fac_rent/1000</f>
        <v>1.94955961408728</v>
      </c>
      <c r="F16767" s="6" t="n">
        <f aca="false">(Sens!E16749+Sens!F16749)/2*(1-self_build)*fac_rent/1000</f>
        <v>3.92914894476356</v>
      </c>
      <c r="G16767" s="6" t="n">
        <f aca="false">(Sens!F16749+Sens!G16749)/2*(1-self_build)*fac_rent/1000</f>
        <v>6.53206908578159</v>
      </c>
      <c r="H16767" s="6" t="n">
        <f aca="false">(Sens!G16749+Sens!H16749)/2*(1-self_build)*fac_rent/1000</f>
        <v>9.23717988341591</v>
      </c>
      <c r="I16767" s="6" t="n">
        <f aca="false">(Sens!H16749+Sens!I16749)/2*(1-self_build)*fac_rent/1000</f>
        <v>11.5481378557393</v>
      </c>
      <c r="J16767" s="6" t="n">
        <f aca="false">(Sens!I16749+Sens!J16749)/2*(1-self_build)*fac_rent/1000</f>
        <v>13.0899582289108</v>
      </c>
      <c r="K16767" s="6" t="n">
        <f aca="false">(Sens!J16749+Sens!K16749)/2*(1-self_build)*fac_rent/1000</f>
        <v>13.8897275626556</v>
      </c>
      <c r="L16767" s="12" t="s">
        <v>987</v>
      </c>
    </row>
    <row r="16768" customFormat="false" ht="17.15" hidden="false" customHeight="false" outlineLevel="0" collapsed="false">
      <c r="A16768" s="1" t="s">
        <v>988</v>
      </c>
      <c r="B16768" s="0" t="s">
        <v>168</v>
      </c>
      <c r="D16768" s="7" t="n">
        <f aca="false">(Sens!C16748+Sens!D16748)/(Sens!C16749+Sens!D16749)</f>
        <v>0.6</v>
      </c>
      <c r="E16768" s="7" t="n">
        <f aca="false">(Sens!D16748+Sens!E16748)/(Sens!D16749+Sens!E16749)</f>
        <v>0.6</v>
      </c>
      <c r="F16768" s="7" t="n">
        <f aca="false">(Sens!E16748+Sens!F16748)/(Sens!E16749+Sens!F16749)</f>
        <v>0.6</v>
      </c>
      <c r="G16768" s="7" t="n">
        <f aca="false">(Sens!F16748+Sens!G16748)/(Sens!F16749+Sens!G16749)</f>
        <v>0.6</v>
      </c>
      <c r="H16768" s="7" t="n">
        <f aca="false">(Sens!G16748+Sens!H16748)/(Sens!G16749+Sens!H16749)</f>
        <v>0.6</v>
      </c>
      <c r="I16768" s="7" t="n">
        <f aca="false">(Sens!H16748+Sens!I16748)/(Sens!H16749+Sens!I16749)</f>
        <v>0.6</v>
      </c>
      <c r="J16768" s="7" t="n">
        <f aca="false">(Sens!I16748+Sens!J16748)/(Sens!I16749+Sens!J16749)</f>
        <v>0.6</v>
      </c>
      <c r="K16768" s="7" t="n">
        <f aca="false">(Sens!J16748+Sens!K16748)/(Sens!J16749+Sens!K16749)</f>
        <v>0.6</v>
      </c>
    </row>
    <row r="16769" customFormat="false" ht="17.15" hidden="false" customHeight="false" outlineLevel="0" collapsed="false">
      <c r="A16769" s="0" t="s">
        <v>989</v>
      </c>
      <c r="B16769" s="0" t="s">
        <v>98</v>
      </c>
      <c r="D16769" s="6" t="n">
        <f aca="false">Sens!D16763-Sens!D16768*(Sens!D16765+Sens!D16767)-Sens!D16766</f>
        <v>8.35701406163072</v>
      </c>
      <c r="E16769" s="6" t="n">
        <f aca="false">Sens!E16763-Sens!E16768*(Sens!E16765+Sens!E16767)-Sens!E16766</f>
        <v>18.7103224860238</v>
      </c>
      <c r="F16769" s="6" t="n">
        <f aca="false">Sens!F16763-Sens!F16768*(Sens!F16765+Sens!F16767)-Sens!F16766</f>
        <v>39.5246243538843</v>
      </c>
      <c r="G16769" s="6" t="n">
        <f aca="false">Sens!G16763-Sens!G16768*(Sens!G16765+Sens!G16767)-Sens!G16766</f>
        <v>67.5570585372687</v>
      </c>
      <c r="H16769" s="6" t="n">
        <f aca="false">Sens!H16763-Sens!H16768*(Sens!H16765+Sens!H16767)-Sens!H16766</f>
        <v>97.1863179465102</v>
      </c>
      <c r="I16769" s="6" t="n">
        <f aca="false">Sens!I16763-Sens!I16768*(Sens!I16765+Sens!I16767)-Sens!I16766</f>
        <v>123.292775650365</v>
      </c>
      <c r="J16769" s="6" t="n">
        <f aca="false">Sens!J16763-Sens!J16768*(Sens!J16765+Sens!J16767)-Sens!J16766</f>
        <v>141.586285762524</v>
      </c>
      <c r="K16769" s="6" t="n">
        <f aca="false">Sens!K16763-Sens!K16768*(Sens!K16765+Sens!K16767)-Sens!K16766</f>
        <v>153.289664774035</v>
      </c>
    </row>
    <row r="16770" customFormat="false" ht="17.15" hidden="false" customHeight="false" outlineLevel="0" collapsed="false">
      <c r="A16770" s="1" t="s">
        <v>990</v>
      </c>
      <c r="B16770" s="0" t="s">
        <v>98</v>
      </c>
      <c r="D16770" s="6" t="n">
        <f aca="false">(1-Sens!D16768)*(Sens!D16765+Sens!D16767)</f>
        <v>1.42281025374069</v>
      </c>
      <c r="E16770" s="6" t="n">
        <f aca="false">(1-Sens!E16768)*(Sens!E16765+Sens!E16767)</f>
        <v>3.25095598674472</v>
      </c>
      <c r="F16770" s="6" t="n">
        <f aca="false">(1-Sens!F16768)*(Sens!F16765+Sens!F16767)</f>
        <v>6.72135810147489</v>
      </c>
      <c r="G16770" s="6" t="n">
        <f aca="false">(1-Sens!G16768)*(Sens!G16765+Sens!G16767)</f>
        <v>11.3401410201637</v>
      </c>
      <c r="H16770" s="6" t="n">
        <f aca="false">(1-Sens!H16768)*(Sens!H16765+Sens!H16767)</f>
        <v>16.1920771049557</v>
      </c>
      <c r="I16770" s="6" t="n">
        <f aca="false">(1-Sens!I16768)*(Sens!I16765+Sens!I16767)</f>
        <v>20.3917774400264</v>
      </c>
      <c r="J16770" s="6" t="n">
        <f aca="false">(1-Sens!J16768)*(Sens!J16765+Sens!J16767)</f>
        <v>23.2503960207104</v>
      </c>
      <c r="K16770" s="6" t="n">
        <f aca="false">(1-Sens!K16768)*(Sens!K16765+Sens!K16767)</f>
        <v>24.8730801087085</v>
      </c>
    </row>
    <row r="16771" customFormat="false" ht="17.15" hidden="false" customHeight="false" outlineLevel="0" collapsed="false">
      <c r="A16771" s="1" t="s">
        <v>991</v>
      </c>
      <c r="B16771" s="0" t="s">
        <v>417</v>
      </c>
      <c r="C16771" s="8" t="n">
        <f aca="false">cxit_open</f>
        <v>27.5918995</v>
      </c>
      <c r="D16771" s="8" t="n">
        <f aca="false">cxit_open</f>
        <v>27.5918995</v>
      </c>
      <c r="E16771" s="8" t="n">
        <f aca="false">cxit_open</f>
        <v>27.5918995</v>
      </c>
      <c r="F16771" s="8" t="n">
        <f aca="false">((a_g3_27-nonnv*a_mai)*tk_cxit_gb300+nonnv*a_mai*nv_hold_mai*tk_cxit_vr200+(1-a_g3_27)*tk_cxit_vr200)</f>
        <v>32.4975576</v>
      </c>
      <c r="G16771" s="8" t="n">
        <f aca="false">((a_g3_28-nonnv*a_mai)*tk_cxit_gb300+nonnv*a_mai*nv_hold_mai*tk_cxit_vr200+(1-a_g3_28)*tk_cxit_vr200)</f>
        <v>34.6372088</v>
      </c>
      <c r="H16771" s="8" t="n">
        <f aca="false">((a_g3_29-nonnv*a_mai)*tk_cxit_gb300+nonnv*a_mai*nv_hold_mai*tk_cxit_vr200+(1-a_g3_29)*tk_cxit_vr200)</f>
        <v>35.7070344</v>
      </c>
      <c r="I16771" s="8" t="n">
        <f aca="false">((a_g3_29-nonnv*a_mai)*tk_cxit_gb300+nonnv*a_mai*nv_hold_mai*tk_cxit_vr200+(1-a_g3_29)*tk_cxit_vr200)</f>
        <v>35.7070344</v>
      </c>
      <c r="J16771" s="8" t="n">
        <f aca="false">((a_g3_29-nonnv*a_mai)*tk_cxit_gb300+nonnv*a_mai*nv_hold_mai*tk_cxit_vr200+(1-a_g3_29)*tk_cxit_vr200)</f>
        <v>35.7070344</v>
      </c>
      <c r="K16771" s="8" t="n">
        <f aca="false">((a_g3_29-nonnv*a_mai)*tk_cxit_gb300+nonnv*a_mai*nv_hold_mai*tk_cxit_vr200+(1-a_g3_29)*tk_cxit_vr200)</f>
        <v>35.7070344</v>
      </c>
      <c r="L16771" s="12" t="s">
        <v>992</v>
      </c>
    </row>
    <row r="16772" customFormat="false" ht="17.15" hidden="false" customHeight="false" outlineLevel="0" collapsed="false">
      <c r="A16772" s="0" t="s">
        <v>993</v>
      </c>
      <c r="B16772" s="0" t="s">
        <v>459</v>
      </c>
      <c r="F16772" s="30" t="n">
        <f aca="false">Sens!C16751*IF(Sens!F16744-Sens!C16744=life_it,1,0)+Sens!D16751*IF(Sens!F16744-Sens!D16744=life_it,1,0)+Sens!E16751*IF(Sens!F16744-Sens!E16744=life_it,1,0)</f>
        <v>0</v>
      </c>
      <c r="G16772" s="30" t="n">
        <f aca="false">Sens!C16751*IF(Sens!G16744-Sens!C16744=life_it,1,0)+Sens!D16751*IF(Sens!G16744-Sens!D16744=life_it,1,0)+Sens!E16751*IF(Sens!G16744-Sens!E16744=life_it,1,0)+Sens!F16751*IF(Sens!G16744-Sens!F16744=life_it,1,0)</f>
        <v>0</v>
      </c>
      <c r="H16772" s="30" t="n">
        <f aca="false">Sens!C16751*IF(Sens!H16744-Sens!C16744=life_it,1,0)+Sens!D16751*IF(Sens!H16744-Sens!D16744=life_it,1,0)+Sens!E16751*IF(Sens!H16744-Sens!E16744=life_it,1,0)+Sens!F16751*IF(Sens!H16744-Sens!F16744=life_it,1,0)+Sens!G16751*IF(Sens!H16744-Sens!G16744=life_it,1,0)</f>
        <v>0</v>
      </c>
      <c r="I16772" s="30" t="n">
        <f aca="false">Sens!C16751*IF(Sens!I16744-Sens!C16744=life_it,1,0)+Sens!D16751*IF(Sens!I16744-Sens!D16744=life_it,1,0)+Sens!E16751*IF(Sens!I16744-Sens!E16744=life_it,1,0)+Sens!F16751*IF(Sens!I16744-Sens!F16744=life_it,1,0)+Sens!G16751*IF(Sens!I16744-Sens!G16744=life_it,1,0)+Sens!H16751*IF(Sens!I16744-Sens!H16744=life_it,1,0)</f>
        <v>816.666666666667</v>
      </c>
      <c r="J16772" s="30" t="n">
        <f aca="false">Sens!C16751*IF(Sens!J16744-Sens!C16744=life_it,1,0)+Sens!D16751*IF(Sens!J16744-Sens!D16744=life_it,1,0)+Sens!E16751*IF(Sens!J16744-Sens!E16744=life_it,1,0)+Sens!F16751*IF(Sens!J16744-Sens!F16744=life_it,1,0)+Sens!G16751*IF(Sens!J16744-Sens!G16744=life_it,1,0)+Sens!H16751*IF(Sens!J16744-Sens!H16744=life_it,1,0)+Sens!I16751*IF(Sens!J16744-Sens!I16744=life_it,1,0)</f>
        <v>1233.33333333333</v>
      </c>
      <c r="K16772" s="30" t="n">
        <f aca="false">Sens!C16751*IF(Sens!K16744-Sens!C16744=life_it,1,0)+Sens!D16751*IF(Sens!K16744-Sens!D16744=life_it,1,0)+Sens!E16751*IF(Sens!K16744-Sens!E16744=life_it,1,0)+Sens!F16751*IF(Sens!K16744-Sens!F16744=life_it,1,0)+Sens!G16751*IF(Sens!K16744-Sens!G16744=life_it,1,0)+Sens!H16751*IF(Sens!K16744-Sens!H16744=life_it,1,0)+Sens!I16751*IF(Sens!K16744-Sens!I16744=life_it,1,0)+Sens!J16751*IF(Sens!K16744-Sens!J16744=life_it,1,0)</f>
        <v>2450</v>
      </c>
      <c r="L16772" s="1" t="s">
        <v>994</v>
      </c>
    </row>
    <row r="16773" customFormat="false" ht="17.15" hidden="false" customHeight="false" outlineLevel="0" collapsed="false">
      <c r="A16773" s="0" t="s">
        <v>995</v>
      </c>
      <c r="B16773" s="0" t="s">
        <v>98</v>
      </c>
      <c r="C16773" s="6" t="n">
        <f aca="false">Sens!C16751*Sens!C16771/1000</f>
        <v>22.5333845916667</v>
      </c>
      <c r="D16773" s="6" t="n">
        <f aca="false">Sens!D16751*Sens!D16771/1000</f>
        <v>34.0300093833333</v>
      </c>
      <c r="E16773" s="6" t="n">
        <f aca="false">Sens!E16751*Sens!E16771/1000</f>
        <v>67.600153775</v>
      </c>
      <c r="F16773" s="6" t="n">
        <f aca="false">(Sens!F16751+Sens!F16772)*Sens!F16771/1000</f>
        <v>136.51872432512</v>
      </c>
      <c r="G16773" s="6" t="n">
        <f aca="false">(Sens!G16751+Sens!G16772)*Sens!G16771/1000</f>
        <v>157.399275932048</v>
      </c>
      <c r="H16773" s="6" t="n">
        <f aca="false">(Sens!H16751+Sens!H16772)*Sens!H16771/1000</f>
        <v>162.260804347512</v>
      </c>
      <c r="I16773" s="6" t="n">
        <f aca="false">(Sens!I16751+Sens!I16772)*Sens!I16771/1000</f>
        <v>144.136569485434</v>
      </c>
      <c r="J16773" s="6" t="n">
        <f aca="false">(Sens!J16751+Sens!J16772)*Sens!J16771/1000</f>
        <v>114.029037357864</v>
      </c>
      <c r="K16773" s="6" t="n">
        <f aca="false">(Sens!K16751+Sens!K16772)*Sens!K16771/1000</f>
        <v>113.437085350975</v>
      </c>
    </row>
    <row r="16774" customFormat="false" ht="17.15" hidden="false" customHeight="false" outlineLevel="0" collapsed="false">
      <c r="A16774" s="0" t="s">
        <v>996</v>
      </c>
      <c r="B16774" s="0" t="s">
        <v>98</v>
      </c>
      <c r="C16774" s="6" t="n">
        <f aca="false">Sens!C16751*self_build*tk_cxfac/1000</f>
        <v>6.2083</v>
      </c>
      <c r="D16774" s="6" t="n">
        <f aca="false">Sens!D16751*self_build*tk_cxfac/1000</f>
        <v>9.3758</v>
      </c>
      <c r="E16774" s="6" t="n">
        <f aca="false">Sens!E16751*self_build*tk_cxfac/1000</f>
        <v>18.6249</v>
      </c>
      <c r="F16774" s="6" t="n">
        <f aca="false">Sens!F16751*self_build*tk_cxfac/1000</f>
        <v>31.935179717</v>
      </c>
      <c r="G16774" s="6" t="n">
        <f aca="false">Sens!G16751*self_build*tk_cxfac/1000</f>
        <v>34.545199717</v>
      </c>
      <c r="H16774" s="6" t="n">
        <f aca="false">Sens!H16751*self_build*tk_cxfac/1000</f>
        <v>34.545199717</v>
      </c>
      <c r="I16774" s="6" t="n">
        <f aca="false">Sens!I16751*self_build*tk_cxfac/1000</f>
        <v>24.4782641361767</v>
      </c>
      <c r="J16774" s="6" t="n">
        <f aca="false">Sens!J16751*self_build*tk_cxfac/1000</f>
        <v>14.9008938380769</v>
      </c>
      <c r="K16774" s="6" t="n">
        <f aca="false">Sens!K16751*self_build*tk_cxfac/1000</f>
        <v>5.52576771375761</v>
      </c>
    </row>
    <row r="16775" customFormat="false" ht="17.15" hidden="false" customHeight="false" outlineLevel="0" collapsed="false">
      <c r="A16775" s="0" t="s">
        <v>997</v>
      </c>
      <c r="B16775" s="0" t="s">
        <v>98</v>
      </c>
      <c r="F16775" s="15" t="n">
        <f aca="false">capex_floor27-Sens!F16773-Sens!F16774-Sens!F16871</f>
        <v>1.94586576753863E-005</v>
      </c>
      <c r="L16775" s="12" t="s">
        <v>998</v>
      </c>
    </row>
    <row r="16776" customFormat="false" ht="17.15" hidden="false" customHeight="false" outlineLevel="0" collapsed="false">
      <c r="A16776" s="0" t="s">
        <v>999</v>
      </c>
      <c r="B16776" s="0" t="s">
        <v>98</v>
      </c>
      <c r="F16776" s="6" t="n">
        <f aca="false">MAX(0,Sens!F16775)</f>
        <v>1.94586576753863E-005</v>
      </c>
    </row>
    <row r="16777" customFormat="false" ht="17.15" hidden="false" customHeight="false" outlineLevel="0" collapsed="false">
      <c r="A16777" s="0" t="s">
        <v>1000</v>
      </c>
      <c r="B16777" s="0" t="s">
        <v>98</v>
      </c>
      <c r="C16777" s="6" t="n">
        <f aca="false">Sens!C16773</f>
        <v>22.5333845916667</v>
      </c>
      <c r="D16777" s="6" t="n">
        <f aca="false">Sens!D16773</f>
        <v>34.0300093833333</v>
      </c>
      <c r="E16777" s="6" t="n">
        <f aca="false">Sens!E16773</f>
        <v>67.600153775</v>
      </c>
      <c r="F16777" s="6" t="n">
        <f aca="false">Sens!F16773</f>
        <v>136.51872432512</v>
      </c>
      <c r="G16777" s="6" t="n">
        <f aca="false">Sens!G16773</f>
        <v>157.399275932048</v>
      </c>
      <c r="H16777" s="6" t="n">
        <f aca="false">Sens!H16773</f>
        <v>162.260804347512</v>
      </c>
      <c r="I16777" s="6" t="n">
        <f aca="false">Sens!I16773</f>
        <v>144.136569485434</v>
      </c>
      <c r="J16777" s="6" t="n">
        <f aca="false">Sens!J16773</f>
        <v>114.029037357864</v>
      </c>
      <c r="K16777" s="6" t="n">
        <f aca="false">Sens!K16773</f>
        <v>113.437085350975</v>
      </c>
    </row>
    <row r="16778" customFormat="false" ht="17.15" hidden="false" customHeight="false" outlineLevel="0" collapsed="false">
      <c r="A16778" s="0" t="s">
        <v>1001</v>
      </c>
      <c r="B16778" s="0" t="s">
        <v>98</v>
      </c>
      <c r="C16778" s="6" t="n">
        <f aca="false">Sens!C16777+Sens!C16774</f>
        <v>28.7416845916667</v>
      </c>
      <c r="D16778" s="6" t="n">
        <f aca="false">Sens!D16777+Sens!D16774</f>
        <v>43.4058093833333</v>
      </c>
      <c r="E16778" s="6" t="n">
        <f aca="false">Sens!E16777+Sens!E16774</f>
        <v>86.225053775</v>
      </c>
      <c r="F16778" s="6" t="n">
        <f aca="false">Sens!F16777+Sens!F16774</f>
        <v>168.45390404212</v>
      </c>
      <c r="G16778" s="6" t="n">
        <f aca="false">Sens!G16777+Sens!G16774</f>
        <v>191.944475649048</v>
      </c>
      <c r="H16778" s="6" t="n">
        <f aca="false">Sens!H16777+Sens!H16774</f>
        <v>196.806004064512</v>
      </c>
      <c r="I16778" s="6" t="n">
        <f aca="false">Sens!I16777+Sens!I16774</f>
        <v>168.61483362161</v>
      </c>
      <c r="J16778" s="6" t="n">
        <f aca="false">Sens!J16777+Sens!J16774</f>
        <v>128.92993119594</v>
      </c>
      <c r="K16778" s="6" t="n">
        <f aca="false">Sens!K16777+Sens!K16774</f>
        <v>118.962853064733</v>
      </c>
      <c r="L16778" s="12" t="s">
        <v>1002</v>
      </c>
    </row>
    <row r="16779" customFormat="false" ht="17.15" hidden="false" customHeight="false" outlineLevel="0" collapsed="false">
      <c r="A16779" s="0" t="s">
        <v>1003</v>
      </c>
      <c r="B16779" s="0" t="s">
        <v>98</v>
      </c>
      <c r="E16779" s="6" t="n">
        <f aca="false">(Sens!C16777*IF(2&lt;life_it,1,IF(2=life_it,0.5,0))+Sens!D16777*IF(1&lt;life_it,1,IF(1=life_it,0.5,0))+Sens!E16777*0.5)/life_it</f>
        <v>15.0605784770833</v>
      </c>
      <c r="F16779" s="6" t="n">
        <f aca="false">(Sens!C16777*IF(3&lt;life_it,1,IF(3=life_it,0.5,0))+Sens!D16777*IF(2&lt;life_it,1,IF(2=life_it,0.5,0))+Sens!E16777*IF(1&lt;life_it,1,IF(1=life_it,0.5,0))+Sens!F16777*0.5)/life_it</f>
        <v>32.0704849854266</v>
      </c>
      <c r="G16779" s="6" t="n">
        <f aca="false">(Sens!C16777*IF(4&lt;life_it,1,IF(4=life_it,0.5,0))+Sens!D16777*IF(3&lt;life_it,1,IF(3=life_it,0.5,0))+Sens!E16777*IF(2&lt;life_it,1,IF(2=life_it,0.5,0))+Sens!F16777*IF(1&lt;life_it,1,IF(1=life_it,0.5,0))+Sens!G16777*0.5)/life_it</f>
        <v>56.5636516735239</v>
      </c>
      <c r="H16779" s="6" t="n">
        <f aca="false">(Sens!C16777*IF(5&lt;life_it,1,IF(5=life_it,0.5,0))+Sens!D16777*IF(4&lt;life_it,1,IF(4=life_it,0.5,0))+Sens!E16777*IF(3&lt;life_it,1,IF(3=life_it,0.5,0))+Sens!F16777*IF(2&lt;life_it,1,IF(2=life_it,0.5,0))+Sens!G16777*IF(1&lt;life_it,1,IF(1=life_it,0.5,0))+Sens!H16777*0.5)/life_it</f>
        <v>83.2019916968207</v>
      </c>
      <c r="I16779" s="6" t="n">
        <f aca="false">(Sens!C16777*IF(6&lt;life_it,1,IF(6=life_it,0.5,0))+Sens!D16777*IF(5&lt;life_it,1,IF(5=life_it,0.5,0))+Sens!E16777*IF(4&lt;life_it,1,IF(4=life_it,0.5,0))+Sens!F16777*IF(3&lt;life_it,1,IF(3=life_it,0.5,0))+Sens!G16777*IF(2&lt;life_it,1,IF(2=life_it,0.5,0))+Sens!H16777*IF(1&lt;life_it,1,IF(1=life_it,0.5,0))+Sens!I16777*0.5)/life_it</f>
        <v>106.857324133594</v>
      </c>
      <c r="J16779" s="6" t="n">
        <f aca="false">(Sens!C16777*IF(7&lt;life_it,1,IF(7=life_it,0.5,0))+Sens!D16777*IF(6&lt;life_it,1,IF(6=life_it,0.5,0))+Sens!E16777*IF(5&lt;life_it,1,IF(5=life_it,0.5,0))+Sens!F16777*IF(4&lt;life_it,1,IF(4=life_it,0.5,0))+Sens!G16777*IF(3&lt;life_it,1,IF(3=life_it,0.5,0))+Sens!H16777*IF(2&lt;life_it,1,IF(2=life_it,0.5,0))+Sens!I16777*IF(1&lt;life_it,1,IF(1=life_it,0.5,0))+Sens!J16777*0.5)/life_it</f>
        <v>123.657508539285</v>
      </c>
      <c r="K16779" s="6" t="n">
        <f aca="false">(Sens!C16777*IF(8&lt;life_it,1,IF(8=life_it,0.5,0))+Sens!D16777*IF(7&lt;life_it,1,IF(7=life_it,0.5,0))+Sens!E16777*IF(6&lt;life_it,1,IF(6=life_it,0.5,0))+Sens!F16777*IF(5&lt;life_it,1,IF(5=life_it,0.5,0))+Sens!G16777*IF(4&lt;life_it,1,IF(4=life_it,0.5,0))+Sens!H16777*IF(3&lt;life_it,1,IF(3=life_it,0.5,0))+Sens!I16777*IF(2&lt;life_it,1,IF(2=life_it,0.5,0))+Sens!J16777*IF(1&lt;life_it,1,IF(1=life_it,0.5,0))+Sens!K16777*0.5)/life_it</f>
        <v>134.143838501827</v>
      </c>
    </row>
    <row r="16780" customFormat="false" ht="17.15" hidden="false" customHeight="false" outlineLevel="0" collapsed="false">
      <c r="A16780" s="0" t="s">
        <v>1004</v>
      </c>
      <c r="B16780" s="0" t="s">
        <v>98</v>
      </c>
      <c r="E16780" s="6" t="n">
        <f aca="false">(Sens!C16774*IF(2&lt;life_fac,1,IF(2=life_fac,0.5,0))+Sens!D16774*IF(1&lt;life_fac,1,IF(1=life_fac,0.5,0))+Sens!E16774*0.5)/life_fac</f>
        <v>1.2448275</v>
      </c>
      <c r="F16780" s="6" t="n">
        <f aca="false">(Sens!C16774*IF(3&lt;life_fac,1,IF(3=life_fac,0.5,0))+Sens!D16774*IF(2&lt;life_fac,1,IF(2=life_fac,0.5,0))+Sens!E16774*IF(1&lt;life_fac,1,IF(1=life_fac,0.5,0))+Sens!F16774*0.5)/life_fac</f>
        <v>2.508829492925</v>
      </c>
      <c r="G16780" s="6" t="n">
        <f aca="false">(Sens!C16774*IF(4&lt;life_fac,1,IF(4=life_fac,0.5,0))+Sens!D16774*IF(3&lt;life_fac,1,IF(3=life_fac,0.5,0))+Sens!E16774*IF(2&lt;life_fac,1,IF(2=life_fac,0.5,0))+Sens!F16774*IF(1&lt;life_fac,1,IF(1=life_fac,0.5,0))+Sens!G16774*0.5)/life_fac</f>
        <v>4.170838978775</v>
      </c>
      <c r="H16780" s="6" t="n">
        <f aca="false">(Sens!C16774*IF(5&lt;life_fac,1,IF(5=life_fac,0.5,0))+Sens!D16774*IF(4&lt;life_fac,1,IF(4=life_fac,0.5,0))+Sens!E16774*IF(3&lt;life_fac,1,IF(3=life_fac,0.5,0))+Sens!F16774*IF(2&lt;life_fac,1,IF(2=life_fac,0.5,0))+Sens!G16774*IF(1&lt;life_fac,1,IF(1=life_fac,0.5,0))+Sens!H16774*0.5)/life_fac</f>
        <v>5.898098964625</v>
      </c>
      <c r="I16780" s="6" t="n">
        <f aca="false">(Sens!C16774*IF(6&lt;life_fac,1,IF(6=life_fac,0.5,0))+Sens!D16774*IF(5&lt;life_fac,1,IF(5=life_fac,0.5,0))+Sens!E16774*IF(4&lt;life_fac,1,IF(4=life_fac,0.5,0))+Sens!F16774*IF(3&lt;life_fac,1,IF(3=life_fac,0.5,0))+Sens!G16774*IF(2&lt;life_fac,1,IF(2=life_fac,0.5,0))+Sens!H16774*IF(1&lt;life_fac,1,IF(1=life_fac,0.5,0))+Sens!I16774*0.5)/life_fac</f>
        <v>7.37368556095442</v>
      </c>
      <c r="J16780" s="6" t="n">
        <f aca="false">(Sens!C16774*IF(7&lt;life_fac,1,IF(7=life_fac,0.5,0))+Sens!D16774*IF(6&lt;life_fac,1,IF(6=life_fac,0.5,0))+Sens!E16774*IF(5&lt;life_fac,1,IF(5=life_fac,0.5,0))+Sens!F16774*IF(4&lt;life_fac,1,IF(4=life_fac,0.5,0))+Sens!G16774*IF(3&lt;life_fac,1,IF(3=life_fac,0.5,0))+Sens!H16774*IF(2&lt;life_fac,1,IF(2=life_fac,0.5,0))+Sens!I16774*IF(1&lt;life_fac,1,IF(1=life_fac,0.5,0))+Sens!J16774*0.5)/life_fac</f>
        <v>8.35816451031075</v>
      </c>
      <c r="K16780" s="6" t="n">
        <f aca="false">(Sens!C16774*IF(8&lt;life_fac,1,IF(8=life_fac,0.5,0))+Sens!D16774*IF(7&lt;life_fac,1,IF(7=life_fac,0.5,0))+Sens!E16774*IF(6&lt;life_fac,1,IF(6=life_fac,0.5,0))+Sens!F16774*IF(5&lt;life_fac,1,IF(5=life_fac,0.5,0))+Sens!G16774*IF(4&lt;life_fac,1,IF(4=life_fac,0.5,0))+Sens!H16774*IF(3&lt;life_fac,1,IF(3=life_fac,0.5,0))+Sens!I16774*IF(2&lt;life_fac,1,IF(2=life_fac,0.5,0))+Sens!J16774*IF(1&lt;life_fac,1,IF(1=life_fac,0.5,0))+Sens!K16774*0.5)/life_fac</f>
        <v>8.86883104910662</v>
      </c>
    </row>
    <row r="16781" customFormat="false" ht="17.15" hidden="false" customHeight="false" outlineLevel="0" collapsed="false">
      <c r="A16781" s="0" t="s">
        <v>1005</v>
      </c>
      <c r="B16781" s="0" t="s">
        <v>98</v>
      </c>
      <c r="E16781" s="6" t="n">
        <f aca="false">Sens!E16779+Sens!E16780</f>
        <v>16.3054059770833</v>
      </c>
      <c r="F16781" s="6" t="n">
        <f aca="false">Sens!F16779+Sens!F16780</f>
        <v>34.5793144783516</v>
      </c>
      <c r="G16781" s="6" t="n">
        <f aca="false">Sens!G16779+Sens!G16780</f>
        <v>60.7344906522989</v>
      </c>
      <c r="H16781" s="6" t="n">
        <f aca="false">Sens!H16779+Sens!H16780</f>
        <v>89.1000906614457</v>
      </c>
      <c r="I16781" s="6" t="n">
        <f aca="false">Sens!I16779+Sens!I16780</f>
        <v>114.231009694548</v>
      </c>
      <c r="J16781" s="6" t="n">
        <f aca="false">Sens!J16779+Sens!J16780</f>
        <v>132.015673049596</v>
      </c>
      <c r="K16781" s="6" t="n">
        <f aca="false">Sens!K16779+Sens!K16780</f>
        <v>143.012669550934</v>
      </c>
    </row>
    <row r="16782" customFormat="false" ht="17.15" hidden="false" customHeight="false" outlineLevel="0" collapsed="false">
      <c r="A16782" s="0" t="s">
        <v>1006</v>
      </c>
      <c r="B16782" s="0" t="s">
        <v>98</v>
      </c>
      <c r="E16782" s="6" t="n">
        <f aca="false">Sens!E16769-Sens!E16768*Sens!E16781</f>
        <v>8.92707889977379</v>
      </c>
      <c r="F16782" s="6" t="n">
        <f aca="false">Sens!F16769-Sens!F16768*Sens!F16781</f>
        <v>18.7770356668733</v>
      </c>
      <c r="G16782" s="6" t="n">
        <f aca="false">Sens!G16769-Sens!G16768*Sens!G16781</f>
        <v>31.1163641458894</v>
      </c>
      <c r="H16782" s="6" t="n">
        <f aca="false">Sens!H16769-Sens!H16768*Sens!H16781</f>
        <v>43.7262635496428</v>
      </c>
      <c r="I16782" s="6" t="n">
        <f aca="false">Sens!I16769-Sens!I16768*Sens!I16781</f>
        <v>54.7541698336361</v>
      </c>
      <c r="J16782" s="6" t="n">
        <f aca="false">Sens!J16769-Sens!J16768*Sens!J16781</f>
        <v>62.3768819327658</v>
      </c>
      <c r="K16782" s="6" t="n">
        <f aca="false">Sens!K16769-Sens!K16768*Sens!K16781</f>
        <v>67.4820630434748</v>
      </c>
    </row>
    <row r="16783" customFormat="false" ht="17.15" hidden="false" customHeight="false" outlineLevel="0" collapsed="false">
      <c r="A16783" s="3" t="s">
        <v>2025</v>
      </c>
    </row>
    <row r="16784" customFormat="false" ht="15" hidden="false" customHeight="false" outlineLevel="0" collapsed="false">
      <c r="A16784" s="4" t="s">
        <v>43</v>
      </c>
      <c r="B16784" s="4" t="s">
        <v>65</v>
      </c>
      <c r="C16784" s="23" t="s">
        <v>942</v>
      </c>
      <c r="D16784" s="23" t="s">
        <v>943</v>
      </c>
      <c r="E16784" s="23" t="s">
        <v>944</v>
      </c>
      <c r="F16784" s="23" t="s">
        <v>945</v>
      </c>
      <c r="G16784" s="23" t="s">
        <v>946</v>
      </c>
      <c r="H16784" s="23" t="s">
        <v>947</v>
      </c>
      <c r="I16784" s="23" t="s">
        <v>948</v>
      </c>
      <c r="J16784" s="23" t="s">
        <v>949</v>
      </c>
      <c r="K16784" s="23" t="s">
        <v>950</v>
      </c>
      <c r="L16784" s="4" t="s">
        <v>47</v>
      </c>
    </row>
    <row r="16785" customFormat="false" ht="17.15" hidden="false" customHeight="false" outlineLevel="0" collapsed="false">
      <c r="A16785" s="0" t="s">
        <v>1025</v>
      </c>
      <c r="B16785" s="0" t="s">
        <v>98</v>
      </c>
      <c r="D16785" s="6" t="n">
        <f aca="false">Sens!D16763</f>
        <v>12.9359794422418</v>
      </c>
      <c r="E16785" s="6" t="n">
        <f aca="false">Sens!E16763</f>
        <v>27.8095064661409</v>
      </c>
      <c r="F16785" s="6" t="n">
        <f aca="false">Sens!F16763</f>
        <v>55.4118315060966</v>
      </c>
      <c r="G16785" s="6" t="n">
        <f aca="false">Sens!G16763</f>
        <v>91.2881100675143</v>
      </c>
      <c r="H16785" s="6" t="n">
        <f aca="false">Sens!H16763</f>
        <v>128.195273603944</v>
      </c>
      <c r="I16785" s="6" t="n">
        <f aca="false">Sens!I16763</f>
        <v>160.601281810405</v>
      </c>
      <c r="J16785" s="6" t="n">
        <f aca="false">Sens!J16763</f>
        <v>183.182719793589</v>
      </c>
      <c r="K16785" s="6" t="n">
        <f aca="false">Sens!K16763</f>
        <v>197.320124937098</v>
      </c>
    </row>
    <row r="16786" customFormat="false" ht="17.15" hidden="false" customHeight="false" outlineLevel="0" collapsed="false">
      <c r="A16786" s="0" t="s">
        <v>1026</v>
      </c>
      <c r="B16786" s="0" t="s">
        <v>98</v>
      </c>
      <c r="D16786" s="6" t="n">
        <f aca="false">Q!L6-Sens!D16785</f>
        <v>59.6740205577583</v>
      </c>
      <c r="E16786" s="6" t="n">
        <f aca="false">Q!M6-Sens!E16785</f>
        <v>74.1284935338591</v>
      </c>
      <c r="F16786" s="6" t="n">
        <f aca="false">Q!$I$6+(Sens!F16785+Sens!E16786*(1+Sens!F16787))*(1-Q!$E$6/Q!M6)-Sens!F16785</f>
        <v>91.2972164940844</v>
      </c>
      <c r="G16786" s="6" t="n">
        <f aca="false">Sens!F16786*(1+Sens!G16787)</f>
        <v>108.474719793879</v>
      </c>
      <c r="H16786" s="6" t="n">
        <f aca="false">Sens!G16786*(1+Sens!H16787)</f>
        <v>125.951292505701</v>
      </c>
      <c r="I16786" s="6" t="n">
        <f aca="false">Sens!H16786*(1+Sens!I16787)</f>
        <v>142.838165154212</v>
      </c>
      <c r="J16786" s="6" t="n">
        <f aca="false">Sens!I16786*(1+Sens!J16787)</f>
        <v>158.12717866615</v>
      </c>
      <c r="K16786" s="6" t="n">
        <f aca="false">Sens!J16786*(1+Sens!K16787)</f>
        <v>170.777352959442</v>
      </c>
      <c r="L16786" s="12" t="s">
        <v>1027</v>
      </c>
    </row>
    <row r="16787" customFormat="false" ht="15" hidden="false" customHeight="false" outlineLevel="0" collapsed="false">
      <c r="A16787" s="1" t="s">
        <v>1028</v>
      </c>
      <c r="B16787" s="0" t="s">
        <v>168</v>
      </c>
      <c r="E16787" s="7" t="n">
        <f aca="false">Sens!E16786/Sens!D16786-1</f>
        <v>0.242223883039864</v>
      </c>
      <c r="F16787" s="7" t="n">
        <f aca="false">Sens!$E$16787+(glt_azo-Sens!$E$16787)*MIN(1,(Sens!F16744-base_fy)/n_conv)</f>
        <v>0.215186569199887</v>
      </c>
      <c r="G16787" s="7" t="n">
        <f aca="false">Sens!$E$16787+(glt_azo-Sens!$E$16787)*MIN(1,(Sens!G16744-base_fy)/n_conv)</f>
        <v>0.18814925535991</v>
      </c>
      <c r="H16787" s="7" t="n">
        <f aca="false">Sens!$E$16787+(glt_azo-Sens!$E$16787)*MIN(1,(Sens!H16744-base_fy)/n_conv)</f>
        <v>0.161111941519932</v>
      </c>
      <c r="I16787" s="7" t="n">
        <f aca="false">Sens!$E$16787+(glt_azo-Sens!$E$16787)*MIN(1,(Sens!I16744-base_fy)/n_conv)</f>
        <v>0.134074627679955</v>
      </c>
      <c r="J16787" s="7" t="n">
        <f aca="false">Sens!$E$16787+(glt_azo-Sens!$E$16787)*MIN(1,(Sens!J16744-base_fy)/n_conv)</f>
        <v>0.107037313839977</v>
      </c>
      <c r="K16787" s="7" t="n">
        <f aca="false">Sens!$E$16787+(glt_azo-Sens!$E$16787)*MIN(1,(Sens!K16744-base_fy)/n_conv)</f>
        <v>0.08</v>
      </c>
    </row>
    <row r="16788" customFormat="false" ht="15" hidden="false" customHeight="false" outlineLevel="0" collapsed="false">
      <c r="A16788" s="0" t="s">
        <v>1029</v>
      </c>
      <c r="B16788" s="0" t="s">
        <v>98</v>
      </c>
      <c r="D16788" s="6" t="n">
        <f aca="false">Sens!D16785+Sens!D16786</f>
        <v>72.61</v>
      </c>
      <c r="E16788" s="6" t="n">
        <f aca="false">Sens!E16785+Sens!E16786</f>
        <v>101.938</v>
      </c>
      <c r="F16788" s="6" t="n">
        <f aca="false">Sens!F16785+Sens!F16786</f>
        <v>146.709048000181</v>
      </c>
      <c r="G16788" s="6" t="n">
        <f aca="false">Sens!G16785+Sens!G16786</f>
        <v>199.762829861393</v>
      </c>
      <c r="H16788" s="6" t="n">
        <f aca="false">Sens!H16785+Sens!H16786</f>
        <v>254.146566109645</v>
      </c>
      <c r="I16788" s="6" t="n">
        <f aca="false">Sens!I16785+Sens!I16786</f>
        <v>303.439446964617</v>
      </c>
      <c r="J16788" s="6" t="n">
        <f aca="false">Sens!J16785+Sens!J16786</f>
        <v>341.309898459739</v>
      </c>
      <c r="K16788" s="6" t="n">
        <f aca="false">Sens!K16785+Sens!K16786</f>
        <v>368.09747789654</v>
      </c>
    </row>
    <row r="16789" customFormat="false" ht="17.15" hidden="false" customHeight="false" outlineLevel="0" collapsed="false">
      <c r="A16789" s="0" t="s">
        <v>1030</v>
      </c>
      <c r="B16789" s="1" t="s">
        <v>613</v>
      </c>
      <c r="C16789" s="30" t="n">
        <f aca="false">cop_s24</f>
        <v>1</v>
      </c>
      <c r="D16789" s="30" t="n">
        <f aca="false">cop_s25</f>
        <v>5</v>
      </c>
      <c r="E16789" s="30" t="n">
        <f aca="false">cop_s26</f>
        <v>30</v>
      </c>
      <c r="F16789" s="30" t="n">
        <f aca="false">Sens!E16789+cop_add_B</f>
        <v>50</v>
      </c>
      <c r="G16789" s="30" t="n">
        <f aca="false">Sens!F16789+cop_add_B</f>
        <v>70</v>
      </c>
      <c r="H16789" s="30" t="n">
        <f aca="false">Sens!G16789+cop_add_B</f>
        <v>90</v>
      </c>
      <c r="I16789" s="30" t="n">
        <f aca="false">Sens!H16789+cop_add_B*cop_tail</f>
        <v>100</v>
      </c>
      <c r="J16789" s="30" t="n">
        <f aca="false">Sens!I16789+cop_add_B*cop_tail</f>
        <v>110</v>
      </c>
      <c r="K16789" s="30" t="n">
        <f aca="false">Sens!J16789+cop_add_B*cop_tail</f>
        <v>120</v>
      </c>
      <c r="L16789" s="12" t="s">
        <v>1031</v>
      </c>
    </row>
    <row r="16790" customFormat="false" ht="17.15" hidden="false" customHeight="false" outlineLevel="0" collapsed="false">
      <c r="A16790" s="0" t="s">
        <v>1032</v>
      </c>
      <c r="B16790" s="0" t="s">
        <v>98</v>
      </c>
      <c r="D16790" s="6" t="n">
        <f aca="false">(Sens!C16789+Sens!D16789)/2*cop_px*12/1000</f>
        <v>0.9</v>
      </c>
      <c r="E16790" s="6" t="n">
        <f aca="false">(Sens!D16789+Sens!E16789)/2*cop_px*12/1000</f>
        <v>5.25</v>
      </c>
      <c r="F16790" s="6" t="n">
        <f aca="false">(Sens!E16789+Sens!F16789)/2*cop_px*12/1000</f>
        <v>12</v>
      </c>
      <c r="G16790" s="6" t="n">
        <f aca="false">(Sens!F16789+Sens!G16789)/2*cop_px*12/1000</f>
        <v>18</v>
      </c>
      <c r="H16790" s="6" t="n">
        <f aca="false">(Sens!G16789+Sens!H16789)/2*cop_px*12/1000</f>
        <v>24</v>
      </c>
      <c r="I16790" s="6" t="n">
        <f aca="false">(Sens!H16789+Sens!I16789)/2*cop_px*12/1000</f>
        <v>28.5</v>
      </c>
      <c r="J16790" s="6" t="n">
        <f aca="false">(Sens!I16789+Sens!J16789)/2*cop_px*12/1000</f>
        <v>31.5</v>
      </c>
      <c r="K16790" s="6" t="n">
        <f aca="false">(Sens!J16789+Sens!K16789)/2*cop_px*12/1000</f>
        <v>34.5</v>
      </c>
      <c r="L16790" s="1" t="s">
        <v>1033</v>
      </c>
    </row>
    <row r="16791" customFormat="false" ht="17.15" hidden="false" customHeight="false" outlineLevel="0" collapsed="false">
      <c r="A16791" s="0" t="s">
        <v>1034</v>
      </c>
      <c r="B16791" s="0" t="s">
        <v>98</v>
      </c>
      <c r="D16791" s="6" t="n">
        <f aca="false">Q!L7-Sens!D16790</f>
        <v>83.705</v>
      </c>
      <c r="E16791" s="6" t="n">
        <f aca="false">Q!M7-Sens!E16790</f>
        <v>95.049</v>
      </c>
      <c r="F16791" s="6" t="n">
        <f aca="false">Q!$I$7+(Sens!E16791*(1+Sens!F16792)+Sens!F16790)*(1-Q!$E$7/Q!M7)-Sens!F16790</f>
        <v>106.584003697747</v>
      </c>
      <c r="G16791" s="6" t="n">
        <f aca="false">Sens!F16791*(1+Sens!G16792)</f>
        <v>118.700726545688</v>
      </c>
      <c r="H16791" s="6" t="n">
        <f aca="false">Sens!G16791*(1+Sens!H16792)</f>
        <v>130.898624783666</v>
      </c>
      <c r="I16791" s="6" t="n">
        <f aca="false">Sens!H16791*(1+Sens!I16792)</f>
        <v>142.920510030657</v>
      </c>
      <c r="J16791" s="6" t="n">
        <f aca="false">Sens!I16791*(1+Sens!J16792)</f>
        <v>154.485722618572</v>
      </c>
      <c r="K16791" s="6" t="n">
        <f aca="false">Sens!J16791*(1+Sens!K16792)</f>
        <v>165.299723201872</v>
      </c>
      <c r="L16791" s="12" t="s">
        <v>1035</v>
      </c>
    </row>
    <row r="16792" customFormat="false" ht="15" hidden="false" customHeight="false" outlineLevel="0" collapsed="false">
      <c r="A16792" s="1" t="s">
        <v>1028</v>
      </c>
      <c r="B16792" s="0" t="s">
        <v>168</v>
      </c>
      <c r="E16792" s="7" t="n">
        <f aca="false">Sens!E16791/Sens!D16791-1</f>
        <v>0.135523564900544</v>
      </c>
      <c r="F16792" s="7" t="n">
        <f aca="false">Sens!$E$16792+(glt_m365b-Sens!$E$16792)*MIN(1,(Sens!F16744-base_fy)/n_conv)</f>
        <v>0.124602970750453</v>
      </c>
      <c r="G16792" s="7" t="n">
        <f aca="false">Sens!$E$16792+(glt_m365b-Sens!$E$16792)*MIN(1,(Sens!G16744-base_fy)/n_conv)</f>
        <v>0.113682376600363</v>
      </c>
      <c r="H16792" s="7" t="n">
        <f aca="false">Sens!$E$16792+(glt_m365b-Sens!$E$16792)*MIN(1,(Sens!H16744-base_fy)/n_conv)</f>
        <v>0.102761782450272</v>
      </c>
      <c r="I16792" s="7" t="n">
        <f aca="false">Sens!$E$16792+(glt_m365b-Sens!$E$16792)*MIN(1,(Sens!I16744-base_fy)/n_conv)</f>
        <v>0.0918411883001813</v>
      </c>
      <c r="J16792" s="7" t="n">
        <f aca="false">Sens!$E$16792+(glt_m365b-Sens!$E$16792)*MIN(1,(Sens!J16744-base_fy)/n_conv)</f>
        <v>0.0809205941500906</v>
      </c>
      <c r="K16792" s="7" t="n">
        <f aca="false">Sens!$E$16792+(glt_m365b-Sens!$E$16792)*MIN(1,(Sens!K16744-base_fy)/n_conv)</f>
        <v>0.07</v>
      </c>
    </row>
    <row r="16793" customFormat="false" ht="15" hidden="false" customHeight="false" outlineLevel="0" collapsed="false">
      <c r="A16793" s="0" t="s">
        <v>1036</v>
      </c>
      <c r="B16793" s="0" t="s">
        <v>98</v>
      </c>
      <c r="D16793" s="6" t="n">
        <f aca="false">Sens!D16791+Sens!D16790</f>
        <v>84.605</v>
      </c>
      <c r="E16793" s="6" t="n">
        <f aca="false">Sens!E16791+Sens!E16790</f>
        <v>100.299</v>
      </c>
      <c r="F16793" s="6" t="n">
        <f aca="false">Sens!F16791+Sens!F16790</f>
        <v>118.584003697747</v>
      </c>
      <c r="G16793" s="6" t="n">
        <f aca="false">Sens!G16791+Sens!G16790</f>
        <v>136.700726545688</v>
      </c>
      <c r="H16793" s="6" t="n">
        <f aca="false">Sens!H16791+Sens!H16790</f>
        <v>154.898624783666</v>
      </c>
      <c r="I16793" s="6" t="n">
        <f aca="false">Sens!I16791+Sens!I16790</f>
        <v>171.420510030657</v>
      </c>
      <c r="J16793" s="6" t="n">
        <f aca="false">Sens!J16791+Sens!J16790</f>
        <v>185.985722618572</v>
      </c>
      <c r="K16793" s="6" t="n">
        <f aca="false">Sens!K16791+Sens!K16790</f>
        <v>199.799723201872</v>
      </c>
    </row>
    <row r="16794" customFormat="false" ht="17.15" hidden="false" customHeight="false" outlineLevel="0" collapsed="false">
      <c r="A16794" s="0" t="s">
        <v>1037</v>
      </c>
      <c r="B16794" s="0" t="s">
        <v>98</v>
      </c>
      <c r="D16794" s="6" t="n">
        <f aca="false">Q!L8</f>
        <v>35.391</v>
      </c>
      <c r="E16794" s="6" t="n">
        <f aca="false">Q!M8</f>
        <v>37.285</v>
      </c>
      <c r="F16794" s="6" t="n">
        <f aca="false">Q!$I$8+(Q!M8-Q!$E$8)*(1+Sens!F16795)</f>
        <v>38.3851437782675</v>
      </c>
      <c r="G16794" s="6" t="n">
        <f aca="false">Sens!F16794*(1+Sens!G16795)</f>
        <v>40.0105353288615</v>
      </c>
      <c r="H16794" s="6" t="n">
        <f aca="false">Sens!G16794*(1+Sens!H16795)</f>
        <v>41.4812512033683</v>
      </c>
      <c r="I16794" s="6" t="n">
        <f aca="false">Sens!H16794*(1+Sens!I16795)</f>
        <v>42.7743107216329</v>
      </c>
      <c r="J16794" s="6" t="n">
        <f aca="false">Sens!I16794*(1+Sens!J16795)</f>
        <v>43.8687373064601</v>
      </c>
      <c r="K16794" s="6" t="n">
        <f aca="false">Sens!J16794*(1+Sens!K16795)</f>
        <v>44.7461120525893</v>
      </c>
      <c r="L16794" s="12" t="s">
        <v>1038</v>
      </c>
    </row>
    <row r="16795" customFormat="false" ht="15" hidden="false" customHeight="false" outlineLevel="0" collapsed="false">
      <c r="A16795" s="1" t="s">
        <v>1028</v>
      </c>
      <c r="B16795" s="0" t="s">
        <v>168</v>
      </c>
      <c r="E16795" s="7" t="n">
        <f aca="false">Sens!E16794/Sens!D16794-1</f>
        <v>0.0535164307309768</v>
      </c>
      <c r="F16795" s="7" t="n">
        <f aca="false">Sens!$E$16795+(glt_lic-Sens!$E$16795)*MIN(1,(Sens!F16744-base_fy)/n_conv)</f>
        <v>0.0479303589424807</v>
      </c>
      <c r="G16795" s="7" t="n">
        <f aca="false">Sens!$E$16795+(glt_lic-Sens!$E$16795)*MIN(1,(Sens!G16744-base_fy)/n_conv)</f>
        <v>0.0423442871539845</v>
      </c>
      <c r="H16795" s="7" t="n">
        <f aca="false">Sens!$E$16795+(glt_lic-Sens!$E$16795)*MIN(1,(Sens!H16744-base_fy)/n_conv)</f>
        <v>0.0367582153654884</v>
      </c>
      <c r="I16795" s="7" t="n">
        <f aca="false">Sens!$E$16795+(glt_lic-Sens!$E$16795)*MIN(1,(Sens!I16744-base_fy)/n_conv)</f>
        <v>0.0311721435769923</v>
      </c>
      <c r="J16795" s="7" t="n">
        <f aca="false">Sens!$E$16795+(glt_lic-Sens!$E$16795)*MIN(1,(Sens!J16744-base_fy)/n_conv)</f>
        <v>0.0255860717884961</v>
      </c>
      <c r="K16795" s="7" t="n">
        <f aca="false">Sens!$E$16795+(glt_lic-Sens!$E$16795)*MIN(1,(Sens!K16744-base_fy)/n_conv)</f>
        <v>0.02</v>
      </c>
    </row>
    <row r="16796" customFormat="false" ht="17.15" hidden="false" customHeight="false" outlineLevel="0" collapsed="false">
      <c r="A16796" s="0" t="s">
        <v>1039</v>
      </c>
      <c r="B16796" s="0" t="s">
        <v>98</v>
      </c>
      <c r="D16796" s="6" t="n">
        <f aca="false">Q!L9</f>
        <v>18.417</v>
      </c>
      <c r="E16796" s="6" t="n">
        <f aca="false">Q!M9</f>
        <v>20.345</v>
      </c>
      <c r="F16796" s="6" t="n">
        <f aca="false">Q!$I$9+(Q!M9-Q!$E$9)*(1+Sens!F16797)</f>
        <v>22.3161797133988</v>
      </c>
      <c r="G16796" s="6" t="n">
        <f aca="false">Sens!F16796*(1+Sens!G16797)</f>
        <v>24.3943499673233</v>
      </c>
      <c r="H16796" s="6" t="n">
        <f aca="false">Sens!G16796*(1+Sens!H16797)</f>
        <v>26.5250243109019</v>
      </c>
      <c r="I16796" s="6" t="n">
        <f aca="false">Sens!H16796*(1+Sens!I16797)</f>
        <v>28.6884573538181</v>
      </c>
      <c r="J16796" s="6" t="n">
        <f aca="false">Sens!I16796*(1+Sens!J16797)</f>
        <v>30.8624968052127</v>
      </c>
      <c r="K16796" s="6" t="n">
        <f aca="false">Sens!J16796*(1+Sens!K16797)</f>
        <v>33.0228715815776</v>
      </c>
      <c r="L16796" s="12" t="s">
        <v>1038</v>
      </c>
    </row>
    <row r="16797" customFormat="false" ht="15" hidden="false" customHeight="false" outlineLevel="0" collapsed="false">
      <c r="A16797" s="1" t="s">
        <v>1028</v>
      </c>
      <c r="B16797" s="0" t="s">
        <v>168</v>
      </c>
      <c r="E16797" s="7" t="n">
        <f aca="false">Sens!E16796/Sens!D16796-1</f>
        <v>0.104685888038225</v>
      </c>
      <c r="F16797" s="7" t="n">
        <f aca="false">Sens!$E$16797+(glt_ind-Sens!$E$16797)*MIN(1,(Sens!F16744-base_fy)/n_conv)</f>
        <v>0.0989049066985211</v>
      </c>
      <c r="G16797" s="7" t="n">
        <f aca="false">Sens!$E$16797+(glt_ind-Sens!$E$16797)*MIN(1,(Sens!G16744-base_fy)/n_conv)</f>
        <v>0.0931239253588169</v>
      </c>
      <c r="H16797" s="7" t="n">
        <f aca="false">Sens!$E$16797+(glt_ind-Sens!$E$16797)*MIN(1,(Sens!H16744-base_fy)/n_conv)</f>
        <v>0.0873429440191127</v>
      </c>
      <c r="I16797" s="7" t="n">
        <f aca="false">Sens!$E$16797+(glt_ind-Sens!$E$16797)*MIN(1,(Sens!I16744-base_fy)/n_conv)</f>
        <v>0.0815619626794085</v>
      </c>
      <c r="J16797" s="7" t="n">
        <f aca="false">Sens!$E$16797+(glt_ind-Sens!$E$16797)*MIN(1,(Sens!J16744-base_fy)/n_conv)</f>
        <v>0.0757809813397042</v>
      </c>
      <c r="K16797" s="7" t="n">
        <f aca="false">Sens!$E$16797+(glt_ind-Sens!$E$16797)*MIN(1,(Sens!K16744-base_fy)/n_conv)</f>
        <v>0.07</v>
      </c>
    </row>
    <row r="16798" customFormat="false" ht="17.15" hidden="false" customHeight="false" outlineLevel="0" collapsed="false">
      <c r="A16798" s="0" t="s">
        <v>1040</v>
      </c>
      <c r="B16798" s="0" t="s">
        <v>98</v>
      </c>
      <c r="D16798" s="6" t="n">
        <f aca="false">Q!L10</f>
        <v>7.76</v>
      </c>
      <c r="E16798" s="6" t="n">
        <f aca="false">Q!M10</f>
        <v>8.26</v>
      </c>
      <c r="F16798" s="6" t="n">
        <f aca="false">Q!$I$10+(Q!M10-Q!$E$10)*(1+Sens!F16799)</f>
        <v>8.75372082474227</v>
      </c>
      <c r="G16798" s="6" t="n">
        <f aca="false">Sens!F16798*(1+Sens!G16799)</f>
        <v>9.33399324642364</v>
      </c>
      <c r="H16798" s="6" t="n">
        <f aca="false">Sens!G16798*(1+Sens!H16799)</f>
        <v>9.96139155535851</v>
      </c>
      <c r="I16798" s="6" t="n">
        <f aca="false">Sens!H16798*(1+Sens!I16799)</f>
        <v>10.6402039077391</v>
      </c>
      <c r="J16798" s="6" t="n">
        <f aca="false">Sens!I16798*(1+Sens!J16799)</f>
        <v>11.3751458271397</v>
      </c>
      <c r="K16798" s="6" t="n">
        <f aca="false">Sens!J16798*(1+Sens!K16799)</f>
        <v>12.1714060350394</v>
      </c>
      <c r="L16798" s="12" t="s">
        <v>1038</v>
      </c>
    </row>
    <row r="16799" customFormat="false" ht="15" hidden="false" customHeight="false" outlineLevel="0" collapsed="false">
      <c r="A16799" s="1" t="s">
        <v>1028</v>
      </c>
      <c r="B16799" s="0" t="s">
        <v>168</v>
      </c>
      <c r="E16799" s="7" t="n">
        <f aca="false">Sens!E16798/Sens!D16798-1</f>
        <v>0.0644329896907216</v>
      </c>
      <c r="F16799" s="7" t="n">
        <f aca="false">Sens!$E$16799+(glt_fro-Sens!$E$16799)*MIN(1,(Sens!F16744-base_fy)/n_conv)</f>
        <v>0.065360824742268</v>
      </c>
      <c r="G16799" s="7" t="n">
        <f aca="false">Sens!$E$16799+(glt_fro-Sens!$E$16799)*MIN(1,(Sens!G16744-base_fy)/n_conv)</f>
        <v>0.0662886597938144</v>
      </c>
      <c r="H16799" s="7" t="n">
        <f aca="false">Sens!$E$16799+(glt_fro-Sens!$E$16799)*MIN(1,(Sens!H16744-base_fy)/n_conv)</f>
        <v>0.0672164948453608</v>
      </c>
      <c r="I16799" s="7" t="n">
        <f aca="false">Sens!$E$16799+(glt_fro-Sens!$E$16799)*MIN(1,(Sens!I16744-base_fy)/n_conv)</f>
        <v>0.0681443298969072</v>
      </c>
      <c r="J16799" s="7" t="n">
        <f aca="false">Sens!$E$16799+(glt_fro-Sens!$E$16799)*MIN(1,(Sens!J16744-base_fy)/n_conv)</f>
        <v>0.0690721649484536</v>
      </c>
      <c r="K16799" s="7" t="n">
        <f aca="false">Sens!$E$16799+(glt_fro-Sens!$E$16799)*MIN(1,(Sens!K16744-base_fy)/n_conv)</f>
        <v>0.07</v>
      </c>
    </row>
    <row r="16800" customFormat="false" ht="15" hidden="false" customHeight="false" outlineLevel="0" collapsed="false">
      <c r="A16800" s="0" t="s">
        <v>856</v>
      </c>
      <c r="B16800" s="0" t="s">
        <v>98</v>
      </c>
      <c r="D16800" s="6" t="n">
        <f aca="false">Sens!D16788+Sens!D16793+Sens!D16794+Sens!D16796+Sens!D16798</f>
        <v>218.783</v>
      </c>
      <c r="E16800" s="6" t="n">
        <f aca="false">Sens!E16788+Sens!E16793+Sens!E16794+Sens!E16796+Sens!E16798</f>
        <v>268.127</v>
      </c>
      <c r="F16800" s="6" t="n">
        <f aca="false">Sens!F16788+Sens!F16793+Sens!F16794+Sens!F16796+Sens!F16798</f>
        <v>334.748096014336</v>
      </c>
      <c r="G16800" s="6" t="n">
        <f aca="false">Sens!G16788+Sens!G16793+Sens!G16794+Sens!G16796+Sens!G16798</f>
        <v>410.20243494969</v>
      </c>
      <c r="H16800" s="6" t="n">
        <f aca="false">Sens!H16788+Sens!H16793+Sens!H16794+Sens!H16796+Sens!H16798</f>
        <v>487.012857962939</v>
      </c>
      <c r="I16800" s="6" t="n">
        <f aca="false">Sens!I16788+Sens!I16793+Sens!I16794+Sens!I16796+Sens!I16798</f>
        <v>556.962928978464</v>
      </c>
      <c r="J16800" s="6" t="n">
        <f aca="false">Sens!J16788+Sens!J16793+Sens!J16794+Sens!J16796+Sens!J16798</f>
        <v>613.402001017124</v>
      </c>
      <c r="K16800" s="6" t="n">
        <f aca="false">Sens!K16788+Sens!K16793+Sens!K16794+Sens!K16796+Sens!K16798</f>
        <v>657.837590767618</v>
      </c>
    </row>
    <row r="16801" customFormat="false" ht="17.15" hidden="false" customHeight="false" outlineLevel="0" collapsed="false">
      <c r="A16801" s="0" t="s">
        <v>1041</v>
      </c>
      <c r="B16801" s="0" t="s">
        <v>98</v>
      </c>
      <c r="D16801" s="6" t="n">
        <f aca="false">Q!L13</f>
        <v>22.171</v>
      </c>
      <c r="E16801" s="6" t="n">
        <f aca="false">Q!M13</f>
        <v>24.835</v>
      </c>
      <c r="F16801" s="6" t="n">
        <f aca="false">Q!$I$13+(Q!M13-Q!$E$13)*(1+Sens!F16802)</f>
        <v>27.5591895660247</v>
      </c>
      <c r="G16801" s="6" t="n">
        <f aca="false">Sens!F16801*(1+Sens!G16802)</f>
        <v>30.4098563144583</v>
      </c>
      <c r="H16801" s="6" t="n">
        <f aca="false">Sens!G16801*(1+Sens!H16802)</f>
        <v>33.3011792571777</v>
      </c>
      <c r="I16801" s="6" t="n">
        <f aca="false">Sens!H16801*(1+Sens!I16802)</f>
        <v>36.189023797112</v>
      </c>
      <c r="J16801" s="6" t="n">
        <f aca="false">Sens!I16801*(1+Sens!J16802)</f>
        <v>39.0247773769199</v>
      </c>
      <c r="K16801" s="6" t="n">
        <f aca="false">Sens!J16801*(1+Sens!K16802)</f>
        <v>41.7565117933043</v>
      </c>
      <c r="L16801" s="12" t="s">
        <v>1038</v>
      </c>
    </row>
    <row r="16802" customFormat="false" ht="15" hidden="false" customHeight="false" outlineLevel="0" collapsed="false">
      <c r="A16802" s="1" t="s">
        <v>1028</v>
      </c>
      <c r="B16802" s="0" t="s">
        <v>168</v>
      </c>
      <c r="E16802" s="7" t="n">
        <f aca="false">Sens!E16801/Sens!D16801-1</f>
        <v>0.120156961796942</v>
      </c>
      <c r="F16802" s="7" t="n">
        <f aca="false">Sens!$E$16802+(glt_srch-Sens!$E$16802)*MIN(1,(Sens!F16744-base_fy)/n_conv)</f>
        <v>0.111797468164118</v>
      </c>
      <c r="G16802" s="7" t="n">
        <f aca="false">Sens!$E$16802+(glt_srch-Sens!$E$16802)*MIN(1,(Sens!G16744-base_fy)/n_conv)</f>
        <v>0.103437974531295</v>
      </c>
      <c r="H16802" s="7" t="n">
        <f aca="false">Sens!$E$16802+(glt_srch-Sens!$E$16802)*MIN(1,(Sens!H16744-base_fy)/n_conv)</f>
        <v>0.095078480898471</v>
      </c>
      <c r="I16802" s="7" t="n">
        <f aca="false">Sens!$E$16802+(glt_srch-Sens!$E$16802)*MIN(1,(Sens!I16744-base_fy)/n_conv)</f>
        <v>0.0867189872656474</v>
      </c>
      <c r="J16802" s="7" t="n">
        <f aca="false">Sens!$E$16802+(glt_srch-Sens!$E$16802)*MIN(1,(Sens!J16744-base_fy)/n_conv)</f>
        <v>0.0783594936328237</v>
      </c>
      <c r="K16802" s="7" t="n">
        <f aca="false">Sens!$E$16802+(glt_srch-Sens!$E$16802)*MIN(1,(Sens!K16744-base_fy)/n_conv)</f>
        <v>0.07</v>
      </c>
    </row>
    <row r="16803" customFormat="false" ht="17.15" hidden="false" customHeight="false" outlineLevel="0" collapsed="false">
      <c r="A16803" s="0" t="s">
        <v>1042</v>
      </c>
      <c r="B16803" s="0" t="s">
        <v>98</v>
      </c>
      <c r="D16803" s="6" t="n">
        <f aca="false">Q!L14</f>
        <v>23.455</v>
      </c>
      <c r="E16803" s="6" t="n">
        <f aca="false">Q!M14</f>
        <v>21.79</v>
      </c>
      <c r="F16803" s="6" t="n">
        <f aca="false">Q!$I$14+(Q!M14-Q!$E$14)*(1+Sens!F16804)</f>
        <v>20.7520981041711</v>
      </c>
      <c r="G16803" s="6" t="n">
        <f aca="false">Sens!F16803*(1+Sens!G16804)</f>
        <v>19.9083593495882</v>
      </c>
      <c r="H16803" s="6" t="n">
        <f aca="false">Sens!G16803*(1+Sens!H16804)</f>
        <v>19.4008256265831</v>
      </c>
      <c r="I16803" s="6" t="n">
        <f aca="false">Sens!H16803*(1+Sens!I16804)</f>
        <v>19.200434522122</v>
      </c>
      <c r="J16803" s="6" t="n">
        <f aca="false">Sens!I16803*(1+Sens!J16804)</f>
        <v>19.2932782348507</v>
      </c>
      <c r="K16803" s="6" t="n">
        <f aca="false">Sens!J16803*(1+Sens!K16804)</f>
        <v>19.6791437995477</v>
      </c>
      <c r="L16803" s="12" t="s">
        <v>1038</v>
      </c>
    </row>
    <row r="16804" customFormat="false" ht="15" hidden="false" customHeight="false" outlineLevel="0" collapsed="false">
      <c r="A16804" s="1" t="s">
        <v>1028</v>
      </c>
      <c r="B16804" s="0" t="s">
        <v>168</v>
      </c>
      <c r="E16804" s="7" t="n">
        <f aca="false">Sens!E16803/Sens!D16803-1</f>
        <v>-0.0709869963760392</v>
      </c>
      <c r="F16804" s="7" t="n">
        <f aca="false">Sens!$E$16804+(glt_xbox-Sens!$E$16804)*MIN(1,(Sens!F16744-base_fy)/n_conv)</f>
        <v>-0.0558224969800327</v>
      </c>
      <c r="G16804" s="7" t="n">
        <f aca="false">Sens!$E$16804+(glt_xbox-Sens!$E$16804)*MIN(1,(Sens!G16744-base_fy)/n_conv)</f>
        <v>-0.0406579975840262</v>
      </c>
      <c r="H16804" s="7" t="n">
        <f aca="false">Sens!$E$16804+(glt_xbox-Sens!$E$16804)*MIN(1,(Sens!H16744-base_fy)/n_conv)</f>
        <v>-0.0254934981880196</v>
      </c>
      <c r="I16804" s="7" t="n">
        <f aca="false">Sens!$E$16804+(glt_xbox-Sens!$E$16804)*MIN(1,(Sens!I16744-base_fy)/n_conv)</f>
        <v>-0.0103289987920131</v>
      </c>
      <c r="J16804" s="7" t="n">
        <f aca="false">Sens!$E$16804+(glt_xbox-Sens!$E$16804)*MIN(1,(Sens!J16744-base_fy)/n_conv)</f>
        <v>0.00483550060399347</v>
      </c>
      <c r="K16804" s="7" t="n">
        <f aca="false">Sens!$E$16804+(glt_xbox-Sens!$E$16804)*MIN(1,(Sens!K16744-base_fy)/n_conv)</f>
        <v>0.02</v>
      </c>
    </row>
    <row r="16805" customFormat="false" ht="17.15" hidden="false" customHeight="false" outlineLevel="0" collapsed="false">
      <c r="A16805" s="0" t="s">
        <v>1043</v>
      </c>
      <c r="B16805" s="0" t="s">
        <v>98</v>
      </c>
      <c r="D16805" s="6" t="n">
        <f aca="false">Q!L15</f>
        <v>17.315</v>
      </c>
      <c r="E16805" s="6" t="n">
        <f aca="false">Q!M15</f>
        <v>17.087</v>
      </c>
      <c r="F16805" s="6" t="n">
        <f aca="false">Q!$I$15+(Q!M15-Q!$E$15)*(1+Sens!F16806)</f>
        <v>15.9912273250553</v>
      </c>
      <c r="G16805" s="6" t="n">
        <f aca="false">Sens!F16805*(1+Sens!G16806)</f>
        <v>15.9574562664827</v>
      </c>
      <c r="H16805" s="6" t="n">
        <f aca="false">Sens!G16805*(1+Sens!H16806)</f>
        <v>16.0119687434196</v>
      </c>
      <c r="I16805" s="6" t="n">
        <f aca="false">Sens!H16805*(1+Sens!I16806)</f>
        <v>16.1551810001948</v>
      </c>
      <c r="J16805" s="6" t="n">
        <f aca="false">Sens!I16805*(1+Sens!J16806)</f>
        <v>16.3889793892005</v>
      </c>
      <c r="K16805" s="6" t="n">
        <f aca="false">Sens!J16805*(1+Sens!K16806)</f>
        <v>16.7167589769845</v>
      </c>
      <c r="L16805" s="12" t="s">
        <v>1038</v>
      </c>
    </row>
    <row r="16806" customFormat="false" ht="15" hidden="false" customHeight="false" outlineLevel="0" collapsed="false">
      <c r="A16806" s="1" t="s">
        <v>1028</v>
      </c>
      <c r="B16806" s="0" t="s">
        <v>168</v>
      </c>
      <c r="E16806" s="7" t="n">
        <f aca="false">Sens!E16805/Sens!D16805-1</f>
        <v>-0.0131677736066995</v>
      </c>
      <c r="F16806" s="7" t="n">
        <f aca="false">Sens!$E$16806+(glt_win-Sens!$E$16806)*MIN(1,(Sens!F16744-base_fy)/n_conv)</f>
        <v>-0.00763981133891627</v>
      </c>
      <c r="G16806" s="7" t="n">
        <f aca="false">Sens!$E$16806+(glt_win-Sens!$E$16806)*MIN(1,(Sens!G16744-base_fy)/n_conv)</f>
        <v>-0.00211184907113301</v>
      </c>
      <c r="H16806" s="7" t="n">
        <f aca="false">Sens!$E$16806+(glt_win-Sens!$E$16806)*MIN(1,(Sens!H16744-base_fy)/n_conv)</f>
        <v>0.00341611319665024</v>
      </c>
      <c r="I16806" s="7" t="n">
        <f aca="false">Sens!$E$16806+(glt_win-Sens!$E$16806)*MIN(1,(Sens!I16744-base_fy)/n_conv)</f>
        <v>0.00894407546443349</v>
      </c>
      <c r="J16806" s="7" t="n">
        <f aca="false">Sens!$E$16806+(glt_win-Sens!$E$16806)*MIN(1,(Sens!J16744-base_fy)/n_conv)</f>
        <v>0.0144720377322168</v>
      </c>
      <c r="K16806" s="7" t="n">
        <f aca="false">Sens!$E$16806+(glt_win-Sens!$E$16806)*MIN(1,(Sens!K16744-base_fy)/n_conv)</f>
        <v>0.02</v>
      </c>
    </row>
    <row r="16807" customFormat="false" ht="15" hidden="false" customHeight="false" outlineLevel="0" collapsed="false">
      <c r="A16807" s="0" t="s">
        <v>870</v>
      </c>
      <c r="B16807" s="0" t="s">
        <v>98</v>
      </c>
      <c r="D16807" s="6" t="n">
        <f aca="false">Sens!D16801+Sens!D16803+Sens!D16805</f>
        <v>62.941</v>
      </c>
      <c r="E16807" s="6" t="n">
        <f aca="false">Sens!E16801+Sens!E16803+Sens!E16805</f>
        <v>63.712</v>
      </c>
      <c r="F16807" s="6" t="n">
        <f aca="false">Sens!F16801+Sens!F16803+Sens!F16805</f>
        <v>64.3025149952511</v>
      </c>
      <c r="G16807" s="6" t="n">
        <f aca="false">Sens!G16801+Sens!G16803+Sens!G16805</f>
        <v>66.2756719305292</v>
      </c>
      <c r="H16807" s="6" t="n">
        <f aca="false">Sens!H16801+Sens!H16803+Sens!H16805</f>
        <v>68.7139736271804</v>
      </c>
      <c r="I16807" s="6" t="n">
        <f aca="false">Sens!I16801+Sens!I16803+Sens!I16805</f>
        <v>71.5446393194289</v>
      </c>
      <c r="J16807" s="6" t="n">
        <f aca="false">Sens!J16801+Sens!J16803+Sens!J16805</f>
        <v>74.707035000971</v>
      </c>
      <c r="K16807" s="6" t="n">
        <f aca="false">Sens!K16801+Sens!K16803+Sens!K16805</f>
        <v>78.1524145698365</v>
      </c>
    </row>
    <row r="16808" customFormat="false" ht="15" hidden="false" customHeight="false" outlineLevel="0" collapsed="false">
      <c r="A16808" s="1" t="s">
        <v>1044</v>
      </c>
      <c r="B16808" s="0" t="s">
        <v>98</v>
      </c>
      <c r="D16808" s="6" t="n">
        <f aca="false">Sens!D16800+Sens!D16807</f>
        <v>281.724</v>
      </c>
      <c r="E16808" s="6" t="n">
        <f aca="false">Sens!E16800+Sens!E16807</f>
        <v>331.839</v>
      </c>
      <c r="F16808" s="6" t="n">
        <f aca="false">Sens!F16800+Sens!F16807</f>
        <v>399.050611009588</v>
      </c>
      <c r="G16808" s="6" t="n">
        <f aca="false">Sens!G16800+Sens!G16807</f>
        <v>476.478106880219</v>
      </c>
      <c r="H16808" s="6" t="n">
        <f aca="false">Sens!H16800+Sens!H16807</f>
        <v>555.72683159012</v>
      </c>
      <c r="I16808" s="6" t="n">
        <f aca="false">Sens!I16800+Sens!I16807</f>
        <v>628.507568297893</v>
      </c>
      <c r="J16808" s="6" t="n">
        <f aca="false">Sens!J16800+Sens!J16807</f>
        <v>688.109036018095</v>
      </c>
      <c r="K16808" s="6" t="n">
        <f aca="false">Sens!K16800+Sens!K16807</f>
        <v>735.990005337455</v>
      </c>
    </row>
    <row r="16809" customFormat="false" ht="15" hidden="false" customHeight="false" outlineLevel="0" collapsed="false">
      <c r="A16809" s="26" t="s">
        <v>1045</v>
      </c>
      <c r="B16809" s="31" t="s">
        <v>98</v>
      </c>
      <c r="C16809" s="31"/>
      <c r="D16809" s="27" t="n">
        <f aca="false">(Sens!D16788+Sens!D16793+Sens!D16794+Sens!D16796+Sens!D16798-Sens!D16800)+(Sens!D16801+Sens!D16803+Sens!D16805-Sens!D16807)+(Sens!D16800-Q!L5)+(Sens!D16807-Q!L12)+(Sens!D16788-Q!L6)+(Sens!D16793-Q!L7)</f>
        <v>0</v>
      </c>
      <c r="E16809" s="27" t="n">
        <f aca="false">(Sens!E16788+Sens!E16793+Sens!E16794+Sens!E16796+Sens!E16798-Sens!E16800)+(Sens!E16801+Sens!E16803+Sens!E16805-Sens!E16807)+(Sens!E16800-Q!M5)+(Sens!E16807-Q!M12)+(Sens!E16788-Q!M6)+(Sens!E16793-Q!M7)</f>
        <v>0</v>
      </c>
      <c r="F16809" s="27" t="n">
        <f aca="false">(Sens!F16788+Sens!F16793+Sens!F16794+Sens!F16796+Sens!F16798-Sens!F16800)+(Sens!F16801+Sens!F16803+Sens!F16805-Sens!F16807)</f>
        <v>0</v>
      </c>
      <c r="G16809" s="27" t="n">
        <f aca="false">(Sens!G16788+Sens!G16793+Sens!G16794+Sens!G16796+Sens!G16798-Sens!G16800)+(Sens!G16801+Sens!G16803+Sens!G16805-Sens!G16807)</f>
        <v>0</v>
      </c>
      <c r="H16809" s="27" t="n">
        <f aca="false">(Sens!H16788+Sens!H16793+Sens!H16794+Sens!H16796+Sens!H16798-Sens!H16800)+(Sens!H16801+Sens!H16803+Sens!H16805-Sens!H16807)</f>
        <v>0</v>
      </c>
      <c r="I16809" s="27" t="n">
        <f aca="false">(Sens!I16788+Sens!I16793+Sens!I16794+Sens!I16796+Sens!I16798-Sens!I16800)+(Sens!I16801+Sens!I16803+Sens!I16805-Sens!I16807)</f>
        <v>0</v>
      </c>
      <c r="J16809" s="27" t="n">
        <f aca="false">(Sens!J16788+Sens!J16793+Sens!J16794+Sens!J16796+Sens!J16798-Sens!J16800)+(Sens!J16801+Sens!J16803+Sens!J16805-Sens!J16807)</f>
        <v>0</v>
      </c>
      <c r="K16809" s="27" t="n">
        <f aca="false">(Sens!K16788+Sens!K16793+Sens!K16794+Sens!K16796+Sens!K16798-Sens!K16800)+(Sens!K16801+Sens!K16803+Sens!K16805-Sens!K16807)</f>
        <v>0</v>
      </c>
    </row>
    <row r="16810" customFormat="false" ht="17.15" hidden="false" customHeight="false" outlineLevel="0" collapsed="false">
      <c r="A16810" s="3" t="s">
        <v>2026</v>
      </c>
    </row>
    <row r="16811" customFormat="false" ht="15" hidden="false" customHeight="false" outlineLevel="0" collapsed="false">
      <c r="A16811" s="4" t="s">
        <v>43</v>
      </c>
      <c r="B16811" s="4" t="s">
        <v>65</v>
      </c>
      <c r="C16811" s="23" t="s">
        <v>942</v>
      </c>
      <c r="D16811" s="23" t="s">
        <v>943</v>
      </c>
      <c r="E16811" s="23" t="s">
        <v>944</v>
      </c>
      <c r="F16811" s="23" t="s">
        <v>945</v>
      </c>
      <c r="G16811" s="23" t="s">
        <v>946</v>
      </c>
      <c r="H16811" s="23" t="s">
        <v>947</v>
      </c>
      <c r="I16811" s="23" t="s">
        <v>948</v>
      </c>
      <c r="J16811" s="23" t="s">
        <v>949</v>
      </c>
      <c r="K16811" s="23" t="s">
        <v>950</v>
      </c>
      <c r="L16811" s="4" t="s">
        <v>47</v>
      </c>
    </row>
    <row r="16812" customFormat="false" ht="15" hidden="false" customHeight="false" outlineLevel="0" collapsed="false">
      <c r="A16812" s="0" t="s">
        <v>1029</v>
      </c>
      <c r="B16812" s="0" t="s">
        <v>98</v>
      </c>
      <c r="D16812" s="6" t="n">
        <f aca="false">Sens!D16788</f>
        <v>72.61</v>
      </c>
      <c r="E16812" s="6" t="n">
        <f aca="false">Sens!E16788</f>
        <v>101.938</v>
      </c>
      <c r="F16812" s="6" t="n">
        <f aca="false">Sens!F16788</f>
        <v>146.709048000181</v>
      </c>
      <c r="G16812" s="6" t="n">
        <f aca="false">Sens!G16788</f>
        <v>199.762829861393</v>
      </c>
      <c r="H16812" s="6" t="n">
        <f aca="false">Sens!H16788</f>
        <v>254.146566109645</v>
      </c>
      <c r="I16812" s="6" t="n">
        <f aca="false">Sens!I16788</f>
        <v>303.439446964617</v>
      </c>
      <c r="J16812" s="6" t="n">
        <f aca="false">Sens!J16788</f>
        <v>341.309898459739</v>
      </c>
      <c r="K16812" s="6" t="n">
        <f aca="false">Sens!K16788</f>
        <v>368.09747789654</v>
      </c>
    </row>
    <row r="16813" customFormat="false" ht="17.15" hidden="false" customHeight="false" outlineLevel="0" collapsed="false">
      <c r="A16813" s="0" t="s">
        <v>1025</v>
      </c>
      <c r="B16813" s="0" t="s">
        <v>98</v>
      </c>
      <c r="D16813" s="6" t="n">
        <f aca="false">Sens!D16785</f>
        <v>12.9359794422418</v>
      </c>
      <c r="E16813" s="6" t="n">
        <f aca="false">Sens!E16785</f>
        <v>27.8095064661409</v>
      </c>
      <c r="F16813" s="6" t="n">
        <f aca="false">Sens!F16785</f>
        <v>55.4118315060966</v>
      </c>
      <c r="G16813" s="6" t="n">
        <f aca="false">Sens!G16785</f>
        <v>91.2881100675143</v>
      </c>
      <c r="H16813" s="6" t="n">
        <f aca="false">Sens!H16785</f>
        <v>128.195273603944</v>
      </c>
      <c r="I16813" s="6" t="n">
        <f aca="false">Sens!I16785</f>
        <v>160.601281810405</v>
      </c>
      <c r="J16813" s="6" t="n">
        <f aca="false">Sens!J16785</f>
        <v>183.182719793589</v>
      </c>
      <c r="K16813" s="6" t="n">
        <f aca="false">Sens!K16785</f>
        <v>197.320124937098</v>
      </c>
    </row>
    <row r="16814" customFormat="false" ht="17.15" hidden="false" customHeight="false" outlineLevel="0" collapsed="false">
      <c r="A16814" s="0" t="s">
        <v>1056</v>
      </c>
      <c r="B16814" s="0" t="s">
        <v>98</v>
      </c>
      <c r="D16814" s="6" t="n">
        <f aca="false">Sens!D16786</f>
        <v>59.6740205577583</v>
      </c>
      <c r="E16814" s="6" t="n">
        <f aca="false">Sens!E16786</f>
        <v>74.1284935338591</v>
      </c>
      <c r="F16814" s="6" t="n">
        <f aca="false">Sens!F16786</f>
        <v>91.2972164940844</v>
      </c>
      <c r="G16814" s="6" t="n">
        <f aca="false">Sens!G16786</f>
        <v>108.474719793879</v>
      </c>
      <c r="H16814" s="6" t="n">
        <f aca="false">Sens!H16786</f>
        <v>125.951292505701</v>
      </c>
      <c r="I16814" s="6" t="n">
        <f aca="false">Sens!I16786</f>
        <v>142.838165154212</v>
      </c>
      <c r="J16814" s="6" t="n">
        <f aca="false">Sens!J16786</f>
        <v>158.12717866615</v>
      </c>
      <c r="K16814" s="6" t="n">
        <f aca="false">Sens!K16786</f>
        <v>170.777352959442</v>
      </c>
    </row>
    <row r="16815" customFormat="false" ht="15" hidden="false" customHeight="false" outlineLevel="0" collapsed="false">
      <c r="A16815" s="0" t="s">
        <v>1036</v>
      </c>
      <c r="B16815" s="0" t="s">
        <v>98</v>
      </c>
      <c r="D16815" s="6" t="n">
        <f aca="false">Sens!D16793</f>
        <v>84.605</v>
      </c>
      <c r="E16815" s="6" t="n">
        <f aca="false">Sens!E16793</f>
        <v>100.299</v>
      </c>
      <c r="F16815" s="6" t="n">
        <f aca="false">Sens!F16793</f>
        <v>118.584003697747</v>
      </c>
      <c r="G16815" s="6" t="n">
        <f aca="false">Sens!G16793</f>
        <v>136.700726545688</v>
      </c>
      <c r="H16815" s="6" t="n">
        <f aca="false">Sens!H16793</f>
        <v>154.898624783666</v>
      </c>
      <c r="I16815" s="6" t="n">
        <f aca="false">Sens!I16793</f>
        <v>171.420510030657</v>
      </c>
      <c r="J16815" s="6" t="n">
        <f aca="false">Sens!J16793</f>
        <v>185.985722618572</v>
      </c>
      <c r="K16815" s="6" t="n">
        <f aca="false">Sens!K16793</f>
        <v>199.799723201872</v>
      </c>
    </row>
    <row r="16816" customFormat="false" ht="17.15" hidden="false" customHeight="false" outlineLevel="0" collapsed="false">
      <c r="A16816" s="0" t="s">
        <v>1057</v>
      </c>
      <c r="B16816" s="0" t="s">
        <v>98</v>
      </c>
      <c r="D16816" s="6" t="n">
        <f aca="false">Sens!D16791</f>
        <v>83.705</v>
      </c>
      <c r="E16816" s="6" t="n">
        <f aca="false">Sens!E16791</f>
        <v>95.049</v>
      </c>
      <c r="F16816" s="6" t="n">
        <f aca="false">Sens!F16791</f>
        <v>106.584003697747</v>
      </c>
      <c r="G16816" s="6" t="n">
        <f aca="false">Sens!G16791</f>
        <v>118.700726545688</v>
      </c>
      <c r="H16816" s="6" t="n">
        <f aca="false">Sens!H16791</f>
        <v>130.898624783666</v>
      </c>
      <c r="I16816" s="6" t="n">
        <f aca="false">Sens!I16791</f>
        <v>142.920510030657</v>
      </c>
      <c r="J16816" s="6" t="n">
        <f aca="false">Sens!J16791</f>
        <v>154.485722618572</v>
      </c>
      <c r="K16816" s="6" t="n">
        <f aca="false">Sens!K16791</f>
        <v>165.299723201872</v>
      </c>
    </row>
    <row r="16817" customFormat="false" ht="17.15" hidden="false" customHeight="false" outlineLevel="0" collapsed="false">
      <c r="A16817" s="0" t="s">
        <v>1058</v>
      </c>
      <c r="B16817" s="0" t="s">
        <v>98</v>
      </c>
      <c r="D16817" s="6" t="n">
        <f aca="false">Sens!D16790</f>
        <v>0.9</v>
      </c>
      <c r="E16817" s="6" t="n">
        <f aca="false">Sens!E16790</f>
        <v>5.25</v>
      </c>
      <c r="F16817" s="6" t="n">
        <f aca="false">Sens!F16790</f>
        <v>12</v>
      </c>
      <c r="G16817" s="6" t="n">
        <f aca="false">Sens!G16790</f>
        <v>18</v>
      </c>
      <c r="H16817" s="6" t="n">
        <f aca="false">Sens!H16790</f>
        <v>24</v>
      </c>
      <c r="I16817" s="6" t="n">
        <f aca="false">Sens!I16790</f>
        <v>28.5</v>
      </c>
      <c r="J16817" s="6" t="n">
        <f aca="false">Sens!J16790</f>
        <v>31.5</v>
      </c>
      <c r="K16817" s="6" t="n">
        <f aca="false">Sens!K16790</f>
        <v>34.5</v>
      </c>
    </row>
    <row r="16818" customFormat="false" ht="15" hidden="false" customHeight="false" outlineLevel="0" collapsed="false">
      <c r="A16818" s="0" t="s">
        <v>1037</v>
      </c>
      <c r="B16818" s="0" t="s">
        <v>98</v>
      </c>
      <c r="D16818" s="6" t="n">
        <f aca="false">Sens!D16794</f>
        <v>35.391</v>
      </c>
      <c r="E16818" s="6" t="n">
        <f aca="false">Sens!E16794</f>
        <v>37.285</v>
      </c>
      <c r="F16818" s="6" t="n">
        <f aca="false">Sens!F16794</f>
        <v>38.3851437782675</v>
      </c>
      <c r="G16818" s="6" t="n">
        <f aca="false">Sens!G16794</f>
        <v>40.0105353288615</v>
      </c>
      <c r="H16818" s="6" t="n">
        <f aca="false">Sens!H16794</f>
        <v>41.4812512033683</v>
      </c>
      <c r="I16818" s="6" t="n">
        <f aca="false">Sens!I16794</f>
        <v>42.7743107216329</v>
      </c>
      <c r="J16818" s="6" t="n">
        <f aca="false">Sens!J16794</f>
        <v>43.8687373064601</v>
      </c>
      <c r="K16818" s="6" t="n">
        <f aca="false">Sens!K16794</f>
        <v>44.7461120525893</v>
      </c>
    </row>
    <row r="16819" customFormat="false" ht="15" hidden="false" customHeight="false" outlineLevel="0" collapsed="false">
      <c r="A16819" s="0" t="s">
        <v>1039</v>
      </c>
      <c r="B16819" s="0" t="s">
        <v>98</v>
      </c>
      <c r="D16819" s="6" t="n">
        <f aca="false">Sens!D16796</f>
        <v>18.417</v>
      </c>
      <c r="E16819" s="6" t="n">
        <f aca="false">Sens!E16796</f>
        <v>20.345</v>
      </c>
      <c r="F16819" s="6" t="n">
        <f aca="false">Sens!F16796</f>
        <v>22.3161797133988</v>
      </c>
      <c r="G16819" s="6" t="n">
        <f aca="false">Sens!G16796</f>
        <v>24.3943499673233</v>
      </c>
      <c r="H16819" s="6" t="n">
        <f aca="false">Sens!H16796</f>
        <v>26.5250243109019</v>
      </c>
      <c r="I16819" s="6" t="n">
        <f aca="false">Sens!I16796</f>
        <v>28.6884573538181</v>
      </c>
      <c r="J16819" s="6" t="n">
        <f aca="false">Sens!J16796</f>
        <v>30.8624968052127</v>
      </c>
      <c r="K16819" s="6" t="n">
        <f aca="false">Sens!K16796</f>
        <v>33.0228715815776</v>
      </c>
    </row>
    <row r="16820" customFormat="false" ht="15" hidden="false" customHeight="false" outlineLevel="0" collapsed="false">
      <c r="A16820" s="0" t="s">
        <v>1040</v>
      </c>
      <c r="B16820" s="0" t="s">
        <v>98</v>
      </c>
      <c r="D16820" s="6" t="n">
        <f aca="false">Sens!D16798</f>
        <v>7.76</v>
      </c>
      <c r="E16820" s="6" t="n">
        <f aca="false">Sens!E16798</f>
        <v>8.26</v>
      </c>
      <c r="F16820" s="6" t="n">
        <f aca="false">Sens!F16798</f>
        <v>8.75372082474227</v>
      </c>
      <c r="G16820" s="6" t="n">
        <f aca="false">Sens!G16798</f>
        <v>9.33399324642364</v>
      </c>
      <c r="H16820" s="6" t="n">
        <f aca="false">Sens!H16798</f>
        <v>9.96139155535851</v>
      </c>
      <c r="I16820" s="6" t="n">
        <f aca="false">Sens!I16798</f>
        <v>10.6402039077391</v>
      </c>
      <c r="J16820" s="6" t="n">
        <f aca="false">Sens!J16798</f>
        <v>11.3751458271397</v>
      </c>
      <c r="K16820" s="6" t="n">
        <f aca="false">Sens!K16798</f>
        <v>12.1714060350394</v>
      </c>
    </row>
    <row r="16821" customFormat="false" ht="15" hidden="false" customHeight="false" outlineLevel="0" collapsed="false">
      <c r="A16821" s="0" t="s">
        <v>856</v>
      </c>
      <c r="B16821" s="0" t="s">
        <v>98</v>
      </c>
      <c r="D16821" s="6" t="n">
        <f aca="false">Sens!D16800</f>
        <v>218.783</v>
      </c>
      <c r="E16821" s="6" t="n">
        <f aca="false">Sens!E16800</f>
        <v>268.127</v>
      </c>
      <c r="F16821" s="6" t="n">
        <f aca="false">Sens!F16800</f>
        <v>334.748096014336</v>
      </c>
      <c r="G16821" s="6" t="n">
        <f aca="false">Sens!G16800</f>
        <v>410.20243494969</v>
      </c>
      <c r="H16821" s="6" t="n">
        <f aca="false">Sens!H16800</f>
        <v>487.012857962939</v>
      </c>
      <c r="I16821" s="6" t="n">
        <f aca="false">Sens!I16800</f>
        <v>556.962928978464</v>
      </c>
      <c r="J16821" s="6" t="n">
        <f aca="false">Sens!J16800</f>
        <v>613.402001017124</v>
      </c>
      <c r="K16821" s="6" t="n">
        <f aca="false">Sens!K16800</f>
        <v>657.837590767618</v>
      </c>
    </row>
    <row r="16822" customFormat="false" ht="15" hidden="false" customHeight="false" outlineLevel="0" collapsed="false">
      <c r="A16822" s="0" t="s">
        <v>1041</v>
      </c>
      <c r="B16822" s="0" t="s">
        <v>98</v>
      </c>
      <c r="D16822" s="6" t="n">
        <f aca="false">Sens!D16801</f>
        <v>22.171</v>
      </c>
      <c r="E16822" s="6" t="n">
        <f aca="false">Sens!E16801</f>
        <v>24.835</v>
      </c>
      <c r="F16822" s="6" t="n">
        <f aca="false">Sens!F16801</f>
        <v>27.5591895660247</v>
      </c>
      <c r="G16822" s="6" t="n">
        <f aca="false">Sens!G16801</f>
        <v>30.4098563144583</v>
      </c>
      <c r="H16822" s="6" t="n">
        <f aca="false">Sens!H16801</f>
        <v>33.3011792571777</v>
      </c>
      <c r="I16822" s="6" t="n">
        <f aca="false">Sens!I16801</f>
        <v>36.189023797112</v>
      </c>
      <c r="J16822" s="6" t="n">
        <f aca="false">Sens!J16801</f>
        <v>39.0247773769199</v>
      </c>
      <c r="K16822" s="6" t="n">
        <f aca="false">Sens!K16801</f>
        <v>41.7565117933043</v>
      </c>
    </row>
    <row r="16823" customFormat="false" ht="15" hidden="false" customHeight="false" outlineLevel="0" collapsed="false">
      <c r="A16823" s="0" t="s">
        <v>1042</v>
      </c>
      <c r="B16823" s="0" t="s">
        <v>98</v>
      </c>
      <c r="D16823" s="6" t="n">
        <f aca="false">Sens!D16803</f>
        <v>23.455</v>
      </c>
      <c r="E16823" s="6" t="n">
        <f aca="false">Sens!E16803</f>
        <v>21.79</v>
      </c>
      <c r="F16823" s="6" t="n">
        <f aca="false">Sens!F16803</f>
        <v>20.7520981041711</v>
      </c>
      <c r="G16823" s="6" t="n">
        <f aca="false">Sens!G16803</f>
        <v>19.9083593495882</v>
      </c>
      <c r="H16823" s="6" t="n">
        <f aca="false">Sens!H16803</f>
        <v>19.4008256265831</v>
      </c>
      <c r="I16823" s="6" t="n">
        <f aca="false">Sens!I16803</f>
        <v>19.200434522122</v>
      </c>
      <c r="J16823" s="6" t="n">
        <f aca="false">Sens!J16803</f>
        <v>19.2932782348507</v>
      </c>
      <c r="K16823" s="6" t="n">
        <f aca="false">Sens!K16803</f>
        <v>19.6791437995477</v>
      </c>
    </row>
    <row r="16824" customFormat="false" ht="15" hidden="false" customHeight="false" outlineLevel="0" collapsed="false">
      <c r="A16824" s="0" t="s">
        <v>1043</v>
      </c>
      <c r="B16824" s="0" t="s">
        <v>98</v>
      </c>
      <c r="D16824" s="6" t="n">
        <f aca="false">Sens!D16805</f>
        <v>17.315</v>
      </c>
      <c r="E16824" s="6" t="n">
        <f aca="false">Sens!E16805</f>
        <v>17.087</v>
      </c>
      <c r="F16824" s="6" t="n">
        <f aca="false">Sens!F16805</f>
        <v>15.9912273250553</v>
      </c>
      <c r="G16824" s="6" t="n">
        <f aca="false">Sens!G16805</f>
        <v>15.9574562664827</v>
      </c>
      <c r="H16824" s="6" t="n">
        <f aca="false">Sens!H16805</f>
        <v>16.0119687434196</v>
      </c>
      <c r="I16824" s="6" t="n">
        <f aca="false">Sens!I16805</f>
        <v>16.1551810001948</v>
      </c>
      <c r="J16824" s="6" t="n">
        <f aca="false">Sens!J16805</f>
        <v>16.3889793892005</v>
      </c>
      <c r="K16824" s="6" t="n">
        <f aca="false">Sens!K16805</f>
        <v>16.7167589769845</v>
      </c>
    </row>
    <row r="16825" customFormat="false" ht="15" hidden="false" customHeight="false" outlineLevel="0" collapsed="false">
      <c r="A16825" s="0" t="s">
        <v>870</v>
      </c>
      <c r="B16825" s="0" t="s">
        <v>98</v>
      </c>
      <c r="D16825" s="6" t="n">
        <f aca="false">Sens!D16807</f>
        <v>62.941</v>
      </c>
      <c r="E16825" s="6" t="n">
        <f aca="false">Sens!E16807</f>
        <v>63.712</v>
      </c>
      <c r="F16825" s="6" t="n">
        <f aca="false">Sens!F16807</f>
        <v>64.3025149952511</v>
      </c>
      <c r="G16825" s="6" t="n">
        <f aca="false">Sens!G16807</f>
        <v>66.2756719305292</v>
      </c>
      <c r="H16825" s="6" t="n">
        <f aca="false">Sens!H16807</f>
        <v>68.7139736271804</v>
      </c>
      <c r="I16825" s="6" t="n">
        <f aca="false">Sens!I16807</f>
        <v>71.5446393194289</v>
      </c>
      <c r="J16825" s="6" t="n">
        <f aca="false">Sens!J16807</f>
        <v>74.707035000971</v>
      </c>
      <c r="K16825" s="6" t="n">
        <f aca="false">Sens!K16807</f>
        <v>78.1524145698365</v>
      </c>
    </row>
    <row r="16826" customFormat="false" ht="15" hidden="false" customHeight="false" outlineLevel="0" collapsed="false">
      <c r="A16826" s="1" t="s">
        <v>1059</v>
      </c>
      <c r="B16826" s="0" t="s">
        <v>98</v>
      </c>
      <c r="D16826" s="6" t="n">
        <f aca="false">Sens!D16808</f>
        <v>281.724</v>
      </c>
      <c r="E16826" s="6" t="n">
        <f aca="false">Sens!E16808</f>
        <v>331.839</v>
      </c>
      <c r="F16826" s="6" t="n">
        <f aca="false">Sens!F16808</f>
        <v>399.050611009588</v>
      </c>
      <c r="G16826" s="6" t="n">
        <f aca="false">Sens!G16808</f>
        <v>476.478106880219</v>
      </c>
      <c r="H16826" s="6" t="n">
        <f aca="false">Sens!H16808</f>
        <v>555.72683159012</v>
      </c>
      <c r="I16826" s="6" t="n">
        <f aca="false">Sens!I16808</f>
        <v>628.507568297893</v>
      </c>
      <c r="J16826" s="6" t="n">
        <f aca="false">Sens!J16808</f>
        <v>688.109036018095</v>
      </c>
      <c r="K16826" s="6" t="n">
        <f aca="false">Sens!K16808</f>
        <v>735.990005337455</v>
      </c>
    </row>
    <row r="16827" customFormat="false" ht="15" hidden="false" customHeight="false" outlineLevel="0" collapsed="false">
      <c r="A16827" s="1" t="s">
        <v>1060</v>
      </c>
      <c r="B16827" s="0" t="s">
        <v>168</v>
      </c>
      <c r="E16827" s="7" t="n">
        <f aca="false">Sens!E16826/Sens!D16826-1</f>
        <v>0.177886867998467</v>
      </c>
      <c r="F16827" s="7" t="n">
        <f aca="false">Sens!F16826/Sens!E16826-1</f>
        <v>0.202542832547071</v>
      </c>
      <c r="G16827" s="7" t="n">
        <f aca="false">Sens!G16826/Sens!F16826-1</f>
        <v>0.194029262791359</v>
      </c>
      <c r="H16827" s="7" t="n">
        <f aca="false">Sens!H16826/Sens!G16826-1</f>
        <v>0.166321859421387</v>
      </c>
      <c r="I16827" s="7" t="n">
        <f aca="false">Sens!I16826/Sens!H16826-1</f>
        <v>0.13096494999085</v>
      </c>
      <c r="J16827" s="7" t="n">
        <f aca="false">Sens!J16826/Sens!I16826-1</f>
        <v>0.0948301511811749</v>
      </c>
      <c r="K16827" s="7" t="n">
        <f aca="false">Sens!K16826/Sens!J16826-1</f>
        <v>0.0695834043924704</v>
      </c>
    </row>
    <row r="16828" customFormat="false" ht="17.15" hidden="false" customHeight="false" outlineLevel="0" collapsed="false">
      <c r="A16828" s="26" t="s">
        <v>1061</v>
      </c>
      <c r="B16828" s="31" t="s">
        <v>98</v>
      </c>
      <c r="C16828" s="31"/>
      <c r="D16828" s="27" t="n">
        <f aca="false">(Sens!D16821+Sens!D16825-Sens!D16826)+(Sens!D16813+Sens!D16814-Sens!D16812)+(Sens!D16816+Sens!D16817-Sens!D16815)+(Sens!D16826-Q!L18)</f>
        <v>0</v>
      </c>
      <c r="E16828" s="27" t="n">
        <f aca="false">(Sens!E16821+Sens!E16825-Sens!E16826)+(Sens!E16813+Sens!E16814-Sens!E16812)+(Sens!E16816+Sens!E16817-Sens!E16815)+(Sens!E16826-Q!M18)</f>
        <v>0</v>
      </c>
      <c r="F16828" s="27" t="n">
        <f aca="false">(Sens!F16821+Sens!F16825-Sens!F16826)+(Sens!F16813+Sens!F16814-Sens!F16812)+(Sens!F16816+Sens!F16817-Sens!F16815)</f>
        <v>0</v>
      </c>
      <c r="G16828" s="27" t="n">
        <f aca="false">(Sens!G16821+Sens!G16825-Sens!G16826)+(Sens!G16813+Sens!G16814-Sens!G16812)+(Sens!G16816+Sens!G16817-Sens!G16815)</f>
        <v>0</v>
      </c>
      <c r="H16828" s="27" t="n">
        <f aca="false">(Sens!H16821+Sens!H16825-Sens!H16826)+(Sens!H16813+Sens!H16814-Sens!H16812)+(Sens!H16816+Sens!H16817-Sens!H16815)</f>
        <v>0</v>
      </c>
      <c r="I16828" s="27" t="n">
        <f aca="false">(Sens!I16821+Sens!I16825-Sens!I16826)+(Sens!I16813+Sens!I16814-Sens!I16812)+(Sens!I16816+Sens!I16817-Sens!I16815)</f>
        <v>0</v>
      </c>
      <c r="J16828" s="27" t="n">
        <f aca="false">(Sens!J16821+Sens!J16825-Sens!J16826)+(Sens!J16813+Sens!J16814-Sens!J16812)+(Sens!J16816+Sens!J16817-Sens!J16815)</f>
        <v>0</v>
      </c>
      <c r="K16828" s="27" t="n">
        <f aca="false">(Sens!K16821+Sens!K16825-Sens!K16826)+(Sens!K16813+Sens!K16814-Sens!K16812)+(Sens!K16816+Sens!K16817-Sens!K16815)</f>
        <v>0</v>
      </c>
    </row>
    <row r="16829" customFormat="false" ht="17.15" hidden="false" customHeight="false" outlineLevel="0" collapsed="false">
      <c r="A16829" s="0" t="s">
        <v>1062</v>
      </c>
      <c r="B16829" s="0" t="s">
        <v>168</v>
      </c>
      <c r="E16829" s="7" t="n">
        <f aca="false">(Q!M21+Sens!E16765+Sens!E16766+Sens!E16767+Sens!E16781-Sens!E16763)/(Q!M5-Sens!E16763)</f>
        <v>0.570957350878296</v>
      </c>
      <c r="F16829" s="7" t="n">
        <f aca="false">Sens!$E$16829+dm_seg</f>
        <v>0.570957350878296</v>
      </c>
      <c r="G16829" s="7" t="n">
        <f aca="false">Sens!$E$16829+dm_seg</f>
        <v>0.570957350878296</v>
      </c>
      <c r="H16829" s="7" t="n">
        <f aca="false">Sens!$E$16829+dm_seg</f>
        <v>0.570957350878296</v>
      </c>
      <c r="I16829" s="7" t="n">
        <f aca="false">Sens!$E$16829+dm_seg</f>
        <v>0.570957350878296</v>
      </c>
      <c r="J16829" s="7" t="n">
        <f aca="false">Sens!$E$16829+dm_seg</f>
        <v>0.570957350878296</v>
      </c>
      <c r="K16829" s="7" t="n">
        <f aca="false">Sens!$E$16829+dm_seg</f>
        <v>0.570957350878296</v>
      </c>
      <c r="L16829" s="12" t="s">
        <v>1063</v>
      </c>
    </row>
    <row r="16830" customFormat="false" ht="17.15" hidden="false" customHeight="false" outlineLevel="0" collapsed="false">
      <c r="A16830" s="0" t="s">
        <v>884</v>
      </c>
      <c r="B16830" s="0" t="s">
        <v>98</v>
      </c>
      <c r="D16830" s="6" t="n">
        <f aca="false">Q!L21</f>
        <v>110.814</v>
      </c>
      <c r="E16830" s="6" t="n">
        <f aca="false">Q!M21</f>
        <v>136.365</v>
      </c>
      <c r="F16830" s="6" t="n">
        <f aca="false">Q!$I$21+(Sens!F16829*(Sens!F16800-Sens!F16763)+Sens!F16763-(Sens!F16765+Sens!F16766+Sens!F16767)-Sens!F16781-Sens!F16864)*(Sens!F16800-Q!$I$5)/Sens!F16800</f>
        <v>162.089887157538</v>
      </c>
      <c r="G16830" s="6" t="n">
        <f aca="false">(Sens!G16829*(Sens!G16800-Sens!G16763)+Sens!G16763-(Sens!G16765+Sens!G16766+Sens!G16767)-Sens!G16781-Sens!G16864)</f>
        <v>177.568903205394</v>
      </c>
      <c r="H16830" s="6" t="n">
        <f aca="false">(Sens!H16829*(Sens!H16800-Sens!H16763)+Sens!H16763-(Sens!H16765+Sens!H16766+Sens!H16767)-Sens!H16781-Sens!H16864)</f>
        <v>196.763686018119</v>
      </c>
      <c r="I16830" s="6" t="n">
        <f aca="false">(Sens!I16829*(Sens!I16800-Sens!I16763)+Sens!I16763-(Sens!I16765+Sens!I16766+Sens!I16767)-Sens!I16781-Sens!I16864)</f>
        <v>214.975583154087</v>
      </c>
      <c r="J16830" s="6" t="n">
        <f aca="false">(Sens!J16829*(Sens!J16800-Sens!J16763)+Sens!J16763-(Sens!J16765+Sens!J16766+Sens!J16767)-Sens!J16781-Sens!J16864)</f>
        <v>231.957076519688</v>
      </c>
      <c r="K16830" s="6" t="n">
        <f aca="false">(Sens!K16829*(Sens!K16800-Sens!K16763)+Sens!K16763-(Sens!K16765+Sens!K16766+Sens!K16767)-Sens!K16781-Sens!K16864)</f>
        <v>248.339746289158</v>
      </c>
      <c r="L16830" s="1" t="s">
        <v>1064</v>
      </c>
    </row>
    <row r="16831" customFormat="false" ht="17.15" hidden="false" customHeight="false" outlineLevel="0" collapsed="false">
      <c r="A16831" s="0" t="s">
        <v>1065</v>
      </c>
      <c r="B16831" s="0" t="s">
        <v>168</v>
      </c>
      <c r="E16831" s="7" t="n">
        <f aca="false">Q!M22/Q!M12</f>
        <v>0.296207935710698</v>
      </c>
      <c r="F16831" s="7" t="n">
        <f aca="false">Sens!$E$16831+dm_seg</f>
        <v>0.296207935710698</v>
      </c>
      <c r="G16831" s="7" t="n">
        <f aca="false">Sens!$E$16831+dm_seg</f>
        <v>0.296207935710698</v>
      </c>
      <c r="H16831" s="7" t="n">
        <f aca="false">Sens!$E$16831+dm_seg</f>
        <v>0.296207935710698</v>
      </c>
      <c r="I16831" s="7" t="n">
        <f aca="false">Sens!$E$16831+dm_seg</f>
        <v>0.296207935710698</v>
      </c>
      <c r="J16831" s="7" t="n">
        <f aca="false">Sens!$E$16831+dm_seg</f>
        <v>0.296207935710698</v>
      </c>
      <c r="K16831" s="7" t="n">
        <f aca="false">Sens!$E$16831+dm_seg</f>
        <v>0.296207935710698</v>
      </c>
      <c r="L16831" s="12" t="s">
        <v>1066</v>
      </c>
    </row>
    <row r="16832" customFormat="false" ht="17.15" hidden="false" customHeight="false" outlineLevel="0" collapsed="false">
      <c r="A16832" s="0" t="s">
        <v>886</v>
      </c>
      <c r="B16832" s="0" t="s">
        <v>98</v>
      </c>
      <c r="D16832" s="6" t="n">
        <f aca="false">Q!L22</f>
        <v>17.714</v>
      </c>
      <c r="E16832" s="6" t="n">
        <f aca="false">Q!M22</f>
        <v>18.872</v>
      </c>
      <c r="F16832" s="6" t="n">
        <f aca="false">Q!$I$22+(Sens!F16807-Q!$I$12)*Sens!F16831</f>
        <v>19.8174315512051</v>
      </c>
      <c r="G16832" s="6" t="n">
        <f aca="false">Sens!G16807*Sens!G16831</f>
        <v>19.6313799703815</v>
      </c>
      <c r="H16832" s="6" t="n">
        <f aca="false">Sens!H16807*Sens!H16831</f>
        <v>20.3536242825865</v>
      </c>
      <c r="I16832" s="6" t="n">
        <f aca="false">Sens!I16807*Sens!I16831</f>
        <v>21.1920899239745</v>
      </c>
      <c r="J16832" s="6" t="n">
        <f aca="false">Sens!J16807*Sens!J16831</f>
        <v>22.1288166207045</v>
      </c>
      <c r="K16832" s="6" t="n">
        <f aca="false">Sens!K16807*Sens!K16831</f>
        <v>23.1493653905379</v>
      </c>
      <c r="L16832" s="12" t="s">
        <v>1067</v>
      </c>
    </row>
    <row r="16833" customFormat="false" ht="15" hidden="false" customHeight="false" outlineLevel="0" collapsed="false">
      <c r="A16833" s="1" t="s">
        <v>1068</v>
      </c>
      <c r="B16833" s="0" t="s">
        <v>98</v>
      </c>
      <c r="D16833" s="6" t="n">
        <f aca="false">Sens!D16830+Sens!D16832</f>
        <v>128.528</v>
      </c>
      <c r="E16833" s="6" t="n">
        <f aca="false">Sens!E16830+Sens!E16832</f>
        <v>155.237</v>
      </c>
      <c r="F16833" s="6" t="n">
        <f aca="false">Sens!F16830+Sens!F16832</f>
        <v>181.907318708743</v>
      </c>
      <c r="G16833" s="6" t="n">
        <f aca="false">Sens!G16830+Sens!G16832</f>
        <v>197.200283175776</v>
      </c>
      <c r="H16833" s="6" t="n">
        <f aca="false">Sens!H16830+Sens!H16832</f>
        <v>217.117310300706</v>
      </c>
      <c r="I16833" s="6" t="n">
        <f aca="false">Sens!I16830+Sens!I16832</f>
        <v>236.167673078062</v>
      </c>
      <c r="J16833" s="6" t="n">
        <f aca="false">Sens!J16830+Sens!J16832</f>
        <v>254.085893140393</v>
      </c>
      <c r="K16833" s="6" t="n">
        <f aca="false">Sens!K16830+Sens!K16832</f>
        <v>271.489111679696</v>
      </c>
    </row>
    <row r="16834" customFormat="false" ht="15" hidden="false" customHeight="false" outlineLevel="0" collapsed="false">
      <c r="A16834" s="26" t="s">
        <v>1069</v>
      </c>
      <c r="B16834" s="31" t="s">
        <v>98</v>
      </c>
      <c r="C16834" s="31"/>
      <c r="D16834" s="27" t="n">
        <f aca="false">Sens!D16833-Q!L23</f>
        <v>0</v>
      </c>
      <c r="E16834" s="27" t="n">
        <f aca="false">Sens!E16833-Q!M23</f>
        <v>0</v>
      </c>
      <c r="F16834" s="31"/>
      <c r="G16834" s="31"/>
      <c r="H16834" s="31"/>
      <c r="I16834" s="31"/>
      <c r="J16834" s="31"/>
      <c r="K16834" s="31"/>
    </row>
    <row r="16835" customFormat="false" ht="15" hidden="false" customHeight="false" outlineLevel="0" collapsed="false">
      <c r="A16835" s="1" t="s">
        <v>1070</v>
      </c>
      <c r="B16835" s="0" t="s">
        <v>168</v>
      </c>
      <c r="D16835" s="7" t="n">
        <f aca="false">Sens!D16833/Sens!D16826</f>
        <v>0.456219562408598</v>
      </c>
      <c r="E16835" s="7" t="n">
        <f aca="false">Sens!E16833/Sens!E16826</f>
        <v>0.467808184089272</v>
      </c>
      <c r="F16835" s="7" t="n">
        <f aca="false">Sens!F16833/Sens!F16826</f>
        <v>0.455850244781037</v>
      </c>
      <c r="G16835" s="7" t="n">
        <f aca="false">Sens!G16833/Sens!G16826</f>
        <v>0.41387060670418</v>
      </c>
      <c r="H16835" s="7" t="n">
        <f aca="false">Sens!H16833/Sens!H16826</f>
        <v>0.390690709821335</v>
      </c>
      <c r="I16835" s="7" t="n">
        <f aca="false">Sens!I16833/Sens!I16826</f>
        <v>0.375759473696784</v>
      </c>
      <c r="J16835" s="7" t="n">
        <f aca="false">Sens!J16833/Sens!J16826</f>
        <v>0.369252371122345</v>
      </c>
      <c r="K16835" s="7" t="n">
        <f aca="false">Sens!K16833/Sens!K16826</f>
        <v>0.368876084880008</v>
      </c>
    </row>
    <row r="16836" customFormat="false" ht="17.15" hidden="false" customHeight="false" outlineLevel="0" collapsed="false">
      <c r="A16836" s="1" t="s">
        <v>1071</v>
      </c>
      <c r="B16836" s="0" t="s">
        <v>98</v>
      </c>
      <c r="F16836" s="6" t="n">
        <f aca="false">Sens!F16851</f>
        <v>4.73227043167332</v>
      </c>
      <c r="G16836" s="6" t="n">
        <f aca="false">Sens!G16851</f>
        <v>20.0947842931317</v>
      </c>
      <c r="H16836" s="6" t="n">
        <f aca="false">Sens!H16851</f>
        <v>36.981714439492</v>
      </c>
      <c r="I16836" s="6" t="n">
        <f aca="false">Sens!I16851</f>
        <v>52.3124633477239</v>
      </c>
      <c r="J16836" s="6" t="n">
        <f aca="false">Sens!J16851</f>
        <v>63.0190683975349</v>
      </c>
      <c r="K16836" s="6" t="n">
        <f aca="false">Sens!K16851</f>
        <v>68.798488671223</v>
      </c>
      <c r="L16836" s="1" t="s">
        <v>1072</v>
      </c>
    </row>
    <row r="16837" customFormat="false" ht="17.15" hidden="false" customHeight="false" outlineLevel="0" collapsed="false">
      <c r="A16837" s="1" t="s">
        <v>1073</v>
      </c>
      <c r="B16837" s="0" t="s">
        <v>98</v>
      </c>
      <c r="D16837" s="6" t="n">
        <f aca="false">Sens!D16833</f>
        <v>128.528</v>
      </c>
      <c r="E16837" s="6" t="n">
        <f aca="false">Sens!E16833</f>
        <v>155.237</v>
      </c>
      <c r="F16837" s="6" t="n">
        <f aca="false">Sens!F16833+Sens!F16836</f>
        <v>186.639589140416</v>
      </c>
      <c r="G16837" s="6" t="n">
        <f aca="false">Sens!G16833+Sens!G16836</f>
        <v>217.295067468907</v>
      </c>
      <c r="H16837" s="6" t="n">
        <f aca="false">Sens!H16833+Sens!H16836</f>
        <v>254.099024740198</v>
      </c>
      <c r="I16837" s="6" t="n">
        <f aca="false">Sens!I16833+Sens!I16836</f>
        <v>288.480136425786</v>
      </c>
      <c r="J16837" s="6" t="n">
        <f aca="false">Sens!J16833+Sens!J16836</f>
        <v>317.104961537928</v>
      </c>
      <c r="K16837" s="6" t="n">
        <f aca="false">Sens!K16833+Sens!K16836</f>
        <v>340.287600350919</v>
      </c>
    </row>
    <row r="16838" customFormat="false" ht="17.15" hidden="false" customHeight="false" outlineLevel="0" collapsed="false">
      <c r="A16838" s="1" t="s">
        <v>1074</v>
      </c>
      <c r="B16838" s="0" t="s">
        <v>98</v>
      </c>
      <c r="E16838" s="6" t="n">
        <f aca="false">Sens!E16781</f>
        <v>16.3054059770833</v>
      </c>
      <c r="F16838" s="6" t="n">
        <f aca="false">Sens!F16781</f>
        <v>34.5793144783516</v>
      </c>
      <c r="G16838" s="6" t="n">
        <f aca="false">Sens!G16781</f>
        <v>60.7344906522989</v>
      </c>
      <c r="H16838" s="6" t="n">
        <f aca="false">Sens!H16781</f>
        <v>89.1000906614457</v>
      </c>
      <c r="I16838" s="6" t="n">
        <f aca="false">Sens!I16781</f>
        <v>114.231009694548</v>
      </c>
      <c r="J16838" s="6" t="n">
        <f aca="false">Sens!J16781</f>
        <v>132.015673049596</v>
      </c>
      <c r="K16838" s="6" t="n">
        <f aca="false">Sens!K16781</f>
        <v>143.012669550934</v>
      </c>
    </row>
    <row r="16839" customFormat="false" ht="17.15" hidden="false" customHeight="false" outlineLevel="0" collapsed="false">
      <c r="A16839" s="1" t="s">
        <v>1075</v>
      </c>
      <c r="B16839" s="0" t="s">
        <v>98</v>
      </c>
      <c r="E16839" s="6" t="n">
        <f aca="false">Sens!E16863</f>
        <v>22.2285940229167</v>
      </c>
      <c r="F16839" s="6" t="n">
        <f aca="false">Sens!F16863</f>
        <v>23.580344216413</v>
      </c>
      <c r="G16839" s="6" t="n">
        <f aca="false">Sens!G16863</f>
        <v>25.3583505401965</v>
      </c>
      <c r="H16839" s="6" t="n">
        <f aca="false">Sens!H16863</f>
        <v>27.528569983033</v>
      </c>
      <c r="I16839" s="6" t="n">
        <f aca="false">Sens!I16863</f>
        <v>30.0244523528154</v>
      </c>
      <c r="J16839" s="6" t="n">
        <f aca="false">Sens!J16863</f>
        <v>32.7625785967048</v>
      </c>
      <c r="K16839" s="6" t="n">
        <f aca="false">Sens!K16863</f>
        <v>35.6585684431062</v>
      </c>
    </row>
    <row r="16840" customFormat="false" ht="17.15" hidden="false" customHeight="false" outlineLevel="0" collapsed="false">
      <c r="A16840" s="1" t="s">
        <v>1076</v>
      </c>
      <c r="B16840" s="0" t="s">
        <v>98</v>
      </c>
      <c r="D16840" s="6" t="n">
        <f aca="false">Q!L27</f>
        <v>-4.901</v>
      </c>
      <c r="E16840" s="6" t="n">
        <f aca="false">Q!M27</f>
        <v>10.697</v>
      </c>
      <c r="F16840" s="6" t="n">
        <f aca="false">Q!$I$27+oie_f*(q_per_yr-1)/q_per_yr</f>
        <v>-0.862</v>
      </c>
      <c r="G16840" s="6" t="n">
        <f aca="false">oie_f</f>
        <v>-1.2</v>
      </c>
      <c r="H16840" s="6" t="n">
        <f aca="false">oie_f</f>
        <v>-1.2</v>
      </c>
      <c r="I16840" s="6" t="n">
        <f aca="false">oie_f</f>
        <v>-1.2</v>
      </c>
      <c r="J16840" s="6" t="n">
        <f aca="false">oie_f</f>
        <v>-1.2</v>
      </c>
      <c r="K16840" s="6" t="n">
        <f aca="false">oie_f</f>
        <v>-1.2</v>
      </c>
      <c r="L16840" s="12" t="s">
        <v>1077</v>
      </c>
    </row>
    <row r="16841" customFormat="false" ht="15" hidden="false" customHeight="false" outlineLevel="0" collapsed="false">
      <c r="A16841" s="1" t="s">
        <v>1078</v>
      </c>
      <c r="B16841" s="0" t="s">
        <v>98</v>
      </c>
      <c r="D16841" s="6" t="n">
        <f aca="false">Sens!D16833+Sens!D16840</f>
        <v>123.627</v>
      </c>
      <c r="E16841" s="6" t="n">
        <f aca="false">Sens!E16833+Sens!E16840</f>
        <v>165.934</v>
      </c>
      <c r="F16841" s="6" t="n">
        <f aca="false">Sens!F16833+Sens!F16840</f>
        <v>181.045318708743</v>
      </c>
      <c r="G16841" s="6" t="n">
        <f aca="false">Sens!G16833+Sens!G16840</f>
        <v>196.000283175776</v>
      </c>
      <c r="H16841" s="6" t="n">
        <f aca="false">Sens!H16833+Sens!H16840</f>
        <v>215.917310300706</v>
      </c>
      <c r="I16841" s="6" t="n">
        <f aca="false">Sens!I16833+Sens!I16840</f>
        <v>234.967673078062</v>
      </c>
      <c r="J16841" s="6" t="n">
        <f aca="false">Sens!J16833+Sens!J16840</f>
        <v>252.885893140393</v>
      </c>
      <c r="K16841" s="6" t="n">
        <f aca="false">Sens!K16833+Sens!K16840</f>
        <v>270.289111679696</v>
      </c>
    </row>
    <row r="16842" customFormat="false" ht="15" hidden="false" customHeight="false" outlineLevel="0" collapsed="false">
      <c r="A16842" s="1" t="s">
        <v>1079</v>
      </c>
      <c r="B16842" s="0" t="s">
        <v>98</v>
      </c>
      <c r="D16842" s="6" t="n">
        <f aca="false">Q!L29</f>
        <v>21.795</v>
      </c>
      <c r="E16842" s="6" t="n">
        <f aca="false">Q!M29</f>
        <v>32.185</v>
      </c>
      <c r="F16842" s="6" t="n">
        <f aca="false">Q!$I$29+(Sens!F16841-Q!$I$28)*tax_f</f>
        <v>36.3424637417486</v>
      </c>
      <c r="G16842" s="6" t="n">
        <f aca="false">Sens!G16841*tax_f</f>
        <v>39.2000566351551</v>
      </c>
      <c r="H16842" s="6" t="n">
        <f aca="false">Sens!H16841*tax_f</f>
        <v>43.1834620601411</v>
      </c>
      <c r="I16842" s="6" t="n">
        <f aca="false">Sens!I16841*tax_f</f>
        <v>46.9935346156123</v>
      </c>
      <c r="J16842" s="6" t="n">
        <f aca="false">Sens!J16841*tax_f</f>
        <v>50.5771786280786</v>
      </c>
      <c r="K16842" s="6" t="n">
        <f aca="false">Sens!K16841*tax_f</f>
        <v>54.0578223359393</v>
      </c>
    </row>
    <row r="16843" customFormat="false" ht="15" hidden="false" customHeight="false" outlineLevel="0" collapsed="false">
      <c r="A16843" s="1" t="s">
        <v>1080</v>
      </c>
      <c r="B16843" s="0" t="s">
        <v>98</v>
      </c>
      <c r="D16843" s="6" t="n">
        <f aca="false">Sens!D16841-Sens!D16842</f>
        <v>101.832</v>
      </c>
      <c r="E16843" s="6" t="n">
        <f aca="false">Sens!E16841-Sens!E16842</f>
        <v>133.749</v>
      </c>
      <c r="F16843" s="6" t="n">
        <f aca="false">Sens!F16841-Sens!F16842</f>
        <v>144.702854966994</v>
      </c>
      <c r="G16843" s="6" t="n">
        <f aca="false">Sens!G16841-Sens!G16842</f>
        <v>156.80022654062</v>
      </c>
      <c r="H16843" s="6" t="n">
        <f aca="false">Sens!H16841-Sens!H16842</f>
        <v>172.733848240564</v>
      </c>
      <c r="I16843" s="6" t="n">
        <f aca="false">Sens!I16841-Sens!I16842</f>
        <v>187.974138462449</v>
      </c>
      <c r="J16843" s="6" t="n">
        <f aca="false">Sens!J16841-Sens!J16842</f>
        <v>202.308714512314</v>
      </c>
      <c r="K16843" s="6" t="n">
        <f aca="false">Sens!K16841-Sens!K16842</f>
        <v>216.231289343757</v>
      </c>
    </row>
    <row r="16844" customFormat="false" ht="17.15" hidden="false" customHeight="false" outlineLevel="0" collapsed="false">
      <c r="A16844" s="1" t="s">
        <v>1081</v>
      </c>
      <c r="B16844" s="1" t="s">
        <v>81</v>
      </c>
      <c r="D16844" s="15" t="n">
        <f aca="false">Q!L31</f>
        <v>7.465</v>
      </c>
      <c r="E16844" s="15" t="n">
        <f aca="false">Q!M31</f>
        <v>7.453</v>
      </c>
      <c r="F16844" s="15" t="n">
        <f aca="false">Sens!F16888</f>
        <v>7.47325460584037</v>
      </c>
      <c r="G16844" s="15" t="n">
        <f aca="false">Sens!G16888</f>
        <v>7.51800921168074</v>
      </c>
      <c r="H16844" s="15" t="n">
        <f aca="false">Sens!H16888</f>
        <v>7.54570915070954</v>
      </c>
      <c r="I16844" s="15" t="n">
        <f aca="false">Sens!I16888</f>
        <v>7.55739051476501</v>
      </c>
      <c r="J16844" s="15" t="n">
        <f aca="false">Sens!J16888</f>
        <v>7.57153992592748</v>
      </c>
      <c r="K16844" s="15" t="n">
        <f aca="false">Sens!K16888</f>
        <v>7.58797456589273</v>
      </c>
    </row>
    <row r="16845" customFormat="false" ht="17.15" hidden="false" customHeight="false" outlineLevel="0" collapsed="false">
      <c r="A16845" s="0" t="s">
        <v>1082</v>
      </c>
      <c r="B16845" s="0" t="s">
        <v>75</v>
      </c>
      <c r="D16845" s="8" t="n">
        <f aca="false">Sens!D16843/Sens!D16844</f>
        <v>13.641259209645</v>
      </c>
      <c r="E16845" s="8" t="n">
        <f aca="false">Sens!E16843/Sens!E16844</f>
        <v>17.9456594659869</v>
      </c>
      <c r="F16845" s="8" t="n">
        <f aca="false">Sens!F16843/Sens!F16844</f>
        <v>19.3627626247216</v>
      </c>
      <c r="G16845" s="8" t="n">
        <f aca="false">Sens!G16843/Sens!G16844</f>
        <v>20.8566153785765</v>
      </c>
      <c r="H16845" s="8" t="n">
        <f aca="false">Sens!H16843/Sens!H16844</f>
        <v>22.8916652882548</v>
      </c>
      <c r="I16845" s="8" t="n">
        <f aca="false">Sens!I16843/Sens!I16844</f>
        <v>24.8728894047755</v>
      </c>
      <c r="J16845" s="8" t="n">
        <f aca="false">Sens!J16843/Sens!J16844</f>
        <v>26.7196259270246</v>
      </c>
      <c r="K16845" s="8" t="n">
        <f aca="false">Sens!K16843/Sens!K16844</f>
        <v>28.496575399145</v>
      </c>
      <c r="L16845" s="1" t="s">
        <v>1083</v>
      </c>
    </row>
    <row r="16846" customFormat="false" ht="17.15" hidden="false" customHeight="false" outlineLevel="0" collapsed="false">
      <c r="A16846" s="1" t="s">
        <v>1084</v>
      </c>
      <c r="B16846" s="0" t="s">
        <v>98</v>
      </c>
      <c r="D16846" s="6" t="n">
        <f aca="false">Sens!D16843</f>
        <v>101.832</v>
      </c>
      <c r="E16846" s="6" t="n">
        <f aca="false">Sens!E16843</f>
        <v>133.749</v>
      </c>
      <c r="F16846" s="6" t="n">
        <f aca="false">Sens!F16843+Sens!F16836*(1-tax_f)</f>
        <v>148.488671312333</v>
      </c>
      <c r="G16846" s="6" t="n">
        <f aca="false">Sens!G16843+Sens!G16836*(1-tax_f)</f>
        <v>172.876053975126</v>
      </c>
      <c r="H16846" s="6" t="n">
        <f aca="false">Sens!H16843+Sens!H16836*(1-tax_f)</f>
        <v>202.319219792158</v>
      </c>
      <c r="I16846" s="6" t="n">
        <f aca="false">Sens!I16843+Sens!I16836*(1-tax_f)</f>
        <v>229.824109140628</v>
      </c>
      <c r="J16846" s="6" t="n">
        <f aca="false">Sens!J16843+Sens!J16836*(1-tax_f)</f>
        <v>252.723969230342</v>
      </c>
      <c r="K16846" s="6" t="n">
        <f aca="false">Sens!K16843+Sens!K16836*(1-tax_f)</f>
        <v>271.270080280735</v>
      </c>
    </row>
    <row r="16847" customFormat="false" ht="17.15" hidden="false" customHeight="false" outlineLevel="0" collapsed="false">
      <c r="A16847" s="0" t="s">
        <v>1085</v>
      </c>
      <c r="B16847" s="0" t="s">
        <v>75</v>
      </c>
      <c r="D16847" s="8" t="n">
        <f aca="false">Sens!D16846/Sens!D16844</f>
        <v>13.641259209645</v>
      </c>
      <c r="E16847" s="8" t="n">
        <f aca="false">Sens!E16846/Sens!E16844</f>
        <v>17.9456594659869</v>
      </c>
      <c r="F16847" s="8" t="n">
        <f aca="false">Sens!F16846/Sens!F16844</f>
        <v>19.8693446355071</v>
      </c>
      <c r="G16847" s="8" t="n">
        <f aca="false">Sens!G16846/Sens!G16844</f>
        <v>22.9949244683723</v>
      </c>
      <c r="H16847" s="8" t="n">
        <f aca="false">Sens!H16846/Sens!H16844</f>
        <v>26.8124858447709</v>
      </c>
      <c r="I16847" s="8" t="n">
        <f aca="false">Sens!I16846/Sens!I16844</f>
        <v>30.4105112328941</v>
      </c>
      <c r="J16847" s="8" t="n">
        <f aca="false">Sens!J16846/Sens!J16844</f>
        <v>33.3781465465078</v>
      </c>
      <c r="K16847" s="8" t="n">
        <f aca="false">Sens!K16846/Sens!K16844</f>
        <v>35.7499986228302</v>
      </c>
      <c r="L16847" s="1" t="s">
        <v>1086</v>
      </c>
    </row>
    <row r="16848" customFormat="false" ht="17.15" hidden="false" customHeight="false" outlineLevel="0" collapsed="false">
      <c r="A16848" s="0" t="s">
        <v>1087</v>
      </c>
      <c r="B16848" s="0" t="s">
        <v>168</v>
      </c>
      <c r="E16848" s="7" t="n">
        <f aca="false">Sens!E16847/Sens!D16847-1</f>
        <v>0.315542736208578</v>
      </c>
      <c r="F16848" s="7" t="n">
        <f aca="false">Sens!F16847/Sens!E16847-1</f>
        <v>0.107195011315482</v>
      </c>
      <c r="G16848" s="7" t="n">
        <f aca="false">Sens!G16847/Sens!F16847-1</f>
        <v>0.157306639459044</v>
      </c>
      <c r="H16848" s="7" t="n">
        <f aca="false">Sens!H16847/Sens!G16847-1</f>
        <v>0.166017565382717</v>
      </c>
      <c r="I16848" s="7" t="n">
        <f aca="false">Sens!I16847/Sens!H16847-1</f>
        <v>0.134192159912127</v>
      </c>
      <c r="J16848" s="7" t="n">
        <f aca="false">Sens!J16847/Sens!I16847-1</f>
        <v>0.097585840990523</v>
      </c>
      <c r="K16848" s="7" t="n">
        <f aca="false">Sens!K16847/Sens!J16847-1</f>
        <v>0.0710600294422437</v>
      </c>
    </row>
    <row r="16849" customFormat="false" ht="17.15" hidden="false" customHeight="false" outlineLevel="0" collapsed="false">
      <c r="A16849" s="0" t="s">
        <v>1007</v>
      </c>
      <c r="B16849" s="0" t="s">
        <v>98</v>
      </c>
      <c r="E16849" s="6" t="n">
        <f aca="false">Sens!E16790</f>
        <v>5.25</v>
      </c>
      <c r="F16849" s="6" t="n">
        <f aca="false">Sens!F16790</f>
        <v>12</v>
      </c>
      <c r="G16849" s="6" t="n">
        <f aca="false">Sens!G16790</f>
        <v>18</v>
      </c>
      <c r="H16849" s="6" t="n">
        <f aca="false">Sens!H16790</f>
        <v>24</v>
      </c>
      <c r="I16849" s="6" t="n">
        <f aca="false">Sens!I16790</f>
        <v>28.5</v>
      </c>
      <c r="J16849" s="6" t="n">
        <f aca="false">Sens!J16790</f>
        <v>31.5</v>
      </c>
      <c r="K16849" s="6" t="n">
        <f aca="false">Sens!K16790</f>
        <v>34.5</v>
      </c>
    </row>
    <row r="16850" customFormat="false" ht="17.15" hidden="false" customHeight="false" outlineLevel="0" collapsed="false">
      <c r="A16850" s="1" t="s">
        <v>1008</v>
      </c>
      <c r="B16850" s="0" t="s">
        <v>98</v>
      </c>
      <c r="F16850" s="6" t="n">
        <f aca="false">MAX(0,((Sens!E16750+Sens!F16750)/2-(0*(Sens!$D$16750+Sens!$E$16750)/2+(1-0)*Sens!$E$16750))*Sens!F16759/1000-(Sens!F16849-Sens!$E$16849)*Sens!F16829)</f>
        <v>4.73227043167332</v>
      </c>
      <c r="G16850" s="6" t="n">
        <f aca="false">MAX(0,((Sens!F16750+Sens!G16750)/2-(0*(Sens!$D$16750+Sens!$E$16750)/2+(1-0)*Sens!$E$16750))*Sens!G16759/1000-(Sens!G16849-Sens!$E$16849)*Sens!G16829)</f>
        <v>20.0947842931317</v>
      </c>
      <c r="H16850" s="6" t="n">
        <f aca="false">MAX(0,((Sens!G16750+Sens!H16750)/2-(0*(Sens!$D$16750+Sens!$E$16750)/2+(1-0)*Sens!$E$16750))*Sens!H16759/1000-(Sens!H16849-Sens!$E$16849)*Sens!H16829)</f>
        <v>36.981714439492</v>
      </c>
      <c r="I16850" s="6" t="n">
        <f aca="false">MAX(0,((Sens!H16750+Sens!I16750)/2-(0*(Sens!$D$16750+Sens!$E$16750)/2+(1-0)*Sens!$E$16750))*Sens!I16759/1000-(Sens!I16849-Sens!$E$16849)*Sens!I16829)</f>
        <v>52.3124633477239</v>
      </c>
      <c r="J16850" s="6" t="n">
        <f aca="false">MAX(0,((Sens!I16750+Sens!J16750)/2-(0*(Sens!$D$16750+Sens!$E$16750)/2+(1-0)*Sens!$E$16750))*Sens!J16759/1000-(Sens!J16849-Sens!$E$16849)*Sens!J16829)</f>
        <v>63.0190683975349</v>
      </c>
      <c r="K16850" s="6" t="n">
        <f aca="false">MAX(0,((Sens!J16750+Sens!K16750)/2-(0*(Sens!$D$16750+Sens!$E$16750)/2+(1-0)*Sens!$E$16750))*Sens!K16759/1000-(Sens!K16849-Sens!$E$16849)*Sens!K16829)</f>
        <v>68.798488671223</v>
      </c>
      <c r="L16850" s="1" t="s">
        <v>1009</v>
      </c>
    </row>
    <row r="16851" customFormat="false" ht="17.15" hidden="false" customHeight="false" outlineLevel="0" collapsed="false">
      <c r="A16851" s="1" t="s">
        <v>1010</v>
      </c>
      <c r="B16851" s="0" t="s">
        <v>98</v>
      </c>
      <c r="F16851" s="6" t="n">
        <f aca="false">IF(internal_ai_reading=2,1,0)*Sens!F16850</f>
        <v>4.73227043167332</v>
      </c>
      <c r="G16851" s="6" t="n">
        <f aca="false">IF(internal_ai_reading=2,1,0)*Sens!G16850</f>
        <v>20.0947842931317</v>
      </c>
      <c r="H16851" s="6" t="n">
        <f aca="false">IF(internal_ai_reading=2,1,0)*Sens!H16850</f>
        <v>36.981714439492</v>
      </c>
      <c r="I16851" s="6" t="n">
        <f aca="false">IF(internal_ai_reading=2,1,0)*Sens!I16850</f>
        <v>52.3124633477239</v>
      </c>
      <c r="J16851" s="6" t="n">
        <f aca="false">IF(internal_ai_reading=2,1,0)*Sens!J16850</f>
        <v>63.0190683975349</v>
      </c>
      <c r="K16851" s="6" t="n">
        <f aca="false">IF(internal_ai_reading=2,1,0)*Sens!K16850</f>
        <v>68.798488671223</v>
      </c>
    </row>
    <row r="16852" customFormat="false" ht="17.15" hidden="false" customHeight="false" outlineLevel="0" collapsed="false">
      <c r="A16852" s="0" t="s">
        <v>1011</v>
      </c>
      <c r="B16852" s="0" t="s">
        <v>98</v>
      </c>
      <c r="F16852" s="6" t="n">
        <f aca="false">Sens!F16769+Sens!F16849*Sens!F16829+Sens!F16851-Sens!F16770-Sens!F16781</f>
        <v>9.80771041627061</v>
      </c>
      <c r="G16852" s="6" t="n">
        <f aca="false">Sens!G16769+Sens!G16849*Sens!G16829+Sens!G16851-Sens!G16770-Sens!G16781</f>
        <v>25.854443473747</v>
      </c>
      <c r="H16852" s="6" t="n">
        <f aca="false">Sens!H16769+Sens!H16849*Sens!H16829+Sens!H16851-Sens!H16770-Sens!H16781</f>
        <v>42.5788410406799</v>
      </c>
      <c r="I16852" s="6" t="n">
        <f aca="false">Sens!I16769+Sens!I16849*Sens!I16829+Sens!I16851-Sens!I16770-Sens!I16781</f>
        <v>57.2547363635457</v>
      </c>
      <c r="J16852" s="6" t="n">
        <f aca="false">Sens!J16769+Sens!J16849*Sens!J16829+Sens!J16851-Sens!J16770-Sens!J16781</f>
        <v>67.3244416424182</v>
      </c>
      <c r="K16852" s="6" t="n">
        <f aca="false">Sens!K16769+Sens!K16849*Sens!K16829+Sens!K16851-Sens!K16770-Sens!K16781</f>
        <v>73.9004323909168</v>
      </c>
    </row>
    <row r="16853" customFormat="false" ht="17.15" hidden="false" customHeight="false" outlineLevel="0" collapsed="false">
      <c r="A16853" s="0" t="s">
        <v>1012</v>
      </c>
      <c r="B16853" s="0" t="s">
        <v>98</v>
      </c>
      <c r="E16853" s="6" t="n">
        <f aca="false">Sens!E16749*(cxit_open+self_build*tk_cxfac)/1000*ai_net_open</f>
        <v>126.6980382</v>
      </c>
      <c r="F16853" s="6" t="n">
        <f aca="false">Sens!E16853+Sens!F16778-Sens!F16781</f>
        <v>260.572627763768</v>
      </c>
      <c r="G16853" s="6" t="n">
        <f aca="false">Sens!F16853+Sens!G16778-Sens!G16781</f>
        <v>391.782612760517</v>
      </c>
      <c r="H16853" s="6" t="n">
        <f aca="false">Sens!G16853+Sens!H16778-Sens!H16781</f>
        <v>499.488526163584</v>
      </c>
      <c r="I16853" s="6" t="n">
        <f aca="false">Sens!H16853+Sens!I16778-Sens!I16781</f>
        <v>553.872350090646</v>
      </c>
      <c r="J16853" s="6" t="n">
        <f aca="false">Sens!I16853+Sens!J16778-Sens!J16781</f>
        <v>550.78660823699</v>
      </c>
      <c r="K16853" s="6" t="n">
        <f aca="false">Sens!J16853+Sens!K16778-Sens!K16781</f>
        <v>526.736791750789</v>
      </c>
      <c r="L16853" s="1" t="s">
        <v>1013</v>
      </c>
    </row>
    <row r="16854" customFormat="false" ht="17.15" hidden="false" customHeight="false" outlineLevel="0" collapsed="false">
      <c r="A16854" s="0" t="s">
        <v>1014</v>
      </c>
      <c r="B16854" s="0" t="s">
        <v>168</v>
      </c>
      <c r="F16854" s="7" t="n">
        <f aca="false">Sens!F16852*(1-tax_f)/((Sens!E16853+Sens!F16853)/2)</f>
        <v>0.0405203338264229</v>
      </c>
      <c r="G16854" s="7" t="n">
        <f aca="false">Sens!G16852*(1-tax_f)/((Sens!F16853+Sens!G16853)/2)</f>
        <v>0.063411937221121</v>
      </c>
      <c r="H16854" s="7" t="n">
        <f aca="false">Sens!H16852*(1-tax_f)/((Sens!G16853+Sens!H16853)/2)</f>
        <v>0.0764370601603081</v>
      </c>
      <c r="I16854" s="7" t="n">
        <f aca="false">Sens!I16852*(1-tax_f)/((Sens!H16853+Sens!I16853)/2)</f>
        <v>0.0869669457512333</v>
      </c>
      <c r="J16854" s="7" t="n">
        <f aca="false">Sens!J16852*(1-tax_f)/((Sens!I16853+Sens!J16853)/2)</f>
        <v>0.0975134504779169</v>
      </c>
      <c r="K16854" s="7" t="n">
        <f aca="false">Sens!K16852*(1-tax_f)/((Sens!J16853+Sens!K16853)/2)</f>
        <v>0.109733757825406</v>
      </c>
    </row>
    <row r="16855" customFormat="false" ht="17.15" hidden="false" customHeight="false" outlineLevel="0" collapsed="false">
      <c r="A16855" s="1" t="s">
        <v>1015</v>
      </c>
      <c r="B16855" s="0" t="s">
        <v>168</v>
      </c>
      <c r="F16855" s="7" t="n">
        <f aca="false">(Sens!F16852-Sens!F16851)*(1-tax_f)/((Sens!E16853+Sens!F16853)/2)</f>
        <v>0.0209690655375262</v>
      </c>
      <c r="G16855" s="7" t="n">
        <f aca="false">(Sens!G16852-Sens!G16851)*(1-tax_f)/((Sens!F16853+Sens!G16853)/2)</f>
        <v>0.014126436206105</v>
      </c>
      <c r="H16855" s="7" t="n">
        <f aca="false">(Sens!H16852-Sens!H16851)*(1-tax_f)/((Sens!G16853+Sens!H16853)/2)</f>
        <v>0.010047899197893</v>
      </c>
      <c r="I16855" s="7" t="n">
        <f aca="false">(Sens!I16852-Sens!I16851)*(1-tax_f)/((Sens!H16853+Sens!I16853)/2)</f>
        <v>0.00750705385359906</v>
      </c>
      <c r="J16855" s="7" t="n">
        <f aca="false">(Sens!J16852-Sens!J16851)*(1-tax_f)/((Sens!I16853+Sens!J16853)/2)</f>
        <v>0.0062359492401547</v>
      </c>
      <c r="K16855" s="7" t="n">
        <f aca="false">(Sens!K16852-Sens!K16851)*(1-tax_f)/((Sens!J16853+Sens!K16853)/2)</f>
        <v>0.00757580758951756</v>
      </c>
    </row>
    <row r="16856" customFormat="false" ht="17.15" hidden="false" customHeight="false" outlineLevel="0" collapsed="false">
      <c r="A16856" s="1" t="s">
        <v>1016</v>
      </c>
      <c r="B16856" s="0" t="s">
        <v>168</v>
      </c>
      <c r="F16856" s="7" t="n">
        <f aca="false">(Sens!F16852-Sens!F16851+Sens!F16850)*(1-tax_f)/((Sens!E16853+Sens!F16853)/2)</f>
        <v>0.0405203338264229</v>
      </c>
      <c r="G16856" s="7" t="n">
        <f aca="false">(Sens!G16852-Sens!G16851+Sens!G16850)*(1-tax_f)/((Sens!F16853+Sens!G16853)/2)</f>
        <v>0.063411937221121</v>
      </c>
      <c r="H16856" s="7" t="n">
        <f aca="false">(Sens!H16852-Sens!H16851+Sens!H16850)*(1-tax_f)/((Sens!G16853+Sens!H16853)/2)</f>
        <v>0.0764370601603081</v>
      </c>
      <c r="I16856" s="7" t="n">
        <f aca="false">(Sens!I16852-Sens!I16851+Sens!I16850)*(1-tax_f)/((Sens!H16853+Sens!I16853)/2)</f>
        <v>0.0869669457512333</v>
      </c>
      <c r="J16856" s="7" t="n">
        <f aca="false">(Sens!J16852-Sens!J16851+Sens!J16850)*(1-tax_f)/((Sens!I16853+Sens!J16853)/2)</f>
        <v>0.0975134504779169</v>
      </c>
      <c r="K16856" s="7" t="n">
        <f aca="false">(Sens!K16852-Sens!K16851+Sens!K16850)*(1-tax_f)/((Sens!J16853+Sens!K16853)/2)</f>
        <v>0.109733757825406</v>
      </c>
    </row>
    <row r="16857" customFormat="false" ht="17.15" hidden="false" customHeight="false" outlineLevel="0" collapsed="false">
      <c r="A16857" s="1" t="s">
        <v>1017</v>
      </c>
      <c r="B16857" s="0" t="s">
        <v>168</v>
      </c>
      <c r="F16857" s="7" t="n">
        <f aca="false">Sens!F16782*(1-tax_f)/(Sens!F16768*(Sens!E16853+Sens!F16853)/2)</f>
        <v>0.129294830495493</v>
      </c>
      <c r="G16857" s="7" t="n">
        <f aca="false">Sens!G16782*(1-tax_f)/(Sens!G16768*(Sens!F16853+Sens!G16853)/2)</f>
        <v>0.12719599062164</v>
      </c>
      <c r="H16857" s="7" t="n">
        <f aca="false">Sens!H16782*(1-tax_f)/(Sens!H16768*(Sens!G16853+Sens!H16853)/2)</f>
        <v>0.130828167067624</v>
      </c>
      <c r="I16857" s="7" t="n">
        <f aca="false">Sens!I16782*(1-tax_f)/(Sens!I16768*(Sens!H16853+Sens!I16853)/2)</f>
        <v>0.138614526937417</v>
      </c>
      <c r="J16857" s="7" t="n">
        <f aca="false">Sens!J16782*(1-tax_f)/(Sens!J16768*(Sens!I16853+Sens!J16853)/2)</f>
        <v>0.150578919010924</v>
      </c>
      <c r="K16857" s="7" t="n">
        <f aca="false">Sens!K16782*(1-tax_f)/(Sens!K16768*(Sens!J16853+Sens!K16853)/2)</f>
        <v>0.167005345886664</v>
      </c>
    </row>
    <row r="16858" customFormat="false" ht="17.15" hidden="false" customHeight="false" outlineLevel="0" collapsed="false">
      <c r="A16858" s="0" t="s">
        <v>1018</v>
      </c>
      <c r="B16858" s="0" t="s">
        <v>253</v>
      </c>
      <c r="F16858" s="7" t="n">
        <f aca="false">Sens!F16854-wacc</f>
        <v>-0.0624162571191744</v>
      </c>
      <c r="G16858" s="7" t="n">
        <f aca="false">Sens!G16854-wacc</f>
        <v>-0.0395246537244763</v>
      </c>
      <c r="H16858" s="7" t="n">
        <f aca="false">Sens!H16854-wacc</f>
        <v>-0.0264995307852892</v>
      </c>
      <c r="I16858" s="7" t="n">
        <f aca="false">Sens!I16854-wacc</f>
        <v>-0.015969645194364</v>
      </c>
      <c r="J16858" s="7" t="n">
        <f aca="false">Sens!J16854-wacc</f>
        <v>-0.00542314046768037</v>
      </c>
      <c r="K16858" s="7" t="n">
        <f aca="false">Sens!K16854-wacc</f>
        <v>0.00679716687980864</v>
      </c>
    </row>
    <row r="16859" customFormat="false" ht="17.15" hidden="false" customHeight="false" outlineLevel="0" collapsed="false">
      <c r="A16859" s="0" t="s">
        <v>1019</v>
      </c>
      <c r="B16859" s="0" t="s">
        <v>98</v>
      </c>
      <c r="F16859" s="6" t="n">
        <f aca="false">Sens!F16852*(1-tax_f)-wacc*(Sens!E16853+Sens!F16853)/2</f>
        <v>-12.0859927307542</v>
      </c>
      <c r="G16859" s="6" t="n">
        <f aca="false">Sens!G16852*(1-tax_f)-wacc*(Sens!F16853+Sens!G16853)/2</f>
        <v>-12.8920574935349</v>
      </c>
      <c r="H16859" s="6" t="n">
        <f aca="false">Sens!H16852*(1-tax_f)-wacc*(Sens!G16853+Sens!H16853)/2</f>
        <v>-11.8091334919795</v>
      </c>
      <c r="I16859" s="6" t="n">
        <f aca="false">Sens!I16852*(1-tax_f)-wacc*(Sens!H16853+Sens!I16853)/2</f>
        <v>-8.41089972770222</v>
      </c>
      <c r="J16859" s="6" t="n">
        <f aca="false">Sens!J16852*(1-tax_f)-wacc*(Sens!I16853+Sens!J16853)/2</f>
        <v>-2.99536034994613</v>
      </c>
      <c r="K16859" s="6" t="n">
        <f aca="false">Sens!K16852*(1-tax_f)-wacc*(Sens!J16853+Sens!K16853)/2</f>
        <v>3.66205318330786</v>
      </c>
    </row>
    <row r="16860" customFormat="false" ht="17.15" hidden="false" customHeight="false" outlineLevel="0" collapsed="false">
      <c r="A16860" s="3" t="s">
        <v>2027</v>
      </c>
    </row>
    <row r="16861" customFormat="false" ht="15" hidden="false" customHeight="false" outlineLevel="0" collapsed="false">
      <c r="A16861" s="4" t="s">
        <v>43</v>
      </c>
      <c r="B16861" s="4" t="s">
        <v>65</v>
      </c>
      <c r="C16861" s="23" t="s">
        <v>942</v>
      </c>
      <c r="D16861" s="23" t="s">
        <v>943</v>
      </c>
      <c r="E16861" s="23" t="s">
        <v>944</v>
      </c>
      <c r="F16861" s="23" t="s">
        <v>945</v>
      </c>
      <c r="G16861" s="23" t="s">
        <v>946</v>
      </c>
      <c r="H16861" s="23" t="s">
        <v>947</v>
      </c>
      <c r="I16861" s="23" t="s">
        <v>948</v>
      </c>
      <c r="J16861" s="23" t="s">
        <v>949</v>
      </c>
      <c r="K16861" s="23" t="s">
        <v>950</v>
      </c>
      <c r="L16861" s="4" t="s">
        <v>47</v>
      </c>
    </row>
    <row r="16862" customFormat="false" ht="15" hidden="false" customHeight="false" outlineLevel="0" collapsed="false">
      <c r="A16862" s="1" t="s">
        <v>1080</v>
      </c>
      <c r="B16862" s="0" t="s">
        <v>98</v>
      </c>
      <c r="F16862" s="6" t="n">
        <f aca="false">Sens!F16843</f>
        <v>144.702854966994</v>
      </c>
      <c r="G16862" s="6" t="n">
        <f aca="false">Sens!G16843</f>
        <v>156.80022654062</v>
      </c>
      <c r="H16862" s="6" t="n">
        <f aca="false">Sens!H16843</f>
        <v>172.733848240564</v>
      </c>
      <c r="I16862" s="6" t="n">
        <f aca="false">Sens!I16843</f>
        <v>187.974138462449</v>
      </c>
      <c r="J16862" s="6" t="n">
        <f aca="false">Sens!J16843</f>
        <v>202.308714512314</v>
      </c>
      <c r="K16862" s="6" t="n">
        <f aca="false">Sens!K16843</f>
        <v>216.231289343757</v>
      </c>
    </row>
    <row r="16863" customFormat="false" ht="17.15" hidden="false" customHeight="false" outlineLevel="0" collapsed="false">
      <c r="A16863" s="1" t="s">
        <v>1102</v>
      </c>
      <c r="B16863" s="0" t="s">
        <v>98</v>
      </c>
      <c r="E16863" s="6" t="n">
        <f aca="false">Q!M38-Sens!E16781</f>
        <v>22.2285940229167</v>
      </c>
      <c r="F16863" s="6" t="n">
        <f aca="false">Sens!E16863*(1-1/life_nonai)+(Sens!F16871+Sens!F16872)/life_nonai</f>
        <v>23.580344216413</v>
      </c>
      <c r="G16863" s="6" t="n">
        <f aca="false">Sens!F16863*(1-1/life_nonai)+(Sens!G16871)/life_nonai</f>
        <v>25.3583505401965</v>
      </c>
      <c r="H16863" s="6" t="n">
        <f aca="false">Sens!G16863*(1-1/life_nonai)+(Sens!H16871)/life_nonai</f>
        <v>27.528569983033</v>
      </c>
      <c r="I16863" s="6" t="n">
        <f aca="false">Sens!H16863*(1-1/life_nonai)+(Sens!I16871)/life_nonai</f>
        <v>30.0244523528154</v>
      </c>
      <c r="J16863" s="6" t="n">
        <f aca="false">Sens!I16863*(1-1/life_nonai)+(Sens!J16871)/life_nonai</f>
        <v>32.7625785967048</v>
      </c>
      <c r="K16863" s="6" t="n">
        <f aca="false">Sens!J16863*(1-1/life_nonai)+(Sens!K16871)/life_nonai</f>
        <v>35.6585684431062</v>
      </c>
      <c r="L16863" s="12" t="s">
        <v>1103</v>
      </c>
    </row>
    <row r="16864" customFormat="false" ht="17.15" hidden="false" customHeight="false" outlineLevel="0" collapsed="false">
      <c r="A16864" s="1" t="s">
        <v>1104</v>
      </c>
      <c r="B16864" s="0" t="s">
        <v>98</v>
      </c>
      <c r="F16864" s="6" t="n">
        <f aca="false">Sens!$F$16872/life_nonai*(1-1/life_nonai)^(Sens!F16744-2027)</f>
        <v>1.94586576753864E-006</v>
      </c>
      <c r="G16864" s="6" t="n">
        <f aca="false">Sens!$F$16872/life_nonai*(1-1/life_nonai)^(Sens!G16744-2027)</f>
        <v>1.75127919078477E-006</v>
      </c>
      <c r="H16864" s="6" t="n">
        <f aca="false">Sens!$F$16872/life_nonai*(1-1/life_nonai)^(Sens!H16744-2027)</f>
        <v>1.57615127170629E-006</v>
      </c>
      <c r="I16864" s="6" t="n">
        <f aca="false">Sens!$F$16872/life_nonai*(1-1/life_nonai)^(Sens!I16744-2027)</f>
        <v>1.41853614453567E-006</v>
      </c>
      <c r="J16864" s="6" t="n">
        <f aca="false">Sens!$F$16872/life_nonai*(1-1/life_nonai)^(Sens!J16744-2027)</f>
        <v>1.2766825300821E-006</v>
      </c>
      <c r="K16864" s="6" t="n">
        <f aca="false">Sens!$F$16872/life_nonai*(1-1/life_nonai)^(Sens!K16744-2027)</f>
        <v>1.14901427707389E-006</v>
      </c>
      <c r="L16864" s="1" t="s">
        <v>1105</v>
      </c>
    </row>
    <row r="16865" customFormat="false" ht="17.15" hidden="false" customHeight="false" outlineLevel="0" collapsed="false">
      <c r="A16865" s="1" t="s">
        <v>1106</v>
      </c>
      <c r="B16865" s="0" t="s">
        <v>98</v>
      </c>
      <c r="E16865" s="6" t="n">
        <f aca="false">Sens!E16781+Sens!E16863</f>
        <v>38.534</v>
      </c>
      <c r="F16865" s="6" t="n">
        <f aca="false">Sens!F16781+Sens!F16863</f>
        <v>58.1596586947647</v>
      </c>
      <c r="G16865" s="6" t="n">
        <f aca="false">Sens!G16781+Sens!G16863</f>
        <v>86.0928411924955</v>
      </c>
      <c r="H16865" s="6" t="n">
        <f aca="false">Sens!H16781+Sens!H16863</f>
        <v>116.628660644479</v>
      </c>
      <c r="I16865" s="6" t="n">
        <f aca="false">Sens!I16781+Sens!I16863</f>
        <v>144.255462047364</v>
      </c>
      <c r="J16865" s="6" t="n">
        <f aca="false">Sens!J16781+Sens!J16863</f>
        <v>164.778251646301</v>
      </c>
      <c r="K16865" s="6" t="n">
        <f aca="false">Sens!K16781+Sens!K16863</f>
        <v>178.67123799404</v>
      </c>
    </row>
    <row r="16866" customFormat="false" ht="17.15" hidden="false" customHeight="false" outlineLevel="0" collapsed="false">
      <c r="A16866" s="1" t="s">
        <v>1107</v>
      </c>
      <c r="B16866" s="0" t="s">
        <v>98</v>
      </c>
      <c r="F16866" s="6" t="n">
        <f aca="false">Sens!F16808*sbc_r</f>
        <v>14.9175438377464</v>
      </c>
      <c r="G16866" s="6" t="n">
        <f aca="false">Sens!G16808*sbc_r</f>
        <v>17.8119838712421</v>
      </c>
      <c r="H16866" s="6" t="n">
        <f aca="false">Sens!H16808*sbc_r</f>
        <v>20.7745061486909</v>
      </c>
      <c r="I16866" s="6" t="n">
        <f aca="false">Sens!I16808*sbc_r</f>
        <v>23.4952383075388</v>
      </c>
      <c r="J16866" s="6" t="n">
        <f aca="false">Sens!J16808*sbc_r</f>
        <v>25.7232953082804</v>
      </c>
      <c r="K16866" s="6" t="n">
        <f aca="false">Sens!K16808*sbc_r</f>
        <v>27.5132097680234</v>
      </c>
    </row>
    <row r="16867" customFormat="false" ht="17.15" hidden="false" customHeight="false" outlineLevel="0" collapsed="false">
      <c r="A16867" s="1" t="s">
        <v>1108</v>
      </c>
      <c r="B16867" s="0" t="s">
        <v>98</v>
      </c>
      <c r="F16867" s="6" t="n">
        <f aca="false">wc27-wc26q1</f>
        <v>-4.677</v>
      </c>
      <c r="G16867" s="6" t="n">
        <f aca="false">wc_f</f>
        <v>0</v>
      </c>
      <c r="H16867" s="6" t="n">
        <f aca="false">wc_f</f>
        <v>0</v>
      </c>
      <c r="I16867" s="6" t="n">
        <f aca="false">wc_f</f>
        <v>0</v>
      </c>
      <c r="J16867" s="6" t="n">
        <f aca="false">wc_f</f>
        <v>0</v>
      </c>
      <c r="K16867" s="6" t="n">
        <f aca="false">wc_f</f>
        <v>0</v>
      </c>
      <c r="L16867" s="12" t="s">
        <v>1109</v>
      </c>
    </row>
    <row r="16868" customFormat="false" ht="17.15" hidden="false" customHeight="false" outlineLevel="0" collapsed="false">
      <c r="A16868" s="0" t="s">
        <v>1110</v>
      </c>
      <c r="B16868" s="0" t="s">
        <v>98</v>
      </c>
      <c r="F16868" s="6" t="n">
        <f aca="false">Q!$I$35-Q!$I$26-Q!$I$38-Q!$I$39</f>
        <v>6.493</v>
      </c>
      <c r="L16868" s="1" t="s">
        <v>1111</v>
      </c>
    </row>
    <row r="16869" customFormat="false" ht="15" hidden="false" customHeight="false" outlineLevel="0" collapsed="false">
      <c r="A16869" s="1" t="s">
        <v>908</v>
      </c>
      <c r="B16869" s="0" t="s">
        <v>98</v>
      </c>
      <c r="E16869" s="6" t="n">
        <f aca="false">Q!M35</f>
        <v>182.935</v>
      </c>
      <c r="F16869" s="6" t="n">
        <f aca="false">Sens!F16862+Sens!F16865+Sens!F16866+Sens!F16867+Sens!F16868</f>
        <v>219.596057499506</v>
      </c>
      <c r="G16869" s="6" t="n">
        <f aca="false">Sens!G16862+Sens!G16865+Sens!G16866+Sens!G16867</f>
        <v>260.705051604358</v>
      </c>
      <c r="H16869" s="6" t="n">
        <f aca="false">Sens!H16862+Sens!H16865+Sens!H16866+Sens!H16867</f>
        <v>310.137015033734</v>
      </c>
      <c r="I16869" s="6" t="n">
        <f aca="false">Sens!I16862+Sens!I16865+Sens!I16866+Sens!I16867</f>
        <v>355.724838817352</v>
      </c>
      <c r="J16869" s="6" t="n">
        <f aca="false">Sens!J16862+Sens!J16865+Sens!J16866+Sens!J16867</f>
        <v>392.810261466896</v>
      </c>
      <c r="K16869" s="6" t="n">
        <f aca="false">Sens!K16862+Sens!K16865+Sens!K16866+Sens!K16867</f>
        <v>422.415737105821</v>
      </c>
    </row>
    <row r="16870" customFormat="false" ht="17.15" hidden="false" customHeight="false" outlineLevel="0" collapsed="false">
      <c r="A16870" s="0" t="s">
        <v>1112</v>
      </c>
      <c r="B16870" s="0" t="s">
        <v>98</v>
      </c>
      <c r="F16870" s="6" t="n">
        <f aca="false">Sens!F16778</f>
        <v>168.45390404212</v>
      </c>
      <c r="G16870" s="6" t="n">
        <f aca="false">Sens!G16778</f>
        <v>191.944475649048</v>
      </c>
      <c r="H16870" s="6" t="n">
        <f aca="false">Sens!H16778</f>
        <v>196.806004064512</v>
      </c>
      <c r="I16870" s="6" t="n">
        <f aca="false">Sens!I16778</f>
        <v>168.61483362161</v>
      </c>
      <c r="J16870" s="6" t="n">
        <f aca="false">Sens!J16778</f>
        <v>128.92993119594</v>
      </c>
      <c r="K16870" s="6" t="n">
        <f aca="false">Sens!K16778</f>
        <v>118.962853064733</v>
      </c>
    </row>
    <row r="16871" customFormat="false" ht="17.15" hidden="false" customHeight="false" outlineLevel="0" collapsed="false">
      <c r="A16871" s="1" t="s">
        <v>1113</v>
      </c>
      <c r="B16871" s="0" t="s">
        <v>98</v>
      </c>
      <c r="E16871" s="6" t="n">
        <f aca="false">Sens!E16786*cx_azo+Sens!E16793*cx_m365+Sens!E16794*cx_lic+(Sens!E16796+Sens!E16798)*cx_ind+Sens!E16801*cx_srch+(Sens!E16803+Sens!E16805)*cx_dev</f>
        <v>30.1846587067718</v>
      </c>
      <c r="F16871" s="6" t="n">
        <f aca="false">Sens!F16786*cx_azo+Sens!F16793*cx_m365+Sens!F16794*cx_lic+(Sens!F16796+Sens!F16798)*cx_ind+Sens!F16801*cx_srch+(Sens!F16803+Sens!F16805)*cx_dev</f>
        <v>35.7460764992227</v>
      </c>
      <c r="G16871" s="6" t="n">
        <f aca="false">Sens!G16786*cx_azo+Sens!G16793*cx_m365+Sens!G16794*cx_lic+(Sens!G16796+Sens!G16798)*cx_ind+Sens!G16801*cx_srch+(Sens!G16803+Sens!G16805)*cx_dev</f>
        <v>41.360407454248</v>
      </c>
      <c r="H16871" s="6" t="n">
        <f aca="false">Sens!H16786*cx_azo+Sens!H16793*cx_m365+Sens!H16794*cx_lic+(Sens!H16796+Sens!H16798)*cx_ind+Sens!H16801*cx_srch+(Sens!H16803+Sens!H16805)*cx_dev</f>
        <v>47.0605449685615</v>
      </c>
      <c r="I16871" s="6" t="n">
        <f aca="false">Sens!I16786*cx_azo+Sens!I16793*cx_m365+Sens!I16794*cx_lic+(Sens!I16796+Sens!I16798)*cx_ind+Sens!I16801*cx_srch+(Sens!I16803+Sens!I16805)*cx_dev</f>
        <v>52.4873936808571</v>
      </c>
      <c r="J16871" s="6" t="n">
        <f aca="false">Sens!J16786*cx_azo+Sens!J16793*cx_m365+Sens!J16794*cx_lic+(Sens!J16796+Sens!J16798)*cx_ind+Sens!J16801*cx_srch+(Sens!J16803+Sens!J16805)*cx_dev</f>
        <v>57.4057147917091</v>
      </c>
      <c r="K16871" s="6" t="n">
        <f aca="false">Sens!K16786*cx_azo+Sens!K16793*cx_m365+Sens!K16794*cx_lic+(Sens!K16796+Sens!K16798)*cx_ind+Sens!K16801*cx_srch+(Sens!K16803+Sens!K16805)*cx_dev</f>
        <v>61.7224770607185</v>
      </c>
    </row>
    <row r="16872" customFormat="false" ht="17.15" hidden="false" customHeight="false" outlineLevel="0" collapsed="false">
      <c r="A16872" s="0" t="s">
        <v>1114</v>
      </c>
      <c r="B16872" s="0" t="s">
        <v>98</v>
      </c>
      <c r="F16872" s="6" t="n">
        <f aca="false">Sens!F16776</f>
        <v>1.94586576753863E-005</v>
      </c>
      <c r="L16872" s="1" t="s">
        <v>1115</v>
      </c>
    </row>
    <row r="16873" customFormat="false" ht="17.15" hidden="false" customHeight="false" outlineLevel="0" collapsed="false">
      <c r="A16873" s="1" t="s">
        <v>1116</v>
      </c>
      <c r="B16873" s="0" t="s">
        <v>98</v>
      </c>
      <c r="E16873" s="6" t="n">
        <f aca="false">Q!M43</f>
        <v>145.3</v>
      </c>
      <c r="F16873" s="6" t="n">
        <f aca="false">Sens!F16870+Sens!F16871+Sens!F16872</f>
        <v>204.2</v>
      </c>
      <c r="G16873" s="6" t="n">
        <f aca="false">Sens!G16870+Sens!G16871</f>
        <v>233.304883103296</v>
      </c>
      <c r="H16873" s="6" t="n">
        <f aca="false">Sens!H16870+Sens!H16871</f>
        <v>243.866549033074</v>
      </c>
      <c r="I16873" s="6" t="n">
        <f aca="false">Sens!I16870+Sens!I16871</f>
        <v>221.102227302467</v>
      </c>
      <c r="J16873" s="6" t="n">
        <f aca="false">Sens!J16870+Sens!J16871</f>
        <v>186.33564598765</v>
      </c>
      <c r="K16873" s="6" t="n">
        <f aca="false">Sens!K16870+Sens!K16871</f>
        <v>180.685330125451</v>
      </c>
      <c r="L16873" s="1" t="s">
        <v>1117</v>
      </c>
    </row>
    <row r="16874" customFormat="false" ht="15" hidden="false" customHeight="false" outlineLevel="0" collapsed="false">
      <c r="A16874" s="1" t="s">
        <v>1118</v>
      </c>
      <c r="B16874" s="0" t="s">
        <v>98</v>
      </c>
      <c r="E16874" s="6" t="n">
        <f aca="false">fl_liab</f>
        <v>66.594</v>
      </c>
      <c r="F16874" s="6" t="n">
        <f aca="false">Sens!E16874-Sens!F16875</f>
        <v>62.46973</v>
      </c>
      <c r="G16874" s="6" t="n">
        <f aca="false">Sens!F16874-Sens!G16875</f>
        <v>57.98686785</v>
      </c>
      <c r="H16874" s="6" t="n">
        <f aca="false">Sens!G16874-Sens!H16875</f>
        <v>53.92827690325</v>
      </c>
      <c r="I16874" s="6" t="n">
        <f aca="false">Sens!H16874-Sens!I16875</f>
        <v>49.7850493638962</v>
      </c>
      <c r="J16874" s="6" t="n">
        <f aca="false">Sens!I16874-Sens!J16875</f>
        <v>45.4823765852716</v>
      </c>
      <c r="K16874" s="6" t="n">
        <f aca="false">Sens!J16874-Sens!K16875</f>
        <v>40.9860835316088</v>
      </c>
    </row>
    <row r="16875" customFormat="false" ht="15" hidden="false" customHeight="false" outlineLevel="0" collapsed="false">
      <c r="A16875" s="1" t="s">
        <v>1119</v>
      </c>
      <c r="B16875" s="0" t="s">
        <v>98</v>
      </c>
      <c r="F16875" s="6" t="n">
        <f aca="false">fl_pay_27-Sens!E16874*fl_rate</f>
        <v>4.12427</v>
      </c>
      <c r="G16875" s="6" t="n">
        <f aca="false">fl_pay_28-Sens!F16874*fl_rate</f>
        <v>4.48286215</v>
      </c>
      <c r="H16875" s="6" t="n">
        <f aca="false">fl_pay_29-Sens!G16874*fl_rate</f>
        <v>4.05859094675</v>
      </c>
      <c r="I16875" s="6" t="n">
        <f aca="false">fl_pay_30-Sens!H16874*fl_rate</f>
        <v>4.14322753935375</v>
      </c>
      <c r="J16875" s="6" t="n">
        <f aca="false">fl_pay_31-Sens!I16874*fl_rate</f>
        <v>4.30267277862467</v>
      </c>
      <c r="K16875" s="6" t="n">
        <f aca="false">fl_pay_32-Sens!J16874*fl_rate</f>
        <v>4.49629305366278</v>
      </c>
    </row>
    <row r="16876" customFormat="false" ht="17.15" hidden="false" customHeight="false" outlineLevel="0" collapsed="false">
      <c r="A16876" s="1" t="s">
        <v>1120</v>
      </c>
      <c r="B16876" s="0" t="s">
        <v>98</v>
      </c>
      <c r="E16876" s="6" t="n">
        <f aca="false">Q!M35-Q!M36-Q!M44</f>
        <v>63.886</v>
      </c>
      <c r="F16876" s="6" t="n">
        <f aca="false">Sens!F16869-Sens!F16873-Sens!F16875</f>
        <v>11.2717874995055</v>
      </c>
      <c r="G16876" s="6" t="n">
        <f aca="false">Sens!G16869-Sens!G16873-Sens!G16875</f>
        <v>22.917306351062</v>
      </c>
      <c r="H16876" s="6" t="n">
        <f aca="false">Sens!H16869-Sens!H16873-Sens!H16875</f>
        <v>62.2118750539102</v>
      </c>
      <c r="I16876" s="6" t="n">
        <f aca="false">Sens!I16869-Sens!I16873-Sens!I16875</f>
        <v>130.479383975531</v>
      </c>
      <c r="J16876" s="6" t="n">
        <f aca="false">Sens!J16869-Sens!J16873-Sens!J16875</f>
        <v>202.171942700621</v>
      </c>
      <c r="K16876" s="6" t="n">
        <f aca="false">Sens!K16869-Sens!K16873-Sens!K16875</f>
        <v>237.234113926707</v>
      </c>
      <c r="L16876" s="12" t="s">
        <v>1121</v>
      </c>
    </row>
    <row r="16877" customFormat="false" ht="15" hidden="false" customHeight="false" outlineLevel="0" collapsed="false">
      <c r="A16877" s="1" t="s">
        <v>1122</v>
      </c>
      <c r="B16877" s="0" t="s">
        <v>75</v>
      </c>
      <c r="F16877" s="8" t="n">
        <f aca="false">dps_27</f>
        <v>3.85</v>
      </c>
      <c r="G16877" s="8" t="n">
        <f aca="false">Sens!F16877*(1+dps_g)</f>
        <v>4.158</v>
      </c>
      <c r="H16877" s="8" t="n">
        <f aca="false">Sens!G16877*(1+dps_g)</f>
        <v>4.49064</v>
      </c>
      <c r="I16877" s="8" t="n">
        <f aca="false">Sens!H16877*(1+dps_g)</f>
        <v>4.8498912</v>
      </c>
      <c r="J16877" s="8" t="n">
        <f aca="false">Sens!I16877*(1+dps_g)</f>
        <v>5.237882496</v>
      </c>
      <c r="K16877" s="8" t="n">
        <f aca="false">Sens!J16877*(1+dps_g)</f>
        <v>5.65691309568</v>
      </c>
    </row>
    <row r="16878" customFormat="false" ht="17.15" hidden="false" customHeight="false" outlineLevel="0" collapsed="false">
      <c r="A16878" s="1" t="s">
        <v>1123</v>
      </c>
      <c r="B16878" s="0" t="s">
        <v>98</v>
      </c>
      <c r="E16878" s="6" t="n">
        <f aca="false">Q!M41</f>
        <v>26.445</v>
      </c>
      <c r="F16878" s="6" t="n">
        <f aca="false">Sens!F16877*Sens!E16887</f>
        <v>28.59395</v>
      </c>
      <c r="G16878" s="6" t="n">
        <f aca="false">Sens!G16877*Sens!F16887</f>
        <v>31.0665353021685</v>
      </c>
      <c r="H16878" s="6" t="n">
        <f aca="false">Sens!H16877*Sens!G16887</f>
        <v>33.753936926342</v>
      </c>
      <c r="I16878" s="6" t="n">
        <f aca="false">Sens!I16877*Sens!H16887</f>
        <v>36.504690157522</v>
      </c>
      <c r="J16878" s="6" t="n">
        <f aca="false">Sens!J16877*Sens!I16887</f>
        <v>39.4929632555164</v>
      </c>
      <c r="K16878" s="6" t="n">
        <f aca="false">Sens!K16877*Sens!J16887</f>
        <v>42.739154578336</v>
      </c>
      <c r="L16878" s="1" t="s">
        <v>1124</v>
      </c>
    </row>
    <row r="16879" customFormat="false" ht="15" hidden="false" customHeight="false" outlineLevel="0" collapsed="false">
      <c r="A16879" s="1" t="s">
        <v>1125</v>
      </c>
      <c r="B16879" s="0" t="s">
        <v>98</v>
      </c>
      <c r="E16879" s="6" t="n">
        <f aca="false">Sens!E16876-Sens!E16878</f>
        <v>37.441</v>
      </c>
      <c r="F16879" s="6" t="n">
        <f aca="false">Sens!F16876-Sens!F16878</f>
        <v>-17.3221625004945</v>
      </c>
      <c r="G16879" s="6" t="n">
        <f aca="false">Sens!G16876-Sens!G16878</f>
        <v>-8.14922895110651</v>
      </c>
      <c r="H16879" s="6" t="n">
        <f aca="false">Sens!H16876-Sens!H16878</f>
        <v>28.4579381275682</v>
      </c>
      <c r="I16879" s="6" t="n">
        <f aca="false">Sens!I16876-Sens!I16878</f>
        <v>93.9746938180087</v>
      </c>
      <c r="J16879" s="6" t="n">
        <f aca="false">Sens!J16876-Sens!J16878</f>
        <v>162.678979445105</v>
      </c>
      <c r="K16879" s="6" t="n">
        <f aca="false">Sens!K16876-Sens!K16878</f>
        <v>194.494959348371</v>
      </c>
    </row>
    <row r="16880" customFormat="false" ht="15" hidden="false" customHeight="false" outlineLevel="0" collapsed="false">
      <c r="A16880" s="1" t="s">
        <v>1126</v>
      </c>
      <c r="B16880" s="0" t="s">
        <v>98</v>
      </c>
      <c r="F16880" s="6" t="n">
        <f aca="false">debt_mat_27</f>
        <v>9.25</v>
      </c>
      <c r="G16880" s="6" t="n">
        <f aca="false">debt_mat_28</f>
        <v>0</v>
      </c>
      <c r="H16880" s="6" t="n">
        <f aca="false">debt_mat_29</f>
        <v>2.001</v>
      </c>
      <c r="I16880" s="6" t="n">
        <f aca="false">debt_mat_30</f>
        <v>0</v>
      </c>
      <c r="J16880" s="6" t="n">
        <f aca="false">debt_mat_31</f>
        <v>0.5</v>
      </c>
      <c r="K16880" s="6" t="n">
        <f aca="false">debt_mat_32</f>
        <v>0</v>
      </c>
    </row>
    <row r="16881" customFormat="false" ht="15" hidden="false" customHeight="false" outlineLevel="0" collapsed="false">
      <c r="A16881" s="1" t="s">
        <v>1127</v>
      </c>
      <c r="B16881" s="0" t="s">
        <v>98</v>
      </c>
      <c r="E16881" s="6" t="n">
        <f aca="false">Q!M40</f>
        <v>22.271</v>
      </c>
      <c r="F16881" s="6" t="n">
        <f aca="false">MAX(0,MIN(bb_target,Sens!E16883+Sens!F16879-Sens!F16880-min_cash))</f>
        <v>0.270837499505504</v>
      </c>
      <c r="G16881" s="6" t="n">
        <f aca="false">MAX(0,MIN(bb_target,Sens!F16883+Sens!G16879-Sens!G16880-min_cash))</f>
        <v>0</v>
      </c>
      <c r="H16881" s="6" t="n">
        <f aca="false">MAX(0,MIN(bb_target,Sens!G16883+Sens!H16879-Sens!H16880-min_cash))</f>
        <v>22.271</v>
      </c>
      <c r="I16881" s="6" t="n">
        <f aca="false">MAX(0,MIN(bb_target,Sens!H16883+Sens!I16879-Sens!I16880-min_cash))</f>
        <v>22.271</v>
      </c>
      <c r="J16881" s="6" t="n">
        <f aca="false">MAX(0,MIN(bb_target,Sens!I16883+Sens!J16879-Sens!J16880-min_cash))</f>
        <v>22.271</v>
      </c>
      <c r="K16881" s="6" t="n">
        <f aca="false">MAX(0,MIN(bb_target,Sens!J16883+Sens!K16879-Sens!K16880-min_cash))</f>
        <v>22.271</v>
      </c>
    </row>
    <row r="16882" customFormat="false" ht="15" hidden="false" customHeight="false" outlineLevel="0" collapsed="false">
      <c r="A16882" s="1" t="s">
        <v>1128</v>
      </c>
      <c r="B16882" s="0" t="s">
        <v>98</v>
      </c>
      <c r="F16882" s="6" t="n">
        <f aca="false">MAX(0,min_cash-(Sens!E16883+Sens!F16879-Sens!F16880-Sens!F16881))</f>
        <v>0</v>
      </c>
      <c r="G16882" s="6" t="n">
        <f aca="false">MAX(0,min_cash-(Sens!F16883+Sens!G16879-Sens!G16880-Sens!G16881))</f>
        <v>8.14922895110651</v>
      </c>
      <c r="H16882" s="6" t="n">
        <f aca="false">MAX(0,min_cash-(Sens!G16883+Sens!H16879-Sens!H16880-Sens!H16881))</f>
        <v>0</v>
      </c>
      <c r="I16882" s="6" t="n">
        <f aca="false">MAX(0,min_cash-(Sens!H16883+Sens!I16879-Sens!I16880-Sens!I16881))</f>
        <v>0</v>
      </c>
      <c r="J16882" s="6" t="n">
        <f aca="false">MAX(0,min_cash-(Sens!I16883+Sens!J16879-Sens!J16880-Sens!J16881))</f>
        <v>0</v>
      </c>
      <c r="K16882" s="6" t="n">
        <f aca="false">MAX(0,min_cash-(Sens!J16883+Sens!K16879-Sens!K16880-Sens!K16881))</f>
        <v>0</v>
      </c>
    </row>
    <row r="16883" customFormat="false" ht="15" hidden="false" customHeight="false" outlineLevel="0" collapsed="false">
      <c r="A16883" s="1" t="s">
        <v>1129</v>
      </c>
      <c r="B16883" s="0" t="s">
        <v>98</v>
      </c>
      <c r="E16883" s="6" t="n">
        <f aca="false">cash_open</f>
        <v>76.843</v>
      </c>
      <c r="F16883" s="6" t="n">
        <f aca="false">Sens!E16883+Sens!F16879-Sens!F16880-Sens!F16881+Sens!F16882</f>
        <v>50</v>
      </c>
      <c r="G16883" s="6" t="n">
        <f aca="false">Sens!F16883+Sens!G16879-Sens!G16880-Sens!G16881+Sens!G16882</f>
        <v>50</v>
      </c>
      <c r="H16883" s="6" t="n">
        <f aca="false">Sens!G16883+Sens!H16879-Sens!H16880-Sens!H16881+Sens!H16882</f>
        <v>54.1859381275682</v>
      </c>
      <c r="I16883" s="6" t="n">
        <f aca="false">Sens!H16883+Sens!I16879-Sens!I16880-Sens!I16881+Sens!I16882</f>
        <v>125.889631945577</v>
      </c>
      <c r="J16883" s="6" t="n">
        <f aca="false">Sens!I16883+Sens!J16879-Sens!J16880-Sens!J16881+Sens!J16882</f>
        <v>265.797611390682</v>
      </c>
      <c r="K16883" s="6" t="n">
        <f aca="false">Sens!J16883+Sens!K16879-Sens!K16880-Sens!K16881+Sens!K16882</f>
        <v>438.021570739053</v>
      </c>
    </row>
    <row r="16884" customFormat="false" ht="15" hidden="false" customHeight="false" outlineLevel="0" collapsed="false">
      <c r="A16884" s="1" t="s">
        <v>1130</v>
      </c>
      <c r="B16884" s="0" t="s">
        <v>98</v>
      </c>
      <c r="E16884" s="6" t="n">
        <f aca="false">debt_face</f>
        <v>46.136</v>
      </c>
      <c r="F16884" s="6" t="n">
        <f aca="false">Sens!E16884-Sens!F16880+Sens!F16882</f>
        <v>36.886</v>
      </c>
      <c r="G16884" s="6" t="n">
        <f aca="false">Sens!F16884-Sens!G16880+Sens!G16882</f>
        <v>45.0352289511065</v>
      </c>
      <c r="H16884" s="6" t="n">
        <f aca="false">Sens!G16884-Sens!H16880+Sens!H16882</f>
        <v>43.0342289511065</v>
      </c>
      <c r="I16884" s="6" t="n">
        <f aca="false">Sens!H16884-Sens!I16880+Sens!I16882</f>
        <v>43.0342289511065</v>
      </c>
      <c r="J16884" s="6" t="n">
        <f aca="false">Sens!I16884-Sens!J16880+Sens!J16882</f>
        <v>42.5342289511065</v>
      </c>
      <c r="K16884" s="6" t="n">
        <f aca="false">Sens!J16884-Sens!K16880+Sens!K16882</f>
        <v>42.5342289511065</v>
      </c>
    </row>
    <row r="16885" customFormat="false" ht="15" hidden="false" customHeight="false" outlineLevel="0" collapsed="false">
      <c r="A16885" s="1" t="s">
        <v>1131</v>
      </c>
      <c r="B16885" s="0" t="s">
        <v>98</v>
      </c>
      <c r="E16885" s="6" t="n">
        <f aca="false">Sens!E16883-Sens!E16884</f>
        <v>30.707</v>
      </c>
      <c r="F16885" s="6" t="n">
        <f aca="false">Sens!F16883-Sens!F16884</f>
        <v>13.114</v>
      </c>
      <c r="G16885" s="6" t="n">
        <f aca="false">Sens!G16883-Sens!G16884</f>
        <v>4.96477104889349</v>
      </c>
      <c r="H16885" s="6" t="n">
        <f aca="false">Sens!H16883-Sens!H16884</f>
        <v>11.1517091764617</v>
      </c>
      <c r="I16885" s="6" t="n">
        <f aca="false">Sens!I16883-Sens!I16884</f>
        <v>82.8554029944703</v>
      </c>
      <c r="J16885" s="6" t="n">
        <f aca="false">Sens!J16883-Sens!J16884</f>
        <v>223.263382439575</v>
      </c>
      <c r="K16885" s="6" t="n">
        <f aca="false">Sens!K16883-Sens!K16884</f>
        <v>395.487341787946</v>
      </c>
    </row>
    <row r="16886" customFormat="false" ht="15" hidden="false" customHeight="false" outlineLevel="0" collapsed="false">
      <c r="A16886" s="1" t="s">
        <v>1132</v>
      </c>
      <c r="B16886" s="0" t="s">
        <v>75</v>
      </c>
      <c r="F16886" s="30" t="n">
        <f aca="false">px*(1+bb_g)^(Sens!F16744-base_fy-mid_yr)</f>
        <v>551.84177959629</v>
      </c>
      <c r="G16886" s="30" t="n">
        <f aca="false">px*(1+bb_g)^(Sens!G16744-base_fy-mid_yr)</f>
        <v>595.989121963993</v>
      </c>
      <c r="H16886" s="30" t="n">
        <f aca="false">px*(1+bb_g)^(Sens!H16744-base_fy-mid_yr)</f>
        <v>643.668251721112</v>
      </c>
      <c r="I16886" s="30" t="n">
        <f aca="false">px*(1+bb_g)^(Sens!I16744-base_fy-mid_yr)</f>
        <v>695.161711858801</v>
      </c>
      <c r="J16886" s="30" t="n">
        <f aca="false">px*(1+bb_g)^(Sens!J16744-base_fy-mid_yr)</f>
        <v>750.774648807506</v>
      </c>
      <c r="K16886" s="30" t="n">
        <f aca="false">px*(1+bb_g)^(Sens!K16744-base_fy-mid_yr)</f>
        <v>810.836620712106</v>
      </c>
    </row>
    <row r="16887" customFormat="false" ht="15" hidden="false" customHeight="false" outlineLevel="0" collapsed="false">
      <c r="A16887" s="1" t="s">
        <v>1133</v>
      </c>
      <c r="B16887" s="1" t="s">
        <v>81</v>
      </c>
      <c r="E16887" s="15" t="n">
        <f aca="false">sh_out26</f>
        <v>7.427</v>
      </c>
      <c r="F16887" s="15" t="n">
        <f aca="false">Sens!E16887+sh_iss-Sens!F16881/Sens!F16886</f>
        <v>7.47150921168074</v>
      </c>
      <c r="G16887" s="15" t="n">
        <f aca="false">Sens!F16887+sh_iss-Sens!G16881/Sens!G16886</f>
        <v>7.51650921168074</v>
      </c>
      <c r="H16887" s="15" t="n">
        <f aca="false">Sens!G16887+sh_iss-Sens!H16881/Sens!H16886</f>
        <v>7.52690908973834</v>
      </c>
      <c r="I16887" s="15" t="n">
        <f aca="false">Sens!H16887+sh_iss-Sens!I16881/Sens!I16886</f>
        <v>7.53987193979168</v>
      </c>
      <c r="J16887" s="15" t="n">
        <f aca="false">Sens!I16887+sh_iss-Sens!J16881/Sens!J16886</f>
        <v>7.55520791206329</v>
      </c>
      <c r="K16887" s="15" t="n">
        <f aca="false">Sens!J16887+sh_iss-Sens!K16881/Sens!K16886</f>
        <v>7.57274121972218</v>
      </c>
    </row>
    <row r="16888" customFormat="false" ht="15" hidden="false" customHeight="false" outlineLevel="0" collapsed="false">
      <c r="A16888" s="1" t="s">
        <v>1134</v>
      </c>
      <c r="B16888" s="1" t="s">
        <v>81</v>
      </c>
      <c r="E16888" s="15" t="n">
        <f aca="false">sh_dil26</f>
        <v>7.453</v>
      </c>
      <c r="F16888" s="15" t="n">
        <f aca="false">(Sens!E16887+Sens!F16887)/2+dil_gap</f>
        <v>7.47325460584037</v>
      </c>
      <c r="G16888" s="15" t="n">
        <f aca="false">(Sens!F16887+Sens!G16887)/2+dil_gap</f>
        <v>7.51800921168074</v>
      </c>
      <c r="H16888" s="15" t="n">
        <f aca="false">(Sens!G16887+Sens!H16887)/2+dil_gap</f>
        <v>7.54570915070954</v>
      </c>
      <c r="I16888" s="15" t="n">
        <f aca="false">(Sens!H16887+Sens!I16887)/2+dil_gap</f>
        <v>7.55739051476501</v>
      </c>
      <c r="J16888" s="15" t="n">
        <f aca="false">(Sens!I16887+Sens!J16887)/2+dil_gap</f>
        <v>7.57153992592748</v>
      </c>
      <c r="K16888" s="15" t="n">
        <f aca="false">(Sens!J16887+Sens!K16887)/2+dil_gap</f>
        <v>7.58797456589273</v>
      </c>
    </row>
    <row r="16889" customFormat="false" ht="17.15" hidden="false" customHeight="false" outlineLevel="0" collapsed="false">
      <c r="A16889" s="1" t="s">
        <v>1135</v>
      </c>
      <c r="B16889" s="0" t="s">
        <v>98</v>
      </c>
      <c r="C16889" s="6" t="n">
        <f aca="false">SUM(Sens!F16879:J16879)</f>
        <v>259.640219939081</v>
      </c>
    </row>
    <row r="16890" customFormat="false" ht="15" hidden="false" customHeight="false" outlineLevel="0" collapsed="false">
      <c r="A16890" s="26" t="s">
        <v>1100</v>
      </c>
      <c r="B16890" s="31" t="s">
        <v>98</v>
      </c>
      <c r="C16890" s="27" t="n">
        <f aca="false">Sens!$C$16889-(Sens!F16879+Sens!G16879+Sens!H16879+Sens!I16879+Sens!J16879)</f>
        <v>0</v>
      </c>
      <c r="D16890" s="31"/>
      <c r="E16890" s="31"/>
      <c r="F16890" s="31"/>
      <c r="G16890" s="31"/>
      <c r="H16890" s="31"/>
      <c r="I16890" s="31"/>
      <c r="J16890" s="31"/>
      <c r="K16890" s="31"/>
    </row>
    <row r="16891" customFormat="false" ht="17.15" hidden="false" customHeight="false" outlineLevel="0" collapsed="false">
      <c r="A16891" s="1" t="s">
        <v>1094</v>
      </c>
      <c r="B16891" s="1" t="s">
        <v>1136</v>
      </c>
      <c r="C16891" s="33" t="str">
        <f aca="false">IF(SUM(Sens!F16882:J16882)&gt;0.05,"需要舉債 "&amp;TEXT(SUM(Sens!F16882:J16882),"0.0")&amp;" 十億美元","不需舉債")&amp;"；"&amp;IF(SUM(Sens!F16881:J16881)&lt;COUNT(Sens!F16881:J16881)*bb_target-0.05,"回購較每年 "&amp;TEXT(bb_target,"0.0")&amp;" 的目標少 "&amp;TEXT(COUNT(Sens!F16881:J16881)*bb_target-SUM(Sens!F16881:J16881),"0.0")&amp;" 十億美元（"&amp;TEXT(COUNTIF(Sens!F16881:J16881,"&lt;"&amp;(bb_target-0.05)),"0")&amp;" 年減少）","回購不減")</f>
        <v>需要舉債 8.1 十億美元；回購較每年 22.3 的目標少 44.3 十億美元（2 年減少）</v>
      </c>
    </row>
    <row r="16892" customFormat="false" ht="17.15" hidden="false" customHeight="false" outlineLevel="0" collapsed="false">
      <c r="A16892" s="3" t="s">
        <v>2028</v>
      </c>
    </row>
    <row r="16893" customFormat="false" ht="15" hidden="false" customHeight="false" outlineLevel="0" collapsed="false">
      <c r="A16893" s="4" t="s">
        <v>43</v>
      </c>
      <c r="B16893" s="4" t="s">
        <v>65</v>
      </c>
      <c r="C16893" s="23" t="s">
        <v>942</v>
      </c>
      <c r="D16893" s="23" t="s">
        <v>943</v>
      </c>
      <c r="E16893" s="23" t="s">
        <v>944</v>
      </c>
      <c r="F16893" s="23" t="s">
        <v>945</v>
      </c>
      <c r="G16893" s="23" t="s">
        <v>946</v>
      </c>
      <c r="H16893" s="23" t="s">
        <v>947</v>
      </c>
      <c r="I16893" s="23" t="s">
        <v>948</v>
      </c>
      <c r="J16893" s="23" t="s">
        <v>949</v>
      </c>
      <c r="K16893" s="23" t="s">
        <v>950</v>
      </c>
      <c r="L16893" s="4" t="s">
        <v>47</v>
      </c>
    </row>
    <row r="16894" customFormat="false" ht="17.15" hidden="false" customHeight="false" outlineLevel="0" collapsed="false">
      <c r="A16894" s="1" t="s">
        <v>1216</v>
      </c>
      <c r="B16894" s="1" t="s">
        <v>279</v>
      </c>
      <c r="F16894" s="8" t="n">
        <f aca="false">(1-v_off)*mid_yr</f>
        <v>0.373972602739726</v>
      </c>
      <c r="G16894" s="8" t="n">
        <f aca="false">Sens!G16744-base_fy-mid_yr-v_off</f>
        <v>1.24794520547945</v>
      </c>
      <c r="H16894" s="8" t="n">
        <f aca="false">Sens!H16744-base_fy-mid_yr-v_off</f>
        <v>2.24794520547945</v>
      </c>
      <c r="I16894" s="8" t="n">
        <f aca="false">Sens!I16744-base_fy-mid_yr-v_off</f>
        <v>3.24794520547945</v>
      </c>
      <c r="J16894" s="8" t="n">
        <f aca="false">Sens!J16744-base_fy-mid_yr-v_off</f>
        <v>4.24794520547945</v>
      </c>
      <c r="K16894" s="8" t="n">
        <f aca="false">Sens!K16744-base_fy-mid_yr-v_off</f>
        <v>5.24794520547945</v>
      </c>
      <c r="L16894" s="12" t="s">
        <v>1217</v>
      </c>
    </row>
    <row r="16895" customFormat="false" ht="15" hidden="false" customHeight="false" outlineLevel="0" collapsed="false">
      <c r="A16895" s="1" t="s">
        <v>1218</v>
      </c>
      <c r="B16895" s="1" t="s">
        <v>279</v>
      </c>
      <c r="F16895" s="8" t="n">
        <f aca="false">Sens!F16744-base_fy-v_off</f>
        <v>0.747945205479452</v>
      </c>
      <c r="G16895" s="8" t="n">
        <f aca="false">Sens!G16744-base_fy-v_off</f>
        <v>1.74794520547945</v>
      </c>
      <c r="H16895" s="8" t="n">
        <f aca="false">Sens!H16744-base_fy-v_off</f>
        <v>2.74794520547945</v>
      </c>
      <c r="I16895" s="8" t="n">
        <f aca="false">Sens!I16744-base_fy-v_off</f>
        <v>3.74794520547945</v>
      </c>
      <c r="J16895" s="8" t="n">
        <f aca="false">Sens!J16744-base_fy-v_off</f>
        <v>4.74794520547945</v>
      </c>
      <c r="K16895" s="8" t="n">
        <f aca="false">Sens!K16744-base_fy-v_off</f>
        <v>5.74794520547945</v>
      </c>
    </row>
    <row r="16896" customFormat="false" ht="15" hidden="false" customHeight="false" outlineLevel="0" collapsed="false">
      <c r="A16896" s="1" t="s">
        <v>1219</v>
      </c>
      <c r="B16896" s="0" t="s">
        <v>229</v>
      </c>
      <c r="F16896" s="15" t="n">
        <f aca="false">1/(1+wacc)^Sens!F16894</f>
        <v>0.964022703286649</v>
      </c>
      <c r="G16896" s="15" t="n">
        <f aca="false">1/(1+wacc)^Sens!G16894</f>
        <v>0.884910302296739</v>
      </c>
      <c r="H16896" s="15" t="n">
        <f aca="false">1/(1+wacc)^Sens!H16894</f>
        <v>0.802322009770358</v>
      </c>
      <c r="I16896" s="15" t="n">
        <f aca="false">1/(1+wacc)^Sens!I16894</f>
        <v>0.727441646561469</v>
      </c>
      <c r="J16896" s="15" t="n">
        <f aca="false">1/(1+wacc)^Sens!J16894</f>
        <v>0.659549834988973</v>
      </c>
      <c r="K16896" s="15" t="n">
        <f aca="false">1/(1+wacc)^Sens!K16894</f>
        <v>0.597994336576966</v>
      </c>
    </row>
    <row r="16897" customFormat="false" ht="17.15" hidden="false" customHeight="false" outlineLevel="0" collapsed="false">
      <c r="A16897" s="1" t="s">
        <v>1220</v>
      </c>
      <c r="B16897" s="0" t="s">
        <v>98</v>
      </c>
      <c r="F16897" s="6" t="n">
        <f aca="false">Q!$I$35-Q!$I$39-Q!$I$43</f>
        <v>9.666</v>
      </c>
      <c r="L16897" s="12" t="s">
        <v>1221</v>
      </c>
    </row>
    <row r="16898" customFormat="false" ht="17.15" hidden="false" customHeight="false" outlineLevel="0" collapsed="false">
      <c r="A16898" s="1" t="s">
        <v>1222</v>
      </c>
      <c r="B16898" s="0" t="s">
        <v>98</v>
      </c>
      <c r="F16898" s="6" t="n">
        <f aca="false">Sens!F16869-Sens!F16866-Sens!F16873+Sens!F16851*(1-tax_f)*(1-v_off)-Sens!F16897</f>
        <v>-6.35590315391913</v>
      </c>
      <c r="G16898" s="6" t="n">
        <f aca="false">Sens!G16869-Sens!G16866-Sens!G16873+Sens!G16851*(1-tax_f)</f>
        <v>25.6640120643252</v>
      </c>
      <c r="H16898" s="6" t="n">
        <f aca="false">Sens!H16869-Sens!H16866-Sens!H16873+Sens!H16851*(1-tax_f)</f>
        <v>75.0813314035629</v>
      </c>
      <c r="I16898" s="6" t="n">
        <f aca="false">Sens!I16869-Sens!I16866-Sens!I16873+Sens!I16851*(1-tax_f)</f>
        <v>152.977343885525</v>
      </c>
      <c r="J16898" s="6" t="n">
        <f aca="false">Sens!J16869-Sens!J16866-Sens!J16873+Sens!J16851*(1-tax_f)</f>
        <v>231.166574888994</v>
      </c>
      <c r="K16898" s="6" t="n">
        <f aca="false">Sens!K16869-Sens!K16866-Sens!K16873+Sens!K16851*(1-tax_f)</f>
        <v>269.255988149325</v>
      </c>
      <c r="L16898" s="1" t="s">
        <v>1223</v>
      </c>
    </row>
    <row r="16899" customFormat="false" ht="15" hidden="false" customHeight="false" outlineLevel="0" collapsed="false">
      <c r="A16899" s="1" t="s">
        <v>1224</v>
      </c>
      <c r="B16899" s="0" t="s">
        <v>98</v>
      </c>
      <c r="F16899" s="6" t="n">
        <f aca="false">Sens!F16898*Sens!F16896</f>
        <v>-6.12723494026926</v>
      </c>
      <c r="G16899" s="6" t="n">
        <f aca="false">Sens!G16898*Sens!G16896</f>
        <v>22.7103486739892</v>
      </c>
      <c r="H16899" s="6" t="n">
        <f aca="false">Sens!H16898*Sens!H16896</f>
        <v>60.2394047079409</v>
      </c>
      <c r="I16899" s="6" t="n">
        <f aca="false">Sens!I16898*Sens!I16896</f>
        <v>111.282090922686</v>
      </c>
      <c r="J16899" s="6" t="n">
        <f aca="false">Sens!J16898*Sens!J16896</f>
        <v>152.465876323002</v>
      </c>
      <c r="K16899" s="6" t="n">
        <f aca="false">Sens!K16898*Sens!K16896</f>
        <v>161.013556002731</v>
      </c>
    </row>
    <row r="16900" customFormat="false" ht="17.15" hidden="false" customHeight="false" outlineLevel="0" collapsed="false">
      <c r="A16900" s="1" t="s">
        <v>1225</v>
      </c>
      <c r="B16900" s="0" t="s">
        <v>98</v>
      </c>
      <c r="C16900" s="6" t="n">
        <f aca="false">SUM(Sens!F16899:K16899)</f>
        <v>501.584041690079</v>
      </c>
    </row>
    <row r="16901" customFormat="false" ht="17.15" hidden="false" customHeight="false" outlineLevel="0" collapsed="false">
      <c r="A16901" s="1" t="s">
        <v>1226</v>
      </c>
      <c r="B16901" s="0" t="s">
        <v>98</v>
      </c>
      <c r="C16901" s="6" t="n">
        <f aca="false">Sens!K16837*(1+g_tv)*(1-tax_f)</f>
        <v>280.396982689158</v>
      </c>
    </row>
    <row r="16902" customFormat="false" ht="17.15" hidden="false" customHeight="false" outlineLevel="0" collapsed="false">
      <c r="A16902" s="1" t="s">
        <v>1227</v>
      </c>
      <c r="B16902" s="0" t="s">
        <v>98</v>
      </c>
      <c r="C16902" s="6" t="n">
        <f aca="false">Sens!$C$16901*(1-g_tv/(wacc+ronic_prem))</f>
        <v>198.677650395353</v>
      </c>
    </row>
    <row r="16903" customFormat="false" ht="17.15" hidden="false" customHeight="false" outlineLevel="0" collapsed="false">
      <c r="A16903" s="1" t="s">
        <v>1228</v>
      </c>
      <c r="B16903" s="0" t="s">
        <v>98</v>
      </c>
      <c r="C16903" s="6" t="n">
        <f aca="false">Sens!$C$16902/(wacc-g_tv)</f>
        <v>2723.97774312683</v>
      </c>
    </row>
    <row r="16904" customFormat="false" ht="15" hidden="false" customHeight="false" outlineLevel="0" collapsed="false">
      <c r="A16904" s="1" t="s">
        <v>1229</v>
      </c>
      <c r="B16904" s="0" t="s">
        <v>98</v>
      </c>
      <c r="C16904" s="6" t="n">
        <f aca="false">Sens!$C$16903/(1+wacc)^Sens!K16895</f>
        <v>1551.04841105346</v>
      </c>
    </row>
    <row r="16905" customFormat="false" ht="17.15" hidden="false" customHeight="false" outlineLevel="0" collapsed="false">
      <c r="A16905" s="0" t="s">
        <v>1230</v>
      </c>
      <c r="B16905" s="0" t="s">
        <v>98</v>
      </c>
      <c r="C16905" s="6" t="n">
        <f aca="false">Sens!$C$16900+Sens!$C$16904</f>
        <v>2052.63245274353</v>
      </c>
    </row>
    <row r="16906" customFormat="false" ht="15" hidden="false" customHeight="false" outlineLevel="0" collapsed="false">
      <c r="A16906" s="1" t="s">
        <v>1145</v>
      </c>
      <c r="B16906" s="0" t="s">
        <v>168</v>
      </c>
      <c r="C16906" s="7" t="n">
        <f aca="false">Sens!$C$16904/Sens!$C$16905</f>
        <v>0.755638647815557</v>
      </c>
    </row>
    <row r="16907" customFormat="false" ht="17.15" hidden="false" customHeight="false" outlineLevel="0" collapsed="false">
      <c r="A16907" s="1" t="s">
        <v>1231</v>
      </c>
      <c r="B16907" s="0" t="s">
        <v>98</v>
      </c>
      <c r="C16907" s="6" t="n">
        <f aca="false">Sens!$C$16905+cash_val-debt_val-fl_val+oai_v</f>
        <v>2168.48345274353</v>
      </c>
    </row>
    <row r="16908" customFormat="false" ht="17.15" hidden="false" customHeight="false" outlineLevel="0" collapsed="false">
      <c r="A16908" s="0" t="s">
        <v>1153</v>
      </c>
      <c r="B16908" s="0" t="s">
        <v>75</v>
      </c>
      <c r="C16908" s="5" t="n">
        <f aca="false">Sens!$C$16907/shd_val</f>
        <v>291.227968404987</v>
      </c>
    </row>
    <row r="16909" customFormat="false" ht="15" hidden="false" customHeight="false" outlineLevel="0" collapsed="false">
      <c r="A16909" s="1" t="s">
        <v>1232</v>
      </c>
      <c r="B16909" s="0" t="s">
        <v>75</v>
      </c>
      <c r="C16909" s="8" t="n">
        <f aca="false">div_rem27+Sens!G16877*roll_div_q/q_per_yr</f>
        <v>3.9795</v>
      </c>
    </row>
    <row r="16910" customFormat="false" ht="17.15" hidden="false" customHeight="false" outlineLevel="0" collapsed="false">
      <c r="A16910" s="0" t="s">
        <v>1233</v>
      </c>
      <c r="B16910" s="0" t="s">
        <v>75</v>
      </c>
      <c r="C16910" s="5" t="n">
        <f aca="false">Sens!$C$16908*(1+wacc)^t_roll-Sens!$C$16909</f>
        <v>319.736640531681</v>
      </c>
    </row>
    <row r="16911" customFormat="false" ht="17.15" hidden="false" customHeight="false" outlineLevel="0" collapsed="false">
      <c r="A16911" s="1" t="s">
        <v>1234</v>
      </c>
      <c r="B16911" s="0" t="s">
        <v>168</v>
      </c>
      <c r="F16911" s="7" t="n">
        <f aca="false">Sens!F16863/(Sens!F16808-Sens!F16763)</f>
        <v>0.0686195668908011</v>
      </c>
      <c r="G16911" s="7" t="n">
        <f aca="false">Sens!G16863/(Sens!G16808-Sens!G16763)</f>
        <v>0.0658333569148391</v>
      </c>
      <c r="H16911" s="7" t="n">
        <f aca="false">Sens!H16863/(Sens!H16808-Sens!H16763)</f>
        <v>0.0643895625218926</v>
      </c>
      <c r="I16911" s="7" t="n">
        <f aca="false">Sens!I16863/(Sens!I16808-Sens!I16763)</f>
        <v>0.0641676618157989</v>
      </c>
      <c r="J16911" s="7" t="n">
        <f aca="false">Sens!J16863/(Sens!J16808-Sens!J16763)</f>
        <v>0.0648858606572163</v>
      </c>
      <c r="K16911" s="7" t="n">
        <f aca="false">Sens!K16863/(Sens!K16808-Sens!K16763)</f>
        <v>0.0661974425163768</v>
      </c>
    </row>
    <row r="16912" customFormat="false" ht="17.15" hidden="false" customHeight="false" outlineLevel="0" collapsed="false">
      <c r="A16912" s="0" t="s">
        <v>1235</v>
      </c>
      <c r="B16912" s="0" t="s">
        <v>98</v>
      </c>
      <c r="F16912" s="6" t="n">
        <f aca="false">Sens!F16793*(al_m365+Sens!F16911+sbc_r)</f>
        <v>83.7205619248671</v>
      </c>
      <c r="G16912" s="6" t="n">
        <f aca="false">Sens!G16793*(al_m365+Sens!G16911+sbc_r)</f>
        <v>96.1301303332381</v>
      </c>
      <c r="H16912" s="6" t="n">
        <f aca="false">Sens!H16793*(al_m365+Sens!H16911+sbc_r)</f>
        <v>108.70354073822</v>
      </c>
      <c r="I16912" s="6" t="n">
        <f aca="false">Sens!I16793*(al_m365+Sens!I16911+sbc_r)</f>
        <v>120.260101315626</v>
      </c>
      <c r="J16912" s="6" t="n">
        <f aca="false">Sens!J16793*(al_m365+Sens!J16911+sbc_r)</f>
        <v>130.611904548619</v>
      </c>
      <c r="K16912" s="6" t="n">
        <f aca="false">Sens!K16793*(al_m365+Sens!K16911+sbc_r)</f>
        <v>140.575094974638</v>
      </c>
      <c r="L16912" s="12" t="s">
        <v>1236</v>
      </c>
    </row>
    <row r="16913" customFormat="false" ht="17.15" hidden="false" customHeight="false" outlineLevel="0" collapsed="false">
      <c r="A16913" s="0" t="s">
        <v>1237</v>
      </c>
      <c r="B16913" s="0" t="s">
        <v>98</v>
      </c>
      <c r="F16913" s="6" t="n">
        <f aca="false">Sens!F16794*(al_lic+Sens!F16911+sbc_r)</f>
        <v>32.8577657183496</v>
      </c>
      <c r="G16913" s="6" t="n">
        <f aca="false">Sens!G16794*(al_lic+Sens!G16911+sbc_r)</f>
        <v>34.1376266324889</v>
      </c>
      <c r="H16913" s="6" t="n">
        <f aca="false">Sens!H16794*(al_lic+Sens!H16911+sbc_r)</f>
        <v>35.3325744664128</v>
      </c>
      <c r="I16913" s="6" t="n">
        <f aca="false">Sens!I16794*(al_lic+Sens!I16911+sbc_r)</f>
        <v>36.4244749008727</v>
      </c>
      <c r="J16913" s="6" t="n">
        <f aca="false">Sens!J16794*(al_lic+Sens!J16911+sbc_r)</f>
        <v>37.3879406068527</v>
      </c>
      <c r="K16913" s="6" t="n">
        <f aca="false">Sens!K16794*(al_lic+Sens!K16911+sbc_r)</f>
        <v>38.1943876078259</v>
      </c>
    </row>
    <row r="16914" customFormat="false" ht="17.15" hidden="false" customHeight="false" outlineLevel="0" collapsed="false">
      <c r="A16914" s="0" t="s">
        <v>1238</v>
      </c>
      <c r="B16914" s="0" t="s">
        <v>98</v>
      </c>
      <c r="F16914" s="6" t="n">
        <f aca="false">Sens!F16796*(al_ind+Sens!F16911+sbc_r)</f>
        <v>9.06041701092022</v>
      </c>
      <c r="G16914" s="6" t="n">
        <f aca="false">Sens!G16796*(al_ind+Sens!G16911+sbc_r)</f>
        <v>9.83619082712885</v>
      </c>
      <c r="H16914" s="6" t="n">
        <f aca="false">Sens!H16796*(al_ind+Sens!H16911+sbc_r)</f>
        <v>10.6570160105312</v>
      </c>
      <c r="I16914" s="6" t="n">
        <f aca="false">Sens!I16796*(al_ind+Sens!I16911+sbc_r)</f>
        <v>11.5198571637125</v>
      </c>
      <c r="J16914" s="6" t="n">
        <f aca="false">Sens!J16796*(al_ind+Sens!J16911+sbc_r)</f>
        <v>12.4150086539206</v>
      </c>
      <c r="K16914" s="6" t="n">
        <f aca="false">Sens!K16796*(al_ind+Sens!K16911+sbc_r)</f>
        <v>13.3273714589988</v>
      </c>
    </row>
    <row r="16915" customFormat="false" ht="17.15" hidden="false" customHeight="false" outlineLevel="0" collapsed="false">
      <c r="A16915" s="0" t="s">
        <v>1239</v>
      </c>
      <c r="B16915" s="0" t="s">
        <v>98</v>
      </c>
      <c r="F16915" s="6" t="n">
        <f aca="false">Sens!F16798*(al_fro+Sens!F16911+sbc_r)</f>
        <v>3.55402950182022</v>
      </c>
      <c r="G16915" s="6" t="n">
        <f aca="false">Sens!G16798*(al_fro+Sens!G16911+sbc_r)</f>
        <v>3.76361488926481</v>
      </c>
      <c r="H16915" s="6" t="n">
        <f aca="false">Sens!H16798*(al_fro+Sens!H16911+sbc_r)</f>
        <v>4.00220968879544</v>
      </c>
      <c r="I16915" s="6" t="n">
        <f aca="false">Sens!I16798*(al_fro+Sens!I16911+sbc_r)</f>
        <v>4.2725765173852</v>
      </c>
      <c r="J16915" s="6" t="n">
        <f aca="false">Sens!J16798*(al_fro+Sens!J16911+sbc_r)</f>
        <v>4.57586224390293</v>
      </c>
      <c r="K16915" s="6" t="n">
        <f aca="false">Sens!K16798*(al_fro+Sens!K16911+sbc_r)</f>
        <v>4.91213639633217</v>
      </c>
    </row>
    <row r="16916" customFormat="false" ht="17.15" hidden="false" customHeight="false" outlineLevel="0" collapsed="false">
      <c r="A16916" s="0" t="s">
        <v>1240</v>
      </c>
      <c r="B16916" s="0" t="s">
        <v>98</v>
      </c>
      <c r="F16916" s="6" t="n">
        <f aca="false">Sens!F16801*(al_srch+Sens!F16911+sbc_r)</f>
        <v>11.1890902994147</v>
      </c>
      <c r="G16916" s="6" t="n">
        <f aca="false">Sens!G16801*(al_srch+Sens!G16911+sbc_r)</f>
        <v>12.261738891803</v>
      </c>
      <c r="H16916" s="6" t="n">
        <f aca="false">Sens!H16801*(al_srch+Sens!H16911+sbc_r)</f>
        <v>13.3794863429193</v>
      </c>
      <c r="I16916" s="6" t="n">
        <f aca="false">Sens!I16801*(al_srch+Sens!I16911+sbc_r)</f>
        <v>14.5317114787784</v>
      </c>
      <c r="J16916" s="6" t="n">
        <f aca="false">Sens!J16801*(al_srch+Sens!J16911+sbc_r)</f>
        <v>15.6984365817724</v>
      </c>
      <c r="K16916" s="6" t="n">
        <f aca="false">Sens!K16801*(al_srch+Sens!K16911+sbc_r)</f>
        <v>16.8520942258664</v>
      </c>
    </row>
    <row r="16917" customFormat="false" ht="17.15" hidden="false" customHeight="false" outlineLevel="0" collapsed="false">
      <c r="A16917" s="0" t="s">
        <v>1241</v>
      </c>
      <c r="B16917" s="0" t="s">
        <v>98</v>
      </c>
      <c r="F16917" s="6" t="n">
        <f aca="false">Sens!F16769-Sens!F16770+Sens!F16851</f>
        <v>37.5355366840827</v>
      </c>
      <c r="G16917" s="6" t="n">
        <f aca="false">Sens!G16769-Sens!G16770+Sens!G16851</f>
        <v>76.3117018102367</v>
      </c>
      <c r="H16917" s="6" t="n">
        <f aca="false">Sens!H16769-Sens!H16770+Sens!H16851</f>
        <v>117.975955281046</v>
      </c>
      <c r="I16917" s="6" t="n">
        <f aca="false">Sens!I16769-Sens!I16770+Sens!I16851</f>
        <v>155.213461558063</v>
      </c>
      <c r="J16917" s="6" t="n">
        <f aca="false">Sens!J16769-Sens!J16770+Sens!J16851</f>
        <v>181.354958139348</v>
      </c>
      <c r="K16917" s="6" t="n">
        <f aca="false">Sens!K16769-Sens!K16770+Sens!K16851</f>
        <v>197.21507333655</v>
      </c>
    </row>
    <row r="16918" customFormat="false" ht="17.15" hidden="false" customHeight="false" outlineLevel="0" collapsed="false">
      <c r="A16918" s="0" t="s">
        <v>1242</v>
      </c>
      <c r="B16918" s="0" t="s">
        <v>98</v>
      </c>
      <c r="F16918" s="6" t="n">
        <f aca="false">Sens!F16830+Sens!F16851+Sens!F16781+Sens!F16911*(Sens!F16800-Sens!F16763)+sbc_r*Sens!F16800</f>
        <v>233.083155087339</v>
      </c>
      <c r="G16918" s="6" t="n">
        <f aca="false">Sens!G16830+Sens!G16851+Sens!G16781+Sens!G16911*(Sens!G16800-Sens!G16763)+sbc_r*Sens!G16800</f>
        <v>294.727806582782</v>
      </c>
      <c r="H16918" s="6" t="n">
        <f aca="false">Sens!H16830+Sens!H16851+Sens!H16781+Sens!H16911*(Sens!H16800-Sens!H16763)+sbc_r*Sens!H16800</f>
        <v>364.155398512083</v>
      </c>
      <c r="I16918" s="6" t="n">
        <f aca="false">Sens!I16830+Sens!I16851+Sens!I16781+Sens!I16911*(Sens!I16800-Sens!I16763)+sbc_r*Sens!I16800</f>
        <v>427.773370994373</v>
      </c>
      <c r="J16918" s="6" t="n">
        <f aca="false">Sens!J16830+Sens!J16851+Sens!J16781+Sens!J16911*(Sens!J16800-Sens!J16763)+sbc_r*Sens!J16800</f>
        <v>477.837519437905</v>
      </c>
      <c r="K16918" s="6" t="n">
        <f aca="false">Sens!K16830+Sens!K16851+Sens!K16781+Sens!K16911*(Sens!K16800-Sens!K16763)+sbc_r*Sens!K16800</f>
        <v>515.227653382234</v>
      </c>
    </row>
    <row r="16919" customFormat="false" ht="17.15" hidden="false" customHeight="false" outlineLevel="0" collapsed="false">
      <c r="A16919" s="0" t="s">
        <v>1243</v>
      </c>
      <c r="B16919" s="0" t="s">
        <v>98</v>
      </c>
      <c r="F16919" s="6" t="n">
        <f aca="false">Sens!F16918-Sens!F16912-Sens!F16913-Sens!F16914-Sens!F16915-Sens!F16917</f>
        <v>66.3548442472996</v>
      </c>
      <c r="G16919" s="6" t="n">
        <f aca="false">Sens!G16918-Sens!G16912-Sens!G16913-Sens!G16914-Sens!G16915-Sens!G16917</f>
        <v>74.548542090425</v>
      </c>
      <c r="H16919" s="6" t="n">
        <f aca="false">Sens!H16918-Sens!H16912-Sens!H16913-Sens!H16914-Sens!H16915-Sens!H16917</f>
        <v>87.4841023270775</v>
      </c>
      <c r="I16919" s="6" t="n">
        <f aca="false">Sens!I16918-Sens!I16912-Sens!I16913-Sens!I16914-Sens!I16915-Sens!I16917</f>
        <v>100.082899538713</v>
      </c>
      <c r="J16919" s="6" t="n">
        <f aca="false">Sens!J16918-Sens!J16912-Sens!J16913-Sens!J16914-Sens!J16915-Sens!J16917</f>
        <v>111.491845245262</v>
      </c>
      <c r="K16919" s="6" t="n">
        <f aca="false">Sens!K16918-Sens!K16912-Sens!K16913-Sens!K16914-Sens!K16915-Sens!K16917</f>
        <v>121.003589607889</v>
      </c>
    </row>
    <row r="16920" customFormat="false" ht="17.15" hidden="false" customHeight="false" outlineLevel="0" collapsed="false">
      <c r="A16920" s="0" t="s">
        <v>1244</v>
      </c>
      <c r="B16920" s="0" t="s">
        <v>98</v>
      </c>
      <c r="F16920" s="6" t="n">
        <f aca="false">Sens!F16832+Sens!F16911*Sens!F16807+sbc_r*Sens!F16807</f>
        <v>26.6336365855879</v>
      </c>
      <c r="G16920" s="6" t="n">
        <f aca="false">Sens!G16832+Sens!G16911*Sens!G16807+sbc_r*Sens!G16807</f>
        <v>26.4720859498625</v>
      </c>
      <c r="H16920" s="6" t="n">
        <f aca="false">Sens!H16832+Sens!H16911*Sens!H16807+sbc_r*Sens!H16807</f>
        <v>27.346793021284</v>
      </c>
      <c r="I16920" s="6" t="n">
        <f aca="false">Sens!I16832+Sens!I16911*Sens!I16807+sbc_r*Sens!I16807</f>
        <v>28.4574657863154</v>
      </c>
      <c r="J16920" s="6" t="n">
        <f aca="false">Sens!J16832+Sens!J16911*Sens!J16807+sbc_r*Sens!J16807</f>
        <v>29.7689890546037</v>
      </c>
      <c r="K16920" s="6" t="n">
        <f aca="false">Sens!K16832+Sens!K16911*Sens!K16807+sbc_r*Sens!K16807</f>
        <v>31.2443947307494</v>
      </c>
    </row>
    <row r="16921" customFormat="false" ht="17.15" hidden="false" customHeight="false" outlineLevel="0" collapsed="false">
      <c r="A16921" s="0" t="s">
        <v>1245</v>
      </c>
      <c r="B16921" s="0" t="s">
        <v>98</v>
      </c>
      <c r="F16921" s="6" t="n">
        <f aca="false">(Sens!F16920-Sens!F16916)*Sens!F16803/(Sens!F16803+Sens!F16805)</f>
        <v>8.72285608232241</v>
      </c>
      <c r="G16921" s="6" t="n">
        <f aca="false">(Sens!G16920-Sens!G16916)*Sens!G16803/(Sens!G16803+Sens!G16805)</f>
        <v>7.88786455444355</v>
      </c>
      <c r="H16921" s="6" t="n">
        <f aca="false">(Sens!H16920-Sens!H16916)*Sens!H16803/(Sens!H16803+Sens!H16805)</f>
        <v>7.65195986819674</v>
      </c>
      <c r="I16921" s="6" t="n">
        <f aca="false">(Sens!I16920-Sens!I16916)*Sens!I16803/(Sens!I16803+Sens!I16805)</f>
        <v>7.56260440676676</v>
      </c>
      <c r="J16921" s="6" t="n">
        <f aca="false">(Sens!J16920-Sens!J16916)*Sens!J16803/(Sens!J16803+Sens!J16805)</f>
        <v>7.60790100885945</v>
      </c>
      <c r="K16921" s="6" t="n">
        <f aca="false">(Sens!K16920-Sens!K16916)*Sens!K16803/(Sens!K16803+Sens!K16805)</f>
        <v>7.78186910160995</v>
      </c>
    </row>
    <row r="16922" customFormat="false" ht="17.15" hidden="false" customHeight="false" outlineLevel="0" collapsed="false">
      <c r="A16922" s="0" t="s">
        <v>1246</v>
      </c>
      <c r="B16922" s="0" t="s">
        <v>98</v>
      </c>
      <c r="F16922" s="6" t="n">
        <f aca="false">Sens!F16920-Sens!F16916-Sens!F16921</f>
        <v>6.72169020385088</v>
      </c>
      <c r="G16922" s="6" t="n">
        <f aca="false">Sens!G16920-Sens!G16916-Sens!G16921</f>
        <v>6.322482503616</v>
      </c>
      <c r="H16922" s="6" t="n">
        <f aca="false">Sens!H16920-Sens!H16916-Sens!H16921</f>
        <v>6.315346810168</v>
      </c>
      <c r="I16922" s="6" t="n">
        <f aca="false">Sens!I16920-Sens!I16916-Sens!I16921</f>
        <v>6.36314990077033</v>
      </c>
      <c r="J16922" s="6" t="n">
        <f aca="false">Sens!J16920-Sens!J16916-Sens!J16921</f>
        <v>6.46265146397189</v>
      </c>
      <c r="K16922" s="6" t="n">
        <f aca="false">Sens!K16920-Sens!K16916-Sens!K16921</f>
        <v>6.61043140327304</v>
      </c>
    </row>
    <row r="16923" customFormat="false" ht="17.15" hidden="false" customHeight="false" outlineLevel="0" collapsed="false">
      <c r="A16923" s="0" t="s">
        <v>1247</v>
      </c>
      <c r="B16923" s="0" t="s">
        <v>98</v>
      </c>
      <c r="F16923" s="6" t="n">
        <f aca="false">Sens!F16917-tax_f*(Sens!F16917-Sens!F16781)-Sens!F16778</f>
        <v>-131.509611799183</v>
      </c>
      <c r="G16923" s="6" t="n">
        <f aca="false">Sens!G16917-tax_f*(Sens!G16917-Sens!G16781)-Sens!G16778</f>
        <v>-118.748216070399</v>
      </c>
      <c r="H16923" s="6" t="n">
        <f aca="false">Sens!H16917-tax_f*(Sens!H16917-Sens!H16781)-Sens!H16778</f>
        <v>-84.605221707386</v>
      </c>
      <c r="I16923" s="6" t="n">
        <f aca="false">Sens!I16917-tax_f*(Sens!I16917-Sens!I16781)-Sens!I16778</f>
        <v>-21.5978624362506</v>
      </c>
      <c r="J16923" s="6" t="n">
        <f aca="false">Sens!J16917-tax_f*(Sens!J16917-Sens!J16781)-Sens!J16778</f>
        <v>42.5571699254573</v>
      </c>
      <c r="K16923" s="6" t="n">
        <f aca="false">Sens!K16917-tax_f*(Sens!K16917-Sens!K16781)-Sens!K16778</f>
        <v>67.4117395146939</v>
      </c>
    </row>
    <row r="16924" customFormat="false" ht="17.15" hidden="false" customHeight="false" outlineLevel="0" collapsed="false">
      <c r="A16924" s="0" t="s">
        <v>1248</v>
      </c>
      <c r="B16924" s="0" t="s">
        <v>98</v>
      </c>
      <c r="G16924" s="6" t="n">
        <f aca="false">Sens!G16923/(1+wacc)^(Sens!G16894-Sens!F16895)</f>
        <v>-113.071153193835</v>
      </c>
      <c r="H16924" s="6" t="n">
        <f aca="false">Sens!H16923/(1+wacc)^(Sens!H16894-Sens!F16895)</f>
        <v>-73.0417803364113</v>
      </c>
      <c r="I16924" s="6" t="n">
        <f aca="false">Sens!I16923/(1+wacc)^(Sens!I16894-Sens!F16895)</f>
        <v>-16.9057486600188</v>
      </c>
      <c r="J16924" s="6" t="n">
        <f aca="false">Sens!J16923/(1+wacc)^(Sens!J16894-Sens!F16895)</f>
        <v>30.2027043649203</v>
      </c>
      <c r="K16924" s="6" t="n">
        <f aca="false">Sens!K16923/(1+wacc)^(Sens!K16894-Sens!F16895)</f>
        <v>43.3768570371461</v>
      </c>
      <c r="L16924" s="1" t="s">
        <v>1249</v>
      </c>
    </row>
    <row r="16925" customFormat="false" ht="17.15" hidden="false" customHeight="false" outlineLevel="0" collapsed="false">
      <c r="A16925" s="0" t="s">
        <v>1250</v>
      </c>
      <c r="B16925" s="0" t="s">
        <v>98</v>
      </c>
      <c r="C16925" s="6" t="n">
        <f aca="false">(Sens!K16917-Sens!K16781)*(1-tax_f)*(1+g_tv)*(1-g_tv/(wacc+ronic_prem))/(wacc-g_tv)/(1+wacc)^(Sens!K16895-Sens!F16895)</f>
        <v>265.841789853475</v>
      </c>
    </row>
    <row r="16926" customFormat="false" ht="17.15" hidden="false" customHeight="false" outlineLevel="0" collapsed="false">
      <c r="A16926" s="1" t="s">
        <v>1251</v>
      </c>
      <c r="B16926" s="0" t="s">
        <v>98</v>
      </c>
      <c r="C16926" s="6" t="n">
        <f aca="false">(SUM(Sens!G16924:K16924)+Sens!$C$16925)*(1+wacc)^(t_roll-Sens!F16895)</f>
        <v>140.905733683411</v>
      </c>
      <c r="L16926" s="12" t="s">
        <v>1252</v>
      </c>
    </row>
    <row r="16927" customFormat="false" ht="17.15" hidden="false" customHeight="false" outlineLevel="0" collapsed="false">
      <c r="A16927" s="1" t="s">
        <v>1253</v>
      </c>
      <c r="B16927" s="0" t="s">
        <v>98</v>
      </c>
      <c r="C16927" s="6" t="n">
        <f aca="false">(w_ntm28*Sens!G16769+(1-w_ntm28)*Sens!H16769)*m_ai</f>
        <v>463.789109510335</v>
      </c>
    </row>
    <row r="16928" customFormat="false" ht="17.15" hidden="false" customHeight="false" outlineLevel="0" collapsed="false">
      <c r="A16928" s="1" t="s">
        <v>1254</v>
      </c>
      <c r="B16928" s="0" t="s">
        <v>98</v>
      </c>
      <c r="C16928" s="6" t="n">
        <f aca="false">(w_ntm28*Sens!G16919+(1-w_ntm28)*Sens!H16919)*m_cloud</f>
        <v>1089.03436702245</v>
      </c>
    </row>
    <row r="16929" customFormat="false" ht="17.15" hidden="false" customHeight="false" outlineLevel="0" collapsed="false">
      <c r="A16929" s="1" t="s">
        <v>1255</v>
      </c>
      <c r="B16929" s="0" t="s">
        <v>98</v>
      </c>
      <c r="C16929" s="6" t="n">
        <f aca="false">(w_ntm28*Sens!G16912+(1-w_ntm28)*Sens!H16912)*m_sw</f>
        <v>1082.84962646159</v>
      </c>
    </row>
    <row r="16930" customFormat="false" ht="17.15" hidden="false" customHeight="false" outlineLevel="0" collapsed="false">
      <c r="A16930" s="1" t="s">
        <v>1256</v>
      </c>
      <c r="B16930" s="0" t="s">
        <v>98</v>
      </c>
      <c r="C16930" s="6" t="n">
        <f aca="false">(w_ntm28*Sens!G16913+(1-w_ntm28)*Sens!H16913)*m_sw</f>
        <v>372.929250898731</v>
      </c>
    </row>
    <row r="16931" customFormat="false" ht="17.15" hidden="false" customHeight="false" outlineLevel="0" collapsed="false">
      <c r="A16931" s="1" t="s">
        <v>1257</v>
      </c>
      <c r="B16931" s="0" t="s">
        <v>98</v>
      </c>
      <c r="C16931" s="6" t="n">
        <f aca="false">(w_ntm28*Sens!G16914+(1-w_ntm28)*Sens!H16914)*m_sw</f>
        <v>109.1453525431</v>
      </c>
    </row>
    <row r="16932" customFormat="false" ht="17.15" hidden="false" customHeight="false" outlineLevel="0" collapsed="false">
      <c r="A16932" s="1" t="s">
        <v>1258</v>
      </c>
      <c r="B16932" s="0" t="s">
        <v>98</v>
      </c>
      <c r="C16932" s="6" t="n">
        <f aca="false">(w_ntm28*Sens!G16915+(1-w_ntm28)*Sens!H16915)*m_sw</f>
        <v>41.4942157634893</v>
      </c>
    </row>
    <row r="16933" customFormat="false" ht="17.15" hidden="false" customHeight="false" outlineLevel="0" collapsed="false">
      <c r="A16933" s="1" t="s">
        <v>1259</v>
      </c>
      <c r="B16933" s="0" t="s">
        <v>98</v>
      </c>
      <c r="C16933" s="6" t="n">
        <f aca="false">(w_ntm28*Sens!G16916+(1-w_ntm28)*Sens!H16916)*m_ads</f>
        <v>115.052171478463</v>
      </c>
    </row>
    <row r="16934" customFormat="false" ht="17.15" hidden="false" customHeight="false" outlineLevel="0" collapsed="false">
      <c r="A16934" s="1" t="s">
        <v>1260</v>
      </c>
      <c r="B16934" s="0" t="s">
        <v>98</v>
      </c>
      <c r="C16934" s="6" t="n">
        <f aca="false">(w_ntm28*Sens!G16921+(1-w_ntm28)*Sens!H16921)*m_game</f>
        <v>98.6441755076202</v>
      </c>
    </row>
    <row r="16935" customFormat="false" ht="17.15" hidden="false" customHeight="false" outlineLevel="0" collapsed="false">
      <c r="A16935" s="1" t="s">
        <v>1261</v>
      </c>
      <c r="B16935" s="0" t="s">
        <v>98</v>
      </c>
      <c r="C16935" s="6" t="n">
        <f aca="false">(w_ntm28*Sens!G16922+(1-w_ntm28)*Sens!H16922)*m_pc</f>
        <v>91.4523754763561</v>
      </c>
    </row>
    <row r="16936" customFormat="false" ht="17.15" hidden="false" customHeight="false" outlineLevel="0" collapsed="false">
      <c r="A16936" s="1" t="s">
        <v>1262</v>
      </c>
      <c r="B16936" s="0" t="s">
        <v>98</v>
      </c>
      <c r="C16936" s="6" t="n">
        <f aca="false">Sens!$C$16926+Sens!$C$16928+Sens!$C$16929+Sens!$C$16930+Sens!$C$16931+Sens!$C$16932+Sens!$C$16933+Sens!$C$16934+Sens!$C$16935</f>
        <v>3141.50726883521</v>
      </c>
    </row>
    <row r="16937" customFormat="false" ht="17.15" hidden="false" customHeight="false" outlineLevel="0" collapsed="false">
      <c r="A16937" s="1" t="s">
        <v>1263</v>
      </c>
      <c r="B16937" s="0" t="s">
        <v>98</v>
      </c>
      <c r="C16937" s="6" t="n">
        <f aca="false">(Sens!G16898-Sens!G16923)*t_stub</f>
        <v>47.8736427515113</v>
      </c>
      <c r="L16937" s="1" t="s">
        <v>1264</v>
      </c>
    </row>
    <row r="16938" customFormat="false" ht="17.15" hidden="false" customHeight="false" outlineLevel="0" collapsed="false">
      <c r="A16938" s="1" t="s">
        <v>1173</v>
      </c>
      <c r="B16938" s="0" t="s">
        <v>98</v>
      </c>
      <c r="C16938" s="6" t="n">
        <f aca="false">Sens!F16885+oai_v-Sens!F16874+Sens!$C$16937</f>
        <v>162.101912751511</v>
      </c>
      <c r="L16938" s="1" t="s">
        <v>1265</v>
      </c>
    </row>
    <row r="16939" customFormat="false" ht="17.15" hidden="false" customHeight="false" outlineLevel="0" collapsed="false">
      <c r="A16939" s="1" t="s">
        <v>1266</v>
      </c>
      <c r="B16939" s="0" t="s">
        <v>75</v>
      </c>
      <c r="C16939" s="5" t="n">
        <f aca="false">(Sens!$C$16936+Sens!$C$16938)/(Sens!F16887+dil_gap)-Sens!G16877*roll_div_q/q_per_yr</f>
        <v>439.705629955747</v>
      </c>
      <c r="L16939" s="1" t="s">
        <v>1267</v>
      </c>
    </row>
    <row r="16940" customFormat="false" ht="17.15" hidden="false" customHeight="false" outlineLevel="0" collapsed="false">
      <c r="A16940" s="1" t="s">
        <v>1268</v>
      </c>
      <c r="B16940" s="0" t="s">
        <v>75</v>
      </c>
      <c r="C16940" s="5" t="n">
        <f aca="false">w_dcf*Sens!$C$16910+(1-w_dcf)*Sens!$C$16939</f>
        <v>379.721135243714</v>
      </c>
    </row>
    <row r="16941" customFormat="false" ht="17.15" hidden="false" customHeight="false" outlineLevel="0" collapsed="false">
      <c r="A16941" s="3" t="s">
        <v>2029</v>
      </c>
    </row>
    <row r="16942" customFormat="false" ht="15" hidden="false" customHeight="false" outlineLevel="0" collapsed="false">
      <c r="A16942" s="4" t="s">
        <v>43</v>
      </c>
      <c r="B16942" s="4" t="s">
        <v>65</v>
      </c>
      <c r="C16942" s="23" t="s">
        <v>942</v>
      </c>
      <c r="D16942" s="23" t="s">
        <v>943</v>
      </c>
      <c r="E16942" s="23" t="s">
        <v>944</v>
      </c>
      <c r="F16942" s="23" t="s">
        <v>945</v>
      </c>
      <c r="G16942" s="23" t="s">
        <v>946</v>
      </c>
      <c r="H16942" s="23" t="s">
        <v>947</v>
      </c>
      <c r="I16942" s="23" t="s">
        <v>948</v>
      </c>
      <c r="J16942" s="23" t="s">
        <v>949</v>
      </c>
      <c r="K16942" s="23" t="s">
        <v>950</v>
      </c>
      <c r="L16942" s="4" t="s">
        <v>47</v>
      </c>
    </row>
    <row r="16943" customFormat="false" ht="17.15" hidden="false" customHeight="false" outlineLevel="0" collapsed="false">
      <c r="A16943" s="1" t="s">
        <v>951</v>
      </c>
      <c r="B16943" s="1" t="s">
        <v>279</v>
      </c>
      <c r="C16943" s="21" t="n">
        <v>2024</v>
      </c>
      <c r="D16943" s="21" t="n">
        <v>2025</v>
      </c>
      <c r="E16943" s="21" t="n">
        <v>2026</v>
      </c>
      <c r="F16943" s="21" t="n">
        <v>2027</v>
      </c>
      <c r="G16943" s="21" t="n">
        <v>2028</v>
      </c>
      <c r="H16943" s="21" t="n">
        <v>2029</v>
      </c>
      <c r="I16943" s="21" t="n">
        <v>2030</v>
      </c>
      <c r="J16943" s="21" t="n">
        <v>2031</v>
      </c>
      <c r="K16943" s="21" t="n">
        <v>2032</v>
      </c>
    </row>
    <row r="16944" customFormat="false" ht="17.15" hidden="false" customHeight="false" outlineLevel="0" collapsed="false">
      <c r="A16944" s="1" t="s">
        <v>952</v>
      </c>
      <c r="B16944" s="0" t="s">
        <v>459</v>
      </c>
      <c r="F16944" s="30" t="n">
        <f aca="false">pace</f>
        <v>2726.5351</v>
      </c>
      <c r="G16944" s="30" t="n">
        <f aca="false">pace</f>
        <v>2726.5351</v>
      </c>
      <c r="H16944" s="30" t="n">
        <f aca="false">pace</f>
        <v>2726.5351</v>
      </c>
      <c r="I16944" s="30" t="n">
        <f aca="false">pace+(g_tv*Sens!H16945-pace)*MIN(1,(Sens!I16943-pace_y0)/(pace_y1-pace_y0))</f>
        <v>1931.98611966667</v>
      </c>
      <c r="J16944" s="30" t="n">
        <f aca="false">pace+(g_tv*Sens!I16945-pace)*MIN(1,(Sens!J16943-pace_y0)/(pace_y1-pace_y0))</f>
        <v>1176.07686172667</v>
      </c>
      <c r="K16944" s="30" t="n">
        <f aca="false">pace+(g_tv*Sens!J16945-pace)*MIN(1,(Sens!K16943-pace_y0)/(pace_y1-pace_y0))</f>
        <v>436.1300484418</v>
      </c>
      <c r="L16944" s="12" t="s">
        <v>953</v>
      </c>
    </row>
    <row r="16945" customFormat="false" ht="17.15" hidden="false" customHeight="false" outlineLevel="0" collapsed="false">
      <c r="A16945" s="1" t="s">
        <v>954</v>
      </c>
      <c r="B16945" s="0" t="s">
        <v>459</v>
      </c>
      <c r="C16945" s="30" t="n">
        <f aca="false">mw_ext_24</f>
        <v>640</v>
      </c>
      <c r="D16945" s="30" t="n">
        <f aca="false">mw_ext_25</f>
        <v>1630</v>
      </c>
      <c r="E16945" s="30" t="n">
        <f aca="false">mw_ext_26</f>
        <v>3250</v>
      </c>
      <c r="F16945" s="30" t="n">
        <f aca="false">Sens!E16945+Sens!F16944</f>
        <v>5976.5351</v>
      </c>
      <c r="G16945" s="30" t="n">
        <f aca="false">Sens!F16945+Sens!G16944</f>
        <v>8703.0702</v>
      </c>
      <c r="H16945" s="30" t="n">
        <f aca="false">Sens!G16945+Sens!H16944</f>
        <v>11429.6053</v>
      </c>
      <c r="I16945" s="30" t="n">
        <f aca="false">Sens!H16945+Sens!I16944</f>
        <v>13361.5914196667</v>
      </c>
      <c r="J16945" s="30" t="n">
        <f aca="false">Sens!I16945+Sens!J16944</f>
        <v>14537.6682813933</v>
      </c>
      <c r="K16945" s="30" t="n">
        <f aca="false">Sens!J16945+Sens!K16944</f>
        <v>14973.7983298351</v>
      </c>
      <c r="L16945" s="1" t="s">
        <v>955</v>
      </c>
    </row>
    <row r="16946" customFormat="false" ht="17.15" hidden="false" customHeight="false" outlineLevel="0" collapsed="false">
      <c r="A16946" s="1" t="s">
        <v>956</v>
      </c>
      <c r="B16946" s="0" t="s">
        <v>459</v>
      </c>
      <c r="C16946" s="30" t="n">
        <f aca="false">rent_ext_24</f>
        <v>150</v>
      </c>
      <c r="D16946" s="30" t="n">
        <f aca="false">rent_ext_25</f>
        <v>400</v>
      </c>
      <c r="E16946" s="30" t="n">
        <f aca="false">rent_ext_26</f>
        <v>550</v>
      </c>
      <c r="F16946" s="30" t="n">
        <f aca="false">rent_ext_f</f>
        <v>756</v>
      </c>
      <c r="G16946" s="30" t="n">
        <f aca="false">rent_ext_f</f>
        <v>756</v>
      </c>
      <c r="H16946" s="30" t="n">
        <f aca="false">rent_ext_f</f>
        <v>756</v>
      </c>
      <c r="I16946" s="30" t="n">
        <f aca="false">rent_ext_f</f>
        <v>756</v>
      </c>
      <c r="J16946" s="30" t="n">
        <f aca="false">rent_ext_f</f>
        <v>756</v>
      </c>
      <c r="K16946" s="30" t="n">
        <f aca="false">rent_ext_f</f>
        <v>756</v>
      </c>
      <c r="L16946" s="1" t="s">
        <v>957</v>
      </c>
    </row>
    <row r="16947" customFormat="false" ht="17.15" hidden="false" customHeight="false" outlineLevel="0" collapsed="false">
      <c r="A16947" s="1" t="s">
        <v>958</v>
      </c>
      <c r="B16947" s="0" t="s">
        <v>459</v>
      </c>
      <c r="C16947" s="30" t="n">
        <f aca="false">Sens!C16945-Sens!C16946</f>
        <v>490</v>
      </c>
      <c r="D16947" s="30" t="n">
        <f aca="false">Sens!D16945-Sens!D16946</f>
        <v>1230</v>
      </c>
      <c r="E16947" s="30" t="n">
        <f aca="false">Sens!E16945-Sens!E16946</f>
        <v>2700</v>
      </c>
      <c r="F16947" s="30" t="n">
        <f aca="false">Sens!F16945-Sens!F16946</f>
        <v>5220.5351</v>
      </c>
      <c r="G16947" s="30" t="n">
        <f aca="false">Sens!G16945-Sens!G16946</f>
        <v>7947.0702</v>
      </c>
      <c r="H16947" s="30" t="n">
        <f aca="false">Sens!H16945-Sens!H16946</f>
        <v>10673.6053</v>
      </c>
      <c r="I16947" s="30" t="n">
        <f aca="false">Sens!I16945-Sens!I16946</f>
        <v>12605.5914196667</v>
      </c>
      <c r="J16947" s="30" t="n">
        <f aca="false">Sens!J16945-Sens!J16946</f>
        <v>13781.6682813933</v>
      </c>
      <c r="K16947" s="30" t="n">
        <f aca="false">Sens!K16945-Sens!K16946</f>
        <v>14217.7983298351</v>
      </c>
    </row>
    <row r="16948" customFormat="false" ht="17.15" hidden="false" customHeight="false" outlineLevel="0" collapsed="false">
      <c r="A16948" s="1" t="s">
        <v>959</v>
      </c>
      <c r="B16948" s="0" t="s">
        <v>459</v>
      </c>
      <c r="C16948" s="30" t="n">
        <f aca="false">Sens!C16947/ext_sh</f>
        <v>816.666666666667</v>
      </c>
      <c r="D16948" s="30" t="n">
        <f aca="false">Sens!D16947/ext_sh</f>
        <v>2050</v>
      </c>
      <c r="E16948" s="30" t="n">
        <f aca="false">Sens!E16947/ext_sh</f>
        <v>4500</v>
      </c>
      <c r="F16948" s="30" t="n">
        <f aca="false">Sens!F16947/ext_sh</f>
        <v>8700.89183333333</v>
      </c>
      <c r="G16948" s="30" t="n">
        <f aca="false">Sens!G16947/ext_sh</f>
        <v>13245.117</v>
      </c>
      <c r="H16948" s="30" t="n">
        <f aca="false">Sens!H16947/ext_sh</f>
        <v>17789.3421666667</v>
      </c>
      <c r="I16948" s="30" t="n">
        <f aca="false">Sens!I16947/ext_sh</f>
        <v>21009.3190327778</v>
      </c>
      <c r="J16948" s="30" t="n">
        <f aca="false">Sens!J16947/ext_sh</f>
        <v>22969.4471356556</v>
      </c>
      <c r="K16948" s="30" t="n">
        <f aca="false">Sens!K16947/ext_sh</f>
        <v>23696.3305497252</v>
      </c>
      <c r="L16948" s="1" t="s">
        <v>960</v>
      </c>
    </row>
    <row r="16949" customFormat="false" ht="17.15" hidden="false" customHeight="false" outlineLevel="0" collapsed="false">
      <c r="A16949" s="1" t="s">
        <v>961</v>
      </c>
      <c r="B16949" s="0" t="s">
        <v>459</v>
      </c>
      <c r="C16949" s="30" t="n">
        <f aca="false">Sens!C16948-Sens!C16947</f>
        <v>326.666666666667</v>
      </c>
      <c r="D16949" s="30" t="n">
        <f aca="false">Sens!D16948-Sens!D16947</f>
        <v>820</v>
      </c>
      <c r="E16949" s="30" t="n">
        <f aca="false">Sens!E16948-Sens!E16947</f>
        <v>1800</v>
      </c>
      <c r="F16949" s="30" t="n">
        <f aca="false">Sens!F16948-Sens!F16947</f>
        <v>3480.35673333333</v>
      </c>
      <c r="G16949" s="30" t="n">
        <f aca="false">Sens!G16948-Sens!G16947</f>
        <v>5298.0468</v>
      </c>
      <c r="H16949" s="30" t="n">
        <f aca="false">Sens!H16948-Sens!H16947</f>
        <v>7115.73686666667</v>
      </c>
      <c r="I16949" s="30" t="n">
        <f aca="false">Sens!I16948-Sens!I16947</f>
        <v>8403.72761311111</v>
      </c>
      <c r="J16949" s="30" t="n">
        <f aca="false">Sens!J16948-Sens!J16947</f>
        <v>9187.77885426222</v>
      </c>
      <c r="K16949" s="30" t="n">
        <f aca="false">Sens!K16948-Sens!K16947</f>
        <v>9478.53221989009</v>
      </c>
    </row>
    <row r="16950" customFormat="false" ht="17.15" hidden="false" customHeight="false" outlineLevel="0" collapsed="false">
      <c r="A16950" s="1" t="s">
        <v>962</v>
      </c>
      <c r="B16950" s="0" t="s">
        <v>459</v>
      </c>
      <c r="C16950" s="30" t="n">
        <f aca="false">Sens!C16948</f>
        <v>816.666666666667</v>
      </c>
      <c r="D16950" s="30" t="n">
        <f aca="false">Sens!D16948-Sens!C16948</f>
        <v>1233.33333333333</v>
      </c>
      <c r="E16950" s="30" t="n">
        <f aca="false">Sens!E16948-Sens!D16948</f>
        <v>2450</v>
      </c>
      <c r="F16950" s="30" t="n">
        <f aca="false">Sens!F16948-Sens!E16948</f>
        <v>4200.89183333333</v>
      </c>
      <c r="G16950" s="30" t="n">
        <f aca="false">Sens!G16948-Sens!F16948</f>
        <v>4544.22516666667</v>
      </c>
      <c r="H16950" s="30" t="n">
        <f aca="false">Sens!H16948-Sens!G16948</f>
        <v>4544.22516666667</v>
      </c>
      <c r="I16950" s="30" t="n">
        <f aca="false">Sens!I16948-Sens!H16948</f>
        <v>3219.97686611111</v>
      </c>
      <c r="J16950" s="30" t="n">
        <f aca="false">Sens!J16948-Sens!I16948</f>
        <v>1960.12810287778</v>
      </c>
      <c r="K16950" s="30" t="n">
        <f aca="false">Sens!K16948-Sens!J16948</f>
        <v>726.883414069667</v>
      </c>
    </row>
    <row r="16951" customFormat="false" ht="17.15" hidden="false" customHeight="false" outlineLevel="0" collapsed="false">
      <c r="A16951" s="1" t="s">
        <v>963</v>
      </c>
      <c r="B16951" s="0" t="s">
        <v>459</v>
      </c>
      <c r="D16951" s="30" t="n">
        <f aca="false">Sens!D16945-Sens!C16945</f>
        <v>990</v>
      </c>
      <c r="E16951" s="30" t="n">
        <f aca="false">Sens!E16945-Sens!D16945</f>
        <v>1620</v>
      </c>
      <c r="F16951" s="30" t="n">
        <f aca="false">Sens!F16945-Sens!E16945</f>
        <v>2726.5351</v>
      </c>
      <c r="G16951" s="30" t="n">
        <f aca="false">Sens!G16945-Sens!F16945</f>
        <v>2726.5351</v>
      </c>
      <c r="H16951" s="30" t="n">
        <f aca="false">Sens!H16945-Sens!G16945</f>
        <v>2726.5351</v>
      </c>
      <c r="I16951" s="30" t="n">
        <f aca="false">Sens!I16945-Sens!H16945</f>
        <v>1931.98611966667</v>
      </c>
      <c r="J16951" s="30" t="n">
        <f aca="false">Sens!J16945-Sens!I16945</f>
        <v>1176.07686172667</v>
      </c>
      <c r="K16951" s="30" t="n">
        <f aca="false">Sens!K16945-Sens!J16945</f>
        <v>436.130048441799</v>
      </c>
    </row>
    <row r="16952" customFormat="false" ht="17.15" hidden="false" customHeight="false" outlineLevel="0" collapsed="false">
      <c r="A16952" s="1" t="s">
        <v>964</v>
      </c>
      <c r="B16952" s="0" t="s">
        <v>459</v>
      </c>
      <c r="F16952" s="30" t="n">
        <f aca="false">Sens!F16971*ext_sh</f>
        <v>0</v>
      </c>
      <c r="G16952" s="30" t="n">
        <f aca="false">Sens!G16971*ext_sh</f>
        <v>0</v>
      </c>
      <c r="H16952" s="30" t="n">
        <f aca="false">Sens!H16971*ext_sh</f>
        <v>0</v>
      </c>
      <c r="I16952" s="30" t="n">
        <f aca="false">Sens!I16971*ext_sh</f>
        <v>490</v>
      </c>
      <c r="J16952" s="30" t="n">
        <f aca="false">Sens!J16971*ext_sh</f>
        <v>740</v>
      </c>
      <c r="K16952" s="30" t="n">
        <f aca="false">Sens!K16971*ext_sh</f>
        <v>1470</v>
      </c>
      <c r="L16952" s="1" t="s">
        <v>965</v>
      </c>
    </row>
    <row r="16953" customFormat="false" ht="17.15" hidden="false" customHeight="false" outlineLevel="0" collapsed="false">
      <c r="A16953" s="1" t="s">
        <v>966</v>
      </c>
      <c r="B16953" s="0" t="s">
        <v>459</v>
      </c>
      <c r="C16953" s="30" t="n">
        <f aca="false">mix_h*Sens!C16945</f>
        <v>128</v>
      </c>
      <c r="D16953" s="30" t="n">
        <f aca="false">mix_h*Sens!D16945</f>
        <v>326</v>
      </c>
      <c r="E16953" s="30" t="n">
        <f aca="false">mix_h*Sens!E16945</f>
        <v>650</v>
      </c>
      <c r="F16953" s="30" t="n">
        <f aca="false">Sens!E16953-Sens!F16952*mix_h</f>
        <v>650</v>
      </c>
      <c r="G16953" s="30" t="n">
        <f aca="false">Sens!F16953-Sens!G16952*mix_h</f>
        <v>650</v>
      </c>
      <c r="H16953" s="30" t="n">
        <f aca="false">Sens!G16953-Sens!H16952*mix_h</f>
        <v>650</v>
      </c>
      <c r="I16953" s="30" t="n">
        <f aca="false">Sens!H16953-Sens!I16952*mix_h</f>
        <v>552</v>
      </c>
      <c r="J16953" s="30" t="n">
        <f aca="false">Sens!I16953-Sens!J16952*mix_h</f>
        <v>404</v>
      </c>
      <c r="K16953" s="30" t="n">
        <f aca="false">Sens!J16953-Sens!K16952*mix_h</f>
        <v>110</v>
      </c>
    </row>
    <row r="16954" customFormat="false" ht="17.15" hidden="false" customHeight="false" outlineLevel="0" collapsed="false">
      <c r="A16954" s="1" t="s">
        <v>967</v>
      </c>
      <c r="B16954" s="0" t="s">
        <v>459</v>
      </c>
      <c r="C16954" s="30" t="n">
        <f aca="false">mix_g2*Sens!C16945</f>
        <v>288</v>
      </c>
      <c r="D16954" s="30" t="n">
        <f aca="false">mix_g2*Sens!D16945</f>
        <v>733.5</v>
      </c>
      <c r="E16954" s="30" t="n">
        <f aca="false">mix_g2*Sens!E16945</f>
        <v>1462.5</v>
      </c>
      <c r="F16954" s="30" t="n">
        <f aca="false">Sens!E16954-Sens!F16952*mix_g2</f>
        <v>1462.5</v>
      </c>
      <c r="G16954" s="30" t="n">
        <f aca="false">Sens!F16954-Sens!G16952*mix_g2</f>
        <v>1462.5</v>
      </c>
      <c r="H16954" s="30" t="n">
        <f aca="false">Sens!G16954-Sens!H16952*mix_g2</f>
        <v>1462.5</v>
      </c>
      <c r="I16954" s="30" t="n">
        <f aca="false">Sens!H16954-Sens!I16952*mix_g2</f>
        <v>1242</v>
      </c>
      <c r="J16954" s="30" t="n">
        <f aca="false">Sens!I16954-Sens!J16952*mix_g2</f>
        <v>909</v>
      </c>
      <c r="K16954" s="30" t="n">
        <f aca="false">Sens!J16954-Sens!K16952*mix_g2</f>
        <v>247.5</v>
      </c>
    </row>
    <row r="16955" customFormat="false" ht="17.15" hidden="false" customHeight="false" outlineLevel="0" collapsed="false">
      <c r="A16955" s="1" t="s">
        <v>968</v>
      </c>
      <c r="B16955" s="0" t="s">
        <v>459</v>
      </c>
      <c r="C16955" s="30" t="n">
        <f aca="false">mix_g3*Sens!C16945</f>
        <v>224</v>
      </c>
      <c r="D16955" s="30" t="n">
        <f aca="false">mix_g3*Sens!D16945</f>
        <v>570.5</v>
      </c>
      <c r="E16955" s="30" t="n">
        <f aca="false">mix_g3*Sens!E16945</f>
        <v>1137.5</v>
      </c>
      <c r="F16955" s="30" t="n">
        <f aca="false">Sens!E16955+(Sens!F16951+Sens!F16952)*(a_g3_27-nonnv*a_mai)-Sens!F16952*mix_g3</f>
        <v>2773.42106</v>
      </c>
      <c r="G16955" s="30" t="n">
        <f aca="false">Sens!F16955+(Sens!G16951+Sens!G16952)*(a_g3_28-nonnv*a_mai)-Sens!G16952*mix_g3</f>
        <v>3318.72808</v>
      </c>
      <c r="H16955" s="30" t="n">
        <f aca="false">Sens!G16955+(Sens!H16951+Sens!H16952)*(a_g3_29-nonnv*a_mai)-Sens!H16952*mix_g3</f>
        <v>3318.72808</v>
      </c>
      <c r="I16955" s="30" t="n">
        <f aca="false">Sens!H16955+(Sens!I16951+Sens!I16952)*(a_g3_29-nonnv*a_mai)-Sens!I16952*mix_g3</f>
        <v>3147.22808</v>
      </c>
      <c r="J16955" s="30" t="n">
        <f aca="false">Sens!I16955+(Sens!J16951+Sens!J16952)*(a_g3_29-nonnv*a_mai)-Sens!J16952*mix_g3</f>
        <v>2888.22808</v>
      </c>
      <c r="K16955" s="30" t="n">
        <f aca="false">Sens!J16955+(Sens!K16951+Sens!K16952)*(a_g3_29-nonnv*a_mai)-Sens!K16952*mix_g3</f>
        <v>2373.72808</v>
      </c>
    </row>
    <row r="16956" customFormat="false" ht="17.15" hidden="false" customHeight="false" outlineLevel="0" collapsed="false">
      <c r="A16956" s="1" t="s">
        <v>969</v>
      </c>
      <c r="B16956" s="0" t="s">
        <v>459</v>
      </c>
      <c r="C16956" s="30" t="n">
        <v>0</v>
      </c>
      <c r="D16956" s="30" t="n">
        <v>0</v>
      </c>
      <c r="E16956" s="30" t="n">
        <v>0</v>
      </c>
      <c r="F16956" s="30" t="n">
        <f aca="false">Sens!E16956+(Sens!F16951+Sens!F16952)*nonnv*a_mai</f>
        <v>272.65351</v>
      </c>
      <c r="G16956" s="30" t="n">
        <f aca="false">Sens!F16956+(Sens!G16951+Sens!G16952)*nonnv*a_mai</f>
        <v>545.30702</v>
      </c>
      <c r="H16956" s="30" t="n">
        <f aca="false">Sens!G16956+(Sens!H16951+Sens!H16952)*nonnv*a_mai</f>
        <v>817.96053</v>
      </c>
      <c r="I16956" s="30" t="n">
        <f aca="false">Sens!H16956+(Sens!I16951+Sens!I16952)*nonnv*a_mai</f>
        <v>1060.15914196667</v>
      </c>
      <c r="J16956" s="30" t="n">
        <f aca="false">Sens!I16956+(Sens!J16951+Sens!J16952)*nonnv*a_mai</f>
        <v>1251.76682813933</v>
      </c>
      <c r="K16956" s="30" t="n">
        <f aca="false">Sens!J16956+(Sens!K16951+Sens!K16952)*nonnv*a_mai</f>
        <v>1442.37983298351</v>
      </c>
      <c r="L16956" s="12" t="s">
        <v>970</v>
      </c>
    </row>
    <row r="16957" customFormat="false" ht="17.15" hidden="false" customHeight="false" outlineLevel="0" collapsed="false">
      <c r="A16957" s="1" t="s">
        <v>971</v>
      </c>
      <c r="B16957" s="0" t="s">
        <v>459</v>
      </c>
      <c r="C16957" s="30" t="n">
        <v>0</v>
      </c>
      <c r="D16957" s="30" t="n">
        <v>0</v>
      </c>
      <c r="E16957" s="30" t="n">
        <v>0</v>
      </c>
      <c r="F16957" s="30" t="n">
        <f aca="false">Sens!E16957+(Sens!F16951+Sens!F16952)*(1-a_g3_27)</f>
        <v>817.96053</v>
      </c>
      <c r="G16957" s="30" t="n">
        <f aca="false">Sens!F16957+(Sens!G16951+Sens!G16952)*(1-a_g3_28)</f>
        <v>2726.5351</v>
      </c>
      <c r="H16957" s="30" t="n">
        <f aca="false">Sens!G16957+(Sens!H16951+Sens!H16952)*(1-a_g3_29)</f>
        <v>5180.41669</v>
      </c>
      <c r="I16957" s="30" t="n">
        <f aca="false">Sens!H16957+(Sens!I16951+Sens!I16952)*(1-a_g3_29)</f>
        <v>7360.2041977</v>
      </c>
      <c r="J16957" s="30" t="n">
        <f aca="false">Sens!I16957+(Sens!J16951+Sens!J16952)*(1-a_g3_29)</f>
        <v>9084.673373254</v>
      </c>
      <c r="K16957" s="30" t="n">
        <f aca="false">Sens!J16957+(Sens!K16951+Sens!K16952)*(1-a_g3_29)</f>
        <v>10800.1904168516</v>
      </c>
    </row>
    <row r="16958" customFormat="false" ht="17.15" hidden="false" customHeight="false" outlineLevel="0" collapsed="false">
      <c r="A16958" s="1" t="s">
        <v>972</v>
      </c>
      <c r="B16958" s="0" t="s">
        <v>403</v>
      </c>
      <c r="C16958" s="15" t="n">
        <f aca="false">(Sens!C16953*tk_hold_h100+Sens!C16954*tk_hold_gb200+Sens!C16955*tk_hold_gb300+Sens!C16957*tk_hold_vr200+Sens!C16956*nv_hold_mai*tk_hold_vr200)/Sens!C16945</f>
        <v>9.7235358126469</v>
      </c>
      <c r="D16958" s="15" t="n">
        <f aca="false">(Sens!D16953*tk_hold_h100+Sens!D16954*tk_hold_gb200+Sens!D16955*tk_hold_gb300+Sens!D16957*tk_hold_vr200+Sens!D16956*nv_hold_mai*tk_hold_vr200)/Sens!D16945</f>
        <v>9.7235358126469</v>
      </c>
      <c r="E16958" s="15" t="n">
        <f aca="false">(Sens!E16953*tk_hold_h100+Sens!E16954*tk_hold_gb200+Sens!E16955*tk_hold_gb300+Sens!E16957*tk_hold_vr200+Sens!E16956*nv_hold_mai*tk_hold_vr200)/Sens!E16945</f>
        <v>9.7235358126469</v>
      </c>
      <c r="F16958" s="15" t="n">
        <f aca="false">(Sens!F16953*tk_hold_h100+Sens!F16954*tk_hold_gb200+Sens!F16955*tk_hold_gb300+Sens!F16957*tk_hold_vr200+Sens!F16956*nv_hold_mai*tk_hold_vr200)/Sens!F16945</f>
        <v>10.2195353876665</v>
      </c>
      <c r="G16958" s="15" t="n">
        <f aca="false">(Sens!G16953*tk_hold_h100+Sens!G16954*tk_hold_gb200+Sens!G16955*tk_hold_gb300+Sens!G16957*tk_hold_vr200+Sens!G16956*nv_hold_mai*tk_hold_vr200)/Sens!G16945</f>
        <v>10.5725598017306</v>
      </c>
      <c r="H16958" s="15" t="n">
        <f aca="false">(Sens!H16953*tk_hold_h100+Sens!H16954*tk_hold_gb200+Sens!H16955*tk_hold_gb300+Sens!H16957*tk_hold_vr200+Sens!H16956*nv_hold_mai*tk_hold_vr200)/Sens!H16945</f>
        <v>10.8210427149036</v>
      </c>
      <c r="I16958" s="15" t="n">
        <f aca="false">(Sens!I16953*tk_hold_h100+Sens!I16954*tk_hold_gb200+Sens!I16955*tk_hold_gb300+Sens!I16957*tk_hold_vr200+Sens!I16956*nv_hold_mai*tk_hold_vr200)/Sens!I16945</f>
        <v>11.0050618241982</v>
      </c>
      <c r="J16958" s="15" t="n">
        <f aca="false">(Sens!J16953*tk_hold_h100+Sens!J16954*tk_hold_gb200+Sens!J16955*tk_hold_gb300+Sens!J16957*tk_hold_vr200+Sens!J16956*nv_hold_mai*tk_hold_vr200)/Sens!J16945</f>
        <v>11.1505789658881</v>
      </c>
      <c r="K16958" s="15" t="n">
        <f aca="false">(Sens!K16953*tk_hold_h100+Sens!K16954*tk_hold_gb200+Sens!K16955*tk_hold_gb300+Sens!K16957*tk_hold_vr200+Sens!K16956*nv_hold_mai*tk_hold_vr200)/Sens!K16945</f>
        <v>11.3496914757183</v>
      </c>
      <c r="L16958" s="1" t="s">
        <v>973</v>
      </c>
    </row>
    <row r="16959" customFormat="false" ht="17.15" hidden="false" customHeight="false" outlineLevel="0" collapsed="false">
      <c r="A16959" s="1" t="s">
        <v>974</v>
      </c>
      <c r="B16959" s="0" t="s">
        <v>403</v>
      </c>
      <c r="C16959" s="15" t="n">
        <f aca="false">(Sens!C16953*tk_hold_h100+Sens!C16954*tk_hold_gb200+Sens!C16955*tk_hold_gb300+Sens!C16957*tk_hold_vr200+Sens!C16956*nv_out_mai*tk_hold_vr200)/Sens!C16945</f>
        <v>9.7235358126469</v>
      </c>
      <c r="D16959" s="15" t="n">
        <f aca="false">(Sens!D16953*tk_hold_h100+Sens!D16954*tk_hold_gb200+Sens!D16955*tk_hold_gb300+Sens!D16957*tk_hold_vr200+Sens!D16956*nv_out_mai*tk_hold_vr200)/Sens!D16945</f>
        <v>9.7235358126469</v>
      </c>
      <c r="E16959" s="15" t="n">
        <f aca="false">(Sens!E16953*tk_hold_h100+Sens!E16954*tk_hold_gb200+Sens!E16955*tk_hold_gb300+Sens!E16957*tk_hold_vr200+Sens!E16956*nv_out_mai*tk_hold_vr200)/Sens!E16945</f>
        <v>9.7235358126469</v>
      </c>
      <c r="F16959" s="15" t="n">
        <f aca="false">(Sens!F16953*tk_hold_h100+Sens!F16954*tk_hold_gb200+Sens!F16955*tk_hold_gb300+Sens!F16957*tk_hold_vr200+Sens!F16956*nv_out_mai*tk_hold_vr200)/Sens!F16945</f>
        <v>10.247422093969</v>
      </c>
      <c r="G16959" s="15" t="n">
        <f aca="false">(Sens!G16953*tk_hold_h100+Sens!G16954*tk_hold_gb200+Sens!G16955*tk_hold_gb300+Sens!G16957*tk_hold_vr200+Sens!G16956*nv_out_mai*tk_hold_vr200)/Sens!G16945</f>
        <v>10.6108602808053</v>
      </c>
      <c r="H16959" s="15" t="n">
        <f aca="false">(Sens!H16953*tk_hold_h100+Sens!H16954*tk_hold_gb200+Sens!H16955*tk_hold_gb300+Sens!H16957*tk_hold_vr200+Sens!H16956*nv_out_mai*tk_hold_vr200)/Sens!H16945</f>
        <v>10.8647885507393</v>
      </c>
      <c r="I16959" s="15" t="n">
        <f aca="false">(Sens!I16953*tk_hold_h100+Sens!I16954*tk_hold_gb200+Sens!I16955*tk_hold_gb300+Sens!I16957*tk_hold_vr200+Sens!I16956*nv_out_mai*tk_hold_vr200)/Sens!I16945</f>
        <v>11.0535625770025</v>
      </c>
      <c r="J16959" s="15" t="n">
        <f aca="false">(Sens!J16953*tk_hold_h100+Sens!J16954*tk_hold_gb200+Sens!J16955*tk_hold_gb300+Sens!J16957*tk_hold_vr200+Sens!J16956*nv_out_mai*tk_hold_vr200)/Sens!J16945</f>
        <v>11.2032127128058</v>
      </c>
      <c r="K16959" s="15" t="n">
        <f aca="false">(Sens!K16953*tk_hold_h100+Sens!K16954*tk_hold_gb200+Sens!K16955*tk_hold_gb300+Sens!K16957*tk_hold_vr200+Sens!K16956*nv_out_mai*tk_hold_vr200)/Sens!K16945</f>
        <v>11.4085735724225</v>
      </c>
      <c r="L16959" s="12" t="s">
        <v>975</v>
      </c>
    </row>
    <row r="16960" customFormat="false" ht="17.15" hidden="false" customHeight="false" outlineLevel="0" collapsed="false">
      <c r="A16960" s="0" t="s">
        <v>976</v>
      </c>
      <c r="B16960" s="0" t="s">
        <v>229</v>
      </c>
      <c r="C16960" s="15" t="n">
        <f aca="false">k_B</f>
        <v>1.17213932619116</v>
      </c>
      <c r="D16960" s="15" t="n">
        <f aca="false">k_B</f>
        <v>1.17213932619116</v>
      </c>
      <c r="E16960" s="15" t="n">
        <f aca="false">k_B</f>
        <v>1.17213932619116</v>
      </c>
      <c r="F16960" s="15" t="n">
        <f aca="false">(k_B+((ls_C*k_long+(1-ls_C)*k_spot)-k_B)*MIN(1,(Sens!F16943-base_fy)/k_ramp))</f>
        <v>1.07843258004497</v>
      </c>
      <c r="G16960" s="15" t="n">
        <f aca="false">(k_B+((ls_C*k_long+(1-ls_C)*k_spot)-k_B)*MIN(1,(Sens!G16943-base_fy)/k_ramp))</f>
        <v>0.984725833898784</v>
      </c>
      <c r="H16960" s="15" t="n">
        <f aca="false">(k_B+((ls_C*k_long+(1-ls_C)*k_spot)-k_B)*MIN(1,(Sens!H16943-base_fy)/k_ramp))</f>
        <v>0.891019087752599</v>
      </c>
      <c r="I16960" s="15" t="n">
        <f aca="false">(k_B+((ls_C*k_long+(1-ls_C)*k_spot)-k_B)*MIN(1,(Sens!I16943-base_fy)/k_ramp))</f>
        <v>0.891019087752599</v>
      </c>
      <c r="J16960" s="15" t="n">
        <f aca="false">(k_B+((ls_C*k_long+(1-ls_C)*k_spot)-k_B)*MIN(1,(Sens!J16943-base_fy)/k_ramp))</f>
        <v>0.891019087752599</v>
      </c>
      <c r="K16960" s="15" t="n">
        <f aca="false">(k_B+((ls_C*k_long+(1-ls_C)*k_spot)-k_B)*MIN(1,(Sens!K16943-base_fy)/k_ramp))</f>
        <v>0.891019087752599</v>
      </c>
      <c r="L16960" s="1" t="s">
        <v>977</v>
      </c>
    </row>
    <row r="16961" customFormat="false" ht="17.15" hidden="false" customHeight="false" outlineLevel="0" collapsed="false">
      <c r="A16961" s="1" t="s">
        <v>978</v>
      </c>
      <c r="B16961" s="0" t="s">
        <v>403</v>
      </c>
      <c r="C16961" s="15" t="n">
        <f aca="false">Sens!C16959*Sens!C16960*chip_f</f>
        <v>11.3973387156315</v>
      </c>
      <c r="D16961" s="15" t="n">
        <f aca="false">Sens!D16959*Sens!D16960*chip_f</f>
        <v>11.3973387156315</v>
      </c>
      <c r="E16961" s="15" t="n">
        <f aca="false">Sens!E16959*Sens!E16960*chip_f</f>
        <v>11.3973387156315</v>
      </c>
      <c r="F16961" s="15" t="n">
        <f aca="false">Sens!F16959*Sens!F16960*chip_f</f>
        <v>11.0511538476088</v>
      </c>
      <c r="G16961" s="15" t="n">
        <f aca="false">Sens!G16959*Sens!G16960*chip_f</f>
        <v>10.4487882383995</v>
      </c>
      <c r="H16961" s="15" t="n">
        <f aca="false">Sens!H16959*Sens!H16960*chip_f</f>
        <v>9.68073398310464</v>
      </c>
      <c r="I16961" s="15" t="n">
        <f aca="false">Sens!I16959*Sens!I16960*chip_f</f>
        <v>9.84893524377706</v>
      </c>
      <c r="J16961" s="15" t="n">
        <f aca="false">Sens!J16959*Sens!J16960*chip_f</f>
        <v>9.98227637126252</v>
      </c>
      <c r="K16961" s="15" t="n">
        <f aca="false">Sens!K16959*Sens!K16960*chip_f</f>
        <v>10.1652568170583</v>
      </c>
      <c r="L16961" s="1" t="s">
        <v>979</v>
      </c>
    </row>
    <row r="16962" customFormat="false" ht="17.15" hidden="false" customHeight="false" outlineLevel="0" collapsed="false">
      <c r="A16962" s="0" t="s">
        <v>980</v>
      </c>
      <c r="B16962" s="0" t="s">
        <v>98</v>
      </c>
      <c r="D16962" s="6" t="n">
        <f aca="false">(Sens!C16945+Sens!D16945)/2*Sens!D16961/1000</f>
        <v>12.9359794422418</v>
      </c>
      <c r="E16962" s="6" t="n">
        <f aca="false">(Sens!D16945+Sens!E16945)/2*Sens!E16961/1000</f>
        <v>27.8095064661409</v>
      </c>
      <c r="F16962" s="6" t="n">
        <f aca="false">(Sens!E16945+Sens!F16945)/2*Sens!F16961/1000</f>
        <v>50.9819294352312</v>
      </c>
      <c r="G16962" s="6" t="n">
        <f aca="false">(Sens!F16945+Sens!G16945)/2*Sens!G16961/1000</f>
        <v>76.6920436014933</v>
      </c>
      <c r="H16962" s="6" t="n">
        <f aca="false">(Sens!G16945+Sens!H16945)/2*Sens!H16961/1000</f>
        <v>97.4495379418341</v>
      </c>
      <c r="I16962" s="6" t="n">
        <f aca="false">(Sens!H16945+Sens!I16945)/2*Sens!I16961/1000</f>
        <v>122.083445553868</v>
      </c>
      <c r="J16962" s="6" t="n">
        <f aca="false">(Sens!I16945+Sens!J16945)/2*Sens!J16961/1000</f>
        <v>139.249060444804</v>
      </c>
      <c r="K16962" s="6" t="n">
        <f aca="false">(Sens!J16945+Sens!K16945)/2*Sens!K16961/1000</f>
        <v>149.995818575589</v>
      </c>
      <c r="L16962" s="12" t="s">
        <v>981</v>
      </c>
    </row>
    <row r="16963" customFormat="false" ht="17.15" hidden="false" customHeight="false" outlineLevel="0" collapsed="false">
      <c r="A16963" s="1" t="s">
        <v>982</v>
      </c>
      <c r="B16963" s="0" t="s">
        <v>403</v>
      </c>
      <c r="C16963" s="15" t="n">
        <f aca="false">(Sens!C16953*tk_opex_h100+Sens!C16954*tk_opex_gb200+Sens!C16955*tk_opex_gb300+(Sens!C16957+Sens!C16956)*tk_opex_vr200)/Sens!C16945</f>
        <v>1.88636041306092</v>
      </c>
      <c r="D16963" s="15" t="n">
        <f aca="false">(Sens!D16953*tk_opex_h100+Sens!D16954*tk_opex_gb200+Sens!D16955*tk_opex_gb300+(Sens!D16957+Sens!D16956)*tk_opex_vr200)/Sens!D16945</f>
        <v>1.88636041306092</v>
      </c>
      <c r="E16963" s="15" t="n">
        <f aca="false">(Sens!E16953*tk_opex_h100+Sens!E16954*tk_opex_gb200+Sens!E16955*tk_opex_gb300+(Sens!E16957+Sens!E16956)*tk_opex_vr200)/Sens!E16945</f>
        <v>1.88636041306092</v>
      </c>
      <c r="F16963" s="15" t="n">
        <f aca="false">(Sens!F16953*tk_opex_h100+Sens!F16954*tk_opex_gb200+Sens!F16955*tk_opex_gb300+(Sens!F16957+Sens!F16956)*tk_opex_vr200)/Sens!F16945</f>
        <v>1.95051159746876</v>
      </c>
      <c r="G16963" s="15" t="n">
        <f aca="false">(Sens!G16953*tk_opex_h100+Sens!G16954*tk_opex_gb200+Sens!G16955*tk_opex_gb300+(Sens!G16957+Sens!G16956)*tk_opex_vr200)/Sens!G16945</f>
        <v>1.98836003669956</v>
      </c>
      <c r="H16963" s="15" t="n">
        <f aca="false">(Sens!H16953*tk_opex_h100+Sens!H16954*tk_opex_gb200+Sens!H16955*tk_opex_gb300+(Sens!H16957+Sens!H16956)*tk_opex_vr200)/Sens!H16945</f>
        <v>2.01344013834343</v>
      </c>
      <c r="I16963" s="15" t="n">
        <f aca="false">(Sens!I16953*tk_opex_h100+Sens!I16954*tk_opex_gb200+Sens!I16955*tk_opex_gb300+(Sens!I16957+Sens!I16956)*tk_opex_vr200)/Sens!I16945</f>
        <v>2.03261166882178</v>
      </c>
      <c r="J16963" s="15" t="n">
        <f aca="false">(Sens!J16953*tk_opex_h100+Sens!J16954*tk_opex_gb200+Sens!J16955*tk_opex_gb300+(Sens!J16957+Sens!J16956)*tk_opex_vr200)/Sens!J16945</f>
        <v>2.04808073288745</v>
      </c>
      <c r="K16963" s="15" t="n">
        <f aca="false">(Sens!K16953*tk_opex_h100+Sens!K16954*tk_opex_gb200+Sens!K16955*tk_opex_gb300+(Sens!K16957+Sens!K16956)*tk_opex_vr200)/Sens!K16945</f>
        <v>2.06973825807449</v>
      </c>
      <c r="L16963" s="12" t="s">
        <v>983</v>
      </c>
    </row>
    <row r="16964" customFormat="false" ht="17.15" hidden="false" customHeight="false" outlineLevel="0" collapsed="false">
      <c r="A16964" s="0" t="s">
        <v>984</v>
      </c>
      <c r="B16964" s="0" t="s">
        <v>98</v>
      </c>
      <c r="D16964" s="6" t="n">
        <f aca="false">(Sens!C16948+Sens!D16948)/2*Sens!D16963/1000</f>
        <v>2.70378325872065</v>
      </c>
      <c r="E16964" s="6" t="n">
        <f aca="false">(Sens!D16948+Sens!E16948)/2*Sens!E16963/1000</f>
        <v>6.17783035277451</v>
      </c>
      <c r="F16964" s="6" t="n">
        <f aca="false">(Sens!E16948+Sens!F16948)/2*Sens!F16963/1000</f>
        <v>12.8742463089237</v>
      </c>
      <c r="G16964" s="6" t="n">
        <f aca="false">(Sens!F16948+Sens!G16948)/2*Sens!G16963/1000</f>
        <v>21.8182834646277</v>
      </c>
      <c r="H16964" s="6" t="n">
        <f aca="false">(Sens!G16948+Sens!H16948)/2*Sens!H16963/1000</f>
        <v>31.2430128789734</v>
      </c>
      <c r="I16964" s="6" t="n">
        <f aca="false">(Sens!H16948+Sens!I16948)/2*Sens!I16963/1000</f>
        <v>39.4313057443268</v>
      </c>
      <c r="J16964" s="6" t="n">
        <f aca="false">(Sens!I16948+Sens!J16948)/2*Sens!J16963/1000</f>
        <v>45.0360318228653</v>
      </c>
      <c r="K16964" s="6" t="n">
        <f aca="false">(Sens!J16948+Sens!K16948)/2*Sens!K16963/1000</f>
        <v>48.2929727091156</v>
      </c>
    </row>
    <row r="16965" customFormat="false" ht="17.15" hidden="false" customHeight="false" outlineLevel="0" collapsed="false">
      <c r="A16965" s="0" t="s">
        <v>985</v>
      </c>
      <c r="B16965" s="0" t="s">
        <v>98</v>
      </c>
      <c r="D16965" s="6" t="n">
        <f aca="false">(Sens!C16946+Sens!D16946)/2*rent_mw/1000</f>
        <v>2.44475</v>
      </c>
      <c r="E16965" s="6" t="n">
        <f aca="false">(Sens!D16946+Sens!E16946)/2*rent_mw/1000</f>
        <v>4.22275</v>
      </c>
      <c r="F16965" s="6" t="n">
        <f aca="false">(Sens!E16946+Sens!F16946)/2*rent_mw/1000</f>
        <v>5.80517</v>
      </c>
      <c r="G16965" s="6" t="n">
        <f aca="false">(Sens!F16946+Sens!G16946)/2*rent_mw/1000</f>
        <v>6.72084</v>
      </c>
      <c r="H16965" s="6" t="n">
        <f aca="false">(Sens!G16946+Sens!H16946)/2*rent_mw/1000</f>
        <v>6.72084</v>
      </c>
      <c r="I16965" s="6" t="n">
        <f aca="false">(Sens!H16946+Sens!I16946)/2*rent_mw/1000</f>
        <v>6.72084</v>
      </c>
      <c r="J16965" s="6" t="n">
        <f aca="false">(Sens!I16946+Sens!J16946)/2*rent_mw/1000</f>
        <v>6.72084</v>
      </c>
      <c r="K16965" s="6" t="n">
        <f aca="false">(Sens!J16946+Sens!K16946)/2*rent_mw/1000</f>
        <v>6.72084</v>
      </c>
    </row>
    <row r="16966" customFormat="false" ht="17.15" hidden="false" customHeight="false" outlineLevel="0" collapsed="false">
      <c r="A16966" s="0" t="s">
        <v>986</v>
      </c>
      <c r="B16966" s="0" t="s">
        <v>98</v>
      </c>
      <c r="D16966" s="6" t="n">
        <f aca="false">(Sens!C16948+Sens!D16948)/2*(1-self_build)*fac_rent/1000</f>
        <v>0.853242375631075</v>
      </c>
      <c r="E16966" s="6" t="n">
        <f aca="false">(Sens!D16948+Sens!E16948)/2*(1-self_build)*fac_rent/1000</f>
        <v>1.94955961408728</v>
      </c>
      <c r="F16966" s="6" t="n">
        <f aca="false">(Sens!E16948+Sens!F16948)/2*(1-self_build)*fac_rent/1000</f>
        <v>3.92914894476356</v>
      </c>
      <c r="G16966" s="6" t="n">
        <f aca="false">(Sens!F16948+Sens!G16948)/2*(1-self_build)*fac_rent/1000</f>
        <v>6.53206908578159</v>
      </c>
      <c r="H16966" s="6" t="n">
        <f aca="false">(Sens!G16948+Sens!H16948)/2*(1-self_build)*fac_rent/1000</f>
        <v>9.23717988341591</v>
      </c>
      <c r="I16966" s="6" t="n">
        <f aca="false">(Sens!H16948+Sens!I16948)/2*(1-self_build)*fac_rent/1000</f>
        <v>11.5481378557393</v>
      </c>
      <c r="J16966" s="6" t="n">
        <f aca="false">(Sens!I16948+Sens!J16948)/2*(1-self_build)*fac_rent/1000</f>
        <v>13.0899582289108</v>
      </c>
      <c r="K16966" s="6" t="n">
        <f aca="false">(Sens!J16948+Sens!K16948)/2*(1-self_build)*fac_rent/1000</f>
        <v>13.8897275626556</v>
      </c>
      <c r="L16966" s="12" t="s">
        <v>987</v>
      </c>
    </row>
    <row r="16967" customFormat="false" ht="17.15" hidden="false" customHeight="false" outlineLevel="0" collapsed="false">
      <c r="A16967" s="1" t="s">
        <v>988</v>
      </c>
      <c r="B16967" s="0" t="s">
        <v>168</v>
      </c>
      <c r="D16967" s="7" t="n">
        <f aca="false">(Sens!C16947+Sens!D16947)/(Sens!C16948+Sens!D16948)</f>
        <v>0.6</v>
      </c>
      <c r="E16967" s="7" t="n">
        <f aca="false">(Sens!D16947+Sens!E16947)/(Sens!D16948+Sens!E16948)</f>
        <v>0.6</v>
      </c>
      <c r="F16967" s="7" t="n">
        <f aca="false">(Sens!E16947+Sens!F16947)/(Sens!E16948+Sens!F16948)</f>
        <v>0.6</v>
      </c>
      <c r="G16967" s="7" t="n">
        <f aca="false">(Sens!F16947+Sens!G16947)/(Sens!F16948+Sens!G16948)</f>
        <v>0.6</v>
      </c>
      <c r="H16967" s="7" t="n">
        <f aca="false">(Sens!G16947+Sens!H16947)/(Sens!G16948+Sens!H16948)</f>
        <v>0.6</v>
      </c>
      <c r="I16967" s="7" t="n">
        <f aca="false">(Sens!H16947+Sens!I16947)/(Sens!H16948+Sens!I16948)</f>
        <v>0.6</v>
      </c>
      <c r="J16967" s="7" t="n">
        <f aca="false">(Sens!I16947+Sens!J16947)/(Sens!I16948+Sens!J16948)</f>
        <v>0.6</v>
      </c>
      <c r="K16967" s="7" t="n">
        <f aca="false">(Sens!J16947+Sens!K16947)/(Sens!J16948+Sens!K16948)</f>
        <v>0.6</v>
      </c>
    </row>
    <row r="16968" customFormat="false" ht="17.15" hidden="false" customHeight="false" outlineLevel="0" collapsed="false">
      <c r="A16968" s="0" t="s">
        <v>989</v>
      </c>
      <c r="B16968" s="0" t="s">
        <v>98</v>
      </c>
      <c r="D16968" s="6" t="n">
        <f aca="false">Sens!D16962-Sens!D16967*(Sens!D16964+Sens!D16966)-Sens!D16965</f>
        <v>8.35701406163072</v>
      </c>
      <c r="E16968" s="6" t="n">
        <f aca="false">Sens!E16962-Sens!E16967*(Sens!E16964+Sens!E16966)-Sens!E16965</f>
        <v>18.7103224860238</v>
      </c>
      <c r="F16968" s="6" t="n">
        <f aca="false">Sens!F16962-Sens!F16967*(Sens!F16964+Sens!F16966)-Sens!F16965</f>
        <v>35.0947222830189</v>
      </c>
      <c r="G16968" s="6" t="n">
        <f aca="false">Sens!G16962-Sens!G16967*(Sens!G16964+Sens!G16966)-Sens!G16965</f>
        <v>52.9609920712477</v>
      </c>
      <c r="H16968" s="6" t="n">
        <f aca="false">Sens!H16962-Sens!H16967*(Sens!H16964+Sens!H16966)-Sens!H16965</f>
        <v>66.4405822844005</v>
      </c>
      <c r="I16968" s="6" t="n">
        <f aca="false">Sens!I16962-Sens!I16967*(Sens!I16964+Sens!I16966)-Sens!I16965</f>
        <v>84.7749393938279</v>
      </c>
      <c r="J16968" s="6" t="n">
        <f aca="false">Sens!J16962-Sens!J16967*(Sens!J16964+Sens!J16966)-Sens!J16965</f>
        <v>97.6526264137382</v>
      </c>
      <c r="K16968" s="6" t="n">
        <f aca="false">Sens!K16962-Sens!K16967*(Sens!K16964+Sens!K16966)-Sens!K16965</f>
        <v>105.965358412527</v>
      </c>
    </row>
    <row r="16969" customFormat="false" ht="17.15" hidden="false" customHeight="false" outlineLevel="0" collapsed="false">
      <c r="A16969" s="1" t="s">
        <v>990</v>
      </c>
      <c r="B16969" s="0" t="s">
        <v>98</v>
      </c>
      <c r="D16969" s="6" t="n">
        <f aca="false">(1-Sens!D16967)*(Sens!D16964+Sens!D16966)</f>
        <v>1.42281025374069</v>
      </c>
      <c r="E16969" s="6" t="n">
        <f aca="false">(1-Sens!E16967)*(Sens!E16964+Sens!E16966)</f>
        <v>3.25095598674472</v>
      </c>
      <c r="F16969" s="6" t="n">
        <f aca="false">(1-Sens!F16967)*(Sens!F16964+Sens!F16966)</f>
        <v>6.72135810147489</v>
      </c>
      <c r="G16969" s="6" t="n">
        <f aca="false">(1-Sens!G16967)*(Sens!G16964+Sens!G16966)</f>
        <v>11.3401410201637</v>
      </c>
      <c r="H16969" s="6" t="n">
        <f aca="false">(1-Sens!H16967)*(Sens!H16964+Sens!H16966)</f>
        <v>16.1920771049557</v>
      </c>
      <c r="I16969" s="6" t="n">
        <f aca="false">(1-Sens!I16967)*(Sens!I16964+Sens!I16966)</f>
        <v>20.3917774400264</v>
      </c>
      <c r="J16969" s="6" t="n">
        <f aca="false">(1-Sens!J16967)*(Sens!J16964+Sens!J16966)</f>
        <v>23.2503960207104</v>
      </c>
      <c r="K16969" s="6" t="n">
        <f aca="false">(1-Sens!K16967)*(Sens!K16964+Sens!K16966)</f>
        <v>24.8730801087085</v>
      </c>
    </row>
    <row r="16970" customFormat="false" ht="17.15" hidden="false" customHeight="false" outlineLevel="0" collapsed="false">
      <c r="A16970" s="1" t="s">
        <v>991</v>
      </c>
      <c r="B16970" s="0" t="s">
        <v>417</v>
      </c>
      <c r="C16970" s="8" t="n">
        <f aca="false">cxit_open</f>
        <v>27.5918995</v>
      </c>
      <c r="D16970" s="8" t="n">
        <f aca="false">cxit_open</f>
        <v>27.5918995</v>
      </c>
      <c r="E16970" s="8" t="n">
        <f aca="false">cxit_open</f>
        <v>27.5918995</v>
      </c>
      <c r="F16970" s="8" t="n">
        <f aca="false">((a_g3_27-nonnv*a_mai)*tk_cxit_gb300+nonnv*a_mai*nv_hold_mai*tk_cxit_vr200+(1-a_g3_27)*tk_cxit_vr200)</f>
        <v>32.4975576</v>
      </c>
      <c r="G16970" s="8" t="n">
        <f aca="false">((a_g3_28-nonnv*a_mai)*tk_cxit_gb300+nonnv*a_mai*nv_hold_mai*tk_cxit_vr200+(1-a_g3_28)*tk_cxit_vr200)</f>
        <v>34.6372088</v>
      </c>
      <c r="H16970" s="8" t="n">
        <f aca="false">((a_g3_29-nonnv*a_mai)*tk_cxit_gb300+nonnv*a_mai*nv_hold_mai*tk_cxit_vr200+(1-a_g3_29)*tk_cxit_vr200)</f>
        <v>35.7070344</v>
      </c>
      <c r="I16970" s="8" t="n">
        <f aca="false">((a_g3_29-nonnv*a_mai)*tk_cxit_gb300+nonnv*a_mai*nv_hold_mai*tk_cxit_vr200+(1-a_g3_29)*tk_cxit_vr200)</f>
        <v>35.7070344</v>
      </c>
      <c r="J16970" s="8" t="n">
        <f aca="false">((a_g3_29-nonnv*a_mai)*tk_cxit_gb300+nonnv*a_mai*nv_hold_mai*tk_cxit_vr200+(1-a_g3_29)*tk_cxit_vr200)</f>
        <v>35.7070344</v>
      </c>
      <c r="K16970" s="8" t="n">
        <f aca="false">((a_g3_29-nonnv*a_mai)*tk_cxit_gb300+nonnv*a_mai*nv_hold_mai*tk_cxit_vr200+(1-a_g3_29)*tk_cxit_vr200)</f>
        <v>35.7070344</v>
      </c>
      <c r="L16970" s="12" t="s">
        <v>992</v>
      </c>
    </row>
    <row r="16971" customFormat="false" ht="17.15" hidden="false" customHeight="false" outlineLevel="0" collapsed="false">
      <c r="A16971" s="0" t="s">
        <v>993</v>
      </c>
      <c r="B16971" s="0" t="s">
        <v>459</v>
      </c>
      <c r="F16971" s="30" t="n">
        <f aca="false">Sens!C16950*IF(Sens!F16943-Sens!C16943=life_it,1,0)+Sens!D16950*IF(Sens!F16943-Sens!D16943=life_it,1,0)+Sens!E16950*IF(Sens!F16943-Sens!E16943=life_it,1,0)</f>
        <v>0</v>
      </c>
      <c r="G16971" s="30" t="n">
        <f aca="false">Sens!C16950*IF(Sens!G16943-Sens!C16943=life_it,1,0)+Sens!D16950*IF(Sens!G16943-Sens!D16943=life_it,1,0)+Sens!E16950*IF(Sens!G16943-Sens!E16943=life_it,1,0)+Sens!F16950*IF(Sens!G16943-Sens!F16943=life_it,1,0)</f>
        <v>0</v>
      </c>
      <c r="H16971" s="30" t="n">
        <f aca="false">Sens!C16950*IF(Sens!H16943-Sens!C16943=life_it,1,0)+Sens!D16950*IF(Sens!H16943-Sens!D16943=life_it,1,0)+Sens!E16950*IF(Sens!H16943-Sens!E16943=life_it,1,0)+Sens!F16950*IF(Sens!H16943-Sens!F16943=life_it,1,0)+Sens!G16950*IF(Sens!H16943-Sens!G16943=life_it,1,0)</f>
        <v>0</v>
      </c>
      <c r="I16971" s="30" t="n">
        <f aca="false">Sens!C16950*IF(Sens!I16943-Sens!C16943=life_it,1,0)+Sens!D16950*IF(Sens!I16943-Sens!D16943=life_it,1,0)+Sens!E16950*IF(Sens!I16943-Sens!E16943=life_it,1,0)+Sens!F16950*IF(Sens!I16943-Sens!F16943=life_it,1,0)+Sens!G16950*IF(Sens!I16943-Sens!G16943=life_it,1,0)+Sens!H16950*IF(Sens!I16943-Sens!H16943=life_it,1,0)</f>
        <v>816.666666666667</v>
      </c>
      <c r="J16971" s="30" t="n">
        <f aca="false">Sens!C16950*IF(Sens!J16943-Sens!C16943=life_it,1,0)+Sens!D16950*IF(Sens!J16943-Sens!D16943=life_it,1,0)+Sens!E16950*IF(Sens!J16943-Sens!E16943=life_it,1,0)+Sens!F16950*IF(Sens!J16943-Sens!F16943=life_it,1,0)+Sens!G16950*IF(Sens!J16943-Sens!G16943=life_it,1,0)+Sens!H16950*IF(Sens!J16943-Sens!H16943=life_it,1,0)+Sens!I16950*IF(Sens!J16943-Sens!I16943=life_it,1,0)</f>
        <v>1233.33333333333</v>
      </c>
      <c r="K16971" s="30" t="n">
        <f aca="false">Sens!C16950*IF(Sens!K16943-Sens!C16943=life_it,1,0)+Sens!D16950*IF(Sens!K16943-Sens!D16943=life_it,1,0)+Sens!E16950*IF(Sens!K16943-Sens!E16943=life_it,1,0)+Sens!F16950*IF(Sens!K16943-Sens!F16943=life_it,1,0)+Sens!G16950*IF(Sens!K16943-Sens!G16943=life_it,1,0)+Sens!H16950*IF(Sens!K16943-Sens!H16943=life_it,1,0)+Sens!I16950*IF(Sens!K16943-Sens!I16943=life_it,1,0)+Sens!J16950*IF(Sens!K16943-Sens!J16943=life_it,1,0)</f>
        <v>2450</v>
      </c>
      <c r="L16971" s="1" t="s">
        <v>994</v>
      </c>
    </row>
    <row r="16972" customFormat="false" ht="17.15" hidden="false" customHeight="false" outlineLevel="0" collapsed="false">
      <c r="A16972" s="0" t="s">
        <v>995</v>
      </c>
      <c r="B16972" s="0" t="s">
        <v>98</v>
      </c>
      <c r="C16972" s="6" t="n">
        <f aca="false">Sens!C16950*Sens!C16970/1000</f>
        <v>22.5333845916667</v>
      </c>
      <c r="D16972" s="6" t="n">
        <f aca="false">Sens!D16950*Sens!D16970/1000</f>
        <v>34.0300093833333</v>
      </c>
      <c r="E16972" s="6" t="n">
        <f aca="false">Sens!E16950*Sens!E16970/1000</f>
        <v>67.600153775</v>
      </c>
      <c r="F16972" s="6" t="n">
        <f aca="false">(Sens!F16950+Sens!F16971)*Sens!F16970/1000</f>
        <v>136.51872432512</v>
      </c>
      <c r="G16972" s="6" t="n">
        <f aca="false">(Sens!G16950+Sens!G16971)*Sens!G16970/1000</f>
        <v>157.399275932048</v>
      </c>
      <c r="H16972" s="6" t="n">
        <f aca="false">(Sens!H16950+Sens!H16971)*Sens!H16970/1000</f>
        <v>162.260804347512</v>
      </c>
      <c r="I16972" s="6" t="n">
        <f aca="false">(Sens!I16950+Sens!I16971)*Sens!I16970/1000</f>
        <v>144.136569485434</v>
      </c>
      <c r="J16972" s="6" t="n">
        <f aca="false">(Sens!J16950+Sens!J16971)*Sens!J16970/1000</f>
        <v>114.029037357864</v>
      </c>
      <c r="K16972" s="6" t="n">
        <f aca="false">(Sens!K16950+Sens!K16971)*Sens!K16970/1000</f>
        <v>113.437085350975</v>
      </c>
    </row>
    <row r="16973" customFormat="false" ht="17.15" hidden="false" customHeight="false" outlineLevel="0" collapsed="false">
      <c r="A16973" s="0" t="s">
        <v>996</v>
      </c>
      <c r="B16973" s="0" t="s">
        <v>98</v>
      </c>
      <c r="C16973" s="6" t="n">
        <f aca="false">Sens!C16950*self_build*tk_cxfac/1000</f>
        <v>6.2083</v>
      </c>
      <c r="D16973" s="6" t="n">
        <f aca="false">Sens!D16950*self_build*tk_cxfac/1000</f>
        <v>9.3758</v>
      </c>
      <c r="E16973" s="6" t="n">
        <f aca="false">Sens!E16950*self_build*tk_cxfac/1000</f>
        <v>18.6249</v>
      </c>
      <c r="F16973" s="6" t="n">
        <f aca="false">Sens!F16950*self_build*tk_cxfac/1000</f>
        <v>31.935179717</v>
      </c>
      <c r="G16973" s="6" t="n">
        <f aca="false">Sens!G16950*self_build*tk_cxfac/1000</f>
        <v>34.545199717</v>
      </c>
      <c r="H16973" s="6" t="n">
        <f aca="false">Sens!H16950*self_build*tk_cxfac/1000</f>
        <v>34.545199717</v>
      </c>
      <c r="I16973" s="6" t="n">
        <f aca="false">Sens!I16950*self_build*tk_cxfac/1000</f>
        <v>24.4782641361767</v>
      </c>
      <c r="J16973" s="6" t="n">
        <f aca="false">Sens!J16950*self_build*tk_cxfac/1000</f>
        <v>14.9008938380769</v>
      </c>
      <c r="K16973" s="6" t="n">
        <f aca="false">Sens!K16950*self_build*tk_cxfac/1000</f>
        <v>5.52576771375761</v>
      </c>
    </row>
    <row r="16974" customFormat="false" ht="17.15" hidden="false" customHeight="false" outlineLevel="0" collapsed="false">
      <c r="A16974" s="0" t="s">
        <v>997</v>
      </c>
      <c r="B16974" s="0" t="s">
        <v>98</v>
      </c>
      <c r="F16974" s="15" t="n">
        <f aca="false">capex_floor27-Sens!F16972-Sens!F16973-Sens!F17070</f>
        <v>-0.0799631154216058</v>
      </c>
      <c r="L16974" s="12" t="s">
        <v>998</v>
      </c>
    </row>
    <row r="16975" customFormat="false" ht="17.15" hidden="false" customHeight="false" outlineLevel="0" collapsed="false">
      <c r="A16975" s="0" t="s">
        <v>999</v>
      </c>
      <c r="B16975" s="0" t="s">
        <v>98</v>
      </c>
      <c r="F16975" s="6" t="n">
        <f aca="false">MAX(0,Sens!F16974)</f>
        <v>0</v>
      </c>
    </row>
    <row r="16976" customFormat="false" ht="17.15" hidden="false" customHeight="false" outlineLevel="0" collapsed="false">
      <c r="A16976" s="0" t="s">
        <v>1000</v>
      </c>
      <c r="B16976" s="0" t="s">
        <v>98</v>
      </c>
      <c r="C16976" s="6" t="n">
        <f aca="false">Sens!C16972</f>
        <v>22.5333845916667</v>
      </c>
      <c r="D16976" s="6" t="n">
        <f aca="false">Sens!D16972</f>
        <v>34.0300093833333</v>
      </c>
      <c r="E16976" s="6" t="n">
        <f aca="false">Sens!E16972</f>
        <v>67.600153775</v>
      </c>
      <c r="F16976" s="6" t="n">
        <f aca="false">Sens!F16972</f>
        <v>136.51872432512</v>
      </c>
      <c r="G16976" s="6" t="n">
        <f aca="false">Sens!G16972</f>
        <v>157.399275932048</v>
      </c>
      <c r="H16976" s="6" t="n">
        <f aca="false">Sens!H16972</f>
        <v>162.260804347512</v>
      </c>
      <c r="I16976" s="6" t="n">
        <f aca="false">Sens!I16972</f>
        <v>144.136569485434</v>
      </c>
      <c r="J16976" s="6" t="n">
        <f aca="false">Sens!J16972</f>
        <v>114.029037357864</v>
      </c>
      <c r="K16976" s="6" t="n">
        <f aca="false">Sens!K16972</f>
        <v>113.437085350975</v>
      </c>
    </row>
    <row r="16977" customFormat="false" ht="17.15" hidden="false" customHeight="false" outlineLevel="0" collapsed="false">
      <c r="A16977" s="0" t="s">
        <v>1001</v>
      </c>
      <c r="B16977" s="0" t="s">
        <v>98</v>
      </c>
      <c r="C16977" s="6" t="n">
        <f aca="false">Sens!C16976+Sens!C16973</f>
        <v>28.7416845916667</v>
      </c>
      <c r="D16977" s="6" t="n">
        <f aca="false">Sens!D16976+Sens!D16973</f>
        <v>43.4058093833333</v>
      </c>
      <c r="E16977" s="6" t="n">
        <f aca="false">Sens!E16976+Sens!E16973</f>
        <v>86.225053775</v>
      </c>
      <c r="F16977" s="6" t="n">
        <f aca="false">Sens!F16976+Sens!F16973</f>
        <v>168.45390404212</v>
      </c>
      <c r="G16977" s="6" t="n">
        <f aca="false">Sens!G16976+Sens!G16973</f>
        <v>191.944475649048</v>
      </c>
      <c r="H16977" s="6" t="n">
        <f aca="false">Sens!H16976+Sens!H16973</f>
        <v>196.806004064512</v>
      </c>
      <c r="I16977" s="6" t="n">
        <f aca="false">Sens!I16976+Sens!I16973</f>
        <v>168.61483362161</v>
      </c>
      <c r="J16977" s="6" t="n">
        <f aca="false">Sens!J16976+Sens!J16973</f>
        <v>128.92993119594</v>
      </c>
      <c r="K16977" s="6" t="n">
        <f aca="false">Sens!K16976+Sens!K16973</f>
        <v>118.962853064733</v>
      </c>
      <c r="L16977" s="12" t="s">
        <v>1002</v>
      </c>
    </row>
    <row r="16978" customFormat="false" ht="17.15" hidden="false" customHeight="false" outlineLevel="0" collapsed="false">
      <c r="A16978" s="0" t="s">
        <v>1003</v>
      </c>
      <c r="B16978" s="0" t="s">
        <v>98</v>
      </c>
      <c r="E16978" s="6" t="n">
        <f aca="false">(Sens!C16976*IF(2&lt;life_it,1,IF(2=life_it,0.5,0))+Sens!D16976*IF(1&lt;life_it,1,IF(1=life_it,0.5,0))+Sens!E16976*0.5)/life_it</f>
        <v>15.0605784770833</v>
      </c>
      <c r="F16978" s="6" t="n">
        <f aca="false">(Sens!C16976*IF(3&lt;life_it,1,IF(3=life_it,0.5,0))+Sens!D16976*IF(2&lt;life_it,1,IF(2=life_it,0.5,0))+Sens!E16976*IF(1&lt;life_it,1,IF(1=life_it,0.5,0))+Sens!F16976*0.5)/life_it</f>
        <v>32.0704849854266</v>
      </c>
      <c r="G16978" s="6" t="n">
        <f aca="false">(Sens!C16976*IF(4&lt;life_it,1,IF(4=life_it,0.5,0))+Sens!D16976*IF(3&lt;life_it,1,IF(3=life_it,0.5,0))+Sens!E16976*IF(2&lt;life_it,1,IF(2=life_it,0.5,0))+Sens!F16976*IF(1&lt;life_it,1,IF(1=life_it,0.5,0))+Sens!G16976*0.5)/life_it</f>
        <v>56.5636516735239</v>
      </c>
      <c r="H16978" s="6" t="n">
        <f aca="false">(Sens!C16976*IF(5&lt;life_it,1,IF(5=life_it,0.5,0))+Sens!D16976*IF(4&lt;life_it,1,IF(4=life_it,0.5,0))+Sens!E16976*IF(3&lt;life_it,1,IF(3=life_it,0.5,0))+Sens!F16976*IF(2&lt;life_it,1,IF(2=life_it,0.5,0))+Sens!G16976*IF(1&lt;life_it,1,IF(1=life_it,0.5,0))+Sens!H16976*0.5)/life_it</f>
        <v>83.2019916968207</v>
      </c>
      <c r="I16978" s="6" t="n">
        <f aca="false">(Sens!C16976*IF(6&lt;life_it,1,IF(6=life_it,0.5,0))+Sens!D16976*IF(5&lt;life_it,1,IF(5=life_it,0.5,0))+Sens!E16976*IF(4&lt;life_it,1,IF(4=life_it,0.5,0))+Sens!F16976*IF(3&lt;life_it,1,IF(3=life_it,0.5,0))+Sens!G16976*IF(2&lt;life_it,1,IF(2=life_it,0.5,0))+Sens!H16976*IF(1&lt;life_it,1,IF(1=life_it,0.5,0))+Sens!I16976*0.5)/life_it</f>
        <v>106.857324133594</v>
      </c>
      <c r="J16978" s="6" t="n">
        <f aca="false">(Sens!C16976*IF(7&lt;life_it,1,IF(7=life_it,0.5,0))+Sens!D16976*IF(6&lt;life_it,1,IF(6=life_it,0.5,0))+Sens!E16976*IF(5&lt;life_it,1,IF(5=life_it,0.5,0))+Sens!F16976*IF(4&lt;life_it,1,IF(4=life_it,0.5,0))+Sens!G16976*IF(3&lt;life_it,1,IF(3=life_it,0.5,0))+Sens!H16976*IF(2&lt;life_it,1,IF(2=life_it,0.5,0))+Sens!I16976*IF(1&lt;life_it,1,IF(1=life_it,0.5,0))+Sens!J16976*0.5)/life_it</f>
        <v>123.657508539285</v>
      </c>
      <c r="K16978" s="6" t="n">
        <f aca="false">(Sens!C16976*IF(8&lt;life_it,1,IF(8=life_it,0.5,0))+Sens!D16976*IF(7&lt;life_it,1,IF(7=life_it,0.5,0))+Sens!E16976*IF(6&lt;life_it,1,IF(6=life_it,0.5,0))+Sens!F16976*IF(5&lt;life_it,1,IF(5=life_it,0.5,0))+Sens!G16976*IF(4&lt;life_it,1,IF(4=life_it,0.5,0))+Sens!H16976*IF(3&lt;life_it,1,IF(3=life_it,0.5,0))+Sens!I16976*IF(2&lt;life_it,1,IF(2=life_it,0.5,0))+Sens!J16976*IF(1&lt;life_it,1,IF(1=life_it,0.5,0))+Sens!K16976*0.5)/life_it</f>
        <v>134.143838501827</v>
      </c>
    </row>
    <row r="16979" customFormat="false" ht="17.15" hidden="false" customHeight="false" outlineLevel="0" collapsed="false">
      <c r="A16979" s="0" t="s">
        <v>1004</v>
      </c>
      <c r="B16979" s="0" t="s">
        <v>98</v>
      </c>
      <c r="E16979" s="6" t="n">
        <f aca="false">(Sens!C16973*IF(2&lt;life_fac,1,IF(2=life_fac,0.5,0))+Sens!D16973*IF(1&lt;life_fac,1,IF(1=life_fac,0.5,0))+Sens!E16973*0.5)/life_fac</f>
        <v>1.2448275</v>
      </c>
      <c r="F16979" s="6" t="n">
        <f aca="false">(Sens!C16973*IF(3&lt;life_fac,1,IF(3=life_fac,0.5,0))+Sens!D16973*IF(2&lt;life_fac,1,IF(2=life_fac,0.5,0))+Sens!E16973*IF(1&lt;life_fac,1,IF(1=life_fac,0.5,0))+Sens!F16973*0.5)/life_fac</f>
        <v>2.508829492925</v>
      </c>
      <c r="G16979" s="6" t="n">
        <f aca="false">(Sens!C16973*IF(4&lt;life_fac,1,IF(4=life_fac,0.5,0))+Sens!D16973*IF(3&lt;life_fac,1,IF(3=life_fac,0.5,0))+Sens!E16973*IF(2&lt;life_fac,1,IF(2=life_fac,0.5,0))+Sens!F16973*IF(1&lt;life_fac,1,IF(1=life_fac,0.5,0))+Sens!G16973*0.5)/life_fac</f>
        <v>4.170838978775</v>
      </c>
      <c r="H16979" s="6" t="n">
        <f aca="false">(Sens!C16973*IF(5&lt;life_fac,1,IF(5=life_fac,0.5,0))+Sens!D16973*IF(4&lt;life_fac,1,IF(4=life_fac,0.5,0))+Sens!E16973*IF(3&lt;life_fac,1,IF(3=life_fac,0.5,0))+Sens!F16973*IF(2&lt;life_fac,1,IF(2=life_fac,0.5,0))+Sens!G16973*IF(1&lt;life_fac,1,IF(1=life_fac,0.5,0))+Sens!H16973*0.5)/life_fac</f>
        <v>5.898098964625</v>
      </c>
      <c r="I16979" s="6" t="n">
        <f aca="false">(Sens!C16973*IF(6&lt;life_fac,1,IF(6=life_fac,0.5,0))+Sens!D16973*IF(5&lt;life_fac,1,IF(5=life_fac,0.5,0))+Sens!E16973*IF(4&lt;life_fac,1,IF(4=life_fac,0.5,0))+Sens!F16973*IF(3&lt;life_fac,1,IF(3=life_fac,0.5,0))+Sens!G16973*IF(2&lt;life_fac,1,IF(2=life_fac,0.5,0))+Sens!H16973*IF(1&lt;life_fac,1,IF(1=life_fac,0.5,0))+Sens!I16973*0.5)/life_fac</f>
        <v>7.37368556095442</v>
      </c>
      <c r="J16979" s="6" t="n">
        <f aca="false">(Sens!C16973*IF(7&lt;life_fac,1,IF(7=life_fac,0.5,0))+Sens!D16973*IF(6&lt;life_fac,1,IF(6=life_fac,0.5,0))+Sens!E16973*IF(5&lt;life_fac,1,IF(5=life_fac,0.5,0))+Sens!F16973*IF(4&lt;life_fac,1,IF(4=life_fac,0.5,0))+Sens!G16973*IF(3&lt;life_fac,1,IF(3=life_fac,0.5,0))+Sens!H16973*IF(2&lt;life_fac,1,IF(2=life_fac,0.5,0))+Sens!I16973*IF(1&lt;life_fac,1,IF(1=life_fac,0.5,0))+Sens!J16973*0.5)/life_fac</f>
        <v>8.35816451031075</v>
      </c>
      <c r="K16979" s="6" t="n">
        <f aca="false">(Sens!C16973*IF(8&lt;life_fac,1,IF(8=life_fac,0.5,0))+Sens!D16973*IF(7&lt;life_fac,1,IF(7=life_fac,0.5,0))+Sens!E16973*IF(6&lt;life_fac,1,IF(6=life_fac,0.5,0))+Sens!F16973*IF(5&lt;life_fac,1,IF(5=life_fac,0.5,0))+Sens!G16973*IF(4&lt;life_fac,1,IF(4=life_fac,0.5,0))+Sens!H16973*IF(3&lt;life_fac,1,IF(3=life_fac,0.5,0))+Sens!I16973*IF(2&lt;life_fac,1,IF(2=life_fac,0.5,0))+Sens!J16973*IF(1&lt;life_fac,1,IF(1=life_fac,0.5,0))+Sens!K16973*0.5)/life_fac</f>
        <v>8.86883104910662</v>
      </c>
    </row>
    <row r="16980" customFormat="false" ht="17.15" hidden="false" customHeight="false" outlineLevel="0" collapsed="false">
      <c r="A16980" s="0" t="s">
        <v>1005</v>
      </c>
      <c r="B16980" s="0" t="s">
        <v>98</v>
      </c>
      <c r="E16980" s="6" t="n">
        <f aca="false">Sens!E16978+Sens!E16979</f>
        <v>16.3054059770833</v>
      </c>
      <c r="F16980" s="6" t="n">
        <f aca="false">Sens!F16978+Sens!F16979</f>
        <v>34.5793144783516</v>
      </c>
      <c r="G16980" s="6" t="n">
        <f aca="false">Sens!G16978+Sens!G16979</f>
        <v>60.7344906522989</v>
      </c>
      <c r="H16980" s="6" t="n">
        <f aca="false">Sens!H16978+Sens!H16979</f>
        <v>89.1000906614457</v>
      </c>
      <c r="I16980" s="6" t="n">
        <f aca="false">Sens!I16978+Sens!I16979</f>
        <v>114.231009694548</v>
      </c>
      <c r="J16980" s="6" t="n">
        <f aca="false">Sens!J16978+Sens!J16979</f>
        <v>132.015673049596</v>
      </c>
      <c r="K16980" s="6" t="n">
        <f aca="false">Sens!K16978+Sens!K16979</f>
        <v>143.012669550934</v>
      </c>
    </row>
    <row r="16981" customFormat="false" ht="17.15" hidden="false" customHeight="false" outlineLevel="0" collapsed="false">
      <c r="A16981" s="0" t="s">
        <v>1006</v>
      </c>
      <c r="B16981" s="0" t="s">
        <v>98</v>
      </c>
      <c r="E16981" s="6" t="n">
        <f aca="false">Sens!E16968-Sens!E16967*Sens!E16980</f>
        <v>8.92707889977379</v>
      </c>
      <c r="F16981" s="6" t="n">
        <f aca="false">Sens!F16968-Sens!F16967*Sens!F16980</f>
        <v>14.3471335960079</v>
      </c>
      <c r="G16981" s="6" t="n">
        <f aca="false">Sens!G16968-Sens!G16967*Sens!G16980</f>
        <v>16.5202976798683</v>
      </c>
      <c r="H16981" s="6" t="n">
        <f aca="false">Sens!H16968-Sens!H16967*Sens!H16980</f>
        <v>12.9805278875331</v>
      </c>
      <c r="I16981" s="6" t="n">
        <f aca="false">Sens!I16968-Sens!I16967*Sens!I16980</f>
        <v>16.2363335770989</v>
      </c>
      <c r="J16981" s="6" t="n">
        <f aca="false">Sens!J16968-Sens!J16967*Sens!J16980</f>
        <v>18.4432225839805</v>
      </c>
      <c r="K16981" s="6" t="n">
        <f aca="false">Sens!K16968-Sens!K16967*Sens!K16980</f>
        <v>20.1577566819661</v>
      </c>
    </row>
    <row r="16982" customFormat="false" ht="17.15" hidden="false" customHeight="false" outlineLevel="0" collapsed="false">
      <c r="A16982" s="3" t="s">
        <v>2030</v>
      </c>
    </row>
    <row r="16983" customFormat="false" ht="15" hidden="false" customHeight="false" outlineLevel="0" collapsed="false">
      <c r="A16983" s="4" t="s">
        <v>43</v>
      </c>
      <c r="B16983" s="4" t="s">
        <v>65</v>
      </c>
      <c r="C16983" s="23" t="s">
        <v>942</v>
      </c>
      <c r="D16983" s="23" t="s">
        <v>943</v>
      </c>
      <c r="E16983" s="23" t="s">
        <v>944</v>
      </c>
      <c r="F16983" s="23" t="s">
        <v>945</v>
      </c>
      <c r="G16983" s="23" t="s">
        <v>946</v>
      </c>
      <c r="H16983" s="23" t="s">
        <v>947</v>
      </c>
      <c r="I16983" s="23" t="s">
        <v>948</v>
      </c>
      <c r="J16983" s="23" t="s">
        <v>949</v>
      </c>
      <c r="K16983" s="23" t="s">
        <v>950</v>
      </c>
      <c r="L16983" s="4" t="s">
        <v>47</v>
      </c>
    </row>
    <row r="16984" customFormat="false" ht="17.15" hidden="false" customHeight="false" outlineLevel="0" collapsed="false">
      <c r="A16984" s="0" t="s">
        <v>1025</v>
      </c>
      <c r="B16984" s="0" t="s">
        <v>98</v>
      </c>
      <c r="D16984" s="6" t="n">
        <f aca="false">Sens!D16962</f>
        <v>12.9359794422418</v>
      </c>
      <c r="E16984" s="6" t="n">
        <f aca="false">Sens!E16962</f>
        <v>27.8095064661409</v>
      </c>
      <c r="F16984" s="6" t="n">
        <f aca="false">Sens!F16962</f>
        <v>50.9819294352312</v>
      </c>
      <c r="G16984" s="6" t="n">
        <f aca="false">Sens!G16962</f>
        <v>76.6920436014933</v>
      </c>
      <c r="H16984" s="6" t="n">
        <f aca="false">Sens!H16962</f>
        <v>97.4495379418341</v>
      </c>
      <c r="I16984" s="6" t="n">
        <f aca="false">Sens!I16962</f>
        <v>122.083445553868</v>
      </c>
      <c r="J16984" s="6" t="n">
        <f aca="false">Sens!J16962</f>
        <v>139.249060444804</v>
      </c>
      <c r="K16984" s="6" t="n">
        <f aca="false">Sens!K16962</f>
        <v>149.995818575589</v>
      </c>
    </row>
    <row r="16985" customFormat="false" ht="17.15" hidden="false" customHeight="false" outlineLevel="0" collapsed="false">
      <c r="A16985" s="0" t="s">
        <v>1026</v>
      </c>
      <c r="B16985" s="0" t="s">
        <v>98</v>
      </c>
      <c r="D16985" s="6" t="n">
        <f aca="false">Q!L6-Sens!D16984</f>
        <v>59.6740205577583</v>
      </c>
      <c r="E16985" s="6" t="n">
        <f aca="false">Q!M6-Sens!E16984</f>
        <v>74.1284935338591</v>
      </c>
      <c r="F16985" s="6" t="n">
        <f aca="false">Q!$I$6+(Sens!F16984+Sens!E16985*(1+Sens!F16986))*(1-Q!$E$6/Q!M6)-Sens!F16984</f>
        <v>92.2699541184664</v>
      </c>
      <c r="G16985" s="6" t="n">
        <f aca="false">Sens!F16985*(1+Sens!G16986)</f>
        <v>109.630477277949</v>
      </c>
      <c r="H16985" s="6" t="n">
        <f aca="false">Sens!G16985*(1+Sens!H16986)</f>
        <v>127.293256321956</v>
      </c>
      <c r="I16985" s="6" t="n">
        <f aca="false">Sens!H16985*(1+Sens!I16986)</f>
        <v>144.360052269491</v>
      </c>
      <c r="J16985" s="6" t="n">
        <f aca="false">Sens!I16985*(1+Sens!J16986)</f>
        <v>159.811964490216</v>
      </c>
      <c r="K16985" s="6" t="n">
        <f aca="false">Sens!J16985*(1+Sens!K16986)</f>
        <v>172.596921649434</v>
      </c>
      <c r="L16985" s="12" t="s">
        <v>1027</v>
      </c>
    </row>
    <row r="16986" customFormat="false" ht="15" hidden="false" customHeight="false" outlineLevel="0" collapsed="false">
      <c r="A16986" s="1" t="s">
        <v>1028</v>
      </c>
      <c r="B16986" s="0" t="s">
        <v>168</v>
      </c>
      <c r="E16986" s="7" t="n">
        <f aca="false">Sens!E16985/Sens!D16985-1</f>
        <v>0.242223883039864</v>
      </c>
      <c r="F16986" s="7" t="n">
        <f aca="false">Sens!$E$16986+(glt_azo-Sens!$E$16986)*MIN(1,(Sens!F16943-base_fy)/n_conv)</f>
        <v>0.215186569199887</v>
      </c>
      <c r="G16986" s="7" t="n">
        <f aca="false">Sens!$E$16986+(glt_azo-Sens!$E$16986)*MIN(1,(Sens!G16943-base_fy)/n_conv)</f>
        <v>0.18814925535991</v>
      </c>
      <c r="H16986" s="7" t="n">
        <f aca="false">Sens!$E$16986+(glt_azo-Sens!$E$16986)*MIN(1,(Sens!H16943-base_fy)/n_conv)</f>
        <v>0.161111941519932</v>
      </c>
      <c r="I16986" s="7" t="n">
        <f aca="false">Sens!$E$16986+(glt_azo-Sens!$E$16986)*MIN(1,(Sens!I16943-base_fy)/n_conv)</f>
        <v>0.134074627679955</v>
      </c>
      <c r="J16986" s="7" t="n">
        <f aca="false">Sens!$E$16986+(glt_azo-Sens!$E$16986)*MIN(1,(Sens!J16943-base_fy)/n_conv)</f>
        <v>0.107037313839977</v>
      </c>
      <c r="K16986" s="7" t="n">
        <f aca="false">Sens!$E$16986+(glt_azo-Sens!$E$16986)*MIN(1,(Sens!K16943-base_fy)/n_conv)</f>
        <v>0.08</v>
      </c>
    </row>
    <row r="16987" customFormat="false" ht="15" hidden="false" customHeight="false" outlineLevel="0" collapsed="false">
      <c r="A16987" s="0" t="s">
        <v>1029</v>
      </c>
      <c r="B16987" s="0" t="s">
        <v>98</v>
      </c>
      <c r="D16987" s="6" t="n">
        <f aca="false">Sens!D16984+Sens!D16985</f>
        <v>72.61</v>
      </c>
      <c r="E16987" s="6" t="n">
        <f aca="false">Sens!E16984+Sens!E16985</f>
        <v>101.938</v>
      </c>
      <c r="F16987" s="6" t="n">
        <f aca="false">Sens!F16984+Sens!F16985</f>
        <v>143.251883553698</v>
      </c>
      <c r="G16987" s="6" t="n">
        <f aca="false">Sens!G16984+Sens!G16985</f>
        <v>186.322520879442</v>
      </c>
      <c r="H16987" s="6" t="n">
        <f aca="false">Sens!H16984+Sens!H16985</f>
        <v>224.74279426379</v>
      </c>
      <c r="I16987" s="6" t="n">
        <f aca="false">Sens!I16984+Sens!I16985</f>
        <v>266.443497823359</v>
      </c>
      <c r="J16987" s="6" t="n">
        <f aca="false">Sens!J16984+Sens!J16985</f>
        <v>299.06102493502</v>
      </c>
      <c r="K16987" s="6" t="n">
        <f aca="false">Sens!K16984+Sens!K16985</f>
        <v>322.592740225023</v>
      </c>
    </row>
    <row r="16988" customFormat="false" ht="17.15" hidden="false" customHeight="false" outlineLevel="0" collapsed="false">
      <c r="A16988" s="0" t="s">
        <v>1030</v>
      </c>
      <c r="B16988" s="1" t="s">
        <v>613</v>
      </c>
      <c r="C16988" s="30" t="n">
        <f aca="false">cop_s24</f>
        <v>1</v>
      </c>
      <c r="D16988" s="30" t="n">
        <f aca="false">cop_s25</f>
        <v>5</v>
      </c>
      <c r="E16988" s="30" t="n">
        <f aca="false">cop_s26</f>
        <v>30</v>
      </c>
      <c r="F16988" s="30" t="n">
        <f aca="false">Sens!E16988+cop_add_C</f>
        <v>40</v>
      </c>
      <c r="G16988" s="30" t="n">
        <f aca="false">Sens!F16988+cop_add_C</f>
        <v>50</v>
      </c>
      <c r="H16988" s="30" t="n">
        <f aca="false">Sens!G16988+cop_add_C</f>
        <v>60</v>
      </c>
      <c r="I16988" s="30" t="n">
        <f aca="false">Sens!H16988+cop_add_C*cop_tail</f>
        <v>65</v>
      </c>
      <c r="J16988" s="30" t="n">
        <f aca="false">Sens!I16988+cop_add_C*cop_tail</f>
        <v>70</v>
      </c>
      <c r="K16988" s="30" t="n">
        <f aca="false">Sens!J16988+cop_add_C*cop_tail</f>
        <v>75</v>
      </c>
      <c r="L16988" s="12" t="s">
        <v>1031</v>
      </c>
    </row>
    <row r="16989" customFormat="false" ht="17.15" hidden="false" customHeight="false" outlineLevel="0" collapsed="false">
      <c r="A16989" s="0" t="s">
        <v>1032</v>
      </c>
      <c r="B16989" s="0" t="s">
        <v>98</v>
      </c>
      <c r="D16989" s="6" t="n">
        <f aca="false">(Sens!C16988+Sens!D16988)/2*cop_px*12/1000</f>
        <v>0.9</v>
      </c>
      <c r="E16989" s="6" t="n">
        <f aca="false">(Sens!D16988+Sens!E16988)/2*cop_px*12/1000</f>
        <v>5.25</v>
      </c>
      <c r="F16989" s="6" t="n">
        <f aca="false">(Sens!E16988+Sens!F16988)/2*cop_px*12/1000</f>
        <v>10.5</v>
      </c>
      <c r="G16989" s="6" t="n">
        <f aca="false">(Sens!F16988+Sens!G16988)/2*cop_px*12/1000</f>
        <v>13.5</v>
      </c>
      <c r="H16989" s="6" t="n">
        <f aca="false">(Sens!G16988+Sens!H16988)/2*cop_px*12/1000</f>
        <v>16.5</v>
      </c>
      <c r="I16989" s="6" t="n">
        <f aca="false">(Sens!H16988+Sens!I16988)/2*cop_px*12/1000</f>
        <v>18.75</v>
      </c>
      <c r="J16989" s="6" t="n">
        <f aca="false">(Sens!I16988+Sens!J16988)/2*cop_px*12/1000</f>
        <v>20.25</v>
      </c>
      <c r="K16989" s="6" t="n">
        <f aca="false">(Sens!J16988+Sens!K16988)/2*cop_px*12/1000</f>
        <v>21.75</v>
      </c>
      <c r="L16989" s="1" t="s">
        <v>1033</v>
      </c>
    </row>
    <row r="16990" customFormat="false" ht="17.15" hidden="false" customHeight="false" outlineLevel="0" collapsed="false">
      <c r="A16990" s="0" t="s">
        <v>1034</v>
      </c>
      <c r="B16990" s="0" t="s">
        <v>98</v>
      </c>
      <c r="D16990" s="6" t="n">
        <f aca="false">Q!L7-Sens!D16989</f>
        <v>83.705</v>
      </c>
      <c r="E16990" s="6" t="n">
        <f aca="false">Q!M7-Sens!E16989</f>
        <v>95.049</v>
      </c>
      <c r="F16990" s="6" t="n">
        <f aca="false">Q!$I$7+(Sens!E16990*(1+Sens!F16991)+Sens!F16989)*(1-Q!$E$7/Q!M7)-Sens!F16989</f>
        <v>106.938354189776</v>
      </c>
      <c r="G16990" s="6" t="n">
        <f aca="false">Sens!F16990*(1+Sens!G16991)</f>
        <v>119.095360443801</v>
      </c>
      <c r="H16990" s="6" t="n">
        <f aca="false">Sens!G16990*(1+Sens!H16991)</f>
        <v>131.333811964563</v>
      </c>
      <c r="I16990" s="6" t="n">
        <f aca="false">Sens!H16990*(1+Sens!I16991)</f>
        <v>143.395665319381</v>
      </c>
      <c r="J16990" s="6" t="n">
        <f aca="false">Sens!I16990*(1+Sens!J16991)</f>
        <v>154.999327755573</v>
      </c>
      <c r="K16990" s="6" t="n">
        <f aca="false">Sens!J16990*(1+Sens!K16991)</f>
        <v>165.849280698463</v>
      </c>
      <c r="L16990" s="12" t="s">
        <v>1035</v>
      </c>
    </row>
    <row r="16991" customFormat="false" ht="15" hidden="false" customHeight="false" outlineLevel="0" collapsed="false">
      <c r="A16991" s="1" t="s">
        <v>1028</v>
      </c>
      <c r="B16991" s="0" t="s">
        <v>168</v>
      </c>
      <c r="E16991" s="7" t="n">
        <f aca="false">Sens!E16990/Sens!D16990-1</f>
        <v>0.135523564900544</v>
      </c>
      <c r="F16991" s="7" t="n">
        <f aca="false">Sens!$E$16991+(glt_m365b-Sens!$E$16991)*MIN(1,(Sens!F16943-base_fy)/n_conv)</f>
        <v>0.124602970750453</v>
      </c>
      <c r="G16991" s="7" t="n">
        <f aca="false">Sens!$E$16991+(glt_m365b-Sens!$E$16991)*MIN(1,(Sens!G16943-base_fy)/n_conv)</f>
        <v>0.113682376600363</v>
      </c>
      <c r="H16991" s="7" t="n">
        <f aca="false">Sens!$E$16991+(glt_m365b-Sens!$E$16991)*MIN(1,(Sens!H16943-base_fy)/n_conv)</f>
        <v>0.102761782450272</v>
      </c>
      <c r="I16991" s="7" t="n">
        <f aca="false">Sens!$E$16991+(glt_m365b-Sens!$E$16991)*MIN(1,(Sens!I16943-base_fy)/n_conv)</f>
        <v>0.0918411883001813</v>
      </c>
      <c r="J16991" s="7" t="n">
        <f aca="false">Sens!$E$16991+(glt_m365b-Sens!$E$16991)*MIN(1,(Sens!J16943-base_fy)/n_conv)</f>
        <v>0.0809205941500906</v>
      </c>
      <c r="K16991" s="7" t="n">
        <f aca="false">Sens!$E$16991+(glt_m365b-Sens!$E$16991)*MIN(1,(Sens!K16943-base_fy)/n_conv)</f>
        <v>0.07</v>
      </c>
    </row>
    <row r="16992" customFormat="false" ht="15" hidden="false" customHeight="false" outlineLevel="0" collapsed="false">
      <c r="A16992" s="0" t="s">
        <v>1036</v>
      </c>
      <c r="B16992" s="0" t="s">
        <v>98</v>
      </c>
      <c r="D16992" s="6" t="n">
        <f aca="false">Sens!D16990+Sens!D16989</f>
        <v>84.605</v>
      </c>
      <c r="E16992" s="6" t="n">
        <f aca="false">Sens!E16990+Sens!E16989</f>
        <v>100.299</v>
      </c>
      <c r="F16992" s="6" t="n">
        <f aca="false">Sens!F16990+Sens!F16989</f>
        <v>117.438354189776</v>
      </c>
      <c r="G16992" s="6" t="n">
        <f aca="false">Sens!G16990+Sens!G16989</f>
        <v>132.595360443801</v>
      </c>
      <c r="H16992" s="6" t="n">
        <f aca="false">Sens!H16990+Sens!H16989</f>
        <v>147.833811964563</v>
      </c>
      <c r="I16992" s="6" t="n">
        <f aca="false">Sens!I16990+Sens!I16989</f>
        <v>162.145665319381</v>
      </c>
      <c r="J16992" s="6" t="n">
        <f aca="false">Sens!J16990+Sens!J16989</f>
        <v>175.249327755573</v>
      </c>
      <c r="K16992" s="6" t="n">
        <f aca="false">Sens!K16990+Sens!K16989</f>
        <v>187.599280698463</v>
      </c>
    </row>
    <row r="16993" customFormat="false" ht="17.15" hidden="false" customHeight="false" outlineLevel="0" collapsed="false">
      <c r="A16993" s="0" t="s">
        <v>1037</v>
      </c>
      <c r="B16993" s="0" t="s">
        <v>98</v>
      </c>
      <c r="D16993" s="6" t="n">
        <f aca="false">Q!L8</f>
        <v>35.391</v>
      </c>
      <c r="E16993" s="6" t="n">
        <f aca="false">Q!M8</f>
        <v>37.285</v>
      </c>
      <c r="F16993" s="6" t="n">
        <f aca="false">Q!$I$8+(Q!M8-Q!$E$8)*(1+Sens!F16994)</f>
        <v>38.3851437782675</v>
      </c>
      <c r="G16993" s="6" t="n">
        <f aca="false">Sens!F16993*(1+Sens!G16994)</f>
        <v>40.0105353288615</v>
      </c>
      <c r="H16993" s="6" t="n">
        <f aca="false">Sens!G16993*(1+Sens!H16994)</f>
        <v>41.4812512033683</v>
      </c>
      <c r="I16993" s="6" t="n">
        <f aca="false">Sens!H16993*(1+Sens!I16994)</f>
        <v>42.7743107216329</v>
      </c>
      <c r="J16993" s="6" t="n">
        <f aca="false">Sens!I16993*(1+Sens!J16994)</f>
        <v>43.8687373064601</v>
      </c>
      <c r="K16993" s="6" t="n">
        <f aca="false">Sens!J16993*(1+Sens!K16994)</f>
        <v>44.7461120525893</v>
      </c>
      <c r="L16993" s="12" t="s">
        <v>1038</v>
      </c>
    </row>
    <row r="16994" customFormat="false" ht="15" hidden="false" customHeight="false" outlineLevel="0" collapsed="false">
      <c r="A16994" s="1" t="s">
        <v>1028</v>
      </c>
      <c r="B16994" s="0" t="s">
        <v>168</v>
      </c>
      <c r="E16994" s="7" t="n">
        <f aca="false">Sens!E16993/Sens!D16993-1</f>
        <v>0.0535164307309768</v>
      </c>
      <c r="F16994" s="7" t="n">
        <f aca="false">Sens!$E$16994+(glt_lic-Sens!$E$16994)*MIN(1,(Sens!F16943-base_fy)/n_conv)</f>
        <v>0.0479303589424807</v>
      </c>
      <c r="G16994" s="7" t="n">
        <f aca="false">Sens!$E$16994+(glt_lic-Sens!$E$16994)*MIN(1,(Sens!G16943-base_fy)/n_conv)</f>
        <v>0.0423442871539845</v>
      </c>
      <c r="H16994" s="7" t="n">
        <f aca="false">Sens!$E$16994+(glt_lic-Sens!$E$16994)*MIN(1,(Sens!H16943-base_fy)/n_conv)</f>
        <v>0.0367582153654884</v>
      </c>
      <c r="I16994" s="7" t="n">
        <f aca="false">Sens!$E$16994+(glt_lic-Sens!$E$16994)*MIN(1,(Sens!I16943-base_fy)/n_conv)</f>
        <v>0.0311721435769923</v>
      </c>
      <c r="J16994" s="7" t="n">
        <f aca="false">Sens!$E$16994+(glt_lic-Sens!$E$16994)*MIN(1,(Sens!J16943-base_fy)/n_conv)</f>
        <v>0.0255860717884961</v>
      </c>
      <c r="K16994" s="7" t="n">
        <f aca="false">Sens!$E$16994+(glt_lic-Sens!$E$16994)*MIN(1,(Sens!K16943-base_fy)/n_conv)</f>
        <v>0.02</v>
      </c>
    </row>
    <row r="16995" customFormat="false" ht="17.15" hidden="false" customHeight="false" outlineLevel="0" collapsed="false">
      <c r="A16995" s="0" t="s">
        <v>1039</v>
      </c>
      <c r="B16995" s="0" t="s">
        <v>98</v>
      </c>
      <c r="D16995" s="6" t="n">
        <f aca="false">Q!L9</f>
        <v>18.417</v>
      </c>
      <c r="E16995" s="6" t="n">
        <f aca="false">Q!M9</f>
        <v>20.345</v>
      </c>
      <c r="F16995" s="6" t="n">
        <f aca="false">Q!$I$9+(Q!M9-Q!$E$9)*(1+Sens!F16996)</f>
        <v>22.3161797133988</v>
      </c>
      <c r="G16995" s="6" t="n">
        <f aca="false">Sens!F16995*(1+Sens!G16996)</f>
        <v>24.3943499673233</v>
      </c>
      <c r="H16995" s="6" t="n">
        <f aca="false">Sens!G16995*(1+Sens!H16996)</f>
        <v>26.5250243109019</v>
      </c>
      <c r="I16995" s="6" t="n">
        <f aca="false">Sens!H16995*(1+Sens!I16996)</f>
        <v>28.6884573538181</v>
      </c>
      <c r="J16995" s="6" t="n">
        <f aca="false">Sens!I16995*(1+Sens!J16996)</f>
        <v>30.8624968052127</v>
      </c>
      <c r="K16995" s="6" t="n">
        <f aca="false">Sens!J16995*(1+Sens!K16996)</f>
        <v>33.0228715815776</v>
      </c>
      <c r="L16995" s="12" t="s">
        <v>1038</v>
      </c>
    </row>
    <row r="16996" customFormat="false" ht="15" hidden="false" customHeight="false" outlineLevel="0" collapsed="false">
      <c r="A16996" s="1" t="s">
        <v>1028</v>
      </c>
      <c r="B16996" s="0" t="s">
        <v>168</v>
      </c>
      <c r="E16996" s="7" t="n">
        <f aca="false">Sens!E16995/Sens!D16995-1</f>
        <v>0.104685888038225</v>
      </c>
      <c r="F16996" s="7" t="n">
        <f aca="false">Sens!$E$16996+(glt_ind-Sens!$E$16996)*MIN(1,(Sens!F16943-base_fy)/n_conv)</f>
        <v>0.0989049066985211</v>
      </c>
      <c r="G16996" s="7" t="n">
        <f aca="false">Sens!$E$16996+(glt_ind-Sens!$E$16996)*MIN(1,(Sens!G16943-base_fy)/n_conv)</f>
        <v>0.0931239253588169</v>
      </c>
      <c r="H16996" s="7" t="n">
        <f aca="false">Sens!$E$16996+(glt_ind-Sens!$E$16996)*MIN(1,(Sens!H16943-base_fy)/n_conv)</f>
        <v>0.0873429440191127</v>
      </c>
      <c r="I16996" s="7" t="n">
        <f aca="false">Sens!$E$16996+(glt_ind-Sens!$E$16996)*MIN(1,(Sens!I16943-base_fy)/n_conv)</f>
        <v>0.0815619626794085</v>
      </c>
      <c r="J16996" s="7" t="n">
        <f aca="false">Sens!$E$16996+(glt_ind-Sens!$E$16996)*MIN(1,(Sens!J16943-base_fy)/n_conv)</f>
        <v>0.0757809813397042</v>
      </c>
      <c r="K16996" s="7" t="n">
        <f aca="false">Sens!$E$16996+(glt_ind-Sens!$E$16996)*MIN(1,(Sens!K16943-base_fy)/n_conv)</f>
        <v>0.07</v>
      </c>
    </row>
    <row r="16997" customFormat="false" ht="17.15" hidden="false" customHeight="false" outlineLevel="0" collapsed="false">
      <c r="A16997" s="0" t="s">
        <v>1040</v>
      </c>
      <c r="B16997" s="0" t="s">
        <v>98</v>
      </c>
      <c r="D16997" s="6" t="n">
        <f aca="false">Q!L10</f>
        <v>7.76</v>
      </c>
      <c r="E16997" s="6" t="n">
        <f aca="false">Q!M10</f>
        <v>8.26</v>
      </c>
      <c r="F16997" s="6" t="n">
        <f aca="false">Q!$I$10+(Q!M10-Q!$E$10)*(1+Sens!F16998)</f>
        <v>8.75372082474227</v>
      </c>
      <c r="G16997" s="6" t="n">
        <f aca="false">Sens!F16997*(1+Sens!G16998)</f>
        <v>9.33399324642364</v>
      </c>
      <c r="H16997" s="6" t="n">
        <f aca="false">Sens!G16997*(1+Sens!H16998)</f>
        <v>9.96139155535851</v>
      </c>
      <c r="I16997" s="6" t="n">
        <f aca="false">Sens!H16997*(1+Sens!I16998)</f>
        <v>10.6402039077391</v>
      </c>
      <c r="J16997" s="6" t="n">
        <f aca="false">Sens!I16997*(1+Sens!J16998)</f>
        <v>11.3751458271397</v>
      </c>
      <c r="K16997" s="6" t="n">
        <f aca="false">Sens!J16997*(1+Sens!K16998)</f>
        <v>12.1714060350394</v>
      </c>
      <c r="L16997" s="12" t="s">
        <v>1038</v>
      </c>
    </row>
    <row r="16998" customFormat="false" ht="15" hidden="false" customHeight="false" outlineLevel="0" collapsed="false">
      <c r="A16998" s="1" t="s">
        <v>1028</v>
      </c>
      <c r="B16998" s="0" t="s">
        <v>168</v>
      </c>
      <c r="E16998" s="7" t="n">
        <f aca="false">Sens!E16997/Sens!D16997-1</f>
        <v>0.0644329896907216</v>
      </c>
      <c r="F16998" s="7" t="n">
        <f aca="false">Sens!$E$16998+(glt_fro-Sens!$E$16998)*MIN(1,(Sens!F16943-base_fy)/n_conv)</f>
        <v>0.065360824742268</v>
      </c>
      <c r="G16998" s="7" t="n">
        <f aca="false">Sens!$E$16998+(glt_fro-Sens!$E$16998)*MIN(1,(Sens!G16943-base_fy)/n_conv)</f>
        <v>0.0662886597938144</v>
      </c>
      <c r="H16998" s="7" t="n">
        <f aca="false">Sens!$E$16998+(glt_fro-Sens!$E$16998)*MIN(1,(Sens!H16943-base_fy)/n_conv)</f>
        <v>0.0672164948453608</v>
      </c>
      <c r="I16998" s="7" t="n">
        <f aca="false">Sens!$E$16998+(glt_fro-Sens!$E$16998)*MIN(1,(Sens!I16943-base_fy)/n_conv)</f>
        <v>0.0681443298969072</v>
      </c>
      <c r="J16998" s="7" t="n">
        <f aca="false">Sens!$E$16998+(glt_fro-Sens!$E$16998)*MIN(1,(Sens!J16943-base_fy)/n_conv)</f>
        <v>0.0690721649484536</v>
      </c>
      <c r="K16998" s="7" t="n">
        <f aca="false">Sens!$E$16998+(glt_fro-Sens!$E$16998)*MIN(1,(Sens!K16943-base_fy)/n_conv)</f>
        <v>0.07</v>
      </c>
    </row>
    <row r="16999" customFormat="false" ht="15" hidden="false" customHeight="false" outlineLevel="0" collapsed="false">
      <c r="A16999" s="0" t="s">
        <v>856</v>
      </c>
      <c r="B16999" s="0" t="s">
        <v>98</v>
      </c>
      <c r="D16999" s="6" t="n">
        <f aca="false">Sens!D16987+Sens!D16992+Sens!D16993+Sens!D16995+Sens!D16997</f>
        <v>218.783</v>
      </c>
      <c r="E16999" s="6" t="n">
        <f aca="false">Sens!E16987+Sens!E16992+Sens!E16993+Sens!E16995+Sens!E16997</f>
        <v>268.127</v>
      </c>
      <c r="F16999" s="6" t="n">
        <f aca="false">Sens!F16987+Sens!F16992+Sens!F16993+Sens!F16995+Sens!F16997</f>
        <v>330.145282059882</v>
      </c>
      <c r="G16999" s="6" t="n">
        <f aca="false">Sens!G16987+Sens!G16992+Sens!G16993+Sens!G16995+Sens!G16997</f>
        <v>392.656759865851</v>
      </c>
      <c r="H16999" s="6" t="n">
        <f aca="false">Sens!H16987+Sens!H16992+Sens!H16993+Sens!H16995+Sens!H16997</f>
        <v>450.544273297982</v>
      </c>
      <c r="I16999" s="6" t="n">
        <f aca="false">Sens!I16987+Sens!I16992+Sens!I16993+Sens!I16995+Sens!I16997</f>
        <v>510.69213512593</v>
      </c>
      <c r="J16999" s="6" t="n">
        <f aca="false">Sens!J16987+Sens!J16992+Sens!J16993+Sens!J16995+Sens!J16997</f>
        <v>560.416732629406</v>
      </c>
      <c r="K16999" s="6" t="n">
        <f aca="false">Sens!K16987+Sens!K16992+Sens!K16993+Sens!K16995+Sens!K16997</f>
        <v>600.132410592692</v>
      </c>
    </row>
    <row r="17000" customFormat="false" ht="17.15" hidden="false" customHeight="false" outlineLevel="0" collapsed="false">
      <c r="A17000" s="0" t="s">
        <v>1041</v>
      </c>
      <c r="B17000" s="0" t="s">
        <v>98</v>
      </c>
      <c r="D17000" s="6" t="n">
        <f aca="false">Q!L13</f>
        <v>22.171</v>
      </c>
      <c r="E17000" s="6" t="n">
        <f aca="false">Q!M13</f>
        <v>24.835</v>
      </c>
      <c r="F17000" s="6" t="n">
        <f aca="false">Q!$I$13+(Q!M13-Q!$E$13)*(1+Sens!F17001)</f>
        <v>27.5591895660247</v>
      </c>
      <c r="G17000" s="6" t="n">
        <f aca="false">Sens!F17000*(1+Sens!G17001)</f>
        <v>30.4098563144583</v>
      </c>
      <c r="H17000" s="6" t="n">
        <f aca="false">Sens!G17000*(1+Sens!H17001)</f>
        <v>33.3011792571777</v>
      </c>
      <c r="I17000" s="6" t="n">
        <f aca="false">Sens!H17000*(1+Sens!I17001)</f>
        <v>36.189023797112</v>
      </c>
      <c r="J17000" s="6" t="n">
        <f aca="false">Sens!I17000*(1+Sens!J17001)</f>
        <v>39.0247773769199</v>
      </c>
      <c r="K17000" s="6" t="n">
        <f aca="false">Sens!J17000*(1+Sens!K17001)</f>
        <v>41.7565117933043</v>
      </c>
      <c r="L17000" s="12" t="s">
        <v>1038</v>
      </c>
    </row>
    <row r="17001" customFormat="false" ht="15" hidden="false" customHeight="false" outlineLevel="0" collapsed="false">
      <c r="A17001" s="1" t="s">
        <v>1028</v>
      </c>
      <c r="B17001" s="0" t="s">
        <v>168</v>
      </c>
      <c r="E17001" s="7" t="n">
        <f aca="false">Sens!E17000/Sens!D17000-1</f>
        <v>0.120156961796942</v>
      </c>
      <c r="F17001" s="7" t="n">
        <f aca="false">Sens!$E$17001+(glt_srch-Sens!$E$17001)*MIN(1,(Sens!F16943-base_fy)/n_conv)</f>
        <v>0.111797468164118</v>
      </c>
      <c r="G17001" s="7" t="n">
        <f aca="false">Sens!$E$17001+(glt_srch-Sens!$E$17001)*MIN(1,(Sens!G16943-base_fy)/n_conv)</f>
        <v>0.103437974531295</v>
      </c>
      <c r="H17001" s="7" t="n">
        <f aca="false">Sens!$E$17001+(glt_srch-Sens!$E$17001)*MIN(1,(Sens!H16943-base_fy)/n_conv)</f>
        <v>0.095078480898471</v>
      </c>
      <c r="I17001" s="7" t="n">
        <f aca="false">Sens!$E$17001+(glt_srch-Sens!$E$17001)*MIN(1,(Sens!I16943-base_fy)/n_conv)</f>
        <v>0.0867189872656474</v>
      </c>
      <c r="J17001" s="7" t="n">
        <f aca="false">Sens!$E$17001+(glt_srch-Sens!$E$17001)*MIN(1,(Sens!J16943-base_fy)/n_conv)</f>
        <v>0.0783594936328237</v>
      </c>
      <c r="K17001" s="7" t="n">
        <f aca="false">Sens!$E$17001+(glt_srch-Sens!$E$17001)*MIN(1,(Sens!K16943-base_fy)/n_conv)</f>
        <v>0.07</v>
      </c>
    </row>
    <row r="17002" customFormat="false" ht="17.15" hidden="false" customHeight="false" outlineLevel="0" collapsed="false">
      <c r="A17002" s="0" t="s">
        <v>1042</v>
      </c>
      <c r="B17002" s="0" t="s">
        <v>98</v>
      </c>
      <c r="D17002" s="6" t="n">
        <f aca="false">Q!L14</f>
        <v>23.455</v>
      </c>
      <c r="E17002" s="6" t="n">
        <f aca="false">Q!M14</f>
        <v>21.79</v>
      </c>
      <c r="F17002" s="6" t="n">
        <f aca="false">Q!$I$14+(Q!M14-Q!$E$14)*(1+Sens!F17003)</f>
        <v>20.7520981041711</v>
      </c>
      <c r="G17002" s="6" t="n">
        <f aca="false">Sens!F17002*(1+Sens!G17003)</f>
        <v>19.9083593495882</v>
      </c>
      <c r="H17002" s="6" t="n">
        <f aca="false">Sens!G17002*(1+Sens!H17003)</f>
        <v>19.4008256265831</v>
      </c>
      <c r="I17002" s="6" t="n">
        <f aca="false">Sens!H17002*(1+Sens!I17003)</f>
        <v>19.200434522122</v>
      </c>
      <c r="J17002" s="6" t="n">
        <f aca="false">Sens!I17002*(1+Sens!J17003)</f>
        <v>19.2932782348507</v>
      </c>
      <c r="K17002" s="6" t="n">
        <f aca="false">Sens!J17002*(1+Sens!K17003)</f>
        <v>19.6791437995477</v>
      </c>
      <c r="L17002" s="12" t="s">
        <v>1038</v>
      </c>
    </row>
    <row r="17003" customFormat="false" ht="15" hidden="false" customHeight="false" outlineLevel="0" collapsed="false">
      <c r="A17003" s="1" t="s">
        <v>1028</v>
      </c>
      <c r="B17003" s="0" t="s">
        <v>168</v>
      </c>
      <c r="E17003" s="7" t="n">
        <f aca="false">Sens!E17002/Sens!D17002-1</f>
        <v>-0.0709869963760392</v>
      </c>
      <c r="F17003" s="7" t="n">
        <f aca="false">Sens!$E$17003+(glt_xbox-Sens!$E$17003)*MIN(1,(Sens!F16943-base_fy)/n_conv)</f>
        <v>-0.0558224969800327</v>
      </c>
      <c r="G17003" s="7" t="n">
        <f aca="false">Sens!$E$17003+(glt_xbox-Sens!$E$17003)*MIN(1,(Sens!G16943-base_fy)/n_conv)</f>
        <v>-0.0406579975840262</v>
      </c>
      <c r="H17003" s="7" t="n">
        <f aca="false">Sens!$E$17003+(glt_xbox-Sens!$E$17003)*MIN(1,(Sens!H16943-base_fy)/n_conv)</f>
        <v>-0.0254934981880196</v>
      </c>
      <c r="I17003" s="7" t="n">
        <f aca="false">Sens!$E$17003+(glt_xbox-Sens!$E$17003)*MIN(1,(Sens!I16943-base_fy)/n_conv)</f>
        <v>-0.0103289987920131</v>
      </c>
      <c r="J17003" s="7" t="n">
        <f aca="false">Sens!$E$17003+(glt_xbox-Sens!$E$17003)*MIN(1,(Sens!J16943-base_fy)/n_conv)</f>
        <v>0.00483550060399347</v>
      </c>
      <c r="K17003" s="7" t="n">
        <f aca="false">Sens!$E$17003+(glt_xbox-Sens!$E$17003)*MIN(1,(Sens!K16943-base_fy)/n_conv)</f>
        <v>0.02</v>
      </c>
    </row>
    <row r="17004" customFormat="false" ht="17.15" hidden="false" customHeight="false" outlineLevel="0" collapsed="false">
      <c r="A17004" s="0" t="s">
        <v>1043</v>
      </c>
      <c r="B17004" s="0" t="s">
        <v>98</v>
      </c>
      <c r="D17004" s="6" t="n">
        <f aca="false">Q!L15</f>
        <v>17.315</v>
      </c>
      <c r="E17004" s="6" t="n">
        <f aca="false">Q!M15</f>
        <v>17.087</v>
      </c>
      <c r="F17004" s="6" t="n">
        <f aca="false">Q!$I$15+(Q!M15-Q!$E$15)*(1+Sens!F17005)</f>
        <v>15.9912273250553</v>
      </c>
      <c r="G17004" s="6" t="n">
        <f aca="false">Sens!F17004*(1+Sens!G17005)</f>
        <v>15.9574562664827</v>
      </c>
      <c r="H17004" s="6" t="n">
        <f aca="false">Sens!G17004*(1+Sens!H17005)</f>
        <v>16.0119687434196</v>
      </c>
      <c r="I17004" s="6" t="n">
        <f aca="false">Sens!H17004*(1+Sens!I17005)</f>
        <v>16.1551810001948</v>
      </c>
      <c r="J17004" s="6" t="n">
        <f aca="false">Sens!I17004*(1+Sens!J17005)</f>
        <v>16.3889793892005</v>
      </c>
      <c r="K17004" s="6" t="n">
        <f aca="false">Sens!J17004*(1+Sens!K17005)</f>
        <v>16.7167589769845</v>
      </c>
      <c r="L17004" s="12" t="s">
        <v>1038</v>
      </c>
    </row>
    <row r="17005" customFormat="false" ht="15" hidden="false" customHeight="false" outlineLevel="0" collapsed="false">
      <c r="A17005" s="1" t="s">
        <v>1028</v>
      </c>
      <c r="B17005" s="0" t="s">
        <v>168</v>
      </c>
      <c r="E17005" s="7" t="n">
        <f aca="false">Sens!E17004/Sens!D17004-1</f>
        <v>-0.0131677736066995</v>
      </c>
      <c r="F17005" s="7" t="n">
        <f aca="false">Sens!$E$17005+(glt_win-Sens!$E$17005)*MIN(1,(Sens!F16943-base_fy)/n_conv)</f>
        <v>-0.00763981133891627</v>
      </c>
      <c r="G17005" s="7" t="n">
        <f aca="false">Sens!$E$17005+(glt_win-Sens!$E$17005)*MIN(1,(Sens!G16943-base_fy)/n_conv)</f>
        <v>-0.00211184907113301</v>
      </c>
      <c r="H17005" s="7" t="n">
        <f aca="false">Sens!$E$17005+(glt_win-Sens!$E$17005)*MIN(1,(Sens!H16943-base_fy)/n_conv)</f>
        <v>0.00341611319665024</v>
      </c>
      <c r="I17005" s="7" t="n">
        <f aca="false">Sens!$E$17005+(glt_win-Sens!$E$17005)*MIN(1,(Sens!I16943-base_fy)/n_conv)</f>
        <v>0.00894407546443349</v>
      </c>
      <c r="J17005" s="7" t="n">
        <f aca="false">Sens!$E$17005+(glt_win-Sens!$E$17005)*MIN(1,(Sens!J16943-base_fy)/n_conv)</f>
        <v>0.0144720377322168</v>
      </c>
      <c r="K17005" s="7" t="n">
        <f aca="false">Sens!$E$17005+(glt_win-Sens!$E$17005)*MIN(1,(Sens!K16943-base_fy)/n_conv)</f>
        <v>0.02</v>
      </c>
    </row>
    <row r="17006" customFormat="false" ht="15" hidden="false" customHeight="false" outlineLevel="0" collapsed="false">
      <c r="A17006" s="0" t="s">
        <v>870</v>
      </c>
      <c r="B17006" s="0" t="s">
        <v>98</v>
      </c>
      <c r="D17006" s="6" t="n">
        <f aca="false">Sens!D17000+Sens!D17002+Sens!D17004</f>
        <v>62.941</v>
      </c>
      <c r="E17006" s="6" t="n">
        <f aca="false">Sens!E17000+Sens!E17002+Sens!E17004</f>
        <v>63.712</v>
      </c>
      <c r="F17006" s="6" t="n">
        <f aca="false">Sens!F17000+Sens!F17002+Sens!F17004</f>
        <v>64.3025149952511</v>
      </c>
      <c r="G17006" s="6" t="n">
        <f aca="false">Sens!G17000+Sens!G17002+Sens!G17004</f>
        <v>66.2756719305292</v>
      </c>
      <c r="H17006" s="6" t="n">
        <f aca="false">Sens!H17000+Sens!H17002+Sens!H17004</f>
        <v>68.7139736271804</v>
      </c>
      <c r="I17006" s="6" t="n">
        <f aca="false">Sens!I17000+Sens!I17002+Sens!I17004</f>
        <v>71.5446393194289</v>
      </c>
      <c r="J17006" s="6" t="n">
        <f aca="false">Sens!J17000+Sens!J17002+Sens!J17004</f>
        <v>74.707035000971</v>
      </c>
      <c r="K17006" s="6" t="n">
        <f aca="false">Sens!K17000+Sens!K17002+Sens!K17004</f>
        <v>78.1524145698365</v>
      </c>
    </row>
    <row r="17007" customFormat="false" ht="15" hidden="false" customHeight="false" outlineLevel="0" collapsed="false">
      <c r="A17007" s="1" t="s">
        <v>1044</v>
      </c>
      <c r="B17007" s="0" t="s">
        <v>98</v>
      </c>
      <c r="D17007" s="6" t="n">
        <f aca="false">Sens!D16999+Sens!D17006</f>
        <v>281.724</v>
      </c>
      <c r="E17007" s="6" t="n">
        <f aca="false">Sens!E16999+Sens!E17006</f>
        <v>331.839</v>
      </c>
      <c r="F17007" s="6" t="n">
        <f aca="false">Sens!F16999+Sens!F17006</f>
        <v>394.447797055133</v>
      </c>
      <c r="G17007" s="6" t="n">
        <f aca="false">Sens!G16999+Sens!G17006</f>
        <v>458.93243179638</v>
      </c>
      <c r="H17007" s="6" t="n">
        <f aca="false">Sens!H16999+Sens!H17006</f>
        <v>519.258246925162</v>
      </c>
      <c r="I17007" s="6" t="n">
        <f aca="false">Sens!I16999+Sens!I17006</f>
        <v>582.236774445359</v>
      </c>
      <c r="J17007" s="6" t="n">
        <f aca="false">Sens!J16999+Sens!J17006</f>
        <v>635.123767630377</v>
      </c>
      <c r="K17007" s="6" t="n">
        <f aca="false">Sens!K16999+Sens!K17006</f>
        <v>678.284825162529</v>
      </c>
    </row>
    <row r="17008" customFormat="false" ht="15" hidden="false" customHeight="false" outlineLevel="0" collapsed="false">
      <c r="A17008" s="26" t="s">
        <v>1045</v>
      </c>
      <c r="B17008" s="31" t="s">
        <v>98</v>
      </c>
      <c r="C17008" s="31"/>
      <c r="D17008" s="27" t="n">
        <f aca="false">(Sens!D16987+Sens!D16992+Sens!D16993+Sens!D16995+Sens!D16997-Sens!D16999)+(Sens!D17000+Sens!D17002+Sens!D17004-Sens!D17006)+(Sens!D16999-Q!L5)+(Sens!D17006-Q!L12)+(Sens!D16987-Q!L6)+(Sens!D16992-Q!L7)</f>
        <v>0</v>
      </c>
      <c r="E17008" s="27" t="n">
        <f aca="false">(Sens!E16987+Sens!E16992+Sens!E16993+Sens!E16995+Sens!E16997-Sens!E16999)+(Sens!E17000+Sens!E17002+Sens!E17004-Sens!E17006)+(Sens!E16999-Q!M5)+(Sens!E17006-Q!M12)+(Sens!E16987-Q!M6)+(Sens!E16992-Q!M7)</f>
        <v>0</v>
      </c>
      <c r="F17008" s="27" t="n">
        <f aca="false">(Sens!F16987+Sens!F16992+Sens!F16993+Sens!F16995+Sens!F16997-Sens!F16999)+(Sens!F17000+Sens!F17002+Sens!F17004-Sens!F17006)</f>
        <v>0</v>
      </c>
      <c r="G17008" s="27" t="n">
        <f aca="false">(Sens!G16987+Sens!G16992+Sens!G16993+Sens!G16995+Sens!G16997-Sens!G16999)+(Sens!G17000+Sens!G17002+Sens!G17004-Sens!G17006)</f>
        <v>0</v>
      </c>
      <c r="H17008" s="27" t="n">
        <f aca="false">(Sens!H16987+Sens!H16992+Sens!H16993+Sens!H16995+Sens!H16997-Sens!H16999)+(Sens!H17000+Sens!H17002+Sens!H17004-Sens!H17006)</f>
        <v>0</v>
      </c>
      <c r="I17008" s="27" t="n">
        <f aca="false">(Sens!I16987+Sens!I16992+Sens!I16993+Sens!I16995+Sens!I16997-Sens!I16999)+(Sens!I17000+Sens!I17002+Sens!I17004-Sens!I17006)</f>
        <v>0</v>
      </c>
      <c r="J17008" s="27" t="n">
        <f aca="false">(Sens!J16987+Sens!J16992+Sens!J16993+Sens!J16995+Sens!J16997-Sens!J16999)+(Sens!J17000+Sens!J17002+Sens!J17004-Sens!J17006)</f>
        <v>0</v>
      </c>
      <c r="K17008" s="27" t="n">
        <f aca="false">(Sens!K16987+Sens!K16992+Sens!K16993+Sens!K16995+Sens!K16997-Sens!K16999)+(Sens!K17000+Sens!K17002+Sens!K17004-Sens!K17006)</f>
        <v>0</v>
      </c>
    </row>
    <row r="17009" customFormat="false" ht="17.15" hidden="false" customHeight="false" outlineLevel="0" collapsed="false">
      <c r="A17009" s="3" t="s">
        <v>2031</v>
      </c>
    </row>
    <row r="17010" customFormat="false" ht="15" hidden="false" customHeight="false" outlineLevel="0" collapsed="false">
      <c r="A17010" s="4" t="s">
        <v>43</v>
      </c>
      <c r="B17010" s="4" t="s">
        <v>65</v>
      </c>
      <c r="C17010" s="23" t="s">
        <v>942</v>
      </c>
      <c r="D17010" s="23" t="s">
        <v>943</v>
      </c>
      <c r="E17010" s="23" t="s">
        <v>944</v>
      </c>
      <c r="F17010" s="23" t="s">
        <v>945</v>
      </c>
      <c r="G17010" s="23" t="s">
        <v>946</v>
      </c>
      <c r="H17010" s="23" t="s">
        <v>947</v>
      </c>
      <c r="I17010" s="23" t="s">
        <v>948</v>
      </c>
      <c r="J17010" s="23" t="s">
        <v>949</v>
      </c>
      <c r="K17010" s="23" t="s">
        <v>950</v>
      </c>
      <c r="L17010" s="4" t="s">
        <v>47</v>
      </c>
    </row>
    <row r="17011" customFormat="false" ht="15" hidden="false" customHeight="false" outlineLevel="0" collapsed="false">
      <c r="A17011" s="0" t="s">
        <v>1029</v>
      </c>
      <c r="B17011" s="0" t="s">
        <v>98</v>
      </c>
      <c r="D17011" s="6" t="n">
        <f aca="false">Sens!D16987</f>
        <v>72.61</v>
      </c>
      <c r="E17011" s="6" t="n">
        <f aca="false">Sens!E16987</f>
        <v>101.938</v>
      </c>
      <c r="F17011" s="6" t="n">
        <f aca="false">Sens!F16987</f>
        <v>143.251883553698</v>
      </c>
      <c r="G17011" s="6" t="n">
        <f aca="false">Sens!G16987</f>
        <v>186.322520879442</v>
      </c>
      <c r="H17011" s="6" t="n">
        <f aca="false">Sens!H16987</f>
        <v>224.74279426379</v>
      </c>
      <c r="I17011" s="6" t="n">
        <f aca="false">Sens!I16987</f>
        <v>266.443497823359</v>
      </c>
      <c r="J17011" s="6" t="n">
        <f aca="false">Sens!J16987</f>
        <v>299.06102493502</v>
      </c>
      <c r="K17011" s="6" t="n">
        <f aca="false">Sens!K16987</f>
        <v>322.592740225023</v>
      </c>
    </row>
    <row r="17012" customFormat="false" ht="17.15" hidden="false" customHeight="false" outlineLevel="0" collapsed="false">
      <c r="A17012" s="0" t="s">
        <v>1025</v>
      </c>
      <c r="B17012" s="0" t="s">
        <v>98</v>
      </c>
      <c r="D17012" s="6" t="n">
        <f aca="false">Sens!D16984</f>
        <v>12.9359794422418</v>
      </c>
      <c r="E17012" s="6" t="n">
        <f aca="false">Sens!E16984</f>
        <v>27.8095064661409</v>
      </c>
      <c r="F17012" s="6" t="n">
        <f aca="false">Sens!F16984</f>
        <v>50.9819294352312</v>
      </c>
      <c r="G17012" s="6" t="n">
        <f aca="false">Sens!G16984</f>
        <v>76.6920436014933</v>
      </c>
      <c r="H17012" s="6" t="n">
        <f aca="false">Sens!H16984</f>
        <v>97.4495379418341</v>
      </c>
      <c r="I17012" s="6" t="n">
        <f aca="false">Sens!I16984</f>
        <v>122.083445553868</v>
      </c>
      <c r="J17012" s="6" t="n">
        <f aca="false">Sens!J16984</f>
        <v>139.249060444804</v>
      </c>
      <c r="K17012" s="6" t="n">
        <f aca="false">Sens!K16984</f>
        <v>149.995818575589</v>
      </c>
    </row>
    <row r="17013" customFormat="false" ht="17.15" hidden="false" customHeight="false" outlineLevel="0" collapsed="false">
      <c r="A17013" s="0" t="s">
        <v>1056</v>
      </c>
      <c r="B17013" s="0" t="s">
        <v>98</v>
      </c>
      <c r="D17013" s="6" t="n">
        <f aca="false">Sens!D16985</f>
        <v>59.6740205577583</v>
      </c>
      <c r="E17013" s="6" t="n">
        <f aca="false">Sens!E16985</f>
        <v>74.1284935338591</v>
      </c>
      <c r="F17013" s="6" t="n">
        <f aca="false">Sens!F16985</f>
        <v>92.2699541184664</v>
      </c>
      <c r="G17013" s="6" t="n">
        <f aca="false">Sens!G16985</f>
        <v>109.630477277949</v>
      </c>
      <c r="H17013" s="6" t="n">
        <f aca="false">Sens!H16985</f>
        <v>127.293256321956</v>
      </c>
      <c r="I17013" s="6" t="n">
        <f aca="false">Sens!I16985</f>
        <v>144.360052269491</v>
      </c>
      <c r="J17013" s="6" t="n">
        <f aca="false">Sens!J16985</f>
        <v>159.811964490216</v>
      </c>
      <c r="K17013" s="6" t="n">
        <f aca="false">Sens!K16985</f>
        <v>172.596921649434</v>
      </c>
    </row>
    <row r="17014" customFormat="false" ht="15" hidden="false" customHeight="false" outlineLevel="0" collapsed="false">
      <c r="A17014" s="0" t="s">
        <v>1036</v>
      </c>
      <c r="B17014" s="0" t="s">
        <v>98</v>
      </c>
      <c r="D17014" s="6" t="n">
        <f aca="false">Sens!D16992</f>
        <v>84.605</v>
      </c>
      <c r="E17014" s="6" t="n">
        <f aca="false">Sens!E16992</f>
        <v>100.299</v>
      </c>
      <c r="F17014" s="6" t="n">
        <f aca="false">Sens!F16992</f>
        <v>117.438354189776</v>
      </c>
      <c r="G17014" s="6" t="n">
        <f aca="false">Sens!G16992</f>
        <v>132.595360443801</v>
      </c>
      <c r="H17014" s="6" t="n">
        <f aca="false">Sens!H16992</f>
        <v>147.833811964563</v>
      </c>
      <c r="I17014" s="6" t="n">
        <f aca="false">Sens!I16992</f>
        <v>162.145665319381</v>
      </c>
      <c r="J17014" s="6" t="n">
        <f aca="false">Sens!J16992</f>
        <v>175.249327755573</v>
      </c>
      <c r="K17014" s="6" t="n">
        <f aca="false">Sens!K16992</f>
        <v>187.599280698463</v>
      </c>
    </row>
    <row r="17015" customFormat="false" ht="17.15" hidden="false" customHeight="false" outlineLevel="0" collapsed="false">
      <c r="A17015" s="0" t="s">
        <v>1057</v>
      </c>
      <c r="B17015" s="0" t="s">
        <v>98</v>
      </c>
      <c r="D17015" s="6" t="n">
        <f aca="false">Sens!D16990</f>
        <v>83.705</v>
      </c>
      <c r="E17015" s="6" t="n">
        <f aca="false">Sens!E16990</f>
        <v>95.049</v>
      </c>
      <c r="F17015" s="6" t="n">
        <f aca="false">Sens!F16990</f>
        <v>106.938354189776</v>
      </c>
      <c r="G17015" s="6" t="n">
        <f aca="false">Sens!G16990</f>
        <v>119.095360443801</v>
      </c>
      <c r="H17015" s="6" t="n">
        <f aca="false">Sens!H16990</f>
        <v>131.333811964563</v>
      </c>
      <c r="I17015" s="6" t="n">
        <f aca="false">Sens!I16990</f>
        <v>143.395665319381</v>
      </c>
      <c r="J17015" s="6" t="n">
        <f aca="false">Sens!J16990</f>
        <v>154.999327755573</v>
      </c>
      <c r="K17015" s="6" t="n">
        <f aca="false">Sens!K16990</f>
        <v>165.849280698463</v>
      </c>
    </row>
    <row r="17016" customFormat="false" ht="17.15" hidden="false" customHeight="false" outlineLevel="0" collapsed="false">
      <c r="A17016" s="0" t="s">
        <v>1058</v>
      </c>
      <c r="B17016" s="0" t="s">
        <v>98</v>
      </c>
      <c r="D17016" s="6" t="n">
        <f aca="false">Sens!D16989</f>
        <v>0.9</v>
      </c>
      <c r="E17016" s="6" t="n">
        <f aca="false">Sens!E16989</f>
        <v>5.25</v>
      </c>
      <c r="F17016" s="6" t="n">
        <f aca="false">Sens!F16989</f>
        <v>10.5</v>
      </c>
      <c r="G17016" s="6" t="n">
        <f aca="false">Sens!G16989</f>
        <v>13.5</v>
      </c>
      <c r="H17016" s="6" t="n">
        <f aca="false">Sens!H16989</f>
        <v>16.5</v>
      </c>
      <c r="I17016" s="6" t="n">
        <f aca="false">Sens!I16989</f>
        <v>18.75</v>
      </c>
      <c r="J17016" s="6" t="n">
        <f aca="false">Sens!J16989</f>
        <v>20.25</v>
      </c>
      <c r="K17016" s="6" t="n">
        <f aca="false">Sens!K16989</f>
        <v>21.75</v>
      </c>
    </row>
    <row r="17017" customFormat="false" ht="15" hidden="false" customHeight="false" outlineLevel="0" collapsed="false">
      <c r="A17017" s="0" t="s">
        <v>1037</v>
      </c>
      <c r="B17017" s="0" t="s">
        <v>98</v>
      </c>
      <c r="D17017" s="6" t="n">
        <f aca="false">Sens!D16993</f>
        <v>35.391</v>
      </c>
      <c r="E17017" s="6" t="n">
        <f aca="false">Sens!E16993</f>
        <v>37.285</v>
      </c>
      <c r="F17017" s="6" t="n">
        <f aca="false">Sens!F16993</f>
        <v>38.3851437782675</v>
      </c>
      <c r="G17017" s="6" t="n">
        <f aca="false">Sens!G16993</f>
        <v>40.0105353288615</v>
      </c>
      <c r="H17017" s="6" t="n">
        <f aca="false">Sens!H16993</f>
        <v>41.4812512033683</v>
      </c>
      <c r="I17017" s="6" t="n">
        <f aca="false">Sens!I16993</f>
        <v>42.7743107216329</v>
      </c>
      <c r="J17017" s="6" t="n">
        <f aca="false">Sens!J16993</f>
        <v>43.8687373064601</v>
      </c>
      <c r="K17017" s="6" t="n">
        <f aca="false">Sens!K16993</f>
        <v>44.7461120525893</v>
      </c>
    </row>
    <row r="17018" customFormat="false" ht="15" hidden="false" customHeight="false" outlineLevel="0" collapsed="false">
      <c r="A17018" s="0" t="s">
        <v>1039</v>
      </c>
      <c r="B17018" s="0" t="s">
        <v>98</v>
      </c>
      <c r="D17018" s="6" t="n">
        <f aca="false">Sens!D16995</f>
        <v>18.417</v>
      </c>
      <c r="E17018" s="6" t="n">
        <f aca="false">Sens!E16995</f>
        <v>20.345</v>
      </c>
      <c r="F17018" s="6" t="n">
        <f aca="false">Sens!F16995</f>
        <v>22.3161797133988</v>
      </c>
      <c r="G17018" s="6" t="n">
        <f aca="false">Sens!G16995</f>
        <v>24.3943499673233</v>
      </c>
      <c r="H17018" s="6" t="n">
        <f aca="false">Sens!H16995</f>
        <v>26.5250243109019</v>
      </c>
      <c r="I17018" s="6" t="n">
        <f aca="false">Sens!I16995</f>
        <v>28.6884573538181</v>
      </c>
      <c r="J17018" s="6" t="n">
        <f aca="false">Sens!J16995</f>
        <v>30.8624968052127</v>
      </c>
      <c r="K17018" s="6" t="n">
        <f aca="false">Sens!K16995</f>
        <v>33.0228715815776</v>
      </c>
    </row>
    <row r="17019" customFormat="false" ht="15" hidden="false" customHeight="false" outlineLevel="0" collapsed="false">
      <c r="A17019" s="0" t="s">
        <v>1040</v>
      </c>
      <c r="B17019" s="0" t="s">
        <v>98</v>
      </c>
      <c r="D17019" s="6" t="n">
        <f aca="false">Sens!D16997</f>
        <v>7.76</v>
      </c>
      <c r="E17019" s="6" t="n">
        <f aca="false">Sens!E16997</f>
        <v>8.26</v>
      </c>
      <c r="F17019" s="6" t="n">
        <f aca="false">Sens!F16997</f>
        <v>8.75372082474227</v>
      </c>
      <c r="G17019" s="6" t="n">
        <f aca="false">Sens!G16997</f>
        <v>9.33399324642364</v>
      </c>
      <c r="H17019" s="6" t="n">
        <f aca="false">Sens!H16997</f>
        <v>9.96139155535851</v>
      </c>
      <c r="I17019" s="6" t="n">
        <f aca="false">Sens!I16997</f>
        <v>10.6402039077391</v>
      </c>
      <c r="J17019" s="6" t="n">
        <f aca="false">Sens!J16997</f>
        <v>11.3751458271397</v>
      </c>
      <c r="K17019" s="6" t="n">
        <f aca="false">Sens!K16997</f>
        <v>12.1714060350394</v>
      </c>
    </row>
    <row r="17020" customFormat="false" ht="15" hidden="false" customHeight="false" outlineLevel="0" collapsed="false">
      <c r="A17020" s="0" t="s">
        <v>856</v>
      </c>
      <c r="B17020" s="0" t="s">
        <v>98</v>
      </c>
      <c r="D17020" s="6" t="n">
        <f aca="false">Sens!D16999</f>
        <v>218.783</v>
      </c>
      <c r="E17020" s="6" t="n">
        <f aca="false">Sens!E16999</f>
        <v>268.127</v>
      </c>
      <c r="F17020" s="6" t="n">
        <f aca="false">Sens!F16999</f>
        <v>330.145282059882</v>
      </c>
      <c r="G17020" s="6" t="n">
        <f aca="false">Sens!G16999</f>
        <v>392.656759865851</v>
      </c>
      <c r="H17020" s="6" t="n">
        <f aca="false">Sens!H16999</f>
        <v>450.544273297982</v>
      </c>
      <c r="I17020" s="6" t="n">
        <f aca="false">Sens!I16999</f>
        <v>510.69213512593</v>
      </c>
      <c r="J17020" s="6" t="n">
        <f aca="false">Sens!J16999</f>
        <v>560.416732629406</v>
      </c>
      <c r="K17020" s="6" t="n">
        <f aca="false">Sens!K16999</f>
        <v>600.132410592692</v>
      </c>
    </row>
    <row r="17021" customFormat="false" ht="15" hidden="false" customHeight="false" outlineLevel="0" collapsed="false">
      <c r="A17021" s="0" t="s">
        <v>1041</v>
      </c>
      <c r="B17021" s="0" t="s">
        <v>98</v>
      </c>
      <c r="D17021" s="6" t="n">
        <f aca="false">Sens!D17000</f>
        <v>22.171</v>
      </c>
      <c r="E17021" s="6" t="n">
        <f aca="false">Sens!E17000</f>
        <v>24.835</v>
      </c>
      <c r="F17021" s="6" t="n">
        <f aca="false">Sens!F17000</f>
        <v>27.5591895660247</v>
      </c>
      <c r="G17021" s="6" t="n">
        <f aca="false">Sens!G17000</f>
        <v>30.4098563144583</v>
      </c>
      <c r="H17021" s="6" t="n">
        <f aca="false">Sens!H17000</f>
        <v>33.3011792571777</v>
      </c>
      <c r="I17021" s="6" t="n">
        <f aca="false">Sens!I17000</f>
        <v>36.189023797112</v>
      </c>
      <c r="J17021" s="6" t="n">
        <f aca="false">Sens!J17000</f>
        <v>39.0247773769199</v>
      </c>
      <c r="K17021" s="6" t="n">
        <f aca="false">Sens!K17000</f>
        <v>41.7565117933043</v>
      </c>
    </row>
    <row r="17022" customFormat="false" ht="15" hidden="false" customHeight="false" outlineLevel="0" collapsed="false">
      <c r="A17022" s="0" t="s">
        <v>1042</v>
      </c>
      <c r="B17022" s="0" t="s">
        <v>98</v>
      </c>
      <c r="D17022" s="6" t="n">
        <f aca="false">Sens!D17002</f>
        <v>23.455</v>
      </c>
      <c r="E17022" s="6" t="n">
        <f aca="false">Sens!E17002</f>
        <v>21.79</v>
      </c>
      <c r="F17022" s="6" t="n">
        <f aca="false">Sens!F17002</f>
        <v>20.7520981041711</v>
      </c>
      <c r="G17022" s="6" t="n">
        <f aca="false">Sens!G17002</f>
        <v>19.9083593495882</v>
      </c>
      <c r="H17022" s="6" t="n">
        <f aca="false">Sens!H17002</f>
        <v>19.4008256265831</v>
      </c>
      <c r="I17022" s="6" t="n">
        <f aca="false">Sens!I17002</f>
        <v>19.200434522122</v>
      </c>
      <c r="J17022" s="6" t="n">
        <f aca="false">Sens!J17002</f>
        <v>19.2932782348507</v>
      </c>
      <c r="K17022" s="6" t="n">
        <f aca="false">Sens!K17002</f>
        <v>19.6791437995477</v>
      </c>
    </row>
    <row r="17023" customFormat="false" ht="15" hidden="false" customHeight="false" outlineLevel="0" collapsed="false">
      <c r="A17023" s="0" t="s">
        <v>1043</v>
      </c>
      <c r="B17023" s="0" t="s">
        <v>98</v>
      </c>
      <c r="D17023" s="6" t="n">
        <f aca="false">Sens!D17004</f>
        <v>17.315</v>
      </c>
      <c r="E17023" s="6" t="n">
        <f aca="false">Sens!E17004</f>
        <v>17.087</v>
      </c>
      <c r="F17023" s="6" t="n">
        <f aca="false">Sens!F17004</f>
        <v>15.9912273250553</v>
      </c>
      <c r="G17023" s="6" t="n">
        <f aca="false">Sens!G17004</f>
        <v>15.9574562664827</v>
      </c>
      <c r="H17023" s="6" t="n">
        <f aca="false">Sens!H17004</f>
        <v>16.0119687434196</v>
      </c>
      <c r="I17023" s="6" t="n">
        <f aca="false">Sens!I17004</f>
        <v>16.1551810001948</v>
      </c>
      <c r="J17023" s="6" t="n">
        <f aca="false">Sens!J17004</f>
        <v>16.3889793892005</v>
      </c>
      <c r="K17023" s="6" t="n">
        <f aca="false">Sens!K17004</f>
        <v>16.7167589769845</v>
      </c>
    </row>
    <row r="17024" customFormat="false" ht="15" hidden="false" customHeight="false" outlineLevel="0" collapsed="false">
      <c r="A17024" s="0" t="s">
        <v>870</v>
      </c>
      <c r="B17024" s="0" t="s">
        <v>98</v>
      </c>
      <c r="D17024" s="6" t="n">
        <f aca="false">Sens!D17006</f>
        <v>62.941</v>
      </c>
      <c r="E17024" s="6" t="n">
        <f aca="false">Sens!E17006</f>
        <v>63.712</v>
      </c>
      <c r="F17024" s="6" t="n">
        <f aca="false">Sens!F17006</f>
        <v>64.3025149952511</v>
      </c>
      <c r="G17024" s="6" t="n">
        <f aca="false">Sens!G17006</f>
        <v>66.2756719305292</v>
      </c>
      <c r="H17024" s="6" t="n">
        <f aca="false">Sens!H17006</f>
        <v>68.7139736271804</v>
      </c>
      <c r="I17024" s="6" t="n">
        <f aca="false">Sens!I17006</f>
        <v>71.5446393194289</v>
      </c>
      <c r="J17024" s="6" t="n">
        <f aca="false">Sens!J17006</f>
        <v>74.707035000971</v>
      </c>
      <c r="K17024" s="6" t="n">
        <f aca="false">Sens!K17006</f>
        <v>78.1524145698365</v>
      </c>
    </row>
    <row r="17025" customFormat="false" ht="15" hidden="false" customHeight="false" outlineLevel="0" collapsed="false">
      <c r="A17025" s="1" t="s">
        <v>1059</v>
      </c>
      <c r="B17025" s="0" t="s">
        <v>98</v>
      </c>
      <c r="D17025" s="6" t="n">
        <f aca="false">Sens!D17007</f>
        <v>281.724</v>
      </c>
      <c r="E17025" s="6" t="n">
        <f aca="false">Sens!E17007</f>
        <v>331.839</v>
      </c>
      <c r="F17025" s="6" t="n">
        <f aca="false">Sens!F17007</f>
        <v>394.447797055133</v>
      </c>
      <c r="G17025" s="6" t="n">
        <f aca="false">Sens!G17007</f>
        <v>458.93243179638</v>
      </c>
      <c r="H17025" s="6" t="n">
        <f aca="false">Sens!H17007</f>
        <v>519.258246925162</v>
      </c>
      <c r="I17025" s="6" t="n">
        <f aca="false">Sens!I17007</f>
        <v>582.236774445359</v>
      </c>
      <c r="J17025" s="6" t="n">
        <f aca="false">Sens!J17007</f>
        <v>635.123767630377</v>
      </c>
      <c r="K17025" s="6" t="n">
        <f aca="false">Sens!K17007</f>
        <v>678.284825162529</v>
      </c>
    </row>
    <row r="17026" customFormat="false" ht="15" hidden="false" customHeight="false" outlineLevel="0" collapsed="false">
      <c r="A17026" s="1" t="s">
        <v>1060</v>
      </c>
      <c r="B17026" s="0" t="s">
        <v>168</v>
      </c>
      <c r="E17026" s="7" t="n">
        <f aca="false">Sens!E17025/Sens!D17025-1</f>
        <v>0.177886867998467</v>
      </c>
      <c r="F17026" s="7" t="n">
        <f aca="false">Sens!F17025/Sens!E17025-1</f>
        <v>0.188672208676897</v>
      </c>
      <c r="G17026" s="7" t="n">
        <f aca="false">Sens!G17025/Sens!F17025-1</f>
        <v>0.16348078306604</v>
      </c>
      <c r="H17026" s="7" t="n">
        <f aca="false">Sens!H17025/Sens!G17025-1</f>
        <v>0.131448141271366</v>
      </c>
      <c r="I17026" s="7" t="n">
        <f aca="false">Sens!I17025/Sens!H17025-1</f>
        <v>0.121285560495438</v>
      </c>
      <c r="J17026" s="7" t="n">
        <f aca="false">Sens!J17025/Sens!I17025-1</f>
        <v>0.0908341683422489</v>
      </c>
      <c r="K17026" s="7" t="n">
        <f aca="false">Sens!K17025/Sens!J17025-1</f>
        <v>0.0679569238814417</v>
      </c>
    </row>
    <row r="17027" customFormat="false" ht="17.15" hidden="false" customHeight="false" outlineLevel="0" collapsed="false">
      <c r="A17027" s="26" t="s">
        <v>1061</v>
      </c>
      <c r="B17027" s="31" t="s">
        <v>98</v>
      </c>
      <c r="C17027" s="31"/>
      <c r="D17027" s="27" t="n">
        <f aca="false">(Sens!D17020+Sens!D17024-Sens!D17025)+(Sens!D17012+Sens!D17013-Sens!D17011)+(Sens!D17015+Sens!D17016-Sens!D17014)+(Sens!D17025-Q!L18)</f>
        <v>0</v>
      </c>
      <c r="E17027" s="27" t="n">
        <f aca="false">(Sens!E17020+Sens!E17024-Sens!E17025)+(Sens!E17012+Sens!E17013-Sens!E17011)+(Sens!E17015+Sens!E17016-Sens!E17014)+(Sens!E17025-Q!M18)</f>
        <v>0</v>
      </c>
      <c r="F17027" s="27" t="n">
        <f aca="false">(Sens!F17020+Sens!F17024-Sens!F17025)+(Sens!F17012+Sens!F17013-Sens!F17011)+(Sens!F17015+Sens!F17016-Sens!F17014)</f>
        <v>0</v>
      </c>
      <c r="G17027" s="27" t="n">
        <f aca="false">(Sens!G17020+Sens!G17024-Sens!G17025)+(Sens!G17012+Sens!G17013-Sens!G17011)+(Sens!G17015+Sens!G17016-Sens!G17014)</f>
        <v>0</v>
      </c>
      <c r="H17027" s="27" t="n">
        <f aca="false">(Sens!H17020+Sens!H17024-Sens!H17025)+(Sens!H17012+Sens!H17013-Sens!H17011)+(Sens!H17015+Sens!H17016-Sens!H17014)</f>
        <v>0</v>
      </c>
      <c r="I17027" s="27" t="n">
        <f aca="false">(Sens!I17020+Sens!I17024-Sens!I17025)+(Sens!I17012+Sens!I17013-Sens!I17011)+(Sens!I17015+Sens!I17016-Sens!I17014)</f>
        <v>0</v>
      </c>
      <c r="J17027" s="27" t="n">
        <f aca="false">(Sens!J17020+Sens!J17024-Sens!J17025)+(Sens!J17012+Sens!J17013-Sens!J17011)+(Sens!J17015+Sens!J17016-Sens!J17014)</f>
        <v>0</v>
      </c>
      <c r="K17027" s="27" t="n">
        <f aca="false">(Sens!K17020+Sens!K17024-Sens!K17025)+(Sens!K17012+Sens!K17013-Sens!K17011)+(Sens!K17015+Sens!K17016-Sens!K17014)</f>
        <v>0</v>
      </c>
    </row>
    <row r="17028" customFormat="false" ht="17.15" hidden="false" customHeight="false" outlineLevel="0" collapsed="false">
      <c r="A17028" s="0" t="s">
        <v>1062</v>
      </c>
      <c r="B17028" s="0" t="s">
        <v>168</v>
      </c>
      <c r="E17028" s="7" t="n">
        <f aca="false">(Q!M21+Sens!E16964+Sens!E16965+Sens!E16966+Sens!E16980-Sens!E16962)/(Q!M5-Sens!E16962)</f>
        <v>0.570957350878296</v>
      </c>
      <c r="F17028" s="7" t="n">
        <f aca="false">Sens!$E$17028+dm_seg</f>
        <v>0.570957350878296</v>
      </c>
      <c r="G17028" s="7" t="n">
        <f aca="false">Sens!$E$17028+dm_seg</f>
        <v>0.570957350878296</v>
      </c>
      <c r="H17028" s="7" t="n">
        <f aca="false">Sens!$E$17028+dm_seg</f>
        <v>0.570957350878296</v>
      </c>
      <c r="I17028" s="7" t="n">
        <f aca="false">Sens!$E$17028+dm_seg</f>
        <v>0.570957350878296</v>
      </c>
      <c r="J17028" s="7" t="n">
        <f aca="false">Sens!$E$17028+dm_seg</f>
        <v>0.570957350878296</v>
      </c>
      <c r="K17028" s="7" t="n">
        <f aca="false">Sens!$E$17028+dm_seg</f>
        <v>0.570957350878296</v>
      </c>
      <c r="L17028" s="12" t="s">
        <v>1063</v>
      </c>
    </row>
    <row r="17029" customFormat="false" ht="17.15" hidden="false" customHeight="false" outlineLevel="0" collapsed="false">
      <c r="A17029" s="0" t="s">
        <v>884</v>
      </c>
      <c r="B17029" s="0" t="s">
        <v>98</v>
      </c>
      <c r="D17029" s="6" t="n">
        <f aca="false">Q!L21</f>
        <v>110.814</v>
      </c>
      <c r="E17029" s="6" t="n">
        <f aca="false">Q!M21</f>
        <v>136.365</v>
      </c>
      <c r="F17029" s="6" t="n">
        <f aca="false">Q!$I$21+(Sens!F17028*(Sens!F16999-Sens!F16962)+Sens!F16962-(Sens!F16964+Sens!F16965+Sens!F16966)-Sens!F16980-Sens!F17063)*(Sens!F16999-Q!$I$5)/Sens!F16999</f>
        <v>158.110234156687</v>
      </c>
      <c r="G17029" s="6" t="n">
        <f aca="false">(Sens!G17028*(Sens!G16999-Sens!G16962)+Sens!G16962-(Sens!G16964+Sens!G16965+Sens!G16966)-Sens!G16980-Sens!G17063)</f>
        <v>161.288737768095</v>
      </c>
      <c r="H17029" s="6" t="n">
        <f aca="false">(Sens!H17028*(Sens!H16999-Sens!H16962)+Sens!H16962-(Sens!H16964+Sens!H16965+Sens!H16966)-Sens!H16980-Sens!H17063)</f>
        <v>162.750449226018</v>
      </c>
      <c r="I17029" s="6" t="n">
        <f aca="false">(Sens!I17028*(Sens!I16999-Sens!I16962)+Sens!I16962-(Sens!I16964+Sens!I16965+Sens!I16966)-Sens!I16980-Sens!I17063)</f>
        <v>172.031140185604</v>
      </c>
      <c r="J17029" s="6" t="n">
        <f aca="false">(Sens!J17028*(Sens!J16999-Sens!J16962)+Sens!J16962-(Sens!J16964+Sens!J16965+Sens!J16966)-Sens!J16980-Sens!J17063)</f>
        <v>182.855335729531</v>
      </c>
      <c r="K17029" s="6" t="n">
        <f aca="false">(Sens!K17028*(Sens!K16999-Sens!K16962)+Sens!K16962-(Sens!K16964+Sens!K16965+Sens!K16966)-Sens!K16980-Sens!K17063)</f>
        <v>195.088404864353</v>
      </c>
      <c r="L17029" s="1" t="s">
        <v>1064</v>
      </c>
    </row>
    <row r="17030" customFormat="false" ht="17.15" hidden="false" customHeight="false" outlineLevel="0" collapsed="false">
      <c r="A17030" s="0" t="s">
        <v>1065</v>
      </c>
      <c r="B17030" s="0" t="s">
        <v>168</v>
      </c>
      <c r="E17030" s="7" t="n">
        <f aca="false">Q!M22/Q!M12</f>
        <v>0.296207935710698</v>
      </c>
      <c r="F17030" s="7" t="n">
        <f aca="false">Sens!$E$17030+dm_seg</f>
        <v>0.296207935710698</v>
      </c>
      <c r="G17030" s="7" t="n">
        <f aca="false">Sens!$E$17030+dm_seg</f>
        <v>0.296207935710698</v>
      </c>
      <c r="H17030" s="7" t="n">
        <f aca="false">Sens!$E$17030+dm_seg</f>
        <v>0.296207935710698</v>
      </c>
      <c r="I17030" s="7" t="n">
        <f aca="false">Sens!$E$17030+dm_seg</f>
        <v>0.296207935710698</v>
      </c>
      <c r="J17030" s="7" t="n">
        <f aca="false">Sens!$E$17030+dm_seg</f>
        <v>0.296207935710698</v>
      </c>
      <c r="K17030" s="7" t="n">
        <f aca="false">Sens!$E$17030+dm_seg</f>
        <v>0.296207935710698</v>
      </c>
      <c r="L17030" s="12" t="s">
        <v>1066</v>
      </c>
    </row>
    <row r="17031" customFormat="false" ht="17.15" hidden="false" customHeight="false" outlineLevel="0" collapsed="false">
      <c r="A17031" s="0" t="s">
        <v>886</v>
      </c>
      <c r="B17031" s="0" t="s">
        <v>98</v>
      </c>
      <c r="D17031" s="6" t="n">
        <f aca="false">Q!L22</f>
        <v>17.714</v>
      </c>
      <c r="E17031" s="6" t="n">
        <f aca="false">Q!M22</f>
        <v>18.872</v>
      </c>
      <c r="F17031" s="6" t="n">
        <f aca="false">Q!$I$22+(Sens!F17006-Q!$I$12)*Sens!F17030</f>
        <v>19.8174315512051</v>
      </c>
      <c r="G17031" s="6" t="n">
        <f aca="false">Sens!G17006*Sens!G17030</f>
        <v>19.6313799703815</v>
      </c>
      <c r="H17031" s="6" t="n">
        <f aca="false">Sens!H17006*Sens!H17030</f>
        <v>20.3536242825865</v>
      </c>
      <c r="I17031" s="6" t="n">
        <f aca="false">Sens!I17006*Sens!I17030</f>
        <v>21.1920899239745</v>
      </c>
      <c r="J17031" s="6" t="n">
        <f aca="false">Sens!J17006*Sens!J17030</f>
        <v>22.1288166207045</v>
      </c>
      <c r="K17031" s="6" t="n">
        <f aca="false">Sens!K17006*Sens!K17030</f>
        <v>23.1493653905379</v>
      </c>
      <c r="L17031" s="12" t="s">
        <v>1067</v>
      </c>
    </row>
    <row r="17032" customFormat="false" ht="15" hidden="false" customHeight="false" outlineLevel="0" collapsed="false">
      <c r="A17032" s="1" t="s">
        <v>1068</v>
      </c>
      <c r="B17032" s="0" t="s">
        <v>98</v>
      </c>
      <c r="D17032" s="6" t="n">
        <f aca="false">Sens!D17029+Sens!D17031</f>
        <v>128.528</v>
      </c>
      <c r="E17032" s="6" t="n">
        <f aca="false">Sens!E17029+Sens!E17031</f>
        <v>155.237</v>
      </c>
      <c r="F17032" s="6" t="n">
        <f aca="false">Sens!F17029+Sens!F17031</f>
        <v>177.927665707892</v>
      </c>
      <c r="G17032" s="6" t="n">
        <f aca="false">Sens!G17029+Sens!G17031</f>
        <v>180.920117738477</v>
      </c>
      <c r="H17032" s="6" t="n">
        <f aca="false">Sens!H17029+Sens!H17031</f>
        <v>183.104073508605</v>
      </c>
      <c r="I17032" s="6" t="n">
        <f aca="false">Sens!I17029+Sens!I17031</f>
        <v>193.223230109579</v>
      </c>
      <c r="J17032" s="6" t="n">
        <f aca="false">Sens!J17029+Sens!J17031</f>
        <v>204.984152350235</v>
      </c>
      <c r="K17032" s="6" t="n">
        <f aca="false">Sens!K17029+Sens!K17031</f>
        <v>218.237770254891</v>
      </c>
    </row>
    <row r="17033" customFormat="false" ht="15" hidden="false" customHeight="false" outlineLevel="0" collapsed="false">
      <c r="A17033" s="26" t="s">
        <v>1069</v>
      </c>
      <c r="B17033" s="31" t="s">
        <v>98</v>
      </c>
      <c r="C17033" s="31"/>
      <c r="D17033" s="27" t="n">
        <f aca="false">Sens!D17032-Q!L23</f>
        <v>0</v>
      </c>
      <c r="E17033" s="27" t="n">
        <f aca="false">Sens!E17032-Q!M23</f>
        <v>0</v>
      </c>
      <c r="F17033" s="31"/>
      <c r="G17033" s="31"/>
      <c r="H17033" s="31"/>
      <c r="I17033" s="31"/>
      <c r="J17033" s="31"/>
      <c r="K17033" s="31"/>
    </row>
    <row r="17034" customFormat="false" ht="15" hidden="false" customHeight="false" outlineLevel="0" collapsed="false">
      <c r="A17034" s="1" t="s">
        <v>1070</v>
      </c>
      <c r="B17034" s="0" t="s">
        <v>168</v>
      </c>
      <c r="D17034" s="7" t="n">
        <f aca="false">Sens!D17032/Sens!D17025</f>
        <v>0.456219562408598</v>
      </c>
      <c r="E17034" s="7" t="n">
        <f aca="false">Sens!E17032/Sens!E17025</f>
        <v>0.467808184089272</v>
      </c>
      <c r="F17034" s="7" t="n">
        <f aca="false">Sens!F17032/Sens!F17025</f>
        <v>0.451080388929191</v>
      </c>
      <c r="G17034" s="7" t="n">
        <f aca="false">Sens!G17032/Sens!G17025</f>
        <v>0.394219508589333</v>
      </c>
      <c r="H17034" s="7" t="n">
        <f aca="false">Sens!H17032/Sens!H17025</f>
        <v>0.352626221331819</v>
      </c>
      <c r="I17034" s="7" t="n">
        <f aca="false">Sens!I17032/Sens!I17025</f>
        <v>0.331863665419698</v>
      </c>
      <c r="J17034" s="7" t="n">
        <f aca="false">Sens!J17032/Sens!J17025</f>
        <v>0.32274678227682</v>
      </c>
      <c r="K17034" s="7" t="n">
        <f aca="false">Sens!K17032/Sens!K17025</f>
        <v>0.3217494512023</v>
      </c>
    </row>
    <row r="17035" customFormat="false" ht="17.15" hidden="false" customHeight="false" outlineLevel="0" collapsed="false">
      <c r="A17035" s="1" t="s">
        <v>1071</v>
      </c>
      <c r="B17035" s="0" t="s">
        <v>98</v>
      </c>
      <c r="F17035" s="6" t="n">
        <f aca="false">Sens!F17050</f>
        <v>5.58870645799077</v>
      </c>
      <c r="G17035" s="6" t="n">
        <f aca="false">Sens!G17050</f>
        <v>22.664092372084</v>
      </c>
      <c r="H17035" s="6" t="n">
        <f aca="false">Sens!H17050</f>
        <v>41.2638945710792</v>
      </c>
      <c r="I17035" s="6" t="n">
        <f aca="false">Sens!I17050</f>
        <v>57.8792975187873</v>
      </c>
      <c r="J17035" s="6" t="n">
        <f aca="false">Sens!J17050</f>
        <v>69.4423385949158</v>
      </c>
      <c r="K17035" s="6" t="n">
        <f aca="false">Sens!K17050</f>
        <v>76.0781948949212</v>
      </c>
      <c r="L17035" s="1" t="s">
        <v>1072</v>
      </c>
    </row>
    <row r="17036" customFormat="false" ht="17.15" hidden="false" customHeight="false" outlineLevel="0" collapsed="false">
      <c r="A17036" s="1" t="s">
        <v>1073</v>
      </c>
      <c r="B17036" s="0" t="s">
        <v>98</v>
      </c>
      <c r="D17036" s="6" t="n">
        <f aca="false">Sens!D17032</f>
        <v>128.528</v>
      </c>
      <c r="E17036" s="6" t="n">
        <f aca="false">Sens!E17032</f>
        <v>155.237</v>
      </c>
      <c r="F17036" s="6" t="n">
        <f aca="false">Sens!F17032+Sens!F17035</f>
        <v>183.516372165883</v>
      </c>
      <c r="G17036" s="6" t="n">
        <f aca="false">Sens!G17032+Sens!G17035</f>
        <v>203.584210110561</v>
      </c>
      <c r="H17036" s="6" t="n">
        <f aca="false">Sens!H17032+Sens!H17035</f>
        <v>224.367968079684</v>
      </c>
      <c r="I17036" s="6" t="n">
        <f aca="false">Sens!I17032+Sens!I17035</f>
        <v>251.102527628366</v>
      </c>
      <c r="J17036" s="6" t="n">
        <f aca="false">Sens!J17032+Sens!J17035</f>
        <v>274.426490945151</v>
      </c>
      <c r="K17036" s="6" t="n">
        <f aca="false">Sens!K17032+Sens!K17035</f>
        <v>294.315965149813</v>
      </c>
    </row>
    <row r="17037" customFormat="false" ht="17.15" hidden="false" customHeight="false" outlineLevel="0" collapsed="false">
      <c r="A17037" s="1" t="s">
        <v>1074</v>
      </c>
      <c r="B17037" s="0" t="s">
        <v>98</v>
      </c>
      <c r="E17037" s="6" t="n">
        <f aca="false">Sens!E16980</f>
        <v>16.3054059770833</v>
      </c>
      <c r="F17037" s="6" t="n">
        <f aca="false">Sens!F16980</f>
        <v>34.5793144783516</v>
      </c>
      <c r="G17037" s="6" t="n">
        <f aca="false">Sens!G16980</f>
        <v>60.7344906522989</v>
      </c>
      <c r="H17037" s="6" t="n">
        <f aca="false">Sens!H16980</f>
        <v>89.1000906614457</v>
      </c>
      <c r="I17037" s="6" t="n">
        <f aca="false">Sens!I16980</f>
        <v>114.231009694548</v>
      </c>
      <c r="J17037" s="6" t="n">
        <f aca="false">Sens!J16980</f>
        <v>132.015673049596</v>
      </c>
      <c r="K17037" s="6" t="n">
        <f aca="false">Sens!K16980</f>
        <v>143.012669550934</v>
      </c>
    </row>
    <row r="17038" customFormat="false" ht="17.15" hidden="false" customHeight="false" outlineLevel="0" collapsed="false">
      <c r="A17038" s="1" t="s">
        <v>1075</v>
      </c>
      <c r="B17038" s="0" t="s">
        <v>98</v>
      </c>
      <c r="E17038" s="6" t="n">
        <f aca="false">Sens!E17062</f>
        <v>22.2285940229167</v>
      </c>
      <c r="F17038" s="6" t="n">
        <f aca="false">Sens!F17062</f>
        <v>23.5883405279552</v>
      </c>
      <c r="G17038" s="6" t="n">
        <f aca="false">Sens!G17062</f>
        <v>25.347608709247</v>
      </c>
      <c r="H17038" s="6" t="n">
        <f aca="false">Sens!H17062</f>
        <v>27.4750934833125</v>
      </c>
      <c r="I17038" s="6" t="n">
        <f aca="false">Sens!I17062</f>
        <v>29.9140127982598</v>
      </c>
      <c r="J17038" s="6" t="n">
        <f aca="false">Sens!J17062</f>
        <v>32.5895147654561</v>
      </c>
      <c r="K17038" s="6" t="n">
        <f aca="false">Sens!K17062</f>
        <v>35.4171979437481</v>
      </c>
    </row>
    <row r="17039" customFormat="false" ht="17.15" hidden="false" customHeight="false" outlineLevel="0" collapsed="false">
      <c r="A17039" s="1" t="s">
        <v>1076</v>
      </c>
      <c r="B17039" s="0" t="s">
        <v>98</v>
      </c>
      <c r="D17039" s="6" t="n">
        <f aca="false">Q!L27</f>
        <v>-4.901</v>
      </c>
      <c r="E17039" s="6" t="n">
        <f aca="false">Q!M27</f>
        <v>10.697</v>
      </c>
      <c r="F17039" s="6" t="n">
        <f aca="false">Q!$I$27+oie_f*(q_per_yr-1)/q_per_yr</f>
        <v>-0.862</v>
      </c>
      <c r="G17039" s="6" t="n">
        <f aca="false">oie_f</f>
        <v>-1.2</v>
      </c>
      <c r="H17039" s="6" t="n">
        <f aca="false">oie_f</f>
        <v>-1.2</v>
      </c>
      <c r="I17039" s="6" t="n">
        <f aca="false">oie_f</f>
        <v>-1.2</v>
      </c>
      <c r="J17039" s="6" t="n">
        <f aca="false">oie_f</f>
        <v>-1.2</v>
      </c>
      <c r="K17039" s="6" t="n">
        <f aca="false">oie_f</f>
        <v>-1.2</v>
      </c>
      <c r="L17039" s="12" t="s">
        <v>1077</v>
      </c>
    </row>
    <row r="17040" customFormat="false" ht="15" hidden="false" customHeight="false" outlineLevel="0" collapsed="false">
      <c r="A17040" s="1" t="s">
        <v>1078</v>
      </c>
      <c r="B17040" s="0" t="s">
        <v>98</v>
      </c>
      <c r="D17040" s="6" t="n">
        <f aca="false">Sens!D17032+Sens!D17039</f>
        <v>123.627</v>
      </c>
      <c r="E17040" s="6" t="n">
        <f aca="false">Sens!E17032+Sens!E17039</f>
        <v>165.934</v>
      </c>
      <c r="F17040" s="6" t="n">
        <f aca="false">Sens!F17032+Sens!F17039</f>
        <v>177.065665707892</v>
      </c>
      <c r="G17040" s="6" t="n">
        <f aca="false">Sens!G17032+Sens!G17039</f>
        <v>179.720117738477</v>
      </c>
      <c r="H17040" s="6" t="n">
        <f aca="false">Sens!H17032+Sens!H17039</f>
        <v>181.904073508605</v>
      </c>
      <c r="I17040" s="6" t="n">
        <f aca="false">Sens!I17032+Sens!I17039</f>
        <v>192.023230109579</v>
      </c>
      <c r="J17040" s="6" t="n">
        <f aca="false">Sens!J17032+Sens!J17039</f>
        <v>203.784152350235</v>
      </c>
      <c r="K17040" s="6" t="n">
        <f aca="false">Sens!K17032+Sens!K17039</f>
        <v>217.037770254891</v>
      </c>
    </row>
    <row r="17041" customFormat="false" ht="15" hidden="false" customHeight="false" outlineLevel="0" collapsed="false">
      <c r="A17041" s="1" t="s">
        <v>1079</v>
      </c>
      <c r="B17041" s="0" t="s">
        <v>98</v>
      </c>
      <c r="D17041" s="6" t="n">
        <f aca="false">Q!L29</f>
        <v>21.795</v>
      </c>
      <c r="E17041" s="6" t="n">
        <f aca="false">Q!M29</f>
        <v>32.185</v>
      </c>
      <c r="F17041" s="6" t="n">
        <f aca="false">Q!$I$29+(Sens!F17040-Q!$I$28)*tax_f</f>
        <v>35.5465331415784</v>
      </c>
      <c r="G17041" s="6" t="n">
        <f aca="false">Sens!G17040*tax_f</f>
        <v>35.9440235476954</v>
      </c>
      <c r="H17041" s="6" t="n">
        <f aca="false">Sens!H17040*tax_f</f>
        <v>36.380814701721</v>
      </c>
      <c r="I17041" s="6" t="n">
        <f aca="false">Sens!I17040*tax_f</f>
        <v>38.4046460219157</v>
      </c>
      <c r="J17041" s="6" t="n">
        <f aca="false">Sens!J17040*tax_f</f>
        <v>40.756830470047</v>
      </c>
      <c r="K17041" s="6" t="n">
        <f aca="false">Sens!K17040*tax_f</f>
        <v>43.4075540509783</v>
      </c>
    </row>
    <row r="17042" customFormat="false" ht="15" hidden="false" customHeight="false" outlineLevel="0" collapsed="false">
      <c r="A17042" s="1" t="s">
        <v>1080</v>
      </c>
      <c r="B17042" s="0" t="s">
        <v>98</v>
      </c>
      <c r="D17042" s="6" t="n">
        <f aca="false">Sens!D17040-Sens!D17041</f>
        <v>101.832</v>
      </c>
      <c r="E17042" s="6" t="n">
        <f aca="false">Sens!E17040-Sens!E17041</f>
        <v>133.749</v>
      </c>
      <c r="F17042" s="6" t="n">
        <f aca="false">Sens!F17040-Sens!F17041</f>
        <v>141.519132566314</v>
      </c>
      <c r="G17042" s="6" t="n">
        <f aca="false">Sens!G17040-Sens!G17041</f>
        <v>143.776094190781</v>
      </c>
      <c r="H17042" s="6" t="n">
        <f aca="false">Sens!H17040-Sens!H17041</f>
        <v>145.523258806884</v>
      </c>
      <c r="I17042" s="6" t="n">
        <f aca="false">Sens!I17040-Sens!I17041</f>
        <v>153.618584087663</v>
      </c>
      <c r="J17042" s="6" t="n">
        <f aca="false">Sens!J17040-Sens!J17041</f>
        <v>163.027321880188</v>
      </c>
      <c r="K17042" s="6" t="n">
        <f aca="false">Sens!K17040-Sens!K17041</f>
        <v>173.630216203913</v>
      </c>
    </row>
    <row r="17043" customFormat="false" ht="17.15" hidden="false" customHeight="false" outlineLevel="0" collapsed="false">
      <c r="A17043" s="1" t="s">
        <v>1081</v>
      </c>
      <c r="B17043" s="1" t="s">
        <v>81</v>
      </c>
      <c r="D17043" s="15" t="n">
        <f aca="false">Q!L31</f>
        <v>7.465</v>
      </c>
      <c r="E17043" s="15" t="n">
        <f aca="false">Q!M31</f>
        <v>7.453</v>
      </c>
      <c r="F17043" s="15" t="n">
        <f aca="false">Sens!F17087</f>
        <v>7.4735</v>
      </c>
      <c r="G17043" s="15" t="n">
        <f aca="false">Sens!G17087</f>
        <v>7.5185</v>
      </c>
      <c r="H17043" s="15" t="n">
        <f aca="false">Sens!H17087</f>
        <v>7.5635</v>
      </c>
      <c r="I17043" s="15" t="n">
        <f aca="false">Sens!I17087</f>
        <v>7.59248142502667</v>
      </c>
      <c r="J17043" s="15" t="n">
        <f aca="false">Sens!J17087</f>
        <v>7.60663083618914</v>
      </c>
      <c r="K17043" s="15" t="n">
        <f aca="false">Sens!K17087</f>
        <v>7.62306547615439</v>
      </c>
    </row>
    <row r="17044" customFormat="false" ht="17.15" hidden="false" customHeight="false" outlineLevel="0" collapsed="false">
      <c r="A17044" s="0" t="s">
        <v>1082</v>
      </c>
      <c r="B17044" s="0" t="s">
        <v>75</v>
      </c>
      <c r="D17044" s="8" t="n">
        <f aca="false">Sens!D17042/Sens!D17043</f>
        <v>13.641259209645</v>
      </c>
      <c r="E17044" s="8" t="n">
        <f aca="false">Sens!E17042/Sens!E17043</f>
        <v>17.9456594659869</v>
      </c>
      <c r="F17044" s="8" t="n">
        <f aca="false">Sens!F17042/Sens!F17043</f>
        <v>18.9361253182998</v>
      </c>
      <c r="G17044" s="8" t="n">
        <f aca="false">Sens!G17042/Sens!G17043</f>
        <v>19.1229758849214</v>
      </c>
      <c r="H17044" s="8" t="n">
        <f aca="false">Sens!H17042/Sens!H17043</f>
        <v>19.2402008074151</v>
      </c>
      <c r="I17044" s="8" t="n">
        <f aca="false">Sens!I17042/Sens!I17043</f>
        <v>20.2329878057125</v>
      </c>
      <c r="J17044" s="8" t="n">
        <f aca="false">Sens!J17042/Sens!J17043</f>
        <v>21.4322642167111</v>
      </c>
      <c r="K17044" s="8" t="n">
        <f aca="false">Sens!K17042/Sens!K17043</f>
        <v>22.7769545922232</v>
      </c>
      <c r="L17044" s="1" t="s">
        <v>1083</v>
      </c>
    </row>
    <row r="17045" customFormat="false" ht="17.15" hidden="false" customHeight="false" outlineLevel="0" collapsed="false">
      <c r="A17045" s="1" t="s">
        <v>1084</v>
      </c>
      <c r="B17045" s="0" t="s">
        <v>98</v>
      </c>
      <c r="D17045" s="6" t="n">
        <f aca="false">Sens!D17042</f>
        <v>101.832</v>
      </c>
      <c r="E17045" s="6" t="n">
        <f aca="false">Sens!E17042</f>
        <v>133.749</v>
      </c>
      <c r="F17045" s="6" t="n">
        <f aca="false">Sens!F17042+Sens!F17035*(1-tax_f)</f>
        <v>145.990097732706</v>
      </c>
      <c r="G17045" s="6" t="n">
        <f aca="false">Sens!G17042+Sens!G17035*(1-tax_f)</f>
        <v>161.907368088449</v>
      </c>
      <c r="H17045" s="6" t="n">
        <f aca="false">Sens!H17042+Sens!H17035*(1-tax_f)</f>
        <v>178.534374463747</v>
      </c>
      <c r="I17045" s="6" t="n">
        <f aca="false">Sens!I17042+Sens!I17035*(1-tax_f)</f>
        <v>199.922022102693</v>
      </c>
      <c r="J17045" s="6" t="n">
        <f aca="false">Sens!J17042+Sens!J17035*(1-tax_f)</f>
        <v>218.581192756121</v>
      </c>
      <c r="K17045" s="6" t="n">
        <f aca="false">Sens!K17042+Sens!K17035*(1-tax_f)</f>
        <v>234.49277211985</v>
      </c>
    </row>
    <row r="17046" customFormat="false" ht="17.15" hidden="false" customHeight="false" outlineLevel="0" collapsed="false">
      <c r="A17046" s="0" t="s">
        <v>1085</v>
      </c>
      <c r="B17046" s="0" t="s">
        <v>75</v>
      </c>
      <c r="D17046" s="8" t="n">
        <f aca="false">Sens!D17045/Sens!D17043</f>
        <v>13.641259209645</v>
      </c>
      <c r="E17046" s="8" t="n">
        <f aca="false">Sens!E17045/Sens!E17043</f>
        <v>17.9456594659869</v>
      </c>
      <c r="F17046" s="8" t="n">
        <f aca="false">Sens!F17045/Sens!F17043</f>
        <v>19.5343677972444</v>
      </c>
      <c r="G17046" s="8" t="n">
        <f aca="false">Sens!G17045/Sens!G17043</f>
        <v>21.5345305697212</v>
      </c>
      <c r="H17046" s="8" t="n">
        <f aca="false">Sens!H17045/Sens!H17043</f>
        <v>23.604729882164</v>
      </c>
      <c r="I17046" s="8" t="n">
        <f aca="false">Sens!I17045/Sens!I17043</f>
        <v>26.3315786909535</v>
      </c>
      <c r="J17046" s="8" t="n">
        <f aca="false">Sens!J17045/Sens!J17043</f>
        <v>28.7356120552352</v>
      </c>
      <c r="K17046" s="8" t="n">
        <f aca="false">Sens!K17045/Sens!K17043</f>
        <v>30.7609547436479</v>
      </c>
      <c r="L17046" s="1" t="s">
        <v>1086</v>
      </c>
    </row>
    <row r="17047" customFormat="false" ht="17.15" hidden="false" customHeight="false" outlineLevel="0" collapsed="false">
      <c r="A17047" s="0" t="s">
        <v>1087</v>
      </c>
      <c r="B17047" s="0" t="s">
        <v>168</v>
      </c>
      <c r="E17047" s="7" t="n">
        <f aca="false">Sens!E17046/Sens!D17046-1</f>
        <v>0.315542736208578</v>
      </c>
      <c r="F17047" s="7" t="n">
        <f aca="false">Sens!F17046/Sens!E17046-1</f>
        <v>0.0885288353024143</v>
      </c>
      <c r="G17047" s="7" t="n">
        <f aca="false">Sens!G17046/Sens!F17046-1</f>
        <v>0.1023919889928</v>
      </c>
      <c r="H17047" s="7" t="n">
        <f aca="false">Sens!H17046/Sens!G17046-1</f>
        <v>0.0961339419840255</v>
      </c>
      <c r="I17047" s="7" t="n">
        <f aca="false">Sens!I17046/Sens!H17046-1</f>
        <v>0.115521288419827</v>
      </c>
      <c r="J17047" s="7" t="n">
        <f aca="false">Sens!J17046/Sens!I17046-1</f>
        <v>0.0912984896385123</v>
      </c>
      <c r="K17047" s="7" t="n">
        <f aca="false">Sens!K17046/Sens!J17046-1</f>
        <v>0.0704819749278214</v>
      </c>
    </row>
    <row r="17048" customFormat="false" ht="17.15" hidden="false" customHeight="false" outlineLevel="0" collapsed="false">
      <c r="A17048" s="0" t="s">
        <v>1007</v>
      </c>
      <c r="B17048" s="0" t="s">
        <v>98</v>
      </c>
      <c r="E17048" s="6" t="n">
        <f aca="false">Sens!E16989</f>
        <v>5.25</v>
      </c>
      <c r="F17048" s="6" t="n">
        <f aca="false">Sens!F16989</f>
        <v>10.5</v>
      </c>
      <c r="G17048" s="6" t="n">
        <f aca="false">Sens!G16989</f>
        <v>13.5</v>
      </c>
      <c r="H17048" s="6" t="n">
        <f aca="false">Sens!H16989</f>
        <v>16.5</v>
      </c>
      <c r="I17048" s="6" t="n">
        <f aca="false">Sens!I16989</f>
        <v>18.75</v>
      </c>
      <c r="J17048" s="6" t="n">
        <f aca="false">Sens!J16989</f>
        <v>20.25</v>
      </c>
      <c r="K17048" s="6" t="n">
        <f aca="false">Sens!K16989</f>
        <v>21.75</v>
      </c>
    </row>
    <row r="17049" customFormat="false" ht="17.15" hidden="false" customHeight="false" outlineLevel="0" collapsed="false">
      <c r="A17049" s="1" t="s">
        <v>1008</v>
      </c>
      <c r="B17049" s="0" t="s">
        <v>98</v>
      </c>
      <c r="F17049" s="6" t="n">
        <f aca="false">MAX(0,((Sens!E16949+Sens!F16949)/2-(0*(Sens!$D$16949+Sens!$E$16949)/2+(1-0)*Sens!$E$16949))*Sens!F16958/1000-(Sens!F17048-Sens!$E$17048)*Sens!F17028)</f>
        <v>5.58870645799077</v>
      </c>
      <c r="G17049" s="6" t="n">
        <f aca="false">MAX(0,((Sens!F16949+Sens!G16949)/2-(0*(Sens!$D$16949+Sens!$E$16949)/2+(1-0)*Sens!$E$16949))*Sens!G16958/1000-(Sens!G17048-Sens!$E$17048)*Sens!G17028)</f>
        <v>22.664092372084</v>
      </c>
      <c r="H17049" s="6" t="n">
        <f aca="false">MAX(0,((Sens!G16949+Sens!H16949)/2-(0*(Sens!$D$16949+Sens!$E$16949)/2+(1-0)*Sens!$E$16949))*Sens!H16958/1000-(Sens!H17048-Sens!$E$17048)*Sens!H17028)</f>
        <v>41.2638945710792</v>
      </c>
      <c r="I17049" s="6" t="n">
        <f aca="false">MAX(0,((Sens!H16949+Sens!I16949)/2-(0*(Sens!$D$16949+Sens!$E$16949)/2+(1-0)*Sens!$E$16949))*Sens!I16958/1000-(Sens!I17048-Sens!$E$17048)*Sens!I17028)</f>
        <v>57.8792975187873</v>
      </c>
      <c r="J17049" s="6" t="n">
        <f aca="false">MAX(0,((Sens!I16949+Sens!J16949)/2-(0*(Sens!$D$16949+Sens!$E$16949)/2+(1-0)*Sens!$E$16949))*Sens!J16958/1000-(Sens!J17048-Sens!$E$17048)*Sens!J17028)</f>
        <v>69.4423385949158</v>
      </c>
      <c r="K17049" s="6" t="n">
        <f aca="false">MAX(0,((Sens!J16949+Sens!K16949)/2-(0*(Sens!$D$16949+Sens!$E$16949)/2+(1-0)*Sens!$E$16949))*Sens!K16958/1000-(Sens!K17048-Sens!$E$17048)*Sens!K17028)</f>
        <v>76.0781948949212</v>
      </c>
      <c r="L17049" s="1" t="s">
        <v>1009</v>
      </c>
    </row>
    <row r="17050" customFormat="false" ht="17.15" hidden="false" customHeight="false" outlineLevel="0" collapsed="false">
      <c r="A17050" s="1" t="s">
        <v>1010</v>
      </c>
      <c r="B17050" s="0" t="s">
        <v>98</v>
      </c>
      <c r="F17050" s="6" t="n">
        <f aca="false">IF(internal_ai_reading=2,1,0)*Sens!F17049</f>
        <v>5.58870645799077</v>
      </c>
      <c r="G17050" s="6" t="n">
        <f aca="false">IF(internal_ai_reading=2,1,0)*Sens!G17049</f>
        <v>22.664092372084</v>
      </c>
      <c r="H17050" s="6" t="n">
        <f aca="false">IF(internal_ai_reading=2,1,0)*Sens!H17049</f>
        <v>41.2638945710792</v>
      </c>
      <c r="I17050" s="6" t="n">
        <f aca="false">IF(internal_ai_reading=2,1,0)*Sens!I17049</f>
        <v>57.8792975187873</v>
      </c>
      <c r="J17050" s="6" t="n">
        <f aca="false">IF(internal_ai_reading=2,1,0)*Sens!J17049</f>
        <v>69.4423385949158</v>
      </c>
      <c r="K17050" s="6" t="n">
        <f aca="false">IF(internal_ai_reading=2,1,0)*Sens!K17049</f>
        <v>76.0781948949212</v>
      </c>
    </row>
    <row r="17051" customFormat="false" ht="17.15" hidden="false" customHeight="false" outlineLevel="0" collapsed="false">
      <c r="A17051" s="0" t="s">
        <v>1011</v>
      </c>
      <c r="B17051" s="0" t="s">
        <v>98</v>
      </c>
      <c r="F17051" s="6" t="n">
        <f aca="false">Sens!F16968+Sens!F17048*Sens!F17028+Sens!F17050-Sens!F16969-Sens!F16980</f>
        <v>5.37780834540521</v>
      </c>
      <c r="G17051" s="6" t="n">
        <f aca="false">Sens!G16968+Sens!G17048*Sens!G17028+Sens!G17050-Sens!G16969-Sens!G16980</f>
        <v>11.258377007726</v>
      </c>
      <c r="H17051" s="6" t="n">
        <f aca="false">Sens!H16968+Sens!H17048*Sens!H17028+Sens!H17050-Sens!H16969-Sens!H16980</f>
        <v>11.8331053785702</v>
      </c>
      <c r="I17051" s="6" t="n">
        <f aca="false">Sens!I16968+Sens!I17048*Sens!I17028+Sens!I17050-Sens!I16969-Sens!I16980</f>
        <v>18.7369001070085</v>
      </c>
      <c r="J17051" s="6" t="n">
        <f aca="false">Sens!J16968+Sens!J17048*Sens!J17028+Sens!J17050-Sens!J16969-Sens!J16980</f>
        <v>23.3907822936329</v>
      </c>
      <c r="K17051" s="6" t="n">
        <f aca="false">Sens!K16968+Sens!K17048*Sens!K17028+Sens!K17050-Sens!K16969-Sens!K16980</f>
        <v>26.5761260294081</v>
      </c>
    </row>
    <row r="17052" customFormat="false" ht="17.15" hidden="false" customHeight="false" outlineLevel="0" collapsed="false">
      <c r="A17052" s="0" t="s">
        <v>1012</v>
      </c>
      <c r="B17052" s="0" t="s">
        <v>98</v>
      </c>
      <c r="E17052" s="6" t="n">
        <f aca="false">Sens!E16948*(cxit_open+self_build*tk_cxfac)/1000*ai_net_open</f>
        <v>126.6980382</v>
      </c>
      <c r="F17052" s="6" t="n">
        <f aca="false">Sens!E17052+Sens!F16977-Sens!F16980</f>
        <v>260.572627763768</v>
      </c>
      <c r="G17052" s="6" t="n">
        <f aca="false">Sens!F17052+Sens!G16977-Sens!G16980</f>
        <v>391.782612760517</v>
      </c>
      <c r="H17052" s="6" t="n">
        <f aca="false">Sens!G17052+Sens!H16977-Sens!H16980</f>
        <v>499.488526163584</v>
      </c>
      <c r="I17052" s="6" t="n">
        <f aca="false">Sens!H17052+Sens!I16977-Sens!I16980</f>
        <v>553.872350090646</v>
      </c>
      <c r="J17052" s="6" t="n">
        <f aca="false">Sens!I17052+Sens!J16977-Sens!J16980</f>
        <v>550.78660823699</v>
      </c>
      <c r="K17052" s="6" t="n">
        <f aca="false">Sens!J17052+Sens!K16977-Sens!K16980</f>
        <v>526.736791750789</v>
      </c>
      <c r="L17052" s="1" t="s">
        <v>1013</v>
      </c>
    </row>
    <row r="17053" customFormat="false" ht="17.15" hidden="false" customHeight="false" outlineLevel="0" collapsed="false">
      <c r="A17053" s="0" t="s">
        <v>1014</v>
      </c>
      <c r="B17053" s="0" t="s">
        <v>168</v>
      </c>
      <c r="F17053" s="7" t="n">
        <f aca="false">Sens!F17051*(1-tax_f)/((Sens!E17052+Sens!F17052)/2)</f>
        <v>0.0222182935834684</v>
      </c>
      <c r="G17053" s="7" t="n">
        <f aca="false">Sens!G17051*(1-tax_f)/((Sens!F17052+Sens!G17052)/2)</f>
        <v>0.0276128742338065</v>
      </c>
      <c r="H17053" s="7" t="n">
        <f aca="false">Sens!H17051*(1-tax_f)/((Sens!G17052+Sens!H17052)/2)</f>
        <v>0.0212426586914587</v>
      </c>
      <c r="I17053" s="7" t="n">
        <f aca="false">Sens!I17051*(1-tax_f)/((Sens!H17052+Sens!I17052)/2)</f>
        <v>0.0284603698950921</v>
      </c>
      <c r="J17053" s="7" t="n">
        <f aca="false">Sens!J17051*(1-tax_f)/((Sens!I17052+Sens!J17052)/2)</f>
        <v>0.0338794624238339</v>
      </c>
      <c r="K17053" s="7" t="n">
        <f aca="false">Sens!K17051*(1-tax_f)/((Sens!J17052+Sens!K17052)/2)</f>
        <v>0.0394625319946975</v>
      </c>
    </row>
    <row r="17054" customFormat="false" ht="17.15" hidden="false" customHeight="false" outlineLevel="0" collapsed="false">
      <c r="A17054" s="1" t="s">
        <v>1015</v>
      </c>
      <c r="B17054" s="0" t="s">
        <v>168</v>
      </c>
      <c r="F17054" s="7" t="n">
        <f aca="false">(Sens!F17051-Sens!F17050)*(1-tax_f)/((Sens!E17052+Sens!F17052)/2)</f>
        <v>-0.000871320783610466</v>
      </c>
      <c r="G17054" s="7" t="n">
        <f aca="false">(Sens!G17051-Sens!G17050)*(1-tax_f)/((Sens!F17052+Sens!G17052)/2)</f>
        <v>-0.0279742438618356</v>
      </c>
      <c r="H17054" s="7" t="n">
        <f aca="false">(Sens!H17051-Sens!H17050)*(1-tax_f)/((Sens!G17052+Sens!H17052)/2)</f>
        <v>-0.0528338242443913</v>
      </c>
      <c r="I17054" s="7" t="n">
        <f aca="false">(Sens!I17051-Sens!I17050)*(1-tax_f)/((Sens!H17052+Sens!I17052)/2)</f>
        <v>-0.0594552515388191</v>
      </c>
      <c r="J17054" s="7" t="n">
        <f aca="false">(Sens!J17051-Sens!J17050)*(1-tax_f)/((Sens!I17052+Sens!J17052)/2)</f>
        <v>-0.0667015729394002</v>
      </c>
      <c r="K17054" s="7" t="n">
        <f aca="false">(Sens!K17051-Sens!K17050)*(1-tax_f)/((Sens!J17052+Sens!K17052)/2)</f>
        <v>-0.0735049560740113</v>
      </c>
    </row>
    <row r="17055" customFormat="false" ht="17.15" hidden="false" customHeight="false" outlineLevel="0" collapsed="false">
      <c r="A17055" s="1" t="s">
        <v>1016</v>
      </c>
      <c r="B17055" s="0" t="s">
        <v>168</v>
      </c>
      <c r="F17055" s="7" t="n">
        <f aca="false">(Sens!F17051-Sens!F17050+Sens!F17049)*(1-tax_f)/((Sens!E17052+Sens!F17052)/2)</f>
        <v>0.0222182935834684</v>
      </c>
      <c r="G17055" s="7" t="n">
        <f aca="false">(Sens!G17051-Sens!G17050+Sens!G17049)*(1-tax_f)/((Sens!F17052+Sens!G17052)/2)</f>
        <v>0.0276128742338065</v>
      </c>
      <c r="H17055" s="7" t="n">
        <f aca="false">(Sens!H17051-Sens!H17050+Sens!H17049)*(1-tax_f)/((Sens!G17052+Sens!H17052)/2)</f>
        <v>0.0212426586914587</v>
      </c>
      <c r="I17055" s="7" t="n">
        <f aca="false">(Sens!I17051-Sens!I17050+Sens!I17049)*(1-tax_f)/((Sens!H17052+Sens!I17052)/2)</f>
        <v>0.0284603698950921</v>
      </c>
      <c r="J17055" s="7" t="n">
        <f aca="false">(Sens!J17051-Sens!J17050+Sens!J17049)*(1-tax_f)/((Sens!I17052+Sens!J17052)/2)</f>
        <v>0.0338794624238339</v>
      </c>
      <c r="K17055" s="7" t="n">
        <f aca="false">(Sens!K17051-Sens!K17050+Sens!K17049)*(1-tax_f)/((Sens!J17052+Sens!K17052)/2)</f>
        <v>0.0394625319946975</v>
      </c>
    </row>
    <row r="17056" customFormat="false" ht="17.15" hidden="false" customHeight="false" outlineLevel="0" collapsed="false">
      <c r="A17056" s="1" t="s">
        <v>1017</v>
      </c>
      <c r="B17056" s="0" t="s">
        <v>168</v>
      </c>
      <c r="F17056" s="7" t="n">
        <f aca="false">Sens!F16981*(1-tax_f)/(Sens!F16967*(Sens!E17052+Sens!F17052)/2)</f>
        <v>0.098791430090569</v>
      </c>
      <c r="G17056" s="7" t="n">
        <f aca="false">Sens!G16981*(1-tax_f)/(Sens!G16967*(Sens!F17052+Sens!G17052)/2)</f>
        <v>0.0675308856427828</v>
      </c>
      <c r="H17056" s="7" t="n">
        <f aca="false">Sens!H16981*(1-tax_f)/(Sens!H16967*(Sens!G17052+Sens!H17052)/2)</f>
        <v>0.0388374979528754</v>
      </c>
      <c r="I17056" s="7" t="n">
        <f aca="false">Sens!I16981*(1-tax_f)/(Sens!I16967*(Sens!H17052+Sens!I17052)/2)</f>
        <v>0.0411035671771815</v>
      </c>
      <c r="J17056" s="7" t="n">
        <f aca="false">Sens!J16981*(1-tax_f)/(Sens!J16967*(Sens!I17052+Sens!J17052)/2)</f>
        <v>0.0445222722541192</v>
      </c>
      <c r="K17056" s="7" t="n">
        <f aca="false">Sens!K16981*(1-tax_f)/(Sens!K16967*(Sens!J17052+Sens!K17052)/2)</f>
        <v>0.0498866361688162</v>
      </c>
    </row>
    <row r="17057" customFormat="false" ht="17.15" hidden="false" customHeight="false" outlineLevel="0" collapsed="false">
      <c r="A17057" s="0" t="s">
        <v>1018</v>
      </c>
      <c r="B17057" s="0" t="s">
        <v>253</v>
      </c>
      <c r="F17057" s="7" t="n">
        <f aca="false">Sens!F17053-wacc</f>
        <v>-0.0807182973621289</v>
      </c>
      <c r="G17057" s="7" t="n">
        <f aca="false">Sens!G17053-wacc</f>
        <v>-0.0753237167117908</v>
      </c>
      <c r="H17057" s="7" t="n">
        <f aca="false">Sens!H17053-wacc</f>
        <v>-0.0816939322541386</v>
      </c>
      <c r="I17057" s="7" t="n">
        <f aca="false">Sens!I17053-wacc</f>
        <v>-0.0744762210505052</v>
      </c>
      <c r="J17057" s="7" t="n">
        <f aca="false">Sens!J17053-wacc</f>
        <v>-0.0690571285217634</v>
      </c>
      <c r="K17057" s="7" t="n">
        <f aca="false">Sens!K17053-wacc</f>
        <v>-0.0634740589508998</v>
      </c>
    </row>
    <row r="17058" customFormat="false" ht="17.15" hidden="false" customHeight="false" outlineLevel="0" collapsed="false">
      <c r="A17058" s="0" t="s">
        <v>1019</v>
      </c>
      <c r="B17058" s="0" t="s">
        <v>98</v>
      </c>
      <c r="F17058" s="6" t="n">
        <f aca="false">Sens!F17051*(1-tax_f)-wacc*(Sens!E17052+Sens!F17052)/2</f>
        <v>-15.6299143874465</v>
      </c>
      <c r="G17058" s="6" t="n">
        <f aca="false">Sens!G17051*(1-tax_f)-wacc*(Sens!F17052+Sens!G17052)/2</f>
        <v>-24.5689106663517</v>
      </c>
      <c r="H17058" s="6" t="n">
        <f aca="false">Sens!H17051*(1-tax_f)-wacc*(Sens!G17052+Sens!H17052)/2</f>
        <v>-36.4057220216672</v>
      </c>
      <c r="I17058" s="6" t="n">
        <f aca="false">Sens!I17051*(1-tax_f)-wacc*(Sens!H17052+Sens!I17052)/2</f>
        <v>-39.2251687329319</v>
      </c>
      <c r="J17058" s="6" t="n">
        <f aca="false">Sens!J17051*(1-tax_f)-wacc*(Sens!I17052+Sens!J17052)/2</f>
        <v>-38.1422878289744</v>
      </c>
      <c r="K17058" s="6" t="n">
        <f aca="false">Sens!K17051*(1-tax_f)-wacc*(Sens!J17052+Sens!K17052)/2</f>
        <v>-34.1973919058991</v>
      </c>
    </row>
    <row r="17059" customFormat="false" ht="17.15" hidden="false" customHeight="false" outlineLevel="0" collapsed="false">
      <c r="A17059" s="3" t="s">
        <v>2032</v>
      </c>
    </row>
    <row r="17060" customFormat="false" ht="15" hidden="false" customHeight="false" outlineLevel="0" collapsed="false">
      <c r="A17060" s="4" t="s">
        <v>43</v>
      </c>
      <c r="B17060" s="4" t="s">
        <v>65</v>
      </c>
      <c r="C17060" s="23" t="s">
        <v>942</v>
      </c>
      <c r="D17060" s="23" t="s">
        <v>943</v>
      </c>
      <c r="E17060" s="23" t="s">
        <v>944</v>
      </c>
      <c r="F17060" s="23" t="s">
        <v>945</v>
      </c>
      <c r="G17060" s="23" t="s">
        <v>946</v>
      </c>
      <c r="H17060" s="23" t="s">
        <v>947</v>
      </c>
      <c r="I17060" s="23" t="s">
        <v>948</v>
      </c>
      <c r="J17060" s="23" t="s">
        <v>949</v>
      </c>
      <c r="K17060" s="23" t="s">
        <v>950</v>
      </c>
      <c r="L17060" s="4" t="s">
        <v>47</v>
      </c>
    </row>
    <row r="17061" customFormat="false" ht="15" hidden="false" customHeight="false" outlineLevel="0" collapsed="false">
      <c r="A17061" s="1" t="s">
        <v>1080</v>
      </c>
      <c r="B17061" s="0" t="s">
        <v>98</v>
      </c>
      <c r="F17061" s="6" t="n">
        <f aca="false">Sens!F17042</f>
        <v>141.519132566314</v>
      </c>
      <c r="G17061" s="6" t="n">
        <f aca="false">Sens!G17042</f>
        <v>143.776094190781</v>
      </c>
      <c r="H17061" s="6" t="n">
        <f aca="false">Sens!H17042</f>
        <v>145.523258806884</v>
      </c>
      <c r="I17061" s="6" t="n">
        <f aca="false">Sens!I17042</f>
        <v>153.618584087663</v>
      </c>
      <c r="J17061" s="6" t="n">
        <f aca="false">Sens!J17042</f>
        <v>163.027321880188</v>
      </c>
      <c r="K17061" s="6" t="n">
        <f aca="false">Sens!K17042</f>
        <v>173.630216203913</v>
      </c>
    </row>
    <row r="17062" customFormat="false" ht="17.15" hidden="false" customHeight="false" outlineLevel="0" collapsed="false">
      <c r="A17062" s="1" t="s">
        <v>1102</v>
      </c>
      <c r="B17062" s="0" t="s">
        <v>98</v>
      </c>
      <c r="E17062" s="6" t="n">
        <f aca="false">Q!M38-Sens!E16980</f>
        <v>22.2285940229167</v>
      </c>
      <c r="F17062" s="6" t="n">
        <f aca="false">Sens!E17062*(1-1/life_nonai)+(Sens!F17070+Sens!F17071)/life_nonai</f>
        <v>23.5883405279552</v>
      </c>
      <c r="G17062" s="6" t="n">
        <f aca="false">Sens!F17062*(1-1/life_nonai)+(Sens!G17070)/life_nonai</f>
        <v>25.347608709247</v>
      </c>
      <c r="H17062" s="6" t="n">
        <f aca="false">Sens!G17062*(1-1/life_nonai)+(Sens!H17070)/life_nonai</f>
        <v>27.4750934833125</v>
      </c>
      <c r="I17062" s="6" t="n">
        <f aca="false">Sens!H17062*(1-1/life_nonai)+(Sens!I17070)/life_nonai</f>
        <v>29.9140127982598</v>
      </c>
      <c r="J17062" s="6" t="n">
        <f aca="false">Sens!I17062*(1-1/life_nonai)+(Sens!J17070)/life_nonai</f>
        <v>32.5895147654561</v>
      </c>
      <c r="K17062" s="6" t="n">
        <f aca="false">Sens!J17062*(1-1/life_nonai)+(Sens!K17070)/life_nonai</f>
        <v>35.4171979437481</v>
      </c>
      <c r="L17062" s="12" t="s">
        <v>1103</v>
      </c>
    </row>
    <row r="17063" customFormat="false" ht="17.15" hidden="false" customHeight="false" outlineLevel="0" collapsed="false">
      <c r="A17063" s="1" t="s">
        <v>1104</v>
      </c>
      <c r="B17063" s="0" t="s">
        <v>98</v>
      </c>
      <c r="F17063" s="6" t="n">
        <f aca="false">Sens!$F$17071/life_nonai*(1-1/life_nonai)^(Sens!F16943-2027)</f>
        <v>0</v>
      </c>
      <c r="G17063" s="6" t="n">
        <f aca="false">Sens!$F$17071/life_nonai*(1-1/life_nonai)^(Sens!G16943-2027)</f>
        <v>0</v>
      </c>
      <c r="H17063" s="6" t="n">
        <f aca="false">Sens!$F$17071/life_nonai*(1-1/life_nonai)^(Sens!H16943-2027)</f>
        <v>0</v>
      </c>
      <c r="I17063" s="6" t="n">
        <f aca="false">Sens!$F$17071/life_nonai*(1-1/life_nonai)^(Sens!I16943-2027)</f>
        <v>0</v>
      </c>
      <c r="J17063" s="6" t="n">
        <f aca="false">Sens!$F$17071/life_nonai*(1-1/life_nonai)^(Sens!J16943-2027)</f>
        <v>0</v>
      </c>
      <c r="K17063" s="6" t="n">
        <f aca="false">Sens!$F$17071/life_nonai*(1-1/life_nonai)^(Sens!K16943-2027)</f>
        <v>0</v>
      </c>
      <c r="L17063" s="1" t="s">
        <v>1105</v>
      </c>
    </row>
    <row r="17064" customFormat="false" ht="17.15" hidden="false" customHeight="false" outlineLevel="0" collapsed="false">
      <c r="A17064" s="1" t="s">
        <v>1106</v>
      </c>
      <c r="B17064" s="0" t="s">
        <v>98</v>
      </c>
      <c r="E17064" s="6" t="n">
        <f aca="false">Sens!E16980+Sens!E17062</f>
        <v>38.534</v>
      </c>
      <c r="F17064" s="6" t="n">
        <f aca="false">Sens!F16980+Sens!F17062</f>
        <v>58.1676550063068</v>
      </c>
      <c r="G17064" s="6" t="n">
        <f aca="false">Sens!G16980+Sens!G17062</f>
        <v>86.0820993615459</v>
      </c>
      <c r="H17064" s="6" t="n">
        <f aca="false">Sens!H16980+Sens!H17062</f>
        <v>116.575184144758</v>
      </c>
      <c r="I17064" s="6" t="n">
        <f aca="false">Sens!I16980+Sens!I17062</f>
        <v>144.145022492808</v>
      </c>
      <c r="J17064" s="6" t="n">
        <f aca="false">Sens!J16980+Sens!J17062</f>
        <v>164.605187815052</v>
      </c>
      <c r="K17064" s="6" t="n">
        <f aca="false">Sens!K16980+Sens!K17062</f>
        <v>178.429867494682</v>
      </c>
    </row>
    <row r="17065" customFormat="false" ht="17.15" hidden="false" customHeight="false" outlineLevel="0" collapsed="false">
      <c r="A17065" s="1" t="s">
        <v>1107</v>
      </c>
      <c r="B17065" s="0" t="s">
        <v>98</v>
      </c>
      <c r="F17065" s="6" t="n">
        <f aca="false">Sens!F17007*sbc_r</f>
        <v>14.7454787486369</v>
      </c>
      <c r="G17065" s="6" t="n">
        <f aca="false">Sens!G17007*sbc_r</f>
        <v>17.1560811611477</v>
      </c>
      <c r="H17065" s="6" t="n">
        <f aca="false">Sens!H17007*sbc_r</f>
        <v>19.4112161412813</v>
      </c>
      <c r="I17065" s="6" t="n">
        <f aca="false">Sens!I17007*sbc_r</f>
        <v>21.7655163708747</v>
      </c>
      <c r="J17065" s="6" t="n">
        <f aca="false">Sens!J17007*sbc_r</f>
        <v>23.7425689489627</v>
      </c>
      <c r="K17065" s="6" t="n">
        <f aca="false">Sens!K17007*sbc_r</f>
        <v>25.3560408997772</v>
      </c>
    </row>
    <row r="17066" customFormat="false" ht="17.15" hidden="false" customHeight="false" outlineLevel="0" collapsed="false">
      <c r="A17066" s="1" t="s">
        <v>1108</v>
      </c>
      <c r="B17066" s="0" t="s">
        <v>98</v>
      </c>
      <c r="F17066" s="6" t="n">
        <f aca="false">wc27-wc26q1</f>
        <v>-4.677</v>
      </c>
      <c r="G17066" s="6" t="n">
        <f aca="false">wc_f</f>
        <v>0</v>
      </c>
      <c r="H17066" s="6" t="n">
        <f aca="false">wc_f</f>
        <v>0</v>
      </c>
      <c r="I17066" s="6" t="n">
        <f aca="false">wc_f</f>
        <v>0</v>
      </c>
      <c r="J17066" s="6" t="n">
        <f aca="false">wc_f</f>
        <v>0</v>
      </c>
      <c r="K17066" s="6" t="n">
        <f aca="false">wc_f</f>
        <v>0</v>
      </c>
      <c r="L17066" s="12" t="s">
        <v>1109</v>
      </c>
    </row>
    <row r="17067" customFormat="false" ht="17.15" hidden="false" customHeight="false" outlineLevel="0" collapsed="false">
      <c r="A17067" s="0" t="s">
        <v>1110</v>
      </c>
      <c r="B17067" s="0" t="s">
        <v>98</v>
      </c>
      <c r="F17067" s="6" t="n">
        <f aca="false">Q!$I$35-Q!$I$26-Q!$I$38-Q!$I$39</f>
        <v>6.493</v>
      </c>
      <c r="L17067" s="1" t="s">
        <v>1111</v>
      </c>
    </row>
    <row r="17068" customFormat="false" ht="15" hidden="false" customHeight="false" outlineLevel="0" collapsed="false">
      <c r="A17068" s="1" t="s">
        <v>908</v>
      </c>
      <c r="B17068" s="0" t="s">
        <v>98</v>
      </c>
      <c r="E17068" s="6" t="n">
        <f aca="false">Q!M35</f>
        <v>182.935</v>
      </c>
      <c r="F17068" s="6" t="n">
        <f aca="false">Sens!F17061+Sens!F17064+Sens!F17065+Sens!F17066+Sens!F17067</f>
        <v>216.248266321257</v>
      </c>
      <c r="G17068" s="6" t="n">
        <f aca="false">Sens!G17061+Sens!G17064+Sens!G17065+Sens!G17066</f>
        <v>247.014274713475</v>
      </c>
      <c r="H17068" s="6" t="n">
        <f aca="false">Sens!H17061+Sens!H17064+Sens!H17065+Sens!H17066</f>
        <v>281.509659092923</v>
      </c>
      <c r="I17068" s="6" t="n">
        <f aca="false">Sens!I17061+Sens!I17064+Sens!I17065+Sens!I17066</f>
        <v>319.529122951346</v>
      </c>
      <c r="J17068" s="6" t="n">
        <f aca="false">Sens!J17061+Sens!J17064+Sens!J17065+Sens!J17066</f>
        <v>351.375078644203</v>
      </c>
      <c r="K17068" s="6" t="n">
        <f aca="false">Sens!K17061+Sens!K17064+Sens!K17065+Sens!K17066</f>
        <v>377.416124598373</v>
      </c>
    </row>
    <row r="17069" customFormat="false" ht="17.15" hidden="false" customHeight="false" outlineLevel="0" collapsed="false">
      <c r="A17069" s="0" t="s">
        <v>1112</v>
      </c>
      <c r="B17069" s="0" t="s">
        <v>98</v>
      </c>
      <c r="F17069" s="6" t="n">
        <f aca="false">Sens!F16977</f>
        <v>168.45390404212</v>
      </c>
      <c r="G17069" s="6" t="n">
        <f aca="false">Sens!G16977</f>
        <v>191.944475649048</v>
      </c>
      <c r="H17069" s="6" t="n">
        <f aca="false">Sens!H16977</f>
        <v>196.806004064512</v>
      </c>
      <c r="I17069" s="6" t="n">
        <f aca="false">Sens!I16977</f>
        <v>168.61483362161</v>
      </c>
      <c r="J17069" s="6" t="n">
        <f aca="false">Sens!J16977</f>
        <v>128.92993119594</v>
      </c>
      <c r="K17069" s="6" t="n">
        <f aca="false">Sens!K16977</f>
        <v>118.962853064733</v>
      </c>
    </row>
    <row r="17070" customFormat="false" ht="17.15" hidden="false" customHeight="false" outlineLevel="0" collapsed="false">
      <c r="A17070" s="1" t="s">
        <v>1113</v>
      </c>
      <c r="B17070" s="0" t="s">
        <v>98</v>
      </c>
      <c r="E17070" s="6" t="n">
        <f aca="false">Sens!E16985*cx_azo+Sens!E16992*cx_m365+Sens!E16993*cx_lic+(Sens!E16995+Sens!E16997)*cx_ind+Sens!E17000*cx_srch+(Sens!E17002+Sens!E17004)*cx_dev</f>
        <v>30.1846587067718</v>
      </c>
      <c r="F17070" s="6" t="n">
        <f aca="false">Sens!F16985*cx_azo+Sens!F16992*cx_m365+Sens!F16993*cx_lic+(Sens!F16995+Sens!F16997)*cx_ind+Sens!F17000*cx_srch+(Sens!F17002+Sens!F17004)*cx_dev</f>
        <v>35.826059073302</v>
      </c>
      <c r="G17070" s="6" t="n">
        <f aca="false">Sens!G16985*cx_azo+Sens!G16992*cx_m365+Sens!G16993*cx_lic+(Sens!G16995+Sens!G16997)*cx_ind+Sens!G17000*cx_srch+(Sens!G17002+Sens!G17004)*cx_dev</f>
        <v>41.1810223408732</v>
      </c>
      <c r="H17070" s="6" t="n">
        <f aca="false">Sens!H16985*cx_azo+Sens!H16992*cx_m365+Sens!H16993*cx_lic+(Sens!H16995+Sens!H16997)*cx_ind+Sens!H17000*cx_srch+(Sens!H17002+Sens!H17004)*cx_dev</f>
        <v>46.6224564499022</v>
      </c>
      <c r="I17070" s="6" t="n">
        <f aca="false">Sens!I16985*cx_azo+Sens!I16992*cx_m365+Sens!I16993*cx_lic+(Sens!I16995+Sens!I16997)*cx_ind+Sens!I17000*cx_srch+(Sens!I17002+Sens!I17004)*cx_dev</f>
        <v>51.8642866327854</v>
      </c>
      <c r="J17070" s="6" t="n">
        <f aca="false">Sens!J16985*cx_azo+Sens!J16992*cx_m365+Sens!J16993*cx_lic+(Sens!J16995+Sens!J16997)*cx_ind+Sens!J17000*cx_srch+(Sens!J17002+Sens!J17004)*cx_dev</f>
        <v>56.6690324702225</v>
      </c>
      <c r="K17070" s="6" t="n">
        <f aca="false">Sens!K16985*cx_azo+Sens!K16992*cx_m365+Sens!K16993*cx_lic+(Sens!K16995+Sens!K16997)*cx_ind+Sens!K17000*cx_srch+(Sens!K17002+Sens!K17004)*cx_dev</f>
        <v>60.866346548376</v>
      </c>
    </row>
    <row r="17071" customFormat="false" ht="17.15" hidden="false" customHeight="false" outlineLevel="0" collapsed="false">
      <c r="A17071" s="0" t="s">
        <v>1114</v>
      </c>
      <c r="B17071" s="0" t="s">
        <v>98</v>
      </c>
      <c r="F17071" s="6" t="n">
        <f aca="false">Sens!F16975</f>
        <v>0</v>
      </c>
      <c r="L17071" s="1" t="s">
        <v>1115</v>
      </c>
    </row>
    <row r="17072" customFormat="false" ht="17.15" hidden="false" customHeight="false" outlineLevel="0" collapsed="false">
      <c r="A17072" s="1" t="s">
        <v>1116</v>
      </c>
      <c r="B17072" s="0" t="s">
        <v>98</v>
      </c>
      <c r="E17072" s="6" t="n">
        <f aca="false">Q!M43</f>
        <v>145.3</v>
      </c>
      <c r="F17072" s="6" t="n">
        <f aca="false">Sens!F17069+Sens!F17070+Sens!F17071</f>
        <v>204.279963115422</v>
      </c>
      <c r="G17072" s="6" t="n">
        <f aca="false">Sens!G17069+Sens!G17070</f>
        <v>233.125497989921</v>
      </c>
      <c r="H17072" s="6" t="n">
        <f aca="false">Sens!H17069+Sens!H17070</f>
        <v>243.428460514415</v>
      </c>
      <c r="I17072" s="6" t="n">
        <f aca="false">Sens!I17069+Sens!I17070</f>
        <v>220.479120254396</v>
      </c>
      <c r="J17072" s="6" t="n">
        <f aca="false">Sens!J17069+Sens!J17070</f>
        <v>185.598963666163</v>
      </c>
      <c r="K17072" s="6" t="n">
        <f aca="false">Sens!K17069+Sens!K17070</f>
        <v>179.829199613109</v>
      </c>
      <c r="L17072" s="1" t="s">
        <v>1117</v>
      </c>
    </row>
    <row r="17073" customFormat="false" ht="15" hidden="false" customHeight="false" outlineLevel="0" collapsed="false">
      <c r="A17073" s="1" t="s">
        <v>1118</v>
      </c>
      <c r="B17073" s="0" t="s">
        <v>98</v>
      </c>
      <c r="E17073" s="6" t="n">
        <f aca="false">fl_liab</f>
        <v>66.594</v>
      </c>
      <c r="F17073" s="6" t="n">
        <f aca="false">Sens!E17073-Sens!F17074</f>
        <v>62.46973</v>
      </c>
      <c r="G17073" s="6" t="n">
        <f aca="false">Sens!F17073-Sens!G17074</f>
        <v>57.98686785</v>
      </c>
      <c r="H17073" s="6" t="n">
        <f aca="false">Sens!G17073-Sens!H17074</f>
        <v>53.92827690325</v>
      </c>
      <c r="I17073" s="6" t="n">
        <f aca="false">Sens!H17073-Sens!I17074</f>
        <v>49.7850493638962</v>
      </c>
      <c r="J17073" s="6" t="n">
        <f aca="false">Sens!I17073-Sens!J17074</f>
        <v>45.4823765852716</v>
      </c>
      <c r="K17073" s="6" t="n">
        <f aca="false">Sens!J17073-Sens!K17074</f>
        <v>40.9860835316088</v>
      </c>
    </row>
    <row r="17074" customFormat="false" ht="15" hidden="false" customHeight="false" outlineLevel="0" collapsed="false">
      <c r="A17074" s="1" t="s">
        <v>1119</v>
      </c>
      <c r="B17074" s="0" t="s">
        <v>98</v>
      </c>
      <c r="F17074" s="6" t="n">
        <f aca="false">fl_pay_27-Sens!E17073*fl_rate</f>
        <v>4.12427</v>
      </c>
      <c r="G17074" s="6" t="n">
        <f aca="false">fl_pay_28-Sens!F17073*fl_rate</f>
        <v>4.48286215</v>
      </c>
      <c r="H17074" s="6" t="n">
        <f aca="false">fl_pay_29-Sens!G17073*fl_rate</f>
        <v>4.05859094675</v>
      </c>
      <c r="I17074" s="6" t="n">
        <f aca="false">fl_pay_30-Sens!H17073*fl_rate</f>
        <v>4.14322753935375</v>
      </c>
      <c r="J17074" s="6" t="n">
        <f aca="false">fl_pay_31-Sens!I17073*fl_rate</f>
        <v>4.30267277862467</v>
      </c>
      <c r="K17074" s="6" t="n">
        <f aca="false">fl_pay_32-Sens!J17073*fl_rate</f>
        <v>4.49629305366278</v>
      </c>
    </row>
    <row r="17075" customFormat="false" ht="17.15" hidden="false" customHeight="false" outlineLevel="0" collapsed="false">
      <c r="A17075" s="1" t="s">
        <v>1120</v>
      </c>
      <c r="B17075" s="0" t="s">
        <v>98</v>
      </c>
      <c r="E17075" s="6" t="n">
        <f aca="false">Q!M35-Q!M36-Q!M44</f>
        <v>63.886</v>
      </c>
      <c r="F17075" s="6" t="n">
        <f aca="false">Sens!F17068-Sens!F17072-Sens!F17074</f>
        <v>7.8440332058357</v>
      </c>
      <c r="G17075" s="6" t="n">
        <f aca="false">Sens!G17068-Sens!G17072-Sens!G17074</f>
        <v>9.40591457355372</v>
      </c>
      <c r="H17075" s="6" t="n">
        <f aca="false">Sens!H17068-Sens!H17072-Sens!H17074</f>
        <v>34.0226076317587</v>
      </c>
      <c r="I17075" s="6" t="n">
        <f aca="false">Sens!I17068-Sens!I17072-Sens!I17074</f>
        <v>94.9067751575962</v>
      </c>
      <c r="J17075" s="6" t="n">
        <f aca="false">Sens!J17068-Sens!J17072-Sens!J17074</f>
        <v>161.473442199415</v>
      </c>
      <c r="K17075" s="6" t="n">
        <f aca="false">Sens!K17068-Sens!K17072-Sens!K17074</f>
        <v>193.090631931601</v>
      </c>
      <c r="L17075" s="12" t="s">
        <v>1121</v>
      </c>
    </row>
    <row r="17076" customFormat="false" ht="15" hidden="false" customHeight="false" outlineLevel="0" collapsed="false">
      <c r="A17076" s="1" t="s">
        <v>1122</v>
      </c>
      <c r="B17076" s="0" t="s">
        <v>75</v>
      </c>
      <c r="F17076" s="8" t="n">
        <f aca="false">dps_27</f>
        <v>3.85</v>
      </c>
      <c r="G17076" s="8" t="n">
        <f aca="false">Sens!F17076*(1+dps_g)</f>
        <v>4.158</v>
      </c>
      <c r="H17076" s="8" t="n">
        <f aca="false">Sens!G17076*(1+dps_g)</f>
        <v>4.49064</v>
      </c>
      <c r="I17076" s="8" t="n">
        <f aca="false">Sens!H17076*(1+dps_g)</f>
        <v>4.8498912</v>
      </c>
      <c r="J17076" s="8" t="n">
        <f aca="false">Sens!I17076*(1+dps_g)</f>
        <v>5.237882496</v>
      </c>
      <c r="K17076" s="8" t="n">
        <f aca="false">Sens!J17076*(1+dps_g)</f>
        <v>5.65691309568</v>
      </c>
    </row>
    <row r="17077" customFormat="false" ht="17.15" hidden="false" customHeight="false" outlineLevel="0" collapsed="false">
      <c r="A17077" s="1" t="s">
        <v>1123</v>
      </c>
      <c r="B17077" s="0" t="s">
        <v>98</v>
      </c>
      <c r="E17077" s="6" t="n">
        <f aca="false">Q!M41</f>
        <v>26.445</v>
      </c>
      <c r="F17077" s="6" t="n">
        <f aca="false">Sens!F17076*Sens!E17086</f>
        <v>28.59395</v>
      </c>
      <c r="G17077" s="6" t="n">
        <f aca="false">Sens!G17076*Sens!F17086</f>
        <v>31.068576</v>
      </c>
      <c r="H17077" s="6" t="n">
        <f aca="false">Sens!H17076*Sens!G17086</f>
        <v>33.75614088</v>
      </c>
      <c r="I17077" s="6" t="n">
        <f aca="false">Sens!I17076*Sens!H17086</f>
        <v>36.6748772544</v>
      </c>
      <c r="J17077" s="6" t="n">
        <f aca="false">Sens!J17076*Sens!I17086</f>
        <v>39.6767653201446</v>
      </c>
      <c r="K17077" s="6" t="n">
        <f aca="false">Sens!K17076*Sens!J17086</f>
        <v>42.9376608081345</v>
      </c>
      <c r="L17077" s="1" t="s">
        <v>1124</v>
      </c>
    </row>
    <row r="17078" customFormat="false" ht="15" hidden="false" customHeight="false" outlineLevel="0" collapsed="false">
      <c r="A17078" s="1" t="s">
        <v>1125</v>
      </c>
      <c r="B17078" s="0" t="s">
        <v>98</v>
      </c>
      <c r="E17078" s="6" t="n">
        <f aca="false">Sens!E17075-Sens!E17077</f>
        <v>37.441</v>
      </c>
      <c r="F17078" s="6" t="n">
        <f aca="false">Sens!F17075-Sens!F17077</f>
        <v>-20.7499167941643</v>
      </c>
      <c r="G17078" s="6" t="n">
        <f aca="false">Sens!G17075-Sens!G17077</f>
        <v>-21.6626614264463</v>
      </c>
      <c r="H17078" s="6" t="n">
        <f aca="false">Sens!H17075-Sens!H17077</f>
        <v>0.266466751758742</v>
      </c>
      <c r="I17078" s="6" t="n">
        <f aca="false">Sens!I17075-Sens!I17077</f>
        <v>58.2318979031962</v>
      </c>
      <c r="J17078" s="6" t="n">
        <f aca="false">Sens!J17075-Sens!J17077</f>
        <v>121.796676879271</v>
      </c>
      <c r="K17078" s="6" t="n">
        <f aca="false">Sens!K17075-Sens!K17077</f>
        <v>150.152971123467</v>
      </c>
    </row>
    <row r="17079" customFormat="false" ht="15" hidden="false" customHeight="false" outlineLevel="0" collapsed="false">
      <c r="A17079" s="1" t="s">
        <v>1126</v>
      </c>
      <c r="B17079" s="0" t="s">
        <v>98</v>
      </c>
      <c r="F17079" s="6" t="n">
        <f aca="false">debt_mat_27</f>
        <v>9.25</v>
      </c>
      <c r="G17079" s="6" t="n">
        <f aca="false">debt_mat_28</f>
        <v>0</v>
      </c>
      <c r="H17079" s="6" t="n">
        <f aca="false">debt_mat_29</f>
        <v>2.001</v>
      </c>
      <c r="I17079" s="6" t="n">
        <f aca="false">debt_mat_30</f>
        <v>0</v>
      </c>
      <c r="J17079" s="6" t="n">
        <f aca="false">debt_mat_31</f>
        <v>0.5</v>
      </c>
      <c r="K17079" s="6" t="n">
        <f aca="false">debt_mat_32</f>
        <v>0</v>
      </c>
    </row>
    <row r="17080" customFormat="false" ht="15" hidden="false" customHeight="false" outlineLevel="0" collapsed="false">
      <c r="A17080" s="1" t="s">
        <v>1127</v>
      </c>
      <c r="B17080" s="0" t="s">
        <v>98</v>
      </c>
      <c r="E17080" s="6" t="n">
        <f aca="false">Q!M40</f>
        <v>22.271</v>
      </c>
      <c r="F17080" s="6" t="n">
        <f aca="false">MAX(0,MIN(bb_target,Sens!E17082+Sens!F17078-Sens!F17079-min_cash))</f>
        <v>0</v>
      </c>
      <c r="G17080" s="6" t="n">
        <f aca="false">MAX(0,MIN(bb_target,Sens!F17082+Sens!G17078-Sens!G17079-min_cash))</f>
        <v>0</v>
      </c>
      <c r="H17080" s="6" t="n">
        <f aca="false">MAX(0,MIN(bb_target,Sens!G17082+Sens!H17078-Sens!H17079-min_cash))</f>
        <v>0</v>
      </c>
      <c r="I17080" s="6" t="n">
        <f aca="false">MAX(0,MIN(bb_target,Sens!H17082+Sens!I17078-Sens!I17079-min_cash))</f>
        <v>22.271</v>
      </c>
      <c r="J17080" s="6" t="n">
        <f aca="false">MAX(0,MIN(bb_target,Sens!I17082+Sens!J17078-Sens!J17079-min_cash))</f>
        <v>22.271</v>
      </c>
      <c r="K17080" s="6" t="n">
        <f aca="false">MAX(0,MIN(bb_target,Sens!J17082+Sens!K17078-Sens!K17079-min_cash))</f>
        <v>22.271</v>
      </c>
    </row>
    <row r="17081" customFormat="false" ht="15" hidden="false" customHeight="false" outlineLevel="0" collapsed="false">
      <c r="A17081" s="1" t="s">
        <v>1128</v>
      </c>
      <c r="B17081" s="0" t="s">
        <v>98</v>
      </c>
      <c r="F17081" s="6" t="n">
        <f aca="false">MAX(0,min_cash-(Sens!E17082+Sens!F17078-Sens!F17079-Sens!F17080))</f>
        <v>3.1569167941643</v>
      </c>
      <c r="G17081" s="6" t="n">
        <f aca="false">MAX(0,min_cash-(Sens!F17082+Sens!G17078-Sens!G17079-Sens!G17080))</f>
        <v>21.6626614264463</v>
      </c>
      <c r="H17081" s="6" t="n">
        <f aca="false">MAX(0,min_cash-(Sens!G17082+Sens!H17078-Sens!H17079-Sens!H17080))</f>
        <v>1.73453324824126</v>
      </c>
      <c r="I17081" s="6" t="n">
        <f aca="false">MAX(0,min_cash-(Sens!H17082+Sens!I17078-Sens!I17079-Sens!I17080))</f>
        <v>0</v>
      </c>
      <c r="J17081" s="6" t="n">
        <f aca="false">MAX(0,min_cash-(Sens!I17082+Sens!J17078-Sens!J17079-Sens!J17080))</f>
        <v>0</v>
      </c>
      <c r="K17081" s="6" t="n">
        <f aca="false">MAX(0,min_cash-(Sens!J17082+Sens!K17078-Sens!K17079-Sens!K17080))</f>
        <v>0</v>
      </c>
    </row>
    <row r="17082" customFormat="false" ht="15" hidden="false" customHeight="false" outlineLevel="0" collapsed="false">
      <c r="A17082" s="1" t="s">
        <v>1129</v>
      </c>
      <c r="B17082" s="0" t="s">
        <v>98</v>
      </c>
      <c r="E17082" s="6" t="n">
        <f aca="false">cash_open</f>
        <v>76.843</v>
      </c>
      <c r="F17082" s="6" t="n">
        <f aca="false">Sens!E17082+Sens!F17078-Sens!F17079-Sens!F17080+Sens!F17081</f>
        <v>50</v>
      </c>
      <c r="G17082" s="6" t="n">
        <f aca="false">Sens!F17082+Sens!G17078-Sens!G17079-Sens!G17080+Sens!G17081</f>
        <v>50</v>
      </c>
      <c r="H17082" s="6" t="n">
        <f aca="false">Sens!G17082+Sens!H17078-Sens!H17079-Sens!H17080+Sens!H17081</f>
        <v>50</v>
      </c>
      <c r="I17082" s="6" t="n">
        <f aca="false">Sens!H17082+Sens!I17078-Sens!I17079-Sens!I17080+Sens!I17081</f>
        <v>85.9608979031962</v>
      </c>
      <c r="J17082" s="6" t="n">
        <f aca="false">Sens!I17082+Sens!J17078-Sens!J17079-Sens!J17080+Sens!J17081</f>
        <v>184.986574782467</v>
      </c>
      <c r="K17082" s="6" t="n">
        <f aca="false">Sens!J17082+Sens!K17078-Sens!K17079-Sens!K17080+Sens!K17081</f>
        <v>312.868545905934</v>
      </c>
    </row>
    <row r="17083" customFormat="false" ht="15" hidden="false" customHeight="false" outlineLevel="0" collapsed="false">
      <c r="A17083" s="1" t="s">
        <v>1130</v>
      </c>
      <c r="B17083" s="0" t="s">
        <v>98</v>
      </c>
      <c r="E17083" s="6" t="n">
        <f aca="false">debt_face</f>
        <v>46.136</v>
      </c>
      <c r="F17083" s="6" t="n">
        <f aca="false">Sens!E17083-Sens!F17079+Sens!F17081</f>
        <v>40.0429167941643</v>
      </c>
      <c r="G17083" s="6" t="n">
        <f aca="false">Sens!F17083-Sens!G17079+Sens!G17081</f>
        <v>61.7055782206106</v>
      </c>
      <c r="H17083" s="6" t="n">
        <f aca="false">Sens!G17083-Sens!H17079+Sens!H17081</f>
        <v>61.4391114688519</v>
      </c>
      <c r="I17083" s="6" t="n">
        <f aca="false">Sens!H17083-Sens!I17079+Sens!I17081</f>
        <v>61.4391114688519</v>
      </c>
      <c r="J17083" s="6" t="n">
        <f aca="false">Sens!I17083-Sens!J17079+Sens!J17081</f>
        <v>60.9391114688519</v>
      </c>
      <c r="K17083" s="6" t="n">
        <f aca="false">Sens!J17083-Sens!K17079+Sens!K17081</f>
        <v>60.9391114688519</v>
      </c>
    </row>
    <row r="17084" customFormat="false" ht="15" hidden="false" customHeight="false" outlineLevel="0" collapsed="false">
      <c r="A17084" s="1" t="s">
        <v>1131</v>
      </c>
      <c r="B17084" s="0" t="s">
        <v>98</v>
      </c>
      <c r="E17084" s="6" t="n">
        <f aca="false">Sens!E17082-Sens!E17083</f>
        <v>30.707</v>
      </c>
      <c r="F17084" s="6" t="n">
        <f aca="false">Sens!F17082-Sens!F17083</f>
        <v>9.95708320583569</v>
      </c>
      <c r="G17084" s="6" t="n">
        <f aca="false">Sens!G17082-Sens!G17083</f>
        <v>-11.7055782206106</v>
      </c>
      <c r="H17084" s="6" t="n">
        <f aca="false">Sens!H17082-Sens!H17083</f>
        <v>-11.4391114688518</v>
      </c>
      <c r="I17084" s="6" t="n">
        <f aca="false">Sens!I17082-Sens!I17083</f>
        <v>24.5217864343444</v>
      </c>
      <c r="J17084" s="6" t="n">
        <f aca="false">Sens!J17082-Sens!J17083</f>
        <v>124.047463313615</v>
      </c>
      <c r="K17084" s="6" t="n">
        <f aca="false">Sens!K17082-Sens!K17083</f>
        <v>251.929434437082</v>
      </c>
    </row>
    <row r="17085" customFormat="false" ht="15" hidden="false" customHeight="false" outlineLevel="0" collapsed="false">
      <c r="A17085" s="1" t="s">
        <v>1132</v>
      </c>
      <c r="B17085" s="0" t="s">
        <v>75</v>
      </c>
      <c r="F17085" s="30" t="n">
        <f aca="false">px*(1+bb_g)^(Sens!F16943-base_fy-mid_yr)</f>
        <v>551.84177959629</v>
      </c>
      <c r="G17085" s="30" t="n">
        <f aca="false">px*(1+bb_g)^(Sens!G16943-base_fy-mid_yr)</f>
        <v>595.989121963993</v>
      </c>
      <c r="H17085" s="30" t="n">
        <f aca="false">px*(1+bb_g)^(Sens!H16943-base_fy-mid_yr)</f>
        <v>643.668251721112</v>
      </c>
      <c r="I17085" s="30" t="n">
        <f aca="false">px*(1+bb_g)^(Sens!I16943-base_fy-mid_yr)</f>
        <v>695.161711858801</v>
      </c>
      <c r="J17085" s="30" t="n">
        <f aca="false">px*(1+bb_g)^(Sens!J16943-base_fy-mid_yr)</f>
        <v>750.774648807506</v>
      </c>
      <c r="K17085" s="30" t="n">
        <f aca="false">px*(1+bb_g)^(Sens!K16943-base_fy-mid_yr)</f>
        <v>810.836620712106</v>
      </c>
    </row>
    <row r="17086" customFormat="false" ht="15" hidden="false" customHeight="false" outlineLevel="0" collapsed="false">
      <c r="A17086" s="1" t="s">
        <v>1133</v>
      </c>
      <c r="B17086" s="1" t="s">
        <v>81</v>
      </c>
      <c r="E17086" s="15" t="n">
        <f aca="false">sh_out26</f>
        <v>7.427</v>
      </c>
      <c r="F17086" s="15" t="n">
        <f aca="false">Sens!E17086+sh_iss-Sens!F17080/Sens!F17085</f>
        <v>7.472</v>
      </c>
      <c r="G17086" s="15" t="n">
        <f aca="false">Sens!F17086+sh_iss-Sens!G17080/Sens!G17085</f>
        <v>7.517</v>
      </c>
      <c r="H17086" s="15" t="n">
        <f aca="false">Sens!G17086+sh_iss-Sens!H17080/Sens!H17085</f>
        <v>7.562</v>
      </c>
      <c r="I17086" s="15" t="n">
        <f aca="false">Sens!H17086+sh_iss-Sens!I17080/Sens!I17085</f>
        <v>7.57496285005334</v>
      </c>
      <c r="J17086" s="15" t="n">
        <f aca="false">Sens!I17086+sh_iss-Sens!J17080/Sens!J17085</f>
        <v>7.59029882232494</v>
      </c>
      <c r="K17086" s="15" t="n">
        <f aca="false">Sens!J17086+sh_iss-Sens!K17080/Sens!K17085</f>
        <v>7.60783212998384</v>
      </c>
    </row>
    <row r="17087" customFormat="false" ht="15" hidden="false" customHeight="false" outlineLevel="0" collapsed="false">
      <c r="A17087" s="1" t="s">
        <v>1134</v>
      </c>
      <c r="B17087" s="1" t="s">
        <v>81</v>
      </c>
      <c r="E17087" s="15" t="n">
        <f aca="false">sh_dil26</f>
        <v>7.453</v>
      </c>
      <c r="F17087" s="15" t="n">
        <f aca="false">(Sens!E17086+Sens!F17086)/2+dil_gap</f>
        <v>7.4735</v>
      </c>
      <c r="G17087" s="15" t="n">
        <f aca="false">(Sens!F17086+Sens!G17086)/2+dil_gap</f>
        <v>7.5185</v>
      </c>
      <c r="H17087" s="15" t="n">
        <f aca="false">(Sens!G17086+Sens!H17086)/2+dil_gap</f>
        <v>7.5635</v>
      </c>
      <c r="I17087" s="15" t="n">
        <f aca="false">(Sens!H17086+Sens!I17086)/2+dil_gap</f>
        <v>7.59248142502667</v>
      </c>
      <c r="J17087" s="15" t="n">
        <f aca="false">(Sens!I17086+Sens!J17086)/2+dil_gap</f>
        <v>7.60663083618914</v>
      </c>
      <c r="K17087" s="15" t="n">
        <f aca="false">(Sens!J17086+Sens!K17086)/2+dil_gap</f>
        <v>7.62306547615439</v>
      </c>
    </row>
    <row r="17088" customFormat="false" ht="17.15" hidden="false" customHeight="false" outlineLevel="0" collapsed="false">
      <c r="A17088" s="1" t="s">
        <v>1135</v>
      </c>
      <c r="B17088" s="0" t="s">
        <v>98</v>
      </c>
      <c r="C17088" s="6" t="n">
        <f aca="false">SUM(Sens!F17078:J17078)</f>
        <v>137.882463313615</v>
      </c>
    </row>
    <row r="17089" customFormat="false" ht="15" hidden="false" customHeight="false" outlineLevel="0" collapsed="false">
      <c r="A17089" s="26" t="s">
        <v>1100</v>
      </c>
      <c r="B17089" s="31" t="s">
        <v>98</v>
      </c>
      <c r="C17089" s="27" t="n">
        <f aca="false">Sens!$C$17088-(Sens!F17078+Sens!G17078+Sens!H17078+Sens!I17078+Sens!J17078)</f>
        <v>0</v>
      </c>
      <c r="D17089" s="31"/>
      <c r="E17089" s="31"/>
      <c r="F17089" s="31"/>
      <c r="G17089" s="31"/>
      <c r="H17089" s="31"/>
      <c r="I17089" s="31"/>
      <c r="J17089" s="31"/>
      <c r="K17089" s="31"/>
    </row>
    <row r="17090" customFormat="false" ht="17.15" hidden="false" customHeight="false" outlineLevel="0" collapsed="false">
      <c r="A17090" s="1" t="s">
        <v>1094</v>
      </c>
      <c r="B17090" s="1" t="s">
        <v>1136</v>
      </c>
      <c r="C17090" s="33" t="str">
        <f aca="false">IF(SUM(Sens!F17081:J17081)&gt;0.05,"需要舉債 "&amp;TEXT(SUM(Sens!F17081:J17081),"0.0")&amp;" 十億美元","不需舉債")&amp;"；"&amp;IF(SUM(Sens!F17080:J17080)&lt;COUNT(Sens!F17080:J17080)*bb_target-0.05,"回購較每年 "&amp;TEXT(bb_target,"0.0")&amp;" 的目標少 "&amp;TEXT(COUNT(Sens!F17080:J17080)*bb_target-SUM(Sens!F17080:J17080),"0.0")&amp;" 十億美元（"&amp;TEXT(COUNTIF(Sens!F17080:J17080,"&lt;"&amp;(bb_target-0.05)),"0")&amp;" 年減少）","回購不減")</f>
        <v>需要舉債 26.6 十億美元；回購較每年 22.3 的目標少 66.8 十億美元（3 年減少）</v>
      </c>
    </row>
    <row r="17091" customFormat="false" ht="17.15" hidden="false" customHeight="false" outlineLevel="0" collapsed="false">
      <c r="A17091" s="3" t="s">
        <v>2033</v>
      </c>
    </row>
    <row r="17092" customFormat="false" ht="15" hidden="false" customHeight="false" outlineLevel="0" collapsed="false">
      <c r="A17092" s="4" t="s">
        <v>43</v>
      </c>
      <c r="B17092" s="4" t="s">
        <v>65</v>
      </c>
      <c r="C17092" s="23" t="s">
        <v>942</v>
      </c>
      <c r="D17092" s="23" t="s">
        <v>943</v>
      </c>
      <c r="E17092" s="23" t="s">
        <v>944</v>
      </c>
      <c r="F17092" s="23" t="s">
        <v>945</v>
      </c>
      <c r="G17092" s="23" t="s">
        <v>946</v>
      </c>
      <c r="H17092" s="23" t="s">
        <v>947</v>
      </c>
      <c r="I17092" s="23" t="s">
        <v>948</v>
      </c>
      <c r="J17092" s="23" t="s">
        <v>949</v>
      </c>
      <c r="K17092" s="23" t="s">
        <v>950</v>
      </c>
      <c r="L17092" s="4" t="s">
        <v>47</v>
      </c>
    </row>
    <row r="17093" customFormat="false" ht="17.15" hidden="false" customHeight="false" outlineLevel="0" collapsed="false">
      <c r="A17093" s="1" t="s">
        <v>1216</v>
      </c>
      <c r="B17093" s="1" t="s">
        <v>279</v>
      </c>
      <c r="F17093" s="8" t="n">
        <f aca="false">(1-v_off)*mid_yr</f>
        <v>0.373972602739726</v>
      </c>
      <c r="G17093" s="8" t="n">
        <f aca="false">Sens!G16943-base_fy-mid_yr-v_off</f>
        <v>1.24794520547945</v>
      </c>
      <c r="H17093" s="8" t="n">
        <f aca="false">Sens!H16943-base_fy-mid_yr-v_off</f>
        <v>2.24794520547945</v>
      </c>
      <c r="I17093" s="8" t="n">
        <f aca="false">Sens!I16943-base_fy-mid_yr-v_off</f>
        <v>3.24794520547945</v>
      </c>
      <c r="J17093" s="8" t="n">
        <f aca="false">Sens!J16943-base_fy-mid_yr-v_off</f>
        <v>4.24794520547945</v>
      </c>
      <c r="K17093" s="8" t="n">
        <f aca="false">Sens!K16943-base_fy-mid_yr-v_off</f>
        <v>5.24794520547945</v>
      </c>
      <c r="L17093" s="12" t="s">
        <v>1217</v>
      </c>
    </row>
    <row r="17094" customFormat="false" ht="15" hidden="false" customHeight="false" outlineLevel="0" collapsed="false">
      <c r="A17094" s="1" t="s">
        <v>1218</v>
      </c>
      <c r="B17094" s="1" t="s">
        <v>279</v>
      </c>
      <c r="F17094" s="8" t="n">
        <f aca="false">Sens!F16943-base_fy-v_off</f>
        <v>0.747945205479452</v>
      </c>
      <c r="G17094" s="8" t="n">
        <f aca="false">Sens!G16943-base_fy-v_off</f>
        <v>1.74794520547945</v>
      </c>
      <c r="H17094" s="8" t="n">
        <f aca="false">Sens!H16943-base_fy-v_off</f>
        <v>2.74794520547945</v>
      </c>
      <c r="I17094" s="8" t="n">
        <f aca="false">Sens!I16943-base_fy-v_off</f>
        <v>3.74794520547945</v>
      </c>
      <c r="J17094" s="8" t="n">
        <f aca="false">Sens!J16943-base_fy-v_off</f>
        <v>4.74794520547945</v>
      </c>
      <c r="K17094" s="8" t="n">
        <f aca="false">Sens!K16943-base_fy-v_off</f>
        <v>5.74794520547945</v>
      </c>
    </row>
    <row r="17095" customFormat="false" ht="15" hidden="false" customHeight="false" outlineLevel="0" collapsed="false">
      <c r="A17095" s="1" t="s">
        <v>1219</v>
      </c>
      <c r="B17095" s="0" t="s">
        <v>229</v>
      </c>
      <c r="F17095" s="15" t="n">
        <f aca="false">1/(1+wacc)^Sens!F17093</f>
        <v>0.964022703286649</v>
      </c>
      <c r="G17095" s="15" t="n">
        <f aca="false">1/(1+wacc)^Sens!G17093</f>
        <v>0.884910302296739</v>
      </c>
      <c r="H17095" s="15" t="n">
        <f aca="false">1/(1+wacc)^Sens!H17093</f>
        <v>0.802322009770358</v>
      </c>
      <c r="I17095" s="15" t="n">
        <f aca="false">1/(1+wacc)^Sens!I17093</f>
        <v>0.727441646561469</v>
      </c>
      <c r="J17095" s="15" t="n">
        <f aca="false">1/(1+wacc)^Sens!J17093</f>
        <v>0.659549834988973</v>
      </c>
      <c r="K17095" s="15" t="n">
        <f aca="false">1/(1+wacc)^Sens!K17093</f>
        <v>0.597994336576966</v>
      </c>
    </row>
    <row r="17096" customFormat="false" ht="17.15" hidden="false" customHeight="false" outlineLevel="0" collapsed="false">
      <c r="A17096" s="1" t="s">
        <v>1220</v>
      </c>
      <c r="B17096" s="0" t="s">
        <v>98</v>
      </c>
      <c r="F17096" s="6" t="n">
        <f aca="false">Q!$I$35-Q!$I$39-Q!$I$43</f>
        <v>9.666</v>
      </c>
      <c r="L17096" s="12" t="s">
        <v>1221</v>
      </c>
    </row>
    <row r="17097" customFormat="false" ht="17.15" hidden="false" customHeight="false" outlineLevel="0" collapsed="false">
      <c r="A17097" s="1" t="s">
        <v>1222</v>
      </c>
      <c r="B17097" s="0" t="s">
        <v>98</v>
      </c>
      <c r="F17097" s="6" t="n">
        <f aca="false">Sens!F17068-Sens!F17065-Sens!F17072+Sens!F17050*(1-tax_f)*(1-v_off)-Sens!F17096</f>
        <v>-9.09913858273222</v>
      </c>
      <c r="G17097" s="6" t="n">
        <f aca="false">Sens!G17068-Sens!G17065-Sens!G17072+Sens!G17050*(1-tax_f)</f>
        <v>14.8639694600732</v>
      </c>
      <c r="H17097" s="6" t="n">
        <f aca="false">Sens!H17068-Sens!H17065-Sens!H17072+Sens!H17050*(1-tax_f)</f>
        <v>51.6810980940908</v>
      </c>
      <c r="I17097" s="6" t="n">
        <f aca="false">Sens!I17068-Sens!I17065-Sens!I17072+Sens!I17050*(1-tax_f)</f>
        <v>123.587924341105</v>
      </c>
      <c r="J17097" s="6" t="n">
        <f aca="false">Sens!J17068-Sens!J17065-Sens!J17072+Sens!J17050*(1-tax_f)</f>
        <v>197.58741690501</v>
      </c>
      <c r="K17097" s="6" t="n">
        <f aca="false">Sens!K17068-Sens!K17065-Sens!K17072+Sens!K17050*(1-tax_f)</f>
        <v>233.093440001424</v>
      </c>
      <c r="L17097" s="1" t="s">
        <v>1223</v>
      </c>
    </row>
    <row r="17098" customFormat="false" ht="15" hidden="false" customHeight="false" outlineLevel="0" collapsed="false">
      <c r="A17098" s="1" t="s">
        <v>1224</v>
      </c>
      <c r="B17098" s="0" t="s">
        <v>98</v>
      </c>
      <c r="F17098" s="6" t="n">
        <f aca="false">Sens!F17097*Sens!F17095</f>
        <v>-8.77177617410536</v>
      </c>
      <c r="G17098" s="6" t="n">
        <f aca="false">Sens!G17097*Sens!G17095</f>
        <v>13.1532797082429</v>
      </c>
      <c r="H17098" s="6" t="n">
        <f aca="false">Sens!H17097*Sens!H17095</f>
        <v>41.46488248999</v>
      </c>
      <c r="I17098" s="6" t="n">
        <f aca="false">Sens!I17097*Sens!I17095</f>
        <v>89.9030031778077</v>
      </c>
      <c r="J17098" s="6" t="n">
        <f aca="false">Sens!J17097*Sens!J17095</f>
        <v>130.318748215597</v>
      </c>
      <c r="K17098" s="6" t="n">
        <f aca="false">Sens!K17097*Sens!K17095</f>
        <v>139.388557014094</v>
      </c>
    </row>
    <row r="17099" customFormat="false" ht="17.15" hidden="false" customHeight="false" outlineLevel="0" collapsed="false">
      <c r="A17099" s="1" t="s">
        <v>1225</v>
      </c>
      <c r="B17099" s="0" t="s">
        <v>98</v>
      </c>
      <c r="C17099" s="6" t="n">
        <f aca="false">SUM(Sens!F17098:K17098)</f>
        <v>405.456694431626</v>
      </c>
    </row>
    <row r="17100" customFormat="false" ht="17.15" hidden="false" customHeight="false" outlineLevel="0" collapsed="false">
      <c r="A17100" s="1" t="s">
        <v>1226</v>
      </c>
      <c r="B17100" s="0" t="s">
        <v>98</v>
      </c>
      <c r="C17100" s="6" t="n">
        <f aca="false">Sens!K17036*(1+g_tv)*(1-tax_f)</f>
        <v>242.516355283446</v>
      </c>
    </row>
    <row r="17101" customFormat="false" ht="17.15" hidden="false" customHeight="false" outlineLevel="0" collapsed="false">
      <c r="A17101" s="1" t="s">
        <v>1227</v>
      </c>
      <c r="B17101" s="0" t="s">
        <v>98</v>
      </c>
      <c r="C17101" s="6" t="n">
        <f aca="false">Sens!$C$17100*(1-g_tv/(wacc+ronic_prem))</f>
        <v>171.837011896714</v>
      </c>
    </row>
    <row r="17102" customFormat="false" ht="17.15" hidden="false" customHeight="false" outlineLevel="0" collapsed="false">
      <c r="A17102" s="1" t="s">
        <v>1228</v>
      </c>
      <c r="B17102" s="0" t="s">
        <v>98</v>
      </c>
      <c r="C17102" s="6" t="n">
        <f aca="false">Sens!$C$17101/(wacc-g_tv)</f>
        <v>2355.97811289104</v>
      </c>
    </row>
    <row r="17103" customFormat="false" ht="15" hidden="false" customHeight="false" outlineLevel="0" collapsed="false">
      <c r="A17103" s="1" t="s">
        <v>1229</v>
      </c>
      <c r="B17103" s="0" t="s">
        <v>98</v>
      </c>
      <c r="C17103" s="6" t="n">
        <f aca="false">Sens!$C$17102/(1+wacc)^Sens!K17094</f>
        <v>1341.50732974848</v>
      </c>
    </row>
    <row r="17104" customFormat="false" ht="17.15" hidden="false" customHeight="false" outlineLevel="0" collapsed="false">
      <c r="A17104" s="0" t="s">
        <v>1230</v>
      </c>
      <c r="B17104" s="0" t="s">
        <v>98</v>
      </c>
      <c r="C17104" s="6" t="n">
        <f aca="false">Sens!$C$17099+Sens!$C$17103</f>
        <v>1746.96402418011</v>
      </c>
    </row>
    <row r="17105" customFormat="false" ht="15" hidden="false" customHeight="false" outlineLevel="0" collapsed="false">
      <c r="A17105" s="1" t="s">
        <v>1145</v>
      </c>
      <c r="B17105" s="0" t="s">
        <v>168</v>
      </c>
      <c r="C17105" s="7" t="n">
        <f aca="false">Sens!$C$17103/Sens!$C$17104</f>
        <v>0.767907816749738</v>
      </c>
    </row>
    <row r="17106" customFormat="false" ht="17.15" hidden="false" customHeight="false" outlineLevel="0" collapsed="false">
      <c r="A17106" s="1" t="s">
        <v>1231</v>
      </c>
      <c r="B17106" s="0" t="s">
        <v>98</v>
      </c>
      <c r="C17106" s="6" t="n">
        <f aca="false">Sens!$C$17104+cash_val-debt_val-fl_val+oai_v</f>
        <v>1862.81502418011</v>
      </c>
    </row>
    <row r="17107" customFormat="false" ht="17.15" hidden="false" customHeight="false" outlineLevel="0" collapsed="false">
      <c r="A17107" s="0" t="s">
        <v>1153</v>
      </c>
      <c r="B17107" s="0" t="s">
        <v>75</v>
      </c>
      <c r="C17107" s="5" t="n">
        <f aca="false">Sens!$C$17106/shd_val</f>
        <v>250.176608135927</v>
      </c>
    </row>
    <row r="17108" customFormat="false" ht="15" hidden="false" customHeight="false" outlineLevel="0" collapsed="false">
      <c r="A17108" s="1" t="s">
        <v>1232</v>
      </c>
      <c r="B17108" s="0" t="s">
        <v>75</v>
      </c>
      <c r="C17108" s="8" t="n">
        <f aca="false">div_rem27+Sens!G17076*roll_div_q/q_per_yr</f>
        <v>3.9795</v>
      </c>
    </row>
    <row r="17109" customFormat="false" ht="17.15" hidden="false" customHeight="false" outlineLevel="0" collapsed="false">
      <c r="A17109" s="0" t="s">
        <v>1233</v>
      </c>
      <c r="B17109" s="0" t="s">
        <v>75</v>
      </c>
      <c r="C17109" s="5" t="n">
        <f aca="false">Sens!$C$17107*(1+wacc)^t_roll-Sens!$C$17108</f>
        <v>274.105762485669</v>
      </c>
    </row>
    <row r="17110" customFormat="false" ht="17.15" hidden="false" customHeight="false" outlineLevel="0" collapsed="false">
      <c r="A17110" s="1" t="s">
        <v>1234</v>
      </c>
      <c r="B17110" s="0" t="s">
        <v>168</v>
      </c>
      <c r="F17110" s="7" t="n">
        <f aca="false">Sens!F17062/(Sens!F17007-Sens!F16962)</f>
        <v>0.068677393452264</v>
      </c>
      <c r="G17110" s="7" t="n">
        <f aca="false">Sens!G17062/(Sens!G17007-Sens!G16962)</f>
        <v>0.0663132664471956</v>
      </c>
      <c r="H17110" s="7" t="n">
        <f aca="false">Sens!H17062/(Sens!H17007-Sens!H16962)</f>
        <v>0.0651363826734039</v>
      </c>
      <c r="I17110" s="7" t="n">
        <f aca="false">Sens!I17062/(Sens!I17007-Sens!I16962)</f>
        <v>0.0650087936347709</v>
      </c>
      <c r="J17110" s="7" t="n">
        <f aca="false">Sens!J17062/(Sens!J17007-Sens!J16962)</f>
        <v>0.0657212684841778</v>
      </c>
      <c r="K17110" s="7" t="n">
        <f aca="false">Sens!K17062/(Sens!K17007-Sens!K16962)</f>
        <v>0.0670413306015285</v>
      </c>
    </row>
    <row r="17111" customFormat="false" ht="17.15" hidden="false" customHeight="false" outlineLevel="0" collapsed="false">
      <c r="A17111" s="0" t="s">
        <v>1235</v>
      </c>
      <c r="B17111" s="0" t="s">
        <v>98</v>
      </c>
      <c r="F17111" s="6" t="n">
        <f aca="false">Sens!F16992*(al_m365+Sens!F17110+sbc_r)</f>
        <v>82.9185219618347</v>
      </c>
      <c r="G17111" s="6" t="n">
        <f aca="false">Sens!G16992*(al_m365+Sens!G17110+sbc_r)</f>
        <v>93.3068052157631</v>
      </c>
      <c r="H17111" s="6" t="n">
        <f aca="false">Sens!H16992*(al_m365+Sens!H17110+sbc_r)</f>
        <v>103.856057136159</v>
      </c>
      <c r="I17111" s="6" t="n">
        <f aca="false">Sens!I16992*(al_m365+Sens!I17110+sbc_r)</f>
        <v>113.889717587147</v>
      </c>
      <c r="J17111" s="6" t="n">
        <f aca="false">Sens!J16992*(al_m365+Sens!J17110+sbc_r)</f>
        <v>123.218477864124</v>
      </c>
      <c r="K17111" s="6" t="n">
        <f aca="false">Sens!K16992*(al_m365+Sens!K17110+sbc_r)</f>
        <v>132.149420086311</v>
      </c>
      <c r="L17111" s="12" t="s">
        <v>1236</v>
      </c>
    </row>
    <row r="17112" customFormat="false" ht="17.15" hidden="false" customHeight="false" outlineLevel="0" collapsed="false">
      <c r="A17112" s="0" t="s">
        <v>1237</v>
      </c>
      <c r="B17112" s="0" t="s">
        <v>98</v>
      </c>
      <c r="F17112" s="6" t="n">
        <f aca="false">Sens!F16993*(al_lic+Sens!F17110+sbc_r)</f>
        <v>32.8599853992256</v>
      </c>
      <c r="G17112" s="6" t="n">
        <f aca="false">Sens!G16993*(al_lic+Sens!G17110+sbc_r)</f>
        <v>34.1568280697879</v>
      </c>
      <c r="H17112" s="6" t="n">
        <f aca="false">Sens!H16993*(al_lic+Sens!H17110+sbc_r)</f>
        <v>35.3635535007213</v>
      </c>
      <c r="I17112" s="6" t="n">
        <f aca="false">Sens!I16993*(al_lic+Sens!I17110+sbc_r)</f>
        <v>36.4604537346553</v>
      </c>
      <c r="J17112" s="6" t="n">
        <f aca="false">Sens!J16993*(al_lic+Sens!J17110+sbc_r)</f>
        <v>37.4245888933574</v>
      </c>
      <c r="K17112" s="6" t="n">
        <f aca="false">Sens!K16993*(al_lic+Sens!K17110+sbc_r)</f>
        <v>38.2321483186439</v>
      </c>
    </row>
    <row r="17113" customFormat="false" ht="17.15" hidden="false" customHeight="false" outlineLevel="0" collapsed="false">
      <c r="A17113" s="0" t="s">
        <v>1238</v>
      </c>
      <c r="B17113" s="0" t="s">
        <v>98</v>
      </c>
      <c r="F17113" s="6" t="n">
        <f aca="false">Sens!F16995*(al_ind+Sens!F17110+sbc_r)</f>
        <v>9.06170747885803</v>
      </c>
      <c r="G17113" s="6" t="n">
        <f aca="false">Sens!G16995*(al_ind+Sens!G17110+sbc_r)</f>
        <v>9.8478979082138</v>
      </c>
      <c r="H17113" s="6" t="n">
        <f aca="false">Sens!H16995*(al_ind+Sens!H17110+sbc_r)</f>
        <v>10.6768254332059</v>
      </c>
      <c r="I17113" s="6" t="n">
        <f aca="false">Sens!I16995*(al_ind+Sens!I17110+sbc_r)</f>
        <v>11.54398793803</v>
      </c>
      <c r="J17113" s="6" t="n">
        <f aca="false">Sens!J16995*(al_ind+Sens!J17110+sbc_r)</f>
        <v>12.4407914253112</v>
      </c>
      <c r="K17113" s="6" t="n">
        <f aca="false">Sens!K16995*(al_ind+Sens!K17110+sbc_r)</f>
        <v>13.355239066864</v>
      </c>
    </row>
    <row r="17114" customFormat="false" ht="17.15" hidden="false" customHeight="false" outlineLevel="0" collapsed="false">
      <c r="A17114" s="0" t="s">
        <v>1239</v>
      </c>
      <c r="B17114" s="0" t="s">
        <v>98</v>
      </c>
      <c r="F17114" s="6" t="n">
        <f aca="false">Sens!F16997*(al_fro+Sens!F17110+sbc_r)</f>
        <v>3.55453569939552</v>
      </c>
      <c r="G17114" s="6" t="n">
        <f aca="false">Sens!G16997*(al_fro+Sens!G17110+sbc_r)</f>
        <v>3.76809436159872</v>
      </c>
      <c r="H17114" s="6" t="n">
        <f aca="false">Sens!H16997*(al_fro+Sens!H17110+sbc_r)</f>
        <v>4.00964905674607</v>
      </c>
      <c r="I17114" s="6" t="n">
        <f aca="false">Sens!I16997*(al_fro+Sens!I17110+sbc_r)</f>
        <v>4.28152633145235</v>
      </c>
      <c r="J17114" s="6" t="n">
        <f aca="false">Sens!J16997*(al_fro+Sens!J17110+sbc_r)</f>
        <v>4.58536512975975</v>
      </c>
      <c r="K17114" s="6" t="n">
        <f aca="false">Sens!K16997*(al_fro+Sens!K17110+sbc_r)</f>
        <v>4.92240770086468</v>
      </c>
    </row>
    <row r="17115" customFormat="false" ht="17.15" hidden="false" customHeight="false" outlineLevel="0" collapsed="false">
      <c r="A17115" s="0" t="s">
        <v>1240</v>
      </c>
      <c r="B17115" s="0" t="s">
        <v>98</v>
      </c>
      <c r="F17115" s="6" t="n">
        <f aca="false">Sens!F17000*(al_srch+Sens!F17110+sbc_r)</f>
        <v>11.190683952584</v>
      </c>
      <c r="G17115" s="6" t="n">
        <f aca="false">Sens!G17000*(al_srch+Sens!G17110+sbc_r)</f>
        <v>12.2763328717258</v>
      </c>
      <c r="H17115" s="6" t="n">
        <f aca="false">Sens!H17000*(al_srch+Sens!H17110+sbc_r)</f>
        <v>13.4043563346576</v>
      </c>
      <c r="I17115" s="6" t="n">
        <f aca="false">Sens!I17000*(al_srch+Sens!I17110+sbc_r)</f>
        <v>14.5621512181916</v>
      </c>
      <c r="J17115" s="6" t="n">
        <f aca="false">Sens!J17000*(al_srch+Sens!J17110+sbc_r)</f>
        <v>15.7310381862385</v>
      </c>
      <c r="K17115" s="6" t="n">
        <f aca="false">Sens!K17000*(al_srch+Sens!K17110+sbc_r)</f>
        <v>16.8873320486462</v>
      </c>
    </row>
    <row r="17116" customFormat="false" ht="17.15" hidden="false" customHeight="false" outlineLevel="0" collapsed="false">
      <c r="A17116" s="0" t="s">
        <v>1241</v>
      </c>
      <c r="B17116" s="0" t="s">
        <v>98</v>
      </c>
      <c r="F17116" s="6" t="n">
        <f aca="false">Sens!F16968-Sens!F16969+Sens!F17050</f>
        <v>33.9620706395347</v>
      </c>
      <c r="G17116" s="6" t="n">
        <f aca="false">Sens!G16968-Sens!G16969+Sens!G17050</f>
        <v>64.284943423168</v>
      </c>
      <c r="H17116" s="6" t="n">
        <f aca="false">Sens!H16968-Sens!H16969+Sens!H17050</f>
        <v>91.512399750524</v>
      </c>
      <c r="I17116" s="6" t="n">
        <f aca="false">Sens!I16968-Sens!I16969+Sens!I17050</f>
        <v>122.262459472589</v>
      </c>
      <c r="J17116" s="6" t="n">
        <f aca="false">Sens!J16968-Sens!J16969+Sens!J17050</f>
        <v>143.844568987944</v>
      </c>
      <c r="K17116" s="6" t="n">
        <f aca="false">Sens!K16968-Sens!K16969+Sens!K17050</f>
        <v>157.170473198739</v>
      </c>
    </row>
    <row r="17117" customFormat="false" ht="17.15" hidden="false" customHeight="false" outlineLevel="0" collapsed="false">
      <c r="A17117" s="0" t="s">
        <v>1242</v>
      </c>
      <c r="B17117" s="0" t="s">
        <v>98</v>
      </c>
      <c r="F17117" s="6" t="n">
        <f aca="false">Sens!F17029+Sens!F17050+Sens!F16980+Sens!F17110*(Sens!F16999-Sens!F16962)+sbc_r*Sens!F16999</f>
        <v>229.792150941903</v>
      </c>
      <c r="G17117" s="6" t="n">
        <f aca="false">Sens!G17029+Sens!G17050+Sens!G16980+Sens!G17110*(Sens!G16999-Sens!G16962)+sbc_r*Sens!G16999</f>
        <v>280.318498356669</v>
      </c>
      <c r="H17117" s="6" t="n">
        <f aca="false">Sens!H17029+Sens!H17050+Sens!H16980+Sens!H17110*(Sens!H16999-Sens!H16962)+sbc_r*Sens!H16999</f>
        <v>332.956258364244</v>
      </c>
      <c r="I17117" s="6" t="n">
        <f aca="false">Sens!I17029+Sens!I17050+Sens!I16980+Sens!I17110*(Sens!I16999-Sens!I16962)+sbc_r*Sens!I16999</f>
        <v>388.495422233125</v>
      </c>
      <c r="J17117" s="6" t="n">
        <f aca="false">Sens!J17029+Sens!J17050+Sens!J16980+Sens!J17110*(Sens!J16999-Sens!J16962)+sbc_r*Sens!J16999</f>
        <v>432.942847812793</v>
      </c>
      <c r="K17117" s="6" t="n">
        <f aca="false">Sens!K17029+Sens!K17050+Sens!K16980+Sens!K17110*(Sens!K16999-Sens!K16962)+sbc_r*Sens!K16999</f>
        <v>466.791526922041</v>
      </c>
    </row>
    <row r="17118" customFormat="false" ht="17.15" hidden="false" customHeight="false" outlineLevel="0" collapsed="false">
      <c r="A17118" s="0" t="s">
        <v>1243</v>
      </c>
      <c r="B17118" s="0" t="s">
        <v>98</v>
      </c>
      <c r="F17118" s="6" t="n">
        <f aca="false">Sens!F17117-Sens!F17111-Sens!F17112-Sens!F17113-Sens!F17114-Sens!F17116</f>
        <v>67.4353297630543</v>
      </c>
      <c r="G17118" s="6" t="n">
        <f aca="false">Sens!G17117-Sens!G17111-Sens!G17112-Sens!G17113-Sens!G17114-Sens!G17116</f>
        <v>74.9539293781376</v>
      </c>
      <c r="H17118" s="6" t="n">
        <f aca="false">Sens!H17117-Sens!H17111-Sens!H17112-Sens!H17113-Sens!H17114-Sens!H17116</f>
        <v>87.537773486888</v>
      </c>
      <c r="I17118" s="6" t="n">
        <f aca="false">Sens!I17117-Sens!I17111-Sens!I17112-Sens!I17113-Sens!I17114-Sens!I17116</f>
        <v>100.057277169252</v>
      </c>
      <c r="J17118" s="6" t="n">
        <f aca="false">Sens!J17117-Sens!J17111-Sens!J17112-Sens!J17113-Sens!J17114-Sens!J17116</f>
        <v>111.429055512297</v>
      </c>
      <c r="K17118" s="6" t="n">
        <f aca="false">Sens!K17117-Sens!K17111-Sens!K17112-Sens!K17113-Sens!K17114-Sens!K17116</f>
        <v>120.961838550618</v>
      </c>
    </row>
    <row r="17119" customFormat="false" ht="17.15" hidden="false" customHeight="false" outlineLevel="0" collapsed="false">
      <c r="A17119" s="0" t="s">
        <v>1244</v>
      </c>
      <c r="B17119" s="0" t="s">
        <v>98</v>
      </c>
      <c r="F17119" s="6" t="n">
        <f aca="false">Sens!F17031+Sens!F17110*Sens!F17006+sbc_r*Sens!F17006</f>
        <v>26.6373549789235</v>
      </c>
      <c r="G17119" s="6" t="n">
        <f aca="false">Sens!G17031+Sens!G17110*Sens!G17006+sbc_r*Sens!G17006</f>
        <v>26.5038922765853</v>
      </c>
      <c r="H17119" s="6" t="n">
        <f aca="false">Sens!H17031+Sens!H17110*Sens!H17006+sbc_r*Sens!H17006</f>
        <v>27.3981100014792</v>
      </c>
      <c r="I17119" s="6" t="n">
        <f aca="false">Sens!I17031+Sens!I17110*Sens!I17006+sbc_r*Sens!I17006</f>
        <v>28.5176442589239</v>
      </c>
      <c r="J17119" s="6" t="n">
        <f aca="false">Sens!J17031+Sens!J17110*Sens!J17006+sbc_r*Sens!J17006</f>
        <v>29.8313998963726</v>
      </c>
      <c r="K17119" s="6" t="n">
        <f aca="false">Sens!K17031+Sens!K17110*Sens!K17006+sbc_r*Sens!K17006</f>
        <v>31.3103466222307</v>
      </c>
    </row>
    <row r="17120" customFormat="false" ht="17.15" hidden="false" customHeight="false" outlineLevel="0" collapsed="false">
      <c r="A17120" s="0" t="s">
        <v>1245</v>
      </c>
      <c r="B17120" s="0" t="s">
        <v>98</v>
      </c>
      <c r="F17120" s="6" t="n">
        <f aca="false">(Sens!F17119-Sens!F17115)*Sens!F17002/(Sens!F17002+Sens!F17004)</f>
        <v>8.72405610479892</v>
      </c>
      <c r="G17120" s="6" t="n">
        <f aca="false">(Sens!G17119-Sens!G17115)*Sens!G17002/(Sens!G17002+Sens!G17004)</f>
        <v>7.897418765869</v>
      </c>
      <c r="H17120" s="6" t="n">
        <f aca="false">(Sens!H17119-Sens!H17115)*Sens!H17002/(Sens!H17002+Sens!H17004)</f>
        <v>7.66644879573063</v>
      </c>
      <c r="I17120" s="6" t="n">
        <f aca="false">(Sens!I17119-Sens!I17115)*Sens!I17002/(Sens!I17002+Sens!I17004)</f>
        <v>7.5787545031814</v>
      </c>
      <c r="J17120" s="6" t="n">
        <f aca="false">(Sens!J17119-Sens!J17115)*Sens!J17002/(Sens!J17002+Sens!J17004)</f>
        <v>7.62401876450459</v>
      </c>
      <c r="K17120" s="6" t="n">
        <f aca="false">(Sens!K17119-Sens!K17115)*Sens!K17002/(Sens!K17002+Sens!K17004)</f>
        <v>7.79847609658838</v>
      </c>
    </row>
    <row r="17121" customFormat="false" ht="17.15" hidden="false" customHeight="false" outlineLevel="0" collapsed="false">
      <c r="A17121" s="0" t="s">
        <v>1246</v>
      </c>
      <c r="B17121" s="0" t="s">
        <v>98</v>
      </c>
      <c r="F17121" s="6" t="n">
        <f aca="false">Sens!F17119-Sens!F17115-Sens!F17120</f>
        <v>6.72261492154066</v>
      </c>
      <c r="G17121" s="6" t="n">
        <f aca="false">Sens!G17119-Sens!G17115-Sens!G17120</f>
        <v>6.33014063899044</v>
      </c>
      <c r="H17121" s="6" t="n">
        <f aca="false">Sens!H17119-Sens!H17115-Sens!H17120</f>
        <v>6.32730487109095</v>
      </c>
      <c r="I17121" s="6" t="n">
        <f aca="false">Sens!I17119-Sens!I17115-Sens!I17120</f>
        <v>6.37673853755084</v>
      </c>
      <c r="J17121" s="6" t="n">
        <f aca="false">Sens!J17119-Sens!J17115-Sens!J17120</f>
        <v>6.47634294562954</v>
      </c>
      <c r="K17121" s="6" t="n">
        <f aca="false">Sens!K17119-Sens!K17115-Sens!K17120</f>
        <v>6.62453847699607</v>
      </c>
    </row>
    <row r="17122" customFormat="false" ht="17.15" hidden="false" customHeight="false" outlineLevel="0" collapsed="false">
      <c r="A17122" s="0" t="s">
        <v>1247</v>
      </c>
      <c r="B17122" s="0" t="s">
        <v>98</v>
      </c>
      <c r="F17122" s="6" t="n">
        <f aca="false">Sens!F17116-tax_f*(Sens!F17116-Sens!F16980)-Sens!F16977</f>
        <v>-134.368384634821</v>
      </c>
      <c r="G17122" s="6" t="n">
        <f aca="false">Sens!G17116-tax_f*(Sens!G17116-Sens!G16980)-Sens!G16977</f>
        <v>-128.369622780054</v>
      </c>
      <c r="H17122" s="6" t="n">
        <f aca="false">Sens!H17116-tax_f*(Sens!H17116-Sens!H16980)-Sens!H16977</f>
        <v>-105.776066131804</v>
      </c>
      <c r="I17122" s="6" t="n">
        <f aca="false">Sens!I17116-tax_f*(Sens!I17116-Sens!I16980)-Sens!I16977</f>
        <v>-47.9586641046296</v>
      </c>
      <c r="J17122" s="6" t="n">
        <f aca="false">Sens!J17116-tax_f*(Sens!J17116-Sens!J16980)-Sens!J16977</f>
        <v>12.5488586043336</v>
      </c>
      <c r="K17122" s="6" t="n">
        <f aca="false">Sens!K17116-tax_f*(Sens!K17116-Sens!K16980)-Sens!K16977</f>
        <v>35.3760594044456</v>
      </c>
    </row>
    <row r="17123" customFormat="false" ht="17.15" hidden="false" customHeight="false" outlineLevel="0" collapsed="false">
      <c r="A17123" s="0" t="s">
        <v>1248</v>
      </c>
      <c r="B17123" s="0" t="s">
        <v>98</v>
      </c>
      <c r="G17123" s="6" t="n">
        <f aca="false">Sens!G17122/(1+wacc)^(Sens!G17093-Sens!F17094)</f>
        <v>-122.232583891562</v>
      </c>
      <c r="H17123" s="6" t="n">
        <f aca="false">Sens!H17122/(1+wacc)^(Sens!H17093-Sens!F17094)</f>
        <v>-91.3190939203515</v>
      </c>
      <c r="I17123" s="6" t="n">
        <f aca="false">Sens!I17122/(1+wacc)^(Sens!I17093-Sens!F17094)</f>
        <v>-37.539692819892</v>
      </c>
      <c r="J17123" s="6" t="n">
        <f aca="false">Sens!J17122/(1+wacc)^(Sens!J17093-Sens!F17094)</f>
        <v>8.90588982321295</v>
      </c>
      <c r="K17123" s="6" t="n">
        <f aca="false">Sens!K17122/(1+wacc)^(Sens!K17093-Sens!F17094)</f>
        <v>22.7631312049104</v>
      </c>
      <c r="L17123" s="1" t="s">
        <v>1249</v>
      </c>
    </row>
    <row r="17124" customFormat="false" ht="17.15" hidden="false" customHeight="false" outlineLevel="0" collapsed="false">
      <c r="A17124" s="0" t="s">
        <v>1250</v>
      </c>
      <c r="B17124" s="0" t="s">
        <v>98</v>
      </c>
      <c r="C17124" s="6" t="n">
        <f aca="false">(Sens!K17116-Sens!K16980)*(1-tax_f)*(1+g_tv)*(1-g_tv/(wacc+ronic_prem))/(wacc-g_tv)/(1+wacc)^(Sens!K17094-Sens!F17094)</f>
        <v>69.4385414531269</v>
      </c>
    </row>
    <row r="17125" customFormat="false" ht="17.15" hidden="false" customHeight="false" outlineLevel="0" collapsed="false">
      <c r="A17125" s="1" t="s">
        <v>1251</v>
      </c>
      <c r="B17125" s="0" t="s">
        <v>98</v>
      </c>
      <c r="C17125" s="6" t="n">
        <f aca="false">(SUM(Sens!G17123:K17123)+Sens!$C$17124)*(1+wacc)^(t_roll-Sens!F17094)</f>
        <v>-154.935227242307</v>
      </c>
      <c r="L17125" s="12" t="s">
        <v>1252</v>
      </c>
    </row>
    <row r="17126" customFormat="false" ht="17.15" hidden="false" customHeight="false" outlineLevel="0" collapsed="false">
      <c r="A17126" s="1" t="s">
        <v>1253</v>
      </c>
      <c r="B17126" s="0" t="s">
        <v>98</v>
      </c>
      <c r="C17126" s="6" t="n">
        <f aca="false">(w_ntm28*Sens!G16968+(1-w_ntm28)*Sens!H16968)*m_ai</f>
        <v>344.355829012336</v>
      </c>
    </row>
    <row r="17127" customFormat="false" ht="17.15" hidden="false" customHeight="false" outlineLevel="0" collapsed="false">
      <c r="A17127" s="1" t="s">
        <v>1254</v>
      </c>
      <c r="B17127" s="0" t="s">
        <v>98</v>
      </c>
      <c r="C17127" s="6" t="n">
        <f aca="false">(w_ntm28*Sens!G17118+(1-w_ntm28)*Sens!H17118)*m_cloud</f>
        <v>1093.03877543039</v>
      </c>
    </row>
    <row r="17128" customFormat="false" ht="17.15" hidden="false" customHeight="false" outlineLevel="0" collapsed="false">
      <c r="A17128" s="1" t="s">
        <v>1255</v>
      </c>
      <c r="B17128" s="0" t="s">
        <v>98</v>
      </c>
      <c r="C17128" s="6" t="n">
        <f aca="false">(w_ntm28*Sens!G17111+(1-w_ntm28)*Sens!H17111)*m_sw</f>
        <v>1045.17056616266</v>
      </c>
    </row>
    <row r="17129" customFormat="false" ht="17.15" hidden="false" customHeight="false" outlineLevel="0" collapsed="false">
      <c r="A17129" s="1" t="s">
        <v>1256</v>
      </c>
      <c r="B17129" s="0" t="s">
        <v>98</v>
      </c>
      <c r="C17129" s="6" t="n">
        <f aca="false">(w_ntm28*Sens!G17112+(1-w_ntm28)*Sens!H17112)*m_sw</f>
        <v>373.178444957791</v>
      </c>
    </row>
    <row r="17130" customFormat="false" ht="17.15" hidden="false" customHeight="false" outlineLevel="0" collapsed="false">
      <c r="A17130" s="1" t="s">
        <v>1257</v>
      </c>
      <c r="B17130" s="0" t="s">
        <v>98</v>
      </c>
      <c r="C17130" s="6" t="n">
        <f aca="false">(w_ntm28*Sens!G17113+(1-w_ntm28)*Sens!H17113)*m_sw</f>
        <v>109.30055788101</v>
      </c>
    </row>
    <row r="17131" customFormat="false" ht="17.15" hidden="false" customHeight="false" outlineLevel="0" collapsed="false">
      <c r="A17131" s="1" t="s">
        <v>1258</v>
      </c>
      <c r="B17131" s="0" t="s">
        <v>98</v>
      </c>
      <c r="C17131" s="6" t="n">
        <f aca="false">(w_ntm28*Sens!G17114+(1-w_ntm28)*Sens!H17114)*m_sw</f>
        <v>41.5531037214606</v>
      </c>
    </row>
    <row r="17132" customFormat="false" ht="17.15" hidden="false" customHeight="false" outlineLevel="0" collapsed="false">
      <c r="A17132" s="1" t="s">
        <v>1259</v>
      </c>
      <c r="B17132" s="0" t="s">
        <v>98</v>
      </c>
      <c r="C17132" s="6" t="n">
        <f aca="false">(w_ntm28*Sens!G17115+(1-w_ntm28)*Sens!H17115)*m_ads</f>
        <v>115.215899994784</v>
      </c>
    </row>
    <row r="17133" customFormat="false" ht="17.15" hidden="false" customHeight="false" outlineLevel="0" collapsed="false">
      <c r="A17133" s="1" t="s">
        <v>1260</v>
      </c>
      <c r="B17133" s="0" t="s">
        <v>98</v>
      </c>
      <c r="C17133" s="6" t="n">
        <f aca="false">(w_ntm28*Sens!G17120+(1-w_ntm28)*Sens!H17120)*m_game</f>
        <v>98.7853357615783</v>
      </c>
    </row>
    <row r="17134" customFormat="false" ht="17.15" hidden="false" customHeight="false" outlineLevel="0" collapsed="false">
      <c r="A17134" s="1" t="s">
        <v>1261</v>
      </c>
      <c r="B17134" s="0" t="s">
        <v>98</v>
      </c>
      <c r="C17134" s="6" t="n">
        <f aca="false">(w_ntm28*Sens!G17121+(1-w_ntm28)*Sens!H17121)*m_pc</f>
        <v>91.5836445602173</v>
      </c>
    </row>
    <row r="17135" customFormat="false" ht="17.15" hidden="false" customHeight="false" outlineLevel="0" collapsed="false">
      <c r="A17135" s="1" t="s">
        <v>1262</v>
      </c>
      <c r="B17135" s="0" t="s">
        <v>98</v>
      </c>
      <c r="C17135" s="6" t="n">
        <f aca="false">Sens!$C$17125+Sens!$C$17127+Sens!$C$17128+Sens!$C$17129+Sens!$C$17130+Sens!$C$17131+Sens!$C$17132+Sens!$C$17133+Sens!$C$17134</f>
        <v>2812.89110122758</v>
      </c>
    </row>
    <row r="17136" customFormat="false" ht="17.15" hidden="false" customHeight="false" outlineLevel="0" collapsed="false">
      <c r="A17136" s="1" t="s">
        <v>1263</v>
      </c>
      <c r="B17136" s="0" t="s">
        <v>98</v>
      </c>
      <c r="C17136" s="6" t="n">
        <f aca="false">(Sens!G17097-Sens!G17122)*t_stub</f>
        <v>47.4829168796038</v>
      </c>
      <c r="L17136" s="1" t="s">
        <v>1264</v>
      </c>
    </row>
    <row r="17137" customFormat="false" ht="17.15" hidden="false" customHeight="false" outlineLevel="0" collapsed="false">
      <c r="A17137" s="1" t="s">
        <v>1173</v>
      </c>
      <c r="B17137" s="0" t="s">
        <v>98</v>
      </c>
      <c r="C17137" s="6" t="n">
        <f aca="false">Sens!F17084+oai_v-Sens!F17073+Sens!$C$17136</f>
        <v>158.55427008544</v>
      </c>
      <c r="L17137" s="1" t="s">
        <v>1265</v>
      </c>
    </row>
    <row r="17138" customFormat="false" ht="17.15" hidden="false" customHeight="false" outlineLevel="0" collapsed="false">
      <c r="A17138" s="1" t="s">
        <v>1266</v>
      </c>
      <c r="B17138" s="0" t="s">
        <v>75</v>
      </c>
      <c r="C17138" s="5" t="n">
        <f aca="false">(Sens!$C$17135+Sens!$C$17137)/(Sens!F17086+dil_gap)-Sens!G17076*roll_div_q/q_per_yr</f>
        <v>395.364631711982</v>
      </c>
      <c r="L17138" s="1" t="s">
        <v>1267</v>
      </c>
    </row>
    <row r="17139" customFormat="false" ht="17.15" hidden="false" customHeight="false" outlineLevel="0" collapsed="false">
      <c r="A17139" s="1" t="s">
        <v>1268</v>
      </c>
      <c r="B17139" s="0" t="s">
        <v>75</v>
      </c>
      <c r="C17139" s="5" t="n">
        <f aca="false">w_dcf*Sens!$C$17109+(1-w_dcf)*Sens!$C$17138</f>
        <v>334.735197098826</v>
      </c>
    </row>
    <row r="17140" customFormat="false" ht="17.15" hidden="false" customHeight="false" outlineLevel="0" collapsed="false">
      <c r="A17140" s="3" t="s">
        <v>2034</v>
      </c>
    </row>
    <row r="17141" customFormat="false" ht="15" hidden="false" customHeight="false" outlineLevel="0" collapsed="false">
      <c r="A17141" s="4" t="s">
        <v>43</v>
      </c>
      <c r="B17141" s="4" t="s">
        <v>65</v>
      </c>
      <c r="C17141" s="23" t="s">
        <v>942</v>
      </c>
      <c r="D17141" s="23" t="s">
        <v>943</v>
      </c>
      <c r="E17141" s="23" t="s">
        <v>944</v>
      </c>
      <c r="F17141" s="23" t="s">
        <v>945</v>
      </c>
      <c r="G17141" s="23" t="s">
        <v>946</v>
      </c>
      <c r="H17141" s="23" t="s">
        <v>947</v>
      </c>
      <c r="I17141" s="23" t="s">
        <v>948</v>
      </c>
      <c r="J17141" s="23" t="s">
        <v>949</v>
      </c>
      <c r="K17141" s="23" t="s">
        <v>950</v>
      </c>
      <c r="L17141" s="4" t="s">
        <v>47</v>
      </c>
    </row>
    <row r="17142" customFormat="false" ht="17.15" hidden="false" customHeight="false" outlineLevel="0" collapsed="false">
      <c r="A17142" s="1" t="s">
        <v>951</v>
      </c>
      <c r="B17142" s="1" t="s">
        <v>279</v>
      </c>
      <c r="C17142" s="21" t="n">
        <v>2024</v>
      </c>
      <c r="D17142" s="21" t="n">
        <v>2025</v>
      </c>
      <c r="E17142" s="21" t="n">
        <v>2026</v>
      </c>
      <c r="F17142" s="21" t="n">
        <v>2027</v>
      </c>
      <c r="G17142" s="21" t="n">
        <v>2028</v>
      </c>
      <c r="H17142" s="21" t="n">
        <v>2029</v>
      </c>
      <c r="I17142" s="21" t="n">
        <v>2030</v>
      </c>
      <c r="J17142" s="21" t="n">
        <v>2031</v>
      </c>
      <c r="K17142" s="21" t="n">
        <v>2032</v>
      </c>
    </row>
    <row r="17143" customFormat="false" ht="17.15" hidden="false" customHeight="false" outlineLevel="0" collapsed="false">
      <c r="A17143" s="1" t="s">
        <v>952</v>
      </c>
      <c r="B17143" s="0" t="s">
        <v>459</v>
      </c>
      <c r="F17143" s="30" t="n">
        <f aca="false">pace</f>
        <v>2726.5351</v>
      </c>
      <c r="G17143" s="30" t="n">
        <f aca="false">pace</f>
        <v>2726.5351</v>
      </c>
      <c r="H17143" s="30" t="n">
        <f aca="false">pace</f>
        <v>2726.5351</v>
      </c>
      <c r="I17143" s="30" t="n">
        <f aca="false">pace+(g_tv*Sens!H17144-pace)*MIN(1,(Sens!I17142-pace_y0)/(pace_y1-pace_y0))</f>
        <v>1931.98611966667</v>
      </c>
      <c r="J17143" s="30" t="n">
        <f aca="false">pace+(g_tv*Sens!I17144-pace)*MIN(1,(Sens!J17142-pace_y0)/(pace_y1-pace_y0))</f>
        <v>1176.07686172667</v>
      </c>
      <c r="K17143" s="30" t="n">
        <f aca="false">pace+(g_tv*Sens!J17144-pace)*MIN(1,(Sens!K17142-pace_y0)/(pace_y1-pace_y0))</f>
        <v>436.1300484418</v>
      </c>
      <c r="L17143" s="12" t="s">
        <v>953</v>
      </c>
    </row>
    <row r="17144" customFormat="false" ht="17.15" hidden="false" customHeight="false" outlineLevel="0" collapsed="false">
      <c r="A17144" s="1" t="s">
        <v>954</v>
      </c>
      <c r="B17144" s="0" t="s">
        <v>459</v>
      </c>
      <c r="C17144" s="30" t="n">
        <f aca="false">mw_ext_24</f>
        <v>640</v>
      </c>
      <c r="D17144" s="30" t="n">
        <f aca="false">mw_ext_25</f>
        <v>1630</v>
      </c>
      <c r="E17144" s="30" t="n">
        <f aca="false">mw_ext_26</f>
        <v>3250</v>
      </c>
      <c r="F17144" s="30" t="n">
        <f aca="false">Sens!E17144+Sens!F17143</f>
        <v>5976.5351</v>
      </c>
      <c r="G17144" s="30" t="n">
        <f aca="false">Sens!F17144+Sens!G17143</f>
        <v>8703.0702</v>
      </c>
      <c r="H17144" s="30" t="n">
        <f aca="false">Sens!G17144+Sens!H17143</f>
        <v>11429.6053</v>
      </c>
      <c r="I17144" s="30" t="n">
        <f aca="false">Sens!H17144+Sens!I17143</f>
        <v>13361.5914196667</v>
      </c>
      <c r="J17144" s="30" t="n">
        <f aca="false">Sens!I17144+Sens!J17143</f>
        <v>14537.6682813933</v>
      </c>
      <c r="K17144" s="30" t="n">
        <f aca="false">Sens!J17144+Sens!K17143</f>
        <v>14973.7983298351</v>
      </c>
      <c r="L17144" s="1" t="s">
        <v>955</v>
      </c>
    </row>
    <row r="17145" customFormat="false" ht="17.15" hidden="false" customHeight="false" outlineLevel="0" collapsed="false">
      <c r="A17145" s="1" t="s">
        <v>956</v>
      </c>
      <c r="B17145" s="0" t="s">
        <v>459</v>
      </c>
      <c r="C17145" s="30" t="n">
        <f aca="false">rent_ext_24</f>
        <v>150</v>
      </c>
      <c r="D17145" s="30" t="n">
        <f aca="false">rent_ext_25</f>
        <v>400</v>
      </c>
      <c r="E17145" s="30" t="n">
        <f aca="false">rent_ext_26</f>
        <v>550</v>
      </c>
      <c r="F17145" s="30" t="n">
        <f aca="false">rent_ext_f</f>
        <v>756</v>
      </c>
      <c r="G17145" s="30" t="n">
        <f aca="false">rent_ext_f</f>
        <v>756</v>
      </c>
      <c r="H17145" s="30" t="n">
        <f aca="false">rent_ext_f</f>
        <v>756</v>
      </c>
      <c r="I17145" s="30" t="n">
        <f aca="false">rent_ext_f</f>
        <v>756</v>
      </c>
      <c r="J17145" s="30" t="n">
        <f aca="false">rent_ext_f</f>
        <v>756</v>
      </c>
      <c r="K17145" s="30" t="n">
        <f aca="false">rent_ext_f</f>
        <v>756</v>
      </c>
      <c r="L17145" s="1" t="s">
        <v>957</v>
      </c>
    </row>
    <row r="17146" customFormat="false" ht="17.15" hidden="false" customHeight="false" outlineLevel="0" collapsed="false">
      <c r="A17146" s="1" t="s">
        <v>958</v>
      </c>
      <c r="B17146" s="0" t="s">
        <v>459</v>
      </c>
      <c r="C17146" s="30" t="n">
        <f aca="false">Sens!C17144-Sens!C17145</f>
        <v>490</v>
      </c>
      <c r="D17146" s="30" t="n">
        <f aca="false">Sens!D17144-Sens!D17145</f>
        <v>1230</v>
      </c>
      <c r="E17146" s="30" t="n">
        <f aca="false">Sens!E17144-Sens!E17145</f>
        <v>2700</v>
      </c>
      <c r="F17146" s="30" t="n">
        <f aca="false">Sens!F17144-Sens!F17145</f>
        <v>5220.5351</v>
      </c>
      <c r="G17146" s="30" t="n">
        <f aca="false">Sens!G17144-Sens!G17145</f>
        <v>7947.0702</v>
      </c>
      <c r="H17146" s="30" t="n">
        <f aca="false">Sens!H17144-Sens!H17145</f>
        <v>10673.6053</v>
      </c>
      <c r="I17146" s="30" t="n">
        <f aca="false">Sens!I17144-Sens!I17145</f>
        <v>12605.5914196667</v>
      </c>
      <c r="J17146" s="30" t="n">
        <f aca="false">Sens!J17144-Sens!J17145</f>
        <v>13781.6682813933</v>
      </c>
      <c r="K17146" s="30" t="n">
        <f aca="false">Sens!K17144-Sens!K17145</f>
        <v>14217.7983298351</v>
      </c>
    </row>
    <row r="17147" customFormat="false" ht="17.15" hidden="false" customHeight="false" outlineLevel="0" collapsed="false">
      <c r="A17147" s="1" t="s">
        <v>959</v>
      </c>
      <c r="B17147" s="0" t="s">
        <v>459</v>
      </c>
      <c r="C17147" s="30" t="n">
        <f aca="false">Sens!C17146/ext_sh</f>
        <v>816.666666666667</v>
      </c>
      <c r="D17147" s="30" t="n">
        <f aca="false">Sens!D17146/ext_sh</f>
        <v>2050</v>
      </c>
      <c r="E17147" s="30" t="n">
        <f aca="false">Sens!E17146/ext_sh</f>
        <v>4500</v>
      </c>
      <c r="F17147" s="30" t="n">
        <f aca="false">Sens!F17146/ext_sh</f>
        <v>8700.89183333333</v>
      </c>
      <c r="G17147" s="30" t="n">
        <f aca="false">Sens!G17146/ext_sh</f>
        <v>13245.117</v>
      </c>
      <c r="H17147" s="30" t="n">
        <f aca="false">Sens!H17146/ext_sh</f>
        <v>17789.3421666667</v>
      </c>
      <c r="I17147" s="30" t="n">
        <f aca="false">Sens!I17146/ext_sh</f>
        <v>21009.3190327778</v>
      </c>
      <c r="J17147" s="30" t="n">
        <f aca="false">Sens!J17146/ext_sh</f>
        <v>22969.4471356556</v>
      </c>
      <c r="K17147" s="30" t="n">
        <f aca="false">Sens!K17146/ext_sh</f>
        <v>23696.3305497252</v>
      </c>
      <c r="L17147" s="1" t="s">
        <v>960</v>
      </c>
    </row>
    <row r="17148" customFormat="false" ht="17.15" hidden="false" customHeight="false" outlineLevel="0" collapsed="false">
      <c r="A17148" s="1" t="s">
        <v>961</v>
      </c>
      <c r="B17148" s="0" t="s">
        <v>459</v>
      </c>
      <c r="C17148" s="30" t="n">
        <f aca="false">Sens!C17147-Sens!C17146</f>
        <v>326.666666666667</v>
      </c>
      <c r="D17148" s="30" t="n">
        <f aca="false">Sens!D17147-Sens!D17146</f>
        <v>820</v>
      </c>
      <c r="E17148" s="30" t="n">
        <f aca="false">Sens!E17147-Sens!E17146</f>
        <v>1800</v>
      </c>
      <c r="F17148" s="30" t="n">
        <f aca="false">Sens!F17147-Sens!F17146</f>
        <v>3480.35673333333</v>
      </c>
      <c r="G17148" s="30" t="n">
        <f aca="false">Sens!G17147-Sens!G17146</f>
        <v>5298.0468</v>
      </c>
      <c r="H17148" s="30" t="n">
        <f aca="false">Sens!H17147-Sens!H17146</f>
        <v>7115.73686666667</v>
      </c>
      <c r="I17148" s="30" t="n">
        <f aca="false">Sens!I17147-Sens!I17146</f>
        <v>8403.72761311111</v>
      </c>
      <c r="J17148" s="30" t="n">
        <f aca="false">Sens!J17147-Sens!J17146</f>
        <v>9187.77885426222</v>
      </c>
      <c r="K17148" s="30" t="n">
        <f aca="false">Sens!K17147-Sens!K17146</f>
        <v>9478.53221989009</v>
      </c>
    </row>
    <row r="17149" customFormat="false" ht="17.15" hidden="false" customHeight="false" outlineLevel="0" collapsed="false">
      <c r="A17149" s="1" t="s">
        <v>962</v>
      </c>
      <c r="B17149" s="0" t="s">
        <v>459</v>
      </c>
      <c r="C17149" s="30" t="n">
        <f aca="false">Sens!C17147</f>
        <v>816.666666666667</v>
      </c>
      <c r="D17149" s="30" t="n">
        <f aca="false">Sens!D17147-Sens!C17147</f>
        <v>1233.33333333333</v>
      </c>
      <c r="E17149" s="30" t="n">
        <f aca="false">Sens!E17147-Sens!D17147</f>
        <v>2450</v>
      </c>
      <c r="F17149" s="30" t="n">
        <f aca="false">Sens!F17147-Sens!E17147</f>
        <v>4200.89183333333</v>
      </c>
      <c r="G17149" s="30" t="n">
        <f aca="false">Sens!G17147-Sens!F17147</f>
        <v>4544.22516666667</v>
      </c>
      <c r="H17149" s="30" t="n">
        <f aca="false">Sens!H17147-Sens!G17147</f>
        <v>4544.22516666667</v>
      </c>
      <c r="I17149" s="30" t="n">
        <f aca="false">Sens!I17147-Sens!H17147</f>
        <v>3219.97686611111</v>
      </c>
      <c r="J17149" s="30" t="n">
        <f aca="false">Sens!J17147-Sens!I17147</f>
        <v>1960.12810287778</v>
      </c>
      <c r="K17149" s="30" t="n">
        <f aca="false">Sens!K17147-Sens!J17147</f>
        <v>726.883414069667</v>
      </c>
    </row>
    <row r="17150" customFormat="false" ht="17.15" hidden="false" customHeight="false" outlineLevel="0" collapsed="false">
      <c r="A17150" s="1" t="s">
        <v>963</v>
      </c>
      <c r="B17150" s="0" t="s">
        <v>459</v>
      </c>
      <c r="D17150" s="30" t="n">
        <f aca="false">Sens!D17144-Sens!C17144</f>
        <v>990</v>
      </c>
      <c r="E17150" s="30" t="n">
        <f aca="false">Sens!E17144-Sens!D17144</f>
        <v>1620</v>
      </c>
      <c r="F17150" s="30" t="n">
        <f aca="false">Sens!F17144-Sens!E17144</f>
        <v>2726.5351</v>
      </c>
      <c r="G17150" s="30" t="n">
        <f aca="false">Sens!G17144-Sens!F17144</f>
        <v>2726.5351</v>
      </c>
      <c r="H17150" s="30" t="n">
        <f aca="false">Sens!H17144-Sens!G17144</f>
        <v>2726.5351</v>
      </c>
      <c r="I17150" s="30" t="n">
        <f aca="false">Sens!I17144-Sens!H17144</f>
        <v>1931.98611966667</v>
      </c>
      <c r="J17150" s="30" t="n">
        <f aca="false">Sens!J17144-Sens!I17144</f>
        <v>1176.07686172667</v>
      </c>
      <c r="K17150" s="30" t="n">
        <f aca="false">Sens!K17144-Sens!J17144</f>
        <v>436.130048441799</v>
      </c>
    </row>
    <row r="17151" customFormat="false" ht="17.15" hidden="false" customHeight="false" outlineLevel="0" collapsed="false">
      <c r="A17151" s="1" t="s">
        <v>964</v>
      </c>
      <c r="B17151" s="0" t="s">
        <v>459</v>
      </c>
      <c r="F17151" s="30" t="n">
        <f aca="false">Sens!F17170*ext_sh</f>
        <v>0</v>
      </c>
      <c r="G17151" s="30" t="n">
        <f aca="false">Sens!G17170*ext_sh</f>
        <v>0</v>
      </c>
      <c r="H17151" s="30" t="n">
        <f aca="false">Sens!H17170*ext_sh</f>
        <v>0</v>
      </c>
      <c r="I17151" s="30" t="n">
        <f aca="false">Sens!I17170*ext_sh</f>
        <v>490</v>
      </c>
      <c r="J17151" s="30" t="n">
        <f aca="false">Sens!J17170*ext_sh</f>
        <v>740</v>
      </c>
      <c r="K17151" s="30" t="n">
        <f aca="false">Sens!K17170*ext_sh</f>
        <v>1470</v>
      </c>
      <c r="L17151" s="1" t="s">
        <v>965</v>
      </c>
    </row>
    <row r="17152" customFormat="false" ht="17.15" hidden="false" customHeight="false" outlineLevel="0" collapsed="false">
      <c r="A17152" s="1" t="s">
        <v>966</v>
      </c>
      <c r="B17152" s="0" t="s">
        <v>459</v>
      </c>
      <c r="C17152" s="30" t="n">
        <f aca="false">mix_h*Sens!C17144</f>
        <v>128</v>
      </c>
      <c r="D17152" s="30" t="n">
        <f aca="false">mix_h*Sens!D17144</f>
        <v>326</v>
      </c>
      <c r="E17152" s="30" t="n">
        <f aca="false">mix_h*Sens!E17144</f>
        <v>650</v>
      </c>
      <c r="F17152" s="30" t="n">
        <f aca="false">Sens!E17152-Sens!F17151*mix_h</f>
        <v>650</v>
      </c>
      <c r="G17152" s="30" t="n">
        <f aca="false">Sens!F17152-Sens!G17151*mix_h</f>
        <v>650</v>
      </c>
      <c r="H17152" s="30" t="n">
        <f aca="false">Sens!G17152-Sens!H17151*mix_h</f>
        <v>650</v>
      </c>
      <c r="I17152" s="30" t="n">
        <f aca="false">Sens!H17152-Sens!I17151*mix_h</f>
        <v>552</v>
      </c>
      <c r="J17152" s="30" t="n">
        <f aca="false">Sens!I17152-Sens!J17151*mix_h</f>
        <v>404</v>
      </c>
      <c r="K17152" s="30" t="n">
        <f aca="false">Sens!J17152-Sens!K17151*mix_h</f>
        <v>110</v>
      </c>
    </row>
    <row r="17153" customFormat="false" ht="17.15" hidden="false" customHeight="false" outlineLevel="0" collapsed="false">
      <c r="A17153" s="1" t="s">
        <v>967</v>
      </c>
      <c r="B17153" s="0" t="s">
        <v>459</v>
      </c>
      <c r="C17153" s="30" t="n">
        <f aca="false">mix_g2*Sens!C17144</f>
        <v>288</v>
      </c>
      <c r="D17153" s="30" t="n">
        <f aca="false">mix_g2*Sens!D17144</f>
        <v>733.5</v>
      </c>
      <c r="E17153" s="30" t="n">
        <f aca="false">mix_g2*Sens!E17144</f>
        <v>1462.5</v>
      </c>
      <c r="F17153" s="30" t="n">
        <f aca="false">Sens!E17153-Sens!F17151*mix_g2</f>
        <v>1462.5</v>
      </c>
      <c r="G17153" s="30" t="n">
        <f aca="false">Sens!F17153-Sens!G17151*mix_g2</f>
        <v>1462.5</v>
      </c>
      <c r="H17153" s="30" t="n">
        <f aca="false">Sens!G17153-Sens!H17151*mix_g2</f>
        <v>1462.5</v>
      </c>
      <c r="I17153" s="30" t="n">
        <f aca="false">Sens!H17153-Sens!I17151*mix_g2</f>
        <v>1242</v>
      </c>
      <c r="J17153" s="30" t="n">
        <f aca="false">Sens!I17153-Sens!J17151*mix_g2</f>
        <v>909</v>
      </c>
      <c r="K17153" s="30" t="n">
        <f aca="false">Sens!J17153-Sens!K17151*mix_g2</f>
        <v>247.5</v>
      </c>
    </row>
    <row r="17154" customFormat="false" ht="17.15" hidden="false" customHeight="false" outlineLevel="0" collapsed="false">
      <c r="A17154" s="1" t="s">
        <v>968</v>
      </c>
      <c r="B17154" s="0" t="s">
        <v>459</v>
      </c>
      <c r="C17154" s="30" t="n">
        <f aca="false">mix_g3*Sens!C17144</f>
        <v>224</v>
      </c>
      <c r="D17154" s="30" t="n">
        <f aca="false">mix_g3*Sens!D17144</f>
        <v>570.5</v>
      </c>
      <c r="E17154" s="30" t="n">
        <f aca="false">mix_g3*Sens!E17144</f>
        <v>1137.5</v>
      </c>
      <c r="F17154" s="30" t="n">
        <f aca="false">Sens!E17154+(Sens!F17150+Sens!F17151)*(a_g3_27-nonnv*a_mai)-Sens!F17151*mix_g3</f>
        <v>2773.42106</v>
      </c>
      <c r="G17154" s="30" t="n">
        <f aca="false">Sens!F17154+(Sens!G17150+Sens!G17151)*(a_g3_28-nonnv*a_mai)-Sens!G17151*mix_g3</f>
        <v>3318.72808</v>
      </c>
      <c r="H17154" s="30" t="n">
        <f aca="false">Sens!G17154+(Sens!H17150+Sens!H17151)*(a_g3_29-nonnv*a_mai)-Sens!H17151*mix_g3</f>
        <v>3318.72808</v>
      </c>
      <c r="I17154" s="30" t="n">
        <f aca="false">Sens!H17154+(Sens!I17150+Sens!I17151)*(a_g3_29-nonnv*a_mai)-Sens!I17151*mix_g3</f>
        <v>3147.22808</v>
      </c>
      <c r="J17154" s="30" t="n">
        <f aca="false">Sens!I17154+(Sens!J17150+Sens!J17151)*(a_g3_29-nonnv*a_mai)-Sens!J17151*mix_g3</f>
        <v>2888.22808</v>
      </c>
      <c r="K17154" s="30" t="n">
        <f aca="false">Sens!J17154+(Sens!K17150+Sens!K17151)*(a_g3_29-nonnv*a_mai)-Sens!K17151*mix_g3</f>
        <v>2373.72808</v>
      </c>
    </row>
    <row r="17155" customFormat="false" ht="17.15" hidden="false" customHeight="false" outlineLevel="0" collapsed="false">
      <c r="A17155" s="1" t="s">
        <v>969</v>
      </c>
      <c r="B17155" s="0" t="s">
        <v>459</v>
      </c>
      <c r="C17155" s="30" t="n">
        <v>0</v>
      </c>
      <c r="D17155" s="30" t="n">
        <v>0</v>
      </c>
      <c r="E17155" s="30" t="n">
        <v>0</v>
      </c>
      <c r="F17155" s="30" t="n">
        <f aca="false">Sens!E17155+(Sens!F17150+Sens!F17151)*nonnv*a_mai</f>
        <v>272.65351</v>
      </c>
      <c r="G17155" s="30" t="n">
        <f aca="false">Sens!F17155+(Sens!G17150+Sens!G17151)*nonnv*a_mai</f>
        <v>545.30702</v>
      </c>
      <c r="H17155" s="30" t="n">
        <f aca="false">Sens!G17155+(Sens!H17150+Sens!H17151)*nonnv*a_mai</f>
        <v>817.96053</v>
      </c>
      <c r="I17155" s="30" t="n">
        <f aca="false">Sens!H17155+(Sens!I17150+Sens!I17151)*nonnv*a_mai</f>
        <v>1060.15914196667</v>
      </c>
      <c r="J17155" s="30" t="n">
        <f aca="false">Sens!I17155+(Sens!J17150+Sens!J17151)*nonnv*a_mai</f>
        <v>1251.76682813933</v>
      </c>
      <c r="K17155" s="30" t="n">
        <f aca="false">Sens!J17155+(Sens!K17150+Sens!K17151)*nonnv*a_mai</f>
        <v>1442.37983298351</v>
      </c>
      <c r="L17155" s="12" t="s">
        <v>970</v>
      </c>
    </row>
    <row r="17156" customFormat="false" ht="17.15" hidden="false" customHeight="false" outlineLevel="0" collapsed="false">
      <c r="A17156" s="1" t="s">
        <v>971</v>
      </c>
      <c r="B17156" s="0" t="s">
        <v>459</v>
      </c>
      <c r="C17156" s="30" t="n">
        <v>0</v>
      </c>
      <c r="D17156" s="30" t="n">
        <v>0</v>
      </c>
      <c r="E17156" s="30" t="n">
        <v>0</v>
      </c>
      <c r="F17156" s="30" t="n">
        <f aca="false">Sens!E17156+(Sens!F17150+Sens!F17151)*(1-a_g3_27)</f>
        <v>817.96053</v>
      </c>
      <c r="G17156" s="30" t="n">
        <f aca="false">Sens!F17156+(Sens!G17150+Sens!G17151)*(1-a_g3_28)</f>
        <v>2726.5351</v>
      </c>
      <c r="H17156" s="30" t="n">
        <f aca="false">Sens!G17156+(Sens!H17150+Sens!H17151)*(1-a_g3_29)</f>
        <v>5180.41669</v>
      </c>
      <c r="I17156" s="30" t="n">
        <f aca="false">Sens!H17156+(Sens!I17150+Sens!I17151)*(1-a_g3_29)</f>
        <v>7360.2041977</v>
      </c>
      <c r="J17156" s="30" t="n">
        <f aca="false">Sens!I17156+(Sens!J17150+Sens!J17151)*(1-a_g3_29)</f>
        <v>9084.673373254</v>
      </c>
      <c r="K17156" s="30" t="n">
        <f aca="false">Sens!J17156+(Sens!K17150+Sens!K17151)*(1-a_g3_29)</f>
        <v>10800.1904168516</v>
      </c>
    </row>
    <row r="17157" customFormat="false" ht="17.15" hidden="false" customHeight="false" outlineLevel="0" collapsed="false">
      <c r="A17157" s="1" t="s">
        <v>972</v>
      </c>
      <c r="B17157" s="0" t="s">
        <v>403</v>
      </c>
      <c r="C17157" s="15" t="n">
        <f aca="false">(Sens!C17152*tk_hold_h100+Sens!C17153*tk_hold_gb200+Sens!C17154*tk_hold_gb300+Sens!C17156*tk_hold_vr200+Sens!C17155*nv_hold_mai*tk_hold_vr200)/Sens!C17144</f>
        <v>9.7235358126469</v>
      </c>
      <c r="D17157" s="15" t="n">
        <f aca="false">(Sens!D17152*tk_hold_h100+Sens!D17153*tk_hold_gb200+Sens!D17154*tk_hold_gb300+Sens!D17156*tk_hold_vr200+Sens!D17155*nv_hold_mai*tk_hold_vr200)/Sens!D17144</f>
        <v>9.7235358126469</v>
      </c>
      <c r="E17157" s="15" t="n">
        <f aca="false">(Sens!E17152*tk_hold_h100+Sens!E17153*tk_hold_gb200+Sens!E17154*tk_hold_gb300+Sens!E17156*tk_hold_vr200+Sens!E17155*nv_hold_mai*tk_hold_vr200)/Sens!E17144</f>
        <v>9.7235358126469</v>
      </c>
      <c r="F17157" s="15" t="n">
        <f aca="false">(Sens!F17152*tk_hold_h100+Sens!F17153*tk_hold_gb200+Sens!F17154*tk_hold_gb300+Sens!F17156*tk_hold_vr200+Sens!F17155*nv_hold_mai*tk_hold_vr200)/Sens!F17144</f>
        <v>10.2195353876665</v>
      </c>
      <c r="G17157" s="15" t="n">
        <f aca="false">(Sens!G17152*tk_hold_h100+Sens!G17153*tk_hold_gb200+Sens!G17154*tk_hold_gb300+Sens!G17156*tk_hold_vr200+Sens!G17155*nv_hold_mai*tk_hold_vr200)/Sens!G17144</f>
        <v>10.5725598017306</v>
      </c>
      <c r="H17157" s="15" t="n">
        <f aca="false">(Sens!H17152*tk_hold_h100+Sens!H17153*tk_hold_gb200+Sens!H17154*tk_hold_gb300+Sens!H17156*tk_hold_vr200+Sens!H17155*nv_hold_mai*tk_hold_vr200)/Sens!H17144</f>
        <v>10.8210427149036</v>
      </c>
      <c r="I17157" s="15" t="n">
        <f aca="false">(Sens!I17152*tk_hold_h100+Sens!I17153*tk_hold_gb200+Sens!I17154*tk_hold_gb300+Sens!I17156*tk_hold_vr200+Sens!I17155*nv_hold_mai*tk_hold_vr200)/Sens!I17144</f>
        <v>11.0050618241982</v>
      </c>
      <c r="J17157" s="15" t="n">
        <f aca="false">(Sens!J17152*tk_hold_h100+Sens!J17153*tk_hold_gb200+Sens!J17154*tk_hold_gb300+Sens!J17156*tk_hold_vr200+Sens!J17155*nv_hold_mai*tk_hold_vr200)/Sens!J17144</f>
        <v>11.1505789658881</v>
      </c>
      <c r="K17157" s="15" t="n">
        <f aca="false">(Sens!K17152*tk_hold_h100+Sens!K17153*tk_hold_gb200+Sens!K17154*tk_hold_gb300+Sens!K17156*tk_hold_vr200+Sens!K17155*nv_hold_mai*tk_hold_vr200)/Sens!K17144</f>
        <v>11.3496914757183</v>
      </c>
      <c r="L17157" s="1" t="s">
        <v>973</v>
      </c>
    </row>
    <row r="17158" customFormat="false" ht="17.15" hidden="false" customHeight="false" outlineLevel="0" collapsed="false">
      <c r="A17158" s="1" t="s">
        <v>974</v>
      </c>
      <c r="B17158" s="0" t="s">
        <v>403</v>
      </c>
      <c r="C17158" s="15" t="n">
        <f aca="false">(Sens!C17152*tk_hold_h100+Sens!C17153*tk_hold_gb200+Sens!C17154*tk_hold_gb300+Sens!C17156*tk_hold_vr200+Sens!C17155*nv_out_mai*tk_hold_vr200)/Sens!C17144</f>
        <v>9.7235358126469</v>
      </c>
      <c r="D17158" s="15" t="n">
        <f aca="false">(Sens!D17152*tk_hold_h100+Sens!D17153*tk_hold_gb200+Sens!D17154*tk_hold_gb300+Sens!D17156*tk_hold_vr200+Sens!D17155*nv_out_mai*tk_hold_vr200)/Sens!D17144</f>
        <v>9.7235358126469</v>
      </c>
      <c r="E17158" s="15" t="n">
        <f aca="false">(Sens!E17152*tk_hold_h100+Sens!E17153*tk_hold_gb200+Sens!E17154*tk_hold_gb300+Sens!E17156*tk_hold_vr200+Sens!E17155*nv_out_mai*tk_hold_vr200)/Sens!E17144</f>
        <v>9.7235358126469</v>
      </c>
      <c r="F17158" s="15" t="n">
        <f aca="false">(Sens!F17152*tk_hold_h100+Sens!F17153*tk_hold_gb200+Sens!F17154*tk_hold_gb300+Sens!F17156*tk_hold_vr200+Sens!F17155*nv_out_mai*tk_hold_vr200)/Sens!F17144</f>
        <v>10.247422093969</v>
      </c>
      <c r="G17158" s="15" t="n">
        <f aca="false">(Sens!G17152*tk_hold_h100+Sens!G17153*tk_hold_gb200+Sens!G17154*tk_hold_gb300+Sens!G17156*tk_hold_vr200+Sens!G17155*nv_out_mai*tk_hold_vr200)/Sens!G17144</f>
        <v>10.6108602808053</v>
      </c>
      <c r="H17158" s="15" t="n">
        <f aca="false">(Sens!H17152*tk_hold_h100+Sens!H17153*tk_hold_gb200+Sens!H17154*tk_hold_gb300+Sens!H17156*tk_hold_vr200+Sens!H17155*nv_out_mai*tk_hold_vr200)/Sens!H17144</f>
        <v>10.8647885507393</v>
      </c>
      <c r="I17158" s="15" t="n">
        <f aca="false">(Sens!I17152*tk_hold_h100+Sens!I17153*tk_hold_gb200+Sens!I17154*tk_hold_gb300+Sens!I17156*tk_hold_vr200+Sens!I17155*nv_out_mai*tk_hold_vr200)/Sens!I17144</f>
        <v>11.0535625770025</v>
      </c>
      <c r="J17158" s="15" t="n">
        <f aca="false">(Sens!J17152*tk_hold_h100+Sens!J17153*tk_hold_gb200+Sens!J17154*tk_hold_gb300+Sens!J17156*tk_hold_vr200+Sens!J17155*nv_out_mai*tk_hold_vr200)/Sens!J17144</f>
        <v>11.2032127128058</v>
      </c>
      <c r="K17158" s="15" t="n">
        <f aca="false">(Sens!K17152*tk_hold_h100+Sens!K17153*tk_hold_gb200+Sens!K17154*tk_hold_gb300+Sens!K17156*tk_hold_vr200+Sens!K17155*nv_out_mai*tk_hold_vr200)/Sens!K17144</f>
        <v>11.4085735724225</v>
      </c>
      <c r="L17158" s="12" t="s">
        <v>975</v>
      </c>
    </row>
    <row r="17159" customFormat="false" ht="17.15" hidden="false" customHeight="false" outlineLevel="0" collapsed="false">
      <c r="A17159" s="0" t="s">
        <v>976</v>
      </c>
      <c r="B17159" s="0" t="s">
        <v>229</v>
      </c>
      <c r="C17159" s="15" t="n">
        <f aca="false">k_B</f>
        <v>1.17213932619116</v>
      </c>
      <c r="D17159" s="15" t="n">
        <f aca="false">k_B</f>
        <v>1.17213932619116</v>
      </c>
      <c r="E17159" s="15" t="n">
        <f aca="false">k_B</f>
        <v>1.17213932619116</v>
      </c>
      <c r="F17159" s="15" t="n">
        <f aca="false">(k_B+((ls_A*k_long+(1-ls_A)*k_spot)-k_B)*MIN(1,(Sens!F17142-base_fy)/k_ramp))</f>
        <v>1.25022828131298</v>
      </c>
      <c r="G17159" s="15" t="n">
        <f aca="false">(k_B+((ls_A*k_long+(1-ls_A)*k_spot)-k_B)*MIN(1,(Sens!G17142-base_fy)/k_ramp))</f>
        <v>1.3283172364348</v>
      </c>
      <c r="H17159" s="15" t="n">
        <f aca="false">(k_B+((ls_A*k_long+(1-ls_A)*k_spot)-k_B)*MIN(1,(Sens!H17142-base_fy)/k_ramp))</f>
        <v>1.40640619155662</v>
      </c>
      <c r="I17159" s="15" t="n">
        <f aca="false">(k_B+((ls_A*k_long+(1-ls_A)*k_spot)-k_B)*MIN(1,(Sens!I17142-base_fy)/k_ramp))</f>
        <v>1.40640619155662</v>
      </c>
      <c r="J17159" s="15" t="n">
        <f aca="false">(k_B+((ls_A*k_long+(1-ls_A)*k_spot)-k_B)*MIN(1,(Sens!J17142-base_fy)/k_ramp))</f>
        <v>1.40640619155662</v>
      </c>
      <c r="K17159" s="15" t="n">
        <f aca="false">(k_B+((ls_A*k_long+(1-ls_A)*k_spot)-k_B)*MIN(1,(Sens!K17142-base_fy)/k_ramp))</f>
        <v>1.40640619155662</v>
      </c>
      <c r="L17159" s="1" t="s">
        <v>977</v>
      </c>
    </row>
    <row r="17160" customFormat="false" ht="17.15" hidden="false" customHeight="false" outlineLevel="0" collapsed="false">
      <c r="A17160" s="1" t="s">
        <v>978</v>
      </c>
      <c r="B17160" s="0" t="s">
        <v>403</v>
      </c>
      <c r="C17160" s="15" t="n">
        <f aca="false">Sens!C17158*Sens!C17159*chip_f</f>
        <v>11.3973387156315</v>
      </c>
      <c r="D17160" s="15" t="n">
        <f aca="false">Sens!D17158*Sens!D17159*chip_f</f>
        <v>11.3973387156315</v>
      </c>
      <c r="E17160" s="15" t="n">
        <f aca="false">Sens!E17158*Sens!E17159*chip_f</f>
        <v>11.3973387156315</v>
      </c>
      <c r="F17160" s="15" t="n">
        <f aca="false">Sens!F17158*Sens!F17159*chip_f</f>
        <v>12.8116169124314</v>
      </c>
      <c r="G17160" s="15" t="n">
        <f aca="false">Sens!G17158*Sens!G17159*chip_f</f>
        <v>14.094588604395</v>
      </c>
      <c r="H17160" s="15" t="n">
        <f aca="false">Sens!H17158*Sens!H17159*chip_f</f>
        <v>15.2803058877132</v>
      </c>
      <c r="I17160" s="15" t="n">
        <f aca="false">Sens!I17158*Sens!I17159*chip_f</f>
        <v>15.5457988470549</v>
      </c>
      <c r="J17160" s="15" t="n">
        <f aca="false">Sens!J17158*Sens!J17159*chip_f</f>
        <v>15.7562677246158</v>
      </c>
      <c r="K17160" s="15" t="n">
        <f aca="false">Sens!K17158*Sens!K17159*chip_f</f>
        <v>16.0450885090842</v>
      </c>
      <c r="L17160" s="1" t="s">
        <v>979</v>
      </c>
    </row>
    <row r="17161" customFormat="false" ht="17.15" hidden="false" customHeight="false" outlineLevel="0" collapsed="false">
      <c r="A17161" s="0" t="s">
        <v>980</v>
      </c>
      <c r="B17161" s="0" t="s">
        <v>98</v>
      </c>
      <c r="D17161" s="6" t="n">
        <f aca="false">(Sens!C17144+Sens!D17144)/2*Sens!D17160/1000</f>
        <v>12.9359794422418</v>
      </c>
      <c r="E17161" s="6" t="n">
        <f aca="false">(Sens!D17144+Sens!E17144)/2*Sens!E17160/1000</f>
        <v>27.8095064661409</v>
      </c>
      <c r="F17161" s="6" t="n">
        <f aca="false">(Sens!E17144+Sens!F17144)/2*Sens!F17160/1000</f>
        <v>59.1034165651511</v>
      </c>
      <c r="G17161" s="6" t="n">
        <f aca="false">(Sens!F17144+Sens!G17144)/2*Sens!G17160/1000</f>
        <v>103.451498789198</v>
      </c>
      <c r="H17161" s="6" t="n">
        <f aca="false">(Sens!G17144+Sens!H17144)/2*Sens!H17160/1000</f>
        <v>153.816719989035</v>
      </c>
      <c r="I17161" s="6" t="n">
        <f aca="false">(Sens!H17144+Sens!I17144)/2*Sens!I17160/1000</f>
        <v>192.699478690852</v>
      </c>
      <c r="J17161" s="6" t="n">
        <f aca="false">(Sens!I17144+Sens!J17144)/2*Sens!J17160/1000</f>
        <v>219.794102584244</v>
      </c>
      <c r="K17161" s="6" t="n">
        <f aca="false">(Sens!J17144+Sens!K17144)/2*Sens!K17160/1000</f>
        <v>236.757046905022</v>
      </c>
      <c r="L17161" s="12" t="s">
        <v>981</v>
      </c>
    </row>
    <row r="17162" customFormat="false" ht="17.15" hidden="false" customHeight="false" outlineLevel="0" collapsed="false">
      <c r="A17162" s="1" t="s">
        <v>982</v>
      </c>
      <c r="B17162" s="0" t="s">
        <v>403</v>
      </c>
      <c r="C17162" s="15" t="n">
        <f aca="false">(Sens!C17152*tk_opex_h100+Sens!C17153*tk_opex_gb200+Sens!C17154*tk_opex_gb300+(Sens!C17156+Sens!C17155)*tk_opex_vr200)/Sens!C17144</f>
        <v>1.88636041306092</v>
      </c>
      <c r="D17162" s="15" t="n">
        <f aca="false">(Sens!D17152*tk_opex_h100+Sens!D17153*tk_opex_gb200+Sens!D17154*tk_opex_gb300+(Sens!D17156+Sens!D17155)*tk_opex_vr200)/Sens!D17144</f>
        <v>1.88636041306092</v>
      </c>
      <c r="E17162" s="15" t="n">
        <f aca="false">(Sens!E17152*tk_opex_h100+Sens!E17153*tk_opex_gb200+Sens!E17154*tk_opex_gb300+(Sens!E17156+Sens!E17155)*tk_opex_vr200)/Sens!E17144</f>
        <v>1.88636041306092</v>
      </c>
      <c r="F17162" s="15" t="n">
        <f aca="false">(Sens!F17152*tk_opex_h100+Sens!F17153*tk_opex_gb200+Sens!F17154*tk_opex_gb300+(Sens!F17156+Sens!F17155)*tk_opex_vr200)/Sens!F17144</f>
        <v>1.95051159746876</v>
      </c>
      <c r="G17162" s="15" t="n">
        <f aca="false">(Sens!G17152*tk_opex_h100+Sens!G17153*tk_opex_gb200+Sens!G17154*tk_opex_gb300+(Sens!G17156+Sens!G17155)*tk_opex_vr200)/Sens!G17144</f>
        <v>1.98836003669956</v>
      </c>
      <c r="H17162" s="15" t="n">
        <f aca="false">(Sens!H17152*tk_opex_h100+Sens!H17153*tk_opex_gb200+Sens!H17154*tk_opex_gb300+(Sens!H17156+Sens!H17155)*tk_opex_vr200)/Sens!H17144</f>
        <v>2.01344013834343</v>
      </c>
      <c r="I17162" s="15" t="n">
        <f aca="false">(Sens!I17152*tk_opex_h100+Sens!I17153*tk_opex_gb200+Sens!I17154*tk_opex_gb300+(Sens!I17156+Sens!I17155)*tk_opex_vr200)/Sens!I17144</f>
        <v>2.03261166882178</v>
      </c>
      <c r="J17162" s="15" t="n">
        <f aca="false">(Sens!J17152*tk_opex_h100+Sens!J17153*tk_opex_gb200+Sens!J17154*tk_opex_gb300+(Sens!J17156+Sens!J17155)*tk_opex_vr200)/Sens!J17144</f>
        <v>2.04808073288745</v>
      </c>
      <c r="K17162" s="15" t="n">
        <f aca="false">(Sens!K17152*tk_opex_h100+Sens!K17153*tk_opex_gb200+Sens!K17154*tk_opex_gb300+(Sens!K17156+Sens!K17155)*tk_opex_vr200)/Sens!K17144</f>
        <v>2.06973825807449</v>
      </c>
      <c r="L17162" s="12" t="s">
        <v>983</v>
      </c>
    </row>
    <row r="17163" customFormat="false" ht="17.15" hidden="false" customHeight="false" outlineLevel="0" collapsed="false">
      <c r="A17163" s="0" t="s">
        <v>984</v>
      </c>
      <c r="B17163" s="0" t="s">
        <v>98</v>
      </c>
      <c r="D17163" s="6" t="n">
        <f aca="false">(Sens!C17147+Sens!D17147)/2*Sens!D17162/1000</f>
        <v>2.70378325872065</v>
      </c>
      <c r="E17163" s="6" t="n">
        <f aca="false">(Sens!D17147+Sens!E17147)/2*Sens!E17162/1000</f>
        <v>6.17783035277451</v>
      </c>
      <c r="F17163" s="6" t="n">
        <f aca="false">(Sens!E17147+Sens!F17147)/2*Sens!F17162/1000</f>
        <v>12.8742463089237</v>
      </c>
      <c r="G17163" s="6" t="n">
        <f aca="false">(Sens!F17147+Sens!G17147)/2*Sens!G17162/1000</f>
        <v>21.8182834646277</v>
      </c>
      <c r="H17163" s="6" t="n">
        <f aca="false">(Sens!G17147+Sens!H17147)/2*Sens!H17162/1000</f>
        <v>31.2430128789734</v>
      </c>
      <c r="I17163" s="6" t="n">
        <f aca="false">(Sens!H17147+Sens!I17147)/2*Sens!I17162/1000</f>
        <v>39.4313057443268</v>
      </c>
      <c r="J17163" s="6" t="n">
        <f aca="false">(Sens!I17147+Sens!J17147)/2*Sens!J17162/1000</f>
        <v>45.0360318228653</v>
      </c>
      <c r="K17163" s="6" t="n">
        <f aca="false">(Sens!J17147+Sens!K17147)/2*Sens!K17162/1000</f>
        <v>48.2929727091156</v>
      </c>
    </row>
    <row r="17164" customFormat="false" ht="17.15" hidden="false" customHeight="false" outlineLevel="0" collapsed="false">
      <c r="A17164" s="0" t="s">
        <v>985</v>
      </c>
      <c r="B17164" s="0" t="s">
        <v>98</v>
      </c>
      <c r="D17164" s="6" t="n">
        <f aca="false">(Sens!C17145+Sens!D17145)/2*rent_mw/1000</f>
        <v>2.44475</v>
      </c>
      <c r="E17164" s="6" t="n">
        <f aca="false">(Sens!D17145+Sens!E17145)/2*rent_mw/1000</f>
        <v>4.22275</v>
      </c>
      <c r="F17164" s="6" t="n">
        <f aca="false">(Sens!E17145+Sens!F17145)/2*rent_mw/1000</f>
        <v>5.80517</v>
      </c>
      <c r="G17164" s="6" t="n">
        <f aca="false">(Sens!F17145+Sens!G17145)/2*rent_mw/1000</f>
        <v>6.72084</v>
      </c>
      <c r="H17164" s="6" t="n">
        <f aca="false">(Sens!G17145+Sens!H17145)/2*rent_mw/1000</f>
        <v>6.72084</v>
      </c>
      <c r="I17164" s="6" t="n">
        <f aca="false">(Sens!H17145+Sens!I17145)/2*rent_mw/1000</f>
        <v>6.72084</v>
      </c>
      <c r="J17164" s="6" t="n">
        <f aca="false">(Sens!I17145+Sens!J17145)/2*rent_mw/1000</f>
        <v>6.72084</v>
      </c>
      <c r="K17164" s="6" t="n">
        <f aca="false">(Sens!J17145+Sens!K17145)/2*rent_mw/1000</f>
        <v>6.72084</v>
      </c>
    </row>
    <row r="17165" customFormat="false" ht="17.15" hidden="false" customHeight="false" outlineLevel="0" collapsed="false">
      <c r="A17165" s="0" t="s">
        <v>986</v>
      </c>
      <c r="B17165" s="0" t="s">
        <v>98</v>
      </c>
      <c r="D17165" s="6" t="n">
        <f aca="false">(Sens!C17147+Sens!D17147)/2*(1-self_build)*fac_rent/1000</f>
        <v>0.853242375631075</v>
      </c>
      <c r="E17165" s="6" t="n">
        <f aca="false">(Sens!D17147+Sens!E17147)/2*(1-self_build)*fac_rent/1000</f>
        <v>1.94955961408728</v>
      </c>
      <c r="F17165" s="6" t="n">
        <f aca="false">(Sens!E17147+Sens!F17147)/2*(1-self_build)*fac_rent/1000</f>
        <v>3.92914894476356</v>
      </c>
      <c r="G17165" s="6" t="n">
        <f aca="false">(Sens!F17147+Sens!G17147)/2*(1-self_build)*fac_rent/1000</f>
        <v>6.53206908578159</v>
      </c>
      <c r="H17165" s="6" t="n">
        <f aca="false">(Sens!G17147+Sens!H17147)/2*(1-self_build)*fac_rent/1000</f>
        <v>9.23717988341591</v>
      </c>
      <c r="I17165" s="6" t="n">
        <f aca="false">(Sens!H17147+Sens!I17147)/2*(1-self_build)*fac_rent/1000</f>
        <v>11.5481378557393</v>
      </c>
      <c r="J17165" s="6" t="n">
        <f aca="false">(Sens!I17147+Sens!J17147)/2*(1-self_build)*fac_rent/1000</f>
        <v>13.0899582289108</v>
      </c>
      <c r="K17165" s="6" t="n">
        <f aca="false">(Sens!J17147+Sens!K17147)/2*(1-self_build)*fac_rent/1000</f>
        <v>13.8897275626556</v>
      </c>
      <c r="L17165" s="12" t="s">
        <v>987</v>
      </c>
    </row>
    <row r="17166" customFormat="false" ht="17.15" hidden="false" customHeight="false" outlineLevel="0" collapsed="false">
      <c r="A17166" s="1" t="s">
        <v>988</v>
      </c>
      <c r="B17166" s="0" t="s">
        <v>168</v>
      </c>
      <c r="D17166" s="7" t="n">
        <f aca="false">(Sens!C17146+Sens!D17146)/(Sens!C17147+Sens!D17147)</f>
        <v>0.6</v>
      </c>
      <c r="E17166" s="7" t="n">
        <f aca="false">(Sens!D17146+Sens!E17146)/(Sens!D17147+Sens!E17147)</f>
        <v>0.6</v>
      </c>
      <c r="F17166" s="7" t="n">
        <f aca="false">(Sens!E17146+Sens!F17146)/(Sens!E17147+Sens!F17147)</f>
        <v>0.6</v>
      </c>
      <c r="G17166" s="7" t="n">
        <f aca="false">(Sens!F17146+Sens!G17146)/(Sens!F17147+Sens!G17147)</f>
        <v>0.6</v>
      </c>
      <c r="H17166" s="7" t="n">
        <f aca="false">(Sens!G17146+Sens!H17146)/(Sens!G17147+Sens!H17147)</f>
        <v>0.6</v>
      </c>
      <c r="I17166" s="7" t="n">
        <f aca="false">(Sens!H17146+Sens!I17146)/(Sens!H17147+Sens!I17147)</f>
        <v>0.6</v>
      </c>
      <c r="J17166" s="7" t="n">
        <f aca="false">(Sens!I17146+Sens!J17146)/(Sens!I17147+Sens!J17147)</f>
        <v>0.6</v>
      </c>
      <c r="K17166" s="7" t="n">
        <f aca="false">(Sens!J17146+Sens!K17146)/(Sens!J17147+Sens!K17147)</f>
        <v>0.6</v>
      </c>
    </row>
    <row r="17167" customFormat="false" ht="17.15" hidden="false" customHeight="false" outlineLevel="0" collapsed="false">
      <c r="A17167" s="0" t="s">
        <v>989</v>
      </c>
      <c r="B17167" s="0" t="s">
        <v>98</v>
      </c>
      <c r="D17167" s="6" t="n">
        <f aca="false">Sens!D17161-Sens!D17166*(Sens!D17163+Sens!D17165)-Sens!D17164</f>
        <v>8.35701406163072</v>
      </c>
      <c r="E17167" s="6" t="n">
        <f aca="false">Sens!E17161-Sens!E17166*(Sens!E17163+Sens!E17165)-Sens!E17164</f>
        <v>18.7103224860238</v>
      </c>
      <c r="F17167" s="6" t="n">
        <f aca="false">Sens!F17161-Sens!F17166*(Sens!F17163+Sens!F17165)-Sens!F17164</f>
        <v>43.2162094129388</v>
      </c>
      <c r="G17167" s="6" t="n">
        <f aca="false">Sens!G17161-Sens!G17166*(Sens!G17163+Sens!G17165)-Sens!G17164</f>
        <v>79.7204472589529</v>
      </c>
      <c r="H17167" s="6" t="n">
        <f aca="false">Sens!H17161-Sens!H17166*(Sens!H17163+Sens!H17165)-Sens!H17164</f>
        <v>122.807764331602</v>
      </c>
      <c r="I17167" s="6" t="n">
        <f aca="false">Sens!I17161-Sens!I17166*(Sens!I17163+Sens!I17165)-Sens!I17164</f>
        <v>155.390972530813</v>
      </c>
      <c r="J17167" s="6" t="n">
        <f aca="false">Sens!J17161-Sens!J17166*(Sens!J17163+Sens!J17165)-Sens!J17164</f>
        <v>178.197668553178</v>
      </c>
      <c r="K17167" s="6" t="n">
        <f aca="false">Sens!K17161-Sens!K17166*(Sens!K17163+Sens!K17165)-Sens!K17164</f>
        <v>192.726586741959</v>
      </c>
    </row>
    <row r="17168" customFormat="false" ht="17.15" hidden="false" customHeight="false" outlineLevel="0" collapsed="false">
      <c r="A17168" s="1" t="s">
        <v>990</v>
      </c>
      <c r="B17168" s="0" t="s">
        <v>98</v>
      </c>
      <c r="D17168" s="6" t="n">
        <f aca="false">(1-Sens!D17166)*(Sens!D17163+Sens!D17165)</f>
        <v>1.42281025374069</v>
      </c>
      <c r="E17168" s="6" t="n">
        <f aca="false">(1-Sens!E17166)*(Sens!E17163+Sens!E17165)</f>
        <v>3.25095598674472</v>
      </c>
      <c r="F17168" s="6" t="n">
        <f aca="false">(1-Sens!F17166)*(Sens!F17163+Sens!F17165)</f>
        <v>6.72135810147489</v>
      </c>
      <c r="G17168" s="6" t="n">
        <f aca="false">(1-Sens!G17166)*(Sens!G17163+Sens!G17165)</f>
        <v>11.3401410201637</v>
      </c>
      <c r="H17168" s="6" t="n">
        <f aca="false">(1-Sens!H17166)*(Sens!H17163+Sens!H17165)</f>
        <v>16.1920771049557</v>
      </c>
      <c r="I17168" s="6" t="n">
        <f aca="false">(1-Sens!I17166)*(Sens!I17163+Sens!I17165)</f>
        <v>20.3917774400264</v>
      </c>
      <c r="J17168" s="6" t="n">
        <f aca="false">(1-Sens!J17166)*(Sens!J17163+Sens!J17165)</f>
        <v>23.2503960207104</v>
      </c>
      <c r="K17168" s="6" t="n">
        <f aca="false">(1-Sens!K17166)*(Sens!K17163+Sens!K17165)</f>
        <v>24.8730801087085</v>
      </c>
    </row>
    <row r="17169" customFormat="false" ht="17.15" hidden="false" customHeight="false" outlineLevel="0" collapsed="false">
      <c r="A17169" s="1" t="s">
        <v>991</v>
      </c>
      <c r="B17169" s="0" t="s">
        <v>417</v>
      </c>
      <c r="C17169" s="8" t="n">
        <f aca="false">cxit_open</f>
        <v>27.5918995</v>
      </c>
      <c r="D17169" s="8" t="n">
        <f aca="false">cxit_open</f>
        <v>27.5918995</v>
      </c>
      <c r="E17169" s="8" t="n">
        <f aca="false">cxit_open</f>
        <v>27.5918995</v>
      </c>
      <c r="F17169" s="8" t="n">
        <f aca="false">((a_g3_27-nonnv*a_mai)*tk_cxit_gb300+nonnv*a_mai*nv_hold_mai*tk_cxit_vr200+(1-a_g3_27)*tk_cxit_vr200)</f>
        <v>32.4975576</v>
      </c>
      <c r="G17169" s="8" t="n">
        <f aca="false">((a_g3_28-nonnv*a_mai)*tk_cxit_gb300+nonnv*a_mai*nv_hold_mai*tk_cxit_vr200+(1-a_g3_28)*tk_cxit_vr200)</f>
        <v>34.6372088</v>
      </c>
      <c r="H17169" s="8" t="n">
        <f aca="false">((a_g3_29-nonnv*a_mai)*tk_cxit_gb300+nonnv*a_mai*nv_hold_mai*tk_cxit_vr200+(1-a_g3_29)*tk_cxit_vr200)</f>
        <v>35.7070344</v>
      </c>
      <c r="I17169" s="8" t="n">
        <f aca="false">((a_g3_29-nonnv*a_mai)*tk_cxit_gb300+nonnv*a_mai*nv_hold_mai*tk_cxit_vr200+(1-a_g3_29)*tk_cxit_vr200)</f>
        <v>35.7070344</v>
      </c>
      <c r="J17169" s="8" t="n">
        <f aca="false">((a_g3_29-nonnv*a_mai)*tk_cxit_gb300+nonnv*a_mai*nv_hold_mai*tk_cxit_vr200+(1-a_g3_29)*tk_cxit_vr200)</f>
        <v>35.7070344</v>
      </c>
      <c r="K17169" s="8" t="n">
        <f aca="false">((a_g3_29-nonnv*a_mai)*tk_cxit_gb300+nonnv*a_mai*nv_hold_mai*tk_cxit_vr200+(1-a_g3_29)*tk_cxit_vr200)</f>
        <v>35.7070344</v>
      </c>
      <c r="L17169" s="12" t="s">
        <v>992</v>
      </c>
    </row>
    <row r="17170" customFormat="false" ht="17.15" hidden="false" customHeight="false" outlineLevel="0" collapsed="false">
      <c r="A17170" s="0" t="s">
        <v>993</v>
      </c>
      <c r="B17170" s="0" t="s">
        <v>459</v>
      </c>
      <c r="F17170" s="30" t="n">
        <f aca="false">Sens!C17149*IF(Sens!F17142-Sens!C17142=life_it,1,0)+Sens!D17149*IF(Sens!F17142-Sens!D17142=life_it,1,0)+Sens!E17149*IF(Sens!F17142-Sens!E17142=life_it,1,0)</f>
        <v>0</v>
      </c>
      <c r="G17170" s="30" t="n">
        <f aca="false">Sens!C17149*IF(Sens!G17142-Sens!C17142=life_it,1,0)+Sens!D17149*IF(Sens!G17142-Sens!D17142=life_it,1,0)+Sens!E17149*IF(Sens!G17142-Sens!E17142=life_it,1,0)+Sens!F17149*IF(Sens!G17142-Sens!F17142=life_it,1,0)</f>
        <v>0</v>
      </c>
      <c r="H17170" s="30" t="n">
        <f aca="false">Sens!C17149*IF(Sens!H17142-Sens!C17142=life_it,1,0)+Sens!D17149*IF(Sens!H17142-Sens!D17142=life_it,1,0)+Sens!E17149*IF(Sens!H17142-Sens!E17142=life_it,1,0)+Sens!F17149*IF(Sens!H17142-Sens!F17142=life_it,1,0)+Sens!G17149*IF(Sens!H17142-Sens!G17142=life_it,1,0)</f>
        <v>0</v>
      </c>
      <c r="I17170" s="30" t="n">
        <f aca="false">Sens!C17149*IF(Sens!I17142-Sens!C17142=life_it,1,0)+Sens!D17149*IF(Sens!I17142-Sens!D17142=life_it,1,0)+Sens!E17149*IF(Sens!I17142-Sens!E17142=life_it,1,0)+Sens!F17149*IF(Sens!I17142-Sens!F17142=life_it,1,0)+Sens!G17149*IF(Sens!I17142-Sens!G17142=life_it,1,0)+Sens!H17149*IF(Sens!I17142-Sens!H17142=life_it,1,0)</f>
        <v>816.666666666667</v>
      </c>
      <c r="J17170" s="30" t="n">
        <f aca="false">Sens!C17149*IF(Sens!J17142-Sens!C17142=life_it,1,0)+Sens!D17149*IF(Sens!J17142-Sens!D17142=life_it,1,0)+Sens!E17149*IF(Sens!J17142-Sens!E17142=life_it,1,0)+Sens!F17149*IF(Sens!J17142-Sens!F17142=life_it,1,0)+Sens!G17149*IF(Sens!J17142-Sens!G17142=life_it,1,0)+Sens!H17149*IF(Sens!J17142-Sens!H17142=life_it,1,0)+Sens!I17149*IF(Sens!J17142-Sens!I17142=life_it,1,0)</f>
        <v>1233.33333333333</v>
      </c>
      <c r="K17170" s="30" t="n">
        <f aca="false">Sens!C17149*IF(Sens!K17142-Sens!C17142=life_it,1,0)+Sens!D17149*IF(Sens!K17142-Sens!D17142=life_it,1,0)+Sens!E17149*IF(Sens!K17142-Sens!E17142=life_it,1,0)+Sens!F17149*IF(Sens!K17142-Sens!F17142=life_it,1,0)+Sens!G17149*IF(Sens!K17142-Sens!G17142=life_it,1,0)+Sens!H17149*IF(Sens!K17142-Sens!H17142=life_it,1,0)+Sens!I17149*IF(Sens!K17142-Sens!I17142=life_it,1,0)+Sens!J17149*IF(Sens!K17142-Sens!J17142=life_it,1,0)</f>
        <v>2450</v>
      </c>
      <c r="L17170" s="1" t="s">
        <v>994</v>
      </c>
    </row>
    <row r="17171" customFormat="false" ht="17.15" hidden="false" customHeight="false" outlineLevel="0" collapsed="false">
      <c r="A17171" s="0" t="s">
        <v>995</v>
      </c>
      <c r="B17171" s="0" t="s">
        <v>98</v>
      </c>
      <c r="C17171" s="6" t="n">
        <f aca="false">Sens!C17149*Sens!C17169/1000</f>
        <v>22.5333845916667</v>
      </c>
      <c r="D17171" s="6" t="n">
        <f aca="false">Sens!D17149*Sens!D17169/1000</f>
        <v>34.0300093833333</v>
      </c>
      <c r="E17171" s="6" t="n">
        <f aca="false">Sens!E17149*Sens!E17169/1000</f>
        <v>67.600153775</v>
      </c>
      <c r="F17171" s="6" t="n">
        <f aca="false">(Sens!F17149+Sens!F17170)*Sens!F17169/1000</f>
        <v>136.51872432512</v>
      </c>
      <c r="G17171" s="6" t="n">
        <f aca="false">(Sens!G17149+Sens!G17170)*Sens!G17169/1000</f>
        <v>157.399275932048</v>
      </c>
      <c r="H17171" s="6" t="n">
        <f aca="false">(Sens!H17149+Sens!H17170)*Sens!H17169/1000</f>
        <v>162.260804347512</v>
      </c>
      <c r="I17171" s="6" t="n">
        <f aca="false">(Sens!I17149+Sens!I17170)*Sens!I17169/1000</f>
        <v>144.136569485434</v>
      </c>
      <c r="J17171" s="6" t="n">
        <f aca="false">(Sens!J17149+Sens!J17170)*Sens!J17169/1000</f>
        <v>114.029037357864</v>
      </c>
      <c r="K17171" s="6" t="n">
        <f aca="false">(Sens!K17149+Sens!K17170)*Sens!K17169/1000</f>
        <v>113.437085350975</v>
      </c>
    </row>
    <row r="17172" customFormat="false" ht="17.15" hidden="false" customHeight="false" outlineLevel="0" collapsed="false">
      <c r="A17172" s="0" t="s">
        <v>996</v>
      </c>
      <c r="B17172" s="0" t="s">
        <v>98</v>
      </c>
      <c r="C17172" s="6" t="n">
        <f aca="false">Sens!C17149*self_build*tk_cxfac/1000</f>
        <v>6.2083</v>
      </c>
      <c r="D17172" s="6" t="n">
        <f aca="false">Sens!D17149*self_build*tk_cxfac/1000</f>
        <v>9.3758</v>
      </c>
      <c r="E17172" s="6" t="n">
        <f aca="false">Sens!E17149*self_build*tk_cxfac/1000</f>
        <v>18.6249</v>
      </c>
      <c r="F17172" s="6" t="n">
        <f aca="false">Sens!F17149*self_build*tk_cxfac/1000</f>
        <v>31.935179717</v>
      </c>
      <c r="G17172" s="6" t="n">
        <f aca="false">Sens!G17149*self_build*tk_cxfac/1000</f>
        <v>34.545199717</v>
      </c>
      <c r="H17172" s="6" t="n">
        <f aca="false">Sens!H17149*self_build*tk_cxfac/1000</f>
        <v>34.545199717</v>
      </c>
      <c r="I17172" s="6" t="n">
        <f aca="false">Sens!I17149*self_build*tk_cxfac/1000</f>
        <v>24.4782641361767</v>
      </c>
      <c r="J17172" s="6" t="n">
        <f aca="false">Sens!J17149*self_build*tk_cxfac/1000</f>
        <v>14.9008938380769</v>
      </c>
      <c r="K17172" s="6" t="n">
        <f aca="false">Sens!K17149*self_build*tk_cxfac/1000</f>
        <v>5.52576771375761</v>
      </c>
    </row>
    <row r="17173" customFormat="false" ht="17.15" hidden="false" customHeight="false" outlineLevel="0" collapsed="false">
      <c r="A17173" s="0" t="s">
        <v>997</v>
      </c>
      <c r="B17173" s="0" t="s">
        <v>98</v>
      </c>
      <c r="F17173" s="15" t="n">
        <f aca="false">capex_floor27-Sens!F17171-Sens!F17172-Sens!F17269</f>
        <v>0.0475774452575593</v>
      </c>
      <c r="L17173" s="12" t="s">
        <v>998</v>
      </c>
    </row>
    <row r="17174" customFormat="false" ht="17.15" hidden="false" customHeight="false" outlineLevel="0" collapsed="false">
      <c r="A17174" s="0" t="s">
        <v>999</v>
      </c>
      <c r="B17174" s="0" t="s">
        <v>98</v>
      </c>
      <c r="F17174" s="6" t="n">
        <f aca="false">MAX(0,Sens!F17173)</f>
        <v>0.0475774452575593</v>
      </c>
    </row>
    <row r="17175" customFormat="false" ht="17.15" hidden="false" customHeight="false" outlineLevel="0" collapsed="false">
      <c r="A17175" s="0" t="s">
        <v>1000</v>
      </c>
      <c r="B17175" s="0" t="s">
        <v>98</v>
      </c>
      <c r="C17175" s="6" t="n">
        <f aca="false">Sens!C17171</f>
        <v>22.5333845916667</v>
      </c>
      <c r="D17175" s="6" t="n">
        <f aca="false">Sens!D17171</f>
        <v>34.0300093833333</v>
      </c>
      <c r="E17175" s="6" t="n">
        <f aca="false">Sens!E17171</f>
        <v>67.600153775</v>
      </c>
      <c r="F17175" s="6" t="n">
        <f aca="false">Sens!F17171</f>
        <v>136.51872432512</v>
      </c>
      <c r="G17175" s="6" t="n">
        <f aca="false">Sens!G17171</f>
        <v>157.399275932048</v>
      </c>
      <c r="H17175" s="6" t="n">
        <f aca="false">Sens!H17171</f>
        <v>162.260804347512</v>
      </c>
      <c r="I17175" s="6" t="n">
        <f aca="false">Sens!I17171</f>
        <v>144.136569485434</v>
      </c>
      <c r="J17175" s="6" t="n">
        <f aca="false">Sens!J17171</f>
        <v>114.029037357864</v>
      </c>
      <c r="K17175" s="6" t="n">
        <f aca="false">Sens!K17171</f>
        <v>113.437085350975</v>
      </c>
    </row>
    <row r="17176" customFormat="false" ht="17.15" hidden="false" customHeight="false" outlineLevel="0" collapsed="false">
      <c r="A17176" s="0" t="s">
        <v>1001</v>
      </c>
      <c r="B17176" s="0" t="s">
        <v>98</v>
      </c>
      <c r="C17176" s="6" t="n">
        <f aca="false">Sens!C17175+Sens!C17172</f>
        <v>28.7416845916667</v>
      </c>
      <c r="D17176" s="6" t="n">
        <f aca="false">Sens!D17175+Sens!D17172</f>
        <v>43.4058093833333</v>
      </c>
      <c r="E17176" s="6" t="n">
        <f aca="false">Sens!E17175+Sens!E17172</f>
        <v>86.225053775</v>
      </c>
      <c r="F17176" s="6" t="n">
        <f aca="false">Sens!F17175+Sens!F17172</f>
        <v>168.45390404212</v>
      </c>
      <c r="G17176" s="6" t="n">
        <f aca="false">Sens!G17175+Sens!G17172</f>
        <v>191.944475649048</v>
      </c>
      <c r="H17176" s="6" t="n">
        <f aca="false">Sens!H17175+Sens!H17172</f>
        <v>196.806004064512</v>
      </c>
      <c r="I17176" s="6" t="n">
        <f aca="false">Sens!I17175+Sens!I17172</f>
        <v>168.61483362161</v>
      </c>
      <c r="J17176" s="6" t="n">
        <f aca="false">Sens!J17175+Sens!J17172</f>
        <v>128.92993119594</v>
      </c>
      <c r="K17176" s="6" t="n">
        <f aca="false">Sens!K17175+Sens!K17172</f>
        <v>118.962853064733</v>
      </c>
      <c r="L17176" s="12" t="s">
        <v>1002</v>
      </c>
    </row>
    <row r="17177" customFormat="false" ht="17.15" hidden="false" customHeight="false" outlineLevel="0" collapsed="false">
      <c r="A17177" s="0" t="s">
        <v>1003</v>
      </c>
      <c r="B17177" s="0" t="s">
        <v>98</v>
      </c>
      <c r="E17177" s="6" t="n">
        <f aca="false">(Sens!C17175*IF(2&lt;life_it,1,IF(2=life_it,0.5,0))+Sens!D17175*IF(1&lt;life_it,1,IF(1=life_it,0.5,0))+Sens!E17175*0.5)/life_it</f>
        <v>15.0605784770833</v>
      </c>
      <c r="F17177" s="6" t="n">
        <f aca="false">(Sens!C17175*IF(3&lt;life_it,1,IF(3=life_it,0.5,0))+Sens!D17175*IF(2&lt;life_it,1,IF(2=life_it,0.5,0))+Sens!E17175*IF(1&lt;life_it,1,IF(1=life_it,0.5,0))+Sens!F17175*0.5)/life_it</f>
        <v>32.0704849854266</v>
      </c>
      <c r="G17177" s="6" t="n">
        <f aca="false">(Sens!C17175*IF(4&lt;life_it,1,IF(4=life_it,0.5,0))+Sens!D17175*IF(3&lt;life_it,1,IF(3=life_it,0.5,0))+Sens!E17175*IF(2&lt;life_it,1,IF(2=life_it,0.5,0))+Sens!F17175*IF(1&lt;life_it,1,IF(1=life_it,0.5,0))+Sens!G17175*0.5)/life_it</f>
        <v>56.5636516735239</v>
      </c>
      <c r="H17177" s="6" t="n">
        <f aca="false">(Sens!C17175*IF(5&lt;life_it,1,IF(5=life_it,0.5,0))+Sens!D17175*IF(4&lt;life_it,1,IF(4=life_it,0.5,0))+Sens!E17175*IF(3&lt;life_it,1,IF(3=life_it,0.5,0))+Sens!F17175*IF(2&lt;life_it,1,IF(2=life_it,0.5,0))+Sens!G17175*IF(1&lt;life_it,1,IF(1=life_it,0.5,0))+Sens!H17175*0.5)/life_it</f>
        <v>83.2019916968207</v>
      </c>
      <c r="I17177" s="6" t="n">
        <f aca="false">(Sens!C17175*IF(6&lt;life_it,1,IF(6=life_it,0.5,0))+Sens!D17175*IF(5&lt;life_it,1,IF(5=life_it,0.5,0))+Sens!E17175*IF(4&lt;life_it,1,IF(4=life_it,0.5,0))+Sens!F17175*IF(3&lt;life_it,1,IF(3=life_it,0.5,0))+Sens!G17175*IF(2&lt;life_it,1,IF(2=life_it,0.5,0))+Sens!H17175*IF(1&lt;life_it,1,IF(1=life_it,0.5,0))+Sens!I17175*0.5)/life_it</f>
        <v>106.857324133594</v>
      </c>
      <c r="J17177" s="6" t="n">
        <f aca="false">(Sens!C17175*IF(7&lt;life_it,1,IF(7=life_it,0.5,0))+Sens!D17175*IF(6&lt;life_it,1,IF(6=life_it,0.5,0))+Sens!E17175*IF(5&lt;life_it,1,IF(5=life_it,0.5,0))+Sens!F17175*IF(4&lt;life_it,1,IF(4=life_it,0.5,0))+Sens!G17175*IF(3&lt;life_it,1,IF(3=life_it,0.5,0))+Sens!H17175*IF(2&lt;life_it,1,IF(2=life_it,0.5,0))+Sens!I17175*IF(1&lt;life_it,1,IF(1=life_it,0.5,0))+Sens!J17175*0.5)/life_it</f>
        <v>123.657508539285</v>
      </c>
      <c r="K17177" s="6" t="n">
        <f aca="false">(Sens!C17175*IF(8&lt;life_it,1,IF(8=life_it,0.5,0))+Sens!D17175*IF(7&lt;life_it,1,IF(7=life_it,0.5,0))+Sens!E17175*IF(6&lt;life_it,1,IF(6=life_it,0.5,0))+Sens!F17175*IF(5&lt;life_it,1,IF(5=life_it,0.5,0))+Sens!G17175*IF(4&lt;life_it,1,IF(4=life_it,0.5,0))+Sens!H17175*IF(3&lt;life_it,1,IF(3=life_it,0.5,0))+Sens!I17175*IF(2&lt;life_it,1,IF(2=life_it,0.5,0))+Sens!J17175*IF(1&lt;life_it,1,IF(1=life_it,0.5,0))+Sens!K17175*0.5)/life_it</f>
        <v>134.143838501827</v>
      </c>
    </row>
    <row r="17178" customFormat="false" ht="17.15" hidden="false" customHeight="false" outlineLevel="0" collapsed="false">
      <c r="A17178" s="0" t="s">
        <v>1004</v>
      </c>
      <c r="B17178" s="0" t="s">
        <v>98</v>
      </c>
      <c r="E17178" s="6" t="n">
        <f aca="false">(Sens!C17172*IF(2&lt;life_fac,1,IF(2=life_fac,0.5,0))+Sens!D17172*IF(1&lt;life_fac,1,IF(1=life_fac,0.5,0))+Sens!E17172*0.5)/life_fac</f>
        <v>1.2448275</v>
      </c>
      <c r="F17178" s="6" t="n">
        <f aca="false">(Sens!C17172*IF(3&lt;life_fac,1,IF(3=life_fac,0.5,0))+Sens!D17172*IF(2&lt;life_fac,1,IF(2=life_fac,0.5,0))+Sens!E17172*IF(1&lt;life_fac,1,IF(1=life_fac,0.5,0))+Sens!F17172*0.5)/life_fac</f>
        <v>2.508829492925</v>
      </c>
      <c r="G17178" s="6" t="n">
        <f aca="false">(Sens!C17172*IF(4&lt;life_fac,1,IF(4=life_fac,0.5,0))+Sens!D17172*IF(3&lt;life_fac,1,IF(3=life_fac,0.5,0))+Sens!E17172*IF(2&lt;life_fac,1,IF(2=life_fac,0.5,0))+Sens!F17172*IF(1&lt;life_fac,1,IF(1=life_fac,0.5,0))+Sens!G17172*0.5)/life_fac</f>
        <v>4.170838978775</v>
      </c>
      <c r="H17178" s="6" t="n">
        <f aca="false">(Sens!C17172*IF(5&lt;life_fac,1,IF(5=life_fac,0.5,0))+Sens!D17172*IF(4&lt;life_fac,1,IF(4=life_fac,0.5,0))+Sens!E17172*IF(3&lt;life_fac,1,IF(3=life_fac,0.5,0))+Sens!F17172*IF(2&lt;life_fac,1,IF(2=life_fac,0.5,0))+Sens!G17172*IF(1&lt;life_fac,1,IF(1=life_fac,0.5,0))+Sens!H17172*0.5)/life_fac</f>
        <v>5.898098964625</v>
      </c>
      <c r="I17178" s="6" t="n">
        <f aca="false">(Sens!C17172*IF(6&lt;life_fac,1,IF(6=life_fac,0.5,0))+Sens!D17172*IF(5&lt;life_fac,1,IF(5=life_fac,0.5,0))+Sens!E17172*IF(4&lt;life_fac,1,IF(4=life_fac,0.5,0))+Sens!F17172*IF(3&lt;life_fac,1,IF(3=life_fac,0.5,0))+Sens!G17172*IF(2&lt;life_fac,1,IF(2=life_fac,0.5,0))+Sens!H17172*IF(1&lt;life_fac,1,IF(1=life_fac,0.5,0))+Sens!I17172*0.5)/life_fac</f>
        <v>7.37368556095442</v>
      </c>
      <c r="J17178" s="6" t="n">
        <f aca="false">(Sens!C17172*IF(7&lt;life_fac,1,IF(7=life_fac,0.5,0))+Sens!D17172*IF(6&lt;life_fac,1,IF(6=life_fac,0.5,0))+Sens!E17172*IF(5&lt;life_fac,1,IF(5=life_fac,0.5,0))+Sens!F17172*IF(4&lt;life_fac,1,IF(4=life_fac,0.5,0))+Sens!G17172*IF(3&lt;life_fac,1,IF(3=life_fac,0.5,0))+Sens!H17172*IF(2&lt;life_fac,1,IF(2=life_fac,0.5,0))+Sens!I17172*IF(1&lt;life_fac,1,IF(1=life_fac,0.5,0))+Sens!J17172*0.5)/life_fac</f>
        <v>8.35816451031075</v>
      </c>
      <c r="K17178" s="6" t="n">
        <f aca="false">(Sens!C17172*IF(8&lt;life_fac,1,IF(8=life_fac,0.5,0))+Sens!D17172*IF(7&lt;life_fac,1,IF(7=life_fac,0.5,0))+Sens!E17172*IF(6&lt;life_fac,1,IF(6=life_fac,0.5,0))+Sens!F17172*IF(5&lt;life_fac,1,IF(5=life_fac,0.5,0))+Sens!G17172*IF(4&lt;life_fac,1,IF(4=life_fac,0.5,0))+Sens!H17172*IF(3&lt;life_fac,1,IF(3=life_fac,0.5,0))+Sens!I17172*IF(2&lt;life_fac,1,IF(2=life_fac,0.5,0))+Sens!J17172*IF(1&lt;life_fac,1,IF(1=life_fac,0.5,0))+Sens!K17172*0.5)/life_fac</f>
        <v>8.86883104910662</v>
      </c>
    </row>
    <row r="17179" customFormat="false" ht="17.15" hidden="false" customHeight="false" outlineLevel="0" collapsed="false">
      <c r="A17179" s="0" t="s">
        <v>1005</v>
      </c>
      <c r="B17179" s="0" t="s">
        <v>98</v>
      </c>
      <c r="E17179" s="6" t="n">
        <f aca="false">Sens!E17177+Sens!E17178</f>
        <v>16.3054059770833</v>
      </c>
      <c r="F17179" s="6" t="n">
        <f aca="false">Sens!F17177+Sens!F17178</f>
        <v>34.5793144783516</v>
      </c>
      <c r="G17179" s="6" t="n">
        <f aca="false">Sens!G17177+Sens!G17178</f>
        <v>60.7344906522989</v>
      </c>
      <c r="H17179" s="6" t="n">
        <f aca="false">Sens!H17177+Sens!H17178</f>
        <v>89.1000906614457</v>
      </c>
      <c r="I17179" s="6" t="n">
        <f aca="false">Sens!I17177+Sens!I17178</f>
        <v>114.231009694548</v>
      </c>
      <c r="J17179" s="6" t="n">
        <f aca="false">Sens!J17177+Sens!J17178</f>
        <v>132.015673049596</v>
      </c>
      <c r="K17179" s="6" t="n">
        <f aca="false">Sens!K17177+Sens!K17178</f>
        <v>143.012669550934</v>
      </c>
    </row>
    <row r="17180" customFormat="false" ht="17.15" hidden="false" customHeight="false" outlineLevel="0" collapsed="false">
      <c r="A17180" s="0" t="s">
        <v>1006</v>
      </c>
      <c r="B17180" s="0" t="s">
        <v>98</v>
      </c>
      <c r="E17180" s="6" t="n">
        <f aca="false">Sens!E17167-Sens!E17166*Sens!E17179</f>
        <v>8.92707889977379</v>
      </c>
      <c r="F17180" s="6" t="n">
        <f aca="false">Sens!F17167-Sens!F17166*Sens!F17179</f>
        <v>22.4686207259278</v>
      </c>
      <c r="G17180" s="6" t="n">
        <f aca="false">Sens!G17167-Sens!G17166*Sens!G17179</f>
        <v>43.2797528675735</v>
      </c>
      <c r="H17180" s="6" t="n">
        <f aca="false">Sens!H17167-Sens!H17166*Sens!H17179</f>
        <v>69.3477099347341</v>
      </c>
      <c r="I17180" s="6" t="n">
        <f aca="false">Sens!I17167-Sens!I17166*Sens!I17179</f>
        <v>86.8523667140836</v>
      </c>
      <c r="J17180" s="6" t="n">
        <f aca="false">Sens!J17167-Sens!J17166*Sens!J17179</f>
        <v>98.9882647234202</v>
      </c>
      <c r="K17180" s="6" t="n">
        <f aca="false">Sens!K17167-Sens!K17166*Sens!K17179</f>
        <v>106.918985011399</v>
      </c>
    </row>
    <row r="17181" customFormat="false" ht="17.15" hidden="false" customHeight="false" outlineLevel="0" collapsed="false">
      <c r="A17181" s="3" t="s">
        <v>2035</v>
      </c>
    </row>
    <row r="17182" customFormat="false" ht="15" hidden="false" customHeight="false" outlineLevel="0" collapsed="false">
      <c r="A17182" s="4" t="s">
        <v>43</v>
      </c>
      <c r="B17182" s="4" t="s">
        <v>65</v>
      </c>
      <c r="C17182" s="23" t="s">
        <v>942</v>
      </c>
      <c r="D17182" s="23" t="s">
        <v>943</v>
      </c>
      <c r="E17182" s="23" t="s">
        <v>944</v>
      </c>
      <c r="F17182" s="23" t="s">
        <v>945</v>
      </c>
      <c r="G17182" s="23" t="s">
        <v>946</v>
      </c>
      <c r="H17182" s="23" t="s">
        <v>947</v>
      </c>
      <c r="I17182" s="23" t="s">
        <v>948</v>
      </c>
      <c r="J17182" s="23" t="s">
        <v>949</v>
      </c>
      <c r="K17182" s="23" t="s">
        <v>950</v>
      </c>
      <c r="L17182" s="4" t="s">
        <v>47</v>
      </c>
    </row>
    <row r="17183" customFormat="false" ht="17.15" hidden="false" customHeight="false" outlineLevel="0" collapsed="false">
      <c r="A17183" s="0" t="s">
        <v>1025</v>
      </c>
      <c r="B17183" s="0" t="s">
        <v>98</v>
      </c>
      <c r="D17183" s="6" t="n">
        <f aca="false">Sens!D17161</f>
        <v>12.9359794422418</v>
      </c>
      <c r="E17183" s="6" t="n">
        <f aca="false">Sens!E17161</f>
        <v>27.8095064661409</v>
      </c>
      <c r="F17183" s="6" t="n">
        <f aca="false">Sens!F17161</f>
        <v>59.1034165651511</v>
      </c>
      <c r="G17183" s="6" t="n">
        <f aca="false">Sens!G17161</f>
        <v>103.451498789198</v>
      </c>
      <c r="H17183" s="6" t="n">
        <f aca="false">Sens!H17161</f>
        <v>153.816719989035</v>
      </c>
      <c r="I17183" s="6" t="n">
        <f aca="false">Sens!I17161</f>
        <v>192.699478690852</v>
      </c>
      <c r="J17183" s="6" t="n">
        <f aca="false">Sens!J17161</f>
        <v>219.794102584244</v>
      </c>
      <c r="K17183" s="6" t="n">
        <f aca="false">Sens!K17161</f>
        <v>236.757046905022</v>
      </c>
    </row>
    <row r="17184" customFormat="false" ht="17.15" hidden="false" customHeight="false" outlineLevel="0" collapsed="false">
      <c r="A17184" s="0" t="s">
        <v>1026</v>
      </c>
      <c r="B17184" s="0" t="s">
        <v>98</v>
      </c>
      <c r="D17184" s="6" t="n">
        <f aca="false">Q!L6-Sens!D17183</f>
        <v>59.6740205577583</v>
      </c>
      <c r="E17184" s="6" t="n">
        <f aca="false">Q!M6-Sens!E17183</f>
        <v>74.1284935338591</v>
      </c>
      <c r="F17184" s="6" t="n">
        <f aca="false">Q!$I$6+(Sens!F17183+Sens!E17184*(1+Sens!F17185))*(1-Q!$E$6/Q!M6)-Sens!F17183</f>
        <v>90.4866018070994</v>
      </c>
      <c r="G17184" s="6" t="n">
        <f aca="false">Sens!F17184*(1+Sens!G17185)</f>
        <v>107.511588557154</v>
      </c>
      <c r="H17184" s="6" t="n">
        <f aca="false">Sens!G17184*(1+Sens!H17185)</f>
        <v>124.832989325489</v>
      </c>
      <c r="I17184" s="6" t="n">
        <f aca="false">Sens!H17184*(1+Sens!I17185)</f>
        <v>141.56992589148</v>
      </c>
      <c r="J17184" s="6" t="n">
        <f aca="false">Sens!I17184*(1+Sens!J17185)</f>
        <v>156.723190479428</v>
      </c>
      <c r="K17184" s="6" t="n">
        <f aca="false">Sens!J17184*(1+Sens!K17185)</f>
        <v>169.261045717783</v>
      </c>
      <c r="L17184" s="12" t="s">
        <v>1027</v>
      </c>
    </row>
    <row r="17185" customFormat="false" ht="15" hidden="false" customHeight="false" outlineLevel="0" collapsed="false">
      <c r="A17185" s="1" t="s">
        <v>1028</v>
      </c>
      <c r="B17185" s="0" t="s">
        <v>168</v>
      </c>
      <c r="E17185" s="7" t="n">
        <f aca="false">Sens!E17184/Sens!D17184-1</f>
        <v>0.242223883039864</v>
      </c>
      <c r="F17185" s="7" t="n">
        <f aca="false">Sens!$E$17185+(glt_azo-Sens!$E$17185)*MIN(1,(Sens!F17142-base_fy)/n_conv)</f>
        <v>0.215186569199887</v>
      </c>
      <c r="G17185" s="7" t="n">
        <f aca="false">Sens!$E$17185+(glt_azo-Sens!$E$17185)*MIN(1,(Sens!G17142-base_fy)/n_conv)</f>
        <v>0.18814925535991</v>
      </c>
      <c r="H17185" s="7" t="n">
        <f aca="false">Sens!$E$17185+(glt_azo-Sens!$E$17185)*MIN(1,(Sens!H17142-base_fy)/n_conv)</f>
        <v>0.161111941519932</v>
      </c>
      <c r="I17185" s="7" t="n">
        <f aca="false">Sens!$E$17185+(glt_azo-Sens!$E$17185)*MIN(1,(Sens!I17142-base_fy)/n_conv)</f>
        <v>0.134074627679955</v>
      </c>
      <c r="J17185" s="7" t="n">
        <f aca="false">Sens!$E$17185+(glt_azo-Sens!$E$17185)*MIN(1,(Sens!J17142-base_fy)/n_conv)</f>
        <v>0.107037313839977</v>
      </c>
      <c r="K17185" s="7" t="n">
        <f aca="false">Sens!$E$17185+(glt_azo-Sens!$E$17185)*MIN(1,(Sens!K17142-base_fy)/n_conv)</f>
        <v>0.08</v>
      </c>
    </row>
    <row r="17186" customFormat="false" ht="15" hidden="false" customHeight="false" outlineLevel="0" collapsed="false">
      <c r="A17186" s="0" t="s">
        <v>1029</v>
      </c>
      <c r="B17186" s="0" t="s">
        <v>98</v>
      </c>
      <c r="D17186" s="6" t="n">
        <f aca="false">Sens!D17183+Sens!D17184</f>
        <v>72.61</v>
      </c>
      <c r="E17186" s="6" t="n">
        <f aca="false">Sens!E17183+Sens!E17184</f>
        <v>101.938</v>
      </c>
      <c r="F17186" s="6" t="n">
        <f aca="false">Sens!F17183+Sens!F17184</f>
        <v>149.59001837225</v>
      </c>
      <c r="G17186" s="6" t="n">
        <f aca="false">Sens!G17183+Sens!G17184</f>
        <v>210.963087346352</v>
      </c>
      <c r="H17186" s="6" t="n">
        <f aca="false">Sens!H17183+Sens!H17184</f>
        <v>278.649709314524</v>
      </c>
      <c r="I17186" s="6" t="n">
        <f aca="false">Sens!I17183+Sens!I17184</f>
        <v>334.269404582332</v>
      </c>
      <c r="J17186" s="6" t="n">
        <f aca="false">Sens!J17183+Sens!J17184</f>
        <v>376.517293063672</v>
      </c>
      <c r="K17186" s="6" t="n">
        <f aca="false">Sens!K17183+Sens!K17184</f>
        <v>406.018092622804</v>
      </c>
    </row>
    <row r="17187" customFormat="false" ht="17.15" hidden="false" customHeight="false" outlineLevel="0" collapsed="false">
      <c r="A17187" s="0" t="s">
        <v>1030</v>
      </c>
      <c r="B17187" s="1" t="s">
        <v>613</v>
      </c>
      <c r="C17187" s="30" t="n">
        <f aca="false">cop_s24</f>
        <v>1</v>
      </c>
      <c r="D17187" s="30" t="n">
        <f aca="false">cop_s25</f>
        <v>5</v>
      </c>
      <c r="E17187" s="30" t="n">
        <f aca="false">cop_s26</f>
        <v>30</v>
      </c>
      <c r="F17187" s="30" t="n">
        <f aca="false">Sens!E17187+cop_add_A</f>
        <v>60</v>
      </c>
      <c r="G17187" s="30" t="n">
        <f aca="false">Sens!F17187+cop_add_A</f>
        <v>90</v>
      </c>
      <c r="H17187" s="30" t="n">
        <f aca="false">Sens!G17187+cop_add_A</f>
        <v>120</v>
      </c>
      <c r="I17187" s="30" t="n">
        <f aca="false">Sens!H17187+cop_add_A*cop_tail</f>
        <v>135</v>
      </c>
      <c r="J17187" s="30" t="n">
        <f aca="false">Sens!I17187+cop_add_A*cop_tail</f>
        <v>150</v>
      </c>
      <c r="K17187" s="30" t="n">
        <f aca="false">Sens!J17187+cop_add_A*cop_tail</f>
        <v>165</v>
      </c>
      <c r="L17187" s="12" t="s">
        <v>1031</v>
      </c>
    </row>
    <row r="17188" customFormat="false" ht="17.15" hidden="false" customHeight="false" outlineLevel="0" collapsed="false">
      <c r="A17188" s="0" t="s">
        <v>1032</v>
      </c>
      <c r="B17188" s="0" t="s">
        <v>98</v>
      </c>
      <c r="D17188" s="6" t="n">
        <f aca="false">(Sens!C17187+Sens!D17187)/2*cop_px*12/1000</f>
        <v>0.9</v>
      </c>
      <c r="E17188" s="6" t="n">
        <f aca="false">(Sens!D17187+Sens!E17187)/2*cop_px*12/1000</f>
        <v>5.25</v>
      </c>
      <c r="F17188" s="6" t="n">
        <f aca="false">(Sens!E17187+Sens!F17187)/2*cop_px*12/1000</f>
        <v>13.5</v>
      </c>
      <c r="G17188" s="6" t="n">
        <f aca="false">(Sens!F17187+Sens!G17187)/2*cop_px*12/1000</f>
        <v>22.5</v>
      </c>
      <c r="H17188" s="6" t="n">
        <f aca="false">(Sens!G17187+Sens!H17187)/2*cop_px*12/1000</f>
        <v>31.5</v>
      </c>
      <c r="I17188" s="6" t="n">
        <f aca="false">(Sens!H17187+Sens!I17187)/2*cop_px*12/1000</f>
        <v>38.25</v>
      </c>
      <c r="J17188" s="6" t="n">
        <f aca="false">(Sens!I17187+Sens!J17187)/2*cop_px*12/1000</f>
        <v>42.75</v>
      </c>
      <c r="K17188" s="6" t="n">
        <f aca="false">(Sens!J17187+Sens!K17187)/2*cop_px*12/1000</f>
        <v>47.25</v>
      </c>
      <c r="L17188" s="1" t="s">
        <v>1033</v>
      </c>
    </row>
    <row r="17189" customFormat="false" ht="17.15" hidden="false" customHeight="false" outlineLevel="0" collapsed="false">
      <c r="A17189" s="0" t="s">
        <v>1034</v>
      </c>
      <c r="B17189" s="0" t="s">
        <v>98</v>
      </c>
      <c r="D17189" s="6" t="n">
        <f aca="false">Q!L7-Sens!D17188</f>
        <v>83.705</v>
      </c>
      <c r="E17189" s="6" t="n">
        <f aca="false">Q!M7-Sens!E17188</f>
        <v>95.049</v>
      </c>
      <c r="F17189" s="6" t="n">
        <f aca="false">Q!$I$7+(Sens!E17189*(1+Sens!F17190)+Sens!F17188)*(1-Q!$E$7/Q!M7)-Sens!F17188</f>
        <v>106.229653205718</v>
      </c>
      <c r="G17189" s="6" t="n">
        <f aca="false">Sens!F17189*(1+Sens!G17190)</f>
        <v>118.306092647576</v>
      </c>
      <c r="H17189" s="6" t="n">
        <f aca="false">Sens!G17189*(1+Sens!H17190)</f>
        <v>130.463437602768</v>
      </c>
      <c r="I17189" s="6" t="n">
        <f aca="false">Sens!H17189*(1+Sens!I17190)</f>
        <v>142.445354741933</v>
      </c>
      <c r="J17189" s="6" t="n">
        <f aca="false">Sens!I17189*(1+Sens!J17190)</f>
        <v>153.972117481571</v>
      </c>
      <c r="K17189" s="6" t="n">
        <f aca="false">Sens!J17189*(1+Sens!K17190)</f>
        <v>164.75016570528</v>
      </c>
      <c r="L17189" s="12" t="s">
        <v>1035</v>
      </c>
    </row>
    <row r="17190" customFormat="false" ht="15" hidden="false" customHeight="false" outlineLevel="0" collapsed="false">
      <c r="A17190" s="1" t="s">
        <v>1028</v>
      </c>
      <c r="B17190" s="0" t="s">
        <v>168</v>
      </c>
      <c r="E17190" s="7" t="n">
        <f aca="false">Sens!E17189/Sens!D17189-1</f>
        <v>0.135523564900544</v>
      </c>
      <c r="F17190" s="7" t="n">
        <f aca="false">Sens!$E$17190+(glt_m365b-Sens!$E$17190)*MIN(1,(Sens!F17142-base_fy)/n_conv)</f>
        <v>0.124602970750453</v>
      </c>
      <c r="G17190" s="7" t="n">
        <f aca="false">Sens!$E$17190+(glt_m365b-Sens!$E$17190)*MIN(1,(Sens!G17142-base_fy)/n_conv)</f>
        <v>0.113682376600363</v>
      </c>
      <c r="H17190" s="7" t="n">
        <f aca="false">Sens!$E$17190+(glt_m365b-Sens!$E$17190)*MIN(1,(Sens!H17142-base_fy)/n_conv)</f>
        <v>0.102761782450272</v>
      </c>
      <c r="I17190" s="7" t="n">
        <f aca="false">Sens!$E$17190+(glt_m365b-Sens!$E$17190)*MIN(1,(Sens!I17142-base_fy)/n_conv)</f>
        <v>0.0918411883001813</v>
      </c>
      <c r="J17190" s="7" t="n">
        <f aca="false">Sens!$E$17190+(glt_m365b-Sens!$E$17190)*MIN(1,(Sens!J17142-base_fy)/n_conv)</f>
        <v>0.0809205941500906</v>
      </c>
      <c r="K17190" s="7" t="n">
        <f aca="false">Sens!$E$17190+(glt_m365b-Sens!$E$17190)*MIN(1,(Sens!K17142-base_fy)/n_conv)</f>
        <v>0.07</v>
      </c>
    </row>
    <row r="17191" customFormat="false" ht="15" hidden="false" customHeight="false" outlineLevel="0" collapsed="false">
      <c r="A17191" s="0" t="s">
        <v>1036</v>
      </c>
      <c r="B17191" s="0" t="s">
        <v>98</v>
      </c>
      <c r="D17191" s="6" t="n">
        <f aca="false">Sens!D17189+Sens!D17188</f>
        <v>84.605</v>
      </c>
      <c r="E17191" s="6" t="n">
        <f aca="false">Sens!E17189+Sens!E17188</f>
        <v>100.299</v>
      </c>
      <c r="F17191" s="6" t="n">
        <f aca="false">Sens!F17189+Sens!F17188</f>
        <v>119.729653205718</v>
      </c>
      <c r="G17191" s="6" t="n">
        <f aca="false">Sens!G17189+Sens!G17188</f>
        <v>140.806092647576</v>
      </c>
      <c r="H17191" s="6" t="n">
        <f aca="false">Sens!H17189+Sens!H17188</f>
        <v>161.963437602768</v>
      </c>
      <c r="I17191" s="6" t="n">
        <f aca="false">Sens!I17189+Sens!I17188</f>
        <v>180.695354741933</v>
      </c>
      <c r="J17191" s="6" t="n">
        <f aca="false">Sens!J17189+Sens!J17188</f>
        <v>196.722117481571</v>
      </c>
      <c r="K17191" s="6" t="n">
        <f aca="false">Sens!K17189+Sens!K17188</f>
        <v>212.00016570528</v>
      </c>
    </row>
    <row r="17192" customFormat="false" ht="17.15" hidden="false" customHeight="false" outlineLevel="0" collapsed="false">
      <c r="A17192" s="0" t="s">
        <v>1037</v>
      </c>
      <c r="B17192" s="0" t="s">
        <v>98</v>
      </c>
      <c r="D17192" s="6" t="n">
        <f aca="false">Q!L8</f>
        <v>35.391</v>
      </c>
      <c r="E17192" s="6" t="n">
        <f aca="false">Q!M8</f>
        <v>37.285</v>
      </c>
      <c r="F17192" s="6" t="n">
        <f aca="false">Q!$I$8+(Q!M8-Q!$E$8)*(1+Sens!F17193)</f>
        <v>38.3851437782675</v>
      </c>
      <c r="G17192" s="6" t="n">
        <f aca="false">Sens!F17192*(1+Sens!G17193)</f>
        <v>40.0105353288615</v>
      </c>
      <c r="H17192" s="6" t="n">
        <f aca="false">Sens!G17192*(1+Sens!H17193)</f>
        <v>41.4812512033683</v>
      </c>
      <c r="I17192" s="6" t="n">
        <f aca="false">Sens!H17192*(1+Sens!I17193)</f>
        <v>42.7743107216329</v>
      </c>
      <c r="J17192" s="6" t="n">
        <f aca="false">Sens!I17192*(1+Sens!J17193)</f>
        <v>43.8687373064601</v>
      </c>
      <c r="K17192" s="6" t="n">
        <f aca="false">Sens!J17192*(1+Sens!K17193)</f>
        <v>44.7461120525893</v>
      </c>
      <c r="L17192" s="12" t="s">
        <v>1038</v>
      </c>
    </row>
    <row r="17193" customFormat="false" ht="15" hidden="false" customHeight="false" outlineLevel="0" collapsed="false">
      <c r="A17193" s="1" t="s">
        <v>1028</v>
      </c>
      <c r="B17193" s="0" t="s">
        <v>168</v>
      </c>
      <c r="E17193" s="7" t="n">
        <f aca="false">Sens!E17192/Sens!D17192-1</f>
        <v>0.0535164307309768</v>
      </c>
      <c r="F17193" s="7" t="n">
        <f aca="false">Sens!$E$17193+(glt_lic-Sens!$E$17193)*MIN(1,(Sens!F17142-base_fy)/n_conv)</f>
        <v>0.0479303589424807</v>
      </c>
      <c r="G17193" s="7" t="n">
        <f aca="false">Sens!$E$17193+(glt_lic-Sens!$E$17193)*MIN(1,(Sens!G17142-base_fy)/n_conv)</f>
        <v>0.0423442871539845</v>
      </c>
      <c r="H17193" s="7" t="n">
        <f aca="false">Sens!$E$17193+(glt_lic-Sens!$E$17193)*MIN(1,(Sens!H17142-base_fy)/n_conv)</f>
        <v>0.0367582153654884</v>
      </c>
      <c r="I17193" s="7" t="n">
        <f aca="false">Sens!$E$17193+(glt_lic-Sens!$E$17193)*MIN(1,(Sens!I17142-base_fy)/n_conv)</f>
        <v>0.0311721435769923</v>
      </c>
      <c r="J17193" s="7" t="n">
        <f aca="false">Sens!$E$17193+(glt_lic-Sens!$E$17193)*MIN(1,(Sens!J17142-base_fy)/n_conv)</f>
        <v>0.0255860717884961</v>
      </c>
      <c r="K17193" s="7" t="n">
        <f aca="false">Sens!$E$17193+(glt_lic-Sens!$E$17193)*MIN(1,(Sens!K17142-base_fy)/n_conv)</f>
        <v>0.02</v>
      </c>
    </row>
    <row r="17194" customFormat="false" ht="17.15" hidden="false" customHeight="false" outlineLevel="0" collapsed="false">
      <c r="A17194" s="0" t="s">
        <v>1039</v>
      </c>
      <c r="B17194" s="0" t="s">
        <v>98</v>
      </c>
      <c r="D17194" s="6" t="n">
        <f aca="false">Q!L9</f>
        <v>18.417</v>
      </c>
      <c r="E17194" s="6" t="n">
        <f aca="false">Q!M9</f>
        <v>20.345</v>
      </c>
      <c r="F17194" s="6" t="n">
        <f aca="false">Q!$I$9+(Q!M9-Q!$E$9)*(1+Sens!F17195)</f>
        <v>22.3161797133988</v>
      </c>
      <c r="G17194" s="6" t="n">
        <f aca="false">Sens!F17194*(1+Sens!G17195)</f>
        <v>24.3943499673233</v>
      </c>
      <c r="H17194" s="6" t="n">
        <f aca="false">Sens!G17194*(1+Sens!H17195)</f>
        <v>26.5250243109019</v>
      </c>
      <c r="I17194" s="6" t="n">
        <f aca="false">Sens!H17194*(1+Sens!I17195)</f>
        <v>28.6884573538181</v>
      </c>
      <c r="J17194" s="6" t="n">
        <f aca="false">Sens!I17194*(1+Sens!J17195)</f>
        <v>30.8624968052127</v>
      </c>
      <c r="K17194" s="6" t="n">
        <f aca="false">Sens!J17194*(1+Sens!K17195)</f>
        <v>33.0228715815776</v>
      </c>
      <c r="L17194" s="12" t="s">
        <v>1038</v>
      </c>
    </row>
    <row r="17195" customFormat="false" ht="15" hidden="false" customHeight="false" outlineLevel="0" collapsed="false">
      <c r="A17195" s="1" t="s">
        <v>1028</v>
      </c>
      <c r="B17195" s="0" t="s">
        <v>168</v>
      </c>
      <c r="E17195" s="7" t="n">
        <f aca="false">Sens!E17194/Sens!D17194-1</f>
        <v>0.104685888038225</v>
      </c>
      <c r="F17195" s="7" t="n">
        <f aca="false">Sens!$E$17195+(glt_ind-Sens!$E$17195)*MIN(1,(Sens!F17142-base_fy)/n_conv)</f>
        <v>0.0989049066985211</v>
      </c>
      <c r="G17195" s="7" t="n">
        <f aca="false">Sens!$E$17195+(glt_ind-Sens!$E$17195)*MIN(1,(Sens!G17142-base_fy)/n_conv)</f>
        <v>0.0931239253588169</v>
      </c>
      <c r="H17195" s="7" t="n">
        <f aca="false">Sens!$E$17195+(glt_ind-Sens!$E$17195)*MIN(1,(Sens!H17142-base_fy)/n_conv)</f>
        <v>0.0873429440191127</v>
      </c>
      <c r="I17195" s="7" t="n">
        <f aca="false">Sens!$E$17195+(glt_ind-Sens!$E$17195)*MIN(1,(Sens!I17142-base_fy)/n_conv)</f>
        <v>0.0815619626794085</v>
      </c>
      <c r="J17195" s="7" t="n">
        <f aca="false">Sens!$E$17195+(glt_ind-Sens!$E$17195)*MIN(1,(Sens!J17142-base_fy)/n_conv)</f>
        <v>0.0757809813397042</v>
      </c>
      <c r="K17195" s="7" t="n">
        <f aca="false">Sens!$E$17195+(glt_ind-Sens!$E$17195)*MIN(1,(Sens!K17142-base_fy)/n_conv)</f>
        <v>0.07</v>
      </c>
    </row>
    <row r="17196" customFormat="false" ht="17.15" hidden="false" customHeight="false" outlineLevel="0" collapsed="false">
      <c r="A17196" s="0" t="s">
        <v>1040</v>
      </c>
      <c r="B17196" s="0" t="s">
        <v>98</v>
      </c>
      <c r="D17196" s="6" t="n">
        <f aca="false">Q!L10</f>
        <v>7.76</v>
      </c>
      <c r="E17196" s="6" t="n">
        <f aca="false">Q!M10</f>
        <v>8.26</v>
      </c>
      <c r="F17196" s="6" t="n">
        <f aca="false">Q!$I$10+(Q!M10-Q!$E$10)*(1+Sens!F17197)</f>
        <v>8.75372082474227</v>
      </c>
      <c r="G17196" s="6" t="n">
        <f aca="false">Sens!F17196*(1+Sens!G17197)</f>
        <v>9.33399324642364</v>
      </c>
      <c r="H17196" s="6" t="n">
        <f aca="false">Sens!G17196*(1+Sens!H17197)</f>
        <v>9.96139155535851</v>
      </c>
      <c r="I17196" s="6" t="n">
        <f aca="false">Sens!H17196*(1+Sens!I17197)</f>
        <v>10.6402039077391</v>
      </c>
      <c r="J17196" s="6" t="n">
        <f aca="false">Sens!I17196*(1+Sens!J17197)</f>
        <v>11.3751458271397</v>
      </c>
      <c r="K17196" s="6" t="n">
        <f aca="false">Sens!J17196*(1+Sens!K17197)</f>
        <v>12.1714060350394</v>
      </c>
      <c r="L17196" s="12" t="s">
        <v>1038</v>
      </c>
    </row>
    <row r="17197" customFormat="false" ht="15" hidden="false" customHeight="false" outlineLevel="0" collapsed="false">
      <c r="A17197" s="1" t="s">
        <v>1028</v>
      </c>
      <c r="B17197" s="0" t="s">
        <v>168</v>
      </c>
      <c r="E17197" s="7" t="n">
        <f aca="false">Sens!E17196/Sens!D17196-1</f>
        <v>0.0644329896907216</v>
      </c>
      <c r="F17197" s="7" t="n">
        <f aca="false">Sens!$E$17197+(glt_fro-Sens!$E$17197)*MIN(1,(Sens!F17142-base_fy)/n_conv)</f>
        <v>0.065360824742268</v>
      </c>
      <c r="G17197" s="7" t="n">
        <f aca="false">Sens!$E$17197+(glt_fro-Sens!$E$17197)*MIN(1,(Sens!G17142-base_fy)/n_conv)</f>
        <v>0.0662886597938144</v>
      </c>
      <c r="H17197" s="7" t="n">
        <f aca="false">Sens!$E$17197+(glt_fro-Sens!$E$17197)*MIN(1,(Sens!H17142-base_fy)/n_conv)</f>
        <v>0.0672164948453608</v>
      </c>
      <c r="I17197" s="7" t="n">
        <f aca="false">Sens!$E$17197+(glt_fro-Sens!$E$17197)*MIN(1,(Sens!I17142-base_fy)/n_conv)</f>
        <v>0.0681443298969072</v>
      </c>
      <c r="J17197" s="7" t="n">
        <f aca="false">Sens!$E$17197+(glt_fro-Sens!$E$17197)*MIN(1,(Sens!J17142-base_fy)/n_conv)</f>
        <v>0.0690721649484536</v>
      </c>
      <c r="K17197" s="7" t="n">
        <f aca="false">Sens!$E$17197+(glt_fro-Sens!$E$17197)*MIN(1,(Sens!K17142-base_fy)/n_conv)</f>
        <v>0.07</v>
      </c>
    </row>
    <row r="17198" customFormat="false" ht="15" hidden="false" customHeight="false" outlineLevel="0" collapsed="false">
      <c r="A17198" s="0" t="s">
        <v>856</v>
      </c>
      <c r="B17198" s="0" t="s">
        <v>98</v>
      </c>
      <c r="D17198" s="6" t="n">
        <f aca="false">Sens!D17186+Sens!D17191+Sens!D17192+Sens!D17194+Sens!D17196</f>
        <v>218.783</v>
      </c>
      <c r="E17198" s="6" t="n">
        <f aca="false">Sens!E17186+Sens!E17191+Sens!E17192+Sens!E17194+Sens!E17196</f>
        <v>268.127</v>
      </c>
      <c r="F17198" s="6" t="n">
        <f aca="false">Sens!F17186+Sens!F17191+Sens!F17192+Sens!F17194+Sens!F17196</f>
        <v>338.774715894377</v>
      </c>
      <c r="G17198" s="6" t="n">
        <f aca="false">Sens!G17186+Sens!G17191+Sens!G17192+Sens!G17194+Sens!G17196</f>
        <v>425.508058536537</v>
      </c>
      <c r="H17198" s="6" t="n">
        <f aca="false">Sens!H17186+Sens!H17191+Sens!H17192+Sens!H17194+Sens!H17196</f>
        <v>518.580813986921</v>
      </c>
      <c r="I17198" s="6" t="n">
        <f aca="false">Sens!I17186+Sens!I17191+Sens!I17192+Sens!I17194+Sens!I17196</f>
        <v>597.067731307455</v>
      </c>
      <c r="J17198" s="6" t="n">
        <f aca="false">Sens!J17186+Sens!J17191+Sens!J17192+Sens!J17194+Sens!J17196</f>
        <v>659.345790484055</v>
      </c>
      <c r="K17198" s="6" t="n">
        <f aca="false">Sens!K17186+Sens!K17191+Sens!K17192+Sens!K17194+Sens!K17196</f>
        <v>707.958647997291</v>
      </c>
    </row>
    <row r="17199" customFormat="false" ht="17.15" hidden="false" customHeight="false" outlineLevel="0" collapsed="false">
      <c r="A17199" s="0" t="s">
        <v>1041</v>
      </c>
      <c r="B17199" s="0" t="s">
        <v>98</v>
      </c>
      <c r="D17199" s="6" t="n">
        <f aca="false">Q!L13</f>
        <v>22.171</v>
      </c>
      <c r="E17199" s="6" t="n">
        <f aca="false">Q!M13</f>
        <v>24.835</v>
      </c>
      <c r="F17199" s="6" t="n">
        <f aca="false">Q!$I$13+(Q!M13-Q!$E$13)*(1+Sens!F17200)</f>
        <v>27.5591895660247</v>
      </c>
      <c r="G17199" s="6" t="n">
        <f aca="false">Sens!F17199*(1+Sens!G17200)</f>
        <v>30.4098563144583</v>
      </c>
      <c r="H17199" s="6" t="n">
        <f aca="false">Sens!G17199*(1+Sens!H17200)</f>
        <v>33.3011792571777</v>
      </c>
      <c r="I17199" s="6" t="n">
        <f aca="false">Sens!H17199*(1+Sens!I17200)</f>
        <v>36.189023797112</v>
      </c>
      <c r="J17199" s="6" t="n">
        <f aca="false">Sens!I17199*(1+Sens!J17200)</f>
        <v>39.0247773769199</v>
      </c>
      <c r="K17199" s="6" t="n">
        <f aca="false">Sens!J17199*(1+Sens!K17200)</f>
        <v>41.7565117933043</v>
      </c>
      <c r="L17199" s="12" t="s">
        <v>1038</v>
      </c>
    </row>
    <row r="17200" customFormat="false" ht="15" hidden="false" customHeight="false" outlineLevel="0" collapsed="false">
      <c r="A17200" s="1" t="s">
        <v>1028</v>
      </c>
      <c r="B17200" s="0" t="s">
        <v>168</v>
      </c>
      <c r="E17200" s="7" t="n">
        <f aca="false">Sens!E17199/Sens!D17199-1</f>
        <v>0.120156961796942</v>
      </c>
      <c r="F17200" s="7" t="n">
        <f aca="false">Sens!$E$17200+(glt_srch-Sens!$E$17200)*MIN(1,(Sens!F17142-base_fy)/n_conv)</f>
        <v>0.111797468164118</v>
      </c>
      <c r="G17200" s="7" t="n">
        <f aca="false">Sens!$E$17200+(glt_srch-Sens!$E$17200)*MIN(1,(Sens!G17142-base_fy)/n_conv)</f>
        <v>0.103437974531295</v>
      </c>
      <c r="H17200" s="7" t="n">
        <f aca="false">Sens!$E$17200+(glt_srch-Sens!$E$17200)*MIN(1,(Sens!H17142-base_fy)/n_conv)</f>
        <v>0.095078480898471</v>
      </c>
      <c r="I17200" s="7" t="n">
        <f aca="false">Sens!$E$17200+(glt_srch-Sens!$E$17200)*MIN(1,(Sens!I17142-base_fy)/n_conv)</f>
        <v>0.0867189872656474</v>
      </c>
      <c r="J17200" s="7" t="n">
        <f aca="false">Sens!$E$17200+(glt_srch-Sens!$E$17200)*MIN(1,(Sens!J17142-base_fy)/n_conv)</f>
        <v>0.0783594936328237</v>
      </c>
      <c r="K17200" s="7" t="n">
        <f aca="false">Sens!$E$17200+(glt_srch-Sens!$E$17200)*MIN(1,(Sens!K17142-base_fy)/n_conv)</f>
        <v>0.07</v>
      </c>
    </row>
    <row r="17201" customFormat="false" ht="17.15" hidden="false" customHeight="false" outlineLevel="0" collapsed="false">
      <c r="A17201" s="0" t="s">
        <v>1042</v>
      </c>
      <c r="B17201" s="0" t="s">
        <v>98</v>
      </c>
      <c r="D17201" s="6" t="n">
        <f aca="false">Q!L14</f>
        <v>23.455</v>
      </c>
      <c r="E17201" s="6" t="n">
        <f aca="false">Q!M14</f>
        <v>21.79</v>
      </c>
      <c r="F17201" s="6" t="n">
        <f aca="false">Q!$I$14+(Q!M14-Q!$E$14)*(1+Sens!F17202)</f>
        <v>20.7520981041711</v>
      </c>
      <c r="G17201" s="6" t="n">
        <f aca="false">Sens!F17201*(1+Sens!G17202)</f>
        <v>19.9083593495882</v>
      </c>
      <c r="H17201" s="6" t="n">
        <f aca="false">Sens!G17201*(1+Sens!H17202)</f>
        <v>19.4008256265831</v>
      </c>
      <c r="I17201" s="6" t="n">
        <f aca="false">Sens!H17201*(1+Sens!I17202)</f>
        <v>19.200434522122</v>
      </c>
      <c r="J17201" s="6" t="n">
        <f aca="false">Sens!I17201*(1+Sens!J17202)</f>
        <v>19.2932782348507</v>
      </c>
      <c r="K17201" s="6" t="n">
        <f aca="false">Sens!J17201*(1+Sens!K17202)</f>
        <v>19.6791437995477</v>
      </c>
      <c r="L17201" s="12" t="s">
        <v>1038</v>
      </c>
    </row>
    <row r="17202" customFormat="false" ht="15" hidden="false" customHeight="false" outlineLevel="0" collapsed="false">
      <c r="A17202" s="1" t="s">
        <v>1028</v>
      </c>
      <c r="B17202" s="0" t="s">
        <v>168</v>
      </c>
      <c r="E17202" s="7" t="n">
        <f aca="false">Sens!E17201/Sens!D17201-1</f>
        <v>-0.0709869963760392</v>
      </c>
      <c r="F17202" s="7" t="n">
        <f aca="false">Sens!$E$17202+(glt_xbox-Sens!$E$17202)*MIN(1,(Sens!F17142-base_fy)/n_conv)</f>
        <v>-0.0558224969800327</v>
      </c>
      <c r="G17202" s="7" t="n">
        <f aca="false">Sens!$E$17202+(glt_xbox-Sens!$E$17202)*MIN(1,(Sens!G17142-base_fy)/n_conv)</f>
        <v>-0.0406579975840262</v>
      </c>
      <c r="H17202" s="7" t="n">
        <f aca="false">Sens!$E$17202+(glt_xbox-Sens!$E$17202)*MIN(1,(Sens!H17142-base_fy)/n_conv)</f>
        <v>-0.0254934981880196</v>
      </c>
      <c r="I17202" s="7" t="n">
        <f aca="false">Sens!$E$17202+(glt_xbox-Sens!$E$17202)*MIN(1,(Sens!I17142-base_fy)/n_conv)</f>
        <v>-0.0103289987920131</v>
      </c>
      <c r="J17202" s="7" t="n">
        <f aca="false">Sens!$E$17202+(glt_xbox-Sens!$E$17202)*MIN(1,(Sens!J17142-base_fy)/n_conv)</f>
        <v>0.00483550060399347</v>
      </c>
      <c r="K17202" s="7" t="n">
        <f aca="false">Sens!$E$17202+(glt_xbox-Sens!$E$17202)*MIN(1,(Sens!K17142-base_fy)/n_conv)</f>
        <v>0.02</v>
      </c>
    </row>
    <row r="17203" customFormat="false" ht="17.15" hidden="false" customHeight="false" outlineLevel="0" collapsed="false">
      <c r="A17203" s="0" t="s">
        <v>1043</v>
      </c>
      <c r="B17203" s="0" t="s">
        <v>98</v>
      </c>
      <c r="D17203" s="6" t="n">
        <f aca="false">Q!L15</f>
        <v>17.315</v>
      </c>
      <c r="E17203" s="6" t="n">
        <f aca="false">Q!M15</f>
        <v>17.087</v>
      </c>
      <c r="F17203" s="6" t="n">
        <f aca="false">Q!$I$15+(Q!M15-Q!$E$15)*(1+Sens!F17204)</f>
        <v>15.9912273250553</v>
      </c>
      <c r="G17203" s="6" t="n">
        <f aca="false">Sens!F17203*(1+Sens!G17204)</f>
        <v>15.9574562664827</v>
      </c>
      <c r="H17203" s="6" t="n">
        <f aca="false">Sens!G17203*(1+Sens!H17204)</f>
        <v>16.0119687434196</v>
      </c>
      <c r="I17203" s="6" t="n">
        <f aca="false">Sens!H17203*(1+Sens!I17204)</f>
        <v>16.1551810001948</v>
      </c>
      <c r="J17203" s="6" t="n">
        <f aca="false">Sens!I17203*(1+Sens!J17204)</f>
        <v>16.3889793892005</v>
      </c>
      <c r="K17203" s="6" t="n">
        <f aca="false">Sens!J17203*(1+Sens!K17204)</f>
        <v>16.7167589769845</v>
      </c>
      <c r="L17203" s="12" t="s">
        <v>1038</v>
      </c>
    </row>
    <row r="17204" customFormat="false" ht="15" hidden="false" customHeight="false" outlineLevel="0" collapsed="false">
      <c r="A17204" s="1" t="s">
        <v>1028</v>
      </c>
      <c r="B17204" s="0" t="s">
        <v>168</v>
      </c>
      <c r="E17204" s="7" t="n">
        <f aca="false">Sens!E17203/Sens!D17203-1</f>
        <v>-0.0131677736066995</v>
      </c>
      <c r="F17204" s="7" t="n">
        <f aca="false">Sens!$E$17204+(glt_win-Sens!$E$17204)*MIN(1,(Sens!F17142-base_fy)/n_conv)</f>
        <v>-0.00763981133891627</v>
      </c>
      <c r="G17204" s="7" t="n">
        <f aca="false">Sens!$E$17204+(glt_win-Sens!$E$17204)*MIN(1,(Sens!G17142-base_fy)/n_conv)</f>
        <v>-0.00211184907113301</v>
      </c>
      <c r="H17204" s="7" t="n">
        <f aca="false">Sens!$E$17204+(glt_win-Sens!$E$17204)*MIN(1,(Sens!H17142-base_fy)/n_conv)</f>
        <v>0.00341611319665024</v>
      </c>
      <c r="I17204" s="7" t="n">
        <f aca="false">Sens!$E$17204+(glt_win-Sens!$E$17204)*MIN(1,(Sens!I17142-base_fy)/n_conv)</f>
        <v>0.00894407546443349</v>
      </c>
      <c r="J17204" s="7" t="n">
        <f aca="false">Sens!$E$17204+(glt_win-Sens!$E$17204)*MIN(1,(Sens!J17142-base_fy)/n_conv)</f>
        <v>0.0144720377322168</v>
      </c>
      <c r="K17204" s="7" t="n">
        <f aca="false">Sens!$E$17204+(glt_win-Sens!$E$17204)*MIN(1,(Sens!K17142-base_fy)/n_conv)</f>
        <v>0.02</v>
      </c>
    </row>
    <row r="17205" customFormat="false" ht="15" hidden="false" customHeight="false" outlineLevel="0" collapsed="false">
      <c r="A17205" s="0" t="s">
        <v>870</v>
      </c>
      <c r="B17205" s="0" t="s">
        <v>98</v>
      </c>
      <c r="D17205" s="6" t="n">
        <f aca="false">Sens!D17199+Sens!D17201+Sens!D17203</f>
        <v>62.941</v>
      </c>
      <c r="E17205" s="6" t="n">
        <f aca="false">Sens!E17199+Sens!E17201+Sens!E17203</f>
        <v>63.712</v>
      </c>
      <c r="F17205" s="6" t="n">
        <f aca="false">Sens!F17199+Sens!F17201+Sens!F17203</f>
        <v>64.3025149952511</v>
      </c>
      <c r="G17205" s="6" t="n">
        <f aca="false">Sens!G17199+Sens!G17201+Sens!G17203</f>
        <v>66.2756719305292</v>
      </c>
      <c r="H17205" s="6" t="n">
        <f aca="false">Sens!H17199+Sens!H17201+Sens!H17203</f>
        <v>68.7139736271804</v>
      </c>
      <c r="I17205" s="6" t="n">
        <f aca="false">Sens!I17199+Sens!I17201+Sens!I17203</f>
        <v>71.5446393194289</v>
      </c>
      <c r="J17205" s="6" t="n">
        <f aca="false">Sens!J17199+Sens!J17201+Sens!J17203</f>
        <v>74.707035000971</v>
      </c>
      <c r="K17205" s="6" t="n">
        <f aca="false">Sens!K17199+Sens!K17201+Sens!K17203</f>
        <v>78.1524145698365</v>
      </c>
    </row>
    <row r="17206" customFormat="false" ht="15" hidden="false" customHeight="false" outlineLevel="0" collapsed="false">
      <c r="A17206" s="1" t="s">
        <v>1044</v>
      </c>
      <c r="B17206" s="0" t="s">
        <v>98</v>
      </c>
      <c r="D17206" s="6" t="n">
        <f aca="false">Sens!D17198+Sens!D17205</f>
        <v>281.724</v>
      </c>
      <c r="E17206" s="6" t="n">
        <f aca="false">Sens!E17198+Sens!E17205</f>
        <v>331.839</v>
      </c>
      <c r="F17206" s="6" t="n">
        <f aca="false">Sens!F17198+Sens!F17205</f>
        <v>403.077230889628</v>
      </c>
      <c r="G17206" s="6" t="n">
        <f aca="false">Sens!G17198+Sens!G17205</f>
        <v>491.783730467066</v>
      </c>
      <c r="H17206" s="6" t="n">
        <f aca="false">Sens!H17198+Sens!H17205</f>
        <v>587.294787614101</v>
      </c>
      <c r="I17206" s="6" t="n">
        <f aca="false">Sens!I17198+Sens!I17205</f>
        <v>668.612370626884</v>
      </c>
      <c r="J17206" s="6" t="n">
        <f aca="false">Sens!J17198+Sens!J17205</f>
        <v>734.052825485026</v>
      </c>
      <c r="K17206" s="6" t="n">
        <f aca="false">Sens!K17198+Sens!K17205</f>
        <v>786.111062567128</v>
      </c>
    </row>
    <row r="17207" customFormat="false" ht="15" hidden="false" customHeight="false" outlineLevel="0" collapsed="false">
      <c r="A17207" s="26" t="s">
        <v>1045</v>
      </c>
      <c r="B17207" s="31" t="s">
        <v>98</v>
      </c>
      <c r="C17207" s="31"/>
      <c r="D17207" s="27" t="n">
        <f aca="false">(Sens!D17186+Sens!D17191+Sens!D17192+Sens!D17194+Sens!D17196-Sens!D17198)+(Sens!D17199+Sens!D17201+Sens!D17203-Sens!D17205)+(Sens!D17198-Q!L5)+(Sens!D17205-Q!L12)+(Sens!D17186-Q!L6)+(Sens!D17191-Q!L7)</f>
        <v>0</v>
      </c>
      <c r="E17207" s="27" t="n">
        <f aca="false">(Sens!E17186+Sens!E17191+Sens!E17192+Sens!E17194+Sens!E17196-Sens!E17198)+(Sens!E17199+Sens!E17201+Sens!E17203-Sens!E17205)+(Sens!E17198-Q!M5)+(Sens!E17205-Q!M12)+(Sens!E17186-Q!M6)+(Sens!E17191-Q!M7)</f>
        <v>0</v>
      </c>
      <c r="F17207" s="27" t="n">
        <f aca="false">(Sens!F17186+Sens!F17191+Sens!F17192+Sens!F17194+Sens!F17196-Sens!F17198)+(Sens!F17199+Sens!F17201+Sens!F17203-Sens!F17205)</f>
        <v>0</v>
      </c>
      <c r="G17207" s="27" t="n">
        <f aca="false">(Sens!G17186+Sens!G17191+Sens!G17192+Sens!G17194+Sens!G17196-Sens!G17198)+(Sens!G17199+Sens!G17201+Sens!G17203-Sens!G17205)</f>
        <v>0</v>
      </c>
      <c r="H17207" s="27" t="n">
        <f aca="false">(Sens!H17186+Sens!H17191+Sens!H17192+Sens!H17194+Sens!H17196-Sens!H17198)+(Sens!H17199+Sens!H17201+Sens!H17203-Sens!H17205)</f>
        <v>0</v>
      </c>
      <c r="I17207" s="27" t="n">
        <f aca="false">(Sens!I17186+Sens!I17191+Sens!I17192+Sens!I17194+Sens!I17196-Sens!I17198)+(Sens!I17199+Sens!I17201+Sens!I17203-Sens!I17205)</f>
        <v>0</v>
      </c>
      <c r="J17207" s="27" t="n">
        <f aca="false">(Sens!J17186+Sens!J17191+Sens!J17192+Sens!J17194+Sens!J17196-Sens!J17198)+(Sens!J17199+Sens!J17201+Sens!J17203-Sens!J17205)</f>
        <v>0</v>
      </c>
      <c r="K17207" s="27" t="n">
        <f aca="false">(Sens!K17186+Sens!K17191+Sens!K17192+Sens!K17194+Sens!K17196-Sens!K17198)+(Sens!K17199+Sens!K17201+Sens!K17203-Sens!K17205)</f>
        <v>0</v>
      </c>
    </row>
    <row r="17208" customFormat="false" ht="17.15" hidden="false" customHeight="false" outlineLevel="0" collapsed="false">
      <c r="A17208" s="3" t="s">
        <v>2036</v>
      </c>
    </row>
    <row r="17209" customFormat="false" ht="15" hidden="false" customHeight="false" outlineLevel="0" collapsed="false">
      <c r="A17209" s="4" t="s">
        <v>43</v>
      </c>
      <c r="B17209" s="4" t="s">
        <v>65</v>
      </c>
      <c r="C17209" s="23" t="s">
        <v>942</v>
      </c>
      <c r="D17209" s="23" t="s">
        <v>943</v>
      </c>
      <c r="E17209" s="23" t="s">
        <v>944</v>
      </c>
      <c r="F17209" s="23" t="s">
        <v>945</v>
      </c>
      <c r="G17209" s="23" t="s">
        <v>946</v>
      </c>
      <c r="H17209" s="23" t="s">
        <v>947</v>
      </c>
      <c r="I17209" s="23" t="s">
        <v>948</v>
      </c>
      <c r="J17209" s="23" t="s">
        <v>949</v>
      </c>
      <c r="K17209" s="23" t="s">
        <v>950</v>
      </c>
      <c r="L17209" s="4" t="s">
        <v>47</v>
      </c>
    </row>
    <row r="17210" customFormat="false" ht="15" hidden="false" customHeight="false" outlineLevel="0" collapsed="false">
      <c r="A17210" s="0" t="s">
        <v>1029</v>
      </c>
      <c r="B17210" s="0" t="s">
        <v>98</v>
      </c>
      <c r="D17210" s="6" t="n">
        <f aca="false">Sens!D17186</f>
        <v>72.61</v>
      </c>
      <c r="E17210" s="6" t="n">
        <f aca="false">Sens!E17186</f>
        <v>101.938</v>
      </c>
      <c r="F17210" s="6" t="n">
        <f aca="false">Sens!F17186</f>
        <v>149.59001837225</v>
      </c>
      <c r="G17210" s="6" t="n">
        <f aca="false">Sens!G17186</f>
        <v>210.963087346352</v>
      </c>
      <c r="H17210" s="6" t="n">
        <f aca="false">Sens!H17186</f>
        <v>278.649709314524</v>
      </c>
      <c r="I17210" s="6" t="n">
        <f aca="false">Sens!I17186</f>
        <v>334.269404582332</v>
      </c>
      <c r="J17210" s="6" t="n">
        <f aca="false">Sens!J17186</f>
        <v>376.517293063672</v>
      </c>
      <c r="K17210" s="6" t="n">
        <f aca="false">Sens!K17186</f>
        <v>406.018092622804</v>
      </c>
    </row>
    <row r="17211" customFormat="false" ht="17.15" hidden="false" customHeight="false" outlineLevel="0" collapsed="false">
      <c r="A17211" s="0" t="s">
        <v>1025</v>
      </c>
      <c r="B17211" s="0" t="s">
        <v>98</v>
      </c>
      <c r="D17211" s="6" t="n">
        <f aca="false">Sens!D17183</f>
        <v>12.9359794422418</v>
      </c>
      <c r="E17211" s="6" t="n">
        <f aca="false">Sens!E17183</f>
        <v>27.8095064661409</v>
      </c>
      <c r="F17211" s="6" t="n">
        <f aca="false">Sens!F17183</f>
        <v>59.1034165651511</v>
      </c>
      <c r="G17211" s="6" t="n">
        <f aca="false">Sens!G17183</f>
        <v>103.451498789198</v>
      </c>
      <c r="H17211" s="6" t="n">
        <f aca="false">Sens!H17183</f>
        <v>153.816719989035</v>
      </c>
      <c r="I17211" s="6" t="n">
        <f aca="false">Sens!I17183</f>
        <v>192.699478690852</v>
      </c>
      <c r="J17211" s="6" t="n">
        <f aca="false">Sens!J17183</f>
        <v>219.794102584244</v>
      </c>
      <c r="K17211" s="6" t="n">
        <f aca="false">Sens!K17183</f>
        <v>236.757046905022</v>
      </c>
    </row>
    <row r="17212" customFormat="false" ht="17.15" hidden="false" customHeight="false" outlineLevel="0" collapsed="false">
      <c r="A17212" s="0" t="s">
        <v>1056</v>
      </c>
      <c r="B17212" s="0" t="s">
        <v>98</v>
      </c>
      <c r="D17212" s="6" t="n">
        <f aca="false">Sens!D17184</f>
        <v>59.6740205577583</v>
      </c>
      <c r="E17212" s="6" t="n">
        <f aca="false">Sens!E17184</f>
        <v>74.1284935338591</v>
      </c>
      <c r="F17212" s="6" t="n">
        <f aca="false">Sens!F17184</f>
        <v>90.4866018070994</v>
      </c>
      <c r="G17212" s="6" t="n">
        <f aca="false">Sens!G17184</f>
        <v>107.511588557154</v>
      </c>
      <c r="H17212" s="6" t="n">
        <f aca="false">Sens!H17184</f>
        <v>124.832989325489</v>
      </c>
      <c r="I17212" s="6" t="n">
        <f aca="false">Sens!I17184</f>
        <v>141.56992589148</v>
      </c>
      <c r="J17212" s="6" t="n">
        <f aca="false">Sens!J17184</f>
        <v>156.723190479428</v>
      </c>
      <c r="K17212" s="6" t="n">
        <f aca="false">Sens!K17184</f>
        <v>169.261045717783</v>
      </c>
    </row>
    <row r="17213" customFormat="false" ht="15" hidden="false" customHeight="false" outlineLevel="0" collapsed="false">
      <c r="A17213" s="0" t="s">
        <v>1036</v>
      </c>
      <c r="B17213" s="0" t="s">
        <v>98</v>
      </c>
      <c r="D17213" s="6" t="n">
        <f aca="false">Sens!D17191</f>
        <v>84.605</v>
      </c>
      <c r="E17213" s="6" t="n">
        <f aca="false">Sens!E17191</f>
        <v>100.299</v>
      </c>
      <c r="F17213" s="6" t="n">
        <f aca="false">Sens!F17191</f>
        <v>119.729653205718</v>
      </c>
      <c r="G17213" s="6" t="n">
        <f aca="false">Sens!G17191</f>
        <v>140.806092647576</v>
      </c>
      <c r="H17213" s="6" t="n">
        <f aca="false">Sens!H17191</f>
        <v>161.963437602768</v>
      </c>
      <c r="I17213" s="6" t="n">
        <f aca="false">Sens!I17191</f>
        <v>180.695354741933</v>
      </c>
      <c r="J17213" s="6" t="n">
        <f aca="false">Sens!J17191</f>
        <v>196.722117481571</v>
      </c>
      <c r="K17213" s="6" t="n">
        <f aca="false">Sens!K17191</f>
        <v>212.00016570528</v>
      </c>
    </row>
    <row r="17214" customFormat="false" ht="17.15" hidden="false" customHeight="false" outlineLevel="0" collapsed="false">
      <c r="A17214" s="0" t="s">
        <v>1057</v>
      </c>
      <c r="B17214" s="0" t="s">
        <v>98</v>
      </c>
      <c r="D17214" s="6" t="n">
        <f aca="false">Sens!D17189</f>
        <v>83.705</v>
      </c>
      <c r="E17214" s="6" t="n">
        <f aca="false">Sens!E17189</f>
        <v>95.049</v>
      </c>
      <c r="F17214" s="6" t="n">
        <f aca="false">Sens!F17189</f>
        <v>106.229653205718</v>
      </c>
      <c r="G17214" s="6" t="n">
        <f aca="false">Sens!G17189</f>
        <v>118.306092647576</v>
      </c>
      <c r="H17214" s="6" t="n">
        <f aca="false">Sens!H17189</f>
        <v>130.463437602768</v>
      </c>
      <c r="I17214" s="6" t="n">
        <f aca="false">Sens!I17189</f>
        <v>142.445354741933</v>
      </c>
      <c r="J17214" s="6" t="n">
        <f aca="false">Sens!J17189</f>
        <v>153.972117481571</v>
      </c>
      <c r="K17214" s="6" t="n">
        <f aca="false">Sens!K17189</f>
        <v>164.75016570528</v>
      </c>
    </row>
    <row r="17215" customFormat="false" ht="17.15" hidden="false" customHeight="false" outlineLevel="0" collapsed="false">
      <c r="A17215" s="0" t="s">
        <v>1058</v>
      </c>
      <c r="B17215" s="0" t="s">
        <v>98</v>
      </c>
      <c r="D17215" s="6" t="n">
        <f aca="false">Sens!D17188</f>
        <v>0.9</v>
      </c>
      <c r="E17215" s="6" t="n">
        <f aca="false">Sens!E17188</f>
        <v>5.25</v>
      </c>
      <c r="F17215" s="6" t="n">
        <f aca="false">Sens!F17188</f>
        <v>13.5</v>
      </c>
      <c r="G17215" s="6" t="n">
        <f aca="false">Sens!G17188</f>
        <v>22.5</v>
      </c>
      <c r="H17215" s="6" t="n">
        <f aca="false">Sens!H17188</f>
        <v>31.5</v>
      </c>
      <c r="I17215" s="6" t="n">
        <f aca="false">Sens!I17188</f>
        <v>38.25</v>
      </c>
      <c r="J17215" s="6" t="n">
        <f aca="false">Sens!J17188</f>
        <v>42.75</v>
      </c>
      <c r="K17215" s="6" t="n">
        <f aca="false">Sens!K17188</f>
        <v>47.25</v>
      </c>
    </row>
    <row r="17216" customFormat="false" ht="15" hidden="false" customHeight="false" outlineLevel="0" collapsed="false">
      <c r="A17216" s="0" t="s">
        <v>1037</v>
      </c>
      <c r="B17216" s="0" t="s">
        <v>98</v>
      </c>
      <c r="D17216" s="6" t="n">
        <f aca="false">Sens!D17192</f>
        <v>35.391</v>
      </c>
      <c r="E17216" s="6" t="n">
        <f aca="false">Sens!E17192</f>
        <v>37.285</v>
      </c>
      <c r="F17216" s="6" t="n">
        <f aca="false">Sens!F17192</f>
        <v>38.3851437782675</v>
      </c>
      <c r="G17216" s="6" t="n">
        <f aca="false">Sens!G17192</f>
        <v>40.0105353288615</v>
      </c>
      <c r="H17216" s="6" t="n">
        <f aca="false">Sens!H17192</f>
        <v>41.4812512033683</v>
      </c>
      <c r="I17216" s="6" t="n">
        <f aca="false">Sens!I17192</f>
        <v>42.7743107216329</v>
      </c>
      <c r="J17216" s="6" t="n">
        <f aca="false">Sens!J17192</f>
        <v>43.8687373064601</v>
      </c>
      <c r="K17216" s="6" t="n">
        <f aca="false">Sens!K17192</f>
        <v>44.7461120525893</v>
      </c>
    </row>
    <row r="17217" customFormat="false" ht="15" hidden="false" customHeight="false" outlineLevel="0" collapsed="false">
      <c r="A17217" s="0" t="s">
        <v>1039</v>
      </c>
      <c r="B17217" s="0" t="s">
        <v>98</v>
      </c>
      <c r="D17217" s="6" t="n">
        <f aca="false">Sens!D17194</f>
        <v>18.417</v>
      </c>
      <c r="E17217" s="6" t="n">
        <f aca="false">Sens!E17194</f>
        <v>20.345</v>
      </c>
      <c r="F17217" s="6" t="n">
        <f aca="false">Sens!F17194</f>
        <v>22.3161797133988</v>
      </c>
      <c r="G17217" s="6" t="n">
        <f aca="false">Sens!G17194</f>
        <v>24.3943499673233</v>
      </c>
      <c r="H17217" s="6" t="n">
        <f aca="false">Sens!H17194</f>
        <v>26.5250243109019</v>
      </c>
      <c r="I17217" s="6" t="n">
        <f aca="false">Sens!I17194</f>
        <v>28.6884573538181</v>
      </c>
      <c r="J17217" s="6" t="n">
        <f aca="false">Sens!J17194</f>
        <v>30.8624968052127</v>
      </c>
      <c r="K17217" s="6" t="n">
        <f aca="false">Sens!K17194</f>
        <v>33.0228715815776</v>
      </c>
    </row>
    <row r="17218" customFormat="false" ht="15" hidden="false" customHeight="false" outlineLevel="0" collapsed="false">
      <c r="A17218" s="0" t="s">
        <v>1040</v>
      </c>
      <c r="B17218" s="0" t="s">
        <v>98</v>
      </c>
      <c r="D17218" s="6" t="n">
        <f aca="false">Sens!D17196</f>
        <v>7.76</v>
      </c>
      <c r="E17218" s="6" t="n">
        <f aca="false">Sens!E17196</f>
        <v>8.26</v>
      </c>
      <c r="F17218" s="6" t="n">
        <f aca="false">Sens!F17196</f>
        <v>8.75372082474227</v>
      </c>
      <c r="G17218" s="6" t="n">
        <f aca="false">Sens!G17196</f>
        <v>9.33399324642364</v>
      </c>
      <c r="H17218" s="6" t="n">
        <f aca="false">Sens!H17196</f>
        <v>9.96139155535851</v>
      </c>
      <c r="I17218" s="6" t="n">
        <f aca="false">Sens!I17196</f>
        <v>10.6402039077391</v>
      </c>
      <c r="J17218" s="6" t="n">
        <f aca="false">Sens!J17196</f>
        <v>11.3751458271397</v>
      </c>
      <c r="K17218" s="6" t="n">
        <f aca="false">Sens!K17196</f>
        <v>12.1714060350394</v>
      </c>
    </row>
    <row r="17219" customFormat="false" ht="15" hidden="false" customHeight="false" outlineLevel="0" collapsed="false">
      <c r="A17219" s="0" t="s">
        <v>856</v>
      </c>
      <c r="B17219" s="0" t="s">
        <v>98</v>
      </c>
      <c r="D17219" s="6" t="n">
        <f aca="false">Sens!D17198</f>
        <v>218.783</v>
      </c>
      <c r="E17219" s="6" t="n">
        <f aca="false">Sens!E17198</f>
        <v>268.127</v>
      </c>
      <c r="F17219" s="6" t="n">
        <f aca="false">Sens!F17198</f>
        <v>338.774715894377</v>
      </c>
      <c r="G17219" s="6" t="n">
        <f aca="false">Sens!G17198</f>
        <v>425.508058536537</v>
      </c>
      <c r="H17219" s="6" t="n">
        <f aca="false">Sens!H17198</f>
        <v>518.580813986921</v>
      </c>
      <c r="I17219" s="6" t="n">
        <f aca="false">Sens!I17198</f>
        <v>597.067731307455</v>
      </c>
      <c r="J17219" s="6" t="n">
        <f aca="false">Sens!J17198</f>
        <v>659.345790484055</v>
      </c>
      <c r="K17219" s="6" t="n">
        <f aca="false">Sens!K17198</f>
        <v>707.958647997291</v>
      </c>
    </row>
    <row r="17220" customFormat="false" ht="15" hidden="false" customHeight="false" outlineLevel="0" collapsed="false">
      <c r="A17220" s="0" t="s">
        <v>1041</v>
      </c>
      <c r="B17220" s="0" t="s">
        <v>98</v>
      </c>
      <c r="D17220" s="6" t="n">
        <f aca="false">Sens!D17199</f>
        <v>22.171</v>
      </c>
      <c r="E17220" s="6" t="n">
        <f aca="false">Sens!E17199</f>
        <v>24.835</v>
      </c>
      <c r="F17220" s="6" t="n">
        <f aca="false">Sens!F17199</f>
        <v>27.5591895660247</v>
      </c>
      <c r="G17220" s="6" t="n">
        <f aca="false">Sens!G17199</f>
        <v>30.4098563144583</v>
      </c>
      <c r="H17220" s="6" t="n">
        <f aca="false">Sens!H17199</f>
        <v>33.3011792571777</v>
      </c>
      <c r="I17220" s="6" t="n">
        <f aca="false">Sens!I17199</f>
        <v>36.189023797112</v>
      </c>
      <c r="J17220" s="6" t="n">
        <f aca="false">Sens!J17199</f>
        <v>39.0247773769199</v>
      </c>
      <c r="K17220" s="6" t="n">
        <f aca="false">Sens!K17199</f>
        <v>41.7565117933043</v>
      </c>
    </row>
    <row r="17221" customFormat="false" ht="15" hidden="false" customHeight="false" outlineLevel="0" collapsed="false">
      <c r="A17221" s="0" t="s">
        <v>1042</v>
      </c>
      <c r="B17221" s="0" t="s">
        <v>98</v>
      </c>
      <c r="D17221" s="6" t="n">
        <f aca="false">Sens!D17201</f>
        <v>23.455</v>
      </c>
      <c r="E17221" s="6" t="n">
        <f aca="false">Sens!E17201</f>
        <v>21.79</v>
      </c>
      <c r="F17221" s="6" t="n">
        <f aca="false">Sens!F17201</f>
        <v>20.7520981041711</v>
      </c>
      <c r="G17221" s="6" t="n">
        <f aca="false">Sens!G17201</f>
        <v>19.9083593495882</v>
      </c>
      <c r="H17221" s="6" t="n">
        <f aca="false">Sens!H17201</f>
        <v>19.4008256265831</v>
      </c>
      <c r="I17221" s="6" t="n">
        <f aca="false">Sens!I17201</f>
        <v>19.200434522122</v>
      </c>
      <c r="J17221" s="6" t="n">
        <f aca="false">Sens!J17201</f>
        <v>19.2932782348507</v>
      </c>
      <c r="K17221" s="6" t="n">
        <f aca="false">Sens!K17201</f>
        <v>19.6791437995477</v>
      </c>
    </row>
    <row r="17222" customFormat="false" ht="15" hidden="false" customHeight="false" outlineLevel="0" collapsed="false">
      <c r="A17222" s="0" t="s">
        <v>1043</v>
      </c>
      <c r="B17222" s="0" t="s">
        <v>98</v>
      </c>
      <c r="D17222" s="6" t="n">
        <f aca="false">Sens!D17203</f>
        <v>17.315</v>
      </c>
      <c r="E17222" s="6" t="n">
        <f aca="false">Sens!E17203</f>
        <v>17.087</v>
      </c>
      <c r="F17222" s="6" t="n">
        <f aca="false">Sens!F17203</f>
        <v>15.9912273250553</v>
      </c>
      <c r="G17222" s="6" t="n">
        <f aca="false">Sens!G17203</f>
        <v>15.9574562664827</v>
      </c>
      <c r="H17222" s="6" t="n">
        <f aca="false">Sens!H17203</f>
        <v>16.0119687434196</v>
      </c>
      <c r="I17222" s="6" t="n">
        <f aca="false">Sens!I17203</f>
        <v>16.1551810001948</v>
      </c>
      <c r="J17222" s="6" t="n">
        <f aca="false">Sens!J17203</f>
        <v>16.3889793892005</v>
      </c>
      <c r="K17222" s="6" t="n">
        <f aca="false">Sens!K17203</f>
        <v>16.7167589769845</v>
      </c>
    </row>
    <row r="17223" customFormat="false" ht="15" hidden="false" customHeight="false" outlineLevel="0" collapsed="false">
      <c r="A17223" s="0" t="s">
        <v>870</v>
      </c>
      <c r="B17223" s="0" t="s">
        <v>98</v>
      </c>
      <c r="D17223" s="6" t="n">
        <f aca="false">Sens!D17205</f>
        <v>62.941</v>
      </c>
      <c r="E17223" s="6" t="n">
        <f aca="false">Sens!E17205</f>
        <v>63.712</v>
      </c>
      <c r="F17223" s="6" t="n">
        <f aca="false">Sens!F17205</f>
        <v>64.3025149952511</v>
      </c>
      <c r="G17223" s="6" t="n">
        <f aca="false">Sens!G17205</f>
        <v>66.2756719305292</v>
      </c>
      <c r="H17223" s="6" t="n">
        <f aca="false">Sens!H17205</f>
        <v>68.7139736271804</v>
      </c>
      <c r="I17223" s="6" t="n">
        <f aca="false">Sens!I17205</f>
        <v>71.5446393194289</v>
      </c>
      <c r="J17223" s="6" t="n">
        <f aca="false">Sens!J17205</f>
        <v>74.707035000971</v>
      </c>
      <c r="K17223" s="6" t="n">
        <f aca="false">Sens!K17205</f>
        <v>78.1524145698365</v>
      </c>
    </row>
    <row r="17224" customFormat="false" ht="15" hidden="false" customHeight="false" outlineLevel="0" collapsed="false">
      <c r="A17224" s="1" t="s">
        <v>1059</v>
      </c>
      <c r="B17224" s="0" t="s">
        <v>98</v>
      </c>
      <c r="D17224" s="6" t="n">
        <f aca="false">Sens!D17206</f>
        <v>281.724</v>
      </c>
      <c r="E17224" s="6" t="n">
        <f aca="false">Sens!E17206</f>
        <v>331.839</v>
      </c>
      <c r="F17224" s="6" t="n">
        <f aca="false">Sens!F17206</f>
        <v>403.077230889628</v>
      </c>
      <c r="G17224" s="6" t="n">
        <f aca="false">Sens!G17206</f>
        <v>491.783730467066</v>
      </c>
      <c r="H17224" s="6" t="n">
        <f aca="false">Sens!H17206</f>
        <v>587.294787614101</v>
      </c>
      <c r="I17224" s="6" t="n">
        <f aca="false">Sens!I17206</f>
        <v>668.612370626884</v>
      </c>
      <c r="J17224" s="6" t="n">
        <f aca="false">Sens!J17206</f>
        <v>734.052825485026</v>
      </c>
      <c r="K17224" s="6" t="n">
        <f aca="false">Sens!K17206</f>
        <v>786.111062567128</v>
      </c>
    </row>
    <row r="17225" customFormat="false" ht="15" hidden="false" customHeight="false" outlineLevel="0" collapsed="false">
      <c r="A17225" s="1" t="s">
        <v>1060</v>
      </c>
      <c r="B17225" s="0" t="s">
        <v>168</v>
      </c>
      <c r="E17225" s="7" t="n">
        <f aca="false">Sens!E17224/Sens!D17224-1</f>
        <v>0.177886867998467</v>
      </c>
      <c r="F17225" s="7" t="n">
        <f aca="false">Sens!F17224/Sens!E17224-1</f>
        <v>0.21467709006364</v>
      </c>
      <c r="G17225" s="7" t="n">
        <f aca="false">Sens!G17224/Sens!F17224-1</f>
        <v>0.220073208753704</v>
      </c>
      <c r="H17225" s="7" t="n">
        <f aca="false">Sens!H17224/Sens!G17224-1</f>
        <v>0.194213535808362</v>
      </c>
      <c r="I17225" s="7" t="n">
        <f aca="false">Sens!I17224/Sens!H17224-1</f>
        <v>0.13846127145643</v>
      </c>
      <c r="J17225" s="7" t="n">
        <f aca="false">Sens!J17224/Sens!I17224-1</f>
        <v>0.0978750285412546</v>
      </c>
      <c r="K17225" s="7" t="n">
        <f aca="false">Sens!K17224/Sens!J17224-1</f>
        <v>0.0709189247350204</v>
      </c>
    </row>
    <row r="17226" customFormat="false" ht="17.15" hidden="false" customHeight="false" outlineLevel="0" collapsed="false">
      <c r="A17226" s="26" t="s">
        <v>1061</v>
      </c>
      <c r="B17226" s="31" t="s">
        <v>98</v>
      </c>
      <c r="C17226" s="31"/>
      <c r="D17226" s="27" t="n">
        <f aca="false">(Sens!D17219+Sens!D17223-Sens!D17224)+(Sens!D17211+Sens!D17212-Sens!D17210)+(Sens!D17214+Sens!D17215-Sens!D17213)+(Sens!D17224-Q!L18)</f>
        <v>0</v>
      </c>
      <c r="E17226" s="27" t="n">
        <f aca="false">(Sens!E17219+Sens!E17223-Sens!E17224)+(Sens!E17211+Sens!E17212-Sens!E17210)+(Sens!E17214+Sens!E17215-Sens!E17213)+(Sens!E17224-Q!M18)</f>
        <v>0</v>
      </c>
      <c r="F17226" s="27" t="n">
        <f aca="false">(Sens!F17219+Sens!F17223-Sens!F17224)+(Sens!F17211+Sens!F17212-Sens!F17210)+(Sens!F17214+Sens!F17215-Sens!F17213)</f>
        <v>0</v>
      </c>
      <c r="G17226" s="27" t="n">
        <f aca="false">(Sens!G17219+Sens!G17223-Sens!G17224)+(Sens!G17211+Sens!G17212-Sens!G17210)+(Sens!G17214+Sens!G17215-Sens!G17213)</f>
        <v>0</v>
      </c>
      <c r="H17226" s="27" t="n">
        <f aca="false">(Sens!H17219+Sens!H17223-Sens!H17224)+(Sens!H17211+Sens!H17212-Sens!H17210)+(Sens!H17214+Sens!H17215-Sens!H17213)</f>
        <v>0</v>
      </c>
      <c r="I17226" s="27" t="n">
        <f aca="false">(Sens!I17219+Sens!I17223-Sens!I17224)+(Sens!I17211+Sens!I17212-Sens!I17210)+(Sens!I17214+Sens!I17215-Sens!I17213)</f>
        <v>0</v>
      </c>
      <c r="J17226" s="27" t="n">
        <f aca="false">(Sens!J17219+Sens!J17223-Sens!J17224)+(Sens!J17211+Sens!J17212-Sens!J17210)+(Sens!J17214+Sens!J17215-Sens!J17213)</f>
        <v>0</v>
      </c>
      <c r="K17226" s="27" t="n">
        <f aca="false">(Sens!K17219+Sens!K17223-Sens!K17224)+(Sens!K17211+Sens!K17212-Sens!K17210)+(Sens!K17214+Sens!K17215-Sens!K17213)</f>
        <v>0</v>
      </c>
    </row>
    <row r="17227" customFormat="false" ht="17.15" hidden="false" customHeight="false" outlineLevel="0" collapsed="false">
      <c r="A17227" s="0" t="s">
        <v>1062</v>
      </c>
      <c r="B17227" s="0" t="s">
        <v>168</v>
      </c>
      <c r="E17227" s="7" t="n">
        <f aca="false">(Q!M21+Sens!E17163+Sens!E17164+Sens!E17165+Sens!E17179-Sens!E17161)/(Q!M5-Sens!E17161)</f>
        <v>0.570957350878296</v>
      </c>
      <c r="F17227" s="7" t="n">
        <f aca="false">Sens!$E$17227+dm_seg</f>
        <v>0.570957350878296</v>
      </c>
      <c r="G17227" s="7" t="n">
        <f aca="false">Sens!$E$17227+dm_seg</f>
        <v>0.570957350878296</v>
      </c>
      <c r="H17227" s="7" t="n">
        <f aca="false">Sens!$E$17227+dm_seg</f>
        <v>0.570957350878296</v>
      </c>
      <c r="I17227" s="7" t="n">
        <f aca="false">Sens!$E$17227+dm_seg</f>
        <v>0.570957350878296</v>
      </c>
      <c r="J17227" s="7" t="n">
        <f aca="false">Sens!$E$17227+dm_seg</f>
        <v>0.570957350878296</v>
      </c>
      <c r="K17227" s="7" t="n">
        <f aca="false">Sens!$E$17227+dm_seg</f>
        <v>0.570957350878296</v>
      </c>
      <c r="L17227" s="12" t="s">
        <v>1063</v>
      </c>
    </row>
    <row r="17228" customFormat="false" ht="17.15" hidden="false" customHeight="false" outlineLevel="0" collapsed="false">
      <c r="A17228" s="0" t="s">
        <v>884</v>
      </c>
      <c r="B17228" s="0" t="s">
        <v>98</v>
      </c>
      <c r="D17228" s="6" t="n">
        <f aca="false">Q!L21</f>
        <v>110.814</v>
      </c>
      <c r="E17228" s="6" t="n">
        <f aca="false">Q!M21</f>
        <v>136.365</v>
      </c>
      <c r="F17228" s="6" t="n">
        <f aca="false">Q!$I$21+(Sens!F17227*(Sens!F17198-Sens!F17161)+Sens!F17161-(Sens!F17163+Sens!F17164+Sens!F17165)-Sens!F17179-Sens!F17262)*(Sens!F17198-Q!$I$5)/Sens!F17198</f>
        <v>165.52261952713</v>
      </c>
      <c r="G17228" s="6" t="n">
        <f aca="false">(Sens!G17227*(Sens!G17198-Sens!G17161)+Sens!G17161-(Sens!G17163+Sens!G17164+Sens!G17165)-Sens!G17179-Sens!G17262)</f>
        <v>191.526375772808</v>
      </c>
      <c r="H17228" s="6" t="n">
        <f aca="false">(Sens!H17227*(Sens!H17198-Sens!H17161)+Sens!H17161-(Sens!H17163+Sens!H17164+Sens!H17165)-Sens!H17179-Sens!H17262)</f>
        <v>225.780337369755</v>
      </c>
      <c r="I17228" s="6" t="n">
        <f aca="false">(Sens!I17227*(Sens!I17198-Sens!I17161)+Sens!I17161-(Sens!I17163+Sens!I17164+Sens!I17165)-Sens!I17179-Sens!I17262)</f>
        <v>251.645211689499</v>
      </c>
      <c r="J17228" s="6" t="n">
        <f aca="false">(Sens!J17227*(Sens!J17198-Sens!J17161)+Sens!J17161-(Sens!J17163+Sens!J17164+Sens!J17165)-Sens!J17179-Sens!J17262)</f>
        <v>273.896866780231</v>
      </c>
      <c r="K17228" s="6" t="n">
        <f aca="false">(Sens!K17227*(Sens!K17198-Sens!K17161)+Sens!K17161-(Sens!K17163+Sens!K17164+Sens!K17165)-Sens!K17179-Sens!K17262)</f>
        <v>293.87685497157</v>
      </c>
      <c r="L17228" s="1" t="s">
        <v>1064</v>
      </c>
    </row>
    <row r="17229" customFormat="false" ht="17.15" hidden="false" customHeight="false" outlineLevel="0" collapsed="false">
      <c r="A17229" s="0" t="s">
        <v>1065</v>
      </c>
      <c r="B17229" s="0" t="s">
        <v>168</v>
      </c>
      <c r="E17229" s="7" t="n">
        <f aca="false">Q!M22/Q!M12</f>
        <v>0.296207935710698</v>
      </c>
      <c r="F17229" s="7" t="n">
        <f aca="false">Sens!$E$17229+dm_seg</f>
        <v>0.296207935710698</v>
      </c>
      <c r="G17229" s="7" t="n">
        <f aca="false">Sens!$E$17229+dm_seg</f>
        <v>0.296207935710698</v>
      </c>
      <c r="H17229" s="7" t="n">
        <f aca="false">Sens!$E$17229+dm_seg</f>
        <v>0.296207935710698</v>
      </c>
      <c r="I17229" s="7" t="n">
        <f aca="false">Sens!$E$17229+dm_seg</f>
        <v>0.296207935710698</v>
      </c>
      <c r="J17229" s="7" t="n">
        <f aca="false">Sens!$E$17229+dm_seg</f>
        <v>0.296207935710698</v>
      </c>
      <c r="K17229" s="7" t="n">
        <f aca="false">Sens!$E$17229+dm_seg</f>
        <v>0.296207935710698</v>
      </c>
      <c r="L17229" s="12" t="s">
        <v>1066</v>
      </c>
    </row>
    <row r="17230" customFormat="false" ht="17.15" hidden="false" customHeight="false" outlineLevel="0" collapsed="false">
      <c r="A17230" s="0" t="s">
        <v>886</v>
      </c>
      <c r="B17230" s="0" t="s">
        <v>98</v>
      </c>
      <c r="D17230" s="6" t="n">
        <f aca="false">Q!L22</f>
        <v>17.714</v>
      </c>
      <c r="E17230" s="6" t="n">
        <f aca="false">Q!M22</f>
        <v>18.872</v>
      </c>
      <c r="F17230" s="6" t="n">
        <f aca="false">Q!$I$22+(Sens!F17205-Q!$I$12)*Sens!F17229</f>
        <v>19.8174315512051</v>
      </c>
      <c r="G17230" s="6" t="n">
        <f aca="false">Sens!G17205*Sens!G17229</f>
        <v>19.6313799703815</v>
      </c>
      <c r="H17230" s="6" t="n">
        <f aca="false">Sens!H17205*Sens!H17229</f>
        <v>20.3536242825865</v>
      </c>
      <c r="I17230" s="6" t="n">
        <f aca="false">Sens!I17205*Sens!I17229</f>
        <v>21.1920899239745</v>
      </c>
      <c r="J17230" s="6" t="n">
        <f aca="false">Sens!J17205*Sens!J17229</f>
        <v>22.1288166207045</v>
      </c>
      <c r="K17230" s="6" t="n">
        <f aca="false">Sens!K17205*Sens!K17229</f>
        <v>23.1493653905379</v>
      </c>
      <c r="L17230" s="12" t="s">
        <v>1067</v>
      </c>
    </row>
    <row r="17231" customFormat="false" ht="15" hidden="false" customHeight="false" outlineLevel="0" collapsed="false">
      <c r="A17231" s="1" t="s">
        <v>1068</v>
      </c>
      <c r="B17231" s="0" t="s">
        <v>98</v>
      </c>
      <c r="D17231" s="6" t="n">
        <f aca="false">Sens!D17228+Sens!D17230</f>
        <v>128.528</v>
      </c>
      <c r="E17231" s="6" t="n">
        <f aca="false">Sens!E17228+Sens!E17230</f>
        <v>155.237</v>
      </c>
      <c r="F17231" s="6" t="n">
        <f aca="false">Sens!F17228+Sens!F17230</f>
        <v>185.340051078335</v>
      </c>
      <c r="G17231" s="6" t="n">
        <f aca="false">Sens!G17228+Sens!G17230</f>
        <v>211.15775574319</v>
      </c>
      <c r="H17231" s="6" t="n">
        <f aca="false">Sens!H17228+Sens!H17230</f>
        <v>246.133961652341</v>
      </c>
      <c r="I17231" s="6" t="n">
        <f aca="false">Sens!I17228+Sens!I17230</f>
        <v>272.837301613473</v>
      </c>
      <c r="J17231" s="6" t="n">
        <f aca="false">Sens!J17228+Sens!J17230</f>
        <v>296.025683400936</v>
      </c>
      <c r="K17231" s="6" t="n">
        <f aca="false">Sens!K17228+Sens!K17230</f>
        <v>317.026220362108</v>
      </c>
    </row>
    <row r="17232" customFormat="false" ht="15" hidden="false" customHeight="false" outlineLevel="0" collapsed="false">
      <c r="A17232" s="26" t="s">
        <v>1069</v>
      </c>
      <c r="B17232" s="31" t="s">
        <v>98</v>
      </c>
      <c r="C17232" s="31"/>
      <c r="D17232" s="27" t="n">
        <f aca="false">Sens!D17231-Q!L23</f>
        <v>0</v>
      </c>
      <c r="E17232" s="27" t="n">
        <f aca="false">Sens!E17231-Q!M23</f>
        <v>0</v>
      </c>
      <c r="F17232" s="31"/>
      <c r="G17232" s="31"/>
      <c r="H17232" s="31"/>
      <c r="I17232" s="31"/>
      <c r="J17232" s="31"/>
      <c r="K17232" s="31"/>
    </row>
    <row r="17233" customFormat="false" ht="15" hidden="false" customHeight="false" outlineLevel="0" collapsed="false">
      <c r="A17233" s="1" t="s">
        <v>1070</v>
      </c>
      <c r="B17233" s="0" t="s">
        <v>168</v>
      </c>
      <c r="D17233" s="7" t="n">
        <f aca="false">Sens!D17231/Sens!D17224</f>
        <v>0.456219562408598</v>
      </c>
      <c r="E17233" s="7" t="n">
        <f aca="false">Sens!E17231/Sens!E17224</f>
        <v>0.467808184089272</v>
      </c>
      <c r="F17233" s="7" t="n">
        <f aca="false">Sens!F17231/Sens!F17224</f>
        <v>0.45981275268085</v>
      </c>
      <c r="G17233" s="7" t="n">
        <f aca="false">Sens!G17231/Sens!G17224</f>
        <v>0.429371170011348</v>
      </c>
      <c r="H17233" s="7" t="n">
        <f aca="false">Sens!H17231/Sens!H17224</f>
        <v>0.419097813982423</v>
      </c>
      <c r="I17233" s="7" t="n">
        <f aca="false">Sens!I17231/Sens!I17224</f>
        <v>0.408064991914021</v>
      </c>
      <c r="J17233" s="7" t="n">
        <f aca="false">Sens!J17231/Sens!J17224</f>
        <v>0.403275722296058</v>
      </c>
      <c r="K17233" s="7" t="n">
        <f aca="false">Sens!K17231/Sens!K17224</f>
        <v>0.403284262820098</v>
      </c>
    </row>
    <row r="17234" customFormat="false" ht="17.15" hidden="false" customHeight="false" outlineLevel="0" collapsed="false">
      <c r="A17234" s="1" t="s">
        <v>1071</v>
      </c>
      <c r="B17234" s="0" t="s">
        <v>98</v>
      </c>
      <c r="F17234" s="6" t="n">
        <f aca="false">Sens!F17249</f>
        <v>8.88340674531245</v>
      </c>
      <c r="G17234" s="6" t="n">
        <f aca="false">Sens!G17249</f>
        <v>22.7060305170273</v>
      </c>
      <c r="H17234" s="6" t="n">
        <f aca="false">Sens!H17249</f>
        <v>38.0018452382075</v>
      </c>
      <c r="I17234" s="6" t="n">
        <f aca="false">Sens!I17249</f>
        <v>52.1381094705177</v>
      </c>
      <c r="J17234" s="6" t="n">
        <f aca="false">Sens!J17249</f>
        <v>62.0595818934393</v>
      </c>
      <c r="K17234" s="6" t="n">
        <f aca="false">Sens!K17249</f>
        <v>67.0801312706266</v>
      </c>
      <c r="L17234" s="1" t="s">
        <v>1072</v>
      </c>
    </row>
    <row r="17235" customFormat="false" ht="17.15" hidden="false" customHeight="false" outlineLevel="0" collapsed="false">
      <c r="A17235" s="1" t="s">
        <v>1073</v>
      </c>
      <c r="B17235" s="0" t="s">
        <v>98</v>
      </c>
      <c r="D17235" s="6" t="n">
        <f aca="false">Sens!D17231</f>
        <v>128.528</v>
      </c>
      <c r="E17235" s="6" t="n">
        <f aca="false">Sens!E17231</f>
        <v>155.237</v>
      </c>
      <c r="F17235" s="6" t="n">
        <f aca="false">Sens!F17231+Sens!F17234</f>
        <v>194.223457823647</v>
      </c>
      <c r="G17235" s="6" t="n">
        <f aca="false">Sens!G17231+Sens!G17234</f>
        <v>233.863786260217</v>
      </c>
      <c r="H17235" s="6" t="n">
        <f aca="false">Sens!H17231+Sens!H17234</f>
        <v>284.135806890549</v>
      </c>
      <c r="I17235" s="6" t="n">
        <f aca="false">Sens!I17231+Sens!I17234</f>
        <v>324.975411083991</v>
      </c>
      <c r="J17235" s="6" t="n">
        <f aca="false">Sens!J17231+Sens!J17234</f>
        <v>358.085265294375</v>
      </c>
      <c r="K17235" s="6" t="n">
        <f aca="false">Sens!K17231+Sens!K17234</f>
        <v>384.106351632735</v>
      </c>
    </row>
    <row r="17236" customFormat="false" ht="17.15" hidden="false" customHeight="false" outlineLevel="0" collapsed="false">
      <c r="A17236" s="1" t="s">
        <v>1074</v>
      </c>
      <c r="B17236" s="0" t="s">
        <v>98</v>
      </c>
      <c r="E17236" s="6" t="n">
        <f aca="false">Sens!E17179</f>
        <v>16.3054059770833</v>
      </c>
      <c r="F17236" s="6" t="n">
        <f aca="false">Sens!F17179</f>
        <v>34.5793144783516</v>
      </c>
      <c r="G17236" s="6" t="n">
        <f aca="false">Sens!G17179</f>
        <v>60.7344906522989</v>
      </c>
      <c r="H17236" s="6" t="n">
        <f aca="false">Sens!H17179</f>
        <v>89.1000906614457</v>
      </c>
      <c r="I17236" s="6" t="n">
        <f aca="false">Sens!I17179</f>
        <v>114.231009694548</v>
      </c>
      <c r="J17236" s="6" t="n">
        <f aca="false">Sens!J17179</f>
        <v>132.015673049596</v>
      </c>
      <c r="K17236" s="6" t="n">
        <f aca="false">Sens!K17179</f>
        <v>143.012669550934</v>
      </c>
    </row>
    <row r="17237" customFormat="false" ht="17.15" hidden="false" customHeight="false" outlineLevel="0" collapsed="false">
      <c r="A17237" s="1" t="s">
        <v>1075</v>
      </c>
      <c r="B17237" s="0" t="s">
        <v>98</v>
      </c>
      <c r="E17237" s="6" t="n">
        <f aca="false">Sens!E17261</f>
        <v>22.2285940229167</v>
      </c>
      <c r="F17237" s="6" t="n">
        <f aca="false">Sens!F17261</f>
        <v>23.5755864718873</v>
      </c>
      <c r="G17237" s="6" t="n">
        <f aca="false">Sens!G17261</f>
        <v>25.3758596064077</v>
      </c>
      <c r="H17237" s="6" t="n">
        <f aca="false">Sens!H17261</f>
        <v>27.5926102072099</v>
      </c>
      <c r="I17237" s="6" t="n">
        <f aca="false">Sens!I17261</f>
        <v>30.1494722164327</v>
      </c>
      <c r="J17237" s="6" t="n">
        <f aca="false">Sens!J17261</f>
        <v>32.9543806588559</v>
      </c>
      <c r="K17237" s="6" t="n">
        <f aca="false">Sens!K17261</f>
        <v>35.9228685792431</v>
      </c>
    </row>
    <row r="17238" customFormat="false" ht="17.15" hidden="false" customHeight="false" outlineLevel="0" collapsed="false">
      <c r="A17238" s="1" t="s">
        <v>1076</v>
      </c>
      <c r="B17238" s="0" t="s">
        <v>98</v>
      </c>
      <c r="D17238" s="6" t="n">
        <f aca="false">Q!L27</f>
        <v>-4.901</v>
      </c>
      <c r="E17238" s="6" t="n">
        <f aca="false">Q!M27</f>
        <v>10.697</v>
      </c>
      <c r="F17238" s="6" t="n">
        <f aca="false">Q!$I$27+oie_f*(q_per_yr-1)/q_per_yr</f>
        <v>-0.862</v>
      </c>
      <c r="G17238" s="6" t="n">
        <f aca="false">oie_f</f>
        <v>-1.2</v>
      </c>
      <c r="H17238" s="6" t="n">
        <f aca="false">oie_f</f>
        <v>-1.2</v>
      </c>
      <c r="I17238" s="6" t="n">
        <f aca="false">oie_f</f>
        <v>-1.2</v>
      </c>
      <c r="J17238" s="6" t="n">
        <f aca="false">oie_f</f>
        <v>-1.2</v>
      </c>
      <c r="K17238" s="6" t="n">
        <f aca="false">oie_f</f>
        <v>-1.2</v>
      </c>
      <c r="L17238" s="12" t="s">
        <v>1077</v>
      </c>
    </row>
    <row r="17239" customFormat="false" ht="15" hidden="false" customHeight="false" outlineLevel="0" collapsed="false">
      <c r="A17239" s="1" t="s">
        <v>1078</v>
      </c>
      <c r="B17239" s="0" t="s">
        <v>98</v>
      </c>
      <c r="D17239" s="6" t="n">
        <f aca="false">Sens!D17231+Sens!D17238</f>
        <v>123.627</v>
      </c>
      <c r="E17239" s="6" t="n">
        <f aca="false">Sens!E17231+Sens!E17238</f>
        <v>165.934</v>
      </c>
      <c r="F17239" s="6" t="n">
        <f aca="false">Sens!F17231+Sens!F17238</f>
        <v>184.478051078335</v>
      </c>
      <c r="G17239" s="6" t="n">
        <f aca="false">Sens!G17231+Sens!G17238</f>
        <v>209.95775574319</v>
      </c>
      <c r="H17239" s="6" t="n">
        <f aca="false">Sens!H17231+Sens!H17238</f>
        <v>244.933961652341</v>
      </c>
      <c r="I17239" s="6" t="n">
        <f aca="false">Sens!I17231+Sens!I17238</f>
        <v>271.637301613473</v>
      </c>
      <c r="J17239" s="6" t="n">
        <f aca="false">Sens!J17231+Sens!J17238</f>
        <v>294.825683400936</v>
      </c>
      <c r="K17239" s="6" t="n">
        <f aca="false">Sens!K17231+Sens!K17238</f>
        <v>315.826220362108</v>
      </c>
    </row>
    <row r="17240" customFormat="false" ht="15" hidden="false" customHeight="false" outlineLevel="0" collapsed="false">
      <c r="A17240" s="1" t="s">
        <v>1079</v>
      </c>
      <c r="B17240" s="0" t="s">
        <v>98</v>
      </c>
      <c r="D17240" s="6" t="n">
        <f aca="false">Q!L29</f>
        <v>21.795</v>
      </c>
      <c r="E17240" s="6" t="n">
        <f aca="false">Q!M29</f>
        <v>32.185</v>
      </c>
      <c r="F17240" s="6" t="n">
        <f aca="false">Q!$I$29+(Sens!F17239-Q!$I$28)*tax_f</f>
        <v>37.0290102156669</v>
      </c>
      <c r="G17240" s="6" t="n">
        <f aca="false">Sens!G17239*tax_f</f>
        <v>41.991551148638</v>
      </c>
      <c r="H17240" s="6" t="n">
        <f aca="false">Sens!H17239*tax_f</f>
        <v>48.9867923304683</v>
      </c>
      <c r="I17240" s="6" t="n">
        <f aca="false">Sens!I17239*tax_f</f>
        <v>54.3274603226947</v>
      </c>
      <c r="J17240" s="6" t="n">
        <f aca="false">Sens!J17239*tax_f</f>
        <v>58.9651366801872</v>
      </c>
      <c r="K17240" s="6" t="n">
        <f aca="false">Sens!K17239*tax_f</f>
        <v>63.1652440724216</v>
      </c>
    </row>
    <row r="17241" customFormat="false" ht="15" hidden="false" customHeight="false" outlineLevel="0" collapsed="false">
      <c r="A17241" s="1" t="s">
        <v>1080</v>
      </c>
      <c r="B17241" s="0" t="s">
        <v>98</v>
      </c>
      <c r="D17241" s="6" t="n">
        <f aca="false">Sens!D17239-Sens!D17240</f>
        <v>101.832</v>
      </c>
      <c r="E17241" s="6" t="n">
        <f aca="false">Sens!E17239-Sens!E17240</f>
        <v>133.749</v>
      </c>
      <c r="F17241" s="6" t="n">
        <f aca="false">Sens!F17239-Sens!F17240</f>
        <v>147.449040862668</v>
      </c>
      <c r="G17241" s="6" t="n">
        <f aca="false">Sens!G17239-Sens!G17240</f>
        <v>167.966204594552</v>
      </c>
      <c r="H17241" s="6" t="n">
        <f aca="false">Sens!H17239-Sens!H17240</f>
        <v>195.947169321873</v>
      </c>
      <c r="I17241" s="6" t="n">
        <f aca="false">Sens!I17239-Sens!I17240</f>
        <v>217.309841290779</v>
      </c>
      <c r="J17241" s="6" t="n">
        <f aca="false">Sens!J17239-Sens!J17240</f>
        <v>235.860546720749</v>
      </c>
      <c r="K17241" s="6" t="n">
        <f aca="false">Sens!K17239-Sens!K17240</f>
        <v>252.660976289687</v>
      </c>
    </row>
    <row r="17242" customFormat="false" ht="17.15" hidden="false" customHeight="false" outlineLevel="0" collapsed="false">
      <c r="A17242" s="1" t="s">
        <v>1081</v>
      </c>
      <c r="B17242" s="1" t="s">
        <v>81</v>
      </c>
      <c r="D17242" s="15" t="n">
        <f aca="false">Q!L31</f>
        <v>7.465</v>
      </c>
      <c r="E17242" s="15" t="n">
        <f aca="false">Q!M31</f>
        <v>7.453</v>
      </c>
      <c r="F17242" s="15" t="n">
        <f aca="false">Sens!F17286</f>
        <v>7.47059122371746</v>
      </c>
      <c r="G17242" s="15" t="n">
        <f aca="false">Sens!G17286</f>
        <v>7.50982110302586</v>
      </c>
      <c r="H17242" s="15" t="n">
        <f aca="false">Sens!H17286</f>
        <v>7.5346596976456</v>
      </c>
      <c r="I17242" s="15" t="n">
        <f aca="false">Sens!I17286</f>
        <v>7.54634106170107</v>
      </c>
      <c r="J17242" s="15" t="n">
        <f aca="false">Sens!J17286</f>
        <v>7.56049047286354</v>
      </c>
      <c r="K17242" s="15" t="n">
        <f aca="false">Sens!K17286</f>
        <v>7.57692511282879</v>
      </c>
    </row>
    <row r="17243" customFormat="false" ht="17.15" hidden="false" customHeight="false" outlineLevel="0" collapsed="false">
      <c r="A17243" s="0" t="s">
        <v>1082</v>
      </c>
      <c r="B17243" s="0" t="s">
        <v>75</v>
      </c>
      <c r="D17243" s="8" t="n">
        <f aca="false">Sens!D17241/Sens!D17242</f>
        <v>13.641259209645</v>
      </c>
      <c r="E17243" s="8" t="n">
        <f aca="false">Sens!E17241/Sens!E17242</f>
        <v>17.9456594659869</v>
      </c>
      <c r="F17243" s="8" t="n">
        <f aca="false">Sens!F17241/Sens!F17242</f>
        <v>19.7372652909384</v>
      </c>
      <c r="G17243" s="8" t="n">
        <f aca="false">Sens!G17241/Sens!G17242</f>
        <v>22.3662058376963</v>
      </c>
      <c r="H17243" s="8" t="n">
        <f aca="false">Sens!H17241/Sens!H17242</f>
        <v>26.0061074003252</v>
      </c>
      <c r="I17243" s="8" t="n">
        <f aca="false">Sens!I17241/Sens!I17242</f>
        <v>28.7967161189761</v>
      </c>
      <c r="J17243" s="8" t="n">
        <f aca="false">Sens!J17241/Sens!J17242</f>
        <v>31.1964610718458</v>
      </c>
      <c r="K17243" s="8" t="n">
        <f aca="false">Sens!K17241/Sens!K17242</f>
        <v>33.346109738091</v>
      </c>
      <c r="L17243" s="1" t="s">
        <v>1083</v>
      </c>
    </row>
    <row r="17244" customFormat="false" ht="17.15" hidden="false" customHeight="false" outlineLevel="0" collapsed="false">
      <c r="A17244" s="1" t="s">
        <v>1084</v>
      </c>
      <c r="B17244" s="0" t="s">
        <v>98</v>
      </c>
      <c r="D17244" s="6" t="n">
        <f aca="false">Sens!D17241</f>
        <v>101.832</v>
      </c>
      <c r="E17244" s="6" t="n">
        <f aca="false">Sens!E17241</f>
        <v>133.749</v>
      </c>
      <c r="F17244" s="6" t="n">
        <f aca="false">Sens!F17241+Sens!F17234*(1-tax_f)</f>
        <v>154.555766258918</v>
      </c>
      <c r="G17244" s="6" t="n">
        <f aca="false">Sens!G17241+Sens!G17234*(1-tax_f)</f>
        <v>186.131029008174</v>
      </c>
      <c r="H17244" s="6" t="n">
        <f aca="false">Sens!H17241+Sens!H17234*(1-tax_f)</f>
        <v>226.348645512439</v>
      </c>
      <c r="I17244" s="6" t="n">
        <f aca="false">Sens!I17241+Sens!I17234*(1-tax_f)</f>
        <v>259.020328867193</v>
      </c>
      <c r="J17244" s="6" t="n">
        <f aca="false">Sens!J17241+Sens!J17234*(1-tax_f)</f>
        <v>285.5082122355</v>
      </c>
      <c r="K17244" s="6" t="n">
        <f aca="false">Sens!K17241+Sens!K17234*(1-tax_f)</f>
        <v>306.325081306188</v>
      </c>
    </row>
    <row r="17245" customFormat="false" ht="17.15" hidden="false" customHeight="false" outlineLevel="0" collapsed="false">
      <c r="A17245" s="0" t="s">
        <v>1085</v>
      </c>
      <c r="B17245" s="0" t="s">
        <v>75</v>
      </c>
      <c r="D17245" s="8" t="n">
        <f aca="false">Sens!D17244/Sens!D17242</f>
        <v>13.641259209645</v>
      </c>
      <c r="E17245" s="8" t="n">
        <f aca="false">Sens!E17244/Sens!E17242</f>
        <v>17.9456594659869</v>
      </c>
      <c r="F17245" s="8" t="n">
        <f aca="false">Sens!F17244/Sens!F17242</f>
        <v>20.6885588610762</v>
      </c>
      <c r="G17245" s="8" t="n">
        <f aca="false">Sens!G17244/Sens!G17242</f>
        <v>24.7850150429253</v>
      </c>
      <c r="H17245" s="8" t="n">
        <f aca="false">Sens!H17244/Sens!H17242</f>
        <v>30.0409911788276</v>
      </c>
      <c r="I17245" s="8" t="n">
        <f aca="false">Sens!I17244/Sens!I17242</f>
        <v>34.3239626660613</v>
      </c>
      <c r="J17245" s="8" t="n">
        <f aca="false">Sens!J17244/Sens!J17242</f>
        <v>37.7631865631283</v>
      </c>
      <c r="K17245" s="8" t="n">
        <f aca="false">Sens!K17244/Sens!K17242</f>
        <v>40.4286800706974</v>
      </c>
      <c r="L17245" s="1" t="s">
        <v>1086</v>
      </c>
    </row>
    <row r="17246" customFormat="false" ht="17.15" hidden="false" customHeight="false" outlineLevel="0" collapsed="false">
      <c r="A17246" s="0" t="s">
        <v>1087</v>
      </c>
      <c r="B17246" s="0" t="s">
        <v>168</v>
      </c>
      <c r="E17246" s="7" t="n">
        <f aca="false">Sens!E17245/Sens!D17245-1</f>
        <v>0.315542736208578</v>
      </c>
      <c r="F17246" s="7" t="n">
        <f aca="false">Sens!F17245/Sens!E17245-1</f>
        <v>0.152844725505241</v>
      </c>
      <c r="G17246" s="7" t="n">
        <f aca="false">Sens!G17245/Sens!F17245-1</f>
        <v>0.19800587413347</v>
      </c>
      <c r="H17246" s="7" t="n">
        <f aca="false">Sens!H17245/Sens!G17245-1</f>
        <v>0.212062656681848</v>
      </c>
      <c r="I17246" s="7" t="n">
        <f aca="false">Sens!I17245/Sens!H17245-1</f>
        <v>0.142570911250502</v>
      </c>
      <c r="J17246" s="7" t="n">
        <f aca="false">Sens!J17245/Sens!I17245-1</f>
        <v>0.100198917314044</v>
      </c>
      <c r="K17246" s="7" t="n">
        <f aca="false">Sens!K17245/Sens!J17245-1</f>
        <v>0.0705844434794503</v>
      </c>
    </row>
    <row r="17247" customFormat="false" ht="17.15" hidden="false" customHeight="false" outlineLevel="0" collapsed="false">
      <c r="A17247" s="0" t="s">
        <v>1007</v>
      </c>
      <c r="B17247" s="0" t="s">
        <v>98</v>
      </c>
      <c r="E17247" s="6" t="n">
        <f aca="false">Sens!E17188</f>
        <v>5.25</v>
      </c>
      <c r="F17247" s="6" t="n">
        <f aca="false">Sens!F17188</f>
        <v>13.5</v>
      </c>
      <c r="G17247" s="6" t="n">
        <f aca="false">Sens!G17188</f>
        <v>22.5</v>
      </c>
      <c r="H17247" s="6" t="n">
        <f aca="false">Sens!H17188</f>
        <v>31.5</v>
      </c>
      <c r="I17247" s="6" t="n">
        <f aca="false">Sens!I17188</f>
        <v>38.25</v>
      </c>
      <c r="J17247" s="6" t="n">
        <f aca="false">Sens!J17188</f>
        <v>42.75</v>
      </c>
      <c r="K17247" s="6" t="n">
        <f aca="false">Sens!K17188</f>
        <v>47.25</v>
      </c>
    </row>
    <row r="17248" customFormat="false" ht="17.15" hidden="false" customHeight="false" outlineLevel="0" collapsed="false">
      <c r="A17248" s="1" t="s">
        <v>1008</v>
      </c>
      <c r="B17248" s="0" t="s">
        <v>98</v>
      </c>
      <c r="F17248" s="6" t="n">
        <f aca="false">MAX(0,((Sens!E17148+Sens!F17148)/2-(shadow_base*(Sens!$D$17148+Sens!$E$17148)/2+(1-shadow_base)*Sens!$E$17148))*Sens!F17157/1000-(Sens!F17247-Sens!$E$17247)*Sens!F17227)</f>
        <v>8.88340674531245</v>
      </c>
      <c r="G17248" s="6" t="n">
        <f aca="false">MAX(0,((Sens!F17148+Sens!G17148)/2-(shadow_base*(Sens!$D$17148+Sens!$E$17148)/2+(1-shadow_base)*Sens!$E$17148))*Sens!G17157/1000-(Sens!G17247-Sens!$E$17247)*Sens!G17227)</f>
        <v>22.7060305170273</v>
      </c>
      <c r="H17248" s="6" t="n">
        <f aca="false">MAX(0,((Sens!G17148+Sens!H17148)/2-(shadow_base*(Sens!$D$17148+Sens!$E$17148)/2+(1-shadow_base)*Sens!$E$17148))*Sens!H17157/1000-(Sens!H17247-Sens!$E$17247)*Sens!H17227)</f>
        <v>38.0018452382075</v>
      </c>
      <c r="I17248" s="6" t="n">
        <f aca="false">MAX(0,((Sens!H17148+Sens!I17148)/2-(shadow_base*(Sens!$D$17148+Sens!$E$17148)/2+(1-shadow_base)*Sens!$E$17148))*Sens!I17157/1000-(Sens!I17247-Sens!$E$17247)*Sens!I17227)</f>
        <v>52.1381094705177</v>
      </c>
      <c r="J17248" s="6" t="n">
        <f aca="false">MAX(0,((Sens!I17148+Sens!J17148)/2-(shadow_base*(Sens!$D$17148+Sens!$E$17148)/2+(1-shadow_base)*Sens!$E$17148))*Sens!J17157/1000-(Sens!J17247-Sens!$E$17247)*Sens!J17227)</f>
        <v>62.0595818934393</v>
      </c>
      <c r="K17248" s="6" t="n">
        <f aca="false">MAX(0,((Sens!J17148+Sens!K17148)/2-(shadow_base*(Sens!$D$17148+Sens!$E$17148)/2+(1-shadow_base)*Sens!$E$17148))*Sens!K17157/1000-(Sens!K17247-Sens!$E$17247)*Sens!K17227)</f>
        <v>67.0801312706266</v>
      </c>
      <c r="L17248" s="1" t="s">
        <v>1009</v>
      </c>
    </row>
    <row r="17249" customFormat="false" ht="17.15" hidden="false" customHeight="false" outlineLevel="0" collapsed="false">
      <c r="A17249" s="1" t="s">
        <v>1010</v>
      </c>
      <c r="B17249" s="0" t="s">
        <v>98</v>
      </c>
      <c r="F17249" s="6" t="n">
        <f aca="false">IF(internal_ai_reading=2,1,0)*Sens!F17248</f>
        <v>8.88340674531245</v>
      </c>
      <c r="G17249" s="6" t="n">
        <f aca="false">IF(internal_ai_reading=2,1,0)*Sens!G17248</f>
        <v>22.7060305170273</v>
      </c>
      <c r="H17249" s="6" t="n">
        <f aca="false">IF(internal_ai_reading=2,1,0)*Sens!H17248</f>
        <v>38.0018452382075</v>
      </c>
      <c r="I17249" s="6" t="n">
        <f aca="false">IF(internal_ai_reading=2,1,0)*Sens!I17248</f>
        <v>52.1381094705177</v>
      </c>
      <c r="J17249" s="6" t="n">
        <f aca="false">IF(internal_ai_reading=2,1,0)*Sens!J17248</f>
        <v>62.0595818934393</v>
      </c>
      <c r="K17249" s="6" t="n">
        <f aca="false">IF(internal_ai_reading=2,1,0)*Sens!K17248</f>
        <v>67.0801312706266</v>
      </c>
    </row>
    <row r="17250" customFormat="false" ht="17.15" hidden="false" customHeight="false" outlineLevel="0" collapsed="false">
      <c r="A17250" s="0" t="s">
        <v>1011</v>
      </c>
      <c r="B17250" s="0" t="s">
        <v>98</v>
      </c>
      <c r="F17250" s="6" t="n">
        <f aca="false">Sens!F17167+Sens!F17247*Sens!F17227+Sens!F17249-Sens!F17168-Sens!F17179</f>
        <v>18.5068678152817</v>
      </c>
      <c r="G17250" s="6" t="n">
        <f aca="false">Sens!G17167+Sens!G17247*Sens!G17227+Sens!G17249-Sens!G17168-Sens!G17179</f>
        <v>43.1983864982792</v>
      </c>
      <c r="H17250" s="6" t="n">
        <f aca="false">Sens!H17167+Sens!H17247*Sens!H17227+Sens!H17249-Sens!H17168-Sens!H17179</f>
        <v>73.502598356074</v>
      </c>
      <c r="I17250" s="6" t="n">
        <f aca="false">Sens!I17167+Sens!I17247*Sens!I17227+Sens!I17249-Sens!I17168-Sens!I17179</f>
        <v>94.7454135378504</v>
      </c>
      <c r="J17250" s="6" t="n">
        <f aca="false">Sens!J17167+Sens!J17247*Sens!J17227+Sens!J17249-Sens!J17168-Sens!J17179</f>
        <v>109.399608126358</v>
      </c>
      <c r="K17250" s="6" t="n">
        <f aca="false">Sens!K17167+Sens!K17247*Sens!K17227+Sens!K17249-Sens!K17168-Sens!K17179</f>
        <v>118.898703181943</v>
      </c>
    </row>
    <row r="17251" customFormat="false" ht="17.15" hidden="false" customHeight="false" outlineLevel="0" collapsed="false">
      <c r="A17251" s="0" t="s">
        <v>1012</v>
      </c>
      <c r="B17251" s="0" t="s">
        <v>98</v>
      </c>
      <c r="E17251" s="6" t="n">
        <f aca="false">Sens!E17147*(cxit_open+self_build*tk_cxfac)/1000*ai_net_open</f>
        <v>126.6980382</v>
      </c>
      <c r="F17251" s="6" t="n">
        <f aca="false">Sens!E17251+Sens!F17176-Sens!F17179</f>
        <v>260.572627763768</v>
      </c>
      <c r="G17251" s="6" t="n">
        <f aca="false">Sens!F17251+Sens!G17176-Sens!G17179</f>
        <v>391.782612760517</v>
      </c>
      <c r="H17251" s="6" t="n">
        <f aca="false">Sens!G17251+Sens!H17176-Sens!H17179</f>
        <v>499.488526163584</v>
      </c>
      <c r="I17251" s="6" t="n">
        <f aca="false">Sens!H17251+Sens!I17176-Sens!I17179</f>
        <v>553.872350090646</v>
      </c>
      <c r="J17251" s="6" t="n">
        <f aca="false">Sens!I17251+Sens!J17176-Sens!J17179</f>
        <v>550.78660823699</v>
      </c>
      <c r="K17251" s="6" t="n">
        <f aca="false">Sens!J17251+Sens!K17176-Sens!K17179</f>
        <v>526.736791750789</v>
      </c>
      <c r="L17251" s="1" t="s">
        <v>1013</v>
      </c>
    </row>
    <row r="17252" customFormat="false" ht="17.15" hidden="false" customHeight="false" outlineLevel="0" collapsed="false">
      <c r="A17252" s="0" t="s">
        <v>1014</v>
      </c>
      <c r="B17252" s="0" t="s">
        <v>168</v>
      </c>
      <c r="F17252" s="7" t="n">
        <f aca="false">Sens!F17250*(1-tax_f)/((Sens!E17251+Sens!F17251)/2)</f>
        <v>0.0764607059271074</v>
      </c>
      <c r="G17252" s="7" t="n">
        <f aca="false">Sens!G17250*(1-tax_f)/((Sens!F17251+Sens!G17251)/2)</f>
        <v>0.105950583522098</v>
      </c>
      <c r="H17252" s="7" t="n">
        <f aca="false">Sens!H17250*(1-tax_f)/((Sens!G17251+Sens!H17251)/2)</f>
        <v>0.131951044114011</v>
      </c>
      <c r="I17252" s="7" t="n">
        <f aca="false">Sens!I17250*(1-tax_f)/((Sens!H17251+Sens!I17251)/2)</f>
        <v>0.143913320760143</v>
      </c>
      <c r="J17252" s="7" t="n">
        <f aca="false">Sens!J17250*(1-tax_f)/((Sens!I17251+Sens!J17251)/2)</f>
        <v>0.158455577336889</v>
      </c>
      <c r="K17252" s="7" t="n">
        <f aca="false">Sens!K17250*(1-tax_f)/((Sens!J17251+Sens!K17251)/2)</f>
        <v>0.176551084731214</v>
      </c>
    </row>
    <row r="17253" customFormat="false" ht="17.15" hidden="false" customHeight="false" outlineLevel="0" collapsed="false">
      <c r="A17253" s="1" t="s">
        <v>1015</v>
      </c>
      <c r="B17253" s="0" t="s">
        <v>168</v>
      </c>
      <c r="F17253" s="7" t="n">
        <f aca="false">(Sens!F17250-Sens!F17249)*(1-tax_f)/((Sens!E17251+Sens!F17251)/2)</f>
        <v>0.0397591118181705</v>
      </c>
      <c r="G17253" s="7" t="n">
        <f aca="false">(Sens!G17250-Sens!G17249)*(1-tax_f)/((Sens!F17251+Sens!G17251)/2)</f>
        <v>0.0502606057761598</v>
      </c>
      <c r="H17253" s="7" t="n">
        <f aca="false">(Sens!H17250-Sens!H17249)*(1-tax_f)/((Sens!G17251+Sens!H17251)/2)</f>
        <v>0.0637305557287023</v>
      </c>
      <c r="I17253" s="7" t="n">
        <f aca="false">(Sens!I17250-Sens!I17249)*(1-tax_f)/((Sens!H17251+Sens!I17251)/2)</f>
        <v>0.0647182632699936</v>
      </c>
      <c r="J17253" s="7" t="n">
        <f aca="false">(Sens!J17250-Sens!J17249)*(1-tax_f)/((Sens!I17251+Sens!J17251)/2)</f>
        <v>0.0685678067440289</v>
      </c>
      <c r="K17253" s="7" t="n">
        <f aca="false">(Sens!K17250-Sens!K17249)*(1-tax_f)/((Sens!J17251+Sens!K17251)/2)</f>
        <v>0.0769447002812616</v>
      </c>
    </row>
    <row r="17254" customFormat="false" ht="17.15" hidden="false" customHeight="false" outlineLevel="0" collapsed="false">
      <c r="A17254" s="1" t="s">
        <v>1016</v>
      </c>
      <c r="B17254" s="0" t="s">
        <v>168</v>
      </c>
      <c r="F17254" s="7" t="n">
        <f aca="false">(Sens!F17250-Sens!F17249+Sens!F17248)*(1-tax_f)/((Sens!E17251+Sens!F17251)/2)</f>
        <v>0.0764607059271074</v>
      </c>
      <c r="G17254" s="7" t="n">
        <f aca="false">(Sens!G17250-Sens!G17249+Sens!G17248)*(1-tax_f)/((Sens!F17251+Sens!G17251)/2)</f>
        <v>0.105950583522098</v>
      </c>
      <c r="H17254" s="7" t="n">
        <f aca="false">(Sens!H17250-Sens!H17249+Sens!H17248)*(1-tax_f)/((Sens!G17251+Sens!H17251)/2)</f>
        <v>0.131951044114011</v>
      </c>
      <c r="I17254" s="7" t="n">
        <f aca="false">(Sens!I17250-Sens!I17249+Sens!I17248)*(1-tax_f)/((Sens!H17251+Sens!I17251)/2)</f>
        <v>0.143913320760143</v>
      </c>
      <c r="J17254" s="7" t="n">
        <f aca="false">(Sens!J17250-Sens!J17249+Sens!J17248)*(1-tax_f)/((Sens!I17251+Sens!J17251)/2)</f>
        <v>0.158455577336889</v>
      </c>
      <c r="K17254" s="7" t="n">
        <f aca="false">(Sens!K17250-Sens!K17249+Sens!K17248)*(1-tax_f)/((Sens!J17251+Sens!K17251)/2)</f>
        <v>0.176551084731214</v>
      </c>
    </row>
    <row r="17255" customFormat="false" ht="17.15" hidden="false" customHeight="false" outlineLevel="0" collapsed="false">
      <c r="A17255" s="1" t="s">
        <v>1017</v>
      </c>
      <c r="B17255" s="0" t="s">
        <v>168</v>
      </c>
      <c r="F17255" s="7" t="n">
        <f aca="false">Sens!F17180*(1-tax_f)/(Sens!F17166*(Sens!E17251+Sens!F17251)/2)</f>
        <v>0.15471433083293</v>
      </c>
      <c r="G17255" s="7" t="n">
        <f aca="false">Sens!G17180*(1-tax_f)/(Sens!G17166*(Sens!F17251+Sens!G17251)/2)</f>
        <v>0.176916911437355</v>
      </c>
      <c r="H17255" s="7" t="n">
        <f aca="false">Sens!H17180*(1-tax_f)/(Sens!H17166*(Sens!G17251+Sens!H17251)/2)</f>
        <v>0.207487057996582</v>
      </c>
      <c r="I17255" s="7" t="n">
        <f aca="false">Sens!I17180*(1-tax_f)/(Sens!I17166*(Sens!H17251+Sens!I17251)/2)</f>
        <v>0.219873660070946</v>
      </c>
      <c r="J17255" s="7" t="n">
        <f aca="false">Sens!J17180*(1-tax_f)/(Sens!J17166*(Sens!I17251+Sens!J17251)/2)</f>
        <v>0.238959457974928</v>
      </c>
      <c r="K17255" s="7" t="n">
        <f aca="false">Sens!K17180*(1-tax_f)/(Sens!K17166*(Sens!J17251+Sens!K17251)/2)</f>
        <v>0.264604270651536</v>
      </c>
    </row>
    <row r="17256" customFormat="false" ht="17.15" hidden="false" customHeight="false" outlineLevel="0" collapsed="false">
      <c r="A17256" s="0" t="s">
        <v>1018</v>
      </c>
      <c r="B17256" s="0" t="s">
        <v>253</v>
      </c>
      <c r="F17256" s="7" t="n">
        <f aca="false">Sens!F17252-wacc</f>
        <v>-0.0264758850184899</v>
      </c>
      <c r="G17256" s="7" t="n">
        <f aca="false">Sens!G17252-wacc</f>
        <v>0.00301399257650095</v>
      </c>
      <c r="H17256" s="7" t="n">
        <f aca="false">Sens!H17252-wacc</f>
        <v>0.0290144531684132</v>
      </c>
      <c r="I17256" s="7" t="n">
        <f aca="false">Sens!I17252-wacc</f>
        <v>0.0409767298145461</v>
      </c>
      <c r="J17256" s="7" t="n">
        <f aca="false">Sens!J17252-wacc</f>
        <v>0.0555189863912922</v>
      </c>
      <c r="K17256" s="7" t="n">
        <f aca="false">Sens!K17252-wacc</f>
        <v>0.0736144937856168</v>
      </c>
    </row>
    <row r="17257" customFormat="false" ht="17.15" hidden="false" customHeight="false" outlineLevel="0" collapsed="false">
      <c r="A17257" s="0" t="s">
        <v>1019</v>
      </c>
      <c r="B17257" s="0" t="s">
        <v>98</v>
      </c>
      <c r="F17257" s="6" t="n">
        <f aca="false">Sens!F17250*(1-tax_f)-wacc*(Sens!E17251+Sens!F17251)/2</f>
        <v>-5.12666681154535</v>
      </c>
      <c r="G17257" s="6" t="n">
        <f aca="false">Sens!G17250*(1-tax_f)-wacc*(Sens!F17251+Sens!G17251)/2</f>
        <v>0.983096926090845</v>
      </c>
      <c r="H17257" s="6" t="n">
        <f aca="false">Sens!H17250*(1-tax_f)-wacc*(Sens!G17251+Sens!H17251)/2</f>
        <v>12.9298723603358</v>
      </c>
      <c r="I17257" s="6" t="n">
        <f aca="false">Sens!I17250*(1-tax_f)-wacc*(Sens!H17251+Sens!I17251)/2</f>
        <v>21.5816420117415</v>
      </c>
      <c r="J17257" s="6" t="n">
        <f aca="false">Sens!J17250*(1-tax_f)-wacc*(Sens!I17251+Sens!J17251)/2</f>
        <v>30.6647728372055</v>
      </c>
      <c r="K17257" s="6" t="n">
        <f aca="false">Sens!K17250*(1-tax_f)-wacc*(Sens!J17251+Sens!K17251)/2</f>
        <v>39.6606698161285</v>
      </c>
    </row>
    <row r="17258" customFormat="false" ht="17.15" hidden="false" customHeight="false" outlineLevel="0" collapsed="false">
      <c r="A17258" s="3" t="s">
        <v>2037</v>
      </c>
    </row>
    <row r="17259" customFormat="false" ht="15" hidden="false" customHeight="false" outlineLevel="0" collapsed="false">
      <c r="A17259" s="4" t="s">
        <v>43</v>
      </c>
      <c r="B17259" s="4" t="s">
        <v>65</v>
      </c>
      <c r="C17259" s="23" t="s">
        <v>942</v>
      </c>
      <c r="D17259" s="23" t="s">
        <v>943</v>
      </c>
      <c r="E17259" s="23" t="s">
        <v>944</v>
      </c>
      <c r="F17259" s="23" t="s">
        <v>945</v>
      </c>
      <c r="G17259" s="23" t="s">
        <v>946</v>
      </c>
      <c r="H17259" s="23" t="s">
        <v>947</v>
      </c>
      <c r="I17259" s="23" t="s">
        <v>948</v>
      </c>
      <c r="J17259" s="23" t="s">
        <v>949</v>
      </c>
      <c r="K17259" s="23" t="s">
        <v>950</v>
      </c>
      <c r="L17259" s="4" t="s">
        <v>47</v>
      </c>
    </row>
    <row r="17260" customFormat="false" ht="15" hidden="false" customHeight="false" outlineLevel="0" collapsed="false">
      <c r="A17260" s="1" t="s">
        <v>1080</v>
      </c>
      <c r="B17260" s="0" t="s">
        <v>98</v>
      </c>
      <c r="F17260" s="6" t="n">
        <f aca="false">Sens!F17241</f>
        <v>147.449040862668</v>
      </c>
      <c r="G17260" s="6" t="n">
        <f aca="false">Sens!G17241</f>
        <v>167.966204594552</v>
      </c>
      <c r="H17260" s="6" t="n">
        <f aca="false">Sens!H17241</f>
        <v>195.947169321873</v>
      </c>
      <c r="I17260" s="6" t="n">
        <f aca="false">Sens!I17241</f>
        <v>217.309841290779</v>
      </c>
      <c r="J17260" s="6" t="n">
        <f aca="false">Sens!J17241</f>
        <v>235.860546720749</v>
      </c>
      <c r="K17260" s="6" t="n">
        <f aca="false">Sens!K17241</f>
        <v>252.660976289687</v>
      </c>
    </row>
    <row r="17261" customFormat="false" ht="17.15" hidden="false" customHeight="false" outlineLevel="0" collapsed="false">
      <c r="A17261" s="1" t="s">
        <v>1102</v>
      </c>
      <c r="B17261" s="0" t="s">
        <v>98</v>
      </c>
      <c r="E17261" s="6" t="n">
        <f aca="false">Q!M38-Sens!E17179</f>
        <v>22.2285940229167</v>
      </c>
      <c r="F17261" s="6" t="n">
        <f aca="false">Sens!E17261*(1-1/life_nonai)+(Sens!F17269+Sens!F17270)/life_nonai</f>
        <v>23.5755864718873</v>
      </c>
      <c r="G17261" s="6" t="n">
        <f aca="false">Sens!F17261*(1-1/life_nonai)+(Sens!G17269)/life_nonai</f>
        <v>25.3758596064077</v>
      </c>
      <c r="H17261" s="6" t="n">
        <f aca="false">Sens!G17261*(1-1/life_nonai)+(Sens!H17269)/life_nonai</f>
        <v>27.5926102072099</v>
      </c>
      <c r="I17261" s="6" t="n">
        <f aca="false">Sens!H17261*(1-1/life_nonai)+(Sens!I17269)/life_nonai</f>
        <v>30.1494722164327</v>
      </c>
      <c r="J17261" s="6" t="n">
        <f aca="false">Sens!I17261*(1-1/life_nonai)+(Sens!J17269)/life_nonai</f>
        <v>32.9543806588559</v>
      </c>
      <c r="K17261" s="6" t="n">
        <f aca="false">Sens!J17261*(1-1/life_nonai)+(Sens!K17269)/life_nonai</f>
        <v>35.9228685792431</v>
      </c>
      <c r="L17261" s="12" t="s">
        <v>1103</v>
      </c>
    </row>
    <row r="17262" customFormat="false" ht="17.15" hidden="false" customHeight="false" outlineLevel="0" collapsed="false">
      <c r="A17262" s="1" t="s">
        <v>1104</v>
      </c>
      <c r="B17262" s="0" t="s">
        <v>98</v>
      </c>
      <c r="F17262" s="6" t="n">
        <f aca="false">Sens!$F$17270/life_nonai*(1-1/life_nonai)^(Sens!F17142-2027)</f>
        <v>0</v>
      </c>
      <c r="G17262" s="6" t="n">
        <f aca="false">Sens!$F$17270/life_nonai*(1-1/life_nonai)^(Sens!G17142-2027)</f>
        <v>0</v>
      </c>
      <c r="H17262" s="6" t="n">
        <f aca="false">Sens!$F$17270/life_nonai*(1-1/life_nonai)^(Sens!H17142-2027)</f>
        <v>0</v>
      </c>
      <c r="I17262" s="6" t="n">
        <f aca="false">Sens!$F$17270/life_nonai*(1-1/life_nonai)^(Sens!I17142-2027)</f>
        <v>0</v>
      </c>
      <c r="J17262" s="6" t="n">
        <f aca="false">Sens!$F$17270/life_nonai*(1-1/life_nonai)^(Sens!J17142-2027)</f>
        <v>0</v>
      </c>
      <c r="K17262" s="6" t="n">
        <f aca="false">Sens!$F$17270/life_nonai*(1-1/life_nonai)^(Sens!K17142-2027)</f>
        <v>0</v>
      </c>
      <c r="L17262" s="1" t="s">
        <v>1105</v>
      </c>
    </row>
    <row r="17263" customFormat="false" ht="17.15" hidden="false" customHeight="false" outlineLevel="0" collapsed="false">
      <c r="A17263" s="1" t="s">
        <v>1106</v>
      </c>
      <c r="B17263" s="0" t="s">
        <v>98</v>
      </c>
      <c r="E17263" s="6" t="n">
        <f aca="false">Sens!E17179+Sens!E17261</f>
        <v>38.534</v>
      </c>
      <c r="F17263" s="6" t="n">
        <f aca="false">Sens!F17179+Sens!F17261</f>
        <v>58.1549009502389</v>
      </c>
      <c r="G17263" s="6" t="n">
        <f aca="false">Sens!G17179+Sens!G17261</f>
        <v>86.1103502587067</v>
      </c>
      <c r="H17263" s="6" t="n">
        <f aca="false">Sens!H17179+Sens!H17261</f>
        <v>116.692700868656</v>
      </c>
      <c r="I17263" s="6" t="n">
        <f aca="false">Sens!I17179+Sens!I17261</f>
        <v>144.380481910981</v>
      </c>
      <c r="J17263" s="6" t="n">
        <f aca="false">Sens!J17179+Sens!J17261</f>
        <v>164.970053708452</v>
      </c>
      <c r="K17263" s="6" t="n">
        <f aca="false">Sens!K17179+Sens!K17261</f>
        <v>178.935538130177</v>
      </c>
    </row>
    <row r="17264" customFormat="false" ht="17.15" hidden="false" customHeight="false" outlineLevel="0" collapsed="false">
      <c r="A17264" s="1" t="s">
        <v>1107</v>
      </c>
      <c r="B17264" s="0" t="s">
        <v>98</v>
      </c>
      <c r="F17264" s="6" t="n">
        <f aca="false">Sens!F17206*sbc_r</f>
        <v>15.0680693022395</v>
      </c>
      <c r="G17264" s="6" t="n">
        <f aca="false">Sens!G17206*sbc_r</f>
        <v>18.3841476633065</v>
      </c>
      <c r="H17264" s="6" t="n">
        <f aca="false">Sens!H17206*sbc_r</f>
        <v>21.9545979838202</v>
      </c>
      <c r="I17264" s="6" t="n">
        <f aca="false">Sens!I17206*sbc_r</f>
        <v>24.9944595349748</v>
      </c>
      <c r="J17264" s="6" t="n">
        <f aca="false">Sens!J17206*sbc_r</f>
        <v>27.4407929753337</v>
      </c>
      <c r="K17264" s="6" t="n">
        <f aca="false">Sens!K17206*sbc_r</f>
        <v>29.3868645070206</v>
      </c>
    </row>
    <row r="17265" customFormat="false" ht="17.15" hidden="false" customHeight="false" outlineLevel="0" collapsed="false">
      <c r="A17265" s="1" t="s">
        <v>1108</v>
      </c>
      <c r="B17265" s="0" t="s">
        <v>98</v>
      </c>
      <c r="F17265" s="6" t="n">
        <f aca="false">wc27-wc26q1</f>
        <v>-4.677</v>
      </c>
      <c r="G17265" s="6" t="n">
        <f aca="false">wc_f</f>
        <v>0</v>
      </c>
      <c r="H17265" s="6" t="n">
        <f aca="false">wc_f</f>
        <v>0</v>
      </c>
      <c r="I17265" s="6" t="n">
        <f aca="false">wc_f</f>
        <v>0</v>
      </c>
      <c r="J17265" s="6" t="n">
        <f aca="false">wc_f</f>
        <v>0</v>
      </c>
      <c r="K17265" s="6" t="n">
        <f aca="false">wc_f</f>
        <v>0</v>
      </c>
      <c r="L17265" s="12" t="s">
        <v>1109</v>
      </c>
    </row>
    <row r="17266" customFormat="false" ht="17.15" hidden="false" customHeight="false" outlineLevel="0" collapsed="false">
      <c r="A17266" s="0" t="s">
        <v>1110</v>
      </c>
      <c r="B17266" s="0" t="s">
        <v>98</v>
      </c>
      <c r="F17266" s="6" t="n">
        <f aca="false">Q!$I$35-Q!$I$26-Q!$I$38-Q!$I$39</f>
        <v>6.493</v>
      </c>
      <c r="L17266" s="1" t="s">
        <v>1111</v>
      </c>
    </row>
    <row r="17267" customFormat="false" ht="15" hidden="false" customHeight="false" outlineLevel="0" collapsed="false">
      <c r="A17267" s="1" t="s">
        <v>908</v>
      </c>
      <c r="B17267" s="0" t="s">
        <v>98</v>
      </c>
      <c r="E17267" s="6" t="n">
        <f aca="false">Q!M35</f>
        <v>182.935</v>
      </c>
      <c r="F17267" s="6" t="n">
        <f aca="false">Sens!F17260+Sens!F17263+Sens!F17264+Sens!F17265+Sens!F17266</f>
        <v>222.488011115146</v>
      </c>
      <c r="G17267" s="6" t="n">
        <f aca="false">Sens!G17260+Sens!G17263+Sens!G17264+Sens!G17265</f>
        <v>272.460702516565</v>
      </c>
      <c r="H17267" s="6" t="n">
        <f aca="false">Sens!H17260+Sens!H17263+Sens!H17264+Sens!H17265</f>
        <v>334.594468174349</v>
      </c>
      <c r="I17267" s="6" t="n">
        <f aca="false">Sens!I17260+Sens!I17263+Sens!I17264+Sens!I17265</f>
        <v>386.684782736735</v>
      </c>
      <c r="J17267" s="6" t="n">
        <f aca="false">Sens!J17260+Sens!J17263+Sens!J17264+Sens!J17265</f>
        <v>428.271393404534</v>
      </c>
      <c r="K17267" s="6" t="n">
        <f aca="false">Sens!K17260+Sens!K17263+Sens!K17264+Sens!K17265</f>
        <v>460.983378926884</v>
      </c>
    </row>
    <row r="17268" customFormat="false" ht="17.15" hidden="false" customHeight="false" outlineLevel="0" collapsed="false">
      <c r="A17268" s="0" t="s">
        <v>1112</v>
      </c>
      <c r="B17268" s="0" t="s">
        <v>98</v>
      </c>
      <c r="F17268" s="6" t="n">
        <f aca="false">Sens!F17176</f>
        <v>168.45390404212</v>
      </c>
      <c r="G17268" s="6" t="n">
        <f aca="false">Sens!G17176</f>
        <v>191.944475649048</v>
      </c>
      <c r="H17268" s="6" t="n">
        <f aca="false">Sens!H17176</f>
        <v>196.806004064512</v>
      </c>
      <c r="I17268" s="6" t="n">
        <f aca="false">Sens!I17176</f>
        <v>168.61483362161</v>
      </c>
      <c r="J17268" s="6" t="n">
        <f aca="false">Sens!J17176</f>
        <v>128.92993119594</v>
      </c>
      <c r="K17268" s="6" t="n">
        <f aca="false">Sens!K17176</f>
        <v>118.962853064733</v>
      </c>
    </row>
    <row r="17269" customFormat="false" ht="17.15" hidden="false" customHeight="false" outlineLevel="0" collapsed="false">
      <c r="A17269" s="1" t="s">
        <v>1113</v>
      </c>
      <c r="B17269" s="0" t="s">
        <v>98</v>
      </c>
      <c r="E17269" s="6" t="n">
        <f aca="false">Sens!E17184*cx_azo+Sens!E17191*cx_m365+Sens!E17192*cx_lic+(Sens!E17194+Sens!E17196)*cx_ind+Sens!E17199*cx_srch+(Sens!E17201+Sens!E17203)*cx_dev</f>
        <v>30.1846587067718</v>
      </c>
      <c r="F17269" s="6" t="n">
        <f aca="false">Sens!F17184*cx_azo+Sens!F17191*cx_m365+Sens!F17192*cx_lic+(Sens!F17194+Sens!F17196)*cx_ind+Sens!F17199*cx_srch+(Sens!F17201+Sens!F17203)*cx_dev</f>
        <v>35.6985185126228</v>
      </c>
      <c r="G17269" s="6" t="n">
        <f aca="false">Sens!G17184*cx_azo+Sens!G17191*cx_m365+Sens!G17192*cx_lic+(Sens!G17194+Sens!G17196)*cx_ind+Sens!G17199*cx_srch+(Sens!G17201+Sens!G17203)*cx_dev</f>
        <v>41.5783178170917</v>
      </c>
      <c r="H17269" s="6" t="n">
        <f aca="false">Sens!H17184*cx_azo+Sens!H17191*cx_m365+Sens!H17192*cx_lic+(Sens!H17194+Sens!H17196)*cx_ind+Sens!H17199*cx_srch+(Sens!H17201+Sens!H17203)*cx_dev</f>
        <v>47.5433656144293</v>
      </c>
      <c r="I17269" s="6" t="n">
        <f aca="false">Sens!I17184*cx_azo+Sens!I17191*cx_m365+Sens!I17192*cx_lic+(Sens!I17194+Sens!I17196)*cx_ind+Sens!I17199*cx_srch+(Sens!I17201+Sens!I17203)*cx_dev</f>
        <v>53.1612302994382</v>
      </c>
      <c r="J17269" s="6" t="n">
        <f aca="false">Sens!J17184*cx_azo+Sens!J17191*cx_m365+Sens!J17192*cx_lic+(Sens!J17194+Sens!J17196)*cx_ind+Sens!J17199*cx_srch+(Sens!J17201+Sens!J17203)*cx_dev</f>
        <v>58.1985566406647</v>
      </c>
      <c r="K17269" s="6" t="n">
        <f aca="false">Sens!K17184*cx_azo+Sens!K17191*cx_m365+Sens!K17192*cx_lic+(Sens!K17194+Sens!K17196)*cx_ind+Sens!K17199*cx_srch+(Sens!K17201+Sens!K17203)*cx_dev</f>
        <v>62.6392598627275</v>
      </c>
    </row>
    <row r="17270" customFormat="false" ht="17.15" hidden="false" customHeight="false" outlineLevel="0" collapsed="false">
      <c r="A17270" s="0" t="s">
        <v>1114</v>
      </c>
      <c r="B17270" s="0" t="s">
        <v>98</v>
      </c>
      <c r="F17270" s="6" t="n">
        <f aca="false">0</f>
        <v>0</v>
      </c>
      <c r="L17270" s="1" t="s">
        <v>1115</v>
      </c>
    </row>
    <row r="17271" customFormat="false" ht="17.15" hidden="false" customHeight="false" outlineLevel="0" collapsed="false">
      <c r="A17271" s="1" t="s">
        <v>1116</v>
      </c>
      <c r="B17271" s="0" t="s">
        <v>98</v>
      </c>
      <c r="E17271" s="6" t="n">
        <f aca="false">Q!M43</f>
        <v>145.3</v>
      </c>
      <c r="F17271" s="6" t="n">
        <f aca="false">Sens!F17268+Sens!F17269+Sens!F17270</f>
        <v>204.152422554742</v>
      </c>
      <c r="G17271" s="6" t="n">
        <f aca="false">Sens!G17268+Sens!G17269</f>
        <v>233.52279346614</v>
      </c>
      <c r="H17271" s="6" t="n">
        <f aca="false">Sens!H17268+Sens!H17269</f>
        <v>244.349369678942</v>
      </c>
      <c r="I17271" s="6" t="n">
        <f aca="false">Sens!I17268+Sens!I17269</f>
        <v>221.776063921049</v>
      </c>
      <c r="J17271" s="6" t="n">
        <f aca="false">Sens!J17268+Sens!J17269</f>
        <v>187.128487836605</v>
      </c>
      <c r="K17271" s="6" t="n">
        <f aca="false">Sens!K17268+Sens!K17269</f>
        <v>181.60211292746</v>
      </c>
      <c r="L17271" s="1" t="s">
        <v>1117</v>
      </c>
    </row>
    <row r="17272" customFormat="false" ht="15" hidden="false" customHeight="false" outlineLevel="0" collapsed="false">
      <c r="A17272" s="1" t="s">
        <v>1118</v>
      </c>
      <c r="B17272" s="0" t="s">
        <v>98</v>
      </c>
      <c r="E17272" s="6" t="n">
        <f aca="false">fl_liab</f>
        <v>66.594</v>
      </c>
      <c r="F17272" s="6" t="n">
        <f aca="false">Sens!E17272-Sens!F17273</f>
        <v>62.46973</v>
      </c>
      <c r="G17272" s="6" t="n">
        <f aca="false">Sens!F17272-Sens!G17273</f>
        <v>57.98686785</v>
      </c>
      <c r="H17272" s="6" t="n">
        <f aca="false">Sens!G17272-Sens!H17273</f>
        <v>53.92827690325</v>
      </c>
      <c r="I17272" s="6" t="n">
        <f aca="false">Sens!H17272-Sens!I17273</f>
        <v>49.7850493638962</v>
      </c>
      <c r="J17272" s="6" t="n">
        <f aca="false">Sens!I17272-Sens!J17273</f>
        <v>45.4823765852716</v>
      </c>
      <c r="K17272" s="6" t="n">
        <f aca="false">Sens!J17272-Sens!K17273</f>
        <v>40.9860835316088</v>
      </c>
    </row>
    <row r="17273" customFormat="false" ht="15" hidden="false" customHeight="false" outlineLevel="0" collapsed="false">
      <c r="A17273" s="1" t="s">
        <v>1119</v>
      </c>
      <c r="B17273" s="0" t="s">
        <v>98</v>
      </c>
      <c r="F17273" s="6" t="n">
        <f aca="false">fl_pay_27-Sens!E17272*fl_rate</f>
        <v>4.12427</v>
      </c>
      <c r="G17273" s="6" t="n">
        <f aca="false">fl_pay_28-Sens!F17272*fl_rate</f>
        <v>4.48286215</v>
      </c>
      <c r="H17273" s="6" t="n">
        <f aca="false">fl_pay_29-Sens!G17272*fl_rate</f>
        <v>4.05859094675</v>
      </c>
      <c r="I17273" s="6" t="n">
        <f aca="false">fl_pay_30-Sens!H17272*fl_rate</f>
        <v>4.14322753935375</v>
      </c>
      <c r="J17273" s="6" t="n">
        <f aca="false">fl_pay_31-Sens!I17272*fl_rate</f>
        <v>4.30267277862467</v>
      </c>
      <c r="K17273" s="6" t="n">
        <f aca="false">fl_pay_32-Sens!J17272*fl_rate</f>
        <v>4.49629305366278</v>
      </c>
    </row>
    <row r="17274" customFormat="false" ht="17.15" hidden="false" customHeight="false" outlineLevel="0" collapsed="false">
      <c r="A17274" s="1" t="s">
        <v>1120</v>
      </c>
      <c r="B17274" s="0" t="s">
        <v>98</v>
      </c>
      <c r="E17274" s="6" t="n">
        <f aca="false">Q!M35-Q!M36-Q!M44</f>
        <v>63.886</v>
      </c>
      <c r="F17274" s="6" t="n">
        <f aca="false">Sens!F17267-Sens!F17271-Sens!F17273</f>
        <v>14.2113185604036</v>
      </c>
      <c r="G17274" s="6" t="n">
        <f aca="false">Sens!G17267-Sens!G17271-Sens!G17273</f>
        <v>34.455046900425</v>
      </c>
      <c r="H17274" s="6" t="n">
        <f aca="false">Sens!H17267-Sens!H17271-Sens!H17273</f>
        <v>86.1865075486572</v>
      </c>
      <c r="I17274" s="6" t="n">
        <f aca="false">Sens!I17267-Sens!I17271-Sens!I17273</f>
        <v>160.765491276332</v>
      </c>
      <c r="J17274" s="6" t="n">
        <f aca="false">Sens!J17267-Sens!J17271-Sens!J17273</f>
        <v>236.840232789305</v>
      </c>
      <c r="K17274" s="6" t="n">
        <f aca="false">Sens!K17267-Sens!K17271-Sens!K17273</f>
        <v>274.884972945761</v>
      </c>
      <c r="L17274" s="12" t="s">
        <v>1121</v>
      </c>
    </row>
    <row r="17275" customFormat="false" ht="15" hidden="false" customHeight="false" outlineLevel="0" collapsed="false">
      <c r="A17275" s="1" t="s">
        <v>1122</v>
      </c>
      <c r="B17275" s="0" t="s">
        <v>75</v>
      </c>
      <c r="F17275" s="8" t="n">
        <f aca="false">dps_27</f>
        <v>3.85</v>
      </c>
      <c r="G17275" s="8" t="n">
        <f aca="false">Sens!F17275*(1+dps_g)</f>
        <v>4.158</v>
      </c>
      <c r="H17275" s="8" t="n">
        <f aca="false">Sens!G17275*(1+dps_g)</f>
        <v>4.49064</v>
      </c>
      <c r="I17275" s="8" t="n">
        <f aca="false">Sens!H17275*(1+dps_g)</f>
        <v>4.8498912</v>
      </c>
      <c r="J17275" s="8" t="n">
        <f aca="false">Sens!I17275*(1+dps_g)</f>
        <v>5.237882496</v>
      </c>
      <c r="K17275" s="8" t="n">
        <f aca="false">Sens!J17275*(1+dps_g)</f>
        <v>5.65691309568</v>
      </c>
    </row>
    <row r="17276" customFormat="false" ht="17.15" hidden="false" customHeight="false" outlineLevel="0" collapsed="false">
      <c r="A17276" s="1" t="s">
        <v>1123</v>
      </c>
      <c r="B17276" s="0" t="s">
        <v>98</v>
      </c>
      <c r="E17276" s="6" t="n">
        <f aca="false">Q!M41</f>
        <v>26.445</v>
      </c>
      <c r="F17276" s="6" t="n">
        <f aca="false">Sens!F17275*Sens!E17285</f>
        <v>28.59395</v>
      </c>
      <c r="G17276" s="6" t="n">
        <f aca="false">Sens!G17275*Sens!F17285</f>
        <v>31.0443866164344</v>
      </c>
      <c r="H17276" s="6" t="n">
        <f aca="false">Sens!H17275*Sens!G17285</f>
        <v>33.704317810435</v>
      </c>
      <c r="I17276" s="6" t="n">
        <f aca="false">Sens!I17275*Sens!H17285</f>
        <v>36.4511015123424</v>
      </c>
      <c r="J17276" s="6" t="n">
        <f aca="false">Sens!J17275*Sens!I17285</f>
        <v>39.4350875187224</v>
      </c>
      <c r="K17276" s="6" t="n">
        <f aca="false">Sens!K17275*Sens!J17285</f>
        <v>42.6766487825985</v>
      </c>
      <c r="L17276" s="1" t="s">
        <v>1124</v>
      </c>
    </row>
    <row r="17277" customFormat="false" ht="15" hidden="false" customHeight="false" outlineLevel="0" collapsed="false">
      <c r="A17277" s="1" t="s">
        <v>1125</v>
      </c>
      <c r="B17277" s="0" t="s">
        <v>98</v>
      </c>
      <c r="E17277" s="6" t="n">
        <f aca="false">Sens!E17274-Sens!E17276</f>
        <v>37.441</v>
      </c>
      <c r="F17277" s="6" t="n">
        <f aca="false">Sens!F17274-Sens!F17276</f>
        <v>-14.3826314395964</v>
      </c>
      <c r="G17277" s="6" t="n">
        <f aca="false">Sens!G17274-Sens!G17276</f>
        <v>3.41066028399061</v>
      </c>
      <c r="H17277" s="6" t="n">
        <f aca="false">Sens!H17274-Sens!H17276</f>
        <v>52.4821897382223</v>
      </c>
      <c r="I17277" s="6" t="n">
        <f aca="false">Sens!I17274-Sens!I17276</f>
        <v>124.31438976399</v>
      </c>
      <c r="J17277" s="6" t="n">
        <f aca="false">Sens!J17274-Sens!J17276</f>
        <v>197.405145270582</v>
      </c>
      <c r="K17277" s="6" t="n">
        <f aca="false">Sens!K17274-Sens!K17276</f>
        <v>232.208324163163</v>
      </c>
    </row>
    <row r="17278" customFormat="false" ht="15" hidden="false" customHeight="false" outlineLevel="0" collapsed="false">
      <c r="A17278" s="1" t="s">
        <v>1126</v>
      </c>
      <c r="B17278" s="0" t="s">
        <v>98</v>
      </c>
      <c r="F17278" s="6" t="n">
        <f aca="false">debt_mat_27</f>
        <v>9.25</v>
      </c>
      <c r="G17278" s="6" t="n">
        <f aca="false">debt_mat_28</f>
        <v>0</v>
      </c>
      <c r="H17278" s="6" t="n">
        <f aca="false">debt_mat_29</f>
        <v>2.001</v>
      </c>
      <c r="I17278" s="6" t="n">
        <f aca="false">debt_mat_30</f>
        <v>0</v>
      </c>
      <c r="J17278" s="6" t="n">
        <f aca="false">debt_mat_31</f>
        <v>0.5</v>
      </c>
      <c r="K17278" s="6" t="n">
        <f aca="false">debt_mat_32</f>
        <v>0</v>
      </c>
    </row>
    <row r="17279" customFormat="false" ht="15" hidden="false" customHeight="false" outlineLevel="0" collapsed="false">
      <c r="A17279" s="1" t="s">
        <v>1127</v>
      </c>
      <c r="B17279" s="0" t="s">
        <v>98</v>
      </c>
      <c r="E17279" s="6" t="n">
        <f aca="false">Q!M40</f>
        <v>22.271</v>
      </c>
      <c r="F17279" s="6" t="n">
        <f aca="false">MAX(0,MIN(bb_target,Sens!E17281+Sens!F17277-Sens!F17278-min_cash))</f>
        <v>3.21036856040364</v>
      </c>
      <c r="G17279" s="6" t="n">
        <f aca="false">MAX(0,MIN(bb_target,Sens!F17281+Sens!G17277-Sens!G17278-min_cash))</f>
        <v>3.41066028399061</v>
      </c>
      <c r="H17279" s="6" t="n">
        <f aca="false">MAX(0,MIN(bb_target,Sens!G17281+Sens!H17277-Sens!H17278-min_cash))</f>
        <v>22.271</v>
      </c>
      <c r="I17279" s="6" t="n">
        <f aca="false">MAX(0,MIN(bb_target,Sens!H17281+Sens!I17277-Sens!I17278-min_cash))</f>
        <v>22.271</v>
      </c>
      <c r="J17279" s="6" t="n">
        <f aca="false">MAX(0,MIN(bb_target,Sens!I17281+Sens!J17277-Sens!J17278-min_cash))</f>
        <v>22.271</v>
      </c>
      <c r="K17279" s="6" t="n">
        <f aca="false">MAX(0,MIN(bb_target,Sens!J17281+Sens!K17277-Sens!K17278-min_cash))</f>
        <v>22.271</v>
      </c>
    </row>
    <row r="17280" customFormat="false" ht="15" hidden="false" customHeight="false" outlineLevel="0" collapsed="false">
      <c r="A17280" s="1" t="s">
        <v>1128</v>
      </c>
      <c r="B17280" s="0" t="s">
        <v>98</v>
      </c>
      <c r="F17280" s="6" t="n">
        <f aca="false">MAX(0,min_cash-(Sens!E17281+Sens!F17277-Sens!F17278-Sens!F17279))</f>
        <v>0</v>
      </c>
      <c r="G17280" s="6" t="n">
        <f aca="false">MAX(0,min_cash-(Sens!F17281+Sens!G17277-Sens!G17278-Sens!G17279))</f>
        <v>0</v>
      </c>
      <c r="H17280" s="6" t="n">
        <f aca="false">MAX(0,min_cash-(Sens!G17281+Sens!H17277-Sens!H17278-Sens!H17279))</f>
        <v>0</v>
      </c>
      <c r="I17280" s="6" t="n">
        <f aca="false">MAX(0,min_cash-(Sens!H17281+Sens!I17277-Sens!I17278-Sens!I17279))</f>
        <v>0</v>
      </c>
      <c r="J17280" s="6" t="n">
        <f aca="false">MAX(0,min_cash-(Sens!I17281+Sens!J17277-Sens!J17278-Sens!J17279))</f>
        <v>0</v>
      </c>
      <c r="K17280" s="6" t="n">
        <f aca="false">MAX(0,min_cash-(Sens!J17281+Sens!K17277-Sens!K17278-Sens!K17279))</f>
        <v>0</v>
      </c>
    </row>
    <row r="17281" customFormat="false" ht="15" hidden="false" customHeight="false" outlineLevel="0" collapsed="false">
      <c r="A17281" s="1" t="s">
        <v>1129</v>
      </c>
      <c r="B17281" s="0" t="s">
        <v>98</v>
      </c>
      <c r="E17281" s="6" t="n">
        <f aca="false">cash_open</f>
        <v>76.843</v>
      </c>
      <c r="F17281" s="6" t="n">
        <f aca="false">Sens!E17281+Sens!F17277-Sens!F17278-Sens!F17279+Sens!F17280</f>
        <v>50</v>
      </c>
      <c r="G17281" s="6" t="n">
        <f aca="false">Sens!F17281+Sens!G17277-Sens!G17278-Sens!G17279+Sens!G17280</f>
        <v>50</v>
      </c>
      <c r="H17281" s="6" t="n">
        <f aca="false">Sens!G17281+Sens!H17277-Sens!H17278-Sens!H17279+Sens!H17280</f>
        <v>78.2101897382223</v>
      </c>
      <c r="I17281" s="6" t="n">
        <f aca="false">Sens!H17281+Sens!I17277-Sens!I17278-Sens!I17279+Sens!I17280</f>
        <v>180.253579502212</v>
      </c>
      <c r="J17281" s="6" t="n">
        <f aca="false">Sens!I17281+Sens!J17277-Sens!J17278-Sens!J17279+Sens!J17280</f>
        <v>354.887724772794</v>
      </c>
      <c r="K17281" s="6" t="n">
        <f aca="false">Sens!J17281+Sens!K17277-Sens!K17278-Sens!K17279+Sens!K17280</f>
        <v>564.825048935957</v>
      </c>
    </row>
    <row r="17282" customFormat="false" ht="15" hidden="false" customHeight="false" outlineLevel="0" collapsed="false">
      <c r="A17282" s="1" t="s">
        <v>1130</v>
      </c>
      <c r="B17282" s="0" t="s">
        <v>98</v>
      </c>
      <c r="E17282" s="6" t="n">
        <f aca="false">debt_face</f>
        <v>46.136</v>
      </c>
      <c r="F17282" s="6" t="n">
        <f aca="false">Sens!E17282-Sens!F17278+Sens!F17280</f>
        <v>36.886</v>
      </c>
      <c r="G17282" s="6" t="n">
        <f aca="false">Sens!F17282-Sens!G17278+Sens!G17280</f>
        <v>36.886</v>
      </c>
      <c r="H17282" s="6" t="n">
        <f aca="false">Sens!G17282-Sens!H17278+Sens!H17280</f>
        <v>34.885</v>
      </c>
      <c r="I17282" s="6" t="n">
        <f aca="false">Sens!H17282-Sens!I17278+Sens!I17280</f>
        <v>34.885</v>
      </c>
      <c r="J17282" s="6" t="n">
        <f aca="false">Sens!I17282-Sens!J17278+Sens!J17280</f>
        <v>34.385</v>
      </c>
      <c r="K17282" s="6" t="n">
        <f aca="false">Sens!J17282-Sens!K17278+Sens!K17280</f>
        <v>34.385</v>
      </c>
    </row>
    <row r="17283" customFormat="false" ht="15" hidden="false" customHeight="false" outlineLevel="0" collapsed="false">
      <c r="A17283" s="1" t="s">
        <v>1131</v>
      </c>
      <c r="B17283" s="0" t="s">
        <v>98</v>
      </c>
      <c r="E17283" s="6" t="n">
        <f aca="false">Sens!E17281-Sens!E17282</f>
        <v>30.707</v>
      </c>
      <c r="F17283" s="6" t="n">
        <f aca="false">Sens!F17281-Sens!F17282</f>
        <v>13.114</v>
      </c>
      <c r="G17283" s="6" t="n">
        <f aca="false">Sens!G17281-Sens!G17282</f>
        <v>13.114</v>
      </c>
      <c r="H17283" s="6" t="n">
        <f aca="false">Sens!H17281-Sens!H17282</f>
        <v>43.3251897382223</v>
      </c>
      <c r="I17283" s="6" t="n">
        <f aca="false">Sens!I17281-Sens!I17282</f>
        <v>145.368579502212</v>
      </c>
      <c r="J17283" s="6" t="n">
        <f aca="false">Sens!J17281-Sens!J17282</f>
        <v>320.502724772794</v>
      </c>
      <c r="K17283" s="6" t="n">
        <f aca="false">Sens!K17281-Sens!K17282</f>
        <v>530.440048935957</v>
      </c>
    </row>
    <row r="17284" customFormat="false" ht="15" hidden="false" customHeight="false" outlineLevel="0" collapsed="false">
      <c r="A17284" s="1" t="s">
        <v>1132</v>
      </c>
      <c r="B17284" s="0" t="s">
        <v>75</v>
      </c>
      <c r="F17284" s="30" t="n">
        <f aca="false">px*(1+bb_g)^(Sens!F17142-base_fy-mid_yr)</f>
        <v>551.84177959629</v>
      </c>
      <c r="G17284" s="30" t="n">
        <f aca="false">px*(1+bb_g)^(Sens!G17142-base_fy-mid_yr)</f>
        <v>595.989121963993</v>
      </c>
      <c r="H17284" s="30" t="n">
        <f aca="false">px*(1+bb_g)^(Sens!H17142-base_fy-mid_yr)</f>
        <v>643.668251721112</v>
      </c>
      <c r="I17284" s="30" t="n">
        <f aca="false">px*(1+bb_g)^(Sens!I17142-base_fy-mid_yr)</f>
        <v>695.161711858801</v>
      </c>
      <c r="J17284" s="30" t="n">
        <f aca="false">px*(1+bb_g)^(Sens!J17142-base_fy-mid_yr)</f>
        <v>750.774648807506</v>
      </c>
      <c r="K17284" s="30" t="n">
        <f aca="false">px*(1+bb_g)^(Sens!K17142-base_fy-mid_yr)</f>
        <v>810.836620712106</v>
      </c>
    </row>
    <row r="17285" customFormat="false" ht="15" hidden="false" customHeight="false" outlineLevel="0" collapsed="false">
      <c r="A17285" s="1" t="s">
        <v>1133</v>
      </c>
      <c r="B17285" s="1" t="s">
        <v>81</v>
      </c>
      <c r="E17285" s="15" t="n">
        <f aca="false">sh_out26</f>
        <v>7.427</v>
      </c>
      <c r="F17285" s="15" t="n">
        <f aca="false">Sens!E17285+sh_iss-Sens!F17279/Sens!F17284</f>
        <v>7.46618244743493</v>
      </c>
      <c r="G17285" s="15" t="n">
        <f aca="false">Sens!F17285+sh_iss-Sens!G17279/Sens!G17284</f>
        <v>7.5054597586168</v>
      </c>
      <c r="H17285" s="15" t="n">
        <f aca="false">Sens!G17285+sh_iss-Sens!H17279/Sens!H17284</f>
        <v>7.5158596366744</v>
      </c>
      <c r="I17285" s="15" t="n">
        <f aca="false">Sens!H17285+sh_iss-Sens!I17279/Sens!I17284</f>
        <v>7.52882248672774</v>
      </c>
      <c r="J17285" s="15" t="n">
        <f aca="false">Sens!I17285+sh_iss-Sens!J17279/Sens!J17284</f>
        <v>7.54415845899935</v>
      </c>
      <c r="K17285" s="15" t="n">
        <f aca="false">Sens!J17285+sh_iss-Sens!K17279/Sens!K17284</f>
        <v>7.56169176665824</v>
      </c>
    </row>
    <row r="17286" customFormat="false" ht="15" hidden="false" customHeight="false" outlineLevel="0" collapsed="false">
      <c r="A17286" s="1" t="s">
        <v>1134</v>
      </c>
      <c r="B17286" s="1" t="s">
        <v>81</v>
      </c>
      <c r="E17286" s="15" t="n">
        <f aca="false">sh_dil26</f>
        <v>7.453</v>
      </c>
      <c r="F17286" s="15" t="n">
        <f aca="false">(Sens!E17285+Sens!F17285)/2+dil_gap</f>
        <v>7.47059122371746</v>
      </c>
      <c r="G17286" s="15" t="n">
        <f aca="false">(Sens!F17285+Sens!G17285)/2+dil_gap</f>
        <v>7.50982110302586</v>
      </c>
      <c r="H17286" s="15" t="n">
        <f aca="false">(Sens!G17285+Sens!H17285)/2+dil_gap</f>
        <v>7.5346596976456</v>
      </c>
      <c r="I17286" s="15" t="n">
        <f aca="false">(Sens!H17285+Sens!I17285)/2+dil_gap</f>
        <v>7.54634106170107</v>
      </c>
      <c r="J17286" s="15" t="n">
        <f aca="false">(Sens!I17285+Sens!J17285)/2+dil_gap</f>
        <v>7.56049047286354</v>
      </c>
      <c r="K17286" s="15" t="n">
        <f aca="false">(Sens!J17285+Sens!K17285)/2+dil_gap</f>
        <v>7.57692511282879</v>
      </c>
    </row>
    <row r="17287" customFormat="false" ht="17.15" hidden="false" customHeight="false" outlineLevel="0" collapsed="false">
      <c r="A17287" s="1" t="s">
        <v>1135</v>
      </c>
      <c r="B17287" s="0" t="s">
        <v>98</v>
      </c>
      <c r="C17287" s="6" t="n">
        <f aca="false">SUM(Sens!F17277:J17277)</f>
        <v>363.229753617189</v>
      </c>
    </row>
    <row r="17288" customFormat="false" ht="15" hidden="false" customHeight="false" outlineLevel="0" collapsed="false">
      <c r="A17288" s="26" t="s">
        <v>1100</v>
      </c>
      <c r="B17288" s="31" t="s">
        <v>98</v>
      </c>
      <c r="C17288" s="27" t="n">
        <f aca="false">Sens!$C$17287-(Sens!F17277+Sens!G17277+Sens!H17277+Sens!I17277+Sens!J17277)</f>
        <v>0</v>
      </c>
      <c r="D17288" s="31"/>
      <c r="E17288" s="31"/>
      <c r="F17288" s="31"/>
      <c r="G17288" s="31"/>
      <c r="H17288" s="31"/>
      <c r="I17288" s="31"/>
      <c r="J17288" s="31"/>
      <c r="K17288" s="31"/>
    </row>
    <row r="17289" customFormat="false" ht="17.15" hidden="false" customHeight="false" outlineLevel="0" collapsed="false">
      <c r="A17289" s="1" t="s">
        <v>1094</v>
      </c>
      <c r="B17289" s="1" t="s">
        <v>1136</v>
      </c>
      <c r="C17289" s="33" t="str">
        <f aca="false">IF(SUM(Sens!F17280:J17280)&gt;0.05,"需要舉債 "&amp;TEXT(SUM(Sens!F17280:J17280),"0.0")&amp;" 十億美元","不需舉債")&amp;"；"&amp;IF(SUM(Sens!F17279:J17279)&lt;COUNT(Sens!F17279:J17279)*bb_target-0.05,"回購較每年 "&amp;TEXT(bb_target,"0.0")&amp;" 的目標少 "&amp;TEXT(COUNT(Sens!F17279:J17279)*bb_target-SUM(Sens!F17279:J17279),"0.0")&amp;" 十億美元（"&amp;TEXT(COUNTIF(Sens!F17279:J17279,"&lt;"&amp;(bb_target-0.05)),"0")&amp;" 年減少）","回購不減")</f>
        <v>不需舉債；回購較每年 22.3 的目標少 37.9 十億美元（2 年減少）</v>
      </c>
    </row>
    <row r="17290" customFormat="false" ht="17.15" hidden="false" customHeight="false" outlineLevel="0" collapsed="false">
      <c r="A17290" s="3" t="s">
        <v>2038</v>
      </c>
    </row>
    <row r="17291" customFormat="false" ht="15" hidden="false" customHeight="false" outlineLevel="0" collapsed="false">
      <c r="A17291" s="4" t="s">
        <v>43</v>
      </c>
      <c r="B17291" s="4" t="s">
        <v>65</v>
      </c>
      <c r="C17291" s="23" t="s">
        <v>942</v>
      </c>
      <c r="D17291" s="23" t="s">
        <v>943</v>
      </c>
      <c r="E17291" s="23" t="s">
        <v>944</v>
      </c>
      <c r="F17291" s="23" t="s">
        <v>945</v>
      </c>
      <c r="G17291" s="23" t="s">
        <v>946</v>
      </c>
      <c r="H17291" s="23" t="s">
        <v>947</v>
      </c>
      <c r="I17291" s="23" t="s">
        <v>948</v>
      </c>
      <c r="J17291" s="23" t="s">
        <v>949</v>
      </c>
      <c r="K17291" s="23" t="s">
        <v>950</v>
      </c>
      <c r="L17291" s="4" t="s">
        <v>47</v>
      </c>
    </row>
    <row r="17292" customFormat="false" ht="17.15" hidden="false" customHeight="false" outlineLevel="0" collapsed="false">
      <c r="A17292" s="1" t="s">
        <v>1216</v>
      </c>
      <c r="B17292" s="1" t="s">
        <v>279</v>
      </c>
      <c r="F17292" s="8" t="n">
        <f aca="false">(1-v_off)*mid_yr</f>
        <v>0.373972602739726</v>
      </c>
      <c r="G17292" s="8" t="n">
        <f aca="false">Sens!G17142-base_fy-mid_yr-v_off</f>
        <v>1.24794520547945</v>
      </c>
      <c r="H17292" s="8" t="n">
        <f aca="false">Sens!H17142-base_fy-mid_yr-v_off</f>
        <v>2.24794520547945</v>
      </c>
      <c r="I17292" s="8" t="n">
        <f aca="false">Sens!I17142-base_fy-mid_yr-v_off</f>
        <v>3.24794520547945</v>
      </c>
      <c r="J17292" s="8" t="n">
        <f aca="false">Sens!J17142-base_fy-mid_yr-v_off</f>
        <v>4.24794520547945</v>
      </c>
      <c r="K17292" s="8" t="n">
        <f aca="false">Sens!K17142-base_fy-mid_yr-v_off</f>
        <v>5.24794520547945</v>
      </c>
      <c r="L17292" s="12" t="s">
        <v>1217</v>
      </c>
    </row>
    <row r="17293" customFormat="false" ht="15" hidden="false" customHeight="false" outlineLevel="0" collapsed="false">
      <c r="A17293" s="1" t="s">
        <v>1218</v>
      </c>
      <c r="B17293" s="1" t="s">
        <v>279</v>
      </c>
      <c r="F17293" s="8" t="n">
        <f aca="false">Sens!F17142-base_fy-v_off</f>
        <v>0.747945205479452</v>
      </c>
      <c r="G17293" s="8" t="n">
        <f aca="false">Sens!G17142-base_fy-v_off</f>
        <v>1.74794520547945</v>
      </c>
      <c r="H17293" s="8" t="n">
        <f aca="false">Sens!H17142-base_fy-v_off</f>
        <v>2.74794520547945</v>
      </c>
      <c r="I17293" s="8" t="n">
        <f aca="false">Sens!I17142-base_fy-v_off</f>
        <v>3.74794520547945</v>
      </c>
      <c r="J17293" s="8" t="n">
        <f aca="false">Sens!J17142-base_fy-v_off</f>
        <v>4.74794520547945</v>
      </c>
      <c r="K17293" s="8" t="n">
        <f aca="false">Sens!K17142-base_fy-v_off</f>
        <v>5.74794520547945</v>
      </c>
    </row>
    <row r="17294" customFormat="false" ht="15" hidden="false" customHeight="false" outlineLevel="0" collapsed="false">
      <c r="A17294" s="1" t="s">
        <v>1219</v>
      </c>
      <c r="B17294" s="0" t="s">
        <v>229</v>
      </c>
      <c r="F17294" s="15" t="n">
        <f aca="false">1/(1+wacc)^Sens!F17292</f>
        <v>0.964022703286649</v>
      </c>
      <c r="G17294" s="15" t="n">
        <f aca="false">1/(1+wacc)^Sens!G17292</f>
        <v>0.884910302296739</v>
      </c>
      <c r="H17294" s="15" t="n">
        <f aca="false">1/(1+wacc)^Sens!H17292</f>
        <v>0.802322009770358</v>
      </c>
      <c r="I17294" s="15" t="n">
        <f aca="false">1/(1+wacc)^Sens!I17292</f>
        <v>0.727441646561469</v>
      </c>
      <c r="J17294" s="15" t="n">
        <f aca="false">1/(1+wacc)^Sens!J17292</f>
        <v>0.659549834988973</v>
      </c>
      <c r="K17294" s="15" t="n">
        <f aca="false">1/(1+wacc)^Sens!K17292</f>
        <v>0.597994336576966</v>
      </c>
    </row>
    <row r="17295" customFormat="false" ht="17.15" hidden="false" customHeight="false" outlineLevel="0" collapsed="false">
      <c r="A17295" s="1" t="s">
        <v>1220</v>
      </c>
      <c r="B17295" s="0" t="s">
        <v>98</v>
      </c>
      <c r="F17295" s="6" t="n">
        <f aca="false">Q!$I$35-Q!$I$39-Q!$I$43</f>
        <v>9.666</v>
      </c>
      <c r="L17295" s="12" t="s">
        <v>1221</v>
      </c>
    </row>
    <row r="17296" customFormat="false" ht="17.15" hidden="false" customHeight="false" outlineLevel="0" collapsed="false">
      <c r="A17296" s="1" t="s">
        <v>1222</v>
      </c>
      <c r="B17296" s="0" t="s">
        <v>98</v>
      </c>
      <c r="F17296" s="6" t="n">
        <f aca="false">Sens!F17267-Sens!F17264-Sens!F17271+Sens!F17249*(1-tax_f)*(1-v_off)-Sens!F17295</f>
        <v>-1.08303955505159</v>
      </c>
      <c r="G17296" s="6" t="n">
        <f aca="false">Sens!G17267-Sens!G17264-Sens!G17271+Sens!G17249*(1-tax_f)</f>
        <v>38.7185858007405</v>
      </c>
      <c r="H17296" s="6" t="n">
        <f aca="false">Sens!H17267-Sens!H17264-Sens!H17271+Sens!H17249*(1-tax_f)</f>
        <v>98.691976702153</v>
      </c>
      <c r="I17296" s="6" t="n">
        <f aca="false">Sens!I17267-Sens!I17264-Sens!I17271+Sens!I17249*(1-tax_f)</f>
        <v>181.624746857125</v>
      </c>
      <c r="J17296" s="6" t="n">
        <f aca="false">Sens!J17267-Sens!J17264-Sens!J17271+Sens!J17249*(1-tax_f)</f>
        <v>263.349778107347</v>
      </c>
      <c r="K17296" s="6" t="n">
        <f aca="false">Sens!K17267-Sens!K17264-Sens!K17271+Sens!K17249*(1-tax_f)</f>
        <v>303.658506508905</v>
      </c>
      <c r="L17296" s="1" t="s">
        <v>1223</v>
      </c>
    </row>
    <row r="17297" customFormat="false" ht="15" hidden="false" customHeight="false" outlineLevel="0" collapsed="false">
      <c r="A17297" s="1" t="s">
        <v>1224</v>
      </c>
      <c r="B17297" s="0" t="s">
        <v>98</v>
      </c>
      <c r="F17297" s="6" t="n">
        <f aca="false">Sens!F17296*Sens!F17294</f>
        <v>-1.04407471962721</v>
      </c>
      <c r="G17297" s="6" t="n">
        <f aca="false">Sens!G17296*Sens!G17294</f>
        <v>34.2624754654355</v>
      </c>
      <c r="H17297" s="6" t="n">
        <f aca="false">Sens!H17296*Sens!H17294</f>
        <v>79.1827450958808</v>
      </c>
      <c r="I17297" s="6" t="n">
        <f aca="false">Sens!I17296*Sens!I17294</f>
        <v>132.121404910057</v>
      </c>
      <c r="J17297" s="6" t="n">
        <f aca="false">Sens!J17296*Sens!J17294</f>
        <v>173.692302695083</v>
      </c>
      <c r="K17297" s="6" t="n">
        <f aca="false">Sens!K17296*Sens!K17294</f>
        <v>181.586067145745</v>
      </c>
    </row>
    <row r="17298" customFormat="false" ht="17.15" hidden="false" customHeight="false" outlineLevel="0" collapsed="false">
      <c r="A17298" s="1" t="s">
        <v>1225</v>
      </c>
      <c r="B17298" s="0" t="s">
        <v>98</v>
      </c>
      <c r="C17298" s="6" t="n">
        <f aca="false">SUM(Sens!F17297:K17297)</f>
        <v>599.800920592574</v>
      </c>
    </row>
    <row r="17299" customFormat="false" ht="17.15" hidden="false" customHeight="false" outlineLevel="0" collapsed="false">
      <c r="A17299" s="1" t="s">
        <v>1226</v>
      </c>
      <c r="B17299" s="0" t="s">
        <v>98</v>
      </c>
      <c r="C17299" s="6" t="n">
        <f aca="false">Sens!K17235*(1+g_tv)*(1-tax_f)</f>
        <v>316.503633745373</v>
      </c>
    </row>
    <row r="17300" customFormat="false" ht="17.15" hidden="false" customHeight="false" outlineLevel="0" collapsed="false">
      <c r="A17300" s="1" t="s">
        <v>1227</v>
      </c>
      <c r="B17300" s="0" t="s">
        <v>98</v>
      </c>
      <c r="C17300" s="6" t="n">
        <f aca="false">Sens!$C$17299*(1-g_tv/(wacc+ronic_prem))</f>
        <v>224.261322968058</v>
      </c>
    </row>
    <row r="17301" customFormat="false" ht="17.15" hidden="false" customHeight="false" outlineLevel="0" collapsed="false">
      <c r="A17301" s="1" t="s">
        <v>1228</v>
      </c>
      <c r="B17301" s="0" t="s">
        <v>98</v>
      </c>
      <c r="C17301" s="6" t="n">
        <f aca="false">Sens!$C$17300/(wacc-g_tv)</f>
        <v>3074.74369257719</v>
      </c>
    </row>
    <row r="17302" customFormat="false" ht="15" hidden="false" customHeight="false" outlineLevel="0" collapsed="false">
      <c r="A17302" s="1" t="s">
        <v>1229</v>
      </c>
      <c r="B17302" s="0" t="s">
        <v>98</v>
      </c>
      <c r="C17302" s="6" t="n">
        <f aca="false">Sens!$C$17301/(1+wacc)^Sens!K17293</f>
        <v>1750.77653655647</v>
      </c>
    </row>
    <row r="17303" customFormat="false" ht="17.15" hidden="false" customHeight="false" outlineLevel="0" collapsed="false">
      <c r="A17303" s="0" t="s">
        <v>1230</v>
      </c>
      <c r="B17303" s="0" t="s">
        <v>98</v>
      </c>
      <c r="C17303" s="6" t="n">
        <f aca="false">Sens!$C$17298+Sens!$C$17302</f>
        <v>2350.57745714904</v>
      </c>
    </row>
    <row r="17304" customFormat="false" ht="15" hidden="false" customHeight="false" outlineLevel="0" collapsed="false">
      <c r="A17304" s="1" t="s">
        <v>1145</v>
      </c>
      <c r="B17304" s="0" t="s">
        <v>168</v>
      </c>
      <c r="C17304" s="7" t="n">
        <f aca="false">Sens!$C$17302/Sens!$C$17303</f>
        <v>0.744828268148177</v>
      </c>
    </row>
    <row r="17305" customFormat="false" ht="17.15" hidden="false" customHeight="false" outlineLevel="0" collapsed="false">
      <c r="A17305" s="1" t="s">
        <v>1231</v>
      </c>
      <c r="B17305" s="0" t="s">
        <v>98</v>
      </c>
      <c r="C17305" s="6" t="n">
        <f aca="false">Sens!$C$17303+cash_val-debt_val-fl_val+oai_v</f>
        <v>2466.42845714904</v>
      </c>
    </row>
    <row r="17306" customFormat="false" ht="17.15" hidden="false" customHeight="false" outlineLevel="0" collapsed="false">
      <c r="A17306" s="0" t="s">
        <v>1153</v>
      </c>
      <c r="B17306" s="0" t="s">
        <v>75</v>
      </c>
      <c r="C17306" s="5" t="n">
        <f aca="false">Sens!$C$17305/shd_val</f>
        <v>331.242070527671</v>
      </c>
    </row>
    <row r="17307" customFormat="false" ht="15" hidden="false" customHeight="false" outlineLevel="0" collapsed="false">
      <c r="A17307" s="1" t="s">
        <v>1232</v>
      </c>
      <c r="B17307" s="0" t="s">
        <v>75</v>
      </c>
      <c r="C17307" s="8" t="n">
        <f aca="false">div_rem27+Sens!G17275*roll_div_q/q_per_yr</f>
        <v>3.9795</v>
      </c>
    </row>
    <row r="17308" customFormat="false" ht="17.15" hidden="false" customHeight="false" outlineLevel="0" collapsed="false">
      <c r="A17308" s="0" t="s">
        <v>1233</v>
      </c>
      <c r="B17308" s="0" t="s">
        <v>75</v>
      </c>
      <c r="C17308" s="5" t="n">
        <f aca="false">Sens!$C$17306*(1+wacc)^t_roll-Sens!$C$17307</f>
        <v>364.214548257847</v>
      </c>
    </row>
    <row r="17309" customFormat="false" ht="17.15" hidden="false" customHeight="false" outlineLevel="0" collapsed="false">
      <c r="A17309" s="1" t="s">
        <v>1234</v>
      </c>
      <c r="B17309" s="0" t="s">
        <v>168</v>
      </c>
      <c r="F17309" s="7" t="n">
        <f aca="false">Sens!F17261/(Sens!F17206-Sens!F17161)</f>
        <v>0.0685388988641094</v>
      </c>
      <c r="G17309" s="7" t="n">
        <f aca="false">Sens!G17261/(Sens!G17206-Sens!G17161)</f>
        <v>0.0653457465963261</v>
      </c>
      <c r="H17309" s="7" t="n">
        <f aca="false">Sens!H17261/(Sens!H17206-Sens!H17161)</f>
        <v>0.0636539937496352</v>
      </c>
      <c r="I17309" s="7" t="n">
        <f aca="false">Sens!I17261/(Sens!I17206-Sens!I17161)</f>
        <v>0.0633508205541219</v>
      </c>
      <c r="J17309" s="7" t="n">
        <f aca="false">Sens!J17261/(Sens!J17206-Sens!J17161)</f>
        <v>0.0640813255883536</v>
      </c>
      <c r="K17309" s="7" t="n">
        <f aca="false">Sens!K17261/(Sens!K17206-Sens!K17161)</f>
        <v>0.0653911094760038</v>
      </c>
    </row>
    <row r="17310" customFormat="false" ht="17.15" hidden="false" customHeight="false" outlineLevel="0" collapsed="false">
      <c r="A17310" s="0" t="s">
        <v>1235</v>
      </c>
      <c r="B17310" s="0" t="s">
        <v>98</v>
      </c>
      <c r="F17310" s="6" t="n">
        <f aca="false">Sens!F17191*(al_m365+Sens!F17309+sbc_r)</f>
        <v>84.5197345892455</v>
      </c>
      <c r="G17310" s="6" t="n">
        <f aca="false">Sens!G17191*(al_m365+Sens!G17309+sbc_r)</f>
        <v>98.9484307244519</v>
      </c>
      <c r="H17310" s="6" t="n">
        <f aca="false">Sens!H17191*(al_m365+Sens!H17309+sbc_r)</f>
        <v>113.542294363182</v>
      </c>
      <c r="I17310" s="6" t="n">
        <f aca="false">Sens!I17191*(al_m365+Sens!I17309+sbc_r)</f>
        <v>126.619271500968</v>
      </c>
      <c r="J17310" s="6" t="n">
        <f aca="false">Sens!J17191*(al_m365+Sens!J17309+sbc_r)</f>
        <v>137.993466050855</v>
      </c>
      <c r="K17310" s="6" t="n">
        <f aca="false">Sens!K17191*(al_m365+Sens!K17309+sbc_r)</f>
        <v>148.988139922556</v>
      </c>
      <c r="L17310" s="12" t="s">
        <v>1236</v>
      </c>
    </row>
    <row r="17311" customFormat="false" ht="17.15" hidden="false" customHeight="false" outlineLevel="0" collapsed="false">
      <c r="A17311" s="0" t="s">
        <v>1237</v>
      </c>
      <c r="B17311" s="0" t="s">
        <v>98</v>
      </c>
      <c r="F17311" s="6" t="n">
        <f aca="false">Sens!F17192*(al_lic+Sens!F17309+sbc_r)</f>
        <v>32.8546692645468</v>
      </c>
      <c r="G17311" s="6" t="n">
        <f aca="false">Sens!G17192*(al_lic+Sens!G17309+sbc_r)</f>
        <v>34.1181170826133</v>
      </c>
      <c r="H17311" s="6" t="n">
        <f aca="false">Sens!H17192*(al_lic+Sens!H17309+sbc_r)</f>
        <v>35.3020621533934</v>
      </c>
      <c r="I17311" s="6" t="n">
        <f aca="false">Sens!I17192*(al_lic+Sens!I17309+sbc_r)</f>
        <v>36.3895350789355</v>
      </c>
      <c r="J17311" s="6" t="n">
        <f aca="false">Sens!J17192*(al_lic+Sens!J17309+sbc_r)</f>
        <v>37.3526466692629</v>
      </c>
      <c r="K17311" s="6" t="n">
        <f aca="false">Sens!K17192*(al_lic+Sens!K17309+sbc_r)</f>
        <v>38.1583073392497</v>
      </c>
    </row>
    <row r="17312" customFormat="false" ht="17.15" hidden="false" customHeight="false" outlineLevel="0" collapsed="false">
      <c r="A17312" s="0" t="s">
        <v>1238</v>
      </c>
      <c r="B17312" s="0" t="s">
        <v>98</v>
      </c>
      <c r="F17312" s="6" t="n">
        <f aca="false">Sens!F17194*(al_ind+Sens!F17309+sbc_r)</f>
        <v>9.05861680873944</v>
      </c>
      <c r="G17312" s="6" t="n">
        <f aca="false">Sens!G17194*(al_ind+Sens!G17309+sbc_r)</f>
        <v>9.82429589037136</v>
      </c>
      <c r="H17312" s="6" t="n">
        <f aca="false">Sens!H17194*(al_ind+Sens!H17309+sbc_r)</f>
        <v>10.6375050309648</v>
      </c>
      <c r="I17312" s="6" t="n">
        <f aca="false">Sens!I17194*(al_ind+Sens!I17309+sbc_r)</f>
        <v>11.496423248012</v>
      </c>
      <c r="J17312" s="6" t="n">
        <f aca="false">Sens!J17194*(al_ind+Sens!J17309+sbc_r)</f>
        <v>12.3901786929281</v>
      </c>
      <c r="K17312" s="6" t="n">
        <f aca="false">Sens!K17194*(al_ind+Sens!K17309+sbc_r)</f>
        <v>13.3007440265546</v>
      </c>
    </row>
    <row r="17313" customFormat="false" ht="17.15" hidden="false" customHeight="false" outlineLevel="0" collapsed="false">
      <c r="A17313" s="0" t="s">
        <v>1239</v>
      </c>
      <c r="B17313" s="0" t="s">
        <v>98</v>
      </c>
      <c r="F17313" s="6" t="n">
        <f aca="false">Sens!F17196*(al_fro+Sens!F17309+sbc_r)</f>
        <v>3.55332335643508</v>
      </c>
      <c r="G17313" s="6" t="n">
        <f aca="false">Sens!G17196*(al_fro+Sens!G17309+sbc_r)</f>
        <v>3.75906353784493</v>
      </c>
      <c r="H17313" s="6" t="n">
        <f aca="false">Sens!H17196*(al_fro+Sens!H17309+sbc_r)</f>
        <v>3.99488240023908</v>
      </c>
      <c r="I17313" s="6" t="n">
        <f aca="false">Sens!I17196*(al_fro+Sens!I17309+sbc_r)</f>
        <v>4.2638851598007</v>
      </c>
      <c r="J17313" s="6" t="n">
        <f aca="false">Sens!J17196*(al_fro+Sens!J17309+sbc_r)</f>
        <v>4.56671054017157</v>
      </c>
      <c r="K17313" s="6" t="n">
        <f aca="false">Sens!K17196*(al_fro+Sens!K17309+sbc_r)</f>
        <v>4.90232218949832</v>
      </c>
    </row>
    <row r="17314" customFormat="false" ht="17.15" hidden="false" customHeight="false" outlineLevel="0" collapsed="false">
      <c r="A17314" s="0" t="s">
        <v>1240</v>
      </c>
      <c r="B17314" s="0" t="s">
        <v>98</v>
      </c>
      <c r="F17314" s="6" t="n">
        <f aca="false">Sens!F17199*(al_srch+Sens!F17309+sbc_r)</f>
        <v>11.1868671539751</v>
      </c>
      <c r="G17314" s="6" t="n">
        <f aca="false">Sens!G17199*(al_srch+Sens!G17309+sbc_r)</f>
        <v>12.2469107320795</v>
      </c>
      <c r="H17314" s="6" t="n">
        <f aca="false">Sens!H17199*(al_srch+Sens!H17309+sbc_r)</f>
        <v>13.3549910353783</v>
      </c>
      <c r="I17314" s="6" t="n">
        <f aca="false">Sens!I17199*(al_srch+Sens!I17309+sbc_r)</f>
        <v>14.5021507909211</v>
      </c>
      <c r="J17314" s="6" t="n">
        <f aca="false">Sens!J17199*(al_srch+Sens!J17309+sbc_r)</f>
        <v>15.6670397798181</v>
      </c>
      <c r="K17314" s="6" t="n">
        <f aca="false">Sens!K17199*(al_srch+Sens!K17309+sbc_r)</f>
        <v>16.8184245707567</v>
      </c>
    </row>
    <row r="17315" customFormat="false" ht="17.15" hidden="false" customHeight="false" outlineLevel="0" collapsed="false">
      <c r="A17315" s="0" t="s">
        <v>1241</v>
      </c>
      <c r="B17315" s="0" t="s">
        <v>98</v>
      </c>
      <c r="F17315" s="6" t="n">
        <f aca="false">Sens!F17167-Sens!F17168+Sens!F17249</f>
        <v>45.3782580567763</v>
      </c>
      <c r="G17315" s="6" t="n">
        <f aca="false">Sens!G17167-Sens!G17168+Sens!G17249</f>
        <v>91.0863367558165</v>
      </c>
      <c r="H17315" s="6" t="n">
        <f aca="false">Sens!H17167-Sens!H17168+Sens!H17249</f>
        <v>144.617532464853</v>
      </c>
      <c r="I17315" s="6" t="n">
        <f aca="false">Sens!I17167-Sens!I17168+Sens!I17249</f>
        <v>187.137304561304</v>
      </c>
      <c r="J17315" s="6" t="n">
        <f aca="false">Sens!J17167-Sens!J17168+Sens!J17249</f>
        <v>217.006854425907</v>
      </c>
      <c r="K17315" s="6" t="n">
        <f aca="false">Sens!K17167-Sens!K17168+Sens!K17249</f>
        <v>234.933637903877</v>
      </c>
    </row>
    <row r="17316" customFormat="false" ht="17.15" hidden="false" customHeight="false" outlineLevel="0" collapsed="false">
      <c r="A17316" s="0" t="s">
        <v>1242</v>
      </c>
      <c r="B17316" s="0" t="s">
        <v>98</v>
      </c>
      <c r="F17316" s="6" t="n">
        <f aca="false">Sens!F17228+Sens!F17249+Sens!F17179+Sens!F17309*(Sens!F17198-Sens!F17161)+sbc_r*Sens!F17198</f>
        <v>240.817978647533</v>
      </c>
      <c r="G17316" s="6" t="n">
        <f aca="false">Sens!G17228+Sens!G17249+Sens!G17179+Sens!G17309*(Sens!G17198-Sens!G17161)+sbc_r*Sens!G17198</f>
        <v>311.918514933867</v>
      </c>
      <c r="H17316" s="6" t="n">
        <f aca="false">Sens!H17228+Sens!H17249+Sens!H17179+Sens!H17309*(Sens!H17198-Sens!H17161)+sbc_r*Sens!H17198</f>
        <v>395.486856574959</v>
      </c>
      <c r="I17316" s="6" t="n">
        <f aca="false">Sens!I17228+Sens!I17249+Sens!I17179+Sens!I17309*(Sens!I17198-Sens!I17161)+sbc_r*Sens!I17198</f>
        <v>465.951327357079</v>
      </c>
      <c r="J17316" s="6" t="n">
        <f aca="false">Sens!J17228+Sens!J17249+Sens!J17179+Sens!J17309*(Sens!J17198-Sens!J17161)+sbc_r*Sens!J17198</f>
        <v>520.787227353106</v>
      </c>
      <c r="K17316" s="6" t="n">
        <f aca="false">Sens!K17228+Sens!K17249+Sens!K17179+Sens!K17309*(Sens!K17198-Sens!K17161)+sbc_r*Sens!K17198</f>
        <v>561.247376413236</v>
      </c>
    </row>
    <row r="17317" customFormat="false" ht="17.15" hidden="false" customHeight="false" outlineLevel="0" collapsed="false">
      <c r="A17317" s="0" t="s">
        <v>1243</v>
      </c>
      <c r="B17317" s="0" t="s">
        <v>98</v>
      </c>
      <c r="F17317" s="6" t="n">
        <f aca="false">Sens!F17316-Sens!F17310-Sens!F17311-Sens!F17312-Sens!F17313-Sens!F17315</f>
        <v>65.4533765717902</v>
      </c>
      <c r="G17317" s="6" t="n">
        <f aca="false">Sens!G17316-Sens!G17310-Sens!G17311-Sens!G17312-Sens!G17313-Sens!G17315</f>
        <v>74.1822709427694</v>
      </c>
      <c r="H17317" s="6" t="n">
        <f aca="false">Sens!H17316-Sens!H17310-Sens!H17311-Sens!H17312-Sens!H17313-Sens!H17315</f>
        <v>87.3925801623256</v>
      </c>
      <c r="I17317" s="6" t="n">
        <f aca="false">Sens!I17316-Sens!I17310-Sens!I17311-Sens!I17312-Sens!I17313-Sens!I17315</f>
        <v>100.04490780806</v>
      </c>
      <c r="J17317" s="6" t="n">
        <f aca="false">Sens!J17316-Sens!J17310-Sens!J17311-Sens!J17312-Sens!J17313-Sens!J17315</f>
        <v>111.477370973981</v>
      </c>
      <c r="K17317" s="6" t="n">
        <f aca="false">Sens!K17316-Sens!K17310-Sens!K17311-Sens!K17312-Sens!K17313-Sens!K17315</f>
        <v>120.9642250315</v>
      </c>
    </row>
    <row r="17318" customFormat="false" ht="17.15" hidden="false" customHeight="false" outlineLevel="0" collapsed="false">
      <c r="A17318" s="0" t="s">
        <v>1244</v>
      </c>
      <c r="B17318" s="0" t="s">
        <v>98</v>
      </c>
      <c r="F17318" s="6" t="n">
        <f aca="false">Sens!F17230+Sens!F17309*Sens!F17205+sbc_r*Sens!F17205</f>
        <v>26.628449428592</v>
      </c>
      <c r="G17318" s="6" t="n">
        <f aca="false">Sens!G17230+Sens!G17309*Sens!G17205+sbc_r*Sens!G17205</f>
        <v>26.4397692483628</v>
      </c>
      <c r="H17318" s="6" t="n">
        <f aca="false">Sens!H17230+Sens!H17309*Sens!H17205+sbc_r*Sens!H17205</f>
        <v>27.2962491680661</v>
      </c>
      <c r="I17318" s="6" t="n">
        <f aca="false">Sens!I17230+Sens!I17309*Sens!I17205+sbc_r*Sens!I17205</f>
        <v>28.3990251728675</v>
      </c>
      <c r="J17318" s="6" t="n">
        <f aca="false">Sens!J17230+Sens!J17309*Sens!J17205+sbc_r*Sens!J17205</f>
        <v>29.7088846250547</v>
      </c>
      <c r="K17318" s="6" t="n">
        <f aca="false">Sens!K17230+Sens!K17309*Sens!K17205+sbc_r*Sens!K17205</f>
        <v>31.1813778566968</v>
      </c>
    </row>
    <row r="17319" customFormat="false" ht="17.15" hidden="false" customHeight="false" outlineLevel="0" collapsed="false">
      <c r="A17319" s="0" t="s">
        <v>1245</v>
      </c>
      <c r="B17319" s="0" t="s">
        <v>98</v>
      </c>
      <c r="F17319" s="6" t="n">
        <f aca="false">(Sens!F17318-Sens!F17314)*Sens!F17201/(Sens!F17201+Sens!F17203)</f>
        <v>8.72118205151864</v>
      </c>
      <c r="G17319" s="6" t="n">
        <f aca="false">(Sens!G17318-Sens!G17314)*Sens!G17201/(Sens!G17201+Sens!G17203)</f>
        <v>7.87815703300003</v>
      </c>
      <c r="H17319" s="6" t="n">
        <f aca="false">(Sens!H17318-Sens!H17314)*Sens!H17201/(Sens!H17201+Sens!H17203)</f>
        <v>7.63768922670981</v>
      </c>
      <c r="I17319" s="6" t="n">
        <f aca="false">(Sens!I17318-Sens!I17314)*Sens!I17201/(Sens!I17201+Sens!I17203)</f>
        <v>7.54692069960696</v>
      </c>
      <c r="J17319" s="6" t="n">
        <f aca="false">(Sens!J17318-Sens!J17314)*Sens!J17201/(Sens!J17201+Sens!J17203)</f>
        <v>7.59237888992619</v>
      </c>
      <c r="K17319" s="6" t="n">
        <f aca="false">(Sens!K17318-Sens!K17314)*Sens!K17201/(Sens!K17201+Sens!K17203)</f>
        <v>7.76600115775812</v>
      </c>
    </row>
    <row r="17320" customFormat="false" ht="17.15" hidden="false" customHeight="false" outlineLevel="0" collapsed="false">
      <c r="A17320" s="0" t="s">
        <v>1246</v>
      </c>
      <c r="B17320" s="0" t="s">
        <v>98</v>
      </c>
      <c r="F17320" s="6" t="n">
        <f aca="false">Sens!F17318-Sens!F17314-Sens!F17319</f>
        <v>6.72040022309819</v>
      </c>
      <c r="G17320" s="6" t="n">
        <f aca="false">Sens!G17318-Sens!G17314-Sens!G17319</f>
        <v>6.31470148328324</v>
      </c>
      <c r="H17320" s="6" t="n">
        <f aca="false">Sens!H17318-Sens!H17314-Sens!H17319</f>
        <v>6.30356890597798</v>
      </c>
      <c r="I17320" s="6" t="n">
        <f aca="false">Sens!I17318-Sens!I17314-Sens!I17319</f>
        <v>6.34995368233951</v>
      </c>
      <c r="J17320" s="6" t="n">
        <f aca="false">Sens!J17318-Sens!J17314-Sens!J17319</f>
        <v>6.44946595531041</v>
      </c>
      <c r="K17320" s="6" t="n">
        <f aca="false">Sens!K17318-Sens!K17314-Sens!K17319</f>
        <v>6.59695212818195</v>
      </c>
    </row>
    <row r="17321" customFormat="false" ht="17.15" hidden="false" customHeight="false" outlineLevel="0" collapsed="false">
      <c r="A17321" s="0" t="s">
        <v>1247</v>
      </c>
      <c r="B17321" s="0" t="s">
        <v>98</v>
      </c>
      <c r="F17321" s="6" t="n">
        <f aca="false">Sens!F17315-tax_f*(Sens!F17315-Sens!F17179)-Sens!F17176</f>
        <v>-125.235434701028</v>
      </c>
      <c r="G17321" s="6" t="n">
        <f aca="false">Sens!G17315-tax_f*(Sens!G17315-Sens!G17179)-Sens!G17176</f>
        <v>-106.928508113935</v>
      </c>
      <c r="H17321" s="6" t="n">
        <f aca="false">Sens!H17315-tax_f*(Sens!H17315-Sens!H17179)-Sens!H17176</f>
        <v>-63.2919599603405</v>
      </c>
      <c r="I17321" s="6" t="n">
        <f aca="false">Sens!I17315-tax_f*(Sens!I17315-Sens!I17179)-Sens!I17176</f>
        <v>3.94121196634245</v>
      </c>
      <c r="J17321" s="6" t="n">
        <f aca="false">Sens!J17315-tax_f*(Sens!J17315-Sens!J17179)-Sens!J17176</f>
        <v>71.0786869547042</v>
      </c>
      <c r="K17321" s="6" t="n">
        <f aca="false">Sens!K17315-tax_f*(Sens!K17315-Sens!K17179)-Sens!K17176</f>
        <v>97.5865911685559</v>
      </c>
    </row>
    <row r="17322" customFormat="false" ht="17.15" hidden="false" customHeight="false" outlineLevel="0" collapsed="false">
      <c r="A17322" s="0" t="s">
        <v>1248</v>
      </c>
      <c r="B17322" s="0" t="s">
        <v>98</v>
      </c>
      <c r="G17322" s="6" t="n">
        <f aca="false">Sens!G17321/(1+wacc)^(Sens!G17292-Sens!F17293)</f>
        <v>-101.81651667568</v>
      </c>
      <c r="H17322" s="6" t="n">
        <f aca="false">Sens!H17321/(1+wacc)^(Sens!H17292-Sens!F17293)</f>
        <v>-54.6415143556151</v>
      </c>
      <c r="I17322" s="6" t="n">
        <f aca="false">Sens!I17321/(1+wacc)^(Sens!I17292-Sens!F17293)</f>
        <v>3.08498765169516</v>
      </c>
      <c r="J17322" s="6" t="n">
        <f aca="false">Sens!J17321/(1+wacc)^(Sens!J17292-Sens!F17293)</f>
        <v>50.4443451596971</v>
      </c>
      <c r="K17322" s="6" t="n">
        <f aca="false">Sens!K17321/(1+wacc)^(Sens!K17292-Sens!F17293)</f>
        <v>62.7932114544856</v>
      </c>
      <c r="L17322" s="1" t="s">
        <v>1249</v>
      </c>
    </row>
    <row r="17323" customFormat="false" ht="17.15" hidden="false" customHeight="false" outlineLevel="0" collapsed="false">
      <c r="A17323" s="0" t="s">
        <v>1250</v>
      </c>
      <c r="B17323" s="0" t="s">
        <v>98</v>
      </c>
      <c r="C17323" s="6" t="n">
        <f aca="false">(Sens!K17315-Sens!K17179)*(1-tax_f)*(1+g_tv)*(1-g_tv/(wacc+ronic_prem))/(wacc-g_tv)/(1+wacc)^(Sens!K17293-Sens!F17293)</f>
        <v>450.836735002813</v>
      </c>
    </row>
    <row r="17324" customFormat="false" ht="17.15" hidden="false" customHeight="false" outlineLevel="0" collapsed="false">
      <c r="A17324" s="1" t="s">
        <v>1251</v>
      </c>
      <c r="B17324" s="0" t="s">
        <v>98</v>
      </c>
      <c r="C17324" s="6" t="n">
        <f aca="false">(SUM(Sens!G17322:K17322)+Sens!$C$17323)*(1+wacc)^(t_roll-Sens!F17293)</f>
        <v>424.259738494477</v>
      </c>
      <c r="L17324" s="12" t="s">
        <v>1252</v>
      </c>
    </row>
    <row r="17325" customFormat="false" ht="17.15" hidden="false" customHeight="false" outlineLevel="0" collapsed="false">
      <c r="A17325" s="1" t="s">
        <v>1253</v>
      </c>
      <c r="B17325" s="0" t="s">
        <v>98</v>
      </c>
      <c r="C17325" s="6" t="n">
        <f aca="false">(w_ntm28*Sens!G17167+(1-w_ntm28)*Sens!H17167)*m_ai</f>
        <v>563.316843258668</v>
      </c>
    </row>
    <row r="17326" customFormat="false" ht="17.15" hidden="false" customHeight="false" outlineLevel="0" collapsed="false">
      <c r="A17326" s="1" t="s">
        <v>1254</v>
      </c>
      <c r="B17326" s="0" t="s">
        <v>98</v>
      </c>
      <c r="C17326" s="6" t="n">
        <f aca="false">(w_ntm28*Sens!G17317+(1-w_ntm28)*Sens!H17317)*m_cloud</f>
        <v>1085.22083870226</v>
      </c>
    </row>
    <row r="17327" customFormat="false" ht="17.15" hidden="false" customHeight="false" outlineLevel="0" collapsed="false">
      <c r="A17327" s="1" t="s">
        <v>1255</v>
      </c>
      <c r="B17327" s="0" t="s">
        <v>98</v>
      </c>
      <c r="C17327" s="6" t="n">
        <f aca="false">(w_ntm28*Sens!G17310+(1-w_ntm28)*Sens!H17310)*m_sw</f>
        <v>1120.46126353859</v>
      </c>
    </row>
    <row r="17328" customFormat="false" ht="17.15" hidden="false" customHeight="false" outlineLevel="0" collapsed="false">
      <c r="A17328" s="1" t="s">
        <v>1256</v>
      </c>
      <c r="B17328" s="0" t="s">
        <v>98</v>
      </c>
      <c r="C17328" s="6" t="n">
        <f aca="false">(w_ntm28*Sens!G17311+(1-w_ntm28)*Sens!H17311)*m_sw</f>
        <v>372.679480414775</v>
      </c>
    </row>
    <row r="17329" customFormat="false" ht="17.15" hidden="false" customHeight="false" outlineLevel="0" collapsed="false">
      <c r="A17329" s="1" t="s">
        <v>1257</v>
      </c>
      <c r="B17329" s="0" t="s">
        <v>98</v>
      </c>
      <c r="C17329" s="6" t="n">
        <f aca="false">(w_ntm28*Sens!G17312+(1-w_ntm28)*Sens!H17312)*m_sw</f>
        <v>108.989845057679</v>
      </c>
    </row>
    <row r="17330" customFormat="false" ht="17.15" hidden="false" customHeight="false" outlineLevel="0" collapsed="false">
      <c r="A17330" s="1" t="s">
        <v>1258</v>
      </c>
      <c r="B17330" s="0" t="s">
        <v>98</v>
      </c>
      <c r="C17330" s="6" t="n">
        <f aca="false">(w_ntm28*Sens!G17313+(1-w_ntm28)*Sens!H17313)*m_sw</f>
        <v>41.4352046899932</v>
      </c>
    </row>
    <row r="17331" customFormat="false" ht="17.15" hidden="false" customHeight="false" outlineLevel="0" collapsed="false">
      <c r="A17331" s="1" t="s">
        <v>1259</v>
      </c>
      <c r="B17331" s="0" t="s">
        <v>98</v>
      </c>
      <c r="C17331" s="6" t="n">
        <f aca="false">(w_ntm28*Sens!G17314+(1-w_ntm28)*Sens!H17314)*m_ads</f>
        <v>114.888133173536</v>
      </c>
    </row>
    <row r="17332" customFormat="false" ht="17.15" hidden="false" customHeight="false" outlineLevel="0" collapsed="false">
      <c r="A17332" s="1" t="s">
        <v>1260</v>
      </c>
      <c r="B17332" s="0" t="s">
        <v>98</v>
      </c>
      <c r="C17332" s="6" t="n">
        <f aca="false">(w_ntm28*Sens!G17319+(1-w_ntm28)*Sens!H17319)*m_game</f>
        <v>98.5026219371645</v>
      </c>
    </row>
    <row r="17333" customFormat="false" ht="17.15" hidden="false" customHeight="false" outlineLevel="0" collapsed="false">
      <c r="A17333" s="1" t="s">
        <v>1261</v>
      </c>
      <c r="B17333" s="0" t="s">
        <v>98</v>
      </c>
      <c r="C17333" s="6" t="n">
        <f aca="false">(w_ntm28*Sens!G17320+(1-w_ntm28)*Sens!H17320)*m_pc</f>
        <v>91.3207698953472</v>
      </c>
    </row>
    <row r="17334" customFormat="false" ht="17.15" hidden="false" customHeight="false" outlineLevel="0" collapsed="false">
      <c r="A17334" s="1" t="s">
        <v>1262</v>
      </c>
      <c r="B17334" s="0" t="s">
        <v>98</v>
      </c>
      <c r="C17334" s="6" t="n">
        <f aca="false">Sens!$C$17324+Sens!$C$17326+Sens!$C$17327+Sens!$C$17328+Sens!$C$17329+Sens!$C$17330+Sens!$C$17331+Sens!$C$17332+Sens!$C$17333</f>
        <v>3457.75789590382</v>
      </c>
    </row>
    <row r="17335" customFormat="false" ht="17.15" hidden="false" customHeight="false" outlineLevel="0" collapsed="false">
      <c r="A17335" s="1" t="s">
        <v>1263</v>
      </c>
      <c r="B17335" s="0" t="s">
        <v>98</v>
      </c>
      <c r="C17335" s="6" t="n">
        <f aca="false">(Sens!G17296-Sens!G17321)*t_stub</f>
        <v>48.28300921555</v>
      </c>
      <c r="L17335" s="1" t="s">
        <v>1264</v>
      </c>
    </row>
    <row r="17336" customFormat="false" ht="17.15" hidden="false" customHeight="false" outlineLevel="0" collapsed="false">
      <c r="A17336" s="1" t="s">
        <v>1173</v>
      </c>
      <c r="B17336" s="0" t="s">
        <v>98</v>
      </c>
      <c r="C17336" s="6" t="n">
        <f aca="false">Sens!F17283+oai_v-Sens!F17272+Sens!$C$17335</f>
        <v>162.51127921555</v>
      </c>
      <c r="L17336" s="1" t="s">
        <v>1265</v>
      </c>
    </row>
    <row r="17337" customFormat="false" ht="17.15" hidden="false" customHeight="false" outlineLevel="0" collapsed="false">
      <c r="A17337" s="1" t="s">
        <v>1266</v>
      </c>
      <c r="B17337" s="0" t="s">
        <v>75</v>
      </c>
      <c r="C17337" s="5" t="n">
        <f aca="false">(Sens!$C$17334+Sens!$C$17336)/(Sens!F17285+dil_gap)-Sens!G17275*roll_div_q/q_per_yr</f>
        <v>482.295745907015</v>
      </c>
      <c r="L17337" s="1" t="s">
        <v>1267</v>
      </c>
    </row>
    <row r="17338" customFormat="false" ht="17.15" hidden="false" customHeight="false" outlineLevel="0" collapsed="false">
      <c r="A17338" s="1" t="s">
        <v>1268</v>
      </c>
      <c r="B17338" s="0" t="s">
        <v>75</v>
      </c>
      <c r="C17338" s="5" t="n">
        <f aca="false">w_dcf*Sens!$C$17308+(1-w_dcf)*Sens!$C$17337</f>
        <v>423.255147082431</v>
      </c>
    </row>
    <row r="17339" customFormat="false" ht="17.15" hidden="false" customHeight="false" outlineLevel="0" collapsed="false">
      <c r="A17339" s="3" t="s">
        <v>2039</v>
      </c>
    </row>
    <row r="17340" customFormat="false" ht="15" hidden="false" customHeight="false" outlineLevel="0" collapsed="false">
      <c r="A17340" s="4" t="s">
        <v>43</v>
      </c>
      <c r="B17340" s="4" t="s">
        <v>65</v>
      </c>
      <c r="C17340" s="23" t="s">
        <v>942</v>
      </c>
      <c r="D17340" s="23" t="s">
        <v>943</v>
      </c>
      <c r="E17340" s="23" t="s">
        <v>944</v>
      </c>
      <c r="F17340" s="23" t="s">
        <v>945</v>
      </c>
      <c r="G17340" s="23" t="s">
        <v>946</v>
      </c>
      <c r="H17340" s="23" t="s">
        <v>947</v>
      </c>
      <c r="I17340" s="23" t="s">
        <v>948</v>
      </c>
      <c r="J17340" s="23" t="s">
        <v>949</v>
      </c>
      <c r="K17340" s="23" t="s">
        <v>950</v>
      </c>
      <c r="L17340" s="4" t="s">
        <v>47</v>
      </c>
    </row>
    <row r="17341" customFormat="false" ht="17.15" hidden="false" customHeight="false" outlineLevel="0" collapsed="false">
      <c r="A17341" s="1" t="s">
        <v>951</v>
      </c>
      <c r="B17341" s="1" t="s">
        <v>279</v>
      </c>
      <c r="C17341" s="21" t="n">
        <v>2024</v>
      </c>
      <c r="D17341" s="21" t="n">
        <v>2025</v>
      </c>
      <c r="E17341" s="21" t="n">
        <v>2026</v>
      </c>
      <c r="F17341" s="21" t="n">
        <v>2027</v>
      </c>
      <c r="G17341" s="21" t="n">
        <v>2028</v>
      </c>
      <c r="H17341" s="21" t="n">
        <v>2029</v>
      </c>
      <c r="I17341" s="21" t="n">
        <v>2030</v>
      </c>
      <c r="J17341" s="21" t="n">
        <v>2031</v>
      </c>
      <c r="K17341" s="21" t="n">
        <v>2032</v>
      </c>
    </row>
    <row r="17342" customFormat="false" ht="17.15" hidden="false" customHeight="false" outlineLevel="0" collapsed="false">
      <c r="A17342" s="1" t="s">
        <v>952</v>
      </c>
      <c r="B17342" s="0" t="s">
        <v>459</v>
      </c>
      <c r="F17342" s="30" t="n">
        <f aca="false">pace</f>
        <v>2726.5351</v>
      </c>
      <c r="G17342" s="30" t="n">
        <f aca="false">pace</f>
        <v>2726.5351</v>
      </c>
      <c r="H17342" s="30" t="n">
        <f aca="false">pace</f>
        <v>2726.5351</v>
      </c>
      <c r="I17342" s="30" t="n">
        <f aca="false">pace+(g_tv*Sens!H17343-pace)*MIN(1,(Sens!I17341-pace_y0)/(pace_y1-pace_y0))</f>
        <v>1931.98611966667</v>
      </c>
      <c r="J17342" s="30" t="n">
        <f aca="false">pace+(g_tv*Sens!I17343-pace)*MIN(1,(Sens!J17341-pace_y0)/(pace_y1-pace_y0))</f>
        <v>1176.07686172667</v>
      </c>
      <c r="K17342" s="30" t="n">
        <f aca="false">pace+(g_tv*Sens!J17343-pace)*MIN(1,(Sens!K17341-pace_y0)/(pace_y1-pace_y0))</f>
        <v>436.1300484418</v>
      </c>
      <c r="L17342" s="12" t="s">
        <v>953</v>
      </c>
    </row>
    <row r="17343" customFormat="false" ht="17.15" hidden="false" customHeight="false" outlineLevel="0" collapsed="false">
      <c r="A17343" s="1" t="s">
        <v>954</v>
      </c>
      <c r="B17343" s="0" t="s">
        <v>459</v>
      </c>
      <c r="C17343" s="30" t="n">
        <f aca="false">mw_ext_24</f>
        <v>640</v>
      </c>
      <c r="D17343" s="30" t="n">
        <f aca="false">mw_ext_25</f>
        <v>1630</v>
      </c>
      <c r="E17343" s="30" t="n">
        <f aca="false">mw_ext_26</f>
        <v>3250</v>
      </c>
      <c r="F17343" s="30" t="n">
        <f aca="false">Sens!E17343+Sens!F17342</f>
        <v>5976.5351</v>
      </c>
      <c r="G17343" s="30" t="n">
        <f aca="false">Sens!F17343+Sens!G17342</f>
        <v>8703.0702</v>
      </c>
      <c r="H17343" s="30" t="n">
        <f aca="false">Sens!G17343+Sens!H17342</f>
        <v>11429.6053</v>
      </c>
      <c r="I17343" s="30" t="n">
        <f aca="false">Sens!H17343+Sens!I17342</f>
        <v>13361.5914196667</v>
      </c>
      <c r="J17343" s="30" t="n">
        <f aca="false">Sens!I17343+Sens!J17342</f>
        <v>14537.6682813933</v>
      </c>
      <c r="K17343" s="30" t="n">
        <f aca="false">Sens!J17343+Sens!K17342</f>
        <v>14973.7983298351</v>
      </c>
      <c r="L17343" s="1" t="s">
        <v>955</v>
      </c>
    </row>
    <row r="17344" customFormat="false" ht="17.15" hidden="false" customHeight="false" outlineLevel="0" collapsed="false">
      <c r="A17344" s="1" t="s">
        <v>956</v>
      </c>
      <c r="B17344" s="0" t="s">
        <v>459</v>
      </c>
      <c r="C17344" s="30" t="n">
        <f aca="false">rent_ext_24</f>
        <v>150</v>
      </c>
      <c r="D17344" s="30" t="n">
        <f aca="false">rent_ext_25</f>
        <v>400</v>
      </c>
      <c r="E17344" s="30" t="n">
        <f aca="false">rent_ext_26</f>
        <v>550</v>
      </c>
      <c r="F17344" s="30" t="n">
        <f aca="false">rent_ext_f</f>
        <v>756</v>
      </c>
      <c r="G17344" s="30" t="n">
        <f aca="false">rent_ext_f</f>
        <v>756</v>
      </c>
      <c r="H17344" s="30" t="n">
        <f aca="false">rent_ext_f</f>
        <v>756</v>
      </c>
      <c r="I17344" s="30" t="n">
        <f aca="false">rent_ext_f</f>
        <v>756</v>
      </c>
      <c r="J17344" s="30" t="n">
        <f aca="false">rent_ext_f</f>
        <v>756</v>
      </c>
      <c r="K17344" s="30" t="n">
        <f aca="false">rent_ext_f</f>
        <v>756</v>
      </c>
      <c r="L17344" s="1" t="s">
        <v>957</v>
      </c>
    </row>
    <row r="17345" customFormat="false" ht="17.15" hidden="false" customHeight="false" outlineLevel="0" collapsed="false">
      <c r="A17345" s="1" t="s">
        <v>958</v>
      </c>
      <c r="B17345" s="0" t="s">
        <v>459</v>
      </c>
      <c r="C17345" s="30" t="n">
        <f aca="false">Sens!C17343-Sens!C17344</f>
        <v>490</v>
      </c>
      <c r="D17345" s="30" t="n">
        <f aca="false">Sens!D17343-Sens!D17344</f>
        <v>1230</v>
      </c>
      <c r="E17345" s="30" t="n">
        <f aca="false">Sens!E17343-Sens!E17344</f>
        <v>2700</v>
      </c>
      <c r="F17345" s="30" t="n">
        <f aca="false">Sens!F17343-Sens!F17344</f>
        <v>5220.5351</v>
      </c>
      <c r="G17345" s="30" t="n">
        <f aca="false">Sens!G17343-Sens!G17344</f>
        <v>7947.0702</v>
      </c>
      <c r="H17345" s="30" t="n">
        <f aca="false">Sens!H17343-Sens!H17344</f>
        <v>10673.6053</v>
      </c>
      <c r="I17345" s="30" t="n">
        <f aca="false">Sens!I17343-Sens!I17344</f>
        <v>12605.5914196667</v>
      </c>
      <c r="J17345" s="30" t="n">
        <f aca="false">Sens!J17343-Sens!J17344</f>
        <v>13781.6682813933</v>
      </c>
      <c r="K17345" s="30" t="n">
        <f aca="false">Sens!K17343-Sens!K17344</f>
        <v>14217.7983298351</v>
      </c>
    </row>
    <row r="17346" customFormat="false" ht="17.15" hidden="false" customHeight="false" outlineLevel="0" collapsed="false">
      <c r="A17346" s="1" t="s">
        <v>959</v>
      </c>
      <c r="B17346" s="0" t="s">
        <v>459</v>
      </c>
      <c r="C17346" s="30" t="n">
        <f aca="false">Sens!C17345/ext_sh</f>
        <v>816.666666666667</v>
      </c>
      <c r="D17346" s="30" t="n">
        <f aca="false">Sens!D17345/ext_sh</f>
        <v>2050</v>
      </c>
      <c r="E17346" s="30" t="n">
        <f aca="false">Sens!E17345/ext_sh</f>
        <v>4500</v>
      </c>
      <c r="F17346" s="30" t="n">
        <f aca="false">Sens!F17345/ext_sh</f>
        <v>8700.89183333333</v>
      </c>
      <c r="G17346" s="30" t="n">
        <f aca="false">Sens!G17345/ext_sh</f>
        <v>13245.117</v>
      </c>
      <c r="H17346" s="30" t="n">
        <f aca="false">Sens!H17345/ext_sh</f>
        <v>17789.3421666667</v>
      </c>
      <c r="I17346" s="30" t="n">
        <f aca="false">Sens!I17345/ext_sh</f>
        <v>21009.3190327778</v>
      </c>
      <c r="J17346" s="30" t="n">
        <f aca="false">Sens!J17345/ext_sh</f>
        <v>22969.4471356556</v>
      </c>
      <c r="K17346" s="30" t="n">
        <f aca="false">Sens!K17345/ext_sh</f>
        <v>23696.3305497252</v>
      </c>
      <c r="L17346" s="1" t="s">
        <v>960</v>
      </c>
    </row>
    <row r="17347" customFormat="false" ht="17.15" hidden="false" customHeight="false" outlineLevel="0" collapsed="false">
      <c r="A17347" s="1" t="s">
        <v>961</v>
      </c>
      <c r="B17347" s="0" t="s">
        <v>459</v>
      </c>
      <c r="C17347" s="30" t="n">
        <f aca="false">Sens!C17346-Sens!C17345</f>
        <v>326.666666666667</v>
      </c>
      <c r="D17347" s="30" t="n">
        <f aca="false">Sens!D17346-Sens!D17345</f>
        <v>820</v>
      </c>
      <c r="E17347" s="30" t="n">
        <f aca="false">Sens!E17346-Sens!E17345</f>
        <v>1800</v>
      </c>
      <c r="F17347" s="30" t="n">
        <f aca="false">Sens!F17346-Sens!F17345</f>
        <v>3480.35673333333</v>
      </c>
      <c r="G17347" s="30" t="n">
        <f aca="false">Sens!G17346-Sens!G17345</f>
        <v>5298.0468</v>
      </c>
      <c r="H17347" s="30" t="n">
        <f aca="false">Sens!H17346-Sens!H17345</f>
        <v>7115.73686666667</v>
      </c>
      <c r="I17347" s="30" t="n">
        <f aca="false">Sens!I17346-Sens!I17345</f>
        <v>8403.72761311111</v>
      </c>
      <c r="J17347" s="30" t="n">
        <f aca="false">Sens!J17346-Sens!J17345</f>
        <v>9187.77885426222</v>
      </c>
      <c r="K17347" s="30" t="n">
        <f aca="false">Sens!K17346-Sens!K17345</f>
        <v>9478.53221989009</v>
      </c>
    </row>
    <row r="17348" customFormat="false" ht="17.15" hidden="false" customHeight="false" outlineLevel="0" collapsed="false">
      <c r="A17348" s="1" t="s">
        <v>962</v>
      </c>
      <c r="B17348" s="0" t="s">
        <v>459</v>
      </c>
      <c r="C17348" s="30" t="n">
        <f aca="false">Sens!C17346</f>
        <v>816.666666666667</v>
      </c>
      <c r="D17348" s="30" t="n">
        <f aca="false">Sens!D17346-Sens!C17346</f>
        <v>1233.33333333333</v>
      </c>
      <c r="E17348" s="30" t="n">
        <f aca="false">Sens!E17346-Sens!D17346</f>
        <v>2450</v>
      </c>
      <c r="F17348" s="30" t="n">
        <f aca="false">Sens!F17346-Sens!E17346</f>
        <v>4200.89183333333</v>
      </c>
      <c r="G17348" s="30" t="n">
        <f aca="false">Sens!G17346-Sens!F17346</f>
        <v>4544.22516666667</v>
      </c>
      <c r="H17348" s="30" t="n">
        <f aca="false">Sens!H17346-Sens!G17346</f>
        <v>4544.22516666667</v>
      </c>
      <c r="I17348" s="30" t="n">
        <f aca="false">Sens!I17346-Sens!H17346</f>
        <v>3219.97686611111</v>
      </c>
      <c r="J17348" s="30" t="n">
        <f aca="false">Sens!J17346-Sens!I17346</f>
        <v>1960.12810287778</v>
      </c>
      <c r="K17348" s="30" t="n">
        <f aca="false">Sens!K17346-Sens!J17346</f>
        <v>726.883414069667</v>
      </c>
    </row>
    <row r="17349" customFormat="false" ht="17.15" hidden="false" customHeight="false" outlineLevel="0" collapsed="false">
      <c r="A17349" s="1" t="s">
        <v>963</v>
      </c>
      <c r="B17349" s="0" t="s">
        <v>459</v>
      </c>
      <c r="D17349" s="30" t="n">
        <f aca="false">Sens!D17343-Sens!C17343</f>
        <v>990</v>
      </c>
      <c r="E17349" s="30" t="n">
        <f aca="false">Sens!E17343-Sens!D17343</f>
        <v>1620</v>
      </c>
      <c r="F17349" s="30" t="n">
        <f aca="false">Sens!F17343-Sens!E17343</f>
        <v>2726.5351</v>
      </c>
      <c r="G17349" s="30" t="n">
        <f aca="false">Sens!G17343-Sens!F17343</f>
        <v>2726.5351</v>
      </c>
      <c r="H17349" s="30" t="n">
        <f aca="false">Sens!H17343-Sens!G17343</f>
        <v>2726.5351</v>
      </c>
      <c r="I17349" s="30" t="n">
        <f aca="false">Sens!I17343-Sens!H17343</f>
        <v>1931.98611966667</v>
      </c>
      <c r="J17349" s="30" t="n">
        <f aca="false">Sens!J17343-Sens!I17343</f>
        <v>1176.07686172667</v>
      </c>
      <c r="K17349" s="30" t="n">
        <f aca="false">Sens!K17343-Sens!J17343</f>
        <v>436.130048441799</v>
      </c>
    </row>
    <row r="17350" customFormat="false" ht="17.15" hidden="false" customHeight="false" outlineLevel="0" collapsed="false">
      <c r="A17350" s="1" t="s">
        <v>964</v>
      </c>
      <c r="B17350" s="0" t="s">
        <v>459</v>
      </c>
      <c r="F17350" s="30" t="n">
        <f aca="false">Sens!F17369*ext_sh</f>
        <v>0</v>
      </c>
      <c r="G17350" s="30" t="n">
        <f aca="false">Sens!G17369*ext_sh</f>
        <v>0</v>
      </c>
      <c r="H17350" s="30" t="n">
        <f aca="false">Sens!H17369*ext_sh</f>
        <v>0</v>
      </c>
      <c r="I17350" s="30" t="n">
        <f aca="false">Sens!I17369*ext_sh</f>
        <v>490</v>
      </c>
      <c r="J17350" s="30" t="n">
        <f aca="false">Sens!J17369*ext_sh</f>
        <v>740</v>
      </c>
      <c r="K17350" s="30" t="n">
        <f aca="false">Sens!K17369*ext_sh</f>
        <v>1470</v>
      </c>
      <c r="L17350" s="1" t="s">
        <v>965</v>
      </c>
    </row>
    <row r="17351" customFormat="false" ht="17.15" hidden="false" customHeight="false" outlineLevel="0" collapsed="false">
      <c r="A17351" s="1" t="s">
        <v>966</v>
      </c>
      <c r="B17351" s="0" t="s">
        <v>459</v>
      </c>
      <c r="C17351" s="30" t="n">
        <f aca="false">mix_h*Sens!C17343</f>
        <v>128</v>
      </c>
      <c r="D17351" s="30" t="n">
        <f aca="false">mix_h*Sens!D17343</f>
        <v>326</v>
      </c>
      <c r="E17351" s="30" t="n">
        <f aca="false">mix_h*Sens!E17343</f>
        <v>650</v>
      </c>
      <c r="F17351" s="30" t="n">
        <f aca="false">Sens!E17351-Sens!F17350*mix_h</f>
        <v>650</v>
      </c>
      <c r="G17351" s="30" t="n">
        <f aca="false">Sens!F17351-Sens!G17350*mix_h</f>
        <v>650</v>
      </c>
      <c r="H17351" s="30" t="n">
        <f aca="false">Sens!G17351-Sens!H17350*mix_h</f>
        <v>650</v>
      </c>
      <c r="I17351" s="30" t="n">
        <f aca="false">Sens!H17351-Sens!I17350*mix_h</f>
        <v>552</v>
      </c>
      <c r="J17351" s="30" t="n">
        <f aca="false">Sens!I17351-Sens!J17350*mix_h</f>
        <v>404</v>
      </c>
      <c r="K17351" s="30" t="n">
        <f aca="false">Sens!J17351-Sens!K17350*mix_h</f>
        <v>110</v>
      </c>
    </row>
    <row r="17352" customFormat="false" ht="17.15" hidden="false" customHeight="false" outlineLevel="0" collapsed="false">
      <c r="A17352" s="1" t="s">
        <v>967</v>
      </c>
      <c r="B17352" s="0" t="s">
        <v>459</v>
      </c>
      <c r="C17352" s="30" t="n">
        <f aca="false">mix_g2*Sens!C17343</f>
        <v>288</v>
      </c>
      <c r="D17352" s="30" t="n">
        <f aca="false">mix_g2*Sens!D17343</f>
        <v>733.5</v>
      </c>
      <c r="E17352" s="30" t="n">
        <f aca="false">mix_g2*Sens!E17343</f>
        <v>1462.5</v>
      </c>
      <c r="F17352" s="30" t="n">
        <f aca="false">Sens!E17352-Sens!F17350*mix_g2</f>
        <v>1462.5</v>
      </c>
      <c r="G17352" s="30" t="n">
        <f aca="false">Sens!F17352-Sens!G17350*mix_g2</f>
        <v>1462.5</v>
      </c>
      <c r="H17352" s="30" t="n">
        <f aca="false">Sens!G17352-Sens!H17350*mix_g2</f>
        <v>1462.5</v>
      </c>
      <c r="I17352" s="30" t="n">
        <f aca="false">Sens!H17352-Sens!I17350*mix_g2</f>
        <v>1242</v>
      </c>
      <c r="J17352" s="30" t="n">
        <f aca="false">Sens!I17352-Sens!J17350*mix_g2</f>
        <v>909</v>
      </c>
      <c r="K17352" s="30" t="n">
        <f aca="false">Sens!J17352-Sens!K17350*mix_g2</f>
        <v>247.5</v>
      </c>
    </row>
    <row r="17353" customFormat="false" ht="17.15" hidden="false" customHeight="false" outlineLevel="0" collapsed="false">
      <c r="A17353" s="1" t="s">
        <v>968</v>
      </c>
      <c r="B17353" s="0" t="s">
        <v>459</v>
      </c>
      <c r="C17353" s="30" t="n">
        <f aca="false">mix_g3*Sens!C17343</f>
        <v>224</v>
      </c>
      <c r="D17353" s="30" t="n">
        <f aca="false">mix_g3*Sens!D17343</f>
        <v>570.5</v>
      </c>
      <c r="E17353" s="30" t="n">
        <f aca="false">mix_g3*Sens!E17343</f>
        <v>1137.5</v>
      </c>
      <c r="F17353" s="30" t="n">
        <f aca="false">Sens!E17353+(Sens!F17349+Sens!F17350)*(a_g3_27-nonnv*a_mai)-Sens!F17350*mix_g3</f>
        <v>2773.42106</v>
      </c>
      <c r="G17353" s="30" t="n">
        <f aca="false">Sens!F17353+(Sens!G17349+Sens!G17350)*(a_g3_28-nonnv*a_mai)-Sens!G17350*mix_g3</f>
        <v>3318.72808</v>
      </c>
      <c r="H17353" s="30" t="n">
        <f aca="false">Sens!G17353+(Sens!H17349+Sens!H17350)*(a_g3_29-nonnv*a_mai)-Sens!H17350*mix_g3</f>
        <v>3318.72808</v>
      </c>
      <c r="I17353" s="30" t="n">
        <f aca="false">Sens!H17353+(Sens!I17349+Sens!I17350)*(a_g3_29-nonnv*a_mai)-Sens!I17350*mix_g3</f>
        <v>3147.22808</v>
      </c>
      <c r="J17353" s="30" t="n">
        <f aca="false">Sens!I17353+(Sens!J17349+Sens!J17350)*(a_g3_29-nonnv*a_mai)-Sens!J17350*mix_g3</f>
        <v>2888.22808</v>
      </c>
      <c r="K17353" s="30" t="n">
        <f aca="false">Sens!J17353+(Sens!K17349+Sens!K17350)*(a_g3_29-nonnv*a_mai)-Sens!K17350*mix_g3</f>
        <v>2373.72808</v>
      </c>
    </row>
    <row r="17354" customFormat="false" ht="17.15" hidden="false" customHeight="false" outlineLevel="0" collapsed="false">
      <c r="A17354" s="1" t="s">
        <v>969</v>
      </c>
      <c r="B17354" s="0" t="s">
        <v>459</v>
      </c>
      <c r="C17354" s="30" t="n">
        <v>0</v>
      </c>
      <c r="D17354" s="30" t="n">
        <v>0</v>
      </c>
      <c r="E17354" s="30" t="n">
        <v>0</v>
      </c>
      <c r="F17354" s="30" t="n">
        <f aca="false">Sens!E17354+(Sens!F17349+Sens!F17350)*nonnv*a_mai</f>
        <v>272.65351</v>
      </c>
      <c r="G17354" s="30" t="n">
        <f aca="false">Sens!F17354+(Sens!G17349+Sens!G17350)*nonnv*a_mai</f>
        <v>545.30702</v>
      </c>
      <c r="H17354" s="30" t="n">
        <f aca="false">Sens!G17354+(Sens!H17349+Sens!H17350)*nonnv*a_mai</f>
        <v>817.96053</v>
      </c>
      <c r="I17354" s="30" t="n">
        <f aca="false">Sens!H17354+(Sens!I17349+Sens!I17350)*nonnv*a_mai</f>
        <v>1060.15914196667</v>
      </c>
      <c r="J17354" s="30" t="n">
        <f aca="false">Sens!I17354+(Sens!J17349+Sens!J17350)*nonnv*a_mai</f>
        <v>1251.76682813933</v>
      </c>
      <c r="K17354" s="30" t="n">
        <f aca="false">Sens!J17354+(Sens!K17349+Sens!K17350)*nonnv*a_mai</f>
        <v>1442.37983298351</v>
      </c>
      <c r="L17354" s="12" t="s">
        <v>970</v>
      </c>
    </row>
    <row r="17355" customFormat="false" ht="17.15" hidden="false" customHeight="false" outlineLevel="0" collapsed="false">
      <c r="A17355" s="1" t="s">
        <v>971</v>
      </c>
      <c r="B17355" s="0" t="s">
        <v>459</v>
      </c>
      <c r="C17355" s="30" t="n">
        <v>0</v>
      </c>
      <c r="D17355" s="30" t="n">
        <v>0</v>
      </c>
      <c r="E17355" s="30" t="n">
        <v>0</v>
      </c>
      <c r="F17355" s="30" t="n">
        <f aca="false">Sens!E17355+(Sens!F17349+Sens!F17350)*(1-a_g3_27)</f>
        <v>817.96053</v>
      </c>
      <c r="G17355" s="30" t="n">
        <f aca="false">Sens!F17355+(Sens!G17349+Sens!G17350)*(1-a_g3_28)</f>
        <v>2726.5351</v>
      </c>
      <c r="H17355" s="30" t="n">
        <f aca="false">Sens!G17355+(Sens!H17349+Sens!H17350)*(1-a_g3_29)</f>
        <v>5180.41669</v>
      </c>
      <c r="I17355" s="30" t="n">
        <f aca="false">Sens!H17355+(Sens!I17349+Sens!I17350)*(1-a_g3_29)</f>
        <v>7360.2041977</v>
      </c>
      <c r="J17355" s="30" t="n">
        <f aca="false">Sens!I17355+(Sens!J17349+Sens!J17350)*(1-a_g3_29)</f>
        <v>9084.673373254</v>
      </c>
      <c r="K17355" s="30" t="n">
        <f aca="false">Sens!J17355+(Sens!K17349+Sens!K17350)*(1-a_g3_29)</f>
        <v>10800.1904168516</v>
      </c>
    </row>
    <row r="17356" customFormat="false" ht="17.15" hidden="false" customHeight="false" outlineLevel="0" collapsed="false">
      <c r="A17356" s="1" t="s">
        <v>972</v>
      </c>
      <c r="B17356" s="0" t="s">
        <v>403</v>
      </c>
      <c r="C17356" s="15" t="n">
        <f aca="false">(Sens!C17351*tk_hold_h100+Sens!C17352*tk_hold_gb200+Sens!C17353*tk_hold_gb300+Sens!C17355*tk_hold_vr200+Sens!C17354*nv_hold_mai*tk_hold_vr200)/Sens!C17343</f>
        <v>9.7235358126469</v>
      </c>
      <c r="D17356" s="15" t="n">
        <f aca="false">(Sens!D17351*tk_hold_h100+Sens!D17352*tk_hold_gb200+Sens!D17353*tk_hold_gb300+Sens!D17355*tk_hold_vr200+Sens!D17354*nv_hold_mai*tk_hold_vr200)/Sens!D17343</f>
        <v>9.7235358126469</v>
      </c>
      <c r="E17356" s="15" t="n">
        <f aca="false">(Sens!E17351*tk_hold_h100+Sens!E17352*tk_hold_gb200+Sens!E17353*tk_hold_gb300+Sens!E17355*tk_hold_vr200+Sens!E17354*nv_hold_mai*tk_hold_vr200)/Sens!E17343</f>
        <v>9.7235358126469</v>
      </c>
      <c r="F17356" s="15" t="n">
        <f aca="false">(Sens!F17351*tk_hold_h100+Sens!F17352*tk_hold_gb200+Sens!F17353*tk_hold_gb300+Sens!F17355*tk_hold_vr200+Sens!F17354*nv_hold_mai*tk_hold_vr200)/Sens!F17343</f>
        <v>10.2195353876665</v>
      </c>
      <c r="G17356" s="15" t="n">
        <f aca="false">(Sens!G17351*tk_hold_h100+Sens!G17352*tk_hold_gb200+Sens!G17353*tk_hold_gb300+Sens!G17355*tk_hold_vr200+Sens!G17354*nv_hold_mai*tk_hold_vr200)/Sens!G17343</f>
        <v>10.5725598017306</v>
      </c>
      <c r="H17356" s="15" t="n">
        <f aca="false">(Sens!H17351*tk_hold_h100+Sens!H17352*tk_hold_gb200+Sens!H17353*tk_hold_gb300+Sens!H17355*tk_hold_vr200+Sens!H17354*nv_hold_mai*tk_hold_vr200)/Sens!H17343</f>
        <v>10.8210427149036</v>
      </c>
      <c r="I17356" s="15" t="n">
        <f aca="false">(Sens!I17351*tk_hold_h100+Sens!I17352*tk_hold_gb200+Sens!I17353*tk_hold_gb300+Sens!I17355*tk_hold_vr200+Sens!I17354*nv_hold_mai*tk_hold_vr200)/Sens!I17343</f>
        <v>11.0050618241982</v>
      </c>
      <c r="J17356" s="15" t="n">
        <f aca="false">(Sens!J17351*tk_hold_h100+Sens!J17352*tk_hold_gb200+Sens!J17353*tk_hold_gb300+Sens!J17355*tk_hold_vr200+Sens!J17354*nv_hold_mai*tk_hold_vr200)/Sens!J17343</f>
        <v>11.1505789658881</v>
      </c>
      <c r="K17356" s="15" t="n">
        <f aca="false">(Sens!K17351*tk_hold_h100+Sens!K17352*tk_hold_gb200+Sens!K17353*tk_hold_gb300+Sens!K17355*tk_hold_vr200+Sens!K17354*nv_hold_mai*tk_hold_vr200)/Sens!K17343</f>
        <v>11.3496914757183</v>
      </c>
      <c r="L17356" s="1" t="s">
        <v>973</v>
      </c>
    </row>
    <row r="17357" customFormat="false" ht="17.15" hidden="false" customHeight="false" outlineLevel="0" collapsed="false">
      <c r="A17357" s="1" t="s">
        <v>974</v>
      </c>
      <c r="B17357" s="0" t="s">
        <v>403</v>
      </c>
      <c r="C17357" s="15" t="n">
        <f aca="false">(Sens!C17351*tk_hold_h100+Sens!C17352*tk_hold_gb200+Sens!C17353*tk_hold_gb300+Sens!C17355*tk_hold_vr200+Sens!C17354*nv_out_mai*tk_hold_vr200)/Sens!C17343</f>
        <v>9.7235358126469</v>
      </c>
      <c r="D17357" s="15" t="n">
        <f aca="false">(Sens!D17351*tk_hold_h100+Sens!D17352*tk_hold_gb200+Sens!D17353*tk_hold_gb300+Sens!D17355*tk_hold_vr200+Sens!D17354*nv_out_mai*tk_hold_vr200)/Sens!D17343</f>
        <v>9.7235358126469</v>
      </c>
      <c r="E17357" s="15" t="n">
        <f aca="false">(Sens!E17351*tk_hold_h100+Sens!E17352*tk_hold_gb200+Sens!E17353*tk_hold_gb300+Sens!E17355*tk_hold_vr200+Sens!E17354*nv_out_mai*tk_hold_vr200)/Sens!E17343</f>
        <v>9.7235358126469</v>
      </c>
      <c r="F17357" s="15" t="n">
        <f aca="false">(Sens!F17351*tk_hold_h100+Sens!F17352*tk_hold_gb200+Sens!F17353*tk_hold_gb300+Sens!F17355*tk_hold_vr200+Sens!F17354*nv_out_mai*tk_hold_vr200)/Sens!F17343</f>
        <v>10.247422093969</v>
      </c>
      <c r="G17357" s="15" t="n">
        <f aca="false">(Sens!G17351*tk_hold_h100+Sens!G17352*tk_hold_gb200+Sens!G17353*tk_hold_gb300+Sens!G17355*tk_hold_vr200+Sens!G17354*nv_out_mai*tk_hold_vr200)/Sens!G17343</f>
        <v>10.6108602808053</v>
      </c>
      <c r="H17357" s="15" t="n">
        <f aca="false">(Sens!H17351*tk_hold_h100+Sens!H17352*tk_hold_gb200+Sens!H17353*tk_hold_gb300+Sens!H17355*tk_hold_vr200+Sens!H17354*nv_out_mai*tk_hold_vr200)/Sens!H17343</f>
        <v>10.8647885507393</v>
      </c>
      <c r="I17357" s="15" t="n">
        <f aca="false">(Sens!I17351*tk_hold_h100+Sens!I17352*tk_hold_gb200+Sens!I17353*tk_hold_gb300+Sens!I17355*tk_hold_vr200+Sens!I17354*nv_out_mai*tk_hold_vr200)/Sens!I17343</f>
        <v>11.0535625770025</v>
      </c>
      <c r="J17357" s="15" t="n">
        <f aca="false">(Sens!J17351*tk_hold_h100+Sens!J17352*tk_hold_gb200+Sens!J17353*tk_hold_gb300+Sens!J17355*tk_hold_vr200+Sens!J17354*nv_out_mai*tk_hold_vr200)/Sens!J17343</f>
        <v>11.2032127128058</v>
      </c>
      <c r="K17357" s="15" t="n">
        <f aca="false">(Sens!K17351*tk_hold_h100+Sens!K17352*tk_hold_gb200+Sens!K17353*tk_hold_gb300+Sens!K17355*tk_hold_vr200+Sens!K17354*nv_out_mai*tk_hold_vr200)/Sens!K17343</f>
        <v>11.4085735724225</v>
      </c>
      <c r="L17357" s="12" t="s">
        <v>975</v>
      </c>
    </row>
    <row r="17358" customFormat="false" ht="17.15" hidden="false" customHeight="false" outlineLevel="0" collapsed="false">
      <c r="A17358" s="0" t="s">
        <v>976</v>
      </c>
      <c r="B17358" s="0" t="s">
        <v>229</v>
      </c>
      <c r="C17358" s="15" t="n">
        <f aca="false">k_B</f>
        <v>1.17213932619116</v>
      </c>
      <c r="D17358" s="15" t="n">
        <f aca="false">k_B</f>
        <v>1.17213932619116</v>
      </c>
      <c r="E17358" s="15" t="n">
        <f aca="false">k_B</f>
        <v>1.17213932619116</v>
      </c>
      <c r="F17358" s="15" t="n">
        <f aca="false">(k_B+((ls_B*k_long+(1-ls_B)*k_spot)-k_B)*MIN(1,(Sens!F17341-base_fy)/k_ramp))</f>
        <v>1.17213932619116</v>
      </c>
      <c r="G17358" s="15" t="n">
        <f aca="false">(k_B+((ls_B*k_long+(1-ls_B)*k_spot)-k_B)*MIN(1,(Sens!G17341-base_fy)/k_ramp))</f>
        <v>1.17213932619116</v>
      </c>
      <c r="H17358" s="15" t="n">
        <f aca="false">(k_B+((ls_B*k_long+(1-ls_B)*k_spot)-k_B)*MIN(1,(Sens!H17341-base_fy)/k_ramp))</f>
        <v>1.17213932619116</v>
      </c>
      <c r="I17358" s="15" t="n">
        <f aca="false">(k_B+((ls_B*k_long+(1-ls_B)*k_spot)-k_B)*MIN(1,(Sens!I17341-base_fy)/k_ramp))</f>
        <v>1.17213932619116</v>
      </c>
      <c r="J17358" s="15" t="n">
        <f aca="false">(k_B+((ls_B*k_long+(1-ls_B)*k_spot)-k_B)*MIN(1,(Sens!J17341-base_fy)/k_ramp))</f>
        <v>1.17213932619116</v>
      </c>
      <c r="K17358" s="15" t="n">
        <f aca="false">(k_B+((ls_B*k_long+(1-ls_B)*k_spot)-k_B)*MIN(1,(Sens!K17341-base_fy)/k_ramp))</f>
        <v>1.17213932619116</v>
      </c>
      <c r="L17358" s="1" t="s">
        <v>977</v>
      </c>
    </row>
    <row r="17359" customFormat="false" ht="17.15" hidden="false" customHeight="false" outlineLevel="0" collapsed="false">
      <c r="A17359" s="1" t="s">
        <v>978</v>
      </c>
      <c r="B17359" s="0" t="s">
        <v>403</v>
      </c>
      <c r="C17359" s="15" t="n">
        <f aca="false">Sens!C17357*Sens!C17358*chip_f</f>
        <v>11.3973387156315</v>
      </c>
      <c r="D17359" s="15" t="n">
        <f aca="false">Sens!D17357*Sens!D17358*chip_f</f>
        <v>11.3973387156315</v>
      </c>
      <c r="E17359" s="15" t="n">
        <f aca="false">Sens!E17357*Sens!E17358*chip_f</f>
        <v>11.3973387156315</v>
      </c>
      <c r="F17359" s="15" t="n">
        <f aca="false">Sens!F17357*Sens!F17358*chip_f</f>
        <v>12.0114064284211</v>
      </c>
      <c r="G17359" s="15" t="n">
        <f aca="false">Sens!G17357*Sens!G17358*chip_f</f>
        <v>12.4374066198516</v>
      </c>
      <c r="H17359" s="15" t="n">
        <f aca="false">Sens!H17357*Sens!H17358*chip_f</f>
        <v>12.735045931073</v>
      </c>
      <c r="I17359" s="15" t="n">
        <f aca="false">Sens!I17357*Sens!I17358*chip_f</f>
        <v>12.9563153910195</v>
      </c>
      <c r="J17359" s="15" t="n">
        <f aca="false">Sens!J17357*Sens!J17358*chip_f</f>
        <v>13.1317262003643</v>
      </c>
      <c r="K17359" s="15" t="n">
        <f aca="false">Sens!K17357*Sens!K17358*chip_f</f>
        <v>13.3724377399815</v>
      </c>
      <c r="L17359" s="1" t="s">
        <v>979</v>
      </c>
    </row>
    <row r="17360" customFormat="false" ht="17.15" hidden="false" customHeight="false" outlineLevel="0" collapsed="false">
      <c r="A17360" s="0" t="s">
        <v>980</v>
      </c>
      <c r="B17360" s="0" t="s">
        <v>98</v>
      </c>
      <c r="D17360" s="6" t="n">
        <f aca="false">(Sens!C17343+Sens!D17343)/2*Sens!D17359/1000</f>
        <v>12.9359794422418</v>
      </c>
      <c r="E17360" s="6" t="n">
        <f aca="false">(Sens!D17343+Sens!E17343)/2*Sens!E17359/1000</f>
        <v>27.8095064661409</v>
      </c>
      <c r="F17360" s="6" t="n">
        <f aca="false">(Sens!E17343+Sens!F17343)/2*Sens!F17359/1000</f>
        <v>55.4118315060966</v>
      </c>
      <c r="G17360" s="6" t="n">
        <f aca="false">(Sens!F17343+Sens!G17343)/2*Sens!G17359/1000</f>
        <v>91.2881100675143</v>
      </c>
      <c r="H17360" s="6" t="n">
        <f aca="false">(Sens!G17343+Sens!H17343)/2*Sens!H17359/1000</f>
        <v>128.195273603944</v>
      </c>
      <c r="I17360" s="6" t="n">
        <f aca="false">(Sens!H17343+Sens!I17343)/2*Sens!I17359/1000</f>
        <v>160.601281810405</v>
      </c>
      <c r="J17360" s="6" t="n">
        <f aca="false">(Sens!I17343+Sens!J17343)/2*Sens!J17359/1000</f>
        <v>183.182719793589</v>
      </c>
      <c r="K17360" s="6" t="n">
        <f aca="false">(Sens!J17343+Sens!K17343)/2*Sens!K17359/1000</f>
        <v>197.320124937098</v>
      </c>
      <c r="L17360" s="12" t="s">
        <v>981</v>
      </c>
    </row>
    <row r="17361" customFormat="false" ht="17.15" hidden="false" customHeight="false" outlineLevel="0" collapsed="false">
      <c r="A17361" s="1" t="s">
        <v>982</v>
      </c>
      <c r="B17361" s="0" t="s">
        <v>403</v>
      </c>
      <c r="C17361" s="15" t="n">
        <f aca="false">(Sens!C17351*tk_opex_h100+Sens!C17352*tk_opex_gb200+Sens!C17353*tk_opex_gb300+(Sens!C17355+Sens!C17354)*tk_opex_vr200)/Sens!C17343</f>
        <v>1.88636041306092</v>
      </c>
      <c r="D17361" s="15" t="n">
        <f aca="false">(Sens!D17351*tk_opex_h100+Sens!D17352*tk_opex_gb200+Sens!D17353*tk_opex_gb300+(Sens!D17355+Sens!D17354)*tk_opex_vr200)/Sens!D17343</f>
        <v>1.88636041306092</v>
      </c>
      <c r="E17361" s="15" t="n">
        <f aca="false">(Sens!E17351*tk_opex_h100+Sens!E17352*tk_opex_gb200+Sens!E17353*tk_opex_gb300+(Sens!E17355+Sens!E17354)*tk_opex_vr200)/Sens!E17343</f>
        <v>1.88636041306092</v>
      </c>
      <c r="F17361" s="15" t="n">
        <f aca="false">(Sens!F17351*tk_opex_h100+Sens!F17352*tk_opex_gb200+Sens!F17353*tk_opex_gb300+(Sens!F17355+Sens!F17354)*tk_opex_vr200)/Sens!F17343</f>
        <v>1.95051159746876</v>
      </c>
      <c r="G17361" s="15" t="n">
        <f aca="false">(Sens!G17351*tk_opex_h100+Sens!G17352*tk_opex_gb200+Sens!G17353*tk_opex_gb300+(Sens!G17355+Sens!G17354)*tk_opex_vr200)/Sens!G17343</f>
        <v>1.98836003669956</v>
      </c>
      <c r="H17361" s="15" t="n">
        <f aca="false">(Sens!H17351*tk_opex_h100+Sens!H17352*tk_opex_gb200+Sens!H17353*tk_opex_gb300+(Sens!H17355+Sens!H17354)*tk_opex_vr200)/Sens!H17343</f>
        <v>2.01344013834343</v>
      </c>
      <c r="I17361" s="15" t="n">
        <f aca="false">(Sens!I17351*tk_opex_h100+Sens!I17352*tk_opex_gb200+Sens!I17353*tk_opex_gb300+(Sens!I17355+Sens!I17354)*tk_opex_vr200)/Sens!I17343</f>
        <v>2.03261166882178</v>
      </c>
      <c r="J17361" s="15" t="n">
        <f aca="false">(Sens!J17351*tk_opex_h100+Sens!J17352*tk_opex_gb200+Sens!J17353*tk_opex_gb300+(Sens!J17355+Sens!J17354)*tk_opex_vr200)/Sens!J17343</f>
        <v>2.04808073288745</v>
      </c>
      <c r="K17361" s="15" t="n">
        <f aca="false">(Sens!K17351*tk_opex_h100+Sens!K17352*tk_opex_gb200+Sens!K17353*tk_opex_gb300+(Sens!K17355+Sens!K17354)*tk_opex_vr200)/Sens!K17343</f>
        <v>2.06973825807449</v>
      </c>
      <c r="L17361" s="12" t="s">
        <v>983</v>
      </c>
    </row>
    <row r="17362" customFormat="false" ht="17.15" hidden="false" customHeight="false" outlineLevel="0" collapsed="false">
      <c r="A17362" s="0" t="s">
        <v>984</v>
      </c>
      <c r="B17362" s="0" t="s">
        <v>98</v>
      </c>
      <c r="D17362" s="6" t="n">
        <f aca="false">(Sens!C17346+Sens!D17346)/2*Sens!D17361/1000</f>
        <v>2.70378325872065</v>
      </c>
      <c r="E17362" s="6" t="n">
        <f aca="false">(Sens!D17346+Sens!E17346)/2*Sens!E17361/1000</f>
        <v>6.17783035277451</v>
      </c>
      <c r="F17362" s="6" t="n">
        <f aca="false">(Sens!E17346+Sens!F17346)/2*Sens!F17361/1000</f>
        <v>12.8742463089237</v>
      </c>
      <c r="G17362" s="6" t="n">
        <f aca="false">(Sens!F17346+Sens!G17346)/2*Sens!G17361/1000</f>
        <v>21.8182834646277</v>
      </c>
      <c r="H17362" s="6" t="n">
        <f aca="false">(Sens!G17346+Sens!H17346)/2*Sens!H17361/1000</f>
        <v>31.2430128789734</v>
      </c>
      <c r="I17362" s="6" t="n">
        <f aca="false">(Sens!H17346+Sens!I17346)/2*Sens!I17361/1000</f>
        <v>39.4313057443268</v>
      </c>
      <c r="J17362" s="6" t="n">
        <f aca="false">(Sens!I17346+Sens!J17346)/2*Sens!J17361/1000</f>
        <v>45.0360318228653</v>
      </c>
      <c r="K17362" s="6" t="n">
        <f aca="false">(Sens!J17346+Sens!K17346)/2*Sens!K17361/1000</f>
        <v>48.2929727091156</v>
      </c>
    </row>
    <row r="17363" customFormat="false" ht="17.15" hidden="false" customHeight="false" outlineLevel="0" collapsed="false">
      <c r="A17363" s="0" t="s">
        <v>985</v>
      </c>
      <c r="B17363" s="0" t="s">
        <v>98</v>
      </c>
      <c r="D17363" s="6" t="n">
        <f aca="false">(Sens!C17344+Sens!D17344)/2*rent_mw/1000</f>
        <v>2.44475</v>
      </c>
      <c r="E17363" s="6" t="n">
        <f aca="false">(Sens!D17344+Sens!E17344)/2*rent_mw/1000</f>
        <v>4.22275</v>
      </c>
      <c r="F17363" s="6" t="n">
        <f aca="false">(Sens!E17344+Sens!F17344)/2*rent_mw/1000</f>
        <v>5.80517</v>
      </c>
      <c r="G17363" s="6" t="n">
        <f aca="false">(Sens!F17344+Sens!G17344)/2*rent_mw/1000</f>
        <v>6.72084</v>
      </c>
      <c r="H17363" s="6" t="n">
        <f aca="false">(Sens!G17344+Sens!H17344)/2*rent_mw/1000</f>
        <v>6.72084</v>
      </c>
      <c r="I17363" s="6" t="n">
        <f aca="false">(Sens!H17344+Sens!I17344)/2*rent_mw/1000</f>
        <v>6.72084</v>
      </c>
      <c r="J17363" s="6" t="n">
        <f aca="false">(Sens!I17344+Sens!J17344)/2*rent_mw/1000</f>
        <v>6.72084</v>
      </c>
      <c r="K17363" s="6" t="n">
        <f aca="false">(Sens!J17344+Sens!K17344)/2*rent_mw/1000</f>
        <v>6.72084</v>
      </c>
    </row>
    <row r="17364" customFormat="false" ht="17.15" hidden="false" customHeight="false" outlineLevel="0" collapsed="false">
      <c r="A17364" s="0" t="s">
        <v>986</v>
      </c>
      <c r="B17364" s="0" t="s">
        <v>98</v>
      </c>
      <c r="D17364" s="6" t="n">
        <f aca="false">(Sens!C17346+Sens!D17346)/2*(1-self_build)*fac_rent/1000</f>
        <v>0.853242375631075</v>
      </c>
      <c r="E17364" s="6" t="n">
        <f aca="false">(Sens!D17346+Sens!E17346)/2*(1-self_build)*fac_rent/1000</f>
        <v>1.94955961408728</v>
      </c>
      <c r="F17364" s="6" t="n">
        <f aca="false">(Sens!E17346+Sens!F17346)/2*(1-self_build)*fac_rent/1000</f>
        <v>3.92914894476356</v>
      </c>
      <c r="G17364" s="6" t="n">
        <f aca="false">(Sens!F17346+Sens!G17346)/2*(1-self_build)*fac_rent/1000</f>
        <v>6.53206908578159</v>
      </c>
      <c r="H17364" s="6" t="n">
        <f aca="false">(Sens!G17346+Sens!H17346)/2*(1-self_build)*fac_rent/1000</f>
        <v>9.23717988341591</v>
      </c>
      <c r="I17364" s="6" t="n">
        <f aca="false">(Sens!H17346+Sens!I17346)/2*(1-self_build)*fac_rent/1000</f>
        <v>11.5481378557393</v>
      </c>
      <c r="J17364" s="6" t="n">
        <f aca="false">(Sens!I17346+Sens!J17346)/2*(1-self_build)*fac_rent/1000</f>
        <v>13.0899582289108</v>
      </c>
      <c r="K17364" s="6" t="n">
        <f aca="false">(Sens!J17346+Sens!K17346)/2*(1-self_build)*fac_rent/1000</f>
        <v>13.8897275626556</v>
      </c>
      <c r="L17364" s="12" t="s">
        <v>987</v>
      </c>
    </row>
    <row r="17365" customFormat="false" ht="17.15" hidden="false" customHeight="false" outlineLevel="0" collapsed="false">
      <c r="A17365" s="1" t="s">
        <v>988</v>
      </c>
      <c r="B17365" s="0" t="s">
        <v>168</v>
      </c>
      <c r="D17365" s="7" t="n">
        <f aca="false">(Sens!C17345+Sens!D17345)/(Sens!C17346+Sens!D17346)</f>
        <v>0.6</v>
      </c>
      <c r="E17365" s="7" t="n">
        <f aca="false">(Sens!D17345+Sens!E17345)/(Sens!D17346+Sens!E17346)</f>
        <v>0.6</v>
      </c>
      <c r="F17365" s="7" t="n">
        <f aca="false">(Sens!E17345+Sens!F17345)/(Sens!E17346+Sens!F17346)</f>
        <v>0.6</v>
      </c>
      <c r="G17365" s="7" t="n">
        <f aca="false">(Sens!F17345+Sens!G17345)/(Sens!F17346+Sens!G17346)</f>
        <v>0.6</v>
      </c>
      <c r="H17365" s="7" t="n">
        <f aca="false">(Sens!G17345+Sens!H17345)/(Sens!G17346+Sens!H17346)</f>
        <v>0.6</v>
      </c>
      <c r="I17365" s="7" t="n">
        <f aca="false">(Sens!H17345+Sens!I17345)/(Sens!H17346+Sens!I17346)</f>
        <v>0.6</v>
      </c>
      <c r="J17365" s="7" t="n">
        <f aca="false">(Sens!I17345+Sens!J17345)/(Sens!I17346+Sens!J17346)</f>
        <v>0.6</v>
      </c>
      <c r="K17365" s="7" t="n">
        <f aca="false">(Sens!J17345+Sens!K17345)/(Sens!J17346+Sens!K17346)</f>
        <v>0.6</v>
      </c>
    </row>
    <row r="17366" customFormat="false" ht="17.15" hidden="false" customHeight="false" outlineLevel="0" collapsed="false">
      <c r="A17366" s="0" t="s">
        <v>989</v>
      </c>
      <c r="B17366" s="0" t="s">
        <v>98</v>
      </c>
      <c r="D17366" s="6" t="n">
        <f aca="false">Sens!D17360-Sens!D17365*(Sens!D17362+Sens!D17364)-Sens!D17363</f>
        <v>8.35701406163072</v>
      </c>
      <c r="E17366" s="6" t="n">
        <f aca="false">Sens!E17360-Sens!E17365*(Sens!E17362+Sens!E17364)-Sens!E17363</f>
        <v>18.7103224860238</v>
      </c>
      <c r="F17366" s="6" t="n">
        <f aca="false">Sens!F17360-Sens!F17365*(Sens!F17362+Sens!F17364)-Sens!F17363</f>
        <v>39.5246243538843</v>
      </c>
      <c r="G17366" s="6" t="n">
        <f aca="false">Sens!G17360-Sens!G17365*(Sens!G17362+Sens!G17364)-Sens!G17363</f>
        <v>67.5570585372687</v>
      </c>
      <c r="H17366" s="6" t="n">
        <f aca="false">Sens!H17360-Sens!H17365*(Sens!H17362+Sens!H17364)-Sens!H17363</f>
        <v>97.1863179465102</v>
      </c>
      <c r="I17366" s="6" t="n">
        <f aca="false">Sens!I17360-Sens!I17365*(Sens!I17362+Sens!I17364)-Sens!I17363</f>
        <v>123.292775650365</v>
      </c>
      <c r="J17366" s="6" t="n">
        <f aca="false">Sens!J17360-Sens!J17365*(Sens!J17362+Sens!J17364)-Sens!J17363</f>
        <v>141.586285762524</v>
      </c>
      <c r="K17366" s="6" t="n">
        <f aca="false">Sens!K17360-Sens!K17365*(Sens!K17362+Sens!K17364)-Sens!K17363</f>
        <v>153.289664774035</v>
      </c>
    </row>
    <row r="17367" customFormat="false" ht="17.15" hidden="false" customHeight="false" outlineLevel="0" collapsed="false">
      <c r="A17367" s="1" t="s">
        <v>990</v>
      </c>
      <c r="B17367" s="0" t="s">
        <v>98</v>
      </c>
      <c r="D17367" s="6" t="n">
        <f aca="false">(1-Sens!D17365)*(Sens!D17362+Sens!D17364)</f>
        <v>1.42281025374069</v>
      </c>
      <c r="E17367" s="6" t="n">
        <f aca="false">(1-Sens!E17365)*(Sens!E17362+Sens!E17364)</f>
        <v>3.25095598674472</v>
      </c>
      <c r="F17367" s="6" t="n">
        <f aca="false">(1-Sens!F17365)*(Sens!F17362+Sens!F17364)</f>
        <v>6.72135810147489</v>
      </c>
      <c r="G17367" s="6" t="n">
        <f aca="false">(1-Sens!G17365)*(Sens!G17362+Sens!G17364)</f>
        <v>11.3401410201637</v>
      </c>
      <c r="H17367" s="6" t="n">
        <f aca="false">(1-Sens!H17365)*(Sens!H17362+Sens!H17364)</f>
        <v>16.1920771049557</v>
      </c>
      <c r="I17367" s="6" t="n">
        <f aca="false">(1-Sens!I17365)*(Sens!I17362+Sens!I17364)</f>
        <v>20.3917774400264</v>
      </c>
      <c r="J17367" s="6" t="n">
        <f aca="false">(1-Sens!J17365)*(Sens!J17362+Sens!J17364)</f>
        <v>23.2503960207104</v>
      </c>
      <c r="K17367" s="6" t="n">
        <f aca="false">(1-Sens!K17365)*(Sens!K17362+Sens!K17364)</f>
        <v>24.8730801087085</v>
      </c>
    </row>
    <row r="17368" customFormat="false" ht="17.15" hidden="false" customHeight="false" outlineLevel="0" collapsed="false">
      <c r="A17368" s="1" t="s">
        <v>991</v>
      </c>
      <c r="B17368" s="0" t="s">
        <v>417</v>
      </c>
      <c r="C17368" s="8" t="n">
        <f aca="false">cxit_open</f>
        <v>27.5918995</v>
      </c>
      <c r="D17368" s="8" t="n">
        <f aca="false">cxit_open</f>
        <v>27.5918995</v>
      </c>
      <c r="E17368" s="8" t="n">
        <f aca="false">cxit_open</f>
        <v>27.5918995</v>
      </c>
      <c r="F17368" s="8" t="n">
        <f aca="false">((a_g3_27-nonnv*a_mai)*tk_cxit_gb300+nonnv*a_mai*nv_hold_mai*tk_cxit_vr200+(1-a_g3_27)*tk_cxit_vr200)</f>
        <v>32.4975576</v>
      </c>
      <c r="G17368" s="8" t="n">
        <f aca="false">((a_g3_28-nonnv*a_mai)*tk_cxit_gb300+nonnv*a_mai*nv_hold_mai*tk_cxit_vr200+(1-a_g3_28)*tk_cxit_vr200)</f>
        <v>34.6372088</v>
      </c>
      <c r="H17368" s="8" t="n">
        <f aca="false">((a_g3_29-nonnv*a_mai)*tk_cxit_gb300+nonnv*a_mai*nv_hold_mai*tk_cxit_vr200+(1-a_g3_29)*tk_cxit_vr200)</f>
        <v>35.7070344</v>
      </c>
      <c r="I17368" s="8" t="n">
        <f aca="false">((a_g3_29-nonnv*a_mai)*tk_cxit_gb300+nonnv*a_mai*nv_hold_mai*tk_cxit_vr200+(1-a_g3_29)*tk_cxit_vr200)</f>
        <v>35.7070344</v>
      </c>
      <c r="J17368" s="8" t="n">
        <f aca="false">((a_g3_29-nonnv*a_mai)*tk_cxit_gb300+nonnv*a_mai*nv_hold_mai*tk_cxit_vr200+(1-a_g3_29)*tk_cxit_vr200)</f>
        <v>35.7070344</v>
      </c>
      <c r="K17368" s="8" t="n">
        <f aca="false">((a_g3_29-nonnv*a_mai)*tk_cxit_gb300+nonnv*a_mai*nv_hold_mai*tk_cxit_vr200+(1-a_g3_29)*tk_cxit_vr200)</f>
        <v>35.7070344</v>
      </c>
      <c r="L17368" s="12" t="s">
        <v>992</v>
      </c>
    </row>
    <row r="17369" customFormat="false" ht="17.15" hidden="false" customHeight="false" outlineLevel="0" collapsed="false">
      <c r="A17369" s="0" t="s">
        <v>993</v>
      </c>
      <c r="B17369" s="0" t="s">
        <v>459</v>
      </c>
      <c r="F17369" s="30" t="n">
        <f aca="false">Sens!C17348*IF(Sens!F17341-Sens!C17341=life_it,1,0)+Sens!D17348*IF(Sens!F17341-Sens!D17341=life_it,1,0)+Sens!E17348*IF(Sens!F17341-Sens!E17341=life_it,1,0)</f>
        <v>0</v>
      </c>
      <c r="G17369" s="30" t="n">
        <f aca="false">Sens!C17348*IF(Sens!G17341-Sens!C17341=life_it,1,0)+Sens!D17348*IF(Sens!G17341-Sens!D17341=life_it,1,0)+Sens!E17348*IF(Sens!G17341-Sens!E17341=life_it,1,0)+Sens!F17348*IF(Sens!G17341-Sens!F17341=life_it,1,0)</f>
        <v>0</v>
      </c>
      <c r="H17369" s="30" t="n">
        <f aca="false">Sens!C17348*IF(Sens!H17341-Sens!C17341=life_it,1,0)+Sens!D17348*IF(Sens!H17341-Sens!D17341=life_it,1,0)+Sens!E17348*IF(Sens!H17341-Sens!E17341=life_it,1,0)+Sens!F17348*IF(Sens!H17341-Sens!F17341=life_it,1,0)+Sens!G17348*IF(Sens!H17341-Sens!G17341=life_it,1,0)</f>
        <v>0</v>
      </c>
      <c r="I17369" s="30" t="n">
        <f aca="false">Sens!C17348*IF(Sens!I17341-Sens!C17341=life_it,1,0)+Sens!D17348*IF(Sens!I17341-Sens!D17341=life_it,1,0)+Sens!E17348*IF(Sens!I17341-Sens!E17341=life_it,1,0)+Sens!F17348*IF(Sens!I17341-Sens!F17341=life_it,1,0)+Sens!G17348*IF(Sens!I17341-Sens!G17341=life_it,1,0)+Sens!H17348*IF(Sens!I17341-Sens!H17341=life_it,1,0)</f>
        <v>816.666666666667</v>
      </c>
      <c r="J17369" s="30" t="n">
        <f aca="false">Sens!C17348*IF(Sens!J17341-Sens!C17341=life_it,1,0)+Sens!D17348*IF(Sens!J17341-Sens!D17341=life_it,1,0)+Sens!E17348*IF(Sens!J17341-Sens!E17341=life_it,1,0)+Sens!F17348*IF(Sens!J17341-Sens!F17341=life_it,1,0)+Sens!G17348*IF(Sens!J17341-Sens!G17341=life_it,1,0)+Sens!H17348*IF(Sens!J17341-Sens!H17341=life_it,1,0)+Sens!I17348*IF(Sens!J17341-Sens!I17341=life_it,1,0)</f>
        <v>1233.33333333333</v>
      </c>
      <c r="K17369" s="30" t="n">
        <f aca="false">Sens!C17348*IF(Sens!K17341-Sens!C17341=life_it,1,0)+Sens!D17348*IF(Sens!K17341-Sens!D17341=life_it,1,0)+Sens!E17348*IF(Sens!K17341-Sens!E17341=life_it,1,0)+Sens!F17348*IF(Sens!K17341-Sens!F17341=life_it,1,0)+Sens!G17348*IF(Sens!K17341-Sens!G17341=life_it,1,0)+Sens!H17348*IF(Sens!K17341-Sens!H17341=life_it,1,0)+Sens!I17348*IF(Sens!K17341-Sens!I17341=life_it,1,0)+Sens!J17348*IF(Sens!K17341-Sens!J17341=life_it,1,0)</f>
        <v>2450</v>
      </c>
      <c r="L17369" s="1" t="s">
        <v>994</v>
      </c>
    </row>
    <row r="17370" customFormat="false" ht="17.15" hidden="false" customHeight="false" outlineLevel="0" collapsed="false">
      <c r="A17370" s="0" t="s">
        <v>995</v>
      </c>
      <c r="B17370" s="0" t="s">
        <v>98</v>
      </c>
      <c r="C17370" s="6" t="n">
        <f aca="false">Sens!C17348*Sens!C17368/1000</f>
        <v>22.5333845916667</v>
      </c>
      <c r="D17370" s="6" t="n">
        <f aca="false">Sens!D17348*Sens!D17368/1000</f>
        <v>34.0300093833333</v>
      </c>
      <c r="E17370" s="6" t="n">
        <f aca="false">Sens!E17348*Sens!E17368/1000</f>
        <v>67.600153775</v>
      </c>
      <c r="F17370" s="6" t="n">
        <f aca="false">(Sens!F17348+Sens!F17369)*Sens!F17368/1000</f>
        <v>136.51872432512</v>
      </c>
      <c r="G17370" s="6" t="n">
        <f aca="false">(Sens!G17348+Sens!G17369)*Sens!G17368/1000</f>
        <v>157.399275932048</v>
      </c>
      <c r="H17370" s="6" t="n">
        <f aca="false">(Sens!H17348+Sens!H17369)*Sens!H17368/1000</f>
        <v>162.260804347512</v>
      </c>
      <c r="I17370" s="6" t="n">
        <f aca="false">(Sens!I17348+Sens!I17369)*Sens!I17368/1000</f>
        <v>144.136569485434</v>
      </c>
      <c r="J17370" s="6" t="n">
        <f aca="false">(Sens!J17348+Sens!J17369)*Sens!J17368/1000</f>
        <v>114.029037357864</v>
      </c>
      <c r="K17370" s="6" t="n">
        <f aca="false">(Sens!K17348+Sens!K17369)*Sens!K17368/1000</f>
        <v>113.437085350975</v>
      </c>
    </row>
    <row r="17371" customFormat="false" ht="17.15" hidden="false" customHeight="false" outlineLevel="0" collapsed="false">
      <c r="A17371" s="0" t="s">
        <v>996</v>
      </c>
      <c r="B17371" s="0" t="s">
        <v>98</v>
      </c>
      <c r="C17371" s="6" t="n">
        <f aca="false">Sens!C17348*self_build*tk_cxfac/1000</f>
        <v>6.2083</v>
      </c>
      <c r="D17371" s="6" t="n">
        <f aca="false">Sens!D17348*self_build*tk_cxfac/1000</f>
        <v>9.3758</v>
      </c>
      <c r="E17371" s="6" t="n">
        <f aca="false">Sens!E17348*self_build*tk_cxfac/1000</f>
        <v>18.6249</v>
      </c>
      <c r="F17371" s="6" t="n">
        <f aca="false">Sens!F17348*self_build*tk_cxfac/1000</f>
        <v>31.935179717</v>
      </c>
      <c r="G17371" s="6" t="n">
        <f aca="false">Sens!G17348*self_build*tk_cxfac/1000</f>
        <v>34.545199717</v>
      </c>
      <c r="H17371" s="6" t="n">
        <f aca="false">Sens!H17348*self_build*tk_cxfac/1000</f>
        <v>34.545199717</v>
      </c>
      <c r="I17371" s="6" t="n">
        <f aca="false">Sens!I17348*self_build*tk_cxfac/1000</f>
        <v>24.4782641361767</v>
      </c>
      <c r="J17371" s="6" t="n">
        <f aca="false">Sens!J17348*self_build*tk_cxfac/1000</f>
        <v>14.9008938380769</v>
      </c>
      <c r="K17371" s="6" t="n">
        <f aca="false">Sens!K17348*self_build*tk_cxfac/1000</f>
        <v>5.52576771375761</v>
      </c>
    </row>
    <row r="17372" customFormat="false" ht="17.15" hidden="false" customHeight="false" outlineLevel="0" collapsed="false">
      <c r="A17372" s="0" t="s">
        <v>997</v>
      </c>
      <c r="B17372" s="0" t="s">
        <v>98</v>
      </c>
      <c r="F17372" s="15" t="n">
        <f aca="false">capex_floor27-Sens!F17370-Sens!F17371-Sens!F17468</f>
        <v>1.94586576753863E-005</v>
      </c>
      <c r="L17372" s="12" t="s">
        <v>998</v>
      </c>
    </row>
    <row r="17373" customFormat="false" ht="17.15" hidden="false" customHeight="false" outlineLevel="0" collapsed="false">
      <c r="A17373" s="0" t="s">
        <v>999</v>
      </c>
      <c r="B17373" s="0" t="s">
        <v>98</v>
      </c>
      <c r="F17373" s="6" t="n">
        <f aca="false">MAX(0,Sens!F17372)</f>
        <v>1.94586576753863E-005</v>
      </c>
    </row>
    <row r="17374" customFormat="false" ht="17.15" hidden="false" customHeight="false" outlineLevel="0" collapsed="false">
      <c r="A17374" s="0" t="s">
        <v>1000</v>
      </c>
      <c r="B17374" s="0" t="s">
        <v>98</v>
      </c>
      <c r="C17374" s="6" t="n">
        <f aca="false">Sens!C17370</f>
        <v>22.5333845916667</v>
      </c>
      <c r="D17374" s="6" t="n">
        <f aca="false">Sens!D17370</f>
        <v>34.0300093833333</v>
      </c>
      <c r="E17374" s="6" t="n">
        <f aca="false">Sens!E17370</f>
        <v>67.600153775</v>
      </c>
      <c r="F17374" s="6" t="n">
        <f aca="false">Sens!F17370</f>
        <v>136.51872432512</v>
      </c>
      <c r="G17374" s="6" t="n">
        <f aca="false">Sens!G17370</f>
        <v>157.399275932048</v>
      </c>
      <c r="H17374" s="6" t="n">
        <f aca="false">Sens!H17370</f>
        <v>162.260804347512</v>
      </c>
      <c r="I17374" s="6" t="n">
        <f aca="false">Sens!I17370</f>
        <v>144.136569485434</v>
      </c>
      <c r="J17374" s="6" t="n">
        <f aca="false">Sens!J17370</f>
        <v>114.029037357864</v>
      </c>
      <c r="K17374" s="6" t="n">
        <f aca="false">Sens!K17370</f>
        <v>113.437085350975</v>
      </c>
    </row>
    <row r="17375" customFormat="false" ht="17.15" hidden="false" customHeight="false" outlineLevel="0" collapsed="false">
      <c r="A17375" s="0" t="s">
        <v>1001</v>
      </c>
      <c r="B17375" s="0" t="s">
        <v>98</v>
      </c>
      <c r="C17375" s="6" t="n">
        <f aca="false">Sens!C17374+Sens!C17371</f>
        <v>28.7416845916667</v>
      </c>
      <c r="D17375" s="6" t="n">
        <f aca="false">Sens!D17374+Sens!D17371</f>
        <v>43.4058093833333</v>
      </c>
      <c r="E17375" s="6" t="n">
        <f aca="false">Sens!E17374+Sens!E17371</f>
        <v>86.225053775</v>
      </c>
      <c r="F17375" s="6" t="n">
        <f aca="false">Sens!F17374+Sens!F17371</f>
        <v>168.45390404212</v>
      </c>
      <c r="G17375" s="6" t="n">
        <f aca="false">Sens!G17374+Sens!G17371</f>
        <v>191.944475649048</v>
      </c>
      <c r="H17375" s="6" t="n">
        <f aca="false">Sens!H17374+Sens!H17371</f>
        <v>196.806004064512</v>
      </c>
      <c r="I17375" s="6" t="n">
        <f aca="false">Sens!I17374+Sens!I17371</f>
        <v>168.61483362161</v>
      </c>
      <c r="J17375" s="6" t="n">
        <f aca="false">Sens!J17374+Sens!J17371</f>
        <v>128.92993119594</v>
      </c>
      <c r="K17375" s="6" t="n">
        <f aca="false">Sens!K17374+Sens!K17371</f>
        <v>118.962853064733</v>
      </c>
      <c r="L17375" s="12" t="s">
        <v>1002</v>
      </c>
    </row>
    <row r="17376" customFormat="false" ht="17.15" hidden="false" customHeight="false" outlineLevel="0" collapsed="false">
      <c r="A17376" s="0" t="s">
        <v>1003</v>
      </c>
      <c r="B17376" s="0" t="s">
        <v>98</v>
      </c>
      <c r="E17376" s="6" t="n">
        <f aca="false">(Sens!C17374*IF(2&lt;life_it,1,IF(2=life_it,0.5,0))+Sens!D17374*IF(1&lt;life_it,1,IF(1=life_it,0.5,0))+Sens!E17374*0.5)/life_it</f>
        <v>15.0605784770833</v>
      </c>
      <c r="F17376" s="6" t="n">
        <f aca="false">(Sens!C17374*IF(3&lt;life_it,1,IF(3=life_it,0.5,0))+Sens!D17374*IF(2&lt;life_it,1,IF(2=life_it,0.5,0))+Sens!E17374*IF(1&lt;life_it,1,IF(1=life_it,0.5,0))+Sens!F17374*0.5)/life_it</f>
        <v>32.0704849854266</v>
      </c>
      <c r="G17376" s="6" t="n">
        <f aca="false">(Sens!C17374*IF(4&lt;life_it,1,IF(4=life_it,0.5,0))+Sens!D17374*IF(3&lt;life_it,1,IF(3=life_it,0.5,0))+Sens!E17374*IF(2&lt;life_it,1,IF(2=life_it,0.5,0))+Sens!F17374*IF(1&lt;life_it,1,IF(1=life_it,0.5,0))+Sens!G17374*0.5)/life_it</f>
        <v>56.5636516735239</v>
      </c>
      <c r="H17376" s="6" t="n">
        <f aca="false">(Sens!C17374*IF(5&lt;life_it,1,IF(5=life_it,0.5,0))+Sens!D17374*IF(4&lt;life_it,1,IF(4=life_it,0.5,0))+Sens!E17374*IF(3&lt;life_it,1,IF(3=life_it,0.5,0))+Sens!F17374*IF(2&lt;life_it,1,IF(2=life_it,0.5,0))+Sens!G17374*IF(1&lt;life_it,1,IF(1=life_it,0.5,0))+Sens!H17374*0.5)/life_it</f>
        <v>83.2019916968207</v>
      </c>
      <c r="I17376" s="6" t="n">
        <f aca="false">(Sens!C17374*IF(6&lt;life_it,1,IF(6=life_it,0.5,0))+Sens!D17374*IF(5&lt;life_it,1,IF(5=life_it,0.5,0))+Sens!E17374*IF(4&lt;life_it,1,IF(4=life_it,0.5,0))+Sens!F17374*IF(3&lt;life_it,1,IF(3=life_it,0.5,0))+Sens!G17374*IF(2&lt;life_it,1,IF(2=life_it,0.5,0))+Sens!H17374*IF(1&lt;life_it,1,IF(1=life_it,0.5,0))+Sens!I17374*0.5)/life_it</f>
        <v>106.857324133594</v>
      </c>
      <c r="J17376" s="6" t="n">
        <f aca="false">(Sens!C17374*IF(7&lt;life_it,1,IF(7=life_it,0.5,0))+Sens!D17374*IF(6&lt;life_it,1,IF(6=life_it,0.5,0))+Sens!E17374*IF(5&lt;life_it,1,IF(5=life_it,0.5,0))+Sens!F17374*IF(4&lt;life_it,1,IF(4=life_it,0.5,0))+Sens!G17374*IF(3&lt;life_it,1,IF(3=life_it,0.5,0))+Sens!H17374*IF(2&lt;life_it,1,IF(2=life_it,0.5,0))+Sens!I17374*IF(1&lt;life_it,1,IF(1=life_it,0.5,0))+Sens!J17374*0.5)/life_it</f>
        <v>123.657508539285</v>
      </c>
      <c r="K17376" s="6" t="n">
        <f aca="false">(Sens!C17374*IF(8&lt;life_it,1,IF(8=life_it,0.5,0))+Sens!D17374*IF(7&lt;life_it,1,IF(7=life_it,0.5,0))+Sens!E17374*IF(6&lt;life_it,1,IF(6=life_it,0.5,0))+Sens!F17374*IF(5&lt;life_it,1,IF(5=life_it,0.5,0))+Sens!G17374*IF(4&lt;life_it,1,IF(4=life_it,0.5,0))+Sens!H17374*IF(3&lt;life_it,1,IF(3=life_it,0.5,0))+Sens!I17374*IF(2&lt;life_it,1,IF(2=life_it,0.5,0))+Sens!J17374*IF(1&lt;life_it,1,IF(1=life_it,0.5,0))+Sens!K17374*0.5)/life_it</f>
        <v>134.143838501827</v>
      </c>
    </row>
    <row r="17377" customFormat="false" ht="17.15" hidden="false" customHeight="false" outlineLevel="0" collapsed="false">
      <c r="A17377" s="0" t="s">
        <v>1004</v>
      </c>
      <c r="B17377" s="0" t="s">
        <v>98</v>
      </c>
      <c r="E17377" s="6" t="n">
        <f aca="false">(Sens!C17371*IF(2&lt;life_fac,1,IF(2=life_fac,0.5,0))+Sens!D17371*IF(1&lt;life_fac,1,IF(1=life_fac,0.5,0))+Sens!E17371*0.5)/life_fac</f>
        <v>1.2448275</v>
      </c>
      <c r="F17377" s="6" t="n">
        <f aca="false">(Sens!C17371*IF(3&lt;life_fac,1,IF(3=life_fac,0.5,0))+Sens!D17371*IF(2&lt;life_fac,1,IF(2=life_fac,0.5,0))+Sens!E17371*IF(1&lt;life_fac,1,IF(1=life_fac,0.5,0))+Sens!F17371*0.5)/life_fac</f>
        <v>2.508829492925</v>
      </c>
      <c r="G17377" s="6" t="n">
        <f aca="false">(Sens!C17371*IF(4&lt;life_fac,1,IF(4=life_fac,0.5,0))+Sens!D17371*IF(3&lt;life_fac,1,IF(3=life_fac,0.5,0))+Sens!E17371*IF(2&lt;life_fac,1,IF(2=life_fac,0.5,0))+Sens!F17371*IF(1&lt;life_fac,1,IF(1=life_fac,0.5,0))+Sens!G17371*0.5)/life_fac</f>
        <v>4.170838978775</v>
      </c>
      <c r="H17377" s="6" t="n">
        <f aca="false">(Sens!C17371*IF(5&lt;life_fac,1,IF(5=life_fac,0.5,0))+Sens!D17371*IF(4&lt;life_fac,1,IF(4=life_fac,0.5,0))+Sens!E17371*IF(3&lt;life_fac,1,IF(3=life_fac,0.5,0))+Sens!F17371*IF(2&lt;life_fac,1,IF(2=life_fac,0.5,0))+Sens!G17371*IF(1&lt;life_fac,1,IF(1=life_fac,0.5,0))+Sens!H17371*0.5)/life_fac</f>
        <v>5.898098964625</v>
      </c>
      <c r="I17377" s="6" t="n">
        <f aca="false">(Sens!C17371*IF(6&lt;life_fac,1,IF(6=life_fac,0.5,0))+Sens!D17371*IF(5&lt;life_fac,1,IF(5=life_fac,0.5,0))+Sens!E17371*IF(4&lt;life_fac,1,IF(4=life_fac,0.5,0))+Sens!F17371*IF(3&lt;life_fac,1,IF(3=life_fac,0.5,0))+Sens!G17371*IF(2&lt;life_fac,1,IF(2=life_fac,0.5,0))+Sens!H17371*IF(1&lt;life_fac,1,IF(1=life_fac,0.5,0))+Sens!I17371*0.5)/life_fac</f>
        <v>7.37368556095442</v>
      </c>
      <c r="J17377" s="6" t="n">
        <f aca="false">(Sens!C17371*IF(7&lt;life_fac,1,IF(7=life_fac,0.5,0))+Sens!D17371*IF(6&lt;life_fac,1,IF(6=life_fac,0.5,0))+Sens!E17371*IF(5&lt;life_fac,1,IF(5=life_fac,0.5,0))+Sens!F17371*IF(4&lt;life_fac,1,IF(4=life_fac,0.5,0))+Sens!G17371*IF(3&lt;life_fac,1,IF(3=life_fac,0.5,0))+Sens!H17371*IF(2&lt;life_fac,1,IF(2=life_fac,0.5,0))+Sens!I17371*IF(1&lt;life_fac,1,IF(1=life_fac,0.5,0))+Sens!J17371*0.5)/life_fac</f>
        <v>8.35816451031075</v>
      </c>
      <c r="K17377" s="6" t="n">
        <f aca="false">(Sens!C17371*IF(8&lt;life_fac,1,IF(8=life_fac,0.5,0))+Sens!D17371*IF(7&lt;life_fac,1,IF(7=life_fac,0.5,0))+Sens!E17371*IF(6&lt;life_fac,1,IF(6=life_fac,0.5,0))+Sens!F17371*IF(5&lt;life_fac,1,IF(5=life_fac,0.5,0))+Sens!G17371*IF(4&lt;life_fac,1,IF(4=life_fac,0.5,0))+Sens!H17371*IF(3&lt;life_fac,1,IF(3=life_fac,0.5,0))+Sens!I17371*IF(2&lt;life_fac,1,IF(2=life_fac,0.5,0))+Sens!J17371*IF(1&lt;life_fac,1,IF(1=life_fac,0.5,0))+Sens!K17371*0.5)/life_fac</f>
        <v>8.86883104910662</v>
      </c>
    </row>
    <row r="17378" customFormat="false" ht="17.15" hidden="false" customHeight="false" outlineLevel="0" collapsed="false">
      <c r="A17378" s="0" t="s">
        <v>1005</v>
      </c>
      <c r="B17378" s="0" t="s">
        <v>98</v>
      </c>
      <c r="E17378" s="6" t="n">
        <f aca="false">Sens!E17376+Sens!E17377</f>
        <v>16.3054059770833</v>
      </c>
      <c r="F17378" s="6" t="n">
        <f aca="false">Sens!F17376+Sens!F17377</f>
        <v>34.5793144783516</v>
      </c>
      <c r="G17378" s="6" t="n">
        <f aca="false">Sens!G17376+Sens!G17377</f>
        <v>60.7344906522989</v>
      </c>
      <c r="H17378" s="6" t="n">
        <f aca="false">Sens!H17376+Sens!H17377</f>
        <v>89.1000906614457</v>
      </c>
      <c r="I17378" s="6" t="n">
        <f aca="false">Sens!I17376+Sens!I17377</f>
        <v>114.231009694548</v>
      </c>
      <c r="J17378" s="6" t="n">
        <f aca="false">Sens!J17376+Sens!J17377</f>
        <v>132.015673049596</v>
      </c>
      <c r="K17378" s="6" t="n">
        <f aca="false">Sens!K17376+Sens!K17377</f>
        <v>143.012669550934</v>
      </c>
    </row>
    <row r="17379" customFormat="false" ht="17.15" hidden="false" customHeight="false" outlineLevel="0" collapsed="false">
      <c r="A17379" s="0" t="s">
        <v>1006</v>
      </c>
      <c r="B17379" s="0" t="s">
        <v>98</v>
      </c>
      <c r="E17379" s="6" t="n">
        <f aca="false">Sens!E17366-Sens!E17365*Sens!E17378</f>
        <v>8.92707889977379</v>
      </c>
      <c r="F17379" s="6" t="n">
        <f aca="false">Sens!F17366-Sens!F17365*Sens!F17378</f>
        <v>18.7770356668733</v>
      </c>
      <c r="G17379" s="6" t="n">
        <f aca="false">Sens!G17366-Sens!G17365*Sens!G17378</f>
        <v>31.1163641458894</v>
      </c>
      <c r="H17379" s="6" t="n">
        <f aca="false">Sens!H17366-Sens!H17365*Sens!H17378</f>
        <v>43.7262635496428</v>
      </c>
      <c r="I17379" s="6" t="n">
        <f aca="false">Sens!I17366-Sens!I17365*Sens!I17378</f>
        <v>54.7541698336361</v>
      </c>
      <c r="J17379" s="6" t="n">
        <f aca="false">Sens!J17366-Sens!J17365*Sens!J17378</f>
        <v>62.3768819327658</v>
      </c>
      <c r="K17379" s="6" t="n">
        <f aca="false">Sens!K17366-Sens!K17365*Sens!K17378</f>
        <v>67.4820630434748</v>
      </c>
    </row>
    <row r="17380" customFormat="false" ht="17.15" hidden="false" customHeight="false" outlineLevel="0" collapsed="false">
      <c r="A17380" s="3" t="s">
        <v>2040</v>
      </c>
    </row>
    <row r="17381" customFormat="false" ht="15" hidden="false" customHeight="false" outlineLevel="0" collapsed="false">
      <c r="A17381" s="4" t="s">
        <v>43</v>
      </c>
      <c r="B17381" s="4" t="s">
        <v>65</v>
      </c>
      <c r="C17381" s="23" t="s">
        <v>942</v>
      </c>
      <c r="D17381" s="23" t="s">
        <v>943</v>
      </c>
      <c r="E17381" s="23" t="s">
        <v>944</v>
      </c>
      <c r="F17381" s="23" t="s">
        <v>945</v>
      </c>
      <c r="G17381" s="23" t="s">
        <v>946</v>
      </c>
      <c r="H17381" s="23" t="s">
        <v>947</v>
      </c>
      <c r="I17381" s="23" t="s">
        <v>948</v>
      </c>
      <c r="J17381" s="23" t="s">
        <v>949</v>
      </c>
      <c r="K17381" s="23" t="s">
        <v>950</v>
      </c>
      <c r="L17381" s="4" t="s">
        <v>47</v>
      </c>
    </row>
    <row r="17382" customFormat="false" ht="17.15" hidden="false" customHeight="false" outlineLevel="0" collapsed="false">
      <c r="A17382" s="0" t="s">
        <v>1025</v>
      </c>
      <c r="B17382" s="0" t="s">
        <v>98</v>
      </c>
      <c r="D17382" s="6" t="n">
        <f aca="false">Sens!D17360</f>
        <v>12.9359794422418</v>
      </c>
      <c r="E17382" s="6" t="n">
        <f aca="false">Sens!E17360</f>
        <v>27.8095064661409</v>
      </c>
      <c r="F17382" s="6" t="n">
        <f aca="false">Sens!F17360</f>
        <v>55.4118315060966</v>
      </c>
      <c r="G17382" s="6" t="n">
        <f aca="false">Sens!G17360</f>
        <v>91.2881100675143</v>
      </c>
      <c r="H17382" s="6" t="n">
        <f aca="false">Sens!H17360</f>
        <v>128.195273603944</v>
      </c>
      <c r="I17382" s="6" t="n">
        <f aca="false">Sens!I17360</f>
        <v>160.601281810405</v>
      </c>
      <c r="J17382" s="6" t="n">
        <f aca="false">Sens!J17360</f>
        <v>183.182719793589</v>
      </c>
      <c r="K17382" s="6" t="n">
        <f aca="false">Sens!K17360</f>
        <v>197.320124937098</v>
      </c>
    </row>
    <row r="17383" customFormat="false" ht="17.15" hidden="false" customHeight="false" outlineLevel="0" collapsed="false">
      <c r="A17383" s="0" t="s">
        <v>1026</v>
      </c>
      <c r="B17383" s="0" t="s">
        <v>98</v>
      </c>
      <c r="D17383" s="6" t="n">
        <f aca="false">Q!L6-Sens!D17382</f>
        <v>59.6740205577583</v>
      </c>
      <c r="E17383" s="6" t="n">
        <f aca="false">Q!M6-Sens!E17382</f>
        <v>74.1284935338591</v>
      </c>
      <c r="F17383" s="6" t="n">
        <f aca="false">Q!$I$6+(Sens!F17382+Sens!E17383*(1+Sens!F17384))*(1-Q!$E$6/Q!M6)-Sens!F17382</f>
        <v>91.2972164940844</v>
      </c>
      <c r="G17383" s="6" t="n">
        <f aca="false">Sens!F17383*(1+Sens!G17384)</f>
        <v>108.474719793879</v>
      </c>
      <c r="H17383" s="6" t="n">
        <f aca="false">Sens!G17383*(1+Sens!H17384)</f>
        <v>125.951292505701</v>
      </c>
      <c r="I17383" s="6" t="n">
        <f aca="false">Sens!H17383*(1+Sens!I17384)</f>
        <v>142.838165154212</v>
      </c>
      <c r="J17383" s="6" t="n">
        <f aca="false">Sens!I17383*(1+Sens!J17384)</f>
        <v>158.12717866615</v>
      </c>
      <c r="K17383" s="6" t="n">
        <f aca="false">Sens!J17383*(1+Sens!K17384)</f>
        <v>170.777352959442</v>
      </c>
      <c r="L17383" s="12" t="s">
        <v>1027</v>
      </c>
    </row>
    <row r="17384" customFormat="false" ht="15" hidden="false" customHeight="false" outlineLevel="0" collapsed="false">
      <c r="A17384" s="1" t="s">
        <v>1028</v>
      </c>
      <c r="B17384" s="0" t="s">
        <v>168</v>
      </c>
      <c r="E17384" s="7" t="n">
        <f aca="false">Sens!E17383/Sens!D17383-1</f>
        <v>0.242223883039864</v>
      </c>
      <c r="F17384" s="7" t="n">
        <f aca="false">Sens!$E$17384+(glt_azo-Sens!$E$17384)*MIN(1,(Sens!F17341-base_fy)/n_conv)</f>
        <v>0.215186569199887</v>
      </c>
      <c r="G17384" s="7" t="n">
        <f aca="false">Sens!$E$17384+(glt_azo-Sens!$E$17384)*MIN(1,(Sens!G17341-base_fy)/n_conv)</f>
        <v>0.18814925535991</v>
      </c>
      <c r="H17384" s="7" t="n">
        <f aca="false">Sens!$E$17384+(glt_azo-Sens!$E$17384)*MIN(1,(Sens!H17341-base_fy)/n_conv)</f>
        <v>0.161111941519932</v>
      </c>
      <c r="I17384" s="7" t="n">
        <f aca="false">Sens!$E$17384+(glt_azo-Sens!$E$17384)*MIN(1,(Sens!I17341-base_fy)/n_conv)</f>
        <v>0.134074627679955</v>
      </c>
      <c r="J17384" s="7" t="n">
        <f aca="false">Sens!$E$17384+(glt_azo-Sens!$E$17384)*MIN(1,(Sens!J17341-base_fy)/n_conv)</f>
        <v>0.107037313839977</v>
      </c>
      <c r="K17384" s="7" t="n">
        <f aca="false">Sens!$E$17384+(glt_azo-Sens!$E$17384)*MIN(1,(Sens!K17341-base_fy)/n_conv)</f>
        <v>0.08</v>
      </c>
    </row>
    <row r="17385" customFormat="false" ht="15" hidden="false" customHeight="false" outlineLevel="0" collapsed="false">
      <c r="A17385" s="0" t="s">
        <v>1029</v>
      </c>
      <c r="B17385" s="0" t="s">
        <v>98</v>
      </c>
      <c r="D17385" s="6" t="n">
        <f aca="false">Sens!D17382+Sens!D17383</f>
        <v>72.61</v>
      </c>
      <c r="E17385" s="6" t="n">
        <f aca="false">Sens!E17382+Sens!E17383</f>
        <v>101.938</v>
      </c>
      <c r="F17385" s="6" t="n">
        <f aca="false">Sens!F17382+Sens!F17383</f>
        <v>146.709048000181</v>
      </c>
      <c r="G17385" s="6" t="n">
        <f aca="false">Sens!G17382+Sens!G17383</f>
        <v>199.762829861393</v>
      </c>
      <c r="H17385" s="6" t="n">
        <f aca="false">Sens!H17382+Sens!H17383</f>
        <v>254.146566109645</v>
      </c>
      <c r="I17385" s="6" t="n">
        <f aca="false">Sens!I17382+Sens!I17383</f>
        <v>303.439446964617</v>
      </c>
      <c r="J17385" s="6" t="n">
        <f aca="false">Sens!J17382+Sens!J17383</f>
        <v>341.309898459739</v>
      </c>
      <c r="K17385" s="6" t="n">
        <f aca="false">Sens!K17382+Sens!K17383</f>
        <v>368.09747789654</v>
      </c>
    </row>
    <row r="17386" customFormat="false" ht="17.15" hidden="false" customHeight="false" outlineLevel="0" collapsed="false">
      <c r="A17386" s="0" t="s">
        <v>1030</v>
      </c>
      <c r="B17386" s="1" t="s">
        <v>613</v>
      </c>
      <c r="C17386" s="30" t="n">
        <f aca="false">cop_s24</f>
        <v>1</v>
      </c>
      <c r="D17386" s="30" t="n">
        <f aca="false">cop_s25</f>
        <v>5</v>
      </c>
      <c r="E17386" s="30" t="n">
        <f aca="false">cop_s26</f>
        <v>30</v>
      </c>
      <c r="F17386" s="30" t="n">
        <f aca="false">Sens!E17386+cop_add_B</f>
        <v>50</v>
      </c>
      <c r="G17386" s="30" t="n">
        <f aca="false">Sens!F17386+cop_add_B</f>
        <v>70</v>
      </c>
      <c r="H17386" s="30" t="n">
        <f aca="false">Sens!G17386+cop_add_B</f>
        <v>90</v>
      </c>
      <c r="I17386" s="30" t="n">
        <f aca="false">Sens!H17386+cop_add_B*cop_tail</f>
        <v>100</v>
      </c>
      <c r="J17386" s="30" t="n">
        <f aca="false">Sens!I17386+cop_add_B*cop_tail</f>
        <v>110</v>
      </c>
      <c r="K17386" s="30" t="n">
        <f aca="false">Sens!J17386+cop_add_B*cop_tail</f>
        <v>120</v>
      </c>
      <c r="L17386" s="12" t="s">
        <v>1031</v>
      </c>
    </row>
    <row r="17387" customFormat="false" ht="17.15" hidden="false" customHeight="false" outlineLevel="0" collapsed="false">
      <c r="A17387" s="0" t="s">
        <v>1032</v>
      </c>
      <c r="B17387" s="0" t="s">
        <v>98</v>
      </c>
      <c r="D17387" s="6" t="n">
        <f aca="false">(Sens!C17386+Sens!D17386)/2*cop_px*12/1000</f>
        <v>0.9</v>
      </c>
      <c r="E17387" s="6" t="n">
        <f aca="false">(Sens!D17386+Sens!E17386)/2*cop_px*12/1000</f>
        <v>5.25</v>
      </c>
      <c r="F17387" s="6" t="n">
        <f aca="false">(Sens!E17386+Sens!F17386)/2*cop_px*12/1000</f>
        <v>12</v>
      </c>
      <c r="G17387" s="6" t="n">
        <f aca="false">(Sens!F17386+Sens!G17386)/2*cop_px*12/1000</f>
        <v>18</v>
      </c>
      <c r="H17387" s="6" t="n">
        <f aca="false">(Sens!G17386+Sens!H17386)/2*cop_px*12/1000</f>
        <v>24</v>
      </c>
      <c r="I17387" s="6" t="n">
        <f aca="false">(Sens!H17386+Sens!I17386)/2*cop_px*12/1000</f>
        <v>28.5</v>
      </c>
      <c r="J17387" s="6" t="n">
        <f aca="false">(Sens!I17386+Sens!J17386)/2*cop_px*12/1000</f>
        <v>31.5</v>
      </c>
      <c r="K17387" s="6" t="n">
        <f aca="false">(Sens!J17386+Sens!K17386)/2*cop_px*12/1000</f>
        <v>34.5</v>
      </c>
      <c r="L17387" s="1" t="s">
        <v>1033</v>
      </c>
    </row>
    <row r="17388" customFormat="false" ht="17.15" hidden="false" customHeight="false" outlineLevel="0" collapsed="false">
      <c r="A17388" s="0" t="s">
        <v>1034</v>
      </c>
      <c r="B17388" s="0" t="s">
        <v>98</v>
      </c>
      <c r="D17388" s="6" t="n">
        <f aca="false">Q!L7-Sens!D17387</f>
        <v>83.705</v>
      </c>
      <c r="E17388" s="6" t="n">
        <f aca="false">Q!M7-Sens!E17387</f>
        <v>95.049</v>
      </c>
      <c r="F17388" s="6" t="n">
        <f aca="false">Q!$I$7+(Sens!E17388*(1+Sens!F17389)+Sens!F17387)*(1-Q!$E$7/Q!M7)-Sens!F17387</f>
        <v>106.584003697747</v>
      </c>
      <c r="G17388" s="6" t="n">
        <f aca="false">Sens!F17388*(1+Sens!G17389)</f>
        <v>118.700726545688</v>
      </c>
      <c r="H17388" s="6" t="n">
        <f aca="false">Sens!G17388*(1+Sens!H17389)</f>
        <v>130.898624783666</v>
      </c>
      <c r="I17388" s="6" t="n">
        <f aca="false">Sens!H17388*(1+Sens!I17389)</f>
        <v>142.920510030657</v>
      </c>
      <c r="J17388" s="6" t="n">
        <f aca="false">Sens!I17388*(1+Sens!J17389)</f>
        <v>154.485722618572</v>
      </c>
      <c r="K17388" s="6" t="n">
        <f aca="false">Sens!J17388*(1+Sens!K17389)</f>
        <v>165.299723201872</v>
      </c>
      <c r="L17388" s="12" t="s">
        <v>1035</v>
      </c>
    </row>
    <row r="17389" customFormat="false" ht="15" hidden="false" customHeight="false" outlineLevel="0" collapsed="false">
      <c r="A17389" s="1" t="s">
        <v>1028</v>
      </c>
      <c r="B17389" s="0" t="s">
        <v>168</v>
      </c>
      <c r="E17389" s="7" t="n">
        <f aca="false">Sens!E17388/Sens!D17388-1</f>
        <v>0.135523564900544</v>
      </c>
      <c r="F17389" s="7" t="n">
        <f aca="false">Sens!$E$17389+(glt_m365b-Sens!$E$17389)*MIN(1,(Sens!F17341-base_fy)/n_conv)</f>
        <v>0.124602970750453</v>
      </c>
      <c r="G17389" s="7" t="n">
        <f aca="false">Sens!$E$17389+(glt_m365b-Sens!$E$17389)*MIN(1,(Sens!G17341-base_fy)/n_conv)</f>
        <v>0.113682376600363</v>
      </c>
      <c r="H17389" s="7" t="n">
        <f aca="false">Sens!$E$17389+(glt_m365b-Sens!$E$17389)*MIN(1,(Sens!H17341-base_fy)/n_conv)</f>
        <v>0.102761782450272</v>
      </c>
      <c r="I17389" s="7" t="n">
        <f aca="false">Sens!$E$17389+(glt_m365b-Sens!$E$17389)*MIN(1,(Sens!I17341-base_fy)/n_conv)</f>
        <v>0.0918411883001813</v>
      </c>
      <c r="J17389" s="7" t="n">
        <f aca="false">Sens!$E$17389+(glt_m365b-Sens!$E$17389)*MIN(1,(Sens!J17341-base_fy)/n_conv)</f>
        <v>0.0809205941500906</v>
      </c>
      <c r="K17389" s="7" t="n">
        <f aca="false">Sens!$E$17389+(glt_m365b-Sens!$E$17389)*MIN(1,(Sens!K17341-base_fy)/n_conv)</f>
        <v>0.07</v>
      </c>
    </row>
    <row r="17390" customFormat="false" ht="15" hidden="false" customHeight="false" outlineLevel="0" collapsed="false">
      <c r="A17390" s="0" t="s">
        <v>1036</v>
      </c>
      <c r="B17390" s="0" t="s">
        <v>98</v>
      </c>
      <c r="D17390" s="6" t="n">
        <f aca="false">Sens!D17388+Sens!D17387</f>
        <v>84.605</v>
      </c>
      <c r="E17390" s="6" t="n">
        <f aca="false">Sens!E17388+Sens!E17387</f>
        <v>100.299</v>
      </c>
      <c r="F17390" s="6" t="n">
        <f aca="false">Sens!F17388+Sens!F17387</f>
        <v>118.584003697747</v>
      </c>
      <c r="G17390" s="6" t="n">
        <f aca="false">Sens!G17388+Sens!G17387</f>
        <v>136.700726545688</v>
      </c>
      <c r="H17390" s="6" t="n">
        <f aca="false">Sens!H17388+Sens!H17387</f>
        <v>154.898624783666</v>
      </c>
      <c r="I17390" s="6" t="n">
        <f aca="false">Sens!I17388+Sens!I17387</f>
        <v>171.420510030657</v>
      </c>
      <c r="J17390" s="6" t="n">
        <f aca="false">Sens!J17388+Sens!J17387</f>
        <v>185.985722618572</v>
      </c>
      <c r="K17390" s="6" t="n">
        <f aca="false">Sens!K17388+Sens!K17387</f>
        <v>199.799723201872</v>
      </c>
    </row>
    <row r="17391" customFormat="false" ht="17.15" hidden="false" customHeight="false" outlineLevel="0" collapsed="false">
      <c r="A17391" s="0" t="s">
        <v>1037</v>
      </c>
      <c r="B17391" s="0" t="s">
        <v>98</v>
      </c>
      <c r="D17391" s="6" t="n">
        <f aca="false">Q!L8</f>
        <v>35.391</v>
      </c>
      <c r="E17391" s="6" t="n">
        <f aca="false">Q!M8</f>
        <v>37.285</v>
      </c>
      <c r="F17391" s="6" t="n">
        <f aca="false">Q!$I$8+(Q!M8-Q!$E$8)*(1+Sens!F17392)</f>
        <v>38.3851437782675</v>
      </c>
      <c r="G17391" s="6" t="n">
        <f aca="false">Sens!F17391*(1+Sens!G17392)</f>
        <v>40.0105353288615</v>
      </c>
      <c r="H17391" s="6" t="n">
        <f aca="false">Sens!G17391*(1+Sens!H17392)</f>
        <v>41.4812512033683</v>
      </c>
      <c r="I17391" s="6" t="n">
        <f aca="false">Sens!H17391*(1+Sens!I17392)</f>
        <v>42.7743107216329</v>
      </c>
      <c r="J17391" s="6" t="n">
        <f aca="false">Sens!I17391*(1+Sens!J17392)</f>
        <v>43.8687373064601</v>
      </c>
      <c r="K17391" s="6" t="n">
        <f aca="false">Sens!J17391*(1+Sens!K17392)</f>
        <v>44.7461120525893</v>
      </c>
      <c r="L17391" s="12" t="s">
        <v>1038</v>
      </c>
    </row>
    <row r="17392" customFormat="false" ht="15" hidden="false" customHeight="false" outlineLevel="0" collapsed="false">
      <c r="A17392" s="1" t="s">
        <v>1028</v>
      </c>
      <c r="B17392" s="0" t="s">
        <v>168</v>
      </c>
      <c r="E17392" s="7" t="n">
        <f aca="false">Sens!E17391/Sens!D17391-1</f>
        <v>0.0535164307309768</v>
      </c>
      <c r="F17392" s="7" t="n">
        <f aca="false">Sens!$E$17392+(glt_lic-Sens!$E$17392)*MIN(1,(Sens!F17341-base_fy)/n_conv)</f>
        <v>0.0479303589424807</v>
      </c>
      <c r="G17392" s="7" t="n">
        <f aca="false">Sens!$E$17392+(glt_lic-Sens!$E$17392)*MIN(1,(Sens!G17341-base_fy)/n_conv)</f>
        <v>0.0423442871539845</v>
      </c>
      <c r="H17392" s="7" t="n">
        <f aca="false">Sens!$E$17392+(glt_lic-Sens!$E$17392)*MIN(1,(Sens!H17341-base_fy)/n_conv)</f>
        <v>0.0367582153654884</v>
      </c>
      <c r="I17392" s="7" t="n">
        <f aca="false">Sens!$E$17392+(glt_lic-Sens!$E$17392)*MIN(1,(Sens!I17341-base_fy)/n_conv)</f>
        <v>0.0311721435769923</v>
      </c>
      <c r="J17392" s="7" t="n">
        <f aca="false">Sens!$E$17392+(glt_lic-Sens!$E$17392)*MIN(1,(Sens!J17341-base_fy)/n_conv)</f>
        <v>0.0255860717884961</v>
      </c>
      <c r="K17392" s="7" t="n">
        <f aca="false">Sens!$E$17392+(glt_lic-Sens!$E$17392)*MIN(1,(Sens!K17341-base_fy)/n_conv)</f>
        <v>0.02</v>
      </c>
    </row>
    <row r="17393" customFormat="false" ht="17.15" hidden="false" customHeight="false" outlineLevel="0" collapsed="false">
      <c r="A17393" s="0" t="s">
        <v>1039</v>
      </c>
      <c r="B17393" s="0" t="s">
        <v>98</v>
      </c>
      <c r="D17393" s="6" t="n">
        <f aca="false">Q!L9</f>
        <v>18.417</v>
      </c>
      <c r="E17393" s="6" t="n">
        <f aca="false">Q!M9</f>
        <v>20.345</v>
      </c>
      <c r="F17393" s="6" t="n">
        <f aca="false">Q!$I$9+(Q!M9-Q!$E$9)*(1+Sens!F17394)</f>
        <v>22.3161797133988</v>
      </c>
      <c r="G17393" s="6" t="n">
        <f aca="false">Sens!F17393*(1+Sens!G17394)</f>
        <v>24.3943499673233</v>
      </c>
      <c r="H17393" s="6" t="n">
        <f aca="false">Sens!G17393*(1+Sens!H17394)</f>
        <v>26.5250243109019</v>
      </c>
      <c r="I17393" s="6" t="n">
        <f aca="false">Sens!H17393*(1+Sens!I17394)</f>
        <v>28.6884573538181</v>
      </c>
      <c r="J17393" s="6" t="n">
        <f aca="false">Sens!I17393*(1+Sens!J17394)</f>
        <v>30.8624968052127</v>
      </c>
      <c r="K17393" s="6" t="n">
        <f aca="false">Sens!J17393*(1+Sens!K17394)</f>
        <v>33.0228715815776</v>
      </c>
      <c r="L17393" s="12" t="s">
        <v>1038</v>
      </c>
    </row>
    <row r="17394" customFormat="false" ht="15" hidden="false" customHeight="false" outlineLevel="0" collapsed="false">
      <c r="A17394" s="1" t="s">
        <v>1028</v>
      </c>
      <c r="B17394" s="0" t="s">
        <v>168</v>
      </c>
      <c r="E17394" s="7" t="n">
        <f aca="false">Sens!E17393/Sens!D17393-1</f>
        <v>0.104685888038225</v>
      </c>
      <c r="F17394" s="7" t="n">
        <f aca="false">Sens!$E$17394+(glt_ind-Sens!$E$17394)*MIN(1,(Sens!F17341-base_fy)/n_conv)</f>
        <v>0.0989049066985211</v>
      </c>
      <c r="G17394" s="7" t="n">
        <f aca="false">Sens!$E$17394+(glt_ind-Sens!$E$17394)*MIN(1,(Sens!G17341-base_fy)/n_conv)</f>
        <v>0.0931239253588169</v>
      </c>
      <c r="H17394" s="7" t="n">
        <f aca="false">Sens!$E$17394+(glt_ind-Sens!$E$17394)*MIN(1,(Sens!H17341-base_fy)/n_conv)</f>
        <v>0.0873429440191127</v>
      </c>
      <c r="I17394" s="7" t="n">
        <f aca="false">Sens!$E$17394+(glt_ind-Sens!$E$17394)*MIN(1,(Sens!I17341-base_fy)/n_conv)</f>
        <v>0.0815619626794085</v>
      </c>
      <c r="J17394" s="7" t="n">
        <f aca="false">Sens!$E$17394+(glt_ind-Sens!$E$17394)*MIN(1,(Sens!J17341-base_fy)/n_conv)</f>
        <v>0.0757809813397042</v>
      </c>
      <c r="K17394" s="7" t="n">
        <f aca="false">Sens!$E$17394+(glt_ind-Sens!$E$17394)*MIN(1,(Sens!K17341-base_fy)/n_conv)</f>
        <v>0.07</v>
      </c>
    </row>
    <row r="17395" customFormat="false" ht="17.15" hidden="false" customHeight="false" outlineLevel="0" collapsed="false">
      <c r="A17395" s="0" t="s">
        <v>1040</v>
      </c>
      <c r="B17395" s="0" t="s">
        <v>98</v>
      </c>
      <c r="D17395" s="6" t="n">
        <f aca="false">Q!L10</f>
        <v>7.76</v>
      </c>
      <c r="E17395" s="6" t="n">
        <f aca="false">Q!M10</f>
        <v>8.26</v>
      </c>
      <c r="F17395" s="6" t="n">
        <f aca="false">Q!$I$10+(Q!M10-Q!$E$10)*(1+Sens!F17396)</f>
        <v>8.75372082474227</v>
      </c>
      <c r="G17395" s="6" t="n">
        <f aca="false">Sens!F17395*(1+Sens!G17396)</f>
        <v>9.33399324642364</v>
      </c>
      <c r="H17395" s="6" t="n">
        <f aca="false">Sens!G17395*(1+Sens!H17396)</f>
        <v>9.96139155535851</v>
      </c>
      <c r="I17395" s="6" t="n">
        <f aca="false">Sens!H17395*(1+Sens!I17396)</f>
        <v>10.6402039077391</v>
      </c>
      <c r="J17395" s="6" t="n">
        <f aca="false">Sens!I17395*(1+Sens!J17396)</f>
        <v>11.3751458271397</v>
      </c>
      <c r="K17395" s="6" t="n">
        <f aca="false">Sens!J17395*(1+Sens!K17396)</f>
        <v>12.1714060350394</v>
      </c>
      <c r="L17395" s="12" t="s">
        <v>1038</v>
      </c>
    </row>
    <row r="17396" customFormat="false" ht="15" hidden="false" customHeight="false" outlineLevel="0" collapsed="false">
      <c r="A17396" s="1" t="s">
        <v>1028</v>
      </c>
      <c r="B17396" s="0" t="s">
        <v>168</v>
      </c>
      <c r="E17396" s="7" t="n">
        <f aca="false">Sens!E17395/Sens!D17395-1</f>
        <v>0.0644329896907216</v>
      </c>
      <c r="F17396" s="7" t="n">
        <f aca="false">Sens!$E$17396+(glt_fro-Sens!$E$17396)*MIN(1,(Sens!F17341-base_fy)/n_conv)</f>
        <v>0.065360824742268</v>
      </c>
      <c r="G17396" s="7" t="n">
        <f aca="false">Sens!$E$17396+(glt_fro-Sens!$E$17396)*MIN(1,(Sens!G17341-base_fy)/n_conv)</f>
        <v>0.0662886597938144</v>
      </c>
      <c r="H17396" s="7" t="n">
        <f aca="false">Sens!$E$17396+(glt_fro-Sens!$E$17396)*MIN(1,(Sens!H17341-base_fy)/n_conv)</f>
        <v>0.0672164948453608</v>
      </c>
      <c r="I17396" s="7" t="n">
        <f aca="false">Sens!$E$17396+(glt_fro-Sens!$E$17396)*MIN(1,(Sens!I17341-base_fy)/n_conv)</f>
        <v>0.0681443298969072</v>
      </c>
      <c r="J17396" s="7" t="n">
        <f aca="false">Sens!$E$17396+(glt_fro-Sens!$E$17396)*MIN(1,(Sens!J17341-base_fy)/n_conv)</f>
        <v>0.0690721649484536</v>
      </c>
      <c r="K17396" s="7" t="n">
        <f aca="false">Sens!$E$17396+(glt_fro-Sens!$E$17396)*MIN(1,(Sens!K17341-base_fy)/n_conv)</f>
        <v>0.07</v>
      </c>
    </row>
    <row r="17397" customFormat="false" ht="15" hidden="false" customHeight="false" outlineLevel="0" collapsed="false">
      <c r="A17397" s="0" t="s">
        <v>856</v>
      </c>
      <c r="B17397" s="0" t="s">
        <v>98</v>
      </c>
      <c r="D17397" s="6" t="n">
        <f aca="false">Sens!D17385+Sens!D17390+Sens!D17391+Sens!D17393+Sens!D17395</f>
        <v>218.783</v>
      </c>
      <c r="E17397" s="6" t="n">
        <f aca="false">Sens!E17385+Sens!E17390+Sens!E17391+Sens!E17393+Sens!E17395</f>
        <v>268.127</v>
      </c>
      <c r="F17397" s="6" t="n">
        <f aca="false">Sens!F17385+Sens!F17390+Sens!F17391+Sens!F17393+Sens!F17395</f>
        <v>334.748096014336</v>
      </c>
      <c r="G17397" s="6" t="n">
        <f aca="false">Sens!G17385+Sens!G17390+Sens!G17391+Sens!G17393+Sens!G17395</f>
        <v>410.20243494969</v>
      </c>
      <c r="H17397" s="6" t="n">
        <f aca="false">Sens!H17385+Sens!H17390+Sens!H17391+Sens!H17393+Sens!H17395</f>
        <v>487.012857962939</v>
      </c>
      <c r="I17397" s="6" t="n">
        <f aca="false">Sens!I17385+Sens!I17390+Sens!I17391+Sens!I17393+Sens!I17395</f>
        <v>556.962928978464</v>
      </c>
      <c r="J17397" s="6" t="n">
        <f aca="false">Sens!J17385+Sens!J17390+Sens!J17391+Sens!J17393+Sens!J17395</f>
        <v>613.402001017124</v>
      </c>
      <c r="K17397" s="6" t="n">
        <f aca="false">Sens!K17385+Sens!K17390+Sens!K17391+Sens!K17393+Sens!K17395</f>
        <v>657.837590767618</v>
      </c>
    </row>
    <row r="17398" customFormat="false" ht="17.15" hidden="false" customHeight="false" outlineLevel="0" collapsed="false">
      <c r="A17398" s="0" t="s">
        <v>1041</v>
      </c>
      <c r="B17398" s="0" t="s">
        <v>98</v>
      </c>
      <c r="D17398" s="6" t="n">
        <f aca="false">Q!L13</f>
        <v>22.171</v>
      </c>
      <c r="E17398" s="6" t="n">
        <f aca="false">Q!M13</f>
        <v>24.835</v>
      </c>
      <c r="F17398" s="6" t="n">
        <f aca="false">Q!$I$13+(Q!M13-Q!$E$13)*(1+Sens!F17399)</f>
        <v>27.5591895660247</v>
      </c>
      <c r="G17398" s="6" t="n">
        <f aca="false">Sens!F17398*(1+Sens!G17399)</f>
        <v>30.4098563144583</v>
      </c>
      <c r="H17398" s="6" t="n">
        <f aca="false">Sens!G17398*(1+Sens!H17399)</f>
        <v>33.3011792571777</v>
      </c>
      <c r="I17398" s="6" t="n">
        <f aca="false">Sens!H17398*(1+Sens!I17399)</f>
        <v>36.189023797112</v>
      </c>
      <c r="J17398" s="6" t="n">
        <f aca="false">Sens!I17398*(1+Sens!J17399)</f>
        <v>39.0247773769199</v>
      </c>
      <c r="K17398" s="6" t="n">
        <f aca="false">Sens!J17398*(1+Sens!K17399)</f>
        <v>41.7565117933043</v>
      </c>
      <c r="L17398" s="12" t="s">
        <v>1038</v>
      </c>
    </row>
    <row r="17399" customFormat="false" ht="15" hidden="false" customHeight="false" outlineLevel="0" collapsed="false">
      <c r="A17399" s="1" t="s">
        <v>1028</v>
      </c>
      <c r="B17399" s="0" t="s">
        <v>168</v>
      </c>
      <c r="E17399" s="7" t="n">
        <f aca="false">Sens!E17398/Sens!D17398-1</f>
        <v>0.120156961796942</v>
      </c>
      <c r="F17399" s="7" t="n">
        <f aca="false">Sens!$E$17399+(glt_srch-Sens!$E$17399)*MIN(1,(Sens!F17341-base_fy)/n_conv)</f>
        <v>0.111797468164118</v>
      </c>
      <c r="G17399" s="7" t="n">
        <f aca="false">Sens!$E$17399+(glt_srch-Sens!$E$17399)*MIN(1,(Sens!G17341-base_fy)/n_conv)</f>
        <v>0.103437974531295</v>
      </c>
      <c r="H17399" s="7" t="n">
        <f aca="false">Sens!$E$17399+(glt_srch-Sens!$E$17399)*MIN(1,(Sens!H17341-base_fy)/n_conv)</f>
        <v>0.095078480898471</v>
      </c>
      <c r="I17399" s="7" t="n">
        <f aca="false">Sens!$E$17399+(glt_srch-Sens!$E$17399)*MIN(1,(Sens!I17341-base_fy)/n_conv)</f>
        <v>0.0867189872656474</v>
      </c>
      <c r="J17399" s="7" t="n">
        <f aca="false">Sens!$E$17399+(glt_srch-Sens!$E$17399)*MIN(1,(Sens!J17341-base_fy)/n_conv)</f>
        <v>0.0783594936328237</v>
      </c>
      <c r="K17399" s="7" t="n">
        <f aca="false">Sens!$E$17399+(glt_srch-Sens!$E$17399)*MIN(1,(Sens!K17341-base_fy)/n_conv)</f>
        <v>0.07</v>
      </c>
    </row>
    <row r="17400" customFormat="false" ht="17.15" hidden="false" customHeight="false" outlineLevel="0" collapsed="false">
      <c r="A17400" s="0" t="s">
        <v>1042</v>
      </c>
      <c r="B17400" s="0" t="s">
        <v>98</v>
      </c>
      <c r="D17400" s="6" t="n">
        <f aca="false">Q!L14</f>
        <v>23.455</v>
      </c>
      <c r="E17400" s="6" t="n">
        <f aca="false">Q!M14</f>
        <v>21.79</v>
      </c>
      <c r="F17400" s="6" t="n">
        <f aca="false">Q!$I$14+(Q!M14-Q!$E$14)*(1+Sens!F17401)</f>
        <v>20.7520981041711</v>
      </c>
      <c r="G17400" s="6" t="n">
        <f aca="false">Sens!F17400*(1+Sens!G17401)</f>
        <v>19.9083593495882</v>
      </c>
      <c r="H17400" s="6" t="n">
        <f aca="false">Sens!G17400*(1+Sens!H17401)</f>
        <v>19.4008256265831</v>
      </c>
      <c r="I17400" s="6" t="n">
        <f aca="false">Sens!H17400*(1+Sens!I17401)</f>
        <v>19.200434522122</v>
      </c>
      <c r="J17400" s="6" t="n">
        <f aca="false">Sens!I17400*(1+Sens!J17401)</f>
        <v>19.2932782348507</v>
      </c>
      <c r="K17400" s="6" t="n">
        <f aca="false">Sens!J17400*(1+Sens!K17401)</f>
        <v>19.6791437995477</v>
      </c>
      <c r="L17400" s="12" t="s">
        <v>1038</v>
      </c>
    </row>
    <row r="17401" customFormat="false" ht="15" hidden="false" customHeight="false" outlineLevel="0" collapsed="false">
      <c r="A17401" s="1" t="s">
        <v>1028</v>
      </c>
      <c r="B17401" s="0" t="s">
        <v>168</v>
      </c>
      <c r="E17401" s="7" t="n">
        <f aca="false">Sens!E17400/Sens!D17400-1</f>
        <v>-0.0709869963760392</v>
      </c>
      <c r="F17401" s="7" t="n">
        <f aca="false">Sens!$E$17401+(glt_xbox-Sens!$E$17401)*MIN(1,(Sens!F17341-base_fy)/n_conv)</f>
        <v>-0.0558224969800327</v>
      </c>
      <c r="G17401" s="7" t="n">
        <f aca="false">Sens!$E$17401+(glt_xbox-Sens!$E$17401)*MIN(1,(Sens!G17341-base_fy)/n_conv)</f>
        <v>-0.0406579975840262</v>
      </c>
      <c r="H17401" s="7" t="n">
        <f aca="false">Sens!$E$17401+(glt_xbox-Sens!$E$17401)*MIN(1,(Sens!H17341-base_fy)/n_conv)</f>
        <v>-0.0254934981880196</v>
      </c>
      <c r="I17401" s="7" t="n">
        <f aca="false">Sens!$E$17401+(glt_xbox-Sens!$E$17401)*MIN(1,(Sens!I17341-base_fy)/n_conv)</f>
        <v>-0.0103289987920131</v>
      </c>
      <c r="J17401" s="7" t="n">
        <f aca="false">Sens!$E$17401+(glt_xbox-Sens!$E$17401)*MIN(1,(Sens!J17341-base_fy)/n_conv)</f>
        <v>0.00483550060399347</v>
      </c>
      <c r="K17401" s="7" t="n">
        <f aca="false">Sens!$E$17401+(glt_xbox-Sens!$E$17401)*MIN(1,(Sens!K17341-base_fy)/n_conv)</f>
        <v>0.02</v>
      </c>
    </row>
    <row r="17402" customFormat="false" ht="17.15" hidden="false" customHeight="false" outlineLevel="0" collapsed="false">
      <c r="A17402" s="0" t="s">
        <v>1043</v>
      </c>
      <c r="B17402" s="0" t="s">
        <v>98</v>
      </c>
      <c r="D17402" s="6" t="n">
        <f aca="false">Q!L15</f>
        <v>17.315</v>
      </c>
      <c r="E17402" s="6" t="n">
        <f aca="false">Q!M15</f>
        <v>17.087</v>
      </c>
      <c r="F17402" s="6" t="n">
        <f aca="false">Q!$I$15+(Q!M15-Q!$E$15)*(1+Sens!F17403)</f>
        <v>15.9912273250553</v>
      </c>
      <c r="G17402" s="6" t="n">
        <f aca="false">Sens!F17402*(1+Sens!G17403)</f>
        <v>15.9574562664827</v>
      </c>
      <c r="H17402" s="6" t="n">
        <f aca="false">Sens!G17402*(1+Sens!H17403)</f>
        <v>16.0119687434196</v>
      </c>
      <c r="I17402" s="6" t="n">
        <f aca="false">Sens!H17402*(1+Sens!I17403)</f>
        <v>16.1551810001948</v>
      </c>
      <c r="J17402" s="6" t="n">
        <f aca="false">Sens!I17402*(1+Sens!J17403)</f>
        <v>16.3889793892005</v>
      </c>
      <c r="K17402" s="6" t="n">
        <f aca="false">Sens!J17402*(1+Sens!K17403)</f>
        <v>16.7167589769845</v>
      </c>
      <c r="L17402" s="12" t="s">
        <v>1038</v>
      </c>
    </row>
    <row r="17403" customFormat="false" ht="15" hidden="false" customHeight="false" outlineLevel="0" collapsed="false">
      <c r="A17403" s="1" t="s">
        <v>1028</v>
      </c>
      <c r="B17403" s="0" t="s">
        <v>168</v>
      </c>
      <c r="E17403" s="7" t="n">
        <f aca="false">Sens!E17402/Sens!D17402-1</f>
        <v>-0.0131677736066995</v>
      </c>
      <c r="F17403" s="7" t="n">
        <f aca="false">Sens!$E$17403+(glt_win-Sens!$E$17403)*MIN(1,(Sens!F17341-base_fy)/n_conv)</f>
        <v>-0.00763981133891627</v>
      </c>
      <c r="G17403" s="7" t="n">
        <f aca="false">Sens!$E$17403+(glt_win-Sens!$E$17403)*MIN(1,(Sens!G17341-base_fy)/n_conv)</f>
        <v>-0.00211184907113301</v>
      </c>
      <c r="H17403" s="7" t="n">
        <f aca="false">Sens!$E$17403+(glt_win-Sens!$E$17403)*MIN(1,(Sens!H17341-base_fy)/n_conv)</f>
        <v>0.00341611319665024</v>
      </c>
      <c r="I17403" s="7" t="n">
        <f aca="false">Sens!$E$17403+(glt_win-Sens!$E$17403)*MIN(1,(Sens!I17341-base_fy)/n_conv)</f>
        <v>0.00894407546443349</v>
      </c>
      <c r="J17403" s="7" t="n">
        <f aca="false">Sens!$E$17403+(glt_win-Sens!$E$17403)*MIN(1,(Sens!J17341-base_fy)/n_conv)</f>
        <v>0.0144720377322168</v>
      </c>
      <c r="K17403" s="7" t="n">
        <f aca="false">Sens!$E$17403+(glt_win-Sens!$E$17403)*MIN(1,(Sens!K17341-base_fy)/n_conv)</f>
        <v>0.02</v>
      </c>
    </row>
    <row r="17404" customFormat="false" ht="15" hidden="false" customHeight="false" outlineLevel="0" collapsed="false">
      <c r="A17404" s="0" t="s">
        <v>870</v>
      </c>
      <c r="B17404" s="0" t="s">
        <v>98</v>
      </c>
      <c r="D17404" s="6" t="n">
        <f aca="false">Sens!D17398+Sens!D17400+Sens!D17402</f>
        <v>62.941</v>
      </c>
      <c r="E17404" s="6" t="n">
        <f aca="false">Sens!E17398+Sens!E17400+Sens!E17402</f>
        <v>63.712</v>
      </c>
      <c r="F17404" s="6" t="n">
        <f aca="false">Sens!F17398+Sens!F17400+Sens!F17402</f>
        <v>64.3025149952511</v>
      </c>
      <c r="G17404" s="6" t="n">
        <f aca="false">Sens!G17398+Sens!G17400+Sens!G17402</f>
        <v>66.2756719305292</v>
      </c>
      <c r="H17404" s="6" t="n">
        <f aca="false">Sens!H17398+Sens!H17400+Sens!H17402</f>
        <v>68.7139736271804</v>
      </c>
      <c r="I17404" s="6" t="n">
        <f aca="false">Sens!I17398+Sens!I17400+Sens!I17402</f>
        <v>71.5446393194289</v>
      </c>
      <c r="J17404" s="6" t="n">
        <f aca="false">Sens!J17398+Sens!J17400+Sens!J17402</f>
        <v>74.707035000971</v>
      </c>
      <c r="K17404" s="6" t="n">
        <f aca="false">Sens!K17398+Sens!K17400+Sens!K17402</f>
        <v>78.1524145698365</v>
      </c>
    </row>
    <row r="17405" customFormat="false" ht="15" hidden="false" customHeight="false" outlineLevel="0" collapsed="false">
      <c r="A17405" s="1" t="s">
        <v>1044</v>
      </c>
      <c r="B17405" s="0" t="s">
        <v>98</v>
      </c>
      <c r="D17405" s="6" t="n">
        <f aca="false">Sens!D17397+Sens!D17404</f>
        <v>281.724</v>
      </c>
      <c r="E17405" s="6" t="n">
        <f aca="false">Sens!E17397+Sens!E17404</f>
        <v>331.839</v>
      </c>
      <c r="F17405" s="6" t="n">
        <f aca="false">Sens!F17397+Sens!F17404</f>
        <v>399.050611009588</v>
      </c>
      <c r="G17405" s="6" t="n">
        <f aca="false">Sens!G17397+Sens!G17404</f>
        <v>476.478106880219</v>
      </c>
      <c r="H17405" s="6" t="n">
        <f aca="false">Sens!H17397+Sens!H17404</f>
        <v>555.72683159012</v>
      </c>
      <c r="I17405" s="6" t="n">
        <f aca="false">Sens!I17397+Sens!I17404</f>
        <v>628.507568297893</v>
      </c>
      <c r="J17405" s="6" t="n">
        <f aca="false">Sens!J17397+Sens!J17404</f>
        <v>688.109036018095</v>
      </c>
      <c r="K17405" s="6" t="n">
        <f aca="false">Sens!K17397+Sens!K17404</f>
        <v>735.990005337455</v>
      </c>
    </row>
    <row r="17406" customFormat="false" ht="15" hidden="false" customHeight="false" outlineLevel="0" collapsed="false">
      <c r="A17406" s="26" t="s">
        <v>1045</v>
      </c>
      <c r="B17406" s="31" t="s">
        <v>98</v>
      </c>
      <c r="C17406" s="31"/>
      <c r="D17406" s="27" t="n">
        <f aca="false">(Sens!D17385+Sens!D17390+Sens!D17391+Sens!D17393+Sens!D17395-Sens!D17397)+(Sens!D17398+Sens!D17400+Sens!D17402-Sens!D17404)+(Sens!D17397-Q!L5)+(Sens!D17404-Q!L12)+(Sens!D17385-Q!L6)+(Sens!D17390-Q!L7)</f>
        <v>0</v>
      </c>
      <c r="E17406" s="27" t="n">
        <f aca="false">(Sens!E17385+Sens!E17390+Sens!E17391+Sens!E17393+Sens!E17395-Sens!E17397)+(Sens!E17398+Sens!E17400+Sens!E17402-Sens!E17404)+(Sens!E17397-Q!M5)+(Sens!E17404-Q!M12)+(Sens!E17385-Q!M6)+(Sens!E17390-Q!M7)</f>
        <v>0</v>
      </c>
      <c r="F17406" s="27" t="n">
        <f aca="false">(Sens!F17385+Sens!F17390+Sens!F17391+Sens!F17393+Sens!F17395-Sens!F17397)+(Sens!F17398+Sens!F17400+Sens!F17402-Sens!F17404)</f>
        <v>0</v>
      </c>
      <c r="G17406" s="27" t="n">
        <f aca="false">(Sens!G17385+Sens!G17390+Sens!G17391+Sens!G17393+Sens!G17395-Sens!G17397)+(Sens!G17398+Sens!G17400+Sens!G17402-Sens!G17404)</f>
        <v>0</v>
      </c>
      <c r="H17406" s="27" t="n">
        <f aca="false">(Sens!H17385+Sens!H17390+Sens!H17391+Sens!H17393+Sens!H17395-Sens!H17397)+(Sens!H17398+Sens!H17400+Sens!H17402-Sens!H17404)</f>
        <v>0</v>
      </c>
      <c r="I17406" s="27" t="n">
        <f aca="false">(Sens!I17385+Sens!I17390+Sens!I17391+Sens!I17393+Sens!I17395-Sens!I17397)+(Sens!I17398+Sens!I17400+Sens!I17402-Sens!I17404)</f>
        <v>0</v>
      </c>
      <c r="J17406" s="27" t="n">
        <f aca="false">(Sens!J17385+Sens!J17390+Sens!J17391+Sens!J17393+Sens!J17395-Sens!J17397)+(Sens!J17398+Sens!J17400+Sens!J17402-Sens!J17404)</f>
        <v>0</v>
      </c>
      <c r="K17406" s="27" t="n">
        <f aca="false">(Sens!K17385+Sens!K17390+Sens!K17391+Sens!K17393+Sens!K17395-Sens!K17397)+(Sens!K17398+Sens!K17400+Sens!K17402-Sens!K17404)</f>
        <v>0</v>
      </c>
    </row>
    <row r="17407" customFormat="false" ht="17.15" hidden="false" customHeight="false" outlineLevel="0" collapsed="false">
      <c r="A17407" s="3" t="s">
        <v>2041</v>
      </c>
    </row>
    <row r="17408" customFormat="false" ht="15" hidden="false" customHeight="false" outlineLevel="0" collapsed="false">
      <c r="A17408" s="4" t="s">
        <v>43</v>
      </c>
      <c r="B17408" s="4" t="s">
        <v>65</v>
      </c>
      <c r="C17408" s="23" t="s">
        <v>942</v>
      </c>
      <c r="D17408" s="23" t="s">
        <v>943</v>
      </c>
      <c r="E17408" s="23" t="s">
        <v>944</v>
      </c>
      <c r="F17408" s="23" t="s">
        <v>945</v>
      </c>
      <c r="G17408" s="23" t="s">
        <v>946</v>
      </c>
      <c r="H17408" s="23" t="s">
        <v>947</v>
      </c>
      <c r="I17408" s="23" t="s">
        <v>948</v>
      </c>
      <c r="J17408" s="23" t="s">
        <v>949</v>
      </c>
      <c r="K17408" s="23" t="s">
        <v>950</v>
      </c>
      <c r="L17408" s="4" t="s">
        <v>47</v>
      </c>
    </row>
    <row r="17409" customFormat="false" ht="15" hidden="false" customHeight="false" outlineLevel="0" collapsed="false">
      <c r="A17409" s="0" t="s">
        <v>1029</v>
      </c>
      <c r="B17409" s="0" t="s">
        <v>98</v>
      </c>
      <c r="D17409" s="6" t="n">
        <f aca="false">Sens!D17385</f>
        <v>72.61</v>
      </c>
      <c r="E17409" s="6" t="n">
        <f aca="false">Sens!E17385</f>
        <v>101.938</v>
      </c>
      <c r="F17409" s="6" t="n">
        <f aca="false">Sens!F17385</f>
        <v>146.709048000181</v>
      </c>
      <c r="G17409" s="6" t="n">
        <f aca="false">Sens!G17385</f>
        <v>199.762829861393</v>
      </c>
      <c r="H17409" s="6" t="n">
        <f aca="false">Sens!H17385</f>
        <v>254.146566109645</v>
      </c>
      <c r="I17409" s="6" t="n">
        <f aca="false">Sens!I17385</f>
        <v>303.439446964617</v>
      </c>
      <c r="J17409" s="6" t="n">
        <f aca="false">Sens!J17385</f>
        <v>341.309898459739</v>
      </c>
      <c r="K17409" s="6" t="n">
        <f aca="false">Sens!K17385</f>
        <v>368.09747789654</v>
      </c>
    </row>
    <row r="17410" customFormat="false" ht="17.15" hidden="false" customHeight="false" outlineLevel="0" collapsed="false">
      <c r="A17410" s="0" t="s">
        <v>1025</v>
      </c>
      <c r="B17410" s="0" t="s">
        <v>98</v>
      </c>
      <c r="D17410" s="6" t="n">
        <f aca="false">Sens!D17382</f>
        <v>12.9359794422418</v>
      </c>
      <c r="E17410" s="6" t="n">
        <f aca="false">Sens!E17382</f>
        <v>27.8095064661409</v>
      </c>
      <c r="F17410" s="6" t="n">
        <f aca="false">Sens!F17382</f>
        <v>55.4118315060966</v>
      </c>
      <c r="G17410" s="6" t="n">
        <f aca="false">Sens!G17382</f>
        <v>91.2881100675143</v>
      </c>
      <c r="H17410" s="6" t="n">
        <f aca="false">Sens!H17382</f>
        <v>128.195273603944</v>
      </c>
      <c r="I17410" s="6" t="n">
        <f aca="false">Sens!I17382</f>
        <v>160.601281810405</v>
      </c>
      <c r="J17410" s="6" t="n">
        <f aca="false">Sens!J17382</f>
        <v>183.182719793589</v>
      </c>
      <c r="K17410" s="6" t="n">
        <f aca="false">Sens!K17382</f>
        <v>197.320124937098</v>
      </c>
    </row>
    <row r="17411" customFormat="false" ht="17.15" hidden="false" customHeight="false" outlineLevel="0" collapsed="false">
      <c r="A17411" s="0" t="s">
        <v>1056</v>
      </c>
      <c r="B17411" s="0" t="s">
        <v>98</v>
      </c>
      <c r="D17411" s="6" t="n">
        <f aca="false">Sens!D17383</f>
        <v>59.6740205577583</v>
      </c>
      <c r="E17411" s="6" t="n">
        <f aca="false">Sens!E17383</f>
        <v>74.1284935338591</v>
      </c>
      <c r="F17411" s="6" t="n">
        <f aca="false">Sens!F17383</f>
        <v>91.2972164940844</v>
      </c>
      <c r="G17411" s="6" t="n">
        <f aca="false">Sens!G17383</f>
        <v>108.474719793879</v>
      </c>
      <c r="H17411" s="6" t="n">
        <f aca="false">Sens!H17383</f>
        <v>125.951292505701</v>
      </c>
      <c r="I17411" s="6" t="n">
        <f aca="false">Sens!I17383</f>
        <v>142.838165154212</v>
      </c>
      <c r="J17411" s="6" t="n">
        <f aca="false">Sens!J17383</f>
        <v>158.12717866615</v>
      </c>
      <c r="K17411" s="6" t="n">
        <f aca="false">Sens!K17383</f>
        <v>170.777352959442</v>
      </c>
    </row>
    <row r="17412" customFormat="false" ht="15" hidden="false" customHeight="false" outlineLevel="0" collapsed="false">
      <c r="A17412" s="0" t="s">
        <v>1036</v>
      </c>
      <c r="B17412" s="0" t="s">
        <v>98</v>
      </c>
      <c r="D17412" s="6" t="n">
        <f aca="false">Sens!D17390</f>
        <v>84.605</v>
      </c>
      <c r="E17412" s="6" t="n">
        <f aca="false">Sens!E17390</f>
        <v>100.299</v>
      </c>
      <c r="F17412" s="6" t="n">
        <f aca="false">Sens!F17390</f>
        <v>118.584003697747</v>
      </c>
      <c r="G17412" s="6" t="n">
        <f aca="false">Sens!G17390</f>
        <v>136.700726545688</v>
      </c>
      <c r="H17412" s="6" t="n">
        <f aca="false">Sens!H17390</f>
        <v>154.898624783666</v>
      </c>
      <c r="I17412" s="6" t="n">
        <f aca="false">Sens!I17390</f>
        <v>171.420510030657</v>
      </c>
      <c r="J17412" s="6" t="n">
        <f aca="false">Sens!J17390</f>
        <v>185.985722618572</v>
      </c>
      <c r="K17412" s="6" t="n">
        <f aca="false">Sens!K17390</f>
        <v>199.799723201872</v>
      </c>
    </row>
    <row r="17413" customFormat="false" ht="17.15" hidden="false" customHeight="false" outlineLevel="0" collapsed="false">
      <c r="A17413" s="0" t="s">
        <v>1057</v>
      </c>
      <c r="B17413" s="0" t="s">
        <v>98</v>
      </c>
      <c r="D17413" s="6" t="n">
        <f aca="false">Sens!D17388</f>
        <v>83.705</v>
      </c>
      <c r="E17413" s="6" t="n">
        <f aca="false">Sens!E17388</f>
        <v>95.049</v>
      </c>
      <c r="F17413" s="6" t="n">
        <f aca="false">Sens!F17388</f>
        <v>106.584003697747</v>
      </c>
      <c r="G17413" s="6" t="n">
        <f aca="false">Sens!G17388</f>
        <v>118.700726545688</v>
      </c>
      <c r="H17413" s="6" t="n">
        <f aca="false">Sens!H17388</f>
        <v>130.898624783666</v>
      </c>
      <c r="I17413" s="6" t="n">
        <f aca="false">Sens!I17388</f>
        <v>142.920510030657</v>
      </c>
      <c r="J17413" s="6" t="n">
        <f aca="false">Sens!J17388</f>
        <v>154.485722618572</v>
      </c>
      <c r="K17413" s="6" t="n">
        <f aca="false">Sens!K17388</f>
        <v>165.299723201872</v>
      </c>
    </row>
    <row r="17414" customFormat="false" ht="17.15" hidden="false" customHeight="false" outlineLevel="0" collapsed="false">
      <c r="A17414" s="0" t="s">
        <v>1058</v>
      </c>
      <c r="B17414" s="0" t="s">
        <v>98</v>
      </c>
      <c r="D17414" s="6" t="n">
        <f aca="false">Sens!D17387</f>
        <v>0.9</v>
      </c>
      <c r="E17414" s="6" t="n">
        <f aca="false">Sens!E17387</f>
        <v>5.25</v>
      </c>
      <c r="F17414" s="6" t="n">
        <f aca="false">Sens!F17387</f>
        <v>12</v>
      </c>
      <c r="G17414" s="6" t="n">
        <f aca="false">Sens!G17387</f>
        <v>18</v>
      </c>
      <c r="H17414" s="6" t="n">
        <f aca="false">Sens!H17387</f>
        <v>24</v>
      </c>
      <c r="I17414" s="6" t="n">
        <f aca="false">Sens!I17387</f>
        <v>28.5</v>
      </c>
      <c r="J17414" s="6" t="n">
        <f aca="false">Sens!J17387</f>
        <v>31.5</v>
      </c>
      <c r="K17414" s="6" t="n">
        <f aca="false">Sens!K17387</f>
        <v>34.5</v>
      </c>
    </row>
    <row r="17415" customFormat="false" ht="15" hidden="false" customHeight="false" outlineLevel="0" collapsed="false">
      <c r="A17415" s="0" t="s">
        <v>1037</v>
      </c>
      <c r="B17415" s="0" t="s">
        <v>98</v>
      </c>
      <c r="D17415" s="6" t="n">
        <f aca="false">Sens!D17391</f>
        <v>35.391</v>
      </c>
      <c r="E17415" s="6" t="n">
        <f aca="false">Sens!E17391</f>
        <v>37.285</v>
      </c>
      <c r="F17415" s="6" t="n">
        <f aca="false">Sens!F17391</f>
        <v>38.3851437782675</v>
      </c>
      <c r="G17415" s="6" t="n">
        <f aca="false">Sens!G17391</f>
        <v>40.0105353288615</v>
      </c>
      <c r="H17415" s="6" t="n">
        <f aca="false">Sens!H17391</f>
        <v>41.4812512033683</v>
      </c>
      <c r="I17415" s="6" t="n">
        <f aca="false">Sens!I17391</f>
        <v>42.7743107216329</v>
      </c>
      <c r="J17415" s="6" t="n">
        <f aca="false">Sens!J17391</f>
        <v>43.8687373064601</v>
      </c>
      <c r="K17415" s="6" t="n">
        <f aca="false">Sens!K17391</f>
        <v>44.7461120525893</v>
      </c>
    </row>
    <row r="17416" customFormat="false" ht="15" hidden="false" customHeight="false" outlineLevel="0" collapsed="false">
      <c r="A17416" s="0" t="s">
        <v>1039</v>
      </c>
      <c r="B17416" s="0" t="s">
        <v>98</v>
      </c>
      <c r="D17416" s="6" t="n">
        <f aca="false">Sens!D17393</f>
        <v>18.417</v>
      </c>
      <c r="E17416" s="6" t="n">
        <f aca="false">Sens!E17393</f>
        <v>20.345</v>
      </c>
      <c r="F17416" s="6" t="n">
        <f aca="false">Sens!F17393</f>
        <v>22.3161797133988</v>
      </c>
      <c r="G17416" s="6" t="n">
        <f aca="false">Sens!G17393</f>
        <v>24.3943499673233</v>
      </c>
      <c r="H17416" s="6" t="n">
        <f aca="false">Sens!H17393</f>
        <v>26.5250243109019</v>
      </c>
      <c r="I17416" s="6" t="n">
        <f aca="false">Sens!I17393</f>
        <v>28.6884573538181</v>
      </c>
      <c r="J17416" s="6" t="n">
        <f aca="false">Sens!J17393</f>
        <v>30.8624968052127</v>
      </c>
      <c r="K17416" s="6" t="n">
        <f aca="false">Sens!K17393</f>
        <v>33.0228715815776</v>
      </c>
    </row>
    <row r="17417" customFormat="false" ht="15" hidden="false" customHeight="false" outlineLevel="0" collapsed="false">
      <c r="A17417" s="0" t="s">
        <v>1040</v>
      </c>
      <c r="B17417" s="0" t="s">
        <v>98</v>
      </c>
      <c r="D17417" s="6" t="n">
        <f aca="false">Sens!D17395</f>
        <v>7.76</v>
      </c>
      <c r="E17417" s="6" t="n">
        <f aca="false">Sens!E17395</f>
        <v>8.26</v>
      </c>
      <c r="F17417" s="6" t="n">
        <f aca="false">Sens!F17395</f>
        <v>8.75372082474227</v>
      </c>
      <c r="G17417" s="6" t="n">
        <f aca="false">Sens!G17395</f>
        <v>9.33399324642364</v>
      </c>
      <c r="H17417" s="6" t="n">
        <f aca="false">Sens!H17395</f>
        <v>9.96139155535851</v>
      </c>
      <c r="I17417" s="6" t="n">
        <f aca="false">Sens!I17395</f>
        <v>10.6402039077391</v>
      </c>
      <c r="J17417" s="6" t="n">
        <f aca="false">Sens!J17395</f>
        <v>11.3751458271397</v>
      </c>
      <c r="K17417" s="6" t="n">
        <f aca="false">Sens!K17395</f>
        <v>12.1714060350394</v>
      </c>
    </row>
    <row r="17418" customFormat="false" ht="15" hidden="false" customHeight="false" outlineLevel="0" collapsed="false">
      <c r="A17418" s="0" t="s">
        <v>856</v>
      </c>
      <c r="B17418" s="0" t="s">
        <v>98</v>
      </c>
      <c r="D17418" s="6" t="n">
        <f aca="false">Sens!D17397</f>
        <v>218.783</v>
      </c>
      <c r="E17418" s="6" t="n">
        <f aca="false">Sens!E17397</f>
        <v>268.127</v>
      </c>
      <c r="F17418" s="6" t="n">
        <f aca="false">Sens!F17397</f>
        <v>334.748096014336</v>
      </c>
      <c r="G17418" s="6" t="n">
        <f aca="false">Sens!G17397</f>
        <v>410.20243494969</v>
      </c>
      <c r="H17418" s="6" t="n">
        <f aca="false">Sens!H17397</f>
        <v>487.012857962939</v>
      </c>
      <c r="I17418" s="6" t="n">
        <f aca="false">Sens!I17397</f>
        <v>556.962928978464</v>
      </c>
      <c r="J17418" s="6" t="n">
        <f aca="false">Sens!J17397</f>
        <v>613.402001017124</v>
      </c>
      <c r="K17418" s="6" t="n">
        <f aca="false">Sens!K17397</f>
        <v>657.837590767618</v>
      </c>
    </row>
    <row r="17419" customFormat="false" ht="15" hidden="false" customHeight="false" outlineLevel="0" collapsed="false">
      <c r="A17419" s="0" t="s">
        <v>1041</v>
      </c>
      <c r="B17419" s="0" t="s">
        <v>98</v>
      </c>
      <c r="D17419" s="6" t="n">
        <f aca="false">Sens!D17398</f>
        <v>22.171</v>
      </c>
      <c r="E17419" s="6" t="n">
        <f aca="false">Sens!E17398</f>
        <v>24.835</v>
      </c>
      <c r="F17419" s="6" t="n">
        <f aca="false">Sens!F17398</f>
        <v>27.5591895660247</v>
      </c>
      <c r="G17419" s="6" t="n">
        <f aca="false">Sens!G17398</f>
        <v>30.4098563144583</v>
      </c>
      <c r="H17419" s="6" t="n">
        <f aca="false">Sens!H17398</f>
        <v>33.3011792571777</v>
      </c>
      <c r="I17419" s="6" t="n">
        <f aca="false">Sens!I17398</f>
        <v>36.189023797112</v>
      </c>
      <c r="J17419" s="6" t="n">
        <f aca="false">Sens!J17398</f>
        <v>39.0247773769199</v>
      </c>
      <c r="K17419" s="6" t="n">
        <f aca="false">Sens!K17398</f>
        <v>41.7565117933043</v>
      </c>
    </row>
    <row r="17420" customFormat="false" ht="15" hidden="false" customHeight="false" outlineLevel="0" collapsed="false">
      <c r="A17420" s="0" t="s">
        <v>1042</v>
      </c>
      <c r="B17420" s="0" t="s">
        <v>98</v>
      </c>
      <c r="D17420" s="6" t="n">
        <f aca="false">Sens!D17400</f>
        <v>23.455</v>
      </c>
      <c r="E17420" s="6" t="n">
        <f aca="false">Sens!E17400</f>
        <v>21.79</v>
      </c>
      <c r="F17420" s="6" t="n">
        <f aca="false">Sens!F17400</f>
        <v>20.7520981041711</v>
      </c>
      <c r="G17420" s="6" t="n">
        <f aca="false">Sens!G17400</f>
        <v>19.9083593495882</v>
      </c>
      <c r="H17420" s="6" t="n">
        <f aca="false">Sens!H17400</f>
        <v>19.4008256265831</v>
      </c>
      <c r="I17420" s="6" t="n">
        <f aca="false">Sens!I17400</f>
        <v>19.200434522122</v>
      </c>
      <c r="J17420" s="6" t="n">
        <f aca="false">Sens!J17400</f>
        <v>19.2932782348507</v>
      </c>
      <c r="K17420" s="6" t="n">
        <f aca="false">Sens!K17400</f>
        <v>19.6791437995477</v>
      </c>
    </row>
    <row r="17421" customFormat="false" ht="15" hidden="false" customHeight="false" outlineLevel="0" collapsed="false">
      <c r="A17421" s="0" t="s">
        <v>1043</v>
      </c>
      <c r="B17421" s="0" t="s">
        <v>98</v>
      </c>
      <c r="D17421" s="6" t="n">
        <f aca="false">Sens!D17402</f>
        <v>17.315</v>
      </c>
      <c r="E17421" s="6" t="n">
        <f aca="false">Sens!E17402</f>
        <v>17.087</v>
      </c>
      <c r="F17421" s="6" t="n">
        <f aca="false">Sens!F17402</f>
        <v>15.9912273250553</v>
      </c>
      <c r="G17421" s="6" t="n">
        <f aca="false">Sens!G17402</f>
        <v>15.9574562664827</v>
      </c>
      <c r="H17421" s="6" t="n">
        <f aca="false">Sens!H17402</f>
        <v>16.0119687434196</v>
      </c>
      <c r="I17421" s="6" t="n">
        <f aca="false">Sens!I17402</f>
        <v>16.1551810001948</v>
      </c>
      <c r="J17421" s="6" t="n">
        <f aca="false">Sens!J17402</f>
        <v>16.3889793892005</v>
      </c>
      <c r="K17421" s="6" t="n">
        <f aca="false">Sens!K17402</f>
        <v>16.7167589769845</v>
      </c>
    </row>
    <row r="17422" customFormat="false" ht="15" hidden="false" customHeight="false" outlineLevel="0" collapsed="false">
      <c r="A17422" s="0" t="s">
        <v>870</v>
      </c>
      <c r="B17422" s="0" t="s">
        <v>98</v>
      </c>
      <c r="D17422" s="6" t="n">
        <f aca="false">Sens!D17404</f>
        <v>62.941</v>
      </c>
      <c r="E17422" s="6" t="n">
        <f aca="false">Sens!E17404</f>
        <v>63.712</v>
      </c>
      <c r="F17422" s="6" t="n">
        <f aca="false">Sens!F17404</f>
        <v>64.3025149952511</v>
      </c>
      <c r="G17422" s="6" t="n">
        <f aca="false">Sens!G17404</f>
        <v>66.2756719305292</v>
      </c>
      <c r="H17422" s="6" t="n">
        <f aca="false">Sens!H17404</f>
        <v>68.7139736271804</v>
      </c>
      <c r="I17422" s="6" t="n">
        <f aca="false">Sens!I17404</f>
        <v>71.5446393194289</v>
      </c>
      <c r="J17422" s="6" t="n">
        <f aca="false">Sens!J17404</f>
        <v>74.707035000971</v>
      </c>
      <c r="K17422" s="6" t="n">
        <f aca="false">Sens!K17404</f>
        <v>78.1524145698365</v>
      </c>
    </row>
    <row r="17423" customFormat="false" ht="15" hidden="false" customHeight="false" outlineLevel="0" collapsed="false">
      <c r="A17423" s="1" t="s">
        <v>1059</v>
      </c>
      <c r="B17423" s="0" t="s">
        <v>98</v>
      </c>
      <c r="D17423" s="6" t="n">
        <f aca="false">Sens!D17405</f>
        <v>281.724</v>
      </c>
      <c r="E17423" s="6" t="n">
        <f aca="false">Sens!E17405</f>
        <v>331.839</v>
      </c>
      <c r="F17423" s="6" t="n">
        <f aca="false">Sens!F17405</f>
        <v>399.050611009588</v>
      </c>
      <c r="G17423" s="6" t="n">
        <f aca="false">Sens!G17405</f>
        <v>476.478106880219</v>
      </c>
      <c r="H17423" s="6" t="n">
        <f aca="false">Sens!H17405</f>
        <v>555.72683159012</v>
      </c>
      <c r="I17423" s="6" t="n">
        <f aca="false">Sens!I17405</f>
        <v>628.507568297893</v>
      </c>
      <c r="J17423" s="6" t="n">
        <f aca="false">Sens!J17405</f>
        <v>688.109036018095</v>
      </c>
      <c r="K17423" s="6" t="n">
        <f aca="false">Sens!K17405</f>
        <v>735.990005337455</v>
      </c>
    </row>
    <row r="17424" customFormat="false" ht="15" hidden="false" customHeight="false" outlineLevel="0" collapsed="false">
      <c r="A17424" s="1" t="s">
        <v>1060</v>
      </c>
      <c r="B17424" s="0" t="s">
        <v>168</v>
      </c>
      <c r="E17424" s="7" t="n">
        <f aca="false">Sens!E17423/Sens!D17423-1</f>
        <v>0.177886867998467</v>
      </c>
      <c r="F17424" s="7" t="n">
        <f aca="false">Sens!F17423/Sens!E17423-1</f>
        <v>0.202542832547071</v>
      </c>
      <c r="G17424" s="7" t="n">
        <f aca="false">Sens!G17423/Sens!F17423-1</f>
        <v>0.194029262791359</v>
      </c>
      <c r="H17424" s="7" t="n">
        <f aca="false">Sens!H17423/Sens!G17423-1</f>
        <v>0.166321859421387</v>
      </c>
      <c r="I17424" s="7" t="n">
        <f aca="false">Sens!I17423/Sens!H17423-1</f>
        <v>0.13096494999085</v>
      </c>
      <c r="J17424" s="7" t="n">
        <f aca="false">Sens!J17423/Sens!I17423-1</f>
        <v>0.0948301511811749</v>
      </c>
      <c r="K17424" s="7" t="n">
        <f aca="false">Sens!K17423/Sens!J17423-1</f>
        <v>0.0695834043924704</v>
      </c>
    </row>
    <row r="17425" customFormat="false" ht="17.15" hidden="false" customHeight="false" outlineLevel="0" collapsed="false">
      <c r="A17425" s="26" t="s">
        <v>1061</v>
      </c>
      <c r="B17425" s="31" t="s">
        <v>98</v>
      </c>
      <c r="C17425" s="31"/>
      <c r="D17425" s="27" t="n">
        <f aca="false">(Sens!D17418+Sens!D17422-Sens!D17423)+(Sens!D17410+Sens!D17411-Sens!D17409)+(Sens!D17413+Sens!D17414-Sens!D17412)+(Sens!D17423-Q!L18)</f>
        <v>0</v>
      </c>
      <c r="E17425" s="27" t="n">
        <f aca="false">(Sens!E17418+Sens!E17422-Sens!E17423)+(Sens!E17410+Sens!E17411-Sens!E17409)+(Sens!E17413+Sens!E17414-Sens!E17412)+(Sens!E17423-Q!M18)</f>
        <v>0</v>
      </c>
      <c r="F17425" s="27" t="n">
        <f aca="false">(Sens!F17418+Sens!F17422-Sens!F17423)+(Sens!F17410+Sens!F17411-Sens!F17409)+(Sens!F17413+Sens!F17414-Sens!F17412)</f>
        <v>0</v>
      </c>
      <c r="G17425" s="27" t="n">
        <f aca="false">(Sens!G17418+Sens!G17422-Sens!G17423)+(Sens!G17410+Sens!G17411-Sens!G17409)+(Sens!G17413+Sens!G17414-Sens!G17412)</f>
        <v>0</v>
      </c>
      <c r="H17425" s="27" t="n">
        <f aca="false">(Sens!H17418+Sens!H17422-Sens!H17423)+(Sens!H17410+Sens!H17411-Sens!H17409)+(Sens!H17413+Sens!H17414-Sens!H17412)</f>
        <v>0</v>
      </c>
      <c r="I17425" s="27" t="n">
        <f aca="false">(Sens!I17418+Sens!I17422-Sens!I17423)+(Sens!I17410+Sens!I17411-Sens!I17409)+(Sens!I17413+Sens!I17414-Sens!I17412)</f>
        <v>0</v>
      </c>
      <c r="J17425" s="27" t="n">
        <f aca="false">(Sens!J17418+Sens!J17422-Sens!J17423)+(Sens!J17410+Sens!J17411-Sens!J17409)+(Sens!J17413+Sens!J17414-Sens!J17412)</f>
        <v>0</v>
      </c>
      <c r="K17425" s="27" t="n">
        <f aca="false">(Sens!K17418+Sens!K17422-Sens!K17423)+(Sens!K17410+Sens!K17411-Sens!K17409)+(Sens!K17413+Sens!K17414-Sens!K17412)</f>
        <v>0</v>
      </c>
    </row>
    <row r="17426" customFormat="false" ht="17.15" hidden="false" customHeight="false" outlineLevel="0" collapsed="false">
      <c r="A17426" s="0" t="s">
        <v>1062</v>
      </c>
      <c r="B17426" s="0" t="s">
        <v>168</v>
      </c>
      <c r="E17426" s="7" t="n">
        <f aca="false">(Q!M21+Sens!E17362+Sens!E17363+Sens!E17364+Sens!E17378-Sens!E17360)/(Q!M5-Sens!E17360)</f>
        <v>0.570957350878296</v>
      </c>
      <c r="F17426" s="7" t="n">
        <f aca="false">Sens!$E$17426+dm_seg</f>
        <v>0.570957350878296</v>
      </c>
      <c r="G17426" s="7" t="n">
        <f aca="false">Sens!$E$17426+dm_seg</f>
        <v>0.570957350878296</v>
      </c>
      <c r="H17426" s="7" t="n">
        <f aca="false">Sens!$E$17426+dm_seg</f>
        <v>0.570957350878296</v>
      </c>
      <c r="I17426" s="7" t="n">
        <f aca="false">Sens!$E$17426+dm_seg</f>
        <v>0.570957350878296</v>
      </c>
      <c r="J17426" s="7" t="n">
        <f aca="false">Sens!$E$17426+dm_seg</f>
        <v>0.570957350878296</v>
      </c>
      <c r="K17426" s="7" t="n">
        <f aca="false">Sens!$E$17426+dm_seg</f>
        <v>0.570957350878296</v>
      </c>
      <c r="L17426" s="12" t="s">
        <v>1063</v>
      </c>
    </row>
    <row r="17427" customFormat="false" ht="17.15" hidden="false" customHeight="false" outlineLevel="0" collapsed="false">
      <c r="A17427" s="0" t="s">
        <v>884</v>
      </c>
      <c r="B17427" s="0" t="s">
        <v>98</v>
      </c>
      <c r="D17427" s="6" t="n">
        <f aca="false">Q!L21</f>
        <v>110.814</v>
      </c>
      <c r="E17427" s="6" t="n">
        <f aca="false">Q!M21</f>
        <v>136.365</v>
      </c>
      <c r="F17427" s="6" t="n">
        <f aca="false">Q!$I$21+(Sens!F17426*(Sens!F17397-Sens!F17360)+Sens!F17360-(Sens!F17362+Sens!F17363+Sens!F17364)-Sens!F17378-Sens!F17461)*(Sens!F17397-Q!$I$5)/Sens!F17397</f>
        <v>162.089888657</v>
      </c>
      <c r="G17427" s="6" t="n">
        <f aca="false">(Sens!G17426*(Sens!G17397-Sens!G17360)+Sens!G17360-(Sens!G17362+Sens!G17363+Sens!G17364)-Sens!G17378-Sens!G17461)</f>
        <v>177.568904956673</v>
      </c>
      <c r="H17427" s="6" t="n">
        <f aca="false">(Sens!H17426*(Sens!H17397-Sens!H17360)+Sens!H17360-(Sens!H17362+Sens!H17363+Sens!H17364)-Sens!H17378-Sens!H17461)</f>
        <v>196.76368759427</v>
      </c>
      <c r="I17427" s="6" t="n">
        <f aca="false">(Sens!I17426*(Sens!I17397-Sens!I17360)+Sens!I17360-(Sens!I17362+Sens!I17363+Sens!I17364)-Sens!I17378-Sens!I17461)</f>
        <v>214.975584572623</v>
      </c>
      <c r="J17427" s="6" t="n">
        <f aca="false">(Sens!J17426*(Sens!J17397-Sens!J17360)+Sens!J17360-(Sens!J17362+Sens!J17363+Sens!J17364)-Sens!J17378-Sens!J17461)</f>
        <v>231.957077796371</v>
      </c>
      <c r="K17427" s="6" t="n">
        <f aca="false">(Sens!K17426*(Sens!K17397-Sens!K17360)+Sens!K17360-(Sens!K17362+Sens!K17363+Sens!K17364)-Sens!K17378-Sens!K17461)</f>
        <v>248.339747438173</v>
      </c>
      <c r="L17427" s="1" t="s">
        <v>1064</v>
      </c>
    </row>
    <row r="17428" customFormat="false" ht="17.15" hidden="false" customHeight="false" outlineLevel="0" collapsed="false">
      <c r="A17428" s="0" t="s">
        <v>1065</v>
      </c>
      <c r="B17428" s="0" t="s">
        <v>168</v>
      </c>
      <c r="E17428" s="7" t="n">
        <f aca="false">Q!M22/Q!M12</f>
        <v>0.296207935710698</v>
      </c>
      <c r="F17428" s="7" t="n">
        <f aca="false">Sens!$E$17428+dm_seg</f>
        <v>0.296207935710698</v>
      </c>
      <c r="G17428" s="7" t="n">
        <f aca="false">Sens!$E$17428+dm_seg</f>
        <v>0.296207935710698</v>
      </c>
      <c r="H17428" s="7" t="n">
        <f aca="false">Sens!$E$17428+dm_seg</f>
        <v>0.296207935710698</v>
      </c>
      <c r="I17428" s="7" t="n">
        <f aca="false">Sens!$E$17428+dm_seg</f>
        <v>0.296207935710698</v>
      </c>
      <c r="J17428" s="7" t="n">
        <f aca="false">Sens!$E$17428+dm_seg</f>
        <v>0.296207935710698</v>
      </c>
      <c r="K17428" s="7" t="n">
        <f aca="false">Sens!$E$17428+dm_seg</f>
        <v>0.296207935710698</v>
      </c>
      <c r="L17428" s="12" t="s">
        <v>1066</v>
      </c>
    </row>
    <row r="17429" customFormat="false" ht="17.15" hidden="false" customHeight="false" outlineLevel="0" collapsed="false">
      <c r="A17429" s="0" t="s">
        <v>886</v>
      </c>
      <c r="B17429" s="0" t="s">
        <v>98</v>
      </c>
      <c r="D17429" s="6" t="n">
        <f aca="false">Q!L22</f>
        <v>17.714</v>
      </c>
      <c r="E17429" s="6" t="n">
        <f aca="false">Q!M22</f>
        <v>18.872</v>
      </c>
      <c r="F17429" s="6" t="n">
        <f aca="false">Q!$I$22+(Sens!F17404-Q!$I$12)*Sens!F17428</f>
        <v>19.8174315512051</v>
      </c>
      <c r="G17429" s="6" t="n">
        <f aca="false">Sens!G17404*Sens!G17428</f>
        <v>19.6313799703815</v>
      </c>
      <c r="H17429" s="6" t="n">
        <f aca="false">Sens!H17404*Sens!H17428</f>
        <v>20.3536242825865</v>
      </c>
      <c r="I17429" s="6" t="n">
        <f aca="false">Sens!I17404*Sens!I17428</f>
        <v>21.1920899239745</v>
      </c>
      <c r="J17429" s="6" t="n">
        <f aca="false">Sens!J17404*Sens!J17428</f>
        <v>22.1288166207045</v>
      </c>
      <c r="K17429" s="6" t="n">
        <f aca="false">Sens!K17404*Sens!K17428</f>
        <v>23.1493653905379</v>
      </c>
      <c r="L17429" s="12" t="s">
        <v>1067</v>
      </c>
    </row>
    <row r="17430" customFormat="false" ht="15" hidden="false" customHeight="false" outlineLevel="0" collapsed="false">
      <c r="A17430" s="1" t="s">
        <v>1068</v>
      </c>
      <c r="B17430" s="0" t="s">
        <v>98</v>
      </c>
      <c r="D17430" s="6" t="n">
        <f aca="false">Sens!D17427+Sens!D17429</f>
        <v>128.528</v>
      </c>
      <c r="E17430" s="6" t="n">
        <f aca="false">Sens!E17427+Sens!E17429</f>
        <v>155.237</v>
      </c>
      <c r="F17430" s="6" t="n">
        <f aca="false">Sens!F17427+Sens!F17429</f>
        <v>181.907320208205</v>
      </c>
      <c r="G17430" s="6" t="n">
        <f aca="false">Sens!G17427+Sens!G17429</f>
        <v>197.200284927055</v>
      </c>
      <c r="H17430" s="6" t="n">
        <f aca="false">Sens!H17427+Sens!H17429</f>
        <v>217.117311876857</v>
      </c>
      <c r="I17430" s="6" t="n">
        <f aca="false">Sens!I17427+Sens!I17429</f>
        <v>236.167674496598</v>
      </c>
      <c r="J17430" s="6" t="n">
        <f aca="false">Sens!J17427+Sens!J17429</f>
        <v>254.085894417075</v>
      </c>
      <c r="K17430" s="6" t="n">
        <f aca="false">Sens!K17427+Sens!K17429</f>
        <v>271.489112828711</v>
      </c>
    </row>
    <row r="17431" customFormat="false" ht="15" hidden="false" customHeight="false" outlineLevel="0" collapsed="false">
      <c r="A17431" s="26" t="s">
        <v>1069</v>
      </c>
      <c r="B17431" s="31" t="s">
        <v>98</v>
      </c>
      <c r="C17431" s="31"/>
      <c r="D17431" s="27" t="n">
        <f aca="false">Sens!D17430-Q!L23</f>
        <v>0</v>
      </c>
      <c r="E17431" s="27" t="n">
        <f aca="false">Sens!E17430-Q!M23</f>
        <v>0</v>
      </c>
      <c r="F17431" s="31"/>
      <c r="G17431" s="31"/>
      <c r="H17431" s="31"/>
      <c r="I17431" s="31"/>
      <c r="J17431" s="31"/>
      <c r="K17431" s="31"/>
    </row>
    <row r="17432" customFormat="false" ht="15" hidden="false" customHeight="false" outlineLevel="0" collapsed="false">
      <c r="A17432" s="1" t="s">
        <v>1070</v>
      </c>
      <c r="B17432" s="0" t="s">
        <v>168</v>
      </c>
      <c r="D17432" s="7" t="n">
        <f aca="false">Sens!D17430/Sens!D17423</f>
        <v>0.456219562408598</v>
      </c>
      <c r="E17432" s="7" t="n">
        <f aca="false">Sens!E17430/Sens!E17423</f>
        <v>0.467808184089272</v>
      </c>
      <c r="F17432" s="7" t="n">
        <f aca="false">Sens!F17430/Sens!F17423</f>
        <v>0.455850248538611</v>
      </c>
      <c r="G17432" s="7" t="n">
        <f aca="false">Sens!G17430/Sens!G17423</f>
        <v>0.413870610379647</v>
      </c>
      <c r="H17432" s="7" t="n">
        <f aca="false">Sens!H17430/Sens!H17423</f>
        <v>0.390690712657533</v>
      </c>
      <c r="I17432" s="7" t="n">
        <f aca="false">Sens!I17430/Sens!I17423</f>
        <v>0.375759475953775</v>
      </c>
      <c r="J17432" s="7" t="n">
        <f aca="false">Sens!J17430/Sens!J17423</f>
        <v>0.369252372977695</v>
      </c>
      <c r="K17432" s="7" t="n">
        <f aca="false">Sens!K17430/Sens!K17423</f>
        <v>0.36887608644119</v>
      </c>
    </row>
    <row r="17433" customFormat="false" ht="17.15" hidden="false" customHeight="false" outlineLevel="0" collapsed="false">
      <c r="A17433" s="1" t="s">
        <v>1071</v>
      </c>
      <c r="B17433" s="0" t="s">
        <v>98</v>
      </c>
      <c r="F17433" s="6" t="n">
        <f aca="false">Sens!F17448</f>
        <v>9.7398427716299</v>
      </c>
      <c r="G17433" s="6" t="n">
        <f aca="false">Sens!G17448</f>
        <v>25.2753385959797</v>
      </c>
      <c r="H17433" s="6" t="n">
        <f aca="false">Sens!H17448</f>
        <v>42.2840253697948</v>
      </c>
      <c r="I17433" s="6" t="n">
        <f aca="false">Sens!I17448</f>
        <v>57.704943641581</v>
      </c>
      <c r="J17433" s="6" t="n">
        <f aca="false">Sens!J17448</f>
        <v>68.4828520908201</v>
      </c>
      <c r="K17433" s="6" t="n">
        <f aca="false">Sens!K17448</f>
        <v>74.3598374943249</v>
      </c>
      <c r="L17433" s="1" t="s">
        <v>1072</v>
      </c>
    </row>
    <row r="17434" customFormat="false" ht="17.15" hidden="false" customHeight="false" outlineLevel="0" collapsed="false">
      <c r="A17434" s="1" t="s">
        <v>1073</v>
      </c>
      <c r="B17434" s="0" t="s">
        <v>98</v>
      </c>
      <c r="D17434" s="6" t="n">
        <f aca="false">Sens!D17430</f>
        <v>128.528</v>
      </c>
      <c r="E17434" s="6" t="n">
        <f aca="false">Sens!E17430</f>
        <v>155.237</v>
      </c>
      <c r="F17434" s="6" t="n">
        <f aca="false">Sens!F17430+Sens!F17433</f>
        <v>191.647162979835</v>
      </c>
      <c r="G17434" s="6" t="n">
        <f aca="false">Sens!G17430+Sens!G17433</f>
        <v>222.475623523034</v>
      </c>
      <c r="H17434" s="6" t="n">
        <f aca="false">Sens!H17430+Sens!H17433</f>
        <v>259.401337246652</v>
      </c>
      <c r="I17434" s="6" t="n">
        <f aca="false">Sens!I17430+Sens!I17433</f>
        <v>293.872618138179</v>
      </c>
      <c r="J17434" s="6" t="n">
        <f aca="false">Sens!J17430+Sens!J17433</f>
        <v>322.568746507895</v>
      </c>
      <c r="K17434" s="6" t="n">
        <f aca="false">Sens!K17430+Sens!K17433</f>
        <v>345.848950323036</v>
      </c>
    </row>
    <row r="17435" customFormat="false" ht="17.15" hidden="false" customHeight="false" outlineLevel="0" collapsed="false">
      <c r="A17435" s="1" t="s">
        <v>1074</v>
      </c>
      <c r="B17435" s="0" t="s">
        <v>98</v>
      </c>
      <c r="E17435" s="6" t="n">
        <f aca="false">Sens!E17378</f>
        <v>16.3054059770833</v>
      </c>
      <c r="F17435" s="6" t="n">
        <f aca="false">Sens!F17378</f>
        <v>34.5793144783516</v>
      </c>
      <c r="G17435" s="6" t="n">
        <f aca="false">Sens!G17378</f>
        <v>60.7344906522989</v>
      </c>
      <c r="H17435" s="6" t="n">
        <f aca="false">Sens!H17378</f>
        <v>89.1000906614457</v>
      </c>
      <c r="I17435" s="6" t="n">
        <f aca="false">Sens!I17378</f>
        <v>114.231009694548</v>
      </c>
      <c r="J17435" s="6" t="n">
        <f aca="false">Sens!J17378</f>
        <v>132.015673049596</v>
      </c>
      <c r="K17435" s="6" t="n">
        <f aca="false">Sens!K17378</f>
        <v>143.012669550934</v>
      </c>
    </row>
    <row r="17436" customFormat="false" ht="17.15" hidden="false" customHeight="false" outlineLevel="0" collapsed="false">
      <c r="A17436" s="1" t="s">
        <v>1075</v>
      </c>
      <c r="B17436" s="0" t="s">
        <v>98</v>
      </c>
      <c r="E17436" s="6" t="n">
        <f aca="false">Sens!E17460</f>
        <v>22.2285940229167</v>
      </c>
      <c r="F17436" s="6" t="n">
        <f aca="false">Sens!F17460</f>
        <v>23.5803422705473</v>
      </c>
      <c r="G17436" s="6" t="n">
        <f aca="false">Sens!G17460</f>
        <v>25.3583487889173</v>
      </c>
      <c r="H17436" s="6" t="n">
        <f aca="false">Sens!H17460</f>
        <v>27.5285684068818</v>
      </c>
      <c r="I17436" s="6" t="n">
        <f aca="false">Sens!I17460</f>
        <v>30.0244509342793</v>
      </c>
      <c r="J17436" s="6" t="n">
        <f aca="false">Sens!J17460</f>
        <v>32.7625773200223</v>
      </c>
      <c r="K17436" s="6" t="n">
        <f aca="false">Sens!K17460</f>
        <v>35.6585672940919</v>
      </c>
    </row>
    <row r="17437" customFormat="false" ht="17.15" hidden="false" customHeight="false" outlineLevel="0" collapsed="false">
      <c r="A17437" s="1" t="s">
        <v>1076</v>
      </c>
      <c r="B17437" s="0" t="s">
        <v>98</v>
      </c>
      <c r="D17437" s="6" t="n">
        <f aca="false">Q!L27</f>
        <v>-4.901</v>
      </c>
      <c r="E17437" s="6" t="n">
        <f aca="false">Q!M27</f>
        <v>10.697</v>
      </c>
      <c r="F17437" s="6" t="n">
        <f aca="false">Q!$I$27+oie_f*(q_per_yr-1)/q_per_yr</f>
        <v>-0.862</v>
      </c>
      <c r="G17437" s="6" t="n">
        <f aca="false">oie_f</f>
        <v>-1.2</v>
      </c>
      <c r="H17437" s="6" t="n">
        <f aca="false">oie_f</f>
        <v>-1.2</v>
      </c>
      <c r="I17437" s="6" t="n">
        <f aca="false">oie_f</f>
        <v>-1.2</v>
      </c>
      <c r="J17437" s="6" t="n">
        <f aca="false">oie_f</f>
        <v>-1.2</v>
      </c>
      <c r="K17437" s="6" t="n">
        <f aca="false">oie_f</f>
        <v>-1.2</v>
      </c>
      <c r="L17437" s="12" t="s">
        <v>1077</v>
      </c>
    </row>
    <row r="17438" customFormat="false" ht="15" hidden="false" customHeight="false" outlineLevel="0" collapsed="false">
      <c r="A17438" s="1" t="s">
        <v>1078</v>
      </c>
      <c r="B17438" s="0" t="s">
        <v>98</v>
      </c>
      <c r="D17438" s="6" t="n">
        <f aca="false">Sens!D17430+Sens!D17437</f>
        <v>123.627</v>
      </c>
      <c r="E17438" s="6" t="n">
        <f aca="false">Sens!E17430+Sens!E17437</f>
        <v>165.934</v>
      </c>
      <c r="F17438" s="6" t="n">
        <f aca="false">Sens!F17430+Sens!F17437</f>
        <v>181.045320208205</v>
      </c>
      <c r="G17438" s="6" t="n">
        <f aca="false">Sens!G17430+Sens!G17437</f>
        <v>196.000284927055</v>
      </c>
      <c r="H17438" s="6" t="n">
        <f aca="false">Sens!H17430+Sens!H17437</f>
        <v>215.917311876857</v>
      </c>
      <c r="I17438" s="6" t="n">
        <f aca="false">Sens!I17430+Sens!I17437</f>
        <v>234.967674496598</v>
      </c>
      <c r="J17438" s="6" t="n">
        <f aca="false">Sens!J17430+Sens!J17437</f>
        <v>252.885894417075</v>
      </c>
      <c r="K17438" s="6" t="n">
        <f aca="false">Sens!K17430+Sens!K17437</f>
        <v>270.289112828711</v>
      </c>
    </row>
    <row r="17439" customFormat="false" ht="15" hidden="false" customHeight="false" outlineLevel="0" collapsed="false">
      <c r="A17439" s="1" t="s">
        <v>1079</v>
      </c>
      <c r="B17439" s="0" t="s">
        <v>98</v>
      </c>
      <c r="D17439" s="6" t="n">
        <f aca="false">Q!L29</f>
        <v>21.795</v>
      </c>
      <c r="E17439" s="6" t="n">
        <f aca="false">Q!M29</f>
        <v>32.185</v>
      </c>
      <c r="F17439" s="6" t="n">
        <f aca="false">Q!$I$29+(Sens!F17438-Q!$I$28)*tax_f</f>
        <v>36.342464041641</v>
      </c>
      <c r="G17439" s="6" t="n">
        <f aca="false">Sens!G17438*tax_f</f>
        <v>39.200056985411</v>
      </c>
      <c r="H17439" s="6" t="n">
        <f aca="false">Sens!H17438*tax_f</f>
        <v>43.1834623753714</v>
      </c>
      <c r="I17439" s="6" t="n">
        <f aca="false">Sens!I17438*tax_f</f>
        <v>46.9935348993196</v>
      </c>
      <c r="J17439" s="6" t="n">
        <f aca="false">Sens!J17438*tax_f</f>
        <v>50.5771788834151</v>
      </c>
      <c r="K17439" s="6" t="n">
        <f aca="false">Sens!K17438*tax_f</f>
        <v>54.0578225657421</v>
      </c>
    </row>
    <row r="17440" customFormat="false" ht="15" hidden="false" customHeight="false" outlineLevel="0" collapsed="false">
      <c r="A17440" s="1" t="s">
        <v>1080</v>
      </c>
      <c r="B17440" s="0" t="s">
        <v>98</v>
      </c>
      <c r="D17440" s="6" t="n">
        <f aca="false">Sens!D17438-Sens!D17439</f>
        <v>101.832</v>
      </c>
      <c r="E17440" s="6" t="n">
        <f aca="false">Sens!E17438-Sens!E17439</f>
        <v>133.749</v>
      </c>
      <c r="F17440" s="6" t="n">
        <f aca="false">Sens!F17438-Sens!F17439</f>
        <v>144.702856166564</v>
      </c>
      <c r="G17440" s="6" t="n">
        <f aca="false">Sens!G17438-Sens!G17439</f>
        <v>156.800227941644</v>
      </c>
      <c r="H17440" s="6" t="n">
        <f aca="false">Sens!H17438-Sens!H17439</f>
        <v>172.733849501485</v>
      </c>
      <c r="I17440" s="6" t="n">
        <f aca="false">Sens!I17438-Sens!I17439</f>
        <v>187.974139597278</v>
      </c>
      <c r="J17440" s="6" t="n">
        <f aca="false">Sens!J17438-Sens!J17439</f>
        <v>202.30871553366</v>
      </c>
      <c r="K17440" s="6" t="n">
        <f aca="false">Sens!K17438-Sens!K17439</f>
        <v>216.231290262969</v>
      </c>
    </row>
    <row r="17441" customFormat="false" ht="17.15" hidden="false" customHeight="false" outlineLevel="0" collapsed="false">
      <c r="A17441" s="1" t="s">
        <v>1081</v>
      </c>
      <c r="B17441" s="1" t="s">
        <v>81</v>
      </c>
      <c r="D17441" s="15" t="n">
        <f aca="false">Q!L31</f>
        <v>7.465</v>
      </c>
      <c r="E17441" s="15" t="n">
        <f aca="false">Q!M31</f>
        <v>7.453</v>
      </c>
      <c r="F17441" s="15" t="n">
        <f aca="false">Sens!F17485</f>
        <v>7.47325458888591</v>
      </c>
      <c r="G17441" s="15" t="n">
        <f aca="false">Sens!G17485</f>
        <v>7.51800917777181</v>
      </c>
      <c r="H17441" s="15" t="n">
        <f aca="false">Sens!H17485</f>
        <v>7.54570911680062</v>
      </c>
      <c r="I17441" s="15" t="n">
        <f aca="false">Sens!I17485</f>
        <v>7.55739048085609</v>
      </c>
      <c r="J17441" s="15" t="n">
        <f aca="false">Sens!J17485</f>
        <v>7.57153989201856</v>
      </c>
      <c r="K17441" s="15" t="n">
        <f aca="false">Sens!K17485</f>
        <v>7.58797453198381</v>
      </c>
    </row>
    <row r="17442" customFormat="false" ht="17.15" hidden="false" customHeight="false" outlineLevel="0" collapsed="false">
      <c r="A17442" s="0" t="s">
        <v>1082</v>
      </c>
      <c r="B17442" s="0" t="s">
        <v>75</v>
      </c>
      <c r="D17442" s="8" t="n">
        <f aca="false">Sens!D17440/Sens!D17441</f>
        <v>13.641259209645</v>
      </c>
      <c r="E17442" s="8" t="n">
        <f aca="false">Sens!E17440/Sens!E17441</f>
        <v>17.9456594659869</v>
      </c>
      <c r="F17442" s="8" t="n">
        <f aca="false">Sens!F17440/Sens!F17441</f>
        <v>19.3627628291646</v>
      </c>
      <c r="G17442" s="8" t="n">
        <f aca="false">Sens!G17440/Sens!G17441</f>
        <v>20.856615659003</v>
      </c>
      <c r="H17442" s="8" t="n">
        <f aca="false">Sens!H17440/Sens!H17441</f>
        <v>22.8916655582298</v>
      </c>
      <c r="I17442" s="8" t="n">
        <f aca="false">Sens!I17440/Sens!I17441</f>
        <v>24.872889666538</v>
      </c>
      <c r="J17442" s="8" t="n">
        <f aca="false">Sens!J17440/Sens!J17441</f>
        <v>26.7196261815805</v>
      </c>
      <c r="K17442" s="8" t="n">
        <f aca="false">Sens!K17440/Sens!K17441</f>
        <v>28.4965756476303</v>
      </c>
      <c r="L17442" s="1" t="s">
        <v>1083</v>
      </c>
    </row>
    <row r="17443" customFormat="false" ht="17.15" hidden="false" customHeight="false" outlineLevel="0" collapsed="false">
      <c r="A17443" s="1" t="s">
        <v>1084</v>
      </c>
      <c r="B17443" s="0" t="s">
        <v>98</v>
      </c>
      <c r="D17443" s="6" t="n">
        <f aca="false">Sens!D17440</f>
        <v>101.832</v>
      </c>
      <c r="E17443" s="6" t="n">
        <f aca="false">Sens!E17440</f>
        <v>133.749</v>
      </c>
      <c r="F17443" s="6" t="n">
        <f aca="false">Sens!F17440+Sens!F17433*(1-tax_f)</f>
        <v>152.494730383868</v>
      </c>
      <c r="G17443" s="6" t="n">
        <f aca="false">Sens!G17440+Sens!G17433*(1-tax_f)</f>
        <v>177.020498818428</v>
      </c>
      <c r="H17443" s="6" t="n">
        <f aca="false">Sens!H17440+Sens!H17433*(1-tax_f)</f>
        <v>206.561069797321</v>
      </c>
      <c r="I17443" s="6" t="n">
        <f aca="false">Sens!I17440+Sens!I17433*(1-tax_f)</f>
        <v>234.138094510543</v>
      </c>
      <c r="J17443" s="6" t="n">
        <f aca="false">Sens!J17440+Sens!J17433*(1-tax_f)</f>
        <v>257.094997206316</v>
      </c>
      <c r="K17443" s="6" t="n">
        <f aca="false">Sens!K17440+Sens!K17433*(1-tax_f)</f>
        <v>275.719160258428</v>
      </c>
    </row>
    <row r="17444" customFormat="false" ht="17.15" hidden="false" customHeight="false" outlineLevel="0" collapsed="false">
      <c r="A17444" s="0" t="s">
        <v>1085</v>
      </c>
      <c r="B17444" s="0" t="s">
        <v>75</v>
      </c>
      <c r="D17444" s="8" t="n">
        <f aca="false">Sens!D17443/Sens!D17441</f>
        <v>13.641259209645</v>
      </c>
      <c r="E17444" s="8" t="n">
        <f aca="false">Sens!E17443/Sens!E17441</f>
        <v>17.9456594659869</v>
      </c>
      <c r="F17444" s="8" t="n">
        <f aca="false">Sens!F17443/Sens!F17441</f>
        <v>20.4053974838025</v>
      </c>
      <c r="G17444" s="8" t="n">
        <f aca="false">Sens!G17443/Sens!G17441</f>
        <v>23.54619349785</v>
      </c>
      <c r="H17444" s="8" t="n">
        <f aca="false">Sens!H17443/Sens!H17441</f>
        <v>27.3746398913537</v>
      </c>
      <c r="I17444" s="8" t="n">
        <f aca="false">Sens!I17443/Sens!I17441</f>
        <v>30.9813413907416</v>
      </c>
      <c r="J17444" s="8" t="n">
        <f aca="false">Sens!J17443/Sens!J17441</f>
        <v>33.9554437898861</v>
      </c>
      <c r="K17444" s="8" t="n">
        <f aca="false">Sens!K17443/Sens!K17441</f>
        <v>36.336331796615</v>
      </c>
      <c r="L17444" s="1" t="s">
        <v>1086</v>
      </c>
    </row>
    <row r="17445" customFormat="false" ht="17.15" hidden="false" customHeight="false" outlineLevel="0" collapsed="false">
      <c r="A17445" s="0" t="s">
        <v>1087</v>
      </c>
      <c r="B17445" s="0" t="s">
        <v>168</v>
      </c>
      <c r="E17445" s="7" t="n">
        <f aca="false">Sens!E17444/Sens!D17444-1</f>
        <v>0.315542736208578</v>
      </c>
      <c r="F17445" s="7" t="n">
        <f aca="false">Sens!F17444/Sens!E17444-1</f>
        <v>0.137065902898564</v>
      </c>
      <c r="G17445" s="7" t="n">
        <f aca="false">Sens!G17444/Sens!F17444-1</f>
        <v>0.153919864415317</v>
      </c>
      <c r="H17445" s="7" t="n">
        <f aca="false">Sens!H17444/Sens!G17444-1</f>
        <v>0.16259300654491</v>
      </c>
      <c r="I17445" s="7" t="n">
        <f aca="false">Sens!I17444/Sens!H17444-1</f>
        <v>0.131753386115851</v>
      </c>
      <c r="J17445" s="7" t="n">
        <f aca="false">Sens!J17444/Sens!I17444-1</f>
        <v>0.0959965665022269</v>
      </c>
      <c r="K17445" s="7" t="n">
        <f aca="false">Sens!K17444/Sens!J17444-1</f>
        <v>0.0701180058626745</v>
      </c>
    </row>
    <row r="17446" customFormat="false" ht="17.15" hidden="false" customHeight="false" outlineLevel="0" collapsed="false">
      <c r="A17446" s="0" t="s">
        <v>1007</v>
      </c>
      <c r="B17446" s="0" t="s">
        <v>98</v>
      </c>
      <c r="E17446" s="6" t="n">
        <f aca="false">Sens!E17387</f>
        <v>5.25</v>
      </c>
      <c r="F17446" s="6" t="n">
        <f aca="false">Sens!F17387</f>
        <v>12</v>
      </c>
      <c r="G17446" s="6" t="n">
        <f aca="false">Sens!G17387</f>
        <v>18</v>
      </c>
      <c r="H17446" s="6" t="n">
        <f aca="false">Sens!H17387</f>
        <v>24</v>
      </c>
      <c r="I17446" s="6" t="n">
        <f aca="false">Sens!I17387</f>
        <v>28.5</v>
      </c>
      <c r="J17446" s="6" t="n">
        <f aca="false">Sens!J17387</f>
        <v>31.5</v>
      </c>
      <c r="K17446" s="6" t="n">
        <f aca="false">Sens!K17387</f>
        <v>34.5</v>
      </c>
    </row>
    <row r="17447" customFormat="false" ht="17.15" hidden="false" customHeight="false" outlineLevel="0" collapsed="false">
      <c r="A17447" s="1" t="s">
        <v>1008</v>
      </c>
      <c r="B17447" s="0" t="s">
        <v>98</v>
      </c>
      <c r="F17447" s="6" t="n">
        <f aca="false">MAX(0,((Sens!E17347+Sens!F17347)/2-(shadow_base*(Sens!$D$17347+Sens!$E$17347)/2+(1-shadow_base)*Sens!$E$17347))*Sens!F17356/1000-(Sens!F17446-Sens!$E$17446)*Sens!F17426)</f>
        <v>9.7398427716299</v>
      </c>
      <c r="G17447" s="6" t="n">
        <f aca="false">MAX(0,((Sens!F17347+Sens!G17347)/2-(shadow_base*(Sens!$D$17347+Sens!$E$17347)/2+(1-shadow_base)*Sens!$E$17347))*Sens!G17356/1000-(Sens!G17446-Sens!$E$17446)*Sens!G17426)</f>
        <v>25.2753385959797</v>
      </c>
      <c r="H17447" s="6" t="n">
        <f aca="false">MAX(0,((Sens!G17347+Sens!H17347)/2-(shadow_base*(Sens!$D$17347+Sens!$E$17347)/2+(1-shadow_base)*Sens!$E$17347))*Sens!H17356/1000-(Sens!H17446-Sens!$E$17446)*Sens!H17426)</f>
        <v>42.2840253697948</v>
      </c>
      <c r="I17447" s="6" t="n">
        <f aca="false">MAX(0,((Sens!H17347+Sens!I17347)/2-(shadow_base*(Sens!$D$17347+Sens!$E$17347)/2+(1-shadow_base)*Sens!$E$17347))*Sens!I17356/1000-(Sens!I17446-Sens!$E$17446)*Sens!I17426)</f>
        <v>57.704943641581</v>
      </c>
      <c r="J17447" s="6" t="n">
        <f aca="false">MAX(0,((Sens!I17347+Sens!J17347)/2-(shadow_base*(Sens!$D$17347+Sens!$E$17347)/2+(1-shadow_base)*Sens!$E$17347))*Sens!J17356/1000-(Sens!J17446-Sens!$E$17446)*Sens!J17426)</f>
        <v>68.4828520908201</v>
      </c>
      <c r="K17447" s="6" t="n">
        <f aca="false">MAX(0,((Sens!J17347+Sens!K17347)/2-(shadow_base*(Sens!$D$17347+Sens!$E$17347)/2+(1-shadow_base)*Sens!$E$17347))*Sens!K17356/1000-(Sens!K17446-Sens!$E$17446)*Sens!K17426)</f>
        <v>74.3598374943249</v>
      </c>
      <c r="L17447" s="1" t="s">
        <v>1009</v>
      </c>
    </row>
    <row r="17448" customFormat="false" ht="17.15" hidden="false" customHeight="false" outlineLevel="0" collapsed="false">
      <c r="A17448" s="1" t="s">
        <v>1010</v>
      </c>
      <c r="B17448" s="0" t="s">
        <v>98</v>
      </c>
      <c r="F17448" s="6" t="n">
        <f aca="false">IF(internal_ai_reading=2,1,0)*Sens!F17447</f>
        <v>9.7398427716299</v>
      </c>
      <c r="G17448" s="6" t="n">
        <f aca="false">IF(internal_ai_reading=2,1,0)*Sens!G17447</f>
        <v>25.2753385959797</v>
      </c>
      <c r="H17448" s="6" t="n">
        <f aca="false">IF(internal_ai_reading=2,1,0)*Sens!H17447</f>
        <v>42.2840253697948</v>
      </c>
      <c r="I17448" s="6" t="n">
        <f aca="false">IF(internal_ai_reading=2,1,0)*Sens!I17447</f>
        <v>57.704943641581</v>
      </c>
      <c r="J17448" s="6" t="n">
        <f aca="false">IF(internal_ai_reading=2,1,0)*Sens!J17447</f>
        <v>68.4828520908201</v>
      </c>
      <c r="K17448" s="6" t="n">
        <f aca="false">IF(internal_ai_reading=2,1,0)*Sens!K17447</f>
        <v>74.3598374943249</v>
      </c>
    </row>
    <row r="17449" customFormat="false" ht="17.15" hidden="false" customHeight="false" outlineLevel="0" collapsed="false">
      <c r="A17449" s="0" t="s">
        <v>1011</v>
      </c>
      <c r="B17449" s="0" t="s">
        <v>98</v>
      </c>
      <c r="F17449" s="6" t="n">
        <f aca="false">Sens!F17366+Sens!F17446*Sens!F17426+Sens!F17448-Sens!F17367-Sens!F17378</f>
        <v>14.8152827562272</v>
      </c>
      <c r="G17449" s="6" t="n">
        <f aca="false">Sens!G17366+Sens!G17446*Sens!G17426+Sens!G17448-Sens!G17367-Sens!G17378</f>
        <v>31.0349977765951</v>
      </c>
      <c r="H17449" s="6" t="n">
        <f aca="false">Sens!H17366+Sens!H17446*Sens!H17426+Sens!H17448-Sens!H17367-Sens!H17378</f>
        <v>47.8811519709826</v>
      </c>
      <c r="I17449" s="6" t="n">
        <f aca="false">Sens!I17366+Sens!I17446*Sens!I17426+Sens!I17448-Sens!I17367-Sens!I17378</f>
        <v>62.6472166574028</v>
      </c>
      <c r="J17449" s="6" t="n">
        <f aca="false">Sens!J17366+Sens!J17446*Sens!J17426+Sens!J17448-Sens!J17367-Sens!J17378</f>
        <v>72.7882253357034</v>
      </c>
      <c r="K17449" s="6" t="n">
        <f aca="false">Sens!K17366+Sens!K17446*Sens!K17426+Sens!K17448-Sens!K17367-Sens!K17378</f>
        <v>79.4617812140187</v>
      </c>
    </row>
    <row r="17450" customFormat="false" ht="17.15" hidden="false" customHeight="false" outlineLevel="0" collapsed="false">
      <c r="A17450" s="0" t="s">
        <v>1012</v>
      </c>
      <c r="B17450" s="0" t="s">
        <v>98</v>
      </c>
      <c r="E17450" s="6" t="n">
        <f aca="false">Sens!E17346*(cxit_open+self_build*tk_cxfac)/1000*ai_net_open</f>
        <v>126.6980382</v>
      </c>
      <c r="F17450" s="6" t="n">
        <f aca="false">Sens!E17450+Sens!F17375-Sens!F17378</f>
        <v>260.572627763768</v>
      </c>
      <c r="G17450" s="6" t="n">
        <f aca="false">Sens!F17450+Sens!G17375-Sens!G17378</f>
        <v>391.782612760517</v>
      </c>
      <c r="H17450" s="6" t="n">
        <f aca="false">Sens!G17450+Sens!H17375-Sens!H17378</f>
        <v>499.488526163584</v>
      </c>
      <c r="I17450" s="6" t="n">
        <f aca="false">Sens!H17450+Sens!I17375-Sens!I17378</f>
        <v>553.872350090646</v>
      </c>
      <c r="J17450" s="6" t="n">
        <f aca="false">Sens!I17450+Sens!J17375-Sens!J17378</f>
        <v>550.78660823699</v>
      </c>
      <c r="K17450" s="6" t="n">
        <f aca="false">Sens!J17450+Sens!K17375-Sens!K17378</f>
        <v>526.736791750789</v>
      </c>
      <c r="L17450" s="1" t="s">
        <v>1013</v>
      </c>
    </row>
    <row r="17451" customFormat="false" ht="17.15" hidden="false" customHeight="false" outlineLevel="0" collapsed="false">
      <c r="A17451" s="0" t="s">
        <v>1014</v>
      </c>
      <c r="B17451" s="0" t="s">
        <v>168</v>
      </c>
      <c r="F17451" s="7" t="n">
        <f aca="false">Sens!F17449*(1-tax_f)/((Sens!E17450+Sens!F17450)/2)</f>
        <v>0.0612090057246454</v>
      </c>
      <c r="G17451" s="7" t="n">
        <f aca="false">Sens!G17449*(1-tax_f)/((Sens!F17450+Sens!G17450)/2)</f>
        <v>0.0761180310326695</v>
      </c>
      <c r="H17451" s="7" t="n">
        <f aca="false">Sens!H17449*(1-tax_f)/((Sens!G17450+Sens!H17450)/2)</f>
        <v>0.0859557095566361</v>
      </c>
      <c r="I17451" s="7" t="n">
        <f aca="false">Sens!I17449*(1-tax_f)/((Sens!H17450+Sens!I17450)/2)</f>
        <v>0.0951578408800258</v>
      </c>
      <c r="J17451" s="7" t="n">
        <f aca="false">Sens!J17449*(1-tax_f)/((Sens!I17450+Sens!J17450)/2)</f>
        <v>0.105427253958487</v>
      </c>
      <c r="K17451" s="7" t="n">
        <f aca="false">Sens!K17449*(1-tax_f)/((Sens!J17450+Sens!K17450)/2)</f>
        <v>0.117991729872291</v>
      </c>
    </row>
    <row r="17452" customFormat="false" ht="17.15" hidden="false" customHeight="false" outlineLevel="0" collapsed="false">
      <c r="A17452" s="1" t="s">
        <v>1015</v>
      </c>
      <c r="B17452" s="0" t="s">
        <v>168</v>
      </c>
      <c r="F17452" s="7" t="n">
        <f aca="false">(Sens!F17449-Sens!F17448)*(1-tax_f)/((Sens!E17450+Sens!F17450)/2)</f>
        <v>0.0209690655375262</v>
      </c>
      <c r="G17452" s="7" t="n">
        <f aca="false">(Sens!G17449-Sens!G17448)*(1-tax_f)/((Sens!F17450+Sens!G17450)/2)</f>
        <v>0.014126436206105</v>
      </c>
      <c r="H17452" s="7" t="n">
        <f aca="false">(Sens!H17449-Sens!H17448)*(1-tax_f)/((Sens!G17450+Sens!H17450)/2)</f>
        <v>0.010047899197893</v>
      </c>
      <c r="I17452" s="7" t="n">
        <f aca="false">(Sens!I17449-Sens!I17448)*(1-tax_f)/((Sens!H17450+Sens!I17450)/2)</f>
        <v>0.00750705385359908</v>
      </c>
      <c r="J17452" s="7" t="n">
        <f aca="false">(Sens!J17449-Sens!J17448)*(1-tax_f)/((Sens!I17450+Sens!J17450)/2)</f>
        <v>0.00623594924015468</v>
      </c>
      <c r="K17452" s="7" t="n">
        <f aca="false">(Sens!K17449-Sens!K17448)*(1-tax_f)/((Sens!J17450+Sens!K17450)/2)</f>
        <v>0.00757580758951754</v>
      </c>
    </row>
    <row r="17453" customFormat="false" ht="17.15" hidden="false" customHeight="false" outlineLevel="0" collapsed="false">
      <c r="A17453" s="1" t="s">
        <v>1016</v>
      </c>
      <c r="B17453" s="0" t="s">
        <v>168</v>
      </c>
      <c r="F17453" s="7" t="n">
        <f aca="false">(Sens!F17449-Sens!F17448+Sens!F17447)*(1-tax_f)/((Sens!E17450+Sens!F17450)/2)</f>
        <v>0.0612090057246454</v>
      </c>
      <c r="G17453" s="7" t="n">
        <f aca="false">(Sens!G17449-Sens!G17448+Sens!G17447)*(1-tax_f)/((Sens!F17450+Sens!G17450)/2)</f>
        <v>0.0761180310326695</v>
      </c>
      <c r="H17453" s="7" t="n">
        <f aca="false">(Sens!H17449-Sens!H17448+Sens!H17447)*(1-tax_f)/((Sens!G17450+Sens!H17450)/2)</f>
        <v>0.0859557095566361</v>
      </c>
      <c r="I17453" s="7" t="n">
        <f aca="false">(Sens!I17449-Sens!I17448+Sens!I17447)*(1-tax_f)/((Sens!H17450+Sens!I17450)/2)</f>
        <v>0.0951578408800258</v>
      </c>
      <c r="J17453" s="7" t="n">
        <f aca="false">(Sens!J17449-Sens!J17448+Sens!J17447)*(1-tax_f)/((Sens!I17450+Sens!J17450)/2)</f>
        <v>0.105427253958487</v>
      </c>
      <c r="K17453" s="7" t="n">
        <f aca="false">(Sens!K17449-Sens!K17448+Sens!K17447)*(1-tax_f)/((Sens!J17450+Sens!K17450)/2)</f>
        <v>0.117991729872291</v>
      </c>
    </row>
    <row r="17454" customFormat="false" ht="17.15" hidden="false" customHeight="false" outlineLevel="0" collapsed="false">
      <c r="A17454" s="1" t="s">
        <v>1017</v>
      </c>
      <c r="B17454" s="0" t="s">
        <v>168</v>
      </c>
      <c r="F17454" s="7" t="n">
        <f aca="false">Sens!F17379*(1-tax_f)/(Sens!F17365*(Sens!E17450+Sens!F17450)/2)</f>
        <v>0.129294830495493</v>
      </c>
      <c r="G17454" s="7" t="n">
        <f aca="false">Sens!G17379*(1-tax_f)/(Sens!G17365*(Sens!F17450+Sens!G17450)/2)</f>
        <v>0.12719599062164</v>
      </c>
      <c r="H17454" s="7" t="n">
        <f aca="false">Sens!H17379*(1-tax_f)/(Sens!H17365*(Sens!G17450+Sens!H17450)/2)</f>
        <v>0.130828167067624</v>
      </c>
      <c r="I17454" s="7" t="n">
        <f aca="false">Sens!I17379*(1-tax_f)/(Sens!I17365*(Sens!H17450+Sens!I17450)/2)</f>
        <v>0.138614526937417</v>
      </c>
      <c r="J17454" s="7" t="n">
        <f aca="false">Sens!J17379*(1-tax_f)/(Sens!J17365*(Sens!I17450+Sens!J17450)/2)</f>
        <v>0.150578919010924</v>
      </c>
      <c r="K17454" s="7" t="n">
        <f aca="false">Sens!K17379*(1-tax_f)/(Sens!K17365*(Sens!J17450+Sens!K17450)/2)</f>
        <v>0.167005345886664</v>
      </c>
    </row>
    <row r="17455" customFormat="false" ht="17.15" hidden="false" customHeight="false" outlineLevel="0" collapsed="false">
      <c r="A17455" s="0" t="s">
        <v>1018</v>
      </c>
      <c r="B17455" s="0" t="s">
        <v>253</v>
      </c>
      <c r="F17455" s="7" t="n">
        <f aca="false">Sens!F17451-wacc</f>
        <v>-0.0417275852209519</v>
      </c>
      <c r="G17455" s="7" t="n">
        <f aca="false">Sens!G17451-wacc</f>
        <v>-0.0268185599129278</v>
      </c>
      <c r="H17455" s="7" t="n">
        <f aca="false">Sens!H17451-wacc</f>
        <v>-0.0169808813889612</v>
      </c>
      <c r="I17455" s="7" t="n">
        <f aca="false">Sens!I17451-wacc</f>
        <v>-0.00777875006557149</v>
      </c>
      <c r="J17455" s="7" t="n">
        <f aca="false">Sens!J17451-wacc</f>
        <v>0.0024906630128898</v>
      </c>
      <c r="K17455" s="7" t="n">
        <f aca="false">Sens!K17451-wacc</f>
        <v>0.0150551389266932</v>
      </c>
    </row>
    <row r="17456" customFormat="false" ht="17.15" hidden="false" customHeight="false" outlineLevel="0" collapsed="false">
      <c r="A17456" s="0" t="s">
        <v>1019</v>
      </c>
      <c r="B17456" s="0" t="s">
        <v>98</v>
      </c>
      <c r="F17456" s="6" t="n">
        <f aca="false">Sens!F17449*(1-tax_f)-wacc*(Sens!E17450+Sens!F17450)/2</f>
        <v>-8.07993485878896</v>
      </c>
      <c r="G17456" s="6" t="n">
        <f aca="false">Sens!G17449*(1-tax_f)-wacc*(Sens!F17450+Sens!G17450)/2</f>
        <v>-8.74761405125648</v>
      </c>
      <c r="H17456" s="6" t="n">
        <f aca="false">Sens!H17449*(1-tax_f)-wacc*(Sens!G17450+Sens!H17450)/2</f>
        <v>-7.56728474773728</v>
      </c>
      <c r="I17456" s="6" t="n">
        <f aca="false">Sens!I17449*(1-tax_f)-wacc*(Sens!H17450+Sens!I17450)/2</f>
        <v>-4.09691549261652</v>
      </c>
      <c r="J17456" s="6" t="n">
        <f aca="false">Sens!J17449*(1-tax_f)-wacc*(Sens!I17450+Sens!J17450)/2</f>
        <v>1.37566660468201</v>
      </c>
      <c r="K17456" s="6" t="n">
        <f aca="false">Sens!K17449*(1-tax_f)-wacc*(Sens!J17450+Sens!K17450)/2</f>
        <v>8.11113224178941</v>
      </c>
    </row>
    <row r="17457" customFormat="false" ht="17.15" hidden="false" customHeight="false" outlineLevel="0" collapsed="false">
      <c r="A17457" s="3" t="s">
        <v>2042</v>
      </c>
    </row>
    <row r="17458" customFormat="false" ht="15" hidden="false" customHeight="false" outlineLevel="0" collapsed="false">
      <c r="A17458" s="4" t="s">
        <v>43</v>
      </c>
      <c r="B17458" s="4" t="s">
        <v>65</v>
      </c>
      <c r="C17458" s="23" t="s">
        <v>942</v>
      </c>
      <c r="D17458" s="23" t="s">
        <v>943</v>
      </c>
      <c r="E17458" s="23" t="s">
        <v>944</v>
      </c>
      <c r="F17458" s="23" t="s">
        <v>945</v>
      </c>
      <c r="G17458" s="23" t="s">
        <v>946</v>
      </c>
      <c r="H17458" s="23" t="s">
        <v>947</v>
      </c>
      <c r="I17458" s="23" t="s">
        <v>948</v>
      </c>
      <c r="J17458" s="23" t="s">
        <v>949</v>
      </c>
      <c r="K17458" s="23" t="s">
        <v>950</v>
      </c>
      <c r="L17458" s="4" t="s">
        <v>47</v>
      </c>
    </row>
    <row r="17459" customFormat="false" ht="15" hidden="false" customHeight="false" outlineLevel="0" collapsed="false">
      <c r="A17459" s="1" t="s">
        <v>1080</v>
      </c>
      <c r="B17459" s="0" t="s">
        <v>98</v>
      </c>
      <c r="F17459" s="6" t="n">
        <f aca="false">Sens!F17440</f>
        <v>144.702856166564</v>
      </c>
      <c r="G17459" s="6" t="n">
        <f aca="false">Sens!G17440</f>
        <v>156.800227941644</v>
      </c>
      <c r="H17459" s="6" t="n">
        <f aca="false">Sens!H17440</f>
        <v>172.733849501485</v>
      </c>
      <c r="I17459" s="6" t="n">
        <f aca="false">Sens!I17440</f>
        <v>187.974139597278</v>
      </c>
      <c r="J17459" s="6" t="n">
        <f aca="false">Sens!J17440</f>
        <v>202.30871553366</v>
      </c>
      <c r="K17459" s="6" t="n">
        <f aca="false">Sens!K17440</f>
        <v>216.231290262969</v>
      </c>
    </row>
    <row r="17460" customFormat="false" ht="17.15" hidden="false" customHeight="false" outlineLevel="0" collapsed="false">
      <c r="A17460" s="1" t="s">
        <v>1102</v>
      </c>
      <c r="B17460" s="0" t="s">
        <v>98</v>
      </c>
      <c r="E17460" s="6" t="n">
        <f aca="false">Q!M38-Sens!E17378</f>
        <v>22.2285940229167</v>
      </c>
      <c r="F17460" s="6" t="n">
        <f aca="false">Sens!E17460*(1-1/life_nonai)+(Sens!F17468+Sens!F17469)/life_nonai</f>
        <v>23.5803422705473</v>
      </c>
      <c r="G17460" s="6" t="n">
        <f aca="false">Sens!F17460*(1-1/life_nonai)+(Sens!G17468)/life_nonai</f>
        <v>25.3583487889173</v>
      </c>
      <c r="H17460" s="6" t="n">
        <f aca="false">Sens!G17460*(1-1/life_nonai)+(Sens!H17468)/life_nonai</f>
        <v>27.5285684068818</v>
      </c>
      <c r="I17460" s="6" t="n">
        <f aca="false">Sens!H17460*(1-1/life_nonai)+(Sens!I17468)/life_nonai</f>
        <v>30.0244509342793</v>
      </c>
      <c r="J17460" s="6" t="n">
        <f aca="false">Sens!I17460*(1-1/life_nonai)+(Sens!J17468)/life_nonai</f>
        <v>32.7625773200223</v>
      </c>
      <c r="K17460" s="6" t="n">
        <f aca="false">Sens!J17460*(1-1/life_nonai)+(Sens!K17468)/life_nonai</f>
        <v>35.6585672940919</v>
      </c>
      <c r="L17460" s="12" t="s">
        <v>1103</v>
      </c>
    </row>
    <row r="17461" customFormat="false" ht="17.15" hidden="false" customHeight="false" outlineLevel="0" collapsed="false">
      <c r="A17461" s="1" t="s">
        <v>1104</v>
      </c>
      <c r="B17461" s="0" t="s">
        <v>98</v>
      </c>
      <c r="F17461" s="6" t="n">
        <f aca="false">Sens!$F$17469/life_nonai*(1-1/life_nonai)^(Sens!F17341-2027)</f>
        <v>0</v>
      </c>
      <c r="G17461" s="6" t="n">
        <f aca="false">Sens!$F$17469/life_nonai*(1-1/life_nonai)^(Sens!G17341-2027)</f>
        <v>0</v>
      </c>
      <c r="H17461" s="6" t="n">
        <f aca="false">Sens!$F$17469/life_nonai*(1-1/life_nonai)^(Sens!H17341-2027)</f>
        <v>0</v>
      </c>
      <c r="I17461" s="6" t="n">
        <f aca="false">Sens!$F$17469/life_nonai*(1-1/life_nonai)^(Sens!I17341-2027)</f>
        <v>0</v>
      </c>
      <c r="J17461" s="6" t="n">
        <f aca="false">Sens!$F$17469/life_nonai*(1-1/life_nonai)^(Sens!J17341-2027)</f>
        <v>0</v>
      </c>
      <c r="K17461" s="6" t="n">
        <f aca="false">Sens!$F$17469/life_nonai*(1-1/life_nonai)^(Sens!K17341-2027)</f>
        <v>0</v>
      </c>
      <c r="L17461" s="1" t="s">
        <v>1105</v>
      </c>
    </row>
    <row r="17462" customFormat="false" ht="17.15" hidden="false" customHeight="false" outlineLevel="0" collapsed="false">
      <c r="A17462" s="1" t="s">
        <v>1106</v>
      </c>
      <c r="B17462" s="0" t="s">
        <v>98</v>
      </c>
      <c r="E17462" s="6" t="n">
        <f aca="false">Sens!E17378+Sens!E17460</f>
        <v>38.534</v>
      </c>
      <c r="F17462" s="6" t="n">
        <f aca="false">Sens!F17378+Sens!F17460</f>
        <v>58.1596567488989</v>
      </c>
      <c r="G17462" s="6" t="n">
        <f aca="false">Sens!G17378+Sens!G17460</f>
        <v>86.0928394412163</v>
      </c>
      <c r="H17462" s="6" t="n">
        <f aca="false">Sens!H17378+Sens!H17460</f>
        <v>116.628659068327</v>
      </c>
      <c r="I17462" s="6" t="n">
        <f aca="false">Sens!I17378+Sens!I17460</f>
        <v>144.255460628828</v>
      </c>
      <c r="J17462" s="6" t="n">
        <f aca="false">Sens!J17378+Sens!J17460</f>
        <v>164.778250369618</v>
      </c>
      <c r="K17462" s="6" t="n">
        <f aca="false">Sens!K17378+Sens!K17460</f>
        <v>178.671236845026</v>
      </c>
    </row>
    <row r="17463" customFormat="false" ht="17.15" hidden="false" customHeight="false" outlineLevel="0" collapsed="false">
      <c r="A17463" s="1" t="s">
        <v>1107</v>
      </c>
      <c r="B17463" s="0" t="s">
        <v>98</v>
      </c>
      <c r="F17463" s="6" t="n">
        <f aca="false">Sens!F17405*sbc_r</f>
        <v>14.9175438377464</v>
      </c>
      <c r="G17463" s="6" t="n">
        <f aca="false">Sens!G17405*sbc_r</f>
        <v>17.8119838712421</v>
      </c>
      <c r="H17463" s="6" t="n">
        <f aca="false">Sens!H17405*sbc_r</f>
        <v>20.7745061486909</v>
      </c>
      <c r="I17463" s="6" t="n">
        <f aca="false">Sens!I17405*sbc_r</f>
        <v>23.4952383075388</v>
      </c>
      <c r="J17463" s="6" t="n">
        <f aca="false">Sens!J17405*sbc_r</f>
        <v>25.7232953082804</v>
      </c>
      <c r="K17463" s="6" t="n">
        <f aca="false">Sens!K17405*sbc_r</f>
        <v>27.5132097680234</v>
      </c>
    </row>
    <row r="17464" customFormat="false" ht="17.15" hidden="false" customHeight="false" outlineLevel="0" collapsed="false">
      <c r="A17464" s="1" t="s">
        <v>1108</v>
      </c>
      <c r="B17464" s="0" t="s">
        <v>98</v>
      </c>
      <c r="F17464" s="6" t="n">
        <f aca="false">wc27-wc26q1</f>
        <v>-4.677</v>
      </c>
      <c r="G17464" s="6" t="n">
        <f aca="false">wc_f</f>
        <v>0</v>
      </c>
      <c r="H17464" s="6" t="n">
        <f aca="false">wc_f</f>
        <v>0</v>
      </c>
      <c r="I17464" s="6" t="n">
        <f aca="false">wc_f</f>
        <v>0</v>
      </c>
      <c r="J17464" s="6" t="n">
        <f aca="false">wc_f</f>
        <v>0</v>
      </c>
      <c r="K17464" s="6" t="n">
        <f aca="false">wc_f</f>
        <v>0</v>
      </c>
      <c r="L17464" s="12" t="s">
        <v>1109</v>
      </c>
    </row>
    <row r="17465" customFormat="false" ht="17.15" hidden="false" customHeight="false" outlineLevel="0" collapsed="false">
      <c r="A17465" s="0" t="s">
        <v>1110</v>
      </c>
      <c r="B17465" s="0" t="s">
        <v>98</v>
      </c>
      <c r="F17465" s="6" t="n">
        <f aca="false">Q!$I$35-Q!$I$26-Q!$I$38-Q!$I$39</f>
        <v>6.493</v>
      </c>
      <c r="L17465" s="1" t="s">
        <v>1111</v>
      </c>
    </row>
    <row r="17466" customFormat="false" ht="15" hidden="false" customHeight="false" outlineLevel="0" collapsed="false">
      <c r="A17466" s="1" t="s">
        <v>908</v>
      </c>
      <c r="B17466" s="0" t="s">
        <v>98</v>
      </c>
      <c r="E17466" s="6" t="n">
        <f aca="false">Q!M35</f>
        <v>182.935</v>
      </c>
      <c r="F17466" s="6" t="n">
        <f aca="false">Sens!F17459+Sens!F17462+Sens!F17463+Sens!F17464+Sens!F17465</f>
        <v>219.596056753209</v>
      </c>
      <c r="G17466" s="6" t="n">
        <f aca="false">Sens!G17459+Sens!G17462+Sens!G17463+Sens!G17464</f>
        <v>260.705051254102</v>
      </c>
      <c r="H17466" s="6" t="n">
        <f aca="false">Sens!H17459+Sens!H17462+Sens!H17463+Sens!H17464</f>
        <v>310.137014718504</v>
      </c>
      <c r="I17466" s="6" t="n">
        <f aca="false">Sens!I17459+Sens!I17462+Sens!I17463+Sens!I17464</f>
        <v>355.724838533645</v>
      </c>
      <c r="J17466" s="6" t="n">
        <f aca="false">Sens!J17459+Sens!J17462+Sens!J17463+Sens!J17464</f>
        <v>392.810261211559</v>
      </c>
      <c r="K17466" s="6" t="n">
        <f aca="false">Sens!K17459+Sens!K17462+Sens!K17463+Sens!K17464</f>
        <v>422.415736876018</v>
      </c>
    </row>
    <row r="17467" customFormat="false" ht="17.15" hidden="false" customHeight="false" outlineLevel="0" collapsed="false">
      <c r="A17467" s="0" t="s">
        <v>1112</v>
      </c>
      <c r="B17467" s="0" t="s">
        <v>98</v>
      </c>
      <c r="F17467" s="6" t="n">
        <f aca="false">Sens!F17375</f>
        <v>168.45390404212</v>
      </c>
      <c r="G17467" s="6" t="n">
        <f aca="false">Sens!G17375</f>
        <v>191.944475649048</v>
      </c>
      <c r="H17467" s="6" t="n">
        <f aca="false">Sens!H17375</f>
        <v>196.806004064512</v>
      </c>
      <c r="I17467" s="6" t="n">
        <f aca="false">Sens!I17375</f>
        <v>168.61483362161</v>
      </c>
      <c r="J17467" s="6" t="n">
        <f aca="false">Sens!J17375</f>
        <v>128.92993119594</v>
      </c>
      <c r="K17467" s="6" t="n">
        <f aca="false">Sens!K17375</f>
        <v>118.962853064733</v>
      </c>
    </row>
    <row r="17468" customFormat="false" ht="17.15" hidden="false" customHeight="false" outlineLevel="0" collapsed="false">
      <c r="A17468" s="1" t="s">
        <v>1113</v>
      </c>
      <c r="B17468" s="0" t="s">
        <v>98</v>
      </c>
      <c r="E17468" s="6" t="n">
        <f aca="false">Sens!E17383*cx_azo+Sens!E17390*cx_m365+Sens!E17391*cx_lic+(Sens!E17393+Sens!E17395)*cx_ind+Sens!E17398*cx_srch+(Sens!E17400+Sens!E17402)*cx_dev</f>
        <v>30.1846587067718</v>
      </c>
      <c r="F17468" s="6" t="n">
        <f aca="false">Sens!F17383*cx_azo+Sens!F17390*cx_m365+Sens!F17391*cx_lic+(Sens!F17393+Sens!F17395)*cx_ind+Sens!F17398*cx_srch+(Sens!F17400+Sens!F17402)*cx_dev</f>
        <v>35.7460764992227</v>
      </c>
      <c r="G17468" s="6" t="n">
        <f aca="false">Sens!G17383*cx_azo+Sens!G17390*cx_m365+Sens!G17391*cx_lic+(Sens!G17393+Sens!G17395)*cx_ind+Sens!G17398*cx_srch+(Sens!G17400+Sens!G17402)*cx_dev</f>
        <v>41.360407454248</v>
      </c>
      <c r="H17468" s="6" t="n">
        <f aca="false">Sens!H17383*cx_azo+Sens!H17390*cx_m365+Sens!H17391*cx_lic+(Sens!H17393+Sens!H17395)*cx_ind+Sens!H17398*cx_srch+(Sens!H17400+Sens!H17402)*cx_dev</f>
        <v>47.0605449685615</v>
      </c>
      <c r="I17468" s="6" t="n">
        <f aca="false">Sens!I17383*cx_azo+Sens!I17390*cx_m365+Sens!I17391*cx_lic+(Sens!I17393+Sens!I17395)*cx_ind+Sens!I17398*cx_srch+(Sens!I17400+Sens!I17402)*cx_dev</f>
        <v>52.4873936808571</v>
      </c>
      <c r="J17468" s="6" t="n">
        <f aca="false">Sens!J17383*cx_azo+Sens!J17390*cx_m365+Sens!J17391*cx_lic+(Sens!J17393+Sens!J17395)*cx_ind+Sens!J17398*cx_srch+(Sens!J17400+Sens!J17402)*cx_dev</f>
        <v>57.4057147917091</v>
      </c>
      <c r="K17468" s="6" t="n">
        <f aca="false">Sens!K17383*cx_azo+Sens!K17390*cx_m365+Sens!K17391*cx_lic+(Sens!K17393+Sens!K17395)*cx_ind+Sens!K17398*cx_srch+(Sens!K17400+Sens!K17402)*cx_dev</f>
        <v>61.7224770607185</v>
      </c>
    </row>
    <row r="17469" customFormat="false" ht="17.15" hidden="false" customHeight="false" outlineLevel="0" collapsed="false">
      <c r="A17469" s="0" t="s">
        <v>1114</v>
      </c>
      <c r="B17469" s="0" t="s">
        <v>98</v>
      </c>
      <c r="F17469" s="6" t="n">
        <f aca="false">0</f>
        <v>0</v>
      </c>
      <c r="L17469" s="1" t="s">
        <v>1115</v>
      </c>
    </row>
    <row r="17470" customFormat="false" ht="17.15" hidden="false" customHeight="false" outlineLevel="0" collapsed="false">
      <c r="A17470" s="1" t="s">
        <v>1116</v>
      </c>
      <c r="B17470" s="0" t="s">
        <v>98</v>
      </c>
      <c r="E17470" s="6" t="n">
        <f aca="false">Q!M43</f>
        <v>145.3</v>
      </c>
      <c r="F17470" s="6" t="n">
        <f aca="false">Sens!F17467+Sens!F17468+Sens!F17469</f>
        <v>204.199980541342</v>
      </c>
      <c r="G17470" s="6" t="n">
        <f aca="false">Sens!G17467+Sens!G17468</f>
        <v>233.304883103296</v>
      </c>
      <c r="H17470" s="6" t="n">
        <f aca="false">Sens!H17467+Sens!H17468</f>
        <v>243.866549033074</v>
      </c>
      <c r="I17470" s="6" t="n">
        <f aca="false">Sens!I17467+Sens!I17468</f>
        <v>221.102227302467</v>
      </c>
      <c r="J17470" s="6" t="n">
        <f aca="false">Sens!J17467+Sens!J17468</f>
        <v>186.33564598765</v>
      </c>
      <c r="K17470" s="6" t="n">
        <f aca="false">Sens!K17467+Sens!K17468</f>
        <v>180.685330125451</v>
      </c>
      <c r="L17470" s="1" t="s">
        <v>1117</v>
      </c>
    </row>
    <row r="17471" customFormat="false" ht="15" hidden="false" customHeight="false" outlineLevel="0" collapsed="false">
      <c r="A17471" s="1" t="s">
        <v>1118</v>
      </c>
      <c r="B17471" s="0" t="s">
        <v>98</v>
      </c>
      <c r="E17471" s="6" t="n">
        <f aca="false">fl_liab</f>
        <v>66.594</v>
      </c>
      <c r="F17471" s="6" t="n">
        <f aca="false">Sens!E17471-Sens!F17472</f>
        <v>62.46973</v>
      </c>
      <c r="G17471" s="6" t="n">
        <f aca="false">Sens!F17471-Sens!G17472</f>
        <v>57.98686785</v>
      </c>
      <c r="H17471" s="6" t="n">
        <f aca="false">Sens!G17471-Sens!H17472</f>
        <v>53.92827690325</v>
      </c>
      <c r="I17471" s="6" t="n">
        <f aca="false">Sens!H17471-Sens!I17472</f>
        <v>49.7850493638962</v>
      </c>
      <c r="J17471" s="6" t="n">
        <f aca="false">Sens!I17471-Sens!J17472</f>
        <v>45.4823765852716</v>
      </c>
      <c r="K17471" s="6" t="n">
        <f aca="false">Sens!J17471-Sens!K17472</f>
        <v>40.9860835316088</v>
      </c>
    </row>
    <row r="17472" customFormat="false" ht="15" hidden="false" customHeight="false" outlineLevel="0" collapsed="false">
      <c r="A17472" s="1" t="s">
        <v>1119</v>
      </c>
      <c r="B17472" s="0" t="s">
        <v>98</v>
      </c>
      <c r="F17472" s="6" t="n">
        <f aca="false">fl_pay_27-Sens!E17471*fl_rate</f>
        <v>4.12427</v>
      </c>
      <c r="G17472" s="6" t="n">
        <f aca="false">fl_pay_28-Sens!F17471*fl_rate</f>
        <v>4.48286215</v>
      </c>
      <c r="H17472" s="6" t="n">
        <f aca="false">fl_pay_29-Sens!G17471*fl_rate</f>
        <v>4.05859094675</v>
      </c>
      <c r="I17472" s="6" t="n">
        <f aca="false">fl_pay_30-Sens!H17471*fl_rate</f>
        <v>4.14322753935375</v>
      </c>
      <c r="J17472" s="6" t="n">
        <f aca="false">fl_pay_31-Sens!I17471*fl_rate</f>
        <v>4.30267277862467</v>
      </c>
      <c r="K17472" s="6" t="n">
        <f aca="false">fl_pay_32-Sens!J17471*fl_rate</f>
        <v>4.49629305366278</v>
      </c>
    </row>
    <row r="17473" customFormat="false" ht="17.15" hidden="false" customHeight="false" outlineLevel="0" collapsed="false">
      <c r="A17473" s="1" t="s">
        <v>1120</v>
      </c>
      <c r="B17473" s="0" t="s">
        <v>98</v>
      </c>
      <c r="E17473" s="6" t="n">
        <f aca="false">Q!M35-Q!M36-Q!M44</f>
        <v>63.886</v>
      </c>
      <c r="F17473" s="6" t="n">
        <f aca="false">Sens!F17466-Sens!F17470-Sens!F17472</f>
        <v>11.2718062118671</v>
      </c>
      <c r="G17473" s="6" t="n">
        <f aca="false">Sens!G17466-Sens!G17470-Sens!G17472</f>
        <v>22.9173060008062</v>
      </c>
      <c r="H17473" s="6" t="n">
        <f aca="false">Sens!H17466-Sens!H17470-Sens!H17472</f>
        <v>62.2118747386799</v>
      </c>
      <c r="I17473" s="6" t="n">
        <f aca="false">Sens!I17466-Sens!I17470-Sens!I17472</f>
        <v>130.479383691823</v>
      </c>
      <c r="J17473" s="6" t="n">
        <f aca="false">Sens!J17466-Sens!J17470-Sens!J17472</f>
        <v>202.171942445285</v>
      </c>
      <c r="K17473" s="6" t="n">
        <f aca="false">Sens!K17466-Sens!K17470-Sens!K17472</f>
        <v>237.234113696904</v>
      </c>
      <c r="L17473" s="12" t="s">
        <v>1121</v>
      </c>
    </row>
    <row r="17474" customFormat="false" ht="15" hidden="false" customHeight="false" outlineLevel="0" collapsed="false">
      <c r="A17474" s="1" t="s">
        <v>1122</v>
      </c>
      <c r="B17474" s="0" t="s">
        <v>75</v>
      </c>
      <c r="F17474" s="8" t="n">
        <f aca="false">dps_27</f>
        <v>3.85</v>
      </c>
      <c r="G17474" s="8" t="n">
        <f aca="false">Sens!F17474*(1+dps_g)</f>
        <v>4.158</v>
      </c>
      <c r="H17474" s="8" t="n">
        <f aca="false">Sens!G17474*(1+dps_g)</f>
        <v>4.49064</v>
      </c>
      <c r="I17474" s="8" t="n">
        <f aca="false">Sens!H17474*(1+dps_g)</f>
        <v>4.8498912</v>
      </c>
      <c r="J17474" s="8" t="n">
        <f aca="false">Sens!I17474*(1+dps_g)</f>
        <v>5.237882496</v>
      </c>
      <c r="K17474" s="8" t="n">
        <f aca="false">Sens!J17474*(1+dps_g)</f>
        <v>5.65691309568</v>
      </c>
    </row>
    <row r="17475" customFormat="false" ht="17.15" hidden="false" customHeight="false" outlineLevel="0" collapsed="false">
      <c r="A17475" s="1" t="s">
        <v>1123</v>
      </c>
      <c r="B17475" s="0" t="s">
        <v>98</v>
      </c>
      <c r="E17475" s="6" t="n">
        <f aca="false">Q!M41</f>
        <v>26.445</v>
      </c>
      <c r="F17475" s="6" t="n">
        <f aca="false">Sens!F17474*Sens!E17484</f>
        <v>28.59395</v>
      </c>
      <c r="G17475" s="6" t="n">
        <f aca="false">Sens!G17474*Sens!F17484</f>
        <v>31.0665351611752</v>
      </c>
      <c r="H17475" s="6" t="n">
        <f aca="false">Sens!H17474*Sens!G17484</f>
        <v>33.7539367740692</v>
      </c>
      <c r="I17475" s="6" t="n">
        <f aca="false">Sens!I17474*Sens!H17484</f>
        <v>36.5046899930674</v>
      </c>
      <c r="J17475" s="6" t="n">
        <f aca="false">Sens!J17474*Sens!I17484</f>
        <v>39.4929630779054</v>
      </c>
      <c r="K17475" s="6" t="n">
        <f aca="false">Sens!K17474*Sens!J17484</f>
        <v>42.7391543865161</v>
      </c>
      <c r="L17475" s="1" t="s">
        <v>1124</v>
      </c>
    </row>
    <row r="17476" customFormat="false" ht="15" hidden="false" customHeight="false" outlineLevel="0" collapsed="false">
      <c r="A17476" s="1" t="s">
        <v>1125</v>
      </c>
      <c r="B17476" s="0" t="s">
        <v>98</v>
      </c>
      <c r="E17476" s="6" t="n">
        <f aca="false">Sens!E17473-Sens!E17475</f>
        <v>37.441</v>
      </c>
      <c r="F17476" s="6" t="n">
        <f aca="false">Sens!F17473-Sens!F17475</f>
        <v>-17.3221437881329</v>
      </c>
      <c r="G17476" s="6" t="n">
        <f aca="false">Sens!G17473-Sens!G17475</f>
        <v>-8.14922916036904</v>
      </c>
      <c r="H17476" s="6" t="n">
        <f aca="false">Sens!H17473-Sens!H17475</f>
        <v>28.4579379646107</v>
      </c>
      <c r="I17476" s="6" t="n">
        <f aca="false">Sens!I17473-Sens!I17475</f>
        <v>93.974693698756</v>
      </c>
      <c r="J17476" s="6" t="n">
        <f aca="false">Sens!J17473-Sens!J17475</f>
        <v>162.678979367379</v>
      </c>
      <c r="K17476" s="6" t="n">
        <f aca="false">Sens!K17473-Sens!K17475</f>
        <v>194.494959310388</v>
      </c>
    </row>
    <row r="17477" customFormat="false" ht="15" hidden="false" customHeight="false" outlineLevel="0" collapsed="false">
      <c r="A17477" s="1" t="s">
        <v>1126</v>
      </c>
      <c r="B17477" s="0" t="s">
        <v>98</v>
      </c>
      <c r="F17477" s="6" t="n">
        <f aca="false">debt_mat_27</f>
        <v>9.25</v>
      </c>
      <c r="G17477" s="6" t="n">
        <f aca="false">debt_mat_28</f>
        <v>0</v>
      </c>
      <c r="H17477" s="6" t="n">
        <f aca="false">debt_mat_29</f>
        <v>2.001</v>
      </c>
      <c r="I17477" s="6" t="n">
        <f aca="false">debt_mat_30</f>
        <v>0</v>
      </c>
      <c r="J17477" s="6" t="n">
        <f aca="false">debt_mat_31</f>
        <v>0.5</v>
      </c>
      <c r="K17477" s="6" t="n">
        <f aca="false">debt_mat_32</f>
        <v>0</v>
      </c>
    </row>
    <row r="17478" customFormat="false" ht="15" hidden="false" customHeight="false" outlineLevel="0" collapsed="false">
      <c r="A17478" s="1" t="s">
        <v>1127</v>
      </c>
      <c r="B17478" s="0" t="s">
        <v>98</v>
      </c>
      <c r="E17478" s="6" t="n">
        <f aca="false">Q!M40</f>
        <v>22.271</v>
      </c>
      <c r="F17478" s="6" t="n">
        <f aca="false">MAX(0,MIN(bb_target,Sens!E17480+Sens!F17476-Sens!F17477-min_cash))</f>
        <v>0.270856211867127</v>
      </c>
      <c r="G17478" s="6" t="n">
        <f aca="false">MAX(0,MIN(bb_target,Sens!F17480+Sens!G17476-Sens!G17477-min_cash))</f>
        <v>0</v>
      </c>
      <c r="H17478" s="6" t="n">
        <f aca="false">MAX(0,MIN(bb_target,Sens!G17480+Sens!H17476-Sens!H17477-min_cash))</f>
        <v>22.271</v>
      </c>
      <c r="I17478" s="6" t="n">
        <f aca="false">MAX(0,MIN(bb_target,Sens!H17480+Sens!I17476-Sens!I17477-min_cash))</f>
        <v>22.271</v>
      </c>
      <c r="J17478" s="6" t="n">
        <f aca="false">MAX(0,MIN(bb_target,Sens!I17480+Sens!J17476-Sens!J17477-min_cash))</f>
        <v>22.271</v>
      </c>
      <c r="K17478" s="6" t="n">
        <f aca="false">MAX(0,MIN(bb_target,Sens!J17480+Sens!K17476-Sens!K17477-min_cash))</f>
        <v>22.271</v>
      </c>
    </row>
    <row r="17479" customFormat="false" ht="15" hidden="false" customHeight="false" outlineLevel="0" collapsed="false">
      <c r="A17479" s="1" t="s">
        <v>1128</v>
      </c>
      <c r="B17479" s="0" t="s">
        <v>98</v>
      </c>
      <c r="F17479" s="6" t="n">
        <f aca="false">MAX(0,min_cash-(Sens!E17480+Sens!F17476-Sens!F17477-Sens!F17478))</f>
        <v>0</v>
      </c>
      <c r="G17479" s="6" t="n">
        <f aca="false">MAX(0,min_cash-(Sens!F17480+Sens!G17476-Sens!G17477-Sens!G17478))</f>
        <v>8.14922916036904</v>
      </c>
      <c r="H17479" s="6" t="n">
        <f aca="false">MAX(0,min_cash-(Sens!G17480+Sens!H17476-Sens!H17477-Sens!H17478))</f>
        <v>0</v>
      </c>
      <c r="I17479" s="6" t="n">
        <f aca="false">MAX(0,min_cash-(Sens!H17480+Sens!I17476-Sens!I17477-Sens!I17478))</f>
        <v>0</v>
      </c>
      <c r="J17479" s="6" t="n">
        <f aca="false">MAX(0,min_cash-(Sens!I17480+Sens!J17476-Sens!J17477-Sens!J17478))</f>
        <v>0</v>
      </c>
      <c r="K17479" s="6" t="n">
        <f aca="false">MAX(0,min_cash-(Sens!J17480+Sens!K17476-Sens!K17477-Sens!K17478))</f>
        <v>0</v>
      </c>
    </row>
    <row r="17480" customFormat="false" ht="15" hidden="false" customHeight="false" outlineLevel="0" collapsed="false">
      <c r="A17480" s="1" t="s">
        <v>1129</v>
      </c>
      <c r="B17480" s="0" t="s">
        <v>98</v>
      </c>
      <c r="E17480" s="6" t="n">
        <f aca="false">cash_open</f>
        <v>76.843</v>
      </c>
      <c r="F17480" s="6" t="n">
        <f aca="false">Sens!E17480+Sens!F17476-Sens!F17477-Sens!F17478+Sens!F17479</f>
        <v>50</v>
      </c>
      <c r="G17480" s="6" t="n">
        <f aca="false">Sens!F17480+Sens!G17476-Sens!G17477-Sens!G17478+Sens!G17479</f>
        <v>50</v>
      </c>
      <c r="H17480" s="6" t="n">
        <f aca="false">Sens!G17480+Sens!H17476-Sens!H17477-Sens!H17478+Sens!H17479</f>
        <v>54.1859379646107</v>
      </c>
      <c r="I17480" s="6" t="n">
        <f aca="false">Sens!H17480+Sens!I17476-Sens!I17477-Sens!I17478+Sens!I17479</f>
        <v>125.889631663367</v>
      </c>
      <c r="J17480" s="6" t="n">
        <f aca="false">Sens!I17480+Sens!J17476-Sens!J17477-Sens!J17478+Sens!J17479</f>
        <v>265.797611030746</v>
      </c>
      <c r="K17480" s="6" t="n">
        <f aca="false">Sens!J17480+Sens!K17476-Sens!K17477-Sens!K17478+Sens!K17479</f>
        <v>438.021570341134</v>
      </c>
    </row>
    <row r="17481" customFormat="false" ht="15" hidden="false" customHeight="false" outlineLevel="0" collapsed="false">
      <c r="A17481" s="1" t="s">
        <v>1130</v>
      </c>
      <c r="B17481" s="0" t="s">
        <v>98</v>
      </c>
      <c r="E17481" s="6" t="n">
        <f aca="false">debt_face</f>
        <v>46.136</v>
      </c>
      <c r="F17481" s="6" t="n">
        <f aca="false">Sens!E17481-Sens!F17477+Sens!F17479</f>
        <v>36.886</v>
      </c>
      <c r="G17481" s="6" t="n">
        <f aca="false">Sens!F17481-Sens!G17477+Sens!G17479</f>
        <v>45.035229160369</v>
      </c>
      <c r="H17481" s="6" t="n">
        <f aca="false">Sens!G17481-Sens!H17477+Sens!H17479</f>
        <v>43.034229160369</v>
      </c>
      <c r="I17481" s="6" t="n">
        <f aca="false">Sens!H17481-Sens!I17477+Sens!I17479</f>
        <v>43.034229160369</v>
      </c>
      <c r="J17481" s="6" t="n">
        <f aca="false">Sens!I17481-Sens!J17477+Sens!J17479</f>
        <v>42.534229160369</v>
      </c>
      <c r="K17481" s="6" t="n">
        <f aca="false">Sens!J17481-Sens!K17477+Sens!K17479</f>
        <v>42.534229160369</v>
      </c>
    </row>
    <row r="17482" customFormat="false" ht="15" hidden="false" customHeight="false" outlineLevel="0" collapsed="false">
      <c r="A17482" s="1" t="s">
        <v>1131</v>
      </c>
      <c r="B17482" s="0" t="s">
        <v>98</v>
      </c>
      <c r="E17482" s="6" t="n">
        <f aca="false">Sens!E17480-Sens!E17481</f>
        <v>30.707</v>
      </c>
      <c r="F17482" s="6" t="n">
        <f aca="false">Sens!F17480-Sens!F17481</f>
        <v>13.114</v>
      </c>
      <c r="G17482" s="6" t="n">
        <f aca="false">Sens!G17480-Sens!G17481</f>
        <v>4.96477083963096</v>
      </c>
      <c r="H17482" s="6" t="n">
        <f aca="false">Sens!H17480-Sens!H17481</f>
        <v>11.1517088042417</v>
      </c>
      <c r="I17482" s="6" t="n">
        <f aca="false">Sens!I17480-Sens!I17481</f>
        <v>82.8554025029977</v>
      </c>
      <c r="J17482" s="6" t="n">
        <f aca="false">Sens!J17480-Sens!J17481</f>
        <v>223.263381870377</v>
      </c>
      <c r="K17482" s="6" t="n">
        <f aca="false">Sens!K17480-Sens!K17481</f>
        <v>395.487341180765</v>
      </c>
    </row>
    <row r="17483" customFormat="false" ht="15" hidden="false" customHeight="false" outlineLevel="0" collapsed="false">
      <c r="A17483" s="1" t="s">
        <v>1132</v>
      </c>
      <c r="B17483" s="0" t="s">
        <v>75</v>
      </c>
      <c r="F17483" s="30" t="n">
        <f aca="false">px*(1+bb_g)^(Sens!F17341-base_fy-mid_yr)</f>
        <v>551.84177959629</v>
      </c>
      <c r="G17483" s="30" t="n">
        <f aca="false">px*(1+bb_g)^(Sens!G17341-base_fy-mid_yr)</f>
        <v>595.989121963993</v>
      </c>
      <c r="H17483" s="30" t="n">
        <f aca="false">px*(1+bb_g)^(Sens!H17341-base_fy-mid_yr)</f>
        <v>643.668251721112</v>
      </c>
      <c r="I17483" s="30" t="n">
        <f aca="false">px*(1+bb_g)^(Sens!I17341-base_fy-mid_yr)</f>
        <v>695.161711858801</v>
      </c>
      <c r="J17483" s="30" t="n">
        <f aca="false">px*(1+bb_g)^(Sens!J17341-base_fy-mid_yr)</f>
        <v>750.774648807506</v>
      </c>
      <c r="K17483" s="30" t="n">
        <f aca="false">px*(1+bb_g)^(Sens!K17341-base_fy-mid_yr)</f>
        <v>810.836620712106</v>
      </c>
    </row>
    <row r="17484" customFormat="false" ht="15" hidden="false" customHeight="false" outlineLevel="0" collapsed="false">
      <c r="A17484" s="1" t="s">
        <v>1133</v>
      </c>
      <c r="B17484" s="1" t="s">
        <v>81</v>
      </c>
      <c r="E17484" s="15" t="n">
        <f aca="false">sh_out26</f>
        <v>7.427</v>
      </c>
      <c r="F17484" s="15" t="n">
        <f aca="false">Sens!E17484+sh_iss-Sens!F17478/Sens!F17483</f>
        <v>7.47150917777181</v>
      </c>
      <c r="G17484" s="15" t="n">
        <f aca="false">Sens!F17484+sh_iss-Sens!G17478/Sens!G17483</f>
        <v>7.51650917777181</v>
      </c>
      <c r="H17484" s="15" t="n">
        <f aca="false">Sens!G17484+sh_iss-Sens!H17478/Sens!H17483</f>
        <v>7.52690905582942</v>
      </c>
      <c r="I17484" s="15" t="n">
        <f aca="false">Sens!H17484+sh_iss-Sens!I17478/Sens!I17483</f>
        <v>7.53987190588275</v>
      </c>
      <c r="J17484" s="15" t="n">
        <f aca="false">Sens!I17484+sh_iss-Sens!J17478/Sens!J17483</f>
        <v>7.55520787815436</v>
      </c>
      <c r="K17484" s="15" t="n">
        <f aca="false">Sens!J17484+sh_iss-Sens!K17478/Sens!K17483</f>
        <v>7.57274118581326</v>
      </c>
    </row>
    <row r="17485" customFormat="false" ht="15" hidden="false" customHeight="false" outlineLevel="0" collapsed="false">
      <c r="A17485" s="1" t="s">
        <v>1134</v>
      </c>
      <c r="B17485" s="1" t="s">
        <v>81</v>
      </c>
      <c r="E17485" s="15" t="n">
        <f aca="false">sh_dil26</f>
        <v>7.453</v>
      </c>
      <c r="F17485" s="15" t="n">
        <f aca="false">(Sens!E17484+Sens!F17484)/2+dil_gap</f>
        <v>7.47325458888591</v>
      </c>
      <c r="G17485" s="15" t="n">
        <f aca="false">(Sens!F17484+Sens!G17484)/2+dil_gap</f>
        <v>7.51800917777181</v>
      </c>
      <c r="H17485" s="15" t="n">
        <f aca="false">(Sens!G17484+Sens!H17484)/2+dil_gap</f>
        <v>7.54570911680062</v>
      </c>
      <c r="I17485" s="15" t="n">
        <f aca="false">(Sens!H17484+Sens!I17484)/2+dil_gap</f>
        <v>7.55739048085609</v>
      </c>
      <c r="J17485" s="15" t="n">
        <f aca="false">(Sens!I17484+Sens!J17484)/2+dil_gap</f>
        <v>7.57153989201856</v>
      </c>
      <c r="K17485" s="15" t="n">
        <f aca="false">(Sens!J17484+Sens!K17484)/2+dil_gap</f>
        <v>7.58797453198381</v>
      </c>
    </row>
    <row r="17486" customFormat="false" ht="17.15" hidden="false" customHeight="false" outlineLevel="0" collapsed="false">
      <c r="A17486" s="1" t="s">
        <v>1135</v>
      </c>
      <c r="B17486" s="0" t="s">
        <v>98</v>
      </c>
      <c r="C17486" s="6" t="n">
        <f aca="false">SUM(Sens!F17476:J17476)</f>
        <v>259.640238082244</v>
      </c>
    </row>
    <row r="17487" customFormat="false" ht="15" hidden="false" customHeight="false" outlineLevel="0" collapsed="false">
      <c r="A17487" s="26" t="s">
        <v>1100</v>
      </c>
      <c r="B17487" s="31" t="s">
        <v>98</v>
      </c>
      <c r="C17487" s="27" t="n">
        <f aca="false">Sens!$C$17486-(Sens!F17476+Sens!G17476+Sens!H17476+Sens!I17476+Sens!J17476)</f>
        <v>0</v>
      </c>
      <c r="D17487" s="31"/>
      <c r="E17487" s="31"/>
      <c r="F17487" s="31"/>
      <c r="G17487" s="31"/>
      <c r="H17487" s="31"/>
      <c r="I17487" s="31"/>
      <c r="J17487" s="31"/>
      <c r="K17487" s="31"/>
    </row>
    <row r="17488" customFormat="false" ht="17.15" hidden="false" customHeight="false" outlineLevel="0" collapsed="false">
      <c r="A17488" s="1" t="s">
        <v>1094</v>
      </c>
      <c r="B17488" s="1" t="s">
        <v>1136</v>
      </c>
      <c r="C17488" s="33" t="str">
        <f aca="false">IF(SUM(Sens!F17479:J17479)&gt;0.05,"需要舉債 "&amp;TEXT(SUM(Sens!F17479:J17479),"0.0")&amp;" 十億美元","不需舉債")&amp;"；"&amp;IF(SUM(Sens!F17478:J17478)&lt;COUNT(Sens!F17478:J17478)*bb_target-0.05,"回購較每年 "&amp;TEXT(bb_target,"0.0")&amp;" 的目標少 "&amp;TEXT(COUNT(Sens!F17478:J17478)*bb_target-SUM(Sens!F17478:J17478),"0.0")&amp;" 十億美元（"&amp;TEXT(COUNTIF(Sens!F17478:J17478,"&lt;"&amp;(bb_target-0.05)),"0")&amp;" 年減少）","回購不減")</f>
        <v>需要舉債 8.1 十億美元；回購較每年 22.3 的目標少 44.3 十億美元（2 年減少）</v>
      </c>
    </row>
    <row r="17489" customFormat="false" ht="17.15" hidden="false" customHeight="false" outlineLevel="0" collapsed="false">
      <c r="A17489" s="3" t="s">
        <v>2043</v>
      </c>
    </row>
    <row r="17490" customFormat="false" ht="15" hidden="false" customHeight="false" outlineLevel="0" collapsed="false">
      <c r="A17490" s="4" t="s">
        <v>43</v>
      </c>
      <c r="B17490" s="4" t="s">
        <v>65</v>
      </c>
      <c r="C17490" s="23" t="s">
        <v>942</v>
      </c>
      <c r="D17490" s="23" t="s">
        <v>943</v>
      </c>
      <c r="E17490" s="23" t="s">
        <v>944</v>
      </c>
      <c r="F17490" s="23" t="s">
        <v>945</v>
      </c>
      <c r="G17490" s="23" t="s">
        <v>946</v>
      </c>
      <c r="H17490" s="23" t="s">
        <v>947</v>
      </c>
      <c r="I17490" s="23" t="s">
        <v>948</v>
      </c>
      <c r="J17490" s="23" t="s">
        <v>949</v>
      </c>
      <c r="K17490" s="23" t="s">
        <v>950</v>
      </c>
      <c r="L17490" s="4" t="s">
        <v>47</v>
      </c>
    </row>
    <row r="17491" customFormat="false" ht="17.15" hidden="false" customHeight="false" outlineLevel="0" collapsed="false">
      <c r="A17491" s="1" t="s">
        <v>1216</v>
      </c>
      <c r="B17491" s="1" t="s">
        <v>279</v>
      </c>
      <c r="F17491" s="8" t="n">
        <f aca="false">(1-v_off)*mid_yr</f>
        <v>0.373972602739726</v>
      </c>
      <c r="G17491" s="8" t="n">
        <f aca="false">Sens!G17341-base_fy-mid_yr-v_off</f>
        <v>1.24794520547945</v>
      </c>
      <c r="H17491" s="8" t="n">
        <f aca="false">Sens!H17341-base_fy-mid_yr-v_off</f>
        <v>2.24794520547945</v>
      </c>
      <c r="I17491" s="8" t="n">
        <f aca="false">Sens!I17341-base_fy-mid_yr-v_off</f>
        <v>3.24794520547945</v>
      </c>
      <c r="J17491" s="8" t="n">
        <f aca="false">Sens!J17341-base_fy-mid_yr-v_off</f>
        <v>4.24794520547945</v>
      </c>
      <c r="K17491" s="8" t="n">
        <f aca="false">Sens!K17341-base_fy-mid_yr-v_off</f>
        <v>5.24794520547945</v>
      </c>
      <c r="L17491" s="12" t="s">
        <v>1217</v>
      </c>
    </row>
    <row r="17492" customFormat="false" ht="15" hidden="false" customHeight="false" outlineLevel="0" collapsed="false">
      <c r="A17492" s="1" t="s">
        <v>1218</v>
      </c>
      <c r="B17492" s="1" t="s">
        <v>279</v>
      </c>
      <c r="F17492" s="8" t="n">
        <f aca="false">Sens!F17341-base_fy-v_off</f>
        <v>0.747945205479452</v>
      </c>
      <c r="G17492" s="8" t="n">
        <f aca="false">Sens!G17341-base_fy-v_off</f>
        <v>1.74794520547945</v>
      </c>
      <c r="H17492" s="8" t="n">
        <f aca="false">Sens!H17341-base_fy-v_off</f>
        <v>2.74794520547945</v>
      </c>
      <c r="I17492" s="8" t="n">
        <f aca="false">Sens!I17341-base_fy-v_off</f>
        <v>3.74794520547945</v>
      </c>
      <c r="J17492" s="8" t="n">
        <f aca="false">Sens!J17341-base_fy-v_off</f>
        <v>4.74794520547945</v>
      </c>
      <c r="K17492" s="8" t="n">
        <f aca="false">Sens!K17341-base_fy-v_off</f>
        <v>5.74794520547945</v>
      </c>
    </row>
    <row r="17493" customFormat="false" ht="15" hidden="false" customHeight="false" outlineLevel="0" collapsed="false">
      <c r="A17493" s="1" t="s">
        <v>1219</v>
      </c>
      <c r="B17493" s="0" t="s">
        <v>229</v>
      </c>
      <c r="F17493" s="15" t="n">
        <f aca="false">1/(1+wacc)^Sens!F17491</f>
        <v>0.964022703286649</v>
      </c>
      <c r="G17493" s="15" t="n">
        <f aca="false">1/(1+wacc)^Sens!G17491</f>
        <v>0.884910302296739</v>
      </c>
      <c r="H17493" s="15" t="n">
        <f aca="false">1/(1+wacc)^Sens!H17491</f>
        <v>0.802322009770358</v>
      </c>
      <c r="I17493" s="15" t="n">
        <f aca="false">1/(1+wacc)^Sens!I17491</f>
        <v>0.727441646561469</v>
      </c>
      <c r="J17493" s="15" t="n">
        <f aca="false">1/(1+wacc)^Sens!J17491</f>
        <v>0.659549834988973</v>
      </c>
      <c r="K17493" s="15" t="n">
        <f aca="false">1/(1+wacc)^Sens!K17491</f>
        <v>0.597994336576966</v>
      </c>
    </row>
    <row r="17494" customFormat="false" ht="17.15" hidden="false" customHeight="false" outlineLevel="0" collapsed="false">
      <c r="A17494" s="1" t="s">
        <v>1220</v>
      </c>
      <c r="B17494" s="0" t="s">
        <v>98</v>
      </c>
      <c r="F17494" s="6" t="n">
        <f aca="false">Q!$I$35-Q!$I$39-Q!$I$43</f>
        <v>9.666</v>
      </c>
      <c r="L17494" s="12" t="s">
        <v>1221</v>
      </c>
    </row>
    <row r="17495" customFormat="false" ht="17.15" hidden="false" customHeight="false" outlineLevel="0" collapsed="false">
      <c r="A17495" s="1" t="s">
        <v>1222</v>
      </c>
      <c r="B17495" s="0" t="s">
        <v>98</v>
      </c>
      <c r="F17495" s="6" t="n">
        <f aca="false">Sens!F17466-Sens!F17463-Sens!F17470+Sens!F17448*(1-tax_f)*(1-v_off)-Sens!F17494</f>
        <v>-3.35957266334787</v>
      </c>
      <c r="G17495" s="6" t="n">
        <f aca="false">Sens!G17466-Sens!G17463-Sens!G17470+Sens!G17448*(1-tax_f)</f>
        <v>29.8084551563478</v>
      </c>
      <c r="H17495" s="6" t="n">
        <f aca="false">Sens!H17466-Sens!H17463-Sens!H17470+Sens!H17448*(1-tax_f)</f>
        <v>79.3231798325749</v>
      </c>
      <c r="I17495" s="6" t="n">
        <f aca="false">Sens!I17466-Sens!I17463-Sens!I17470+Sens!I17448*(1-tax_f)</f>
        <v>157.291327836903</v>
      </c>
      <c r="J17495" s="6" t="n">
        <f aca="false">Sens!J17466-Sens!J17463-Sens!J17470+Sens!J17448*(1-tax_f)</f>
        <v>235.537601588285</v>
      </c>
      <c r="K17495" s="6" t="n">
        <f aca="false">Sens!K17466-Sens!K17463-Sens!K17470+Sens!K17448*(1-tax_f)</f>
        <v>273.705066978003</v>
      </c>
      <c r="L17495" s="1" t="s">
        <v>1223</v>
      </c>
    </row>
    <row r="17496" customFormat="false" ht="15" hidden="false" customHeight="false" outlineLevel="0" collapsed="false">
      <c r="A17496" s="1" t="s">
        <v>1224</v>
      </c>
      <c r="B17496" s="0" t="s">
        <v>98</v>
      </c>
      <c r="F17496" s="6" t="n">
        <f aca="false">Sens!F17495*Sens!F17493</f>
        <v>-3.23870432080854</v>
      </c>
      <c r="G17496" s="6" t="n">
        <f aca="false">Sens!G17495*Sens!G17493</f>
        <v>26.3778090634025</v>
      </c>
      <c r="H17496" s="6" t="n">
        <f aca="false">Sens!H17495*Sens!H17493</f>
        <v>63.642733064647</v>
      </c>
      <c r="I17496" s="6" t="n">
        <f aca="false">Sens!I17495*Sens!I17493</f>
        <v>114.420262511517</v>
      </c>
      <c r="J17496" s="6" t="n">
        <f aca="false">Sens!J17495*Sens!J17493</f>
        <v>155.348786261252</v>
      </c>
      <c r="K17496" s="6" t="n">
        <f aca="false">Sens!K17495*Sens!K17493</f>
        <v>163.674079945265</v>
      </c>
    </row>
    <row r="17497" customFormat="false" ht="17.15" hidden="false" customHeight="false" outlineLevel="0" collapsed="false">
      <c r="A17497" s="1" t="s">
        <v>1225</v>
      </c>
      <c r="B17497" s="0" t="s">
        <v>98</v>
      </c>
      <c r="C17497" s="6" t="n">
        <f aca="false">SUM(Sens!F17496:K17496)</f>
        <v>520.224966525274</v>
      </c>
    </row>
    <row r="17498" customFormat="false" ht="17.15" hidden="false" customHeight="false" outlineLevel="0" collapsed="false">
      <c r="A17498" s="1" t="s">
        <v>1226</v>
      </c>
      <c r="B17498" s="0" t="s">
        <v>98</v>
      </c>
      <c r="C17498" s="6" t="n">
        <f aca="false">Sens!K17434*(1+g_tv)*(1-tax_f)</f>
        <v>284.979535066181</v>
      </c>
    </row>
    <row r="17499" customFormat="false" ht="17.15" hidden="false" customHeight="false" outlineLevel="0" collapsed="false">
      <c r="A17499" s="1" t="s">
        <v>1227</v>
      </c>
      <c r="B17499" s="0" t="s">
        <v>98</v>
      </c>
      <c r="C17499" s="6" t="n">
        <f aca="false">Sens!$C$17498*(1-g_tv/(wacc+ronic_prem))</f>
        <v>201.924656587606</v>
      </c>
    </row>
    <row r="17500" customFormat="false" ht="17.15" hidden="false" customHeight="false" outlineLevel="0" collapsed="false">
      <c r="A17500" s="1" t="s">
        <v>1228</v>
      </c>
      <c r="B17500" s="0" t="s">
        <v>98</v>
      </c>
      <c r="C17500" s="6" t="n">
        <f aca="false">Sens!$C$17499/(wacc-g_tv)</f>
        <v>2768.49594928586</v>
      </c>
    </row>
    <row r="17501" customFormat="false" ht="15" hidden="false" customHeight="false" outlineLevel="0" collapsed="false">
      <c r="A17501" s="1" t="s">
        <v>1229</v>
      </c>
      <c r="B17501" s="0" t="s">
        <v>98</v>
      </c>
      <c r="C17501" s="6" t="n">
        <f aca="false">Sens!$C$17500/(1+wacc)^Sens!K17492</f>
        <v>1576.39733069868</v>
      </c>
    </row>
    <row r="17502" customFormat="false" ht="17.15" hidden="false" customHeight="false" outlineLevel="0" collapsed="false">
      <c r="A17502" s="0" t="s">
        <v>1230</v>
      </c>
      <c r="B17502" s="0" t="s">
        <v>98</v>
      </c>
      <c r="C17502" s="6" t="n">
        <f aca="false">Sens!$C$17497+Sens!$C$17501</f>
        <v>2096.62229722396</v>
      </c>
    </row>
    <row r="17503" customFormat="false" ht="15" hidden="false" customHeight="false" outlineLevel="0" collapsed="false">
      <c r="A17503" s="1" t="s">
        <v>1145</v>
      </c>
      <c r="B17503" s="0" t="s">
        <v>168</v>
      </c>
      <c r="C17503" s="7" t="n">
        <f aca="false">Sens!$C$17501/Sens!$C$17502</f>
        <v>0.751874733368008</v>
      </c>
    </row>
    <row r="17504" customFormat="false" ht="17.15" hidden="false" customHeight="false" outlineLevel="0" collapsed="false">
      <c r="A17504" s="1" t="s">
        <v>1231</v>
      </c>
      <c r="B17504" s="0" t="s">
        <v>98</v>
      </c>
      <c r="C17504" s="6" t="n">
        <f aca="false">Sens!$C$17502+cash_val-debt_val-fl_val+oai_v</f>
        <v>2212.47329722396</v>
      </c>
    </row>
    <row r="17505" customFormat="false" ht="17.15" hidden="false" customHeight="false" outlineLevel="0" collapsed="false">
      <c r="A17505" s="0" t="s">
        <v>1153</v>
      </c>
      <c r="B17505" s="0" t="s">
        <v>75</v>
      </c>
      <c r="C17505" s="5" t="n">
        <f aca="false">Sens!$C$17504/shd_val</f>
        <v>297.135817515976</v>
      </c>
    </row>
    <row r="17506" customFormat="false" ht="15" hidden="false" customHeight="false" outlineLevel="0" collapsed="false">
      <c r="A17506" s="1" t="s">
        <v>1232</v>
      </c>
      <c r="B17506" s="0" t="s">
        <v>75</v>
      </c>
      <c r="C17506" s="8" t="n">
        <f aca="false">div_rem27+Sens!G17474*roll_div_q/q_per_yr</f>
        <v>3.9795</v>
      </c>
    </row>
    <row r="17507" customFormat="false" ht="17.15" hidden="false" customHeight="false" outlineLevel="0" collapsed="false">
      <c r="A17507" s="0" t="s">
        <v>1233</v>
      </c>
      <c r="B17507" s="0" t="s">
        <v>75</v>
      </c>
      <c r="C17507" s="5" t="n">
        <f aca="false">Sens!$C$17505*(1+wacc)^t_roll-Sens!$C$17506</f>
        <v>326.303544539999</v>
      </c>
    </row>
    <row r="17508" customFormat="false" ht="17.15" hidden="false" customHeight="false" outlineLevel="0" collapsed="false">
      <c r="A17508" s="1" t="s">
        <v>1234</v>
      </c>
      <c r="B17508" s="0" t="s">
        <v>168</v>
      </c>
      <c r="F17508" s="7" t="n">
        <f aca="false">Sens!F17460/(Sens!F17405-Sens!F17360)</f>
        <v>0.0686195612282686</v>
      </c>
      <c r="G17508" s="7" t="n">
        <f aca="false">Sens!G17460/(Sens!G17405-Sens!G17360)</f>
        <v>0.0658333523683057</v>
      </c>
      <c r="H17508" s="7" t="n">
        <f aca="false">Sens!H17460/(Sens!H17405-Sens!H17360)</f>
        <v>0.0643895588352612</v>
      </c>
      <c r="I17508" s="7" t="n">
        <f aca="false">Sens!I17460/(Sens!I17405-Sens!I17360)</f>
        <v>0.0641676587841317</v>
      </c>
      <c r="J17508" s="7" t="n">
        <f aca="false">Sens!J17460/(Sens!J17405-Sens!J17360)</f>
        <v>0.0648858581287632</v>
      </c>
      <c r="K17508" s="7" t="n">
        <f aca="false">Sens!K17460/(Sens!K17405-Sens!K17360)</f>
        <v>0.0661974403833185</v>
      </c>
    </row>
    <row r="17509" customFormat="false" ht="17.15" hidden="false" customHeight="false" outlineLevel="0" collapsed="false">
      <c r="A17509" s="0" t="s">
        <v>1235</v>
      </c>
      <c r="B17509" s="0" t="s">
        <v>98</v>
      </c>
      <c r="F17509" s="6" t="n">
        <f aca="false">Sens!F17390*(al_m365+Sens!F17508+sbc_r)</f>
        <v>83.7205612533813</v>
      </c>
      <c r="G17509" s="6" t="n">
        <f aca="false">Sens!G17390*(al_m365+Sens!G17508+sbc_r)</f>
        <v>96.1301297117237</v>
      </c>
      <c r="H17509" s="6" t="n">
        <f aca="false">Sens!H17390*(al_m365+Sens!H17508+sbc_r)</f>
        <v>108.703540167166</v>
      </c>
      <c r="I17509" s="6" t="n">
        <f aca="false">Sens!I17390*(al_m365+Sens!I17508+sbc_r)</f>
        <v>120.260100795936</v>
      </c>
      <c r="J17509" s="6" t="n">
        <f aca="false">Sens!J17390*(al_m365+Sens!J17508+sbc_r)</f>
        <v>130.611904078363</v>
      </c>
      <c r="K17509" s="6" t="n">
        <f aca="false">Sens!K17390*(al_m365+Sens!K17508+sbc_r)</f>
        <v>140.575094548453</v>
      </c>
      <c r="L17509" s="12" t="s">
        <v>1236</v>
      </c>
    </row>
    <row r="17510" customFormat="false" ht="17.15" hidden="false" customHeight="false" outlineLevel="0" collapsed="false">
      <c r="A17510" s="0" t="s">
        <v>1237</v>
      </c>
      <c r="B17510" s="0" t="s">
        <v>98</v>
      </c>
      <c r="F17510" s="6" t="n">
        <f aca="false">Sens!F17391*(al_lic+Sens!F17508+sbc_r)</f>
        <v>32.8577655009925</v>
      </c>
      <c r="G17510" s="6" t="n">
        <f aca="false">Sens!G17391*(al_lic+Sens!G17508+sbc_r)</f>
        <v>34.1376264505797</v>
      </c>
      <c r="H17510" s="6" t="n">
        <f aca="false">Sens!H17391*(al_lic+Sens!H17508+sbc_r)</f>
        <v>35.3325743134867</v>
      </c>
      <c r="I17510" s="6" t="n">
        <f aca="false">Sens!I17391*(al_lic+Sens!I17508+sbc_r)</f>
        <v>36.4244747711953</v>
      </c>
      <c r="J17510" s="6" t="n">
        <f aca="false">Sens!J17391*(al_lic+Sens!J17508+sbc_r)</f>
        <v>37.3879404959327</v>
      </c>
      <c r="K17510" s="6" t="n">
        <f aca="false">Sens!K17391*(al_lic+Sens!K17508+sbc_r)</f>
        <v>38.1943875123798</v>
      </c>
    </row>
    <row r="17511" customFormat="false" ht="17.15" hidden="false" customHeight="false" outlineLevel="0" collapsed="false">
      <c r="A17511" s="0" t="s">
        <v>1238</v>
      </c>
      <c r="B17511" s="0" t="s">
        <v>98</v>
      </c>
      <c r="F17511" s="6" t="n">
        <f aca="false">Sens!F17393*(al_ind+Sens!F17508+sbc_r)</f>
        <v>9.06041688455413</v>
      </c>
      <c r="G17511" s="6" t="n">
        <f aca="false">Sens!G17393*(al_ind+Sens!G17508+sbc_r)</f>
        <v>9.83619071621912</v>
      </c>
      <c r="H17511" s="6" t="n">
        <f aca="false">Sens!H17393*(al_ind+Sens!H17508+sbc_r)</f>
        <v>10.6570159127432</v>
      </c>
      <c r="I17511" s="6" t="n">
        <f aca="false">Sens!I17393*(al_ind+Sens!I17508+sbc_r)</f>
        <v>11.5198570767386</v>
      </c>
      <c r="J17511" s="6" t="n">
        <f aca="false">Sens!J17393*(al_ind+Sens!J17508+sbc_r)</f>
        <v>12.4150085758862</v>
      </c>
      <c r="K17511" s="6" t="n">
        <f aca="false">Sens!K17393*(al_ind+Sens!K17508+sbc_r)</f>
        <v>13.3273713885591</v>
      </c>
    </row>
    <row r="17512" customFormat="false" ht="17.15" hidden="false" customHeight="false" outlineLevel="0" collapsed="false">
      <c r="A17512" s="0" t="s">
        <v>1239</v>
      </c>
      <c r="B17512" s="0" t="s">
        <v>98</v>
      </c>
      <c r="F17512" s="6" t="n">
        <f aca="false">Sens!F17395*(al_fro+Sens!F17508+sbc_r)</f>
        <v>3.55402945225199</v>
      </c>
      <c r="G17512" s="6" t="n">
        <f aca="false">Sens!G17395*(al_fro+Sens!G17508+sbc_r)</f>
        <v>3.7636148468275</v>
      </c>
      <c r="H17512" s="6" t="n">
        <f aca="false">Sens!H17395*(al_fro+Sens!H17508+sbc_r)</f>
        <v>4.00220965207146</v>
      </c>
      <c r="I17512" s="6" t="n">
        <f aca="false">Sens!I17395*(al_fro+Sens!I17508+sbc_r)</f>
        <v>4.27257648512764</v>
      </c>
      <c r="J17512" s="6" t="n">
        <f aca="false">Sens!J17395*(al_fro+Sens!J17508+sbc_r)</f>
        <v>4.5758622151414</v>
      </c>
      <c r="K17512" s="6" t="n">
        <f aca="false">Sens!K17395*(al_fro+Sens!K17508+sbc_r)</f>
        <v>4.91213637036985</v>
      </c>
    </row>
    <row r="17513" customFormat="false" ht="17.15" hidden="false" customHeight="false" outlineLevel="0" collapsed="false">
      <c r="A17513" s="0" t="s">
        <v>1240</v>
      </c>
      <c r="B17513" s="0" t="s">
        <v>98</v>
      </c>
      <c r="F17513" s="6" t="n">
        <f aca="false">Sens!F17398*(al_srch+Sens!F17508+sbc_r)</f>
        <v>11.1890901433598</v>
      </c>
      <c r="G17513" s="6" t="n">
        <f aca="false">Sens!G17398*(al_srch+Sens!G17508+sbc_r)</f>
        <v>12.2617387535435</v>
      </c>
      <c r="H17513" s="6" t="n">
        <f aca="false">Sens!H17398*(al_srch+Sens!H17508+sbc_r)</f>
        <v>13.3794862201501</v>
      </c>
      <c r="I17513" s="6" t="n">
        <f aca="false">Sens!I17398*(al_srch+Sens!I17508+sbc_r)</f>
        <v>14.5317113690653</v>
      </c>
      <c r="J17513" s="6" t="n">
        <f aca="false">Sens!J17398*(al_srch+Sens!J17508+sbc_r)</f>
        <v>15.6984364831001</v>
      </c>
      <c r="K17513" s="6" t="n">
        <f aca="false">Sens!K17398*(al_srch+Sens!K17508+sbc_r)</f>
        <v>16.8520941367973</v>
      </c>
    </row>
    <row r="17514" customFormat="false" ht="17.15" hidden="false" customHeight="false" outlineLevel="0" collapsed="false">
      <c r="A17514" s="0" t="s">
        <v>1241</v>
      </c>
      <c r="B17514" s="0" t="s">
        <v>98</v>
      </c>
      <c r="F17514" s="6" t="n">
        <f aca="false">Sens!F17366-Sens!F17367+Sens!F17448</f>
        <v>42.5431090240393</v>
      </c>
      <c r="G17514" s="6" t="n">
        <f aca="false">Sens!G17366-Sens!G17367+Sens!G17448</f>
        <v>81.4922561130847</v>
      </c>
      <c r="H17514" s="6" t="n">
        <f aca="false">Sens!H17366-Sens!H17367+Sens!H17448</f>
        <v>123.278266211349</v>
      </c>
      <c r="I17514" s="6" t="n">
        <f aca="false">Sens!I17366-Sens!I17367+Sens!I17448</f>
        <v>160.60594185192</v>
      </c>
      <c r="J17514" s="6" t="n">
        <f aca="false">Sens!J17366-Sens!J17367+Sens!J17448</f>
        <v>186.818741832633</v>
      </c>
      <c r="K17514" s="6" t="n">
        <f aca="false">Sens!K17366-Sens!K17367+Sens!K17448</f>
        <v>202.776422159652</v>
      </c>
    </row>
    <row r="17515" customFormat="false" ht="17.15" hidden="false" customHeight="false" outlineLevel="0" collapsed="false">
      <c r="A17515" s="0" t="s">
        <v>1242</v>
      </c>
      <c r="B17515" s="0" t="s">
        <v>98</v>
      </c>
      <c r="F17515" s="6" t="n">
        <f aca="false">Sens!F17427+Sens!F17448+Sens!F17378+Sens!F17508*(Sens!F17397-Sens!F17360)+sbc_r*Sens!F17397</f>
        <v>238.090727345007</v>
      </c>
      <c r="G17515" s="6" t="n">
        <f aca="false">Sens!G17427+Sens!G17448+Sens!G17378+Sens!G17508*(Sens!G17397-Sens!G17360)+sbc_r*Sens!G17397</f>
        <v>299.908361186955</v>
      </c>
      <c r="H17515" s="6" t="n">
        <f aca="false">Sens!H17427+Sens!H17448+Sens!H17378+Sens!H17508*(Sens!H17397-Sens!H17360)+sbc_r*Sens!H17397</f>
        <v>369.457709695709</v>
      </c>
      <c r="I17515" s="6" t="n">
        <f aca="false">Sens!I17427+Sens!I17448+Sens!I17378+Sens!I17508*(Sens!I17397-Sens!I17360)+sbc_r*Sens!I17397</f>
        <v>433.165851505129</v>
      </c>
      <c r="J17515" s="6" t="n">
        <f aca="false">Sens!J17427+Sens!J17448+Sens!J17378+Sens!J17508*(Sens!J17397-Sens!J17360)+sbc_r*Sens!J17397</f>
        <v>483.301303320084</v>
      </c>
      <c r="K17515" s="6" t="n">
        <f aca="false">Sens!K17427+Sens!K17448+Sens!K17378+Sens!K17508*(Sens!K17397-Sens!K17360)+sbc_r*Sens!K17397</f>
        <v>520.789002372039</v>
      </c>
    </row>
    <row r="17516" customFormat="false" ht="17.15" hidden="false" customHeight="false" outlineLevel="0" collapsed="false">
      <c r="A17516" s="0" t="s">
        <v>1243</v>
      </c>
      <c r="B17516" s="0" t="s">
        <v>98</v>
      </c>
      <c r="F17516" s="6" t="n">
        <f aca="false">Sens!F17515-Sens!F17509-Sens!F17510-Sens!F17511-Sens!F17512-Sens!F17514</f>
        <v>66.3548452297882</v>
      </c>
      <c r="G17516" s="6" t="n">
        <f aca="false">Sens!G17515-Sens!G17509-Sens!G17510-Sens!G17511-Sens!G17512-Sens!G17514</f>
        <v>74.5485433485203</v>
      </c>
      <c r="H17516" s="6" t="n">
        <f aca="false">Sens!H17515-Sens!H17509-Sens!H17510-Sens!H17511-Sens!H17512-Sens!H17514</f>
        <v>87.4841034388928</v>
      </c>
      <c r="I17516" s="6" t="n">
        <f aca="false">Sens!I17515-Sens!I17509-Sens!I17510-Sens!I17511-Sens!I17512-Sens!I17514</f>
        <v>100.082900524212</v>
      </c>
      <c r="J17516" s="6" t="n">
        <f aca="false">Sens!J17515-Sens!J17509-Sens!J17510-Sens!J17511-Sens!J17512-Sens!J17514</f>
        <v>111.491846122128</v>
      </c>
      <c r="K17516" s="6" t="n">
        <f aca="false">Sens!K17515-Sens!K17509-Sens!K17510-Sens!K17511-Sens!K17512-Sens!K17514</f>
        <v>121.003590392626</v>
      </c>
    </row>
    <row r="17517" customFormat="false" ht="17.15" hidden="false" customHeight="false" outlineLevel="0" collapsed="false">
      <c r="A17517" s="0" t="s">
        <v>1244</v>
      </c>
      <c r="B17517" s="0" t="s">
        <v>98</v>
      </c>
      <c r="F17517" s="6" t="n">
        <f aca="false">Sens!F17429+Sens!F17508*Sens!F17404+sbc_r*Sens!F17404</f>
        <v>26.6336362214729</v>
      </c>
      <c r="G17517" s="6" t="n">
        <f aca="false">Sens!G17429+Sens!G17508*Sens!G17404+sbc_r*Sens!G17404</f>
        <v>26.4720856485379</v>
      </c>
      <c r="H17517" s="6" t="n">
        <f aca="false">Sens!H17429+Sens!H17508*Sens!H17404+sbc_r*Sens!H17404</f>
        <v>27.3467927679609</v>
      </c>
      <c r="I17517" s="6" t="n">
        <f aca="false">Sens!I17429+Sens!I17508*Sens!I17404+sbc_r*Sens!I17404</f>
        <v>28.4574655694159</v>
      </c>
      <c r="J17517" s="6" t="n">
        <f aca="false">Sens!J17429+Sens!J17508*Sens!J17404+sbc_r*Sens!J17404</f>
        <v>29.7689888657105</v>
      </c>
      <c r="K17517" s="6" t="n">
        <f aca="false">Sens!K17429+Sens!K17508*Sens!K17404+sbc_r*Sens!K17404</f>
        <v>31.2443945640457</v>
      </c>
    </row>
    <row r="17518" customFormat="false" ht="17.15" hidden="false" customHeight="false" outlineLevel="0" collapsed="false">
      <c r="A17518" s="0" t="s">
        <v>1245</v>
      </c>
      <c r="B17518" s="0" t="s">
        <v>98</v>
      </c>
      <c r="F17518" s="6" t="n">
        <f aca="false">(Sens!F17517-Sens!F17513)*Sens!F17400/(Sens!F17400+Sens!F17402)</f>
        <v>8.72285596481298</v>
      </c>
      <c r="G17518" s="6" t="n">
        <f aca="false">(Sens!G17517-Sens!G17513)*Sens!G17400/(Sens!G17400+Sens!G17402)</f>
        <v>7.88786446392953</v>
      </c>
      <c r="H17518" s="6" t="n">
        <f aca="false">(Sens!H17517-Sens!H17513)*Sens!H17400/(Sens!H17400+Sens!H17402)</f>
        <v>7.65195979667305</v>
      </c>
      <c r="I17518" s="6" t="n">
        <f aca="false">(Sens!I17517-Sens!I17513)*Sens!I17400/(Sens!I17400+Sens!I17402)</f>
        <v>7.56260434855743</v>
      </c>
      <c r="J17518" s="6" t="n">
        <f aca="false">(Sens!J17517-Sens!J17513)*Sens!J17400/(Sens!J17400+Sens!J17402)</f>
        <v>7.6079009600773</v>
      </c>
      <c r="K17518" s="6" t="n">
        <f aca="false">(Sens!K17517-Sens!K17513)*Sens!K17400/(Sens!K17400+Sens!K17402)</f>
        <v>7.78186905963319</v>
      </c>
    </row>
    <row r="17519" customFormat="false" ht="17.15" hidden="false" customHeight="false" outlineLevel="0" collapsed="false">
      <c r="A17519" s="0" t="s">
        <v>1246</v>
      </c>
      <c r="B17519" s="0" t="s">
        <v>98</v>
      </c>
      <c r="F17519" s="6" t="n">
        <f aca="false">Sens!F17517-Sens!F17513-Sens!F17518</f>
        <v>6.72169011330004</v>
      </c>
      <c r="G17519" s="6" t="n">
        <f aca="false">Sens!G17517-Sens!G17513-Sens!G17518</f>
        <v>6.32248243106489</v>
      </c>
      <c r="H17519" s="6" t="n">
        <f aca="false">Sens!H17517-Sens!H17513-Sens!H17518</f>
        <v>6.31534675113777</v>
      </c>
      <c r="I17519" s="6" t="n">
        <f aca="false">Sens!I17517-Sens!I17513-Sens!I17518</f>
        <v>6.3631498517932</v>
      </c>
      <c r="J17519" s="6" t="n">
        <f aca="false">Sens!J17517-Sens!J17513-Sens!J17518</f>
        <v>6.46265142253312</v>
      </c>
      <c r="K17519" s="6" t="n">
        <f aca="false">Sens!K17517-Sens!K17513-Sens!K17518</f>
        <v>6.61043136761522</v>
      </c>
    </row>
    <row r="17520" customFormat="false" ht="17.15" hidden="false" customHeight="false" outlineLevel="0" collapsed="false">
      <c r="A17520" s="0" t="s">
        <v>1247</v>
      </c>
      <c r="B17520" s="0" t="s">
        <v>98</v>
      </c>
      <c r="F17520" s="6" t="n">
        <f aca="false">Sens!F17514-tax_f*(Sens!F17514-Sens!F17378)-Sens!F17375</f>
        <v>-127.503553927218</v>
      </c>
      <c r="G17520" s="6" t="n">
        <f aca="false">Sens!G17514-tax_f*(Sens!G17514-Sens!G17378)-Sens!G17375</f>
        <v>-114.603772628121</v>
      </c>
      <c r="H17520" s="6" t="n">
        <f aca="false">Sens!H17514-tax_f*(Sens!H17514-Sens!H17378)-Sens!H17375</f>
        <v>-80.3633729631438</v>
      </c>
      <c r="I17520" s="6" t="n">
        <f aca="false">Sens!I17514-tax_f*(Sens!I17514-Sens!I17378)-Sens!I17375</f>
        <v>-17.2838782011649</v>
      </c>
      <c r="J17520" s="6" t="n">
        <f aca="false">Sens!J17514-tax_f*(Sens!J17514-Sens!J17378)-Sens!J17375</f>
        <v>46.9281968800854</v>
      </c>
      <c r="K17520" s="6" t="n">
        <f aca="false">Sens!K17514-tax_f*(Sens!K17514-Sens!K17378)-Sens!K17375</f>
        <v>71.8608185731755</v>
      </c>
    </row>
    <row r="17521" customFormat="false" ht="17.15" hidden="false" customHeight="false" outlineLevel="0" collapsed="false">
      <c r="A17521" s="0" t="s">
        <v>1248</v>
      </c>
      <c r="B17521" s="0" t="s">
        <v>98</v>
      </c>
      <c r="G17521" s="6" t="n">
        <f aca="false">Sens!G17520/(1+wacc)^(Sens!G17491-Sens!F17492)</f>
        <v>-109.124845494465</v>
      </c>
      <c r="H17521" s="6" t="n">
        <f aca="false">Sens!H17520/(1+wacc)^(Sens!H17491-Sens!F17492)</f>
        <v>-69.3796874071025</v>
      </c>
      <c r="I17521" s="6" t="n">
        <f aca="false">Sens!I17520/(1+wacc)^(Sens!I17491-Sens!F17492)</f>
        <v>-13.5289731380471</v>
      </c>
      <c r="J17521" s="6" t="n">
        <f aca="false">Sens!J17520/(1+wacc)^(Sens!J17491-Sens!F17492)</f>
        <v>33.3048099587126</v>
      </c>
      <c r="K17521" s="6" t="n">
        <f aca="false">Sens!K17520/(1+wacc)^(Sens!K17491-Sens!F17492)</f>
        <v>46.2396679904913</v>
      </c>
      <c r="L17521" s="1" t="s">
        <v>1249</v>
      </c>
    </row>
    <row r="17522" customFormat="false" ht="17.15" hidden="false" customHeight="false" outlineLevel="0" collapsed="false">
      <c r="A17522" s="0" t="s">
        <v>1250</v>
      </c>
      <c r="B17522" s="0" t="s">
        <v>98</v>
      </c>
      <c r="C17522" s="6" t="n">
        <f aca="false">(Sens!K17514-Sens!K17378)*(1-tax_f)*(1+g_tv)*(1-g_tv/(wacc+ronic_prem))/(wacc-g_tv)/(1+wacc)^(Sens!K17492-Sens!F17492)</f>
        <v>293.118051086843</v>
      </c>
    </row>
    <row r="17523" customFormat="false" ht="17.15" hidden="false" customHeight="false" outlineLevel="0" collapsed="false">
      <c r="A17523" s="1" t="s">
        <v>1251</v>
      </c>
      <c r="B17523" s="0" t="s">
        <v>98</v>
      </c>
      <c r="C17523" s="6" t="n">
        <f aca="false">(SUM(Sens!G17521:K17521)+Sens!$C$17522)*(1+wacc)^(t_roll-Sens!F17492)</f>
        <v>186.592133308255</v>
      </c>
      <c r="L17523" s="12" t="s">
        <v>1252</v>
      </c>
    </row>
    <row r="17524" customFormat="false" ht="17.15" hidden="false" customHeight="false" outlineLevel="0" collapsed="false">
      <c r="A17524" s="1" t="s">
        <v>1253</v>
      </c>
      <c r="B17524" s="0" t="s">
        <v>98</v>
      </c>
      <c r="C17524" s="6" t="n">
        <f aca="false">(w_ntm28*Sens!G17366+(1-w_ntm28)*Sens!H17366)*m_ai</f>
        <v>463.789109510335</v>
      </c>
    </row>
    <row r="17525" customFormat="false" ht="17.15" hidden="false" customHeight="false" outlineLevel="0" collapsed="false">
      <c r="A17525" s="1" t="s">
        <v>1254</v>
      </c>
      <c r="B17525" s="0" t="s">
        <v>98</v>
      </c>
      <c r="C17525" s="6" t="n">
        <f aca="false">(w_ntm28*Sens!G17516+(1-w_ntm28)*Sens!H17516)*m_cloud</f>
        <v>1089.0343837447</v>
      </c>
    </row>
    <row r="17526" customFormat="false" ht="17.15" hidden="false" customHeight="false" outlineLevel="0" collapsed="false">
      <c r="A17526" s="1" t="s">
        <v>1255</v>
      </c>
      <c r="B17526" s="0" t="s">
        <v>98</v>
      </c>
      <c r="C17526" s="6" t="n">
        <f aca="false">(w_ntm28*Sens!G17509+(1-w_ntm28)*Sens!H17509)*m_sw</f>
        <v>1082.8496199284</v>
      </c>
    </row>
    <row r="17527" customFormat="false" ht="17.15" hidden="false" customHeight="false" outlineLevel="0" collapsed="false">
      <c r="A17527" s="1" t="s">
        <v>1256</v>
      </c>
      <c r="B17527" s="0" t="s">
        <v>98</v>
      </c>
      <c r="C17527" s="6" t="n">
        <f aca="false">(w_ntm28*Sens!G17510+(1-w_ntm28)*Sens!H17510)*m_sw</f>
        <v>372.929249037021</v>
      </c>
    </row>
    <row r="17528" customFormat="false" ht="17.15" hidden="false" customHeight="false" outlineLevel="0" collapsed="false">
      <c r="A17528" s="1" t="s">
        <v>1257</v>
      </c>
      <c r="B17528" s="0" t="s">
        <v>98</v>
      </c>
      <c r="C17528" s="6" t="n">
        <f aca="false">(w_ntm28*Sens!G17511+(1-w_ntm28)*Sens!H17511)*m_sw</f>
        <v>109.145351391866</v>
      </c>
    </row>
    <row r="17529" customFormat="false" ht="17.15" hidden="false" customHeight="false" outlineLevel="0" collapsed="false">
      <c r="A17529" s="1" t="s">
        <v>1258</v>
      </c>
      <c r="B17529" s="0" t="s">
        <v>98</v>
      </c>
      <c r="C17529" s="6" t="n">
        <f aca="false">(w_ntm28*Sens!G17512+(1-w_ntm28)*Sens!H17512)*m_sw</f>
        <v>41.4942153254525</v>
      </c>
    </row>
    <row r="17530" customFormat="false" ht="17.15" hidden="false" customHeight="false" outlineLevel="0" collapsed="false">
      <c r="A17530" s="1" t="s">
        <v>1259</v>
      </c>
      <c r="B17530" s="0" t="s">
        <v>98</v>
      </c>
      <c r="C17530" s="6" t="n">
        <f aca="false">(w_ntm28*Sens!G17513+(1-w_ntm28)*Sens!H17513)*m_ads</f>
        <v>115.052170265314</v>
      </c>
    </row>
    <row r="17531" customFormat="false" ht="17.15" hidden="false" customHeight="false" outlineLevel="0" collapsed="false">
      <c r="A17531" s="1" t="s">
        <v>1260</v>
      </c>
      <c r="B17531" s="0" t="s">
        <v>98</v>
      </c>
      <c r="C17531" s="6" t="n">
        <f aca="false">(w_ntm28*Sens!G17518+(1-w_ntm28)*Sens!H17518)*m_game</f>
        <v>98.6441744432822</v>
      </c>
    </row>
    <row r="17532" customFormat="false" ht="17.15" hidden="false" customHeight="false" outlineLevel="0" collapsed="false">
      <c r="A17532" s="1" t="s">
        <v>1261</v>
      </c>
      <c r="B17532" s="0" t="s">
        <v>98</v>
      </c>
      <c r="C17532" s="6" t="n">
        <f aca="false">(w_ntm28*Sens!G17519+(1-w_ntm28)*Sens!H17519)*m_pc</f>
        <v>91.4523744908639</v>
      </c>
    </row>
    <row r="17533" customFormat="false" ht="17.15" hidden="false" customHeight="false" outlineLevel="0" collapsed="false">
      <c r="A17533" s="1" t="s">
        <v>1262</v>
      </c>
      <c r="B17533" s="0" t="s">
        <v>98</v>
      </c>
      <c r="C17533" s="6" t="n">
        <f aca="false">Sens!$C$17523+Sens!$C$17525+Sens!$C$17526+Sens!$C$17527+Sens!$C$17528+Sens!$C$17529+Sens!$C$17530+Sens!$C$17531+Sens!$C$17532</f>
        <v>3187.19367193516</v>
      </c>
    </row>
    <row r="17534" customFormat="false" ht="17.15" hidden="false" customHeight="false" outlineLevel="0" collapsed="false">
      <c r="A17534" s="1" t="s">
        <v>1263</v>
      </c>
      <c r="B17534" s="0" t="s">
        <v>98</v>
      </c>
      <c r="C17534" s="6" t="n">
        <f aca="false">(Sens!G17495-Sens!G17520)*t_stub</f>
        <v>47.8736426353991</v>
      </c>
      <c r="L17534" s="1" t="s">
        <v>1264</v>
      </c>
    </row>
    <row r="17535" customFormat="false" ht="17.15" hidden="false" customHeight="false" outlineLevel="0" collapsed="false">
      <c r="A17535" s="1" t="s">
        <v>1173</v>
      </c>
      <c r="B17535" s="0" t="s">
        <v>98</v>
      </c>
      <c r="C17535" s="6" t="n">
        <f aca="false">Sens!F17482+oai_v-Sens!F17471+Sens!$C$17534</f>
        <v>162.101912635399</v>
      </c>
      <c r="L17535" s="1" t="s">
        <v>1265</v>
      </c>
    </row>
    <row r="17536" customFormat="false" ht="17.15" hidden="false" customHeight="false" outlineLevel="0" collapsed="false">
      <c r="A17536" s="1" t="s">
        <v>1266</v>
      </c>
      <c r="B17536" s="0" t="s">
        <v>75</v>
      </c>
      <c r="C17536" s="5" t="n">
        <f aca="false">(Sens!$C$17533+Sens!$C$17535)/(Sens!F17484+dil_gap)-Sens!G17474*roll_div_q/q_per_yr</f>
        <v>445.800801990825</v>
      </c>
      <c r="L17536" s="1" t="s">
        <v>1267</v>
      </c>
    </row>
    <row r="17537" customFormat="false" ht="17.15" hidden="false" customHeight="false" outlineLevel="0" collapsed="false">
      <c r="A17537" s="1" t="s">
        <v>1268</v>
      </c>
      <c r="B17537" s="0" t="s">
        <v>75</v>
      </c>
      <c r="C17537" s="5" t="n">
        <f aca="false">w_dcf*Sens!$C$17507+(1-w_dcf)*Sens!$C$17536</f>
        <v>386.052173265412</v>
      </c>
    </row>
    <row r="17538" customFormat="false" ht="17.15" hidden="false" customHeight="false" outlineLevel="0" collapsed="false">
      <c r="A17538" s="3" t="s">
        <v>2044</v>
      </c>
    </row>
    <row r="17539" customFormat="false" ht="15" hidden="false" customHeight="false" outlineLevel="0" collapsed="false">
      <c r="A17539" s="4" t="s">
        <v>43</v>
      </c>
      <c r="B17539" s="4" t="s">
        <v>65</v>
      </c>
      <c r="C17539" s="23" t="s">
        <v>942</v>
      </c>
      <c r="D17539" s="23" t="s">
        <v>943</v>
      </c>
      <c r="E17539" s="23" t="s">
        <v>944</v>
      </c>
      <c r="F17539" s="23" t="s">
        <v>945</v>
      </c>
      <c r="G17539" s="23" t="s">
        <v>946</v>
      </c>
      <c r="H17539" s="23" t="s">
        <v>947</v>
      </c>
      <c r="I17539" s="23" t="s">
        <v>948</v>
      </c>
      <c r="J17539" s="23" t="s">
        <v>949</v>
      </c>
      <c r="K17539" s="23" t="s">
        <v>950</v>
      </c>
      <c r="L17539" s="4" t="s">
        <v>47</v>
      </c>
    </row>
    <row r="17540" customFormat="false" ht="17.15" hidden="false" customHeight="false" outlineLevel="0" collapsed="false">
      <c r="A17540" s="1" t="s">
        <v>951</v>
      </c>
      <c r="B17540" s="1" t="s">
        <v>279</v>
      </c>
      <c r="C17540" s="21" t="n">
        <v>2024</v>
      </c>
      <c r="D17540" s="21" t="n">
        <v>2025</v>
      </c>
      <c r="E17540" s="21" t="n">
        <v>2026</v>
      </c>
      <c r="F17540" s="21" t="n">
        <v>2027</v>
      </c>
      <c r="G17540" s="21" t="n">
        <v>2028</v>
      </c>
      <c r="H17540" s="21" t="n">
        <v>2029</v>
      </c>
      <c r="I17540" s="21" t="n">
        <v>2030</v>
      </c>
      <c r="J17540" s="21" t="n">
        <v>2031</v>
      </c>
      <c r="K17540" s="21" t="n">
        <v>2032</v>
      </c>
    </row>
    <row r="17541" customFormat="false" ht="17.15" hidden="false" customHeight="false" outlineLevel="0" collapsed="false">
      <c r="A17541" s="1" t="s">
        <v>952</v>
      </c>
      <c r="B17541" s="0" t="s">
        <v>459</v>
      </c>
      <c r="F17541" s="30" t="n">
        <f aca="false">pace</f>
        <v>2726.5351</v>
      </c>
      <c r="G17541" s="30" t="n">
        <f aca="false">pace</f>
        <v>2726.5351</v>
      </c>
      <c r="H17541" s="30" t="n">
        <f aca="false">pace</f>
        <v>2726.5351</v>
      </c>
      <c r="I17541" s="30" t="n">
        <f aca="false">pace+(g_tv*Sens!H17542-pace)*MIN(1,(Sens!I17540-pace_y0)/(pace_y1-pace_y0))</f>
        <v>1931.98611966667</v>
      </c>
      <c r="J17541" s="30" t="n">
        <f aca="false">pace+(g_tv*Sens!I17542-pace)*MIN(1,(Sens!J17540-pace_y0)/(pace_y1-pace_y0))</f>
        <v>1176.07686172667</v>
      </c>
      <c r="K17541" s="30" t="n">
        <f aca="false">pace+(g_tv*Sens!J17542-pace)*MIN(1,(Sens!K17540-pace_y0)/(pace_y1-pace_y0))</f>
        <v>436.1300484418</v>
      </c>
      <c r="L17541" s="12" t="s">
        <v>953</v>
      </c>
    </row>
    <row r="17542" customFormat="false" ht="17.15" hidden="false" customHeight="false" outlineLevel="0" collapsed="false">
      <c r="A17542" s="1" t="s">
        <v>954</v>
      </c>
      <c r="B17542" s="0" t="s">
        <v>459</v>
      </c>
      <c r="C17542" s="30" t="n">
        <f aca="false">mw_ext_24</f>
        <v>640</v>
      </c>
      <c r="D17542" s="30" t="n">
        <f aca="false">mw_ext_25</f>
        <v>1630</v>
      </c>
      <c r="E17542" s="30" t="n">
        <f aca="false">mw_ext_26</f>
        <v>3250</v>
      </c>
      <c r="F17542" s="30" t="n">
        <f aca="false">Sens!E17542+Sens!F17541</f>
        <v>5976.5351</v>
      </c>
      <c r="G17542" s="30" t="n">
        <f aca="false">Sens!F17542+Sens!G17541</f>
        <v>8703.0702</v>
      </c>
      <c r="H17542" s="30" t="n">
        <f aca="false">Sens!G17542+Sens!H17541</f>
        <v>11429.6053</v>
      </c>
      <c r="I17542" s="30" t="n">
        <f aca="false">Sens!H17542+Sens!I17541</f>
        <v>13361.5914196667</v>
      </c>
      <c r="J17542" s="30" t="n">
        <f aca="false">Sens!I17542+Sens!J17541</f>
        <v>14537.6682813933</v>
      </c>
      <c r="K17542" s="30" t="n">
        <f aca="false">Sens!J17542+Sens!K17541</f>
        <v>14973.7983298351</v>
      </c>
      <c r="L17542" s="1" t="s">
        <v>955</v>
      </c>
    </row>
    <row r="17543" customFormat="false" ht="17.15" hidden="false" customHeight="false" outlineLevel="0" collapsed="false">
      <c r="A17543" s="1" t="s">
        <v>956</v>
      </c>
      <c r="B17543" s="0" t="s">
        <v>459</v>
      </c>
      <c r="C17543" s="30" t="n">
        <f aca="false">rent_ext_24</f>
        <v>150</v>
      </c>
      <c r="D17543" s="30" t="n">
        <f aca="false">rent_ext_25</f>
        <v>400</v>
      </c>
      <c r="E17543" s="30" t="n">
        <f aca="false">rent_ext_26</f>
        <v>550</v>
      </c>
      <c r="F17543" s="30" t="n">
        <f aca="false">rent_ext_f</f>
        <v>756</v>
      </c>
      <c r="G17543" s="30" t="n">
        <f aca="false">rent_ext_f</f>
        <v>756</v>
      </c>
      <c r="H17543" s="30" t="n">
        <f aca="false">rent_ext_f</f>
        <v>756</v>
      </c>
      <c r="I17543" s="30" t="n">
        <f aca="false">rent_ext_f</f>
        <v>756</v>
      </c>
      <c r="J17543" s="30" t="n">
        <f aca="false">rent_ext_f</f>
        <v>756</v>
      </c>
      <c r="K17543" s="30" t="n">
        <f aca="false">rent_ext_f</f>
        <v>756</v>
      </c>
      <c r="L17543" s="1" t="s">
        <v>957</v>
      </c>
    </row>
    <row r="17544" customFormat="false" ht="17.15" hidden="false" customHeight="false" outlineLevel="0" collapsed="false">
      <c r="A17544" s="1" t="s">
        <v>958</v>
      </c>
      <c r="B17544" s="0" t="s">
        <v>459</v>
      </c>
      <c r="C17544" s="30" t="n">
        <f aca="false">Sens!C17542-Sens!C17543</f>
        <v>490</v>
      </c>
      <c r="D17544" s="30" t="n">
        <f aca="false">Sens!D17542-Sens!D17543</f>
        <v>1230</v>
      </c>
      <c r="E17544" s="30" t="n">
        <f aca="false">Sens!E17542-Sens!E17543</f>
        <v>2700</v>
      </c>
      <c r="F17544" s="30" t="n">
        <f aca="false">Sens!F17542-Sens!F17543</f>
        <v>5220.5351</v>
      </c>
      <c r="G17544" s="30" t="n">
        <f aca="false">Sens!G17542-Sens!G17543</f>
        <v>7947.0702</v>
      </c>
      <c r="H17544" s="30" t="n">
        <f aca="false">Sens!H17542-Sens!H17543</f>
        <v>10673.6053</v>
      </c>
      <c r="I17544" s="30" t="n">
        <f aca="false">Sens!I17542-Sens!I17543</f>
        <v>12605.5914196667</v>
      </c>
      <c r="J17544" s="30" t="n">
        <f aca="false">Sens!J17542-Sens!J17543</f>
        <v>13781.6682813933</v>
      </c>
      <c r="K17544" s="30" t="n">
        <f aca="false">Sens!K17542-Sens!K17543</f>
        <v>14217.7983298351</v>
      </c>
    </row>
    <row r="17545" customFormat="false" ht="17.15" hidden="false" customHeight="false" outlineLevel="0" collapsed="false">
      <c r="A17545" s="1" t="s">
        <v>959</v>
      </c>
      <c r="B17545" s="0" t="s">
        <v>459</v>
      </c>
      <c r="C17545" s="30" t="n">
        <f aca="false">Sens!C17544/ext_sh</f>
        <v>816.666666666667</v>
      </c>
      <c r="D17545" s="30" t="n">
        <f aca="false">Sens!D17544/ext_sh</f>
        <v>2050</v>
      </c>
      <c r="E17545" s="30" t="n">
        <f aca="false">Sens!E17544/ext_sh</f>
        <v>4500</v>
      </c>
      <c r="F17545" s="30" t="n">
        <f aca="false">Sens!F17544/ext_sh</f>
        <v>8700.89183333333</v>
      </c>
      <c r="G17545" s="30" t="n">
        <f aca="false">Sens!G17544/ext_sh</f>
        <v>13245.117</v>
      </c>
      <c r="H17545" s="30" t="n">
        <f aca="false">Sens!H17544/ext_sh</f>
        <v>17789.3421666667</v>
      </c>
      <c r="I17545" s="30" t="n">
        <f aca="false">Sens!I17544/ext_sh</f>
        <v>21009.3190327778</v>
      </c>
      <c r="J17545" s="30" t="n">
        <f aca="false">Sens!J17544/ext_sh</f>
        <v>22969.4471356556</v>
      </c>
      <c r="K17545" s="30" t="n">
        <f aca="false">Sens!K17544/ext_sh</f>
        <v>23696.3305497252</v>
      </c>
      <c r="L17545" s="1" t="s">
        <v>960</v>
      </c>
    </row>
    <row r="17546" customFormat="false" ht="17.15" hidden="false" customHeight="false" outlineLevel="0" collapsed="false">
      <c r="A17546" s="1" t="s">
        <v>961</v>
      </c>
      <c r="B17546" s="0" t="s">
        <v>459</v>
      </c>
      <c r="C17546" s="30" t="n">
        <f aca="false">Sens!C17545-Sens!C17544</f>
        <v>326.666666666667</v>
      </c>
      <c r="D17546" s="30" t="n">
        <f aca="false">Sens!D17545-Sens!D17544</f>
        <v>820</v>
      </c>
      <c r="E17546" s="30" t="n">
        <f aca="false">Sens!E17545-Sens!E17544</f>
        <v>1800</v>
      </c>
      <c r="F17546" s="30" t="n">
        <f aca="false">Sens!F17545-Sens!F17544</f>
        <v>3480.35673333333</v>
      </c>
      <c r="G17546" s="30" t="n">
        <f aca="false">Sens!G17545-Sens!G17544</f>
        <v>5298.0468</v>
      </c>
      <c r="H17546" s="30" t="n">
        <f aca="false">Sens!H17545-Sens!H17544</f>
        <v>7115.73686666667</v>
      </c>
      <c r="I17546" s="30" t="n">
        <f aca="false">Sens!I17545-Sens!I17544</f>
        <v>8403.72761311111</v>
      </c>
      <c r="J17546" s="30" t="n">
        <f aca="false">Sens!J17545-Sens!J17544</f>
        <v>9187.77885426222</v>
      </c>
      <c r="K17546" s="30" t="n">
        <f aca="false">Sens!K17545-Sens!K17544</f>
        <v>9478.53221989009</v>
      </c>
    </row>
    <row r="17547" customFormat="false" ht="17.15" hidden="false" customHeight="false" outlineLevel="0" collapsed="false">
      <c r="A17547" s="1" t="s">
        <v>962</v>
      </c>
      <c r="B17547" s="0" t="s">
        <v>459</v>
      </c>
      <c r="C17547" s="30" t="n">
        <f aca="false">Sens!C17545</f>
        <v>816.666666666667</v>
      </c>
      <c r="D17547" s="30" t="n">
        <f aca="false">Sens!D17545-Sens!C17545</f>
        <v>1233.33333333333</v>
      </c>
      <c r="E17547" s="30" t="n">
        <f aca="false">Sens!E17545-Sens!D17545</f>
        <v>2450</v>
      </c>
      <c r="F17547" s="30" t="n">
        <f aca="false">Sens!F17545-Sens!E17545</f>
        <v>4200.89183333333</v>
      </c>
      <c r="G17547" s="30" t="n">
        <f aca="false">Sens!G17545-Sens!F17545</f>
        <v>4544.22516666667</v>
      </c>
      <c r="H17547" s="30" t="n">
        <f aca="false">Sens!H17545-Sens!G17545</f>
        <v>4544.22516666667</v>
      </c>
      <c r="I17547" s="30" t="n">
        <f aca="false">Sens!I17545-Sens!H17545</f>
        <v>3219.97686611111</v>
      </c>
      <c r="J17547" s="30" t="n">
        <f aca="false">Sens!J17545-Sens!I17545</f>
        <v>1960.12810287778</v>
      </c>
      <c r="K17547" s="30" t="n">
        <f aca="false">Sens!K17545-Sens!J17545</f>
        <v>726.883414069667</v>
      </c>
    </row>
    <row r="17548" customFormat="false" ht="17.15" hidden="false" customHeight="false" outlineLevel="0" collapsed="false">
      <c r="A17548" s="1" t="s">
        <v>963</v>
      </c>
      <c r="B17548" s="0" t="s">
        <v>459</v>
      </c>
      <c r="D17548" s="30" t="n">
        <f aca="false">Sens!D17542-Sens!C17542</f>
        <v>990</v>
      </c>
      <c r="E17548" s="30" t="n">
        <f aca="false">Sens!E17542-Sens!D17542</f>
        <v>1620</v>
      </c>
      <c r="F17548" s="30" t="n">
        <f aca="false">Sens!F17542-Sens!E17542</f>
        <v>2726.5351</v>
      </c>
      <c r="G17548" s="30" t="n">
        <f aca="false">Sens!G17542-Sens!F17542</f>
        <v>2726.5351</v>
      </c>
      <c r="H17548" s="30" t="n">
        <f aca="false">Sens!H17542-Sens!G17542</f>
        <v>2726.5351</v>
      </c>
      <c r="I17548" s="30" t="n">
        <f aca="false">Sens!I17542-Sens!H17542</f>
        <v>1931.98611966667</v>
      </c>
      <c r="J17548" s="30" t="n">
        <f aca="false">Sens!J17542-Sens!I17542</f>
        <v>1176.07686172667</v>
      </c>
      <c r="K17548" s="30" t="n">
        <f aca="false">Sens!K17542-Sens!J17542</f>
        <v>436.130048441799</v>
      </c>
    </row>
    <row r="17549" customFormat="false" ht="17.15" hidden="false" customHeight="false" outlineLevel="0" collapsed="false">
      <c r="A17549" s="1" t="s">
        <v>964</v>
      </c>
      <c r="B17549" s="0" t="s">
        <v>459</v>
      </c>
      <c r="F17549" s="30" t="n">
        <f aca="false">Sens!F17568*ext_sh</f>
        <v>0</v>
      </c>
      <c r="G17549" s="30" t="n">
        <f aca="false">Sens!G17568*ext_sh</f>
        <v>0</v>
      </c>
      <c r="H17549" s="30" t="n">
        <f aca="false">Sens!H17568*ext_sh</f>
        <v>0</v>
      </c>
      <c r="I17549" s="30" t="n">
        <f aca="false">Sens!I17568*ext_sh</f>
        <v>490</v>
      </c>
      <c r="J17549" s="30" t="n">
        <f aca="false">Sens!J17568*ext_sh</f>
        <v>740</v>
      </c>
      <c r="K17549" s="30" t="n">
        <f aca="false">Sens!K17568*ext_sh</f>
        <v>1470</v>
      </c>
      <c r="L17549" s="1" t="s">
        <v>965</v>
      </c>
    </row>
    <row r="17550" customFormat="false" ht="17.15" hidden="false" customHeight="false" outlineLevel="0" collapsed="false">
      <c r="A17550" s="1" t="s">
        <v>966</v>
      </c>
      <c r="B17550" s="0" t="s">
        <v>459</v>
      </c>
      <c r="C17550" s="30" t="n">
        <f aca="false">mix_h*Sens!C17542</f>
        <v>128</v>
      </c>
      <c r="D17550" s="30" t="n">
        <f aca="false">mix_h*Sens!D17542</f>
        <v>326</v>
      </c>
      <c r="E17550" s="30" t="n">
        <f aca="false">mix_h*Sens!E17542</f>
        <v>650</v>
      </c>
      <c r="F17550" s="30" t="n">
        <f aca="false">Sens!E17550-Sens!F17549*mix_h</f>
        <v>650</v>
      </c>
      <c r="G17550" s="30" t="n">
        <f aca="false">Sens!F17550-Sens!G17549*mix_h</f>
        <v>650</v>
      </c>
      <c r="H17550" s="30" t="n">
        <f aca="false">Sens!G17550-Sens!H17549*mix_h</f>
        <v>650</v>
      </c>
      <c r="I17550" s="30" t="n">
        <f aca="false">Sens!H17550-Sens!I17549*mix_h</f>
        <v>552</v>
      </c>
      <c r="J17550" s="30" t="n">
        <f aca="false">Sens!I17550-Sens!J17549*mix_h</f>
        <v>404</v>
      </c>
      <c r="K17550" s="30" t="n">
        <f aca="false">Sens!J17550-Sens!K17549*mix_h</f>
        <v>110</v>
      </c>
    </row>
    <row r="17551" customFormat="false" ht="17.15" hidden="false" customHeight="false" outlineLevel="0" collapsed="false">
      <c r="A17551" s="1" t="s">
        <v>967</v>
      </c>
      <c r="B17551" s="0" t="s">
        <v>459</v>
      </c>
      <c r="C17551" s="30" t="n">
        <f aca="false">mix_g2*Sens!C17542</f>
        <v>288</v>
      </c>
      <c r="D17551" s="30" t="n">
        <f aca="false">mix_g2*Sens!D17542</f>
        <v>733.5</v>
      </c>
      <c r="E17551" s="30" t="n">
        <f aca="false">mix_g2*Sens!E17542</f>
        <v>1462.5</v>
      </c>
      <c r="F17551" s="30" t="n">
        <f aca="false">Sens!E17551-Sens!F17549*mix_g2</f>
        <v>1462.5</v>
      </c>
      <c r="G17551" s="30" t="n">
        <f aca="false">Sens!F17551-Sens!G17549*mix_g2</f>
        <v>1462.5</v>
      </c>
      <c r="H17551" s="30" t="n">
        <f aca="false">Sens!G17551-Sens!H17549*mix_g2</f>
        <v>1462.5</v>
      </c>
      <c r="I17551" s="30" t="n">
        <f aca="false">Sens!H17551-Sens!I17549*mix_g2</f>
        <v>1242</v>
      </c>
      <c r="J17551" s="30" t="n">
        <f aca="false">Sens!I17551-Sens!J17549*mix_g2</f>
        <v>909</v>
      </c>
      <c r="K17551" s="30" t="n">
        <f aca="false">Sens!J17551-Sens!K17549*mix_g2</f>
        <v>247.5</v>
      </c>
    </row>
    <row r="17552" customFormat="false" ht="17.15" hidden="false" customHeight="false" outlineLevel="0" collapsed="false">
      <c r="A17552" s="1" t="s">
        <v>968</v>
      </c>
      <c r="B17552" s="0" t="s">
        <v>459</v>
      </c>
      <c r="C17552" s="30" t="n">
        <f aca="false">mix_g3*Sens!C17542</f>
        <v>224</v>
      </c>
      <c r="D17552" s="30" t="n">
        <f aca="false">mix_g3*Sens!D17542</f>
        <v>570.5</v>
      </c>
      <c r="E17552" s="30" t="n">
        <f aca="false">mix_g3*Sens!E17542</f>
        <v>1137.5</v>
      </c>
      <c r="F17552" s="30" t="n">
        <f aca="false">Sens!E17552+(Sens!F17548+Sens!F17549)*(a_g3_27-nonnv*a_mai)-Sens!F17549*mix_g3</f>
        <v>2773.42106</v>
      </c>
      <c r="G17552" s="30" t="n">
        <f aca="false">Sens!F17552+(Sens!G17548+Sens!G17549)*(a_g3_28-nonnv*a_mai)-Sens!G17549*mix_g3</f>
        <v>3318.72808</v>
      </c>
      <c r="H17552" s="30" t="n">
        <f aca="false">Sens!G17552+(Sens!H17548+Sens!H17549)*(a_g3_29-nonnv*a_mai)-Sens!H17549*mix_g3</f>
        <v>3318.72808</v>
      </c>
      <c r="I17552" s="30" t="n">
        <f aca="false">Sens!H17552+(Sens!I17548+Sens!I17549)*(a_g3_29-nonnv*a_mai)-Sens!I17549*mix_g3</f>
        <v>3147.22808</v>
      </c>
      <c r="J17552" s="30" t="n">
        <f aca="false">Sens!I17552+(Sens!J17548+Sens!J17549)*(a_g3_29-nonnv*a_mai)-Sens!J17549*mix_g3</f>
        <v>2888.22808</v>
      </c>
      <c r="K17552" s="30" t="n">
        <f aca="false">Sens!J17552+(Sens!K17548+Sens!K17549)*(a_g3_29-nonnv*a_mai)-Sens!K17549*mix_g3</f>
        <v>2373.72808</v>
      </c>
    </row>
    <row r="17553" customFormat="false" ht="17.15" hidden="false" customHeight="false" outlineLevel="0" collapsed="false">
      <c r="A17553" s="1" t="s">
        <v>969</v>
      </c>
      <c r="B17553" s="0" t="s">
        <v>459</v>
      </c>
      <c r="C17553" s="30" t="n">
        <v>0</v>
      </c>
      <c r="D17553" s="30" t="n">
        <v>0</v>
      </c>
      <c r="E17553" s="30" t="n">
        <v>0</v>
      </c>
      <c r="F17553" s="30" t="n">
        <f aca="false">Sens!E17553+(Sens!F17548+Sens!F17549)*nonnv*a_mai</f>
        <v>272.65351</v>
      </c>
      <c r="G17553" s="30" t="n">
        <f aca="false">Sens!F17553+(Sens!G17548+Sens!G17549)*nonnv*a_mai</f>
        <v>545.30702</v>
      </c>
      <c r="H17553" s="30" t="n">
        <f aca="false">Sens!G17553+(Sens!H17548+Sens!H17549)*nonnv*a_mai</f>
        <v>817.96053</v>
      </c>
      <c r="I17553" s="30" t="n">
        <f aca="false">Sens!H17553+(Sens!I17548+Sens!I17549)*nonnv*a_mai</f>
        <v>1060.15914196667</v>
      </c>
      <c r="J17553" s="30" t="n">
        <f aca="false">Sens!I17553+(Sens!J17548+Sens!J17549)*nonnv*a_mai</f>
        <v>1251.76682813933</v>
      </c>
      <c r="K17553" s="30" t="n">
        <f aca="false">Sens!J17553+(Sens!K17548+Sens!K17549)*nonnv*a_mai</f>
        <v>1442.37983298351</v>
      </c>
      <c r="L17553" s="12" t="s">
        <v>970</v>
      </c>
    </row>
    <row r="17554" customFormat="false" ht="17.15" hidden="false" customHeight="false" outlineLevel="0" collapsed="false">
      <c r="A17554" s="1" t="s">
        <v>971</v>
      </c>
      <c r="B17554" s="0" t="s">
        <v>459</v>
      </c>
      <c r="C17554" s="30" t="n">
        <v>0</v>
      </c>
      <c r="D17554" s="30" t="n">
        <v>0</v>
      </c>
      <c r="E17554" s="30" t="n">
        <v>0</v>
      </c>
      <c r="F17554" s="30" t="n">
        <f aca="false">Sens!E17554+(Sens!F17548+Sens!F17549)*(1-a_g3_27)</f>
        <v>817.96053</v>
      </c>
      <c r="G17554" s="30" t="n">
        <f aca="false">Sens!F17554+(Sens!G17548+Sens!G17549)*(1-a_g3_28)</f>
        <v>2726.5351</v>
      </c>
      <c r="H17554" s="30" t="n">
        <f aca="false">Sens!G17554+(Sens!H17548+Sens!H17549)*(1-a_g3_29)</f>
        <v>5180.41669</v>
      </c>
      <c r="I17554" s="30" t="n">
        <f aca="false">Sens!H17554+(Sens!I17548+Sens!I17549)*(1-a_g3_29)</f>
        <v>7360.2041977</v>
      </c>
      <c r="J17554" s="30" t="n">
        <f aca="false">Sens!I17554+(Sens!J17548+Sens!J17549)*(1-a_g3_29)</f>
        <v>9084.673373254</v>
      </c>
      <c r="K17554" s="30" t="n">
        <f aca="false">Sens!J17554+(Sens!K17548+Sens!K17549)*(1-a_g3_29)</f>
        <v>10800.1904168516</v>
      </c>
    </row>
    <row r="17555" customFormat="false" ht="17.15" hidden="false" customHeight="false" outlineLevel="0" collapsed="false">
      <c r="A17555" s="1" t="s">
        <v>972</v>
      </c>
      <c r="B17555" s="0" t="s">
        <v>403</v>
      </c>
      <c r="C17555" s="15" t="n">
        <f aca="false">(Sens!C17550*tk_hold_h100+Sens!C17551*tk_hold_gb200+Sens!C17552*tk_hold_gb300+Sens!C17554*tk_hold_vr200+Sens!C17553*nv_hold_mai*tk_hold_vr200)/Sens!C17542</f>
        <v>9.7235358126469</v>
      </c>
      <c r="D17555" s="15" t="n">
        <f aca="false">(Sens!D17550*tk_hold_h100+Sens!D17551*tk_hold_gb200+Sens!D17552*tk_hold_gb300+Sens!D17554*tk_hold_vr200+Sens!D17553*nv_hold_mai*tk_hold_vr200)/Sens!D17542</f>
        <v>9.7235358126469</v>
      </c>
      <c r="E17555" s="15" t="n">
        <f aca="false">(Sens!E17550*tk_hold_h100+Sens!E17551*tk_hold_gb200+Sens!E17552*tk_hold_gb300+Sens!E17554*tk_hold_vr200+Sens!E17553*nv_hold_mai*tk_hold_vr200)/Sens!E17542</f>
        <v>9.7235358126469</v>
      </c>
      <c r="F17555" s="15" t="n">
        <f aca="false">(Sens!F17550*tk_hold_h100+Sens!F17551*tk_hold_gb200+Sens!F17552*tk_hold_gb300+Sens!F17554*tk_hold_vr200+Sens!F17553*nv_hold_mai*tk_hold_vr200)/Sens!F17542</f>
        <v>10.2195353876665</v>
      </c>
      <c r="G17555" s="15" t="n">
        <f aca="false">(Sens!G17550*tk_hold_h100+Sens!G17551*tk_hold_gb200+Sens!G17552*tk_hold_gb300+Sens!G17554*tk_hold_vr200+Sens!G17553*nv_hold_mai*tk_hold_vr200)/Sens!G17542</f>
        <v>10.5725598017306</v>
      </c>
      <c r="H17555" s="15" t="n">
        <f aca="false">(Sens!H17550*tk_hold_h100+Sens!H17551*tk_hold_gb200+Sens!H17552*tk_hold_gb300+Sens!H17554*tk_hold_vr200+Sens!H17553*nv_hold_mai*tk_hold_vr200)/Sens!H17542</f>
        <v>10.8210427149036</v>
      </c>
      <c r="I17555" s="15" t="n">
        <f aca="false">(Sens!I17550*tk_hold_h100+Sens!I17551*tk_hold_gb200+Sens!I17552*tk_hold_gb300+Sens!I17554*tk_hold_vr200+Sens!I17553*nv_hold_mai*tk_hold_vr200)/Sens!I17542</f>
        <v>11.0050618241982</v>
      </c>
      <c r="J17555" s="15" t="n">
        <f aca="false">(Sens!J17550*tk_hold_h100+Sens!J17551*tk_hold_gb200+Sens!J17552*tk_hold_gb300+Sens!J17554*tk_hold_vr200+Sens!J17553*nv_hold_mai*tk_hold_vr200)/Sens!J17542</f>
        <v>11.1505789658881</v>
      </c>
      <c r="K17555" s="15" t="n">
        <f aca="false">(Sens!K17550*tk_hold_h100+Sens!K17551*tk_hold_gb200+Sens!K17552*tk_hold_gb300+Sens!K17554*tk_hold_vr200+Sens!K17553*nv_hold_mai*tk_hold_vr200)/Sens!K17542</f>
        <v>11.3496914757183</v>
      </c>
      <c r="L17555" s="1" t="s">
        <v>973</v>
      </c>
    </row>
    <row r="17556" customFormat="false" ht="17.15" hidden="false" customHeight="false" outlineLevel="0" collapsed="false">
      <c r="A17556" s="1" t="s">
        <v>974</v>
      </c>
      <c r="B17556" s="0" t="s">
        <v>403</v>
      </c>
      <c r="C17556" s="15" t="n">
        <f aca="false">(Sens!C17550*tk_hold_h100+Sens!C17551*tk_hold_gb200+Sens!C17552*tk_hold_gb300+Sens!C17554*tk_hold_vr200+Sens!C17553*nv_out_mai*tk_hold_vr200)/Sens!C17542</f>
        <v>9.7235358126469</v>
      </c>
      <c r="D17556" s="15" t="n">
        <f aca="false">(Sens!D17550*tk_hold_h100+Sens!D17551*tk_hold_gb200+Sens!D17552*tk_hold_gb300+Sens!D17554*tk_hold_vr200+Sens!D17553*nv_out_mai*tk_hold_vr200)/Sens!D17542</f>
        <v>9.7235358126469</v>
      </c>
      <c r="E17556" s="15" t="n">
        <f aca="false">(Sens!E17550*tk_hold_h100+Sens!E17551*tk_hold_gb200+Sens!E17552*tk_hold_gb300+Sens!E17554*tk_hold_vr200+Sens!E17553*nv_out_mai*tk_hold_vr200)/Sens!E17542</f>
        <v>9.7235358126469</v>
      </c>
      <c r="F17556" s="15" t="n">
        <f aca="false">(Sens!F17550*tk_hold_h100+Sens!F17551*tk_hold_gb200+Sens!F17552*tk_hold_gb300+Sens!F17554*tk_hold_vr200+Sens!F17553*nv_out_mai*tk_hold_vr200)/Sens!F17542</f>
        <v>10.247422093969</v>
      </c>
      <c r="G17556" s="15" t="n">
        <f aca="false">(Sens!G17550*tk_hold_h100+Sens!G17551*tk_hold_gb200+Sens!G17552*tk_hold_gb300+Sens!G17554*tk_hold_vr200+Sens!G17553*nv_out_mai*tk_hold_vr200)/Sens!G17542</f>
        <v>10.6108602808053</v>
      </c>
      <c r="H17556" s="15" t="n">
        <f aca="false">(Sens!H17550*tk_hold_h100+Sens!H17551*tk_hold_gb200+Sens!H17552*tk_hold_gb300+Sens!H17554*tk_hold_vr200+Sens!H17553*nv_out_mai*tk_hold_vr200)/Sens!H17542</f>
        <v>10.8647885507393</v>
      </c>
      <c r="I17556" s="15" t="n">
        <f aca="false">(Sens!I17550*tk_hold_h100+Sens!I17551*tk_hold_gb200+Sens!I17552*tk_hold_gb300+Sens!I17554*tk_hold_vr200+Sens!I17553*nv_out_mai*tk_hold_vr200)/Sens!I17542</f>
        <v>11.0535625770025</v>
      </c>
      <c r="J17556" s="15" t="n">
        <f aca="false">(Sens!J17550*tk_hold_h100+Sens!J17551*tk_hold_gb200+Sens!J17552*tk_hold_gb300+Sens!J17554*tk_hold_vr200+Sens!J17553*nv_out_mai*tk_hold_vr200)/Sens!J17542</f>
        <v>11.2032127128058</v>
      </c>
      <c r="K17556" s="15" t="n">
        <f aca="false">(Sens!K17550*tk_hold_h100+Sens!K17551*tk_hold_gb200+Sens!K17552*tk_hold_gb300+Sens!K17554*tk_hold_vr200+Sens!K17553*nv_out_mai*tk_hold_vr200)/Sens!K17542</f>
        <v>11.4085735724225</v>
      </c>
      <c r="L17556" s="12" t="s">
        <v>975</v>
      </c>
    </row>
    <row r="17557" customFormat="false" ht="17.15" hidden="false" customHeight="false" outlineLevel="0" collapsed="false">
      <c r="A17557" s="0" t="s">
        <v>976</v>
      </c>
      <c r="B17557" s="0" t="s">
        <v>229</v>
      </c>
      <c r="C17557" s="15" t="n">
        <f aca="false">k_B</f>
        <v>1.17213932619116</v>
      </c>
      <c r="D17557" s="15" t="n">
        <f aca="false">k_B</f>
        <v>1.17213932619116</v>
      </c>
      <c r="E17557" s="15" t="n">
        <f aca="false">k_B</f>
        <v>1.17213932619116</v>
      </c>
      <c r="F17557" s="15" t="n">
        <f aca="false">(k_B+((ls_C*k_long+(1-ls_C)*k_spot)-k_B)*MIN(1,(Sens!F17540-base_fy)/k_ramp))</f>
        <v>1.07843258004497</v>
      </c>
      <c r="G17557" s="15" t="n">
        <f aca="false">(k_B+((ls_C*k_long+(1-ls_C)*k_spot)-k_B)*MIN(1,(Sens!G17540-base_fy)/k_ramp))</f>
        <v>0.984725833898784</v>
      </c>
      <c r="H17557" s="15" t="n">
        <f aca="false">(k_B+((ls_C*k_long+(1-ls_C)*k_spot)-k_B)*MIN(1,(Sens!H17540-base_fy)/k_ramp))</f>
        <v>0.891019087752599</v>
      </c>
      <c r="I17557" s="15" t="n">
        <f aca="false">(k_B+((ls_C*k_long+(1-ls_C)*k_spot)-k_B)*MIN(1,(Sens!I17540-base_fy)/k_ramp))</f>
        <v>0.891019087752599</v>
      </c>
      <c r="J17557" s="15" t="n">
        <f aca="false">(k_B+((ls_C*k_long+(1-ls_C)*k_spot)-k_B)*MIN(1,(Sens!J17540-base_fy)/k_ramp))</f>
        <v>0.891019087752599</v>
      </c>
      <c r="K17557" s="15" t="n">
        <f aca="false">(k_B+((ls_C*k_long+(1-ls_C)*k_spot)-k_B)*MIN(1,(Sens!K17540-base_fy)/k_ramp))</f>
        <v>0.891019087752599</v>
      </c>
      <c r="L17557" s="1" t="s">
        <v>977</v>
      </c>
    </row>
    <row r="17558" customFormat="false" ht="17.15" hidden="false" customHeight="false" outlineLevel="0" collapsed="false">
      <c r="A17558" s="1" t="s">
        <v>978</v>
      </c>
      <c r="B17558" s="0" t="s">
        <v>403</v>
      </c>
      <c r="C17558" s="15" t="n">
        <f aca="false">Sens!C17556*Sens!C17557*chip_f</f>
        <v>11.3973387156315</v>
      </c>
      <c r="D17558" s="15" t="n">
        <f aca="false">Sens!D17556*Sens!D17557*chip_f</f>
        <v>11.3973387156315</v>
      </c>
      <c r="E17558" s="15" t="n">
        <f aca="false">Sens!E17556*Sens!E17557*chip_f</f>
        <v>11.3973387156315</v>
      </c>
      <c r="F17558" s="15" t="n">
        <f aca="false">Sens!F17556*Sens!F17557*chip_f</f>
        <v>11.0511538476088</v>
      </c>
      <c r="G17558" s="15" t="n">
        <f aca="false">Sens!G17556*Sens!G17557*chip_f</f>
        <v>10.4487882383995</v>
      </c>
      <c r="H17558" s="15" t="n">
        <f aca="false">Sens!H17556*Sens!H17557*chip_f</f>
        <v>9.68073398310464</v>
      </c>
      <c r="I17558" s="15" t="n">
        <f aca="false">Sens!I17556*Sens!I17557*chip_f</f>
        <v>9.84893524377706</v>
      </c>
      <c r="J17558" s="15" t="n">
        <f aca="false">Sens!J17556*Sens!J17557*chip_f</f>
        <v>9.98227637126252</v>
      </c>
      <c r="K17558" s="15" t="n">
        <f aca="false">Sens!K17556*Sens!K17557*chip_f</f>
        <v>10.1652568170583</v>
      </c>
      <c r="L17558" s="1" t="s">
        <v>979</v>
      </c>
    </row>
    <row r="17559" customFormat="false" ht="17.15" hidden="false" customHeight="false" outlineLevel="0" collapsed="false">
      <c r="A17559" s="0" t="s">
        <v>980</v>
      </c>
      <c r="B17559" s="0" t="s">
        <v>98</v>
      </c>
      <c r="D17559" s="6" t="n">
        <f aca="false">(Sens!C17542+Sens!D17542)/2*Sens!D17558/1000</f>
        <v>12.9359794422418</v>
      </c>
      <c r="E17559" s="6" t="n">
        <f aca="false">(Sens!D17542+Sens!E17542)/2*Sens!E17558/1000</f>
        <v>27.8095064661409</v>
      </c>
      <c r="F17559" s="6" t="n">
        <f aca="false">(Sens!E17542+Sens!F17542)/2*Sens!F17558/1000</f>
        <v>50.9819294352312</v>
      </c>
      <c r="G17559" s="6" t="n">
        <f aca="false">(Sens!F17542+Sens!G17542)/2*Sens!G17558/1000</f>
        <v>76.6920436014933</v>
      </c>
      <c r="H17559" s="6" t="n">
        <f aca="false">(Sens!G17542+Sens!H17542)/2*Sens!H17558/1000</f>
        <v>97.4495379418341</v>
      </c>
      <c r="I17559" s="6" t="n">
        <f aca="false">(Sens!H17542+Sens!I17542)/2*Sens!I17558/1000</f>
        <v>122.083445553868</v>
      </c>
      <c r="J17559" s="6" t="n">
        <f aca="false">(Sens!I17542+Sens!J17542)/2*Sens!J17558/1000</f>
        <v>139.249060444804</v>
      </c>
      <c r="K17559" s="6" t="n">
        <f aca="false">(Sens!J17542+Sens!K17542)/2*Sens!K17558/1000</f>
        <v>149.995818575589</v>
      </c>
      <c r="L17559" s="12" t="s">
        <v>981</v>
      </c>
    </row>
    <row r="17560" customFormat="false" ht="17.15" hidden="false" customHeight="false" outlineLevel="0" collapsed="false">
      <c r="A17560" s="1" t="s">
        <v>982</v>
      </c>
      <c r="B17560" s="0" t="s">
        <v>403</v>
      </c>
      <c r="C17560" s="15" t="n">
        <f aca="false">(Sens!C17550*tk_opex_h100+Sens!C17551*tk_opex_gb200+Sens!C17552*tk_opex_gb300+(Sens!C17554+Sens!C17553)*tk_opex_vr200)/Sens!C17542</f>
        <v>1.88636041306092</v>
      </c>
      <c r="D17560" s="15" t="n">
        <f aca="false">(Sens!D17550*tk_opex_h100+Sens!D17551*tk_opex_gb200+Sens!D17552*tk_opex_gb300+(Sens!D17554+Sens!D17553)*tk_opex_vr200)/Sens!D17542</f>
        <v>1.88636041306092</v>
      </c>
      <c r="E17560" s="15" t="n">
        <f aca="false">(Sens!E17550*tk_opex_h100+Sens!E17551*tk_opex_gb200+Sens!E17552*tk_opex_gb300+(Sens!E17554+Sens!E17553)*tk_opex_vr200)/Sens!E17542</f>
        <v>1.88636041306092</v>
      </c>
      <c r="F17560" s="15" t="n">
        <f aca="false">(Sens!F17550*tk_opex_h100+Sens!F17551*tk_opex_gb200+Sens!F17552*tk_opex_gb300+(Sens!F17554+Sens!F17553)*tk_opex_vr200)/Sens!F17542</f>
        <v>1.95051159746876</v>
      </c>
      <c r="G17560" s="15" t="n">
        <f aca="false">(Sens!G17550*tk_opex_h100+Sens!G17551*tk_opex_gb200+Sens!G17552*tk_opex_gb300+(Sens!G17554+Sens!G17553)*tk_opex_vr200)/Sens!G17542</f>
        <v>1.98836003669956</v>
      </c>
      <c r="H17560" s="15" t="n">
        <f aca="false">(Sens!H17550*tk_opex_h100+Sens!H17551*tk_opex_gb200+Sens!H17552*tk_opex_gb300+(Sens!H17554+Sens!H17553)*tk_opex_vr200)/Sens!H17542</f>
        <v>2.01344013834343</v>
      </c>
      <c r="I17560" s="15" t="n">
        <f aca="false">(Sens!I17550*tk_opex_h100+Sens!I17551*tk_opex_gb200+Sens!I17552*tk_opex_gb300+(Sens!I17554+Sens!I17553)*tk_opex_vr200)/Sens!I17542</f>
        <v>2.03261166882178</v>
      </c>
      <c r="J17560" s="15" t="n">
        <f aca="false">(Sens!J17550*tk_opex_h100+Sens!J17551*tk_opex_gb200+Sens!J17552*tk_opex_gb300+(Sens!J17554+Sens!J17553)*tk_opex_vr200)/Sens!J17542</f>
        <v>2.04808073288745</v>
      </c>
      <c r="K17560" s="15" t="n">
        <f aca="false">(Sens!K17550*tk_opex_h100+Sens!K17551*tk_opex_gb200+Sens!K17552*tk_opex_gb300+(Sens!K17554+Sens!K17553)*tk_opex_vr200)/Sens!K17542</f>
        <v>2.06973825807449</v>
      </c>
      <c r="L17560" s="12" t="s">
        <v>983</v>
      </c>
    </row>
    <row r="17561" customFormat="false" ht="17.15" hidden="false" customHeight="false" outlineLevel="0" collapsed="false">
      <c r="A17561" s="0" t="s">
        <v>984</v>
      </c>
      <c r="B17561" s="0" t="s">
        <v>98</v>
      </c>
      <c r="D17561" s="6" t="n">
        <f aca="false">(Sens!C17545+Sens!D17545)/2*Sens!D17560/1000</f>
        <v>2.70378325872065</v>
      </c>
      <c r="E17561" s="6" t="n">
        <f aca="false">(Sens!D17545+Sens!E17545)/2*Sens!E17560/1000</f>
        <v>6.17783035277451</v>
      </c>
      <c r="F17561" s="6" t="n">
        <f aca="false">(Sens!E17545+Sens!F17545)/2*Sens!F17560/1000</f>
        <v>12.8742463089237</v>
      </c>
      <c r="G17561" s="6" t="n">
        <f aca="false">(Sens!F17545+Sens!G17545)/2*Sens!G17560/1000</f>
        <v>21.8182834646277</v>
      </c>
      <c r="H17561" s="6" t="n">
        <f aca="false">(Sens!G17545+Sens!H17545)/2*Sens!H17560/1000</f>
        <v>31.2430128789734</v>
      </c>
      <c r="I17561" s="6" t="n">
        <f aca="false">(Sens!H17545+Sens!I17545)/2*Sens!I17560/1000</f>
        <v>39.4313057443268</v>
      </c>
      <c r="J17561" s="6" t="n">
        <f aca="false">(Sens!I17545+Sens!J17545)/2*Sens!J17560/1000</f>
        <v>45.0360318228653</v>
      </c>
      <c r="K17561" s="6" t="n">
        <f aca="false">(Sens!J17545+Sens!K17545)/2*Sens!K17560/1000</f>
        <v>48.2929727091156</v>
      </c>
    </row>
    <row r="17562" customFormat="false" ht="17.15" hidden="false" customHeight="false" outlineLevel="0" collapsed="false">
      <c r="A17562" s="0" t="s">
        <v>985</v>
      </c>
      <c r="B17562" s="0" t="s">
        <v>98</v>
      </c>
      <c r="D17562" s="6" t="n">
        <f aca="false">(Sens!C17543+Sens!D17543)/2*rent_mw/1000</f>
        <v>2.44475</v>
      </c>
      <c r="E17562" s="6" t="n">
        <f aca="false">(Sens!D17543+Sens!E17543)/2*rent_mw/1000</f>
        <v>4.22275</v>
      </c>
      <c r="F17562" s="6" t="n">
        <f aca="false">(Sens!E17543+Sens!F17543)/2*rent_mw/1000</f>
        <v>5.80517</v>
      </c>
      <c r="G17562" s="6" t="n">
        <f aca="false">(Sens!F17543+Sens!G17543)/2*rent_mw/1000</f>
        <v>6.72084</v>
      </c>
      <c r="H17562" s="6" t="n">
        <f aca="false">(Sens!G17543+Sens!H17543)/2*rent_mw/1000</f>
        <v>6.72084</v>
      </c>
      <c r="I17562" s="6" t="n">
        <f aca="false">(Sens!H17543+Sens!I17543)/2*rent_mw/1000</f>
        <v>6.72084</v>
      </c>
      <c r="J17562" s="6" t="n">
        <f aca="false">(Sens!I17543+Sens!J17543)/2*rent_mw/1000</f>
        <v>6.72084</v>
      </c>
      <c r="K17562" s="6" t="n">
        <f aca="false">(Sens!J17543+Sens!K17543)/2*rent_mw/1000</f>
        <v>6.72084</v>
      </c>
    </row>
    <row r="17563" customFormat="false" ht="17.15" hidden="false" customHeight="false" outlineLevel="0" collapsed="false">
      <c r="A17563" s="0" t="s">
        <v>986</v>
      </c>
      <c r="B17563" s="0" t="s">
        <v>98</v>
      </c>
      <c r="D17563" s="6" t="n">
        <f aca="false">(Sens!C17545+Sens!D17545)/2*(1-self_build)*fac_rent/1000</f>
        <v>0.853242375631075</v>
      </c>
      <c r="E17563" s="6" t="n">
        <f aca="false">(Sens!D17545+Sens!E17545)/2*(1-self_build)*fac_rent/1000</f>
        <v>1.94955961408728</v>
      </c>
      <c r="F17563" s="6" t="n">
        <f aca="false">(Sens!E17545+Sens!F17545)/2*(1-self_build)*fac_rent/1000</f>
        <v>3.92914894476356</v>
      </c>
      <c r="G17563" s="6" t="n">
        <f aca="false">(Sens!F17545+Sens!G17545)/2*(1-self_build)*fac_rent/1000</f>
        <v>6.53206908578159</v>
      </c>
      <c r="H17563" s="6" t="n">
        <f aca="false">(Sens!G17545+Sens!H17545)/2*(1-self_build)*fac_rent/1000</f>
        <v>9.23717988341591</v>
      </c>
      <c r="I17563" s="6" t="n">
        <f aca="false">(Sens!H17545+Sens!I17545)/2*(1-self_build)*fac_rent/1000</f>
        <v>11.5481378557393</v>
      </c>
      <c r="J17563" s="6" t="n">
        <f aca="false">(Sens!I17545+Sens!J17545)/2*(1-self_build)*fac_rent/1000</f>
        <v>13.0899582289108</v>
      </c>
      <c r="K17563" s="6" t="n">
        <f aca="false">(Sens!J17545+Sens!K17545)/2*(1-self_build)*fac_rent/1000</f>
        <v>13.8897275626556</v>
      </c>
      <c r="L17563" s="12" t="s">
        <v>987</v>
      </c>
    </row>
    <row r="17564" customFormat="false" ht="17.15" hidden="false" customHeight="false" outlineLevel="0" collapsed="false">
      <c r="A17564" s="1" t="s">
        <v>988</v>
      </c>
      <c r="B17564" s="0" t="s">
        <v>168</v>
      </c>
      <c r="D17564" s="7" t="n">
        <f aca="false">(Sens!C17544+Sens!D17544)/(Sens!C17545+Sens!D17545)</f>
        <v>0.6</v>
      </c>
      <c r="E17564" s="7" t="n">
        <f aca="false">(Sens!D17544+Sens!E17544)/(Sens!D17545+Sens!E17545)</f>
        <v>0.6</v>
      </c>
      <c r="F17564" s="7" t="n">
        <f aca="false">(Sens!E17544+Sens!F17544)/(Sens!E17545+Sens!F17545)</f>
        <v>0.6</v>
      </c>
      <c r="G17564" s="7" t="n">
        <f aca="false">(Sens!F17544+Sens!G17544)/(Sens!F17545+Sens!G17545)</f>
        <v>0.6</v>
      </c>
      <c r="H17564" s="7" t="n">
        <f aca="false">(Sens!G17544+Sens!H17544)/(Sens!G17545+Sens!H17545)</f>
        <v>0.6</v>
      </c>
      <c r="I17564" s="7" t="n">
        <f aca="false">(Sens!H17544+Sens!I17544)/(Sens!H17545+Sens!I17545)</f>
        <v>0.6</v>
      </c>
      <c r="J17564" s="7" t="n">
        <f aca="false">(Sens!I17544+Sens!J17544)/(Sens!I17545+Sens!J17545)</f>
        <v>0.6</v>
      </c>
      <c r="K17564" s="7" t="n">
        <f aca="false">(Sens!J17544+Sens!K17544)/(Sens!J17545+Sens!K17545)</f>
        <v>0.6</v>
      </c>
    </row>
    <row r="17565" customFormat="false" ht="17.15" hidden="false" customHeight="false" outlineLevel="0" collapsed="false">
      <c r="A17565" s="0" t="s">
        <v>989</v>
      </c>
      <c r="B17565" s="0" t="s">
        <v>98</v>
      </c>
      <c r="D17565" s="6" t="n">
        <f aca="false">Sens!D17559-Sens!D17564*(Sens!D17561+Sens!D17563)-Sens!D17562</f>
        <v>8.35701406163072</v>
      </c>
      <c r="E17565" s="6" t="n">
        <f aca="false">Sens!E17559-Sens!E17564*(Sens!E17561+Sens!E17563)-Sens!E17562</f>
        <v>18.7103224860238</v>
      </c>
      <c r="F17565" s="6" t="n">
        <f aca="false">Sens!F17559-Sens!F17564*(Sens!F17561+Sens!F17563)-Sens!F17562</f>
        <v>35.0947222830189</v>
      </c>
      <c r="G17565" s="6" t="n">
        <f aca="false">Sens!G17559-Sens!G17564*(Sens!G17561+Sens!G17563)-Sens!G17562</f>
        <v>52.9609920712477</v>
      </c>
      <c r="H17565" s="6" t="n">
        <f aca="false">Sens!H17559-Sens!H17564*(Sens!H17561+Sens!H17563)-Sens!H17562</f>
        <v>66.4405822844005</v>
      </c>
      <c r="I17565" s="6" t="n">
        <f aca="false">Sens!I17559-Sens!I17564*(Sens!I17561+Sens!I17563)-Sens!I17562</f>
        <v>84.7749393938279</v>
      </c>
      <c r="J17565" s="6" t="n">
        <f aca="false">Sens!J17559-Sens!J17564*(Sens!J17561+Sens!J17563)-Sens!J17562</f>
        <v>97.6526264137382</v>
      </c>
      <c r="K17565" s="6" t="n">
        <f aca="false">Sens!K17559-Sens!K17564*(Sens!K17561+Sens!K17563)-Sens!K17562</f>
        <v>105.965358412527</v>
      </c>
    </row>
    <row r="17566" customFormat="false" ht="17.15" hidden="false" customHeight="false" outlineLevel="0" collapsed="false">
      <c r="A17566" s="1" t="s">
        <v>990</v>
      </c>
      <c r="B17566" s="0" t="s">
        <v>98</v>
      </c>
      <c r="D17566" s="6" t="n">
        <f aca="false">(1-Sens!D17564)*(Sens!D17561+Sens!D17563)</f>
        <v>1.42281025374069</v>
      </c>
      <c r="E17566" s="6" t="n">
        <f aca="false">(1-Sens!E17564)*(Sens!E17561+Sens!E17563)</f>
        <v>3.25095598674472</v>
      </c>
      <c r="F17566" s="6" t="n">
        <f aca="false">(1-Sens!F17564)*(Sens!F17561+Sens!F17563)</f>
        <v>6.72135810147489</v>
      </c>
      <c r="G17566" s="6" t="n">
        <f aca="false">(1-Sens!G17564)*(Sens!G17561+Sens!G17563)</f>
        <v>11.3401410201637</v>
      </c>
      <c r="H17566" s="6" t="n">
        <f aca="false">(1-Sens!H17564)*(Sens!H17561+Sens!H17563)</f>
        <v>16.1920771049557</v>
      </c>
      <c r="I17566" s="6" t="n">
        <f aca="false">(1-Sens!I17564)*(Sens!I17561+Sens!I17563)</f>
        <v>20.3917774400264</v>
      </c>
      <c r="J17566" s="6" t="n">
        <f aca="false">(1-Sens!J17564)*(Sens!J17561+Sens!J17563)</f>
        <v>23.2503960207104</v>
      </c>
      <c r="K17566" s="6" t="n">
        <f aca="false">(1-Sens!K17564)*(Sens!K17561+Sens!K17563)</f>
        <v>24.8730801087085</v>
      </c>
    </row>
    <row r="17567" customFormat="false" ht="17.15" hidden="false" customHeight="false" outlineLevel="0" collapsed="false">
      <c r="A17567" s="1" t="s">
        <v>991</v>
      </c>
      <c r="B17567" s="0" t="s">
        <v>417</v>
      </c>
      <c r="C17567" s="8" t="n">
        <f aca="false">cxit_open</f>
        <v>27.5918995</v>
      </c>
      <c r="D17567" s="8" t="n">
        <f aca="false">cxit_open</f>
        <v>27.5918995</v>
      </c>
      <c r="E17567" s="8" t="n">
        <f aca="false">cxit_open</f>
        <v>27.5918995</v>
      </c>
      <c r="F17567" s="8" t="n">
        <f aca="false">((a_g3_27-nonnv*a_mai)*tk_cxit_gb300+nonnv*a_mai*nv_hold_mai*tk_cxit_vr200+(1-a_g3_27)*tk_cxit_vr200)</f>
        <v>32.4975576</v>
      </c>
      <c r="G17567" s="8" t="n">
        <f aca="false">((a_g3_28-nonnv*a_mai)*tk_cxit_gb300+nonnv*a_mai*nv_hold_mai*tk_cxit_vr200+(1-a_g3_28)*tk_cxit_vr200)</f>
        <v>34.6372088</v>
      </c>
      <c r="H17567" s="8" t="n">
        <f aca="false">((a_g3_29-nonnv*a_mai)*tk_cxit_gb300+nonnv*a_mai*nv_hold_mai*tk_cxit_vr200+(1-a_g3_29)*tk_cxit_vr200)</f>
        <v>35.7070344</v>
      </c>
      <c r="I17567" s="8" t="n">
        <f aca="false">((a_g3_29-nonnv*a_mai)*tk_cxit_gb300+nonnv*a_mai*nv_hold_mai*tk_cxit_vr200+(1-a_g3_29)*tk_cxit_vr200)</f>
        <v>35.7070344</v>
      </c>
      <c r="J17567" s="8" t="n">
        <f aca="false">((a_g3_29-nonnv*a_mai)*tk_cxit_gb300+nonnv*a_mai*nv_hold_mai*tk_cxit_vr200+(1-a_g3_29)*tk_cxit_vr200)</f>
        <v>35.7070344</v>
      </c>
      <c r="K17567" s="8" t="n">
        <f aca="false">((a_g3_29-nonnv*a_mai)*tk_cxit_gb300+nonnv*a_mai*nv_hold_mai*tk_cxit_vr200+(1-a_g3_29)*tk_cxit_vr200)</f>
        <v>35.7070344</v>
      </c>
      <c r="L17567" s="12" t="s">
        <v>992</v>
      </c>
    </row>
    <row r="17568" customFormat="false" ht="17.15" hidden="false" customHeight="false" outlineLevel="0" collapsed="false">
      <c r="A17568" s="0" t="s">
        <v>993</v>
      </c>
      <c r="B17568" s="0" t="s">
        <v>459</v>
      </c>
      <c r="F17568" s="30" t="n">
        <f aca="false">Sens!C17547*IF(Sens!F17540-Sens!C17540=life_it,1,0)+Sens!D17547*IF(Sens!F17540-Sens!D17540=life_it,1,0)+Sens!E17547*IF(Sens!F17540-Sens!E17540=life_it,1,0)</f>
        <v>0</v>
      </c>
      <c r="G17568" s="30" t="n">
        <f aca="false">Sens!C17547*IF(Sens!G17540-Sens!C17540=life_it,1,0)+Sens!D17547*IF(Sens!G17540-Sens!D17540=life_it,1,0)+Sens!E17547*IF(Sens!G17540-Sens!E17540=life_it,1,0)+Sens!F17547*IF(Sens!G17540-Sens!F17540=life_it,1,0)</f>
        <v>0</v>
      </c>
      <c r="H17568" s="30" t="n">
        <f aca="false">Sens!C17547*IF(Sens!H17540-Sens!C17540=life_it,1,0)+Sens!D17547*IF(Sens!H17540-Sens!D17540=life_it,1,0)+Sens!E17547*IF(Sens!H17540-Sens!E17540=life_it,1,0)+Sens!F17547*IF(Sens!H17540-Sens!F17540=life_it,1,0)+Sens!G17547*IF(Sens!H17540-Sens!G17540=life_it,1,0)</f>
        <v>0</v>
      </c>
      <c r="I17568" s="30" t="n">
        <f aca="false">Sens!C17547*IF(Sens!I17540-Sens!C17540=life_it,1,0)+Sens!D17547*IF(Sens!I17540-Sens!D17540=life_it,1,0)+Sens!E17547*IF(Sens!I17540-Sens!E17540=life_it,1,0)+Sens!F17547*IF(Sens!I17540-Sens!F17540=life_it,1,0)+Sens!G17547*IF(Sens!I17540-Sens!G17540=life_it,1,0)+Sens!H17547*IF(Sens!I17540-Sens!H17540=life_it,1,0)</f>
        <v>816.666666666667</v>
      </c>
      <c r="J17568" s="30" t="n">
        <f aca="false">Sens!C17547*IF(Sens!J17540-Sens!C17540=life_it,1,0)+Sens!D17547*IF(Sens!J17540-Sens!D17540=life_it,1,0)+Sens!E17547*IF(Sens!J17540-Sens!E17540=life_it,1,0)+Sens!F17547*IF(Sens!J17540-Sens!F17540=life_it,1,0)+Sens!G17547*IF(Sens!J17540-Sens!G17540=life_it,1,0)+Sens!H17547*IF(Sens!J17540-Sens!H17540=life_it,1,0)+Sens!I17547*IF(Sens!J17540-Sens!I17540=life_it,1,0)</f>
        <v>1233.33333333333</v>
      </c>
      <c r="K17568" s="30" t="n">
        <f aca="false">Sens!C17547*IF(Sens!K17540-Sens!C17540=life_it,1,0)+Sens!D17547*IF(Sens!K17540-Sens!D17540=life_it,1,0)+Sens!E17547*IF(Sens!K17540-Sens!E17540=life_it,1,0)+Sens!F17547*IF(Sens!K17540-Sens!F17540=life_it,1,0)+Sens!G17547*IF(Sens!K17540-Sens!G17540=life_it,1,0)+Sens!H17547*IF(Sens!K17540-Sens!H17540=life_it,1,0)+Sens!I17547*IF(Sens!K17540-Sens!I17540=life_it,1,0)+Sens!J17547*IF(Sens!K17540-Sens!J17540=life_it,1,0)</f>
        <v>2450</v>
      </c>
      <c r="L17568" s="1" t="s">
        <v>994</v>
      </c>
    </row>
    <row r="17569" customFormat="false" ht="17.15" hidden="false" customHeight="false" outlineLevel="0" collapsed="false">
      <c r="A17569" s="0" t="s">
        <v>995</v>
      </c>
      <c r="B17569" s="0" t="s">
        <v>98</v>
      </c>
      <c r="C17569" s="6" t="n">
        <f aca="false">Sens!C17547*Sens!C17567/1000</f>
        <v>22.5333845916667</v>
      </c>
      <c r="D17569" s="6" t="n">
        <f aca="false">Sens!D17547*Sens!D17567/1000</f>
        <v>34.0300093833333</v>
      </c>
      <c r="E17569" s="6" t="n">
        <f aca="false">Sens!E17547*Sens!E17567/1000</f>
        <v>67.600153775</v>
      </c>
      <c r="F17569" s="6" t="n">
        <f aca="false">(Sens!F17547+Sens!F17568)*Sens!F17567/1000</f>
        <v>136.51872432512</v>
      </c>
      <c r="G17569" s="6" t="n">
        <f aca="false">(Sens!G17547+Sens!G17568)*Sens!G17567/1000</f>
        <v>157.399275932048</v>
      </c>
      <c r="H17569" s="6" t="n">
        <f aca="false">(Sens!H17547+Sens!H17568)*Sens!H17567/1000</f>
        <v>162.260804347512</v>
      </c>
      <c r="I17569" s="6" t="n">
        <f aca="false">(Sens!I17547+Sens!I17568)*Sens!I17567/1000</f>
        <v>144.136569485434</v>
      </c>
      <c r="J17569" s="6" t="n">
        <f aca="false">(Sens!J17547+Sens!J17568)*Sens!J17567/1000</f>
        <v>114.029037357864</v>
      </c>
      <c r="K17569" s="6" t="n">
        <f aca="false">(Sens!K17547+Sens!K17568)*Sens!K17567/1000</f>
        <v>113.437085350975</v>
      </c>
    </row>
    <row r="17570" customFormat="false" ht="17.15" hidden="false" customHeight="false" outlineLevel="0" collapsed="false">
      <c r="A17570" s="0" t="s">
        <v>996</v>
      </c>
      <c r="B17570" s="0" t="s">
        <v>98</v>
      </c>
      <c r="C17570" s="6" t="n">
        <f aca="false">Sens!C17547*self_build*tk_cxfac/1000</f>
        <v>6.2083</v>
      </c>
      <c r="D17570" s="6" t="n">
        <f aca="false">Sens!D17547*self_build*tk_cxfac/1000</f>
        <v>9.3758</v>
      </c>
      <c r="E17570" s="6" t="n">
        <f aca="false">Sens!E17547*self_build*tk_cxfac/1000</f>
        <v>18.6249</v>
      </c>
      <c r="F17570" s="6" t="n">
        <f aca="false">Sens!F17547*self_build*tk_cxfac/1000</f>
        <v>31.935179717</v>
      </c>
      <c r="G17570" s="6" t="n">
        <f aca="false">Sens!G17547*self_build*tk_cxfac/1000</f>
        <v>34.545199717</v>
      </c>
      <c r="H17570" s="6" t="n">
        <f aca="false">Sens!H17547*self_build*tk_cxfac/1000</f>
        <v>34.545199717</v>
      </c>
      <c r="I17570" s="6" t="n">
        <f aca="false">Sens!I17547*self_build*tk_cxfac/1000</f>
        <v>24.4782641361767</v>
      </c>
      <c r="J17570" s="6" t="n">
        <f aca="false">Sens!J17547*self_build*tk_cxfac/1000</f>
        <v>14.9008938380769</v>
      </c>
      <c r="K17570" s="6" t="n">
        <f aca="false">Sens!K17547*self_build*tk_cxfac/1000</f>
        <v>5.52576771375761</v>
      </c>
    </row>
    <row r="17571" customFormat="false" ht="17.15" hidden="false" customHeight="false" outlineLevel="0" collapsed="false">
      <c r="A17571" s="0" t="s">
        <v>997</v>
      </c>
      <c r="B17571" s="0" t="s">
        <v>98</v>
      </c>
      <c r="F17571" s="15" t="n">
        <f aca="false">capex_floor27-Sens!F17569-Sens!F17570-Sens!F17667</f>
        <v>-0.0799631154216058</v>
      </c>
      <c r="L17571" s="12" t="s">
        <v>998</v>
      </c>
    </row>
    <row r="17572" customFormat="false" ht="17.15" hidden="false" customHeight="false" outlineLevel="0" collapsed="false">
      <c r="A17572" s="0" t="s">
        <v>999</v>
      </c>
      <c r="B17572" s="0" t="s">
        <v>98</v>
      </c>
      <c r="F17572" s="6" t="n">
        <f aca="false">MAX(0,Sens!F17571)</f>
        <v>0</v>
      </c>
    </row>
    <row r="17573" customFormat="false" ht="17.15" hidden="false" customHeight="false" outlineLevel="0" collapsed="false">
      <c r="A17573" s="0" t="s">
        <v>1000</v>
      </c>
      <c r="B17573" s="0" t="s">
        <v>98</v>
      </c>
      <c r="C17573" s="6" t="n">
        <f aca="false">Sens!C17569</f>
        <v>22.5333845916667</v>
      </c>
      <c r="D17573" s="6" t="n">
        <f aca="false">Sens!D17569</f>
        <v>34.0300093833333</v>
      </c>
      <c r="E17573" s="6" t="n">
        <f aca="false">Sens!E17569</f>
        <v>67.600153775</v>
      </c>
      <c r="F17573" s="6" t="n">
        <f aca="false">Sens!F17569</f>
        <v>136.51872432512</v>
      </c>
      <c r="G17573" s="6" t="n">
        <f aca="false">Sens!G17569</f>
        <v>157.399275932048</v>
      </c>
      <c r="H17573" s="6" t="n">
        <f aca="false">Sens!H17569</f>
        <v>162.260804347512</v>
      </c>
      <c r="I17573" s="6" t="n">
        <f aca="false">Sens!I17569</f>
        <v>144.136569485434</v>
      </c>
      <c r="J17573" s="6" t="n">
        <f aca="false">Sens!J17569</f>
        <v>114.029037357864</v>
      </c>
      <c r="K17573" s="6" t="n">
        <f aca="false">Sens!K17569</f>
        <v>113.437085350975</v>
      </c>
    </row>
    <row r="17574" customFormat="false" ht="17.15" hidden="false" customHeight="false" outlineLevel="0" collapsed="false">
      <c r="A17574" s="0" t="s">
        <v>1001</v>
      </c>
      <c r="B17574" s="0" t="s">
        <v>98</v>
      </c>
      <c r="C17574" s="6" t="n">
        <f aca="false">Sens!C17573+Sens!C17570</f>
        <v>28.7416845916667</v>
      </c>
      <c r="D17574" s="6" t="n">
        <f aca="false">Sens!D17573+Sens!D17570</f>
        <v>43.4058093833333</v>
      </c>
      <c r="E17574" s="6" t="n">
        <f aca="false">Sens!E17573+Sens!E17570</f>
        <v>86.225053775</v>
      </c>
      <c r="F17574" s="6" t="n">
        <f aca="false">Sens!F17573+Sens!F17570</f>
        <v>168.45390404212</v>
      </c>
      <c r="G17574" s="6" t="n">
        <f aca="false">Sens!G17573+Sens!G17570</f>
        <v>191.944475649048</v>
      </c>
      <c r="H17574" s="6" t="n">
        <f aca="false">Sens!H17573+Sens!H17570</f>
        <v>196.806004064512</v>
      </c>
      <c r="I17574" s="6" t="n">
        <f aca="false">Sens!I17573+Sens!I17570</f>
        <v>168.61483362161</v>
      </c>
      <c r="J17574" s="6" t="n">
        <f aca="false">Sens!J17573+Sens!J17570</f>
        <v>128.92993119594</v>
      </c>
      <c r="K17574" s="6" t="n">
        <f aca="false">Sens!K17573+Sens!K17570</f>
        <v>118.962853064733</v>
      </c>
      <c r="L17574" s="12" t="s">
        <v>1002</v>
      </c>
    </row>
    <row r="17575" customFormat="false" ht="17.15" hidden="false" customHeight="false" outlineLevel="0" collapsed="false">
      <c r="A17575" s="0" t="s">
        <v>1003</v>
      </c>
      <c r="B17575" s="0" t="s">
        <v>98</v>
      </c>
      <c r="E17575" s="6" t="n">
        <f aca="false">(Sens!C17573*IF(2&lt;life_it,1,IF(2=life_it,0.5,0))+Sens!D17573*IF(1&lt;life_it,1,IF(1=life_it,0.5,0))+Sens!E17573*0.5)/life_it</f>
        <v>15.0605784770833</v>
      </c>
      <c r="F17575" s="6" t="n">
        <f aca="false">(Sens!C17573*IF(3&lt;life_it,1,IF(3=life_it,0.5,0))+Sens!D17573*IF(2&lt;life_it,1,IF(2=life_it,0.5,0))+Sens!E17573*IF(1&lt;life_it,1,IF(1=life_it,0.5,0))+Sens!F17573*0.5)/life_it</f>
        <v>32.0704849854266</v>
      </c>
      <c r="G17575" s="6" t="n">
        <f aca="false">(Sens!C17573*IF(4&lt;life_it,1,IF(4=life_it,0.5,0))+Sens!D17573*IF(3&lt;life_it,1,IF(3=life_it,0.5,0))+Sens!E17573*IF(2&lt;life_it,1,IF(2=life_it,0.5,0))+Sens!F17573*IF(1&lt;life_it,1,IF(1=life_it,0.5,0))+Sens!G17573*0.5)/life_it</f>
        <v>56.5636516735239</v>
      </c>
      <c r="H17575" s="6" t="n">
        <f aca="false">(Sens!C17573*IF(5&lt;life_it,1,IF(5=life_it,0.5,0))+Sens!D17573*IF(4&lt;life_it,1,IF(4=life_it,0.5,0))+Sens!E17573*IF(3&lt;life_it,1,IF(3=life_it,0.5,0))+Sens!F17573*IF(2&lt;life_it,1,IF(2=life_it,0.5,0))+Sens!G17573*IF(1&lt;life_it,1,IF(1=life_it,0.5,0))+Sens!H17573*0.5)/life_it</f>
        <v>83.2019916968207</v>
      </c>
      <c r="I17575" s="6" t="n">
        <f aca="false">(Sens!C17573*IF(6&lt;life_it,1,IF(6=life_it,0.5,0))+Sens!D17573*IF(5&lt;life_it,1,IF(5=life_it,0.5,0))+Sens!E17573*IF(4&lt;life_it,1,IF(4=life_it,0.5,0))+Sens!F17573*IF(3&lt;life_it,1,IF(3=life_it,0.5,0))+Sens!G17573*IF(2&lt;life_it,1,IF(2=life_it,0.5,0))+Sens!H17573*IF(1&lt;life_it,1,IF(1=life_it,0.5,0))+Sens!I17573*0.5)/life_it</f>
        <v>106.857324133594</v>
      </c>
      <c r="J17575" s="6" t="n">
        <f aca="false">(Sens!C17573*IF(7&lt;life_it,1,IF(7=life_it,0.5,0))+Sens!D17573*IF(6&lt;life_it,1,IF(6=life_it,0.5,0))+Sens!E17573*IF(5&lt;life_it,1,IF(5=life_it,0.5,0))+Sens!F17573*IF(4&lt;life_it,1,IF(4=life_it,0.5,0))+Sens!G17573*IF(3&lt;life_it,1,IF(3=life_it,0.5,0))+Sens!H17573*IF(2&lt;life_it,1,IF(2=life_it,0.5,0))+Sens!I17573*IF(1&lt;life_it,1,IF(1=life_it,0.5,0))+Sens!J17573*0.5)/life_it</f>
        <v>123.657508539285</v>
      </c>
      <c r="K17575" s="6" t="n">
        <f aca="false">(Sens!C17573*IF(8&lt;life_it,1,IF(8=life_it,0.5,0))+Sens!D17573*IF(7&lt;life_it,1,IF(7=life_it,0.5,0))+Sens!E17573*IF(6&lt;life_it,1,IF(6=life_it,0.5,0))+Sens!F17573*IF(5&lt;life_it,1,IF(5=life_it,0.5,0))+Sens!G17573*IF(4&lt;life_it,1,IF(4=life_it,0.5,0))+Sens!H17573*IF(3&lt;life_it,1,IF(3=life_it,0.5,0))+Sens!I17573*IF(2&lt;life_it,1,IF(2=life_it,0.5,0))+Sens!J17573*IF(1&lt;life_it,1,IF(1=life_it,0.5,0))+Sens!K17573*0.5)/life_it</f>
        <v>134.143838501827</v>
      </c>
    </row>
    <row r="17576" customFormat="false" ht="17.15" hidden="false" customHeight="false" outlineLevel="0" collapsed="false">
      <c r="A17576" s="0" t="s">
        <v>1004</v>
      </c>
      <c r="B17576" s="0" t="s">
        <v>98</v>
      </c>
      <c r="E17576" s="6" t="n">
        <f aca="false">(Sens!C17570*IF(2&lt;life_fac,1,IF(2=life_fac,0.5,0))+Sens!D17570*IF(1&lt;life_fac,1,IF(1=life_fac,0.5,0))+Sens!E17570*0.5)/life_fac</f>
        <v>1.2448275</v>
      </c>
      <c r="F17576" s="6" t="n">
        <f aca="false">(Sens!C17570*IF(3&lt;life_fac,1,IF(3=life_fac,0.5,0))+Sens!D17570*IF(2&lt;life_fac,1,IF(2=life_fac,0.5,0))+Sens!E17570*IF(1&lt;life_fac,1,IF(1=life_fac,0.5,0))+Sens!F17570*0.5)/life_fac</f>
        <v>2.508829492925</v>
      </c>
      <c r="G17576" s="6" t="n">
        <f aca="false">(Sens!C17570*IF(4&lt;life_fac,1,IF(4=life_fac,0.5,0))+Sens!D17570*IF(3&lt;life_fac,1,IF(3=life_fac,0.5,0))+Sens!E17570*IF(2&lt;life_fac,1,IF(2=life_fac,0.5,0))+Sens!F17570*IF(1&lt;life_fac,1,IF(1=life_fac,0.5,0))+Sens!G17570*0.5)/life_fac</f>
        <v>4.170838978775</v>
      </c>
      <c r="H17576" s="6" t="n">
        <f aca="false">(Sens!C17570*IF(5&lt;life_fac,1,IF(5=life_fac,0.5,0))+Sens!D17570*IF(4&lt;life_fac,1,IF(4=life_fac,0.5,0))+Sens!E17570*IF(3&lt;life_fac,1,IF(3=life_fac,0.5,0))+Sens!F17570*IF(2&lt;life_fac,1,IF(2=life_fac,0.5,0))+Sens!G17570*IF(1&lt;life_fac,1,IF(1=life_fac,0.5,0))+Sens!H17570*0.5)/life_fac</f>
        <v>5.898098964625</v>
      </c>
      <c r="I17576" s="6" t="n">
        <f aca="false">(Sens!C17570*IF(6&lt;life_fac,1,IF(6=life_fac,0.5,0))+Sens!D17570*IF(5&lt;life_fac,1,IF(5=life_fac,0.5,0))+Sens!E17570*IF(4&lt;life_fac,1,IF(4=life_fac,0.5,0))+Sens!F17570*IF(3&lt;life_fac,1,IF(3=life_fac,0.5,0))+Sens!G17570*IF(2&lt;life_fac,1,IF(2=life_fac,0.5,0))+Sens!H17570*IF(1&lt;life_fac,1,IF(1=life_fac,0.5,0))+Sens!I17570*0.5)/life_fac</f>
        <v>7.37368556095442</v>
      </c>
      <c r="J17576" s="6" t="n">
        <f aca="false">(Sens!C17570*IF(7&lt;life_fac,1,IF(7=life_fac,0.5,0))+Sens!D17570*IF(6&lt;life_fac,1,IF(6=life_fac,0.5,0))+Sens!E17570*IF(5&lt;life_fac,1,IF(5=life_fac,0.5,0))+Sens!F17570*IF(4&lt;life_fac,1,IF(4=life_fac,0.5,0))+Sens!G17570*IF(3&lt;life_fac,1,IF(3=life_fac,0.5,0))+Sens!H17570*IF(2&lt;life_fac,1,IF(2=life_fac,0.5,0))+Sens!I17570*IF(1&lt;life_fac,1,IF(1=life_fac,0.5,0))+Sens!J17570*0.5)/life_fac</f>
        <v>8.35816451031075</v>
      </c>
      <c r="K17576" s="6" t="n">
        <f aca="false">(Sens!C17570*IF(8&lt;life_fac,1,IF(8=life_fac,0.5,0))+Sens!D17570*IF(7&lt;life_fac,1,IF(7=life_fac,0.5,0))+Sens!E17570*IF(6&lt;life_fac,1,IF(6=life_fac,0.5,0))+Sens!F17570*IF(5&lt;life_fac,1,IF(5=life_fac,0.5,0))+Sens!G17570*IF(4&lt;life_fac,1,IF(4=life_fac,0.5,0))+Sens!H17570*IF(3&lt;life_fac,1,IF(3=life_fac,0.5,0))+Sens!I17570*IF(2&lt;life_fac,1,IF(2=life_fac,0.5,0))+Sens!J17570*IF(1&lt;life_fac,1,IF(1=life_fac,0.5,0))+Sens!K17570*0.5)/life_fac</f>
        <v>8.86883104910662</v>
      </c>
    </row>
    <row r="17577" customFormat="false" ht="17.15" hidden="false" customHeight="false" outlineLevel="0" collapsed="false">
      <c r="A17577" s="0" t="s">
        <v>1005</v>
      </c>
      <c r="B17577" s="0" t="s">
        <v>98</v>
      </c>
      <c r="E17577" s="6" t="n">
        <f aca="false">Sens!E17575+Sens!E17576</f>
        <v>16.3054059770833</v>
      </c>
      <c r="F17577" s="6" t="n">
        <f aca="false">Sens!F17575+Sens!F17576</f>
        <v>34.5793144783516</v>
      </c>
      <c r="G17577" s="6" t="n">
        <f aca="false">Sens!G17575+Sens!G17576</f>
        <v>60.7344906522989</v>
      </c>
      <c r="H17577" s="6" t="n">
        <f aca="false">Sens!H17575+Sens!H17576</f>
        <v>89.1000906614457</v>
      </c>
      <c r="I17577" s="6" t="n">
        <f aca="false">Sens!I17575+Sens!I17576</f>
        <v>114.231009694548</v>
      </c>
      <c r="J17577" s="6" t="n">
        <f aca="false">Sens!J17575+Sens!J17576</f>
        <v>132.015673049596</v>
      </c>
      <c r="K17577" s="6" t="n">
        <f aca="false">Sens!K17575+Sens!K17576</f>
        <v>143.012669550934</v>
      </c>
    </row>
    <row r="17578" customFormat="false" ht="17.15" hidden="false" customHeight="false" outlineLevel="0" collapsed="false">
      <c r="A17578" s="0" t="s">
        <v>1006</v>
      </c>
      <c r="B17578" s="0" t="s">
        <v>98</v>
      </c>
      <c r="E17578" s="6" t="n">
        <f aca="false">Sens!E17565-Sens!E17564*Sens!E17577</f>
        <v>8.92707889977379</v>
      </c>
      <c r="F17578" s="6" t="n">
        <f aca="false">Sens!F17565-Sens!F17564*Sens!F17577</f>
        <v>14.3471335960079</v>
      </c>
      <c r="G17578" s="6" t="n">
        <f aca="false">Sens!G17565-Sens!G17564*Sens!G17577</f>
        <v>16.5202976798683</v>
      </c>
      <c r="H17578" s="6" t="n">
        <f aca="false">Sens!H17565-Sens!H17564*Sens!H17577</f>
        <v>12.9805278875331</v>
      </c>
      <c r="I17578" s="6" t="n">
        <f aca="false">Sens!I17565-Sens!I17564*Sens!I17577</f>
        <v>16.2363335770989</v>
      </c>
      <c r="J17578" s="6" t="n">
        <f aca="false">Sens!J17565-Sens!J17564*Sens!J17577</f>
        <v>18.4432225839805</v>
      </c>
      <c r="K17578" s="6" t="n">
        <f aca="false">Sens!K17565-Sens!K17564*Sens!K17577</f>
        <v>20.1577566819661</v>
      </c>
    </row>
    <row r="17579" customFormat="false" ht="17.15" hidden="false" customHeight="false" outlineLevel="0" collapsed="false">
      <c r="A17579" s="3" t="s">
        <v>2045</v>
      </c>
    </row>
    <row r="17580" customFormat="false" ht="15" hidden="false" customHeight="false" outlineLevel="0" collapsed="false">
      <c r="A17580" s="4" t="s">
        <v>43</v>
      </c>
      <c r="B17580" s="4" t="s">
        <v>65</v>
      </c>
      <c r="C17580" s="23" t="s">
        <v>942</v>
      </c>
      <c r="D17580" s="23" t="s">
        <v>943</v>
      </c>
      <c r="E17580" s="23" t="s">
        <v>944</v>
      </c>
      <c r="F17580" s="23" t="s">
        <v>945</v>
      </c>
      <c r="G17580" s="23" t="s">
        <v>946</v>
      </c>
      <c r="H17580" s="23" t="s">
        <v>947</v>
      </c>
      <c r="I17580" s="23" t="s">
        <v>948</v>
      </c>
      <c r="J17580" s="23" t="s">
        <v>949</v>
      </c>
      <c r="K17580" s="23" t="s">
        <v>950</v>
      </c>
      <c r="L17580" s="4" t="s">
        <v>47</v>
      </c>
    </row>
    <row r="17581" customFormat="false" ht="17.15" hidden="false" customHeight="false" outlineLevel="0" collapsed="false">
      <c r="A17581" s="0" t="s">
        <v>1025</v>
      </c>
      <c r="B17581" s="0" t="s">
        <v>98</v>
      </c>
      <c r="D17581" s="6" t="n">
        <f aca="false">Sens!D17559</f>
        <v>12.9359794422418</v>
      </c>
      <c r="E17581" s="6" t="n">
        <f aca="false">Sens!E17559</f>
        <v>27.8095064661409</v>
      </c>
      <c r="F17581" s="6" t="n">
        <f aca="false">Sens!F17559</f>
        <v>50.9819294352312</v>
      </c>
      <c r="G17581" s="6" t="n">
        <f aca="false">Sens!G17559</f>
        <v>76.6920436014933</v>
      </c>
      <c r="H17581" s="6" t="n">
        <f aca="false">Sens!H17559</f>
        <v>97.4495379418341</v>
      </c>
      <c r="I17581" s="6" t="n">
        <f aca="false">Sens!I17559</f>
        <v>122.083445553868</v>
      </c>
      <c r="J17581" s="6" t="n">
        <f aca="false">Sens!J17559</f>
        <v>139.249060444804</v>
      </c>
      <c r="K17581" s="6" t="n">
        <f aca="false">Sens!K17559</f>
        <v>149.995818575589</v>
      </c>
    </row>
    <row r="17582" customFormat="false" ht="17.15" hidden="false" customHeight="false" outlineLevel="0" collapsed="false">
      <c r="A17582" s="0" t="s">
        <v>1026</v>
      </c>
      <c r="B17582" s="0" t="s">
        <v>98</v>
      </c>
      <c r="D17582" s="6" t="n">
        <f aca="false">Q!L6-Sens!D17581</f>
        <v>59.6740205577583</v>
      </c>
      <c r="E17582" s="6" t="n">
        <f aca="false">Q!M6-Sens!E17581</f>
        <v>74.1284935338591</v>
      </c>
      <c r="F17582" s="6" t="n">
        <f aca="false">Q!$I$6+(Sens!F17581+Sens!E17582*(1+Sens!F17583))*(1-Q!$E$6/Q!M6)-Sens!F17581</f>
        <v>92.2699541184664</v>
      </c>
      <c r="G17582" s="6" t="n">
        <f aca="false">Sens!F17582*(1+Sens!G17583)</f>
        <v>109.630477277949</v>
      </c>
      <c r="H17582" s="6" t="n">
        <f aca="false">Sens!G17582*(1+Sens!H17583)</f>
        <v>127.293256321956</v>
      </c>
      <c r="I17582" s="6" t="n">
        <f aca="false">Sens!H17582*(1+Sens!I17583)</f>
        <v>144.360052269491</v>
      </c>
      <c r="J17582" s="6" t="n">
        <f aca="false">Sens!I17582*(1+Sens!J17583)</f>
        <v>159.811964490216</v>
      </c>
      <c r="K17582" s="6" t="n">
        <f aca="false">Sens!J17582*(1+Sens!K17583)</f>
        <v>172.596921649434</v>
      </c>
      <c r="L17582" s="12" t="s">
        <v>1027</v>
      </c>
    </row>
    <row r="17583" customFormat="false" ht="15" hidden="false" customHeight="false" outlineLevel="0" collapsed="false">
      <c r="A17583" s="1" t="s">
        <v>1028</v>
      </c>
      <c r="B17583" s="0" t="s">
        <v>168</v>
      </c>
      <c r="E17583" s="7" t="n">
        <f aca="false">Sens!E17582/Sens!D17582-1</f>
        <v>0.242223883039864</v>
      </c>
      <c r="F17583" s="7" t="n">
        <f aca="false">Sens!$E$17583+(glt_azo-Sens!$E$17583)*MIN(1,(Sens!F17540-base_fy)/n_conv)</f>
        <v>0.215186569199887</v>
      </c>
      <c r="G17583" s="7" t="n">
        <f aca="false">Sens!$E$17583+(glt_azo-Sens!$E$17583)*MIN(1,(Sens!G17540-base_fy)/n_conv)</f>
        <v>0.18814925535991</v>
      </c>
      <c r="H17583" s="7" t="n">
        <f aca="false">Sens!$E$17583+(glt_azo-Sens!$E$17583)*MIN(1,(Sens!H17540-base_fy)/n_conv)</f>
        <v>0.161111941519932</v>
      </c>
      <c r="I17583" s="7" t="n">
        <f aca="false">Sens!$E$17583+(glt_azo-Sens!$E$17583)*MIN(1,(Sens!I17540-base_fy)/n_conv)</f>
        <v>0.134074627679955</v>
      </c>
      <c r="J17583" s="7" t="n">
        <f aca="false">Sens!$E$17583+(glt_azo-Sens!$E$17583)*MIN(1,(Sens!J17540-base_fy)/n_conv)</f>
        <v>0.107037313839977</v>
      </c>
      <c r="K17583" s="7" t="n">
        <f aca="false">Sens!$E$17583+(glt_azo-Sens!$E$17583)*MIN(1,(Sens!K17540-base_fy)/n_conv)</f>
        <v>0.08</v>
      </c>
    </row>
    <row r="17584" customFormat="false" ht="15" hidden="false" customHeight="false" outlineLevel="0" collapsed="false">
      <c r="A17584" s="0" t="s">
        <v>1029</v>
      </c>
      <c r="B17584" s="0" t="s">
        <v>98</v>
      </c>
      <c r="D17584" s="6" t="n">
        <f aca="false">Sens!D17581+Sens!D17582</f>
        <v>72.61</v>
      </c>
      <c r="E17584" s="6" t="n">
        <f aca="false">Sens!E17581+Sens!E17582</f>
        <v>101.938</v>
      </c>
      <c r="F17584" s="6" t="n">
        <f aca="false">Sens!F17581+Sens!F17582</f>
        <v>143.251883553698</v>
      </c>
      <c r="G17584" s="6" t="n">
        <f aca="false">Sens!G17581+Sens!G17582</f>
        <v>186.322520879442</v>
      </c>
      <c r="H17584" s="6" t="n">
        <f aca="false">Sens!H17581+Sens!H17582</f>
        <v>224.74279426379</v>
      </c>
      <c r="I17584" s="6" t="n">
        <f aca="false">Sens!I17581+Sens!I17582</f>
        <v>266.443497823359</v>
      </c>
      <c r="J17584" s="6" t="n">
        <f aca="false">Sens!J17581+Sens!J17582</f>
        <v>299.06102493502</v>
      </c>
      <c r="K17584" s="6" t="n">
        <f aca="false">Sens!K17581+Sens!K17582</f>
        <v>322.592740225023</v>
      </c>
    </row>
    <row r="17585" customFormat="false" ht="17.15" hidden="false" customHeight="false" outlineLevel="0" collapsed="false">
      <c r="A17585" s="0" t="s">
        <v>1030</v>
      </c>
      <c r="B17585" s="1" t="s">
        <v>613</v>
      </c>
      <c r="C17585" s="30" t="n">
        <f aca="false">cop_s24</f>
        <v>1</v>
      </c>
      <c r="D17585" s="30" t="n">
        <f aca="false">cop_s25</f>
        <v>5</v>
      </c>
      <c r="E17585" s="30" t="n">
        <f aca="false">cop_s26</f>
        <v>30</v>
      </c>
      <c r="F17585" s="30" t="n">
        <f aca="false">Sens!E17585+cop_add_C</f>
        <v>40</v>
      </c>
      <c r="G17585" s="30" t="n">
        <f aca="false">Sens!F17585+cop_add_C</f>
        <v>50</v>
      </c>
      <c r="H17585" s="30" t="n">
        <f aca="false">Sens!G17585+cop_add_C</f>
        <v>60</v>
      </c>
      <c r="I17585" s="30" t="n">
        <f aca="false">Sens!H17585+cop_add_C*cop_tail</f>
        <v>65</v>
      </c>
      <c r="J17585" s="30" t="n">
        <f aca="false">Sens!I17585+cop_add_C*cop_tail</f>
        <v>70</v>
      </c>
      <c r="K17585" s="30" t="n">
        <f aca="false">Sens!J17585+cop_add_C*cop_tail</f>
        <v>75</v>
      </c>
      <c r="L17585" s="12" t="s">
        <v>1031</v>
      </c>
    </row>
    <row r="17586" customFormat="false" ht="17.15" hidden="false" customHeight="false" outlineLevel="0" collapsed="false">
      <c r="A17586" s="0" t="s">
        <v>1032</v>
      </c>
      <c r="B17586" s="0" t="s">
        <v>98</v>
      </c>
      <c r="D17586" s="6" t="n">
        <f aca="false">(Sens!C17585+Sens!D17585)/2*cop_px*12/1000</f>
        <v>0.9</v>
      </c>
      <c r="E17586" s="6" t="n">
        <f aca="false">(Sens!D17585+Sens!E17585)/2*cop_px*12/1000</f>
        <v>5.25</v>
      </c>
      <c r="F17586" s="6" t="n">
        <f aca="false">(Sens!E17585+Sens!F17585)/2*cop_px*12/1000</f>
        <v>10.5</v>
      </c>
      <c r="G17586" s="6" t="n">
        <f aca="false">(Sens!F17585+Sens!G17585)/2*cop_px*12/1000</f>
        <v>13.5</v>
      </c>
      <c r="H17586" s="6" t="n">
        <f aca="false">(Sens!G17585+Sens!H17585)/2*cop_px*12/1000</f>
        <v>16.5</v>
      </c>
      <c r="I17586" s="6" t="n">
        <f aca="false">(Sens!H17585+Sens!I17585)/2*cop_px*12/1000</f>
        <v>18.75</v>
      </c>
      <c r="J17586" s="6" t="n">
        <f aca="false">(Sens!I17585+Sens!J17585)/2*cop_px*12/1000</f>
        <v>20.25</v>
      </c>
      <c r="K17586" s="6" t="n">
        <f aca="false">(Sens!J17585+Sens!K17585)/2*cop_px*12/1000</f>
        <v>21.75</v>
      </c>
      <c r="L17586" s="1" t="s">
        <v>1033</v>
      </c>
    </row>
    <row r="17587" customFormat="false" ht="17.15" hidden="false" customHeight="false" outlineLevel="0" collapsed="false">
      <c r="A17587" s="0" t="s">
        <v>1034</v>
      </c>
      <c r="B17587" s="0" t="s">
        <v>98</v>
      </c>
      <c r="D17587" s="6" t="n">
        <f aca="false">Q!L7-Sens!D17586</f>
        <v>83.705</v>
      </c>
      <c r="E17587" s="6" t="n">
        <f aca="false">Q!M7-Sens!E17586</f>
        <v>95.049</v>
      </c>
      <c r="F17587" s="6" t="n">
        <f aca="false">Q!$I$7+(Sens!E17587*(1+Sens!F17588)+Sens!F17586)*(1-Q!$E$7/Q!M7)-Sens!F17586</f>
        <v>106.938354189776</v>
      </c>
      <c r="G17587" s="6" t="n">
        <f aca="false">Sens!F17587*(1+Sens!G17588)</f>
        <v>119.095360443801</v>
      </c>
      <c r="H17587" s="6" t="n">
        <f aca="false">Sens!G17587*(1+Sens!H17588)</f>
        <v>131.333811964563</v>
      </c>
      <c r="I17587" s="6" t="n">
        <f aca="false">Sens!H17587*(1+Sens!I17588)</f>
        <v>143.395665319381</v>
      </c>
      <c r="J17587" s="6" t="n">
        <f aca="false">Sens!I17587*(1+Sens!J17588)</f>
        <v>154.999327755573</v>
      </c>
      <c r="K17587" s="6" t="n">
        <f aca="false">Sens!J17587*(1+Sens!K17588)</f>
        <v>165.849280698463</v>
      </c>
      <c r="L17587" s="12" t="s">
        <v>1035</v>
      </c>
    </row>
    <row r="17588" customFormat="false" ht="15" hidden="false" customHeight="false" outlineLevel="0" collapsed="false">
      <c r="A17588" s="1" t="s">
        <v>1028</v>
      </c>
      <c r="B17588" s="0" t="s">
        <v>168</v>
      </c>
      <c r="E17588" s="7" t="n">
        <f aca="false">Sens!E17587/Sens!D17587-1</f>
        <v>0.135523564900544</v>
      </c>
      <c r="F17588" s="7" t="n">
        <f aca="false">Sens!$E$17588+(glt_m365b-Sens!$E$17588)*MIN(1,(Sens!F17540-base_fy)/n_conv)</f>
        <v>0.124602970750453</v>
      </c>
      <c r="G17588" s="7" t="n">
        <f aca="false">Sens!$E$17588+(glt_m365b-Sens!$E$17588)*MIN(1,(Sens!G17540-base_fy)/n_conv)</f>
        <v>0.113682376600363</v>
      </c>
      <c r="H17588" s="7" t="n">
        <f aca="false">Sens!$E$17588+(glt_m365b-Sens!$E$17588)*MIN(1,(Sens!H17540-base_fy)/n_conv)</f>
        <v>0.102761782450272</v>
      </c>
      <c r="I17588" s="7" t="n">
        <f aca="false">Sens!$E$17588+(glt_m365b-Sens!$E$17588)*MIN(1,(Sens!I17540-base_fy)/n_conv)</f>
        <v>0.0918411883001813</v>
      </c>
      <c r="J17588" s="7" t="n">
        <f aca="false">Sens!$E$17588+(glt_m365b-Sens!$E$17588)*MIN(1,(Sens!J17540-base_fy)/n_conv)</f>
        <v>0.0809205941500906</v>
      </c>
      <c r="K17588" s="7" t="n">
        <f aca="false">Sens!$E$17588+(glt_m365b-Sens!$E$17588)*MIN(1,(Sens!K17540-base_fy)/n_conv)</f>
        <v>0.07</v>
      </c>
    </row>
    <row r="17589" customFormat="false" ht="15" hidden="false" customHeight="false" outlineLevel="0" collapsed="false">
      <c r="A17589" s="0" t="s">
        <v>1036</v>
      </c>
      <c r="B17589" s="0" t="s">
        <v>98</v>
      </c>
      <c r="D17589" s="6" t="n">
        <f aca="false">Sens!D17587+Sens!D17586</f>
        <v>84.605</v>
      </c>
      <c r="E17589" s="6" t="n">
        <f aca="false">Sens!E17587+Sens!E17586</f>
        <v>100.299</v>
      </c>
      <c r="F17589" s="6" t="n">
        <f aca="false">Sens!F17587+Sens!F17586</f>
        <v>117.438354189776</v>
      </c>
      <c r="G17589" s="6" t="n">
        <f aca="false">Sens!G17587+Sens!G17586</f>
        <v>132.595360443801</v>
      </c>
      <c r="H17589" s="6" t="n">
        <f aca="false">Sens!H17587+Sens!H17586</f>
        <v>147.833811964563</v>
      </c>
      <c r="I17589" s="6" t="n">
        <f aca="false">Sens!I17587+Sens!I17586</f>
        <v>162.145665319381</v>
      </c>
      <c r="J17589" s="6" t="n">
        <f aca="false">Sens!J17587+Sens!J17586</f>
        <v>175.249327755573</v>
      </c>
      <c r="K17589" s="6" t="n">
        <f aca="false">Sens!K17587+Sens!K17586</f>
        <v>187.599280698463</v>
      </c>
    </row>
    <row r="17590" customFormat="false" ht="17.15" hidden="false" customHeight="false" outlineLevel="0" collapsed="false">
      <c r="A17590" s="0" t="s">
        <v>1037</v>
      </c>
      <c r="B17590" s="0" t="s">
        <v>98</v>
      </c>
      <c r="D17590" s="6" t="n">
        <f aca="false">Q!L8</f>
        <v>35.391</v>
      </c>
      <c r="E17590" s="6" t="n">
        <f aca="false">Q!M8</f>
        <v>37.285</v>
      </c>
      <c r="F17590" s="6" t="n">
        <f aca="false">Q!$I$8+(Q!M8-Q!$E$8)*(1+Sens!F17591)</f>
        <v>38.3851437782675</v>
      </c>
      <c r="G17590" s="6" t="n">
        <f aca="false">Sens!F17590*(1+Sens!G17591)</f>
        <v>40.0105353288615</v>
      </c>
      <c r="H17590" s="6" t="n">
        <f aca="false">Sens!G17590*(1+Sens!H17591)</f>
        <v>41.4812512033683</v>
      </c>
      <c r="I17590" s="6" t="n">
        <f aca="false">Sens!H17590*(1+Sens!I17591)</f>
        <v>42.7743107216329</v>
      </c>
      <c r="J17590" s="6" t="n">
        <f aca="false">Sens!I17590*(1+Sens!J17591)</f>
        <v>43.8687373064601</v>
      </c>
      <c r="K17590" s="6" t="n">
        <f aca="false">Sens!J17590*(1+Sens!K17591)</f>
        <v>44.7461120525893</v>
      </c>
      <c r="L17590" s="12" t="s">
        <v>1038</v>
      </c>
    </row>
    <row r="17591" customFormat="false" ht="15" hidden="false" customHeight="false" outlineLevel="0" collapsed="false">
      <c r="A17591" s="1" t="s">
        <v>1028</v>
      </c>
      <c r="B17591" s="0" t="s">
        <v>168</v>
      </c>
      <c r="E17591" s="7" t="n">
        <f aca="false">Sens!E17590/Sens!D17590-1</f>
        <v>0.0535164307309768</v>
      </c>
      <c r="F17591" s="7" t="n">
        <f aca="false">Sens!$E$17591+(glt_lic-Sens!$E$17591)*MIN(1,(Sens!F17540-base_fy)/n_conv)</f>
        <v>0.0479303589424807</v>
      </c>
      <c r="G17591" s="7" t="n">
        <f aca="false">Sens!$E$17591+(glt_lic-Sens!$E$17591)*MIN(1,(Sens!G17540-base_fy)/n_conv)</f>
        <v>0.0423442871539845</v>
      </c>
      <c r="H17591" s="7" t="n">
        <f aca="false">Sens!$E$17591+(glt_lic-Sens!$E$17591)*MIN(1,(Sens!H17540-base_fy)/n_conv)</f>
        <v>0.0367582153654884</v>
      </c>
      <c r="I17591" s="7" t="n">
        <f aca="false">Sens!$E$17591+(glt_lic-Sens!$E$17591)*MIN(1,(Sens!I17540-base_fy)/n_conv)</f>
        <v>0.0311721435769923</v>
      </c>
      <c r="J17591" s="7" t="n">
        <f aca="false">Sens!$E$17591+(glt_lic-Sens!$E$17591)*MIN(1,(Sens!J17540-base_fy)/n_conv)</f>
        <v>0.0255860717884961</v>
      </c>
      <c r="K17591" s="7" t="n">
        <f aca="false">Sens!$E$17591+(glt_lic-Sens!$E$17591)*MIN(1,(Sens!K17540-base_fy)/n_conv)</f>
        <v>0.02</v>
      </c>
    </row>
    <row r="17592" customFormat="false" ht="17.15" hidden="false" customHeight="false" outlineLevel="0" collapsed="false">
      <c r="A17592" s="0" t="s">
        <v>1039</v>
      </c>
      <c r="B17592" s="0" t="s">
        <v>98</v>
      </c>
      <c r="D17592" s="6" t="n">
        <f aca="false">Q!L9</f>
        <v>18.417</v>
      </c>
      <c r="E17592" s="6" t="n">
        <f aca="false">Q!M9</f>
        <v>20.345</v>
      </c>
      <c r="F17592" s="6" t="n">
        <f aca="false">Q!$I$9+(Q!M9-Q!$E$9)*(1+Sens!F17593)</f>
        <v>22.3161797133988</v>
      </c>
      <c r="G17592" s="6" t="n">
        <f aca="false">Sens!F17592*(1+Sens!G17593)</f>
        <v>24.3943499673233</v>
      </c>
      <c r="H17592" s="6" t="n">
        <f aca="false">Sens!G17592*(1+Sens!H17593)</f>
        <v>26.5250243109019</v>
      </c>
      <c r="I17592" s="6" t="n">
        <f aca="false">Sens!H17592*(1+Sens!I17593)</f>
        <v>28.6884573538181</v>
      </c>
      <c r="J17592" s="6" t="n">
        <f aca="false">Sens!I17592*(1+Sens!J17593)</f>
        <v>30.8624968052127</v>
      </c>
      <c r="K17592" s="6" t="n">
        <f aca="false">Sens!J17592*(1+Sens!K17593)</f>
        <v>33.0228715815776</v>
      </c>
      <c r="L17592" s="12" t="s">
        <v>1038</v>
      </c>
    </row>
    <row r="17593" customFormat="false" ht="15" hidden="false" customHeight="false" outlineLevel="0" collapsed="false">
      <c r="A17593" s="1" t="s">
        <v>1028</v>
      </c>
      <c r="B17593" s="0" t="s">
        <v>168</v>
      </c>
      <c r="E17593" s="7" t="n">
        <f aca="false">Sens!E17592/Sens!D17592-1</f>
        <v>0.104685888038225</v>
      </c>
      <c r="F17593" s="7" t="n">
        <f aca="false">Sens!$E$17593+(glt_ind-Sens!$E$17593)*MIN(1,(Sens!F17540-base_fy)/n_conv)</f>
        <v>0.0989049066985211</v>
      </c>
      <c r="G17593" s="7" t="n">
        <f aca="false">Sens!$E$17593+(glt_ind-Sens!$E$17593)*MIN(1,(Sens!G17540-base_fy)/n_conv)</f>
        <v>0.0931239253588169</v>
      </c>
      <c r="H17593" s="7" t="n">
        <f aca="false">Sens!$E$17593+(glt_ind-Sens!$E$17593)*MIN(1,(Sens!H17540-base_fy)/n_conv)</f>
        <v>0.0873429440191127</v>
      </c>
      <c r="I17593" s="7" t="n">
        <f aca="false">Sens!$E$17593+(glt_ind-Sens!$E$17593)*MIN(1,(Sens!I17540-base_fy)/n_conv)</f>
        <v>0.0815619626794085</v>
      </c>
      <c r="J17593" s="7" t="n">
        <f aca="false">Sens!$E$17593+(glt_ind-Sens!$E$17593)*MIN(1,(Sens!J17540-base_fy)/n_conv)</f>
        <v>0.0757809813397042</v>
      </c>
      <c r="K17593" s="7" t="n">
        <f aca="false">Sens!$E$17593+(glt_ind-Sens!$E$17593)*MIN(1,(Sens!K17540-base_fy)/n_conv)</f>
        <v>0.07</v>
      </c>
    </row>
    <row r="17594" customFormat="false" ht="17.15" hidden="false" customHeight="false" outlineLevel="0" collapsed="false">
      <c r="A17594" s="0" t="s">
        <v>1040</v>
      </c>
      <c r="B17594" s="0" t="s">
        <v>98</v>
      </c>
      <c r="D17594" s="6" t="n">
        <f aca="false">Q!L10</f>
        <v>7.76</v>
      </c>
      <c r="E17594" s="6" t="n">
        <f aca="false">Q!M10</f>
        <v>8.26</v>
      </c>
      <c r="F17594" s="6" t="n">
        <f aca="false">Q!$I$10+(Q!M10-Q!$E$10)*(1+Sens!F17595)</f>
        <v>8.75372082474227</v>
      </c>
      <c r="G17594" s="6" t="n">
        <f aca="false">Sens!F17594*(1+Sens!G17595)</f>
        <v>9.33399324642364</v>
      </c>
      <c r="H17594" s="6" t="n">
        <f aca="false">Sens!G17594*(1+Sens!H17595)</f>
        <v>9.96139155535851</v>
      </c>
      <c r="I17594" s="6" t="n">
        <f aca="false">Sens!H17594*(1+Sens!I17595)</f>
        <v>10.6402039077391</v>
      </c>
      <c r="J17594" s="6" t="n">
        <f aca="false">Sens!I17594*(1+Sens!J17595)</f>
        <v>11.3751458271397</v>
      </c>
      <c r="K17594" s="6" t="n">
        <f aca="false">Sens!J17594*(1+Sens!K17595)</f>
        <v>12.1714060350394</v>
      </c>
      <c r="L17594" s="12" t="s">
        <v>1038</v>
      </c>
    </row>
    <row r="17595" customFormat="false" ht="15" hidden="false" customHeight="false" outlineLevel="0" collapsed="false">
      <c r="A17595" s="1" t="s">
        <v>1028</v>
      </c>
      <c r="B17595" s="0" t="s">
        <v>168</v>
      </c>
      <c r="E17595" s="7" t="n">
        <f aca="false">Sens!E17594/Sens!D17594-1</f>
        <v>0.0644329896907216</v>
      </c>
      <c r="F17595" s="7" t="n">
        <f aca="false">Sens!$E$17595+(glt_fro-Sens!$E$17595)*MIN(1,(Sens!F17540-base_fy)/n_conv)</f>
        <v>0.065360824742268</v>
      </c>
      <c r="G17595" s="7" t="n">
        <f aca="false">Sens!$E$17595+(glt_fro-Sens!$E$17595)*MIN(1,(Sens!G17540-base_fy)/n_conv)</f>
        <v>0.0662886597938144</v>
      </c>
      <c r="H17595" s="7" t="n">
        <f aca="false">Sens!$E$17595+(glt_fro-Sens!$E$17595)*MIN(1,(Sens!H17540-base_fy)/n_conv)</f>
        <v>0.0672164948453608</v>
      </c>
      <c r="I17595" s="7" t="n">
        <f aca="false">Sens!$E$17595+(glt_fro-Sens!$E$17595)*MIN(1,(Sens!I17540-base_fy)/n_conv)</f>
        <v>0.0681443298969072</v>
      </c>
      <c r="J17595" s="7" t="n">
        <f aca="false">Sens!$E$17595+(glt_fro-Sens!$E$17595)*MIN(1,(Sens!J17540-base_fy)/n_conv)</f>
        <v>0.0690721649484536</v>
      </c>
      <c r="K17595" s="7" t="n">
        <f aca="false">Sens!$E$17595+(glt_fro-Sens!$E$17595)*MIN(1,(Sens!K17540-base_fy)/n_conv)</f>
        <v>0.07</v>
      </c>
    </row>
    <row r="17596" customFormat="false" ht="15" hidden="false" customHeight="false" outlineLevel="0" collapsed="false">
      <c r="A17596" s="0" t="s">
        <v>856</v>
      </c>
      <c r="B17596" s="0" t="s">
        <v>98</v>
      </c>
      <c r="D17596" s="6" t="n">
        <f aca="false">Sens!D17584+Sens!D17589+Sens!D17590+Sens!D17592+Sens!D17594</f>
        <v>218.783</v>
      </c>
      <c r="E17596" s="6" t="n">
        <f aca="false">Sens!E17584+Sens!E17589+Sens!E17590+Sens!E17592+Sens!E17594</f>
        <v>268.127</v>
      </c>
      <c r="F17596" s="6" t="n">
        <f aca="false">Sens!F17584+Sens!F17589+Sens!F17590+Sens!F17592+Sens!F17594</f>
        <v>330.145282059882</v>
      </c>
      <c r="G17596" s="6" t="n">
        <f aca="false">Sens!G17584+Sens!G17589+Sens!G17590+Sens!G17592+Sens!G17594</f>
        <v>392.656759865851</v>
      </c>
      <c r="H17596" s="6" t="n">
        <f aca="false">Sens!H17584+Sens!H17589+Sens!H17590+Sens!H17592+Sens!H17594</f>
        <v>450.544273297982</v>
      </c>
      <c r="I17596" s="6" t="n">
        <f aca="false">Sens!I17584+Sens!I17589+Sens!I17590+Sens!I17592+Sens!I17594</f>
        <v>510.69213512593</v>
      </c>
      <c r="J17596" s="6" t="n">
        <f aca="false">Sens!J17584+Sens!J17589+Sens!J17590+Sens!J17592+Sens!J17594</f>
        <v>560.416732629406</v>
      </c>
      <c r="K17596" s="6" t="n">
        <f aca="false">Sens!K17584+Sens!K17589+Sens!K17590+Sens!K17592+Sens!K17594</f>
        <v>600.132410592692</v>
      </c>
    </row>
    <row r="17597" customFormat="false" ht="17.15" hidden="false" customHeight="false" outlineLevel="0" collapsed="false">
      <c r="A17597" s="0" t="s">
        <v>1041</v>
      </c>
      <c r="B17597" s="0" t="s">
        <v>98</v>
      </c>
      <c r="D17597" s="6" t="n">
        <f aca="false">Q!L13</f>
        <v>22.171</v>
      </c>
      <c r="E17597" s="6" t="n">
        <f aca="false">Q!M13</f>
        <v>24.835</v>
      </c>
      <c r="F17597" s="6" t="n">
        <f aca="false">Q!$I$13+(Q!M13-Q!$E$13)*(1+Sens!F17598)</f>
        <v>27.5591895660247</v>
      </c>
      <c r="G17597" s="6" t="n">
        <f aca="false">Sens!F17597*(1+Sens!G17598)</f>
        <v>30.4098563144583</v>
      </c>
      <c r="H17597" s="6" t="n">
        <f aca="false">Sens!G17597*(1+Sens!H17598)</f>
        <v>33.3011792571777</v>
      </c>
      <c r="I17597" s="6" t="n">
        <f aca="false">Sens!H17597*(1+Sens!I17598)</f>
        <v>36.189023797112</v>
      </c>
      <c r="J17597" s="6" t="n">
        <f aca="false">Sens!I17597*(1+Sens!J17598)</f>
        <v>39.0247773769199</v>
      </c>
      <c r="K17597" s="6" t="n">
        <f aca="false">Sens!J17597*(1+Sens!K17598)</f>
        <v>41.7565117933043</v>
      </c>
      <c r="L17597" s="12" t="s">
        <v>1038</v>
      </c>
    </row>
    <row r="17598" customFormat="false" ht="15" hidden="false" customHeight="false" outlineLevel="0" collapsed="false">
      <c r="A17598" s="1" t="s">
        <v>1028</v>
      </c>
      <c r="B17598" s="0" t="s">
        <v>168</v>
      </c>
      <c r="E17598" s="7" t="n">
        <f aca="false">Sens!E17597/Sens!D17597-1</f>
        <v>0.120156961796942</v>
      </c>
      <c r="F17598" s="7" t="n">
        <f aca="false">Sens!$E$17598+(glt_srch-Sens!$E$17598)*MIN(1,(Sens!F17540-base_fy)/n_conv)</f>
        <v>0.111797468164118</v>
      </c>
      <c r="G17598" s="7" t="n">
        <f aca="false">Sens!$E$17598+(glt_srch-Sens!$E$17598)*MIN(1,(Sens!G17540-base_fy)/n_conv)</f>
        <v>0.103437974531295</v>
      </c>
      <c r="H17598" s="7" t="n">
        <f aca="false">Sens!$E$17598+(glt_srch-Sens!$E$17598)*MIN(1,(Sens!H17540-base_fy)/n_conv)</f>
        <v>0.095078480898471</v>
      </c>
      <c r="I17598" s="7" t="n">
        <f aca="false">Sens!$E$17598+(glt_srch-Sens!$E$17598)*MIN(1,(Sens!I17540-base_fy)/n_conv)</f>
        <v>0.0867189872656474</v>
      </c>
      <c r="J17598" s="7" t="n">
        <f aca="false">Sens!$E$17598+(glt_srch-Sens!$E$17598)*MIN(1,(Sens!J17540-base_fy)/n_conv)</f>
        <v>0.0783594936328237</v>
      </c>
      <c r="K17598" s="7" t="n">
        <f aca="false">Sens!$E$17598+(glt_srch-Sens!$E$17598)*MIN(1,(Sens!K17540-base_fy)/n_conv)</f>
        <v>0.07</v>
      </c>
    </row>
    <row r="17599" customFormat="false" ht="17.15" hidden="false" customHeight="false" outlineLevel="0" collapsed="false">
      <c r="A17599" s="0" t="s">
        <v>1042</v>
      </c>
      <c r="B17599" s="0" t="s">
        <v>98</v>
      </c>
      <c r="D17599" s="6" t="n">
        <f aca="false">Q!L14</f>
        <v>23.455</v>
      </c>
      <c r="E17599" s="6" t="n">
        <f aca="false">Q!M14</f>
        <v>21.79</v>
      </c>
      <c r="F17599" s="6" t="n">
        <f aca="false">Q!$I$14+(Q!M14-Q!$E$14)*(1+Sens!F17600)</f>
        <v>20.7520981041711</v>
      </c>
      <c r="G17599" s="6" t="n">
        <f aca="false">Sens!F17599*(1+Sens!G17600)</f>
        <v>19.9083593495882</v>
      </c>
      <c r="H17599" s="6" t="n">
        <f aca="false">Sens!G17599*(1+Sens!H17600)</f>
        <v>19.4008256265831</v>
      </c>
      <c r="I17599" s="6" t="n">
        <f aca="false">Sens!H17599*(1+Sens!I17600)</f>
        <v>19.200434522122</v>
      </c>
      <c r="J17599" s="6" t="n">
        <f aca="false">Sens!I17599*(1+Sens!J17600)</f>
        <v>19.2932782348507</v>
      </c>
      <c r="K17599" s="6" t="n">
        <f aca="false">Sens!J17599*(1+Sens!K17600)</f>
        <v>19.6791437995477</v>
      </c>
      <c r="L17599" s="12" t="s">
        <v>1038</v>
      </c>
    </row>
    <row r="17600" customFormat="false" ht="15" hidden="false" customHeight="false" outlineLevel="0" collapsed="false">
      <c r="A17600" s="1" t="s">
        <v>1028</v>
      </c>
      <c r="B17600" s="0" t="s">
        <v>168</v>
      </c>
      <c r="E17600" s="7" t="n">
        <f aca="false">Sens!E17599/Sens!D17599-1</f>
        <v>-0.0709869963760392</v>
      </c>
      <c r="F17600" s="7" t="n">
        <f aca="false">Sens!$E$17600+(glt_xbox-Sens!$E$17600)*MIN(1,(Sens!F17540-base_fy)/n_conv)</f>
        <v>-0.0558224969800327</v>
      </c>
      <c r="G17600" s="7" t="n">
        <f aca="false">Sens!$E$17600+(glt_xbox-Sens!$E$17600)*MIN(1,(Sens!G17540-base_fy)/n_conv)</f>
        <v>-0.0406579975840262</v>
      </c>
      <c r="H17600" s="7" t="n">
        <f aca="false">Sens!$E$17600+(glt_xbox-Sens!$E$17600)*MIN(1,(Sens!H17540-base_fy)/n_conv)</f>
        <v>-0.0254934981880196</v>
      </c>
      <c r="I17600" s="7" t="n">
        <f aca="false">Sens!$E$17600+(glt_xbox-Sens!$E$17600)*MIN(1,(Sens!I17540-base_fy)/n_conv)</f>
        <v>-0.0103289987920131</v>
      </c>
      <c r="J17600" s="7" t="n">
        <f aca="false">Sens!$E$17600+(glt_xbox-Sens!$E$17600)*MIN(1,(Sens!J17540-base_fy)/n_conv)</f>
        <v>0.00483550060399347</v>
      </c>
      <c r="K17600" s="7" t="n">
        <f aca="false">Sens!$E$17600+(glt_xbox-Sens!$E$17600)*MIN(1,(Sens!K17540-base_fy)/n_conv)</f>
        <v>0.02</v>
      </c>
    </row>
    <row r="17601" customFormat="false" ht="17.15" hidden="false" customHeight="false" outlineLevel="0" collapsed="false">
      <c r="A17601" s="0" t="s">
        <v>1043</v>
      </c>
      <c r="B17601" s="0" t="s">
        <v>98</v>
      </c>
      <c r="D17601" s="6" t="n">
        <f aca="false">Q!L15</f>
        <v>17.315</v>
      </c>
      <c r="E17601" s="6" t="n">
        <f aca="false">Q!M15</f>
        <v>17.087</v>
      </c>
      <c r="F17601" s="6" t="n">
        <f aca="false">Q!$I$15+(Q!M15-Q!$E$15)*(1+Sens!F17602)</f>
        <v>15.9912273250553</v>
      </c>
      <c r="G17601" s="6" t="n">
        <f aca="false">Sens!F17601*(1+Sens!G17602)</f>
        <v>15.9574562664827</v>
      </c>
      <c r="H17601" s="6" t="n">
        <f aca="false">Sens!G17601*(1+Sens!H17602)</f>
        <v>16.0119687434196</v>
      </c>
      <c r="I17601" s="6" t="n">
        <f aca="false">Sens!H17601*(1+Sens!I17602)</f>
        <v>16.1551810001948</v>
      </c>
      <c r="J17601" s="6" t="n">
        <f aca="false">Sens!I17601*(1+Sens!J17602)</f>
        <v>16.3889793892005</v>
      </c>
      <c r="K17601" s="6" t="n">
        <f aca="false">Sens!J17601*(1+Sens!K17602)</f>
        <v>16.7167589769845</v>
      </c>
      <c r="L17601" s="12" t="s">
        <v>1038</v>
      </c>
    </row>
    <row r="17602" customFormat="false" ht="15" hidden="false" customHeight="false" outlineLevel="0" collapsed="false">
      <c r="A17602" s="1" t="s">
        <v>1028</v>
      </c>
      <c r="B17602" s="0" t="s">
        <v>168</v>
      </c>
      <c r="E17602" s="7" t="n">
        <f aca="false">Sens!E17601/Sens!D17601-1</f>
        <v>-0.0131677736066995</v>
      </c>
      <c r="F17602" s="7" t="n">
        <f aca="false">Sens!$E$17602+(glt_win-Sens!$E$17602)*MIN(1,(Sens!F17540-base_fy)/n_conv)</f>
        <v>-0.00763981133891627</v>
      </c>
      <c r="G17602" s="7" t="n">
        <f aca="false">Sens!$E$17602+(glt_win-Sens!$E$17602)*MIN(1,(Sens!G17540-base_fy)/n_conv)</f>
        <v>-0.00211184907113301</v>
      </c>
      <c r="H17602" s="7" t="n">
        <f aca="false">Sens!$E$17602+(glt_win-Sens!$E$17602)*MIN(1,(Sens!H17540-base_fy)/n_conv)</f>
        <v>0.00341611319665024</v>
      </c>
      <c r="I17602" s="7" t="n">
        <f aca="false">Sens!$E$17602+(glt_win-Sens!$E$17602)*MIN(1,(Sens!I17540-base_fy)/n_conv)</f>
        <v>0.00894407546443349</v>
      </c>
      <c r="J17602" s="7" t="n">
        <f aca="false">Sens!$E$17602+(glt_win-Sens!$E$17602)*MIN(1,(Sens!J17540-base_fy)/n_conv)</f>
        <v>0.0144720377322168</v>
      </c>
      <c r="K17602" s="7" t="n">
        <f aca="false">Sens!$E$17602+(glt_win-Sens!$E$17602)*MIN(1,(Sens!K17540-base_fy)/n_conv)</f>
        <v>0.02</v>
      </c>
    </row>
    <row r="17603" customFormat="false" ht="15" hidden="false" customHeight="false" outlineLevel="0" collapsed="false">
      <c r="A17603" s="0" t="s">
        <v>870</v>
      </c>
      <c r="B17603" s="0" t="s">
        <v>98</v>
      </c>
      <c r="D17603" s="6" t="n">
        <f aca="false">Sens!D17597+Sens!D17599+Sens!D17601</f>
        <v>62.941</v>
      </c>
      <c r="E17603" s="6" t="n">
        <f aca="false">Sens!E17597+Sens!E17599+Sens!E17601</f>
        <v>63.712</v>
      </c>
      <c r="F17603" s="6" t="n">
        <f aca="false">Sens!F17597+Sens!F17599+Sens!F17601</f>
        <v>64.3025149952511</v>
      </c>
      <c r="G17603" s="6" t="n">
        <f aca="false">Sens!G17597+Sens!G17599+Sens!G17601</f>
        <v>66.2756719305292</v>
      </c>
      <c r="H17603" s="6" t="n">
        <f aca="false">Sens!H17597+Sens!H17599+Sens!H17601</f>
        <v>68.7139736271804</v>
      </c>
      <c r="I17603" s="6" t="n">
        <f aca="false">Sens!I17597+Sens!I17599+Sens!I17601</f>
        <v>71.5446393194289</v>
      </c>
      <c r="J17603" s="6" t="n">
        <f aca="false">Sens!J17597+Sens!J17599+Sens!J17601</f>
        <v>74.707035000971</v>
      </c>
      <c r="K17603" s="6" t="n">
        <f aca="false">Sens!K17597+Sens!K17599+Sens!K17601</f>
        <v>78.1524145698365</v>
      </c>
    </row>
    <row r="17604" customFormat="false" ht="15" hidden="false" customHeight="false" outlineLevel="0" collapsed="false">
      <c r="A17604" s="1" t="s">
        <v>1044</v>
      </c>
      <c r="B17604" s="0" t="s">
        <v>98</v>
      </c>
      <c r="D17604" s="6" t="n">
        <f aca="false">Sens!D17596+Sens!D17603</f>
        <v>281.724</v>
      </c>
      <c r="E17604" s="6" t="n">
        <f aca="false">Sens!E17596+Sens!E17603</f>
        <v>331.839</v>
      </c>
      <c r="F17604" s="6" t="n">
        <f aca="false">Sens!F17596+Sens!F17603</f>
        <v>394.447797055133</v>
      </c>
      <c r="G17604" s="6" t="n">
        <f aca="false">Sens!G17596+Sens!G17603</f>
        <v>458.93243179638</v>
      </c>
      <c r="H17604" s="6" t="n">
        <f aca="false">Sens!H17596+Sens!H17603</f>
        <v>519.258246925162</v>
      </c>
      <c r="I17604" s="6" t="n">
        <f aca="false">Sens!I17596+Sens!I17603</f>
        <v>582.236774445359</v>
      </c>
      <c r="J17604" s="6" t="n">
        <f aca="false">Sens!J17596+Sens!J17603</f>
        <v>635.123767630377</v>
      </c>
      <c r="K17604" s="6" t="n">
        <f aca="false">Sens!K17596+Sens!K17603</f>
        <v>678.284825162529</v>
      </c>
    </row>
    <row r="17605" customFormat="false" ht="15" hidden="false" customHeight="false" outlineLevel="0" collapsed="false">
      <c r="A17605" s="26" t="s">
        <v>1045</v>
      </c>
      <c r="B17605" s="31" t="s">
        <v>98</v>
      </c>
      <c r="C17605" s="31"/>
      <c r="D17605" s="27" t="n">
        <f aca="false">(Sens!D17584+Sens!D17589+Sens!D17590+Sens!D17592+Sens!D17594-Sens!D17596)+(Sens!D17597+Sens!D17599+Sens!D17601-Sens!D17603)+(Sens!D17596-Q!L5)+(Sens!D17603-Q!L12)+(Sens!D17584-Q!L6)+(Sens!D17589-Q!L7)</f>
        <v>0</v>
      </c>
      <c r="E17605" s="27" t="n">
        <f aca="false">(Sens!E17584+Sens!E17589+Sens!E17590+Sens!E17592+Sens!E17594-Sens!E17596)+(Sens!E17597+Sens!E17599+Sens!E17601-Sens!E17603)+(Sens!E17596-Q!M5)+(Sens!E17603-Q!M12)+(Sens!E17584-Q!M6)+(Sens!E17589-Q!M7)</f>
        <v>0</v>
      </c>
      <c r="F17605" s="27" t="n">
        <f aca="false">(Sens!F17584+Sens!F17589+Sens!F17590+Sens!F17592+Sens!F17594-Sens!F17596)+(Sens!F17597+Sens!F17599+Sens!F17601-Sens!F17603)</f>
        <v>0</v>
      </c>
      <c r="G17605" s="27" t="n">
        <f aca="false">(Sens!G17584+Sens!G17589+Sens!G17590+Sens!G17592+Sens!G17594-Sens!G17596)+(Sens!G17597+Sens!G17599+Sens!G17601-Sens!G17603)</f>
        <v>0</v>
      </c>
      <c r="H17605" s="27" t="n">
        <f aca="false">(Sens!H17584+Sens!H17589+Sens!H17590+Sens!H17592+Sens!H17594-Sens!H17596)+(Sens!H17597+Sens!H17599+Sens!H17601-Sens!H17603)</f>
        <v>0</v>
      </c>
      <c r="I17605" s="27" t="n">
        <f aca="false">(Sens!I17584+Sens!I17589+Sens!I17590+Sens!I17592+Sens!I17594-Sens!I17596)+(Sens!I17597+Sens!I17599+Sens!I17601-Sens!I17603)</f>
        <v>0</v>
      </c>
      <c r="J17605" s="27" t="n">
        <f aca="false">(Sens!J17584+Sens!J17589+Sens!J17590+Sens!J17592+Sens!J17594-Sens!J17596)+(Sens!J17597+Sens!J17599+Sens!J17601-Sens!J17603)</f>
        <v>0</v>
      </c>
      <c r="K17605" s="27" t="n">
        <f aca="false">(Sens!K17584+Sens!K17589+Sens!K17590+Sens!K17592+Sens!K17594-Sens!K17596)+(Sens!K17597+Sens!K17599+Sens!K17601-Sens!K17603)</f>
        <v>0</v>
      </c>
    </row>
    <row r="17606" customFormat="false" ht="17.15" hidden="false" customHeight="false" outlineLevel="0" collapsed="false">
      <c r="A17606" s="3" t="s">
        <v>2046</v>
      </c>
    </row>
    <row r="17607" customFormat="false" ht="15" hidden="false" customHeight="false" outlineLevel="0" collapsed="false">
      <c r="A17607" s="4" t="s">
        <v>43</v>
      </c>
      <c r="B17607" s="4" t="s">
        <v>65</v>
      </c>
      <c r="C17607" s="23" t="s">
        <v>942</v>
      </c>
      <c r="D17607" s="23" t="s">
        <v>943</v>
      </c>
      <c r="E17607" s="23" t="s">
        <v>944</v>
      </c>
      <c r="F17607" s="23" t="s">
        <v>945</v>
      </c>
      <c r="G17607" s="23" t="s">
        <v>946</v>
      </c>
      <c r="H17607" s="23" t="s">
        <v>947</v>
      </c>
      <c r="I17607" s="23" t="s">
        <v>948</v>
      </c>
      <c r="J17607" s="23" t="s">
        <v>949</v>
      </c>
      <c r="K17607" s="23" t="s">
        <v>950</v>
      </c>
      <c r="L17607" s="4" t="s">
        <v>47</v>
      </c>
    </row>
    <row r="17608" customFormat="false" ht="15" hidden="false" customHeight="false" outlineLevel="0" collapsed="false">
      <c r="A17608" s="0" t="s">
        <v>1029</v>
      </c>
      <c r="B17608" s="0" t="s">
        <v>98</v>
      </c>
      <c r="D17608" s="6" t="n">
        <f aca="false">Sens!D17584</f>
        <v>72.61</v>
      </c>
      <c r="E17608" s="6" t="n">
        <f aca="false">Sens!E17584</f>
        <v>101.938</v>
      </c>
      <c r="F17608" s="6" t="n">
        <f aca="false">Sens!F17584</f>
        <v>143.251883553698</v>
      </c>
      <c r="G17608" s="6" t="n">
        <f aca="false">Sens!G17584</f>
        <v>186.322520879442</v>
      </c>
      <c r="H17608" s="6" t="n">
        <f aca="false">Sens!H17584</f>
        <v>224.74279426379</v>
      </c>
      <c r="I17608" s="6" t="n">
        <f aca="false">Sens!I17584</f>
        <v>266.443497823359</v>
      </c>
      <c r="J17608" s="6" t="n">
        <f aca="false">Sens!J17584</f>
        <v>299.06102493502</v>
      </c>
      <c r="K17608" s="6" t="n">
        <f aca="false">Sens!K17584</f>
        <v>322.592740225023</v>
      </c>
    </row>
    <row r="17609" customFormat="false" ht="17.15" hidden="false" customHeight="false" outlineLevel="0" collapsed="false">
      <c r="A17609" s="0" t="s">
        <v>1025</v>
      </c>
      <c r="B17609" s="0" t="s">
        <v>98</v>
      </c>
      <c r="D17609" s="6" t="n">
        <f aca="false">Sens!D17581</f>
        <v>12.9359794422418</v>
      </c>
      <c r="E17609" s="6" t="n">
        <f aca="false">Sens!E17581</f>
        <v>27.8095064661409</v>
      </c>
      <c r="F17609" s="6" t="n">
        <f aca="false">Sens!F17581</f>
        <v>50.9819294352312</v>
      </c>
      <c r="G17609" s="6" t="n">
        <f aca="false">Sens!G17581</f>
        <v>76.6920436014933</v>
      </c>
      <c r="H17609" s="6" t="n">
        <f aca="false">Sens!H17581</f>
        <v>97.4495379418341</v>
      </c>
      <c r="I17609" s="6" t="n">
        <f aca="false">Sens!I17581</f>
        <v>122.083445553868</v>
      </c>
      <c r="J17609" s="6" t="n">
        <f aca="false">Sens!J17581</f>
        <v>139.249060444804</v>
      </c>
      <c r="K17609" s="6" t="n">
        <f aca="false">Sens!K17581</f>
        <v>149.995818575589</v>
      </c>
    </row>
    <row r="17610" customFormat="false" ht="17.15" hidden="false" customHeight="false" outlineLevel="0" collapsed="false">
      <c r="A17610" s="0" t="s">
        <v>1056</v>
      </c>
      <c r="B17610" s="0" t="s">
        <v>98</v>
      </c>
      <c r="D17610" s="6" t="n">
        <f aca="false">Sens!D17582</f>
        <v>59.6740205577583</v>
      </c>
      <c r="E17610" s="6" t="n">
        <f aca="false">Sens!E17582</f>
        <v>74.1284935338591</v>
      </c>
      <c r="F17610" s="6" t="n">
        <f aca="false">Sens!F17582</f>
        <v>92.2699541184664</v>
      </c>
      <c r="G17610" s="6" t="n">
        <f aca="false">Sens!G17582</f>
        <v>109.630477277949</v>
      </c>
      <c r="H17610" s="6" t="n">
        <f aca="false">Sens!H17582</f>
        <v>127.293256321956</v>
      </c>
      <c r="I17610" s="6" t="n">
        <f aca="false">Sens!I17582</f>
        <v>144.360052269491</v>
      </c>
      <c r="J17610" s="6" t="n">
        <f aca="false">Sens!J17582</f>
        <v>159.811964490216</v>
      </c>
      <c r="K17610" s="6" t="n">
        <f aca="false">Sens!K17582</f>
        <v>172.596921649434</v>
      </c>
    </row>
    <row r="17611" customFormat="false" ht="15" hidden="false" customHeight="false" outlineLevel="0" collapsed="false">
      <c r="A17611" s="0" t="s">
        <v>1036</v>
      </c>
      <c r="B17611" s="0" t="s">
        <v>98</v>
      </c>
      <c r="D17611" s="6" t="n">
        <f aca="false">Sens!D17589</f>
        <v>84.605</v>
      </c>
      <c r="E17611" s="6" t="n">
        <f aca="false">Sens!E17589</f>
        <v>100.299</v>
      </c>
      <c r="F17611" s="6" t="n">
        <f aca="false">Sens!F17589</f>
        <v>117.438354189776</v>
      </c>
      <c r="G17611" s="6" t="n">
        <f aca="false">Sens!G17589</f>
        <v>132.595360443801</v>
      </c>
      <c r="H17611" s="6" t="n">
        <f aca="false">Sens!H17589</f>
        <v>147.833811964563</v>
      </c>
      <c r="I17611" s="6" t="n">
        <f aca="false">Sens!I17589</f>
        <v>162.145665319381</v>
      </c>
      <c r="J17611" s="6" t="n">
        <f aca="false">Sens!J17589</f>
        <v>175.249327755573</v>
      </c>
      <c r="K17611" s="6" t="n">
        <f aca="false">Sens!K17589</f>
        <v>187.599280698463</v>
      </c>
    </row>
    <row r="17612" customFormat="false" ht="17.15" hidden="false" customHeight="false" outlineLevel="0" collapsed="false">
      <c r="A17612" s="0" t="s">
        <v>1057</v>
      </c>
      <c r="B17612" s="0" t="s">
        <v>98</v>
      </c>
      <c r="D17612" s="6" t="n">
        <f aca="false">Sens!D17587</f>
        <v>83.705</v>
      </c>
      <c r="E17612" s="6" t="n">
        <f aca="false">Sens!E17587</f>
        <v>95.049</v>
      </c>
      <c r="F17612" s="6" t="n">
        <f aca="false">Sens!F17587</f>
        <v>106.938354189776</v>
      </c>
      <c r="G17612" s="6" t="n">
        <f aca="false">Sens!G17587</f>
        <v>119.095360443801</v>
      </c>
      <c r="H17612" s="6" t="n">
        <f aca="false">Sens!H17587</f>
        <v>131.333811964563</v>
      </c>
      <c r="I17612" s="6" t="n">
        <f aca="false">Sens!I17587</f>
        <v>143.395665319381</v>
      </c>
      <c r="J17612" s="6" t="n">
        <f aca="false">Sens!J17587</f>
        <v>154.999327755573</v>
      </c>
      <c r="K17612" s="6" t="n">
        <f aca="false">Sens!K17587</f>
        <v>165.849280698463</v>
      </c>
    </row>
    <row r="17613" customFormat="false" ht="17.15" hidden="false" customHeight="false" outlineLevel="0" collapsed="false">
      <c r="A17613" s="0" t="s">
        <v>1058</v>
      </c>
      <c r="B17613" s="0" t="s">
        <v>98</v>
      </c>
      <c r="D17613" s="6" t="n">
        <f aca="false">Sens!D17586</f>
        <v>0.9</v>
      </c>
      <c r="E17613" s="6" t="n">
        <f aca="false">Sens!E17586</f>
        <v>5.25</v>
      </c>
      <c r="F17613" s="6" t="n">
        <f aca="false">Sens!F17586</f>
        <v>10.5</v>
      </c>
      <c r="G17613" s="6" t="n">
        <f aca="false">Sens!G17586</f>
        <v>13.5</v>
      </c>
      <c r="H17613" s="6" t="n">
        <f aca="false">Sens!H17586</f>
        <v>16.5</v>
      </c>
      <c r="I17613" s="6" t="n">
        <f aca="false">Sens!I17586</f>
        <v>18.75</v>
      </c>
      <c r="J17613" s="6" t="n">
        <f aca="false">Sens!J17586</f>
        <v>20.25</v>
      </c>
      <c r="K17613" s="6" t="n">
        <f aca="false">Sens!K17586</f>
        <v>21.75</v>
      </c>
    </row>
    <row r="17614" customFormat="false" ht="15" hidden="false" customHeight="false" outlineLevel="0" collapsed="false">
      <c r="A17614" s="0" t="s">
        <v>1037</v>
      </c>
      <c r="B17614" s="0" t="s">
        <v>98</v>
      </c>
      <c r="D17614" s="6" t="n">
        <f aca="false">Sens!D17590</f>
        <v>35.391</v>
      </c>
      <c r="E17614" s="6" t="n">
        <f aca="false">Sens!E17590</f>
        <v>37.285</v>
      </c>
      <c r="F17614" s="6" t="n">
        <f aca="false">Sens!F17590</f>
        <v>38.3851437782675</v>
      </c>
      <c r="G17614" s="6" t="n">
        <f aca="false">Sens!G17590</f>
        <v>40.0105353288615</v>
      </c>
      <c r="H17614" s="6" t="n">
        <f aca="false">Sens!H17590</f>
        <v>41.4812512033683</v>
      </c>
      <c r="I17614" s="6" t="n">
        <f aca="false">Sens!I17590</f>
        <v>42.7743107216329</v>
      </c>
      <c r="J17614" s="6" t="n">
        <f aca="false">Sens!J17590</f>
        <v>43.8687373064601</v>
      </c>
      <c r="K17614" s="6" t="n">
        <f aca="false">Sens!K17590</f>
        <v>44.7461120525893</v>
      </c>
    </row>
    <row r="17615" customFormat="false" ht="15" hidden="false" customHeight="false" outlineLevel="0" collapsed="false">
      <c r="A17615" s="0" t="s">
        <v>1039</v>
      </c>
      <c r="B17615" s="0" t="s">
        <v>98</v>
      </c>
      <c r="D17615" s="6" t="n">
        <f aca="false">Sens!D17592</f>
        <v>18.417</v>
      </c>
      <c r="E17615" s="6" t="n">
        <f aca="false">Sens!E17592</f>
        <v>20.345</v>
      </c>
      <c r="F17615" s="6" t="n">
        <f aca="false">Sens!F17592</f>
        <v>22.3161797133988</v>
      </c>
      <c r="G17615" s="6" t="n">
        <f aca="false">Sens!G17592</f>
        <v>24.3943499673233</v>
      </c>
      <c r="H17615" s="6" t="n">
        <f aca="false">Sens!H17592</f>
        <v>26.5250243109019</v>
      </c>
      <c r="I17615" s="6" t="n">
        <f aca="false">Sens!I17592</f>
        <v>28.6884573538181</v>
      </c>
      <c r="J17615" s="6" t="n">
        <f aca="false">Sens!J17592</f>
        <v>30.8624968052127</v>
      </c>
      <c r="K17615" s="6" t="n">
        <f aca="false">Sens!K17592</f>
        <v>33.0228715815776</v>
      </c>
    </row>
    <row r="17616" customFormat="false" ht="15" hidden="false" customHeight="false" outlineLevel="0" collapsed="false">
      <c r="A17616" s="0" t="s">
        <v>1040</v>
      </c>
      <c r="B17616" s="0" t="s">
        <v>98</v>
      </c>
      <c r="D17616" s="6" t="n">
        <f aca="false">Sens!D17594</f>
        <v>7.76</v>
      </c>
      <c r="E17616" s="6" t="n">
        <f aca="false">Sens!E17594</f>
        <v>8.26</v>
      </c>
      <c r="F17616" s="6" t="n">
        <f aca="false">Sens!F17594</f>
        <v>8.75372082474227</v>
      </c>
      <c r="G17616" s="6" t="n">
        <f aca="false">Sens!G17594</f>
        <v>9.33399324642364</v>
      </c>
      <c r="H17616" s="6" t="n">
        <f aca="false">Sens!H17594</f>
        <v>9.96139155535851</v>
      </c>
      <c r="I17616" s="6" t="n">
        <f aca="false">Sens!I17594</f>
        <v>10.6402039077391</v>
      </c>
      <c r="J17616" s="6" t="n">
        <f aca="false">Sens!J17594</f>
        <v>11.3751458271397</v>
      </c>
      <c r="K17616" s="6" t="n">
        <f aca="false">Sens!K17594</f>
        <v>12.1714060350394</v>
      </c>
    </row>
    <row r="17617" customFormat="false" ht="15" hidden="false" customHeight="false" outlineLevel="0" collapsed="false">
      <c r="A17617" s="0" t="s">
        <v>856</v>
      </c>
      <c r="B17617" s="0" t="s">
        <v>98</v>
      </c>
      <c r="D17617" s="6" t="n">
        <f aca="false">Sens!D17596</f>
        <v>218.783</v>
      </c>
      <c r="E17617" s="6" t="n">
        <f aca="false">Sens!E17596</f>
        <v>268.127</v>
      </c>
      <c r="F17617" s="6" t="n">
        <f aca="false">Sens!F17596</f>
        <v>330.145282059882</v>
      </c>
      <c r="G17617" s="6" t="n">
        <f aca="false">Sens!G17596</f>
        <v>392.656759865851</v>
      </c>
      <c r="H17617" s="6" t="n">
        <f aca="false">Sens!H17596</f>
        <v>450.544273297982</v>
      </c>
      <c r="I17617" s="6" t="n">
        <f aca="false">Sens!I17596</f>
        <v>510.69213512593</v>
      </c>
      <c r="J17617" s="6" t="n">
        <f aca="false">Sens!J17596</f>
        <v>560.416732629406</v>
      </c>
      <c r="K17617" s="6" t="n">
        <f aca="false">Sens!K17596</f>
        <v>600.132410592692</v>
      </c>
    </row>
    <row r="17618" customFormat="false" ht="15" hidden="false" customHeight="false" outlineLevel="0" collapsed="false">
      <c r="A17618" s="0" t="s">
        <v>1041</v>
      </c>
      <c r="B17618" s="0" t="s">
        <v>98</v>
      </c>
      <c r="D17618" s="6" t="n">
        <f aca="false">Sens!D17597</f>
        <v>22.171</v>
      </c>
      <c r="E17618" s="6" t="n">
        <f aca="false">Sens!E17597</f>
        <v>24.835</v>
      </c>
      <c r="F17618" s="6" t="n">
        <f aca="false">Sens!F17597</f>
        <v>27.5591895660247</v>
      </c>
      <c r="G17618" s="6" t="n">
        <f aca="false">Sens!G17597</f>
        <v>30.4098563144583</v>
      </c>
      <c r="H17618" s="6" t="n">
        <f aca="false">Sens!H17597</f>
        <v>33.3011792571777</v>
      </c>
      <c r="I17618" s="6" t="n">
        <f aca="false">Sens!I17597</f>
        <v>36.189023797112</v>
      </c>
      <c r="J17618" s="6" t="n">
        <f aca="false">Sens!J17597</f>
        <v>39.0247773769199</v>
      </c>
      <c r="K17618" s="6" t="n">
        <f aca="false">Sens!K17597</f>
        <v>41.7565117933043</v>
      </c>
    </row>
    <row r="17619" customFormat="false" ht="15" hidden="false" customHeight="false" outlineLevel="0" collapsed="false">
      <c r="A17619" s="0" t="s">
        <v>1042</v>
      </c>
      <c r="B17619" s="0" t="s">
        <v>98</v>
      </c>
      <c r="D17619" s="6" t="n">
        <f aca="false">Sens!D17599</f>
        <v>23.455</v>
      </c>
      <c r="E17619" s="6" t="n">
        <f aca="false">Sens!E17599</f>
        <v>21.79</v>
      </c>
      <c r="F17619" s="6" t="n">
        <f aca="false">Sens!F17599</f>
        <v>20.7520981041711</v>
      </c>
      <c r="G17619" s="6" t="n">
        <f aca="false">Sens!G17599</f>
        <v>19.9083593495882</v>
      </c>
      <c r="H17619" s="6" t="n">
        <f aca="false">Sens!H17599</f>
        <v>19.4008256265831</v>
      </c>
      <c r="I17619" s="6" t="n">
        <f aca="false">Sens!I17599</f>
        <v>19.200434522122</v>
      </c>
      <c r="J17619" s="6" t="n">
        <f aca="false">Sens!J17599</f>
        <v>19.2932782348507</v>
      </c>
      <c r="K17619" s="6" t="n">
        <f aca="false">Sens!K17599</f>
        <v>19.6791437995477</v>
      </c>
    </row>
    <row r="17620" customFormat="false" ht="15" hidden="false" customHeight="false" outlineLevel="0" collapsed="false">
      <c r="A17620" s="0" t="s">
        <v>1043</v>
      </c>
      <c r="B17620" s="0" t="s">
        <v>98</v>
      </c>
      <c r="D17620" s="6" t="n">
        <f aca="false">Sens!D17601</f>
        <v>17.315</v>
      </c>
      <c r="E17620" s="6" t="n">
        <f aca="false">Sens!E17601</f>
        <v>17.087</v>
      </c>
      <c r="F17620" s="6" t="n">
        <f aca="false">Sens!F17601</f>
        <v>15.9912273250553</v>
      </c>
      <c r="G17620" s="6" t="n">
        <f aca="false">Sens!G17601</f>
        <v>15.9574562664827</v>
      </c>
      <c r="H17620" s="6" t="n">
        <f aca="false">Sens!H17601</f>
        <v>16.0119687434196</v>
      </c>
      <c r="I17620" s="6" t="n">
        <f aca="false">Sens!I17601</f>
        <v>16.1551810001948</v>
      </c>
      <c r="J17620" s="6" t="n">
        <f aca="false">Sens!J17601</f>
        <v>16.3889793892005</v>
      </c>
      <c r="K17620" s="6" t="n">
        <f aca="false">Sens!K17601</f>
        <v>16.7167589769845</v>
      </c>
    </row>
    <row r="17621" customFormat="false" ht="15" hidden="false" customHeight="false" outlineLevel="0" collapsed="false">
      <c r="A17621" s="0" t="s">
        <v>870</v>
      </c>
      <c r="B17621" s="0" t="s">
        <v>98</v>
      </c>
      <c r="D17621" s="6" t="n">
        <f aca="false">Sens!D17603</f>
        <v>62.941</v>
      </c>
      <c r="E17621" s="6" t="n">
        <f aca="false">Sens!E17603</f>
        <v>63.712</v>
      </c>
      <c r="F17621" s="6" t="n">
        <f aca="false">Sens!F17603</f>
        <v>64.3025149952511</v>
      </c>
      <c r="G17621" s="6" t="n">
        <f aca="false">Sens!G17603</f>
        <v>66.2756719305292</v>
      </c>
      <c r="H17621" s="6" t="n">
        <f aca="false">Sens!H17603</f>
        <v>68.7139736271804</v>
      </c>
      <c r="I17621" s="6" t="n">
        <f aca="false">Sens!I17603</f>
        <v>71.5446393194289</v>
      </c>
      <c r="J17621" s="6" t="n">
        <f aca="false">Sens!J17603</f>
        <v>74.707035000971</v>
      </c>
      <c r="K17621" s="6" t="n">
        <f aca="false">Sens!K17603</f>
        <v>78.1524145698365</v>
      </c>
    </row>
    <row r="17622" customFormat="false" ht="15" hidden="false" customHeight="false" outlineLevel="0" collapsed="false">
      <c r="A17622" s="1" t="s">
        <v>1059</v>
      </c>
      <c r="B17622" s="0" t="s">
        <v>98</v>
      </c>
      <c r="D17622" s="6" t="n">
        <f aca="false">Sens!D17604</f>
        <v>281.724</v>
      </c>
      <c r="E17622" s="6" t="n">
        <f aca="false">Sens!E17604</f>
        <v>331.839</v>
      </c>
      <c r="F17622" s="6" t="n">
        <f aca="false">Sens!F17604</f>
        <v>394.447797055133</v>
      </c>
      <c r="G17622" s="6" t="n">
        <f aca="false">Sens!G17604</f>
        <v>458.93243179638</v>
      </c>
      <c r="H17622" s="6" t="n">
        <f aca="false">Sens!H17604</f>
        <v>519.258246925162</v>
      </c>
      <c r="I17622" s="6" t="n">
        <f aca="false">Sens!I17604</f>
        <v>582.236774445359</v>
      </c>
      <c r="J17622" s="6" t="n">
        <f aca="false">Sens!J17604</f>
        <v>635.123767630377</v>
      </c>
      <c r="K17622" s="6" t="n">
        <f aca="false">Sens!K17604</f>
        <v>678.284825162529</v>
      </c>
    </row>
    <row r="17623" customFormat="false" ht="15" hidden="false" customHeight="false" outlineLevel="0" collapsed="false">
      <c r="A17623" s="1" t="s">
        <v>1060</v>
      </c>
      <c r="B17623" s="0" t="s">
        <v>168</v>
      </c>
      <c r="E17623" s="7" t="n">
        <f aca="false">Sens!E17622/Sens!D17622-1</f>
        <v>0.177886867998467</v>
      </c>
      <c r="F17623" s="7" t="n">
        <f aca="false">Sens!F17622/Sens!E17622-1</f>
        <v>0.188672208676897</v>
      </c>
      <c r="G17623" s="7" t="n">
        <f aca="false">Sens!G17622/Sens!F17622-1</f>
        <v>0.16348078306604</v>
      </c>
      <c r="H17623" s="7" t="n">
        <f aca="false">Sens!H17622/Sens!G17622-1</f>
        <v>0.131448141271366</v>
      </c>
      <c r="I17623" s="7" t="n">
        <f aca="false">Sens!I17622/Sens!H17622-1</f>
        <v>0.121285560495438</v>
      </c>
      <c r="J17623" s="7" t="n">
        <f aca="false">Sens!J17622/Sens!I17622-1</f>
        <v>0.0908341683422489</v>
      </c>
      <c r="K17623" s="7" t="n">
        <f aca="false">Sens!K17622/Sens!J17622-1</f>
        <v>0.0679569238814417</v>
      </c>
    </row>
    <row r="17624" customFormat="false" ht="17.15" hidden="false" customHeight="false" outlineLevel="0" collapsed="false">
      <c r="A17624" s="26" t="s">
        <v>1061</v>
      </c>
      <c r="B17624" s="31" t="s">
        <v>98</v>
      </c>
      <c r="C17624" s="31"/>
      <c r="D17624" s="27" t="n">
        <f aca="false">(Sens!D17617+Sens!D17621-Sens!D17622)+(Sens!D17609+Sens!D17610-Sens!D17608)+(Sens!D17612+Sens!D17613-Sens!D17611)+(Sens!D17622-Q!L18)</f>
        <v>0</v>
      </c>
      <c r="E17624" s="27" t="n">
        <f aca="false">(Sens!E17617+Sens!E17621-Sens!E17622)+(Sens!E17609+Sens!E17610-Sens!E17608)+(Sens!E17612+Sens!E17613-Sens!E17611)+(Sens!E17622-Q!M18)</f>
        <v>0</v>
      </c>
      <c r="F17624" s="27" t="n">
        <f aca="false">(Sens!F17617+Sens!F17621-Sens!F17622)+(Sens!F17609+Sens!F17610-Sens!F17608)+(Sens!F17612+Sens!F17613-Sens!F17611)</f>
        <v>0</v>
      </c>
      <c r="G17624" s="27" t="n">
        <f aca="false">(Sens!G17617+Sens!G17621-Sens!G17622)+(Sens!G17609+Sens!G17610-Sens!G17608)+(Sens!G17612+Sens!G17613-Sens!G17611)</f>
        <v>0</v>
      </c>
      <c r="H17624" s="27" t="n">
        <f aca="false">(Sens!H17617+Sens!H17621-Sens!H17622)+(Sens!H17609+Sens!H17610-Sens!H17608)+(Sens!H17612+Sens!H17613-Sens!H17611)</f>
        <v>0</v>
      </c>
      <c r="I17624" s="27" t="n">
        <f aca="false">(Sens!I17617+Sens!I17621-Sens!I17622)+(Sens!I17609+Sens!I17610-Sens!I17608)+(Sens!I17612+Sens!I17613-Sens!I17611)</f>
        <v>0</v>
      </c>
      <c r="J17624" s="27" t="n">
        <f aca="false">(Sens!J17617+Sens!J17621-Sens!J17622)+(Sens!J17609+Sens!J17610-Sens!J17608)+(Sens!J17612+Sens!J17613-Sens!J17611)</f>
        <v>0</v>
      </c>
      <c r="K17624" s="27" t="n">
        <f aca="false">(Sens!K17617+Sens!K17621-Sens!K17622)+(Sens!K17609+Sens!K17610-Sens!K17608)+(Sens!K17612+Sens!K17613-Sens!K17611)</f>
        <v>0</v>
      </c>
    </row>
    <row r="17625" customFormat="false" ht="17.15" hidden="false" customHeight="false" outlineLevel="0" collapsed="false">
      <c r="A17625" s="0" t="s">
        <v>1062</v>
      </c>
      <c r="B17625" s="0" t="s">
        <v>168</v>
      </c>
      <c r="E17625" s="7" t="n">
        <f aca="false">(Q!M21+Sens!E17561+Sens!E17562+Sens!E17563+Sens!E17577-Sens!E17559)/(Q!M5-Sens!E17559)</f>
        <v>0.570957350878296</v>
      </c>
      <c r="F17625" s="7" t="n">
        <f aca="false">Sens!$E$17625+dm_seg</f>
        <v>0.570957350878296</v>
      </c>
      <c r="G17625" s="7" t="n">
        <f aca="false">Sens!$E$17625+dm_seg</f>
        <v>0.570957350878296</v>
      </c>
      <c r="H17625" s="7" t="n">
        <f aca="false">Sens!$E$17625+dm_seg</f>
        <v>0.570957350878296</v>
      </c>
      <c r="I17625" s="7" t="n">
        <f aca="false">Sens!$E$17625+dm_seg</f>
        <v>0.570957350878296</v>
      </c>
      <c r="J17625" s="7" t="n">
        <f aca="false">Sens!$E$17625+dm_seg</f>
        <v>0.570957350878296</v>
      </c>
      <c r="K17625" s="7" t="n">
        <f aca="false">Sens!$E$17625+dm_seg</f>
        <v>0.570957350878296</v>
      </c>
      <c r="L17625" s="12" t="s">
        <v>1063</v>
      </c>
    </row>
    <row r="17626" customFormat="false" ht="17.15" hidden="false" customHeight="false" outlineLevel="0" collapsed="false">
      <c r="A17626" s="0" t="s">
        <v>884</v>
      </c>
      <c r="B17626" s="0" t="s">
        <v>98</v>
      </c>
      <c r="D17626" s="6" t="n">
        <f aca="false">Q!L21</f>
        <v>110.814</v>
      </c>
      <c r="E17626" s="6" t="n">
        <f aca="false">Q!M21</f>
        <v>136.365</v>
      </c>
      <c r="F17626" s="6" t="n">
        <f aca="false">Q!$I$21+(Sens!F17625*(Sens!F17596-Sens!F17559)+Sens!F17559-(Sens!F17561+Sens!F17562+Sens!F17563)-Sens!F17577-Sens!F17660)*(Sens!F17596-Q!$I$5)/Sens!F17596</f>
        <v>158.110234156687</v>
      </c>
      <c r="G17626" s="6" t="n">
        <f aca="false">(Sens!G17625*(Sens!G17596-Sens!G17559)+Sens!G17559-(Sens!G17561+Sens!G17562+Sens!G17563)-Sens!G17577-Sens!G17660)</f>
        <v>161.288737768095</v>
      </c>
      <c r="H17626" s="6" t="n">
        <f aca="false">(Sens!H17625*(Sens!H17596-Sens!H17559)+Sens!H17559-(Sens!H17561+Sens!H17562+Sens!H17563)-Sens!H17577-Sens!H17660)</f>
        <v>162.750449226018</v>
      </c>
      <c r="I17626" s="6" t="n">
        <f aca="false">(Sens!I17625*(Sens!I17596-Sens!I17559)+Sens!I17559-(Sens!I17561+Sens!I17562+Sens!I17563)-Sens!I17577-Sens!I17660)</f>
        <v>172.031140185604</v>
      </c>
      <c r="J17626" s="6" t="n">
        <f aca="false">(Sens!J17625*(Sens!J17596-Sens!J17559)+Sens!J17559-(Sens!J17561+Sens!J17562+Sens!J17563)-Sens!J17577-Sens!J17660)</f>
        <v>182.855335729531</v>
      </c>
      <c r="K17626" s="6" t="n">
        <f aca="false">(Sens!K17625*(Sens!K17596-Sens!K17559)+Sens!K17559-(Sens!K17561+Sens!K17562+Sens!K17563)-Sens!K17577-Sens!K17660)</f>
        <v>195.088404864353</v>
      </c>
      <c r="L17626" s="1" t="s">
        <v>1064</v>
      </c>
    </row>
    <row r="17627" customFormat="false" ht="17.15" hidden="false" customHeight="false" outlineLevel="0" collapsed="false">
      <c r="A17627" s="0" t="s">
        <v>1065</v>
      </c>
      <c r="B17627" s="0" t="s">
        <v>168</v>
      </c>
      <c r="E17627" s="7" t="n">
        <f aca="false">Q!M22/Q!M12</f>
        <v>0.296207935710698</v>
      </c>
      <c r="F17627" s="7" t="n">
        <f aca="false">Sens!$E$17627+dm_seg</f>
        <v>0.296207935710698</v>
      </c>
      <c r="G17627" s="7" t="n">
        <f aca="false">Sens!$E$17627+dm_seg</f>
        <v>0.296207935710698</v>
      </c>
      <c r="H17627" s="7" t="n">
        <f aca="false">Sens!$E$17627+dm_seg</f>
        <v>0.296207935710698</v>
      </c>
      <c r="I17627" s="7" t="n">
        <f aca="false">Sens!$E$17627+dm_seg</f>
        <v>0.296207935710698</v>
      </c>
      <c r="J17627" s="7" t="n">
        <f aca="false">Sens!$E$17627+dm_seg</f>
        <v>0.296207935710698</v>
      </c>
      <c r="K17627" s="7" t="n">
        <f aca="false">Sens!$E$17627+dm_seg</f>
        <v>0.296207935710698</v>
      </c>
      <c r="L17627" s="12" t="s">
        <v>1066</v>
      </c>
    </row>
    <row r="17628" customFormat="false" ht="17.15" hidden="false" customHeight="false" outlineLevel="0" collapsed="false">
      <c r="A17628" s="0" t="s">
        <v>886</v>
      </c>
      <c r="B17628" s="0" t="s">
        <v>98</v>
      </c>
      <c r="D17628" s="6" t="n">
        <f aca="false">Q!L22</f>
        <v>17.714</v>
      </c>
      <c r="E17628" s="6" t="n">
        <f aca="false">Q!M22</f>
        <v>18.872</v>
      </c>
      <c r="F17628" s="6" t="n">
        <f aca="false">Q!$I$22+(Sens!F17603-Q!$I$12)*Sens!F17627</f>
        <v>19.8174315512051</v>
      </c>
      <c r="G17628" s="6" t="n">
        <f aca="false">Sens!G17603*Sens!G17627</f>
        <v>19.6313799703815</v>
      </c>
      <c r="H17628" s="6" t="n">
        <f aca="false">Sens!H17603*Sens!H17627</f>
        <v>20.3536242825865</v>
      </c>
      <c r="I17628" s="6" t="n">
        <f aca="false">Sens!I17603*Sens!I17627</f>
        <v>21.1920899239745</v>
      </c>
      <c r="J17628" s="6" t="n">
        <f aca="false">Sens!J17603*Sens!J17627</f>
        <v>22.1288166207045</v>
      </c>
      <c r="K17628" s="6" t="n">
        <f aca="false">Sens!K17603*Sens!K17627</f>
        <v>23.1493653905379</v>
      </c>
      <c r="L17628" s="12" t="s">
        <v>1067</v>
      </c>
    </row>
    <row r="17629" customFormat="false" ht="15" hidden="false" customHeight="false" outlineLevel="0" collapsed="false">
      <c r="A17629" s="1" t="s">
        <v>1068</v>
      </c>
      <c r="B17629" s="0" t="s">
        <v>98</v>
      </c>
      <c r="D17629" s="6" t="n">
        <f aca="false">Sens!D17626+Sens!D17628</f>
        <v>128.528</v>
      </c>
      <c r="E17629" s="6" t="n">
        <f aca="false">Sens!E17626+Sens!E17628</f>
        <v>155.237</v>
      </c>
      <c r="F17629" s="6" t="n">
        <f aca="false">Sens!F17626+Sens!F17628</f>
        <v>177.927665707892</v>
      </c>
      <c r="G17629" s="6" t="n">
        <f aca="false">Sens!G17626+Sens!G17628</f>
        <v>180.920117738477</v>
      </c>
      <c r="H17629" s="6" t="n">
        <f aca="false">Sens!H17626+Sens!H17628</f>
        <v>183.104073508605</v>
      </c>
      <c r="I17629" s="6" t="n">
        <f aca="false">Sens!I17626+Sens!I17628</f>
        <v>193.223230109579</v>
      </c>
      <c r="J17629" s="6" t="n">
        <f aca="false">Sens!J17626+Sens!J17628</f>
        <v>204.984152350235</v>
      </c>
      <c r="K17629" s="6" t="n">
        <f aca="false">Sens!K17626+Sens!K17628</f>
        <v>218.237770254891</v>
      </c>
    </row>
    <row r="17630" customFormat="false" ht="15" hidden="false" customHeight="false" outlineLevel="0" collapsed="false">
      <c r="A17630" s="26" t="s">
        <v>1069</v>
      </c>
      <c r="B17630" s="31" t="s">
        <v>98</v>
      </c>
      <c r="C17630" s="31"/>
      <c r="D17630" s="27" t="n">
        <f aca="false">Sens!D17629-Q!L23</f>
        <v>0</v>
      </c>
      <c r="E17630" s="27" t="n">
        <f aca="false">Sens!E17629-Q!M23</f>
        <v>0</v>
      </c>
      <c r="F17630" s="31"/>
      <c r="G17630" s="31"/>
      <c r="H17630" s="31"/>
      <c r="I17630" s="31"/>
      <c r="J17630" s="31"/>
      <c r="K17630" s="31"/>
    </row>
    <row r="17631" customFormat="false" ht="15" hidden="false" customHeight="false" outlineLevel="0" collapsed="false">
      <c r="A17631" s="1" t="s">
        <v>1070</v>
      </c>
      <c r="B17631" s="0" t="s">
        <v>168</v>
      </c>
      <c r="D17631" s="7" t="n">
        <f aca="false">Sens!D17629/Sens!D17622</f>
        <v>0.456219562408598</v>
      </c>
      <c r="E17631" s="7" t="n">
        <f aca="false">Sens!E17629/Sens!E17622</f>
        <v>0.467808184089272</v>
      </c>
      <c r="F17631" s="7" t="n">
        <f aca="false">Sens!F17629/Sens!F17622</f>
        <v>0.451080388929191</v>
      </c>
      <c r="G17631" s="7" t="n">
        <f aca="false">Sens!G17629/Sens!G17622</f>
        <v>0.394219508589333</v>
      </c>
      <c r="H17631" s="7" t="n">
        <f aca="false">Sens!H17629/Sens!H17622</f>
        <v>0.352626221331819</v>
      </c>
      <c r="I17631" s="7" t="n">
        <f aca="false">Sens!I17629/Sens!I17622</f>
        <v>0.331863665419698</v>
      </c>
      <c r="J17631" s="7" t="n">
        <f aca="false">Sens!J17629/Sens!J17622</f>
        <v>0.32274678227682</v>
      </c>
      <c r="K17631" s="7" t="n">
        <f aca="false">Sens!K17629/Sens!K17622</f>
        <v>0.3217494512023</v>
      </c>
    </row>
    <row r="17632" customFormat="false" ht="17.15" hidden="false" customHeight="false" outlineLevel="0" collapsed="false">
      <c r="A17632" s="1" t="s">
        <v>1071</v>
      </c>
      <c r="B17632" s="0" t="s">
        <v>98</v>
      </c>
      <c r="F17632" s="6" t="n">
        <f aca="false">Sens!F17647</f>
        <v>10.5962787979473</v>
      </c>
      <c r="G17632" s="6" t="n">
        <f aca="false">Sens!G17647</f>
        <v>27.844646674932</v>
      </c>
      <c r="H17632" s="6" t="n">
        <f aca="false">Sens!H17647</f>
        <v>46.566205501382</v>
      </c>
      <c r="I17632" s="6" t="n">
        <f aca="false">Sens!I17647</f>
        <v>63.2717778126444</v>
      </c>
      <c r="J17632" s="6" t="n">
        <f aca="false">Sens!J17647</f>
        <v>74.9061222882009</v>
      </c>
      <c r="K17632" s="6" t="n">
        <f aca="false">Sens!K17647</f>
        <v>81.6395437180232</v>
      </c>
      <c r="L17632" s="1" t="s">
        <v>1072</v>
      </c>
    </row>
    <row r="17633" customFormat="false" ht="17.15" hidden="false" customHeight="false" outlineLevel="0" collapsed="false">
      <c r="A17633" s="1" t="s">
        <v>1073</v>
      </c>
      <c r="B17633" s="0" t="s">
        <v>98</v>
      </c>
      <c r="D17633" s="6" t="n">
        <f aca="false">Sens!D17629</f>
        <v>128.528</v>
      </c>
      <c r="E17633" s="6" t="n">
        <f aca="false">Sens!E17629</f>
        <v>155.237</v>
      </c>
      <c r="F17633" s="6" t="n">
        <f aca="false">Sens!F17629+Sens!F17632</f>
        <v>188.523944505839</v>
      </c>
      <c r="G17633" s="6" t="n">
        <f aca="false">Sens!G17629+Sens!G17632</f>
        <v>208.764764413409</v>
      </c>
      <c r="H17633" s="6" t="n">
        <f aca="false">Sens!H17629+Sens!H17632</f>
        <v>229.670279009987</v>
      </c>
      <c r="I17633" s="6" t="n">
        <f aca="false">Sens!I17629+Sens!I17632</f>
        <v>256.495007922223</v>
      </c>
      <c r="J17633" s="6" t="n">
        <f aca="false">Sens!J17629+Sens!J17632</f>
        <v>279.890274638436</v>
      </c>
      <c r="K17633" s="6" t="n">
        <f aca="false">Sens!K17629+Sens!K17632</f>
        <v>299.877313972915</v>
      </c>
    </row>
    <row r="17634" customFormat="false" ht="17.15" hidden="false" customHeight="false" outlineLevel="0" collapsed="false">
      <c r="A17634" s="1" t="s">
        <v>1074</v>
      </c>
      <c r="B17634" s="0" t="s">
        <v>98</v>
      </c>
      <c r="E17634" s="6" t="n">
        <f aca="false">Sens!E17577</f>
        <v>16.3054059770833</v>
      </c>
      <c r="F17634" s="6" t="n">
        <f aca="false">Sens!F17577</f>
        <v>34.5793144783516</v>
      </c>
      <c r="G17634" s="6" t="n">
        <f aca="false">Sens!G17577</f>
        <v>60.7344906522989</v>
      </c>
      <c r="H17634" s="6" t="n">
        <f aca="false">Sens!H17577</f>
        <v>89.1000906614457</v>
      </c>
      <c r="I17634" s="6" t="n">
        <f aca="false">Sens!I17577</f>
        <v>114.231009694548</v>
      </c>
      <c r="J17634" s="6" t="n">
        <f aca="false">Sens!J17577</f>
        <v>132.015673049596</v>
      </c>
      <c r="K17634" s="6" t="n">
        <f aca="false">Sens!K17577</f>
        <v>143.012669550934</v>
      </c>
    </row>
    <row r="17635" customFormat="false" ht="17.15" hidden="false" customHeight="false" outlineLevel="0" collapsed="false">
      <c r="A17635" s="1" t="s">
        <v>1075</v>
      </c>
      <c r="B17635" s="0" t="s">
        <v>98</v>
      </c>
      <c r="E17635" s="6" t="n">
        <f aca="false">Sens!E17659</f>
        <v>22.2285940229167</v>
      </c>
      <c r="F17635" s="6" t="n">
        <f aca="false">Sens!F17659</f>
        <v>23.5883405279552</v>
      </c>
      <c r="G17635" s="6" t="n">
        <f aca="false">Sens!G17659</f>
        <v>25.347608709247</v>
      </c>
      <c r="H17635" s="6" t="n">
        <f aca="false">Sens!H17659</f>
        <v>27.4750934833125</v>
      </c>
      <c r="I17635" s="6" t="n">
        <f aca="false">Sens!I17659</f>
        <v>29.9140127982598</v>
      </c>
      <c r="J17635" s="6" t="n">
        <f aca="false">Sens!J17659</f>
        <v>32.5895147654561</v>
      </c>
      <c r="K17635" s="6" t="n">
        <f aca="false">Sens!K17659</f>
        <v>35.4171979437481</v>
      </c>
    </row>
    <row r="17636" customFormat="false" ht="17.15" hidden="false" customHeight="false" outlineLevel="0" collapsed="false">
      <c r="A17636" s="1" t="s">
        <v>1076</v>
      </c>
      <c r="B17636" s="0" t="s">
        <v>98</v>
      </c>
      <c r="D17636" s="6" t="n">
        <f aca="false">Q!L27</f>
        <v>-4.901</v>
      </c>
      <c r="E17636" s="6" t="n">
        <f aca="false">Q!M27</f>
        <v>10.697</v>
      </c>
      <c r="F17636" s="6" t="n">
        <f aca="false">Q!$I$27+oie_f*(q_per_yr-1)/q_per_yr</f>
        <v>-0.862</v>
      </c>
      <c r="G17636" s="6" t="n">
        <f aca="false">oie_f</f>
        <v>-1.2</v>
      </c>
      <c r="H17636" s="6" t="n">
        <f aca="false">oie_f</f>
        <v>-1.2</v>
      </c>
      <c r="I17636" s="6" t="n">
        <f aca="false">oie_f</f>
        <v>-1.2</v>
      </c>
      <c r="J17636" s="6" t="n">
        <f aca="false">oie_f</f>
        <v>-1.2</v>
      </c>
      <c r="K17636" s="6" t="n">
        <f aca="false">oie_f</f>
        <v>-1.2</v>
      </c>
      <c r="L17636" s="12" t="s">
        <v>1077</v>
      </c>
    </row>
    <row r="17637" customFormat="false" ht="15" hidden="false" customHeight="false" outlineLevel="0" collapsed="false">
      <c r="A17637" s="1" t="s">
        <v>1078</v>
      </c>
      <c r="B17637" s="0" t="s">
        <v>98</v>
      </c>
      <c r="D17637" s="6" t="n">
        <f aca="false">Sens!D17629+Sens!D17636</f>
        <v>123.627</v>
      </c>
      <c r="E17637" s="6" t="n">
        <f aca="false">Sens!E17629+Sens!E17636</f>
        <v>165.934</v>
      </c>
      <c r="F17637" s="6" t="n">
        <f aca="false">Sens!F17629+Sens!F17636</f>
        <v>177.065665707892</v>
      </c>
      <c r="G17637" s="6" t="n">
        <f aca="false">Sens!G17629+Sens!G17636</f>
        <v>179.720117738477</v>
      </c>
      <c r="H17637" s="6" t="n">
        <f aca="false">Sens!H17629+Sens!H17636</f>
        <v>181.904073508605</v>
      </c>
      <c r="I17637" s="6" t="n">
        <f aca="false">Sens!I17629+Sens!I17636</f>
        <v>192.023230109579</v>
      </c>
      <c r="J17637" s="6" t="n">
        <f aca="false">Sens!J17629+Sens!J17636</f>
        <v>203.784152350235</v>
      </c>
      <c r="K17637" s="6" t="n">
        <f aca="false">Sens!K17629+Sens!K17636</f>
        <v>217.037770254891</v>
      </c>
    </row>
    <row r="17638" customFormat="false" ht="15" hidden="false" customHeight="false" outlineLevel="0" collapsed="false">
      <c r="A17638" s="1" t="s">
        <v>1079</v>
      </c>
      <c r="B17638" s="0" t="s">
        <v>98</v>
      </c>
      <c r="D17638" s="6" t="n">
        <f aca="false">Q!L29</f>
        <v>21.795</v>
      </c>
      <c r="E17638" s="6" t="n">
        <f aca="false">Q!M29</f>
        <v>32.185</v>
      </c>
      <c r="F17638" s="6" t="n">
        <f aca="false">Q!$I$29+(Sens!F17637-Q!$I$28)*tax_f</f>
        <v>35.5465331415784</v>
      </c>
      <c r="G17638" s="6" t="n">
        <f aca="false">Sens!G17637*tax_f</f>
        <v>35.9440235476954</v>
      </c>
      <c r="H17638" s="6" t="n">
        <f aca="false">Sens!H17637*tax_f</f>
        <v>36.380814701721</v>
      </c>
      <c r="I17638" s="6" t="n">
        <f aca="false">Sens!I17637*tax_f</f>
        <v>38.4046460219157</v>
      </c>
      <c r="J17638" s="6" t="n">
        <f aca="false">Sens!J17637*tax_f</f>
        <v>40.756830470047</v>
      </c>
      <c r="K17638" s="6" t="n">
        <f aca="false">Sens!K17637*tax_f</f>
        <v>43.4075540509783</v>
      </c>
    </row>
    <row r="17639" customFormat="false" ht="15" hidden="false" customHeight="false" outlineLevel="0" collapsed="false">
      <c r="A17639" s="1" t="s">
        <v>1080</v>
      </c>
      <c r="B17639" s="0" t="s">
        <v>98</v>
      </c>
      <c r="D17639" s="6" t="n">
        <f aca="false">Sens!D17637-Sens!D17638</f>
        <v>101.832</v>
      </c>
      <c r="E17639" s="6" t="n">
        <f aca="false">Sens!E17637-Sens!E17638</f>
        <v>133.749</v>
      </c>
      <c r="F17639" s="6" t="n">
        <f aca="false">Sens!F17637-Sens!F17638</f>
        <v>141.519132566314</v>
      </c>
      <c r="G17639" s="6" t="n">
        <f aca="false">Sens!G17637-Sens!G17638</f>
        <v>143.776094190781</v>
      </c>
      <c r="H17639" s="6" t="n">
        <f aca="false">Sens!H17637-Sens!H17638</f>
        <v>145.523258806884</v>
      </c>
      <c r="I17639" s="6" t="n">
        <f aca="false">Sens!I17637-Sens!I17638</f>
        <v>153.618584087663</v>
      </c>
      <c r="J17639" s="6" t="n">
        <f aca="false">Sens!J17637-Sens!J17638</f>
        <v>163.027321880188</v>
      </c>
      <c r="K17639" s="6" t="n">
        <f aca="false">Sens!K17637-Sens!K17638</f>
        <v>173.630216203913</v>
      </c>
    </row>
    <row r="17640" customFormat="false" ht="17.15" hidden="false" customHeight="false" outlineLevel="0" collapsed="false">
      <c r="A17640" s="1" t="s">
        <v>1081</v>
      </c>
      <c r="B17640" s="1" t="s">
        <v>81</v>
      </c>
      <c r="D17640" s="15" t="n">
        <f aca="false">Q!L31</f>
        <v>7.465</v>
      </c>
      <c r="E17640" s="15" t="n">
        <f aca="false">Q!M31</f>
        <v>7.453</v>
      </c>
      <c r="F17640" s="15" t="n">
        <f aca="false">Sens!F17684</f>
        <v>7.4735</v>
      </c>
      <c r="G17640" s="15" t="n">
        <f aca="false">Sens!G17684</f>
        <v>7.5185</v>
      </c>
      <c r="H17640" s="15" t="n">
        <f aca="false">Sens!H17684</f>
        <v>7.5635</v>
      </c>
      <c r="I17640" s="15" t="n">
        <f aca="false">Sens!I17684</f>
        <v>7.59248142502667</v>
      </c>
      <c r="J17640" s="15" t="n">
        <f aca="false">Sens!J17684</f>
        <v>7.60663083618914</v>
      </c>
      <c r="K17640" s="15" t="n">
        <f aca="false">Sens!K17684</f>
        <v>7.62306547615439</v>
      </c>
    </row>
    <row r="17641" customFormat="false" ht="17.15" hidden="false" customHeight="false" outlineLevel="0" collapsed="false">
      <c r="A17641" s="0" t="s">
        <v>1082</v>
      </c>
      <c r="B17641" s="0" t="s">
        <v>75</v>
      </c>
      <c r="D17641" s="8" t="n">
        <f aca="false">Sens!D17639/Sens!D17640</f>
        <v>13.641259209645</v>
      </c>
      <c r="E17641" s="8" t="n">
        <f aca="false">Sens!E17639/Sens!E17640</f>
        <v>17.9456594659869</v>
      </c>
      <c r="F17641" s="8" t="n">
        <f aca="false">Sens!F17639/Sens!F17640</f>
        <v>18.9361253182998</v>
      </c>
      <c r="G17641" s="8" t="n">
        <f aca="false">Sens!G17639/Sens!G17640</f>
        <v>19.1229758849214</v>
      </c>
      <c r="H17641" s="8" t="n">
        <f aca="false">Sens!H17639/Sens!H17640</f>
        <v>19.2402008074151</v>
      </c>
      <c r="I17641" s="8" t="n">
        <f aca="false">Sens!I17639/Sens!I17640</f>
        <v>20.2329878057125</v>
      </c>
      <c r="J17641" s="8" t="n">
        <f aca="false">Sens!J17639/Sens!J17640</f>
        <v>21.4322642167111</v>
      </c>
      <c r="K17641" s="8" t="n">
        <f aca="false">Sens!K17639/Sens!K17640</f>
        <v>22.7769545922232</v>
      </c>
      <c r="L17641" s="1" t="s">
        <v>1083</v>
      </c>
    </row>
    <row r="17642" customFormat="false" ht="17.15" hidden="false" customHeight="false" outlineLevel="0" collapsed="false">
      <c r="A17642" s="1" t="s">
        <v>1084</v>
      </c>
      <c r="B17642" s="0" t="s">
        <v>98</v>
      </c>
      <c r="D17642" s="6" t="n">
        <f aca="false">Sens!D17639</f>
        <v>101.832</v>
      </c>
      <c r="E17642" s="6" t="n">
        <f aca="false">Sens!E17639</f>
        <v>133.749</v>
      </c>
      <c r="F17642" s="6" t="n">
        <f aca="false">Sens!F17639+Sens!F17632*(1-tax_f)</f>
        <v>149.996155604671</v>
      </c>
      <c r="G17642" s="6" t="n">
        <f aca="false">Sens!G17639+Sens!G17632*(1-tax_f)</f>
        <v>166.051811530727</v>
      </c>
      <c r="H17642" s="6" t="n">
        <f aca="false">Sens!H17639+Sens!H17632*(1-tax_f)</f>
        <v>182.776223207989</v>
      </c>
      <c r="I17642" s="6" t="n">
        <f aca="false">Sens!I17639+Sens!I17632*(1-tax_f)</f>
        <v>204.236006337778</v>
      </c>
      <c r="J17642" s="6" t="n">
        <f aca="false">Sens!J17639+Sens!J17632*(1-tax_f)</f>
        <v>222.952219710749</v>
      </c>
      <c r="K17642" s="6" t="n">
        <f aca="false">Sens!K17639+Sens!K17632*(1-tax_f)</f>
        <v>238.941851178332</v>
      </c>
    </row>
    <row r="17643" customFormat="false" ht="17.15" hidden="false" customHeight="false" outlineLevel="0" collapsed="false">
      <c r="A17643" s="0" t="s">
        <v>1085</v>
      </c>
      <c r="B17643" s="0" t="s">
        <v>75</v>
      </c>
      <c r="D17643" s="8" t="n">
        <f aca="false">Sens!D17642/Sens!D17640</f>
        <v>13.641259209645</v>
      </c>
      <c r="E17643" s="8" t="n">
        <f aca="false">Sens!E17642/Sens!E17640</f>
        <v>17.9456594659869</v>
      </c>
      <c r="F17643" s="8" t="n">
        <f aca="false">Sens!F17642/Sens!F17640</f>
        <v>20.0704028373147</v>
      </c>
      <c r="G17643" s="8" t="n">
        <f aca="false">Sens!G17642/Sens!G17640</f>
        <v>22.0857633212379</v>
      </c>
      <c r="H17643" s="8" t="n">
        <f aca="false">Sens!H17642/Sens!H17640</f>
        <v>24.1655613417055</v>
      </c>
      <c r="I17643" s="8" t="n">
        <f aca="false">Sens!I17642/Sens!I17640</f>
        <v>26.8997702996766</v>
      </c>
      <c r="J17643" s="8" t="n">
        <f aca="false">Sens!J17642/Sens!J17640</f>
        <v>29.3102458252655</v>
      </c>
      <c r="K17643" s="8" t="n">
        <f aca="false">Sens!K17642/Sens!K17640</f>
        <v>31.3445885944129</v>
      </c>
      <c r="L17643" s="1" t="s">
        <v>1086</v>
      </c>
    </row>
    <row r="17644" customFormat="false" ht="17.15" hidden="false" customHeight="false" outlineLevel="0" collapsed="false">
      <c r="A17644" s="0" t="s">
        <v>1087</v>
      </c>
      <c r="B17644" s="0" t="s">
        <v>168</v>
      </c>
      <c r="E17644" s="7" t="n">
        <f aca="false">Sens!E17643/Sens!D17643-1</f>
        <v>0.315542736208578</v>
      </c>
      <c r="F17644" s="7" t="n">
        <f aca="false">Sens!F17643/Sens!E17643-1</f>
        <v>0.118398734543858</v>
      </c>
      <c r="G17644" s="7" t="n">
        <f aca="false">Sens!G17643/Sens!F17643-1</f>
        <v>0.100414550732198</v>
      </c>
      <c r="H17644" s="7" t="n">
        <f aca="false">Sens!H17643/Sens!G17643-1</f>
        <v>0.0941691708915331</v>
      </c>
      <c r="I17644" s="7" t="n">
        <f aca="false">Sens!I17643/Sens!H17643-1</f>
        <v>0.113144855991916</v>
      </c>
      <c r="J17644" s="7" t="n">
        <f aca="false">Sens!J17643/Sens!I17643-1</f>
        <v>0.0896095207778762</v>
      </c>
      <c r="K17644" s="7" t="n">
        <f aca="false">Sens!K17643/Sens!J17643-1</f>
        <v>0.0694072230330376</v>
      </c>
    </row>
    <row r="17645" customFormat="false" ht="17.15" hidden="false" customHeight="false" outlineLevel="0" collapsed="false">
      <c r="A17645" s="0" t="s">
        <v>1007</v>
      </c>
      <c r="B17645" s="0" t="s">
        <v>98</v>
      </c>
      <c r="E17645" s="6" t="n">
        <f aca="false">Sens!E17586</f>
        <v>5.25</v>
      </c>
      <c r="F17645" s="6" t="n">
        <f aca="false">Sens!F17586</f>
        <v>10.5</v>
      </c>
      <c r="G17645" s="6" t="n">
        <f aca="false">Sens!G17586</f>
        <v>13.5</v>
      </c>
      <c r="H17645" s="6" t="n">
        <f aca="false">Sens!H17586</f>
        <v>16.5</v>
      </c>
      <c r="I17645" s="6" t="n">
        <f aca="false">Sens!I17586</f>
        <v>18.75</v>
      </c>
      <c r="J17645" s="6" t="n">
        <f aca="false">Sens!J17586</f>
        <v>20.25</v>
      </c>
      <c r="K17645" s="6" t="n">
        <f aca="false">Sens!K17586</f>
        <v>21.75</v>
      </c>
    </row>
    <row r="17646" customFormat="false" ht="17.15" hidden="false" customHeight="false" outlineLevel="0" collapsed="false">
      <c r="A17646" s="1" t="s">
        <v>1008</v>
      </c>
      <c r="B17646" s="0" t="s">
        <v>98</v>
      </c>
      <c r="F17646" s="6" t="n">
        <f aca="false">MAX(0,((Sens!E17546+Sens!F17546)/2-(shadow_base*(Sens!$D$17546+Sens!$E$17546)/2+(1-shadow_base)*Sens!$E$17546))*Sens!F17555/1000-(Sens!F17645-Sens!$E$17645)*Sens!F17625)</f>
        <v>10.5962787979473</v>
      </c>
      <c r="G17646" s="6" t="n">
        <f aca="false">MAX(0,((Sens!F17546+Sens!G17546)/2-(shadow_base*(Sens!$D$17546+Sens!$E$17546)/2+(1-shadow_base)*Sens!$E$17546))*Sens!G17555/1000-(Sens!G17645-Sens!$E$17645)*Sens!G17625)</f>
        <v>27.844646674932</v>
      </c>
      <c r="H17646" s="6" t="n">
        <f aca="false">MAX(0,((Sens!G17546+Sens!H17546)/2-(shadow_base*(Sens!$D$17546+Sens!$E$17546)/2+(1-shadow_base)*Sens!$E$17546))*Sens!H17555/1000-(Sens!H17645-Sens!$E$17645)*Sens!H17625)</f>
        <v>46.566205501382</v>
      </c>
      <c r="I17646" s="6" t="n">
        <f aca="false">MAX(0,((Sens!H17546+Sens!I17546)/2-(shadow_base*(Sens!$D$17546+Sens!$E$17546)/2+(1-shadow_base)*Sens!$E$17546))*Sens!I17555/1000-(Sens!I17645-Sens!$E$17645)*Sens!I17625)</f>
        <v>63.2717778126444</v>
      </c>
      <c r="J17646" s="6" t="n">
        <f aca="false">MAX(0,((Sens!I17546+Sens!J17546)/2-(shadow_base*(Sens!$D$17546+Sens!$E$17546)/2+(1-shadow_base)*Sens!$E$17546))*Sens!J17555/1000-(Sens!J17645-Sens!$E$17645)*Sens!J17625)</f>
        <v>74.9061222882009</v>
      </c>
      <c r="K17646" s="6" t="n">
        <f aca="false">MAX(0,((Sens!J17546+Sens!K17546)/2-(shadow_base*(Sens!$D$17546+Sens!$E$17546)/2+(1-shadow_base)*Sens!$E$17546))*Sens!K17555/1000-(Sens!K17645-Sens!$E$17645)*Sens!K17625)</f>
        <v>81.6395437180232</v>
      </c>
      <c r="L17646" s="1" t="s">
        <v>1009</v>
      </c>
    </row>
    <row r="17647" customFormat="false" ht="17.15" hidden="false" customHeight="false" outlineLevel="0" collapsed="false">
      <c r="A17647" s="1" t="s">
        <v>1010</v>
      </c>
      <c r="B17647" s="0" t="s">
        <v>98</v>
      </c>
      <c r="F17647" s="6" t="n">
        <f aca="false">IF(internal_ai_reading=2,1,0)*Sens!F17646</f>
        <v>10.5962787979473</v>
      </c>
      <c r="G17647" s="6" t="n">
        <f aca="false">IF(internal_ai_reading=2,1,0)*Sens!G17646</f>
        <v>27.844646674932</v>
      </c>
      <c r="H17647" s="6" t="n">
        <f aca="false">IF(internal_ai_reading=2,1,0)*Sens!H17646</f>
        <v>46.566205501382</v>
      </c>
      <c r="I17647" s="6" t="n">
        <f aca="false">IF(internal_ai_reading=2,1,0)*Sens!I17646</f>
        <v>63.2717778126444</v>
      </c>
      <c r="J17647" s="6" t="n">
        <f aca="false">IF(internal_ai_reading=2,1,0)*Sens!J17646</f>
        <v>74.9061222882009</v>
      </c>
      <c r="K17647" s="6" t="n">
        <f aca="false">IF(internal_ai_reading=2,1,0)*Sens!K17646</f>
        <v>81.6395437180232</v>
      </c>
    </row>
    <row r="17648" customFormat="false" ht="17.15" hidden="false" customHeight="false" outlineLevel="0" collapsed="false">
      <c r="A17648" s="0" t="s">
        <v>1011</v>
      </c>
      <c r="B17648" s="0" t="s">
        <v>98</v>
      </c>
      <c r="F17648" s="6" t="n">
        <f aca="false">Sens!F17565+Sens!F17645*Sens!F17625+Sens!F17647-Sens!F17566-Sens!F17577</f>
        <v>10.3853806853618</v>
      </c>
      <c r="G17648" s="6" t="n">
        <f aca="false">Sens!G17565+Sens!G17645*Sens!G17625+Sens!G17647-Sens!G17566-Sens!G17577</f>
        <v>16.4389313105741</v>
      </c>
      <c r="H17648" s="6" t="n">
        <f aca="false">Sens!H17565+Sens!H17645*Sens!H17625+Sens!H17647-Sens!H17566-Sens!H17577</f>
        <v>17.135416308873</v>
      </c>
      <c r="I17648" s="6" t="n">
        <f aca="false">Sens!I17565+Sens!I17645*Sens!I17625+Sens!I17647-Sens!I17566-Sens!I17577</f>
        <v>24.1293804008657</v>
      </c>
      <c r="J17648" s="6" t="n">
        <f aca="false">Sens!J17565+Sens!J17645*Sens!J17625+Sens!J17647-Sens!J17566-Sens!J17577</f>
        <v>28.8545659869181</v>
      </c>
      <c r="K17648" s="6" t="n">
        <f aca="false">Sens!K17565+Sens!K17645*Sens!K17625+Sens!K17647-Sens!K17566-Sens!K17577</f>
        <v>32.13747485251</v>
      </c>
    </row>
    <row r="17649" customFormat="false" ht="17.15" hidden="false" customHeight="false" outlineLevel="0" collapsed="false">
      <c r="A17649" s="0" t="s">
        <v>1012</v>
      </c>
      <c r="B17649" s="0" t="s">
        <v>98</v>
      </c>
      <c r="E17649" s="6" t="n">
        <f aca="false">Sens!E17545*(cxit_open+self_build*tk_cxfac)/1000*ai_net_open</f>
        <v>126.6980382</v>
      </c>
      <c r="F17649" s="6" t="n">
        <f aca="false">Sens!E17649+Sens!F17574-Sens!F17577</f>
        <v>260.572627763768</v>
      </c>
      <c r="G17649" s="6" t="n">
        <f aca="false">Sens!F17649+Sens!G17574-Sens!G17577</f>
        <v>391.782612760517</v>
      </c>
      <c r="H17649" s="6" t="n">
        <f aca="false">Sens!G17649+Sens!H17574-Sens!H17577</f>
        <v>499.488526163584</v>
      </c>
      <c r="I17649" s="6" t="n">
        <f aca="false">Sens!H17649+Sens!I17574-Sens!I17577</f>
        <v>553.872350090646</v>
      </c>
      <c r="J17649" s="6" t="n">
        <f aca="false">Sens!I17649+Sens!J17574-Sens!J17577</f>
        <v>550.78660823699</v>
      </c>
      <c r="K17649" s="6" t="n">
        <f aca="false">Sens!J17649+Sens!K17574-Sens!K17577</f>
        <v>526.736791750789</v>
      </c>
      <c r="L17649" s="1" t="s">
        <v>1013</v>
      </c>
    </row>
    <row r="17650" customFormat="false" ht="17.15" hidden="false" customHeight="false" outlineLevel="0" collapsed="false">
      <c r="A17650" s="0" t="s">
        <v>1014</v>
      </c>
      <c r="B17650" s="0" t="s">
        <v>168</v>
      </c>
      <c r="F17650" s="7" t="n">
        <f aca="false">Sens!F17648*(1-tax_f)/((Sens!E17649+Sens!F17649)/2)</f>
        <v>0.0429069654816909</v>
      </c>
      <c r="G17650" s="7" t="n">
        <f aca="false">Sens!G17648*(1-tax_f)/((Sens!F17649+Sens!G17649)/2)</f>
        <v>0.0403189680453549</v>
      </c>
      <c r="H17650" s="7" t="n">
        <f aca="false">Sens!H17648*(1-tax_f)/((Sens!G17649+Sens!H17649)/2)</f>
        <v>0.0307613080877867</v>
      </c>
      <c r="I17650" s="7" t="n">
        <f aca="false">Sens!I17648*(1-tax_f)/((Sens!H17649+Sens!I17649)/2)</f>
        <v>0.0366512650238846</v>
      </c>
      <c r="J17650" s="7" t="n">
        <f aca="false">Sens!J17648*(1-tax_f)/((Sens!I17649+Sens!J17649)/2)</f>
        <v>0.0417932659044041</v>
      </c>
      <c r="K17650" s="7" t="n">
        <f aca="false">Sens!K17648*(1-tax_f)/((Sens!J17649+Sens!K17649)/2)</f>
        <v>0.0477205040415821</v>
      </c>
    </row>
    <row r="17651" customFormat="false" ht="17.15" hidden="false" customHeight="false" outlineLevel="0" collapsed="false">
      <c r="A17651" s="1" t="s">
        <v>1015</v>
      </c>
      <c r="B17651" s="0" t="s">
        <v>168</v>
      </c>
      <c r="F17651" s="7" t="n">
        <f aca="false">(Sens!F17648-Sens!F17647)*(1-tax_f)/((Sens!E17649+Sens!F17649)/2)</f>
        <v>-0.000871320783610466</v>
      </c>
      <c r="G17651" s="7" t="n">
        <f aca="false">(Sens!G17648-Sens!G17647)*(1-tax_f)/((Sens!F17649+Sens!G17649)/2)</f>
        <v>-0.0279742438618356</v>
      </c>
      <c r="H17651" s="7" t="n">
        <f aca="false">(Sens!H17648-Sens!H17647)*(1-tax_f)/((Sens!G17649+Sens!H17649)/2)</f>
        <v>-0.0528338242443913</v>
      </c>
      <c r="I17651" s="7" t="n">
        <f aca="false">(Sens!I17648-Sens!I17647)*(1-tax_f)/((Sens!H17649+Sens!I17649)/2)</f>
        <v>-0.059455251538819</v>
      </c>
      <c r="J17651" s="7" t="n">
        <f aca="false">(Sens!J17648-Sens!J17647)*(1-tax_f)/((Sens!I17649+Sens!J17649)/2)</f>
        <v>-0.0667015729394002</v>
      </c>
      <c r="K17651" s="7" t="n">
        <f aca="false">(Sens!K17648-Sens!K17647)*(1-tax_f)/((Sens!J17649+Sens!K17649)/2)</f>
        <v>-0.0735049560740113</v>
      </c>
    </row>
    <row r="17652" customFormat="false" ht="17.15" hidden="false" customHeight="false" outlineLevel="0" collapsed="false">
      <c r="A17652" s="1" t="s">
        <v>1016</v>
      </c>
      <c r="B17652" s="0" t="s">
        <v>168</v>
      </c>
      <c r="F17652" s="7" t="n">
        <f aca="false">(Sens!F17648-Sens!F17647+Sens!F17646)*(1-tax_f)/((Sens!E17649+Sens!F17649)/2)</f>
        <v>0.0429069654816909</v>
      </c>
      <c r="G17652" s="7" t="n">
        <f aca="false">(Sens!G17648-Sens!G17647+Sens!G17646)*(1-tax_f)/((Sens!F17649+Sens!G17649)/2)</f>
        <v>0.0403189680453549</v>
      </c>
      <c r="H17652" s="7" t="n">
        <f aca="false">(Sens!H17648-Sens!H17647+Sens!H17646)*(1-tax_f)/((Sens!G17649+Sens!H17649)/2)</f>
        <v>0.0307613080877867</v>
      </c>
      <c r="I17652" s="7" t="n">
        <f aca="false">(Sens!I17648-Sens!I17647+Sens!I17646)*(1-tax_f)/((Sens!H17649+Sens!I17649)/2)</f>
        <v>0.0366512650238846</v>
      </c>
      <c r="J17652" s="7" t="n">
        <f aca="false">(Sens!J17648-Sens!J17647+Sens!J17646)*(1-tax_f)/((Sens!I17649+Sens!J17649)/2)</f>
        <v>0.0417932659044041</v>
      </c>
      <c r="K17652" s="7" t="n">
        <f aca="false">(Sens!K17648-Sens!K17647+Sens!K17646)*(1-tax_f)/((Sens!J17649+Sens!K17649)/2)</f>
        <v>0.0477205040415821</v>
      </c>
    </row>
    <row r="17653" customFormat="false" ht="17.15" hidden="false" customHeight="false" outlineLevel="0" collapsed="false">
      <c r="A17653" s="1" t="s">
        <v>1017</v>
      </c>
      <c r="B17653" s="0" t="s">
        <v>168</v>
      </c>
      <c r="F17653" s="7" t="n">
        <f aca="false">Sens!F17578*(1-tax_f)/(Sens!F17564*(Sens!E17649+Sens!F17649)/2)</f>
        <v>0.098791430090569</v>
      </c>
      <c r="G17653" s="7" t="n">
        <f aca="false">Sens!G17578*(1-tax_f)/(Sens!G17564*(Sens!F17649+Sens!G17649)/2)</f>
        <v>0.0675308856427828</v>
      </c>
      <c r="H17653" s="7" t="n">
        <f aca="false">Sens!H17578*(1-tax_f)/(Sens!H17564*(Sens!G17649+Sens!H17649)/2)</f>
        <v>0.0388374979528754</v>
      </c>
      <c r="I17653" s="7" t="n">
        <f aca="false">Sens!I17578*(1-tax_f)/(Sens!I17564*(Sens!H17649+Sens!I17649)/2)</f>
        <v>0.0411035671771815</v>
      </c>
      <c r="J17653" s="7" t="n">
        <f aca="false">Sens!J17578*(1-tax_f)/(Sens!J17564*(Sens!I17649+Sens!J17649)/2)</f>
        <v>0.0445222722541192</v>
      </c>
      <c r="K17653" s="7" t="n">
        <f aca="false">Sens!K17578*(1-tax_f)/(Sens!K17564*(Sens!J17649+Sens!K17649)/2)</f>
        <v>0.0498866361688162</v>
      </c>
    </row>
    <row r="17654" customFormat="false" ht="17.15" hidden="false" customHeight="false" outlineLevel="0" collapsed="false">
      <c r="A17654" s="0" t="s">
        <v>1018</v>
      </c>
      <c r="B17654" s="0" t="s">
        <v>253</v>
      </c>
      <c r="F17654" s="7" t="n">
        <f aca="false">Sens!F17650-wacc</f>
        <v>-0.0600296254639064</v>
      </c>
      <c r="G17654" s="7" t="n">
        <f aca="false">Sens!G17650-wacc</f>
        <v>-0.0626176229002424</v>
      </c>
      <c r="H17654" s="7" t="n">
        <f aca="false">Sens!H17650-wacc</f>
        <v>-0.0721752828578106</v>
      </c>
      <c r="I17654" s="7" t="n">
        <f aca="false">Sens!I17650-wacc</f>
        <v>-0.0662853259217127</v>
      </c>
      <c r="J17654" s="7" t="n">
        <f aca="false">Sens!J17650-wacc</f>
        <v>-0.0611433250411932</v>
      </c>
      <c r="K17654" s="7" t="n">
        <f aca="false">Sens!K17650-wacc</f>
        <v>-0.0552160869040152</v>
      </c>
    </row>
    <row r="17655" customFormat="false" ht="17.15" hidden="false" customHeight="false" outlineLevel="0" collapsed="false">
      <c r="A17655" s="0" t="s">
        <v>1019</v>
      </c>
      <c r="B17655" s="0" t="s">
        <v>98</v>
      </c>
      <c r="F17655" s="6" t="n">
        <f aca="false">Sens!F17648*(1-tax_f)-wacc*(Sens!E17649+Sens!F17649)/2</f>
        <v>-11.6238565154813</v>
      </c>
      <c r="G17655" s="6" t="n">
        <f aca="false">Sens!G17648*(1-tax_f)-wacc*(Sens!F17649+Sens!G17649)/2</f>
        <v>-20.4244672240733</v>
      </c>
      <c r="H17655" s="6" t="n">
        <f aca="false">Sens!H17648*(1-tax_f)-wacc*(Sens!G17649+Sens!H17649)/2</f>
        <v>-32.163873277425</v>
      </c>
      <c r="I17655" s="6" t="n">
        <f aca="false">Sens!I17648*(1-tax_f)-wacc*(Sens!H17649+Sens!I17649)/2</f>
        <v>-34.9111844978462</v>
      </c>
      <c r="J17655" s="6" t="n">
        <f aca="false">Sens!J17648*(1-tax_f)-wacc*(Sens!I17649+Sens!J17649)/2</f>
        <v>-33.7712608743463</v>
      </c>
      <c r="K17655" s="6" t="n">
        <f aca="false">Sens!K17648*(1-tax_f)-wacc*(Sens!J17649+Sens!K17649)/2</f>
        <v>-29.7483128474176</v>
      </c>
    </row>
    <row r="17656" customFormat="false" ht="17.15" hidden="false" customHeight="false" outlineLevel="0" collapsed="false">
      <c r="A17656" s="3" t="s">
        <v>2047</v>
      </c>
    </row>
    <row r="17657" customFormat="false" ht="15" hidden="false" customHeight="false" outlineLevel="0" collapsed="false">
      <c r="A17657" s="4" t="s">
        <v>43</v>
      </c>
      <c r="B17657" s="4" t="s">
        <v>65</v>
      </c>
      <c r="C17657" s="23" t="s">
        <v>942</v>
      </c>
      <c r="D17657" s="23" t="s">
        <v>943</v>
      </c>
      <c r="E17657" s="23" t="s">
        <v>944</v>
      </c>
      <c r="F17657" s="23" t="s">
        <v>945</v>
      </c>
      <c r="G17657" s="23" t="s">
        <v>946</v>
      </c>
      <c r="H17657" s="23" t="s">
        <v>947</v>
      </c>
      <c r="I17657" s="23" t="s">
        <v>948</v>
      </c>
      <c r="J17657" s="23" t="s">
        <v>949</v>
      </c>
      <c r="K17657" s="23" t="s">
        <v>950</v>
      </c>
      <c r="L17657" s="4" t="s">
        <v>47</v>
      </c>
    </row>
    <row r="17658" customFormat="false" ht="15" hidden="false" customHeight="false" outlineLevel="0" collapsed="false">
      <c r="A17658" s="1" t="s">
        <v>1080</v>
      </c>
      <c r="B17658" s="0" t="s">
        <v>98</v>
      </c>
      <c r="F17658" s="6" t="n">
        <f aca="false">Sens!F17639</f>
        <v>141.519132566314</v>
      </c>
      <c r="G17658" s="6" t="n">
        <f aca="false">Sens!G17639</f>
        <v>143.776094190781</v>
      </c>
      <c r="H17658" s="6" t="n">
        <f aca="false">Sens!H17639</f>
        <v>145.523258806884</v>
      </c>
      <c r="I17658" s="6" t="n">
        <f aca="false">Sens!I17639</f>
        <v>153.618584087663</v>
      </c>
      <c r="J17658" s="6" t="n">
        <f aca="false">Sens!J17639</f>
        <v>163.027321880188</v>
      </c>
      <c r="K17658" s="6" t="n">
        <f aca="false">Sens!K17639</f>
        <v>173.630216203913</v>
      </c>
    </row>
    <row r="17659" customFormat="false" ht="17.15" hidden="false" customHeight="false" outlineLevel="0" collapsed="false">
      <c r="A17659" s="1" t="s">
        <v>1102</v>
      </c>
      <c r="B17659" s="0" t="s">
        <v>98</v>
      </c>
      <c r="E17659" s="6" t="n">
        <f aca="false">Q!M38-Sens!E17577</f>
        <v>22.2285940229167</v>
      </c>
      <c r="F17659" s="6" t="n">
        <f aca="false">Sens!E17659*(1-1/life_nonai)+(Sens!F17667+Sens!F17668)/life_nonai</f>
        <v>23.5883405279552</v>
      </c>
      <c r="G17659" s="6" t="n">
        <f aca="false">Sens!F17659*(1-1/life_nonai)+(Sens!G17667)/life_nonai</f>
        <v>25.347608709247</v>
      </c>
      <c r="H17659" s="6" t="n">
        <f aca="false">Sens!G17659*(1-1/life_nonai)+(Sens!H17667)/life_nonai</f>
        <v>27.4750934833125</v>
      </c>
      <c r="I17659" s="6" t="n">
        <f aca="false">Sens!H17659*(1-1/life_nonai)+(Sens!I17667)/life_nonai</f>
        <v>29.9140127982598</v>
      </c>
      <c r="J17659" s="6" t="n">
        <f aca="false">Sens!I17659*(1-1/life_nonai)+(Sens!J17667)/life_nonai</f>
        <v>32.5895147654561</v>
      </c>
      <c r="K17659" s="6" t="n">
        <f aca="false">Sens!J17659*(1-1/life_nonai)+(Sens!K17667)/life_nonai</f>
        <v>35.4171979437481</v>
      </c>
      <c r="L17659" s="12" t="s">
        <v>1103</v>
      </c>
    </row>
    <row r="17660" customFormat="false" ht="17.15" hidden="false" customHeight="false" outlineLevel="0" collapsed="false">
      <c r="A17660" s="1" t="s">
        <v>1104</v>
      </c>
      <c r="B17660" s="0" t="s">
        <v>98</v>
      </c>
      <c r="F17660" s="6" t="n">
        <f aca="false">Sens!$F$17668/life_nonai*(1-1/life_nonai)^(Sens!F17540-2027)</f>
        <v>0</v>
      </c>
      <c r="G17660" s="6" t="n">
        <f aca="false">Sens!$F$17668/life_nonai*(1-1/life_nonai)^(Sens!G17540-2027)</f>
        <v>0</v>
      </c>
      <c r="H17660" s="6" t="n">
        <f aca="false">Sens!$F$17668/life_nonai*(1-1/life_nonai)^(Sens!H17540-2027)</f>
        <v>0</v>
      </c>
      <c r="I17660" s="6" t="n">
        <f aca="false">Sens!$F$17668/life_nonai*(1-1/life_nonai)^(Sens!I17540-2027)</f>
        <v>0</v>
      </c>
      <c r="J17660" s="6" t="n">
        <f aca="false">Sens!$F$17668/life_nonai*(1-1/life_nonai)^(Sens!J17540-2027)</f>
        <v>0</v>
      </c>
      <c r="K17660" s="6" t="n">
        <f aca="false">Sens!$F$17668/life_nonai*(1-1/life_nonai)^(Sens!K17540-2027)</f>
        <v>0</v>
      </c>
      <c r="L17660" s="1" t="s">
        <v>1105</v>
      </c>
    </row>
    <row r="17661" customFormat="false" ht="17.15" hidden="false" customHeight="false" outlineLevel="0" collapsed="false">
      <c r="A17661" s="1" t="s">
        <v>1106</v>
      </c>
      <c r="B17661" s="0" t="s">
        <v>98</v>
      </c>
      <c r="E17661" s="6" t="n">
        <f aca="false">Sens!E17577+Sens!E17659</f>
        <v>38.534</v>
      </c>
      <c r="F17661" s="6" t="n">
        <f aca="false">Sens!F17577+Sens!F17659</f>
        <v>58.1676550063068</v>
      </c>
      <c r="G17661" s="6" t="n">
        <f aca="false">Sens!G17577+Sens!G17659</f>
        <v>86.0820993615459</v>
      </c>
      <c r="H17661" s="6" t="n">
        <f aca="false">Sens!H17577+Sens!H17659</f>
        <v>116.575184144758</v>
      </c>
      <c r="I17661" s="6" t="n">
        <f aca="false">Sens!I17577+Sens!I17659</f>
        <v>144.145022492808</v>
      </c>
      <c r="J17661" s="6" t="n">
        <f aca="false">Sens!J17577+Sens!J17659</f>
        <v>164.605187815052</v>
      </c>
      <c r="K17661" s="6" t="n">
        <f aca="false">Sens!K17577+Sens!K17659</f>
        <v>178.429867494682</v>
      </c>
    </row>
    <row r="17662" customFormat="false" ht="17.15" hidden="false" customHeight="false" outlineLevel="0" collapsed="false">
      <c r="A17662" s="1" t="s">
        <v>1107</v>
      </c>
      <c r="B17662" s="0" t="s">
        <v>98</v>
      </c>
      <c r="F17662" s="6" t="n">
        <f aca="false">Sens!F17604*sbc_r</f>
        <v>14.7454787486369</v>
      </c>
      <c r="G17662" s="6" t="n">
        <f aca="false">Sens!G17604*sbc_r</f>
        <v>17.1560811611477</v>
      </c>
      <c r="H17662" s="6" t="n">
        <f aca="false">Sens!H17604*sbc_r</f>
        <v>19.4112161412813</v>
      </c>
      <c r="I17662" s="6" t="n">
        <f aca="false">Sens!I17604*sbc_r</f>
        <v>21.7655163708747</v>
      </c>
      <c r="J17662" s="6" t="n">
        <f aca="false">Sens!J17604*sbc_r</f>
        <v>23.7425689489627</v>
      </c>
      <c r="K17662" s="6" t="n">
        <f aca="false">Sens!K17604*sbc_r</f>
        <v>25.3560408997772</v>
      </c>
    </row>
    <row r="17663" customFormat="false" ht="17.15" hidden="false" customHeight="false" outlineLevel="0" collapsed="false">
      <c r="A17663" s="1" t="s">
        <v>1108</v>
      </c>
      <c r="B17663" s="0" t="s">
        <v>98</v>
      </c>
      <c r="F17663" s="6" t="n">
        <f aca="false">wc27-wc26q1</f>
        <v>-4.677</v>
      </c>
      <c r="G17663" s="6" t="n">
        <f aca="false">wc_f</f>
        <v>0</v>
      </c>
      <c r="H17663" s="6" t="n">
        <f aca="false">wc_f</f>
        <v>0</v>
      </c>
      <c r="I17663" s="6" t="n">
        <f aca="false">wc_f</f>
        <v>0</v>
      </c>
      <c r="J17663" s="6" t="n">
        <f aca="false">wc_f</f>
        <v>0</v>
      </c>
      <c r="K17663" s="6" t="n">
        <f aca="false">wc_f</f>
        <v>0</v>
      </c>
      <c r="L17663" s="12" t="s">
        <v>1109</v>
      </c>
    </row>
    <row r="17664" customFormat="false" ht="17.15" hidden="false" customHeight="false" outlineLevel="0" collapsed="false">
      <c r="A17664" s="0" t="s">
        <v>1110</v>
      </c>
      <c r="B17664" s="0" t="s">
        <v>98</v>
      </c>
      <c r="F17664" s="6" t="n">
        <f aca="false">Q!$I$35-Q!$I$26-Q!$I$38-Q!$I$39</f>
        <v>6.493</v>
      </c>
      <c r="L17664" s="1" t="s">
        <v>1111</v>
      </c>
    </row>
    <row r="17665" customFormat="false" ht="15" hidden="false" customHeight="false" outlineLevel="0" collapsed="false">
      <c r="A17665" s="1" t="s">
        <v>908</v>
      </c>
      <c r="B17665" s="0" t="s">
        <v>98</v>
      </c>
      <c r="E17665" s="6" t="n">
        <f aca="false">Q!M35</f>
        <v>182.935</v>
      </c>
      <c r="F17665" s="6" t="n">
        <f aca="false">Sens!F17658+Sens!F17661+Sens!F17662+Sens!F17663+Sens!F17664</f>
        <v>216.248266321257</v>
      </c>
      <c r="G17665" s="6" t="n">
        <f aca="false">Sens!G17658+Sens!G17661+Sens!G17662+Sens!G17663</f>
        <v>247.014274713475</v>
      </c>
      <c r="H17665" s="6" t="n">
        <f aca="false">Sens!H17658+Sens!H17661+Sens!H17662+Sens!H17663</f>
        <v>281.509659092923</v>
      </c>
      <c r="I17665" s="6" t="n">
        <f aca="false">Sens!I17658+Sens!I17661+Sens!I17662+Sens!I17663</f>
        <v>319.529122951346</v>
      </c>
      <c r="J17665" s="6" t="n">
        <f aca="false">Sens!J17658+Sens!J17661+Sens!J17662+Sens!J17663</f>
        <v>351.375078644203</v>
      </c>
      <c r="K17665" s="6" t="n">
        <f aca="false">Sens!K17658+Sens!K17661+Sens!K17662+Sens!K17663</f>
        <v>377.416124598373</v>
      </c>
    </row>
    <row r="17666" customFormat="false" ht="17.15" hidden="false" customHeight="false" outlineLevel="0" collapsed="false">
      <c r="A17666" s="0" t="s">
        <v>1112</v>
      </c>
      <c r="B17666" s="0" t="s">
        <v>98</v>
      </c>
      <c r="F17666" s="6" t="n">
        <f aca="false">Sens!F17574</f>
        <v>168.45390404212</v>
      </c>
      <c r="G17666" s="6" t="n">
        <f aca="false">Sens!G17574</f>
        <v>191.944475649048</v>
      </c>
      <c r="H17666" s="6" t="n">
        <f aca="false">Sens!H17574</f>
        <v>196.806004064512</v>
      </c>
      <c r="I17666" s="6" t="n">
        <f aca="false">Sens!I17574</f>
        <v>168.61483362161</v>
      </c>
      <c r="J17666" s="6" t="n">
        <f aca="false">Sens!J17574</f>
        <v>128.92993119594</v>
      </c>
      <c r="K17666" s="6" t="n">
        <f aca="false">Sens!K17574</f>
        <v>118.962853064733</v>
      </c>
    </row>
    <row r="17667" customFormat="false" ht="17.15" hidden="false" customHeight="false" outlineLevel="0" collapsed="false">
      <c r="A17667" s="1" t="s">
        <v>1113</v>
      </c>
      <c r="B17667" s="0" t="s">
        <v>98</v>
      </c>
      <c r="E17667" s="6" t="n">
        <f aca="false">Sens!E17582*cx_azo+Sens!E17589*cx_m365+Sens!E17590*cx_lic+(Sens!E17592+Sens!E17594)*cx_ind+Sens!E17597*cx_srch+(Sens!E17599+Sens!E17601)*cx_dev</f>
        <v>30.1846587067718</v>
      </c>
      <c r="F17667" s="6" t="n">
        <f aca="false">Sens!F17582*cx_azo+Sens!F17589*cx_m365+Sens!F17590*cx_lic+(Sens!F17592+Sens!F17594)*cx_ind+Sens!F17597*cx_srch+(Sens!F17599+Sens!F17601)*cx_dev</f>
        <v>35.826059073302</v>
      </c>
      <c r="G17667" s="6" t="n">
        <f aca="false">Sens!G17582*cx_azo+Sens!G17589*cx_m365+Sens!G17590*cx_lic+(Sens!G17592+Sens!G17594)*cx_ind+Sens!G17597*cx_srch+(Sens!G17599+Sens!G17601)*cx_dev</f>
        <v>41.1810223408732</v>
      </c>
      <c r="H17667" s="6" t="n">
        <f aca="false">Sens!H17582*cx_azo+Sens!H17589*cx_m365+Sens!H17590*cx_lic+(Sens!H17592+Sens!H17594)*cx_ind+Sens!H17597*cx_srch+(Sens!H17599+Sens!H17601)*cx_dev</f>
        <v>46.6224564499022</v>
      </c>
      <c r="I17667" s="6" t="n">
        <f aca="false">Sens!I17582*cx_azo+Sens!I17589*cx_m365+Sens!I17590*cx_lic+(Sens!I17592+Sens!I17594)*cx_ind+Sens!I17597*cx_srch+(Sens!I17599+Sens!I17601)*cx_dev</f>
        <v>51.8642866327854</v>
      </c>
      <c r="J17667" s="6" t="n">
        <f aca="false">Sens!J17582*cx_azo+Sens!J17589*cx_m365+Sens!J17590*cx_lic+(Sens!J17592+Sens!J17594)*cx_ind+Sens!J17597*cx_srch+(Sens!J17599+Sens!J17601)*cx_dev</f>
        <v>56.6690324702225</v>
      </c>
      <c r="K17667" s="6" t="n">
        <f aca="false">Sens!K17582*cx_azo+Sens!K17589*cx_m365+Sens!K17590*cx_lic+(Sens!K17592+Sens!K17594)*cx_ind+Sens!K17597*cx_srch+(Sens!K17599+Sens!K17601)*cx_dev</f>
        <v>60.866346548376</v>
      </c>
    </row>
    <row r="17668" customFormat="false" ht="17.15" hidden="false" customHeight="false" outlineLevel="0" collapsed="false">
      <c r="A17668" s="0" t="s">
        <v>1114</v>
      </c>
      <c r="B17668" s="0" t="s">
        <v>98</v>
      </c>
      <c r="F17668" s="6" t="n">
        <f aca="false">0</f>
        <v>0</v>
      </c>
      <c r="L17668" s="1" t="s">
        <v>1115</v>
      </c>
    </row>
    <row r="17669" customFormat="false" ht="17.15" hidden="false" customHeight="false" outlineLevel="0" collapsed="false">
      <c r="A17669" s="1" t="s">
        <v>1116</v>
      </c>
      <c r="B17669" s="0" t="s">
        <v>98</v>
      </c>
      <c r="E17669" s="6" t="n">
        <f aca="false">Q!M43</f>
        <v>145.3</v>
      </c>
      <c r="F17669" s="6" t="n">
        <f aca="false">Sens!F17666+Sens!F17667+Sens!F17668</f>
        <v>204.279963115422</v>
      </c>
      <c r="G17669" s="6" t="n">
        <f aca="false">Sens!G17666+Sens!G17667</f>
        <v>233.125497989921</v>
      </c>
      <c r="H17669" s="6" t="n">
        <f aca="false">Sens!H17666+Sens!H17667</f>
        <v>243.428460514415</v>
      </c>
      <c r="I17669" s="6" t="n">
        <f aca="false">Sens!I17666+Sens!I17667</f>
        <v>220.479120254396</v>
      </c>
      <c r="J17669" s="6" t="n">
        <f aca="false">Sens!J17666+Sens!J17667</f>
        <v>185.598963666163</v>
      </c>
      <c r="K17669" s="6" t="n">
        <f aca="false">Sens!K17666+Sens!K17667</f>
        <v>179.829199613109</v>
      </c>
      <c r="L17669" s="1" t="s">
        <v>1117</v>
      </c>
    </row>
    <row r="17670" customFormat="false" ht="15" hidden="false" customHeight="false" outlineLevel="0" collapsed="false">
      <c r="A17670" s="1" t="s">
        <v>1118</v>
      </c>
      <c r="B17670" s="0" t="s">
        <v>98</v>
      </c>
      <c r="E17670" s="6" t="n">
        <f aca="false">fl_liab</f>
        <v>66.594</v>
      </c>
      <c r="F17670" s="6" t="n">
        <f aca="false">Sens!E17670-Sens!F17671</f>
        <v>62.46973</v>
      </c>
      <c r="G17670" s="6" t="n">
        <f aca="false">Sens!F17670-Sens!G17671</f>
        <v>57.98686785</v>
      </c>
      <c r="H17670" s="6" t="n">
        <f aca="false">Sens!G17670-Sens!H17671</f>
        <v>53.92827690325</v>
      </c>
      <c r="I17670" s="6" t="n">
        <f aca="false">Sens!H17670-Sens!I17671</f>
        <v>49.7850493638962</v>
      </c>
      <c r="J17670" s="6" t="n">
        <f aca="false">Sens!I17670-Sens!J17671</f>
        <v>45.4823765852716</v>
      </c>
      <c r="K17670" s="6" t="n">
        <f aca="false">Sens!J17670-Sens!K17671</f>
        <v>40.9860835316088</v>
      </c>
    </row>
    <row r="17671" customFormat="false" ht="15" hidden="false" customHeight="false" outlineLevel="0" collapsed="false">
      <c r="A17671" s="1" t="s">
        <v>1119</v>
      </c>
      <c r="B17671" s="0" t="s">
        <v>98</v>
      </c>
      <c r="F17671" s="6" t="n">
        <f aca="false">fl_pay_27-Sens!E17670*fl_rate</f>
        <v>4.12427</v>
      </c>
      <c r="G17671" s="6" t="n">
        <f aca="false">fl_pay_28-Sens!F17670*fl_rate</f>
        <v>4.48286215</v>
      </c>
      <c r="H17671" s="6" t="n">
        <f aca="false">fl_pay_29-Sens!G17670*fl_rate</f>
        <v>4.05859094675</v>
      </c>
      <c r="I17671" s="6" t="n">
        <f aca="false">fl_pay_30-Sens!H17670*fl_rate</f>
        <v>4.14322753935375</v>
      </c>
      <c r="J17671" s="6" t="n">
        <f aca="false">fl_pay_31-Sens!I17670*fl_rate</f>
        <v>4.30267277862467</v>
      </c>
      <c r="K17671" s="6" t="n">
        <f aca="false">fl_pay_32-Sens!J17670*fl_rate</f>
        <v>4.49629305366278</v>
      </c>
    </row>
    <row r="17672" customFormat="false" ht="17.15" hidden="false" customHeight="false" outlineLevel="0" collapsed="false">
      <c r="A17672" s="1" t="s">
        <v>1120</v>
      </c>
      <c r="B17672" s="0" t="s">
        <v>98</v>
      </c>
      <c r="E17672" s="6" t="n">
        <f aca="false">Q!M35-Q!M36-Q!M44</f>
        <v>63.886</v>
      </c>
      <c r="F17672" s="6" t="n">
        <f aca="false">Sens!F17665-Sens!F17669-Sens!F17671</f>
        <v>7.8440332058357</v>
      </c>
      <c r="G17672" s="6" t="n">
        <f aca="false">Sens!G17665-Sens!G17669-Sens!G17671</f>
        <v>9.40591457355372</v>
      </c>
      <c r="H17672" s="6" t="n">
        <f aca="false">Sens!H17665-Sens!H17669-Sens!H17671</f>
        <v>34.0226076317587</v>
      </c>
      <c r="I17672" s="6" t="n">
        <f aca="false">Sens!I17665-Sens!I17669-Sens!I17671</f>
        <v>94.9067751575962</v>
      </c>
      <c r="J17672" s="6" t="n">
        <f aca="false">Sens!J17665-Sens!J17669-Sens!J17671</f>
        <v>161.473442199415</v>
      </c>
      <c r="K17672" s="6" t="n">
        <f aca="false">Sens!K17665-Sens!K17669-Sens!K17671</f>
        <v>193.090631931601</v>
      </c>
      <c r="L17672" s="12" t="s">
        <v>1121</v>
      </c>
    </row>
    <row r="17673" customFormat="false" ht="15" hidden="false" customHeight="false" outlineLevel="0" collapsed="false">
      <c r="A17673" s="1" t="s">
        <v>1122</v>
      </c>
      <c r="B17673" s="0" t="s">
        <v>75</v>
      </c>
      <c r="F17673" s="8" t="n">
        <f aca="false">dps_27</f>
        <v>3.85</v>
      </c>
      <c r="G17673" s="8" t="n">
        <f aca="false">Sens!F17673*(1+dps_g)</f>
        <v>4.158</v>
      </c>
      <c r="H17673" s="8" t="n">
        <f aca="false">Sens!G17673*(1+dps_g)</f>
        <v>4.49064</v>
      </c>
      <c r="I17673" s="8" t="n">
        <f aca="false">Sens!H17673*(1+dps_g)</f>
        <v>4.8498912</v>
      </c>
      <c r="J17673" s="8" t="n">
        <f aca="false">Sens!I17673*(1+dps_g)</f>
        <v>5.237882496</v>
      </c>
      <c r="K17673" s="8" t="n">
        <f aca="false">Sens!J17673*(1+dps_g)</f>
        <v>5.65691309568</v>
      </c>
    </row>
    <row r="17674" customFormat="false" ht="17.15" hidden="false" customHeight="false" outlineLevel="0" collapsed="false">
      <c r="A17674" s="1" t="s">
        <v>1123</v>
      </c>
      <c r="B17674" s="0" t="s">
        <v>98</v>
      </c>
      <c r="E17674" s="6" t="n">
        <f aca="false">Q!M41</f>
        <v>26.445</v>
      </c>
      <c r="F17674" s="6" t="n">
        <f aca="false">Sens!F17673*Sens!E17683</f>
        <v>28.59395</v>
      </c>
      <c r="G17674" s="6" t="n">
        <f aca="false">Sens!G17673*Sens!F17683</f>
        <v>31.068576</v>
      </c>
      <c r="H17674" s="6" t="n">
        <f aca="false">Sens!H17673*Sens!G17683</f>
        <v>33.75614088</v>
      </c>
      <c r="I17674" s="6" t="n">
        <f aca="false">Sens!I17673*Sens!H17683</f>
        <v>36.6748772544</v>
      </c>
      <c r="J17674" s="6" t="n">
        <f aca="false">Sens!J17673*Sens!I17683</f>
        <v>39.6767653201446</v>
      </c>
      <c r="K17674" s="6" t="n">
        <f aca="false">Sens!K17673*Sens!J17683</f>
        <v>42.9376608081345</v>
      </c>
      <c r="L17674" s="1" t="s">
        <v>1124</v>
      </c>
    </row>
    <row r="17675" customFormat="false" ht="15" hidden="false" customHeight="false" outlineLevel="0" collapsed="false">
      <c r="A17675" s="1" t="s">
        <v>1125</v>
      </c>
      <c r="B17675" s="0" t="s">
        <v>98</v>
      </c>
      <c r="E17675" s="6" t="n">
        <f aca="false">Sens!E17672-Sens!E17674</f>
        <v>37.441</v>
      </c>
      <c r="F17675" s="6" t="n">
        <f aca="false">Sens!F17672-Sens!F17674</f>
        <v>-20.7499167941643</v>
      </c>
      <c r="G17675" s="6" t="n">
        <f aca="false">Sens!G17672-Sens!G17674</f>
        <v>-21.6626614264463</v>
      </c>
      <c r="H17675" s="6" t="n">
        <f aca="false">Sens!H17672-Sens!H17674</f>
        <v>0.266466751758742</v>
      </c>
      <c r="I17675" s="6" t="n">
        <f aca="false">Sens!I17672-Sens!I17674</f>
        <v>58.2318979031962</v>
      </c>
      <c r="J17675" s="6" t="n">
        <f aca="false">Sens!J17672-Sens!J17674</f>
        <v>121.796676879271</v>
      </c>
      <c r="K17675" s="6" t="n">
        <f aca="false">Sens!K17672-Sens!K17674</f>
        <v>150.152971123467</v>
      </c>
    </row>
    <row r="17676" customFormat="false" ht="15" hidden="false" customHeight="false" outlineLevel="0" collapsed="false">
      <c r="A17676" s="1" t="s">
        <v>1126</v>
      </c>
      <c r="B17676" s="0" t="s">
        <v>98</v>
      </c>
      <c r="F17676" s="6" t="n">
        <f aca="false">debt_mat_27</f>
        <v>9.25</v>
      </c>
      <c r="G17676" s="6" t="n">
        <f aca="false">debt_mat_28</f>
        <v>0</v>
      </c>
      <c r="H17676" s="6" t="n">
        <f aca="false">debt_mat_29</f>
        <v>2.001</v>
      </c>
      <c r="I17676" s="6" t="n">
        <f aca="false">debt_mat_30</f>
        <v>0</v>
      </c>
      <c r="J17676" s="6" t="n">
        <f aca="false">debt_mat_31</f>
        <v>0.5</v>
      </c>
      <c r="K17676" s="6" t="n">
        <f aca="false">debt_mat_32</f>
        <v>0</v>
      </c>
    </row>
    <row r="17677" customFormat="false" ht="15" hidden="false" customHeight="false" outlineLevel="0" collapsed="false">
      <c r="A17677" s="1" t="s">
        <v>1127</v>
      </c>
      <c r="B17677" s="0" t="s">
        <v>98</v>
      </c>
      <c r="E17677" s="6" t="n">
        <f aca="false">Q!M40</f>
        <v>22.271</v>
      </c>
      <c r="F17677" s="6" t="n">
        <f aca="false">MAX(0,MIN(bb_target,Sens!E17679+Sens!F17675-Sens!F17676-min_cash))</f>
        <v>0</v>
      </c>
      <c r="G17677" s="6" t="n">
        <f aca="false">MAX(0,MIN(bb_target,Sens!F17679+Sens!G17675-Sens!G17676-min_cash))</f>
        <v>0</v>
      </c>
      <c r="H17677" s="6" t="n">
        <f aca="false">MAX(0,MIN(bb_target,Sens!G17679+Sens!H17675-Sens!H17676-min_cash))</f>
        <v>0</v>
      </c>
      <c r="I17677" s="6" t="n">
        <f aca="false">MAX(0,MIN(bb_target,Sens!H17679+Sens!I17675-Sens!I17676-min_cash))</f>
        <v>22.271</v>
      </c>
      <c r="J17677" s="6" t="n">
        <f aca="false">MAX(0,MIN(bb_target,Sens!I17679+Sens!J17675-Sens!J17676-min_cash))</f>
        <v>22.271</v>
      </c>
      <c r="K17677" s="6" t="n">
        <f aca="false">MAX(0,MIN(bb_target,Sens!J17679+Sens!K17675-Sens!K17676-min_cash))</f>
        <v>22.271</v>
      </c>
    </row>
    <row r="17678" customFormat="false" ht="15" hidden="false" customHeight="false" outlineLevel="0" collapsed="false">
      <c r="A17678" s="1" t="s">
        <v>1128</v>
      </c>
      <c r="B17678" s="0" t="s">
        <v>98</v>
      </c>
      <c r="F17678" s="6" t="n">
        <f aca="false">MAX(0,min_cash-(Sens!E17679+Sens!F17675-Sens!F17676-Sens!F17677))</f>
        <v>3.1569167941643</v>
      </c>
      <c r="G17678" s="6" t="n">
        <f aca="false">MAX(0,min_cash-(Sens!F17679+Sens!G17675-Sens!G17676-Sens!G17677))</f>
        <v>21.6626614264463</v>
      </c>
      <c r="H17678" s="6" t="n">
        <f aca="false">MAX(0,min_cash-(Sens!G17679+Sens!H17675-Sens!H17676-Sens!H17677))</f>
        <v>1.73453324824126</v>
      </c>
      <c r="I17678" s="6" t="n">
        <f aca="false">MAX(0,min_cash-(Sens!H17679+Sens!I17675-Sens!I17676-Sens!I17677))</f>
        <v>0</v>
      </c>
      <c r="J17678" s="6" t="n">
        <f aca="false">MAX(0,min_cash-(Sens!I17679+Sens!J17675-Sens!J17676-Sens!J17677))</f>
        <v>0</v>
      </c>
      <c r="K17678" s="6" t="n">
        <f aca="false">MAX(0,min_cash-(Sens!J17679+Sens!K17675-Sens!K17676-Sens!K17677))</f>
        <v>0</v>
      </c>
    </row>
    <row r="17679" customFormat="false" ht="15" hidden="false" customHeight="false" outlineLevel="0" collapsed="false">
      <c r="A17679" s="1" t="s">
        <v>1129</v>
      </c>
      <c r="B17679" s="0" t="s">
        <v>98</v>
      </c>
      <c r="E17679" s="6" t="n">
        <f aca="false">cash_open</f>
        <v>76.843</v>
      </c>
      <c r="F17679" s="6" t="n">
        <f aca="false">Sens!E17679+Sens!F17675-Sens!F17676-Sens!F17677+Sens!F17678</f>
        <v>50</v>
      </c>
      <c r="G17679" s="6" t="n">
        <f aca="false">Sens!F17679+Sens!G17675-Sens!G17676-Sens!G17677+Sens!G17678</f>
        <v>50</v>
      </c>
      <c r="H17679" s="6" t="n">
        <f aca="false">Sens!G17679+Sens!H17675-Sens!H17676-Sens!H17677+Sens!H17678</f>
        <v>50</v>
      </c>
      <c r="I17679" s="6" t="n">
        <f aca="false">Sens!H17679+Sens!I17675-Sens!I17676-Sens!I17677+Sens!I17678</f>
        <v>85.9608979031962</v>
      </c>
      <c r="J17679" s="6" t="n">
        <f aca="false">Sens!I17679+Sens!J17675-Sens!J17676-Sens!J17677+Sens!J17678</f>
        <v>184.986574782467</v>
      </c>
      <c r="K17679" s="6" t="n">
        <f aca="false">Sens!J17679+Sens!K17675-Sens!K17676-Sens!K17677+Sens!K17678</f>
        <v>312.868545905934</v>
      </c>
    </row>
    <row r="17680" customFormat="false" ht="15" hidden="false" customHeight="false" outlineLevel="0" collapsed="false">
      <c r="A17680" s="1" t="s">
        <v>1130</v>
      </c>
      <c r="B17680" s="0" t="s">
        <v>98</v>
      </c>
      <c r="E17680" s="6" t="n">
        <f aca="false">debt_face</f>
        <v>46.136</v>
      </c>
      <c r="F17680" s="6" t="n">
        <f aca="false">Sens!E17680-Sens!F17676+Sens!F17678</f>
        <v>40.0429167941643</v>
      </c>
      <c r="G17680" s="6" t="n">
        <f aca="false">Sens!F17680-Sens!G17676+Sens!G17678</f>
        <v>61.7055782206106</v>
      </c>
      <c r="H17680" s="6" t="n">
        <f aca="false">Sens!G17680-Sens!H17676+Sens!H17678</f>
        <v>61.4391114688519</v>
      </c>
      <c r="I17680" s="6" t="n">
        <f aca="false">Sens!H17680-Sens!I17676+Sens!I17678</f>
        <v>61.4391114688519</v>
      </c>
      <c r="J17680" s="6" t="n">
        <f aca="false">Sens!I17680-Sens!J17676+Sens!J17678</f>
        <v>60.9391114688519</v>
      </c>
      <c r="K17680" s="6" t="n">
        <f aca="false">Sens!J17680-Sens!K17676+Sens!K17678</f>
        <v>60.9391114688519</v>
      </c>
    </row>
    <row r="17681" customFormat="false" ht="15" hidden="false" customHeight="false" outlineLevel="0" collapsed="false">
      <c r="A17681" s="1" t="s">
        <v>1131</v>
      </c>
      <c r="B17681" s="0" t="s">
        <v>98</v>
      </c>
      <c r="E17681" s="6" t="n">
        <f aca="false">Sens!E17679-Sens!E17680</f>
        <v>30.707</v>
      </c>
      <c r="F17681" s="6" t="n">
        <f aca="false">Sens!F17679-Sens!F17680</f>
        <v>9.95708320583569</v>
      </c>
      <c r="G17681" s="6" t="n">
        <f aca="false">Sens!G17679-Sens!G17680</f>
        <v>-11.7055782206106</v>
      </c>
      <c r="H17681" s="6" t="n">
        <f aca="false">Sens!H17679-Sens!H17680</f>
        <v>-11.4391114688518</v>
      </c>
      <c r="I17681" s="6" t="n">
        <f aca="false">Sens!I17679-Sens!I17680</f>
        <v>24.5217864343444</v>
      </c>
      <c r="J17681" s="6" t="n">
        <f aca="false">Sens!J17679-Sens!J17680</f>
        <v>124.047463313615</v>
      </c>
      <c r="K17681" s="6" t="n">
        <f aca="false">Sens!K17679-Sens!K17680</f>
        <v>251.929434437082</v>
      </c>
    </row>
    <row r="17682" customFormat="false" ht="15" hidden="false" customHeight="false" outlineLevel="0" collapsed="false">
      <c r="A17682" s="1" t="s">
        <v>1132</v>
      </c>
      <c r="B17682" s="0" t="s">
        <v>75</v>
      </c>
      <c r="F17682" s="30" t="n">
        <f aca="false">px*(1+bb_g)^(Sens!F17540-base_fy-mid_yr)</f>
        <v>551.84177959629</v>
      </c>
      <c r="G17682" s="30" t="n">
        <f aca="false">px*(1+bb_g)^(Sens!G17540-base_fy-mid_yr)</f>
        <v>595.989121963993</v>
      </c>
      <c r="H17682" s="30" t="n">
        <f aca="false">px*(1+bb_g)^(Sens!H17540-base_fy-mid_yr)</f>
        <v>643.668251721112</v>
      </c>
      <c r="I17682" s="30" t="n">
        <f aca="false">px*(1+bb_g)^(Sens!I17540-base_fy-mid_yr)</f>
        <v>695.161711858801</v>
      </c>
      <c r="J17682" s="30" t="n">
        <f aca="false">px*(1+bb_g)^(Sens!J17540-base_fy-mid_yr)</f>
        <v>750.774648807506</v>
      </c>
      <c r="K17682" s="30" t="n">
        <f aca="false">px*(1+bb_g)^(Sens!K17540-base_fy-mid_yr)</f>
        <v>810.836620712106</v>
      </c>
    </row>
    <row r="17683" customFormat="false" ht="15" hidden="false" customHeight="false" outlineLevel="0" collapsed="false">
      <c r="A17683" s="1" t="s">
        <v>1133</v>
      </c>
      <c r="B17683" s="1" t="s">
        <v>81</v>
      </c>
      <c r="E17683" s="15" t="n">
        <f aca="false">sh_out26</f>
        <v>7.427</v>
      </c>
      <c r="F17683" s="15" t="n">
        <f aca="false">Sens!E17683+sh_iss-Sens!F17677/Sens!F17682</f>
        <v>7.472</v>
      </c>
      <c r="G17683" s="15" t="n">
        <f aca="false">Sens!F17683+sh_iss-Sens!G17677/Sens!G17682</f>
        <v>7.517</v>
      </c>
      <c r="H17683" s="15" t="n">
        <f aca="false">Sens!G17683+sh_iss-Sens!H17677/Sens!H17682</f>
        <v>7.562</v>
      </c>
      <c r="I17683" s="15" t="n">
        <f aca="false">Sens!H17683+sh_iss-Sens!I17677/Sens!I17682</f>
        <v>7.57496285005334</v>
      </c>
      <c r="J17683" s="15" t="n">
        <f aca="false">Sens!I17683+sh_iss-Sens!J17677/Sens!J17682</f>
        <v>7.59029882232494</v>
      </c>
      <c r="K17683" s="15" t="n">
        <f aca="false">Sens!J17683+sh_iss-Sens!K17677/Sens!K17682</f>
        <v>7.60783212998384</v>
      </c>
    </row>
    <row r="17684" customFormat="false" ht="15" hidden="false" customHeight="false" outlineLevel="0" collapsed="false">
      <c r="A17684" s="1" t="s">
        <v>1134</v>
      </c>
      <c r="B17684" s="1" t="s">
        <v>81</v>
      </c>
      <c r="E17684" s="15" t="n">
        <f aca="false">sh_dil26</f>
        <v>7.453</v>
      </c>
      <c r="F17684" s="15" t="n">
        <f aca="false">(Sens!E17683+Sens!F17683)/2+dil_gap</f>
        <v>7.4735</v>
      </c>
      <c r="G17684" s="15" t="n">
        <f aca="false">(Sens!F17683+Sens!G17683)/2+dil_gap</f>
        <v>7.5185</v>
      </c>
      <c r="H17684" s="15" t="n">
        <f aca="false">(Sens!G17683+Sens!H17683)/2+dil_gap</f>
        <v>7.5635</v>
      </c>
      <c r="I17684" s="15" t="n">
        <f aca="false">(Sens!H17683+Sens!I17683)/2+dil_gap</f>
        <v>7.59248142502667</v>
      </c>
      <c r="J17684" s="15" t="n">
        <f aca="false">(Sens!I17683+Sens!J17683)/2+dil_gap</f>
        <v>7.60663083618914</v>
      </c>
      <c r="K17684" s="15" t="n">
        <f aca="false">(Sens!J17683+Sens!K17683)/2+dil_gap</f>
        <v>7.62306547615439</v>
      </c>
    </row>
    <row r="17685" customFormat="false" ht="17.15" hidden="false" customHeight="false" outlineLevel="0" collapsed="false">
      <c r="A17685" s="1" t="s">
        <v>1135</v>
      </c>
      <c r="B17685" s="0" t="s">
        <v>98</v>
      </c>
      <c r="C17685" s="6" t="n">
        <f aca="false">SUM(Sens!F17675:J17675)</f>
        <v>137.882463313615</v>
      </c>
    </row>
    <row r="17686" customFormat="false" ht="15" hidden="false" customHeight="false" outlineLevel="0" collapsed="false">
      <c r="A17686" s="26" t="s">
        <v>1100</v>
      </c>
      <c r="B17686" s="31" t="s">
        <v>98</v>
      </c>
      <c r="C17686" s="27" t="n">
        <f aca="false">Sens!$C$17685-(Sens!F17675+Sens!G17675+Sens!H17675+Sens!I17675+Sens!J17675)</f>
        <v>0</v>
      </c>
      <c r="D17686" s="31"/>
      <c r="E17686" s="31"/>
      <c r="F17686" s="31"/>
      <c r="G17686" s="31"/>
      <c r="H17686" s="31"/>
      <c r="I17686" s="31"/>
      <c r="J17686" s="31"/>
      <c r="K17686" s="31"/>
    </row>
    <row r="17687" customFormat="false" ht="17.15" hidden="false" customHeight="false" outlineLevel="0" collapsed="false">
      <c r="A17687" s="1" t="s">
        <v>1094</v>
      </c>
      <c r="B17687" s="1" t="s">
        <v>1136</v>
      </c>
      <c r="C17687" s="33" t="str">
        <f aca="false">IF(SUM(Sens!F17678:J17678)&gt;0.05,"需要舉債 "&amp;TEXT(SUM(Sens!F17678:J17678),"0.0")&amp;" 十億美元","不需舉債")&amp;"；"&amp;IF(SUM(Sens!F17677:J17677)&lt;COUNT(Sens!F17677:J17677)*bb_target-0.05,"回購較每年 "&amp;TEXT(bb_target,"0.0")&amp;" 的目標少 "&amp;TEXT(COUNT(Sens!F17677:J17677)*bb_target-SUM(Sens!F17677:J17677),"0.0")&amp;" 十億美元（"&amp;TEXT(COUNTIF(Sens!F17677:J17677,"&lt;"&amp;(bb_target-0.05)),"0")&amp;" 年減少）","回購不減")</f>
        <v>需要舉債 26.6 十億美元；回購較每年 22.3 的目標少 66.8 十億美元（3 年減少）</v>
      </c>
    </row>
    <row r="17688" customFormat="false" ht="17.15" hidden="false" customHeight="false" outlineLevel="0" collapsed="false">
      <c r="A17688" s="3" t="s">
        <v>2048</v>
      </c>
    </row>
    <row r="17689" customFormat="false" ht="15" hidden="false" customHeight="false" outlineLevel="0" collapsed="false">
      <c r="A17689" s="4" t="s">
        <v>43</v>
      </c>
      <c r="B17689" s="4" t="s">
        <v>65</v>
      </c>
      <c r="C17689" s="23" t="s">
        <v>942</v>
      </c>
      <c r="D17689" s="23" t="s">
        <v>943</v>
      </c>
      <c r="E17689" s="23" t="s">
        <v>944</v>
      </c>
      <c r="F17689" s="23" t="s">
        <v>945</v>
      </c>
      <c r="G17689" s="23" t="s">
        <v>946</v>
      </c>
      <c r="H17689" s="23" t="s">
        <v>947</v>
      </c>
      <c r="I17689" s="23" t="s">
        <v>948</v>
      </c>
      <c r="J17689" s="23" t="s">
        <v>949</v>
      </c>
      <c r="K17689" s="23" t="s">
        <v>950</v>
      </c>
      <c r="L17689" s="4" t="s">
        <v>47</v>
      </c>
    </row>
    <row r="17690" customFormat="false" ht="17.15" hidden="false" customHeight="false" outlineLevel="0" collapsed="false">
      <c r="A17690" s="1" t="s">
        <v>1216</v>
      </c>
      <c r="B17690" s="1" t="s">
        <v>279</v>
      </c>
      <c r="F17690" s="8" t="n">
        <f aca="false">(1-v_off)*mid_yr</f>
        <v>0.373972602739726</v>
      </c>
      <c r="G17690" s="8" t="n">
        <f aca="false">Sens!G17540-base_fy-mid_yr-v_off</f>
        <v>1.24794520547945</v>
      </c>
      <c r="H17690" s="8" t="n">
        <f aca="false">Sens!H17540-base_fy-mid_yr-v_off</f>
        <v>2.24794520547945</v>
      </c>
      <c r="I17690" s="8" t="n">
        <f aca="false">Sens!I17540-base_fy-mid_yr-v_off</f>
        <v>3.24794520547945</v>
      </c>
      <c r="J17690" s="8" t="n">
        <f aca="false">Sens!J17540-base_fy-mid_yr-v_off</f>
        <v>4.24794520547945</v>
      </c>
      <c r="K17690" s="8" t="n">
        <f aca="false">Sens!K17540-base_fy-mid_yr-v_off</f>
        <v>5.24794520547945</v>
      </c>
      <c r="L17690" s="12" t="s">
        <v>1217</v>
      </c>
    </row>
    <row r="17691" customFormat="false" ht="15" hidden="false" customHeight="false" outlineLevel="0" collapsed="false">
      <c r="A17691" s="1" t="s">
        <v>1218</v>
      </c>
      <c r="B17691" s="1" t="s">
        <v>279</v>
      </c>
      <c r="F17691" s="8" t="n">
        <f aca="false">Sens!F17540-base_fy-v_off</f>
        <v>0.747945205479452</v>
      </c>
      <c r="G17691" s="8" t="n">
        <f aca="false">Sens!G17540-base_fy-v_off</f>
        <v>1.74794520547945</v>
      </c>
      <c r="H17691" s="8" t="n">
        <f aca="false">Sens!H17540-base_fy-v_off</f>
        <v>2.74794520547945</v>
      </c>
      <c r="I17691" s="8" t="n">
        <f aca="false">Sens!I17540-base_fy-v_off</f>
        <v>3.74794520547945</v>
      </c>
      <c r="J17691" s="8" t="n">
        <f aca="false">Sens!J17540-base_fy-v_off</f>
        <v>4.74794520547945</v>
      </c>
      <c r="K17691" s="8" t="n">
        <f aca="false">Sens!K17540-base_fy-v_off</f>
        <v>5.74794520547945</v>
      </c>
    </row>
    <row r="17692" customFormat="false" ht="15" hidden="false" customHeight="false" outlineLevel="0" collapsed="false">
      <c r="A17692" s="1" t="s">
        <v>1219</v>
      </c>
      <c r="B17692" s="0" t="s">
        <v>229</v>
      </c>
      <c r="F17692" s="15" t="n">
        <f aca="false">1/(1+wacc)^Sens!F17690</f>
        <v>0.964022703286649</v>
      </c>
      <c r="G17692" s="15" t="n">
        <f aca="false">1/(1+wacc)^Sens!G17690</f>
        <v>0.884910302296739</v>
      </c>
      <c r="H17692" s="15" t="n">
        <f aca="false">1/(1+wacc)^Sens!H17690</f>
        <v>0.802322009770358</v>
      </c>
      <c r="I17692" s="15" t="n">
        <f aca="false">1/(1+wacc)^Sens!I17690</f>
        <v>0.727441646561469</v>
      </c>
      <c r="J17692" s="15" t="n">
        <f aca="false">1/(1+wacc)^Sens!J17690</f>
        <v>0.659549834988973</v>
      </c>
      <c r="K17692" s="15" t="n">
        <f aca="false">1/(1+wacc)^Sens!K17690</f>
        <v>0.597994336576966</v>
      </c>
    </row>
    <row r="17693" customFormat="false" ht="17.15" hidden="false" customHeight="false" outlineLevel="0" collapsed="false">
      <c r="A17693" s="1" t="s">
        <v>1220</v>
      </c>
      <c r="B17693" s="0" t="s">
        <v>98</v>
      </c>
      <c r="F17693" s="6" t="n">
        <f aca="false">Q!$I$35-Q!$I$39-Q!$I$43</f>
        <v>9.666</v>
      </c>
      <c r="L17693" s="12" t="s">
        <v>1221</v>
      </c>
    </row>
    <row r="17694" customFormat="false" ht="17.15" hidden="false" customHeight="false" outlineLevel="0" collapsed="false">
      <c r="A17694" s="1" t="s">
        <v>1222</v>
      </c>
      <c r="B17694" s="0" t="s">
        <v>98</v>
      </c>
      <c r="F17694" s="6" t="n">
        <f aca="false">Sens!F17665-Sens!F17662-Sens!F17669+Sens!F17647*(1-tax_f)*(1-v_off)-Sens!F17693</f>
        <v>-6.10282680452259</v>
      </c>
      <c r="G17694" s="6" t="n">
        <f aca="false">Sens!G17665-Sens!G17662-Sens!G17669+Sens!G17647*(1-tax_f)</f>
        <v>19.0084129023516</v>
      </c>
      <c r="H17694" s="6" t="n">
        <f aca="false">Sens!H17665-Sens!H17662-Sens!H17669+Sens!H17647*(1-tax_f)</f>
        <v>55.9229468383331</v>
      </c>
      <c r="I17694" s="6" t="n">
        <f aca="false">Sens!I17665-Sens!I17662-Sens!I17669+Sens!I17647*(1-tax_f)</f>
        <v>127.901908576191</v>
      </c>
      <c r="J17694" s="6" t="n">
        <f aca="false">Sens!J17665-Sens!J17662-Sens!J17669+Sens!J17647*(1-tax_f)</f>
        <v>201.958443859638</v>
      </c>
      <c r="K17694" s="6" t="n">
        <f aca="false">Sens!K17665-Sens!K17662-Sens!K17669+Sens!K17647*(1-tax_f)</f>
        <v>237.542519059905</v>
      </c>
      <c r="L17694" s="1" t="s">
        <v>1223</v>
      </c>
    </row>
    <row r="17695" customFormat="false" ht="15" hidden="false" customHeight="false" outlineLevel="0" collapsed="false">
      <c r="A17695" s="1" t="s">
        <v>1224</v>
      </c>
      <c r="B17695" s="0" t="s">
        <v>98</v>
      </c>
      <c r="F17695" s="6" t="n">
        <f aca="false">Sens!F17694*Sens!F17692</f>
        <v>-5.88326359378609</v>
      </c>
      <c r="G17695" s="6" t="n">
        <f aca="false">Sens!G17694*Sens!G17692</f>
        <v>16.8207404076012</v>
      </c>
      <c r="H17695" s="6" t="n">
        <f aca="false">Sens!H17694*Sens!H17692</f>
        <v>44.8682110996123</v>
      </c>
      <c r="I17695" s="6" t="n">
        <f aca="false">Sens!I17694*Sens!I17692</f>
        <v>93.0411749730187</v>
      </c>
      <c r="J17695" s="6" t="n">
        <f aca="false">Sens!J17694*Sens!J17692</f>
        <v>133.201658322254</v>
      </c>
      <c r="K17695" s="6" t="n">
        <f aca="false">Sens!K17694*Sens!K17692</f>
        <v>142.049081094049</v>
      </c>
    </row>
    <row r="17696" customFormat="false" ht="17.15" hidden="false" customHeight="false" outlineLevel="0" collapsed="false">
      <c r="A17696" s="1" t="s">
        <v>1225</v>
      </c>
      <c r="B17696" s="0" t="s">
        <v>98</v>
      </c>
      <c r="C17696" s="6" t="n">
        <f aca="false">SUM(Sens!F17695:K17695)</f>
        <v>424.097602302749</v>
      </c>
    </row>
    <row r="17697" customFormat="false" ht="17.15" hidden="false" customHeight="false" outlineLevel="0" collapsed="false">
      <c r="A17697" s="1" t="s">
        <v>1226</v>
      </c>
      <c r="B17697" s="0" t="s">
        <v>98</v>
      </c>
      <c r="C17697" s="6" t="n">
        <f aca="false">Sens!K17633*(1+g_tv)*(1-tax_f)</f>
        <v>247.098906713682</v>
      </c>
    </row>
    <row r="17698" customFormat="false" ht="17.15" hidden="false" customHeight="false" outlineLevel="0" collapsed="false">
      <c r="A17698" s="1" t="s">
        <v>1227</v>
      </c>
      <c r="B17698" s="0" t="s">
        <v>98</v>
      </c>
      <c r="C17698" s="6" t="n">
        <f aca="false">Sens!$C$17697*(1-g_tv/(wacc+ronic_prem))</f>
        <v>175.084017418113</v>
      </c>
    </row>
    <row r="17699" customFormat="false" ht="17.15" hidden="false" customHeight="false" outlineLevel="0" collapsed="false">
      <c r="A17699" s="1" t="s">
        <v>1228</v>
      </c>
      <c r="B17699" s="0" t="s">
        <v>98</v>
      </c>
      <c r="C17699" s="6" t="n">
        <f aca="false">Sens!$C$17698/(wacc-g_tv)</f>
        <v>2400.4963098523</v>
      </c>
    </row>
    <row r="17700" customFormat="false" ht="15" hidden="false" customHeight="false" outlineLevel="0" collapsed="false">
      <c r="A17700" s="1" t="s">
        <v>1229</v>
      </c>
      <c r="B17700" s="0" t="s">
        <v>98</v>
      </c>
      <c r="C17700" s="6" t="n">
        <f aca="false">Sens!$C$17699/(1+wacc)^Sens!K17691</f>
        <v>1366.85624415645</v>
      </c>
    </row>
    <row r="17701" customFormat="false" ht="17.15" hidden="false" customHeight="false" outlineLevel="0" collapsed="false">
      <c r="A17701" s="0" t="s">
        <v>1230</v>
      </c>
      <c r="B17701" s="0" t="s">
        <v>98</v>
      </c>
      <c r="C17701" s="6" t="n">
        <f aca="false">Sens!$C$17696+Sens!$C$17700</f>
        <v>1790.9538464592</v>
      </c>
    </row>
    <row r="17702" customFormat="false" ht="15" hidden="false" customHeight="false" outlineLevel="0" collapsed="false">
      <c r="A17702" s="1" t="s">
        <v>1145</v>
      </c>
      <c r="B17702" s="0" t="s">
        <v>168</v>
      </c>
      <c r="C17702" s="7" t="n">
        <f aca="false">Sens!$C$17700/Sens!$C$17701</f>
        <v>0.763200149941769</v>
      </c>
    </row>
    <row r="17703" customFormat="false" ht="17.15" hidden="false" customHeight="false" outlineLevel="0" collapsed="false">
      <c r="A17703" s="1" t="s">
        <v>1231</v>
      </c>
      <c r="B17703" s="0" t="s">
        <v>98</v>
      </c>
      <c r="C17703" s="6" t="n">
        <f aca="false">Sens!$C$17701+cash_val-debt_val-fl_val+oai_v</f>
        <v>1906.8048464592</v>
      </c>
    </row>
    <row r="17704" customFormat="false" ht="17.15" hidden="false" customHeight="false" outlineLevel="0" collapsed="false">
      <c r="A17704" s="0" t="s">
        <v>1153</v>
      </c>
      <c r="B17704" s="0" t="s">
        <v>75</v>
      </c>
      <c r="C17704" s="5" t="n">
        <f aca="false">Sens!$C$17703/shd_val</f>
        <v>256.084454265269</v>
      </c>
    </row>
    <row r="17705" customFormat="false" ht="15" hidden="false" customHeight="false" outlineLevel="0" collapsed="false">
      <c r="A17705" s="1" t="s">
        <v>1232</v>
      </c>
      <c r="B17705" s="0" t="s">
        <v>75</v>
      </c>
      <c r="C17705" s="8" t="n">
        <f aca="false">div_rem27+Sens!G17673*roll_div_q/q_per_yr</f>
        <v>3.9795</v>
      </c>
    </row>
    <row r="17706" customFormat="false" ht="17.15" hidden="false" customHeight="false" outlineLevel="0" collapsed="false">
      <c r="A17706" s="0" t="s">
        <v>1233</v>
      </c>
      <c r="B17706" s="0" t="s">
        <v>75</v>
      </c>
      <c r="C17706" s="5" t="n">
        <f aca="false">Sens!$C$17704*(1+wacc)^t_roll-Sens!$C$17705</f>
        <v>280.67266317972</v>
      </c>
    </row>
    <row r="17707" customFormat="false" ht="17.15" hidden="false" customHeight="false" outlineLevel="0" collapsed="false">
      <c r="A17707" s="1" t="s">
        <v>1234</v>
      </c>
      <c r="B17707" s="0" t="s">
        <v>168</v>
      </c>
      <c r="F17707" s="7" t="n">
        <f aca="false">Sens!F17659/(Sens!F17604-Sens!F17559)</f>
        <v>0.068677393452264</v>
      </c>
      <c r="G17707" s="7" t="n">
        <f aca="false">Sens!G17659/(Sens!G17604-Sens!G17559)</f>
        <v>0.0663132664471956</v>
      </c>
      <c r="H17707" s="7" t="n">
        <f aca="false">Sens!H17659/(Sens!H17604-Sens!H17559)</f>
        <v>0.0651363826734039</v>
      </c>
      <c r="I17707" s="7" t="n">
        <f aca="false">Sens!I17659/(Sens!I17604-Sens!I17559)</f>
        <v>0.0650087936347709</v>
      </c>
      <c r="J17707" s="7" t="n">
        <f aca="false">Sens!J17659/(Sens!J17604-Sens!J17559)</f>
        <v>0.0657212684841778</v>
      </c>
      <c r="K17707" s="7" t="n">
        <f aca="false">Sens!K17659/(Sens!K17604-Sens!K17559)</f>
        <v>0.0670413306015285</v>
      </c>
    </row>
    <row r="17708" customFormat="false" ht="17.15" hidden="false" customHeight="false" outlineLevel="0" collapsed="false">
      <c r="A17708" s="0" t="s">
        <v>1235</v>
      </c>
      <c r="B17708" s="0" t="s">
        <v>98</v>
      </c>
      <c r="F17708" s="6" t="n">
        <f aca="false">Sens!F17589*(al_m365+Sens!F17707+sbc_r)</f>
        <v>82.9185219618347</v>
      </c>
      <c r="G17708" s="6" t="n">
        <f aca="false">Sens!G17589*(al_m365+Sens!G17707+sbc_r)</f>
        <v>93.3068052157631</v>
      </c>
      <c r="H17708" s="6" t="n">
        <f aca="false">Sens!H17589*(al_m365+Sens!H17707+sbc_r)</f>
        <v>103.856057136159</v>
      </c>
      <c r="I17708" s="6" t="n">
        <f aca="false">Sens!I17589*(al_m365+Sens!I17707+sbc_r)</f>
        <v>113.889717587147</v>
      </c>
      <c r="J17708" s="6" t="n">
        <f aca="false">Sens!J17589*(al_m365+Sens!J17707+sbc_r)</f>
        <v>123.218477864124</v>
      </c>
      <c r="K17708" s="6" t="n">
        <f aca="false">Sens!K17589*(al_m365+Sens!K17707+sbc_r)</f>
        <v>132.149420086311</v>
      </c>
      <c r="L17708" s="12" t="s">
        <v>1236</v>
      </c>
    </row>
    <row r="17709" customFormat="false" ht="17.15" hidden="false" customHeight="false" outlineLevel="0" collapsed="false">
      <c r="A17709" s="0" t="s">
        <v>1237</v>
      </c>
      <c r="B17709" s="0" t="s">
        <v>98</v>
      </c>
      <c r="F17709" s="6" t="n">
        <f aca="false">Sens!F17590*(al_lic+Sens!F17707+sbc_r)</f>
        <v>32.8599853992256</v>
      </c>
      <c r="G17709" s="6" t="n">
        <f aca="false">Sens!G17590*(al_lic+Sens!G17707+sbc_r)</f>
        <v>34.1568280697879</v>
      </c>
      <c r="H17709" s="6" t="n">
        <f aca="false">Sens!H17590*(al_lic+Sens!H17707+sbc_r)</f>
        <v>35.3635535007213</v>
      </c>
      <c r="I17709" s="6" t="n">
        <f aca="false">Sens!I17590*(al_lic+Sens!I17707+sbc_r)</f>
        <v>36.4604537346553</v>
      </c>
      <c r="J17709" s="6" t="n">
        <f aca="false">Sens!J17590*(al_lic+Sens!J17707+sbc_r)</f>
        <v>37.4245888933574</v>
      </c>
      <c r="K17709" s="6" t="n">
        <f aca="false">Sens!K17590*(al_lic+Sens!K17707+sbc_r)</f>
        <v>38.2321483186439</v>
      </c>
    </row>
    <row r="17710" customFormat="false" ht="17.15" hidden="false" customHeight="false" outlineLevel="0" collapsed="false">
      <c r="A17710" s="0" t="s">
        <v>1238</v>
      </c>
      <c r="B17710" s="0" t="s">
        <v>98</v>
      </c>
      <c r="F17710" s="6" t="n">
        <f aca="false">Sens!F17592*(al_ind+Sens!F17707+sbc_r)</f>
        <v>9.06170747885803</v>
      </c>
      <c r="G17710" s="6" t="n">
        <f aca="false">Sens!G17592*(al_ind+Sens!G17707+sbc_r)</f>
        <v>9.8478979082138</v>
      </c>
      <c r="H17710" s="6" t="n">
        <f aca="false">Sens!H17592*(al_ind+Sens!H17707+sbc_r)</f>
        <v>10.6768254332059</v>
      </c>
      <c r="I17710" s="6" t="n">
        <f aca="false">Sens!I17592*(al_ind+Sens!I17707+sbc_r)</f>
        <v>11.54398793803</v>
      </c>
      <c r="J17710" s="6" t="n">
        <f aca="false">Sens!J17592*(al_ind+Sens!J17707+sbc_r)</f>
        <v>12.4407914253112</v>
      </c>
      <c r="K17710" s="6" t="n">
        <f aca="false">Sens!K17592*(al_ind+Sens!K17707+sbc_r)</f>
        <v>13.355239066864</v>
      </c>
    </row>
    <row r="17711" customFormat="false" ht="17.15" hidden="false" customHeight="false" outlineLevel="0" collapsed="false">
      <c r="A17711" s="0" t="s">
        <v>1239</v>
      </c>
      <c r="B17711" s="0" t="s">
        <v>98</v>
      </c>
      <c r="F17711" s="6" t="n">
        <f aca="false">Sens!F17594*(al_fro+Sens!F17707+sbc_r)</f>
        <v>3.55453569939552</v>
      </c>
      <c r="G17711" s="6" t="n">
        <f aca="false">Sens!G17594*(al_fro+Sens!G17707+sbc_r)</f>
        <v>3.76809436159872</v>
      </c>
      <c r="H17711" s="6" t="n">
        <f aca="false">Sens!H17594*(al_fro+Sens!H17707+sbc_r)</f>
        <v>4.00964905674607</v>
      </c>
      <c r="I17711" s="6" t="n">
        <f aca="false">Sens!I17594*(al_fro+Sens!I17707+sbc_r)</f>
        <v>4.28152633145235</v>
      </c>
      <c r="J17711" s="6" t="n">
        <f aca="false">Sens!J17594*(al_fro+Sens!J17707+sbc_r)</f>
        <v>4.58536512975975</v>
      </c>
      <c r="K17711" s="6" t="n">
        <f aca="false">Sens!K17594*(al_fro+Sens!K17707+sbc_r)</f>
        <v>4.92240770086468</v>
      </c>
    </row>
    <row r="17712" customFormat="false" ht="17.15" hidden="false" customHeight="false" outlineLevel="0" collapsed="false">
      <c r="A17712" s="0" t="s">
        <v>1240</v>
      </c>
      <c r="B17712" s="0" t="s">
        <v>98</v>
      </c>
      <c r="F17712" s="6" t="n">
        <f aca="false">Sens!F17597*(al_srch+Sens!F17707+sbc_r)</f>
        <v>11.190683952584</v>
      </c>
      <c r="G17712" s="6" t="n">
        <f aca="false">Sens!G17597*(al_srch+Sens!G17707+sbc_r)</f>
        <v>12.2763328717258</v>
      </c>
      <c r="H17712" s="6" t="n">
        <f aca="false">Sens!H17597*(al_srch+Sens!H17707+sbc_r)</f>
        <v>13.4043563346576</v>
      </c>
      <c r="I17712" s="6" t="n">
        <f aca="false">Sens!I17597*(al_srch+Sens!I17707+sbc_r)</f>
        <v>14.5621512181916</v>
      </c>
      <c r="J17712" s="6" t="n">
        <f aca="false">Sens!J17597*(al_srch+Sens!J17707+sbc_r)</f>
        <v>15.7310381862385</v>
      </c>
      <c r="K17712" s="6" t="n">
        <f aca="false">Sens!K17597*(al_srch+Sens!K17707+sbc_r)</f>
        <v>16.8873320486462</v>
      </c>
    </row>
    <row r="17713" customFormat="false" ht="17.15" hidden="false" customHeight="false" outlineLevel="0" collapsed="false">
      <c r="A17713" s="0" t="s">
        <v>1241</v>
      </c>
      <c r="B17713" s="0" t="s">
        <v>98</v>
      </c>
      <c r="F17713" s="6" t="n">
        <f aca="false">Sens!F17565-Sens!F17566+Sens!F17647</f>
        <v>38.9696429794913</v>
      </c>
      <c r="G17713" s="6" t="n">
        <f aca="false">Sens!G17565-Sens!G17566+Sens!G17647</f>
        <v>69.465497726016</v>
      </c>
      <c r="H17713" s="6" t="n">
        <f aca="false">Sens!H17565-Sens!H17566+Sens!H17647</f>
        <v>96.8147106808268</v>
      </c>
      <c r="I17713" s="6" t="n">
        <f aca="false">Sens!I17565-Sens!I17566+Sens!I17647</f>
        <v>127.654939766446</v>
      </c>
      <c r="J17713" s="6" t="n">
        <f aca="false">Sens!J17565-Sens!J17566+Sens!J17647</f>
        <v>149.308352681229</v>
      </c>
      <c r="K17713" s="6" t="n">
        <f aca="false">Sens!K17565-Sens!K17566+Sens!K17647</f>
        <v>162.731822021841</v>
      </c>
    </row>
    <row r="17714" customFormat="false" ht="17.15" hidden="false" customHeight="false" outlineLevel="0" collapsed="false">
      <c r="A17714" s="0" t="s">
        <v>1242</v>
      </c>
      <c r="B17714" s="0" t="s">
        <v>98</v>
      </c>
      <c r="F17714" s="6" t="n">
        <f aca="false">Sens!F17626+Sens!F17647+Sens!F17577+Sens!F17707*(Sens!F17596-Sens!F17559)+sbc_r*Sens!F17596</f>
        <v>234.79972328186</v>
      </c>
      <c r="G17714" s="6" t="n">
        <f aca="false">Sens!G17626+Sens!G17647+Sens!G17577+Sens!G17707*(Sens!G17596-Sens!G17559)+sbc_r*Sens!G17596</f>
        <v>285.499052659517</v>
      </c>
      <c r="H17714" s="6" t="n">
        <f aca="false">Sens!H17626+Sens!H17647+Sens!H17577+Sens!H17707*(Sens!H17596-Sens!H17559)+sbc_r*Sens!H17596</f>
        <v>338.258569294547</v>
      </c>
      <c r="I17714" s="6" t="n">
        <f aca="false">Sens!I17626+Sens!I17647+Sens!I17577+Sens!I17707*(Sens!I17596-Sens!I17559)+sbc_r*Sens!I17596</f>
        <v>393.887902526982</v>
      </c>
      <c r="J17714" s="6" t="n">
        <f aca="false">Sens!J17626+Sens!J17647+Sens!J17577+Sens!J17707*(Sens!J17596-Sens!J17559)+sbc_r*Sens!J17596</f>
        <v>438.406631506078</v>
      </c>
      <c r="K17714" s="6" t="n">
        <f aca="false">Sens!K17626+Sens!K17647+Sens!K17577+Sens!K17707*(Sens!K17596-Sens!K17559)+sbc_r*Sens!K17596</f>
        <v>472.352875745143</v>
      </c>
    </row>
    <row r="17715" customFormat="false" ht="17.15" hidden="false" customHeight="false" outlineLevel="0" collapsed="false">
      <c r="A17715" s="0" t="s">
        <v>1243</v>
      </c>
      <c r="B17715" s="0" t="s">
        <v>98</v>
      </c>
      <c r="F17715" s="6" t="n">
        <f aca="false">Sens!F17714-Sens!F17708-Sens!F17709-Sens!F17710-Sens!F17711-Sens!F17713</f>
        <v>67.4353297630543</v>
      </c>
      <c r="G17715" s="6" t="n">
        <f aca="false">Sens!G17714-Sens!G17708-Sens!G17709-Sens!G17710-Sens!G17711-Sens!G17713</f>
        <v>74.9539293781376</v>
      </c>
      <c r="H17715" s="6" t="n">
        <f aca="false">Sens!H17714-Sens!H17708-Sens!H17709-Sens!H17710-Sens!H17711-Sens!H17713</f>
        <v>87.537773486888</v>
      </c>
      <c r="I17715" s="6" t="n">
        <f aca="false">Sens!I17714-Sens!I17708-Sens!I17709-Sens!I17710-Sens!I17711-Sens!I17713</f>
        <v>100.057277169252</v>
      </c>
      <c r="J17715" s="6" t="n">
        <f aca="false">Sens!J17714-Sens!J17708-Sens!J17709-Sens!J17710-Sens!J17711-Sens!J17713</f>
        <v>111.429055512297</v>
      </c>
      <c r="K17715" s="6" t="n">
        <f aca="false">Sens!K17714-Sens!K17708-Sens!K17709-Sens!K17710-Sens!K17711-Sens!K17713</f>
        <v>120.961838550618</v>
      </c>
    </row>
    <row r="17716" customFormat="false" ht="17.15" hidden="false" customHeight="false" outlineLevel="0" collapsed="false">
      <c r="A17716" s="0" t="s">
        <v>1244</v>
      </c>
      <c r="B17716" s="0" t="s">
        <v>98</v>
      </c>
      <c r="F17716" s="6" t="n">
        <f aca="false">Sens!F17628+Sens!F17707*Sens!F17603+sbc_r*Sens!F17603</f>
        <v>26.6373549789235</v>
      </c>
      <c r="G17716" s="6" t="n">
        <f aca="false">Sens!G17628+Sens!G17707*Sens!G17603+sbc_r*Sens!G17603</f>
        <v>26.5038922765853</v>
      </c>
      <c r="H17716" s="6" t="n">
        <f aca="false">Sens!H17628+Sens!H17707*Sens!H17603+sbc_r*Sens!H17603</f>
        <v>27.3981100014792</v>
      </c>
      <c r="I17716" s="6" t="n">
        <f aca="false">Sens!I17628+Sens!I17707*Sens!I17603+sbc_r*Sens!I17603</f>
        <v>28.5176442589239</v>
      </c>
      <c r="J17716" s="6" t="n">
        <f aca="false">Sens!J17628+Sens!J17707*Sens!J17603+sbc_r*Sens!J17603</f>
        <v>29.8313998963726</v>
      </c>
      <c r="K17716" s="6" t="n">
        <f aca="false">Sens!K17628+Sens!K17707*Sens!K17603+sbc_r*Sens!K17603</f>
        <v>31.3103466222307</v>
      </c>
    </row>
    <row r="17717" customFormat="false" ht="17.15" hidden="false" customHeight="false" outlineLevel="0" collapsed="false">
      <c r="A17717" s="0" t="s">
        <v>1245</v>
      </c>
      <c r="B17717" s="0" t="s">
        <v>98</v>
      </c>
      <c r="F17717" s="6" t="n">
        <f aca="false">(Sens!F17716-Sens!F17712)*Sens!F17599/(Sens!F17599+Sens!F17601)</f>
        <v>8.72405610479892</v>
      </c>
      <c r="G17717" s="6" t="n">
        <f aca="false">(Sens!G17716-Sens!G17712)*Sens!G17599/(Sens!G17599+Sens!G17601)</f>
        <v>7.897418765869</v>
      </c>
      <c r="H17717" s="6" t="n">
        <f aca="false">(Sens!H17716-Sens!H17712)*Sens!H17599/(Sens!H17599+Sens!H17601)</f>
        <v>7.66644879573063</v>
      </c>
      <c r="I17717" s="6" t="n">
        <f aca="false">(Sens!I17716-Sens!I17712)*Sens!I17599/(Sens!I17599+Sens!I17601)</f>
        <v>7.5787545031814</v>
      </c>
      <c r="J17717" s="6" t="n">
        <f aca="false">(Sens!J17716-Sens!J17712)*Sens!J17599/(Sens!J17599+Sens!J17601)</f>
        <v>7.62401876450459</v>
      </c>
      <c r="K17717" s="6" t="n">
        <f aca="false">(Sens!K17716-Sens!K17712)*Sens!K17599/(Sens!K17599+Sens!K17601)</f>
        <v>7.79847609658838</v>
      </c>
    </row>
    <row r="17718" customFormat="false" ht="17.15" hidden="false" customHeight="false" outlineLevel="0" collapsed="false">
      <c r="A17718" s="0" t="s">
        <v>1246</v>
      </c>
      <c r="B17718" s="0" t="s">
        <v>98</v>
      </c>
      <c r="F17718" s="6" t="n">
        <f aca="false">Sens!F17716-Sens!F17712-Sens!F17717</f>
        <v>6.72261492154066</v>
      </c>
      <c r="G17718" s="6" t="n">
        <f aca="false">Sens!G17716-Sens!G17712-Sens!G17717</f>
        <v>6.33014063899044</v>
      </c>
      <c r="H17718" s="6" t="n">
        <f aca="false">Sens!H17716-Sens!H17712-Sens!H17717</f>
        <v>6.32730487109095</v>
      </c>
      <c r="I17718" s="6" t="n">
        <f aca="false">Sens!I17716-Sens!I17712-Sens!I17717</f>
        <v>6.37673853755084</v>
      </c>
      <c r="J17718" s="6" t="n">
        <f aca="false">Sens!J17716-Sens!J17712-Sens!J17717</f>
        <v>6.47634294562954</v>
      </c>
      <c r="K17718" s="6" t="n">
        <f aca="false">Sens!K17716-Sens!K17712-Sens!K17717</f>
        <v>6.62453847699607</v>
      </c>
    </row>
    <row r="17719" customFormat="false" ht="17.15" hidden="false" customHeight="false" outlineLevel="0" collapsed="false">
      <c r="A17719" s="0" t="s">
        <v>1247</v>
      </c>
      <c r="B17719" s="0" t="s">
        <v>98</v>
      </c>
      <c r="F17719" s="6" t="n">
        <f aca="false">Sens!F17713-tax_f*(Sens!F17713-Sens!F17577)-Sens!F17574</f>
        <v>-130.362326762856</v>
      </c>
      <c r="G17719" s="6" t="n">
        <f aca="false">Sens!G17713-tax_f*(Sens!G17713-Sens!G17577)-Sens!G17574</f>
        <v>-124.225179337776</v>
      </c>
      <c r="H17719" s="6" t="n">
        <f aca="false">Sens!H17713-tax_f*(Sens!H17713-Sens!H17577)-Sens!H17574</f>
        <v>-101.534217387562</v>
      </c>
      <c r="I17719" s="6" t="n">
        <f aca="false">Sens!I17713-tax_f*(Sens!I17713-Sens!I17577)-Sens!I17574</f>
        <v>-43.6446798695439</v>
      </c>
      <c r="J17719" s="6" t="n">
        <f aca="false">Sens!J17713-tax_f*(Sens!J17713-Sens!J17577)-Sens!J17574</f>
        <v>16.9198855589618</v>
      </c>
      <c r="K17719" s="6" t="n">
        <f aca="false">Sens!K17713-tax_f*(Sens!K17713-Sens!K17577)-Sens!K17574</f>
        <v>39.8251384629271</v>
      </c>
    </row>
    <row r="17720" customFormat="false" ht="17.15" hidden="false" customHeight="false" outlineLevel="0" collapsed="false">
      <c r="A17720" s="0" t="s">
        <v>1248</v>
      </c>
      <c r="B17720" s="0" t="s">
        <v>98</v>
      </c>
      <c r="G17720" s="6" t="n">
        <f aca="false">Sens!G17719/(1+wacc)^(Sens!G17690-Sens!F17691)</f>
        <v>-118.286276192192</v>
      </c>
      <c r="H17720" s="6" t="n">
        <f aca="false">Sens!H17719/(1+wacc)^(Sens!H17690-Sens!F17691)</f>
        <v>-87.6570009910427</v>
      </c>
      <c r="I17720" s="6" t="n">
        <f aca="false">Sens!I17719/(1+wacc)^(Sens!I17690-Sens!F17691)</f>
        <v>-34.1629172979204</v>
      </c>
      <c r="J17720" s="6" t="n">
        <f aca="false">Sens!J17719/(1+wacc)^(Sens!J17690-Sens!F17691)</f>
        <v>12.0079954170053</v>
      </c>
      <c r="K17720" s="6" t="n">
        <f aca="false">Sens!K17719/(1+wacc)^(Sens!K17690-Sens!F17691)</f>
        <v>25.6259421582556</v>
      </c>
      <c r="L17720" s="1" t="s">
        <v>1249</v>
      </c>
    </row>
    <row r="17721" customFormat="false" ht="17.15" hidden="false" customHeight="false" outlineLevel="0" collapsed="false">
      <c r="A17721" s="0" t="s">
        <v>1250</v>
      </c>
      <c r="B17721" s="0" t="s">
        <v>98</v>
      </c>
      <c r="C17721" s="6" t="n">
        <f aca="false">(Sens!K17713-Sens!K17577)*(1-tax_f)*(1+g_tv)*(1-g_tv/(wacc+ronic_prem))/(wacc-g_tv)/(1+wacc)^(Sens!K17691-Sens!F17691)</f>
        <v>96.7148026864948</v>
      </c>
    </row>
    <row r="17722" customFormat="false" ht="17.15" hidden="false" customHeight="false" outlineLevel="0" collapsed="false">
      <c r="A17722" s="1" t="s">
        <v>1251</v>
      </c>
      <c r="B17722" s="0" t="s">
        <v>98</v>
      </c>
      <c r="C17722" s="6" t="n">
        <f aca="false">(SUM(Sens!G17720:K17720)+Sens!$C$17721)*(1+wacc)^(t_roll-Sens!F17691)</f>
        <v>-109.248827617462</v>
      </c>
      <c r="L17722" s="12" t="s">
        <v>1252</v>
      </c>
    </row>
    <row r="17723" customFormat="false" ht="17.15" hidden="false" customHeight="false" outlineLevel="0" collapsed="false">
      <c r="A17723" s="1" t="s">
        <v>1253</v>
      </c>
      <c r="B17723" s="0" t="s">
        <v>98</v>
      </c>
      <c r="C17723" s="6" t="n">
        <f aca="false">(w_ntm28*Sens!G17565+(1-w_ntm28)*Sens!H17565)*m_ai</f>
        <v>344.355829012336</v>
      </c>
    </row>
    <row r="17724" customFormat="false" ht="17.15" hidden="false" customHeight="false" outlineLevel="0" collapsed="false">
      <c r="A17724" s="1" t="s">
        <v>1254</v>
      </c>
      <c r="B17724" s="0" t="s">
        <v>98</v>
      </c>
      <c r="C17724" s="6" t="n">
        <f aca="false">(w_ntm28*Sens!G17715+(1-w_ntm28)*Sens!H17715)*m_cloud</f>
        <v>1093.03877543039</v>
      </c>
    </row>
    <row r="17725" customFormat="false" ht="17.15" hidden="false" customHeight="false" outlineLevel="0" collapsed="false">
      <c r="A17725" s="1" t="s">
        <v>1255</v>
      </c>
      <c r="B17725" s="0" t="s">
        <v>98</v>
      </c>
      <c r="C17725" s="6" t="n">
        <f aca="false">(w_ntm28*Sens!G17708+(1-w_ntm28)*Sens!H17708)*m_sw</f>
        <v>1045.17056616266</v>
      </c>
    </row>
    <row r="17726" customFormat="false" ht="17.15" hidden="false" customHeight="false" outlineLevel="0" collapsed="false">
      <c r="A17726" s="1" t="s">
        <v>1256</v>
      </c>
      <c r="B17726" s="0" t="s">
        <v>98</v>
      </c>
      <c r="C17726" s="6" t="n">
        <f aca="false">(w_ntm28*Sens!G17709+(1-w_ntm28)*Sens!H17709)*m_sw</f>
        <v>373.178444957791</v>
      </c>
    </row>
    <row r="17727" customFormat="false" ht="17.15" hidden="false" customHeight="false" outlineLevel="0" collapsed="false">
      <c r="A17727" s="1" t="s">
        <v>1257</v>
      </c>
      <c r="B17727" s="0" t="s">
        <v>98</v>
      </c>
      <c r="C17727" s="6" t="n">
        <f aca="false">(w_ntm28*Sens!G17710+(1-w_ntm28)*Sens!H17710)*m_sw</f>
        <v>109.30055788101</v>
      </c>
    </row>
    <row r="17728" customFormat="false" ht="17.15" hidden="false" customHeight="false" outlineLevel="0" collapsed="false">
      <c r="A17728" s="1" t="s">
        <v>1258</v>
      </c>
      <c r="B17728" s="0" t="s">
        <v>98</v>
      </c>
      <c r="C17728" s="6" t="n">
        <f aca="false">(w_ntm28*Sens!G17711+(1-w_ntm28)*Sens!H17711)*m_sw</f>
        <v>41.5531037214606</v>
      </c>
    </row>
    <row r="17729" customFormat="false" ht="17.15" hidden="false" customHeight="false" outlineLevel="0" collapsed="false">
      <c r="A17729" s="1" t="s">
        <v>1259</v>
      </c>
      <c r="B17729" s="0" t="s">
        <v>98</v>
      </c>
      <c r="C17729" s="6" t="n">
        <f aca="false">(w_ntm28*Sens!G17712+(1-w_ntm28)*Sens!H17712)*m_ads</f>
        <v>115.215899994784</v>
      </c>
    </row>
    <row r="17730" customFormat="false" ht="17.15" hidden="false" customHeight="false" outlineLevel="0" collapsed="false">
      <c r="A17730" s="1" t="s">
        <v>1260</v>
      </c>
      <c r="B17730" s="0" t="s">
        <v>98</v>
      </c>
      <c r="C17730" s="6" t="n">
        <f aca="false">(w_ntm28*Sens!G17717+(1-w_ntm28)*Sens!H17717)*m_game</f>
        <v>98.7853357615783</v>
      </c>
    </row>
    <row r="17731" customFormat="false" ht="17.15" hidden="false" customHeight="false" outlineLevel="0" collapsed="false">
      <c r="A17731" s="1" t="s">
        <v>1261</v>
      </c>
      <c r="B17731" s="0" t="s">
        <v>98</v>
      </c>
      <c r="C17731" s="6" t="n">
        <f aca="false">(w_ntm28*Sens!G17718+(1-w_ntm28)*Sens!H17718)*m_pc</f>
        <v>91.5836445602173</v>
      </c>
    </row>
    <row r="17732" customFormat="false" ht="17.15" hidden="false" customHeight="false" outlineLevel="0" collapsed="false">
      <c r="A17732" s="1" t="s">
        <v>1262</v>
      </c>
      <c r="B17732" s="0" t="s">
        <v>98</v>
      </c>
      <c r="C17732" s="6" t="n">
        <f aca="false">Sens!$C$17722+Sens!$C$17724+Sens!$C$17725+Sens!$C$17726+Sens!$C$17727+Sens!$C$17728+Sens!$C$17729+Sens!$C$17730+Sens!$C$17731</f>
        <v>2858.57750085243</v>
      </c>
    </row>
    <row r="17733" customFormat="false" ht="17.15" hidden="false" customHeight="false" outlineLevel="0" collapsed="false">
      <c r="A17733" s="1" t="s">
        <v>1263</v>
      </c>
      <c r="B17733" s="0" t="s">
        <v>98</v>
      </c>
      <c r="C17733" s="6" t="n">
        <f aca="false">(Sens!G17694-Sens!G17719)*t_stub</f>
        <v>47.4829168796038</v>
      </c>
      <c r="L17733" s="1" t="s">
        <v>1264</v>
      </c>
    </row>
    <row r="17734" customFormat="false" ht="17.15" hidden="false" customHeight="false" outlineLevel="0" collapsed="false">
      <c r="A17734" s="1" t="s">
        <v>1173</v>
      </c>
      <c r="B17734" s="0" t="s">
        <v>98</v>
      </c>
      <c r="C17734" s="6" t="n">
        <f aca="false">Sens!F17681+oai_v-Sens!F17670+Sens!$C$17733</f>
        <v>158.55427008544</v>
      </c>
      <c r="L17734" s="1" t="s">
        <v>1265</v>
      </c>
    </row>
    <row r="17735" customFormat="false" ht="17.15" hidden="false" customHeight="false" outlineLevel="0" collapsed="false">
      <c r="A17735" s="1" t="s">
        <v>1266</v>
      </c>
      <c r="B17735" s="0" t="s">
        <v>75</v>
      </c>
      <c r="C17735" s="5" t="n">
        <f aca="false">(Sens!$C$17732+Sens!$C$17734)/(Sens!F17683+dil_gap)-Sens!G17673*roll_div_q/q_per_yr</f>
        <v>401.459402206225</v>
      </c>
      <c r="L17735" s="1" t="s">
        <v>1267</v>
      </c>
    </row>
    <row r="17736" customFormat="false" ht="17.15" hidden="false" customHeight="false" outlineLevel="0" collapsed="false">
      <c r="A17736" s="1" t="s">
        <v>1268</v>
      </c>
      <c r="B17736" s="0" t="s">
        <v>75</v>
      </c>
      <c r="C17736" s="5" t="n">
        <f aca="false">w_dcf*Sens!$C$17706+(1-w_dcf)*Sens!$C$17735</f>
        <v>341.066032692973</v>
      </c>
    </row>
    <row r="17737" customFormat="false" ht="17.15" hidden="false" customHeight="false" outlineLevel="0" collapsed="false">
      <c r="A17737" s="3" t="s">
        <v>2049</v>
      </c>
    </row>
    <row r="17738" customFormat="false" ht="15" hidden="false" customHeight="false" outlineLevel="0" collapsed="false">
      <c r="A17738" s="4" t="s">
        <v>43</v>
      </c>
      <c r="B17738" s="4" t="s">
        <v>65</v>
      </c>
      <c r="C17738" s="23" t="s">
        <v>942</v>
      </c>
      <c r="D17738" s="23" t="s">
        <v>943</v>
      </c>
      <c r="E17738" s="23" t="s">
        <v>944</v>
      </c>
      <c r="F17738" s="23" t="s">
        <v>945</v>
      </c>
      <c r="G17738" s="23" t="s">
        <v>946</v>
      </c>
      <c r="H17738" s="23" t="s">
        <v>947</v>
      </c>
      <c r="I17738" s="23" t="s">
        <v>948</v>
      </c>
      <c r="J17738" s="23" t="s">
        <v>949</v>
      </c>
      <c r="K17738" s="23" t="s">
        <v>950</v>
      </c>
      <c r="L17738" s="4" t="s">
        <v>47</v>
      </c>
    </row>
    <row r="17739" customFormat="false" ht="17.15" hidden="false" customHeight="false" outlineLevel="0" collapsed="false">
      <c r="A17739" s="1" t="s">
        <v>951</v>
      </c>
      <c r="B17739" s="1" t="s">
        <v>279</v>
      </c>
      <c r="C17739" s="21" t="n">
        <v>2024</v>
      </c>
      <c r="D17739" s="21" t="n">
        <v>2025</v>
      </c>
      <c r="E17739" s="21" t="n">
        <v>2026</v>
      </c>
      <c r="F17739" s="21" t="n">
        <v>2027</v>
      </c>
      <c r="G17739" s="21" t="n">
        <v>2028</v>
      </c>
      <c r="H17739" s="21" t="n">
        <v>2029</v>
      </c>
      <c r="I17739" s="21" t="n">
        <v>2030</v>
      </c>
      <c r="J17739" s="21" t="n">
        <v>2031</v>
      </c>
      <c r="K17739" s="21" t="n">
        <v>2032</v>
      </c>
    </row>
    <row r="17740" customFormat="false" ht="17.15" hidden="false" customHeight="false" outlineLevel="0" collapsed="false">
      <c r="A17740" s="1" t="s">
        <v>952</v>
      </c>
      <c r="B17740" s="0" t="s">
        <v>459</v>
      </c>
      <c r="F17740" s="30" t="n">
        <f aca="false">pace</f>
        <v>2726.5351</v>
      </c>
      <c r="G17740" s="30" t="n">
        <f aca="false">pace</f>
        <v>2726.5351</v>
      </c>
      <c r="H17740" s="30" t="n">
        <f aca="false">pace</f>
        <v>2726.5351</v>
      </c>
      <c r="I17740" s="30" t="n">
        <f aca="false">pace+(g_tv*Sens!H17741-pace)*MIN(1,(Sens!I17739-pace_y0)/(pace_y1-pace_y0))</f>
        <v>1931.98611966667</v>
      </c>
      <c r="J17740" s="30" t="n">
        <f aca="false">pace+(g_tv*Sens!I17741-pace)*MIN(1,(Sens!J17739-pace_y0)/(pace_y1-pace_y0))</f>
        <v>1176.07686172667</v>
      </c>
      <c r="K17740" s="30" t="n">
        <f aca="false">pace+(g_tv*Sens!J17741-pace)*MIN(1,(Sens!K17739-pace_y0)/(pace_y1-pace_y0))</f>
        <v>436.1300484418</v>
      </c>
      <c r="L17740" s="12" t="s">
        <v>953</v>
      </c>
    </row>
    <row r="17741" customFormat="false" ht="17.15" hidden="false" customHeight="false" outlineLevel="0" collapsed="false">
      <c r="A17741" s="1" t="s">
        <v>954</v>
      </c>
      <c r="B17741" s="0" t="s">
        <v>459</v>
      </c>
      <c r="C17741" s="30" t="n">
        <f aca="false">mw_ext_24</f>
        <v>640</v>
      </c>
      <c r="D17741" s="30" t="n">
        <f aca="false">mw_ext_25</f>
        <v>1630</v>
      </c>
      <c r="E17741" s="30" t="n">
        <f aca="false">mw_ext_26</f>
        <v>3250</v>
      </c>
      <c r="F17741" s="30" t="n">
        <f aca="false">Sens!E17741+Sens!F17740</f>
        <v>5976.5351</v>
      </c>
      <c r="G17741" s="30" t="n">
        <f aca="false">Sens!F17741+Sens!G17740</f>
        <v>8703.0702</v>
      </c>
      <c r="H17741" s="30" t="n">
        <f aca="false">Sens!G17741+Sens!H17740</f>
        <v>11429.6053</v>
      </c>
      <c r="I17741" s="30" t="n">
        <f aca="false">Sens!H17741+Sens!I17740</f>
        <v>13361.5914196667</v>
      </c>
      <c r="J17741" s="30" t="n">
        <f aca="false">Sens!I17741+Sens!J17740</f>
        <v>14537.6682813933</v>
      </c>
      <c r="K17741" s="30" t="n">
        <f aca="false">Sens!J17741+Sens!K17740</f>
        <v>14973.7983298351</v>
      </c>
      <c r="L17741" s="1" t="s">
        <v>955</v>
      </c>
    </row>
    <row r="17742" customFormat="false" ht="17.15" hidden="false" customHeight="false" outlineLevel="0" collapsed="false">
      <c r="A17742" s="1" t="s">
        <v>956</v>
      </c>
      <c r="B17742" s="0" t="s">
        <v>459</v>
      </c>
      <c r="C17742" s="30" t="n">
        <f aca="false">rent_ext_24</f>
        <v>150</v>
      </c>
      <c r="D17742" s="30" t="n">
        <f aca="false">rent_ext_25</f>
        <v>400</v>
      </c>
      <c r="E17742" s="30" t="n">
        <f aca="false">rent_ext_26</f>
        <v>550</v>
      </c>
      <c r="F17742" s="30" t="n">
        <f aca="false">rent_ext_f</f>
        <v>756</v>
      </c>
      <c r="G17742" s="30" t="n">
        <f aca="false">rent_ext_f</f>
        <v>756</v>
      </c>
      <c r="H17742" s="30" t="n">
        <f aca="false">rent_ext_f</f>
        <v>756</v>
      </c>
      <c r="I17742" s="30" t="n">
        <f aca="false">rent_ext_f</f>
        <v>756</v>
      </c>
      <c r="J17742" s="30" t="n">
        <f aca="false">rent_ext_f</f>
        <v>756</v>
      </c>
      <c r="K17742" s="30" t="n">
        <f aca="false">rent_ext_f</f>
        <v>756</v>
      </c>
      <c r="L17742" s="1" t="s">
        <v>957</v>
      </c>
    </row>
    <row r="17743" customFormat="false" ht="17.15" hidden="false" customHeight="false" outlineLevel="0" collapsed="false">
      <c r="A17743" s="1" t="s">
        <v>958</v>
      </c>
      <c r="B17743" s="0" t="s">
        <v>459</v>
      </c>
      <c r="C17743" s="30" t="n">
        <f aca="false">Sens!C17741-Sens!C17742</f>
        <v>490</v>
      </c>
      <c r="D17743" s="30" t="n">
        <f aca="false">Sens!D17741-Sens!D17742</f>
        <v>1230</v>
      </c>
      <c r="E17743" s="30" t="n">
        <f aca="false">Sens!E17741-Sens!E17742</f>
        <v>2700</v>
      </c>
      <c r="F17743" s="30" t="n">
        <f aca="false">Sens!F17741-Sens!F17742</f>
        <v>5220.5351</v>
      </c>
      <c r="G17743" s="30" t="n">
        <f aca="false">Sens!G17741-Sens!G17742</f>
        <v>7947.0702</v>
      </c>
      <c r="H17743" s="30" t="n">
        <f aca="false">Sens!H17741-Sens!H17742</f>
        <v>10673.6053</v>
      </c>
      <c r="I17743" s="30" t="n">
        <f aca="false">Sens!I17741-Sens!I17742</f>
        <v>12605.5914196667</v>
      </c>
      <c r="J17743" s="30" t="n">
        <f aca="false">Sens!J17741-Sens!J17742</f>
        <v>13781.6682813933</v>
      </c>
      <c r="K17743" s="30" t="n">
        <f aca="false">Sens!K17741-Sens!K17742</f>
        <v>14217.7983298351</v>
      </c>
    </row>
    <row r="17744" customFormat="false" ht="17.15" hidden="false" customHeight="false" outlineLevel="0" collapsed="false">
      <c r="A17744" s="1" t="s">
        <v>959</v>
      </c>
      <c r="B17744" s="0" t="s">
        <v>459</v>
      </c>
      <c r="C17744" s="30" t="n">
        <f aca="false">Sens!C17743/ext_sh</f>
        <v>816.666666666667</v>
      </c>
      <c r="D17744" s="30" t="n">
        <f aca="false">Sens!D17743/ext_sh</f>
        <v>2050</v>
      </c>
      <c r="E17744" s="30" t="n">
        <f aca="false">Sens!E17743/ext_sh</f>
        <v>4500</v>
      </c>
      <c r="F17744" s="30" t="n">
        <f aca="false">Sens!F17743/ext_sh</f>
        <v>8700.89183333333</v>
      </c>
      <c r="G17744" s="30" t="n">
        <f aca="false">Sens!G17743/ext_sh</f>
        <v>13245.117</v>
      </c>
      <c r="H17744" s="30" t="n">
        <f aca="false">Sens!H17743/ext_sh</f>
        <v>17789.3421666667</v>
      </c>
      <c r="I17744" s="30" t="n">
        <f aca="false">Sens!I17743/ext_sh</f>
        <v>21009.3190327778</v>
      </c>
      <c r="J17744" s="30" t="n">
        <f aca="false">Sens!J17743/ext_sh</f>
        <v>22969.4471356556</v>
      </c>
      <c r="K17744" s="30" t="n">
        <f aca="false">Sens!K17743/ext_sh</f>
        <v>23696.3305497252</v>
      </c>
      <c r="L17744" s="1" t="s">
        <v>960</v>
      </c>
    </row>
    <row r="17745" customFormat="false" ht="17.15" hidden="false" customHeight="false" outlineLevel="0" collapsed="false">
      <c r="A17745" s="1" t="s">
        <v>961</v>
      </c>
      <c r="B17745" s="0" t="s">
        <v>459</v>
      </c>
      <c r="C17745" s="30" t="n">
        <f aca="false">Sens!C17744-Sens!C17743</f>
        <v>326.666666666667</v>
      </c>
      <c r="D17745" s="30" t="n">
        <f aca="false">Sens!D17744-Sens!D17743</f>
        <v>820</v>
      </c>
      <c r="E17745" s="30" t="n">
        <f aca="false">Sens!E17744-Sens!E17743</f>
        <v>1800</v>
      </c>
      <c r="F17745" s="30" t="n">
        <f aca="false">Sens!F17744-Sens!F17743</f>
        <v>3480.35673333333</v>
      </c>
      <c r="G17745" s="30" t="n">
        <f aca="false">Sens!G17744-Sens!G17743</f>
        <v>5298.0468</v>
      </c>
      <c r="H17745" s="30" t="n">
        <f aca="false">Sens!H17744-Sens!H17743</f>
        <v>7115.73686666667</v>
      </c>
      <c r="I17745" s="30" t="n">
        <f aca="false">Sens!I17744-Sens!I17743</f>
        <v>8403.72761311111</v>
      </c>
      <c r="J17745" s="30" t="n">
        <f aca="false">Sens!J17744-Sens!J17743</f>
        <v>9187.77885426222</v>
      </c>
      <c r="K17745" s="30" t="n">
        <f aca="false">Sens!K17744-Sens!K17743</f>
        <v>9478.53221989009</v>
      </c>
    </row>
    <row r="17746" customFormat="false" ht="17.15" hidden="false" customHeight="false" outlineLevel="0" collapsed="false">
      <c r="A17746" s="1" t="s">
        <v>962</v>
      </c>
      <c r="B17746" s="0" t="s">
        <v>459</v>
      </c>
      <c r="C17746" s="30" t="n">
        <f aca="false">Sens!C17744</f>
        <v>816.666666666667</v>
      </c>
      <c r="D17746" s="30" t="n">
        <f aca="false">Sens!D17744-Sens!C17744</f>
        <v>1233.33333333333</v>
      </c>
      <c r="E17746" s="30" t="n">
        <f aca="false">Sens!E17744-Sens!D17744</f>
        <v>2450</v>
      </c>
      <c r="F17746" s="30" t="n">
        <f aca="false">Sens!F17744-Sens!E17744</f>
        <v>4200.89183333333</v>
      </c>
      <c r="G17746" s="30" t="n">
        <f aca="false">Sens!G17744-Sens!F17744</f>
        <v>4544.22516666667</v>
      </c>
      <c r="H17746" s="30" t="n">
        <f aca="false">Sens!H17744-Sens!G17744</f>
        <v>4544.22516666667</v>
      </c>
      <c r="I17746" s="30" t="n">
        <f aca="false">Sens!I17744-Sens!H17744</f>
        <v>3219.97686611111</v>
      </c>
      <c r="J17746" s="30" t="n">
        <f aca="false">Sens!J17744-Sens!I17744</f>
        <v>1960.12810287778</v>
      </c>
      <c r="K17746" s="30" t="n">
        <f aca="false">Sens!K17744-Sens!J17744</f>
        <v>726.883414069667</v>
      </c>
    </row>
    <row r="17747" customFormat="false" ht="17.15" hidden="false" customHeight="false" outlineLevel="0" collapsed="false">
      <c r="A17747" s="1" t="s">
        <v>963</v>
      </c>
      <c r="B17747" s="0" t="s">
        <v>459</v>
      </c>
      <c r="D17747" s="30" t="n">
        <f aca="false">Sens!D17741-Sens!C17741</f>
        <v>990</v>
      </c>
      <c r="E17747" s="30" t="n">
        <f aca="false">Sens!E17741-Sens!D17741</f>
        <v>1620</v>
      </c>
      <c r="F17747" s="30" t="n">
        <f aca="false">Sens!F17741-Sens!E17741</f>
        <v>2726.5351</v>
      </c>
      <c r="G17747" s="30" t="n">
        <f aca="false">Sens!G17741-Sens!F17741</f>
        <v>2726.5351</v>
      </c>
      <c r="H17747" s="30" t="n">
        <f aca="false">Sens!H17741-Sens!G17741</f>
        <v>2726.5351</v>
      </c>
      <c r="I17747" s="30" t="n">
        <f aca="false">Sens!I17741-Sens!H17741</f>
        <v>1931.98611966667</v>
      </c>
      <c r="J17747" s="30" t="n">
        <f aca="false">Sens!J17741-Sens!I17741</f>
        <v>1176.07686172667</v>
      </c>
      <c r="K17747" s="30" t="n">
        <f aca="false">Sens!K17741-Sens!J17741</f>
        <v>436.130048441799</v>
      </c>
    </row>
    <row r="17748" customFormat="false" ht="17.15" hidden="false" customHeight="false" outlineLevel="0" collapsed="false">
      <c r="A17748" s="1" t="s">
        <v>964</v>
      </c>
      <c r="B17748" s="0" t="s">
        <v>459</v>
      </c>
      <c r="F17748" s="30" t="n">
        <f aca="false">Sens!F17767*ext_sh</f>
        <v>0</v>
      </c>
      <c r="G17748" s="30" t="n">
        <f aca="false">Sens!G17767*ext_sh</f>
        <v>0</v>
      </c>
      <c r="H17748" s="30" t="n">
        <f aca="false">Sens!H17767*ext_sh</f>
        <v>0</v>
      </c>
      <c r="I17748" s="30" t="n">
        <f aca="false">Sens!I17767*ext_sh</f>
        <v>490</v>
      </c>
      <c r="J17748" s="30" t="n">
        <f aca="false">Sens!J17767*ext_sh</f>
        <v>740</v>
      </c>
      <c r="K17748" s="30" t="n">
        <f aca="false">Sens!K17767*ext_sh</f>
        <v>1470</v>
      </c>
      <c r="L17748" s="1" t="s">
        <v>965</v>
      </c>
    </row>
    <row r="17749" customFormat="false" ht="17.15" hidden="false" customHeight="false" outlineLevel="0" collapsed="false">
      <c r="A17749" s="1" t="s">
        <v>966</v>
      </c>
      <c r="B17749" s="0" t="s">
        <v>459</v>
      </c>
      <c r="C17749" s="30" t="n">
        <f aca="false">mix_h*Sens!C17741</f>
        <v>128</v>
      </c>
      <c r="D17749" s="30" t="n">
        <f aca="false">mix_h*Sens!D17741</f>
        <v>326</v>
      </c>
      <c r="E17749" s="30" t="n">
        <f aca="false">mix_h*Sens!E17741</f>
        <v>650</v>
      </c>
      <c r="F17749" s="30" t="n">
        <f aca="false">Sens!E17749-Sens!F17748*mix_h</f>
        <v>650</v>
      </c>
      <c r="G17749" s="30" t="n">
        <f aca="false">Sens!F17749-Sens!G17748*mix_h</f>
        <v>650</v>
      </c>
      <c r="H17749" s="30" t="n">
        <f aca="false">Sens!G17749-Sens!H17748*mix_h</f>
        <v>650</v>
      </c>
      <c r="I17749" s="30" t="n">
        <f aca="false">Sens!H17749-Sens!I17748*mix_h</f>
        <v>552</v>
      </c>
      <c r="J17749" s="30" t="n">
        <f aca="false">Sens!I17749-Sens!J17748*mix_h</f>
        <v>404</v>
      </c>
      <c r="K17749" s="30" t="n">
        <f aca="false">Sens!J17749-Sens!K17748*mix_h</f>
        <v>110</v>
      </c>
    </row>
    <row r="17750" customFormat="false" ht="17.15" hidden="false" customHeight="false" outlineLevel="0" collapsed="false">
      <c r="A17750" s="1" t="s">
        <v>967</v>
      </c>
      <c r="B17750" s="0" t="s">
        <v>459</v>
      </c>
      <c r="C17750" s="30" t="n">
        <f aca="false">mix_g2*Sens!C17741</f>
        <v>288</v>
      </c>
      <c r="D17750" s="30" t="n">
        <f aca="false">mix_g2*Sens!D17741</f>
        <v>733.5</v>
      </c>
      <c r="E17750" s="30" t="n">
        <f aca="false">mix_g2*Sens!E17741</f>
        <v>1462.5</v>
      </c>
      <c r="F17750" s="30" t="n">
        <f aca="false">Sens!E17750-Sens!F17748*mix_g2</f>
        <v>1462.5</v>
      </c>
      <c r="G17750" s="30" t="n">
        <f aca="false">Sens!F17750-Sens!G17748*mix_g2</f>
        <v>1462.5</v>
      </c>
      <c r="H17750" s="30" t="n">
        <f aca="false">Sens!G17750-Sens!H17748*mix_g2</f>
        <v>1462.5</v>
      </c>
      <c r="I17750" s="30" t="n">
        <f aca="false">Sens!H17750-Sens!I17748*mix_g2</f>
        <v>1242</v>
      </c>
      <c r="J17750" s="30" t="n">
        <f aca="false">Sens!I17750-Sens!J17748*mix_g2</f>
        <v>909</v>
      </c>
      <c r="K17750" s="30" t="n">
        <f aca="false">Sens!J17750-Sens!K17748*mix_g2</f>
        <v>247.5</v>
      </c>
    </row>
    <row r="17751" customFormat="false" ht="17.15" hidden="false" customHeight="false" outlineLevel="0" collapsed="false">
      <c r="A17751" s="1" t="s">
        <v>968</v>
      </c>
      <c r="B17751" s="0" t="s">
        <v>459</v>
      </c>
      <c r="C17751" s="30" t="n">
        <f aca="false">mix_g3*Sens!C17741</f>
        <v>224</v>
      </c>
      <c r="D17751" s="30" t="n">
        <f aca="false">mix_g3*Sens!D17741</f>
        <v>570.5</v>
      </c>
      <c r="E17751" s="30" t="n">
        <f aca="false">mix_g3*Sens!E17741</f>
        <v>1137.5</v>
      </c>
      <c r="F17751" s="30" t="n">
        <f aca="false">Sens!E17751+(Sens!F17747+Sens!F17748)*(a_g3_27-nonnv*a_mai)-Sens!F17748*mix_g3</f>
        <v>2773.42106</v>
      </c>
      <c r="G17751" s="30" t="n">
        <f aca="false">Sens!F17751+(Sens!G17747+Sens!G17748)*(a_g3_28-nonnv*a_mai)-Sens!G17748*mix_g3</f>
        <v>3318.72808</v>
      </c>
      <c r="H17751" s="30" t="n">
        <f aca="false">Sens!G17751+(Sens!H17747+Sens!H17748)*(a_g3_29-nonnv*a_mai)-Sens!H17748*mix_g3</f>
        <v>3318.72808</v>
      </c>
      <c r="I17751" s="30" t="n">
        <f aca="false">Sens!H17751+(Sens!I17747+Sens!I17748)*(a_g3_29-nonnv*a_mai)-Sens!I17748*mix_g3</f>
        <v>3147.22808</v>
      </c>
      <c r="J17751" s="30" t="n">
        <f aca="false">Sens!I17751+(Sens!J17747+Sens!J17748)*(a_g3_29-nonnv*a_mai)-Sens!J17748*mix_g3</f>
        <v>2888.22808</v>
      </c>
      <c r="K17751" s="30" t="n">
        <f aca="false">Sens!J17751+(Sens!K17747+Sens!K17748)*(a_g3_29-nonnv*a_mai)-Sens!K17748*mix_g3</f>
        <v>2373.72808</v>
      </c>
    </row>
    <row r="17752" customFormat="false" ht="17.15" hidden="false" customHeight="false" outlineLevel="0" collapsed="false">
      <c r="A17752" s="1" t="s">
        <v>969</v>
      </c>
      <c r="B17752" s="0" t="s">
        <v>459</v>
      </c>
      <c r="C17752" s="30" t="n">
        <v>0</v>
      </c>
      <c r="D17752" s="30" t="n">
        <v>0</v>
      </c>
      <c r="E17752" s="30" t="n">
        <v>0</v>
      </c>
      <c r="F17752" s="30" t="n">
        <f aca="false">Sens!E17752+(Sens!F17747+Sens!F17748)*nonnv*a_mai</f>
        <v>272.65351</v>
      </c>
      <c r="G17752" s="30" t="n">
        <f aca="false">Sens!F17752+(Sens!G17747+Sens!G17748)*nonnv*a_mai</f>
        <v>545.30702</v>
      </c>
      <c r="H17752" s="30" t="n">
        <f aca="false">Sens!G17752+(Sens!H17747+Sens!H17748)*nonnv*a_mai</f>
        <v>817.96053</v>
      </c>
      <c r="I17752" s="30" t="n">
        <f aca="false">Sens!H17752+(Sens!I17747+Sens!I17748)*nonnv*a_mai</f>
        <v>1060.15914196667</v>
      </c>
      <c r="J17752" s="30" t="n">
        <f aca="false">Sens!I17752+(Sens!J17747+Sens!J17748)*nonnv*a_mai</f>
        <v>1251.76682813933</v>
      </c>
      <c r="K17752" s="30" t="n">
        <f aca="false">Sens!J17752+(Sens!K17747+Sens!K17748)*nonnv*a_mai</f>
        <v>1442.37983298351</v>
      </c>
      <c r="L17752" s="12" t="s">
        <v>970</v>
      </c>
    </row>
    <row r="17753" customFormat="false" ht="17.15" hidden="false" customHeight="false" outlineLevel="0" collapsed="false">
      <c r="A17753" s="1" t="s">
        <v>971</v>
      </c>
      <c r="B17753" s="0" t="s">
        <v>459</v>
      </c>
      <c r="C17753" s="30" t="n">
        <v>0</v>
      </c>
      <c r="D17753" s="30" t="n">
        <v>0</v>
      </c>
      <c r="E17753" s="30" t="n">
        <v>0</v>
      </c>
      <c r="F17753" s="30" t="n">
        <f aca="false">Sens!E17753+(Sens!F17747+Sens!F17748)*(1-a_g3_27)</f>
        <v>817.96053</v>
      </c>
      <c r="G17753" s="30" t="n">
        <f aca="false">Sens!F17753+(Sens!G17747+Sens!G17748)*(1-a_g3_28)</f>
        <v>2726.5351</v>
      </c>
      <c r="H17753" s="30" t="n">
        <f aca="false">Sens!G17753+(Sens!H17747+Sens!H17748)*(1-a_g3_29)</f>
        <v>5180.41669</v>
      </c>
      <c r="I17753" s="30" t="n">
        <f aca="false">Sens!H17753+(Sens!I17747+Sens!I17748)*(1-a_g3_29)</f>
        <v>7360.2041977</v>
      </c>
      <c r="J17753" s="30" t="n">
        <f aca="false">Sens!I17753+(Sens!J17747+Sens!J17748)*(1-a_g3_29)</f>
        <v>9084.673373254</v>
      </c>
      <c r="K17753" s="30" t="n">
        <f aca="false">Sens!J17753+(Sens!K17747+Sens!K17748)*(1-a_g3_29)</f>
        <v>10800.1904168516</v>
      </c>
    </row>
    <row r="17754" customFormat="false" ht="17.15" hidden="false" customHeight="false" outlineLevel="0" collapsed="false">
      <c r="A17754" s="1" t="s">
        <v>972</v>
      </c>
      <c r="B17754" s="0" t="s">
        <v>403</v>
      </c>
      <c r="C17754" s="15" t="n">
        <f aca="false">(Sens!C17749*tk_hold_h100+Sens!C17750*tk_hold_gb200+Sens!C17751*tk_hold_gb300+Sens!C17753*tk_hold_vr200+Sens!C17752*nv_hold_mai*tk_hold_vr200)/Sens!C17741</f>
        <v>9.7235358126469</v>
      </c>
      <c r="D17754" s="15" t="n">
        <f aca="false">(Sens!D17749*tk_hold_h100+Sens!D17750*tk_hold_gb200+Sens!D17751*tk_hold_gb300+Sens!D17753*tk_hold_vr200+Sens!D17752*nv_hold_mai*tk_hold_vr200)/Sens!D17741</f>
        <v>9.7235358126469</v>
      </c>
      <c r="E17754" s="15" t="n">
        <f aca="false">(Sens!E17749*tk_hold_h100+Sens!E17750*tk_hold_gb200+Sens!E17751*tk_hold_gb300+Sens!E17753*tk_hold_vr200+Sens!E17752*nv_hold_mai*tk_hold_vr200)/Sens!E17741</f>
        <v>9.7235358126469</v>
      </c>
      <c r="F17754" s="15" t="n">
        <f aca="false">(Sens!F17749*tk_hold_h100+Sens!F17750*tk_hold_gb200+Sens!F17751*tk_hold_gb300+Sens!F17753*tk_hold_vr200+Sens!F17752*nv_hold_mai*tk_hold_vr200)/Sens!F17741</f>
        <v>10.2195353876665</v>
      </c>
      <c r="G17754" s="15" t="n">
        <f aca="false">(Sens!G17749*tk_hold_h100+Sens!G17750*tk_hold_gb200+Sens!G17751*tk_hold_gb300+Sens!G17753*tk_hold_vr200+Sens!G17752*nv_hold_mai*tk_hold_vr200)/Sens!G17741</f>
        <v>10.5725598017306</v>
      </c>
      <c r="H17754" s="15" t="n">
        <f aca="false">(Sens!H17749*tk_hold_h100+Sens!H17750*tk_hold_gb200+Sens!H17751*tk_hold_gb300+Sens!H17753*tk_hold_vr200+Sens!H17752*nv_hold_mai*tk_hold_vr200)/Sens!H17741</f>
        <v>10.8210427149036</v>
      </c>
      <c r="I17754" s="15" t="n">
        <f aca="false">(Sens!I17749*tk_hold_h100+Sens!I17750*tk_hold_gb200+Sens!I17751*tk_hold_gb300+Sens!I17753*tk_hold_vr200+Sens!I17752*nv_hold_mai*tk_hold_vr200)/Sens!I17741</f>
        <v>11.0050618241982</v>
      </c>
      <c r="J17754" s="15" t="n">
        <f aca="false">(Sens!J17749*tk_hold_h100+Sens!J17750*tk_hold_gb200+Sens!J17751*tk_hold_gb300+Sens!J17753*tk_hold_vr200+Sens!J17752*nv_hold_mai*tk_hold_vr200)/Sens!J17741</f>
        <v>11.1505789658881</v>
      </c>
      <c r="K17754" s="15" t="n">
        <f aca="false">(Sens!K17749*tk_hold_h100+Sens!K17750*tk_hold_gb200+Sens!K17751*tk_hold_gb300+Sens!K17753*tk_hold_vr200+Sens!K17752*nv_hold_mai*tk_hold_vr200)/Sens!K17741</f>
        <v>11.3496914757183</v>
      </c>
      <c r="L17754" s="1" t="s">
        <v>973</v>
      </c>
    </row>
    <row r="17755" customFormat="false" ht="17.15" hidden="false" customHeight="false" outlineLevel="0" collapsed="false">
      <c r="A17755" s="1" t="s">
        <v>974</v>
      </c>
      <c r="B17755" s="0" t="s">
        <v>403</v>
      </c>
      <c r="C17755" s="15" t="n">
        <f aca="false">(Sens!C17749*tk_hold_h100+Sens!C17750*tk_hold_gb200+Sens!C17751*tk_hold_gb300+Sens!C17753*tk_hold_vr200+Sens!C17752*nv_out_mai*tk_hold_vr200)/Sens!C17741</f>
        <v>9.7235358126469</v>
      </c>
      <c r="D17755" s="15" t="n">
        <f aca="false">(Sens!D17749*tk_hold_h100+Sens!D17750*tk_hold_gb200+Sens!D17751*tk_hold_gb300+Sens!D17753*tk_hold_vr200+Sens!D17752*nv_out_mai*tk_hold_vr200)/Sens!D17741</f>
        <v>9.7235358126469</v>
      </c>
      <c r="E17755" s="15" t="n">
        <f aca="false">(Sens!E17749*tk_hold_h100+Sens!E17750*tk_hold_gb200+Sens!E17751*tk_hold_gb300+Sens!E17753*tk_hold_vr200+Sens!E17752*nv_out_mai*tk_hold_vr200)/Sens!E17741</f>
        <v>9.7235358126469</v>
      </c>
      <c r="F17755" s="15" t="n">
        <f aca="false">(Sens!F17749*tk_hold_h100+Sens!F17750*tk_hold_gb200+Sens!F17751*tk_hold_gb300+Sens!F17753*tk_hold_vr200+Sens!F17752*nv_out_mai*tk_hold_vr200)/Sens!F17741</f>
        <v>10.247422093969</v>
      </c>
      <c r="G17755" s="15" t="n">
        <f aca="false">(Sens!G17749*tk_hold_h100+Sens!G17750*tk_hold_gb200+Sens!G17751*tk_hold_gb300+Sens!G17753*tk_hold_vr200+Sens!G17752*nv_out_mai*tk_hold_vr200)/Sens!G17741</f>
        <v>10.6108602808053</v>
      </c>
      <c r="H17755" s="15" t="n">
        <f aca="false">(Sens!H17749*tk_hold_h100+Sens!H17750*tk_hold_gb200+Sens!H17751*tk_hold_gb300+Sens!H17753*tk_hold_vr200+Sens!H17752*nv_out_mai*tk_hold_vr200)/Sens!H17741</f>
        <v>10.8647885507393</v>
      </c>
      <c r="I17755" s="15" t="n">
        <f aca="false">(Sens!I17749*tk_hold_h100+Sens!I17750*tk_hold_gb200+Sens!I17751*tk_hold_gb300+Sens!I17753*tk_hold_vr200+Sens!I17752*nv_out_mai*tk_hold_vr200)/Sens!I17741</f>
        <v>11.0535625770025</v>
      </c>
      <c r="J17755" s="15" t="n">
        <f aca="false">(Sens!J17749*tk_hold_h100+Sens!J17750*tk_hold_gb200+Sens!J17751*tk_hold_gb300+Sens!J17753*tk_hold_vr200+Sens!J17752*nv_out_mai*tk_hold_vr200)/Sens!J17741</f>
        <v>11.2032127128058</v>
      </c>
      <c r="K17755" s="15" t="n">
        <f aca="false">(Sens!K17749*tk_hold_h100+Sens!K17750*tk_hold_gb200+Sens!K17751*tk_hold_gb300+Sens!K17753*tk_hold_vr200+Sens!K17752*nv_out_mai*tk_hold_vr200)/Sens!K17741</f>
        <v>11.4085735724225</v>
      </c>
      <c r="L17755" s="12" t="s">
        <v>975</v>
      </c>
    </row>
    <row r="17756" customFormat="false" ht="17.15" hidden="false" customHeight="false" outlineLevel="0" collapsed="false">
      <c r="A17756" s="0" t="s">
        <v>976</v>
      </c>
      <c r="B17756" s="0" t="s">
        <v>229</v>
      </c>
      <c r="C17756" s="15" t="n">
        <f aca="false">k_B</f>
        <v>1.17213932619116</v>
      </c>
      <c r="D17756" s="15" t="n">
        <f aca="false">k_B</f>
        <v>1.17213932619116</v>
      </c>
      <c r="E17756" s="15" t="n">
        <f aca="false">k_B</f>
        <v>1.17213932619116</v>
      </c>
      <c r="F17756" s="15" t="n">
        <f aca="false">(k_B+((ls_A*k_long+(1-ls_A)*k_spot)-k_B)*MIN(1,(Sens!F17739-base_fy)/k_ramp))</f>
        <v>1.25022828131298</v>
      </c>
      <c r="G17756" s="15" t="n">
        <f aca="false">(k_B+((ls_A*k_long+(1-ls_A)*k_spot)-k_B)*MIN(1,(Sens!G17739-base_fy)/k_ramp))</f>
        <v>1.3283172364348</v>
      </c>
      <c r="H17756" s="15" t="n">
        <f aca="false">(k_B+((ls_A*k_long+(1-ls_A)*k_spot)-k_B)*MIN(1,(Sens!H17739-base_fy)/k_ramp))</f>
        <v>1.40640619155662</v>
      </c>
      <c r="I17756" s="15" t="n">
        <f aca="false">(k_B+((ls_A*k_long+(1-ls_A)*k_spot)-k_B)*MIN(1,(Sens!I17739-base_fy)/k_ramp))</f>
        <v>1.40640619155662</v>
      </c>
      <c r="J17756" s="15" t="n">
        <f aca="false">(k_B+((ls_A*k_long+(1-ls_A)*k_spot)-k_B)*MIN(1,(Sens!J17739-base_fy)/k_ramp))</f>
        <v>1.40640619155662</v>
      </c>
      <c r="K17756" s="15" t="n">
        <f aca="false">(k_B+((ls_A*k_long+(1-ls_A)*k_spot)-k_B)*MIN(1,(Sens!K17739-base_fy)/k_ramp))</f>
        <v>1.40640619155662</v>
      </c>
      <c r="L17756" s="1" t="s">
        <v>977</v>
      </c>
    </row>
    <row r="17757" customFormat="false" ht="17.15" hidden="false" customHeight="false" outlineLevel="0" collapsed="false">
      <c r="A17757" s="1" t="s">
        <v>978</v>
      </c>
      <c r="B17757" s="0" t="s">
        <v>403</v>
      </c>
      <c r="C17757" s="15" t="n">
        <f aca="false">Sens!C17755*Sens!C17756*chip_f</f>
        <v>11.3973387156315</v>
      </c>
      <c r="D17757" s="15" t="n">
        <f aca="false">Sens!D17755*Sens!D17756*chip_f</f>
        <v>11.3973387156315</v>
      </c>
      <c r="E17757" s="15" t="n">
        <f aca="false">Sens!E17755*Sens!E17756*chip_f</f>
        <v>11.3973387156315</v>
      </c>
      <c r="F17757" s="15" t="n">
        <f aca="false">Sens!F17755*Sens!F17756*chip_f</f>
        <v>12.8116169124314</v>
      </c>
      <c r="G17757" s="15" t="n">
        <f aca="false">Sens!G17755*Sens!G17756*chip_f</f>
        <v>14.094588604395</v>
      </c>
      <c r="H17757" s="15" t="n">
        <f aca="false">Sens!H17755*Sens!H17756*chip_f</f>
        <v>15.2803058877132</v>
      </c>
      <c r="I17757" s="15" t="n">
        <f aca="false">Sens!I17755*Sens!I17756*chip_f</f>
        <v>15.5457988470549</v>
      </c>
      <c r="J17757" s="15" t="n">
        <f aca="false">Sens!J17755*Sens!J17756*chip_f</f>
        <v>15.7562677246158</v>
      </c>
      <c r="K17757" s="15" t="n">
        <f aca="false">Sens!K17755*Sens!K17756*chip_f</f>
        <v>16.0450885090842</v>
      </c>
      <c r="L17757" s="1" t="s">
        <v>979</v>
      </c>
    </row>
    <row r="17758" customFormat="false" ht="17.15" hidden="false" customHeight="false" outlineLevel="0" collapsed="false">
      <c r="A17758" s="0" t="s">
        <v>980</v>
      </c>
      <c r="B17758" s="0" t="s">
        <v>98</v>
      </c>
      <c r="D17758" s="6" t="n">
        <f aca="false">(Sens!C17741+Sens!D17741)/2*Sens!D17757/1000</f>
        <v>12.9359794422418</v>
      </c>
      <c r="E17758" s="6" t="n">
        <f aca="false">(Sens!D17741+Sens!E17741)/2*Sens!E17757/1000</f>
        <v>27.8095064661409</v>
      </c>
      <c r="F17758" s="6" t="n">
        <f aca="false">(Sens!E17741+Sens!F17741)/2*Sens!F17757/1000</f>
        <v>59.1034165651511</v>
      </c>
      <c r="G17758" s="6" t="n">
        <f aca="false">(Sens!F17741+Sens!G17741)/2*Sens!G17757/1000</f>
        <v>103.451498789198</v>
      </c>
      <c r="H17758" s="6" t="n">
        <f aca="false">(Sens!G17741+Sens!H17741)/2*Sens!H17757/1000</f>
        <v>153.816719989035</v>
      </c>
      <c r="I17758" s="6" t="n">
        <f aca="false">(Sens!H17741+Sens!I17741)/2*Sens!I17757/1000</f>
        <v>192.699478690852</v>
      </c>
      <c r="J17758" s="6" t="n">
        <f aca="false">(Sens!I17741+Sens!J17741)/2*Sens!J17757/1000</f>
        <v>219.794102584244</v>
      </c>
      <c r="K17758" s="6" t="n">
        <f aca="false">(Sens!J17741+Sens!K17741)/2*Sens!K17757/1000</f>
        <v>236.757046905022</v>
      </c>
      <c r="L17758" s="12" t="s">
        <v>981</v>
      </c>
    </row>
    <row r="17759" customFormat="false" ht="17.15" hidden="false" customHeight="false" outlineLevel="0" collapsed="false">
      <c r="A17759" s="1" t="s">
        <v>982</v>
      </c>
      <c r="B17759" s="0" t="s">
        <v>403</v>
      </c>
      <c r="C17759" s="15" t="n">
        <f aca="false">(Sens!C17749*tk_opex_h100+Sens!C17750*tk_opex_gb200+Sens!C17751*tk_opex_gb300+(Sens!C17753+Sens!C17752)*tk_opex_vr200)/Sens!C17741</f>
        <v>1.88636041306092</v>
      </c>
      <c r="D17759" s="15" t="n">
        <f aca="false">(Sens!D17749*tk_opex_h100+Sens!D17750*tk_opex_gb200+Sens!D17751*tk_opex_gb300+(Sens!D17753+Sens!D17752)*tk_opex_vr200)/Sens!D17741</f>
        <v>1.88636041306092</v>
      </c>
      <c r="E17759" s="15" t="n">
        <f aca="false">(Sens!E17749*tk_opex_h100+Sens!E17750*tk_opex_gb200+Sens!E17751*tk_opex_gb300+(Sens!E17753+Sens!E17752)*tk_opex_vr200)/Sens!E17741</f>
        <v>1.88636041306092</v>
      </c>
      <c r="F17759" s="15" t="n">
        <f aca="false">(Sens!F17749*tk_opex_h100+Sens!F17750*tk_opex_gb200+Sens!F17751*tk_opex_gb300+(Sens!F17753+Sens!F17752)*tk_opex_vr200)/Sens!F17741</f>
        <v>1.95051159746876</v>
      </c>
      <c r="G17759" s="15" t="n">
        <f aca="false">(Sens!G17749*tk_opex_h100+Sens!G17750*tk_opex_gb200+Sens!G17751*tk_opex_gb300+(Sens!G17753+Sens!G17752)*tk_opex_vr200)/Sens!G17741</f>
        <v>1.98836003669956</v>
      </c>
      <c r="H17759" s="15" t="n">
        <f aca="false">(Sens!H17749*tk_opex_h100+Sens!H17750*tk_opex_gb200+Sens!H17751*tk_opex_gb300+(Sens!H17753+Sens!H17752)*tk_opex_vr200)/Sens!H17741</f>
        <v>2.01344013834343</v>
      </c>
      <c r="I17759" s="15" t="n">
        <f aca="false">(Sens!I17749*tk_opex_h100+Sens!I17750*tk_opex_gb200+Sens!I17751*tk_opex_gb300+(Sens!I17753+Sens!I17752)*tk_opex_vr200)/Sens!I17741</f>
        <v>2.03261166882178</v>
      </c>
      <c r="J17759" s="15" t="n">
        <f aca="false">(Sens!J17749*tk_opex_h100+Sens!J17750*tk_opex_gb200+Sens!J17751*tk_opex_gb300+(Sens!J17753+Sens!J17752)*tk_opex_vr200)/Sens!J17741</f>
        <v>2.04808073288745</v>
      </c>
      <c r="K17759" s="15" t="n">
        <f aca="false">(Sens!K17749*tk_opex_h100+Sens!K17750*tk_opex_gb200+Sens!K17751*tk_opex_gb300+(Sens!K17753+Sens!K17752)*tk_opex_vr200)/Sens!K17741</f>
        <v>2.06973825807449</v>
      </c>
      <c r="L17759" s="12" t="s">
        <v>983</v>
      </c>
    </row>
    <row r="17760" customFormat="false" ht="17.15" hidden="false" customHeight="false" outlineLevel="0" collapsed="false">
      <c r="A17760" s="0" t="s">
        <v>984</v>
      </c>
      <c r="B17760" s="0" t="s">
        <v>98</v>
      </c>
      <c r="D17760" s="6" t="n">
        <f aca="false">(Sens!C17744+Sens!D17744)/2*Sens!D17759/1000</f>
        <v>2.70378325872065</v>
      </c>
      <c r="E17760" s="6" t="n">
        <f aca="false">(Sens!D17744+Sens!E17744)/2*Sens!E17759/1000</f>
        <v>6.17783035277451</v>
      </c>
      <c r="F17760" s="6" t="n">
        <f aca="false">(Sens!E17744+Sens!F17744)/2*Sens!F17759/1000</f>
        <v>12.8742463089237</v>
      </c>
      <c r="G17760" s="6" t="n">
        <f aca="false">(Sens!F17744+Sens!G17744)/2*Sens!G17759/1000</f>
        <v>21.8182834646277</v>
      </c>
      <c r="H17760" s="6" t="n">
        <f aca="false">(Sens!G17744+Sens!H17744)/2*Sens!H17759/1000</f>
        <v>31.2430128789734</v>
      </c>
      <c r="I17760" s="6" t="n">
        <f aca="false">(Sens!H17744+Sens!I17744)/2*Sens!I17759/1000</f>
        <v>39.4313057443268</v>
      </c>
      <c r="J17760" s="6" t="n">
        <f aca="false">(Sens!I17744+Sens!J17744)/2*Sens!J17759/1000</f>
        <v>45.0360318228653</v>
      </c>
      <c r="K17760" s="6" t="n">
        <f aca="false">(Sens!J17744+Sens!K17744)/2*Sens!K17759/1000</f>
        <v>48.2929727091156</v>
      </c>
    </row>
    <row r="17761" customFormat="false" ht="17.15" hidden="false" customHeight="false" outlineLevel="0" collapsed="false">
      <c r="A17761" s="0" t="s">
        <v>985</v>
      </c>
      <c r="B17761" s="0" t="s">
        <v>98</v>
      </c>
      <c r="D17761" s="6" t="n">
        <f aca="false">(Sens!C17742+Sens!D17742)/2*rent_mw/1000</f>
        <v>2.44475</v>
      </c>
      <c r="E17761" s="6" t="n">
        <f aca="false">(Sens!D17742+Sens!E17742)/2*rent_mw/1000</f>
        <v>4.22275</v>
      </c>
      <c r="F17761" s="6" t="n">
        <f aca="false">(Sens!E17742+Sens!F17742)/2*rent_mw/1000</f>
        <v>5.80517</v>
      </c>
      <c r="G17761" s="6" t="n">
        <f aca="false">(Sens!F17742+Sens!G17742)/2*rent_mw/1000</f>
        <v>6.72084</v>
      </c>
      <c r="H17761" s="6" t="n">
        <f aca="false">(Sens!G17742+Sens!H17742)/2*rent_mw/1000</f>
        <v>6.72084</v>
      </c>
      <c r="I17761" s="6" t="n">
        <f aca="false">(Sens!H17742+Sens!I17742)/2*rent_mw/1000</f>
        <v>6.72084</v>
      </c>
      <c r="J17761" s="6" t="n">
        <f aca="false">(Sens!I17742+Sens!J17742)/2*rent_mw/1000</f>
        <v>6.72084</v>
      </c>
      <c r="K17761" s="6" t="n">
        <f aca="false">(Sens!J17742+Sens!K17742)/2*rent_mw/1000</f>
        <v>6.72084</v>
      </c>
    </row>
    <row r="17762" customFormat="false" ht="17.15" hidden="false" customHeight="false" outlineLevel="0" collapsed="false">
      <c r="A17762" s="0" t="s">
        <v>986</v>
      </c>
      <c r="B17762" s="0" t="s">
        <v>98</v>
      </c>
      <c r="D17762" s="6" t="n">
        <f aca="false">(Sens!C17744+Sens!D17744)/2*(1-self_build)*fac_rent/1000</f>
        <v>0.853242375631075</v>
      </c>
      <c r="E17762" s="6" t="n">
        <f aca="false">(Sens!D17744+Sens!E17744)/2*(1-self_build)*fac_rent/1000</f>
        <v>1.94955961408728</v>
      </c>
      <c r="F17762" s="6" t="n">
        <f aca="false">(Sens!E17744+Sens!F17744)/2*(1-self_build)*fac_rent/1000</f>
        <v>3.92914894476356</v>
      </c>
      <c r="G17762" s="6" t="n">
        <f aca="false">(Sens!F17744+Sens!G17744)/2*(1-self_build)*fac_rent/1000</f>
        <v>6.53206908578159</v>
      </c>
      <c r="H17762" s="6" t="n">
        <f aca="false">(Sens!G17744+Sens!H17744)/2*(1-self_build)*fac_rent/1000</f>
        <v>9.23717988341591</v>
      </c>
      <c r="I17762" s="6" t="n">
        <f aca="false">(Sens!H17744+Sens!I17744)/2*(1-self_build)*fac_rent/1000</f>
        <v>11.5481378557393</v>
      </c>
      <c r="J17762" s="6" t="n">
        <f aca="false">(Sens!I17744+Sens!J17744)/2*(1-self_build)*fac_rent/1000</f>
        <v>13.0899582289108</v>
      </c>
      <c r="K17762" s="6" t="n">
        <f aca="false">(Sens!J17744+Sens!K17744)/2*(1-self_build)*fac_rent/1000</f>
        <v>13.8897275626556</v>
      </c>
      <c r="L17762" s="12" t="s">
        <v>987</v>
      </c>
    </row>
    <row r="17763" customFormat="false" ht="17.15" hidden="false" customHeight="false" outlineLevel="0" collapsed="false">
      <c r="A17763" s="1" t="s">
        <v>988</v>
      </c>
      <c r="B17763" s="0" t="s">
        <v>168</v>
      </c>
      <c r="D17763" s="7" t="n">
        <f aca="false">(Sens!C17743+Sens!D17743)/(Sens!C17744+Sens!D17744)</f>
        <v>0.6</v>
      </c>
      <c r="E17763" s="7" t="n">
        <f aca="false">(Sens!D17743+Sens!E17743)/(Sens!D17744+Sens!E17744)</f>
        <v>0.6</v>
      </c>
      <c r="F17763" s="7" t="n">
        <f aca="false">(Sens!E17743+Sens!F17743)/(Sens!E17744+Sens!F17744)</f>
        <v>0.6</v>
      </c>
      <c r="G17763" s="7" t="n">
        <f aca="false">(Sens!F17743+Sens!G17743)/(Sens!F17744+Sens!G17744)</f>
        <v>0.6</v>
      </c>
      <c r="H17763" s="7" t="n">
        <f aca="false">(Sens!G17743+Sens!H17743)/(Sens!G17744+Sens!H17744)</f>
        <v>0.6</v>
      </c>
      <c r="I17763" s="7" t="n">
        <f aca="false">(Sens!H17743+Sens!I17743)/(Sens!H17744+Sens!I17744)</f>
        <v>0.6</v>
      </c>
      <c r="J17763" s="7" t="n">
        <f aca="false">(Sens!I17743+Sens!J17743)/(Sens!I17744+Sens!J17744)</f>
        <v>0.6</v>
      </c>
      <c r="K17763" s="7" t="n">
        <f aca="false">(Sens!J17743+Sens!K17743)/(Sens!J17744+Sens!K17744)</f>
        <v>0.6</v>
      </c>
    </row>
    <row r="17764" customFormat="false" ht="17.15" hidden="false" customHeight="false" outlineLevel="0" collapsed="false">
      <c r="A17764" s="0" t="s">
        <v>989</v>
      </c>
      <c r="B17764" s="0" t="s">
        <v>98</v>
      </c>
      <c r="D17764" s="6" t="n">
        <f aca="false">Sens!D17758-Sens!D17763*(Sens!D17760+Sens!D17762)-Sens!D17761</f>
        <v>8.35701406163072</v>
      </c>
      <c r="E17764" s="6" t="n">
        <f aca="false">Sens!E17758-Sens!E17763*(Sens!E17760+Sens!E17762)-Sens!E17761</f>
        <v>18.7103224860238</v>
      </c>
      <c r="F17764" s="6" t="n">
        <f aca="false">Sens!F17758-Sens!F17763*(Sens!F17760+Sens!F17762)-Sens!F17761</f>
        <v>43.2162094129388</v>
      </c>
      <c r="G17764" s="6" t="n">
        <f aca="false">Sens!G17758-Sens!G17763*(Sens!G17760+Sens!G17762)-Sens!G17761</f>
        <v>79.7204472589529</v>
      </c>
      <c r="H17764" s="6" t="n">
        <f aca="false">Sens!H17758-Sens!H17763*(Sens!H17760+Sens!H17762)-Sens!H17761</f>
        <v>122.807764331602</v>
      </c>
      <c r="I17764" s="6" t="n">
        <f aca="false">Sens!I17758-Sens!I17763*(Sens!I17760+Sens!I17762)-Sens!I17761</f>
        <v>155.390972530813</v>
      </c>
      <c r="J17764" s="6" t="n">
        <f aca="false">Sens!J17758-Sens!J17763*(Sens!J17760+Sens!J17762)-Sens!J17761</f>
        <v>178.197668553178</v>
      </c>
      <c r="K17764" s="6" t="n">
        <f aca="false">Sens!K17758-Sens!K17763*(Sens!K17760+Sens!K17762)-Sens!K17761</f>
        <v>192.726586741959</v>
      </c>
    </row>
    <row r="17765" customFormat="false" ht="17.15" hidden="false" customHeight="false" outlineLevel="0" collapsed="false">
      <c r="A17765" s="1" t="s">
        <v>990</v>
      </c>
      <c r="B17765" s="0" t="s">
        <v>98</v>
      </c>
      <c r="D17765" s="6" t="n">
        <f aca="false">(1-Sens!D17763)*(Sens!D17760+Sens!D17762)</f>
        <v>1.42281025374069</v>
      </c>
      <c r="E17765" s="6" t="n">
        <f aca="false">(1-Sens!E17763)*(Sens!E17760+Sens!E17762)</f>
        <v>3.25095598674472</v>
      </c>
      <c r="F17765" s="6" t="n">
        <f aca="false">(1-Sens!F17763)*(Sens!F17760+Sens!F17762)</f>
        <v>6.72135810147489</v>
      </c>
      <c r="G17765" s="6" t="n">
        <f aca="false">(1-Sens!G17763)*(Sens!G17760+Sens!G17762)</f>
        <v>11.3401410201637</v>
      </c>
      <c r="H17765" s="6" t="n">
        <f aca="false">(1-Sens!H17763)*(Sens!H17760+Sens!H17762)</f>
        <v>16.1920771049557</v>
      </c>
      <c r="I17765" s="6" t="n">
        <f aca="false">(1-Sens!I17763)*(Sens!I17760+Sens!I17762)</f>
        <v>20.3917774400264</v>
      </c>
      <c r="J17765" s="6" t="n">
        <f aca="false">(1-Sens!J17763)*(Sens!J17760+Sens!J17762)</f>
        <v>23.2503960207104</v>
      </c>
      <c r="K17765" s="6" t="n">
        <f aca="false">(1-Sens!K17763)*(Sens!K17760+Sens!K17762)</f>
        <v>24.8730801087085</v>
      </c>
    </row>
    <row r="17766" customFormat="false" ht="17.15" hidden="false" customHeight="false" outlineLevel="0" collapsed="false">
      <c r="A17766" s="1" t="s">
        <v>991</v>
      </c>
      <c r="B17766" s="0" t="s">
        <v>417</v>
      </c>
      <c r="C17766" s="8" t="n">
        <f aca="false">cxit_open</f>
        <v>27.5918995</v>
      </c>
      <c r="D17766" s="8" t="n">
        <f aca="false">cxit_open</f>
        <v>27.5918995</v>
      </c>
      <c r="E17766" s="8" t="n">
        <f aca="false">cxit_open</f>
        <v>27.5918995</v>
      </c>
      <c r="F17766" s="8" t="n">
        <f aca="false">((a_g3_27-nonnv*a_mai)*tk_cxit_gb300+nonnv*a_mai*nv_hold_mai*tk_cxit_vr200+(1-a_g3_27)*tk_cxit_vr200)</f>
        <v>32.4975576</v>
      </c>
      <c r="G17766" s="8" t="n">
        <f aca="false">((a_g3_28-nonnv*a_mai)*tk_cxit_gb300+nonnv*a_mai*nv_hold_mai*tk_cxit_vr200+(1-a_g3_28)*tk_cxit_vr200)</f>
        <v>34.6372088</v>
      </c>
      <c r="H17766" s="8" t="n">
        <f aca="false">((a_g3_29-nonnv*a_mai)*tk_cxit_gb300+nonnv*a_mai*nv_hold_mai*tk_cxit_vr200+(1-a_g3_29)*tk_cxit_vr200)</f>
        <v>35.7070344</v>
      </c>
      <c r="I17766" s="8" t="n">
        <f aca="false">((a_g3_29-nonnv*a_mai)*tk_cxit_gb300+nonnv*a_mai*nv_hold_mai*tk_cxit_vr200+(1-a_g3_29)*tk_cxit_vr200)</f>
        <v>35.7070344</v>
      </c>
      <c r="J17766" s="8" t="n">
        <f aca="false">((a_g3_29-nonnv*a_mai)*tk_cxit_gb300+nonnv*a_mai*nv_hold_mai*tk_cxit_vr200+(1-a_g3_29)*tk_cxit_vr200)</f>
        <v>35.7070344</v>
      </c>
      <c r="K17766" s="8" t="n">
        <f aca="false">((a_g3_29-nonnv*a_mai)*tk_cxit_gb300+nonnv*a_mai*nv_hold_mai*tk_cxit_vr200+(1-a_g3_29)*tk_cxit_vr200)</f>
        <v>35.7070344</v>
      </c>
      <c r="L17766" s="12" t="s">
        <v>992</v>
      </c>
    </row>
    <row r="17767" customFormat="false" ht="17.15" hidden="false" customHeight="false" outlineLevel="0" collapsed="false">
      <c r="A17767" s="0" t="s">
        <v>993</v>
      </c>
      <c r="B17767" s="0" t="s">
        <v>459</v>
      </c>
      <c r="F17767" s="30" t="n">
        <f aca="false">Sens!C17746*IF(Sens!F17739-Sens!C17739=life_it,1,0)+Sens!D17746*IF(Sens!F17739-Sens!D17739=life_it,1,0)+Sens!E17746*IF(Sens!F17739-Sens!E17739=life_it,1,0)</f>
        <v>0</v>
      </c>
      <c r="G17767" s="30" t="n">
        <f aca="false">Sens!C17746*IF(Sens!G17739-Sens!C17739=life_it,1,0)+Sens!D17746*IF(Sens!G17739-Sens!D17739=life_it,1,0)+Sens!E17746*IF(Sens!G17739-Sens!E17739=life_it,1,0)+Sens!F17746*IF(Sens!G17739-Sens!F17739=life_it,1,0)</f>
        <v>0</v>
      </c>
      <c r="H17767" s="30" t="n">
        <f aca="false">Sens!C17746*IF(Sens!H17739-Sens!C17739=life_it,1,0)+Sens!D17746*IF(Sens!H17739-Sens!D17739=life_it,1,0)+Sens!E17746*IF(Sens!H17739-Sens!E17739=life_it,1,0)+Sens!F17746*IF(Sens!H17739-Sens!F17739=life_it,1,0)+Sens!G17746*IF(Sens!H17739-Sens!G17739=life_it,1,0)</f>
        <v>0</v>
      </c>
      <c r="I17767" s="30" t="n">
        <f aca="false">Sens!C17746*IF(Sens!I17739-Sens!C17739=life_it,1,0)+Sens!D17746*IF(Sens!I17739-Sens!D17739=life_it,1,0)+Sens!E17746*IF(Sens!I17739-Sens!E17739=life_it,1,0)+Sens!F17746*IF(Sens!I17739-Sens!F17739=life_it,1,0)+Sens!G17746*IF(Sens!I17739-Sens!G17739=life_it,1,0)+Sens!H17746*IF(Sens!I17739-Sens!H17739=life_it,1,0)</f>
        <v>816.666666666667</v>
      </c>
      <c r="J17767" s="30" t="n">
        <f aca="false">Sens!C17746*IF(Sens!J17739-Sens!C17739=life_it,1,0)+Sens!D17746*IF(Sens!J17739-Sens!D17739=life_it,1,0)+Sens!E17746*IF(Sens!J17739-Sens!E17739=life_it,1,0)+Sens!F17746*IF(Sens!J17739-Sens!F17739=life_it,1,0)+Sens!G17746*IF(Sens!J17739-Sens!G17739=life_it,1,0)+Sens!H17746*IF(Sens!J17739-Sens!H17739=life_it,1,0)+Sens!I17746*IF(Sens!J17739-Sens!I17739=life_it,1,0)</f>
        <v>1233.33333333333</v>
      </c>
      <c r="K17767" s="30" t="n">
        <f aca="false">Sens!C17746*IF(Sens!K17739-Sens!C17739=life_it,1,0)+Sens!D17746*IF(Sens!K17739-Sens!D17739=life_it,1,0)+Sens!E17746*IF(Sens!K17739-Sens!E17739=life_it,1,0)+Sens!F17746*IF(Sens!K17739-Sens!F17739=life_it,1,0)+Sens!G17746*IF(Sens!K17739-Sens!G17739=life_it,1,0)+Sens!H17746*IF(Sens!K17739-Sens!H17739=life_it,1,0)+Sens!I17746*IF(Sens!K17739-Sens!I17739=life_it,1,0)+Sens!J17746*IF(Sens!K17739-Sens!J17739=life_it,1,0)</f>
        <v>2450</v>
      </c>
      <c r="L17767" s="1" t="s">
        <v>994</v>
      </c>
    </row>
    <row r="17768" customFormat="false" ht="17.15" hidden="false" customHeight="false" outlineLevel="0" collapsed="false">
      <c r="A17768" s="0" t="s">
        <v>995</v>
      </c>
      <c r="B17768" s="0" t="s">
        <v>98</v>
      </c>
      <c r="C17768" s="6" t="n">
        <f aca="false">Sens!C17746*Sens!C17766/1000</f>
        <v>22.5333845916667</v>
      </c>
      <c r="D17768" s="6" t="n">
        <f aca="false">Sens!D17746*Sens!D17766/1000</f>
        <v>34.0300093833333</v>
      </c>
      <c r="E17768" s="6" t="n">
        <f aca="false">Sens!E17746*Sens!E17766/1000</f>
        <v>67.600153775</v>
      </c>
      <c r="F17768" s="6" t="n">
        <f aca="false">(Sens!F17746+Sens!F17767)*Sens!F17766/1000</f>
        <v>136.51872432512</v>
      </c>
      <c r="G17768" s="6" t="n">
        <f aca="false">(Sens!G17746+Sens!G17767)*Sens!G17766/1000</f>
        <v>157.399275932048</v>
      </c>
      <c r="H17768" s="6" t="n">
        <f aca="false">(Sens!H17746+Sens!H17767)*Sens!H17766/1000</f>
        <v>162.260804347512</v>
      </c>
      <c r="I17768" s="6" t="n">
        <f aca="false">(Sens!I17746+Sens!I17767)*Sens!I17766/1000</f>
        <v>144.136569485434</v>
      </c>
      <c r="J17768" s="6" t="n">
        <f aca="false">(Sens!J17746+Sens!J17767)*Sens!J17766/1000</f>
        <v>114.029037357864</v>
      </c>
      <c r="K17768" s="6" t="n">
        <f aca="false">(Sens!K17746+Sens!K17767)*Sens!K17766/1000</f>
        <v>113.437085350975</v>
      </c>
    </row>
    <row r="17769" customFormat="false" ht="17.15" hidden="false" customHeight="false" outlineLevel="0" collapsed="false">
      <c r="A17769" s="0" t="s">
        <v>996</v>
      </c>
      <c r="B17769" s="0" t="s">
        <v>98</v>
      </c>
      <c r="C17769" s="6" t="n">
        <f aca="false">Sens!C17746*self_build*tk_cxfac/1000</f>
        <v>6.2083</v>
      </c>
      <c r="D17769" s="6" t="n">
        <f aca="false">Sens!D17746*self_build*tk_cxfac/1000</f>
        <v>9.3758</v>
      </c>
      <c r="E17769" s="6" t="n">
        <f aca="false">Sens!E17746*self_build*tk_cxfac/1000</f>
        <v>18.6249</v>
      </c>
      <c r="F17769" s="6" t="n">
        <f aca="false">Sens!F17746*self_build*tk_cxfac/1000</f>
        <v>31.935179717</v>
      </c>
      <c r="G17769" s="6" t="n">
        <f aca="false">Sens!G17746*self_build*tk_cxfac/1000</f>
        <v>34.545199717</v>
      </c>
      <c r="H17769" s="6" t="n">
        <f aca="false">Sens!H17746*self_build*tk_cxfac/1000</f>
        <v>34.545199717</v>
      </c>
      <c r="I17769" s="6" t="n">
        <f aca="false">Sens!I17746*self_build*tk_cxfac/1000</f>
        <v>24.4782641361767</v>
      </c>
      <c r="J17769" s="6" t="n">
        <f aca="false">Sens!J17746*self_build*tk_cxfac/1000</f>
        <v>14.9008938380769</v>
      </c>
      <c r="K17769" s="6" t="n">
        <f aca="false">Sens!K17746*self_build*tk_cxfac/1000</f>
        <v>5.52576771375761</v>
      </c>
    </row>
    <row r="17770" customFormat="false" ht="17.15" hidden="false" customHeight="false" outlineLevel="0" collapsed="false">
      <c r="A17770" s="0" t="s">
        <v>997</v>
      </c>
      <c r="B17770" s="0" t="s">
        <v>98</v>
      </c>
      <c r="F17770" s="15" t="n">
        <f aca="false">capex_floor27-Sens!F17768-Sens!F17769-Sens!F17866</f>
        <v>0.0475774452575593</v>
      </c>
      <c r="L17770" s="12" t="s">
        <v>998</v>
      </c>
    </row>
    <row r="17771" customFormat="false" ht="17.15" hidden="false" customHeight="false" outlineLevel="0" collapsed="false">
      <c r="A17771" s="0" t="s">
        <v>999</v>
      </c>
      <c r="B17771" s="0" t="s">
        <v>98</v>
      </c>
      <c r="F17771" s="6" t="n">
        <f aca="false">MAX(0,Sens!F17770)</f>
        <v>0.0475774452575593</v>
      </c>
    </row>
    <row r="17772" customFormat="false" ht="17.15" hidden="false" customHeight="false" outlineLevel="0" collapsed="false">
      <c r="A17772" s="0" t="s">
        <v>1000</v>
      </c>
      <c r="B17772" s="0" t="s">
        <v>98</v>
      </c>
      <c r="C17772" s="6" t="n">
        <f aca="false">Sens!C17768</f>
        <v>22.5333845916667</v>
      </c>
      <c r="D17772" s="6" t="n">
        <f aca="false">Sens!D17768</f>
        <v>34.0300093833333</v>
      </c>
      <c r="E17772" s="6" t="n">
        <f aca="false">Sens!E17768</f>
        <v>67.600153775</v>
      </c>
      <c r="F17772" s="6" t="n">
        <f aca="false">Sens!F17768+Sens!F17771</f>
        <v>136.566301770377</v>
      </c>
      <c r="G17772" s="6" t="n">
        <f aca="false">Sens!G17768</f>
        <v>157.399275932048</v>
      </c>
      <c r="H17772" s="6" t="n">
        <f aca="false">Sens!H17768</f>
        <v>162.260804347512</v>
      </c>
      <c r="I17772" s="6" t="n">
        <f aca="false">Sens!I17768</f>
        <v>144.136569485434</v>
      </c>
      <c r="J17772" s="6" t="n">
        <f aca="false">Sens!J17768</f>
        <v>114.029037357864</v>
      </c>
      <c r="K17772" s="6" t="n">
        <f aca="false">Sens!K17768</f>
        <v>113.437085350975</v>
      </c>
    </row>
    <row r="17773" customFormat="false" ht="17.15" hidden="false" customHeight="false" outlineLevel="0" collapsed="false">
      <c r="A17773" s="0" t="s">
        <v>1001</v>
      </c>
      <c r="B17773" s="0" t="s">
        <v>98</v>
      </c>
      <c r="C17773" s="6" t="n">
        <f aca="false">Sens!C17772+Sens!C17769</f>
        <v>28.7416845916667</v>
      </c>
      <c r="D17773" s="6" t="n">
        <f aca="false">Sens!D17772+Sens!D17769</f>
        <v>43.4058093833333</v>
      </c>
      <c r="E17773" s="6" t="n">
        <f aca="false">Sens!E17772+Sens!E17769</f>
        <v>86.225053775</v>
      </c>
      <c r="F17773" s="6" t="n">
        <f aca="false">Sens!F17772+Sens!F17769</f>
        <v>168.501481487377</v>
      </c>
      <c r="G17773" s="6" t="n">
        <f aca="false">Sens!G17772+Sens!G17769</f>
        <v>191.944475649048</v>
      </c>
      <c r="H17773" s="6" t="n">
        <f aca="false">Sens!H17772+Sens!H17769</f>
        <v>196.806004064512</v>
      </c>
      <c r="I17773" s="6" t="n">
        <f aca="false">Sens!I17772+Sens!I17769</f>
        <v>168.61483362161</v>
      </c>
      <c r="J17773" s="6" t="n">
        <f aca="false">Sens!J17772+Sens!J17769</f>
        <v>128.92993119594</v>
      </c>
      <c r="K17773" s="6" t="n">
        <f aca="false">Sens!K17772+Sens!K17769</f>
        <v>118.962853064733</v>
      </c>
      <c r="L17773" s="12" t="s">
        <v>1002</v>
      </c>
    </row>
    <row r="17774" customFormat="false" ht="17.15" hidden="false" customHeight="false" outlineLevel="0" collapsed="false">
      <c r="A17774" s="0" t="s">
        <v>1003</v>
      </c>
      <c r="B17774" s="0" t="s">
        <v>98</v>
      </c>
      <c r="E17774" s="6" t="n">
        <f aca="false">(Sens!C17772*IF(2&lt;life_it,1,IF(2=life_it,0.5,0))+Sens!D17772*IF(1&lt;life_it,1,IF(1=life_it,0.5,0))+Sens!E17772*0.5)/life_it</f>
        <v>15.0605784770833</v>
      </c>
      <c r="F17774" s="6" t="n">
        <f aca="false">(Sens!C17772*IF(3&lt;life_it,1,IF(3=life_it,0.5,0))+Sens!D17772*IF(2&lt;life_it,1,IF(2=life_it,0.5,0))+Sens!E17772*IF(1&lt;life_it,1,IF(1=life_it,0.5,0))+Sens!F17772*0.5)/life_it</f>
        <v>32.0744497725314</v>
      </c>
      <c r="G17774" s="6" t="n">
        <f aca="false">(Sens!C17772*IF(4&lt;life_it,1,IF(4=life_it,0.5,0))+Sens!D17772*IF(3&lt;life_it,1,IF(3=life_it,0.5,0))+Sens!E17772*IF(2&lt;life_it,1,IF(2=life_it,0.5,0))+Sens!F17772*IF(1&lt;life_it,1,IF(1=life_it,0.5,0))+Sens!G17772*0.5)/life_it</f>
        <v>56.5715812477335</v>
      </c>
      <c r="H17774" s="6" t="n">
        <f aca="false">(Sens!C17772*IF(5&lt;life_it,1,IF(5=life_it,0.5,0))+Sens!D17772*IF(4&lt;life_it,1,IF(4=life_it,0.5,0))+Sens!E17772*IF(3&lt;life_it,1,IF(3=life_it,0.5,0))+Sens!F17772*IF(2&lt;life_it,1,IF(2=life_it,0.5,0))+Sens!G17772*IF(1&lt;life_it,1,IF(1=life_it,0.5,0))+Sens!H17772*0.5)/life_it</f>
        <v>83.2099212710302</v>
      </c>
      <c r="I17774" s="6" t="n">
        <f aca="false">(Sens!C17772*IF(6&lt;life_it,1,IF(6=life_it,0.5,0))+Sens!D17772*IF(5&lt;life_it,1,IF(5=life_it,0.5,0))+Sens!E17772*IF(4&lt;life_it,1,IF(4=life_it,0.5,0))+Sens!F17772*IF(3&lt;life_it,1,IF(3=life_it,0.5,0))+Sens!G17772*IF(2&lt;life_it,1,IF(2=life_it,0.5,0))+Sens!H17772*IF(1&lt;life_it,1,IF(1=life_it,0.5,0))+Sens!I17772*0.5)/life_it</f>
        <v>106.865253707804</v>
      </c>
      <c r="J17774" s="6" t="n">
        <f aca="false">(Sens!C17772*IF(7&lt;life_it,1,IF(7=life_it,0.5,0))+Sens!D17772*IF(6&lt;life_it,1,IF(6=life_it,0.5,0))+Sens!E17772*IF(5&lt;life_it,1,IF(5=life_it,0.5,0))+Sens!F17772*IF(4&lt;life_it,1,IF(4=life_it,0.5,0))+Sens!G17772*IF(3&lt;life_it,1,IF(3=life_it,0.5,0))+Sens!H17772*IF(2&lt;life_it,1,IF(2=life_it,0.5,0))+Sens!I17772*IF(1&lt;life_it,1,IF(1=life_it,0.5,0))+Sens!J17772*0.5)/life_it</f>
        <v>123.665438113495</v>
      </c>
      <c r="K17774" s="6" t="n">
        <f aca="false">(Sens!C17772*IF(8&lt;life_it,1,IF(8=life_it,0.5,0))+Sens!D17772*IF(7&lt;life_it,1,IF(7=life_it,0.5,0))+Sens!E17772*IF(6&lt;life_it,1,IF(6=life_it,0.5,0))+Sens!F17772*IF(5&lt;life_it,1,IF(5=life_it,0.5,0))+Sens!G17772*IF(4&lt;life_it,1,IF(4=life_it,0.5,0))+Sens!H17772*IF(3&lt;life_it,1,IF(3=life_it,0.5,0))+Sens!I17772*IF(2&lt;life_it,1,IF(2=life_it,0.5,0))+Sens!J17772*IF(1&lt;life_it,1,IF(1=life_it,0.5,0))+Sens!K17772*0.5)/life_it</f>
        <v>134.151768076037</v>
      </c>
    </row>
    <row r="17775" customFormat="false" ht="17.15" hidden="false" customHeight="false" outlineLevel="0" collapsed="false">
      <c r="A17775" s="0" t="s">
        <v>1004</v>
      </c>
      <c r="B17775" s="0" t="s">
        <v>98</v>
      </c>
      <c r="E17775" s="6" t="n">
        <f aca="false">(Sens!C17769*IF(2&lt;life_fac,1,IF(2=life_fac,0.5,0))+Sens!D17769*IF(1&lt;life_fac,1,IF(1=life_fac,0.5,0))+Sens!E17769*0.5)/life_fac</f>
        <v>1.2448275</v>
      </c>
      <c r="F17775" s="6" t="n">
        <f aca="false">(Sens!C17769*IF(3&lt;life_fac,1,IF(3=life_fac,0.5,0))+Sens!D17769*IF(2&lt;life_fac,1,IF(2=life_fac,0.5,0))+Sens!E17769*IF(1&lt;life_fac,1,IF(1=life_fac,0.5,0))+Sens!F17769*0.5)/life_fac</f>
        <v>2.508829492925</v>
      </c>
      <c r="G17775" s="6" t="n">
        <f aca="false">(Sens!C17769*IF(4&lt;life_fac,1,IF(4=life_fac,0.5,0))+Sens!D17769*IF(3&lt;life_fac,1,IF(3=life_fac,0.5,0))+Sens!E17769*IF(2&lt;life_fac,1,IF(2=life_fac,0.5,0))+Sens!F17769*IF(1&lt;life_fac,1,IF(1=life_fac,0.5,0))+Sens!G17769*0.5)/life_fac</f>
        <v>4.170838978775</v>
      </c>
      <c r="H17775" s="6" t="n">
        <f aca="false">(Sens!C17769*IF(5&lt;life_fac,1,IF(5=life_fac,0.5,0))+Sens!D17769*IF(4&lt;life_fac,1,IF(4=life_fac,0.5,0))+Sens!E17769*IF(3&lt;life_fac,1,IF(3=life_fac,0.5,0))+Sens!F17769*IF(2&lt;life_fac,1,IF(2=life_fac,0.5,0))+Sens!G17769*IF(1&lt;life_fac,1,IF(1=life_fac,0.5,0))+Sens!H17769*0.5)/life_fac</f>
        <v>5.898098964625</v>
      </c>
      <c r="I17775" s="6" t="n">
        <f aca="false">(Sens!C17769*IF(6&lt;life_fac,1,IF(6=life_fac,0.5,0))+Sens!D17769*IF(5&lt;life_fac,1,IF(5=life_fac,0.5,0))+Sens!E17769*IF(4&lt;life_fac,1,IF(4=life_fac,0.5,0))+Sens!F17769*IF(3&lt;life_fac,1,IF(3=life_fac,0.5,0))+Sens!G17769*IF(2&lt;life_fac,1,IF(2=life_fac,0.5,0))+Sens!H17769*IF(1&lt;life_fac,1,IF(1=life_fac,0.5,0))+Sens!I17769*0.5)/life_fac</f>
        <v>7.37368556095442</v>
      </c>
      <c r="J17775" s="6" t="n">
        <f aca="false">(Sens!C17769*IF(7&lt;life_fac,1,IF(7=life_fac,0.5,0))+Sens!D17769*IF(6&lt;life_fac,1,IF(6=life_fac,0.5,0))+Sens!E17769*IF(5&lt;life_fac,1,IF(5=life_fac,0.5,0))+Sens!F17769*IF(4&lt;life_fac,1,IF(4=life_fac,0.5,0))+Sens!G17769*IF(3&lt;life_fac,1,IF(3=life_fac,0.5,0))+Sens!H17769*IF(2&lt;life_fac,1,IF(2=life_fac,0.5,0))+Sens!I17769*IF(1&lt;life_fac,1,IF(1=life_fac,0.5,0))+Sens!J17769*0.5)/life_fac</f>
        <v>8.35816451031075</v>
      </c>
      <c r="K17775" s="6" t="n">
        <f aca="false">(Sens!C17769*IF(8&lt;life_fac,1,IF(8=life_fac,0.5,0))+Sens!D17769*IF(7&lt;life_fac,1,IF(7=life_fac,0.5,0))+Sens!E17769*IF(6&lt;life_fac,1,IF(6=life_fac,0.5,0))+Sens!F17769*IF(5&lt;life_fac,1,IF(5=life_fac,0.5,0))+Sens!G17769*IF(4&lt;life_fac,1,IF(4=life_fac,0.5,0))+Sens!H17769*IF(3&lt;life_fac,1,IF(3=life_fac,0.5,0))+Sens!I17769*IF(2&lt;life_fac,1,IF(2=life_fac,0.5,0))+Sens!J17769*IF(1&lt;life_fac,1,IF(1=life_fac,0.5,0))+Sens!K17769*0.5)/life_fac</f>
        <v>8.86883104910662</v>
      </c>
    </row>
    <row r="17776" customFormat="false" ht="17.15" hidden="false" customHeight="false" outlineLevel="0" collapsed="false">
      <c r="A17776" s="0" t="s">
        <v>1005</v>
      </c>
      <c r="B17776" s="0" t="s">
        <v>98</v>
      </c>
      <c r="E17776" s="6" t="n">
        <f aca="false">Sens!E17774+Sens!E17775</f>
        <v>16.3054059770833</v>
      </c>
      <c r="F17776" s="6" t="n">
        <f aca="false">Sens!F17774+Sens!F17775</f>
        <v>34.5832792654564</v>
      </c>
      <c r="G17776" s="6" t="n">
        <f aca="false">Sens!G17774+Sens!G17775</f>
        <v>60.7424202265085</v>
      </c>
      <c r="H17776" s="6" t="n">
        <f aca="false">Sens!H17774+Sens!H17775</f>
        <v>89.1080202356552</v>
      </c>
      <c r="I17776" s="6" t="n">
        <f aca="false">Sens!I17774+Sens!I17775</f>
        <v>114.238939268758</v>
      </c>
      <c r="J17776" s="6" t="n">
        <f aca="false">Sens!J17774+Sens!J17775</f>
        <v>132.023602623806</v>
      </c>
      <c r="K17776" s="6" t="n">
        <f aca="false">Sens!K17774+Sens!K17775</f>
        <v>143.020599125144</v>
      </c>
    </row>
    <row r="17777" customFormat="false" ht="17.15" hidden="false" customHeight="false" outlineLevel="0" collapsed="false">
      <c r="A17777" s="0" t="s">
        <v>1006</v>
      </c>
      <c r="B17777" s="0" t="s">
        <v>98</v>
      </c>
      <c r="E17777" s="6" t="n">
        <f aca="false">Sens!E17764-Sens!E17763*Sens!E17776</f>
        <v>8.92707889977379</v>
      </c>
      <c r="F17777" s="6" t="n">
        <f aca="false">Sens!F17764-Sens!F17763*Sens!F17776</f>
        <v>22.4662418536649</v>
      </c>
      <c r="G17777" s="6" t="n">
        <f aca="false">Sens!G17764-Sens!G17763*Sens!G17776</f>
        <v>43.2749951230478</v>
      </c>
      <c r="H17777" s="6" t="n">
        <f aca="false">Sens!H17764-Sens!H17763*Sens!H17776</f>
        <v>69.3429521902084</v>
      </c>
      <c r="I17777" s="6" t="n">
        <f aca="false">Sens!I17764-Sens!I17763*Sens!I17776</f>
        <v>86.8476089695579</v>
      </c>
      <c r="J17777" s="6" t="n">
        <f aca="false">Sens!J17764-Sens!J17763*Sens!J17776</f>
        <v>98.9835069788945</v>
      </c>
      <c r="K17777" s="6" t="n">
        <f aca="false">Sens!K17764-Sens!K17763*Sens!K17776</f>
        <v>106.914227266873</v>
      </c>
    </row>
    <row r="17778" customFormat="false" ht="17.15" hidden="false" customHeight="false" outlineLevel="0" collapsed="false">
      <c r="A17778" s="3" t="s">
        <v>2050</v>
      </c>
    </row>
    <row r="17779" customFormat="false" ht="15" hidden="false" customHeight="false" outlineLevel="0" collapsed="false">
      <c r="A17779" s="4" t="s">
        <v>43</v>
      </c>
      <c r="B17779" s="4" t="s">
        <v>65</v>
      </c>
      <c r="C17779" s="23" t="s">
        <v>942</v>
      </c>
      <c r="D17779" s="23" t="s">
        <v>943</v>
      </c>
      <c r="E17779" s="23" t="s">
        <v>944</v>
      </c>
      <c r="F17779" s="23" t="s">
        <v>945</v>
      </c>
      <c r="G17779" s="23" t="s">
        <v>946</v>
      </c>
      <c r="H17779" s="23" t="s">
        <v>947</v>
      </c>
      <c r="I17779" s="23" t="s">
        <v>948</v>
      </c>
      <c r="J17779" s="23" t="s">
        <v>949</v>
      </c>
      <c r="K17779" s="23" t="s">
        <v>950</v>
      </c>
      <c r="L17779" s="4" t="s">
        <v>47</v>
      </c>
    </row>
    <row r="17780" customFormat="false" ht="17.15" hidden="false" customHeight="false" outlineLevel="0" collapsed="false">
      <c r="A17780" s="0" t="s">
        <v>1025</v>
      </c>
      <c r="B17780" s="0" t="s">
        <v>98</v>
      </c>
      <c r="D17780" s="6" t="n">
        <f aca="false">Sens!D17758</f>
        <v>12.9359794422418</v>
      </c>
      <c r="E17780" s="6" t="n">
        <f aca="false">Sens!E17758</f>
        <v>27.8095064661409</v>
      </c>
      <c r="F17780" s="6" t="n">
        <f aca="false">Sens!F17758</f>
        <v>59.1034165651511</v>
      </c>
      <c r="G17780" s="6" t="n">
        <f aca="false">Sens!G17758</f>
        <v>103.451498789198</v>
      </c>
      <c r="H17780" s="6" t="n">
        <f aca="false">Sens!H17758</f>
        <v>153.816719989035</v>
      </c>
      <c r="I17780" s="6" t="n">
        <f aca="false">Sens!I17758</f>
        <v>192.699478690852</v>
      </c>
      <c r="J17780" s="6" t="n">
        <f aca="false">Sens!J17758</f>
        <v>219.794102584244</v>
      </c>
      <c r="K17780" s="6" t="n">
        <f aca="false">Sens!K17758</f>
        <v>236.757046905022</v>
      </c>
    </row>
    <row r="17781" customFormat="false" ht="17.15" hidden="false" customHeight="false" outlineLevel="0" collapsed="false">
      <c r="A17781" s="0" t="s">
        <v>1026</v>
      </c>
      <c r="B17781" s="0" t="s">
        <v>98</v>
      </c>
      <c r="D17781" s="6" t="n">
        <f aca="false">Q!L6-Sens!D17780</f>
        <v>59.6740205577583</v>
      </c>
      <c r="E17781" s="6" t="n">
        <f aca="false">Q!M6-Sens!E17780</f>
        <v>74.1284935338591</v>
      </c>
      <c r="F17781" s="6" t="n">
        <f aca="false">Q!$I$6+(Sens!F17780+Sens!E17781*(1+Sens!F17782))*(1-Q!$E$6/Q!M6)-Sens!F17780</f>
        <v>90.4866018070994</v>
      </c>
      <c r="G17781" s="6" t="n">
        <f aca="false">Sens!F17781*(1+Sens!G17782)</f>
        <v>107.511588557154</v>
      </c>
      <c r="H17781" s="6" t="n">
        <f aca="false">Sens!G17781*(1+Sens!H17782)</f>
        <v>124.832989325489</v>
      </c>
      <c r="I17781" s="6" t="n">
        <f aca="false">Sens!H17781*(1+Sens!I17782)</f>
        <v>141.56992589148</v>
      </c>
      <c r="J17781" s="6" t="n">
        <f aca="false">Sens!I17781*(1+Sens!J17782)</f>
        <v>156.723190479428</v>
      </c>
      <c r="K17781" s="6" t="n">
        <f aca="false">Sens!J17781*(1+Sens!K17782)</f>
        <v>169.261045717783</v>
      </c>
      <c r="L17781" s="12" t="s">
        <v>1027</v>
      </c>
    </row>
    <row r="17782" customFormat="false" ht="15" hidden="false" customHeight="false" outlineLevel="0" collapsed="false">
      <c r="A17782" s="1" t="s">
        <v>1028</v>
      </c>
      <c r="B17782" s="0" t="s">
        <v>168</v>
      </c>
      <c r="E17782" s="7" t="n">
        <f aca="false">Sens!E17781/Sens!D17781-1</f>
        <v>0.242223883039864</v>
      </c>
      <c r="F17782" s="7" t="n">
        <f aca="false">Sens!$E$17782+(glt_azo-Sens!$E$17782)*MIN(1,(Sens!F17739-base_fy)/n_conv)</f>
        <v>0.215186569199887</v>
      </c>
      <c r="G17782" s="7" t="n">
        <f aca="false">Sens!$E$17782+(glt_azo-Sens!$E$17782)*MIN(1,(Sens!G17739-base_fy)/n_conv)</f>
        <v>0.18814925535991</v>
      </c>
      <c r="H17782" s="7" t="n">
        <f aca="false">Sens!$E$17782+(glt_azo-Sens!$E$17782)*MIN(1,(Sens!H17739-base_fy)/n_conv)</f>
        <v>0.161111941519932</v>
      </c>
      <c r="I17782" s="7" t="n">
        <f aca="false">Sens!$E$17782+(glt_azo-Sens!$E$17782)*MIN(1,(Sens!I17739-base_fy)/n_conv)</f>
        <v>0.134074627679955</v>
      </c>
      <c r="J17782" s="7" t="n">
        <f aca="false">Sens!$E$17782+(glt_azo-Sens!$E$17782)*MIN(1,(Sens!J17739-base_fy)/n_conv)</f>
        <v>0.107037313839977</v>
      </c>
      <c r="K17782" s="7" t="n">
        <f aca="false">Sens!$E$17782+(glt_azo-Sens!$E$17782)*MIN(1,(Sens!K17739-base_fy)/n_conv)</f>
        <v>0.08</v>
      </c>
    </row>
    <row r="17783" customFormat="false" ht="15" hidden="false" customHeight="false" outlineLevel="0" collapsed="false">
      <c r="A17783" s="0" t="s">
        <v>1029</v>
      </c>
      <c r="B17783" s="0" t="s">
        <v>98</v>
      </c>
      <c r="D17783" s="6" t="n">
        <f aca="false">Sens!D17780+Sens!D17781</f>
        <v>72.61</v>
      </c>
      <c r="E17783" s="6" t="n">
        <f aca="false">Sens!E17780+Sens!E17781</f>
        <v>101.938</v>
      </c>
      <c r="F17783" s="6" t="n">
        <f aca="false">Sens!F17780+Sens!F17781</f>
        <v>149.59001837225</v>
      </c>
      <c r="G17783" s="6" t="n">
        <f aca="false">Sens!G17780+Sens!G17781</f>
        <v>210.963087346352</v>
      </c>
      <c r="H17783" s="6" t="n">
        <f aca="false">Sens!H17780+Sens!H17781</f>
        <v>278.649709314524</v>
      </c>
      <c r="I17783" s="6" t="n">
        <f aca="false">Sens!I17780+Sens!I17781</f>
        <v>334.269404582332</v>
      </c>
      <c r="J17783" s="6" t="n">
        <f aca="false">Sens!J17780+Sens!J17781</f>
        <v>376.517293063672</v>
      </c>
      <c r="K17783" s="6" t="n">
        <f aca="false">Sens!K17780+Sens!K17781</f>
        <v>406.018092622804</v>
      </c>
    </row>
    <row r="17784" customFormat="false" ht="17.15" hidden="false" customHeight="false" outlineLevel="0" collapsed="false">
      <c r="A17784" s="0" t="s">
        <v>1030</v>
      </c>
      <c r="B17784" s="1" t="s">
        <v>613</v>
      </c>
      <c r="C17784" s="30" t="n">
        <f aca="false">cop_s24</f>
        <v>1</v>
      </c>
      <c r="D17784" s="30" t="n">
        <f aca="false">cop_s25</f>
        <v>5</v>
      </c>
      <c r="E17784" s="30" t="n">
        <f aca="false">cop_s26</f>
        <v>30</v>
      </c>
      <c r="F17784" s="30" t="n">
        <f aca="false">Sens!E17784+cop_add_A</f>
        <v>60</v>
      </c>
      <c r="G17784" s="30" t="n">
        <f aca="false">Sens!F17784+cop_add_A</f>
        <v>90</v>
      </c>
      <c r="H17784" s="30" t="n">
        <f aca="false">Sens!G17784+cop_add_A</f>
        <v>120</v>
      </c>
      <c r="I17784" s="30" t="n">
        <f aca="false">Sens!H17784+cop_add_A*cop_tail</f>
        <v>135</v>
      </c>
      <c r="J17784" s="30" t="n">
        <f aca="false">Sens!I17784+cop_add_A*cop_tail</f>
        <v>150</v>
      </c>
      <c r="K17784" s="30" t="n">
        <f aca="false">Sens!J17784+cop_add_A*cop_tail</f>
        <v>165</v>
      </c>
      <c r="L17784" s="12" t="s">
        <v>1031</v>
      </c>
    </row>
    <row r="17785" customFormat="false" ht="17.15" hidden="false" customHeight="false" outlineLevel="0" collapsed="false">
      <c r="A17785" s="0" t="s">
        <v>1032</v>
      </c>
      <c r="B17785" s="0" t="s">
        <v>98</v>
      </c>
      <c r="D17785" s="6" t="n">
        <f aca="false">(Sens!C17784+Sens!D17784)/2*cop_px*12/1000</f>
        <v>0.9</v>
      </c>
      <c r="E17785" s="6" t="n">
        <f aca="false">(Sens!D17784+Sens!E17784)/2*cop_px*12/1000</f>
        <v>5.25</v>
      </c>
      <c r="F17785" s="6" t="n">
        <f aca="false">(Sens!E17784+Sens!F17784)/2*cop_px*12/1000</f>
        <v>13.5</v>
      </c>
      <c r="G17785" s="6" t="n">
        <f aca="false">(Sens!F17784+Sens!G17784)/2*cop_px*12/1000</f>
        <v>22.5</v>
      </c>
      <c r="H17785" s="6" t="n">
        <f aca="false">(Sens!G17784+Sens!H17784)/2*cop_px*12/1000</f>
        <v>31.5</v>
      </c>
      <c r="I17785" s="6" t="n">
        <f aca="false">(Sens!H17784+Sens!I17784)/2*cop_px*12/1000</f>
        <v>38.25</v>
      </c>
      <c r="J17785" s="6" t="n">
        <f aca="false">(Sens!I17784+Sens!J17784)/2*cop_px*12/1000</f>
        <v>42.75</v>
      </c>
      <c r="K17785" s="6" t="n">
        <f aca="false">(Sens!J17784+Sens!K17784)/2*cop_px*12/1000</f>
        <v>47.25</v>
      </c>
      <c r="L17785" s="1" t="s">
        <v>1033</v>
      </c>
    </row>
    <row r="17786" customFormat="false" ht="17.15" hidden="false" customHeight="false" outlineLevel="0" collapsed="false">
      <c r="A17786" s="0" t="s">
        <v>1034</v>
      </c>
      <c r="B17786" s="0" t="s">
        <v>98</v>
      </c>
      <c r="D17786" s="6" t="n">
        <f aca="false">Q!L7-Sens!D17785</f>
        <v>83.705</v>
      </c>
      <c r="E17786" s="6" t="n">
        <f aca="false">Q!M7-Sens!E17785</f>
        <v>95.049</v>
      </c>
      <c r="F17786" s="6" t="n">
        <f aca="false">Q!$I$7+(Sens!E17786*(1+Sens!F17787)+Sens!F17785)*(1-Q!$E$7/Q!M7)-Sens!F17785</f>
        <v>106.229653205718</v>
      </c>
      <c r="G17786" s="6" t="n">
        <f aca="false">Sens!F17786*(1+Sens!G17787)</f>
        <v>118.306092647576</v>
      </c>
      <c r="H17786" s="6" t="n">
        <f aca="false">Sens!G17786*(1+Sens!H17787)</f>
        <v>130.463437602768</v>
      </c>
      <c r="I17786" s="6" t="n">
        <f aca="false">Sens!H17786*(1+Sens!I17787)</f>
        <v>142.445354741933</v>
      </c>
      <c r="J17786" s="6" t="n">
        <f aca="false">Sens!I17786*(1+Sens!J17787)</f>
        <v>153.972117481571</v>
      </c>
      <c r="K17786" s="6" t="n">
        <f aca="false">Sens!J17786*(1+Sens!K17787)</f>
        <v>164.75016570528</v>
      </c>
      <c r="L17786" s="12" t="s">
        <v>1035</v>
      </c>
    </row>
    <row r="17787" customFormat="false" ht="15" hidden="false" customHeight="false" outlineLevel="0" collapsed="false">
      <c r="A17787" s="1" t="s">
        <v>1028</v>
      </c>
      <c r="B17787" s="0" t="s">
        <v>168</v>
      </c>
      <c r="E17787" s="7" t="n">
        <f aca="false">Sens!E17786/Sens!D17786-1</f>
        <v>0.135523564900544</v>
      </c>
      <c r="F17787" s="7" t="n">
        <f aca="false">Sens!$E$17787+(glt_m365b-Sens!$E$17787)*MIN(1,(Sens!F17739-base_fy)/n_conv)</f>
        <v>0.124602970750453</v>
      </c>
      <c r="G17787" s="7" t="n">
        <f aca="false">Sens!$E$17787+(glt_m365b-Sens!$E$17787)*MIN(1,(Sens!G17739-base_fy)/n_conv)</f>
        <v>0.113682376600363</v>
      </c>
      <c r="H17787" s="7" t="n">
        <f aca="false">Sens!$E$17787+(glt_m365b-Sens!$E$17787)*MIN(1,(Sens!H17739-base_fy)/n_conv)</f>
        <v>0.102761782450272</v>
      </c>
      <c r="I17787" s="7" t="n">
        <f aca="false">Sens!$E$17787+(glt_m365b-Sens!$E$17787)*MIN(1,(Sens!I17739-base_fy)/n_conv)</f>
        <v>0.0918411883001813</v>
      </c>
      <c r="J17787" s="7" t="n">
        <f aca="false">Sens!$E$17787+(glt_m365b-Sens!$E$17787)*MIN(1,(Sens!J17739-base_fy)/n_conv)</f>
        <v>0.0809205941500906</v>
      </c>
      <c r="K17787" s="7" t="n">
        <f aca="false">Sens!$E$17787+(glt_m365b-Sens!$E$17787)*MIN(1,(Sens!K17739-base_fy)/n_conv)</f>
        <v>0.07</v>
      </c>
    </row>
    <row r="17788" customFormat="false" ht="15" hidden="false" customHeight="false" outlineLevel="0" collapsed="false">
      <c r="A17788" s="0" t="s">
        <v>1036</v>
      </c>
      <c r="B17788" s="0" t="s">
        <v>98</v>
      </c>
      <c r="D17788" s="6" t="n">
        <f aca="false">Sens!D17786+Sens!D17785</f>
        <v>84.605</v>
      </c>
      <c r="E17788" s="6" t="n">
        <f aca="false">Sens!E17786+Sens!E17785</f>
        <v>100.299</v>
      </c>
      <c r="F17788" s="6" t="n">
        <f aca="false">Sens!F17786+Sens!F17785</f>
        <v>119.729653205718</v>
      </c>
      <c r="G17788" s="6" t="n">
        <f aca="false">Sens!G17786+Sens!G17785</f>
        <v>140.806092647576</v>
      </c>
      <c r="H17788" s="6" t="n">
        <f aca="false">Sens!H17786+Sens!H17785</f>
        <v>161.963437602768</v>
      </c>
      <c r="I17788" s="6" t="n">
        <f aca="false">Sens!I17786+Sens!I17785</f>
        <v>180.695354741933</v>
      </c>
      <c r="J17788" s="6" t="n">
        <f aca="false">Sens!J17786+Sens!J17785</f>
        <v>196.722117481571</v>
      </c>
      <c r="K17788" s="6" t="n">
        <f aca="false">Sens!K17786+Sens!K17785</f>
        <v>212.00016570528</v>
      </c>
    </row>
    <row r="17789" customFormat="false" ht="17.15" hidden="false" customHeight="false" outlineLevel="0" collapsed="false">
      <c r="A17789" s="0" t="s">
        <v>1037</v>
      </c>
      <c r="B17789" s="0" t="s">
        <v>98</v>
      </c>
      <c r="D17789" s="6" t="n">
        <f aca="false">Q!L8</f>
        <v>35.391</v>
      </c>
      <c r="E17789" s="6" t="n">
        <f aca="false">Q!M8</f>
        <v>37.285</v>
      </c>
      <c r="F17789" s="6" t="n">
        <f aca="false">Q!$I$8+(Q!M8-Q!$E$8)*(1+Sens!F17790)</f>
        <v>38.3851437782675</v>
      </c>
      <c r="G17789" s="6" t="n">
        <f aca="false">Sens!F17789*(1+Sens!G17790)</f>
        <v>40.0105353288615</v>
      </c>
      <c r="H17789" s="6" t="n">
        <f aca="false">Sens!G17789*(1+Sens!H17790)</f>
        <v>41.4812512033683</v>
      </c>
      <c r="I17789" s="6" t="n">
        <f aca="false">Sens!H17789*(1+Sens!I17790)</f>
        <v>42.7743107216329</v>
      </c>
      <c r="J17789" s="6" t="n">
        <f aca="false">Sens!I17789*(1+Sens!J17790)</f>
        <v>43.8687373064601</v>
      </c>
      <c r="K17789" s="6" t="n">
        <f aca="false">Sens!J17789*(1+Sens!K17790)</f>
        <v>44.7461120525893</v>
      </c>
      <c r="L17789" s="12" t="s">
        <v>1038</v>
      </c>
    </row>
    <row r="17790" customFormat="false" ht="15" hidden="false" customHeight="false" outlineLevel="0" collapsed="false">
      <c r="A17790" s="1" t="s">
        <v>1028</v>
      </c>
      <c r="B17790" s="0" t="s">
        <v>168</v>
      </c>
      <c r="E17790" s="7" t="n">
        <f aca="false">Sens!E17789/Sens!D17789-1</f>
        <v>0.0535164307309768</v>
      </c>
      <c r="F17790" s="7" t="n">
        <f aca="false">Sens!$E$17790+(glt_lic-Sens!$E$17790)*MIN(1,(Sens!F17739-base_fy)/n_conv)</f>
        <v>0.0479303589424807</v>
      </c>
      <c r="G17790" s="7" t="n">
        <f aca="false">Sens!$E$17790+(glt_lic-Sens!$E$17790)*MIN(1,(Sens!G17739-base_fy)/n_conv)</f>
        <v>0.0423442871539845</v>
      </c>
      <c r="H17790" s="7" t="n">
        <f aca="false">Sens!$E$17790+(glt_lic-Sens!$E$17790)*MIN(1,(Sens!H17739-base_fy)/n_conv)</f>
        <v>0.0367582153654884</v>
      </c>
      <c r="I17790" s="7" t="n">
        <f aca="false">Sens!$E$17790+(glt_lic-Sens!$E$17790)*MIN(1,(Sens!I17739-base_fy)/n_conv)</f>
        <v>0.0311721435769923</v>
      </c>
      <c r="J17790" s="7" t="n">
        <f aca="false">Sens!$E$17790+(glt_lic-Sens!$E$17790)*MIN(1,(Sens!J17739-base_fy)/n_conv)</f>
        <v>0.0255860717884961</v>
      </c>
      <c r="K17790" s="7" t="n">
        <f aca="false">Sens!$E$17790+(glt_lic-Sens!$E$17790)*MIN(1,(Sens!K17739-base_fy)/n_conv)</f>
        <v>0.02</v>
      </c>
    </row>
    <row r="17791" customFormat="false" ht="17.15" hidden="false" customHeight="false" outlineLevel="0" collapsed="false">
      <c r="A17791" s="0" t="s">
        <v>1039</v>
      </c>
      <c r="B17791" s="0" t="s">
        <v>98</v>
      </c>
      <c r="D17791" s="6" t="n">
        <f aca="false">Q!L9</f>
        <v>18.417</v>
      </c>
      <c r="E17791" s="6" t="n">
        <f aca="false">Q!M9</f>
        <v>20.345</v>
      </c>
      <c r="F17791" s="6" t="n">
        <f aca="false">Q!$I$9+(Q!M9-Q!$E$9)*(1+Sens!F17792)</f>
        <v>22.3161797133988</v>
      </c>
      <c r="G17791" s="6" t="n">
        <f aca="false">Sens!F17791*(1+Sens!G17792)</f>
        <v>24.3943499673233</v>
      </c>
      <c r="H17791" s="6" t="n">
        <f aca="false">Sens!G17791*(1+Sens!H17792)</f>
        <v>26.5250243109019</v>
      </c>
      <c r="I17791" s="6" t="n">
        <f aca="false">Sens!H17791*(1+Sens!I17792)</f>
        <v>28.6884573538181</v>
      </c>
      <c r="J17791" s="6" t="n">
        <f aca="false">Sens!I17791*(1+Sens!J17792)</f>
        <v>30.8624968052127</v>
      </c>
      <c r="K17791" s="6" t="n">
        <f aca="false">Sens!J17791*(1+Sens!K17792)</f>
        <v>33.0228715815776</v>
      </c>
      <c r="L17791" s="12" t="s">
        <v>1038</v>
      </c>
    </row>
    <row r="17792" customFormat="false" ht="15" hidden="false" customHeight="false" outlineLevel="0" collapsed="false">
      <c r="A17792" s="1" t="s">
        <v>1028</v>
      </c>
      <c r="B17792" s="0" t="s">
        <v>168</v>
      </c>
      <c r="E17792" s="7" t="n">
        <f aca="false">Sens!E17791/Sens!D17791-1</f>
        <v>0.104685888038225</v>
      </c>
      <c r="F17792" s="7" t="n">
        <f aca="false">Sens!$E$17792+(glt_ind-Sens!$E$17792)*MIN(1,(Sens!F17739-base_fy)/n_conv)</f>
        <v>0.0989049066985211</v>
      </c>
      <c r="G17792" s="7" t="n">
        <f aca="false">Sens!$E$17792+(glt_ind-Sens!$E$17792)*MIN(1,(Sens!G17739-base_fy)/n_conv)</f>
        <v>0.0931239253588169</v>
      </c>
      <c r="H17792" s="7" t="n">
        <f aca="false">Sens!$E$17792+(glt_ind-Sens!$E$17792)*MIN(1,(Sens!H17739-base_fy)/n_conv)</f>
        <v>0.0873429440191127</v>
      </c>
      <c r="I17792" s="7" t="n">
        <f aca="false">Sens!$E$17792+(glt_ind-Sens!$E$17792)*MIN(1,(Sens!I17739-base_fy)/n_conv)</f>
        <v>0.0815619626794085</v>
      </c>
      <c r="J17792" s="7" t="n">
        <f aca="false">Sens!$E$17792+(glt_ind-Sens!$E$17792)*MIN(1,(Sens!J17739-base_fy)/n_conv)</f>
        <v>0.0757809813397042</v>
      </c>
      <c r="K17792" s="7" t="n">
        <f aca="false">Sens!$E$17792+(glt_ind-Sens!$E$17792)*MIN(1,(Sens!K17739-base_fy)/n_conv)</f>
        <v>0.07</v>
      </c>
    </row>
    <row r="17793" customFormat="false" ht="17.15" hidden="false" customHeight="false" outlineLevel="0" collapsed="false">
      <c r="A17793" s="0" t="s">
        <v>1040</v>
      </c>
      <c r="B17793" s="0" t="s">
        <v>98</v>
      </c>
      <c r="D17793" s="6" t="n">
        <f aca="false">Q!L10</f>
        <v>7.76</v>
      </c>
      <c r="E17793" s="6" t="n">
        <f aca="false">Q!M10</f>
        <v>8.26</v>
      </c>
      <c r="F17793" s="6" t="n">
        <f aca="false">Q!$I$10+(Q!M10-Q!$E$10)*(1+Sens!F17794)</f>
        <v>8.75372082474227</v>
      </c>
      <c r="G17793" s="6" t="n">
        <f aca="false">Sens!F17793*(1+Sens!G17794)</f>
        <v>9.33399324642364</v>
      </c>
      <c r="H17793" s="6" t="n">
        <f aca="false">Sens!G17793*(1+Sens!H17794)</f>
        <v>9.96139155535851</v>
      </c>
      <c r="I17793" s="6" t="n">
        <f aca="false">Sens!H17793*(1+Sens!I17794)</f>
        <v>10.6402039077391</v>
      </c>
      <c r="J17793" s="6" t="n">
        <f aca="false">Sens!I17793*(1+Sens!J17794)</f>
        <v>11.3751458271397</v>
      </c>
      <c r="K17793" s="6" t="n">
        <f aca="false">Sens!J17793*(1+Sens!K17794)</f>
        <v>12.1714060350394</v>
      </c>
      <c r="L17793" s="12" t="s">
        <v>1038</v>
      </c>
    </row>
    <row r="17794" customFormat="false" ht="15" hidden="false" customHeight="false" outlineLevel="0" collapsed="false">
      <c r="A17794" s="1" t="s">
        <v>1028</v>
      </c>
      <c r="B17794" s="0" t="s">
        <v>168</v>
      </c>
      <c r="E17794" s="7" t="n">
        <f aca="false">Sens!E17793/Sens!D17793-1</f>
        <v>0.0644329896907216</v>
      </c>
      <c r="F17794" s="7" t="n">
        <f aca="false">Sens!$E$17794+(glt_fro-Sens!$E$17794)*MIN(1,(Sens!F17739-base_fy)/n_conv)</f>
        <v>0.065360824742268</v>
      </c>
      <c r="G17794" s="7" t="n">
        <f aca="false">Sens!$E$17794+(glt_fro-Sens!$E$17794)*MIN(1,(Sens!G17739-base_fy)/n_conv)</f>
        <v>0.0662886597938144</v>
      </c>
      <c r="H17794" s="7" t="n">
        <f aca="false">Sens!$E$17794+(glt_fro-Sens!$E$17794)*MIN(1,(Sens!H17739-base_fy)/n_conv)</f>
        <v>0.0672164948453608</v>
      </c>
      <c r="I17794" s="7" t="n">
        <f aca="false">Sens!$E$17794+(glt_fro-Sens!$E$17794)*MIN(1,(Sens!I17739-base_fy)/n_conv)</f>
        <v>0.0681443298969072</v>
      </c>
      <c r="J17794" s="7" t="n">
        <f aca="false">Sens!$E$17794+(glt_fro-Sens!$E$17794)*MIN(1,(Sens!J17739-base_fy)/n_conv)</f>
        <v>0.0690721649484536</v>
      </c>
      <c r="K17794" s="7" t="n">
        <f aca="false">Sens!$E$17794+(glt_fro-Sens!$E$17794)*MIN(1,(Sens!K17739-base_fy)/n_conv)</f>
        <v>0.07</v>
      </c>
    </row>
    <row r="17795" customFormat="false" ht="15" hidden="false" customHeight="false" outlineLevel="0" collapsed="false">
      <c r="A17795" s="0" t="s">
        <v>856</v>
      </c>
      <c r="B17795" s="0" t="s">
        <v>98</v>
      </c>
      <c r="D17795" s="6" t="n">
        <f aca="false">Sens!D17783+Sens!D17788+Sens!D17789+Sens!D17791+Sens!D17793</f>
        <v>218.783</v>
      </c>
      <c r="E17795" s="6" t="n">
        <f aca="false">Sens!E17783+Sens!E17788+Sens!E17789+Sens!E17791+Sens!E17793</f>
        <v>268.127</v>
      </c>
      <c r="F17795" s="6" t="n">
        <f aca="false">Sens!F17783+Sens!F17788+Sens!F17789+Sens!F17791+Sens!F17793</f>
        <v>338.774715894377</v>
      </c>
      <c r="G17795" s="6" t="n">
        <f aca="false">Sens!G17783+Sens!G17788+Sens!G17789+Sens!G17791+Sens!G17793</f>
        <v>425.508058536537</v>
      </c>
      <c r="H17795" s="6" t="n">
        <f aca="false">Sens!H17783+Sens!H17788+Sens!H17789+Sens!H17791+Sens!H17793</f>
        <v>518.580813986921</v>
      </c>
      <c r="I17795" s="6" t="n">
        <f aca="false">Sens!I17783+Sens!I17788+Sens!I17789+Sens!I17791+Sens!I17793</f>
        <v>597.067731307455</v>
      </c>
      <c r="J17795" s="6" t="n">
        <f aca="false">Sens!J17783+Sens!J17788+Sens!J17789+Sens!J17791+Sens!J17793</f>
        <v>659.345790484055</v>
      </c>
      <c r="K17795" s="6" t="n">
        <f aca="false">Sens!K17783+Sens!K17788+Sens!K17789+Sens!K17791+Sens!K17793</f>
        <v>707.958647997291</v>
      </c>
    </row>
    <row r="17796" customFormat="false" ht="17.15" hidden="false" customHeight="false" outlineLevel="0" collapsed="false">
      <c r="A17796" s="0" t="s">
        <v>1041</v>
      </c>
      <c r="B17796" s="0" t="s">
        <v>98</v>
      </c>
      <c r="D17796" s="6" t="n">
        <f aca="false">Q!L13</f>
        <v>22.171</v>
      </c>
      <c r="E17796" s="6" t="n">
        <f aca="false">Q!M13</f>
        <v>24.835</v>
      </c>
      <c r="F17796" s="6" t="n">
        <f aca="false">Q!$I$13+(Q!M13-Q!$E$13)*(1+Sens!F17797)</f>
        <v>27.5591895660247</v>
      </c>
      <c r="G17796" s="6" t="n">
        <f aca="false">Sens!F17796*(1+Sens!G17797)</f>
        <v>30.4098563144583</v>
      </c>
      <c r="H17796" s="6" t="n">
        <f aca="false">Sens!G17796*(1+Sens!H17797)</f>
        <v>33.3011792571777</v>
      </c>
      <c r="I17796" s="6" t="n">
        <f aca="false">Sens!H17796*(1+Sens!I17797)</f>
        <v>36.189023797112</v>
      </c>
      <c r="J17796" s="6" t="n">
        <f aca="false">Sens!I17796*(1+Sens!J17797)</f>
        <v>39.0247773769199</v>
      </c>
      <c r="K17796" s="6" t="n">
        <f aca="false">Sens!J17796*(1+Sens!K17797)</f>
        <v>41.7565117933043</v>
      </c>
      <c r="L17796" s="12" t="s">
        <v>1038</v>
      </c>
    </row>
    <row r="17797" customFormat="false" ht="15" hidden="false" customHeight="false" outlineLevel="0" collapsed="false">
      <c r="A17797" s="1" t="s">
        <v>1028</v>
      </c>
      <c r="B17797" s="0" t="s">
        <v>168</v>
      </c>
      <c r="E17797" s="7" t="n">
        <f aca="false">Sens!E17796/Sens!D17796-1</f>
        <v>0.120156961796942</v>
      </c>
      <c r="F17797" s="7" t="n">
        <f aca="false">Sens!$E$17797+(glt_srch-Sens!$E$17797)*MIN(1,(Sens!F17739-base_fy)/n_conv)</f>
        <v>0.111797468164118</v>
      </c>
      <c r="G17797" s="7" t="n">
        <f aca="false">Sens!$E$17797+(glt_srch-Sens!$E$17797)*MIN(1,(Sens!G17739-base_fy)/n_conv)</f>
        <v>0.103437974531295</v>
      </c>
      <c r="H17797" s="7" t="n">
        <f aca="false">Sens!$E$17797+(glt_srch-Sens!$E$17797)*MIN(1,(Sens!H17739-base_fy)/n_conv)</f>
        <v>0.095078480898471</v>
      </c>
      <c r="I17797" s="7" t="n">
        <f aca="false">Sens!$E$17797+(glt_srch-Sens!$E$17797)*MIN(1,(Sens!I17739-base_fy)/n_conv)</f>
        <v>0.0867189872656474</v>
      </c>
      <c r="J17797" s="7" t="n">
        <f aca="false">Sens!$E$17797+(glt_srch-Sens!$E$17797)*MIN(1,(Sens!J17739-base_fy)/n_conv)</f>
        <v>0.0783594936328237</v>
      </c>
      <c r="K17797" s="7" t="n">
        <f aca="false">Sens!$E$17797+(glt_srch-Sens!$E$17797)*MIN(1,(Sens!K17739-base_fy)/n_conv)</f>
        <v>0.07</v>
      </c>
    </row>
    <row r="17798" customFormat="false" ht="17.15" hidden="false" customHeight="false" outlineLevel="0" collapsed="false">
      <c r="A17798" s="0" t="s">
        <v>1042</v>
      </c>
      <c r="B17798" s="0" t="s">
        <v>98</v>
      </c>
      <c r="D17798" s="6" t="n">
        <f aca="false">Q!L14</f>
        <v>23.455</v>
      </c>
      <c r="E17798" s="6" t="n">
        <f aca="false">Q!M14</f>
        <v>21.79</v>
      </c>
      <c r="F17798" s="6" t="n">
        <f aca="false">Q!$I$14+(Q!M14-Q!$E$14)*(1+Sens!F17799)</f>
        <v>20.7520981041711</v>
      </c>
      <c r="G17798" s="6" t="n">
        <f aca="false">Sens!F17798*(1+Sens!G17799)</f>
        <v>19.9083593495882</v>
      </c>
      <c r="H17798" s="6" t="n">
        <f aca="false">Sens!G17798*(1+Sens!H17799)</f>
        <v>19.4008256265831</v>
      </c>
      <c r="I17798" s="6" t="n">
        <f aca="false">Sens!H17798*(1+Sens!I17799)</f>
        <v>19.200434522122</v>
      </c>
      <c r="J17798" s="6" t="n">
        <f aca="false">Sens!I17798*(1+Sens!J17799)</f>
        <v>19.2932782348507</v>
      </c>
      <c r="K17798" s="6" t="n">
        <f aca="false">Sens!J17798*(1+Sens!K17799)</f>
        <v>19.6791437995477</v>
      </c>
      <c r="L17798" s="12" t="s">
        <v>1038</v>
      </c>
    </row>
    <row r="17799" customFormat="false" ht="15" hidden="false" customHeight="false" outlineLevel="0" collapsed="false">
      <c r="A17799" s="1" t="s">
        <v>1028</v>
      </c>
      <c r="B17799" s="0" t="s">
        <v>168</v>
      </c>
      <c r="E17799" s="7" t="n">
        <f aca="false">Sens!E17798/Sens!D17798-1</f>
        <v>-0.0709869963760392</v>
      </c>
      <c r="F17799" s="7" t="n">
        <f aca="false">Sens!$E$17799+(glt_xbox-Sens!$E$17799)*MIN(1,(Sens!F17739-base_fy)/n_conv)</f>
        <v>-0.0558224969800327</v>
      </c>
      <c r="G17799" s="7" t="n">
        <f aca="false">Sens!$E$17799+(glt_xbox-Sens!$E$17799)*MIN(1,(Sens!G17739-base_fy)/n_conv)</f>
        <v>-0.0406579975840262</v>
      </c>
      <c r="H17799" s="7" t="n">
        <f aca="false">Sens!$E$17799+(glt_xbox-Sens!$E$17799)*MIN(1,(Sens!H17739-base_fy)/n_conv)</f>
        <v>-0.0254934981880196</v>
      </c>
      <c r="I17799" s="7" t="n">
        <f aca="false">Sens!$E$17799+(glt_xbox-Sens!$E$17799)*MIN(1,(Sens!I17739-base_fy)/n_conv)</f>
        <v>-0.0103289987920131</v>
      </c>
      <c r="J17799" s="7" t="n">
        <f aca="false">Sens!$E$17799+(glt_xbox-Sens!$E$17799)*MIN(1,(Sens!J17739-base_fy)/n_conv)</f>
        <v>0.00483550060399347</v>
      </c>
      <c r="K17799" s="7" t="n">
        <f aca="false">Sens!$E$17799+(glt_xbox-Sens!$E$17799)*MIN(1,(Sens!K17739-base_fy)/n_conv)</f>
        <v>0.02</v>
      </c>
    </row>
    <row r="17800" customFormat="false" ht="17.15" hidden="false" customHeight="false" outlineLevel="0" collapsed="false">
      <c r="A17800" s="0" t="s">
        <v>1043</v>
      </c>
      <c r="B17800" s="0" t="s">
        <v>98</v>
      </c>
      <c r="D17800" s="6" t="n">
        <f aca="false">Q!L15</f>
        <v>17.315</v>
      </c>
      <c r="E17800" s="6" t="n">
        <f aca="false">Q!M15</f>
        <v>17.087</v>
      </c>
      <c r="F17800" s="6" t="n">
        <f aca="false">Q!$I$15+(Q!M15-Q!$E$15)*(1+Sens!F17801)</f>
        <v>15.9912273250553</v>
      </c>
      <c r="G17800" s="6" t="n">
        <f aca="false">Sens!F17800*(1+Sens!G17801)</f>
        <v>15.9574562664827</v>
      </c>
      <c r="H17800" s="6" t="n">
        <f aca="false">Sens!G17800*(1+Sens!H17801)</f>
        <v>16.0119687434196</v>
      </c>
      <c r="I17800" s="6" t="n">
        <f aca="false">Sens!H17800*(1+Sens!I17801)</f>
        <v>16.1551810001948</v>
      </c>
      <c r="J17800" s="6" t="n">
        <f aca="false">Sens!I17800*(1+Sens!J17801)</f>
        <v>16.3889793892005</v>
      </c>
      <c r="K17800" s="6" t="n">
        <f aca="false">Sens!J17800*(1+Sens!K17801)</f>
        <v>16.7167589769845</v>
      </c>
      <c r="L17800" s="12" t="s">
        <v>1038</v>
      </c>
    </row>
    <row r="17801" customFormat="false" ht="15" hidden="false" customHeight="false" outlineLevel="0" collapsed="false">
      <c r="A17801" s="1" t="s">
        <v>1028</v>
      </c>
      <c r="B17801" s="0" t="s">
        <v>168</v>
      </c>
      <c r="E17801" s="7" t="n">
        <f aca="false">Sens!E17800/Sens!D17800-1</f>
        <v>-0.0131677736066995</v>
      </c>
      <c r="F17801" s="7" t="n">
        <f aca="false">Sens!$E$17801+(glt_win-Sens!$E$17801)*MIN(1,(Sens!F17739-base_fy)/n_conv)</f>
        <v>-0.00763981133891627</v>
      </c>
      <c r="G17801" s="7" t="n">
        <f aca="false">Sens!$E$17801+(glt_win-Sens!$E$17801)*MIN(1,(Sens!G17739-base_fy)/n_conv)</f>
        <v>-0.00211184907113301</v>
      </c>
      <c r="H17801" s="7" t="n">
        <f aca="false">Sens!$E$17801+(glt_win-Sens!$E$17801)*MIN(1,(Sens!H17739-base_fy)/n_conv)</f>
        <v>0.00341611319665024</v>
      </c>
      <c r="I17801" s="7" t="n">
        <f aca="false">Sens!$E$17801+(glt_win-Sens!$E$17801)*MIN(1,(Sens!I17739-base_fy)/n_conv)</f>
        <v>0.00894407546443349</v>
      </c>
      <c r="J17801" s="7" t="n">
        <f aca="false">Sens!$E$17801+(glt_win-Sens!$E$17801)*MIN(1,(Sens!J17739-base_fy)/n_conv)</f>
        <v>0.0144720377322168</v>
      </c>
      <c r="K17801" s="7" t="n">
        <f aca="false">Sens!$E$17801+(glt_win-Sens!$E$17801)*MIN(1,(Sens!K17739-base_fy)/n_conv)</f>
        <v>0.02</v>
      </c>
    </row>
    <row r="17802" customFormat="false" ht="15" hidden="false" customHeight="false" outlineLevel="0" collapsed="false">
      <c r="A17802" s="0" t="s">
        <v>870</v>
      </c>
      <c r="B17802" s="0" t="s">
        <v>98</v>
      </c>
      <c r="D17802" s="6" t="n">
        <f aca="false">Sens!D17796+Sens!D17798+Sens!D17800</f>
        <v>62.941</v>
      </c>
      <c r="E17802" s="6" t="n">
        <f aca="false">Sens!E17796+Sens!E17798+Sens!E17800</f>
        <v>63.712</v>
      </c>
      <c r="F17802" s="6" t="n">
        <f aca="false">Sens!F17796+Sens!F17798+Sens!F17800</f>
        <v>64.3025149952511</v>
      </c>
      <c r="G17802" s="6" t="n">
        <f aca="false">Sens!G17796+Sens!G17798+Sens!G17800</f>
        <v>66.2756719305292</v>
      </c>
      <c r="H17802" s="6" t="n">
        <f aca="false">Sens!H17796+Sens!H17798+Sens!H17800</f>
        <v>68.7139736271804</v>
      </c>
      <c r="I17802" s="6" t="n">
        <f aca="false">Sens!I17796+Sens!I17798+Sens!I17800</f>
        <v>71.5446393194289</v>
      </c>
      <c r="J17802" s="6" t="n">
        <f aca="false">Sens!J17796+Sens!J17798+Sens!J17800</f>
        <v>74.707035000971</v>
      </c>
      <c r="K17802" s="6" t="n">
        <f aca="false">Sens!K17796+Sens!K17798+Sens!K17800</f>
        <v>78.1524145698365</v>
      </c>
    </row>
    <row r="17803" customFormat="false" ht="15" hidden="false" customHeight="false" outlineLevel="0" collapsed="false">
      <c r="A17803" s="1" t="s">
        <v>1044</v>
      </c>
      <c r="B17803" s="0" t="s">
        <v>98</v>
      </c>
      <c r="D17803" s="6" t="n">
        <f aca="false">Sens!D17795+Sens!D17802</f>
        <v>281.724</v>
      </c>
      <c r="E17803" s="6" t="n">
        <f aca="false">Sens!E17795+Sens!E17802</f>
        <v>331.839</v>
      </c>
      <c r="F17803" s="6" t="n">
        <f aca="false">Sens!F17795+Sens!F17802</f>
        <v>403.077230889628</v>
      </c>
      <c r="G17803" s="6" t="n">
        <f aca="false">Sens!G17795+Sens!G17802</f>
        <v>491.783730467066</v>
      </c>
      <c r="H17803" s="6" t="n">
        <f aca="false">Sens!H17795+Sens!H17802</f>
        <v>587.294787614101</v>
      </c>
      <c r="I17803" s="6" t="n">
        <f aca="false">Sens!I17795+Sens!I17802</f>
        <v>668.612370626884</v>
      </c>
      <c r="J17803" s="6" t="n">
        <f aca="false">Sens!J17795+Sens!J17802</f>
        <v>734.052825485026</v>
      </c>
      <c r="K17803" s="6" t="n">
        <f aca="false">Sens!K17795+Sens!K17802</f>
        <v>786.111062567128</v>
      </c>
    </row>
    <row r="17804" customFormat="false" ht="15" hidden="false" customHeight="false" outlineLevel="0" collapsed="false">
      <c r="A17804" s="26" t="s">
        <v>1045</v>
      </c>
      <c r="B17804" s="31" t="s">
        <v>98</v>
      </c>
      <c r="C17804" s="31"/>
      <c r="D17804" s="27" t="n">
        <f aca="false">(Sens!D17783+Sens!D17788+Sens!D17789+Sens!D17791+Sens!D17793-Sens!D17795)+(Sens!D17796+Sens!D17798+Sens!D17800-Sens!D17802)+(Sens!D17795-Q!L5)+(Sens!D17802-Q!L12)+(Sens!D17783-Q!L6)+(Sens!D17788-Q!L7)</f>
        <v>0</v>
      </c>
      <c r="E17804" s="27" t="n">
        <f aca="false">(Sens!E17783+Sens!E17788+Sens!E17789+Sens!E17791+Sens!E17793-Sens!E17795)+(Sens!E17796+Sens!E17798+Sens!E17800-Sens!E17802)+(Sens!E17795-Q!M5)+(Sens!E17802-Q!M12)+(Sens!E17783-Q!M6)+(Sens!E17788-Q!M7)</f>
        <v>0</v>
      </c>
      <c r="F17804" s="27" t="n">
        <f aca="false">(Sens!F17783+Sens!F17788+Sens!F17789+Sens!F17791+Sens!F17793-Sens!F17795)+(Sens!F17796+Sens!F17798+Sens!F17800-Sens!F17802)</f>
        <v>0</v>
      </c>
      <c r="G17804" s="27" t="n">
        <f aca="false">(Sens!G17783+Sens!G17788+Sens!G17789+Sens!G17791+Sens!G17793-Sens!G17795)+(Sens!G17796+Sens!G17798+Sens!G17800-Sens!G17802)</f>
        <v>0</v>
      </c>
      <c r="H17804" s="27" t="n">
        <f aca="false">(Sens!H17783+Sens!H17788+Sens!H17789+Sens!H17791+Sens!H17793-Sens!H17795)+(Sens!H17796+Sens!H17798+Sens!H17800-Sens!H17802)</f>
        <v>0</v>
      </c>
      <c r="I17804" s="27" t="n">
        <f aca="false">(Sens!I17783+Sens!I17788+Sens!I17789+Sens!I17791+Sens!I17793-Sens!I17795)+(Sens!I17796+Sens!I17798+Sens!I17800-Sens!I17802)</f>
        <v>0</v>
      </c>
      <c r="J17804" s="27" t="n">
        <f aca="false">(Sens!J17783+Sens!J17788+Sens!J17789+Sens!J17791+Sens!J17793-Sens!J17795)+(Sens!J17796+Sens!J17798+Sens!J17800-Sens!J17802)</f>
        <v>0</v>
      </c>
      <c r="K17804" s="27" t="n">
        <f aca="false">(Sens!K17783+Sens!K17788+Sens!K17789+Sens!K17791+Sens!K17793-Sens!K17795)+(Sens!K17796+Sens!K17798+Sens!K17800-Sens!K17802)</f>
        <v>0</v>
      </c>
    </row>
    <row r="17805" customFormat="false" ht="17.15" hidden="false" customHeight="false" outlineLevel="0" collapsed="false">
      <c r="A17805" s="3" t="s">
        <v>2051</v>
      </c>
    </row>
    <row r="17806" customFormat="false" ht="15" hidden="false" customHeight="false" outlineLevel="0" collapsed="false">
      <c r="A17806" s="4" t="s">
        <v>43</v>
      </c>
      <c r="B17806" s="4" t="s">
        <v>65</v>
      </c>
      <c r="C17806" s="23" t="s">
        <v>942</v>
      </c>
      <c r="D17806" s="23" t="s">
        <v>943</v>
      </c>
      <c r="E17806" s="23" t="s">
        <v>944</v>
      </c>
      <c r="F17806" s="23" t="s">
        <v>945</v>
      </c>
      <c r="G17806" s="23" t="s">
        <v>946</v>
      </c>
      <c r="H17806" s="23" t="s">
        <v>947</v>
      </c>
      <c r="I17806" s="23" t="s">
        <v>948</v>
      </c>
      <c r="J17806" s="23" t="s">
        <v>949</v>
      </c>
      <c r="K17806" s="23" t="s">
        <v>950</v>
      </c>
      <c r="L17806" s="4" t="s">
        <v>47</v>
      </c>
    </row>
    <row r="17807" customFormat="false" ht="15" hidden="false" customHeight="false" outlineLevel="0" collapsed="false">
      <c r="A17807" s="0" t="s">
        <v>1029</v>
      </c>
      <c r="B17807" s="0" t="s">
        <v>98</v>
      </c>
      <c r="D17807" s="6" t="n">
        <f aca="false">Sens!D17783</f>
        <v>72.61</v>
      </c>
      <c r="E17807" s="6" t="n">
        <f aca="false">Sens!E17783</f>
        <v>101.938</v>
      </c>
      <c r="F17807" s="6" t="n">
        <f aca="false">Sens!F17783</f>
        <v>149.59001837225</v>
      </c>
      <c r="G17807" s="6" t="n">
        <f aca="false">Sens!G17783</f>
        <v>210.963087346352</v>
      </c>
      <c r="H17807" s="6" t="n">
        <f aca="false">Sens!H17783</f>
        <v>278.649709314524</v>
      </c>
      <c r="I17807" s="6" t="n">
        <f aca="false">Sens!I17783</f>
        <v>334.269404582332</v>
      </c>
      <c r="J17807" s="6" t="n">
        <f aca="false">Sens!J17783</f>
        <v>376.517293063672</v>
      </c>
      <c r="K17807" s="6" t="n">
        <f aca="false">Sens!K17783</f>
        <v>406.018092622804</v>
      </c>
    </row>
    <row r="17808" customFormat="false" ht="17.15" hidden="false" customHeight="false" outlineLevel="0" collapsed="false">
      <c r="A17808" s="0" t="s">
        <v>1025</v>
      </c>
      <c r="B17808" s="0" t="s">
        <v>98</v>
      </c>
      <c r="D17808" s="6" t="n">
        <f aca="false">Sens!D17780</f>
        <v>12.9359794422418</v>
      </c>
      <c r="E17808" s="6" t="n">
        <f aca="false">Sens!E17780</f>
        <v>27.8095064661409</v>
      </c>
      <c r="F17808" s="6" t="n">
        <f aca="false">Sens!F17780</f>
        <v>59.1034165651511</v>
      </c>
      <c r="G17808" s="6" t="n">
        <f aca="false">Sens!G17780</f>
        <v>103.451498789198</v>
      </c>
      <c r="H17808" s="6" t="n">
        <f aca="false">Sens!H17780</f>
        <v>153.816719989035</v>
      </c>
      <c r="I17808" s="6" t="n">
        <f aca="false">Sens!I17780</f>
        <v>192.699478690852</v>
      </c>
      <c r="J17808" s="6" t="n">
        <f aca="false">Sens!J17780</f>
        <v>219.794102584244</v>
      </c>
      <c r="K17808" s="6" t="n">
        <f aca="false">Sens!K17780</f>
        <v>236.757046905022</v>
      </c>
    </row>
    <row r="17809" customFormat="false" ht="17.15" hidden="false" customHeight="false" outlineLevel="0" collapsed="false">
      <c r="A17809" s="0" t="s">
        <v>1056</v>
      </c>
      <c r="B17809" s="0" t="s">
        <v>98</v>
      </c>
      <c r="D17809" s="6" t="n">
        <f aca="false">Sens!D17781</f>
        <v>59.6740205577583</v>
      </c>
      <c r="E17809" s="6" t="n">
        <f aca="false">Sens!E17781</f>
        <v>74.1284935338591</v>
      </c>
      <c r="F17809" s="6" t="n">
        <f aca="false">Sens!F17781</f>
        <v>90.4866018070994</v>
      </c>
      <c r="G17809" s="6" t="n">
        <f aca="false">Sens!G17781</f>
        <v>107.511588557154</v>
      </c>
      <c r="H17809" s="6" t="n">
        <f aca="false">Sens!H17781</f>
        <v>124.832989325489</v>
      </c>
      <c r="I17809" s="6" t="n">
        <f aca="false">Sens!I17781</f>
        <v>141.56992589148</v>
      </c>
      <c r="J17809" s="6" t="n">
        <f aca="false">Sens!J17781</f>
        <v>156.723190479428</v>
      </c>
      <c r="K17809" s="6" t="n">
        <f aca="false">Sens!K17781</f>
        <v>169.261045717783</v>
      </c>
    </row>
    <row r="17810" customFormat="false" ht="15" hidden="false" customHeight="false" outlineLevel="0" collapsed="false">
      <c r="A17810" s="0" t="s">
        <v>1036</v>
      </c>
      <c r="B17810" s="0" t="s">
        <v>98</v>
      </c>
      <c r="D17810" s="6" t="n">
        <f aca="false">Sens!D17788</f>
        <v>84.605</v>
      </c>
      <c r="E17810" s="6" t="n">
        <f aca="false">Sens!E17788</f>
        <v>100.299</v>
      </c>
      <c r="F17810" s="6" t="n">
        <f aca="false">Sens!F17788</f>
        <v>119.729653205718</v>
      </c>
      <c r="G17810" s="6" t="n">
        <f aca="false">Sens!G17788</f>
        <v>140.806092647576</v>
      </c>
      <c r="H17810" s="6" t="n">
        <f aca="false">Sens!H17788</f>
        <v>161.963437602768</v>
      </c>
      <c r="I17810" s="6" t="n">
        <f aca="false">Sens!I17788</f>
        <v>180.695354741933</v>
      </c>
      <c r="J17810" s="6" t="n">
        <f aca="false">Sens!J17788</f>
        <v>196.722117481571</v>
      </c>
      <c r="K17810" s="6" t="n">
        <f aca="false">Sens!K17788</f>
        <v>212.00016570528</v>
      </c>
    </row>
    <row r="17811" customFormat="false" ht="17.15" hidden="false" customHeight="false" outlineLevel="0" collapsed="false">
      <c r="A17811" s="0" t="s">
        <v>1057</v>
      </c>
      <c r="B17811" s="0" t="s">
        <v>98</v>
      </c>
      <c r="D17811" s="6" t="n">
        <f aca="false">Sens!D17786</f>
        <v>83.705</v>
      </c>
      <c r="E17811" s="6" t="n">
        <f aca="false">Sens!E17786</f>
        <v>95.049</v>
      </c>
      <c r="F17811" s="6" t="n">
        <f aca="false">Sens!F17786</f>
        <v>106.229653205718</v>
      </c>
      <c r="G17811" s="6" t="n">
        <f aca="false">Sens!G17786</f>
        <v>118.306092647576</v>
      </c>
      <c r="H17811" s="6" t="n">
        <f aca="false">Sens!H17786</f>
        <v>130.463437602768</v>
      </c>
      <c r="I17811" s="6" t="n">
        <f aca="false">Sens!I17786</f>
        <v>142.445354741933</v>
      </c>
      <c r="J17811" s="6" t="n">
        <f aca="false">Sens!J17786</f>
        <v>153.972117481571</v>
      </c>
      <c r="K17811" s="6" t="n">
        <f aca="false">Sens!K17786</f>
        <v>164.75016570528</v>
      </c>
    </row>
    <row r="17812" customFormat="false" ht="17.15" hidden="false" customHeight="false" outlineLevel="0" collapsed="false">
      <c r="A17812" s="0" t="s">
        <v>1058</v>
      </c>
      <c r="B17812" s="0" t="s">
        <v>98</v>
      </c>
      <c r="D17812" s="6" t="n">
        <f aca="false">Sens!D17785</f>
        <v>0.9</v>
      </c>
      <c r="E17812" s="6" t="n">
        <f aca="false">Sens!E17785</f>
        <v>5.25</v>
      </c>
      <c r="F17812" s="6" t="n">
        <f aca="false">Sens!F17785</f>
        <v>13.5</v>
      </c>
      <c r="G17812" s="6" t="n">
        <f aca="false">Sens!G17785</f>
        <v>22.5</v>
      </c>
      <c r="H17812" s="6" t="n">
        <f aca="false">Sens!H17785</f>
        <v>31.5</v>
      </c>
      <c r="I17812" s="6" t="n">
        <f aca="false">Sens!I17785</f>
        <v>38.25</v>
      </c>
      <c r="J17812" s="6" t="n">
        <f aca="false">Sens!J17785</f>
        <v>42.75</v>
      </c>
      <c r="K17812" s="6" t="n">
        <f aca="false">Sens!K17785</f>
        <v>47.25</v>
      </c>
    </row>
    <row r="17813" customFormat="false" ht="15" hidden="false" customHeight="false" outlineLevel="0" collapsed="false">
      <c r="A17813" s="0" t="s">
        <v>1037</v>
      </c>
      <c r="B17813" s="0" t="s">
        <v>98</v>
      </c>
      <c r="D17813" s="6" t="n">
        <f aca="false">Sens!D17789</f>
        <v>35.391</v>
      </c>
      <c r="E17813" s="6" t="n">
        <f aca="false">Sens!E17789</f>
        <v>37.285</v>
      </c>
      <c r="F17813" s="6" t="n">
        <f aca="false">Sens!F17789</f>
        <v>38.3851437782675</v>
      </c>
      <c r="G17813" s="6" t="n">
        <f aca="false">Sens!G17789</f>
        <v>40.0105353288615</v>
      </c>
      <c r="H17813" s="6" t="n">
        <f aca="false">Sens!H17789</f>
        <v>41.4812512033683</v>
      </c>
      <c r="I17813" s="6" t="n">
        <f aca="false">Sens!I17789</f>
        <v>42.7743107216329</v>
      </c>
      <c r="J17813" s="6" t="n">
        <f aca="false">Sens!J17789</f>
        <v>43.8687373064601</v>
      </c>
      <c r="K17813" s="6" t="n">
        <f aca="false">Sens!K17789</f>
        <v>44.7461120525893</v>
      </c>
    </row>
    <row r="17814" customFormat="false" ht="15" hidden="false" customHeight="false" outlineLevel="0" collapsed="false">
      <c r="A17814" s="0" t="s">
        <v>1039</v>
      </c>
      <c r="B17814" s="0" t="s">
        <v>98</v>
      </c>
      <c r="D17814" s="6" t="n">
        <f aca="false">Sens!D17791</f>
        <v>18.417</v>
      </c>
      <c r="E17814" s="6" t="n">
        <f aca="false">Sens!E17791</f>
        <v>20.345</v>
      </c>
      <c r="F17814" s="6" t="n">
        <f aca="false">Sens!F17791</f>
        <v>22.3161797133988</v>
      </c>
      <c r="G17814" s="6" t="n">
        <f aca="false">Sens!G17791</f>
        <v>24.3943499673233</v>
      </c>
      <c r="H17814" s="6" t="n">
        <f aca="false">Sens!H17791</f>
        <v>26.5250243109019</v>
      </c>
      <c r="I17814" s="6" t="n">
        <f aca="false">Sens!I17791</f>
        <v>28.6884573538181</v>
      </c>
      <c r="J17814" s="6" t="n">
        <f aca="false">Sens!J17791</f>
        <v>30.8624968052127</v>
      </c>
      <c r="K17814" s="6" t="n">
        <f aca="false">Sens!K17791</f>
        <v>33.0228715815776</v>
      </c>
    </row>
    <row r="17815" customFormat="false" ht="15" hidden="false" customHeight="false" outlineLevel="0" collapsed="false">
      <c r="A17815" s="0" t="s">
        <v>1040</v>
      </c>
      <c r="B17815" s="0" t="s">
        <v>98</v>
      </c>
      <c r="D17815" s="6" t="n">
        <f aca="false">Sens!D17793</f>
        <v>7.76</v>
      </c>
      <c r="E17815" s="6" t="n">
        <f aca="false">Sens!E17793</f>
        <v>8.26</v>
      </c>
      <c r="F17815" s="6" t="n">
        <f aca="false">Sens!F17793</f>
        <v>8.75372082474227</v>
      </c>
      <c r="G17815" s="6" t="n">
        <f aca="false">Sens!G17793</f>
        <v>9.33399324642364</v>
      </c>
      <c r="H17815" s="6" t="n">
        <f aca="false">Sens!H17793</f>
        <v>9.96139155535851</v>
      </c>
      <c r="I17815" s="6" t="n">
        <f aca="false">Sens!I17793</f>
        <v>10.6402039077391</v>
      </c>
      <c r="J17815" s="6" t="n">
        <f aca="false">Sens!J17793</f>
        <v>11.3751458271397</v>
      </c>
      <c r="K17815" s="6" t="n">
        <f aca="false">Sens!K17793</f>
        <v>12.1714060350394</v>
      </c>
    </row>
    <row r="17816" customFormat="false" ht="15" hidden="false" customHeight="false" outlineLevel="0" collapsed="false">
      <c r="A17816" s="0" t="s">
        <v>856</v>
      </c>
      <c r="B17816" s="0" t="s">
        <v>98</v>
      </c>
      <c r="D17816" s="6" t="n">
        <f aca="false">Sens!D17795</f>
        <v>218.783</v>
      </c>
      <c r="E17816" s="6" t="n">
        <f aca="false">Sens!E17795</f>
        <v>268.127</v>
      </c>
      <c r="F17816" s="6" t="n">
        <f aca="false">Sens!F17795</f>
        <v>338.774715894377</v>
      </c>
      <c r="G17816" s="6" t="n">
        <f aca="false">Sens!G17795</f>
        <v>425.508058536537</v>
      </c>
      <c r="H17816" s="6" t="n">
        <f aca="false">Sens!H17795</f>
        <v>518.580813986921</v>
      </c>
      <c r="I17816" s="6" t="n">
        <f aca="false">Sens!I17795</f>
        <v>597.067731307455</v>
      </c>
      <c r="J17816" s="6" t="n">
        <f aca="false">Sens!J17795</f>
        <v>659.345790484055</v>
      </c>
      <c r="K17816" s="6" t="n">
        <f aca="false">Sens!K17795</f>
        <v>707.958647997291</v>
      </c>
    </row>
    <row r="17817" customFormat="false" ht="15" hidden="false" customHeight="false" outlineLevel="0" collapsed="false">
      <c r="A17817" s="0" t="s">
        <v>1041</v>
      </c>
      <c r="B17817" s="0" t="s">
        <v>98</v>
      </c>
      <c r="D17817" s="6" t="n">
        <f aca="false">Sens!D17796</f>
        <v>22.171</v>
      </c>
      <c r="E17817" s="6" t="n">
        <f aca="false">Sens!E17796</f>
        <v>24.835</v>
      </c>
      <c r="F17817" s="6" t="n">
        <f aca="false">Sens!F17796</f>
        <v>27.5591895660247</v>
      </c>
      <c r="G17817" s="6" t="n">
        <f aca="false">Sens!G17796</f>
        <v>30.4098563144583</v>
      </c>
      <c r="H17817" s="6" t="n">
        <f aca="false">Sens!H17796</f>
        <v>33.3011792571777</v>
      </c>
      <c r="I17817" s="6" t="n">
        <f aca="false">Sens!I17796</f>
        <v>36.189023797112</v>
      </c>
      <c r="J17817" s="6" t="n">
        <f aca="false">Sens!J17796</f>
        <v>39.0247773769199</v>
      </c>
      <c r="K17817" s="6" t="n">
        <f aca="false">Sens!K17796</f>
        <v>41.7565117933043</v>
      </c>
    </row>
    <row r="17818" customFormat="false" ht="15" hidden="false" customHeight="false" outlineLevel="0" collapsed="false">
      <c r="A17818" s="0" t="s">
        <v>1042</v>
      </c>
      <c r="B17818" s="0" t="s">
        <v>98</v>
      </c>
      <c r="D17818" s="6" t="n">
        <f aca="false">Sens!D17798</f>
        <v>23.455</v>
      </c>
      <c r="E17818" s="6" t="n">
        <f aca="false">Sens!E17798</f>
        <v>21.79</v>
      </c>
      <c r="F17818" s="6" t="n">
        <f aca="false">Sens!F17798</f>
        <v>20.7520981041711</v>
      </c>
      <c r="G17818" s="6" t="n">
        <f aca="false">Sens!G17798</f>
        <v>19.9083593495882</v>
      </c>
      <c r="H17818" s="6" t="n">
        <f aca="false">Sens!H17798</f>
        <v>19.4008256265831</v>
      </c>
      <c r="I17818" s="6" t="n">
        <f aca="false">Sens!I17798</f>
        <v>19.200434522122</v>
      </c>
      <c r="J17818" s="6" t="n">
        <f aca="false">Sens!J17798</f>
        <v>19.2932782348507</v>
      </c>
      <c r="K17818" s="6" t="n">
        <f aca="false">Sens!K17798</f>
        <v>19.6791437995477</v>
      </c>
    </row>
    <row r="17819" customFormat="false" ht="15" hidden="false" customHeight="false" outlineLevel="0" collapsed="false">
      <c r="A17819" s="0" t="s">
        <v>1043</v>
      </c>
      <c r="B17819" s="0" t="s">
        <v>98</v>
      </c>
      <c r="D17819" s="6" t="n">
        <f aca="false">Sens!D17800</f>
        <v>17.315</v>
      </c>
      <c r="E17819" s="6" t="n">
        <f aca="false">Sens!E17800</f>
        <v>17.087</v>
      </c>
      <c r="F17819" s="6" t="n">
        <f aca="false">Sens!F17800</f>
        <v>15.9912273250553</v>
      </c>
      <c r="G17819" s="6" t="n">
        <f aca="false">Sens!G17800</f>
        <v>15.9574562664827</v>
      </c>
      <c r="H17819" s="6" t="n">
        <f aca="false">Sens!H17800</f>
        <v>16.0119687434196</v>
      </c>
      <c r="I17819" s="6" t="n">
        <f aca="false">Sens!I17800</f>
        <v>16.1551810001948</v>
      </c>
      <c r="J17819" s="6" t="n">
        <f aca="false">Sens!J17800</f>
        <v>16.3889793892005</v>
      </c>
      <c r="K17819" s="6" t="n">
        <f aca="false">Sens!K17800</f>
        <v>16.7167589769845</v>
      </c>
    </row>
    <row r="17820" customFormat="false" ht="15" hidden="false" customHeight="false" outlineLevel="0" collapsed="false">
      <c r="A17820" s="0" t="s">
        <v>870</v>
      </c>
      <c r="B17820" s="0" t="s">
        <v>98</v>
      </c>
      <c r="D17820" s="6" t="n">
        <f aca="false">Sens!D17802</f>
        <v>62.941</v>
      </c>
      <c r="E17820" s="6" t="n">
        <f aca="false">Sens!E17802</f>
        <v>63.712</v>
      </c>
      <c r="F17820" s="6" t="n">
        <f aca="false">Sens!F17802</f>
        <v>64.3025149952511</v>
      </c>
      <c r="G17820" s="6" t="n">
        <f aca="false">Sens!G17802</f>
        <v>66.2756719305292</v>
      </c>
      <c r="H17820" s="6" t="n">
        <f aca="false">Sens!H17802</f>
        <v>68.7139736271804</v>
      </c>
      <c r="I17820" s="6" t="n">
        <f aca="false">Sens!I17802</f>
        <v>71.5446393194289</v>
      </c>
      <c r="J17820" s="6" t="n">
        <f aca="false">Sens!J17802</f>
        <v>74.707035000971</v>
      </c>
      <c r="K17820" s="6" t="n">
        <f aca="false">Sens!K17802</f>
        <v>78.1524145698365</v>
      </c>
    </row>
    <row r="17821" customFormat="false" ht="15" hidden="false" customHeight="false" outlineLevel="0" collapsed="false">
      <c r="A17821" s="1" t="s">
        <v>1059</v>
      </c>
      <c r="B17821" s="0" t="s">
        <v>98</v>
      </c>
      <c r="D17821" s="6" t="n">
        <f aca="false">Sens!D17803</f>
        <v>281.724</v>
      </c>
      <c r="E17821" s="6" t="n">
        <f aca="false">Sens!E17803</f>
        <v>331.839</v>
      </c>
      <c r="F17821" s="6" t="n">
        <f aca="false">Sens!F17803</f>
        <v>403.077230889628</v>
      </c>
      <c r="G17821" s="6" t="n">
        <f aca="false">Sens!G17803</f>
        <v>491.783730467066</v>
      </c>
      <c r="H17821" s="6" t="n">
        <f aca="false">Sens!H17803</f>
        <v>587.294787614101</v>
      </c>
      <c r="I17821" s="6" t="n">
        <f aca="false">Sens!I17803</f>
        <v>668.612370626884</v>
      </c>
      <c r="J17821" s="6" t="n">
        <f aca="false">Sens!J17803</f>
        <v>734.052825485026</v>
      </c>
      <c r="K17821" s="6" t="n">
        <f aca="false">Sens!K17803</f>
        <v>786.111062567128</v>
      </c>
    </row>
    <row r="17822" customFormat="false" ht="15" hidden="false" customHeight="false" outlineLevel="0" collapsed="false">
      <c r="A17822" s="1" t="s">
        <v>1060</v>
      </c>
      <c r="B17822" s="0" t="s">
        <v>168</v>
      </c>
      <c r="E17822" s="7" t="n">
        <f aca="false">Sens!E17821/Sens!D17821-1</f>
        <v>0.177886867998467</v>
      </c>
      <c r="F17822" s="7" t="n">
        <f aca="false">Sens!F17821/Sens!E17821-1</f>
        <v>0.21467709006364</v>
      </c>
      <c r="G17822" s="7" t="n">
        <f aca="false">Sens!G17821/Sens!F17821-1</f>
        <v>0.220073208753704</v>
      </c>
      <c r="H17822" s="7" t="n">
        <f aca="false">Sens!H17821/Sens!G17821-1</f>
        <v>0.194213535808362</v>
      </c>
      <c r="I17822" s="7" t="n">
        <f aca="false">Sens!I17821/Sens!H17821-1</f>
        <v>0.13846127145643</v>
      </c>
      <c r="J17822" s="7" t="n">
        <f aca="false">Sens!J17821/Sens!I17821-1</f>
        <v>0.0978750285412546</v>
      </c>
      <c r="K17822" s="7" t="n">
        <f aca="false">Sens!K17821/Sens!J17821-1</f>
        <v>0.0709189247350204</v>
      </c>
    </row>
    <row r="17823" customFormat="false" ht="17.15" hidden="false" customHeight="false" outlineLevel="0" collapsed="false">
      <c r="A17823" s="26" t="s">
        <v>1061</v>
      </c>
      <c r="B17823" s="31" t="s">
        <v>98</v>
      </c>
      <c r="C17823" s="31"/>
      <c r="D17823" s="27" t="n">
        <f aca="false">(Sens!D17816+Sens!D17820-Sens!D17821)+(Sens!D17808+Sens!D17809-Sens!D17807)+(Sens!D17811+Sens!D17812-Sens!D17810)+(Sens!D17821-Q!L18)</f>
        <v>0</v>
      </c>
      <c r="E17823" s="27" t="n">
        <f aca="false">(Sens!E17816+Sens!E17820-Sens!E17821)+(Sens!E17808+Sens!E17809-Sens!E17807)+(Sens!E17811+Sens!E17812-Sens!E17810)+(Sens!E17821-Q!M18)</f>
        <v>0</v>
      </c>
      <c r="F17823" s="27" t="n">
        <f aca="false">(Sens!F17816+Sens!F17820-Sens!F17821)+(Sens!F17808+Sens!F17809-Sens!F17807)+(Sens!F17811+Sens!F17812-Sens!F17810)</f>
        <v>0</v>
      </c>
      <c r="G17823" s="27" t="n">
        <f aca="false">(Sens!G17816+Sens!G17820-Sens!G17821)+(Sens!G17808+Sens!G17809-Sens!G17807)+(Sens!G17811+Sens!G17812-Sens!G17810)</f>
        <v>0</v>
      </c>
      <c r="H17823" s="27" t="n">
        <f aca="false">(Sens!H17816+Sens!H17820-Sens!H17821)+(Sens!H17808+Sens!H17809-Sens!H17807)+(Sens!H17811+Sens!H17812-Sens!H17810)</f>
        <v>0</v>
      </c>
      <c r="I17823" s="27" t="n">
        <f aca="false">(Sens!I17816+Sens!I17820-Sens!I17821)+(Sens!I17808+Sens!I17809-Sens!I17807)+(Sens!I17811+Sens!I17812-Sens!I17810)</f>
        <v>0</v>
      </c>
      <c r="J17823" s="27" t="n">
        <f aca="false">(Sens!J17816+Sens!J17820-Sens!J17821)+(Sens!J17808+Sens!J17809-Sens!J17807)+(Sens!J17811+Sens!J17812-Sens!J17810)</f>
        <v>0</v>
      </c>
      <c r="K17823" s="27" t="n">
        <f aca="false">(Sens!K17816+Sens!K17820-Sens!K17821)+(Sens!K17808+Sens!K17809-Sens!K17807)+(Sens!K17811+Sens!K17812-Sens!K17810)</f>
        <v>0</v>
      </c>
    </row>
    <row r="17824" customFormat="false" ht="17.15" hidden="false" customHeight="false" outlineLevel="0" collapsed="false">
      <c r="A17824" s="0" t="s">
        <v>1062</v>
      </c>
      <c r="B17824" s="0" t="s">
        <v>168</v>
      </c>
      <c r="E17824" s="7" t="n">
        <f aca="false">(Q!M21+Sens!E17760+Sens!E17761+Sens!E17762+Sens!E17776-Sens!E17758)/(Q!M5-Sens!E17758)</f>
        <v>0.570957350878296</v>
      </c>
      <c r="F17824" s="7" t="n">
        <f aca="false">Sens!$E$17824+dm_seg</f>
        <v>0.570957350878296</v>
      </c>
      <c r="G17824" s="7" t="n">
        <f aca="false">Sens!$E$17824+dm_seg</f>
        <v>0.570957350878296</v>
      </c>
      <c r="H17824" s="7" t="n">
        <f aca="false">Sens!$E$17824+dm_seg</f>
        <v>0.570957350878296</v>
      </c>
      <c r="I17824" s="7" t="n">
        <f aca="false">Sens!$E$17824+dm_seg</f>
        <v>0.570957350878296</v>
      </c>
      <c r="J17824" s="7" t="n">
        <f aca="false">Sens!$E$17824+dm_seg</f>
        <v>0.570957350878296</v>
      </c>
      <c r="K17824" s="7" t="n">
        <f aca="false">Sens!$E$17824+dm_seg</f>
        <v>0.570957350878296</v>
      </c>
      <c r="L17824" s="12" t="s">
        <v>1063</v>
      </c>
    </row>
    <row r="17825" customFormat="false" ht="17.15" hidden="false" customHeight="false" outlineLevel="0" collapsed="false">
      <c r="A17825" s="0" t="s">
        <v>884</v>
      </c>
      <c r="B17825" s="0" t="s">
        <v>98</v>
      </c>
      <c r="D17825" s="6" t="n">
        <f aca="false">Q!L21</f>
        <v>110.814</v>
      </c>
      <c r="E17825" s="6" t="n">
        <f aca="false">Q!M21</f>
        <v>136.365</v>
      </c>
      <c r="F17825" s="6" t="n">
        <f aca="false">Q!$I$21+(Sens!F17824*(Sens!F17795-Sens!F17758)+Sens!F17758-(Sens!F17760+Sens!F17761+Sens!F17762)-Sens!F17776-Sens!F17859)*(Sens!F17795-Q!$I$5)/Sens!F17795</f>
        <v>165.519553496075</v>
      </c>
      <c r="G17825" s="6" t="n">
        <f aca="false">(Sens!G17824*(Sens!G17795-Sens!G17758)+Sens!G17758-(Sens!G17760+Sens!G17761+Sens!G17762)-Sens!G17776-Sens!G17859)</f>
        <v>191.518446198599</v>
      </c>
      <c r="H17825" s="6" t="n">
        <f aca="false">(Sens!H17824*(Sens!H17795-Sens!H17758)+Sens!H17758-(Sens!H17760+Sens!H17761+Sens!H17762)-Sens!H17776-Sens!H17859)</f>
        <v>225.772407795545</v>
      </c>
      <c r="I17825" s="6" t="n">
        <f aca="false">(Sens!I17824*(Sens!I17795-Sens!I17758)+Sens!I17758-(Sens!I17760+Sens!I17761+Sens!I17762)-Sens!I17776-Sens!I17859)</f>
        <v>251.637282115289</v>
      </c>
      <c r="J17825" s="6" t="n">
        <f aca="false">(Sens!J17824*(Sens!J17795-Sens!J17758)+Sens!J17758-(Sens!J17760+Sens!J17761+Sens!J17762)-Sens!J17776-Sens!J17859)</f>
        <v>273.888937206022</v>
      </c>
      <c r="K17825" s="6" t="n">
        <f aca="false">(Sens!K17824*(Sens!K17795-Sens!K17758)+Sens!K17758-(Sens!K17760+Sens!K17761+Sens!K17762)-Sens!K17776-Sens!K17859)</f>
        <v>293.868925397361</v>
      </c>
      <c r="L17825" s="1" t="s">
        <v>1064</v>
      </c>
    </row>
    <row r="17826" customFormat="false" ht="17.15" hidden="false" customHeight="false" outlineLevel="0" collapsed="false">
      <c r="A17826" s="0" t="s">
        <v>1065</v>
      </c>
      <c r="B17826" s="0" t="s">
        <v>168</v>
      </c>
      <c r="E17826" s="7" t="n">
        <f aca="false">Q!M22/Q!M12</f>
        <v>0.296207935710698</v>
      </c>
      <c r="F17826" s="7" t="n">
        <f aca="false">Sens!$E$17826+dm_seg</f>
        <v>0.296207935710698</v>
      </c>
      <c r="G17826" s="7" t="n">
        <f aca="false">Sens!$E$17826+dm_seg</f>
        <v>0.296207935710698</v>
      </c>
      <c r="H17826" s="7" t="n">
        <f aca="false">Sens!$E$17826+dm_seg</f>
        <v>0.296207935710698</v>
      </c>
      <c r="I17826" s="7" t="n">
        <f aca="false">Sens!$E$17826+dm_seg</f>
        <v>0.296207935710698</v>
      </c>
      <c r="J17826" s="7" t="n">
        <f aca="false">Sens!$E$17826+dm_seg</f>
        <v>0.296207935710698</v>
      </c>
      <c r="K17826" s="7" t="n">
        <f aca="false">Sens!$E$17826+dm_seg</f>
        <v>0.296207935710698</v>
      </c>
      <c r="L17826" s="12" t="s">
        <v>1066</v>
      </c>
    </row>
    <row r="17827" customFormat="false" ht="17.15" hidden="false" customHeight="false" outlineLevel="0" collapsed="false">
      <c r="A17827" s="0" t="s">
        <v>886</v>
      </c>
      <c r="B17827" s="0" t="s">
        <v>98</v>
      </c>
      <c r="D17827" s="6" t="n">
        <f aca="false">Q!L22</f>
        <v>17.714</v>
      </c>
      <c r="E17827" s="6" t="n">
        <f aca="false">Q!M22</f>
        <v>18.872</v>
      </c>
      <c r="F17827" s="6" t="n">
        <f aca="false">Q!$I$22+(Sens!F17802-Q!$I$12)*Sens!F17826</f>
        <v>19.8174315512051</v>
      </c>
      <c r="G17827" s="6" t="n">
        <f aca="false">Sens!G17802*Sens!G17826</f>
        <v>19.6313799703815</v>
      </c>
      <c r="H17827" s="6" t="n">
        <f aca="false">Sens!H17802*Sens!H17826</f>
        <v>20.3536242825865</v>
      </c>
      <c r="I17827" s="6" t="n">
        <f aca="false">Sens!I17802*Sens!I17826</f>
        <v>21.1920899239745</v>
      </c>
      <c r="J17827" s="6" t="n">
        <f aca="false">Sens!J17802*Sens!J17826</f>
        <v>22.1288166207045</v>
      </c>
      <c r="K17827" s="6" t="n">
        <f aca="false">Sens!K17802*Sens!K17826</f>
        <v>23.1493653905379</v>
      </c>
      <c r="L17827" s="12" t="s">
        <v>1067</v>
      </c>
    </row>
    <row r="17828" customFormat="false" ht="15" hidden="false" customHeight="false" outlineLevel="0" collapsed="false">
      <c r="A17828" s="1" t="s">
        <v>1068</v>
      </c>
      <c r="B17828" s="0" t="s">
        <v>98</v>
      </c>
      <c r="D17828" s="6" t="n">
        <f aca="false">Sens!D17825+Sens!D17827</f>
        <v>128.528</v>
      </c>
      <c r="E17828" s="6" t="n">
        <f aca="false">Sens!E17825+Sens!E17827</f>
        <v>155.237</v>
      </c>
      <c r="F17828" s="6" t="n">
        <f aca="false">Sens!F17825+Sens!F17827</f>
        <v>185.33698504728</v>
      </c>
      <c r="G17828" s="6" t="n">
        <f aca="false">Sens!G17825+Sens!G17827</f>
        <v>211.14982616898</v>
      </c>
      <c r="H17828" s="6" t="n">
        <f aca="false">Sens!H17825+Sens!H17827</f>
        <v>246.126032078132</v>
      </c>
      <c r="I17828" s="6" t="n">
        <f aca="false">Sens!I17825+Sens!I17827</f>
        <v>272.829372039264</v>
      </c>
      <c r="J17828" s="6" t="n">
        <f aca="false">Sens!J17825+Sens!J17827</f>
        <v>296.017753826726</v>
      </c>
      <c r="K17828" s="6" t="n">
        <f aca="false">Sens!K17825+Sens!K17827</f>
        <v>317.018290787899</v>
      </c>
    </row>
    <row r="17829" customFormat="false" ht="15" hidden="false" customHeight="false" outlineLevel="0" collapsed="false">
      <c r="A17829" s="26" t="s">
        <v>1069</v>
      </c>
      <c r="B17829" s="31" t="s">
        <v>98</v>
      </c>
      <c r="C17829" s="31"/>
      <c r="D17829" s="27" t="n">
        <f aca="false">Sens!D17828-Q!L23</f>
        <v>0</v>
      </c>
      <c r="E17829" s="27" t="n">
        <f aca="false">Sens!E17828-Q!M23</f>
        <v>0</v>
      </c>
      <c r="F17829" s="31"/>
      <c r="G17829" s="31"/>
      <c r="H17829" s="31"/>
      <c r="I17829" s="31"/>
      <c r="J17829" s="31"/>
      <c r="K17829" s="31"/>
    </row>
    <row r="17830" customFormat="false" ht="15" hidden="false" customHeight="false" outlineLevel="0" collapsed="false">
      <c r="A17830" s="1" t="s">
        <v>1070</v>
      </c>
      <c r="B17830" s="0" t="s">
        <v>168</v>
      </c>
      <c r="D17830" s="7" t="n">
        <f aca="false">Sens!D17828/Sens!D17821</f>
        <v>0.456219562408598</v>
      </c>
      <c r="E17830" s="7" t="n">
        <f aca="false">Sens!E17828/Sens!E17821</f>
        <v>0.467808184089272</v>
      </c>
      <c r="F17830" s="7" t="n">
        <f aca="false">Sens!F17828/Sens!F17821</f>
        <v>0.459805146121067</v>
      </c>
      <c r="G17830" s="7" t="n">
        <f aca="false">Sens!G17828/Sens!G17821</f>
        <v>0.429355045902887</v>
      </c>
      <c r="H17830" s="7" t="n">
        <f aca="false">Sens!H17828/Sens!H17821</f>
        <v>0.419084312118663</v>
      </c>
      <c r="I17830" s="7" t="n">
        <f aca="false">Sens!I17828/Sens!I17821</f>
        <v>0.408053132166044</v>
      </c>
      <c r="J17830" s="7" t="n">
        <f aca="false">Sens!J17828/Sens!J17821</f>
        <v>0.403264919838885</v>
      </c>
      <c r="K17830" s="7" t="n">
        <f aca="false">Sens!K17828/Sens!K17821</f>
        <v>0.403274175728608</v>
      </c>
    </row>
    <row r="17831" customFormat="false" ht="17.15" hidden="false" customHeight="false" outlineLevel="0" collapsed="false">
      <c r="A17831" s="1" t="s">
        <v>1071</v>
      </c>
      <c r="B17831" s="0" t="s">
        <v>98</v>
      </c>
      <c r="F17831" s="6" t="n">
        <f aca="false">Sens!F17846</f>
        <v>8.88340674531245</v>
      </c>
      <c r="G17831" s="6" t="n">
        <f aca="false">Sens!G17846</f>
        <v>22.7060305170273</v>
      </c>
      <c r="H17831" s="6" t="n">
        <f aca="false">Sens!H17846</f>
        <v>38.0018452382075</v>
      </c>
      <c r="I17831" s="6" t="n">
        <f aca="false">Sens!I17846</f>
        <v>52.1381094705177</v>
      </c>
      <c r="J17831" s="6" t="n">
        <f aca="false">Sens!J17846</f>
        <v>62.0595818934393</v>
      </c>
      <c r="K17831" s="6" t="n">
        <f aca="false">Sens!K17846</f>
        <v>67.0801312706266</v>
      </c>
      <c r="L17831" s="1" t="s">
        <v>1072</v>
      </c>
    </row>
    <row r="17832" customFormat="false" ht="17.15" hidden="false" customHeight="false" outlineLevel="0" collapsed="false">
      <c r="A17832" s="1" t="s">
        <v>1073</v>
      </c>
      <c r="B17832" s="0" t="s">
        <v>98</v>
      </c>
      <c r="D17832" s="6" t="n">
        <f aca="false">Sens!D17828</f>
        <v>128.528</v>
      </c>
      <c r="E17832" s="6" t="n">
        <f aca="false">Sens!E17828</f>
        <v>155.237</v>
      </c>
      <c r="F17832" s="6" t="n">
        <f aca="false">Sens!F17828+Sens!F17831</f>
        <v>194.220391792593</v>
      </c>
      <c r="G17832" s="6" t="n">
        <f aca="false">Sens!G17828+Sens!G17831</f>
        <v>233.855856686007</v>
      </c>
      <c r="H17832" s="6" t="n">
        <f aca="false">Sens!H17828+Sens!H17831</f>
        <v>284.127877316339</v>
      </c>
      <c r="I17832" s="6" t="n">
        <f aca="false">Sens!I17828+Sens!I17831</f>
        <v>324.967481509781</v>
      </c>
      <c r="J17832" s="6" t="n">
        <f aca="false">Sens!J17828+Sens!J17831</f>
        <v>358.077335720165</v>
      </c>
      <c r="K17832" s="6" t="n">
        <f aca="false">Sens!K17828+Sens!K17831</f>
        <v>384.098422058525</v>
      </c>
    </row>
    <row r="17833" customFormat="false" ht="17.15" hidden="false" customHeight="false" outlineLevel="0" collapsed="false">
      <c r="A17833" s="1" t="s">
        <v>1074</v>
      </c>
      <c r="B17833" s="0" t="s">
        <v>98</v>
      </c>
      <c r="E17833" s="6" t="n">
        <f aca="false">Sens!E17776</f>
        <v>16.3054059770833</v>
      </c>
      <c r="F17833" s="6" t="n">
        <f aca="false">Sens!F17776</f>
        <v>34.5832792654564</v>
      </c>
      <c r="G17833" s="6" t="n">
        <f aca="false">Sens!G17776</f>
        <v>60.7424202265085</v>
      </c>
      <c r="H17833" s="6" t="n">
        <f aca="false">Sens!H17776</f>
        <v>89.1080202356552</v>
      </c>
      <c r="I17833" s="6" t="n">
        <f aca="false">Sens!I17776</f>
        <v>114.238939268758</v>
      </c>
      <c r="J17833" s="6" t="n">
        <f aca="false">Sens!J17776</f>
        <v>132.023602623806</v>
      </c>
      <c r="K17833" s="6" t="n">
        <f aca="false">Sens!K17776</f>
        <v>143.020599125144</v>
      </c>
    </row>
    <row r="17834" customFormat="false" ht="17.15" hidden="false" customHeight="false" outlineLevel="0" collapsed="false">
      <c r="A17834" s="1" t="s">
        <v>1075</v>
      </c>
      <c r="B17834" s="0" t="s">
        <v>98</v>
      </c>
      <c r="E17834" s="6" t="n">
        <f aca="false">Sens!E17858</f>
        <v>22.2285940229167</v>
      </c>
      <c r="F17834" s="6" t="n">
        <f aca="false">Sens!F17858</f>
        <v>23.5755864718873</v>
      </c>
      <c r="G17834" s="6" t="n">
        <f aca="false">Sens!G17858</f>
        <v>25.3758596064077</v>
      </c>
      <c r="H17834" s="6" t="n">
        <f aca="false">Sens!H17858</f>
        <v>27.5926102072099</v>
      </c>
      <c r="I17834" s="6" t="n">
        <f aca="false">Sens!I17858</f>
        <v>30.1494722164327</v>
      </c>
      <c r="J17834" s="6" t="n">
        <f aca="false">Sens!J17858</f>
        <v>32.9543806588559</v>
      </c>
      <c r="K17834" s="6" t="n">
        <f aca="false">Sens!K17858</f>
        <v>35.9228685792431</v>
      </c>
    </row>
    <row r="17835" customFormat="false" ht="17.15" hidden="false" customHeight="false" outlineLevel="0" collapsed="false">
      <c r="A17835" s="1" t="s">
        <v>1076</v>
      </c>
      <c r="B17835" s="0" t="s">
        <v>98</v>
      </c>
      <c r="D17835" s="6" t="n">
        <f aca="false">Q!L27</f>
        <v>-4.901</v>
      </c>
      <c r="E17835" s="6" t="n">
        <f aca="false">Q!M27</f>
        <v>10.697</v>
      </c>
      <c r="F17835" s="6" t="n">
        <f aca="false">Q!$I$27+oie_f*(q_per_yr-1)/q_per_yr</f>
        <v>-0.862</v>
      </c>
      <c r="G17835" s="6" t="n">
        <f aca="false">oie_f</f>
        <v>-1.2</v>
      </c>
      <c r="H17835" s="6" t="n">
        <f aca="false">oie_f</f>
        <v>-1.2</v>
      </c>
      <c r="I17835" s="6" t="n">
        <f aca="false">oie_f</f>
        <v>-1.2</v>
      </c>
      <c r="J17835" s="6" t="n">
        <f aca="false">oie_f</f>
        <v>-1.2</v>
      </c>
      <c r="K17835" s="6" t="n">
        <f aca="false">oie_f</f>
        <v>-1.2</v>
      </c>
      <c r="L17835" s="12" t="s">
        <v>1077</v>
      </c>
    </row>
    <row r="17836" customFormat="false" ht="15" hidden="false" customHeight="false" outlineLevel="0" collapsed="false">
      <c r="A17836" s="1" t="s">
        <v>1078</v>
      </c>
      <c r="B17836" s="0" t="s">
        <v>98</v>
      </c>
      <c r="D17836" s="6" t="n">
        <f aca="false">Sens!D17828+Sens!D17835</f>
        <v>123.627</v>
      </c>
      <c r="E17836" s="6" t="n">
        <f aca="false">Sens!E17828+Sens!E17835</f>
        <v>165.934</v>
      </c>
      <c r="F17836" s="6" t="n">
        <f aca="false">Sens!F17828+Sens!F17835</f>
        <v>184.47498504728</v>
      </c>
      <c r="G17836" s="6" t="n">
        <f aca="false">Sens!G17828+Sens!G17835</f>
        <v>209.94982616898</v>
      </c>
      <c r="H17836" s="6" t="n">
        <f aca="false">Sens!H17828+Sens!H17835</f>
        <v>244.926032078132</v>
      </c>
      <c r="I17836" s="6" t="n">
        <f aca="false">Sens!I17828+Sens!I17835</f>
        <v>271.629372039264</v>
      </c>
      <c r="J17836" s="6" t="n">
        <f aca="false">Sens!J17828+Sens!J17835</f>
        <v>294.817753826726</v>
      </c>
      <c r="K17836" s="6" t="n">
        <f aca="false">Sens!K17828+Sens!K17835</f>
        <v>315.818290787899</v>
      </c>
    </row>
    <row r="17837" customFormat="false" ht="15" hidden="false" customHeight="false" outlineLevel="0" collapsed="false">
      <c r="A17837" s="1" t="s">
        <v>1079</v>
      </c>
      <c r="B17837" s="0" t="s">
        <v>98</v>
      </c>
      <c r="D17837" s="6" t="n">
        <f aca="false">Q!L29</f>
        <v>21.795</v>
      </c>
      <c r="E17837" s="6" t="n">
        <f aca="false">Q!M29</f>
        <v>32.185</v>
      </c>
      <c r="F17837" s="6" t="n">
        <f aca="false">Q!$I$29+(Sens!F17836-Q!$I$28)*tax_f</f>
        <v>37.0283970094561</v>
      </c>
      <c r="G17837" s="6" t="n">
        <f aca="false">Sens!G17836*tax_f</f>
        <v>41.989965233796</v>
      </c>
      <c r="H17837" s="6" t="n">
        <f aca="false">Sens!H17836*tax_f</f>
        <v>48.9852064156264</v>
      </c>
      <c r="I17837" s="6" t="n">
        <f aca="false">Sens!I17836*tax_f</f>
        <v>54.3258744078528</v>
      </c>
      <c r="J17837" s="6" t="n">
        <f aca="false">Sens!J17836*tax_f</f>
        <v>58.9635507653452</v>
      </c>
      <c r="K17837" s="6" t="n">
        <f aca="false">Sens!K17836*tax_f</f>
        <v>63.1636581575797</v>
      </c>
    </row>
    <row r="17838" customFormat="false" ht="15" hidden="false" customHeight="false" outlineLevel="0" collapsed="false">
      <c r="A17838" s="1" t="s">
        <v>1080</v>
      </c>
      <c r="B17838" s="0" t="s">
        <v>98</v>
      </c>
      <c r="D17838" s="6" t="n">
        <f aca="false">Sens!D17836-Sens!D17837</f>
        <v>101.832</v>
      </c>
      <c r="E17838" s="6" t="n">
        <f aca="false">Sens!E17836-Sens!E17837</f>
        <v>133.749</v>
      </c>
      <c r="F17838" s="6" t="n">
        <f aca="false">Sens!F17836-Sens!F17837</f>
        <v>147.446588037824</v>
      </c>
      <c r="G17838" s="6" t="n">
        <f aca="false">Sens!G17836-Sens!G17837</f>
        <v>167.959860935184</v>
      </c>
      <c r="H17838" s="6" t="n">
        <f aca="false">Sens!H17836-Sens!H17837</f>
        <v>195.940825662505</v>
      </c>
      <c r="I17838" s="6" t="n">
        <f aca="false">Sens!I17836-Sens!I17837</f>
        <v>217.303497631411</v>
      </c>
      <c r="J17838" s="6" t="n">
        <f aca="false">Sens!J17836-Sens!J17837</f>
        <v>235.854203061381</v>
      </c>
      <c r="K17838" s="6" t="n">
        <f aca="false">Sens!K17836-Sens!K17837</f>
        <v>252.654632630319</v>
      </c>
    </row>
    <row r="17839" customFormat="false" ht="17.15" hidden="false" customHeight="false" outlineLevel="0" collapsed="false">
      <c r="A17839" s="1" t="s">
        <v>1081</v>
      </c>
      <c r="B17839" s="1" t="s">
        <v>81</v>
      </c>
      <c r="D17839" s="15" t="n">
        <f aca="false">Q!L31</f>
        <v>7.465</v>
      </c>
      <c r="E17839" s="15" t="n">
        <f aca="false">Q!M31</f>
        <v>7.453</v>
      </c>
      <c r="F17839" s="15" t="n">
        <f aca="false">Sens!F17883</f>
        <v>7.47063296166184</v>
      </c>
      <c r="G17839" s="15" t="n">
        <f aca="false">Sens!G17883</f>
        <v>7.50990353961535</v>
      </c>
      <c r="H17839" s="15" t="n">
        <f aca="false">Sens!H17883</f>
        <v>7.53474109493584</v>
      </c>
      <c r="I17839" s="15" t="n">
        <f aca="false">Sens!I17883</f>
        <v>7.54642245899131</v>
      </c>
      <c r="J17839" s="15" t="n">
        <f aca="false">Sens!J17883</f>
        <v>7.56057187015378</v>
      </c>
      <c r="K17839" s="15" t="n">
        <f aca="false">Sens!K17883</f>
        <v>7.57700651011903</v>
      </c>
    </row>
    <row r="17840" customFormat="false" ht="17.15" hidden="false" customHeight="false" outlineLevel="0" collapsed="false">
      <c r="A17840" s="0" t="s">
        <v>1082</v>
      </c>
      <c r="B17840" s="0" t="s">
        <v>75</v>
      </c>
      <c r="D17840" s="8" t="n">
        <f aca="false">Sens!D17838/Sens!D17839</f>
        <v>13.641259209645</v>
      </c>
      <c r="E17840" s="8" t="n">
        <f aca="false">Sens!E17838/Sens!E17839</f>
        <v>17.9456594659869</v>
      </c>
      <c r="F17840" s="8" t="n">
        <f aca="false">Sens!F17838/Sens!F17839</f>
        <v>19.7368266911918</v>
      </c>
      <c r="G17840" s="8" t="n">
        <f aca="false">Sens!G17838/Sens!G17839</f>
        <v>22.3651156168894</v>
      </c>
      <c r="H17840" s="8" t="n">
        <f aca="false">Sens!H17838/Sens!H17839</f>
        <v>26.0049845367877</v>
      </c>
      <c r="I17840" s="8" t="n">
        <f aca="false">Sens!I17838/Sens!I17839</f>
        <v>28.7955648934683</v>
      </c>
      <c r="J17840" s="8" t="n">
        <f aca="false">Sens!J17838/Sens!J17839</f>
        <v>31.195286165117</v>
      </c>
      <c r="K17840" s="8" t="n">
        <f aca="false">Sens!K17838/Sens!K17839</f>
        <v>33.3449142867834</v>
      </c>
      <c r="L17840" s="1" t="s">
        <v>1083</v>
      </c>
    </row>
    <row r="17841" customFormat="false" ht="17.15" hidden="false" customHeight="false" outlineLevel="0" collapsed="false">
      <c r="A17841" s="1" t="s">
        <v>1084</v>
      </c>
      <c r="B17841" s="0" t="s">
        <v>98</v>
      </c>
      <c r="D17841" s="6" t="n">
        <f aca="false">Sens!D17838</f>
        <v>101.832</v>
      </c>
      <c r="E17841" s="6" t="n">
        <f aca="false">Sens!E17838</f>
        <v>133.749</v>
      </c>
      <c r="F17841" s="6" t="n">
        <f aca="false">Sens!F17838+Sens!F17831*(1-tax_f)</f>
        <v>154.553313434074</v>
      </c>
      <c r="G17841" s="6" t="n">
        <f aca="false">Sens!G17838+Sens!G17831*(1-tax_f)</f>
        <v>186.124685348806</v>
      </c>
      <c r="H17841" s="6" t="n">
        <f aca="false">Sens!H17838+Sens!H17831*(1-tax_f)</f>
        <v>226.342301853071</v>
      </c>
      <c r="I17841" s="6" t="n">
        <f aca="false">Sens!I17838+Sens!I17831*(1-tax_f)</f>
        <v>259.013985207825</v>
      </c>
      <c r="J17841" s="6" t="n">
        <f aca="false">Sens!J17838+Sens!J17831*(1-tax_f)</f>
        <v>285.501868576132</v>
      </c>
      <c r="K17841" s="6" t="n">
        <f aca="false">Sens!K17838+Sens!K17831*(1-tax_f)</f>
        <v>306.31873764682</v>
      </c>
    </row>
    <row r="17842" customFormat="false" ht="17.15" hidden="false" customHeight="false" outlineLevel="0" collapsed="false">
      <c r="A17842" s="0" t="s">
        <v>1085</v>
      </c>
      <c r="B17842" s="0" t="s">
        <v>75</v>
      </c>
      <c r="D17842" s="8" t="n">
        <f aca="false">Sens!D17841/Sens!D17839</f>
        <v>13.641259209645</v>
      </c>
      <c r="E17842" s="8" t="n">
        <f aca="false">Sens!E17841/Sens!E17839</f>
        <v>17.9456594659869</v>
      </c>
      <c r="F17842" s="8" t="n">
        <f aca="false">Sens!F17841/Sens!F17839</f>
        <v>20.6881149465137</v>
      </c>
      <c r="G17842" s="8" t="n">
        <f aca="false">Sens!G17841/Sens!G17839</f>
        <v>24.7838982707279</v>
      </c>
      <c r="H17842" s="8" t="n">
        <f aca="false">Sens!H17841/Sens!H17839</f>
        <v>30.0398247267179</v>
      </c>
      <c r="I17842" s="8" t="n">
        <f aca="false">Sens!I17841/Sens!I17839</f>
        <v>34.3227518225167</v>
      </c>
      <c r="J17842" s="8" t="n">
        <f aca="false">Sens!J17841/Sens!J17839</f>
        <v>37.7619409588822</v>
      </c>
      <c r="K17842" s="8" t="n">
        <f aca="false">Sens!K17841/Sens!K17839</f>
        <v>40.4274085336648</v>
      </c>
      <c r="L17842" s="1" t="s">
        <v>1086</v>
      </c>
    </row>
    <row r="17843" customFormat="false" ht="17.15" hidden="false" customHeight="false" outlineLevel="0" collapsed="false">
      <c r="A17843" s="0" t="s">
        <v>1087</v>
      </c>
      <c r="B17843" s="0" t="s">
        <v>168</v>
      </c>
      <c r="E17843" s="7" t="n">
        <f aca="false">Sens!E17842/Sens!D17842-1</f>
        <v>0.315542736208578</v>
      </c>
      <c r="F17843" s="7" t="n">
        <f aca="false">Sens!F17842/Sens!E17842-1</f>
        <v>0.152819988907333</v>
      </c>
      <c r="G17843" s="7" t="n">
        <f aca="false">Sens!G17842/Sens!F17842-1</f>
        <v>0.197977598964585</v>
      </c>
      <c r="H17843" s="7" t="n">
        <f aca="false">Sens!H17842/Sens!G17842-1</f>
        <v>0.212070207784779</v>
      </c>
      <c r="I17843" s="7" t="n">
        <f aca="false">Sens!I17842/Sens!H17842-1</f>
        <v>0.142574969553317</v>
      </c>
      <c r="J17843" s="7" t="n">
        <f aca="false">Sens!J17842/Sens!I17842-1</f>
        <v>0.100201439387771</v>
      </c>
      <c r="K17843" s="7" t="n">
        <f aca="false">Sens!K17842/Sens!J17842-1</f>
        <v>0.0705860850130828</v>
      </c>
    </row>
    <row r="17844" customFormat="false" ht="17.15" hidden="false" customHeight="false" outlineLevel="0" collapsed="false">
      <c r="A17844" s="0" t="s">
        <v>1007</v>
      </c>
      <c r="B17844" s="0" t="s">
        <v>98</v>
      </c>
      <c r="E17844" s="6" t="n">
        <f aca="false">Sens!E17785</f>
        <v>5.25</v>
      </c>
      <c r="F17844" s="6" t="n">
        <f aca="false">Sens!F17785</f>
        <v>13.5</v>
      </c>
      <c r="G17844" s="6" t="n">
        <f aca="false">Sens!G17785</f>
        <v>22.5</v>
      </c>
      <c r="H17844" s="6" t="n">
        <f aca="false">Sens!H17785</f>
        <v>31.5</v>
      </c>
      <c r="I17844" s="6" t="n">
        <f aca="false">Sens!I17785</f>
        <v>38.25</v>
      </c>
      <c r="J17844" s="6" t="n">
        <f aca="false">Sens!J17785</f>
        <v>42.75</v>
      </c>
      <c r="K17844" s="6" t="n">
        <f aca="false">Sens!K17785</f>
        <v>47.25</v>
      </c>
    </row>
    <row r="17845" customFormat="false" ht="17.15" hidden="false" customHeight="false" outlineLevel="0" collapsed="false">
      <c r="A17845" s="1" t="s">
        <v>1008</v>
      </c>
      <c r="B17845" s="0" t="s">
        <v>98</v>
      </c>
      <c r="F17845" s="6" t="n">
        <f aca="false">MAX(0,((Sens!E17745+Sens!F17745)/2-(shadow_base*(Sens!$D$17745+Sens!$E$17745)/2+(1-shadow_base)*Sens!$E$17745))*Sens!F17754/1000-(Sens!F17844-Sens!$E$17844)*Sens!F17824)</f>
        <v>8.88340674531245</v>
      </c>
      <c r="G17845" s="6" t="n">
        <f aca="false">MAX(0,((Sens!F17745+Sens!G17745)/2-(shadow_base*(Sens!$D$17745+Sens!$E$17745)/2+(1-shadow_base)*Sens!$E$17745))*Sens!G17754/1000-(Sens!G17844-Sens!$E$17844)*Sens!G17824)</f>
        <v>22.7060305170273</v>
      </c>
      <c r="H17845" s="6" t="n">
        <f aca="false">MAX(0,((Sens!G17745+Sens!H17745)/2-(shadow_base*(Sens!$D$17745+Sens!$E$17745)/2+(1-shadow_base)*Sens!$E$17745))*Sens!H17754/1000-(Sens!H17844-Sens!$E$17844)*Sens!H17824)</f>
        <v>38.0018452382075</v>
      </c>
      <c r="I17845" s="6" t="n">
        <f aca="false">MAX(0,((Sens!H17745+Sens!I17745)/2-(shadow_base*(Sens!$D$17745+Sens!$E$17745)/2+(1-shadow_base)*Sens!$E$17745))*Sens!I17754/1000-(Sens!I17844-Sens!$E$17844)*Sens!I17824)</f>
        <v>52.1381094705177</v>
      </c>
      <c r="J17845" s="6" t="n">
        <f aca="false">MAX(0,((Sens!I17745+Sens!J17745)/2-(shadow_base*(Sens!$D$17745+Sens!$E$17745)/2+(1-shadow_base)*Sens!$E$17745))*Sens!J17754/1000-(Sens!J17844-Sens!$E$17844)*Sens!J17824)</f>
        <v>62.0595818934393</v>
      </c>
      <c r="K17845" s="6" t="n">
        <f aca="false">MAX(0,((Sens!J17745+Sens!K17745)/2-(shadow_base*(Sens!$D$17745+Sens!$E$17745)/2+(1-shadow_base)*Sens!$E$17745))*Sens!K17754/1000-(Sens!K17844-Sens!$E$17844)*Sens!K17824)</f>
        <v>67.0801312706266</v>
      </c>
      <c r="L17845" s="1" t="s">
        <v>1009</v>
      </c>
    </row>
    <row r="17846" customFormat="false" ht="17.15" hidden="false" customHeight="false" outlineLevel="0" collapsed="false">
      <c r="A17846" s="1" t="s">
        <v>1010</v>
      </c>
      <c r="B17846" s="0" t="s">
        <v>98</v>
      </c>
      <c r="F17846" s="6" t="n">
        <f aca="false">IF(internal_ai_reading=2,1,0)*Sens!F17845</f>
        <v>8.88340674531245</v>
      </c>
      <c r="G17846" s="6" t="n">
        <f aca="false">IF(internal_ai_reading=2,1,0)*Sens!G17845</f>
        <v>22.7060305170273</v>
      </c>
      <c r="H17846" s="6" t="n">
        <f aca="false">IF(internal_ai_reading=2,1,0)*Sens!H17845</f>
        <v>38.0018452382075</v>
      </c>
      <c r="I17846" s="6" t="n">
        <f aca="false">IF(internal_ai_reading=2,1,0)*Sens!I17845</f>
        <v>52.1381094705177</v>
      </c>
      <c r="J17846" s="6" t="n">
        <f aca="false">IF(internal_ai_reading=2,1,0)*Sens!J17845</f>
        <v>62.0595818934393</v>
      </c>
      <c r="K17846" s="6" t="n">
        <f aca="false">IF(internal_ai_reading=2,1,0)*Sens!K17845</f>
        <v>67.0801312706266</v>
      </c>
    </row>
    <row r="17847" customFormat="false" ht="17.15" hidden="false" customHeight="false" outlineLevel="0" collapsed="false">
      <c r="A17847" s="0" t="s">
        <v>1011</v>
      </c>
      <c r="B17847" s="0" t="s">
        <v>98</v>
      </c>
      <c r="F17847" s="6" t="n">
        <f aca="false">Sens!F17764+Sens!F17844*Sens!F17824+Sens!F17846-Sens!F17765-Sens!F17776</f>
        <v>18.5029030281769</v>
      </c>
      <c r="G17847" s="6" t="n">
        <f aca="false">Sens!G17764+Sens!G17844*Sens!G17824+Sens!G17846-Sens!G17765-Sens!G17776</f>
        <v>43.1904569240696</v>
      </c>
      <c r="H17847" s="6" t="n">
        <f aca="false">Sens!H17764+Sens!H17844*Sens!H17824+Sens!H17846-Sens!H17765-Sens!H17776</f>
        <v>73.4946687818644</v>
      </c>
      <c r="I17847" s="6" t="n">
        <f aca="false">Sens!I17764+Sens!I17844*Sens!I17824+Sens!I17846-Sens!I17765-Sens!I17776</f>
        <v>94.7374839636408</v>
      </c>
      <c r="J17847" s="6" t="n">
        <f aca="false">Sens!J17764+Sens!J17844*Sens!J17824+Sens!J17846-Sens!J17765-Sens!J17776</f>
        <v>109.391678552148</v>
      </c>
      <c r="K17847" s="6" t="n">
        <f aca="false">Sens!K17764+Sens!K17844*Sens!K17824+Sens!K17846-Sens!K17765-Sens!K17776</f>
        <v>118.890773607733</v>
      </c>
    </row>
    <row r="17848" customFormat="false" ht="17.15" hidden="false" customHeight="false" outlineLevel="0" collapsed="false">
      <c r="A17848" s="0" t="s">
        <v>1012</v>
      </c>
      <c r="B17848" s="0" t="s">
        <v>98</v>
      </c>
      <c r="E17848" s="6" t="n">
        <f aca="false">Sens!E17744*(cxit_open+self_build*tk_cxfac)/1000*ai_net_open</f>
        <v>126.6980382</v>
      </c>
      <c r="F17848" s="6" t="n">
        <f aca="false">Sens!E17848+Sens!F17773-Sens!F17776</f>
        <v>260.616240421921</v>
      </c>
      <c r="G17848" s="6" t="n">
        <f aca="false">Sens!F17848+Sens!G17773-Sens!G17776</f>
        <v>391.81829584446</v>
      </c>
      <c r="H17848" s="6" t="n">
        <f aca="false">Sens!G17848+Sens!H17773-Sens!H17776</f>
        <v>499.516279673317</v>
      </c>
      <c r="I17848" s="6" t="n">
        <f aca="false">Sens!H17848+Sens!I17773-Sens!I17776</f>
        <v>553.89217402617</v>
      </c>
      <c r="J17848" s="6" t="n">
        <f aca="false">Sens!I17848+Sens!J17773-Sens!J17776</f>
        <v>550.798502598305</v>
      </c>
      <c r="K17848" s="6" t="n">
        <f aca="false">Sens!J17848+Sens!K17773-Sens!K17776</f>
        <v>526.740756537894</v>
      </c>
      <c r="L17848" s="1" t="s">
        <v>1013</v>
      </c>
    </row>
    <row r="17849" customFormat="false" ht="17.15" hidden="false" customHeight="false" outlineLevel="0" collapsed="false">
      <c r="A17849" s="0" t="s">
        <v>1014</v>
      </c>
      <c r="B17849" s="0" t="s">
        <v>168</v>
      </c>
      <c r="F17849" s="7" t="n">
        <f aca="false">Sens!F17847*(1-tax_f)/((Sens!E17848+Sens!F17848)/2)</f>
        <v>0.0764357176565179</v>
      </c>
      <c r="G17849" s="7" t="n">
        <f aca="false">Sens!G17847*(1-tax_f)/((Sens!F17848+Sens!G17848)/2)</f>
        <v>0.105918260357537</v>
      </c>
      <c r="H17849" s="7" t="n">
        <f aca="false">Sens!H17847*(1-tax_f)/((Sens!G17848+Sens!H17848)/2)</f>
        <v>0.131927419042029</v>
      </c>
      <c r="I17849" s="7" t="n">
        <f aca="false">Sens!I17847*(1-tax_f)/((Sens!H17848+Sens!I17848)/2)</f>
        <v>0.143894776816617</v>
      </c>
      <c r="J17849" s="7" t="n">
        <f aca="false">Sens!J17847*(1-tax_f)/((Sens!I17848+Sens!J17848)/2)</f>
        <v>0.158439542748975</v>
      </c>
      <c r="K17849" s="7" t="n">
        <f aca="false">Sens!K17847*(1-tax_f)/((Sens!J17848+Sens!K17848)/2)</f>
        <v>0.176536711919773</v>
      </c>
    </row>
    <row r="17850" customFormat="false" ht="17.15" hidden="false" customHeight="false" outlineLevel="0" collapsed="false">
      <c r="A17850" s="1" t="s">
        <v>1015</v>
      </c>
      <c r="B17850" s="0" t="s">
        <v>168</v>
      </c>
      <c r="F17850" s="7" t="n">
        <f aca="false">(Sens!F17847-Sens!F17846)*(1-tax_f)/((Sens!E17848+Sens!F17848)/2)</f>
        <v>0.0397382562485059</v>
      </c>
      <c r="G17850" s="7" t="n">
        <f aca="false">(Sens!G17847-Sens!G17846)*(1-tax_f)/((Sens!F17848+Sens!G17848)/2)</f>
        <v>0.0502350510732099</v>
      </c>
      <c r="H17850" s="7" t="n">
        <f aca="false">(Sens!H17847-Sens!H17846)*(1-tax_f)/((Sens!G17848+Sens!H17848)/2)</f>
        <v>0.0637117859327542</v>
      </c>
      <c r="I17850" s="7" t="n">
        <f aca="false">(Sens!I17847-Sens!I17846)*(1-tax_f)/((Sens!H17848+Sens!I17848)/2)</f>
        <v>0.0647032961902176</v>
      </c>
      <c r="J17850" s="7" t="n">
        <f aca="false">(Sens!J17847-Sens!J17846)*(1-tax_f)/((Sens!I17848+Sens!J17848)/2)</f>
        <v>0.0685543530478063</v>
      </c>
      <c r="K17850" s="7" t="n">
        <f aca="false">(Sens!K17847-Sens!K17846)*(1-tax_f)/((Sens!J17848+Sens!K17848)/2)</f>
        <v>0.07693179346971</v>
      </c>
    </row>
    <row r="17851" customFormat="false" ht="17.15" hidden="false" customHeight="false" outlineLevel="0" collapsed="false">
      <c r="A17851" s="1" t="s">
        <v>1016</v>
      </c>
      <c r="B17851" s="0" t="s">
        <v>168</v>
      </c>
      <c r="F17851" s="7" t="n">
        <f aca="false">(Sens!F17847-Sens!F17846+Sens!F17845)*(1-tax_f)/((Sens!E17848+Sens!F17848)/2)</f>
        <v>0.0764357176565179</v>
      </c>
      <c r="G17851" s="7" t="n">
        <f aca="false">(Sens!G17847-Sens!G17846+Sens!G17845)*(1-tax_f)/((Sens!F17848+Sens!G17848)/2)</f>
        <v>0.105918260357537</v>
      </c>
      <c r="H17851" s="7" t="n">
        <f aca="false">(Sens!H17847-Sens!H17846+Sens!H17845)*(1-tax_f)/((Sens!G17848+Sens!H17848)/2)</f>
        <v>0.131927419042029</v>
      </c>
      <c r="I17851" s="7" t="n">
        <f aca="false">(Sens!I17847-Sens!I17846+Sens!I17845)*(1-tax_f)/((Sens!H17848+Sens!I17848)/2)</f>
        <v>0.143894776816617</v>
      </c>
      <c r="J17851" s="7" t="n">
        <f aca="false">(Sens!J17847-Sens!J17846+Sens!J17845)*(1-tax_f)/((Sens!I17848+Sens!J17848)/2)</f>
        <v>0.158439542748975</v>
      </c>
      <c r="K17851" s="7" t="n">
        <f aca="false">(Sens!K17847-Sens!K17846+Sens!K17845)*(1-tax_f)/((Sens!J17848+Sens!K17848)/2)</f>
        <v>0.176536711919773</v>
      </c>
    </row>
    <row r="17852" customFormat="false" ht="17.15" hidden="false" customHeight="false" outlineLevel="0" collapsed="false">
      <c r="A17852" s="1" t="s">
        <v>1017</v>
      </c>
      <c r="B17852" s="0" t="s">
        <v>168</v>
      </c>
      <c r="F17852" s="7" t="n">
        <f aca="false">Sens!F17777*(1-tax_f)/(Sens!F17763*(Sens!E17848+Sens!F17848)/2)</f>
        <v>0.154680530987915</v>
      </c>
      <c r="G17852" s="7" t="n">
        <f aca="false">Sens!G17777*(1-tax_f)/(Sens!G17763*(Sens!F17848+Sens!G17848)/2)</f>
        <v>0.176875963150543</v>
      </c>
      <c r="H17852" s="7" t="n">
        <f aca="false">Sens!H17777*(1-tax_f)/(Sens!H17763*(Sens!G17848+Sens!H17848)/2)</f>
        <v>0.207458057000057</v>
      </c>
      <c r="I17852" s="7" t="n">
        <f aca="false">Sens!I17777*(1-tax_f)/(Sens!I17763*(Sens!H17848+Sens!I17848)/2)</f>
        <v>0.219851685360491</v>
      </c>
      <c r="J17852" s="7" t="n">
        <f aca="false">Sens!J17777*(1-tax_f)/(Sens!J17763*(Sens!I17848+Sens!J17848)/2)</f>
        <v>0.238941111929121</v>
      </c>
      <c r="K17852" s="7" t="n">
        <f aca="false">Sens!K17777*(1-tax_f)/(Sens!K17763*(Sens!J17848+Sens!K17848)/2)</f>
        <v>0.264588601879384</v>
      </c>
    </row>
    <row r="17853" customFormat="false" ht="17.15" hidden="false" customHeight="false" outlineLevel="0" collapsed="false">
      <c r="A17853" s="0" t="s">
        <v>1018</v>
      </c>
      <c r="B17853" s="0" t="s">
        <v>253</v>
      </c>
      <c r="F17853" s="7" t="n">
        <f aca="false">Sens!F17849-wacc</f>
        <v>-0.0265008732890794</v>
      </c>
      <c r="G17853" s="7" t="n">
        <f aca="false">Sens!G17849-wacc</f>
        <v>0.00298166941193961</v>
      </c>
      <c r="H17853" s="7" t="n">
        <f aca="false">Sens!H17849-wacc</f>
        <v>0.0289908280964319</v>
      </c>
      <c r="I17853" s="7" t="n">
        <f aca="false">Sens!I17849-wacc</f>
        <v>0.0409581858710197</v>
      </c>
      <c r="J17853" s="7" t="n">
        <f aca="false">Sens!J17849-wacc</f>
        <v>0.0555029518033774</v>
      </c>
      <c r="K17853" s="7" t="n">
        <f aca="false">Sens!K17849-wacc</f>
        <v>0.073600120974176</v>
      </c>
    </row>
    <row r="17854" customFormat="false" ht="17.15" hidden="false" customHeight="false" outlineLevel="0" collapsed="false">
      <c r="A17854" s="0" t="s">
        <v>1019</v>
      </c>
      <c r="B17854" s="0" t="s">
        <v>98</v>
      </c>
      <c r="F17854" s="6" t="n">
        <f aca="false">Sens!F17847*(1-tax_f)-wacc*(Sens!E17848+Sens!F17848)/2</f>
        <v>-5.13208331040535</v>
      </c>
      <c r="G17854" s="6" t="n">
        <f aca="false">Sens!G17847*(1-tax_f)-wacc*(Sens!F17848+Sens!G17848)/2</f>
        <v>0.972672050039236</v>
      </c>
      <c r="H17854" s="6" t="n">
        <f aca="false">Sens!H17847*(1-tax_f)-wacc*(Sens!G17848+Sens!H17848)/2</f>
        <v>12.920263727621</v>
      </c>
      <c r="I17854" s="6" t="n">
        <f aca="false">Sens!I17847*(1-tax_f)-wacc*(Sens!H17848+Sens!I17848)/2</f>
        <v>21.5728496223635</v>
      </c>
      <c r="J17854" s="6" t="n">
        <f aca="false">Sens!J17847*(1-tax_f)-wacc*(Sens!I17848+Sens!J17848)/2</f>
        <v>30.6567966911643</v>
      </c>
      <c r="K17854" s="6" t="n">
        <f aca="false">Sens!K17847*(1-tax_f)-wacc*(Sens!J17848+Sens!K17848)/2</f>
        <v>39.6535099134241</v>
      </c>
    </row>
    <row r="17855" customFormat="false" ht="17.15" hidden="false" customHeight="false" outlineLevel="0" collapsed="false">
      <c r="A17855" s="3" t="s">
        <v>2052</v>
      </c>
    </row>
    <row r="17856" customFormat="false" ht="15" hidden="false" customHeight="false" outlineLevel="0" collapsed="false">
      <c r="A17856" s="4" t="s">
        <v>43</v>
      </c>
      <c r="B17856" s="4" t="s">
        <v>65</v>
      </c>
      <c r="C17856" s="23" t="s">
        <v>942</v>
      </c>
      <c r="D17856" s="23" t="s">
        <v>943</v>
      </c>
      <c r="E17856" s="23" t="s">
        <v>944</v>
      </c>
      <c r="F17856" s="23" t="s">
        <v>945</v>
      </c>
      <c r="G17856" s="23" t="s">
        <v>946</v>
      </c>
      <c r="H17856" s="23" t="s">
        <v>947</v>
      </c>
      <c r="I17856" s="23" t="s">
        <v>948</v>
      </c>
      <c r="J17856" s="23" t="s">
        <v>949</v>
      </c>
      <c r="K17856" s="23" t="s">
        <v>950</v>
      </c>
      <c r="L17856" s="4" t="s">
        <v>47</v>
      </c>
    </row>
    <row r="17857" customFormat="false" ht="15" hidden="false" customHeight="false" outlineLevel="0" collapsed="false">
      <c r="A17857" s="1" t="s">
        <v>1080</v>
      </c>
      <c r="B17857" s="0" t="s">
        <v>98</v>
      </c>
      <c r="F17857" s="6" t="n">
        <f aca="false">Sens!F17838</f>
        <v>147.446588037824</v>
      </c>
      <c r="G17857" s="6" t="n">
        <f aca="false">Sens!G17838</f>
        <v>167.959860935184</v>
      </c>
      <c r="H17857" s="6" t="n">
        <f aca="false">Sens!H17838</f>
        <v>195.940825662505</v>
      </c>
      <c r="I17857" s="6" t="n">
        <f aca="false">Sens!I17838</f>
        <v>217.303497631411</v>
      </c>
      <c r="J17857" s="6" t="n">
        <f aca="false">Sens!J17838</f>
        <v>235.854203061381</v>
      </c>
      <c r="K17857" s="6" t="n">
        <f aca="false">Sens!K17838</f>
        <v>252.654632630319</v>
      </c>
    </row>
    <row r="17858" customFormat="false" ht="17.15" hidden="false" customHeight="false" outlineLevel="0" collapsed="false">
      <c r="A17858" s="1" t="s">
        <v>1102</v>
      </c>
      <c r="B17858" s="0" t="s">
        <v>98</v>
      </c>
      <c r="E17858" s="6" t="n">
        <f aca="false">Q!M38-Sens!E17776</f>
        <v>22.2285940229167</v>
      </c>
      <c r="F17858" s="6" t="n">
        <f aca="false">Sens!E17858*(1-1/life_nonai)+(Sens!F17866+Sens!F17867)/life_nonai</f>
        <v>23.5755864718873</v>
      </c>
      <c r="G17858" s="6" t="n">
        <f aca="false">Sens!F17858*(1-1/life_nonai)+(Sens!G17866)/life_nonai</f>
        <v>25.3758596064077</v>
      </c>
      <c r="H17858" s="6" t="n">
        <f aca="false">Sens!G17858*(1-1/life_nonai)+(Sens!H17866)/life_nonai</f>
        <v>27.5926102072099</v>
      </c>
      <c r="I17858" s="6" t="n">
        <f aca="false">Sens!H17858*(1-1/life_nonai)+(Sens!I17866)/life_nonai</f>
        <v>30.1494722164327</v>
      </c>
      <c r="J17858" s="6" t="n">
        <f aca="false">Sens!I17858*(1-1/life_nonai)+(Sens!J17866)/life_nonai</f>
        <v>32.9543806588559</v>
      </c>
      <c r="K17858" s="6" t="n">
        <f aca="false">Sens!J17858*(1-1/life_nonai)+(Sens!K17866)/life_nonai</f>
        <v>35.9228685792431</v>
      </c>
      <c r="L17858" s="12" t="s">
        <v>1103</v>
      </c>
    </row>
    <row r="17859" customFormat="false" ht="17.15" hidden="false" customHeight="false" outlineLevel="0" collapsed="false">
      <c r="A17859" s="1" t="s">
        <v>1104</v>
      </c>
      <c r="B17859" s="0" t="s">
        <v>98</v>
      </c>
      <c r="F17859" s="6" t="n">
        <f aca="false">Sens!$F$17867/life_nonai*(1-1/life_nonai)^(Sens!F17739-2027)</f>
        <v>0</v>
      </c>
      <c r="G17859" s="6" t="n">
        <f aca="false">Sens!$F$17867/life_nonai*(1-1/life_nonai)^(Sens!G17739-2027)</f>
        <v>0</v>
      </c>
      <c r="H17859" s="6" t="n">
        <f aca="false">Sens!$F$17867/life_nonai*(1-1/life_nonai)^(Sens!H17739-2027)</f>
        <v>0</v>
      </c>
      <c r="I17859" s="6" t="n">
        <f aca="false">Sens!$F$17867/life_nonai*(1-1/life_nonai)^(Sens!I17739-2027)</f>
        <v>0</v>
      </c>
      <c r="J17859" s="6" t="n">
        <f aca="false">Sens!$F$17867/life_nonai*(1-1/life_nonai)^(Sens!J17739-2027)</f>
        <v>0</v>
      </c>
      <c r="K17859" s="6" t="n">
        <f aca="false">Sens!$F$17867/life_nonai*(1-1/life_nonai)^(Sens!K17739-2027)</f>
        <v>0</v>
      </c>
      <c r="L17859" s="1" t="s">
        <v>1105</v>
      </c>
    </row>
    <row r="17860" customFormat="false" ht="17.15" hidden="false" customHeight="false" outlineLevel="0" collapsed="false">
      <c r="A17860" s="1" t="s">
        <v>1106</v>
      </c>
      <c r="B17860" s="0" t="s">
        <v>98</v>
      </c>
      <c r="E17860" s="6" t="n">
        <f aca="false">Sens!E17776+Sens!E17858</f>
        <v>38.534</v>
      </c>
      <c r="F17860" s="6" t="n">
        <f aca="false">Sens!F17776+Sens!F17858</f>
        <v>58.1588657373437</v>
      </c>
      <c r="G17860" s="6" t="n">
        <f aca="false">Sens!G17776+Sens!G17858</f>
        <v>86.1182798329163</v>
      </c>
      <c r="H17860" s="6" t="n">
        <f aca="false">Sens!H17776+Sens!H17858</f>
        <v>116.700630442865</v>
      </c>
      <c r="I17860" s="6" t="n">
        <f aca="false">Sens!I17776+Sens!I17858</f>
        <v>144.388411485191</v>
      </c>
      <c r="J17860" s="6" t="n">
        <f aca="false">Sens!J17776+Sens!J17858</f>
        <v>164.977983282662</v>
      </c>
      <c r="K17860" s="6" t="n">
        <f aca="false">Sens!K17776+Sens!K17858</f>
        <v>178.943467704387</v>
      </c>
    </row>
    <row r="17861" customFormat="false" ht="17.15" hidden="false" customHeight="false" outlineLevel="0" collapsed="false">
      <c r="A17861" s="1" t="s">
        <v>1107</v>
      </c>
      <c r="B17861" s="0" t="s">
        <v>98</v>
      </c>
      <c r="F17861" s="6" t="n">
        <f aca="false">Sens!F17803*sbc_r</f>
        <v>15.0680693022395</v>
      </c>
      <c r="G17861" s="6" t="n">
        <f aca="false">Sens!G17803*sbc_r</f>
        <v>18.3841476633065</v>
      </c>
      <c r="H17861" s="6" t="n">
        <f aca="false">Sens!H17803*sbc_r</f>
        <v>21.9545979838202</v>
      </c>
      <c r="I17861" s="6" t="n">
        <f aca="false">Sens!I17803*sbc_r</f>
        <v>24.9944595349748</v>
      </c>
      <c r="J17861" s="6" t="n">
        <f aca="false">Sens!J17803*sbc_r</f>
        <v>27.4407929753337</v>
      </c>
      <c r="K17861" s="6" t="n">
        <f aca="false">Sens!K17803*sbc_r</f>
        <v>29.3868645070206</v>
      </c>
    </row>
    <row r="17862" customFormat="false" ht="17.15" hidden="false" customHeight="false" outlineLevel="0" collapsed="false">
      <c r="A17862" s="1" t="s">
        <v>1108</v>
      </c>
      <c r="B17862" s="0" t="s">
        <v>98</v>
      </c>
      <c r="F17862" s="6" t="n">
        <f aca="false">wc27-wc26q1</f>
        <v>-4.677</v>
      </c>
      <c r="G17862" s="6" t="n">
        <f aca="false">wc_f</f>
        <v>0</v>
      </c>
      <c r="H17862" s="6" t="n">
        <f aca="false">wc_f</f>
        <v>0</v>
      </c>
      <c r="I17862" s="6" t="n">
        <f aca="false">wc_f</f>
        <v>0</v>
      </c>
      <c r="J17862" s="6" t="n">
        <f aca="false">wc_f</f>
        <v>0</v>
      </c>
      <c r="K17862" s="6" t="n">
        <f aca="false">wc_f</f>
        <v>0</v>
      </c>
      <c r="L17862" s="12" t="s">
        <v>1109</v>
      </c>
    </row>
    <row r="17863" customFormat="false" ht="17.15" hidden="false" customHeight="false" outlineLevel="0" collapsed="false">
      <c r="A17863" s="0" t="s">
        <v>1110</v>
      </c>
      <c r="B17863" s="0" t="s">
        <v>98</v>
      </c>
      <c r="F17863" s="6" t="n">
        <f aca="false">Q!$I$35-Q!$I$26-Q!$I$38-Q!$I$39</f>
        <v>6.493</v>
      </c>
      <c r="L17863" s="1" t="s">
        <v>1111</v>
      </c>
    </row>
    <row r="17864" customFormat="false" ht="15" hidden="false" customHeight="false" outlineLevel="0" collapsed="false">
      <c r="A17864" s="1" t="s">
        <v>908</v>
      </c>
      <c r="B17864" s="0" t="s">
        <v>98</v>
      </c>
      <c r="E17864" s="6" t="n">
        <f aca="false">Q!M35</f>
        <v>182.935</v>
      </c>
      <c r="F17864" s="6" t="n">
        <f aca="false">Sens!F17857+Sens!F17860+Sens!F17861+Sens!F17862+Sens!F17863</f>
        <v>222.489523077408</v>
      </c>
      <c r="G17864" s="6" t="n">
        <f aca="false">Sens!G17857+Sens!G17860+Sens!G17861+Sens!G17862</f>
        <v>272.462288431407</v>
      </c>
      <c r="H17864" s="6" t="n">
        <f aca="false">Sens!H17857+Sens!H17860+Sens!H17861+Sens!H17862</f>
        <v>334.596054089191</v>
      </c>
      <c r="I17864" s="6" t="n">
        <f aca="false">Sens!I17857+Sens!I17860+Sens!I17861+Sens!I17862</f>
        <v>386.686368651576</v>
      </c>
      <c r="J17864" s="6" t="n">
        <f aca="false">Sens!J17857+Sens!J17860+Sens!J17861+Sens!J17862</f>
        <v>428.272979319376</v>
      </c>
      <c r="K17864" s="6" t="n">
        <f aca="false">Sens!K17857+Sens!K17860+Sens!K17861+Sens!K17862</f>
        <v>460.984964841726</v>
      </c>
    </row>
    <row r="17865" customFormat="false" ht="17.15" hidden="false" customHeight="false" outlineLevel="0" collapsed="false">
      <c r="A17865" s="0" t="s">
        <v>1112</v>
      </c>
      <c r="B17865" s="0" t="s">
        <v>98</v>
      </c>
      <c r="F17865" s="6" t="n">
        <f aca="false">Sens!F17773</f>
        <v>168.501481487377</v>
      </c>
      <c r="G17865" s="6" t="n">
        <f aca="false">Sens!G17773</f>
        <v>191.944475649048</v>
      </c>
      <c r="H17865" s="6" t="n">
        <f aca="false">Sens!H17773</f>
        <v>196.806004064512</v>
      </c>
      <c r="I17865" s="6" t="n">
        <f aca="false">Sens!I17773</f>
        <v>168.61483362161</v>
      </c>
      <c r="J17865" s="6" t="n">
        <f aca="false">Sens!J17773</f>
        <v>128.92993119594</v>
      </c>
      <c r="K17865" s="6" t="n">
        <f aca="false">Sens!K17773</f>
        <v>118.962853064733</v>
      </c>
    </row>
    <row r="17866" customFormat="false" ht="17.15" hidden="false" customHeight="false" outlineLevel="0" collapsed="false">
      <c r="A17866" s="1" t="s">
        <v>1113</v>
      </c>
      <c r="B17866" s="0" t="s">
        <v>98</v>
      </c>
      <c r="E17866" s="6" t="n">
        <f aca="false">Sens!E17781*cx_azo+Sens!E17788*cx_m365+Sens!E17789*cx_lic+(Sens!E17791+Sens!E17793)*cx_ind+Sens!E17796*cx_srch+(Sens!E17798+Sens!E17800)*cx_dev</f>
        <v>30.1846587067718</v>
      </c>
      <c r="F17866" s="6" t="n">
        <f aca="false">Sens!F17781*cx_azo+Sens!F17788*cx_m365+Sens!F17789*cx_lic+(Sens!F17791+Sens!F17793)*cx_ind+Sens!F17796*cx_srch+(Sens!F17798+Sens!F17800)*cx_dev</f>
        <v>35.6985185126228</v>
      </c>
      <c r="G17866" s="6" t="n">
        <f aca="false">Sens!G17781*cx_azo+Sens!G17788*cx_m365+Sens!G17789*cx_lic+(Sens!G17791+Sens!G17793)*cx_ind+Sens!G17796*cx_srch+(Sens!G17798+Sens!G17800)*cx_dev</f>
        <v>41.5783178170917</v>
      </c>
      <c r="H17866" s="6" t="n">
        <f aca="false">Sens!H17781*cx_azo+Sens!H17788*cx_m365+Sens!H17789*cx_lic+(Sens!H17791+Sens!H17793)*cx_ind+Sens!H17796*cx_srch+(Sens!H17798+Sens!H17800)*cx_dev</f>
        <v>47.5433656144293</v>
      </c>
      <c r="I17866" s="6" t="n">
        <f aca="false">Sens!I17781*cx_azo+Sens!I17788*cx_m365+Sens!I17789*cx_lic+(Sens!I17791+Sens!I17793)*cx_ind+Sens!I17796*cx_srch+(Sens!I17798+Sens!I17800)*cx_dev</f>
        <v>53.1612302994382</v>
      </c>
      <c r="J17866" s="6" t="n">
        <f aca="false">Sens!J17781*cx_azo+Sens!J17788*cx_m365+Sens!J17789*cx_lic+(Sens!J17791+Sens!J17793)*cx_ind+Sens!J17796*cx_srch+(Sens!J17798+Sens!J17800)*cx_dev</f>
        <v>58.1985566406647</v>
      </c>
      <c r="K17866" s="6" t="n">
        <f aca="false">Sens!K17781*cx_azo+Sens!K17788*cx_m365+Sens!K17789*cx_lic+(Sens!K17791+Sens!K17793)*cx_ind+Sens!K17796*cx_srch+(Sens!K17798+Sens!K17800)*cx_dev</f>
        <v>62.6392598627275</v>
      </c>
    </row>
    <row r="17867" customFormat="false" ht="17.15" hidden="false" customHeight="false" outlineLevel="0" collapsed="false">
      <c r="A17867" s="0" t="s">
        <v>1114</v>
      </c>
      <c r="B17867" s="0" t="s">
        <v>98</v>
      </c>
      <c r="F17867" s="6" t="n">
        <f aca="false">0</f>
        <v>0</v>
      </c>
      <c r="L17867" s="1" t="s">
        <v>1115</v>
      </c>
    </row>
    <row r="17868" customFormat="false" ht="17.15" hidden="false" customHeight="false" outlineLevel="0" collapsed="false">
      <c r="A17868" s="1" t="s">
        <v>1116</v>
      </c>
      <c r="B17868" s="0" t="s">
        <v>98</v>
      </c>
      <c r="E17868" s="6" t="n">
        <f aca="false">Q!M43</f>
        <v>145.3</v>
      </c>
      <c r="F17868" s="6" t="n">
        <f aca="false">Sens!F17865+Sens!F17866+Sens!F17867</f>
        <v>204.2</v>
      </c>
      <c r="G17868" s="6" t="n">
        <f aca="false">Sens!G17865+Sens!G17866</f>
        <v>233.52279346614</v>
      </c>
      <c r="H17868" s="6" t="n">
        <f aca="false">Sens!H17865+Sens!H17866</f>
        <v>244.349369678942</v>
      </c>
      <c r="I17868" s="6" t="n">
        <f aca="false">Sens!I17865+Sens!I17866</f>
        <v>221.776063921049</v>
      </c>
      <c r="J17868" s="6" t="n">
        <f aca="false">Sens!J17865+Sens!J17866</f>
        <v>187.128487836605</v>
      </c>
      <c r="K17868" s="6" t="n">
        <f aca="false">Sens!K17865+Sens!K17866</f>
        <v>181.60211292746</v>
      </c>
      <c r="L17868" s="1" t="s">
        <v>1117</v>
      </c>
    </row>
    <row r="17869" customFormat="false" ht="15" hidden="false" customHeight="false" outlineLevel="0" collapsed="false">
      <c r="A17869" s="1" t="s">
        <v>1118</v>
      </c>
      <c r="B17869" s="0" t="s">
        <v>98</v>
      </c>
      <c r="E17869" s="6" t="n">
        <f aca="false">fl_liab</f>
        <v>66.594</v>
      </c>
      <c r="F17869" s="6" t="n">
        <f aca="false">Sens!E17869-Sens!F17870</f>
        <v>62.46973</v>
      </c>
      <c r="G17869" s="6" t="n">
        <f aca="false">Sens!F17869-Sens!G17870</f>
        <v>57.98686785</v>
      </c>
      <c r="H17869" s="6" t="n">
        <f aca="false">Sens!G17869-Sens!H17870</f>
        <v>53.92827690325</v>
      </c>
      <c r="I17869" s="6" t="n">
        <f aca="false">Sens!H17869-Sens!I17870</f>
        <v>49.7850493638962</v>
      </c>
      <c r="J17869" s="6" t="n">
        <f aca="false">Sens!I17869-Sens!J17870</f>
        <v>45.4823765852716</v>
      </c>
      <c r="K17869" s="6" t="n">
        <f aca="false">Sens!J17869-Sens!K17870</f>
        <v>40.9860835316088</v>
      </c>
    </row>
    <row r="17870" customFormat="false" ht="15" hidden="false" customHeight="false" outlineLevel="0" collapsed="false">
      <c r="A17870" s="1" t="s">
        <v>1119</v>
      </c>
      <c r="B17870" s="0" t="s">
        <v>98</v>
      </c>
      <c r="F17870" s="6" t="n">
        <f aca="false">fl_pay_27-Sens!E17869*fl_rate</f>
        <v>4.12427</v>
      </c>
      <c r="G17870" s="6" t="n">
        <f aca="false">fl_pay_28-Sens!F17869*fl_rate</f>
        <v>4.48286215</v>
      </c>
      <c r="H17870" s="6" t="n">
        <f aca="false">fl_pay_29-Sens!G17869*fl_rate</f>
        <v>4.05859094675</v>
      </c>
      <c r="I17870" s="6" t="n">
        <f aca="false">fl_pay_30-Sens!H17869*fl_rate</f>
        <v>4.14322753935375</v>
      </c>
      <c r="J17870" s="6" t="n">
        <f aca="false">fl_pay_31-Sens!I17869*fl_rate</f>
        <v>4.30267277862467</v>
      </c>
      <c r="K17870" s="6" t="n">
        <f aca="false">fl_pay_32-Sens!J17869*fl_rate</f>
        <v>4.49629305366278</v>
      </c>
    </row>
    <row r="17871" customFormat="false" ht="17.15" hidden="false" customHeight="false" outlineLevel="0" collapsed="false">
      <c r="A17871" s="1" t="s">
        <v>1120</v>
      </c>
      <c r="B17871" s="0" t="s">
        <v>98</v>
      </c>
      <c r="E17871" s="6" t="n">
        <f aca="false">Q!M35-Q!M36-Q!M44</f>
        <v>63.886</v>
      </c>
      <c r="F17871" s="6" t="n">
        <f aca="false">Sens!F17864-Sens!F17868-Sens!F17870</f>
        <v>14.1652530774076</v>
      </c>
      <c r="G17871" s="6" t="n">
        <f aca="false">Sens!G17864-Sens!G17868-Sens!G17870</f>
        <v>34.456632815267</v>
      </c>
      <c r="H17871" s="6" t="n">
        <f aca="false">Sens!H17864-Sens!H17868-Sens!H17870</f>
        <v>86.1880934634991</v>
      </c>
      <c r="I17871" s="6" t="n">
        <f aca="false">Sens!I17864-Sens!I17868-Sens!I17870</f>
        <v>160.767077191174</v>
      </c>
      <c r="J17871" s="6" t="n">
        <f aca="false">Sens!J17864-Sens!J17868-Sens!J17870</f>
        <v>236.841818704146</v>
      </c>
      <c r="K17871" s="6" t="n">
        <f aca="false">Sens!K17864-Sens!K17868-Sens!K17870</f>
        <v>274.886558860603</v>
      </c>
      <c r="L17871" s="12" t="s">
        <v>1121</v>
      </c>
    </row>
    <row r="17872" customFormat="false" ht="15" hidden="false" customHeight="false" outlineLevel="0" collapsed="false">
      <c r="A17872" s="1" t="s">
        <v>1122</v>
      </c>
      <c r="B17872" s="0" t="s">
        <v>75</v>
      </c>
      <c r="F17872" s="8" t="n">
        <f aca="false">dps_27</f>
        <v>3.85</v>
      </c>
      <c r="G17872" s="8" t="n">
        <f aca="false">Sens!F17872*(1+dps_g)</f>
        <v>4.158</v>
      </c>
      <c r="H17872" s="8" t="n">
        <f aca="false">Sens!G17872*(1+dps_g)</f>
        <v>4.49064</v>
      </c>
      <c r="I17872" s="8" t="n">
        <f aca="false">Sens!H17872*(1+dps_g)</f>
        <v>4.8498912</v>
      </c>
      <c r="J17872" s="8" t="n">
        <f aca="false">Sens!I17872*(1+dps_g)</f>
        <v>5.237882496</v>
      </c>
      <c r="K17872" s="8" t="n">
        <f aca="false">Sens!J17872*(1+dps_g)</f>
        <v>5.65691309568</v>
      </c>
    </row>
    <row r="17873" customFormat="false" ht="17.15" hidden="false" customHeight="false" outlineLevel="0" collapsed="false">
      <c r="A17873" s="1" t="s">
        <v>1123</v>
      </c>
      <c r="B17873" s="0" t="s">
        <v>98</v>
      </c>
      <c r="E17873" s="6" t="n">
        <f aca="false">Q!M41</f>
        <v>26.445</v>
      </c>
      <c r="F17873" s="6" t="n">
        <f aca="false">Sens!F17872*Sens!E17882</f>
        <v>28.59395</v>
      </c>
      <c r="G17873" s="6" t="n">
        <f aca="false">Sens!G17872*Sens!F17882</f>
        <v>31.0447337091798</v>
      </c>
      <c r="H17873" s="6" t="n">
        <f aca="false">Sens!H17872*Sens!G17882</f>
        <v>33.7046833363624</v>
      </c>
      <c r="I17873" s="6" t="n">
        <f aca="false">Sens!I17872*Sens!H17882</f>
        <v>36.451496280344</v>
      </c>
      <c r="J17873" s="6" t="n">
        <f aca="false">Sens!J17872*Sens!I17882</f>
        <v>39.4355138681642</v>
      </c>
      <c r="K17873" s="6" t="n">
        <f aca="false">Sens!K17872*Sens!J17882</f>
        <v>42.6771092399956</v>
      </c>
      <c r="L17873" s="1" t="s">
        <v>1124</v>
      </c>
    </row>
    <row r="17874" customFormat="false" ht="15" hidden="false" customHeight="false" outlineLevel="0" collapsed="false">
      <c r="A17874" s="1" t="s">
        <v>1125</v>
      </c>
      <c r="B17874" s="0" t="s">
        <v>98</v>
      </c>
      <c r="E17874" s="6" t="n">
        <f aca="false">Sens!E17871-Sens!E17873</f>
        <v>37.441</v>
      </c>
      <c r="F17874" s="6" t="n">
        <f aca="false">Sens!F17871-Sens!F17873</f>
        <v>-14.4286969225924</v>
      </c>
      <c r="G17874" s="6" t="n">
        <f aca="false">Sens!G17871-Sens!G17873</f>
        <v>3.41189910608716</v>
      </c>
      <c r="H17874" s="6" t="n">
        <f aca="false">Sens!H17871-Sens!H17873</f>
        <v>52.4834101271367</v>
      </c>
      <c r="I17874" s="6" t="n">
        <f aca="false">Sens!I17871-Sens!I17873</f>
        <v>124.31558091083</v>
      </c>
      <c r="J17874" s="6" t="n">
        <f aca="false">Sens!J17871-Sens!J17873</f>
        <v>197.406304835982</v>
      </c>
      <c r="K17874" s="6" t="n">
        <f aca="false">Sens!K17871-Sens!K17873</f>
        <v>232.209449620608</v>
      </c>
    </row>
    <row r="17875" customFormat="false" ht="15" hidden="false" customHeight="false" outlineLevel="0" collapsed="false">
      <c r="A17875" s="1" t="s">
        <v>1126</v>
      </c>
      <c r="B17875" s="0" t="s">
        <v>98</v>
      </c>
      <c r="F17875" s="6" t="n">
        <f aca="false">debt_mat_27</f>
        <v>9.25</v>
      </c>
      <c r="G17875" s="6" t="n">
        <f aca="false">debt_mat_28</f>
        <v>0</v>
      </c>
      <c r="H17875" s="6" t="n">
        <f aca="false">debt_mat_29</f>
        <v>2.001</v>
      </c>
      <c r="I17875" s="6" t="n">
        <f aca="false">debt_mat_30</f>
        <v>0</v>
      </c>
      <c r="J17875" s="6" t="n">
        <f aca="false">debt_mat_31</f>
        <v>0.5</v>
      </c>
      <c r="K17875" s="6" t="n">
        <f aca="false">debt_mat_32</f>
        <v>0</v>
      </c>
    </row>
    <row r="17876" customFormat="false" ht="15" hidden="false" customHeight="false" outlineLevel="0" collapsed="false">
      <c r="A17876" s="1" t="s">
        <v>1127</v>
      </c>
      <c r="B17876" s="0" t="s">
        <v>98</v>
      </c>
      <c r="E17876" s="6" t="n">
        <f aca="false">Q!M40</f>
        <v>22.271</v>
      </c>
      <c r="F17876" s="6" t="n">
        <f aca="false">MAX(0,MIN(bb_target,Sens!E17878+Sens!F17874-Sens!F17875-min_cash))</f>
        <v>3.16430307740755</v>
      </c>
      <c r="G17876" s="6" t="n">
        <f aca="false">MAX(0,MIN(bb_target,Sens!F17878+Sens!G17874-Sens!G17875-min_cash))</f>
        <v>3.41189910608716</v>
      </c>
      <c r="H17876" s="6" t="n">
        <f aca="false">MAX(0,MIN(bb_target,Sens!G17878+Sens!H17874-Sens!H17875-min_cash))</f>
        <v>22.271</v>
      </c>
      <c r="I17876" s="6" t="n">
        <f aca="false">MAX(0,MIN(bb_target,Sens!H17878+Sens!I17874-Sens!I17875-min_cash))</f>
        <v>22.271</v>
      </c>
      <c r="J17876" s="6" t="n">
        <f aca="false">MAX(0,MIN(bb_target,Sens!I17878+Sens!J17874-Sens!J17875-min_cash))</f>
        <v>22.271</v>
      </c>
      <c r="K17876" s="6" t="n">
        <f aca="false">MAX(0,MIN(bb_target,Sens!J17878+Sens!K17874-Sens!K17875-min_cash))</f>
        <v>22.271</v>
      </c>
    </row>
    <row r="17877" customFormat="false" ht="15" hidden="false" customHeight="false" outlineLevel="0" collapsed="false">
      <c r="A17877" s="1" t="s">
        <v>1128</v>
      </c>
      <c r="B17877" s="0" t="s">
        <v>98</v>
      </c>
      <c r="F17877" s="6" t="n">
        <f aca="false">MAX(0,min_cash-(Sens!E17878+Sens!F17874-Sens!F17875-Sens!F17876))</f>
        <v>0</v>
      </c>
      <c r="G17877" s="6" t="n">
        <f aca="false">MAX(0,min_cash-(Sens!F17878+Sens!G17874-Sens!G17875-Sens!G17876))</f>
        <v>0</v>
      </c>
      <c r="H17877" s="6" t="n">
        <f aca="false">MAX(0,min_cash-(Sens!G17878+Sens!H17874-Sens!H17875-Sens!H17876))</f>
        <v>0</v>
      </c>
      <c r="I17877" s="6" t="n">
        <f aca="false">MAX(0,min_cash-(Sens!H17878+Sens!I17874-Sens!I17875-Sens!I17876))</f>
        <v>0</v>
      </c>
      <c r="J17877" s="6" t="n">
        <f aca="false">MAX(0,min_cash-(Sens!I17878+Sens!J17874-Sens!J17875-Sens!J17876))</f>
        <v>0</v>
      </c>
      <c r="K17877" s="6" t="n">
        <f aca="false">MAX(0,min_cash-(Sens!J17878+Sens!K17874-Sens!K17875-Sens!K17876))</f>
        <v>0</v>
      </c>
    </row>
    <row r="17878" customFormat="false" ht="15" hidden="false" customHeight="false" outlineLevel="0" collapsed="false">
      <c r="A17878" s="1" t="s">
        <v>1129</v>
      </c>
      <c r="B17878" s="0" t="s">
        <v>98</v>
      </c>
      <c r="E17878" s="6" t="n">
        <f aca="false">cash_open</f>
        <v>76.843</v>
      </c>
      <c r="F17878" s="6" t="n">
        <f aca="false">Sens!E17878+Sens!F17874-Sens!F17875-Sens!F17876+Sens!F17877</f>
        <v>50</v>
      </c>
      <c r="G17878" s="6" t="n">
        <f aca="false">Sens!F17878+Sens!G17874-Sens!G17875-Sens!G17876+Sens!G17877</f>
        <v>50</v>
      </c>
      <c r="H17878" s="6" t="n">
        <f aca="false">Sens!G17878+Sens!H17874-Sens!H17875-Sens!H17876+Sens!H17877</f>
        <v>78.2114101271367</v>
      </c>
      <c r="I17878" s="6" t="n">
        <f aca="false">Sens!H17878+Sens!I17874-Sens!I17875-Sens!I17876+Sens!I17877</f>
        <v>180.255991037967</v>
      </c>
      <c r="J17878" s="6" t="n">
        <f aca="false">Sens!I17878+Sens!J17874-Sens!J17875-Sens!J17876+Sens!J17877</f>
        <v>354.891295873949</v>
      </c>
      <c r="K17878" s="6" t="n">
        <f aca="false">Sens!J17878+Sens!K17874-Sens!K17875-Sens!K17876+Sens!K17877</f>
        <v>564.829745494557</v>
      </c>
    </row>
    <row r="17879" customFormat="false" ht="15" hidden="false" customHeight="false" outlineLevel="0" collapsed="false">
      <c r="A17879" s="1" t="s">
        <v>1130</v>
      </c>
      <c r="B17879" s="0" t="s">
        <v>98</v>
      </c>
      <c r="E17879" s="6" t="n">
        <f aca="false">debt_face</f>
        <v>46.136</v>
      </c>
      <c r="F17879" s="6" t="n">
        <f aca="false">Sens!E17879-Sens!F17875+Sens!F17877</f>
        <v>36.886</v>
      </c>
      <c r="G17879" s="6" t="n">
        <f aca="false">Sens!F17879-Sens!G17875+Sens!G17877</f>
        <v>36.886</v>
      </c>
      <c r="H17879" s="6" t="n">
        <f aca="false">Sens!G17879-Sens!H17875+Sens!H17877</f>
        <v>34.885</v>
      </c>
      <c r="I17879" s="6" t="n">
        <f aca="false">Sens!H17879-Sens!I17875+Sens!I17877</f>
        <v>34.885</v>
      </c>
      <c r="J17879" s="6" t="n">
        <f aca="false">Sens!I17879-Sens!J17875+Sens!J17877</f>
        <v>34.385</v>
      </c>
      <c r="K17879" s="6" t="n">
        <f aca="false">Sens!J17879-Sens!K17875+Sens!K17877</f>
        <v>34.385</v>
      </c>
    </row>
    <row r="17880" customFormat="false" ht="15" hidden="false" customHeight="false" outlineLevel="0" collapsed="false">
      <c r="A17880" s="1" t="s">
        <v>1131</v>
      </c>
      <c r="B17880" s="0" t="s">
        <v>98</v>
      </c>
      <c r="E17880" s="6" t="n">
        <f aca="false">Sens!E17878-Sens!E17879</f>
        <v>30.707</v>
      </c>
      <c r="F17880" s="6" t="n">
        <f aca="false">Sens!F17878-Sens!F17879</f>
        <v>13.114</v>
      </c>
      <c r="G17880" s="6" t="n">
        <f aca="false">Sens!G17878-Sens!G17879</f>
        <v>13.114</v>
      </c>
      <c r="H17880" s="6" t="n">
        <f aca="false">Sens!H17878-Sens!H17879</f>
        <v>43.3264101271367</v>
      </c>
      <c r="I17880" s="6" t="n">
        <f aca="false">Sens!I17878-Sens!I17879</f>
        <v>145.370991037967</v>
      </c>
      <c r="J17880" s="6" t="n">
        <f aca="false">Sens!J17878-Sens!J17879</f>
        <v>320.506295873949</v>
      </c>
      <c r="K17880" s="6" t="n">
        <f aca="false">Sens!K17878-Sens!K17879</f>
        <v>530.444745494557</v>
      </c>
    </row>
    <row r="17881" customFormat="false" ht="15" hidden="false" customHeight="false" outlineLevel="0" collapsed="false">
      <c r="A17881" s="1" t="s">
        <v>1132</v>
      </c>
      <c r="B17881" s="0" t="s">
        <v>75</v>
      </c>
      <c r="F17881" s="30" t="n">
        <f aca="false">px*(1+bb_g)^(Sens!F17739-base_fy-mid_yr)</f>
        <v>551.84177959629</v>
      </c>
      <c r="G17881" s="30" t="n">
        <f aca="false">px*(1+bb_g)^(Sens!G17739-base_fy-mid_yr)</f>
        <v>595.989121963993</v>
      </c>
      <c r="H17881" s="30" t="n">
        <f aca="false">px*(1+bb_g)^(Sens!H17739-base_fy-mid_yr)</f>
        <v>643.668251721112</v>
      </c>
      <c r="I17881" s="30" t="n">
        <f aca="false">px*(1+bb_g)^(Sens!I17739-base_fy-mid_yr)</f>
        <v>695.161711858801</v>
      </c>
      <c r="J17881" s="30" t="n">
        <f aca="false">px*(1+bb_g)^(Sens!J17739-base_fy-mid_yr)</f>
        <v>750.774648807506</v>
      </c>
      <c r="K17881" s="30" t="n">
        <f aca="false">px*(1+bb_g)^(Sens!K17739-base_fy-mid_yr)</f>
        <v>810.836620712106</v>
      </c>
    </row>
    <row r="17882" customFormat="false" ht="15" hidden="false" customHeight="false" outlineLevel="0" collapsed="false">
      <c r="A17882" s="1" t="s">
        <v>1133</v>
      </c>
      <c r="B17882" s="1" t="s">
        <v>81</v>
      </c>
      <c r="E17882" s="15" t="n">
        <f aca="false">sh_out26</f>
        <v>7.427</v>
      </c>
      <c r="F17882" s="15" t="n">
        <f aca="false">Sens!E17882+sh_iss-Sens!F17876/Sens!F17881</f>
        <v>7.46626592332367</v>
      </c>
      <c r="G17882" s="15" t="n">
        <f aca="false">Sens!F17882+sh_iss-Sens!G17876/Sens!G17881</f>
        <v>7.50554115590704</v>
      </c>
      <c r="H17882" s="15" t="n">
        <f aca="false">Sens!G17882+sh_iss-Sens!H17876/Sens!H17881</f>
        <v>7.51594103396464</v>
      </c>
      <c r="I17882" s="15" t="n">
        <f aca="false">Sens!H17882+sh_iss-Sens!I17876/Sens!I17881</f>
        <v>7.52890388401798</v>
      </c>
      <c r="J17882" s="15" t="n">
        <f aca="false">Sens!I17882+sh_iss-Sens!J17876/Sens!J17881</f>
        <v>7.54423985628958</v>
      </c>
      <c r="K17882" s="15" t="n">
        <f aca="false">Sens!J17882+sh_iss-Sens!K17876/Sens!K17881</f>
        <v>7.56177316394848</v>
      </c>
    </row>
    <row r="17883" customFormat="false" ht="15" hidden="false" customHeight="false" outlineLevel="0" collapsed="false">
      <c r="A17883" s="1" t="s">
        <v>1134</v>
      </c>
      <c r="B17883" s="1" t="s">
        <v>81</v>
      </c>
      <c r="E17883" s="15" t="n">
        <f aca="false">sh_dil26</f>
        <v>7.453</v>
      </c>
      <c r="F17883" s="15" t="n">
        <f aca="false">(Sens!E17882+Sens!F17882)/2+dil_gap</f>
        <v>7.47063296166184</v>
      </c>
      <c r="G17883" s="15" t="n">
        <f aca="false">(Sens!F17882+Sens!G17882)/2+dil_gap</f>
        <v>7.50990353961535</v>
      </c>
      <c r="H17883" s="15" t="n">
        <f aca="false">(Sens!G17882+Sens!H17882)/2+dil_gap</f>
        <v>7.53474109493584</v>
      </c>
      <c r="I17883" s="15" t="n">
        <f aca="false">(Sens!H17882+Sens!I17882)/2+dil_gap</f>
        <v>7.54642245899131</v>
      </c>
      <c r="J17883" s="15" t="n">
        <f aca="false">(Sens!I17882+Sens!J17882)/2+dil_gap</f>
        <v>7.56057187015378</v>
      </c>
      <c r="K17883" s="15" t="n">
        <f aca="false">(Sens!J17882+Sens!K17882)/2+dil_gap</f>
        <v>7.57700651011903</v>
      </c>
    </row>
    <row r="17884" customFormat="false" ht="17.15" hidden="false" customHeight="false" outlineLevel="0" collapsed="false">
      <c r="A17884" s="1" t="s">
        <v>1135</v>
      </c>
      <c r="B17884" s="0" t="s">
        <v>98</v>
      </c>
      <c r="C17884" s="6" t="n">
        <f aca="false">SUM(Sens!F17874:J17874)</f>
        <v>363.188498057444</v>
      </c>
    </row>
    <row r="17885" customFormat="false" ht="15" hidden="false" customHeight="false" outlineLevel="0" collapsed="false">
      <c r="A17885" s="26" t="s">
        <v>1100</v>
      </c>
      <c r="B17885" s="31" t="s">
        <v>98</v>
      </c>
      <c r="C17885" s="27" t="n">
        <f aca="false">Sens!$C$17884-(Sens!F17874+Sens!G17874+Sens!H17874+Sens!I17874+Sens!J17874)</f>
        <v>0</v>
      </c>
      <c r="D17885" s="31"/>
      <c r="E17885" s="31"/>
      <c r="F17885" s="31"/>
      <c r="G17885" s="31"/>
      <c r="H17885" s="31"/>
      <c r="I17885" s="31"/>
      <c r="J17885" s="31"/>
      <c r="K17885" s="31"/>
    </row>
    <row r="17886" customFormat="false" ht="17.15" hidden="false" customHeight="false" outlineLevel="0" collapsed="false">
      <c r="A17886" s="1" t="s">
        <v>1094</v>
      </c>
      <c r="B17886" s="1" t="s">
        <v>1136</v>
      </c>
      <c r="C17886" s="33" t="str">
        <f aca="false">IF(SUM(Sens!F17877:J17877)&gt;0.05,"需要舉債 "&amp;TEXT(SUM(Sens!F17877:J17877),"0.0")&amp;" 十億美元","不需舉債")&amp;"；"&amp;IF(SUM(Sens!F17876:J17876)&lt;COUNT(Sens!F17876:J17876)*bb_target-0.05,"回購較每年 "&amp;TEXT(bb_target,"0.0")&amp;" 的目標少 "&amp;TEXT(COUNT(Sens!F17876:J17876)*bb_target-SUM(Sens!F17876:J17876),"0.0")&amp;" 十億美元（"&amp;TEXT(COUNTIF(Sens!F17876:J17876,"&lt;"&amp;(bb_target-0.05)),"0")&amp;" 年減少）","回購不減")</f>
        <v>不需舉債；回購較每年 22.3 的目標少 38.0 十億美元（2 年減少）</v>
      </c>
    </row>
    <row r="17887" customFormat="false" ht="17.15" hidden="false" customHeight="false" outlineLevel="0" collapsed="false">
      <c r="A17887" s="3" t="s">
        <v>2053</v>
      </c>
    </row>
    <row r="17888" customFormat="false" ht="15" hidden="false" customHeight="false" outlineLevel="0" collapsed="false">
      <c r="A17888" s="4" t="s">
        <v>43</v>
      </c>
      <c r="B17888" s="4" t="s">
        <v>65</v>
      </c>
      <c r="C17888" s="23" t="s">
        <v>942</v>
      </c>
      <c r="D17888" s="23" t="s">
        <v>943</v>
      </c>
      <c r="E17888" s="23" t="s">
        <v>944</v>
      </c>
      <c r="F17888" s="23" t="s">
        <v>945</v>
      </c>
      <c r="G17888" s="23" t="s">
        <v>946</v>
      </c>
      <c r="H17888" s="23" t="s">
        <v>947</v>
      </c>
      <c r="I17888" s="23" t="s">
        <v>948</v>
      </c>
      <c r="J17888" s="23" t="s">
        <v>949</v>
      </c>
      <c r="K17888" s="23" t="s">
        <v>950</v>
      </c>
      <c r="L17888" s="4" t="s">
        <v>47</v>
      </c>
    </row>
    <row r="17889" customFormat="false" ht="17.15" hidden="false" customHeight="false" outlineLevel="0" collapsed="false">
      <c r="A17889" s="1" t="s">
        <v>1216</v>
      </c>
      <c r="B17889" s="1" t="s">
        <v>279</v>
      </c>
      <c r="F17889" s="8" t="n">
        <f aca="false">(1-v_off)*mid_yr</f>
        <v>0.373972602739726</v>
      </c>
      <c r="G17889" s="8" t="n">
        <f aca="false">Sens!G17739-base_fy-mid_yr-v_off</f>
        <v>1.24794520547945</v>
      </c>
      <c r="H17889" s="8" t="n">
        <f aca="false">Sens!H17739-base_fy-mid_yr-v_off</f>
        <v>2.24794520547945</v>
      </c>
      <c r="I17889" s="8" t="n">
        <f aca="false">Sens!I17739-base_fy-mid_yr-v_off</f>
        <v>3.24794520547945</v>
      </c>
      <c r="J17889" s="8" t="n">
        <f aca="false">Sens!J17739-base_fy-mid_yr-v_off</f>
        <v>4.24794520547945</v>
      </c>
      <c r="K17889" s="8" t="n">
        <f aca="false">Sens!K17739-base_fy-mid_yr-v_off</f>
        <v>5.24794520547945</v>
      </c>
      <c r="L17889" s="12" t="s">
        <v>1217</v>
      </c>
    </row>
    <row r="17890" customFormat="false" ht="15" hidden="false" customHeight="false" outlineLevel="0" collapsed="false">
      <c r="A17890" s="1" t="s">
        <v>1218</v>
      </c>
      <c r="B17890" s="1" t="s">
        <v>279</v>
      </c>
      <c r="F17890" s="8" t="n">
        <f aca="false">Sens!F17739-base_fy-v_off</f>
        <v>0.747945205479452</v>
      </c>
      <c r="G17890" s="8" t="n">
        <f aca="false">Sens!G17739-base_fy-v_off</f>
        <v>1.74794520547945</v>
      </c>
      <c r="H17890" s="8" t="n">
        <f aca="false">Sens!H17739-base_fy-v_off</f>
        <v>2.74794520547945</v>
      </c>
      <c r="I17890" s="8" t="n">
        <f aca="false">Sens!I17739-base_fy-v_off</f>
        <v>3.74794520547945</v>
      </c>
      <c r="J17890" s="8" t="n">
        <f aca="false">Sens!J17739-base_fy-v_off</f>
        <v>4.74794520547945</v>
      </c>
      <c r="K17890" s="8" t="n">
        <f aca="false">Sens!K17739-base_fy-v_off</f>
        <v>5.74794520547945</v>
      </c>
    </row>
    <row r="17891" customFormat="false" ht="15" hidden="false" customHeight="false" outlineLevel="0" collapsed="false">
      <c r="A17891" s="1" t="s">
        <v>1219</v>
      </c>
      <c r="B17891" s="0" t="s">
        <v>229</v>
      </c>
      <c r="F17891" s="15" t="n">
        <f aca="false">1/(1+wacc)^Sens!F17889</f>
        <v>0.964022703286649</v>
      </c>
      <c r="G17891" s="15" t="n">
        <f aca="false">1/(1+wacc)^Sens!G17889</f>
        <v>0.884910302296739</v>
      </c>
      <c r="H17891" s="15" t="n">
        <f aca="false">1/(1+wacc)^Sens!H17889</f>
        <v>0.802322009770358</v>
      </c>
      <c r="I17891" s="15" t="n">
        <f aca="false">1/(1+wacc)^Sens!I17889</f>
        <v>0.727441646561469</v>
      </c>
      <c r="J17891" s="15" t="n">
        <f aca="false">1/(1+wacc)^Sens!J17889</f>
        <v>0.659549834988973</v>
      </c>
      <c r="K17891" s="15" t="n">
        <f aca="false">1/(1+wacc)^Sens!K17889</f>
        <v>0.597994336576966</v>
      </c>
    </row>
    <row r="17892" customFormat="false" ht="17.15" hidden="false" customHeight="false" outlineLevel="0" collapsed="false">
      <c r="A17892" s="1" t="s">
        <v>1220</v>
      </c>
      <c r="B17892" s="0" t="s">
        <v>98</v>
      </c>
      <c r="F17892" s="6" t="n">
        <f aca="false">Q!$I$35-Q!$I$39-Q!$I$43</f>
        <v>9.666</v>
      </c>
      <c r="L17892" s="12" t="s">
        <v>1221</v>
      </c>
    </row>
    <row r="17893" customFormat="false" ht="17.15" hidden="false" customHeight="false" outlineLevel="0" collapsed="false">
      <c r="A17893" s="1" t="s">
        <v>1222</v>
      </c>
      <c r="B17893" s="0" t="s">
        <v>98</v>
      </c>
      <c r="F17893" s="6" t="n">
        <f aca="false">Sens!F17864-Sens!F17861-Sens!F17868+Sens!F17846*(1-tax_f)*(1-v_off)-Sens!F17892</f>
        <v>-1.12910503804768</v>
      </c>
      <c r="G17893" s="6" t="n">
        <f aca="false">Sens!G17864-Sens!G17861-Sens!G17868+Sens!G17846*(1-tax_f)</f>
        <v>38.7201717155824</v>
      </c>
      <c r="H17893" s="6" t="n">
        <f aca="false">Sens!H17864-Sens!H17861-Sens!H17868+Sens!H17846*(1-tax_f)</f>
        <v>98.6935626169949</v>
      </c>
      <c r="I17893" s="6" t="n">
        <f aca="false">Sens!I17864-Sens!I17861-Sens!I17868+Sens!I17846*(1-tax_f)</f>
        <v>181.626332771967</v>
      </c>
      <c r="J17893" s="6" t="n">
        <f aca="false">Sens!J17864-Sens!J17861-Sens!J17868+Sens!J17846*(1-tax_f)</f>
        <v>263.351364022189</v>
      </c>
      <c r="K17893" s="6" t="n">
        <f aca="false">Sens!K17864-Sens!K17861-Sens!K17868+Sens!K17846*(1-tax_f)</f>
        <v>303.660092423747</v>
      </c>
      <c r="L17893" s="1" t="s">
        <v>1223</v>
      </c>
    </row>
    <row r="17894" customFormat="false" ht="15" hidden="false" customHeight="false" outlineLevel="0" collapsed="false">
      <c r="A17894" s="1" t="s">
        <v>1224</v>
      </c>
      <c r="B17894" s="0" t="s">
        <v>98</v>
      </c>
      <c r="F17894" s="6" t="n">
        <f aca="false">Sens!F17893*Sens!F17891</f>
        <v>-1.0884828910733</v>
      </c>
      <c r="G17894" s="6" t="n">
        <f aca="false">Sens!G17893*Sens!G17891</f>
        <v>34.2638788578177</v>
      </c>
      <c r="H17894" s="6" t="n">
        <f aca="false">Sens!H17893*Sens!H17891</f>
        <v>79.184017510264</v>
      </c>
      <c r="I17894" s="6" t="n">
        <f aca="false">Sens!I17893*Sens!I17891</f>
        <v>132.122558570561</v>
      </c>
      <c r="J17894" s="6" t="n">
        <f aca="false">Sens!J17893*Sens!J17891</f>
        <v>173.693348684955</v>
      </c>
      <c r="K17894" s="6" t="n">
        <f aca="false">Sens!K17893*Sens!K17891</f>
        <v>181.587015513838</v>
      </c>
    </row>
    <row r="17895" customFormat="false" ht="17.15" hidden="false" customHeight="false" outlineLevel="0" collapsed="false">
      <c r="A17895" s="1" t="s">
        <v>1225</v>
      </c>
      <c r="B17895" s="0" t="s">
        <v>98</v>
      </c>
      <c r="C17895" s="6" t="n">
        <f aca="false">SUM(Sens!F17894:K17894)</f>
        <v>599.762336246364</v>
      </c>
    </row>
    <row r="17896" customFormat="false" ht="17.15" hidden="false" customHeight="false" outlineLevel="0" collapsed="false">
      <c r="A17896" s="1" t="s">
        <v>1226</v>
      </c>
      <c r="B17896" s="0" t="s">
        <v>98</v>
      </c>
      <c r="C17896" s="6" t="n">
        <f aca="false">Sens!K17832*(1+g_tv)*(1-tax_f)</f>
        <v>316.497099776225</v>
      </c>
    </row>
    <row r="17897" customFormat="false" ht="17.15" hidden="false" customHeight="false" outlineLevel="0" collapsed="false">
      <c r="A17897" s="1" t="s">
        <v>1227</v>
      </c>
      <c r="B17897" s="0" t="s">
        <v>98</v>
      </c>
      <c r="C17897" s="6" t="n">
        <f aca="false">Sens!$C$17896*(1-g_tv/(wacc+ronic_prem))</f>
        <v>224.25669326903</v>
      </c>
    </row>
    <row r="17898" customFormat="false" ht="17.15" hidden="false" customHeight="false" outlineLevel="0" collapsed="false">
      <c r="A17898" s="1" t="s">
        <v>1228</v>
      </c>
      <c r="B17898" s="0" t="s">
        <v>98</v>
      </c>
      <c r="C17898" s="6" t="n">
        <f aca="false">Sens!$C$17897/(wacc-g_tv)</f>
        <v>3074.6802169065</v>
      </c>
    </row>
    <row r="17899" customFormat="false" ht="15" hidden="false" customHeight="false" outlineLevel="0" collapsed="false">
      <c r="A17899" s="1" t="s">
        <v>1229</v>
      </c>
      <c r="B17899" s="0" t="s">
        <v>98</v>
      </c>
      <c r="C17899" s="6" t="n">
        <f aca="false">Sens!$C$17898/(1+wacc)^Sens!K17890</f>
        <v>1750.74039314876</v>
      </c>
    </row>
    <row r="17900" customFormat="false" ht="17.15" hidden="false" customHeight="false" outlineLevel="0" collapsed="false">
      <c r="A17900" s="0" t="s">
        <v>1230</v>
      </c>
      <c r="B17900" s="0" t="s">
        <v>98</v>
      </c>
      <c r="C17900" s="6" t="n">
        <f aca="false">Sens!$C$17895+Sens!$C$17899</f>
        <v>2350.50272939512</v>
      </c>
    </row>
    <row r="17901" customFormat="false" ht="15" hidden="false" customHeight="false" outlineLevel="0" collapsed="false">
      <c r="A17901" s="1" t="s">
        <v>1145</v>
      </c>
      <c r="B17901" s="0" t="s">
        <v>168</v>
      </c>
      <c r="C17901" s="7" t="n">
        <f aca="false">Sens!$C$17899/Sens!$C$17900</f>
        <v>0.744836571025507</v>
      </c>
    </row>
    <row r="17902" customFormat="false" ht="17.15" hidden="false" customHeight="false" outlineLevel="0" collapsed="false">
      <c r="A17902" s="1" t="s">
        <v>1231</v>
      </c>
      <c r="B17902" s="0" t="s">
        <v>98</v>
      </c>
      <c r="C17902" s="6" t="n">
        <f aca="false">Sens!$C$17900+cash_val-debt_val-fl_val+oai_v</f>
        <v>2466.35372939512</v>
      </c>
    </row>
    <row r="17903" customFormat="false" ht="17.15" hidden="false" customHeight="false" outlineLevel="0" collapsed="false">
      <c r="A17903" s="0" t="s">
        <v>1153</v>
      </c>
      <c r="B17903" s="0" t="s">
        <v>75</v>
      </c>
      <c r="C17903" s="5" t="n">
        <f aca="false">Sens!$C$17902/shd_val</f>
        <v>331.232034568241</v>
      </c>
    </row>
    <row r="17904" customFormat="false" ht="15" hidden="false" customHeight="false" outlineLevel="0" collapsed="false">
      <c r="A17904" s="1" t="s">
        <v>1232</v>
      </c>
      <c r="B17904" s="0" t="s">
        <v>75</v>
      </c>
      <c r="C17904" s="8" t="n">
        <f aca="false">div_rem27+Sens!G17872*roll_div_q/q_per_yr</f>
        <v>3.9795</v>
      </c>
    </row>
    <row r="17905" customFormat="false" ht="17.15" hidden="false" customHeight="false" outlineLevel="0" collapsed="false">
      <c r="A17905" s="0" t="s">
        <v>1233</v>
      </c>
      <c r="B17905" s="0" t="s">
        <v>75</v>
      </c>
      <c r="C17905" s="5" t="n">
        <f aca="false">Sens!$C$17903*(1+wacc)^t_roll-Sens!$C$17904</f>
        <v>364.203392728825</v>
      </c>
    </row>
    <row r="17906" customFormat="false" ht="17.15" hidden="false" customHeight="false" outlineLevel="0" collapsed="false">
      <c r="A17906" s="1" t="s">
        <v>1234</v>
      </c>
      <c r="B17906" s="0" t="s">
        <v>168</v>
      </c>
      <c r="F17906" s="7" t="n">
        <f aca="false">Sens!F17858/(Sens!F17803-Sens!F17758)</f>
        <v>0.0685388988641094</v>
      </c>
      <c r="G17906" s="7" t="n">
        <f aca="false">Sens!G17858/(Sens!G17803-Sens!G17758)</f>
        <v>0.0653457465963261</v>
      </c>
      <c r="H17906" s="7" t="n">
        <f aca="false">Sens!H17858/(Sens!H17803-Sens!H17758)</f>
        <v>0.0636539937496352</v>
      </c>
      <c r="I17906" s="7" t="n">
        <f aca="false">Sens!I17858/(Sens!I17803-Sens!I17758)</f>
        <v>0.0633508205541219</v>
      </c>
      <c r="J17906" s="7" t="n">
        <f aca="false">Sens!J17858/(Sens!J17803-Sens!J17758)</f>
        <v>0.0640813255883536</v>
      </c>
      <c r="K17906" s="7" t="n">
        <f aca="false">Sens!K17858/(Sens!K17803-Sens!K17758)</f>
        <v>0.0653911094760038</v>
      </c>
    </row>
    <row r="17907" customFormat="false" ht="17.15" hidden="false" customHeight="false" outlineLevel="0" collapsed="false">
      <c r="A17907" s="0" t="s">
        <v>1235</v>
      </c>
      <c r="B17907" s="0" t="s">
        <v>98</v>
      </c>
      <c r="F17907" s="6" t="n">
        <f aca="false">Sens!F17788*(al_m365+Sens!F17906+sbc_r)</f>
        <v>84.5197345892455</v>
      </c>
      <c r="G17907" s="6" t="n">
        <f aca="false">Sens!G17788*(al_m365+Sens!G17906+sbc_r)</f>
        <v>98.9484307244519</v>
      </c>
      <c r="H17907" s="6" t="n">
        <f aca="false">Sens!H17788*(al_m365+Sens!H17906+sbc_r)</f>
        <v>113.542294363182</v>
      </c>
      <c r="I17907" s="6" t="n">
        <f aca="false">Sens!I17788*(al_m365+Sens!I17906+sbc_r)</f>
        <v>126.619271500968</v>
      </c>
      <c r="J17907" s="6" t="n">
        <f aca="false">Sens!J17788*(al_m365+Sens!J17906+sbc_r)</f>
        <v>137.993466050855</v>
      </c>
      <c r="K17907" s="6" t="n">
        <f aca="false">Sens!K17788*(al_m365+Sens!K17906+sbc_r)</f>
        <v>148.988139922556</v>
      </c>
      <c r="L17907" s="12" t="s">
        <v>1236</v>
      </c>
    </row>
    <row r="17908" customFormat="false" ht="17.15" hidden="false" customHeight="false" outlineLevel="0" collapsed="false">
      <c r="A17908" s="0" t="s">
        <v>1237</v>
      </c>
      <c r="B17908" s="0" t="s">
        <v>98</v>
      </c>
      <c r="F17908" s="6" t="n">
        <f aca="false">Sens!F17789*(al_lic+Sens!F17906+sbc_r)</f>
        <v>32.8546692645468</v>
      </c>
      <c r="G17908" s="6" t="n">
        <f aca="false">Sens!G17789*(al_lic+Sens!G17906+sbc_r)</f>
        <v>34.1181170826133</v>
      </c>
      <c r="H17908" s="6" t="n">
        <f aca="false">Sens!H17789*(al_lic+Sens!H17906+sbc_r)</f>
        <v>35.3020621533934</v>
      </c>
      <c r="I17908" s="6" t="n">
        <f aca="false">Sens!I17789*(al_lic+Sens!I17906+sbc_r)</f>
        <v>36.3895350789355</v>
      </c>
      <c r="J17908" s="6" t="n">
        <f aca="false">Sens!J17789*(al_lic+Sens!J17906+sbc_r)</f>
        <v>37.3526466692629</v>
      </c>
      <c r="K17908" s="6" t="n">
        <f aca="false">Sens!K17789*(al_lic+Sens!K17906+sbc_r)</f>
        <v>38.1583073392497</v>
      </c>
    </row>
    <row r="17909" customFormat="false" ht="17.15" hidden="false" customHeight="false" outlineLevel="0" collapsed="false">
      <c r="A17909" s="0" t="s">
        <v>1238</v>
      </c>
      <c r="B17909" s="0" t="s">
        <v>98</v>
      </c>
      <c r="F17909" s="6" t="n">
        <f aca="false">Sens!F17791*(al_ind+Sens!F17906+sbc_r)</f>
        <v>9.05861680873944</v>
      </c>
      <c r="G17909" s="6" t="n">
        <f aca="false">Sens!G17791*(al_ind+Sens!G17906+sbc_r)</f>
        <v>9.82429589037136</v>
      </c>
      <c r="H17909" s="6" t="n">
        <f aca="false">Sens!H17791*(al_ind+Sens!H17906+sbc_r)</f>
        <v>10.6375050309648</v>
      </c>
      <c r="I17909" s="6" t="n">
        <f aca="false">Sens!I17791*(al_ind+Sens!I17906+sbc_r)</f>
        <v>11.496423248012</v>
      </c>
      <c r="J17909" s="6" t="n">
        <f aca="false">Sens!J17791*(al_ind+Sens!J17906+sbc_r)</f>
        <v>12.3901786929281</v>
      </c>
      <c r="K17909" s="6" t="n">
        <f aca="false">Sens!K17791*(al_ind+Sens!K17906+sbc_r)</f>
        <v>13.3007440265546</v>
      </c>
    </row>
    <row r="17910" customFormat="false" ht="17.15" hidden="false" customHeight="false" outlineLevel="0" collapsed="false">
      <c r="A17910" s="0" t="s">
        <v>1239</v>
      </c>
      <c r="B17910" s="0" t="s">
        <v>98</v>
      </c>
      <c r="F17910" s="6" t="n">
        <f aca="false">Sens!F17793*(al_fro+Sens!F17906+sbc_r)</f>
        <v>3.55332335643508</v>
      </c>
      <c r="G17910" s="6" t="n">
        <f aca="false">Sens!G17793*(al_fro+Sens!G17906+sbc_r)</f>
        <v>3.75906353784493</v>
      </c>
      <c r="H17910" s="6" t="n">
        <f aca="false">Sens!H17793*(al_fro+Sens!H17906+sbc_r)</f>
        <v>3.99488240023908</v>
      </c>
      <c r="I17910" s="6" t="n">
        <f aca="false">Sens!I17793*(al_fro+Sens!I17906+sbc_r)</f>
        <v>4.2638851598007</v>
      </c>
      <c r="J17910" s="6" t="n">
        <f aca="false">Sens!J17793*(al_fro+Sens!J17906+sbc_r)</f>
        <v>4.56671054017157</v>
      </c>
      <c r="K17910" s="6" t="n">
        <f aca="false">Sens!K17793*(al_fro+Sens!K17906+sbc_r)</f>
        <v>4.90232218949832</v>
      </c>
    </row>
    <row r="17911" customFormat="false" ht="17.15" hidden="false" customHeight="false" outlineLevel="0" collapsed="false">
      <c r="A17911" s="0" t="s">
        <v>1240</v>
      </c>
      <c r="B17911" s="0" t="s">
        <v>98</v>
      </c>
      <c r="F17911" s="6" t="n">
        <f aca="false">Sens!F17796*(al_srch+Sens!F17906+sbc_r)</f>
        <v>11.1868671539751</v>
      </c>
      <c r="G17911" s="6" t="n">
        <f aca="false">Sens!G17796*(al_srch+Sens!G17906+sbc_r)</f>
        <v>12.2469107320795</v>
      </c>
      <c r="H17911" s="6" t="n">
        <f aca="false">Sens!H17796*(al_srch+Sens!H17906+sbc_r)</f>
        <v>13.3549910353783</v>
      </c>
      <c r="I17911" s="6" t="n">
        <f aca="false">Sens!I17796*(al_srch+Sens!I17906+sbc_r)</f>
        <v>14.5021507909211</v>
      </c>
      <c r="J17911" s="6" t="n">
        <f aca="false">Sens!J17796*(al_srch+Sens!J17906+sbc_r)</f>
        <v>15.6670397798181</v>
      </c>
      <c r="K17911" s="6" t="n">
        <f aca="false">Sens!K17796*(al_srch+Sens!K17906+sbc_r)</f>
        <v>16.8184245707567</v>
      </c>
    </row>
    <row r="17912" customFormat="false" ht="17.15" hidden="false" customHeight="false" outlineLevel="0" collapsed="false">
      <c r="A17912" s="0" t="s">
        <v>1241</v>
      </c>
      <c r="B17912" s="0" t="s">
        <v>98</v>
      </c>
      <c r="F17912" s="6" t="n">
        <f aca="false">Sens!F17764-Sens!F17765+Sens!F17846</f>
        <v>45.3782580567763</v>
      </c>
      <c r="G17912" s="6" t="n">
        <f aca="false">Sens!G17764-Sens!G17765+Sens!G17846</f>
        <v>91.0863367558165</v>
      </c>
      <c r="H17912" s="6" t="n">
        <f aca="false">Sens!H17764-Sens!H17765+Sens!H17846</f>
        <v>144.617532464853</v>
      </c>
      <c r="I17912" s="6" t="n">
        <f aca="false">Sens!I17764-Sens!I17765+Sens!I17846</f>
        <v>187.137304561304</v>
      </c>
      <c r="J17912" s="6" t="n">
        <f aca="false">Sens!J17764-Sens!J17765+Sens!J17846</f>
        <v>217.006854425907</v>
      </c>
      <c r="K17912" s="6" t="n">
        <f aca="false">Sens!K17764-Sens!K17765+Sens!K17846</f>
        <v>234.933637903877</v>
      </c>
    </row>
    <row r="17913" customFormat="false" ht="17.15" hidden="false" customHeight="false" outlineLevel="0" collapsed="false">
      <c r="A17913" s="0" t="s">
        <v>1242</v>
      </c>
      <c r="B17913" s="0" t="s">
        <v>98</v>
      </c>
      <c r="F17913" s="6" t="n">
        <f aca="false">Sens!F17825+Sens!F17846+Sens!F17776+Sens!F17906*(Sens!F17795-Sens!F17758)+sbc_r*Sens!F17795</f>
        <v>240.818877403584</v>
      </c>
      <c r="G17913" s="6" t="n">
        <f aca="false">Sens!G17825+Sens!G17846+Sens!G17776+Sens!G17906*(Sens!G17795-Sens!G17758)+sbc_r*Sens!G17795</f>
        <v>311.918514933867</v>
      </c>
      <c r="H17913" s="6" t="n">
        <f aca="false">Sens!H17825+Sens!H17846+Sens!H17776+Sens!H17906*(Sens!H17795-Sens!H17758)+sbc_r*Sens!H17795</f>
        <v>395.486856574959</v>
      </c>
      <c r="I17913" s="6" t="n">
        <f aca="false">Sens!I17825+Sens!I17846+Sens!I17776+Sens!I17906*(Sens!I17795-Sens!I17758)+sbc_r*Sens!I17795</f>
        <v>465.951327357079</v>
      </c>
      <c r="J17913" s="6" t="n">
        <f aca="false">Sens!J17825+Sens!J17846+Sens!J17776+Sens!J17906*(Sens!J17795-Sens!J17758)+sbc_r*Sens!J17795</f>
        <v>520.787227353106</v>
      </c>
      <c r="K17913" s="6" t="n">
        <f aca="false">Sens!K17825+Sens!K17846+Sens!K17776+Sens!K17906*(Sens!K17795-Sens!K17758)+sbc_r*Sens!K17795</f>
        <v>561.247376413236</v>
      </c>
    </row>
    <row r="17914" customFormat="false" ht="17.15" hidden="false" customHeight="false" outlineLevel="0" collapsed="false">
      <c r="A17914" s="0" t="s">
        <v>1243</v>
      </c>
      <c r="B17914" s="0" t="s">
        <v>98</v>
      </c>
      <c r="F17914" s="6" t="n">
        <f aca="false">Sens!F17913-Sens!F17907-Sens!F17908-Sens!F17909-Sens!F17910-Sens!F17912</f>
        <v>65.4542753278409</v>
      </c>
      <c r="G17914" s="6" t="n">
        <f aca="false">Sens!G17913-Sens!G17907-Sens!G17908-Sens!G17909-Sens!G17910-Sens!G17912</f>
        <v>74.1822709427694</v>
      </c>
      <c r="H17914" s="6" t="n">
        <f aca="false">Sens!H17913-Sens!H17907-Sens!H17908-Sens!H17909-Sens!H17910-Sens!H17912</f>
        <v>87.3925801623256</v>
      </c>
      <c r="I17914" s="6" t="n">
        <f aca="false">Sens!I17913-Sens!I17907-Sens!I17908-Sens!I17909-Sens!I17910-Sens!I17912</f>
        <v>100.04490780806</v>
      </c>
      <c r="J17914" s="6" t="n">
        <f aca="false">Sens!J17913-Sens!J17907-Sens!J17908-Sens!J17909-Sens!J17910-Sens!J17912</f>
        <v>111.477370973981</v>
      </c>
      <c r="K17914" s="6" t="n">
        <f aca="false">Sens!K17913-Sens!K17907-Sens!K17908-Sens!K17909-Sens!K17910-Sens!K17912</f>
        <v>120.9642250315</v>
      </c>
    </row>
    <row r="17915" customFormat="false" ht="17.15" hidden="false" customHeight="false" outlineLevel="0" collapsed="false">
      <c r="A17915" s="0" t="s">
        <v>1244</v>
      </c>
      <c r="B17915" s="0" t="s">
        <v>98</v>
      </c>
      <c r="F17915" s="6" t="n">
        <f aca="false">Sens!F17827+Sens!F17906*Sens!F17802+sbc_r*Sens!F17802</f>
        <v>26.628449428592</v>
      </c>
      <c r="G17915" s="6" t="n">
        <f aca="false">Sens!G17827+Sens!G17906*Sens!G17802+sbc_r*Sens!G17802</f>
        <v>26.4397692483628</v>
      </c>
      <c r="H17915" s="6" t="n">
        <f aca="false">Sens!H17827+Sens!H17906*Sens!H17802+sbc_r*Sens!H17802</f>
        <v>27.2962491680661</v>
      </c>
      <c r="I17915" s="6" t="n">
        <f aca="false">Sens!I17827+Sens!I17906*Sens!I17802+sbc_r*Sens!I17802</f>
        <v>28.3990251728675</v>
      </c>
      <c r="J17915" s="6" t="n">
        <f aca="false">Sens!J17827+Sens!J17906*Sens!J17802+sbc_r*Sens!J17802</f>
        <v>29.7088846250547</v>
      </c>
      <c r="K17915" s="6" t="n">
        <f aca="false">Sens!K17827+Sens!K17906*Sens!K17802+sbc_r*Sens!K17802</f>
        <v>31.1813778566968</v>
      </c>
    </row>
    <row r="17916" customFormat="false" ht="17.15" hidden="false" customHeight="false" outlineLevel="0" collapsed="false">
      <c r="A17916" s="0" t="s">
        <v>1245</v>
      </c>
      <c r="B17916" s="0" t="s">
        <v>98</v>
      </c>
      <c r="F17916" s="6" t="n">
        <f aca="false">(Sens!F17915-Sens!F17911)*Sens!F17798/(Sens!F17798+Sens!F17800)</f>
        <v>8.72118205151864</v>
      </c>
      <c r="G17916" s="6" t="n">
        <f aca="false">(Sens!G17915-Sens!G17911)*Sens!G17798/(Sens!G17798+Sens!G17800)</f>
        <v>7.87815703300003</v>
      </c>
      <c r="H17916" s="6" t="n">
        <f aca="false">(Sens!H17915-Sens!H17911)*Sens!H17798/(Sens!H17798+Sens!H17800)</f>
        <v>7.63768922670981</v>
      </c>
      <c r="I17916" s="6" t="n">
        <f aca="false">(Sens!I17915-Sens!I17911)*Sens!I17798/(Sens!I17798+Sens!I17800)</f>
        <v>7.54692069960696</v>
      </c>
      <c r="J17916" s="6" t="n">
        <f aca="false">(Sens!J17915-Sens!J17911)*Sens!J17798/(Sens!J17798+Sens!J17800)</f>
        <v>7.59237888992619</v>
      </c>
      <c r="K17916" s="6" t="n">
        <f aca="false">(Sens!K17915-Sens!K17911)*Sens!K17798/(Sens!K17798+Sens!K17800)</f>
        <v>7.76600115775812</v>
      </c>
    </row>
    <row r="17917" customFormat="false" ht="17.15" hidden="false" customHeight="false" outlineLevel="0" collapsed="false">
      <c r="A17917" s="0" t="s">
        <v>1246</v>
      </c>
      <c r="B17917" s="0" t="s">
        <v>98</v>
      </c>
      <c r="F17917" s="6" t="n">
        <f aca="false">Sens!F17915-Sens!F17911-Sens!F17916</f>
        <v>6.72040022309819</v>
      </c>
      <c r="G17917" s="6" t="n">
        <f aca="false">Sens!G17915-Sens!G17911-Sens!G17916</f>
        <v>6.31470148328324</v>
      </c>
      <c r="H17917" s="6" t="n">
        <f aca="false">Sens!H17915-Sens!H17911-Sens!H17916</f>
        <v>6.30356890597798</v>
      </c>
      <c r="I17917" s="6" t="n">
        <f aca="false">Sens!I17915-Sens!I17911-Sens!I17916</f>
        <v>6.34995368233951</v>
      </c>
      <c r="J17917" s="6" t="n">
        <f aca="false">Sens!J17915-Sens!J17911-Sens!J17916</f>
        <v>6.44946595531041</v>
      </c>
      <c r="K17917" s="6" t="n">
        <f aca="false">Sens!K17915-Sens!K17911-Sens!K17916</f>
        <v>6.59695212818195</v>
      </c>
    </row>
    <row r="17918" customFormat="false" ht="17.15" hidden="false" customHeight="false" outlineLevel="0" collapsed="false">
      <c r="A17918" s="0" t="s">
        <v>1247</v>
      </c>
      <c r="B17918" s="0" t="s">
        <v>98</v>
      </c>
      <c r="F17918" s="6" t="n">
        <f aca="false">Sens!F17912-tax_f*(Sens!F17912-Sens!F17776)-Sens!F17773</f>
        <v>-125.282219188865</v>
      </c>
      <c r="G17918" s="6" t="n">
        <f aca="false">Sens!G17912-tax_f*(Sens!G17912-Sens!G17776)-Sens!G17773</f>
        <v>-106.926922199093</v>
      </c>
      <c r="H17918" s="6" t="n">
        <f aca="false">Sens!H17912-tax_f*(Sens!H17912-Sens!H17776)-Sens!H17773</f>
        <v>-63.2903740454986</v>
      </c>
      <c r="I17918" s="6" t="n">
        <f aca="false">Sens!I17912-tax_f*(Sens!I17912-Sens!I17776)-Sens!I17773</f>
        <v>3.94279788118436</v>
      </c>
      <c r="J17918" s="6" t="n">
        <f aca="false">Sens!J17912-tax_f*(Sens!J17912-Sens!J17776)-Sens!J17773</f>
        <v>71.0802728695462</v>
      </c>
      <c r="K17918" s="6" t="n">
        <f aca="false">Sens!K17912-tax_f*(Sens!K17912-Sens!K17776)-Sens!K17773</f>
        <v>97.5881770833978</v>
      </c>
    </row>
    <row r="17919" customFormat="false" ht="17.15" hidden="false" customHeight="false" outlineLevel="0" collapsed="false">
      <c r="A17919" s="0" t="s">
        <v>1248</v>
      </c>
      <c r="B17919" s="0" t="s">
        <v>98</v>
      </c>
      <c r="G17919" s="6" t="n">
        <f aca="false">Sens!G17918/(1+wacc)^(Sens!G17889-Sens!F17890)</f>
        <v>-101.815006579562</v>
      </c>
      <c r="H17919" s="6" t="n">
        <f aca="false">Sens!H17918/(1+wacc)^(Sens!H17889-Sens!F17890)</f>
        <v>-54.6401451961096</v>
      </c>
      <c r="I17919" s="6" t="n">
        <f aca="false">Sens!I17918/(1+wacc)^(Sens!I17889-Sens!F17890)</f>
        <v>3.08622902814122</v>
      </c>
      <c r="J17919" s="6" t="n">
        <f aca="false">Sens!J17918/(1+wacc)^(Sens!J17889-Sens!F17890)</f>
        <v>50.4454706790209</v>
      </c>
      <c r="K17919" s="6" t="n">
        <f aca="false">Sens!K17918/(1+wacc)^(Sens!K17889-Sens!F17890)</f>
        <v>62.7942319295819</v>
      </c>
      <c r="L17919" s="1" t="s">
        <v>1249</v>
      </c>
    </row>
    <row r="17920" customFormat="false" ht="17.15" hidden="false" customHeight="false" outlineLevel="0" collapsed="false">
      <c r="A17920" s="0" t="s">
        <v>1250</v>
      </c>
      <c r="B17920" s="0" t="s">
        <v>98</v>
      </c>
      <c r="C17920" s="6" t="n">
        <f aca="false">(Sens!K17912-Sens!K17776)*(1-tax_f)*(1+g_tv)*(1-g_tv/(wacc+ronic_prem))/(wacc-g_tv)/(1+wacc)^(Sens!K17890-Sens!F17890)</f>
        <v>450.797843513628</v>
      </c>
    </row>
    <row r="17921" customFormat="false" ht="17.15" hidden="false" customHeight="false" outlineLevel="0" collapsed="false">
      <c r="A17921" s="1" t="s">
        <v>1251</v>
      </c>
      <c r="B17921" s="0" t="s">
        <v>98</v>
      </c>
      <c r="C17921" s="6" t="n">
        <f aca="false">(SUM(Sens!G17919:K17919)+Sens!$C$17920)*(1+wacc)^(t_roll-Sens!F17890)</f>
        <v>424.226036586398</v>
      </c>
      <c r="L17921" s="12" t="s">
        <v>1252</v>
      </c>
    </row>
    <row r="17922" customFormat="false" ht="17.15" hidden="false" customHeight="false" outlineLevel="0" collapsed="false">
      <c r="A17922" s="1" t="s">
        <v>1253</v>
      </c>
      <c r="B17922" s="0" t="s">
        <v>98</v>
      </c>
      <c r="C17922" s="6" t="n">
        <f aca="false">(w_ntm28*Sens!G17764+(1-w_ntm28)*Sens!H17764)*m_ai</f>
        <v>563.316843258668</v>
      </c>
    </row>
    <row r="17923" customFormat="false" ht="17.15" hidden="false" customHeight="false" outlineLevel="0" collapsed="false">
      <c r="A17923" s="1" t="s">
        <v>1254</v>
      </c>
      <c r="B17923" s="0" t="s">
        <v>98</v>
      </c>
      <c r="C17923" s="6" t="n">
        <f aca="false">(w_ntm28*Sens!G17914+(1-w_ntm28)*Sens!H17914)*m_cloud</f>
        <v>1085.22083870226</v>
      </c>
    </row>
    <row r="17924" customFormat="false" ht="17.15" hidden="false" customHeight="false" outlineLevel="0" collapsed="false">
      <c r="A17924" s="1" t="s">
        <v>1255</v>
      </c>
      <c r="B17924" s="0" t="s">
        <v>98</v>
      </c>
      <c r="C17924" s="6" t="n">
        <f aca="false">(w_ntm28*Sens!G17907+(1-w_ntm28)*Sens!H17907)*m_sw</f>
        <v>1120.46126353859</v>
      </c>
    </row>
    <row r="17925" customFormat="false" ht="17.15" hidden="false" customHeight="false" outlineLevel="0" collapsed="false">
      <c r="A17925" s="1" t="s">
        <v>1256</v>
      </c>
      <c r="B17925" s="0" t="s">
        <v>98</v>
      </c>
      <c r="C17925" s="6" t="n">
        <f aca="false">(w_ntm28*Sens!G17908+(1-w_ntm28)*Sens!H17908)*m_sw</f>
        <v>372.679480414775</v>
      </c>
    </row>
    <row r="17926" customFormat="false" ht="17.15" hidden="false" customHeight="false" outlineLevel="0" collapsed="false">
      <c r="A17926" s="1" t="s">
        <v>1257</v>
      </c>
      <c r="B17926" s="0" t="s">
        <v>98</v>
      </c>
      <c r="C17926" s="6" t="n">
        <f aca="false">(w_ntm28*Sens!G17909+(1-w_ntm28)*Sens!H17909)*m_sw</f>
        <v>108.989845057679</v>
      </c>
    </row>
    <row r="17927" customFormat="false" ht="17.15" hidden="false" customHeight="false" outlineLevel="0" collapsed="false">
      <c r="A17927" s="1" t="s">
        <v>1258</v>
      </c>
      <c r="B17927" s="0" t="s">
        <v>98</v>
      </c>
      <c r="C17927" s="6" t="n">
        <f aca="false">(w_ntm28*Sens!G17910+(1-w_ntm28)*Sens!H17910)*m_sw</f>
        <v>41.4352046899932</v>
      </c>
    </row>
    <row r="17928" customFormat="false" ht="17.15" hidden="false" customHeight="false" outlineLevel="0" collapsed="false">
      <c r="A17928" s="1" t="s">
        <v>1259</v>
      </c>
      <c r="B17928" s="0" t="s">
        <v>98</v>
      </c>
      <c r="C17928" s="6" t="n">
        <f aca="false">(w_ntm28*Sens!G17911+(1-w_ntm28)*Sens!H17911)*m_ads</f>
        <v>114.888133173536</v>
      </c>
    </row>
    <row r="17929" customFormat="false" ht="17.15" hidden="false" customHeight="false" outlineLevel="0" collapsed="false">
      <c r="A17929" s="1" t="s">
        <v>1260</v>
      </c>
      <c r="B17929" s="0" t="s">
        <v>98</v>
      </c>
      <c r="C17929" s="6" t="n">
        <f aca="false">(w_ntm28*Sens!G17916+(1-w_ntm28)*Sens!H17916)*m_game</f>
        <v>98.5026219371645</v>
      </c>
    </row>
    <row r="17930" customFormat="false" ht="17.15" hidden="false" customHeight="false" outlineLevel="0" collapsed="false">
      <c r="A17930" s="1" t="s">
        <v>1261</v>
      </c>
      <c r="B17930" s="0" t="s">
        <v>98</v>
      </c>
      <c r="C17930" s="6" t="n">
        <f aca="false">(w_ntm28*Sens!G17917+(1-w_ntm28)*Sens!H17917)*m_pc</f>
        <v>91.3207698953472</v>
      </c>
    </row>
    <row r="17931" customFormat="false" ht="17.15" hidden="false" customHeight="false" outlineLevel="0" collapsed="false">
      <c r="A17931" s="1" t="s">
        <v>1262</v>
      </c>
      <c r="B17931" s="0" t="s">
        <v>98</v>
      </c>
      <c r="C17931" s="6" t="n">
        <f aca="false">Sens!$C$17921+Sens!$C$17923+Sens!$C$17924+Sens!$C$17925+Sens!$C$17926+Sens!$C$17927+Sens!$C$17928+Sens!$C$17929+Sens!$C$17930</f>
        <v>3457.72419399574</v>
      </c>
    </row>
    <row r="17932" customFormat="false" ht="17.15" hidden="false" customHeight="false" outlineLevel="0" collapsed="false">
      <c r="A17932" s="1" t="s">
        <v>1263</v>
      </c>
      <c r="B17932" s="0" t="s">
        <v>98</v>
      </c>
      <c r="C17932" s="6" t="n">
        <f aca="false">(Sens!G17893-Sens!G17918)*t_stub</f>
        <v>48.28300921555</v>
      </c>
      <c r="L17932" s="1" t="s">
        <v>1264</v>
      </c>
    </row>
    <row r="17933" customFormat="false" ht="17.15" hidden="false" customHeight="false" outlineLevel="0" collapsed="false">
      <c r="A17933" s="1" t="s">
        <v>1173</v>
      </c>
      <c r="B17933" s="0" t="s">
        <v>98</v>
      </c>
      <c r="C17933" s="6" t="n">
        <f aca="false">Sens!F17880+oai_v-Sens!F17869+Sens!$C$17932</f>
        <v>162.51127921555</v>
      </c>
      <c r="L17933" s="1" t="s">
        <v>1265</v>
      </c>
    </row>
    <row r="17934" customFormat="false" ht="17.15" hidden="false" customHeight="false" outlineLevel="0" collapsed="false">
      <c r="A17934" s="1" t="s">
        <v>1266</v>
      </c>
      <c r="B17934" s="0" t="s">
        <v>75</v>
      </c>
      <c r="C17934" s="5" t="n">
        <f aca="false">(Sens!$C$17931+Sens!$C$17933)/(Sens!F17882+dil_gap)-Sens!G17872*roll_div_q/q_per_yr</f>
        <v>482.285859909902</v>
      </c>
      <c r="L17934" s="1" t="s">
        <v>1267</v>
      </c>
    </row>
    <row r="17935" customFormat="false" ht="17.15" hidden="false" customHeight="false" outlineLevel="0" collapsed="false">
      <c r="A17935" s="1" t="s">
        <v>1268</v>
      </c>
      <c r="B17935" s="0" t="s">
        <v>75</v>
      </c>
      <c r="C17935" s="5" t="n">
        <f aca="false">w_dcf*Sens!$C$17905+(1-w_dcf)*Sens!$C$17934</f>
        <v>423.244626319364</v>
      </c>
    </row>
    <row r="17936" customFormat="false" ht="17.15" hidden="false" customHeight="false" outlineLevel="0" collapsed="false">
      <c r="A17936" s="3" t="s">
        <v>2054</v>
      </c>
    </row>
    <row r="17937" customFormat="false" ht="15" hidden="false" customHeight="false" outlineLevel="0" collapsed="false">
      <c r="A17937" s="4" t="s">
        <v>43</v>
      </c>
      <c r="B17937" s="4" t="s">
        <v>65</v>
      </c>
      <c r="C17937" s="23" t="s">
        <v>942</v>
      </c>
      <c r="D17937" s="23" t="s">
        <v>943</v>
      </c>
      <c r="E17937" s="23" t="s">
        <v>944</v>
      </c>
      <c r="F17937" s="23" t="s">
        <v>945</v>
      </c>
      <c r="G17937" s="23" t="s">
        <v>946</v>
      </c>
      <c r="H17937" s="23" t="s">
        <v>947</v>
      </c>
      <c r="I17937" s="23" t="s">
        <v>948</v>
      </c>
      <c r="J17937" s="23" t="s">
        <v>949</v>
      </c>
      <c r="K17937" s="23" t="s">
        <v>950</v>
      </c>
      <c r="L17937" s="4" t="s">
        <v>47</v>
      </c>
    </row>
    <row r="17938" customFormat="false" ht="17.15" hidden="false" customHeight="false" outlineLevel="0" collapsed="false">
      <c r="A17938" s="1" t="s">
        <v>951</v>
      </c>
      <c r="B17938" s="1" t="s">
        <v>279</v>
      </c>
      <c r="C17938" s="21" t="n">
        <v>2024</v>
      </c>
      <c r="D17938" s="21" t="n">
        <v>2025</v>
      </c>
      <c r="E17938" s="21" t="n">
        <v>2026</v>
      </c>
      <c r="F17938" s="21" t="n">
        <v>2027</v>
      </c>
      <c r="G17938" s="21" t="n">
        <v>2028</v>
      </c>
      <c r="H17938" s="21" t="n">
        <v>2029</v>
      </c>
      <c r="I17938" s="21" t="n">
        <v>2030</v>
      </c>
      <c r="J17938" s="21" t="n">
        <v>2031</v>
      </c>
      <c r="K17938" s="21" t="n">
        <v>2032</v>
      </c>
    </row>
    <row r="17939" customFormat="false" ht="17.15" hidden="false" customHeight="false" outlineLevel="0" collapsed="false">
      <c r="A17939" s="1" t="s">
        <v>952</v>
      </c>
      <c r="B17939" s="0" t="s">
        <v>459</v>
      </c>
      <c r="F17939" s="30" t="n">
        <f aca="false">pace</f>
        <v>2726.5351</v>
      </c>
      <c r="G17939" s="30" t="n">
        <f aca="false">pace</f>
        <v>2726.5351</v>
      </c>
      <c r="H17939" s="30" t="n">
        <f aca="false">pace</f>
        <v>2726.5351</v>
      </c>
      <c r="I17939" s="30" t="n">
        <f aca="false">pace+(g_tv*Sens!H17940-pace)*MIN(1,(Sens!I17938-pace_y0)/(pace_y1-pace_y0))</f>
        <v>1931.98611966667</v>
      </c>
      <c r="J17939" s="30" t="n">
        <f aca="false">pace+(g_tv*Sens!I17940-pace)*MIN(1,(Sens!J17938-pace_y0)/(pace_y1-pace_y0))</f>
        <v>1176.07686172667</v>
      </c>
      <c r="K17939" s="30" t="n">
        <f aca="false">pace+(g_tv*Sens!J17940-pace)*MIN(1,(Sens!K17938-pace_y0)/(pace_y1-pace_y0))</f>
        <v>436.1300484418</v>
      </c>
      <c r="L17939" s="12" t="s">
        <v>953</v>
      </c>
    </row>
    <row r="17940" customFormat="false" ht="17.15" hidden="false" customHeight="false" outlineLevel="0" collapsed="false">
      <c r="A17940" s="1" t="s">
        <v>954</v>
      </c>
      <c r="B17940" s="0" t="s">
        <v>459</v>
      </c>
      <c r="C17940" s="30" t="n">
        <f aca="false">mw_ext_24</f>
        <v>640</v>
      </c>
      <c r="D17940" s="30" t="n">
        <f aca="false">mw_ext_25</f>
        <v>1630</v>
      </c>
      <c r="E17940" s="30" t="n">
        <f aca="false">mw_ext_26</f>
        <v>3250</v>
      </c>
      <c r="F17940" s="30" t="n">
        <f aca="false">Sens!E17940+Sens!F17939</f>
        <v>5976.5351</v>
      </c>
      <c r="G17940" s="30" t="n">
        <f aca="false">Sens!F17940+Sens!G17939</f>
        <v>8703.0702</v>
      </c>
      <c r="H17940" s="30" t="n">
        <f aca="false">Sens!G17940+Sens!H17939</f>
        <v>11429.6053</v>
      </c>
      <c r="I17940" s="30" t="n">
        <f aca="false">Sens!H17940+Sens!I17939</f>
        <v>13361.5914196667</v>
      </c>
      <c r="J17940" s="30" t="n">
        <f aca="false">Sens!I17940+Sens!J17939</f>
        <v>14537.6682813933</v>
      </c>
      <c r="K17940" s="30" t="n">
        <f aca="false">Sens!J17940+Sens!K17939</f>
        <v>14973.7983298351</v>
      </c>
      <c r="L17940" s="1" t="s">
        <v>955</v>
      </c>
    </row>
    <row r="17941" customFormat="false" ht="17.15" hidden="false" customHeight="false" outlineLevel="0" collapsed="false">
      <c r="A17941" s="1" t="s">
        <v>956</v>
      </c>
      <c r="B17941" s="0" t="s">
        <v>459</v>
      </c>
      <c r="C17941" s="30" t="n">
        <f aca="false">rent_ext_24</f>
        <v>150</v>
      </c>
      <c r="D17941" s="30" t="n">
        <f aca="false">rent_ext_25</f>
        <v>400</v>
      </c>
      <c r="E17941" s="30" t="n">
        <f aca="false">rent_ext_26</f>
        <v>550</v>
      </c>
      <c r="F17941" s="30" t="n">
        <f aca="false">rent_ext_f</f>
        <v>756</v>
      </c>
      <c r="G17941" s="30" t="n">
        <f aca="false">rent_ext_f</f>
        <v>756</v>
      </c>
      <c r="H17941" s="30" t="n">
        <f aca="false">rent_ext_f</f>
        <v>756</v>
      </c>
      <c r="I17941" s="30" t="n">
        <f aca="false">rent_ext_f</f>
        <v>756</v>
      </c>
      <c r="J17941" s="30" t="n">
        <f aca="false">rent_ext_f</f>
        <v>756</v>
      </c>
      <c r="K17941" s="30" t="n">
        <f aca="false">rent_ext_f</f>
        <v>756</v>
      </c>
      <c r="L17941" s="1" t="s">
        <v>957</v>
      </c>
    </row>
    <row r="17942" customFormat="false" ht="17.15" hidden="false" customHeight="false" outlineLevel="0" collapsed="false">
      <c r="A17942" s="1" t="s">
        <v>958</v>
      </c>
      <c r="B17942" s="0" t="s">
        <v>459</v>
      </c>
      <c r="C17942" s="30" t="n">
        <f aca="false">Sens!C17940-Sens!C17941</f>
        <v>490</v>
      </c>
      <c r="D17942" s="30" t="n">
        <f aca="false">Sens!D17940-Sens!D17941</f>
        <v>1230</v>
      </c>
      <c r="E17942" s="30" t="n">
        <f aca="false">Sens!E17940-Sens!E17941</f>
        <v>2700</v>
      </c>
      <c r="F17942" s="30" t="n">
        <f aca="false">Sens!F17940-Sens!F17941</f>
        <v>5220.5351</v>
      </c>
      <c r="G17942" s="30" t="n">
        <f aca="false">Sens!G17940-Sens!G17941</f>
        <v>7947.0702</v>
      </c>
      <c r="H17942" s="30" t="n">
        <f aca="false">Sens!H17940-Sens!H17941</f>
        <v>10673.6053</v>
      </c>
      <c r="I17942" s="30" t="n">
        <f aca="false">Sens!I17940-Sens!I17941</f>
        <v>12605.5914196667</v>
      </c>
      <c r="J17942" s="30" t="n">
        <f aca="false">Sens!J17940-Sens!J17941</f>
        <v>13781.6682813933</v>
      </c>
      <c r="K17942" s="30" t="n">
        <f aca="false">Sens!K17940-Sens!K17941</f>
        <v>14217.7983298351</v>
      </c>
    </row>
    <row r="17943" customFormat="false" ht="17.15" hidden="false" customHeight="false" outlineLevel="0" collapsed="false">
      <c r="A17943" s="1" t="s">
        <v>959</v>
      </c>
      <c r="B17943" s="0" t="s">
        <v>459</v>
      </c>
      <c r="C17943" s="30" t="n">
        <f aca="false">Sens!C17942/ext_sh</f>
        <v>816.666666666667</v>
      </c>
      <c r="D17943" s="30" t="n">
        <f aca="false">Sens!D17942/ext_sh</f>
        <v>2050</v>
      </c>
      <c r="E17943" s="30" t="n">
        <f aca="false">Sens!E17942/ext_sh</f>
        <v>4500</v>
      </c>
      <c r="F17943" s="30" t="n">
        <f aca="false">Sens!F17942/ext_sh</f>
        <v>8700.89183333333</v>
      </c>
      <c r="G17943" s="30" t="n">
        <f aca="false">Sens!G17942/ext_sh</f>
        <v>13245.117</v>
      </c>
      <c r="H17943" s="30" t="n">
        <f aca="false">Sens!H17942/ext_sh</f>
        <v>17789.3421666667</v>
      </c>
      <c r="I17943" s="30" t="n">
        <f aca="false">Sens!I17942/ext_sh</f>
        <v>21009.3190327778</v>
      </c>
      <c r="J17943" s="30" t="n">
        <f aca="false">Sens!J17942/ext_sh</f>
        <v>22969.4471356556</v>
      </c>
      <c r="K17943" s="30" t="n">
        <f aca="false">Sens!K17942/ext_sh</f>
        <v>23696.3305497252</v>
      </c>
      <c r="L17943" s="1" t="s">
        <v>960</v>
      </c>
    </row>
    <row r="17944" customFormat="false" ht="17.15" hidden="false" customHeight="false" outlineLevel="0" collapsed="false">
      <c r="A17944" s="1" t="s">
        <v>961</v>
      </c>
      <c r="B17944" s="0" t="s">
        <v>459</v>
      </c>
      <c r="C17944" s="30" t="n">
        <f aca="false">Sens!C17943-Sens!C17942</f>
        <v>326.666666666667</v>
      </c>
      <c r="D17944" s="30" t="n">
        <f aca="false">Sens!D17943-Sens!D17942</f>
        <v>820</v>
      </c>
      <c r="E17944" s="30" t="n">
        <f aca="false">Sens!E17943-Sens!E17942</f>
        <v>1800</v>
      </c>
      <c r="F17944" s="30" t="n">
        <f aca="false">Sens!F17943-Sens!F17942</f>
        <v>3480.35673333333</v>
      </c>
      <c r="G17944" s="30" t="n">
        <f aca="false">Sens!G17943-Sens!G17942</f>
        <v>5298.0468</v>
      </c>
      <c r="H17944" s="30" t="n">
        <f aca="false">Sens!H17943-Sens!H17942</f>
        <v>7115.73686666667</v>
      </c>
      <c r="I17944" s="30" t="n">
        <f aca="false">Sens!I17943-Sens!I17942</f>
        <v>8403.72761311111</v>
      </c>
      <c r="J17944" s="30" t="n">
        <f aca="false">Sens!J17943-Sens!J17942</f>
        <v>9187.77885426222</v>
      </c>
      <c r="K17944" s="30" t="n">
        <f aca="false">Sens!K17943-Sens!K17942</f>
        <v>9478.53221989009</v>
      </c>
    </row>
    <row r="17945" customFormat="false" ht="17.15" hidden="false" customHeight="false" outlineLevel="0" collapsed="false">
      <c r="A17945" s="1" t="s">
        <v>962</v>
      </c>
      <c r="B17945" s="0" t="s">
        <v>459</v>
      </c>
      <c r="C17945" s="30" t="n">
        <f aca="false">Sens!C17943</f>
        <v>816.666666666667</v>
      </c>
      <c r="D17945" s="30" t="n">
        <f aca="false">Sens!D17943-Sens!C17943</f>
        <v>1233.33333333333</v>
      </c>
      <c r="E17945" s="30" t="n">
        <f aca="false">Sens!E17943-Sens!D17943</f>
        <v>2450</v>
      </c>
      <c r="F17945" s="30" t="n">
        <f aca="false">Sens!F17943-Sens!E17943</f>
        <v>4200.89183333333</v>
      </c>
      <c r="G17945" s="30" t="n">
        <f aca="false">Sens!G17943-Sens!F17943</f>
        <v>4544.22516666667</v>
      </c>
      <c r="H17945" s="30" t="n">
        <f aca="false">Sens!H17943-Sens!G17943</f>
        <v>4544.22516666667</v>
      </c>
      <c r="I17945" s="30" t="n">
        <f aca="false">Sens!I17943-Sens!H17943</f>
        <v>3219.97686611111</v>
      </c>
      <c r="J17945" s="30" t="n">
        <f aca="false">Sens!J17943-Sens!I17943</f>
        <v>1960.12810287778</v>
      </c>
      <c r="K17945" s="30" t="n">
        <f aca="false">Sens!K17943-Sens!J17943</f>
        <v>726.883414069667</v>
      </c>
    </row>
    <row r="17946" customFormat="false" ht="17.15" hidden="false" customHeight="false" outlineLevel="0" collapsed="false">
      <c r="A17946" s="1" t="s">
        <v>963</v>
      </c>
      <c r="B17946" s="0" t="s">
        <v>459</v>
      </c>
      <c r="D17946" s="30" t="n">
        <f aca="false">Sens!D17940-Sens!C17940</f>
        <v>990</v>
      </c>
      <c r="E17946" s="30" t="n">
        <f aca="false">Sens!E17940-Sens!D17940</f>
        <v>1620</v>
      </c>
      <c r="F17946" s="30" t="n">
        <f aca="false">Sens!F17940-Sens!E17940</f>
        <v>2726.5351</v>
      </c>
      <c r="G17946" s="30" t="n">
        <f aca="false">Sens!G17940-Sens!F17940</f>
        <v>2726.5351</v>
      </c>
      <c r="H17946" s="30" t="n">
        <f aca="false">Sens!H17940-Sens!G17940</f>
        <v>2726.5351</v>
      </c>
      <c r="I17946" s="30" t="n">
        <f aca="false">Sens!I17940-Sens!H17940</f>
        <v>1931.98611966667</v>
      </c>
      <c r="J17946" s="30" t="n">
        <f aca="false">Sens!J17940-Sens!I17940</f>
        <v>1176.07686172667</v>
      </c>
      <c r="K17946" s="30" t="n">
        <f aca="false">Sens!K17940-Sens!J17940</f>
        <v>436.130048441799</v>
      </c>
    </row>
    <row r="17947" customFormat="false" ht="17.15" hidden="false" customHeight="false" outlineLevel="0" collapsed="false">
      <c r="A17947" s="1" t="s">
        <v>964</v>
      </c>
      <c r="B17947" s="0" t="s">
        <v>459</v>
      </c>
      <c r="F17947" s="30" t="n">
        <f aca="false">Sens!F17966*ext_sh</f>
        <v>0</v>
      </c>
      <c r="G17947" s="30" t="n">
        <f aca="false">Sens!G17966*ext_sh</f>
        <v>0</v>
      </c>
      <c r="H17947" s="30" t="n">
        <f aca="false">Sens!H17966*ext_sh</f>
        <v>0</v>
      </c>
      <c r="I17947" s="30" t="n">
        <f aca="false">Sens!I17966*ext_sh</f>
        <v>490</v>
      </c>
      <c r="J17947" s="30" t="n">
        <f aca="false">Sens!J17966*ext_sh</f>
        <v>740</v>
      </c>
      <c r="K17947" s="30" t="n">
        <f aca="false">Sens!K17966*ext_sh</f>
        <v>1470</v>
      </c>
      <c r="L17947" s="1" t="s">
        <v>965</v>
      </c>
    </row>
    <row r="17948" customFormat="false" ht="17.15" hidden="false" customHeight="false" outlineLevel="0" collapsed="false">
      <c r="A17948" s="1" t="s">
        <v>966</v>
      </c>
      <c r="B17948" s="0" t="s">
        <v>459</v>
      </c>
      <c r="C17948" s="30" t="n">
        <f aca="false">mix_h*Sens!C17940</f>
        <v>128</v>
      </c>
      <c r="D17948" s="30" t="n">
        <f aca="false">mix_h*Sens!D17940</f>
        <v>326</v>
      </c>
      <c r="E17948" s="30" t="n">
        <f aca="false">mix_h*Sens!E17940</f>
        <v>650</v>
      </c>
      <c r="F17948" s="30" t="n">
        <f aca="false">Sens!E17948-Sens!F17947*mix_h</f>
        <v>650</v>
      </c>
      <c r="G17948" s="30" t="n">
        <f aca="false">Sens!F17948-Sens!G17947*mix_h</f>
        <v>650</v>
      </c>
      <c r="H17948" s="30" t="n">
        <f aca="false">Sens!G17948-Sens!H17947*mix_h</f>
        <v>650</v>
      </c>
      <c r="I17948" s="30" t="n">
        <f aca="false">Sens!H17948-Sens!I17947*mix_h</f>
        <v>552</v>
      </c>
      <c r="J17948" s="30" t="n">
        <f aca="false">Sens!I17948-Sens!J17947*mix_h</f>
        <v>404</v>
      </c>
      <c r="K17948" s="30" t="n">
        <f aca="false">Sens!J17948-Sens!K17947*mix_h</f>
        <v>110</v>
      </c>
    </row>
    <row r="17949" customFormat="false" ht="17.15" hidden="false" customHeight="false" outlineLevel="0" collapsed="false">
      <c r="A17949" s="1" t="s">
        <v>967</v>
      </c>
      <c r="B17949" s="0" t="s">
        <v>459</v>
      </c>
      <c r="C17949" s="30" t="n">
        <f aca="false">mix_g2*Sens!C17940</f>
        <v>288</v>
      </c>
      <c r="D17949" s="30" t="n">
        <f aca="false">mix_g2*Sens!D17940</f>
        <v>733.5</v>
      </c>
      <c r="E17949" s="30" t="n">
        <f aca="false">mix_g2*Sens!E17940</f>
        <v>1462.5</v>
      </c>
      <c r="F17949" s="30" t="n">
        <f aca="false">Sens!E17949-Sens!F17947*mix_g2</f>
        <v>1462.5</v>
      </c>
      <c r="G17949" s="30" t="n">
        <f aca="false">Sens!F17949-Sens!G17947*mix_g2</f>
        <v>1462.5</v>
      </c>
      <c r="H17949" s="30" t="n">
        <f aca="false">Sens!G17949-Sens!H17947*mix_g2</f>
        <v>1462.5</v>
      </c>
      <c r="I17949" s="30" t="n">
        <f aca="false">Sens!H17949-Sens!I17947*mix_g2</f>
        <v>1242</v>
      </c>
      <c r="J17949" s="30" t="n">
        <f aca="false">Sens!I17949-Sens!J17947*mix_g2</f>
        <v>909</v>
      </c>
      <c r="K17949" s="30" t="n">
        <f aca="false">Sens!J17949-Sens!K17947*mix_g2</f>
        <v>247.5</v>
      </c>
    </row>
    <row r="17950" customFormat="false" ht="17.15" hidden="false" customHeight="false" outlineLevel="0" collapsed="false">
      <c r="A17950" s="1" t="s">
        <v>968</v>
      </c>
      <c r="B17950" s="0" t="s">
        <v>459</v>
      </c>
      <c r="C17950" s="30" t="n">
        <f aca="false">mix_g3*Sens!C17940</f>
        <v>224</v>
      </c>
      <c r="D17950" s="30" t="n">
        <f aca="false">mix_g3*Sens!D17940</f>
        <v>570.5</v>
      </c>
      <c r="E17950" s="30" t="n">
        <f aca="false">mix_g3*Sens!E17940</f>
        <v>1137.5</v>
      </c>
      <c r="F17950" s="30" t="n">
        <f aca="false">Sens!E17950+(Sens!F17946+Sens!F17947)*(a_g3_27-nonnv*a_mai)-Sens!F17947*mix_g3</f>
        <v>2773.42106</v>
      </c>
      <c r="G17950" s="30" t="n">
        <f aca="false">Sens!F17950+(Sens!G17946+Sens!G17947)*(a_g3_28-nonnv*a_mai)-Sens!G17947*mix_g3</f>
        <v>3318.72808</v>
      </c>
      <c r="H17950" s="30" t="n">
        <f aca="false">Sens!G17950+(Sens!H17946+Sens!H17947)*(a_g3_29-nonnv*a_mai)-Sens!H17947*mix_g3</f>
        <v>3318.72808</v>
      </c>
      <c r="I17950" s="30" t="n">
        <f aca="false">Sens!H17950+(Sens!I17946+Sens!I17947)*(a_g3_29-nonnv*a_mai)-Sens!I17947*mix_g3</f>
        <v>3147.22808</v>
      </c>
      <c r="J17950" s="30" t="n">
        <f aca="false">Sens!I17950+(Sens!J17946+Sens!J17947)*(a_g3_29-nonnv*a_mai)-Sens!J17947*mix_g3</f>
        <v>2888.22808</v>
      </c>
      <c r="K17950" s="30" t="n">
        <f aca="false">Sens!J17950+(Sens!K17946+Sens!K17947)*(a_g3_29-nonnv*a_mai)-Sens!K17947*mix_g3</f>
        <v>2373.72808</v>
      </c>
    </row>
    <row r="17951" customFormat="false" ht="17.15" hidden="false" customHeight="false" outlineLevel="0" collapsed="false">
      <c r="A17951" s="1" t="s">
        <v>969</v>
      </c>
      <c r="B17951" s="0" t="s">
        <v>459</v>
      </c>
      <c r="C17951" s="30" t="n">
        <v>0</v>
      </c>
      <c r="D17951" s="30" t="n">
        <v>0</v>
      </c>
      <c r="E17951" s="30" t="n">
        <v>0</v>
      </c>
      <c r="F17951" s="30" t="n">
        <f aca="false">Sens!E17951+(Sens!F17946+Sens!F17947)*nonnv*a_mai</f>
        <v>272.65351</v>
      </c>
      <c r="G17951" s="30" t="n">
        <f aca="false">Sens!F17951+(Sens!G17946+Sens!G17947)*nonnv*a_mai</f>
        <v>545.30702</v>
      </c>
      <c r="H17951" s="30" t="n">
        <f aca="false">Sens!G17951+(Sens!H17946+Sens!H17947)*nonnv*a_mai</f>
        <v>817.96053</v>
      </c>
      <c r="I17951" s="30" t="n">
        <f aca="false">Sens!H17951+(Sens!I17946+Sens!I17947)*nonnv*a_mai</f>
        <v>1060.15914196667</v>
      </c>
      <c r="J17951" s="30" t="n">
        <f aca="false">Sens!I17951+(Sens!J17946+Sens!J17947)*nonnv*a_mai</f>
        <v>1251.76682813933</v>
      </c>
      <c r="K17951" s="30" t="n">
        <f aca="false">Sens!J17951+(Sens!K17946+Sens!K17947)*nonnv*a_mai</f>
        <v>1442.37983298351</v>
      </c>
      <c r="L17951" s="12" t="s">
        <v>970</v>
      </c>
    </row>
    <row r="17952" customFormat="false" ht="17.15" hidden="false" customHeight="false" outlineLevel="0" collapsed="false">
      <c r="A17952" s="1" t="s">
        <v>971</v>
      </c>
      <c r="B17952" s="0" t="s">
        <v>459</v>
      </c>
      <c r="C17952" s="30" t="n">
        <v>0</v>
      </c>
      <c r="D17952" s="30" t="n">
        <v>0</v>
      </c>
      <c r="E17952" s="30" t="n">
        <v>0</v>
      </c>
      <c r="F17952" s="30" t="n">
        <f aca="false">Sens!E17952+(Sens!F17946+Sens!F17947)*(1-a_g3_27)</f>
        <v>817.96053</v>
      </c>
      <c r="G17952" s="30" t="n">
        <f aca="false">Sens!F17952+(Sens!G17946+Sens!G17947)*(1-a_g3_28)</f>
        <v>2726.5351</v>
      </c>
      <c r="H17952" s="30" t="n">
        <f aca="false">Sens!G17952+(Sens!H17946+Sens!H17947)*(1-a_g3_29)</f>
        <v>5180.41669</v>
      </c>
      <c r="I17952" s="30" t="n">
        <f aca="false">Sens!H17952+(Sens!I17946+Sens!I17947)*(1-a_g3_29)</f>
        <v>7360.2041977</v>
      </c>
      <c r="J17952" s="30" t="n">
        <f aca="false">Sens!I17952+(Sens!J17946+Sens!J17947)*(1-a_g3_29)</f>
        <v>9084.673373254</v>
      </c>
      <c r="K17952" s="30" t="n">
        <f aca="false">Sens!J17952+(Sens!K17946+Sens!K17947)*(1-a_g3_29)</f>
        <v>10800.1904168516</v>
      </c>
    </row>
    <row r="17953" customFormat="false" ht="17.15" hidden="false" customHeight="false" outlineLevel="0" collapsed="false">
      <c r="A17953" s="1" t="s">
        <v>972</v>
      </c>
      <c r="B17953" s="0" t="s">
        <v>403</v>
      </c>
      <c r="C17953" s="15" t="n">
        <f aca="false">(Sens!C17948*tk_hold_h100+Sens!C17949*tk_hold_gb200+Sens!C17950*tk_hold_gb300+Sens!C17952*tk_hold_vr200+Sens!C17951*nv_hold_mai*tk_hold_vr200)/Sens!C17940</f>
        <v>9.7235358126469</v>
      </c>
      <c r="D17953" s="15" t="n">
        <f aca="false">(Sens!D17948*tk_hold_h100+Sens!D17949*tk_hold_gb200+Sens!D17950*tk_hold_gb300+Sens!D17952*tk_hold_vr200+Sens!D17951*nv_hold_mai*tk_hold_vr200)/Sens!D17940</f>
        <v>9.7235358126469</v>
      </c>
      <c r="E17953" s="15" t="n">
        <f aca="false">(Sens!E17948*tk_hold_h100+Sens!E17949*tk_hold_gb200+Sens!E17950*tk_hold_gb300+Sens!E17952*tk_hold_vr200+Sens!E17951*nv_hold_mai*tk_hold_vr200)/Sens!E17940</f>
        <v>9.7235358126469</v>
      </c>
      <c r="F17953" s="15" t="n">
        <f aca="false">(Sens!F17948*tk_hold_h100+Sens!F17949*tk_hold_gb200+Sens!F17950*tk_hold_gb300+Sens!F17952*tk_hold_vr200+Sens!F17951*nv_hold_mai*tk_hold_vr200)/Sens!F17940</f>
        <v>10.2195353876665</v>
      </c>
      <c r="G17953" s="15" t="n">
        <f aca="false">(Sens!G17948*tk_hold_h100+Sens!G17949*tk_hold_gb200+Sens!G17950*tk_hold_gb300+Sens!G17952*tk_hold_vr200+Sens!G17951*nv_hold_mai*tk_hold_vr200)/Sens!G17940</f>
        <v>10.5725598017306</v>
      </c>
      <c r="H17953" s="15" t="n">
        <f aca="false">(Sens!H17948*tk_hold_h100+Sens!H17949*tk_hold_gb200+Sens!H17950*tk_hold_gb300+Sens!H17952*tk_hold_vr200+Sens!H17951*nv_hold_mai*tk_hold_vr200)/Sens!H17940</f>
        <v>10.8210427149036</v>
      </c>
      <c r="I17953" s="15" t="n">
        <f aca="false">(Sens!I17948*tk_hold_h100+Sens!I17949*tk_hold_gb200+Sens!I17950*tk_hold_gb300+Sens!I17952*tk_hold_vr200+Sens!I17951*nv_hold_mai*tk_hold_vr200)/Sens!I17940</f>
        <v>11.0050618241982</v>
      </c>
      <c r="J17953" s="15" t="n">
        <f aca="false">(Sens!J17948*tk_hold_h100+Sens!J17949*tk_hold_gb200+Sens!J17950*tk_hold_gb300+Sens!J17952*tk_hold_vr200+Sens!J17951*nv_hold_mai*tk_hold_vr200)/Sens!J17940</f>
        <v>11.1505789658881</v>
      </c>
      <c r="K17953" s="15" t="n">
        <f aca="false">(Sens!K17948*tk_hold_h100+Sens!K17949*tk_hold_gb200+Sens!K17950*tk_hold_gb300+Sens!K17952*tk_hold_vr200+Sens!K17951*nv_hold_mai*tk_hold_vr200)/Sens!K17940</f>
        <v>11.3496914757183</v>
      </c>
      <c r="L17953" s="1" t="s">
        <v>973</v>
      </c>
    </row>
    <row r="17954" customFormat="false" ht="17.15" hidden="false" customHeight="false" outlineLevel="0" collapsed="false">
      <c r="A17954" s="1" t="s">
        <v>974</v>
      </c>
      <c r="B17954" s="0" t="s">
        <v>403</v>
      </c>
      <c r="C17954" s="15" t="n">
        <f aca="false">(Sens!C17948*tk_hold_h100+Sens!C17949*tk_hold_gb200+Sens!C17950*tk_hold_gb300+Sens!C17952*tk_hold_vr200+Sens!C17951*nv_out_mai*tk_hold_vr200)/Sens!C17940</f>
        <v>9.7235358126469</v>
      </c>
      <c r="D17954" s="15" t="n">
        <f aca="false">(Sens!D17948*tk_hold_h100+Sens!D17949*tk_hold_gb200+Sens!D17950*tk_hold_gb300+Sens!D17952*tk_hold_vr200+Sens!D17951*nv_out_mai*tk_hold_vr200)/Sens!D17940</f>
        <v>9.7235358126469</v>
      </c>
      <c r="E17954" s="15" t="n">
        <f aca="false">(Sens!E17948*tk_hold_h100+Sens!E17949*tk_hold_gb200+Sens!E17950*tk_hold_gb300+Sens!E17952*tk_hold_vr200+Sens!E17951*nv_out_mai*tk_hold_vr200)/Sens!E17940</f>
        <v>9.7235358126469</v>
      </c>
      <c r="F17954" s="15" t="n">
        <f aca="false">(Sens!F17948*tk_hold_h100+Sens!F17949*tk_hold_gb200+Sens!F17950*tk_hold_gb300+Sens!F17952*tk_hold_vr200+Sens!F17951*nv_out_mai*tk_hold_vr200)/Sens!F17940</f>
        <v>10.247422093969</v>
      </c>
      <c r="G17954" s="15" t="n">
        <f aca="false">(Sens!G17948*tk_hold_h100+Sens!G17949*tk_hold_gb200+Sens!G17950*tk_hold_gb300+Sens!G17952*tk_hold_vr200+Sens!G17951*nv_out_mai*tk_hold_vr200)/Sens!G17940</f>
        <v>10.6108602808053</v>
      </c>
      <c r="H17954" s="15" t="n">
        <f aca="false">(Sens!H17948*tk_hold_h100+Sens!H17949*tk_hold_gb200+Sens!H17950*tk_hold_gb300+Sens!H17952*tk_hold_vr200+Sens!H17951*nv_out_mai*tk_hold_vr200)/Sens!H17940</f>
        <v>10.8647885507393</v>
      </c>
      <c r="I17954" s="15" t="n">
        <f aca="false">(Sens!I17948*tk_hold_h100+Sens!I17949*tk_hold_gb200+Sens!I17950*tk_hold_gb300+Sens!I17952*tk_hold_vr200+Sens!I17951*nv_out_mai*tk_hold_vr200)/Sens!I17940</f>
        <v>11.0535625770025</v>
      </c>
      <c r="J17954" s="15" t="n">
        <f aca="false">(Sens!J17948*tk_hold_h100+Sens!J17949*tk_hold_gb200+Sens!J17950*tk_hold_gb300+Sens!J17952*tk_hold_vr200+Sens!J17951*nv_out_mai*tk_hold_vr200)/Sens!J17940</f>
        <v>11.2032127128058</v>
      </c>
      <c r="K17954" s="15" t="n">
        <f aca="false">(Sens!K17948*tk_hold_h100+Sens!K17949*tk_hold_gb200+Sens!K17950*tk_hold_gb300+Sens!K17952*tk_hold_vr200+Sens!K17951*nv_out_mai*tk_hold_vr200)/Sens!K17940</f>
        <v>11.4085735724225</v>
      </c>
      <c r="L17954" s="12" t="s">
        <v>975</v>
      </c>
    </row>
    <row r="17955" customFormat="false" ht="17.15" hidden="false" customHeight="false" outlineLevel="0" collapsed="false">
      <c r="A17955" s="0" t="s">
        <v>976</v>
      </c>
      <c r="B17955" s="0" t="s">
        <v>229</v>
      </c>
      <c r="C17955" s="15" t="n">
        <f aca="false">k_B</f>
        <v>1.17213932619116</v>
      </c>
      <c r="D17955" s="15" t="n">
        <f aca="false">k_B</f>
        <v>1.17213932619116</v>
      </c>
      <c r="E17955" s="15" t="n">
        <f aca="false">k_B</f>
        <v>1.17213932619116</v>
      </c>
      <c r="F17955" s="15" t="n">
        <f aca="false">(k_B+((ls_B*k_long+(1-ls_B)*k_spot)-k_B)*MIN(1,(Sens!F17938-base_fy)/k_ramp))</f>
        <v>1.17213932619116</v>
      </c>
      <c r="G17955" s="15" t="n">
        <f aca="false">(k_B+((ls_B*k_long+(1-ls_B)*k_spot)-k_B)*MIN(1,(Sens!G17938-base_fy)/k_ramp))</f>
        <v>1.17213932619116</v>
      </c>
      <c r="H17955" s="15" t="n">
        <f aca="false">(k_B+((ls_B*k_long+(1-ls_B)*k_spot)-k_B)*MIN(1,(Sens!H17938-base_fy)/k_ramp))</f>
        <v>1.17213932619116</v>
      </c>
      <c r="I17955" s="15" t="n">
        <f aca="false">(k_B+((ls_B*k_long+(1-ls_B)*k_spot)-k_B)*MIN(1,(Sens!I17938-base_fy)/k_ramp))</f>
        <v>1.17213932619116</v>
      </c>
      <c r="J17955" s="15" t="n">
        <f aca="false">(k_B+((ls_B*k_long+(1-ls_B)*k_spot)-k_B)*MIN(1,(Sens!J17938-base_fy)/k_ramp))</f>
        <v>1.17213932619116</v>
      </c>
      <c r="K17955" s="15" t="n">
        <f aca="false">(k_B+((ls_B*k_long+(1-ls_B)*k_spot)-k_B)*MIN(1,(Sens!K17938-base_fy)/k_ramp))</f>
        <v>1.17213932619116</v>
      </c>
      <c r="L17955" s="1" t="s">
        <v>977</v>
      </c>
    </row>
    <row r="17956" customFormat="false" ht="17.15" hidden="false" customHeight="false" outlineLevel="0" collapsed="false">
      <c r="A17956" s="1" t="s">
        <v>978</v>
      </c>
      <c r="B17956" s="0" t="s">
        <v>403</v>
      </c>
      <c r="C17956" s="15" t="n">
        <f aca="false">Sens!C17954*Sens!C17955*chip_f</f>
        <v>11.3973387156315</v>
      </c>
      <c r="D17956" s="15" t="n">
        <f aca="false">Sens!D17954*Sens!D17955*chip_f</f>
        <v>11.3973387156315</v>
      </c>
      <c r="E17956" s="15" t="n">
        <f aca="false">Sens!E17954*Sens!E17955*chip_f</f>
        <v>11.3973387156315</v>
      </c>
      <c r="F17956" s="15" t="n">
        <f aca="false">Sens!F17954*Sens!F17955*chip_f</f>
        <v>12.0114064284211</v>
      </c>
      <c r="G17956" s="15" t="n">
        <f aca="false">Sens!G17954*Sens!G17955*chip_f</f>
        <v>12.4374066198516</v>
      </c>
      <c r="H17956" s="15" t="n">
        <f aca="false">Sens!H17954*Sens!H17955*chip_f</f>
        <v>12.735045931073</v>
      </c>
      <c r="I17956" s="15" t="n">
        <f aca="false">Sens!I17954*Sens!I17955*chip_f</f>
        <v>12.9563153910195</v>
      </c>
      <c r="J17956" s="15" t="n">
        <f aca="false">Sens!J17954*Sens!J17955*chip_f</f>
        <v>13.1317262003643</v>
      </c>
      <c r="K17956" s="15" t="n">
        <f aca="false">Sens!K17954*Sens!K17955*chip_f</f>
        <v>13.3724377399815</v>
      </c>
      <c r="L17956" s="1" t="s">
        <v>979</v>
      </c>
    </row>
    <row r="17957" customFormat="false" ht="17.15" hidden="false" customHeight="false" outlineLevel="0" collapsed="false">
      <c r="A17957" s="0" t="s">
        <v>980</v>
      </c>
      <c r="B17957" s="0" t="s">
        <v>98</v>
      </c>
      <c r="D17957" s="6" t="n">
        <f aca="false">(Sens!C17940+Sens!D17940)/2*Sens!D17956/1000</f>
        <v>12.9359794422418</v>
      </c>
      <c r="E17957" s="6" t="n">
        <f aca="false">(Sens!D17940+Sens!E17940)/2*Sens!E17956/1000</f>
        <v>27.8095064661409</v>
      </c>
      <c r="F17957" s="6" t="n">
        <f aca="false">(Sens!E17940+Sens!F17940)/2*Sens!F17956/1000</f>
        <v>55.4118315060966</v>
      </c>
      <c r="G17957" s="6" t="n">
        <f aca="false">(Sens!F17940+Sens!G17940)/2*Sens!G17956/1000</f>
        <v>91.2881100675143</v>
      </c>
      <c r="H17957" s="6" t="n">
        <f aca="false">(Sens!G17940+Sens!H17940)/2*Sens!H17956/1000</f>
        <v>128.195273603944</v>
      </c>
      <c r="I17957" s="6" t="n">
        <f aca="false">(Sens!H17940+Sens!I17940)/2*Sens!I17956/1000</f>
        <v>160.601281810405</v>
      </c>
      <c r="J17957" s="6" t="n">
        <f aca="false">(Sens!I17940+Sens!J17940)/2*Sens!J17956/1000</f>
        <v>183.182719793589</v>
      </c>
      <c r="K17957" s="6" t="n">
        <f aca="false">(Sens!J17940+Sens!K17940)/2*Sens!K17956/1000</f>
        <v>197.320124937098</v>
      </c>
      <c r="L17957" s="12" t="s">
        <v>981</v>
      </c>
    </row>
    <row r="17958" customFormat="false" ht="17.15" hidden="false" customHeight="false" outlineLevel="0" collapsed="false">
      <c r="A17958" s="1" t="s">
        <v>982</v>
      </c>
      <c r="B17958" s="0" t="s">
        <v>403</v>
      </c>
      <c r="C17958" s="15" t="n">
        <f aca="false">(Sens!C17948*tk_opex_h100+Sens!C17949*tk_opex_gb200+Sens!C17950*tk_opex_gb300+(Sens!C17952+Sens!C17951)*tk_opex_vr200)/Sens!C17940</f>
        <v>1.88636041306092</v>
      </c>
      <c r="D17958" s="15" t="n">
        <f aca="false">(Sens!D17948*tk_opex_h100+Sens!D17949*tk_opex_gb200+Sens!D17950*tk_opex_gb300+(Sens!D17952+Sens!D17951)*tk_opex_vr200)/Sens!D17940</f>
        <v>1.88636041306092</v>
      </c>
      <c r="E17958" s="15" t="n">
        <f aca="false">(Sens!E17948*tk_opex_h100+Sens!E17949*tk_opex_gb200+Sens!E17950*tk_opex_gb300+(Sens!E17952+Sens!E17951)*tk_opex_vr200)/Sens!E17940</f>
        <v>1.88636041306092</v>
      </c>
      <c r="F17958" s="15" t="n">
        <f aca="false">(Sens!F17948*tk_opex_h100+Sens!F17949*tk_opex_gb200+Sens!F17950*tk_opex_gb300+(Sens!F17952+Sens!F17951)*tk_opex_vr200)/Sens!F17940</f>
        <v>1.95051159746876</v>
      </c>
      <c r="G17958" s="15" t="n">
        <f aca="false">(Sens!G17948*tk_opex_h100+Sens!G17949*tk_opex_gb200+Sens!G17950*tk_opex_gb300+(Sens!G17952+Sens!G17951)*tk_opex_vr200)/Sens!G17940</f>
        <v>1.98836003669956</v>
      </c>
      <c r="H17958" s="15" t="n">
        <f aca="false">(Sens!H17948*tk_opex_h100+Sens!H17949*tk_opex_gb200+Sens!H17950*tk_opex_gb300+(Sens!H17952+Sens!H17951)*tk_opex_vr200)/Sens!H17940</f>
        <v>2.01344013834343</v>
      </c>
      <c r="I17958" s="15" t="n">
        <f aca="false">(Sens!I17948*tk_opex_h100+Sens!I17949*tk_opex_gb200+Sens!I17950*tk_opex_gb300+(Sens!I17952+Sens!I17951)*tk_opex_vr200)/Sens!I17940</f>
        <v>2.03261166882178</v>
      </c>
      <c r="J17958" s="15" t="n">
        <f aca="false">(Sens!J17948*tk_opex_h100+Sens!J17949*tk_opex_gb200+Sens!J17950*tk_opex_gb300+(Sens!J17952+Sens!J17951)*tk_opex_vr200)/Sens!J17940</f>
        <v>2.04808073288745</v>
      </c>
      <c r="K17958" s="15" t="n">
        <f aca="false">(Sens!K17948*tk_opex_h100+Sens!K17949*tk_opex_gb200+Sens!K17950*tk_opex_gb300+(Sens!K17952+Sens!K17951)*tk_opex_vr200)/Sens!K17940</f>
        <v>2.06973825807449</v>
      </c>
      <c r="L17958" s="12" t="s">
        <v>983</v>
      </c>
    </row>
    <row r="17959" customFormat="false" ht="17.15" hidden="false" customHeight="false" outlineLevel="0" collapsed="false">
      <c r="A17959" s="0" t="s">
        <v>984</v>
      </c>
      <c r="B17959" s="0" t="s">
        <v>98</v>
      </c>
      <c r="D17959" s="6" t="n">
        <f aca="false">(Sens!C17943+Sens!D17943)/2*Sens!D17958/1000</f>
        <v>2.70378325872065</v>
      </c>
      <c r="E17959" s="6" t="n">
        <f aca="false">(Sens!D17943+Sens!E17943)/2*Sens!E17958/1000</f>
        <v>6.17783035277451</v>
      </c>
      <c r="F17959" s="6" t="n">
        <f aca="false">(Sens!E17943+Sens!F17943)/2*Sens!F17958/1000</f>
        <v>12.8742463089237</v>
      </c>
      <c r="G17959" s="6" t="n">
        <f aca="false">(Sens!F17943+Sens!G17943)/2*Sens!G17958/1000</f>
        <v>21.8182834646277</v>
      </c>
      <c r="H17959" s="6" t="n">
        <f aca="false">(Sens!G17943+Sens!H17943)/2*Sens!H17958/1000</f>
        <v>31.2430128789734</v>
      </c>
      <c r="I17959" s="6" t="n">
        <f aca="false">(Sens!H17943+Sens!I17943)/2*Sens!I17958/1000</f>
        <v>39.4313057443268</v>
      </c>
      <c r="J17959" s="6" t="n">
        <f aca="false">(Sens!I17943+Sens!J17943)/2*Sens!J17958/1000</f>
        <v>45.0360318228653</v>
      </c>
      <c r="K17959" s="6" t="n">
        <f aca="false">(Sens!J17943+Sens!K17943)/2*Sens!K17958/1000</f>
        <v>48.2929727091156</v>
      </c>
    </row>
    <row r="17960" customFormat="false" ht="17.15" hidden="false" customHeight="false" outlineLevel="0" collapsed="false">
      <c r="A17960" s="0" t="s">
        <v>985</v>
      </c>
      <c r="B17960" s="0" t="s">
        <v>98</v>
      </c>
      <c r="D17960" s="6" t="n">
        <f aca="false">(Sens!C17941+Sens!D17941)/2*rent_mw/1000</f>
        <v>2.44475</v>
      </c>
      <c r="E17960" s="6" t="n">
        <f aca="false">(Sens!D17941+Sens!E17941)/2*rent_mw/1000</f>
        <v>4.22275</v>
      </c>
      <c r="F17960" s="6" t="n">
        <f aca="false">(Sens!E17941+Sens!F17941)/2*rent_mw/1000</f>
        <v>5.80517</v>
      </c>
      <c r="G17960" s="6" t="n">
        <f aca="false">(Sens!F17941+Sens!G17941)/2*rent_mw/1000</f>
        <v>6.72084</v>
      </c>
      <c r="H17960" s="6" t="n">
        <f aca="false">(Sens!G17941+Sens!H17941)/2*rent_mw/1000</f>
        <v>6.72084</v>
      </c>
      <c r="I17960" s="6" t="n">
        <f aca="false">(Sens!H17941+Sens!I17941)/2*rent_mw/1000</f>
        <v>6.72084</v>
      </c>
      <c r="J17960" s="6" t="n">
        <f aca="false">(Sens!I17941+Sens!J17941)/2*rent_mw/1000</f>
        <v>6.72084</v>
      </c>
      <c r="K17960" s="6" t="n">
        <f aca="false">(Sens!J17941+Sens!K17941)/2*rent_mw/1000</f>
        <v>6.72084</v>
      </c>
    </row>
    <row r="17961" customFormat="false" ht="17.15" hidden="false" customHeight="false" outlineLevel="0" collapsed="false">
      <c r="A17961" s="0" t="s">
        <v>986</v>
      </c>
      <c r="B17961" s="0" t="s">
        <v>98</v>
      </c>
      <c r="D17961" s="6" t="n">
        <f aca="false">(Sens!C17943+Sens!D17943)/2*(1-self_build)*fac_rent/1000</f>
        <v>0.853242375631075</v>
      </c>
      <c r="E17961" s="6" t="n">
        <f aca="false">(Sens!D17943+Sens!E17943)/2*(1-self_build)*fac_rent/1000</f>
        <v>1.94955961408728</v>
      </c>
      <c r="F17961" s="6" t="n">
        <f aca="false">(Sens!E17943+Sens!F17943)/2*(1-self_build)*fac_rent/1000</f>
        <v>3.92914894476356</v>
      </c>
      <c r="G17961" s="6" t="n">
        <f aca="false">(Sens!F17943+Sens!G17943)/2*(1-self_build)*fac_rent/1000</f>
        <v>6.53206908578159</v>
      </c>
      <c r="H17961" s="6" t="n">
        <f aca="false">(Sens!G17943+Sens!H17943)/2*(1-self_build)*fac_rent/1000</f>
        <v>9.23717988341591</v>
      </c>
      <c r="I17961" s="6" t="n">
        <f aca="false">(Sens!H17943+Sens!I17943)/2*(1-self_build)*fac_rent/1000</f>
        <v>11.5481378557393</v>
      </c>
      <c r="J17961" s="6" t="n">
        <f aca="false">(Sens!I17943+Sens!J17943)/2*(1-self_build)*fac_rent/1000</f>
        <v>13.0899582289108</v>
      </c>
      <c r="K17961" s="6" t="n">
        <f aca="false">(Sens!J17943+Sens!K17943)/2*(1-self_build)*fac_rent/1000</f>
        <v>13.8897275626556</v>
      </c>
      <c r="L17961" s="12" t="s">
        <v>987</v>
      </c>
    </row>
    <row r="17962" customFormat="false" ht="17.15" hidden="false" customHeight="false" outlineLevel="0" collapsed="false">
      <c r="A17962" s="1" t="s">
        <v>988</v>
      </c>
      <c r="B17962" s="0" t="s">
        <v>168</v>
      </c>
      <c r="D17962" s="7" t="n">
        <f aca="false">(Sens!C17942+Sens!D17942)/(Sens!C17943+Sens!D17943)</f>
        <v>0.6</v>
      </c>
      <c r="E17962" s="7" t="n">
        <f aca="false">(Sens!D17942+Sens!E17942)/(Sens!D17943+Sens!E17943)</f>
        <v>0.6</v>
      </c>
      <c r="F17962" s="7" t="n">
        <f aca="false">(Sens!E17942+Sens!F17942)/(Sens!E17943+Sens!F17943)</f>
        <v>0.6</v>
      </c>
      <c r="G17962" s="7" t="n">
        <f aca="false">(Sens!F17942+Sens!G17942)/(Sens!F17943+Sens!G17943)</f>
        <v>0.6</v>
      </c>
      <c r="H17962" s="7" t="n">
        <f aca="false">(Sens!G17942+Sens!H17942)/(Sens!G17943+Sens!H17943)</f>
        <v>0.6</v>
      </c>
      <c r="I17962" s="7" t="n">
        <f aca="false">(Sens!H17942+Sens!I17942)/(Sens!H17943+Sens!I17943)</f>
        <v>0.6</v>
      </c>
      <c r="J17962" s="7" t="n">
        <f aca="false">(Sens!I17942+Sens!J17942)/(Sens!I17943+Sens!J17943)</f>
        <v>0.6</v>
      </c>
      <c r="K17962" s="7" t="n">
        <f aca="false">(Sens!J17942+Sens!K17942)/(Sens!J17943+Sens!K17943)</f>
        <v>0.6</v>
      </c>
    </row>
    <row r="17963" customFormat="false" ht="17.15" hidden="false" customHeight="false" outlineLevel="0" collapsed="false">
      <c r="A17963" s="0" t="s">
        <v>989</v>
      </c>
      <c r="B17963" s="0" t="s">
        <v>98</v>
      </c>
      <c r="D17963" s="6" t="n">
        <f aca="false">Sens!D17957-Sens!D17962*(Sens!D17959+Sens!D17961)-Sens!D17960</f>
        <v>8.35701406163072</v>
      </c>
      <c r="E17963" s="6" t="n">
        <f aca="false">Sens!E17957-Sens!E17962*(Sens!E17959+Sens!E17961)-Sens!E17960</f>
        <v>18.7103224860238</v>
      </c>
      <c r="F17963" s="6" t="n">
        <f aca="false">Sens!F17957-Sens!F17962*(Sens!F17959+Sens!F17961)-Sens!F17960</f>
        <v>39.5246243538843</v>
      </c>
      <c r="G17963" s="6" t="n">
        <f aca="false">Sens!G17957-Sens!G17962*(Sens!G17959+Sens!G17961)-Sens!G17960</f>
        <v>67.5570585372687</v>
      </c>
      <c r="H17963" s="6" t="n">
        <f aca="false">Sens!H17957-Sens!H17962*(Sens!H17959+Sens!H17961)-Sens!H17960</f>
        <v>97.1863179465102</v>
      </c>
      <c r="I17963" s="6" t="n">
        <f aca="false">Sens!I17957-Sens!I17962*(Sens!I17959+Sens!I17961)-Sens!I17960</f>
        <v>123.292775650365</v>
      </c>
      <c r="J17963" s="6" t="n">
        <f aca="false">Sens!J17957-Sens!J17962*(Sens!J17959+Sens!J17961)-Sens!J17960</f>
        <v>141.586285762524</v>
      </c>
      <c r="K17963" s="6" t="n">
        <f aca="false">Sens!K17957-Sens!K17962*(Sens!K17959+Sens!K17961)-Sens!K17960</f>
        <v>153.289664774035</v>
      </c>
    </row>
    <row r="17964" customFormat="false" ht="17.15" hidden="false" customHeight="false" outlineLevel="0" collapsed="false">
      <c r="A17964" s="1" t="s">
        <v>990</v>
      </c>
      <c r="B17964" s="0" t="s">
        <v>98</v>
      </c>
      <c r="D17964" s="6" t="n">
        <f aca="false">(1-Sens!D17962)*(Sens!D17959+Sens!D17961)</f>
        <v>1.42281025374069</v>
      </c>
      <c r="E17964" s="6" t="n">
        <f aca="false">(1-Sens!E17962)*(Sens!E17959+Sens!E17961)</f>
        <v>3.25095598674472</v>
      </c>
      <c r="F17964" s="6" t="n">
        <f aca="false">(1-Sens!F17962)*(Sens!F17959+Sens!F17961)</f>
        <v>6.72135810147489</v>
      </c>
      <c r="G17964" s="6" t="n">
        <f aca="false">(1-Sens!G17962)*(Sens!G17959+Sens!G17961)</f>
        <v>11.3401410201637</v>
      </c>
      <c r="H17964" s="6" t="n">
        <f aca="false">(1-Sens!H17962)*(Sens!H17959+Sens!H17961)</f>
        <v>16.1920771049557</v>
      </c>
      <c r="I17964" s="6" t="n">
        <f aca="false">(1-Sens!I17962)*(Sens!I17959+Sens!I17961)</f>
        <v>20.3917774400264</v>
      </c>
      <c r="J17964" s="6" t="n">
        <f aca="false">(1-Sens!J17962)*(Sens!J17959+Sens!J17961)</f>
        <v>23.2503960207104</v>
      </c>
      <c r="K17964" s="6" t="n">
        <f aca="false">(1-Sens!K17962)*(Sens!K17959+Sens!K17961)</f>
        <v>24.8730801087085</v>
      </c>
    </row>
    <row r="17965" customFormat="false" ht="17.15" hidden="false" customHeight="false" outlineLevel="0" collapsed="false">
      <c r="A17965" s="1" t="s">
        <v>991</v>
      </c>
      <c r="B17965" s="0" t="s">
        <v>417</v>
      </c>
      <c r="C17965" s="8" t="n">
        <f aca="false">cxit_open</f>
        <v>27.5918995</v>
      </c>
      <c r="D17965" s="8" t="n">
        <f aca="false">cxit_open</f>
        <v>27.5918995</v>
      </c>
      <c r="E17965" s="8" t="n">
        <f aca="false">cxit_open</f>
        <v>27.5918995</v>
      </c>
      <c r="F17965" s="8" t="n">
        <f aca="false">((a_g3_27-nonnv*a_mai)*tk_cxit_gb300+nonnv*a_mai*nv_hold_mai*tk_cxit_vr200+(1-a_g3_27)*tk_cxit_vr200)</f>
        <v>32.4975576</v>
      </c>
      <c r="G17965" s="8" t="n">
        <f aca="false">((a_g3_28-nonnv*a_mai)*tk_cxit_gb300+nonnv*a_mai*nv_hold_mai*tk_cxit_vr200+(1-a_g3_28)*tk_cxit_vr200)</f>
        <v>34.6372088</v>
      </c>
      <c r="H17965" s="8" t="n">
        <f aca="false">((a_g3_29-nonnv*a_mai)*tk_cxit_gb300+nonnv*a_mai*nv_hold_mai*tk_cxit_vr200+(1-a_g3_29)*tk_cxit_vr200)</f>
        <v>35.7070344</v>
      </c>
      <c r="I17965" s="8" t="n">
        <f aca="false">((a_g3_29-nonnv*a_mai)*tk_cxit_gb300+nonnv*a_mai*nv_hold_mai*tk_cxit_vr200+(1-a_g3_29)*tk_cxit_vr200)</f>
        <v>35.7070344</v>
      </c>
      <c r="J17965" s="8" t="n">
        <f aca="false">((a_g3_29-nonnv*a_mai)*tk_cxit_gb300+nonnv*a_mai*nv_hold_mai*tk_cxit_vr200+(1-a_g3_29)*tk_cxit_vr200)</f>
        <v>35.7070344</v>
      </c>
      <c r="K17965" s="8" t="n">
        <f aca="false">((a_g3_29-nonnv*a_mai)*tk_cxit_gb300+nonnv*a_mai*nv_hold_mai*tk_cxit_vr200+(1-a_g3_29)*tk_cxit_vr200)</f>
        <v>35.7070344</v>
      </c>
      <c r="L17965" s="12" t="s">
        <v>992</v>
      </c>
    </row>
    <row r="17966" customFormat="false" ht="17.15" hidden="false" customHeight="false" outlineLevel="0" collapsed="false">
      <c r="A17966" s="0" t="s">
        <v>993</v>
      </c>
      <c r="B17966" s="0" t="s">
        <v>459</v>
      </c>
      <c r="F17966" s="30" t="n">
        <f aca="false">Sens!C17945*IF(Sens!F17938-Sens!C17938=life_it,1,0)+Sens!D17945*IF(Sens!F17938-Sens!D17938=life_it,1,0)+Sens!E17945*IF(Sens!F17938-Sens!E17938=life_it,1,0)</f>
        <v>0</v>
      </c>
      <c r="G17966" s="30" t="n">
        <f aca="false">Sens!C17945*IF(Sens!G17938-Sens!C17938=life_it,1,0)+Sens!D17945*IF(Sens!G17938-Sens!D17938=life_it,1,0)+Sens!E17945*IF(Sens!G17938-Sens!E17938=life_it,1,0)+Sens!F17945*IF(Sens!G17938-Sens!F17938=life_it,1,0)</f>
        <v>0</v>
      </c>
      <c r="H17966" s="30" t="n">
        <f aca="false">Sens!C17945*IF(Sens!H17938-Sens!C17938=life_it,1,0)+Sens!D17945*IF(Sens!H17938-Sens!D17938=life_it,1,0)+Sens!E17945*IF(Sens!H17938-Sens!E17938=life_it,1,0)+Sens!F17945*IF(Sens!H17938-Sens!F17938=life_it,1,0)+Sens!G17945*IF(Sens!H17938-Sens!G17938=life_it,1,0)</f>
        <v>0</v>
      </c>
      <c r="I17966" s="30" t="n">
        <f aca="false">Sens!C17945*IF(Sens!I17938-Sens!C17938=life_it,1,0)+Sens!D17945*IF(Sens!I17938-Sens!D17938=life_it,1,0)+Sens!E17945*IF(Sens!I17938-Sens!E17938=life_it,1,0)+Sens!F17945*IF(Sens!I17938-Sens!F17938=life_it,1,0)+Sens!G17945*IF(Sens!I17938-Sens!G17938=life_it,1,0)+Sens!H17945*IF(Sens!I17938-Sens!H17938=life_it,1,0)</f>
        <v>816.666666666667</v>
      </c>
      <c r="J17966" s="30" t="n">
        <f aca="false">Sens!C17945*IF(Sens!J17938-Sens!C17938=life_it,1,0)+Sens!D17945*IF(Sens!J17938-Sens!D17938=life_it,1,0)+Sens!E17945*IF(Sens!J17938-Sens!E17938=life_it,1,0)+Sens!F17945*IF(Sens!J17938-Sens!F17938=life_it,1,0)+Sens!G17945*IF(Sens!J17938-Sens!G17938=life_it,1,0)+Sens!H17945*IF(Sens!J17938-Sens!H17938=life_it,1,0)+Sens!I17945*IF(Sens!J17938-Sens!I17938=life_it,1,0)</f>
        <v>1233.33333333333</v>
      </c>
      <c r="K17966" s="30" t="n">
        <f aca="false">Sens!C17945*IF(Sens!K17938-Sens!C17938=life_it,1,0)+Sens!D17945*IF(Sens!K17938-Sens!D17938=life_it,1,0)+Sens!E17945*IF(Sens!K17938-Sens!E17938=life_it,1,0)+Sens!F17945*IF(Sens!K17938-Sens!F17938=life_it,1,0)+Sens!G17945*IF(Sens!K17938-Sens!G17938=life_it,1,0)+Sens!H17945*IF(Sens!K17938-Sens!H17938=life_it,1,0)+Sens!I17945*IF(Sens!K17938-Sens!I17938=life_it,1,0)+Sens!J17945*IF(Sens!K17938-Sens!J17938=life_it,1,0)</f>
        <v>2450</v>
      </c>
      <c r="L17966" s="1" t="s">
        <v>994</v>
      </c>
    </row>
    <row r="17967" customFormat="false" ht="17.15" hidden="false" customHeight="false" outlineLevel="0" collapsed="false">
      <c r="A17967" s="0" t="s">
        <v>995</v>
      </c>
      <c r="B17967" s="0" t="s">
        <v>98</v>
      </c>
      <c r="C17967" s="6" t="n">
        <f aca="false">Sens!C17945*Sens!C17965/1000</f>
        <v>22.5333845916667</v>
      </c>
      <c r="D17967" s="6" t="n">
        <f aca="false">Sens!D17945*Sens!D17965/1000</f>
        <v>34.0300093833333</v>
      </c>
      <c r="E17967" s="6" t="n">
        <f aca="false">Sens!E17945*Sens!E17965/1000</f>
        <v>67.600153775</v>
      </c>
      <c r="F17967" s="6" t="n">
        <f aca="false">(Sens!F17945+Sens!F17966)*Sens!F17965/1000</f>
        <v>136.51872432512</v>
      </c>
      <c r="G17967" s="6" t="n">
        <f aca="false">(Sens!G17945+Sens!G17966)*Sens!G17965/1000</f>
        <v>157.399275932048</v>
      </c>
      <c r="H17967" s="6" t="n">
        <f aca="false">(Sens!H17945+Sens!H17966)*Sens!H17965/1000</f>
        <v>162.260804347512</v>
      </c>
      <c r="I17967" s="6" t="n">
        <f aca="false">(Sens!I17945+Sens!I17966)*Sens!I17965/1000</f>
        <v>144.136569485434</v>
      </c>
      <c r="J17967" s="6" t="n">
        <f aca="false">(Sens!J17945+Sens!J17966)*Sens!J17965/1000</f>
        <v>114.029037357864</v>
      </c>
      <c r="K17967" s="6" t="n">
        <f aca="false">(Sens!K17945+Sens!K17966)*Sens!K17965/1000</f>
        <v>113.437085350975</v>
      </c>
    </row>
    <row r="17968" customFormat="false" ht="17.15" hidden="false" customHeight="false" outlineLevel="0" collapsed="false">
      <c r="A17968" s="0" t="s">
        <v>996</v>
      </c>
      <c r="B17968" s="0" t="s">
        <v>98</v>
      </c>
      <c r="C17968" s="6" t="n">
        <f aca="false">Sens!C17945*self_build*tk_cxfac/1000</f>
        <v>6.2083</v>
      </c>
      <c r="D17968" s="6" t="n">
        <f aca="false">Sens!D17945*self_build*tk_cxfac/1000</f>
        <v>9.3758</v>
      </c>
      <c r="E17968" s="6" t="n">
        <f aca="false">Sens!E17945*self_build*tk_cxfac/1000</f>
        <v>18.6249</v>
      </c>
      <c r="F17968" s="6" t="n">
        <f aca="false">Sens!F17945*self_build*tk_cxfac/1000</f>
        <v>31.935179717</v>
      </c>
      <c r="G17968" s="6" t="n">
        <f aca="false">Sens!G17945*self_build*tk_cxfac/1000</f>
        <v>34.545199717</v>
      </c>
      <c r="H17968" s="6" t="n">
        <f aca="false">Sens!H17945*self_build*tk_cxfac/1000</f>
        <v>34.545199717</v>
      </c>
      <c r="I17968" s="6" t="n">
        <f aca="false">Sens!I17945*self_build*tk_cxfac/1000</f>
        <v>24.4782641361767</v>
      </c>
      <c r="J17968" s="6" t="n">
        <f aca="false">Sens!J17945*self_build*tk_cxfac/1000</f>
        <v>14.9008938380769</v>
      </c>
      <c r="K17968" s="6" t="n">
        <f aca="false">Sens!K17945*self_build*tk_cxfac/1000</f>
        <v>5.52576771375761</v>
      </c>
    </row>
    <row r="17969" customFormat="false" ht="17.15" hidden="false" customHeight="false" outlineLevel="0" collapsed="false">
      <c r="A17969" s="0" t="s">
        <v>997</v>
      </c>
      <c r="B17969" s="0" t="s">
        <v>98</v>
      </c>
      <c r="F17969" s="15" t="n">
        <f aca="false">capex_floor27-Sens!F17967-Sens!F17968-Sens!F18065</f>
        <v>1.94586576753863E-005</v>
      </c>
      <c r="L17969" s="12" t="s">
        <v>998</v>
      </c>
    </row>
    <row r="17970" customFormat="false" ht="17.15" hidden="false" customHeight="false" outlineLevel="0" collapsed="false">
      <c r="A17970" s="0" t="s">
        <v>999</v>
      </c>
      <c r="B17970" s="0" t="s">
        <v>98</v>
      </c>
      <c r="F17970" s="6" t="n">
        <f aca="false">MAX(0,Sens!F17969)</f>
        <v>1.94586576753863E-005</v>
      </c>
    </row>
    <row r="17971" customFormat="false" ht="17.15" hidden="false" customHeight="false" outlineLevel="0" collapsed="false">
      <c r="A17971" s="0" t="s">
        <v>1000</v>
      </c>
      <c r="B17971" s="0" t="s">
        <v>98</v>
      </c>
      <c r="C17971" s="6" t="n">
        <f aca="false">Sens!C17967</f>
        <v>22.5333845916667</v>
      </c>
      <c r="D17971" s="6" t="n">
        <f aca="false">Sens!D17967</f>
        <v>34.0300093833333</v>
      </c>
      <c r="E17971" s="6" t="n">
        <f aca="false">Sens!E17967</f>
        <v>67.600153775</v>
      </c>
      <c r="F17971" s="6" t="n">
        <f aca="false">Sens!F17967+Sens!F17970</f>
        <v>136.518743783777</v>
      </c>
      <c r="G17971" s="6" t="n">
        <f aca="false">Sens!G17967</f>
        <v>157.399275932048</v>
      </c>
      <c r="H17971" s="6" t="n">
        <f aca="false">Sens!H17967</f>
        <v>162.260804347512</v>
      </c>
      <c r="I17971" s="6" t="n">
        <f aca="false">Sens!I17967</f>
        <v>144.136569485434</v>
      </c>
      <c r="J17971" s="6" t="n">
        <f aca="false">Sens!J17967</f>
        <v>114.029037357864</v>
      </c>
      <c r="K17971" s="6" t="n">
        <f aca="false">Sens!K17967</f>
        <v>113.437085350975</v>
      </c>
    </row>
    <row r="17972" customFormat="false" ht="17.15" hidden="false" customHeight="false" outlineLevel="0" collapsed="false">
      <c r="A17972" s="0" t="s">
        <v>1001</v>
      </c>
      <c r="B17972" s="0" t="s">
        <v>98</v>
      </c>
      <c r="C17972" s="6" t="n">
        <f aca="false">Sens!C17971+Sens!C17968</f>
        <v>28.7416845916667</v>
      </c>
      <c r="D17972" s="6" t="n">
        <f aca="false">Sens!D17971+Sens!D17968</f>
        <v>43.4058093833333</v>
      </c>
      <c r="E17972" s="6" t="n">
        <f aca="false">Sens!E17971+Sens!E17968</f>
        <v>86.225053775</v>
      </c>
      <c r="F17972" s="6" t="n">
        <f aca="false">Sens!F17971+Sens!F17968</f>
        <v>168.453923500777</v>
      </c>
      <c r="G17972" s="6" t="n">
        <f aca="false">Sens!G17971+Sens!G17968</f>
        <v>191.944475649048</v>
      </c>
      <c r="H17972" s="6" t="n">
        <f aca="false">Sens!H17971+Sens!H17968</f>
        <v>196.806004064512</v>
      </c>
      <c r="I17972" s="6" t="n">
        <f aca="false">Sens!I17971+Sens!I17968</f>
        <v>168.61483362161</v>
      </c>
      <c r="J17972" s="6" t="n">
        <f aca="false">Sens!J17971+Sens!J17968</f>
        <v>128.92993119594</v>
      </c>
      <c r="K17972" s="6" t="n">
        <f aca="false">Sens!K17971+Sens!K17968</f>
        <v>118.962853064733</v>
      </c>
      <c r="L17972" s="12" t="s">
        <v>1002</v>
      </c>
    </row>
    <row r="17973" customFormat="false" ht="17.15" hidden="false" customHeight="false" outlineLevel="0" collapsed="false">
      <c r="A17973" s="0" t="s">
        <v>1003</v>
      </c>
      <c r="B17973" s="0" t="s">
        <v>98</v>
      </c>
      <c r="E17973" s="6" t="n">
        <f aca="false">(Sens!C17971*IF(2&lt;life_it,1,IF(2=life_it,0.5,0))+Sens!D17971*IF(1&lt;life_it,1,IF(1=life_it,0.5,0))+Sens!E17971*0.5)/life_it</f>
        <v>15.0605784770833</v>
      </c>
      <c r="F17973" s="6" t="n">
        <f aca="false">(Sens!C17971*IF(3&lt;life_it,1,IF(3=life_it,0.5,0))+Sens!D17971*IF(2&lt;life_it,1,IF(2=life_it,0.5,0))+Sens!E17971*IF(1&lt;life_it,1,IF(1=life_it,0.5,0))+Sens!F17971*0.5)/life_it</f>
        <v>32.0704866069814</v>
      </c>
      <c r="G17973" s="6" t="n">
        <f aca="false">(Sens!C17971*IF(4&lt;life_it,1,IF(4=life_it,0.5,0))+Sens!D17971*IF(3&lt;life_it,1,IF(3=life_it,0.5,0))+Sens!E17971*IF(2&lt;life_it,1,IF(2=life_it,0.5,0))+Sens!F17971*IF(1&lt;life_it,1,IF(1=life_it,0.5,0))+Sens!G17971*0.5)/life_it</f>
        <v>56.5636549166336</v>
      </c>
      <c r="H17973" s="6" t="n">
        <f aca="false">(Sens!C17971*IF(5&lt;life_it,1,IF(5=life_it,0.5,0))+Sens!D17971*IF(4&lt;life_it,1,IF(4=life_it,0.5,0))+Sens!E17971*IF(3&lt;life_it,1,IF(3=life_it,0.5,0))+Sens!F17971*IF(2&lt;life_it,1,IF(2=life_it,0.5,0))+Sens!G17971*IF(1&lt;life_it,1,IF(1=life_it,0.5,0))+Sens!H17971*0.5)/life_it</f>
        <v>83.2019949399303</v>
      </c>
      <c r="I17973" s="6" t="n">
        <f aca="false">(Sens!C17971*IF(6&lt;life_it,1,IF(6=life_it,0.5,0))+Sens!D17971*IF(5&lt;life_it,1,IF(5=life_it,0.5,0))+Sens!E17971*IF(4&lt;life_it,1,IF(4=life_it,0.5,0))+Sens!F17971*IF(3&lt;life_it,1,IF(3=life_it,0.5,0))+Sens!G17971*IF(2&lt;life_it,1,IF(2=life_it,0.5,0))+Sens!H17971*IF(1&lt;life_it,1,IF(1=life_it,0.5,0))+Sens!I17971*0.5)/life_it</f>
        <v>106.857327376704</v>
      </c>
      <c r="J17973" s="6" t="n">
        <f aca="false">(Sens!C17971*IF(7&lt;life_it,1,IF(7=life_it,0.5,0))+Sens!D17971*IF(6&lt;life_it,1,IF(6=life_it,0.5,0))+Sens!E17971*IF(5&lt;life_it,1,IF(5=life_it,0.5,0))+Sens!F17971*IF(4&lt;life_it,1,IF(4=life_it,0.5,0))+Sens!G17971*IF(3&lt;life_it,1,IF(3=life_it,0.5,0))+Sens!H17971*IF(2&lt;life_it,1,IF(2=life_it,0.5,0))+Sens!I17971*IF(1&lt;life_it,1,IF(1=life_it,0.5,0))+Sens!J17971*0.5)/life_it</f>
        <v>123.657511782395</v>
      </c>
      <c r="K17973" s="6" t="n">
        <f aca="false">(Sens!C17971*IF(8&lt;life_it,1,IF(8=life_it,0.5,0))+Sens!D17971*IF(7&lt;life_it,1,IF(7=life_it,0.5,0))+Sens!E17971*IF(6&lt;life_it,1,IF(6=life_it,0.5,0))+Sens!F17971*IF(5&lt;life_it,1,IF(5=life_it,0.5,0))+Sens!G17971*IF(4&lt;life_it,1,IF(4=life_it,0.5,0))+Sens!H17971*IF(3&lt;life_it,1,IF(3=life_it,0.5,0))+Sens!I17971*IF(2&lt;life_it,1,IF(2=life_it,0.5,0))+Sens!J17971*IF(1&lt;life_it,1,IF(1=life_it,0.5,0))+Sens!K17971*0.5)/life_it</f>
        <v>134.143841744937</v>
      </c>
    </row>
    <row r="17974" customFormat="false" ht="17.15" hidden="false" customHeight="false" outlineLevel="0" collapsed="false">
      <c r="A17974" s="0" t="s">
        <v>1004</v>
      </c>
      <c r="B17974" s="0" t="s">
        <v>98</v>
      </c>
      <c r="E17974" s="6" t="n">
        <f aca="false">(Sens!C17968*IF(2&lt;life_fac,1,IF(2=life_fac,0.5,0))+Sens!D17968*IF(1&lt;life_fac,1,IF(1=life_fac,0.5,0))+Sens!E17968*0.5)/life_fac</f>
        <v>1.2448275</v>
      </c>
      <c r="F17974" s="6" t="n">
        <f aca="false">(Sens!C17968*IF(3&lt;life_fac,1,IF(3=life_fac,0.5,0))+Sens!D17968*IF(2&lt;life_fac,1,IF(2=life_fac,0.5,0))+Sens!E17968*IF(1&lt;life_fac,1,IF(1=life_fac,0.5,0))+Sens!F17968*0.5)/life_fac</f>
        <v>2.508829492925</v>
      </c>
      <c r="G17974" s="6" t="n">
        <f aca="false">(Sens!C17968*IF(4&lt;life_fac,1,IF(4=life_fac,0.5,0))+Sens!D17968*IF(3&lt;life_fac,1,IF(3=life_fac,0.5,0))+Sens!E17968*IF(2&lt;life_fac,1,IF(2=life_fac,0.5,0))+Sens!F17968*IF(1&lt;life_fac,1,IF(1=life_fac,0.5,0))+Sens!G17968*0.5)/life_fac</f>
        <v>4.170838978775</v>
      </c>
      <c r="H17974" s="6" t="n">
        <f aca="false">(Sens!C17968*IF(5&lt;life_fac,1,IF(5=life_fac,0.5,0))+Sens!D17968*IF(4&lt;life_fac,1,IF(4=life_fac,0.5,0))+Sens!E17968*IF(3&lt;life_fac,1,IF(3=life_fac,0.5,0))+Sens!F17968*IF(2&lt;life_fac,1,IF(2=life_fac,0.5,0))+Sens!G17968*IF(1&lt;life_fac,1,IF(1=life_fac,0.5,0))+Sens!H17968*0.5)/life_fac</f>
        <v>5.898098964625</v>
      </c>
      <c r="I17974" s="6" t="n">
        <f aca="false">(Sens!C17968*IF(6&lt;life_fac,1,IF(6=life_fac,0.5,0))+Sens!D17968*IF(5&lt;life_fac,1,IF(5=life_fac,0.5,0))+Sens!E17968*IF(4&lt;life_fac,1,IF(4=life_fac,0.5,0))+Sens!F17968*IF(3&lt;life_fac,1,IF(3=life_fac,0.5,0))+Sens!G17968*IF(2&lt;life_fac,1,IF(2=life_fac,0.5,0))+Sens!H17968*IF(1&lt;life_fac,1,IF(1=life_fac,0.5,0))+Sens!I17968*0.5)/life_fac</f>
        <v>7.37368556095442</v>
      </c>
      <c r="J17974" s="6" t="n">
        <f aca="false">(Sens!C17968*IF(7&lt;life_fac,1,IF(7=life_fac,0.5,0))+Sens!D17968*IF(6&lt;life_fac,1,IF(6=life_fac,0.5,0))+Sens!E17968*IF(5&lt;life_fac,1,IF(5=life_fac,0.5,0))+Sens!F17968*IF(4&lt;life_fac,1,IF(4=life_fac,0.5,0))+Sens!G17968*IF(3&lt;life_fac,1,IF(3=life_fac,0.5,0))+Sens!H17968*IF(2&lt;life_fac,1,IF(2=life_fac,0.5,0))+Sens!I17968*IF(1&lt;life_fac,1,IF(1=life_fac,0.5,0))+Sens!J17968*0.5)/life_fac</f>
        <v>8.35816451031075</v>
      </c>
      <c r="K17974" s="6" t="n">
        <f aca="false">(Sens!C17968*IF(8&lt;life_fac,1,IF(8=life_fac,0.5,0))+Sens!D17968*IF(7&lt;life_fac,1,IF(7=life_fac,0.5,0))+Sens!E17968*IF(6&lt;life_fac,1,IF(6=life_fac,0.5,0))+Sens!F17968*IF(5&lt;life_fac,1,IF(5=life_fac,0.5,0))+Sens!G17968*IF(4&lt;life_fac,1,IF(4=life_fac,0.5,0))+Sens!H17968*IF(3&lt;life_fac,1,IF(3=life_fac,0.5,0))+Sens!I17968*IF(2&lt;life_fac,1,IF(2=life_fac,0.5,0))+Sens!J17968*IF(1&lt;life_fac,1,IF(1=life_fac,0.5,0))+Sens!K17968*0.5)/life_fac</f>
        <v>8.86883104910662</v>
      </c>
    </row>
    <row r="17975" customFormat="false" ht="17.15" hidden="false" customHeight="false" outlineLevel="0" collapsed="false">
      <c r="A17975" s="0" t="s">
        <v>1005</v>
      </c>
      <c r="B17975" s="0" t="s">
        <v>98</v>
      </c>
      <c r="E17975" s="6" t="n">
        <f aca="false">Sens!E17973+Sens!E17974</f>
        <v>16.3054059770833</v>
      </c>
      <c r="F17975" s="6" t="n">
        <f aca="false">Sens!F17973+Sens!F17974</f>
        <v>34.5793160999064</v>
      </c>
      <c r="G17975" s="6" t="n">
        <f aca="false">Sens!G17973+Sens!G17974</f>
        <v>60.7344938954086</v>
      </c>
      <c r="H17975" s="6" t="n">
        <f aca="false">Sens!H17973+Sens!H17974</f>
        <v>89.1000939045553</v>
      </c>
      <c r="I17975" s="6" t="n">
        <f aca="false">Sens!I17973+Sens!I17974</f>
        <v>114.231012937658</v>
      </c>
      <c r="J17975" s="6" t="n">
        <f aca="false">Sens!J17973+Sens!J17974</f>
        <v>132.015676292706</v>
      </c>
      <c r="K17975" s="6" t="n">
        <f aca="false">Sens!K17973+Sens!K17974</f>
        <v>143.012672794044</v>
      </c>
    </row>
    <row r="17976" customFormat="false" ht="17.15" hidden="false" customHeight="false" outlineLevel="0" collapsed="false">
      <c r="A17976" s="0" t="s">
        <v>1006</v>
      </c>
      <c r="B17976" s="0" t="s">
        <v>98</v>
      </c>
      <c r="E17976" s="6" t="n">
        <f aca="false">Sens!E17963-Sens!E17962*Sens!E17975</f>
        <v>8.92707889977379</v>
      </c>
      <c r="F17976" s="6" t="n">
        <f aca="false">Sens!F17963-Sens!F17962*Sens!F17975</f>
        <v>18.7770346939404</v>
      </c>
      <c r="G17976" s="6" t="n">
        <f aca="false">Sens!G17963-Sens!G17962*Sens!G17975</f>
        <v>31.1163622000236</v>
      </c>
      <c r="H17976" s="6" t="n">
        <f aca="false">Sens!H17963-Sens!H17962*Sens!H17975</f>
        <v>43.726261603777</v>
      </c>
      <c r="I17976" s="6" t="n">
        <f aca="false">Sens!I17963-Sens!I17962*Sens!I17975</f>
        <v>54.7541678877703</v>
      </c>
      <c r="J17976" s="6" t="n">
        <f aca="false">Sens!J17963-Sens!J17962*Sens!J17975</f>
        <v>62.3768799869001</v>
      </c>
      <c r="K17976" s="6" t="n">
        <f aca="false">Sens!K17963-Sens!K17962*Sens!K17975</f>
        <v>67.482061097609</v>
      </c>
    </row>
    <row r="17977" customFormat="false" ht="17.15" hidden="false" customHeight="false" outlineLevel="0" collapsed="false">
      <c r="A17977" s="3" t="s">
        <v>2055</v>
      </c>
    </row>
    <row r="17978" customFormat="false" ht="15" hidden="false" customHeight="false" outlineLevel="0" collapsed="false">
      <c r="A17978" s="4" t="s">
        <v>43</v>
      </c>
      <c r="B17978" s="4" t="s">
        <v>65</v>
      </c>
      <c r="C17978" s="23" t="s">
        <v>942</v>
      </c>
      <c r="D17978" s="23" t="s">
        <v>943</v>
      </c>
      <c r="E17978" s="23" t="s">
        <v>944</v>
      </c>
      <c r="F17978" s="23" t="s">
        <v>945</v>
      </c>
      <c r="G17978" s="23" t="s">
        <v>946</v>
      </c>
      <c r="H17978" s="23" t="s">
        <v>947</v>
      </c>
      <c r="I17978" s="23" t="s">
        <v>948</v>
      </c>
      <c r="J17978" s="23" t="s">
        <v>949</v>
      </c>
      <c r="K17978" s="23" t="s">
        <v>950</v>
      </c>
      <c r="L17978" s="4" t="s">
        <v>47</v>
      </c>
    </row>
    <row r="17979" customFormat="false" ht="17.15" hidden="false" customHeight="false" outlineLevel="0" collapsed="false">
      <c r="A17979" s="0" t="s">
        <v>1025</v>
      </c>
      <c r="B17979" s="0" t="s">
        <v>98</v>
      </c>
      <c r="D17979" s="6" t="n">
        <f aca="false">Sens!D17957</f>
        <v>12.9359794422418</v>
      </c>
      <c r="E17979" s="6" t="n">
        <f aca="false">Sens!E17957</f>
        <v>27.8095064661409</v>
      </c>
      <c r="F17979" s="6" t="n">
        <f aca="false">Sens!F17957</f>
        <v>55.4118315060966</v>
      </c>
      <c r="G17979" s="6" t="n">
        <f aca="false">Sens!G17957</f>
        <v>91.2881100675143</v>
      </c>
      <c r="H17979" s="6" t="n">
        <f aca="false">Sens!H17957</f>
        <v>128.195273603944</v>
      </c>
      <c r="I17979" s="6" t="n">
        <f aca="false">Sens!I17957</f>
        <v>160.601281810405</v>
      </c>
      <c r="J17979" s="6" t="n">
        <f aca="false">Sens!J17957</f>
        <v>183.182719793589</v>
      </c>
      <c r="K17979" s="6" t="n">
        <f aca="false">Sens!K17957</f>
        <v>197.320124937098</v>
      </c>
    </row>
    <row r="17980" customFormat="false" ht="17.15" hidden="false" customHeight="false" outlineLevel="0" collapsed="false">
      <c r="A17980" s="0" t="s">
        <v>1026</v>
      </c>
      <c r="B17980" s="0" t="s">
        <v>98</v>
      </c>
      <c r="D17980" s="6" t="n">
        <f aca="false">Q!L6-Sens!D17979</f>
        <v>59.6740205577583</v>
      </c>
      <c r="E17980" s="6" t="n">
        <f aca="false">Q!M6-Sens!E17979</f>
        <v>74.1284935338591</v>
      </c>
      <c r="F17980" s="6" t="n">
        <f aca="false">Q!$I$6+(Sens!F17979+Sens!E17980*(1+Sens!F17981))*(1-Q!$E$6/Q!M6)-Sens!F17979</f>
        <v>91.2972164940844</v>
      </c>
      <c r="G17980" s="6" t="n">
        <f aca="false">Sens!F17980*(1+Sens!G17981)</f>
        <v>108.474719793879</v>
      </c>
      <c r="H17980" s="6" t="n">
        <f aca="false">Sens!G17980*(1+Sens!H17981)</f>
        <v>125.951292505701</v>
      </c>
      <c r="I17980" s="6" t="n">
        <f aca="false">Sens!H17980*(1+Sens!I17981)</f>
        <v>142.838165154212</v>
      </c>
      <c r="J17980" s="6" t="n">
        <f aca="false">Sens!I17980*(1+Sens!J17981)</f>
        <v>158.12717866615</v>
      </c>
      <c r="K17980" s="6" t="n">
        <f aca="false">Sens!J17980*(1+Sens!K17981)</f>
        <v>170.777352959442</v>
      </c>
      <c r="L17980" s="12" t="s">
        <v>1027</v>
      </c>
    </row>
    <row r="17981" customFormat="false" ht="15" hidden="false" customHeight="false" outlineLevel="0" collapsed="false">
      <c r="A17981" s="1" t="s">
        <v>1028</v>
      </c>
      <c r="B17981" s="0" t="s">
        <v>168</v>
      </c>
      <c r="E17981" s="7" t="n">
        <f aca="false">Sens!E17980/Sens!D17980-1</f>
        <v>0.242223883039864</v>
      </c>
      <c r="F17981" s="7" t="n">
        <f aca="false">Sens!$E$17981+(glt_azo-Sens!$E$17981)*MIN(1,(Sens!F17938-base_fy)/n_conv)</f>
        <v>0.215186569199887</v>
      </c>
      <c r="G17981" s="7" t="n">
        <f aca="false">Sens!$E$17981+(glt_azo-Sens!$E$17981)*MIN(1,(Sens!G17938-base_fy)/n_conv)</f>
        <v>0.18814925535991</v>
      </c>
      <c r="H17981" s="7" t="n">
        <f aca="false">Sens!$E$17981+(glt_azo-Sens!$E$17981)*MIN(1,(Sens!H17938-base_fy)/n_conv)</f>
        <v>0.161111941519932</v>
      </c>
      <c r="I17981" s="7" t="n">
        <f aca="false">Sens!$E$17981+(glt_azo-Sens!$E$17981)*MIN(1,(Sens!I17938-base_fy)/n_conv)</f>
        <v>0.134074627679955</v>
      </c>
      <c r="J17981" s="7" t="n">
        <f aca="false">Sens!$E$17981+(glt_azo-Sens!$E$17981)*MIN(1,(Sens!J17938-base_fy)/n_conv)</f>
        <v>0.107037313839977</v>
      </c>
      <c r="K17981" s="7" t="n">
        <f aca="false">Sens!$E$17981+(glt_azo-Sens!$E$17981)*MIN(1,(Sens!K17938-base_fy)/n_conv)</f>
        <v>0.08</v>
      </c>
    </row>
    <row r="17982" customFormat="false" ht="15" hidden="false" customHeight="false" outlineLevel="0" collapsed="false">
      <c r="A17982" s="0" t="s">
        <v>1029</v>
      </c>
      <c r="B17982" s="0" t="s">
        <v>98</v>
      </c>
      <c r="D17982" s="6" t="n">
        <f aca="false">Sens!D17979+Sens!D17980</f>
        <v>72.61</v>
      </c>
      <c r="E17982" s="6" t="n">
        <f aca="false">Sens!E17979+Sens!E17980</f>
        <v>101.938</v>
      </c>
      <c r="F17982" s="6" t="n">
        <f aca="false">Sens!F17979+Sens!F17980</f>
        <v>146.709048000181</v>
      </c>
      <c r="G17982" s="6" t="n">
        <f aca="false">Sens!G17979+Sens!G17980</f>
        <v>199.762829861393</v>
      </c>
      <c r="H17982" s="6" t="n">
        <f aca="false">Sens!H17979+Sens!H17980</f>
        <v>254.146566109645</v>
      </c>
      <c r="I17982" s="6" t="n">
        <f aca="false">Sens!I17979+Sens!I17980</f>
        <v>303.439446964617</v>
      </c>
      <c r="J17982" s="6" t="n">
        <f aca="false">Sens!J17979+Sens!J17980</f>
        <v>341.309898459739</v>
      </c>
      <c r="K17982" s="6" t="n">
        <f aca="false">Sens!K17979+Sens!K17980</f>
        <v>368.09747789654</v>
      </c>
    </row>
    <row r="17983" customFormat="false" ht="17.15" hidden="false" customHeight="false" outlineLevel="0" collapsed="false">
      <c r="A17983" s="0" t="s">
        <v>1030</v>
      </c>
      <c r="B17983" s="1" t="s">
        <v>613</v>
      </c>
      <c r="C17983" s="30" t="n">
        <f aca="false">cop_s24</f>
        <v>1</v>
      </c>
      <c r="D17983" s="30" t="n">
        <f aca="false">cop_s25</f>
        <v>5</v>
      </c>
      <c r="E17983" s="30" t="n">
        <f aca="false">cop_s26</f>
        <v>30</v>
      </c>
      <c r="F17983" s="30" t="n">
        <f aca="false">Sens!E17983+cop_add_B</f>
        <v>50</v>
      </c>
      <c r="G17983" s="30" t="n">
        <f aca="false">Sens!F17983+cop_add_B</f>
        <v>70</v>
      </c>
      <c r="H17983" s="30" t="n">
        <f aca="false">Sens!G17983+cop_add_B</f>
        <v>90</v>
      </c>
      <c r="I17983" s="30" t="n">
        <f aca="false">Sens!H17983+cop_add_B*cop_tail</f>
        <v>100</v>
      </c>
      <c r="J17983" s="30" t="n">
        <f aca="false">Sens!I17983+cop_add_B*cop_tail</f>
        <v>110</v>
      </c>
      <c r="K17983" s="30" t="n">
        <f aca="false">Sens!J17983+cop_add_B*cop_tail</f>
        <v>120</v>
      </c>
      <c r="L17983" s="12" t="s">
        <v>1031</v>
      </c>
    </row>
    <row r="17984" customFormat="false" ht="17.15" hidden="false" customHeight="false" outlineLevel="0" collapsed="false">
      <c r="A17984" s="0" t="s">
        <v>1032</v>
      </c>
      <c r="B17984" s="0" t="s">
        <v>98</v>
      </c>
      <c r="D17984" s="6" t="n">
        <f aca="false">(Sens!C17983+Sens!D17983)/2*cop_px*12/1000</f>
        <v>0.9</v>
      </c>
      <c r="E17984" s="6" t="n">
        <f aca="false">(Sens!D17983+Sens!E17983)/2*cop_px*12/1000</f>
        <v>5.25</v>
      </c>
      <c r="F17984" s="6" t="n">
        <f aca="false">(Sens!E17983+Sens!F17983)/2*cop_px*12/1000</f>
        <v>12</v>
      </c>
      <c r="G17984" s="6" t="n">
        <f aca="false">(Sens!F17983+Sens!G17983)/2*cop_px*12/1000</f>
        <v>18</v>
      </c>
      <c r="H17984" s="6" t="n">
        <f aca="false">(Sens!G17983+Sens!H17983)/2*cop_px*12/1000</f>
        <v>24</v>
      </c>
      <c r="I17984" s="6" t="n">
        <f aca="false">(Sens!H17983+Sens!I17983)/2*cop_px*12/1000</f>
        <v>28.5</v>
      </c>
      <c r="J17984" s="6" t="n">
        <f aca="false">(Sens!I17983+Sens!J17983)/2*cop_px*12/1000</f>
        <v>31.5</v>
      </c>
      <c r="K17984" s="6" t="n">
        <f aca="false">(Sens!J17983+Sens!K17983)/2*cop_px*12/1000</f>
        <v>34.5</v>
      </c>
      <c r="L17984" s="1" t="s">
        <v>1033</v>
      </c>
    </row>
    <row r="17985" customFormat="false" ht="17.15" hidden="false" customHeight="false" outlineLevel="0" collapsed="false">
      <c r="A17985" s="0" t="s">
        <v>1034</v>
      </c>
      <c r="B17985" s="0" t="s">
        <v>98</v>
      </c>
      <c r="D17985" s="6" t="n">
        <f aca="false">Q!L7-Sens!D17984</f>
        <v>83.705</v>
      </c>
      <c r="E17985" s="6" t="n">
        <f aca="false">Q!M7-Sens!E17984</f>
        <v>95.049</v>
      </c>
      <c r="F17985" s="6" t="n">
        <f aca="false">Q!$I$7+(Sens!E17985*(1+Sens!F17986)+Sens!F17984)*(1-Q!$E$7/Q!M7)-Sens!F17984</f>
        <v>106.584003697747</v>
      </c>
      <c r="G17985" s="6" t="n">
        <f aca="false">Sens!F17985*(1+Sens!G17986)</f>
        <v>118.700726545688</v>
      </c>
      <c r="H17985" s="6" t="n">
        <f aca="false">Sens!G17985*(1+Sens!H17986)</f>
        <v>130.898624783666</v>
      </c>
      <c r="I17985" s="6" t="n">
        <f aca="false">Sens!H17985*(1+Sens!I17986)</f>
        <v>142.920510030657</v>
      </c>
      <c r="J17985" s="6" t="n">
        <f aca="false">Sens!I17985*(1+Sens!J17986)</f>
        <v>154.485722618572</v>
      </c>
      <c r="K17985" s="6" t="n">
        <f aca="false">Sens!J17985*(1+Sens!K17986)</f>
        <v>165.299723201872</v>
      </c>
      <c r="L17985" s="12" t="s">
        <v>1035</v>
      </c>
    </row>
    <row r="17986" customFormat="false" ht="15" hidden="false" customHeight="false" outlineLevel="0" collapsed="false">
      <c r="A17986" s="1" t="s">
        <v>1028</v>
      </c>
      <c r="B17986" s="0" t="s">
        <v>168</v>
      </c>
      <c r="E17986" s="7" t="n">
        <f aca="false">Sens!E17985/Sens!D17985-1</f>
        <v>0.135523564900544</v>
      </c>
      <c r="F17986" s="7" t="n">
        <f aca="false">Sens!$E$17986+(glt_m365b-Sens!$E$17986)*MIN(1,(Sens!F17938-base_fy)/n_conv)</f>
        <v>0.124602970750453</v>
      </c>
      <c r="G17986" s="7" t="n">
        <f aca="false">Sens!$E$17986+(glt_m365b-Sens!$E$17986)*MIN(1,(Sens!G17938-base_fy)/n_conv)</f>
        <v>0.113682376600363</v>
      </c>
      <c r="H17986" s="7" t="n">
        <f aca="false">Sens!$E$17986+(glt_m365b-Sens!$E$17986)*MIN(1,(Sens!H17938-base_fy)/n_conv)</f>
        <v>0.102761782450272</v>
      </c>
      <c r="I17986" s="7" t="n">
        <f aca="false">Sens!$E$17986+(glt_m365b-Sens!$E$17986)*MIN(1,(Sens!I17938-base_fy)/n_conv)</f>
        <v>0.0918411883001813</v>
      </c>
      <c r="J17986" s="7" t="n">
        <f aca="false">Sens!$E$17986+(glt_m365b-Sens!$E$17986)*MIN(1,(Sens!J17938-base_fy)/n_conv)</f>
        <v>0.0809205941500906</v>
      </c>
      <c r="K17986" s="7" t="n">
        <f aca="false">Sens!$E$17986+(glt_m365b-Sens!$E$17986)*MIN(1,(Sens!K17938-base_fy)/n_conv)</f>
        <v>0.07</v>
      </c>
    </row>
    <row r="17987" customFormat="false" ht="15" hidden="false" customHeight="false" outlineLevel="0" collapsed="false">
      <c r="A17987" s="0" t="s">
        <v>1036</v>
      </c>
      <c r="B17987" s="0" t="s">
        <v>98</v>
      </c>
      <c r="D17987" s="6" t="n">
        <f aca="false">Sens!D17985+Sens!D17984</f>
        <v>84.605</v>
      </c>
      <c r="E17987" s="6" t="n">
        <f aca="false">Sens!E17985+Sens!E17984</f>
        <v>100.299</v>
      </c>
      <c r="F17987" s="6" t="n">
        <f aca="false">Sens!F17985+Sens!F17984</f>
        <v>118.584003697747</v>
      </c>
      <c r="G17987" s="6" t="n">
        <f aca="false">Sens!G17985+Sens!G17984</f>
        <v>136.700726545688</v>
      </c>
      <c r="H17987" s="6" t="n">
        <f aca="false">Sens!H17985+Sens!H17984</f>
        <v>154.898624783666</v>
      </c>
      <c r="I17987" s="6" t="n">
        <f aca="false">Sens!I17985+Sens!I17984</f>
        <v>171.420510030657</v>
      </c>
      <c r="J17987" s="6" t="n">
        <f aca="false">Sens!J17985+Sens!J17984</f>
        <v>185.985722618572</v>
      </c>
      <c r="K17987" s="6" t="n">
        <f aca="false">Sens!K17985+Sens!K17984</f>
        <v>199.799723201872</v>
      </c>
    </row>
    <row r="17988" customFormat="false" ht="17.15" hidden="false" customHeight="false" outlineLevel="0" collapsed="false">
      <c r="A17988" s="0" t="s">
        <v>1037</v>
      </c>
      <c r="B17988" s="0" t="s">
        <v>98</v>
      </c>
      <c r="D17988" s="6" t="n">
        <f aca="false">Q!L8</f>
        <v>35.391</v>
      </c>
      <c r="E17988" s="6" t="n">
        <f aca="false">Q!M8</f>
        <v>37.285</v>
      </c>
      <c r="F17988" s="6" t="n">
        <f aca="false">Q!$I$8+(Q!M8-Q!$E$8)*(1+Sens!F17989)</f>
        <v>38.3851437782675</v>
      </c>
      <c r="G17988" s="6" t="n">
        <f aca="false">Sens!F17988*(1+Sens!G17989)</f>
        <v>40.0105353288615</v>
      </c>
      <c r="H17988" s="6" t="n">
        <f aca="false">Sens!G17988*(1+Sens!H17989)</f>
        <v>41.4812512033683</v>
      </c>
      <c r="I17988" s="6" t="n">
        <f aca="false">Sens!H17988*(1+Sens!I17989)</f>
        <v>42.7743107216329</v>
      </c>
      <c r="J17988" s="6" t="n">
        <f aca="false">Sens!I17988*(1+Sens!J17989)</f>
        <v>43.8687373064601</v>
      </c>
      <c r="K17988" s="6" t="n">
        <f aca="false">Sens!J17988*(1+Sens!K17989)</f>
        <v>44.7461120525893</v>
      </c>
      <c r="L17988" s="12" t="s">
        <v>1038</v>
      </c>
    </row>
    <row r="17989" customFormat="false" ht="15" hidden="false" customHeight="false" outlineLevel="0" collapsed="false">
      <c r="A17989" s="1" t="s">
        <v>1028</v>
      </c>
      <c r="B17989" s="0" t="s">
        <v>168</v>
      </c>
      <c r="E17989" s="7" t="n">
        <f aca="false">Sens!E17988/Sens!D17988-1</f>
        <v>0.0535164307309768</v>
      </c>
      <c r="F17989" s="7" t="n">
        <f aca="false">Sens!$E$17989+(glt_lic-Sens!$E$17989)*MIN(1,(Sens!F17938-base_fy)/n_conv)</f>
        <v>0.0479303589424807</v>
      </c>
      <c r="G17989" s="7" t="n">
        <f aca="false">Sens!$E$17989+(glt_lic-Sens!$E$17989)*MIN(1,(Sens!G17938-base_fy)/n_conv)</f>
        <v>0.0423442871539845</v>
      </c>
      <c r="H17989" s="7" t="n">
        <f aca="false">Sens!$E$17989+(glt_lic-Sens!$E$17989)*MIN(1,(Sens!H17938-base_fy)/n_conv)</f>
        <v>0.0367582153654884</v>
      </c>
      <c r="I17989" s="7" t="n">
        <f aca="false">Sens!$E$17989+(glt_lic-Sens!$E$17989)*MIN(1,(Sens!I17938-base_fy)/n_conv)</f>
        <v>0.0311721435769923</v>
      </c>
      <c r="J17989" s="7" t="n">
        <f aca="false">Sens!$E$17989+(glt_lic-Sens!$E$17989)*MIN(1,(Sens!J17938-base_fy)/n_conv)</f>
        <v>0.0255860717884961</v>
      </c>
      <c r="K17989" s="7" t="n">
        <f aca="false">Sens!$E$17989+(glt_lic-Sens!$E$17989)*MIN(1,(Sens!K17938-base_fy)/n_conv)</f>
        <v>0.02</v>
      </c>
    </row>
    <row r="17990" customFormat="false" ht="17.15" hidden="false" customHeight="false" outlineLevel="0" collapsed="false">
      <c r="A17990" s="0" t="s">
        <v>1039</v>
      </c>
      <c r="B17990" s="0" t="s">
        <v>98</v>
      </c>
      <c r="D17990" s="6" t="n">
        <f aca="false">Q!L9</f>
        <v>18.417</v>
      </c>
      <c r="E17990" s="6" t="n">
        <f aca="false">Q!M9</f>
        <v>20.345</v>
      </c>
      <c r="F17990" s="6" t="n">
        <f aca="false">Q!$I$9+(Q!M9-Q!$E$9)*(1+Sens!F17991)</f>
        <v>22.3161797133988</v>
      </c>
      <c r="G17990" s="6" t="n">
        <f aca="false">Sens!F17990*(1+Sens!G17991)</f>
        <v>24.3943499673233</v>
      </c>
      <c r="H17990" s="6" t="n">
        <f aca="false">Sens!G17990*(1+Sens!H17991)</f>
        <v>26.5250243109019</v>
      </c>
      <c r="I17990" s="6" t="n">
        <f aca="false">Sens!H17990*(1+Sens!I17991)</f>
        <v>28.6884573538181</v>
      </c>
      <c r="J17990" s="6" t="n">
        <f aca="false">Sens!I17990*(1+Sens!J17991)</f>
        <v>30.8624968052127</v>
      </c>
      <c r="K17990" s="6" t="n">
        <f aca="false">Sens!J17990*(1+Sens!K17991)</f>
        <v>33.0228715815776</v>
      </c>
      <c r="L17990" s="12" t="s">
        <v>1038</v>
      </c>
    </row>
    <row r="17991" customFormat="false" ht="15" hidden="false" customHeight="false" outlineLevel="0" collapsed="false">
      <c r="A17991" s="1" t="s">
        <v>1028</v>
      </c>
      <c r="B17991" s="0" t="s">
        <v>168</v>
      </c>
      <c r="E17991" s="7" t="n">
        <f aca="false">Sens!E17990/Sens!D17990-1</f>
        <v>0.104685888038225</v>
      </c>
      <c r="F17991" s="7" t="n">
        <f aca="false">Sens!$E$17991+(glt_ind-Sens!$E$17991)*MIN(1,(Sens!F17938-base_fy)/n_conv)</f>
        <v>0.0989049066985211</v>
      </c>
      <c r="G17991" s="7" t="n">
        <f aca="false">Sens!$E$17991+(glt_ind-Sens!$E$17991)*MIN(1,(Sens!G17938-base_fy)/n_conv)</f>
        <v>0.0931239253588169</v>
      </c>
      <c r="H17991" s="7" t="n">
        <f aca="false">Sens!$E$17991+(glt_ind-Sens!$E$17991)*MIN(1,(Sens!H17938-base_fy)/n_conv)</f>
        <v>0.0873429440191127</v>
      </c>
      <c r="I17991" s="7" t="n">
        <f aca="false">Sens!$E$17991+(glt_ind-Sens!$E$17991)*MIN(1,(Sens!I17938-base_fy)/n_conv)</f>
        <v>0.0815619626794085</v>
      </c>
      <c r="J17991" s="7" t="n">
        <f aca="false">Sens!$E$17991+(glt_ind-Sens!$E$17991)*MIN(1,(Sens!J17938-base_fy)/n_conv)</f>
        <v>0.0757809813397042</v>
      </c>
      <c r="K17991" s="7" t="n">
        <f aca="false">Sens!$E$17991+(glt_ind-Sens!$E$17991)*MIN(1,(Sens!K17938-base_fy)/n_conv)</f>
        <v>0.07</v>
      </c>
    </row>
    <row r="17992" customFormat="false" ht="17.15" hidden="false" customHeight="false" outlineLevel="0" collapsed="false">
      <c r="A17992" s="0" t="s">
        <v>1040</v>
      </c>
      <c r="B17992" s="0" t="s">
        <v>98</v>
      </c>
      <c r="D17992" s="6" t="n">
        <f aca="false">Q!L10</f>
        <v>7.76</v>
      </c>
      <c r="E17992" s="6" t="n">
        <f aca="false">Q!M10</f>
        <v>8.26</v>
      </c>
      <c r="F17992" s="6" t="n">
        <f aca="false">Q!$I$10+(Q!M10-Q!$E$10)*(1+Sens!F17993)</f>
        <v>8.75372082474227</v>
      </c>
      <c r="G17992" s="6" t="n">
        <f aca="false">Sens!F17992*(1+Sens!G17993)</f>
        <v>9.33399324642364</v>
      </c>
      <c r="H17992" s="6" t="n">
        <f aca="false">Sens!G17992*(1+Sens!H17993)</f>
        <v>9.96139155535851</v>
      </c>
      <c r="I17992" s="6" t="n">
        <f aca="false">Sens!H17992*(1+Sens!I17993)</f>
        <v>10.6402039077391</v>
      </c>
      <c r="J17992" s="6" t="n">
        <f aca="false">Sens!I17992*(1+Sens!J17993)</f>
        <v>11.3751458271397</v>
      </c>
      <c r="K17992" s="6" t="n">
        <f aca="false">Sens!J17992*(1+Sens!K17993)</f>
        <v>12.1714060350394</v>
      </c>
      <c r="L17992" s="12" t="s">
        <v>1038</v>
      </c>
    </row>
    <row r="17993" customFormat="false" ht="15" hidden="false" customHeight="false" outlineLevel="0" collapsed="false">
      <c r="A17993" s="1" t="s">
        <v>1028</v>
      </c>
      <c r="B17993" s="0" t="s">
        <v>168</v>
      </c>
      <c r="E17993" s="7" t="n">
        <f aca="false">Sens!E17992/Sens!D17992-1</f>
        <v>0.0644329896907216</v>
      </c>
      <c r="F17993" s="7" t="n">
        <f aca="false">Sens!$E$17993+(glt_fro-Sens!$E$17993)*MIN(1,(Sens!F17938-base_fy)/n_conv)</f>
        <v>0.065360824742268</v>
      </c>
      <c r="G17993" s="7" t="n">
        <f aca="false">Sens!$E$17993+(glt_fro-Sens!$E$17993)*MIN(1,(Sens!G17938-base_fy)/n_conv)</f>
        <v>0.0662886597938144</v>
      </c>
      <c r="H17993" s="7" t="n">
        <f aca="false">Sens!$E$17993+(glt_fro-Sens!$E$17993)*MIN(1,(Sens!H17938-base_fy)/n_conv)</f>
        <v>0.0672164948453608</v>
      </c>
      <c r="I17993" s="7" t="n">
        <f aca="false">Sens!$E$17993+(glt_fro-Sens!$E$17993)*MIN(1,(Sens!I17938-base_fy)/n_conv)</f>
        <v>0.0681443298969072</v>
      </c>
      <c r="J17993" s="7" t="n">
        <f aca="false">Sens!$E$17993+(glt_fro-Sens!$E$17993)*MIN(1,(Sens!J17938-base_fy)/n_conv)</f>
        <v>0.0690721649484536</v>
      </c>
      <c r="K17993" s="7" t="n">
        <f aca="false">Sens!$E$17993+(glt_fro-Sens!$E$17993)*MIN(1,(Sens!K17938-base_fy)/n_conv)</f>
        <v>0.07</v>
      </c>
    </row>
    <row r="17994" customFormat="false" ht="15" hidden="false" customHeight="false" outlineLevel="0" collapsed="false">
      <c r="A17994" s="0" t="s">
        <v>856</v>
      </c>
      <c r="B17994" s="0" t="s">
        <v>98</v>
      </c>
      <c r="D17994" s="6" t="n">
        <f aca="false">Sens!D17982+Sens!D17987+Sens!D17988+Sens!D17990+Sens!D17992</f>
        <v>218.783</v>
      </c>
      <c r="E17994" s="6" t="n">
        <f aca="false">Sens!E17982+Sens!E17987+Sens!E17988+Sens!E17990+Sens!E17992</f>
        <v>268.127</v>
      </c>
      <c r="F17994" s="6" t="n">
        <f aca="false">Sens!F17982+Sens!F17987+Sens!F17988+Sens!F17990+Sens!F17992</f>
        <v>334.748096014336</v>
      </c>
      <c r="G17994" s="6" t="n">
        <f aca="false">Sens!G17982+Sens!G17987+Sens!G17988+Sens!G17990+Sens!G17992</f>
        <v>410.20243494969</v>
      </c>
      <c r="H17994" s="6" t="n">
        <f aca="false">Sens!H17982+Sens!H17987+Sens!H17988+Sens!H17990+Sens!H17992</f>
        <v>487.012857962939</v>
      </c>
      <c r="I17994" s="6" t="n">
        <f aca="false">Sens!I17982+Sens!I17987+Sens!I17988+Sens!I17990+Sens!I17992</f>
        <v>556.962928978464</v>
      </c>
      <c r="J17994" s="6" t="n">
        <f aca="false">Sens!J17982+Sens!J17987+Sens!J17988+Sens!J17990+Sens!J17992</f>
        <v>613.402001017124</v>
      </c>
      <c r="K17994" s="6" t="n">
        <f aca="false">Sens!K17982+Sens!K17987+Sens!K17988+Sens!K17990+Sens!K17992</f>
        <v>657.837590767618</v>
      </c>
    </row>
    <row r="17995" customFormat="false" ht="17.15" hidden="false" customHeight="false" outlineLevel="0" collapsed="false">
      <c r="A17995" s="0" t="s">
        <v>1041</v>
      </c>
      <c r="B17995" s="0" t="s">
        <v>98</v>
      </c>
      <c r="D17995" s="6" t="n">
        <f aca="false">Q!L13</f>
        <v>22.171</v>
      </c>
      <c r="E17995" s="6" t="n">
        <f aca="false">Q!M13</f>
        <v>24.835</v>
      </c>
      <c r="F17995" s="6" t="n">
        <f aca="false">Q!$I$13+(Q!M13-Q!$E$13)*(1+Sens!F17996)</f>
        <v>27.5591895660247</v>
      </c>
      <c r="G17995" s="6" t="n">
        <f aca="false">Sens!F17995*(1+Sens!G17996)</f>
        <v>30.4098563144583</v>
      </c>
      <c r="H17995" s="6" t="n">
        <f aca="false">Sens!G17995*(1+Sens!H17996)</f>
        <v>33.3011792571777</v>
      </c>
      <c r="I17995" s="6" t="n">
        <f aca="false">Sens!H17995*(1+Sens!I17996)</f>
        <v>36.189023797112</v>
      </c>
      <c r="J17995" s="6" t="n">
        <f aca="false">Sens!I17995*(1+Sens!J17996)</f>
        <v>39.0247773769199</v>
      </c>
      <c r="K17995" s="6" t="n">
        <f aca="false">Sens!J17995*(1+Sens!K17996)</f>
        <v>41.7565117933043</v>
      </c>
      <c r="L17995" s="12" t="s">
        <v>1038</v>
      </c>
    </row>
    <row r="17996" customFormat="false" ht="15" hidden="false" customHeight="false" outlineLevel="0" collapsed="false">
      <c r="A17996" s="1" t="s">
        <v>1028</v>
      </c>
      <c r="B17996" s="0" t="s">
        <v>168</v>
      </c>
      <c r="E17996" s="7" t="n">
        <f aca="false">Sens!E17995/Sens!D17995-1</f>
        <v>0.120156961796942</v>
      </c>
      <c r="F17996" s="7" t="n">
        <f aca="false">Sens!$E$17996+(glt_srch-Sens!$E$17996)*MIN(1,(Sens!F17938-base_fy)/n_conv)</f>
        <v>0.111797468164118</v>
      </c>
      <c r="G17996" s="7" t="n">
        <f aca="false">Sens!$E$17996+(glt_srch-Sens!$E$17996)*MIN(1,(Sens!G17938-base_fy)/n_conv)</f>
        <v>0.103437974531295</v>
      </c>
      <c r="H17996" s="7" t="n">
        <f aca="false">Sens!$E$17996+(glt_srch-Sens!$E$17996)*MIN(1,(Sens!H17938-base_fy)/n_conv)</f>
        <v>0.095078480898471</v>
      </c>
      <c r="I17996" s="7" t="n">
        <f aca="false">Sens!$E$17996+(glt_srch-Sens!$E$17996)*MIN(1,(Sens!I17938-base_fy)/n_conv)</f>
        <v>0.0867189872656474</v>
      </c>
      <c r="J17996" s="7" t="n">
        <f aca="false">Sens!$E$17996+(glt_srch-Sens!$E$17996)*MIN(1,(Sens!J17938-base_fy)/n_conv)</f>
        <v>0.0783594936328237</v>
      </c>
      <c r="K17996" s="7" t="n">
        <f aca="false">Sens!$E$17996+(glt_srch-Sens!$E$17996)*MIN(1,(Sens!K17938-base_fy)/n_conv)</f>
        <v>0.07</v>
      </c>
    </row>
    <row r="17997" customFormat="false" ht="17.15" hidden="false" customHeight="false" outlineLevel="0" collapsed="false">
      <c r="A17997" s="0" t="s">
        <v>1042</v>
      </c>
      <c r="B17997" s="0" t="s">
        <v>98</v>
      </c>
      <c r="D17997" s="6" t="n">
        <f aca="false">Q!L14</f>
        <v>23.455</v>
      </c>
      <c r="E17997" s="6" t="n">
        <f aca="false">Q!M14</f>
        <v>21.79</v>
      </c>
      <c r="F17997" s="6" t="n">
        <f aca="false">Q!$I$14+(Q!M14-Q!$E$14)*(1+Sens!F17998)</f>
        <v>20.7520981041711</v>
      </c>
      <c r="G17997" s="6" t="n">
        <f aca="false">Sens!F17997*(1+Sens!G17998)</f>
        <v>19.9083593495882</v>
      </c>
      <c r="H17997" s="6" t="n">
        <f aca="false">Sens!G17997*(1+Sens!H17998)</f>
        <v>19.4008256265831</v>
      </c>
      <c r="I17997" s="6" t="n">
        <f aca="false">Sens!H17997*(1+Sens!I17998)</f>
        <v>19.200434522122</v>
      </c>
      <c r="J17997" s="6" t="n">
        <f aca="false">Sens!I17997*(1+Sens!J17998)</f>
        <v>19.2932782348507</v>
      </c>
      <c r="K17997" s="6" t="n">
        <f aca="false">Sens!J17997*(1+Sens!K17998)</f>
        <v>19.6791437995477</v>
      </c>
      <c r="L17997" s="12" t="s">
        <v>1038</v>
      </c>
    </row>
    <row r="17998" customFormat="false" ht="15" hidden="false" customHeight="false" outlineLevel="0" collapsed="false">
      <c r="A17998" s="1" t="s">
        <v>1028</v>
      </c>
      <c r="B17998" s="0" t="s">
        <v>168</v>
      </c>
      <c r="E17998" s="7" t="n">
        <f aca="false">Sens!E17997/Sens!D17997-1</f>
        <v>-0.0709869963760392</v>
      </c>
      <c r="F17998" s="7" t="n">
        <f aca="false">Sens!$E$17998+(glt_xbox-Sens!$E$17998)*MIN(1,(Sens!F17938-base_fy)/n_conv)</f>
        <v>-0.0558224969800327</v>
      </c>
      <c r="G17998" s="7" t="n">
        <f aca="false">Sens!$E$17998+(glt_xbox-Sens!$E$17998)*MIN(1,(Sens!G17938-base_fy)/n_conv)</f>
        <v>-0.0406579975840262</v>
      </c>
      <c r="H17998" s="7" t="n">
        <f aca="false">Sens!$E$17998+(glt_xbox-Sens!$E$17998)*MIN(1,(Sens!H17938-base_fy)/n_conv)</f>
        <v>-0.0254934981880196</v>
      </c>
      <c r="I17998" s="7" t="n">
        <f aca="false">Sens!$E$17998+(glt_xbox-Sens!$E$17998)*MIN(1,(Sens!I17938-base_fy)/n_conv)</f>
        <v>-0.0103289987920131</v>
      </c>
      <c r="J17998" s="7" t="n">
        <f aca="false">Sens!$E$17998+(glt_xbox-Sens!$E$17998)*MIN(1,(Sens!J17938-base_fy)/n_conv)</f>
        <v>0.00483550060399347</v>
      </c>
      <c r="K17998" s="7" t="n">
        <f aca="false">Sens!$E$17998+(glt_xbox-Sens!$E$17998)*MIN(1,(Sens!K17938-base_fy)/n_conv)</f>
        <v>0.02</v>
      </c>
    </row>
    <row r="17999" customFormat="false" ht="17.15" hidden="false" customHeight="false" outlineLevel="0" collapsed="false">
      <c r="A17999" s="0" t="s">
        <v>1043</v>
      </c>
      <c r="B17999" s="0" t="s">
        <v>98</v>
      </c>
      <c r="D17999" s="6" t="n">
        <f aca="false">Q!L15</f>
        <v>17.315</v>
      </c>
      <c r="E17999" s="6" t="n">
        <f aca="false">Q!M15</f>
        <v>17.087</v>
      </c>
      <c r="F17999" s="6" t="n">
        <f aca="false">Q!$I$15+(Q!M15-Q!$E$15)*(1+Sens!F18000)</f>
        <v>15.9912273250553</v>
      </c>
      <c r="G17999" s="6" t="n">
        <f aca="false">Sens!F17999*(1+Sens!G18000)</f>
        <v>15.9574562664827</v>
      </c>
      <c r="H17999" s="6" t="n">
        <f aca="false">Sens!G17999*(1+Sens!H18000)</f>
        <v>16.0119687434196</v>
      </c>
      <c r="I17999" s="6" t="n">
        <f aca="false">Sens!H17999*(1+Sens!I18000)</f>
        <v>16.1551810001948</v>
      </c>
      <c r="J17999" s="6" t="n">
        <f aca="false">Sens!I17999*(1+Sens!J18000)</f>
        <v>16.3889793892005</v>
      </c>
      <c r="K17999" s="6" t="n">
        <f aca="false">Sens!J17999*(1+Sens!K18000)</f>
        <v>16.7167589769845</v>
      </c>
      <c r="L17999" s="12" t="s">
        <v>1038</v>
      </c>
    </row>
    <row r="18000" customFormat="false" ht="15" hidden="false" customHeight="false" outlineLevel="0" collapsed="false">
      <c r="A18000" s="1" t="s">
        <v>1028</v>
      </c>
      <c r="B18000" s="0" t="s">
        <v>168</v>
      </c>
      <c r="E18000" s="7" t="n">
        <f aca="false">Sens!E17999/Sens!D17999-1</f>
        <v>-0.0131677736066995</v>
      </c>
      <c r="F18000" s="7" t="n">
        <f aca="false">Sens!$E$18000+(glt_win-Sens!$E$18000)*MIN(1,(Sens!F17938-base_fy)/n_conv)</f>
        <v>-0.00763981133891627</v>
      </c>
      <c r="G18000" s="7" t="n">
        <f aca="false">Sens!$E$18000+(glt_win-Sens!$E$18000)*MIN(1,(Sens!G17938-base_fy)/n_conv)</f>
        <v>-0.00211184907113301</v>
      </c>
      <c r="H18000" s="7" t="n">
        <f aca="false">Sens!$E$18000+(glt_win-Sens!$E$18000)*MIN(1,(Sens!H17938-base_fy)/n_conv)</f>
        <v>0.00341611319665024</v>
      </c>
      <c r="I18000" s="7" t="n">
        <f aca="false">Sens!$E$18000+(glt_win-Sens!$E$18000)*MIN(1,(Sens!I17938-base_fy)/n_conv)</f>
        <v>0.00894407546443349</v>
      </c>
      <c r="J18000" s="7" t="n">
        <f aca="false">Sens!$E$18000+(glt_win-Sens!$E$18000)*MIN(1,(Sens!J17938-base_fy)/n_conv)</f>
        <v>0.0144720377322168</v>
      </c>
      <c r="K18000" s="7" t="n">
        <f aca="false">Sens!$E$18000+(glt_win-Sens!$E$18000)*MIN(1,(Sens!K17938-base_fy)/n_conv)</f>
        <v>0.02</v>
      </c>
    </row>
    <row r="18001" customFormat="false" ht="15" hidden="false" customHeight="false" outlineLevel="0" collapsed="false">
      <c r="A18001" s="0" t="s">
        <v>870</v>
      </c>
      <c r="B18001" s="0" t="s">
        <v>98</v>
      </c>
      <c r="D18001" s="6" t="n">
        <f aca="false">Sens!D17995+Sens!D17997+Sens!D17999</f>
        <v>62.941</v>
      </c>
      <c r="E18001" s="6" t="n">
        <f aca="false">Sens!E17995+Sens!E17997+Sens!E17999</f>
        <v>63.712</v>
      </c>
      <c r="F18001" s="6" t="n">
        <f aca="false">Sens!F17995+Sens!F17997+Sens!F17999</f>
        <v>64.3025149952511</v>
      </c>
      <c r="G18001" s="6" t="n">
        <f aca="false">Sens!G17995+Sens!G17997+Sens!G17999</f>
        <v>66.2756719305292</v>
      </c>
      <c r="H18001" s="6" t="n">
        <f aca="false">Sens!H17995+Sens!H17997+Sens!H17999</f>
        <v>68.7139736271804</v>
      </c>
      <c r="I18001" s="6" t="n">
        <f aca="false">Sens!I17995+Sens!I17997+Sens!I17999</f>
        <v>71.5446393194289</v>
      </c>
      <c r="J18001" s="6" t="n">
        <f aca="false">Sens!J17995+Sens!J17997+Sens!J17999</f>
        <v>74.707035000971</v>
      </c>
      <c r="K18001" s="6" t="n">
        <f aca="false">Sens!K17995+Sens!K17997+Sens!K17999</f>
        <v>78.1524145698365</v>
      </c>
    </row>
    <row r="18002" customFormat="false" ht="15" hidden="false" customHeight="false" outlineLevel="0" collapsed="false">
      <c r="A18002" s="1" t="s">
        <v>1044</v>
      </c>
      <c r="B18002" s="0" t="s">
        <v>98</v>
      </c>
      <c r="D18002" s="6" t="n">
        <f aca="false">Sens!D17994+Sens!D18001</f>
        <v>281.724</v>
      </c>
      <c r="E18002" s="6" t="n">
        <f aca="false">Sens!E17994+Sens!E18001</f>
        <v>331.839</v>
      </c>
      <c r="F18002" s="6" t="n">
        <f aca="false">Sens!F17994+Sens!F18001</f>
        <v>399.050611009588</v>
      </c>
      <c r="G18002" s="6" t="n">
        <f aca="false">Sens!G17994+Sens!G18001</f>
        <v>476.478106880219</v>
      </c>
      <c r="H18002" s="6" t="n">
        <f aca="false">Sens!H17994+Sens!H18001</f>
        <v>555.72683159012</v>
      </c>
      <c r="I18002" s="6" t="n">
        <f aca="false">Sens!I17994+Sens!I18001</f>
        <v>628.507568297893</v>
      </c>
      <c r="J18002" s="6" t="n">
        <f aca="false">Sens!J17994+Sens!J18001</f>
        <v>688.109036018095</v>
      </c>
      <c r="K18002" s="6" t="n">
        <f aca="false">Sens!K17994+Sens!K18001</f>
        <v>735.990005337455</v>
      </c>
    </row>
    <row r="18003" customFormat="false" ht="15" hidden="false" customHeight="false" outlineLevel="0" collapsed="false">
      <c r="A18003" s="26" t="s">
        <v>1045</v>
      </c>
      <c r="B18003" s="31" t="s">
        <v>98</v>
      </c>
      <c r="C18003" s="31"/>
      <c r="D18003" s="27" t="n">
        <f aca="false">(Sens!D17982+Sens!D17987+Sens!D17988+Sens!D17990+Sens!D17992-Sens!D17994)+(Sens!D17995+Sens!D17997+Sens!D17999-Sens!D18001)+(Sens!D17994-Q!L5)+(Sens!D18001-Q!L12)+(Sens!D17982-Q!L6)+(Sens!D17987-Q!L7)</f>
        <v>0</v>
      </c>
      <c r="E18003" s="27" t="n">
        <f aca="false">(Sens!E17982+Sens!E17987+Sens!E17988+Sens!E17990+Sens!E17992-Sens!E17994)+(Sens!E17995+Sens!E17997+Sens!E17999-Sens!E18001)+(Sens!E17994-Q!M5)+(Sens!E18001-Q!M12)+(Sens!E17982-Q!M6)+(Sens!E17987-Q!M7)</f>
        <v>0</v>
      </c>
      <c r="F18003" s="27" t="n">
        <f aca="false">(Sens!F17982+Sens!F17987+Sens!F17988+Sens!F17990+Sens!F17992-Sens!F17994)+(Sens!F17995+Sens!F17997+Sens!F17999-Sens!F18001)</f>
        <v>0</v>
      </c>
      <c r="G18003" s="27" t="n">
        <f aca="false">(Sens!G17982+Sens!G17987+Sens!G17988+Sens!G17990+Sens!G17992-Sens!G17994)+(Sens!G17995+Sens!G17997+Sens!G17999-Sens!G18001)</f>
        <v>0</v>
      </c>
      <c r="H18003" s="27" t="n">
        <f aca="false">(Sens!H17982+Sens!H17987+Sens!H17988+Sens!H17990+Sens!H17992-Sens!H17994)+(Sens!H17995+Sens!H17997+Sens!H17999-Sens!H18001)</f>
        <v>0</v>
      </c>
      <c r="I18003" s="27" t="n">
        <f aca="false">(Sens!I17982+Sens!I17987+Sens!I17988+Sens!I17990+Sens!I17992-Sens!I17994)+(Sens!I17995+Sens!I17997+Sens!I17999-Sens!I18001)</f>
        <v>0</v>
      </c>
      <c r="J18003" s="27" t="n">
        <f aca="false">(Sens!J17982+Sens!J17987+Sens!J17988+Sens!J17990+Sens!J17992-Sens!J17994)+(Sens!J17995+Sens!J17997+Sens!J17999-Sens!J18001)</f>
        <v>0</v>
      </c>
      <c r="K18003" s="27" t="n">
        <f aca="false">(Sens!K17982+Sens!K17987+Sens!K17988+Sens!K17990+Sens!K17992-Sens!K17994)+(Sens!K17995+Sens!K17997+Sens!K17999-Sens!K18001)</f>
        <v>0</v>
      </c>
    </row>
    <row r="18004" customFormat="false" ht="17.15" hidden="false" customHeight="false" outlineLevel="0" collapsed="false">
      <c r="A18004" s="3" t="s">
        <v>2056</v>
      </c>
    </row>
    <row r="18005" customFormat="false" ht="15" hidden="false" customHeight="false" outlineLevel="0" collapsed="false">
      <c r="A18005" s="4" t="s">
        <v>43</v>
      </c>
      <c r="B18005" s="4" t="s">
        <v>65</v>
      </c>
      <c r="C18005" s="23" t="s">
        <v>942</v>
      </c>
      <c r="D18005" s="23" t="s">
        <v>943</v>
      </c>
      <c r="E18005" s="23" t="s">
        <v>944</v>
      </c>
      <c r="F18005" s="23" t="s">
        <v>945</v>
      </c>
      <c r="G18005" s="23" t="s">
        <v>946</v>
      </c>
      <c r="H18005" s="23" t="s">
        <v>947</v>
      </c>
      <c r="I18005" s="23" t="s">
        <v>948</v>
      </c>
      <c r="J18005" s="23" t="s">
        <v>949</v>
      </c>
      <c r="K18005" s="23" t="s">
        <v>950</v>
      </c>
      <c r="L18005" s="4" t="s">
        <v>47</v>
      </c>
    </row>
    <row r="18006" customFormat="false" ht="15" hidden="false" customHeight="false" outlineLevel="0" collapsed="false">
      <c r="A18006" s="0" t="s">
        <v>1029</v>
      </c>
      <c r="B18006" s="0" t="s">
        <v>98</v>
      </c>
      <c r="D18006" s="6" t="n">
        <f aca="false">Sens!D17982</f>
        <v>72.61</v>
      </c>
      <c r="E18006" s="6" t="n">
        <f aca="false">Sens!E17982</f>
        <v>101.938</v>
      </c>
      <c r="F18006" s="6" t="n">
        <f aca="false">Sens!F17982</f>
        <v>146.709048000181</v>
      </c>
      <c r="G18006" s="6" t="n">
        <f aca="false">Sens!G17982</f>
        <v>199.762829861393</v>
      </c>
      <c r="H18006" s="6" t="n">
        <f aca="false">Sens!H17982</f>
        <v>254.146566109645</v>
      </c>
      <c r="I18006" s="6" t="n">
        <f aca="false">Sens!I17982</f>
        <v>303.439446964617</v>
      </c>
      <c r="J18006" s="6" t="n">
        <f aca="false">Sens!J17982</f>
        <v>341.309898459739</v>
      </c>
      <c r="K18006" s="6" t="n">
        <f aca="false">Sens!K17982</f>
        <v>368.09747789654</v>
      </c>
    </row>
    <row r="18007" customFormat="false" ht="17.15" hidden="false" customHeight="false" outlineLevel="0" collapsed="false">
      <c r="A18007" s="0" t="s">
        <v>1025</v>
      </c>
      <c r="B18007" s="0" t="s">
        <v>98</v>
      </c>
      <c r="D18007" s="6" t="n">
        <f aca="false">Sens!D17979</f>
        <v>12.9359794422418</v>
      </c>
      <c r="E18007" s="6" t="n">
        <f aca="false">Sens!E17979</f>
        <v>27.8095064661409</v>
      </c>
      <c r="F18007" s="6" t="n">
        <f aca="false">Sens!F17979</f>
        <v>55.4118315060966</v>
      </c>
      <c r="G18007" s="6" t="n">
        <f aca="false">Sens!G17979</f>
        <v>91.2881100675143</v>
      </c>
      <c r="H18007" s="6" t="n">
        <f aca="false">Sens!H17979</f>
        <v>128.195273603944</v>
      </c>
      <c r="I18007" s="6" t="n">
        <f aca="false">Sens!I17979</f>
        <v>160.601281810405</v>
      </c>
      <c r="J18007" s="6" t="n">
        <f aca="false">Sens!J17979</f>
        <v>183.182719793589</v>
      </c>
      <c r="K18007" s="6" t="n">
        <f aca="false">Sens!K17979</f>
        <v>197.320124937098</v>
      </c>
    </row>
    <row r="18008" customFormat="false" ht="17.15" hidden="false" customHeight="false" outlineLevel="0" collapsed="false">
      <c r="A18008" s="0" t="s">
        <v>1056</v>
      </c>
      <c r="B18008" s="0" t="s">
        <v>98</v>
      </c>
      <c r="D18008" s="6" t="n">
        <f aca="false">Sens!D17980</f>
        <v>59.6740205577583</v>
      </c>
      <c r="E18008" s="6" t="n">
        <f aca="false">Sens!E17980</f>
        <v>74.1284935338591</v>
      </c>
      <c r="F18008" s="6" t="n">
        <f aca="false">Sens!F17980</f>
        <v>91.2972164940844</v>
      </c>
      <c r="G18008" s="6" t="n">
        <f aca="false">Sens!G17980</f>
        <v>108.474719793879</v>
      </c>
      <c r="H18008" s="6" t="n">
        <f aca="false">Sens!H17980</f>
        <v>125.951292505701</v>
      </c>
      <c r="I18008" s="6" t="n">
        <f aca="false">Sens!I17980</f>
        <v>142.838165154212</v>
      </c>
      <c r="J18008" s="6" t="n">
        <f aca="false">Sens!J17980</f>
        <v>158.12717866615</v>
      </c>
      <c r="K18008" s="6" t="n">
        <f aca="false">Sens!K17980</f>
        <v>170.777352959442</v>
      </c>
    </row>
    <row r="18009" customFormat="false" ht="15" hidden="false" customHeight="false" outlineLevel="0" collapsed="false">
      <c r="A18009" s="0" t="s">
        <v>1036</v>
      </c>
      <c r="B18009" s="0" t="s">
        <v>98</v>
      </c>
      <c r="D18009" s="6" t="n">
        <f aca="false">Sens!D17987</f>
        <v>84.605</v>
      </c>
      <c r="E18009" s="6" t="n">
        <f aca="false">Sens!E17987</f>
        <v>100.299</v>
      </c>
      <c r="F18009" s="6" t="n">
        <f aca="false">Sens!F17987</f>
        <v>118.584003697747</v>
      </c>
      <c r="G18009" s="6" t="n">
        <f aca="false">Sens!G17987</f>
        <v>136.700726545688</v>
      </c>
      <c r="H18009" s="6" t="n">
        <f aca="false">Sens!H17987</f>
        <v>154.898624783666</v>
      </c>
      <c r="I18009" s="6" t="n">
        <f aca="false">Sens!I17987</f>
        <v>171.420510030657</v>
      </c>
      <c r="J18009" s="6" t="n">
        <f aca="false">Sens!J17987</f>
        <v>185.985722618572</v>
      </c>
      <c r="K18009" s="6" t="n">
        <f aca="false">Sens!K17987</f>
        <v>199.799723201872</v>
      </c>
    </row>
    <row r="18010" customFormat="false" ht="17.15" hidden="false" customHeight="false" outlineLevel="0" collapsed="false">
      <c r="A18010" s="0" t="s">
        <v>1057</v>
      </c>
      <c r="B18010" s="0" t="s">
        <v>98</v>
      </c>
      <c r="D18010" s="6" t="n">
        <f aca="false">Sens!D17985</f>
        <v>83.705</v>
      </c>
      <c r="E18010" s="6" t="n">
        <f aca="false">Sens!E17985</f>
        <v>95.049</v>
      </c>
      <c r="F18010" s="6" t="n">
        <f aca="false">Sens!F17985</f>
        <v>106.584003697747</v>
      </c>
      <c r="G18010" s="6" t="n">
        <f aca="false">Sens!G17985</f>
        <v>118.700726545688</v>
      </c>
      <c r="H18010" s="6" t="n">
        <f aca="false">Sens!H17985</f>
        <v>130.898624783666</v>
      </c>
      <c r="I18010" s="6" t="n">
        <f aca="false">Sens!I17985</f>
        <v>142.920510030657</v>
      </c>
      <c r="J18010" s="6" t="n">
        <f aca="false">Sens!J17985</f>
        <v>154.485722618572</v>
      </c>
      <c r="K18010" s="6" t="n">
        <f aca="false">Sens!K17985</f>
        <v>165.299723201872</v>
      </c>
    </row>
    <row r="18011" customFormat="false" ht="17.15" hidden="false" customHeight="false" outlineLevel="0" collapsed="false">
      <c r="A18011" s="0" t="s">
        <v>1058</v>
      </c>
      <c r="B18011" s="0" t="s">
        <v>98</v>
      </c>
      <c r="D18011" s="6" t="n">
        <f aca="false">Sens!D17984</f>
        <v>0.9</v>
      </c>
      <c r="E18011" s="6" t="n">
        <f aca="false">Sens!E17984</f>
        <v>5.25</v>
      </c>
      <c r="F18011" s="6" t="n">
        <f aca="false">Sens!F17984</f>
        <v>12</v>
      </c>
      <c r="G18011" s="6" t="n">
        <f aca="false">Sens!G17984</f>
        <v>18</v>
      </c>
      <c r="H18011" s="6" t="n">
        <f aca="false">Sens!H17984</f>
        <v>24</v>
      </c>
      <c r="I18011" s="6" t="n">
        <f aca="false">Sens!I17984</f>
        <v>28.5</v>
      </c>
      <c r="J18011" s="6" t="n">
        <f aca="false">Sens!J17984</f>
        <v>31.5</v>
      </c>
      <c r="K18011" s="6" t="n">
        <f aca="false">Sens!K17984</f>
        <v>34.5</v>
      </c>
    </row>
    <row r="18012" customFormat="false" ht="15" hidden="false" customHeight="false" outlineLevel="0" collapsed="false">
      <c r="A18012" s="0" t="s">
        <v>1037</v>
      </c>
      <c r="B18012" s="0" t="s">
        <v>98</v>
      </c>
      <c r="D18012" s="6" t="n">
        <f aca="false">Sens!D17988</f>
        <v>35.391</v>
      </c>
      <c r="E18012" s="6" t="n">
        <f aca="false">Sens!E17988</f>
        <v>37.285</v>
      </c>
      <c r="F18012" s="6" t="n">
        <f aca="false">Sens!F17988</f>
        <v>38.3851437782675</v>
      </c>
      <c r="G18012" s="6" t="n">
        <f aca="false">Sens!G17988</f>
        <v>40.0105353288615</v>
      </c>
      <c r="H18012" s="6" t="n">
        <f aca="false">Sens!H17988</f>
        <v>41.4812512033683</v>
      </c>
      <c r="I18012" s="6" t="n">
        <f aca="false">Sens!I17988</f>
        <v>42.7743107216329</v>
      </c>
      <c r="J18012" s="6" t="n">
        <f aca="false">Sens!J17988</f>
        <v>43.8687373064601</v>
      </c>
      <c r="K18012" s="6" t="n">
        <f aca="false">Sens!K17988</f>
        <v>44.7461120525893</v>
      </c>
    </row>
    <row r="18013" customFormat="false" ht="15" hidden="false" customHeight="false" outlineLevel="0" collapsed="false">
      <c r="A18013" s="0" t="s">
        <v>1039</v>
      </c>
      <c r="B18013" s="0" t="s">
        <v>98</v>
      </c>
      <c r="D18013" s="6" t="n">
        <f aca="false">Sens!D17990</f>
        <v>18.417</v>
      </c>
      <c r="E18013" s="6" t="n">
        <f aca="false">Sens!E17990</f>
        <v>20.345</v>
      </c>
      <c r="F18013" s="6" t="n">
        <f aca="false">Sens!F17990</f>
        <v>22.3161797133988</v>
      </c>
      <c r="G18013" s="6" t="n">
        <f aca="false">Sens!G17990</f>
        <v>24.3943499673233</v>
      </c>
      <c r="H18013" s="6" t="n">
        <f aca="false">Sens!H17990</f>
        <v>26.5250243109019</v>
      </c>
      <c r="I18013" s="6" t="n">
        <f aca="false">Sens!I17990</f>
        <v>28.6884573538181</v>
      </c>
      <c r="J18013" s="6" t="n">
        <f aca="false">Sens!J17990</f>
        <v>30.8624968052127</v>
      </c>
      <c r="K18013" s="6" t="n">
        <f aca="false">Sens!K17990</f>
        <v>33.0228715815776</v>
      </c>
    </row>
    <row r="18014" customFormat="false" ht="15" hidden="false" customHeight="false" outlineLevel="0" collapsed="false">
      <c r="A18014" s="0" t="s">
        <v>1040</v>
      </c>
      <c r="B18014" s="0" t="s">
        <v>98</v>
      </c>
      <c r="D18014" s="6" t="n">
        <f aca="false">Sens!D17992</f>
        <v>7.76</v>
      </c>
      <c r="E18014" s="6" t="n">
        <f aca="false">Sens!E17992</f>
        <v>8.26</v>
      </c>
      <c r="F18014" s="6" t="n">
        <f aca="false">Sens!F17992</f>
        <v>8.75372082474227</v>
      </c>
      <c r="G18014" s="6" t="n">
        <f aca="false">Sens!G17992</f>
        <v>9.33399324642364</v>
      </c>
      <c r="H18014" s="6" t="n">
        <f aca="false">Sens!H17992</f>
        <v>9.96139155535851</v>
      </c>
      <c r="I18014" s="6" t="n">
        <f aca="false">Sens!I17992</f>
        <v>10.6402039077391</v>
      </c>
      <c r="J18014" s="6" t="n">
        <f aca="false">Sens!J17992</f>
        <v>11.3751458271397</v>
      </c>
      <c r="K18014" s="6" t="n">
        <f aca="false">Sens!K17992</f>
        <v>12.1714060350394</v>
      </c>
    </row>
    <row r="18015" customFormat="false" ht="15" hidden="false" customHeight="false" outlineLevel="0" collapsed="false">
      <c r="A18015" s="0" t="s">
        <v>856</v>
      </c>
      <c r="B18015" s="0" t="s">
        <v>98</v>
      </c>
      <c r="D18015" s="6" t="n">
        <f aca="false">Sens!D17994</f>
        <v>218.783</v>
      </c>
      <c r="E18015" s="6" t="n">
        <f aca="false">Sens!E17994</f>
        <v>268.127</v>
      </c>
      <c r="F18015" s="6" t="n">
        <f aca="false">Sens!F17994</f>
        <v>334.748096014336</v>
      </c>
      <c r="G18015" s="6" t="n">
        <f aca="false">Sens!G17994</f>
        <v>410.20243494969</v>
      </c>
      <c r="H18015" s="6" t="n">
        <f aca="false">Sens!H17994</f>
        <v>487.012857962939</v>
      </c>
      <c r="I18015" s="6" t="n">
        <f aca="false">Sens!I17994</f>
        <v>556.962928978464</v>
      </c>
      <c r="J18015" s="6" t="n">
        <f aca="false">Sens!J17994</f>
        <v>613.402001017124</v>
      </c>
      <c r="K18015" s="6" t="n">
        <f aca="false">Sens!K17994</f>
        <v>657.837590767618</v>
      </c>
    </row>
    <row r="18016" customFormat="false" ht="15" hidden="false" customHeight="false" outlineLevel="0" collapsed="false">
      <c r="A18016" s="0" t="s">
        <v>1041</v>
      </c>
      <c r="B18016" s="0" t="s">
        <v>98</v>
      </c>
      <c r="D18016" s="6" t="n">
        <f aca="false">Sens!D17995</f>
        <v>22.171</v>
      </c>
      <c r="E18016" s="6" t="n">
        <f aca="false">Sens!E17995</f>
        <v>24.835</v>
      </c>
      <c r="F18016" s="6" t="n">
        <f aca="false">Sens!F17995</f>
        <v>27.5591895660247</v>
      </c>
      <c r="G18016" s="6" t="n">
        <f aca="false">Sens!G17995</f>
        <v>30.4098563144583</v>
      </c>
      <c r="H18016" s="6" t="n">
        <f aca="false">Sens!H17995</f>
        <v>33.3011792571777</v>
      </c>
      <c r="I18016" s="6" t="n">
        <f aca="false">Sens!I17995</f>
        <v>36.189023797112</v>
      </c>
      <c r="J18016" s="6" t="n">
        <f aca="false">Sens!J17995</f>
        <v>39.0247773769199</v>
      </c>
      <c r="K18016" s="6" t="n">
        <f aca="false">Sens!K17995</f>
        <v>41.7565117933043</v>
      </c>
    </row>
    <row r="18017" customFormat="false" ht="15" hidden="false" customHeight="false" outlineLevel="0" collapsed="false">
      <c r="A18017" s="0" t="s">
        <v>1042</v>
      </c>
      <c r="B18017" s="0" t="s">
        <v>98</v>
      </c>
      <c r="D18017" s="6" t="n">
        <f aca="false">Sens!D17997</f>
        <v>23.455</v>
      </c>
      <c r="E18017" s="6" t="n">
        <f aca="false">Sens!E17997</f>
        <v>21.79</v>
      </c>
      <c r="F18017" s="6" t="n">
        <f aca="false">Sens!F17997</f>
        <v>20.7520981041711</v>
      </c>
      <c r="G18017" s="6" t="n">
        <f aca="false">Sens!G17997</f>
        <v>19.9083593495882</v>
      </c>
      <c r="H18017" s="6" t="n">
        <f aca="false">Sens!H17997</f>
        <v>19.4008256265831</v>
      </c>
      <c r="I18017" s="6" t="n">
        <f aca="false">Sens!I17997</f>
        <v>19.200434522122</v>
      </c>
      <c r="J18017" s="6" t="n">
        <f aca="false">Sens!J17997</f>
        <v>19.2932782348507</v>
      </c>
      <c r="K18017" s="6" t="n">
        <f aca="false">Sens!K17997</f>
        <v>19.6791437995477</v>
      </c>
    </row>
    <row r="18018" customFormat="false" ht="15" hidden="false" customHeight="false" outlineLevel="0" collapsed="false">
      <c r="A18018" s="0" t="s">
        <v>1043</v>
      </c>
      <c r="B18018" s="0" t="s">
        <v>98</v>
      </c>
      <c r="D18018" s="6" t="n">
        <f aca="false">Sens!D17999</f>
        <v>17.315</v>
      </c>
      <c r="E18018" s="6" t="n">
        <f aca="false">Sens!E17999</f>
        <v>17.087</v>
      </c>
      <c r="F18018" s="6" t="n">
        <f aca="false">Sens!F17999</f>
        <v>15.9912273250553</v>
      </c>
      <c r="G18018" s="6" t="n">
        <f aca="false">Sens!G17999</f>
        <v>15.9574562664827</v>
      </c>
      <c r="H18018" s="6" t="n">
        <f aca="false">Sens!H17999</f>
        <v>16.0119687434196</v>
      </c>
      <c r="I18018" s="6" t="n">
        <f aca="false">Sens!I17999</f>
        <v>16.1551810001948</v>
      </c>
      <c r="J18018" s="6" t="n">
        <f aca="false">Sens!J17999</f>
        <v>16.3889793892005</v>
      </c>
      <c r="K18018" s="6" t="n">
        <f aca="false">Sens!K17999</f>
        <v>16.7167589769845</v>
      </c>
    </row>
    <row r="18019" customFormat="false" ht="15" hidden="false" customHeight="false" outlineLevel="0" collapsed="false">
      <c r="A18019" s="0" t="s">
        <v>870</v>
      </c>
      <c r="B18019" s="0" t="s">
        <v>98</v>
      </c>
      <c r="D18019" s="6" t="n">
        <f aca="false">Sens!D18001</f>
        <v>62.941</v>
      </c>
      <c r="E18019" s="6" t="n">
        <f aca="false">Sens!E18001</f>
        <v>63.712</v>
      </c>
      <c r="F18019" s="6" t="n">
        <f aca="false">Sens!F18001</f>
        <v>64.3025149952511</v>
      </c>
      <c r="G18019" s="6" t="n">
        <f aca="false">Sens!G18001</f>
        <v>66.2756719305292</v>
      </c>
      <c r="H18019" s="6" t="n">
        <f aca="false">Sens!H18001</f>
        <v>68.7139736271804</v>
      </c>
      <c r="I18019" s="6" t="n">
        <f aca="false">Sens!I18001</f>
        <v>71.5446393194289</v>
      </c>
      <c r="J18019" s="6" t="n">
        <f aca="false">Sens!J18001</f>
        <v>74.707035000971</v>
      </c>
      <c r="K18019" s="6" t="n">
        <f aca="false">Sens!K18001</f>
        <v>78.1524145698365</v>
      </c>
    </row>
    <row r="18020" customFormat="false" ht="15" hidden="false" customHeight="false" outlineLevel="0" collapsed="false">
      <c r="A18020" s="1" t="s">
        <v>1059</v>
      </c>
      <c r="B18020" s="0" t="s">
        <v>98</v>
      </c>
      <c r="D18020" s="6" t="n">
        <f aca="false">Sens!D18002</f>
        <v>281.724</v>
      </c>
      <c r="E18020" s="6" t="n">
        <f aca="false">Sens!E18002</f>
        <v>331.839</v>
      </c>
      <c r="F18020" s="6" t="n">
        <f aca="false">Sens!F18002</f>
        <v>399.050611009588</v>
      </c>
      <c r="G18020" s="6" t="n">
        <f aca="false">Sens!G18002</f>
        <v>476.478106880219</v>
      </c>
      <c r="H18020" s="6" t="n">
        <f aca="false">Sens!H18002</f>
        <v>555.72683159012</v>
      </c>
      <c r="I18020" s="6" t="n">
        <f aca="false">Sens!I18002</f>
        <v>628.507568297893</v>
      </c>
      <c r="J18020" s="6" t="n">
        <f aca="false">Sens!J18002</f>
        <v>688.109036018095</v>
      </c>
      <c r="K18020" s="6" t="n">
        <f aca="false">Sens!K18002</f>
        <v>735.990005337455</v>
      </c>
    </row>
    <row r="18021" customFormat="false" ht="15" hidden="false" customHeight="false" outlineLevel="0" collapsed="false">
      <c r="A18021" s="1" t="s">
        <v>1060</v>
      </c>
      <c r="B18021" s="0" t="s">
        <v>168</v>
      </c>
      <c r="E18021" s="7" t="n">
        <f aca="false">Sens!E18020/Sens!D18020-1</f>
        <v>0.177886867998467</v>
      </c>
      <c r="F18021" s="7" t="n">
        <f aca="false">Sens!F18020/Sens!E18020-1</f>
        <v>0.202542832547071</v>
      </c>
      <c r="G18021" s="7" t="n">
        <f aca="false">Sens!G18020/Sens!F18020-1</f>
        <v>0.194029262791359</v>
      </c>
      <c r="H18021" s="7" t="n">
        <f aca="false">Sens!H18020/Sens!G18020-1</f>
        <v>0.166321859421387</v>
      </c>
      <c r="I18021" s="7" t="n">
        <f aca="false">Sens!I18020/Sens!H18020-1</f>
        <v>0.13096494999085</v>
      </c>
      <c r="J18021" s="7" t="n">
        <f aca="false">Sens!J18020/Sens!I18020-1</f>
        <v>0.0948301511811749</v>
      </c>
      <c r="K18021" s="7" t="n">
        <f aca="false">Sens!K18020/Sens!J18020-1</f>
        <v>0.0695834043924704</v>
      </c>
    </row>
    <row r="18022" customFormat="false" ht="17.15" hidden="false" customHeight="false" outlineLevel="0" collapsed="false">
      <c r="A18022" s="26" t="s">
        <v>1061</v>
      </c>
      <c r="B18022" s="31" t="s">
        <v>98</v>
      </c>
      <c r="C18022" s="31"/>
      <c r="D18022" s="27" t="n">
        <f aca="false">(Sens!D18015+Sens!D18019-Sens!D18020)+(Sens!D18007+Sens!D18008-Sens!D18006)+(Sens!D18010+Sens!D18011-Sens!D18009)+(Sens!D18020-Q!L18)</f>
        <v>0</v>
      </c>
      <c r="E18022" s="27" t="n">
        <f aca="false">(Sens!E18015+Sens!E18019-Sens!E18020)+(Sens!E18007+Sens!E18008-Sens!E18006)+(Sens!E18010+Sens!E18011-Sens!E18009)+(Sens!E18020-Q!M18)</f>
        <v>0</v>
      </c>
      <c r="F18022" s="27" t="n">
        <f aca="false">(Sens!F18015+Sens!F18019-Sens!F18020)+(Sens!F18007+Sens!F18008-Sens!F18006)+(Sens!F18010+Sens!F18011-Sens!F18009)</f>
        <v>0</v>
      </c>
      <c r="G18022" s="27" t="n">
        <f aca="false">(Sens!G18015+Sens!G18019-Sens!G18020)+(Sens!G18007+Sens!G18008-Sens!G18006)+(Sens!G18010+Sens!G18011-Sens!G18009)</f>
        <v>0</v>
      </c>
      <c r="H18022" s="27" t="n">
        <f aca="false">(Sens!H18015+Sens!H18019-Sens!H18020)+(Sens!H18007+Sens!H18008-Sens!H18006)+(Sens!H18010+Sens!H18011-Sens!H18009)</f>
        <v>0</v>
      </c>
      <c r="I18022" s="27" t="n">
        <f aca="false">(Sens!I18015+Sens!I18019-Sens!I18020)+(Sens!I18007+Sens!I18008-Sens!I18006)+(Sens!I18010+Sens!I18011-Sens!I18009)</f>
        <v>0</v>
      </c>
      <c r="J18022" s="27" t="n">
        <f aca="false">(Sens!J18015+Sens!J18019-Sens!J18020)+(Sens!J18007+Sens!J18008-Sens!J18006)+(Sens!J18010+Sens!J18011-Sens!J18009)</f>
        <v>0</v>
      </c>
      <c r="K18022" s="27" t="n">
        <f aca="false">(Sens!K18015+Sens!K18019-Sens!K18020)+(Sens!K18007+Sens!K18008-Sens!K18006)+(Sens!K18010+Sens!K18011-Sens!K18009)</f>
        <v>0</v>
      </c>
    </row>
    <row r="18023" customFormat="false" ht="17.15" hidden="false" customHeight="false" outlineLevel="0" collapsed="false">
      <c r="A18023" s="0" t="s">
        <v>1062</v>
      </c>
      <c r="B18023" s="0" t="s">
        <v>168</v>
      </c>
      <c r="E18023" s="7" t="n">
        <f aca="false">(Q!M21+Sens!E17959+Sens!E17960+Sens!E17961+Sens!E17975-Sens!E17957)/(Q!M5-Sens!E17957)</f>
        <v>0.570957350878296</v>
      </c>
      <c r="F18023" s="7" t="n">
        <f aca="false">Sens!$E$18023+dm_seg</f>
        <v>0.570957350878296</v>
      </c>
      <c r="G18023" s="7" t="n">
        <f aca="false">Sens!$E$18023+dm_seg</f>
        <v>0.570957350878296</v>
      </c>
      <c r="H18023" s="7" t="n">
        <f aca="false">Sens!$E$18023+dm_seg</f>
        <v>0.570957350878296</v>
      </c>
      <c r="I18023" s="7" t="n">
        <f aca="false">Sens!$E$18023+dm_seg</f>
        <v>0.570957350878296</v>
      </c>
      <c r="J18023" s="7" t="n">
        <f aca="false">Sens!$E$18023+dm_seg</f>
        <v>0.570957350878296</v>
      </c>
      <c r="K18023" s="7" t="n">
        <f aca="false">Sens!$E$18023+dm_seg</f>
        <v>0.570957350878296</v>
      </c>
      <c r="L18023" s="12" t="s">
        <v>1063</v>
      </c>
    </row>
    <row r="18024" customFormat="false" ht="17.15" hidden="false" customHeight="false" outlineLevel="0" collapsed="false">
      <c r="A18024" s="0" t="s">
        <v>884</v>
      </c>
      <c r="B18024" s="0" t="s">
        <v>98</v>
      </c>
      <c r="D18024" s="6" t="n">
        <f aca="false">Q!L21</f>
        <v>110.814</v>
      </c>
      <c r="E18024" s="6" t="n">
        <f aca="false">Q!M21</f>
        <v>136.365</v>
      </c>
      <c r="F18024" s="6" t="n">
        <f aca="false">Q!$I$21+(Sens!F18023*(Sens!F17994-Sens!F17957)+Sens!F17957-(Sens!F17959+Sens!F17960+Sens!F17961)-Sens!F17975-Sens!F18058)*(Sens!F17994-Q!$I$5)/Sens!F17994</f>
        <v>162.089887407448</v>
      </c>
      <c r="G18024" s="6" t="n">
        <f aca="false">(Sens!G18023*(Sens!G17994-Sens!G17957)+Sens!G17957-(Sens!G17959+Sens!G17960+Sens!G17961)-Sens!G17975-Sens!G18058)</f>
        <v>177.568901713564</v>
      </c>
      <c r="H18024" s="6" t="n">
        <f aca="false">(Sens!H18023*(Sens!H17994-Sens!H17957)+Sens!H17957-(Sens!H17959+Sens!H17960+Sens!H17961)-Sens!H17975-Sens!H18058)</f>
        <v>196.763684351161</v>
      </c>
      <c r="I18024" s="6" t="n">
        <f aca="false">(Sens!I18023*(Sens!I17994-Sens!I17957)+Sens!I17957-(Sens!I17959+Sens!I17960+Sens!I17961)-Sens!I17975-Sens!I18058)</f>
        <v>214.975581329514</v>
      </c>
      <c r="J18024" s="6" t="n">
        <f aca="false">(Sens!J18023*(Sens!J17994-Sens!J17957)+Sens!J17957-(Sens!J17959+Sens!J17960+Sens!J17961)-Sens!J17975-Sens!J18058)</f>
        <v>231.957074553261</v>
      </c>
      <c r="K18024" s="6" t="n">
        <f aca="false">(Sens!K18023*(Sens!K17994-Sens!K17957)+Sens!K17957-(Sens!K17959+Sens!K17960+Sens!K17961)-Sens!K17975-Sens!K18058)</f>
        <v>248.339744195063</v>
      </c>
      <c r="L18024" s="1" t="s">
        <v>1064</v>
      </c>
    </row>
    <row r="18025" customFormat="false" ht="17.15" hidden="false" customHeight="false" outlineLevel="0" collapsed="false">
      <c r="A18025" s="0" t="s">
        <v>1065</v>
      </c>
      <c r="B18025" s="0" t="s">
        <v>168</v>
      </c>
      <c r="E18025" s="7" t="n">
        <f aca="false">Q!M22/Q!M12</f>
        <v>0.296207935710698</v>
      </c>
      <c r="F18025" s="7" t="n">
        <f aca="false">Sens!$E$18025+dm_seg</f>
        <v>0.296207935710698</v>
      </c>
      <c r="G18025" s="7" t="n">
        <f aca="false">Sens!$E$18025+dm_seg</f>
        <v>0.296207935710698</v>
      </c>
      <c r="H18025" s="7" t="n">
        <f aca="false">Sens!$E$18025+dm_seg</f>
        <v>0.296207935710698</v>
      </c>
      <c r="I18025" s="7" t="n">
        <f aca="false">Sens!$E$18025+dm_seg</f>
        <v>0.296207935710698</v>
      </c>
      <c r="J18025" s="7" t="n">
        <f aca="false">Sens!$E$18025+dm_seg</f>
        <v>0.296207935710698</v>
      </c>
      <c r="K18025" s="7" t="n">
        <f aca="false">Sens!$E$18025+dm_seg</f>
        <v>0.296207935710698</v>
      </c>
      <c r="L18025" s="12" t="s">
        <v>1066</v>
      </c>
    </row>
    <row r="18026" customFormat="false" ht="17.15" hidden="false" customHeight="false" outlineLevel="0" collapsed="false">
      <c r="A18026" s="0" t="s">
        <v>886</v>
      </c>
      <c r="B18026" s="0" t="s">
        <v>98</v>
      </c>
      <c r="D18026" s="6" t="n">
        <f aca="false">Q!L22</f>
        <v>17.714</v>
      </c>
      <c r="E18026" s="6" t="n">
        <f aca="false">Q!M22</f>
        <v>18.872</v>
      </c>
      <c r="F18026" s="6" t="n">
        <f aca="false">Q!$I$22+(Sens!F18001-Q!$I$12)*Sens!F18025</f>
        <v>19.8174315512051</v>
      </c>
      <c r="G18026" s="6" t="n">
        <f aca="false">Sens!G18001*Sens!G18025</f>
        <v>19.6313799703815</v>
      </c>
      <c r="H18026" s="6" t="n">
        <f aca="false">Sens!H18001*Sens!H18025</f>
        <v>20.3536242825865</v>
      </c>
      <c r="I18026" s="6" t="n">
        <f aca="false">Sens!I18001*Sens!I18025</f>
        <v>21.1920899239745</v>
      </c>
      <c r="J18026" s="6" t="n">
        <f aca="false">Sens!J18001*Sens!J18025</f>
        <v>22.1288166207045</v>
      </c>
      <c r="K18026" s="6" t="n">
        <f aca="false">Sens!K18001*Sens!K18025</f>
        <v>23.1493653905379</v>
      </c>
      <c r="L18026" s="12" t="s">
        <v>1067</v>
      </c>
    </row>
    <row r="18027" customFormat="false" ht="15" hidden="false" customHeight="false" outlineLevel="0" collapsed="false">
      <c r="A18027" s="1" t="s">
        <v>1068</v>
      </c>
      <c r="B18027" s="0" t="s">
        <v>98</v>
      </c>
      <c r="D18027" s="6" t="n">
        <f aca="false">Sens!D18024+Sens!D18026</f>
        <v>128.528</v>
      </c>
      <c r="E18027" s="6" t="n">
        <f aca="false">Sens!E18024+Sens!E18026</f>
        <v>155.237</v>
      </c>
      <c r="F18027" s="6" t="n">
        <f aca="false">Sens!F18024+Sens!F18026</f>
        <v>181.907318958653</v>
      </c>
      <c r="G18027" s="6" t="n">
        <f aca="false">Sens!G18024+Sens!G18026</f>
        <v>197.200281683945</v>
      </c>
      <c r="H18027" s="6" t="n">
        <f aca="false">Sens!H18024+Sens!H18026</f>
        <v>217.117308633747</v>
      </c>
      <c r="I18027" s="6" t="n">
        <f aca="false">Sens!I18024+Sens!I18026</f>
        <v>236.167671253488</v>
      </c>
      <c r="J18027" s="6" t="n">
        <f aca="false">Sens!J18024+Sens!J18026</f>
        <v>254.085891173966</v>
      </c>
      <c r="K18027" s="6" t="n">
        <f aca="false">Sens!K18024+Sens!K18026</f>
        <v>271.489109585601</v>
      </c>
    </row>
    <row r="18028" customFormat="false" ht="15" hidden="false" customHeight="false" outlineLevel="0" collapsed="false">
      <c r="A18028" s="26" t="s">
        <v>1069</v>
      </c>
      <c r="B18028" s="31" t="s">
        <v>98</v>
      </c>
      <c r="C18028" s="31"/>
      <c r="D18028" s="27" t="n">
        <f aca="false">Sens!D18027-Q!L23</f>
        <v>0</v>
      </c>
      <c r="E18028" s="27" t="n">
        <f aca="false">Sens!E18027-Q!M23</f>
        <v>0</v>
      </c>
      <c r="F18028" s="31"/>
      <c r="G18028" s="31"/>
      <c r="H18028" s="31"/>
      <c r="I18028" s="31"/>
      <c r="J18028" s="31"/>
      <c r="K18028" s="31"/>
    </row>
    <row r="18029" customFormat="false" ht="15" hidden="false" customHeight="false" outlineLevel="0" collapsed="false">
      <c r="A18029" s="1" t="s">
        <v>1070</v>
      </c>
      <c r="B18029" s="0" t="s">
        <v>168</v>
      </c>
      <c r="D18029" s="7" t="n">
        <f aca="false">Sens!D18027/Sens!D18020</f>
        <v>0.456219562408598</v>
      </c>
      <c r="E18029" s="7" t="n">
        <f aca="false">Sens!E18027/Sens!E18020</f>
        <v>0.467808184089272</v>
      </c>
      <c r="F18029" s="7" t="n">
        <f aca="false">Sens!F18027/Sens!F18020</f>
        <v>0.4558502454073</v>
      </c>
      <c r="G18029" s="7" t="n">
        <f aca="false">Sens!G18027/Sens!G18020</f>
        <v>0.413870603573228</v>
      </c>
      <c r="H18029" s="7" t="n">
        <f aca="false">Sens!H18027/Sens!H18020</f>
        <v>0.390690706821735</v>
      </c>
      <c r="I18029" s="7" t="n">
        <f aca="false">Sens!I18027/Sens!I18020</f>
        <v>0.375759470793758</v>
      </c>
      <c r="J18029" s="7" t="n">
        <f aca="false">Sens!J18027/Sens!J18020</f>
        <v>0.369252368264619</v>
      </c>
      <c r="K18029" s="7" t="n">
        <f aca="false">Sens!K18027/Sens!K18020</f>
        <v>0.368876082034731</v>
      </c>
    </row>
    <row r="18030" customFormat="false" ht="17.15" hidden="false" customHeight="false" outlineLevel="0" collapsed="false">
      <c r="A18030" s="1" t="s">
        <v>1071</v>
      </c>
      <c r="B18030" s="0" t="s">
        <v>98</v>
      </c>
      <c r="F18030" s="6" t="n">
        <f aca="false">Sens!F18045</f>
        <v>9.7398427716299</v>
      </c>
      <c r="G18030" s="6" t="n">
        <f aca="false">Sens!G18045</f>
        <v>25.2753385959797</v>
      </c>
      <c r="H18030" s="6" t="n">
        <f aca="false">Sens!H18045</f>
        <v>42.2840253697948</v>
      </c>
      <c r="I18030" s="6" t="n">
        <f aca="false">Sens!I18045</f>
        <v>57.704943641581</v>
      </c>
      <c r="J18030" s="6" t="n">
        <f aca="false">Sens!J18045</f>
        <v>68.4828520908201</v>
      </c>
      <c r="K18030" s="6" t="n">
        <f aca="false">Sens!K18045</f>
        <v>74.3598374943249</v>
      </c>
      <c r="L18030" s="1" t="s">
        <v>1072</v>
      </c>
    </row>
    <row r="18031" customFormat="false" ht="17.15" hidden="false" customHeight="false" outlineLevel="0" collapsed="false">
      <c r="A18031" s="1" t="s">
        <v>1073</v>
      </c>
      <c r="B18031" s="0" t="s">
        <v>98</v>
      </c>
      <c r="D18031" s="6" t="n">
        <f aca="false">Sens!D18027</f>
        <v>128.528</v>
      </c>
      <c r="E18031" s="6" t="n">
        <f aca="false">Sens!E18027</f>
        <v>155.237</v>
      </c>
      <c r="F18031" s="6" t="n">
        <f aca="false">Sens!F18027+Sens!F18030</f>
        <v>191.647161730283</v>
      </c>
      <c r="G18031" s="6" t="n">
        <f aca="false">Sens!G18027+Sens!G18030</f>
        <v>222.475620279925</v>
      </c>
      <c r="H18031" s="6" t="n">
        <f aca="false">Sens!H18027+Sens!H18030</f>
        <v>259.401334003542</v>
      </c>
      <c r="I18031" s="6" t="n">
        <f aca="false">Sens!I18027+Sens!I18030</f>
        <v>293.872614895069</v>
      </c>
      <c r="J18031" s="6" t="n">
        <f aca="false">Sens!J18027+Sens!J18030</f>
        <v>322.568743264786</v>
      </c>
      <c r="K18031" s="6" t="n">
        <f aca="false">Sens!K18027+Sens!K18030</f>
        <v>345.848947079926</v>
      </c>
    </row>
    <row r="18032" customFormat="false" ht="17.15" hidden="false" customHeight="false" outlineLevel="0" collapsed="false">
      <c r="A18032" s="1" t="s">
        <v>1074</v>
      </c>
      <c r="B18032" s="0" t="s">
        <v>98</v>
      </c>
      <c r="E18032" s="6" t="n">
        <f aca="false">Sens!E17975</f>
        <v>16.3054059770833</v>
      </c>
      <c r="F18032" s="6" t="n">
        <f aca="false">Sens!F17975</f>
        <v>34.5793160999064</v>
      </c>
      <c r="G18032" s="6" t="n">
        <f aca="false">Sens!G17975</f>
        <v>60.7344938954086</v>
      </c>
      <c r="H18032" s="6" t="n">
        <f aca="false">Sens!H17975</f>
        <v>89.1000939045553</v>
      </c>
      <c r="I18032" s="6" t="n">
        <f aca="false">Sens!I17975</f>
        <v>114.231012937658</v>
      </c>
      <c r="J18032" s="6" t="n">
        <f aca="false">Sens!J17975</f>
        <v>132.015676292706</v>
      </c>
      <c r="K18032" s="6" t="n">
        <f aca="false">Sens!K17975</f>
        <v>143.012672794044</v>
      </c>
    </row>
    <row r="18033" customFormat="false" ht="17.15" hidden="false" customHeight="false" outlineLevel="0" collapsed="false">
      <c r="A18033" s="1" t="s">
        <v>1075</v>
      </c>
      <c r="B18033" s="0" t="s">
        <v>98</v>
      </c>
      <c r="E18033" s="6" t="n">
        <f aca="false">Sens!E18057</f>
        <v>22.2285940229167</v>
      </c>
      <c r="F18033" s="6" t="n">
        <f aca="false">Sens!F18057</f>
        <v>23.5803422705473</v>
      </c>
      <c r="G18033" s="6" t="n">
        <f aca="false">Sens!G18057</f>
        <v>25.3583487889173</v>
      </c>
      <c r="H18033" s="6" t="n">
        <f aca="false">Sens!H18057</f>
        <v>27.5285684068818</v>
      </c>
      <c r="I18033" s="6" t="n">
        <f aca="false">Sens!I18057</f>
        <v>30.0244509342793</v>
      </c>
      <c r="J18033" s="6" t="n">
        <f aca="false">Sens!J18057</f>
        <v>32.7625773200223</v>
      </c>
      <c r="K18033" s="6" t="n">
        <f aca="false">Sens!K18057</f>
        <v>35.6585672940919</v>
      </c>
    </row>
    <row r="18034" customFormat="false" ht="17.15" hidden="false" customHeight="false" outlineLevel="0" collapsed="false">
      <c r="A18034" s="1" t="s">
        <v>1076</v>
      </c>
      <c r="B18034" s="0" t="s">
        <v>98</v>
      </c>
      <c r="D18034" s="6" t="n">
        <f aca="false">Q!L27</f>
        <v>-4.901</v>
      </c>
      <c r="E18034" s="6" t="n">
        <f aca="false">Q!M27</f>
        <v>10.697</v>
      </c>
      <c r="F18034" s="6" t="n">
        <f aca="false">Q!$I$27+oie_f*(q_per_yr-1)/q_per_yr</f>
        <v>-0.862</v>
      </c>
      <c r="G18034" s="6" t="n">
        <f aca="false">oie_f</f>
        <v>-1.2</v>
      </c>
      <c r="H18034" s="6" t="n">
        <f aca="false">oie_f</f>
        <v>-1.2</v>
      </c>
      <c r="I18034" s="6" t="n">
        <f aca="false">oie_f</f>
        <v>-1.2</v>
      </c>
      <c r="J18034" s="6" t="n">
        <f aca="false">oie_f</f>
        <v>-1.2</v>
      </c>
      <c r="K18034" s="6" t="n">
        <f aca="false">oie_f</f>
        <v>-1.2</v>
      </c>
      <c r="L18034" s="12" t="s">
        <v>1077</v>
      </c>
    </row>
    <row r="18035" customFormat="false" ht="15" hidden="false" customHeight="false" outlineLevel="0" collapsed="false">
      <c r="A18035" s="1" t="s">
        <v>1078</v>
      </c>
      <c r="B18035" s="0" t="s">
        <v>98</v>
      </c>
      <c r="D18035" s="6" t="n">
        <f aca="false">Sens!D18027+Sens!D18034</f>
        <v>123.627</v>
      </c>
      <c r="E18035" s="6" t="n">
        <f aca="false">Sens!E18027+Sens!E18034</f>
        <v>165.934</v>
      </c>
      <c r="F18035" s="6" t="n">
        <f aca="false">Sens!F18027+Sens!F18034</f>
        <v>181.045318958653</v>
      </c>
      <c r="G18035" s="6" t="n">
        <f aca="false">Sens!G18027+Sens!G18034</f>
        <v>196.000281683945</v>
      </c>
      <c r="H18035" s="6" t="n">
        <f aca="false">Sens!H18027+Sens!H18034</f>
        <v>215.917308633747</v>
      </c>
      <c r="I18035" s="6" t="n">
        <f aca="false">Sens!I18027+Sens!I18034</f>
        <v>234.967671253488</v>
      </c>
      <c r="J18035" s="6" t="n">
        <f aca="false">Sens!J18027+Sens!J18034</f>
        <v>252.885891173966</v>
      </c>
      <c r="K18035" s="6" t="n">
        <f aca="false">Sens!K18027+Sens!K18034</f>
        <v>270.289109585601</v>
      </c>
    </row>
    <row r="18036" customFormat="false" ht="15" hidden="false" customHeight="false" outlineLevel="0" collapsed="false">
      <c r="A18036" s="1" t="s">
        <v>1079</v>
      </c>
      <c r="B18036" s="0" t="s">
        <v>98</v>
      </c>
      <c r="D18036" s="6" t="n">
        <f aca="false">Q!L29</f>
        <v>21.795</v>
      </c>
      <c r="E18036" s="6" t="n">
        <f aca="false">Q!M29</f>
        <v>32.185</v>
      </c>
      <c r="F18036" s="6" t="n">
        <f aca="false">Q!$I$29+(Sens!F18035-Q!$I$28)*tax_f</f>
        <v>36.3424637917307</v>
      </c>
      <c r="G18036" s="6" t="n">
        <f aca="false">Sens!G18035*tax_f</f>
        <v>39.200056336789</v>
      </c>
      <c r="H18036" s="6" t="n">
        <f aca="false">Sens!H18035*tax_f</f>
        <v>43.1834617267494</v>
      </c>
      <c r="I18036" s="6" t="n">
        <f aca="false">Sens!I18035*tax_f</f>
        <v>46.9935342506976</v>
      </c>
      <c r="J18036" s="6" t="n">
        <f aca="false">Sens!J18035*tax_f</f>
        <v>50.5771782347931</v>
      </c>
      <c r="K18036" s="6" t="n">
        <f aca="false">Sens!K18035*tax_f</f>
        <v>54.0578219171202</v>
      </c>
    </row>
    <row r="18037" customFormat="false" ht="15" hidden="false" customHeight="false" outlineLevel="0" collapsed="false">
      <c r="A18037" s="1" t="s">
        <v>1080</v>
      </c>
      <c r="B18037" s="0" t="s">
        <v>98</v>
      </c>
      <c r="D18037" s="6" t="n">
        <f aca="false">Sens!D18035-Sens!D18036</f>
        <v>101.832</v>
      </c>
      <c r="E18037" s="6" t="n">
        <f aca="false">Sens!E18035-Sens!E18036</f>
        <v>133.749</v>
      </c>
      <c r="F18037" s="6" t="n">
        <f aca="false">Sens!F18035-Sens!F18036</f>
        <v>144.702855166923</v>
      </c>
      <c r="G18037" s="6" t="n">
        <f aca="false">Sens!G18035-Sens!G18036</f>
        <v>156.800225347156</v>
      </c>
      <c r="H18037" s="6" t="n">
        <f aca="false">Sens!H18035-Sens!H18036</f>
        <v>172.733846906998</v>
      </c>
      <c r="I18037" s="6" t="n">
        <f aca="false">Sens!I18035-Sens!I18036</f>
        <v>187.974137002791</v>
      </c>
      <c r="J18037" s="6" t="n">
        <f aca="false">Sens!J18035-Sens!J18036</f>
        <v>202.308712939173</v>
      </c>
      <c r="K18037" s="6" t="n">
        <f aca="false">Sens!K18035-Sens!K18036</f>
        <v>216.231287668481</v>
      </c>
    </row>
    <row r="18038" customFormat="false" ht="17.15" hidden="false" customHeight="false" outlineLevel="0" collapsed="false">
      <c r="A18038" s="1" t="s">
        <v>1081</v>
      </c>
      <c r="B18038" s="1" t="s">
        <v>81</v>
      </c>
      <c r="D18038" s="15" t="n">
        <f aca="false">Q!L31</f>
        <v>7.465</v>
      </c>
      <c r="E18038" s="15" t="n">
        <f aca="false">Q!M31</f>
        <v>7.453</v>
      </c>
      <c r="F18038" s="15" t="n">
        <f aca="false">Sens!F18082</f>
        <v>7.47325460595307</v>
      </c>
      <c r="G18038" s="15" t="n">
        <f aca="false">Sens!G18082</f>
        <v>7.51800921190614</v>
      </c>
      <c r="H18038" s="15" t="n">
        <f aca="false">Sens!H18082</f>
        <v>7.54570915093494</v>
      </c>
      <c r="I18038" s="15" t="n">
        <f aca="false">Sens!I18082</f>
        <v>7.55739051499041</v>
      </c>
      <c r="J18038" s="15" t="n">
        <f aca="false">Sens!J18082</f>
        <v>7.57153992615288</v>
      </c>
      <c r="K18038" s="15" t="n">
        <f aca="false">Sens!K18082</f>
        <v>7.58797456611813</v>
      </c>
    </row>
    <row r="18039" customFormat="false" ht="17.15" hidden="false" customHeight="false" outlineLevel="0" collapsed="false">
      <c r="A18039" s="0" t="s">
        <v>1082</v>
      </c>
      <c r="B18039" s="0" t="s">
        <v>75</v>
      </c>
      <c r="D18039" s="8" t="n">
        <f aca="false">Sens!D18037/Sens!D18038</f>
        <v>13.641259209645</v>
      </c>
      <c r="E18039" s="8" t="n">
        <f aca="false">Sens!E18037/Sens!E18038</f>
        <v>17.9456594659869</v>
      </c>
      <c r="F18039" s="8" t="n">
        <f aca="false">Sens!F18037/Sens!F18038</f>
        <v>19.3627626511821</v>
      </c>
      <c r="G18039" s="8" t="n">
        <f aca="false">Sens!G18037/Sens!G18038</f>
        <v>20.8566152192038</v>
      </c>
      <c r="H18039" s="8" t="n">
        <f aca="false">Sens!H18037/Sens!H18038</f>
        <v>22.8916651108393</v>
      </c>
      <c r="I18039" s="8" t="n">
        <f aca="false">Sens!I18037/Sens!I18038</f>
        <v>24.8728892108904</v>
      </c>
      <c r="J18039" s="8" t="n">
        <f aca="false">Sens!J18037/Sens!J18038</f>
        <v>26.7196257184589</v>
      </c>
      <c r="K18039" s="8" t="n">
        <f aca="false">Sens!K18037/Sens!K18038</f>
        <v>28.4965751775181</v>
      </c>
      <c r="L18039" s="1" t="s">
        <v>1083</v>
      </c>
    </row>
    <row r="18040" customFormat="false" ht="17.15" hidden="false" customHeight="false" outlineLevel="0" collapsed="false">
      <c r="A18040" s="1" t="s">
        <v>1084</v>
      </c>
      <c r="B18040" s="0" t="s">
        <v>98</v>
      </c>
      <c r="D18040" s="6" t="n">
        <f aca="false">Sens!D18037</f>
        <v>101.832</v>
      </c>
      <c r="E18040" s="6" t="n">
        <f aca="false">Sens!E18037</f>
        <v>133.749</v>
      </c>
      <c r="F18040" s="6" t="n">
        <f aca="false">Sens!F18037+Sens!F18030*(1-tax_f)</f>
        <v>152.494729384227</v>
      </c>
      <c r="G18040" s="6" t="n">
        <f aca="false">Sens!G18037+Sens!G18030*(1-tax_f)</f>
        <v>177.02049622394</v>
      </c>
      <c r="H18040" s="6" t="n">
        <f aca="false">Sens!H18037+Sens!H18030*(1-tax_f)</f>
        <v>206.561067202834</v>
      </c>
      <c r="I18040" s="6" t="n">
        <f aca="false">Sens!I18037+Sens!I18030*(1-tax_f)</f>
        <v>234.138091916055</v>
      </c>
      <c r="J18040" s="6" t="n">
        <f aca="false">Sens!J18037+Sens!J18030*(1-tax_f)</f>
        <v>257.094994611829</v>
      </c>
      <c r="K18040" s="6" t="n">
        <f aca="false">Sens!K18037+Sens!K18030*(1-tax_f)</f>
        <v>275.719157663941</v>
      </c>
    </row>
    <row r="18041" customFormat="false" ht="17.15" hidden="false" customHeight="false" outlineLevel="0" collapsed="false">
      <c r="A18041" s="0" t="s">
        <v>1085</v>
      </c>
      <c r="B18041" s="0" t="s">
        <v>75</v>
      </c>
      <c r="D18041" s="8" t="n">
        <f aca="false">Sens!D18040/Sens!D18038</f>
        <v>13.641259209645</v>
      </c>
      <c r="E18041" s="8" t="n">
        <f aca="false">Sens!E18040/Sens!E18038</f>
        <v>17.9456594659869</v>
      </c>
      <c r="F18041" s="8" t="n">
        <f aca="false">Sens!F18040/Sens!F18038</f>
        <v>20.4053973034388</v>
      </c>
      <c r="G18041" s="8" t="n">
        <f aca="false">Sens!G18040/Sens!G18038</f>
        <v>23.5461930458393</v>
      </c>
      <c r="H18041" s="8" t="n">
        <f aca="false">Sens!H18040/Sens!H18038</f>
        <v>27.3746394236836</v>
      </c>
      <c r="I18041" s="8" t="n">
        <f aca="false">Sens!I18040/Sens!I18038</f>
        <v>30.981340907504</v>
      </c>
      <c r="J18041" s="8" t="n">
        <f aca="false">Sens!J18040/Sens!J18038</f>
        <v>33.9554432941437</v>
      </c>
      <c r="K18041" s="8" t="n">
        <f aca="false">Sens!K18040/Sens!K18038</f>
        <v>36.336331291236</v>
      </c>
      <c r="L18041" s="1" t="s">
        <v>1086</v>
      </c>
    </row>
    <row r="18042" customFormat="false" ht="17.15" hidden="false" customHeight="false" outlineLevel="0" collapsed="false">
      <c r="A18042" s="0" t="s">
        <v>1087</v>
      </c>
      <c r="B18042" s="0" t="s">
        <v>168</v>
      </c>
      <c r="E18042" s="7" t="n">
        <f aca="false">Sens!E18041/Sens!D18041-1</f>
        <v>0.315542736208578</v>
      </c>
      <c r="F18042" s="7" t="n">
        <f aca="false">Sens!F18041/Sens!E18041-1</f>
        <v>0.137065892848019</v>
      </c>
      <c r="G18042" s="7" t="n">
        <f aca="false">Sens!G18041/Sens!F18041-1</f>
        <v>0.153919852463306</v>
      </c>
      <c r="H18042" s="7" t="n">
        <f aca="false">Sens!H18041/Sens!G18041-1</f>
        <v>0.162593009001123</v>
      </c>
      <c r="I18042" s="7" t="n">
        <f aca="false">Sens!I18041/Sens!H18041-1</f>
        <v>0.131753387798053</v>
      </c>
      <c r="J18042" s="7" t="n">
        <f aca="false">Sens!J18041/Sens!I18041-1</f>
        <v>0.0959965675959249</v>
      </c>
      <c r="K18042" s="7" t="n">
        <f aca="false">Sens!K18041/Sens!J18041-1</f>
        <v>0.0701180066025802</v>
      </c>
    </row>
    <row r="18043" customFormat="false" ht="17.15" hidden="false" customHeight="false" outlineLevel="0" collapsed="false">
      <c r="A18043" s="0" t="s">
        <v>1007</v>
      </c>
      <c r="B18043" s="0" t="s">
        <v>98</v>
      </c>
      <c r="E18043" s="6" t="n">
        <f aca="false">Sens!E17984</f>
        <v>5.25</v>
      </c>
      <c r="F18043" s="6" t="n">
        <f aca="false">Sens!F17984</f>
        <v>12</v>
      </c>
      <c r="G18043" s="6" t="n">
        <f aca="false">Sens!G17984</f>
        <v>18</v>
      </c>
      <c r="H18043" s="6" t="n">
        <f aca="false">Sens!H17984</f>
        <v>24</v>
      </c>
      <c r="I18043" s="6" t="n">
        <f aca="false">Sens!I17984</f>
        <v>28.5</v>
      </c>
      <c r="J18043" s="6" t="n">
        <f aca="false">Sens!J17984</f>
        <v>31.5</v>
      </c>
      <c r="K18043" s="6" t="n">
        <f aca="false">Sens!K17984</f>
        <v>34.5</v>
      </c>
    </row>
    <row r="18044" customFormat="false" ht="17.15" hidden="false" customHeight="false" outlineLevel="0" collapsed="false">
      <c r="A18044" s="1" t="s">
        <v>1008</v>
      </c>
      <c r="B18044" s="0" t="s">
        <v>98</v>
      </c>
      <c r="F18044" s="6" t="n">
        <f aca="false">MAX(0,((Sens!E17944+Sens!F17944)/2-(shadow_base*(Sens!$D$17944+Sens!$E$17944)/2+(1-shadow_base)*Sens!$E$17944))*Sens!F17953/1000-(Sens!F18043-Sens!$E$18043)*Sens!F18023)</f>
        <v>9.7398427716299</v>
      </c>
      <c r="G18044" s="6" t="n">
        <f aca="false">MAX(0,((Sens!F17944+Sens!G17944)/2-(shadow_base*(Sens!$D$17944+Sens!$E$17944)/2+(1-shadow_base)*Sens!$E$17944))*Sens!G17953/1000-(Sens!G18043-Sens!$E$18043)*Sens!G18023)</f>
        <v>25.2753385959797</v>
      </c>
      <c r="H18044" s="6" t="n">
        <f aca="false">MAX(0,((Sens!G17944+Sens!H17944)/2-(shadow_base*(Sens!$D$17944+Sens!$E$17944)/2+(1-shadow_base)*Sens!$E$17944))*Sens!H17953/1000-(Sens!H18043-Sens!$E$18043)*Sens!H18023)</f>
        <v>42.2840253697948</v>
      </c>
      <c r="I18044" s="6" t="n">
        <f aca="false">MAX(0,((Sens!H17944+Sens!I17944)/2-(shadow_base*(Sens!$D$17944+Sens!$E$17944)/2+(1-shadow_base)*Sens!$E$17944))*Sens!I17953/1000-(Sens!I18043-Sens!$E$18043)*Sens!I18023)</f>
        <v>57.704943641581</v>
      </c>
      <c r="J18044" s="6" t="n">
        <f aca="false">MAX(0,((Sens!I17944+Sens!J17944)/2-(shadow_base*(Sens!$D$17944+Sens!$E$17944)/2+(1-shadow_base)*Sens!$E$17944))*Sens!J17953/1000-(Sens!J18043-Sens!$E$18043)*Sens!J18023)</f>
        <v>68.4828520908201</v>
      </c>
      <c r="K18044" s="6" t="n">
        <f aca="false">MAX(0,((Sens!J17944+Sens!K17944)/2-(shadow_base*(Sens!$D$17944+Sens!$E$17944)/2+(1-shadow_base)*Sens!$E$17944))*Sens!K17953/1000-(Sens!K18043-Sens!$E$18043)*Sens!K18023)</f>
        <v>74.3598374943249</v>
      </c>
      <c r="L18044" s="1" t="s">
        <v>1009</v>
      </c>
    </row>
    <row r="18045" customFormat="false" ht="17.15" hidden="false" customHeight="false" outlineLevel="0" collapsed="false">
      <c r="A18045" s="1" t="s">
        <v>1010</v>
      </c>
      <c r="B18045" s="0" t="s">
        <v>98</v>
      </c>
      <c r="F18045" s="6" t="n">
        <f aca="false">IF(internal_ai_reading=2,1,0)*Sens!F18044</f>
        <v>9.7398427716299</v>
      </c>
      <c r="G18045" s="6" t="n">
        <f aca="false">IF(internal_ai_reading=2,1,0)*Sens!G18044</f>
        <v>25.2753385959797</v>
      </c>
      <c r="H18045" s="6" t="n">
        <f aca="false">IF(internal_ai_reading=2,1,0)*Sens!H18044</f>
        <v>42.2840253697948</v>
      </c>
      <c r="I18045" s="6" t="n">
        <f aca="false">IF(internal_ai_reading=2,1,0)*Sens!I18044</f>
        <v>57.704943641581</v>
      </c>
      <c r="J18045" s="6" t="n">
        <f aca="false">IF(internal_ai_reading=2,1,0)*Sens!J18044</f>
        <v>68.4828520908201</v>
      </c>
      <c r="K18045" s="6" t="n">
        <f aca="false">IF(internal_ai_reading=2,1,0)*Sens!K18044</f>
        <v>74.3598374943249</v>
      </c>
    </row>
    <row r="18046" customFormat="false" ht="17.15" hidden="false" customHeight="false" outlineLevel="0" collapsed="false">
      <c r="A18046" s="0" t="s">
        <v>1011</v>
      </c>
      <c r="B18046" s="0" t="s">
        <v>98</v>
      </c>
      <c r="F18046" s="6" t="n">
        <f aca="false">Sens!F17963+Sens!F18043*Sens!F18023+Sens!F18045-Sens!F17964-Sens!F17975</f>
        <v>14.8152811346724</v>
      </c>
      <c r="G18046" s="6" t="n">
        <f aca="false">Sens!G17963+Sens!G18043*Sens!G18023+Sens!G18045-Sens!G17964-Sens!G17975</f>
        <v>31.0349945334854</v>
      </c>
      <c r="H18046" s="6" t="n">
        <f aca="false">Sens!H17963+Sens!H18043*Sens!H18023+Sens!H18045-Sens!H17964-Sens!H17975</f>
        <v>47.881148727873</v>
      </c>
      <c r="I18046" s="6" t="n">
        <f aca="false">Sens!I17963+Sens!I18043*Sens!I18023+Sens!I18045-Sens!I17964-Sens!I17975</f>
        <v>62.6472134142932</v>
      </c>
      <c r="J18046" s="6" t="n">
        <f aca="false">Sens!J17963+Sens!J18043*Sens!J18023+Sens!J18045-Sens!J17964-Sens!J17975</f>
        <v>72.7882220925938</v>
      </c>
      <c r="K18046" s="6" t="n">
        <f aca="false">Sens!K17963+Sens!K18043*Sens!K18023+Sens!K18045-Sens!K17964-Sens!K17975</f>
        <v>79.4617779709091</v>
      </c>
    </row>
    <row r="18047" customFormat="false" ht="17.15" hidden="false" customHeight="false" outlineLevel="0" collapsed="false">
      <c r="A18047" s="0" t="s">
        <v>1012</v>
      </c>
      <c r="B18047" s="0" t="s">
        <v>98</v>
      </c>
      <c r="E18047" s="6" t="n">
        <f aca="false">Sens!E17943*(cxit_open+self_build*tk_cxfac)/1000*ai_net_open</f>
        <v>126.6980382</v>
      </c>
      <c r="F18047" s="6" t="n">
        <f aca="false">Sens!E18047+Sens!F17972-Sens!F17975</f>
        <v>260.572645600871</v>
      </c>
      <c r="G18047" s="6" t="n">
        <f aca="false">Sens!F18047+Sens!G17972-Sens!G17975</f>
        <v>391.78262735451</v>
      </c>
      <c r="H18047" s="6" t="n">
        <f aca="false">Sens!G18047+Sens!H17972-Sens!H17975</f>
        <v>499.488537514467</v>
      </c>
      <c r="I18047" s="6" t="n">
        <f aca="false">Sens!H18047+Sens!I17972-Sens!I17975</f>
        <v>553.87235819842</v>
      </c>
      <c r="J18047" s="6" t="n">
        <f aca="false">Sens!I18047+Sens!J17972-Sens!J17975</f>
        <v>550.786613101655</v>
      </c>
      <c r="K18047" s="6" t="n">
        <f aca="false">Sens!J18047+Sens!K17972-Sens!K17975</f>
        <v>526.736793372344</v>
      </c>
      <c r="L18047" s="1" t="s">
        <v>1013</v>
      </c>
    </row>
    <row r="18048" customFormat="false" ht="17.15" hidden="false" customHeight="false" outlineLevel="0" collapsed="false">
      <c r="A18048" s="0" t="s">
        <v>1014</v>
      </c>
      <c r="B18048" s="0" t="s">
        <v>168</v>
      </c>
      <c r="F18048" s="7" t="n">
        <f aca="false">Sens!F18046*(1-tax_f)/((Sens!E18047+Sens!F18047)/2)</f>
        <v>0.0612089962060343</v>
      </c>
      <c r="G18048" s="7" t="n">
        <f aca="false">Sens!G18046*(1-tax_f)/((Sens!F18047+Sens!G18047)/2)</f>
        <v>0.0761180192943317</v>
      </c>
      <c r="H18048" s="7" t="n">
        <f aca="false">Sens!H18046*(1-tax_f)/((Sens!G18047+Sens!H18047)/2)</f>
        <v>0.0859557012324739</v>
      </c>
      <c r="I18048" s="7" t="n">
        <f aca="false">Sens!I18046*(1-tax_f)/((Sens!H18047+Sens!I18047)/2)</f>
        <v>0.0951578341960685</v>
      </c>
      <c r="J18048" s="7" t="n">
        <f aca="false">Sens!J18046*(1-tax_f)/((Sens!I18047+Sens!J18047)/2)</f>
        <v>0.105427248023059</v>
      </c>
      <c r="K18048" s="7" t="n">
        <f aca="false">Sens!K18046*(1-tax_f)/((Sens!J18047+Sens!K18047)/2)</f>
        <v>0.117991724346382</v>
      </c>
    </row>
    <row r="18049" customFormat="false" ht="17.15" hidden="false" customHeight="false" outlineLevel="0" collapsed="false">
      <c r="A18049" s="1" t="s">
        <v>1015</v>
      </c>
      <c r="B18049" s="0" t="s">
        <v>168</v>
      </c>
      <c r="F18049" s="7" t="n">
        <f aca="false">(Sens!F18046-Sens!F18045)*(1-tax_f)/((Sens!E18047+Sens!F18047)/2)</f>
        <v>0.020969057872306</v>
      </c>
      <c r="G18049" s="7" t="n">
        <f aca="false">(Sens!G18046-Sens!G18045)*(1-tax_f)/((Sens!F18047+Sens!G18047)/2)</f>
        <v>0.0141264275496084</v>
      </c>
      <c r="H18049" s="7" t="n">
        <f aca="false">(Sens!H18046-Sens!H18045)*(1-tax_f)/((Sens!G18047+Sens!H18047)/2)</f>
        <v>0.0100478930834049</v>
      </c>
      <c r="I18049" s="7" t="n">
        <f aca="false">(Sens!I18046-Sens!I18045)*(1-tax_f)/((Sens!H18047+Sens!I18047)/2)</f>
        <v>0.00750704878880828</v>
      </c>
      <c r="J18049" s="7" t="n">
        <f aca="false">(Sens!J18046-Sens!J18045)*(1-tax_f)/((Sens!I18047+Sens!J18047)/2)</f>
        <v>0.00623594446956849</v>
      </c>
      <c r="K18049" s="7" t="n">
        <f aca="false">(Sens!K18046-Sens!K18045)*(1-tax_f)/((Sens!J18047+Sens!K18047)/2)</f>
        <v>0.00757580272826471</v>
      </c>
    </row>
    <row r="18050" customFormat="false" ht="17.15" hidden="false" customHeight="false" outlineLevel="0" collapsed="false">
      <c r="A18050" s="1" t="s">
        <v>1016</v>
      </c>
      <c r="B18050" s="0" t="s">
        <v>168</v>
      </c>
      <c r="F18050" s="7" t="n">
        <f aca="false">(Sens!F18046-Sens!F18045+Sens!F18044)*(1-tax_f)/((Sens!E18047+Sens!F18047)/2)</f>
        <v>0.0612089962060343</v>
      </c>
      <c r="G18050" s="7" t="n">
        <f aca="false">(Sens!G18046-Sens!G18045+Sens!G18044)*(1-tax_f)/((Sens!F18047+Sens!G18047)/2)</f>
        <v>0.0761180192943317</v>
      </c>
      <c r="H18050" s="7" t="n">
        <f aca="false">(Sens!H18046-Sens!H18045+Sens!H18044)*(1-tax_f)/((Sens!G18047+Sens!H18047)/2)</f>
        <v>0.0859557012324739</v>
      </c>
      <c r="I18050" s="7" t="n">
        <f aca="false">(Sens!I18046-Sens!I18045+Sens!I18044)*(1-tax_f)/((Sens!H18047+Sens!I18047)/2)</f>
        <v>0.0951578341960685</v>
      </c>
      <c r="J18050" s="7" t="n">
        <f aca="false">(Sens!J18046-Sens!J18045+Sens!J18044)*(1-tax_f)/((Sens!I18047+Sens!J18047)/2)</f>
        <v>0.105427248023059</v>
      </c>
      <c r="K18050" s="7" t="n">
        <f aca="false">(Sens!K18046-Sens!K18045+Sens!K18044)*(1-tax_f)/((Sens!J18047+Sens!K18047)/2)</f>
        <v>0.117991724346382</v>
      </c>
    </row>
    <row r="18051" customFormat="false" ht="17.15" hidden="false" customHeight="false" outlineLevel="0" collapsed="false">
      <c r="A18051" s="1" t="s">
        <v>1017</v>
      </c>
      <c r="B18051" s="0" t="s">
        <v>168</v>
      </c>
      <c r="F18051" s="7" t="n">
        <f aca="false">Sens!F17976*(1-tax_f)/(Sens!F17962*(Sens!E18047+Sens!F18047)/2)</f>
        <v>0.129294817840952</v>
      </c>
      <c r="G18051" s="7" t="n">
        <f aca="false">Sens!G17976*(1-tax_f)/(Sens!G17962*(Sens!F18047+Sens!G18047)/2)</f>
        <v>0.12719597634402</v>
      </c>
      <c r="H18051" s="7" t="n">
        <f aca="false">Sens!H17976*(1-tax_f)/(Sens!H17962*(Sens!G18047+Sens!H18047)/2)</f>
        <v>0.130828157437226</v>
      </c>
      <c r="I18051" s="7" t="n">
        <f aca="false">Sens!I17976*(1-tax_f)/(Sens!I17962*(Sens!H18047+Sens!I18047)/2)</f>
        <v>0.138614519450687</v>
      </c>
      <c r="J18051" s="7" t="n">
        <f aca="false">Sens!J17976*(1-tax_f)/(Sens!J17962*(Sens!I18047+Sens!J18047)/2)</f>
        <v>0.150578912545262</v>
      </c>
      <c r="K18051" s="7" t="n">
        <f aca="false">Sens!K17976*(1-tax_f)/(Sens!K17962*(Sens!J18047+Sens!K18047)/2)</f>
        <v>0.167005340065715</v>
      </c>
    </row>
    <row r="18052" customFormat="false" ht="17.15" hidden="false" customHeight="false" outlineLevel="0" collapsed="false">
      <c r="A18052" s="0" t="s">
        <v>1018</v>
      </c>
      <c r="B18052" s="0" t="s">
        <v>253</v>
      </c>
      <c r="F18052" s="7" t="n">
        <f aca="false">Sens!F18048-wacc</f>
        <v>-0.041727594739563</v>
      </c>
      <c r="G18052" s="7" t="n">
        <f aca="false">Sens!G18048-wacc</f>
        <v>-0.0268185716512656</v>
      </c>
      <c r="H18052" s="7" t="n">
        <f aca="false">Sens!H18048-wacc</f>
        <v>-0.0169808897131234</v>
      </c>
      <c r="I18052" s="7" t="n">
        <f aca="false">Sens!I18048-wacc</f>
        <v>-0.0077787567495288</v>
      </c>
      <c r="J18052" s="7" t="n">
        <f aca="false">Sens!J18048-wacc</f>
        <v>0.00249065707746164</v>
      </c>
      <c r="K18052" s="7" t="n">
        <f aca="false">Sens!K18048-wacc</f>
        <v>0.0150551334007848</v>
      </c>
    </row>
    <row r="18053" customFormat="false" ht="17.15" hidden="false" customHeight="false" outlineLevel="0" collapsed="false">
      <c r="A18053" s="0" t="s">
        <v>1019</v>
      </c>
      <c r="B18053" s="0" t="s">
        <v>98</v>
      </c>
      <c r="F18053" s="6" t="n">
        <f aca="false">Sens!F18046*(1-tax_f)-wacc*(Sens!E18047+Sens!F18047)/2</f>
        <v>-8.07993707407809</v>
      </c>
      <c r="G18053" s="6" t="n">
        <f aca="false">Sens!G18046*(1-tax_f)-wacc*(Sens!F18047+Sens!G18047)/2</f>
        <v>-8.74761831491742</v>
      </c>
      <c r="H18053" s="6" t="n">
        <f aca="false">Sens!H18046*(1-tax_f)-wacc*(Sens!G18047+Sens!H18047)/2</f>
        <v>-7.56728867756355</v>
      </c>
      <c r="I18053" s="6" t="n">
        <f aca="false">Sens!I18046*(1-tax_f)-wacc*(Sens!H18047+Sens!I18047)/2</f>
        <v>-4.09691908860817</v>
      </c>
      <c r="J18053" s="6" t="n">
        <f aca="false">Sens!J18046*(1-tax_f)-wacc*(Sens!I18047+Sens!J18047)/2</f>
        <v>1.37566334252502</v>
      </c>
      <c r="K18053" s="6" t="n">
        <f aca="false">Sens!K18046*(1-tax_f)-wacc*(Sens!J18047+Sens!K18047)/2</f>
        <v>8.11112931346708</v>
      </c>
    </row>
    <row r="18054" customFormat="false" ht="17.15" hidden="false" customHeight="false" outlineLevel="0" collapsed="false">
      <c r="A18054" s="3" t="s">
        <v>2057</v>
      </c>
    </row>
    <row r="18055" customFormat="false" ht="15" hidden="false" customHeight="false" outlineLevel="0" collapsed="false">
      <c r="A18055" s="4" t="s">
        <v>43</v>
      </c>
      <c r="B18055" s="4" t="s">
        <v>65</v>
      </c>
      <c r="C18055" s="23" t="s">
        <v>942</v>
      </c>
      <c r="D18055" s="23" t="s">
        <v>943</v>
      </c>
      <c r="E18055" s="23" t="s">
        <v>944</v>
      </c>
      <c r="F18055" s="23" t="s">
        <v>945</v>
      </c>
      <c r="G18055" s="23" t="s">
        <v>946</v>
      </c>
      <c r="H18055" s="23" t="s">
        <v>947</v>
      </c>
      <c r="I18055" s="23" t="s">
        <v>948</v>
      </c>
      <c r="J18055" s="23" t="s">
        <v>949</v>
      </c>
      <c r="K18055" s="23" t="s">
        <v>950</v>
      </c>
      <c r="L18055" s="4" t="s">
        <v>47</v>
      </c>
    </row>
    <row r="18056" customFormat="false" ht="15" hidden="false" customHeight="false" outlineLevel="0" collapsed="false">
      <c r="A18056" s="1" t="s">
        <v>1080</v>
      </c>
      <c r="B18056" s="0" t="s">
        <v>98</v>
      </c>
      <c r="F18056" s="6" t="n">
        <f aca="false">Sens!F18037</f>
        <v>144.702855166923</v>
      </c>
      <c r="G18056" s="6" t="n">
        <f aca="false">Sens!G18037</f>
        <v>156.800225347156</v>
      </c>
      <c r="H18056" s="6" t="n">
        <f aca="false">Sens!H18037</f>
        <v>172.733846906998</v>
      </c>
      <c r="I18056" s="6" t="n">
        <f aca="false">Sens!I18037</f>
        <v>187.974137002791</v>
      </c>
      <c r="J18056" s="6" t="n">
        <f aca="false">Sens!J18037</f>
        <v>202.308712939173</v>
      </c>
      <c r="K18056" s="6" t="n">
        <f aca="false">Sens!K18037</f>
        <v>216.231287668481</v>
      </c>
    </row>
    <row r="18057" customFormat="false" ht="17.15" hidden="false" customHeight="false" outlineLevel="0" collapsed="false">
      <c r="A18057" s="1" t="s">
        <v>1102</v>
      </c>
      <c r="B18057" s="0" t="s">
        <v>98</v>
      </c>
      <c r="E18057" s="6" t="n">
        <f aca="false">Q!M38-Sens!E17975</f>
        <v>22.2285940229167</v>
      </c>
      <c r="F18057" s="6" t="n">
        <f aca="false">Sens!E18057*(1-1/life_nonai)+(Sens!F18065+Sens!F18066)/life_nonai</f>
        <v>23.5803422705473</v>
      </c>
      <c r="G18057" s="6" t="n">
        <f aca="false">Sens!F18057*(1-1/life_nonai)+(Sens!G18065)/life_nonai</f>
        <v>25.3583487889173</v>
      </c>
      <c r="H18057" s="6" t="n">
        <f aca="false">Sens!G18057*(1-1/life_nonai)+(Sens!H18065)/life_nonai</f>
        <v>27.5285684068818</v>
      </c>
      <c r="I18057" s="6" t="n">
        <f aca="false">Sens!H18057*(1-1/life_nonai)+(Sens!I18065)/life_nonai</f>
        <v>30.0244509342793</v>
      </c>
      <c r="J18057" s="6" t="n">
        <f aca="false">Sens!I18057*(1-1/life_nonai)+(Sens!J18065)/life_nonai</f>
        <v>32.7625773200223</v>
      </c>
      <c r="K18057" s="6" t="n">
        <f aca="false">Sens!J18057*(1-1/life_nonai)+(Sens!K18065)/life_nonai</f>
        <v>35.6585672940919</v>
      </c>
      <c r="L18057" s="12" t="s">
        <v>1103</v>
      </c>
    </row>
    <row r="18058" customFormat="false" ht="17.15" hidden="false" customHeight="false" outlineLevel="0" collapsed="false">
      <c r="A18058" s="1" t="s">
        <v>1104</v>
      </c>
      <c r="B18058" s="0" t="s">
        <v>98</v>
      </c>
      <c r="F18058" s="6" t="n">
        <f aca="false">Sens!$F$18066/life_nonai*(1-1/life_nonai)^(Sens!F17938-2027)</f>
        <v>0</v>
      </c>
      <c r="G18058" s="6" t="n">
        <f aca="false">Sens!$F$18066/life_nonai*(1-1/life_nonai)^(Sens!G17938-2027)</f>
        <v>0</v>
      </c>
      <c r="H18058" s="6" t="n">
        <f aca="false">Sens!$F$18066/life_nonai*(1-1/life_nonai)^(Sens!H17938-2027)</f>
        <v>0</v>
      </c>
      <c r="I18058" s="6" t="n">
        <f aca="false">Sens!$F$18066/life_nonai*(1-1/life_nonai)^(Sens!I17938-2027)</f>
        <v>0</v>
      </c>
      <c r="J18058" s="6" t="n">
        <f aca="false">Sens!$F$18066/life_nonai*(1-1/life_nonai)^(Sens!J17938-2027)</f>
        <v>0</v>
      </c>
      <c r="K18058" s="6" t="n">
        <f aca="false">Sens!$F$18066/life_nonai*(1-1/life_nonai)^(Sens!K17938-2027)</f>
        <v>0</v>
      </c>
      <c r="L18058" s="1" t="s">
        <v>1105</v>
      </c>
    </row>
    <row r="18059" customFormat="false" ht="17.15" hidden="false" customHeight="false" outlineLevel="0" collapsed="false">
      <c r="A18059" s="1" t="s">
        <v>1106</v>
      </c>
      <c r="B18059" s="0" t="s">
        <v>98</v>
      </c>
      <c r="E18059" s="6" t="n">
        <f aca="false">Sens!E17975+Sens!E18057</f>
        <v>38.534</v>
      </c>
      <c r="F18059" s="6" t="n">
        <f aca="false">Sens!F17975+Sens!F18057</f>
        <v>58.1596583704537</v>
      </c>
      <c r="G18059" s="6" t="n">
        <f aca="false">Sens!G17975+Sens!G18057</f>
        <v>86.0928426843259</v>
      </c>
      <c r="H18059" s="6" t="n">
        <f aca="false">Sens!H17975+Sens!H18057</f>
        <v>116.628662311437</v>
      </c>
      <c r="I18059" s="6" t="n">
        <f aca="false">Sens!I17975+Sens!I18057</f>
        <v>144.255463871937</v>
      </c>
      <c r="J18059" s="6" t="n">
        <f aca="false">Sens!J17975+Sens!J18057</f>
        <v>164.778253612728</v>
      </c>
      <c r="K18059" s="6" t="n">
        <f aca="false">Sens!K17975+Sens!K18057</f>
        <v>178.671240088136</v>
      </c>
    </row>
    <row r="18060" customFormat="false" ht="17.15" hidden="false" customHeight="false" outlineLevel="0" collapsed="false">
      <c r="A18060" s="1" t="s">
        <v>1107</v>
      </c>
      <c r="B18060" s="0" t="s">
        <v>98</v>
      </c>
      <c r="F18060" s="6" t="n">
        <f aca="false">Sens!F18002*sbc_r</f>
        <v>14.9175438377464</v>
      </c>
      <c r="G18060" s="6" t="n">
        <f aca="false">Sens!G18002*sbc_r</f>
        <v>17.8119838712421</v>
      </c>
      <c r="H18060" s="6" t="n">
        <f aca="false">Sens!H18002*sbc_r</f>
        <v>20.7745061486909</v>
      </c>
      <c r="I18060" s="6" t="n">
        <f aca="false">Sens!I18002*sbc_r</f>
        <v>23.4952383075388</v>
      </c>
      <c r="J18060" s="6" t="n">
        <f aca="false">Sens!J18002*sbc_r</f>
        <v>25.7232953082804</v>
      </c>
      <c r="K18060" s="6" t="n">
        <f aca="false">Sens!K18002*sbc_r</f>
        <v>27.5132097680234</v>
      </c>
    </row>
    <row r="18061" customFormat="false" ht="17.15" hidden="false" customHeight="false" outlineLevel="0" collapsed="false">
      <c r="A18061" s="1" t="s">
        <v>1108</v>
      </c>
      <c r="B18061" s="0" t="s">
        <v>98</v>
      </c>
      <c r="F18061" s="6" t="n">
        <f aca="false">wc27-wc26q1</f>
        <v>-4.677</v>
      </c>
      <c r="G18061" s="6" t="n">
        <f aca="false">wc_f</f>
        <v>0</v>
      </c>
      <c r="H18061" s="6" t="n">
        <f aca="false">wc_f</f>
        <v>0</v>
      </c>
      <c r="I18061" s="6" t="n">
        <f aca="false">wc_f</f>
        <v>0</v>
      </c>
      <c r="J18061" s="6" t="n">
        <f aca="false">wc_f</f>
        <v>0</v>
      </c>
      <c r="K18061" s="6" t="n">
        <f aca="false">wc_f</f>
        <v>0</v>
      </c>
      <c r="L18061" s="12" t="s">
        <v>1109</v>
      </c>
    </row>
    <row r="18062" customFormat="false" ht="17.15" hidden="false" customHeight="false" outlineLevel="0" collapsed="false">
      <c r="A18062" s="0" t="s">
        <v>1110</v>
      </c>
      <c r="B18062" s="0" t="s">
        <v>98</v>
      </c>
      <c r="F18062" s="6" t="n">
        <f aca="false">Q!$I$35-Q!$I$26-Q!$I$38-Q!$I$39</f>
        <v>6.493</v>
      </c>
      <c r="L18062" s="1" t="s">
        <v>1111</v>
      </c>
    </row>
    <row r="18063" customFormat="false" ht="15" hidden="false" customHeight="false" outlineLevel="0" collapsed="false">
      <c r="A18063" s="1" t="s">
        <v>908</v>
      </c>
      <c r="B18063" s="0" t="s">
        <v>98</v>
      </c>
      <c r="E18063" s="6" t="n">
        <f aca="false">Q!M35</f>
        <v>182.935</v>
      </c>
      <c r="F18063" s="6" t="n">
        <f aca="false">Sens!F18056+Sens!F18059+Sens!F18060+Sens!F18061+Sens!F18062</f>
        <v>219.596057375123</v>
      </c>
      <c r="G18063" s="6" t="n">
        <f aca="false">Sens!G18056+Sens!G18059+Sens!G18060+Sens!G18061</f>
        <v>260.705051902724</v>
      </c>
      <c r="H18063" s="6" t="n">
        <f aca="false">Sens!H18056+Sens!H18059+Sens!H18060+Sens!H18061</f>
        <v>310.137015367126</v>
      </c>
      <c r="I18063" s="6" t="n">
        <f aca="false">Sens!I18056+Sens!I18059+Sens!I18060+Sens!I18061</f>
        <v>355.724839182267</v>
      </c>
      <c r="J18063" s="6" t="n">
        <f aca="false">Sens!J18056+Sens!J18059+Sens!J18060+Sens!J18061</f>
        <v>392.810261860181</v>
      </c>
      <c r="K18063" s="6" t="n">
        <f aca="false">Sens!K18056+Sens!K18059+Sens!K18060+Sens!K18061</f>
        <v>422.41573752464</v>
      </c>
    </row>
    <row r="18064" customFormat="false" ht="17.15" hidden="false" customHeight="false" outlineLevel="0" collapsed="false">
      <c r="A18064" s="0" t="s">
        <v>1112</v>
      </c>
      <c r="B18064" s="0" t="s">
        <v>98</v>
      </c>
      <c r="F18064" s="6" t="n">
        <f aca="false">Sens!F17972</f>
        <v>168.453923500777</v>
      </c>
      <c r="G18064" s="6" t="n">
        <f aca="false">Sens!G17972</f>
        <v>191.944475649048</v>
      </c>
      <c r="H18064" s="6" t="n">
        <f aca="false">Sens!H17972</f>
        <v>196.806004064512</v>
      </c>
      <c r="I18064" s="6" t="n">
        <f aca="false">Sens!I17972</f>
        <v>168.61483362161</v>
      </c>
      <c r="J18064" s="6" t="n">
        <f aca="false">Sens!J17972</f>
        <v>128.92993119594</v>
      </c>
      <c r="K18064" s="6" t="n">
        <f aca="false">Sens!K17972</f>
        <v>118.962853064733</v>
      </c>
    </row>
    <row r="18065" customFormat="false" ht="17.15" hidden="false" customHeight="false" outlineLevel="0" collapsed="false">
      <c r="A18065" s="1" t="s">
        <v>1113</v>
      </c>
      <c r="B18065" s="0" t="s">
        <v>98</v>
      </c>
      <c r="E18065" s="6" t="n">
        <f aca="false">Sens!E17980*cx_azo+Sens!E17987*cx_m365+Sens!E17988*cx_lic+(Sens!E17990+Sens!E17992)*cx_ind+Sens!E17995*cx_srch+(Sens!E17997+Sens!E17999)*cx_dev</f>
        <v>30.1846587067718</v>
      </c>
      <c r="F18065" s="6" t="n">
        <f aca="false">Sens!F17980*cx_azo+Sens!F17987*cx_m365+Sens!F17988*cx_lic+(Sens!F17990+Sens!F17992)*cx_ind+Sens!F17995*cx_srch+(Sens!F17997+Sens!F17999)*cx_dev</f>
        <v>35.7460764992227</v>
      </c>
      <c r="G18065" s="6" t="n">
        <f aca="false">Sens!G17980*cx_azo+Sens!G17987*cx_m365+Sens!G17988*cx_lic+(Sens!G17990+Sens!G17992)*cx_ind+Sens!G17995*cx_srch+(Sens!G17997+Sens!G17999)*cx_dev</f>
        <v>41.360407454248</v>
      </c>
      <c r="H18065" s="6" t="n">
        <f aca="false">Sens!H17980*cx_azo+Sens!H17987*cx_m365+Sens!H17988*cx_lic+(Sens!H17990+Sens!H17992)*cx_ind+Sens!H17995*cx_srch+(Sens!H17997+Sens!H17999)*cx_dev</f>
        <v>47.0605449685615</v>
      </c>
      <c r="I18065" s="6" t="n">
        <f aca="false">Sens!I17980*cx_azo+Sens!I17987*cx_m365+Sens!I17988*cx_lic+(Sens!I17990+Sens!I17992)*cx_ind+Sens!I17995*cx_srch+(Sens!I17997+Sens!I17999)*cx_dev</f>
        <v>52.4873936808571</v>
      </c>
      <c r="J18065" s="6" t="n">
        <f aca="false">Sens!J17980*cx_azo+Sens!J17987*cx_m365+Sens!J17988*cx_lic+(Sens!J17990+Sens!J17992)*cx_ind+Sens!J17995*cx_srch+(Sens!J17997+Sens!J17999)*cx_dev</f>
        <v>57.4057147917091</v>
      </c>
      <c r="K18065" s="6" t="n">
        <f aca="false">Sens!K17980*cx_azo+Sens!K17987*cx_m365+Sens!K17988*cx_lic+(Sens!K17990+Sens!K17992)*cx_ind+Sens!K17995*cx_srch+(Sens!K17997+Sens!K17999)*cx_dev</f>
        <v>61.7224770607185</v>
      </c>
    </row>
    <row r="18066" customFormat="false" ht="17.15" hidden="false" customHeight="false" outlineLevel="0" collapsed="false">
      <c r="A18066" s="0" t="s">
        <v>1114</v>
      </c>
      <c r="B18066" s="0" t="s">
        <v>98</v>
      </c>
      <c r="F18066" s="6" t="n">
        <f aca="false">0</f>
        <v>0</v>
      </c>
      <c r="L18066" s="1" t="s">
        <v>1115</v>
      </c>
    </row>
    <row r="18067" customFormat="false" ht="17.15" hidden="false" customHeight="false" outlineLevel="0" collapsed="false">
      <c r="A18067" s="1" t="s">
        <v>1116</v>
      </c>
      <c r="B18067" s="0" t="s">
        <v>98</v>
      </c>
      <c r="E18067" s="6" t="n">
        <f aca="false">Q!M43</f>
        <v>145.3</v>
      </c>
      <c r="F18067" s="6" t="n">
        <f aca="false">Sens!F18064+Sens!F18065+Sens!F18066</f>
        <v>204.2</v>
      </c>
      <c r="G18067" s="6" t="n">
        <f aca="false">Sens!G18064+Sens!G18065</f>
        <v>233.304883103296</v>
      </c>
      <c r="H18067" s="6" t="n">
        <f aca="false">Sens!H18064+Sens!H18065</f>
        <v>243.866549033074</v>
      </c>
      <c r="I18067" s="6" t="n">
        <f aca="false">Sens!I18064+Sens!I18065</f>
        <v>221.102227302467</v>
      </c>
      <c r="J18067" s="6" t="n">
        <f aca="false">Sens!J18064+Sens!J18065</f>
        <v>186.33564598765</v>
      </c>
      <c r="K18067" s="6" t="n">
        <f aca="false">Sens!K18064+Sens!K18065</f>
        <v>180.685330125451</v>
      </c>
      <c r="L18067" s="1" t="s">
        <v>1117</v>
      </c>
    </row>
    <row r="18068" customFormat="false" ht="15" hidden="false" customHeight="false" outlineLevel="0" collapsed="false">
      <c r="A18068" s="1" t="s">
        <v>1118</v>
      </c>
      <c r="B18068" s="0" t="s">
        <v>98</v>
      </c>
      <c r="E18068" s="6" t="n">
        <f aca="false">fl_liab</f>
        <v>66.594</v>
      </c>
      <c r="F18068" s="6" t="n">
        <f aca="false">Sens!E18068-Sens!F18069</f>
        <v>62.46973</v>
      </c>
      <c r="G18068" s="6" t="n">
        <f aca="false">Sens!F18068-Sens!G18069</f>
        <v>57.98686785</v>
      </c>
      <c r="H18068" s="6" t="n">
        <f aca="false">Sens!G18068-Sens!H18069</f>
        <v>53.92827690325</v>
      </c>
      <c r="I18068" s="6" t="n">
        <f aca="false">Sens!H18068-Sens!I18069</f>
        <v>49.7850493638962</v>
      </c>
      <c r="J18068" s="6" t="n">
        <f aca="false">Sens!I18068-Sens!J18069</f>
        <v>45.4823765852716</v>
      </c>
      <c r="K18068" s="6" t="n">
        <f aca="false">Sens!J18068-Sens!K18069</f>
        <v>40.9860835316088</v>
      </c>
    </row>
    <row r="18069" customFormat="false" ht="15" hidden="false" customHeight="false" outlineLevel="0" collapsed="false">
      <c r="A18069" s="1" t="s">
        <v>1119</v>
      </c>
      <c r="B18069" s="0" t="s">
        <v>98</v>
      </c>
      <c r="F18069" s="6" t="n">
        <f aca="false">fl_pay_27-Sens!E18068*fl_rate</f>
        <v>4.12427</v>
      </c>
      <c r="G18069" s="6" t="n">
        <f aca="false">fl_pay_28-Sens!F18068*fl_rate</f>
        <v>4.48286215</v>
      </c>
      <c r="H18069" s="6" t="n">
        <f aca="false">fl_pay_29-Sens!G18068*fl_rate</f>
        <v>4.05859094675</v>
      </c>
      <c r="I18069" s="6" t="n">
        <f aca="false">fl_pay_30-Sens!H18068*fl_rate</f>
        <v>4.14322753935375</v>
      </c>
      <c r="J18069" s="6" t="n">
        <f aca="false">fl_pay_31-Sens!I18068*fl_rate</f>
        <v>4.30267277862467</v>
      </c>
      <c r="K18069" s="6" t="n">
        <f aca="false">fl_pay_32-Sens!J18068*fl_rate</f>
        <v>4.49629305366278</v>
      </c>
    </row>
    <row r="18070" customFormat="false" ht="17.15" hidden="false" customHeight="false" outlineLevel="0" collapsed="false">
      <c r="A18070" s="1" t="s">
        <v>1120</v>
      </c>
      <c r="B18070" s="0" t="s">
        <v>98</v>
      </c>
      <c r="E18070" s="6" t="n">
        <f aca="false">Q!M35-Q!M36-Q!M44</f>
        <v>63.886</v>
      </c>
      <c r="F18070" s="6" t="n">
        <f aca="false">Sens!F18063-Sens!F18067-Sens!F18069</f>
        <v>11.2717873751228</v>
      </c>
      <c r="G18070" s="6" t="n">
        <f aca="false">Sens!G18063-Sens!G18067-Sens!G18069</f>
        <v>22.9173066494281</v>
      </c>
      <c r="H18070" s="6" t="n">
        <f aca="false">Sens!H18063-Sens!H18067-Sens!H18069</f>
        <v>62.2118753873018</v>
      </c>
      <c r="I18070" s="6" t="n">
        <f aca="false">Sens!I18063-Sens!I18067-Sens!I18069</f>
        <v>130.479384340445</v>
      </c>
      <c r="J18070" s="6" t="n">
        <f aca="false">Sens!J18063-Sens!J18067-Sens!J18069</f>
        <v>202.171943093907</v>
      </c>
      <c r="K18070" s="6" t="n">
        <f aca="false">Sens!K18063-Sens!K18067-Sens!K18069</f>
        <v>237.234114345526</v>
      </c>
      <c r="L18070" s="12" t="s">
        <v>1121</v>
      </c>
    </row>
    <row r="18071" customFormat="false" ht="15" hidden="false" customHeight="false" outlineLevel="0" collapsed="false">
      <c r="A18071" s="1" t="s">
        <v>1122</v>
      </c>
      <c r="B18071" s="0" t="s">
        <v>75</v>
      </c>
      <c r="F18071" s="8" t="n">
        <f aca="false">dps_27</f>
        <v>3.85</v>
      </c>
      <c r="G18071" s="8" t="n">
        <f aca="false">Sens!F18071*(1+dps_g)</f>
        <v>4.158</v>
      </c>
      <c r="H18071" s="8" t="n">
        <f aca="false">Sens!G18071*(1+dps_g)</f>
        <v>4.49064</v>
      </c>
      <c r="I18071" s="8" t="n">
        <f aca="false">Sens!H18071*(1+dps_g)</f>
        <v>4.8498912</v>
      </c>
      <c r="J18071" s="8" t="n">
        <f aca="false">Sens!I18071*(1+dps_g)</f>
        <v>5.237882496</v>
      </c>
      <c r="K18071" s="8" t="n">
        <f aca="false">Sens!J18071*(1+dps_g)</f>
        <v>5.65691309568</v>
      </c>
    </row>
    <row r="18072" customFormat="false" ht="17.15" hidden="false" customHeight="false" outlineLevel="0" collapsed="false">
      <c r="A18072" s="1" t="s">
        <v>1123</v>
      </c>
      <c r="B18072" s="0" t="s">
        <v>98</v>
      </c>
      <c r="E18072" s="6" t="n">
        <f aca="false">Q!M41</f>
        <v>26.445</v>
      </c>
      <c r="F18072" s="6" t="n">
        <f aca="false">Sens!F18071*Sens!E18081</f>
        <v>28.59395</v>
      </c>
      <c r="G18072" s="6" t="n">
        <f aca="false">Sens!G18071*Sens!F18081</f>
        <v>31.0665353031057</v>
      </c>
      <c r="H18072" s="6" t="n">
        <f aca="false">Sens!H18071*Sens!G18081</f>
        <v>33.7539369273542</v>
      </c>
      <c r="I18072" s="6" t="n">
        <f aca="false">Sens!I18071*Sens!H18081</f>
        <v>36.5046901586152</v>
      </c>
      <c r="J18072" s="6" t="n">
        <f aca="false">Sens!J18071*Sens!I18081</f>
        <v>39.492963256697</v>
      </c>
      <c r="K18072" s="6" t="n">
        <f aca="false">Sens!K18071*Sens!J18081</f>
        <v>42.739154579611</v>
      </c>
      <c r="L18072" s="1" t="s">
        <v>1124</v>
      </c>
    </row>
    <row r="18073" customFormat="false" ht="15" hidden="false" customHeight="false" outlineLevel="0" collapsed="false">
      <c r="A18073" s="1" t="s">
        <v>1125</v>
      </c>
      <c r="B18073" s="0" t="s">
        <v>98</v>
      </c>
      <c r="E18073" s="6" t="n">
        <f aca="false">Sens!E18070-Sens!E18072</f>
        <v>37.441</v>
      </c>
      <c r="F18073" s="6" t="n">
        <f aca="false">Sens!F18070-Sens!F18072</f>
        <v>-17.3221626248772</v>
      </c>
      <c r="G18073" s="6" t="n">
        <f aca="false">Sens!G18070-Sens!G18072</f>
        <v>-8.1492286536776</v>
      </c>
      <c r="H18073" s="6" t="n">
        <f aca="false">Sens!H18070-Sens!H18072</f>
        <v>28.4579384599477</v>
      </c>
      <c r="I18073" s="6" t="n">
        <f aca="false">Sens!I18070-Sens!I18072</f>
        <v>93.9746941818302</v>
      </c>
      <c r="J18073" s="6" t="n">
        <f aca="false">Sens!J18070-Sens!J18072</f>
        <v>162.67897983721</v>
      </c>
      <c r="K18073" s="6" t="n">
        <f aca="false">Sens!K18070-Sens!K18072</f>
        <v>194.494959765915</v>
      </c>
    </row>
    <row r="18074" customFormat="false" ht="15" hidden="false" customHeight="false" outlineLevel="0" collapsed="false">
      <c r="A18074" s="1" t="s">
        <v>1126</v>
      </c>
      <c r="B18074" s="0" t="s">
        <v>98</v>
      </c>
      <c r="F18074" s="6" t="n">
        <f aca="false">debt_mat_27</f>
        <v>9.25</v>
      </c>
      <c r="G18074" s="6" t="n">
        <f aca="false">debt_mat_28</f>
        <v>0</v>
      </c>
      <c r="H18074" s="6" t="n">
        <f aca="false">debt_mat_29</f>
        <v>2.001</v>
      </c>
      <c r="I18074" s="6" t="n">
        <f aca="false">debt_mat_30</f>
        <v>0</v>
      </c>
      <c r="J18074" s="6" t="n">
        <f aca="false">debt_mat_31</f>
        <v>0.5</v>
      </c>
      <c r="K18074" s="6" t="n">
        <f aca="false">debt_mat_32</f>
        <v>0</v>
      </c>
    </row>
    <row r="18075" customFormat="false" ht="15" hidden="false" customHeight="false" outlineLevel="0" collapsed="false">
      <c r="A18075" s="1" t="s">
        <v>1127</v>
      </c>
      <c r="B18075" s="0" t="s">
        <v>98</v>
      </c>
      <c r="E18075" s="6" t="n">
        <f aca="false">Q!M40</f>
        <v>22.271</v>
      </c>
      <c r="F18075" s="6" t="n">
        <f aca="false">MAX(0,MIN(bb_target,Sens!E18077+Sens!F18073-Sens!F18074-min_cash))</f>
        <v>0.27083737512281</v>
      </c>
      <c r="G18075" s="6" t="n">
        <f aca="false">MAX(0,MIN(bb_target,Sens!F18077+Sens!G18073-Sens!G18074-min_cash))</f>
        <v>0</v>
      </c>
      <c r="H18075" s="6" t="n">
        <f aca="false">MAX(0,MIN(bb_target,Sens!G18077+Sens!H18073-Sens!H18074-min_cash))</f>
        <v>22.271</v>
      </c>
      <c r="I18075" s="6" t="n">
        <f aca="false">MAX(0,MIN(bb_target,Sens!H18077+Sens!I18073-Sens!I18074-min_cash))</f>
        <v>22.271</v>
      </c>
      <c r="J18075" s="6" t="n">
        <f aca="false">MAX(0,MIN(bb_target,Sens!I18077+Sens!J18073-Sens!J18074-min_cash))</f>
        <v>22.271</v>
      </c>
      <c r="K18075" s="6" t="n">
        <f aca="false">MAX(0,MIN(bb_target,Sens!J18077+Sens!K18073-Sens!K18074-min_cash))</f>
        <v>22.271</v>
      </c>
    </row>
    <row r="18076" customFormat="false" ht="15" hidden="false" customHeight="false" outlineLevel="0" collapsed="false">
      <c r="A18076" s="1" t="s">
        <v>1128</v>
      </c>
      <c r="B18076" s="0" t="s">
        <v>98</v>
      </c>
      <c r="F18076" s="6" t="n">
        <f aca="false">MAX(0,min_cash-(Sens!E18077+Sens!F18073-Sens!F18074-Sens!F18075))</f>
        <v>0</v>
      </c>
      <c r="G18076" s="6" t="n">
        <f aca="false">MAX(0,min_cash-(Sens!F18077+Sens!G18073-Sens!G18074-Sens!G18075))</f>
        <v>8.1492286536776</v>
      </c>
      <c r="H18076" s="6" t="n">
        <f aca="false">MAX(0,min_cash-(Sens!G18077+Sens!H18073-Sens!H18074-Sens!H18075))</f>
        <v>0</v>
      </c>
      <c r="I18076" s="6" t="n">
        <f aca="false">MAX(0,min_cash-(Sens!H18077+Sens!I18073-Sens!I18074-Sens!I18075))</f>
        <v>0</v>
      </c>
      <c r="J18076" s="6" t="n">
        <f aca="false">MAX(0,min_cash-(Sens!I18077+Sens!J18073-Sens!J18074-Sens!J18075))</f>
        <v>0</v>
      </c>
      <c r="K18076" s="6" t="n">
        <f aca="false">MAX(0,min_cash-(Sens!J18077+Sens!K18073-Sens!K18074-Sens!K18075))</f>
        <v>0</v>
      </c>
    </row>
    <row r="18077" customFormat="false" ht="15" hidden="false" customHeight="false" outlineLevel="0" collapsed="false">
      <c r="A18077" s="1" t="s">
        <v>1129</v>
      </c>
      <c r="B18077" s="0" t="s">
        <v>98</v>
      </c>
      <c r="E18077" s="6" t="n">
        <f aca="false">cash_open</f>
        <v>76.843</v>
      </c>
      <c r="F18077" s="6" t="n">
        <f aca="false">Sens!E18077+Sens!F18073-Sens!F18074-Sens!F18075+Sens!F18076</f>
        <v>50</v>
      </c>
      <c r="G18077" s="6" t="n">
        <f aca="false">Sens!F18077+Sens!G18073-Sens!G18074-Sens!G18075+Sens!G18076</f>
        <v>50</v>
      </c>
      <c r="H18077" s="6" t="n">
        <f aca="false">Sens!G18077+Sens!H18073-Sens!H18074-Sens!H18075+Sens!H18076</f>
        <v>54.1859384599477</v>
      </c>
      <c r="I18077" s="6" t="n">
        <f aca="false">Sens!H18077+Sens!I18073-Sens!I18074-Sens!I18075+Sens!I18076</f>
        <v>125.889632641778</v>
      </c>
      <c r="J18077" s="6" t="n">
        <f aca="false">Sens!I18077+Sens!J18073-Sens!J18074-Sens!J18075+Sens!J18076</f>
        <v>265.797612478988</v>
      </c>
      <c r="K18077" s="6" t="n">
        <f aca="false">Sens!J18077+Sens!K18073-Sens!K18074-Sens!K18075+Sens!K18076</f>
        <v>438.021572244903</v>
      </c>
    </row>
    <row r="18078" customFormat="false" ht="15" hidden="false" customHeight="false" outlineLevel="0" collapsed="false">
      <c r="A18078" s="1" t="s">
        <v>1130</v>
      </c>
      <c r="B18078" s="0" t="s">
        <v>98</v>
      </c>
      <c r="E18078" s="6" t="n">
        <f aca="false">debt_face</f>
        <v>46.136</v>
      </c>
      <c r="F18078" s="6" t="n">
        <f aca="false">Sens!E18078-Sens!F18074+Sens!F18076</f>
        <v>36.886</v>
      </c>
      <c r="G18078" s="6" t="n">
        <f aca="false">Sens!F18078-Sens!G18074+Sens!G18076</f>
        <v>45.0352286536776</v>
      </c>
      <c r="H18078" s="6" t="n">
        <f aca="false">Sens!G18078-Sens!H18074+Sens!H18076</f>
        <v>43.0342286536776</v>
      </c>
      <c r="I18078" s="6" t="n">
        <f aca="false">Sens!H18078-Sens!I18074+Sens!I18076</f>
        <v>43.0342286536776</v>
      </c>
      <c r="J18078" s="6" t="n">
        <f aca="false">Sens!I18078-Sens!J18074+Sens!J18076</f>
        <v>42.5342286536776</v>
      </c>
      <c r="K18078" s="6" t="n">
        <f aca="false">Sens!J18078-Sens!K18074+Sens!K18076</f>
        <v>42.5342286536776</v>
      </c>
    </row>
    <row r="18079" customFormat="false" ht="15" hidden="false" customHeight="false" outlineLevel="0" collapsed="false">
      <c r="A18079" s="1" t="s">
        <v>1131</v>
      </c>
      <c r="B18079" s="0" t="s">
        <v>98</v>
      </c>
      <c r="E18079" s="6" t="n">
        <f aca="false">Sens!E18077-Sens!E18078</f>
        <v>30.707</v>
      </c>
      <c r="F18079" s="6" t="n">
        <f aca="false">Sens!F18077-Sens!F18078</f>
        <v>13.114</v>
      </c>
      <c r="G18079" s="6" t="n">
        <f aca="false">Sens!G18077-Sens!G18078</f>
        <v>4.9647713463224</v>
      </c>
      <c r="H18079" s="6" t="n">
        <f aca="false">Sens!H18077-Sens!H18078</f>
        <v>11.15170980627</v>
      </c>
      <c r="I18079" s="6" t="n">
        <f aca="false">Sens!I18077-Sens!I18078</f>
        <v>82.8554039881003</v>
      </c>
      <c r="J18079" s="6" t="n">
        <f aca="false">Sens!J18077-Sens!J18078</f>
        <v>223.26338382531</v>
      </c>
      <c r="K18079" s="6" t="n">
        <f aca="false">Sens!K18077-Sens!K18078</f>
        <v>395.487343591225</v>
      </c>
    </row>
    <row r="18080" customFormat="false" ht="15" hidden="false" customHeight="false" outlineLevel="0" collapsed="false">
      <c r="A18080" s="1" t="s">
        <v>1132</v>
      </c>
      <c r="B18080" s="0" t="s">
        <v>75</v>
      </c>
      <c r="F18080" s="30" t="n">
        <f aca="false">px*(1+bb_g)^(Sens!F17938-base_fy-mid_yr)</f>
        <v>551.84177959629</v>
      </c>
      <c r="G18080" s="30" t="n">
        <f aca="false">px*(1+bb_g)^(Sens!G17938-base_fy-mid_yr)</f>
        <v>595.989121963993</v>
      </c>
      <c r="H18080" s="30" t="n">
        <f aca="false">px*(1+bb_g)^(Sens!H17938-base_fy-mid_yr)</f>
        <v>643.668251721112</v>
      </c>
      <c r="I18080" s="30" t="n">
        <f aca="false">px*(1+bb_g)^(Sens!I17938-base_fy-mid_yr)</f>
        <v>695.161711858801</v>
      </c>
      <c r="J18080" s="30" t="n">
        <f aca="false">px*(1+bb_g)^(Sens!J17938-base_fy-mid_yr)</f>
        <v>750.774648807506</v>
      </c>
      <c r="K18080" s="30" t="n">
        <f aca="false">px*(1+bb_g)^(Sens!K17938-base_fy-mid_yr)</f>
        <v>810.836620712106</v>
      </c>
    </row>
    <row r="18081" customFormat="false" ht="15" hidden="false" customHeight="false" outlineLevel="0" collapsed="false">
      <c r="A18081" s="1" t="s">
        <v>1133</v>
      </c>
      <c r="B18081" s="1" t="s">
        <v>81</v>
      </c>
      <c r="E18081" s="15" t="n">
        <f aca="false">sh_out26</f>
        <v>7.427</v>
      </c>
      <c r="F18081" s="15" t="n">
        <f aca="false">Sens!E18081+sh_iss-Sens!F18075/Sens!F18080</f>
        <v>7.47150921190614</v>
      </c>
      <c r="G18081" s="15" t="n">
        <f aca="false">Sens!F18081+sh_iss-Sens!G18075/Sens!G18080</f>
        <v>7.51650921190614</v>
      </c>
      <c r="H18081" s="15" t="n">
        <f aca="false">Sens!G18081+sh_iss-Sens!H18075/Sens!H18080</f>
        <v>7.52690908996374</v>
      </c>
      <c r="I18081" s="15" t="n">
        <f aca="false">Sens!H18081+sh_iss-Sens!I18075/Sens!I18080</f>
        <v>7.53987194001708</v>
      </c>
      <c r="J18081" s="15" t="n">
        <f aca="false">Sens!I18081+sh_iss-Sens!J18075/Sens!J18080</f>
        <v>7.55520791228868</v>
      </c>
      <c r="K18081" s="15" t="n">
        <f aca="false">Sens!J18081+sh_iss-Sens!K18075/Sens!K18080</f>
        <v>7.57274121994758</v>
      </c>
    </row>
    <row r="18082" customFormat="false" ht="15" hidden="false" customHeight="false" outlineLevel="0" collapsed="false">
      <c r="A18082" s="1" t="s">
        <v>1134</v>
      </c>
      <c r="B18082" s="1" t="s">
        <v>81</v>
      </c>
      <c r="E18082" s="15" t="n">
        <f aca="false">sh_dil26</f>
        <v>7.453</v>
      </c>
      <c r="F18082" s="15" t="n">
        <f aca="false">(Sens!E18081+Sens!F18081)/2+dil_gap</f>
        <v>7.47325460595307</v>
      </c>
      <c r="G18082" s="15" t="n">
        <f aca="false">(Sens!F18081+Sens!G18081)/2+dil_gap</f>
        <v>7.51800921190614</v>
      </c>
      <c r="H18082" s="15" t="n">
        <f aca="false">(Sens!G18081+Sens!H18081)/2+dil_gap</f>
        <v>7.54570915093494</v>
      </c>
      <c r="I18082" s="15" t="n">
        <f aca="false">(Sens!H18081+Sens!I18081)/2+dil_gap</f>
        <v>7.55739051499041</v>
      </c>
      <c r="J18082" s="15" t="n">
        <f aca="false">(Sens!I18081+Sens!J18081)/2+dil_gap</f>
        <v>7.57153992615288</v>
      </c>
      <c r="K18082" s="15" t="n">
        <f aca="false">(Sens!J18081+Sens!K18081)/2+dil_gap</f>
        <v>7.58797456611813</v>
      </c>
    </row>
    <row r="18083" customFormat="false" ht="17.15" hidden="false" customHeight="false" outlineLevel="0" collapsed="false">
      <c r="A18083" s="1" t="s">
        <v>1135</v>
      </c>
      <c r="B18083" s="0" t="s">
        <v>98</v>
      </c>
      <c r="C18083" s="6" t="n">
        <f aca="false">SUM(Sens!F18073:J18073)</f>
        <v>259.640221200433</v>
      </c>
    </row>
    <row r="18084" customFormat="false" ht="15" hidden="false" customHeight="false" outlineLevel="0" collapsed="false">
      <c r="A18084" s="26" t="s">
        <v>1100</v>
      </c>
      <c r="B18084" s="31" t="s">
        <v>98</v>
      </c>
      <c r="C18084" s="27" t="n">
        <f aca="false">Sens!$C$18083-(Sens!F18073+Sens!G18073+Sens!H18073+Sens!I18073+Sens!J18073)</f>
        <v>0</v>
      </c>
      <c r="D18084" s="31"/>
      <c r="E18084" s="31"/>
      <c r="F18084" s="31"/>
      <c r="G18084" s="31"/>
      <c r="H18084" s="31"/>
      <c r="I18084" s="31"/>
      <c r="J18084" s="31"/>
      <c r="K18084" s="31"/>
    </row>
    <row r="18085" customFormat="false" ht="17.15" hidden="false" customHeight="false" outlineLevel="0" collapsed="false">
      <c r="A18085" s="1" t="s">
        <v>1094</v>
      </c>
      <c r="B18085" s="1" t="s">
        <v>1136</v>
      </c>
      <c r="C18085" s="33" t="str">
        <f aca="false">IF(SUM(Sens!F18076:J18076)&gt;0.05,"需要舉債 "&amp;TEXT(SUM(Sens!F18076:J18076),"0.0")&amp;" 十億美元","不需舉債")&amp;"；"&amp;IF(SUM(Sens!F18075:J18075)&lt;COUNT(Sens!F18075:J18075)*bb_target-0.05,"回購較每年 "&amp;TEXT(bb_target,"0.0")&amp;" 的目標少 "&amp;TEXT(COUNT(Sens!F18075:J18075)*bb_target-SUM(Sens!F18075:J18075),"0.0")&amp;" 十億美元（"&amp;TEXT(COUNTIF(Sens!F18075:J18075,"&lt;"&amp;(bb_target-0.05)),"0")&amp;" 年減少）","回購不減")</f>
        <v>需要舉債 8.1 十億美元；回購較每年 22.3 的目標少 44.3 十億美元（2 年減少）</v>
      </c>
    </row>
    <row r="18086" customFormat="false" ht="17.15" hidden="false" customHeight="false" outlineLevel="0" collapsed="false">
      <c r="A18086" s="3" t="s">
        <v>2058</v>
      </c>
    </row>
    <row r="18087" customFormat="false" ht="15" hidden="false" customHeight="false" outlineLevel="0" collapsed="false">
      <c r="A18087" s="4" t="s">
        <v>43</v>
      </c>
      <c r="B18087" s="4" t="s">
        <v>65</v>
      </c>
      <c r="C18087" s="23" t="s">
        <v>942</v>
      </c>
      <c r="D18087" s="23" t="s">
        <v>943</v>
      </c>
      <c r="E18087" s="23" t="s">
        <v>944</v>
      </c>
      <c r="F18087" s="23" t="s">
        <v>945</v>
      </c>
      <c r="G18087" s="23" t="s">
        <v>946</v>
      </c>
      <c r="H18087" s="23" t="s">
        <v>947</v>
      </c>
      <c r="I18087" s="23" t="s">
        <v>948</v>
      </c>
      <c r="J18087" s="23" t="s">
        <v>949</v>
      </c>
      <c r="K18087" s="23" t="s">
        <v>950</v>
      </c>
      <c r="L18087" s="4" t="s">
        <v>47</v>
      </c>
    </row>
    <row r="18088" customFormat="false" ht="17.15" hidden="false" customHeight="false" outlineLevel="0" collapsed="false">
      <c r="A18088" s="1" t="s">
        <v>1216</v>
      </c>
      <c r="B18088" s="1" t="s">
        <v>279</v>
      </c>
      <c r="F18088" s="8" t="n">
        <f aca="false">(1-v_off)*mid_yr</f>
        <v>0.373972602739726</v>
      </c>
      <c r="G18088" s="8" t="n">
        <f aca="false">Sens!G17938-base_fy-mid_yr-v_off</f>
        <v>1.24794520547945</v>
      </c>
      <c r="H18088" s="8" t="n">
        <f aca="false">Sens!H17938-base_fy-mid_yr-v_off</f>
        <v>2.24794520547945</v>
      </c>
      <c r="I18088" s="8" t="n">
        <f aca="false">Sens!I17938-base_fy-mid_yr-v_off</f>
        <v>3.24794520547945</v>
      </c>
      <c r="J18088" s="8" t="n">
        <f aca="false">Sens!J17938-base_fy-mid_yr-v_off</f>
        <v>4.24794520547945</v>
      </c>
      <c r="K18088" s="8" t="n">
        <f aca="false">Sens!K17938-base_fy-mid_yr-v_off</f>
        <v>5.24794520547945</v>
      </c>
      <c r="L18088" s="12" t="s">
        <v>1217</v>
      </c>
    </row>
    <row r="18089" customFormat="false" ht="15" hidden="false" customHeight="false" outlineLevel="0" collapsed="false">
      <c r="A18089" s="1" t="s">
        <v>1218</v>
      </c>
      <c r="B18089" s="1" t="s">
        <v>279</v>
      </c>
      <c r="F18089" s="8" t="n">
        <f aca="false">Sens!F17938-base_fy-v_off</f>
        <v>0.747945205479452</v>
      </c>
      <c r="G18089" s="8" t="n">
        <f aca="false">Sens!G17938-base_fy-v_off</f>
        <v>1.74794520547945</v>
      </c>
      <c r="H18089" s="8" t="n">
        <f aca="false">Sens!H17938-base_fy-v_off</f>
        <v>2.74794520547945</v>
      </c>
      <c r="I18089" s="8" t="n">
        <f aca="false">Sens!I17938-base_fy-v_off</f>
        <v>3.74794520547945</v>
      </c>
      <c r="J18089" s="8" t="n">
        <f aca="false">Sens!J17938-base_fy-v_off</f>
        <v>4.74794520547945</v>
      </c>
      <c r="K18089" s="8" t="n">
        <f aca="false">Sens!K17938-base_fy-v_off</f>
        <v>5.74794520547945</v>
      </c>
    </row>
    <row r="18090" customFormat="false" ht="15" hidden="false" customHeight="false" outlineLevel="0" collapsed="false">
      <c r="A18090" s="1" t="s">
        <v>1219</v>
      </c>
      <c r="B18090" s="0" t="s">
        <v>229</v>
      </c>
      <c r="F18090" s="15" t="n">
        <f aca="false">1/(1+wacc)^Sens!F18088</f>
        <v>0.964022703286649</v>
      </c>
      <c r="G18090" s="15" t="n">
        <f aca="false">1/(1+wacc)^Sens!G18088</f>
        <v>0.884910302296739</v>
      </c>
      <c r="H18090" s="15" t="n">
        <f aca="false">1/(1+wacc)^Sens!H18088</f>
        <v>0.802322009770358</v>
      </c>
      <c r="I18090" s="15" t="n">
        <f aca="false">1/(1+wacc)^Sens!I18088</f>
        <v>0.727441646561469</v>
      </c>
      <c r="J18090" s="15" t="n">
        <f aca="false">1/(1+wacc)^Sens!J18088</f>
        <v>0.659549834988973</v>
      </c>
      <c r="K18090" s="15" t="n">
        <f aca="false">1/(1+wacc)^Sens!K18088</f>
        <v>0.597994336576966</v>
      </c>
    </row>
    <row r="18091" customFormat="false" ht="17.15" hidden="false" customHeight="false" outlineLevel="0" collapsed="false">
      <c r="A18091" s="1" t="s">
        <v>1220</v>
      </c>
      <c r="B18091" s="0" t="s">
        <v>98</v>
      </c>
      <c r="F18091" s="6" t="n">
        <f aca="false">Q!$I$35-Q!$I$39-Q!$I$43</f>
        <v>9.666</v>
      </c>
      <c r="L18091" s="12" t="s">
        <v>1221</v>
      </c>
    </row>
    <row r="18092" customFormat="false" ht="17.15" hidden="false" customHeight="false" outlineLevel="0" collapsed="false">
      <c r="A18092" s="1" t="s">
        <v>1222</v>
      </c>
      <c r="B18092" s="0" t="s">
        <v>98</v>
      </c>
      <c r="F18092" s="6" t="n">
        <f aca="false">Sens!F18063-Sens!F18060-Sens!F18067+Sens!F18045*(1-tax_f)*(1-v_off)-Sens!F18091</f>
        <v>-3.35959150009219</v>
      </c>
      <c r="G18092" s="6" t="n">
        <f aca="false">Sens!G18063-Sens!G18060-Sens!G18067+Sens!G18045*(1-tax_f)</f>
        <v>29.8084558049697</v>
      </c>
      <c r="H18092" s="6" t="n">
        <f aca="false">Sens!H18063-Sens!H18060-Sens!H18067+Sens!H18045*(1-tax_f)</f>
        <v>79.3231804811968</v>
      </c>
      <c r="I18092" s="6" t="n">
        <f aca="false">Sens!I18063-Sens!I18060-Sens!I18067+Sens!I18045*(1-tax_f)</f>
        <v>157.291328485525</v>
      </c>
      <c r="J18092" s="6" t="n">
        <f aca="false">Sens!J18063-Sens!J18060-Sens!J18067+Sens!J18045*(1-tax_f)</f>
        <v>235.537602236907</v>
      </c>
      <c r="K18092" s="6" t="n">
        <f aca="false">Sens!K18063-Sens!K18060-Sens!K18067+Sens!K18045*(1-tax_f)</f>
        <v>273.705067626625</v>
      </c>
      <c r="L18092" s="1" t="s">
        <v>1223</v>
      </c>
    </row>
    <row r="18093" customFormat="false" ht="15" hidden="false" customHeight="false" outlineLevel="0" collapsed="false">
      <c r="A18093" s="1" t="s">
        <v>1224</v>
      </c>
      <c r="B18093" s="0" t="s">
        <v>98</v>
      </c>
      <c r="F18093" s="6" t="n">
        <f aca="false">Sens!F18092*Sens!F18090</f>
        <v>-3.23872247985772</v>
      </c>
      <c r="G18093" s="6" t="n">
        <f aca="false">Sens!G18092*Sens!G18090</f>
        <v>26.3778096373748</v>
      </c>
      <c r="H18093" s="6" t="n">
        <f aca="false">Sens!H18092*Sens!H18090</f>
        <v>63.6427335850506</v>
      </c>
      <c r="I18093" s="6" t="n">
        <f aca="false">Sens!I18092*Sens!I18090</f>
        <v>114.420262983351</v>
      </c>
      <c r="J18093" s="6" t="n">
        <f aca="false">Sens!J18092*Sens!J18090</f>
        <v>155.34878668905</v>
      </c>
      <c r="K18093" s="6" t="n">
        <f aca="false">Sens!K18092*Sens!K18090</f>
        <v>163.674080333137</v>
      </c>
    </row>
    <row r="18094" customFormat="false" ht="17.15" hidden="false" customHeight="false" outlineLevel="0" collapsed="false">
      <c r="A18094" s="1" t="s">
        <v>1225</v>
      </c>
      <c r="B18094" s="0" t="s">
        <v>98</v>
      </c>
      <c r="C18094" s="6" t="n">
        <f aca="false">SUM(Sens!F18093:K18093)</f>
        <v>520.224950748107</v>
      </c>
    </row>
    <row r="18095" customFormat="false" ht="17.15" hidden="false" customHeight="false" outlineLevel="0" collapsed="false">
      <c r="A18095" s="1" t="s">
        <v>1226</v>
      </c>
      <c r="B18095" s="0" t="s">
        <v>98</v>
      </c>
      <c r="C18095" s="6" t="n">
        <f aca="false">Sens!K18031*(1+g_tv)*(1-tax_f)</f>
        <v>284.979532393859</v>
      </c>
    </row>
    <row r="18096" customFormat="false" ht="17.15" hidden="false" customHeight="false" outlineLevel="0" collapsed="false">
      <c r="A18096" s="1" t="s">
        <v>1227</v>
      </c>
      <c r="B18096" s="0" t="s">
        <v>98</v>
      </c>
      <c r="C18096" s="6" t="n">
        <f aca="false">Sens!$C$18095*(1-g_tv/(wacc+ronic_prem))</f>
        <v>201.924654694109</v>
      </c>
    </row>
    <row r="18097" customFormat="false" ht="17.15" hidden="false" customHeight="false" outlineLevel="0" collapsed="false">
      <c r="A18097" s="1" t="s">
        <v>1228</v>
      </c>
      <c r="B18097" s="0" t="s">
        <v>98</v>
      </c>
      <c r="C18097" s="6" t="n">
        <f aca="false">Sens!$C$18096/(wacc-g_tv)</f>
        <v>2768.495923325</v>
      </c>
    </row>
    <row r="18098" customFormat="false" ht="15" hidden="false" customHeight="false" outlineLevel="0" collapsed="false">
      <c r="A18098" s="1" t="s">
        <v>1229</v>
      </c>
      <c r="B18098" s="0" t="s">
        <v>98</v>
      </c>
      <c r="C18098" s="6" t="n">
        <f aca="false">Sens!$C$18097/(1+wacc)^Sens!K18089</f>
        <v>1576.39731591642</v>
      </c>
    </row>
    <row r="18099" customFormat="false" ht="17.15" hidden="false" customHeight="false" outlineLevel="0" collapsed="false">
      <c r="A18099" s="0" t="s">
        <v>1230</v>
      </c>
      <c r="B18099" s="0" t="s">
        <v>98</v>
      </c>
      <c r="C18099" s="6" t="n">
        <f aca="false">Sens!$C$18094+Sens!$C$18098</f>
        <v>2096.62226666453</v>
      </c>
    </row>
    <row r="18100" customFormat="false" ht="15" hidden="false" customHeight="false" outlineLevel="0" collapsed="false">
      <c r="A18100" s="1" t="s">
        <v>1145</v>
      </c>
      <c r="B18100" s="0" t="s">
        <v>168</v>
      </c>
      <c r="C18100" s="7" t="n">
        <f aca="false">Sens!$C$18098/Sens!$C$18099</f>
        <v>0.751874737276486</v>
      </c>
    </row>
    <row r="18101" customFormat="false" ht="17.15" hidden="false" customHeight="false" outlineLevel="0" collapsed="false">
      <c r="A18101" s="1" t="s">
        <v>1231</v>
      </c>
      <c r="B18101" s="0" t="s">
        <v>98</v>
      </c>
      <c r="C18101" s="6" t="n">
        <f aca="false">Sens!$C$18099+cash_val-debt_val-fl_val+oai_v</f>
        <v>2212.47326666453</v>
      </c>
    </row>
    <row r="18102" customFormat="false" ht="17.15" hidden="false" customHeight="false" outlineLevel="0" collapsed="false">
      <c r="A18102" s="0" t="s">
        <v>1153</v>
      </c>
      <c r="B18102" s="0" t="s">
        <v>75</v>
      </c>
      <c r="C18102" s="5" t="n">
        <f aca="false">Sens!$C$18101/shd_val</f>
        <v>297.135813411836</v>
      </c>
    </row>
    <row r="18103" customFormat="false" ht="15" hidden="false" customHeight="false" outlineLevel="0" collapsed="false">
      <c r="A18103" s="1" t="s">
        <v>1232</v>
      </c>
      <c r="B18103" s="0" t="s">
        <v>75</v>
      </c>
      <c r="C18103" s="8" t="n">
        <f aca="false">div_rem27+Sens!G18071*roll_div_q/q_per_yr</f>
        <v>3.9795</v>
      </c>
    </row>
    <row r="18104" customFormat="false" ht="17.15" hidden="false" customHeight="false" outlineLevel="0" collapsed="false">
      <c r="A18104" s="0" t="s">
        <v>1233</v>
      </c>
      <c r="B18104" s="0" t="s">
        <v>75</v>
      </c>
      <c r="C18104" s="5" t="n">
        <f aca="false">Sens!$C$18102*(1+wacc)^t_roll-Sens!$C$18103</f>
        <v>326.303539978018</v>
      </c>
    </row>
    <row r="18105" customFormat="false" ht="17.15" hidden="false" customHeight="false" outlineLevel="0" collapsed="false">
      <c r="A18105" s="1" t="s">
        <v>1234</v>
      </c>
      <c r="B18105" s="0" t="s">
        <v>168</v>
      </c>
      <c r="F18105" s="7" t="n">
        <f aca="false">Sens!F18057/(Sens!F18002-Sens!F17957)</f>
        <v>0.0686195612282686</v>
      </c>
      <c r="G18105" s="7" t="n">
        <f aca="false">Sens!G18057/(Sens!G18002-Sens!G17957)</f>
        <v>0.0658333523683057</v>
      </c>
      <c r="H18105" s="7" t="n">
        <f aca="false">Sens!H18057/(Sens!H18002-Sens!H17957)</f>
        <v>0.0643895588352612</v>
      </c>
      <c r="I18105" s="7" t="n">
        <f aca="false">Sens!I18057/(Sens!I18002-Sens!I17957)</f>
        <v>0.0641676587841317</v>
      </c>
      <c r="J18105" s="7" t="n">
        <f aca="false">Sens!J18057/(Sens!J18002-Sens!J17957)</f>
        <v>0.0648858581287632</v>
      </c>
      <c r="K18105" s="7" t="n">
        <f aca="false">Sens!K18057/(Sens!K18002-Sens!K17957)</f>
        <v>0.0661974403833185</v>
      </c>
    </row>
    <row r="18106" customFormat="false" ht="17.15" hidden="false" customHeight="false" outlineLevel="0" collapsed="false">
      <c r="A18106" s="0" t="s">
        <v>1235</v>
      </c>
      <c r="B18106" s="0" t="s">
        <v>98</v>
      </c>
      <c r="F18106" s="6" t="n">
        <f aca="false">Sens!F17987*(al_m365+Sens!F18105+sbc_r)</f>
        <v>83.7205612533813</v>
      </c>
      <c r="G18106" s="6" t="n">
        <f aca="false">Sens!G17987*(al_m365+Sens!G18105+sbc_r)</f>
        <v>96.1301297117237</v>
      </c>
      <c r="H18106" s="6" t="n">
        <f aca="false">Sens!H17987*(al_m365+Sens!H18105+sbc_r)</f>
        <v>108.703540167166</v>
      </c>
      <c r="I18106" s="6" t="n">
        <f aca="false">Sens!I17987*(al_m365+Sens!I18105+sbc_r)</f>
        <v>120.260100795936</v>
      </c>
      <c r="J18106" s="6" t="n">
        <f aca="false">Sens!J17987*(al_m365+Sens!J18105+sbc_r)</f>
        <v>130.611904078363</v>
      </c>
      <c r="K18106" s="6" t="n">
        <f aca="false">Sens!K17987*(al_m365+Sens!K18105+sbc_r)</f>
        <v>140.575094548453</v>
      </c>
      <c r="L18106" s="12" t="s">
        <v>1236</v>
      </c>
    </row>
    <row r="18107" customFormat="false" ht="17.15" hidden="false" customHeight="false" outlineLevel="0" collapsed="false">
      <c r="A18107" s="0" t="s">
        <v>1237</v>
      </c>
      <c r="B18107" s="0" t="s">
        <v>98</v>
      </c>
      <c r="F18107" s="6" t="n">
        <f aca="false">Sens!F17988*(al_lic+Sens!F18105+sbc_r)</f>
        <v>32.8577655009925</v>
      </c>
      <c r="G18107" s="6" t="n">
        <f aca="false">Sens!G17988*(al_lic+Sens!G18105+sbc_r)</f>
        <v>34.1376264505797</v>
      </c>
      <c r="H18107" s="6" t="n">
        <f aca="false">Sens!H17988*(al_lic+Sens!H18105+sbc_r)</f>
        <v>35.3325743134867</v>
      </c>
      <c r="I18107" s="6" t="n">
        <f aca="false">Sens!I17988*(al_lic+Sens!I18105+sbc_r)</f>
        <v>36.4244747711953</v>
      </c>
      <c r="J18107" s="6" t="n">
        <f aca="false">Sens!J17988*(al_lic+Sens!J18105+sbc_r)</f>
        <v>37.3879404959327</v>
      </c>
      <c r="K18107" s="6" t="n">
        <f aca="false">Sens!K17988*(al_lic+Sens!K18105+sbc_r)</f>
        <v>38.1943875123798</v>
      </c>
    </row>
    <row r="18108" customFormat="false" ht="17.15" hidden="false" customHeight="false" outlineLevel="0" collapsed="false">
      <c r="A18108" s="0" t="s">
        <v>1238</v>
      </c>
      <c r="B18108" s="0" t="s">
        <v>98</v>
      </c>
      <c r="F18108" s="6" t="n">
        <f aca="false">Sens!F17990*(al_ind+Sens!F18105+sbc_r)</f>
        <v>9.06041688455413</v>
      </c>
      <c r="G18108" s="6" t="n">
        <f aca="false">Sens!G17990*(al_ind+Sens!G18105+sbc_r)</f>
        <v>9.83619071621912</v>
      </c>
      <c r="H18108" s="6" t="n">
        <f aca="false">Sens!H17990*(al_ind+Sens!H18105+sbc_r)</f>
        <v>10.6570159127432</v>
      </c>
      <c r="I18108" s="6" t="n">
        <f aca="false">Sens!I17990*(al_ind+Sens!I18105+sbc_r)</f>
        <v>11.5198570767386</v>
      </c>
      <c r="J18108" s="6" t="n">
        <f aca="false">Sens!J17990*(al_ind+Sens!J18105+sbc_r)</f>
        <v>12.4150085758862</v>
      </c>
      <c r="K18108" s="6" t="n">
        <f aca="false">Sens!K17990*(al_ind+Sens!K18105+sbc_r)</f>
        <v>13.3273713885591</v>
      </c>
    </row>
    <row r="18109" customFormat="false" ht="17.15" hidden="false" customHeight="false" outlineLevel="0" collapsed="false">
      <c r="A18109" s="0" t="s">
        <v>1239</v>
      </c>
      <c r="B18109" s="0" t="s">
        <v>98</v>
      </c>
      <c r="F18109" s="6" t="n">
        <f aca="false">Sens!F17992*(al_fro+Sens!F18105+sbc_r)</f>
        <v>3.55402945225199</v>
      </c>
      <c r="G18109" s="6" t="n">
        <f aca="false">Sens!G17992*(al_fro+Sens!G18105+sbc_r)</f>
        <v>3.7636148468275</v>
      </c>
      <c r="H18109" s="6" t="n">
        <f aca="false">Sens!H17992*(al_fro+Sens!H18105+sbc_r)</f>
        <v>4.00220965207146</v>
      </c>
      <c r="I18109" s="6" t="n">
        <f aca="false">Sens!I17992*(al_fro+Sens!I18105+sbc_r)</f>
        <v>4.27257648512764</v>
      </c>
      <c r="J18109" s="6" t="n">
        <f aca="false">Sens!J17992*(al_fro+Sens!J18105+sbc_r)</f>
        <v>4.5758622151414</v>
      </c>
      <c r="K18109" s="6" t="n">
        <f aca="false">Sens!K17992*(al_fro+Sens!K18105+sbc_r)</f>
        <v>4.91213637036985</v>
      </c>
    </row>
    <row r="18110" customFormat="false" ht="17.15" hidden="false" customHeight="false" outlineLevel="0" collapsed="false">
      <c r="A18110" s="0" t="s">
        <v>1240</v>
      </c>
      <c r="B18110" s="0" t="s">
        <v>98</v>
      </c>
      <c r="F18110" s="6" t="n">
        <f aca="false">Sens!F17995*(al_srch+Sens!F18105+sbc_r)</f>
        <v>11.1890901433598</v>
      </c>
      <c r="G18110" s="6" t="n">
        <f aca="false">Sens!G17995*(al_srch+Sens!G18105+sbc_r)</f>
        <v>12.2617387535435</v>
      </c>
      <c r="H18110" s="6" t="n">
        <f aca="false">Sens!H17995*(al_srch+Sens!H18105+sbc_r)</f>
        <v>13.3794862201501</v>
      </c>
      <c r="I18110" s="6" t="n">
        <f aca="false">Sens!I17995*(al_srch+Sens!I18105+sbc_r)</f>
        <v>14.5317113690653</v>
      </c>
      <c r="J18110" s="6" t="n">
        <f aca="false">Sens!J17995*(al_srch+Sens!J18105+sbc_r)</f>
        <v>15.6984364831001</v>
      </c>
      <c r="K18110" s="6" t="n">
        <f aca="false">Sens!K17995*(al_srch+Sens!K18105+sbc_r)</f>
        <v>16.8520941367973</v>
      </c>
    </row>
    <row r="18111" customFormat="false" ht="17.15" hidden="false" customHeight="false" outlineLevel="0" collapsed="false">
      <c r="A18111" s="0" t="s">
        <v>1241</v>
      </c>
      <c r="B18111" s="0" t="s">
        <v>98</v>
      </c>
      <c r="F18111" s="6" t="n">
        <f aca="false">Sens!F17963-Sens!F17964+Sens!F18045</f>
        <v>42.5431090240393</v>
      </c>
      <c r="G18111" s="6" t="n">
        <f aca="false">Sens!G17963-Sens!G17964+Sens!G18045</f>
        <v>81.4922561130847</v>
      </c>
      <c r="H18111" s="6" t="n">
        <f aca="false">Sens!H17963-Sens!H17964+Sens!H18045</f>
        <v>123.278266211349</v>
      </c>
      <c r="I18111" s="6" t="n">
        <f aca="false">Sens!I17963-Sens!I17964+Sens!I18045</f>
        <v>160.60594185192</v>
      </c>
      <c r="J18111" s="6" t="n">
        <f aca="false">Sens!J17963-Sens!J17964+Sens!J18045</f>
        <v>186.818741832633</v>
      </c>
      <c r="K18111" s="6" t="n">
        <f aca="false">Sens!K17963-Sens!K17964+Sens!K18045</f>
        <v>202.776422159652</v>
      </c>
    </row>
    <row r="18112" customFormat="false" ht="17.15" hidden="false" customHeight="false" outlineLevel="0" collapsed="false">
      <c r="A18112" s="0" t="s">
        <v>1242</v>
      </c>
      <c r="B18112" s="0" t="s">
        <v>98</v>
      </c>
      <c r="F18112" s="6" t="n">
        <f aca="false">Sens!F18024+Sens!F18045+Sens!F17975+Sens!F18105*(Sens!F17994-Sens!F17957)+sbc_r*Sens!F17994</f>
        <v>238.090727717011</v>
      </c>
      <c r="G18112" s="6" t="n">
        <f aca="false">Sens!G18024+Sens!G18045+Sens!G17975+Sens!G18105*(Sens!G17994-Sens!G17957)+sbc_r*Sens!G17994</f>
        <v>299.908361186955</v>
      </c>
      <c r="H18112" s="6" t="n">
        <f aca="false">Sens!H18024+Sens!H18045+Sens!H17975+Sens!H18105*(Sens!H17994-Sens!H17957)+sbc_r*Sens!H17994</f>
        <v>369.457709695709</v>
      </c>
      <c r="I18112" s="6" t="n">
        <f aca="false">Sens!I18024+Sens!I18045+Sens!I17975+Sens!I18105*(Sens!I17994-Sens!I17957)+sbc_r*Sens!I17994</f>
        <v>433.165851505129</v>
      </c>
      <c r="J18112" s="6" t="n">
        <f aca="false">Sens!J18024+Sens!J18045+Sens!J17975+Sens!J18105*(Sens!J17994-Sens!J17957)+sbc_r*Sens!J17994</f>
        <v>483.301303320084</v>
      </c>
      <c r="K18112" s="6" t="n">
        <f aca="false">Sens!K18024+Sens!K18045+Sens!K17975+Sens!K18105*(Sens!K17994-Sens!K17957)+sbc_r*Sens!K17994</f>
        <v>520.789002372039</v>
      </c>
    </row>
    <row r="18113" customFormat="false" ht="17.15" hidden="false" customHeight="false" outlineLevel="0" collapsed="false">
      <c r="A18113" s="0" t="s">
        <v>1243</v>
      </c>
      <c r="B18113" s="0" t="s">
        <v>98</v>
      </c>
      <c r="F18113" s="6" t="n">
        <f aca="false">Sens!F18112-Sens!F18106-Sens!F18107-Sens!F18108-Sens!F18109-Sens!F18111</f>
        <v>66.3548456017913</v>
      </c>
      <c r="G18113" s="6" t="n">
        <f aca="false">Sens!G18112-Sens!G18106-Sens!G18107-Sens!G18108-Sens!G18109-Sens!G18111</f>
        <v>74.5485433485203</v>
      </c>
      <c r="H18113" s="6" t="n">
        <f aca="false">Sens!H18112-Sens!H18106-Sens!H18107-Sens!H18108-Sens!H18109-Sens!H18111</f>
        <v>87.4841034388928</v>
      </c>
      <c r="I18113" s="6" t="n">
        <f aca="false">Sens!I18112-Sens!I18106-Sens!I18107-Sens!I18108-Sens!I18109-Sens!I18111</f>
        <v>100.082900524212</v>
      </c>
      <c r="J18113" s="6" t="n">
        <f aca="false">Sens!J18112-Sens!J18106-Sens!J18107-Sens!J18108-Sens!J18109-Sens!J18111</f>
        <v>111.491846122128</v>
      </c>
      <c r="K18113" s="6" t="n">
        <f aca="false">Sens!K18112-Sens!K18106-Sens!K18107-Sens!K18108-Sens!K18109-Sens!K18111</f>
        <v>121.003590392626</v>
      </c>
    </row>
    <row r="18114" customFormat="false" ht="17.15" hidden="false" customHeight="false" outlineLevel="0" collapsed="false">
      <c r="A18114" s="0" t="s">
        <v>1244</v>
      </c>
      <c r="B18114" s="0" t="s">
        <v>98</v>
      </c>
      <c r="F18114" s="6" t="n">
        <f aca="false">Sens!F18026+Sens!F18105*Sens!F18001+sbc_r*Sens!F18001</f>
        <v>26.6336362214729</v>
      </c>
      <c r="G18114" s="6" t="n">
        <f aca="false">Sens!G18026+Sens!G18105*Sens!G18001+sbc_r*Sens!G18001</f>
        <v>26.4720856485379</v>
      </c>
      <c r="H18114" s="6" t="n">
        <f aca="false">Sens!H18026+Sens!H18105*Sens!H18001+sbc_r*Sens!H18001</f>
        <v>27.3467927679609</v>
      </c>
      <c r="I18114" s="6" t="n">
        <f aca="false">Sens!I18026+Sens!I18105*Sens!I18001+sbc_r*Sens!I18001</f>
        <v>28.4574655694159</v>
      </c>
      <c r="J18114" s="6" t="n">
        <f aca="false">Sens!J18026+Sens!J18105*Sens!J18001+sbc_r*Sens!J18001</f>
        <v>29.7689888657105</v>
      </c>
      <c r="K18114" s="6" t="n">
        <f aca="false">Sens!K18026+Sens!K18105*Sens!K18001+sbc_r*Sens!K18001</f>
        <v>31.2443945640457</v>
      </c>
    </row>
    <row r="18115" customFormat="false" ht="17.15" hidden="false" customHeight="false" outlineLevel="0" collapsed="false">
      <c r="A18115" s="0" t="s">
        <v>1245</v>
      </c>
      <c r="B18115" s="0" t="s">
        <v>98</v>
      </c>
      <c r="F18115" s="6" t="n">
        <f aca="false">(Sens!F18114-Sens!F18110)*Sens!F17997/(Sens!F17997+Sens!F17999)</f>
        <v>8.72285596481298</v>
      </c>
      <c r="G18115" s="6" t="n">
        <f aca="false">(Sens!G18114-Sens!G18110)*Sens!G17997/(Sens!G17997+Sens!G17999)</f>
        <v>7.88786446392953</v>
      </c>
      <c r="H18115" s="6" t="n">
        <f aca="false">(Sens!H18114-Sens!H18110)*Sens!H17997/(Sens!H17997+Sens!H17999)</f>
        <v>7.65195979667305</v>
      </c>
      <c r="I18115" s="6" t="n">
        <f aca="false">(Sens!I18114-Sens!I18110)*Sens!I17997/(Sens!I17997+Sens!I17999)</f>
        <v>7.56260434855743</v>
      </c>
      <c r="J18115" s="6" t="n">
        <f aca="false">(Sens!J18114-Sens!J18110)*Sens!J17997/(Sens!J17997+Sens!J17999)</f>
        <v>7.6079009600773</v>
      </c>
      <c r="K18115" s="6" t="n">
        <f aca="false">(Sens!K18114-Sens!K18110)*Sens!K17997/(Sens!K17997+Sens!K17999)</f>
        <v>7.78186905963319</v>
      </c>
    </row>
    <row r="18116" customFormat="false" ht="17.15" hidden="false" customHeight="false" outlineLevel="0" collapsed="false">
      <c r="A18116" s="0" t="s">
        <v>1246</v>
      </c>
      <c r="B18116" s="0" t="s">
        <v>98</v>
      </c>
      <c r="F18116" s="6" t="n">
        <f aca="false">Sens!F18114-Sens!F18110-Sens!F18115</f>
        <v>6.72169011330004</v>
      </c>
      <c r="G18116" s="6" t="n">
        <f aca="false">Sens!G18114-Sens!G18110-Sens!G18115</f>
        <v>6.32248243106489</v>
      </c>
      <c r="H18116" s="6" t="n">
        <f aca="false">Sens!H18114-Sens!H18110-Sens!H18115</f>
        <v>6.31534675113777</v>
      </c>
      <c r="I18116" s="6" t="n">
        <f aca="false">Sens!I18114-Sens!I18110-Sens!I18115</f>
        <v>6.3631498517932</v>
      </c>
      <c r="J18116" s="6" t="n">
        <f aca="false">Sens!J18114-Sens!J18110-Sens!J18115</f>
        <v>6.46265142253312</v>
      </c>
      <c r="K18116" s="6" t="n">
        <f aca="false">Sens!K18114-Sens!K18110-Sens!K18115</f>
        <v>6.61043136761522</v>
      </c>
    </row>
    <row r="18117" customFormat="false" ht="17.15" hidden="false" customHeight="false" outlineLevel="0" collapsed="false">
      <c r="A18117" s="0" t="s">
        <v>1247</v>
      </c>
      <c r="B18117" s="0" t="s">
        <v>98</v>
      </c>
      <c r="F18117" s="6" t="n">
        <f aca="false">Sens!F18111-tax_f*(Sens!F18111-Sens!F17975)-Sens!F17972</f>
        <v>-127.503573061565</v>
      </c>
      <c r="G18117" s="6" t="n">
        <f aca="false">Sens!G18111-tax_f*(Sens!G18111-Sens!G17975)-Sens!G17972</f>
        <v>-114.603771979499</v>
      </c>
      <c r="H18117" s="6" t="n">
        <f aca="false">Sens!H18111-tax_f*(Sens!H18111-Sens!H17975)-Sens!H17972</f>
        <v>-80.3633723145219</v>
      </c>
      <c r="I18117" s="6" t="n">
        <f aca="false">Sens!I18111-tax_f*(Sens!I18111-Sens!I17975)-Sens!I17972</f>
        <v>-17.2838775525429</v>
      </c>
      <c r="J18117" s="6" t="n">
        <f aca="false">Sens!J18111-tax_f*(Sens!J18111-Sens!J17975)-Sens!J17972</f>
        <v>46.9281975287073</v>
      </c>
      <c r="K18117" s="6" t="n">
        <f aca="false">Sens!K18111-tax_f*(Sens!K18111-Sens!K17975)-Sens!K17972</f>
        <v>71.8608192217974</v>
      </c>
    </row>
    <row r="18118" customFormat="false" ht="17.15" hidden="false" customHeight="false" outlineLevel="0" collapsed="false">
      <c r="A18118" s="0" t="s">
        <v>1248</v>
      </c>
      <c r="B18118" s="0" t="s">
        <v>98</v>
      </c>
      <c r="G18118" s="6" t="n">
        <f aca="false">Sens!G18117/(1+wacc)^(Sens!G18088-Sens!F18089)</f>
        <v>-109.124844876853</v>
      </c>
      <c r="H18118" s="6" t="n">
        <f aca="false">Sens!H18117/(1+wacc)^(Sens!H18088-Sens!F18089)</f>
        <v>-69.3796868471312</v>
      </c>
      <c r="I18118" s="6" t="n">
        <f aca="false">Sens!I18117/(1+wacc)^(Sens!I18088-Sens!F18089)</f>
        <v>-13.5289726303376</v>
      </c>
      <c r="J18118" s="6" t="n">
        <f aca="false">Sens!J18117/(1+wacc)^(Sens!J18088-Sens!F18089)</f>
        <v>33.3048104190377</v>
      </c>
      <c r="K18118" s="6" t="n">
        <f aca="false">Sens!K18117/(1+wacc)^(Sens!K18088-Sens!F18089)</f>
        <v>46.2396684078545</v>
      </c>
      <c r="L18118" s="1" t="s">
        <v>1249</v>
      </c>
    </row>
    <row r="18119" customFormat="false" ht="17.15" hidden="false" customHeight="false" outlineLevel="0" collapsed="false">
      <c r="A18119" s="0" t="s">
        <v>1250</v>
      </c>
      <c r="B18119" s="0" t="s">
        <v>98</v>
      </c>
      <c r="C18119" s="6" t="n">
        <f aca="false">(Sens!K18111-Sens!K17975)*(1-tax_f)*(1+g_tv)*(1-g_tv/(wacc+ronic_prem))/(wacc-g_tv)/(1+wacc)^(Sens!K18089-Sens!F18089)</f>
        <v>293.118035180647</v>
      </c>
    </row>
    <row r="18120" customFormat="false" ht="17.15" hidden="false" customHeight="false" outlineLevel="0" collapsed="false">
      <c r="A18120" s="1" t="s">
        <v>1251</v>
      </c>
      <c r="B18120" s="0" t="s">
        <v>98</v>
      </c>
      <c r="C18120" s="6" t="n">
        <f aca="false">(SUM(Sens!G18118:K18118)+Sens!$C$18119)*(1+wacc)^(t_roll-Sens!F18089)</f>
        <v>186.592119524542</v>
      </c>
      <c r="L18120" s="12" t="s">
        <v>1252</v>
      </c>
    </row>
    <row r="18121" customFormat="false" ht="17.15" hidden="false" customHeight="false" outlineLevel="0" collapsed="false">
      <c r="A18121" s="1" t="s">
        <v>1253</v>
      </c>
      <c r="B18121" s="0" t="s">
        <v>98</v>
      </c>
      <c r="C18121" s="6" t="n">
        <f aca="false">(w_ntm28*Sens!G17963+(1-w_ntm28)*Sens!H17963)*m_ai</f>
        <v>463.789109510335</v>
      </c>
    </row>
    <row r="18122" customFormat="false" ht="17.15" hidden="false" customHeight="false" outlineLevel="0" collapsed="false">
      <c r="A18122" s="1" t="s">
        <v>1254</v>
      </c>
      <c r="B18122" s="0" t="s">
        <v>98</v>
      </c>
      <c r="C18122" s="6" t="n">
        <f aca="false">(w_ntm28*Sens!G18113+(1-w_ntm28)*Sens!H18113)*m_cloud</f>
        <v>1089.0343837447</v>
      </c>
    </row>
    <row r="18123" customFormat="false" ht="17.15" hidden="false" customHeight="false" outlineLevel="0" collapsed="false">
      <c r="A18123" s="1" t="s">
        <v>1255</v>
      </c>
      <c r="B18123" s="0" t="s">
        <v>98</v>
      </c>
      <c r="C18123" s="6" t="n">
        <f aca="false">(w_ntm28*Sens!G18106+(1-w_ntm28)*Sens!H18106)*m_sw</f>
        <v>1082.8496199284</v>
      </c>
    </row>
    <row r="18124" customFormat="false" ht="17.15" hidden="false" customHeight="false" outlineLevel="0" collapsed="false">
      <c r="A18124" s="1" t="s">
        <v>1256</v>
      </c>
      <c r="B18124" s="0" t="s">
        <v>98</v>
      </c>
      <c r="C18124" s="6" t="n">
        <f aca="false">(w_ntm28*Sens!G18107+(1-w_ntm28)*Sens!H18107)*m_sw</f>
        <v>372.929249037021</v>
      </c>
    </row>
    <row r="18125" customFormat="false" ht="17.15" hidden="false" customHeight="false" outlineLevel="0" collapsed="false">
      <c r="A18125" s="1" t="s">
        <v>1257</v>
      </c>
      <c r="B18125" s="0" t="s">
        <v>98</v>
      </c>
      <c r="C18125" s="6" t="n">
        <f aca="false">(w_ntm28*Sens!G18108+(1-w_ntm28)*Sens!H18108)*m_sw</f>
        <v>109.145351391866</v>
      </c>
    </row>
    <row r="18126" customFormat="false" ht="17.15" hidden="false" customHeight="false" outlineLevel="0" collapsed="false">
      <c r="A18126" s="1" t="s">
        <v>1258</v>
      </c>
      <c r="B18126" s="0" t="s">
        <v>98</v>
      </c>
      <c r="C18126" s="6" t="n">
        <f aca="false">(w_ntm28*Sens!G18109+(1-w_ntm28)*Sens!H18109)*m_sw</f>
        <v>41.4942153254525</v>
      </c>
    </row>
    <row r="18127" customFormat="false" ht="17.15" hidden="false" customHeight="false" outlineLevel="0" collapsed="false">
      <c r="A18127" s="1" t="s">
        <v>1259</v>
      </c>
      <c r="B18127" s="0" t="s">
        <v>98</v>
      </c>
      <c r="C18127" s="6" t="n">
        <f aca="false">(w_ntm28*Sens!G18110+(1-w_ntm28)*Sens!H18110)*m_ads</f>
        <v>115.052170265314</v>
      </c>
    </row>
    <row r="18128" customFormat="false" ht="17.15" hidden="false" customHeight="false" outlineLevel="0" collapsed="false">
      <c r="A18128" s="1" t="s">
        <v>1260</v>
      </c>
      <c r="B18128" s="0" t="s">
        <v>98</v>
      </c>
      <c r="C18128" s="6" t="n">
        <f aca="false">(w_ntm28*Sens!G18115+(1-w_ntm28)*Sens!H18115)*m_game</f>
        <v>98.6441744432822</v>
      </c>
    </row>
    <row r="18129" customFormat="false" ht="17.15" hidden="false" customHeight="false" outlineLevel="0" collapsed="false">
      <c r="A18129" s="1" t="s">
        <v>1261</v>
      </c>
      <c r="B18129" s="0" t="s">
        <v>98</v>
      </c>
      <c r="C18129" s="6" t="n">
        <f aca="false">(w_ntm28*Sens!G18116+(1-w_ntm28)*Sens!H18116)*m_pc</f>
        <v>91.4523744908639</v>
      </c>
    </row>
    <row r="18130" customFormat="false" ht="17.15" hidden="false" customHeight="false" outlineLevel="0" collapsed="false">
      <c r="A18130" s="1" t="s">
        <v>1262</v>
      </c>
      <c r="B18130" s="0" t="s">
        <v>98</v>
      </c>
      <c r="C18130" s="6" t="n">
        <f aca="false">Sens!$C$18120+Sens!$C$18122+Sens!$C$18123+Sens!$C$18124+Sens!$C$18125+Sens!$C$18126+Sens!$C$18127+Sens!$C$18128+Sens!$C$18129</f>
        <v>3187.19365815144</v>
      </c>
    </row>
    <row r="18131" customFormat="false" ht="17.15" hidden="false" customHeight="false" outlineLevel="0" collapsed="false">
      <c r="A18131" s="1" t="s">
        <v>1263</v>
      </c>
      <c r="B18131" s="0" t="s">
        <v>98</v>
      </c>
      <c r="C18131" s="6" t="n">
        <f aca="false">(Sens!G18092-Sens!G18117)*t_stub</f>
        <v>47.8736426353991</v>
      </c>
      <c r="L18131" s="1" t="s">
        <v>1264</v>
      </c>
    </row>
    <row r="18132" customFormat="false" ht="17.15" hidden="false" customHeight="false" outlineLevel="0" collapsed="false">
      <c r="A18132" s="1" t="s">
        <v>1173</v>
      </c>
      <c r="B18132" s="0" t="s">
        <v>98</v>
      </c>
      <c r="C18132" s="6" t="n">
        <f aca="false">Sens!F18079+oai_v-Sens!F18068+Sens!$C$18131</f>
        <v>162.101912635399</v>
      </c>
      <c r="L18132" s="1" t="s">
        <v>1265</v>
      </c>
    </row>
    <row r="18133" customFormat="false" ht="17.15" hidden="false" customHeight="false" outlineLevel="0" collapsed="false">
      <c r="A18133" s="1" t="s">
        <v>1266</v>
      </c>
      <c r="B18133" s="0" t="s">
        <v>75</v>
      </c>
      <c r="C18133" s="5" t="n">
        <f aca="false">(Sens!$C$18130+Sens!$C$18132)/(Sens!F18081+dil_gap)-Sens!G18071*roll_div_q/q_per_yr</f>
        <v>445.800798116998</v>
      </c>
      <c r="L18133" s="1" t="s">
        <v>1267</v>
      </c>
    </row>
    <row r="18134" customFormat="false" ht="17.15" hidden="false" customHeight="false" outlineLevel="0" collapsed="false">
      <c r="A18134" s="1" t="s">
        <v>1268</v>
      </c>
      <c r="B18134" s="0" t="s">
        <v>75</v>
      </c>
      <c r="C18134" s="5" t="n">
        <f aca="false">w_dcf*Sens!$C$18104+(1-w_dcf)*Sens!$C$18133</f>
        <v>386.052169047508</v>
      </c>
    </row>
    <row r="18135" customFormat="false" ht="17.15" hidden="false" customHeight="false" outlineLevel="0" collapsed="false">
      <c r="A18135" s="3" t="s">
        <v>2059</v>
      </c>
    </row>
    <row r="18136" customFormat="false" ht="15" hidden="false" customHeight="false" outlineLevel="0" collapsed="false">
      <c r="A18136" s="4" t="s">
        <v>43</v>
      </c>
      <c r="B18136" s="4" t="s">
        <v>65</v>
      </c>
      <c r="C18136" s="23" t="s">
        <v>942</v>
      </c>
      <c r="D18136" s="23" t="s">
        <v>943</v>
      </c>
      <c r="E18136" s="23" t="s">
        <v>944</v>
      </c>
      <c r="F18136" s="23" t="s">
        <v>945</v>
      </c>
      <c r="G18136" s="23" t="s">
        <v>946</v>
      </c>
      <c r="H18136" s="23" t="s">
        <v>947</v>
      </c>
      <c r="I18136" s="23" t="s">
        <v>948</v>
      </c>
      <c r="J18136" s="23" t="s">
        <v>949</v>
      </c>
      <c r="K18136" s="23" t="s">
        <v>950</v>
      </c>
      <c r="L18136" s="4" t="s">
        <v>47</v>
      </c>
    </row>
    <row r="18137" customFormat="false" ht="17.15" hidden="false" customHeight="false" outlineLevel="0" collapsed="false">
      <c r="A18137" s="1" t="s">
        <v>951</v>
      </c>
      <c r="B18137" s="1" t="s">
        <v>279</v>
      </c>
      <c r="C18137" s="21" t="n">
        <v>2024</v>
      </c>
      <c r="D18137" s="21" t="n">
        <v>2025</v>
      </c>
      <c r="E18137" s="21" t="n">
        <v>2026</v>
      </c>
      <c r="F18137" s="21" t="n">
        <v>2027</v>
      </c>
      <c r="G18137" s="21" t="n">
        <v>2028</v>
      </c>
      <c r="H18137" s="21" t="n">
        <v>2029</v>
      </c>
      <c r="I18137" s="21" t="n">
        <v>2030</v>
      </c>
      <c r="J18137" s="21" t="n">
        <v>2031</v>
      </c>
      <c r="K18137" s="21" t="n">
        <v>2032</v>
      </c>
    </row>
    <row r="18138" customFormat="false" ht="17.15" hidden="false" customHeight="false" outlineLevel="0" collapsed="false">
      <c r="A18138" s="1" t="s">
        <v>952</v>
      </c>
      <c r="B18138" s="0" t="s">
        <v>459</v>
      </c>
      <c r="F18138" s="30" t="n">
        <f aca="false">pace</f>
        <v>2726.5351</v>
      </c>
      <c r="G18138" s="30" t="n">
        <f aca="false">pace</f>
        <v>2726.5351</v>
      </c>
      <c r="H18138" s="30" t="n">
        <f aca="false">pace</f>
        <v>2726.5351</v>
      </c>
      <c r="I18138" s="30" t="n">
        <f aca="false">pace+(g_tv*Sens!H18139-pace)*MIN(1,(Sens!I18137-pace_y0)/(pace_y1-pace_y0))</f>
        <v>1931.98611966667</v>
      </c>
      <c r="J18138" s="30" t="n">
        <f aca="false">pace+(g_tv*Sens!I18139-pace)*MIN(1,(Sens!J18137-pace_y0)/(pace_y1-pace_y0))</f>
        <v>1176.07686172667</v>
      </c>
      <c r="K18138" s="30" t="n">
        <f aca="false">pace+(g_tv*Sens!J18139-pace)*MIN(1,(Sens!K18137-pace_y0)/(pace_y1-pace_y0))</f>
        <v>436.1300484418</v>
      </c>
      <c r="L18138" s="12" t="s">
        <v>953</v>
      </c>
    </row>
    <row r="18139" customFormat="false" ht="17.15" hidden="false" customHeight="false" outlineLevel="0" collapsed="false">
      <c r="A18139" s="1" t="s">
        <v>954</v>
      </c>
      <c r="B18139" s="0" t="s">
        <v>459</v>
      </c>
      <c r="C18139" s="30" t="n">
        <f aca="false">mw_ext_24</f>
        <v>640</v>
      </c>
      <c r="D18139" s="30" t="n">
        <f aca="false">mw_ext_25</f>
        <v>1630</v>
      </c>
      <c r="E18139" s="30" t="n">
        <f aca="false">mw_ext_26</f>
        <v>3250</v>
      </c>
      <c r="F18139" s="30" t="n">
        <f aca="false">Sens!E18139+Sens!F18138</f>
        <v>5976.5351</v>
      </c>
      <c r="G18139" s="30" t="n">
        <f aca="false">Sens!F18139+Sens!G18138</f>
        <v>8703.0702</v>
      </c>
      <c r="H18139" s="30" t="n">
        <f aca="false">Sens!G18139+Sens!H18138</f>
        <v>11429.6053</v>
      </c>
      <c r="I18139" s="30" t="n">
        <f aca="false">Sens!H18139+Sens!I18138</f>
        <v>13361.5914196667</v>
      </c>
      <c r="J18139" s="30" t="n">
        <f aca="false">Sens!I18139+Sens!J18138</f>
        <v>14537.6682813933</v>
      </c>
      <c r="K18139" s="30" t="n">
        <f aca="false">Sens!J18139+Sens!K18138</f>
        <v>14973.7983298351</v>
      </c>
      <c r="L18139" s="1" t="s">
        <v>955</v>
      </c>
    </row>
    <row r="18140" customFormat="false" ht="17.15" hidden="false" customHeight="false" outlineLevel="0" collapsed="false">
      <c r="A18140" s="1" t="s">
        <v>956</v>
      </c>
      <c r="B18140" s="0" t="s">
        <v>459</v>
      </c>
      <c r="C18140" s="30" t="n">
        <f aca="false">rent_ext_24</f>
        <v>150</v>
      </c>
      <c r="D18140" s="30" t="n">
        <f aca="false">rent_ext_25</f>
        <v>400</v>
      </c>
      <c r="E18140" s="30" t="n">
        <f aca="false">rent_ext_26</f>
        <v>550</v>
      </c>
      <c r="F18140" s="30" t="n">
        <f aca="false">rent_ext_f</f>
        <v>756</v>
      </c>
      <c r="G18140" s="30" t="n">
        <f aca="false">rent_ext_f</f>
        <v>756</v>
      </c>
      <c r="H18140" s="30" t="n">
        <f aca="false">rent_ext_f</f>
        <v>756</v>
      </c>
      <c r="I18140" s="30" t="n">
        <f aca="false">rent_ext_f</f>
        <v>756</v>
      </c>
      <c r="J18140" s="30" t="n">
        <f aca="false">rent_ext_f</f>
        <v>756</v>
      </c>
      <c r="K18140" s="30" t="n">
        <f aca="false">rent_ext_f</f>
        <v>756</v>
      </c>
      <c r="L18140" s="1" t="s">
        <v>957</v>
      </c>
    </row>
    <row r="18141" customFormat="false" ht="17.15" hidden="false" customHeight="false" outlineLevel="0" collapsed="false">
      <c r="A18141" s="1" t="s">
        <v>958</v>
      </c>
      <c r="B18141" s="0" t="s">
        <v>459</v>
      </c>
      <c r="C18141" s="30" t="n">
        <f aca="false">Sens!C18139-Sens!C18140</f>
        <v>490</v>
      </c>
      <c r="D18141" s="30" t="n">
        <f aca="false">Sens!D18139-Sens!D18140</f>
        <v>1230</v>
      </c>
      <c r="E18141" s="30" t="n">
        <f aca="false">Sens!E18139-Sens!E18140</f>
        <v>2700</v>
      </c>
      <c r="F18141" s="30" t="n">
        <f aca="false">Sens!F18139-Sens!F18140</f>
        <v>5220.5351</v>
      </c>
      <c r="G18141" s="30" t="n">
        <f aca="false">Sens!G18139-Sens!G18140</f>
        <v>7947.0702</v>
      </c>
      <c r="H18141" s="30" t="n">
        <f aca="false">Sens!H18139-Sens!H18140</f>
        <v>10673.6053</v>
      </c>
      <c r="I18141" s="30" t="n">
        <f aca="false">Sens!I18139-Sens!I18140</f>
        <v>12605.5914196667</v>
      </c>
      <c r="J18141" s="30" t="n">
        <f aca="false">Sens!J18139-Sens!J18140</f>
        <v>13781.6682813933</v>
      </c>
      <c r="K18141" s="30" t="n">
        <f aca="false">Sens!K18139-Sens!K18140</f>
        <v>14217.7983298351</v>
      </c>
    </row>
    <row r="18142" customFormat="false" ht="17.15" hidden="false" customHeight="false" outlineLevel="0" collapsed="false">
      <c r="A18142" s="1" t="s">
        <v>959</v>
      </c>
      <c r="B18142" s="0" t="s">
        <v>459</v>
      </c>
      <c r="C18142" s="30" t="n">
        <f aca="false">Sens!C18141/ext_sh</f>
        <v>816.666666666667</v>
      </c>
      <c r="D18142" s="30" t="n">
        <f aca="false">Sens!D18141/ext_sh</f>
        <v>2050</v>
      </c>
      <c r="E18142" s="30" t="n">
        <f aca="false">Sens!E18141/ext_sh</f>
        <v>4500</v>
      </c>
      <c r="F18142" s="30" t="n">
        <f aca="false">Sens!F18141/ext_sh</f>
        <v>8700.89183333333</v>
      </c>
      <c r="G18142" s="30" t="n">
        <f aca="false">Sens!G18141/ext_sh</f>
        <v>13245.117</v>
      </c>
      <c r="H18142" s="30" t="n">
        <f aca="false">Sens!H18141/ext_sh</f>
        <v>17789.3421666667</v>
      </c>
      <c r="I18142" s="30" t="n">
        <f aca="false">Sens!I18141/ext_sh</f>
        <v>21009.3190327778</v>
      </c>
      <c r="J18142" s="30" t="n">
        <f aca="false">Sens!J18141/ext_sh</f>
        <v>22969.4471356556</v>
      </c>
      <c r="K18142" s="30" t="n">
        <f aca="false">Sens!K18141/ext_sh</f>
        <v>23696.3305497252</v>
      </c>
      <c r="L18142" s="1" t="s">
        <v>960</v>
      </c>
    </row>
    <row r="18143" customFormat="false" ht="17.15" hidden="false" customHeight="false" outlineLevel="0" collapsed="false">
      <c r="A18143" s="1" t="s">
        <v>961</v>
      </c>
      <c r="B18143" s="0" t="s">
        <v>459</v>
      </c>
      <c r="C18143" s="30" t="n">
        <f aca="false">Sens!C18142-Sens!C18141</f>
        <v>326.666666666667</v>
      </c>
      <c r="D18143" s="30" t="n">
        <f aca="false">Sens!D18142-Sens!D18141</f>
        <v>820</v>
      </c>
      <c r="E18143" s="30" t="n">
        <f aca="false">Sens!E18142-Sens!E18141</f>
        <v>1800</v>
      </c>
      <c r="F18143" s="30" t="n">
        <f aca="false">Sens!F18142-Sens!F18141</f>
        <v>3480.35673333333</v>
      </c>
      <c r="G18143" s="30" t="n">
        <f aca="false">Sens!G18142-Sens!G18141</f>
        <v>5298.0468</v>
      </c>
      <c r="H18143" s="30" t="n">
        <f aca="false">Sens!H18142-Sens!H18141</f>
        <v>7115.73686666667</v>
      </c>
      <c r="I18143" s="30" t="n">
        <f aca="false">Sens!I18142-Sens!I18141</f>
        <v>8403.72761311111</v>
      </c>
      <c r="J18143" s="30" t="n">
        <f aca="false">Sens!J18142-Sens!J18141</f>
        <v>9187.77885426222</v>
      </c>
      <c r="K18143" s="30" t="n">
        <f aca="false">Sens!K18142-Sens!K18141</f>
        <v>9478.53221989009</v>
      </c>
    </row>
    <row r="18144" customFormat="false" ht="17.15" hidden="false" customHeight="false" outlineLevel="0" collapsed="false">
      <c r="A18144" s="1" t="s">
        <v>962</v>
      </c>
      <c r="B18144" s="0" t="s">
        <v>459</v>
      </c>
      <c r="C18144" s="30" t="n">
        <f aca="false">Sens!C18142</f>
        <v>816.666666666667</v>
      </c>
      <c r="D18144" s="30" t="n">
        <f aca="false">Sens!D18142-Sens!C18142</f>
        <v>1233.33333333333</v>
      </c>
      <c r="E18144" s="30" t="n">
        <f aca="false">Sens!E18142-Sens!D18142</f>
        <v>2450</v>
      </c>
      <c r="F18144" s="30" t="n">
        <f aca="false">Sens!F18142-Sens!E18142</f>
        <v>4200.89183333333</v>
      </c>
      <c r="G18144" s="30" t="n">
        <f aca="false">Sens!G18142-Sens!F18142</f>
        <v>4544.22516666667</v>
      </c>
      <c r="H18144" s="30" t="n">
        <f aca="false">Sens!H18142-Sens!G18142</f>
        <v>4544.22516666667</v>
      </c>
      <c r="I18144" s="30" t="n">
        <f aca="false">Sens!I18142-Sens!H18142</f>
        <v>3219.97686611111</v>
      </c>
      <c r="J18144" s="30" t="n">
        <f aca="false">Sens!J18142-Sens!I18142</f>
        <v>1960.12810287778</v>
      </c>
      <c r="K18144" s="30" t="n">
        <f aca="false">Sens!K18142-Sens!J18142</f>
        <v>726.883414069667</v>
      </c>
    </row>
    <row r="18145" customFormat="false" ht="17.15" hidden="false" customHeight="false" outlineLevel="0" collapsed="false">
      <c r="A18145" s="1" t="s">
        <v>963</v>
      </c>
      <c r="B18145" s="0" t="s">
        <v>459</v>
      </c>
      <c r="D18145" s="30" t="n">
        <f aca="false">Sens!D18139-Sens!C18139</f>
        <v>990</v>
      </c>
      <c r="E18145" s="30" t="n">
        <f aca="false">Sens!E18139-Sens!D18139</f>
        <v>1620</v>
      </c>
      <c r="F18145" s="30" t="n">
        <f aca="false">Sens!F18139-Sens!E18139</f>
        <v>2726.5351</v>
      </c>
      <c r="G18145" s="30" t="n">
        <f aca="false">Sens!G18139-Sens!F18139</f>
        <v>2726.5351</v>
      </c>
      <c r="H18145" s="30" t="n">
        <f aca="false">Sens!H18139-Sens!G18139</f>
        <v>2726.5351</v>
      </c>
      <c r="I18145" s="30" t="n">
        <f aca="false">Sens!I18139-Sens!H18139</f>
        <v>1931.98611966667</v>
      </c>
      <c r="J18145" s="30" t="n">
        <f aca="false">Sens!J18139-Sens!I18139</f>
        <v>1176.07686172667</v>
      </c>
      <c r="K18145" s="30" t="n">
        <f aca="false">Sens!K18139-Sens!J18139</f>
        <v>436.130048441799</v>
      </c>
    </row>
    <row r="18146" customFormat="false" ht="17.15" hidden="false" customHeight="false" outlineLevel="0" collapsed="false">
      <c r="A18146" s="1" t="s">
        <v>964</v>
      </c>
      <c r="B18146" s="0" t="s">
        <v>459</v>
      </c>
      <c r="F18146" s="30" t="n">
        <f aca="false">Sens!F18165*ext_sh</f>
        <v>0</v>
      </c>
      <c r="G18146" s="30" t="n">
        <f aca="false">Sens!G18165*ext_sh</f>
        <v>0</v>
      </c>
      <c r="H18146" s="30" t="n">
        <f aca="false">Sens!H18165*ext_sh</f>
        <v>0</v>
      </c>
      <c r="I18146" s="30" t="n">
        <f aca="false">Sens!I18165*ext_sh</f>
        <v>490</v>
      </c>
      <c r="J18146" s="30" t="n">
        <f aca="false">Sens!J18165*ext_sh</f>
        <v>740</v>
      </c>
      <c r="K18146" s="30" t="n">
        <f aca="false">Sens!K18165*ext_sh</f>
        <v>1470</v>
      </c>
      <c r="L18146" s="1" t="s">
        <v>965</v>
      </c>
    </row>
    <row r="18147" customFormat="false" ht="17.15" hidden="false" customHeight="false" outlineLevel="0" collapsed="false">
      <c r="A18147" s="1" t="s">
        <v>966</v>
      </c>
      <c r="B18147" s="0" t="s">
        <v>459</v>
      </c>
      <c r="C18147" s="30" t="n">
        <f aca="false">mix_h*Sens!C18139</f>
        <v>128</v>
      </c>
      <c r="D18147" s="30" t="n">
        <f aca="false">mix_h*Sens!D18139</f>
        <v>326</v>
      </c>
      <c r="E18147" s="30" t="n">
        <f aca="false">mix_h*Sens!E18139</f>
        <v>650</v>
      </c>
      <c r="F18147" s="30" t="n">
        <f aca="false">Sens!E18147-Sens!F18146*mix_h</f>
        <v>650</v>
      </c>
      <c r="G18147" s="30" t="n">
        <f aca="false">Sens!F18147-Sens!G18146*mix_h</f>
        <v>650</v>
      </c>
      <c r="H18147" s="30" t="n">
        <f aca="false">Sens!G18147-Sens!H18146*mix_h</f>
        <v>650</v>
      </c>
      <c r="I18147" s="30" t="n">
        <f aca="false">Sens!H18147-Sens!I18146*mix_h</f>
        <v>552</v>
      </c>
      <c r="J18147" s="30" t="n">
        <f aca="false">Sens!I18147-Sens!J18146*mix_h</f>
        <v>404</v>
      </c>
      <c r="K18147" s="30" t="n">
        <f aca="false">Sens!J18147-Sens!K18146*mix_h</f>
        <v>110</v>
      </c>
    </row>
    <row r="18148" customFormat="false" ht="17.15" hidden="false" customHeight="false" outlineLevel="0" collapsed="false">
      <c r="A18148" s="1" t="s">
        <v>967</v>
      </c>
      <c r="B18148" s="0" t="s">
        <v>459</v>
      </c>
      <c r="C18148" s="30" t="n">
        <f aca="false">mix_g2*Sens!C18139</f>
        <v>288</v>
      </c>
      <c r="D18148" s="30" t="n">
        <f aca="false">mix_g2*Sens!D18139</f>
        <v>733.5</v>
      </c>
      <c r="E18148" s="30" t="n">
        <f aca="false">mix_g2*Sens!E18139</f>
        <v>1462.5</v>
      </c>
      <c r="F18148" s="30" t="n">
        <f aca="false">Sens!E18148-Sens!F18146*mix_g2</f>
        <v>1462.5</v>
      </c>
      <c r="G18148" s="30" t="n">
        <f aca="false">Sens!F18148-Sens!G18146*mix_g2</f>
        <v>1462.5</v>
      </c>
      <c r="H18148" s="30" t="n">
        <f aca="false">Sens!G18148-Sens!H18146*mix_g2</f>
        <v>1462.5</v>
      </c>
      <c r="I18148" s="30" t="n">
        <f aca="false">Sens!H18148-Sens!I18146*mix_g2</f>
        <v>1242</v>
      </c>
      <c r="J18148" s="30" t="n">
        <f aca="false">Sens!I18148-Sens!J18146*mix_g2</f>
        <v>909</v>
      </c>
      <c r="K18148" s="30" t="n">
        <f aca="false">Sens!J18148-Sens!K18146*mix_g2</f>
        <v>247.5</v>
      </c>
    </row>
    <row r="18149" customFormat="false" ht="17.15" hidden="false" customHeight="false" outlineLevel="0" collapsed="false">
      <c r="A18149" s="1" t="s">
        <v>968</v>
      </c>
      <c r="B18149" s="0" t="s">
        <v>459</v>
      </c>
      <c r="C18149" s="30" t="n">
        <f aca="false">mix_g3*Sens!C18139</f>
        <v>224</v>
      </c>
      <c r="D18149" s="30" t="n">
        <f aca="false">mix_g3*Sens!D18139</f>
        <v>570.5</v>
      </c>
      <c r="E18149" s="30" t="n">
        <f aca="false">mix_g3*Sens!E18139</f>
        <v>1137.5</v>
      </c>
      <c r="F18149" s="30" t="n">
        <f aca="false">Sens!E18149+(Sens!F18145+Sens!F18146)*(a_g3_27-nonnv*a_mai)-Sens!F18146*mix_g3</f>
        <v>2773.42106</v>
      </c>
      <c r="G18149" s="30" t="n">
        <f aca="false">Sens!F18149+(Sens!G18145+Sens!G18146)*(a_g3_28-nonnv*a_mai)-Sens!G18146*mix_g3</f>
        <v>3318.72808</v>
      </c>
      <c r="H18149" s="30" t="n">
        <f aca="false">Sens!G18149+(Sens!H18145+Sens!H18146)*(a_g3_29-nonnv*a_mai)-Sens!H18146*mix_g3</f>
        <v>3318.72808</v>
      </c>
      <c r="I18149" s="30" t="n">
        <f aca="false">Sens!H18149+(Sens!I18145+Sens!I18146)*(a_g3_29-nonnv*a_mai)-Sens!I18146*mix_g3</f>
        <v>3147.22808</v>
      </c>
      <c r="J18149" s="30" t="n">
        <f aca="false">Sens!I18149+(Sens!J18145+Sens!J18146)*(a_g3_29-nonnv*a_mai)-Sens!J18146*mix_g3</f>
        <v>2888.22808</v>
      </c>
      <c r="K18149" s="30" t="n">
        <f aca="false">Sens!J18149+(Sens!K18145+Sens!K18146)*(a_g3_29-nonnv*a_mai)-Sens!K18146*mix_g3</f>
        <v>2373.72808</v>
      </c>
    </row>
    <row r="18150" customFormat="false" ht="17.15" hidden="false" customHeight="false" outlineLevel="0" collapsed="false">
      <c r="A18150" s="1" t="s">
        <v>969</v>
      </c>
      <c r="B18150" s="0" t="s">
        <v>459</v>
      </c>
      <c r="C18150" s="30" t="n">
        <v>0</v>
      </c>
      <c r="D18150" s="30" t="n">
        <v>0</v>
      </c>
      <c r="E18150" s="30" t="n">
        <v>0</v>
      </c>
      <c r="F18150" s="30" t="n">
        <f aca="false">Sens!E18150+(Sens!F18145+Sens!F18146)*nonnv*a_mai</f>
        <v>272.65351</v>
      </c>
      <c r="G18150" s="30" t="n">
        <f aca="false">Sens!F18150+(Sens!G18145+Sens!G18146)*nonnv*a_mai</f>
        <v>545.30702</v>
      </c>
      <c r="H18150" s="30" t="n">
        <f aca="false">Sens!G18150+(Sens!H18145+Sens!H18146)*nonnv*a_mai</f>
        <v>817.96053</v>
      </c>
      <c r="I18150" s="30" t="n">
        <f aca="false">Sens!H18150+(Sens!I18145+Sens!I18146)*nonnv*a_mai</f>
        <v>1060.15914196667</v>
      </c>
      <c r="J18150" s="30" t="n">
        <f aca="false">Sens!I18150+(Sens!J18145+Sens!J18146)*nonnv*a_mai</f>
        <v>1251.76682813933</v>
      </c>
      <c r="K18150" s="30" t="n">
        <f aca="false">Sens!J18150+(Sens!K18145+Sens!K18146)*nonnv*a_mai</f>
        <v>1442.37983298351</v>
      </c>
      <c r="L18150" s="12" t="s">
        <v>970</v>
      </c>
    </row>
    <row r="18151" customFormat="false" ht="17.15" hidden="false" customHeight="false" outlineLevel="0" collapsed="false">
      <c r="A18151" s="1" t="s">
        <v>971</v>
      </c>
      <c r="B18151" s="0" t="s">
        <v>459</v>
      </c>
      <c r="C18151" s="30" t="n">
        <v>0</v>
      </c>
      <c r="D18151" s="30" t="n">
        <v>0</v>
      </c>
      <c r="E18151" s="30" t="n">
        <v>0</v>
      </c>
      <c r="F18151" s="30" t="n">
        <f aca="false">Sens!E18151+(Sens!F18145+Sens!F18146)*(1-a_g3_27)</f>
        <v>817.96053</v>
      </c>
      <c r="G18151" s="30" t="n">
        <f aca="false">Sens!F18151+(Sens!G18145+Sens!G18146)*(1-a_g3_28)</f>
        <v>2726.5351</v>
      </c>
      <c r="H18151" s="30" t="n">
        <f aca="false">Sens!G18151+(Sens!H18145+Sens!H18146)*(1-a_g3_29)</f>
        <v>5180.41669</v>
      </c>
      <c r="I18151" s="30" t="n">
        <f aca="false">Sens!H18151+(Sens!I18145+Sens!I18146)*(1-a_g3_29)</f>
        <v>7360.2041977</v>
      </c>
      <c r="J18151" s="30" t="n">
        <f aca="false">Sens!I18151+(Sens!J18145+Sens!J18146)*(1-a_g3_29)</f>
        <v>9084.673373254</v>
      </c>
      <c r="K18151" s="30" t="n">
        <f aca="false">Sens!J18151+(Sens!K18145+Sens!K18146)*(1-a_g3_29)</f>
        <v>10800.1904168516</v>
      </c>
    </row>
    <row r="18152" customFormat="false" ht="17.15" hidden="false" customHeight="false" outlineLevel="0" collapsed="false">
      <c r="A18152" s="1" t="s">
        <v>972</v>
      </c>
      <c r="B18152" s="0" t="s">
        <v>403</v>
      </c>
      <c r="C18152" s="15" t="n">
        <f aca="false">(Sens!C18147*tk_hold_h100+Sens!C18148*tk_hold_gb200+Sens!C18149*tk_hold_gb300+Sens!C18151*tk_hold_vr200+Sens!C18150*nv_hold_mai*tk_hold_vr200)/Sens!C18139</f>
        <v>9.7235358126469</v>
      </c>
      <c r="D18152" s="15" t="n">
        <f aca="false">(Sens!D18147*tk_hold_h100+Sens!D18148*tk_hold_gb200+Sens!D18149*tk_hold_gb300+Sens!D18151*tk_hold_vr200+Sens!D18150*nv_hold_mai*tk_hold_vr200)/Sens!D18139</f>
        <v>9.7235358126469</v>
      </c>
      <c r="E18152" s="15" t="n">
        <f aca="false">(Sens!E18147*tk_hold_h100+Sens!E18148*tk_hold_gb200+Sens!E18149*tk_hold_gb300+Sens!E18151*tk_hold_vr200+Sens!E18150*nv_hold_mai*tk_hold_vr200)/Sens!E18139</f>
        <v>9.7235358126469</v>
      </c>
      <c r="F18152" s="15" t="n">
        <f aca="false">(Sens!F18147*tk_hold_h100+Sens!F18148*tk_hold_gb200+Sens!F18149*tk_hold_gb300+Sens!F18151*tk_hold_vr200+Sens!F18150*nv_hold_mai*tk_hold_vr200)/Sens!F18139</f>
        <v>10.2195353876665</v>
      </c>
      <c r="G18152" s="15" t="n">
        <f aca="false">(Sens!G18147*tk_hold_h100+Sens!G18148*tk_hold_gb200+Sens!G18149*tk_hold_gb300+Sens!G18151*tk_hold_vr200+Sens!G18150*nv_hold_mai*tk_hold_vr200)/Sens!G18139</f>
        <v>10.5725598017306</v>
      </c>
      <c r="H18152" s="15" t="n">
        <f aca="false">(Sens!H18147*tk_hold_h100+Sens!H18148*tk_hold_gb200+Sens!H18149*tk_hold_gb300+Sens!H18151*tk_hold_vr200+Sens!H18150*nv_hold_mai*tk_hold_vr200)/Sens!H18139</f>
        <v>10.8210427149036</v>
      </c>
      <c r="I18152" s="15" t="n">
        <f aca="false">(Sens!I18147*tk_hold_h100+Sens!I18148*tk_hold_gb200+Sens!I18149*tk_hold_gb300+Sens!I18151*tk_hold_vr200+Sens!I18150*nv_hold_mai*tk_hold_vr200)/Sens!I18139</f>
        <v>11.0050618241982</v>
      </c>
      <c r="J18152" s="15" t="n">
        <f aca="false">(Sens!J18147*tk_hold_h100+Sens!J18148*tk_hold_gb200+Sens!J18149*tk_hold_gb300+Sens!J18151*tk_hold_vr200+Sens!J18150*nv_hold_mai*tk_hold_vr200)/Sens!J18139</f>
        <v>11.1505789658881</v>
      </c>
      <c r="K18152" s="15" t="n">
        <f aca="false">(Sens!K18147*tk_hold_h100+Sens!K18148*tk_hold_gb200+Sens!K18149*tk_hold_gb300+Sens!K18151*tk_hold_vr200+Sens!K18150*nv_hold_mai*tk_hold_vr200)/Sens!K18139</f>
        <v>11.3496914757183</v>
      </c>
      <c r="L18152" s="1" t="s">
        <v>973</v>
      </c>
    </row>
    <row r="18153" customFormat="false" ht="17.15" hidden="false" customHeight="false" outlineLevel="0" collapsed="false">
      <c r="A18153" s="1" t="s">
        <v>974</v>
      </c>
      <c r="B18153" s="0" t="s">
        <v>403</v>
      </c>
      <c r="C18153" s="15" t="n">
        <f aca="false">(Sens!C18147*tk_hold_h100+Sens!C18148*tk_hold_gb200+Sens!C18149*tk_hold_gb300+Sens!C18151*tk_hold_vr200+Sens!C18150*nv_out_mai*tk_hold_vr200)/Sens!C18139</f>
        <v>9.7235358126469</v>
      </c>
      <c r="D18153" s="15" t="n">
        <f aca="false">(Sens!D18147*tk_hold_h100+Sens!D18148*tk_hold_gb200+Sens!D18149*tk_hold_gb300+Sens!D18151*tk_hold_vr200+Sens!D18150*nv_out_mai*tk_hold_vr200)/Sens!D18139</f>
        <v>9.7235358126469</v>
      </c>
      <c r="E18153" s="15" t="n">
        <f aca="false">(Sens!E18147*tk_hold_h100+Sens!E18148*tk_hold_gb200+Sens!E18149*tk_hold_gb300+Sens!E18151*tk_hold_vr200+Sens!E18150*nv_out_mai*tk_hold_vr200)/Sens!E18139</f>
        <v>9.7235358126469</v>
      </c>
      <c r="F18153" s="15" t="n">
        <f aca="false">(Sens!F18147*tk_hold_h100+Sens!F18148*tk_hold_gb200+Sens!F18149*tk_hold_gb300+Sens!F18151*tk_hold_vr200+Sens!F18150*nv_out_mai*tk_hold_vr200)/Sens!F18139</f>
        <v>10.247422093969</v>
      </c>
      <c r="G18153" s="15" t="n">
        <f aca="false">(Sens!G18147*tk_hold_h100+Sens!G18148*tk_hold_gb200+Sens!G18149*tk_hold_gb300+Sens!G18151*tk_hold_vr200+Sens!G18150*nv_out_mai*tk_hold_vr200)/Sens!G18139</f>
        <v>10.6108602808053</v>
      </c>
      <c r="H18153" s="15" t="n">
        <f aca="false">(Sens!H18147*tk_hold_h100+Sens!H18148*tk_hold_gb200+Sens!H18149*tk_hold_gb300+Sens!H18151*tk_hold_vr200+Sens!H18150*nv_out_mai*tk_hold_vr200)/Sens!H18139</f>
        <v>10.8647885507393</v>
      </c>
      <c r="I18153" s="15" t="n">
        <f aca="false">(Sens!I18147*tk_hold_h100+Sens!I18148*tk_hold_gb200+Sens!I18149*tk_hold_gb300+Sens!I18151*tk_hold_vr200+Sens!I18150*nv_out_mai*tk_hold_vr200)/Sens!I18139</f>
        <v>11.0535625770025</v>
      </c>
      <c r="J18153" s="15" t="n">
        <f aca="false">(Sens!J18147*tk_hold_h100+Sens!J18148*tk_hold_gb200+Sens!J18149*tk_hold_gb300+Sens!J18151*tk_hold_vr200+Sens!J18150*nv_out_mai*tk_hold_vr200)/Sens!J18139</f>
        <v>11.2032127128058</v>
      </c>
      <c r="K18153" s="15" t="n">
        <f aca="false">(Sens!K18147*tk_hold_h100+Sens!K18148*tk_hold_gb200+Sens!K18149*tk_hold_gb300+Sens!K18151*tk_hold_vr200+Sens!K18150*nv_out_mai*tk_hold_vr200)/Sens!K18139</f>
        <v>11.4085735724225</v>
      </c>
      <c r="L18153" s="12" t="s">
        <v>975</v>
      </c>
    </row>
    <row r="18154" customFormat="false" ht="17.15" hidden="false" customHeight="false" outlineLevel="0" collapsed="false">
      <c r="A18154" s="0" t="s">
        <v>976</v>
      </c>
      <c r="B18154" s="0" t="s">
        <v>229</v>
      </c>
      <c r="C18154" s="15" t="n">
        <f aca="false">k_B</f>
        <v>1.17213932619116</v>
      </c>
      <c r="D18154" s="15" t="n">
        <f aca="false">k_B</f>
        <v>1.17213932619116</v>
      </c>
      <c r="E18154" s="15" t="n">
        <f aca="false">k_B</f>
        <v>1.17213932619116</v>
      </c>
      <c r="F18154" s="15" t="n">
        <f aca="false">(k_B+((ls_C*k_long+(1-ls_C)*k_spot)-k_B)*MIN(1,(Sens!F18137-base_fy)/k_ramp))</f>
        <v>1.07843258004497</v>
      </c>
      <c r="G18154" s="15" t="n">
        <f aca="false">(k_B+((ls_C*k_long+(1-ls_C)*k_spot)-k_B)*MIN(1,(Sens!G18137-base_fy)/k_ramp))</f>
        <v>0.984725833898784</v>
      </c>
      <c r="H18154" s="15" t="n">
        <f aca="false">(k_B+((ls_C*k_long+(1-ls_C)*k_spot)-k_B)*MIN(1,(Sens!H18137-base_fy)/k_ramp))</f>
        <v>0.891019087752599</v>
      </c>
      <c r="I18154" s="15" t="n">
        <f aca="false">(k_B+((ls_C*k_long+(1-ls_C)*k_spot)-k_B)*MIN(1,(Sens!I18137-base_fy)/k_ramp))</f>
        <v>0.891019087752599</v>
      </c>
      <c r="J18154" s="15" t="n">
        <f aca="false">(k_B+((ls_C*k_long+(1-ls_C)*k_spot)-k_B)*MIN(1,(Sens!J18137-base_fy)/k_ramp))</f>
        <v>0.891019087752599</v>
      </c>
      <c r="K18154" s="15" t="n">
        <f aca="false">(k_B+((ls_C*k_long+(1-ls_C)*k_spot)-k_B)*MIN(1,(Sens!K18137-base_fy)/k_ramp))</f>
        <v>0.891019087752599</v>
      </c>
      <c r="L18154" s="1" t="s">
        <v>977</v>
      </c>
    </row>
    <row r="18155" customFormat="false" ht="17.15" hidden="false" customHeight="false" outlineLevel="0" collapsed="false">
      <c r="A18155" s="1" t="s">
        <v>978</v>
      </c>
      <c r="B18155" s="0" t="s">
        <v>403</v>
      </c>
      <c r="C18155" s="15" t="n">
        <f aca="false">Sens!C18153*Sens!C18154*chip_f</f>
        <v>11.3973387156315</v>
      </c>
      <c r="D18155" s="15" t="n">
        <f aca="false">Sens!D18153*Sens!D18154*chip_f</f>
        <v>11.3973387156315</v>
      </c>
      <c r="E18155" s="15" t="n">
        <f aca="false">Sens!E18153*Sens!E18154*chip_f</f>
        <v>11.3973387156315</v>
      </c>
      <c r="F18155" s="15" t="n">
        <f aca="false">Sens!F18153*Sens!F18154*chip_f</f>
        <v>11.0511538476088</v>
      </c>
      <c r="G18155" s="15" t="n">
        <f aca="false">Sens!G18153*Sens!G18154*chip_f</f>
        <v>10.4487882383995</v>
      </c>
      <c r="H18155" s="15" t="n">
        <f aca="false">Sens!H18153*Sens!H18154*chip_f</f>
        <v>9.68073398310464</v>
      </c>
      <c r="I18155" s="15" t="n">
        <f aca="false">Sens!I18153*Sens!I18154*chip_f</f>
        <v>9.84893524377706</v>
      </c>
      <c r="J18155" s="15" t="n">
        <f aca="false">Sens!J18153*Sens!J18154*chip_f</f>
        <v>9.98227637126252</v>
      </c>
      <c r="K18155" s="15" t="n">
        <f aca="false">Sens!K18153*Sens!K18154*chip_f</f>
        <v>10.1652568170583</v>
      </c>
      <c r="L18155" s="1" t="s">
        <v>979</v>
      </c>
    </row>
    <row r="18156" customFormat="false" ht="17.15" hidden="false" customHeight="false" outlineLevel="0" collapsed="false">
      <c r="A18156" s="0" t="s">
        <v>980</v>
      </c>
      <c r="B18156" s="0" t="s">
        <v>98</v>
      </c>
      <c r="D18156" s="6" t="n">
        <f aca="false">(Sens!C18139+Sens!D18139)/2*Sens!D18155/1000</f>
        <v>12.9359794422418</v>
      </c>
      <c r="E18156" s="6" t="n">
        <f aca="false">(Sens!D18139+Sens!E18139)/2*Sens!E18155/1000</f>
        <v>27.8095064661409</v>
      </c>
      <c r="F18156" s="6" t="n">
        <f aca="false">(Sens!E18139+Sens!F18139)/2*Sens!F18155/1000</f>
        <v>50.9819294352312</v>
      </c>
      <c r="G18156" s="6" t="n">
        <f aca="false">(Sens!F18139+Sens!G18139)/2*Sens!G18155/1000</f>
        <v>76.6920436014933</v>
      </c>
      <c r="H18156" s="6" t="n">
        <f aca="false">(Sens!G18139+Sens!H18139)/2*Sens!H18155/1000</f>
        <v>97.4495379418341</v>
      </c>
      <c r="I18156" s="6" t="n">
        <f aca="false">(Sens!H18139+Sens!I18139)/2*Sens!I18155/1000</f>
        <v>122.083445553868</v>
      </c>
      <c r="J18156" s="6" t="n">
        <f aca="false">(Sens!I18139+Sens!J18139)/2*Sens!J18155/1000</f>
        <v>139.249060444804</v>
      </c>
      <c r="K18156" s="6" t="n">
        <f aca="false">(Sens!J18139+Sens!K18139)/2*Sens!K18155/1000</f>
        <v>149.995818575589</v>
      </c>
      <c r="L18156" s="12" t="s">
        <v>981</v>
      </c>
    </row>
    <row r="18157" customFormat="false" ht="17.15" hidden="false" customHeight="false" outlineLevel="0" collapsed="false">
      <c r="A18157" s="1" t="s">
        <v>982</v>
      </c>
      <c r="B18157" s="0" t="s">
        <v>403</v>
      </c>
      <c r="C18157" s="15" t="n">
        <f aca="false">(Sens!C18147*tk_opex_h100+Sens!C18148*tk_opex_gb200+Sens!C18149*tk_opex_gb300+(Sens!C18151+Sens!C18150)*tk_opex_vr200)/Sens!C18139</f>
        <v>1.88636041306092</v>
      </c>
      <c r="D18157" s="15" t="n">
        <f aca="false">(Sens!D18147*tk_opex_h100+Sens!D18148*tk_opex_gb200+Sens!D18149*tk_opex_gb300+(Sens!D18151+Sens!D18150)*tk_opex_vr200)/Sens!D18139</f>
        <v>1.88636041306092</v>
      </c>
      <c r="E18157" s="15" t="n">
        <f aca="false">(Sens!E18147*tk_opex_h100+Sens!E18148*tk_opex_gb200+Sens!E18149*tk_opex_gb300+(Sens!E18151+Sens!E18150)*tk_opex_vr200)/Sens!E18139</f>
        <v>1.88636041306092</v>
      </c>
      <c r="F18157" s="15" t="n">
        <f aca="false">(Sens!F18147*tk_opex_h100+Sens!F18148*tk_opex_gb200+Sens!F18149*tk_opex_gb300+(Sens!F18151+Sens!F18150)*tk_opex_vr200)/Sens!F18139</f>
        <v>1.95051159746876</v>
      </c>
      <c r="G18157" s="15" t="n">
        <f aca="false">(Sens!G18147*tk_opex_h100+Sens!G18148*tk_opex_gb200+Sens!G18149*tk_opex_gb300+(Sens!G18151+Sens!G18150)*tk_opex_vr200)/Sens!G18139</f>
        <v>1.98836003669956</v>
      </c>
      <c r="H18157" s="15" t="n">
        <f aca="false">(Sens!H18147*tk_opex_h100+Sens!H18148*tk_opex_gb200+Sens!H18149*tk_opex_gb300+(Sens!H18151+Sens!H18150)*tk_opex_vr200)/Sens!H18139</f>
        <v>2.01344013834343</v>
      </c>
      <c r="I18157" s="15" t="n">
        <f aca="false">(Sens!I18147*tk_opex_h100+Sens!I18148*tk_opex_gb200+Sens!I18149*tk_opex_gb300+(Sens!I18151+Sens!I18150)*tk_opex_vr200)/Sens!I18139</f>
        <v>2.03261166882178</v>
      </c>
      <c r="J18157" s="15" t="n">
        <f aca="false">(Sens!J18147*tk_opex_h100+Sens!J18148*tk_opex_gb200+Sens!J18149*tk_opex_gb300+(Sens!J18151+Sens!J18150)*tk_opex_vr200)/Sens!J18139</f>
        <v>2.04808073288745</v>
      </c>
      <c r="K18157" s="15" t="n">
        <f aca="false">(Sens!K18147*tk_opex_h100+Sens!K18148*tk_opex_gb200+Sens!K18149*tk_opex_gb300+(Sens!K18151+Sens!K18150)*tk_opex_vr200)/Sens!K18139</f>
        <v>2.06973825807449</v>
      </c>
      <c r="L18157" s="12" t="s">
        <v>983</v>
      </c>
    </row>
    <row r="18158" customFormat="false" ht="17.15" hidden="false" customHeight="false" outlineLevel="0" collapsed="false">
      <c r="A18158" s="0" t="s">
        <v>984</v>
      </c>
      <c r="B18158" s="0" t="s">
        <v>98</v>
      </c>
      <c r="D18158" s="6" t="n">
        <f aca="false">(Sens!C18142+Sens!D18142)/2*Sens!D18157/1000</f>
        <v>2.70378325872065</v>
      </c>
      <c r="E18158" s="6" t="n">
        <f aca="false">(Sens!D18142+Sens!E18142)/2*Sens!E18157/1000</f>
        <v>6.17783035277451</v>
      </c>
      <c r="F18158" s="6" t="n">
        <f aca="false">(Sens!E18142+Sens!F18142)/2*Sens!F18157/1000</f>
        <v>12.8742463089237</v>
      </c>
      <c r="G18158" s="6" t="n">
        <f aca="false">(Sens!F18142+Sens!G18142)/2*Sens!G18157/1000</f>
        <v>21.8182834646277</v>
      </c>
      <c r="H18158" s="6" t="n">
        <f aca="false">(Sens!G18142+Sens!H18142)/2*Sens!H18157/1000</f>
        <v>31.2430128789734</v>
      </c>
      <c r="I18158" s="6" t="n">
        <f aca="false">(Sens!H18142+Sens!I18142)/2*Sens!I18157/1000</f>
        <v>39.4313057443268</v>
      </c>
      <c r="J18158" s="6" t="n">
        <f aca="false">(Sens!I18142+Sens!J18142)/2*Sens!J18157/1000</f>
        <v>45.0360318228653</v>
      </c>
      <c r="K18158" s="6" t="n">
        <f aca="false">(Sens!J18142+Sens!K18142)/2*Sens!K18157/1000</f>
        <v>48.2929727091156</v>
      </c>
    </row>
    <row r="18159" customFormat="false" ht="17.15" hidden="false" customHeight="false" outlineLevel="0" collapsed="false">
      <c r="A18159" s="0" t="s">
        <v>985</v>
      </c>
      <c r="B18159" s="0" t="s">
        <v>98</v>
      </c>
      <c r="D18159" s="6" t="n">
        <f aca="false">(Sens!C18140+Sens!D18140)/2*rent_mw/1000</f>
        <v>2.44475</v>
      </c>
      <c r="E18159" s="6" t="n">
        <f aca="false">(Sens!D18140+Sens!E18140)/2*rent_mw/1000</f>
        <v>4.22275</v>
      </c>
      <c r="F18159" s="6" t="n">
        <f aca="false">(Sens!E18140+Sens!F18140)/2*rent_mw/1000</f>
        <v>5.80517</v>
      </c>
      <c r="G18159" s="6" t="n">
        <f aca="false">(Sens!F18140+Sens!G18140)/2*rent_mw/1000</f>
        <v>6.72084</v>
      </c>
      <c r="H18159" s="6" t="n">
        <f aca="false">(Sens!G18140+Sens!H18140)/2*rent_mw/1000</f>
        <v>6.72084</v>
      </c>
      <c r="I18159" s="6" t="n">
        <f aca="false">(Sens!H18140+Sens!I18140)/2*rent_mw/1000</f>
        <v>6.72084</v>
      </c>
      <c r="J18159" s="6" t="n">
        <f aca="false">(Sens!I18140+Sens!J18140)/2*rent_mw/1000</f>
        <v>6.72084</v>
      </c>
      <c r="K18159" s="6" t="n">
        <f aca="false">(Sens!J18140+Sens!K18140)/2*rent_mw/1000</f>
        <v>6.72084</v>
      </c>
    </row>
    <row r="18160" customFormat="false" ht="17.15" hidden="false" customHeight="false" outlineLevel="0" collapsed="false">
      <c r="A18160" s="0" t="s">
        <v>986</v>
      </c>
      <c r="B18160" s="0" t="s">
        <v>98</v>
      </c>
      <c r="D18160" s="6" t="n">
        <f aca="false">(Sens!C18142+Sens!D18142)/2*(1-self_build)*fac_rent/1000</f>
        <v>0.853242375631075</v>
      </c>
      <c r="E18160" s="6" t="n">
        <f aca="false">(Sens!D18142+Sens!E18142)/2*(1-self_build)*fac_rent/1000</f>
        <v>1.94955961408728</v>
      </c>
      <c r="F18160" s="6" t="n">
        <f aca="false">(Sens!E18142+Sens!F18142)/2*(1-self_build)*fac_rent/1000</f>
        <v>3.92914894476356</v>
      </c>
      <c r="G18160" s="6" t="n">
        <f aca="false">(Sens!F18142+Sens!G18142)/2*(1-self_build)*fac_rent/1000</f>
        <v>6.53206908578159</v>
      </c>
      <c r="H18160" s="6" t="n">
        <f aca="false">(Sens!G18142+Sens!H18142)/2*(1-self_build)*fac_rent/1000</f>
        <v>9.23717988341591</v>
      </c>
      <c r="I18160" s="6" t="n">
        <f aca="false">(Sens!H18142+Sens!I18142)/2*(1-self_build)*fac_rent/1000</f>
        <v>11.5481378557393</v>
      </c>
      <c r="J18160" s="6" t="n">
        <f aca="false">(Sens!I18142+Sens!J18142)/2*(1-self_build)*fac_rent/1000</f>
        <v>13.0899582289108</v>
      </c>
      <c r="K18160" s="6" t="n">
        <f aca="false">(Sens!J18142+Sens!K18142)/2*(1-self_build)*fac_rent/1000</f>
        <v>13.8897275626556</v>
      </c>
      <c r="L18160" s="12" t="s">
        <v>987</v>
      </c>
    </row>
    <row r="18161" customFormat="false" ht="17.15" hidden="false" customHeight="false" outlineLevel="0" collapsed="false">
      <c r="A18161" s="1" t="s">
        <v>988</v>
      </c>
      <c r="B18161" s="0" t="s">
        <v>168</v>
      </c>
      <c r="D18161" s="7" t="n">
        <f aca="false">(Sens!C18141+Sens!D18141)/(Sens!C18142+Sens!D18142)</f>
        <v>0.6</v>
      </c>
      <c r="E18161" s="7" t="n">
        <f aca="false">(Sens!D18141+Sens!E18141)/(Sens!D18142+Sens!E18142)</f>
        <v>0.6</v>
      </c>
      <c r="F18161" s="7" t="n">
        <f aca="false">(Sens!E18141+Sens!F18141)/(Sens!E18142+Sens!F18142)</f>
        <v>0.6</v>
      </c>
      <c r="G18161" s="7" t="n">
        <f aca="false">(Sens!F18141+Sens!G18141)/(Sens!F18142+Sens!G18142)</f>
        <v>0.6</v>
      </c>
      <c r="H18161" s="7" t="n">
        <f aca="false">(Sens!G18141+Sens!H18141)/(Sens!G18142+Sens!H18142)</f>
        <v>0.6</v>
      </c>
      <c r="I18161" s="7" t="n">
        <f aca="false">(Sens!H18141+Sens!I18141)/(Sens!H18142+Sens!I18142)</f>
        <v>0.6</v>
      </c>
      <c r="J18161" s="7" t="n">
        <f aca="false">(Sens!I18141+Sens!J18141)/(Sens!I18142+Sens!J18142)</f>
        <v>0.6</v>
      </c>
      <c r="K18161" s="7" t="n">
        <f aca="false">(Sens!J18141+Sens!K18141)/(Sens!J18142+Sens!K18142)</f>
        <v>0.6</v>
      </c>
    </row>
    <row r="18162" customFormat="false" ht="17.15" hidden="false" customHeight="false" outlineLevel="0" collapsed="false">
      <c r="A18162" s="0" t="s">
        <v>989</v>
      </c>
      <c r="B18162" s="0" t="s">
        <v>98</v>
      </c>
      <c r="D18162" s="6" t="n">
        <f aca="false">Sens!D18156-Sens!D18161*(Sens!D18158+Sens!D18160)-Sens!D18159</f>
        <v>8.35701406163072</v>
      </c>
      <c r="E18162" s="6" t="n">
        <f aca="false">Sens!E18156-Sens!E18161*(Sens!E18158+Sens!E18160)-Sens!E18159</f>
        <v>18.7103224860238</v>
      </c>
      <c r="F18162" s="6" t="n">
        <f aca="false">Sens!F18156-Sens!F18161*(Sens!F18158+Sens!F18160)-Sens!F18159</f>
        <v>35.0947222830189</v>
      </c>
      <c r="G18162" s="6" t="n">
        <f aca="false">Sens!G18156-Sens!G18161*(Sens!G18158+Sens!G18160)-Sens!G18159</f>
        <v>52.9609920712477</v>
      </c>
      <c r="H18162" s="6" t="n">
        <f aca="false">Sens!H18156-Sens!H18161*(Sens!H18158+Sens!H18160)-Sens!H18159</f>
        <v>66.4405822844005</v>
      </c>
      <c r="I18162" s="6" t="n">
        <f aca="false">Sens!I18156-Sens!I18161*(Sens!I18158+Sens!I18160)-Sens!I18159</f>
        <v>84.7749393938279</v>
      </c>
      <c r="J18162" s="6" t="n">
        <f aca="false">Sens!J18156-Sens!J18161*(Sens!J18158+Sens!J18160)-Sens!J18159</f>
        <v>97.6526264137382</v>
      </c>
      <c r="K18162" s="6" t="n">
        <f aca="false">Sens!K18156-Sens!K18161*(Sens!K18158+Sens!K18160)-Sens!K18159</f>
        <v>105.965358412527</v>
      </c>
    </row>
    <row r="18163" customFormat="false" ht="17.15" hidden="false" customHeight="false" outlineLevel="0" collapsed="false">
      <c r="A18163" s="1" t="s">
        <v>990</v>
      </c>
      <c r="B18163" s="0" t="s">
        <v>98</v>
      </c>
      <c r="D18163" s="6" t="n">
        <f aca="false">(1-Sens!D18161)*(Sens!D18158+Sens!D18160)</f>
        <v>1.42281025374069</v>
      </c>
      <c r="E18163" s="6" t="n">
        <f aca="false">(1-Sens!E18161)*(Sens!E18158+Sens!E18160)</f>
        <v>3.25095598674472</v>
      </c>
      <c r="F18163" s="6" t="n">
        <f aca="false">(1-Sens!F18161)*(Sens!F18158+Sens!F18160)</f>
        <v>6.72135810147489</v>
      </c>
      <c r="G18163" s="6" t="n">
        <f aca="false">(1-Sens!G18161)*(Sens!G18158+Sens!G18160)</f>
        <v>11.3401410201637</v>
      </c>
      <c r="H18163" s="6" t="n">
        <f aca="false">(1-Sens!H18161)*(Sens!H18158+Sens!H18160)</f>
        <v>16.1920771049557</v>
      </c>
      <c r="I18163" s="6" t="n">
        <f aca="false">(1-Sens!I18161)*(Sens!I18158+Sens!I18160)</f>
        <v>20.3917774400264</v>
      </c>
      <c r="J18163" s="6" t="n">
        <f aca="false">(1-Sens!J18161)*(Sens!J18158+Sens!J18160)</f>
        <v>23.2503960207104</v>
      </c>
      <c r="K18163" s="6" t="n">
        <f aca="false">(1-Sens!K18161)*(Sens!K18158+Sens!K18160)</f>
        <v>24.8730801087085</v>
      </c>
    </row>
    <row r="18164" customFormat="false" ht="17.15" hidden="false" customHeight="false" outlineLevel="0" collapsed="false">
      <c r="A18164" s="1" t="s">
        <v>991</v>
      </c>
      <c r="B18164" s="0" t="s">
        <v>417</v>
      </c>
      <c r="C18164" s="8" t="n">
        <f aca="false">cxit_open</f>
        <v>27.5918995</v>
      </c>
      <c r="D18164" s="8" t="n">
        <f aca="false">cxit_open</f>
        <v>27.5918995</v>
      </c>
      <c r="E18164" s="8" t="n">
        <f aca="false">cxit_open</f>
        <v>27.5918995</v>
      </c>
      <c r="F18164" s="8" t="n">
        <f aca="false">((a_g3_27-nonnv*a_mai)*tk_cxit_gb300+nonnv*a_mai*nv_hold_mai*tk_cxit_vr200+(1-a_g3_27)*tk_cxit_vr200)</f>
        <v>32.4975576</v>
      </c>
      <c r="G18164" s="8" t="n">
        <f aca="false">((a_g3_28-nonnv*a_mai)*tk_cxit_gb300+nonnv*a_mai*nv_hold_mai*tk_cxit_vr200+(1-a_g3_28)*tk_cxit_vr200)</f>
        <v>34.6372088</v>
      </c>
      <c r="H18164" s="8" t="n">
        <f aca="false">((a_g3_29-nonnv*a_mai)*tk_cxit_gb300+nonnv*a_mai*nv_hold_mai*tk_cxit_vr200+(1-a_g3_29)*tk_cxit_vr200)</f>
        <v>35.7070344</v>
      </c>
      <c r="I18164" s="8" t="n">
        <f aca="false">((a_g3_29-nonnv*a_mai)*tk_cxit_gb300+nonnv*a_mai*nv_hold_mai*tk_cxit_vr200+(1-a_g3_29)*tk_cxit_vr200)</f>
        <v>35.7070344</v>
      </c>
      <c r="J18164" s="8" t="n">
        <f aca="false">((a_g3_29-nonnv*a_mai)*tk_cxit_gb300+nonnv*a_mai*nv_hold_mai*tk_cxit_vr200+(1-a_g3_29)*tk_cxit_vr200)</f>
        <v>35.7070344</v>
      </c>
      <c r="K18164" s="8" t="n">
        <f aca="false">((a_g3_29-nonnv*a_mai)*tk_cxit_gb300+nonnv*a_mai*nv_hold_mai*tk_cxit_vr200+(1-a_g3_29)*tk_cxit_vr200)</f>
        <v>35.7070344</v>
      </c>
      <c r="L18164" s="12" t="s">
        <v>992</v>
      </c>
    </row>
    <row r="18165" customFormat="false" ht="17.15" hidden="false" customHeight="false" outlineLevel="0" collapsed="false">
      <c r="A18165" s="0" t="s">
        <v>993</v>
      </c>
      <c r="B18165" s="0" t="s">
        <v>459</v>
      </c>
      <c r="F18165" s="30" t="n">
        <f aca="false">Sens!C18144*IF(Sens!F18137-Sens!C18137=life_it,1,0)+Sens!D18144*IF(Sens!F18137-Sens!D18137=life_it,1,0)+Sens!E18144*IF(Sens!F18137-Sens!E18137=life_it,1,0)</f>
        <v>0</v>
      </c>
      <c r="G18165" s="30" t="n">
        <f aca="false">Sens!C18144*IF(Sens!G18137-Sens!C18137=life_it,1,0)+Sens!D18144*IF(Sens!G18137-Sens!D18137=life_it,1,0)+Sens!E18144*IF(Sens!G18137-Sens!E18137=life_it,1,0)+Sens!F18144*IF(Sens!G18137-Sens!F18137=life_it,1,0)</f>
        <v>0</v>
      </c>
      <c r="H18165" s="30" t="n">
        <f aca="false">Sens!C18144*IF(Sens!H18137-Sens!C18137=life_it,1,0)+Sens!D18144*IF(Sens!H18137-Sens!D18137=life_it,1,0)+Sens!E18144*IF(Sens!H18137-Sens!E18137=life_it,1,0)+Sens!F18144*IF(Sens!H18137-Sens!F18137=life_it,1,0)+Sens!G18144*IF(Sens!H18137-Sens!G18137=life_it,1,0)</f>
        <v>0</v>
      </c>
      <c r="I18165" s="30" t="n">
        <f aca="false">Sens!C18144*IF(Sens!I18137-Sens!C18137=life_it,1,0)+Sens!D18144*IF(Sens!I18137-Sens!D18137=life_it,1,0)+Sens!E18144*IF(Sens!I18137-Sens!E18137=life_it,1,0)+Sens!F18144*IF(Sens!I18137-Sens!F18137=life_it,1,0)+Sens!G18144*IF(Sens!I18137-Sens!G18137=life_it,1,0)+Sens!H18144*IF(Sens!I18137-Sens!H18137=life_it,1,0)</f>
        <v>816.666666666667</v>
      </c>
      <c r="J18165" s="30" t="n">
        <f aca="false">Sens!C18144*IF(Sens!J18137-Sens!C18137=life_it,1,0)+Sens!D18144*IF(Sens!J18137-Sens!D18137=life_it,1,0)+Sens!E18144*IF(Sens!J18137-Sens!E18137=life_it,1,0)+Sens!F18144*IF(Sens!J18137-Sens!F18137=life_it,1,0)+Sens!G18144*IF(Sens!J18137-Sens!G18137=life_it,1,0)+Sens!H18144*IF(Sens!J18137-Sens!H18137=life_it,1,0)+Sens!I18144*IF(Sens!J18137-Sens!I18137=life_it,1,0)</f>
        <v>1233.33333333333</v>
      </c>
      <c r="K18165" s="30" t="n">
        <f aca="false">Sens!C18144*IF(Sens!K18137-Sens!C18137=life_it,1,0)+Sens!D18144*IF(Sens!K18137-Sens!D18137=life_it,1,0)+Sens!E18144*IF(Sens!K18137-Sens!E18137=life_it,1,0)+Sens!F18144*IF(Sens!K18137-Sens!F18137=life_it,1,0)+Sens!G18144*IF(Sens!K18137-Sens!G18137=life_it,1,0)+Sens!H18144*IF(Sens!K18137-Sens!H18137=life_it,1,0)+Sens!I18144*IF(Sens!K18137-Sens!I18137=life_it,1,0)+Sens!J18144*IF(Sens!K18137-Sens!J18137=life_it,1,0)</f>
        <v>2450</v>
      </c>
      <c r="L18165" s="1" t="s">
        <v>994</v>
      </c>
    </row>
    <row r="18166" customFormat="false" ht="17.15" hidden="false" customHeight="false" outlineLevel="0" collapsed="false">
      <c r="A18166" s="0" t="s">
        <v>995</v>
      </c>
      <c r="B18166" s="0" t="s">
        <v>98</v>
      </c>
      <c r="C18166" s="6" t="n">
        <f aca="false">Sens!C18144*Sens!C18164/1000</f>
        <v>22.5333845916667</v>
      </c>
      <c r="D18166" s="6" t="n">
        <f aca="false">Sens!D18144*Sens!D18164/1000</f>
        <v>34.0300093833333</v>
      </c>
      <c r="E18166" s="6" t="n">
        <f aca="false">Sens!E18144*Sens!E18164/1000</f>
        <v>67.600153775</v>
      </c>
      <c r="F18166" s="6" t="n">
        <f aca="false">(Sens!F18144+Sens!F18165)*Sens!F18164/1000</f>
        <v>136.51872432512</v>
      </c>
      <c r="G18166" s="6" t="n">
        <f aca="false">(Sens!G18144+Sens!G18165)*Sens!G18164/1000</f>
        <v>157.399275932048</v>
      </c>
      <c r="H18166" s="6" t="n">
        <f aca="false">(Sens!H18144+Sens!H18165)*Sens!H18164/1000</f>
        <v>162.260804347512</v>
      </c>
      <c r="I18166" s="6" t="n">
        <f aca="false">(Sens!I18144+Sens!I18165)*Sens!I18164/1000</f>
        <v>144.136569485434</v>
      </c>
      <c r="J18166" s="6" t="n">
        <f aca="false">(Sens!J18144+Sens!J18165)*Sens!J18164/1000</f>
        <v>114.029037357864</v>
      </c>
      <c r="K18166" s="6" t="n">
        <f aca="false">(Sens!K18144+Sens!K18165)*Sens!K18164/1000</f>
        <v>113.437085350975</v>
      </c>
    </row>
    <row r="18167" customFormat="false" ht="17.15" hidden="false" customHeight="false" outlineLevel="0" collapsed="false">
      <c r="A18167" s="0" t="s">
        <v>996</v>
      </c>
      <c r="B18167" s="0" t="s">
        <v>98</v>
      </c>
      <c r="C18167" s="6" t="n">
        <f aca="false">Sens!C18144*self_build*tk_cxfac/1000</f>
        <v>6.2083</v>
      </c>
      <c r="D18167" s="6" t="n">
        <f aca="false">Sens!D18144*self_build*tk_cxfac/1000</f>
        <v>9.3758</v>
      </c>
      <c r="E18167" s="6" t="n">
        <f aca="false">Sens!E18144*self_build*tk_cxfac/1000</f>
        <v>18.6249</v>
      </c>
      <c r="F18167" s="6" t="n">
        <f aca="false">Sens!F18144*self_build*tk_cxfac/1000</f>
        <v>31.935179717</v>
      </c>
      <c r="G18167" s="6" t="n">
        <f aca="false">Sens!G18144*self_build*tk_cxfac/1000</f>
        <v>34.545199717</v>
      </c>
      <c r="H18167" s="6" t="n">
        <f aca="false">Sens!H18144*self_build*tk_cxfac/1000</f>
        <v>34.545199717</v>
      </c>
      <c r="I18167" s="6" t="n">
        <f aca="false">Sens!I18144*self_build*tk_cxfac/1000</f>
        <v>24.4782641361767</v>
      </c>
      <c r="J18167" s="6" t="n">
        <f aca="false">Sens!J18144*self_build*tk_cxfac/1000</f>
        <v>14.9008938380769</v>
      </c>
      <c r="K18167" s="6" t="n">
        <f aca="false">Sens!K18144*self_build*tk_cxfac/1000</f>
        <v>5.52576771375761</v>
      </c>
    </row>
    <row r="18168" customFormat="false" ht="17.15" hidden="false" customHeight="false" outlineLevel="0" collapsed="false">
      <c r="A18168" s="0" t="s">
        <v>997</v>
      </c>
      <c r="B18168" s="0" t="s">
        <v>98</v>
      </c>
      <c r="F18168" s="15" t="n">
        <f aca="false">capex_floor27-Sens!F18166-Sens!F18167-Sens!F18264</f>
        <v>-0.0799631154216058</v>
      </c>
      <c r="L18168" s="12" t="s">
        <v>998</v>
      </c>
    </row>
    <row r="18169" customFormat="false" ht="17.15" hidden="false" customHeight="false" outlineLevel="0" collapsed="false">
      <c r="A18169" s="0" t="s">
        <v>999</v>
      </c>
      <c r="B18169" s="0" t="s">
        <v>98</v>
      </c>
      <c r="F18169" s="6" t="n">
        <f aca="false">MAX(0,Sens!F18168)</f>
        <v>0</v>
      </c>
    </row>
    <row r="18170" customFormat="false" ht="17.15" hidden="false" customHeight="false" outlineLevel="0" collapsed="false">
      <c r="A18170" s="0" t="s">
        <v>1000</v>
      </c>
      <c r="B18170" s="0" t="s">
        <v>98</v>
      </c>
      <c r="C18170" s="6" t="n">
        <f aca="false">Sens!C18166</f>
        <v>22.5333845916667</v>
      </c>
      <c r="D18170" s="6" t="n">
        <f aca="false">Sens!D18166</f>
        <v>34.0300093833333</v>
      </c>
      <c r="E18170" s="6" t="n">
        <f aca="false">Sens!E18166</f>
        <v>67.600153775</v>
      </c>
      <c r="F18170" s="6" t="n">
        <f aca="false">Sens!F18166+Sens!F18169</f>
        <v>136.51872432512</v>
      </c>
      <c r="G18170" s="6" t="n">
        <f aca="false">Sens!G18166</f>
        <v>157.399275932048</v>
      </c>
      <c r="H18170" s="6" t="n">
        <f aca="false">Sens!H18166</f>
        <v>162.260804347512</v>
      </c>
      <c r="I18170" s="6" t="n">
        <f aca="false">Sens!I18166</f>
        <v>144.136569485434</v>
      </c>
      <c r="J18170" s="6" t="n">
        <f aca="false">Sens!J18166</f>
        <v>114.029037357864</v>
      </c>
      <c r="K18170" s="6" t="n">
        <f aca="false">Sens!K18166</f>
        <v>113.437085350975</v>
      </c>
    </row>
    <row r="18171" customFormat="false" ht="17.15" hidden="false" customHeight="false" outlineLevel="0" collapsed="false">
      <c r="A18171" s="0" t="s">
        <v>1001</v>
      </c>
      <c r="B18171" s="0" t="s">
        <v>98</v>
      </c>
      <c r="C18171" s="6" t="n">
        <f aca="false">Sens!C18170+Sens!C18167</f>
        <v>28.7416845916667</v>
      </c>
      <c r="D18171" s="6" t="n">
        <f aca="false">Sens!D18170+Sens!D18167</f>
        <v>43.4058093833333</v>
      </c>
      <c r="E18171" s="6" t="n">
        <f aca="false">Sens!E18170+Sens!E18167</f>
        <v>86.225053775</v>
      </c>
      <c r="F18171" s="6" t="n">
        <f aca="false">Sens!F18170+Sens!F18167</f>
        <v>168.45390404212</v>
      </c>
      <c r="G18171" s="6" t="n">
        <f aca="false">Sens!G18170+Sens!G18167</f>
        <v>191.944475649048</v>
      </c>
      <c r="H18171" s="6" t="n">
        <f aca="false">Sens!H18170+Sens!H18167</f>
        <v>196.806004064512</v>
      </c>
      <c r="I18171" s="6" t="n">
        <f aca="false">Sens!I18170+Sens!I18167</f>
        <v>168.61483362161</v>
      </c>
      <c r="J18171" s="6" t="n">
        <f aca="false">Sens!J18170+Sens!J18167</f>
        <v>128.92993119594</v>
      </c>
      <c r="K18171" s="6" t="n">
        <f aca="false">Sens!K18170+Sens!K18167</f>
        <v>118.962853064733</v>
      </c>
      <c r="L18171" s="12" t="s">
        <v>1002</v>
      </c>
    </row>
    <row r="18172" customFormat="false" ht="17.15" hidden="false" customHeight="false" outlineLevel="0" collapsed="false">
      <c r="A18172" s="0" t="s">
        <v>1003</v>
      </c>
      <c r="B18172" s="0" t="s">
        <v>98</v>
      </c>
      <c r="E18172" s="6" t="n">
        <f aca="false">(Sens!C18170*IF(2&lt;life_it,1,IF(2=life_it,0.5,0))+Sens!D18170*IF(1&lt;life_it,1,IF(1=life_it,0.5,0))+Sens!E18170*0.5)/life_it</f>
        <v>15.0605784770833</v>
      </c>
      <c r="F18172" s="6" t="n">
        <f aca="false">(Sens!C18170*IF(3&lt;life_it,1,IF(3=life_it,0.5,0))+Sens!D18170*IF(2&lt;life_it,1,IF(2=life_it,0.5,0))+Sens!E18170*IF(1&lt;life_it,1,IF(1=life_it,0.5,0))+Sens!F18170*0.5)/life_it</f>
        <v>32.0704849854266</v>
      </c>
      <c r="G18172" s="6" t="n">
        <f aca="false">(Sens!C18170*IF(4&lt;life_it,1,IF(4=life_it,0.5,0))+Sens!D18170*IF(3&lt;life_it,1,IF(3=life_it,0.5,0))+Sens!E18170*IF(2&lt;life_it,1,IF(2=life_it,0.5,0))+Sens!F18170*IF(1&lt;life_it,1,IF(1=life_it,0.5,0))+Sens!G18170*0.5)/life_it</f>
        <v>56.5636516735239</v>
      </c>
      <c r="H18172" s="6" t="n">
        <f aca="false">(Sens!C18170*IF(5&lt;life_it,1,IF(5=life_it,0.5,0))+Sens!D18170*IF(4&lt;life_it,1,IF(4=life_it,0.5,0))+Sens!E18170*IF(3&lt;life_it,1,IF(3=life_it,0.5,0))+Sens!F18170*IF(2&lt;life_it,1,IF(2=life_it,0.5,0))+Sens!G18170*IF(1&lt;life_it,1,IF(1=life_it,0.5,0))+Sens!H18170*0.5)/life_it</f>
        <v>83.2019916968207</v>
      </c>
      <c r="I18172" s="6" t="n">
        <f aca="false">(Sens!C18170*IF(6&lt;life_it,1,IF(6=life_it,0.5,0))+Sens!D18170*IF(5&lt;life_it,1,IF(5=life_it,0.5,0))+Sens!E18170*IF(4&lt;life_it,1,IF(4=life_it,0.5,0))+Sens!F18170*IF(3&lt;life_it,1,IF(3=life_it,0.5,0))+Sens!G18170*IF(2&lt;life_it,1,IF(2=life_it,0.5,0))+Sens!H18170*IF(1&lt;life_it,1,IF(1=life_it,0.5,0))+Sens!I18170*0.5)/life_it</f>
        <v>106.857324133594</v>
      </c>
      <c r="J18172" s="6" t="n">
        <f aca="false">(Sens!C18170*IF(7&lt;life_it,1,IF(7=life_it,0.5,0))+Sens!D18170*IF(6&lt;life_it,1,IF(6=life_it,0.5,0))+Sens!E18170*IF(5&lt;life_it,1,IF(5=life_it,0.5,0))+Sens!F18170*IF(4&lt;life_it,1,IF(4=life_it,0.5,0))+Sens!G18170*IF(3&lt;life_it,1,IF(3=life_it,0.5,0))+Sens!H18170*IF(2&lt;life_it,1,IF(2=life_it,0.5,0))+Sens!I18170*IF(1&lt;life_it,1,IF(1=life_it,0.5,0))+Sens!J18170*0.5)/life_it</f>
        <v>123.657508539285</v>
      </c>
      <c r="K18172" s="6" t="n">
        <f aca="false">(Sens!C18170*IF(8&lt;life_it,1,IF(8=life_it,0.5,0))+Sens!D18170*IF(7&lt;life_it,1,IF(7=life_it,0.5,0))+Sens!E18170*IF(6&lt;life_it,1,IF(6=life_it,0.5,0))+Sens!F18170*IF(5&lt;life_it,1,IF(5=life_it,0.5,0))+Sens!G18170*IF(4&lt;life_it,1,IF(4=life_it,0.5,0))+Sens!H18170*IF(3&lt;life_it,1,IF(3=life_it,0.5,0))+Sens!I18170*IF(2&lt;life_it,1,IF(2=life_it,0.5,0))+Sens!J18170*IF(1&lt;life_it,1,IF(1=life_it,0.5,0))+Sens!K18170*0.5)/life_it</f>
        <v>134.143838501827</v>
      </c>
    </row>
    <row r="18173" customFormat="false" ht="17.15" hidden="false" customHeight="false" outlineLevel="0" collapsed="false">
      <c r="A18173" s="0" t="s">
        <v>1004</v>
      </c>
      <c r="B18173" s="0" t="s">
        <v>98</v>
      </c>
      <c r="E18173" s="6" t="n">
        <f aca="false">(Sens!C18167*IF(2&lt;life_fac,1,IF(2=life_fac,0.5,0))+Sens!D18167*IF(1&lt;life_fac,1,IF(1=life_fac,0.5,0))+Sens!E18167*0.5)/life_fac</f>
        <v>1.2448275</v>
      </c>
      <c r="F18173" s="6" t="n">
        <f aca="false">(Sens!C18167*IF(3&lt;life_fac,1,IF(3=life_fac,0.5,0))+Sens!D18167*IF(2&lt;life_fac,1,IF(2=life_fac,0.5,0))+Sens!E18167*IF(1&lt;life_fac,1,IF(1=life_fac,0.5,0))+Sens!F18167*0.5)/life_fac</f>
        <v>2.508829492925</v>
      </c>
      <c r="G18173" s="6" t="n">
        <f aca="false">(Sens!C18167*IF(4&lt;life_fac,1,IF(4=life_fac,0.5,0))+Sens!D18167*IF(3&lt;life_fac,1,IF(3=life_fac,0.5,0))+Sens!E18167*IF(2&lt;life_fac,1,IF(2=life_fac,0.5,0))+Sens!F18167*IF(1&lt;life_fac,1,IF(1=life_fac,0.5,0))+Sens!G18167*0.5)/life_fac</f>
        <v>4.170838978775</v>
      </c>
      <c r="H18173" s="6" t="n">
        <f aca="false">(Sens!C18167*IF(5&lt;life_fac,1,IF(5=life_fac,0.5,0))+Sens!D18167*IF(4&lt;life_fac,1,IF(4=life_fac,0.5,0))+Sens!E18167*IF(3&lt;life_fac,1,IF(3=life_fac,0.5,0))+Sens!F18167*IF(2&lt;life_fac,1,IF(2=life_fac,0.5,0))+Sens!G18167*IF(1&lt;life_fac,1,IF(1=life_fac,0.5,0))+Sens!H18167*0.5)/life_fac</f>
        <v>5.898098964625</v>
      </c>
      <c r="I18173" s="6" t="n">
        <f aca="false">(Sens!C18167*IF(6&lt;life_fac,1,IF(6=life_fac,0.5,0))+Sens!D18167*IF(5&lt;life_fac,1,IF(5=life_fac,0.5,0))+Sens!E18167*IF(4&lt;life_fac,1,IF(4=life_fac,0.5,0))+Sens!F18167*IF(3&lt;life_fac,1,IF(3=life_fac,0.5,0))+Sens!G18167*IF(2&lt;life_fac,1,IF(2=life_fac,0.5,0))+Sens!H18167*IF(1&lt;life_fac,1,IF(1=life_fac,0.5,0))+Sens!I18167*0.5)/life_fac</f>
        <v>7.37368556095442</v>
      </c>
      <c r="J18173" s="6" t="n">
        <f aca="false">(Sens!C18167*IF(7&lt;life_fac,1,IF(7=life_fac,0.5,0))+Sens!D18167*IF(6&lt;life_fac,1,IF(6=life_fac,0.5,0))+Sens!E18167*IF(5&lt;life_fac,1,IF(5=life_fac,0.5,0))+Sens!F18167*IF(4&lt;life_fac,1,IF(4=life_fac,0.5,0))+Sens!G18167*IF(3&lt;life_fac,1,IF(3=life_fac,0.5,0))+Sens!H18167*IF(2&lt;life_fac,1,IF(2=life_fac,0.5,0))+Sens!I18167*IF(1&lt;life_fac,1,IF(1=life_fac,0.5,0))+Sens!J18167*0.5)/life_fac</f>
        <v>8.35816451031075</v>
      </c>
      <c r="K18173" s="6" t="n">
        <f aca="false">(Sens!C18167*IF(8&lt;life_fac,1,IF(8=life_fac,0.5,0))+Sens!D18167*IF(7&lt;life_fac,1,IF(7=life_fac,0.5,0))+Sens!E18167*IF(6&lt;life_fac,1,IF(6=life_fac,0.5,0))+Sens!F18167*IF(5&lt;life_fac,1,IF(5=life_fac,0.5,0))+Sens!G18167*IF(4&lt;life_fac,1,IF(4=life_fac,0.5,0))+Sens!H18167*IF(3&lt;life_fac,1,IF(3=life_fac,0.5,0))+Sens!I18167*IF(2&lt;life_fac,1,IF(2=life_fac,0.5,0))+Sens!J18167*IF(1&lt;life_fac,1,IF(1=life_fac,0.5,0))+Sens!K18167*0.5)/life_fac</f>
        <v>8.86883104910662</v>
      </c>
    </row>
    <row r="18174" customFormat="false" ht="17.15" hidden="false" customHeight="false" outlineLevel="0" collapsed="false">
      <c r="A18174" s="0" t="s">
        <v>1005</v>
      </c>
      <c r="B18174" s="0" t="s">
        <v>98</v>
      </c>
      <c r="E18174" s="6" t="n">
        <f aca="false">Sens!E18172+Sens!E18173</f>
        <v>16.3054059770833</v>
      </c>
      <c r="F18174" s="6" t="n">
        <f aca="false">Sens!F18172+Sens!F18173</f>
        <v>34.5793144783516</v>
      </c>
      <c r="G18174" s="6" t="n">
        <f aca="false">Sens!G18172+Sens!G18173</f>
        <v>60.7344906522989</v>
      </c>
      <c r="H18174" s="6" t="n">
        <f aca="false">Sens!H18172+Sens!H18173</f>
        <v>89.1000906614457</v>
      </c>
      <c r="I18174" s="6" t="n">
        <f aca="false">Sens!I18172+Sens!I18173</f>
        <v>114.231009694548</v>
      </c>
      <c r="J18174" s="6" t="n">
        <f aca="false">Sens!J18172+Sens!J18173</f>
        <v>132.015673049596</v>
      </c>
      <c r="K18174" s="6" t="n">
        <f aca="false">Sens!K18172+Sens!K18173</f>
        <v>143.012669550934</v>
      </c>
    </row>
    <row r="18175" customFormat="false" ht="17.15" hidden="false" customHeight="false" outlineLevel="0" collapsed="false">
      <c r="A18175" s="0" t="s">
        <v>1006</v>
      </c>
      <c r="B18175" s="0" t="s">
        <v>98</v>
      </c>
      <c r="E18175" s="6" t="n">
        <f aca="false">Sens!E18162-Sens!E18161*Sens!E18174</f>
        <v>8.92707889977379</v>
      </c>
      <c r="F18175" s="6" t="n">
        <f aca="false">Sens!F18162-Sens!F18161*Sens!F18174</f>
        <v>14.3471335960079</v>
      </c>
      <c r="G18175" s="6" t="n">
        <f aca="false">Sens!G18162-Sens!G18161*Sens!G18174</f>
        <v>16.5202976798683</v>
      </c>
      <c r="H18175" s="6" t="n">
        <f aca="false">Sens!H18162-Sens!H18161*Sens!H18174</f>
        <v>12.9805278875331</v>
      </c>
      <c r="I18175" s="6" t="n">
        <f aca="false">Sens!I18162-Sens!I18161*Sens!I18174</f>
        <v>16.2363335770989</v>
      </c>
      <c r="J18175" s="6" t="n">
        <f aca="false">Sens!J18162-Sens!J18161*Sens!J18174</f>
        <v>18.4432225839805</v>
      </c>
      <c r="K18175" s="6" t="n">
        <f aca="false">Sens!K18162-Sens!K18161*Sens!K18174</f>
        <v>20.1577566819661</v>
      </c>
    </row>
    <row r="18176" customFormat="false" ht="17.15" hidden="false" customHeight="false" outlineLevel="0" collapsed="false">
      <c r="A18176" s="3" t="s">
        <v>2060</v>
      </c>
    </row>
    <row r="18177" customFormat="false" ht="15" hidden="false" customHeight="false" outlineLevel="0" collapsed="false">
      <c r="A18177" s="4" t="s">
        <v>43</v>
      </c>
      <c r="B18177" s="4" t="s">
        <v>65</v>
      </c>
      <c r="C18177" s="23" t="s">
        <v>942</v>
      </c>
      <c r="D18177" s="23" t="s">
        <v>943</v>
      </c>
      <c r="E18177" s="23" t="s">
        <v>944</v>
      </c>
      <c r="F18177" s="23" t="s">
        <v>945</v>
      </c>
      <c r="G18177" s="23" t="s">
        <v>946</v>
      </c>
      <c r="H18177" s="23" t="s">
        <v>947</v>
      </c>
      <c r="I18177" s="23" t="s">
        <v>948</v>
      </c>
      <c r="J18177" s="23" t="s">
        <v>949</v>
      </c>
      <c r="K18177" s="23" t="s">
        <v>950</v>
      </c>
      <c r="L18177" s="4" t="s">
        <v>47</v>
      </c>
    </row>
    <row r="18178" customFormat="false" ht="17.15" hidden="false" customHeight="false" outlineLevel="0" collapsed="false">
      <c r="A18178" s="0" t="s">
        <v>1025</v>
      </c>
      <c r="B18178" s="0" t="s">
        <v>98</v>
      </c>
      <c r="D18178" s="6" t="n">
        <f aca="false">Sens!D18156</f>
        <v>12.9359794422418</v>
      </c>
      <c r="E18178" s="6" t="n">
        <f aca="false">Sens!E18156</f>
        <v>27.8095064661409</v>
      </c>
      <c r="F18178" s="6" t="n">
        <f aca="false">Sens!F18156</f>
        <v>50.9819294352312</v>
      </c>
      <c r="G18178" s="6" t="n">
        <f aca="false">Sens!G18156</f>
        <v>76.6920436014933</v>
      </c>
      <c r="H18178" s="6" t="n">
        <f aca="false">Sens!H18156</f>
        <v>97.4495379418341</v>
      </c>
      <c r="I18178" s="6" t="n">
        <f aca="false">Sens!I18156</f>
        <v>122.083445553868</v>
      </c>
      <c r="J18178" s="6" t="n">
        <f aca="false">Sens!J18156</f>
        <v>139.249060444804</v>
      </c>
      <c r="K18178" s="6" t="n">
        <f aca="false">Sens!K18156</f>
        <v>149.995818575589</v>
      </c>
    </row>
    <row r="18179" customFormat="false" ht="17.15" hidden="false" customHeight="false" outlineLevel="0" collapsed="false">
      <c r="A18179" s="0" t="s">
        <v>1026</v>
      </c>
      <c r="B18179" s="0" t="s">
        <v>98</v>
      </c>
      <c r="D18179" s="6" t="n">
        <f aca="false">Q!L6-Sens!D18178</f>
        <v>59.6740205577583</v>
      </c>
      <c r="E18179" s="6" t="n">
        <f aca="false">Q!M6-Sens!E18178</f>
        <v>74.1284935338591</v>
      </c>
      <c r="F18179" s="6" t="n">
        <f aca="false">Q!$I$6+(Sens!F18178+Sens!E18179*(1+Sens!F18180))*(1-Q!$E$6/Q!M6)-Sens!F18178</f>
        <v>92.2699541184664</v>
      </c>
      <c r="G18179" s="6" t="n">
        <f aca="false">Sens!F18179*(1+Sens!G18180)</f>
        <v>109.630477277949</v>
      </c>
      <c r="H18179" s="6" t="n">
        <f aca="false">Sens!G18179*(1+Sens!H18180)</f>
        <v>127.293256321956</v>
      </c>
      <c r="I18179" s="6" t="n">
        <f aca="false">Sens!H18179*(1+Sens!I18180)</f>
        <v>144.360052269491</v>
      </c>
      <c r="J18179" s="6" t="n">
        <f aca="false">Sens!I18179*(1+Sens!J18180)</f>
        <v>159.811964490216</v>
      </c>
      <c r="K18179" s="6" t="n">
        <f aca="false">Sens!J18179*(1+Sens!K18180)</f>
        <v>172.596921649434</v>
      </c>
      <c r="L18179" s="12" t="s">
        <v>1027</v>
      </c>
    </row>
    <row r="18180" customFormat="false" ht="15" hidden="false" customHeight="false" outlineLevel="0" collapsed="false">
      <c r="A18180" s="1" t="s">
        <v>1028</v>
      </c>
      <c r="B18180" s="0" t="s">
        <v>168</v>
      </c>
      <c r="E18180" s="7" t="n">
        <f aca="false">Sens!E18179/Sens!D18179-1</f>
        <v>0.242223883039864</v>
      </c>
      <c r="F18180" s="7" t="n">
        <f aca="false">Sens!$E$18180+(glt_azo-Sens!$E$18180)*MIN(1,(Sens!F18137-base_fy)/n_conv)</f>
        <v>0.215186569199887</v>
      </c>
      <c r="G18180" s="7" t="n">
        <f aca="false">Sens!$E$18180+(glt_azo-Sens!$E$18180)*MIN(1,(Sens!G18137-base_fy)/n_conv)</f>
        <v>0.18814925535991</v>
      </c>
      <c r="H18180" s="7" t="n">
        <f aca="false">Sens!$E$18180+(glt_azo-Sens!$E$18180)*MIN(1,(Sens!H18137-base_fy)/n_conv)</f>
        <v>0.161111941519932</v>
      </c>
      <c r="I18180" s="7" t="n">
        <f aca="false">Sens!$E$18180+(glt_azo-Sens!$E$18180)*MIN(1,(Sens!I18137-base_fy)/n_conv)</f>
        <v>0.134074627679955</v>
      </c>
      <c r="J18180" s="7" t="n">
        <f aca="false">Sens!$E$18180+(glt_azo-Sens!$E$18180)*MIN(1,(Sens!J18137-base_fy)/n_conv)</f>
        <v>0.107037313839977</v>
      </c>
      <c r="K18180" s="7" t="n">
        <f aca="false">Sens!$E$18180+(glt_azo-Sens!$E$18180)*MIN(1,(Sens!K18137-base_fy)/n_conv)</f>
        <v>0.08</v>
      </c>
    </row>
    <row r="18181" customFormat="false" ht="15" hidden="false" customHeight="false" outlineLevel="0" collapsed="false">
      <c r="A18181" s="0" t="s">
        <v>1029</v>
      </c>
      <c r="B18181" s="0" t="s">
        <v>98</v>
      </c>
      <c r="D18181" s="6" t="n">
        <f aca="false">Sens!D18178+Sens!D18179</f>
        <v>72.61</v>
      </c>
      <c r="E18181" s="6" t="n">
        <f aca="false">Sens!E18178+Sens!E18179</f>
        <v>101.938</v>
      </c>
      <c r="F18181" s="6" t="n">
        <f aca="false">Sens!F18178+Sens!F18179</f>
        <v>143.251883553698</v>
      </c>
      <c r="G18181" s="6" t="n">
        <f aca="false">Sens!G18178+Sens!G18179</f>
        <v>186.322520879442</v>
      </c>
      <c r="H18181" s="6" t="n">
        <f aca="false">Sens!H18178+Sens!H18179</f>
        <v>224.74279426379</v>
      </c>
      <c r="I18181" s="6" t="n">
        <f aca="false">Sens!I18178+Sens!I18179</f>
        <v>266.443497823359</v>
      </c>
      <c r="J18181" s="6" t="n">
        <f aca="false">Sens!J18178+Sens!J18179</f>
        <v>299.06102493502</v>
      </c>
      <c r="K18181" s="6" t="n">
        <f aca="false">Sens!K18178+Sens!K18179</f>
        <v>322.592740225023</v>
      </c>
    </row>
    <row r="18182" customFormat="false" ht="17.15" hidden="false" customHeight="false" outlineLevel="0" collapsed="false">
      <c r="A18182" s="0" t="s">
        <v>1030</v>
      </c>
      <c r="B18182" s="1" t="s">
        <v>613</v>
      </c>
      <c r="C18182" s="30" t="n">
        <f aca="false">cop_s24</f>
        <v>1</v>
      </c>
      <c r="D18182" s="30" t="n">
        <f aca="false">cop_s25</f>
        <v>5</v>
      </c>
      <c r="E18182" s="30" t="n">
        <f aca="false">cop_s26</f>
        <v>30</v>
      </c>
      <c r="F18182" s="30" t="n">
        <f aca="false">Sens!E18182+cop_add_C</f>
        <v>40</v>
      </c>
      <c r="G18182" s="30" t="n">
        <f aca="false">Sens!F18182+cop_add_C</f>
        <v>50</v>
      </c>
      <c r="H18182" s="30" t="n">
        <f aca="false">Sens!G18182+cop_add_C</f>
        <v>60</v>
      </c>
      <c r="I18182" s="30" t="n">
        <f aca="false">Sens!H18182+cop_add_C*cop_tail</f>
        <v>65</v>
      </c>
      <c r="J18182" s="30" t="n">
        <f aca="false">Sens!I18182+cop_add_C*cop_tail</f>
        <v>70</v>
      </c>
      <c r="K18182" s="30" t="n">
        <f aca="false">Sens!J18182+cop_add_C*cop_tail</f>
        <v>75</v>
      </c>
      <c r="L18182" s="12" t="s">
        <v>1031</v>
      </c>
    </row>
    <row r="18183" customFormat="false" ht="17.15" hidden="false" customHeight="false" outlineLevel="0" collapsed="false">
      <c r="A18183" s="0" t="s">
        <v>1032</v>
      </c>
      <c r="B18183" s="0" t="s">
        <v>98</v>
      </c>
      <c r="D18183" s="6" t="n">
        <f aca="false">(Sens!C18182+Sens!D18182)/2*cop_px*12/1000</f>
        <v>0.9</v>
      </c>
      <c r="E18183" s="6" t="n">
        <f aca="false">(Sens!D18182+Sens!E18182)/2*cop_px*12/1000</f>
        <v>5.25</v>
      </c>
      <c r="F18183" s="6" t="n">
        <f aca="false">(Sens!E18182+Sens!F18182)/2*cop_px*12/1000</f>
        <v>10.5</v>
      </c>
      <c r="G18183" s="6" t="n">
        <f aca="false">(Sens!F18182+Sens!G18182)/2*cop_px*12/1000</f>
        <v>13.5</v>
      </c>
      <c r="H18183" s="6" t="n">
        <f aca="false">(Sens!G18182+Sens!H18182)/2*cop_px*12/1000</f>
        <v>16.5</v>
      </c>
      <c r="I18183" s="6" t="n">
        <f aca="false">(Sens!H18182+Sens!I18182)/2*cop_px*12/1000</f>
        <v>18.75</v>
      </c>
      <c r="J18183" s="6" t="n">
        <f aca="false">(Sens!I18182+Sens!J18182)/2*cop_px*12/1000</f>
        <v>20.25</v>
      </c>
      <c r="K18183" s="6" t="n">
        <f aca="false">(Sens!J18182+Sens!K18182)/2*cop_px*12/1000</f>
        <v>21.75</v>
      </c>
      <c r="L18183" s="1" t="s">
        <v>1033</v>
      </c>
    </row>
    <row r="18184" customFormat="false" ht="17.15" hidden="false" customHeight="false" outlineLevel="0" collapsed="false">
      <c r="A18184" s="0" t="s">
        <v>1034</v>
      </c>
      <c r="B18184" s="0" t="s">
        <v>98</v>
      </c>
      <c r="D18184" s="6" t="n">
        <f aca="false">Q!L7-Sens!D18183</f>
        <v>83.705</v>
      </c>
      <c r="E18184" s="6" t="n">
        <f aca="false">Q!M7-Sens!E18183</f>
        <v>95.049</v>
      </c>
      <c r="F18184" s="6" t="n">
        <f aca="false">Q!$I$7+(Sens!E18184*(1+Sens!F18185)+Sens!F18183)*(1-Q!$E$7/Q!M7)-Sens!F18183</f>
        <v>106.938354189776</v>
      </c>
      <c r="G18184" s="6" t="n">
        <f aca="false">Sens!F18184*(1+Sens!G18185)</f>
        <v>119.095360443801</v>
      </c>
      <c r="H18184" s="6" t="n">
        <f aca="false">Sens!G18184*(1+Sens!H18185)</f>
        <v>131.333811964563</v>
      </c>
      <c r="I18184" s="6" t="n">
        <f aca="false">Sens!H18184*(1+Sens!I18185)</f>
        <v>143.395665319381</v>
      </c>
      <c r="J18184" s="6" t="n">
        <f aca="false">Sens!I18184*(1+Sens!J18185)</f>
        <v>154.999327755573</v>
      </c>
      <c r="K18184" s="6" t="n">
        <f aca="false">Sens!J18184*(1+Sens!K18185)</f>
        <v>165.849280698463</v>
      </c>
      <c r="L18184" s="12" t="s">
        <v>1035</v>
      </c>
    </row>
    <row r="18185" customFormat="false" ht="15" hidden="false" customHeight="false" outlineLevel="0" collapsed="false">
      <c r="A18185" s="1" t="s">
        <v>1028</v>
      </c>
      <c r="B18185" s="0" t="s">
        <v>168</v>
      </c>
      <c r="E18185" s="7" t="n">
        <f aca="false">Sens!E18184/Sens!D18184-1</f>
        <v>0.135523564900544</v>
      </c>
      <c r="F18185" s="7" t="n">
        <f aca="false">Sens!$E$18185+(glt_m365b-Sens!$E$18185)*MIN(1,(Sens!F18137-base_fy)/n_conv)</f>
        <v>0.124602970750453</v>
      </c>
      <c r="G18185" s="7" t="n">
        <f aca="false">Sens!$E$18185+(glt_m365b-Sens!$E$18185)*MIN(1,(Sens!G18137-base_fy)/n_conv)</f>
        <v>0.113682376600363</v>
      </c>
      <c r="H18185" s="7" t="n">
        <f aca="false">Sens!$E$18185+(glt_m365b-Sens!$E$18185)*MIN(1,(Sens!H18137-base_fy)/n_conv)</f>
        <v>0.102761782450272</v>
      </c>
      <c r="I18185" s="7" t="n">
        <f aca="false">Sens!$E$18185+(glt_m365b-Sens!$E$18185)*MIN(1,(Sens!I18137-base_fy)/n_conv)</f>
        <v>0.0918411883001813</v>
      </c>
      <c r="J18185" s="7" t="n">
        <f aca="false">Sens!$E$18185+(glt_m365b-Sens!$E$18185)*MIN(1,(Sens!J18137-base_fy)/n_conv)</f>
        <v>0.0809205941500906</v>
      </c>
      <c r="K18185" s="7" t="n">
        <f aca="false">Sens!$E$18185+(glt_m365b-Sens!$E$18185)*MIN(1,(Sens!K18137-base_fy)/n_conv)</f>
        <v>0.07</v>
      </c>
    </row>
    <row r="18186" customFormat="false" ht="15" hidden="false" customHeight="false" outlineLevel="0" collapsed="false">
      <c r="A18186" s="0" t="s">
        <v>1036</v>
      </c>
      <c r="B18186" s="0" t="s">
        <v>98</v>
      </c>
      <c r="D18186" s="6" t="n">
        <f aca="false">Sens!D18184+Sens!D18183</f>
        <v>84.605</v>
      </c>
      <c r="E18186" s="6" t="n">
        <f aca="false">Sens!E18184+Sens!E18183</f>
        <v>100.299</v>
      </c>
      <c r="F18186" s="6" t="n">
        <f aca="false">Sens!F18184+Sens!F18183</f>
        <v>117.438354189776</v>
      </c>
      <c r="G18186" s="6" t="n">
        <f aca="false">Sens!G18184+Sens!G18183</f>
        <v>132.595360443801</v>
      </c>
      <c r="H18186" s="6" t="n">
        <f aca="false">Sens!H18184+Sens!H18183</f>
        <v>147.833811964563</v>
      </c>
      <c r="I18186" s="6" t="n">
        <f aca="false">Sens!I18184+Sens!I18183</f>
        <v>162.145665319381</v>
      </c>
      <c r="J18186" s="6" t="n">
        <f aca="false">Sens!J18184+Sens!J18183</f>
        <v>175.249327755573</v>
      </c>
      <c r="K18186" s="6" t="n">
        <f aca="false">Sens!K18184+Sens!K18183</f>
        <v>187.599280698463</v>
      </c>
    </row>
    <row r="18187" customFormat="false" ht="17.15" hidden="false" customHeight="false" outlineLevel="0" collapsed="false">
      <c r="A18187" s="0" t="s">
        <v>1037</v>
      </c>
      <c r="B18187" s="0" t="s">
        <v>98</v>
      </c>
      <c r="D18187" s="6" t="n">
        <f aca="false">Q!L8</f>
        <v>35.391</v>
      </c>
      <c r="E18187" s="6" t="n">
        <f aca="false">Q!M8</f>
        <v>37.285</v>
      </c>
      <c r="F18187" s="6" t="n">
        <f aca="false">Q!$I$8+(Q!M8-Q!$E$8)*(1+Sens!F18188)</f>
        <v>38.3851437782675</v>
      </c>
      <c r="G18187" s="6" t="n">
        <f aca="false">Sens!F18187*(1+Sens!G18188)</f>
        <v>40.0105353288615</v>
      </c>
      <c r="H18187" s="6" t="n">
        <f aca="false">Sens!G18187*(1+Sens!H18188)</f>
        <v>41.4812512033683</v>
      </c>
      <c r="I18187" s="6" t="n">
        <f aca="false">Sens!H18187*(1+Sens!I18188)</f>
        <v>42.7743107216329</v>
      </c>
      <c r="J18187" s="6" t="n">
        <f aca="false">Sens!I18187*(1+Sens!J18188)</f>
        <v>43.8687373064601</v>
      </c>
      <c r="K18187" s="6" t="n">
        <f aca="false">Sens!J18187*(1+Sens!K18188)</f>
        <v>44.7461120525893</v>
      </c>
      <c r="L18187" s="12" t="s">
        <v>1038</v>
      </c>
    </row>
    <row r="18188" customFormat="false" ht="15" hidden="false" customHeight="false" outlineLevel="0" collapsed="false">
      <c r="A18188" s="1" t="s">
        <v>1028</v>
      </c>
      <c r="B18188" s="0" t="s">
        <v>168</v>
      </c>
      <c r="E18188" s="7" t="n">
        <f aca="false">Sens!E18187/Sens!D18187-1</f>
        <v>0.0535164307309768</v>
      </c>
      <c r="F18188" s="7" t="n">
        <f aca="false">Sens!$E$18188+(glt_lic-Sens!$E$18188)*MIN(1,(Sens!F18137-base_fy)/n_conv)</f>
        <v>0.0479303589424807</v>
      </c>
      <c r="G18188" s="7" t="n">
        <f aca="false">Sens!$E$18188+(glt_lic-Sens!$E$18188)*MIN(1,(Sens!G18137-base_fy)/n_conv)</f>
        <v>0.0423442871539845</v>
      </c>
      <c r="H18188" s="7" t="n">
        <f aca="false">Sens!$E$18188+(glt_lic-Sens!$E$18188)*MIN(1,(Sens!H18137-base_fy)/n_conv)</f>
        <v>0.0367582153654884</v>
      </c>
      <c r="I18188" s="7" t="n">
        <f aca="false">Sens!$E$18188+(glt_lic-Sens!$E$18188)*MIN(1,(Sens!I18137-base_fy)/n_conv)</f>
        <v>0.0311721435769923</v>
      </c>
      <c r="J18188" s="7" t="n">
        <f aca="false">Sens!$E$18188+(glt_lic-Sens!$E$18188)*MIN(1,(Sens!J18137-base_fy)/n_conv)</f>
        <v>0.0255860717884961</v>
      </c>
      <c r="K18188" s="7" t="n">
        <f aca="false">Sens!$E$18188+(glt_lic-Sens!$E$18188)*MIN(1,(Sens!K18137-base_fy)/n_conv)</f>
        <v>0.02</v>
      </c>
    </row>
    <row r="18189" customFormat="false" ht="17.15" hidden="false" customHeight="false" outlineLevel="0" collapsed="false">
      <c r="A18189" s="0" t="s">
        <v>1039</v>
      </c>
      <c r="B18189" s="0" t="s">
        <v>98</v>
      </c>
      <c r="D18189" s="6" t="n">
        <f aca="false">Q!L9</f>
        <v>18.417</v>
      </c>
      <c r="E18189" s="6" t="n">
        <f aca="false">Q!M9</f>
        <v>20.345</v>
      </c>
      <c r="F18189" s="6" t="n">
        <f aca="false">Q!$I$9+(Q!M9-Q!$E$9)*(1+Sens!F18190)</f>
        <v>22.3161797133988</v>
      </c>
      <c r="G18189" s="6" t="n">
        <f aca="false">Sens!F18189*(1+Sens!G18190)</f>
        <v>24.3943499673233</v>
      </c>
      <c r="H18189" s="6" t="n">
        <f aca="false">Sens!G18189*(1+Sens!H18190)</f>
        <v>26.5250243109019</v>
      </c>
      <c r="I18189" s="6" t="n">
        <f aca="false">Sens!H18189*(1+Sens!I18190)</f>
        <v>28.6884573538181</v>
      </c>
      <c r="J18189" s="6" t="n">
        <f aca="false">Sens!I18189*(1+Sens!J18190)</f>
        <v>30.8624968052127</v>
      </c>
      <c r="K18189" s="6" t="n">
        <f aca="false">Sens!J18189*(1+Sens!K18190)</f>
        <v>33.0228715815776</v>
      </c>
      <c r="L18189" s="12" t="s">
        <v>1038</v>
      </c>
    </row>
    <row r="18190" customFormat="false" ht="15" hidden="false" customHeight="false" outlineLevel="0" collapsed="false">
      <c r="A18190" s="1" t="s">
        <v>1028</v>
      </c>
      <c r="B18190" s="0" t="s">
        <v>168</v>
      </c>
      <c r="E18190" s="7" t="n">
        <f aca="false">Sens!E18189/Sens!D18189-1</f>
        <v>0.104685888038225</v>
      </c>
      <c r="F18190" s="7" t="n">
        <f aca="false">Sens!$E$18190+(glt_ind-Sens!$E$18190)*MIN(1,(Sens!F18137-base_fy)/n_conv)</f>
        <v>0.0989049066985211</v>
      </c>
      <c r="G18190" s="7" t="n">
        <f aca="false">Sens!$E$18190+(glt_ind-Sens!$E$18190)*MIN(1,(Sens!G18137-base_fy)/n_conv)</f>
        <v>0.0931239253588169</v>
      </c>
      <c r="H18190" s="7" t="n">
        <f aca="false">Sens!$E$18190+(glt_ind-Sens!$E$18190)*MIN(1,(Sens!H18137-base_fy)/n_conv)</f>
        <v>0.0873429440191127</v>
      </c>
      <c r="I18190" s="7" t="n">
        <f aca="false">Sens!$E$18190+(glt_ind-Sens!$E$18190)*MIN(1,(Sens!I18137-base_fy)/n_conv)</f>
        <v>0.0815619626794085</v>
      </c>
      <c r="J18190" s="7" t="n">
        <f aca="false">Sens!$E$18190+(glt_ind-Sens!$E$18190)*MIN(1,(Sens!J18137-base_fy)/n_conv)</f>
        <v>0.0757809813397042</v>
      </c>
      <c r="K18190" s="7" t="n">
        <f aca="false">Sens!$E$18190+(glt_ind-Sens!$E$18190)*MIN(1,(Sens!K18137-base_fy)/n_conv)</f>
        <v>0.07</v>
      </c>
    </row>
    <row r="18191" customFormat="false" ht="17.15" hidden="false" customHeight="false" outlineLevel="0" collapsed="false">
      <c r="A18191" s="0" t="s">
        <v>1040</v>
      </c>
      <c r="B18191" s="0" t="s">
        <v>98</v>
      </c>
      <c r="D18191" s="6" t="n">
        <f aca="false">Q!L10</f>
        <v>7.76</v>
      </c>
      <c r="E18191" s="6" t="n">
        <f aca="false">Q!M10</f>
        <v>8.26</v>
      </c>
      <c r="F18191" s="6" t="n">
        <f aca="false">Q!$I$10+(Q!M10-Q!$E$10)*(1+Sens!F18192)</f>
        <v>8.75372082474227</v>
      </c>
      <c r="G18191" s="6" t="n">
        <f aca="false">Sens!F18191*(1+Sens!G18192)</f>
        <v>9.33399324642364</v>
      </c>
      <c r="H18191" s="6" t="n">
        <f aca="false">Sens!G18191*(1+Sens!H18192)</f>
        <v>9.96139155535851</v>
      </c>
      <c r="I18191" s="6" t="n">
        <f aca="false">Sens!H18191*(1+Sens!I18192)</f>
        <v>10.6402039077391</v>
      </c>
      <c r="J18191" s="6" t="n">
        <f aca="false">Sens!I18191*(1+Sens!J18192)</f>
        <v>11.3751458271397</v>
      </c>
      <c r="K18191" s="6" t="n">
        <f aca="false">Sens!J18191*(1+Sens!K18192)</f>
        <v>12.1714060350394</v>
      </c>
      <c r="L18191" s="12" t="s">
        <v>1038</v>
      </c>
    </row>
    <row r="18192" customFormat="false" ht="15" hidden="false" customHeight="false" outlineLevel="0" collapsed="false">
      <c r="A18192" s="1" t="s">
        <v>1028</v>
      </c>
      <c r="B18192" s="0" t="s">
        <v>168</v>
      </c>
      <c r="E18192" s="7" t="n">
        <f aca="false">Sens!E18191/Sens!D18191-1</f>
        <v>0.0644329896907216</v>
      </c>
      <c r="F18192" s="7" t="n">
        <f aca="false">Sens!$E$18192+(glt_fro-Sens!$E$18192)*MIN(1,(Sens!F18137-base_fy)/n_conv)</f>
        <v>0.065360824742268</v>
      </c>
      <c r="G18192" s="7" t="n">
        <f aca="false">Sens!$E$18192+(glt_fro-Sens!$E$18192)*MIN(1,(Sens!G18137-base_fy)/n_conv)</f>
        <v>0.0662886597938144</v>
      </c>
      <c r="H18192" s="7" t="n">
        <f aca="false">Sens!$E$18192+(glt_fro-Sens!$E$18192)*MIN(1,(Sens!H18137-base_fy)/n_conv)</f>
        <v>0.0672164948453608</v>
      </c>
      <c r="I18192" s="7" t="n">
        <f aca="false">Sens!$E$18192+(glt_fro-Sens!$E$18192)*MIN(1,(Sens!I18137-base_fy)/n_conv)</f>
        <v>0.0681443298969072</v>
      </c>
      <c r="J18192" s="7" t="n">
        <f aca="false">Sens!$E$18192+(glt_fro-Sens!$E$18192)*MIN(1,(Sens!J18137-base_fy)/n_conv)</f>
        <v>0.0690721649484536</v>
      </c>
      <c r="K18192" s="7" t="n">
        <f aca="false">Sens!$E$18192+(glt_fro-Sens!$E$18192)*MIN(1,(Sens!K18137-base_fy)/n_conv)</f>
        <v>0.07</v>
      </c>
    </row>
    <row r="18193" customFormat="false" ht="15" hidden="false" customHeight="false" outlineLevel="0" collapsed="false">
      <c r="A18193" s="0" t="s">
        <v>856</v>
      </c>
      <c r="B18193" s="0" t="s">
        <v>98</v>
      </c>
      <c r="D18193" s="6" t="n">
        <f aca="false">Sens!D18181+Sens!D18186+Sens!D18187+Sens!D18189+Sens!D18191</f>
        <v>218.783</v>
      </c>
      <c r="E18193" s="6" t="n">
        <f aca="false">Sens!E18181+Sens!E18186+Sens!E18187+Sens!E18189+Sens!E18191</f>
        <v>268.127</v>
      </c>
      <c r="F18193" s="6" t="n">
        <f aca="false">Sens!F18181+Sens!F18186+Sens!F18187+Sens!F18189+Sens!F18191</f>
        <v>330.145282059882</v>
      </c>
      <c r="G18193" s="6" t="n">
        <f aca="false">Sens!G18181+Sens!G18186+Sens!G18187+Sens!G18189+Sens!G18191</f>
        <v>392.656759865851</v>
      </c>
      <c r="H18193" s="6" t="n">
        <f aca="false">Sens!H18181+Sens!H18186+Sens!H18187+Sens!H18189+Sens!H18191</f>
        <v>450.544273297982</v>
      </c>
      <c r="I18193" s="6" t="n">
        <f aca="false">Sens!I18181+Sens!I18186+Sens!I18187+Sens!I18189+Sens!I18191</f>
        <v>510.69213512593</v>
      </c>
      <c r="J18193" s="6" t="n">
        <f aca="false">Sens!J18181+Sens!J18186+Sens!J18187+Sens!J18189+Sens!J18191</f>
        <v>560.416732629406</v>
      </c>
      <c r="K18193" s="6" t="n">
        <f aca="false">Sens!K18181+Sens!K18186+Sens!K18187+Sens!K18189+Sens!K18191</f>
        <v>600.132410592692</v>
      </c>
    </row>
    <row r="18194" customFormat="false" ht="17.15" hidden="false" customHeight="false" outlineLevel="0" collapsed="false">
      <c r="A18194" s="0" t="s">
        <v>1041</v>
      </c>
      <c r="B18194" s="0" t="s">
        <v>98</v>
      </c>
      <c r="D18194" s="6" t="n">
        <f aca="false">Q!L13</f>
        <v>22.171</v>
      </c>
      <c r="E18194" s="6" t="n">
        <f aca="false">Q!M13</f>
        <v>24.835</v>
      </c>
      <c r="F18194" s="6" t="n">
        <f aca="false">Q!$I$13+(Q!M13-Q!$E$13)*(1+Sens!F18195)</f>
        <v>27.5591895660247</v>
      </c>
      <c r="G18194" s="6" t="n">
        <f aca="false">Sens!F18194*(1+Sens!G18195)</f>
        <v>30.4098563144583</v>
      </c>
      <c r="H18194" s="6" t="n">
        <f aca="false">Sens!G18194*(1+Sens!H18195)</f>
        <v>33.3011792571777</v>
      </c>
      <c r="I18194" s="6" t="n">
        <f aca="false">Sens!H18194*(1+Sens!I18195)</f>
        <v>36.189023797112</v>
      </c>
      <c r="J18194" s="6" t="n">
        <f aca="false">Sens!I18194*(1+Sens!J18195)</f>
        <v>39.0247773769199</v>
      </c>
      <c r="K18194" s="6" t="n">
        <f aca="false">Sens!J18194*(1+Sens!K18195)</f>
        <v>41.7565117933043</v>
      </c>
      <c r="L18194" s="12" t="s">
        <v>1038</v>
      </c>
    </row>
    <row r="18195" customFormat="false" ht="15" hidden="false" customHeight="false" outlineLevel="0" collapsed="false">
      <c r="A18195" s="1" t="s">
        <v>1028</v>
      </c>
      <c r="B18195" s="0" t="s">
        <v>168</v>
      </c>
      <c r="E18195" s="7" t="n">
        <f aca="false">Sens!E18194/Sens!D18194-1</f>
        <v>0.120156961796942</v>
      </c>
      <c r="F18195" s="7" t="n">
        <f aca="false">Sens!$E$18195+(glt_srch-Sens!$E$18195)*MIN(1,(Sens!F18137-base_fy)/n_conv)</f>
        <v>0.111797468164118</v>
      </c>
      <c r="G18195" s="7" t="n">
        <f aca="false">Sens!$E$18195+(glt_srch-Sens!$E$18195)*MIN(1,(Sens!G18137-base_fy)/n_conv)</f>
        <v>0.103437974531295</v>
      </c>
      <c r="H18195" s="7" t="n">
        <f aca="false">Sens!$E$18195+(glt_srch-Sens!$E$18195)*MIN(1,(Sens!H18137-base_fy)/n_conv)</f>
        <v>0.095078480898471</v>
      </c>
      <c r="I18195" s="7" t="n">
        <f aca="false">Sens!$E$18195+(glt_srch-Sens!$E$18195)*MIN(1,(Sens!I18137-base_fy)/n_conv)</f>
        <v>0.0867189872656474</v>
      </c>
      <c r="J18195" s="7" t="n">
        <f aca="false">Sens!$E$18195+(glt_srch-Sens!$E$18195)*MIN(1,(Sens!J18137-base_fy)/n_conv)</f>
        <v>0.0783594936328237</v>
      </c>
      <c r="K18195" s="7" t="n">
        <f aca="false">Sens!$E$18195+(glt_srch-Sens!$E$18195)*MIN(1,(Sens!K18137-base_fy)/n_conv)</f>
        <v>0.07</v>
      </c>
    </row>
    <row r="18196" customFormat="false" ht="17.15" hidden="false" customHeight="false" outlineLevel="0" collapsed="false">
      <c r="A18196" s="0" t="s">
        <v>1042</v>
      </c>
      <c r="B18196" s="0" t="s">
        <v>98</v>
      </c>
      <c r="D18196" s="6" t="n">
        <f aca="false">Q!L14</f>
        <v>23.455</v>
      </c>
      <c r="E18196" s="6" t="n">
        <f aca="false">Q!M14</f>
        <v>21.79</v>
      </c>
      <c r="F18196" s="6" t="n">
        <f aca="false">Q!$I$14+(Q!M14-Q!$E$14)*(1+Sens!F18197)</f>
        <v>20.7520981041711</v>
      </c>
      <c r="G18196" s="6" t="n">
        <f aca="false">Sens!F18196*(1+Sens!G18197)</f>
        <v>19.9083593495882</v>
      </c>
      <c r="H18196" s="6" t="n">
        <f aca="false">Sens!G18196*(1+Sens!H18197)</f>
        <v>19.4008256265831</v>
      </c>
      <c r="I18196" s="6" t="n">
        <f aca="false">Sens!H18196*(1+Sens!I18197)</f>
        <v>19.200434522122</v>
      </c>
      <c r="J18196" s="6" t="n">
        <f aca="false">Sens!I18196*(1+Sens!J18197)</f>
        <v>19.2932782348507</v>
      </c>
      <c r="K18196" s="6" t="n">
        <f aca="false">Sens!J18196*(1+Sens!K18197)</f>
        <v>19.6791437995477</v>
      </c>
      <c r="L18196" s="12" t="s">
        <v>1038</v>
      </c>
    </row>
    <row r="18197" customFormat="false" ht="15" hidden="false" customHeight="false" outlineLevel="0" collapsed="false">
      <c r="A18197" s="1" t="s">
        <v>1028</v>
      </c>
      <c r="B18197" s="0" t="s">
        <v>168</v>
      </c>
      <c r="E18197" s="7" t="n">
        <f aca="false">Sens!E18196/Sens!D18196-1</f>
        <v>-0.0709869963760392</v>
      </c>
      <c r="F18197" s="7" t="n">
        <f aca="false">Sens!$E$18197+(glt_xbox-Sens!$E$18197)*MIN(1,(Sens!F18137-base_fy)/n_conv)</f>
        <v>-0.0558224969800327</v>
      </c>
      <c r="G18197" s="7" t="n">
        <f aca="false">Sens!$E$18197+(glt_xbox-Sens!$E$18197)*MIN(1,(Sens!G18137-base_fy)/n_conv)</f>
        <v>-0.0406579975840262</v>
      </c>
      <c r="H18197" s="7" t="n">
        <f aca="false">Sens!$E$18197+(glt_xbox-Sens!$E$18197)*MIN(1,(Sens!H18137-base_fy)/n_conv)</f>
        <v>-0.0254934981880196</v>
      </c>
      <c r="I18197" s="7" t="n">
        <f aca="false">Sens!$E$18197+(glt_xbox-Sens!$E$18197)*MIN(1,(Sens!I18137-base_fy)/n_conv)</f>
        <v>-0.0103289987920131</v>
      </c>
      <c r="J18197" s="7" t="n">
        <f aca="false">Sens!$E$18197+(glt_xbox-Sens!$E$18197)*MIN(1,(Sens!J18137-base_fy)/n_conv)</f>
        <v>0.00483550060399347</v>
      </c>
      <c r="K18197" s="7" t="n">
        <f aca="false">Sens!$E$18197+(glt_xbox-Sens!$E$18197)*MIN(1,(Sens!K18137-base_fy)/n_conv)</f>
        <v>0.02</v>
      </c>
    </row>
    <row r="18198" customFormat="false" ht="17.15" hidden="false" customHeight="false" outlineLevel="0" collapsed="false">
      <c r="A18198" s="0" t="s">
        <v>1043</v>
      </c>
      <c r="B18198" s="0" t="s">
        <v>98</v>
      </c>
      <c r="D18198" s="6" t="n">
        <f aca="false">Q!L15</f>
        <v>17.315</v>
      </c>
      <c r="E18198" s="6" t="n">
        <f aca="false">Q!M15</f>
        <v>17.087</v>
      </c>
      <c r="F18198" s="6" t="n">
        <f aca="false">Q!$I$15+(Q!M15-Q!$E$15)*(1+Sens!F18199)</f>
        <v>15.9912273250553</v>
      </c>
      <c r="G18198" s="6" t="n">
        <f aca="false">Sens!F18198*(1+Sens!G18199)</f>
        <v>15.9574562664827</v>
      </c>
      <c r="H18198" s="6" t="n">
        <f aca="false">Sens!G18198*(1+Sens!H18199)</f>
        <v>16.0119687434196</v>
      </c>
      <c r="I18198" s="6" t="n">
        <f aca="false">Sens!H18198*(1+Sens!I18199)</f>
        <v>16.1551810001948</v>
      </c>
      <c r="J18198" s="6" t="n">
        <f aca="false">Sens!I18198*(1+Sens!J18199)</f>
        <v>16.3889793892005</v>
      </c>
      <c r="K18198" s="6" t="n">
        <f aca="false">Sens!J18198*(1+Sens!K18199)</f>
        <v>16.7167589769845</v>
      </c>
      <c r="L18198" s="12" t="s">
        <v>1038</v>
      </c>
    </row>
    <row r="18199" customFormat="false" ht="15" hidden="false" customHeight="false" outlineLevel="0" collapsed="false">
      <c r="A18199" s="1" t="s">
        <v>1028</v>
      </c>
      <c r="B18199" s="0" t="s">
        <v>168</v>
      </c>
      <c r="E18199" s="7" t="n">
        <f aca="false">Sens!E18198/Sens!D18198-1</f>
        <v>-0.0131677736066995</v>
      </c>
      <c r="F18199" s="7" t="n">
        <f aca="false">Sens!$E$18199+(glt_win-Sens!$E$18199)*MIN(1,(Sens!F18137-base_fy)/n_conv)</f>
        <v>-0.00763981133891627</v>
      </c>
      <c r="G18199" s="7" t="n">
        <f aca="false">Sens!$E$18199+(glt_win-Sens!$E$18199)*MIN(1,(Sens!G18137-base_fy)/n_conv)</f>
        <v>-0.00211184907113301</v>
      </c>
      <c r="H18199" s="7" t="n">
        <f aca="false">Sens!$E$18199+(glt_win-Sens!$E$18199)*MIN(1,(Sens!H18137-base_fy)/n_conv)</f>
        <v>0.00341611319665024</v>
      </c>
      <c r="I18199" s="7" t="n">
        <f aca="false">Sens!$E$18199+(glt_win-Sens!$E$18199)*MIN(1,(Sens!I18137-base_fy)/n_conv)</f>
        <v>0.00894407546443349</v>
      </c>
      <c r="J18199" s="7" t="n">
        <f aca="false">Sens!$E$18199+(glt_win-Sens!$E$18199)*MIN(1,(Sens!J18137-base_fy)/n_conv)</f>
        <v>0.0144720377322168</v>
      </c>
      <c r="K18199" s="7" t="n">
        <f aca="false">Sens!$E$18199+(glt_win-Sens!$E$18199)*MIN(1,(Sens!K18137-base_fy)/n_conv)</f>
        <v>0.02</v>
      </c>
    </row>
    <row r="18200" customFormat="false" ht="15" hidden="false" customHeight="false" outlineLevel="0" collapsed="false">
      <c r="A18200" s="0" t="s">
        <v>870</v>
      </c>
      <c r="B18200" s="0" t="s">
        <v>98</v>
      </c>
      <c r="D18200" s="6" t="n">
        <f aca="false">Sens!D18194+Sens!D18196+Sens!D18198</f>
        <v>62.941</v>
      </c>
      <c r="E18200" s="6" t="n">
        <f aca="false">Sens!E18194+Sens!E18196+Sens!E18198</f>
        <v>63.712</v>
      </c>
      <c r="F18200" s="6" t="n">
        <f aca="false">Sens!F18194+Sens!F18196+Sens!F18198</f>
        <v>64.3025149952511</v>
      </c>
      <c r="G18200" s="6" t="n">
        <f aca="false">Sens!G18194+Sens!G18196+Sens!G18198</f>
        <v>66.2756719305292</v>
      </c>
      <c r="H18200" s="6" t="n">
        <f aca="false">Sens!H18194+Sens!H18196+Sens!H18198</f>
        <v>68.7139736271804</v>
      </c>
      <c r="I18200" s="6" t="n">
        <f aca="false">Sens!I18194+Sens!I18196+Sens!I18198</f>
        <v>71.5446393194289</v>
      </c>
      <c r="J18200" s="6" t="n">
        <f aca="false">Sens!J18194+Sens!J18196+Sens!J18198</f>
        <v>74.707035000971</v>
      </c>
      <c r="K18200" s="6" t="n">
        <f aca="false">Sens!K18194+Sens!K18196+Sens!K18198</f>
        <v>78.1524145698365</v>
      </c>
    </row>
    <row r="18201" customFormat="false" ht="15" hidden="false" customHeight="false" outlineLevel="0" collapsed="false">
      <c r="A18201" s="1" t="s">
        <v>1044</v>
      </c>
      <c r="B18201" s="0" t="s">
        <v>98</v>
      </c>
      <c r="D18201" s="6" t="n">
        <f aca="false">Sens!D18193+Sens!D18200</f>
        <v>281.724</v>
      </c>
      <c r="E18201" s="6" t="n">
        <f aca="false">Sens!E18193+Sens!E18200</f>
        <v>331.839</v>
      </c>
      <c r="F18201" s="6" t="n">
        <f aca="false">Sens!F18193+Sens!F18200</f>
        <v>394.447797055133</v>
      </c>
      <c r="G18201" s="6" t="n">
        <f aca="false">Sens!G18193+Sens!G18200</f>
        <v>458.93243179638</v>
      </c>
      <c r="H18201" s="6" t="n">
        <f aca="false">Sens!H18193+Sens!H18200</f>
        <v>519.258246925162</v>
      </c>
      <c r="I18201" s="6" t="n">
        <f aca="false">Sens!I18193+Sens!I18200</f>
        <v>582.236774445359</v>
      </c>
      <c r="J18201" s="6" t="n">
        <f aca="false">Sens!J18193+Sens!J18200</f>
        <v>635.123767630377</v>
      </c>
      <c r="K18201" s="6" t="n">
        <f aca="false">Sens!K18193+Sens!K18200</f>
        <v>678.284825162529</v>
      </c>
    </row>
    <row r="18202" customFormat="false" ht="15" hidden="false" customHeight="false" outlineLevel="0" collapsed="false">
      <c r="A18202" s="26" t="s">
        <v>1045</v>
      </c>
      <c r="B18202" s="31" t="s">
        <v>98</v>
      </c>
      <c r="C18202" s="31"/>
      <c r="D18202" s="27" t="n">
        <f aca="false">(Sens!D18181+Sens!D18186+Sens!D18187+Sens!D18189+Sens!D18191-Sens!D18193)+(Sens!D18194+Sens!D18196+Sens!D18198-Sens!D18200)+(Sens!D18193-Q!L5)+(Sens!D18200-Q!L12)+(Sens!D18181-Q!L6)+(Sens!D18186-Q!L7)</f>
        <v>0</v>
      </c>
      <c r="E18202" s="27" t="n">
        <f aca="false">(Sens!E18181+Sens!E18186+Sens!E18187+Sens!E18189+Sens!E18191-Sens!E18193)+(Sens!E18194+Sens!E18196+Sens!E18198-Sens!E18200)+(Sens!E18193-Q!M5)+(Sens!E18200-Q!M12)+(Sens!E18181-Q!M6)+(Sens!E18186-Q!M7)</f>
        <v>0</v>
      </c>
      <c r="F18202" s="27" t="n">
        <f aca="false">(Sens!F18181+Sens!F18186+Sens!F18187+Sens!F18189+Sens!F18191-Sens!F18193)+(Sens!F18194+Sens!F18196+Sens!F18198-Sens!F18200)</f>
        <v>0</v>
      </c>
      <c r="G18202" s="27" t="n">
        <f aca="false">(Sens!G18181+Sens!G18186+Sens!G18187+Sens!G18189+Sens!G18191-Sens!G18193)+(Sens!G18194+Sens!G18196+Sens!G18198-Sens!G18200)</f>
        <v>0</v>
      </c>
      <c r="H18202" s="27" t="n">
        <f aca="false">(Sens!H18181+Sens!H18186+Sens!H18187+Sens!H18189+Sens!H18191-Sens!H18193)+(Sens!H18194+Sens!H18196+Sens!H18198-Sens!H18200)</f>
        <v>0</v>
      </c>
      <c r="I18202" s="27" t="n">
        <f aca="false">(Sens!I18181+Sens!I18186+Sens!I18187+Sens!I18189+Sens!I18191-Sens!I18193)+(Sens!I18194+Sens!I18196+Sens!I18198-Sens!I18200)</f>
        <v>0</v>
      </c>
      <c r="J18202" s="27" t="n">
        <f aca="false">(Sens!J18181+Sens!J18186+Sens!J18187+Sens!J18189+Sens!J18191-Sens!J18193)+(Sens!J18194+Sens!J18196+Sens!J18198-Sens!J18200)</f>
        <v>0</v>
      </c>
      <c r="K18202" s="27" t="n">
        <f aca="false">(Sens!K18181+Sens!K18186+Sens!K18187+Sens!K18189+Sens!K18191-Sens!K18193)+(Sens!K18194+Sens!K18196+Sens!K18198-Sens!K18200)</f>
        <v>0</v>
      </c>
    </row>
    <row r="18203" customFormat="false" ht="17.15" hidden="false" customHeight="false" outlineLevel="0" collapsed="false">
      <c r="A18203" s="3" t="s">
        <v>2061</v>
      </c>
    </row>
    <row r="18204" customFormat="false" ht="15" hidden="false" customHeight="false" outlineLevel="0" collapsed="false">
      <c r="A18204" s="4" t="s">
        <v>43</v>
      </c>
      <c r="B18204" s="4" t="s">
        <v>65</v>
      </c>
      <c r="C18204" s="23" t="s">
        <v>942</v>
      </c>
      <c r="D18204" s="23" t="s">
        <v>943</v>
      </c>
      <c r="E18204" s="23" t="s">
        <v>944</v>
      </c>
      <c r="F18204" s="23" t="s">
        <v>945</v>
      </c>
      <c r="G18204" s="23" t="s">
        <v>946</v>
      </c>
      <c r="H18204" s="23" t="s">
        <v>947</v>
      </c>
      <c r="I18204" s="23" t="s">
        <v>948</v>
      </c>
      <c r="J18204" s="23" t="s">
        <v>949</v>
      </c>
      <c r="K18204" s="23" t="s">
        <v>950</v>
      </c>
      <c r="L18204" s="4" t="s">
        <v>47</v>
      </c>
    </row>
    <row r="18205" customFormat="false" ht="15" hidden="false" customHeight="false" outlineLevel="0" collapsed="false">
      <c r="A18205" s="0" t="s">
        <v>1029</v>
      </c>
      <c r="B18205" s="0" t="s">
        <v>98</v>
      </c>
      <c r="D18205" s="6" t="n">
        <f aca="false">Sens!D18181</f>
        <v>72.61</v>
      </c>
      <c r="E18205" s="6" t="n">
        <f aca="false">Sens!E18181</f>
        <v>101.938</v>
      </c>
      <c r="F18205" s="6" t="n">
        <f aca="false">Sens!F18181</f>
        <v>143.251883553698</v>
      </c>
      <c r="G18205" s="6" t="n">
        <f aca="false">Sens!G18181</f>
        <v>186.322520879442</v>
      </c>
      <c r="H18205" s="6" t="n">
        <f aca="false">Sens!H18181</f>
        <v>224.74279426379</v>
      </c>
      <c r="I18205" s="6" t="n">
        <f aca="false">Sens!I18181</f>
        <v>266.443497823359</v>
      </c>
      <c r="J18205" s="6" t="n">
        <f aca="false">Sens!J18181</f>
        <v>299.06102493502</v>
      </c>
      <c r="K18205" s="6" t="n">
        <f aca="false">Sens!K18181</f>
        <v>322.592740225023</v>
      </c>
    </row>
    <row r="18206" customFormat="false" ht="17.15" hidden="false" customHeight="false" outlineLevel="0" collapsed="false">
      <c r="A18206" s="0" t="s">
        <v>1025</v>
      </c>
      <c r="B18206" s="0" t="s">
        <v>98</v>
      </c>
      <c r="D18206" s="6" t="n">
        <f aca="false">Sens!D18178</f>
        <v>12.9359794422418</v>
      </c>
      <c r="E18206" s="6" t="n">
        <f aca="false">Sens!E18178</f>
        <v>27.8095064661409</v>
      </c>
      <c r="F18206" s="6" t="n">
        <f aca="false">Sens!F18178</f>
        <v>50.9819294352312</v>
      </c>
      <c r="G18206" s="6" t="n">
        <f aca="false">Sens!G18178</f>
        <v>76.6920436014933</v>
      </c>
      <c r="H18206" s="6" t="n">
        <f aca="false">Sens!H18178</f>
        <v>97.4495379418341</v>
      </c>
      <c r="I18206" s="6" t="n">
        <f aca="false">Sens!I18178</f>
        <v>122.083445553868</v>
      </c>
      <c r="J18206" s="6" t="n">
        <f aca="false">Sens!J18178</f>
        <v>139.249060444804</v>
      </c>
      <c r="K18206" s="6" t="n">
        <f aca="false">Sens!K18178</f>
        <v>149.995818575589</v>
      </c>
    </row>
    <row r="18207" customFormat="false" ht="17.15" hidden="false" customHeight="false" outlineLevel="0" collapsed="false">
      <c r="A18207" s="0" t="s">
        <v>1056</v>
      </c>
      <c r="B18207" s="0" t="s">
        <v>98</v>
      </c>
      <c r="D18207" s="6" t="n">
        <f aca="false">Sens!D18179</f>
        <v>59.6740205577583</v>
      </c>
      <c r="E18207" s="6" t="n">
        <f aca="false">Sens!E18179</f>
        <v>74.1284935338591</v>
      </c>
      <c r="F18207" s="6" t="n">
        <f aca="false">Sens!F18179</f>
        <v>92.2699541184664</v>
      </c>
      <c r="G18207" s="6" t="n">
        <f aca="false">Sens!G18179</f>
        <v>109.630477277949</v>
      </c>
      <c r="H18207" s="6" t="n">
        <f aca="false">Sens!H18179</f>
        <v>127.293256321956</v>
      </c>
      <c r="I18207" s="6" t="n">
        <f aca="false">Sens!I18179</f>
        <v>144.360052269491</v>
      </c>
      <c r="J18207" s="6" t="n">
        <f aca="false">Sens!J18179</f>
        <v>159.811964490216</v>
      </c>
      <c r="K18207" s="6" t="n">
        <f aca="false">Sens!K18179</f>
        <v>172.596921649434</v>
      </c>
    </row>
    <row r="18208" customFormat="false" ht="15" hidden="false" customHeight="false" outlineLevel="0" collapsed="false">
      <c r="A18208" s="0" t="s">
        <v>1036</v>
      </c>
      <c r="B18208" s="0" t="s">
        <v>98</v>
      </c>
      <c r="D18208" s="6" t="n">
        <f aca="false">Sens!D18186</f>
        <v>84.605</v>
      </c>
      <c r="E18208" s="6" t="n">
        <f aca="false">Sens!E18186</f>
        <v>100.299</v>
      </c>
      <c r="F18208" s="6" t="n">
        <f aca="false">Sens!F18186</f>
        <v>117.438354189776</v>
      </c>
      <c r="G18208" s="6" t="n">
        <f aca="false">Sens!G18186</f>
        <v>132.595360443801</v>
      </c>
      <c r="H18208" s="6" t="n">
        <f aca="false">Sens!H18186</f>
        <v>147.833811964563</v>
      </c>
      <c r="I18208" s="6" t="n">
        <f aca="false">Sens!I18186</f>
        <v>162.145665319381</v>
      </c>
      <c r="J18208" s="6" t="n">
        <f aca="false">Sens!J18186</f>
        <v>175.249327755573</v>
      </c>
      <c r="K18208" s="6" t="n">
        <f aca="false">Sens!K18186</f>
        <v>187.599280698463</v>
      </c>
    </row>
    <row r="18209" customFormat="false" ht="17.15" hidden="false" customHeight="false" outlineLevel="0" collapsed="false">
      <c r="A18209" s="0" t="s">
        <v>1057</v>
      </c>
      <c r="B18209" s="0" t="s">
        <v>98</v>
      </c>
      <c r="D18209" s="6" t="n">
        <f aca="false">Sens!D18184</f>
        <v>83.705</v>
      </c>
      <c r="E18209" s="6" t="n">
        <f aca="false">Sens!E18184</f>
        <v>95.049</v>
      </c>
      <c r="F18209" s="6" t="n">
        <f aca="false">Sens!F18184</f>
        <v>106.938354189776</v>
      </c>
      <c r="G18209" s="6" t="n">
        <f aca="false">Sens!G18184</f>
        <v>119.095360443801</v>
      </c>
      <c r="H18209" s="6" t="n">
        <f aca="false">Sens!H18184</f>
        <v>131.333811964563</v>
      </c>
      <c r="I18209" s="6" t="n">
        <f aca="false">Sens!I18184</f>
        <v>143.395665319381</v>
      </c>
      <c r="J18209" s="6" t="n">
        <f aca="false">Sens!J18184</f>
        <v>154.999327755573</v>
      </c>
      <c r="K18209" s="6" t="n">
        <f aca="false">Sens!K18184</f>
        <v>165.849280698463</v>
      </c>
    </row>
    <row r="18210" customFormat="false" ht="17.15" hidden="false" customHeight="false" outlineLevel="0" collapsed="false">
      <c r="A18210" s="0" t="s">
        <v>1058</v>
      </c>
      <c r="B18210" s="0" t="s">
        <v>98</v>
      </c>
      <c r="D18210" s="6" t="n">
        <f aca="false">Sens!D18183</f>
        <v>0.9</v>
      </c>
      <c r="E18210" s="6" t="n">
        <f aca="false">Sens!E18183</f>
        <v>5.25</v>
      </c>
      <c r="F18210" s="6" t="n">
        <f aca="false">Sens!F18183</f>
        <v>10.5</v>
      </c>
      <c r="G18210" s="6" t="n">
        <f aca="false">Sens!G18183</f>
        <v>13.5</v>
      </c>
      <c r="H18210" s="6" t="n">
        <f aca="false">Sens!H18183</f>
        <v>16.5</v>
      </c>
      <c r="I18210" s="6" t="n">
        <f aca="false">Sens!I18183</f>
        <v>18.75</v>
      </c>
      <c r="J18210" s="6" t="n">
        <f aca="false">Sens!J18183</f>
        <v>20.25</v>
      </c>
      <c r="K18210" s="6" t="n">
        <f aca="false">Sens!K18183</f>
        <v>21.75</v>
      </c>
    </row>
    <row r="18211" customFormat="false" ht="15" hidden="false" customHeight="false" outlineLevel="0" collapsed="false">
      <c r="A18211" s="0" t="s">
        <v>1037</v>
      </c>
      <c r="B18211" s="0" t="s">
        <v>98</v>
      </c>
      <c r="D18211" s="6" t="n">
        <f aca="false">Sens!D18187</f>
        <v>35.391</v>
      </c>
      <c r="E18211" s="6" t="n">
        <f aca="false">Sens!E18187</f>
        <v>37.285</v>
      </c>
      <c r="F18211" s="6" t="n">
        <f aca="false">Sens!F18187</f>
        <v>38.3851437782675</v>
      </c>
      <c r="G18211" s="6" t="n">
        <f aca="false">Sens!G18187</f>
        <v>40.0105353288615</v>
      </c>
      <c r="H18211" s="6" t="n">
        <f aca="false">Sens!H18187</f>
        <v>41.4812512033683</v>
      </c>
      <c r="I18211" s="6" t="n">
        <f aca="false">Sens!I18187</f>
        <v>42.7743107216329</v>
      </c>
      <c r="J18211" s="6" t="n">
        <f aca="false">Sens!J18187</f>
        <v>43.8687373064601</v>
      </c>
      <c r="K18211" s="6" t="n">
        <f aca="false">Sens!K18187</f>
        <v>44.7461120525893</v>
      </c>
    </row>
    <row r="18212" customFormat="false" ht="15" hidden="false" customHeight="false" outlineLevel="0" collapsed="false">
      <c r="A18212" s="0" t="s">
        <v>1039</v>
      </c>
      <c r="B18212" s="0" t="s">
        <v>98</v>
      </c>
      <c r="D18212" s="6" t="n">
        <f aca="false">Sens!D18189</f>
        <v>18.417</v>
      </c>
      <c r="E18212" s="6" t="n">
        <f aca="false">Sens!E18189</f>
        <v>20.345</v>
      </c>
      <c r="F18212" s="6" t="n">
        <f aca="false">Sens!F18189</f>
        <v>22.3161797133988</v>
      </c>
      <c r="G18212" s="6" t="n">
        <f aca="false">Sens!G18189</f>
        <v>24.3943499673233</v>
      </c>
      <c r="H18212" s="6" t="n">
        <f aca="false">Sens!H18189</f>
        <v>26.5250243109019</v>
      </c>
      <c r="I18212" s="6" t="n">
        <f aca="false">Sens!I18189</f>
        <v>28.6884573538181</v>
      </c>
      <c r="J18212" s="6" t="n">
        <f aca="false">Sens!J18189</f>
        <v>30.8624968052127</v>
      </c>
      <c r="K18212" s="6" t="n">
        <f aca="false">Sens!K18189</f>
        <v>33.0228715815776</v>
      </c>
    </row>
    <row r="18213" customFormat="false" ht="15" hidden="false" customHeight="false" outlineLevel="0" collapsed="false">
      <c r="A18213" s="0" t="s">
        <v>1040</v>
      </c>
      <c r="B18213" s="0" t="s">
        <v>98</v>
      </c>
      <c r="D18213" s="6" t="n">
        <f aca="false">Sens!D18191</f>
        <v>7.76</v>
      </c>
      <c r="E18213" s="6" t="n">
        <f aca="false">Sens!E18191</f>
        <v>8.26</v>
      </c>
      <c r="F18213" s="6" t="n">
        <f aca="false">Sens!F18191</f>
        <v>8.75372082474227</v>
      </c>
      <c r="G18213" s="6" t="n">
        <f aca="false">Sens!G18191</f>
        <v>9.33399324642364</v>
      </c>
      <c r="H18213" s="6" t="n">
        <f aca="false">Sens!H18191</f>
        <v>9.96139155535851</v>
      </c>
      <c r="I18213" s="6" t="n">
        <f aca="false">Sens!I18191</f>
        <v>10.6402039077391</v>
      </c>
      <c r="J18213" s="6" t="n">
        <f aca="false">Sens!J18191</f>
        <v>11.3751458271397</v>
      </c>
      <c r="K18213" s="6" t="n">
        <f aca="false">Sens!K18191</f>
        <v>12.1714060350394</v>
      </c>
    </row>
    <row r="18214" customFormat="false" ht="15" hidden="false" customHeight="false" outlineLevel="0" collapsed="false">
      <c r="A18214" s="0" t="s">
        <v>856</v>
      </c>
      <c r="B18214" s="0" t="s">
        <v>98</v>
      </c>
      <c r="D18214" s="6" t="n">
        <f aca="false">Sens!D18193</f>
        <v>218.783</v>
      </c>
      <c r="E18214" s="6" t="n">
        <f aca="false">Sens!E18193</f>
        <v>268.127</v>
      </c>
      <c r="F18214" s="6" t="n">
        <f aca="false">Sens!F18193</f>
        <v>330.145282059882</v>
      </c>
      <c r="G18214" s="6" t="n">
        <f aca="false">Sens!G18193</f>
        <v>392.656759865851</v>
      </c>
      <c r="H18214" s="6" t="n">
        <f aca="false">Sens!H18193</f>
        <v>450.544273297982</v>
      </c>
      <c r="I18214" s="6" t="n">
        <f aca="false">Sens!I18193</f>
        <v>510.69213512593</v>
      </c>
      <c r="J18214" s="6" t="n">
        <f aca="false">Sens!J18193</f>
        <v>560.416732629406</v>
      </c>
      <c r="K18214" s="6" t="n">
        <f aca="false">Sens!K18193</f>
        <v>600.132410592692</v>
      </c>
    </row>
    <row r="18215" customFormat="false" ht="15" hidden="false" customHeight="false" outlineLevel="0" collapsed="false">
      <c r="A18215" s="0" t="s">
        <v>1041</v>
      </c>
      <c r="B18215" s="0" t="s">
        <v>98</v>
      </c>
      <c r="D18215" s="6" t="n">
        <f aca="false">Sens!D18194</f>
        <v>22.171</v>
      </c>
      <c r="E18215" s="6" t="n">
        <f aca="false">Sens!E18194</f>
        <v>24.835</v>
      </c>
      <c r="F18215" s="6" t="n">
        <f aca="false">Sens!F18194</f>
        <v>27.5591895660247</v>
      </c>
      <c r="G18215" s="6" t="n">
        <f aca="false">Sens!G18194</f>
        <v>30.4098563144583</v>
      </c>
      <c r="H18215" s="6" t="n">
        <f aca="false">Sens!H18194</f>
        <v>33.3011792571777</v>
      </c>
      <c r="I18215" s="6" t="n">
        <f aca="false">Sens!I18194</f>
        <v>36.189023797112</v>
      </c>
      <c r="J18215" s="6" t="n">
        <f aca="false">Sens!J18194</f>
        <v>39.0247773769199</v>
      </c>
      <c r="K18215" s="6" t="n">
        <f aca="false">Sens!K18194</f>
        <v>41.7565117933043</v>
      </c>
    </row>
    <row r="18216" customFormat="false" ht="15" hidden="false" customHeight="false" outlineLevel="0" collapsed="false">
      <c r="A18216" s="0" t="s">
        <v>1042</v>
      </c>
      <c r="B18216" s="0" t="s">
        <v>98</v>
      </c>
      <c r="D18216" s="6" t="n">
        <f aca="false">Sens!D18196</f>
        <v>23.455</v>
      </c>
      <c r="E18216" s="6" t="n">
        <f aca="false">Sens!E18196</f>
        <v>21.79</v>
      </c>
      <c r="F18216" s="6" t="n">
        <f aca="false">Sens!F18196</f>
        <v>20.7520981041711</v>
      </c>
      <c r="G18216" s="6" t="n">
        <f aca="false">Sens!G18196</f>
        <v>19.9083593495882</v>
      </c>
      <c r="H18216" s="6" t="n">
        <f aca="false">Sens!H18196</f>
        <v>19.4008256265831</v>
      </c>
      <c r="I18216" s="6" t="n">
        <f aca="false">Sens!I18196</f>
        <v>19.200434522122</v>
      </c>
      <c r="J18216" s="6" t="n">
        <f aca="false">Sens!J18196</f>
        <v>19.2932782348507</v>
      </c>
      <c r="K18216" s="6" t="n">
        <f aca="false">Sens!K18196</f>
        <v>19.6791437995477</v>
      </c>
    </row>
    <row r="18217" customFormat="false" ht="15" hidden="false" customHeight="false" outlineLevel="0" collapsed="false">
      <c r="A18217" s="0" t="s">
        <v>1043</v>
      </c>
      <c r="B18217" s="0" t="s">
        <v>98</v>
      </c>
      <c r="D18217" s="6" t="n">
        <f aca="false">Sens!D18198</f>
        <v>17.315</v>
      </c>
      <c r="E18217" s="6" t="n">
        <f aca="false">Sens!E18198</f>
        <v>17.087</v>
      </c>
      <c r="F18217" s="6" t="n">
        <f aca="false">Sens!F18198</f>
        <v>15.9912273250553</v>
      </c>
      <c r="G18217" s="6" t="n">
        <f aca="false">Sens!G18198</f>
        <v>15.9574562664827</v>
      </c>
      <c r="H18217" s="6" t="n">
        <f aca="false">Sens!H18198</f>
        <v>16.0119687434196</v>
      </c>
      <c r="I18217" s="6" t="n">
        <f aca="false">Sens!I18198</f>
        <v>16.1551810001948</v>
      </c>
      <c r="J18217" s="6" t="n">
        <f aca="false">Sens!J18198</f>
        <v>16.3889793892005</v>
      </c>
      <c r="K18217" s="6" t="n">
        <f aca="false">Sens!K18198</f>
        <v>16.7167589769845</v>
      </c>
    </row>
    <row r="18218" customFormat="false" ht="15" hidden="false" customHeight="false" outlineLevel="0" collapsed="false">
      <c r="A18218" s="0" t="s">
        <v>870</v>
      </c>
      <c r="B18218" s="0" t="s">
        <v>98</v>
      </c>
      <c r="D18218" s="6" t="n">
        <f aca="false">Sens!D18200</f>
        <v>62.941</v>
      </c>
      <c r="E18218" s="6" t="n">
        <f aca="false">Sens!E18200</f>
        <v>63.712</v>
      </c>
      <c r="F18218" s="6" t="n">
        <f aca="false">Sens!F18200</f>
        <v>64.3025149952511</v>
      </c>
      <c r="G18218" s="6" t="n">
        <f aca="false">Sens!G18200</f>
        <v>66.2756719305292</v>
      </c>
      <c r="H18218" s="6" t="n">
        <f aca="false">Sens!H18200</f>
        <v>68.7139736271804</v>
      </c>
      <c r="I18218" s="6" t="n">
        <f aca="false">Sens!I18200</f>
        <v>71.5446393194289</v>
      </c>
      <c r="J18218" s="6" t="n">
        <f aca="false">Sens!J18200</f>
        <v>74.707035000971</v>
      </c>
      <c r="K18218" s="6" t="n">
        <f aca="false">Sens!K18200</f>
        <v>78.1524145698365</v>
      </c>
    </row>
    <row r="18219" customFormat="false" ht="15" hidden="false" customHeight="false" outlineLevel="0" collapsed="false">
      <c r="A18219" s="1" t="s">
        <v>1059</v>
      </c>
      <c r="B18219" s="0" t="s">
        <v>98</v>
      </c>
      <c r="D18219" s="6" t="n">
        <f aca="false">Sens!D18201</f>
        <v>281.724</v>
      </c>
      <c r="E18219" s="6" t="n">
        <f aca="false">Sens!E18201</f>
        <v>331.839</v>
      </c>
      <c r="F18219" s="6" t="n">
        <f aca="false">Sens!F18201</f>
        <v>394.447797055133</v>
      </c>
      <c r="G18219" s="6" t="n">
        <f aca="false">Sens!G18201</f>
        <v>458.93243179638</v>
      </c>
      <c r="H18219" s="6" t="n">
        <f aca="false">Sens!H18201</f>
        <v>519.258246925162</v>
      </c>
      <c r="I18219" s="6" t="n">
        <f aca="false">Sens!I18201</f>
        <v>582.236774445359</v>
      </c>
      <c r="J18219" s="6" t="n">
        <f aca="false">Sens!J18201</f>
        <v>635.123767630377</v>
      </c>
      <c r="K18219" s="6" t="n">
        <f aca="false">Sens!K18201</f>
        <v>678.284825162529</v>
      </c>
    </row>
    <row r="18220" customFormat="false" ht="15" hidden="false" customHeight="false" outlineLevel="0" collapsed="false">
      <c r="A18220" s="1" t="s">
        <v>1060</v>
      </c>
      <c r="B18220" s="0" t="s">
        <v>168</v>
      </c>
      <c r="E18220" s="7" t="n">
        <f aca="false">Sens!E18219/Sens!D18219-1</f>
        <v>0.177886867998467</v>
      </c>
      <c r="F18220" s="7" t="n">
        <f aca="false">Sens!F18219/Sens!E18219-1</f>
        <v>0.188672208676897</v>
      </c>
      <c r="G18220" s="7" t="n">
        <f aca="false">Sens!G18219/Sens!F18219-1</f>
        <v>0.16348078306604</v>
      </c>
      <c r="H18220" s="7" t="n">
        <f aca="false">Sens!H18219/Sens!G18219-1</f>
        <v>0.131448141271366</v>
      </c>
      <c r="I18220" s="7" t="n">
        <f aca="false">Sens!I18219/Sens!H18219-1</f>
        <v>0.121285560495438</v>
      </c>
      <c r="J18220" s="7" t="n">
        <f aca="false">Sens!J18219/Sens!I18219-1</f>
        <v>0.0908341683422489</v>
      </c>
      <c r="K18220" s="7" t="n">
        <f aca="false">Sens!K18219/Sens!J18219-1</f>
        <v>0.0679569238814417</v>
      </c>
    </row>
    <row r="18221" customFormat="false" ht="17.15" hidden="false" customHeight="false" outlineLevel="0" collapsed="false">
      <c r="A18221" s="26" t="s">
        <v>1061</v>
      </c>
      <c r="B18221" s="31" t="s">
        <v>98</v>
      </c>
      <c r="C18221" s="31"/>
      <c r="D18221" s="27" t="n">
        <f aca="false">(Sens!D18214+Sens!D18218-Sens!D18219)+(Sens!D18206+Sens!D18207-Sens!D18205)+(Sens!D18209+Sens!D18210-Sens!D18208)+(Sens!D18219-Q!L18)</f>
        <v>0</v>
      </c>
      <c r="E18221" s="27" t="n">
        <f aca="false">(Sens!E18214+Sens!E18218-Sens!E18219)+(Sens!E18206+Sens!E18207-Sens!E18205)+(Sens!E18209+Sens!E18210-Sens!E18208)+(Sens!E18219-Q!M18)</f>
        <v>0</v>
      </c>
      <c r="F18221" s="27" t="n">
        <f aca="false">(Sens!F18214+Sens!F18218-Sens!F18219)+(Sens!F18206+Sens!F18207-Sens!F18205)+(Sens!F18209+Sens!F18210-Sens!F18208)</f>
        <v>0</v>
      </c>
      <c r="G18221" s="27" t="n">
        <f aca="false">(Sens!G18214+Sens!G18218-Sens!G18219)+(Sens!G18206+Sens!G18207-Sens!G18205)+(Sens!G18209+Sens!G18210-Sens!G18208)</f>
        <v>0</v>
      </c>
      <c r="H18221" s="27" t="n">
        <f aca="false">(Sens!H18214+Sens!H18218-Sens!H18219)+(Sens!H18206+Sens!H18207-Sens!H18205)+(Sens!H18209+Sens!H18210-Sens!H18208)</f>
        <v>0</v>
      </c>
      <c r="I18221" s="27" t="n">
        <f aca="false">(Sens!I18214+Sens!I18218-Sens!I18219)+(Sens!I18206+Sens!I18207-Sens!I18205)+(Sens!I18209+Sens!I18210-Sens!I18208)</f>
        <v>0</v>
      </c>
      <c r="J18221" s="27" t="n">
        <f aca="false">(Sens!J18214+Sens!J18218-Sens!J18219)+(Sens!J18206+Sens!J18207-Sens!J18205)+(Sens!J18209+Sens!J18210-Sens!J18208)</f>
        <v>0</v>
      </c>
      <c r="K18221" s="27" t="n">
        <f aca="false">(Sens!K18214+Sens!K18218-Sens!K18219)+(Sens!K18206+Sens!K18207-Sens!K18205)+(Sens!K18209+Sens!K18210-Sens!K18208)</f>
        <v>0</v>
      </c>
    </row>
    <row r="18222" customFormat="false" ht="17.15" hidden="false" customHeight="false" outlineLevel="0" collapsed="false">
      <c r="A18222" s="0" t="s">
        <v>1062</v>
      </c>
      <c r="B18222" s="0" t="s">
        <v>168</v>
      </c>
      <c r="E18222" s="7" t="n">
        <f aca="false">(Q!M21+Sens!E18158+Sens!E18159+Sens!E18160+Sens!E18174-Sens!E18156)/(Q!M5-Sens!E18156)</f>
        <v>0.570957350878296</v>
      </c>
      <c r="F18222" s="7" t="n">
        <f aca="false">Sens!$E$18222+dm_seg</f>
        <v>0.570957350878296</v>
      </c>
      <c r="G18222" s="7" t="n">
        <f aca="false">Sens!$E$18222+dm_seg</f>
        <v>0.570957350878296</v>
      </c>
      <c r="H18222" s="7" t="n">
        <f aca="false">Sens!$E$18222+dm_seg</f>
        <v>0.570957350878296</v>
      </c>
      <c r="I18222" s="7" t="n">
        <f aca="false">Sens!$E$18222+dm_seg</f>
        <v>0.570957350878296</v>
      </c>
      <c r="J18222" s="7" t="n">
        <f aca="false">Sens!$E$18222+dm_seg</f>
        <v>0.570957350878296</v>
      </c>
      <c r="K18222" s="7" t="n">
        <f aca="false">Sens!$E$18222+dm_seg</f>
        <v>0.570957350878296</v>
      </c>
      <c r="L18222" s="12" t="s">
        <v>1063</v>
      </c>
    </row>
    <row r="18223" customFormat="false" ht="17.15" hidden="false" customHeight="false" outlineLevel="0" collapsed="false">
      <c r="A18223" s="0" t="s">
        <v>884</v>
      </c>
      <c r="B18223" s="0" t="s">
        <v>98</v>
      </c>
      <c r="D18223" s="6" t="n">
        <f aca="false">Q!L21</f>
        <v>110.814</v>
      </c>
      <c r="E18223" s="6" t="n">
        <f aca="false">Q!M21</f>
        <v>136.365</v>
      </c>
      <c r="F18223" s="6" t="n">
        <f aca="false">Q!$I$21+(Sens!F18222*(Sens!F18193-Sens!F18156)+Sens!F18156-(Sens!F18158+Sens!F18159+Sens!F18160)-Sens!F18174-Sens!F18257)*(Sens!F18193-Q!$I$5)/Sens!F18193</f>
        <v>158.110234156687</v>
      </c>
      <c r="G18223" s="6" t="n">
        <f aca="false">(Sens!G18222*(Sens!G18193-Sens!G18156)+Sens!G18156-(Sens!G18158+Sens!G18159+Sens!G18160)-Sens!G18174-Sens!G18257)</f>
        <v>161.288737768095</v>
      </c>
      <c r="H18223" s="6" t="n">
        <f aca="false">(Sens!H18222*(Sens!H18193-Sens!H18156)+Sens!H18156-(Sens!H18158+Sens!H18159+Sens!H18160)-Sens!H18174-Sens!H18257)</f>
        <v>162.750449226018</v>
      </c>
      <c r="I18223" s="6" t="n">
        <f aca="false">(Sens!I18222*(Sens!I18193-Sens!I18156)+Sens!I18156-(Sens!I18158+Sens!I18159+Sens!I18160)-Sens!I18174-Sens!I18257)</f>
        <v>172.031140185604</v>
      </c>
      <c r="J18223" s="6" t="n">
        <f aca="false">(Sens!J18222*(Sens!J18193-Sens!J18156)+Sens!J18156-(Sens!J18158+Sens!J18159+Sens!J18160)-Sens!J18174-Sens!J18257)</f>
        <v>182.855335729531</v>
      </c>
      <c r="K18223" s="6" t="n">
        <f aca="false">(Sens!K18222*(Sens!K18193-Sens!K18156)+Sens!K18156-(Sens!K18158+Sens!K18159+Sens!K18160)-Sens!K18174-Sens!K18257)</f>
        <v>195.088404864353</v>
      </c>
      <c r="L18223" s="1" t="s">
        <v>1064</v>
      </c>
    </row>
    <row r="18224" customFormat="false" ht="17.15" hidden="false" customHeight="false" outlineLevel="0" collapsed="false">
      <c r="A18224" s="0" t="s">
        <v>1065</v>
      </c>
      <c r="B18224" s="0" t="s">
        <v>168</v>
      </c>
      <c r="E18224" s="7" t="n">
        <f aca="false">Q!M22/Q!M12</f>
        <v>0.296207935710698</v>
      </c>
      <c r="F18224" s="7" t="n">
        <f aca="false">Sens!$E$18224+dm_seg</f>
        <v>0.296207935710698</v>
      </c>
      <c r="G18224" s="7" t="n">
        <f aca="false">Sens!$E$18224+dm_seg</f>
        <v>0.296207935710698</v>
      </c>
      <c r="H18224" s="7" t="n">
        <f aca="false">Sens!$E$18224+dm_seg</f>
        <v>0.296207935710698</v>
      </c>
      <c r="I18224" s="7" t="n">
        <f aca="false">Sens!$E$18224+dm_seg</f>
        <v>0.296207935710698</v>
      </c>
      <c r="J18224" s="7" t="n">
        <f aca="false">Sens!$E$18224+dm_seg</f>
        <v>0.296207935710698</v>
      </c>
      <c r="K18224" s="7" t="n">
        <f aca="false">Sens!$E$18224+dm_seg</f>
        <v>0.296207935710698</v>
      </c>
      <c r="L18224" s="12" t="s">
        <v>1066</v>
      </c>
    </row>
    <row r="18225" customFormat="false" ht="17.15" hidden="false" customHeight="false" outlineLevel="0" collapsed="false">
      <c r="A18225" s="0" t="s">
        <v>886</v>
      </c>
      <c r="B18225" s="0" t="s">
        <v>98</v>
      </c>
      <c r="D18225" s="6" t="n">
        <f aca="false">Q!L22</f>
        <v>17.714</v>
      </c>
      <c r="E18225" s="6" t="n">
        <f aca="false">Q!M22</f>
        <v>18.872</v>
      </c>
      <c r="F18225" s="6" t="n">
        <f aca="false">Q!$I$22+(Sens!F18200-Q!$I$12)*Sens!F18224</f>
        <v>19.8174315512051</v>
      </c>
      <c r="G18225" s="6" t="n">
        <f aca="false">Sens!G18200*Sens!G18224</f>
        <v>19.6313799703815</v>
      </c>
      <c r="H18225" s="6" t="n">
        <f aca="false">Sens!H18200*Sens!H18224</f>
        <v>20.3536242825865</v>
      </c>
      <c r="I18225" s="6" t="n">
        <f aca="false">Sens!I18200*Sens!I18224</f>
        <v>21.1920899239745</v>
      </c>
      <c r="J18225" s="6" t="n">
        <f aca="false">Sens!J18200*Sens!J18224</f>
        <v>22.1288166207045</v>
      </c>
      <c r="K18225" s="6" t="n">
        <f aca="false">Sens!K18200*Sens!K18224</f>
        <v>23.1493653905379</v>
      </c>
      <c r="L18225" s="12" t="s">
        <v>1067</v>
      </c>
    </row>
    <row r="18226" customFormat="false" ht="15" hidden="false" customHeight="false" outlineLevel="0" collapsed="false">
      <c r="A18226" s="1" t="s">
        <v>1068</v>
      </c>
      <c r="B18226" s="0" t="s">
        <v>98</v>
      </c>
      <c r="D18226" s="6" t="n">
        <f aca="false">Sens!D18223+Sens!D18225</f>
        <v>128.528</v>
      </c>
      <c r="E18226" s="6" t="n">
        <f aca="false">Sens!E18223+Sens!E18225</f>
        <v>155.237</v>
      </c>
      <c r="F18226" s="6" t="n">
        <f aca="false">Sens!F18223+Sens!F18225</f>
        <v>177.927665707892</v>
      </c>
      <c r="G18226" s="6" t="n">
        <f aca="false">Sens!G18223+Sens!G18225</f>
        <v>180.920117738477</v>
      </c>
      <c r="H18226" s="6" t="n">
        <f aca="false">Sens!H18223+Sens!H18225</f>
        <v>183.104073508605</v>
      </c>
      <c r="I18226" s="6" t="n">
        <f aca="false">Sens!I18223+Sens!I18225</f>
        <v>193.223230109579</v>
      </c>
      <c r="J18226" s="6" t="n">
        <f aca="false">Sens!J18223+Sens!J18225</f>
        <v>204.984152350235</v>
      </c>
      <c r="K18226" s="6" t="n">
        <f aca="false">Sens!K18223+Sens!K18225</f>
        <v>218.237770254891</v>
      </c>
    </row>
    <row r="18227" customFormat="false" ht="15" hidden="false" customHeight="false" outlineLevel="0" collapsed="false">
      <c r="A18227" s="26" t="s">
        <v>1069</v>
      </c>
      <c r="B18227" s="31" t="s">
        <v>98</v>
      </c>
      <c r="C18227" s="31"/>
      <c r="D18227" s="27" t="n">
        <f aca="false">Sens!D18226-Q!L23</f>
        <v>0</v>
      </c>
      <c r="E18227" s="27" t="n">
        <f aca="false">Sens!E18226-Q!M23</f>
        <v>0</v>
      </c>
      <c r="F18227" s="31"/>
      <c r="G18227" s="31"/>
      <c r="H18227" s="31"/>
      <c r="I18227" s="31"/>
      <c r="J18227" s="31"/>
      <c r="K18227" s="31"/>
    </row>
    <row r="18228" customFormat="false" ht="15" hidden="false" customHeight="false" outlineLevel="0" collapsed="false">
      <c r="A18228" s="1" t="s">
        <v>1070</v>
      </c>
      <c r="B18228" s="0" t="s">
        <v>168</v>
      </c>
      <c r="D18228" s="7" t="n">
        <f aca="false">Sens!D18226/Sens!D18219</f>
        <v>0.456219562408598</v>
      </c>
      <c r="E18228" s="7" t="n">
        <f aca="false">Sens!E18226/Sens!E18219</f>
        <v>0.467808184089272</v>
      </c>
      <c r="F18228" s="7" t="n">
        <f aca="false">Sens!F18226/Sens!F18219</f>
        <v>0.451080388929191</v>
      </c>
      <c r="G18228" s="7" t="n">
        <f aca="false">Sens!G18226/Sens!G18219</f>
        <v>0.394219508589333</v>
      </c>
      <c r="H18228" s="7" t="n">
        <f aca="false">Sens!H18226/Sens!H18219</f>
        <v>0.352626221331819</v>
      </c>
      <c r="I18228" s="7" t="n">
        <f aca="false">Sens!I18226/Sens!I18219</f>
        <v>0.331863665419698</v>
      </c>
      <c r="J18228" s="7" t="n">
        <f aca="false">Sens!J18226/Sens!J18219</f>
        <v>0.32274678227682</v>
      </c>
      <c r="K18228" s="7" t="n">
        <f aca="false">Sens!K18226/Sens!K18219</f>
        <v>0.3217494512023</v>
      </c>
    </row>
    <row r="18229" customFormat="false" ht="17.15" hidden="false" customHeight="false" outlineLevel="0" collapsed="false">
      <c r="A18229" s="1" t="s">
        <v>1071</v>
      </c>
      <c r="B18229" s="0" t="s">
        <v>98</v>
      </c>
      <c r="F18229" s="6" t="n">
        <f aca="false">Sens!F18244</f>
        <v>10.5962787979473</v>
      </c>
      <c r="G18229" s="6" t="n">
        <f aca="false">Sens!G18244</f>
        <v>27.844646674932</v>
      </c>
      <c r="H18229" s="6" t="n">
        <f aca="false">Sens!H18244</f>
        <v>46.566205501382</v>
      </c>
      <c r="I18229" s="6" t="n">
        <f aca="false">Sens!I18244</f>
        <v>63.2717778126444</v>
      </c>
      <c r="J18229" s="6" t="n">
        <f aca="false">Sens!J18244</f>
        <v>74.9061222882009</v>
      </c>
      <c r="K18229" s="6" t="n">
        <f aca="false">Sens!K18244</f>
        <v>81.6395437180232</v>
      </c>
      <c r="L18229" s="1" t="s">
        <v>1072</v>
      </c>
    </row>
    <row r="18230" customFormat="false" ht="17.15" hidden="false" customHeight="false" outlineLevel="0" collapsed="false">
      <c r="A18230" s="1" t="s">
        <v>1073</v>
      </c>
      <c r="B18230" s="0" t="s">
        <v>98</v>
      </c>
      <c r="D18230" s="6" t="n">
        <f aca="false">Sens!D18226</f>
        <v>128.528</v>
      </c>
      <c r="E18230" s="6" t="n">
        <f aca="false">Sens!E18226</f>
        <v>155.237</v>
      </c>
      <c r="F18230" s="6" t="n">
        <f aca="false">Sens!F18226+Sens!F18229</f>
        <v>188.523944505839</v>
      </c>
      <c r="G18230" s="6" t="n">
        <f aca="false">Sens!G18226+Sens!G18229</f>
        <v>208.764764413409</v>
      </c>
      <c r="H18230" s="6" t="n">
        <f aca="false">Sens!H18226+Sens!H18229</f>
        <v>229.670279009987</v>
      </c>
      <c r="I18230" s="6" t="n">
        <f aca="false">Sens!I18226+Sens!I18229</f>
        <v>256.495007922223</v>
      </c>
      <c r="J18230" s="6" t="n">
        <f aca="false">Sens!J18226+Sens!J18229</f>
        <v>279.890274638436</v>
      </c>
      <c r="K18230" s="6" t="n">
        <f aca="false">Sens!K18226+Sens!K18229</f>
        <v>299.877313972915</v>
      </c>
    </row>
    <row r="18231" customFormat="false" ht="17.15" hidden="false" customHeight="false" outlineLevel="0" collapsed="false">
      <c r="A18231" s="1" t="s">
        <v>1074</v>
      </c>
      <c r="B18231" s="0" t="s">
        <v>98</v>
      </c>
      <c r="E18231" s="6" t="n">
        <f aca="false">Sens!E18174</f>
        <v>16.3054059770833</v>
      </c>
      <c r="F18231" s="6" t="n">
        <f aca="false">Sens!F18174</f>
        <v>34.5793144783516</v>
      </c>
      <c r="G18231" s="6" t="n">
        <f aca="false">Sens!G18174</f>
        <v>60.7344906522989</v>
      </c>
      <c r="H18231" s="6" t="n">
        <f aca="false">Sens!H18174</f>
        <v>89.1000906614457</v>
      </c>
      <c r="I18231" s="6" t="n">
        <f aca="false">Sens!I18174</f>
        <v>114.231009694548</v>
      </c>
      <c r="J18231" s="6" t="n">
        <f aca="false">Sens!J18174</f>
        <v>132.015673049596</v>
      </c>
      <c r="K18231" s="6" t="n">
        <f aca="false">Sens!K18174</f>
        <v>143.012669550934</v>
      </c>
    </row>
    <row r="18232" customFormat="false" ht="17.15" hidden="false" customHeight="false" outlineLevel="0" collapsed="false">
      <c r="A18232" s="1" t="s">
        <v>1075</v>
      </c>
      <c r="B18232" s="0" t="s">
        <v>98</v>
      </c>
      <c r="E18232" s="6" t="n">
        <f aca="false">Sens!E18256</f>
        <v>22.2285940229167</v>
      </c>
      <c r="F18232" s="6" t="n">
        <f aca="false">Sens!F18256</f>
        <v>23.5883405279552</v>
      </c>
      <c r="G18232" s="6" t="n">
        <f aca="false">Sens!G18256</f>
        <v>25.347608709247</v>
      </c>
      <c r="H18232" s="6" t="n">
        <f aca="false">Sens!H18256</f>
        <v>27.4750934833125</v>
      </c>
      <c r="I18232" s="6" t="n">
        <f aca="false">Sens!I18256</f>
        <v>29.9140127982598</v>
      </c>
      <c r="J18232" s="6" t="n">
        <f aca="false">Sens!J18256</f>
        <v>32.5895147654561</v>
      </c>
      <c r="K18232" s="6" t="n">
        <f aca="false">Sens!K18256</f>
        <v>35.4171979437481</v>
      </c>
    </row>
    <row r="18233" customFormat="false" ht="17.15" hidden="false" customHeight="false" outlineLevel="0" collapsed="false">
      <c r="A18233" s="1" t="s">
        <v>1076</v>
      </c>
      <c r="B18233" s="0" t="s">
        <v>98</v>
      </c>
      <c r="D18233" s="6" t="n">
        <f aca="false">Q!L27</f>
        <v>-4.901</v>
      </c>
      <c r="E18233" s="6" t="n">
        <f aca="false">Q!M27</f>
        <v>10.697</v>
      </c>
      <c r="F18233" s="6" t="n">
        <f aca="false">Q!$I$27+oie_f*(q_per_yr-1)/q_per_yr</f>
        <v>-0.862</v>
      </c>
      <c r="G18233" s="6" t="n">
        <f aca="false">oie_f</f>
        <v>-1.2</v>
      </c>
      <c r="H18233" s="6" t="n">
        <f aca="false">oie_f</f>
        <v>-1.2</v>
      </c>
      <c r="I18233" s="6" t="n">
        <f aca="false">oie_f</f>
        <v>-1.2</v>
      </c>
      <c r="J18233" s="6" t="n">
        <f aca="false">oie_f</f>
        <v>-1.2</v>
      </c>
      <c r="K18233" s="6" t="n">
        <f aca="false">oie_f</f>
        <v>-1.2</v>
      </c>
      <c r="L18233" s="12" t="s">
        <v>1077</v>
      </c>
    </row>
    <row r="18234" customFormat="false" ht="15" hidden="false" customHeight="false" outlineLevel="0" collapsed="false">
      <c r="A18234" s="1" t="s">
        <v>1078</v>
      </c>
      <c r="B18234" s="0" t="s">
        <v>98</v>
      </c>
      <c r="D18234" s="6" t="n">
        <f aca="false">Sens!D18226+Sens!D18233</f>
        <v>123.627</v>
      </c>
      <c r="E18234" s="6" t="n">
        <f aca="false">Sens!E18226+Sens!E18233</f>
        <v>165.934</v>
      </c>
      <c r="F18234" s="6" t="n">
        <f aca="false">Sens!F18226+Sens!F18233</f>
        <v>177.065665707892</v>
      </c>
      <c r="G18234" s="6" t="n">
        <f aca="false">Sens!G18226+Sens!G18233</f>
        <v>179.720117738477</v>
      </c>
      <c r="H18234" s="6" t="n">
        <f aca="false">Sens!H18226+Sens!H18233</f>
        <v>181.904073508605</v>
      </c>
      <c r="I18234" s="6" t="n">
        <f aca="false">Sens!I18226+Sens!I18233</f>
        <v>192.023230109579</v>
      </c>
      <c r="J18234" s="6" t="n">
        <f aca="false">Sens!J18226+Sens!J18233</f>
        <v>203.784152350235</v>
      </c>
      <c r="K18234" s="6" t="n">
        <f aca="false">Sens!K18226+Sens!K18233</f>
        <v>217.037770254891</v>
      </c>
    </row>
    <row r="18235" customFormat="false" ht="15" hidden="false" customHeight="false" outlineLevel="0" collapsed="false">
      <c r="A18235" s="1" t="s">
        <v>1079</v>
      </c>
      <c r="B18235" s="0" t="s">
        <v>98</v>
      </c>
      <c r="D18235" s="6" t="n">
        <f aca="false">Q!L29</f>
        <v>21.795</v>
      </c>
      <c r="E18235" s="6" t="n">
        <f aca="false">Q!M29</f>
        <v>32.185</v>
      </c>
      <c r="F18235" s="6" t="n">
        <f aca="false">Q!$I$29+(Sens!F18234-Q!$I$28)*tax_f</f>
        <v>35.5465331415784</v>
      </c>
      <c r="G18235" s="6" t="n">
        <f aca="false">Sens!G18234*tax_f</f>
        <v>35.9440235476954</v>
      </c>
      <c r="H18235" s="6" t="n">
        <f aca="false">Sens!H18234*tax_f</f>
        <v>36.380814701721</v>
      </c>
      <c r="I18235" s="6" t="n">
        <f aca="false">Sens!I18234*tax_f</f>
        <v>38.4046460219157</v>
      </c>
      <c r="J18235" s="6" t="n">
        <f aca="false">Sens!J18234*tax_f</f>
        <v>40.756830470047</v>
      </c>
      <c r="K18235" s="6" t="n">
        <f aca="false">Sens!K18234*tax_f</f>
        <v>43.4075540509783</v>
      </c>
    </row>
    <row r="18236" customFormat="false" ht="15" hidden="false" customHeight="false" outlineLevel="0" collapsed="false">
      <c r="A18236" s="1" t="s">
        <v>1080</v>
      </c>
      <c r="B18236" s="0" t="s">
        <v>98</v>
      </c>
      <c r="D18236" s="6" t="n">
        <f aca="false">Sens!D18234-Sens!D18235</f>
        <v>101.832</v>
      </c>
      <c r="E18236" s="6" t="n">
        <f aca="false">Sens!E18234-Sens!E18235</f>
        <v>133.749</v>
      </c>
      <c r="F18236" s="6" t="n">
        <f aca="false">Sens!F18234-Sens!F18235</f>
        <v>141.519132566314</v>
      </c>
      <c r="G18236" s="6" t="n">
        <f aca="false">Sens!G18234-Sens!G18235</f>
        <v>143.776094190781</v>
      </c>
      <c r="H18236" s="6" t="n">
        <f aca="false">Sens!H18234-Sens!H18235</f>
        <v>145.523258806884</v>
      </c>
      <c r="I18236" s="6" t="n">
        <f aca="false">Sens!I18234-Sens!I18235</f>
        <v>153.618584087663</v>
      </c>
      <c r="J18236" s="6" t="n">
        <f aca="false">Sens!J18234-Sens!J18235</f>
        <v>163.027321880188</v>
      </c>
      <c r="K18236" s="6" t="n">
        <f aca="false">Sens!K18234-Sens!K18235</f>
        <v>173.630216203913</v>
      </c>
    </row>
    <row r="18237" customFormat="false" ht="17.15" hidden="false" customHeight="false" outlineLevel="0" collapsed="false">
      <c r="A18237" s="1" t="s">
        <v>1081</v>
      </c>
      <c r="B18237" s="1" t="s">
        <v>81</v>
      </c>
      <c r="D18237" s="15" t="n">
        <f aca="false">Q!L31</f>
        <v>7.465</v>
      </c>
      <c r="E18237" s="15" t="n">
        <f aca="false">Q!M31</f>
        <v>7.453</v>
      </c>
      <c r="F18237" s="15" t="n">
        <f aca="false">Sens!F18281</f>
        <v>7.4735</v>
      </c>
      <c r="G18237" s="15" t="n">
        <f aca="false">Sens!G18281</f>
        <v>7.5185</v>
      </c>
      <c r="H18237" s="15" t="n">
        <f aca="false">Sens!H18281</f>
        <v>7.5635</v>
      </c>
      <c r="I18237" s="15" t="n">
        <f aca="false">Sens!I18281</f>
        <v>7.59248142502667</v>
      </c>
      <c r="J18237" s="15" t="n">
        <f aca="false">Sens!J18281</f>
        <v>7.60663083618914</v>
      </c>
      <c r="K18237" s="15" t="n">
        <f aca="false">Sens!K18281</f>
        <v>7.62306547615439</v>
      </c>
    </row>
    <row r="18238" customFormat="false" ht="17.15" hidden="false" customHeight="false" outlineLevel="0" collapsed="false">
      <c r="A18238" s="0" t="s">
        <v>1082</v>
      </c>
      <c r="B18238" s="0" t="s">
        <v>75</v>
      </c>
      <c r="D18238" s="8" t="n">
        <f aca="false">Sens!D18236/Sens!D18237</f>
        <v>13.641259209645</v>
      </c>
      <c r="E18238" s="8" t="n">
        <f aca="false">Sens!E18236/Sens!E18237</f>
        <v>17.9456594659869</v>
      </c>
      <c r="F18238" s="8" t="n">
        <f aca="false">Sens!F18236/Sens!F18237</f>
        <v>18.9361253182998</v>
      </c>
      <c r="G18238" s="8" t="n">
        <f aca="false">Sens!G18236/Sens!G18237</f>
        <v>19.1229758849214</v>
      </c>
      <c r="H18238" s="8" t="n">
        <f aca="false">Sens!H18236/Sens!H18237</f>
        <v>19.2402008074151</v>
      </c>
      <c r="I18238" s="8" t="n">
        <f aca="false">Sens!I18236/Sens!I18237</f>
        <v>20.2329878057125</v>
      </c>
      <c r="J18238" s="8" t="n">
        <f aca="false">Sens!J18236/Sens!J18237</f>
        <v>21.4322642167111</v>
      </c>
      <c r="K18238" s="8" t="n">
        <f aca="false">Sens!K18236/Sens!K18237</f>
        <v>22.7769545922232</v>
      </c>
      <c r="L18238" s="1" t="s">
        <v>1083</v>
      </c>
    </row>
    <row r="18239" customFormat="false" ht="17.15" hidden="false" customHeight="false" outlineLevel="0" collapsed="false">
      <c r="A18239" s="1" t="s">
        <v>1084</v>
      </c>
      <c r="B18239" s="0" t="s">
        <v>98</v>
      </c>
      <c r="D18239" s="6" t="n">
        <f aca="false">Sens!D18236</f>
        <v>101.832</v>
      </c>
      <c r="E18239" s="6" t="n">
        <f aca="false">Sens!E18236</f>
        <v>133.749</v>
      </c>
      <c r="F18239" s="6" t="n">
        <f aca="false">Sens!F18236+Sens!F18229*(1-tax_f)</f>
        <v>149.996155604671</v>
      </c>
      <c r="G18239" s="6" t="n">
        <f aca="false">Sens!G18236+Sens!G18229*(1-tax_f)</f>
        <v>166.051811530727</v>
      </c>
      <c r="H18239" s="6" t="n">
        <f aca="false">Sens!H18236+Sens!H18229*(1-tax_f)</f>
        <v>182.776223207989</v>
      </c>
      <c r="I18239" s="6" t="n">
        <f aca="false">Sens!I18236+Sens!I18229*(1-tax_f)</f>
        <v>204.236006337778</v>
      </c>
      <c r="J18239" s="6" t="n">
        <f aca="false">Sens!J18236+Sens!J18229*(1-tax_f)</f>
        <v>222.952219710749</v>
      </c>
      <c r="K18239" s="6" t="n">
        <f aca="false">Sens!K18236+Sens!K18229*(1-tax_f)</f>
        <v>238.941851178332</v>
      </c>
    </row>
    <row r="18240" customFormat="false" ht="17.15" hidden="false" customHeight="false" outlineLevel="0" collapsed="false">
      <c r="A18240" s="0" t="s">
        <v>1085</v>
      </c>
      <c r="B18240" s="0" t="s">
        <v>75</v>
      </c>
      <c r="D18240" s="8" t="n">
        <f aca="false">Sens!D18239/Sens!D18237</f>
        <v>13.641259209645</v>
      </c>
      <c r="E18240" s="8" t="n">
        <f aca="false">Sens!E18239/Sens!E18237</f>
        <v>17.9456594659869</v>
      </c>
      <c r="F18240" s="8" t="n">
        <f aca="false">Sens!F18239/Sens!F18237</f>
        <v>20.0704028373147</v>
      </c>
      <c r="G18240" s="8" t="n">
        <f aca="false">Sens!G18239/Sens!G18237</f>
        <v>22.0857633212379</v>
      </c>
      <c r="H18240" s="8" t="n">
        <f aca="false">Sens!H18239/Sens!H18237</f>
        <v>24.1655613417055</v>
      </c>
      <c r="I18240" s="8" t="n">
        <f aca="false">Sens!I18239/Sens!I18237</f>
        <v>26.8997702996766</v>
      </c>
      <c r="J18240" s="8" t="n">
        <f aca="false">Sens!J18239/Sens!J18237</f>
        <v>29.3102458252655</v>
      </c>
      <c r="K18240" s="8" t="n">
        <f aca="false">Sens!K18239/Sens!K18237</f>
        <v>31.3445885944129</v>
      </c>
      <c r="L18240" s="1" t="s">
        <v>1086</v>
      </c>
    </row>
    <row r="18241" customFormat="false" ht="17.15" hidden="false" customHeight="false" outlineLevel="0" collapsed="false">
      <c r="A18241" s="0" t="s">
        <v>1087</v>
      </c>
      <c r="B18241" s="0" t="s">
        <v>168</v>
      </c>
      <c r="E18241" s="7" t="n">
        <f aca="false">Sens!E18240/Sens!D18240-1</f>
        <v>0.315542736208578</v>
      </c>
      <c r="F18241" s="7" t="n">
        <f aca="false">Sens!F18240/Sens!E18240-1</f>
        <v>0.118398734543858</v>
      </c>
      <c r="G18241" s="7" t="n">
        <f aca="false">Sens!G18240/Sens!F18240-1</f>
        <v>0.100414550732198</v>
      </c>
      <c r="H18241" s="7" t="n">
        <f aca="false">Sens!H18240/Sens!G18240-1</f>
        <v>0.0941691708915331</v>
      </c>
      <c r="I18241" s="7" t="n">
        <f aca="false">Sens!I18240/Sens!H18240-1</f>
        <v>0.113144855991916</v>
      </c>
      <c r="J18241" s="7" t="n">
        <f aca="false">Sens!J18240/Sens!I18240-1</f>
        <v>0.0896095207778762</v>
      </c>
      <c r="K18241" s="7" t="n">
        <f aca="false">Sens!K18240/Sens!J18240-1</f>
        <v>0.0694072230330376</v>
      </c>
    </row>
    <row r="18242" customFormat="false" ht="17.15" hidden="false" customHeight="false" outlineLevel="0" collapsed="false">
      <c r="A18242" s="0" t="s">
        <v>1007</v>
      </c>
      <c r="B18242" s="0" t="s">
        <v>98</v>
      </c>
      <c r="E18242" s="6" t="n">
        <f aca="false">Sens!E18183</f>
        <v>5.25</v>
      </c>
      <c r="F18242" s="6" t="n">
        <f aca="false">Sens!F18183</f>
        <v>10.5</v>
      </c>
      <c r="G18242" s="6" t="n">
        <f aca="false">Sens!G18183</f>
        <v>13.5</v>
      </c>
      <c r="H18242" s="6" t="n">
        <f aca="false">Sens!H18183</f>
        <v>16.5</v>
      </c>
      <c r="I18242" s="6" t="n">
        <f aca="false">Sens!I18183</f>
        <v>18.75</v>
      </c>
      <c r="J18242" s="6" t="n">
        <f aca="false">Sens!J18183</f>
        <v>20.25</v>
      </c>
      <c r="K18242" s="6" t="n">
        <f aca="false">Sens!K18183</f>
        <v>21.75</v>
      </c>
    </row>
    <row r="18243" customFormat="false" ht="17.15" hidden="false" customHeight="false" outlineLevel="0" collapsed="false">
      <c r="A18243" s="1" t="s">
        <v>1008</v>
      </c>
      <c r="B18243" s="0" t="s">
        <v>98</v>
      </c>
      <c r="F18243" s="6" t="n">
        <f aca="false">MAX(0,((Sens!E18143+Sens!F18143)/2-(shadow_base*(Sens!$D$18143+Sens!$E$18143)/2+(1-shadow_base)*Sens!$E$18143))*Sens!F18152/1000-(Sens!F18242-Sens!$E$18242)*Sens!F18222)</f>
        <v>10.5962787979473</v>
      </c>
      <c r="G18243" s="6" t="n">
        <f aca="false">MAX(0,((Sens!F18143+Sens!G18143)/2-(shadow_base*(Sens!$D$18143+Sens!$E$18143)/2+(1-shadow_base)*Sens!$E$18143))*Sens!G18152/1000-(Sens!G18242-Sens!$E$18242)*Sens!G18222)</f>
        <v>27.844646674932</v>
      </c>
      <c r="H18243" s="6" t="n">
        <f aca="false">MAX(0,((Sens!G18143+Sens!H18143)/2-(shadow_base*(Sens!$D$18143+Sens!$E$18143)/2+(1-shadow_base)*Sens!$E$18143))*Sens!H18152/1000-(Sens!H18242-Sens!$E$18242)*Sens!H18222)</f>
        <v>46.566205501382</v>
      </c>
      <c r="I18243" s="6" t="n">
        <f aca="false">MAX(0,((Sens!H18143+Sens!I18143)/2-(shadow_base*(Sens!$D$18143+Sens!$E$18143)/2+(1-shadow_base)*Sens!$E$18143))*Sens!I18152/1000-(Sens!I18242-Sens!$E$18242)*Sens!I18222)</f>
        <v>63.2717778126444</v>
      </c>
      <c r="J18243" s="6" t="n">
        <f aca="false">MAX(0,((Sens!I18143+Sens!J18143)/2-(shadow_base*(Sens!$D$18143+Sens!$E$18143)/2+(1-shadow_base)*Sens!$E$18143))*Sens!J18152/1000-(Sens!J18242-Sens!$E$18242)*Sens!J18222)</f>
        <v>74.9061222882009</v>
      </c>
      <c r="K18243" s="6" t="n">
        <f aca="false">MAX(0,((Sens!J18143+Sens!K18143)/2-(shadow_base*(Sens!$D$18143+Sens!$E$18143)/2+(1-shadow_base)*Sens!$E$18143))*Sens!K18152/1000-(Sens!K18242-Sens!$E$18242)*Sens!K18222)</f>
        <v>81.6395437180232</v>
      </c>
      <c r="L18243" s="1" t="s">
        <v>1009</v>
      </c>
    </row>
    <row r="18244" customFormat="false" ht="17.15" hidden="false" customHeight="false" outlineLevel="0" collapsed="false">
      <c r="A18244" s="1" t="s">
        <v>1010</v>
      </c>
      <c r="B18244" s="0" t="s">
        <v>98</v>
      </c>
      <c r="F18244" s="6" t="n">
        <f aca="false">IF(internal_ai_reading=2,1,0)*Sens!F18243</f>
        <v>10.5962787979473</v>
      </c>
      <c r="G18244" s="6" t="n">
        <f aca="false">IF(internal_ai_reading=2,1,0)*Sens!G18243</f>
        <v>27.844646674932</v>
      </c>
      <c r="H18244" s="6" t="n">
        <f aca="false">IF(internal_ai_reading=2,1,0)*Sens!H18243</f>
        <v>46.566205501382</v>
      </c>
      <c r="I18244" s="6" t="n">
        <f aca="false">IF(internal_ai_reading=2,1,0)*Sens!I18243</f>
        <v>63.2717778126444</v>
      </c>
      <c r="J18244" s="6" t="n">
        <f aca="false">IF(internal_ai_reading=2,1,0)*Sens!J18243</f>
        <v>74.9061222882009</v>
      </c>
      <c r="K18244" s="6" t="n">
        <f aca="false">IF(internal_ai_reading=2,1,0)*Sens!K18243</f>
        <v>81.6395437180232</v>
      </c>
    </row>
    <row r="18245" customFormat="false" ht="17.15" hidden="false" customHeight="false" outlineLevel="0" collapsed="false">
      <c r="A18245" s="0" t="s">
        <v>1011</v>
      </c>
      <c r="B18245" s="0" t="s">
        <v>98</v>
      </c>
      <c r="F18245" s="6" t="n">
        <f aca="false">Sens!F18162+Sens!F18242*Sens!F18222+Sens!F18244-Sens!F18163-Sens!F18174</f>
        <v>10.3853806853618</v>
      </c>
      <c r="G18245" s="6" t="n">
        <f aca="false">Sens!G18162+Sens!G18242*Sens!G18222+Sens!G18244-Sens!G18163-Sens!G18174</f>
        <v>16.4389313105741</v>
      </c>
      <c r="H18245" s="6" t="n">
        <f aca="false">Sens!H18162+Sens!H18242*Sens!H18222+Sens!H18244-Sens!H18163-Sens!H18174</f>
        <v>17.135416308873</v>
      </c>
      <c r="I18245" s="6" t="n">
        <f aca="false">Sens!I18162+Sens!I18242*Sens!I18222+Sens!I18244-Sens!I18163-Sens!I18174</f>
        <v>24.1293804008657</v>
      </c>
      <c r="J18245" s="6" t="n">
        <f aca="false">Sens!J18162+Sens!J18242*Sens!J18222+Sens!J18244-Sens!J18163-Sens!J18174</f>
        <v>28.8545659869181</v>
      </c>
      <c r="K18245" s="6" t="n">
        <f aca="false">Sens!K18162+Sens!K18242*Sens!K18222+Sens!K18244-Sens!K18163-Sens!K18174</f>
        <v>32.13747485251</v>
      </c>
    </row>
    <row r="18246" customFormat="false" ht="17.15" hidden="false" customHeight="false" outlineLevel="0" collapsed="false">
      <c r="A18246" s="0" t="s">
        <v>1012</v>
      </c>
      <c r="B18246" s="0" t="s">
        <v>98</v>
      </c>
      <c r="E18246" s="6" t="n">
        <f aca="false">Sens!E18142*(cxit_open+self_build*tk_cxfac)/1000*ai_net_open</f>
        <v>126.6980382</v>
      </c>
      <c r="F18246" s="6" t="n">
        <f aca="false">Sens!E18246+Sens!F18171-Sens!F18174</f>
        <v>260.572627763768</v>
      </c>
      <c r="G18246" s="6" t="n">
        <f aca="false">Sens!F18246+Sens!G18171-Sens!G18174</f>
        <v>391.782612760517</v>
      </c>
      <c r="H18246" s="6" t="n">
        <f aca="false">Sens!G18246+Sens!H18171-Sens!H18174</f>
        <v>499.488526163584</v>
      </c>
      <c r="I18246" s="6" t="n">
        <f aca="false">Sens!H18246+Sens!I18171-Sens!I18174</f>
        <v>553.872350090646</v>
      </c>
      <c r="J18246" s="6" t="n">
        <f aca="false">Sens!I18246+Sens!J18171-Sens!J18174</f>
        <v>550.78660823699</v>
      </c>
      <c r="K18246" s="6" t="n">
        <f aca="false">Sens!J18246+Sens!K18171-Sens!K18174</f>
        <v>526.736791750789</v>
      </c>
      <c r="L18246" s="1" t="s">
        <v>1013</v>
      </c>
    </row>
    <row r="18247" customFormat="false" ht="17.15" hidden="false" customHeight="false" outlineLevel="0" collapsed="false">
      <c r="A18247" s="0" t="s">
        <v>1014</v>
      </c>
      <c r="B18247" s="0" t="s">
        <v>168</v>
      </c>
      <c r="F18247" s="7" t="n">
        <f aca="false">Sens!F18245*(1-tax_f)/((Sens!E18246+Sens!F18246)/2)</f>
        <v>0.0429069654816909</v>
      </c>
      <c r="G18247" s="7" t="n">
        <f aca="false">Sens!G18245*(1-tax_f)/((Sens!F18246+Sens!G18246)/2)</f>
        <v>0.0403189680453549</v>
      </c>
      <c r="H18247" s="7" t="n">
        <f aca="false">Sens!H18245*(1-tax_f)/((Sens!G18246+Sens!H18246)/2)</f>
        <v>0.0307613080877867</v>
      </c>
      <c r="I18247" s="7" t="n">
        <f aca="false">Sens!I18245*(1-tax_f)/((Sens!H18246+Sens!I18246)/2)</f>
        <v>0.0366512650238846</v>
      </c>
      <c r="J18247" s="7" t="n">
        <f aca="false">Sens!J18245*(1-tax_f)/((Sens!I18246+Sens!J18246)/2)</f>
        <v>0.0417932659044041</v>
      </c>
      <c r="K18247" s="7" t="n">
        <f aca="false">Sens!K18245*(1-tax_f)/((Sens!J18246+Sens!K18246)/2)</f>
        <v>0.0477205040415821</v>
      </c>
    </row>
    <row r="18248" customFormat="false" ht="17.15" hidden="false" customHeight="false" outlineLevel="0" collapsed="false">
      <c r="A18248" s="1" t="s">
        <v>1015</v>
      </c>
      <c r="B18248" s="0" t="s">
        <v>168</v>
      </c>
      <c r="F18248" s="7" t="n">
        <f aca="false">(Sens!F18245-Sens!F18244)*(1-tax_f)/((Sens!E18246+Sens!F18246)/2)</f>
        <v>-0.000871320783610466</v>
      </c>
      <c r="G18248" s="7" t="n">
        <f aca="false">(Sens!G18245-Sens!G18244)*(1-tax_f)/((Sens!F18246+Sens!G18246)/2)</f>
        <v>-0.0279742438618356</v>
      </c>
      <c r="H18248" s="7" t="n">
        <f aca="false">(Sens!H18245-Sens!H18244)*(1-tax_f)/((Sens!G18246+Sens!H18246)/2)</f>
        <v>-0.0528338242443913</v>
      </c>
      <c r="I18248" s="7" t="n">
        <f aca="false">(Sens!I18245-Sens!I18244)*(1-tax_f)/((Sens!H18246+Sens!I18246)/2)</f>
        <v>-0.059455251538819</v>
      </c>
      <c r="J18248" s="7" t="n">
        <f aca="false">(Sens!J18245-Sens!J18244)*(1-tax_f)/((Sens!I18246+Sens!J18246)/2)</f>
        <v>-0.0667015729394002</v>
      </c>
      <c r="K18248" s="7" t="n">
        <f aca="false">(Sens!K18245-Sens!K18244)*(1-tax_f)/((Sens!J18246+Sens!K18246)/2)</f>
        <v>-0.0735049560740113</v>
      </c>
    </row>
    <row r="18249" customFormat="false" ht="17.15" hidden="false" customHeight="false" outlineLevel="0" collapsed="false">
      <c r="A18249" s="1" t="s">
        <v>1016</v>
      </c>
      <c r="B18249" s="0" t="s">
        <v>168</v>
      </c>
      <c r="F18249" s="7" t="n">
        <f aca="false">(Sens!F18245-Sens!F18244+Sens!F18243)*(1-tax_f)/((Sens!E18246+Sens!F18246)/2)</f>
        <v>0.0429069654816909</v>
      </c>
      <c r="G18249" s="7" t="n">
        <f aca="false">(Sens!G18245-Sens!G18244+Sens!G18243)*(1-tax_f)/((Sens!F18246+Sens!G18246)/2)</f>
        <v>0.0403189680453549</v>
      </c>
      <c r="H18249" s="7" t="n">
        <f aca="false">(Sens!H18245-Sens!H18244+Sens!H18243)*(1-tax_f)/((Sens!G18246+Sens!H18246)/2)</f>
        <v>0.0307613080877867</v>
      </c>
      <c r="I18249" s="7" t="n">
        <f aca="false">(Sens!I18245-Sens!I18244+Sens!I18243)*(1-tax_f)/((Sens!H18246+Sens!I18246)/2)</f>
        <v>0.0366512650238846</v>
      </c>
      <c r="J18249" s="7" t="n">
        <f aca="false">(Sens!J18245-Sens!J18244+Sens!J18243)*(1-tax_f)/((Sens!I18246+Sens!J18246)/2)</f>
        <v>0.0417932659044041</v>
      </c>
      <c r="K18249" s="7" t="n">
        <f aca="false">(Sens!K18245-Sens!K18244+Sens!K18243)*(1-tax_f)/((Sens!J18246+Sens!K18246)/2)</f>
        <v>0.0477205040415821</v>
      </c>
    </row>
    <row r="18250" customFormat="false" ht="17.15" hidden="false" customHeight="false" outlineLevel="0" collapsed="false">
      <c r="A18250" s="1" t="s">
        <v>1017</v>
      </c>
      <c r="B18250" s="0" t="s">
        <v>168</v>
      </c>
      <c r="F18250" s="7" t="n">
        <f aca="false">Sens!F18175*(1-tax_f)/(Sens!F18161*(Sens!E18246+Sens!F18246)/2)</f>
        <v>0.098791430090569</v>
      </c>
      <c r="G18250" s="7" t="n">
        <f aca="false">Sens!G18175*(1-tax_f)/(Sens!G18161*(Sens!F18246+Sens!G18246)/2)</f>
        <v>0.0675308856427828</v>
      </c>
      <c r="H18250" s="7" t="n">
        <f aca="false">Sens!H18175*(1-tax_f)/(Sens!H18161*(Sens!G18246+Sens!H18246)/2)</f>
        <v>0.0388374979528754</v>
      </c>
      <c r="I18250" s="7" t="n">
        <f aca="false">Sens!I18175*(1-tax_f)/(Sens!I18161*(Sens!H18246+Sens!I18246)/2)</f>
        <v>0.0411035671771815</v>
      </c>
      <c r="J18250" s="7" t="n">
        <f aca="false">Sens!J18175*(1-tax_f)/(Sens!J18161*(Sens!I18246+Sens!J18246)/2)</f>
        <v>0.0445222722541192</v>
      </c>
      <c r="K18250" s="7" t="n">
        <f aca="false">Sens!K18175*(1-tax_f)/(Sens!K18161*(Sens!J18246+Sens!K18246)/2)</f>
        <v>0.0498866361688162</v>
      </c>
    </row>
    <row r="18251" customFormat="false" ht="17.15" hidden="false" customHeight="false" outlineLevel="0" collapsed="false">
      <c r="A18251" s="0" t="s">
        <v>1018</v>
      </c>
      <c r="B18251" s="0" t="s">
        <v>253</v>
      </c>
      <c r="F18251" s="7" t="n">
        <f aca="false">Sens!F18247-wacc</f>
        <v>-0.0600296254639064</v>
      </c>
      <c r="G18251" s="7" t="n">
        <f aca="false">Sens!G18247-wacc</f>
        <v>-0.0626176229002424</v>
      </c>
      <c r="H18251" s="7" t="n">
        <f aca="false">Sens!H18247-wacc</f>
        <v>-0.0721752828578106</v>
      </c>
      <c r="I18251" s="7" t="n">
        <f aca="false">Sens!I18247-wacc</f>
        <v>-0.0662853259217127</v>
      </c>
      <c r="J18251" s="7" t="n">
        <f aca="false">Sens!J18247-wacc</f>
        <v>-0.0611433250411932</v>
      </c>
      <c r="K18251" s="7" t="n">
        <f aca="false">Sens!K18247-wacc</f>
        <v>-0.0552160869040152</v>
      </c>
    </row>
    <row r="18252" customFormat="false" ht="17.15" hidden="false" customHeight="false" outlineLevel="0" collapsed="false">
      <c r="A18252" s="0" t="s">
        <v>1019</v>
      </c>
      <c r="B18252" s="0" t="s">
        <v>98</v>
      </c>
      <c r="F18252" s="6" t="n">
        <f aca="false">Sens!F18245*(1-tax_f)-wacc*(Sens!E18246+Sens!F18246)/2</f>
        <v>-11.6238565154813</v>
      </c>
      <c r="G18252" s="6" t="n">
        <f aca="false">Sens!G18245*(1-tax_f)-wacc*(Sens!F18246+Sens!G18246)/2</f>
        <v>-20.4244672240733</v>
      </c>
      <c r="H18252" s="6" t="n">
        <f aca="false">Sens!H18245*(1-tax_f)-wacc*(Sens!G18246+Sens!H18246)/2</f>
        <v>-32.163873277425</v>
      </c>
      <c r="I18252" s="6" t="n">
        <f aca="false">Sens!I18245*(1-tax_f)-wacc*(Sens!H18246+Sens!I18246)/2</f>
        <v>-34.9111844978462</v>
      </c>
      <c r="J18252" s="6" t="n">
        <f aca="false">Sens!J18245*(1-tax_f)-wacc*(Sens!I18246+Sens!J18246)/2</f>
        <v>-33.7712608743463</v>
      </c>
      <c r="K18252" s="6" t="n">
        <f aca="false">Sens!K18245*(1-tax_f)-wacc*(Sens!J18246+Sens!K18246)/2</f>
        <v>-29.7483128474176</v>
      </c>
    </row>
    <row r="18253" customFormat="false" ht="17.15" hidden="false" customHeight="false" outlineLevel="0" collapsed="false">
      <c r="A18253" s="3" t="s">
        <v>2062</v>
      </c>
    </row>
    <row r="18254" customFormat="false" ht="15" hidden="false" customHeight="false" outlineLevel="0" collapsed="false">
      <c r="A18254" s="4" t="s">
        <v>43</v>
      </c>
      <c r="B18254" s="4" t="s">
        <v>65</v>
      </c>
      <c r="C18254" s="23" t="s">
        <v>942</v>
      </c>
      <c r="D18254" s="23" t="s">
        <v>943</v>
      </c>
      <c r="E18254" s="23" t="s">
        <v>944</v>
      </c>
      <c r="F18254" s="23" t="s">
        <v>945</v>
      </c>
      <c r="G18254" s="23" t="s">
        <v>946</v>
      </c>
      <c r="H18254" s="23" t="s">
        <v>947</v>
      </c>
      <c r="I18254" s="23" t="s">
        <v>948</v>
      </c>
      <c r="J18254" s="23" t="s">
        <v>949</v>
      </c>
      <c r="K18254" s="23" t="s">
        <v>950</v>
      </c>
      <c r="L18254" s="4" t="s">
        <v>47</v>
      </c>
    </row>
    <row r="18255" customFormat="false" ht="15" hidden="false" customHeight="false" outlineLevel="0" collapsed="false">
      <c r="A18255" s="1" t="s">
        <v>1080</v>
      </c>
      <c r="B18255" s="0" t="s">
        <v>98</v>
      </c>
      <c r="F18255" s="6" t="n">
        <f aca="false">Sens!F18236</f>
        <v>141.519132566314</v>
      </c>
      <c r="G18255" s="6" t="n">
        <f aca="false">Sens!G18236</f>
        <v>143.776094190781</v>
      </c>
      <c r="H18255" s="6" t="n">
        <f aca="false">Sens!H18236</f>
        <v>145.523258806884</v>
      </c>
      <c r="I18255" s="6" t="n">
        <f aca="false">Sens!I18236</f>
        <v>153.618584087663</v>
      </c>
      <c r="J18255" s="6" t="n">
        <f aca="false">Sens!J18236</f>
        <v>163.027321880188</v>
      </c>
      <c r="K18255" s="6" t="n">
        <f aca="false">Sens!K18236</f>
        <v>173.630216203913</v>
      </c>
    </row>
    <row r="18256" customFormat="false" ht="17.15" hidden="false" customHeight="false" outlineLevel="0" collapsed="false">
      <c r="A18256" s="1" t="s">
        <v>1102</v>
      </c>
      <c r="B18256" s="0" t="s">
        <v>98</v>
      </c>
      <c r="E18256" s="6" t="n">
        <f aca="false">Q!M38-Sens!E18174</f>
        <v>22.2285940229167</v>
      </c>
      <c r="F18256" s="6" t="n">
        <f aca="false">Sens!E18256*(1-1/life_nonai)+(Sens!F18264+Sens!F18265)/life_nonai</f>
        <v>23.5883405279552</v>
      </c>
      <c r="G18256" s="6" t="n">
        <f aca="false">Sens!F18256*(1-1/life_nonai)+(Sens!G18264)/life_nonai</f>
        <v>25.347608709247</v>
      </c>
      <c r="H18256" s="6" t="n">
        <f aca="false">Sens!G18256*(1-1/life_nonai)+(Sens!H18264)/life_nonai</f>
        <v>27.4750934833125</v>
      </c>
      <c r="I18256" s="6" t="n">
        <f aca="false">Sens!H18256*(1-1/life_nonai)+(Sens!I18264)/life_nonai</f>
        <v>29.9140127982598</v>
      </c>
      <c r="J18256" s="6" t="n">
        <f aca="false">Sens!I18256*(1-1/life_nonai)+(Sens!J18264)/life_nonai</f>
        <v>32.5895147654561</v>
      </c>
      <c r="K18256" s="6" t="n">
        <f aca="false">Sens!J18256*(1-1/life_nonai)+(Sens!K18264)/life_nonai</f>
        <v>35.4171979437481</v>
      </c>
      <c r="L18256" s="12" t="s">
        <v>1103</v>
      </c>
    </row>
    <row r="18257" customFormat="false" ht="17.15" hidden="false" customHeight="false" outlineLevel="0" collapsed="false">
      <c r="A18257" s="1" t="s">
        <v>1104</v>
      </c>
      <c r="B18257" s="0" t="s">
        <v>98</v>
      </c>
      <c r="F18257" s="6" t="n">
        <f aca="false">Sens!$F$18265/life_nonai*(1-1/life_nonai)^(Sens!F18137-2027)</f>
        <v>0</v>
      </c>
      <c r="G18257" s="6" t="n">
        <f aca="false">Sens!$F$18265/life_nonai*(1-1/life_nonai)^(Sens!G18137-2027)</f>
        <v>0</v>
      </c>
      <c r="H18257" s="6" t="n">
        <f aca="false">Sens!$F$18265/life_nonai*(1-1/life_nonai)^(Sens!H18137-2027)</f>
        <v>0</v>
      </c>
      <c r="I18257" s="6" t="n">
        <f aca="false">Sens!$F$18265/life_nonai*(1-1/life_nonai)^(Sens!I18137-2027)</f>
        <v>0</v>
      </c>
      <c r="J18257" s="6" t="n">
        <f aca="false">Sens!$F$18265/life_nonai*(1-1/life_nonai)^(Sens!J18137-2027)</f>
        <v>0</v>
      </c>
      <c r="K18257" s="6" t="n">
        <f aca="false">Sens!$F$18265/life_nonai*(1-1/life_nonai)^(Sens!K18137-2027)</f>
        <v>0</v>
      </c>
      <c r="L18257" s="1" t="s">
        <v>1105</v>
      </c>
    </row>
    <row r="18258" customFormat="false" ht="17.15" hidden="false" customHeight="false" outlineLevel="0" collapsed="false">
      <c r="A18258" s="1" t="s">
        <v>1106</v>
      </c>
      <c r="B18258" s="0" t="s">
        <v>98</v>
      </c>
      <c r="E18258" s="6" t="n">
        <f aca="false">Sens!E18174+Sens!E18256</f>
        <v>38.534</v>
      </c>
      <c r="F18258" s="6" t="n">
        <f aca="false">Sens!F18174+Sens!F18256</f>
        <v>58.1676550063068</v>
      </c>
      <c r="G18258" s="6" t="n">
        <f aca="false">Sens!G18174+Sens!G18256</f>
        <v>86.0820993615459</v>
      </c>
      <c r="H18258" s="6" t="n">
        <f aca="false">Sens!H18174+Sens!H18256</f>
        <v>116.575184144758</v>
      </c>
      <c r="I18258" s="6" t="n">
        <f aca="false">Sens!I18174+Sens!I18256</f>
        <v>144.145022492808</v>
      </c>
      <c r="J18258" s="6" t="n">
        <f aca="false">Sens!J18174+Sens!J18256</f>
        <v>164.605187815052</v>
      </c>
      <c r="K18258" s="6" t="n">
        <f aca="false">Sens!K18174+Sens!K18256</f>
        <v>178.429867494682</v>
      </c>
    </row>
    <row r="18259" customFormat="false" ht="17.15" hidden="false" customHeight="false" outlineLevel="0" collapsed="false">
      <c r="A18259" s="1" t="s">
        <v>1107</v>
      </c>
      <c r="B18259" s="0" t="s">
        <v>98</v>
      </c>
      <c r="F18259" s="6" t="n">
        <f aca="false">Sens!F18201*sbc_r</f>
        <v>14.7454787486369</v>
      </c>
      <c r="G18259" s="6" t="n">
        <f aca="false">Sens!G18201*sbc_r</f>
        <v>17.1560811611477</v>
      </c>
      <c r="H18259" s="6" t="n">
        <f aca="false">Sens!H18201*sbc_r</f>
        <v>19.4112161412813</v>
      </c>
      <c r="I18259" s="6" t="n">
        <f aca="false">Sens!I18201*sbc_r</f>
        <v>21.7655163708747</v>
      </c>
      <c r="J18259" s="6" t="n">
        <f aca="false">Sens!J18201*sbc_r</f>
        <v>23.7425689489627</v>
      </c>
      <c r="K18259" s="6" t="n">
        <f aca="false">Sens!K18201*sbc_r</f>
        <v>25.3560408997772</v>
      </c>
    </row>
    <row r="18260" customFormat="false" ht="17.15" hidden="false" customHeight="false" outlineLevel="0" collapsed="false">
      <c r="A18260" s="1" t="s">
        <v>1108</v>
      </c>
      <c r="B18260" s="0" t="s">
        <v>98</v>
      </c>
      <c r="F18260" s="6" t="n">
        <f aca="false">wc27-wc26q1</f>
        <v>-4.677</v>
      </c>
      <c r="G18260" s="6" t="n">
        <f aca="false">wc_f</f>
        <v>0</v>
      </c>
      <c r="H18260" s="6" t="n">
        <f aca="false">wc_f</f>
        <v>0</v>
      </c>
      <c r="I18260" s="6" t="n">
        <f aca="false">wc_f</f>
        <v>0</v>
      </c>
      <c r="J18260" s="6" t="n">
        <f aca="false">wc_f</f>
        <v>0</v>
      </c>
      <c r="K18260" s="6" t="n">
        <f aca="false">wc_f</f>
        <v>0</v>
      </c>
      <c r="L18260" s="12" t="s">
        <v>1109</v>
      </c>
    </row>
    <row r="18261" customFormat="false" ht="17.15" hidden="false" customHeight="false" outlineLevel="0" collapsed="false">
      <c r="A18261" s="0" t="s">
        <v>1110</v>
      </c>
      <c r="B18261" s="0" t="s">
        <v>98</v>
      </c>
      <c r="F18261" s="6" t="n">
        <f aca="false">Q!$I$35-Q!$I$26-Q!$I$38-Q!$I$39</f>
        <v>6.493</v>
      </c>
      <c r="L18261" s="1" t="s">
        <v>1111</v>
      </c>
    </row>
    <row r="18262" customFormat="false" ht="15" hidden="false" customHeight="false" outlineLevel="0" collapsed="false">
      <c r="A18262" s="1" t="s">
        <v>908</v>
      </c>
      <c r="B18262" s="0" t="s">
        <v>98</v>
      </c>
      <c r="E18262" s="6" t="n">
        <f aca="false">Q!M35</f>
        <v>182.935</v>
      </c>
      <c r="F18262" s="6" t="n">
        <f aca="false">Sens!F18255+Sens!F18258+Sens!F18259+Sens!F18260+Sens!F18261</f>
        <v>216.248266321257</v>
      </c>
      <c r="G18262" s="6" t="n">
        <f aca="false">Sens!G18255+Sens!G18258+Sens!G18259+Sens!G18260</f>
        <v>247.014274713475</v>
      </c>
      <c r="H18262" s="6" t="n">
        <f aca="false">Sens!H18255+Sens!H18258+Sens!H18259+Sens!H18260</f>
        <v>281.509659092923</v>
      </c>
      <c r="I18262" s="6" t="n">
        <f aca="false">Sens!I18255+Sens!I18258+Sens!I18259+Sens!I18260</f>
        <v>319.529122951346</v>
      </c>
      <c r="J18262" s="6" t="n">
        <f aca="false">Sens!J18255+Sens!J18258+Sens!J18259+Sens!J18260</f>
        <v>351.375078644203</v>
      </c>
      <c r="K18262" s="6" t="n">
        <f aca="false">Sens!K18255+Sens!K18258+Sens!K18259+Sens!K18260</f>
        <v>377.416124598373</v>
      </c>
    </row>
    <row r="18263" customFormat="false" ht="17.15" hidden="false" customHeight="false" outlineLevel="0" collapsed="false">
      <c r="A18263" s="0" t="s">
        <v>1112</v>
      </c>
      <c r="B18263" s="0" t="s">
        <v>98</v>
      </c>
      <c r="F18263" s="6" t="n">
        <f aca="false">Sens!F18171</f>
        <v>168.45390404212</v>
      </c>
      <c r="G18263" s="6" t="n">
        <f aca="false">Sens!G18171</f>
        <v>191.944475649048</v>
      </c>
      <c r="H18263" s="6" t="n">
        <f aca="false">Sens!H18171</f>
        <v>196.806004064512</v>
      </c>
      <c r="I18263" s="6" t="n">
        <f aca="false">Sens!I18171</f>
        <v>168.61483362161</v>
      </c>
      <c r="J18263" s="6" t="n">
        <f aca="false">Sens!J18171</f>
        <v>128.92993119594</v>
      </c>
      <c r="K18263" s="6" t="n">
        <f aca="false">Sens!K18171</f>
        <v>118.962853064733</v>
      </c>
    </row>
    <row r="18264" customFormat="false" ht="17.15" hidden="false" customHeight="false" outlineLevel="0" collapsed="false">
      <c r="A18264" s="1" t="s">
        <v>1113</v>
      </c>
      <c r="B18264" s="0" t="s">
        <v>98</v>
      </c>
      <c r="E18264" s="6" t="n">
        <f aca="false">Sens!E18179*cx_azo+Sens!E18186*cx_m365+Sens!E18187*cx_lic+(Sens!E18189+Sens!E18191)*cx_ind+Sens!E18194*cx_srch+(Sens!E18196+Sens!E18198)*cx_dev</f>
        <v>30.1846587067718</v>
      </c>
      <c r="F18264" s="6" t="n">
        <f aca="false">Sens!F18179*cx_azo+Sens!F18186*cx_m365+Sens!F18187*cx_lic+(Sens!F18189+Sens!F18191)*cx_ind+Sens!F18194*cx_srch+(Sens!F18196+Sens!F18198)*cx_dev</f>
        <v>35.826059073302</v>
      </c>
      <c r="G18264" s="6" t="n">
        <f aca="false">Sens!G18179*cx_azo+Sens!G18186*cx_m365+Sens!G18187*cx_lic+(Sens!G18189+Sens!G18191)*cx_ind+Sens!G18194*cx_srch+(Sens!G18196+Sens!G18198)*cx_dev</f>
        <v>41.1810223408732</v>
      </c>
      <c r="H18264" s="6" t="n">
        <f aca="false">Sens!H18179*cx_azo+Sens!H18186*cx_m365+Sens!H18187*cx_lic+(Sens!H18189+Sens!H18191)*cx_ind+Sens!H18194*cx_srch+(Sens!H18196+Sens!H18198)*cx_dev</f>
        <v>46.6224564499022</v>
      </c>
      <c r="I18264" s="6" t="n">
        <f aca="false">Sens!I18179*cx_azo+Sens!I18186*cx_m365+Sens!I18187*cx_lic+(Sens!I18189+Sens!I18191)*cx_ind+Sens!I18194*cx_srch+(Sens!I18196+Sens!I18198)*cx_dev</f>
        <v>51.8642866327854</v>
      </c>
      <c r="J18264" s="6" t="n">
        <f aca="false">Sens!J18179*cx_azo+Sens!J18186*cx_m365+Sens!J18187*cx_lic+(Sens!J18189+Sens!J18191)*cx_ind+Sens!J18194*cx_srch+(Sens!J18196+Sens!J18198)*cx_dev</f>
        <v>56.6690324702225</v>
      </c>
      <c r="K18264" s="6" t="n">
        <f aca="false">Sens!K18179*cx_azo+Sens!K18186*cx_m365+Sens!K18187*cx_lic+(Sens!K18189+Sens!K18191)*cx_ind+Sens!K18194*cx_srch+(Sens!K18196+Sens!K18198)*cx_dev</f>
        <v>60.866346548376</v>
      </c>
    </row>
    <row r="18265" customFormat="false" ht="17.15" hidden="false" customHeight="false" outlineLevel="0" collapsed="false">
      <c r="A18265" s="0" t="s">
        <v>1114</v>
      </c>
      <c r="B18265" s="0" t="s">
        <v>98</v>
      </c>
      <c r="F18265" s="6" t="n">
        <f aca="false">0</f>
        <v>0</v>
      </c>
      <c r="L18265" s="1" t="s">
        <v>1115</v>
      </c>
    </row>
    <row r="18266" customFormat="false" ht="17.15" hidden="false" customHeight="false" outlineLevel="0" collapsed="false">
      <c r="A18266" s="1" t="s">
        <v>1116</v>
      </c>
      <c r="B18266" s="0" t="s">
        <v>98</v>
      </c>
      <c r="E18266" s="6" t="n">
        <f aca="false">Q!M43</f>
        <v>145.3</v>
      </c>
      <c r="F18266" s="6" t="n">
        <f aca="false">Sens!F18263+Sens!F18264+Sens!F18265</f>
        <v>204.279963115422</v>
      </c>
      <c r="G18266" s="6" t="n">
        <f aca="false">Sens!G18263+Sens!G18264</f>
        <v>233.125497989921</v>
      </c>
      <c r="H18266" s="6" t="n">
        <f aca="false">Sens!H18263+Sens!H18264</f>
        <v>243.428460514415</v>
      </c>
      <c r="I18266" s="6" t="n">
        <f aca="false">Sens!I18263+Sens!I18264</f>
        <v>220.479120254396</v>
      </c>
      <c r="J18266" s="6" t="n">
        <f aca="false">Sens!J18263+Sens!J18264</f>
        <v>185.598963666163</v>
      </c>
      <c r="K18266" s="6" t="n">
        <f aca="false">Sens!K18263+Sens!K18264</f>
        <v>179.829199613109</v>
      </c>
      <c r="L18266" s="1" t="s">
        <v>1117</v>
      </c>
    </row>
    <row r="18267" customFormat="false" ht="15" hidden="false" customHeight="false" outlineLevel="0" collapsed="false">
      <c r="A18267" s="1" t="s">
        <v>1118</v>
      </c>
      <c r="B18267" s="0" t="s">
        <v>98</v>
      </c>
      <c r="E18267" s="6" t="n">
        <f aca="false">fl_liab</f>
        <v>66.594</v>
      </c>
      <c r="F18267" s="6" t="n">
        <f aca="false">Sens!E18267-Sens!F18268</f>
        <v>62.46973</v>
      </c>
      <c r="G18267" s="6" t="n">
        <f aca="false">Sens!F18267-Sens!G18268</f>
        <v>57.98686785</v>
      </c>
      <c r="H18267" s="6" t="n">
        <f aca="false">Sens!G18267-Sens!H18268</f>
        <v>53.92827690325</v>
      </c>
      <c r="I18267" s="6" t="n">
        <f aca="false">Sens!H18267-Sens!I18268</f>
        <v>49.7850493638962</v>
      </c>
      <c r="J18267" s="6" t="n">
        <f aca="false">Sens!I18267-Sens!J18268</f>
        <v>45.4823765852716</v>
      </c>
      <c r="K18267" s="6" t="n">
        <f aca="false">Sens!J18267-Sens!K18268</f>
        <v>40.9860835316088</v>
      </c>
    </row>
    <row r="18268" customFormat="false" ht="15" hidden="false" customHeight="false" outlineLevel="0" collapsed="false">
      <c r="A18268" s="1" t="s">
        <v>1119</v>
      </c>
      <c r="B18268" s="0" t="s">
        <v>98</v>
      </c>
      <c r="F18268" s="6" t="n">
        <f aca="false">fl_pay_27-Sens!E18267*fl_rate</f>
        <v>4.12427</v>
      </c>
      <c r="G18268" s="6" t="n">
        <f aca="false">fl_pay_28-Sens!F18267*fl_rate</f>
        <v>4.48286215</v>
      </c>
      <c r="H18268" s="6" t="n">
        <f aca="false">fl_pay_29-Sens!G18267*fl_rate</f>
        <v>4.05859094675</v>
      </c>
      <c r="I18268" s="6" t="n">
        <f aca="false">fl_pay_30-Sens!H18267*fl_rate</f>
        <v>4.14322753935375</v>
      </c>
      <c r="J18268" s="6" t="n">
        <f aca="false">fl_pay_31-Sens!I18267*fl_rate</f>
        <v>4.30267277862467</v>
      </c>
      <c r="K18268" s="6" t="n">
        <f aca="false">fl_pay_32-Sens!J18267*fl_rate</f>
        <v>4.49629305366278</v>
      </c>
    </row>
    <row r="18269" customFormat="false" ht="17.15" hidden="false" customHeight="false" outlineLevel="0" collapsed="false">
      <c r="A18269" s="1" t="s">
        <v>1120</v>
      </c>
      <c r="B18269" s="0" t="s">
        <v>98</v>
      </c>
      <c r="E18269" s="6" t="n">
        <f aca="false">Q!M35-Q!M36-Q!M44</f>
        <v>63.886</v>
      </c>
      <c r="F18269" s="6" t="n">
        <f aca="false">Sens!F18262-Sens!F18266-Sens!F18268</f>
        <v>7.8440332058357</v>
      </c>
      <c r="G18269" s="6" t="n">
        <f aca="false">Sens!G18262-Sens!G18266-Sens!G18268</f>
        <v>9.40591457355372</v>
      </c>
      <c r="H18269" s="6" t="n">
        <f aca="false">Sens!H18262-Sens!H18266-Sens!H18268</f>
        <v>34.0226076317587</v>
      </c>
      <c r="I18269" s="6" t="n">
        <f aca="false">Sens!I18262-Sens!I18266-Sens!I18268</f>
        <v>94.9067751575962</v>
      </c>
      <c r="J18269" s="6" t="n">
        <f aca="false">Sens!J18262-Sens!J18266-Sens!J18268</f>
        <v>161.473442199415</v>
      </c>
      <c r="K18269" s="6" t="n">
        <f aca="false">Sens!K18262-Sens!K18266-Sens!K18268</f>
        <v>193.090631931601</v>
      </c>
      <c r="L18269" s="12" t="s">
        <v>1121</v>
      </c>
    </row>
    <row r="18270" customFormat="false" ht="15" hidden="false" customHeight="false" outlineLevel="0" collapsed="false">
      <c r="A18270" s="1" t="s">
        <v>1122</v>
      </c>
      <c r="B18270" s="0" t="s">
        <v>75</v>
      </c>
      <c r="F18270" s="8" t="n">
        <f aca="false">dps_27</f>
        <v>3.85</v>
      </c>
      <c r="G18270" s="8" t="n">
        <f aca="false">Sens!F18270*(1+dps_g)</f>
        <v>4.158</v>
      </c>
      <c r="H18270" s="8" t="n">
        <f aca="false">Sens!G18270*(1+dps_g)</f>
        <v>4.49064</v>
      </c>
      <c r="I18270" s="8" t="n">
        <f aca="false">Sens!H18270*(1+dps_g)</f>
        <v>4.8498912</v>
      </c>
      <c r="J18270" s="8" t="n">
        <f aca="false">Sens!I18270*(1+dps_g)</f>
        <v>5.237882496</v>
      </c>
      <c r="K18270" s="8" t="n">
        <f aca="false">Sens!J18270*(1+dps_g)</f>
        <v>5.65691309568</v>
      </c>
    </row>
    <row r="18271" customFormat="false" ht="17.15" hidden="false" customHeight="false" outlineLevel="0" collapsed="false">
      <c r="A18271" s="1" t="s">
        <v>1123</v>
      </c>
      <c r="B18271" s="0" t="s">
        <v>98</v>
      </c>
      <c r="E18271" s="6" t="n">
        <f aca="false">Q!M41</f>
        <v>26.445</v>
      </c>
      <c r="F18271" s="6" t="n">
        <f aca="false">Sens!F18270*Sens!E18280</f>
        <v>28.59395</v>
      </c>
      <c r="G18271" s="6" t="n">
        <f aca="false">Sens!G18270*Sens!F18280</f>
        <v>31.068576</v>
      </c>
      <c r="H18271" s="6" t="n">
        <f aca="false">Sens!H18270*Sens!G18280</f>
        <v>33.75614088</v>
      </c>
      <c r="I18271" s="6" t="n">
        <f aca="false">Sens!I18270*Sens!H18280</f>
        <v>36.6748772544</v>
      </c>
      <c r="J18271" s="6" t="n">
        <f aca="false">Sens!J18270*Sens!I18280</f>
        <v>39.6767653201446</v>
      </c>
      <c r="K18271" s="6" t="n">
        <f aca="false">Sens!K18270*Sens!J18280</f>
        <v>42.9376608081345</v>
      </c>
      <c r="L18271" s="1" t="s">
        <v>1124</v>
      </c>
    </row>
    <row r="18272" customFormat="false" ht="15" hidden="false" customHeight="false" outlineLevel="0" collapsed="false">
      <c r="A18272" s="1" t="s">
        <v>1125</v>
      </c>
      <c r="B18272" s="0" t="s">
        <v>98</v>
      </c>
      <c r="E18272" s="6" t="n">
        <f aca="false">Sens!E18269-Sens!E18271</f>
        <v>37.441</v>
      </c>
      <c r="F18272" s="6" t="n">
        <f aca="false">Sens!F18269-Sens!F18271</f>
        <v>-20.7499167941643</v>
      </c>
      <c r="G18272" s="6" t="n">
        <f aca="false">Sens!G18269-Sens!G18271</f>
        <v>-21.6626614264463</v>
      </c>
      <c r="H18272" s="6" t="n">
        <f aca="false">Sens!H18269-Sens!H18271</f>
        <v>0.266466751758742</v>
      </c>
      <c r="I18272" s="6" t="n">
        <f aca="false">Sens!I18269-Sens!I18271</f>
        <v>58.2318979031962</v>
      </c>
      <c r="J18272" s="6" t="n">
        <f aca="false">Sens!J18269-Sens!J18271</f>
        <v>121.796676879271</v>
      </c>
      <c r="K18272" s="6" t="n">
        <f aca="false">Sens!K18269-Sens!K18271</f>
        <v>150.152971123467</v>
      </c>
    </row>
    <row r="18273" customFormat="false" ht="15" hidden="false" customHeight="false" outlineLevel="0" collapsed="false">
      <c r="A18273" s="1" t="s">
        <v>1126</v>
      </c>
      <c r="B18273" s="0" t="s">
        <v>98</v>
      </c>
      <c r="F18273" s="6" t="n">
        <f aca="false">debt_mat_27</f>
        <v>9.25</v>
      </c>
      <c r="G18273" s="6" t="n">
        <f aca="false">debt_mat_28</f>
        <v>0</v>
      </c>
      <c r="H18273" s="6" t="n">
        <f aca="false">debt_mat_29</f>
        <v>2.001</v>
      </c>
      <c r="I18273" s="6" t="n">
        <f aca="false">debt_mat_30</f>
        <v>0</v>
      </c>
      <c r="J18273" s="6" t="n">
        <f aca="false">debt_mat_31</f>
        <v>0.5</v>
      </c>
      <c r="K18273" s="6" t="n">
        <f aca="false">debt_mat_32</f>
        <v>0</v>
      </c>
    </row>
    <row r="18274" customFormat="false" ht="15" hidden="false" customHeight="false" outlineLevel="0" collapsed="false">
      <c r="A18274" s="1" t="s">
        <v>1127</v>
      </c>
      <c r="B18274" s="0" t="s">
        <v>98</v>
      </c>
      <c r="E18274" s="6" t="n">
        <f aca="false">Q!M40</f>
        <v>22.271</v>
      </c>
      <c r="F18274" s="6" t="n">
        <f aca="false">MAX(0,MIN(bb_target,Sens!E18276+Sens!F18272-Sens!F18273-min_cash))</f>
        <v>0</v>
      </c>
      <c r="G18274" s="6" t="n">
        <f aca="false">MAX(0,MIN(bb_target,Sens!F18276+Sens!G18272-Sens!G18273-min_cash))</f>
        <v>0</v>
      </c>
      <c r="H18274" s="6" t="n">
        <f aca="false">MAX(0,MIN(bb_target,Sens!G18276+Sens!H18272-Sens!H18273-min_cash))</f>
        <v>0</v>
      </c>
      <c r="I18274" s="6" t="n">
        <f aca="false">MAX(0,MIN(bb_target,Sens!H18276+Sens!I18272-Sens!I18273-min_cash))</f>
        <v>22.271</v>
      </c>
      <c r="J18274" s="6" t="n">
        <f aca="false">MAX(0,MIN(bb_target,Sens!I18276+Sens!J18272-Sens!J18273-min_cash))</f>
        <v>22.271</v>
      </c>
      <c r="K18274" s="6" t="n">
        <f aca="false">MAX(0,MIN(bb_target,Sens!J18276+Sens!K18272-Sens!K18273-min_cash))</f>
        <v>22.271</v>
      </c>
    </row>
    <row r="18275" customFormat="false" ht="15" hidden="false" customHeight="false" outlineLevel="0" collapsed="false">
      <c r="A18275" s="1" t="s">
        <v>1128</v>
      </c>
      <c r="B18275" s="0" t="s">
        <v>98</v>
      </c>
      <c r="F18275" s="6" t="n">
        <f aca="false">MAX(0,min_cash-(Sens!E18276+Sens!F18272-Sens!F18273-Sens!F18274))</f>
        <v>3.1569167941643</v>
      </c>
      <c r="G18275" s="6" t="n">
        <f aca="false">MAX(0,min_cash-(Sens!F18276+Sens!G18272-Sens!G18273-Sens!G18274))</f>
        <v>21.6626614264463</v>
      </c>
      <c r="H18275" s="6" t="n">
        <f aca="false">MAX(0,min_cash-(Sens!G18276+Sens!H18272-Sens!H18273-Sens!H18274))</f>
        <v>1.73453324824126</v>
      </c>
      <c r="I18275" s="6" t="n">
        <f aca="false">MAX(0,min_cash-(Sens!H18276+Sens!I18272-Sens!I18273-Sens!I18274))</f>
        <v>0</v>
      </c>
      <c r="J18275" s="6" t="n">
        <f aca="false">MAX(0,min_cash-(Sens!I18276+Sens!J18272-Sens!J18273-Sens!J18274))</f>
        <v>0</v>
      </c>
      <c r="K18275" s="6" t="n">
        <f aca="false">MAX(0,min_cash-(Sens!J18276+Sens!K18272-Sens!K18273-Sens!K18274))</f>
        <v>0</v>
      </c>
    </row>
    <row r="18276" customFormat="false" ht="15" hidden="false" customHeight="false" outlineLevel="0" collapsed="false">
      <c r="A18276" s="1" t="s">
        <v>1129</v>
      </c>
      <c r="B18276" s="0" t="s">
        <v>98</v>
      </c>
      <c r="E18276" s="6" t="n">
        <f aca="false">cash_open</f>
        <v>76.843</v>
      </c>
      <c r="F18276" s="6" t="n">
        <f aca="false">Sens!E18276+Sens!F18272-Sens!F18273-Sens!F18274+Sens!F18275</f>
        <v>50</v>
      </c>
      <c r="G18276" s="6" t="n">
        <f aca="false">Sens!F18276+Sens!G18272-Sens!G18273-Sens!G18274+Sens!G18275</f>
        <v>50</v>
      </c>
      <c r="H18276" s="6" t="n">
        <f aca="false">Sens!G18276+Sens!H18272-Sens!H18273-Sens!H18274+Sens!H18275</f>
        <v>50</v>
      </c>
      <c r="I18276" s="6" t="n">
        <f aca="false">Sens!H18276+Sens!I18272-Sens!I18273-Sens!I18274+Sens!I18275</f>
        <v>85.9608979031962</v>
      </c>
      <c r="J18276" s="6" t="n">
        <f aca="false">Sens!I18276+Sens!J18272-Sens!J18273-Sens!J18274+Sens!J18275</f>
        <v>184.986574782467</v>
      </c>
      <c r="K18276" s="6" t="n">
        <f aca="false">Sens!J18276+Sens!K18272-Sens!K18273-Sens!K18274+Sens!K18275</f>
        <v>312.868545905934</v>
      </c>
    </row>
    <row r="18277" customFormat="false" ht="15" hidden="false" customHeight="false" outlineLevel="0" collapsed="false">
      <c r="A18277" s="1" t="s">
        <v>1130</v>
      </c>
      <c r="B18277" s="0" t="s">
        <v>98</v>
      </c>
      <c r="E18277" s="6" t="n">
        <f aca="false">debt_face</f>
        <v>46.136</v>
      </c>
      <c r="F18277" s="6" t="n">
        <f aca="false">Sens!E18277-Sens!F18273+Sens!F18275</f>
        <v>40.0429167941643</v>
      </c>
      <c r="G18277" s="6" t="n">
        <f aca="false">Sens!F18277-Sens!G18273+Sens!G18275</f>
        <v>61.7055782206106</v>
      </c>
      <c r="H18277" s="6" t="n">
        <f aca="false">Sens!G18277-Sens!H18273+Sens!H18275</f>
        <v>61.4391114688519</v>
      </c>
      <c r="I18277" s="6" t="n">
        <f aca="false">Sens!H18277-Sens!I18273+Sens!I18275</f>
        <v>61.4391114688519</v>
      </c>
      <c r="J18277" s="6" t="n">
        <f aca="false">Sens!I18277-Sens!J18273+Sens!J18275</f>
        <v>60.9391114688519</v>
      </c>
      <c r="K18277" s="6" t="n">
        <f aca="false">Sens!J18277-Sens!K18273+Sens!K18275</f>
        <v>60.9391114688519</v>
      </c>
    </row>
    <row r="18278" customFormat="false" ht="15" hidden="false" customHeight="false" outlineLevel="0" collapsed="false">
      <c r="A18278" s="1" t="s">
        <v>1131</v>
      </c>
      <c r="B18278" s="0" t="s">
        <v>98</v>
      </c>
      <c r="E18278" s="6" t="n">
        <f aca="false">Sens!E18276-Sens!E18277</f>
        <v>30.707</v>
      </c>
      <c r="F18278" s="6" t="n">
        <f aca="false">Sens!F18276-Sens!F18277</f>
        <v>9.95708320583569</v>
      </c>
      <c r="G18278" s="6" t="n">
        <f aca="false">Sens!G18276-Sens!G18277</f>
        <v>-11.7055782206106</v>
      </c>
      <c r="H18278" s="6" t="n">
        <f aca="false">Sens!H18276-Sens!H18277</f>
        <v>-11.4391114688518</v>
      </c>
      <c r="I18278" s="6" t="n">
        <f aca="false">Sens!I18276-Sens!I18277</f>
        <v>24.5217864343444</v>
      </c>
      <c r="J18278" s="6" t="n">
        <f aca="false">Sens!J18276-Sens!J18277</f>
        <v>124.047463313615</v>
      </c>
      <c r="K18278" s="6" t="n">
        <f aca="false">Sens!K18276-Sens!K18277</f>
        <v>251.929434437082</v>
      </c>
    </row>
    <row r="18279" customFormat="false" ht="15" hidden="false" customHeight="false" outlineLevel="0" collapsed="false">
      <c r="A18279" s="1" t="s">
        <v>1132</v>
      </c>
      <c r="B18279" s="0" t="s">
        <v>75</v>
      </c>
      <c r="F18279" s="30" t="n">
        <f aca="false">px*(1+bb_g)^(Sens!F18137-base_fy-mid_yr)</f>
        <v>551.84177959629</v>
      </c>
      <c r="G18279" s="30" t="n">
        <f aca="false">px*(1+bb_g)^(Sens!G18137-base_fy-mid_yr)</f>
        <v>595.989121963993</v>
      </c>
      <c r="H18279" s="30" t="n">
        <f aca="false">px*(1+bb_g)^(Sens!H18137-base_fy-mid_yr)</f>
        <v>643.668251721112</v>
      </c>
      <c r="I18279" s="30" t="n">
        <f aca="false">px*(1+bb_g)^(Sens!I18137-base_fy-mid_yr)</f>
        <v>695.161711858801</v>
      </c>
      <c r="J18279" s="30" t="n">
        <f aca="false">px*(1+bb_g)^(Sens!J18137-base_fy-mid_yr)</f>
        <v>750.774648807506</v>
      </c>
      <c r="K18279" s="30" t="n">
        <f aca="false">px*(1+bb_g)^(Sens!K18137-base_fy-mid_yr)</f>
        <v>810.836620712106</v>
      </c>
    </row>
    <row r="18280" customFormat="false" ht="15" hidden="false" customHeight="false" outlineLevel="0" collapsed="false">
      <c r="A18280" s="1" t="s">
        <v>1133</v>
      </c>
      <c r="B18280" s="1" t="s">
        <v>81</v>
      </c>
      <c r="E18280" s="15" t="n">
        <f aca="false">sh_out26</f>
        <v>7.427</v>
      </c>
      <c r="F18280" s="15" t="n">
        <f aca="false">Sens!E18280+sh_iss-Sens!F18274/Sens!F18279</f>
        <v>7.472</v>
      </c>
      <c r="G18280" s="15" t="n">
        <f aca="false">Sens!F18280+sh_iss-Sens!G18274/Sens!G18279</f>
        <v>7.517</v>
      </c>
      <c r="H18280" s="15" t="n">
        <f aca="false">Sens!G18280+sh_iss-Sens!H18274/Sens!H18279</f>
        <v>7.562</v>
      </c>
      <c r="I18280" s="15" t="n">
        <f aca="false">Sens!H18280+sh_iss-Sens!I18274/Sens!I18279</f>
        <v>7.57496285005334</v>
      </c>
      <c r="J18280" s="15" t="n">
        <f aca="false">Sens!I18280+sh_iss-Sens!J18274/Sens!J18279</f>
        <v>7.59029882232494</v>
      </c>
      <c r="K18280" s="15" t="n">
        <f aca="false">Sens!J18280+sh_iss-Sens!K18274/Sens!K18279</f>
        <v>7.60783212998384</v>
      </c>
    </row>
    <row r="18281" customFormat="false" ht="15" hidden="false" customHeight="false" outlineLevel="0" collapsed="false">
      <c r="A18281" s="1" t="s">
        <v>1134</v>
      </c>
      <c r="B18281" s="1" t="s">
        <v>81</v>
      </c>
      <c r="E18281" s="15" t="n">
        <f aca="false">sh_dil26</f>
        <v>7.453</v>
      </c>
      <c r="F18281" s="15" t="n">
        <f aca="false">(Sens!E18280+Sens!F18280)/2+dil_gap</f>
        <v>7.4735</v>
      </c>
      <c r="G18281" s="15" t="n">
        <f aca="false">(Sens!F18280+Sens!G18280)/2+dil_gap</f>
        <v>7.5185</v>
      </c>
      <c r="H18281" s="15" t="n">
        <f aca="false">(Sens!G18280+Sens!H18280)/2+dil_gap</f>
        <v>7.5635</v>
      </c>
      <c r="I18281" s="15" t="n">
        <f aca="false">(Sens!H18280+Sens!I18280)/2+dil_gap</f>
        <v>7.59248142502667</v>
      </c>
      <c r="J18281" s="15" t="n">
        <f aca="false">(Sens!I18280+Sens!J18280)/2+dil_gap</f>
        <v>7.60663083618914</v>
      </c>
      <c r="K18281" s="15" t="n">
        <f aca="false">(Sens!J18280+Sens!K18280)/2+dil_gap</f>
        <v>7.62306547615439</v>
      </c>
    </row>
    <row r="18282" customFormat="false" ht="17.15" hidden="false" customHeight="false" outlineLevel="0" collapsed="false">
      <c r="A18282" s="1" t="s">
        <v>1135</v>
      </c>
      <c r="B18282" s="0" t="s">
        <v>98</v>
      </c>
      <c r="C18282" s="6" t="n">
        <f aca="false">SUM(Sens!F18272:J18272)</f>
        <v>137.882463313615</v>
      </c>
    </row>
    <row r="18283" customFormat="false" ht="15" hidden="false" customHeight="false" outlineLevel="0" collapsed="false">
      <c r="A18283" s="26" t="s">
        <v>1100</v>
      </c>
      <c r="B18283" s="31" t="s">
        <v>98</v>
      </c>
      <c r="C18283" s="27" t="n">
        <f aca="false">Sens!$C$18282-(Sens!F18272+Sens!G18272+Sens!H18272+Sens!I18272+Sens!J18272)</f>
        <v>0</v>
      </c>
      <c r="D18283" s="31"/>
      <c r="E18283" s="31"/>
      <c r="F18283" s="31"/>
      <c r="G18283" s="31"/>
      <c r="H18283" s="31"/>
      <c r="I18283" s="31"/>
      <c r="J18283" s="31"/>
      <c r="K18283" s="31"/>
    </row>
    <row r="18284" customFormat="false" ht="17.15" hidden="false" customHeight="false" outlineLevel="0" collapsed="false">
      <c r="A18284" s="1" t="s">
        <v>1094</v>
      </c>
      <c r="B18284" s="1" t="s">
        <v>1136</v>
      </c>
      <c r="C18284" s="33" t="str">
        <f aca="false">IF(SUM(Sens!F18275:J18275)&gt;0.05,"需要舉債 "&amp;TEXT(SUM(Sens!F18275:J18275),"0.0")&amp;" 十億美元","不需舉債")&amp;"；"&amp;IF(SUM(Sens!F18274:J18274)&lt;COUNT(Sens!F18274:J18274)*bb_target-0.05,"回購較每年 "&amp;TEXT(bb_target,"0.0")&amp;" 的目標少 "&amp;TEXT(COUNT(Sens!F18274:J18274)*bb_target-SUM(Sens!F18274:J18274),"0.0")&amp;" 十億美元（"&amp;TEXT(COUNTIF(Sens!F18274:J18274,"&lt;"&amp;(bb_target-0.05)),"0")&amp;" 年減少）","回購不減")</f>
        <v>需要舉債 26.6 十億美元；回購較每年 22.3 的目標少 66.8 十億美元（3 年減少）</v>
      </c>
    </row>
    <row r="18285" customFormat="false" ht="17.15" hidden="false" customHeight="false" outlineLevel="0" collapsed="false">
      <c r="A18285" s="3" t="s">
        <v>2063</v>
      </c>
    </row>
    <row r="18286" customFormat="false" ht="15" hidden="false" customHeight="false" outlineLevel="0" collapsed="false">
      <c r="A18286" s="4" t="s">
        <v>43</v>
      </c>
      <c r="B18286" s="4" t="s">
        <v>65</v>
      </c>
      <c r="C18286" s="23" t="s">
        <v>942</v>
      </c>
      <c r="D18286" s="23" t="s">
        <v>943</v>
      </c>
      <c r="E18286" s="23" t="s">
        <v>944</v>
      </c>
      <c r="F18286" s="23" t="s">
        <v>945</v>
      </c>
      <c r="G18286" s="23" t="s">
        <v>946</v>
      </c>
      <c r="H18286" s="23" t="s">
        <v>947</v>
      </c>
      <c r="I18286" s="23" t="s">
        <v>948</v>
      </c>
      <c r="J18286" s="23" t="s">
        <v>949</v>
      </c>
      <c r="K18286" s="23" t="s">
        <v>950</v>
      </c>
      <c r="L18286" s="4" t="s">
        <v>47</v>
      </c>
    </row>
    <row r="18287" customFormat="false" ht="17.15" hidden="false" customHeight="false" outlineLevel="0" collapsed="false">
      <c r="A18287" s="1" t="s">
        <v>1216</v>
      </c>
      <c r="B18287" s="1" t="s">
        <v>279</v>
      </c>
      <c r="F18287" s="8" t="n">
        <f aca="false">(1-v_off)*mid_yr</f>
        <v>0.373972602739726</v>
      </c>
      <c r="G18287" s="8" t="n">
        <f aca="false">Sens!G18137-base_fy-mid_yr-v_off</f>
        <v>1.24794520547945</v>
      </c>
      <c r="H18287" s="8" t="n">
        <f aca="false">Sens!H18137-base_fy-mid_yr-v_off</f>
        <v>2.24794520547945</v>
      </c>
      <c r="I18287" s="8" t="n">
        <f aca="false">Sens!I18137-base_fy-mid_yr-v_off</f>
        <v>3.24794520547945</v>
      </c>
      <c r="J18287" s="8" t="n">
        <f aca="false">Sens!J18137-base_fy-mid_yr-v_off</f>
        <v>4.24794520547945</v>
      </c>
      <c r="K18287" s="8" t="n">
        <f aca="false">Sens!K18137-base_fy-mid_yr-v_off</f>
        <v>5.24794520547945</v>
      </c>
      <c r="L18287" s="12" t="s">
        <v>1217</v>
      </c>
    </row>
    <row r="18288" customFormat="false" ht="15" hidden="false" customHeight="false" outlineLevel="0" collapsed="false">
      <c r="A18288" s="1" t="s">
        <v>1218</v>
      </c>
      <c r="B18288" s="1" t="s">
        <v>279</v>
      </c>
      <c r="F18288" s="8" t="n">
        <f aca="false">Sens!F18137-base_fy-v_off</f>
        <v>0.747945205479452</v>
      </c>
      <c r="G18288" s="8" t="n">
        <f aca="false">Sens!G18137-base_fy-v_off</f>
        <v>1.74794520547945</v>
      </c>
      <c r="H18288" s="8" t="n">
        <f aca="false">Sens!H18137-base_fy-v_off</f>
        <v>2.74794520547945</v>
      </c>
      <c r="I18288" s="8" t="n">
        <f aca="false">Sens!I18137-base_fy-v_off</f>
        <v>3.74794520547945</v>
      </c>
      <c r="J18288" s="8" t="n">
        <f aca="false">Sens!J18137-base_fy-v_off</f>
        <v>4.74794520547945</v>
      </c>
      <c r="K18288" s="8" t="n">
        <f aca="false">Sens!K18137-base_fy-v_off</f>
        <v>5.74794520547945</v>
      </c>
    </row>
    <row r="18289" customFormat="false" ht="15" hidden="false" customHeight="false" outlineLevel="0" collapsed="false">
      <c r="A18289" s="1" t="s">
        <v>1219</v>
      </c>
      <c r="B18289" s="0" t="s">
        <v>229</v>
      </c>
      <c r="F18289" s="15" t="n">
        <f aca="false">1/(1+wacc)^Sens!F18287</f>
        <v>0.964022703286649</v>
      </c>
      <c r="G18289" s="15" t="n">
        <f aca="false">1/(1+wacc)^Sens!G18287</f>
        <v>0.884910302296739</v>
      </c>
      <c r="H18289" s="15" t="n">
        <f aca="false">1/(1+wacc)^Sens!H18287</f>
        <v>0.802322009770358</v>
      </c>
      <c r="I18289" s="15" t="n">
        <f aca="false">1/(1+wacc)^Sens!I18287</f>
        <v>0.727441646561469</v>
      </c>
      <c r="J18289" s="15" t="n">
        <f aca="false">1/(1+wacc)^Sens!J18287</f>
        <v>0.659549834988973</v>
      </c>
      <c r="K18289" s="15" t="n">
        <f aca="false">1/(1+wacc)^Sens!K18287</f>
        <v>0.597994336576966</v>
      </c>
    </row>
    <row r="18290" customFormat="false" ht="17.15" hidden="false" customHeight="false" outlineLevel="0" collapsed="false">
      <c r="A18290" s="1" t="s">
        <v>1220</v>
      </c>
      <c r="B18290" s="0" t="s">
        <v>98</v>
      </c>
      <c r="F18290" s="6" t="n">
        <f aca="false">Q!$I$35-Q!$I$39-Q!$I$43</f>
        <v>9.666</v>
      </c>
      <c r="L18290" s="12" t="s">
        <v>1221</v>
      </c>
    </row>
    <row r="18291" customFormat="false" ht="17.15" hidden="false" customHeight="false" outlineLevel="0" collapsed="false">
      <c r="A18291" s="1" t="s">
        <v>1222</v>
      </c>
      <c r="B18291" s="0" t="s">
        <v>98</v>
      </c>
      <c r="F18291" s="6" t="n">
        <f aca="false">Sens!F18262-Sens!F18259-Sens!F18266+Sens!F18244*(1-tax_f)*(1-v_off)-Sens!F18290</f>
        <v>-6.10282680452259</v>
      </c>
      <c r="G18291" s="6" t="n">
        <f aca="false">Sens!G18262-Sens!G18259-Sens!G18266+Sens!G18244*(1-tax_f)</f>
        <v>19.0084129023516</v>
      </c>
      <c r="H18291" s="6" t="n">
        <f aca="false">Sens!H18262-Sens!H18259-Sens!H18266+Sens!H18244*(1-tax_f)</f>
        <v>55.9229468383331</v>
      </c>
      <c r="I18291" s="6" t="n">
        <f aca="false">Sens!I18262-Sens!I18259-Sens!I18266+Sens!I18244*(1-tax_f)</f>
        <v>127.901908576191</v>
      </c>
      <c r="J18291" s="6" t="n">
        <f aca="false">Sens!J18262-Sens!J18259-Sens!J18266+Sens!J18244*(1-tax_f)</f>
        <v>201.958443859638</v>
      </c>
      <c r="K18291" s="6" t="n">
        <f aca="false">Sens!K18262-Sens!K18259-Sens!K18266+Sens!K18244*(1-tax_f)</f>
        <v>237.542519059905</v>
      </c>
      <c r="L18291" s="1" t="s">
        <v>1223</v>
      </c>
    </row>
    <row r="18292" customFormat="false" ht="15" hidden="false" customHeight="false" outlineLevel="0" collapsed="false">
      <c r="A18292" s="1" t="s">
        <v>1224</v>
      </c>
      <c r="B18292" s="0" t="s">
        <v>98</v>
      </c>
      <c r="F18292" s="6" t="n">
        <f aca="false">Sens!F18291*Sens!F18289</f>
        <v>-5.88326359378609</v>
      </c>
      <c r="G18292" s="6" t="n">
        <f aca="false">Sens!G18291*Sens!G18289</f>
        <v>16.8207404076012</v>
      </c>
      <c r="H18292" s="6" t="n">
        <f aca="false">Sens!H18291*Sens!H18289</f>
        <v>44.8682110996123</v>
      </c>
      <c r="I18292" s="6" t="n">
        <f aca="false">Sens!I18291*Sens!I18289</f>
        <v>93.0411749730187</v>
      </c>
      <c r="J18292" s="6" t="n">
        <f aca="false">Sens!J18291*Sens!J18289</f>
        <v>133.201658322254</v>
      </c>
      <c r="K18292" s="6" t="n">
        <f aca="false">Sens!K18291*Sens!K18289</f>
        <v>142.049081094049</v>
      </c>
    </row>
    <row r="18293" customFormat="false" ht="17.15" hidden="false" customHeight="false" outlineLevel="0" collapsed="false">
      <c r="A18293" s="1" t="s">
        <v>1225</v>
      </c>
      <c r="B18293" s="0" t="s">
        <v>98</v>
      </c>
      <c r="C18293" s="6" t="n">
        <f aca="false">SUM(Sens!F18292:K18292)</f>
        <v>424.097602302749</v>
      </c>
    </row>
    <row r="18294" customFormat="false" ht="17.15" hidden="false" customHeight="false" outlineLevel="0" collapsed="false">
      <c r="A18294" s="1" t="s">
        <v>1226</v>
      </c>
      <c r="B18294" s="0" t="s">
        <v>98</v>
      </c>
      <c r="C18294" s="6" t="n">
        <f aca="false">Sens!K18230*(1+g_tv)*(1-tax_f)</f>
        <v>247.098906713682</v>
      </c>
    </row>
    <row r="18295" customFormat="false" ht="17.15" hidden="false" customHeight="false" outlineLevel="0" collapsed="false">
      <c r="A18295" s="1" t="s">
        <v>1227</v>
      </c>
      <c r="B18295" s="0" t="s">
        <v>98</v>
      </c>
      <c r="C18295" s="6" t="n">
        <f aca="false">Sens!$C$18294*(1-g_tv/(wacc+ronic_prem))</f>
        <v>175.084017418113</v>
      </c>
    </row>
    <row r="18296" customFormat="false" ht="17.15" hidden="false" customHeight="false" outlineLevel="0" collapsed="false">
      <c r="A18296" s="1" t="s">
        <v>1228</v>
      </c>
      <c r="B18296" s="0" t="s">
        <v>98</v>
      </c>
      <c r="C18296" s="6" t="n">
        <f aca="false">Sens!$C$18295/(wacc-g_tv)</f>
        <v>2400.4963098523</v>
      </c>
    </row>
    <row r="18297" customFormat="false" ht="15" hidden="false" customHeight="false" outlineLevel="0" collapsed="false">
      <c r="A18297" s="1" t="s">
        <v>1229</v>
      </c>
      <c r="B18297" s="0" t="s">
        <v>98</v>
      </c>
      <c r="C18297" s="6" t="n">
        <f aca="false">Sens!$C$18296/(1+wacc)^Sens!K18288</f>
        <v>1366.85624415645</v>
      </c>
    </row>
    <row r="18298" customFormat="false" ht="17.15" hidden="false" customHeight="false" outlineLevel="0" collapsed="false">
      <c r="A18298" s="0" t="s">
        <v>1230</v>
      </c>
      <c r="B18298" s="0" t="s">
        <v>98</v>
      </c>
      <c r="C18298" s="6" t="n">
        <f aca="false">Sens!$C$18293+Sens!$C$18297</f>
        <v>1790.9538464592</v>
      </c>
    </row>
    <row r="18299" customFormat="false" ht="15" hidden="false" customHeight="false" outlineLevel="0" collapsed="false">
      <c r="A18299" s="1" t="s">
        <v>1145</v>
      </c>
      <c r="B18299" s="0" t="s">
        <v>168</v>
      </c>
      <c r="C18299" s="7" t="n">
        <f aca="false">Sens!$C$18297/Sens!$C$18298</f>
        <v>0.763200149941769</v>
      </c>
    </row>
    <row r="18300" customFormat="false" ht="17.15" hidden="false" customHeight="false" outlineLevel="0" collapsed="false">
      <c r="A18300" s="1" t="s">
        <v>1231</v>
      </c>
      <c r="B18300" s="0" t="s">
        <v>98</v>
      </c>
      <c r="C18300" s="6" t="n">
        <f aca="false">Sens!$C$18298+cash_val-debt_val-fl_val+oai_v</f>
        <v>1906.8048464592</v>
      </c>
    </row>
    <row r="18301" customFormat="false" ht="17.15" hidden="false" customHeight="false" outlineLevel="0" collapsed="false">
      <c r="A18301" s="0" t="s">
        <v>1153</v>
      </c>
      <c r="B18301" s="0" t="s">
        <v>75</v>
      </c>
      <c r="C18301" s="5" t="n">
        <f aca="false">Sens!$C$18300/shd_val</f>
        <v>256.084454265269</v>
      </c>
    </row>
    <row r="18302" customFormat="false" ht="15" hidden="false" customHeight="false" outlineLevel="0" collapsed="false">
      <c r="A18302" s="1" t="s">
        <v>1232</v>
      </c>
      <c r="B18302" s="0" t="s">
        <v>75</v>
      </c>
      <c r="C18302" s="8" t="n">
        <f aca="false">div_rem27+Sens!G18270*roll_div_q/q_per_yr</f>
        <v>3.9795</v>
      </c>
    </row>
    <row r="18303" customFormat="false" ht="17.15" hidden="false" customHeight="false" outlineLevel="0" collapsed="false">
      <c r="A18303" s="0" t="s">
        <v>1233</v>
      </c>
      <c r="B18303" s="0" t="s">
        <v>75</v>
      </c>
      <c r="C18303" s="5" t="n">
        <f aca="false">Sens!$C$18301*(1+wacc)^t_roll-Sens!$C$18302</f>
        <v>280.67266317972</v>
      </c>
    </row>
    <row r="18304" customFormat="false" ht="17.15" hidden="false" customHeight="false" outlineLevel="0" collapsed="false">
      <c r="A18304" s="1" t="s">
        <v>1234</v>
      </c>
      <c r="B18304" s="0" t="s">
        <v>168</v>
      </c>
      <c r="F18304" s="7" t="n">
        <f aca="false">Sens!F18256/(Sens!F18201-Sens!F18156)</f>
        <v>0.068677393452264</v>
      </c>
      <c r="G18304" s="7" t="n">
        <f aca="false">Sens!G18256/(Sens!G18201-Sens!G18156)</f>
        <v>0.0663132664471956</v>
      </c>
      <c r="H18304" s="7" t="n">
        <f aca="false">Sens!H18256/(Sens!H18201-Sens!H18156)</f>
        <v>0.0651363826734039</v>
      </c>
      <c r="I18304" s="7" t="n">
        <f aca="false">Sens!I18256/(Sens!I18201-Sens!I18156)</f>
        <v>0.0650087936347709</v>
      </c>
      <c r="J18304" s="7" t="n">
        <f aca="false">Sens!J18256/(Sens!J18201-Sens!J18156)</f>
        <v>0.0657212684841778</v>
      </c>
      <c r="K18304" s="7" t="n">
        <f aca="false">Sens!K18256/(Sens!K18201-Sens!K18156)</f>
        <v>0.0670413306015285</v>
      </c>
    </row>
    <row r="18305" customFormat="false" ht="17.15" hidden="false" customHeight="false" outlineLevel="0" collapsed="false">
      <c r="A18305" s="0" t="s">
        <v>1235</v>
      </c>
      <c r="B18305" s="0" t="s">
        <v>98</v>
      </c>
      <c r="F18305" s="6" t="n">
        <f aca="false">Sens!F18186*(al_m365+Sens!F18304+sbc_r)</f>
        <v>82.9185219618347</v>
      </c>
      <c r="G18305" s="6" t="n">
        <f aca="false">Sens!G18186*(al_m365+Sens!G18304+sbc_r)</f>
        <v>93.3068052157631</v>
      </c>
      <c r="H18305" s="6" t="n">
        <f aca="false">Sens!H18186*(al_m365+Sens!H18304+sbc_r)</f>
        <v>103.856057136159</v>
      </c>
      <c r="I18305" s="6" t="n">
        <f aca="false">Sens!I18186*(al_m365+Sens!I18304+sbc_r)</f>
        <v>113.889717587147</v>
      </c>
      <c r="J18305" s="6" t="n">
        <f aca="false">Sens!J18186*(al_m365+Sens!J18304+sbc_r)</f>
        <v>123.218477864124</v>
      </c>
      <c r="K18305" s="6" t="n">
        <f aca="false">Sens!K18186*(al_m365+Sens!K18304+sbc_r)</f>
        <v>132.149420086311</v>
      </c>
      <c r="L18305" s="12" t="s">
        <v>1236</v>
      </c>
    </row>
    <row r="18306" customFormat="false" ht="17.15" hidden="false" customHeight="false" outlineLevel="0" collapsed="false">
      <c r="A18306" s="0" t="s">
        <v>1237</v>
      </c>
      <c r="B18306" s="0" t="s">
        <v>98</v>
      </c>
      <c r="F18306" s="6" t="n">
        <f aca="false">Sens!F18187*(al_lic+Sens!F18304+sbc_r)</f>
        <v>32.8599853992256</v>
      </c>
      <c r="G18306" s="6" t="n">
        <f aca="false">Sens!G18187*(al_lic+Sens!G18304+sbc_r)</f>
        <v>34.1568280697879</v>
      </c>
      <c r="H18306" s="6" t="n">
        <f aca="false">Sens!H18187*(al_lic+Sens!H18304+sbc_r)</f>
        <v>35.3635535007213</v>
      </c>
      <c r="I18306" s="6" t="n">
        <f aca="false">Sens!I18187*(al_lic+Sens!I18304+sbc_r)</f>
        <v>36.4604537346553</v>
      </c>
      <c r="J18306" s="6" t="n">
        <f aca="false">Sens!J18187*(al_lic+Sens!J18304+sbc_r)</f>
        <v>37.4245888933574</v>
      </c>
      <c r="K18306" s="6" t="n">
        <f aca="false">Sens!K18187*(al_lic+Sens!K18304+sbc_r)</f>
        <v>38.2321483186439</v>
      </c>
    </row>
    <row r="18307" customFormat="false" ht="17.15" hidden="false" customHeight="false" outlineLevel="0" collapsed="false">
      <c r="A18307" s="0" t="s">
        <v>1238</v>
      </c>
      <c r="B18307" s="0" t="s">
        <v>98</v>
      </c>
      <c r="F18307" s="6" t="n">
        <f aca="false">Sens!F18189*(al_ind+Sens!F18304+sbc_r)</f>
        <v>9.06170747885803</v>
      </c>
      <c r="G18307" s="6" t="n">
        <f aca="false">Sens!G18189*(al_ind+Sens!G18304+sbc_r)</f>
        <v>9.8478979082138</v>
      </c>
      <c r="H18307" s="6" t="n">
        <f aca="false">Sens!H18189*(al_ind+Sens!H18304+sbc_r)</f>
        <v>10.6768254332059</v>
      </c>
      <c r="I18307" s="6" t="n">
        <f aca="false">Sens!I18189*(al_ind+Sens!I18304+sbc_r)</f>
        <v>11.54398793803</v>
      </c>
      <c r="J18307" s="6" t="n">
        <f aca="false">Sens!J18189*(al_ind+Sens!J18304+sbc_r)</f>
        <v>12.4407914253112</v>
      </c>
      <c r="K18307" s="6" t="n">
        <f aca="false">Sens!K18189*(al_ind+Sens!K18304+sbc_r)</f>
        <v>13.355239066864</v>
      </c>
    </row>
    <row r="18308" customFormat="false" ht="17.15" hidden="false" customHeight="false" outlineLevel="0" collapsed="false">
      <c r="A18308" s="0" t="s">
        <v>1239</v>
      </c>
      <c r="B18308" s="0" t="s">
        <v>98</v>
      </c>
      <c r="F18308" s="6" t="n">
        <f aca="false">Sens!F18191*(al_fro+Sens!F18304+sbc_r)</f>
        <v>3.55453569939552</v>
      </c>
      <c r="G18308" s="6" t="n">
        <f aca="false">Sens!G18191*(al_fro+Sens!G18304+sbc_r)</f>
        <v>3.76809436159872</v>
      </c>
      <c r="H18308" s="6" t="n">
        <f aca="false">Sens!H18191*(al_fro+Sens!H18304+sbc_r)</f>
        <v>4.00964905674607</v>
      </c>
      <c r="I18308" s="6" t="n">
        <f aca="false">Sens!I18191*(al_fro+Sens!I18304+sbc_r)</f>
        <v>4.28152633145235</v>
      </c>
      <c r="J18308" s="6" t="n">
        <f aca="false">Sens!J18191*(al_fro+Sens!J18304+sbc_r)</f>
        <v>4.58536512975975</v>
      </c>
      <c r="K18308" s="6" t="n">
        <f aca="false">Sens!K18191*(al_fro+Sens!K18304+sbc_r)</f>
        <v>4.92240770086468</v>
      </c>
    </row>
    <row r="18309" customFormat="false" ht="17.15" hidden="false" customHeight="false" outlineLevel="0" collapsed="false">
      <c r="A18309" s="0" t="s">
        <v>1240</v>
      </c>
      <c r="B18309" s="0" t="s">
        <v>98</v>
      </c>
      <c r="F18309" s="6" t="n">
        <f aca="false">Sens!F18194*(al_srch+Sens!F18304+sbc_r)</f>
        <v>11.190683952584</v>
      </c>
      <c r="G18309" s="6" t="n">
        <f aca="false">Sens!G18194*(al_srch+Sens!G18304+sbc_r)</f>
        <v>12.2763328717258</v>
      </c>
      <c r="H18309" s="6" t="n">
        <f aca="false">Sens!H18194*(al_srch+Sens!H18304+sbc_r)</f>
        <v>13.4043563346576</v>
      </c>
      <c r="I18309" s="6" t="n">
        <f aca="false">Sens!I18194*(al_srch+Sens!I18304+sbc_r)</f>
        <v>14.5621512181916</v>
      </c>
      <c r="J18309" s="6" t="n">
        <f aca="false">Sens!J18194*(al_srch+Sens!J18304+sbc_r)</f>
        <v>15.7310381862385</v>
      </c>
      <c r="K18309" s="6" t="n">
        <f aca="false">Sens!K18194*(al_srch+Sens!K18304+sbc_r)</f>
        <v>16.8873320486462</v>
      </c>
    </row>
    <row r="18310" customFormat="false" ht="17.15" hidden="false" customHeight="false" outlineLevel="0" collapsed="false">
      <c r="A18310" s="0" t="s">
        <v>1241</v>
      </c>
      <c r="B18310" s="0" t="s">
        <v>98</v>
      </c>
      <c r="F18310" s="6" t="n">
        <f aca="false">Sens!F18162-Sens!F18163+Sens!F18244</f>
        <v>38.9696429794913</v>
      </c>
      <c r="G18310" s="6" t="n">
        <f aca="false">Sens!G18162-Sens!G18163+Sens!G18244</f>
        <v>69.465497726016</v>
      </c>
      <c r="H18310" s="6" t="n">
        <f aca="false">Sens!H18162-Sens!H18163+Sens!H18244</f>
        <v>96.8147106808268</v>
      </c>
      <c r="I18310" s="6" t="n">
        <f aca="false">Sens!I18162-Sens!I18163+Sens!I18244</f>
        <v>127.654939766446</v>
      </c>
      <c r="J18310" s="6" t="n">
        <f aca="false">Sens!J18162-Sens!J18163+Sens!J18244</f>
        <v>149.308352681229</v>
      </c>
      <c r="K18310" s="6" t="n">
        <f aca="false">Sens!K18162-Sens!K18163+Sens!K18244</f>
        <v>162.731822021841</v>
      </c>
    </row>
    <row r="18311" customFormat="false" ht="17.15" hidden="false" customHeight="false" outlineLevel="0" collapsed="false">
      <c r="A18311" s="0" t="s">
        <v>1242</v>
      </c>
      <c r="B18311" s="0" t="s">
        <v>98</v>
      </c>
      <c r="F18311" s="6" t="n">
        <f aca="false">Sens!F18223+Sens!F18244+Sens!F18174+Sens!F18304*(Sens!F18193-Sens!F18156)+sbc_r*Sens!F18193</f>
        <v>234.79972328186</v>
      </c>
      <c r="G18311" s="6" t="n">
        <f aca="false">Sens!G18223+Sens!G18244+Sens!G18174+Sens!G18304*(Sens!G18193-Sens!G18156)+sbc_r*Sens!G18193</f>
        <v>285.499052659517</v>
      </c>
      <c r="H18311" s="6" t="n">
        <f aca="false">Sens!H18223+Sens!H18244+Sens!H18174+Sens!H18304*(Sens!H18193-Sens!H18156)+sbc_r*Sens!H18193</f>
        <v>338.258569294547</v>
      </c>
      <c r="I18311" s="6" t="n">
        <f aca="false">Sens!I18223+Sens!I18244+Sens!I18174+Sens!I18304*(Sens!I18193-Sens!I18156)+sbc_r*Sens!I18193</f>
        <v>393.887902526982</v>
      </c>
      <c r="J18311" s="6" t="n">
        <f aca="false">Sens!J18223+Sens!J18244+Sens!J18174+Sens!J18304*(Sens!J18193-Sens!J18156)+sbc_r*Sens!J18193</f>
        <v>438.406631506078</v>
      </c>
      <c r="K18311" s="6" t="n">
        <f aca="false">Sens!K18223+Sens!K18244+Sens!K18174+Sens!K18304*(Sens!K18193-Sens!K18156)+sbc_r*Sens!K18193</f>
        <v>472.352875745143</v>
      </c>
    </row>
    <row r="18312" customFormat="false" ht="17.15" hidden="false" customHeight="false" outlineLevel="0" collapsed="false">
      <c r="A18312" s="0" t="s">
        <v>1243</v>
      </c>
      <c r="B18312" s="0" t="s">
        <v>98</v>
      </c>
      <c r="F18312" s="6" t="n">
        <f aca="false">Sens!F18311-Sens!F18305-Sens!F18306-Sens!F18307-Sens!F18308-Sens!F18310</f>
        <v>67.4353297630543</v>
      </c>
      <c r="G18312" s="6" t="n">
        <f aca="false">Sens!G18311-Sens!G18305-Sens!G18306-Sens!G18307-Sens!G18308-Sens!G18310</f>
        <v>74.9539293781376</v>
      </c>
      <c r="H18312" s="6" t="n">
        <f aca="false">Sens!H18311-Sens!H18305-Sens!H18306-Sens!H18307-Sens!H18308-Sens!H18310</f>
        <v>87.537773486888</v>
      </c>
      <c r="I18312" s="6" t="n">
        <f aca="false">Sens!I18311-Sens!I18305-Sens!I18306-Sens!I18307-Sens!I18308-Sens!I18310</f>
        <v>100.057277169252</v>
      </c>
      <c r="J18312" s="6" t="n">
        <f aca="false">Sens!J18311-Sens!J18305-Sens!J18306-Sens!J18307-Sens!J18308-Sens!J18310</f>
        <v>111.429055512297</v>
      </c>
      <c r="K18312" s="6" t="n">
        <f aca="false">Sens!K18311-Sens!K18305-Sens!K18306-Sens!K18307-Sens!K18308-Sens!K18310</f>
        <v>120.961838550618</v>
      </c>
    </row>
    <row r="18313" customFormat="false" ht="17.15" hidden="false" customHeight="false" outlineLevel="0" collapsed="false">
      <c r="A18313" s="0" t="s">
        <v>1244</v>
      </c>
      <c r="B18313" s="0" t="s">
        <v>98</v>
      </c>
      <c r="F18313" s="6" t="n">
        <f aca="false">Sens!F18225+Sens!F18304*Sens!F18200+sbc_r*Sens!F18200</f>
        <v>26.6373549789235</v>
      </c>
      <c r="G18313" s="6" t="n">
        <f aca="false">Sens!G18225+Sens!G18304*Sens!G18200+sbc_r*Sens!G18200</f>
        <v>26.5038922765853</v>
      </c>
      <c r="H18313" s="6" t="n">
        <f aca="false">Sens!H18225+Sens!H18304*Sens!H18200+sbc_r*Sens!H18200</f>
        <v>27.3981100014792</v>
      </c>
      <c r="I18313" s="6" t="n">
        <f aca="false">Sens!I18225+Sens!I18304*Sens!I18200+sbc_r*Sens!I18200</f>
        <v>28.5176442589239</v>
      </c>
      <c r="J18313" s="6" t="n">
        <f aca="false">Sens!J18225+Sens!J18304*Sens!J18200+sbc_r*Sens!J18200</f>
        <v>29.8313998963726</v>
      </c>
      <c r="K18313" s="6" t="n">
        <f aca="false">Sens!K18225+Sens!K18304*Sens!K18200+sbc_r*Sens!K18200</f>
        <v>31.3103466222307</v>
      </c>
    </row>
    <row r="18314" customFormat="false" ht="17.15" hidden="false" customHeight="false" outlineLevel="0" collapsed="false">
      <c r="A18314" s="0" t="s">
        <v>1245</v>
      </c>
      <c r="B18314" s="0" t="s">
        <v>98</v>
      </c>
      <c r="F18314" s="6" t="n">
        <f aca="false">(Sens!F18313-Sens!F18309)*Sens!F18196/(Sens!F18196+Sens!F18198)</f>
        <v>8.72405610479892</v>
      </c>
      <c r="G18314" s="6" t="n">
        <f aca="false">(Sens!G18313-Sens!G18309)*Sens!G18196/(Sens!G18196+Sens!G18198)</f>
        <v>7.897418765869</v>
      </c>
      <c r="H18314" s="6" t="n">
        <f aca="false">(Sens!H18313-Sens!H18309)*Sens!H18196/(Sens!H18196+Sens!H18198)</f>
        <v>7.66644879573063</v>
      </c>
      <c r="I18314" s="6" t="n">
        <f aca="false">(Sens!I18313-Sens!I18309)*Sens!I18196/(Sens!I18196+Sens!I18198)</f>
        <v>7.5787545031814</v>
      </c>
      <c r="J18314" s="6" t="n">
        <f aca="false">(Sens!J18313-Sens!J18309)*Sens!J18196/(Sens!J18196+Sens!J18198)</f>
        <v>7.62401876450459</v>
      </c>
      <c r="K18314" s="6" t="n">
        <f aca="false">(Sens!K18313-Sens!K18309)*Sens!K18196/(Sens!K18196+Sens!K18198)</f>
        <v>7.79847609658838</v>
      </c>
    </row>
    <row r="18315" customFormat="false" ht="17.15" hidden="false" customHeight="false" outlineLevel="0" collapsed="false">
      <c r="A18315" s="0" t="s">
        <v>1246</v>
      </c>
      <c r="B18315" s="0" t="s">
        <v>98</v>
      </c>
      <c r="F18315" s="6" t="n">
        <f aca="false">Sens!F18313-Sens!F18309-Sens!F18314</f>
        <v>6.72261492154066</v>
      </c>
      <c r="G18315" s="6" t="n">
        <f aca="false">Sens!G18313-Sens!G18309-Sens!G18314</f>
        <v>6.33014063899044</v>
      </c>
      <c r="H18315" s="6" t="n">
        <f aca="false">Sens!H18313-Sens!H18309-Sens!H18314</f>
        <v>6.32730487109095</v>
      </c>
      <c r="I18315" s="6" t="n">
        <f aca="false">Sens!I18313-Sens!I18309-Sens!I18314</f>
        <v>6.37673853755084</v>
      </c>
      <c r="J18315" s="6" t="n">
        <f aca="false">Sens!J18313-Sens!J18309-Sens!J18314</f>
        <v>6.47634294562954</v>
      </c>
      <c r="K18315" s="6" t="n">
        <f aca="false">Sens!K18313-Sens!K18309-Sens!K18314</f>
        <v>6.62453847699607</v>
      </c>
    </row>
    <row r="18316" customFormat="false" ht="17.15" hidden="false" customHeight="false" outlineLevel="0" collapsed="false">
      <c r="A18316" s="0" t="s">
        <v>1247</v>
      </c>
      <c r="B18316" s="0" t="s">
        <v>98</v>
      </c>
      <c r="F18316" s="6" t="n">
        <f aca="false">Sens!F18310-tax_f*(Sens!F18310-Sens!F18174)-Sens!F18171</f>
        <v>-130.362326762856</v>
      </c>
      <c r="G18316" s="6" t="n">
        <f aca="false">Sens!G18310-tax_f*(Sens!G18310-Sens!G18174)-Sens!G18171</f>
        <v>-124.225179337776</v>
      </c>
      <c r="H18316" s="6" t="n">
        <f aca="false">Sens!H18310-tax_f*(Sens!H18310-Sens!H18174)-Sens!H18171</f>
        <v>-101.534217387562</v>
      </c>
      <c r="I18316" s="6" t="n">
        <f aca="false">Sens!I18310-tax_f*(Sens!I18310-Sens!I18174)-Sens!I18171</f>
        <v>-43.6446798695439</v>
      </c>
      <c r="J18316" s="6" t="n">
        <f aca="false">Sens!J18310-tax_f*(Sens!J18310-Sens!J18174)-Sens!J18171</f>
        <v>16.9198855589618</v>
      </c>
      <c r="K18316" s="6" t="n">
        <f aca="false">Sens!K18310-tax_f*(Sens!K18310-Sens!K18174)-Sens!K18171</f>
        <v>39.8251384629271</v>
      </c>
    </row>
    <row r="18317" customFormat="false" ht="17.15" hidden="false" customHeight="false" outlineLevel="0" collapsed="false">
      <c r="A18317" s="0" t="s">
        <v>1248</v>
      </c>
      <c r="B18317" s="0" t="s">
        <v>98</v>
      </c>
      <c r="G18317" s="6" t="n">
        <f aca="false">Sens!G18316/(1+wacc)^(Sens!G18287-Sens!F18288)</f>
        <v>-118.286276192192</v>
      </c>
      <c r="H18317" s="6" t="n">
        <f aca="false">Sens!H18316/(1+wacc)^(Sens!H18287-Sens!F18288)</f>
        <v>-87.6570009910427</v>
      </c>
      <c r="I18317" s="6" t="n">
        <f aca="false">Sens!I18316/(1+wacc)^(Sens!I18287-Sens!F18288)</f>
        <v>-34.1629172979204</v>
      </c>
      <c r="J18317" s="6" t="n">
        <f aca="false">Sens!J18316/(1+wacc)^(Sens!J18287-Sens!F18288)</f>
        <v>12.0079954170053</v>
      </c>
      <c r="K18317" s="6" t="n">
        <f aca="false">Sens!K18316/(1+wacc)^(Sens!K18287-Sens!F18288)</f>
        <v>25.6259421582556</v>
      </c>
      <c r="L18317" s="1" t="s">
        <v>1249</v>
      </c>
    </row>
    <row r="18318" customFormat="false" ht="17.15" hidden="false" customHeight="false" outlineLevel="0" collapsed="false">
      <c r="A18318" s="0" t="s">
        <v>1250</v>
      </c>
      <c r="B18318" s="0" t="s">
        <v>98</v>
      </c>
      <c r="C18318" s="6" t="n">
        <f aca="false">(Sens!K18310-Sens!K18174)*(1-tax_f)*(1+g_tv)*(1-g_tv/(wacc+ronic_prem))/(wacc-g_tv)/(1+wacc)^(Sens!K18288-Sens!F18288)</f>
        <v>96.7148026864948</v>
      </c>
    </row>
    <row r="18319" customFormat="false" ht="17.15" hidden="false" customHeight="false" outlineLevel="0" collapsed="false">
      <c r="A18319" s="1" t="s">
        <v>1251</v>
      </c>
      <c r="B18319" s="0" t="s">
        <v>98</v>
      </c>
      <c r="C18319" s="6" t="n">
        <f aca="false">(SUM(Sens!G18317:K18317)+Sens!$C$18318)*(1+wacc)^(t_roll-Sens!F18288)</f>
        <v>-109.248827617462</v>
      </c>
      <c r="L18319" s="12" t="s">
        <v>1252</v>
      </c>
    </row>
    <row r="18320" customFormat="false" ht="17.15" hidden="false" customHeight="false" outlineLevel="0" collapsed="false">
      <c r="A18320" s="1" t="s">
        <v>1253</v>
      </c>
      <c r="B18320" s="0" t="s">
        <v>98</v>
      </c>
      <c r="C18320" s="6" t="n">
        <f aca="false">(w_ntm28*Sens!G18162+(1-w_ntm28)*Sens!H18162)*m_ai</f>
        <v>344.355829012336</v>
      </c>
    </row>
    <row r="18321" customFormat="false" ht="17.15" hidden="false" customHeight="false" outlineLevel="0" collapsed="false">
      <c r="A18321" s="1" t="s">
        <v>1254</v>
      </c>
      <c r="B18321" s="0" t="s">
        <v>98</v>
      </c>
      <c r="C18321" s="6" t="n">
        <f aca="false">(w_ntm28*Sens!G18312+(1-w_ntm28)*Sens!H18312)*m_cloud</f>
        <v>1093.03877543039</v>
      </c>
    </row>
    <row r="18322" customFormat="false" ht="17.15" hidden="false" customHeight="false" outlineLevel="0" collapsed="false">
      <c r="A18322" s="1" t="s">
        <v>1255</v>
      </c>
      <c r="B18322" s="0" t="s">
        <v>98</v>
      </c>
      <c r="C18322" s="6" t="n">
        <f aca="false">(w_ntm28*Sens!G18305+(1-w_ntm28)*Sens!H18305)*m_sw</f>
        <v>1045.17056616266</v>
      </c>
    </row>
    <row r="18323" customFormat="false" ht="17.15" hidden="false" customHeight="false" outlineLevel="0" collapsed="false">
      <c r="A18323" s="1" t="s">
        <v>1256</v>
      </c>
      <c r="B18323" s="0" t="s">
        <v>98</v>
      </c>
      <c r="C18323" s="6" t="n">
        <f aca="false">(w_ntm28*Sens!G18306+(1-w_ntm28)*Sens!H18306)*m_sw</f>
        <v>373.178444957791</v>
      </c>
    </row>
    <row r="18324" customFormat="false" ht="17.15" hidden="false" customHeight="false" outlineLevel="0" collapsed="false">
      <c r="A18324" s="1" t="s">
        <v>1257</v>
      </c>
      <c r="B18324" s="0" t="s">
        <v>98</v>
      </c>
      <c r="C18324" s="6" t="n">
        <f aca="false">(w_ntm28*Sens!G18307+(1-w_ntm28)*Sens!H18307)*m_sw</f>
        <v>109.30055788101</v>
      </c>
    </row>
    <row r="18325" customFormat="false" ht="17.15" hidden="false" customHeight="false" outlineLevel="0" collapsed="false">
      <c r="A18325" s="1" t="s">
        <v>1258</v>
      </c>
      <c r="B18325" s="0" t="s">
        <v>98</v>
      </c>
      <c r="C18325" s="6" t="n">
        <f aca="false">(w_ntm28*Sens!G18308+(1-w_ntm28)*Sens!H18308)*m_sw</f>
        <v>41.5531037214606</v>
      </c>
    </row>
    <row r="18326" customFormat="false" ht="17.15" hidden="false" customHeight="false" outlineLevel="0" collapsed="false">
      <c r="A18326" s="1" t="s">
        <v>1259</v>
      </c>
      <c r="B18326" s="0" t="s">
        <v>98</v>
      </c>
      <c r="C18326" s="6" t="n">
        <f aca="false">(w_ntm28*Sens!G18309+(1-w_ntm28)*Sens!H18309)*m_ads</f>
        <v>115.215899994784</v>
      </c>
    </row>
    <row r="18327" customFormat="false" ht="17.15" hidden="false" customHeight="false" outlineLevel="0" collapsed="false">
      <c r="A18327" s="1" t="s">
        <v>1260</v>
      </c>
      <c r="B18327" s="0" t="s">
        <v>98</v>
      </c>
      <c r="C18327" s="6" t="n">
        <f aca="false">(w_ntm28*Sens!G18314+(1-w_ntm28)*Sens!H18314)*m_game</f>
        <v>98.7853357615783</v>
      </c>
    </row>
    <row r="18328" customFormat="false" ht="17.15" hidden="false" customHeight="false" outlineLevel="0" collapsed="false">
      <c r="A18328" s="1" t="s">
        <v>1261</v>
      </c>
      <c r="B18328" s="0" t="s">
        <v>98</v>
      </c>
      <c r="C18328" s="6" t="n">
        <f aca="false">(w_ntm28*Sens!G18315+(1-w_ntm28)*Sens!H18315)*m_pc</f>
        <v>91.5836445602173</v>
      </c>
    </row>
    <row r="18329" customFormat="false" ht="17.15" hidden="false" customHeight="false" outlineLevel="0" collapsed="false">
      <c r="A18329" s="1" t="s">
        <v>1262</v>
      </c>
      <c r="B18329" s="0" t="s">
        <v>98</v>
      </c>
      <c r="C18329" s="6" t="n">
        <f aca="false">Sens!$C$18319+Sens!$C$18321+Sens!$C$18322+Sens!$C$18323+Sens!$C$18324+Sens!$C$18325+Sens!$C$18326+Sens!$C$18327+Sens!$C$18328</f>
        <v>2858.57750085243</v>
      </c>
    </row>
    <row r="18330" customFormat="false" ht="17.15" hidden="false" customHeight="false" outlineLevel="0" collapsed="false">
      <c r="A18330" s="1" t="s">
        <v>1263</v>
      </c>
      <c r="B18330" s="0" t="s">
        <v>98</v>
      </c>
      <c r="C18330" s="6" t="n">
        <f aca="false">(Sens!G18291-Sens!G18316)*t_stub</f>
        <v>47.4829168796038</v>
      </c>
      <c r="L18330" s="1" t="s">
        <v>1264</v>
      </c>
    </row>
    <row r="18331" customFormat="false" ht="17.15" hidden="false" customHeight="false" outlineLevel="0" collapsed="false">
      <c r="A18331" s="1" t="s">
        <v>1173</v>
      </c>
      <c r="B18331" s="0" t="s">
        <v>98</v>
      </c>
      <c r="C18331" s="6" t="n">
        <f aca="false">Sens!F18278+oai_v-Sens!F18267+Sens!$C$18330</f>
        <v>158.55427008544</v>
      </c>
      <c r="L18331" s="1" t="s">
        <v>1265</v>
      </c>
    </row>
    <row r="18332" customFormat="false" ht="17.15" hidden="false" customHeight="false" outlineLevel="0" collapsed="false">
      <c r="A18332" s="1" t="s">
        <v>1266</v>
      </c>
      <c r="B18332" s="0" t="s">
        <v>75</v>
      </c>
      <c r="C18332" s="5" t="n">
        <f aca="false">(Sens!$C$18329+Sens!$C$18331)/(Sens!F18280+dil_gap)-Sens!G18270*roll_div_q/q_per_yr</f>
        <v>401.459402206225</v>
      </c>
      <c r="L18332" s="1" t="s">
        <v>1267</v>
      </c>
    </row>
    <row r="18333" customFormat="false" ht="17.15" hidden="false" customHeight="false" outlineLevel="0" collapsed="false">
      <c r="A18333" s="1" t="s">
        <v>1268</v>
      </c>
      <c r="B18333" s="0" t="s">
        <v>75</v>
      </c>
      <c r="C18333" s="5" t="n">
        <f aca="false">w_dcf*Sens!$C$18303+(1-w_dcf)*Sens!$C$18332</f>
        <v>341.066032692973</v>
      </c>
    </row>
    <row r="18334" customFormat="false" ht="17.15" hidden="false" customHeight="false" outlineLevel="0" collapsed="false">
      <c r="A18334" s="3" t="s">
        <v>2064</v>
      </c>
    </row>
    <row r="18335" customFormat="false" ht="15" hidden="false" customHeight="false" outlineLevel="0" collapsed="false">
      <c r="A18335" s="4" t="s">
        <v>43</v>
      </c>
      <c r="B18335" s="4" t="s">
        <v>65</v>
      </c>
      <c r="C18335" s="23" t="s">
        <v>942</v>
      </c>
      <c r="D18335" s="23" t="s">
        <v>943</v>
      </c>
      <c r="E18335" s="23" t="s">
        <v>944</v>
      </c>
      <c r="F18335" s="23" t="s">
        <v>945</v>
      </c>
      <c r="G18335" s="23" t="s">
        <v>946</v>
      </c>
      <c r="H18335" s="23" t="s">
        <v>947</v>
      </c>
      <c r="I18335" s="23" t="s">
        <v>948</v>
      </c>
      <c r="J18335" s="23" t="s">
        <v>949</v>
      </c>
      <c r="K18335" s="23" t="s">
        <v>950</v>
      </c>
      <c r="L18335" s="4" t="s">
        <v>47</v>
      </c>
    </row>
    <row r="18336" customFormat="false" ht="17.15" hidden="false" customHeight="false" outlineLevel="0" collapsed="false">
      <c r="A18336" s="1" t="s">
        <v>951</v>
      </c>
      <c r="B18336" s="1" t="s">
        <v>279</v>
      </c>
      <c r="C18336" s="21" t="n">
        <v>2024</v>
      </c>
      <c r="D18336" s="21" t="n">
        <v>2025</v>
      </c>
      <c r="E18336" s="21" t="n">
        <v>2026</v>
      </c>
      <c r="F18336" s="21" t="n">
        <v>2027</v>
      </c>
      <c r="G18336" s="21" t="n">
        <v>2028</v>
      </c>
      <c r="H18336" s="21" t="n">
        <v>2029</v>
      </c>
      <c r="I18336" s="21" t="n">
        <v>2030</v>
      </c>
      <c r="J18336" s="21" t="n">
        <v>2031</v>
      </c>
      <c r="K18336" s="21" t="n">
        <v>2032</v>
      </c>
    </row>
    <row r="18337" customFormat="false" ht="17.15" hidden="false" customHeight="false" outlineLevel="0" collapsed="false">
      <c r="A18337" s="1" t="s">
        <v>952</v>
      </c>
      <c r="B18337" s="0" t="s">
        <v>459</v>
      </c>
      <c r="F18337" s="30" t="n">
        <f aca="false">pace</f>
        <v>2726.5351</v>
      </c>
      <c r="G18337" s="30" t="n">
        <f aca="false">pace</f>
        <v>2726.5351</v>
      </c>
      <c r="H18337" s="30" t="n">
        <f aca="false">pace</f>
        <v>2726.5351</v>
      </c>
      <c r="I18337" s="30" t="n">
        <f aca="false">pace+(g_tv*Sens!H18338-pace)*MIN(1,(Sens!I18336-pace_y0)/(pace_y1-pace_y0))</f>
        <v>1931.98611966667</v>
      </c>
      <c r="J18337" s="30" t="n">
        <f aca="false">pace+(g_tv*Sens!I18338-pace)*MIN(1,(Sens!J18336-pace_y0)/(pace_y1-pace_y0))</f>
        <v>1176.07686172667</v>
      </c>
      <c r="K18337" s="30" t="n">
        <f aca="false">pace+(g_tv*Sens!J18338-pace)*MIN(1,(Sens!K18336-pace_y0)/(pace_y1-pace_y0))</f>
        <v>436.1300484418</v>
      </c>
      <c r="L18337" s="12" t="s">
        <v>953</v>
      </c>
    </row>
    <row r="18338" customFormat="false" ht="17.15" hidden="false" customHeight="false" outlineLevel="0" collapsed="false">
      <c r="A18338" s="1" t="s">
        <v>954</v>
      </c>
      <c r="B18338" s="0" t="s">
        <v>459</v>
      </c>
      <c r="C18338" s="30" t="n">
        <f aca="false">mw_ext_24</f>
        <v>640</v>
      </c>
      <c r="D18338" s="30" t="n">
        <f aca="false">mw_ext_25</f>
        <v>1630</v>
      </c>
      <c r="E18338" s="30" t="n">
        <f aca="false">mw_ext_26</f>
        <v>3250</v>
      </c>
      <c r="F18338" s="30" t="n">
        <f aca="false">Sens!E18338+Sens!F18337</f>
        <v>5976.5351</v>
      </c>
      <c r="G18338" s="30" t="n">
        <f aca="false">Sens!F18338+Sens!G18337</f>
        <v>8703.0702</v>
      </c>
      <c r="H18338" s="30" t="n">
        <f aca="false">Sens!G18338+Sens!H18337</f>
        <v>11429.6053</v>
      </c>
      <c r="I18338" s="30" t="n">
        <f aca="false">Sens!H18338+Sens!I18337</f>
        <v>13361.5914196667</v>
      </c>
      <c r="J18338" s="30" t="n">
        <f aca="false">Sens!I18338+Sens!J18337</f>
        <v>14537.6682813933</v>
      </c>
      <c r="K18338" s="30" t="n">
        <f aca="false">Sens!J18338+Sens!K18337</f>
        <v>14973.7983298351</v>
      </c>
      <c r="L18338" s="1" t="s">
        <v>955</v>
      </c>
    </row>
    <row r="18339" customFormat="false" ht="17.15" hidden="false" customHeight="false" outlineLevel="0" collapsed="false">
      <c r="A18339" s="1" t="s">
        <v>956</v>
      </c>
      <c r="B18339" s="0" t="s">
        <v>459</v>
      </c>
      <c r="C18339" s="30" t="n">
        <f aca="false">rent_ext_24</f>
        <v>150</v>
      </c>
      <c r="D18339" s="30" t="n">
        <f aca="false">rent_ext_25</f>
        <v>400</v>
      </c>
      <c r="E18339" s="30" t="n">
        <f aca="false">rent_ext_26</f>
        <v>550</v>
      </c>
      <c r="F18339" s="30" t="n">
        <f aca="false">rent_ext_f</f>
        <v>756</v>
      </c>
      <c r="G18339" s="30" t="n">
        <f aca="false">rent_ext_f</f>
        <v>756</v>
      </c>
      <c r="H18339" s="30" t="n">
        <f aca="false">rent_ext_f</f>
        <v>756</v>
      </c>
      <c r="I18339" s="30" t="n">
        <f aca="false">rent_ext_f</f>
        <v>756</v>
      </c>
      <c r="J18339" s="30" t="n">
        <f aca="false">rent_ext_f</f>
        <v>756</v>
      </c>
      <c r="K18339" s="30" t="n">
        <f aca="false">rent_ext_f</f>
        <v>756</v>
      </c>
      <c r="L18339" s="1" t="s">
        <v>957</v>
      </c>
    </row>
    <row r="18340" customFormat="false" ht="17.15" hidden="false" customHeight="false" outlineLevel="0" collapsed="false">
      <c r="A18340" s="1" t="s">
        <v>958</v>
      </c>
      <c r="B18340" s="0" t="s">
        <v>459</v>
      </c>
      <c r="C18340" s="30" t="n">
        <f aca="false">Sens!C18338-Sens!C18339</f>
        <v>490</v>
      </c>
      <c r="D18340" s="30" t="n">
        <f aca="false">Sens!D18338-Sens!D18339</f>
        <v>1230</v>
      </c>
      <c r="E18340" s="30" t="n">
        <f aca="false">Sens!E18338-Sens!E18339</f>
        <v>2700</v>
      </c>
      <c r="F18340" s="30" t="n">
        <f aca="false">Sens!F18338-Sens!F18339</f>
        <v>5220.5351</v>
      </c>
      <c r="G18340" s="30" t="n">
        <f aca="false">Sens!G18338-Sens!G18339</f>
        <v>7947.0702</v>
      </c>
      <c r="H18340" s="30" t="n">
        <f aca="false">Sens!H18338-Sens!H18339</f>
        <v>10673.6053</v>
      </c>
      <c r="I18340" s="30" t="n">
        <f aca="false">Sens!I18338-Sens!I18339</f>
        <v>12605.5914196667</v>
      </c>
      <c r="J18340" s="30" t="n">
        <f aca="false">Sens!J18338-Sens!J18339</f>
        <v>13781.6682813933</v>
      </c>
      <c r="K18340" s="30" t="n">
        <f aca="false">Sens!K18338-Sens!K18339</f>
        <v>14217.7983298351</v>
      </c>
    </row>
    <row r="18341" customFormat="false" ht="17.15" hidden="false" customHeight="false" outlineLevel="0" collapsed="false">
      <c r="A18341" s="1" t="s">
        <v>959</v>
      </c>
      <c r="B18341" s="0" t="s">
        <v>459</v>
      </c>
      <c r="C18341" s="30" t="n">
        <f aca="false">Sens!C18340/ext_sh</f>
        <v>816.666666666667</v>
      </c>
      <c r="D18341" s="30" t="n">
        <f aca="false">Sens!D18340/ext_sh</f>
        <v>2050</v>
      </c>
      <c r="E18341" s="30" t="n">
        <f aca="false">Sens!E18340/ext_sh</f>
        <v>4500</v>
      </c>
      <c r="F18341" s="30" t="n">
        <f aca="false">Sens!F18340/ext_sh</f>
        <v>8700.89183333333</v>
      </c>
      <c r="G18341" s="30" t="n">
        <f aca="false">Sens!G18340/ext_sh</f>
        <v>13245.117</v>
      </c>
      <c r="H18341" s="30" t="n">
        <f aca="false">Sens!H18340/ext_sh</f>
        <v>17789.3421666667</v>
      </c>
      <c r="I18341" s="30" t="n">
        <f aca="false">Sens!I18340/ext_sh</f>
        <v>21009.3190327778</v>
      </c>
      <c r="J18341" s="30" t="n">
        <f aca="false">Sens!J18340/ext_sh</f>
        <v>22969.4471356556</v>
      </c>
      <c r="K18341" s="30" t="n">
        <f aca="false">Sens!K18340/ext_sh</f>
        <v>23696.3305497252</v>
      </c>
      <c r="L18341" s="1" t="s">
        <v>960</v>
      </c>
    </row>
    <row r="18342" customFormat="false" ht="17.15" hidden="false" customHeight="false" outlineLevel="0" collapsed="false">
      <c r="A18342" s="1" t="s">
        <v>961</v>
      </c>
      <c r="B18342" s="0" t="s">
        <v>459</v>
      </c>
      <c r="C18342" s="30" t="n">
        <f aca="false">Sens!C18341-Sens!C18340</f>
        <v>326.666666666667</v>
      </c>
      <c r="D18342" s="30" t="n">
        <f aca="false">Sens!D18341-Sens!D18340</f>
        <v>820</v>
      </c>
      <c r="E18342" s="30" t="n">
        <f aca="false">Sens!E18341-Sens!E18340</f>
        <v>1800</v>
      </c>
      <c r="F18342" s="30" t="n">
        <f aca="false">Sens!F18341-Sens!F18340</f>
        <v>3480.35673333333</v>
      </c>
      <c r="G18342" s="30" t="n">
        <f aca="false">Sens!G18341-Sens!G18340</f>
        <v>5298.0468</v>
      </c>
      <c r="H18342" s="30" t="n">
        <f aca="false">Sens!H18341-Sens!H18340</f>
        <v>7115.73686666667</v>
      </c>
      <c r="I18342" s="30" t="n">
        <f aca="false">Sens!I18341-Sens!I18340</f>
        <v>8403.72761311111</v>
      </c>
      <c r="J18342" s="30" t="n">
        <f aca="false">Sens!J18341-Sens!J18340</f>
        <v>9187.77885426222</v>
      </c>
      <c r="K18342" s="30" t="n">
        <f aca="false">Sens!K18341-Sens!K18340</f>
        <v>9478.53221989009</v>
      </c>
    </row>
    <row r="18343" customFormat="false" ht="17.15" hidden="false" customHeight="false" outlineLevel="0" collapsed="false">
      <c r="A18343" s="1" t="s">
        <v>962</v>
      </c>
      <c r="B18343" s="0" t="s">
        <v>459</v>
      </c>
      <c r="C18343" s="30" t="n">
        <f aca="false">Sens!C18341</f>
        <v>816.666666666667</v>
      </c>
      <c r="D18343" s="30" t="n">
        <f aca="false">Sens!D18341-Sens!C18341</f>
        <v>1233.33333333333</v>
      </c>
      <c r="E18343" s="30" t="n">
        <f aca="false">Sens!E18341-Sens!D18341</f>
        <v>2450</v>
      </c>
      <c r="F18343" s="30" t="n">
        <f aca="false">Sens!F18341-Sens!E18341</f>
        <v>4200.89183333333</v>
      </c>
      <c r="G18343" s="30" t="n">
        <f aca="false">Sens!G18341-Sens!F18341</f>
        <v>4544.22516666667</v>
      </c>
      <c r="H18343" s="30" t="n">
        <f aca="false">Sens!H18341-Sens!G18341</f>
        <v>4544.22516666667</v>
      </c>
      <c r="I18343" s="30" t="n">
        <f aca="false">Sens!I18341-Sens!H18341</f>
        <v>3219.97686611111</v>
      </c>
      <c r="J18343" s="30" t="n">
        <f aca="false">Sens!J18341-Sens!I18341</f>
        <v>1960.12810287778</v>
      </c>
      <c r="K18343" s="30" t="n">
        <f aca="false">Sens!K18341-Sens!J18341</f>
        <v>726.883414069667</v>
      </c>
    </row>
    <row r="18344" customFormat="false" ht="17.15" hidden="false" customHeight="false" outlineLevel="0" collapsed="false">
      <c r="A18344" s="1" t="s">
        <v>963</v>
      </c>
      <c r="B18344" s="0" t="s">
        <v>459</v>
      </c>
      <c r="D18344" s="30" t="n">
        <f aca="false">Sens!D18338-Sens!C18338</f>
        <v>990</v>
      </c>
      <c r="E18344" s="30" t="n">
        <f aca="false">Sens!E18338-Sens!D18338</f>
        <v>1620</v>
      </c>
      <c r="F18344" s="30" t="n">
        <f aca="false">Sens!F18338-Sens!E18338</f>
        <v>2726.5351</v>
      </c>
      <c r="G18344" s="30" t="n">
        <f aca="false">Sens!G18338-Sens!F18338</f>
        <v>2726.5351</v>
      </c>
      <c r="H18344" s="30" t="n">
        <f aca="false">Sens!H18338-Sens!G18338</f>
        <v>2726.5351</v>
      </c>
      <c r="I18344" s="30" t="n">
        <f aca="false">Sens!I18338-Sens!H18338</f>
        <v>1931.98611966667</v>
      </c>
      <c r="J18344" s="30" t="n">
        <f aca="false">Sens!J18338-Sens!I18338</f>
        <v>1176.07686172667</v>
      </c>
      <c r="K18344" s="30" t="n">
        <f aca="false">Sens!K18338-Sens!J18338</f>
        <v>436.130048441799</v>
      </c>
    </row>
    <row r="18345" customFormat="false" ht="17.15" hidden="false" customHeight="false" outlineLevel="0" collapsed="false">
      <c r="A18345" s="1" t="s">
        <v>964</v>
      </c>
      <c r="B18345" s="0" t="s">
        <v>459</v>
      </c>
      <c r="F18345" s="30" t="n">
        <f aca="false">Sens!F18364*ext_sh</f>
        <v>0</v>
      </c>
      <c r="G18345" s="30" t="n">
        <f aca="false">Sens!G18364*ext_sh</f>
        <v>0</v>
      </c>
      <c r="H18345" s="30" t="n">
        <f aca="false">Sens!H18364*ext_sh</f>
        <v>0</v>
      </c>
      <c r="I18345" s="30" t="n">
        <f aca="false">Sens!I18364*ext_sh</f>
        <v>490</v>
      </c>
      <c r="J18345" s="30" t="n">
        <f aca="false">Sens!J18364*ext_sh</f>
        <v>740</v>
      </c>
      <c r="K18345" s="30" t="n">
        <f aca="false">Sens!K18364*ext_sh</f>
        <v>1470</v>
      </c>
      <c r="L18345" s="1" t="s">
        <v>965</v>
      </c>
    </row>
    <row r="18346" customFormat="false" ht="17.15" hidden="false" customHeight="false" outlineLevel="0" collapsed="false">
      <c r="A18346" s="1" t="s">
        <v>966</v>
      </c>
      <c r="B18346" s="0" t="s">
        <v>459</v>
      </c>
      <c r="C18346" s="30" t="n">
        <f aca="false">mix_h*Sens!C18338</f>
        <v>128</v>
      </c>
      <c r="D18346" s="30" t="n">
        <f aca="false">mix_h*Sens!D18338</f>
        <v>326</v>
      </c>
      <c r="E18346" s="30" t="n">
        <f aca="false">mix_h*Sens!E18338</f>
        <v>650</v>
      </c>
      <c r="F18346" s="30" t="n">
        <f aca="false">Sens!E18346-Sens!F18345*mix_h</f>
        <v>650</v>
      </c>
      <c r="G18346" s="30" t="n">
        <f aca="false">Sens!F18346-Sens!G18345*mix_h</f>
        <v>650</v>
      </c>
      <c r="H18346" s="30" t="n">
        <f aca="false">Sens!G18346-Sens!H18345*mix_h</f>
        <v>650</v>
      </c>
      <c r="I18346" s="30" t="n">
        <f aca="false">Sens!H18346-Sens!I18345*mix_h</f>
        <v>552</v>
      </c>
      <c r="J18346" s="30" t="n">
        <f aca="false">Sens!I18346-Sens!J18345*mix_h</f>
        <v>404</v>
      </c>
      <c r="K18346" s="30" t="n">
        <f aca="false">Sens!J18346-Sens!K18345*mix_h</f>
        <v>110</v>
      </c>
    </row>
    <row r="18347" customFormat="false" ht="17.15" hidden="false" customHeight="false" outlineLevel="0" collapsed="false">
      <c r="A18347" s="1" t="s">
        <v>967</v>
      </c>
      <c r="B18347" s="0" t="s">
        <v>459</v>
      </c>
      <c r="C18347" s="30" t="n">
        <f aca="false">mix_g2*Sens!C18338</f>
        <v>288</v>
      </c>
      <c r="D18347" s="30" t="n">
        <f aca="false">mix_g2*Sens!D18338</f>
        <v>733.5</v>
      </c>
      <c r="E18347" s="30" t="n">
        <f aca="false">mix_g2*Sens!E18338</f>
        <v>1462.5</v>
      </c>
      <c r="F18347" s="30" t="n">
        <f aca="false">Sens!E18347-Sens!F18345*mix_g2</f>
        <v>1462.5</v>
      </c>
      <c r="G18347" s="30" t="n">
        <f aca="false">Sens!F18347-Sens!G18345*mix_g2</f>
        <v>1462.5</v>
      </c>
      <c r="H18347" s="30" t="n">
        <f aca="false">Sens!G18347-Sens!H18345*mix_g2</f>
        <v>1462.5</v>
      </c>
      <c r="I18347" s="30" t="n">
        <f aca="false">Sens!H18347-Sens!I18345*mix_g2</f>
        <v>1242</v>
      </c>
      <c r="J18347" s="30" t="n">
        <f aca="false">Sens!I18347-Sens!J18345*mix_g2</f>
        <v>909</v>
      </c>
      <c r="K18347" s="30" t="n">
        <f aca="false">Sens!J18347-Sens!K18345*mix_g2</f>
        <v>247.5</v>
      </c>
    </row>
    <row r="18348" customFormat="false" ht="17.15" hidden="false" customHeight="false" outlineLevel="0" collapsed="false">
      <c r="A18348" s="1" t="s">
        <v>968</v>
      </c>
      <c r="B18348" s="0" t="s">
        <v>459</v>
      </c>
      <c r="C18348" s="30" t="n">
        <f aca="false">mix_g3*Sens!C18338</f>
        <v>224</v>
      </c>
      <c r="D18348" s="30" t="n">
        <f aca="false">mix_g3*Sens!D18338</f>
        <v>570.5</v>
      </c>
      <c r="E18348" s="30" t="n">
        <f aca="false">mix_g3*Sens!E18338</f>
        <v>1137.5</v>
      </c>
      <c r="F18348" s="30" t="n">
        <f aca="false">Sens!E18348+(Sens!F18344+Sens!F18345)*(a_g3_27-nonnv*a_mai)-Sens!F18345*mix_g3</f>
        <v>2773.42106</v>
      </c>
      <c r="G18348" s="30" t="n">
        <f aca="false">Sens!F18348+(Sens!G18344+Sens!G18345)*(a_g3_28-nonnv*a_mai)-Sens!G18345*mix_g3</f>
        <v>3318.72808</v>
      </c>
      <c r="H18348" s="30" t="n">
        <f aca="false">Sens!G18348+(Sens!H18344+Sens!H18345)*(a_g3_29-nonnv*a_mai)-Sens!H18345*mix_g3</f>
        <v>3318.72808</v>
      </c>
      <c r="I18348" s="30" t="n">
        <f aca="false">Sens!H18348+(Sens!I18344+Sens!I18345)*(a_g3_29-nonnv*a_mai)-Sens!I18345*mix_g3</f>
        <v>3147.22808</v>
      </c>
      <c r="J18348" s="30" t="n">
        <f aca="false">Sens!I18348+(Sens!J18344+Sens!J18345)*(a_g3_29-nonnv*a_mai)-Sens!J18345*mix_g3</f>
        <v>2888.22808</v>
      </c>
      <c r="K18348" s="30" t="n">
        <f aca="false">Sens!J18348+(Sens!K18344+Sens!K18345)*(a_g3_29-nonnv*a_mai)-Sens!K18345*mix_g3</f>
        <v>2373.72808</v>
      </c>
    </row>
    <row r="18349" customFormat="false" ht="17.15" hidden="false" customHeight="false" outlineLevel="0" collapsed="false">
      <c r="A18349" s="1" t="s">
        <v>969</v>
      </c>
      <c r="B18349" s="0" t="s">
        <v>459</v>
      </c>
      <c r="C18349" s="30" t="n">
        <v>0</v>
      </c>
      <c r="D18349" s="30" t="n">
        <v>0</v>
      </c>
      <c r="E18349" s="30" t="n">
        <v>0</v>
      </c>
      <c r="F18349" s="30" t="n">
        <f aca="false">Sens!E18349+(Sens!F18344+Sens!F18345)*nonnv*a_mai</f>
        <v>272.65351</v>
      </c>
      <c r="G18349" s="30" t="n">
        <f aca="false">Sens!F18349+(Sens!G18344+Sens!G18345)*nonnv*a_mai</f>
        <v>545.30702</v>
      </c>
      <c r="H18349" s="30" t="n">
        <f aca="false">Sens!G18349+(Sens!H18344+Sens!H18345)*nonnv*a_mai</f>
        <v>817.96053</v>
      </c>
      <c r="I18349" s="30" t="n">
        <f aca="false">Sens!H18349+(Sens!I18344+Sens!I18345)*nonnv*a_mai</f>
        <v>1060.15914196667</v>
      </c>
      <c r="J18349" s="30" t="n">
        <f aca="false">Sens!I18349+(Sens!J18344+Sens!J18345)*nonnv*a_mai</f>
        <v>1251.76682813933</v>
      </c>
      <c r="K18349" s="30" t="n">
        <f aca="false">Sens!J18349+(Sens!K18344+Sens!K18345)*nonnv*a_mai</f>
        <v>1442.37983298351</v>
      </c>
      <c r="L18349" s="12" t="s">
        <v>970</v>
      </c>
    </row>
    <row r="18350" customFormat="false" ht="17.15" hidden="false" customHeight="false" outlineLevel="0" collapsed="false">
      <c r="A18350" s="1" t="s">
        <v>971</v>
      </c>
      <c r="B18350" s="0" t="s">
        <v>459</v>
      </c>
      <c r="C18350" s="30" t="n">
        <v>0</v>
      </c>
      <c r="D18350" s="30" t="n">
        <v>0</v>
      </c>
      <c r="E18350" s="30" t="n">
        <v>0</v>
      </c>
      <c r="F18350" s="30" t="n">
        <f aca="false">Sens!E18350+(Sens!F18344+Sens!F18345)*(1-a_g3_27)</f>
        <v>817.96053</v>
      </c>
      <c r="G18350" s="30" t="n">
        <f aca="false">Sens!F18350+(Sens!G18344+Sens!G18345)*(1-a_g3_28)</f>
        <v>2726.5351</v>
      </c>
      <c r="H18350" s="30" t="n">
        <f aca="false">Sens!G18350+(Sens!H18344+Sens!H18345)*(1-a_g3_29)</f>
        <v>5180.41669</v>
      </c>
      <c r="I18350" s="30" t="n">
        <f aca="false">Sens!H18350+(Sens!I18344+Sens!I18345)*(1-a_g3_29)</f>
        <v>7360.2041977</v>
      </c>
      <c r="J18350" s="30" t="n">
        <f aca="false">Sens!I18350+(Sens!J18344+Sens!J18345)*(1-a_g3_29)</f>
        <v>9084.673373254</v>
      </c>
      <c r="K18350" s="30" t="n">
        <f aca="false">Sens!J18350+(Sens!K18344+Sens!K18345)*(1-a_g3_29)</f>
        <v>10800.1904168516</v>
      </c>
    </row>
    <row r="18351" customFormat="false" ht="17.15" hidden="false" customHeight="false" outlineLevel="0" collapsed="false">
      <c r="A18351" s="1" t="s">
        <v>972</v>
      </c>
      <c r="B18351" s="0" t="s">
        <v>403</v>
      </c>
      <c r="C18351" s="15" t="n">
        <f aca="false">(Sens!C18346*tk_hold_h100+Sens!C18347*tk_hold_gb200+Sens!C18348*tk_hold_gb300+Sens!C18350*tk_hold_vr200+Sens!C18349*nv_hold_mai*tk_hold_vr200)/Sens!C18338</f>
        <v>9.7235358126469</v>
      </c>
      <c r="D18351" s="15" t="n">
        <f aca="false">(Sens!D18346*tk_hold_h100+Sens!D18347*tk_hold_gb200+Sens!D18348*tk_hold_gb300+Sens!D18350*tk_hold_vr200+Sens!D18349*nv_hold_mai*tk_hold_vr200)/Sens!D18338</f>
        <v>9.7235358126469</v>
      </c>
      <c r="E18351" s="15" t="n">
        <f aca="false">(Sens!E18346*tk_hold_h100+Sens!E18347*tk_hold_gb200+Sens!E18348*tk_hold_gb300+Sens!E18350*tk_hold_vr200+Sens!E18349*nv_hold_mai*tk_hold_vr200)/Sens!E18338</f>
        <v>9.7235358126469</v>
      </c>
      <c r="F18351" s="15" t="n">
        <f aca="false">(Sens!F18346*tk_hold_h100+Sens!F18347*tk_hold_gb200+Sens!F18348*tk_hold_gb300+Sens!F18350*tk_hold_vr200+Sens!F18349*nv_hold_mai*tk_hold_vr200)/Sens!F18338</f>
        <v>10.2195353876665</v>
      </c>
      <c r="G18351" s="15" t="n">
        <f aca="false">(Sens!G18346*tk_hold_h100+Sens!G18347*tk_hold_gb200+Sens!G18348*tk_hold_gb300+Sens!G18350*tk_hold_vr200+Sens!G18349*nv_hold_mai*tk_hold_vr200)/Sens!G18338</f>
        <v>10.5725598017306</v>
      </c>
      <c r="H18351" s="15" t="n">
        <f aca="false">(Sens!H18346*tk_hold_h100+Sens!H18347*tk_hold_gb200+Sens!H18348*tk_hold_gb300+Sens!H18350*tk_hold_vr200+Sens!H18349*nv_hold_mai*tk_hold_vr200)/Sens!H18338</f>
        <v>10.8210427149036</v>
      </c>
      <c r="I18351" s="15" t="n">
        <f aca="false">(Sens!I18346*tk_hold_h100+Sens!I18347*tk_hold_gb200+Sens!I18348*tk_hold_gb300+Sens!I18350*tk_hold_vr200+Sens!I18349*nv_hold_mai*tk_hold_vr200)/Sens!I18338</f>
        <v>11.0050618241982</v>
      </c>
      <c r="J18351" s="15" t="n">
        <f aca="false">(Sens!J18346*tk_hold_h100+Sens!J18347*tk_hold_gb200+Sens!J18348*tk_hold_gb300+Sens!J18350*tk_hold_vr200+Sens!J18349*nv_hold_mai*tk_hold_vr200)/Sens!J18338</f>
        <v>11.1505789658881</v>
      </c>
      <c r="K18351" s="15" t="n">
        <f aca="false">(Sens!K18346*tk_hold_h100+Sens!K18347*tk_hold_gb200+Sens!K18348*tk_hold_gb300+Sens!K18350*tk_hold_vr200+Sens!K18349*nv_hold_mai*tk_hold_vr200)/Sens!K18338</f>
        <v>11.3496914757183</v>
      </c>
      <c r="L18351" s="1" t="s">
        <v>973</v>
      </c>
    </row>
    <row r="18352" customFormat="false" ht="17.15" hidden="false" customHeight="false" outlineLevel="0" collapsed="false">
      <c r="A18352" s="1" t="s">
        <v>974</v>
      </c>
      <c r="B18352" s="0" t="s">
        <v>403</v>
      </c>
      <c r="C18352" s="15" t="n">
        <f aca="false">(Sens!C18346*tk_hold_h100+Sens!C18347*tk_hold_gb200+Sens!C18348*tk_hold_gb300+Sens!C18350*tk_hold_vr200+Sens!C18349*nv_out_mai*tk_hold_vr200)/Sens!C18338</f>
        <v>9.7235358126469</v>
      </c>
      <c r="D18352" s="15" t="n">
        <f aca="false">(Sens!D18346*tk_hold_h100+Sens!D18347*tk_hold_gb200+Sens!D18348*tk_hold_gb300+Sens!D18350*tk_hold_vr200+Sens!D18349*nv_out_mai*tk_hold_vr200)/Sens!D18338</f>
        <v>9.7235358126469</v>
      </c>
      <c r="E18352" s="15" t="n">
        <f aca="false">(Sens!E18346*tk_hold_h100+Sens!E18347*tk_hold_gb200+Sens!E18348*tk_hold_gb300+Sens!E18350*tk_hold_vr200+Sens!E18349*nv_out_mai*tk_hold_vr200)/Sens!E18338</f>
        <v>9.7235358126469</v>
      </c>
      <c r="F18352" s="15" t="n">
        <f aca="false">(Sens!F18346*tk_hold_h100+Sens!F18347*tk_hold_gb200+Sens!F18348*tk_hold_gb300+Sens!F18350*tk_hold_vr200+Sens!F18349*nv_out_mai*tk_hold_vr200)/Sens!F18338</f>
        <v>10.247422093969</v>
      </c>
      <c r="G18352" s="15" t="n">
        <f aca="false">(Sens!G18346*tk_hold_h100+Sens!G18347*tk_hold_gb200+Sens!G18348*tk_hold_gb300+Sens!G18350*tk_hold_vr200+Sens!G18349*nv_out_mai*tk_hold_vr200)/Sens!G18338</f>
        <v>10.6108602808053</v>
      </c>
      <c r="H18352" s="15" t="n">
        <f aca="false">(Sens!H18346*tk_hold_h100+Sens!H18347*tk_hold_gb200+Sens!H18348*tk_hold_gb300+Sens!H18350*tk_hold_vr200+Sens!H18349*nv_out_mai*tk_hold_vr200)/Sens!H18338</f>
        <v>10.8647885507393</v>
      </c>
      <c r="I18352" s="15" t="n">
        <f aca="false">(Sens!I18346*tk_hold_h100+Sens!I18347*tk_hold_gb200+Sens!I18348*tk_hold_gb300+Sens!I18350*tk_hold_vr200+Sens!I18349*nv_out_mai*tk_hold_vr200)/Sens!I18338</f>
        <v>11.0535625770025</v>
      </c>
      <c r="J18352" s="15" t="n">
        <f aca="false">(Sens!J18346*tk_hold_h100+Sens!J18347*tk_hold_gb200+Sens!J18348*tk_hold_gb300+Sens!J18350*tk_hold_vr200+Sens!J18349*nv_out_mai*tk_hold_vr200)/Sens!J18338</f>
        <v>11.2032127128058</v>
      </c>
      <c r="K18352" s="15" t="n">
        <f aca="false">(Sens!K18346*tk_hold_h100+Sens!K18347*tk_hold_gb200+Sens!K18348*tk_hold_gb300+Sens!K18350*tk_hold_vr200+Sens!K18349*nv_out_mai*tk_hold_vr200)/Sens!K18338</f>
        <v>11.4085735724225</v>
      </c>
      <c r="L18352" s="12" t="s">
        <v>975</v>
      </c>
    </row>
    <row r="18353" customFormat="false" ht="17.15" hidden="false" customHeight="false" outlineLevel="0" collapsed="false">
      <c r="A18353" s="0" t="s">
        <v>976</v>
      </c>
      <c r="B18353" s="0" t="s">
        <v>229</v>
      </c>
      <c r="C18353" s="15" t="n">
        <f aca="false">k_B</f>
        <v>1.17213932619116</v>
      </c>
      <c r="D18353" s="15" t="n">
        <f aca="false">k_B</f>
        <v>1.17213932619116</v>
      </c>
      <c r="E18353" s="15" t="n">
        <f aca="false">k_B</f>
        <v>1.17213932619116</v>
      </c>
      <c r="F18353" s="15" t="n">
        <f aca="false">(k_B+((ls_A*k_long+(1-ls_A)*k_spot)-k_B)*MIN(1,(Sens!F18336-base_fy)/k_ramp))</f>
        <v>1.25022828131298</v>
      </c>
      <c r="G18353" s="15" t="n">
        <f aca="false">(k_B+((ls_A*k_long+(1-ls_A)*k_spot)-k_B)*MIN(1,(Sens!G18336-base_fy)/k_ramp))</f>
        <v>1.3283172364348</v>
      </c>
      <c r="H18353" s="15" t="n">
        <f aca="false">(k_B+((ls_A*k_long+(1-ls_A)*k_spot)-k_B)*MIN(1,(Sens!H18336-base_fy)/k_ramp))</f>
        <v>1.40640619155662</v>
      </c>
      <c r="I18353" s="15" t="n">
        <f aca="false">(k_B+((ls_A*k_long+(1-ls_A)*k_spot)-k_B)*MIN(1,(Sens!I18336-base_fy)/k_ramp))</f>
        <v>1.40640619155662</v>
      </c>
      <c r="J18353" s="15" t="n">
        <f aca="false">(k_B+((ls_A*k_long+(1-ls_A)*k_spot)-k_B)*MIN(1,(Sens!J18336-base_fy)/k_ramp))</f>
        <v>1.40640619155662</v>
      </c>
      <c r="K18353" s="15" t="n">
        <f aca="false">(k_B+((ls_A*k_long+(1-ls_A)*k_spot)-k_B)*MIN(1,(Sens!K18336-base_fy)/k_ramp))</f>
        <v>1.40640619155662</v>
      </c>
      <c r="L18353" s="1" t="s">
        <v>977</v>
      </c>
    </row>
    <row r="18354" customFormat="false" ht="17.15" hidden="false" customHeight="false" outlineLevel="0" collapsed="false">
      <c r="A18354" s="1" t="s">
        <v>978</v>
      </c>
      <c r="B18354" s="0" t="s">
        <v>403</v>
      </c>
      <c r="C18354" s="15" t="n">
        <f aca="false">Sens!C18352*Sens!C18353*chip_f</f>
        <v>11.3973387156315</v>
      </c>
      <c r="D18354" s="15" t="n">
        <f aca="false">Sens!D18352*Sens!D18353*chip_f</f>
        <v>11.3973387156315</v>
      </c>
      <c r="E18354" s="15" t="n">
        <f aca="false">Sens!E18352*Sens!E18353*chip_f</f>
        <v>11.3973387156315</v>
      </c>
      <c r="F18354" s="15" t="n">
        <f aca="false">Sens!F18352*Sens!F18353*chip_f</f>
        <v>12.8116169124314</v>
      </c>
      <c r="G18354" s="15" t="n">
        <f aca="false">Sens!G18352*Sens!G18353*chip_f</f>
        <v>14.094588604395</v>
      </c>
      <c r="H18354" s="15" t="n">
        <f aca="false">Sens!H18352*Sens!H18353*chip_f</f>
        <v>15.2803058877132</v>
      </c>
      <c r="I18354" s="15" t="n">
        <f aca="false">Sens!I18352*Sens!I18353*chip_f</f>
        <v>15.5457988470549</v>
      </c>
      <c r="J18354" s="15" t="n">
        <f aca="false">Sens!J18352*Sens!J18353*chip_f</f>
        <v>15.7562677246158</v>
      </c>
      <c r="K18354" s="15" t="n">
        <f aca="false">Sens!K18352*Sens!K18353*chip_f</f>
        <v>16.0450885090842</v>
      </c>
      <c r="L18354" s="1" t="s">
        <v>979</v>
      </c>
    </row>
    <row r="18355" customFormat="false" ht="17.15" hidden="false" customHeight="false" outlineLevel="0" collapsed="false">
      <c r="A18355" s="0" t="s">
        <v>980</v>
      </c>
      <c r="B18355" s="0" t="s">
        <v>98</v>
      </c>
      <c r="D18355" s="6" t="n">
        <f aca="false">(Sens!C18338+Sens!D18338)/2*Sens!D18354/1000</f>
        <v>12.9359794422418</v>
      </c>
      <c r="E18355" s="6" t="n">
        <f aca="false">(Sens!D18338+Sens!E18338)/2*Sens!E18354/1000</f>
        <v>27.8095064661409</v>
      </c>
      <c r="F18355" s="6" t="n">
        <f aca="false">(Sens!E18338+Sens!F18338)/2*Sens!F18354/1000</f>
        <v>59.1034165651511</v>
      </c>
      <c r="G18355" s="6" t="n">
        <f aca="false">(Sens!F18338+Sens!G18338)/2*Sens!G18354/1000</f>
        <v>103.451498789198</v>
      </c>
      <c r="H18355" s="6" t="n">
        <f aca="false">(Sens!G18338+Sens!H18338)/2*Sens!H18354/1000</f>
        <v>153.816719989035</v>
      </c>
      <c r="I18355" s="6" t="n">
        <f aca="false">(Sens!H18338+Sens!I18338)/2*Sens!I18354/1000</f>
        <v>192.699478690852</v>
      </c>
      <c r="J18355" s="6" t="n">
        <f aca="false">(Sens!I18338+Sens!J18338)/2*Sens!J18354/1000</f>
        <v>219.794102584244</v>
      </c>
      <c r="K18355" s="6" t="n">
        <f aca="false">(Sens!J18338+Sens!K18338)/2*Sens!K18354/1000</f>
        <v>236.757046905022</v>
      </c>
      <c r="L18355" s="12" t="s">
        <v>981</v>
      </c>
    </row>
    <row r="18356" customFormat="false" ht="17.15" hidden="false" customHeight="false" outlineLevel="0" collapsed="false">
      <c r="A18356" s="1" t="s">
        <v>982</v>
      </c>
      <c r="B18356" s="0" t="s">
        <v>403</v>
      </c>
      <c r="C18356" s="15" t="n">
        <f aca="false">(Sens!C18346*tk_opex_h100+Sens!C18347*tk_opex_gb200+Sens!C18348*tk_opex_gb300+(Sens!C18350+Sens!C18349)*tk_opex_vr200)/Sens!C18338</f>
        <v>1.88636041306092</v>
      </c>
      <c r="D18356" s="15" t="n">
        <f aca="false">(Sens!D18346*tk_opex_h100+Sens!D18347*tk_opex_gb200+Sens!D18348*tk_opex_gb300+(Sens!D18350+Sens!D18349)*tk_opex_vr200)/Sens!D18338</f>
        <v>1.88636041306092</v>
      </c>
      <c r="E18356" s="15" t="n">
        <f aca="false">(Sens!E18346*tk_opex_h100+Sens!E18347*tk_opex_gb200+Sens!E18348*tk_opex_gb300+(Sens!E18350+Sens!E18349)*tk_opex_vr200)/Sens!E18338</f>
        <v>1.88636041306092</v>
      </c>
      <c r="F18356" s="15" t="n">
        <f aca="false">(Sens!F18346*tk_opex_h100+Sens!F18347*tk_opex_gb200+Sens!F18348*tk_opex_gb300+(Sens!F18350+Sens!F18349)*tk_opex_vr200)/Sens!F18338</f>
        <v>1.95051159746876</v>
      </c>
      <c r="G18356" s="15" t="n">
        <f aca="false">(Sens!G18346*tk_opex_h100+Sens!G18347*tk_opex_gb200+Sens!G18348*tk_opex_gb300+(Sens!G18350+Sens!G18349)*tk_opex_vr200)/Sens!G18338</f>
        <v>1.98836003669956</v>
      </c>
      <c r="H18356" s="15" t="n">
        <f aca="false">(Sens!H18346*tk_opex_h100+Sens!H18347*tk_opex_gb200+Sens!H18348*tk_opex_gb300+(Sens!H18350+Sens!H18349)*tk_opex_vr200)/Sens!H18338</f>
        <v>2.01344013834343</v>
      </c>
      <c r="I18356" s="15" t="n">
        <f aca="false">(Sens!I18346*tk_opex_h100+Sens!I18347*tk_opex_gb200+Sens!I18348*tk_opex_gb300+(Sens!I18350+Sens!I18349)*tk_opex_vr200)/Sens!I18338</f>
        <v>2.03261166882178</v>
      </c>
      <c r="J18356" s="15" t="n">
        <f aca="false">(Sens!J18346*tk_opex_h100+Sens!J18347*tk_opex_gb200+Sens!J18348*tk_opex_gb300+(Sens!J18350+Sens!J18349)*tk_opex_vr200)/Sens!J18338</f>
        <v>2.04808073288745</v>
      </c>
      <c r="K18356" s="15" t="n">
        <f aca="false">(Sens!K18346*tk_opex_h100+Sens!K18347*tk_opex_gb200+Sens!K18348*tk_opex_gb300+(Sens!K18350+Sens!K18349)*tk_opex_vr200)/Sens!K18338</f>
        <v>2.06973825807449</v>
      </c>
      <c r="L18356" s="12" t="s">
        <v>983</v>
      </c>
    </row>
    <row r="18357" customFormat="false" ht="17.15" hidden="false" customHeight="false" outlineLevel="0" collapsed="false">
      <c r="A18357" s="0" t="s">
        <v>984</v>
      </c>
      <c r="B18357" s="0" t="s">
        <v>98</v>
      </c>
      <c r="D18357" s="6" t="n">
        <f aca="false">(Sens!C18341+Sens!D18341)/2*Sens!D18356/1000</f>
        <v>2.70378325872065</v>
      </c>
      <c r="E18357" s="6" t="n">
        <f aca="false">(Sens!D18341+Sens!E18341)/2*Sens!E18356/1000</f>
        <v>6.17783035277451</v>
      </c>
      <c r="F18357" s="6" t="n">
        <f aca="false">(Sens!E18341+Sens!F18341)/2*Sens!F18356/1000</f>
        <v>12.8742463089237</v>
      </c>
      <c r="G18357" s="6" t="n">
        <f aca="false">(Sens!F18341+Sens!G18341)/2*Sens!G18356/1000</f>
        <v>21.8182834646277</v>
      </c>
      <c r="H18357" s="6" t="n">
        <f aca="false">(Sens!G18341+Sens!H18341)/2*Sens!H18356/1000</f>
        <v>31.2430128789734</v>
      </c>
      <c r="I18357" s="6" t="n">
        <f aca="false">(Sens!H18341+Sens!I18341)/2*Sens!I18356/1000</f>
        <v>39.4313057443268</v>
      </c>
      <c r="J18357" s="6" t="n">
        <f aca="false">(Sens!I18341+Sens!J18341)/2*Sens!J18356/1000</f>
        <v>45.0360318228653</v>
      </c>
      <c r="K18357" s="6" t="n">
        <f aca="false">(Sens!J18341+Sens!K18341)/2*Sens!K18356/1000</f>
        <v>48.2929727091156</v>
      </c>
    </row>
    <row r="18358" customFormat="false" ht="17.15" hidden="false" customHeight="false" outlineLevel="0" collapsed="false">
      <c r="A18358" s="0" t="s">
        <v>985</v>
      </c>
      <c r="B18358" s="0" t="s">
        <v>98</v>
      </c>
      <c r="D18358" s="6" t="n">
        <f aca="false">(Sens!C18339+Sens!D18339)/2*rent_mw/1000</f>
        <v>2.44475</v>
      </c>
      <c r="E18358" s="6" t="n">
        <f aca="false">(Sens!D18339+Sens!E18339)/2*rent_mw/1000</f>
        <v>4.22275</v>
      </c>
      <c r="F18358" s="6" t="n">
        <f aca="false">(Sens!E18339+Sens!F18339)/2*rent_mw/1000</f>
        <v>5.80517</v>
      </c>
      <c r="G18358" s="6" t="n">
        <f aca="false">(Sens!F18339+Sens!G18339)/2*rent_mw/1000</f>
        <v>6.72084</v>
      </c>
      <c r="H18358" s="6" t="n">
        <f aca="false">(Sens!G18339+Sens!H18339)/2*rent_mw/1000</f>
        <v>6.72084</v>
      </c>
      <c r="I18358" s="6" t="n">
        <f aca="false">(Sens!H18339+Sens!I18339)/2*rent_mw/1000</f>
        <v>6.72084</v>
      </c>
      <c r="J18358" s="6" t="n">
        <f aca="false">(Sens!I18339+Sens!J18339)/2*rent_mw/1000</f>
        <v>6.72084</v>
      </c>
      <c r="K18358" s="6" t="n">
        <f aca="false">(Sens!J18339+Sens!K18339)/2*rent_mw/1000</f>
        <v>6.72084</v>
      </c>
    </row>
    <row r="18359" customFormat="false" ht="17.15" hidden="false" customHeight="false" outlineLevel="0" collapsed="false">
      <c r="A18359" s="0" t="s">
        <v>986</v>
      </c>
      <c r="B18359" s="0" t="s">
        <v>98</v>
      </c>
      <c r="D18359" s="6" t="n">
        <f aca="false">(Sens!C18341+Sens!D18341)/2*(1-self_build)*fac_rent/1000</f>
        <v>0.853242375631075</v>
      </c>
      <c r="E18359" s="6" t="n">
        <f aca="false">(Sens!D18341+Sens!E18341)/2*(1-self_build)*fac_rent/1000</f>
        <v>1.94955961408728</v>
      </c>
      <c r="F18359" s="6" t="n">
        <f aca="false">(Sens!E18341+Sens!F18341)/2*(1-self_build)*fac_rent/1000</f>
        <v>3.92914894476356</v>
      </c>
      <c r="G18359" s="6" t="n">
        <f aca="false">(Sens!F18341+Sens!G18341)/2*(1-self_build)*fac_rent/1000</f>
        <v>6.53206908578159</v>
      </c>
      <c r="H18359" s="6" t="n">
        <f aca="false">(Sens!G18341+Sens!H18341)/2*(1-self_build)*fac_rent/1000</f>
        <v>9.23717988341591</v>
      </c>
      <c r="I18359" s="6" t="n">
        <f aca="false">(Sens!H18341+Sens!I18341)/2*(1-self_build)*fac_rent/1000</f>
        <v>11.5481378557393</v>
      </c>
      <c r="J18359" s="6" t="n">
        <f aca="false">(Sens!I18341+Sens!J18341)/2*(1-self_build)*fac_rent/1000</f>
        <v>13.0899582289108</v>
      </c>
      <c r="K18359" s="6" t="n">
        <f aca="false">(Sens!J18341+Sens!K18341)/2*(1-self_build)*fac_rent/1000</f>
        <v>13.8897275626556</v>
      </c>
      <c r="L18359" s="12" t="s">
        <v>987</v>
      </c>
    </row>
    <row r="18360" customFormat="false" ht="17.15" hidden="false" customHeight="false" outlineLevel="0" collapsed="false">
      <c r="A18360" s="1" t="s">
        <v>988</v>
      </c>
      <c r="B18360" s="0" t="s">
        <v>168</v>
      </c>
      <c r="D18360" s="7" t="n">
        <f aca="false">(Sens!C18340+Sens!D18340)/(Sens!C18341+Sens!D18341)</f>
        <v>0.6</v>
      </c>
      <c r="E18360" s="7" t="n">
        <f aca="false">(Sens!D18340+Sens!E18340)/(Sens!D18341+Sens!E18341)</f>
        <v>0.6</v>
      </c>
      <c r="F18360" s="7" t="n">
        <f aca="false">(Sens!E18340+Sens!F18340)/(Sens!E18341+Sens!F18341)</f>
        <v>0.6</v>
      </c>
      <c r="G18360" s="7" t="n">
        <f aca="false">(Sens!F18340+Sens!G18340)/(Sens!F18341+Sens!G18341)</f>
        <v>0.6</v>
      </c>
      <c r="H18360" s="7" t="n">
        <f aca="false">(Sens!G18340+Sens!H18340)/(Sens!G18341+Sens!H18341)</f>
        <v>0.6</v>
      </c>
      <c r="I18360" s="7" t="n">
        <f aca="false">(Sens!H18340+Sens!I18340)/(Sens!H18341+Sens!I18341)</f>
        <v>0.6</v>
      </c>
      <c r="J18360" s="7" t="n">
        <f aca="false">(Sens!I18340+Sens!J18340)/(Sens!I18341+Sens!J18341)</f>
        <v>0.6</v>
      </c>
      <c r="K18360" s="7" t="n">
        <f aca="false">(Sens!J18340+Sens!K18340)/(Sens!J18341+Sens!K18341)</f>
        <v>0.6</v>
      </c>
    </row>
    <row r="18361" customFormat="false" ht="17.15" hidden="false" customHeight="false" outlineLevel="0" collapsed="false">
      <c r="A18361" s="0" t="s">
        <v>989</v>
      </c>
      <c r="B18361" s="0" t="s">
        <v>98</v>
      </c>
      <c r="D18361" s="6" t="n">
        <f aca="false">Sens!D18355-Sens!D18360*(Sens!D18357+Sens!D18359)-Sens!D18358</f>
        <v>8.35701406163072</v>
      </c>
      <c r="E18361" s="6" t="n">
        <f aca="false">Sens!E18355-Sens!E18360*(Sens!E18357+Sens!E18359)-Sens!E18358</f>
        <v>18.7103224860238</v>
      </c>
      <c r="F18361" s="6" t="n">
        <f aca="false">Sens!F18355-Sens!F18360*(Sens!F18357+Sens!F18359)-Sens!F18358</f>
        <v>43.2162094129388</v>
      </c>
      <c r="G18361" s="6" t="n">
        <f aca="false">Sens!G18355-Sens!G18360*(Sens!G18357+Sens!G18359)-Sens!G18358</f>
        <v>79.7204472589529</v>
      </c>
      <c r="H18361" s="6" t="n">
        <f aca="false">Sens!H18355-Sens!H18360*(Sens!H18357+Sens!H18359)-Sens!H18358</f>
        <v>122.807764331602</v>
      </c>
      <c r="I18361" s="6" t="n">
        <f aca="false">Sens!I18355-Sens!I18360*(Sens!I18357+Sens!I18359)-Sens!I18358</f>
        <v>155.390972530813</v>
      </c>
      <c r="J18361" s="6" t="n">
        <f aca="false">Sens!J18355-Sens!J18360*(Sens!J18357+Sens!J18359)-Sens!J18358</f>
        <v>178.197668553178</v>
      </c>
      <c r="K18361" s="6" t="n">
        <f aca="false">Sens!K18355-Sens!K18360*(Sens!K18357+Sens!K18359)-Sens!K18358</f>
        <v>192.726586741959</v>
      </c>
    </row>
    <row r="18362" customFormat="false" ht="17.15" hidden="false" customHeight="false" outlineLevel="0" collapsed="false">
      <c r="A18362" s="1" t="s">
        <v>990</v>
      </c>
      <c r="B18362" s="0" t="s">
        <v>98</v>
      </c>
      <c r="D18362" s="6" t="n">
        <f aca="false">(1-Sens!D18360)*(Sens!D18357+Sens!D18359)</f>
        <v>1.42281025374069</v>
      </c>
      <c r="E18362" s="6" t="n">
        <f aca="false">(1-Sens!E18360)*(Sens!E18357+Sens!E18359)</f>
        <v>3.25095598674472</v>
      </c>
      <c r="F18362" s="6" t="n">
        <f aca="false">(1-Sens!F18360)*(Sens!F18357+Sens!F18359)</f>
        <v>6.72135810147489</v>
      </c>
      <c r="G18362" s="6" t="n">
        <f aca="false">(1-Sens!G18360)*(Sens!G18357+Sens!G18359)</f>
        <v>11.3401410201637</v>
      </c>
      <c r="H18362" s="6" t="n">
        <f aca="false">(1-Sens!H18360)*(Sens!H18357+Sens!H18359)</f>
        <v>16.1920771049557</v>
      </c>
      <c r="I18362" s="6" t="n">
        <f aca="false">(1-Sens!I18360)*(Sens!I18357+Sens!I18359)</f>
        <v>20.3917774400264</v>
      </c>
      <c r="J18362" s="6" t="n">
        <f aca="false">(1-Sens!J18360)*(Sens!J18357+Sens!J18359)</f>
        <v>23.2503960207104</v>
      </c>
      <c r="K18362" s="6" t="n">
        <f aca="false">(1-Sens!K18360)*(Sens!K18357+Sens!K18359)</f>
        <v>24.8730801087085</v>
      </c>
    </row>
    <row r="18363" customFormat="false" ht="17.15" hidden="false" customHeight="false" outlineLevel="0" collapsed="false">
      <c r="A18363" s="1" t="s">
        <v>991</v>
      </c>
      <c r="B18363" s="0" t="s">
        <v>417</v>
      </c>
      <c r="C18363" s="8" t="n">
        <f aca="false">cxit_open</f>
        <v>27.5918995</v>
      </c>
      <c r="D18363" s="8" t="n">
        <f aca="false">cxit_open</f>
        <v>27.5918995</v>
      </c>
      <c r="E18363" s="8" t="n">
        <f aca="false">cxit_open</f>
        <v>27.5918995</v>
      </c>
      <c r="F18363" s="8" t="n">
        <f aca="false">((a_g3_27-nonnv*a_mai)*tk_cxit_gb300+nonnv*a_mai*nv_hold_mai*tk_cxit_vr200+(1-a_g3_27)*tk_cxit_vr200)</f>
        <v>32.4975576</v>
      </c>
      <c r="G18363" s="8" t="n">
        <f aca="false">((a_g3_28-nonnv*a_mai)*tk_cxit_gb300+nonnv*a_mai*nv_hold_mai*tk_cxit_vr200+(1-a_g3_28)*tk_cxit_vr200)</f>
        <v>34.6372088</v>
      </c>
      <c r="H18363" s="8" t="n">
        <f aca="false">((a_g3_29-nonnv*a_mai)*tk_cxit_gb300+nonnv*a_mai*nv_hold_mai*tk_cxit_vr200+(1-a_g3_29)*tk_cxit_vr200)</f>
        <v>35.7070344</v>
      </c>
      <c r="I18363" s="8" t="n">
        <f aca="false">((a_g3_29-nonnv*a_mai)*tk_cxit_gb300+nonnv*a_mai*nv_hold_mai*tk_cxit_vr200+(1-a_g3_29)*tk_cxit_vr200)</f>
        <v>35.7070344</v>
      </c>
      <c r="J18363" s="8" t="n">
        <f aca="false">((a_g3_29-nonnv*a_mai)*tk_cxit_gb300+nonnv*a_mai*nv_hold_mai*tk_cxit_vr200+(1-a_g3_29)*tk_cxit_vr200)</f>
        <v>35.7070344</v>
      </c>
      <c r="K18363" s="8" t="n">
        <f aca="false">((a_g3_29-nonnv*a_mai)*tk_cxit_gb300+nonnv*a_mai*nv_hold_mai*tk_cxit_vr200+(1-a_g3_29)*tk_cxit_vr200)</f>
        <v>35.7070344</v>
      </c>
      <c r="L18363" s="12" t="s">
        <v>992</v>
      </c>
    </row>
    <row r="18364" customFormat="false" ht="17.15" hidden="false" customHeight="false" outlineLevel="0" collapsed="false">
      <c r="A18364" s="0" t="s">
        <v>993</v>
      </c>
      <c r="B18364" s="0" t="s">
        <v>459</v>
      </c>
      <c r="F18364" s="30" t="n">
        <f aca="false">Sens!C18343*IF(Sens!F18336-Sens!C18336=life_it,1,0)+Sens!D18343*IF(Sens!F18336-Sens!D18336=life_it,1,0)+Sens!E18343*IF(Sens!F18336-Sens!E18336=life_it,1,0)</f>
        <v>0</v>
      </c>
      <c r="G18364" s="30" t="n">
        <f aca="false">Sens!C18343*IF(Sens!G18336-Sens!C18336=life_it,1,0)+Sens!D18343*IF(Sens!G18336-Sens!D18336=life_it,1,0)+Sens!E18343*IF(Sens!G18336-Sens!E18336=life_it,1,0)+Sens!F18343*IF(Sens!G18336-Sens!F18336=life_it,1,0)</f>
        <v>0</v>
      </c>
      <c r="H18364" s="30" t="n">
        <f aca="false">Sens!C18343*IF(Sens!H18336-Sens!C18336=life_it,1,0)+Sens!D18343*IF(Sens!H18336-Sens!D18336=life_it,1,0)+Sens!E18343*IF(Sens!H18336-Sens!E18336=life_it,1,0)+Sens!F18343*IF(Sens!H18336-Sens!F18336=life_it,1,0)+Sens!G18343*IF(Sens!H18336-Sens!G18336=life_it,1,0)</f>
        <v>0</v>
      </c>
      <c r="I18364" s="30" t="n">
        <f aca="false">Sens!C18343*IF(Sens!I18336-Sens!C18336=life_it,1,0)+Sens!D18343*IF(Sens!I18336-Sens!D18336=life_it,1,0)+Sens!E18343*IF(Sens!I18336-Sens!E18336=life_it,1,0)+Sens!F18343*IF(Sens!I18336-Sens!F18336=life_it,1,0)+Sens!G18343*IF(Sens!I18336-Sens!G18336=life_it,1,0)+Sens!H18343*IF(Sens!I18336-Sens!H18336=life_it,1,0)</f>
        <v>816.666666666667</v>
      </c>
      <c r="J18364" s="30" t="n">
        <f aca="false">Sens!C18343*IF(Sens!J18336-Sens!C18336=life_it,1,0)+Sens!D18343*IF(Sens!J18336-Sens!D18336=life_it,1,0)+Sens!E18343*IF(Sens!J18336-Sens!E18336=life_it,1,0)+Sens!F18343*IF(Sens!J18336-Sens!F18336=life_it,1,0)+Sens!G18343*IF(Sens!J18336-Sens!G18336=life_it,1,0)+Sens!H18343*IF(Sens!J18336-Sens!H18336=life_it,1,0)+Sens!I18343*IF(Sens!J18336-Sens!I18336=life_it,1,0)</f>
        <v>1233.33333333333</v>
      </c>
      <c r="K18364" s="30" t="n">
        <f aca="false">Sens!C18343*IF(Sens!K18336-Sens!C18336=life_it,1,0)+Sens!D18343*IF(Sens!K18336-Sens!D18336=life_it,1,0)+Sens!E18343*IF(Sens!K18336-Sens!E18336=life_it,1,0)+Sens!F18343*IF(Sens!K18336-Sens!F18336=life_it,1,0)+Sens!G18343*IF(Sens!K18336-Sens!G18336=life_it,1,0)+Sens!H18343*IF(Sens!K18336-Sens!H18336=life_it,1,0)+Sens!I18343*IF(Sens!K18336-Sens!I18336=life_it,1,0)+Sens!J18343*IF(Sens!K18336-Sens!J18336=life_it,1,0)</f>
        <v>2450</v>
      </c>
      <c r="L18364" s="1" t="s">
        <v>994</v>
      </c>
    </row>
    <row r="18365" customFormat="false" ht="17.15" hidden="false" customHeight="false" outlineLevel="0" collapsed="false">
      <c r="A18365" s="0" t="s">
        <v>995</v>
      </c>
      <c r="B18365" s="0" t="s">
        <v>98</v>
      </c>
      <c r="C18365" s="6" t="n">
        <f aca="false">Sens!C18343*Sens!C18363/1000</f>
        <v>22.5333845916667</v>
      </c>
      <c r="D18365" s="6" t="n">
        <f aca="false">Sens!D18343*Sens!D18363/1000</f>
        <v>34.0300093833333</v>
      </c>
      <c r="E18365" s="6" t="n">
        <f aca="false">Sens!E18343*Sens!E18363/1000</f>
        <v>67.600153775</v>
      </c>
      <c r="F18365" s="6" t="n">
        <f aca="false">(Sens!F18343+Sens!F18364)*Sens!F18363/1000</f>
        <v>136.51872432512</v>
      </c>
      <c r="G18365" s="6" t="n">
        <f aca="false">(Sens!G18343+Sens!G18364)*Sens!G18363/1000</f>
        <v>157.399275932048</v>
      </c>
      <c r="H18365" s="6" t="n">
        <f aca="false">(Sens!H18343+Sens!H18364)*Sens!H18363/1000</f>
        <v>162.260804347512</v>
      </c>
      <c r="I18365" s="6" t="n">
        <f aca="false">(Sens!I18343+Sens!I18364)*Sens!I18363/1000</f>
        <v>144.136569485434</v>
      </c>
      <c r="J18365" s="6" t="n">
        <f aca="false">(Sens!J18343+Sens!J18364)*Sens!J18363/1000</f>
        <v>114.029037357864</v>
      </c>
      <c r="K18365" s="6" t="n">
        <f aca="false">(Sens!K18343+Sens!K18364)*Sens!K18363/1000</f>
        <v>113.437085350975</v>
      </c>
    </row>
    <row r="18366" customFormat="false" ht="17.15" hidden="false" customHeight="false" outlineLevel="0" collapsed="false">
      <c r="A18366" s="0" t="s">
        <v>996</v>
      </c>
      <c r="B18366" s="0" t="s">
        <v>98</v>
      </c>
      <c r="C18366" s="6" t="n">
        <f aca="false">Sens!C18343*self_build*tk_cxfac/1000</f>
        <v>6.2083</v>
      </c>
      <c r="D18366" s="6" t="n">
        <f aca="false">Sens!D18343*self_build*tk_cxfac/1000</f>
        <v>9.3758</v>
      </c>
      <c r="E18366" s="6" t="n">
        <f aca="false">Sens!E18343*self_build*tk_cxfac/1000</f>
        <v>18.6249</v>
      </c>
      <c r="F18366" s="6" t="n">
        <f aca="false">Sens!F18343*self_build*tk_cxfac/1000</f>
        <v>31.935179717</v>
      </c>
      <c r="G18366" s="6" t="n">
        <f aca="false">Sens!G18343*self_build*tk_cxfac/1000</f>
        <v>34.545199717</v>
      </c>
      <c r="H18366" s="6" t="n">
        <f aca="false">Sens!H18343*self_build*tk_cxfac/1000</f>
        <v>34.545199717</v>
      </c>
      <c r="I18366" s="6" t="n">
        <f aca="false">Sens!I18343*self_build*tk_cxfac/1000</f>
        <v>24.4782641361767</v>
      </c>
      <c r="J18366" s="6" t="n">
        <f aca="false">Sens!J18343*self_build*tk_cxfac/1000</f>
        <v>14.9008938380769</v>
      </c>
      <c r="K18366" s="6" t="n">
        <f aca="false">Sens!K18343*self_build*tk_cxfac/1000</f>
        <v>5.52576771375761</v>
      </c>
    </row>
    <row r="18367" customFormat="false" ht="17.15" hidden="false" customHeight="false" outlineLevel="0" collapsed="false">
      <c r="A18367" s="0" t="s">
        <v>997</v>
      </c>
      <c r="B18367" s="0" t="s">
        <v>98</v>
      </c>
      <c r="F18367" s="15" t="n">
        <f aca="false">capex_floor27-Sens!F18365-Sens!F18366-Sens!F18463</f>
        <v>0.176332265009222</v>
      </c>
      <c r="L18367" s="12" t="s">
        <v>998</v>
      </c>
    </row>
    <row r="18368" customFormat="false" ht="17.15" hidden="false" customHeight="false" outlineLevel="0" collapsed="false">
      <c r="A18368" s="0" t="s">
        <v>999</v>
      </c>
      <c r="B18368" s="0" t="s">
        <v>98</v>
      </c>
      <c r="F18368" s="6" t="n">
        <f aca="false">MAX(0,Sens!F18367)</f>
        <v>0.176332265009222</v>
      </c>
    </row>
    <row r="18369" customFormat="false" ht="17.15" hidden="false" customHeight="false" outlineLevel="0" collapsed="false">
      <c r="A18369" s="0" t="s">
        <v>1000</v>
      </c>
      <c r="B18369" s="0" t="s">
        <v>98</v>
      </c>
      <c r="C18369" s="6" t="n">
        <f aca="false">Sens!C18365</f>
        <v>22.5333845916667</v>
      </c>
      <c r="D18369" s="6" t="n">
        <f aca="false">Sens!D18365</f>
        <v>34.0300093833333</v>
      </c>
      <c r="E18369" s="6" t="n">
        <f aca="false">Sens!E18365</f>
        <v>67.600153775</v>
      </c>
      <c r="F18369" s="6" t="n">
        <f aca="false">Sens!F18365</f>
        <v>136.51872432512</v>
      </c>
      <c r="G18369" s="6" t="n">
        <f aca="false">Sens!G18365</f>
        <v>157.399275932048</v>
      </c>
      <c r="H18369" s="6" t="n">
        <f aca="false">Sens!H18365</f>
        <v>162.260804347512</v>
      </c>
      <c r="I18369" s="6" t="n">
        <f aca="false">Sens!I18365</f>
        <v>144.136569485434</v>
      </c>
      <c r="J18369" s="6" t="n">
        <f aca="false">Sens!J18365</f>
        <v>114.029037357864</v>
      </c>
      <c r="K18369" s="6" t="n">
        <f aca="false">Sens!K18365</f>
        <v>113.437085350975</v>
      </c>
    </row>
    <row r="18370" customFormat="false" ht="17.15" hidden="false" customHeight="false" outlineLevel="0" collapsed="false">
      <c r="A18370" s="0" t="s">
        <v>1001</v>
      </c>
      <c r="B18370" s="0" t="s">
        <v>98</v>
      </c>
      <c r="C18370" s="6" t="n">
        <f aca="false">Sens!C18369+Sens!C18366</f>
        <v>28.7416845916667</v>
      </c>
      <c r="D18370" s="6" t="n">
        <f aca="false">Sens!D18369+Sens!D18366</f>
        <v>43.4058093833333</v>
      </c>
      <c r="E18370" s="6" t="n">
        <f aca="false">Sens!E18369+Sens!E18366</f>
        <v>86.225053775</v>
      </c>
      <c r="F18370" s="6" t="n">
        <f aca="false">Sens!F18369+Sens!F18366</f>
        <v>168.45390404212</v>
      </c>
      <c r="G18370" s="6" t="n">
        <f aca="false">Sens!G18369+Sens!G18366</f>
        <v>191.944475649048</v>
      </c>
      <c r="H18370" s="6" t="n">
        <f aca="false">Sens!H18369+Sens!H18366</f>
        <v>196.806004064512</v>
      </c>
      <c r="I18370" s="6" t="n">
        <f aca="false">Sens!I18369+Sens!I18366</f>
        <v>168.61483362161</v>
      </c>
      <c r="J18370" s="6" t="n">
        <f aca="false">Sens!J18369+Sens!J18366</f>
        <v>128.92993119594</v>
      </c>
      <c r="K18370" s="6" t="n">
        <f aca="false">Sens!K18369+Sens!K18366</f>
        <v>118.962853064733</v>
      </c>
      <c r="L18370" s="12" t="s">
        <v>1002</v>
      </c>
    </row>
    <row r="18371" customFormat="false" ht="17.15" hidden="false" customHeight="false" outlineLevel="0" collapsed="false">
      <c r="A18371" s="0" t="s">
        <v>1003</v>
      </c>
      <c r="B18371" s="0" t="s">
        <v>98</v>
      </c>
      <c r="E18371" s="6" t="n">
        <f aca="false">(Sens!C18369*IF(2&lt;life_it,1,IF(2=life_it,0.5,0))+Sens!D18369*IF(1&lt;life_it,1,IF(1=life_it,0.5,0))+Sens!E18369*0.5)/life_it</f>
        <v>15.0605784770833</v>
      </c>
      <c r="F18371" s="6" t="n">
        <f aca="false">(Sens!C18369*IF(3&lt;life_it,1,IF(3=life_it,0.5,0))+Sens!D18369*IF(2&lt;life_it,1,IF(2=life_it,0.5,0))+Sens!E18369*IF(1&lt;life_it,1,IF(1=life_it,0.5,0))+Sens!F18369*0.5)/life_it</f>
        <v>32.0704849854266</v>
      </c>
      <c r="G18371" s="6" t="n">
        <f aca="false">(Sens!C18369*IF(4&lt;life_it,1,IF(4=life_it,0.5,0))+Sens!D18369*IF(3&lt;life_it,1,IF(3=life_it,0.5,0))+Sens!E18369*IF(2&lt;life_it,1,IF(2=life_it,0.5,0))+Sens!F18369*IF(1&lt;life_it,1,IF(1=life_it,0.5,0))+Sens!G18369*0.5)/life_it</f>
        <v>56.5636516735239</v>
      </c>
      <c r="H18371" s="6" t="n">
        <f aca="false">(Sens!C18369*IF(5&lt;life_it,1,IF(5=life_it,0.5,0))+Sens!D18369*IF(4&lt;life_it,1,IF(4=life_it,0.5,0))+Sens!E18369*IF(3&lt;life_it,1,IF(3=life_it,0.5,0))+Sens!F18369*IF(2&lt;life_it,1,IF(2=life_it,0.5,0))+Sens!G18369*IF(1&lt;life_it,1,IF(1=life_it,0.5,0))+Sens!H18369*0.5)/life_it</f>
        <v>83.2019916968207</v>
      </c>
      <c r="I18371" s="6" t="n">
        <f aca="false">(Sens!C18369*IF(6&lt;life_it,1,IF(6=life_it,0.5,0))+Sens!D18369*IF(5&lt;life_it,1,IF(5=life_it,0.5,0))+Sens!E18369*IF(4&lt;life_it,1,IF(4=life_it,0.5,0))+Sens!F18369*IF(3&lt;life_it,1,IF(3=life_it,0.5,0))+Sens!G18369*IF(2&lt;life_it,1,IF(2=life_it,0.5,0))+Sens!H18369*IF(1&lt;life_it,1,IF(1=life_it,0.5,0))+Sens!I18369*0.5)/life_it</f>
        <v>106.857324133594</v>
      </c>
      <c r="J18371" s="6" t="n">
        <f aca="false">(Sens!C18369*IF(7&lt;life_it,1,IF(7=life_it,0.5,0))+Sens!D18369*IF(6&lt;life_it,1,IF(6=life_it,0.5,0))+Sens!E18369*IF(5&lt;life_it,1,IF(5=life_it,0.5,0))+Sens!F18369*IF(4&lt;life_it,1,IF(4=life_it,0.5,0))+Sens!G18369*IF(3&lt;life_it,1,IF(3=life_it,0.5,0))+Sens!H18369*IF(2&lt;life_it,1,IF(2=life_it,0.5,0))+Sens!I18369*IF(1&lt;life_it,1,IF(1=life_it,0.5,0))+Sens!J18369*0.5)/life_it</f>
        <v>123.657508539285</v>
      </c>
      <c r="K18371" s="6" t="n">
        <f aca="false">(Sens!C18369*IF(8&lt;life_it,1,IF(8=life_it,0.5,0))+Sens!D18369*IF(7&lt;life_it,1,IF(7=life_it,0.5,0))+Sens!E18369*IF(6&lt;life_it,1,IF(6=life_it,0.5,0))+Sens!F18369*IF(5&lt;life_it,1,IF(5=life_it,0.5,0))+Sens!G18369*IF(4&lt;life_it,1,IF(4=life_it,0.5,0))+Sens!H18369*IF(3&lt;life_it,1,IF(3=life_it,0.5,0))+Sens!I18369*IF(2&lt;life_it,1,IF(2=life_it,0.5,0))+Sens!J18369*IF(1&lt;life_it,1,IF(1=life_it,0.5,0))+Sens!K18369*0.5)/life_it</f>
        <v>134.143838501827</v>
      </c>
    </row>
    <row r="18372" customFormat="false" ht="17.15" hidden="false" customHeight="false" outlineLevel="0" collapsed="false">
      <c r="A18372" s="0" t="s">
        <v>1004</v>
      </c>
      <c r="B18372" s="0" t="s">
        <v>98</v>
      </c>
      <c r="E18372" s="6" t="n">
        <f aca="false">(Sens!C18366*IF(2&lt;life_fac,1,IF(2=life_fac,0.5,0))+Sens!D18366*IF(1&lt;life_fac,1,IF(1=life_fac,0.5,0))+Sens!E18366*0.5)/life_fac</f>
        <v>1.2448275</v>
      </c>
      <c r="F18372" s="6" t="n">
        <f aca="false">(Sens!C18366*IF(3&lt;life_fac,1,IF(3=life_fac,0.5,0))+Sens!D18366*IF(2&lt;life_fac,1,IF(2=life_fac,0.5,0))+Sens!E18366*IF(1&lt;life_fac,1,IF(1=life_fac,0.5,0))+Sens!F18366*0.5)/life_fac</f>
        <v>2.508829492925</v>
      </c>
      <c r="G18372" s="6" t="n">
        <f aca="false">(Sens!C18366*IF(4&lt;life_fac,1,IF(4=life_fac,0.5,0))+Sens!D18366*IF(3&lt;life_fac,1,IF(3=life_fac,0.5,0))+Sens!E18366*IF(2&lt;life_fac,1,IF(2=life_fac,0.5,0))+Sens!F18366*IF(1&lt;life_fac,1,IF(1=life_fac,0.5,0))+Sens!G18366*0.5)/life_fac</f>
        <v>4.170838978775</v>
      </c>
      <c r="H18372" s="6" t="n">
        <f aca="false">(Sens!C18366*IF(5&lt;life_fac,1,IF(5=life_fac,0.5,0))+Sens!D18366*IF(4&lt;life_fac,1,IF(4=life_fac,0.5,0))+Sens!E18366*IF(3&lt;life_fac,1,IF(3=life_fac,0.5,0))+Sens!F18366*IF(2&lt;life_fac,1,IF(2=life_fac,0.5,0))+Sens!G18366*IF(1&lt;life_fac,1,IF(1=life_fac,0.5,0))+Sens!H18366*0.5)/life_fac</f>
        <v>5.898098964625</v>
      </c>
      <c r="I18372" s="6" t="n">
        <f aca="false">(Sens!C18366*IF(6&lt;life_fac,1,IF(6=life_fac,0.5,0))+Sens!D18366*IF(5&lt;life_fac,1,IF(5=life_fac,0.5,0))+Sens!E18366*IF(4&lt;life_fac,1,IF(4=life_fac,0.5,0))+Sens!F18366*IF(3&lt;life_fac,1,IF(3=life_fac,0.5,0))+Sens!G18366*IF(2&lt;life_fac,1,IF(2=life_fac,0.5,0))+Sens!H18366*IF(1&lt;life_fac,1,IF(1=life_fac,0.5,0))+Sens!I18366*0.5)/life_fac</f>
        <v>7.37368556095442</v>
      </c>
      <c r="J18372" s="6" t="n">
        <f aca="false">(Sens!C18366*IF(7&lt;life_fac,1,IF(7=life_fac,0.5,0))+Sens!D18366*IF(6&lt;life_fac,1,IF(6=life_fac,0.5,0))+Sens!E18366*IF(5&lt;life_fac,1,IF(5=life_fac,0.5,0))+Sens!F18366*IF(4&lt;life_fac,1,IF(4=life_fac,0.5,0))+Sens!G18366*IF(3&lt;life_fac,1,IF(3=life_fac,0.5,0))+Sens!H18366*IF(2&lt;life_fac,1,IF(2=life_fac,0.5,0))+Sens!I18366*IF(1&lt;life_fac,1,IF(1=life_fac,0.5,0))+Sens!J18366*0.5)/life_fac</f>
        <v>8.35816451031075</v>
      </c>
      <c r="K18372" s="6" t="n">
        <f aca="false">(Sens!C18366*IF(8&lt;life_fac,1,IF(8=life_fac,0.5,0))+Sens!D18366*IF(7&lt;life_fac,1,IF(7=life_fac,0.5,0))+Sens!E18366*IF(6&lt;life_fac,1,IF(6=life_fac,0.5,0))+Sens!F18366*IF(5&lt;life_fac,1,IF(5=life_fac,0.5,0))+Sens!G18366*IF(4&lt;life_fac,1,IF(4=life_fac,0.5,0))+Sens!H18366*IF(3&lt;life_fac,1,IF(3=life_fac,0.5,0))+Sens!I18366*IF(2&lt;life_fac,1,IF(2=life_fac,0.5,0))+Sens!J18366*IF(1&lt;life_fac,1,IF(1=life_fac,0.5,0))+Sens!K18366*0.5)/life_fac</f>
        <v>8.86883104910662</v>
      </c>
    </row>
    <row r="18373" customFormat="false" ht="17.15" hidden="false" customHeight="false" outlineLevel="0" collapsed="false">
      <c r="A18373" s="0" t="s">
        <v>1005</v>
      </c>
      <c r="B18373" s="0" t="s">
        <v>98</v>
      </c>
      <c r="E18373" s="6" t="n">
        <f aca="false">Sens!E18371+Sens!E18372</f>
        <v>16.3054059770833</v>
      </c>
      <c r="F18373" s="6" t="n">
        <f aca="false">Sens!F18371+Sens!F18372</f>
        <v>34.5793144783516</v>
      </c>
      <c r="G18373" s="6" t="n">
        <f aca="false">Sens!G18371+Sens!G18372</f>
        <v>60.7344906522989</v>
      </c>
      <c r="H18373" s="6" t="n">
        <f aca="false">Sens!H18371+Sens!H18372</f>
        <v>89.1000906614457</v>
      </c>
      <c r="I18373" s="6" t="n">
        <f aca="false">Sens!I18371+Sens!I18372</f>
        <v>114.231009694548</v>
      </c>
      <c r="J18373" s="6" t="n">
        <f aca="false">Sens!J18371+Sens!J18372</f>
        <v>132.015673049596</v>
      </c>
      <c r="K18373" s="6" t="n">
        <f aca="false">Sens!K18371+Sens!K18372</f>
        <v>143.012669550934</v>
      </c>
    </row>
    <row r="18374" customFormat="false" ht="17.15" hidden="false" customHeight="false" outlineLevel="0" collapsed="false">
      <c r="A18374" s="0" t="s">
        <v>1006</v>
      </c>
      <c r="B18374" s="0" t="s">
        <v>98</v>
      </c>
      <c r="E18374" s="6" t="n">
        <f aca="false">Sens!E18361-Sens!E18360*Sens!E18373</f>
        <v>8.92707889977379</v>
      </c>
      <c r="F18374" s="6" t="n">
        <f aca="false">Sens!F18361-Sens!F18360*Sens!F18373</f>
        <v>22.4686207259278</v>
      </c>
      <c r="G18374" s="6" t="n">
        <f aca="false">Sens!G18361-Sens!G18360*Sens!G18373</f>
        <v>43.2797528675735</v>
      </c>
      <c r="H18374" s="6" t="n">
        <f aca="false">Sens!H18361-Sens!H18360*Sens!H18373</f>
        <v>69.3477099347341</v>
      </c>
      <c r="I18374" s="6" t="n">
        <f aca="false">Sens!I18361-Sens!I18360*Sens!I18373</f>
        <v>86.8523667140836</v>
      </c>
      <c r="J18374" s="6" t="n">
        <f aca="false">Sens!J18361-Sens!J18360*Sens!J18373</f>
        <v>98.9882647234202</v>
      </c>
      <c r="K18374" s="6" t="n">
        <f aca="false">Sens!K18361-Sens!K18360*Sens!K18373</f>
        <v>106.918985011399</v>
      </c>
    </row>
    <row r="18375" customFormat="false" ht="17.15" hidden="false" customHeight="false" outlineLevel="0" collapsed="false">
      <c r="A18375" s="3" t="s">
        <v>2065</v>
      </c>
    </row>
    <row r="18376" customFormat="false" ht="15" hidden="false" customHeight="false" outlineLevel="0" collapsed="false">
      <c r="A18376" s="4" t="s">
        <v>43</v>
      </c>
      <c r="B18376" s="4" t="s">
        <v>65</v>
      </c>
      <c r="C18376" s="23" t="s">
        <v>942</v>
      </c>
      <c r="D18376" s="23" t="s">
        <v>943</v>
      </c>
      <c r="E18376" s="23" t="s">
        <v>944</v>
      </c>
      <c r="F18376" s="23" t="s">
        <v>945</v>
      </c>
      <c r="G18376" s="23" t="s">
        <v>946</v>
      </c>
      <c r="H18376" s="23" t="s">
        <v>947</v>
      </c>
      <c r="I18376" s="23" t="s">
        <v>948</v>
      </c>
      <c r="J18376" s="23" t="s">
        <v>949</v>
      </c>
      <c r="K18376" s="23" t="s">
        <v>950</v>
      </c>
      <c r="L18376" s="4" t="s">
        <v>47</v>
      </c>
    </row>
    <row r="18377" customFormat="false" ht="17.15" hidden="false" customHeight="false" outlineLevel="0" collapsed="false">
      <c r="A18377" s="0" t="s">
        <v>1025</v>
      </c>
      <c r="B18377" s="0" t="s">
        <v>98</v>
      </c>
      <c r="D18377" s="6" t="n">
        <f aca="false">Sens!D18355</f>
        <v>12.9359794422418</v>
      </c>
      <c r="E18377" s="6" t="n">
        <f aca="false">Sens!E18355</f>
        <v>27.8095064661409</v>
      </c>
      <c r="F18377" s="6" t="n">
        <f aca="false">Sens!F18355</f>
        <v>59.1034165651511</v>
      </c>
      <c r="G18377" s="6" t="n">
        <f aca="false">Sens!G18355</f>
        <v>103.451498789198</v>
      </c>
      <c r="H18377" s="6" t="n">
        <f aca="false">Sens!H18355</f>
        <v>153.816719989035</v>
      </c>
      <c r="I18377" s="6" t="n">
        <f aca="false">Sens!I18355</f>
        <v>192.699478690852</v>
      </c>
      <c r="J18377" s="6" t="n">
        <f aca="false">Sens!J18355</f>
        <v>219.794102584244</v>
      </c>
      <c r="K18377" s="6" t="n">
        <f aca="false">Sens!K18355</f>
        <v>236.757046905022</v>
      </c>
    </row>
    <row r="18378" customFormat="false" ht="17.15" hidden="false" customHeight="false" outlineLevel="0" collapsed="false">
      <c r="A18378" s="0" t="s">
        <v>1026</v>
      </c>
      <c r="B18378" s="0" t="s">
        <v>98</v>
      </c>
      <c r="D18378" s="6" t="n">
        <f aca="false">Q!L6-Sens!D18377</f>
        <v>59.6740205577583</v>
      </c>
      <c r="E18378" s="6" t="n">
        <f aca="false">Q!M6-Sens!E18377</f>
        <v>74.1284935338591</v>
      </c>
      <c r="F18378" s="6" t="n">
        <f aca="false">Q!$I$6+(Sens!F18377+Sens!E18378*(1+Sens!F18379))*(1-Q!$E$6/Q!M6)-Sens!F18377</f>
        <v>90.4866018070994</v>
      </c>
      <c r="G18378" s="6" t="n">
        <f aca="false">Sens!F18378*(1+Sens!G18379)</f>
        <v>107.511588557154</v>
      </c>
      <c r="H18378" s="6" t="n">
        <f aca="false">Sens!G18378*(1+Sens!H18379)</f>
        <v>124.832989325489</v>
      </c>
      <c r="I18378" s="6" t="n">
        <f aca="false">Sens!H18378*(1+Sens!I18379)</f>
        <v>141.56992589148</v>
      </c>
      <c r="J18378" s="6" t="n">
        <f aca="false">Sens!I18378*(1+Sens!J18379)</f>
        <v>156.723190479428</v>
      </c>
      <c r="K18378" s="6" t="n">
        <f aca="false">Sens!J18378*(1+Sens!K18379)</f>
        <v>169.261045717783</v>
      </c>
      <c r="L18378" s="12" t="s">
        <v>1027</v>
      </c>
    </row>
    <row r="18379" customFormat="false" ht="15" hidden="false" customHeight="false" outlineLevel="0" collapsed="false">
      <c r="A18379" s="1" t="s">
        <v>1028</v>
      </c>
      <c r="B18379" s="0" t="s">
        <v>168</v>
      </c>
      <c r="E18379" s="7" t="n">
        <f aca="false">Sens!E18378/Sens!D18378-1</f>
        <v>0.242223883039864</v>
      </c>
      <c r="F18379" s="7" t="n">
        <f aca="false">Sens!$E$18379+(glt_azo-Sens!$E$18379)*MIN(1,(Sens!F18336-base_fy)/n_conv)</f>
        <v>0.215186569199887</v>
      </c>
      <c r="G18379" s="7" t="n">
        <f aca="false">Sens!$E$18379+(glt_azo-Sens!$E$18379)*MIN(1,(Sens!G18336-base_fy)/n_conv)</f>
        <v>0.18814925535991</v>
      </c>
      <c r="H18379" s="7" t="n">
        <f aca="false">Sens!$E$18379+(glt_azo-Sens!$E$18379)*MIN(1,(Sens!H18336-base_fy)/n_conv)</f>
        <v>0.161111941519932</v>
      </c>
      <c r="I18379" s="7" t="n">
        <f aca="false">Sens!$E$18379+(glt_azo-Sens!$E$18379)*MIN(1,(Sens!I18336-base_fy)/n_conv)</f>
        <v>0.134074627679955</v>
      </c>
      <c r="J18379" s="7" t="n">
        <f aca="false">Sens!$E$18379+(glt_azo-Sens!$E$18379)*MIN(1,(Sens!J18336-base_fy)/n_conv)</f>
        <v>0.107037313839977</v>
      </c>
      <c r="K18379" s="7" t="n">
        <f aca="false">Sens!$E$18379+(glt_azo-Sens!$E$18379)*MIN(1,(Sens!K18336-base_fy)/n_conv)</f>
        <v>0.08</v>
      </c>
    </row>
    <row r="18380" customFormat="false" ht="15" hidden="false" customHeight="false" outlineLevel="0" collapsed="false">
      <c r="A18380" s="0" t="s">
        <v>1029</v>
      </c>
      <c r="B18380" s="0" t="s">
        <v>98</v>
      </c>
      <c r="D18380" s="6" t="n">
        <f aca="false">Sens!D18377+Sens!D18378</f>
        <v>72.61</v>
      </c>
      <c r="E18380" s="6" t="n">
        <f aca="false">Sens!E18377+Sens!E18378</f>
        <v>101.938</v>
      </c>
      <c r="F18380" s="6" t="n">
        <f aca="false">Sens!F18377+Sens!F18378</f>
        <v>149.59001837225</v>
      </c>
      <c r="G18380" s="6" t="n">
        <f aca="false">Sens!G18377+Sens!G18378</f>
        <v>210.963087346352</v>
      </c>
      <c r="H18380" s="6" t="n">
        <f aca="false">Sens!H18377+Sens!H18378</f>
        <v>278.649709314524</v>
      </c>
      <c r="I18380" s="6" t="n">
        <f aca="false">Sens!I18377+Sens!I18378</f>
        <v>334.269404582332</v>
      </c>
      <c r="J18380" s="6" t="n">
        <f aca="false">Sens!J18377+Sens!J18378</f>
        <v>376.517293063672</v>
      </c>
      <c r="K18380" s="6" t="n">
        <f aca="false">Sens!K18377+Sens!K18378</f>
        <v>406.018092622804</v>
      </c>
    </row>
    <row r="18381" customFormat="false" ht="17.15" hidden="false" customHeight="false" outlineLevel="0" collapsed="false">
      <c r="A18381" s="0" t="s">
        <v>1030</v>
      </c>
      <c r="B18381" s="1" t="s">
        <v>613</v>
      </c>
      <c r="C18381" s="30" t="n">
        <f aca="false">cop_s24</f>
        <v>1</v>
      </c>
      <c r="D18381" s="30" t="n">
        <f aca="false">cop_s25</f>
        <v>5</v>
      </c>
      <c r="E18381" s="30" t="n">
        <f aca="false">cop_s26</f>
        <v>30</v>
      </c>
      <c r="F18381" s="30" t="n">
        <f aca="false">Sens!E18381+cop_add_A</f>
        <v>60</v>
      </c>
      <c r="G18381" s="30" t="n">
        <f aca="false">Sens!F18381+cop_add_A</f>
        <v>90</v>
      </c>
      <c r="H18381" s="30" t="n">
        <f aca="false">Sens!G18381+cop_add_A</f>
        <v>120</v>
      </c>
      <c r="I18381" s="30" t="n">
        <f aca="false">Sens!H18381+cop_add_A*cop_tail</f>
        <v>135</v>
      </c>
      <c r="J18381" s="30" t="n">
        <f aca="false">Sens!I18381+cop_add_A*cop_tail</f>
        <v>150</v>
      </c>
      <c r="K18381" s="30" t="n">
        <f aca="false">Sens!J18381+cop_add_A*cop_tail</f>
        <v>165</v>
      </c>
      <c r="L18381" s="12" t="s">
        <v>1031</v>
      </c>
    </row>
    <row r="18382" customFormat="false" ht="17.15" hidden="false" customHeight="false" outlineLevel="0" collapsed="false">
      <c r="A18382" s="0" t="s">
        <v>1032</v>
      </c>
      <c r="B18382" s="0" t="s">
        <v>98</v>
      </c>
      <c r="D18382" s="6" t="n">
        <f aca="false">(Sens!C18381+Sens!D18381)/2*cop_px*12/1000</f>
        <v>0.9</v>
      </c>
      <c r="E18382" s="6" t="n">
        <f aca="false">(Sens!D18381+Sens!E18381)/2*cop_px*12/1000</f>
        <v>5.25</v>
      </c>
      <c r="F18382" s="6" t="n">
        <f aca="false">(Sens!E18381+Sens!F18381)/2*cop_px*12/1000</f>
        <v>13.5</v>
      </c>
      <c r="G18382" s="6" t="n">
        <f aca="false">(Sens!F18381+Sens!G18381)/2*cop_px*12/1000</f>
        <v>22.5</v>
      </c>
      <c r="H18382" s="6" t="n">
        <f aca="false">(Sens!G18381+Sens!H18381)/2*cop_px*12/1000</f>
        <v>31.5</v>
      </c>
      <c r="I18382" s="6" t="n">
        <f aca="false">(Sens!H18381+Sens!I18381)/2*cop_px*12/1000</f>
        <v>38.25</v>
      </c>
      <c r="J18382" s="6" t="n">
        <f aca="false">(Sens!I18381+Sens!J18381)/2*cop_px*12/1000</f>
        <v>42.75</v>
      </c>
      <c r="K18382" s="6" t="n">
        <f aca="false">(Sens!J18381+Sens!K18381)/2*cop_px*12/1000</f>
        <v>47.25</v>
      </c>
      <c r="L18382" s="1" t="s">
        <v>1033</v>
      </c>
    </row>
    <row r="18383" customFormat="false" ht="17.15" hidden="false" customHeight="false" outlineLevel="0" collapsed="false">
      <c r="A18383" s="0" t="s">
        <v>1034</v>
      </c>
      <c r="B18383" s="0" t="s">
        <v>98</v>
      </c>
      <c r="D18383" s="6" t="n">
        <f aca="false">Q!L7-Sens!D18382</f>
        <v>83.705</v>
      </c>
      <c r="E18383" s="6" t="n">
        <f aca="false">Q!M7-Sens!E18382</f>
        <v>95.049</v>
      </c>
      <c r="F18383" s="6" t="n">
        <f aca="false">Q!$I$7+(Sens!E18383*(1+Sens!F18384)+Sens!F18382)*(1-Q!$E$7/Q!M7)-Sens!F18382</f>
        <v>106.229653205718</v>
      </c>
      <c r="G18383" s="6" t="n">
        <f aca="false">Sens!F18383*(1+Sens!G18384)</f>
        <v>118.306092647576</v>
      </c>
      <c r="H18383" s="6" t="n">
        <f aca="false">Sens!G18383*(1+Sens!H18384)</f>
        <v>130.463437602768</v>
      </c>
      <c r="I18383" s="6" t="n">
        <f aca="false">Sens!H18383*(1+Sens!I18384)</f>
        <v>142.445354741933</v>
      </c>
      <c r="J18383" s="6" t="n">
        <f aca="false">Sens!I18383*(1+Sens!J18384)</f>
        <v>153.972117481571</v>
      </c>
      <c r="K18383" s="6" t="n">
        <f aca="false">Sens!J18383*(1+Sens!K18384)</f>
        <v>164.75016570528</v>
      </c>
      <c r="L18383" s="12" t="s">
        <v>1035</v>
      </c>
    </row>
    <row r="18384" customFormat="false" ht="15" hidden="false" customHeight="false" outlineLevel="0" collapsed="false">
      <c r="A18384" s="1" t="s">
        <v>1028</v>
      </c>
      <c r="B18384" s="0" t="s">
        <v>168</v>
      </c>
      <c r="E18384" s="7" t="n">
        <f aca="false">Sens!E18383/Sens!D18383-1</f>
        <v>0.135523564900544</v>
      </c>
      <c r="F18384" s="7" t="n">
        <f aca="false">Sens!$E$18384+(glt_m365b-Sens!$E$18384)*MIN(1,(Sens!F18336-base_fy)/n_conv)</f>
        <v>0.124602970750453</v>
      </c>
      <c r="G18384" s="7" t="n">
        <f aca="false">Sens!$E$18384+(glt_m365b-Sens!$E$18384)*MIN(1,(Sens!G18336-base_fy)/n_conv)</f>
        <v>0.113682376600363</v>
      </c>
      <c r="H18384" s="7" t="n">
        <f aca="false">Sens!$E$18384+(glt_m365b-Sens!$E$18384)*MIN(1,(Sens!H18336-base_fy)/n_conv)</f>
        <v>0.102761782450272</v>
      </c>
      <c r="I18384" s="7" t="n">
        <f aca="false">Sens!$E$18384+(glt_m365b-Sens!$E$18384)*MIN(1,(Sens!I18336-base_fy)/n_conv)</f>
        <v>0.0918411883001813</v>
      </c>
      <c r="J18384" s="7" t="n">
        <f aca="false">Sens!$E$18384+(glt_m365b-Sens!$E$18384)*MIN(1,(Sens!J18336-base_fy)/n_conv)</f>
        <v>0.0809205941500906</v>
      </c>
      <c r="K18384" s="7" t="n">
        <f aca="false">Sens!$E$18384+(glt_m365b-Sens!$E$18384)*MIN(1,(Sens!K18336-base_fy)/n_conv)</f>
        <v>0.07</v>
      </c>
    </row>
    <row r="18385" customFormat="false" ht="15" hidden="false" customHeight="false" outlineLevel="0" collapsed="false">
      <c r="A18385" s="0" t="s">
        <v>1036</v>
      </c>
      <c r="B18385" s="0" t="s">
        <v>98</v>
      </c>
      <c r="D18385" s="6" t="n">
        <f aca="false">Sens!D18383+Sens!D18382</f>
        <v>84.605</v>
      </c>
      <c r="E18385" s="6" t="n">
        <f aca="false">Sens!E18383+Sens!E18382</f>
        <v>100.299</v>
      </c>
      <c r="F18385" s="6" t="n">
        <f aca="false">Sens!F18383+Sens!F18382</f>
        <v>119.729653205718</v>
      </c>
      <c r="G18385" s="6" t="n">
        <f aca="false">Sens!G18383+Sens!G18382</f>
        <v>140.806092647576</v>
      </c>
      <c r="H18385" s="6" t="n">
        <f aca="false">Sens!H18383+Sens!H18382</f>
        <v>161.963437602768</v>
      </c>
      <c r="I18385" s="6" t="n">
        <f aca="false">Sens!I18383+Sens!I18382</f>
        <v>180.695354741933</v>
      </c>
      <c r="J18385" s="6" t="n">
        <f aca="false">Sens!J18383+Sens!J18382</f>
        <v>196.722117481571</v>
      </c>
      <c r="K18385" s="6" t="n">
        <f aca="false">Sens!K18383+Sens!K18382</f>
        <v>212.00016570528</v>
      </c>
    </row>
    <row r="18386" customFormat="false" ht="17.15" hidden="false" customHeight="false" outlineLevel="0" collapsed="false">
      <c r="A18386" s="0" t="s">
        <v>1037</v>
      </c>
      <c r="B18386" s="0" t="s">
        <v>98</v>
      </c>
      <c r="D18386" s="6" t="n">
        <f aca="false">Q!L8</f>
        <v>35.391</v>
      </c>
      <c r="E18386" s="6" t="n">
        <f aca="false">Q!M8</f>
        <v>37.285</v>
      </c>
      <c r="F18386" s="6" t="n">
        <f aca="false">Q!$I$8+(Q!M8-Q!$E$8)*(1+Sens!F18387)</f>
        <v>38.3851437782675</v>
      </c>
      <c r="G18386" s="6" t="n">
        <f aca="false">Sens!F18386*(1+Sens!G18387)</f>
        <v>40.0105353288615</v>
      </c>
      <c r="H18386" s="6" t="n">
        <f aca="false">Sens!G18386*(1+Sens!H18387)</f>
        <v>41.4812512033683</v>
      </c>
      <c r="I18386" s="6" t="n">
        <f aca="false">Sens!H18386*(1+Sens!I18387)</f>
        <v>42.7743107216329</v>
      </c>
      <c r="J18386" s="6" t="n">
        <f aca="false">Sens!I18386*(1+Sens!J18387)</f>
        <v>43.8687373064601</v>
      </c>
      <c r="K18386" s="6" t="n">
        <f aca="false">Sens!J18386*(1+Sens!K18387)</f>
        <v>44.7461120525893</v>
      </c>
      <c r="L18386" s="12" t="s">
        <v>1038</v>
      </c>
    </row>
    <row r="18387" customFormat="false" ht="15" hidden="false" customHeight="false" outlineLevel="0" collapsed="false">
      <c r="A18387" s="1" t="s">
        <v>1028</v>
      </c>
      <c r="B18387" s="0" t="s">
        <v>168</v>
      </c>
      <c r="E18387" s="7" t="n">
        <f aca="false">Sens!E18386/Sens!D18386-1</f>
        <v>0.0535164307309768</v>
      </c>
      <c r="F18387" s="7" t="n">
        <f aca="false">Sens!$E$18387+(glt_lic-Sens!$E$18387)*MIN(1,(Sens!F18336-base_fy)/n_conv)</f>
        <v>0.0479303589424807</v>
      </c>
      <c r="G18387" s="7" t="n">
        <f aca="false">Sens!$E$18387+(glt_lic-Sens!$E$18387)*MIN(1,(Sens!G18336-base_fy)/n_conv)</f>
        <v>0.0423442871539845</v>
      </c>
      <c r="H18387" s="7" t="n">
        <f aca="false">Sens!$E$18387+(glt_lic-Sens!$E$18387)*MIN(1,(Sens!H18336-base_fy)/n_conv)</f>
        <v>0.0367582153654884</v>
      </c>
      <c r="I18387" s="7" t="n">
        <f aca="false">Sens!$E$18387+(glt_lic-Sens!$E$18387)*MIN(1,(Sens!I18336-base_fy)/n_conv)</f>
        <v>0.0311721435769923</v>
      </c>
      <c r="J18387" s="7" t="n">
        <f aca="false">Sens!$E$18387+(glt_lic-Sens!$E$18387)*MIN(1,(Sens!J18336-base_fy)/n_conv)</f>
        <v>0.0255860717884961</v>
      </c>
      <c r="K18387" s="7" t="n">
        <f aca="false">Sens!$E$18387+(glt_lic-Sens!$E$18387)*MIN(1,(Sens!K18336-base_fy)/n_conv)</f>
        <v>0.02</v>
      </c>
    </row>
    <row r="18388" customFormat="false" ht="17.15" hidden="false" customHeight="false" outlineLevel="0" collapsed="false">
      <c r="A18388" s="0" t="s">
        <v>1039</v>
      </c>
      <c r="B18388" s="0" t="s">
        <v>98</v>
      </c>
      <c r="D18388" s="6" t="n">
        <f aca="false">Q!L9</f>
        <v>18.417</v>
      </c>
      <c r="E18388" s="6" t="n">
        <f aca="false">Q!M9</f>
        <v>20.345</v>
      </c>
      <c r="F18388" s="6" t="n">
        <f aca="false">Q!$I$9+(Q!M9-Q!$E$9)*(1+Sens!F18389)</f>
        <v>22.3161797133988</v>
      </c>
      <c r="G18388" s="6" t="n">
        <f aca="false">Sens!F18388*(1+Sens!G18389)</f>
        <v>24.3943499673233</v>
      </c>
      <c r="H18388" s="6" t="n">
        <f aca="false">Sens!G18388*(1+Sens!H18389)</f>
        <v>26.5250243109019</v>
      </c>
      <c r="I18388" s="6" t="n">
        <f aca="false">Sens!H18388*(1+Sens!I18389)</f>
        <v>28.6884573538181</v>
      </c>
      <c r="J18388" s="6" t="n">
        <f aca="false">Sens!I18388*(1+Sens!J18389)</f>
        <v>30.8624968052127</v>
      </c>
      <c r="K18388" s="6" t="n">
        <f aca="false">Sens!J18388*(1+Sens!K18389)</f>
        <v>33.0228715815776</v>
      </c>
      <c r="L18388" s="12" t="s">
        <v>1038</v>
      </c>
    </row>
    <row r="18389" customFormat="false" ht="15" hidden="false" customHeight="false" outlineLevel="0" collapsed="false">
      <c r="A18389" s="1" t="s">
        <v>1028</v>
      </c>
      <c r="B18389" s="0" t="s">
        <v>168</v>
      </c>
      <c r="E18389" s="7" t="n">
        <f aca="false">Sens!E18388/Sens!D18388-1</f>
        <v>0.104685888038225</v>
      </c>
      <c r="F18389" s="7" t="n">
        <f aca="false">Sens!$E$18389+(glt_ind-Sens!$E$18389)*MIN(1,(Sens!F18336-base_fy)/n_conv)</f>
        <v>0.0989049066985211</v>
      </c>
      <c r="G18389" s="7" t="n">
        <f aca="false">Sens!$E$18389+(glt_ind-Sens!$E$18389)*MIN(1,(Sens!G18336-base_fy)/n_conv)</f>
        <v>0.0931239253588169</v>
      </c>
      <c r="H18389" s="7" t="n">
        <f aca="false">Sens!$E$18389+(glt_ind-Sens!$E$18389)*MIN(1,(Sens!H18336-base_fy)/n_conv)</f>
        <v>0.0873429440191127</v>
      </c>
      <c r="I18389" s="7" t="n">
        <f aca="false">Sens!$E$18389+(glt_ind-Sens!$E$18389)*MIN(1,(Sens!I18336-base_fy)/n_conv)</f>
        <v>0.0815619626794085</v>
      </c>
      <c r="J18389" s="7" t="n">
        <f aca="false">Sens!$E$18389+(glt_ind-Sens!$E$18389)*MIN(1,(Sens!J18336-base_fy)/n_conv)</f>
        <v>0.0757809813397042</v>
      </c>
      <c r="K18389" s="7" t="n">
        <f aca="false">Sens!$E$18389+(glt_ind-Sens!$E$18389)*MIN(1,(Sens!K18336-base_fy)/n_conv)</f>
        <v>0.07</v>
      </c>
    </row>
    <row r="18390" customFormat="false" ht="17.15" hidden="false" customHeight="false" outlineLevel="0" collapsed="false">
      <c r="A18390" s="0" t="s">
        <v>1040</v>
      </c>
      <c r="B18390" s="0" t="s">
        <v>98</v>
      </c>
      <c r="D18390" s="6" t="n">
        <f aca="false">Q!L10</f>
        <v>7.76</v>
      </c>
      <c r="E18390" s="6" t="n">
        <f aca="false">Q!M10</f>
        <v>8.26</v>
      </c>
      <c r="F18390" s="6" t="n">
        <f aca="false">Q!$I$10+(Q!M10-Q!$E$10)*(1+Sens!F18391)</f>
        <v>8.75372082474227</v>
      </c>
      <c r="G18390" s="6" t="n">
        <f aca="false">Sens!F18390*(1+Sens!G18391)</f>
        <v>9.33399324642364</v>
      </c>
      <c r="H18390" s="6" t="n">
        <f aca="false">Sens!G18390*(1+Sens!H18391)</f>
        <v>9.96139155535851</v>
      </c>
      <c r="I18390" s="6" t="n">
        <f aca="false">Sens!H18390*(1+Sens!I18391)</f>
        <v>10.6402039077391</v>
      </c>
      <c r="J18390" s="6" t="n">
        <f aca="false">Sens!I18390*(1+Sens!J18391)</f>
        <v>11.3751458271397</v>
      </c>
      <c r="K18390" s="6" t="n">
        <f aca="false">Sens!J18390*(1+Sens!K18391)</f>
        <v>12.1714060350394</v>
      </c>
      <c r="L18390" s="12" t="s">
        <v>1038</v>
      </c>
    </row>
    <row r="18391" customFormat="false" ht="15" hidden="false" customHeight="false" outlineLevel="0" collapsed="false">
      <c r="A18391" s="1" t="s">
        <v>1028</v>
      </c>
      <c r="B18391" s="0" t="s">
        <v>168</v>
      </c>
      <c r="E18391" s="7" t="n">
        <f aca="false">Sens!E18390/Sens!D18390-1</f>
        <v>0.0644329896907216</v>
      </c>
      <c r="F18391" s="7" t="n">
        <f aca="false">Sens!$E$18391+(glt_fro-Sens!$E$18391)*MIN(1,(Sens!F18336-base_fy)/n_conv)</f>
        <v>0.065360824742268</v>
      </c>
      <c r="G18391" s="7" t="n">
        <f aca="false">Sens!$E$18391+(glt_fro-Sens!$E$18391)*MIN(1,(Sens!G18336-base_fy)/n_conv)</f>
        <v>0.0662886597938144</v>
      </c>
      <c r="H18391" s="7" t="n">
        <f aca="false">Sens!$E$18391+(glt_fro-Sens!$E$18391)*MIN(1,(Sens!H18336-base_fy)/n_conv)</f>
        <v>0.0672164948453608</v>
      </c>
      <c r="I18391" s="7" t="n">
        <f aca="false">Sens!$E$18391+(glt_fro-Sens!$E$18391)*MIN(1,(Sens!I18336-base_fy)/n_conv)</f>
        <v>0.0681443298969072</v>
      </c>
      <c r="J18391" s="7" t="n">
        <f aca="false">Sens!$E$18391+(glt_fro-Sens!$E$18391)*MIN(1,(Sens!J18336-base_fy)/n_conv)</f>
        <v>0.0690721649484536</v>
      </c>
      <c r="K18391" s="7" t="n">
        <f aca="false">Sens!$E$18391+(glt_fro-Sens!$E$18391)*MIN(1,(Sens!K18336-base_fy)/n_conv)</f>
        <v>0.07</v>
      </c>
    </row>
    <row r="18392" customFormat="false" ht="15" hidden="false" customHeight="false" outlineLevel="0" collapsed="false">
      <c r="A18392" s="0" t="s">
        <v>856</v>
      </c>
      <c r="B18392" s="0" t="s">
        <v>98</v>
      </c>
      <c r="D18392" s="6" t="n">
        <f aca="false">Sens!D18380+Sens!D18385+Sens!D18386+Sens!D18388+Sens!D18390</f>
        <v>218.783</v>
      </c>
      <c r="E18392" s="6" t="n">
        <f aca="false">Sens!E18380+Sens!E18385+Sens!E18386+Sens!E18388+Sens!E18390</f>
        <v>268.127</v>
      </c>
      <c r="F18392" s="6" t="n">
        <f aca="false">Sens!F18380+Sens!F18385+Sens!F18386+Sens!F18388+Sens!F18390</f>
        <v>338.774715894377</v>
      </c>
      <c r="G18392" s="6" t="n">
        <f aca="false">Sens!G18380+Sens!G18385+Sens!G18386+Sens!G18388+Sens!G18390</f>
        <v>425.508058536537</v>
      </c>
      <c r="H18392" s="6" t="n">
        <f aca="false">Sens!H18380+Sens!H18385+Sens!H18386+Sens!H18388+Sens!H18390</f>
        <v>518.580813986921</v>
      </c>
      <c r="I18392" s="6" t="n">
        <f aca="false">Sens!I18380+Sens!I18385+Sens!I18386+Sens!I18388+Sens!I18390</f>
        <v>597.067731307455</v>
      </c>
      <c r="J18392" s="6" t="n">
        <f aca="false">Sens!J18380+Sens!J18385+Sens!J18386+Sens!J18388+Sens!J18390</f>
        <v>659.345790484055</v>
      </c>
      <c r="K18392" s="6" t="n">
        <f aca="false">Sens!K18380+Sens!K18385+Sens!K18386+Sens!K18388+Sens!K18390</f>
        <v>707.958647997291</v>
      </c>
    </row>
    <row r="18393" customFormat="false" ht="17.15" hidden="false" customHeight="false" outlineLevel="0" collapsed="false">
      <c r="A18393" s="0" t="s">
        <v>1041</v>
      </c>
      <c r="B18393" s="0" t="s">
        <v>98</v>
      </c>
      <c r="D18393" s="6" t="n">
        <f aca="false">Q!L13</f>
        <v>22.171</v>
      </c>
      <c r="E18393" s="6" t="n">
        <f aca="false">Q!M13</f>
        <v>24.835</v>
      </c>
      <c r="F18393" s="6" t="n">
        <f aca="false">Q!$I$13+(Q!M13-Q!$E$13)*(1+Sens!F18394)</f>
        <v>27.5591895660247</v>
      </c>
      <c r="G18393" s="6" t="n">
        <f aca="false">Sens!F18393*(1+Sens!G18394)</f>
        <v>30.4098563144583</v>
      </c>
      <c r="H18393" s="6" t="n">
        <f aca="false">Sens!G18393*(1+Sens!H18394)</f>
        <v>33.3011792571777</v>
      </c>
      <c r="I18393" s="6" t="n">
        <f aca="false">Sens!H18393*(1+Sens!I18394)</f>
        <v>36.189023797112</v>
      </c>
      <c r="J18393" s="6" t="n">
        <f aca="false">Sens!I18393*(1+Sens!J18394)</f>
        <v>39.0247773769199</v>
      </c>
      <c r="K18393" s="6" t="n">
        <f aca="false">Sens!J18393*(1+Sens!K18394)</f>
        <v>41.7565117933043</v>
      </c>
      <c r="L18393" s="12" t="s">
        <v>1038</v>
      </c>
    </row>
    <row r="18394" customFormat="false" ht="15" hidden="false" customHeight="false" outlineLevel="0" collapsed="false">
      <c r="A18394" s="1" t="s">
        <v>1028</v>
      </c>
      <c r="B18394" s="0" t="s">
        <v>168</v>
      </c>
      <c r="E18394" s="7" t="n">
        <f aca="false">Sens!E18393/Sens!D18393-1</f>
        <v>0.120156961796942</v>
      </c>
      <c r="F18394" s="7" t="n">
        <f aca="false">Sens!$E$18394+(glt_srch-Sens!$E$18394)*MIN(1,(Sens!F18336-base_fy)/n_conv)</f>
        <v>0.111797468164118</v>
      </c>
      <c r="G18394" s="7" t="n">
        <f aca="false">Sens!$E$18394+(glt_srch-Sens!$E$18394)*MIN(1,(Sens!G18336-base_fy)/n_conv)</f>
        <v>0.103437974531295</v>
      </c>
      <c r="H18394" s="7" t="n">
        <f aca="false">Sens!$E$18394+(glt_srch-Sens!$E$18394)*MIN(1,(Sens!H18336-base_fy)/n_conv)</f>
        <v>0.095078480898471</v>
      </c>
      <c r="I18394" s="7" t="n">
        <f aca="false">Sens!$E$18394+(glt_srch-Sens!$E$18394)*MIN(1,(Sens!I18336-base_fy)/n_conv)</f>
        <v>0.0867189872656474</v>
      </c>
      <c r="J18394" s="7" t="n">
        <f aca="false">Sens!$E$18394+(glt_srch-Sens!$E$18394)*MIN(1,(Sens!J18336-base_fy)/n_conv)</f>
        <v>0.0783594936328237</v>
      </c>
      <c r="K18394" s="7" t="n">
        <f aca="false">Sens!$E$18394+(glt_srch-Sens!$E$18394)*MIN(1,(Sens!K18336-base_fy)/n_conv)</f>
        <v>0.07</v>
      </c>
    </row>
    <row r="18395" customFormat="false" ht="17.15" hidden="false" customHeight="false" outlineLevel="0" collapsed="false">
      <c r="A18395" s="0" t="s">
        <v>1042</v>
      </c>
      <c r="B18395" s="0" t="s">
        <v>98</v>
      </c>
      <c r="D18395" s="6" t="n">
        <f aca="false">Q!L14</f>
        <v>23.455</v>
      </c>
      <c r="E18395" s="6" t="n">
        <f aca="false">Q!M14</f>
        <v>21.79</v>
      </c>
      <c r="F18395" s="6" t="n">
        <f aca="false">Q!$I$14+(Q!M14-Q!$E$14)*(1+Sens!F18396)</f>
        <v>20.7520981041711</v>
      </c>
      <c r="G18395" s="6" t="n">
        <f aca="false">Sens!F18395*(1+Sens!G18396)</f>
        <v>19.9083593495882</v>
      </c>
      <c r="H18395" s="6" t="n">
        <f aca="false">Sens!G18395*(1+Sens!H18396)</f>
        <v>19.4008256265831</v>
      </c>
      <c r="I18395" s="6" t="n">
        <f aca="false">Sens!H18395*(1+Sens!I18396)</f>
        <v>19.200434522122</v>
      </c>
      <c r="J18395" s="6" t="n">
        <f aca="false">Sens!I18395*(1+Sens!J18396)</f>
        <v>19.2932782348507</v>
      </c>
      <c r="K18395" s="6" t="n">
        <f aca="false">Sens!J18395*(1+Sens!K18396)</f>
        <v>19.6791437995477</v>
      </c>
      <c r="L18395" s="12" t="s">
        <v>1038</v>
      </c>
    </row>
    <row r="18396" customFormat="false" ht="15" hidden="false" customHeight="false" outlineLevel="0" collapsed="false">
      <c r="A18396" s="1" t="s">
        <v>1028</v>
      </c>
      <c r="B18396" s="0" t="s">
        <v>168</v>
      </c>
      <c r="E18396" s="7" t="n">
        <f aca="false">Sens!E18395/Sens!D18395-1</f>
        <v>-0.0709869963760392</v>
      </c>
      <c r="F18396" s="7" t="n">
        <f aca="false">Sens!$E$18396+(glt_xbox-Sens!$E$18396)*MIN(1,(Sens!F18336-base_fy)/n_conv)</f>
        <v>-0.0558224969800327</v>
      </c>
      <c r="G18396" s="7" t="n">
        <f aca="false">Sens!$E$18396+(glt_xbox-Sens!$E$18396)*MIN(1,(Sens!G18336-base_fy)/n_conv)</f>
        <v>-0.0406579975840262</v>
      </c>
      <c r="H18396" s="7" t="n">
        <f aca="false">Sens!$E$18396+(glt_xbox-Sens!$E$18396)*MIN(1,(Sens!H18336-base_fy)/n_conv)</f>
        <v>-0.0254934981880196</v>
      </c>
      <c r="I18396" s="7" t="n">
        <f aca="false">Sens!$E$18396+(glt_xbox-Sens!$E$18396)*MIN(1,(Sens!I18336-base_fy)/n_conv)</f>
        <v>-0.0103289987920131</v>
      </c>
      <c r="J18396" s="7" t="n">
        <f aca="false">Sens!$E$18396+(glt_xbox-Sens!$E$18396)*MIN(1,(Sens!J18336-base_fy)/n_conv)</f>
        <v>0.00483550060399347</v>
      </c>
      <c r="K18396" s="7" t="n">
        <f aca="false">Sens!$E$18396+(glt_xbox-Sens!$E$18396)*MIN(1,(Sens!K18336-base_fy)/n_conv)</f>
        <v>0.02</v>
      </c>
    </row>
    <row r="18397" customFormat="false" ht="17.15" hidden="false" customHeight="false" outlineLevel="0" collapsed="false">
      <c r="A18397" s="0" t="s">
        <v>1043</v>
      </c>
      <c r="B18397" s="0" t="s">
        <v>98</v>
      </c>
      <c r="D18397" s="6" t="n">
        <f aca="false">Q!L15</f>
        <v>17.315</v>
      </c>
      <c r="E18397" s="6" t="n">
        <f aca="false">Q!M15</f>
        <v>17.087</v>
      </c>
      <c r="F18397" s="6" t="n">
        <f aca="false">Q!$I$15+(Q!M15-Q!$E$15)*(1+g_q2_win)</f>
        <v>11.6994</v>
      </c>
      <c r="G18397" s="6" t="n">
        <f aca="false">Sens!F18397*(1+Sens!G18398)</f>
        <v>11.6746926329772</v>
      </c>
      <c r="H18397" s="6" t="n">
        <f aca="false">Sens!G18397*(1+Sens!H18398)</f>
        <v>11.7145747045475</v>
      </c>
      <c r="I18397" s="6" t="n">
        <f aca="false">Sens!H18397*(1+Sens!I18398)</f>
        <v>11.8193507447388</v>
      </c>
      <c r="J18397" s="6" t="n">
        <f aca="false">Sens!I18397*(1+Sens!J18398)</f>
        <v>11.9904008346869</v>
      </c>
      <c r="K18397" s="6" t="n">
        <f aca="false">Sens!J18397*(1+Sens!K18398)</f>
        <v>12.2302088513807</v>
      </c>
      <c r="L18397" s="12" t="s">
        <v>1038</v>
      </c>
    </row>
    <row r="18398" customFormat="false" ht="15" hidden="false" customHeight="false" outlineLevel="0" collapsed="false">
      <c r="A18398" s="1" t="s">
        <v>1028</v>
      </c>
      <c r="B18398" s="0" t="s">
        <v>168</v>
      </c>
      <c r="E18398" s="7" t="n">
        <f aca="false">Sens!E18397/Sens!D18397-1</f>
        <v>-0.0131677736066995</v>
      </c>
      <c r="F18398" s="7" t="n">
        <f aca="false">Sens!$E$18398+(glt_win-Sens!$E$18398)*MIN(1,(Sens!F18336-base_fy)/n_conv)</f>
        <v>-0.00763981133891627</v>
      </c>
      <c r="G18398" s="7" t="n">
        <f aca="false">Sens!$E$18398+(glt_win-Sens!$E$18398)*MIN(1,(Sens!G18336-base_fy)/n_conv)</f>
        <v>-0.00211184907113301</v>
      </c>
      <c r="H18398" s="7" t="n">
        <f aca="false">Sens!$E$18398+(glt_win-Sens!$E$18398)*MIN(1,(Sens!H18336-base_fy)/n_conv)</f>
        <v>0.00341611319665024</v>
      </c>
      <c r="I18398" s="7" t="n">
        <f aca="false">Sens!$E$18398+(glt_win-Sens!$E$18398)*MIN(1,(Sens!I18336-base_fy)/n_conv)</f>
        <v>0.00894407546443349</v>
      </c>
      <c r="J18398" s="7" t="n">
        <f aca="false">Sens!$E$18398+(glt_win-Sens!$E$18398)*MIN(1,(Sens!J18336-base_fy)/n_conv)</f>
        <v>0.0144720377322168</v>
      </c>
      <c r="K18398" s="7" t="n">
        <f aca="false">Sens!$E$18398+(glt_win-Sens!$E$18398)*MIN(1,(Sens!K18336-base_fy)/n_conv)</f>
        <v>0.02</v>
      </c>
    </row>
    <row r="18399" customFormat="false" ht="15" hidden="false" customHeight="false" outlineLevel="0" collapsed="false">
      <c r="A18399" s="0" t="s">
        <v>870</v>
      </c>
      <c r="B18399" s="0" t="s">
        <v>98</v>
      </c>
      <c r="D18399" s="6" t="n">
        <f aca="false">Sens!D18393+Sens!D18395+Sens!D18397</f>
        <v>62.941</v>
      </c>
      <c r="E18399" s="6" t="n">
        <f aca="false">Sens!E18393+Sens!E18395+Sens!E18397</f>
        <v>63.712</v>
      </c>
      <c r="F18399" s="6" t="n">
        <f aca="false">Sens!F18393+Sens!F18395+Sens!F18397</f>
        <v>60.0106876701958</v>
      </c>
      <c r="G18399" s="6" t="n">
        <f aca="false">Sens!G18393+Sens!G18395+Sens!G18397</f>
        <v>61.9929082970237</v>
      </c>
      <c r="H18399" s="6" t="n">
        <f aca="false">Sens!H18393+Sens!H18395+Sens!H18397</f>
        <v>64.4165795883084</v>
      </c>
      <c r="I18399" s="6" t="n">
        <f aca="false">Sens!I18393+Sens!I18395+Sens!I18397</f>
        <v>67.2088090639728</v>
      </c>
      <c r="J18399" s="6" t="n">
        <f aca="false">Sens!J18393+Sens!J18395+Sens!J18397</f>
        <v>70.3084564464575</v>
      </c>
      <c r="K18399" s="6" t="n">
        <f aca="false">Sens!K18393+Sens!K18395+Sens!K18397</f>
        <v>73.6658644442326</v>
      </c>
    </row>
    <row r="18400" customFormat="false" ht="15" hidden="false" customHeight="false" outlineLevel="0" collapsed="false">
      <c r="A18400" s="1" t="s">
        <v>1044</v>
      </c>
      <c r="B18400" s="0" t="s">
        <v>98</v>
      </c>
      <c r="D18400" s="6" t="n">
        <f aca="false">Sens!D18392+Sens!D18399</f>
        <v>281.724</v>
      </c>
      <c r="E18400" s="6" t="n">
        <f aca="false">Sens!E18392+Sens!E18399</f>
        <v>331.839</v>
      </c>
      <c r="F18400" s="6" t="n">
        <f aca="false">Sens!F18392+Sens!F18399</f>
        <v>398.785403564573</v>
      </c>
      <c r="G18400" s="6" t="n">
        <f aca="false">Sens!G18392+Sens!G18399</f>
        <v>487.500966833561</v>
      </c>
      <c r="H18400" s="6" t="n">
        <f aca="false">Sens!H18392+Sens!H18399</f>
        <v>582.997393575229</v>
      </c>
      <c r="I18400" s="6" t="n">
        <f aca="false">Sens!I18392+Sens!I18399</f>
        <v>664.276540371428</v>
      </c>
      <c r="J18400" s="6" t="n">
        <f aca="false">Sens!J18392+Sens!J18399</f>
        <v>729.654246930512</v>
      </c>
      <c r="K18400" s="6" t="n">
        <f aca="false">Sens!K18392+Sens!K18399</f>
        <v>781.624512441524</v>
      </c>
    </row>
    <row r="18401" customFormat="false" ht="15" hidden="false" customHeight="false" outlineLevel="0" collapsed="false">
      <c r="A18401" s="26" t="s">
        <v>1045</v>
      </c>
      <c r="B18401" s="31" t="s">
        <v>98</v>
      </c>
      <c r="C18401" s="31"/>
      <c r="D18401" s="27" t="n">
        <f aca="false">(Sens!D18380+Sens!D18385+Sens!D18386+Sens!D18388+Sens!D18390-Sens!D18392)+(Sens!D18393+Sens!D18395+Sens!D18397-Sens!D18399)+(Sens!D18392-Q!L5)+(Sens!D18399-Q!L12)+(Sens!D18380-Q!L6)+(Sens!D18385-Q!L7)</f>
        <v>0</v>
      </c>
      <c r="E18401" s="27" t="n">
        <f aca="false">(Sens!E18380+Sens!E18385+Sens!E18386+Sens!E18388+Sens!E18390-Sens!E18392)+(Sens!E18393+Sens!E18395+Sens!E18397-Sens!E18399)+(Sens!E18392-Q!M5)+(Sens!E18399-Q!M12)+(Sens!E18380-Q!M6)+(Sens!E18385-Q!M7)</f>
        <v>0</v>
      </c>
      <c r="F18401" s="27" t="n">
        <f aca="false">(Sens!F18380+Sens!F18385+Sens!F18386+Sens!F18388+Sens!F18390-Sens!F18392)+(Sens!F18393+Sens!F18395+Sens!F18397-Sens!F18399)</f>
        <v>0</v>
      </c>
      <c r="G18401" s="27" t="n">
        <f aca="false">(Sens!G18380+Sens!G18385+Sens!G18386+Sens!G18388+Sens!G18390-Sens!G18392)+(Sens!G18393+Sens!G18395+Sens!G18397-Sens!G18399)</f>
        <v>0</v>
      </c>
      <c r="H18401" s="27" t="n">
        <f aca="false">(Sens!H18380+Sens!H18385+Sens!H18386+Sens!H18388+Sens!H18390-Sens!H18392)+(Sens!H18393+Sens!H18395+Sens!H18397-Sens!H18399)</f>
        <v>0</v>
      </c>
      <c r="I18401" s="27" t="n">
        <f aca="false">(Sens!I18380+Sens!I18385+Sens!I18386+Sens!I18388+Sens!I18390-Sens!I18392)+(Sens!I18393+Sens!I18395+Sens!I18397-Sens!I18399)</f>
        <v>0</v>
      </c>
      <c r="J18401" s="27" t="n">
        <f aca="false">(Sens!J18380+Sens!J18385+Sens!J18386+Sens!J18388+Sens!J18390-Sens!J18392)+(Sens!J18393+Sens!J18395+Sens!J18397-Sens!J18399)</f>
        <v>0</v>
      </c>
      <c r="K18401" s="27" t="n">
        <f aca="false">(Sens!K18380+Sens!K18385+Sens!K18386+Sens!K18388+Sens!K18390-Sens!K18392)+(Sens!K18393+Sens!K18395+Sens!K18397-Sens!K18399)</f>
        <v>0</v>
      </c>
    </row>
    <row r="18402" customFormat="false" ht="17.15" hidden="false" customHeight="false" outlineLevel="0" collapsed="false">
      <c r="A18402" s="3" t="s">
        <v>2066</v>
      </c>
    </row>
    <row r="18403" customFormat="false" ht="15" hidden="false" customHeight="false" outlineLevel="0" collapsed="false">
      <c r="A18403" s="4" t="s">
        <v>43</v>
      </c>
      <c r="B18403" s="4" t="s">
        <v>65</v>
      </c>
      <c r="C18403" s="23" t="s">
        <v>942</v>
      </c>
      <c r="D18403" s="23" t="s">
        <v>943</v>
      </c>
      <c r="E18403" s="23" t="s">
        <v>944</v>
      </c>
      <c r="F18403" s="23" t="s">
        <v>945</v>
      </c>
      <c r="G18403" s="23" t="s">
        <v>946</v>
      </c>
      <c r="H18403" s="23" t="s">
        <v>947</v>
      </c>
      <c r="I18403" s="23" t="s">
        <v>948</v>
      </c>
      <c r="J18403" s="23" t="s">
        <v>949</v>
      </c>
      <c r="K18403" s="23" t="s">
        <v>950</v>
      </c>
      <c r="L18403" s="4" t="s">
        <v>47</v>
      </c>
    </row>
    <row r="18404" customFormat="false" ht="15" hidden="false" customHeight="false" outlineLevel="0" collapsed="false">
      <c r="A18404" s="0" t="s">
        <v>1029</v>
      </c>
      <c r="B18404" s="0" t="s">
        <v>98</v>
      </c>
      <c r="D18404" s="6" t="n">
        <f aca="false">Sens!D18380</f>
        <v>72.61</v>
      </c>
      <c r="E18404" s="6" t="n">
        <f aca="false">Sens!E18380</f>
        <v>101.938</v>
      </c>
      <c r="F18404" s="6" t="n">
        <f aca="false">Sens!F18380</f>
        <v>149.59001837225</v>
      </c>
      <c r="G18404" s="6" t="n">
        <f aca="false">Sens!G18380</f>
        <v>210.963087346352</v>
      </c>
      <c r="H18404" s="6" t="n">
        <f aca="false">Sens!H18380</f>
        <v>278.649709314524</v>
      </c>
      <c r="I18404" s="6" t="n">
        <f aca="false">Sens!I18380</f>
        <v>334.269404582332</v>
      </c>
      <c r="J18404" s="6" t="n">
        <f aca="false">Sens!J18380</f>
        <v>376.517293063672</v>
      </c>
      <c r="K18404" s="6" t="n">
        <f aca="false">Sens!K18380</f>
        <v>406.018092622804</v>
      </c>
    </row>
    <row r="18405" customFormat="false" ht="17.15" hidden="false" customHeight="false" outlineLevel="0" collapsed="false">
      <c r="A18405" s="0" t="s">
        <v>1025</v>
      </c>
      <c r="B18405" s="0" t="s">
        <v>98</v>
      </c>
      <c r="D18405" s="6" t="n">
        <f aca="false">Sens!D18377</f>
        <v>12.9359794422418</v>
      </c>
      <c r="E18405" s="6" t="n">
        <f aca="false">Sens!E18377</f>
        <v>27.8095064661409</v>
      </c>
      <c r="F18405" s="6" t="n">
        <f aca="false">Sens!F18377</f>
        <v>59.1034165651511</v>
      </c>
      <c r="G18405" s="6" t="n">
        <f aca="false">Sens!G18377</f>
        <v>103.451498789198</v>
      </c>
      <c r="H18405" s="6" t="n">
        <f aca="false">Sens!H18377</f>
        <v>153.816719989035</v>
      </c>
      <c r="I18405" s="6" t="n">
        <f aca="false">Sens!I18377</f>
        <v>192.699478690852</v>
      </c>
      <c r="J18405" s="6" t="n">
        <f aca="false">Sens!J18377</f>
        <v>219.794102584244</v>
      </c>
      <c r="K18405" s="6" t="n">
        <f aca="false">Sens!K18377</f>
        <v>236.757046905022</v>
      </c>
    </row>
    <row r="18406" customFormat="false" ht="17.15" hidden="false" customHeight="false" outlineLevel="0" collapsed="false">
      <c r="A18406" s="0" t="s">
        <v>1056</v>
      </c>
      <c r="B18406" s="0" t="s">
        <v>98</v>
      </c>
      <c r="D18406" s="6" t="n">
        <f aca="false">Sens!D18378</f>
        <v>59.6740205577583</v>
      </c>
      <c r="E18406" s="6" t="n">
        <f aca="false">Sens!E18378</f>
        <v>74.1284935338591</v>
      </c>
      <c r="F18406" s="6" t="n">
        <f aca="false">Sens!F18378</f>
        <v>90.4866018070994</v>
      </c>
      <c r="G18406" s="6" t="n">
        <f aca="false">Sens!G18378</f>
        <v>107.511588557154</v>
      </c>
      <c r="H18406" s="6" t="n">
        <f aca="false">Sens!H18378</f>
        <v>124.832989325489</v>
      </c>
      <c r="I18406" s="6" t="n">
        <f aca="false">Sens!I18378</f>
        <v>141.56992589148</v>
      </c>
      <c r="J18406" s="6" t="n">
        <f aca="false">Sens!J18378</f>
        <v>156.723190479428</v>
      </c>
      <c r="K18406" s="6" t="n">
        <f aca="false">Sens!K18378</f>
        <v>169.261045717783</v>
      </c>
    </row>
    <row r="18407" customFormat="false" ht="15" hidden="false" customHeight="false" outlineLevel="0" collapsed="false">
      <c r="A18407" s="0" t="s">
        <v>1036</v>
      </c>
      <c r="B18407" s="0" t="s">
        <v>98</v>
      </c>
      <c r="D18407" s="6" t="n">
        <f aca="false">Sens!D18385</f>
        <v>84.605</v>
      </c>
      <c r="E18407" s="6" t="n">
        <f aca="false">Sens!E18385</f>
        <v>100.299</v>
      </c>
      <c r="F18407" s="6" t="n">
        <f aca="false">Sens!F18385</f>
        <v>119.729653205718</v>
      </c>
      <c r="G18407" s="6" t="n">
        <f aca="false">Sens!G18385</f>
        <v>140.806092647576</v>
      </c>
      <c r="H18407" s="6" t="n">
        <f aca="false">Sens!H18385</f>
        <v>161.963437602768</v>
      </c>
      <c r="I18407" s="6" t="n">
        <f aca="false">Sens!I18385</f>
        <v>180.695354741933</v>
      </c>
      <c r="J18407" s="6" t="n">
        <f aca="false">Sens!J18385</f>
        <v>196.722117481571</v>
      </c>
      <c r="K18407" s="6" t="n">
        <f aca="false">Sens!K18385</f>
        <v>212.00016570528</v>
      </c>
    </row>
    <row r="18408" customFormat="false" ht="17.15" hidden="false" customHeight="false" outlineLevel="0" collapsed="false">
      <c r="A18408" s="0" t="s">
        <v>1057</v>
      </c>
      <c r="B18408" s="0" t="s">
        <v>98</v>
      </c>
      <c r="D18408" s="6" t="n">
        <f aca="false">Sens!D18383</f>
        <v>83.705</v>
      </c>
      <c r="E18408" s="6" t="n">
        <f aca="false">Sens!E18383</f>
        <v>95.049</v>
      </c>
      <c r="F18408" s="6" t="n">
        <f aca="false">Sens!F18383</f>
        <v>106.229653205718</v>
      </c>
      <c r="G18408" s="6" t="n">
        <f aca="false">Sens!G18383</f>
        <v>118.306092647576</v>
      </c>
      <c r="H18408" s="6" t="n">
        <f aca="false">Sens!H18383</f>
        <v>130.463437602768</v>
      </c>
      <c r="I18408" s="6" t="n">
        <f aca="false">Sens!I18383</f>
        <v>142.445354741933</v>
      </c>
      <c r="J18408" s="6" t="n">
        <f aca="false">Sens!J18383</f>
        <v>153.972117481571</v>
      </c>
      <c r="K18408" s="6" t="n">
        <f aca="false">Sens!K18383</f>
        <v>164.75016570528</v>
      </c>
    </row>
    <row r="18409" customFormat="false" ht="17.15" hidden="false" customHeight="false" outlineLevel="0" collapsed="false">
      <c r="A18409" s="0" t="s">
        <v>1058</v>
      </c>
      <c r="B18409" s="0" t="s">
        <v>98</v>
      </c>
      <c r="D18409" s="6" t="n">
        <f aca="false">Sens!D18382</f>
        <v>0.9</v>
      </c>
      <c r="E18409" s="6" t="n">
        <f aca="false">Sens!E18382</f>
        <v>5.25</v>
      </c>
      <c r="F18409" s="6" t="n">
        <f aca="false">Sens!F18382</f>
        <v>13.5</v>
      </c>
      <c r="G18409" s="6" t="n">
        <f aca="false">Sens!G18382</f>
        <v>22.5</v>
      </c>
      <c r="H18409" s="6" t="n">
        <f aca="false">Sens!H18382</f>
        <v>31.5</v>
      </c>
      <c r="I18409" s="6" t="n">
        <f aca="false">Sens!I18382</f>
        <v>38.25</v>
      </c>
      <c r="J18409" s="6" t="n">
        <f aca="false">Sens!J18382</f>
        <v>42.75</v>
      </c>
      <c r="K18409" s="6" t="n">
        <f aca="false">Sens!K18382</f>
        <v>47.25</v>
      </c>
    </row>
    <row r="18410" customFormat="false" ht="15" hidden="false" customHeight="false" outlineLevel="0" collapsed="false">
      <c r="A18410" s="0" t="s">
        <v>1037</v>
      </c>
      <c r="B18410" s="0" t="s">
        <v>98</v>
      </c>
      <c r="D18410" s="6" t="n">
        <f aca="false">Sens!D18386</f>
        <v>35.391</v>
      </c>
      <c r="E18410" s="6" t="n">
        <f aca="false">Sens!E18386</f>
        <v>37.285</v>
      </c>
      <c r="F18410" s="6" t="n">
        <f aca="false">Sens!F18386</f>
        <v>38.3851437782675</v>
      </c>
      <c r="G18410" s="6" t="n">
        <f aca="false">Sens!G18386</f>
        <v>40.0105353288615</v>
      </c>
      <c r="H18410" s="6" t="n">
        <f aca="false">Sens!H18386</f>
        <v>41.4812512033683</v>
      </c>
      <c r="I18410" s="6" t="n">
        <f aca="false">Sens!I18386</f>
        <v>42.7743107216329</v>
      </c>
      <c r="J18410" s="6" t="n">
        <f aca="false">Sens!J18386</f>
        <v>43.8687373064601</v>
      </c>
      <c r="K18410" s="6" t="n">
        <f aca="false">Sens!K18386</f>
        <v>44.7461120525893</v>
      </c>
    </row>
    <row r="18411" customFormat="false" ht="15" hidden="false" customHeight="false" outlineLevel="0" collapsed="false">
      <c r="A18411" s="0" t="s">
        <v>1039</v>
      </c>
      <c r="B18411" s="0" t="s">
        <v>98</v>
      </c>
      <c r="D18411" s="6" t="n">
        <f aca="false">Sens!D18388</f>
        <v>18.417</v>
      </c>
      <c r="E18411" s="6" t="n">
        <f aca="false">Sens!E18388</f>
        <v>20.345</v>
      </c>
      <c r="F18411" s="6" t="n">
        <f aca="false">Sens!F18388</f>
        <v>22.3161797133988</v>
      </c>
      <c r="G18411" s="6" t="n">
        <f aca="false">Sens!G18388</f>
        <v>24.3943499673233</v>
      </c>
      <c r="H18411" s="6" t="n">
        <f aca="false">Sens!H18388</f>
        <v>26.5250243109019</v>
      </c>
      <c r="I18411" s="6" t="n">
        <f aca="false">Sens!I18388</f>
        <v>28.6884573538181</v>
      </c>
      <c r="J18411" s="6" t="n">
        <f aca="false">Sens!J18388</f>
        <v>30.8624968052127</v>
      </c>
      <c r="K18411" s="6" t="n">
        <f aca="false">Sens!K18388</f>
        <v>33.0228715815776</v>
      </c>
    </row>
    <row r="18412" customFormat="false" ht="15" hidden="false" customHeight="false" outlineLevel="0" collapsed="false">
      <c r="A18412" s="0" t="s">
        <v>1040</v>
      </c>
      <c r="B18412" s="0" t="s">
        <v>98</v>
      </c>
      <c r="D18412" s="6" t="n">
        <f aca="false">Sens!D18390</f>
        <v>7.76</v>
      </c>
      <c r="E18412" s="6" t="n">
        <f aca="false">Sens!E18390</f>
        <v>8.26</v>
      </c>
      <c r="F18412" s="6" t="n">
        <f aca="false">Sens!F18390</f>
        <v>8.75372082474227</v>
      </c>
      <c r="G18412" s="6" t="n">
        <f aca="false">Sens!G18390</f>
        <v>9.33399324642364</v>
      </c>
      <c r="H18412" s="6" t="n">
        <f aca="false">Sens!H18390</f>
        <v>9.96139155535851</v>
      </c>
      <c r="I18412" s="6" t="n">
        <f aca="false">Sens!I18390</f>
        <v>10.6402039077391</v>
      </c>
      <c r="J18412" s="6" t="n">
        <f aca="false">Sens!J18390</f>
        <v>11.3751458271397</v>
      </c>
      <c r="K18412" s="6" t="n">
        <f aca="false">Sens!K18390</f>
        <v>12.1714060350394</v>
      </c>
    </row>
    <row r="18413" customFormat="false" ht="15" hidden="false" customHeight="false" outlineLevel="0" collapsed="false">
      <c r="A18413" s="0" t="s">
        <v>856</v>
      </c>
      <c r="B18413" s="0" t="s">
        <v>98</v>
      </c>
      <c r="D18413" s="6" t="n">
        <f aca="false">Sens!D18392</f>
        <v>218.783</v>
      </c>
      <c r="E18413" s="6" t="n">
        <f aca="false">Sens!E18392</f>
        <v>268.127</v>
      </c>
      <c r="F18413" s="6" t="n">
        <f aca="false">Sens!F18392</f>
        <v>338.774715894377</v>
      </c>
      <c r="G18413" s="6" t="n">
        <f aca="false">Sens!G18392</f>
        <v>425.508058536537</v>
      </c>
      <c r="H18413" s="6" t="n">
        <f aca="false">Sens!H18392</f>
        <v>518.580813986921</v>
      </c>
      <c r="I18413" s="6" t="n">
        <f aca="false">Sens!I18392</f>
        <v>597.067731307455</v>
      </c>
      <c r="J18413" s="6" t="n">
        <f aca="false">Sens!J18392</f>
        <v>659.345790484055</v>
      </c>
      <c r="K18413" s="6" t="n">
        <f aca="false">Sens!K18392</f>
        <v>707.958647997291</v>
      </c>
    </row>
    <row r="18414" customFormat="false" ht="15" hidden="false" customHeight="false" outlineLevel="0" collapsed="false">
      <c r="A18414" s="0" t="s">
        <v>1041</v>
      </c>
      <c r="B18414" s="0" t="s">
        <v>98</v>
      </c>
      <c r="D18414" s="6" t="n">
        <f aca="false">Sens!D18393</f>
        <v>22.171</v>
      </c>
      <c r="E18414" s="6" t="n">
        <f aca="false">Sens!E18393</f>
        <v>24.835</v>
      </c>
      <c r="F18414" s="6" t="n">
        <f aca="false">Sens!F18393</f>
        <v>27.5591895660247</v>
      </c>
      <c r="G18414" s="6" t="n">
        <f aca="false">Sens!G18393</f>
        <v>30.4098563144583</v>
      </c>
      <c r="H18414" s="6" t="n">
        <f aca="false">Sens!H18393</f>
        <v>33.3011792571777</v>
      </c>
      <c r="I18414" s="6" t="n">
        <f aca="false">Sens!I18393</f>
        <v>36.189023797112</v>
      </c>
      <c r="J18414" s="6" t="n">
        <f aca="false">Sens!J18393</f>
        <v>39.0247773769199</v>
      </c>
      <c r="K18414" s="6" t="n">
        <f aca="false">Sens!K18393</f>
        <v>41.7565117933043</v>
      </c>
    </row>
    <row r="18415" customFormat="false" ht="15" hidden="false" customHeight="false" outlineLevel="0" collapsed="false">
      <c r="A18415" s="0" t="s">
        <v>1042</v>
      </c>
      <c r="B18415" s="0" t="s">
        <v>98</v>
      </c>
      <c r="D18415" s="6" t="n">
        <f aca="false">Sens!D18395</f>
        <v>23.455</v>
      </c>
      <c r="E18415" s="6" t="n">
        <f aca="false">Sens!E18395</f>
        <v>21.79</v>
      </c>
      <c r="F18415" s="6" t="n">
        <f aca="false">Sens!F18395</f>
        <v>20.7520981041711</v>
      </c>
      <c r="G18415" s="6" t="n">
        <f aca="false">Sens!G18395</f>
        <v>19.9083593495882</v>
      </c>
      <c r="H18415" s="6" t="n">
        <f aca="false">Sens!H18395</f>
        <v>19.4008256265831</v>
      </c>
      <c r="I18415" s="6" t="n">
        <f aca="false">Sens!I18395</f>
        <v>19.200434522122</v>
      </c>
      <c r="J18415" s="6" t="n">
        <f aca="false">Sens!J18395</f>
        <v>19.2932782348507</v>
      </c>
      <c r="K18415" s="6" t="n">
        <f aca="false">Sens!K18395</f>
        <v>19.6791437995477</v>
      </c>
    </row>
    <row r="18416" customFormat="false" ht="15" hidden="false" customHeight="false" outlineLevel="0" collapsed="false">
      <c r="A18416" s="0" t="s">
        <v>1043</v>
      </c>
      <c r="B18416" s="0" t="s">
        <v>98</v>
      </c>
      <c r="D18416" s="6" t="n">
        <f aca="false">Sens!D18397</f>
        <v>17.315</v>
      </c>
      <c r="E18416" s="6" t="n">
        <f aca="false">Sens!E18397</f>
        <v>17.087</v>
      </c>
      <c r="F18416" s="6" t="n">
        <f aca="false">Sens!F18397</f>
        <v>11.6994</v>
      </c>
      <c r="G18416" s="6" t="n">
        <f aca="false">Sens!G18397</f>
        <v>11.6746926329772</v>
      </c>
      <c r="H18416" s="6" t="n">
        <f aca="false">Sens!H18397</f>
        <v>11.7145747045475</v>
      </c>
      <c r="I18416" s="6" t="n">
        <f aca="false">Sens!I18397</f>
        <v>11.8193507447388</v>
      </c>
      <c r="J18416" s="6" t="n">
        <f aca="false">Sens!J18397</f>
        <v>11.9904008346869</v>
      </c>
      <c r="K18416" s="6" t="n">
        <f aca="false">Sens!K18397</f>
        <v>12.2302088513807</v>
      </c>
    </row>
    <row r="18417" customFormat="false" ht="15" hidden="false" customHeight="false" outlineLevel="0" collapsed="false">
      <c r="A18417" s="0" t="s">
        <v>870</v>
      </c>
      <c r="B18417" s="0" t="s">
        <v>98</v>
      </c>
      <c r="D18417" s="6" t="n">
        <f aca="false">Sens!D18399</f>
        <v>62.941</v>
      </c>
      <c r="E18417" s="6" t="n">
        <f aca="false">Sens!E18399</f>
        <v>63.712</v>
      </c>
      <c r="F18417" s="6" t="n">
        <f aca="false">Sens!F18399</f>
        <v>60.0106876701958</v>
      </c>
      <c r="G18417" s="6" t="n">
        <f aca="false">Sens!G18399</f>
        <v>61.9929082970237</v>
      </c>
      <c r="H18417" s="6" t="n">
        <f aca="false">Sens!H18399</f>
        <v>64.4165795883084</v>
      </c>
      <c r="I18417" s="6" t="n">
        <f aca="false">Sens!I18399</f>
        <v>67.2088090639728</v>
      </c>
      <c r="J18417" s="6" t="n">
        <f aca="false">Sens!J18399</f>
        <v>70.3084564464575</v>
      </c>
      <c r="K18417" s="6" t="n">
        <f aca="false">Sens!K18399</f>
        <v>73.6658644442326</v>
      </c>
    </row>
    <row r="18418" customFormat="false" ht="15" hidden="false" customHeight="false" outlineLevel="0" collapsed="false">
      <c r="A18418" s="1" t="s">
        <v>1059</v>
      </c>
      <c r="B18418" s="0" t="s">
        <v>98</v>
      </c>
      <c r="D18418" s="6" t="n">
        <f aca="false">Sens!D18400</f>
        <v>281.724</v>
      </c>
      <c r="E18418" s="6" t="n">
        <f aca="false">Sens!E18400</f>
        <v>331.839</v>
      </c>
      <c r="F18418" s="6" t="n">
        <f aca="false">Sens!F18400</f>
        <v>398.785403564573</v>
      </c>
      <c r="G18418" s="6" t="n">
        <f aca="false">Sens!G18400</f>
        <v>487.500966833561</v>
      </c>
      <c r="H18418" s="6" t="n">
        <f aca="false">Sens!H18400</f>
        <v>582.997393575229</v>
      </c>
      <c r="I18418" s="6" t="n">
        <f aca="false">Sens!I18400</f>
        <v>664.276540371428</v>
      </c>
      <c r="J18418" s="6" t="n">
        <f aca="false">Sens!J18400</f>
        <v>729.654246930512</v>
      </c>
      <c r="K18418" s="6" t="n">
        <f aca="false">Sens!K18400</f>
        <v>781.624512441524</v>
      </c>
    </row>
    <row r="18419" customFormat="false" ht="15" hidden="false" customHeight="false" outlineLevel="0" collapsed="false">
      <c r="A18419" s="1" t="s">
        <v>1060</v>
      </c>
      <c r="B18419" s="0" t="s">
        <v>168</v>
      </c>
      <c r="E18419" s="7" t="n">
        <f aca="false">Sens!E18418/Sens!D18418-1</f>
        <v>0.177886867998467</v>
      </c>
      <c r="F18419" s="7" t="n">
        <f aca="false">Sens!F18418/Sens!E18418-1</f>
        <v>0.201743627375242</v>
      </c>
      <c r="G18419" s="7" t="n">
        <f aca="false">Sens!G18418/Sens!F18418-1</f>
        <v>0.222464419399499</v>
      </c>
      <c r="H18419" s="7" t="n">
        <f aca="false">Sens!H18418/Sens!G18418-1</f>
        <v>0.195889717638801</v>
      </c>
      <c r="I18419" s="7" t="n">
        <f aca="false">Sens!I18418/Sens!H18418-1</f>
        <v>0.139415969422701</v>
      </c>
      <c r="J18419" s="7" t="n">
        <f aca="false">Sens!J18418/Sens!I18418-1</f>
        <v>0.0984194120757735</v>
      </c>
      <c r="K18419" s="7" t="n">
        <f aca="false">Sens!K18418/Sens!J18418-1</f>
        <v>0.071225879558213</v>
      </c>
    </row>
    <row r="18420" customFormat="false" ht="17.15" hidden="false" customHeight="false" outlineLevel="0" collapsed="false">
      <c r="A18420" s="26" t="s">
        <v>1061</v>
      </c>
      <c r="B18420" s="31" t="s">
        <v>98</v>
      </c>
      <c r="C18420" s="31"/>
      <c r="D18420" s="27" t="n">
        <f aca="false">(Sens!D18413+Sens!D18417-Sens!D18418)+(Sens!D18405+Sens!D18406-Sens!D18404)+(Sens!D18408+Sens!D18409-Sens!D18407)+(Sens!D18418-Q!L18)</f>
        <v>0</v>
      </c>
      <c r="E18420" s="27" t="n">
        <f aca="false">(Sens!E18413+Sens!E18417-Sens!E18418)+(Sens!E18405+Sens!E18406-Sens!E18404)+(Sens!E18408+Sens!E18409-Sens!E18407)+(Sens!E18418-Q!M18)</f>
        <v>0</v>
      </c>
      <c r="F18420" s="27" t="n">
        <f aca="false">(Sens!F18413+Sens!F18417-Sens!F18418)+(Sens!F18405+Sens!F18406-Sens!F18404)+(Sens!F18408+Sens!F18409-Sens!F18407)</f>
        <v>0</v>
      </c>
      <c r="G18420" s="27" t="n">
        <f aca="false">(Sens!G18413+Sens!G18417-Sens!G18418)+(Sens!G18405+Sens!G18406-Sens!G18404)+(Sens!G18408+Sens!G18409-Sens!G18407)</f>
        <v>0</v>
      </c>
      <c r="H18420" s="27" t="n">
        <f aca="false">(Sens!H18413+Sens!H18417-Sens!H18418)+(Sens!H18405+Sens!H18406-Sens!H18404)+(Sens!H18408+Sens!H18409-Sens!H18407)</f>
        <v>0</v>
      </c>
      <c r="I18420" s="27" t="n">
        <f aca="false">(Sens!I18413+Sens!I18417-Sens!I18418)+(Sens!I18405+Sens!I18406-Sens!I18404)+(Sens!I18408+Sens!I18409-Sens!I18407)</f>
        <v>0</v>
      </c>
      <c r="J18420" s="27" t="n">
        <f aca="false">(Sens!J18413+Sens!J18417-Sens!J18418)+(Sens!J18405+Sens!J18406-Sens!J18404)+(Sens!J18408+Sens!J18409-Sens!J18407)</f>
        <v>0</v>
      </c>
      <c r="K18420" s="27" t="n">
        <f aca="false">(Sens!K18413+Sens!K18417-Sens!K18418)+(Sens!K18405+Sens!K18406-Sens!K18404)+(Sens!K18408+Sens!K18409-Sens!K18407)</f>
        <v>0</v>
      </c>
    </row>
    <row r="18421" customFormat="false" ht="17.15" hidden="false" customHeight="false" outlineLevel="0" collapsed="false">
      <c r="A18421" s="0" t="s">
        <v>1062</v>
      </c>
      <c r="B18421" s="0" t="s">
        <v>168</v>
      </c>
      <c r="E18421" s="7" t="n">
        <f aca="false">(Q!M21+Sens!E18357+Sens!E18358+Sens!E18359+Sens!E18373-Sens!E18355)/(Q!M5-Sens!E18355)</f>
        <v>0.570957350878296</v>
      </c>
      <c r="F18421" s="7" t="n">
        <f aca="false">Sens!$E$18421+dm_seg</f>
        <v>0.570957350878296</v>
      </c>
      <c r="G18421" s="7" t="n">
        <f aca="false">Sens!$E$18421+dm_seg</f>
        <v>0.570957350878296</v>
      </c>
      <c r="H18421" s="7" t="n">
        <f aca="false">Sens!$E$18421+dm_seg</f>
        <v>0.570957350878296</v>
      </c>
      <c r="I18421" s="7" t="n">
        <f aca="false">Sens!$E$18421+dm_seg</f>
        <v>0.570957350878296</v>
      </c>
      <c r="J18421" s="7" t="n">
        <f aca="false">Sens!$E$18421+dm_seg</f>
        <v>0.570957350878296</v>
      </c>
      <c r="K18421" s="7" t="n">
        <f aca="false">Sens!$E$18421+dm_seg</f>
        <v>0.570957350878296</v>
      </c>
      <c r="L18421" s="12" t="s">
        <v>1063</v>
      </c>
    </row>
    <row r="18422" customFormat="false" ht="17.15" hidden="false" customHeight="false" outlineLevel="0" collapsed="false">
      <c r="A18422" s="0" t="s">
        <v>884</v>
      </c>
      <c r="B18422" s="0" t="s">
        <v>98</v>
      </c>
      <c r="D18422" s="6" t="n">
        <f aca="false">Q!L21</f>
        <v>110.814</v>
      </c>
      <c r="E18422" s="6" t="n">
        <f aca="false">Q!M21</f>
        <v>136.365</v>
      </c>
      <c r="F18422" s="6" t="n">
        <f aca="false">Q!$I$21+(Sens!F18421*(Sens!F18392-Sens!F18355)+Sens!F18355-(Sens!F18357+Sens!F18358+Sens!F18359)-Sens!F18373-Sens!F18456)*(Sens!F18392-Q!$I$5)/Sens!F18392</f>
        <v>165.508983480954</v>
      </c>
      <c r="G18422" s="6" t="n">
        <f aca="false">(Sens!G18421*(Sens!G18392-Sens!G18355)+Sens!G18355-(Sens!G18357+Sens!G18358+Sens!G18359)-Sens!G18373-Sens!G18456)</f>
        <v>191.510505868957</v>
      </c>
      <c r="H18422" s="6" t="n">
        <f aca="false">(Sens!H18421*(Sens!H18392-Sens!H18355)+Sens!H18355-(Sens!H18357+Sens!H18358+Sens!H18359)-Sens!H18373-Sens!H18456)</f>
        <v>225.766054456289</v>
      </c>
      <c r="I18422" s="6" t="n">
        <f aca="false">(Sens!I18421*(Sens!I18392-Sens!I18355)+Sens!I18355-(Sens!I18357+Sens!I18358+Sens!I18359)-Sens!I18373-Sens!I18456)</f>
        <v>251.63235706738</v>
      </c>
      <c r="J18422" s="6" t="n">
        <f aca="false">(Sens!J18421*(Sens!J18392-Sens!J18355)+Sens!J18355-(Sens!J18357+Sens!J18358+Sens!J18359)-Sens!J18373-Sens!J18456)</f>
        <v>273.885297620324</v>
      </c>
      <c r="K18422" s="6" t="n">
        <f aca="false">(Sens!K18421*(Sens!K18392-Sens!K18355)+Sens!K18355-(Sens!K18357+Sens!K18358+Sens!K18359)-Sens!K18373-Sens!K18456)</f>
        <v>293.866442727654</v>
      </c>
      <c r="L18422" s="1" t="s">
        <v>1064</v>
      </c>
    </row>
    <row r="18423" customFormat="false" ht="17.15" hidden="false" customHeight="false" outlineLevel="0" collapsed="false">
      <c r="A18423" s="0" t="s">
        <v>1065</v>
      </c>
      <c r="B18423" s="0" t="s">
        <v>168</v>
      </c>
      <c r="E18423" s="7" t="n">
        <f aca="false">Q!M22/Q!M12</f>
        <v>0.296207935710698</v>
      </c>
      <c r="F18423" s="7" t="n">
        <f aca="false">Sens!$E$18423+dm_seg</f>
        <v>0.296207935710698</v>
      </c>
      <c r="G18423" s="7" t="n">
        <f aca="false">Sens!$E$18423+dm_seg</f>
        <v>0.296207935710698</v>
      </c>
      <c r="H18423" s="7" t="n">
        <f aca="false">Sens!$E$18423+dm_seg</f>
        <v>0.296207935710698</v>
      </c>
      <c r="I18423" s="7" t="n">
        <f aca="false">Sens!$E$18423+dm_seg</f>
        <v>0.296207935710698</v>
      </c>
      <c r="J18423" s="7" t="n">
        <f aca="false">Sens!$E$18423+dm_seg</f>
        <v>0.296207935710698</v>
      </c>
      <c r="K18423" s="7" t="n">
        <f aca="false">Sens!$E$18423+dm_seg</f>
        <v>0.296207935710698</v>
      </c>
      <c r="L18423" s="12" t="s">
        <v>1066</v>
      </c>
    </row>
    <row r="18424" customFormat="false" ht="17.15" hidden="false" customHeight="false" outlineLevel="0" collapsed="false">
      <c r="A18424" s="0" t="s">
        <v>886</v>
      </c>
      <c r="B18424" s="0" t="s">
        <v>98</v>
      </c>
      <c r="D18424" s="6" t="n">
        <f aca="false">Q!L22</f>
        <v>17.714</v>
      </c>
      <c r="E18424" s="6" t="n">
        <f aca="false">Q!M22</f>
        <v>18.872</v>
      </c>
      <c r="F18424" s="6" t="n">
        <f aca="false">Q!$I$22+(Sens!F18399-Q!$I$12)*Sens!F18423</f>
        <v>18.5461582388237</v>
      </c>
      <c r="G18424" s="6" t="n">
        <f aca="false">Sens!G18399*Sens!G18423</f>
        <v>18.362791395364</v>
      </c>
      <c r="H18424" s="6" t="n">
        <f aca="false">Sens!H18399*Sens!H18423</f>
        <v>19.0807020653967</v>
      </c>
      <c r="I18424" s="6" t="n">
        <f aca="false">Sens!I18399*Sens!I18423</f>
        <v>19.9077825944138</v>
      </c>
      <c r="J18424" s="6" t="n">
        <f aca="false">Sens!J18399*Sens!J18423</f>
        <v>20.8259227470107</v>
      </c>
      <c r="K18424" s="6" t="n">
        <f aca="false">Sens!K18399*Sens!K18423</f>
        <v>21.8204136393703</v>
      </c>
      <c r="L18424" s="12" t="s">
        <v>1067</v>
      </c>
    </row>
    <row r="18425" customFormat="false" ht="15" hidden="false" customHeight="false" outlineLevel="0" collapsed="false">
      <c r="A18425" s="1" t="s">
        <v>1068</v>
      </c>
      <c r="B18425" s="0" t="s">
        <v>98</v>
      </c>
      <c r="D18425" s="6" t="n">
        <f aca="false">Sens!D18422+Sens!D18424</f>
        <v>128.528</v>
      </c>
      <c r="E18425" s="6" t="n">
        <f aca="false">Sens!E18422+Sens!E18424</f>
        <v>155.237</v>
      </c>
      <c r="F18425" s="6" t="n">
        <f aca="false">Sens!F18422+Sens!F18424</f>
        <v>184.055141719778</v>
      </c>
      <c r="G18425" s="6" t="n">
        <f aca="false">Sens!G18422+Sens!G18424</f>
        <v>209.873297264321</v>
      </c>
      <c r="H18425" s="6" t="n">
        <f aca="false">Sens!H18422+Sens!H18424</f>
        <v>244.846756521686</v>
      </c>
      <c r="I18425" s="6" t="n">
        <f aca="false">Sens!I18422+Sens!I18424</f>
        <v>271.540139661794</v>
      </c>
      <c r="J18425" s="6" t="n">
        <f aca="false">Sens!J18422+Sens!J18424</f>
        <v>294.711220367335</v>
      </c>
      <c r="K18425" s="6" t="n">
        <f aca="false">Sens!K18422+Sens!K18424</f>
        <v>315.686856367024</v>
      </c>
    </row>
    <row r="18426" customFormat="false" ht="15" hidden="false" customHeight="false" outlineLevel="0" collapsed="false">
      <c r="A18426" s="26" t="s">
        <v>1069</v>
      </c>
      <c r="B18426" s="31" t="s">
        <v>98</v>
      </c>
      <c r="C18426" s="31"/>
      <c r="D18426" s="27" t="n">
        <f aca="false">Sens!D18425-Q!L23</f>
        <v>0</v>
      </c>
      <c r="E18426" s="27" t="n">
        <f aca="false">Sens!E18425-Q!M23</f>
        <v>0</v>
      </c>
      <c r="F18426" s="31"/>
      <c r="G18426" s="31"/>
      <c r="H18426" s="31"/>
      <c r="I18426" s="31"/>
      <c r="J18426" s="31"/>
      <c r="K18426" s="31"/>
    </row>
    <row r="18427" customFormat="false" ht="15" hidden="false" customHeight="false" outlineLevel="0" collapsed="false">
      <c r="A18427" s="1" t="s">
        <v>1070</v>
      </c>
      <c r="B18427" s="0" t="s">
        <v>168</v>
      </c>
      <c r="D18427" s="7" t="n">
        <f aca="false">Sens!D18425/Sens!D18418</f>
        <v>0.456219562408598</v>
      </c>
      <c r="E18427" s="7" t="n">
        <f aca="false">Sens!E18425/Sens!E18418</f>
        <v>0.467808184089272</v>
      </c>
      <c r="F18427" s="7" t="n">
        <f aca="false">Sens!F18425/Sens!F18418</f>
        <v>0.461539314314384</v>
      </c>
      <c r="G18427" s="7" t="n">
        <f aca="false">Sens!G18425/Sens!G18418</f>
        <v>0.430508473916473</v>
      </c>
      <c r="H18427" s="7" t="n">
        <f aca="false">Sens!H18425/Sens!H18418</f>
        <v>0.419979161519341</v>
      </c>
      <c r="I18427" s="7" t="n">
        <f aca="false">Sens!I18425/Sens!I18418</f>
        <v>0.408775747988877</v>
      </c>
      <c r="J18427" s="7" t="n">
        <f aca="false">Sens!J18425/Sens!J18418</f>
        <v>0.403905303925958</v>
      </c>
      <c r="K18427" s="7" t="n">
        <f aca="false">Sens!K18425/Sens!K18418</f>
        <v>0.403885563134308</v>
      </c>
    </row>
    <row r="18428" customFormat="false" ht="17.15" hidden="false" customHeight="false" outlineLevel="0" collapsed="false">
      <c r="A18428" s="1" t="s">
        <v>1071</v>
      </c>
      <c r="B18428" s="0" t="s">
        <v>98</v>
      </c>
      <c r="F18428" s="6" t="n">
        <f aca="false">Sens!F18443</f>
        <v>8.88340674531245</v>
      </c>
      <c r="G18428" s="6" t="n">
        <f aca="false">Sens!G18443</f>
        <v>22.7060305170273</v>
      </c>
      <c r="H18428" s="6" t="n">
        <f aca="false">Sens!H18443</f>
        <v>38.0018452382075</v>
      </c>
      <c r="I18428" s="6" t="n">
        <f aca="false">Sens!I18443</f>
        <v>52.1381094705177</v>
      </c>
      <c r="J18428" s="6" t="n">
        <f aca="false">Sens!J18443</f>
        <v>62.0595818934393</v>
      </c>
      <c r="K18428" s="6" t="n">
        <f aca="false">Sens!K18443</f>
        <v>67.0801312706266</v>
      </c>
      <c r="L18428" s="1" t="s">
        <v>1072</v>
      </c>
    </row>
    <row r="18429" customFormat="false" ht="17.15" hidden="false" customHeight="false" outlineLevel="0" collapsed="false">
      <c r="A18429" s="1" t="s">
        <v>1073</v>
      </c>
      <c r="B18429" s="0" t="s">
        <v>98</v>
      </c>
      <c r="D18429" s="6" t="n">
        <f aca="false">Sens!D18425</f>
        <v>128.528</v>
      </c>
      <c r="E18429" s="6" t="n">
        <f aca="false">Sens!E18425</f>
        <v>155.237</v>
      </c>
      <c r="F18429" s="6" t="n">
        <f aca="false">Sens!F18425+Sens!F18428</f>
        <v>192.93854846509</v>
      </c>
      <c r="G18429" s="6" t="n">
        <f aca="false">Sens!G18425+Sens!G18428</f>
        <v>232.579327781349</v>
      </c>
      <c r="H18429" s="6" t="n">
        <f aca="false">Sens!H18425+Sens!H18428</f>
        <v>282.848601759893</v>
      </c>
      <c r="I18429" s="6" t="n">
        <f aca="false">Sens!I18425+Sens!I18428</f>
        <v>323.678249132311</v>
      </c>
      <c r="J18429" s="6" t="n">
        <f aca="false">Sens!J18425+Sens!J18428</f>
        <v>356.770802260774</v>
      </c>
      <c r="K18429" s="6" t="n">
        <f aca="false">Sens!K18425+Sens!K18428</f>
        <v>382.766987637651</v>
      </c>
    </row>
    <row r="18430" customFormat="false" ht="17.15" hidden="false" customHeight="false" outlineLevel="0" collapsed="false">
      <c r="A18430" s="1" t="s">
        <v>1074</v>
      </c>
      <c r="B18430" s="0" t="s">
        <v>98</v>
      </c>
      <c r="E18430" s="6" t="n">
        <f aca="false">Sens!E18373</f>
        <v>16.3054059770833</v>
      </c>
      <c r="F18430" s="6" t="n">
        <f aca="false">Sens!F18373</f>
        <v>34.5793144783516</v>
      </c>
      <c r="G18430" s="6" t="n">
        <f aca="false">Sens!G18373</f>
        <v>60.7344906522989</v>
      </c>
      <c r="H18430" s="6" t="n">
        <f aca="false">Sens!H18373</f>
        <v>89.1000906614457</v>
      </c>
      <c r="I18430" s="6" t="n">
        <f aca="false">Sens!I18373</f>
        <v>114.231009694548</v>
      </c>
      <c r="J18430" s="6" t="n">
        <f aca="false">Sens!J18373</f>
        <v>132.015673049596</v>
      </c>
      <c r="K18430" s="6" t="n">
        <f aca="false">Sens!K18373</f>
        <v>143.012669550934</v>
      </c>
    </row>
    <row r="18431" customFormat="false" ht="17.15" hidden="false" customHeight="false" outlineLevel="0" collapsed="false">
      <c r="A18431" s="1" t="s">
        <v>1075</v>
      </c>
      <c r="B18431" s="0" t="s">
        <v>98</v>
      </c>
      <c r="E18431" s="6" t="n">
        <f aca="false">Sens!E18455</f>
        <v>22.2285940229167</v>
      </c>
      <c r="F18431" s="6" t="n">
        <f aca="false">Sens!F18455</f>
        <v>23.580344216413</v>
      </c>
      <c r="G18431" s="6" t="n">
        <f aca="false">Sens!G18455</f>
        <v>25.3672932855804</v>
      </c>
      <c r="H18431" s="6" t="n">
        <f aca="false">Sens!H18455</f>
        <v>27.5720083363487</v>
      </c>
      <c r="I18431" s="6" t="n">
        <f aca="false">Sens!I18455</f>
        <v>30.1179230418913</v>
      </c>
      <c r="J18431" s="6" t="n">
        <f aca="false">Sens!J18455</f>
        <v>32.9127906661051</v>
      </c>
      <c r="K18431" s="6" t="n">
        <f aca="false">Sens!K18455</f>
        <v>35.8719779353905</v>
      </c>
    </row>
    <row r="18432" customFormat="false" ht="17.15" hidden="false" customHeight="false" outlineLevel="0" collapsed="false">
      <c r="A18432" s="1" t="s">
        <v>1076</v>
      </c>
      <c r="B18432" s="0" t="s">
        <v>98</v>
      </c>
      <c r="D18432" s="6" t="n">
        <f aca="false">Q!L27</f>
        <v>-4.901</v>
      </c>
      <c r="E18432" s="6" t="n">
        <f aca="false">Q!M27</f>
        <v>10.697</v>
      </c>
      <c r="F18432" s="6" t="n">
        <f aca="false">Q!$I$27+oie_f*(q_per_yr-1)/q_per_yr</f>
        <v>-0.862</v>
      </c>
      <c r="G18432" s="6" t="n">
        <f aca="false">oie_f</f>
        <v>-1.2</v>
      </c>
      <c r="H18432" s="6" t="n">
        <f aca="false">oie_f</f>
        <v>-1.2</v>
      </c>
      <c r="I18432" s="6" t="n">
        <f aca="false">oie_f</f>
        <v>-1.2</v>
      </c>
      <c r="J18432" s="6" t="n">
        <f aca="false">oie_f</f>
        <v>-1.2</v>
      </c>
      <c r="K18432" s="6" t="n">
        <f aca="false">oie_f</f>
        <v>-1.2</v>
      </c>
      <c r="L18432" s="12" t="s">
        <v>1077</v>
      </c>
    </row>
    <row r="18433" customFormat="false" ht="15" hidden="false" customHeight="false" outlineLevel="0" collapsed="false">
      <c r="A18433" s="1" t="s">
        <v>1078</v>
      </c>
      <c r="B18433" s="0" t="s">
        <v>98</v>
      </c>
      <c r="D18433" s="6" t="n">
        <f aca="false">Sens!D18425+Sens!D18432</f>
        <v>123.627</v>
      </c>
      <c r="E18433" s="6" t="n">
        <f aca="false">Sens!E18425+Sens!E18432</f>
        <v>165.934</v>
      </c>
      <c r="F18433" s="6" t="n">
        <f aca="false">Sens!F18425+Sens!F18432</f>
        <v>183.193141719778</v>
      </c>
      <c r="G18433" s="6" t="n">
        <f aca="false">Sens!G18425+Sens!G18432</f>
        <v>208.673297264321</v>
      </c>
      <c r="H18433" s="6" t="n">
        <f aca="false">Sens!H18425+Sens!H18432</f>
        <v>243.646756521686</v>
      </c>
      <c r="I18433" s="6" t="n">
        <f aca="false">Sens!I18425+Sens!I18432</f>
        <v>270.340139661794</v>
      </c>
      <c r="J18433" s="6" t="n">
        <f aca="false">Sens!J18425+Sens!J18432</f>
        <v>293.511220367335</v>
      </c>
      <c r="K18433" s="6" t="n">
        <f aca="false">Sens!K18425+Sens!K18432</f>
        <v>314.486856367024</v>
      </c>
    </row>
    <row r="18434" customFormat="false" ht="15" hidden="false" customHeight="false" outlineLevel="0" collapsed="false">
      <c r="A18434" s="1" t="s">
        <v>1079</v>
      </c>
      <c r="B18434" s="0" t="s">
        <v>98</v>
      </c>
      <c r="D18434" s="6" t="n">
        <f aca="false">Q!L29</f>
        <v>21.795</v>
      </c>
      <c r="E18434" s="6" t="n">
        <f aca="false">Q!M29</f>
        <v>32.185</v>
      </c>
      <c r="F18434" s="6" t="n">
        <f aca="false">Q!$I$29+(Sens!F18433-Q!$I$28)*tax_f</f>
        <v>36.7720283439556</v>
      </c>
      <c r="G18434" s="6" t="n">
        <f aca="false">Sens!G18433*tax_f</f>
        <v>41.7346594528643</v>
      </c>
      <c r="H18434" s="6" t="n">
        <f aca="false">Sens!H18433*tax_f</f>
        <v>48.7293513043372</v>
      </c>
      <c r="I18434" s="6" t="n">
        <f aca="false">Sens!I18433*tax_f</f>
        <v>54.0680279323587</v>
      </c>
      <c r="J18434" s="6" t="n">
        <f aca="false">Sens!J18433*tax_f</f>
        <v>58.7022440734669</v>
      </c>
      <c r="K18434" s="6" t="n">
        <f aca="false">Sens!K18433*tax_f</f>
        <v>62.8973712734048</v>
      </c>
    </row>
    <row r="18435" customFormat="false" ht="15" hidden="false" customHeight="false" outlineLevel="0" collapsed="false">
      <c r="A18435" s="1" t="s">
        <v>1080</v>
      </c>
      <c r="B18435" s="0" t="s">
        <v>98</v>
      </c>
      <c r="D18435" s="6" t="n">
        <f aca="false">Sens!D18433-Sens!D18434</f>
        <v>101.832</v>
      </c>
      <c r="E18435" s="6" t="n">
        <f aca="false">Sens!E18433-Sens!E18434</f>
        <v>133.749</v>
      </c>
      <c r="F18435" s="6" t="n">
        <f aca="false">Sens!F18433-Sens!F18434</f>
        <v>146.421113375822</v>
      </c>
      <c r="G18435" s="6" t="n">
        <f aca="false">Sens!G18433-Sens!G18434</f>
        <v>166.938637811457</v>
      </c>
      <c r="H18435" s="6" t="n">
        <f aca="false">Sens!H18433-Sens!H18434</f>
        <v>194.917405217349</v>
      </c>
      <c r="I18435" s="6" t="n">
        <f aca="false">Sens!I18433-Sens!I18434</f>
        <v>216.272111729435</v>
      </c>
      <c r="J18435" s="6" t="n">
        <f aca="false">Sens!J18433-Sens!J18434</f>
        <v>234.808976293868</v>
      </c>
      <c r="K18435" s="6" t="n">
        <f aca="false">Sens!K18433-Sens!K18434</f>
        <v>251.589485093619</v>
      </c>
    </row>
    <row r="18436" customFormat="false" ht="17.15" hidden="false" customHeight="false" outlineLevel="0" collapsed="false">
      <c r="A18436" s="1" t="s">
        <v>1081</v>
      </c>
      <c r="B18436" s="1" t="s">
        <v>81</v>
      </c>
      <c r="D18436" s="15" t="n">
        <f aca="false">Q!L31</f>
        <v>7.465</v>
      </c>
      <c r="E18436" s="15" t="n">
        <f aca="false">Q!M31</f>
        <v>7.453</v>
      </c>
      <c r="F18436" s="15" t="n">
        <f aca="false">Sens!F18480</f>
        <v>7.47170674888949</v>
      </c>
      <c r="G18436" s="15" t="n">
        <f aca="false">Sens!G18480</f>
        <v>7.51295571657515</v>
      </c>
      <c r="H18436" s="15" t="n">
        <f aca="false">Sens!H18480</f>
        <v>7.53869787440014</v>
      </c>
      <c r="I18436" s="15" t="n">
        <f aca="false">Sens!I18480</f>
        <v>7.55037923845561</v>
      </c>
      <c r="J18436" s="15" t="n">
        <f aca="false">Sens!J18480</f>
        <v>7.56452864961808</v>
      </c>
      <c r="K18436" s="15" t="n">
        <f aca="false">Sens!K18480</f>
        <v>7.58096328958333</v>
      </c>
    </row>
    <row r="18437" customFormat="false" ht="17.15" hidden="false" customHeight="false" outlineLevel="0" collapsed="false">
      <c r="A18437" s="0" t="s">
        <v>1082</v>
      </c>
      <c r="B18437" s="0" t="s">
        <v>75</v>
      </c>
      <c r="D18437" s="8" t="n">
        <f aca="false">Sens!D18435/Sens!D18436</f>
        <v>13.641259209645</v>
      </c>
      <c r="E18437" s="8" t="n">
        <f aca="false">Sens!E18435/Sens!E18436</f>
        <v>17.9456594659869</v>
      </c>
      <c r="F18437" s="8" t="n">
        <f aca="false">Sens!F18435/Sens!F18436</f>
        <v>19.5967425244018</v>
      </c>
      <c r="G18437" s="8" t="n">
        <f aca="false">Sens!G18435/Sens!G18436</f>
        <v>22.220101396732</v>
      </c>
      <c r="H18437" s="8" t="n">
        <f aca="false">Sens!H18435/Sens!H18436</f>
        <v>25.8555798978558</v>
      </c>
      <c r="I18437" s="8" t="n">
        <f aca="false">Sens!I18435/Sens!I18436</f>
        <v>28.6438740226342</v>
      </c>
      <c r="J18437" s="8" t="n">
        <f aca="false">Sens!J18435/Sens!J18436</f>
        <v>31.0407941023163</v>
      </c>
      <c r="K18437" s="8" t="n">
        <f aca="false">Sens!K18435/Sens!K18436</f>
        <v>33.1870074399803</v>
      </c>
      <c r="L18437" s="1" t="s">
        <v>1083</v>
      </c>
    </row>
    <row r="18438" customFormat="false" ht="17.15" hidden="false" customHeight="false" outlineLevel="0" collapsed="false">
      <c r="A18438" s="1" t="s">
        <v>1084</v>
      </c>
      <c r="B18438" s="0" t="s">
        <v>98</v>
      </c>
      <c r="D18438" s="6" t="n">
        <f aca="false">Sens!D18435</f>
        <v>101.832</v>
      </c>
      <c r="E18438" s="6" t="n">
        <f aca="false">Sens!E18435</f>
        <v>133.749</v>
      </c>
      <c r="F18438" s="6" t="n">
        <f aca="false">Sens!F18435+Sens!F18428*(1-tax_f)</f>
        <v>153.527838772072</v>
      </c>
      <c r="G18438" s="6" t="n">
        <f aca="false">Sens!G18435+Sens!G18428*(1-tax_f)</f>
        <v>185.103462225079</v>
      </c>
      <c r="H18438" s="6" t="n">
        <f aca="false">Sens!H18435+Sens!H18428*(1-tax_f)</f>
        <v>225.318881407915</v>
      </c>
      <c r="I18438" s="6" t="n">
        <f aca="false">Sens!I18435+Sens!I18428*(1-tax_f)</f>
        <v>257.982599305849</v>
      </c>
      <c r="J18438" s="6" t="n">
        <f aca="false">Sens!J18435+Sens!J18428*(1-tax_f)</f>
        <v>284.456641808619</v>
      </c>
      <c r="K18438" s="6" t="n">
        <f aca="false">Sens!K18435+Sens!K18428*(1-tax_f)</f>
        <v>305.25359011012</v>
      </c>
    </row>
    <row r="18439" customFormat="false" ht="17.15" hidden="false" customHeight="false" outlineLevel="0" collapsed="false">
      <c r="A18439" s="0" t="s">
        <v>1085</v>
      </c>
      <c r="B18439" s="0" t="s">
        <v>75</v>
      </c>
      <c r="D18439" s="8" t="n">
        <f aca="false">Sens!D18438/Sens!D18436</f>
        <v>13.641259209645</v>
      </c>
      <c r="E18439" s="8" t="n">
        <f aca="false">Sens!E18438/Sens!E18436</f>
        <v>17.9456594659869</v>
      </c>
      <c r="F18439" s="8" t="n">
        <f aca="false">Sens!F18438/Sens!F18436</f>
        <v>20.5478940664917</v>
      </c>
      <c r="G18439" s="8" t="n">
        <f aca="false">Sens!G18438/Sens!G18436</f>
        <v>24.637901407658</v>
      </c>
      <c r="H18439" s="8" t="n">
        <f aca="false">Sens!H18438/Sens!H18436</f>
        <v>29.8883023516636</v>
      </c>
      <c r="I18439" s="8" t="n">
        <f aca="false">Sens!I18438/Sens!I18436</f>
        <v>34.168164427012</v>
      </c>
      <c r="J18439" s="8" t="n">
        <f aca="false">Sens!J18438/Sens!J18436</f>
        <v>37.604014074688</v>
      </c>
      <c r="K18439" s="8" t="n">
        <f aca="false">Sens!K18438/Sens!K18436</f>
        <v>40.2658050764546</v>
      </c>
      <c r="L18439" s="1" t="s">
        <v>1086</v>
      </c>
    </row>
    <row r="18440" customFormat="false" ht="17.15" hidden="false" customHeight="false" outlineLevel="0" collapsed="false">
      <c r="A18440" s="0" t="s">
        <v>1087</v>
      </c>
      <c r="B18440" s="0" t="s">
        <v>168</v>
      </c>
      <c r="E18440" s="7" t="n">
        <f aca="false">Sens!E18439/Sens!D18439-1</f>
        <v>0.315542736208578</v>
      </c>
      <c r="F18440" s="7" t="n">
        <f aca="false">Sens!F18439/Sens!E18439-1</f>
        <v>0.145006351281598</v>
      </c>
      <c r="G18440" s="7" t="n">
        <f aca="false">Sens!G18439/Sens!F18439-1</f>
        <v>0.199047519319074</v>
      </c>
      <c r="H18440" s="7" t="n">
        <f aca="false">Sens!H18439/Sens!G18439-1</f>
        <v>0.213102603875736</v>
      </c>
      <c r="I18440" s="7" t="n">
        <f aca="false">Sens!I18439/Sens!H18439-1</f>
        <v>0.143195221494748</v>
      </c>
      <c r="J18440" s="7" t="n">
        <f aca="false">Sens!J18439/Sens!I18439-1</f>
        <v>0.100557044994778</v>
      </c>
      <c r="K18440" s="7" t="n">
        <f aca="false">Sens!K18439/Sens!J18439-1</f>
        <v>0.0707847570868312</v>
      </c>
    </row>
    <row r="18441" customFormat="false" ht="17.15" hidden="false" customHeight="false" outlineLevel="0" collapsed="false">
      <c r="A18441" s="0" t="s">
        <v>1007</v>
      </c>
      <c r="B18441" s="0" t="s">
        <v>98</v>
      </c>
      <c r="E18441" s="6" t="n">
        <f aca="false">Sens!E18382</f>
        <v>5.25</v>
      </c>
      <c r="F18441" s="6" t="n">
        <f aca="false">Sens!F18382</f>
        <v>13.5</v>
      </c>
      <c r="G18441" s="6" t="n">
        <f aca="false">Sens!G18382</f>
        <v>22.5</v>
      </c>
      <c r="H18441" s="6" t="n">
        <f aca="false">Sens!H18382</f>
        <v>31.5</v>
      </c>
      <c r="I18441" s="6" t="n">
        <f aca="false">Sens!I18382</f>
        <v>38.25</v>
      </c>
      <c r="J18441" s="6" t="n">
        <f aca="false">Sens!J18382</f>
        <v>42.75</v>
      </c>
      <c r="K18441" s="6" t="n">
        <f aca="false">Sens!K18382</f>
        <v>47.25</v>
      </c>
    </row>
    <row r="18442" customFormat="false" ht="17.15" hidden="false" customHeight="false" outlineLevel="0" collapsed="false">
      <c r="A18442" s="1" t="s">
        <v>1008</v>
      </c>
      <c r="B18442" s="0" t="s">
        <v>98</v>
      </c>
      <c r="F18442" s="6" t="n">
        <f aca="false">MAX(0,((Sens!E18342+Sens!F18342)/2-(shadow_base*(Sens!$D$18342+Sens!$E$18342)/2+(1-shadow_base)*Sens!$E$18342))*Sens!F18351/1000-(Sens!F18441-Sens!$E$18441)*Sens!F18421)</f>
        <v>8.88340674531245</v>
      </c>
      <c r="G18442" s="6" t="n">
        <f aca="false">MAX(0,((Sens!F18342+Sens!G18342)/2-(shadow_base*(Sens!$D$18342+Sens!$E$18342)/2+(1-shadow_base)*Sens!$E$18342))*Sens!G18351/1000-(Sens!G18441-Sens!$E$18441)*Sens!G18421)</f>
        <v>22.7060305170273</v>
      </c>
      <c r="H18442" s="6" t="n">
        <f aca="false">MAX(0,((Sens!G18342+Sens!H18342)/2-(shadow_base*(Sens!$D$18342+Sens!$E$18342)/2+(1-shadow_base)*Sens!$E$18342))*Sens!H18351/1000-(Sens!H18441-Sens!$E$18441)*Sens!H18421)</f>
        <v>38.0018452382075</v>
      </c>
      <c r="I18442" s="6" t="n">
        <f aca="false">MAX(0,((Sens!H18342+Sens!I18342)/2-(shadow_base*(Sens!$D$18342+Sens!$E$18342)/2+(1-shadow_base)*Sens!$E$18342))*Sens!I18351/1000-(Sens!I18441-Sens!$E$18441)*Sens!I18421)</f>
        <v>52.1381094705177</v>
      </c>
      <c r="J18442" s="6" t="n">
        <f aca="false">MAX(0,((Sens!I18342+Sens!J18342)/2-(shadow_base*(Sens!$D$18342+Sens!$E$18342)/2+(1-shadow_base)*Sens!$E$18342))*Sens!J18351/1000-(Sens!J18441-Sens!$E$18441)*Sens!J18421)</f>
        <v>62.0595818934393</v>
      </c>
      <c r="K18442" s="6" t="n">
        <f aca="false">MAX(0,((Sens!J18342+Sens!K18342)/2-(shadow_base*(Sens!$D$18342+Sens!$E$18342)/2+(1-shadow_base)*Sens!$E$18342))*Sens!K18351/1000-(Sens!K18441-Sens!$E$18441)*Sens!K18421)</f>
        <v>67.0801312706266</v>
      </c>
      <c r="L18442" s="1" t="s">
        <v>1009</v>
      </c>
    </row>
    <row r="18443" customFormat="false" ht="17.15" hidden="false" customHeight="false" outlineLevel="0" collapsed="false">
      <c r="A18443" s="1" t="s">
        <v>1010</v>
      </c>
      <c r="B18443" s="0" t="s">
        <v>98</v>
      </c>
      <c r="F18443" s="6" t="n">
        <f aca="false">IF(internal_ai_reading=2,1,0)*Sens!F18442</f>
        <v>8.88340674531245</v>
      </c>
      <c r="G18443" s="6" t="n">
        <f aca="false">IF(internal_ai_reading=2,1,0)*Sens!G18442</f>
        <v>22.7060305170273</v>
      </c>
      <c r="H18443" s="6" t="n">
        <f aca="false">IF(internal_ai_reading=2,1,0)*Sens!H18442</f>
        <v>38.0018452382075</v>
      </c>
      <c r="I18443" s="6" t="n">
        <f aca="false">IF(internal_ai_reading=2,1,0)*Sens!I18442</f>
        <v>52.1381094705177</v>
      </c>
      <c r="J18443" s="6" t="n">
        <f aca="false">IF(internal_ai_reading=2,1,0)*Sens!J18442</f>
        <v>62.0595818934393</v>
      </c>
      <c r="K18443" s="6" t="n">
        <f aca="false">IF(internal_ai_reading=2,1,0)*Sens!K18442</f>
        <v>67.0801312706266</v>
      </c>
    </row>
    <row r="18444" customFormat="false" ht="17.15" hidden="false" customHeight="false" outlineLevel="0" collapsed="false">
      <c r="A18444" s="0" t="s">
        <v>1011</v>
      </c>
      <c r="B18444" s="0" t="s">
        <v>98</v>
      </c>
      <c r="F18444" s="6" t="n">
        <f aca="false">Sens!F18361+Sens!F18441*Sens!F18421+Sens!F18443-Sens!F18362-Sens!F18373</f>
        <v>18.5068678152817</v>
      </c>
      <c r="G18444" s="6" t="n">
        <f aca="false">Sens!G18361+Sens!G18441*Sens!G18421+Sens!G18443-Sens!G18362-Sens!G18373</f>
        <v>43.1983864982792</v>
      </c>
      <c r="H18444" s="6" t="n">
        <f aca="false">Sens!H18361+Sens!H18441*Sens!H18421+Sens!H18443-Sens!H18362-Sens!H18373</f>
        <v>73.502598356074</v>
      </c>
      <c r="I18444" s="6" t="n">
        <f aca="false">Sens!I18361+Sens!I18441*Sens!I18421+Sens!I18443-Sens!I18362-Sens!I18373</f>
        <v>94.7454135378504</v>
      </c>
      <c r="J18444" s="6" t="n">
        <f aca="false">Sens!J18361+Sens!J18441*Sens!J18421+Sens!J18443-Sens!J18362-Sens!J18373</f>
        <v>109.399608126358</v>
      </c>
      <c r="K18444" s="6" t="n">
        <f aca="false">Sens!K18361+Sens!K18441*Sens!K18421+Sens!K18443-Sens!K18362-Sens!K18373</f>
        <v>118.898703181943</v>
      </c>
    </row>
    <row r="18445" customFormat="false" ht="17.15" hidden="false" customHeight="false" outlineLevel="0" collapsed="false">
      <c r="A18445" s="0" t="s">
        <v>1012</v>
      </c>
      <c r="B18445" s="0" t="s">
        <v>98</v>
      </c>
      <c r="E18445" s="6" t="n">
        <f aca="false">Sens!E18341*(cxit_open+self_build*tk_cxfac)/1000*ai_net_open</f>
        <v>126.6980382</v>
      </c>
      <c r="F18445" s="6" t="n">
        <f aca="false">Sens!E18445+Sens!F18370-Sens!F18373</f>
        <v>260.572627763768</v>
      </c>
      <c r="G18445" s="6" t="n">
        <f aca="false">Sens!F18445+Sens!G18370-Sens!G18373</f>
        <v>391.782612760517</v>
      </c>
      <c r="H18445" s="6" t="n">
        <f aca="false">Sens!G18445+Sens!H18370-Sens!H18373</f>
        <v>499.488526163584</v>
      </c>
      <c r="I18445" s="6" t="n">
        <f aca="false">Sens!H18445+Sens!I18370-Sens!I18373</f>
        <v>553.872350090646</v>
      </c>
      <c r="J18445" s="6" t="n">
        <f aca="false">Sens!I18445+Sens!J18370-Sens!J18373</f>
        <v>550.78660823699</v>
      </c>
      <c r="K18445" s="6" t="n">
        <f aca="false">Sens!J18445+Sens!K18370-Sens!K18373</f>
        <v>526.736791750789</v>
      </c>
      <c r="L18445" s="1" t="s">
        <v>1013</v>
      </c>
    </row>
    <row r="18446" customFormat="false" ht="17.15" hidden="false" customHeight="false" outlineLevel="0" collapsed="false">
      <c r="A18446" s="0" t="s">
        <v>1014</v>
      </c>
      <c r="B18446" s="0" t="s">
        <v>168</v>
      </c>
      <c r="F18446" s="7" t="n">
        <f aca="false">Sens!F18444*(1-tax_f)/((Sens!E18445+Sens!F18445)/2)</f>
        <v>0.0764607059271074</v>
      </c>
      <c r="G18446" s="7" t="n">
        <f aca="false">Sens!G18444*(1-tax_f)/((Sens!F18445+Sens!G18445)/2)</f>
        <v>0.105950583522098</v>
      </c>
      <c r="H18446" s="7" t="n">
        <f aca="false">Sens!H18444*(1-tax_f)/((Sens!G18445+Sens!H18445)/2)</f>
        <v>0.131951044114011</v>
      </c>
      <c r="I18446" s="7" t="n">
        <f aca="false">Sens!I18444*(1-tax_f)/((Sens!H18445+Sens!I18445)/2)</f>
        <v>0.143913320760143</v>
      </c>
      <c r="J18446" s="7" t="n">
        <f aca="false">Sens!J18444*(1-tax_f)/((Sens!I18445+Sens!J18445)/2)</f>
        <v>0.158455577336889</v>
      </c>
      <c r="K18446" s="7" t="n">
        <f aca="false">Sens!K18444*(1-tax_f)/((Sens!J18445+Sens!K18445)/2)</f>
        <v>0.176551084731214</v>
      </c>
    </row>
    <row r="18447" customFormat="false" ht="17.15" hidden="false" customHeight="false" outlineLevel="0" collapsed="false">
      <c r="A18447" s="1" t="s">
        <v>1015</v>
      </c>
      <c r="B18447" s="0" t="s">
        <v>168</v>
      </c>
      <c r="F18447" s="7" t="n">
        <f aca="false">(Sens!F18444-Sens!F18443)*(1-tax_f)/((Sens!E18445+Sens!F18445)/2)</f>
        <v>0.0397591118181705</v>
      </c>
      <c r="G18447" s="7" t="n">
        <f aca="false">(Sens!G18444-Sens!G18443)*(1-tax_f)/((Sens!F18445+Sens!G18445)/2)</f>
        <v>0.0502606057761598</v>
      </c>
      <c r="H18447" s="7" t="n">
        <f aca="false">(Sens!H18444-Sens!H18443)*(1-tax_f)/((Sens!G18445+Sens!H18445)/2)</f>
        <v>0.0637305557287023</v>
      </c>
      <c r="I18447" s="7" t="n">
        <f aca="false">(Sens!I18444-Sens!I18443)*(1-tax_f)/((Sens!H18445+Sens!I18445)/2)</f>
        <v>0.0647182632699936</v>
      </c>
      <c r="J18447" s="7" t="n">
        <f aca="false">(Sens!J18444-Sens!J18443)*(1-tax_f)/((Sens!I18445+Sens!J18445)/2)</f>
        <v>0.0685678067440289</v>
      </c>
      <c r="K18447" s="7" t="n">
        <f aca="false">(Sens!K18444-Sens!K18443)*(1-tax_f)/((Sens!J18445+Sens!K18445)/2)</f>
        <v>0.0769447002812616</v>
      </c>
    </row>
    <row r="18448" customFormat="false" ht="17.15" hidden="false" customHeight="false" outlineLevel="0" collapsed="false">
      <c r="A18448" s="1" t="s">
        <v>1016</v>
      </c>
      <c r="B18448" s="0" t="s">
        <v>168</v>
      </c>
      <c r="F18448" s="7" t="n">
        <f aca="false">(Sens!F18444-Sens!F18443+Sens!F18442)*(1-tax_f)/((Sens!E18445+Sens!F18445)/2)</f>
        <v>0.0764607059271074</v>
      </c>
      <c r="G18448" s="7" t="n">
        <f aca="false">(Sens!G18444-Sens!G18443+Sens!G18442)*(1-tax_f)/((Sens!F18445+Sens!G18445)/2)</f>
        <v>0.105950583522098</v>
      </c>
      <c r="H18448" s="7" t="n">
        <f aca="false">(Sens!H18444-Sens!H18443+Sens!H18442)*(1-tax_f)/((Sens!G18445+Sens!H18445)/2)</f>
        <v>0.131951044114011</v>
      </c>
      <c r="I18448" s="7" t="n">
        <f aca="false">(Sens!I18444-Sens!I18443+Sens!I18442)*(1-tax_f)/((Sens!H18445+Sens!I18445)/2)</f>
        <v>0.143913320760143</v>
      </c>
      <c r="J18448" s="7" t="n">
        <f aca="false">(Sens!J18444-Sens!J18443+Sens!J18442)*(1-tax_f)/((Sens!I18445+Sens!J18445)/2)</f>
        <v>0.158455577336889</v>
      </c>
      <c r="K18448" s="7" t="n">
        <f aca="false">(Sens!K18444-Sens!K18443+Sens!K18442)*(1-tax_f)/((Sens!J18445+Sens!K18445)/2)</f>
        <v>0.176551084731214</v>
      </c>
    </row>
    <row r="18449" customFormat="false" ht="17.15" hidden="false" customHeight="false" outlineLevel="0" collapsed="false">
      <c r="A18449" s="1" t="s">
        <v>1017</v>
      </c>
      <c r="B18449" s="0" t="s">
        <v>168</v>
      </c>
      <c r="F18449" s="7" t="n">
        <f aca="false">Sens!F18374*(1-tax_f)/(Sens!F18360*(Sens!E18445+Sens!F18445)/2)</f>
        <v>0.15471433083293</v>
      </c>
      <c r="G18449" s="7" t="n">
        <f aca="false">Sens!G18374*(1-tax_f)/(Sens!G18360*(Sens!F18445+Sens!G18445)/2)</f>
        <v>0.176916911437355</v>
      </c>
      <c r="H18449" s="7" t="n">
        <f aca="false">Sens!H18374*(1-tax_f)/(Sens!H18360*(Sens!G18445+Sens!H18445)/2)</f>
        <v>0.207487057996582</v>
      </c>
      <c r="I18449" s="7" t="n">
        <f aca="false">Sens!I18374*(1-tax_f)/(Sens!I18360*(Sens!H18445+Sens!I18445)/2)</f>
        <v>0.219873660070946</v>
      </c>
      <c r="J18449" s="7" t="n">
        <f aca="false">Sens!J18374*(1-tax_f)/(Sens!J18360*(Sens!I18445+Sens!J18445)/2)</f>
        <v>0.238959457974928</v>
      </c>
      <c r="K18449" s="7" t="n">
        <f aca="false">Sens!K18374*(1-tax_f)/(Sens!K18360*(Sens!J18445+Sens!K18445)/2)</f>
        <v>0.264604270651536</v>
      </c>
    </row>
    <row r="18450" customFormat="false" ht="17.15" hidden="false" customHeight="false" outlineLevel="0" collapsed="false">
      <c r="A18450" s="0" t="s">
        <v>1018</v>
      </c>
      <c r="B18450" s="0" t="s">
        <v>253</v>
      </c>
      <c r="F18450" s="7" t="n">
        <f aca="false">Sens!F18446-wacc</f>
        <v>-0.0264758850184899</v>
      </c>
      <c r="G18450" s="7" t="n">
        <f aca="false">Sens!G18446-wacc</f>
        <v>0.00301399257650095</v>
      </c>
      <c r="H18450" s="7" t="n">
        <f aca="false">Sens!H18446-wacc</f>
        <v>0.0290144531684132</v>
      </c>
      <c r="I18450" s="7" t="n">
        <f aca="false">Sens!I18446-wacc</f>
        <v>0.0409767298145461</v>
      </c>
      <c r="J18450" s="7" t="n">
        <f aca="false">Sens!J18446-wacc</f>
        <v>0.0555189863912922</v>
      </c>
      <c r="K18450" s="7" t="n">
        <f aca="false">Sens!K18446-wacc</f>
        <v>0.0736144937856168</v>
      </c>
    </row>
    <row r="18451" customFormat="false" ht="17.15" hidden="false" customHeight="false" outlineLevel="0" collapsed="false">
      <c r="A18451" s="0" t="s">
        <v>1019</v>
      </c>
      <c r="B18451" s="0" t="s">
        <v>98</v>
      </c>
      <c r="F18451" s="6" t="n">
        <f aca="false">Sens!F18444*(1-tax_f)-wacc*(Sens!E18445+Sens!F18445)/2</f>
        <v>-5.12666681154535</v>
      </c>
      <c r="G18451" s="6" t="n">
        <f aca="false">Sens!G18444*(1-tax_f)-wacc*(Sens!F18445+Sens!G18445)/2</f>
        <v>0.983096926090845</v>
      </c>
      <c r="H18451" s="6" t="n">
        <f aca="false">Sens!H18444*(1-tax_f)-wacc*(Sens!G18445+Sens!H18445)/2</f>
        <v>12.9298723603358</v>
      </c>
      <c r="I18451" s="6" t="n">
        <f aca="false">Sens!I18444*(1-tax_f)-wacc*(Sens!H18445+Sens!I18445)/2</f>
        <v>21.5816420117415</v>
      </c>
      <c r="J18451" s="6" t="n">
        <f aca="false">Sens!J18444*(1-tax_f)-wacc*(Sens!I18445+Sens!J18445)/2</f>
        <v>30.6647728372055</v>
      </c>
      <c r="K18451" s="6" t="n">
        <f aca="false">Sens!K18444*(1-tax_f)-wacc*(Sens!J18445+Sens!K18445)/2</f>
        <v>39.6606698161285</v>
      </c>
    </row>
    <row r="18452" customFormat="false" ht="17.15" hidden="false" customHeight="false" outlineLevel="0" collapsed="false">
      <c r="A18452" s="3" t="s">
        <v>2067</v>
      </c>
    </row>
    <row r="18453" customFormat="false" ht="15" hidden="false" customHeight="false" outlineLevel="0" collapsed="false">
      <c r="A18453" s="4" t="s">
        <v>43</v>
      </c>
      <c r="B18453" s="4" t="s">
        <v>65</v>
      </c>
      <c r="C18453" s="23" t="s">
        <v>942</v>
      </c>
      <c r="D18453" s="23" t="s">
        <v>943</v>
      </c>
      <c r="E18453" s="23" t="s">
        <v>944</v>
      </c>
      <c r="F18453" s="23" t="s">
        <v>945</v>
      </c>
      <c r="G18453" s="23" t="s">
        <v>946</v>
      </c>
      <c r="H18453" s="23" t="s">
        <v>947</v>
      </c>
      <c r="I18453" s="23" t="s">
        <v>948</v>
      </c>
      <c r="J18453" s="23" t="s">
        <v>949</v>
      </c>
      <c r="K18453" s="23" t="s">
        <v>950</v>
      </c>
      <c r="L18453" s="4" t="s">
        <v>47</v>
      </c>
    </row>
    <row r="18454" customFormat="false" ht="15" hidden="false" customHeight="false" outlineLevel="0" collapsed="false">
      <c r="A18454" s="1" t="s">
        <v>1080</v>
      </c>
      <c r="B18454" s="0" t="s">
        <v>98</v>
      </c>
      <c r="F18454" s="6" t="n">
        <f aca="false">Sens!F18435</f>
        <v>146.421113375822</v>
      </c>
      <c r="G18454" s="6" t="n">
        <f aca="false">Sens!G18435</f>
        <v>166.938637811457</v>
      </c>
      <c r="H18454" s="6" t="n">
        <f aca="false">Sens!H18435</f>
        <v>194.917405217349</v>
      </c>
      <c r="I18454" s="6" t="n">
        <f aca="false">Sens!I18435</f>
        <v>216.272111729435</v>
      </c>
      <c r="J18454" s="6" t="n">
        <f aca="false">Sens!J18435</f>
        <v>234.808976293868</v>
      </c>
      <c r="K18454" s="6" t="n">
        <f aca="false">Sens!K18435</f>
        <v>251.589485093619</v>
      </c>
    </row>
    <row r="18455" customFormat="false" ht="17.15" hidden="false" customHeight="false" outlineLevel="0" collapsed="false">
      <c r="A18455" s="1" t="s">
        <v>1102</v>
      </c>
      <c r="B18455" s="0" t="s">
        <v>98</v>
      </c>
      <c r="E18455" s="6" t="n">
        <f aca="false">Q!M38-Sens!E18373</f>
        <v>22.2285940229167</v>
      </c>
      <c r="F18455" s="6" t="n">
        <f aca="false">Sens!E18455*(1-1/life_nonai)+(Sens!F18463+Sens!F18464)/life_nonai</f>
        <v>23.580344216413</v>
      </c>
      <c r="G18455" s="6" t="n">
        <f aca="false">Sens!F18455*(1-1/life_nonai)+(Sens!G18463)/life_nonai</f>
        <v>25.3672932855804</v>
      </c>
      <c r="H18455" s="6" t="n">
        <f aca="false">Sens!G18455*(1-1/life_nonai)+(Sens!H18463)/life_nonai</f>
        <v>27.5720083363487</v>
      </c>
      <c r="I18455" s="6" t="n">
        <f aca="false">Sens!H18455*(1-1/life_nonai)+(Sens!I18463)/life_nonai</f>
        <v>30.1179230418913</v>
      </c>
      <c r="J18455" s="6" t="n">
        <f aca="false">Sens!I18455*(1-1/life_nonai)+(Sens!J18463)/life_nonai</f>
        <v>32.9127906661051</v>
      </c>
      <c r="K18455" s="6" t="n">
        <f aca="false">Sens!J18455*(1-1/life_nonai)+(Sens!K18463)/life_nonai</f>
        <v>35.8719779353905</v>
      </c>
      <c r="L18455" s="12" t="s">
        <v>1103</v>
      </c>
    </row>
    <row r="18456" customFormat="false" ht="17.15" hidden="false" customHeight="false" outlineLevel="0" collapsed="false">
      <c r="A18456" s="1" t="s">
        <v>1104</v>
      </c>
      <c r="B18456" s="0" t="s">
        <v>98</v>
      </c>
      <c r="F18456" s="6" t="n">
        <f aca="false">Sens!$F$18464/life_nonai*(1-1/life_nonai)^(Sens!F18336-2027)</f>
        <v>0.0176332265009222</v>
      </c>
      <c r="G18456" s="6" t="n">
        <f aca="false">Sens!$F$18464/life_nonai*(1-1/life_nonai)^(Sens!G18336-2027)</f>
        <v>0.01586990385083</v>
      </c>
      <c r="H18456" s="6" t="n">
        <f aca="false">Sens!$F$18464/life_nonai*(1-1/life_nonai)^(Sens!H18336-2027)</f>
        <v>0.014282913465747</v>
      </c>
      <c r="I18456" s="6" t="n">
        <f aca="false">Sens!$F$18464/life_nonai*(1-1/life_nonai)^(Sens!I18336-2027)</f>
        <v>0.0128546221191723</v>
      </c>
      <c r="J18456" s="6" t="n">
        <f aca="false">Sens!$F$18464/life_nonai*(1-1/life_nonai)^(Sens!J18336-2027)</f>
        <v>0.0115691599072551</v>
      </c>
      <c r="K18456" s="6" t="n">
        <f aca="false">Sens!$F$18464/life_nonai*(1-1/life_nonai)^(Sens!K18336-2027)</f>
        <v>0.0104122439165296</v>
      </c>
      <c r="L18456" s="1" t="s">
        <v>1105</v>
      </c>
    </row>
    <row r="18457" customFormat="false" ht="17.15" hidden="false" customHeight="false" outlineLevel="0" collapsed="false">
      <c r="A18457" s="1" t="s">
        <v>1106</v>
      </c>
      <c r="B18457" s="0" t="s">
        <v>98</v>
      </c>
      <c r="E18457" s="6" t="n">
        <f aca="false">Sens!E18373+Sens!E18455</f>
        <v>38.534</v>
      </c>
      <c r="F18457" s="6" t="n">
        <f aca="false">Sens!F18373+Sens!F18455</f>
        <v>58.1596586947647</v>
      </c>
      <c r="G18457" s="6" t="n">
        <f aca="false">Sens!G18373+Sens!G18455</f>
        <v>86.1017839378793</v>
      </c>
      <c r="H18457" s="6" t="n">
        <f aca="false">Sens!H18373+Sens!H18455</f>
        <v>116.672098997794</v>
      </c>
      <c r="I18457" s="6" t="n">
        <f aca="false">Sens!I18373+Sens!I18455</f>
        <v>144.34893273644</v>
      </c>
      <c r="J18457" s="6" t="n">
        <f aca="false">Sens!J18373+Sens!J18455</f>
        <v>164.928463715701</v>
      </c>
      <c r="K18457" s="6" t="n">
        <f aca="false">Sens!K18373+Sens!K18455</f>
        <v>178.884647486325</v>
      </c>
    </row>
    <row r="18458" customFormat="false" ht="17.15" hidden="false" customHeight="false" outlineLevel="0" collapsed="false">
      <c r="A18458" s="1" t="s">
        <v>1107</v>
      </c>
      <c r="B18458" s="0" t="s">
        <v>98</v>
      </c>
      <c r="F18458" s="6" t="n">
        <f aca="false">Sens!F18400*sbc_r</f>
        <v>14.9076296975899</v>
      </c>
      <c r="G18458" s="6" t="n">
        <f aca="false">Sens!G18400*sbc_r</f>
        <v>18.2240468828869</v>
      </c>
      <c r="H18458" s="6" t="n">
        <f aca="false">Sens!H18400*sbc_r</f>
        <v>21.7939502810119</v>
      </c>
      <c r="I18458" s="6" t="n">
        <f aca="false">Sens!I18400*sbc_r</f>
        <v>24.8323749869894</v>
      </c>
      <c r="J18458" s="6" t="n">
        <f aca="false">Sens!J18400*sbc_r</f>
        <v>27.276362733654</v>
      </c>
      <c r="K18458" s="6" t="n">
        <f aca="false">Sens!K18400*sbc_r</f>
        <v>29.2191456605074</v>
      </c>
    </row>
    <row r="18459" customFormat="false" ht="17.15" hidden="false" customHeight="false" outlineLevel="0" collapsed="false">
      <c r="A18459" s="1" t="s">
        <v>1108</v>
      </c>
      <c r="B18459" s="0" t="s">
        <v>98</v>
      </c>
      <c r="F18459" s="6" t="n">
        <f aca="false">wc27-wc26q1</f>
        <v>-4.677</v>
      </c>
      <c r="G18459" s="6" t="n">
        <f aca="false">wc_f</f>
        <v>0</v>
      </c>
      <c r="H18459" s="6" t="n">
        <f aca="false">wc_f</f>
        <v>0</v>
      </c>
      <c r="I18459" s="6" t="n">
        <f aca="false">wc_f</f>
        <v>0</v>
      </c>
      <c r="J18459" s="6" t="n">
        <f aca="false">wc_f</f>
        <v>0</v>
      </c>
      <c r="K18459" s="6" t="n">
        <f aca="false">wc_f</f>
        <v>0</v>
      </c>
      <c r="L18459" s="12" t="s">
        <v>1109</v>
      </c>
    </row>
    <row r="18460" customFormat="false" ht="17.15" hidden="false" customHeight="false" outlineLevel="0" collapsed="false">
      <c r="A18460" s="0" t="s">
        <v>1110</v>
      </c>
      <c r="B18460" s="0" t="s">
        <v>98</v>
      </c>
      <c r="F18460" s="6" t="n">
        <f aca="false">Q!$I$35-Q!$I$26-Q!$I$38-Q!$I$39</f>
        <v>6.493</v>
      </c>
      <c r="L18460" s="1" t="s">
        <v>1111</v>
      </c>
    </row>
    <row r="18461" customFormat="false" ht="15" hidden="false" customHeight="false" outlineLevel="0" collapsed="false">
      <c r="A18461" s="1" t="s">
        <v>908</v>
      </c>
      <c r="B18461" s="0" t="s">
        <v>98</v>
      </c>
      <c r="E18461" s="6" t="n">
        <f aca="false">Q!M35</f>
        <v>182.935</v>
      </c>
      <c r="F18461" s="6" t="n">
        <f aca="false">Sens!F18454+Sens!F18457+Sens!F18458+Sens!F18459+Sens!F18460</f>
        <v>221.304401768177</v>
      </c>
      <c r="G18461" s="6" t="n">
        <f aca="false">Sens!G18454+Sens!G18457+Sens!G18458+Sens!G18459</f>
        <v>271.264468632223</v>
      </c>
      <c r="H18461" s="6" t="n">
        <f aca="false">Sens!H18454+Sens!H18457+Sens!H18458+Sens!H18459</f>
        <v>333.383454496155</v>
      </c>
      <c r="I18461" s="6" t="n">
        <f aca="false">Sens!I18454+Sens!I18457+Sens!I18458+Sens!I18459</f>
        <v>385.453419452864</v>
      </c>
      <c r="J18461" s="6" t="n">
        <f aca="false">Sens!J18454+Sens!J18457+Sens!J18458+Sens!J18459</f>
        <v>427.013802743223</v>
      </c>
      <c r="K18461" s="6" t="n">
        <f aca="false">Sens!K18454+Sens!K18457+Sens!K18458+Sens!K18459</f>
        <v>459.693278240451</v>
      </c>
    </row>
    <row r="18462" customFormat="false" ht="17.15" hidden="false" customHeight="false" outlineLevel="0" collapsed="false">
      <c r="A18462" s="0" t="s">
        <v>1112</v>
      </c>
      <c r="B18462" s="0" t="s">
        <v>98</v>
      </c>
      <c r="F18462" s="6" t="n">
        <f aca="false">Sens!F18370</f>
        <v>168.45390404212</v>
      </c>
      <c r="G18462" s="6" t="n">
        <f aca="false">Sens!G18370</f>
        <v>191.944475649048</v>
      </c>
      <c r="H18462" s="6" t="n">
        <f aca="false">Sens!H18370</f>
        <v>196.806004064512</v>
      </c>
      <c r="I18462" s="6" t="n">
        <f aca="false">Sens!I18370</f>
        <v>168.61483362161</v>
      </c>
      <c r="J18462" s="6" t="n">
        <f aca="false">Sens!J18370</f>
        <v>128.92993119594</v>
      </c>
      <c r="K18462" s="6" t="n">
        <f aca="false">Sens!K18370</f>
        <v>118.962853064733</v>
      </c>
    </row>
    <row r="18463" customFormat="false" ht="17.15" hidden="false" customHeight="false" outlineLevel="0" collapsed="false">
      <c r="A18463" s="1" t="s">
        <v>1113</v>
      </c>
      <c r="B18463" s="0" t="s">
        <v>98</v>
      </c>
      <c r="E18463" s="6" t="n">
        <f aca="false">Sens!E18378*cx_azo+Sens!E18385*cx_m365+Sens!E18386*cx_lic+(Sens!E18388+Sens!E18390)*cx_ind+Sens!E18393*cx_srch+(Sens!E18395+Sens!E18397)*cx_dev</f>
        <v>30.1846587067718</v>
      </c>
      <c r="F18463" s="6" t="n">
        <f aca="false">Sens!F18378*cx_azo+Sens!F18385*cx_m365+Sens!F18386*cx_lic+(Sens!F18388+Sens!F18390)*cx_ind+Sens!F18393*cx_srch+(Sens!F18395+Sens!F18397)*cx_dev</f>
        <v>35.5697636928712</v>
      </c>
      <c r="G18463" s="6" t="n">
        <f aca="false">Sens!G18378*cx_azo+Sens!G18385*cx_m365+Sens!G18386*cx_lic+(Sens!G18388+Sens!G18390)*cx_ind+Sens!G18393*cx_srch+(Sens!G18395+Sens!G18397)*cx_dev</f>
        <v>41.4498349080866</v>
      </c>
      <c r="H18463" s="6" t="n">
        <f aca="false">Sens!H18378*cx_azo+Sens!H18385*cx_m365+Sens!H18386*cx_lic+(Sens!H18388+Sens!H18390)*cx_ind+Sens!H18393*cx_srch+(Sens!H18395+Sens!H18397)*cx_dev</f>
        <v>47.4144437932631</v>
      </c>
      <c r="I18463" s="6" t="n">
        <f aca="false">Sens!I18378*cx_azo+Sens!I18385*cx_m365+Sens!I18386*cx_lic+(Sens!I18388+Sens!I18390)*cx_ind+Sens!I18393*cx_srch+(Sens!I18395+Sens!I18397)*cx_dev</f>
        <v>53.0311553917745</v>
      </c>
      <c r="J18463" s="6" t="n">
        <f aca="false">Sens!J18378*cx_azo+Sens!J18385*cx_m365+Sens!J18386*cx_lic+(Sens!J18388+Sens!J18390)*cx_ind+Sens!J18393*cx_srch+(Sens!J18395+Sens!J18397)*cx_dev</f>
        <v>58.0665992840293</v>
      </c>
      <c r="K18463" s="6" t="n">
        <f aca="false">Sens!K18378*cx_azo+Sens!K18385*cx_m365+Sens!K18386*cx_lic+(Sens!K18388+Sens!K18390)*cx_ind+Sens!K18393*cx_srch+(Sens!K18395+Sens!K18397)*cx_dev</f>
        <v>62.5046633589594</v>
      </c>
    </row>
    <row r="18464" customFormat="false" ht="17.15" hidden="false" customHeight="false" outlineLevel="0" collapsed="false">
      <c r="A18464" s="0" t="s">
        <v>1114</v>
      </c>
      <c r="B18464" s="0" t="s">
        <v>98</v>
      </c>
      <c r="F18464" s="6" t="n">
        <f aca="false">Sens!F18368</f>
        <v>0.176332265009222</v>
      </c>
      <c r="L18464" s="1" t="s">
        <v>1115</v>
      </c>
    </row>
    <row r="18465" customFormat="false" ht="17.15" hidden="false" customHeight="false" outlineLevel="0" collapsed="false">
      <c r="A18465" s="1" t="s">
        <v>1116</v>
      </c>
      <c r="B18465" s="0" t="s">
        <v>98</v>
      </c>
      <c r="E18465" s="6" t="n">
        <f aca="false">Q!M43</f>
        <v>145.3</v>
      </c>
      <c r="F18465" s="6" t="n">
        <f aca="false">Sens!F18462+Sens!F18463+Sens!F18464</f>
        <v>204.2</v>
      </c>
      <c r="G18465" s="6" t="n">
        <f aca="false">Sens!G18462+Sens!G18463</f>
        <v>233.394310557135</v>
      </c>
      <c r="H18465" s="6" t="n">
        <f aca="false">Sens!H18462+Sens!H18463</f>
        <v>244.220447857775</v>
      </c>
      <c r="I18465" s="6" t="n">
        <f aca="false">Sens!I18462+Sens!I18463</f>
        <v>221.645989013385</v>
      </c>
      <c r="J18465" s="6" t="n">
        <f aca="false">Sens!J18462+Sens!J18463</f>
        <v>186.99653047997</v>
      </c>
      <c r="K18465" s="6" t="n">
        <f aca="false">Sens!K18462+Sens!K18463</f>
        <v>181.467516423692</v>
      </c>
      <c r="L18465" s="1" t="s">
        <v>1117</v>
      </c>
    </row>
    <row r="18466" customFormat="false" ht="15" hidden="false" customHeight="false" outlineLevel="0" collapsed="false">
      <c r="A18466" s="1" t="s">
        <v>1118</v>
      </c>
      <c r="B18466" s="0" t="s">
        <v>98</v>
      </c>
      <c r="E18466" s="6" t="n">
        <f aca="false">fl_liab</f>
        <v>66.594</v>
      </c>
      <c r="F18466" s="6" t="n">
        <f aca="false">Sens!E18466-Sens!F18467</f>
        <v>62.46973</v>
      </c>
      <c r="G18466" s="6" t="n">
        <f aca="false">Sens!F18466-Sens!G18467</f>
        <v>57.98686785</v>
      </c>
      <c r="H18466" s="6" t="n">
        <f aca="false">Sens!G18466-Sens!H18467</f>
        <v>53.92827690325</v>
      </c>
      <c r="I18466" s="6" t="n">
        <f aca="false">Sens!H18466-Sens!I18467</f>
        <v>49.7850493638962</v>
      </c>
      <c r="J18466" s="6" t="n">
        <f aca="false">Sens!I18466-Sens!J18467</f>
        <v>45.4823765852716</v>
      </c>
      <c r="K18466" s="6" t="n">
        <f aca="false">Sens!J18466-Sens!K18467</f>
        <v>40.9860835316088</v>
      </c>
    </row>
    <row r="18467" customFormat="false" ht="15" hidden="false" customHeight="false" outlineLevel="0" collapsed="false">
      <c r="A18467" s="1" t="s">
        <v>1119</v>
      </c>
      <c r="B18467" s="0" t="s">
        <v>98</v>
      </c>
      <c r="F18467" s="6" t="n">
        <f aca="false">fl_pay_27-Sens!E18466*fl_rate</f>
        <v>4.12427</v>
      </c>
      <c r="G18467" s="6" t="n">
        <f aca="false">fl_pay_28-Sens!F18466*fl_rate</f>
        <v>4.48286215</v>
      </c>
      <c r="H18467" s="6" t="n">
        <f aca="false">fl_pay_29-Sens!G18466*fl_rate</f>
        <v>4.05859094675</v>
      </c>
      <c r="I18467" s="6" t="n">
        <f aca="false">fl_pay_30-Sens!H18466*fl_rate</f>
        <v>4.14322753935375</v>
      </c>
      <c r="J18467" s="6" t="n">
        <f aca="false">fl_pay_31-Sens!I18466*fl_rate</f>
        <v>4.30267277862467</v>
      </c>
      <c r="K18467" s="6" t="n">
        <f aca="false">fl_pay_32-Sens!J18466*fl_rate</f>
        <v>4.49629305366278</v>
      </c>
    </row>
    <row r="18468" customFormat="false" ht="17.15" hidden="false" customHeight="false" outlineLevel="0" collapsed="false">
      <c r="A18468" s="1" t="s">
        <v>1120</v>
      </c>
      <c r="B18468" s="0" t="s">
        <v>98</v>
      </c>
      <c r="E18468" s="6" t="n">
        <f aca="false">Q!M35-Q!M36-Q!M44</f>
        <v>63.886</v>
      </c>
      <c r="F18468" s="6" t="n">
        <f aca="false">Sens!F18461-Sens!F18465-Sens!F18467</f>
        <v>12.9801317681768</v>
      </c>
      <c r="G18468" s="6" t="n">
        <f aca="false">Sens!G18461-Sens!G18465-Sens!G18467</f>
        <v>33.3872959250887</v>
      </c>
      <c r="H18468" s="6" t="n">
        <f aca="false">Sens!H18461-Sens!H18465-Sens!H18467</f>
        <v>85.1044156916295</v>
      </c>
      <c r="I18468" s="6" t="n">
        <f aca="false">Sens!I18461-Sens!I18465-Sens!I18467</f>
        <v>159.664202900125</v>
      </c>
      <c r="J18468" s="6" t="n">
        <f aca="false">Sens!J18461-Sens!J18465-Sens!J18467</f>
        <v>235.714599484629</v>
      </c>
      <c r="K18468" s="6" t="n">
        <f aca="false">Sens!K18461-Sens!K18465-Sens!K18467</f>
        <v>273.729468763096</v>
      </c>
      <c r="L18468" s="12" t="s">
        <v>1121</v>
      </c>
    </row>
    <row r="18469" customFormat="false" ht="15" hidden="false" customHeight="false" outlineLevel="0" collapsed="false">
      <c r="A18469" s="1" t="s">
        <v>1122</v>
      </c>
      <c r="B18469" s="0" t="s">
        <v>75</v>
      </c>
      <c r="F18469" s="8" t="n">
        <f aca="false">dps_27</f>
        <v>3.85</v>
      </c>
      <c r="G18469" s="8" t="n">
        <f aca="false">Sens!F18469*(1+dps_g)</f>
        <v>4.158</v>
      </c>
      <c r="H18469" s="8" t="n">
        <f aca="false">Sens!G18469*(1+dps_g)</f>
        <v>4.49064</v>
      </c>
      <c r="I18469" s="8" t="n">
        <f aca="false">Sens!H18469*(1+dps_g)</f>
        <v>4.8498912</v>
      </c>
      <c r="J18469" s="8" t="n">
        <f aca="false">Sens!I18469*(1+dps_g)</f>
        <v>5.237882496</v>
      </c>
      <c r="K18469" s="8" t="n">
        <f aca="false">Sens!J18469*(1+dps_g)</f>
        <v>5.65691309568</v>
      </c>
    </row>
    <row r="18470" customFormat="false" ht="17.15" hidden="false" customHeight="false" outlineLevel="0" collapsed="false">
      <c r="A18470" s="1" t="s">
        <v>1123</v>
      </c>
      <c r="B18470" s="0" t="s">
        <v>98</v>
      </c>
      <c r="E18470" s="6" t="n">
        <f aca="false">Q!M41</f>
        <v>26.445</v>
      </c>
      <c r="F18470" s="6" t="n">
        <f aca="false">Sens!F18469*Sens!E18479</f>
        <v>28.59395</v>
      </c>
      <c r="G18470" s="6" t="n">
        <f aca="false">Sens!G18469*Sens!F18479</f>
        <v>31.053663323765</v>
      </c>
      <c r="H18470" s="6" t="n">
        <f aca="false">Sens!H18469*Sens!G18479</f>
        <v>33.7224518084959</v>
      </c>
      <c r="I18470" s="6" t="n">
        <f aca="false">Sens!I18469*Sens!H18479</f>
        <v>36.4706862302483</v>
      </c>
      <c r="J18470" s="6" t="n">
        <f aca="false">Sens!J18469*Sens!I18479</f>
        <v>39.4562390140608</v>
      </c>
      <c r="K18470" s="6" t="n">
        <f aca="false">Sens!K18469*Sens!J18479</f>
        <v>42.6994923975639</v>
      </c>
      <c r="L18470" s="1" t="s">
        <v>1124</v>
      </c>
    </row>
    <row r="18471" customFormat="false" ht="15" hidden="false" customHeight="false" outlineLevel="0" collapsed="false">
      <c r="A18471" s="1" t="s">
        <v>1125</v>
      </c>
      <c r="B18471" s="0" t="s">
        <v>98</v>
      </c>
      <c r="E18471" s="6" t="n">
        <f aca="false">Sens!E18468-Sens!E18470</f>
        <v>37.441</v>
      </c>
      <c r="F18471" s="6" t="n">
        <f aca="false">Sens!F18468-Sens!F18470</f>
        <v>-15.6138182318232</v>
      </c>
      <c r="G18471" s="6" t="n">
        <f aca="false">Sens!G18468-Sens!G18470</f>
        <v>2.33363260132368</v>
      </c>
      <c r="H18471" s="6" t="n">
        <f aca="false">Sens!H18468-Sens!H18470</f>
        <v>51.3819638831335</v>
      </c>
      <c r="I18471" s="6" t="n">
        <f aca="false">Sens!I18468-Sens!I18470</f>
        <v>123.193516669877</v>
      </c>
      <c r="J18471" s="6" t="n">
        <f aca="false">Sens!J18468-Sens!J18470</f>
        <v>196.258360470568</v>
      </c>
      <c r="K18471" s="6" t="n">
        <f aca="false">Sens!K18468-Sens!K18470</f>
        <v>231.029976365532</v>
      </c>
    </row>
    <row r="18472" customFormat="false" ht="15" hidden="false" customHeight="false" outlineLevel="0" collapsed="false">
      <c r="A18472" s="1" t="s">
        <v>1126</v>
      </c>
      <c r="B18472" s="0" t="s">
        <v>98</v>
      </c>
      <c r="F18472" s="6" t="n">
        <f aca="false">debt_mat_27</f>
        <v>9.25</v>
      </c>
      <c r="G18472" s="6" t="n">
        <f aca="false">debt_mat_28</f>
        <v>0</v>
      </c>
      <c r="H18472" s="6" t="n">
        <f aca="false">debt_mat_29</f>
        <v>2.001</v>
      </c>
      <c r="I18472" s="6" t="n">
        <f aca="false">debt_mat_30</f>
        <v>0</v>
      </c>
      <c r="J18472" s="6" t="n">
        <f aca="false">debt_mat_31</f>
        <v>0.5</v>
      </c>
      <c r="K18472" s="6" t="n">
        <f aca="false">debt_mat_32</f>
        <v>0</v>
      </c>
    </row>
    <row r="18473" customFormat="false" ht="15" hidden="false" customHeight="false" outlineLevel="0" collapsed="false">
      <c r="A18473" s="1" t="s">
        <v>1127</v>
      </c>
      <c r="B18473" s="0" t="s">
        <v>98</v>
      </c>
      <c r="E18473" s="6" t="n">
        <f aca="false">Q!M40</f>
        <v>22.271</v>
      </c>
      <c r="F18473" s="6" t="n">
        <f aca="false">MAX(0,MIN(bb_target,Sens!E18475+Sens!F18471-Sens!F18472-min_cash))</f>
        <v>1.97918176817679</v>
      </c>
      <c r="G18473" s="6" t="n">
        <f aca="false">MAX(0,MIN(bb_target,Sens!F18475+Sens!G18471-Sens!G18472-min_cash))</f>
        <v>2.33363260132367</v>
      </c>
      <c r="H18473" s="6" t="n">
        <f aca="false">MAX(0,MIN(bb_target,Sens!G18475+Sens!H18471-Sens!H18472-min_cash))</f>
        <v>22.271</v>
      </c>
      <c r="I18473" s="6" t="n">
        <f aca="false">MAX(0,MIN(bb_target,Sens!H18475+Sens!I18471-Sens!I18472-min_cash))</f>
        <v>22.271</v>
      </c>
      <c r="J18473" s="6" t="n">
        <f aca="false">MAX(0,MIN(bb_target,Sens!I18475+Sens!J18471-Sens!J18472-min_cash))</f>
        <v>22.271</v>
      </c>
      <c r="K18473" s="6" t="n">
        <f aca="false">MAX(0,MIN(bb_target,Sens!J18475+Sens!K18471-Sens!K18472-min_cash))</f>
        <v>22.271</v>
      </c>
    </row>
    <row r="18474" customFormat="false" ht="15" hidden="false" customHeight="false" outlineLevel="0" collapsed="false">
      <c r="A18474" s="1" t="s">
        <v>1128</v>
      </c>
      <c r="B18474" s="0" t="s">
        <v>98</v>
      </c>
      <c r="F18474" s="6" t="n">
        <f aca="false">MAX(0,min_cash-(Sens!E18475+Sens!F18471-Sens!F18472-Sens!F18473))</f>
        <v>0</v>
      </c>
      <c r="G18474" s="6" t="n">
        <f aca="false">MAX(0,min_cash-(Sens!F18475+Sens!G18471-Sens!G18472-Sens!G18473))</f>
        <v>0</v>
      </c>
      <c r="H18474" s="6" t="n">
        <f aca="false">MAX(0,min_cash-(Sens!G18475+Sens!H18471-Sens!H18472-Sens!H18473))</f>
        <v>0</v>
      </c>
      <c r="I18474" s="6" t="n">
        <f aca="false">MAX(0,min_cash-(Sens!H18475+Sens!I18471-Sens!I18472-Sens!I18473))</f>
        <v>0</v>
      </c>
      <c r="J18474" s="6" t="n">
        <f aca="false">MAX(0,min_cash-(Sens!I18475+Sens!J18471-Sens!J18472-Sens!J18473))</f>
        <v>0</v>
      </c>
      <c r="K18474" s="6" t="n">
        <f aca="false">MAX(0,min_cash-(Sens!J18475+Sens!K18471-Sens!K18472-Sens!K18473))</f>
        <v>0</v>
      </c>
    </row>
    <row r="18475" customFormat="false" ht="15" hidden="false" customHeight="false" outlineLevel="0" collapsed="false">
      <c r="A18475" s="1" t="s">
        <v>1129</v>
      </c>
      <c r="B18475" s="0" t="s">
        <v>98</v>
      </c>
      <c r="E18475" s="6" t="n">
        <f aca="false">cash_open</f>
        <v>76.843</v>
      </c>
      <c r="F18475" s="6" t="n">
        <f aca="false">Sens!E18475+Sens!F18471-Sens!F18472-Sens!F18473+Sens!F18474</f>
        <v>50</v>
      </c>
      <c r="G18475" s="6" t="n">
        <f aca="false">Sens!F18475+Sens!G18471-Sens!G18472-Sens!G18473+Sens!G18474</f>
        <v>50</v>
      </c>
      <c r="H18475" s="6" t="n">
        <f aca="false">Sens!G18475+Sens!H18471-Sens!H18472-Sens!H18473+Sens!H18474</f>
        <v>77.1099638831335</v>
      </c>
      <c r="I18475" s="6" t="n">
        <f aca="false">Sens!H18475+Sens!I18471-Sens!I18472-Sens!I18473+Sens!I18474</f>
        <v>178.032480553011</v>
      </c>
      <c r="J18475" s="6" t="n">
        <f aca="false">Sens!I18475+Sens!J18471-Sens!J18472-Sens!J18473+Sens!J18474</f>
        <v>351.519841023578</v>
      </c>
      <c r="K18475" s="6" t="n">
        <f aca="false">Sens!J18475+Sens!K18471-Sens!K18472-Sens!K18473+Sens!K18474</f>
        <v>560.278817389111</v>
      </c>
    </row>
    <row r="18476" customFormat="false" ht="15" hidden="false" customHeight="false" outlineLevel="0" collapsed="false">
      <c r="A18476" s="1" t="s">
        <v>1130</v>
      </c>
      <c r="B18476" s="0" t="s">
        <v>98</v>
      </c>
      <c r="E18476" s="6" t="n">
        <f aca="false">debt_face</f>
        <v>46.136</v>
      </c>
      <c r="F18476" s="6" t="n">
        <f aca="false">Sens!E18476-Sens!F18472+Sens!F18474</f>
        <v>36.886</v>
      </c>
      <c r="G18476" s="6" t="n">
        <f aca="false">Sens!F18476-Sens!G18472+Sens!G18474</f>
        <v>36.886</v>
      </c>
      <c r="H18476" s="6" t="n">
        <f aca="false">Sens!G18476-Sens!H18472+Sens!H18474</f>
        <v>34.885</v>
      </c>
      <c r="I18476" s="6" t="n">
        <f aca="false">Sens!H18476-Sens!I18472+Sens!I18474</f>
        <v>34.885</v>
      </c>
      <c r="J18476" s="6" t="n">
        <f aca="false">Sens!I18476-Sens!J18472+Sens!J18474</f>
        <v>34.385</v>
      </c>
      <c r="K18476" s="6" t="n">
        <f aca="false">Sens!J18476-Sens!K18472+Sens!K18474</f>
        <v>34.385</v>
      </c>
    </row>
    <row r="18477" customFormat="false" ht="15" hidden="false" customHeight="false" outlineLevel="0" collapsed="false">
      <c r="A18477" s="1" t="s">
        <v>1131</v>
      </c>
      <c r="B18477" s="0" t="s">
        <v>98</v>
      </c>
      <c r="E18477" s="6" t="n">
        <f aca="false">Sens!E18475-Sens!E18476</f>
        <v>30.707</v>
      </c>
      <c r="F18477" s="6" t="n">
        <f aca="false">Sens!F18475-Sens!F18476</f>
        <v>13.114</v>
      </c>
      <c r="G18477" s="6" t="n">
        <f aca="false">Sens!G18475-Sens!G18476</f>
        <v>13.114</v>
      </c>
      <c r="H18477" s="6" t="n">
        <f aca="false">Sens!H18475-Sens!H18476</f>
        <v>42.2249638831335</v>
      </c>
      <c r="I18477" s="6" t="n">
        <f aca="false">Sens!I18475-Sens!I18476</f>
        <v>143.147480553011</v>
      </c>
      <c r="J18477" s="6" t="n">
        <f aca="false">Sens!J18475-Sens!J18476</f>
        <v>317.134841023578</v>
      </c>
      <c r="K18477" s="6" t="n">
        <f aca="false">Sens!K18475-Sens!K18476</f>
        <v>525.893817389111</v>
      </c>
    </row>
    <row r="18478" customFormat="false" ht="15" hidden="false" customHeight="false" outlineLevel="0" collapsed="false">
      <c r="A18478" s="1" t="s">
        <v>1132</v>
      </c>
      <c r="B18478" s="0" t="s">
        <v>75</v>
      </c>
      <c r="F18478" s="30" t="n">
        <f aca="false">px*(1+bb_g)^(Sens!F18336-base_fy-mid_yr)</f>
        <v>551.84177959629</v>
      </c>
      <c r="G18478" s="30" t="n">
        <f aca="false">px*(1+bb_g)^(Sens!G18336-base_fy-mid_yr)</f>
        <v>595.989121963993</v>
      </c>
      <c r="H18478" s="30" t="n">
        <f aca="false">px*(1+bb_g)^(Sens!H18336-base_fy-mid_yr)</f>
        <v>643.668251721112</v>
      </c>
      <c r="I18478" s="30" t="n">
        <f aca="false">px*(1+bb_g)^(Sens!I18336-base_fy-mid_yr)</f>
        <v>695.161711858801</v>
      </c>
      <c r="J18478" s="30" t="n">
        <f aca="false">px*(1+bb_g)^(Sens!J18336-base_fy-mid_yr)</f>
        <v>750.774648807506</v>
      </c>
      <c r="K18478" s="30" t="n">
        <f aca="false">px*(1+bb_g)^(Sens!K18336-base_fy-mid_yr)</f>
        <v>810.836620712106</v>
      </c>
    </row>
    <row r="18479" customFormat="false" ht="15" hidden="false" customHeight="false" outlineLevel="0" collapsed="false">
      <c r="A18479" s="1" t="s">
        <v>1133</v>
      </c>
      <c r="B18479" s="1" t="s">
        <v>81</v>
      </c>
      <c r="E18479" s="15" t="n">
        <f aca="false">sh_out26</f>
        <v>7.427</v>
      </c>
      <c r="F18479" s="15" t="n">
        <f aca="false">Sens!E18479+sh_iss-Sens!F18473/Sens!F18478</f>
        <v>7.46841349777897</v>
      </c>
      <c r="G18479" s="15" t="n">
        <f aca="false">Sens!F18479+sh_iss-Sens!G18473/Sens!G18478</f>
        <v>7.50949793537134</v>
      </c>
      <c r="H18479" s="15" t="n">
        <f aca="false">Sens!G18479+sh_iss-Sens!H18473/Sens!H18478</f>
        <v>7.51989781342894</v>
      </c>
      <c r="I18479" s="15" t="n">
        <f aca="false">Sens!H18479+sh_iss-Sens!I18473/Sens!I18478</f>
        <v>7.53286066348227</v>
      </c>
      <c r="J18479" s="15" t="n">
        <f aca="false">Sens!I18479+sh_iss-Sens!J18473/Sens!J18478</f>
        <v>7.54819663575388</v>
      </c>
      <c r="K18479" s="15" t="n">
        <f aca="false">Sens!J18479+sh_iss-Sens!K18473/Sens!K18478</f>
        <v>7.56572994341278</v>
      </c>
    </row>
    <row r="18480" customFormat="false" ht="15" hidden="false" customHeight="false" outlineLevel="0" collapsed="false">
      <c r="A18480" s="1" t="s">
        <v>1134</v>
      </c>
      <c r="B18480" s="1" t="s">
        <v>81</v>
      </c>
      <c r="E18480" s="15" t="n">
        <f aca="false">sh_dil26</f>
        <v>7.453</v>
      </c>
      <c r="F18480" s="15" t="n">
        <f aca="false">(Sens!E18479+Sens!F18479)/2+dil_gap</f>
        <v>7.47170674888949</v>
      </c>
      <c r="G18480" s="15" t="n">
        <f aca="false">(Sens!F18479+Sens!G18479)/2+dil_gap</f>
        <v>7.51295571657515</v>
      </c>
      <c r="H18480" s="15" t="n">
        <f aca="false">(Sens!G18479+Sens!H18479)/2+dil_gap</f>
        <v>7.53869787440014</v>
      </c>
      <c r="I18480" s="15" t="n">
        <f aca="false">(Sens!H18479+Sens!I18479)/2+dil_gap</f>
        <v>7.55037923845561</v>
      </c>
      <c r="J18480" s="15" t="n">
        <f aca="false">(Sens!I18479+Sens!J18479)/2+dil_gap</f>
        <v>7.56452864961808</v>
      </c>
      <c r="K18480" s="15" t="n">
        <f aca="false">(Sens!J18479+Sens!K18479)/2+dil_gap</f>
        <v>7.58096328958333</v>
      </c>
    </row>
    <row r="18481" customFormat="false" ht="17.15" hidden="false" customHeight="false" outlineLevel="0" collapsed="false">
      <c r="A18481" s="1" t="s">
        <v>1135</v>
      </c>
      <c r="B18481" s="0" t="s">
        <v>98</v>
      </c>
      <c r="C18481" s="6" t="n">
        <f aca="false">SUM(Sens!F18471:J18471)</f>
        <v>357.553655393079</v>
      </c>
    </row>
    <row r="18482" customFormat="false" ht="15" hidden="false" customHeight="false" outlineLevel="0" collapsed="false">
      <c r="A18482" s="26" t="s">
        <v>1100</v>
      </c>
      <c r="B18482" s="31" t="s">
        <v>98</v>
      </c>
      <c r="C18482" s="27" t="n">
        <f aca="false">Sens!$C$18481-(Sens!F18471+Sens!G18471+Sens!H18471+Sens!I18471+Sens!J18471)</f>
        <v>0</v>
      </c>
      <c r="D18482" s="31"/>
      <c r="E18482" s="31"/>
      <c r="F18482" s="31"/>
      <c r="G18482" s="31"/>
      <c r="H18482" s="31"/>
      <c r="I18482" s="31"/>
      <c r="J18482" s="31"/>
      <c r="K18482" s="31"/>
    </row>
    <row r="18483" customFormat="false" ht="17.15" hidden="false" customHeight="false" outlineLevel="0" collapsed="false">
      <c r="A18483" s="1" t="s">
        <v>1094</v>
      </c>
      <c r="B18483" s="1" t="s">
        <v>1136</v>
      </c>
      <c r="C18483" s="33" t="str">
        <f aca="false">IF(SUM(Sens!F18474:J18474)&gt;0.05,"需要舉債 "&amp;TEXT(SUM(Sens!F18474:J18474),"0.0")&amp;" 十億美元","不需舉債")&amp;"；"&amp;IF(SUM(Sens!F18473:J18473)&lt;COUNT(Sens!F18473:J18473)*bb_target-0.05,"回購較每年 "&amp;TEXT(bb_target,"0.0")&amp;" 的目標少 "&amp;TEXT(COUNT(Sens!F18473:J18473)*bb_target-SUM(Sens!F18473:J18473),"0.0")&amp;" 十億美元（"&amp;TEXT(COUNTIF(Sens!F18473:J18473,"&lt;"&amp;(bb_target-0.05)),"0")&amp;" 年減少）","回購不減")</f>
        <v>不需舉債；回購較每年 22.3 的目標少 40.2 十億美元（2 年減少）</v>
      </c>
    </row>
    <row r="18484" customFormat="false" ht="17.15" hidden="false" customHeight="false" outlineLevel="0" collapsed="false">
      <c r="A18484" s="3" t="s">
        <v>2068</v>
      </c>
    </row>
    <row r="18485" customFormat="false" ht="15" hidden="false" customHeight="false" outlineLevel="0" collapsed="false">
      <c r="A18485" s="4" t="s">
        <v>43</v>
      </c>
      <c r="B18485" s="4" t="s">
        <v>65</v>
      </c>
      <c r="C18485" s="23" t="s">
        <v>942</v>
      </c>
      <c r="D18485" s="23" t="s">
        <v>943</v>
      </c>
      <c r="E18485" s="23" t="s">
        <v>944</v>
      </c>
      <c r="F18485" s="23" t="s">
        <v>945</v>
      </c>
      <c r="G18485" s="23" t="s">
        <v>946</v>
      </c>
      <c r="H18485" s="23" t="s">
        <v>947</v>
      </c>
      <c r="I18485" s="23" t="s">
        <v>948</v>
      </c>
      <c r="J18485" s="23" t="s">
        <v>949</v>
      </c>
      <c r="K18485" s="23" t="s">
        <v>950</v>
      </c>
      <c r="L18485" s="4" t="s">
        <v>47</v>
      </c>
    </row>
    <row r="18486" customFormat="false" ht="17.15" hidden="false" customHeight="false" outlineLevel="0" collapsed="false">
      <c r="A18486" s="1" t="s">
        <v>1216</v>
      </c>
      <c r="B18486" s="1" t="s">
        <v>279</v>
      </c>
      <c r="F18486" s="8" t="n">
        <f aca="false">(1-v_off)*mid_yr</f>
        <v>0.373972602739726</v>
      </c>
      <c r="G18486" s="8" t="n">
        <f aca="false">Sens!G18336-base_fy-mid_yr-v_off</f>
        <v>1.24794520547945</v>
      </c>
      <c r="H18486" s="8" t="n">
        <f aca="false">Sens!H18336-base_fy-mid_yr-v_off</f>
        <v>2.24794520547945</v>
      </c>
      <c r="I18486" s="8" t="n">
        <f aca="false">Sens!I18336-base_fy-mid_yr-v_off</f>
        <v>3.24794520547945</v>
      </c>
      <c r="J18486" s="8" t="n">
        <f aca="false">Sens!J18336-base_fy-mid_yr-v_off</f>
        <v>4.24794520547945</v>
      </c>
      <c r="K18486" s="8" t="n">
        <f aca="false">Sens!K18336-base_fy-mid_yr-v_off</f>
        <v>5.24794520547945</v>
      </c>
      <c r="L18486" s="12" t="s">
        <v>1217</v>
      </c>
    </row>
    <row r="18487" customFormat="false" ht="15" hidden="false" customHeight="false" outlineLevel="0" collapsed="false">
      <c r="A18487" s="1" t="s">
        <v>1218</v>
      </c>
      <c r="B18487" s="1" t="s">
        <v>279</v>
      </c>
      <c r="F18487" s="8" t="n">
        <f aca="false">Sens!F18336-base_fy-v_off</f>
        <v>0.747945205479452</v>
      </c>
      <c r="G18487" s="8" t="n">
        <f aca="false">Sens!G18336-base_fy-v_off</f>
        <v>1.74794520547945</v>
      </c>
      <c r="H18487" s="8" t="n">
        <f aca="false">Sens!H18336-base_fy-v_off</f>
        <v>2.74794520547945</v>
      </c>
      <c r="I18487" s="8" t="n">
        <f aca="false">Sens!I18336-base_fy-v_off</f>
        <v>3.74794520547945</v>
      </c>
      <c r="J18487" s="8" t="n">
        <f aca="false">Sens!J18336-base_fy-v_off</f>
        <v>4.74794520547945</v>
      </c>
      <c r="K18487" s="8" t="n">
        <f aca="false">Sens!K18336-base_fy-v_off</f>
        <v>5.74794520547945</v>
      </c>
    </row>
    <row r="18488" customFormat="false" ht="15" hidden="false" customHeight="false" outlineLevel="0" collapsed="false">
      <c r="A18488" s="1" t="s">
        <v>1219</v>
      </c>
      <c r="B18488" s="0" t="s">
        <v>229</v>
      </c>
      <c r="F18488" s="15" t="n">
        <f aca="false">1/(1+wacc)^Sens!F18486</f>
        <v>0.964022703286649</v>
      </c>
      <c r="G18488" s="15" t="n">
        <f aca="false">1/(1+wacc)^Sens!G18486</f>
        <v>0.884910302296739</v>
      </c>
      <c r="H18488" s="15" t="n">
        <f aca="false">1/(1+wacc)^Sens!H18486</f>
        <v>0.802322009770358</v>
      </c>
      <c r="I18488" s="15" t="n">
        <f aca="false">1/(1+wacc)^Sens!I18486</f>
        <v>0.727441646561469</v>
      </c>
      <c r="J18488" s="15" t="n">
        <f aca="false">1/(1+wacc)^Sens!J18486</f>
        <v>0.659549834988973</v>
      </c>
      <c r="K18488" s="15" t="n">
        <f aca="false">1/(1+wacc)^Sens!K18486</f>
        <v>0.597994336576966</v>
      </c>
    </row>
    <row r="18489" customFormat="false" ht="17.15" hidden="false" customHeight="false" outlineLevel="0" collapsed="false">
      <c r="A18489" s="1" t="s">
        <v>1220</v>
      </c>
      <c r="B18489" s="0" t="s">
        <v>98</v>
      </c>
      <c r="F18489" s="6" t="n">
        <f aca="false">Q!$I$35-Q!$I$39-Q!$I$43</f>
        <v>9.666</v>
      </c>
      <c r="L18489" s="12" t="s">
        <v>1221</v>
      </c>
    </row>
    <row r="18490" customFormat="false" ht="17.15" hidden="false" customHeight="false" outlineLevel="0" collapsed="false">
      <c r="A18490" s="1" t="s">
        <v>1222</v>
      </c>
      <c r="B18490" s="0" t="s">
        <v>98</v>
      </c>
      <c r="F18490" s="6" t="n">
        <f aca="false">Sens!F18461-Sens!F18458-Sens!F18465+Sens!F18443*(1-tax_f)*(1-v_off)-Sens!F18489</f>
        <v>-2.15378674262886</v>
      </c>
      <c r="G18490" s="6" t="n">
        <f aca="false">Sens!G18461-Sens!G18458-Sens!G18465+Sens!G18443*(1-tax_f)</f>
        <v>37.8109356058236</v>
      </c>
      <c r="H18490" s="6" t="n">
        <f aca="false">Sens!H18461-Sens!H18458-Sens!H18465+Sens!H18443*(1-tax_f)</f>
        <v>97.7705325479336</v>
      </c>
      <c r="I18490" s="6" t="n">
        <f aca="false">Sens!I18461-Sens!I18458-Sens!I18465+Sens!I18443*(1-tax_f)</f>
        <v>180.685543028904</v>
      </c>
      <c r="J18490" s="6" t="n">
        <f aca="false">Sens!J18461-Sens!J18458-Sens!J18465+Sens!J18443*(1-tax_f)</f>
        <v>262.388575044351</v>
      </c>
      <c r="K18490" s="6" t="n">
        <f aca="false">Sens!K18461-Sens!K18458-Sens!K18465+Sens!K18443*(1-tax_f)</f>
        <v>302.670721172753</v>
      </c>
      <c r="L18490" s="1" t="s">
        <v>1223</v>
      </c>
    </row>
    <row r="18491" customFormat="false" ht="15" hidden="false" customHeight="false" outlineLevel="0" collapsed="false">
      <c r="A18491" s="1" t="s">
        <v>1224</v>
      </c>
      <c r="B18491" s="0" t="s">
        <v>98</v>
      </c>
      <c r="F18491" s="6" t="n">
        <f aca="false">Sens!F18490*Sens!F18488</f>
        <v>-2.07629931793202</v>
      </c>
      <c r="G18491" s="6" t="n">
        <f aca="false">Sens!G18490*Sens!G18488</f>
        <v>33.4592864570719</v>
      </c>
      <c r="H18491" s="6" t="n">
        <f aca="false">Sens!H18490*Sens!H18488</f>
        <v>78.4434501701763</v>
      </c>
      <c r="I18491" s="6" t="n">
        <f aca="false">Sens!I18490*Sens!I18488</f>
        <v>131.438188930799</v>
      </c>
      <c r="J18491" s="6" t="n">
        <f aca="false">Sens!J18490*Sens!J18488</f>
        <v>173.058341373493</v>
      </c>
      <c r="K18491" s="6" t="n">
        <f aca="false">Sens!K18490*Sens!K18488</f>
        <v>180.995377108972</v>
      </c>
    </row>
    <row r="18492" customFormat="false" ht="17.15" hidden="false" customHeight="false" outlineLevel="0" collapsed="false">
      <c r="A18492" s="1" t="s">
        <v>1225</v>
      </c>
      <c r="B18492" s="0" t="s">
        <v>98</v>
      </c>
      <c r="C18492" s="6" t="n">
        <f aca="false">SUM(Sens!F18491:K18491)</f>
        <v>595.31834472258</v>
      </c>
    </row>
    <row r="18493" customFormat="false" ht="17.15" hidden="false" customHeight="false" outlineLevel="0" collapsed="false">
      <c r="A18493" s="1" t="s">
        <v>1226</v>
      </c>
      <c r="B18493" s="0" t="s">
        <v>98</v>
      </c>
      <c r="C18493" s="6" t="n">
        <f aca="false">Sens!K18429*(1+g_tv)*(1-tax_f)</f>
        <v>315.399997813424</v>
      </c>
    </row>
    <row r="18494" customFormat="false" ht="17.15" hidden="false" customHeight="false" outlineLevel="0" collapsed="false">
      <c r="A18494" s="1" t="s">
        <v>1227</v>
      </c>
      <c r="B18494" s="0" t="s">
        <v>98</v>
      </c>
      <c r="C18494" s="6" t="n">
        <f aca="false">Sens!$C$18493*(1-g_tv/(wacc+ronic_prem))</f>
        <v>223.479332406859</v>
      </c>
    </row>
    <row r="18495" customFormat="false" ht="17.15" hidden="false" customHeight="false" outlineLevel="0" collapsed="false">
      <c r="A18495" s="1" t="s">
        <v>1228</v>
      </c>
      <c r="B18495" s="0" t="s">
        <v>98</v>
      </c>
      <c r="C18495" s="6" t="n">
        <f aca="false">Sens!$C$18494/(wacc-g_tv)</f>
        <v>3064.02218021884</v>
      </c>
    </row>
    <row r="18496" customFormat="false" ht="15" hidden="false" customHeight="false" outlineLevel="0" collapsed="false">
      <c r="A18496" s="1" t="s">
        <v>1229</v>
      </c>
      <c r="B18496" s="0" t="s">
        <v>98</v>
      </c>
      <c r="C18496" s="6" t="n">
        <f aca="false">Sens!$C$18495/(1+wacc)^Sens!K18487</f>
        <v>1744.6716464745</v>
      </c>
    </row>
    <row r="18497" customFormat="false" ht="17.15" hidden="false" customHeight="false" outlineLevel="0" collapsed="false">
      <c r="A18497" s="0" t="s">
        <v>1230</v>
      </c>
      <c r="B18497" s="0" t="s">
        <v>98</v>
      </c>
      <c r="C18497" s="6" t="n">
        <f aca="false">Sens!$C$18492+Sens!$C$18496</f>
        <v>2339.98999119708</v>
      </c>
    </row>
    <row r="18498" customFormat="false" ht="15" hidden="false" customHeight="false" outlineLevel="0" collapsed="false">
      <c r="A18498" s="1" t="s">
        <v>1145</v>
      </c>
      <c r="B18498" s="0" t="s">
        <v>168</v>
      </c>
      <c r="C18498" s="7" t="n">
        <f aca="false">Sens!$C$18496/Sens!$C$18497</f>
        <v>0.745589362791236</v>
      </c>
    </row>
    <row r="18499" customFormat="false" ht="17.15" hidden="false" customHeight="false" outlineLevel="0" collapsed="false">
      <c r="A18499" s="1" t="s">
        <v>1231</v>
      </c>
      <c r="B18499" s="0" t="s">
        <v>98</v>
      </c>
      <c r="C18499" s="6" t="n">
        <f aca="false">Sens!$C$18497+cash_val-debt_val-fl_val+oai_v</f>
        <v>2455.84099119708</v>
      </c>
    </row>
    <row r="18500" customFormat="false" ht="17.15" hidden="false" customHeight="false" outlineLevel="0" collapsed="false">
      <c r="A18500" s="0" t="s">
        <v>1153</v>
      </c>
      <c r="B18500" s="0" t="s">
        <v>75</v>
      </c>
      <c r="C18500" s="5" t="n">
        <f aca="false">Sens!$C$18499/shd_val</f>
        <v>329.820170722144</v>
      </c>
    </row>
    <row r="18501" customFormat="false" ht="15" hidden="false" customHeight="false" outlineLevel="0" collapsed="false">
      <c r="A18501" s="1" t="s">
        <v>1232</v>
      </c>
      <c r="B18501" s="0" t="s">
        <v>75</v>
      </c>
      <c r="C18501" s="8" t="n">
        <f aca="false">div_rem27+Sens!G18469*roll_div_q/q_per_yr</f>
        <v>3.9795</v>
      </c>
    </row>
    <row r="18502" customFormat="false" ht="17.15" hidden="false" customHeight="false" outlineLevel="0" collapsed="false">
      <c r="A18502" s="0" t="s">
        <v>1233</v>
      </c>
      <c r="B18502" s="0" t="s">
        <v>75</v>
      </c>
      <c r="C18502" s="5" t="n">
        <f aca="false">Sens!$C$18500*(1+wacc)^t_roll-Sens!$C$18501</f>
        <v>362.634027266717</v>
      </c>
    </row>
    <row r="18503" customFormat="false" ht="17.15" hidden="false" customHeight="false" outlineLevel="0" collapsed="false">
      <c r="A18503" s="1" t="s">
        <v>1234</v>
      </c>
      <c r="B18503" s="0" t="s">
        <v>168</v>
      </c>
      <c r="F18503" s="7" t="n">
        <f aca="false">Sens!F18455/(Sens!F18400-Sens!F18355)</f>
        <v>0.069418883305264</v>
      </c>
      <c r="G18503" s="7" t="n">
        <f aca="false">Sens!G18455/(Sens!G18400-Sens!G18355)</f>
        <v>0.0660521505595477</v>
      </c>
      <c r="H18503" s="7" t="n">
        <f aca="false">Sens!H18455/(Sens!H18400-Sens!H18355)</f>
        <v>0.0642433595761885</v>
      </c>
      <c r="I18503" s="7" t="n">
        <f aca="false">Sens!I18455/(Sens!I18400-Sens!I18355)</f>
        <v>0.0638663868309434</v>
      </c>
      <c r="J18503" s="7" t="n">
        <f aca="false">Sens!J18455/(Sens!J18400-Sens!J18355)</f>
        <v>0.0645525857062334</v>
      </c>
      <c r="K18503" s="7" t="n">
        <f aca="false">Sens!K18455/(Sens!K18400-Sens!K18355)</f>
        <v>0.0658361532011629</v>
      </c>
    </row>
    <row r="18504" customFormat="false" ht="17.15" hidden="false" customHeight="false" outlineLevel="0" collapsed="false">
      <c r="A18504" s="0" t="s">
        <v>1235</v>
      </c>
      <c r="B18504" s="0" t="s">
        <v>98</v>
      </c>
      <c r="F18504" s="6" t="n">
        <f aca="false">Sens!F18385*(al_m365+Sens!F18503+sbc_r)</f>
        <v>84.6250948212114</v>
      </c>
      <c r="G18504" s="6" t="n">
        <f aca="false">Sens!G18385*(al_m365+Sens!G18503+sbc_r)</f>
        <v>99.0478967063439</v>
      </c>
      <c r="H18504" s="6" t="n">
        <f aca="false">Sens!H18385*(al_m365+Sens!H18503+sbc_r)</f>
        <v>113.637750078456</v>
      </c>
      <c r="I18504" s="6" t="n">
        <f aca="false">Sens!I18385*(al_m365+Sens!I18503+sbc_r)</f>
        <v>126.712431932251</v>
      </c>
      <c r="J18504" s="6" t="n">
        <f aca="false">Sens!J18385*(al_m365+Sens!J18503+sbc_r)</f>
        <v>138.086173339129</v>
      </c>
      <c r="K18504" s="6" t="n">
        <f aca="false">Sens!K18385*(al_m365+Sens!K18503+sbc_r)</f>
        <v>149.082489266036</v>
      </c>
      <c r="L18504" s="12" t="s">
        <v>1236</v>
      </c>
    </row>
    <row r="18505" customFormat="false" ht="17.15" hidden="false" customHeight="false" outlineLevel="0" collapsed="false">
      <c r="A18505" s="0" t="s">
        <v>1237</v>
      </c>
      <c r="B18505" s="0" t="s">
        <v>98</v>
      </c>
      <c r="F18505" s="6" t="n">
        <f aca="false">Sens!F18386*(al_lic+Sens!F18503+sbc_r)</f>
        <v>32.8884475938431</v>
      </c>
      <c r="G18505" s="6" t="n">
        <f aca="false">Sens!G18386*(al_lic+Sens!G18503+sbc_r)</f>
        <v>34.1463806833403</v>
      </c>
      <c r="H18505" s="6" t="n">
        <f aca="false">Sens!H18386*(al_lic+Sens!H18503+sbc_r)</f>
        <v>35.3265097852953</v>
      </c>
      <c r="I18505" s="6" t="n">
        <f aca="false">Sens!I18386*(al_lic+Sens!I18503+sbc_r)</f>
        <v>36.4115880710579</v>
      </c>
      <c r="J18505" s="6" t="n">
        <f aca="false">Sens!J18386*(al_lic+Sens!J18503+sbc_r)</f>
        <v>37.3733202555772</v>
      </c>
      <c r="K18505" s="6" t="n">
        <f aca="false">Sens!K18386*(al_lic+Sens!K18503+sbc_r)</f>
        <v>38.1782213156439</v>
      </c>
    </row>
    <row r="18506" customFormat="false" ht="17.15" hidden="false" customHeight="false" outlineLevel="0" collapsed="false">
      <c r="A18506" s="0" t="s">
        <v>1238</v>
      </c>
      <c r="B18506" s="0" t="s">
        <v>98</v>
      </c>
      <c r="F18506" s="6" t="n">
        <f aca="false">Sens!F18388*(al_ind+Sens!F18503+sbc_r)</f>
        <v>9.07825469967325</v>
      </c>
      <c r="G18506" s="6" t="n">
        <f aca="false">Sens!G18388*(al_ind+Sens!G18503+sbc_r)</f>
        <v>9.84152815586849</v>
      </c>
      <c r="H18506" s="6" t="n">
        <f aca="false">Sens!H18388*(al_ind+Sens!H18503+sbc_r)</f>
        <v>10.6531379738421</v>
      </c>
      <c r="I18506" s="6" t="n">
        <f aca="false">Sens!I18388*(al_ind+Sens!I18503+sbc_r)</f>
        <v>11.5112140491577</v>
      </c>
      <c r="J18506" s="6" t="n">
        <f aca="false">Sens!J18388*(al_ind+Sens!J18503+sbc_r)</f>
        <v>12.4047229568106</v>
      </c>
      <c r="K18506" s="6" t="n">
        <f aca="false">Sens!K18388*(al_ind+Sens!K18503+sbc_r)</f>
        <v>13.3154406483387</v>
      </c>
    </row>
    <row r="18507" customFormat="false" ht="17.15" hidden="false" customHeight="false" outlineLevel="0" collapsed="false">
      <c r="A18507" s="0" t="s">
        <v>1239</v>
      </c>
      <c r="B18507" s="0" t="s">
        <v>98</v>
      </c>
      <c r="F18507" s="6" t="n">
        <f aca="false">Sens!F18390*(al_fro+Sens!F18503+sbc_r)</f>
        <v>3.56102649456306</v>
      </c>
      <c r="G18507" s="6" t="n">
        <f aca="false">Sens!G18390*(al_fro+Sens!G18503+sbc_r)</f>
        <v>3.76565710766688</v>
      </c>
      <c r="H18507" s="6" t="n">
        <f aca="false">Sens!H18390*(al_fro+Sens!H18503+sbc_r)</f>
        <v>4.00075330400673</v>
      </c>
      <c r="I18507" s="6" t="n">
        <f aca="false">Sens!I18390*(al_fro+Sens!I18503+sbc_r)</f>
        <v>4.26937089011404</v>
      </c>
      <c r="J18507" s="6" t="n">
        <f aca="false">Sens!J18390*(al_fro+Sens!J18503+sbc_r)</f>
        <v>4.57207119273496</v>
      </c>
      <c r="K18507" s="6" t="n">
        <f aca="false">Sens!K18390*(al_fro+Sens!K18503+sbc_r)</f>
        <v>4.90773899738058</v>
      </c>
    </row>
    <row r="18508" customFormat="false" ht="17.15" hidden="false" customHeight="false" outlineLevel="0" collapsed="false">
      <c r="A18508" s="0" t="s">
        <v>1240</v>
      </c>
      <c r="B18508" s="0" t="s">
        <v>98</v>
      </c>
      <c r="F18508" s="6" t="n">
        <f aca="false">Sens!F18393*(al_srch+Sens!F18503+sbc_r)</f>
        <v>11.2111188120041</v>
      </c>
      <c r="G18508" s="6" t="n">
        <f aca="false">Sens!G18393*(al_srch+Sens!G18503+sbc_r)</f>
        <v>12.2683923751011</v>
      </c>
      <c r="H18508" s="6" t="n">
        <f aca="false">Sens!H18393*(al_srch+Sens!H18503+sbc_r)</f>
        <v>13.3746176124164</v>
      </c>
      <c r="I18508" s="6" t="n">
        <f aca="false">Sens!I18393*(al_srch+Sens!I18503+sbc_r)</f>
        <v>14.5208086311819</v>
      </c>
      <c r="J18508" s="6" t="n">
        <f aca="false">Sens!J18393*(al_srch+Sens!J18503+sbc_r)</f>
        <v>15.685430601005</v>
      </c>
      <c r="K18508" s="6" t="n">
        <f aca="false">Sens!K18393*(al_srch+Sens!K18503+sbc_r)</f>
        <v>16.8370080443149</v>
      </c>
    </row>
    <row r="18509" customFormat="false" ht="17.15" hidden="false" customHeight="false" outlineLevel="0" collapsed="false">
      <c r="A18509" s="0" t="s">
        <v>1241</v>
      </c>
      <c r="B18509" s="0" t="s">
        <v>98</v>
      </c>
      <c r="F18509" s="6" t="n">
        <f aca="false">Sens!F18361-Sens!F18362+Sens!F18443</f>
        <v>45.3782580567763</v>
      </c>
      <c r="G18509" s="6" t="n">
        <f aca="false">Sens!G18361-Sens!G18362+Sens!G18443</f>
        <v>91.0863367558165</v>
      </c>
      <c r="H18509" s="6" t="n">
        <f aca="false">Sens!H18361-Sens!H18362+Sens!H18443</f>
        <v>144.617532464853</v>
      </c>
      <c r="I18509" s="6" t="n">
        <f aca="false">Sens!I18361-Sens!I18362+Sens!I18443</f>
        <v>187.137304561304</v>
      </c>
      <c r="J18509" s="6" t="n">
        <f aca="false">Sens!J18361-Sens!J18362+Sens!J18443</f>
        <v>217.006854425907</v>
      </c>
      <c r="K18509" s="6" t="n">
        <f aca="false">Sens!K18361-Sens!K18362+Sens!K18443</f>
        <v>234.933637903877</v>
      </c>
    </row>
    <row r="18510" customFormat="false" ht="17.15" hidden="false" customHeight="false" outlineLevel="0" collapsed="false">
      <c r="A18510" s="0" t="s">
        <v>1242</v>
      </c>
      <c r="B18510" s="0" t="s">
        <v>98</v>
      </c>
      <c r="F18510" s="6" t="n">
        <f aca="false">Sens!F18422+Sens!F18443+Sens!F18373+Sens!F18503*(Sens!F18392-Sens!F18355)+sbc_r*Sens!F18392</f>
        <v>241.050448993405</v>
      </c>
      <c r="G18510" s="6" t="n">
        <f aca="false">Sens!G18422+Sens!G18443+Sens!G18373+Sens!G18503*(Sens!G18392-Sens!G18355)+sbc_r*Sens!G18392</f>
        <v>312.130147060204</v>
      </c>
      <c r="H18510" s="6" t="n">
        <f aca="false">Sens!H18422+Sens!H18443+Sens!H18373+Sens!H18503*(Sens!H18392-Sens!H18355)+sbc_r*Sens!H18392</f>
        <v>395.687553153249</v>
      </c>
      <c r="I18510" s="6" t="n">
        <f aca="false">Sens!I18422+Sens!I18443+Sens!I18373+Sens!I18503*(Sens!I18392-Sens!I18355)+sbc_r*Sens!I18392</f>
        <v>466.146951369427</v>
      </c>
      <c r="J18510" s="6" t="n">
        <f aca="false">Sens!J18422+Sens!J18443+Sens!J18373+Sens!J18503*(Sens!J18392-Sens!J18355)+sbc_r*Sens!J18392</f>
        <v>520.982801373453</v>
      </c>
      <c r="K18510" s="6" t="n">
        <f aca="false">Sens!K18422+Sens!K18443+Sens!K18373+Sens!K18503*(Sens!K18392-Sens!K18355)+sbc_r*Sens!K18392</f>
        <v>561.44666948517</v>
      </c>
    </row>
    <row r="18511" customFormat="false" ht="17.15" hidden="false" customHeight="false" outlineLevel="0" collapsed="false">
      <c r="A18511" s="0" t="s">
        <v>1243</v>
      </c>
      <c r="B18511" s="0" t="s">
        <v>98</v>
      </c>
      <c r="F18511" s="6" t="n">
        <f aca="false">Sens!F18510-Sens!F18504-Sens!F18505-Sens!F18506-Sens!F18507-Sens!F18509</f>
        <v>65.519367327338</v>
      </c>
      <c r="G18511" s="6" t="n">
        <f aca="false">Sens!G18510-Sens!G18504-Sens!G18505-Sens!G18506-Sens!G18507-Sens!G18509</f>
        <v>74.2423476511675</v>
      </c>
      <c r="H18511" s="6" t="n">
        <f aca="false">Sens!H18510-Sens!H18504-Sens!H18505-Sens!H18506-Sens!H18507-Sens!H18509</f>
        <v>87.4518695467948</v>
      </c>
      <c r="I18511" s="6" t="n">
        <f aca="false">Sens!I18510-Sens!I18504-Sens!I18505-Sens!I18506-Sens!I18507-Sens!I18509</f>
        <v>100.105041865542</v>
      </c>
      <c r="J18511" s="6" t="n">
        <f aca="false">Sens!J18510-Sens!J18504-Sens!J18505-Sens!J18506-Sens!J18507-Sens!J18509</f>
        <v>111.539659203294</v>
      </c>
      <c r="K18511" s="6" t="n">
        <f aca="false">Sens!K18510-Sens!K18504-Sens!K18505-Sens!K18506-Sens!K18507-Sens!K18509</f>
        <v>121.029141353894</v>
      </c>
    </row>
    <row r="18512" customFormat="false" ht="17.15" hidden="false" customHeight="false" outlineLevel="0" collapsed="false">
      <c r="A18512" s="0" t="s">
        <v>1244</v>
      </c>
      <c r="B18512" s="0" t="s">
        <v>98</v>
      </c>
      <c r="F18512" s="6" t="n">
        <f aca="false">Sens!F18424+Sens!F18503*Sens!F18399+sbc_r*Sens!F18399</f>
        <v>24.9553878640395</v>
      </c>
      <c r="G18512" s="6" t="n">
        <f aca="false">Sens!G18424+Sens!G18503*Sens!G18399+sbc_r*Sens!G18399</f>
        <v>24.7750115419114</v>
      </c>
      <c r="H18512" s="6" t="n">
        <f aca="false">Sens!H18424+Sens!H18503*Sens!H18399+sbc_r*Sens!H18399</f>
        <v>25.6270978854508</v>
      </c>
      <c r="I18512" s="6" t="n">
        <f aca="false">Sens!I18424+Sens!I18503*Sens!I18399+sbc_r*Sens!I18399</f>
        <v>26.7126054863137</v>
      </c>
      <c r="J18512" s="6" t="n">
        <f aca="false">Sens!J18424+Sens!J18503*Sens!J18399+sbc_r*Sens!J18399</f>
        <v>27.9928273366764</v>
      </c>
      <c r="K18512" s="6" t="n">
        <f aca="false">Sens!K18424+Sens!K18503*Sens!K18399+sbc_r*Sens!K18399</f>
        <v>29.4241112993122</v>
      </c>
    </row>
    <row r="18513" customFormat="false" ht="17.15" hidden="false" customHeight="false" outlineLevel="0" collapsed="false">
      <c r="A18513" s="0" t="s">
        <v>1245</v>
      </c>
      <c r="B18513" s="0" t="s">
        <v>98</v>
      </c>
      <c r="F18513" s="6" t="n">
        <f aca="false">(Sens!F18512-Sens!F18508)*Sens!F18395/(Sens!F18395+Sens!F18397)</f>
        <v>8.78919114373035</v>
      </c>
      <c r="G18513" s="6" t="n">
        <f aca="false">(Sens!G18512-Sens!G18508)*Sens!G18395/(Sens!G18395+Sens!G18397)</f>
        <v>7.88354047476964</v>
      </c>
      <c r="H18513" s="6" t="n">
        <f aca="false">(Sens!H18512-Sens!H18508)*Sens!H18395/(Sens!H18395+Sens!H18397)</f>
        <v>7.63956853328556</v>
      </c>
      <c r="I18513" s="6" t="n">
        <f aca="false">(Sens!I18512-Sens!I18508)*Sens!I18395/(Sens!I18395+Sens!I18397)</f>
        <v>7.54640289125572</v>
      </c>
      <c r="J18513" s="6" t="n">
        <f aca="false">(Sens!J18512-Sens!J18508)*Sens!J18395/(Sens!J18395+Sens!J18397)</f>
        <v>7.59022073587304</v>
      </c>
      <c r="K18513" s="6" t="n">
        <f aca="false">(Sens!K18512-Sens!K18508)*Sens!K18395/(Sens!K18395+Sens!K18397)</f>
        <v>7.76272140913024</v>
      </c>
    </row>
    <row r="18514" customFormat="false" ht="17.15" hidden="false" customHeight="false" outlineLevel="0" collapsed="false">
      <c r="A18514" s="0" t="s">
        <v>1246</v>
      </c>
      <c r="B18514" s="0" t="s">
        <v>98</v>
      </c>
      <c r="F18514" s="6" t="n">
        <f aca="false">Sens!F18512-Sens!F18508-Sens!F18513</f>
        <v>4.95507790830512</v>
      </c>
      <c r="G18514" s="6" t="n">
        <f aca="false">Sens!G18512-Sens!G18508-Sens!G18513</f>
        <v>4.6230786920407</v>
      </c>
      <c r="H18514" s="6" t="n">
        <f aca="false">Sens!H18512-Sens!H18508-Sens!H18513</f>
        <v>4.61291173974879</v>
      </c>
      <c r="I18514" s="6" t="n">
        <f aca="false">Sens!I18512-Sens!I18508-Sens!I18513</f>
        <v>4.645393963876</v>
      </c>
      <c r="J18514" s="6" t="n">
        <f aca="false">Sens!J18512-Sens!J18508-Sens!J18513</f>
        <v>4.71717599979837</v>
      </c>
      <c r="K18514" s="6" t="n">
        <f aca="false">Sens!K18512-Sens!K18508-Sens!K18513</f>
        <v>4.82438184586713</v>
      </c>
    </row>
    <row r="18515" customFormat="false" ht="17.15" hidden="false" customHeight="false" outlineLevel="0" collapsed="false">
      <c r="A18515" s="0" t="s">
        <v>1247</v>
      </c>
      <c r="B18515" s="0" t="s">
        <v>98</v>
      </c>
      <c r="F18515" s="6" t="n">
        <f aca="false">Sens!F18509-tax_f*(Sens!F18509-Sens!F18373)-Sens!F18370</f>
        <v>-125.235434701028</v>
      </c>
      <c r="G18515" s="6" t="n">
        <f aca="false">Sens!G18509-tax_f*(Sens!G18509-Sens!G18373)-Sens!G18370</f>
        <v>-106.928508113935</v>
      </c>
      <c r="H18515" s="6" t="n">
        <f aca="false">Sens!H18509-tax_f*(Sens!H18509-Sens!H18373)-Sens!H18370</f>
        <v>-63.2919599603405</v>
      </c>
      <c r="I18515" s="6" t="n">
        <f aca="false">Sens!I18509-tax_f*(Sens!I18509-Sens!I18373)-Sens!I18370</f>
        <v>3.94121196634245</v>
      </c>
      <c r="J18515" s="6" t="n">
        <f aca="false">Sens!J18509-tax_f*(Sens!J18509-Sens!J18373)-Sens!J18370</f>
        <v>71.0786869547042</v>
      </c>
      <c r="K18515" s="6" t="n">
        <f aca="false">Sens!K18509-tax_f*(Sens!K18509-Sens!K18373)-Sens!K18370</f>
        <v>97.5865911685559</v>
      </c>
    </row>
    <row r="18516" customFormat="false" ht="17.15" hidden="false" customHeight="false" outlineLevel="0" collapsed="false">
      <c r="A18516" s="0" t="s">
        <v>1248</v>
      </c>
      <c r="B18516" s="0" t="s">
        <v>98</v>
      </c>
      <c r="G18516" s="6" t="n">
        <f aca="false">Sens!G18515/(1+wacc)^(Sens!G18486-Sens!F18487)</f>
        <v>-101.81651667568</v>
      </c>
      <c r="H18516" s="6" t="n">
        <f aca="false">Sens!H18515/(1+wacc)^(Sens!H18486-Sens!F18487)</f>
        <v>-54.6415143556151</v>
      </c>
      <c r="I18516" s="6" t="n">
        <f aca="false">Sens!I18515/(1+wacc)^(Sens!I18486-Sens!F18487)</f>
        <v>3.08498765169516</v>
      </c>
      <c r="J18516" s="6" t="n">
        <f aca="false">Sens!J18515/(1+wacc)^(Sens!J18486-Sens!F18487)</f>
        <v>50.4443451596971</v>
      </c>
      <c r="K18516" s="6" t="n">
        <f aca="false">Sens!K18515/(1+wacc)^(Sens!K18486-Sens!F18487)</f>
        <v>62.7932114544856</v>
      </c>
      <c r="L18516" s="1" t="s">
        <v>1249</v>
      </c>
    </row>
    <row r="18517" customFormat="false" ht="17.15" hidden="false" customHeight="false" outlineLevel="0" collapsed="false">
      <c r="A18517" s="0" t="s">
        <v>1250</v>
      </c>
      <c r="B18517" s="0" t="s">
        <v>98</v>
      </c>
      <c r="C18517" s="6" t="n">
        <f aca="false">(Sens!K18509-Sens!K18373)*(1-tax_f)*(1+g_tv)*(1-g_tv/(wacc+ronic_prem))/(wacc-g_tv)/(1+wacc)^(Sens!K18487-Sens!F18487)</f>
        <v>450.836735002813</v>
      </c>
    </row>
    <row r="18518" customFormat="false" ht="17.15" hidden="false" customHeight="false" outlineLevel="0" collapsed="false">
      <c r="A18518" s="1" t="s">
        <v>1251</v>
      </c>
      <c r="B18518" s="0" t="s">
        <v>98</v>
      </c>
      <c r="C18518" s="6" t="n">
        <f aca="false">(SUM(Sens!G18516:K18516)+Sens!$C$18517)*(1+wacc)^(t_roll-Sens!F18487)</f>
        <v>424.259738494477</v>
      </c>
      <c r="L18518" s="12" t="s">
        <v>1252</v>
      </c>
    </row>
    <row r="18519" customFormat="false" ht="17.15" hidden="false" customHeight="false" outlineLevel="0" collapsed="false">
      <c r="A18519" s="1" t="s">
        <v>1253</v>
      </c>
      <c r="B18519" s="0" t="s">
        <v>98</v>
      </c>
      <c r="C18519" s="6" t="n">
        <f aca="false">(w_ntm28*Sens!G18361+(1-w_ntm28)*Sens!H18361)*m_ai</f>
        <v>563.316843258668</v>
      </c>
    </row>
    <row r="18520" customFormat="false" ht="17.15" hidden="false" customHeight="false" outlineLevel="0" collapsed="false">
      <c r="A18520" s="1" t="s">
        <v>1254</v>
      </c>
      <c r="B18520" s="0" t="s">
        <v>98</v>
      </c>
      <c r="C18520" s="6" t="n">
        <f aca="false">(w_ntm28*Sens!G18511+(1-w_ntm28)*Sens!H18511)*m_cloud</f>
        <v>1086.04752155751</v>
      </c>
    </row>
    <row r="18521" customFormat="false" ht="17.15" hidden="false" customHeight="false" outlineLevel="0" collapsed="false">
      <c r="A18521" s="1" t="s">
        <v>1255</v>
      </c>
      <c r="B18521" s="0" t="s">
        <v>98</v>
      </c>
      <c r="C18521" s="6" t="n">
        <f aca="false">(w_ntm28*Sens!G18504+(1-w_ntm28)*Sens!H18504)*m_sw</f>
        <v>1121.52125694977</v>
      </c>
    </row>
    <row r="18522" customFormat="false" ht="17.15" hidden="false" customHeight="false" outlineLevel="0" collapsed="false">
      <c r="A18522" s="1" t="s">
        <v>1256</v>
      </c>
      <c r="B18522" s="0" t="s">
        <v>98</v>
      </c>
      <c r="C18522" s="6" t="n">
        <f aca="false">(w_ntm28*Sens!G18505+(1-w_ntm28)*Sens!H18505)*m_sw</f>
        <v>372.97117799962</v>
      </c>
    </row>
    <row r="18523" customFormat="false" ht="17.15" hidden="false" customHeight="false" outlineLevel="0" collapsed="false">
      <c r="A18523" s="1" t="s">
        <v>1257</v>
      </c>
      <c r="B18523" s="0" t="s">
        <v>98</v>
      </c>
      <c r="C18523" s="6" t="n">
        <f aca="false">(w_ntm28*Sens!G18506+(1-w_ntm28)*Sens!H18506)*m_sw</f>
        <v>109.170274834322</v>
      </c>
    </row>
    <row r="18524" customFormat="false" ht="17.15" hidden="false" customHeight="false" outlineLevel="0" collapsed="false">
      <c r="A18524" s="1" t="s">
        <v>1258</v>
      </c>
      <c r="B18524" s="0" t="s">
        <v>98</v>
      </c>
      <c r="C18524" s="6" t="n">
        <f aca="false">(w_ntm28*Sens!G18507+(1-w_ntm28)*Sens!H18507)*m_sw</f>
        <v>41.5038492846008</v>
      </c>
    </row>
    <row r="18525" customFormat="false" ht="17.15" hidden="false" customHeight="false" outlineLevel="0" collapsed="false">
      <c r="A18525" s="1" t="s">
        <v>1259</v>
      </c>
      <c r="B18525" s="0" t="s">
        <v>98</v>
      </c>
      <c r="C18525" s="6" t="n">
        <f aca="false">(w_ntm28*Sens!G18508+(1-w_ntm28)*Sens!H18508)*m_ads</f>
        <v>115.078274891782</v>
      </c>
    </row>
    <row r="18526" customFormat="false" ht="17.15" hidden="false" customHeight="false" outlineLevel="0" collapsed="false">
      <c r="A18526" s="1" t="s">
        <v>1260</v>
      </c>
      <c r="B18526" s="0" t="s">
        <v>98</v>
      </c>
      <c r="C18526" s="6" t="n">
        <f aca="false">(w_ntm28*Sens!G18513+(1-w_ntm28)*Sens!H18513)*m_game</f>
        <v>98.5560644853453</v>
      </c>
    </row>
    <row r="18527" customFormat="false" ht="17.15" hidden="false" customHeight="false" outlineLevel="0" collapsed="false">
      <c r="A18527" s="1" t="s">
        <v>1261</v>
      </c>
      <c r="B18527" s="0" t="s">
        <v>98</v>
      </c>
      <c r="C18527" s="6" t="n">
        <f aca="false">(w_ntm28*Sens!G18514+(1-w_ntm28)*Sens!H18514)*m_pc</f>
        <v>66.8475818355833</v>
      </c>
    </row>
    <row r="18528" customFormat="false" ht="17.15" hidden="false" customHeight="false" outlineLevel="0" collapsed="false">
      <c r="A18528" s="1" t="s">
        <v>1262</v>
      </c>
      <c r="B18528" s="0" t="s">
        <v>98</v>
      </c>
      <c r="C18528" s="6" t="n">
        <f aca="false">Sens!$C$18518+Sens!$C$18520+Sens!$C$18521+Sens!$C$18522+Sens!$C$18523+Sens!$C$18524+Sens!$C$18525+Sens!$C$18526+Sens!$C$18527</f>
        <v>3435.95574033301</v>
      </c>
    </row>
    <row r="18529" customFormat="false" ht="17.15" hidden="false" customHeight="false" outlineLevel="0" collapsed="false">
      <c r="A18529" s="1" t="s">
        <v>1263</v>
      </c>
      <c r="B18529" s="0" t="s">
        <v>98</v>
      </c>
      <c r="C18529" s="6" t="n">
        <f aca="false">(Sens!G18490-Sens!G18515)*t_stub</f>
        <v>47.9821169591529</v>
      </c>
      <c r="L18529" s="1" t="s">
        <v>1264</v>
      </c>
    </row>
    <row r="18530" customFormat="false" ht="17.15" hidden="false" customHeight="false" outlineLevel="0" collapsed="false">
      <c r="A18530" s="1" t="s">
        <v>1173</v>
      </c>
      <c r="B18530" s="0" t="s">
        <v>98</v>
      </c>
      <c r="C18530" s="6" t="n">
        <f aca="false">Sens!F18477+oai_v-Sens!F18466+Sens!$C$18529</f>
        <v>162.210386959153</v>
      </c>
      <c r="L18530" s="1" t="s">
        <v>1265</v>
      </c>
    </row>
    <row r="18531" customFormat="false" ht="17.15" hidden="false" customHeight="false" outlineLevel="0" collapsed="false">
      <c r="A18531" s="1" t="s">
        <v>1266</v>
      </c>
      <c r="B18531" s="0" t="s">
        <v>75</v>
      </c>
      <c r="C18531" s="5" t="n">
        <f aca="false">(Sens!$C$18528+Sens!$C$18530)/(Sens!F18479+dil_gap)-Sens!G18469*roll_div_q/q_per_yr</f>
        <v>479.201763827576</v>
      </c>
      <c r="L18531" s="1" t="s">
        <v>1267</v>
      </c>
    </row>
    <row r="18532" customFormat="false" ht="17.15" hidden="false" customHeight="false" outlineLevel="0" collapsed="false">
      <c r="A18532" s="1" t="s">
        <v>1268</v>
      </c>
      <c r="B18532" s="0" t="s">
        <v>75</v>
      </c>
      <c r="C18532" s="5" t="n">
        <f aca="false">w_dcf*Sens!$C$18502+(1-w_dcf)*Sens!$C$18531</f>
        <v>420.917895547147</v>
      </c>
    </row>
    <row r="18533" customFormat="false" ht="17.15" hidden="false" customHeight="false" outlineLevel="0" collapsed="false">
      <c r="A18533" s="3" t="s">
        <v>2069</v>
      </c>
    </row>
    <row r="18534" customFormat="false" ht="15" hidden="false" customHeight="false" outlineLevel="0" collapsed="false">
      <c r="A18534" s="4" t="s">
        <v>43</v>
      </c>
      <c r="B18534" s="4" t="s">
        <v>65</v>
      </c>
      <c r="C18534" s="23" t="s">
        <v>942</v>
      </c>
      <c r="D18534" s="23" t="s">
        <v>943</v>
      </c>
      <c r="E18534" s="23" t="s">
        <v>944</v>
      </c>
      <c r="F18534" s="23" t="s">
        <v>945</v>
      </c>
      <c r="G18534" s="23" t="s">
        <v>946</v>
      </c>
      <c r="H18534" s="23" t="s">
        <v>947</v>
      </c>
      <c r="I18534" s="23" t="s">
        <v>948</v>
      </c>
      <c r="J18534" s="23" t="s">
        <v>949</v>
      </c>
      <c r="K18534" s="23" t="s">
        <v>950</v>
      </c>
      <c r="L18534" s="4" t="s">
        <v>47</v>
      </c>
    </row>
    <row r="18535" customFormat="false" ht="17.15" hidden="false" customHeight="false" outlineLevel="0" collapsed="false">
      <c r="A18535" s="1" t="s">
        <v>951</v>
      </c>
      <c r="B18535" s="1" t="s">
        <v>279</v>
      </c>
      <c r="C18535" s="21" t="n">
        <v>2024</v>
      </c>
      <c r="D18535" s="21" t="n">
        <v>2025</v>
      </c>
      <c r="E18535" s="21" t="n">
        <v>2026</v>
      </c>
      <c r="F18535" s="21" t="n">
        <v>2027</v>
      </c>
      <c r="G18535" s="21" t="n">
        <v>2028</v>
      </c>
      <c r="H18535" s="21" t="n">
        <v>2029</v>
      </c>
      <c r="I18535" s="21" t="n">
        <v>2030</v>
      </c>
      <c r="J18535" s="21" t="n">
        <v>2031</v>
      </c>
      <c r="K18535" s="21" t="n">
        <v>2032</v>
      </c>
    </row>
    <row r="18536" customFormat="false" ht="17.15" hidden="false" customHeight="false" outlineLevel="0" collapsed="false">
      <c r="A18536" s="1" t="s">
        <v>952</v>
      </c>
      <c r="B18536" s="0" t="s">
        <v>459</v>
      </c>
      <c r="F18536" s="30" t="n">
        <f aca="false">pace</f>
        <v>2726.5351</v>
      </c>
      <c r="G18536" s="30" t="n">
        <f aca="false">pace</f>
        <v>2726.5351</v>
      </c>
      <c r="H18536" s="30" t="n">
        <f aca="false">pace</f>
        <v>2726.5351</v>
      </c>
      <c r="I18536" s="30" t="n">
        <f aca="false">pace+(g_tv*Sens!H18537-pace)*MIN(1,(Sens!I18535-pace_y0)/(pace_y1-pace_y0))</f>
        <v>1931.98611966667</v>
      </c>
      <c r="J18536" s="30" t="n">
        <f aca="false">pace+(g_tv*Sens!I18537-pace)*MIN(1,(Sens!J18535-pace_y0)/(pace_y1-pace_y0))</f>
        <v>1176.07686172667</v>
      </c>
      <c r="K18536" s="30" t="n">
        <f aca="false">pace+(g_tv*Sens!J18537-pace)*MIN(1,(Sens!K18535-pace_y0)/(pace_y1-pace_y0))</f>
        <v>436.1300484418</v>
      </c>
      <c r="L18536" s="12" t="s">
        <v>953</v>
      </c>
    </row>
    <row r="18537" customFormat="false" ht="17.15" hidden="false" customHeight="false" outlineLevel="0" collapsed="false">
      <c r="A18537" s="1" t="s">
        <v>954</v>
      </c>
      <c r="B18537" s="0" t="s">
        <v>459</v>
      </c>
      <c r="C18537" s="30" t="n">
        <f aca="false">mw_ext_24</f>
        <v>640</v>
      </c>
      <c r="D18537" s="30" t="n">
        <f aca="false">mw_ext_25</f>
        <v>1630</v>
      </c>
      <c r="E18537" s="30" t="n">
        <f aca="false">mw_ext_26</f>
        <v>3250</v>
      </c>
      <c r="F18537" s="30" t="n">
        <f aca="false">Sens!E18537+Sens!F18536</f>
        <v>5976.5351</v>
      </c>
      <c r="G18537" s="30" t="n">
        <f aca="false">Sens!F18537+Sens!G18536</f>
        <v>8703.0702</v>
      </c>
      <c r="H18537" s="30" t="n">
        <f aca="false">Sens!G18537+Sens!H18536</f>
        <v>11429.6053</v>
      </c>
      <c r="I18537" s="30" t="n">
        <f aca="false">Sens!H18537+Sens!I18536</f>
        <v>13361.5914196667</v>
      </c>
      <c r="J18537" s="30" t="n">
        <f aca="false">Sens!I18537+Sens!J18536</f>
        <v>14537.6682813933</v>
      </c>
      <c r="K18537" s="30" t="n">
        <f aca="false">Sens!J18537+Sens!K18536</f>
        <v>14973.7983298351</v>
      </c>
      <c r="L18537" s="1" t="s">
        <v>955</v>
      </c>
    </row>
    <row r="18538" customFormat="false" ht="17.15" hidden="false" customHeight="false" outlineLevel="0" collapsed="false">
      <c r="A18538" s="1" t="s">
        <v>956</v>
      </c>
      <c r="B18538" s="0" t="s">
        <v>459</v>
      </c>
      <c r="C18538" s="30" t="n">
        <f aca="false">rent_ext_24</f>
        <v>150</v>
      </c>
      <c r="D18538" s="30" t="n">
        <f aca="false">rent_ext_25</f>
        <v>400</v>
      </c>
      <c r="E18538" s="30" t="n">
        <f aca="false">rent_ext_26</f>
        <v>550</v>
      </c>
      <c r="F18538" s="30" t="n">
        <f aca="false">rent_ext_f</f>
        <v>756</v>
      </c>
      <c r="G18538" s="30" t="n">
        <f aca="false">rent_ext_f</f>
        <v>756</v>
      </c>
      <c r="H18538" s="30" t="n">
        <f aca="false">rent_ext_f</f>
        <v>756</v>
      </c>
      <c r="I18538" s="30" t="n">
        <f aca="false">rent_ext_f</f>
        <v>756</v>
      </c>
      <c r="J18538" s="30" t="n">
        <f aca="false">rent_ext_f</f>
        <v>756</v>
      </c>
      <c r="K18538" s="30" t="n">
        <f aca="false">rent_ext_f</f>
        <v>756</v>
      </c>
      <c r="L18538" s="1" t="s">
        <v>957</v>
      </c>
    </row>
    <row r="18539" customFormat="false" ht="17.15" hidden="false" customHeight="false" outlineLevel="0" collapsed="false">
      <c r="A18539" s="1" t="s">
        <v>958</v>
      </c>
      <c r="B18539" s="0" t="s">
        <v>459</v>
      </c>
      <c r="C18539" s="30" t="n">
        <f aca="false">Sens!C18537-Sens!C18538</f>
        <v>490</v>
      </c>
      <c r="D18539" s="30" t="n">
        <f aca="false">Sens!D18537-Sens!D18538</f>
        <v>1230</v>
      </c>
      <c r="E18539" s="30" t="n">
        <f aca="false">Sens!E18537-Sens!E18538</f>
        <v>2700</v>
      </c>
      <c r="F18539" s="30" t="n">
        <f aca="false">Sens!F18537-Sens!F18538</f>
        <v>5220.5351</v>
      </c>
      <c r="G18539" s="30" t="n">
        <f aca="false">Sens!G18537-Sens!G18538</f>
        <v>7947.0702</v>
      </c>
      <c r="H18539" s="30" t="n">
        <f aca="false">Sens!H18537-Sens!H18538</f>
        <v>10673.6053</v>
      </c>
      <c r="I18539" s="30" t="n">
        <f aca="false">Sens!I18537-Sens!I18538</f>
        <v>12605.5914196667</v>
      </c>
      <c r="J18539" s="30" t="n">
        <f aca="false">Sens!J18537-Sens!J18538</f>
        <v>13781.6682813933</v>
      </c>
      <c r="K18539" s="30" t="n">
        <f aca="false">Sens!K18537-Sens!K18538</f>
        <v>14217.7983298351</v>
      </c>
    </row>
    <row r="18540" customFormat="false" ht="17.15" hidden="false" customHeight="false" outlineLevel="0" collapsed="false">
      <c r="A18540" s="1" t="s">
        <v>959</v>
      </c>
      <c r="B18540" s="0" t="s">
        <v>459</v>
      </c>
      <c r="C18540" s="30" t="n">
        <f aca="false">Sens!C18539/ext_sh</f>
        <v>816.666666666667</v>
      </c>
      <c r="D18540" s="30" t="n">
        <f aca="false">Sens!D18539/ext_sh</f>
        <v>2050</v>
      </c>
      <c r="E18540" s="30" t="n">
        <f aca="false">Sens!E18539/ext_sh</f>
        <v>4500</v>
      </c>
      <c r="F18540" s="30" t="n">
        <f aca="false">Sens!F18539/ext_sh</f>
        <v>8700.89183333333</v>
      </c>
      <c r="G18540" s="30" t="n">
        <f aca="false">Sens!G18539/ext_sh</f>
        <v>13245.117</v>
      </c>
      <c r="H18540" s="30" t="n">
        <f aca="false">Sens!H18539/ext_sh</f>
        <v>17789.3421666667</v>
      </c>
      <c r="I18540" s="30" t="n">
        <f aca="false">Sens!I18539/ext_sh</f>
        <v>21009.3190327778</v>
      </c>
      <c r="J18540" s="30" t="n">
        <f aca="false">Sens!J18539/ext_sh</f>
        <v>22969.4471356556</v>
      </c>
      <c r="K18540" s="30" t="n">
        <f aca="false">Sens!K18539/ext_sh</f>
        <v>23696.3305497252</v>
      </c>
      <c r="L18540" s="1" t="s">
        <v>960</v>
      </c>
    </row>
    <row r="18541" customFormat="false" ht="17.15" hidden="false" customHeight="false" outlineLevel="0" collapsed="false">
      <c r="A18541" s="1" t="s">
        <v>961</v>
      </c>
      <c r="B18541" s="0" t="s">
        <v>459</v>
      </c>
      <c r="C18541" s="30" t="n">
        <f aca="false">Sens!C18540-Sens!C18539</f>
        <v>326.666666666667</v>
      </c>
      <c r="D18541" s="30" t="n">
        <f aca="false">Sens!D18540-Sens!D18539</f>
        <v>820</v>
      </c>
      <c r="E18541" s="30" t="n">
        <f aca="false">Sens!E18540-Sens!E18539</f>
        <v>1800</v>
      </c>
      <c r="F18541" s="30" t="n">
        <f aca="false">Sens!F18540-Sens!F18539</f>
        <v>3480.35673333333</v>
      </c>
      <c r="G18541" s="30" t="n">
        <f aca="false">Sens!G18540-Sens!G18539</f>
        <v>5298.0468</v>
      </c>
      <c r="H18541" s="30" t="n">
        <f aca="false">Sens!H18540-Sens!H18539</f>
        <v>7115.73686666667</v>
      </c>
      <c r="I18541" s="30" t="n">
        <f aca="false">Sens!I18540-Sens!I18539</f>
        <v>8403.72761311111</v>
      </c>
      <c r="J18541" s="30" t="n">
        <f aca="false">Sens!J18540-Sens!J18539</f>
        <v>9187.77885426222</v>
      </c>
      <c r="K18541" s="30" t="n">
        <f aca="false">Sens!K18540-Sens!K18539</f>
        <v>9478.53221989009</v>
      </c>
    </row>
    <row r="18542" customFormat="false" ht="17.15" hidden="false" customHeight="false" outlineLevel="0" collapsed="false">
      <c r="A18542" s="1" t="s">
        <v>962</v>
      </c>
      <c r="B18542" s="0" t="s">
        <v>459</v>
      </c>
      <c r="C18542" s="30" t="n">
        <f aca="false">Sens!C18540</f>
        <v>816.666666666667</v>
      </c>
      <c r="D18542" s="30" t="n">
        <f aca="false">Sens!D18540-Sens!C18540</f>
        <v>1233.33333333333</v>
      </c>
      <c r="E18542" s="30" t="n">
        <f aca="false">Sens!E18540-Sens!D18540</f>
        <v>2450</v>
      </c>
      <c r="F18542" s="30" t="n">
        <f aca="false">Sens!F18540-Sens!E18540</f>
        <v>4200.89183333333</v>
      </c>
      <c r="G18542" s="30" t="n">
        <f aca="false">Sens!G18540-Sens!F18540</f>
        <v>4544.22516666667</v>
      </c>
      <c r="H18542" s="30" t="n">
        <f aca="false">Sens!H18540-Sens!G18540</f>
        <v>4544.22516666667</v>
      </c>
      <c r="I18542" s="30" t="n">
        <f aca="false">Sens!I18540-Sens!H18540</f>
        <v>3219.97686611111</v>
      </c>
      <c r="J18542" s="30" t="n">
        <f aca="false">Sens!J18540-Sens!I18540</f>
        <v>1960.12810287778</v>
      </c>
      <c r="K18542" s="30" t="n">
        <f aca="false">Sens!K18540-Sens!J18540</f>
        <v>726.883414069667</v>
      </c>
    </row>
    <row r="18543" customFormat="false" ht="17.15" hidden="false" customHeight="false" outlineLevel="0" collapsed="false">
      <c r="A18543" s="1" t="s">
        <v>963</v>
      </c>
      <c r="B18543" s="0" t="s">
        <v>459</v>
      </c>
      <c r="D18543" s="30" t="n">
        <f aca="false">Sens!D18537-Sens!C18537</f>
        <v>990</v>
      </c>
      <c r="E18543" s="30" t="n">
        <f aca="false">Sens!E18537-Sens!D18537</f>
        <v>1620</v>
      </c>
      <c r="F18543" s="30" t="n">
        <f aca="false">Sens!F18537-Sens!E18537</f>
        <v>2726.5351</v>
      </c>
      <c r="G18543" s="30" t="n">
        <f aca="false">Sens!G18537-Sens!F18537</f>
        <v>2726.5351</v>
      </c>
      <c r="H18543" s="30" t="n">
        <f aca="false">Sens!H18537-Sens!G18537</f>
        <v>2726.5351</v>
      </c>
      <c r="I18543" s="30" t="n">
        <f aca="false">Sens!I18537-Sens!H18537</f>
        <v>1931.98611966667</v>
      </c>
      <c r="J18543" s="30" t="n">
        <f aca="false">Sens!J18537-Sens!I18537</f>
        <v>1176.07686172667</v>
      </c>
      <c r="K18543" s="30" t="n">
        <f aca="false">Sens!K18537-Sens!J18537</f>
        <v>436.130048441799</v>
      </c>
    </row>
    <row r="18544" customFormat="false" ht="17.15" hidden="false" customHeight="false" outlineLevel="0" collapsed="false">
      <c r="A18544" s="1" t="s">
        <v>964</v>
      </c>
      <c r="B18544" s="0" t="s">
        <v>459</v>
      </c>
      <c r="F18544" s="30" t="n">
        <f aca="false">Sens!F18563*ext_sh</f>
        <v>0</v>
      </c>
      <c r="G18544" s="30" t="n">
        <f aca="false">Sens!G18563*ext_sh</f>
        <v>0</v>
      </c>
      <c r="H18544" s="30" t="n">
        <f aca="false">Sens!H18563*ext_sh</f>
        <v>0</v>
      </c>
      <c r="I18544" s="30" t="n">
        <f aca="false">Sens!I18563*ext_sh</f>
        <v>490</v>
      </c>
      <c r="J18544" s="30" t="n">
        <f aca="false">Sens!J18563*ext_sh</f>
        <v>740</v>
      </c>
      <c r="K18544" s="30" t="n">
        <f aca="false">Sens!K18563*ext_sh</f>
        <v>1470</v>
      </c>
      <c r="L18544" s="1" t="s">
        <v>965</v>
      </c>
    </row>
    <row r="18545" customFormat="false" ht="17.15" hidden="false" customHeight="false" outlineLevel="0" collapsed="false">
      <c r="A18545" s="1" t="s">
        <v>966</v>
      </c>
      <c r="B18545" s="0" t="s">
        <v>459</v>
      </c>
      <c r="C18545" s="30" t="n">
        <f aca="false">mix_h*Sens!C18537</f>
        <v>128</v>
      </c>
      <c r="D18545" s="30" t="n">
        <f aca="false">mix_h*Sens!D18537</f>
        <v>326</v>
      </c>
      <c r="E18545" s="30" t="n">
        <f aca="false">mix_h*Sens!E18537</f>
        <v>650</v>
      </c>
      <c r="F18545" s="30" t="n">
        <f aca="false">Sens!E18545-Sens!F18544*mix_h</f>
        <v>650</v>
      </c>
      <c r="G18545" s="30" t="n">
        <f aca="false">Sens!F18545-Sens!G18544*mix_h</f>
        <v>650</v>
      </c>
      <c r="H18545" s="30" t="n">
        <f aca="false">Sens!G18545-Sens!H18544*mix_h</f>
        <v>650</v>
      </c>
      <c r="I18545" s="30" t="n">
        <f aca="false">Sens!H18545-Sens!I18544*mix_h</f>
        <v>552</v>
      </c>
      <c r="J18545" s="30" t="n">
        <f aca="false">Sens!I18545-Sens!J18544*mix_h</f>
        <v>404</v>
      </c>
      <c r="K18545" s="30" t="n">
        <f aca="false">Sens!J18545-Sens!K18544*mix_h</f>
        <v>110</v>
      </c>
    </row>
    <row r="18546" customFormat="false" ht="17.15" hidden="false" customHeight="false" outlineLevel="0" collapsed="false">
      <c r="A18546" s="1" t="s">
        <v>967</v>
      </c>
      <c r="B18546" s="0" t="s">
        <v>459</v>
      </c>
      <c r="C18546" s="30" t="n">
        <f aca="false">mix_g2*Sens!C18537</f>
        <v>288</v>
      </c>
      <c r="D18546" s="30" t="n">
        <f aca="false">mix_g2*Sens!D18537</f>
        <v>733.5</v>
      </c>
      <c r="E18546" s="30" t="n">
        <f aca="false">mix_g2*Sens!E18537</f>
        <v>1462.5</v>
      </c>
      <c r="F18546" s="30" t="n">
        <f aca="false">Sens!E18546-Sens!F18544*mix_g2</f>
        <v>1462.5</v>
      </c>
      <c r="G18546" s="30" t="n">
        <f aca="false">Sens!F18546-Sens!G18544*mix_g2</f>
        <v>1462.5</v>
      </c>
      <c r="H18546" s="30" t="n">
        <f aca="false">Sens!G18546-Sens!H18544*mix_g2</f>
        <v>1462.5</v>
      </c>
      <c r="I18546" s="30" t="n">
        <f aca="false">Sens!H18546-Sens!I18544*mix_g2</f>
        <v>1242</v>
      </c>
      <c r="J18546" s="30" t="n">
        <f aca="false">Sens!I18546-Sens!J18544*mix_g2</f>
        <v>909</v>
      </c>
      <c r="K18546" s="30" t="n">
        <f aca="false">Sens!J18546-Sens!K18544*mix_g2</f>
        <v>247.5</v>
      </c>
    </row>
    <row r="18547" customFormat="false" ht="17.15" hidden="false" customHeight="false" outlineLevel="0" collapsed="false">
      <c r="A18547" s="1" t="s">
        <v>968</v>
      </c>
      <c r="B18547" s="0" t="s">
        <v>459</v>
      </c>
      <c r="C18547" s="30" t="n">
        <f aca="false">mix_g3*Sens!C18537</f>
        <v>224</v>
      </c>
      <c r="D18547" s="30" t="n">
        <f aca="false">mix_g3*Sens!D18537</f>
        <v>570.5</v>
      </c>
      <c r="E18547" s="30" t="n">
        <f aca="false">mix_g3*Sens!E18537</f>
        <v>1137.5</v>
      </c>
      <c r="F18547" s="30" t="n">
        <f aca="false">Sens!E18547+(Sens!F18543+Sens!F18544)*(a_g3_27-nonnv*a_mai)-Sens!F18544*mix_g3</f>
        <v>2773.42106</v>
      </c>
      <c r="G18547" s="30" t="n">
        <f aca="false">Sens!F18547+(Sens!G18543+Sens!G18544)*(a_g3_28-nonnv*a_mai)-Sens!G18544*mix_g3</f>
        <v>3318.72808</v>
      </c>
      <c r="H18547" s="30" t="n">
        <f aca="false">Sens!G18547+(Sens!H18543+Sens!H18544)*(a_g3_29-nonnv*a_mai)-Sens!H18544*mix_g3</f>
        <v>3318.72808</v>
      </c>
      <c r="I18547" s="30" t="n">
        <f aca="false">Sens!H18547+(Sens!I18543+Sens!I18544)*(a_g3_29-nonnv*a_mai)-Sens!I18544*mix_g3</f>
        <v>3147.22808</v>
      </c>
      <c r="J18547" s="30" t="n">
        <f aca="false">Sens!I18547+(Sens!J18543+Sens!J18544)*(a_g3_29-nonnv*a_mai)-Sens!J18544*mix_g3</f>
        <v>2888.22808</v>
      </c>
      <c r="K18547" s="30" t="n">
        <f aca="false">Sens!J18547+(Sens!K18543+Sens!K18544)*(a_g3_29-nonnv*a_mai)-Sens!K18544*mix_g3</f>
        <v>2373.72808</v>
      </c>
    </row>
    <row r="18548" customFormat="false" ht="17.15" hidden="false" customHeight="false" outlineLevel="0" collapsed="false">
      <c r="A18548" s="1" t="s">
        <v>969</v>
      </c>
      <c r="B18548" s="0" t="s">
        <v>459</v>
      </c>
      <c r="C18548" s="30" t="n">
        <v>0</v>
      </c>
      <c r="D18548" s="30" t="n">
        <v>0</v>
      </c>
      <c r="E18548" s="30" t="n">
        <v>0</v>
      </c>
      <c r="F18548" s="30" t="n">
        <f aca="false">Sens!E18548+(Sens!F18543+Sens!F18544)*nonnv*a_mai</f>
        <v>272.65351</v>
      </c>
      <c r="G18548" s="30" t="n">
        <f aca="false">Sens!F18548+(Sens!G18543+Sens!G18544)*nonnv*a_mai</f>
        <v>545.30702</v>
      </c>
      <c r="H18548" s="30" t="n">
        <f aca="false">Sens!G18548+(Sens!H18543+Sens!H18544)*nonnv*a_mai</f>
        <v>817.96053</v>
      </c>
      <c r="I18548" s="30" t="n">
        <f aca="false">Sens!H18548+(Sens!I18543+Sens!I18544)*nonnv*a_mai</f>
        <v>1060.15914196667</v>
      </c>
      <c r="J18548" s="30" t="n">
        <f aca="false">Sens!I18548+(Sens!J18543+Sens!J18544)*nonnv*a_mai</f>
        <v>1251.76682813933</v>
      </c>
      <c r="K18548" s="30" t="n">
        <f aca="false">Sens!J18548+(Sens!K18543+Sens!K18544)*nonnv*a_mai</f>
        <v>1442.37983298351</v>
      </c>
      <c r="L18548" s="12" t="s">
        <v>970</v>
      </c>
    </row>
    <row r="18549" customFormat="false" ht="17.15" hidden="false" customHeight="false" outlineLevel="0" collapsed="false">
      <c r="A18549" s="1" t="s">
        <v>971</v>
      </c>
      <c r="B18549" s="0" t="s">
        <v>459</v>
      </c>
      <c r="C18549" s="30" t="n">
        <v>0</v>
      </c>
      <c r="D18549" s="30" t="n">
        <v>0</v>
      </c>
      <c r="E18549" s="30" t="n">
        <v>0</v>
      </c>
      <c r="F18549" s="30" t="n">
        <f aca="false">Sens!E18549+(Sens!F18543+Sens!F18544)*(1-a_g3_27)</f>
        <v>817.96053</v>
      </c>
      <c r="G18549" s="30" t="n">
        <f aca="false">Sens!F18549+(Sens!G18543+Sens!G18544)*(1-a_g3_28)</f>
        <v>2726.5351</v>
      </c>
      <c r="H18549" s="30" t="n">
        <f aca="false">Sens!G18549+(Sens!H18543+Sens!H18544)*(1-a_g3_29)</f>
        <v>5180.41669</v>
      </c>
      <c r="I18549" s="30" t="n">
        <f aca="false">Sens!H18549+(Sens!I18543+Sens!I18544)*(1-a_g3_29)</f>
        <v>7360.2041977</v>
      </c>
      <c r="J18549" s="30" t="n">
        <f aca="false">Sens!I18549+(Sens!J18543+Sens!J18544)*(1-a_g3_29)</f>
        <v>9084.673373254</v>
      </c>
      <c r="K18549" s="30" t="n">
        <f aca="false">Sens!J18549+(Sens!K18543+Sens!K18544)*(1-a_g3_29)</f>
        <v>10800.1904168516</v>
      </c>
    </row>
    <row r="18550" customFormat="false" ht="17.15" hidden="false" customHeight="false" outlineLevel="0" collapsed="false">
      <c r="A18550" s="1" t="s">
        <v>972</v>
      </c>
      <c r="B18550" s="0" t="s">
        <v>403</v>
      </c>
      <c r="C18550" s="15" t="n">
        <f aca="false">(Sens!C18545*tk_hold_h100+Sens!C18546*tk_hold_gb200+Sens!C18547*tk_hold_gb300+Sens!C18549*tk_hold_vr200+Sens!C18548*nv_hold_mai*tk_hold_vr200)/Sens!C18537</f>
        <v>9.7235358126469</v>
      </c>
      <c r="D18550" s="15" t="n">
        <f aca="false">(Sens!D18545*tk_hold_h100+Sens!D18546*tk_hold_gb200+Sens!D18547*tk_hold_gb300+Sens!D18549*tk_hold_vr200+Sens!D18548*nv_hold_mai*tk_hold_vr200)/Sens!D18537</f>
        <v>9.7235358126469</v>
      </c>
      <c r="E18550" s="15" t="n">
        <f aca="false">(Sens!E18545*tk_hold_h100+Sens!E18546*tk_hold_gb200+Sens!E18547*tk_hold_gb300+Sens!E18549*tk_hold_vr200+Sens!E18548*nv_hold_mai*tk_hold_vr200)/Sens!E18537</f>
        <v>9.7235358126469</v>
      </c>
      <c r="F18550" s="15" t="n">
        <f aca="false">(Sens!F18545*tk_hold_h100+Sens!F18546*tk_hold_gb200+Sens!F18547*tk_hold_gb300+Sens!F18549*tk_hold_vr200+Sens!F18548*nv_hold_mai*tk_hold_vr200)/Sens!F18537</f>
        <v>10.2195353876665</v>
      </c>
      <c r="G18550" s="15" t="n">
        <f aca="false">(Sens!G18545*tk_hold_h100+Sens!G18546*tk_hold_gb200+Sens!G18547*tk_hold_gb300+Sens!G18549*tk_hold_vr200+Sens!G18548*nv_hold_mai*tk_hold_vr200)/Sens!G18537</f>
        <v>10.5725598017306</v>
      </c>
      <c r="H18550" s="15" t="n">
        <f aca="false">(Sens!H18545*tk_hold_h100+Sens!H18546*tk_hold_gb200+Sens!H18547*tk_hold_gb300+Sens!H18549*tk_hold_vr200+Sens!H18548*nv_hold_mai*tk_hold_vr200)/Sens!H18537</f>
        <v>10.8210427149036</v>
      </c>
      <c r="I18550" s="15" t="n">
        <f aca="false">(Sens!I18545*tk_hold_h100+Sens!I18546*tk_hold_gb200+Sens!I18547*tk_hold_gb300+Sens!I18549*tk_hold_vr200+Sens!I18548*nv_hold_mai*tk_hold_vr200)/Sens!I18537</f>
        <v>11.0050618241982</v>
      </c>
      <c r="J18550" s="15" t="n">
        <f aca="false">(Sens!J18545*tk_hold_h100+Sens!J18546*tk_hold_gb200+Sens!J18547*tk_hold_gb300+Sens!J18549*tk_hold_vr200+Sens!J18548*nv_hold_mai*tk_hold_vr200)/Sens!J18537</f>
        <v>11.1505789658881</v>
      </c>
      <c r="K18550" s="15" t="n">
        <f aca="false">(Sens!K18545*tk_hold_h100+Sens!K18546*tk_hold_gb200+Sens!K18547*tk_hold_gb300+Sens!K18549*tk_hold_vr200+Sens!K18548*nv_hold_mai*tk_hold_vr200)/Sens!K18537</f>
        <v>11.3496914757183</v>
      </c>
      <c r="L18550" s="1" t="s">
        <v>973</v>
      </c>
    </row>
    <row r="18551" customFormat="false" ht="17.15" hidden="false" customHeight="false" outlineLevel="0" collapsed="false">
      <c r="A18551" s="1" t="s">
        <v>974</v>
      </c>
      <c r="B18551" s="0" t="s">
        <v>403</v>
      </c>
      <c r="C18551" s="15" t="n">
        <f aca="false">(Sens!C18545*tk_hold_h100+Sens!C18546*tk_hold_gb200+Sens!C18547*tk_hold_gb300+Sens!C18549*tk_hold_vr200+Sens!C18548*nv_out_mai*tk_hold_vr200)/Sens!C18537</f>
        <v>9.7235358126469</v>
      </c>
      <c r="D18551" s="15" t="n">
        <f aca="false">(Sens!D18545*tk_hold_h100+Sens!D18546*tk_hold_gb200+Sens!D18547*tk_hold_gb300+Sens!D18549*tk_hold_vr200+Sens!D18548*nv_out_mai*tk_hold_vr200)/Sens!D18537</f>
        <v>9.7235358126469</v>
      </c>
      <c r="E18551" s="15" t="n">
        <f aca="false">(Sens!E18545*tk_hold_h100+Sens!E18546*tk_hold_gb200+Sens!E18547*tk_hold_gb300+Sens!E18549*tk_hold_vr200+Sens!E18548*nv_out_mai*tk_hold_vr200)/Sens!E18537</f>
        <v>9.7235358126469</v>
      </c>
      <c r="F18551" s="15" t="n">
        <f aca="false">(Sens!F18545*tk_hold_h100+Sens!F18546*tk_hold_gb200+Sens!F18547*tk_hold_gb300+Sens!F18549*tk_hold_vr200+Sens!F18548*nv_out_mai*tk_hold_vr200)/Sens!F18537</f>
        <v>10.247422093969</v>
      </c>
      <c r="G18551" s="15" t="n">
        <f aca="false">(Sens!G18545*tk_hold_h100+Sens!G18546*tk_hold_gb200+Sens!G18547*tk_hold_gb300+Sens!G18549*tk_hold_vr200+Sens!G18548*nv_out_mai*tk_hold_vr200)/Sens!G18537</f>
        <v>10.6108602808053</v>
      </c>
      <c r="H18551" s="15" t="n">
        <f aca="false">(Sens!H18545*tk_hold_h100+Sens!H18546*tk_hold_gb200+Sens!H18547*tk_hold_gb300+Sens!H18549*tk_hold_vr200+Sens!H18548*nv_out_mai*tk_hold_vr200)/Sens!H18537</f>
        <v>10.8647885507393</v>
      </c>
      <c r="I18551" s="15" t="n">
        <f aca="false">(Sens!I18545*tk_hold_h100+Sens!I18546*tk_hold_gb200+Sens!I18547*tk_hold_gb300+Sens!I18549*tk_hold_vr200+Sens!I18548*nv_out_mai*tk_hold_vr200)/Sens!I18537</f>
        <v>11.0535625770025</v>
      </c>
      <c r="J18551" s="15" t="n">
        <f aca="false">(Sens!J18545*tk_hold_h100+Sens!J18546*tk_hold_gb200+Sens!J18547*tk_hold_gb300+Sens!J18549*tk_hold_vr200+Sens!J18548*nv_out_mai*tk_hold_vr200)/Sens!J18537</f>
        <v>11.2032127128058</v>
      </c>
      <c r="K18551" s="15" t="n">
        <f aca="false">(Sens!K18545*tk_hold_h100+Sens!K18546*tk_hold_gb200+Sens!K18547*tk_hold_gb300+Sens!K18549*tk_hold_vr200+Sens!K18548*nv_out_mai*tk_hold_vr200)/Sens!K18537</f>
        <v>11.4085735724225</v>
      </c>
      <c r="L18551" s="12" t="s">
        <v>975</v>
      </c>
    </row>
    <row r="18552" customFormat="false" ht="17.15" hidden="false" customHeight="false" outlineLevel="0" collapsed="false">
      <c r="A18552" s="0" t="s">
        <v>976</v>
      </c>
      <c r="B18552" s="0" t="s">
        <v>229</v>
      </c>
      <c r="C18552" s="15" t="n">
        <f aca="false">k_B</f>
        <v>1.17213932619116</v>
      </c>
      <c r="D18552" s="15" t="n">
        <f aca="false">k_B</f>
        <v>1.17213932619116</v>
      </c>
      <c r="E18552" s="15" t="n">
        <f aca="false">k_B</f>
        <v>1.17213932619116</v>
      </c>
      <c r="F18552" s="15" t="n">
        <f aca="false">(k_B+((ls_B*k_long+(1-ls_B)*k_spot)-k_B)*MIN(1,(Sens!F18535-base_fy)/k_ramp))</f>
        <v>1.17213932619116</v>
      </c>
      <c r="G18552" s="15" t="n">
        <f aca="false">(k_B+((ls_B*k_long+(1-ls_B)*k_spot)-k_B)*MIN(1,(Sens!G18535-base_fy)/k_ramp))</f>
        <v>1.17213932619116</v>
      </c>
      <c r="H18552" s="15" t="n">
        <f aca="false">(k_B+((ls_B*k_long+(1-ls_B)*k_spot)-k_B)*MIN(1,(Sens!H18535-base_fy)/k_ramp))</f>
        <v>1.17213932619116</v>
      </c>
      <c r="I18552" s="15" t="n">
        <f aca="false">(k_B+((ls_B*k_long+(1-ls_B)*k_spot)-k_B)*MIN(1,(Sens!I18535-base_fy)/k_ramp))</f>
        <v>1.17213932619116</v>
      </c>
      <c r="J18552" s="15" t="n">
        <f aca="false">(k_B+((ls_B*k_long+(1-ls_B)*k_spot)-k_B)*MIN(1,(Sens!J18535-base_fy)/k_ramp))</f>
        <v>1.17213932619116</v>
      </c>
      <c r="K18552" s="15" t="n">
        <f aca="false">(k_B+((ls_B*k_long+(1-ls_B)*k_spot)-k_B)*MIN(1,(Sens!K18535-base_fy)/k_ramp))</f>
        <v>1.17213932619116</v>
      </c>
      <c r="L18552" s="1" t="s">
        <v>977</v>
      </c>
    </row>
    <row r="18553" customFormat="false" ht="17.15" hidden="false" customHeight="false" outlineLevel="0" collapsed="false">
      <c r="A18553" s="1" t="s">
        <v>978</v>
      </c>
      <c r="B18553" s="0" t="s">
        <v>403</v>
      </c>
      <c r="C18553" s="15" t="n">
        <f aca="false">Sens!C18551*Sens!C18552*chip_f</f>
        <v>11.3973387156315</v>
      </c>
      <c r="D18553" s="15" t="n">
        <f aca="false">Sens!D18551*Sens!D18552*chip_f</f>
        <v>11.3973387156315</v>
      </c>
      <c r="E18553" s="15" t="n">
        <f aca="false">Sens!E18551*Sens!E18552*chip_f</f>
        <v>11.3973387156315</v>
      </c>
      <c r="F18553" s="15" t="n">
        <f aca="false">Sens!F18551*Sens!F18552*chip_f</f>
        <v>12.0114064284211</v>
      </c>
      <c r="G18553" s="15" t="n">
        <f aca="false">Sens!G18551*Sens!G18552*chip_f</f>
        <v>12.4374066198516</v>
      </c>
      <c r="H18553" s="15" t="n">
        <f aca="false">Sens!H18551*Sens!H18552*chip_f</f>
        <v>12.735045931073</v>
      </c>
      <c r="I18553" s="15" t="n">
        <f aca="false">Sens!I18551*Sens!I18552*chip_f</f>
        <v>12.9563153910195</v>
      </c>
      <c r="J18553" s="15" t="n">
        <f aca="false">Sens!J18551*Sens!J18552*chip_f</f>
        <v>13.1317262003643</v>
      </c>
      <c r="K18553" s="15" t="n">
        <f aca="false">Sens!K18551*Sens!K18552*chip_f</f>
        <v>13.3724377399815</v>
      </c>
      <c r="L18553" s="1" t="s">
        <v>979</v>
      </c>
    </row>
    <row r="18554" customFormat="false" ht="17.15" hidden="false" customHeight="false" outlineLevel="0" collapsed="false">
      <c r="A18554" s="0" t="s">
        <v>980</v>
      </c>
      <c r="B18554" s="0" t="s">
        <v>98</v>
      </c>
      <c r="D18554" s="6" t="n">
        <f aca="false">(Sens!C18537+Sens!D18537)/2*Sens!D18553/1000</f>
        <v>12.9359794422418</v>
      </c>
      <c r="E18554" s="6" t="n">
        <f aca="false">(Sens!D18537+Sens!E18537)/2*Sens!E18553/1000</f>
        <v>27.8095064661409</v>
      </c>
      <c r="F18554" s="6" t="n">
        <f aca="false">(Sens!E18537+Sens!F18537)/2*Sens!F18553/1000</f>
        <v>55.4118315060966</v>
      </c>
      <c r="G18554" s="6" t="n">
        <f aca="false">(Sens!F18537+Sens!G18537)/2*Sens!G18553/1000</f>
        <v>91.2881100675143</v>
      </c>
      <c r="H18554" s="6" t="n">
        <f aca="false">(Sens!G18537+Sens!H18537)/2*Sens!H18553/1000</f>
        <v>128.195273603944</v>
      </c>
      <c r="I18554" s="6" t="n">
        <f aca="false">(Sens!H18537+Sens!I18537)/2*Sens!I18553/1000</f>
        <v>160.601281810405</v>
      </c>
      <c r="J18554" s="6" t="n">
        <f aca="false">(Sens!I18537+Sens!J18537)/2*Sens!J18553/1000</f>
        <v>183.182719793589</v>
      </c>
      <c r="K18554" s="6" t="n">
        <f aca="false">(Sens!J18537+Sens!K18537)/2*Sens!K18553/1000</f>
        <v>197.320124937098</v>
      </c>
      <c r="L18554" s="12" t="s">
        <v>981</v>
      </c>
    </row>
    <row r="18555" customFormat="false" ht="17.15" hidden="false" customHeight="false" outlineLevel="0" collapsed="false">
      <c r="A18555" s="1" t="s">
        <v>982</v>
      </c>
      <c r="B18555" s="0" t="s">
        <v>403</v>
      </c>
      <c r="C18555" s="15" t="n">
        <f aca="false">(Sens!C18545*tk_opex_h100+Sens!C18546*tk_opex_gb200+Sens!C18547*tk_opex_gb300+(Sens!C18549+Sens!C18548)*tk_opex_vr200)/Sens!C18537</f>
        <v>1.88636041306092</v>
      </c>
      <c r="D18555" s="15" t="n">
        <f aca="false">(Sens!D18545*tk_opex_h100+Sens!D18546*tk_opex_gb200+Sens!D18547*tk_opex_gb300+(Sens!D18549+Sens!D18548)*tk_opex_vr200)/Sens!D18537</f>
        <v>1.88636041306092</v>
      </c>
      <c r="E18555" s="15" t="n">
        <f aca="false">(Sens!E18545*tk_opex_h100+Sens!E18546*tk_opex_gb200+Sens!E18547*tk_opex_gb300+(Sens!E18549+Sens!E18548)*tk_opex_vr200)/Sens!E18537</f>
        <v>1.88636041306092</v>
      </c>
      <c r="F18555" s="15" t="n">
        <f aca="false">(Sens!F18545*tk_opex_h100+Sens!F18546*tk_opex_gb200+Sens!F18547*tk_opex_gb300+(Sens!F18549+Sens!F18548)*tk_opex_vr200)/Sens!F18537</f>
        <v>1.95051159746876</v>
      </c>
      <c r="G18555" s="15" t="n">
        <f aca="false">(Sens!G18545*tk_opex_h100+Sens!G18546*tk_opex_gb200+Sens!G18547*tk_opex_gb300+(Sens!G18549+Sens!G18548)*tk_opex_vr200)/Sens!G18537</f>
        <v>1.98836003669956</v>
      </c>
      <c r="H18555" s="15" t="n">
        <f aca="false">(Sens!H18545*tk_opex_h100+Sens!H18546*tk_opex_gb200+Sens!H18547*tk_opex_gb300+(Sens!H18549+Sens!H18548)*tk_opex_vr200)/Sens!H18537</f>
        <v>2.01344013834343</v>
      </c>
      <c r="I18555" s="15" t="n">
        <f aca="false">(Sens!I18545*tk_opex_h100+Sens!I18546*tk_opex_gb200+Sens!I18547*tk_opex_gb300+(Sens!I18549+Sens!I18548)*tk_opex_vr200)/Sens!I18537</f>
        <v>2.03261166882178</v>
      </c>
      <c r="J18555" s="15" t="n">
        <f aca="false">(Sens!J18545*tk_opex_h100+Sens!J18546*tk_opex_gb200+Sens!J18547*tk_opex_gb300+(Sens!J18549+Sens!J18548)*tk_opex_vr200)/Sens!J18537</f>
        <v>2.04808073288745</v>
      </c>
      <c r="K18555" s="15" t="n">
        <f aca="false">(Sens!K18545*tk_opex_h100+Sens!K18546*tk_opex_gb200+Sens!K18547*tk_opex_gb300+(Sens!K18549+Sens!K18548)*tk_opex_vr200)/Sens!K18537</f>
        <v>2.06973825807449</v>
      </c>
      <c r="L18555" s="12" t="s">
        <v>983</v>
      </c>
    </row>
    <row r="18556" customFormat="false" ht="17.15" hidden="false" customHeight="false" outlineLevel="0" collapsed="false">
      <c r="A18556" s="0" t="s">
        <v>984</v>
      </c>
      <c r="B18556" s="0" t="s">
        <v>98</v>
      </c>
      <c r="D18556" s="6" t="n">
        <f aca="false">(Sens!C18540+Sens!D18540)/2*Sens!D18555/1000</f>
        <v>2.70378325872065</v>
      </c>
      <c r="E18556" s="6" t="n">
        <f aca="false">(Sens!D18540+Sens!E18540)/2*Sens!E18555/1000</f>
        <v>6.17783035277451</v>
      </c>
      <c r="F18556" s="6" t="n">
        <f aca="false">(Sens!E18540+Sens!F18540)/2*Sens!F18555/1000</f>
        <v>12.8742463089237</v>
      </c>
      <c r="G18556" s="6" t="n">
        <f aca="false">(Sens!F18540+Sens!G18540)/2*Sens!G18555/1000</f>
        <v>21.8182834646277</v>
      </c>
      <c r="H18556" s="6" t="n">
        <f aca="false">(Sens!G18540+Sens!H18540)/2*Sens!H18555/1000</f>
        <v>31.2430128789734</v>
      </c>
      <c r="I18556" s="6" t="n">
        <f aca="false">(Sens!H18540+Sens!I18540)/2*Sens!I18555/1000</f>
        <v>39.4313057443268</v>
      </c>
      <c r="J18556" s="6" t="n">
        <f aca="false">(Sens!I18540+Sens!J18540)/2*Sens!J18555/1000</f>
        <v>45.0360318228653</v>
      </c>
      <c r="K18556" s="6" t="n">
        <f aca="false">(Sens!J18540+Sens!K18540)/2*Sens!K18555/1000</f>
        <v>48.2929727091156</v>
      </c>
    </row>
    <row r="18557" customFormat="false" ht="17.15" hidden="false" customHeight="false" outlineLevel="0" collapsed="false">
      <c r="A18557" s="0" t="s">
        <v>985</v>
      </c>
      <c r="B18557" s="0" t="s">
        <v>98</v>
      </c>
      <c r="D18557" s="6" t="n">
        <f aca="false">(Sens!C18538+Sens!D18538)/2*rent_mw/1000</f>
        <v>2.44475</v>
      </c>
      <c r="E18557" s="6" t="n">
        <f aca="false">(Sens!D18538+Sens!E18538)/2*rent_mw/1000</f>
        <v>4.22275</v>
      </c>
      <c r="F18557" s="6" t="n">
        <f aca="false">(Sens!E18538+Sens!F18538)/2*rent_mw/1000</f>
        <v>5.80517</v>
      </c>
      <c r="G18557" s="6" t="n">
        <f aca="false">(Sens!F18538+Sens!G18538)/2*rent_mw/1000</f>
        <v>6.72084</v>
      </c>
      <c r="H18557" s="6" t="n">
        <f aca="false">(Sens!G18538+Sens!H18538)/2*rent_mw/1000</f>
        <v>6.72084</v>
      </c>
      <c r="I18557" s="6" t="n">
        <f aca="false">(Sens!H18538+Sens!I18538)/2*rent_mw/1000</f>
        <v>6.72084</v>
      </c>
      <c r="J18557" s="6" t="n">
        <f aca="false">(Sens!I18538+Sens!J18538)/2*rent_mw/1000</f>
        <v>6.72084</v>
      </c>
      <c r="K18557" s="6" t="n">
        <f aca="false">(Sens!J18538+Sens!K18538)/2*rent_mw/1000</f>
        <v>6.72084</v>
      </c>
    </row>
    <row r="18558" customFormat="false" ht="17.15" hidden="false" customHeight="false" outlineLevel="0" collapsed="false">
      <c r="A18558" s="0" t="s">
        <v>986</v>
      </c>
      <c r="B18558" s="0" t="s">
        <v>98</v>
      </c>
      <c r="D18558" s="6" t="n">
        <f aca="false">(Sens!C18540+Sens!D18540)/2*(1-self_build)*fac_rent/1000</f>
        <v>0.853242375631075</v>
      </c>
      <c r="E18558" s="6" t="n">
        <f aca="false">(Sens!D18540+Sens!E18540)/2*(1-self_build)*fac_rent/1000</f>
        <v>1.94955961408728</v>
      </c>
      <c r="F18558" s="6" t="n">
        <f aca="false">(Sens!E18540+Sens!F18540)/2*(1-self_build)*fac_rent/1000</f>
        <v>3.92914894476356</v>
      </c>
      <c r="G18558" s="6" t="n">
        <f aca="false">(Sens!F18540+Sens!G18540)/2*(1-self_build)*fac_rent/1000</f>
        <v>6.53206908578159</v>
      </c>
      <c r="H18558" s="6" t="n">
        <f aca="false">(Sens!G18540+Sens!H18540)/2*(1-self_build)*fac_rent/1000</f>
        <v>9.23717988341591</v>
      </c>
      <c r="I18558" s="6" t="n">
        <f aca="false">(Sens!H18540+Sens!I18540)/2*(1-self_build)*fac_rent/1000</f>
        <v>11.5481378557393</v>
      </c>
      <c r="J18558" s="6" t="n">
        <f aca="false">(Sens!I18540+Sens!J18540)/2*(1-self_build)*fac_rent/1000</f>
        <v>13.0899582289108</v>
      </c>
      <c r="K18558" s="6" t="n">
        <f aca="false">(Sens!J18540+Sens!K18540)/2*(1-self_build)*fac_rent/1000</f>
        <v>13.8897275626556</v>
      </c>
      <c r="L18558" s="12" t="s">
        <v>987</v>
      </c>
    </row>
    <row r="18559" customFormat="false" ht="17.15" hidden="false" customHeight="false" outlineLevel="0" collapsed="false">
      <c r="A18559" s="1" t="s">
        <v>988</v>
      </c>
      <c r="B18559" s="0" t="s">
        <v>168</v>
      </c>
      <c r="D18559" s="7" t="n">
        <f aca="false">(Sens!C18539+Sens!D18539)/(Sens!C18540+Sens!D18540)</f>
        <v>0.6</v>
      </c>
      <c r="E18559" s="7" t="n">
        <f aca="false">(Sens!D18539+Sens!E18539)/(Sens!D18540+Sens!E18540)</f>
        <v>0.6</v>
      </c>
      <c r="F18559" s="7" t="n">
        <f aca="false">(Sens!E18539+Sens!F18539)/(Sens!E18540+Sens!F18540)</f>
        <v>0.6</v>
      </c>
      <c r="G18559" s="7" t="n">
        <f aca="false">(Sens!F18539+Sens!G18539)/(Sens!F18540+Sens!G18540)</f>
        <v>0.6</v>
      </c>
      <c r="H18559" s="7" t="n">
        <f aca="false">(Sens!G18539+Sens!H18539)/(Sens!G18540+Sens!H18540)</f>
        <v>0.6</v>
      </c>
      <c r="I18559" s="7" t="n">
        <f aca="false">(Sens!H18539+Sens!I18539)/(Sens!H18540+Sens!I18540)</f>
        <v>0.6</v>
      </c>
      <c r="J18559" s="7" t="n">
        <f aca="false">(Sens!I18539+Sens!J18539)/(Sens!I18540+Sens!J18540)</f>
        <v>0.6</v>
      </c>
      <c r="K18559" s="7" t="n">
        <f aca="false">(Sens!J18539+Sens!K18539)/(Sens!J18540+Sens!K18540)</f>
        <v>0.6</v>
      </c>
    </row>
    <row r="18560" customFormat="false" ht="17.15" hidden="false" customHeight="false" outlineLevel="0" collapsed="false">
      <c r="A18560" s="0" t="s">
        <v>989</v>
      </c>
      <c r="B18560" s="0" t="s">
        <v>98</v>
      </c>
      <c r="D18560" s="6" t="n">
        <f aca="false">Sens!D18554-Sens!D18559*(Sens!D18556+Sens!D18558)-Sens!D18557</f>
        <v>8.35701406163072</v>
      </c>
      <c r="E18560" s="6" t="n">
        <f aca="false">Sens!E18554-Sens!E18559*(Sens!E18556+Sens!E18558)-Sens!E18557</f>
        <v>18.7103224860238</v>
      </c>
      <c r="F18560" s="6" t="n">
        <f aca="false">Sens!F18554-Sens!F18559*(Sens!F18556+Sens!F18558)-Sens!F18557</f>
        <v>39.5246243538843</v>
      </c>
      <c r="G18560" s="6" t="n">
        <f aca="false">Sens!G18554-Sens!G18559*(Sens!G18556+Sens!G18558)-Sens!G18557</f>
        <v>67.5570585372687</v>
      </c>
      <c r="H18560" s="6" t="n">
        <f aca="false">Sens!H18554-Sens!H18559*(Sens!H18556+Sens!H18558)-Sens!H18557</f>
        <v>97.1863179465102</v>
      </c>
      <c r="I18560" s="6" t="n">
        <f aca="false">Sens!I18554-Sens!I18559*(Sens!I18556+Sens!I18558)-Sens!I18557</f>
        <v>123.292775650365</v>
      </c>
      <c r="J18560" s="6" t="n">
        <f aca="false">Sens!J18554-Sens!J18559*(Sens!J18556+Sens!J18558)-Sens!J18557</f>
        <v>141.586285762524</v>
      </c>
      <c r="K18560" s="6" t="n">
        <f aca="false">Sens!K18554-Sens!K18559*(Sens!K18556+Sens!K18558)-Sens!K18557</f>
        <v>153.289664774035</v>
      </c>
    </row>
    <row r="18561" customFormat="false" ht="17.15" hidden="false" customHeight="false" outlineLevel="0" collapsed="false">
      <c r="A18561" s="1" t="s">
        <v>990</v>
      </c>
      <c r="B18561" s="0" t="s">
        <v>98</v>
      </c>
      <c r="D18561" s="6" t="n">
        <f aca="false">(1-Sens!D18559)*(Sens!D18556+Sens!D18558)</f>
        <v>1.42281025374069</v>
      </c>
      <c r="E18561" s="6" t="n">
        <f aca="false">(1-Sens!E18559)*(Sens!E18556+Sens!E18558)</f>
        <v>3.25095598674472</v>
      </c>
      <c r="F18561" s="6" t="n">
        <f aca="false">(1-Sens!F18559)*(Sens!F18556+Sens!F18558)</f>
        <v>6.72135810147489</v>
      </c>
      <c r="G18561" s="6" t="n">
        <f aca="false">(1-Sens!G18559)*(Sens!G18556+Sens!G18558)</f>
        <v>11.3401410201637</v>
      </c>
      <c r="H18561" s="6" t="n">
        <f aca="false">(1-Sens!H18559)*(Sens!H18556+Sens!H18558)</f>
        <v>16.1920771049557</v>
      </c>
      <c r="I18561" s="6" t="n">
        <f aca="false">(1-Sens!I18559)*(Sens!I18556+Sens!I18558)</f>
        <v>20.3917774400264</v>
      </c>
      <c r="J18561" s="6" t="n">
        <f aca="false">(1-Sens!J18559)*(Sens!J18556+Sens!J18558)</f>
        <v>23.2503960207104</v>
      </c>
      <c r="K18561" s="6" t="n">
        <f aca="false">(1-Sens!K18559)*(Sens!K18556+Sens!K18558)</f>
        <v>24.8730801087085</v>
      </c>
    </row>
    <row r="18562" customFormat="false" ht="17.15" hidden="false" customHeight="false" outlineLevel="0" collapsed="false">
      <c r="A18562" s="1" t="s">
        <v>991</v>
      </c>
      <c r="B18562" s="0" t="s">
        <v>417</v>
      </c>
      <c r="C18562" s="8" t="n">
        <f aca="false">cxit_open</f>
        <v>27.5918995</v>
      </c>
      <c r="D18562" s="8" t="n">
        <f aca="false">cxit_open</f>
        <v>27.5918995</v>
      </c>
      <c r="E18562" s="8" t="n">
        <f aca="false">cxit_open</f>
        <v>27.5918995</v>
      </c>
      <c r="F18562" s="8" t="n">
        <f aca="false">((a_g3_27-nonnv*a_mai)*tk_cxit_gb300+nonnv*a_mai*nv_hold_mai*tk_cxit_vr200+(1-a_g3_27)*tk_cxit_vr200)</f>
        <v>32.4975576</v>
      </c>
      <c r="G18562" s="8" t="n">
        <f aca="false">((a_g3_28-nonnv*a_mai)*tk_cxit_gb300+nonnv*a_mai*nv_hold_mai*tk_cxit_vr200+(1-a_g3_28)*tk_cxit_vr200)</f>
        <v>34.6372088</v>
      </c>
      <c r="H18562" s="8" t="n">
        <f aca="false">((a_g3_29-nonnv*a_mai)*tk_cxit_gb300+nonnv*a_mai*nv_hold_mai*tk_cxit_vr200+(1-a_g3_29)*tk_cxit_vr200)</f>
        <v>35.7070344</v>
      </c>
      <c r="I18562" s="8" t="n">
        <f aca="false">((a_g3_29-nonnv*a_mai)*tk_cxit_gb300+nonnv*a_mai*nv_hold_mai*tk_cxit_vr200+(1-a_g3_29)*tk_cxit_vr200)</f>
        <v>35.7070344</v>
      </c>
      <c r="J18562" s="8" t="n">
        <f aca="false">((a_g3_29-nonnv*a_mai)*tk_cxit_gb300+nonnv*a_mai*nv_hold_mai*tk_cxit_vr200+(1-a_g3_29)*tk_cxit_vr200)</f>
        <v>35.7070344</v>
      </c>
      <c r="K18562" s="8" t="n">
        <f aca="false">((a_g3_29-nonnv*a_mai)*tk_cxit_gb300+nonnv*a_mai*nv_hold_mai*tk_cxit_vr200+(1-a_g3_29)*tk_cxit_vr200)</f>
        <v>35.7070344</v>
      </c>
      <c r="L18562" s="12" t="s">
        <v>992</v>
      </c>
    </row>
    <row r="18563" customFormat="false" ht="17.15" hidden="false" customHeight="false" outlineLevel="0" collapsed="false">
      <c r="A18563" s="0" t="s">
        <v>993</v>
      </c>
      <c r="B18563" s="0" t="s">
        <v>459</v>
      </c>
      <c r="F18563" s="30" t="n">
        <f aca="false">Sens!C18542*IF(Sens!F18535-Sens!C18535=life_it,1,0)+Sens!D18542*IF(Sens!F18535-Sens!D18535=life_it,1,0)+Sens!E18542*IF(Sens!F18535-Sens!E18535=life_it,1,0)</f>
        <v>0</v>
      </c>
      <c r="G18563" s="30" t="n">
        <f aca="false">Sens!C18542*IF(Sens!G18535-Sens!C18535=life_it,1,0)+Sens!D18542*IF(Sens!G18535-Sens!D18535=life_it,1,0)+Sens!E18542*IF(Sens!G18535-Sens!E18535=life_it,1,0)+Sens!F18542*IF(Sens!G18535-Sens!F18535=life_it,1,0)</f>
        <v>0</v>
      </c>
      <c r="H18563" s="30" t="n">
        <f aca="false">Sens!C18542*IF(Sens!H18535-Sens!C18535=life_it,1,0)+Sens!D18542*IF(Sens!H18535-Sens!D18535=life_it,1,0)+Sens!E18542*IF(Sens!H18535-Sens!E18535=life_it,1,0)+Sens!F18542*IF(Sens!H18535-Sens!F18535=life_it,1,0)+Sens!G18542*IF(Sens!H18535-Sens!G18535=life_it,1,0)</f>
        <v>0</v>
      </c>
      <c r="I18563" s="30" t="n">
        <f aca="false">Sens!C18542*IF(Sens!I18535-Sens!C18535=life_it,1,0)+Sens!D18542*IF(Sens!I18535-Sens!D18535=life_it,1,0)+Sens!E18542*IF(Sens!I18535-Sens!E18535=life_it,1,0)+Sens!F18542*IF(Sens!I18535-Sens!F18535=life_it,1,0)+Sens!G18542*IF(Sens!I18535-Sens!G18535=life_it,1,0)+Sens!H18542*IF(Sens!I18535-Sens!H18535=life_it,1,0)</f>
        <v>816.666666666667</v>
      </c>
      <c r="J18563" s="30" t="n">
        <f aca="false">Sens!C18542*IF(Sens!J18535-Sens!C18535=life_it,1,0)+Sens!D18542*IF(Sens!J18535-Sens!D18535=life_it,1,0)+Sens!E18542*IF(Sens!J18535-Sens!E18535=life_it,1,0)+Sens!F18542*IF(Sens!J18535-Sens!F18535=life_it,1,0)+Sens!G18542*IF(Sens!J18535-Sens!G18535=life_it,1,0)+Sens!H18542*IF(Sens!J18535-Sens!H18535=life_it,1,0)+Sens!I18542*IF(Sens!J18535-Sens!I18535=life_it,1,0)</f>
        <v>1233.33333333333</v>
      </c>
      <c r="K18563" s="30" t="n">
        <f aca="false">Sens!C18542*IF(Sens!K18535-Sens!C18535=life_it,1,0)+Sens!D18542*IF(Sens!K18535-Sens!D18535=life_it,1,0)+Sens!E18542*IF(Sens!K18535-Sens!E18535=life_it,1,0)+Sens!F18542*IF(Sens!K18535-Sens!F18535=life_it,1,0)+Sens!G18542*IF(Sens!K18535-Sens!G18535=life_it,1,0)+Sens!H18542*IF(Sens!K18535-Sens!H18535=life_it,1,0)+Sens!I18542*IF(Sens!K18535-Sens!I18535=life_it,1,0)+Sens!J18542*IF(Sens!K18535-Sens!J18535=life_it,1,0)</f>
        <v>2450</v>
      </c>
      <c r="L18563" s="1" t="s">
        <v>994</v>
      </c>
    </row>
    <row r="18564" customFormat="false" ht="17.15" hidden="false" customHeight="false" outlineLevel="0" collapsed="false">
      <c r="A18564" s="0" t="s">
        <v>995</v>
      </c>
      <c r="B18564" s="0" t="s">
        <v>98</v>
      </c>
      <c r="C18564" s="6" t="n">
        <f aca="false">Sens!C18542*Sens!C18562/1000</f>
        <v>22.5333845916667</v>
      </c>
      <c r="D18564" s="6" t="n">
        <f aca="false">Sens!D18542*Sens!D18562/1000</f>
        <v>34.0300093833333</v>
      </c>
      <c r="E18564" s="6" t="n">
        <f aca="false">Sens!E18542*Sens!E18562/1000</f>
        <v>67.600153775</v>
      </c>
      <c r="F18564" s="6" t="n">
        <f aca="false">(Sens!F18542+Sens!F18563)*Sens!F18562/1000</f>
        <v>136.51872432512</v>
      </c>
      <c r="G18564" s="6" t="n">
        <f aca="false">(Sens!G18542+Sens!G18563)*Sens!G18562/1000</f>
        <v>157.399275932048</v>
      </c>
      <c r="H18564" s="6" t="n">
        <f aca="false">(Sens!H18542+Sens!H18563)*Sens!H18562/1000</f>
        <v>162.260804347512</v>
      </c>
      <c r="I18564" s="6" t="n">
        <f aca="false">(Sens!I18542+Sens!I18563)*Sens!I18562/1000</f>
        <v>144.136569485434</v>
      </c>
      <c r="J18564" s="6" t="n">
        <f aca="false">(Sens!J18542+Sens!J18563)*Sens!J18562/1000</f>
        <v>114.029037357864</v>
      </c>
      <c r="K18564" s="6" t="n">
        <f aca="false">(Sens!K18542+Sens!K18563)*Sens!K18562/1000</f>
        <v>113.437085350975</v>
      </c>
    </row>
    <row r="18565" customFormat="false" ht="17.15" hidden="false" customHeight="false" outlineLevel="0" collapsed="false">
      <c r="A18565" s="0" t="s">
        <v>996</v>
      </c>
      <c r="B18565" s="0" t="s">
        <v>98</v>
      </c>
      <c r="C18565" s="6" t="n">
        <f aca="false">Sens!C18542*self_build*tk_cxfac/1000</f>
        <v>6.2083</v>
      </c>
      <c r="D18565" s="6" t="n">
        <f aca="false">Sens!D18542*self_build*tk_cxfac/1000</f>
        <v>9.3758</v>
      </c>
      <c r="E18565" s="6" t="n">
        <f aca="false">Sens!E18542*self_build*tk_cxfac/1000</f>
        <v>18.6249</v>
      </c>
      <c r="F18565" s="6" t="n">
        <f aca="false">Sens!F18542*self_build*tk_cxfac/1000</f>
        <v>31.935179717</v>
      </c>
      <c r="G18565" s="6" t="n">
        <f aca="false">Sens!G18542*self_build*tk_cxfac/1000</f>
        <v>34.545199717</v>
      </c>
      <c r="H18565" s="6" t="n">
        <f aca="false">Sens!H18542*self_build*tk_cxfac/1000</f>
        <v>34.545199717</v>
      </c>
      <c r="I18565" s="6" t="n">
        <f aca="false">Sens!I18542*self_build*tk_cxfac/1000</f>
        <v>24.4782641361767</v>
      </c>
      <c r="J18565" s="6" t="n">
        <f aca="false">Sens!J18542*self_build*tk_cxfac/1000</f>
        <v>14.9008938380769</v>
      </c>
      <c r="K18565" s="6" t="n">
        <f aca="false">Sens!K18542*self_build*tk_cxfac/1000</f>
        <v>5.52576771375761</v>
      </c>
    </row>
    <row r="18566" customFormat="false" ht="17.15" hidden="false" customHeight="false" outlineLevel="0" collapsed="false">
      <c r="A18566" s="0" t="s">
        <v>997</v>
      </c>
      <c r="B18566" s="0" t="s">
        <v>98</v>
      </c>
      <c r="F18566" s="15" t="n">
        <f aca="false">capex_floor27-Sens!F18564-Sens!F18565-Sens!F18662</f>
        <v>0.128774278409338</v>
      </c>
      <c r="L18566" s="12" t="s">
        <v>998</v>
      </c>
    </row>
    <row r="18567" customFormat="false" ht="17.15" hidden="false" customHeight="false" outlineLevel="0" collapsed="false">
      <c r="A18567" s="0" t="s">
        <v>999</v>
      </c>
      <c r="B18567" s="0" t="s">
        <v>98</v>
      </c>
      <c r="F18567" s="6" t="n">
        <f aca="false">MAX(0,Sens!F18566)</f>
        <v>0.128774278409338</v>
      </c>
    </row>
    <row r="18568" customFormat="false" ht="17.15" hidden="false" customHeight="false" outlineLevel="0" collapsed="false">
      <c r="A18568" s="0" t="s">
        <v>1000</v>
      </c>
      <c r="B18568" s="0" t="s">
        <v>98</v>
      </c>
      <c r="C18568" s="6" t="n">
        <f aca="false">Sens!C18564</f>
        <v>22.5333845916667</v>
      </c>
      <c r="D18568" s="6" t="n">
        <f aca="false">Sens!D18564</f>
        <v>34.0300093833333</v>
      </c>
      <c r="E18568" s="6" t="n">
        <f aca="false">Sens!E18564</f>
        <v>67.600153775</v>
      </c>
      <c r="F18568" s="6" t="n">
        <f aca="false">Sens!F18564</f>
        <v>136.51872432512</v>
      </c>
      <c r="G18568" s="6" t="n">
        <f aca="false">Sens!G18564</f>
        <v>157.399275932048</v>
      </c>
      <c r="H18568" s="6" t="n">
        <f aca="false">Sens!H18564</f>
        <v>162.260804347512</v>
      </c>
      <c r="I18568" s="6" t="n">
        <f aca="false">Sens!I18564</f>
        <v>144.136569485434</v>
      </c>
      <c r="J18568" s="6" t="n">
        <f aca="false">Sens!J18564</f>
        <v>114.029037357864</v>
      </c>
      <c r="K18568" s="6" t="n">
        <f aca="false">Sens!K18564</f>
        <v>113.437085350975</v>
      </c>
    </row>
    <row r="18569" customFormat="false" ht="17.15" hidden="false" customHeight="false" outlineLevel="0" collapsed="false">
      <c r="A18569" s="0" t="s">
        <v>1001</v>
      </c>
      <c r="B18569" s="0" t="s">
        <v>98</v>
      </c>
      <c r="C18569" s="6" t="n">
        <f aca="false">Sens!C18568+Sens!C18565</f>
        <v>28.7416845916667</v>
      </c>
      <c r="D18569" s="6" t="n">
        <f aca="false">Sens!D18568+Sens!D18565</f>
        <v>43.4058093833333</v>
      </c>
      <c r="E18569" s="6" t="n">
        <f aca="false">Sens!E18568+Sens!E18565</f>
        <v>86.225053775</v>
      </c>
      <c r="F18569" s="6" t="n">
        <f aca="false">Sens!F18568+Sens!F18565</f>
        <v>168.45390404212</v>
      </c>
      <c r="G18569" s="6" t="n">
        <f aca="false">Sens!G18568+Sens!G18565</f>
        <v>191.944475649048</v>
      </c>
      <c r="H18569" s="6" t="n">
        <f aca="false">Sens!H18568+Sens!H18565</f>
        <v>196.806004064512</v>
      </c>
      <c r="I18569" s="6" t="n">
        <f aca="false">Sens!I18568+Sens!I18565</f>
        <v>168.61483362161</v>
      </c>
      <c r="J18569" s="6" t="n">
        <f aca="false">Sens!J18568+Sens!J18565</f>
        <v>128.92993119594</v>
      </c>
      <c r="K18569" s="6" t="n">
        <f aca="false">Sens!K18568+Sens!K18565</f>
        <v>118.962853064733</v>
      </c>
      <c r="L18569" s="12" t="s">
        <v>1002</v>
      </c>
    </row>
    <row r="18570" customFormat="false" ht="17.15" hidden="false" customHeight="false" outlineLevel="0" collapsed="false">
      <c r="A18570" s="0" t="s">
        <v>1003</v>
      </c>
      <c r="B18570" s="0" t="s">
        <v>98</v>
      </c>
      <c r="E18570" s="6" t="n">
        <f aca="false">(Sens!C18568*IF(2&lt;life_it,1,IF(2=life_it,0.5,0))+Sens!D18568*IF(1&lt;life_it,1,IF(1=life_it,0.5,0))+Sens!E18568*0.5)/life_it</f>
        <v>15.0605784770833</v>
      </c>
      <c r="F18570" s="6" t="n">
        <f aca="false">(Sens!C18568*IF(3&lt;life_it,1,IF(3=life_it,0.5,0))+Sens!D18568*IF(2&lt;life_it,1,IF(2=life_it,0.5,0))+Sens!E18568*IF(1&lt;life_it,1,IF(1=life_it,0.5,0))+Sens!F18568*0.5)/life_it</f>
        <v>32.0704849854266</v>
      </c>
      <c r="G18570" s="6" t="n">
        <f aca="false">(Sens!C18568*IF(4&lt;life_it,1,IF(4=life_it,0.5,0))+Sens!D18568*IF(3&lt;life_it,1,IF(3=life_it,0.5,0))+Sens!E18568*IF(2&lt;life_it,1,IF(2=life_it,0.5,0))+Sens!F18568*IF(1&lt;life_it,1,IF(1=life_it,0.5,0))+Sens!G18568*0.5)/life_it</f>
        <v>56.5636516735239</v>
      </c>
      <c r="H18570" s="6" t="n">
        <f aca="false">(Sens!C18568*IF(5&lt;life_it,1,IF(5=life_it,0.5,0))+Sens!D18568*IF(4&lt;life_it,1,IF(4=life_it,0.5,0))+Sens!E18568*IF(3&lt;life_it,1,IF(3=life_it,0.5,0))+Sens!F18568*IF(2&lt;life_it,1,IF(2=life_it,0.5,0))+Sens!G18568*IF(1&lt;life_it,1,IF(1=life_it,0.5,0))+Sens!H18568*0.5)/life_it</f>
        <v>83.2019916968207</v>
      </c>
      <c r="I18570" s="6" t="n">
        <f aca="false">(Sens!C18568*IF(6&lt;life_it,1,IF(6=life_it,0.5,0))+Sens!D18568*IF(5&lt;life_it,1,IF(5=life_it,0.5,0))+Sens!E18568*IF(4&lt;life_it,1,IF(4=life_it,0.5,0))+Sens!F18568*IF(3&lt;life_it,1,IF(3=life_it,0.5,0))+Sens!G18568*IF(2&lt;life_it,1,IF(2=life_it,0.5,0))+Sens!H18568*IF(1&lt;life_it,1,IF(1=life_it,0.5,0))+Sens!I18568*0.5)/life_it</f>
        <v>106.857324133594</v>
      </c>
      <c r="J18570" s="6" t="n">
        <f aca="false">(Sens!C18568*IF(7&lt;life_it,1,IF(7=life_it,0.5,0))+Sens!D18568*IF(6&lt;life_it,1,IF(6=life_it,0.5,0))+Sens!E18568*IF(5&lt;life_it,1,IF(5=life_it,0.5,0))+Sens!F18568*IF(4&lt;life_it,1,IF(4=life_it,0.5,0))+Sens!G18568*IF(3&lt;life_it,1,IF(3=life_it,0.5,0))+Sens!H18568*IF(2&lt;life_it,1,IF(2=life_it,0.5,0))+Sens!I18568*IF(1&lt;life_it,1,IF(1=life_it,0.5,0))+Sens!J18568*0.5)/life_it</f>
        <v>123.657508539285</v>
      </c>
      <c r="K18570" s="6" t="n">
        <f aca="false">(Sens!C18568*IF(8&lt;life_it,1,IF(8=life_it,0.5,0))+Sens!D18568*IF(7&lt;life_it,1,IF(7=life_it,0.5,0))+Sens!E18568*IF(6&lt;life_it,1,IF(6=life_it,0.5,0))+Sens!F18568*IF(5&lt;life_it,1,IF(5=life_it,0.5,0))+Sens!G18568*IF(4&lt;life_it,1,IF(4=life_it,0.5,0))+Sens!H18568*IF(3&lt;life_it,1,IF(3=life_it,0.5,0))+Sens!I18568*IF(2&lt;life_it,1,IF(2=life_it,0.5,0))+Sens!J18568*IF(1&lt;life_it,1,IF(1=life_it,0.5,0))+Sens!K18568*0.5)/life_it</f>
        <v>134.143838501827</v>
      </c>
    </row>
    <row r="18571" customFormat="false" ht="17.15" hidden="false" customHeight="false" outlineLevel="0" collapsed="false">
      <c r="A18571" s="0" t="s">
        <v>1004</v>
      </c>
      <c r="B18571" s="0" t="s">
        <v>98</v>
      </c>
      <c r="E18571" s="6" t="n">
        <f aca="false">(Sens!C18565*IF(2&lt;life_fac,1,IF(2=life_fac,0.5,0))+Sens!D18565*IF(1&lt;life_fac,1,IF(1=life_fac,0.5,0))+Sens!E18565*0.5)/life_fac</f>
        <v>1.2448275</v>
      </c>
      <c r="F18571" s="6" t="n">
        <f aca="false">(Sens!C18565*IF(3&lt;life_fac,1,IF(3=life_fac,0.5,0))+Sens!D18565*IF(2&lt;life_fac,1,IF(2=life_fac,0.5,0))+Sens!E18565*IF(1&lt;life_fac,1,IF(1=life_fac,0.5,0))+Sens!F18565*0.5)/life_fac</f>
        <v>2.508829492925</v>
      </c>
      <c r="G18571" s="6" t="n">
        <f aca="false">(Sens!C18565*IF(4&lt;life_fac,1,IF(4=life_fac,0.5,0))+Sens!D18565*IF(3&lt;life_fac,1,IF(3=life_fac,0.5,0))+Sens!E18565*IF(2&lt;life_fac,1,IF(2=life_fac,0.5,0))+Sens!F18565*IF(1&lt;life_fac,1,IF(1=life_fac,0.5,0))+Sens!G18565*0.5)/life_fac</f>
        <v>4.170838978775</v>
      </c>
      <c r="H18571" s="6" t="n">
        <f aca="false">(Sens!C18565*IF(5&lt;life_fac,1,IF(5=life_fac,0.5,0))+Sens!D18565*IF(4&lt;life_fac,1,IF(4=life_fac,0.5,0))+Sens!E18565*IF(3&lt;life_fac,1,IF(3=life_fac,0.5,0))+Sens!F18565*IF(2&lt;life_fac,1,IF(2=life_fac,0.5,0))+Sens!G18565*IF(1&lt;life_fac,1,IF(1=life_fac,0.5,0))+Sens!H18565*0.5)/life_fac</f>
        <v>5.898098964625</v>
      </c>
      <c r="I18571" s="6" t="n">
        <f aca="false">(Sens!C18565*IF(6&lt;life_fac,1,IF(6=life_fac,0.5,0))+Sens!D18565*IF(5&lt;life_fac,1,IF(5=life_fac,0.5,0))+Sens!E18565*IF(4&lt;life_fac,1,IF(4=life_fac,0.5,0))+Sens!F18565*IF(3&lt;life_fac,1,IF(3=life_fac,0.5,0))+Sens!G18565*IF(2&lt;life_fac,1,IF(2=life_fac,0.5,0))+Sens!H18565*IF(1&lt;life_fac,1,IF(1=life_fac,0.5,0))+Sens!I18565*0.5)/life_fac</f>
        <v>7.37368556095442</v>
      </c>
      <c r="J18571" s="6" t="n">
        <f aca="false">(Sens!C18565*IF(7&lt;life_fac,1,IF(7=life_fac,0.5,0))+Sens!D18565*IF(6&lt;life_fac,1,IF(6=life_fac,0.5,0))+Sens!E18565*IF(5&lt;life_fac,1,IF(5=life_fac,0.5,0))+Sens!F18565*IF(4&lt;life_fac,1,IF(4=life_fac,0.5,0))+Sens!G18565*IF(3&lt;life_fac,1,IF(3=life_fac,0.5,0))+Sens!H18565*IF(2&lt;life_fac,1,IF(2=life_fac,0.5,0))+Sens!I18565*IF(1&lt;life_fac,1,IF(1=life_fac,0.5,0))+Sens!J18565*0.5)/life_fac</f>
        <v>8.35816451031075</v>
      </c>
      <c r="K18571" s="6" t="n">
        <f aca="false">(Sens!C18565*IF(8&lt;life_fac,1,IF(8=life_fac,0.5,0))+Sens!D18565*IF(7&lt;life_fac,1,IF(7=life_fac,0.5,0))+Sens!E18565*IF(6&lt;life_fac,1,IF(6=life_fac,0.5,0))+Sens!F18565*IF(5&lt;life_fac,1,IF(5=life_fac,0.5,0))+Sens!G18565*IF(4&lt;life_fac,1,IF(4=life_fac,0.5,0))+Sens!H18565*IF(3&lt;life_fac,1,IF(3=life_fac,0.5,0))+Sens!I18565*IF(2&lt;life_fac,1,IF(2=life_fac,0.5,0))+Sens!J18565*IF(1&lt;life_fac,1,IF(1=life_fac,0.5,0))+Sens!K18565*0.5)/life_fac</f>
        <v>8.86883104910662</v>
      </c>
    </row>
    <row r="18572" customFormat="false" ht="17.15" hidden="false" customHeight="false" outlineLevel="0" collapsed="false">
      <c r="A18572" s="0" t="s">
        <v>1005</v>
      </c>
      <c r="B18572" s="0" t="s">
        <v>98</v>
      </c>
      <c r="E18572" s="6" t="n">
        <f aca="false">Sens!E18570+Sens!E18571</f>
        <v>16.3054059770833</v>
      </c>
      <c r="F18572" s="6" t="n">
        <f aca="false">Sens!F18570+Sens!F18571</f>
        <v>34.5793144783516</v>
      </c>
      <c r="G18572" s="6" t="n">
        <f aca="false">Sens!G18570+Sens!G18571</f>
        <v>60.7344906522989</v>
      </c>
      <c r="H18572" s="6" t="n">
        <f aca="false">Sens!H18570+Sens!H18571</f>
        <v>89.1000906614457</v>
      </c>
      <c r="I18572" s="6" t="n">
        <f aca="false">Sens!I18570+Sens!I18571</f>
        <v>114.231009694548</v>
      </c>
      <c r="J18572" s="6" t="n">
        <f aca="false">Sens!J18570+Sens!J18571</f>
        <v>132.015673049596</v>
      </c>
      <c r="K18572" s="6" t="n">
        <f aca="false">Sens!K18570+Sens!K18571</f>
        <v>143.012669550934</v>
      </c>
    </row>
    <row r="18573" customFormat="false" ht="17.15" hidden="false" customHeight="false" outlineLevel="0" collapsed="false">
      <c r="A18573" s="0" t="s">
        <v>1006</v>
      </c>
      <c r="B18573" s="0" t="s">
        <v>98</v>
      </c>
      <c r="E18573" s="6" t="n">
        <f aca="false">Sens!E18560-Sens!E18559*Sens!E18572</f>
        <v>8.92707889977379</v>
      </c>
      <c r="F18573" s="6" t="n">
        <f aca="false">Sens!F18560-Sens!F18559*Sens!F18572</f>
        <v>18.7770356668733</v>
      </c>
      <c r="G18573" s="6" t="n">
        <f aca="false">Sens!G18560-Sens!G18559*Sens!G18572</f>
        <v>31.1163641458894</v>
      </c>
      <c r="H18573" s="6" t="n">
        <f aca="false">Sens!H18560-Sens!H18559*Sens!H18572</f>
        <v>43.7262635496428</v>
      </c>
      <c r="I18573" s="6" t="n">
        <f aca="false">Sens!I18560-Sens!I18559*Sens!I18572</f>
        <v>54.7541698336361</v>
      </c>
      <c r="J18573" s="6" t="n">
        <f aca="false">Sens!J18560-Sens!J18559*Sens!J18572</f>
        <v>62.3768819327658</v>
      </c>
      <c r="K18573" s="6" t="n">
        <f aca="false">Sens!K18560-Sens!K18559*Sens!K18572</f>
        <v>67.4820630434748</v>
      </c>
    </row>
    <row r="18574" customFormat="false" ht="17.15" hidden="false" customHeight="false" outlineLevel="0" collapsed="false">
      <c r="A18574" s="3" t="s">
        <v>2070</v>
      </c>
    </row>
    <row r="18575" customFormat="false" ht="15" hidden="false" customHeight="false" outlineLevel="0" collapsed="false">
      <c r="A18575" s="4" t="s">
        <v>43</v>
      </c>
      <c r="B18575" s="4" t="s">
        <v>65</v>
      </c>
      <c r="C18575" s="23" t="s">
        <v>942</v>
      </c>
      <c r="D18575" s="23" t="s">
        <v>943</v>
      </c>
      <c r="E18575" s="23" t="s">
        <v>944</v>
      </c>
      <c r="F18575" s="23" t="s">
        <v>945</v>
      </c>
      <c r="G18575" s="23" t="s">
        <v>946</v>
      </c>
      <c r="H18575" s="23" t="s">
        <v>947</v>
      </c>
      <c r="I18575" s="23" t="s">
        <v>948</v>
      </c>
      <c r="J18575" s="23" t="s">
        <v>949</v>
      </c>
      <c r="K18575" s="23" t="s">
        <v>950</v>
      </c>
      <c r="L18575" s="4" t="s">
        <v>47</v>
      </c>
    </row>
    <row r="18576" customFormat="false" ht="17.15" hidden="false" customHeight="false" outlineLevel="0" collapsed="false">
      <c r="A18576" s="0" t="s">
        <v>1025</v>
      </c>
      <c r="B18576" s="0" t="s">
        <v>98</v>
      </c>
      <c r="D18576" s="6" t="n">
        <f aca="false">Sens!D18554</f>
        <v>12.9359794422418</v>
      </c>
      <c r="E18576" s="6" t="n">
        <f aca="false">Sens!E18554</f>
        <v>27.8095064661409</v>
      </c>
      <c r="F18576" s="6" t="n">
        <f aca="false">Sens!F18554</f>
        <v>55.4118315060966</v>
      </c>
      <c r="G18576" s="6" t="n">
        <f aca="false">Sens!G18554</f>
        <v>91.2881100675143</v>
      </c>
      <c r="H18576" s="6" t="n">
        <f aca="false">Sens!H18554</f>
        <v>128.195273603944</v>
      </c>
      <c r="I18576" s="6" t="n">
        <f aca="false">Sens!I18554</f>
        <v>160.601281810405</v>
      </c>
      <c r="J18576" s="6" t="n">
        <f aca="false">Sens!J18554</f>
        <v>183.182719793589</v>
      </c>
      <c r="K18576" s="6" t="n">
        <f aca="false">Sens!K18554</f>
        <v>197.320124937098</v>
      </c>
    </row>
    <row r="18577" customFormat="false" ht="17.15" hidden="false" customHeight="false" outlineLevel="0" collapsed="false">
      <c r="A18577" s="0" t="s">
        <v>1026</v>
      </c>
      <c r="B18577" s="0" t="s">
        <v>98</v>
      </c>
      <c r="D18577" s="6" t="n">
        <f aca="false">Q!L6-Sens!D18576</f>
        <v>59.6740205577583</v>
      </c>
      <c r="E18577" s="6" t="n">
        <f aca="false">Q!M6-Sens!E18576</f>
        <v>74.1284935338591</v>
      </c>
      <c r="F18577" s="6" t="n">
        <f aca="false">Q!$I$6+(Sens!F18576+Sens!E18577*(1+Sens!F18578))*(1-Q!$E$6/Q!M6)-Sens!F18576</f>
        <v>91.2972164940844</v>
      </c>
      <c r="G18577" s="6" t="n">
        <f aca="false">Sens!F18577*(1+Sens!G18578)</f>
        <v>108.474719793879</v>
      </c>
      <c r="H18577" s="6" t="n">
        <f aca="false">Sens!G18577*(1+Sens!H18578)</f>
        <v>125.951292505701</v>
      </c>
      <c r="I18577" s="6" t="n">
        <f aca="false">Sens!H18577*(1+Sens!I18578)</f>
        <v>142.838165154212</v>
      </c>
      <c r="J18577" s="6" t="n">
        <f aca="false">Sens!I18577*(1+Sens!J18578)</f>
        <v>158.12717866615</v>
      </c>
      <c r="K18577" s="6" t="n">
        <f aca="false">Sens!J18577*(1+Sens!K18578)</f>
        <v>170.777352959442</v>
      </c>
      <c r="L18577" s="12" t="s">
        <v>1027</v>
      </c>
    </row>
    <row r="18578" customFormat="false" ht="15" hidden="false" customHeight="false" outlineLevel="0" collapsed="false">
      <c r="A18578" s="1" t="s">
        <v>1028</v>
      </c>
      <c r="B18578" s="0" t="s">
        <v>168</v>
      </c>
      <c r="E18578" s="7" t="n">
        <f aca="false">Sens!E18577/Sens!D18577-1</f>
        <v>0.242223883039864</v>
      </c>
      <c r="F18578" s="7" t="n">
        <f aca="false">Sens!$E$18578+(glt_azo-Sens!$E$18578)*MIN(1,(Sens!F18535-base_fy)/n_conv)</f>
        <v>0.215186569199887</v>
      </c>
      <c r="G18578" s="7" t="n">
        <f aca="false">Sens!$E$18578+(glt_azo-Sens!$E$18578)*MIN(1,(Sens!G18535-base_fy)/n_conv)</f>
        <v>0.18814925535991</v>
      </c>
      <c r="H18578" s="7" t="n">
        <f aca="false">Sens!$E$18578+(glt_azo-Sens!$E$18578)*MIN(1,(Sens!H18535-base_fy)/n_conv)</f>
        <v>0.161111941519932</v>
      </c>
      <c r="I18578" s="7" t="n">
        <f aca="false">Sens!$E$18578+(glt_azo-Sens!$E$18578)*MIN(1,(Sens!I18535-base_fy)/n_conv)</f>
        <v>0.134074627679955</v>
      </c>
      <c r="J18578" s="7" t="n">
        <f aca="false">Sens!$E$18578+(glt_azo-Sens!$E$18578)*MIN(1,(Sens!J18535-base_fy)/n_conv)</f>
        <v>0.107037313839977</v>
      </c>
      <c r="K18578" s="7" t="n">
        <f aca="false">Sens!$E$18578+(glt_azo-Sens!$E$18578)*MIN(1,(Sens!K18535-base_fy)/n_conv)</f>
        <v>0.08</v>
      </c>
    </row>
    <row r="18579" customFormat="false" ht="15" hidden="false" customHeight="false" outlineLevel="0" collapsed="false">
      <c r="A18579" s="0" t="s">
        <v>1029</v>
      </c>
      <c r="B18579" s="0" t="s">
        <v>98</v>
      </c>
      <c r="D18579" s="6" t="n">
        <f aca="false">Sens!D18576+Sens!D18577</f>
        <v>72.61</v>
      </c>
      <c r="E18579" s="6" t="n">
        <f aca="false">Sens!E18576+Sens!E18577</f>
        <v>101.938</v>
      </c>
      <c r="F18579" s="6" t="n">
        <f aca="false">Sens!F18576+Sens!F18577</f>
        <v>146.709048000181</v>
      </c>
      <c r="G18579" s="6" t="n">
        <f aca="false">Sens!G18576+Sens!G18577</f>
        <v>199.762829861393</v>
      </c>
      <c r="H18579" s="6" t="n">
        <f aca="false">Sens!H18576+Sens!H18577</f>
        <v>254.146566109645</v>
      </c>
      <c r="I18579" s="6" t="n">
        <f aca="false">Sens!I18576+Sens!I18577</f>
        <v>303.439446964617</v>
      </c>
      <c r="J18579" s="6" t="n">
        <f aca="false">Sens!J18576+Sens!J18577</f>
        <v>341.309898459739</v>
      </c>
      <c r="K18579" s="6" t="n">
        <f aca="false">Sens!K18576+Sens!K18577</f>
        <v>368.09747789654</v>
      </c>
    </row>
    <row r="18580" customFormat="false" ht="17.15" hidden="false" customHeight="false" outlineLevel="0" collapsed="false">
      <c r="A18580" s="0" t="s">
        <v>1030</v>
      </c>
      <c r="B18580" s="1" t="s">
        <v>613</v>
      </c>
      <c r="C18580" s="30" t="n">
        <f aca="false">cop_s24</f>
        <v>1</v>
      </c>
      <c r="D18580" s="30" t="n">
        <f aca="false">cop_s25</f>
        <v>5</v>
      </c>
      <c r="E18580" s="30" t="n">
        <f aca="false">cop_s26</f>
        <v>30</v>
      </c>
      <c r="F18580" s="30" t="n">
        <f aca="false">Sens!E18580+cop_add_B</f>
        <v>50</v>
      </c>
      <c r="G18580" s="30" t="n">
        <f aca="false">Sens!F18580+cop_add_B</f>
        <v>70</v>
      </c>
      <c r="H18580" s="30" t="n">
        <f aca="false">Sens!G18580+cop_add_B</f>
        <v>90</v>
      </c>
      <c r="I18580" s="30" t="n">
        <f aca="false">Sens!H18580+cop_add_B*cop_tail</f>
        <v>100</v>
      </c>
      <c r="J18580" s="30" t="n">
        <f aca="false">Sens!I18580+cop_add_B*cop_tail</f>
        <v>110</v>
      </c>
      <c r="K18580" s="30" t="n">
        <f aca="false">Sens!J18580+cop_add_B*cop_tail</f>
        <v>120</v>
      </c>
      <c r="L18580" s="12" t="s">
        <v>1031</v>
      </c>
    </row>
    <row r="18581" customFormat="false" ht="17.15" hidden="false" customHeight="false" outlineLevel="0" collapsed="false">
      <c r="A18581" s="0" t="s">
        <v>1032</v>
      </c>
      <c r="B18581" s="0" t="s">
        <v>98</v>
      </c>
      <c r="D18581" s="6" t="n">
        <f aca="false">(Sens!C18580+Sens!D18580)/2*cop_px*12/1000</f>
        <v>0.9</v>
      </c>
      <c r="E18581" s="6" t="n">
        <f aca="false">(Sens!D18580+Sens!E18580)/2*cop_px*12/1000</f>
        <v>5.25</v>
      </c>
      <c r="F18581" s="6" t="n">
        <f aca="false">(Sens!E18580+Sens!F18580)/2*cop_px*12/1000</f>
        <v>12</v>
      </c>
      <c r="G18581" s="6" t="n">
        <f aca="false">(Sens!F18580+Sens!G18580)/2*cop_px*12/1000</f>
        <v>18</v>
      </c>
      <c r="H18581" s="6" t="n">
        <f aca="false">(Sens!G18580+Sens!H18580)/2*cop_px*12/1000</f>
        <v>24</v>
      </c>
      <c r="I18581" s="6" t="n">
        <f aca="false">(Sens!H18580+Sens!I18580)/2*cop_px*12/1000</f>
        <v>28.5</v>
      </c>
      <c r="J18581" s="6" t="n">
        <f aca="false">(Sens!I18580+Sens!J18580)/2*cop_px*12/1000</f>
        <v>31.5</v>
      </c>
      <c r="K18581" s="6" t="n">
        <f aca="false">(Sens!J18580+Sens!K18580)/2*cop_px*12/1000</f>
        <v>34.5</v>
      </c>
      <c r="L18581" s="1" t="s">
        <v>1033</v>
      </c>
    </row>
    <row r="18582" customFormat="false" ht="17.15" hidden="false" customHeight="false" outlineLevel="0" collapsed="false">
      <c r="A18582" s="0" t="s">
        <v>1034</v>
      </c>
      <c r="B18582" s="0" t="s">
        <v>98</v>
      </c>
      <c r="D18582" s="6" t="n">
        <f aca="false">Q!L7-Sens!D18581</f>
        <v>83.705</v>
      </c>
      <c r="E18582" s="6" t="n">
        <f aca="false">Q!M7-Sens!E18581</f>
        <v>95.049</v>
      </c>
      <c r="F18582" s="6" t="n">
        <f aca="false">Q!$I$7+(Sens!E18582*(1+Sens!F18583)+Sens!F18581)*(1-Q!$E$7/Q!M7)-Sens!F18581</f>
        <v>106.584003697747</v>
      </c>
      <c r="G18582" s="6" t="n">
        <f aca="false">Sens!F18582*(1+Sens!G18583)</f>
        <v>118.700726545688</v>
      </c>
      <c r="H18582" s="6" t="n">
        <f aca="false">Sens!G18582*(1+Sens!H18583)</f>
        <v>130.898624783666</v>
      </c>
      <c r="I18582" s="6" t="n">
        <f aca="false">Sens!H18582*(1+Sens!I18583)</f>
        <v>142.920510030657</v>
      </c>
      <c r="J18582" s="6" t="n">
        <f aca="false">Sens!I18582*(1+Sens!J18583)</f>
        <v>154.485722618572</v>
      </c>
      <c r="K18582" s="6" t="n">
        <f aca="false">Sens!J18582*(1+Sens!K18583)</f>
        <v>165.299723201872</v>
      </c>
      <c r="L18582" s="12" t="s">
        <v>1035</v>
      </c>
    </row>
    <row r="18583" customFormat="false" ht="15" hidden="false" customHeight="false" outlineLevel="0" collapsed="false">
      <c r="A18583" s="1" t="s">
        <v>1028</v>
      </c>
      <c r="B18583" s="0" t="s">
        <v>168</v>
      </c>
      <c r="E18583" s="7" t="n">
        <f aca="false">Sens!E18582/Sens!D18582-1</f>
        <v>0.135523564900544</v>
      </c>
      <c r="F18583" s="7" t="n">
        <f aca="false">Sens!$E$18583+(glt_m365b-Sens!$E$18583)*MIN(1,(Sens!F18535-base_fy)/n_conv)</f>
        <v>0.124602970750453</v>
      </c>
      <c r="G18583" s="7" t="n">
        <f aca="false">Sens!$E$18583+(glt_m365b-Sens!$E$18583)*MIN(1,(Sens!G18535-base_fy)/n_conv)</f>
        <v>0.113682376600363</v>
      </c>
      <c r="H18583" s="7" t="n">
        <f aca="false">Sens!$E$18583+(glt_m365b-Sens!$E$18583)*MIN(1,(Sens!H18535-base_fy)/n_conv)</f>
        <v>0.102761782450272</v>
      </c>
      <c r="I18583" s="7" t="n">
        <f aca="false">Sens!$E$18583+(glt_m365b-Sens!$E$18583)*MIN(1,(Sens!I18535-base_fy)/n_conv)</f>
        <v>0.0918411883001813</v>
      </c>
      <c r="J18583" s="7" t="n">
        <f aca="false">Sens!$E$18583+(glt_m365b-Sens!$E$18583)*MIN(1,(Sens!J18535-base_fy)/n_conv)</f>
        <v>0.0809205941500906</v>
      </c>
      <c r="K18583" s="7" t="n">
        <f aca="false">Sens!$E$18583+(glt_m365b-Sens!$E$18583)*MIN(1,(Sens!K18535-base_fy)/n_conv)</f>
        <v>0.07</v>
      </c>
    </row>
    <row r="18584" customFormat="false" ht="15" hidden="false" customHeight="false" outlineLevel="0" collapsed="false">
      <c r="A18584" s="0" t="s">
        <v>1036</v>
      </c>
      <c r="B18584" s="0" t="s">
        <v>98</v>
      </c>
      <c r="D18584" s="6" t="n">
        <f aca="false">Sens!D18582+Sens!D18581</f>
        <v>84.605</v>
      </c>
      <c r="E18584" s="6" t="n">
        <f aca="false">Sens!E18582+Sens!E18581</f>
        <v>100.299</v>
      </c>
      <c r="F18584" s="6" t="n">
        <f aca="false">Sens!F18582+Sens!F18581</f>
        <v>118.584003697747</v>
      </c>
      <c r="G18584" s="6" t="n">
        <f aca="false">Sens!G18582+Sens!G18581</f>
        <v>136.700726545688</v>
      </c>
      <c r="H18584" s="6" t="n">
        <f aca="false">Sens!H18582+Sens!H18581</f>
        <v>154.898624783666</v>
      </c>
      <c r="I18584" s="6" t="n">
        <f aca="false">Sens!I18582+Sens!I18581</f>
        <v>171.420510030657</v>
      </c>
      <c r="J18584" s="6" t="n">
        <f aca="false">Sens!J18582+Sens!J18581</f>
        <v>185.985722618572</v>
      </c>
      <c r="K18584" s="6" t="n">
        <f aca="false">Sens!K18582+Sens!K18581</f>
        <v>199.799723201872</v>
      </c>
    </row>
    <row r="18585" customFormat="false" ht="17.15" hidden="false" customHeight="false" outlineLevel="0" collapsed="false">
      <c r="A18585" s="0" t="s">
        <v>1037</v>
      </c>
      <c r="B18585" s="0" t="s">
        <v>98</v>
      </c>
      <c r="D18585" s="6" t="n">
        <f aca="false">Q!L8</f>
        <v>35.391</v>
      </c>
      <c r="E18585" s="6" t="n">
        <f aca="false">Q!M8</f>
        <v>37.285</v>
      </c>
      <c r="F18585" s="6" t="n">
        <f aca="false">Q!$I$8+(Q!M8-Q!$E$8)*(1+Sens!F18586)</f>
        <v>38.3851437782675</v>
      </c>
      <c r="G18585" s="6" t="n">
        <f aca="false">Sens!F18585*(1+Sens!G18586)</f>
        <v>40.0105353288615</v>
      </c>
      <c r="H18585" s="6" t="n">
        <f aca="false">Sens!G18585*(1+Sens!H18586)</f>
        <v>41.4812512033683</v>
      </c>
      <c r="I18585" s="6" t="n">
        <f aca="false">Sens!H18585*(1+Sens!I18586)</f>
        <v>42.7743107216329</v>
      </c>
      <c r="J18585" s="6" t="n">
        <f aca="false">Sens!I18585*(1+Sens!J18586)</f>
        <v>43.8687373064601</v>
      </c>
      <c r="K18585" s="6" t="n">
        <f aca="false">Sens!J18585*(1+Sens!K18586)</f>
        <v>44.7461120525893</v>
      </c>
      <c r="L18585" s="12" t="s">
        <v>1038</v>
      </c>
    </row>
    <row r="18586" customFormat="false" ht="15" hidden="false" customHeight="false" outlineLevel="0" collapsed="false">
      <c r="A18586" s="1" t="s">
        <v>1028</v>
      </c>
      <c r="B18586" s="0" t="s">
        <v>168</v>
      </c>
      <c r="E18586" s="7" t="n">
        <f aca="false">Sens!E18585/Sens!D18585-1</f>
        <v>0.0535164307309768</v>
      </c>
      <c r="F18586" s="7" t="n">
        <f aca="false">Sens!$E$18586+(glt_lic-Sens!$E$18586)*MIN(1,(Sens!F18535-base_fy)/n_conv)</f>
        <v>0.0479303589424807</v>
      </c>
      <c r="G18586" s="7" t="n">
        <f aca="false">Sens!$E$18586+(glt_lic-Sens!$E$18586)*MIN(1,(Sens!G18535-base_fy)/n_conv)</f>
        <v>0.0423442871539845</v>
      </c>
      <c r="H18586" s="7" t="n">
        <f aca="false">Sens!$E$18586+(glt_lic-Sens!$E$18586)*MIN(1,(Sens!H18535-base_fy)/n_conv)</f>
        <v>0.0367582153654884</v>
      </c>
      <c r="I18586" s="7" t="n">
        <f aca="false">Sens!$E$18586+(glt_lic-Sens!$E$18586)*MIN(1,(Sens!I18535-base_fy)/n_conv)</f>
        <v>0.0311721435769923</v>
      </c>
      <c r="J18586" s="7" t="n">
        <f aca="false">Sens!$E$18586+(glt_lic-Sens!$E$18586)*MIN(1,(Sens!J18535-base_fy)/n_conv)</f>
        <v>0.0255860717884961</v>
      </c>
      <c r="K18586" s="7" t="n">
        <f aca="false">Sens!$E$18586+(glt_lic-Sens!$E$18586)*MIN(1,(Sens!K18535-base_fy)/n_conv)</f>
        <v>0.02</v>
      </c>
    </row>
    <row r="18587" customFormat="false" ht="17.15" hidden="false" customHeight="false" outlineLevel="0" collapsed="false">
      <c r="A18587" s="0" t="s">
        <v>1039</v>
      </c>
      <c r="B18587" s="0" t="s">
        <v>98</v>
      </c>
      <c r="D18587" s="6" t="n">
        <f aca="false">Q!L9</f>
        <v>18.417</v>
      </c>
      <c r="E18587" s="6" t="n">
        <f aca="false">Q!M9</f>
        <v>20.345</v>
      </c>
      <c r="F18587" s="6" t="n">
        <f aca="false">Q!$I$9+(Q!M9-Q!$E$9)*(1+Sens!F18588)</f>
        <v>22.3161797133988</v>
      </c>
      <c r="G18587" s="6" t="n">
        <f aca="false">Sens!F18587*(1+Sens!G18588)</f>
        <v>24.3943499673233</v>
      </c>
      <c r="H18587" s="6" t="n">
        <f aca="false">Sens!G18587*(1+Sens!H18588)</f>
        <v>26.5250243109019</v>
      </c>
      <c r="I18587" s="6" t="n">
        <f aca="false">Sens!H18587*(1+Sens!I18588)</f>
        <v>28.6884573538181</v>
      </c>
      <c r="J18587" s="6" t="n">
        <f aca="false">Sens!I18587*(1+Sens!J18588)</f>
        <v>30.8624968052127</v>
      </c>
      <c r="K18587" s="6" t="n">
        <f aca="false">Sens!J18587*(1+Sens!K18588)</f>
        <v>33.0228715815776</v>
      </c>
      <c r="L18587" s="12" t="s">
        <v>1038</v>
      </c>
    </row>
    <row r="18588" customFormat="false" ht="15" hidden="false" customHeight="false" outlineLevel="0" collapsed="false">
      <c r="A18588" s="1" t="s">
        <v>1028</v>
      </c>
      <c r="B18588" s="0" t="s">
        <v>168</v>
      </c>
      <c r="E18588" s="7" t="n">
        <f aca="false">Sens!E18587/Sens!D18587-1</f>
        <v>0.104685888038225</v>
      </c>
      <c r="F18588" s="7" t="n">
        <f aca="false">Sens!$E$18588+(glt_ind-Sens!$E$18588)*MIN(1,(Sens!F18535-base_fy)/n_conv)</f>
        <v>0.0989049066985211</v>
      </c>
      <c r="G18588" s="7" t="n">
        <f aca="false">Sens!$E$18588+(glt_ind-Sens!$E$18588)*MIN(1,(Sens!G18535-base_fy)/n_conv)</f>
        <v>0.0931239253588169</v>
      </c>
      <c r="H18588" s="7" t="n">
        <f aca="false">Sens!$E$18588+(glt_ind-Sens!$E$18588)*MIN(1,(Sens!H18535-base_fy)/n_conv)</f>
        <v>0.0873429440191127</v>
      </c>
      <c r="I18588" s="7" t="n">
        <f aca="false">Sens!$E$18588+(glt_ind-Sens!$E$18588)*MIN(1,(Sens!I18535-base_fy)/n_conv)</f>
        <v>0.0815619626794085</v>
      </c>
      <c r="J18588" s="7" t="n">
        <f aca="false">Sens!$E$18588+(glt_ind-Sens!$E$18588)*MIN(1,(Sens!J18535-base_fy)/n_conv)</f>
        <v>0.0757809813397042</v>
      </c>
      <c r="K18588" s="7" t="n">
        <f aca="false">Sens!$E$18588+(glt_ind-Sens!$E$18588)*MIN(1,(Sens!K18535-base_fy)/n_conv)</f>
        <v>0.07</v>
      </c>
    </row>
    <row r="18589" customFormat="false" ht="17.15" hidden="false" customHeight="false" outlineLevel="0" collapsed="false">
      <c r="A18589" s="0" t="s">
        <v>1040</v>
      </c>
      <c r="B18589" s="0" t="s">
        <v>98</v>
      </c>
      <c r="D18589" s="6" t="n">
        <f aca="false">Q!L10</f>
        <v>7.76</v>
      </c>
      <c r="E18589" s="6" t="n">
        <f aca="false">Q!M10</f>
        <v>8.26</v>
      </c>
      <c r="F18589" s="6" t="n">
        <f aca="false">Q!$I$10+(Q!M10-Q!$E$10)*(1+Sens!F18590)</f>
        <v>8.75372082474227</v>
      </c>
      <c r="G18589" s="6" t="n">
        <f aca="false">Sens!F18589*(1+Sens!G18590)</f>
        <v>9.33399324642364</v>
      </c>
      <c r="H18589" s="6" t="n">
        <f aca="false">Sens!G18589*(1+Sens!H18590)</f>
        <v>9.96139155535851</v>
      </c>
      <c r="I18589" s="6" t="n">
        <f aca="false">Sens!H18589*(1+Sens!I18590)</f>
        <v>10.6402039077391</v>
      </c>
      <c r="J18589" s="6" t="n">
        <f aca="false">Sens!I18589*(1+Sens!J18590)</f>
        <v>11.3751458271397</v>
      </c>
      <c r="K18589" s="6" t="n">
        <f aca="false">Sens!J18589*(1+Sens!K18590)</f>
        <v>12.1714060350394</v>
      </c>
      <c r="L18589" s="12" t="s">
        <v>1038</v>
      </c>
    </row>
    <row r="18590" customFormat="false" ht="15" hidden="false" customHeight="false" outlineLevel="0" collapsed="false">
      <c r="A18590" s="1" t="s">
        <v>1028</v>
      </c>
      <c r="B18590" s="0" t="s">
        <v>168</v>
      </c>
      <c r="E18590" s="7" t="n">
        <f aca="false">Sens!E18589/Sens!D18589-1</f>
        <v>0.0644329896907216</v>
      </c>
      <c r="F18590" s="7" t="n">
        <f aca="false">Sens!$E$18590+(glt_fro-Sens!$E$18590)*MIN(1,(Sens!F18535-base_fy)/n_conv)</f>
        <v>0.065360824742268</v>
      </c>
      <c r="G18590" s="7" t="n">
        <f aca="false">Sens!$E$18590+(glt_fro-Sens!$E$18590)*MIN(1,(Sens!G18535-base_fy)/n_conv)</f>
        <v>0.0662886597938144</v>
      </c>
      <c r="H18590" s="7" t="n">
        <f aca="false">Sens!$E$18590+(glt_fro-Sens!$E$18590)*MIN(1,(Sens!H18535-base_fy)/n_conv)</f>
        <v>0.0672164948453608</v>
      </c>
      <c r="I18590" s="7" t="n">
        <f aca="false">Sens!$E$18590+(glt_fro-Sens!$E$18590)*MIN(1,(Sens!I18535-base_fy)/n_conv)</f>
        <v>0.0681443298969072</v>
      </c>
      <c r="J18590" s="7" t="n">
        <f aca="false">Sens!$E$18590+(glt_fro-Sens!$E$18590)*MIN(1,(Sens!J18535-base_fy)/n_conv)</f>
        <v>0.0690721649484536</v>
      </c>
      <c r="K18590" s="7" t="n">
        <f aca="false">Sens!$E$18590+(glt_fro-Sens!$E$18590)*MIN(1,(Sens!K18535-base_fy)/n_conv)</f>
        <v>0.07</v>
      </c>
    </row>
    <row r="18591" customFormat="false" ht="15" hidden="false" customHeight="false" outlineLevel="0" collapsed="false">
      <c r="A18591" s="0" t="s">
        <v>856</v>
      </c>
      <c r="B18591" s="0" t="s">
        <v>98</v>
      </c>
      <c r="D18591" s="6" t="n">
        <f aca="false">Sens!D18579+Sens!D18584+Sens!D18585+Sens!D18587+Sens!D18589</f>
        <v>218.783</v>
      </c>
      <c r="E18591" s="6" t="n">
        <f aca="false">Sens!E18579+Sens!E18584+Sens!E18585+Sens!E18587+Sens!E18589</f>
        <v>268.127</v>
      </c>
      <c r="F18591" s="6" t="n">
        <f aca="false">Sens!F18579+Sens!F18584+Sens!F18585+Sens!F18587+Sens!F18589</f>
        <v>334.748096014336</v>
      </c>
      <c r="G18591" s="6" t="n">
        <f aca="false">Sens!G18579+Sens!G18584+Sens!G18585+Sens!G18587+Sens!G18589</f>
        <v>410.20243494969</v>
      </c>
      <c r="H18591" s="6" t="n">
        <f aca="false">Sens!H18579+Sens!H18584+Sens!H18585+Sens!H18587+Sens!H18589</f>
        <v>487.012857962939</v>
      </c>
      <c r="I18591" s="6" t="n">
        <f aca="false">Sens!I18579+Sens!I18584+Sens!I18585+Sens!I18587+Sens!I18589</f>
        <v>556.962928978464</v>
      </c>
      <c r="J18591" s="6" t="n">
        <f aca="false">Sens!J18579+Sens!J18584+Sens!J18585+Sens!J18587+Sens!J18589</f>
        <v>613.402001017124</v>
      </c>
      <c r="K18591" s="6" t="n">
        <f aca="false">Sens!K18579+Sens!K18584+Sens!K18585+Sens!K18587+Sens!K18589</f>
        <v>657.837590767618</v>
      </c>
    </row>
    <row r="18592" customFormat="false" ht="17.15" hidden="false" customHeight="false" outlineLevel="0" collapsed="false">
      <c r="A18592" s="0" t="s">
        <v>1041</v>
      </c>
      <c r="B18592" s="0" t="s">
        <v>98</v>
      </c>
      <c r="D18592" s="6" t="n">
        <f aca="false">Q!L13</f>
        <v>22.171</v>
      </c>
      <c r="E18592" s="6" t="n">
        <f aca="false">Q!M13</f>
        <v>24.835</v>
      </c>
      <c r="F18592" s="6" t="n">
        <f aca="false">Q!$I$13+(Q!M13-Q!$E$13)*(1+Sens!F18593)</f>
        <v>27.5591895660247</v>
      </c>
      <c r="G18592" s="6" t="n">
        <f aca="false">Sens!F18592*(1+Sens!G18593)</f>
        <v>30.4098563144583</v>
      </c>
      <c r="H18592" s="6" t="n">
        <f aca="false">Sens!G18592*(1+Sens!H18593)</f>
        <v>33.3011792571777</v>
      </c>
      <c r="I18592" s="6" t="n">
        <f aca="false">Sens!H18592*(1+Sens!I18593)</f>
        <v>36.189023797112</v>
      </c>
      <c r="J18592" s="6" t="n">
        <f aca="false">Sens!I18592*(1+Sens!J18593)</f>
        <v>39.0247773769199</v>
      </c>
      <c r="K18592" s="6" t="n">
        <f aca="false">Sens!J18592*(1+Sens!K18593)</f>
        <v>41.7565117933043</v>
      </c>
      <c r="L18592" s="12" t="s">
        <v>1038</v>
      </c>
    </row>
    <row r="18593" customFormat="false" ht="15" hidden="false" customHeight="false" outlineLevel="0" collapsed="false">
      <c r="A18593" s="1" t="s">
        <v>1028</v>
      </c>
      <c r="B18593" s="0" t="s">
        <v>168</v>
      </c>
      <c r="E18593" s="7" t="n">
        <f aca="false">Sens!E18592/Sens!D18592-1</f>
        <v>0.120156961796942</v>
      </c>
      <c r="F18593" s="7" t="n">
        <f aca="false">Sens!$E$18593+(glt_srch-Sens!$E$18593)*MIN(1,(Sens!F18535-base_fy)/n_conv)</f>
        <v>0.111797468164118</v>
      </c>
      <c r="G18593" s="7" t="n">
        <f aca="false">Sens!$E$18593+(glt_srch-Sens!$E$18593)*MIN(1,(Sens!G18535-base_fy)/n_conv)</f>
        <v>0.103437974531295</v>
      </c>
      <c r="H18593" s="7" t="n">
        <f aca="false">Sens!$E$18593+(glt_srch-Sens!$E$18593)*MIN(1,(Sens!H18535-base_fy)/n_conv)</f>
        <v>0.095078480898471</v>
      </c>
      <c r="I18593" s="7" t="n">
        <f aca="false">Sens!$E$18593+(glt_srch-Sens!$E$18593)*MIN(1,(Sens!I18535-base_fy)/n_conv)</f>
        <v>0.0867189872656474</v>
      </c>
      <c r="J18593" s="7" t="n">
        <f aca="false">Sens!$E$18593+(glt_srch-Sens!$E$18593)*MIN(1,(Sens!J18535-base_fy)/n_conv)</f>
        <v>0.0783594936328237</v>
      </c>
      <c r="K18593" s="7" t="n">
        <f aca="false">Sens!$E$18593+(glt_srch-Sens!$E$18593)*MIN(1,(Sens!K18535-base_fy)/n_conv)</f>
        <v>0.07</v>
      </c>
    </row>
    <row r="18594" customFormat="false" ht="17.15" hidden="false" customHeight="false" outlineLevel="0" collapsed="false">
      <c r="A18594" s="0" t="s">
        <v>1042</v>
      </c>
      <c r="B18594" s="0" t="s">
        <v>98</v>
      </c>
      <c r="D18594" s="6" t="n">
        <f aca="false">Q!L14</f>
        <v>23.455</v>
      </c>
      <c r="E18594" s="6" t="n">
        <f aca="false">Q!M14</f>
        <v>21.79</v>
      </c>
      <c r="F18594" s="6" t="n">
        <f aca="false">Q!$I$14+(Q!M14-Q!$E$14)*(1+Sens!F18595)</f>
        <v>20.7520981041711</v>
      </c>
      <c r="G18594" s="6" t="n">
        <f aca="false">Sens!F18594*(1+Sens!G18595)</f>
        <v>19.9083593495882</v>
      </c>
      <c r="H18594" s="6" t="n">
        <f aca="false">Sens!G18594*(1+Sens!H18595)</f>
        <v>19.4008256265831</v>
      </c>
      <c r="I18594" s="6" t="n">
        <f aca="false">Sens!H18594*(1+Sens!I18595)</f>
        <v>19.200434522122</v>
      </c>
      <c r="J18594" s="6" t="n">
        <f aca="false">Sens!I18594*(1+Sens!J18595)</f>
        <v>19.2932782348507</v>
      </c>
      <c r="K18594" s="6" t="n">
        <f aca="false">Sens!J18594*(1+Sens!K18595)</f>
        <v>19.6791437995477</v>
      </c>
      <c r="L18594" s="12" t="s">
        <v>1038</v>
      </c>
    </row>
    <row r="18595" customFormat="false" ht="15" hidden="false" customHeight="false" outlineLevel="0" collapsed="false">
      <c r="A18595" s="1" t="s">
        <v>1028</v>
      </c>
      <c r="B18595" s="0" t="s">
        <v>168</v>
      </c>
      <c r="E18595" s="7" t="n">
        <f aca="false">Sens!E18594/Sens!D18594-1</f>
        <v>-0.0709869963760392</v>
      </c>
      <c r="F18595" s="7" t="n">
        <f aca="false">Sens!$E$18595+(glt_xbox-Sens!$E$18595)*MIN(1,(Sens!F18535-base_fy)/n_conv)</f>
        <v>-0.0558224969800327</v>
      </c>
      <c r="G18595" s="7" t="n">
        <f aca="false">Sens!$E$18595+(glt_xbox-Sens!$E$18595)*MIN(1,(Sens!G18535-base_fy)/n_conv)</f>
        <v>-0.0406579975840262</v>
      </c>
      <c r="H18595" s="7" t="n">
        <f aca="false">Sens!$E$18595+(glt_xbox-Sens!$E$18595)*MIN(1,(Sens!H18535-base_fy)/n_conv)</f>
        <v>-0.0254934981880196</v>
      </c>
      <c r="I18595" s="7" t="n">
        <f aca="false">Sens!$E$18595+(glt_xbox-Sens!$E$18595)*MIN(1,(Sens!I18535-base_fy)/n_conv)</f>
        <v>-0.0103289987920131</v>
      </c>
      <c r="J18595" s="7" t="n">
        <f aca="false">Sens!$E$18595+(glt_xbox-Sens!$E$18595)*MIN(1,(Sens!J18535-base_fy)/n_conv)</f>
        <v>0.00483550060399347</v>
      </c>
      <c r="K18595" s="7" t="n">
        <f aca="false">Sens!$E$18595+(glt_xbox-Sens!$E$18595)*MIN(1,(Sens!K18535-base_fy)/n_conv)</f>
        <v>0.02</v>
      </c>
    </row>
    <row r="18596" customFormat="false" ht="17.15" hidden="false" customHeight="false" outlineLevel="0" collapsed="false">
      <c r="A18596" s="0" t="s">
        <v>1043</v>
      </c>
      <c r="B18596" s="0" t="s">
        <v>98</v>
      </c>
      <c r="D18596" s="6" t="n">
        <f aca="false">Q!L15</f>
        <v>17.315</v>
      </c>
      <c r="E18596" s="6" t="n">
        <f aca="false">Q!M15</f>
        <v>17.087</v>
      </c>
      <c r="F18596" s="6" t="n">
        <f aca="false">Q!$I$15+(Q!M15-Q!$E$15)*(1+g_q2_win)</f>
        <v>11.6994</v>
      </c>
      <c r="G18596" s="6" t="n">
        <f aca="false">Sens!F18596*(1+Sens!G18597)</f>
        <v>11.6746926329772</v>
      </c>
      <c r="H18596" s="6" t="n">
        <f aca="false">Sens!G18596*(1+Sens!H18597)</f>
        <v>11.7145747045475</v>
      </c>
      <c r="I18596" s="6" t="n">
        <f aca="false">Sens!H18596*(1+Sens!I18597)</f>
        <v>11.8193507447388</v>
      </c>
      <c r="J18596" s="6" t="n">
        <f aca="false">Sens!I18596*(1+Sens!J18597)</f>
        <v>11.9904008346869</v>
      </c>
      <c r="K18596" s="6" t="n">
        <f aca="false">Sens!J18596*(1+Sens!K18597)</f>
        <v>12.2302088513807</v>
      </c>
      <c r="L18596" s="12" t="s">
        <v>1038</v>
      </c>
    </row>
    <row r="18597" customFormat="false" ht="15" hidden="false" customHeight="false" outlineLevel="0" collapsed="false">
      <c r="A18597" s="1" t="s">
        <v>1028</v>
      </c>
      <c r="B18597" s="0" t="s">
        <v>168</v>
      </c>
      <c r="E18597" s="7" t="n">
        <f aca="false">Sens!E18596/Sens!D18596-1</f>
        <v>-0.0131677736066995</v>
      </c>
      <c r="F18597" s="7" t="n">
        <f aca="false">Sens!$E$18597+(glt_win-Sens!$E$18597)*MIN(1,(Sens!F18535-base_fy)/n_conv)</f>
        <v>-0.00763981133891627</v>
      </c>
      <c r="G18597" s="7" t="n">
        <f aca="false">Sens!$E$18597+(glt_win-Sens!$E$18597)*MIN(1,(Sens!G18535-base_fy)/n_conv)</f>
        <v>-0.00211184907113301</v>
      </c>
      <c r="H18597" s="7" t="n">
        <f aca="false">Sens!$E$18597+(glt_win-Sens!$E$18597)*MIN(1,(Sens!H18535-base_fy)/n_conv)</f>
        <v>0.00341611319665024</v>
      </c>
      <c r="I18597" s="7" t="n">
        <f aca="false">Sens!$E$18597+(glt_win-Sens!$E$18597)*MIN(1,(Sens!I18535-base_fy)/n_conv)</f>
        <v>0.00894407546443349</v>
      </c>
      <c r="J18597" s="7" t="n">
        <f aca="false">Sens!$E$18597+(glt_win-Sens!$E$18597)*MIN(1,(Sens!J18535-base_fy)/n_conv)</f>
        <v>0.0144720377322168</v>
      </c>
      <c r="K18597" s="7" t="n">
        <f aca="false">Sens!$E$18597+(glt_win-Sens!$E$18597)*MIN(1,(Sens!K18535-base_fy)/n_conv)</f>
        <v>0.02</v>
      </c>
    </row>
    <row r="18598" customFormat="false" ht="15" hidden="false" customHeight="false" outlineLevel="0" collapsed="false">
      <c r="A18598" s="0" t="s">
        <v>870</v>
      </c>
      <c r="B18598" s="0" t="s">
        <v>98</v>
      </c>
      <c r="D18598" s="6" t="n">
        <f aca="false">Sens!D18592+Sens!D18594+Sens!D18596</f>
        <v>62.941</v>
      </c>
      <c r="E18598" s="6" t="n">
        <f aca="false">Sens!E18592+Sens!E18594+Sens!E18596</f>
        <v>63.712</v>
      </c>
      <c r="F18598" s="6" t="n">
        <f aca="false">Sens!F18592+Sens!F18594+Sens!F18596</f>
        <v>60.0106876701958</v>
      </c>
      <c r="G18598" s="6" t="n">
        <f aca="false">Sens!G18592+Sens!G18594+Sens!G18596</f>
        <v>61.9929082970237</v>
      </c>
      <c r="H18598" s="6" t="n">
        <f aca="false">Sens!H18592+Sens!H18594+Sens!H18596</f>
        <v>64.4165795883084</v>
      </c>
      <c r="I18598" s="6" t="n">
        <f aca="false">Sens!I18592+Sens!I18594+Sens!I18596</f>
        <v>67.2088090639728</v>
      </c>
      <c r="J18598" s="6" t="n">
        <f aca="false">Sens!J18592+Sens!J18594+Sens!J18596</f>
        <v>70.3084564464575</v>
      </c>
      <c r="K18598" s="6" t="n">
        <f aca="false">Sens!K18592+Sens!K18594+Sens!K18596</f>
        <v>73.6658644442326</v>
      </c>
    </row>
    <row r="18599" customFormat="false" ht="15" hidden="false" customHeight="false" outlineLevel="0" collapsed="false">
      <c r="A18599" s="1" t="s">
        <v>1044</v>
      </c>
      <c r="B18599" s="0" t="s">
        <v>98</v>
      </c>
      <c r="D18599" s="6" t="n">
        <f aca="false">Sens!D18591+Sens!D18598</f>
        <v>281.724</v>
      </c>
      <c r="E18599" s="6" t="n">
        <f aca="false">Sens!E18591+Sens!E18598</f>
        <v>331.839</v>
      </c>
      <c r="F18599" s="6" t="n">
        <f aca="false">Sens!F18591+Sens!F18598</f>
        <v>394.758783684532</v>
      </c>
      <c r="G18599" s="6" t="n">
        <f aca="false">Sens!G18591+Sens!G18598</f>
        <v>472.195343246714</v>
      </c>
      <c r="H18599" s="6" t="n">
        <f aca="false">Sens!H18591+Sens!H18598</f>
        <v>551.429437551248</v>
      </c>
      <c r="I18599" s="6" t="n">
        <f aca="false">Sens!I18591+Sens!I18598</f>
        <v>624.171738042437</v>
      </c>
      <c r="J18599" s="6" t="n">
        <f aca="false">Sens!J18591+Sens!J18598</f>
        <v>683.710457463581</v>
      </c>
      <c r="K18599" s="6" t="n">
        <f aca="false">Sens!K18591+Sens!K18598</f>
        <v>731.503455211851</v>
      </c>
    </row>
    <row r="18600" customFormat="false" ht="15" hidden="false" customHeight="false" outlineLevel="0" collapsed="false">
      <c r="A18600" s="26" t="s">
        <v>1045</v>
      </c>
      <c r="B18600" s="31" t="s">
        <v>98</v>
      </c>
      <c r="C18600" s="31"/>
      <c r="D18600" s="27" t="n">
        <f aca="false">(Sens!D18579+Sens!D18584+Sens!D18585+Sens!D18587+Sens!D18589-Sens!D18591)+(Sens!D18592+Sens!D18594+Sens!D18596-Sens!D18598)+(Sens!D18591-Q!L5)+(Sens!D18598-Q!L12)+(Sens!D18579-Q!L6)+(Sens!D18584-Q!L7)</f>
        <v>0</v>
      </c>
      <c r="E18600" s="27" t="n">
        <f aca="false">(Sens!E18579+Sens!E18584+Sens!E18585+Sens!E18587+Sens!E18589-Sens!E18591)+(Sens!E18592+Sens!E18594+Sens!E18596-Sens!E18598)+(Sens!E18591-Q!M5)+(Sens!E18598-Q!M12)+(Sens!E18579-Q!M6)+(Sens!E18584-Q!M7)</f>
        <v>0</v>
      </c>
      <c r="F18600" s="27" t="n">
        <f aca="false">(Sens!F18579+Sens!F18584+Sens!F18585+Sens!F18587+Sens!F18589-Sens!F18591)+(Sens!F18592+Sens!F18594+Sens!F18596-Sens!F18598)</f>
        <v>0</v>
      </c>
      <c r="G18600" s="27" t="n">
        <f aca="false">(Sens!G18579+Sens!G18584+Sens!G18585+Sens!G18587+Sens!G18589-Sens!G18591)+(Sens!G18592+Sens!G18594+Sens!G18596-Sens!G18598)</f>
        <v>0</v>
      </c>
      <c r="H18600" s="27" t="n">
        <f aca="false">(Sens!H18579+Sens!H18584+Sens!H18585+Sens!H18587+Sens!H18589-Sens!H18591)+(Sens!H18592+Sens!H18594+Sens!H18596-Sens!H18598)</f>
        <v>0</v>
      </c>
      <c r="I18600" s="27" t="n">
        <f aca="false">(Sens!I18579+Sens!I18584+Sens!I18585+Sens!I18587+Sens!I18589-Sens!I18591)+(Sens!I18592+Sens!I18594+Sens!I18596-Sens!I18598)</f>
        <v>0</v>
      </c>
      <c r="J18600" s="27" t="n">
        <f aca="false">(Sens!J18579+Sens!J18584+Sens!J18585+Sens!J18587+Sens!J18589-Sens!J18591)+(Sens!J18592+Sens!J18594+Sens!J18596-Sens!J18598)</f>
        <v>0</v>
      </c>
      <c r="K18600" s="27" t="n">
        <f aca="false">(Sens!K18579+Sens!K18584+Sens!K18585+Sens!K18587+Sens!K18589-Sens!K18591)+(Sens!K18592+Sens!K18594+Sens!K18596-Sens!K18598)</f>
        <v>0</v>
      </c>
    </row>
    <row r="18601" customFormat="false" ht="17.15" hidden="false" customHeight="false" outlineLevel="0" collapsed="false">
      <c r="A18601" s="3" t="s">
        <v>2071</v>
      </c>
    </row>
    <row r="18602" customFormat="false" ht="15" hidden="false" customHeight="false" outlineLevel="0" collapsed="false">
      <c r="A18602" s="4" t="s">
        <v>43</v>
      </c>
      <c r="B18602" s="4" t="s">
        <v>65</v>
      </c>
      <c r="C18602" s="23" t="s">
        <v>942</v>
      </c>
      <c r="D18602" s="23" t="s">
        <v>943</v>
      </c>
      <c r="E18602" s="23" t="s">
        <v>944</v>
      </c>
      <c r="F18602" s="23" t="s">
        <v>945</v>
      </c>
      <c r="G18602" s="23" t="s">
        <v>946</v>
      </c>
      <c r="H18602" s="23" t="s">
        <v>947</v>
      </c>
      <c r="I18602" s="23" t="s">
        <v>948</v>
      </c>
      <c r="J18602" s="23" t="s">
        <v>949</v>
      </c>
      <c r="K18602" s="23" t="s">
        <v>950</v>
      </c>
      <c r="L18602" s="4" t="s">
        <v>47</v>
      </c>
    </row>
    <row r="18603" customFormat="false" ht="15" hidden="false" customHeight="false" outlineLevel="0" collapsed="false">
      <c r="A18603" s="0" t="s">
        <v>1029</v>
      </c>
      <c r="B18603" s="0" t="s">
        <v>98</v>
      </c>
      <c r="D18603" s="6" t="n">
        <f aca="false">Sens!D18579</f>
        <v>72.61</v>
      </c>
      <c r="E18603" s="6" t="n">
        <f aca="false">Sens!E18579</f>
        <v>101.938</v>
      </c>
      <c r="F18603" s="6" t="n">
        <f aca="false">Sens!F18579</f>
        <v>146.709048000181</v>
      </c>
      <c r="G18603" s="6" t="n">
        <f aca="false">Sens!G18579</f>
        <v>199.762829861393</v>
      </c>
      <c r="H18603" s="6" t="n">
        <f aca="false">Sens!H18579</f>
        <v>254.146566109645</v>
      </c>
      <c r="I18603" s="6" t="n">
        <f aca="false">Sens!I18579</f>
        <v>303.439446964617</v>
      </c>
      <c r="J18603" s="6" t="n">
        <f aca="false">Sens!J18579</f>
        <v>341.309898459739</v>
      </c>
      <c r="K18603" s="6" t="n">
        <f aca="false">Sens!K18579</f>
        <v>368.09747789654</v>
      </c>
    </row>
    <row r="18604" customFormat="false" ht="17.15" hidden="false" customHeight="false" outlineLevel="0" collapsed="false">
      <c r="A18604" s="0" t="s">
        <v>1025</v>
      </c>
      <c r="B18604" s="0" t="s">
        <v>98</v>
      </c>
      <c r="D18604" s="6" t="n">
        <f aca="false">Sens!D18576</f>
        <v>12.9359794422418</v>
      </c>
      <c r="E18604" s="6" t="n">
        <f aca="false">Sens!E18576</f>
        <v>27.8095064661409</v>
      </c>
      <c r="F18604" s="6" t="n">
        <f aca="false">Sens!F18576</f>
        <v>55.4118315060966</v>
      </c>
      <c r="G18604" s="6" t="n">
        <f aca="false">Sens!G18576</f>
        <v>91.2881100675143</v>
      </c>
      <c r="H18604" s="6" t="n">
        <f aca="false">Sens!H18576</f>
        <v>128.195273603944</v>
      </c>
      <c r="I18604" s="6" t="n">
        <f aca="false">Sens!I18576</f>
        <v>160.601281810405</v>
      </c>
      <c r="J18604" s="6" t="n">
        <f aca="false">Sens!J18576</f>
        <v>183.182719793589</v>
      </c>
      <c r="K18604" s="6" t="n">
        <f aca="false">Sens!K18576</f>
        <v>197.320124937098</v>
      </c>
    </row>
    <row r="18605" customFormat="false" ht="17.15" hidden="false" customHeight="false" outlineLevel="0" collapsed="false">
      <c r="A18605" s="0" t="s">
        <v>1056</v>
      </c>
      <c r="B18605" s="0" t="s">
        <v>98</v>
      </c>
      <c r="D18605" s="6" t="n">
        <f aca="false">Sens!D18577</f>
        <v>59.6740205577583</v>
      </c>
      <c r="E18605" s="6" t="n">
        <f aca="false">Sens!E18577</f>
        <v>74.1284935338591</v>
      </c>
      <c r="F18605" s="6" t="n">
        <f aca="false">Sens!F18577</f>
        <v>91.2972164940844</v>
      </c>
      <c r="G18605" s="6" t="n">
        <f aca="false">Sens!G18577</f>
        <v>108.474719793879</v>
      </c>
      <c r="H18605" s="6" t="n">
        <f aca="false">Sens!H18577</f>
        <v>125.951292505701</v>
      </c>
      <c r="I18605" s="6" t="n">
        <f aca="false">Sens!I18577</f>
        <v>142.838165154212</v>
      </c>
      <c r="J18605" s="6" t="n">
        <f aca="false">Sens!J18577</f>
        <v>158.12717866615</v>
      </c>
      <c r="K18605" s="6" t="n">
        <f aca="false">Sens!K18577</f>
        <v>170.777352959442</v>
      </c>
    </row>
    <row r="18606" customFormat="false" ht="15" hidden="false" customHeight="false" outlineLevel="0" collapsed="false">
      <c r="A18606" s="0" t="s">
        <v>1036</v>
      </c>
      <c r="B18606" s="0" t="s">
        <v>98</v>
      </c>
      <c r="D18606" s="6" t="n">
        <f aca="false">Sens!D18584</f>
        <v>84.605</v>
      </c>
      <c r="E18606" s="6" t="n">
        <f aca="false">Sens!E18584</f>
        <v>100.299</v>
      </c>
      <c r="F18606" s="6" t="n">
        <f aca="false">Sens!F18584</f>
        <v>118.584003697747</v>
      </c>
      <c r="G18606" s="6" t="n">
        <f aca="false">Sens!G18584</f>
        <v>136.700726545688</v>
      </c>
      <c r="H18606" s="6" t="n">
        <f aca="false">Sens!H18584</f>
        <v>154.898624783666</v>
      </c>
      <c r="I18606" s="6" t="n">
        <f aca="false">Sens!I18584</f>
        <v>171.420510030657</v>
      </c>
      <c r="J18606" s="6" t="n">
        <f aca="false">Sens!J18584</f>
        <v>185.985722618572</v>
      </c>
      <c r="K18606" s="6" t="n">
        <f aca="false">Sens!K18584</f>
        <v>199.799723201872</v>
      </c>
    </row>
    <row r="18607" customFormat="false" ht="17.15" hidden="false" customHeight="false" outlineLevel="0" collapsed="false">
      <c r="A18607" s="0" t="s">
        <v>1057</v>
      </c>
      <c r="B18607" s="0" t="s">
        <v>98</v>
      </c>
      <c r="D18607" s="6" t="n">
        <f aca="false">Sens!D18582</f>
        <v>83.705</v>
      </c>
      <c r="E18607" s="6" t="n">
        <f aca="false">Sens!E18582</f>
        <v>95.049</v>
      </c>
      <c r="F18607" s="6" t="n">
        <f aca="false">Sens!F18582</f>
        <v>106.584003697747</v>
      </c>
      <c r="G18607" s="6" t="n">
        <f aca="false">Sens!G18582</f>
        <v>118.700726545688</v>
      </c>
      <c r="H18607" s="6" t="n">
        <f aca="false">Sens!H18582</f>
        <v>130.898624783666</v>
      </c>
      <c r="I18607" s="6" t="n">
        <f aca="false">Sens!I18582</f>
        <v>142.920510030657</v>
      </c>
      <c r="J18607" s="6" t="n">
        <f aca="false">Sens!J18582</f>
        <v>154.485722618572</v>
      </c>
      <c r="K18607" s="6" t="n">
        <f aca="false">Sens!K18582</f>
        <v>165.299723201872</v>
      </c>
    </row>
    <row r="18608" customFormat="false" ht="17.15" hidden="false" customHeight="false" outlineLevel="0" collapsed="false">
      <c r="A18608" s="0" t="s">
        <v>1058</v>
      </c>
      <c r="B18608" s="0" t="s">
        <v>98</v>
      </c>
      <c r="D18608" s="6" t="n">
        <f aca="false">Sens!D18581</f>
        <v>0.9</v>
      </c>
      <c r="E18608" s="6" t="n">
        <f aca="false">Sens!E18581</f>
        <v>5.25</v>
      </c>
      <c r="F18608" s="6" t="n">
        <f aca="false">Sens!F18581</f>
        <v>12</v>
      </c>
      <c r="G18608" s="6" t="n">
        <f aca="false">Sens!G18581</f>
        <v>18</v>
      </c>
      <c r="H18608" s="6" t="n">
        <f aca="false">Sens!H18581</f>
        <v>24</v>
      </c>
      <c r="I18608" s="6" t="n">
        <f aca="false">Sens!I18581</f>
        <v>28.5</v>
      </c>
      <c r="J18608" s="6" t="n">
        <f aca="false">Sens!J18581</f>
        <v>31.5</v>
      </c>
      <c r="K18608" s="6" t="n">
        <f aca="false">Sens!K18581</f>
        <v>34.5</v>
      </c>
    </row>
    <row r="18609" customFormat="false" ht="15" hidden="false" customHeight="false" outlineLevel="0" collapsed="false">
      <c r="A18609" s="0" t="s">
        <v>1037</v>
      </c>
      <c r="B18609" s="0" t="s">
        <v>98</v>
      </c>
      <c r="D18609" s="6" t="n">
        <f aca="false">Sens!D18585</f>
        <v>35.391</v>
      </c>
      <c r="E18609" s="6" t="n">
        <f aca="false">Sens!E18585</f>
        <v>37.285</v>
      </c>
      <c r="F18609" s="6" t="n">
        <f aca="false">Sens!F18585</f>
        <v>38.3851437782675</v>
      </c>
      <c r="G18609" s="6" t="n">
        <f aca="false">Sens!G18585</f>
        <v>40.0105353288615</v>
      </c>
      <c r="H18609" s="6" t="n">
        <f aca="false">Sens!H18585</f>
        <v>41.4812512033683</v>
      </c>
      <c r="I18609" s="6" t="n">
        <f aca="false">Sens!I18585</f>
        <v>42.7743107216329</v>
      </c>
      <c r="J18609" s="6" t="n">
        <f aca="false">Sens!J18585</f>
        <v>43.8687373064601</v>
      </c>
      <c r="K18609" s="6" t="n">
        <f aca="false">Sens!K18585</f>
        <v>44.7461120525893</v>
      </c>
    </row>
    <row r="18610" customFormat="false" ht="15" hidden="false" customHeight="false" outlineLevel="0" collapsed="false">
      <c r="A18610" s="0" t="s">
        <v>1039</v>
      </c>
      <c r="B18610" s="0" t="s">
        <v>98</v>
      </c>
      <c r="D18610" s="6" t="n">
        <f aca="false">Sens!D18587</f>
        <v>18.417</v>
      </c>
      <c r="E18610" s="6" t="n">
        <f aca="false">Sens!E18587</f>
        <v>20.345</v>
      </c>
      <c r="F18610" s="6" t="n">
        <f aca="false">Sens!F18587</f>
        <v>22.3161797133988</v>
      </c>
      <c r="G18610" s="6" t="n">
        <f aca="false">Sens!G18587</f>
        <v>24.3943499673233</v>
      </c>
      <c r="H18610" s="6" t="n">
        <f aca="false">Sens!H18587</f>
        <v>26.5250243109019</v>
      </c>
      <c r="I18610" s="6" t="n">
        <f aca="false">Sens!I18587</f>
        <v>28.6884573538181</v>
      </c>
      <c r="J18610" s="6" t="n">
        <f aca="false">Sens!J18587</f>
        <v>30.8624968052127</v>
      </c>
      <c r="K18610" s="6" t="n">
        <f aca="false">Sens!K18587</f>
        <v>33.0228715815776</v>
      </c>
    </row>
    <row r="18611" customFormat="false" ht="15" hidden="false" customHeight="false" outlineLevel="0" collapsed="false">
      <c r="A18611" s="0" t="s">
        <v>1040</v>
      </c>
      <c r="B18611" s="0" t="s">
        <v>98</v>
      </c>
      <c r="D18611" s="6" t="n">
        <f aca="false">Sens!D18589</f>
        <v>7.76</v>
      </c>
      <c r="E18611" s="6" t="n">
        <f aca="false">Sens!E18589</f>
        <v>8.26</v>
      </c>
      <c r="F18611" s="6" t="n">
        <f aca="false">Sens!F18589</f>
        <v>8.75372082474227</v>
      </c>
      <c r="G18611" s="6" t="n">
        <f aca="false">Sens!G18589</f>
        <v>9.33399324642364</v>
      </c>
      <c r="H18611" s="6" t="n">
        <f aca="false">Sens!H18589</f>
        <v>9.96139155535851</v>
      </c>
      <c r="I18611" s="6" t="n">
        <f aca="false">Sens!I18589</f>
        <v>10.6402039077391</v>
      </c>
      <c r="J18611" s="6" t="n">
        <f aca="false">Sens!J18589</f>
        <v>11.3751458271397</v>
      </c>
      <c r="K18611" s="6" t="n">
        <f aca="false">Sens!K18589</f>
        <v>12.1714060350394</v>
      </c>
    </row>
    <row r="18612" customFormat="false" ht="15" hidden="false" customHeight="false" outlineLevel="0" collapsed="false">
      <c r="A18612" s="0" t="s">
        <v>856</v>
      </c>
      <c r="B18612" s="0" t="s">
        <v>98</v>
      </c>
      <c r="D18612" s="6" t="n">
        <f aca="false">Sens!D18591</f>
        <v>218.783</v>
      </c>
      <c r="E18612" s="6" t="n">
        <f aca="false">Sens!E18591</f>
        <v>268.127</v>
      </c>
      <c r="F18612" s="6" t="n">
        <f aca="false">Sens!F18591</f>
        <v>334.748096014336</v>
      </c>
      <c r="G18612" s="6" t="n">
        <f aca="false">Sens!G18591</f>
        <v>410.20243494969</v>
      </c>
      <c r="H18612" s="6" t="n">
        <f aca="false">Sens!H18591</f>
        <v>487.012857962939</v>
      </c>
      <c r="I18612" s="6" t="n">
        <f aca="false">Sens!I18591</f>
        <v>556.962928978464</v>
      </c>
      <c r="J18612" s="6" t="n">
        <f aca="false">Sens!J18591</f>
        <v>613.402001017124</v>
      </c>
      <c r="K18612" s="6" t="n">
        <f aca="false">Sens!K18591</f>
        <v>657.837590767618</v>
      </c>
    </row>
    <row r="18613" customFormat="false" ht="15" hidden="false" customHeight="false" outlineLevel="0" collapsed="false">
      <c r="A18613" s="0" t="s">
        <v>1041</v>
      </c>
      <c r="B18613" s="0" t="s">
        <v>98</v>
      </c>
      <c r="D18613" s="6" t="n">
        <f aca="false">Sens!D18592</f>
        <v>22.171</v>
      </c>
      <c r="E18613" s="6" t="n">
        <f aca="false">Sens!E18592</f>
        <v>24.835</v>
      </c>
      <c r="F18613" s="6" t="n">
        <f aca="false">Sens!F18592</f>
        <v>27.5591895660247</v>
      </c>
      <c r="G18613" s="6" t="n">
        <f aca="false">Sens!G18592</f>
        <v>30.4098563144583</v>
      </c>
      <c r="H18613" s="6" t="n">
        <f aca="false">Sens!H18592</f>
        <v>33.3011792571777</v>
      </c>
      <c r="I18613" s="6" t="n">
        <f aca="false">Sens!I18592</f>
        <v>36.189023797112</v>
      </c>
      <c r="J18613" s="6" t="n">
        <f aca="false">Sens!J18592</f>
        <v>39.0247773769199</v>
      </c>
      <c r="K18613" s="6" t="n">
        <f aca="false">Sens!K18592</f>
        <v>41.7565117933043</v>
      </c>
    </row>
    <row r="18614" customFormat="false" ht="15" hidden="false" customHeight="false" outlineLevel="0" collapsed="false">
      <c r="A18614" s="0" t="s">
        <v>1042</v>
      </c>
      <c r="B18614" s="0" t="s">
        <v>98</v>
      </c>
      <c r="D18614" s="6" t="n">
        <f aca="false">Sens!D18594</f>
        <v>23.455</v>
      </c>
      <c r="E18614" s="6" t="n">
        <f aca="false">Sens!E18594</f>
        <v>21.79</v>
      </c>
      <c r="F18614" s="6" t="n">
        <f aca="false">Sens!F18594</f>
        <v>20.7520981041711</v>
      </c>
      <c r="G18614" s="6" t="n">
        <f aca="false">Sens!G18594</f>
        <v>19.9083593495882</v>
      </c>
      <c r="H18614" s="6" t="n">
        <f aca="false">Sens!H18594</f>
        <v>19.4008256265831</v>
      </c>
      <c r="I18614" s="6" t="n">
        <f aca="false">Sens!I18594</f>
        <v>19.200434522122</v>
      </c>
      <c r="J18614" s="6" t="n">
        <f aca="false">Sens!J18594</f>
        <v>19.2932782348507</v>
      </c>
      <c r="K18614" s="6" t="n">
        <f aca="false">Sens!K18594</f>
        <v>19.6791437995477</v>
      </c>
    </row>
    <row r="18615" customFormat="false" ht="15" hidden="false" customHeight="false" outlineLevel="0" collapsed="false">
      <c r="A18615" s="0" t="s">
        <v>1043</v>
      </c>
      <c r="B18615" s="0" t="s">
        <v>98</v>
      </c>
      <c r="D18615" s="6" t="n">
        <f aca="false">Sens!D18596</f>
        <v>17.315</v>
      </c>
      <c r="E18615" s="6" t="n">
        <f aca="false">Sens!E18596</f>
        <v>17.087</v>
      </c>
      <c r="F18615" s="6" t="n">
        <f aca="false">Sens!F18596</f>
        <v>11.6994</v>
      </c>
      <c r="G18615" s="6" t="n">
        <f aca="false">Sens!G18596</f>
        <v>11.6746926329772</v>
      </c>
      <c r="H18615" s="6" t="n">
        <f aca="false">Sens!H18596</f>
        <v>11.7145747045475</v>
      </c>
      <c r="I18615" s="6" t="n">
        <f aca="false">Sens!I18596</f>
        <v>11.8193507447388</v>
      </c>
      <c r="J18615" s="6" t="n">
        <f aca="false">Sens!J18596</f>
        <v>11.9904008346869</v>
      </c>
      <c r="K18615" s="6" t="n">
        <f aca="false">Sens!K18596</f>
        <v>12.2302088513807</v>
      </c>
    </row>
    <row r="18616" customFormat="false" ht="15" hidden="false" customHeight="false" outlineLevel="0" collapsed="false">
      <c r="A18616" s="0" t="s">
        <v>870</v>
      </c>
      <c r="B18616" s="0" t="s">
        <v>98</v>
      </c>
      <c r="D18616" s="6" t="n">
        <f aca="false">Sens!D18598</f>
        <v>62.941</v>
      </c>
      <c r="E18616" s="6" t="n">
        <f aca="false">Sens!E18598</f>
        <v>63.712</v>
      </c>
      <c r="F18616" s="6" t="n">
        <f aca="false">Sens!F18598</f>
        <v>60.0106876701958</v>
      </c>
      <c r="G18616" s="6" t="n">
        <f aca="false">Sens!G18598</f>
        <v>61.9929082970237</v>
      </c>
      <c r="H18616" s="6" t="n">
        <f aca="false">Sens!H18598</f>
        <v>64.4165795883084</v>
      </c>
      <c r="I18616" s="6" t="n">
        <f aca="false">Sens!I18598</f>
        <v>67.2088090639728</v>
      </c>
      <c r="J18616" s="6" t="n">
        <f aca="false">Sens!J18598</f>
        <v>70.3084564464575</v>
      </c>
      <c r="K18616" s="6" t="n">
        <f aca="false">Sens!K18598</f>
        <v>73.6658644442326</v>
      </c>
    </row>
    <row r="18617" customFormat="false" ht="15" hidden="false" customHeight="false" outlineLevel="0" collapsed="false">
      <c r="A18617" s="1" t="s">
        <v>1059</v>
      </c>
      <c r="B18617" s="0" t="s">
        <v>98</v>
      </c>
      <c r="D18617" s="6" t="n">
        <f aca="false">Sens!D18599</f>
        <v>281.724</v>
      </c>
      <c r="E18617" s="6" t="n">
        <f aca="false">Sens!E18599</f>
        <v>331.839</v>
      </c>
      <c r="F18617" s="6" t="n">
        <f aca="false">Sens!F18599</f>
        <v>394.758783684532</v>
      </c>
      <c r="G18617" s="6" t="n">
        <f aca="false">Sens!G18599</f>
        <v>472.195343246714</v>
      </c>
      <c r="H18617" s="6" t="n">
        <f aca="false">Sens!H18599</f>
        <v>551.429437551248</v>
      </c>
      <c r="I18617" s="6" t="n">
        <f aca="false">Sens!I18599</f>
        <v>624.171738042437</v>
      </c>
      <c r="J18617" s="6" t="n">
        <f aca="false">Sens!J18599</f>
        <v>683.710457463581</v>
      </c>
      <c r="K18617" s="6" t="n">
        <f aca="false">Sens!K18599</f>
        <v>731.503455211851</v>
      </c>
    </row>
    <row r="18618" customFormat="false" ht="15" hidden="false" customHeight="false" outlineLevel="0" collapsed="false">
      <c r="A18618" s="1" t="s">
        <v>1060</v>
      </c>
      <c r="B18618" s="0" t="s">
        <v>168</v>
      </c>
      <c r="E18618" s="7" t="n">
        <f aca="false">Sens!E18617/Sens!D18617-1</f>
        <v>0.177886867998467</v>
      </c>
      <c r="F18618" s="7" t="n">
        <f aca="false">Sens!F18617/Sens!E18617-1</f>
        <v>0.189609369858673</v>
      </c>
      <c r="G18618" s="7" t="n">
        <f aca="false">Sens!G18617/Sens!F18617-1</f>
        <v>0.196161713843115</v>
      </c>
      <c r="H18618" s="7" t="n">
        <f aca="false">Sens!H18617/Sens!G18617-1</f>
        <v>0.167799397935053</v>
      </c>
      <c r="I18618" s="7" t="n">
        <f aca="false">Sens!I18617/Sens!H18617-1</f>
        <v>0.131915881774862</v>
      </c>
      <c r="J18618" s="7" t="n">
        <f aca="false">Sens!J18617/Sens!I18617-1</f>
        <v>0.095388361555544</v>
      </c>
      <c r="K18618" s="7" t="n">
        <f aca="false">Sens!K18617/Sens!J18617-1</f>
        <v>0.0699023939542647</v>
      </c>
    </row>
    <row r="18619" customFormat="false" ht="17.15" hidden="false" customHeight="false" outlineLevel="0" collapsed="false">
      <c r="A18619" s="26" t="s">
        <v>1061</v>
      </c>
      <c r="B18619" s="31" t="s">
        <v>98</v>
      </c>
      <c r="C18619" s="31"/>
      <c r="D18619" s="27" t="n">
        <f aca="false">(Sens!D18612+Sens!D18616-Sens!D18617)+(Sens!D18604+Sens!D18605-Sens!D18603)+(Sens!D18607+Sens!D18608-Sens!D18606)+(Sens!D18617-Q!L18)</f>
        <v>0</v>
      </c>
      <c r="E18619" s="27" t="n">
        <f aca="false">(Sens!E18612+Sens!E18616-Sens!E18617)+(Sens!E18604+Sens!E18605-Sens!E18603)+(Sens!E18607+Sens!E18608-Sens!E18606)+(Sens!E18617-Q!M18)</f>
        <v>0</v>
      </c>
      <c r="F18619" s="27" t="n">
        <f aca="false">(Sens!F18612+Sens!F18616-Sens!F18617)+(Sens!F18604+Sens!F18605-Sens!F18603)+(Sens!F18607+Sens!F18608-Sens!F18606)</f>
        <v>0</v>
      </c>
      <c r="G18619" s="27" t="n">
        <f aca="false">(Sens!G18612+Sens!G18616-Sens!G18617)+(Sens!G18604+Sens!G18605-Sens!G18603)+(Sens!G18607+Sens!G18608-Sens!G18606)</f>
        <v>0</v>
      </c>
      <c r="H18619" s="27" t="n">
        <f aca="false">(Sens!H18612+Sens!H18616-Sens!H18617)+(Sens!H18604+Sens!H18605-Sens!H18603)+(Sens!H18607+Sens!H18608-Sens!H18606)</f>
        <v>0</v>
      </c>
      <c r="I18619" s="27" t="n">
        <f aca="false">(Sens!I18612+Sens!I18616-Sens!I18617)+(Sens!I18604+Sens!I18605-Sens!I18603)+(Sens!I18607+Sens!I18608-Sens!I18606)</f>
        <v>0</v>
      </c>
      <c r="J18619" s="27" t="n">
        <f aca="false">(Sens!J18612+Sens!J18616-Sens!J18617)+(Sens!J18604+Sens!J18605-Sens!J18603)+(Sens!J18607+Sens!J18608-Sens!J18606)</f>
        <v>0</v>
      </c>
      <c r="K18619" s="27" t="n">
        <f aca="false">(Sens!K18612+Sens!K18616-Sens!K18617)+(Sens!K18604+Sens!K18605-Sens!K18603)+(Sens!K18607+Sens!K18608-Sens!K18606)</f>
        <v>0</v>
      </c>
    </row>
    <row r="18620" customFormat="false" ht="17.15" hidden="false" customHeight="false" outlineLevel="0" collapsed="false">
      <c r="A18620" s="0" t="s">
        <v>1062</v>
      </c>
      <c r="B18620" s="0" t="s">
        <v>168</v>
      </c>
      <c r="E18620" s="7" t="n">
        <f aca="false">(Q!M21+Sens!E18556+Sens!E18557+Sens!E18558+Sens!E18572-Sens!E18554)/(Q!M5-Sens!E18554)</f>
        <v>0.570957350878296</v>
      </c>
      <c r="F18620" s="7" t="n">
        <f aca="false">Sens!$E$18620+dm_seg</f>
        <v>0.570957350878296</v>
      </c>
      <c r="G18620" s="7" t="n">
        <f aca="false">Sens!$E$18620+dm_seg</f>
        <v>0.570957350878296</v>
      </c>
      <c r="H18620" s="7" t="n">
        <f aca="false">Sens!$E$18620+dm_seg</f>
        <v>0.570957350878296</v>
      </c>
      <c r="I18620" s="7" t="n">
        <f aca="false">Sens!$E$18620+dm_seg</f>
        <v>0.570957350878296</v>
      </c>
      <c r="J18620" s="7" t="n">
        <f aca="false">Sens!$E$18620+dm_seg</f>
        <v>0.570957350878296</v>
      </c>
      <c r="K18620" s="7" t="n">
        <f aca="false">Sens!$E$18620+dm_seg</f>
        <v>0.570957350878296</v>
      </c>
      <c r="L18620" s="12" t="s">
        <v>1063</v>
      </c>
    </row>
    <row r="18621" customFormat="false" ht="17.15" hidden="false" customHeight="false" outlineLevel="0" collapsed="false">
      <c r="A18621" s="0" t="s">
        <v>884</v>
      </c>
      <c r="B18621" s="0" t="s">
        <v>98</v>
      </c>
      <c r="D18621" s="6" t="n">
        <f aca="false">Q!L21</f>
        <v>110.814</v>
      </c>
      <c r="E18621" s="6" t="n">
        <f aca="false">Q!M21</f>
        <v>136.365</v>
      </c>
      <c r="F18621" s="6" t="n">
        <f aca="false">Q!$I$21+(Sens!F18620*(Sens!F18591-Sens!F18554)+Sens!F18554-(Sens!F18556+Sens!F18557+Sens!F18558)-Sens!F18572-Sens!F18655)*(Sens!F18591-Q!$I$5)/Sens!F18591</f>
        <v>162.079965456779</v>
      </c>
      <c r="G18621" s="6" t="n">
        <f aca="false">(Sens!G18620*(Sens!G18591-Sens!G18554)+Sens!G18554-(Sens!G18556+Sens!G18557+Sens!G18558)-Sens!G18572-Sens!G18655)</f>
        <v>177.557315271616</v>
      </c>
      <c r="H18621" s="6" t="n">
        <f aca="false">(Sens!H18620*(Sens!H18591-Sens!H18554)+Sens!H18554-(Sens!H18556+Sens!H18557+Sens!H18558)-Sens!H18572-Sens!H18655)</f>
        <v>196.753256877719</v>
      </c>
      <c r="I18621" s="6" t="n">
        <f aca="false">(Sens!I18620*(Sens!I18591-Sens!I18554)+Sens!I18554-(Sens!I18556+Sens!I18557+Sens!I18558)-Sens!I18572-Sens!I18655)</f>
        <v>214.966196927727</v>
      </c>
      <c r="J18621" s="6" t="n">
        <f aca="false">(Sens!J18620*(Sens!J18591-Sens!J18554)+Sens!J18554-(Sens!J18556+Sens!J18557+Sens!J18558)-Sens!J18572-Sens!J18655)</f>
        <v>231.948628915964</v>
      </c>
      <c r="K18621" s="6" t="n">
        <f aca="false">(Sens!K18620*(Sens!K18591-Sens!K18554)+Sens!K18554-(Sens!K18556+Sens!K18557+Sens!K18558)-Sens!K18572-Sens!K18655)</f>
        <v>248.332143445807</v>
      </c>
      <c r="L18621" s="1" t="s">
        <v>1064</v>
      </c>
    </row>
    <row r="18622" customFormat="false" ht="17.15" hidden="false" customHeight="false" outlineLevel="0" collapsed="false">
      <c r="A18622" s="0" t="s">
        <v>1065</v>
      </c>
      <c r="B18622" s="0" t="s">
        <v>168</v>
      </c>
      <c r="E18622" s="7" t="n">
        <f aca="false">Q!M22/Q!M12</f>
        <v>0.296207935710698</v>
      </c>
      <c r="F18622" s="7" t="n">
        <f aca="false">Sens!$E$18622+dm_seg</f>
        <v>0.296207935710698</v>
      </c>
      <c r="G18622" s="7" t="n">
        <f aca="false">Sens!$E$18622+dm_seg</f>
        <v>0.296207935710698</v>
      </c>
      <c r="H18622" s="7" t="n">
        <f aca="false">Sens!$E$18622+dm_seg</f>
        <v>0.296207935710698</v>
      </c>
      <c r="I18622" s="7" t="n">
        <f aca="false">Sens!$E$18622+dm_seg</f>
        <v>0.296207935710698</v>
      </c>
      <c r="J18622" s="7" t="n">
        <f aca="false">Sens!$E$18622+dm_seg</f>
        <v>0.296207935710698</v>
      </c>
      <c r="K18622" s="7" t="n">
        <f aca="false">Sens!$E$18622+dm_seg</f>
        <v>0.296207935710698</v>
      </c>
      <c r="L18622" s="12" t="s">
        <v>1066</v>
      </c>
    </row>
    <row r="18623" customFormat="false" ht="17.15" hidden="false" customHeight="false" outlineLevel="0" collapsed="false">
      <c r="A18623" s="0" t="s">
        <v>886</v>
      </c>
      <c r="B18623" s="0" t="s">
        <v>98</v>
      </c>
      <c r="D18623" s="6" t="n">
        <f aca="false">Q!L22</f>
        <v>17.714</v>
      </c>
      <c r="E18623" s="6" t="n">
        <f aca="false">Q!M22</f>
        <v>18.872</v>
      </c>
      <c r="F18623" s="6" t="n">
        <f aca="false">Q!$I$22+(Sens!F18598-Q!$I$12)*Sens!F18622</f>
        <v>18.5461582388237</v>
      </c>
      <c r="G18623" s="6" t="n">
        <f aca="false">Sens!G18598*Sens!G18622</f>
        <v>18.362791395364</v>
      </c>
      <c r="H18623" s="6" t="n">
        <f aca="false">Sens!H18598*Sens!H18622</f>
        <v>19.0807020653967</v>
      </c>
      <c r="I18623" s="6" t="n">
        <f aca="false">Sens!I18598*Sens!I18622</f>
        <v>19.9077825944138</v>
      </c>
      <c r="J18623" s="6" t="n">
        <f aca="false">Sens!J18598*Sens!J18622</f>
        <v>20.8259227470107</v>
      </c>
      <c r="K18623" s="6" t="n">
        <f aca="false">Sens!K18598*Sens!K18622</f>
        <v>21.8204136393703</v>
      </c>
      <c r="L18623" s="12" t="s">
        <v>1067</v>
      </c>
    </row>
    <row r="18624" customFormat="false" ht="15" hidden="false" customHeight="false" outlineLevel="0" collapsed="false">
      <c r="A18624" s="1" t="s">
        <v>1068</v>
      </c>
      <c r="B18624" s="0" t="s">
        <v>98</v>
      </c>
      <c r="D18624" s="6" t="n">
        <f aca="false">Sens!D18621+Sens!D18623</f>
        <v>128.528</v>
      </c>
      <c r="E18624" s="6" t="n">
        <f aca="false">Sens!E18621+Sens!E18623</f>
        <v>155.237</v>
      </c>
      <c r="F18624" s="6" t="n">
        <f aca="false">Sens!F18621+Sens!F18623</f>
        <v>180.626123695603</v>
      </c>
      <c r="G18624" s="6" t="n">
        <f aca="false">Sens!G18621+Sens!G18623</f>
        <v>195.92010666698</v>
      </c>
      <c r="H18624" s="6" t="n">
        <f aca="false">Sens!H18621+Sens!H18623</f>
        <v>215.833958943116</v>
      </c>
      <c r="I18624" s="6" t="n">
        <f aca="false">Sens!I18621+Sens!I18623</f>
        <v>234.873979522141</v>
      </c>
      <c r="J18624" s="6" t="n">
        <f aca="false">Sens!J18621+Sens!J18623</f>
        <v>252.774551662975</v>
      </c>
      <c r="K18624" s="6" t="n">
        <f aca="false">Sens!K18621+Sens!K18623</f>
        <v>270.152557085177</v>
      </c>
    </row>
    <row r="18625" customFormat="false" ht="15" hidden="false" customHeight="false" outlineLevel="0" collapsed="false">
      <c r="A18625" s="26" t="s">
        <v>1069</v>
      </c>
      <c r="B18625" s="31" t="s">
        <v>98</v>
      </c>
      <c r="C18625" s="31"/>
      <c r="D18625" s="27" t="n">
        <f aca="false">Sens!D18624-Q!L23</f>
        <v>0</v>
      </c>
      <c r="E18625" s="27" t="n">
        <f aca="false">Sens!E18624-Q!M23</f>
        <v>0</v>
      </c>
      <c r="F18625" s="31"/>
      <c r="G18625" s="31"/>
      <c r="H18625" s="31"/>
      <c r="I18625" s="31"/>
      <c r="J18625" s="31"/>
      <c r="K18625" s="31"/>
    </row>
    <row r="18626" customFormat="false" ht="15" hidden="false" customHeight="false" outlineLevel="0" collapsed="false">
      <c r="A18626" s="1" t="s">
        <v>1070</v>
      </c>
      <c r="B18626" s="0" t="s">
        <v>168</v>
      </c>
      <c r="D18626" s="7" t="n">
        <f aca="false">Sens!D18624/Sens!D18617</f>
        <v>0.456219562408598</v>
      </c>
      <c r="E18626" s="7" t="n">
        <f aca="false">Sens!E18624/Sens!E18617</f>
        <v>0.467808184089272</v>
      </c>
      <c r="F18626" s="7" t="n">
        <f aca="false">Sens!F18624/Sens!F18617</f>
        <v>0.457560746361881</v>
      </c>
      <c r="G18626" s="7" t="n">
        <f aca="false">Sens!G18624/Sens!G18617</f>
        <v>0.414913254586282</v>
      </c>
      <c r="H18626" s="7" t="n">
        <f aca="false">Sens!H18624/Sens!H18617</f>
        <v>0.391408119054321</v>
      </c>
      <c r="I18626" s="7" t="n">
        <f aca="false">Sens!I18624/Sens!I18617</f>
        <v>0.376297043276529</v>
      </c>
      <c r="J18626" s="7" t="n">
        <f aca="false">Sens!J18624/Sens!J18617</f>
        <v>0.369709939205427</v>
      </c>
      <c r="K18626" s="7" t="n">
        <f aca="false">Sens!K18624/Sens!K18617</f>
        <v>0.369311388976199</v>
      </c>
    </row>
    <row r="18627" customFormat="false" ht="17.15" hidden="false" customHeight="false" outlineLevel="0" collapsed="false">
      <c r="A18627" s="1" t="s">
        <v>1071</v>
      </c>
      <c r="B18627" s="0" t="s">
        <v>98</v>
      </c>
      <c r="F18627" s="6" t="n">
        <f aca="false">Sens!F18642</f>
        <v>9.7398427716299</v>
      </c>
      <c r="G18627" s="6" t="n">
        <f aca="false">Sens!G18642</f>
        <v>25.2753385959797</v>
      </c>
      <c r="H18627" s="6" t="n">
        <f aca="false">Sens!H18642</f>
        <v>42.2840253697948</v>
      </c>
      <c r="I18627" s="6" t="n">
        <f aca="false">Sens!I18642</f>
        <v>57.704943641581</v>
      </c>
      <c r="J18627" s="6" t="n">
        <f aca="false">Sens!J18642</f>
        <v>68.4828520908201</v>
      </c>
      <c r="K18627" s="6" t="n">
        <f aca="false">Sens!K18642</f>
        <v>74.3598374943249</v>
      </c>
      <c r="L18627" s="1" t="s">
        <v>1072</v>
      </c>
    </row>
    <row r="18628" customFormat="false" ht="17.15" hidden="false" customHeight="false" outlineLevel="0" collapsed="false">
      <c r="A18628" s="1" t="s">
        <v>1073</v>
      </c>
      <c r="B18628" s="0" t="s">
        <v>98</v>
      </c>
      <c r="D18628" s="6" t="n">
        <f aca="false">Sens!D18624</f>
        <v>128.528</v>
      </c>
      <c r="E18628" s="6" t="n">
        <f aca="false">Sens!E18624</f>
        <v>155.237</v>
      </c>
      <c r="F18628" s="6" t="n">
        <f aca="false">Sens!F18624+Sens!F18627</f>
        <v>190.365966467233</v>
      </c>
      <c r="G18628" s="6" t="n">
        <f aca="false">Sens!G18624+Sens!G18627</f>
        <v>221.19544526296</v>
      </c>
      <c r="H18628" s="6" t="n">
        <f aca="false">Sens!H18624+Sens!H18627</f>
        <v>258.117984312911</v>
      </c>
      <c r="I18628" s="6" t="n">
        <f aca="false">Sens!I18624+Sens!I18627</f>
        <v>292.578923163722</v>
      </c>
      <c r="J18628" s="6" t="n">
        <f aca="false">Sens!J18624+Sens!J18627</f>
        <v>321.257403753795</v>
      </c>
      <c r="K18628" s="6" t="n">
        <f aca="false">Sens!K18624+Sens!K18627</f>
        <v>344.512394579502</v>
      </c>
    </row>
    <row r="18629" customFormat="false" ht="17.15" hidden="false" customHeight="false" outlineLevel="0" collapsed="false">
      <c r="A18629" s="1" t="s">
        <v>1074</v>
      </c>
      <c r="B18629" s="0" t="s">
        <v>98</v>
      </c>
      <c r="E18629" s="6" t="n">
        <f aca="false">Sens!E18572</f>
        <v>16.3054059770833</v>
      </c>
      <c r="F18629" s="6" t="n">
        <f aca="false">Sens!F18572</f>
        <v>34.5793144783516</v>
      </c>
      <c r="G18629" s="6" t="n">
        <f aca="false">Sens!G18572</f>
        <v>60.7344906522989</v>
      </c>
      <c r="H18629" s="6" t="n">
        <f aca="false">Sens!H18572</f>
        <v>89.1000906614457</v>
      </c>
      <c r="I18629" s="6" t="n">
        <f aca="false">Sens!I18572</f>
        <v>114.231009694548</v>
      </c>
      <c r="J18629" s="6" t="n">
        <f aca="false">Sens!J18572</f>
        <v>132.015673049596</v>
      </c>
      <c r="K18629" s="6" t="n">
        <f aca="false">Sens!K18572</f>
        <v>143.012669550934</v>
      </c>
    </row>
    <row r="18630" customFormat="false" ht="17.15" hidden="false" customHeight="false" outlineLevel="0" collapsed="false">
      <c r="A18630" s="1" t="s">
        <v>1075</v>
      </c>
      <c r="B18630" s="0" t="s">
        <v>98</v>
      </c>
      <c r="E18630" s="6" t="n">
        <f aca="false">Sens!E18654</f>
        <v>22.2285940229167</v>
      </c>
      <c r="F18630" s="6" t="n">
        <f aca="false">Sens!F18654</f>
        <v>23.580344216413</v>
      </c>
      <c r="G18630" s="6" t="n">
        <f aca="false">Sens!G18654</f>
        <v>25.345502249296</v>
      </c>
      <c r="H18630" s="6" t="n">
        <f aca="false">Sens!H18654</f>
        <v>27.504114339106</v>
      </c>
      <c r="I18630" s="6" t="n">
        <f aca="false">Sens!I18654</f>
        <v>29.9894347825147</v>
      </c>
      <c r="J18630" s="6" t="n">
        <f aca="false">Sens!J18654</f>
        <v>32.7178670477706</v>
      </c>
      <c r="K18630" s="6" t="n">
        <f aca="false">Sens!K18654</f>
        <v>35.6048683986886</v>
      </c>
    </row>
    <row r="18631" customFormat="false" ht="17.15" hidden="false" customHeight="false" outlineLevel="0" collapsed="false">
      <c r="A18631" s="1" t="s">
        <v>1076</v>
      </c>
      <c r="B18631" s="0" t="s">
        <v>98</v>
      </c>
      <c r="D18631" s="6" t="n">
        <f aca="false">Q!L27</f>
        <v>-4.901</v>
      </c>
      <c r="E18631" s="6" t="n">
        <f aca="false">Q!M27</f>
        <v>10.697</v>
      </c>
      <c r="F18631" s="6" t="n">
        <f aca="false">Q!$I$27+oie_f*(q_per_yr-1)/q_per_yr</f>
        <v>-0.862</v>
      </c>
      <c r="G18631" s="6" t="n">
        <f aca="false">oie_f</f>
        <v>-1.2</v>
      </c>
      <c r="H18631" s="6" t="n">
        <f aca="false">oie_f</f>
        <v>-1.2</v>
      </c>
      <c r="I18631" s="6" t="n">
        <f aca="false">oie_f</f>
        <v>-1.2</v>
      </c>
      <c r="J18631" s="6" t="n">
        <f aca="false">oie_f</f>
        <v>-1.2</v>
      </c>
      <c r="K18631" s="6" t="n">
        <f aca="false">oie_f</f>
        <v>-1.2</v>
      </c>
      <c r="L18631" s="12" t="s">
        <v>1077</v>
      </c>
    </row>
    <row r="18632" customFormat="false" ht="15" hidden="false" customHeight="false" outlineLevel="0" collapsed="false">
      <c r="A18632" s="1" t="s">
        <v>1078</v>
      </c>
      <c r="B18632" s="0" t="s">
        <v>98</v>
      </c>
      <c r="D18632" s="6" t="n">
        <f aca="false">Sens!D18624+Sens!D18631</f>
        <v>123.627</v>
      </c>
      <c r="E18632" s="6" t="n">
        <f aca="false">Sens!E18624+Sens!E18631</f>
        <v>165.934</v>
      </c>
      <c r="F18632" s="6" t="n">
        <f aca="false">Sens!F18624+Sens!F18631</f>
        <v>179.764123695603</v>
      </c>
      <c r="G18632" s="6" t="n">
        <f aca="false">Sens!G18624+Sens!G18631</f>
        <v>194.72010666698</v>
      </c>
      <c r="H18632" s="6" t="n">
        <f aca="false">Sens!H18624+Sens!H18631</f>
        <v>214.633958943116</v>
      </c>
      <c r="I18632" s="6" t="n">
        <f aca="false">Sens!I18624+Sens!I18631</f>
        <v>233.673979522141</v>
      </c>
      <c r="J18632" s="6" t="n">
        <f aca="false">Sens!J18624+Sens!J18631</f>
        <v>251.574551662975</v>
      </c>
      <c r="K18632" s="6" t="n">
        <f aca="false">Sens!K18624+Sens!K18631</f>
        <v>268.952557085177</v>
      </c>
    </row>
    <row r="18633" customFormat="false" ht="15" hidden="false" customHeight="false" outlineLevel="0" collapsed="false">
      <c r="A18633" s="1" t="s">
        <v>1079</v>
      </c>
      <c r="B18633" s="0" t="s">
        <v>98</v>
      </c>
      <c r="D18633" s="6" t="n">
        <f aca="false">Q!L29</f>
        <v>21.795</v>
      </c>
      <c r="E18633" s="6" t="n">
        <f aca="false">Q!M29</f>
        <v>32.185</v>
      </c>
      <c r="F18633" s="6" t="n">
        <f aca="false">Q!$I$29+(Sens!F18632-Q!$I$28)*tax_f</f>
        <v>36.0862247391206</v>
      </c>
      <c r="G18633" s="6" t="n">
        <f aca="false">Sens!G18632*tax_f</f>
        <v>38.9440213333961</v>
      </c>
      <c r="H18633" s="6" t="n">
        <f aca="false">Sens!H18632*tax_f</f>
        <v>42.9267917886232</v>
      </c>
      <c r="I18633" s="6" t="n">
        <f aca="false">Sens!I18632*tax_f</f>
        <v>46.7347959044282</v>
      </c>
      <c r="J18633" s="6" t="n">
        <f aca="false">Sens!J18632*tax_f</f>
        <v>50.314910332595</v>
      </c>
      <c r="K18633" s="6" t="n">
        <f aca="false">Sens!K18632*tax_f</f>
        <v>53.7905114170354</v>
      </c>
    </row>
    <row r="18634" customFormat="false" ht="15" hidden="false" customHeight="false" outlineLevel="0" collapsed="false">
      <c r="A18634" s="1" t="s">
        <v>1080</v>
      </c>
      <c r="B18634" s="0" t="s">
        <v>98</v>
      </c>
      <c r="D18634" s="6" t="n">
        <f aca="false">Sens!D18632-Sens!D18633</f>
        <v>101.832</v>
      </c>
      <c r="E18634" s="6" t="n">
        <f aca="false">Sens!E18632-Sens!E18633</f>
        <v>133.749</v>
      </c>
      <c r="F18634" s="6" t="n">
        <f aca="false">Sens!F18632-Sens!F18633</f>
        <v>143.677898956482</v>
      </c>
      <c r="G18634" s="6" t="n">
        <f aca="false">Sens!G18632-Sens!G18633</f>
        <v>155.776085333584</v>
      </c>
      <c r="H18634" s="6" t="n">
        <f aca="false">Sens!H18632-Sens!H18633</f>
        <v>171.707167154493</v>
      </c>
      <c r="I18634" s="6" t="n">
        <f aca="false">Sens!I18632-Sens!I18633</f>
        <v>186.939183617713</v>
      </c>
      <c r="J18634" s="6" t="n">
        <f aca="false">Sens!J18632-Sens!J18633</f>
        <v>201.25964133038</v>
      </c>
      <c r="K18634" s="6" t="n">
        <f aca="false">Sens!K18632-Sens!K18633</f>
        <v>215.162045668142</v>
      </c>
    </row>
    <row r="18635" customFormat="false" ht="17.15" hidden="false" customHeight="false" outlineLevel="0" collapsed="false">
      <c r="A18635" s="1" t="s">
        <v>1081</v>
      </c>
      <c r="B18635" s="1" t="s">
        <v>81</v>
      </c>
      <c r="D18635" s="15" t="n">
        <f aca="false">Q!L31</f>
        <v>7.465</v>
      </c>
      <c r="E18635" s="15" t="n">
        <f aca="false">Q!M31</f>
        <v>7.453</v>
      </c>
      <c r="F18635" s="15" t="n">
        <f aca="false">Sens!F18679</f>
        <v>7.4735</v>
      </c>
      <c r="G18635" s="15" t="n">
        <f aca="false">Sens!G18679</f>
        <v>7.5185</v>
      </c>
      <c r="H18635" s="15" t="n">
        <f aca="false">Sens!H18679</f>
        <v>7.5461999390288</v>
      </c>
      <c r="I18635" s="15" t="n">
        <f aca="false">Sens!I18679</f>
        <v>7.55788130308427</v>
      </c>
      <c r="J18635" s="15" t="n">
        <f aca="false">Sens!J18679</f>
        <v>7.57203071424674</v>
      </c>
      <c r="K18635" s="15" t="n">
        <f aca="false">Sens!K18679</f>
        <v>7.58846535421199</v>
      </c>
    </row>
    <row r="18636" customFormat="false" ht="17.15" hidden="false" customHeight="false" outlineLevel="0" collapsed="false">
      <c r="A18636" s="0" t="s">
        <v>1082</v>
      </c>
      <c r="B18636" s="0" t="s">
        <v>75</v>
      </c>
      <c r="D18636" s="8" t="n">
        <f aca="false">Sens!D18634/Sens!D18635</f>
        <v>13.641259209645</v>
      </c>
      <c r="E18636" s="8" t="n">
        <f aca="false">Sens!E18634/Sens!E18635</f>
        <v>17.9456594659869</v>
      </c>
      <c r="F18636" s="8" t="n">
        <f aca="false">Sens!F18634/Sens!F18635</f>
        <v>19.2249814620302</v>
      </c>
      <c r="G18636" s="8" t="n">
        <f aca="false">Sens!G18634/Sens!G18635</f>
        <v>20.7190377513579</v>
      </c>
      <c r="H18636" s="8" t="n">
        <f aca="false">Sens!H18634/Sens!H18635</f>
        <v>22.7541237366938</v>
      </c>
      <c r="I18636" s="8" t="n">
        <f aca="false">Sens!I18634/Sens!I18635</f>
        <v>24.734337061026</v>
      </c>
      <c r="J18636" s="8" t="n">
        <f aca="false">Sens!J18634/Sens!J18635</f>
        <v>26.5793482522081</v>
      </c>
      <c r="K18636" s="8" t="n">
        <f aca="false">Sens!K18634/Sens!K18635</f>
        <v>28.3538285575377</v>
      </c>
      <c r="L18636" s="1" t="s">
        <v>1083</v>
      </c>
    </row>
    <row r="18637" customFormat="false" ht="17.15" hidden="false" customHeight="false" outlineLevel="0" collapsed="false">
      <c r="A18637" s="1" t="s">
        <v>1084</v>
      </c>
      <c r="B18637" s="0" t="s">
        <v>98</v>
      </c>
      <c r="D18637" s="6" t="n">
        <f aca="false">Sens!D18634</f>
        <v>101.832</v>
      </c>
      <c r="E18637" s="6" t="n">
        <f aca="false">Sens!E18634</f>
        <v>133.749</v>
      </c>
      <c r="F18637" s="6" t="n">
        <f aca="false">Sens!F18634+Sens!F18627*(1-tax_f)</f>
        <v>151.469773173786</v>
      </c>
      <c r="G18637" s="6" t="n">
        <f aca="false">Sens!G18634+Sens!G18627*(1-tax_f)</f>
        <v>175.996356210368</v>
      </c>
      <c r="H18637" s="6" t="n">
        <f aca="false">Sens!H18634+Sens!H18627*(1-tax_f)</f>
        <v>205.534387450329</v>
      </c>
      <c r="I18637" s="6" t="n">
        <f aca="false">Sens!I18634+Sens!I18627*(1-tax_f)</f>
        <v>233.103138530978</v>
      </c>
      <c r="J18637" s="6" t="n">
        <f aca="false">Sens!J18634+Sens!J18627*(1-tax_f)</f>
        <v>256.045923003036</v>
      </c>
      <c r="K18637" s="6" t="n">
        <f aca="false">Sens!K18634+Sens!K18627*(1-tax_f)</f>
        <v>274.649915663602</v>
      </c>
    </row>
    <row r="18638" customFormat="false" ht="17.15" hidden="false" customHeight="false" outlineLevel="0" collapsed="false">
      <c r="A18638" s="0" t="s">
        <v>1085</v>
      </c>
      <c r="B18638" s="0" t="s">
        <v>75</v>
      </c>
      <c r="D18638" s="8" t="n">
        <f aca="false">Sens!D18637/Sens!D18635</f>
        <v>13.641259209645</v>
      </c>
      <c r="E18638" s="8" t="n">
        <f aca="false">Sens!E18637/Sens!E18635</f>
        <v>17.9456594659869</v>
      </c>
      <c r="F18638" s="8" t="n">
        <f aca="false">Sens!F18637/Sens!F18635</f>
        <v>20.2675818791445</v>
      </c>
      <c r="G18638" s="8" t="n">
        <f aca="false">Sens!G18637/Sens!G18635</f>
        <v>23.4084400093593</v>
      </c>
      <c r="H18638" s="8" t="n">
        <f aca="false">Sens!H18637/Sens!H18635</f>
        <v>27.2368064868396</v>
      </c>
      <c r="I18638" s="8" t="n">
        <f aca="false">Sens!I18637/Sens!I18635</f>
        <v>30.8423920915312</v>
      </c>
      <c r="J18638" s="8" t="n">
        <f aca="false">Sens!J18637/Sens!J18635</f>
        <v>33.814696831761</v>
      </c>
      <c r="K18638" s="8" t="n">
        <f aca="false">Sens!K18637/Sens!K18635</f>
        <v>36.1930776307961</v>
      </c>
      <c r="L18638" s="1" t="s">
        <v>1086</v>
      </c>
    </row>
    <row r="18639" customFormat="false" ht="17.15" hidden="false" customHeight="false" outlineLevel="0" collapsed="false">
      <c r="A18639" s="0" t="s">
        <v>1087</v>
      </c>
      <c r="B18639" s="0" t="s">
        <v>168</v>
      </c>
      <c r="E18639" s="7" t="n">
        <f aca="false">Sens!E18638/Sens!D18638-1</f>
        <v>0.315542736208578</v>
      </c>
      <c r="F18639" s="7" t="n">
        <f aca="false">Sens!F18638/Sens!E18638-1</f>
        <v>0.12938629631073</v>
      </c>
      <c r="G18639" s="7" t="n">
        <f aca="false">Sens!G18638/Sens!F18638-1</f>
        <v>0.154969554283475</v>
      </c>
      <c r="H18639" s="7" t="n">
        <f aca="false">Sens!H18638/Sens!G18638-1</f>
        <v>0.163546416418592</v>
      </c>
      <c r="I18639" s="7" t="n">
        <f aca="false">Sens!I18638/Sens!H18638-1</f>
        <v>0.132379161500953</v>
      </c>
      <c r="J18639" s="7" t="n">
        <f aca="false">Sens!J18638/Sens!I18638-1</f>
        <v>0.0963707591618983</v>
      </c>
      <c r="K18639" s="7" t="n">
        <f aca="false">Sens!K18638/Sens!J18638-1</f>
        <v>0.0703357126301731</v>
      </c>
    </row>
    <row r="18640" customFormat="false" ht="17.15" hidden="false" customHeight="false" outlineLevel="0" collapsed="false">
      <c r="A18640" s="0" t="s">
        <v>1007</v>
      </c>
      <c r="B18640" s="0" t="s">
        <v>98</v>
      </c>
      <c r="E18640" s="6" t="n">
        <f aca="false">Sens!E18581</f>
        <v>5.25</v>
      </c>
      <c r="F18640" s="6" t="n">
        <f aca="false">Sens!F18581</f>
        <v>12</v>
      </c>
      <c r="G18640" s="6" t="n">
        <f aca="false">Sens!G18581</f>
        <v>18</v>
      </c>
      <c r="H18640" s="6" t="n">
        <f aca="false">Sens!H18581</f>
        <v>24</v>
      </c>
      <c r="I18640" s="6" t="n">
        <f aca="false">Sens!I18581</f>
        <v>28.5</v>
      </c>
      <c r="J18640" s="6" t="n">
        <f aca="false">Sens!J18581</f>
        <v>31.5</v>
      </c>
      <c r="K18640" s="6" t="n">
        <f aca="false">Sens!K18581</f>
        <v>34.5</v>
      </c>
    </row>
    <row r="18641" customFormat="false" ht="17.15" hidden="false" customHeight="false" outlineLevel="0" collapsed="false">
      <c r="A18641" s="1" t="s">
        <v>1008</v>
      </c>
      <c r="B18641" s="0" t="s">
        <v>98</v>
      </c>
      <c r="F18641" s="6" t="n">
        <f aca="false">MAX(0,((Sens!E18541+Sens!F18541)/2-(shadow_base*(Sens!$D$18541+Sens!$E$18541)/2+(1-shadow_base)*Sens!$E$18541))*Sens!F18550/1000-(Sens!F18640-Sens!$E$18640)*Sens!F18620)</f>
        <v>9.7398427716299</v>
      </c>
      <c r="G18641" s="6" t="n">
        <f aca="false">MAX(0,((Sens!F18541+Sens!G18541)/2-(shadow_base*(Sens!$D$18541+Sens!$E$18541)/2+(1-shadow_base)*Sens!$E$18541))*Sens!G18550/1000-(Sens!G18640-Sens!$E$18640)*Sens!G18620)</f>
        <v>25.2753385959797</v>
      </c>
      <c r="H18641" s="6" t="n">
        <f aca="false">MAX(0,((Sens!G18541+Sens!H18541)/2-(shadow_base*(Sens!$D$18541+Sens!$E$18541)/2+(1-shadow_base)*Sens!$E$18541))*Sens!H18550/1000-(Sens!H18640-Sens!$E$18640)*Sens!H18620)</f>
        <v>42.2840253697948</v>
      </c>
      <c r="I18641" s="6" t="n">
        <f aca="false">MAX(0,((Sens!H18541+Sens!I18541)/2-(shadow_base*(Sens!$D$18541+Sens!$E$18541)/2+(1-shadow_base)*Sens!$E$18541))*Sens!I18550/1000-(Sens!I18640-Sens!$E$18640)*Sens!I18620)</f>
        <v>57.704943641581</v>
      </c>
      <c r="J18641" s="6" t="n">
        <f aca="false">MAX(0,((Sens!I18541+Sens!J18541)/2-(shadow_base*(Sens!$D$18541+Sens!$E$18541)/2+(1-shadow_base)*Sens!$E$18541))*Sens!J18550/1000-(Sens!J18640-Sens!$E$18640)*Sens!J18620)</f>
        <v>68.4828520908201</v>
      </c>
      <c r="K18641" s="6" t="n">
        <f aca="false">MAX(0,((Sens!J18541+Sens!K18541)/2-(shadow_base*(Sens!$D$18541+Sens!$E$18541)/2+(1-shadow_base)*Sens!$E$18541))*Sens!K18550/1000-(Sens!K18640-Sens!$E$18640)*Sens!K18620)</f>
        <v>74.3598374943249</v>
      </c>
      <c r="L18641" s="1" t="s">
        <v>1009</v>
      </c>
    </row>
    <row r="18642" customFormat="false" ht="17.15" hidden="false" customHeight="false" outlineLevel="0" collapsed="false">
      <c r="A18642" s="1" t="s">
        <v>1010</v>
      </c>
      <c r="B18642" s="0" t="s">
        <v>98</v>
      </c>
      <c r="F18642" s="6" t="n">
        <f aca="false">IF(internal_ai_reading=2,1,0)*Sens!F18641</f>
        <v>9.7398427716299</v>
      </c>
      <c r="G18642" s="6" t="n">
        <f aca="false">IF(internal_ai_reading=2,1,0)*Sens!G18641</f>
        <v>25.2753385959797</v>
      </c>
      <c r="H18642" s="6" t="n">
        <f aca="false">IF(internal_ai_reading=2,1,0)*Sens!H18641</f>
        <v>42.2840253697948</v>
      </c>
      <c r="I18642" s="6" t="n">
        <f aca="false">IF(internal_ai_reading=2,1,0)*Sens!I18641</f>
        <v>57.704943641581</v>
      </c>
      <c r="J18642" s="6" t="n">
        <f aca="false">IF(internal_ai_reading=2,1,0)*Sens!J18641</f>
        <v>68.4828520908201</v>
      </c>
      <c r="K18642" s="6" t="n">
        <f aca="false">IF(internal_ai_reading=2,1,0)*Sens!K18641</f>
        <v>74.3598374943249</v>
      </c>
    </row>
    <row r="18643" customFormat="false" ht="17.15" hidden="false" customHeight="false" outlineLevel="0" collapsed="false">
      <c r="A18643" s="0" t="s">
        <v>1011</v>
      </c>
      <c r="B18643" s="0" t="s">
        <v>98</v>
      </c>
      <c r="F18643" s="6" t="n">
        <f aca="false">Sens!F18560+Sens!F18640*Sens!F18620+Sens!F18642-Sens!F18561-Sens!F18572</f>
        <v>14.8152827562272</v>
      </c>
      <c r="G18643" s="6" t="n">
        <f aca="false">Sens!G18560+Sens!G18640*Sens!G18620+Sens!G18642-Sens!G18561-Sens!G18572</f>
        <v>31.0349977765951</v>
      </c>
      <c r="H18643" s="6" t="n">
        <f aca="false">Sens!H18560+Sens!H18640*Sens!H18620+Sens!H18642-Sens!H18561-Sens!H18572</f>
        <v>47.8811519709826</v>
      </c>
      <c r="I18643" s="6" t="n">
        <f aca="false">Sens!I18560+Sens!I18640*Sens!I18620+Sens!I18642-Sens!I18561-Sens!I18572</f>
        <v>62.6472166574028</v>
      </c>
      <c r="J18643" s="6" t="n">
        <f aca="false">Sens!J18560+Sens!J18640*Sens!J18620+Sens!J18642-Sens!J18561-Sens!J18572</f>
        <v>72.7882253357034</v>
      </c>
      <c r="K18643" s="6" t="n">
        <f aca="false">Sens!K18560+Sens!K18640*Sens!K18620+Sens!K18642-Sens!K18561-Sens!K18572</f>
        <v>79.4617812140187</v>
      </c>
    </row>
    <row r="18644" customFormat="false" ht="17.15" hidden="false" customHeight="false" outlineLevel="0" collapsed="false">
      <c r="A18644" s="0" t="s">
        <v>1012</v>
      </c>
      <c r="B18644" s="0" t="s">
        <v>98</v>
      </c>
      <c r="E18644" s="6" t="n">
        <f aca="false">Sens!E18540*(cxit_open+self_build*tk_cxfac)/1000*ai_net_open</f>
        <v>126.6980382</v>
      </c>
      <c r="F18644" s="6" t="n">
        <f aca="false">Sens!E18644+Sens!F18569-Sens!F18572</f>
        <v>260.572627763768</v>
      </c>
      <c r="G18644" s="6" t="n">
        <f aca="false">Sens!F18644+Sens!G18569-Sens!G18572</f>
        <v>391.782612760517</v>
      </c>
      <c r="H18644" s="6" t="n">
        <f aca="false">Sens!G18644+Sens!H18569-Sens!H18572</f>
        <v>499.488526163584</v>
      </c>
      <c r="I18644" s="6" t="n">
        <f aca="false">Sens!H18644+Sens!I18569-Sens!I18572</f>
        <v>553.872350090646</v>
      </c>
      <c r="J18644" s="6" t="n">
        <f aca="false">Sens!I18644+Sens!J18569-Sens!J18572</f>
        <v>550.78660823699</v>
      </c>
      <c r="K18644" s="6" t="n">
        <f aca="false">Sens!J18644+Sens!K18569-Sens!K18572</f>
        <v>526.736791750789</v>
      </c>
      <c r="L18644" s="1" t="s">
        <v>1013</v>
      </c>
    </row>
    <row r="18645" customFormat="false" ht="17.15" hidden="false" customHeight="false" outlineLevel="0" collapsed="false">
      <c r="A18645" s="0" t="s">
        <v>1014</v>
      </c>
      <c r="B18645" s="0" t="s">
        <v>168</v>
      </c>
      <c r="F18645" s="7" t="n">
        <f aca="false">Sens!F18643*(1-tax_f)/((Sens!E18644+Sens!F18644)/2)</f>
        <v>0.0612090057246454</v>
      </c>
      <c r="G18645" s="7" t="n">
        <f aca="false">Sens!G18643*(1-tax_f)/((Sens!F18644+Sens!G18644)/2)</f>
        <v>0.0761180310326695</v>
      </c>
      <c r="H18645" s="7" t="n">
        <f aca="false">Sens!H18643*(1-tax_f)/((Sens!G18644+Sens!H18644)/2)</f>
        <v>0.0859557095566361</v>
      </c>
      <c r="I18645" s="7" t="n">
        <f aca="false">Sens!I18643*(1-tax_f)/((Sens!H18644+Sens!I18644)/2)</f>
        <v>0.0951578408800258</v>
      </c>
      <c r="J18645" s="7" t="n">
        <f aca="false">Sens!J18643*(1-tax_f)/((Sens!I18644+Sens!J18644)/2)</f>
        <v>0.105427253958487</v>
      </c>
      <c r="K18645" s="7" t="n">
        <f aca="false">Sens!K18643*(1-tax_f)/((Sens!J18644+Sens!K18644)/2)</f>
        <v>0.117991729872291</v>
      </c>
    </row>
    <row r="18646" customFormat="false" ht="17.15" hidden="false" customHeight="false" outlineLevel="0" collapsed="false">
      <c r="A18646" s="1" t="s">
        <v>1015</v>
      </c>
      <c r="B18646" s="0" t="s">
        <v>168</v>
      </c>
      <c r="F18646" s="7" t="n">
        <f aca="false">(Sens!F18643-Sens!F18642)*(1-tax_f)/((Sens!E18644+Sens!F18644)/2)</f>
        <v>0.0209690655375262</v>
      </c>
      <c r="G18646" s="7" t="n">
        <f aca="false">(Sens!G18643-Sens!G18642)*(1-tax_f)/((Sens!F18644+Sens!G18644)/2)</f>
        <v>0.014126436206105</v>
      </c>
      <c r="H18646" s="7" t="n">
        <f aca="false">(Sens!H18643-Sens!H18642)*(1-tax_f)/((Sens!G18644+Sens!H18644)/2)</f>
        <v>0.010047899197893</v>
      </c>
      <c r="I18646" s="7" t="n">
        <f aca="false">(Sens!I18643-Sens!I18642)*(1-tax_f)/((Sens!H18644+Sens!I18644)/2)</f>
        <v>0.00750705385359908</v>
      </c>
      <c r="J18646" s="7" t="n">
        <f aca="false">(Sens!J18643-Sens!J18642)*(1-tax_f)/((Sens!I18644+Sens!J18644)/2)</f>
        <v>0.00623594924015468</v>
      </c>
      <c r="K18646" s="7" t="n">
        <f aca="false">(Sens!K18643-Sens!K18642)*(1-tax_f)/((Sens!J18644+Sens!K18644)/2)</f>
        <v>0.00757580758951754</v>
      </c>
    </row>
    <row r="18647" customFormat="false" ht="17.15" hidden="false" customHeight="false" outlineLevel="0" collapsed="false">
      <c r="A18647" s="1" t="s">
        <v>1016</v>
      </c>
      <c r="B18647" s="0" t="s">
        <v>168</v>
      </c>
      <c r="F18647" s="7" t="n">
        <f aca="false">(Sens!F18643-Sens!F18642+Sens!F18641)*(1-tax_f)/((Sens!E18644+Sens!F18644)/2)</f>
        <v>0.0612090057246454</v>
      </c>
      <c r="G18647" s="7" t="n">
        <f aca="false">(Sens!G18643-Sens!G18642+Sens!G18641)*(1-tax_f)/((Sens!F18644+Sens!G18644)/2)</f>
        <v>0.0761180310326695</v>
      </c>
      <c r="H18647" s="7" t="n">
        <f aca="false">(Sens!H18643-Sens!H18642+Sens!H18641)*(1-tax_f)/((Sens!G18644+Sens!H18644)/2)</f>
        <v>0.0859557095566361</v>
      </c>
      <c r="I18647" s="7" t="n">
        <f aca="false">(Sens!I18643-Sens!I18642+Sens!I18641)*(1-tax_f)/((Sens!H18644+Sens!I18644)/2)</f>
        <v>0.0951578408800258</v>
      </c>
      <c r="J18647" s="7" t="n">
        <f aca="false">(Sens!J18643-Sens!J18642+Sens!J18641)*(1-tax_f)/((Sens!I18644+Sens!J18644)/2)</f>
        <v>0.105427253958487</v>
      </c>
      <c r="K18647" s="7" t="n">
        <f aca="false">(Sens!K18643-Sens!K18642+Sens!K18641)*(1-tax_f)/((Sens!J18644+Sens!K18644)/2)</f>
        <v>0.117991729872291</v>
      </c>
    </row>
    <row r="18648" customFormat="false" ht="17.15" hidden="false" customHeight="false" outlineLevel="0" collapsed="false">
      <c r="A18648" s="1" t="s">
        <v>1017</v>
      </c>
      <c r="B18648" s="0" t="s">
        <v>168</v>
      </c>
      <c r="F18648" s="7" t="n">
        <f aca="false">Sens!F18573*(1-tax_f)/(Sens!F18559*(Sens!E18644+Sens!F18644)/2)</f>
        <v>0.129294830495493</v>
      </c>
      <c r="G18648" s="7" t="n">
        <f aca="false">Sens!G18573*(1-tax_f)/(Sens!G18559*(Sens!F18644+Sens!G18644)/2)</f>
        <v>0.12719599062164</v>
      </c>
      <c r="H18648" s="7" t="n">
        <f aca="false">Sens!H18573*(1-tax_f)/(Sens!H18559*(Sens!G18644+Sens!H18644)/2)</f>
        <v>0.130828167067624</v>
      </c>
      <c r="I18648" s="7" t="n">
        <f aca="false">Sens!I18573*(1-tax_f)/(Sens!I18559*(Sens!H18644+Sens!I18644)/2)</f>
        <v>0.138614526937417</v>
      </c>
      <c r="J18648" s="7" t="n">
        <f aca="false">Sens!J18573*(1-tax_f)/(Sens!J18559*(Sens!I18644+Sens!J18644)/2)</f>
        <v>0.150578919010924</v>
      </c>
      <c r="K18648" s="7" t="n">
        <f aca="false">Sens!K18573*(1-tax_f)/(Sens!K18559*(Sens!J18644+Sens!K18644)/2)</f>
        <v>0.167005345886664</v>
      </c>
    </row>
    <row r="18649" customFormat="false" ht="17.15" hidden="false" customHeight="false" outlineLevel="0" collapsed="false">
      <c r="A18649" s="0" t="s">
        <v>1018</v>
      </c>
      <c r="B18649" s="0" t="s">
        <v>253</v>
      </c>
      <c r="F18649" s="7" t="n">
        <f aca="false">Sens!F18645-wacc</f>
        <v>-0.0417275852209519</v>
      </c>
      <c r="G18649" s="7" t="n">
        <f aca="false">Sens!G18645-wacc</f>
        <v>-0.0268185599129278</v>
      </c>
      <c r="H18649" s="7" t="n">
        <f aca="false">Sens!H18645-wacc</f>
        <v>-0.0169808813889612</v>
      </c>
      <c r="I18649" s="7" t="n">
        <f aca="false">Sens!I18645-wacc</f>
        <v>-0.00777875006557149</v>
      </c>
      <c r="J18649" s="7" t="n">
        <f aca="false">Sens!J18645-wacc</f>
        <v>0.0024906630128898</v>
      </c>
      <c r="K18649" s="7" t="n">
        <f aca="false">Sens!K18645-wacc</f>
        <v>0.0150551389266932</v>
      </c>
    </row>
    <row r="18650" customFormat="false" ht="17.15" hidden="false" customHeight="false" outlineLevel="0" collapsed="false">
      <c r="A18650" s="0" t="s">
        <v>1019</v>
      </c>
      <c r="B18650" s="0" t="s">
        <v>98</v>
      </c>
      <c r="F18650" s="6" t="n">
        <f aca="false">Sens!F18643*(1-tax_f)-wacc*(Sens!E18644+Sens!F18644)/2</f>
        <v>-8.07993485878896</v>
      </c>
      <c r="G18650" s="6" t="n">
        <f aca="false">Sens!G18643*(1-tax_f)-wacc*(Sens!F18644+Sens!G18644)/2</f>
        <v>-8.74761405125648</v>
      </c>
      <c r="H18650" s="6" t="n">
        <f aca="false">Sens!H18643*(1-tax_f)-wacc*(Sens!G18644+Sens!H18644)/2</f>
        <v>-7.56728474773728</v>
      </c>
      <c r="I18650" s="6" t="n">
        <f aca="false">Sens!I18643*(1-tax_f)-wacc*(Sens!H18644+Sens!I18644)/2</f>
        <v>-4.09691549261652</v>
      </c>
      <c r="J18650" s="6" t="n">
        <f aca="false">Sens!J18643*(1-tax_f)-wacc*(Sens!I18644+Sens!J18644)/2</f>
        <v>1.37566660468201</v>
      </c>
      <c r="K18650" s="6" t="n">
        <f aca="false">Sens!K18643*(1-tax_f)-wacc*(Sens!J18644+Sens!K18644)/2</f>
        <v>8.11113224178941</v>
      </c>
    </row>
    <row r="18651" customFormat="false" ht="17.15" hidden="false" customHeight="false" outlineLevel="0" collapsed="false">
      <c r="A18651" s="3" t="s">
        <v>2072</v>
      </c>
    </row>
    <row r="18652" customFormat="false" ht="15" hidden="false" customHeight="false" outlineLevel="0" collapsed="false">
      <c r="A18652" s="4" t="s">
        <v>43</v>
      </c>
      <c r="B18652" s="4" t="s">
        <v>65</v>
      </c>
      <c r="C18652" s="23" t="s">
        <v>942</v>
      </c>
      <c r="D18652" s="23" t="s">
        <v>943</v>
      </c>
      <c r="E18652" s="23" t="s">
        <v>944</v>
      </c>
      <c r="F18652" s="23" t="s">
        <v>945</v>
      </c>
      <c r="G18652" s="23" t="s">
        <v>946</v>
      </c>
      <c r="H18652" s="23" t="s">
        <v>947</v>
      </c>
      <c r="I18652" s="23" t="s">
        <v>948</v>
      </c>
      <c r="J18652" s="23" t="s">
        <v>949</v>
      </c>
      <c r="K18652" s="23" t="s">
        <v>950</v>
      </c>
      <c r="L18652" s="4" t="s">
        <v>47</v>
      </c>
    </row>
    <row r="18653" customFormat="false" ht="15" hidden="false" customHeight="false" outlineLevel="0" collapsed="false">
      <c r="A18653" s="1" t="s">
        <v>1080</v>
      </c>
      <c r="B18653" s="0" t="s">
        <v>98</v>
      </c>
      <c r="F18653" s="6" t="n">
        <f aca="false">Sens!F18634</f>
        <v>143.677898956482</v>
      </c>
      <c r="G18653" s="6" t="n">
        <f aca="false">Sens!G18634</f>
        <v>155.776085333584</v>
      </c>
      <c r="H18653" s="6" t="n">
        <f aca="false">Sens!H18634</f>
        <v>171.707167154493</v>
      </c>
      <c r="I18653" s="6" t="n">
        <f aca="false">Sens!I18634</f>
        <v>186.939183617713</v>
      </c>
      <c r="J18653" s="6" t="n">
        <f aca="false">Sens!J18634</f>
        <v>201.25964133038</v>
      </c>
      <c r="K18653" s="6" t="n">
        <f aca="false">Sens!K18634</f>
        <v>215.162045668142</v>
      </c>
    </row>
    <row r="18654" customFormat="false" ht="17.15" hidden="false" customHeight="false" outlineLevel="0" collapsed="false">
      <c r="A18654" s="1" t="s">
        <v>1102</v>
      </c>
      <c r="B18654" s="0" t="s">
        <v>98</v>
      </c>
      <c r="E18654" s="6" t="n">
        <f aca="false">Q!M38-Sens!E18572</f>
        <v>22.2285940229167</v>
      </c>
      <c r="F18654" s="6" t="n">
        <f aca="false">Sens!E18654*(1-1/life_nonai)+(Sens!F18662+Sens!F18663)/life_nonai</f>
        <v>23.580344216413</v>
      </c>
      <c r="G18654" s="6" t="n">
        <f aca="false">Sens!F18654*(1-1/life_nonai)+(Sens!G18662)/life_nonai</f>
        <v>25.345502249296</v>
      </c>
      <c r="H18654" s="6" t="n">
        <f aca="false">Sens!G18654*(1-1/life_nonai)+(Sens!H18662)/life_nonai</f>
        <v>27.504114339106</v>
      </c>
      <c r="I18654" s="6" t="n">
        <f aca="false">Sens!H18654*(1-1/life_nonai)+(Sens!I18662)/life_nonai</f>
        <v>29.9894347825147</v>
      </c>
      <c r="J18654" s="6" t="n">
        <f aca="false">Sens!I18654*(1-1/life_nonai)+(Sens!J18662)/life_nonai</f>
        <v>32.7178670477706</v>
      </c>
      <c r="K18654" s="6" t="n">
        <f aca="false">Sens!J18654*(1-1/life_nonai)+(Sens!K18662)/life_nonai</f>
        <v>35.6048683986886</v>
      </c>
      <c r="L18654" s="12" t="s">
        <v>1103</v>
      </c>
    </row>
    <row r="18655" customFormat="false" ht="17.15" hidden="false" customHeight="false" outlineLevel="0" collapsed="false">
      <c r="A18655" s="1" t="s">
        <v>1104</v>
      </c>
      <c r="B18655" s="0" t="s">
        <v>98</v>
      </c>
      <c r="F18655" s="6" t="n">
        <f aca="false">Sens!$F$18663/life_nonai*(1-1/life_nonai)^(Sens!F18535-2027)</f>
        <v>0.0128774278409338</v>
      </c>
      <c r="G18655" s="6" t="n">
        <f aca="false">Sens!$F$18663/life_nonai*(1-1/life_nonai)^(Sens!G18535-2027)</f>
        <v>0.0115896850568404</v>
      </c>
      <c r="H18655" s="6" t="n">
        <f aca="false">Sens!$F$18663/life_nonai*(1-1/life_nonai)^(Sens!H18535-2027)</f>
        <v>0.0104307165511564</v>
      </c>
      <c r="I18655" s="6" t="n">
        <f aca="false">Sens!$F$18663/life_nonai*(1-1/life_nonai)^(Sens!I18535-2027)</f>
        <v>0.00938764489604076</v>
      </c>
      <c r="J18655" s="6" t="n">
        <f aca="false">Sens!$F$18663/life_nonai*(1-1/life_nonai)^(Sens!J18535-2027)</f>
        <v>0.00844888040643668</v>
      </c>
      <c r="K18655" s="6" t="n">
        <f aca="false">Sens!$F$18663/life_nonai*(1-1/life_nonai)^(Sens!K18535-2027)</f>
        <v>0.00760399236579301</v>
      </c>
      <c r="L18655" s="1" t="s">
        <v>1105</v>
      </c>
    </row>
    <row r="18656" customFormat="false" ht="17.15" hidden="false" customHeight="false" outlineLevel="0" collapsed="false">
      <c r="A18656" s="1" t="s">
        <v>1106</v>
      </c>
      <c r="B18656" s="0" t="s">
        <v>98</v>
      </c>
      <c r="E18656" s="6" t="n">
        <f aca="false">Sens!E18572+Sens!E18654</f>
        <v>38.534</v>
      </c>
      <c r="F18656" s="6" t="n">
        <f aca="false">Sens!F18572+Sens!F18654</f>
        <v>58.1596586947647</v>
      </c>
      <c r="G18656" s="6" t="n">
        <f aca="false">Sens!G18572+Sens!G18654</f>
        <v>86.079992901595</v>
      </c>
      <c r="H18656" s="6" t="n">
        <f aca="false">Sens!H18572+Sens!H18654</f>
        <v>116.604205000552</v>
      </c>
      <c r="I18656" s="6" t="n">
        <f aca="false">Sens!I18572+Sens!I18654</f>
        <v>144.220444477063</v>
      </c>
      <c r="J18656" s="6" t="n">
        <f aca="false">Sens!J18572+Sens!J18654</f>
        <v>164.733540097367</v>
      </c>
      <c r="K18656" s="6" t="n">
        <f aca="false">Sens!K18572+Sens!K18654</f>
        <v>178.617537949623</v>
      </c>
    </row>
    <row r="18657" customFormat="false" ht="17.15" hidden="false" customHeight="false" outlineLevel="0" collapsed="false">
      <c r="A18657" s="1" t="s">
        <v>1107</v>
      </c>
      <c r="B18657" s="0" t="s">
        <v>98</v>
      </c>
      <c r="F18657" s="6" t="n">
        <f aca="false">Sens!F18599*sbc_r</f>
        <v>14.7571042330968</v>
      </c>
      <c r="G18657" s="6" t="n">
        <f aca="false">Sens!G18599*sbc_r</f>
        <v>17.6518830908226</v>
      </c>
      <c r="H18657" s="6" t="n">
        <f aca="false">Sens!H18599*sbc_r</f>
        <v>20.6138584458826</v>
      </c>
      <c r="I18657" s="6" t="n">
        <f aca="false">Sens!I18599*sbc_r</f>
        <v>23.3331537595534</v>
      </c>
      <c r="J18657" s="6" t="n">
        <f aca="false">Sens!J18599*sbc_r</f>
        <v>25.5588650666007</v>
      </c>
      <c r="K18657" s="6" t="n">
        <f aca="false">Sens!K18599*sbc_r</f>
        <v>27.3454909215102</v>
      </c>
    </row>
    <row r="18658" customFormat="false" ht="17.15" hidden="false" customHeight="false" outlineLevel="0" collapsed="false">
      <c r="A18658" s="1" t="s">
        <v>1108</v>
      </c>
      <c r="B18658" s="0" t="s">
        <v>98</v>
      </c>
      <c r="F18658" s="6" t="n">
        <f aca="false">wc27-wc26q1</f>
        <v>-4.677</v>
      </c>
      <c r="G18658" s="6" t="n">
        <f aca="false">wc_f</f>
        <v>0</v>
      </c>
      <c r="H18658" s="6" t="n">
        <f aca="false">wc_f</f>
        <v>0</v>
      </c>
      <c r="I18658" s="6" t="n">
        <f aca="false">wc_f</f>
        <v>0</v>
      </c>
      <c r="J18658" s="6" t="n">
        <f aca="false">wc_f</f>
        <v>0</v>
      </c>
      <c r="K18658" s="6" t="n">
        <f aca="false">wc_f</f>
        <v>0</v>
      </c>
      <c r="L18658" s="12" t="s">
        <v>1109</v>
      </c>
    </row>
    <row r="18659" customFormat="false" ht="17.15" hidden="false" customHeight="false" outlineLevel="0" collapsed="false">
      <c r="A18659" s="0" t="s">
        <v>1110</v>
      </c>
      <c r="B18659" s="0" t="s">
        <v>98</v>
      </c>
      <c r="F18659" s="6" t="n">
        <f aca="false">Q!$I$35-Q!$I$26-Q!$I$38-Q!$I$39</f>
        <v>6.493</v>
      </c>
      <c r="L18659" s="1" t="s">
        <v>1111</v>
      </c>
    </row>
    <row r="18660" customFormat="false" ht="15" hidden="false" customHeight="false" outlineLevel="0" collapsed="false">
      <c r="A18660" s="1" t="s">
        <v>908</v>
      </c>
      <c r="B18660" s="0" t="s">
        <v>98</v>
      </c>
      <c r="E18660" s="6" t="n">
        <f aca="false">Q!M35</f>
        <v>182.935</v>
      </c>
      <c r="F18660" s="6" t="n">
        <f aca="false">Sens!F18653+Sens!F18656+Sens!F18657+Sens!F18658+Sens!F18659</f>
        <v>218.410661884344</v>
      </c>
      <c r="G18660" s="6" t="n">
        <f aca="false">Sens!G18653+Sens!G18656+Sens!G18657+Sens!G18658</f>
        <v>259.507961326002</v>
      </c>
      <c r="H18660" s="6" t="n">
        <f aca="false">Sens!H18653+Sens!H18656+Sens!H18657+Sens!H18658</f>
        <v>308.925230600927</v>
      </c>
      <c r="I18660" s="6" t="n">
        <f aca="false">Sens!I18653+Sens!I18656+Sens!I18657+Sens!I18658</f>
        <v>354.492781854329</v>
      </c>
      <c r="J18660" s="6" t="n">
        <f aca="false">Sens!J18653+Sens!J18656+Sens!J18657+Sens!J18658</f>
        <v>391.552046494348</v>
      </c>
      <c r="K18660" s="6" t="n">
        <f aca="false">Sens!K18653+Sens!K18656+Sens!K18657+Sens!K18658</f>
        <v>421.125074539275</v>
      </c>
    </row>
    <row r="18661" customFormat="false" ht="17.15" hidden="false" customHeight="false" outlineLevel="0" collapsed="false">
      <c r="A18661" s="0" t="s">
        <v>1112</v>
      </c>
      <c r="B18661" s="0" t="s">
        <v>98</v>
      </c>
      <c r="F18661" s="6" t="n">
        <f aca="false">Sens!F18569</f>
        <v>168.45390404212</v>
      </c>
      <c r="G18661" s="6" t="n">
        <f aca="false">Sens!G18569</f>
        <v>191.944475649048</v>
      </c>
      <c r="H18661" s="6" t="n">
        <f aca="false">Sens!H18569</f>
        <v>196.806004064512</v>
      </c>
      <c r="I18661" s="6" t="n">
        <f aca="false">Sens!I18569</f>
        <v>168.61483362161</v>
      </c>
      <c r="J18661" s="6" t="n">
        <f aca="false">Sens!J18569</f>
        <v>128.92993119594</v>
      </c>
      <c r="K18661" s="6" t="n">
        <f aca="false">Sens!K18569</f>
        <v>118.962853064733</v>
      </c>
    </row>
    <row r="18662" customFormat="false" ht="17.15" hidden="false" customHeight="false" outlineLevel="0" collapsed="false">
      <c r="A18662" s="1" t="s">
        <v>1113</v>
      </c>
      <c r="B18662" s="0" t="s">
        <v>98</v>
      </c>
      <c r="E18662" s="6" t="n">
        <f aca="false">Sens!E18577*cx_azo+Sens!E18584*cx_m365+Sens!E18585*cx_lic+(Sens!E18587+Sens!E18589)*cx_ind+Sens!E18592*cx_srch+(Sens!E18594+Sens!E18596)*cx_dev</f>
        <v>30.1846587067718</v>
      </c>
      <c r="F18662" s="6" t="n">
        <f aca="false">Sens!F18577*cx_azo+Sens!F18584*cx_m365+Sens!F18585*cx_lic+(Sens!F18587+Sens!F18589)*cx_ind+Sens!F18592*cx_srch+(Sens!F18594+Sens!F18596)*cx_dev</f>
        <v>35.6173216794711</v>
      </c>
      <c r="G18662" s="6" t="n">
        <f aca="false">Sens!G18577*cx_azo+Sens!G18584*cx_m365+Sens!G18585*cx_lic+(Sens!G18587+Sens!G18589)*cx_ind+Sens!G18592*cx_srch+(Sens!G18594+Sens!G18596)*cx_dev</f>
        <v>41.2319245452428</v>
      </c>
      <c r="H18662" s="6" t="n">
        <f aca="false">Sens!H18577*cx_azo+Sens!H18584*cx_m365+Sens!H18585*cx_lic+(Sens!H18587+Sens!H18589)*cx_ind+Sens!H18592*cx_srch+(Sens!H18594+Sens!H18596)*cx_dev</f>
        <v>46.9316231473953</v>
      </c>
      <c r="I18662" s="6" t="n">
        <f aca="false">Sens!I18577*cx_azo+Sens!I18584*cx_m365+Sens!I18585*cx_lic+(Sens!I18587+Sens!I18589)*cx_ind+Sens!I18592*cx_srch+(Sens!I18594+Sens!I18596)*cx_dev</f>
        <v>52.3573187731934</v>
      </c>
      <c r="J18662" s="6" t="n">
        <f aca="false">Sens!J18577*cx_azo+Sens!J18584*cx_m365+Sens!J18585*cx_lic+(Sens!J18587+Sens!J18589)*cx_ind+Sens!J18592*cx_srch+(Sens!J18594+Sens!J18596)*cx_dev</f>
        <v>57.2737574350737</v>
      </c>
      <c r="K18662" s="6" t="n">
        <f aca="false">Sens!K18577*cx_azo+Sens!K18584*cx_m365+Sens!K18585*cx_lic+(Sens!K18587+Sens!K18589)*cx_ind+Sens!K18592*cx_srch+(Sens!K18594+Sens!K18596)*cx_dev</f>
        <v>61.5878805569504</v>
      </c>
    </row>
    <row r="18663" customFormat="false" ht="17.15" hidden="false" customHeight="false" outlineLevel="0" collapsed="false">
      <c r="A18663" s="0" t="s">
        <v>1114</v>
      </c>
      <c r="B18663" s="0" t="s">
        <v>98</v>
      </c>
      <c r="F18663" s="6" t="n">
        <f aca="false">Sens!F18567</f>
        <v>0.128774278409338</v>
      </c>
      <c r="L18663" s="1" t="s">
        <v>1115</v>
      </c>
    </row>
    <row r="18664" customFormat="false" ht="17.15" hidden="false" customHeight="false" outlineLevel="0" collapsed="false">
      <c r="A18664" s="1" t="s">
        <v>1116</v>
      </c>
      <c r="B18664" s="0" t="s">
        <v>98</v>
      </c>
      <c r="E18664" s="6" t="n">
        <f aca="false">Q!M43</f>
        <v>145.3</v>
      </c>
      <c r="F18664" s="6" t="n">
        <f aca="false">Sens!F18661+Sens!F18662+Sens!F18663</f>
        <v>204.2</v>
      </c>
      <c r="G18664" s="6" t="n">
        <f aca="false">Sens!G18661+Sens!G18662</f>
        <v>233.176400194291</v>
      </c>
      <c r="H18664" s="6" t="n">
        <f aca="false">Sens!H18661+Sens!H18662</f>
        <v>243.737627211908</v>
      </c>
      <c r="I18664" s="6" t="n">
        <f aca="false">Sens!I18661+Sens!I18662</f>
        <v>220.972152394804</v>
      </c>
      <c r="J18664" s="6" t="n">
        <f aca="false">Sens!J18661+Sens!J18662</f>
        <v>186.203688631014</v>
      </c>
      <c r="K18664" s="6" t="n">
        <f aca="false">Sens!K18661+Sens!K18662</f>
        <v>180.550733621683</v>
      </c>
      <c r="L18664" s="1" t="s">
        <v>1117</v>
      </c>
    </row>
    <row r="18665" customFormat="false" ht="15" hidden="false" customHeight="false" outlineLevel="0" collapsed="false">
      <c r="A18665" s="1" t="s">
        <v>1118</v>
      </c>
      <c r="B18665" s="0" t="s">
        <v>98</v>
      </c>
      <c r="E18665" s="6" t="n">
        <f aca="false">fl_liab</f>
        <v>66.594</v>
      </c>
      <c r="F18665" s="6" t="n">
        <f aca="false">Sens!E18665-Sens!F18666</f>
        <v>62.46973</v>
      </c>
      <c r="G18665" s="6" t="n">
        <f aca="false">Sens!F18665-Sens!G18666</f>
        <v>57.98686785</v>
      </c>
      <c r="H18665" s="6" t="n">
        <f aca="false">Sens!G18665-Sens!H18666</f>
        <v>53.92827690325</v>
      </c>
      <c r="I18665" s="6" t="n">
        <f aca="false">Sens!H18665-Sens!I18666</f>
        <v>49.7850493638962</v>
      </c>
      <c r="J18665" s="6" t="n">
        <f aca="false">Sens!I18665-Sens!J18666</f>
        <v>45.4823765852716</v>
      </c>
      <c r="K18665" s="6" t="n">
        <f aca="false">Sens!J18665-Sens!K18666</f>
        <v>40.9860835316088</v>
      </c>
    </row>
    <row r="18666" customFormat="false" ht="15" hidden="false" customHeight="false" outlineLevel="0" collapsed="false">
      <c r="A18666" s="1" t="s">
        <v>1119</v>
      </c>
      <c r="B18666" s="0" t="s">
        <v>98</v>
      </c>
      <c r="F18666" s="6" t="n">
        <f aca="false">fl_pay_27-Sens!E18665*fl_rate</f>
        <v>4.12427</v>
      </c>
      <c r="G18666" s="6" t="n">
        <f aca="false">fl_pay_28-Sens!F18665*fl_rate</f>
        <v>4.48286215</v>
      </c>
      <c r="H18666" s="6" t="n">
        <f aca="false">fl_pay_29-Sens!G18665*fl_rate</f>
        <v>4.05859094675</v>
      </c>
      <c r="I18666" s="6" t="n">
        <f aca="false">fl_pay_30-Sens!H18665*fl_rate</f>
        <v>4.14322753935375</v>
      </c>
      <c r="J18666" s="6" t="n">
        <f aca="false">fl_pay_31-Sens!I18665*fl_rate</f>
        <v>4.30267277862467</v>
      </c>
      <c r="K18666" s="6" t="n">
        <f aca="false">fl_pay_32-Sens!J18665*fl_rate</f>
        <v>4.49629305366278</v>
      </c>
    </row>
    <row r="18667" customFormat="false" ht="17.15" hidden="false" customHeight="false" outlineLevel="0" collapsed="false">
      <c r="A18667" s="1" t="s">
        <v>1120</v>
      </c>
      <c r="B18667" s="0" t="s">
        <v>98</v>
      </c>
      <c r="E18667" s="6" t="n">
        <f aca="false">Q!M35-Q!M36-Q!M44</f>
        <v>63.886</v>
      </c>
      <c r="F18667" s="6" t="n">
        <f aca="false">Sens!F18660-Sens!F18664-Sens!F18666</f>
        <v>10.0863918843439</v>
      </c>
      <c r="G18667" s="6" t="n">
        <f aca="false">Sens!G18660-Sens!G18664-Sens!G18666</f>
        <v>21.848698981711</v>
      </c>
      <c r="H18667" s="6" t="n">
        <f aca="false">Sens!H18660-Sens!H18664-Sens!H18666</f>
        <v>61.1290124422693</v>
      </c>
      <c r="I18667" s="6" t="n">
        <f aca="false">Sens!I18660-Sens!I18664-Sens!I18666</f>
        <v>129.377401920172</v>
      </c>
      <c r="J18667" s="6" t="n">
        <f aca="false">Sens!J18660-Sens!J18664-Sens!J18666</f>
        <v>201.045685084709</v>
      </c>
      <c r="K18667" s="6" t="n">
        <f aca="false">Sens!K18660-Sens!K18664-Sens!K18666</f>
        <v>236.078047863929</v>
      </c>
      <c r="L18667" s="12" t="s">
        <v>1121</v>
      </c>
    </row>
    <row r="18668" customFormat="false" ht="15" hidden="false" customHeight="false" outlineLevel="0" collapsed="false">
      <c r="A18668" s="1" t="s">
        <v>1122</v>
      </c>
      <c r="B18668" s="0" t="s">
        <v>75</v>
      </c>
      <c r="F18668" s="8" t="n">
        <f aca="false">dps_27</f>
        <v>3.85</v>
      </c>
      <c r="G18668" s="8" t="n">
        <f aca="false">Sens!F18668*(1+dps_g)</f>
        <v>4.158</v>
      </c>
      <c r="H18668" s="8" t="n">
        <f aca="false">Sens!G18668*(1+dps_g)</f>
        <v>4.49064</v>
      </c>
      <c r="I18668" s="8" t="n">
        <f aca="false">Sens!H18668*(1+dps_g)</f>
        <v>4.8498912</v>
      </c>
      <c r="J18668" s="8" t="n">
        <f aca="false">Sens!I18668*(1+dps_g)</f>
        <v>5.237882496</v>
      </c>
      <c r="K18668" s="8" t="n">
        <f aca="false">Sens!J18668*(1+dps_g)</f>
        <v>5.65691309568</v>
      </c>
    </row>
    <row r="18669" customFormat="false" ht="17.15" hidden="false" customHeight="false" outlineLevel="0" collapsed="false">
      <c r="A18669" s="1" t="s">
        <v>1123</v>
      </c>
      <c r="B18669" s="0" t="s">
        <v>98</v>
      </c>
      <c r="E18669" s="6" t="n">
        <f aca="false">Q!M41</f>
        <v>26.445</v>
      </c>
      <c r="F18669" s="6" t="n">
        <f aca="false">Sens!F18668*Sens!E18678</f>
        <v>28.59395</v>
      </c>
      <c r="G18669" s="6" t="n">
        <f aca="false">Sens!G18668*Sens!F18678</f>
        <v>31.068576</v>
      </c>
      <c r="H18669" s="6" t="n">
        <f aca="false">Sens!H18668*Sens!G18678</f>
        <v>33.75614088</v>
      </c>
      <c r="I18669" s="6" t="n">
        <f aca="false">Sens!I18668*Sens!H18678</f>
        <v>36.5070704274727</v>
      </c>
      <c r="J18669" s="6" t="n">
        <f aca="false">Sens!J18668*Sens!I18678</f>
        <v>39.4955339470631</v>
      </c>
      <c r="K18669" s="6" t="n">
        <f aca="false">Sens!K18668*Sens!J18678</f>
        <v>42.7419309252064</v>
      </c>
      <c r="L18669" s="1" t="s">
        <v>1124</v>
      </c>
    </row>
    <row r="18670" customFormat="false" ht="15" hidden="false" customHeight="false" outlineLevel="0" collapsed="false">
      <c r="A18670" s="1" t="s">
        <v>1125</v>
      </c>
      <c r="B18670" s="0" t="s">
        <v>98</v>
      </c>
      <c r="E18670" s="6" t="n">
        <f aca="false">Sens!E18667-Sens!E18669</f>
        <v>37.441</v>
      </c>
      <c r="F18670" s="6" t="n">
        <f aca="false">Sens!F18667-Sens!F18669</f>
        <v>-18.5075581156561</v>
      </c>
      <c r="G18670" s="6" t="n">
        <f aca="false">Sens!G18667-Sens!G18669</f>
        <v>-9.21987701828903</v>
      </c>
      <c r="H18670" s="6" t="n">
        <f aca="false">Sens!H18667-Sens!H18669</f>
        <v>27.3728715622693</v>
      </c>
      <c r="I18670" s="6" t="n">
        <f aca="false">Sens!I18667-Sens!I18669</f>
        <v>92.8703314926991</v>
      </c>
      <c r="J18670" s="6" t="n">
        <f aca="false">Sens!J18667-Sens!J18669</f>
        <v>161.550151137646</v>
      </c>
      <c r="K18670" s="6" t="n">
        <f aca="false">Sens!K18667-Sens!K18669</f>
        <v>193.336116938722</v>
      </c>
    </row>
    <row r="18671" customFormat="false" ht="15" hidden="false" customHeight="false" outlineLevel="0" collapsed="false">
      <c r="A18671" s="1" t="s">
        <v>1126</v>
      </c>
      <c r="B18671" s="0" t="s">
        <v>98</v>
      </c>
      <c r="F18671" s="6" t="n">
        <f aca="false">debt_mat_27</f>
        <v>9.25</v>
      </c>
      <c r="G18671" s="6" t="n">
        <f aca="false">debt_mat_28</f>
        <v>0</v>
      </c>
      <c r="H18671" s="6" t="n">
        <f aca="false">debt_mat_29</f>
        <v>2.001</v>
      </c>
      <c r="I18671" s="6" t="n">
        <f aca="false">debt_mat_30</f>
        <v>0</v>
      </c>
      <c r="J18671" s="6" t="n">
        <f aca="false">debt_mat_31</f>
        <v>0.5</v>
      </c>
      <c r="K18671" s="6" t="n">
        <f aca="false">debt_mat_32</f>
        <v>0</v>
      </c>
    </row>
    <row r="18672" customFormat="false" ht="15" hidden="false" customHeight="false" outlineLevel="0" collapsed="false">
      <c r="A18672" s="1" t="s">
        <v>1127</v>
      </c>
      <c r="B18672" s="0" t="s">
        <v>98</v>
      </c>
      <c r="E18672" s="6" t="n">
        <f aca="false">Q!M40</f>
        <v>22.271</v>
      </c>
      <c r="F18672" s="6" t="n">
        <f aca="false">MAX(0,MIN(bb_target,Sens!E18674+Sens!F18670-Sens!F18671-min_cash))</f>
        <v>0</v>
      </c>
      <c r="G18672" s="6" t="n">
        <f aca="false">MAX(0,MIN(bb_target,Sens!F18674+Sens!G18670-Sens!G18671-min_cash))</f>
        <v>0</v>
      </c>
      <c r="H18672" s="6" t="n">
        <f aca="false">MAX(0,MIN(bb_target,Sens!G18674+Sens!H18670-Sens!H18671-min_cash))</f>
        <v>22.271</v>
      </c>
      <c r="I18672" s="6" t="n">
        <f aca="false">MAX(0,MIN(bb_target,Sens!H18674+Sens!I18670-Sens!I18671-min_cash))</f>
        <v>22.271</v>
      </c>
      <c r="J18672" s="6" t="n">
        <f aca="false">MAX(0,MIN(bb_target,Sens!I18674+Sens!J18670-Sens!J18671-min_cash))</f>
        <v>22.271</v>
      </c>
      <c r="K18672" s="6" t="n">
        <f aca="false">MAX(0,MIN(bb_target,Sens!J18674+Sens!K18670-Sens!K18671-min_cash))</f>
        <v>22.271</v>
      </c>
    </row>
    <row r="18673" customFormat="false" ht="15" hidden="false" customHeight="false" outlineLevel="0" collapsed="false">
      <c r="A18673" s="1" t="s">
        <v>1128</v>
      </c>
      <c r="B18673" s="0" t="s">
        <v>98</v>
      </c>
      <c r="F18673" s="6" t="n">
        <f aca="false">MAX(0,min_cash-(Sens!E18674+Sens!F18670-Sens!F18671-Sens!F18672))</f>
        <v>0.914558115656078</v>
      </c>
      <c r="G18673" s="6" t="n">
        <f aca="false">MAX(0,min_cash-(Sens!F18674+Sens!G18670-Sens!G18671-Sens!G18672))</f>
        <v>9.21987701828903</v>
      </c>
      <c r="H18673" s="6" t="n">
        <f aca="false">MAX(0,min_cash-(Sens!G18674+Sens!H18670-Sens!H18671-Sens!H18672))</f>
        <v>0</v>
      </c>
      <c r="I18673" s="6" t="n">
        <f aca="false">MAX(0,min_cash-(Sens!H18674+Sens!I18670-Sens!I18671-Sens!I18672))</f>
        <v>0</v>
      </c>
      <c r="J18673" s="6" t="n">
        <f aca="false">MAX(0,min_cash-(Sens!I18674+Sens!J18670-Sens!J18671-Sens!J18672))</f>
        <v>0</v>
      </c>
      <c r="K18673" s="6" t="n">
        <f aca="false">MAX(0,min_cash-(Sens!J18674+Sens!K18670-Sens!K18671-Sens!K18672))</f>
        <v>0</v>
      </c>
    </row>
    <row r="18674" customFormat="false" ht="15" hidden="false" customHeight="false" outlineLevel="0" collapsed="false">
      <c r="A18674" s="1" t="s">
        <v>1129</v>
      </c>
      <c r="B18674" s="0" t="s">
        <v>98</v>
      </c>
      <c r="E18674" s="6" t="n">
        <f aca="false">cash_open</f>
        <v>76.843</v>
      </c>
      <c r="F18674" s="6" t="n">
        <f aca="false">Sens!E18674+Sens!F18670-Sens!F18671-Sens!F18672+Sens!F18673</f>
        <v>50</v>
      </c>
      <c r="G18674" s="6" t="n">
        <f aca="false">Sens!F18674+Sens!G18670-Sens!G18671-Sens!G18672+Sens!G18673</f>
        <v>50</v>
      </c>
      <c r="H18674" s="6" t="n">
        <f aca="false">Sens!G18674+Sens!H18670-Sens!H18671-Sens!H18672+Sens!H18673</f>
        <v>53.1008715622693</v>
      </c>
      <c r="I18674" s="6" t="n">
        <f aca="false">Sens!H18674+Sens!I18670-Sens!I18671-Sens!I18672+Sens!I18673</f>
        <v>123.700203054968</v>
      </c>
      <c r="J18674" s="6" t="n">
        <f aca="false">Sens!I18674+Sens!J18670-Sens!J18671-Sens!J18672+Sens!J18673</f>
        <v>262.479354192614</v>
      </c>
      <c r="K18674" s="6" t="n">
        <f aca="false">Sens!J18674+Sens!K18670-Sens!K18671-Sens!K18672+Sens!K18673</f>
        <v>433.544471131336</v>
      </c>
    </row>
    <row r="18675" customFormat="false" ht="15" hidden="false" customHeight="false" outlineLevel="0" collapsed="false">
      <c r="A18675" s="1" t="s">
        <v>1130</v>
      </c>
      <c r="B18675" s="0" t="s">
        <v>98</v>
      </c>
      <c r="E18675" s="6" t="n">
        <f aca="false">debt_face</f>
        <v>46.136</v>
      </c>
      <c r="F18675" s="6" t="n">
        <f aca="false">Sens!E18675-Sens!F18671+Sens!F18673</f>
        <v>37.8005581156561</v>
      </c>
      <c r="G18675" s="6" t="n">
        <f aca="false">Sens!F18675-Sens!G18671+Sens!G18673</f>
        <v>47.0204351339451</v>
      </c>
      <c r="H18675" s="6" t="n">
        <f aca="false">Sens!G18675-Sens!H18671+Sens!H18673</f>
        <v>45.0194351339451</v>
      </c>
      <c r="I18675" s="6" t="n">
        <f aca="false">Sens!H18675-Sens!I18671+Sens!I18673</f>
        <v>45.0194351339451</v>
      </c>
      <c r="J18675" s="6" t="n">
        <f aca="false">Sens!I18675-Sens!J18671+Sens!J18673</f>
        <v>44.5194351339451</v>
      </c>
      <c r="K18675" s="6" t="n">
        <f aca="false">Sens!J18675-Sens!K18671+Sens!K18673</f>
        <v>44.5194351339451</v>
      </c>
    </row>
    <row r="18676" customFormat="false" ht="15" hidden="false" customHeight="false" outlineLevel="0" collapsed="false">
      <c r="A18676" s="1" t="s">
        <v>1131</v>
      </c>
      <c r="B18676" s="0" t="s">
        <v>98</v>
      </c>
      <c r="E18676" s="6" t="n">
        <f aca="false">Sens!E18674-Sens!E18675</f>
        <v>30.707</v>
      </c>
      <c r="F18676" s="6" t="n">
        <f aca="false">Sens!F18674-Sens!F18675</f>
        <v>12.1994418843439</v>
      </c>
      <c r="G18676" s="6" t="n">
        <f aca="false">Sens!G18674-Sens!G18675</f>
        <v>2.97956486605489</v>
      </c>
      <c r="H18676" s="6" t="n">
        <f aca="false">Sens!H18674-Sens!H18675</f>
        <v>8.08143642832415</v>
      </c>
      <c r="I18676" s="6" t="n">
        <f aca="false">Sens!I18674-Sens!I18675</f>
        <v>78.6807679210233</v>
      </c>
      <c r="J18676" s="6" t="n">
        <f aca="false">Sens!J18674-Sens!J18675</f>
        <v>217.959919058669</v>
      </c>
      <c r="K18676" s="6" t="n">
        <f aca="false">Sens!K18674-Sens!K18675</f>
        <v>389.025035997391</v>
      </c>
    </row>
    <row r="18677" customFormat="false" ht="15" hidden="false" customHeight="false" outlineLevel="0" collapsed="false">
      <c r="A18677" s="1" t="s">
        <v>1132</v>
      </c>
      <c r="B18677" s="0" t="s">
        <v>75</v>
      </c>
      <c r="F18677" s="30" t="n">
        <f aca="false">px*(1+bb_g)^(Sens!F18535-base_fy-mid_yr)</f>
        <v>551.84177959629</v>
      </c>
      <c r="G18677" s="30" t="n">
        <f aca="false">px*(1+bb_g)^(Sens!G18535-base_fy-mid_yr)</f>
        <v>595.989121963993</v>
      </c>
      <c r="H18677" s="30" t="n">
        <f aca="false">px*(1+bb_g)^(Sens!H18535-base_fy-mid_yr)</f>
        <v>643.668251721112</v>
      </c>
      <c r="I18677" s="30" t="n">
        <f aca="false">px*(1+bb_g)^(Sens!I18535-base_fy-mid_yr)</f>
        <v>695.161711858801</v>
      </c>
      <c r="J18677" s="30" t="n">
        <f aca="false">px*(1+bb_g)^(Sens!J18535-base_fy-mid_yr)</f>
        <v>750.774648807506</v>
      </c>
      <c r="K18677" s="30" t="n">
        <f aca="false">px*(1+bb_g)^(Sens!K18535-base_fy-mid_yr)</f>
        <v>810.836620712106</v>
      </c>
    </row>
    <row r="18678" customFormat="false" ht="15" hidden="false" customHeight="false" outlineLevel="0" collapsed="false">
      <c r="A18678" s="1" t="s">
        <v>1133</v>
      </c>
      <c r="B18678" s="1" t="s">
        <v>81</v>
      </c>
      <c r="E18678" s="15" t="n">
        <f aca="false">sh_out26</f>
        <v>7.427</v>
      </c>
      <c r="F18678" s="15" t="n">
        <f aca="false">Sens!E18678+sh_iss-Sens!F18672/Sens!F18677</f>
        <v>7.472</v>
      </c>
      <c r="G18678" s="15" t="n">
        <f aca="false">Sens!F18678+sh_iss-Sens!G18672/Sens!G18677</f>
        <v>7.517</v>
      </c>
      <c r="H18678" s="15" t="n">
        <f aca="false">Sens!G18678+sh_iss-Sens!H18672/Sens!H18677</f>
        <v>7.5273998780576</v>
      </c>
      <c r="I18678" s="15" t="n">
        <f aca="false">Sens!H18678+sh_iss-Sens!I18672/Sens!I18677</f>
        <v>7.54036272811094</v>
      </c>
      <c r="J18678" s="15" t="n">
        <f aca="false">Sens!I18678+sh_iss-Sens!J18672/Sens!J18677</f>
        <v>7.55569870038255</v>
      </c>
      <c r="K18678" s="15" t="n">
        <f aca="false">Sens!J18678+sh_iss-Sens!K18672/Sens!K18677</f>
        <v>7.57323200804144</v>
      </c>
    </row>
    <row r="18679" customFormat="false" ht="15" hidden="false" customHeight="false" outlineLevel="0" collapsed="false">
      <c r="A18679" s="1" t="s">
        <v>1134</v>
      </c>
      <c r="B18679" s="1" t="s">
        <v>81</v>
      </c>
      <c r="E18679" s="15" t="n">
        <f aca="false">sh_dil26</f>
        <v>7.453</v>
      </c>
      <c r="F18679" s="15" t="n">
        <f aca="false">(Sens!E18678+Sens!F18678)/2+dil_gap</f>
        <v>7.4735</v>
      </c>
      <c r="G18679" s="15" t="n">
        <f aca="false">(Sens!F18678+Sens!G18678)/2+dil_gap</f>
        <v>7.5185</v>
      </c>
      <c r="H18679" s="15" t="n">
        <f aca="false">(Sens!G18678+Sens!H18678)/2+dil_gap</f>
        <v>7.5461999390288</v>
      </c>
      <c r="I18679" s="15" t="n">
        <f aca="false">(Sens!H18678+Sens!I18678)/2+dil_gap</f>
        <v>7.55788130308427</v>
      </c>
      <c r="J18679" s="15" t="n">
        <f aca="false">(Sens!I18678+Sens!J18678)/2+dil_gap</f>
        <v>7.57203071424674</v>
      </c>
      <c r="K18679" s="15" t="n">
        <f aca="false">(Sens!J18678+Sens!K18678)/2+dil_gap</f>
        <v>7.58846535421199</v>
      </c>
    </row>
    <row r="18680" customFormat="false" ht="17.15" hidden="false" customHeight="false" outlineLevel="0" collapsed="false">
      <c r="A18680" s="1" t="s">
        <v>1135</v>
      </c>
      <c r="B18680" s="0" t="s">
        <v>98</v>
      </c>
      <c r="C18680" s="6" t="n">
        <f aca="false">SUM(Sens!F18670:J18670)</f>
        <v>254.065919058669</v>
      </c>
    </row>
    <row r="18681" customFormat="false" ht="15" hidden="false" customHeight="false" outlineLevel="0" collapsed="false">
      <c r="A18681" s="26" t="s">
        <v>1100</v>
      </c>
      <c r="B18681" s="31" t="s">
        <v>98</v>
      </c>
      <c r="C18681" s="27" t="n">
        <f aca="false">Sens!$C$18680-(Sens!F18670+Sens!G18670+Sens!H18670+Sens!I18670+Sens!J18670)</f>
        <v>0</v>
      </c>
      <c r="D18681" s="31"/>
      <c r="E18681" s="31"/>
      <c r="F18681" s="31"/>
      <c r="G18681" s="31"/>
      <c r="H18681" s="31"/>
      <c r="I18681" s="31"/>
      <c r="J18681" s="31"/>
      <c r="K18681" s="31"/>
    </row>
    <row r="18682" customFormat="false" ht="17.15" hidden="false" customHeight="false" outlineLevel="0" collapsed="false">
      <c r="A18682" s="1" t="s">
        <v>1094</v>
      </c>
      <c r="B18682" s="1" t="s">
        <v>1136</v>
      </c>
      <c r="C18682" s="33" t="str">
        <f aca="false">IF(SUM(Sens!F18673:J18673)&gt;0.05,"需要舉債 "&amp;TEXT(SUM(Sens!F18673:J18673),"0.0")&amp;" 十億美元","不需舉債")&amp;"；"&amp;IF(SUM(Sens!F18672:J18672)&lt;COUNT(Sens!F18672:J18672)*bb_target-0.05,"回購較每年 "&amp;TEXT(bb_target,"0.0")&amp;" 的目標少 "&amp;TEXT(COUNT(Sens!F18672:J18672)*bb_target-SUM(Sens!F18672:J18672),"0.0")&amp;" 十億美元（"&amp;TEXT(COUNTIF(Sens!F18672:J18672,"&lt;"&amp;(bb_target-0.05)),"0")&amp;" 年減少）","回購不減")</f>
        <v>需要舉債 10.1 十億美元；回購較每年 22.3 的目標少 44.5 十億美元（2 年減少）</v>
      </c>
    </row>
    <row r="18683" customFormat="false" ht="17.15" hidden="false" customHeight="false" outlineLevel="0" collapsed="false">
      <c r="A18683" s="3" t="s">
        <v>2073</v>
      </c>
    </row>
    <row r="18684" customFormat="false" ht="15" hidden="false" customHeight="false" outlineLevel="0" collapsed="false">
      <c r="A18684" s="4" t="s">
        <v>43</v>
      </c>
      <c r="B18684" s="4" t="s">
        <v>65</v>
      </c>
      <c r="C18684" s="23" t="s">
        <v>942</v>
      </c>
      <c r="D18684" s="23" t="s">
        <v>943</v>
      </c>
      <c r="E18684" s="23" t="s">
        <v>944</v>
      </c>
      <c r="F18684" s="23" t="s">
        <v>945</v>
      </c>
      <c r="G18684" s="23" t="s">
        <v>946</v>
      </c>
      <c r="H18684" s="23" t="s">
        <v>947</v>
      </c>
      <c r="I18684" s="23" t="s">
        <v>948</v>
      </c>
      <c r="J18684" s="23" t="s">
        <v>949</v>
      </c>
      <c r="K18684" s="23" t="s">
        <v>950</v>
      </c>
      <c r="L18684" s="4" t="s">
        <v>47</v>
      </c>
    </row>
    <row r="18685" customFormat="false" ht="17.15" hidden="false" customHeight="false" outlineLevel="0" collapsed="false">
      <c r="A18685" s="1" t="s">
        <v>1216</v>
      </c>
      <c r="B18685" s="1" t="s">
        <v>279</v>
      </c>
      <c r="F18685" s="8" t="n">
        <f aca="false">(1-v_off)*mid_yr</f>
        <v>0.373972602739726</v>
      </c>
      <c r="G18685" s="8" t="n">
        <f aca="false">Sens!G18535-base_fy-mid_yr-v_off</f>
        <v>1.24794520547945</v>
      </c>
      <c r="H18685" s="8" t="n">
        <f aca="false">Sens!H18535-base_fy-mid_yr-v_off</f>
        <v>2.24794520547945</v>
      </c>
      <c r="I18685" s="8" t="n">
        <f aca="false">Sens!I18535-base_fy-mid_yr-v_off</f>
        <v>3.24794520547945</v>
      </c>
      <c r="J18685" s="8" t="n">
        <f aca="false">Sens!J18535-base_fy-mid_yr-v_off</f>
        <v>4.24794520547945</v>
      </c>
      <c r="K18685" s="8" t="n">
        <f aca="false">Sens!K18535-base_fy-mid_yr-v_off</f>
        <v>5.24794520547945</v>
      </c>
      <c r="L18685" s="12" t="s">
        <v>1217</v>
      </c>
    </row>
    <row r="18686" customFormat="false" ht="15" hidden="false" customHeight="false" outlineLevel="0" collapsed="false">
      <c r="A18686" s="1" t="s">
        <v>1218</v>
      </c>
      <c r="B18686" s="1" t="s">
        <v>279</v>
      </c>
      <c r="F18686" s="8" t="n">
        <f aca="false">Sens!F18535-base_fy-v_off</f>
        <v>0.747945205479452</v>
      </c>
      <c r="G18686" s="8" t="n">
        <f aca="false">Sens!G18535-base_fy-v_off</f>
        <v>1.74794520547945</v>
      </c>
      <c r="H18686" s="8" t="n">
        <f aca="false">Sens!H18535-base_fy-v_off</f>
        <v>2.74794520547945</v>
      </c>
      <c r="I18686" s="8" t="n">
        <f aca="false">Sens!I18535-base_fy-v_off</f>
        <v>3.74794520547945</v>
      </c>
      <c r="J18686" s="8" t="n">
        <f aca="false">Sens!J18535-base_fy-v_off</f>
        <v>4.74794520547945</v>
      </c>
      <c r="K18686" s="8" t="n">
        <f aca="false">Sens!K18535-base_fy-v_off</f>
        <v>5.74794520547945</v>
      </c>
    </row>
    <row r="18687" customFormat="false" ht="15" hidden="false" customHeight="false" outlineLevel="0" collapsed="false">
      <c r="A18687" s="1" t="s">
        <v>1219</v>
      </c>
      <c r="B18687" s="0" t="s">
        <v>229</v>
      </c>
      <c r="F18687" s="15" t="n">
        <f aca="false">1/(1+wacc)^Sens!F18685</f>
        <v>0.964022703286649</v>
      </c>
      <c r="G18687" s="15" t="n">
        <f aca="false">1/(1+wacc)^Sens!G18685</f>
        <v>0.884910302296739</v>
      </c>
      <c r="H18687" s="15" t="n">
        <f aca="false">1/(1+wacc)^Sens!H18685</f>
        <v>0.802322009770358</v>
      </c>
      <c r="I18687" s="15" t="n">
        <f aca="false">1/(1+wacc)^Sens!I18685</f>
        <v>0.727441646561469</v>
      </c>
      <c r="J18687" s="15" t="n">
        <f aca="false">1/(1+wacc)^Sens!J18685</f>
        <v>0.659549834988973</v>
      </c>
      <c r="K18687" s="15" t="n">
        <f aca="false">1/(1+wacc)^Sens!K18685</f>
        <v>0.597994336576966</v>
      </c>
    </row>
    <row r="18688" customFormat="false" ht="17.15" hidden="false" customHeight="false" outlineLevel="0" collapsed="false">
      <c r="A18688" s="1" t="s">
        <v>1220</v>
      </c>
      <c r="B18688" s="0" t="s">
        <v>98</v>
      </c>
      <c r="F18688" s="6" t="n">
        <f aca="false">Q!$I$35-Q!$I$39-Q!$I$43</f>
        <v>9.666</v>
      </c>
      <c r="L18688" s="12" t="s">
        <v>1221</v>
      </c>
    </row>
    <row r="18689" customFormat="false" ht="17.15" hidden="false" customHeight="false" outlineLevel="0" collapsed="false">
      <c r="A18689" s="1" t="s">
        <v>1222</v>
      </c>
      <c r="B18689" s="0" t="s">
        <v>98</v>
      </c>
      <c r="F18689" s="6" t="n">
        <f aca="false">Sens!F18660-Sens!F18657-Sens!F18664+Sens!F18642*(1-tax_f)*(1-v_off)-Sens!F18688</f>
        <v>-4.38454738622149</v>
      </c>
      <c r="G18689" s="6" t="n">
        <f aca="false">Sens!G18660-Sens!G18657-Sens!G18664+Sens!G18642*(1-tax_f)</f>
        <v>28.8999489176721</v>
      </c>
      <c r="H18689" s="6" t="n">
        <f aca="false">Sens!H18660-Sens!H18657-Sens!H18664+Sens!H18642*(1-tax_f)</f>
        <v>78.4009652389725</v>
      </c>
      <c r="I18689" s="6" t="n">
        <f aca="false">Sens!I18660-Sens!I18657-Sens!I18664+Sens!I18642*(1-tax_f)</f>
        <v>156.351430613237</v>
      </c>
      <c r="J18689" s="6" t="n">
        <f aca="false">Sens!J18660-Sens!J18657-Sens!J18664+Sens!J18642*(1-tax_f)</f>
        <v>234.575774469389</v>
      </c>
      <c r="K18689" s="6" t="n">
        <f aca="false">Sens!K18660-Sens!K18657-Sens!K18664+Sens!K18642*(1-tax_f)</f>
        <v>272.716719991541</v>
      </c>
      <c r="L18689" s="1" t="s">
        <v>1223</v>
      </c>
    </row>
    <row r="18690" customFormat="false" ht="15" hidden="false" customHeight="false" outlineLevel="0" collapsed="false">
      <c r="A18690" s="1" t="s">
        <v>1224</v>
      </c>
      <c r="B18690" s="0" t="s">
        <v>98</v>
      </c>
      <c r="F18690" s="6" t="n">
        <f aca="false">Sens!F18689*Sens!F18687</f>
        <v>-4.22680322395366</v>
      </c>
      <c r="G18690" s="6" t="n">
        <f aca="false">Sens!G18689*Sens!G18687</f>
        <v>25.5738625330976</v>
      </c>
      <c r="H18690" s="6" t="n">
        <f aca="false">Sens!H18689*Sens!H18687</f>
        <v>62.9028199984684</v>
      </c>
      <c r="I18690" s="6" t="n">
        <f aca="false">Sens!I18689*Sens!I18687</f>
        <v>113.736542127534</v>
      </c>
      <c r="J18690" s="6" t="n">
        <f aca="false">Sens!J18689*Sens!J18687</f>
        <v>154.714413343696</v>
      </c>
      <c r="K18690" s="6" t="n">
        <f aca="false">Sens!K18689*Sens!K18687</f>
        <v>163.083054044788</v>
      </c>
    </row>
    <row r="18691" customFormat="false" ht="17.15" hidden="false" customHeight="false" outlineLevel="0" collapsed="false">
      <c r="A18691" s="1" t="s">
        <v>1225</v>
      </c>
      <c r="B18691" s="0" t="s">
        <v>98</v>
      </c>
      <c r="C18691" s="6" t="n">
        <f aca="false">SUM(Sens!F18690:K18690)</f>
        <v>515.78388882363</v>
      </c>
    </row>
    <row r="18692" customFormat="false" ht="17.15" hidden="false" customHeight="false" outlineLevel="0" collapsed="false">
      <c r="A18692" s="1" t="s">
        <v>1226</v>
      </c>
      <c r="B18692" s="0" t="s">
        <v>98</v>
      </c>
      <c r="C18692" s="6" t="n">
        <f aca="false">Sens!K18628*(1+g_tv)*(1-tax_f)</f>
        <v>283.87821313351</v>
      </c>
    </row>
    <row r="18693" customFormat="false" ht="17.15" hidden="false" customHeight="false" outlineLevel="0" collapsed="false">
      <c r="A18693" s="1" t="s">
        <v>1227</v>
      </c>
      <c r="B18693" s="0" t="s">
        <v>98</v>
      </c>
      <c r="C18693" s="6" t="n">
        <f aca="false">Sens!$C$18692*(1-g_tv/(wacc+ronic_prem))</f>
        <v>201.14430563014</v>
      </c>
    </row>
    <row r="18694" customFormat="false" ht="17.15" hidden="false" customHeight="false" outlineLevel="0" collapsed="false">
      <c r="A18694" s="1" t="s">
        <v>1228</v>
      </c>
      <c r="B18694" s="0" t="s">
        <v>98</v>
      </c>
      <c r="C18694" s="6" t="n">
        <f aca="false">Sens!$C$18693/(wacc-g_tv)</f>
        <v>2757.796916779</v>
      </c>
    </row>
    <row r="18695" customFormat="false" ht="15" hidden="false" customHeight="false" outlineLevel="0" collapsed="false">
      <c r="A18695" s="1" t="s">
        <v>1229</v>
      </c>
      <c r="B18695" s="0" t="s">
        <v>98</v>
      </c>
      <c r="C18695" s="6" t="n">
        <f aca="false">Sens!$C$18694/(1+wacc)^Sens!K18686</f>
        <v>1570.30524077195</v>
      </c>
    </row>
    <row r="18696" customFormat="false" ht="17.15" hidden="false" customHeight="false" outlineLevel="0" collapsed="false">
      <c r="A18696" s="0" t="s">
        <v>1230</v>
      </c>
      <c r="B18696" s="0" t="s">
        <v>98</v>
      </c>
      <c r="C18696" s="6" t="n">
        <f aca="false">Sens!$C$18691+Sens!$C$18695</f>
        <v>2086.08912959558</v>
      </c>
    </row>
    <row r="18697" customFormat="false" ht="15" hidden="false" customHeight="false" outlineLevel="0" collapsed="false">
      <c r="A18697" s="1" t="s">
        <v>1145</v>
      </c>
      <c r="B18697" s="0" t="s">
        <v>168</v>
      </c>
      <c r="C18697" s="7" t="n">
        <f aca="false">Sens!$C$18695/Sens!$C$18696</f>
        <v>0.752750790219772</v>
      </c>
    </row>
    <row r="18698" customFormat="false" ht="17.15" hidden="false" customHeight="false" outlineLevel="0" collapsed="false">
      <c r="A18698" s="1" t="s">
        <v>1231</v>
      </c>
      <c r="B18698" s="0" t="s">
        <v>98</v>
      </c>
      <c r="C18698" s="6" t="n">
        <f aca="false">Sens!$C$18696+cash_val-debt_val-fl_val+oai_v</f>
        <v>2201.94012959558</v>
      </c>
    </row>
    <row r="18699" customFormat="false" ht="17.15" hidden="false" customHeight="false" outlineLevel="0" collapsed="false">
      <c r="A18699" s="0" t="s">
        <v>1153</v>
      </c>
      <c r="B18699" s="0" t="s">
        <v>75</v>
      </c>
      <c r="C18699" s="5" t="n">
        <f aca="false">Sens!$C$18698/shd_val</f>
        <v>295.721209991348</v>
      </c>
    </row>
    <row r="18700" customFormat="false" ht="15" hidden="false" customHeight="false" outlineLevel="0" collapsed="false">
      <c r="A18700" s="1" t="s">
        <v>1232</v>
      </c>
      <c r="B18700" s="0" t="s">
        <v>75</v>
      </c>
      <c r="C18700" s="8" t="n">
        <f aca="false">div_rem27+Sens!G18668*roll_div_q/q_per_yr</f>
        <v>3.9795</v>
      </c>
    </row>
    <row r="18701" customFormat="false" ht="17.15" hidden="false" customHeight="false" outlineLevel="0" collapsed="false">
      <c r="A18701" s="0" t="s">
        <v>1233</v>
      </c>
      <c r="B18701" s="0" t="s">
        <v>75</v>
      </c>
      <c r="C18701" s="5" t="n">
        <f aca="false">Sens!$C$18699*(1+wacc)^t_roll-Sens!$C$18700</f>
        <v>324.731129326076</v>
      </c>
    </row>
    <row r="18702" customFormat="false" ht="17.15" hidden="false" customHeight="false" outlineLevel="0" collapsed="false">
      <c r="A18702" s="1" t="s">
        <v>1234</v>
      </c>
      <c r="B18702" s="0" t="s">
        <v>168</v>
      </c>
      <c r="F18702" s="7" t="n">
        <f aca="false">Sens!F18654/(Sens!F18599-Sens!F18554)</f>
        <v>0.069487420072699</v>
      </c>
      <c r="G18702" s="7" t="n">
        <f aca="false">Sens!G18654/(Sens!G18599-Sens!G18554)</f>
        <v>0.0665398292328362</v>
      </c>
      <c r="H18702" s="7" t="n">
        <f aca="false">Sens!H18654/(Sens!H18599-Sens!H18554)</f>
        <v>0.0649855722482045</v>
      </c>
      <c r="I18702" s="7" t="n">
        <f aca="false">Sens!I18654/(Sens!I18599-Sens!I18554)</f>
        <v>0.0646922908467316</v>
      </c>
      <c r="J18702" s="7" t="n">
        <f aca="false">Sens!J18654/(Sens!J18599-Sens!J18554)</f>
        <v>0.0653667411122421</v>
      </c>
      <c r="K18702" s="7" t="n">
        <f aca="false">Sens!K18654/(Sens!K18599-Sens!K18554)</f>
        <v>0.0666529005695021</v>
      </c>
    </row>
    <row r="18703" customFormat="false" ht="17.15" hidden="false" customHeight="false" outlineLevel="0" collapsed="false">
      <c r="A18703" s="0" t="s">
        <v>1235</v>
      </c>
      <c r="B18703" s="0" t="s">
        <v>98</v>
      </c>
      <c r="F18703" s="6" t="n">
        <f aca="false">Sens!F18584*(al_m365+Sens!F18702+sbc_r)</f>
        <v>83.8234754297984</v>
      </c>
      <c r="G18703" s="6" t="n">
        <f aca="false">Sens!G18584*(al_m365+Sens!G18702+sbc_r)</f>
        <v>96.2267056123927</v>
      </c>
      <c r="H18703" s="6" t="n">
        <f aca="false">Sens!H18584*(al_m365+Sens!H18702+sbc_r)</f>
        <v>108.795861825183</v>
      </c>
      <c r="I18703" s="6" t="n">
        <f aca="false">Sens!I18584*(al_m365+Sens!I18702+sbc_r)</f>
        <v>120.350033491686</v>
      </c>
      <c r="J18703" s="6" t="n">
        <f aca="false">Sens!J18584*(al_m365+Sens!J18702+sbc_r)</f>
        <v>130.70134144754</v>
      </c>
      <c r="K18703" s="6" t="n">
        <f aca="false">Sens!K18584*(al_m365+Sens!K18702+sbc_r)</f>
        <v>140.666095367582</v>
      </c>
      <c r="L18703" s="12" t="s">
        <v>1236</v>
      </c>
    </row>
    <row r="18704" customFormat="false" ht="17.15" hidden="false" customHeight="false" outlineLevel="0" collapsed="false">
      <c r="A18704" s="0" t="s">
        <v>1237</v>
      </c>
      <c r="B18704" s="0" t="s">
        <v>98</v>
      </c>
      <c r="F18704" s="6" t="n">
        <f aca="false">Sens!F18585*(al_lic+Sens!F18702+sbc_r)</f>
        <v>32.8910783875152</v>
      </c>
      <c r="G18704" s="6" t="n">
        <f aca="false">Sens!G18585*(al_lic+Sens!G18702+sbc_r)</f>
        <v>34.165892968127</v>
      </c>
      <c r="H18704" s="6" t="n">
        <f aca="false">Sens!H18585*(al_lic+Sens!H18702+sbc_r)</f>
        <v>35.3572976955896</v>
      </c>
      <c r="I18704" s="6" t="n">
        <f aca="false">Sens!I18585*(al_lic+Sens!I18702+sbc_r)</f>
        <v>36.4469155460555</v>
      </c>
      <c r="J18704" s="6" t="n">
        <f aca="false">Sens!J18585*(al_lic+Sens!J18702+sbc_r)</f>
        <v>37.40903622521</v>
      </c>
      <c r="K18704" s="6" t="n">
        <f aca="false">Sens!K18585*(al_lic+Sens!K18702+sbc_r)</f>
        <v>38.2147675849063</v>
      </c>
    </row>
    <row r="18705" customFormat="false" ht="17.15" hidden="false" customHeight="false" outlineLevel="0" collapsed="false">
      <c r="A18705" s="0" t="s">
        <v>1238</v>
      </c>
      <c r="B18705" s="0" t="s">
        <v>98</v>
      </c>
      <c r="F18705" s="6" t="n">
        <f aca="false">Sens!F18587*(al_ind+Sens!F18702+sbc_r)</f>
        <v>9.0797841784923</v>
      </c>
      <c r="G18705" s="6" t="n">
        <f aca="false">Sens!G18587*(al_ind+Sens!G18702+sbc_r)</f>
        <v>9.85342476009629</v>
      </c>
      <c r="H18705" s="6" t="n">
        <f aca="false">Sens!H18587*(al_ind+Sens!H18702+sbc_r)</f>
        <v>10.6728251830112</v>
      </c>
      <c r="I18705" s="6" t="n">
        <f aca="false">Sens!I18587*(al_ind+Sens!I18702+sbc_r)</f>
        <v>11.534907961293</v>
      </c>
      <c r="J18705" s="6" t="n">
        <f aca="false">Sens!J18587*(al_ind+Sens!J18702+sbc_r)</f>
        <v>12.4298498254275</v>
      </c>
      <c r="K18705" s="6" t="n">
        <f aca="false">Sens!K18587*(al_ind+Sens!K18702+sbc_r)</f>
        <v>13.342411991798</v>
      </c>
    </row>
    <row r="18706" customFormat="false" ht="17.15" hidden="false" customHeight="false" outlineLevel="0" collapsed="false">
      <c r="A18706" s="0" t="s">
        <v>1239</v>
      </c>
      <c r="B18706" s="0" t="s">
        <v>98</v>
      </c>
      <c r="F18706" s="6" t="n">
        <f aca="false">Sens!F18589*(al_fro+Sens!F18702+sbc_r)</f>
        <v>3.56162644629142</v>
      </c>
      <c r="G18706" s="6" t="n">
        <f aca="false">Sens!G18589*(al_fro+Sens!G18702+sbc_r)</f>
        <v>3.77020909710978</v>
      </c>
      <c r="H18706" s="6" t="n">
        <f aca="false">Sens!H18589*(al_fro+Sens!H18702+sbc_r)</f>
        <v>4.00814677505003</v>
      </c>
      <c r="I18706" s="6" t="n">
        <f aca="false">Sens!I18589*(al_fro+Sens!I18702+sbc_r)</f>
        <v>4.27815867725025</v>
      </c>
      <c r="J18706" s="6" t="n">
        <f aca="false">Sens!J18589*(al_fro+Sens!J18702+sbc_r)</f>
        <v>4.58133232920427</v>
      </c>
      <c r="K18706" s="6" t="n">
        <f aca="false">Sens!K18589*(al_fro+Sens!K18702+sbc_r)</f>
        <v>4.91767996122868</v>
      </c>
    </row>
    <row r="18707" customFormat="false" ht="17.15" hidden="false" customHeight="false" outlineLevel="0" collapsed="false">
      <c r="A18707" s="0" t="s">
        <v>1240</v>
      </c>
      <c r="B18707" s="0" t="s">
        <v>98</v>
      </c>
      <c r="F18707" s="6" t="n">
        <f aca="false">Sens!F18592*(al_srch+Sens!F18702+sbc_r)</f>
        <v>11.2130076297701</v>
      </c>
      <c r="G18707" s="6" t="n">
        <f aca="false">Sens!G18592*(al_srch+Sens!G18702+sbc_r)</f>
        <v>12.2832226134834</v>
      </c>
      <c r="H18707" s="6" t="n">
        <f aca="false">Sens!H18592*(al_srch+Sens!H18702+sbc_r)</f>
        <v>13.3993341696542</v>
      </c>
      <c r="I18707" s="6" t="n">
        <f aca="false">Sens!I18592*(al_srch+Sens!I18702+sbc_r)</f>
        <v>14.5506972912634</v>
      </c>
      <c r="J18707" s="6" t="n">
        <f aca="false">Sens!J18592*(al_srch+Sens!J18702+sbc_r)</f>
        <v>15.7172028344747</v>
      </c>
      <c r="K18707" s="6" t="n">
        <f aca="false">Sens!K18592*(al_srch+Sens!K18702+sbc_r)</f>
        <v>16.8711125654331</v>
      </c>
    </row>
    <row r="18708" customFormat="false" ht="17.15" hidden="false" customHeight="false" outlineLevel="0" collapsed="false">
      <c r="A18708" s="0" t="s">
        <v>1241</v>
      </c>
      <c r="B18708" s="0" t="s">
        <v>98</v>
      </c>
      <c r="F18708" s="6" t="n">
        <f aca="false">Sens!F18560-Sens!F18561+Sens!F18642</f>
        <v>42.5431090240393</v>
      </c>
      <c r="G18708" s="6" t="n">
        <f aca="false">Sens!G18560-Sens!G18561+Sens!G18642</f>
        <v>81.4922561130847</v>
      </c>
      <c r="H18708" s="6" t="n">
        <f aca="false">Sens!H18560-Sens!H18561+Sens!H18642</f>
        <v>123.278266211349</v>
      </c>
      <c r="I18708" s="6" t="n">
        <f aca="false">Sens!I18560-Sens!I18561+Sens!I18642</f>
        <v>160.60594185192</v>
      </c>
      <c r="J18708" s="6" t="n">
        <f aca="false">Sens!J18560-Sens!J18561+Sens!J18642</f>
        <v>186.818741832633</v>
      </c>
      <c r="K18708" s="6" t="n">
        <f aca="false">Sens!K18560-Sens!K18561+Sens!K18642</f>
        <v>202.776422159652</v>
      </c>
    </row>
    <row r="18709" customFormat="false" ht="17.15" hidden="false" customHeight="false" outlineLevel="0" collapsed="false">
      <c r="A18709" s="0" t="s">
        <v>1242</v>
      </c>
      <c r="B18709" s="0" t="s">
        <v>98</v>
      </c>
      <c r="F18709" s="6" t="n">
        <f aca="false">Sens!F18621+Sens!F18642+Sens!F18572+Sens!F18702*(Sens!F18591-Sens!F18554)+sbc_r*Sens!F18591</f>
        <v>238.32322859251</v>
      </c>
      <c r="G18709" s="6" t="n">
        <f aca="false">Sens!G18621+Sens!G18642+Sens!G18572+Sens!G18702*(Sens!G18591-Sens!G18554)+sbc_r*Sens!G18591</f>
        <v>300.122077094195</v>
      </c>
      <c r="H18709" s="6" t="n">
        <f aca="false">Sens!H18621+Sens!H18642+Sens!H18572+Sens!H18702*(Sens!H18591-Sens!H18554)+sbc_r*Sens!H18591</f>
        <v>369.661139072236</v>
      </c>
      <c r="I18709" s="6" t="n">
        <f aca="false">Sens!I18621+Sens!I18642+Sens!I18572+Sens!I18702*(Sens!I18591-Sens!I18554)+sbc_r*Sens!I18591</f>
        <v>433.364407888723</v>
      </c>
      <c r="J18709" s="6" t="n">
        <f aca="false">Sens!J18621+Sens!J18642+Sens!J18572+Sens!J18702*(Sens!J18591-Sens!J18554)+sbc_r*Sens!J18591</f>
        <v>483.499739571182</v>
      </c>
      <c r="K18709" s="6" t="n">
        <f aca="false">Sens!K18621+Sens!K18642+Sens!K18572+Sens!K18702*(Sens!K18591-Sens!K18554)+sbc_r*Sens!K18591</f>
        <v>520.991145750401</v>
      </c>
    </row>
    <row r="18710" customFormat="false" ht="17.15" hidden="false" customHeight="false" outlineLevel="0" collapsed="false">
      <c r="A18710" s="0" t="s">
        <v>1243</v>
      </c>
      <c r="B18710" s="0" t="s">
        <v>98</v>
      </c>
      <c r="F18710" s="6" t="n">
        <f aca="false">Sens!F18709-Sens!F18703-Sens!F18704-Sens!F18705-Sens!F18706-Sens!F18708</f>
        <v>66.4241551263738</v>
      </c>
      <c r="G18710" s="6" t="n">
        <f aca="false">Sens!G18709-Sens!G18703-Sens!G18704-Sens!G18705-Sens!G18706-Sens!G18708</f>
        <v>74.6135885433842</v>
      </c>
      <c r="H18710" s="6" t="n">
        <f aca="false">Sens!H18709-Sens!H18703-Sens!H18704-Sens!H18705-Sens!H18706-Sens!H18708</f>
        <v>87.5487413820526</v>
      </c>
      <c r="I18710" s="6" t="n">
        <f aca="false">Sens!I18709-Sens!I18703-Sens!I18704-Sens!I18705-Sens!I18706-Sens!I18708</f>
        <v>100.148450360519</v>
      </c>
      <c r="J18710" s="6" t="n">
        <f aca="false">Sens!J18709-Sens!J18703-Sens!J18704-Sens!J18705-Sens!J18706-Sens!J18708</f>
        <v>111.559437911167</v>
      </c>
      <c r="K18710" s="6" t="n">
        <f aca="false">Sens!K18709-Sens!K18703-Sens!K18704-Sens!K18705-Sens!K18706-Sens!K18708</f>
        <v>121.073768685235</v>
      </c>
    </row>
    <row r="18711" customFormat="false" ht="17.15" hidden="false" customHeight="false" outlineLevel="0" collapsed="false">
      <c r="A18711" s="0" t="s">
        <v>1244</v>
      </c>
      <c r="B18711" s="0" t="s">
        <v>98</v>
      </c>
      <c r="F18711" s="6" t="n">
        <f aca="false">Sens!F18623+Sens!F18702*Sens!F18598+sbc_r*Sens!F18598</f>
        <v>24.959500802584</v>
      </c>
      <c r="G18711" s="6" t="n">
        <f aca="false">Sens!G18623+Sens!G18702*Sens!G18598+sbc_r*Sens!G18598</f>
        <v>24.805244161183</v>
      </c>
      <c r="H18711" s="6" t="n">
        <f aca="false">Sens!H18623+Sens!H18702*Sens!H18598+sbc_r*Sens!H18598</f>
        <v>25.6749086871092</v>
      </c>
      <c r="I18711" s="6" t="n">
        <f aca="false">Sens!I18623+Sens!I18702*Sens!I18598+sbc_r*Sens!I18598</f>
        <v>26.7681135116159</v>
      </c>
      <c r="J18711" s="6" t="n">
        <f aca="false">Sens!J18623+Sens!J18702*Sens!J18598+sbc_r*Sens!J18598</f>
        <v>28.0500693465804</v>
      </c>
      <c r="K18711" s="6" t="n">
        <f aca="false">Sens!K18623+Sens!K18702*Sens!K18598+sbc_r*Sens!K18598</f>
        <v>29.4842777002335</v>
      </c>
    </row>
    <row r="18712" customFormat="false" ht="17.15" hidden="false" customHeight="false" outlineLevel="0" collapsed="false">
      <c r="A18712" s="0" t="s">
        <v>1245</v>
      </c>
      <c r="B18712" s="0" t="s">
        <v>98</v>
      </c>
      <c r="F18712" s="6" t="n">
        <f aca="false">(Sens!F18711-Sens!F18707)*Sens!F18594/(Sens!F18594+Sens!F18596)</f>
        <v>8.7906134254519</v>
      </c>
      <c r="G18712" s="6" t="n">
        <f aca="false">(Sens!G18711-Sens!G18707)*Sens!G18594/(Sens!G18594+Sens!G18596)</f>
        <v>7.8932493570446</v>
      </c>
      <c r="H18712" s="6" t="n">
        <f aca="false">(Sens!H18711-Sens!H18707)*Sens!H18594/(Sens!H18594+Sens!H18596)</f>
        <v>7.65396807191319</v>
      </c>
      <c r="I18712" s="6" t="n">
        <f aca="false">(Sens!I18711-Sens!I18707)*Sens!I18594/(Sens!I18594+Sens!I18596)</f>
        <v>7.56226060723243</v>
      </c>
      <c r="J18712" s="6" t="n">
        <f aca="false">(Sens!J18711-Sens!J18707)*Sens!J18594/(Sens!J18594+Sens!J18596)</f>
        <v>7.60592846264758</v>
      </c>
      <c r="K18712" s="6" t="n">
        <f aca="false">(Sens!K18711-Sens!K18707)*Sens!K18594/(Sens!K18594+Sens!K18596)</f>
        <v>7.77879429803968</v>
      </c>
    </row>
    <row r="18713" customFormat="false" ht="17.15" hidden="false" customHeight="false" outlineLevel="0" collapsed="false">
      <c r="A18713" s="0" t="s">
        <v>1246</v>
      </c>
      <c r="B18713" s="0" t="s">
        <v>98</v>
      </c>
      <c r="F18713" s="6" t="n">
        <f aca="false">Sens!F18711-Sens!F18707-Sens!F18712</f>
        <v>4.95587974736205</v>
      </c>
      <c r="G18713" s="6" t="n">
        <f aca="false">Sens!G18711-Sens!G18707-Sens!G18712</f>
        <v>4.628772190655</v>
      </c>
      <c r="H18713" s="6" t="n">
        <f aca="false">Sens!H18711-Sens!H18707-Sens!H18712</f>
        <v>4.62160644554179</v>
      </c>
      <c r="I18713" s="6" t="n">
        <f aca="false">Sens!I18711-Sens!I18707-Sens!I18712</f>
        <v>4.65515561312009</v>
      </c>
      <c r="J18713" s="6" t="n">
        <f aca="false">Sens!J18711-Sens!J18707-Sens!J18712</f>
        <v>4.72693804945815</v>
      </c>
      <c r="K18713" s="6" t="n">
        <f aca="false">Sens!K18711-Sens!K18707-Sens!K18712</f>
        <v>4.83437083676074</v>
      </c>
    </row>
    <row r="18714" customFormat="false" ht="17.15" hidden="false" customHeight="false" outlineLevel="0" collapsed="false">
      <c r="A18714" s="0" t="s">
        <v>1247</v>
      </c>
      <c r="B18714" s="0" t="s">
        <v>98</v>
      </c>
      <c r="F18714" s="6" t="n">
        <f aca="false">Sens!F18708-tax_f*(Sens!F18708-Sens!F18572)-Sens!F18569</f>
        <v>-127.503553927218</v>
      </c>
      <c r="G18714" s="6" t="n">
        <f aca="false">Sens!G18708-tax_f*(Sens!G18708-Sens!G18572)-Sens!G18569</f>
        <v>-114.603772628121</v>
      </c>
      <c r="H18714" s="6" t="n">
        <f aca="false">Sens!H18708-tax_f*(Sens!H18708-Sens!H18572)-Sens!H18569</f>
        <v>-80.3633729631438</v>
      </c>
      <c r="I18714" s="6" t="n">
        <f aca="false">Sens!I18708-tax_f*(Sens!I18708-Sens!I18572)-Sens!I18569</f>
        <v>-17.2838782011649</v>
      </c>
      <c r="J18714" s="6" t="n">
        <f aca="false">Sens!J18708-tax_f*(Sens!J18708-Sens!J18572)-Sens!J18569</f>
        <v>46.9281968800854</v>
      </c>
      <c r="K18714" s="6" t="n">
        <f aca="false">Sens!K18708-tax_f*(Sens!K18708-Sens!K18572)-Sens!K18569</f>
        <v>71.8608185731755</v>
      </c>
    </row>
    <row r="18715" customFormat="false" ht="17.15" hidden="false" customHeight="false" outlineLevel="0" collapsed="false">
      <c r="A18715" s="0" t="s">
        <v>1248</v>
      </c>
      <c r="B18715" s="0" t="s">
        <v>98</v>
      </c>
      <c r="G18715" s="6" t="n">
        <f aca="false">Sens!G18714/(1+wacc)^(Sens!G18685-Sens!F18686)</f>
        <v>-109.124845494465</v>
      </c>
      <c r="H18715" s="6" t="n">
        <f aca="false">Sens!H18714/(1+wacc)^(Sens!H18685-Sens!F18686)</f>
        <v>-69.3796874071025</v>
      </c>
      <c r="I18715" s="6" t="n">
        <f aca="false">Sens!I18714/(1+wacc)^(Sens!I18685-Sens!F18686)</f>
        <v>-13.5289731380471</v>
      </c>
      <c r="J18715" s="6" t="n">
        <f aca="false">Sens!J18714/(1+wacc)^(Sens!J18685-Sens!F18686)</f>
        <v>33.3048099587126</v>
      </c>
      <c r="K18715" s="6" t="n">
        <f aca="false">Sens!K18714/(1+wacc)^(Sens!K18685-Sens!F18686)</f>
        <v>46.2396679904913</v>
      </c>
      <c r="L18715" s="1" t="s">
        <v>1249</v>
      </c>
    </row>
    <row r="18716" customFormat="false" ht="17.15" hidden="false" customHeight="false" outlineLevel="0" collapsed="false">
      <c r="A18716" s="0" t="s">
        <v>1250</v>
      </c>
      <c r="B18716" s="0" t="s">
        <v>98</v>
      </c>
      <c r="C18716" s="6" t="n">
        <f aca="false">(Sens!K18708-Sens!K18572)*(1-tax_f)*(1+g_tv)*(1-g_tv/(wacc+ronic_prem))/(wacc-g_tv)/(1+wacc)^(Sens!K18686-Sens!F18686)</f>
        <v>293.118051086843</v>
      </c>
    </row>
    <row r="18717" customFormat="false" ht="17.15" hidden="false" customHeight="false" outlineLevel="0" collapsed="false">
      <c r="A18717" s="1" t="s">
        <v>1251</v>
      </c>
      <c r="B18717" s="0" t="s">
        <v>98</v>
      </c>
      <c r="C18717" s="6" t="n">
        <f aca="false">(SUM(Sens!G18715:K18715)+Sens!$C$18716)*(1+wacc)^(t_roll-Sens!F18686)</f>
        <v>186.592133308255</v>
      </c>
      <c r="L18717" s="12" t="s">
        <v>1252</v>
      </c>
    </row>
    <row r="18718" customFormat="false" ht="17.15" hidden="false" customHeight="false" outlineLevel="0" collapsed="false">
      <c r="A18718" s="1" t="s">
        <v>1253</v>
      </c>
      <c r="B18718" s="0" t="s">
        <v>98</v>
      </c>
      <c r="C18718" s="6" t="n">
        <f aca="false">(w_ntm28*Sens!G18560+(1-w_ntm28)*Sens!H18560)*m_ai</f>
        <v>463.789109510335</v>
      </c>
    </row>
    <row r="18719" customFormat="false" ht="17.15" hidden="false" customHeight="false" outlineLevel="0" collapsed="false">
      <c r="A18719" s="1" t="s">
        <v>1254</v>
      </c>
      <c r="B18719" s="0" t="s">
        <v>98</v>
      </c>
      <c r="C18719" s="6" t="n">
        <f aca="false">(w_ntm28*Sens!G18710+(1-w_ntm28)*Sens!H18710)*m_cloud</f>
        <v>1089.93145796449</v>
      </c>
    </row>
    <row r="18720" customFormat="false" ht="17.15" hidden="false" customHeight="false" outlineLevel="0" collapsed="false">
      <c r="A18720" s="1" t="s">
        <v>1255</v>
      </c>
      <c r="B18720" s="0" t="s">
        <v>98</v>
      </c>
      <c r="C18720" s="6" t="n">
        <f aca="false">(w_ntm28*Sens!G18703+(1-w_ntm28)*Sens!H18703)*m_sw</f>
        <v>1083.87753418035</v>
      </c>
    </row>
    <row r="18721" customFormat="false" ht="17.15" hidden="false" customHeight="false" outlineLevel="0" collapsed="false">
      <c r="A18721" s="1" t="s">
        <v>1256</v>
      </c>
      <c r="B18721" s="0" t="s">
        <v>98</v>
      </c>
      <c r="C18721" s="6" t="n">
        <f aca="false">(w_ntm28*Sens!G18704+(1-w_ntm28)*Sens!H18704)*m_sw</f>
        <v>373.221946868899</v>
      </c>
    </row>
    <row r="18722" customFormat="false" ht="17.15" hidden="false" customHeight="false" outlineLevel="0" collapsed="false">
      <c r="A18722" s="1" t="s">
        <v>1257</v>
      </c>
      <c r="B18722" s="0" t="s">
        <v>98</v>
      </c>
      <c r="C18722" s="6" t="n">
        <f aca="false">(w_ntm28*Sens!G18705+(1-w_ntm28)*Sens!H18705)*m_sw</f>
        <v>109.326420143554</v>
      </c>
    </row>
    <row r="18723" customFormat="false" ht="17.15" hidden="false" customHeight="false" outlineLevel="0" collapsed="false">
      <c r="A18723" s="1" t="s">
        <v>1258</v>
      </c>
      <c r="B18723" s="0" t="s">
        <v>98</v>
      </c>
      <c r="C18723" s="6" t="n">
        <f aca="false">(w_ntm28*Sens!G18706+(1-w_ntm28)*Sens!H18706)*m_sw</f>
        <v>41.5630999764858</v>
      </c>
    </row>
    <row r="18724" customFormat="false" ht="17.15" hidden="false" customHeight="false" outlineLevel="0" collapsed="false">
      <c r="A18724" s="1" t="s">
        <v>1259</v>
      </c>
      <c r="B18724" s="0" t="s">
        <v>98</v>
      </c>
      <c r="C18724" s="6" t="n">
        <f aca="false">(w_ntm28*Sens!G18707+(1-w_ntm28)*Sens!H18707)*m_ads</f>
        <v>115.242988565562</v>
      </c>
    </row>
    <row r="18725" customFormat="false" ht="17.15" hidden="false" customHeight="false" outlineLevel="0" collapsed="false">
      <c r="A18725" s="1" t="s">
        <v>1260</v>
      </c>
      <c r="B18725" s="0" t="s">
        <v>98</v>
      </c>
      <c r="C18725" s="6" t="n">
        <f aca="false">(w_ntm28*Sens!G18712+(1-w_ntm28)*Sens!H18712)*m_game</f>
        <v>98.6981648157879</v>
      </c>
    </row>
    <row r="18726" customFormat="false" ht="17.15" hidden="false" customHeight="false" outlineLevel="0" collapsed="false">
      <c r="A18726" s="1" t="s">
        <v>1261</v>
      </c>
      <c r="B18726" s="0" t="s">
        <v>98</v>
      </c>
      <c r="C18726" s="6" t="n">
        <f aca="false">(w_ntm28*Sens!G18713+(1-w_ntm28)*Sens!H18713)*m_pc</f>
        <v>66.9442442842174</v>
      </c>
    </row>
    <row r="18727" customFormat="false" ht="17.15" hidden="false" customHeight="false" outlineLevel="0" collapsed="false">
      <c r="A18727" s="1" t="s">
        <v>1262</v>
      </c>
      <c r="B18727" s="0" t="s">
        <v>98</v>
      </c>
      <c r="C18727" s="6" t="n">
        <f aca="false">Sens!$C$18717+Sens!$C$18719+Sens!$C$18720+Sens!$C$18721+Sens!$C$18722+Sens!$C$18723+Sens!$C$18724+Sens!$C$18725+Sens!$C$18726</f>
        <v>3165.39799010761</v>
      </c>
    </row>
    <row r="18728" customFormat="false" ht="17.15" hidden="false" customHeight="false" outlineLevel="0" collapsed="false">
      <c r="A18728" s="1" t="s">
        <v>1263</v>
      </c>
      <c r="B18728" s="0" t="s">
        <v>98</v>
      </c>
      <c r="C18728" s="6" t="n">
        <f aca="false">(Sens!G18689-Sens!G18714)*t_stub</f>
        <v>47.5724665946327</v>
      </c>
      <c r="L18728" s="1" t="s">
        <v>1264</v>
      </c>
    </row>
    <row r="18729" customFormat="false" ht="17.15" hidden="false" customHeight="false" outlineLevel="0" collapsed="false">
      <c r="A18729" s="1" t="s">
        <v>1173</v>
      </c>
      <c r="B18729" s="0" t="s">
        <v>98</v>
      </c>
      <c r="C18729" s="6" t="n">
        <f aca="false">Sens!F18676+oai_v-Sens!F18665+Sens!$C$18728</f>
        <v>160.886178478977</v>
      </c>
      <c r="L18729" s="1" t="s">
        <v>1265</v>
      </c>
    </row>
    <row r="18730" customFormat="false" ht="17.15" hidden="false" customHeight="false" outlineLevel="0" collapsed="false">
      <c r="A18730" s="1" t="s">
        <v>1266</v>
      </c>
      <c r="B18730" s="0" t="s">
        <v>75</v>
      </c>
      <c r="C18730" s="5" t="n">
        <f aca="false">(Sens!$C$18727+Sens!$C$18729)/(Sens!F18678+dil_gap)-Sens!G18668*roll_div_q/q_per_yr</f>
        <v>442.701717794368</v>
      </c>
      <c r="L18730" s="1" t="s">
        <v>1267</v>
      </c>
    </row>
    <row r="18731" customFormat="false" ht="17.15" hidden="false" customHeight="false" outlineLevel="0" collapsed="false">
      <c r="A18731" s="1" t="s">
        <v>1268</v>
      </c>
      <c r="B18731" s="0" t="s">
        <v>75</v>
      </c>
      <c r="C18731" s="5" t="n">
        <f aca="false">w_dcf*Sens!$C$18701+(1-w_dcf)*Sens!$C$18730</f>
        <v>383.716423560222</v>
      </c>
    </row>
    <row r="18732" customFormat="false" ht="17.15" hidden="false" customHeight="false" outlineLevel="0" collapsed="false">
      <c r="A18732" s="3" t="s">
        <v>2074</v>
      </c>
    </row>
    <row r="18733" customFormat="false" ht="15" hidden="false" customHeight="false" outlineLevel="0" collapsed="false">
      <c r="A18733" s="4" t="s">
        <v>43</v>
      </c>
      <c r="B18733" s="4" t="s">
        <v>65</v>
      </c>
      <c r="C18733" s="23" t="s">
        <v>942</v>
      </c>
      <c r="D18733" s="23" t="s">
        <v>943</v>
      </c>
      <c r="E18733" s="23" t="s">
        <v>944</v>
      </c>
      <c r="F18733" s="23" t="s">
        <v>945</v>
      </c>
      <c r="G18733" s="23" t="s">
        <v>946</v>
      </c>
      <c r="H18733" s="23" t="s">
        <v>947</v>
      </c>
      <c r="I18733" s="23" t="s">
        <v>948</v>
      </c>
      <c r="J18733" s="23" t="s">
        <v>949</v>
      </c>
      <c r="K18733" s="23" t="s">
        <v>950</v>
      </c>
      <c r="L18733" s="4" t="s">
        <v>47</v>
      </c>
    </row>
    <row r="18734" customFormat="false" ht="17.15" hidden="false" customHeight="false" outlineLevel="0" collapsed="false">
      <c r="A18734" s="1" t="s">
        <v>951</v>
      </c>
      <c r="B18734" s="1" t="s">
        <v>279</v>
      </c>
      <c r="C18734" s="21" t="n">
        <v>2024</v>
      </c>
      <c r="D18734" s="21" t="n">
        <v>2025</v>
      </c>
      <c r="E18734" s="21" t="n">
        <v>2026</v>
      </c>
      <c r="F18734" s="21" t="n">
        <v>2027</v>
      </c>
      <c r="G18734" s="21" t="n">
        <v>2028</v>
      </c>
      <c r="H18734" s="21" t="n">
        <v>2029</v>
      </c>
      <c r="I18734" s="21" t="n">
        <v>2030</v>
      </c>
      <c r="J18734" s="21" t="n">
        <v>2031</v>
      </c>
      <c r="K18734" s="21" t="n">
        <v>2032</v>
      </c>
    </row>
    <row r="18735" customFormat="false" ht="17.15" hidden="false" customHeight="false" outlineLevel="0" collapsed="false">
      <c r="A18735" s="1" t="s">
        <v>952</v>
      </c>
      <c r="B18735" s="0" t="s">
        <v>459</v>
      </c>
      <c r="F18735" s="30" t="n">
        <f aca="false">pace</f>
        <v>2726.5351</v>
      </c>
      <c r="G18735" s="30" t="n">
        <f aca="false">pace</f>
        <v>2726.5351</v>
      </c>
      <c r="H18735" s="30" t="n">
        <f aca="false">pace</f>
        <v>2726.5351</v>
      </c>
      <c r="I18735" s="30" t="n">
        <f aca="false">pace+(g_tv*Sens!H18736-pace)*MIN(1,(Sens!I18734-pace_y0)/(pace_y1-pace_y0))</f>
        <v>1931.98611966667</v>
      </c>
      <c r="J18735" s="30" t="n">
        <f aca="false">pace+(g_tv*Sens!I18736-pace)*MIN(1,(Sens!J18734-pace_y0)/(pace_y1-pace_y0))</f>
        <v>1176.07686172667</v>
      </c>
      <c r="K18735" s="30" t="n">
        <f aca="false">pace+(g_tv*Sens!J18736-pace)*MIN(1,(Sens!K18734-pace_y0)/(pace_y1-pace_y0))</f>
        <v>436.1300484418</v>
      </c>
      <c r="L18735" s="12" t="s">
        <v>953</v>
      </c>
    </row>
    <row r="18736" customFormat="false" ht="17.15" hidden="false" customHeight="false" outlineLevel="0" collapsed="false">
      <c r="A18736" s="1" t="s">
        <v>954</v>
      </c>
      <c r="B18736" s="0" t="s">
        <v>459</v>
      </c>
      <c r="C18736" s="30" t="n">
        <f aca="false">mw_ext_24</f>
        <v>640</v>
      </c>
      <c r="D18736" s="30" t="n">
        <f aca="false">mw_ext_25</f>
        <v>1630</v>
      </c>
      <c r="E18736" s="30" t="n">
        <f aca="false">mw_ext_26</f>
        <v>3250</v>
      </c>
      <c r="F18736" s="30" t="n">
        <f aca="false">Sens!E18736+Sens!F18735</f>
        <v>5976.5351</v>
      </c>
      <c r="G18736" s="30" t="n">
        <f aca="false">Sens!F18736+Sens!G18735</f>
        <v>8703.0702</v>
      </c>
      <c r="H18736" s="30" t="n">
        <f aca="false">Sens!G18736+Sens!H18735</f>
        <v>11429.6053</v>
      </c>
      <c r="I18736" s="30" t="n">
        <f aca="false">Sens!H18736+Sens!I18735</f>
        <v>13361.5914196667</v>
      </c>
      <c r="J18736" s="30" t="n">
        <f aca="false">Sens!I18736+Sens!J18735</f>
        <v>14537.6682813933</v>
      </c>
      <c r="K18736" s="30" t="n">
        <f aca="false">Sens!J18736+Sens!K18735</f>
        <v>14973.7983298351</v>
      </c>
      <c r="L18736" s="1" t="s">
        <v>955</v>
      </c>
    </row>
    <row r="18737" customFormat="false" ht="17.15" hidden="false" customHeight="false" outlineLevel="0" collapsed="false">
      <c r="A18737" s="1" t="s">
        <v>956</v>
      </c>
      <c r="B18737" s="0" t="s">
        <v>459</v>
      </c>
      <c r="C18737" s="30" t="n">
        <f aca="false">rent_ext_24</f>
        <v>150</v>
      </c>
      <c r="D18737" s="30" t="n">
        <f aca="false">rent_ext_25</f>
        <v>400</v>
      </c>
      <c r="E18737" s="30" t="n">
        <f aca="false">rent_ext_26</f>
        <v>550</v>
      </c>
      <c r="F18737" s="30" t="n">
        <f aca="false">rent_ext_f</f>
        <v>756</v>
      </c>
      <c r="G18737" s="30" t="n">
        <f aca="false">rent_ext_f</f>
        <v>756</v>
      </c>
      <c r="H18737" s="30" t="n">
        <f aca="false">rent_ext_f</f>
        <v>756</v>
      </c>
      <c r="I18737" s="30" t="n">
        <f aca="false">rent_ext_f</f>
        <v>756</v>
      </c>
      <c r="J18737" s="30" t="n">
        <f aca="false">rent_ext_f</f>
        <v>756</v>
      </c>
      <c r="K18737" s="30" t="n">
        <f aca="false">rent_ext_f</f>
        <v>756</v>
      </c>
      <c r="L18737" s="1" t="s">
        <v>957</v>
      </c>
    </row>
    <row r="18738" customFormat="false" ht="17.15" hidden="false" customHeight="false" outlineLevel="0" collapsed="false">
      <c r="A18738" s="1" t="s">
        <v>958</v>
      </c>
      <c r="B18738" s="0" t="s">
        <v>459</v>
      </c>
      <c r="C18738" s="30" t="n">
        <f aca="false">Sens!C18736-Sens!C18737</f>
        <v>490</v>
      </c>
      <c r="D18738" s="30" t="n">
        <f aca="false">Sens!D18736-Sens!D18737</f>
        <v>1230</v>
      </c>
      <c r="E18738" s="30" t="n">
        <f aca="false">Sens!E18736-Sens!E18737</f>
        <v>2700</v>
      </c>
      <c r="F18738" s="30" t="n">
        <f aca="false">Sens!F18736-Sens!F18737</f>
        <v>5220.5351</v>
      </c>
      <c r="G18738" s="30" t="n">
        <f aca="false">Sens!G18736-Sens!G18737</f>
        <v>7947.0702</v>
      </c>
      <c r="H18738" s="30" t="n">
        <f aca="false">Sens!H18736-Sens!H18737</f>
        <v>10673.6053</v>
      </c>
      <c r="I18738" s="30" t="n">
        <f aca="false">Sens!I18736-Sens!I18737</f>
        <v>12605.5914196667</v>
      </c>
      <c r="J18738" s="30" t="n">
        <f aca="false">Sens!J18736-Sens!J18737</f>
        <v>13781.6682813933</v>
      </c>
      <c r="K18738" s="30" t="n">
        <f aca="false">Sens!K18736-Sens!K18737</f>
        <v>14217.7983298351</v>
      </c>
    </row>
    <row r="18739" customFormat="false" ht="17.15" hidden="false" customHeight="false" outlineLevel="0" collapsed="false">
      <c r="A18739" s="1" t="s">
        <v>959</v>
      </c>
      <c r="B18739" s="0" t="s">
        <v>459</v>
      </c>
      <c r="C18739" s="30" t="n">
        <f aca="false">Sens!C18738/ext_sh</f>
        <v>816.666666666667</v>
      </c>
      <c r="D18739" s="30" t="n">
        <f aca="false">Sens!D18738/ext_sh</f>
        <v>2050</v>
      </c>
      <c r="E18739" s="30" t="n">
        <f aca="false">Sens!E18738/ext_sh</f>
        <v>4500</v>
      </c>
      <c r="F18739" s="30" t="n">
        <f aca="false">Sens!F18738/ext_sh</f>
        <v>8700.89183333333</v>
      </c>
      <c r="G18739" s="30" t="n">
        <f aca="false">Sens!G18738/ext_sh</f>
        <v>13245.117</v>
      </c>
      <c r="H18739" s="30" t="n">
        <f aca="false">Sens!H18738/ext_sh</f>
        <v>17789.3421666667</v>
      </c>
      <c r="I18739" s="30" t="n">
        <f aca="false">Sens!I18738/ext_sh</f>
        <v>21009.3190327778</v>
      </c>
      <c r="J18739" s="30" t="n">
        <f aca="false">Sens!J18738/ext_sh</f>
        <v>22969.4471356556</v>
      </c>
      <c r="K18739" s="30" t="n">
        <f aca="false">Sens!K18738/ext_sh</f>
        <v>23696.3305497252</v>
      </c>
      <c r="L18739" s="1" t="s">
        <v>960</v>
      </c>
    </row>
    <row r="18740" customFormat="false" ht="17.15" hidden="false" customHeight="false" outlineLevel="0" collapsed="false">
      <c r="A18740" s="1" t="s">
        <v>961</v>
      </c>
      <c r="B18740" s="0" t="s">
        <v>459</v>
      </c>
      <c r="C18740" s="30" t="n">
        <f aca="false">Sens!C18739-Sens!C18738</f>
        <v>326.666666666667</v>
      </c>
      <c r="D18740" s="30" t="n">
        <f aca="false">Sens!D18739-Sens!D18738</f>
        <v>820</v>
      </c>
      <c r="E18740" s="30" t="n">
        <f aca="false">Sens!E18739-Sens!E18738</f>
        <v>1800</v>
      </c>
      <c r="F18740" s="30" t="n">
        <f aca="false">Sens!F18739-Sens!F18738</f>
        <v>3480.35673333333</v>
      </c>
      <c r="G18740" s="30" t="n">
        <f aca="false">Sens!G18739-Sens!G18738</f>
        <v>5298.0468</v>
      </c>
      <c r="H18740" s="30" t="n">
        <f aca="false">Sens!H18739-Sens!H18738</f>
        <v>7115.73686666667</v>
      </c>
      <c r="I18740" s="30" t="n">
        <f aca="false">Sens!I18739-Sens!I18738</f>
        <v>8403.72761311111</v>
      </c>
      <c r="J18740" s="30" t="n">
        <f aca="false">Sens!J18739-Sens!J18738</f>
        <v>9187.77885426222</v>
      </c>
      <c r="K18740" s="30" t="n">
        <f aca="false">Sens!K18739-Sens!K18738</f>
        <v>9478.53221989009</v>
      </c>
    </row>
    <row r="18741" customFormat="false" ht="17.15" hidden="false" customHeight="false" outlineLevel="0" collapsed="false">
      <c r="A18741" s="1" t="s">
        <v>962</v>
      </c>
      <c r="B18741" s="0" t="s">
        <v>459</v>
      </c>
      <c r="C18741" s="30" t="n">
        <f aca="false">Sens!C18739</f>
        <v>816.666666666667</v>
      </c>
      <c r="D18741" s="30" t="n">
        <f aca="false">Sens!D18739-Sens!C18739</f>
        <v>1233.33333333333</v>
      </c>
      <c r="E18741" s="30" t="n">
        <f aca="false">Sens!E18739-Sens!D18739</f>
        <v>2450</v>
      </c>
      <c r="F18741" s="30" t="n">
        <f aca="false">Sens!F18739-Sens!E18739</f>
        <v>4200.89183333333</v>
      </c>
      <c r="G18741" s="30" t="n">
        <f aca="false">Sens!G18739-Sens!F18739</f>
        <v>4544.22516666667</v>
      </c>
      <c r="H18741" s="30" t="n">
        <f aca="false">Sens!H18739-Sens!G18739</f>
        <v>4544.22516666667</v>
      </c>
      <c r="I18741" s="30" t="n">
        <f aca="false">Sens!I18739-Sens!H18739</f>
        <v>3219.97686611111</v>
      </c>
      <c r="J18741" s="30" t="n">
        <f aca="false">Sens!J18739-Sens!I18739</f>
        <v>1960.12810287778</v>
      </c>
      <c r="K18741" s="30" t="n">
        <f aca="false">Sens!K18739-Sens!J18739</f>
        <v>726.883414069667</v>
      </c>
    </row>
    <row r="18742" customFormat="false" ht="17.15" hidden="false" customHeight="false" outlineLevel="0" collapsed="false">
      <c r="A18742" s="1" t="s">
        <v>963</v>
      </c>
      <c r="B18742" s="0" t="s">
        <v>459</v>
      </c>
      <c r="D18742" s="30" t="n">
        <f aca="false">Sens!D18736-Sens!C18736</f>
        <v>990</v>
      </c>
      <c r="E18742" s="30" t="n">
        <f aca="false">Sens!E18736-Sens!D18736</f>
        <v>1620</v>
      </c>
      <c r="F18742" s="30" t="n">
        <f aca="false">Sens!F18736-Sens!E18736</f>
        <v>2726.5351</v>
      </c>
      <c r="G18742" s="30" t="n">
        <f aca="false">Sens!G18736-Sens!F18736</f>
        <v>2726.5351</v>
      </c>
      <c r="H18742" s="30" t="n">
        <f aca="false">Sens!H18736-Sens!G18736</f>
        <v>2726.5351</v>
      </c>
      <c r="I18742" s="30" t="n">
        <f aca="false">Sens!I18736-Sens!H18736</f>
        <v>1931.98611966667</v>
      </c>
      <c r="J18742" s="30" t="n">
        <f aca="false">Sens!J18736-Sens!I18736</f>
        <v>1176.07686172667</v>
      </c>
      <c r="K18742" s="30" t="n">
        <f aca="false">Sens!K18736-Sens!J18736</f>
        <v>436.130048441799</v>
      </c>
    </row>
    <row r="18743" customFormat="false" ht="17.15" hidden="false" customHeight="false" outlineLevel="0" collapsed="false">
      <c r="A18743" s="1" t="s">
        <v>964</v>
      </c>
      <c r="B18743" s="0" t="s">
        <v>459</v>
      </c>
      <c r="F18743" s="30" t="n">
        <f aca="false">Sens!F18762*ext_sh</f>
        <v>0</v>
      </c>
      <c r="G18743" s="30" t="n">
        <f aca="false">Sens!G18762*ext_sh</f>
        <v>0</v>
      </c>
      <c r="H18743" s="30" t="n">
        <f aca="false">Sens!H18762*ext_sh</f>
        <v>0</v>
      </c>
      <c r="I18743" s="30" t="n">
        <f aca="false">Sens!I18762*ext_sh</f>
        <v>490</v>
      </c>
      <c r="J18743" s="30" t="n">
        <f aca="false">Sens!J18762*ext_sh</f>
        <v>740</v>
      </c>
      <c r="K18743" s="30" t="n">
        <f aca="false">Sens!K18762*ext_sh</f>
        <v>1470</v>
      </c>
      <c r="L18743" s="1" t="s">
        <v>965</v>
      </c>
    </row>
    <row r="18744" customFormat="false" ht="17.15" hidden="false" customHeight="false" outlineLevel="0" collapsed="false">
      <c r="A18744" s="1" t="s">
        <v>966</v>
      </c>
      <c r="B18744" s="0" t="s">
        <v>459</v>
      </c>
      <c r="C18744" s="30" t="n">
        <f aca="false">mix_h*Sens!C18736</f>
        <v>128</v>
      </c>
      <c r="D18744" s="30" t="n">
        <f aca="false">mix_h*Sens!D18736</f>
        <v>326</v>
      </c>
      <c r="E18744" s="30" t="n">
        <f aca="false">mix_h*Sens!E18736</f>
        <v>650</v>
      </c>
      <c r="F18744" s="30" t="n">
        <f aca="false">Sens!E18744-Sens!F18743*mix_h</f>
        <v>650</v>
      </c>
      <c r="G18744" s="30" t="n">
        <f aca="false">Sens!F18744-Sens!G18743*mix_h</f>
        <v>650</v>
      </c>
      <c r="H18744" s="30" t="n">
        <f aca="false">Sens!G18744-Sens!H18743*mix_h</f>
        <v>650</v>
      </c>
      <c r="I18744" s="30" t="n">
        <f aca="false">Sens!H18744-Sens!I18743*mix_h</f>
        <v>552</v>
      </c>
      <c r="J18744" s="30" t="n">
        <f aca="false">Sens!I18744-Sens!J18743*mix_h</f>
        <v>404</v>
      </c>
      <c r="K18744" s="30" t="n">
        <f aca="false">Sens!J18744-Sens!K18743*mix_h</f>
        <v>110</v>
      </c>
    </row>
    <row r="18745" customFormat="false" ht="17.15" hidden="false" customHeight="false" outlineLevel="0" collapsed="false">
      <c r="A18745" s="1" t="s">
        <v>967</v>
      </c>
      <c r="B18745" s="0" t="s">
        <v>459</v>
      </c>
      <c r="C18745" s="30" t="n">
        <f aca="false">mix_g2*Sens!C18736</f>
        <v>288</v>
      </c>
      <c r="D18745" s="30" t="n">
        <f aca="false">mix_g2*Sens!D18736</f>
        <v>733.5</v>
      </c>
      <c r="E18745" s="30" t="n">
        <f aca="false">mix_g2*Sens!E18736</f>
        <v>1462.5</v>
      </c>
      <c r="F18745" s="30" t="n">
        <f aca="false">Sens!E18745-Sens!F18743*mix_g2</f>
        <v>1462.5</v>
      </c>
      <c r="G18745" s="30" t="n">
        <f aca="false">Sens!F18745-Sens!G18743*mix_g2</f>
        <v>1462.5</v>
      </c>
      <c r="H18745" s="30" t="n">
        <f aca="false">Sens!G18745-Sens!H18743*mix_g2</f>
        <v>1462.5</v>
      </c>
      <c r="I18745" s="30" t="n">
        <f aca="false">Sens!H18745-Sens!I18743*mix_g2</f>
        <v>1242</v>
      </c>
      <c r="J18745" s="30" t="n">
        <f aca="false">Sens!I18745-Sens!J18743*mix_g2</f>
        <v>909</v>
      </c>
      <c r="K18745" s="30" t="n">
        <f aca="false">Sens!J18745-Sens!K18743*mix_g2</f>
        <v>247.5</v>
      </c>
    </row>
    <row r="18746" customFormat="false" ht="17.15" hidden="false" customHeight="false" outlineLevel="0" collapsed="false">
      <c r="A18746" s="1" t="s">
        <v>968</v>
      </c>
      <c r="B18746" s="0" t="s">
        <v>459</v>
      </c>
      <c r="C18746" s="30" t="n">
        <f aca="false">mix_g3*Sens!C18736</f>
        <v>224</v>
      </c>
      <c r="D18746" s="30" t="n">
        <f aca="false">mix_g3*Sens!D18736</f>
        <v>570.5</v>
      </c>
      <c r="E18746" s="30" t="n">
        <f aca="false">mix_g3*Sens!E18736</f>
        <v>1137.5</v>
      </c>
      <c r="F18746" s="30" t="n">
        <f aca="false">Sens!E18746+(Sens!F18742+Sens!F18743)*(a_g3_27-nonnv*a_mai)-Sens!F18743*mix_g3</f>
        <v>2773.42106</v>
      </c>
      <c r="G18746" s="30" t="n">
        <f aca="false">Sens!F18746+(Sens!G18742+Sens!G18743)*(a_g3_28-nonnv*a_mai)-Sens!G18743*mix_g3</f>
        <v>3318.72808</v>
      </c>
      <c r="H18746" s="30" t="n">
        <f aca="false">Sens!G18746+(Sens!H18742+Sens!H18743)*(a_g3_29-nonnv*a_mai)-Sens!H18743*mix_g3</f>
        <v>3318.72808</v>
      </c>
      <c r="I18746" s="30" t="n">
        <f aca="false">Sens!H18746+(Sens!I18742+Sens!I18743)*(a_g3_29-nonnv*a_mai)-Sens!I18743*mix_g3</f>
        <v>3147.22808</v>
      </c>
      <c r="J18746" s="30" t="n">
        <f aca="false">Sens!I18746+(Sens!J18742+Sens!J18743)*(a_g3_29-nonnv*a_mai)-Sens!J18743*mix_g3</f>
        <v>2888.22808</v>
      </c>
      <c r="K18746" s="30" t="n">
        <f aca="false">Sens!J18746+(Sens!K18742+Sens!K18743)*(a_g3_29-nonnv*a_mai)-Sens!K18743*mix_g3</f>
        <v>2373.72808</v>
      </c>
    </row>
    <row r="18747" customFormat="false" ht="17.15" hidden="false" customHeight="false" outlineLevel="0" collapsed="false">
      <c r="A18747" s="1" t="s">
        <v>969</v>
      </c>
      <c r="B18747" s="0" t="s">
        <v>459</v>
      </c>
      <c r="C18747" s="30" t="n">
        <v>0</v>
      </c>
      <c r="D18747" s="30" t="n">
        <v>0</v>
      </c>
      <c r="E18747" s="30" t="n">
        <v>0</v>
      </c>
      <c r="F18747" s="30" t="n">
        <f aca="false">Sens!E18747+(Sens!F18742+Sens!F18743)*nonnv*a_mai</f>
        <v>272.65351</v>
      </c>
      <c r="G18747" s="30" t="n">
        <f aca="false">Sens!F18747+(Sens!G18742+Sens!G18743)*nonnv*a_mai</f>
        <v>545.30702</v>
      </c>
      <c r="H18747" s="30" t="n">
        <f aca="false">Sens!G18747+(Sens!H18742+Sens!H18743)*nonnv*a_mai</f>
        <v>817.96053</v>
      </c>
      <c r="I18747" s="30" t="n">
        <f aca="false">Sens!H18747+(Sens!I18742+Sens!I18743)*nonnv*a_mai</f>
        <v>1060.15914196667</v>
      </c>
      <c r="J18747" s="30" t="n">
        <f aca="false">Sens!I18747+(Sens!J18742+Sens!J18743)*nonnv*a_mai</f>
        <v>1251.76682813933</v>
      </c>
      <c r="K18747" s="30" t="n">
        <f aca="false">Sens!J18747+(Sens!K18742+Sens!K18743)*nonnv*a_mai</f>
        <v>1442.37983298351</v>
      </c>
      <c r="L18747" s="12" t="s">
        <v>970</v>
      </c>
    </row>
    <row r="18748" customFormat="false" ht="17.15" hidden="false" customHeight="false" outlineLevel="0" collapsed="false">
      <c r="A18748" s="1" t="s">
        <v>971</v>
      </c>
      <c r="B18748" s="0" t="s">
        <v>459</v>
      </c>
      <c r="C18748" s="30" t="n">
        <v>0</v>
      </c>
      <c r="D18748" s="30" t="n">
        <v>0</v>
      </c>
      <c r="E18748" s="30" t="n">
        <v>0</v>
      </c>
      <c r="F18748" s="30" t="n">
        <f aca="false">Sens!E18748+(Sens!F18742+Sens!F18743)*(1-a_g3_27)</f>
        <v>817.96053</v>
      </c>
      <c r="G18748" s="30" t="n">
        <f aca="false">Sens!F18748+(Sens!G18742+Sens!G18743)*(1-a_g3_28)</f>
        <v>2726.5351</v>
      </c>
      <c r="H18748" s="30" t="n">
        <f aca="false">Sens!G18748+(Sens!H18742+Sens!H18743)*(1-a_g3_29)</f>
        <v>5180.41669</v>
      </c>
      <c r="I18748" s="30" t="n">
        <f aca="false">Sens!H18748+(Sens!I18742+Sens!I18743)*(1-a_g3_29)</f>
        <v>7360.2041977</v>
      </c>
      <c r="J18748" s="30" t="n">
        <f aca="false">Sens!I18748+(Sens!J18742+Sens!J18743)*(1-a_g3_29)</f>
        <v>9084.673373254</v>
      </c>
      <c r="K18748" s="30" t="n">
        <f aca="false">Sens!J18748+(Sens!K18742+Sens!K18743)*(1-a_g3_29)</f>
        <v>10800.1904168516</v>
      </c>
    </row>
    <row r="18749" customFormat="false" ht="17.15" hidden="false" customHeight="false" outlineLevel="0" collapsed="false">
      <c r="A18749" s="1" t="s">
        <v>972</v>
      </c>
      <c r="B18749" s="0" t="s">
        <v>403</v>
      </c>
      <c r="C18749" s="15" t="n">
        <f aca="false">(Sens!C18744*tk_hold_h100+Sens!C18745*tk_hold_gb200+Sens!C18746*tk_hold_gb300+Sens!C18748*tk_hold_vr200+Sens!C18747*nv_hold_mai*tk_hold_vr200)/Sens!C18736</f>
        <v>9.7235358126469</v>
      </c>
      <c r="D18749" s="15" t="n">
        <f aca="false">(Sens!D18744*tk_hold_h100+Sens!D18745*tk_hold_gb200+Sens!D18746*tk_hold_gb300+Sens!D18748*tk_hold_vr200+Sens!D18747*nv_hold_mai*tk_hold_vr200)/Sens!D18736</f>
        <v>9.7235358126469</v>
      </c>
      <c r="E18749" s="15" t="n">
        <f aca="false">(Sens!E18744*tk_hold_h100+Sens!E18745*tk_hold_gb200+Sens!E18746*tk_hold_gb300+Sens!E18748*tk_hold_vr200+Sens!E18747*nv_hold_mai*tk_hold_vr200)/Sens!E18736</f>
        <v>9.7235358126469</v>
      </c>
      <c r="F18749" s="15" t="n">
        <f aca="false">(Sens!F18744*tk_hold_h100+Sens!F18745*tk_hold_gb200+Sens!F18746*tk_hold_gb300+Sens!F18748*tk_hold_vr200+Sens!F18747*nv_hold_mai*tk_hold_vr200)/Sens!F18736</f>
        <v>10.2195353876665</v>
      </c>
      <c r="G18749" s="15" t="n">
        <f aca="false">(Sens!G18744*tk_hold_h100+Sens!G18745*tk_hold_gb200+Sens!G18746*tk_hold_gb300+Sens!G18748*tk_hold_vr200+Sens!G18747*nv_hold_mai*tk_hold_vr200)/Sens!G18736</f>
        <v>10.5725598017306</v>
      </c>
      <c r="H18749" s="15" t="n">
        <f aca="false">(Sens!H18744*tk_hold_h100+Sens!H18745*tk_hold_gb200+Sens!H18746*tk_hold_gb300+Sens!H18748*tk_hold_vr200+Sens!H18747*nv_hold_mai*tk_hold_vr200)/Sens!H18736</f>
        <v>10.8210427149036</v>
      </c>
      <c r="I18749" s="15" t="n">
        <f aca="false">(Sens!I18744*tk_hold_h100+Sens!I18745*tk_hold_gb200+Sens!I18746*tk_hold_gb300+Sens!I18748*tk_hold_vr200+Sens!I18747*nv_hold_mai*tk_hold_vr200)/Sens!I18736</f>
        <v>11.0050618241982</v>
      </c>
      <c r="J18749" s="15" t="n">
        <f aca="false">(Sens!J18744*tk_hold_h100+Sens!J18745*tk_hold_gb200+Sens!J18746*tk_hold_gb300+Sens!J18748*tk_hold_vr200+Sens!J18747*nv_hold_mai*tk_hold_vr200)/Sens!J18736</f>
        <v>11.1505789658881</v>
      </c>
      <c r="K18749" s="15" t="n">
        <f aca="false">(Sens!K18744*tk_hold_h100+Sens!K18745*tk_hold_gb200+Sens!K18746*tk_hold_gb300+Sens!K18748*tk_hold_vr200+Sens!K18747*nv_hold_mai*tk_hold_vr200)/Sens!K18736</f>
        <v>11.3496914757183</v>
      </c>
      <c r="L18749" s="1" t="s">
        <v>973</v>
      </c>
    </row>
    <row r="18750" customFormat="false" ht="17.15" hidden="false" customHeight="false" outlineLevel="0" collapsed="false">
      <c r="A18750" s="1" t="s">
        <v>974</v>
      </c>
      <c r="B18750" s="0" t="s">
        <v>403</v>
      </c>
      <c r="C18750" s="15" t="n">
        <f aca="false">(Sens!C18744*tk_hold_h100+Sens!C18745*tk_hold_gb200+Sens!C18746*tk_hold_gb300+Sens!C18748*tk_hold_vr200+Sens!C18747*nv_out_mai*tk_hold_vr200)/Sens!C18736</f>
        <v>9.7235358126469</v>
      </c>
      <c r="D18750" s="15" t="n">
        <f aca="false">(Sens!D18744*tk_hold_h100+Sens!D18745*tk_hold_gb200+Sens!D18746*tk_hold_gb300+Sens!D18748*tk_hold_vr200+Sens!D18747*nv_out_mai*tk_hold_vr200)/Sens!D18736</f>
        <v>9.7235358126469</v>
      </c>
      <c r="E18750" s="15" t="n">
        <f aca="false">(Sens!E18744*tk_hold_h100+Sens!E18745*tk_hold_gb200+Sens!E18746*tk_hold_gb300+Sens!E18748*tk_hold_vr200+Sens!E18747*nv_out_mai*tk_hold_vr200)/Sens!E18736</f>
        <v>9.7235358126469</v>
      </c>
      <c r="F18750" s="15" t="n">
        <f aca="false">(Sens!F18744*tk_hold_h100+Sens!F18745*tk_hold_gb200+Sens!F18746*tk_hold_gb300+Sens!F18748*tk_hold_vr200+Sens!F18747*nv_out_mai*tk_hold_vr200)/Sens!F18736</f>
        <v>10.247422093969</v>
      </c>
      <c r="G18750" s="15" t="n">
        <f aca="false">(Sens!G18744*tk_hold_h100+Sens!G18745*tk_hold_gb200+Sens!G18746*tk_hold_gb300+Sens!G18748*tk_hold_vr200+Sens!G18747*nv_out_mai*tk_hold_vr200)/Sens!G18736</f>
        <v>10.6108602808053</v>
      </c>
      <c r="H18750" s="15" t="n">
        <f aca="false">(Sens!H18744*tk_hold_h100+Sens!H18745*tk_hold_gb200+Sens!H18746*tk_hold_gb300+Sens!H18748*tk_hold_vr200+Sens!H18747*nv_out_mai*tk_hold_vr200)/Sens!H18736</f>
        <v>10.8647885507393</v>
      </c>
      <c r="I18750" s="15" t="n">
        <f aca="false">(Sens!I18744*tk_hold_h100+Sens!I18745*tk_hold_gb200+Sens!I18746*tk_hold_gb300+Sens!I18748*tk_hold_vr200+Sens!I18747*nv_out_mai*tk_hold_vr200)/Sens!I18736</f>
        <v>11.0535625770025</v>
      </c>
      <c r="J18750" s="15" t="n">
        <f aca="false">(Sens!J18744*tk_hold_h100+Sens!J18745*tk_hold_gb200+Sens!J18746*tk_hold_gb300+Sens!J18748*tk_hold_vr200+Sens!J18747*nv_out_mai*tk_hold_vr200)/Sens!J18736</f>
        <v>11.2032127128058</v>
      </c>
      <c r="K18750" s="15" t="n">
        <f aca="false">(Sens!K18744*tk_hold_h100+Sens!K18745*tk_hold_gb200+Sens!K18746*tk_hold_gb300+Sens!K18748*tk_hold_vr200+Sens!K18747*nv_out_mai*tk_hold_vr200)/Sens!K18736</f>
        <v>11.4085735724225</v>
      </c>
      <c r="L18750" s="12" t="s">
        <v>975</v>
      </c>
    </row>
    <row r="18751" customFormat="false" ht="17.15" hidden="false" customHeight="false" outlineLevel="0" collapsed="false">
      <c r="A18751" s="0" t="s">
        <v>976</v>
      </c>
      <c r="B18751" s="0" t="s">
        <v>229</v>
      </c>
      <c r="C18751" s="15" t="n">
        <f aca="false">k_B</f>
        <v>1.17213932619116</v>
      </c>
      <c r="D18751" s="15" t="n">
        <f aca="false">k_B</f>
        <v>1.17213932619116</v>
      </c>
      <c r="E18751" s="15" t="n">
        <f aca="false">k_B</f>
        <v>1.17213932619116</v>
      </c>
      <c r="F18751" s="15" t="n">
        <f aca="false">(k_B+((ls_C*k_long+(1-ls_C)*k_spot)-k_B)*MIN(1,(Sens!F18734-base_fy)/k_ramp))</f>
        <v>1.07843258004497</v>
      </c>
      <c r="G18751" s="15" t="n">
        <f aca="false">(k_B+((ls_C*k_long+(1-ls_C)*k_spot)-k_B)*MIN(1,(Sens!G18734-base_fy)/k_ramp))</f>
        <v>0.984725833898784</v>
      </c>
      <c r="H18751" s="15" t="n">
        <f aca="false">(k_B+((ls_C*k_long+(1-ls_C)*k_spot)-k_B)*MIN(1,(Sens!H18734-base_fy)/k_ramp))</f>
        <v>0.891019087752599</v>
      </c>
      <c r="I18751" s="15" t="n">
        <f aca="false">(k_B+((ls_C*k_long+(1-ls_C)*k_spot)-k_B)*MIN(1,(Sens!I18734-base_fy)/k_ramp))</f>
        <v>0.891019087752599</v>
      </c>
      <c r="J18751" s="15" t="n">
        <f aca="false">(k_B+((ls_C*k_long+(1-ls_C)*k_spot)-k_B)*MIN(1,(Sens!J18734-base_fy)/k_ramp))</f>
        <v>0.891019087752599</v>
      </c>
      <c r="K18751" s="15" t="n">
        <f aca="false">(k_B+((ls_C*k_long+(1-ls_C)*k_spot)-k_B)*MIN(1,(Sens!K18734-base_fy)/k_ramp))</f>
        <v>0.891019087752599</v>
      </c>
      <c r="L18751" s="1" t="s">
        <v>977</v>
      </c>
    </row>
    <row r="18752" customFormat="false" ht="17.15" hidden="false" customHeight="false" outlineLevel="0" collapsed="false">
      <c r="A18752" s="1" t="s">
        <v>978</v>
      </c>
      <c r="B18752" s="0" t="s">
        <v>403</v>
      </c>
      <c r="C18752" s="15" t="n">
        <f aca="false">Sens!C18750*Sens!C18751*chip_f</f>
        <v>11.3973387156315</v>
      </c>
      <c r="D18752" s="15" t="n">
        <f aca="false">Sens!D18750*Sens!D18751*chip_f</f>
        <v>11.3973387156315</v>
      </c>
      <c r="E18752" s="15" t="n">
        <f aca="false">Sens!E18750*Sens!E18751*chip_f</f>
        <v>11.3973387156315</v>
      </c>
      <c r="F18752" s="15" t="n">
        <f aca="false">Sens!F18750*Sens!F18751*chip_f</f>
        <v>11.0511538476088</v>
      </c>
      <c r="G18752" s="15" t="n">
        <f aca="false">Sens!G18750*Sens!G18751*chip_f</f>
        <v>10.4487882383995</v>
      </c>
      <c r="H18752" s="15" t="n">
        <f aca="false">Sens!H18750*Sens!H18751*chip_f</f>
        <v>9.68073398310464</v>
      </c>
      <c r="I18752" s="15" t="n">
        <f aca="false">Sens!I18750*Sens!I18751*chip_f</f>
        <v>9.84893524377706</v>
      </c>
      <c r="J18752" s="15" t="n">
        <f aca="false">Sens!J18750*Sens!J18751*chip_f</f>
        <v>9.98227637126252</v>
      </c>
      <c r="K18752" s="15" t="n">
        <f aca="false">Sens!K18750*Sens!K18751*chip_f</f>
        <v>10.1652568170583</v>
      </c>
      <c r="L18752" s="1" t="s">
        <v>979</v>
      </c>
    </row>
    <row r="18753" customFormat="false" ht="17.15" hidden="false" customHeight="false" outlineLevel="0" collapsed="false">
      <c r="A18753" s="0" t="s">
        <v>980</v>
      </c>
      <c r="B18753" s="0" t="s">
        <v>98</v>
      </c>
      <c r="D18753" s="6" t="n">
        <f aca="false">(Sens!C18736+Sens!D18736)/2*Sens!D18752/1000</f>
        <v>12.9359794422418</v>
      </c>
      <c r="E18753" s="6" t="n">
        <f aca="false">(Sens!D18736+Sens!E18736)/2*Sens!E18752/1000</f>
        <v>27.8095064661409</v>
      </c>
      <c r="F18753" s="6" t="n">
        <f aca="false">(Sens!E18736+Sens!F18736)/2*Sens!F18752/1000</f>
        <v>50.9819294352312</v>
      </c>
      <c r="G18753" s="6" t="n">
        <f aca="false">(Sens!F18736+Sens!G18736)/2*Sens!G18752/1000</f>
        <v>76.6920436014933</v>
      </c>
      <c r="H18753" s="6" t="n">
        <f aca="false">(Sens!G18736+Sens!H18736)/2*Sens!H18752/1000</f>
        <v>97.4495379418341</v>
      </c>
      <c r="I18753" s="6" t="n">
        <f aca="false">(Sens!H18736+Sens!I18736)/2*Sens!I18752/1000</f>
        <v>122.083445553868</v>
      </c>
      <c r="J18753" s="6" t="n">
        <f aca="false">(Sens!I18736+Sens!J18736)/2*Sens!J18752/1000</f>
        <v>139.249060444804</v>
      </c>
      <c r="K18753" s="6" t="n">
        <f aca="false">(Sens!J18736+Sens!K18736)/2*Sens!K18752/1000</f>
        <v>149.995818575589</v>
      </c>
      <c r="L18753" s="12" t="s">
        <v>981</v>
      </c>
    </row>
    <row r="18754" customFormat="false" ht="17.15" hidden="false" customHeight="false" outlineLevel="0" collapsed="false">
      <c r="A18754" s="1" t="s">
        <v>982</v>
      </c>
      <c r="B18754" s="0" t="s">
        <v>403</v>
      </c>
      <c r="C18754" s="15" t="n">
        <f aca="false">(Sens!C18744*tk_opex_h100+Sens!C18745*tk_opex_gb200+Sens!C18746*tk_opex_gb300+(Sens!C18748+Sens!C18747)*tk_opex_vr200)/Sens!C18736</f>
        <v>1.88636041306092</v>
      </c>
      <c r="D18754" s="15" t="n">
        <f aca="false">(Sens!D18744*tk_opex_h100+Sens!D18745*tk_opex_gb200+Sens!D18746*tk_opex_gb300+(Sens!D18748+Sens!D18747)*tk_opex_vr200)/Sens!D18736</f>
        <v>1.88636041306092</v>
      </c>
      <c r="E18754" s="15" t="n">
        <f aca="false">(Sens!E18744*tk_opex_h100+Sens!E18745*tk_opex_gb200+Sens!E18746*tk_opex_gb300+(Sens!E18748+Sens!E18747)*tk_opex_vr200)/Sens!E18736</f>
        <v>1.88636041306092</v>
      </c>
      <c r="F18754" s="15" t="n">
        <f aca="false">(Sens!F18744*tk_opex_h100+Sens!F18745*tk_opex_gb200+Sens!F18746*tk_opex_gb300+(Sens!F18748+Sens!F18747)*tk_opex_vr200)/Sens!F18736</f>
        <v>1.95051159746876</v>
      </c>
      <c r="G18754" s="15" t="n">
        <f aca="false">(Sens!G18744*tk_opex_h100+Sens!G18745*tk_opex_gb200+Sens!G18746*tk_opex_gb300+(Sens!G18748+Sens!G18747)*tk_opex_vr200)/Sens!G18736</f>
        <v>1.98836003669956</v>
      </c>
      <c r="H18754" s="15" t="n">
        <f aca="false">(Sens!H18744*tk_opex_h100+Sens!H18745*tk_opex_gb200+Sens!H18746*tk_opex_gb300+(Sens!H18748+Sens!H18747)*tk_opex_vr200)/Sens!H18736</f>
        <v>2.01344013834343</v>
      </c>
      <c r="I18754" s="15" t="n">
        <f aca="false">(Sens!I18744*tk_opex_h100+Sens!I18745*tk_opex_gb200+Sens!I18746*tk_opex_gb300+(Sens!I18748+Sens!I18747)*tk_opex_vr200)/Sens!I18736</f>
        <v>2.03261166882178</v>
      </c>
      <c r="J18754" s="15" t="n">
        <f aca="false">(Sens!J18744*tk_opex_h100+Sens!J18745*tk_opex_gb200+Sens!J18746*tk_opex_gb300+(Sens!J18748+Sens!J18747)*tk_opex_vr200)/Sens!J18736</f>
        <v>2.04808073288745</v>
      </c>
      <c r="K18754" s="15" t="n">
        <f aca="false">(Sens!K18744*tk_opex_h100+Sens!K18745*tk_opex_gb200+Sens!K18746*tk_opex_gb300+(Sens!K18748+Sens!K18747)*tk_opex_vr200)/Sens!K18736</f>
        <v>2.06973825807449</v>
      </c>
      <c r="L18754" s="12" t="s">
        <v>983</v>
      </c>
    </row>
    <row r="18755" customFormat="false" ht="17.15" hidden="false" customHeight="false" outlineLevel="0" collapsed="false">
      <c r="A18755" s="0" t="s">
        <v>984</v>
      </c>
      <c r="B18755" s="0" t="s">
        <v>98</v>
      </c>
      <c r="D18755" s="6" t="n">
        <f aca="false">(Sens!C18739+Sens!D18739)/2*Sens!D18754/1000</f>
        <v>2.70378325872065</v>
      </c>
      <c r="E18755" s="6" t="n">
        <f aca="false">(Sens!D18739+Sens!E18739)/2*Sens!E18754/1000</f>
        <v>6.17783035277451</v>
      </c>
      <c r="F18755" s="6" t="n">
        <f aca="false">(Sens!E18739+Sens!F18739)/2*Sens!F18754/1000</f>
        <v>12.8742463089237</v>
      </c>
      <c r="G18755" s="6" t="n">
        <f aca="false">(Sens!F18739+Sens!G18739)/2*Sens!G18754/1000</f>
        <v>21.8182834646277</v>
      </c>
      <c r="H18755" s="6" t="n">
        <f aca="false">(Sens!G18739+Sens!H18739)/2*Sens!H18754/1000</f>
        <v>31.2430128789734</v>
      </c>
      <c r="I18755" s="6" t="n">
        <f aca="false">(Sens!H18739+Sens!I18739)/2*Sens!I18754/1000</f>
        <v>39.4313057443268</v>
      </c>
      <c r="J18755" s="6" t="n">
        <f aca="false">(Sens!I18739+Sens!J18739)/2*Sens!J18754/1000</f>
        <v>45.0360318228653</v>
      </c>
      <c r="K18755" s="6" t="n">
        <f aca="false">(Sens!J18739+Sens!K18739)/2*Sens!K18754/1000</f>
        <v>48.2929727091156</v>
      </c>
    </row>
    <row r="18756" customFormat="false" ht="17.15" hidden="false" customHeight="false" outlineLevel="0" collapsed="false">
      <c r="A18756" s="0" t="s">
        <v>985</v>
      </c>
      <c r="B18756" s="0" t="s">
        <v>98</v>
      </c>
      <c r="D18756" s="6" t="n">
        <f aca="false">(Sens!C18737+Sens!D18737)/2*rent_mw/1000</f>
        <v>2.44475</v>
      </c>
      <c r="E18756" s="6" t="n">
        <f aca="false">(Sens!D18737+Sens!E18737)/2*rent_mw/1000</f>
        <v>4.22275</v>
      </c>
      <c r="F18756" s="6" t="n">
        <f aca="false">(Sens!E18737+Sens!F18737)/2*rent_mw/1000</f>
        <v>5.80517</v>
      </c>
      <c r="G18756" s="6" t="n">
        <f aca="false">(Sens!F18737+Sens!G18737)/2*rent_mw/1000</f>
        <v>6.72084</v>
      </c>
      <c r="H18756" s="6" t="n">
        <f aca="false">(Sens!G18737+Sens!H18737)/2*rent_mw/1000</f>
        <v>6.72084</v>
      </c>
      <c r="I18756" s="6" t="n">
        <f aca="false">(Sens!H18737+Sens!I18737)/2*rent_mw/1000</f>
        <v>6.72084</v>
      </c>
      <c r="J18756" s="6" t="n">
        <f aca="false">(Sens!I18737+Sens!J18737)/2*rent_mw/1000</f>
        <v>6.72084</v>
      </c>
      <c r="K18756" s="6" t="n">
        <f aca="false">(Sens!J18737+Sens!K18737)/2*rent_mw/1000</f>
        <v>6.72084</v>
      </c>
    </row>
    <row r="18757" customFormat="false" ht="17.15" hidden="false" customHeight="false" outlineLevel="0" collapsed="false">
      <c r="A18757" s="0" t="s">
        <v>986</v>
      </c>
      <c r="B18757" s="0" t="s">
        <v>98</v>
      </c>
      <c r="D18757" s="6" t="n">
        <f aca="false">(Sens!C18739+Sens!D18739)/2*(1-self_build)*fac_rent/1000</f>
        <v>0.853242375631075</v>
      </c>
      <c r="E18757" s="6" t="n">
        <f aca="false">(Sens!D18739+Sens!E18739)/2*(1-self_build)*fac_rent/1000</f>
        <v>1.94955961408728</v>
      </c>
      <c r="F18757" s="6" t="n">
        <f aca="false">(Sens!E18739+Sens!F18739)/2*(1-self_build)*fac_rent/1000</f>
        <v>3.92914894476356</v>
      </c>
      <c r="G18757" s="6" t="n">
        <f aca="false">(Sens!F18739+Sens!G18739)/2*(1-self_build)*fac_rent/1000</f>
        <v>6.53206908578159</v>
      </c>
      <c r="H18757" s="6" t="n">
        <f aca="false">(Sens!G18739+Sens!H18739)/2*(1-self_build)*fac_rent/1000</f>
        <v>9.23717988341591</v>
      </c>
      <c r="I18757" s="6" t="n">
        <f aca="false">(Sens!H18739+Sens!I18739)/2*(1-self_build)*fac_rent/1000</f>
        <v>11.5481378557393</v>
      </c>
      <c r="J18757" s="6" t="n">
        <f aca="false">(Sens!I18739+Sens!J18739)/2*(1-self_build)*fac_rent/1000</f>
        <v>13.0899582289108</v>
      </c>
      <c r="K18757" s="6" t="n">
        <f aca="false">(Sens!J18739+Sens!K18739)/2*(1-self_build)*fac_rent/1000</f>
        <v>13.8897275626556</v>
      </c>
      <c r="L18757" s="12" t="s">
        <v>987</v>
      </c>
    </row>
    <row r="18758" customFormat="false" ht="17.15" hidden="false" customHeight="false" outlineLevel="0" collapsed="false">
      <c r="A18758" s="1" t="s">
        <v>988</v>
      </c>
      <c r="B18758" s="0" t="s">
        <v>168</v>
      </c>
      <c r="D18758" s="7" t="n">
        <f aca="false">(Sens!C18738+Sens!D18738)/(Sens!C18739+Sens!D18739)</f>
        <v>0.6</v>
      </c>
      <c r="E18758" s="7" t="n">
        <f aca="false">(Sens!D18738+Sens!E18738)/(Sens!D18739+Sens!E18739)</f>
        <v>0.6</v>
      </c>
      <c r="F18758" s="7" t="n">
        <f aca="false">(Sens!E18738+Sens!F18738)/(Sens!E18739+Sens!F18739)</f>
        <v>0.6</v>
      </c>
      <c r="G18758" s="7" t="n">
        <f aca="false">(Sens!F18738+Sens!G18738)/(Sens!F18739+Sens!G18739)</f>
        <v>0.6</v>
      </c>
      <c r="H18758" s="7" t="n">
        <f aca="false">(Sens!G18738+Sens!H18738)/(Sens!G18739+Sens!H18739)</f>
        <v>0.6</v>
      </c>
      <c r="I18758" s="7" t="n">
        <f aca="false">(Sens!H18738+Sens!I18738)/(Sens!H18739+Sens!I18739)</f>
        <v>0.6</v>
      </c>
      <c r="J18758" s="7" t="n">
        <f aca="false">(Sens!I18738+Sens!J18738)/(Sens!I18739+Sens!J18739)</f>
        <v>0.6</v>
      </c>
      <c r="K18758" s="7" t="n">
        <f aca="false">(Sens!J18738+Sens!K18738)/(Sens!J18739+Sens!K18739)</f>
        <v>0.6</v>
      </c>
    </row>
    <row r="18759" customFormat="false" ht="17.15" hidden="false" customHeight="false" outlineLevel="0" collapsed="false">
      <c r="A18759" s="0" t="s">
        <v>989</v>
      </c>
      <c r="B18759" s="0" t="s">
        <v>98</v>
      </c>
      <c r="D18759" s="6" t="n">
        <f aca="false">Sens!D18753-Sens!D18758*(Sens!D18755+Sens!D18757)-Sens!D18756</f>
        <v>8.35701406163072</v>
      </c>
      <c r="E18759" s="6" t="n">
        <f aca="false">Sens!E18753-Sens!E18758*(Sens!E18755+Sens!E18757)-Sens!E18756</f>
        <v>18.7103224860238</v>
      </c>
      <c r="F18759" s="6" t="n">
        <f aca="false">Sens!F18753-Sens!F18758*(Sens!F18755+Sens!F18757)-Sens!F18756</f>
        <v>35.0947222830189</v>
      </c>
      <c r="G18759" s="6" t="n">
        <f aca="false">Sens!G18753-Sens!G18758*(Sens!G18755+Sens!G18757)-Sens!G18756</f>
        <v>52.9609920712477</v>
      </c>
      <c r="H18759" s="6" t="n">
        <f aca="false">Sens!H18753-Sens!H18758*(Sens!H18755+Sens!H18757)-Sens!H18756</f>
        <v>66.4405822844005</v>
      </c>
      <c r="I18759" s="6" t="n">
        <f aca="false">Sens!I18753-Sens!I18758*(Sens!I18755+Sens!I18757)-Sens!I18756</f>
        <v>84.7749393938279</v>
      </c>
      <c r="J18759" s="6" t="n">
        <f aca="false">Sens!J18753-Sens!J18758*(Sens!J18755+Sens!J18757)-Sens!J18756</f>
        <v>97.6526264137382</v>
      </c>
      <c r="K18759" s="6" t="n">
        <f aca="false">Sens!K18753-Sens!K18758*(Sens!K18755+Sens!K18757)-Sens!K18756</f>
        <v>105.965358412527</v>
      </c>
    </row>
    <row r="18760" customFormat="false" ht="17.15" hidden="false" customHeight="false" outlineLevel="0" collapsed="false">
      <c r="A18760" s="1" t="s">
        <v>990</v>
      </c>
      <c r="B18760" s="0" t="s">
        <v>98</v>
      </c>
      <c r="D18760" s="6" t="n">
        <f aca="false">(1-Sens!D18758)*(Sens!D18755+Sens!D18757)</f>
        <v>1.42281025374069</v>
      </c>
      <c r="E18760" s="6" t="n">
        <f aca="false">(1-Sens!E18758)*(Sens!E18755+Sens!E18757)</f>
        <v>3.25095598674472</v>
      </c>
      <c r="F18760" s="6" t="n">
        <f aca="false">(1-Sens!F18758)*(Sens!F18755+Sens!F18757)</f>
        <v>6.72135810147489</v>
      </c>
      <c r="G18760" s="6" t="n">
        <f aca="false">(1-Sens!G18758)*(Sens!G18755+Sens!G18757)</f>
        <v>11.3401410201637</v>
      </c>
      <c r="H18760" s="6" t="n">
        <f aca="false">(1-Sens!H18758)*(Sens!H18755+Sens!H18757)</f>
        <v>16.1920771049557</v>
      </c>
      <c r="I18760" s="6" t="n">
        <f aca="false">(1-Sens!I18758)*(Sens!I18755+Sens!I18757)</f>
        <v>20.3917774400264</v>
      </c>
      <c r="J18760" s="6" t="n">
        <f aca="false">(1-Sens!J18758)*(Sens!J18755+Sens!J18757)</f>
        <v>23.2503960207104</v>
      </c>
      <c r="K18760" s="6" t="n">
        <f aca="false">(1-Sens!K18758)*(Sens!K18755+Sens!K18757)</f>
        <v>24.8730801087085</v>
      </c>
    </row>
    <row r="18761" customFormat="false" ht="17.15" hidden="false" customHeight="false" outlineLevel="0" collapsed="false">
      <c r="A18761" s="1" t="s">
        <v>991</v>
      </c>
      <c r="B18761" s="0" t="s">
        <v>417</v>
      </c>
      <c r="C18761" s="8" t="n">
        <f aca="false">cxit_open</f>
        <v>27.5918995</v>
      </c>
      <c r="D18761" s="8" t="n">
        <f aca="false">cxit_open</f>
        <v>27.5918995</v>
      </c>
      <c r="E18761" s="8" t="n">
        <f aca="false">cxit_open</f>
        <v>27.5918995</v>
      </c>
      <c r="F18761" s="8" t="n">
        <f aca="false">((a_g3_27-nonnv*a_mai)*tk_cxit_gb300+nonnv*a_mai*nv_hold_mai*tk_cxit_vr200+(1-a_g3_27)*tk_cxit_vr200)</f>
        <v>32.4975576</v>
      </c>
      <c r="G18761" s="8" t="n">
        <f aca="false">((a_g3_28-nonnv*a_mai)*tk_cxit_gb300+nonnv*a_mai*nv_hold_mai*tk_cxit_vr200+(1-a_g3_28)*tk_cxit_vr200)</f>
        <v>34.6372088</v>
      </c>
      <c r="H18761" s="8" t="n">
        <f aca="false">((a_g3_29-nonnv*a_mai)*tk_cxit_gb300+nonnv*a_mai*nv_hold_mai*tk_cxit_vr200+(1-a_g3_29)*tk_cxit_vr200)</f>
        <v>35.7070344</v>
      </c>
      <c r="I18761" s="8" t="n">
        <f aca="false">((a_g3_29-nonnv*a_mai)*tk_cxit_gb300+nonnv*a_mai*nv_hold_mai*tk_cxit_vr200+(1-a_g3_29)*tk_cxit_vr200)</f>
        <v>35.7070344</v>
      </c>
      <c r="J18761" s="8" t="n">
        <f aca="false">((a_g3_29-nonnv*a_mai)*tk_cxit_gb300+nonnv*a_mai*nv_hold_mai*tk_cxit_vr200+(1-a_g3_29)*tk_cxit_vr200)</f>
        <v>35.7070344</v>
      </c>
      <c r="K18761" s="8" t="n">
        <f aca="false">((a_g3_29-nonnv*a_mai)*tk_cxit_gb300+nonnv*a_mai*nv_hold_mai*tk_cxit_vr200+(1-a_g3_29)*tk_cxit_vr200)</f>
        <v>35.7070344</v>
      </c>
      <c r="L18761" s="12" t="s">
        <v>992</v>
      </c>
    </row>
    <row r="18762" customFormat="false" ht="17.15" hidden="false" customHeight="false" outlineLevel="0" collapsed="false">
      <c r="A18762" s="0" t="s">
        <v>993</v>
      </c>
      <c r="B18762" s="0" t="s">
        <v>459</v>
      </c>
      <c r="F18762" s="30" t="n">
        <f aca="false">Sens!C18741*IF(Sens!F18734-Sens!C18734=life_it,1,0)+Sens!D18741*IF(Sens!F18734-Sens!D18734=life_it,1,0)+Sens!E18741*IF(Sens!F18734-Sens!E18734=life_it,1,0)</f>
        <v>0</v>
      </c>
      <c r="G18762" s="30" t="n">
        <f aca="false">Sens!C18741*IF(Sens!G18734-Sens!C18734=life_it,1,0)+Sens!D18741*IF(Sens!G18734-Sens!D18734=life_it,1,0)+Sens!E18741*IF(Sens!G18734-Sens!E18734=life_it,1,0)+Sens!F18741*IF(Sens!G18734-Sens!F18734=life_it,1,0)</f>
        <v>0</v>
      </c>
      <c r="H18762" s="30" t="n">
        <f aca="false">Sens!C18741*IF(Sens!H18734-Sens!C18734=life_it,1,0)+Sens!D18741*IF(Sens!H18734-Sens!D18734=life_it,1,0)+Sens!E18741*IF(Sens!H18734-Sens!E18734=life_it,1,0)+Sens!F18741*IF(Sens!H18734-Sens!F18734=life_it,1,0)+Sens!G18741*IF(Sens!H18734-Sens!G18734=life_it,1,0)</f>
        <v>0</v>
      </c>
      <c r="I18762" s="30" t="n">
        <f aca="false">Sens!C18741*IF(Sens!I18734-Sens!C18734=life_it,1,0)+Sens!D18741*IF(Sens!I18734-Sens!D18734=life_it,1,0)+Sens!E18741*IF(Sens!I18734-Sens!E18734=life_it,1,0)+Sens!F18741*IF(Sens!I18734-Sens!F18734=life_it,1,0)+Sens!G18741*IF(Sens!I18734-Sens!G18734=life_it,1,0)+Sens!H18741*IF(Sens!I18734-Sens!H18734=life_it,1,0)</f>
        <v>816.666666666667</v>
      </c>
      <c r="J18762" s="30" t="n">
        <f aca="false">Sens!C18741*IF(Sens!J18734-Sens!C18734=life_it,1,0)+Sens!D18741*IF(Sens!J18734-Sens!D18734=life_it,1,0)+Sens!E18741*IF(Sens!J18734-Sens!E18734=life_it,1,0)+Sens!F18741*IF(Sens!J18734-Sens!F18734=life_it,1,0)+Sens!G18741*IF(Sens!J18734-Sens!G18734=life_it,1,0)+Sens!H18741*IF(Sens!J18734-Sens!H18734=life_it,1,0)+Sens!I18741*IF(Sens!J18734-Sens!I18734=life_it,1,0)</f>
        <v>1233.33333333333</v>
      </c>
      <c r="K18762" s="30" t="n">
        <f aca="false">Sens!C18741*IF(Sens!K18734-Sens!C18734=life_it,1,0)+Sens!D18741*IF(Sens!K18734-Sens!D18734=life_it,1,0)+Sens!E18741*IF(Sens!K18734-Sens!E18734=life_it,1,0)+Sens!F18741*IF(Sens!K18734-Sens!F18734=life_it,1,0)+Sens!G18741*IF(Sens!K18734-Sens!G18734=life_it,1,0)+Sens!H18741*IF(Sens!K18734-Sens!H18734=life_it,1,0)+Sens!I18741*IF(Sens!K18734-Sens!I18734=life_it,1,0)+Sens!J18741*IF(Sens!K18734-Sens!J18734=life_it,1,0)</f>
        <v>2450</v>
      </c>
      <c r="L18762" s="1" t="s">
        <v>994</v>
      </c>
    </row>
    <row r="18763" customFormat="false" ht="17.15" hidden="false" customHeight="false" outlineLevel="0" collapsed="false">
      <c r="A18763" s="0" t="s">
        <v>995</v>
      </c>
      <c r="B18763" s="0" t="s">
        <v>98</v>
      </c>
      <c r="C18763" s="6" t="n">
        <f aca="false">Sens!C18741*Sens!C18761/1000</f>
        <v>22.5333845916667</v>
      </c>
      <c r="D18763" s="6" t="n">
        <f aca="false">Sens!D18741*Sens!D18761/1000</f>
        <v>34.0300093833333</v>
      </c>
      <c r="E18763" s="6" t="n">
        <f aca="false">Sens!E18741*Sens!E18761/1000</f>
        <v>67.600153775</v>
      </c>
      <c r="F18763" s="6" t="n">
        <f aca="false">(Sens!F18741+Sens!F18762)*Sens!F18761/1000</f>
        <v>136.51872432512</v>
      </c>
      <c r="G18763" s="6" t="n">
        <f aca="false">(Sens!G18741+Sens!G18762)*Sens!G18761/1000</f>
        <v>157.399275932048</v>
      </c>
      <c r="H18763" s="6" t="n">
        <f aca="false">(Sens!H18741+Sens!H18762)*Sens!H18761/1000</f>
        <v>162.260804347512</v>
      </c>
      <c r="I18763" s="6" t="n">
        <f aca="false">(Sens!I18741+Sens!I18762)*Sens!I18761/1000</f>
        <v>144.136569485434</v>
      </c>
      <c r="J18763" s="6" t="n">
        <f aca="false">(Sens!J18741+Sens!J18762)*Sens!J18761/1000</f>
        <v>114.029037357864</v>
      </c>
      <c r="K18763" s="6" t="n">
        <f aca="false">(Sens!K18741+Sens!K18762)*Sens!K18761/1000</f>
        <v>113.437085350975</v>
      </c>
    </row>
    <row r="18764" customFormat="false" ht="17.15" hidden="false" customHeight="false" outlineLevel="0" collapsed="false">
      <c r="A18764" s="0" t="s">
        <v>996</v>
      </c>
      <c r="B18764" s="0" t="s">
        <v>98</v>
      </c>
      <c r="C18764" s="6" t="n">
        <f aca="false">Sens!C18741*self_build*tk_cxfac/1000</f>
        <v>6.2083</v>
      </c>
      <c r="D18764" s="6" t="n">
        <f aca="false">Sens!D18741*self_build*tk_cxfac/1000</f>
        <v>9.3758</v>
      </c>
      <c r="E18764" s="6" t="n">
        <f aca="false">Sens!E18741*self_build*tk_cxfac/1000</f>
        <v>18.6249</v>
      </c>
      <c r="F18764" s="6" t="n">
        <f aca="false">Sens!F18741*self_build*tk_cxfac/1000</f>
        <v>31.935179717</v>
      </c>
      <c r="G18764" s="6" t="n">
        <f aca="false">Sens!G18741*self_build*tk_cxfac/1000</f>
        <v>34.545199717</v>
      </c>
      <c r="H18764" s="6" t="n">
        <f aca="false">Sens!H18741*self_build*tk_cxfac/1000</f>
        <v>34.545199717</v>
      </c>
      <c r="I18764" s="6" t="n">
        <f aca="false">Sens!I18741*self_build*tk_cxfac/1000</f>
        <v>24.4782641361767</v>
      </c>
      <c r="J18764" s="6" t="n">
        <f aca="false">Sens!J18741*self_build*tk_cxfac/1000</f>
        <v>14.9008938380769</v>
      </c>
      <c r="K18764" s="6" t="n">
        <f aca="false">Sens!K18741*self_build*tk_cxfac/1000</f>
        <v>5.52576771375761</v>
      </c>
    </row>
    <row r="18765" customFormat="false" ht="17.15" hidden="false" customHeight="false" outlineLevel="0" collapsed="false">
      <c r="A18765" s="0" t="s">
        <v>997</v>
      </c>
      <c r="B18765" s="0" t="s">
        <v>98</v>
      </c>
      <c r="F18765" s="15" t="n">
        <f aca="false">capex_floor27-Sens!F18763-Sens!F18764-Sens!F18861</f>
        <v>0.048791704330057</v>
      </c>
      <c r="L18765" s="12" t="s">
        <v>998</v>
      </c>
    </row>
    <row r="18766" customFormat="false" ht="17.15" hidden="false" customHeight="false" outlineLevel="0" collapsed="false">
      <c r="A18766" s="0" t="s">
        <v>999</v>
      </c>
      <c r="B18766" s="0" t="s">
        <v>98</v>
      </c>
      <c r="F18766" s="6" t="n">
        <f aca="false">MAX(0,Sens!F18765)</f>
        <v>0.048791704330057</v>
      </c>
    </row>
    <row r="18767" customFormat="false" ht="17.15" hidden="false" customHeight="false" outlineLevel="0" collapsed="false">
      <c r="A18767" s="0" t="s">
        <v>1000</v>
      </c>
      <c r="B18767" s="0" t="s">
        <v>98</v>
      </c>
      <c r="C18767" s="6" t="n">
        <f aca="false">Sens!C18763</f>
        <v>22.5333845916667</v>
      </c>
      <c r="D18767" s="6" t="n">
        <f aca="false">Sens!D18763</f>
        <v>34.0300093833333</v>
      </c>
      <c r="E18767" s="6" t="n">
        <f aca="false">Sens!E18763</f>
        <v>67.600153775</v>
      </c>
      <c r="F18767" s="6" t="n">
        <f aca="false">Sens!F18763</f>
        <v>136.51872432512</v>
      </c>
      <c r="G18767" s="6" t="n">
        <f aca="false">Sens!G18763</f>
        <v>157.399275932048</v>
      </c>
      <c r="H18767" s="6" t="n">
        <f aca="false">Sens!H18763</f>
        <v>162.260804347512</v>
      </c>
      <c r="I18767" s="6" t="n">
        <f aca="false">Sens!I18763</f>
        <v>144.136569485434</v>
      </c>
      <c r="J18767" s="6" t="n">
        <f aca="false">Sens!J18763</f>
        <v>114.029037357864</v>
      </c>
      <c r="K18767" s="6" t="n">
        <f aca="false">Sens!K18763</f>
        <v>113.437085350975</v>
      </c>
    </row>
    <row r="18768" customFormat="false" ht="17.15" hidden="false" customHeight="false" outlineLevel="0" collapsed="false">
      <c r="A18768" s="0" t="s">
        <v>1001</v>
      </c>
      <c r="B18768" s="0" t="s">
        <v>98</v>
      </c>
      <c r="C18768" s="6" t="n">
        <f aca="false">Sens!C18767+Sens!C18764</f>
        <v>28.7416845916667</v>
      </c>
      <c r="D18768" s="6" t="n">
        <f aca="false">Sens!D18767+Sens!D18764</f>
        <v>43.4058093833333</v>
      </c>
      <c r="E18768" s="6" t="n">
        <f aca="false">Sens!E18767+Sens!E18764</f>
        <v>86.225053775</v>
      </c>
      <c r="F18768" s="6" t="n">
        <f aca="false">Sens!F18767+Sens!F18764</f>
        <v>168.45390404212</v>
      </c>
      <c r="G18768" s="6" t="n">
        <f aca="false">Sens!G18767+Sens!G18764</f>
        <v>191.944475649048</v>
      </c>
      <c r="H18768" s="6" t="n">
        <f aca="false">Sens!H18767+Sens!H18764</f>
        <v>196.806004064512</v>
      </c>
      <c r="I18768" s="6" t="n">
        <f aca="false">Sens!I18767+Sens!I18764</f>
        <v>168.61483362161</v>
      </c>
      <c r="J18768" s="6" t="n">
        <f aca="false">Sens!J18767+Sens!J18764</f>
        <v>128.92993119594</v>
      </c>
      <c r="K18768" s="6" t="n">
        <f aca="false">Sens!K18767+Sens!K18764</f>
        <v>118.962853064733</v>
      </c>
      <c r="L18768" s="12" t="s">
        <v>1002</v>
      </c>
    </row>
    <row r="18769" customFormat="false" ht="17.15" hidden="false" customHeight="false" outlineLevel="0" collapsed="false">
      <c r="A18769" s="0" t="s">
        <v>1003</v>
      </c>
      <c r="B18769" s="0" t="s">
        <v>98</v>
      </c>
      <c r="E18769" s="6" t="n">
        <f aca="false">(Sens!C18767*IF(2&lt;life_it,1,IF(2=life_it,0.5,0))+Sens!D18767*IF(1&lt;life_it,1,IF(1=life_it,0.5,0))+Sens!E18767*0.5)/life_it</f>
        <v>15.0605784770833</v>
      </c>
      <c r="F18769" s="6" t="n">
        <f aca="false">(Sens!C18767*IF(3&lt;life_it,1,IF(3=life_it,0.5,0))+Sens!D18767*IF(2&lt;life_it,1,IF(2=life_it,0.5,0))+Sens!E18767*IF(1&lt;life_it,1,IF(1=life_it,0.5,0))+Sens!F18767*0.5)/life_it</f>
        <v>32.0704849854266</v>
      </c>
      <c r="G18769" s="6" t="n">
        <f aca="false">(Sens!C18767*IF(4&lt;life_it,1,IF(4=life_it,0.5,0))+Sens!D18767*IF(3&lt;life_it,1,IF(3=life_it,0.5,0))+Sens!E18767*IF(2&lt;life_it,1,IF(2=life_it,0.5,0))+Sens!F18767*IF(1&lt;life_it,1,IF(1=life_it,0.5,0))+Sens!G18767*0.5)/life_it</f>
        <v>56.5636516735239</v>
      </c>
      <c r="H18769" s="6" t="n">
        <f aca="false">(Sens!C18767*IF(5&lt;life_it,1,IF(5=life_it,0.5,0))+Sens!D18767*IF(4&lt;life_it,1,IF(4=life_it,0.5,0))+Sens!E18767*IF(3&lt;life_it,1,IF(3=life_it,0.5,0))+Sens!F18767*IF(2&lt;life_it,1,IF(2=life_it,0.5,0))+Sens!G18767*IF(1&lt;life_it,1,IF(1=life_it,0.5,0))+Sens!H18767*0.5)/life_it</f>
        <v>83.2019916968207</v>
      </c>
      <c r="I18769" s="6" t="n">
        <f aca="false">(Sens!C18767*IF(6&lt;life_it,1,IF(6=life_it,0.5,0))+Sens!D18767*IF(5&lt;life_it,1,IF(5=life_it,0.5,0))+Sens!E18767*IF(4&lt;life_it,1,IF(4=life_it,0.5,0))+Sens!F18767*IF(3&lt;life_it,1,IF(3=life_it,0.5,0))+Sens!G18767*IF(2&lt;life_it,1,IF(2=life_it,0.5,0))+Sens!H18767*IF(1&lt;life_it,1,IF(1=life_it,0.5,0))+Sens!I18767*0.5)/life_it</f>
        <v>106.857324133594</v>
      </c>
      <c r="J18769" s="6" t="n">
        <f aca="false">(Sens!C18767*IF(7&lt;life_it,1,IF(7=life_it,0.5,0))+Sens!D18767*IF(6&lt;life_it,1,IF(6=life_it,0.5,0))+Sens!E18767*IF(5&lt;life_it,1,IF(5=life_it,0.5,0))+Sens!F18767*IF(4&lt;life_it,1,IF(4=life_it,0.5,0))+Sens!G18767*IF(3&lt;life_it,1,IF(3=life_it,0.5,0))+Sens!H18767*IF(2&lt;life_it,1,IF(2=life_it,0.5,0))+Sens!I18767*IF(1&lt;life_it,1,IF(1=life_it,0.5,0))+Sens!J18767*0.5)/life_it</f>
        <v>123.657508539285</v>
      </c>
      <c r="K18769" s="6" t="n">
        <f aca="false">(Sens!C18767*IF(8&lt;life_it,1,IF(8=life_it,0.5,0))+Sens!D18767*IF(7&lt;life_it,1,IF(7=life_it,0.5,0))+Sens!E18767*IF(6&lt;life_it,1,IF(6=life_it,0.5,0))+Sens!F18767*IF(5&lt;life_it,1,IF(5=life_it,0.5,0))+Sens!G18767*IF(4&lt;life_it,1,IF(4=life_it,0.5,0))+Sens!H18767*IF(3&lt;life_it,1,IF(3=life_it,0.5,0))+Sens!I18767*IF(2&lt;life_it,1,IF(2=life_it,0.5,0))+Sens!J18767*IF(1&lt;life_it,1,IF(1=life_it,0.5,0))+Sens!K18767*0.5)/life_it</f>
        <v>134.143838501827</v>
      </c>
    </row>
    <row r="18770" customFormat="false" ht="17.15" hidden="false" customHeight="false" outlineLevel="0" collapsed="false">
      <c r="A18770" s="0" t="s">
        <v>1004</v>
      </c>
      <c r="B18770" s="0" t="s">
        <v>98</v>
      </c>
      <c r="E18770" s="6" t="n">
        <f aca="false">(Sens!C18764*IF(2&lt;life_fac,1,IF(2=life_fac,0.5,0))+Sens!D18764*IF(1&lt;life_fac,1,IF(1=life_fac,0.5,0))+Sens!E18764*0.5)/life_fac</f>
        <v>1.2448275</v>
      </c>
      <c r="F18770" s="6" t="n">
        <f aca="false">(Sens!C18764*IF(3&lt;life_fac,1,IF(3=life_fac,0.5,0))+Sens!D18764*IF(2&lt;life_fac,1,IF(2=life_fac,0.5,0))+Sens!E18764*IF(1&lt;life_fac,1,IF(1=life_fac,0.5,0))+Sens!F18764*0.5)/life_fac</f>
        <v>2.508829492925</v>
      </c>
      <c r="G18770" s="6" t="n">
        <f aca="false">(Sens!C18764*IF(4&lt;life_fac,1,IF(4=life_fac,0.5,0))+Sens!D18764*IF(3&lt;life_fac,1,IF(3=life_fac,0.5,0))+Sens!E18764*IF(2&lt;life_fac,1,IF(2=life_fac,0.5,0))+Sens!F18764*IF(1&lt;life_fac,1,IF(1=life_fac,0.5,0))+Sens!G18764*0.5)/life_fac</f>
        <v>4.170838978775</v>
      </c>
      <c r="H18770" s="6" t="n">
        <f aca="false">(Sens!C18764*IF(5&lt;life_fac,1,IF(5=life_fac,0.5,0))+Sens!D18764*IF(4&lt;life_fac,1,IF(4=life_fac,0.5,0))+Sens!E18764*IF(3&lt;life_fac,1,IF(3=life_fac,0.5,0))+Sens!F18764*IF(2&lt;life_fac,1,IF(2=life_fac,0.5,0))+Sens!G18764*IF(1&lt;life_fac,1,IF(1=life_fac,0.5,0))+Sens!H18764*0.5)/life_fac</f>
        <v>5.898098964625</v>
      </c>
      <c r="I18770" s="6" t="n">
        <f aca="false">(Sens!C18764*IF(6&lt;life_fac,1,IF(6=life_fac,0.5,0))+Sens!D18764*IF(5&lt;life_fac,1,IF(5=life_fac,0.5,0))+Sens!E18764*IF(4&lt;life_fac,1,IF(4=life_fac,0.5,0))+Sens!F18764*IF(3&lt;life_fac,1,IF(3=life_fac,0.5,0))+Sens!G18764*IF(2&lt;life_fac,1,IF(2=life_fac,0.5,0))+Sens!H18764*IF(1&lt;life_fac,1,IF(1=life_fac,0.5,0))+Sens!I18764*0.5)/life_fac</f>
        <v>7.37368556095442</v>
      </c>
      <c r="J18770" s="6" t="n">
        <f aca="false">(Sens!C18764*IF(7&lt;life_fac,1,IF(7=life_fac,0.5,0))+Sens!D18764*IF(6&lt;life_fac,1,IF(6=life_fac,0.5,0))+Sens!E18764*IF(5&lt;life_fac,1,IF(5=life_fac,0.5,0))+Sens!F18764*IF(4&lt;life_fac,1,IF(4=life_fac,0.5,0))+Sens!G18764*IF(3&lt;life_fac,1,IF(3=life_fac,0.5,0))+Sens!H18764*IF(2&lt;life_fac,1,IF(2=life_fac,0.5,0))+Sens!I18764*IF(1&lt;life_fac,1,IF(1=life_fac,0.5,0))+Sens!J18764*0.5)/life_fac</f>
        <v>8.35816451031075</v>
      </c>
      <c r="K18770" s="6" t="n">
        <f aca="false">(Sens!C18764*IF(8&lt;life_fac,1,IF(8=life_fac,0.5,0))+Sens!D18764*IF(7&lt;life_fac,1,IF(7=life_fac,0.5,0))+Sens!E18764*IF(6&lt;life_fac,1,IF(6=life_fac,0.5,0))+Sens!F18764*IF(5&lt;life_fac,1,IF(5=life_fac,0.5,0))+Sens!G18764*IF(4&lt;life_fac,1,IF(4=life_fac,0.5,0))+Sens!H18764*IF(3&lt;life_fac,1,IF(3=life_fac,0.5,0))+Sens!I18764*IF(2&lt;life_fac,1,IF(2=life_fac,0.5,0))+Sens!J18764*IF(1&lt;life_fac,1,IF(1=life_fac,0.5,0))+Sens!K18764*0.5)/life_fac</f>
        <v>8.86883104910662</v>
      </c>
    </row>
    <row r="18771" customFormat="false" ht="17.15" hidden="false" customHeight="false" outlineLevel="0" collapsed="false">
      <c r="A18771" s="0" t="s">
        <v>1005</v>
      </c>
      <c r="B18771" s="0" t="s">
        <v>98</v>
      </c>
      <c r="E18771" s="6" t="n">
        <f aca="false">Sens!E18769+Sens!E18770</f>
        <v>16.3054059770833</v>
      </c>
      <c r="F18771" s="6" t="n">
        <f aca="false">Sens!F18769+Sens!F18770</f>
        <v>34.5793144783516</v>
      </c>
      <c r="G18771" s="6" t="n">
        <f aca="false">Sens!G18769+Sens!G18770</f>
        <v>60.7344906522989</v>
      </c>
      <c r="H18771" s="6" t="n">
        <f aca="false">Sens!H18769+Sens!H18770</f>
        <v>89.1000906614457</v>
      </c>
      <c r="I18771" s="6" t="n">
        <f aca="false">Sens!I18769+Sens!I18770</f>
        <v>114.231009694548</v>
      </c>
      <c r="J18771" s="6" t="n">
        <f aca="false">Sens!J18769+Sens!J18770</f>
        <v>132.015673049596</v>
      </c>
      <c r="K18771" s="6" t="n">
        <f aca="false">Sens!K18769+Sens!K18770</f>
        <v>143.012669550934</v>
      </c>
    </row>
    <row r="18772" customFormat="false" ht="17.15" hidden="false" customHeight="false" outlineLevel="0" collapsed="false">
      <c r="A18772" s="0" t="s">
        <v>1006</v>
      </c>
      <c r="B18772" s="0" t="s">
        <v>98</v>
      </c>
      <c r="E18772" s="6" t="n">
        <f aca="false">Sens!E18759-Sens!E18758*Sens!E18771</f>
        <v>8.92707889977379</v>
      </c>
      <c r="F18772" s="6" t="n">
        <f aca="false">Sens!F18759-Sens!F18758*Sens!F18771</f>
        <v>14.3471335960079</v>
      </c>
      <c r="G18772" s="6" t="n">
        <f aca="false">Sens!G18759-Sens!G18758*Sens!G18771</f>
        <v>16.5202976798683</v>
      </c>
      <c r="H18772" s="6" t="n">
        <f aca="false">Sens!H18759-Sens!H18758*Sens!H18771</f>
        <v>12.9805278875331</v>
      </c>
      <c r="I18772" s="6" t="n">
        <f aca="false">Sens!I18759-Sens!I18758*Sens!I18771</f>
        <v>16.2363335770989</v>
      </c>
      <c r="J18772" s="6" t="n">
        <f aca="false">Sens!J18759-Sens!J18758*Sens!J18771</f>
        <v>18.4432225839805</v>
      </c>
      <c r="K18772" s="6" t="n">
        <f aca="false">Sens!K18759-Sens!K18758*Sens!K18771</f>
        <v>20.1577566819661</v>
      </c>
    </row>
    <row r="18773" customFormat="false" ht="17.15" hidden="false" customHeight="false" outlineLevel="0" collapsed="false">
      <c r="A18773" s="3" t="s">
        <v>2075</v>
      </c>
    </row>
    <row r="18774" customFormat="false" ht="15" hidden="false" customHeight="false" outlineLevel="0" collapsed="false">
      <c r="A18774" s="4" t="s">
        <v>43</v>
      </c>
      <c r="B18774" s="4" t="s">
        <v>65</v>
      </c>
      <c r="C18774" s="23" t="s">
        <v>942</v>
      </c>
      <c r="D18774" s="23" t="s">
        <v>943</v>
      </c>
      <c r="E18774" s="23" t="s">
        <v>944</v>
      </c>
      <c r="F18774" s="23" t="s">
        <v>945</v>
      </c>
      <c r="G18774" s="23" t="s">
        <v>946</v>
      </c>
      <c r="H18774" s="23" t="s">
        <v>947</v>
      </c>
      <c r="I18774" s="23" t="s">
        <v>948</v>
      </c>
      <c r="J18774" s="23" t="s">
        <v>949</v>
      </c>
      <c r="K18774" s="23" t="s">
        <v>950</v>
      </c>
      <c r="L18774" s="4" t="s">
        <v>47</v>
      </c>
    </row>
    <row r="18775" customFormat="false" ht="17.15" hidden="false" customHeight="false" outlineLevel="0" collapsed="false">
      <c r="A18775" s="0" t="s">
        <v>1025</v>
      </c>
      <c r="B18775" s="0" t="s">
        <v>98</v>
      </c>
      <c r="D18775" s="6" t="n">
        <f aca="false">Sens!D18753</f>
        <v>12.9359794422418</v>
      </c>
      <c r="E18775" s="6" t="n">
        <f aca="false">Sens!E18753</f>
        <v>27.8095064661409</v>
      </c>
      <c r="F18775" s="6" t="n">
        <f aca="false">Sens!F18753</f>
        <v>50.9819294352312</v>
      </c>
      <c r="G18775" s="6" t="n">
        <f aca="false">Sens!G18753</f>
        <v>76.6920436014933</v>
      </c>
      <c r="H18775" s="6" t="n">
        <f aca="false">Sens!H18753</f>
        <v>97.4495379418341</v>
      </c>
      <c r="I18775" s="6" t="n">
        <f aca="false">Sens!I18753</f>
        <v>122.083445553868</v>
      </c>
      <c r="J18775" s="6" t="n">
        <f aca="false">Sens!J18753</f>
        <v>139.249060444804</v>
      </c>
      <c r="K18775" s="6" t="n">
        <f aca="false">Sens!K18753</f>
        <v>149.995818575589</v>
      </c>
    </row>
    <row r="18776" customFormat="false" ht="17.15" hidden="false" customHeight="false" outlineLevel="0" collapsed="false">
      <c r="A18776" s="0" t="s">
        <v>1026</v>
      </c>
      <c r="B18776" s="0" t="s">
        <v>98</v>
      </c>
      <c r="D18776" s="6" t="n">
        <f aca="false">Q!L6-Sens!D18775</f>
        <v>59.6740205577583</v>
      </c>
      <c r="E18776" s="6" t="n">
        <f aca="false">Q!M6-Sens!E18775</f>
        <v>74.1284935338591</v>
      </c>
      <c r="F18776" s="6" t="n">
        <f aca="false">Q!$I$6+(Sens!F18775+Sens!E18776*(1+Sens!F18777))*(1-Q!$E$6/Q!M6)-Sens!F18775</f>
        <v>92.2699541184664</v>
      </c>
      <c r="G18776" s="6" t="n">
        <f aca="false">Sens!F18776*(1+Sens!G18777)</f>
        <v>109.630477277949</v>
      </c>
      <c r="H18776" s="6" t="n">
        <f aca="false">Sens!G18776*(1+Sens!H18777)</f>
        <v>127.293256321956</v>
      </c>
      <c r="I18776" s="6" t="n">
        <f aca="false">Sens!H18776*(1+Sens!I18777)</f>
        <v>144.360052269491</v>
      </c>
      <c r="J18776" s="6" t="n">
        <f aca="false">Sens!I18776*(1+Sens!J18777)</f>
        <v>159.811964490216</v>
      </c>
      <c r="K18776" s="6" t="n">
        <f aca="false">Sens!J18776*(1+Sens!K18777)</f>
        <v>172.596921649434</v>
      </c>
      <c r="L18776" s="12" t="s">
        <v>1027</v>
      </c>
    </row>
    <row r="18777" customFormat="false" ht="15" hidden="false" customHeight="false" outlineLevel="0" collapsed="false">
      <c r="A18777" s="1" t="s">
        <v>1028</v>
      </c>
      <c r="B18777" s="0" t="s">
        <v>168</v>
      </c>
      <c r="E18777" s="7" t="n">
        <f aca="false">Sens!E18776/Sens!D18776-1</f>
        <v>0.242223883039864</v>
      </c>
      <c r="F18777" s="7" t="n">
        <f aca="false">Sens!$E$18777+(glt_azo-Sens!$E$18777)*MIN(1,(Sens!F18734-base_fy)/n_conv)</f>
        <v>0.215186569199887</v>
      </c>
      <c r="G18777" s="7" t="n">
        <f aca="false">Sens!$E$18777+(glt_azo-Sens!$E$18777)*MIN(1,(Sens!G18734-base_fy)/n_conv)</f>
        <v>0.18814925535991</v>
      </c>
      <c r="H18777" s="7" t="n">
        <f aca="false">Sens!$E$18777+(glt_azo-Sens!$E$18777)*MIN(1,(Sens!H18734-base_fy)/n_conv)</f>
        <v>0.161111941519932</v>
      </c>
      <c r="I18777" s="7" t="n">
        <f aca="false">Sens!$E$18777+(glt_azo-Sens!$E$18777)*MIN(1,(Sens!I18734-base_fy)/n_conv)</f>
        <v>0.134074627679955</v>
      </c>
      <c r="J18777" s="7" t="n">
        <f aca="false">Sens!$E$18777+(glt_azo-Sens!$E$18777)*MIN(1,(Sens!J18734-base_fy)/n_conv)</f>
        <v>0.107037313839977</v>
      </c>
      <c r="K18777" s="7" t="n">
        <f aca="false">Sens!$E$18777+(glt_azo-Sens!$E$18777)*MIN(1,(Sens!K18734-base_fy)/n_conv)</f>
        <v>0.08</v>
      </c>
    </row>
    <row r="18778" customFormat="false" ht="15" hidden="false" customHeight="false" outlineLevel="0" collapsed="false">
      <c r="A18778" s="0" t="s">
        <v>1029</v>
      </c>
      <c r="B18778" s="0" t="s">
        <v>98</v>
      </c>
      <c r="D18778" s="6" t="n">
        <f aca="false">Sens!D18775+Sens!D18776</f>
        <v>72.61</v>
      </c>
      <c r="E18778" s="6" t="n">
        <f aca="false">Sens!E18775+Sens!E18776</f>
        <v>101.938</v>
      </c>
      <c r="F18778" s="6" t="n">
        <f aca="false">Sens!F18775+Sens!F18776</f>
        <v>143.251883553698</v>
      </c>
      <c r="G18778" s="6" t="n">
        <f aca="false">Sens!G18775+Sens!G18776</f>
        <v>186.322520879442</v>
      </c>
      <c r="H18778" s="6" t="n">
        <f aca="false">Sens!H18775+Sens!H18776</f>
        <v>224.74279426379</v>
      </c>
      <c r="I18778" s="6" t="n">
        <f aca="false">Sens!I18775+Sens!I18776</f>
        <v>266.443497823359</v>
      </c>
      <c r="J18778" s="6" t="n">
        <f aca="false">Sens!J18775+Sens!J18776</f>
        <v>299.06102493502</v>
      </c>
      <c r="K18778" s="6" t="n">
        <f aca="false">Sens!K18775+Sens!K18776</f>
        <v>322.592740225023</v>
      </c>
    </row>
    <row r="18779" customFormat="false" ht="17.15" hidden="false" customHeight="false" outlineLevel="0" collapsed="false">
      <c r="A18779" s="0" t="s">
        <v>1030</v>
      </c>
      <c r="B18779" s="1" t="s">
        <v>613</v>
      </c>
      <c r="C18779" s="30" t="n">
        <f aca="false">cop_s24</f>
        <v>1</v>
      </c>
      <c r="D18779" s="30" t="n">
        <f aca="false">cop_s25</f>
        <v>5</v>
      </c>
      <c r="E18779" s="30" t="n">
        <f aca="false">cop_s26</f>
        <v>30</v>
      </c>
      <c r="F18779" s="30" t="n">
        <f aca="false">Sens!E18779+cop_add_C</f>
        <v>40</v>
      </c>
      <c r="G18779" s="30" t="n">
        <f aca="false">Sens!F18779+cop_add_C</f>
        <v>50</v>
      </c>
      <c r="H18779" s="30" t="n">
        <f aca="false">Sens!G18779+cop_add_C</f>
        <v>60</v>
      </c>
      <c r="I18779" s="30" t="n">
        <f aca="false">Sens!H18779+cop_add_C*cop_tail</f>
        <v>65</v>
      </c>
      <c r="J18779" s="30" t="n">
        <f aca="false">Sens!I18779+cop_add_C*cop_tail</f>
        <v>70</v>
      </c>
      <c r="K18779" s="30" t="n">
        <f aca="false">Sens!J18779+cop_add_C*cop_tail</f>
        <v>75</v>
      </c>
      <c r="L18779" s="12" t="s">
        <v>1031</v>
      </c>
    </row>
    <row r="18780" customFormat="false" ht="17.15" hidden="false" customHeight="false" outlineLevel="0" collapsed="false">
      <c r="A18780" s="0" t="s">
        <v>1032</v>
      </c>
      <c r="B18780" s="0" t="s">
        <v>98</v>
      </c>
      <c r="D18780" s="6" t="n">
        <f aca="false">(Sens!C18779+Sens!D18779)/2*cop_px*12/1000</f>
        <v>0.9</v>
      </c>
      <c r="E18780" s="6" t="n">
        <f aca="false">(Sens!D18779+Sens!E18779)/2*cop_px*12/1000</f>
        <v>5.25</v>
      </c>
      <c r="F18780" s="6" t="n">
        <f aca="false">(Sens!E18779+Sens!F18779)/2*cop_px*12/1000</f>
        <v>10.5</v>
      </c>
      <c r="G18780" s="6" t="n">
        <f aca="false">(Sens!F18779+Sens!G18779)/2*cop_px*12/1000</f>
        <v>13.5</v>
      </c>
      <c r="H18780" s="6" t="n">
        <f aca="false">(Sens!G18779+Sens!H18779)/2*cop_px*12/1000</f>
        <v>16.5</v>
      </c>
      <c r="I18780" s="6" t="n">
        <f aca="false">(Sens!H18779+Sens!I18779)/2*cop_px*12/1000</f>
        <v>18.75</v>
      </c>
      <c r="J18780" s="6" t="n">
        <f aca="false">(Sens!I18779+Sens!J18779)/2*cop_px*12/1000</f>
        <v>20.25</v>
      </c>
      <c r="K18780" s="6" t="n">
        <f aca="false">(Sens!J18779+Sens!K18779)/2*cop_px*12/1000</f>
        <v>21.75</v>
      </c>
      <c r="L18780" s="1" t="s">
        <v>1033</v>
      </c>
    </row>
    <row r="18781" customFormat="false" ht="17.15" hidden="false" customHeight="false" outlineLevel="0" collapsed="false">
      <c r="A18781" s="0" t="s">
        <v>1034</v>
      </c>
      <c r="B18781" s="0" t="s">
        <v>98</v>
      </c>
      <c r="D18781" s="6" t="n">
        <f aca="false">Q!L7-Sens!D18780</f>
        <v>83.705</v>
      </c>
      <c r="E18781" s="6" t="n">
        <f aca="false">Q!M7-Sens!E18780</f>
        <v>95.049</v>
      </c>
      <c r="F18781" s="6" t="n">
        <f aca="false">Q!$I$7+(Sens!E18781*(1+Sens!F18782)+Sens!F18780)*(1-Q!$E$7/Q!M7)-Sens!F18780</f>
        <v>106.938354189776</v>
      </c>
      <c r="G18781" s="6" t="n">
        <f aca="false">Sens!F18781*(1+Sens!G18782)</f>
        <v>119.095360443801</v>
      </c>
      <c r="H18781" s="6" t="n">
        <f aca="false">Sens!G18781*(1+Sens!H18782)</f>
        <v>131.333811964563</v>
      </c>
      <c r="I18781" s="6" t="n">
        <f aca="false">Sens!H18781*(1+Sens!I18782)</f>
        <v>143.395665319381</v>
      </c>
      <c r="J18781" s="6" t="n">
        <f aca="false">Sens!I18781*(1+Sens!J18782)</f>
        <v>154.999327755573</v>
      </c>
      <c r="K18781" s="6" t="n">
        <f aca="false">Sens!J18781*(1+Sens!K18782)</f>
        <v>165.849280698463</v>
      </c>
      <c r="L18781" s="12" t="s">
        <v>1035</v>
      </c>
    </row>
    <row r="18782" customFormat="false" ht="15" hidden="false" customHeight="false" outlineLevel="0" collapsed="false">
      <c r="A18782" s="1" t="s">
        <v>1028</v>
      </c>
      <c r="B18782" s="0" t="s">
        <v>168</v>
      </c>
      <c r="E18782" s="7" t="n">
        <f aca="false">Sens!E18781/Sens!D18781-1</f>
        <v>0.135523564900544</v>
      </c>
      <c r="F18782" s="7" t="n">
        <f aca="false">Sens!$E$18782+(glt_m365b-Sens!$E$18782)*MIN(1,(Sens!F18734-base_fy)/n_conv)</f>
        <v>0.124602970750453</v>
      </c>
      <c r="G18782" s="7" t="n">
        <f aca="false">Sens!$E$18782+(glt_m365b-Sens!$E$18782)*MIN(1,(Sens!G18734-base_fy)/n_conv)</f>
        <v>0.113682376600363</v>
      </c>
      <c r="H18782" s="7" t="n">
        <f aca="false">Sens!$E$18782+(glt_m365b-Sens!$E$18782)*MIN(1,(Sens!H18734-base_fy)/n_conv)</f>
        <v>0.102761782450272</v>
      </c>
      <c r="I18782" s="7" t="n">
        <f aca="false">Sens!$E$18782+(glt_m365b-Sens!$E$18782)*MIN(1,(Sens!I18734-base_fy)/n_conv)</f>
        <v>0.0918411883001813</v>
      </c>
      <c r="J18782" s="7" t="n">
        <f aca="false">Sens!$E$18782+(glt_m365b-Sens!$E$18782)*MIN(1,(Sens!J18734-base_fy)/n_conv)</f>
        <v>0.0809205941500906</v>
      </c>
      <c r="K18782" s="7" t="n">
        <f aca="false">Sens!$E$18782+(glt_m365b-Sens!$E$18782)*MIN(1,(Sens!K18734-base_fy)/n_conv)</f>
        <v>0.07</v>
      </c>
    </row>
    <row r="18783" customFormat="false" ht="15" hidden="false" customHeight="false" outlineLevel="0" collapsed="false">
      <c r="A18783" s="0" t="s">
        <v>1036</v>
      </c>
      <c r="B18783" s="0" t="s">
        <v>98</v>
      </c>
      <c r="D18783" s="6" t="n">
        <f aca="false">Sens!D18781+Sens!D18780</f>
        <v>84.605</v>
      </c>
      <c r="E18783" s="6" t="n">
        <f aca="false">Sens!E18781+Sens!E18780</f>
        <v>100.299</v>
      </c>
      <c r="F18783" s="6" t="n">
        <f aca="false">Sens!F18781+Sens!F18780</f>
        <v>117.438354189776</v>
      </c>
      <c r="G18783" s="6" t="n">
        <f aca="false">Sens!G18781+Sens!G18780</f>
        <v>132.595360443801</v>
      </c>
      <c r="H18783" s="6" t="n">
        <f aca="false">Sens!H18781+Sens!H18780</f>
        <v>147.833811964563</v>
      </c>
      <c r="I18783" s="6" t="n">
        <f aca="false">Sens!I18781+Sens!I18780</f>
        <v>162.145665319381</v>
      </c>
      <c r="J18783" s="6" t="n">
        <f aca="false">Sens!J18781+Sens!J18780</f>
        <v>175.249327755573</v>
      </c>
      <c r="K18783" s="6" t="n">
        <f aca="false">Sens!K18781+Sens!K18780</f>
        <v>187.599280698463</v>
      </c>
    </row>
    <row r="18784" customFormat="false" ht="17.15" hidden="false" customHeight="false" outlineLevel="0" collapsed="false">
      <c r="A18784" s="0" t="s">
        <v>1037</v>
      </c>
      <c r="B18784" s="0" t="s">
        <v>98</v>
      </c>
      <c r="D18784" s="6" t="n">
        <f aca="false">Q!L8</f>
        <v>35.391</v>
      </c>
      <c r="E18784" s="6" t="n">
        <f aca="false">Q!M8</f>
        <v>37.285</v>
      </c>
      <c r="F18784" s="6" t="n">
        <f aca="false">Q!$I$8+(Q!M8-Q!$E$8)*(1+Sens!F18785)</f>
        <v>38.3851437782675</v>
      </c>
      <c r="G18784" s="6" t="n">
        <f aca="false">Sens!F18784*(1+Sens!G18785)</f>
        <v>40.0105353288615</v>
      </c>
      <c r="H18784" s="6" t="n">
        <f aca="false">Sens!G18784*(1+Sens!H18785)</f>
        <v>41.4812512033683</v>
      </c>
      <c r="I18784" s="6" t="n">
        <f aca="false">Sens!H18784*(1+Sens!I18785)</f>
        <v>42.7743107216329</v>
      </c>
      <c r="J18784" s="6" t="n">
        <f aca="false">Sens!I18784*(1+Sens!J18785)</f>
        <v>43.8687373064601</v>
      </c>
      <c r="K18784" s="6" t="n">
        <f aca="false">Sens!J18784*(1+Sens!K18785)</f>
        <v>44.7461120525893</v>
      </c>
      <c r="L18784" s="12" t="s">
        <v>1038</v>
      </c>
    </row>
    <row r="18785" customFormat="false" ht="15" hidden="false" customHeight="false" outlineLevel="0" collapsed="false">
      <c r="A18785" s="1" t="s">
        <v>1028</v>
      </c>
      <c r="B18785" s="0" t="s">
        <v>168</v>
      </c>
      <c r="E18785" s="7" t="n">
        <f aca="false">Sens!E18784/Sens!D18784-1</f>
        <v>0.0535164307309768</v>
      </c>
      <c r="F18785" s="7" t="n">
        <f aca="false">Sens!$E$18785+(glt_lic-Sens!$E$18785)*MIN(1,(Sens!F18734-base_fy)/n_conv)</f>
        <v>0.0479303589424807</v>
      </c>
      <c r="G18785" s="7" t="n">
        <f aca="false">Sens!$E$18785+(glt_lic-Sens!$E$18785)*MIN(1,(Sens!G18734-base_fy)/n_conv)</f>
        <v>0.0423442871539845</v>
      </c>
      <c r="H18785" s="7" t="n">
        <f aca="false">Sens!$E$18785+(glt_lic-Sens!$E$18785)*MIN(1,(Sens!H18734-base_fy)/n_conv)</f>
        <v>0.0367582153654884</v>
      </c>
      <c r="I18785" s="7" t="n">
        <f aca="false">Sens!$E$18785+(glt_lic-Sens!$E$18785)*MIN(1,(Sens!I18734-base_fy)/n_conv)</f>
        <v>0.0311721435769923</v>
      </c>
      <c r="J18785" s="7" t="n">
        <f aca="false">Sens!$E$18785+(glt_lic-Sens!$E$18785)*MIN(1,(Sens!J18734-base_fy)/n_conv)</f>
        <v>0.0255860717884961</v>
      </c>
      <c r="K18785" s="7" t="n">
        <f aca="false">Sens!$E$18785+(glt_lic-Sens!$E$18785)*MIN(1,(Sens!K18734-base_fy)/n_conv)</f>
        <v>0.02</v>
      </c>
    </row>
    <row r="18786" customFormat="false" ht="17.15" hidden="false" customHeight="false" outlineLevel="0" collapsed="false">
      <c r="A18786" s="0" t="s">
        <v>1039</v>
      </c>
      <c r="B18786" s="0" t="s">
        <v>98</v>
      </c>
      <c r="D18786" s="6" t="n">
        <f aca="false">Q!L9</f>
        <v>18.417</v>
      </c>
      <c r="E18786" s="6" t="n">
        <f aca="false">Q!M9</f>
        <v>20.345</v>
      </c>
      <c r="F18786" s="6" t="n">
        <f aca="false">Q!$I$9+(Q!M9-Q!$E$9)*(1+Sens!F18787)</f>
        <v>22.3161797133988</v>
      </c>
      <c r="G18786" s="6" t="n">
        <f aca="false">Sens!F18786*(1+Sens!G18787)</f>
        <v>24.3943499673233</v>
      </c>
      <c r="H18786" s="6" t="n">
        <f aca="false">Sens!G18786*(1+Sens!H18787)</f>
        <v>26.5250243109019</v>
      </c>
      <c r="I18786" s="6" t="n">
        <f aca="false">Sens!H18786*(1+Sens!I18787)</f>
        <v>28.6884573538181</v>
      </c>
      <c r="J18786" s="6" t="n">
        <f aca="false">Sens!I18786*(1+Sens!J18787)</f>
        <v>30.8624968052127</v>
      </c>
      <c r="K18786" s="6" t="n">
        <f aca="false">Sens!J18786*(1+Sens!K18787)</f>
        <v>33.0228715815776</v>
      </c>
      <c r="L18786" s="12" t="s">
        <v>1038</v>
      </c>
    </row>
    <row r="18787" customFormat="false" ht="15" hidden="false" customHeight="false" outlineLevel="0" collapsed="false">
      <c r="A18787" s="1" t="s">
        <v>1028</v>
      </c>
      <c r="B18787" s="0" t="s">
        <v>168</v>
      </c>
      <c r="E18787" s="7" t="n">
        <f aca="false">Sens!E18786/Sens!D18786-1</f>
        <v>0.104685888038225</v>
      </c>
      <c r="F18787" s="7" t="n">
        <f aca="false">Sens!$E$18787+(glt_ind-Sens!$E$18787)*MIN(1,(Sens!F18734-base_fy)/n_conv)</f>
        <v>0.0989049066985211</v>
      </c>
      <c r="G18787" s="7" t="n">
        <f aca="false">Sens!$E$18787+(glt_ind-Sens!$E$18787)*MIN(1,(Sens!G18734-base_fy)/n_conv)</f>
        <v>0.0931239253588169</v>
      </c>
      <c r="H18787" s="7" t="n">
        <f aca="false">Sens!$E$18787+(glt_ind-Sens!$E$18787)*MIN(1,(Sens!H18734-base_fy)/n_conv)</f>
        <v>0.0873429440191127</v>
      </c>
      <c r="I18787" s="7" t="n">
        <f aca="false">Sens!$E$18787+(glt_ind-Sens!$E$18787)*MIN(1,(Sens!I18734-base_fy)/n_conv)</f>
        <v>0.0815619626794085</v>
      </c>
      <c r="J18787" s="7" t="n">
        <f aca="false">Sens!$E$18787+(glt_ind-Sens!$E$18787)*MIN(1,(Sens!J18734-base_fy)/n_conv)</f>
        <v>0.0757809813397042</v>
      </c>
      <c r="K18787" s="7" t="n">
        <f aca="false">Sens!$E$18787+(glt_ind-Sens!$E$18787)*MIN(1,(Sens!K18734-base_fy)/n_conv)</f>
        <v>0.07</v>
      </c>
    </row>
    <row r="18788" customFormat="false" ht="17.15" hidden="false" customHeight="false" outlineLevel="0" collapsed="false">
      <c r="A18788" s="0" t="s">
        <v>1040</v>
      </c>
      <c r="B18788" s="0" t="s">
        <v>98</v>
      </c>
      <c r="D18788" s="6" t="n">
        <f aca="false">Q!L10</f>
        <v>7.76</v>
      </c>
      <c r="E18788" s="6" t="n">
        <f aca="false">Q!M10</f>
        <v>8.26</v>
      </c>
      <c r="F18788" s="6" t="n">
        <f aca="false">Q!$I$10+(Q!M10-Q!$E$10)*(1+Sens!F18789)</f>
        <v>8.75372082474227</v>
      </c>
      <c r="G18788" s="6" t="n">
        <f aca="false">Sens!F18788*(1+Sens!G18789)</f>
        <v>9.33399324642364</v>
      </c>
      <c r="H18788" s="6" t="n">
        <f aca="false">Sens!G18788*(1+Sens!H18789)</f>
        <v>9.96139155535851</v>
      </c>
      <c r="I18788" s="6" t="n">
        <f aca="false">Sens!H18788*(1+Sens!I18789)</f>
        <v>10.6402039077391</v>
      </c>
      <c r="J18788" s="6" t="n">
        <f aca="false">Sens!I18788*(1+Sens!J18789)</f>
        <v>11.3751458271397</v>
      </c>
      <c r="K18788" s="6" t="n">
        <f aca="false">Sens!J18788*(1+Sens!K18789)</f>
        <v>12.1714060350394</v>
      </c>
      <c r="L18788" s="12" t="s">
        <v>1038</v>
      </c>
    </row>
    <row r="18789" customFormat="false" ht="15" hidden="false" customHeight="false" outlineLevel="0" collapsed="false">
      <c r="A18789" s="1" t="s">
        <v>1028</v>
      </c>
      <c r="B18789" s="0" t="s">
        <v>168</v>
      </c>
      <c r="E18789" s="7" t="n">
        <f aca="false">Sens!E18788/Sens!D18788-1</f>
        <v>0.0644329896907216</v>
      </c>
      <c r="F18789" s="7" t="n">
        <f aca="false">Sens!$E$18789+(glt_fro-Sens!$E$18789)*MIN(1,(Sens!F18734-base_fy)/n_conv)</f>
        <v>0.065360824742268</v>
      </c>
      <c r="G18789" s="7" t="n">
        <f aca="false">Sens!$E$18789+(glt_fro-Sens!$E$18789)*MIN(1,(Sens!G18734-base_fy)/n_conv)</f>
        <v>0.0662886597938144</v>
      </c>
      <c r="H18789" s="7" t="n">
        <f aca="false">Sens!$E$18789+(glt_fro-Sens!$E$18789)*MIN(1,(Sens!H18734-base_fy)/n_conv)</f>
        <v>0.0672164948453608</v>
      </c>
      <c r="I18789" s="7" t="n">
        <f aca="false">Sens!$E$18789+(glt_fro-Sens!$E$18789)*MIN(1,(Sens!I18734-base_fy)/n_conv)</f>
        <v>0.0681443298969072</v>
      </c>
      <c r="J18789" s="7" t="n">
        <f aca="false">Sens!$E$18789+(glt_fro-Sens!$E$18789)*MIN(1,(Sens!J18734-base_fy)/n_conv)</f>
        <v>0.0690721649484536</v>
      </c>
      <c r="K18789" s="7" t="n">
        <f aca="false">Sens!$E$18789+(glt_fro-Sens!$E$18789)*MIN(1,(Sens!K18734-base_fy)/n_conv)</f>
        <v>0.07</v>
      </c>
    </row>
    <row r="18790" customFormat="false" ht="15" hidden="false" customHeight="false" outlineLevel="0" collapsed="false">
      <c r="A18790" s="0" t="s">
        <v>856</v>
      </c>
      <c r="B18790" s="0" t="s">
        <v>98</v>
      </c>
      <c r="D18790" s="6" t="n">
        <f aca="false">Sens!D18778+Sens!D18783+Sens!D18784+Sens!D18786+Sens!D18788</f>
        <v>218.783</v>
      </c>
      <c r="E18790" s="6" t="n">
        <f aca="false">Sens!E18778+Sens!E18783+Sens!E18784+Sens!E18786+Sens!E18788</f>
        <v>268.127</v>
      </c>
      <c r="F18790" s="6" t="n">
        <f aca="false">Sens!F18778+Sens!F18783+Sens!F18784+Sens!F18786+Sens!F18788</f>
        <v>330.145282059882</v>
      </c>
      <c r="G18790" s="6" t="n">
        <f aca="false">Sens!G18778+Sens!G18783+Sens!G18784+Sens!G18786+Sens!G18788</f>
        <v>392.656759865851</v>
      </c>
      <c r="H18790" s="6" t="n">
        <f aca="false">Sens!H18778+Sens!H18783+Sens!H18784+Sens!H18786+Sens!H18788</f>
        <v>450.544273297982</v>
      </c>
      <c r="I18790" s="6" t="n">
        <f aca="false">Sens!I18778+Sens!I18783+Sens!I18784+Sens!I18786+Sens!I18788</f>
        <v>510.69213512593</v>
      </c>
      <c r="J18790" s="6" t="n">
        <f aca="false">Sens!J18778+Sens!J18783+Sens!J18784+Sens!J18786+Sens!J18788</f>
        <v>560.416732629406</v>
      </c>
      <c r="K18790" s="6" t="n">
        <f aca="false">Sens!K18778+Sens!K18783+Sens!K18784+Sens!K18786+Sens!K18788</f>
        <v>600.132410592692</v>
      </c>
    </row>
    <row r="18791" customFormat="false" ht="17.15" hidden="false" customHeight="false" outlineLevel="0" collapsed="false">
      <c r="A18791" s="0" t="s">
        <v>1041</v>
      </c>
      <c r="B18791" s="0" t="s">
        <v>98</v>
      </c>
      <c r="D18791" s="6" t="n">
        <f aca="false">Q!L13</f>
        <v>22.171</v>
      </c>
      <c r="E18791" s="6" t="n">
        <f aca="false">Q!M13</f>
        <v>24.835</v>
      </c>
      <c r="F18791" s="6" t="n">
        <f aca="false">Q!$I$13+(Q!M13-Q!$E$13)*(1+Sens!F18792)</f>
        <v>27.5591895660247</v>
      </c>
      <c r="G18791" s="6" t="n">
        <f aca="false">Sens!F18791*(1+Sens!G18792)</f>
        <v>30.4098563144583</v>
      </c>
      <c r="H18791" s="6" t="n">
        <f aca="false">Sens!G18791*(1+Sens!H18792)</f>
        <v>33.3011792571777</v>
      </c>
      <c r="I18791" s="6" t="n">
        <f aca="false">Sens!H18791*(1+Sens!I18792)</f>
        <v>36.189023797112</v>
      </c>
      <c r="J18791" s="6" t="n">
        <f aca="false">Sens!I18791*(1+Sens!J18792)</f>
        <v>39.0247773769199</v>
      </c>
      <c r="K18791" s="6" t="n">
        <f aca="false">Sens!J18791*(1+Sens!K18792)</f>
        <v>41.7565117933043</v>
      </c>
      <c r="L18791" s="12" t="s">
        <v>1038</v>
      </c>
    </row>
    <row r="18792" customFormat="false" ht="15" hidden="false" customHeight="false" outlineLevel="0" collapsed="false">
      <c r="A18792" s="1" t="s">
        <v>1028</v>
      </c>
      <c r="B18792" s="0" t="s">
        <v>168</v>
      </c>
      <c r="E18792" s="7" t="n">
        <f aca="false">Sens!E18791/Sens!D18791-1</f>
        <v>0.120156961796942</v>
      </c>
      <c r="F18792" s="7" t="n">
        <f aca="false">Sens!$E$18792+(glt_srch-Sens!$E$18792)*MIN(1,(Sens!F18734-base_fy)/n_conv)</f>
        <v>0.111797468164118</v>
      </c>
      <c r="G18792" s="7" t="n">
        <f aca="false">Sens!$E$18792+(glt_srch-Sens!$E$18792)*MIN(1,(Sens!G18734-base_fy)/n_conv)</f>
        <v>0.103437974531295</v>
      </c>
      <c r="H18792" s="7" t="n">
        <f aca="false">Sens!$E$18792+(glt_srch-Sens!$E$18792)*MIN(1,(Sens!H18734-base_fy)/n_conv)</f>
        <v>0.095078480898471</v>
      </c>
      <c r="I18792" s="7" t="n">
        <f aca="false">Sens!$E$18792+(glt_srch-Sens!$E$18792)*MIN(1,(Sens!I18734-base_fy)/n_conv)</f>
        <v>0.0867189872656474</v>
      </c>
      <c r="J18792" s="7" t="n">
        <f aca="false">Sens!$E$18792+(glt_srch-Sens!$E$18792)*MIN(1,(Sens!J18734-base_fy)/n_conv)</f>
        <v>0.0783594936328237</v>
      </c>
      <c r="K18792" s="7" t="n">
        <f aca="false">Sens!$E$18792+(glt_srch-Sens!$E$18792)*MIN(1,(Sens!K18734-base_fy)/n_conv)</f>
        <v>0.07</v>
      </c>
    </row>
    <row r="18793" customFormat="false" ht="17.15" hidden="false" customHeight="false" outlineLevel="0" collapsed="false">
      <c r="A18793" s="0" t="s">
        <v>1042</v>
      </c>
      <c r="B18793" s="0" t="s">
        <v>98</v>
      </c>
      <c r="D18793" s="6" t="n">
        <f aca="false">Q!L14</f>
        <v>23.455</v>
      </c>
      <c r="E18793" s="6" t="n">
        <f aca="false">Q!M14</f>
        <v>21.79</v>
      </c>
      <c r="F18793" s="6" t="n">
        <f aca="false">Q!$I$14+(Q!M14-Q!$E$14)*(1+Sens!F18794)</f>
        <v>20.7520981041711</v>
      </c>
      <c r="G18793" s="6" t="n">
        <f aca="false">Sens!F18793*(1+Sens!G18794)</f>
        <v>19.9083593495882</v>
      </c>
      <c r="H18793" s="6" t="n">
        <f aca="false">Sens!G18793*(1+Sens!H18794)</f>
        <v>19.4008256265831</v>
      </c>
      <c r="I18793" s="6" t="n">
        <f aca="false">Sens!H18793*(1+Sens!I18794)</f>
        <v>19.200434522122</v>
      </c>
      <c r="J18793" s="6" t="n">
        <f aca="false">Sens!I18793*(1+Sens!J18794)</f>
        <v>19.2932782348507</v>
      </c>
      <c r="K18793" s="6" t="n">
        <f aca="false">Sens!J18793*(1+Sens!K18794)</f>
        <v>19.6791437995477</v>
      </c>
      <c r="L18793" s="12" t="s">
        <v>1038</v>
      </c>
    </row>
    <row r="18794" customFormat="false" ht="15" hidden="false" customHeight="false" outlineLevel="0" collapsed="false">
      <c r="A18794" s="1" t="s">
        <v>1028</v>
      </c>
      <c r="B18794" s="0" t="s">
        <v>168</v>
      </c>
      <c r="E18794" s="7" t="n">
        <f aca="false">Sens!E18793/Sens!D18793-1</f>
        <v>-0.0709869963760392</v>
      </c>
      <c r="F18794" s="7" t="n">
        <f aca="false">Sens!$E$18794+(glt_xbox-Sens!$E$18794)*MIN(1,(Sens!F18734-base_fy)/n_conv)</f>
        <v>-0.0558224969800327</v>
      </c>
      <c r="G18794" s="7" t="n">
        <f aca="false">Sens!$E$18794+(glt_xbox-Sens!$E$18794)*MIN(1,(Sens!G18734-base_fy)/n_conv)</f>
        <v>-0.0406579975840262</v>
      </c>
      <c r="H18794" s="7" t="n">
        <f aca="false">Sens!$E$18794+(glt_xbox-Sens!$E$18794)*MIN(1,(Sens!H18734-base_fy)/n_conv)</f>
        <v>-0.0254934981880196</v>
      </c>
      <c r="I18794" s="7" t="n">
        <f aca="false">Sens!$E$18794+(glt_xbox-Sens!$E$18794)*MIN(1,(Sens!I18734-base_fy)/n_conv)</f>
        <v>-0.0103289987920131</v>
      </c>
      <c r="J18794" s="7" t="n">
        <f aca="false">Sens!$E$18794+(glt_xbox-Sens!$E$18794)*MIN(1,(Sens!J18734-base_fy)/n_conv)</f>
        <v>0.00483550060399347</v>
      </c>
      <c r="K18794" s="7" t="n">
        <f aca="false">Sens!$E$18794+(glt_xbox-Sens!$E$18794)*MIN(1,(Sens!K18734-base_fy)/n_conv)</f>
        <v>0.02</v>
      </c>
    </row>
    <row r="18795" customFormat="false" ht="17.15" hidden="false" customHeight="false" outlineLevel="0" collapsed="false">
      <c r="A18795" s="0" t="s">
        <v>1043</v>
      </c>
      <c r="B18795" s="0" t="s">
        <v>98</v>
      </c>
      <c r="D18795" s="6" t="n">
        <f aca="false">Q!L15</f>
        <v>17.315</v>
      </c>
      <c r="E18795" s="6" t="n">
        <f aca="false">Q!M15</f>
        <v>17.087</v>
      </c>
      <c r="F18795" s="6" t="n">
        <f aca="false">Q!$I$15+(Q!M15-Q!$E$15)*(1+g_q2_win)</f>
        <v>11.6994</v>
      </c>
      <c r="G18795" s="6" t="n">
        <f aca="false">Sens!F18795*(1+Sens!G18796)</f>
        <v>11.6746926329772</v>
      </c>
      <c r="H18795" s="6" t="n">
        <f aca="false">Sens!G18795*(1+Sens!H18796)</f>
        <v>11.7145747045475</v>
      </c>
      <c r="I18795" s="6" t="n">
        <f aca="false">Sens!H18795*(1+Sens!I18796)</f>
        <v>11.8193507447388</v>
      </c>
      <c r="J18795" s="6" t="n">
        <f aca="false">Sens!I18795*(1+Sens!J18796)</f>
        <v>11.9904008346869</v>
      </c>
      <c r="K18795" s="6" t="n">
        <f aca="false">Sens!J18795*(1+Sens!K18796)</f>
        <v>12.2302088513807</v>
      </c>
      <c r="L18795" s="12" t="s">
        <v>1038</v>
      </c>
    </row>
    <row r="18796" customFormat="false" ht="15" hidden="false" customHeight="false" outlineLevel="0" collapsed="false">
      <c r="A18796" s="1" t="s">
        <v>1028</v>
      </c>
      <c r="B18796" s="0" t="s">
        <v>168</v>
      </c>
      <c r="E18796" s="7" t="n">
        <f aca="false">Sens!E18795/Sens!D18795-1</f>
        <v>-0.0131677736066995</v>
      </c>
      <c r="F18796" s="7" t="n">
        <f aca="false">Sens!$E$18796+(glt_win-Sens!$E$18796)*MIN(1,(Sens!F18734-base_fy)/n_conv)</f>
        <v>-0.00763981133891627</v>
      </c>
      <c r="G18796" s="7" t="n">
        <f aca="false">Sens!$E$18796+(glt_win-Sens!$E$18796)*MIN(1,(Sens!G18734-base_fy)/n_conv)</f>
        <v>-0.00211184907113301</v>
      </c>
      <c r="H18796" s="7" t="n">
        <f aca="false">Sens!$E$18796+(glt_win-Sens!$E$18796)*MIN(1,(Sens!H18734-base_fy)/n_conv)</f>
        <v>0.00341611319665024</v>
      </c>
      <c r="I18796" s="7" t="n">
        <f aca="false">Sens!$E$18796+(glt_win-Sens!$E$18796)*MIN(1,(Sens!I18734-base_fy)/n_conv)</f>
        <v>0.00894407546443349</v>
      </c>
      <c r="J18796" s="7" t="n">
        <f aca="false">Sens!$E$18796+(glt_win-Sens!$E$18796)*MIN(1,(Sens!J18734-base_fy)/n_conv)</f>
        <v>0.0144720377322168</v>
      </c>
      <c r="K18796" s="7" t="n">
        <f aca="false">Sens!$E$18796+(glt_win-Sens!$E$18796)*MIN(1,(Sens!K18734-base_fy)/n_conv)</f>
        <v>0.02</v>
      </c>
    </row>
    <row r="18797" customFormat="false" ht="15" hidden="false" customHeight="false" outlineLevel="0" collapsed="false">
      <c r="A18797" s="0" t="s">
        <v>870</v>
      </c>
      <c r="B18797" s="0" t="s">
        <v>98</v>
      </c>
      <c r="D18797" s="6" t="n">
        <f aca="false">Sens!D18791+Sens!D18793+Sens!D18795</f>
        <v>62.941</v>
      </c>
      <c r="E18797" s="6" t="n">
        <f aca="false">Sens!E18791+Sens!E18793+Sens!E18795</f>
        <v>63.712</v>
      </c>
      <c r="F18797" s="6" t="n">
        <f aca="false">Sens!F18791+Sens!F18793+Sens!F18795</f>
        <v>60.0106876701958</v>
      </c>
      <c r="G18797" s="6" t="n">
        <f aca="false">Sens!G18791+Sens!G18793+Sens!G18795</f>
        <v>61.9929082970237</v>
      </c>
      <c r="H18797" s="6" t="n">
        <f aca="false">Sens!H18791+Sens!H18793+Sens!H18795</f>
        <v>64.4165795883084</v>
      </c>
      <c r="I18797" s="6" t="n">
        <f aca="false">Sens!I18791+Sens!I18793+Sens!I18795</f>
        <v>67.2088090639728</v>
      </c>
      <c r="J18797" s="6" t="n">
        <f aca="false">Sens!J18791+Sens!J18793+Sens!J18795</f>
        <v>70.3084564464575</v>
      </c>
      <c r="K18797" s="6" t="n">
        <f aca="false">Sens!K18791+Sens!K18793+Sens!K18795</f>
        <v>73.6658644442326</v>
      </c>
    </row>
    <row r="18798" customFormat="false" ht="15" hidden="false" customHeight="false" outlineLevel="0" collapsed="false">
      <c r="A18798" s="1" t="s">
        <v>1044</v>
      </c>
      <c r="B18798" s="0" t="s">
        <v>98</v>
      </c>
      <c r="D18798" s="6" t="n">
        <f aca="false">Sens!D18790+Sens!D18797</f>
        <v>281.724</v>
      </c>
      <c r="E18798" s="6" t="n">
        <f aca="false">Sens!E18790+Sens!E18797</f>
        <v>331.839</v>
      </c>
      <c r="F18798" s="6" t="n">
        <f aca="false">Sens!F18790+Sens!F18797</f>
        <v>390.155969730078</v>
      </c>
      <c r="G18798" s="6" t="n">
        <f aca="false">Sens!G18790+Sens!G18797</f>
        <v>454.649668162875</v>
      </c>
      <c r="H18798" s="6" t="n">
        <f aca="false">Sens!H18790+Sens!H18797</f>
        <v>514.96085288629</v>
      </c>
      <c r="I18798" s="6" t="n">
        <f aca="false">Sens!I18790+Sens!I18797</f>
        <v>577.900944189903</v>
      </c>
      <c r="J18798" s="6" t="n">
        <f aca="false">Sens!J18790+Sens!J18797</f>
        <v>630.725189075863</v>
      </c>
      <c r="K18798" s="6" t="n">
        <f aca="false">Sens!K18790+Sens!K18797</f>
        <v>673.798275036925</v>
      </c>
    </row>
    <row r="18799" customFormat="false" ht="15" hidden="false" customHeight="false" outlineLevel="0" collapsed="false">
      <c r="A18799" s="26" t="s">
        <v>1045</v>
      </c>
      <c r="B18799" s="31" t="s">
        <v>98</v>
      </c>
      <c r="C18799" s="31"/>
      <c r="D18799" s="27" t="n">
        <f aca="false">(Sens!D18778+Sens!D18783+Sens!D18784+Sens!D18786+Sens!D18788-Sens!D18790)+(Sens!D18791+Sens!D18793+Sens!D18795-Sens!D18797)+(Sens!D18790-Q!L5)+(Sens!D18797-Q!L12)+(Sens!D18778-Q!L6)+(Sens!D18783-Q!L7)</f>
        <v>0</v>
      </c>
      <c r="E18799" s="27" t="n">
        <f aca="false">(Sens!E18778+Sens!E18783+Sens!E18784+Sens!E18786+Sens!E18788-Sens!E18790)+(Sens!E18791+Sens!E18793+Sens!E18795-Sens!E18797)+(Sens!E18790-Q!M5)+(Sens!E18797-Q!M12)+(Sens!E18778-Q!M6)+(Sens!E18783-Q!M7)</f>
        <v>0</v>
      </c>
      <c r="F18799" s="27" t="n">
        <f aca="false">(Sens!F18778+Sens!F18783+Sens!F18784+Sens!F18786+Sens!F18788-Sens!F18790)+(Sens!F18791+Sens!F18793+Sens!F18795-Sens!F18797)</f>
        <v>0</v>
      </c>
      <c r="G18799" s="27" t="n">
        <f aca="false">(Sens!G18778+Sens!G18783+Sens!G18784+Sens!G18786+Sens!G18788-Sens!G18790)+(Sens!G18791+Sens!G18793+Sens!G18795-Sens!G18797)</f>
        <v>0</v>
      </c>
      <c r="H18799" s="27" t="n">
        <f aca="false">(Sens!H18778+Sens!H18783+Sens!H18784+Sens!H18786+Sens!H18788-Sens!H18790)+(Sens!H18791+Sens!H18793+Sens!H18795-Sens!H18797)</f>
        <v>0</v>
      </c>
      <c r="I18799" s="27" t="n">
        <f aca="false">(Sens!I18778+Sens!I18783+Sens!I18784+Sens!I18786+Sens!I18788-Sens!I18790)+(Sens!I18791+Sens!I18793+Sens!I18795-Sens!I18797)</f>
        <v>0</v>
      </c>
      <c r="J18799" s="27" t="n">
        <f aca="false">(Sens!J18778+Sens!J18783+Sens!J18784+Sens!J18786+Sens!J18788-Sens!J18790)+(Sens!J18791+Sens!J18793+Sens!J18795-Sens!J18797)</f>
        <v>0</v>
      </c>
      <c r="K18799" s="27" t="n">
        <f aca="false">(Sens!K18778+Sens!K18783+Sens!K18784+Sens!K18786+Sens!K18788-Sens!K18790)+(Sens!K18791+Sens!K18793+Sens!K18795-Sens!K18797)</f>
        <v>0</v>
      </c>
    </row>
    <row r="18800" customFormat="false" ht="17.15" hidden="false" customHeight="false" outlineLevel="0" collapsed="false">
      <c r="A18800" s="3" t="s">
        <v>2076</v>
      </c>
    </row>
    <row r="18801" customFormat="false" ht="15" hidden="false" customHeight="false" outlineLevel="0" collapsed="false">
      <c r="A18801" s="4" t="s">
        <v>43</v>
      </c>
      <c r="B18801" s="4" t="s">
        <v>65</v>
      </c>
      <c r="C18801" s="23" t="s">
        <v>942</v>
      </c>
      <c r="D18801" s="23" t="s">
        <v>943</v>
      </c>
      <c r="E18801" s="23" t="s">
        <v>944</v>
      </c>
      <c r="F18801" s="23" t="s">
        <v>945</v>
      </c>
      <c r="G18801" s="23" t="s">
        <v>946</v>
      </c>
      <c r="H18801" s="23" t="s">
        <v>947</v>
      </c>
      <c r="I18801" s="23" t="s">
        <v>948</v>
      </c>
      <c r="J18801" s="23" t="s">
        <v>949</v>
      </c>
      <c r="K18801" s="23" t="s">
        <v>950</v>
      </c>
      <c r="L18801" s="4" t="s">
        <v>47</v>
      </c>
    </row>
    <row r="18802" customFormat="false" ht="15" hidden="false" customHeight="false" outlineLevel="0" collapsed="false">
      <c r="A18802" s="0" t="s">
        <v>1029</v>
      </c>
      <c r="B18802" s="0" t="s">
        <v>98</v>
      </c>
      <c r="D18802" s="6" t="n">
        <f aca="false">Sens!D18778</f>
        <v>72.61</v>
      </c>
      <c r="E18802" s="6" t="n">
        <f aca="false">Sens!E18778</f>
        <v>101.938</v>
      </c>
      <c r="F18802" s="6" t="n">
        <f aca="false">Sens!F18778</f>
        <v>143.251883553698</v>
      </c>
      <c r="G18802" s="6" t="n">
        <f aca="false">Sens!G18778</f>
        <v>186.322520879442</v>
      </c>
      <c r="H18802" s="6" t="n">
        <f aca="false">Sens!H18778</f>
        <v>224.74279426379</v>
      </c>
      <c r="I18802" s="6" t="n">
        <f aca="false">Sens!I18778</f>
        <v>266.443497823359</v>
      </c>
      <c r="J18802" s="6" t="n">
        <f aca="false">Sens!J18778</f>
        <v>299.06102493502</v>
      </c>
      <c r="K18802" s="6" t="n">
        <f aca="false">Sens!K18778</f>
        <v>322.592740225023</v>
      </c>
    </row>
    <row r="18803" customFormat="false" ht="17.15" hidden="false" customHeight="false" outlineLevel="0" collapsed="false">
      <c r="A18803" s="0" t="s">
        <v>1025</v>
      </c>
      <c r="B18803" s="0" t="s">
        <v>98</v>
      </c>
      <c r="D18803" s="6" t="n">
        <f aca="false">Sens!D18775</f>
        <v>12.9359794422418</v>
      </c>
      <c r="E18803" s="6" t="n">
        <f aca="false">Sens!E18775</f>
        <v>27.8095064661409</v>
      </c>
      <c r="F18803" s="6" t="n">
        <f aca="false">Sens!F18775</f>
        <v>50.9819294352312</v>
      </c>
      <c r="G18803" s="6" t="n">
        <f aca="false">Sens!G18775</f>
        <v>76.6920436014933</v>
      </c>
      <c r="H18803" s="6" t="n">
        <f aca="false">Sens!H18775</f>
        <v>97.4495379418341</v>
      </c>
      <c r="I18803" s="6" t="n">
        <f aca="false">Sens!I18775</f>
        <v>122.083445553868</v>
      </c>
      <c r="J18803" s="6" t="n">
        <f aca="false">Sens!J18775</f>
        <v>139.249060444804</v>
      </c>
      <c r="K18803" s="6" t="n">
        <f aca="false">Sens!K18775</f>
        <v>149.995818575589</v>
      </c>
    </row>
    <row r="18804" customFormat="false" ht="17.15" hidden="false" customHeight="false" outlineLevel="0" collapsed="false">
      <c r="A18804" s="0" t="s">
        <v>1056</v>
      </c>
      <c r="B18804" s="0" t="s">
        <v>98</v>
      </c>
      <c r="D18804" s="6" t="n">
        <f aca="false">Sens!D18776</f>
        <v>59.6740205577583</v>
      </c>
      <c r="E18804" s="6" t="n">
        <f aca="false">Sens!E18776</f>
        <v>74.1284935338591</v>
      </c>
      <c r="F18804" s="6" t="n">
        <f aca="false">Sens!F18776</f>
        <v>92.2699541184664</v>
      </c>
      <c r="G18804" s="6" t="n">
        <f aca="false">Sens!G18776</f>
        <v>109.630477277949</v>
      </c>
      <c r="H18804" s="6" t="n">
        <f aca="false">Sens!H18776</f>
        <v>127.293256321956</v>
      </c>
      <c r="I18804" s="6" t="n">
        <f aca="false">Sens!I18776</f>
        <v>144.360052269491</v>
      </c>
      <c r="J18804" s="6" t="n">
        <f aca="false">Sens!J18776</f>
        <v>159.811964490216</v>
      </c>
      <c r="K18804" s="6" t="n">
        <f aca="false">Sens!K18776</f>
        <v>172.596921649434</v>
      </c>
    </row>
    <row r="18805" customFormat="false" ht="15" hidden="false" customHeight="false" outlineLevel="0" collapsed="false">
      <c r="A18805" s="0" t="s">
        <v>1036</v>
      </c>
      <c r="B18805" s="0" t="s">
        <v>98</v>
      </c>
      <c r="D18805" s="6" t="n">
        <f aca="false">Sens!D18783</f>
        <v>84.605</v>
      </c>
      <c r="E18805" s="6" t="n">
        <f aca="false">Sens!E18783</f>
        <v>100.299</v>
      </c>
      <c r="F18805" s="6" t="n">
        <f aca="false">Sens!F18783</f>
        <v>117.438354189776</v>
      </c>
      <c r="G18805" s="6" t="n">
        <f aca="false">Sens!G18783</f>
        <v>132.595360443801</v>
      </c>
      <c r="H18805" s="6" t="n">
        <f aca="false">Sens!H18783</f>
        <v>147.833811964563</v>
      </c>
      <c r="I18805" s="6" t="n">
        <f aca="false">Sens!I18783</f>
        <v>162.145665319381</v>
      </c>
      <c r="J18805" s="6" t="n">
        <f aca="false">Sens!J18783</f>
        <v>175.249327755573</v>
      </c>
      <c r="K18805" s="6" t="n">
        <f aca="false">Sens!K18783</f>
        <v>187.599280698463</v>
      </c>
    </row>
    <row r="18806" customFormat="false" ht="17.15" hidden="false" customHeight="false" outlineLevel="0" collapsed="false">
      <c r="A18806" s="0" t="s">
        <v>1057</v>
      </c>
      <c r="B18806" s="0" t="s">
        <v>98</v>
      </c>
      <c r="D18806" s="6" t="n">
        <f aca="false">Sens!D18781</f>
        <v>83.705</v>
      </c>
      <c r="E18806" s="6" t="n">
        <f aca="false">Sens!E18781</f>
        <v>95.049</v>
      </c>
      <c r="F18806" s="6" t="n">
        <f aca="false">Sens!F18781</f>
        <v>106.938354189776</v>
      </c>
      <c r="G18806" s="6" t="n">
        <f aca="false">Sens!G18781</f>
        <v>119.095360443801</v>
      </c>
      <c r="H18806" s="6" t="n">
        <f aca="false">Sens!H18781</f>
        <v>131.333811964563</v>
      </c>
      <c r="I18806" s="6" t="n">
        <f aca="false">Sens!I18781</f>
        <v>143.395665319381</v>
      </c>
      <c r="J18806" s="6" t="n">
        <f aca="false">Sens!J18781</f>
        <v>154.999327755573</v>
      </c>
      <c r="K18806" s="6" t="n">
        <f aca="false">Sens!K18781</f>
        <v>165.849280698463</v>
      </c>
    </row>
    <row r="18807" customFormat="false" ht="17.15" hidden="false" customHeight="false" outlineLevel="0" collapsed="false">
      <c r="A18807" s="0" t="s">
        <v>1058</v>
      </c>
      <c r="B18807" s="0" t="s">
        <v>98</v>
      </c>
      <c r="D18807" s="6" t="n">
        <f aca="false">Sens!D18780</f>
        <v>0.9</v>
      </c>
      <c r="E18807" s="6" t="n">
        <f aca="false">Sens!E18780</f>
        <v>5.25</v>
      </c>
      <c r="F18807" s="6" t="n">
        <f aca="false">Sens!F18780</f>
        <v>10.5</v>
      </c>
      <c r="G18807" s="6" t="n">
        <f aca="false">Sens!G18780</f>
        <v>13.5</v>
      </c>
      <c r="H18807" s="6" t="n">
        <f aca="false">Sens!H18780</f>
        <v>16.5</v>
      </c>
      <c r="I18807" s="6" t="n">
        <f aca="false">Sens!I18780</f>
        <v>18.75</v>
      </c>
      <c r="J18807" s="6" t="n">
        <f aca="false">Sens!J18780</f>
        <v>20.25</v>
      </c>
      <c r="K18807" s="6" t="n">
        <f aca="false">Sens!K18780</f>
        <v>21.75</v>
      </c>
    </row>
    <row r="18808" customFormat="false" ht="15" hidden="false" customHeight="false" outlineLevel="0" collapsed="false">
      <c r="A18808" s="0" t="s">
        <v>1037</v>
      </c>
      <c r="B18808" s="0" t="s">
        <v>98</v>
      </c>
      <c r="D18808" s="6" t="n">
        <f aca="false">Sens!D18784</f>
        <v>35.391</v>
      </c>
      <c r="E18808" s="6" t="n">
        <f aca="false">Sens!E18784</f>
        <v>37.285</v>
      </c>
      <c r="F18808" s="6" t="n">
        <f aca="false">Sens!F18784</f>
        <v>38.3851437782675</v>
      </c>
      <c r="G18808" s="6" t="n">
        <f aca="false">Sens!G18784</f>
        <v>40.0105353288615</v>
      </c>
      <c r="H18808" s="6" t="n">
        <f aca="false">Sens!H18784</f>
        <v>41.4812512033683</v>
      </c>
      <c r="I18808" s="6" t="n">
        <f aca="false">Sens!I18784</f>
        <v>42.7743107216329</v>
      </c>
      <c r="J18808" s="6" t="n">
        <f aca="false">Sens!J18784</f>
        <v>43.8687373064601</v>
      </c>
      <c r="K18808" s="6" t="n">
        <f aca="false">Sens!K18784</f>
        <v>44.7461120525893</v>
      </c>
    </row>
    <row r="18809" customFormat="false" ht="15" hidden="false" customHeight="false" outlineLevel="0" collapsed="false">
      <c r="A18809" s="0" t="s">
        <v>1039</v>
      </c>
      <c r="B18809" s="0" t="s">
        <v>98</v>
      </c>
      <c r="D18809" s="6" t="n">
        <f aca="false">Sens!D18786</f>
        <v>18.417</v>
      </c>
      <c r="E18809" s="6" t="n">
        <f aca="false">Sens!E18786</f>
        <v>20.345</v>
      </c>
      <c r="F18809" s="6" t="n">
        <f aca="false">Sens!F18786</f>
        <v>22.3161797133988</v>
      </c>
      <c r="G18809" s="6" t="n">
        <f aca="false">Sens!G18786</f>
        <v>24.3943499673233</v>
      </c>
      <c r="H18809" s="6" t="n">
        <f aca="false">Sens!H18786</f>
        <v>26.5250243109019</v>
      </c>
      <c r="I18809" s="6" t="n">
        <f aca="false">Sens!I18786</f>
        <v>28.6884573538181</v>
      </c>
      <c r="J18809" s="6" t="n">
        <f aca="false">Sens!J18786</f>
        <v>30.8624968052127</v>
      </c>
      <c r="K18809" s="6" t="n">
        <f aca="false">Sens!K18786</f>
        <v>33.0228715815776</v>
      </c>
    </row>
    <row r="18810" customFormat="false" ht="15" hidden="false" customHeight="false" outlineLevel="0" collapsed="false">
      <c r="A18810" s="0" t="s">
        <v>1040</v>
      </c>
      <c r="B18810" s="0" t="s">
        <v>98</v>
      </c>
      <c r="D18810" s="6" t="n">
        <f aca="false">Sens!D18788</f>
        <v>7.76</v>
      </c>
      <c r="E18810" s="6" t="n">
        <f aca="false">Sens!E18788</f>
        <v>8.26</v>
      </c>
      <c r="F18810" s="6" t="n">
        <f aca="false">Sens!F18788</f>
        <v>8.75372082474227</v>
      </c>
      <c r="G18810" s="6" t="n">
        <f aca="false">Sens!G18788</f>
        <v>9.33399324642364</v>
      </c>
      <c r="H18810" s="6" t="n">
        <f aca="false">Sens!H18788</f>
        <v>9.96139155535851</v>
      </c>
      <c r="I18810" s="6" t="n">
        <f aca="false">Sens!I18788</f>
        <v>10.6402039077391</v>
      </c>
      <c r="J18810" s="6" t="n">
        <f aca="false">Sens!J18788</f>
        <v>11.3751458271397</v>
      </c>
      <c r="K18810" s="6" t="n">
        <f aca="false">Sens!K18788</f>
        <v>12.1714060350394</v>
      </c>
    </row>
    <row r="18811" customFormat="false" ht="15" hidden="false" customHeight="false" outlineLevel="0" collapsed="false">
      <c r="A18811" s="0" t="s">
        <v>856</v>
      </c>
      <c r="B18811" s="0" t="s">
        <v>98</v>
      </c>
      <c r="D18811" s="6" t="n">
        <f aca="false">Sens!D18790</f>
        <v>218.783</v>
      </c>
      <c r="E18811" s="6" t="n">
        <f aca="false">Sens!E18790</f>
        <v>268.127</v>
      </c>
      <c r="F18811" s="6" t="n">
        <f aca="false">Sens!F18790</f>
        <v>330.145282059882</v>
      </c>
      <c r="G18811" s="6" t="n">
        <f aca="false">Sens!G18790</f>
        <v>392.656759865851</v>
      </c>
      <c r="H18811" s="6" t="n">
        <f aca="false">Sens!H18790</f>
        <v>450.544273297982</v>
      </c>
      <c r="I18811" s="6" t="n">
        <f aca="false">Sens!I18790</f>
        <v>510.69213512593</v>
      </c>
      <c r="J18811" s="6" t="n">
        <f aca="false">Sens!J18790</f>
        <v>560.416732629406</v>
      </c>
      <c r="K18811" s="6" t="n">
        <f aca="false">Sens!K18790</f>
        <v>600.132410592692</v>
      </c>
    </row>
    <row r="18812" customFormat="false" ht="15" hidden="false" customHeight="false" outlineLevel="0" collapsed="false">
      <c r="A18812" s="0" t="s">
        <v>1041</v>
      </c>
      <c r="B18812" s="0" t="s">
        <v>98</v>
      </c>
      <c r="D18812" s="6" t="n">
        <f aca="false">Sens!D18791</f>
        <v>22.171</v>
      </c>
      <c r="E18812" s="6" t="n">
        <f aca="false">Sens!E18791</f>
        <v>24.835</v>
      </c>
      <c r="F18812" s="6" t="n">
        <f aca="false">Sens!F18791</f>
        <v>27.5591895660247</v>
      </c>
      <c r="G18812" s="6" t="n">
        <f aca="false">Sens!G18791</f>
        <v>30.4098563144583</v>
      </c>
      <c r="H18812" s="6" t="n">
        <f aca="false">Sens!H18791</f>
        <v>33.3011792571777</v>
      </c>
      <c r="I18812" s="6" t="n">
        <f aca="false">Sens!I18791</f>
        <v>36.189023797112</v>
      </c>
      <c r="J18812" s="6" t="n">
        <f aca="false">Sens!J18791</f>
        <v>39.0247773769199</v>
      </c>
      <c r="K18812" s="6" t="n">
        <f aca="false">Sens!K18791</f>
        <v>41.7565117933043</v>
      </c>
    </row>
    <row r="18813" customFormat="false" ht="15" hidden="false" customHeight="false" outlineLevel="0" collapsed="false">
      <c r="A18813" s="0" t="s">
        <v>1042</v>
      </c>
      <c r="B18813" s="0" t="s">
        <v>98</v>
      </c>
      <c r="D18813" s="6" t="n">
        <f aca="false">Sens!D18793</f>
        <v>23.455</v>
      </c>
      <c r="E18813" s="6" t="n">
        <f aca="false">Sens!E18793</f>
        <v>21.79</v>
      </c>
      <c r="F18813" s="6" t="n">
        <f aca="false">Sens!F18793</f>
        <v>20.7520981041711</v>
      </c>
      <c r="G18813" s="6" t="n">
        <f aca="false">Sens!G18793</f>
        <v>19.9083593495882</v>
      </c>
      <c r="H18813" s="6" t="n">
        <f aca="false">Sens!H18793</f>
        <v>19.4008256265831</v>
      </c>
      <c r="I18813" s="6" t="n">
        <f aca="false">Sens!I18793</f>
        <v>19.200434522122</v>
      </c>
      <c r="J18813" s="6" t="n">
        <f aca="false">Sens!J18793</f>
        <v>19.2932782348507</v>
      </c>
      <c r="K18813" s="6" t="n">
        <f aca="false">Sens!K18793</f>
        <v>19.6791437995477</v>
      </c>
    </row>
    <row r="18814" customFormat="false" ht="15" hidden="false" customHeight="false" outlineLevel="0" collapsed="false">
      <c r="A18814" s="0" t="s">
        <v>1043</v>
      </c>
      <c r="B18814" s="0" t="s">
        <v>98</v>
      </c>
      <c r="D18814" s="6" t="n">
        <f aca="false">Sens!D18795</f>
        <v>17.315</v>
      </c>
      <c r="E18814" s="6" t="n">
        <f aca="false">Sens!E18795</f>
        <v>17.087</v>
      </c>
      <c r="F18814" s="6" t="n">
        <f aca="false">Sens!F18795</f>
        <v>11.6994</v>
      </c>
      <c r="G18814" s="6" t="n">
        <f aca="false">Sens!G18795</f>
        <v>11.6746926329772</v>
      </c>
      <c r="H18814" s="6" t="n">
        <f aca="false">Sens!H18795</f>
        <v>11.7145747045475</v>
      </c>
      <c r="I18814" s="6" t="n">
        <f aca="false">Sens!I18795</f>
        <v>11.8193507447388</v>
      </c>
      <c r="J18814" s="6" t="n">
        <f aca="false">Sens!J18795</f>
        <v>11.9904008346869</v>
      </c>
      <c r="K18814" s="6" t="n">
        <f aca="false">Sens!K18795</f>
        <v>12.2302088513807</v>
      </c>
    </row>
    <row r="18815" customFormat="false" ht="15" hidden="false" customHeight="false" outlineLevel="0" collapsed="false">
      <c r="A18815" s="0" t="s">
        <v>870</v>
      </c>
      <c r="B18815" s="0" t="s">
        <v>98</v>
      </c>
      <c r="D18815" s="6" t="n">
        <f aca="false">Sens!D18797</f>
        <v>62.941</v>
      </c>
      <c r="E18815" s="6" t="n">
        <f aca="false">Sens!E18797</f>
        <v>63.712</v>
      </c>
      <c r="F18815" s="6" t="n">
        <f aca="false">Sens!F18797</f>
        <v>60.0106876701958</v>
      </c>
      <c r="G18815" s="6" t="n">
        <f aca="false">Sens!G18797</f>
        <v>61.9929082970237</v>
      </c>
      <c r="H18815" s="6" t="n">
        <f aca="false">Sens!H18797</f>
        <v>64.4165795883084</v>
      </c>
      <c r="I18815" s="6" t="n">
        <f aca="false">Sens!I18797</f>
        <v>67.2088090639728</v>
      </c>
      <c r="J18815" s="6" t="n">
        <f aca="false">Sens!J18797</f>
        <v>70.3084564464575</v>
      </c>
      <c r="K18815" s="6" t="n">
        <f aca="false">Sens!K18797</f>
        <v>73.6658644442326</v>
      </c>
    </row>
    <row r="18816" customFormat="false" ht="15" hidden="false" customHeight="false" outlineLevel="0" collapsed="false">
      <c r="A18816" s="1" t="s">
        <v>1059</v>
      </c>
      <c r="B18816" s="0" t="s">
        <v>98</v>
      </c>
      <c r="D18816" s="6" t="n">
        <f aca="false">Sens!D18798</f>
        <v>281.724</v>
      </c>
      <c r="E18816" s="6" t="n">
        <f aca="false">Sens!E18798</f>
        <v>331.839</v>
      </c>
      <c r="F18816" s="6" t="n">
        <f aca="false">Sens!F18798</f>
        <v>390.155969730078</v>
      </c>
      <c r="G18816" s="6" t="n">
        <f aca="false">Sens!G18798</f>
        <v>454.649668162875</v>
      </c>
      <c r="H18816" s="6" t="n">
        <f aca="false">Sens!H18798</f>
        <v>514.96085288629</v>
      </c>
      <c r="I18816" s="6" t="n">
        <f aca="false">Sens!I18798</f>
        <v>577.900944189903</v>
      </c>
      <c r="J18816" s="6" t="n">
        <f aca="false">Sens!J18798</f>
        <v>630.725189075863</v>
      </c>
      <c r="K18816" s="6" t="n">
        <f aca="false">Sens!K18798</f>
        <v>673.798275036925</v>
      </c>
    </row>
    <row r="18817" customFormat="false" ht="15" hidden="false" customHeight="false" outlineLevel="0" collapsed="false">
      <c r="A18817" s="1" t="s">
        <v>1060</v>
      </c>
      <c r="B18817" s="0" t="s">
        <v>168</v>
      </c>
      <c r="E18817" s="7" t="n">
        <f aca="false">Sens!E18816/Sens!D18816-1</f>
        <v>0.177886867998467</v>
      </c>
      <c r="F18817" s="7" t="n">
        <f aca="false">Sens!F18816/Sens!E18816-1</f>
        <v>0.175738745988499</v>
      </c>
      <c r="G18817" s="7" t="n">
        <f aca="false">Sens!G18816/Sens!F18816-1</f>
        <v>0.165302349410202</v>
      </c>
      <c r="H18817" s="7" t="n">
        <f aca="false">Sens!H18816/Sens!G18816-1</f>
        <v>0.132654192770266</v>
      </c>
      <c r="I18817" s="7" t="n">
        <f aca="false">Sens!I18816/Sens!H18816-1</f>
        <v>0.122223060162421</v>
      </c>
      <c r="J18817" s="7" t="n">
        <f aca="false">Sens!J18816/Sens!I18816-1</f>
        <v>0.0914070921964125</v>
      </c>
      <c r="K18817" s="7" t="n">
        <f aca="false">Sens!K18816/Sens!J18816-1</f>
        <v>0.0682913679476989</v>
      </c>
    </row>
    <row r="18818" customFormat="false" ht="17.15" hidden="false" customHeight="false" outlineLevel="0" collapsed="false">
      <c r="A18818" s="26" t="s">
        <v>1061</v>
      </c>
      <c r="B18818" s="31" t="s">
        <v>98</v>
      </c>
      <c r="C18818" s="31"/>
      <c r="D18818" s="27" t="n">
        <f aca="false">(Sens!D18811+Sens!D18815-Sens!D18816)+(Sens!D18803+Sens!D18804-Sens!D18802)+(Sens!D18806+Sens!D18807-Sens!D18805)+(Sens!D18816-Q!L18)</f>
        <v>0</v>
      </c>
      <c r="E18818" s="27" t="n">
        <f aca="false">(Sens!E18811+Sens!E18815-Sens!E18816)+(Sens!E18803+Sens!E18804-Sens!E18802)+(Sens!E18806+Sens!E18807-Sens!E18805)+(Sens!E18816-Q!M18)</f>
        <v>0</v>
      </c>
      <c r="F18818" s="27" t="n">
        <f aca="false">(Sens!F18811+Sens!F18815-Sens!F18816)+(Sens!F18803+Sens!F18804-Sens!F18802)+(Sens!F18806+Sens!F18807-Sens!F18805)</f>
        <v>0</v>
      </c>
      <c r="G18818" s="27" t="n">
        <f aca="false">(Sens!G18811+Sens!G18815-Sens!G18816)+(Sens!G18803+Sens!G18804-Sens!G18802)+(Sens!G18806+Sens!G18807-Sens!G18805)</f>
        <v>0</v>
      </c>
      <c r="H18818" s="27" t="n">
        <f aca="false">(Sens!H18811+Sens!H18815-Sens!H18816)+(Sens!H18803+Sens!H18804-Sens!H18802)+(Sens!H18806+Sens!H18807-Sens!H18805)</f>
        <v>0</v>
      </c>
      <c r="I18818" s="27" t="n">
        <f aca="false">(Sens!I18811+Sens!I18815-Sens!I18816)+(Sens!I18803+Sens!I18804-Sens!I18802)+(Sens!I18806+Sens!I18807-Sens!I18805)</f>
        <v>0</v>
      </c>
      <c r="J18818" s="27" t="n">
        <f aca="false">(Sens!J18811+Sens!J18815-Sens!J18816)+(Sens!J18803+Sens!J18804-Sens!J18802)+(Sens!J18806+Sens!J18807-Sens!J18805)</f>
        <v>0</v>
      </c>
      <c r="K18818" s="27" t="n">
        <f aca="false">(Sens!K18811+Sens!K18815-Sens!K18816)+(Sens!K18803+Sens!K18804-Sens!K18802)+(Sens!K18806+Sens!K18807-Sens!K18805)</f>
        <v>0</v>
      </c>
    </row>
    <row r="18819" customFormat="false" ht="17.15" hidden="false" customHeight="false" outlineLevel="0" collapsed="false">
      <c r="A18819" s="0" t="s">
        <v>1062</v>
      </c>
      <c r="B18819" s="0" t="s">
        <v>168</v>
      </c>
      <c r="E18819" s="7" t="n">
        <f aca="false">(Q!M21+Sens!E18755+Sens!E18756+Sens!E18757+Sens!E18771-Sens!E18753)/(Q!M5-Sens!E18753)</f>
        <v>0.570957350878296</v>
      </c>
      <c r="F18819" s="7" t="n">
        <f aca="false">Sens!$E$18819+dm_seg</f>
        <v>0.570957350878296</v>
      </c>
      <c r="G18819" s="7" t="n">
        <f aca="false">Sens!$E$18819+dm_seg</f>
        <v>0.570957350878296</v>
      </c>
      <c r="H18819" s="7" t="n">
        <f aca="false">Sens!$E$18819+dm_seg</f>
        <v>0.570957350878296</v>
      </c>
      <c r="I18819" s="7" t="n">
        <f aca="false">Sens!$E$18819+dm_seg</f>
        <v>0.570957350878296</v>
      </c>
      <c r="J18819" s="7" t="n">
        <f aca="false">Sens!$E$18819+dm_seg</f>
        <v>0.570957350878296</v>
      </c>
      <c r="K18819" s="7" t="n">
        <f aca="false">Sens!$E$18819+dm_seg</f>
        <v>0.570957350878296</v>
      </c>
      <c r="L18819" s="12" t="s">
        <v>1063</v>
      </c>
    </row>
    <row r="18820" customFormat="false" ht="17.15" hidden="false" customHeight="false" outlineLevel="0" collapsed="false">
      <c r="A18820" s="0" t="s">
        <v>884</v>
      </c>
      <c r="B18820" s="0" t="s">
        <v>98</v>
      </c>
      <c r="D18820" s="6" t="n">
        <f aca="false">Q!L21</f>
        <v>110.814</v>
      </c>
      <c r="E18820" s="6" t="n">
        <f aca="false">Q!M21</f>
        <v>136.365</v>
      </c>
      <c r="F18820" s="6" t="n">
        <f aca="false">Q!$I$21+(Sens!F18819*(Sens!F18790-Sens!F18753)+Sens!F18753-(Sens!F18755+Sens!F18756+Sens!F18757)-Sens!F18771-Sens!F18854)*(Sens!F18790-Q!$I$5)/Sens!F18790</f>
        <v>158.106489928698</v>
      </c>
      <c r="G18820" s="6" t="n">
        <f aca="false">(Sens!G18819*(Sens!G18790-Sens!G18753)+Sens!G18753-(Sens!G18755+Sens!G18756+Sens!G18757)-Sens!G18771-Sens!G18854)</f>
        <v>161.284346514706</v>
      </c>
      <c r="H18820" s="6" t="n">
        <f aca="false">(Sens!H18819*(Sens!H18790-Sens!H18753)+Sens!H18753-(Sens!H18755+Sens!H18756+Sens!H18757)-Sens!H18771-Sens!H18854)</f>
        <v>162.746497097968</v>
      </c>
      <c r="I18820" s="6" t="n">
        <f aca="false">(Sens!I18819*(Sens!I18790-Sens!I18753)+Sens!I18753-(Sens!I18755+Sens!I18756+Sens!I18757)-Sens!I18771-Sens!I18854)</f>
        <v>172.027583270358</v>
      </c>
      <c r="J18820" s="6" t="n">
        <f aca="false">(Sens!J18819*(Sens!J18790-Sens!J18753)+Sens!J18753-(Sens!J18755+Sens!J18756+Sens!J18757)-Sens!J18771-Sens!J18854)</f>
        <v>182.852134505809</v>
      </c>
      <c r="K18820" s="6" t="n">
        <f aca="false">(Sens!K18819*(Sens!K18790-Sens!K18753)+Sens!K18753-(Sens!K18755+Sens!K18756+Sens!K18757)-Sens!K18771-Sens!K18854)</f>
        <v>195.085523763005</v>
      </c>
      <c r="L18820" s="1" t="s">
        <v>1064</v>
      </c>
    </row>
    <row r="18821" customFormat="false" ht="17.15" hidden="false" customHeight="false" outlineLevel="0" collapsed="false">
      <c r="A18821" s="0" t="s">
        <v>1065</v>
      </c>
      <c r="B18821" s="0" t="s">
        <v>168</v>
      </c>
      <c r="E18821" s="7" t="n">
        <f aca="false">Q!M22/Q!M12</f>
        <v>0.296207935710698</v>
      </c>
      <c r="F18821" s="7" t="n">
        <f aca="false">Sens!$E$18821+dm_seg</f>
        <v>0.296207935710698</v>
      </c>
      <c r="G18821" s="7" t="n">
        <f aca="false">Sens!$E$18821+dm_seg</f>
        <v>0.296207935710698</v>
      </c>
      <c r="H18821" s="7" t="n">
        <f aca="false">Sens!$E$18821+dm_seg</f>
        <v>0.296207935710698</v>
      </c>
      <c r="I18821" s="7" t="n">
        <f aca="false">Sens!$E$18821+dm_seg</f>
        <v>0.296207935710698</v>
      </c>
      <c r="J18821" s="7" t="n">
        <f aca="false">Sens!$E$18821+dm_seg</f>
        <v>0.296207935710698</v>
      </c>
      <c r="K18821" s="7" t="n">
        <f aca="false">Sens!$E$18821+dm_seg</f>
        <v>0.296207935710698</v>
      </c>
      <c r="L18821" s="12" t="s">
        <v>1066</v>
      </c>
    </row>
    <row r="18822" customFormat="false" ht="17.15" hidden="false" customHeight="false" outlineLevel="0" collapsed="false">
      <c r="A18822" s="0" t="s">
        <v>886</v>
      </c>
      <c r="B18822" s="0" t="s">
        <v>98</v>
      </c>
      <c r="D18822" s="6" t="n">
        <f aca="false">Q!L22</f>
        <v>17.714</v>
      </c>
      <c r="E18822" s="6" t="n">
        <f aca="false">Q!M22</f>
        <v>18.872</v>
      </c>
      <c r="F18822" s="6" t="n">
        <f aca="false">Q!$I$22+(Sens!F18797-Q!$I$12)*Sens!F18821</f>
        <v>18.5461582388237</v>
      </c>
      <c r="G18822" s="6" t="n">
        <f aca="false">Sens!G18797*Sens!G18821</f>
        <v>18.362791395364</v>
      </c>
      <c r="H18822" s="6" t="n">
        <f aca="false">Sens!H18797*Sens!H18821</f>
        <v>19.0807020653967</v>
      </c>
      <c r="I18822" s="6" t="n">
        <f aca="false">Sens!I18797*Sens!I18821</f>
        <v>19.9077825944138</v>
      </c>
      <c r="J18822" s="6" t="n">
        <f aca="false">Sens!J18797*Sens!J18821</f>
        <v>20.8259227470107</v>
      </c>
      <c r="K18822" s="6" t="n">
        <f aca="false">Sens!K18797*Sens!K18821</f>
        <v>21.8204136393703</v>
      </c>
      <c r="L18822" s="12" t="s">
        <v>1067</v>
      </c>
    </row>
    <row r="18823" customFormat="false" ht="15" hidden="false" customHeight="false" outlineLevel="0" collapsed="false">
      <c r="A18823" s="1" t="s">
        <v>1068</v>
      </c>
      <c r="B18823" s="0" t="s">
        <v>98</v>
      </c>
      <c r="D18823" s="6" t="n">
        <f aca="false">Sens!D18820+Sens!D18822</f>
        <v>128.528</v>
      </c>
      <c r="E18823" s="6" t="n">
        <f aca="false">Sens!E18820+Sens!E18822</f>
        <v>155.237</v>
      </c>
      <c r="F18823" s="6" t="n">
        <f aca="false">Sens!F18820+Sens!F18822</f>
        <v>176.652648167522</v>
      </c>
      <c r="G18823" s="6" t="n">
        <f aca="false">Sens!G18820+Sens!G18822</f>
        <v>179.64713791007</v>
      </c>
      <c r="H18823" s="6" t="n">
        <f aca="false">Sens!H18820+Sens!H18822</f>
        <v>181.827199163364</v>
      </c>
      <c r="I18823" s="6" t="n">
        <f aca="false">Sens!I18820+Sens!I18822</f>
        <v>191.935365864772</v>
      </c>
      <c r="J18823" s="6" t="n">
        <f aca="false">Sens!J18820+Sens!J18822</f>
        <v>203.67805725282</v>
      </c>
      <c r="K18823" s="6" t="n">
        <f aca="false">Sens!K18820+Sens!K18822</f>
        <v>216.905937402375</v>
      </c>
    </row>
    <row r="18824" customFormat="false" ht="15" hidden="false" customHeight="false" outlineLevel="0" collapsed="false">
      <c r="A18824" s="26" t="s">
        <v>1069</v>
      </c>
      <c r="B18824" s="31" t="s">
        <v>98</v>
      </c>
      <c r="C18824" s="31"/>
      <c r="D18824" s="27" t="n">
        <f aca="false">Sens!D18823-Q!L23</f>
        <v>0</v>
      </c>
      <c r="E18824" s="27" t="n">
        <f aca="false">Sens!E18823-Q!M23</f>
        <v>0</v>
      </c>
      <c r="F18824" s="31"/>
      <c r="G18824" s="31"/>
      <c r="H18824" s="31"/>
      <c r="I18824" s="31"/>
      <c r="J18824" s="31"/>
      <c r="K18824" s="31"/>
    </row>
    <row r="18825" customFormat="false" ht="15" hidden="false" customHeight="false" outlineLevel="0" collapsed="false">
      <c r="A18825" s="1" t="s">
        <v>1070</v>
      </c>
      <c r="B18825" s="0" t="s">
        <v>168</v>
      </c>
      <c r="D18825" s="7" t="n">
        <f aca="false">Sens!D18823/Sens!D18816</f>
        <v>0.456219562408598</v>
      </c>
      <c r="E18825" s="7" t="n">
        <f aca="false">Sens!E18823/Sens!E18816</f>
        <v>0.467808184089272</v>
      </c>
      <c r="F18825" s="7" t="n">
        <f aca="false">Sens!F18823/Sens!F18816</f>
        <v>0.452774433490626</v>
      </c>
      <c r="G18825" s="7" t="n">
        <f aca="false">Sens!G18823/Sens!G18816</f>
        <v>0.395133111250204</v>
      </c>
      <c r="H18825" s="7" t="n">
        <f aca="false">Sens!H18823/Sens!H18816</f>
        <v>0.353089362316079</v>
      </c>
      <c r="I18825" s="7" t="n">
        <f aca="false">Sens!I18823/Sens!I18816</f>
        <v>0.332125025567878</v>
      </c>
      <c r="J18825" s="7" t="n">
        <f aca="false">Sens!J18823/Sens!J18816</f>
        <v>0.322926784565634</v>
      </c>
      <c r="K18825" s="7" t="n">
        <f aca="false">Sens!K18823/Sens!K18816</f>
        <v>0.321915245910192</v>
      </c>
    </row>
    <row r="18826" customFormat="false" ht="17.15" hidden="false" customHeight="false" outlineLevel="0" collapsed="false">
      <c r="A18826" s="1" t="s">
        <v>1071</v>
      </c>
      <c r="B18826" s="0" t="s">
        <v>98</v>
      </c>
      <c r="F18826" s="6" t="n">
        <f aca="false">Sens!F18841</f>
        <v>10.5962787979473</v>
      </c>
      <c r="G18826" s="6" t="n">
        <f aca="false">Sens!G18841</f>
        <v>27.844646674932</v>
      </c>
      <c r="H18826" s="6" t="n">
        <f aca="false">Sens!H18841</f>
        <v>46.566205501382</v>
      </c>
      <c r="I18826" s="6" t="n">
        <f aca="false">Sens!I18841</f>
        <v>63.2717778126444</v>
      </c>
      <c r="J18826" s="6" t="n">
        <f aca="false">Sens!J18841</f>
        <v>74.9061222882009</v>
      </c>
      <c r="K18826" s="6" t="n">
        <f aca="false">Sens!K18841</f>
        <v>81.6395437180232</v>
      </c>
      <c r="L18826" s="1" t="s">
        <v>1072</v>
      </c>
    </row>
    <row r="18827" customFormat="false" ht="17.15" hidden="false" customHeight="false" outlineLevel="0" collapsed="false">
      <c r="A18827" s="1" t="s">
        <v>1073</v>
      </c>
      <c r="B18827" s="0" t="s">
        <v>98</v>
      </c>
      <c r="D18827" s="6" t="n">
        <f aca="false">Sens!D18823</f>
        <v>128.528</v>
      </c>
      <c r="E18827" s="6" t="n">
        <f aca="false">Sens!E18823</f>
        <v>155.237</v>
      </c>
      <c r="F18827" s="6" t="n">
        <f aca="false">Sens!F18823+Sens!F18826</f>
        <v>187.248926965469</v>
      </c>
      <c r="G18827" s="6" t="n">
        <f aca="false">Sens!G18823+Sens!G18826</f>
        <v>207.491784585002</v>
      </c>
      <c r="H18827" s="6" t="n">
        <f aca="false">Sens!H18823+Sens!H18826</f>
        <v>228.393404664746</v>
      </c>
      <c r="I18827" s="6" t="n">
        <f aca="false">Sens!I18823+Sens!I18826</f>
        <v>255.207143677417</v>
      </c>
      <c r="J18827" s="6" t="n">
        <f aca="false">Sens!J18823+Sens!J18826</f>
        <v>278.584179541021</v>
      </c>
      <c r="K18827" s="6" t="n">
        <f aca="false">Sens!K18823+Sens!K18826</f>
        <v>298.545481120398</v>
      </c>
    </row>
    <row r="18828" customFormat="false" ht="17.15" hidden="false" customHeight="false" outlineLevel="0" collapsed="false">
      <c r="A18828" s="1" t="s">
        <v>1074</v>
      </c>
      <c r="B18828" s="0" t="s">
        <v>98</v>
      </c>
      <c r="E18828" s="6" t="n">
        <f aca="false">Sens!E18771</f>
        <v>16.3054059770833</v>
      </c>
      <c r="F18828" s="6" t="n">
        <f aca="false">Sens!F18771</f>
        <v>34.5793144783516</v>
      </c>
      <c r="G18828" s="6" t="n">
        <f aca="false">Sens!G18771</f>
        <v>60.7344906522989</v>
      </c>
      <c r="H18828" s="6" t="n">
        <f aca="false">Sens!H18771</f>
        <v>89.1000906614457</v>
      </c>
      <c r="I18828" s="6" t="n">
        <f aca="false">Sens!I18771</f>
        <v>114.231009694548</v>
      </c>
      <c r="J18828" s="6" t="n">
        <f aca="false">Sens!J18771</f>
        <v>132.015673049596</v>
      </c>
      <c r="K18828" s="6" t="n">
        <f aca="false">Sens!K18771</f>
        <v>143.012669550934</v>
      </c>
    </row>
    <row r="18829" customFormat="false" ht="17.15" hidden="false" customHeight="false" outlineLevel="0" collapsed="false">
      <c r="A18829" s="1" t="s">
        <v>1075</v>
      </c>
      <c r="B18829" s="0" t="s">
        <v>98</v>
      </c>
      <c r="E18829" s="6" t="n">
        <f aca="false">Sens!E18853</f>
        <v>22.2285940229167</v>
      </c>
      <c r="F18829" s="6" t="n">
        <f aca="false">Sens!F18853</f>
        <v>23.580344216413</v>
      </c>
      <c r="G18829" s="6" t="n">
        <f aca="false">Sens!G18853</f>
        <v>25.3275637379585</v>
      </c>
      <c r="H18829" s="6" t="n">
        <f aca="false">Sens!H18853</f>
        <v>27.4441608270363</v>
      </c>
      <c r="I18829" s="6" t="n">
        <f aca="false">Sens!I18853</f>
        <v>29.8731659168448</v>
      </c>
      <c r="J18829" s="6" t="n">
        <f aca="false">Sens!J18853</f>
        <v>32.5395568365191</v>
      </c>
      <c r="K18829" s="6" t="n">
        <f aca="false">Sens!K18853</f>
        <v>35.3587761573279</v>
      </c>
    </row>
    <row r="18830" customFormat="false" ht="17.15" hidden="false" customHeight="false" outlineLevel="0" collapsed="false">
      <c r="A18830" s="1" t="s">
        <v>1076</v>
      </c>
      <c r="B18830" s="0" t="s">
        <v>98</v>
      </c>
      <c r="D18830" s="6" t="n">
        <f aca="false">Q!L27</f>
        <v>-4.901</v>
      </c>
      <c r="E18830" s="6" t="n">
        <f aca="false">Q!M27</f>
        <v>10.697</v>
      </c>
      <c r="F18830" s="6" t="n">
        <f aca="false">Q!$I$27+oie_f*(q_per_yr-1)/q_per_yr</f>
        <v>-0.862</v>
      </c>
      <c r="G18830" s="6" t="n">
        <f aca="false">oie_f</f>
        <v>-1.2</v>
      </c>
      <c r="H18830" s="6" t="n">
        <f aca="false">oie_f</f>
        <v>-1.2</v>
      </c>
      <c r="I18830" s="6" t="n">
        <f aca="false">oie_f</f>
        <v>-1.2</v>
      </c>
      <c r="J18830" s="6" t="n">
        <f aca="false">oie_f</f>
        <v>-1.2</v>
      </c>
      <c r="K18830" s="6" t="n">
        <f aca="false">oie_f</f>
        <v>-1.2</v>
      </c>
      <c r="L18830" s="12" t="s">
        <v>1077</v>
      </c>
    </row>
    <row r="18831" customFormat="false" ht="15" hidden="false" customHeight="false" outlineLevel="0" collapsed="false">
      <c r="A18831" s="1" t="s">
        <v>1078</v>
      </c>
      <c r="B18831" s="0" t="s">
        <v>98</v>
      </c>
      <c r="D18831" s="6" t="n">
        <f aca="false">Sens!D18823+Sens!D18830</f>
        <v>123.627</v>
      </c>
      <c r="E18831" s="6" t="n">
        <f aca="false">Sens!E18823+Sens!E18830</f>
        <v>165.934</v>
      </c>
      <c r="F18831" s="6" t="n">
        <f aca="false">Sens!F18823+Sens!F18830</f>
        <v>175.790648167522</v>
      </c>
      <c r="G18831" s="6" t="n">
        <f aca="false">Sens!G18823+Sens!G18830</f>
        <v>178.44713791007</v>
      </c>
      <c r="H18831" s="6" t="n">
        <f aca="false">Sens!H18823+Sens!H18830</f>
        <v>180.627199163364</v>
      </c>
      <c r="I18831" s="6" t="n">
        <f aca="false">Sens!I18823+Sens!I18830</f>
        <v>190.735365864772</v>
      </c>
      <c r="J18831" s="6" t="n">
        <f aca="false">Sens!J18823+Sens!J18830</f>
        <v>202.47805725282</v>
      </c>
      <c r="K18831" s="6" t="n">
        <f aca="false">Sens!K18823+Sens!K18830</f>
        <v>215.705937402375</v>
      </c>
    </row>
    <row r="18832" customFormat="false" ht="15" hidden="false" customHeight="false" outlineLevel="0" collapsed="false">
      <c r="A18832" s="1" t="s">
        <v>1079</v>
      </c>
      <c r="B18832" s="0" t="s">
        <v>98</v>
      </c>
      <c r="D18832" s="6" t="n">
        <f aca="false">Q!L29</f>
        <v>21.795</v>
      </c>
      <c r="E18832" s="6" t="n">
        <f aca="false">Q!M29</f>
        <v>32.185</v>
      </c>
      <c r="F18832" s="6" t="n">
        <f aca="false">Q!$I$29+(Sens!F18831-Q!$I$28)*tax_f</f>
        <v>35.2915296335044</v>
      </c>
      <c r="G18832" s="6" t="n">
        <f aca="false">Sens!G18831*tax_f</f>
        <v>35.6894275820139</v>
      </c>
      <c r="H18832" s="6" t="n">
        <f aca="false">Sens!H18831*tax_f</f>
        <v>36.1254398326729</v>
      </c>
      <c r="I18832" s="6" t="n">
        <f aca="false">Sens!I18831*tax_f</f>
        <v>38.1470731729545</v>
      </c>
      <c r="J18832" s="6" t="n">
        <f aca="false">Sens!J18831*tax_f</f>
        <v>40.495611450564</v>
      </c>
      <c r="K18832" s="6" t="n">
        <f aca="false">Sens!K18831*tax_f</f>
        <v>43.141187480475</v>
      </c>
    </row>
    <row r="18833" customFormat="false" ht="15" hidden="false" customHeight="false" outlineLevel="0" collapsed="false">
      <c r="A18833" s="1" t="s">
        <v>1080</v>
      </c>
      <c r="B18833" s="0" t="s">
        <v>98</v>
      </c>
      <c r="D18833" s="6" t="n">
        <f aca="false">Sens!D18831-Sens!D18832</f>
        <v>101.832</v>
      </c>
      <c r="E18833" s="6" t="n">
        <f aca="false">Sens!E18831-Sens!E18832</f>
        <v>133.749</v>
      </c>
      <c r="F18833" s="6" t="n">
        <f aca="false">Sens!F18831-Sens!F18832</f>
        <v>140.499118534018</v>
      </c>
      <c r="G18833" s="6" t="n">
        <f aca="false">Sens!G18831-Sens!G18832</f>
        <v>142.757710328056</v>
      </c>
      <c r="H18833" s="6" t="n">
        <f aca="false">Sens!H18831-Sens!H18832</f>
        <v>144.501759330691</v>
      </c>
      <c r="I18833" s="6" t="n">
        <f aca="false">Sens!I18831-Sens!I18832</f>
        <v>152.588292691818</v>
      </c>
      <c r="J18833" s="6" t="n">
        <f aca="false">Sens!J18831-Sens!J18832</f>
        <v>161.982445802256</v>
      </c>
      <c r="K18833" s="6" t="n">
        <f aca="false">Sens!K18831-Sens!K18832</f>
        <v>172.5647499219</v>
      </c>
    </row>
    <row r="18834" customFormat="false" ht="17.15" hidden="false" customHeight="false" outlineLevel="0" collapsed="false">
      <c r="A18834" s="1" t="s">
        <v>1081</v>
      </c>
      <c r="B18834" s="1" t="s">
        <v>81</v>
      </c>
      <c r="D18834" s="15" t="n">
        <f aca="false">Q!L31</f>
        <v>7.465</v>
      </c>
      <c r="E18834" s="15" t="n">
        <f aca="false">Q!M31</f>
        <v>7.453</v>
      </c>
      <c r="F18834" s="15" t="n">
        <f aca="false">Sens!F18878</f>
        <v>7.4735</v>
      </c>
      <c r="G18834" s="15" t="n">
        <f aca="false">Sens!G18878</f>
        <v>7.5185</v>
      </c>
      <c r="H18834" s="15" t="n">
        <f aca="false">Sens!H18878</f>
        <v>7.5635</v>
      </c>
      <c r="I18834" s="15" t="n">
        <f aca="false">Sens!I18878</f>
        <v>7.59248142502667</v>
      </c>
      <c r="J18834" s="15" t="n">
        <f aca="false">Sens!J18878</f>
        <v>7.60663083618914</v>
      </c>
      <c r="K18834" s="15" t="n">
        <f aca="false">Sens!K18878</f>
        <v>7.62306547615439</v>
      </c>
    </row>
    <row r="18835" customFormat="false" ht="17.15" hidden="false" customHeight="false" outlineLevel="0" collapsed="false">
      <c r="A18835" s="0" t="s">
        <v>1082</v>
      </c>
      <c r="B18835" s="0" t="s">
        <v>75</v>
      </c>
      <c r="D18835" s="8" t="n">
        <f aca="false">Sens!D18833/Sens!D18834</f>
        <v>13.641259209645</v>
      </c>
      <c r="E18835" s="8" t="n">
        <f aca="false">Sens!E18833/Sens!E18834</f>
        <v>17.9456594659869</v>
      </c>
      <c r="F18835" s="8" t="n">
        <f aca="false">Sens!F18833/Sens!F18834</f>
        <v>18.7996412034545</v>
      </c>
      <c r="G18835" s="8" t="n">
        <f aca="false">Sens!G18833/Sens!G18834</f>
        <v>18.9875254808879</v>
      </c>
      <c r="H18835" s="8" t="n">
        <f aca="false">Sens!H18833/Sens!H18834</f>
        <v>19.105144355218</v>
      </c>
      <c r="I18835" s="8" t="n">
        <f aca="false">Sens!I18833/Sens!I18834</f>
        <v>20.0972889033155</v>
      </c>
      <c r="J18835" s="8" t="n">
        <f aca="false">Sens!J18833/Sens!J18834</f>
        <v>21.2949003692426</v>
      </c>
      <c r="K18835" s="8" t="n">
        <f aca="false">Sens!K18833/Sens!K18834</f>
        <v>22.6371858488816</v>
      </c>
      <c r="L18835" s="1" t="s">
        <v>1083</v>
      </c>
    </row>
    <row r="18836" customFormat="false" ht="17.15" hidden="false" customHeight="false" outlineLevel="0" collapsed="false">
      <c r="A18836" s="1" t="s">
        <v>1084</v>
      </c>
      <c r="B18836" s="0" t="s">
        <v>98</v>
      </c>
      <c r="D18836" s="6" t="n">
        <f aca="false">Sens!D18833</f>
        <v>101.832</v>
      </c>
      <c r="E18836" s="6" t="n">
        <f aca="false">Sens!E18833</f>
        <v>133.749</v>
      </c>
      <c r="F18836" s="6" t="n">
        <f aca="false">Sens!F18833+Sens!F18826*(1-tax_f)</f>
        <v>148.976141572375</v>
      </c>
      <c r="G18836" s="6" t="n">
        <f aca="false">Sens!G18833+Sens!G18826*(1-tax_f)</f>
        <v>165.033427668001</v>
      </c>
      <c r="H18836" s="6" t="n">
        <f aca="false">Sens!H18833+Sens!H18826*(1-tax_f)</f>
        <v>181.754723731797</v>
      </c>
      <c r="I18836" s="6" t="n">
        <f aca="false">Sens!I18833+Sens!I18826*(1-tax_f)</f>
        <v>203.205714941933</v>
      </c>
      <c r="J18836" s="6" t="n">
        <f aca="false">Sens!J18833+Sens!J18826*(1-tax_f)</f>
        <v>221.907343632817</v>
      </c>
      <c r="K18836" s="6" t="n">
        <f aca="false">Sens!K18833+Sens!K18826*(1-tax_f)</f>
        <v>237.876384896318</v>
      </c>
    </row>
    <row r="18837" customFormat="false" ht="17.15" hidden="false" customHeight="false" outlineLevel="0" collapsed="false">
      <c r="A18837" s="0" t="s">
        <v>1085</v>
      </c>
      <c r="B18837" s="0" t="s">
        <v>75</v>
      </c>
      <c r="D18837" s="8" t="n">
        <f aca="false">Sens!D18836/Sens!D18834</f>
        <v>13.641259209645</v>
      </c>
      <c r="E18837" s="8" t="n">
        <f aca="false">Sens!E18836/Sens!E18834</f>
        <v>17.9456594659869</v>
      </c>
      <c r="F18837" s="8" t="n">
        <f aca="false">Sens!F18836/Sens!F18834</f>
        <v>19.9339187224694</v>
      </c>
      <c r="G18837" s="8" t="n">
        <f aca="false">Sens!G18836/Sens!G18834</f>
        <v>21.9503129172044</v>
      </c>
      <c r="H18837" s="8" t="n">
        <f aca="false">Sens!H18836/Sens!H18834</f>
        <v>24.0305048895084</v>
      </c>
      <c r="I18837" s="8" t="n">
        <f aca="false">Sens!I18836/Sens!I18834</f>
        <v>26.7640713972797</v>
      </c>
      <c r="J18837" s="8" t="n">
        <f aca="false">Sens!J18836/Sens!J18834</f>
        <v>29.172881977797</v>
      </c>
      <c r="K18837" s="8" t="n">
        <f aca="false">Sens!K18836/Sens!K18834</f>
        <v>31.2048198510712</v>
      </c>
      <c r="L18837" s="1" t="s">
        <v>1086</v>
      </c>
    </row>
    <row r="18838" customFormat="false" ht="17.15" hidden="false" customHeight="false" outlineLevel="0" collapsed="false">
      <c r="A18838" s="0" t="s">
        <v>1087</v>
      </c>
      <c r="B18838" s="0" t="s">
        <v>168</v>
      </c>
      <c r="E18838" s="7" t="n">
        <f aca="false">Sens!E18837/Sens!D18837-1</f>
        <v>0.315542736208578</v>
      </c>
      <c r="F18838" s="7" t="n">
        <f aca="false">Sens!F18837/Sens!E18837-1</f>
        <v>0.110793323602904</v>
      </c>
      <c r="G18838" s="7" t="n">
        <f aca="false">Sens!G18837/Sens!F18837-1</f>
        <v>0.101153928778794</v>
      </c>
      <c r="H18838" s="7" t="n">
        <f aca="false">Sens!H18837/Sens!G18837-1</f>
        <v>0.0947682149293465</v>
      </c>
      <c r="I18838" s="7" t="n">
        <f aca="false">Sens!I18837/Sens!H18837-1</f>
        <v>0.113754018916377</v>
      </c>
      <c r="J18838" s="7" t="n">
        <f aca="false">Sens!J18837/Sens!I18837-1</f>
        <v>0.0900016497774756</v>
      </c>
      <c r="K18838" s="7" t="n">
        <f aca="false">Sens!K18837/Sens!J18837-1</f>
        <v>0.0696515988657116</v>
      </c>
    </row>
    <row r="18839" customFormat="false" ht="17.15" hidden="false" customHeight="false" outlineLevel="0" collapsed="false">
      <c r="A18839" s="0" t="s">
        <v>1007</v>
      </c>
      <c r="B18839" s="0" t="s">
        <v>98</v>
      </c>
      <c r="E18839" s="6" t="n">
        <f aca="false">Sens!E18780</f>
        <v>5.25</v>
      </c>
      <c r="F18839" s="6" t="n">
        <f aca="false">Sens!F18780</f>
        <v>10.5</v>
      </c>
      <c r="G18839" s="6" t="n">
        <f aca="false">Sens!G18780</f>
        <v>13.5</v>
      </c>
      <c r="H18839" s="6" t="n">
        <f aca="false">Sens!H18780</f>
        <v>16.5</v>
      </c>
      <c r="I18839" s="6" t="n">
        <f aca="false">Sens!I18780</f>
        <v>18.75</v>
      </c>
      <c r="J18839" s="6" t="n">
        <f aca="false">Sens!J18780</f>
        <v>20.25</v>
      </c>
      <c r="K18839" s="6" t="n">
        <f aca="false">Sens!K18780</f>
        <v>21.75</v>
      </c>
    </row>
    <row r="18840" customFormat="false" ht="17.15" hidden="false" customHeight="false" outlineLevel="0" collapsed="false">
      <c r="A18840" s="1" t="s">
        <v>1008</v>
      </c>
      <c r="B18840" s="0" t="s">
        <v>98</v>
      </c>
      <c r="F18840" s="6" t="n">
        <f aca="false">MAX(0,((Sens!E18740+Sens!F18740)/2-(shadow_base*(Sens!$D$18740+Sens!$E$18740)/2+(1-shadow_base)*Sens!$E$18740))*Sens!F18749/1000-(Sens!F18839-Sens!$E$18839)*Sens!F18819)</f>
        <v>10.5962787979473</v>
      </c>
      <c r="G18840" s="6" t="n">
        <f aca="false">MAX(0,((Sens!F18740+Sens!G18740)/2-(shadow_base*(Sens!$D$18740+Sens!$E$18740)/2+(1-shadow_base)*Sens!$E$18740))*Sens!G18749/1000-(Sens!G18839-Sens!$E$18839)*Sens!G18819)</f>
        <v>27.844646674932</v>
      </c>
      <c r="H18840" s="6" t="n">
        <f aca="false">MAX(0,((Sens!G18740+Sens!H18740)/2-(shadow_base*(Sens!$D$18740+Sens!$E$18740)/2+(1-shadow_base)*Sens!$E$18740))*Sens!H18749/1000-(Sens!H18839-Sens!$E$18839)*Sens!H18819)</f>
        <v>46.566205501382</v>
      </c>
      <c r="I18840" s="6" t="n">
        <f aca="false">MAX(0,((Sens!H18740+Sens!I18740)/2-(shadow_base*(Sens!$D$18740+Sens!$E$18740)/2+(1-shadow_base)*Sens!$E$18740))*Sens!I18749/1000-(Sens!I18839-Sens!$E$18839)*Sens!I18819)</f>
        <v>63.2717778126444</v>
      </c>
      <c r="J18840" s="6" t="n">
        <f aca="false">MAX(0,((Sens!I18740+Sens!J18740)/2-(shadow_base*(Sens!$D$18740+Sens!$E$18740)/2+(1-shadow_base)*Sens!$E$18740))*Sens!J18749/1000-(Sens!J18839-Sens!$E$18839)*Sens!J18819)</f>
        <v>74.9061222882009</v>
      </c>
      <c r="K18840" s="6" t="n">
        <f aca="false">MAX(0,((Sens!J18740+Sens!K18740)/2-(shadow_base*(Sens!$D$18740+Sens!$E$18740)/2+(1-shadow_base)*Sens!$E$18740))*Sens!K18749/1000-(Sens!K18839-Sens!$E$18839)*Sens!K18819)</f>
        <v>81.6395437180232</v>
      </c>
      <c r="L18840" s="1" t="s">
        <v>1009</v>
      </c>
    </row>
    <row r="18841" customFormat="false" ht="17.15" hidden="false" customHeight="false" outlineLevel="0" collapsed="false">
      <c r="A18841" s="1" t="s">
        <v>1010</v>
      </c>
      <c r="B18841" s="0" t="s">
        <v>98</v>
      </c>
      <c r="F18841" s="6" t="n">
        <f aca="false">IF(internal_ai_reading=2,1,0)*Sens!F18840</f>
        <v>10.5962787979473</v>
      </c>
      <c r="G18841" s="6" t="n">
        <f aca="false">IF(internal_ai_reading=2,1,0)*Sens!G18840</f>
        <v>27.844646674932</v>
      </c>
      <c r="H18841" s="6" t="n">
        <f aca="false">IF(internal_ai_reading=2,1,0)*Sens!H18840</f>
        <v>46.566205501382</v>
      </c>
      <c r="I18841" s="6" t="n">
        <f aca="false">IF(internal_ai_reading=2,1,0)*Sens!I18840</f>
        <v>63.2717778126444</v>
      </c>
      <c r="J18841" s="6" t="n">
        <f aca="false">IF(internal_ai_reading=2,1,0)*Sens!J18840</f>
        <v>74.9061222882009</v>
      </c>
      <c r="K18841" s="6" t="n">
        <f aca="false">IF(internal_ai_reading=2,1,0)*Sens!K18840</f>
        <v>81.6395437180232</v>
      </c>
    </row>
    <row r="18842" customFormat="false" ht="17.15" hidden="false" customHeight="false" outlineLevel="0" collapsed="false">
      <c r="A18842" s="0" t="s">
        <v>1011</v>
      </c>
      <c r="B18842" s="0" t="s">
        <v>98</v>
      </c>
      <c r="F18842" s="6" t="n">
        <f aca="false">Sens!F18759+Sens!F18839*Sens!F18819+Sens!F18841-Sens!F18760-Sens!F18771</f>
        <v>10.3853806853618</v>
      </c>
      <c r="G18842" s="6" t="n">
        <f aca="false">Sens!G18759+Sens!G18839*Sens!G18819+Sens!G18841-Sens!G18760-Sens!G18771</f>
        <v>16.4389313105741</v>
      </c>
      <c r="H18842" s="6" t="n">
        <f aca="false">Sens!H18759+Sens!H18839*Sens!H18819+Sens!H18841-Sens!H18760-Sens!H18771</f>
        <v>17.135416308873</v>
      </c>
      <c r="I18842" s="6" t="n">
        <f aca="false">Sens!I18759+Sens!I18839*Sens!I18819+Sens!I18841-Sens!I18760-Sens!I18771</f>
        <v>24.1293804008657</v>
      </c>
      <c r="J18842" s="6" t="n">
        <f aca="false">Sens!J18759+Sens!J18839*Sens!J18819+Sens!J18841-Sens!J18760-Sens!J18771</f>
        <v>28.8545659869181</v>
      </c>
      <c r="K18842" s="6" t="n">
        <f aca="false">Sens!K18759+Sens!K18839*Sens!K18819+Sens!K18841-Sens!K18760-Sens!K18771</f>
        <v>32.13747485251</v>
      </c>
    </row>
    <row r="18843" customFormat="false" ht="17.15" hidden="false" customHeight="false" outlineLevel="0" collapsed="false">
      <c r="A18843" s="0" t="s">
        <v>1012</v>
      </c>
      <c r="B18843" s="0" t="s">
        <v>98</v>
      </c>
      <c r="E18843" s="6" t="n">
        <f aca="false">Sens!E18739*(cxit_open+self_build*tk_cxfac)/1000*ai_net_open</f>
        <v>126.6980382</v>
      </c>
      <c r="F18843" s="6" t="n">
        <f aca="false">Sens!E18843+Sens!F18768-Sens!F18771</f>
        <v>260.572627763768</v>
      </c>
      <c r="G18843" s="6" t="n">
        <f aca="false">Sens!F18843+Sens!G18768-Sens!G18771</f>
        <v>391.782612760517</v>
      </c>
      <c r="H18843" s="6" t="n">
        <f aca="false">Sens!G18843+Sens!H18768-Sens!H18771</f>
        <v>499.488526163584</v>
      </c>
      <c r="I18843" s="6" t="n">
        <f aca="false">Sens!H18843+Sens!I18768-Sens!I18771</f>
        <v>553.872350090646</v>
      </c>
      <c r="J18843" s="6" t="n">
        <f aca="false">Sens!I18843+Sens!J18768-Sens!J18771</f>
        <v>550.78660823699</v>
      </c>
      <c r="K18843" s="6" t="n">
        <f aca="false">Sens!J18843+Sens!K18768-Sens!K18771</f>
        <v>526.736791750789</v>
      </c>
      <c r="L18843" s="1" t="s">
        <v>1013</v>
      </c>
    </row>
    <row r="18844" customFormat="false" ht="17.15" hidden="false" customHeight="false" outlineLevel="0" collapsed="false">
      <c r="A18844" s="0" t="s">
        <v>1014</v>
      </c>
      <c r="B18844" s="0" t="s">
        <v>168</v>
      </c>
      <c r="F18844" s="7" t="n">
        <f aca="false">Sens!F18842*(1-tax_f)/((Sens!E18843+Sens!F18843)/2)</f>
        <v>0.0429069654816909</v>
      </c>
      <c r="G18844" s="7" t="n">
        <f aca="false">Sens!G18842*(1-tax_f)/((Sens!F18843+Sens!G18843)/2)</f>
        <v>0.0403189680453549</v>
      </c>
      <c r="H18844" s="7" t="n">
        <f aca="false">Sens!H18842*(1-tax_f)/((Sens!G18843+Sens!H18843)/2)</f>
        <v>0.0307613080877867</v>
      </c>
      <c r="I18844" s="7" t="n">
        <f aca="false">Sens!I18842*(1-tax_f)/((Sens!H18843+Sens!I18843)/2)</f>
        <v>0.0366512650238846</v>
      </c>
      <c r="J18844" s="7" t="n">
        <f aca="false">Sens!J18842*(1-tax_f)/((Sens!I18843+Sens!J18843)/2)</f>
        <v>0.0417932659044041</v>
      </c>
      <c r="K18844" s="7" t="n">
        <f aca="false">Sens!K18842*(1-tax_f)/((Sens!J18843+Sens!K18843)/2)</f>
        <v>0.0477205040415821</v>
      </c>
    </row>
    <row r="18845" customFormat="false" ht="17.15" hidden="false" customHeight="false" outlineLevel="0" collapsed="false">
      <c r="A18845" s="1" t="s">
        <v>1015</v>
      </c>
      <c r="B18845" s="0" t="s">
        <v>168</v>
      </c>
      <c r="F18845" s="7" t="n">
        <f aca="false">(Sens!F18842-Sens!F18841)*(1-tax_f)/((Sens!E18843+Sens!F18843)/2)</f>
        <v>-0.000871320783610466</v>
      </c>
      <c r="G18845" s="7" t="n">
        <f aca="false">(Sens!G18842-Sens!G18841)*(1-tax_f)/((Sens!F18843+Sens!G18843)/2)</f>
        <v>-0.0279742438618356</v>
      </c>
      <c r="H18845" s="7" t="n">
        <f aca="false">(Sens!H18842-Sens!H18841)*(1-tax_f)/((Sens!G18843+Sens!H18843)/2)</f>
        <v>-0.0528338242443913</v>
      </c>
      <c r="I18845" s="7" t="n">
        <f aca="false">(Sens!I18842-Sens!I18841)*(1-tax_f)/((Sens!H18843+Sens!I18843)/2)</f>
        <v>-0.059455251538819</v>
      </c>
      <c r="J18845" s="7" t="n">
        <f aca="false">(Sens!J18842-Sens!J18841)*(1-tax_f)/((Sens!I18843+Sens!J18843)/2)</f>
        <v>-0.0667015729394002</v>
      </c>
      <c r="K18845" s="7" t="n">
        <f aca="false">(Sens!K18842-Sens!K18841)*(1-tax_f)/((Sens!J18843+Sens!K18843)/2)</f>
        <v>-0.0735049560740113</v>
      </c>
    </row>
    <row r="18846" customFormat="false" ht="17.15" hidden="false" customHeight="false" outlineLevel="0" collapsed="false">
      <c r="A18846" s="1" t="s">
        <v>1016</v>
      </c>
      <c r="B18846" s="0" t="s">
        <v>168</v>
      </c>
      <c r="F18846" s="7" t="n">
        <f aca="false">(Sens!F18842-Sens!F18841+Sens!F18840)*(1-tax_f)/((Sens!E18843+Sens!F18843)/2)</f>
        <v>0.0429069654816909</v>
      </c>
      <c r="G18846" s="7" t="n">
        <f aca="false">(Sens!G18842-Sens!G18841+Sens!G18840)*(1-tax_f)/((Sens!F18843+Sens!G18843)/2)</f>
        <v>0.0403189680453549</v>
      </c>
      <c r="H18846" s="7" t="n">
        <f aca="false">(Sens!H18842-Sens!H18841+Sens!H18840)*(1-tax_f)/((Sens!G18843+Sens!H18843)/2)</f>
        <v>0.0307613080877867</v>
      </c>
      <c r="I18846" s="7" t="n">
        <f aca="false">(Sens!I18842-Sens!I18841+Sens!I18840)*(1-tax_f)/((Sens!H18843+Sens!I18843)/2)</f>
        <v>0.0366512650238846</v>
      </c>
      <c r="J18846" s="7" t="n">
        <f aca="false">(Sens!J18842-Sens!J18841+Sens!J18840)*(1-tax_f)/((Sens!I18843+Sens!J18843)/2)</f>
        <v>0.0417932659044041</v>
      </c>
      <c r="K18846" s="7" t="n">
        <f aca="false">(Sens!K18842-Sens!K18841+Sens!K18840)*(1-tax_f)/((Sens!J18843+Sens!K18843)/2)</f>
        <v>0.0477205040415821</v>
      </c>
    </row>
    <row r="18847" customFormat="false" ht="17.15" hidden="false" customHeight="false" outlineLevel="0" collapsed="false">
      <c r="A18847" s="1" t="s">
        <v>1017</v>
      </c>
      <c r="B18847" s="0" t="s">
        <v>168</v>
      </c>
      <c r="F18847" s="7" t="n">
        <f aca="false">Sens!F18772*(1-tax_f)/(Sens!F18758*(Sens!E18843+Sens!F18843)/2)</f>
        <v>0.098791430090569</v>
      </c>
      <c r="G18847" s="7" t="n">
        <f aca="false">Sens!G18772*(1-tax_f)/(Sens!G18758*(Sens!F18843+Sens!G18843)/2)</f>
        <v>0.0675308856427828</v>
      </c>
      <c r="H18847" s="7" t="n">
        <f aca="false">Sens!H18772*(1-tax_f)/(Sens!H18758*(Sens!G18843+Sens!H18843)/2)</f>
        <v>0.0388374979528754</v>
      </c>
      <c r="I18847" s="7" t="n">
        <f aca="false">Sens!I18772*(1-tax_f)/(Sens!I18758*(Sens!H18843+Sens!I18843)/2)</f>
        <v>0.0411035671771815</v>
      </c>
      <c r="J18847" s="7" t="n">
        <f aca="false">Sens!J18772*(1-tax_f)/(Sens!J18758*(Sens!I18843+Sens!J18843)/2)</f>
        <v>0.0445222722541192</v>
      </c>
      <c r="K18847" s="7" t="n">
        <f aca="false">Sens!K18772*(1-tax_f)/(Sens!K18758*(Sens!J18843+Sens!K18843)/2)</f>
        <v>0.0498866361688162</v>
      </c>
    </row>
    <row r="18848" customFormat="false" ht="17.15" hidden="false" customHeight="false" outlineLevel="0" collapsed="false">
      <c r="A18848" s="0" t="s">
        <v>1018</v>
      </c>
      <c r="B18848" s="0" t="s">
        <v>253</v>
      </c>
      <c r="F18848" s="7" t="n">
        <f aca="false">Sens!F18844-wacc</f>
        <v>-0.0600296254639064</v>
      </c>
      <c r="G18848" s="7" t="n">
        <f aca="false">Sens!G18844-wacc</f>
        <v>-0.0626176229002424</v>
      </c>
      <c r="H18848" s="7" t="n">
        <f aca="false">Sens!H18844-wacc</f>
        <v>-0.0721752828578106</v>
      </c>
      <c r="I18848" s="7" t="n">
        <f aca="false">Sens!I18844-wacc</f>
        <v>-0.0662853259217127</v>
      </c>
      <c r="J18848" s="7" t="n">
        <f aca="false">Sens!J18844-wacc</f>
        <v>-0.0611433250411932</v>
      </c>
      <c r="K18848" s="7" t="n">
        <f aca="false">Sens!K18844-wacc</f>
        <v>-0.0552160869040152</v>
      </c>
    </row>
    <row r="18849" customFormat="false" ht="17.15" hidden="false" customHeight="false" outlineLevel="0" collapsed="false">
      <c r="A18849" s="0" t="s">
        <v>1019</v>
      </c>
      <c r="B18849" s="0" t="s">
        <v>98</v>
      </c>
      <c r="F18849" s="6" t="n">
        <f aca="false">Sens!F18842*(1-tax_f)-wacc*(Sens!E18843+Sens!F18843)/2</f>
        <v>-11.6238565154813</v>
      </c>
      <c r="G18849" s="6" t="n">
        <f aca="false">Sens!G18842*(1-tax_f)-wacc*(Sens!F18843+Sens!G18843)/2</f>
        <v>-20.4244672240733</v>
      </c>
      <c r="H18849" s="6" t="n">
        <f aca="false">Sens!H18842*(1-tax_f)-wacc*(Sens!G18843+Sens!H18843)/2</f>
        <v>-32.163873277425</v>
      </c>
      <c r="I18849" s="6" t="n">
        <f aca="false">Sens!I18842*(1-tax_f)-wacc*(Sens!H18843+Sens!I18843)/2</f>
        <v>-34.9111844978462</v>
      </c>
      <c r="J18849" s="6" t="n">
        <f aca="false">Sens!J18842*(1-tax_f)-wacc*(Sens!I18843+Sens!J18843)/2</f>
        <v>-33.7712608743463</v>
      </c>
      <c r="K18849" s="6" t="n">
        <f aca="false">Sens!K18842*(1-tax_f)-wacc*(Sens!J18843+Sens!K18843)/2</f>
        <v>-29.7483128474176</v>
      </c>
    </row>
    <row r="18850" customFormat="false" ht="17.15" hidden="false" customHeight="false" outlineLevel="0" collapsed="false">
      <c r="A18850" s="3" t="s">
        <v>2077</v>
      </c>
    </row>
    <row r="18851" customFormat="false" ht="15" hidden="false" customHeight="false" outlineLevel="0" collapsed="false">
      <c r="A18851" s="4" t="s">
        <v>43</v>
      </c>
      <c r="B18851" s="4" t="s">
        <v>65</v>
      </c>
      <c r="C18851" s="23" t="s">
        <v>942</v>
      </c>
      <c r="D18851" s="23" t="s">
        <v>943</v>
      </c>
      <c r="E18851" s="23" t="s">
        <v>944</v>
      </c>
      <c r="F18851" s="23" t="s">
        <v>945</v>
      </c>
      <c r="G18851" s="23" t="s">
        <v>946</v>
      </c>
      <c r="H18851" s="23" t="s">
        <v>947</v>
      </c>
      <c r="I18851" s="23" t="s">
        <v>948</v>
      </c>
      <c r="J18851" s="23" t="s">
        <v>949</v>
      </c>
      <c r="K18851" s="23" t="s">
        <v>950</v>
      </c>
      <c r="L18851" s="4" t="s">
        <v>47</v>
      </c>
    </row>
    <row r="18852" customFormat="false" ht="15" hidden="false" customHeight="false" outlineLevel="0" collapsed="false">
      <c r="A18852" s="1" t="s">
        <v>1080</v>
      </c>
      <c r="B18852" s="0" t="s">
        <v>98</v>
      </c>
      <c r="F18852" s="6" t="n">
        <f aca="false">Sens!F18833</f>
        <v>140.499118534018</v>
      </c>
      <c r="G18852" s="6" t="n">
        <f aca="false">Sens!G18833</f>
        <v>142.757710328056</v>
      </c>
      <c r="H18852" s="6" t="n">
        <f aca="false">Sens!H18833</f>
        <v>144.501759330691</v>
      </c>
      <c r="I18852" s="6" t="n">
        <f aca="false">Sens!I18833</f>
        <v>152.588292691818</v>
      </c>
      <c r="J18852" s="6" t="n">
        <f aca="false">Sens!J18833</f>
        <v>161.982445802256</v>
      </c>
      <c r="K18852" s="6" t="n">
        <f aca="false">Sens!K18833</f>
        <v>172.5647499219</v>
      </c>
    </row>
    <row r="18853" customFormat="false" ht="17.15" hidden="false" customHeight="false" outlineLevel="0" collapsed="false">
      <c r="A18853" s="1" t="s">
        <v>1102</v>
      </c>
      <c r="B18853" s="0" t="s">
        <v>98</v>
      </c>
      <c r="E18853" s="6" t="n">
        <f aca="false">Q!M38-Sens!E18771</f>
        <v>22.2285940229167</v>
      </c>
      <c r="F18853" s="6" t="n">
        <f aca="false">Sens!E18853*(1-1/life_nonai)+(Sens!F18861+Sens!F18862)/life_nonai</f>
        <v>23.580344216413</v>
      </c>
      <c r="G18853" s="6" t="n">
        <f aca="false">Sens!F18853*(1-1/life_nonai)+(Sens!G18861)/life_nonai</f>
        <v>25.3275637379585</v>
      </c>
      <c r="H18853" s="6" t="n">
        <f aca="false">Sens!G18853*(1-1/life_nonai)+(Sens!H18861)/life_nonai</f>
        <v>27.4441608270363</v>
      </c>
      <c r="I18853" s="6" t="n">
        <f aca="false">Sens!H18853*(1-1/life_nonai)+(Sens!I18861)/life_nonai</f>
        <v>29.8731659168448</v>
      </c>
      <c r="J18853" s="6" t="n">
        <f aca="false">Sens!I18853*(1-1/life_nonai)+(Sens!J18861)/life_nonai</f>
        <v>32.5395568365191</v>
      </c>
      <c r="K18853" s="6" t="n">
        <f aca="false">Sens!J18853*(1-1/life_nonai)+(Sens!K18861)/life_nonai</f>
        <v>35.3587761573279</v>
      </c>
      <c r="L18853" s="12" t="s">
        <v>1103</v>
      </c>
    </row>
    <row r="18854" customFormat="false" ht="17.15" hidden="false" customHeight="false" outlineLevel="0" collapsed="false">
      <c r="A18854" s="1" t="s">
        <v>1104</v>
      </c>
      <c r="B18854" s="0" t="s">
        <v>98</v>
      </c>
      <c r="F18854" s="6" t="n">
        <f aca="false">Sens!$F$18862/life_nonai*(1-1/life_nonai)^(Sens!F18734-2027)</f>
        <v>0.0048791704330057</v>
      </c>
      <c r="G18854" s="6" t="n">
        <f aca="false">Sens!$F$18862/life_nonai*(1-1/life_nonai)^(Sens!G18734-2027)</f>
        <v>0.00439125338970513</v>
      </c>
      <c r="H18854" s="6" t="n">
        <f aca="false">Sens!$F$18862/life_nonai*(1-1/life_nonai)^(Sens!H18734-2027)</f>
        <v>0.00395212805073462</v>
      </c>
      <c r="I18854" s="6" t="n">
        <f aca="false">Sens!$F$18862/life_nonai*(1-1/life_nonai)^(Sens!I18734-2027)</f>
        <v>0.00355691524566115</v>
      </c>
      <c r="J18854" s="6" t="n">
        <f aca="false">Sens!$F$18862/life_nonai*(1-1/life_nonai)^(Sens!J18734-2027)</f>
        <v>0.00320122372109504</v>
      </c>
      <c r="K18854" s="6" t="n">
        <f aca="false">Sens!$F$18862/life_nonai*(1-1/life_nonai)^(Sens!K18734-2027)</f>
        <v>0.00288110134898553</v>
      </c>
      <c r="L18854" s="1" t="s">
        <v>1105</v>
      </c>
    </row>
    <row r="18855" customFormat="false" ht="17.15" hidden="false" customHeight="false" outlineLevel="0" collapsed="false">
      <c r="A18855" s="1" t="s">
        <v>1106</v>
      </c>
      <c r="B18855" s="0" t="s">
        <v>98</v>
      </c>
      <c r="E18855" s="6" t="n">
        <f aca="false">Sens!E18771+Sens!E18853</f>
        <v>38.534</v>
      </c>
      <c r="F18855" s="6" t="n">
        <f aca="false">Sens!F18771+Sens!F18853</f>
        <v>58.1596586947647</v>
      </c>
      <c r="G18855" s="6" t="n">
        <f aca="false">Sens!G18771+Sens!G18853</f>
        <v>86.0620543902575</v>
      </c>
      <c r="H18855" s="6" t="n">
        <f aca="false">Sens!H18771+Sens!H18853</f>
        <v>116.544251488482</v>
      </c>
      <c r="I18855" s="6" t="n">
        <f aca="false">Sens!I18771+Sens!I18853</f>
        <v>144.104175611393</v>
      </c>
      <c r="J18855" s="6" t="n">
        <f aca="false">Sens!J18771+Sens!J18853</f>
        <v>164.555229886115</v>
      </c>
      <c r="K18855" s="6" t="n">
        <f aca="false">Sens!K18771+Sens!K18853</f>
        <v>178.371445708262</v>
      </c>
    </row>
    <row r="18856" customFormat="false" ht="17.15" hidden="false" customHeight="false" outlineLevel="0" collapsed="false">
      <c r="A18856" s="1" t="s">
        <v>1107</v>
      </c>
      <c r="B18856" s="0" t="s">
        <v>98</v>
      </c>
      <c r="F18856" s="6" t="n">
        <f aca="false">Sens!F18798*sbc_r</f>
        <v>14.5850391439873</v>
      </c>
      <c r="G18856" s="6" t="n">
        <f aca="false">Sens!G18798*sbc_r</f>
        <v>16.9959803807282</v>
      </c>
      <c r="H18856" s="6" t="n">
        <f aca="false">Sens!H18798*sbc_r</f>
        <v>19.250568438473</v>
      </c>
      <c r="I18856" s="6" t="n">
        <f aca="false">Sens!I18798*sbc_r</f>
        <v>21.6034318228893</v>
      </c>
      <c r="J18856" s="6" t="n">
        <f aca="false">Sens!J18798*sbc_r</f>
        <v>23.578138707283</v>
      </c>
      <c r="K18856" s="6" t="n">
        <f aca="false">Sens!K18798*sbc_r</f>
        <v>25.1883220532639</v>
      </c>
    </row>
    <row r="18857" customFormat="false" ht="17.15" hidden="false" customHeight="false" outlineLevel="0" collapsed="false">
      <c r="A18857" s="1" t="s">
        <v>1108</v>
      </c>
      <c r="B18857" s="0" t="s">
        <v>98</v>
      </c>
      <c r="F18857" s="6" t="n">
        <f aca="false">wc27-wc26q1</f>
        <v>-4.677</v>
      </c>
      <c r="G18857" s="6" t="n">
        <f aca="false">wc_f</f>
        <v>0</v>
      </c>
      <c r="H18857" s="6" t="n">
        <f aca="false">wc_f</f>
        <v>0</v>
      </c>
      <c r="I18857" s="6" t="n">
        <f aca="false">wc_f</f>
        <v>0</v>
      </c>
      <c r="J18857" s="6" t="n">
        <f aca="false">wc_f</f>
        <v>0</v>
      </c>
      <c r="K18857" s="6" t="n">
        <f aca="false">wc_f</f>
        <v>0</v>
      </c>
      <c r="L18857" s="12" t="s">
        <v>1109</v>
      </c>
    </row>
    <row r="18858" customFormat="false" ht="17.15" hidden="false" customHeight="false" outlineLevel="0" collapsed="false">
      <c r="A18858" s="0" t="s">
        <v>1110</v>
      </c>
      <c r="B18858" s="0" t="s">
        <v>98</v>
      </c>
      <c r="F18858" s="6" t="n">
        <f aca="false">Q!$I$35-Q!$I$26-Q!$I$38-Q!$I$39</f>
        <v>6.493</v>
      </c>
      <c r="L18858" s="1" t="s">
        <v>1111</v>
      </c>
    </row>
    <row r="18859" customFormat="false" ht="15" hidden="false" customHeight="false" outlineLevel="0" collapsed="false">
      <c r="A18859" s="1" t="s">
        <v>908</v>
      </c>
      <c r="B18859" s="0" t="s">
        <v>98</v>
      </c>
      <c r="E18859" s="6" t="n">
        <f aca="false">Q!M35</f>
        <v>182.935</v>
      </c>
      <c r="F18859" s="6" t="n">
        <f aca="false">Sens!F18852+Sens!F18855+Sens!F18856+Sens!F18857+Sens!F18858</f>
        <v>215.05981637277</v>
      </c>
      <c r="G18859" s="6" t="n">
        <f aca="false">Sens!G18852+Sens!G18855+Sens!G18856+Sens!G18857</f>
        <v>245.815745099041</v>
      </c>
      <c r="H18859" s="6" t="n">
        <f aca="false">Sens!H18852+Sens!H18855+Sens!H18856+Sens!H18857</f>
        <v>280.296579257646</v>
      </c>
      <c r="I18859" s="6" t="n">
        <f aca="false">Sens!I18852+Sens!I18855+Sens!I18856+Sens!I18857</f>
        <v>318.2959001261</v>
      </c>
      <c r="J18859" s="6" t="n">
        <f aca="false">Sens!J18852+Sens!J18855+Sens!J18856+Sens!J18857</f>
        <v>350.115814395654</v>
      </c>
      <c r="K18859" s="6" t="n">
        <f aca="false">Sens!K18852+Sens!K18855+Sens!K18856+Sens!K18857</f>
        <v>376.124517683426</v>
      </c>
    </row>
    <row r="18860" customFormat="false" ht="17.15" hidden="false" customHeight="false" outlineLevel="0" collapsed="false">
      <c r="A18860" s="0" t="s">
        <v>1112</v>
      </c>
      <c r="B18860" s="0" t="s">
        <v>98</v>
      </c>
      <c r="F18860" s="6" t="n">
        <f aca="false">Sens!F18768</f>
        <v>168.45390404212</v>
      </c>
      <c r="G18860" s="6" t="n">
        <f aca="false">Sens!G18768</f>
        <v>191.944475649048</v>
      </c>
      <c r="H18860" s="6" t="n">
        <f aca="false">Sens!H18768</f>
        <v>196.806004064512</v>
      </c>
      <c r="I18860" s="6" t="n">
        <f aca="false">Sens!I18768</f>
        <v>168.61483362161</v>
      </c>
      <c r="J18860" s="6" t="n">
        <f aca="false">Sens!J18768</f>
        <v>128.92993119594</v>
      </c>
      <c r="K18860" s="6" t="n">
        <f aca="false">Sens!K18768</f>
        <v>118.962853064733</v>
      </c>
    </row>
    <row r="18861" customFormat="false" ht="17.15" hidden="false" customHeight="false" outlineLevel="0" collapsed="false">
      <c r="A18861" s="1" t="s">
        <v>1113</v>
      </c>
      <c r="B18861" s="0" t="s">
        <v>98</v>
      </c>
      <c r="E18861" s="6" t="n">
        <f aca="false">Sens!E18776*cx_azo+Sens!E18783*cx_m365+Sens!E18784*cx_lic+(Sens!E18786+Sens!E18788)*cx_ind+Sens!E18791*cx_srch+(Sens!E18793+Sens!E18795)*cx_dev</f>
        <v>30.1846587067718</v>
      </c>
      <c r="F18861" s="6" t="n">
        <f aca="false">Sens!F18776*cx_azo+Sens!F18783*cx_m365+Sens!F18784*cx_lic+(Sens!F18786+Sens!F18788)*cx_ind+Sens!F18791*cx_srch+(Sens!F18793+Sens!F18795)*cx_dev</f>
        <v>35.6973042535503</v>
      </c>
      <c r="G18861" s="6" t="n">
        <f aca="false">Sens!G18776*cx_azo+Sens!G18783*cx_m365+Sens!G18784*cx_lic+(Sens!G18786+Sens!G18788)*cx_ind+Sens!G18791*cx_srch+(Sens!G18793+Sens!G18795)*cx_dev</f>
        <v>41.052539431868</v>
      </c>
      <c r="H18861" s="6" t="n">
        <f aca="false">Sens!H18776*cx_azo+Sens!H18783*cx_m365+Sens!H18784*cx_lic+(Sens!H18786+Sens!H18788)*cx_ind+Sens!H18791*cx_srch+(Sens!H18793+Sens!H18795)*cx_dev</f>
        <v>46.493534628736</v>
      </c>
      <c r="I18861" s="6" t="n">
        <f aca="false">Sens!I18776*cx_azo+Sens!I18783*cx_m365+Sens!I18784*cx_lic+(Sens!I18786+Sens!I18788)*cx_ind+Sens!I18791*cx_srch+(Sens!I18793+Sens!I18795)*cx_dev</f>
        <v>51.7342117251217</v>
      </c>
      <c r="J18861" s="6" t="n">
        <f aca="false">Sens!J18776*cx_azo+Sens!J18783*cx_m365+Sens!J18784*cx_lic+(Sens!J18786+Sens!J18788)*cx_ind+Sens!J18791*cx_srch+(Sens!J18793+Sens!J18795)*cx_dev</f>
        <v>56.5370751135871</v>
      </c>
      <c r="K18861" s="6" t="n">
        <f aca="false">Sens!K18776*cx_azo+Sens!K18783*cx_m365+Sens!K18784*cx_lic+(Sens!K18786+Sens!K18788)*cx_ind+Sens!K18791*cx_srch+(Sens!K18793+Sens!K18795)*cx_dev</f>
        <v>60.7317500446079</v>
      </c>
    </row>
    <row r="18862" customFormat="false" ht="17.15" hidden="false" customHeight="false" outlineLevel="0" collapsed="false">
      <c r="A18862" s="0" t="s">
        <v>1114</v>
      </c>
      <c r="B18862" s="0" t="s">
        <v>98</v>
      </c>
      <c r="F18862" s="6" t="n">
        <f aca="false">Sens!F18766</f>
        <v>0.048791704330057</v>
      </c>
      <c r="L18862" s="1" t="s">
        <v>1115</v>
      </c>
    </row>
    <row r="18863" customFormat="false" ht="17.15" hidden="false" customHeight="false" outlineLevel="0" collapsed="false">
      <c r="A18863" s="1" t="s">
        <v>1116</v>
      </c>
      <c r="B18863" s="0" t="s">
        <v>98</v>
      </c>
      <c r="E18863" s="6" t="n">
        <f aca="false">Q!M43</f>
        <v>145.3</v>
      </c>
      <c r="F18863" s="6" t="n">
        <f aca="false">Sens!F18860+Sens!F18861+Sens!F18862</f>
        <v>204.2</v>
      </c>
      <c r="G18863" s="6" t="n">
        <f aca="false">Sens!G18860+Sens!G18861</f>
        <v>232.997015080916</v>
      </c>
      <c r="H18863" s="6" t="n">
        <f aca="false">Sens!H18860+Sens!H18861</f>
        <v>243.299538693248</v>
      </c>
      <c r="I18863" s="6" t="n">
        <f aca="false">Sens!I18860+Sens!I18861</f>
        <v>220.349045346732</v>
      </c>
      <c r="J18863" s="6" t="n">
        <f aca="false">Sens!J18860+Sens!J18861</f>
        <v>185.467006309527</v>
      </c>
      <c r="K18863" s="6" t="n">
        <f aca="false">Sens!K18860+Sens!K18861</f>
        <v>179.694603109341</v>
      </c>
      <c r="L18863" s="1" t="s">
        <v>1117</v>
      </c>
    </row>
    <row r="18864" customFormat="false" ht="15" hidden="false" customHeight="false" outlineLevel="0" collapsed="false">
      <c r="A18864" s="1" t="s">
        <v>1118</v>
      </c>
      <c r="B18864" s="0" t="s">
        <v>98</v>
      </c>
      <c r="E18864" s="6" t="n">
        <f aca="false">fl_liab</f>
        <v>66.594</v>
      </c>
      <c r="F18864" s="6" t="n">
        <f aca="false">Sens!E18864-Sens!F18865</f>
        <v>62.46973</v>
      </c>
      <c r="G18864" s="6" t="n">
        <f aca="false">Sens!F18864-Sens!G18865</f>
        <v>57.98686785</v>
      </c>
      <c r="H18864" s="6" t="n">
        <f aca="false">Sens!G18864-Sens!H18865</f>
        <v>53.92827690325</v>
      </c>
      <c r="I18864" s="6" t="n">
        <f aca="false">Sens!H18864-Sens!I18865</f>
        <v>49.7850493638962</v>
      </c>
      <c r="J18864" s="6" t="n">
        <f aca="false">Sens!I18864-Sens!J18865</f>
        <v>45.4823765852716</v>
      </c>
      <c r="K18864" s="6" t="n">
        <f aca="false">Sens!J18864-Sens!K18865</f>
        <v>40.9860835316088</v>
      </c>
    </row>
    <row r="18865" customFormat="false" ht="15" hidden="false" customHeight="false" outlineLevel="0" collapsed="false">
      <c r="A18865" s="1" t="s">
        <v>1119</v>
      </c>
      <c r="B18865" s="0" t="s">
        <v>98</v>
      </c>
      <c r="F18865" s="6" t="n">
        <f aca="false">fl_pay_27-Sens!E18864*fl_rate</f>
        <v>4.12427</v>
      </c>
      <c r="G18865" s="6" t="n">
        <f aca="false">fl_pay_28-Sens!F18864*fl_rate</f>
        <v>4.48286215</v>
      </c>
      <c r="H18865" s="6" t="n">
        <f aca="false">fl_pay_29-Sens!G18864*fl_rate</f>
        <v>4.05859094675</v>
      </c>
      <c r="I18865" s="6" t="n">
        <f aca="false">fl_pay_30-Sens!H18864*fl_rate</f>
        <v>4.14322753935375</v>
      </c>
      <c r="J18865" s="6" t="n">
        <f aca="false">fl_pay_31-Sens!I18864*fl_rate</f>
        <v>4.30267277862467</v>
      </c>
      <c r="K18865" s="6" t="n">
        <f aca="false">fl_pay_32-Sens!J18864*fl_rate</f>
        <v>4.49629305366278</v>
      </c>
    </row>
    <row r="18866" customFormat="false" ht="17.15" hidden="false" customHeight="false" outlineLevel="0" collapsed="false">
      <c r="A18866" s="1" t="s">
        <v>1120</v>
      </c>
      <c r="B18866" s="0" t="s">
        <v>98</v>
      </c>
      <c r="E18866" s="6" t="n">
        <f aca="false">Q!M35-Q!M36-Q!M44</f>
        <v>63.886</v>
      </c>
      <c r="F18866" s="6" t="n">
        <f aca="false">Sens!F18859-Sens!F18863-Sens!F18865</f>
        <v>6.73554637276956</v>
      </c>
      <c r="G18866" s="6" t="n">
        <f aca="false">Sens!G18859-Sens!G18863-Sens!G18865</f>
        <v>8.33586786812511</v>
      </c>
      <c r="H18866" s="6" t="n">
        <f aca="false">Sens!H18859-Sens!H18863-Sens!H18865</f>
        <v>32.938449617648</v>
      </c>
      <c r="I18866" s="6" t="n">
        <f aca="false">Sens!I18859-Sens!I18863-Sens!I18865</f>
        <v>93.8036272400145</v>
      </c>
      <c r="J18866" s="6" t="n">
        <f aca="false">Sens!J18859-Sens!J18863-Sens!J18865</f>
        <v>160.346135307502</v>
      </c>
      <c r="K18866" s="6" t="n">
        <f aca="false">Sens!K18859-Sens!K18863-Sens!K18865</f>
        <v>191.933621520422</v>
      </c>
      <c r="L18866" s="12" t="s">
        <v>1121</v>
      </c>
    </row>
    <row r="18867" customFormat="false" ht="15" hidden="false" customHeight="false" outlineLevel="0" collapsed="false">
      <c r="A18867" s="1" t="s">
        <v>1122</v>
      </c>
      <c r="B18867" s="0" t="s">
        <v>75</v>
      </c>
      <c r="F18867" s="8" t="n">
        <f aca="false">dps_27</f>
        <v>3.85</v>
      </c>
      <c r="G18867" s="8" t="n">
        <f aca="false">Sens!F18867*(1+dps_g)</f>
        <v>4.158</v>
      </c>
      <c r="H18867" s="8" t="n">
        <f aca="false">Sens!G18867*(1+dps_g)</f>
        <v>4.49064</v>
      </c>
      <c r="I18867" s="8" t="n">
        <f aca="false">Sens!H18867*(1+dps_g)</f>
        <v>4.8498912</v>
      </c>
      <c r="J18867" s="8" t="n">
        <f aca="false">Sens!I18867*(1+dps_g)</f>
        <v>5.237882496</v>
      </c>
      <c r="K18867" s="8" t="n">
        <f aca="false">Sens!J18867*(1+dps_g)</f>
        <v>5.65691309568</v>
      </c>
    </row>
    <row r="18868" customFormat="false" ht="17.15" hidden="false" customHeight="false" outlineLevel="0" collapsed="false">
      <c r="A18868" s="1" t="s">
        <v>1123</v>
      </c>
      <c r="B18868" s="0" t="s">
        <v>98</v>
      </c>
      <c r="E18868" s="6" t="n">
        <f aca="false">Q!M41</f>
        <v>26.445</v>
      </c>
      <c r="F18868" s="6" t="n">
        <f aca="false">Sens!F18867*Sens!E18877</f>
        <v>28.59395</v>
      </c>
      <c r="G18868" s="6" t="n">
        <f aca="false">Sens!G18867*Sens!F18877</f>
        <v>31.068576</v>
      </c>
      <c r="H18868" s="6" t="n">
        <f aca="false">Sens!H18867*Sens!G18877</f>
        <v>33.75614088</v>
      </c>
      <c r="I18868" s="6" t="n">
        <f aca="false">Sens!I18867*Sens!H18877</f>
        <v>36.6748772544</v>
      </c>
      <c r="J18868" s="6" t="n">
        <f aca="false">Sens!J18867*Sens!I18877</f>
        <v>39.6767653201446</v>
      </c>
      <c r="K18868" s="6" t="n">
        <f aca="false">Sens!K18867*Sens!J18877</f>
        <v>42.9376608081345</v>
      </c>
      <c r="L18868" s="1" t="s">
        <v>1124</v>
      </c>
    </row>
    <row r="18869" customFormat="false" ht="15" hidden="false" customHeight="false" outlineLevel="0" collapsed="false">
      <c r="A18869" s="1" t="s">
        <v>1125</v>
      </c>
      <c r="B18869" s="0" t="s">
        <v>98</v>
      </c>
      <c r="E18869" s="6" t="n">
        <f aca="false">Sens!E18866-Sens!E18868</f>
        <v>37.441</v>
      </c>
      <c r="F18869" s="6" t="n">
        <f aca="false">Sens!F18866-Sens!F18868</f>
        <v>-21.8584036272304</v>
      </c>
      <c r="G18869" s="6" t="n">
        <f aca="false">Sens!G18866-Sens!G18868</f>
        <v>-22.7327081318749</v>
      </c>
      <c r="H18869" s="6" t="n">
        <f aca="false">Sens!H18866-Sens!H18868</f>
        <v>-0.817691262352014</v>
      </c>
      <c r="I18869" s="6" t="n">
        <f aca="false">Sens!I18866-Sens!I18868</f>
        <v>57.1287499856145</v>
      </c>
      <c r="J18869" s="6" t="n">
        <f aca="false">Sens!J18866-Sens!J18868</f>
        <v>120.669369987358</v>
      </c>
      <c r="K18869" s="6" t="n">
        <f aca="false">Sens!K18866-Sens!K18868</f>
        <v>148.995960712288</v>
      </c>
    </row>
    <row r="18870" customFormat="false" ht="15" hidden="false" customHeight="false" outlineLevel="0" collapsed="false">
      <c r="A18870" s="1" t="s">
        <v>1126</v>
      </c>
      <c r="B18870" s="0" t="s">
        <v>98</v>
      </c>
      <c r="F18870" s="6" t="n">
        <f aca="false">debt_mat_27</f>
        <v>9.25</v>
      </c>
      <c r="G18870" s="6" t="n">
        <f aca="false">debt_mat_28</f>
        <v>0</v>
      </c>
      <c r="H18870" s="6" t="n">
        <f aca="false">debt_mat_29</f>
        <v>2.001</v>
      </c>
      <c r="I18870" s="6" t="n">
        <f aca="false">debt_mat_30</f>
        <v>0</v>
      </c>
      <c r="J18870" s="6" t="n">
        <f aca="false">debt_mat_31</f>
        <v>0.5</v>
      </c>
      <c r="K18870" s="6" t="n">
        <f aca="false">debt_mat_32</f>
        <v>0</v>
      </c>
    </row>
    <row r="18871" customFormat="false" ht="15" hidden="false" customHeight="false" outlineLevel="0" collapsed="false">
      <c r="A18871" s="1" t="s">
        <v>1127</v>
      </c>
      <c r="B18871" s="0" t="s">
        <v>98</v>
      </c>
      <c r="E18871" s="6" t="n">
        <f aca="false">Q!M40</f>
        <v>22.271</v>
      </c>
      <c r="F18871" s="6" t="n">
        <f aca="false">MAX(0,MIN(bb_target,Sens!E18873+Sens!F18869-Sens!F18870-min_cash))</f>
        <v>0</v>
      </c>
      <c r="G18871" s="6" t="n">
        <f aca="false">MAX(0,MIN(bb_target,Sens!F18873+Sens!G18869-Sens!G18870-min_cash))</f>
        <v>0</v>
      </c>
      <c r="H18871" s="6" t="n">
        <f aca="false">MAX(0,MIN(bb_target,Sens!G18873+Sens!H18869-Sens!H18870-min_cash))</f>
        <v>0</v>
      </c>
      <c r="I18871" s="6" t="n">
        <f aca="false">MAX(0,MIN(bb_target,Sens!H18873+Sens!I18869-Sens!I18870-min_cash))</f>
        <v>22.271</v>
      </c>
      <c r="J18871" s="6" t="n">
        <f aca="false">MAX(0,MIN(bb_target,Sens!I18873+Sens!J18869-Sens!J18870-min_cash))</f>
        <v>22.271</v>
      </c>
      <c r="K18871" s="6" t="n">
        <f aca="false">MAX(0,MIN(bb_target,Sens!J18873+Sens!K18869-Sens!K18870-min_cash))</f>
        <v>22.271</v>
      </c>
    </row>
    <row r="18872" customFormat="false" ht="15" hidden="false" customHeight="false" outlineLevel="0" collapsed="false">
      <c r="A18872" s="1" t="s">
        <v>1128</v>
      </c>
      <c r="B18872" s="0" t="s">
        <v>98</v>
      </c>
      <c r="F18872" s="6" t="n">
        <f aca="false">MAX(0,min_cash-(Sens!E18873+Sens!F18869-Sens!F18870-Sens!F18871))</f>
        <v>4.26540362723044</v>
      </c>
      <c r="G18872" s="6" t="n">
        <f aca="false">MAX(0,min_cash-(Sens!F18873+Sens!G18869-Sens!G18870-Sens!G18871))</f>
        <v>22.7327081318749</v>
      </c>
      <c r="H18872" s="6" t="n">
        <f aca="false">MAX(0,min_cash-(Sens!G18873+Sens!H18869-Sens!H18870-Sens!H18871))</f>
        <v>2.81869126235201</v>
      </c>
      <c r="I18872" s="6" t="n">
        <f aca="false">MAX(0,min_cash-(Sens!H18873+Sens!I18869-Sens!I18870-Sens!I18871))</f>
        <v>0</v>
      </c>
      <c r="J18872" s="6" t="n">
        <f aca="false">MAX(0,min_cash-(Sens!I18873+Sens!J18869-Sens!J18870-Sens!J18871))</f>
        <v>0</v>
      </c>
      <c r="K18872" s="6" t="n">
        <f aca="false">MAX(0,min_cash-(Sens!J18873+Sens!K18869-Sens!K18870-Sens!K18871))</f>
        <v>0</v>
      </c>
    </row>
    <row r="18873" customFormat="false" ht="15" hidden="false" customHeight="false" outlineLevel="0" collapsed="false">
      <c r="A18873" s="1" t="s">
        <v>1129</v>
      </c>
      <c r="B18873" s="0" t="s">
        <v>98</v>
      </c>
      <c r="E18873" s="6" t="n">
        <f aca="false">cash_open</f>
        <v>76.843</v>
      </c>
      <c r="F18873" s="6" t="n">
        <f aca="false">Sens!E18873+Sens!F18869-Sens!F18870-Sens!F18871+Sens!F18872</f>
        <v>50</v>
      </c>
      <c r="G18873" s="6" t="n">
        <f aca="false">Sens!F18873+Sens!G18869-Sens!G18870-Sens!G18871+Sens!G18872</f>
        <v>50</v>
      </c>
      <c r="H18873" s="6" t="n">
        <f aca="false">Sens!G18873+Sens!H18869-Sens!H18870-Sens!H18871+Sens!H18872</f>
        <v>50</v>
      </c>
      <c r="I18873" s="6" t="n">
        <f aca="false">Sens!H18873+Sens!I18869-Sens!I18870-Sens!I18871+Sens!I18872</f>
        <v>84.8577499856145</v>
      </c>
      <c r="J18873" s="6" t="n">
        <f aca="false">Sens!I18873+Sens!J18869-Sens!J18870-Sens!J18871+Sens!J18872</f>
        <v>182.756119972972</v>
      </c>
      <c r="K18873" s="6" t="n">
        <f aca="false">Sens!J18873+Sens!K18869-Sens!K18870-Sens!K18871+Sens!K18872</f>
        <v>309.48108068526</v>
      </c>
    </row>
    <row r="18874" customFormat="false" ht="15" hidden="false" customHeight="false" outlineLevel="0" collapsed="false">
      <c r="A18874" s="1" t="s">
        <v>1130</v>
      </c>
      <c r="B18874" s="0" t="s">
        <v>98</v>
      </c>
      <c r="E18874" s="6" t="n">
        <f aca="false">debt_face</f>
        <v>46.136</v>
      </c>
      <c r="F18874" s="6" t="n">
        <f aca="false">Sens!E18874-Sens!F18870+Sens!F18872</f>
        <v>41.1514036272304</v>
      </c>
      <c r="G18874" s="6" t="n">
        <f aca="false">Sens!F18874-Sens!G18870+Sens!G18872</f>
        <v>63.8841117591053</v>
      </c>
      <c r="H18874" s="6" t="n">
        <f aca="false">Sens!G18874-Sens!H18870+Sens!H18872</f>
        <v>64.7018030214574</v>
      </c>
      <c r="I18874" s="6" t="n">
        <f aca="false">Sens!H18874-Sens!I18870+Sens!I18872</f>
        <v>64.7018030214574</v>
      </c>
      <c r="J18874" s="6" t="n">
        <f aca="false">Sens!I18874-Sens!J18870+Sens!J18872</f>
        <v>64.2018030214574</v>
      </c>
      <c r="K18874" s="6" t="n">
        <f aca="false">Sens!J18874-Sens!K18870+Sens!K18872</f>
        <v>64.2018030214574</v>
      </c>
    </row>
    <row r="18875" customFormat="false" ht="15" hidden="false" customHeight="false" outlineLevel="0" collapsed="false">
      <c r="A18875" s="1" t="s">
        <v>1131</v>
      </c>
      <c r="B18875" s="0" t="s">
        <v>98</v>
      </c>
      <c r="E18875" s="6" t="n">
        <f aca="false">Sens!E18873-Sens!E18874</f>
        <v>30.707</v>
      </c>
      <c r="F18875" s="6" t="n">
        <f aca="false">Sens!F18873-Sens!F18874</f>
        <v>8.84859637276956</v>
      </c>
      <c r="G18875" s="6" t="n">
        <f aca="false">Sens!G18873-Sens!G18874</f>
        <v>-13.8841117591053</v>
      </c>
      <c r="H18875" s="6" t="n">
        <f aca="false">Sens!H18873-Sens!H18874</f>
        <v>-14.7018030214574</v>
      </c>
      <c r="I18875" s="6" t="n">
        <f aca="false">Sens!I18873-Sens!I18874</f>
        <v>20.1559469641572</v>
      </c>
      <c r="J18875" s="6" t="n">
        <f aca="false">Sens!J18873-Sens!J18874</f>
        <v>118.554316951515</v>
      </c>
      <c r="K18875" s="6" t="n">
        <f aca="false">Sens!K18873-Sens!K18874</f>
        <v>245.279277663803</v>
      </c>
    </row>
    <row r="18876" customFormat="false" ht="15" hidden="false" customHeight="false" outlineLevel="0" collapsed="false">
      <c r="A18876" s="1" t="s">
        <v>1132</v>
      </c>
      <c r="B18876" s="0" t="s">
        <v>75</v>
      </c>
      <c r="F18876" s="30" t="n">
        <f aca="false">px*(1+bb_g)^(Sens!F18734-base_fy-mid_yr)</f>
        <v>551.84177959629</v>
      </c>
      <c r="G18876" s="30" t="n">
        <f aca="false">px*(1+bb_g)^(Sens!G18734-base_fy-mid_yr)</f>
        <v>595.989121963993</v>
      </c>
      <c r="H18876" s="30" t="n">
        <f aca="false">px*(1+bb_g)^(Sens!H18734-base_fy-mid_yr)</f>
        <v>643.668251721112</v>
      </c>
      <c r="I18876" s="30" t="n">
        <f aca="false">px*(1+bb_g)^(Sens!I18734-base_fy-mid_yr)</f>
        <v>695.161711858801</v>
      </c>
      <c r="J18876" s="30" t="n">
        <f aca="false">px*(1+bb_g)^(Sens!J18734-base_fy-mid_yr)</f>
        <v>750.774648807506</v>
      </c>
      <c r="K18876" s="30" t="n">
        <f aca="false">px*(1+bb_g)^(Sens!K18734-base_fy-mid_yr)</f>
        <v>810.836620712106</v>
      </c>
    </row>
    <row r="18877" customFormat="false" ht="15" hidden="false" customHeight="false" outlineLevel="0" collapsed="false">
      <c r="A18877" s="1" t="s">
        <v>1133</v>
      </c>
      <c r="B18877" s="1" t="s">
        <v>81</v>
      </c>
      <c r="E18877" s="15" t="n">
        <f aca="false">sh_out26</f>
        <v>7.427</v>
      </c>
      <c r="F18877" s="15" t="n">
        <f aca="false">Sens!E18877+sh_iss-Sens!F18871/Sens!F18876</f>
        <v>7.472</v>
      </c>
      <c r="G18877" s="15" t="n">
        <f aca="false">Sens!F18877+sh_iss-Sens!G18871/Sens!G18876</f>
        <v>7.517</v>
      </c>
      <c r="H18877" s="15" t="n">
        <f aca="false">Sens!G18877+sh_iss-Sens!H18871/Sens!H18876</f>
        <v>7.562</v>
      </c>
      <c r="I18877" s="15" t="n">
        <f aca="false">Sens!H18877+sh_iss-Sens!I18871/Sens!I18876</f>
        <v>7.57496285005334</v>
      </c>
      <c r="J18877" s="15" t="n">
        <f aca="false">Sens!I18877+sh_iss-Sens!J18871/Sens!J18876</f>
        <v>7.59029882232494</v>
      </c>
      <c r="K18877" s="15" t="n">
        <f aca="false">Sens!J18877+sh_iss-Sens!K18871/Sens!K18876</f>
        <v>7.60783212998384</v>
      </c>
    </row>
    <row r="18878" customFormat="false" ht="15" hidden="false" customHeight="false" outlineLevel="0" collapsed="false">
      <c r="A18878" s="1" t="s">
        <v>1134</v>
      </c>
      <c r="B18878" s="1" t="s">
        <v>81</v>
      </c>
      <c r="E18878" s="15" t="n">
        <f aca="false">sh_dil26</f>
        <v>7.453</v>
      </c>
      <c r="F18878" s="15" t="n">
        <f aca="false">(Sens!E18877+Sens!F18877)/2+dil_gap</f>
        <v>7.4735</v>
      </c>
      <c r="G18878" s="15" t="n">
        <f aca="false">(Sens!F18877+Sens!G18877)/2+dil_gap</f>
        <v>7.5185</v>
      </c>
      <c r="H18878" s="15" t="n">
        <f aca="false">(Sens!G18877+Sens!H18877)/2+dil_gap</f>
        <v>7.5635</v>
      </c>
      <c r="I18878" s="15" t="n">
        <f aca="false">(Sens!H18877+Sens!I18877)/2+dil_gap</f>
        <v>7.59248142502667</v>
      </c>
      <c r="J18878" s="15" t="n">
        <f aca="false">(Sens!I18877+Sens!J18877)/2+dil_gap</f>
        <v>7.60663083618914</v>
      </c>
      <c r="K18878" s="15" t="n">
        <f aca="false">(Sens!J18877+Sens!K18877)/2+dil_gap</f>
        <v>7.62306547615439</v>
      </c>
    </row>
    <row r="18879" customFormat="false" ht="17.15" hidden="false" customHeight="false" outlineLevel="0" collapsed="false">
      <c r="A18879" s="1" t="s">
        <v>1135</v>
      </c>
      <c r="B18879" s="0" t="s">
        <v>98</v>
      </c>
      <c r="C18879" s="6" t="n">
        <f aca="false">SUM(Sens!F18869:J18869)</f>
        <v>132.389316951515</v>
      </c>
    </row>
    <row r="18880" customFormat="false" ht="15" hidden="false" customHeight="false" outlineLevel="0" collapsed="false">
      <c r="A18880" s="26" t="s">
        <v>1100</v>
      </c>
      <c r="B18880" s="31" t="s">
        <v>98</v>
      </c>
      <c r="C18880" s="27" t="n">
        <f aca="false">Sens!$C$18879-(Sens!F18869+Sens!G18869+Sens!H18869+Sens!I18869+Sens!J18869)</f>
        <v>0</v>
      </c>
      <c r="D18880" s="31"/>
      <c r="E18880" s="31"/>
      <c r="F18880" s="31"/>
      <c r="G18880" s="31"/>
      <c r="H18880" s="31"/>
      <c r="I18880" s="31"/>
      <c r="J18880" s="31"/>
      <c r="K18880" s="31"/>
    </row>
    <row r="18881" customFormat="false" ht="17.15" hidden="false" customHeight="false" outlineLevel="0" collapsed="false">
      <c r="A18881" s="1" t="s">
        <v>1094</v>
      </c>
      <c r="B18881" s="1" t="s">
        <v>1136</v>
      </c>
      <c r="C18881" s="33" t="str">
        <f aca="false">IF(SUM(Sens!F18872:J18872)&gt;0.05,"需要舉債 "&amp;TEXT(SUM(Sens!F18872:J18872),"0.0")&amp;" 十億美元","不需舉債")&amp;"；"&amp;IF(SUM(Sens!F18871:J18871)&lt;COUNT(Sens!F18871:J18871)*bb_target-0.05,"回購較每年 "&amp;TEXT(bb_target,"0.0")&amp;" 的目標少 "&amp;TEXT(COUNT(Sens!F18871:J18871)*bb_target-SUM(Sens!F18871:J18871),"0.0")&amp;" 十億美元（"&amp;TEXT(COUNTIF(Sens!F18871:J18871,"&lt;"&amp;(bb_target-0.05)),"0")&amp;" 年減少）","回購不減")</f>
        <v>需要舉債 29.8 十億美元；回購較每年 22.3 的目標少 66.8 十億美元（3 年減少）</v>
      </c>
    </row>
    <row r="18882" customFormat="false" ht="17.15" hidden="false" customHeight="false" outlineLevel="0" collapsed="false">
      <c r="A18882" s="3" t="s">
        <v>2078</v>
      </c>
    </row>
    <row r="18883" customFormat="false" ht="15" hidden="false" customHeight="false" outlineLevel="0" collapsed="false">
      <c r="A18883" s="4" t="s">
        <v>43</v>
      </c>
      <c r="B18883" s="4" t="s">
        <v>65</v>
      </c>
      <c r="C18883" s="23" t="s">
        <v>942</v>
      </c>
      <c r="D18883" s="23" t="s">
        <v>943</v>
      </c>
      <c r="E18883" s="23" t="s">
        <v>944</v>
      </c>
      <c r="F18883" s="23" t="s">
        <v>945</v>
      </c>
      <c r="G18883" s="23" t="s">
        <v>946</v>
      </c>
      <c r="H18883" s="23" t="s">
        <v>947</v>
      </c>
      <c r="I18883" s="23" t="s">
        <v>948</v>
      </c>
      <c r="J18883" s="23" t="s">
        <v>949</v>
      </c>
      <c r="K18883" s="23" t="s">
        <v>950</v>
      </c>
      <c r="L18883" s="4" t="s">
        <v>47</v>
      </c>
    </row>
    <row r="18884" customFormat="false" ht="17.15" hidden="false" customHeight="false" outlineLevel="0" collapsed="false">
      <c r="A18884" s="1" t="s">
        <v>1216</v>
      </c>
      <c r="B18884" s="1" t="s">
        <v>279</v>
      </c>
      <c r="F18884" s="8" t="n">
        <f aca="false">(1-v_off)*mid_yr</f>
        <v>0.373972602739726</v>
      </c>
      <c r="G18884" s="8" t="n">
        <f aca="false">Sens!G18734-base_fy-mid_yr-v_off</f>
        <v>1.24794520547945</v>
      </c>
      <c r="H18884" s="8" t="n">
        <f aca="false">Sens!H18734-base_fy-mid_yr-v_off</f>
        <v>2.24794520547945</v>
      </c>
      <c r="I18884" s="8" t="n">
        <f aca="false">Sens!I18734-base_fy-mid_yr-v_off</f>
        <v>3.24794520547945</v>
      </c>
      <c r="J18884" s="8" t="n">
        <f aca="false">Sens!J18734-base_fy-mid_yr-v_off</f>
        <v>4.24794520547945</v>
      </c>
      <c r="K18884" s="8" t="n">
        <f aca="false">Sens!K18734-base_fy-mid_yr-v_off</f>
        <v>5.24794520547945</v>
      </c>
      <c r="L18884" s="12" t="s">
        <v>1217</v>
      </c>
    </row>
    <row r="18885" customFormat="false" ht="15" hidden="false" customHeight="false" outlineLevel="0" collapsed="false">
      <c r="A18885" s="1" t="s">
        <v>1218</v>
      </c>
      <c r="B18885" s="1" t="s">
        <v>279</v>
      </c>
      <c r="F18885" s="8" t="n">
        <f aca="false">Sens!F18734-base_fy-v_off</f>
        <v>0.747945205479452</v>
      </c>
      <c r="G18885" s="8" t="n">
        <f aca="false">Sens!G18734-base_fy-v_off</f>
        <v>1.74794520547945</v>
      </c>
      <c r="H18885" s="8" t="n">
        <f aca="false">Sens!H18734-base_fy-v_off</f>
        <v>2.74794520547945</v>
      </c>
      <c r="I18885" s="8" t="n">
        <f aca="false">Sens!I18734-base_fy-v_off</f>
        <v>3.74794520547945</v>
      </c>
      <c r="J18885" s="8" t="n">
        <f aca="false">Sens!J18734-base_fy-v_off</f>
        <v>4.74794520547945</v>
      </c>
      <c r="K18885" s="8" t="n">
        <f aca="false">Sens!K18734-base_fy-v_off</f>
        <v>5.74794520547945</v>
      </c>
    </row>
    <row r="18886" customFormat="false" ht="15" hidden="false" customHeight="false" outlineLevel="0" collapsed="false">
      <c r="A18886" s="1" t="s">
        <v>1219</v>
      </c>
      <c r="B18886" s="0" t="s">
        <v>229</v>
      </c>
      <c r="F18886" s="15" t="n">
        <f aca="false">1/(1+wacc)^Sens!F18884</f>
        <v>0.964022703286649</v>
      </c>
      <c r="G18886" s="15" t="n">
        <f aca="false">1/(1+wacc)^Sens!G18884</f>
        <v>0.884910302296739</v>
      </c>
      <c r="H18886" s="15" t="n">
        <f aca="false">1/(1+wacc)^Sens!H18884</f>
        <v>0.802322009770358</v>
      </c>
      <c r="I18886" s="15" t="n">
        <f aca="false">1/(1+wacc)^Sens!I18884</f>
        <v>0.727441646561469</v>
      </c>
      <c r="J18886" s="15" t="n">
        <f aca="false">1/(1+wacc)^Sens!J18884</f>
        <v>0.659549834988973</v>
      </c>
      <c r="K18886" s="15" t="n">
        <f aca="false">1/(1+wacc)^Sens!K18884</f>
        <v>0.597994336576966</v>
      </c>
    </row>
    <row r="18887" customFormat="false" ht="17.15" hidden="false" customHeight="false" outlineLevel="0" collapsed="false">
      <c r="A18887" s="1" t="s">
        <v>1220</v>
      </c>
      <c r="B18887" s="0" t="s">
        <v>98</v>
      </c>
      <c r="F18887" s="6" t="n">
        <f aca="false">Q!$I$35-Q!$I$39-Q!$I$43</f>
        <v>9.666</v>
      </c>
      <c r="L18887" s="12" t="s">
        <v>1221</v>
      </c>
    </row>
    <row r="18888" customFormat="false" ht="17.15" hidden="false" customHeight="false" outlineLevel="0" collapsed="false">
      <c r="A18888" s="1" t="s">
        <v>1222</v>
      </c>
      <c r="B18888" s="0" t="s">
        <v>98</v>
      </c>
      <c r="F18888" s="6" t="n">
        <f aca="false">Sens!F18859-Sens!F18856-Sens!F18863+Sens!F18841*(1-tax_f)*(1-v_off)-Sens!F18887</f>
        <v>-7.05087403293914</v>
      </c>
      <c r="G18888" s="6" t="n">
        <f aca="false">Sens!G18859-Sens!G18856-Sens!G18863+Sens!G18841*(1-tax_f)</f>
        <v>18.0984669773425</v>
      </c>
      <c r="H18888" s="6" t="n">
        <f aca="false">Sens!H18859-Sens!H18856-Sens!H18863+Sens!H18841*(1-tax_f)</f>
        <v>54.9994365270306</v>
      </c>
      <c r="I18888" s="6" t="n">
        <f aca="false">Sens!I18859-Sens!I18856-Sens!I18863+Sens!I18841*(1-tax_f)</f>
        <v>126.960845206595</v>
      </c>
      <c r="J18888" s="6" t="n">
        <f aca="false">Sens!J18859-Sens!J18856-Sens!J18863+Sens!J18841*(1-tax_f)</f>
        <v>200.995567209405</v>
      </c>
      <c r="K18888" s="6" t="n">
        <f aca="false">Sens!K18859-Sens!K18856-Sens!K18863+Sens!K18841*(1-tax_f)</f>
        <v>236.55322749524</v>
      </c>
      <c r="L18888" s="1" t="s">
        <v>1223</v>
      </c>
    </row>
    <row r="18889" customFormat="false" ht="15" hidden="false" customHeight="false" outlineLevel="0" collapsed="false">
      <c r="A18889" s="1" t="s">
        <v>1224</v>
      </c>
      <c r="B18889" s="0" t="s">
        <v>98</v>
      </c>
      <c r="F18889" s="6" t="n">
        <f aca="false">Sens!F18888*Sens!F18886</f>
        <v>-6.79720264576763</v>
      </c>
      <c r="G18889" s="6" t="n">
        <f aca="false">Sens!G18888*Sens!G18886</f>
        <v>16.0155198840277</v>
      </c>
      <c r="H18889" s="6" t="n">
        <f aca="false">Sens!H18888*Sens!H18886</f>
        <v>44.1272584506044</v>
      </c>
      <c r="I18889" s="6" t="n">
        <f aca="false">Sens!I18888*Sens!I18886</f>
        <v>92.3566062859209</v>
      </c>
      <c r="J18889" s="6" t="n">
        <f aca="false">Sens!J18888*Sens!J18886</f>
        <v>132.566593186478</v>
      </c>
      <c r="K18889" s="6" t="n">
        <f aca="false">Sens!K18888*Sens!K18886</f>
        <v>141.457490341156</v>
      </c>
    </row>
    <row r="18890" customFormat="false" ht="17.15" hidden="false" customHeight="false" outlineLevel="0" collapsed="false">
      <c r="A18890" s="1" t="s">
        <v>1225</v>
      </c>
      <c r="B18890" s="0" t="s">
        <v>98</v>
      </c>
      <c r="C18890" s="6" t="n">
        <f aca="false">SUM(Sens!F18889:K18889)</f>
        <v>419.726265502419</v>
      </c>
    </row>
    <row r="18891" customFormat="false" ht="17.15" hidden="false" customHeight="false" outlineLevel="0" collapsed="false">
      <c r="A18891" s="1" t="s">
        <v>1226</v>
      </c>
      <c r="B18891" s="0" t="s">
        <v>98</v>
      </c>
      <c r="C18891" s="6" t="n">
        <f aca="false">Sens!K18827*(1+g_tv)*(1-tax_f)</f>
        <v>246.001476443208</v>
      </c>
    </row>
    <row r="18892" customFormat="false" ht="17.15" hidden="false" customHeight="false" outlineLevel="0" collapsed="false">
      <c r="A18892" s="1" t="s">
        <v>1227</v>
      </c>
      <c r="B18892" s="0" t="s">
        <v>98</v>
      </c>
      <c r="C18892" s="6" t="n">
        <f aca="false">Sens!$C$18891*(1-g_tv/(wacc+ronic_prem))</f>
        <v>174.306423930767</v>
      </c>
    </row>
    <row r="18893" customFormat="false" ht="17.15" hidden="false" customHeight="false" outlineLevel="0" collapsed="false">
      <c r="A18893" s="1" t="s">
        <v>1228</v>
      </c>
      <c r="B18893" s="0" t="s">
        <v>98</v>
      </c>
      <c r="C18893" s="6" t="n">
        <f aca="false">Sens!$C$18892/(wacc-g_tv)</f>
        <v>2389.83508374803</v>
      </c>
    </row>
    <row r="18894" customFormat="false" ht="15" hidden="false" customHeight="false" outlineLevel="0" collapsed="false">
      <c r="A18894" s="1" t="s">
        <v>1229</v>
      </c>
      <c r="B18894" s="0" t="s">
        <v>98</v>
      </c>
      <c r="C18894" s="6" t="n">
        <f aca="false">Sens!$C$18893/(1+wacc)^Sens!K18885</f>
        <v>1360.78568141024</v>
      </c>
    </row>
    <row r="18895" customFormat="false" ht="17.15" hidden="false" customHeight="false" outlineLevel="0" collapsed="false">
      <c r="A18895" s="0" t="s">
        <v>1230</v>
      </c>
      <c r="B18895" s="0" t="s">
        <v>98</v>
      </c>
      <c r="C18895" s="6" t="n">
        <f aca="false">Sens!$C$18890+Sens!$C$18894</f>
        <v>1780.51194691266</v>
      </c>
    </row>
    <row r="18896" customFormat="false" ht="15" hidden="false" customHeight="false" outlineLevel="0" collapsed="false">
      <c r="A18896" s="1" t="s">
        <v>1145</v>
      </c>
      <c r="B18896" s="0" t="s">
        <v>168</v>
      </c>
      <c r="C18896" s="7" t="n">
        <f aca="false">Sens!$C$18894/Sens!$C$18895</f>
        <v>0.764266526697444</v>
      </c>
    </row>
    <row r="18897" customFormat="false" ht="17.15" hidden="false" customHeight="false" outlineLevel="0" collapsed="false">
      <c r="A18897" s="1" t="s">
        <v>1231</v>
      </c>
      <c r="B18897" s="0" t="s">
        <v>98</v>
      </c>
      <c r="C18897" s="6" t="n">
        <f aca="false">Sens!$C$18895+cash_val-debt_val-fl_val+oai_v</f>
        <v>1896.36294691266</v>
      </c>
    </row>
    <row r="18898" customFormat="false" ht="17.15" hidden="false" customHeight="false" outlineLevel="0" collapsed="false">
      <c r="A18898" s="0" t="s">
        <v>1153</v>
      </c>
      <c r="B18898" s="0" t="s">
        <v>75</v>
      </c>
      <c r="C18898" s="5" t="n">
        <f aca="false">Sens!$C$18897/shd_val</f>
        <v>254.682104071</v>
      </c>
    </row>
    <row r="18899" customFormat="false" ht="15" hidden="false" customHeight="false" outlineLevel="0" collapsed="false">
      <c r="A18899" s="1" t="s">
        <v>1232</v>
      </c>
      <c r="B18899" s="0" t="s">
        <v>75</v>
      </c>
      <c r="C18899" s="8" t="n">
        <f aca="false">div_rem27+Sens!G18867*roll_div_q/q_per_yr</f>
        <v>3.9795</v>
      </c>
    </row>
    <row r="18900" customFormat="false" ht="17.15" hidden="false" customHeight="false" outlineLevel="0" collapsed="false">
      <c r="A18900" s="0" t="s">
        <v>1233</v>
      </c>
      <c r="B18900" s="0" t="s">
        <v>75</v>
      </c>
      <c r="C18900" s="5" t="n">
        <f aca="false">Sens!$C$18898*(1+wacc)^t_roll-Sens!$C$18899</f>
        <v>279.113872672582</v>
      </c>
    </row>
    <row r="18901" customFormat="false" ht="17.15" hidden="false" customHeight="false" outlineLevel="0" collapsed="false">
      <c r="A18901" s="1" t="s">
        <v>1234</v>
      </c>
      <c r="B18901" s="0" t="s">
        <v>168</v>
      </c>
      <c r="F18901" s="7" t="n">
        <f aca="false">Sens!F18853/(Sens!F18798-Sens!F18753)</f>
        <v>0.0695228449556885</v>
      </c>
      <c r="G18901" s="7" t="n">
        <f aca="false">Sens!G18853/(Sens!G18798-Sens!G18753)</f>
        <v>0.0670116491692715</v>
      </c>
      <c r="H18901" s="7" t="n">
        <f aca="false">Sens!H18853/(Sens!H18798-Sens!H18753)</f>
        <v>0.0657327354845158</v>
      </c>
      <c r="I18901" s="7" t="n">
        <f aca="false">Sens!I18853/(Sens!I18798-Sens!I18753)</f>
        <v>0.0655375583566575</v>
      </c>
      <c r="J18901" s="7" t="n">
        <f aca="false">Sens!J18853/(Sens!J18798-Sens!J18753)</f>
        <v>0.0662078073398063</v>
      </c>
      <c r="K18901" s="7" t="n">
        <f aca="false">Sens!K18853/(Sens!K18798-Sens!K18753)</f>
        <v>0.0675040288970809</v>
      </c>
    </row>
    <row r="18902" customFormat="false" ht="17.15" hidden="false" customHeight="false" outlineLevel="0" collapsed="false">
      <c r="A18902" s="0" t="s">
        <v>1235</v>
      </c>
      <c r="B18902" s="0" t="s">
        <v>98</v>
      </c>
      <c r="F18902" s="6" t="n">
        <f aca="false">Sens!F18783*(al_m365+Sens!F18901+sbc_r)</f>
        <v>83.0178103949442</v>
      </c>
      <c r="G18902" s="6" t="n">
        <f aca="false">Sens!G18783*(al_m365+Sens!G18901+sbc_r)</f>
        <v>93.3994075245244</v>
      </c>
      <c r="H18902" s="6" t="n">
        <f aca="false">Sens!H18783*(al_m365+Sens!H18901+sbc_r)</f>
        <v>103.944218245501</v>
      </c>
      <c r="I18902" s="6" t="n">
        <f aca="false">Sens!I18783*(al_m365+Sens!I18901+sbc_r)</f>
        <v>113.975454494774</v>
      </c>
      <c r="J18902" s="6" t="n">
        <f aca="false">Sens!J18783*(al_m365+Sens!J18901+sbc_r)</f>
        <v>123.3037434715</v>
      </c>
      <c r="K18902" s="6" t="n">
        <f aca="false">Sens!K18783*(al_m365+Sens!K18901+sbc_r)</f>
        <v>132.236221953737</v>
      </c>
      <c r="L18902" s="12" t="s">
        <v>1236</v>
      </c>
    </row>
    <row r="18903" customFormat="false" ht="17.15" hidden="false" customHeight="false" outlineLevel="0" collapsed="false">
      <c r="A18903" s="0" t="s">
        <v>1237</v>
      </c>
      <c r="B18903" s="0" t="s">
        <v>98</v>
      </c>
      <c r="F18903" s="6" t="n">
        <f aca="false">Sens!F18784*(al_lic+Sens!F18901+sbc_r)</f>
        <v>32.8924381767421</v>
      </c>
      <c r="G18903" s="6" t="n">
        <f aca="false">Sens!G18784*(al_lic+Sens!G18901+sbc_r)</f>
        <v>34.1847707363626</v>
      </c>
      <c r="H18903" s="6" t="n">
        <f aca="false">Sens!H18784*(al_lic+Sens!H18901+sbc_r)</f>
        <v>35.3882909614849</v>
      </c>
      <c r="I18903" s="6" t="n">
        <f aca="false">Sens!I18784*(al_lic+Sens!I18901+sbc_r)</f>
        <v>36.4830712811679</v>
      </c>
      <c r="J18903" s="6" t="n">
        <f aca="false">Sens!J18784*(al_lic+Sens!J18901+sbc_r)</f>
        <v>37.4459327386044</v>
      </c>
      <c r="K18903" s="6" t="n">
        <f aca="false">Sens!K18784*(al_lic+Sens!K18901+sbc_r)</f>
        <v>38.2528522684233</v>
      </c>
    </row>
    <row r="18904" customFormat="false" ht="17.15" hidden="false" customHeight="false" outlineLevel="0" collapsed="false">
      <c r="A18904" s="0" t="s">
        <v>1238</v>
      </c>
      <c r="B18904" s="0" t="s">
        <v>98</v>
      </c>
      <c r="F18904" s="6" t="n">
        <f aca="false">Sens!F18786*(al_ind+Sens!F18901+sbc_r)</f>
        <v>9.08057472654742</v>
      </c>
      <c r="G18904" s="6" t="n">
        <f aca="false">Sens!G18786*(al_ind+Sens!G18901+sbc_r)</f>
        <v>9.86493450074726</v>
      </c>
      <c r="H18904" s="6" t="n">
        <f aca="false">Sens!H18786*(al_ind+Sens!H18901+sbc_r)</f>
        <v>10.6926437060185</v>
      </c>
      <c r="I18904" s="6" t="n">
        <f aca="false">Sens!I18786*(al_ind+Sens!I18901+sbc_r)</f>
        <v>11.559157382204</v>
      </c>
      <c r="J18904" s="6" t="n">
        <f aca="false">Sens!J18786*(al_ind+Sens!J18901+sbc_r)</f>
        <v>12.4558072291887</v>
      </c>
      <c r="K18904" s="6" t="n">
        <f aca="false">Sens!K18786*(al_ind+Sens!K18901+sbc_r)</f>
        <v>13.370518693259</v>
      </c>
    </row>
    <row r="18905" customFormat="false" ht="17.15" hidden="false" customHeight="false" outlineLevel="0" collapsed="false">
      <c r="A18905" s="0" t="s">
        <v>1239</v>
      </c>
      <c r="B18905" s="0" t="s">
        <v>98</v>
      </c>
      <c r="F18905" s="6" t="n">
        <f aca="false">Sens!F18788*(al_fro+Sens!F18901+sbc_r)</f>
        <v>3.56193654582736</v>
      </c>
      <c r="G18905" s="6" t="n">
        <f aca="false">Sens!G18788*(al_fro+Sens!G18901+sbc_r)</f>
        <v>3.77461306121</v>
      </c>
      <c r="H18905" s="6" t="n">
        <f aca="false">Sens!H18788*(al_fro+Sens!H18901+sbc_r)</f>
        <v>4.0155895606027</v>
      </c>
      <c r="I18905" s="6" t="n">
        <f aca="false">Sens!I18788*(al_fro+Sens!I18901+sbc_r)</f>
        <v>4.28715249591244</v>
      </c>
      <c r="J18905" s="6" t="n">
        <f aca="false">Sens!J18788*(al_fro+Sens!J18901+sbc_r)</f>
        <v>4.59089958019309</v>
      </c>
      <c r="K18905" s="6" t="n">
        <f aca="false">Sens!K18788*(al_fro+Sens!K18901+sbc_r)</f>
        <v>4.92803938969157</v>
      </c>
    </row>
    <row r="18906" customFormat="false" ht="17.15" hidden="false" customHeight="false" outlineLevel="0" collapsed="false">
      <c r="A18906" s="0" t="s">
        <v>1240</v>
      </c>
      <c r="B18906" s="0" t="s">
        <v>98</v>
      </c>
      <c r="F18906" s="6" t="n">
        <f aca="false">Sens!F18791*(al_srch+Sens!F18901+sbc_r)</f>
        <v>11.2139839108357</v>
      </c>
      <c r="G18906" s="6" t="n">
        <f aca="false">Sens!G18791*(al_srch+Sens!G18901+sbc_r)</f>
        <v>12.2975705899567</v>
      </c>
      <c r="H18906" s="6" t="n">
        <f aca="false">Sens!H18791*(al_srch+Sens!H18901+sbc_r)</f>
        <v>13.424215586521</v>
      </c>
      <c r="I18906" s="6" t="n">
        <f aca="false">Sens!I18791*(al_srch+Sens!I18901+sbc_r)</f>
        <v>14.5812866972951</v>
      </c>
      <c r="J18906" s="6" t="n">
        <f aca="false">Sens!J18791*(al_srch+Sens!J18901+sbc_r)</f>
        <v>15.7500252567646</v>
      </c>
      <c r="K18906" s="6" t="n">
        <f aca="false">Sens!K18791*(al_srch+Sens!K18901+sbc_r)</f>
        <v>16.9066527154812</v>
      </c>
    </row>
    <row r="18907" customFormat="false" ht="17.15" hidden="false" customHeight="false" outlineLevel="0" collapsed="false">
      <c r="A18907" s="0" t="s">
        <v>1241</v>
      </c>
      <c r="B18907" s="0" t="s">
        <v>98</v>
      </c>
      <c r="F18907" s="6" t="n">
        <f aca="false">Sens!F18759-Sens!F18760+Sens!F18841</f>
        <v>38.9696429794913</v>
      </c>
      <c r="G18907" s="6" t="n">
        <f aca="false">Sens!G18759-Sens!G18760+Sens!G18841</f>
        <v>69.465497726016</v>
      </c>
      <c r="H18907" s="6" t="n">
        <f aca="false">Sens!H18759-Sens!H18760+Sens!H18841</f>
        <v>96.8147106808268</v>
      </c>
      <c r="I18907" s="6" t="n">
        <f aca="false">Sens!I18759-Sens!I18760+Sens!I18841</f>
        <v>127.654939766446</v>
      </c>
      <c r="J18907" s="6" t="n">
        <f aca="false">Sens!J18759-Sens!J18760+Sens!J18841</f>
        <v>149.308352681229</v>
      </c>
      <c r="K18907" s="6" t="n">
        <f aca="false">Sens!K18759-Sens!K18760+Sens!K18841</f>
        <v>162.731822021841</v>
      </c>
    </row>
    <row r="18908" customFormat="false" ht="17.15" hidden="false" customHeight="false" outlineLevel="0" collapsed="false">
      <c r="A18908" s="0" t="s">
        <v>1242</v>
      </c>
      <c r="B18908" s="0" t="s">
        <v>98</v>
      </c>
      <c r="F18908" s="6" t="n">
        <f aca="false">Sens!F18820+Sens!F18841+Sens!F18771+Sens!F18901*(Sens!F18790-Sens!F18753)+sbc_r*Sens!F18790</f>
        <v>235.031998130048</v>
      </c>
      <c r="G18908" s="6" t="n">
        <f aca="false">Sens!G18820+Sens!G18841+Sens!G18771+Sens!G18901*(Sens!G18790-Sens!G18753)+sbc_r*Sens!G18790</f>
        <v>285.715325704752</v>
      </c>
      <c r="H18908" s="6" t="n">
        <f aca="false">Sens!H18820+Sens!H18841+Sens!H18771+Sens!H18901*(Sens!H18790-Sens!H18753)+sbc_r*Sens!H18790</f>
        <v>338.465186204515</v>
      </c>
      <c r="I18908" s="6" t="n">
        <f aca="false">Sens!I18820+Sens!I18841+Sens!I18771+Sens!I18901*(Sens!I18790-Sens!I18753)+sbc_r*Sens!I18790</f>
        <v>394.089828177401</v>
      </c>
      <c r="J18908" s="6" t="n">
        <f aca="false">Sens!J18820+Sens!J18841+Sens!J18771+Sens!J18901*(Sens!J18790-Sens!J18753)+sbc_r*Sens!J18790</f>
        <v>438.60834471961</v>
      </c>
      <c r="K18908" s="6" t="n">
        <f aca="false">Sens!K18820+Sens!K18841+Sens!K18771+Sens!K18901*(Sens!K18790-Sens!K18753)+sbc_r*Sens!K18790</f>
        <v>472.558272077686</v>
      </c>
    </row>
    <row r="18909" customFormat="false" ht="17.15" hidden="false" customHeight="false" outlineLevel="0" collapsed="false">
      <c r="A18909" s="0" t="s">
        <v>1243</v>
      </c>
      <c r="B18909" s="0" t="s">
        <v>98</v>
      </c>
      <c r="F18909" s="6" t="n">
        <f aca="false">Sens!F18908-Sens!F18902-Sens!F18903-Sens!F18904-Sens!F18905-Sens!F18907</f>
        <v>67.509595306496</v>
      </c>
      <c r="G18909" s="6" t="n">
        <f aca="false">Sens!G18908-Sens!G18902-Sens!G18903-Sens!G18904-Sens!G18905-Sens!G18907</f>
        <v>75.0261021558918</v>
      </c>
      <c r="H18909" s="6" t="n">
        <f aca="false">Sens!H18908-Sens!H18902-Sens!H18903-Sens!H18904-Sens!H18905-Sens!H18907</f>
        <v>87.6097330500805</v>
      </c>
      <c r="I18909" s="6" t="n">
        <f aca="false">Sens!I18908-Sens!I18902-Sens!I18903-Sens!I18904-Sens!I18905-Sens!I18907</f>
        <v>100.130052756896</v>
      </c>
      <c r="J18909" s="6" t="n">
        <f aca="false">Sens!J18908-Sens!J18902-Sens!J18903-Sens!J18904-Sens!J18905-Sens!J18907</f>
        <v>111.503609018895</v>
      </c>
      <c r="K18909" s="6" t="n">
        <f aca="false">Sens!K18908-Sens!K18902-Sens!K18903-Sens!K18904-Sens!K18905-Sens!K18907</f>
        <v>121.038817750734</v>
      </c>
    </row>
    <row r="18910" customFormat="false" ht="17.15" hidden="false" customHeight="false" outlineLevel="0" collapsed="false">
      <c r="A18910" s="0" t="s">
        <v>1244</v>
      </c>
      <c r="B18910" s="0" t="s">
        <v>98</v>
      </c>
      <c r="F18910" s="6" t="n">
        <f aca="false">Sens!F18822+Sens!F18901*Sens!F18797+sbc_r*Sens!F18797</f>
        <v>24.9616266741728</v>
      </c>
      <c r="G18910" s="6" t="n">
        <f aca="false">Sens!G18822+Sens!G18901*Sens!G18797+sbc_r*Sens!G18797</f>
        <v>24.8344936512351</v>
      </c>
      <c r="H18910" s="6" t="n">
        <f aca="false">Sens!H18822+Sens!H18901*Sens!H18797+sbc_r*Sens!H18797</f>
        <v>25.7230383871865</v>
      </c>
      <c r="I18910" s="6" t="n">
        <f aca="false">Sens!I18822+Sens!I18901*Sens!I18797+sbc_r*Sens!I18797</f>
        <v>26.8249229342985</v>
      </c>
      <c r="J18910" s="6" t="n">
        <f aca="false">Sens!J18822+Sens!J18901*Sens!J18797+sbc_r*Sens!J18797</f>
        <v>28.1092034148097</v>
      </c>
      <c r="K18910" s="6" t="n">
        <f aca="false">Sens!K18822+Sens!K18901*Sens!K18797+sbc_r*Sens!K18797</f>
        <v>29.5469768042375</v>
      </c>
    </row>
    <row r="18911" customFormat="false" ht="17.15" hidden="false" customHeight="false" outlineLevel="0" collapsed="false">
      <c r="A18911" s="0" t="s">
        <v>1245</v>
      </c>
      <c r="B18911" s="0" t="s">
        <v>98</v>
      </c>
      <c r="F18911" s="6" t="n">
        <f aca="false">(Sens!F18910-Sens!F18906)*Sens!F18793/(Sens!F18793+Sens!F18795)</f>
        <v>8.79134856609903</v>
      </c>
      <c r="G18911" s="6" t="n">
        <f aca="false">(Sens!G18910-Sens!G18906)*Sens!G18793/(Sens!G18793+Sens!G18795)</f>
        <v>7.90264251788746</v>
      </c>
      <c r="H18911" s="6" t="n">
        <f aca="false">(Sens!H18910-Sens!H18906)*Sens!H18793/(Sens!H18793+Sens!H18795)</f>
        <v>7.66846365557545</v>
      </c>
      <c r="I18911" s="6" t="n">
        <f aca="false">(Sens!I18910-Sens!I18906)*Sens!I18793/(Sens!I18793+Sens!I18795)</f>
        <v>7.57849011071043</v>
      </c>
      <c r="J18911" s="6" t="n">
        <f aca="false">(Sens!J18910-Sens!J18906)*Sens!J18793/(Sens!J18793+Sens!J18795)</f>
        <v>7.62215538738991</v>
      </c>
      <c r="K18911" s="6" t="n">
        <f aca="false">(Sens!K18910-Sens!K18906)*Sens!K18793/(Sens!K18793+Sens!K18795)</f>
        <v>7.79554377478998</v>
      </c>
    </row>
    <row r="18912" customFormat="false" ht="17.15" hidden="false" customHeight="false" outlineLevel="0" collapsed="false">
      <c r="A18912" s="0" t="s">
        <v>1246</v>
      </c>
      <c r="B18912" s="0" t="s">
        <v>98</v>
      </c>
      <c r="F18912" s="6" t="n">
        <f aca="false">Sens!F18910-Sens!F18906-Sens!F18911</f>
        <v>4.9562941972381</v>
      </c>
      <c r="G18912" s="6" t="n">
        <f aca="false">Sens!G18910-Sens!G18906-Sens!G18911</f>
        <v>4.63428054339099</v>
      </c>
      <c r="H18912" s="6" t="n">
        <f aca="false">Sens!H18910-Sens!H18906-Sens!H18911</f>
        <v>4.63035914509005</v>
      </c>
      <c r="I18912" s="6" t="n">
        <f aca="false">Sens!I18910-Sens!I18906-Sens!I18911</f>
        <v>4.66514612629303</v>
      </c>
      <c r="J18912" s="6" t="n">
        <f aca="false">Sens!J18910-Sens!J18906-Sens!J18911</f>
        <v>4.73702277065516</v>
      </c>
      <c r="K18912" s="6" t="n">
        <f aca="false">Sens!K18910-Sens!K18906-Sens!K18911</f>
        <v>4.84478031396635</v>
      </c>
    </row>
    <row r="18913" customFormat="false" ht="17.15" hidden="false" customHeight="false" outlineLevel="0" collapsed="false">
      <c r="A18913" s="0" t="s">
        <v>1247</v>
      </c>
      <c r="B18913" s="0" t="s">
        <v>98</v>
      </c>
      <c r="F18913" s="6" t="n">
        <f aca="false">Sens!F18907-tax_f*(Sens!F18907-Sens!F18771)-Sens!F18768</f>
        <v>-130.362326762856</v>
      </c>
      <c r="G18913" s="6" t="n">
        <f aca="false">Sens!G18907-tax_f*(Sens!G18907-Sens!G18771)-Sens!G18768</f>
        <v>-124.225179337776</v>
      </c>
      <c r="H18913" s="6" t="n">
        <f aca="false">Sens!H18907-tax_f*(Sens!H18907-Sens!H18771)-Sens!H18768</f>
        <v>-101.534217387562</v>
      </c>
      <c r="I18913" s="6" t="n">
        <f aca="false">Sens!I18907-tax_f*(Sens!I18907-Sens!I18771)-Sens!I18768</f>
        <v>-43.6446798695439</v>
      </c>
      <c r="J18913" s="6" t="n">
        <f aca="false">Sens!J18907-tax_f*(Sens!J18907-Sens!J18771)-Sens!J18768</f>
        <v>16.9198855589618</v>
      </c>
      <c r="K18913" s="6" t="n">
        <f aca="false">Sens!K18907-tax_f*(Sens!K18907-Sens!K18771)-Sens!K18768</f>
        <v>39.8251384629271</v>
      </c>
    </row>
    <row r="18914" customFormat="false" ht="17.15" hidden="false" customHeight="false" outlineLevel="0" collapsed="false">
      <c r="A18914" s="0" t="s">
        <v>1248</v>
      </c>
      <c r="B18914" s="0" t="s">
        <v>98</v>
      </c>
      <c r="G18914" s="6" t="n">
        <f aca="false">Sens!G18913/(1+wacc)^(Sens!G18884-Sens!F18885)</f>
        <v>-118.286276192192</v>
      </c>
      <c r="H18914" s="6" t="n">
        <f aca="false">Sens!H18913/(1+wacc)^(Sens!H18884-Sens!F18885)</f>
        <v>-87.6570009910427</v>
      </c>
      <c r="I18914" s="6" t="n">
        <f aca="false">Sens!I18913/(1+wacc)^(Sens!I18884-Sens!F18885)</f>
        <v>-34.1629172979204</v>
      </c>
      <c r="J18914" s="6" t="n">
        <f aca="false">Sens!J18913/(1+wacc)^(Sens!J18884-Sens!F18885)</f>
        <v>12.0079954170053</v>
      </c>
      <c r="K18914" s="6" t="n">
        <f aca="false">Sens!K18913/(1+wacc)^(Sens!K18884-Sens!F18885)</f>
        <v>25.6259421582556</v>
      </c>
      <c r="L18914" s="1" t="s">
        <v>1249</v>
      </c>
    </row>
    <row r="18915" customFormat="false" ht="17.15" hidden="false" customHeight="false" outlineLevel="0" collapsed="false">
      <c r="A18915" s="0" t="s">
        <v>1250</v>
      </c>
      <c r="B18915" s="0" t="s">
        <v>98</v>
      </c>
      <c r="C18915" s="6" t="n">
        <f aca="false">(Sens!K18907-Sens!K18771)*(1-tax_f)*(1+g_tv)*(1-g_tv/(wacc+ronic_prem))/(wacc-g_tv)/(1+wacc)^(Sens!K18885-Sens!F18885)</f>
        <v>96.7148026864948</v>
      </c>
    </row>
    <row r="18916" customFormat="false" ht="17.15" hidden="false" customHeight="false" outlineLevel="0" collapsed="false">
      <c r="A18916" s="1" t="s">
        <v>1251</v>
      </c>
      <c r="B18916" s="0" t="s">
        <v>98</v>
      </c>
      <c r="C18916" s="6" t="n">
        <f aca="false">(SUM(Sens!G18914:K18914)+Sens!$C$18915)*(1+wacc)^(t_roll-Sens!F18885)</f>
        <v>-109.248827617462</v>
      </c>
      <c r="L18916" s="12" t="s">
        <v>1252</v>
      </c>
    </row>
    <row r="18917" customFormat="false" ht="17.15" hidden="false" customHeight="false" outlineLevel="0" collapsed="false">
      <c r="A18917" s="1" t="s">
        <v>1253</v>
      </c>
      <c r="B18917" s="0" t="s">
        <v>98</v>
      </c>
      <c r="C18917" s="6" t="n">
        <f aca="false">(w_ntm28*Sens!G18759+(1-w_ntm28)*Sens!H18759)*m_ai</f>
        <v>344.355829012336</v>
      </c>
    </row>
    <row r="18918" customFormat="false" ht="17.15" hidden="false" customHeight="false" outlineLevel="0" collapsed="false">
      <c r="A18918" s="1" t="s">
        <v>1254</v>
      </c>
      <c r="B18918" s="0" t="s">
        <v>98</v>
      </c>
      <c r="C18918" s="6" t="n">
        <f aca="false">(w_ntm28*Sens!G18909+(1-w_ntm28)*Sens!H18909)*m_cloud</f>
        <v>1094.03523446544</v>
      </c>
    </row>
    <row r="18919" customFormat="false" ht="17.15" hidden="false" customHeight="false" outlineLevel="0" collapsed="false">
      <c r="A18919" s="1" t="s">
        <v>1255</v>
      </c>
      <c r="B18919" s="0" t="s">
        <v>98</v>
      </c>
      <c r="C18919" s="6" t="n">
        <f aca="false">(w_ntm28*Sens!G18902+(1-w_ntm28)*Sens!H18902)*m_sw</f>
        <v>1046.15490179743</v>
      </c>
    </row>
    <row r="18920" customFormat="false" ht="17.15" hidden="false" customHeight="false" outlineLevel="0" collapsed="false">
      <c r="A18920" s="1" t="s">
        <v>1256</v>
      </c>
      <c r="B18920" s="0" t="s">
        <v>98</v>
      </c>
      <c r="C18920" s="6" t="n">
        <f aca="false">(w_ntm28*Sens!G18903+(1-w_ntm28)*Sens!H18903)*m_sw</f>
        <v>373.468845080822</v>
      </c>
    </row>
    <row r="18921" customFormat="false" ht="17.15" hidden="false" customHeight="false" outlineLevel="0" collapsed="false">
      <c r="A18921" s="1" t="s">
        <v>1257</v>
      </c>
      <c r="B18921" s="0" t="s">
        <v>98</v>
      </c>
      <c r="C18921" s="6" t="n">
        <f aca="false">(w_ntm28*Sens!G18904+(1-w_ntm28)*Sens!H18904)*m_sw</f>
        <v>109.480227210897</v>
      </c>
    </row>
    <row r="18922" customFormat="false" ht="17.15" hidden="false" customHeight="false" outlineLevel="0" collapsed="false">
      <c r="A18922" s="1" t="s">
        <v>1258</v>
      </c>
      <c r="B18922" s="0" t="s">
        <v>98</v>
      </c>
      <c r="C18922" s="6" t="n">
        <f aca="false">(w_ntm28*Sens!G18905+(1-w_ntm28)*Sens!H18905)*m_sw</f>
        <v>41.6214526863089</v>
      </c>
    </row>
    <row r="18923" customFormat="false" ht="17.15" hidden="false" customHeight="false" outlineLevel="0" collapsed="false">
      <c r="A18923" s="1" t="s">
        <v>1259</v>
      </c>
      <c r="B18923" s="0" t="s">
        <v>98</v>
      </c>
      <c r="C18923" s="6" t="n">
        <f aca="false">(w_ntm28*Sens!G18906+(1-w_ntm28)*Sens!H18906)*m_ads</f>
        <v>115.405247006681</v>
      </c>
    </row>
    <row r="18924" customFormat="false" ht="17.15" hidden="false" customHeight="false" outlineLevel="0" collapsed="false">
      <c r="A18924" s="1" t="s">
        <v>1260</v>
      </c>
      <c r="B18924" s="0" t="s">
        <v>98</v>
      </c>
      <c r="C18924" s="6" t="n">
        <f aca="false">(w_ntm28*Sens!G18911+(1-w_ntm28)*Sens!H18911)*m_game</f>
        <v>98.8379873742883</v>
      </c>
    </row>
    <row r="18925" customFormat="false" ht="17.15" hidden="false" customHeight="false" outlineLevel="0" collapsed="false">
      <c r="A18925" s="1" t="s">
        <v>1261</v>
      </c>
      <c r="B18925" s="0" t="s">
        <v>98</v>
      </c>
      <c r="C18925" s="6" t="n">
        <f aca="false">(w_ntm28*Sens!G18912+(1-w_ntm28)*Sens!H18912)*m_pc</f>
        <v>67.0393843505122</v>
      </c>
    </row>
    <row r="18926" customFormat="false" ht="17.15" hidden="false" customHeight="false" outlineLevel="0" collapsed="false">
      <c r="A18926" s="1" t="s">
        <v>1262</v>
      </c>
      <c r="B18926" s="0" t="s">
        <v>98</v>
      </c>
      <c r="C18926" s="6" t="n">
        <f aca="false">Sens!$C$18916+Sens!$C$18918+Sens!$C$18919+Sens!$C$18920+Sens!$C$18921+Sens!$C$18922+Sens!$C$18923+Sens!$C$18924+Sens!$C$18925</f>
        <v>2836.79445235492</v>
      </c>
    </row>
    <row r="18927" customFormat="false" ht="17.15" hidden="false" customHeight="false" outlineLevel="0" collapsed="false">
      <c r="A18927" s="1" t="s">
        <v>1263</v>
      </c>
      <c r="B18927" s="0" t="s">
        <v>98</v>
      </c>
      <c r="C18927" s="6" t="n">
        <f aca="false">(Sens!G18888-Sens!G18913)*t_stub</f>
        <v>47.181263572957</v>
      </c>
      <c r="L18927" s="1" t="s">
        <v>1264</v>
      </c>
    </row>
    <row r="18928" customFormat="false" ht="17.15" hidden="false" customHeight="false" outlineLevel="0" collapsed="false">
      <c r="A18928" s="1" t="s">
        <v>1173</v>
      </c>
      <c r="B18928" s="0" t="s">
        <v>98</v>
      </c>
      <c r="C18928" s="6" t="n">
        <f aca="false">Sens!F18875+oai_v-Sens!F18864+Sens!$C$18927</f>
        <v>157.144129945727</v>
      </c>
      <c r="L18928" s="1" t="s">
        <v>1265</v>
      </c>
    </row>
    <row r="18929" customFormat="false" ht="17.15" hidden="false" customHeight="false" outlineLevel="0" collapsed="false">
      <c r="A18929" s="1" t="s">
        <v>1266</v>
      </c>
      <c r="B18929" s="0" t="s">
        <v>75</v>
      </c>
      <c r="C18929" s="5" t="n">
        <f aca="false">(Sens!$C$18926+Sens!$C$18928)/(Sens!F18877+dil_gap)-Sens!G18867*roll_div_q/q_per_yr</f>
        <v>398.365326881089</v>
      </c>
      <c r="L18929" s="1" t="s">
        <v>1267</v>
      </c>
    </row>
    <row r="18930" customFormat="false" ht="17.15" hidden="false" customHeight="false" outlineLevel="0" collapsed="false">
      <c r="A18930" s="1" t="s">
        <v>1268</v>
      </c>
      <c r="B18930" s="0" t="s">
        <v>75</v>
      </c>
      <c r="C18930" s="5" t="n">
        <f aca="false">w_dcf*Sens!$C$18900+(1-w_dcf)*Sens!$C$18929</f>
        <v>338.739599776836</v>
      </c>
    </row>
    <row r="18931" customFormat="false" ht="17.15" hidden="false" customHeight="false" outlineLevel="0" collapsed="false">
      <c r="A18931" s="3" t="s">
        <v>2079</v>
      </c>
    </row>
    <row r="18932" customFormat="false" ht="15" hidden="false" customHeight="false" outlineLevel="0" collapsed="false">
      <c r="A18932" s="4" t="s">
        <v>43</v>
      </c>
      <c r="B18932" s="4" t="s">
        <v>65</v>
      </c>
      <c r="C18932" s="23" t="s">
        <v>942</v>
      </c>
      <c r="D18932" s="23" t="s">
        <v>943</v>
      </c>
      <c r="E18932" s="23" t="s">
        <v>944</v>
      </c>
      <c r="F18932" s="23" t="s">
        <v>945</v>
      </c>
      <c r="G18932" s="23" t="s">
        <v>946</v>
      </c>
      <c r="H18932" s="23" t="s">
        <v>947</v>
      </c>
      <c r="I18932" s="23" t="s">
        <v>948</v>
      </c>
      <c r="J18932" s="23" t="s">
        <v>949</v>
      </c>
      <c r="K18932" s="23" t="s">
        <v>950</v>
      </c>
      <c r="L18932" s="4" t="s">
        <v>47</v>
      </c>
    </row>
    <row r="18933" customFormat="false" ht="17.15" hidden="false" customHeight="false" outlineLevel="0" collapsed="false">
      <c r="A18933" s="1" t="s">
        <v>951</v>
      </c>
      <c r="B18933" s="1" t="s">
        <v>279</v>
      </c>
      <c r="C18933" s="21" t="n">
        <v>2024</v>
      </c>
      <c r="D18933" s="21" t="n">
        <v>2025</v>
      </c>
      <c r="E18933" s="21" t="n">
        <v>2026</v>
      </c>
      <c r="F18933" s="21" t="n">
        <v>2027</v>
      </c>
      <c r="G18933" s="21" t="n">
        <v>2028</v>
      </c>
      <c r="H18933" s="21" t="n">
        <v>2029</v>
      </c>
      <c r="I18933" s="21" t="n">
        <v>2030</v>
      </c>
      <c r="J18933" s="21" t="n">
        <v>2031</v>
      </c>
      <c r="K18933" s="21" t="n">
        <v>2032</v>
      </c>
    </row>
    <row r="18934" customFormat="false" ht="17.15" hidden="false" customHeight="false" outlineLevel="0" collapsed="false">
      <c r="A18934" s="1" t="s">
        <v>952</v>
      </c>
      <c r="B18934" s="0" t="s">
        <v>459</v>
      </c>
      <c r="F18934" s="30" t="n">
        <f aca="false">pace_nv0</f>
        <v>2645.0669</v>
      </c>
      <c r="G18934" s="30" t="n">
        <f aca="false">pace_nv0</f>
        <v>2645.0669</v>
      </c>
      <c r="H18934" s="30" t="n">
        <f aca="false">pace_nv0</f>
        <v>2645.0669</v>
      </c>
      <c r="I18934" s="30" t="n">
        <f aca="false">pace_nv0+(g_tv*Sens!H18935-pace_nv0)*MIN(1,(Sens!I18933-pace_y0)/(pace_y1-pace_y0))</f>
        <v>1875.22994033333</v>
      </c>
      <c r="J18934" s="30" t="n">
        <f aca="false">pace_nv0+(g_tv*Sens!I18935-pace_nv0)*MIN(1,(Sens!J18933-pace_y0)/(pace_y1-pace_y0))</f>
        <v>1142.89757947333</v>
      </c>
      <c r="K18934" s="30" t="n">
        <f aca="false">pace_nv0+(g_tv*Sens!J18935-pace_nv0)*MIN(1,(Sens!K18933-pace_y0)/(pace_y1-pace_y0))</f>
        <v>426.0998465942</v>
      </c>
      <c r="L18934" s="12" t="s">
        <v>953</v>
      </c>
    </row>
    <row r="18935" customFormat="false" ht="17.15" hidden="false" customHeight="false" outlineLevel="0" collapsed="false">
      <c r="A18935" s="1" t="s">
        <v>954</v>
      </c>
      <c r="B18935" s="0" t="s">
        <v>459</v>
      </c>
      <c r="C18935" s="30" t="n">
        <f aca="false">mw_ext_24</f>
        <v>640</v>
      </c>
      <c r="D18935" s="30" t="n">
        <f aca="false">mw_ext_25</f>
        <v>1630</v>
      </c>
      <c r="E18935" s="30" t="n">
        <f aca="false">mw_ext_26</f>
        <v>3250</v>
      </c>
      <c r="F18935" s="30" t="n">
        <f aca="false">Sens!E18935+Sens!F18934</f>
        <v>5895.0669</v>
      </c>
      <c r="G18935" s="30" t="n">
        <f aca="false">Sens!F18935+Sens!G18934</f>
        <v>8540.1338</v>
      </c>
      <c r="H18935" s="30" t="n">
        <f aca="false">Sens!G18935+Sens!H18934</f>
        <v>11185.2007</v>
      </c>
      <c r="I18935" s="30" t="n">
        <f aca="false">Sens!H18935+Sens!I18934</f>
        <v>13060.4306403333</v>
      </c>
      <c r="J18935" s="30" t="n">
        <f aca="false">Sens!I18935+Sens!J18934</f>
        <v>14203.3282198067</v>
      </c>
      <c r="K18935" s="30" t="n">
        <f aca="false">Sens!J18935+Sens!K18934</f>
        <v>14629.4280664009</v>
      </c>
      <c r="L18935" s="1" t="s">
        <v>955</v>
      </c>
    </row>
    <row r="18936" customFormat="false" ht="17.15" hidden="false" customHeight="false" outlineLevel="0" collapsed="false">
      <c r="A18936" s="1" t="s">
        <v>956</v>
      </c>
      <c r="B18936" s="0" t="s">
        <v>459</v>
      </c>
      <c r="C18936" s="30" t="n">
        <f aca="false">rent_ext_24</f>
        <v>150</v>
      </c>
      <c r="D18936" s="30" t="n">
        <f aca="false">rent_ext_25</f>
        <v>400</v>
      </c>
      <c r="E18936" s="30" t="n">
        <f aca="false">rent_ext_26</f>
        <v>550</v>
      </c>
      <c r="F18936" s="30" t="n">
        <f aca="false">rent_ext_f</f>
        <v>756</v>
      </c>
      <c r="G18936" s="30" t="n">
        <f aca="false">rent_ext_f</f>
        <v>756</v>
      </c>
      <c r="H18936" s="30" t="n">
        <f aca="false">rent_ext_f</f>
        <v>756</v>
      </c>
      <c r="I18936" s="30" t="n">
        <f aca="false">rent_ext_f</f>
        <v>756</v>
      </c>
      <c r="J18936" s="30" t="n">
        <f aca="false">rent_ext_f</f>
        <v>756</v>
      </c>
      <c r="K18936" s="30" t="n">
        <f aca="false">rent_ext_f</f>
        <v>756</v>
      </c>
      <c r="L18936" s="1" t="s">
        <v>957</v>
      </c>
    </row>
    <row r="18937" customFormat="false" ht="17.15" hidden="false" customHeight="false" outlineLevel="0" collapsed="false">
      <c r="A18937" s="1" t="s">
        <v>958</v>
      </c>
      <c r="B18937" s="0" t="s">
        <v>459</v>
      </c>
      <c r="C18937" s="30" t="n">
        <f aca="false">Sens!C18935-Sens!C18936</f>
        <v>490</v>
      </c>
      <c r="D18937" s="30" t="n">
        <f aca="false">Sens!D18935-Sens!D18936</f>
        <v>1230</v>
      </c>
      <c r="E18937" s="30" t="n">
        <f aca="false">Sens!E18935-Sens!E18936</f>
        <v>2700</v>
      </c>
      <c r="F18937" s="30" t="n">
        <f aca="false">Sens!F18935-Sens!F18936</f>
        <v>5139.0669</v>
      </c>
      <c r="G18937" s="30" t="n">
        <f aca="false">Sens!G18935-Sens!G18936</f>
        <v>7784.1338</v>
      </c>
      <c r="H18937" s="30" t="n">
        <f aca="false">Sens!H18935-Sens!H18936</f>
        <v>10429.2007</v>
      </c>
      <c r="I18937" s="30" t="n">
        <f aca="false">Sens!I18935-Sens!I18936</f>
        <v>12304.4306403333</v>
      </c>
      <c r="J18937" s="30" t="n">
        <f aca="false">Sens!J18935-Sens!J18936</f>
        <v>13447.3282198067</v>
      </c>
      <c r="K18937" s="30" t="n">
        <f aca="false">Sens!K18935-Sens!K18936</f>
        <v>13873.4280664009</v>
      </c>
    </row>
    <row r="18938" customFormat="false" ht="17.15" hidden="false" customHeight="false" outlineLevel="0" collapsed="false">
      <c r="A18938" s="1" t="s">
        <v>959</v>
      </c>
      <c r="B18938" s="0" t="s">
        <v>459</v>
      </c>
      <c r="C18938" s="30" t="n">
        <f aca="false">Sens!C18937/ext_sh</f>
        <v>816.666666666667</v>
      </c>
      <c r="D18938" s="30" t="n">
        <f aca="false">Sens!D18937/ext_sh</f>
        <v>2050</v>
      </c>
      <c r="E18938" s="30" t="n">
        <f aca="false">Sens!E18937/ext_sh</f>
        <v>4500</v>
      </c>
      <c r="F18938" s="30" t="n">
        <f aca="false">Sens!F18937/ext_sh</f>
        <v>8565.1115</v>
      </c>
      <c r="G18938" s="30" t="n">
        <f aca="false">Sens!G18937/ext_sh</f>
        <v>12973.5563333333</v>
      </c>
      <c r="H18938" s="30" t="n">
        <f aca="false">Sens!H18937/ext_sh</f>
        <v>17382.0011666667</v>
      </c>
      <c r="I18938" s="30" t="n">
        <f aca="false">Sens!I18937/ext_sh</f>
        <v>20507.3844005556</v>
      </c>
      <c r="J18938" s="30" t="n">
        <f aca="false">Sens!J18937/ext_sh</f>
        <v>22412.2136996778</v>
      </c>
      <c r="K18938" s="30" t="n">
        <f aca="false">Sens!K18937/ext_sh</f>
        <v>23122.3801106681</v>
      </c>
      <c r="L18938" s="1" t="s">
        <v>960</v>
      </c>
    </row>
    <row r="18939" customFormat="false" ht="17.15" hidden="false" customHeight="false" outlineLevel="0" collapsed="false">
      <c r="A18939" s="1" t="s">
        <v>961</v>
      </c>
      <c r="B18939" s="0" t="s">
        <v>459</v>
      </c>
      <c r="C18939" s="30" t="n">
        <f aca="false">Sens!C18938-Sens!C18937</f>
        <v>326.666666666667</v>
      </c>
      <c r="D18939" s="30" t="n">
        <f aca="false">Sens!D18938-Sens!D18937</f>
        <v>820</v>
      </c>
      <c r="E18939" s="30" t="n">
        <f aca="false">Sens!E18938-Sens!E18937</f>
        <v>1800</v>
      </c>
      <c r="F18939" s="30" t="n">
        <f aca="false">Sens!F18938-Sens!F18937</f>
        <v>3426.0446</v>
      </c>
      <c r="G18939" s="30" t="n">
        <f aca="false">Sens!G18938-Sens!G18937</f>
        <v>5189.42253333333</v>
      </c>
      <c r="H18939" s="30" t="n">
        <f aca="false">Sens!H18938-Sens!H18937</f>
        <v>6952.80046666667</v>
      </c>
      <c r="I18939" s="30" t="n">
        <f aca="false">Sens!I18938-Sens!I18937</f>
        <v>8202.95376022222</v>
      </c>
      <c r="J18939" s="30" t="n">
        <f aca="false">Sens!J18938-Sens!J18937</f>
        <v>8964.88547987111</v>
      </c>
      <c r="K18939" s="30" t="n">
        <f aca="false">Sens!K18938-Sens!K18937</f>
        <v>9248.95204426724</v>
      </c>
    </row>
    <row r="18940" customFormat="false" ht="17.15" hidden="false" customHeight="false" outlineLevel="0" collapsed="false">
      <c r="A18940" s="1" t="s">
        <v>962</v>
      </c>
      <c r="B18940" s="0" t="s">
        <v>459</v>
      </c>
      <c r="C18940" s="30" t="n">
        <f aca="false">Sens!C18938</f>
        <v>816.666666666667</v>
      </c>
      <c r="D18940" s="30" t="n">
        <f aca="false">Sens!D18938-Sens!C18938</f>
        <v>1233.33333333333</v>
      </c>
      <c r="E18940" s="30" t="n">
        <f aca="false">Sens!E18938-Sens!D18938</f>
        <v>2450</v>
      </c>
      <c r="F18940" s="30" t="n">
        <f aca="false">Sens!F18938-Sens!E18938</f>
        <v>4065.1115</v>
      </c>
      <c r="G18940" s="30" t="n">
        <f aca="false">Sens!G18938-Sens!F18938</f>
        <v>4408.44483333333</v>
      </c>
      <c r="H18940" s="30" t="n">
        <f aca="false">Sens!H18938-Sens!G18938</f>
        <v>4408.44483333333</v>
      </c>
      <c r="I18940" s="30" t="n">
        <f aca="false">Sens!I18938-Sens!H18938</f>
        <v>3125.38323388889</v>
      </c>
      <c r="J18940" s="30" t="n">
        <f aca="false">Sens!J18938-Sens!I18938</f>
        <v>1904.82929912222</v>
      </c>
      <c r="K18940" s="30" t="n">
        <f aca="false">Sens!K18938-Sens!J18938</f>
        <v>710.166410990332</v>
      </c>
    </row>
    <row r="18941" customFormat="false" ht="17.15" hidden="false" customHeight="false" outlineLevel="0" collapsed="false">
      <c r="A18941" s="1" t="s">
        <v>963</v>
      </c>
      <c r="B18941" s="0" t="s">
        <v>459</v>
      </c>
      <c r="D18941" s="30" t="n">
        <f aca="false">Sens!D18935-Sens!C18935</f>
        <v>990</v>
      </c>
      <c r="E18941" s="30" t="n">
        <f aca="false">Sens!E18935-Sens!D18935</f>
        <v>1620</v>
      </c>
      <c r="F18941" s="30" t="n">
        <f aca="false">Sens!F18935-Sens!E18935</f>
        <v>2645.0669</v>
      </c>
      <c r="G18941" s="30" t="n">
        <f aca="false">Sens!G18935-Sens!F18935</f>
        <v>2645.0669</v>
      </c>
      <c r="H18941" s="30" t="n">
        <f aca="false">Sens!H18935-Sens!G18935</f>
        <v>2645.0669</v>
      </c>
      <c r="I18941" s="30" t="n">
        <f aca="false">Sens!I18935-Sens!H18935</f>
        <v>1875.22994033333</v>
      </c>
      <c r="J18941" s="30" t="n">
        <f aca="false">Sens!J18935-Sens!I18935</f>
        <v>1142.89757947333</v>
      </c>
      <c r="K18941" s="30" t="n">
        <f aca="false">Sens!K18935-Sens!J18935</f>
        <v>426.099846594199</v>
      </c>
    </row>
    <row r="18942" customFormat="false" ht="17.15" hidden="false" customHeight="false" outlineLevel="0" collapsed="false">
      <c r="A18942" s="1" t="s">
        <v>964</v>
      </c>
      <c r="B18942" s="0" t="s">
        <v>459</v>
      </c>
      <c r="F18942" s="30" t="n">
        <f aca="false">Sens!F18961*ext_sh</f>
        <v>0</v>
      </c>
      <c r="G18942" s="30" t="n">
        <f aca="false">Sens!G18961*ext_sh</f>
        <v>0</v>
      </c>
      <c r="H18942" s="30" t="n">
        <f aca="false">Sens!H18961*ext_sh</f>
        <v>0</v>
      </c>
      <c r="I18942" s="30" t="n">
        <f aca="false">Sens!I18961*ext_sh</f>
        <v>490</v>
      </c>
      <c r="J18942" s="30" t="n">
        <f aca="false">Sens!J18961*ext_sh</f>
        <v>740</v>
      </c>
      <c r="K18942" s="30" t="n">
        <f aca="false">Sens!K18961*ext_sh</f>
        <v>1470</v>
      </c>
      <c r="L18942" s="1" t="s">
        <v>965</v>
      </c>
    </row>
    <row r="18943" customFormat="false" ht="17.15" hidden="false" customHeight="false" outlineLevel="0" collapsed="false">
      <c r="A18943" s="1" t="s">
        <v>966</v>
      </c>
      <c r="B18943" s="0" t="s">
        <v>459</v>
      </c>
      <c r="C18943" s="30" t="n">
        <f aca="false">mix_h*Sens!C18935</f>
        <v>128</v>
      </c>
      <c r="D18943" s="30" t="n">
        <f aca="false">mix_h*Sens!D18935</f>
        <v>326</v>
      </c>
      <c r="E18943" s="30" t="n">
        <f aca="false">mix_h*Sens!E18935</f>
        <v>650</v>
      </c>
      <c r="F18943" s="30" t="n">
        <f aca="false">Sens!E18943-Sens!F18942*mix_h</f>
        <v>650</v>
      </c>
      <c r="G18943" s="30" t="n">
        <f aca="false">Sens!F18943-Sens!G18942*mix_h</f>
        <v>650</v>
      </c>
      <c r="H18943" s="30" t="n">
        <f aca="false">Sens!G18943-Sens!H18942*mix_h</f>
        <v>650</v>
      </c>
      <c r="I18943" s="30" t="n">
        <f aca="false">Sens!H18943-Sens!I18942*mix_h</f>
        <v>552</v>
      </c>
      <c r="J18943" s="30" t="n">
        <f aca="false">Sens!I18943-Sens!J18942*mix_h</f>
        <v>404</v>
      </c>
      <c r="K18943" s="30" t="n">
        <f aca="false">Sens!J18943-Sens!K18942*mix_h</f>
        <v>110</v>
      </c>
    </row>
    <row r="18944" customFormat="false" ht="17.15" hidden="false" customHeight="false" outlineLevel="0" collapsed="false">
      <c r="A18944" s="1" t="s">
        <v>967</v>
      </c>
      <c r="B18944" s="0" t="s">
        <v>459</v>
      </c>
      <c r="C18944" s="30" t="n">
        <f aca="false">mix_g2*Sens!C18935</f>
        <v>288</v>
      </c>
      <c r="D18944" s="30" t="n">
        <f aca="false">mix_g2*Sens!D18935</f>
        <v>733.5</v>
      </c>
      <c r="E18944" s="30" t="n">
        <f aca="false">mix_g2*Sens!E18935</f>
        <v>1462.5</v>
      </c>
      <c r="F18944" s="30" t="n">
        <f aca="false">Sens!E18944-Sens!F18942*mix_g2</f>
        <v>1462.5</v>
      </c>
      <c r="G18944" s="30" t="n">
        <f aca="false">Sens!F18944-Sens!G18942*mix_g2</f>
        <v>1462.5</v>
      </c>
      <c r="H18944" s="30" t="n">
        <f aca="false">Sens!G18944-Sens!H18942*mix_g2</f>
        <v>1462.5</v>
      </c>
      <c r="I18944" s="30" t="n">
        <f aca="false">Sens!H18944-Sens!I18942*mix_g2</f>
        <v>1242</v>
      </c>
      <c r="J18944" s="30" t="n">
        <f aca="false">Sens!I18944-Sens!J18942*mix_g2</f>
        <v>909</v>
      </c>
      <c r="K18944" s="30" t="n">
        <f aca="false">Sens!J18944-Sens!K18942*mix_g2</f>
        <v>247.5</v>
      </c>
    </row>
    <row r="18945" customFormat="false" ht="17.15" hidden="false" customHeight="false" outlineLevel="0" collapsed="false">
      <c r="A18945" s="1" t="s">
        <v>968</v>
      </c>
      <c r="B18945" s="0" t="s">
        <v>459</v>
      </c>
      <c r="C18945" s="30" t="n">
        <f aca="false">mix_g3*Sens!C18935</f>
        <v>224</v>
      </c>
      <c r="D18945" s="30" t="n">
        <f aca="false">mix_g3*Sens!D18935</f>
        <v>570.5</v>
      </c>
      <c r="E18945" s="30" t="n">
        <f aca="false">mix_g3*Sens!E18935</f>
        <v>1137.5</v>
      </c>
      <c r="F18945" s="30" t="n">
        <f aca="false">Sens!E18945+(Sens!F18941+Sens!F18942)*(a_g3_27-0*a_mai)-Sens!F18942*mix_g3</f>
        <v>2989.04683</v>
      </c>
      <c r="G18945" s="30" t="n">
        <f aca="false">Sens!F18945+(Sens!G18941+Sens!G18942)*(a_g3_28-0*a_mai)-Sens!G18942*mix_g3</f>
        <v>3782.5669</v>
      </c>
      <c r="H18945" s="30" t="n">
        <f aca="false">Sens!G18945+(Sens!H18941+Sens!H18942)*(a_g3_29-0*a_mai)-Sens!H18942*mix_g3</f>
        <v>4047.07359</v>
      </c>
      <c r="I18945" s="30" t="n">
        <f aca="false">Sens!H18945+(Sens!I18941+Sens!I18942)*(a_g3_29-0*a_mai)-Sens!I18942*mix_g3</f>
        <v>4112.09658403333</v>
      </c>
      <c r="J18945" s="30" t="n">
        <f aca="false">Sens!I18945+(Sens!J18941+Sens!J18942)*(a_g3_29-0*a_mai)-Sens!J18942*mix_g3</f>
        <v>4041.38634198067</v>
      </c>
      <c r="K18945" s="30" t="n">
        <f aca="false">Sens!J18945+(Sens!K18941+Sens!K18942)*(a_g3_29-0*a_mai)-Sens!K18942*mix_g3</f>
        <v>3716.49632664009</v>
      </c>
    </row>
    <row r="18946" customFormat="false" ht="17.15" hidden="false" customHeight="false" outlineLevel="0" collapsed="false">
      <c r="A18946" s="1" t="s">
        <v>969</v>
      </c>
      <c r="B18946" s="0" t="s">
        <v>459</v>
      </c>
      <c r="C18946" s="30" t="n">
        <v>0</v>
      </c>
      <c r="D18946" s="30" t="n">
        <v>0</v>
      </c>
      <c r="E18946" s="30" t="n">
        <v>0</v>
      </c>
      <c r="F18946" s="30" t="n">
        <f aca="false">Sens!E18946+(Sens!F18941+Sens!F18942)*0*a_mai</f>
        <v>0</v>
      </c>
      <c r="G18946" s="30" t="n">
        <f aca="false">Sens!F18946+(Sens!G18941+Sens!G18942)*0*a_mai</f>
        <v>0</v>
      </c>
      <c r="H18946" s="30" t="n">
        <f aca="false">Sens!G18946+(Sens!H18941+Sens!H18942)*0*a_mai</f>
        <v>0</v>
      </c>
      <c r="I18946" s="30" t="n">
        <f aca="false">Sens!H18946+(Sens!I18941+Sens!I18942)*0*a_mai</f>
        <v>0</v>
      </c>
      <c r="J18946" s="30" t="n">
        <f aca="false">Sens!I18946+(Sens!J18941+Sens!J18942)*0*a_mai</f>
        <v>0</v>
      </c>
      <c r="K18946" s="30" t="n">
        <f aca="false">Sens!J18946+(Sens!K18941+Sens!K18942)*0*a_mai</f>
        <v>0</v>
      </c>
      <c r="L18946" s="12" t="s">
        <v>970</v>
      </c>
    </row>
    <row r="18947" customFormat="false" ht="17.15" hidden="false" customHeight="false" outlineLevel="0" collapsed="false">
      <c r="A18947" s="1" t="s">
        <v>971</v>
      </c>
      <c r="B18947" s="0" t="s">
        <v>459</v>
      </c>
      <c r="C18947" s="30" t="n">
        <v>0</v>
      </c>
      <c r="D18947" s="30" t="n">
        <v>0</v>
      </c>
      <c r="E18947" s="30" t="n">
        <v>0</v>
      </c>
      <c r="F18947" s="30" t="n">
        <f aca="false">Sens!E18947+(Sens!F18941+Sens!F18942)*(1-a_g3_27)</f>
        <v>793.52007</v>
      </c>
      <c r="G18947" s="30" t="n">
        <f aca="false">Sens!F18947+(Sens!G18941+Sens!G18942)*(1-a_g3_28)</f>
        <v>2645.0669</v>
      </c>
      <c r="H18947" s="30" t="n">
        <f aca="false">Sens!G18947+(Sens!H18941+Sens!H18942)*(1-a_g3_29)</f>
        <v>5025.62711</v>
      </c>
      <c r="I18947" s="30" t="n">
        <f aca="false">Sens!H18947+(Sens!I18941+Sens!I18942)*(1-a_g3_29)</f>
        <v>7154.3340563</v>
      </c>
      <c r="J18947" s="30" t="n">
        <f aca="false">Sens!I18947+(Sens!J18941+Sens!J18942)*(1-a_g3_29)</f>
        <v>8848.941877826</v>
      </c>
      <c r="K18947" s="30" t="n">
        <f aca="false">Sens!J18947+(Sens!K18941+Sens!K18942)*(1-a_g3_29)</f>
        <v>10555.4317397608</v>
      </c>
    </row>
    <row r="18948" customFormat="false" ht="17.15" hidden="false" customHeight="false" outlineLevel="0" collapsed="false">
      <c r="A18948" s="1" t="s">
        <v>972</v>
      </c>
      <c r="B18948" s="0" t="s">
        <v>403</v>
      </c>
      <c r="C18948" s="15" t="n">
        <f aca="false">(Sens!C18943*tk_hold_h100+Sens!C18944*tk_hold_gb200+Sens!C18945*tk_hold_gb300+Sens!C18947*tk_hold_vr200+Sens!C18946*nv_hold_mai*tk_hold_vr200)/Sens!C18935</f>
        <v>9.7235358126469</v>
      </c>
      <c r="D18948" s="15" t="n">
        <f aca="false">(Sens!D18943*tk_hold_h100+Sens!D18944*tk_hold_gb200+Sens!D18945*tk_hold_gb300+Sens!D18947*tk_hold_vr200+Sens!D18946*nv_hold_mai*tk_hold_vr200)/Sens!D18935</f>
        <v>9.7235358126469</v>
      </c>
      <c r="E18948" s="15" t="n">
        <f aca="false">(Sens!E18943*tk_hold_h100+Sens!E18944*tk_hold_gb200+Sens!E18945*tk_hold_gb300+Sens!E18947*tk_hold_vr200+Sens!E18946*nv_hold_mai*tk_hold_vr200)/Sens!E18935</f>
        <v>9.7235358126469</v>
      </c>
      <c r="F18948" s="15" t="n">
        <f aca="false">(Sens!F18943*tk_hold_h100+Sens!F18944*tk_hold_gb200+Sens!F18945*tk_hold_gb300+Sens!F18947*tk_hold_vr200+Sens!F18946*nv_hold_mai*tk_hold_vr200)/Sens!F18935</f>
        <v>10.4255556081097</v>
      </c>
      <c r="G18948" s="15" t="n">
        <f aca="false">(Sens!G18943*tk_hold_h100+Sens!G18944*tk_hold_gb200+Sens!G18945*tk_hold_gb300+Sens!G18947*tk_hold_vr200+Sens!G18946*nv_hold_mai*tk_hold_vr200)/Sens!G18935</f>
        <v>10.8586080330164</v>
      </c>
      <c r="H18948" s="15" t="n">
        <f aca="false">(Sens!H18943*tk_hold_h100+Sens!H18944*tk_hold_gb200+Sens!H18945*tk_hold_gb300+Sens!H18947*tk_hold_vr200+Sens!H18946*nv_hold_mai*tk_hold_vr200)/Sens!H18935</f>
        <v>11.1501766656618</v>
      </c>
      <c r="I18948" s="15" t="n">
        <f aca="false">(Sens!I18943*tk_hold_h100+Sens!I18944*tk_hold_gb200+Sens!I18945*tk_hold_gb300+Sens!I18947*tk_hold_vr200+Sens!I18946*nv_hold_mai*tk_hold_vr200)/Sens!I18935</f>
        <v>11.3741856576055</v>
      </c>
      <c r="J18948" s="15" t="n">
        <f aca="false">(Sens!J18943*tk_hold_h100+Sens!J18944*tk_hold_gb200+Sens!J18945*tk_hold_gb300+Sens!J18947*tk_hold_vr200+Sens!J18946*nv_hold_mai*tk_hold_vr200)/Sens!J18935</f>
        <v>11.5552863602709</v>
      </c>
      <c r="K18948" s="15" t="n">
        <f aca="false">(Sens!K18943*tk_hold_h100+Sens!K18944*tk_hold_gb200+Sens!K18945*tk_hold_gb300+Sens!K18947*tk_hold_vr200+Sens!K18946*nv_hold_mai*tk_hold_vr200)/Sens!K18935</f>
        <v>11.8088513761358</v>
      </c>
      <c r="L18948" s="1" t="s">
        <v>973</v>
      </c>
    </row>
    <row r="18949" customFormat="false" ht="17.15" hidden="false" customHeight="false" outlineLevel="0" collapsed="false">
      <c r="A18949" s="1" t="s">
        <v>974</v>
      </c>
      <c r="B18949" s="0" t="s">
        <v>403</v>
      </c>
      <c r="C18949" s="15" t="n">
        <f aca="false">(Sens!C18943*tk_hold_h100+Sens!C18944*tk_hold_gb200+Sens!C18945*tk_hold_gb300+Sens!C18947*tk_hold_vr200+Sens!C18946*nv_out_mai*tk_hold_vr200)/Sens!C18935</f>
        <v>9.7235358126469</v>
      </c>
      <c r="D18949" s="15" t="n">
        <f aca="false">(Sens!D18943*tk_hold_h100+Sens!D18944*tk_hold_gb200+Sens!D18945*tk_hold_gb300+Sens!D18947*tk_hold_vr200+Sens!D18946*nv_out_mai*tk_hold_vr200)/Sens!D18935</f>
        <v>9.7235358126469</v>
      </c>
      <c r="E18949" s="15" t="n">
        <f aca="false">(Sens!E18943*tk_hold_h100+Sens!E18944*tk_hold_gb200+Sens!E18945*tk_hold_gb300+Sens!E18947*tk_hold_vr200+Sens!E18946*nv_out_mai*tk_hold_vr200)/Sens!E18935</f>
        <v>9.7235358126469</v>
      </c>
      <c r="F18949" s="15" t="n">
        <f aca="false">(Sens!F18943*tk_hold_h100+Sens!F18944*tk_hold_gb200+Sens!F18945*tk_hold_gb300+Sens!F18947*tk_hold_vr200+Sens!F18946*nv_out_mai*tk_hold_vr200)/Sens!F18935</f>
        <v>10.4255556081097</v>
      </c>
      <c r="G18949" s="15" t="n">
        <f aca="false">(Sens!G18943*tk_hold_h100+Sens!G18944*tk_hold_gb200+Sens!G18945*tk_hold_gb300+Sens!G18947*tk_hold_vr200+Sens!G18946*nv_out_mai*tk_hold_vr200)/Sens!G18935</f>
        <v>10.8586080330164</v>
      </c>
      <c r="H18949" s="15" t="n">
        <f aca="false">(Sens!H18943*tk_hold_h100+Sens!H18944*tk_hold_gb200+Sens!H18945*tk_hold_gb300+Sens!H18947*tk_hold_vr200+Sens!H18946*nv_out_mai*tk_hold_vr200)/Sens!H18935</f>
        <v>11.1501766656618</v>
      </c>
      <c r="I18949" s="15" t="n">
        <f aca="false">(Sens!I18943*tk_hold_h100+Sens!I18944*tk_hold_gb200+Sens!I18945*tk_hold_gb300+Sens!I18947*tk_hold_vr200+Sens!I18946*nv_out_mai*tk_hold_vr200)/Sens!I18935</f>
        <v>11.3741856576055</v>
      </c>
      <c r="J18949" s="15" t="n">
        <f aca="false">(Sens!J18943*tk_hold_h100+Sens!J18944*tk_hold_gb200+Sens!J18945*tk_hold_gb300+Sens!J18947*tk_hold_vr200+Sens!J18946*nv_out_mai*tk_hold_vr200)/Sens!J18935</f>
        <v>11.5552863602709</v>
      </c>
      <c r="K18949" s="15" t="n">
        <f aca="false">(Sens!K18943*tk_hold_h100+Sens!K18944*tk_hold_gb200+Sens!K18945*tk_hold_gb300+Sens!K18947*tk_hold_vr200+Sens!K18946*nv_out_mai*tk_hold_vr200)/Sens!K18935</f>
        <v>11.8088513761358</v>
      </c>
      <c r="L18949" s="12" t="s">
        <v>975</v>
      </c>
    </row>
    <row r="18950" customFormat="false" ht="17.15" hidden="false" customHeight="false" outlineLevel="0" collapsed="false">
      <c r="A18950" s="0" t="s">
        <v>976</v>
      </c>
      <c r="B18950" s="0" t="s">
        <v>229</v>
      </c>
      <c r="C18950" s="15" t="n">
        <f aca="false">k_B</f>
        <v>1.17213932619116</v>
      </c>
      <c r="D18950" s="15" t="n">
        <f aca="false">k_B</f>
        <v>1.17213932619116</v>
      </c>
      <c r="E18950" s="15" t="n">
        <f aca="false">k_B</f>
        <v>1.17213932619116</v>
      </c>
      <c r="F18950" s="15" t="n">
        <f aca="false">(k_B+((ls_A*k_long+(1-ls_A)*k_spot)-k_B)*MIN(1,(Sens!F18933-base_fy)/k_ramp))</f>
        <v>1.25022828131298</v>
      </c>
      <c r="G18950" s="15" t="n">
        <f aca="false">(k_B+((ls_A*k_long+(1-ls_A)*k_spot)-k_B)*MIN(1,(Sens!G18933-base_fy)/k_ramp))</f>
        <v>1.3283172364348</v>
      </c>
      <c r="H18950" s="15" t="n">
        <f aca="false">(k_B+((ls_A*k_long+(1-ls_A)*k_spot)-k_B)*MIN(1,(Sens!H18933-base_fy)/k_ramp))</f>
        <v>1.40640619155662</v>
      </c>
      <c r="I18950" s="15" t="n">
        <f aca="false">(k_B+((ls_A*k_long+(1-ls_A)*k_spot)-k_B)*MIN(1,(Sens!I18933-base_fy)/k_ramp))</f>
        <v>1.40640619155662</v>
      </c>
      <c r="J18950" s="15" t="n">
        <f aca="false">(k_B+((ls_A*k_long+(1-ls_A)*k_spot)-k_B)*MIN(1,(Sens!J18933-base_fy)/k_ramp))</f>
        <v>1.40640619155662</v>
      </c>
      <c r="K18950" s="15" t="n">
        <f aca="false">(k_B+((ls_A*k_long+(1-ls_A)*k_spot)-k_B)*MIN(1,(Sens!K18933-base_fy)/k_ramp))</f>
        <v>1.40640619155662</v>
      </c>
      <c r="L18950" s="1" t="s">
        <v>977</v>
      </c>
    </row>
    <row r="18951" customFormat="false" ht="17.15" hidden="false" customHeight="false" outlineLevel="0" collapsed="false">
      <c r="A18951" s="1" t="s">
        <v>978</v>
      </c>
      <c r="B18951" s="0" t="s">
        <v>403</v>
      </c>
      <c r="C18951" s="15" t="n">
        <f aca="false">Sens!C18949*Sens!C18950*chip_f</f>
        <v>11.3973387156315</v>
      </c>
      <c r="D18951" s="15" t="n">
        <f aca="false">Sens!D18949*Sens!D18950*chip_f</f>
        <v>11.3973387156315</v>
      </c>
      <c r="E18951" s="15" t="n">
        <f aca="false">Sens!E18949*Sens!E18950*chip_f</f>
        <v>11.3973387156315</v>
      </c>
      <c r="F18951" s="15" t="n">
        <f aca="false">Sens!F18949*Sens!F18950*chip_f</f>
        <v>13.0343244696599</v>
      </c>
      <c r="G18951" s="15" t="n">
        <f aca="false">Sens!G18949*Sens!G18950*chip_f</f>
        <v>14.423676213945</v>
      </c>
      <c r="H18951" s="15" t="n">
        <f aca="false">Sens!H18949*Sens!H18950*chip_f</f>
        <v>15.6816774995369</v>
      </c>
      <c r="I18951" s="15" t="n">
        <f aca="false">Sens!I18949*Sens!I18950*chip_f</f>
        <v>15.9967251327709</v>
      </c>
      <c r="J18951" s="15" t="n">
        <f aca="false">Sens!J18949*Sens!J18950*chip_f</f>
        <v>16.2514262822947</v>
      </c>
      <c r="K18951" s="15" t="n">
        <f aca="false">Sens!K18949*Sens!K18950*chip_f</f>
        <v>16.6080416905693</v>
      </c>
      <c r="L18951" s="1" t="s">
        <v>979</v>
      </c>
    </row>
    <row r="18952" customFormat="false" ht="17.15" hidden="false" customHeight="false" outlineLevel="0" collapsed="false">
      <c r="A18952" s="0" t="s">
        <v>980</v>
      </c>
      <c r="B18952" s="0" t="s">
        <v>98</v>
      </c>
      <c r="D18952" s="6" t="n">
        <f aca="false">(Sens!C18935+Sens!D18935)/2*Sens!D18951/1000</f>
        <v>12.9359794422418</v>
      </c>
      <c r="E18952" s="6" t="n">
        <f aca="false">(Sens!D18935+Sens!E18935)/2*Sens!E18951/1000</f>
        <v>27.8095064661409</v>
      </c>
      <c r="F18952" s="6" t="n">
        <f aca="false">(Sens!E18935+Sens!F18935)/2*Sens!F18951/1000</f>
        <v>59.5998846356733</v>
      </c>
      <c r="G18952" s="6" t="n">
        <f aca="false">(Sens!F18935+Sens!G18935)/2*Sens!G18951/1000</f>
        <v>104.104330490056</v>
      </c>
      <c r="H18952" s="6" t="n">
        <f aca="false">(Sens!G18935+Sens!H18935)/2*Sens!H18951/1000</f>
        <v>154.663167099744</v>
      </c>
      <c r="I18952" s="6" t="n">
        <f aca="false">(Sens!H18935+Sens!I18935)/2*Sens!I18951/1000</f>
        <v>193.925350110904</v>
      </c>
      <c r="J18952" s="6" t="n">
        <f aca="false">(Sens!I18935+Sens!J18935)/2*Sens!J18951/1000</f>
        <v>221.537483646912</v>
      </c>
      <c r="K18952" s="6" t="n">
        <f aca="false">(Sens!J18935+Sens!K18935)/2*Sens!K18951/1000</f>
        <v>239.42780922768</v>
      </c>
      <c r="L18952" s="12" t="s">
        <v>981</v>
      </c>
    </row>
    <row r="18953" customFormat="false" ht="17.15" hidden="false" customHeight="false" outlineLevel="0" collapsed="false">
      <c r="A18953" s="1" t="s">
        <v>982</v>
      </c>
      <c r="B18953" s="0" t="s">
        <v>403</v>
      </c>
      <c r="C18953" s="15" t="n">
        <f aca="false">(Sens!C18943*tk_opex_h100+Sens!C18944*tk_opex_gb200+Sens!C18945*tk_opex_gb300+(Sens!C18947+Sens!C18946)*tk_opex_vr200)/Sens!C18935</f>
        <v>1.88636041306092</v>
      </c>
      <c r="D18953" s="15" t="n">
        <f aca="false">(Sens!D18943*tk_opex_h100+Sens!D18944*tk_opex_gb200+Sens!D18945*tk_opex_gb300+(Sens!D18947+Sens!D18946)*tk_opex_vr200)/Sens!D18935</f>
        <v>1.88636041306092</v>
      </c>
      <c r="E18953" s="15" t="n">
        <f aca="false">(Sens!E18943*tk_opex_h100+Sens!E18944*tk_opex_gb200+Sens!E18945*tk_opex_gb300+(Sens!E18947+Sens!E18946)*tk_opex_vr200)/Sens!E18935</f>
        <v>1.88636041306092</v>
      </c>
      <c r="F18953" s="15" t="n">
        <f aca="false">(Sens!F18943*tk_opex_h100+Sens!F18944*tk_opex_gb200+Sens!F18945*tk_opex_gb300+(Sens!F18947+Sens!F18946)*tk_opex_vr200)/Sens!F18935</f>
        <v>1.94448060967998</v>
      </c>
      <c r="G18953" s="15" t="n">
        <f aca="false">(Sens!G18943*tk_opex_h100+Sens!G18944*tk_opex_gb200+Sens!G18945*tk_opex_gb300+(Sens!G18947+Sens!G18946)*tk_opex_vr200)/Sens!G18935</f>
        <v>1.98033300621439</v>
      </c>
      <c r="H18953" s="15" t="n">
        <f aca="false">(Sens!H18943*tk_opex_h100+Sens!H18944*tk_opex_gb200+Sens!H18945*tk_opex_gb300+(Sens!H18947+Sens!H18946)*tk_opex_vr200)/Sens!H18935</f>
        <v>2.00447196407118</v>
      </c>
      <c r="I18953" s="15" t="n">
        <f aca="false">(Sens!I18943*tk_opex_h100+Sens!I18944*tk_opex_gb200+Sens!I18945*tk_opex_gb300+(Sens!I18947+Sens!I18946)*tk_opex_vr200)/Sens!I18935</f>
        <v>2.02301766141526</v>
      </c>
      <c r="J18953" s="15" t="n">
        <f aca="false">(Sens!J18943*tk_opex_h100+Sens!J18944*tk_opex_gb200+Sens!J18945*tk_opex_gb300+(Sens!J18947+Sens!J18946)*tk_opex_vr200)/Sens!J18935</f>
        <v>2.03801098284977</v>
      </c>
      <c r="K18953" s="15" t="n">
        <f aca="false">(Sens!K18943*tk_opex_h100+Sens!K18944*tk_opex_gb200+Sens!K18945*tk_opex_gb300+(Sens!K18947+Sens!K18946)*tk_opex_vr200)/Sens!K18935</f>
        <v>2.05900362247765</v>
      </c>
      <c r="L18953" s="12" t="s">
        <v>983</v>
      </c>
    </row>
    <row r="18954" customFormat="false" ht="17.15" hidden="false" customHeight="false" outlineLevel="0" collapsed="false">
      <c r="A18954" s="0" t="s">
        <v>984</v>
      </c>
      <c r="B18954" s="0" t="s">
        <v>98</v>
      </c>
      <c r="D18954" s="6" t="n">
        <f aca="false">(Sens!C18938+Sens!D18938)/2*Sens!D18953/1000</f>
        <v>2.70378325872065</v>
      </c>
      <c r="E18954" s="6" t="n">
        <f aca="false">(Sens!D18938+Sens!E18938)/2*Sens!E18953/1000</f>
        <v>6.17783035277451</v>
      </c>
      <c r="F18954" s="6" t="n">
        <f aca="false">(Sens!E18938+Sens!F18938)/2*Sens!F18953/1000</f>
        <v>12.7024279875285</v>
      </c>
      <c r="G18954" s="6" t="n">
        <f aca="false">(Sens!F18938+Sens!G18938)/2*Sens!G18953/1000</f>
        <v>21.3268674101191</v>
      </c>
      <c r="H18954" s="6" t="n">
        <f aca="false">(Sens!G18938+Sens!H18938)/2*Sens!H18953/1000</f>
        <v>30.4234319812503</v>
      </c>
      <c r="I18954" s="6" t="n">
        <f aca="false">(Sens!H18938+Sens!I18938)/2*Sens!I18953/1000</f>
        <v>38.3254480913315</v>
      </c>
      <c r="J18954" s="6" t="n">
        <f aca="false">(Sens!I18938+Sens!J18938)/2*Sens!J18953/1000</f>
        <v>43.7353061538868</v>
      </c>
      <c r="K18954" s="6" t="n">
        <f aca="false">(Sens!J18938+Sens!K18938)/2*Sens!K18953/1000</f>
        <v>46.8779468017752</v>
      </c>
    </row>
    <row r="18955" customFormat="false" ht="17.15" hidden="false" customHeight="false" outlineLevel="0" collapsed="false">
      <c r="A18955" s="0" t="s">
        <v>985</v>
      </c>
      <c r="B18955" s="0" t="s">
        <v>98</v>
      </c>
      <c r="D18955" s="6" t="n">
        <f aca="false">(Sens!C18936+Sens!D18936)/2*rent_mw/1000</f>
        <v>2.44475</v>
      </c>
      <c r="E18955" s="6" t="n">
        <f aca="false">(Sens!D18936+Sens!E18936)/2*rent_mw/1000</f>
        <v>4.22275</v>
      </c>
      <c r="F18955" s="6" t="n">
        <f aca="false">(Sens!E18936+Sens!F18936)/2*rent_mw/1000</f>
        <v>5.80517</v>
      </c>
      <c r="G18955" s="6" t="n">
        <f aca="false">(Sens!F18936+Sens!G18936)/2*rent_mw/1000</f>
        <v>6.72084</v>
      </c>
      <c r="H18955" s="6" t="n">
        <f aca="false">(Sens!G18936+Sens!H18936)/2*rent_mw/1000</f>
        <v>6.72084</v>
      </c>
      <c r="I18955" s="6" t="n">
        <f aca="false">(Sens!H18936+Sens!I18936)/2*rent_mw/1000</f>
        <v>6.72084</v>
      </c>
      <c r="J18955" s="6" t="n">
        <f aca="false">(Sens!I18936+Sens!J18936)/2*rent_mw/1000</f>
        <v>6.72084</v>
      </c>
      <c r="K18955" s="6" t="n">
        <f aca="false">(Sens!J18936+Sens!K18936)/2*rent_mw/1000</f>
        <v>6.72084</v>
      </c>
    </row>
    <row r="18956" customFormat="false" ht="17.15" hidden="false" customHeight="false" outlineLevel="0" collapsed="false">
      <c r="A18956" s="0" t="s">
        <v>986</v>
      </c>
      <c r="B18956" s="0" t="s">
        <v>98</v>
      </c>
      <c r="D18956" s="6" t="n">
        <f aca="false">(Sens!C18938+Sens!D18938)/2*(1-self_build)*fac_rent/1000</f>
        <v>0.853242375631075</v>
      </c>
      <c r="E18956" s="6" t="n">
        <f aca="false">(Sens!D18938+Sens!E18938)/2*(1-self_build)*fac_rent/1000</f>
        <v>1.94955961408728</v>
      </c>
      <c r="F18956" s="6" t="n">
        <f aca="false">(Sens!E18938+Sens!F18938)/2*(1-self_build)*fac_rent/1000</f>
        <v>3.88873492121333</v>
      </c>
      <c r="G18956" s="6" t="n">
        <f aca="false">(Sens!F18938+Sens!G18938)/2*(1-self_build)*fac_rent/1000</f>
        <v>6.41082701513092</v>
      </c>
      <c r="H18956" s="6" t="n">
        <f aca="false">(Sens!G18938+Sens!H18938)/2*(1-self_build)*fac_rent/1000</f>
        <v>9.03510976566478</v>
      </c>
      <c r="I18956" s="6" t="n">
        <f aca="false">(Sens!H18938+Sens!I18938)/2*(1-self_build)*fac_rent/1000</f>
        <v>11.2774986113646</v>
      </c>
      <c r="J18956" s="6" t="n">
        <f aca="false">(Sens!I18938+Sens!J18938)/2*(1-self_build)*fac_rent/1000</f>
        <v>12.7747045968049</v>
      </c>
      <c r="K18956" s="6" t="n">
        <f aca="false">(Sens!J18938+Sens!K18938)/2*(1-self_build)*fac_rent/1000</f>
        <v>13.5530389521403</v>
      </c>
      <c r="L18956" s="12" t="s">
        <v>987</v>
      </c>
    </row>
    <row r="18957" customFormat="false" ht="17.15" hidden="false" customHeight="false" outlineLevel="0" collapsed="false">
      <c r="A18957" s="1" t="s">
        <v>988</v>
      </c>
      <c r="B18957" s="0" t="s">
        <v>168</v>
      </c>
      <c r="D18957" s="7" t="n">
        <f aca="false">(Sens!C18937+Sens!D18937)/(Sens!C18938+Sens!D18938)</f>
        <v>0.6</v>
      </c>
      <c r="E18957" s="7" t="n">
        <f aca="false">(Sens!D18937+Sens!E18937)/(Sens!D18938+Sens!E18938)</f>
        <v>0.6</v>
      </c>
      <c r="F18957" s="7" t="n">
        <f aca="false">(Sens!E18937+Sens!F18937)/(Sens!E18938+Sens!F18938)</f>
        <v>0.6</v>
      </c>
      <c r="G18957" s="7" t="n">
        <f aca="false">(Sens!F18937+Sens!G18937)/(Sens!F18938+Sens!G18938)</f>
        <v>0.6</v>
      </c>
      <c r="H18957" s="7" t="n">
        <f aca="false">(Sens!G18937+Sens!H18937)/(Sens!G18938+Sens!H18938)</f>
        <v>0.6</v>
      </c>
      <c r="I18957" s="7" t="n">
        <f aca="false">(Sens!H18937+Sens!I18937)/(Sens!H18938+Sens!I18938)</f>
        <v>0.6</v>
      </c>
      <c r="J18957" s="7" t="n">
        <f aca="false">(Sens!I18937+Sens!J18937)/(Sens!I18938+Sens!J18938)</f>
        <v>0.6</v>
      </c>
      <c r="K18957" s="7" t="n">
        <f aca="false">(Sens!J18937+Sens!K18937)/(Sens!J18938+Sens!K18938)</f>
        <v>0.6</v>
      </c>
    </row>
    <row r="18958" customFormat="false" ht="17.15" hidden="false" customHeight="false" outlineLevel="0" collapsed="false">
      <c r="A18958" s="0" t="s">
        <v>989</v>
      </c>
      <c r="B18958" s="0" t="s">
        <v>98</v>
      </c>
      <c r="D18958" s="6" t="n">
        <f aca="false">Sens!D18952-Sens!D18957*(Sens!D18954+Sens!D18956)-Sens!D18955</f>
        <v>8.35701406163072</v>
      </c>
      <c r="E18958" s="6" t="n">
        <f aca="false">Sens!E18952-Sens!E18957*(Sens!E18954+Sens!E18956)-Sens!E18955</f>
        <v>18.7103224860238</v>
      </c>
      <c r="F18958" s="6" t="n">
        <f aca="false">Sens!F18952-Sens!F18957*(Sens!F18954+Sens!F18956)-Sens!F18955</f>
        <v>43.8400168904282</v>
      </c>
      <c r="G18958" s="6" t="n">
        <f aca="false">Sens!G18952-Sens!G18957*(Sens!G18954+Sens!G18956)-Sens!G18955</f>
        <v>80.7408738349063</v>
      </c>
      <c r="H18958" s="6" t="n">
        <f aca="false">Sens!H18952-Sens!H18957*(Sens!H18954+Sens!H18956)-Sens!H18955</f>
        <v>124.267202051595</v>
      </c>
      <c r="I18958" s="6" t="n">
        <f aca="false">Sens!I18952-Sens!I18957*(Sens!I18954+Sens!I18956)-Sens!I18955</f>
        <v>157.442742089286</v>
      </c>
      <c r="J18958" s="6" t="n">
        <f aca="false">Sens!J18952-Sens!J18957*(Sens!J18954+Sens!J18956)-Sens!J18955</f>
        <v>180.910637196497</v>
      </c>
      <c r="K18958" s="6" t="n">
        <f aca="false">Sens!K18952-Sens!K18957*(Sens!K18954+Sens!K18956)-Sens!K18955</f>
        <v>196.44837777533</v>
      </c>
    </row>
    <row r="18959" customFormat="false" ht="17.15" hidden="false" customHeight="false" outlineLevel="0" collapsed="false">
      <c r="A18959" s="1" t="s">
        <v>990</v>
      </c>
      <c r="B18959" s="0" t="s">
        <v>98</v>
      </c>
      <c r="D18959" s="6" t="n">
        <f aca="false">(1-Sens!D18957)*(Sens!D18954+Sens!D18956)</f>
        <v>1.42281025374069</v>
      </c>
      <c r="E18959" s="6" t="n">
        <f aca="false">(1-Sens!E18957)*(Sens!E18954+Sens!E18956)</f>
        <v>3.25095598674472</v>
      </c>
      <c r="F18959" s="6" t="n">
        <f aca="false">(1-Sens!F18957)*(Sens!F18954+Sens!F18956)</f>
        <v>6.63646516349673</v>
      </c>
      <c r="G18959" s="6" t="n">
        <f aca="false">(1-Sens!G18957)*(Sens!G18954+Sens!G18956)</f>
        <v>11.0950777701</v>
      </c>
      <c r="H18959" s="6" t="n">
        <f aca="false">(1-Sens!H18957)*(Sens!H18954+Sens!H18956)</f>
        <v>15.783416698766</v>
      </c>
      <c r="I18959" s="6" t="n">
        <f aca="false">(1-Sens!I18957)*(Sens!I18954+Sens!I18956)</f>
        <v>19.8411786810784</v>
      </c>
      <c r="J18959" s="6" t="n">
        <f aca="false">(1-Sens!J18957)*(Sens!J18954+Sens!J18956)</f>
        <v>22.6040043002767</v>
      </c>
      <c r="K18959" s="6" t="n">
        <f aca="false">(1-Sens!K18957)*(Sens!K18954+Sens!K18956)</f>
        <v>24.1723943015662</v>
      </c>
    </row>
    <row r="18960" customFormat="false" ht="17.15" hidden="false" customHeight="false" outlineLevel="0" collapsed="false">
      <c r="A18960" s="1" t="s">
        <v>991</v>
      </c>
      <c r="B18960" s="0" t="s">
        <v>417</v>
      </c>
      <c r="C18960" s="8" t="n">
        <f aca="false">cxit_open</f>
        <v>27.5918995</v>
      </c>
      <c r="D18960" s="8" t="n">
        <f aca="false">cxit_open</f>
        <v>27.5918995</v>
      </c>
      <c r="E18960" s="8" t="n">
        <f aca="false">cxit_open</f>
        <v>27.5918995</v>
      </c>
      <c r="F18960" s="8" t="n">
        <f aca="false">((a_g3_27-0*a_mai)*tk_cxit_gb300+0*a_mai*nv_hold_mai*tk_cxit_vr200+(1-a_g3_27)*tk_cxit_vr200)</f>
        <v>33.8419624</v>
      </c>
      <c r="G18960" s="8" t="n">
        <f aca="false">((a_g3_28-0*a_mai)*tk_cxit_gb300+0*a_mai*nv_hold_mai*tk_cxit_vr200+(1-a_g3_28)*tk_cxit_vr200)</f>
        <v>35.9816136</v>
      </c>
      <c r="H18960" s="8" t="n">
        <f aca="false">((a_g3_29-0*a_mai)*tk_cxit_gb300+0*a_mai*nv_hold_mai*tk_cxit_vr200+(1-a_g3_29)*tk_cxit_vr200)</f>
        <v>37.0514392</v>
      </c>
      <c r="I18960" s="8" t="n">
        <f aca="false">((a_g3_29-0*a_mai)*tk_cxit_gb300+0*a_mai*nv_hold_mai*tk_cxit_vr200+(1-a_g3_29)*tk_cxit_vr200)</f>
        <v>37.0514392</v>
      </c>
      <c r="J18960" s="8" t="n">
        <f aca="false">((a_g3_29-0*a_mai)*tk_cxit_gb300+0*a_mai*nv_hold_mai*tk_cxit_vr200+(1-a_g3_29)*tk_cxit_vr200)</f>
        <v>37.0514392</v>
      </c>
      <c r="K18960" s="8" t="n">
        <f aca="false">((a_g3_29-0*a_mai)*tk_cxit_gb300+0*a_mai*nv_hold_mai*tk_cxit_vr200+(1-a_g3_29)*tk_cxit_vr200)</f>
        <v>37.0514392</v>
      </c>
      <c r="L18960" s="12" t="s">
        <v>992</v>
      </c>
    </row>
    <row r="18961" customFormat="false" ht="17.15" hidden="false" customHeight="false" outlineLevel="0" collapsed="false">
      <c r="A18961" s="0" t="s">
        <v>993</v>
      </c>
      <c r="B18961" s="0" t="s">
        <v>459</v>
      </c>
      <c r="F18961" s="30" t="n">
        <f aca="false">Sens!C18940*IF(Sens!F18933-Sens!C18933=life_it,1,0)+Sens!D18940*IF(Sens!F18933-Sens!D18933=life_it,1,0)+Sens!E18940*IF(Sens!F18933-Sens!E18933=life_it,1,0)</f>
        <v>0</v>
      </c>
      <c r="G18961" s="30" t="n">
        <f aca="false">Sens!C18940*IF(Sens!G18933-Sens!C18933=life_it,1,0)+Sens!D18940*IF(Sens!G18933-Sens!D18933=life_it,1,0)+Sens!E18940*IF(Sens!G18933-Sens!E18933=life_it,1,0)+Sens!F18940*IF(Sens!G18933-Sens!F18933=life_it,1,0)</f>
        <v>0</v>
      </c>
      <c r="H18961" s="30" t="n">
        <f aca="false">Sens!C18940*IF(Sens!H18933-Sens!C18933=life_it,1,0)+Sens!D18940*IF(Sens!H18933-Sens!D18933=life_it,1,0)+Sens!E18940*IF(Sens!H18933-Sens!E18933=life_it,1,0)+Sens!F18940*IF(Sens!H18933-Sens!F18933=life_it,1,0)+Sens!G18940*IF(Sens!H18933-Sens!G18933=life_it,1,0)</f>
        <v>0</v>
      </c>
      <c r="I18961" s="30" t="n">
        <f aca="false">Sens!C18940*IF(Sens!I18933-Sens!C18933=life_it,1,0)+Sens!D18940*IF(Sens!I18933-Sens!D18933=life_it,1,0)+Sens!E18940*IF(Sens!I18933-Sens!E18933=life_it,1,0)+Sens!F18940*IF(Sens!I18933-Sens!F18933=life_it,1,0)+Sens!G18940*IF(Sens!I18933-Sens!G18933=life_it,1,0)+Sens!H18940*IF(Sens!I18933-Sens!H18933=life_it,1,0)</f>
        <v>816.666666666667</v>
      </c>
      <c r="J18961" s="30" t="n">
        <f aca="false">Sens!C18940*IF(Sens!J18933-Sens!C18933=life_it,1,0)+Sens!D18940*IF(Sens!J18933-Sens!D18933=life_it,1,0)+Sens!E18940*IF(Sens!J18933-Sens!E18933=life_it,1,0)+Sens!F18940*IF(Sens!J18933-Sens!F18933=life_it,1,0)+Sens!G18940*IF(Sens!J18933-Sens!G18933=life_it,1,0)+Sens!H18940*IF(Sens!J18933-Sens!H18933=life_it,1,0)+Sens!I18940*IF(Sens!J18933-Sens!I18933=life_it,1,0)</f>
        <v>1233.33333333333</v>
      </c>
      <c r="K18961" s="30" t="n">
        <f aca="false">Sens!C18940*IF(Sens!K18933-Sens!C18933=life_it,1,0)+Sens!D18940*IF(Sens!K18933-Sens!D18933=life_it,1,0)+Sens!E18940*IF(Sens!K18933-Sens!E18933=life_it,1,0)+Sens!F18940*IF(Sens!K18933-Sens!F18933=life_it,1,0)+Sens!G18940*IF(Sens!K18933-Sens!G18933=life_it,1,0)+Sens!H18940*IF(Sens!K18933-Sens!H18933=life_it,1,0)+Sens!I18940*IF(Sens!K18933-Sens!I18933=life_it,1,0)+Sens!J18940*IF(Sens!K18933-Sens!J18933=life_it,1,0)</f>
        <v>2450</v>
      </c>
      <c r="L18961" s="1" t="s">
        <v>994</v>
      </c>
    </row>
    <row r="18962" customFormat="false" ht="17.15" hidden="false" customHeight="false" outlineLevel="0" collapsed="false">
      <c r="A18962" s="0" t="s">
        <v>995</v>
      </c>
      <c r="B18962" s="0" t="s">
        <v>98</v>
      </c>
      <c r="C18962" s="6" t="n">
        <f aca="false">Sens!C18940*Sens!C18960/1000</f>
        <v>22.5333845916667</v>
      </c>
      <c r="D18962" s="6" t="n">
        <f aca="false">Sens!D18940*Sens!D18960/1000</f>
        <v>34.0300093833333</v>
      </c>
      <c r="E18962" s="6" t="n">
        <f aca="false">Sens!E18940*Sens!E18960/1000</f>
        <v>67.600153775</v>
      </c>
      <c r="F18962" s="6" t="n">
        <f aca="false">(Sens!F18940+Sens!F18961)*Sens!F18960/1000</f>
        <v>137.571350534808</v>
      </c>
      <c r="G18962" s="6" t="n">
        <f aca="false">(Sens!G18940+Sens!G18961)*Sens!G18960/1000</f>
        <v>158.622958569916</v>
      </c>
      <c r="H18962" s="6" t="n">
        <f aca="false">(Sens!H18940+Sens!H18961)*Sens!H18960/1000</f>
        <v>163.339225708804</v>
      </c>
      <c r="I18962" s="6" t="n">
        <f aca="false">(Sens!I18940+Sens!I18961)*Sens!I18960/1000</f>
        <v>146.0586222138</v>
      </c>
      <c r="J18962" s="6" t="n">
        <f aca="false">(Sens!J18940+Sens!J18961)*Sens!J18960/1000</f>
        <v>116.273441976139</v>
      </c>
      <c r="K18962" s="6" t="n">
        <f aca="false">(Sens!K18940+Sens!K18961)*Sens!K18960/1000</f>
        <v>117.088713638691</v>
      </c>
    </row>
    <row r="18963" customFormat="false" ht="17.15" hidden="false" customHeight="false" outlineLevel="0" collapsed="false">
      <c r="A18963" s="0" t="s">
        <v>996</v>
      </c>
      <c r="B18963" s="0" t="s">
        <v>98</v>
      </c>
      <c r="C18963" s="6" t="n">
        <f aca="false">Sens!C18940*self_build*tk_cxfac/1000</f>
        <v>6.2083</v>
      </c>
      <c r="D18963" s="6" t="n">
        <f aca="false">Sens!D18940*self_build*tk_cxfac/1000</f>
        <v>9.3758</v>
      </c>
      <c r="E18963" s="6" t="n">
        <f aca="false">Sens!E18940*self_build*tk_cxfac/1000</f>
        <v>18.6249</v>
      </c>
      <c r="F18963" s="6" t="n">
        <f aca="false">Sens!F18940*self_build*tk_cxfac/1000</f>
        <v>30.902977623</v>
      </c>
      <c r="G18963" s="6" t="n">
        <f aca="false">Sens!G18940*self_build*tk_cxfac/1000</f>
        <v>33.512997623</v>
      </c>
      <c r="H18963" s="6" t="n">
        <f aca="false">Sens!H18940*self_build*tk_cxfac/1000</f>
        <v>33.512997623</v>
      </c>
      <c r="I18963" s="6" t="n">
        <f aca="false">Sens!I18940*self_build*tk_cxfac/1000</f>
        <v>23.7591633440233</v>
      </c>
      <c r="J18963" s="6" t="n">
        <f aca="false">Sens!J18940*self_build*tk_cxfac/1000</f>
        <v>14.4805123319271</v>
      </c>
      <c r="K18963" s="6" t="n">
        <f aca="false">Sens!K18940*self_build*tk_cxfac/1000</f>
        <v>5.39868505634851</v>
      </c>
    </row>
    <row r="18964" customFormat="false" ht="17.15" hidden="false" customHeight="false" outlineLevel="0" collapsed="false">
      <c r="A18964" s="0" t="s">
        <v>997</v>
      </c>
      <c r="B18964" s="0" t="s">
        <v>98</v>
      </c>
      <c r="F18964" s="15" t="n">
        <f aca="false">capex_floor27-Sens!F18962-Sens!F18963-Sens!F19060</f>
        <v>0.0489566635383412</v>
      </c>
      <c r="L18964" s="12" t="s">
        <v>998</v>
      </c>
    </row>
    <row r="18965" customFormat="false" ht="17.15" hidden="false" customHeight="false" outlineLevel="0" collapsed="false">
      <c r="A18965" s="0" t="s">
        <v>999</v>
      </c>
      <c r="B18965" s="0" t="s">
        <v>98</v>
      </c>
      <c r="F18965" s="6" t="n">
        <f aca="false">MAX(0,Sens!F18964)</f>
        <v>0.0489566635383412</v>
      </c>
    </row>
    <row r="18966" customFormat="false" ht="17.15" hidden="false" customHeight="false" outlineLevel="0" collapsed="false">
      <c r="A18966" s="0" t="s">
        <v>1000</v>
      </c>
      <c r="B18966" s="0" t="s">
        <v>98</v>
      </c>
      <c r="C18966" s="6" t="n">
        <f aca="false">Sens!C18962</f>
        <v>22.5333845916667</v>
      </c>
      <c r="D18966" s="6" t="n">
        <f aca="false">Sens!D18962</f>
        <v>34.0300093833333</v>
      </c>
      <c r="E18966" s="6" t="n">
        <f aca="false">Sens!E18962</f>
        <v>67.600153775</v>
      </c>
      <c r="F18966" s="6" t="n">
        <f aca="false">Sens!F18962</f>
        <v>137.571350534808</v>
      </c>
      <c r="G18966" s="6" t="n">
        <f aca="false">Sens!G18962</f>
        <v>158.622958569916</v>
      </c>
      <c r="H18966" s="6" t="n">
        <f aca="false">Sens!H18962</f>
        <v>163.339225708804</v>
      </c>
      <c r="I18966" s="6" t="n">
        <f aca="false">Sens!I18962</f>
        <v>146.0586222138</v>
      </c>
      <c r="J18966" s="6" t="n">
        <f aca="false">Sens!J18962</f>
        <v>116.273441976139</v>
      </c>
      <c r="K18966" s="6" t="n">
        <f aca="false">Sens!K18962</f>
        <v>117.088713638691</v>
      </c>
    </row>
    <row r="18967" customFormat="false" ht="17.15" hidden="false" customHeight="false" outlineLevel="0" collapsed="false">
      <c r="A18967" s="0" t="s">
        <v>1001</v>
      </c>
      <c r="B18967" s="0" t="s">
        <v>98</v>
      </c>
      <c r="C18967" s="6" t="n">
        <f aca="false">Sens!C18966+Sens!C18963</f>
        <v>28.7416845916667</v>
      </c>
      <c r="D18967" s="6" t="n">
        <f aca="false">Sens!D18966+Sens!D18963</f>
        <v>43.4058093833333</v>
      </c>
      <c r="E18967" s="6" t="n">
        <f aca="false">Sens!E18966+Sens!E18963</f>
        <v>86.225053775</v>
      </c>
      <c r="F18967" s="6" t="n">
        <f aca="false">Sens!F18966+Sens!F18963</f>
        <v>168.474328157808</v>
      </c>
      <c r="G18967" s="6" t="n">
        <f aca="false">Sens!G18966+Sens!G18963</f>
        <v>192.135956192916</v>
      </c>
      <c r="H18967" s="6" t="n">
        <f aca="false">Sens!H18966+Sens!H18963</f>
        <v>196.852223331804</v>
      </c>
      <c r="I18967" s="6" t="n">
        <f aca="false">Sens!I18966+Sens!I18963</f>
        <v>169.817785557824</v>
      </c>
      <c r="J18967" s="6" t="n">
        <f aca="false">Sens!J18966+Sens!J18963</f>
        <v>130.753954308066</v>
      </c>
      <c r="K18967" s="6" t="n">
        <f aca="false">Sens!K18966+Sens!K18963</f>
        <v>122.487398695039</v>
      </c>
      <c r="L18967" s="12" t="s">
        <v>1002</v>
      </c>
    </row>
    <row r="18968" customFormat="false" ht="17.15" hidden="false" customHeight="false" outlineLevel="0" collapsed="false">
      <c r="A18968" s="0" t="s">
        <v>1003</v>
      </c>
      <c r="B18968" s="0" t="s">
        <v>98</v>
      </c>
      <c r="E18968" s="6" t="n">
        <f aca="false">(Sens!C18966*IF(2&lt;life_it,1,IF(2=life_it,0.5,0))+Sens!D18966*IF(1&lt;life_it,1,IF(1=life_it,0.5,0))+Sens!E18966*0.5)/life_it</f>
        <v>15.0605784770833</v>
      </c>
      <c r="F18968" s="6" t="n">
        <f aca="false">(Sens!C18966*IF(3&lt;life_it,1,IF(3=life_it,0.5,0))+Sens!D18966*IF(2&lt;life_it,1,IF(2=life_it,0.5,0))+Sens!E18966*IF(1&lt;life_it,1,IF(1=life_it,0.5,0))+Sens!F18966*0.5)/life_it</f>
        <v>32.158203836234</v>
      </c>
      <c r="G18968" s="6" t="n">
        <f aca="false">(Sens!C18966*IF(4&lt;life_it,1,IF(4=life_it,0.5,0))+Sens!D18966*IF(3&lt;life_it,1,IF(3=life_it,0.5,0))+Sens!E18966*IF(2&lt;life_it,1,IF(2=life_it,0.5,0))+Sens!F18966*IF(1&lt;life_it,1,IF(1=life_it,0.5,0))+Sens!G18966*0.5)/life_it</f>
        <v>56.8410629282943</v>
      </c>
      <c r="H18968" s="6" t="n">
        <f aca="false">(Sens!C18966*IF(5&lt;life_it,1,IF(5=life_it,0.5,0))+Sens!D18966*IF(4&lt;life_it,1,IF(4=life_it,0.5,0))+Sens!E18966*IF(3&lt;life_it,1,IF(3=life_it,0.5,0))+Sens!F18966*IF(2&lt;life_it,1,IF(2=life_it,0.5,0))+Sens!G18966*IF(1&lt;life_it,1,IF(1=life_it,0.5,0))+Sens!H18966*0.5)/life_it</f>
        <v>83.671244951521</v>
      </c>
      <c r="I18968" s="6" t="n">
        <f aca="false">(Sens!C18966*IF(6&lt;life_it,1,IF(6=life_it,0.5,0))+Sens!D18966*IF(5&lt;life_it,1,IF(5=life_it,0.5,0))+Sens!E18966*IF(4&lt;life_it,1,IF(4=life_it,0.5,0))+Sens!F18966*IF(3&lt;life_it,1,IF(3=life_it,0.5,0))+Sens!G18966*IF(2&lt;life_it,1,IF(2=life_it,0.5,0))+Sens!H18966*IF(1&lt;life_it,1,IF(1=life_it,0.5,0))+Sens!I18966*0.5)/life_it</f>
        <v>107.576616895766</v>
      </c>
      <c r="J18968" s="6" t="n">
        <f aca="false">(Sens!C18966*IF(7&lt;life_it,1,IF(7=life_it,0.5,0))+Sens!D18966*IF(6&lt;life_it,1,IF(6=life_it,0.5,0))+Sens!E18966*IF(5&lt;life_it,1,IF(5=life_it,0.5,0))+Sens!F18966*IF(4&lt;life_it,1,IF(4=life_it,0.5,0))+Sens!G18966*IF(3&lt;life_it,1,IF(3=life_it,0.5,0))+Sens!H18966*IF(2&lt;life_it,1,IF(2=life_it,0.5,0))+Sens!I18966*IF(1&lt;life_it,1,IF(1=life_it,0.5,0))+Sens!J18966*0.5)/life_it</f>
        <v>124.724006080344</v>
      </c>
      <c r="K18968" s="6" t="n">
        <f aca="false">(Sens!C18966*IF(8&lt;life_it,1,IF(8=life_it,0.5,0))+Sens!D18966*IF(7&lt;life_it,1,IF(7=life_it,0.5,0))+Sens!E18966*IF(6&lt;life_it,1,IF(6=life_it,0.5,0))+Sens!F18966*IF(5&lt;life_it,1,IF(5=life_it,0.5,0))+Sens!G18966*IF(4&lt;life_it,1,IF(4=life_it,0.5,0))+Sens!H18966*IF(3&lt;life_it,1,IF(3=life_it,0.5,0))+Sens!I18966*IF(2&lt;life_it,1,IF(2=life_it,0.5,0))+Sens!J18966*IF(1&lt;life_it,1,IF(1=life_it,0.5,0))+Sens!K18966*0.5)/life_it</f>
        <v>135.701672118385</v>
      </c>
    </row>
    <row r="18969" customFormat="false" ht="17.15" hidden="false" customHeight="false" outlineLevel="0" collapsed="false">
      <c r="A18969" s="0" t="s">
        <v>1004</v>
      </c>
      <c r="B18969" s="0" t="s">
        <v>98</v>
      </c>
      <c r="E18969" s="6" t="n">
        <f aca="false">(Sens!C18963*IF(2&lt;life_fac,1,IF(2=life_fac,0.5,0))+Sens!D18963*IF(1&lt;life_fac,1,IF(1=life_fac,0.5,0))+Sens!E18963*0.5)/life_fac</f>
        <v>1.2448275</v>
      </c>
      <c r="F18969" s="6" t="n">
        <f aca="false">(Sens!C18963*IF(3&lt;life_fac,1,IF(3=life_fac,0.5,0))+Sens!D18963*IF(2&lt;life_fac,1,IF(2=life_fac,0.5,0))+Sens!E18963*IF(1&lt;life_fac,1,IF(1=life_fac,0.5,0))+Sens!F18963*0.5)/life_fac</f>
        <v>2.483024440575</v>
      </c>
      <c r="G18969" s="6" t="n">
        <f aca="false">(Sens!C18963*IF(4&lt;life_fac,1,IF(4=life_fac,0.5,0))+Sens!D18963*IF(3&lt;life_fac,1,IF(3=life_fac,0.5,0))+Sens!E18963*IF(2&lt;life_fac,1,IF(2=life_fac,0.5,0))+Sens!F18963*IF(1&lt;life_fac,1,IF(1=life_fac,0.5,0))+Sens!G18963*0.5)/life_fac</f>
        <v>4.093423821725</v>
      </c>
      <c r="H18969" s="6" t="n">
        <f aca="false">(Sens!C18963*IF(5&lt;life_fac,1,IF(5=life_fac,0.5,0))+Sens!D18963*IF(4&lt;life_fac,1,IF(4=life_fac,0.5,0))+Sens!E18963*IF(3&lt;life_fac,1,IF(3=life_fac,0.5,0))+Sens!F18963*IF(2&lt;life_fac,1,IF(2=life_fac,0.5,0))+Sens!G18963*IF(1&lt;life_fac,1,IF(1=life_fac,0.5,0))+Sens!H18963*0.5)/life_fac</f>
        <v>5.769073702875</v>
      </c>
      <c r="I18969" s="6" t="n">
        <f aca="false">(Sens!C18963*IF(6&lt;life_fac,1,IF(6=life_fac,0.5,0))+Sens!D18963*IF(5&lt;life_fac,1,IF(5=life_fac,0.5,0))+Sens!E18963*IF(4&lt;life_fac,1,IF(4=life_fac,0.5,0))+Sens!F18963*IF(3&lt;life_fac,1,IF(3=life_fac,0.5,0))+Sens!G18963*IF(2&lt;life_fac,1,IF(2=life_fac,0.5,0))+Sens!H18963*IF(1&lt;life_fac,1,IF(1=life_fac,0.5,0))+Sens!I18963*0.5)/life_fac</f>
        <v>7.20087772705058</v>
      </c>
      <c r="J18969" s="6" t="n">
        <f aca="false">(Sens!C18963*IF(7&lt;life_fac,1,IF(7=life_fac,0.5,0))+Sens!D18963*IF(6&lt;life_fac,1,IF(6=life_fac,0.5,0))+Sens!E18963*IF(5&lt;life_fac,1,IF(5=life_fac,0.5,0))+Sens!F18963*IF(4&lt;life_fac,1,IF(4=life_fac,0.5,0))+Sens!G18963*IF(3&lt;life_fac,1,IF(3=life_fac,0.5,0))+Sens!H18963*IF(2&lt;life_fac,1,IF(2=life_fac,0.5,0))+Sens!I18963*IF(1&lt;life_fac,1,IF(1=life_fac,0.5,0))+Sens!J18963*0.5)/life_fac</f>
        <v>8.15686961894934</v>
      </c>
      <c r="K18969" s="6" t="n">
        <f aca="false">(Sens!C18963*IF(8&lt;life_fac,1,IF(8=life_fac,0.5,0))+Sens!D18963*IF(7&lt;life_fac,1,IF(7=life_fac,0.5,0))+Sens!E18963*IF(6&lt;life_fac,1,IF(6=life_fac,0.5,0))+Sens!F18963*IF(5&lt;life_fac,1,IF(5=life_fac,0.5,0))+Sens!G18963*IF(4&lt;life_fac,1,IF(4=life_fac,0.5,0))+Sens!H18963*IF(3&lt;life_fac,1,IF(3=life_fac,0.5,0))+Sens!I18963*IF(2&lt;life_fac,1,IF(2=life_fac,0.5,0))+Sens!J18963*IF(1&lt;life_fac,1,IF(1=life_fac,0.5,0))+Sens!K18963*0.5)/life_fac</f>
        <v>8.65384955365624</v>
      </c>
    </row>
    <row r="18970" customFormat="false" ht="17.15" hidden="false" customHeight="false" outlineLevel="0" collapsed="false">
      <c r="A18970" s="0" t="s">
        <v>1005</v>
      </c>
      <c r="B18970" s="0" t="s">
        <v>98</v>
      </c>
      <c r="E18970" s="6" t="n">
        <f aca="false">Sens!E18968+Sens!E18969</f>
        <v>16.3054059770833</v>
      </c>
      <c r="F18970" s="6" t="n">
        <f aca="false">Sens!F18968+Sens!F18969</f>
        <v>34.641228276809</v>
      </c>
      <c r="G18970" s="6" t="n">
        <f aca="false">Sens!G18968+Sens!G18969</f>
        <v>60.9344867500193</v>
      </c>
      <c r="H18970" s="6" t="n">
        <f aca="false">Sens!H18968+Sens!H18969</f>
        <v>89.440318654396</v>
      </c>
      <c r="I18970" s="6" t="n">
        <f aca="false">Sens!I18968+Sens!I18969</f>
        <v>114.777494622816</v>
      </c>
      <c r="J18970" s="6" t="n">
        <f aca="false">Sens!J18968+Sens!J18969</f>
        <v>132.880875699293</v>
      </c>
      <c r="K18970" s="6" t="n">
        <f aca="false">Sens!K18968+Sens!K18969</f>
        <v>144.355521672042</v>
      </c>
    </row>
    <row r="18971" customFormat="false" ht="17.15" hidden="false" customHeight="false" outlineLevel="0" collapsed="false">
      <c r="A18971" s="0" t="s">
        <v>1006</v>
      </c>
      <c r="B18971" s="0" t="s">
        <v>98</v>
      </c>
      <c r="E18971" s="6" t="n">
        <f aca="false">Sens!E18958-Sens!E18957*Sens!E18970</f>
        <v>8.92707889977379</v>
      </c>
      <c r="F18971" s="6" t="n">
        <f aca="false">Sens!F18958-Sens!F18957*Sens!F18970</f>
        <v>23.0552799243428</v>
      </c>
      <c r="G18971" s="6" t="n">
        <f aca="false">Sens!G18958-Sens!G18957*Sens!G18970</f>
        <v>44.1801817848947</v>
      </c>
      <c r="H18971" s="6" t="n">
        <f aca="false">Sens!H18958-Sens!H18957*Sens!H18970</f>
        <v>70.6030108589578</v>
      </c>
      <c r="I18971" s="6" t="n">
        <f aca="false">Sens!I18958-Sens!I18957*Sens!I18970</f>
        <v>88.5762453155964</v>
      </c>
      <c r="J18971" s="6" t="n">
        <f aca="false">Sens!J18958-Sens!J18957*Sens!J18970</f>
        <v>101.182111776921</v>
      </c>
      <c r="K18971" s="6" t="n">
        <f aca="false">Sens!K18958-Sens!K18957*Sens!K18970</f>
        <v>109.835064772105</v>
      </c>
    </row>
    <row r="18972" customFormat="false" ht="17.15" hidden="false" customHeight="false" outlineLevel="0" collapsed="false">
      <c r="A18972" s="3" t="s">
        <v>2080</v>
      </c>
    </row>
    <row r="18973" customFormat="false" ht="15" hidden="false" customHeight="false" outlineLevel="0" collapsed="false">
      <c r="A18973" s="4" t="s">
        <v>43</v>
      </c>
      <c r="B18973" s="4" t="s">
        <v>65</v>
      </c>
      <c r="C18973" s="23" t="s">
        <v>942</v>
      </c>
      <c r="D18973" s="23" t="s">
        <v>943</v>
      </c>
      <c r="E18973" s="23" t="s">
        <v>944</v>
      </c>
      <c r="F18973" s="23" t="s">
        <v>945</v>
      </c>
      <c r="G18973" s="23" t="s">
        <v>946</v>
      </c>
      <c r="H18973" s="23" t="s">
        <v>947</v>
      </c>
      <c r="I18973" s="23" t="s">
        <v>948</v>
      </c>
      <c r="J18973" s="23" t="s">
        <v>949</v>
      </c>
      <c r="K18973" s="23" t="s">
        <v>950</v>
      </c>
      <c r="L18973" s="4" t="s">
        <v>47</v>
      </c>
    </row>
    <row r="18974" customFormat="false" ht="17.15" hidden="false" customHeight="false" outlineLevel="0" collapsed="false">
      <c r="A18974" s="0" t="s">
        <v>1025</v>
      </c>
      <c r="B18974" s="0" t="s">
        <v>98</v>
      </c>
      <c r="D18974" s="6" t="n">
        <f aca="false">Sens!D18952</f>
        <v>12.9359794422418</v>
      </c>
      <c r="E18974" s="6" t="n">
        <f aca="false">Sens!E18952</f>
        <v>27.8095064661409</v>
      </c>
      <c r="F18974" s="6" t="n">
        <f aca="false">Sens!F18952</f>
        <v>59.5998846356733</v>
      </c>
      <c r="G18974" s="6" t="n">
        <f aca="false">Sens!G18952</f>
        <v>104.104330490056</v>
      </c>
      <c r="H18974" s="6" t="n">
        <f aca="false">Sens!H18952</f>
        <v>154.663167099744</v>
      </c>
      <c r="I18974" s="6" t="n">
        <f aca="false">Sens!I18952</f>
        <v>193.925350110904</v>
      </c>
      <c r="J18974" s="6" t="n">
        <f aca="false">Sens!J18952</f>
        <v>221.537483646912</v>
      </c>
      <c r="K18974" s="6" t="n">
        <f aca="false">Sens!K18952</f>
        <v>239.42780922768</v>
      </c>
    </row>
    <row r="18975" customFormat="false" ht="17.15" hidden="false" customHeight="false" outlineLevel="0" collapsed="false">
      <c r="A18975" s="0" t="s">
        <v>1026</v>
      </c>
      <c r="B18975" s="0" t="s">
        <v>98</v>
      </c>
      <c r="D18975" s="6" t="n">
        <f aca="false">Q!L6-Sens!D18974</f>
        <v>59.6740205577583</v>
      </c>
      <c r="E18975" s="6" t="n">
        <f aca="false">Q!M6-Sens!E18974</f>
        <v>74.1284935338591</v>
      </c>
      <c r="F18975" s="6" t="n">
        <f aca="false">Q!$I$6+(Sens!F18974+Sens!E18975*(1+Sens!F18976))*(1-Q!$E$6/Q!M6)-Sens!F18974</f>
        <v>90.3775851372552</v>
      </c>
      <c r="G18975" s="6" t="n">
        <f aca="false">Sens!F18975*(1+Sens!G18976)</f>
        <v>107.382060482057</v>
      </c>
      <c r="H18975" s="6" t="n">
        <f aca="false">Sens!G18975*(1+Sens!H18976)</f>
        <v>124.682592730732</v>
      </c>
      <c r="I18975" s="6" t="n">
        <f aca="false">Sens!H18975*(1+Sens!I18976)</f>
        <v>141.399364929276</v>
      </c>
      <c r="J18975" s="6" t="n">
        <f aca="false">Sens!I18975*(1+Sens!J18976)</f>
        <v>156.534373129984</v>
      </c>
      <c r="K18975" s="6" t="n">
        <f aca="false">Sens!J18975*(1+Sens!K18976)</f>
        <v>169.057122980383</v>
      </c>
      <c r="L18975" s="12" t="s">
        <v>1027</v>
      </c>
    </row>
    <row r="18976" customFormat="false" ht="15" hidden="false" customHeight="false" outlineLevel="0" collapsed="false">
      <c r="A18976" s="1" t="s">
        <v>1028</v>
      </c>
      <c r="B18976" s="0" t="s">
        <v>168</v>
      </c>
      <c r="E18976" s="7" t="n">
        <f aca="false">Sens!E18975/Sens!D18975-1</f>
        <v>0.242223883039864</v>
      </c>
      <c r="F18976" s="7" t="n">
        <f aca="false">Sens!$E$18976+(glt_azo-Sens!$E$18976)*MIN(1,(Sens!F18933-base_fy)/n_conv)</f>
        <v>0.215186569199887</v>
      </c>
      <c r="G18976" s="7" t="n">
        <f aca="false">Sens!$E$18976+(glt_azo-Sens!$E$18976)*MIN(1,(Sens!G18933-base_fy)/n_conv)</f>
        <v>0.18814925535991</v>
      </c>
      <c r="H18976" s="7" t="n">
        <f aca="false">Sens!$E$18976+(glt_azo-Sens!$E$18976)*MIN(1,(Sens!H18933-base_fy)/n_conv)</f>
        <v>0.161111941519932</v>
      </c>
      <c r="I18976" s="7" t="n">
        <f aca="false">Sens!$E$18976+(glt_azo-Sens!$E$18976)*MIN(1,(Sens!I18933-base_fy)/n_conv)</f>
        <v>0.134074627679955</v>
      </c>
      <c r="J18976" s="7" t="n">
        <f aca="false">Sens!$E$18976+(glt_azo-Sens!$E$18976)*MIN(1,(Sens!J18933-base_fy)/n_conv)</f>
        <v>0.107037313839977</v>
      </c>
      <c r="K18976" s="7" t="n">
        <f aca="false">Sens!$E$18976+(glt_azo-Sens!$E$18976)*MIN(1,(Sens!K18933-base_fy)/n_conv)</f>
        <v>0.08</v>
      </c>
    </row>
    <row r="18977" customFormat="false" ht="15" hidden="false" customHeight="false" outlineLevel="0" collapsed="false">
      <c r="A18977" s="0" t="s">
        <v>1029</v>
      </c>
      <c r="B18977" s="0" t="s">
        <v>98</v>
      </c>
      <c r="D18977" s="6" t="n">
        <f aca="false">Sens!D18974+Sens!D18975</f>
        <v>72.61</v>
      </c>
      <c r="E18977" s="6" t="n">
        <f aca="false">Sens!E18974+Sens!E18975</f>
        <v>101.938</v>
      </c>
      <c r="F18977" s="6" t="n">
        <f aca="false">Sens!F18974+Sens!F18975</f>
        <v>149.977469772929</v>
      </c>
      <c r="G18977" s="6" t="n">
        <f aca="false">Sens!G18974+Sens!G18975</f>
        <v>211.486390972113</v>
      </c>
      <c r="H18977" s="6" t="n">
        <f aca="false">Sens!H18974+Sens!H18975</f>
        <v>279.345759830476</v>
      </c>
      <c r="I18977" s="6" t="n">
        <f aca="false">Sens!I18974+Sens!I18975</f>
        <v>335.32471504018</v>
      </c>
      <c r="J18977" s="6" t="n">
        <f aca="false">Sens!J18974+Sens!J18975</f>
        <v>378.071856776896</v>
      </c>
      <c r="K18977" s="6" t="n">
        <f aca="false">Sens!K18974+Sens!K18975</f>
        <v>408.484932208063</v>
      </c>
    </row>
    <row r="18978" customFormat="false" ht="17.15" hidden="false" customHeight="false" outlineLevel="0" collapsed="false">
      <c r="A18978" s="0" t="s">
        <v>1030</v>
      </c>
      <c r="B18978" s="1" t="s">
        <v>613</v>
      </c>
      <c r="C18978" s="30" t="n">
        <f aca="false">cop_s24</f>
        <v>1</v>
      </c>
      <c r="D18978" s="30" t="n">
        <f aca="false">cop_s25</f>
        <v>5</v>
      </c>
      <c r="E18978" s="30" t="n">
        <f aca="false">cop_s26</f>
        <v>30</v>
      </c>
      <c r="F18978" s="30" t="n">
        <f aca="false">Sens!E18978+cop_add_A</f>
        <v>60</v>
      </c>
      <c r="G18978" s="30" t="n">
        <f aca="false">Sens!F18978+cop_add_A</f>
        <v>90</v>
      </c>
      <c r="H18978" s="30" t="n">
        <f aca="false">Sens!G18978+cop_add_A</f>
        <v>120</v>
      </c>
      <c r="I18978" s="30" t="n">
        <f aca="false">Sens!H18978+cop_add_A*cop_tail</f>
        <v>135</v>
      </c>
      <c r="J18978" s="30" t="n">
        <f aca="false">Sens!I18978+cop_add_A*cop_tail</f>
        <v>150</v>
      </c>
      <c r="K18978" s="30" t="n">
        <f aca="false">Sens!J18978+cop_add_A*cop_tail</f>
        <v>165</v>
      </c>
      <c r="L18978" s="12" t="s">
        <v>1031</v>
      </c>
    </row>
    <row r="18979" customFormat="false" ht="17.15" hidden="false" customHeight="false" outlineLevel="0" collapsed="false">
      <c r="A18979" s="0" t="s">
        <v>1032</v>
      </c>
      <c r="B18979" s="0" t="s">
        <v>98</v>
      </c>
      <c r="D18979" s="6" t="n">
        <f aca="false">(Sens!C18978+Sens!D18978)/2*cop_px*12/1000</f>
        <v>0.9</v>
      </c>
      <c r="E18979" s="6" t="n">
        <f aca="false">(Sens!D18978+Sens!E18978)/2*cop_px*12/1000</f>
        <v>5.25</v>
      </c>
      <c r="F18979" s="6" t="n">
        <f aca="false">(Sens!E18978+Sens!F18978)/2*cop_px*12/1000</f>
        <v>13.5</v>
      </c>
      <c r="G18979" s="6" t="n">
        <f aca="false">(Sens!F18978+Sens!G18978)/2*cop_px*12/1000</f>
        <v>22.5</v>
      </c>
      <c r="H18979" s="6" t="n">
        <f aca="false">(Sens!G18978+Sens!H18978)/2*cop_px*12/1000</f>
        <v>31.5</v>
      </c>
      <c r="I18979" s="6" t="n">
        <f aca="false">(Sens!H18978+Sens!I18978)/2*cop_px*12/1000</f>
        <v>38.25</v>
      </c>
      <c r="J18979" s="6" t="n">
        <f aca="false">(Sens!I18978+Sens!J18978)/2*cop_px*12/1000</f>
        <v>42.75</v>
      </c>
      <c r="K18979" s="6" t="n">
        <f aca="false">(Sens!J18978+Sens!K18978)/2*cop_px*12/1000</f>
        <v>47.25</v>
      </c>
      <c r="L18979" s="1" t="s">
        <v>1033</v>
      </c>
    </row>
    <row r="18980" customFormat="false" ht="17.15" hidden="false" customHeight="false" outlineLevel="0" collapsed="false">
      <c r="A18980" s="0" t="s">
        <v>1034</v>
      </c>
      <c r="B18980" s="0" t="s">
        <v>98</v>
      </c>
      <c r="D18980" s="6" t="n">
        <f aca="false">Q!L7-Sens!D18979</f>
        <v>83.705</v>
      </c>
      <c r="E18980" s="6" t="n">
        <f aca="false">Q!M7-Sens!E18979</f>
        <v>95.049</v>
      </c>
      <c r="F18980" s="6" t="n">
        <f aca="false">Q!$I$7+(Sens!E18980*(1+Sens!F18981)+Sens!F18979)*(1-Q!$E$7/Q!M7)-Sens!F18979</f>
        <v>106.229653205718</v>
      </c>
      <c r="G18980" s="6" t="n">
        <f aca="false">Sens!F18980*(1+Sens!G18981)</f>
        <v>118.306092647576</v>
      </c>
      <c r="H18980" s="6" t="n">
        <f aca="false">Sens!G18980*(1+Sens!H18981)</f>
        <v>130.463437602768</v>
      </c>
      <c r="I18980" s="6" t="n">
        <f aca="false">Sens!H18980*(1+Sens!I18981)</f>
        <v>142.445354741933</v>
      </c>
      <c r="J18980" s="6" t="n">
        <f aca="false">Sens!I18980*(1+Sens!J18981)</f>
        <v>153.972117481571</v>
      </c>
      <c r="K18980" s="6" t="n">
        <f aca="false">Sens!J18980*(1+Sens!K18981)</f>
        <v>164.75016570528</v>
      </c>
      <c r="L18980" s="12" t="s">
        <v>1035</v>
      </c>
    </row>
    <row r="18981" customFormat="false" ht="15" hidden="false" customHeight="false" outlineLevel="0" collapsed="false">
      <c r="A18981" s="1" t="s">
        <v>1028</v>
      </c>
      <c r="B18981" s="0" t="s">
        <v>168</v>
      </c>
      <c r="E18981" s="7" t="n">
        <f aca="false">Sens!E18980/Sens!D18980-1</f>
        <v>0.135523564900544</v>
      </c>
      <c r="F18981" s="7" t="n">
        <f aca="false">Sens!$E$18981+(glt_m365b-Sens!$E$18981)*MIN(1,(Sens!F18933-base_fy)/n_conv)</f>
        <v>0.124602970750453</v>
      </c>
      <c r="G18981" s="7" t="n">
        <f aca="false">Sens!$E$18981+(glt_m365b-Sens!$E$18981)*MIN(1,(Sens!G18933-base_fy)/n_conv)</f>
        <v>0.113682376600363</v>
      </c>
      <c r="H18981" s="7" t="n">
        <f aca="false">Sens!$E$18981+(glt_m365b-Sens!$E$18981)*MIN(1,(Sens!H18933-base_fy)/n_conv)</f>
        <v>0.102761782450272</v>
      </c>
      <c r="I18981" s="7" t="n">
        <f aca="false">Sens!$E$18981+(glt_m365b-Sens!$E$18981)*MIN(1,(Sens!I18933-base_fy)/n_conv)</f>
        <v>0.0918411883001813</v>
      </c>
      <c r="J18981" s="7" t="n">
        <f aca="false">Sens!$E$18981+(glt_m365b-Sens!$E$18981)*MIN(1,(Sens!J18933-base_fy)/n_conv)</f>
        <v>0.0809205941500906</v>
      </c>
      <c r="K18981" s="7" t="n">
        <f aca="false">Sens!$E$18981+(glt_m365b-Sens!$E$18981)*MIN(1,(Sens!K18933-base_fy)/n_conv)</f>
        <v>0.07</v>
      </c>
    </row>
    <row r="18982" customFormat="false" ht="15" hidden="false" customHeight="false" outlineLevel="0" collapsed="false">
      <c r="A18982" s="0" t="s">
        <v>1036</v>
      </c>
      <c r="B18982" s="0" t="s">
        <v>98</v>
      </c>
      <c r="D18982" s="6" t="n">
        <f aca="false">Sens!D18980+Sens!D18979</f>
        <v>84.605</v>
      </c>
      <c r="E18982" s="6" t="n">
        <f aca="false">Sens!E18980+Sens!E18979</f>
        <v>100.299</v>
      </c>
      <c r="F18982" s="6" t="n">
        <f aca="false">Sens!F18980+Sens!F18979</f>
        <v>119.729653205718</v>
      </c>
      <c r="G18982" s="6" t="n">
        <f aca="false">Sens!G18980+Sens!G18979</f>
        <v>140.806092647576</v>
      </c>
      <c r="H18982" s="6" t="n">
        <f aca="false">Sens!H18980+Sens!H18979</f>
        <v>161.963437602768</v>
      </c>
      <c r="I18982" s="6" t="n">
        <f aca="false">Sens!I18980+Sens!I18979</f>
        <v>180.695354741933</v>
      </c>
      <c r="J18982" s="6" t="n">
        <f aca="false">Sens!J18980+Sens!J18979</f>
        <v>196.722117481571</v>
      </c>
      <c r="K18982" s="6" t="n">
        <f aca="false">Sens!K18980+Sens!K18979</f>
        <v>212.00016570528</v>
      </c>
    </row>
    <row r="18983" customFormat="false" ht="17.15" hidden="false" customHeight="false" outlineLevel="0" collapsed="false">
      <c r="A18983" s="0" t="s">
        <v>1037</v>
      </c>
      <c r="B18983" s="0" t="s">
        <v>98</v>
      </c>
      <c r="D18983" s="6" t="n">
        <f aca="false">Q!L8</f>
        <v>35.391</v>
      </c>
      <c r="E18983" s="6" t="n">
        <f aca="false">Q!M8</f>
        <v>37.285</v>
      </c>
      <c r="F18983" s="6" t="n">
        <f aca="false">Q!$I$8+(Q!M8-Q!$E$8)*(1+Sens!F18984)</f>
        <v>38.3851437782675</v>
      </c>
      <c r="G18983" s="6" t="n">
        <f aca="false">Sens!F18983*(1+Sens!G18984)</f>
        <v>40.0105353288615</v>
      </c>
      <c r="H18983" s="6" t="n">
        <f aca="false">Sens!G18983*(1+Sens!H18984)</f>
        <v>41.4812512033683</v>
      </c>
      <c r="I18983" s="6" t="n">
        <f aca="false">Sens!H18983*(1+Sens!I18984)</f>
        <v>42.7743107216329</v>
      </c>
      <c r="J18983" s="6" t="n">
        <f aca="false">Sens!I18983*(1+Sens!J18984)</f>
        <v>43.8687373064601</v>
      </c>
      <c r="K18983" s="6" t="n">
        <f aca="false">Sens!J18983*(1+Sens!K18984)</f>
        <v>44.7461120525893</v>
      </c>
      <c r="L18983" s="12" t="s">
        <v>1038</v>
      </c>
    </row>
    <row r="18984" customFormat="false" ht="15" hidden="false" customHeight="false" outlineLevel="0" collapsed="false">
      <c r="A18984" s="1" t="s">
        <v>1028</v>
      </c>
      <c r="B18984" s="0" t="s">
        <v>168</v>
      </c>
      <c r="E18984" s="7" t="n">
        <f aca="false">Sens!E18983/Sens!D18983-1</f>
        <v>0.0535164307309768</v>
      </c>
      <c r="F18984" s="7" t="n">
        <f aca="false">Sens!$E$18984+(glt_lic-Sens!$E$18984)*MIN(1,(Sens!F18933-base_fy)/n_conv)</f>
        <v>0.0479303589424807</v>
      </c>
      <c r="G18984" s="7" t="n">
        <f aca="false">Sens!$E$18984+(glt_lic-Sens!$E$18984)*MIN(1,(Sens!G18933-base_fy)/n_conv)</f>
        <v>0.0423442871539845</v>
      </c>
      <c r="H18984" s="7" t="n">
        <f aca="false">Sens!$E$18984+(glt_lic-Sens!$E$18984)*MIN(1,(Sens!H18933-base_fy)/n_conv)</f>
        <v>0.0367582153654884</v>
      </c>
      <c r="I18984" s="7" t="n">
        <f aca="false">Sens!$E$18984+(glt_lic-Sens!$E$18984)*MIN(1,(Sens!I18933-base_fy)/n_conv)</f>
        <v>0.0311721435769923</v>
      </c>
      <c r="J18984" s="7" t="n">
        <f aca="false">Sens!$E$18984+(glt_lic-Sens!$E$18984)*MIN(1,(Sens!J18933-base_fy)/n_conv)</f>
        <v>0.0255860717884961</v>
      </c>
      <c r="K18984" s="7" t="n">
        <f aca="false">Sens!$E$18984+(glt_lic-Sens!$E$18984)*MIN(1,(Sens!K18933-base_fy)/n_conv)</f>
        <v>0.02</v>
      </c>
    </row>
    <row r="18985" customFormat="false" ht="17.15" hidden="false" customHeight="false" outlineLevel="0" collapsed="false">
      <c r="A18985" s="0" t="s">
        <v>1039</v>
      </c>
      <c r="B18985" s="0" t="s">
        <v>98</v>
      </c>
      <c r="D18985" s="6" t="n">
        <f aca="false">Q!L9</f>
        <v>18.417</v>
      </c>
      <c r="E18985" s="6" t="n">
        <f aca="false">Q!M9</f>
        <v>20.345</v>
      </c>
      <c r="F18985" s="6" t="n">
        <f aca="false">Q!$I$9+(Q!M9-Q!$E$9)*(1+Sens!F18986)</f>
        <v>22.3161797133988</v>
      </c>
      <c r="G18985" s="6" t="n">
        <f aca="false">Sens!F18985*(1+Sens!G18986)</f>
        <v>24.3943499673233</v>
      </c>
      <c r="H18985" s="6" t="n">
        <f aca="false">Sens!G18985*(1+Sens!H18986)</f>
        <v>26.5250243109019</v>
      </c>
      <c r="I18985" s="6" t="n">
        <f aca="false">Sens!H18985*(1+Sens!I18986)</f>
        <v>28.6884573538181</v>
      </c>
      <c r="J18985" s="6" t="n">
        <f aca="false">Sens!I18985*(1+Sens!J18986)</f>
        <v>30.8624968052127</v>
      </c>
      <c r="K18985" s="6" t="n">
        <f aca="false">Sens!J18985*(1+Sens!K18986)</f>
        <v>33.0228715815776</v>
      </c>
      <c r="L18985" s="12" t="s">
        <v>1038</v>
      </c>
    </row>
    <row r="18986" customFormat="false" ht="15" hidden="false" customHeight="false" outlineLevel="0" collapsed="false">
      <c r="A18986" s="1" t="s">
        <v>1028</v>
      </c>
      <c r="B18986" s="0" t="s">
        <v>168</v>
      </c>
      <c r="E18986" s="7" t="n">
        <f aca="false">Sens!E18985/Sens!D18985-1</f>
        <v>0.104685888038225</v>
      </c>
      <c r="F18986" s="7" t="n">
        <f aca="false">Sens!$E$18986+(glt_ind-Sens!$E$18986)*MIN(1,(Sens!F18933-base_fy)/n_conv)</f>
        <v>0.0989049066985211</v>
      </c>
      <c r="G18986" s="7" t="n">
        <f aca="false">Sens!$E$18986+(glt_ind-Sens!$E$18986)*MIN(1,(Sens!G18933-base_fy)/n_conv)</f>
        <v>0.0931239253588169</v>
      </c>
      <c r="H18986" s="7" t="n">
        <f aca="false">Sens!$E$18986+(glt_ind-Sens!$E$18986)*MIN(1,(Sens!H18933-base_fy)/n_conv)</f>
        <v>0.0873429440191127</v>
      </c>
      <c r="I18986" s="7" t="n">
        <f aca="false">Sens!$E$18986+(glt_ind-Sens!$E$18986)*MIN(1,(Sens!I18933-base_fy)/n_conv)</f>
        <v>0.0815619626794085</v>
      </c>
      <c r="J18986" s="7" t="n">
        <f aca="false">Sens!$E$18986+(glt_ind-Sens!$E$18986)*MIN(1,(Sens!J18933-base_fy)/n_conv)</f>
        <v>0.0757809813397042</v>
      </c>
      <c r="K18986" s="7" t="n">
        <f aca="false">Sens!$E$18986+(glt_ind-Sens!$E$18986)*MIN(1,(Sens!K18933-base_fy)/n_conv)</f>
        <v>0.07</v>
      </c>
    </row>
    <row r="18987" customFormat="false" ht="17.15" hidden="false" customHeight="false" outlineLevel="0" collapsed="false">
      <c r="A18987" s="0" t="s">
        <v>1040</v>
      </c>
      <c r="B18987" s="0" t="s">
        <v>98</v>
      </c>
      <c r="D18987" s="6" t="n">
        <f aca="false">Q!L10</f>
        <v>7.76</v>
      </c>
      <c r="E18987" s="6" t="n">
        <f aca="false">Q!M10</f>
        <v>8.26</v>
      </c>
      <c r="F18987" s="6" t="n">
        <f aca="false">Q!$I$10+(Q!M10-Q!$E$10)*(1+Sens!F18988)</f>
        <v>8.75372082474227</v>
      </c>
      <c r="G18987" s="6" t="n">
        <f aca="false">Sens!F18987*(1+Sens!G18988)</f>
        <v>9.33399324642364</v>
      </c>
      <c r="H18987" s="6" t="n">
        <f aca="false">Sens!G18987*(1+Sens!H18988)</f>
        <v>9.96139155535851</v>
      </c>
      <c r="I18987" s="6" t="n">
        <f aca="false">Sens!H18987*(1+Sens!I18988)</f>
        <v>10.6402039077391</v>
      </c>
      <c r="J18987" s="6" t="n">
        <f aca="false">Sens!I18987*(1+Sens!J18988)</f>
        <v>11.3751458271397</v>
      </c>
      <c r="K18987" s="6" t="n">
        <f aca="false">Sens!J18987*(1+Sens!K18988)</f>
        <v>12.1714060350394</v>
      </c>
      <c r="L18987" s="12" t="s">
        <v>1038</v>
      </c>
    </row>
    <row r="18988" customFormat="false" ht="15" hidden="false" customHeight="false" outlineLevel="0" collapsed="false">
      <c r="A18988" s="1" t="s">
        <v>1028</v>
      </c>
      <c r="B18988" s="0" t="s">
        <v>168</v>
      </c>
      <c r="E18988" s="7" t="n">
        <f aca="false">Sens!E18987/Sens!D18987-1</f>
        <v>0.0644329896907216</v>
      </c>
      <c r="F18988" s="7" t="n">
        <f aca="false">Sens!$E$18988+(glt_fro-Sens!$E$18988)*MIN(1,(Sens!F18933-base_fy)/n_conv)</f>
        <v>0.065360824742268</v>
      </c>
      <c r="G18988" s="7" t="n">
        <f aca="false">Sens!$E$18988+(glt_fro-Sens!$E$18988)*MIN(1,(Sens!G18933-base_fy)/n_conv)</f>
        <v>0.0662886597938144</v>
      </c>
      <c r="H18988" s="7" t="n">
        <f aca="false">Sens!$E$18988+(glt_fro-Sens!$E$18988)*MIN(1,(Sens!H18933-base_fy)/n_conv)</f>
        <v>0.0672164948453608</v>
      </c>
      <c r="I18988" s="7" t="n">
        <f aca="false">Sens!$E$18988+(glt_fro-Sens!$E$18988)*MIN(1,(Sens!I18933-base_fy)/n_conv)</f>
        <v>0.0681443298969072</v>
      </c>
      <c r="J18988" s="7" t="n">
        <f aca="false">Sens!$E$18988+(glt_fro-Sens!$E$18988)*MIN(1,(Sens!J18933-base_fy)/n_conv)</f>
        <v>0.0690721649484536</v>
      </c>
      <c r="K18988" s="7" t="n">
        <f aca="false">Sens!$E$18988+(glt_fro-Sens!$E$18988)*MIN(1,(Sens!K18933-base_fy)/n_conv)</f>
        <v>0.07</v>
      </c>
    </row>
    <row r="18989" customFormat="false" ht="15" hidden="false" customHeight="false" outlineLevel="0" collapsed="false">
      <c r="A18989" s="0" t="s">
        <v>856</v>
      </c>
      <c r="B18989" s="0" t="s">
        <v>98</v>
      </c>
      <c r="D18989" s="6" t="n">
        <f aca="false">Sens!D18977+Sens!D18982+Sens!D18983+Sens!D18985+Sens!D18987</f>
        <v>218.783</v>
      </c>
      <c r="E18989" s="6" t="n">
        <f aca="false">Sens!E18977+Sens!E18982+Sens!E18983+Sens!E18985+Sens!E18987</f>
        <v>268.127</v>
      </c>
      <c r="F18989" s="6" t="n">
        <f aca="false">Sens!F18977+Sens!F18982+Sens!F18983+Sens!F18985+Sens!F18987</f>
        <v>339.162167295055</v>
      </c>
      <c r="G18989" s="6" t="n">
        <f aca="false">Sens!G18977+Sens!G18982+Sens!G18983+Sens!G18985+Sens!G18987</f>
        <v>426.031362162298</v>
      </c>
      <c r="H18989" s="6" t="n">
        <f aca="false">Sens!H18977+Sens!H18982+Sens!H18983+Sens!H18985+Sens!H18987</f>
        <v>519.276864502873</v>
      </c>
      <c r="I18989" s="6" t="n">
        <f aca="false">Sens!I18977+Sens!I18982+Sens!I18983+Sens!I18985+Sens!I18987</f>
        <v>598.123041765303</v>
      </c>
      <c r="J18989" s="6" t="n">
        <f aca="false">Sens!J18977+Sens!J18982+Sens!J18983+Sens!J18985+Sens!J18987</f>
        <v>660.900354197279</v>
      </c>
      <c r="K18989" s="6" t="n">
        <f aca="false">Sens!K18977+Sens!K18982+Sens!K18983+Sens!K18985+Sens!K18987</f>
        <v>710.42548758255</v>
      </c>
    </row>
    <row r="18990" customFormat="false" ht="17.15" hidden="false" customHeight="false" outlineLevel="0" collapsed="false">
      <c r="A18990" s="0" t="s">
        <v>1041</v>
      </c>
      <c r="B18990" s="0" t="s">
        <v>98</v>
      </c>
      <c r="D18990" s="6" t="n">
        <f aca="false">Q!L13</f>
        <v>22.171</v>
      </c>
      <c r="E18990" s="6" t="n">
        <f aca="false">Q!M13</f>
        <v>24.835</v>
      </c>
      <c r="F18990" s="6" t="n">
        <f aca="false">Q!$I$13+(Q!M13-Q!$E$13)*(1+Sens!F18991)</f>
        <v>27.5591895660247</v>
      </c>
      <c r="G18990" s="6" t="n">
        <f aca="false">Sens!F18990*(1+Sens!G18991)</f>
        <v>30.4098563144583</v>
      </c>
      <c r="H18990" s="6" t="n">
        <f aca="false">Sens!G18990*(1+Sens!H18991)</f>
        <v>33.3011792571777</v>
      </c>
      <c r="I18990" s="6" t="n">
        <f aca="false">Sens!H18990*(1+Sens!I18991)</f>
        <v>36.189023797112</v>
      </c>
      <c r="J18990" s="6" t="n">
        <f aca="false">Sens!I18990*(1+Sens!J18991)</f>
        <v>39.0247773769199</v>
      </c>
      <c r="K18990" s="6" t="n">
        <f aca="false">Sens!J18990*(1+Sens!K18991)</f>
        <v>41.7565117933043</v>
      </c>
      <c r="L18990" s="12" t="s">
        <v>1038</v>
      </c>
    </row>
    <row r="18991" customFormat="false" ht="15" hidden="false" customHeight="false" outlineLevel="0" collapsed="false">
      <c r="A18991" s="1" t="s">
        <v>1028</v>
      </c>
      <c r="B18991" s="0" t="s">
        <v>168</v>
      </c>
      <c r="E18991" s="7" t="n">
        <f aca="false">Sens!E18990/Sens!D18990-1</f>
        <v>0.120156961796942</v>
      </c>
      <c r="F18991" s="7" t="n">
        <f aca="false">Sens!$E$18991+(glt_srch-Sens!$E$18991)*MIN(1,(Sens!F18933-base_fy)/n_conv)</f>
        <v>0.111797468164118</v>
      </c>
      <c r="G18991" s="7" t="n">
        <f aca="false">Sens!$E$18991+(glt_srch-Sens!$E$18991)*MIN(1,(Sens!G18933-base_fy)/n_conv)</f>
        <v>0.103437974531295</v>
      </c>
      <c r="H18991" s="7" t="n">
        <f aca="false">Sens!$E$18991+(glt_srch-Sens!$E$18991)*MIN(1,(Sens!H18933-base_fy)/n_conv)</f>
        <v>0.095078480898471</v>
      </c>
      <c r="I18991" s="7" t="n">
        <f aca="false">Sens!$E$18991+(glt_srch-Sens!$E$18991)*MIN(1,(Sens!I18933-base_fy)/n_conv)</f>
        <v>0.0867189872656474</v>
      </c>
      <c r="J18991" s="7" t="n">
        <f aca="false">Sens!$E$18991+(glt_srch-Sens!$E$18991)*MIN(1,(Sens!J18933-base_fy)/n_conv)</f>
        <v>0.0783594936328237</v>
      </c>
      <c r="K18991" s="7" t="n">
        <f aca="false">Sens!$E$18991+(glt_srch-Sens!$E$18991)*MIN(1,(Sens!K18933-base_fy)/n_conv)</f>
        <v>0.07</v>
      </c>
    </row>
    <row r="18992" customFormat="false" ht="17.15" hidden="false" customHeight="false" outlineLevel="0" collapsed="false">
      <c r="A18992" s="0" t="s">
        <v>1042</v>
      </c>
      <c r="B18992" s="0" t="s">
        <v>98</v>
      </c>
      <c r="D18992" s="6" t="n">
        <f aca="false">Q!L14</f>
        <v>23.455</v>
      </c>
      <c r="E18992" s="6" t="n">
        <f aca="false">Q!M14</f>
        <v>21.79</v>
      </c>
      <c r="F18992" s="6" t="n">
        <f aca="false">Q!$I$14+(Q!M14-Q!$E$14)*(1+Sens!F18993)</f>
        <v>20.7520981041711</v>
      </c>
      <c r="G18992" s="6" t="n">
        <f aca="false">Sens!F18992*(1+Sens!G18993)</f>
        <v>19.9083593495882</v>
      </c>
      <c r="H18992" s="6" t="n">
        <f aca="false">Sens!G18992*(1+Sens!H18993)</f>
        <v>19.4008256265831</v>
      </c>
      <c r="I18992" s="6" t="n">
        <f aca="false">Sens!H18992*(1+Sens!I18993)</f>
        <v>19.200434522122</v>
      </c>
      <c r="J18992" s="6" t="n">
        <f aca="false">Sens!I18992*(1+Sens!J18993)</f>
        <v>19.2932782348507</v>
      </c>
      <c r="K18992" s="6" t="n">
        <f aca="false">Sens!J18992*(1+Sens!K18993)</f>
        <v>19.6791437995477</v>
      </c>
      <c r="L18992" s="12" t="s">
        <v>1038</v>
      </c>
    </row>
    <row r="18993" customFormat="false" ht="15" hidden="false" customHeight="false" outlineLevel="0" collapsed="false">
      <c r="A18993" s="1" t="s">
        <v>1028</v>
      </c>
      <c r="B18993" s="0" t="s">
        <v>168</v>
      </c>
      <c r="E18993" s="7" t="n">
        <f aca="false">Sens!E18992/Sens!D18992-1</f>
        <v>-0.0709869963760392</v>
      </c>
      <c r="F18993" s="7" t="n">
        <f aca="false">Sens!$E$18993+(glt_xbox-Sens!$E$18993)*MIN(1,(Sens!F18933-base_fy)/n_conv)</f>
        <v>-0.0558224969800327</v>
      </c>
      <c r="G18993" s="7" t="n">
        <f aca="false">Sens!$E$18993+(glt_xbox-Sens!$E$18993)*MIN(1,(Sens!G18933-base_fy)/n_conv)</f>
        <v>-0.0406579975840262</v>
      </c>
      <c r="H18993" s="7" t="n">
        <f aca="false">Sens!$E$18993+(glt_xbox-Sens!$E$18993)*MIN(1,(Sens!H18933-base_fy)/n_conv)</f>
        <v>-0.0254934981880196</v>
      </c>
      <c r="I18993" s="7" t="n">
        <f aca="false">Sens!$E$18993+(glt_xbox-Sens!$E$18993)*MIN(1,(Sens!I18933-base_fy)/n_conv)</f>
        <v>-0.0103289987920131</v>
      </c>
      <c r="J18993" s="7" t="n">
        <f aca="false">Sens!$E$18993+(glt_xbox-Sens!$E$18993)*MIN(1,(Sens!J18933-base_fy)/n_conv)</f>
        <v>0.00483550060399347</v>
      </c>
      <c r="K18993" s="7" t="n">
        <f aca="false">Sens!$E$18993+(glt_xbox-Sens!$E$18993)*MIN(1,(Sens!K18933-base_fy)/n_conv)</f>
        <v>0.02</v>
      </c>
    </row>
    <row r="18994" customFormat="false" ht="17.15" hidden="false" customHeight="false" outlineLevel="0" collapsed="false">
      <c r="A18994" s="0" t="s">
        <v>1043</v>
      </c>
      <c r="B18994" s="0" t="s">
        <v>98</v>
      </c>
      <c r="D18994" s="6" t="n">
        <f aca="false">Q!L15</f>
        <v>17.315</v>
      </c>
      <c r="E18994" s="6" t="n">
        <f aca="false">Q!M15</f>
        <v>17.087</v>
      </c>
      <c r="F18994" s="6" t="n">
        <f aca="false">Q!$I$15+(Q!M15-Q!$E$15)*(1+Sens!F18995)</f>
        <v>15.9912273250553</v>
      </c>
      <c r="G18994" s="6" t="n">
        <f aca="false">Sens!F18994*(1+Sens!G18995)</f>
        <v>15.9574562664827</v>
      </c>
      <c r="H18994" s="6" t="n">
        <f aca="false">Sens!G18994*(1+Sens!H18995)</f>
        <v>16.0119687434196</v>
      </c>
      <c r="I18994" s="6" t="n">
        <f aca="false">Sens!H18994*(1+Sens!I18995)</f>
        <v>16.1551810001948</v>
      </c>
      <c r="J18994" s="6" t="n">
        <f aca="false">Sens!I18994*(1+Sens!J18995)</f>
        <v>16.3889793892005</v>
      </c>
      <c r="K18994" s="6" t="n">
        <f aca="false">Sens!J18994*(1+Sens!K18995)</f>
        <v>16.7167589769845</v>
      </c>
      <c r="L18994" s="12" t="s">
        <v>1038</v>
      </c>
    </row>
    <row r="18995" customFormat="false" ht="15" hidden="false" customHeight="false" outlineLevel="0" collapsed="false">
      <c r="A18995" s="1" t="s">
        <v>1028</v>
      </c>
      <c r="B18995" s="0" t="s">
        <v>168</v>
      </c>
      <c r="E18995" s="7" t="n">
        <f aca="false">Sens!E18994/Sens!D18994-1</f>
        <v>-0.0131677736066995</v>
      </c>
      <c r="F18995" s="7" t="n">
        <f aca="false">Sens!$E$18995+(glt_win-Sens!$E$18995)*MIN(1,(Sens!F18933-base_fy)/n_conv)</f>
        <v>-0.00763981133891627</v>
      </c>
      <c r="G18995" s="7" t="n">
        <f aca="false">Sens!$E$18995+(glt_win-Sens!$E$18995)*MIN(1,(Sens!G18933-base_fy)/n_conv)</f>
        <v>-0.00211184907113301</v>
      </c>
      <c r="H18995" s="7" t="n">
        <f aca="false">Sens!$E$18995+(glt_win-Sens!$E$18995)*MIN(1,(Sens!H18933-base_fy)/n_conv)</f>
        <v>0.00341611319665024</v>
      </c>
      <c r="I18995" s="7" t="n">
        <f aca="false">Sens!$E$18995+(glt_win-Sens!$E$18995)*MIN(1,(Sens!I18933-base_fy)/n_conv)</f>
        <v>0.00894407546443349</v>
      </c>
      <c r="J18995" s="7" t="n">
        <f aca="false">Sens!$E$18995+(glt_win-Sens!$E$18995)*MIN(1,(Sens!J18933-base_fy)/n_conv)</f>
        <v>0.0144720377322168</v>
      </c>
      <c r="K18995" s="7" t="n">
        <f aca="false">Sens!$E$18995+(glt_win-Sens!$E$18995)*MIN(1,(Sens!K18933-base_fy)/n_conv)</f>
        <v>0.02</v>
      </c>
    </row>
    <row r="18996" customFormat="false" ht="15" hidden="false" customHeight="false" outlineLevel="0" collapsed="false">
      <c r="A18996" s="0" t="s">
        <v>870</v>
      </c>
      <c r="B18996" s="0" t="s">
        <v>98</v>
      </c>
      <c r="D18996" s="6" t="n">
        <f aca="false">Sens!D18990+Sens!D18992+Sens!D18994</f>
        <v>62.941</v>
      </c>
      <c r="E18996" s="6" t="n">
        <f aca="false">Sens!E18990+Sens!E18992+Sens!E18994</f>
        <v>63.712</v>
      </c>
      <c r="F18996" s="6" t="n">
        <f aca="false">Sens!F18990+Sens!F18992+Sens!F18994</f>
        <v>64.3025149952511</v>
      </c>
      <c r="G18996" s="6" t="n">
        <f aca="false">Sens!G18990+Sens!G18992+Sens!G18994</f>
        <v>66.2756719305292</v>
      </c>
      <c r="H18996" s="6" t="n">
        <f aca="false">Sens!H18990+Sens!H18992+Sens!H18994</f>
        <v>68.7139736271804</v>
      </c>
      <c r="I18996" s="6" t="n">
        <f aca="false">Sens!I18990+Sens!I18992+Sens!I18994</f>
        <v>71.5446393194289</v>
      </c>
      <c r="J18996" s="6" t="n">
        <f aca="false">Sens!J18990+Sens!J18992+Sens!J18994</f>
        <v>74.707035000971</v>
      </c>
      <c r="K18996" s="6" t="n">
        <f aca="false">Sens!K18990+Sens!K18992+Sens!K18994</f>
        <v>78.1524145698365</v>
      </c>
    </row>
    <row r="18997" customFormat="false" ht="15" hidden="false" customHeight="false" outlineLevel="0" collapsed="false">
      <c r="A18997" s="1" t="s">
        <v>1044</v>
      </c>
      <c r="B18997" s="0" t="s">
        <v>98</v>
      </c>
      <c r="D18997" s="6" t="n">
        <f aca="false">Sens!D18989+Sens!D18996</f>
        <v>281.724</v>
      </c>
      <c r="E18997" s="6" t="n">
        <f aca="false">Sens!E18989+Sens!E18996</f>
        <v>331.839</v>
      </c>
      <c r="F18997" s="6" t="n">
        <f aca="false">Sens!F18989+Sens!F18996</f>
        <v>403.464682290306</v>
      </c>
      <c r="G18997" s="6" t="n">
        <f aca="false">Sens!G18989+Sens!G18996</f>
        <v>492.307034092827</v>
      </c>
      <c r="H18997" s="6" t="n">
        <f aca="false">Sens!H18989+Sens!H18996</f>
        <v>587.990838130053</v>
      </c>
      <c r="I18997" s="6" t="n">
        <f aca="false">Sens!I18989+Sens!I18996</f>
        <v>669.667681084732</v>
      </c>
      <c r="J18997" s="6" t="n">
        <f aca="false">Sens!J18989+Sens!J18996</f>
        <v>735.60738919825</v>
      </c>
      <c r="K18997" s="6" t="n">
        <f aca="false">Sens!K18989+Sens!K18996</f>
        <v>788.577902152386</v>
      </c>
    </row>
    <row r="18998" customFormat="false" ht="15" hidden="false" customHeight="false" outlineLevel="0" collapsed="false">
      <c r="A18998" s="26" t="s">
        <v>1045</v>
      </c>
      <c r="B18998" s="31" t="s">
        <v>98</v>
      </c>
      <c r="C18998" s="31"/>
      <c r="D18998" s="27" t="n">
        <f aca="false">(Sens!D18977+Sens!D18982+Sens!D18983+Sens!D18985+Sens!D18987-Sens!D18989)+(Sens!D18990+Sens!D18992+Sens!D18994-Sens!D18996)+(Sens!D18989-Q!L5)+(Sens!D18996-Q!L12)+(Sens!D18977-Q!L6)+(Sens!D18982-Q!L7)</f>
        <v>0</v>
      </c>
      <c r="E18998" s="27" t="n">
        <f aca="false">(Sens!E18977+Sens!E18982+Sens!E18983+Sens!E18985+Sens!E18987-Sens!E18989)+(Sens!E18990+Sens!E18992+Sens!E18994-Sens!E18996)+(Sens!E18989-Q!M5)+(Sens!E18996-Q!M12)+(Sens!E18977-Q!M6)+(Sens!E18982-Q!M7)</f>
        <v>0</v>
      </c>
      <c r="F18998" s="27" t="n">
        <f aca="false">(Sens!F18977+Sens!F18982+Sens!F18983+Sens!F18985+Sens!F18987-Sens!F18989)+(Sens!F18990+Sens!F18992+Sens!F18994-Sens!F18996)</f>
        <v>0</v>
      </c>
      <c r="G18998" s="27" t="n">
        <f aca="false">(Sens!G18977+Sens!G18982+Sens!G18983+Sens!G18985+Sens!G18987-Sens!G18989)+(Sens!G18990+Sens!G18992+Sens!G18994-Sens!G18996)</f>
        <v>0</v>
      </c>
      <c r="H18998" s="27" t="n">
        <f aca="false">(Sens!H18977+Sens!H18982+Sens!H18983+Sens!H18985+Sens!H18987-Sens!H18989)+(Sens!H18990+Sens!H18992+Sens!H18994-Sens!H18996)</f>
        <v>0</v>
      </c>
      <c r="I18998" s="27" t="n">
        <f aca="false">(Sens!I18977+Sens!I18982+Sens!I18983+Sens!I18985+Sens!I18987-Sens!I18989)+(Sens!I18990+Sens!I18992+Sens!I18994-Sens!I18996)</f>
        <v>0</v>
      </c>
      <c r="J18998" s="27" t="n">
        <f aca="false">(Sens!J18977+Sens!J18982+Sens!J18983+Sens!J18985+Sens!J18987-Sens!J18989)+(Sens!J18990+Sens!J18992+Sens!J18994-Sens!J18996)</f>
        <v>0</v>
      </c>
      <c r="K18998" s="27" t="n">
        <f aca="false">(Sens!K18977+Sens!K18982+Sens!K18983+Sens!K18985+Sens!K18987-Sens!K18989)+(Sens!K18990+Sens!K18992+Sens!K18994-Sens!K18996)</f>
        <v>0</v>
      </c>
    </row>
    <row r="18999" customFormat="false" ht="17.15" hidden="false" customHeight="false" outlineLevel="0" collapsed="false">
      <c r="A18999" s="3" t="s">
        <v>2081</v>
      </c>
    </row>
    <row r="19000" customFormat="false" ht="15" hidden="false" customHeight="false" outlineLevel="0" collapsed="false">
      <c r="A19000" s="4" t="s">
        <v>43</v>
      </c>
      <c r="B19000" s="4" t="s">
        <v>65</v>
      </c>
      <c r="C19000" s="23" t="s">
        <v>942</v>
      </c>
      <c r="D19000" s="23" t="s">
        <v>943</v>
      </c>
      <c r="E19000" s="23" t="s">
        <v>944</v>
      </c>
      <c r="F19000" s="23" t="s">
        <v>945</v>
      </c>
      <c r="G19000" s="23" t="s">
        <v>946</v>
      </c>
      <c r="H19000" s="23" t="s">
        <v>947</v>
      </c>
      <c r="I19000" s="23" t="s">
        <v>948</v>
      </c>
      <c r="J19000" s="23" t="s">
        <v>949</v>
      </c>
      <c r="K19000" s="23" t="s">
        <v>950</v>
      </c>
      <c r="L19000" s="4" t="s">
        <v>47</v>
      </c>
    </row>
    <row r="19001" customFormat="false" ht="15" hidden="false" customHeight="false" outlineLevel="0" collapsed="false">
      <c r="A19001" s="0" t="s">
        <v>1029</v>
      </c>
      <c r="B19001" s="0" t="s">
        <v>98</v>
      </c>
      <c r="D19001" s="6" t="n">
        <f aca="false">Sens!D18977</f>
        <v>72.61</v>
      </c>
      <c r="E19001" s="6" t="n">
        <f aca="false">Sens!E18977</f>
        <v>101.938</v>
      </c>
      <c r="F19001" s="6" t="n">
        <f aca="false">Sens!F18977</f>
        <v>149.977469772929</v>
      </c>
      <c r="G19001" s="6" t="n">
        <f aca="false">Sens!G18977</f>
        <v>211.486390972113</v>
      </c>
      <c r="H19001" s="6" t="n">
        <f aca="false">Sens!H18977</f>
        <v>279.345759830476</v>
      </c>
      <c r="I19001" s="6" t="n">
        <f aca="false">Sens!I18977</f>
        <v>335.32471504018</v>
      </c>
      <c r="J19001" s="6" t="n">
        <f aca="false">Sens!J18977</f>
        <v>378.071856776896</v>
      </c>
      <c r="K19001" s="6" t="n">
        <f aca="false">Sens!K18977</f>
        <v>408.484932208063</v>
      </c>
    </row>
    <row r="19002" customFormat="false" ht="17.15" hidden="false" customHeight="false" outlineLevel="0" collapsed="false">
      <c r="A19002" s="0" t="s">
        <v>1025</v>
      </c>
      <c r="B19002" s="0" t="s">
        <v>98</v>
      </c>
      <c r="D19002" s="6" t="n">
        <f aca="false">Sens!D18974</f>
        <v>12.9359794422418</v>
      </c>
      <c r="E19002" s="6" t="n">
        <f aca="false">Sens!E18974</f>
        <v>27.8095064661409</v>
      </c>
      <c r="F19002" s="6" t="n">
        <f aca="false">Sens!F18974</f>
        <v>59.5998846356733</v>
      </c>
      <c r="G19002" s="6" t="n">
        <f aca="false">Sens!G18974</f>
        <v>104.104330490056</v>
      </c>
      <c r="H19002" s="6" t="n">
        <f aca="false">Sens!H18974</f>
        <v>154.663167099744</v>
      </c>
      <c r="I19002" s="6" t="n">
        <f aca="false">Sens!I18974</f>
        <v>193.925350110904</v>
      </c>
      <c r="J19002" s="6" t="n">
        <f aca="false">Sens!J18974</f>
        <v>221.537483646912</v>
      </c>
      <c r="K19002" s="6" t="n">
        <f aca="false">Sens!K18974</f>
        <v>239.42780922768</v>
      </c>
    </row>
    <row r="19003" customFormat="false" ht="17.15" hidden="false" customHeight="false" outlineLevel="0" collapsed="false">
      <c r="A19003" s="0" t="s">
        <v>1056</v>
      </c>
      <c r="B19003" s="0" t="s">
        <v>98</v>
      </c>
      <c r="D19003" s="6" t="n">
        <f aca="false">Sens!D18975</f>
        <v>59.6740205577583</v>
      </c>
      <c r="E19003" s="6" t="n">
        <f aca="false">Sens!E18975</f>
        <v>74.1284935338591</v>
      </c>
      <c r="F19003" s="6" t="n">
        <f aca="false">Sens!F18975</f>
        <v>90.3775851372552</v>
      </c>
      <c r="G19003" s="6" t="n">
        <f aca="false">Sens!G18975</f>
        <v>107.382060482057</v>
      </c>
      <c r="H19003" s="6" t="n">
        <f aca="false">Sens!H18975</f>
        <v>124.682592730732</v>
      </c>
      <c r="I19003" s="6" t="n">
        <f aca="false">Sens!I18975</f>
        <v>141.399364929276</v>
      </c>
      <c r="J19003" s="6" t="n">
        <f aca="false">Sens!J18975</f>
        <v>156.534373129984</v>
      </c>
      <c r="K19003" s="6" t="n">
        <f aca="false">Sens!K18975</f>
        <v>169.057122980383</v>
      </c>
    </row>
    <row r="19004" customFormat="false" ht="15" hidden="false" customHeight="false" outlineLevel="0" collapsed="false">
      <c r="A19004" s="0" t="s">
        <v>1036</v>
      </c>
      <c r="B19004" s="0" t="s">
        <v>98</v>
      </c>
      <c r="D19004" s="6" t="n">
        <f aca="false">Sens!D18982</f>
        <v>84.605</v>
      </c>
      <c r="E19004" s="6" t="n">
        <f aca="false">Sens!E18982</f>
        <v>100.299</v>
      </c>
      <c r="F19004" s="6" t="n">
        <f aca="false">Sens!F18982</f>
        <v>119.729653205718</v>
      </c>
      <c r="G19004" s="6" t="n">
        <f aca="false">Sens!G18982</f>
        <v>140.806092647576</v>
      </c>
      <c r="H19004" s="6" t="n">
        <f aca="false">Sens!H18982</f>
        <v>161.963437602768</v>
      </c>
      <c r="I19004" s="6" t="n">
        <f aca="false">Sens!I18982</f>
        <v>180.695354741933</v>
      </c>
      <c r="J19004" s="6" t="n">
        <f aca="false">Sens!J18982</f>
        <v>196.722117481571</v>
      </c>
      <c r="K19004" s="6" t="n">
        <f aca="false">Sens!K18982</f>
        <v>212.00016570528</v>
      </c>
    </row>
    <row r="19005" customFormat="false" ht="17.15" hidden="false" customHeight="false" outlineLevel="0" collapsed="false">
      <c r="A19005" s="0" t="s">
        <v>1057</v>
      </c>
      <c r="B19005" s="0" t="s">
        <v>98</v>
      </c>
      <c r="D19005" s="6" t="n">
        <f aca="false">Sens!D18980</f>
        <v>83.705</v>
      </c>
      <c r="E19005" s="6" t="n">
        <f aca="false">Sens!E18980</f>
        <v>95.049</v>
      </c>
      <c r="F19005" s="6" t="n">
        <f aca="false">Sens!F18980</f>
        <v>106.229653205718</v>
      </c>
      <c r="G19005" s="6" t="n">
        <f aca="false">Sens!G18980</f>
        <v>118.306092647576</v>
      </c>
      <c r="H19005" s="6" t="n">
        <f aca="false">Sens!H18980</f>
        <v>130.463437602768</v>
      </c>
      <c r="I19005" s="6" t="n">
        <f aca="false">Sens!I18980</f>
        <v>142.445354741933</v>
      </c>
      <c r="J19005" s="6" t="n">
        <f aca="false">Sens!J18980</f>
        <v>153.972117481571</v>
      </c>
      <c r="K19005" s="6" t="n">
        <f aca="false">Sens!K18980</f>
        <v>164.75016570528</v>
      </c>
    </row>
    <row r="19006" customFormat="false" ht="17.15" hidden="false" customHeight="false" outlineLevel="0" collapsed="false">
      <c r="A19006" s="0" t="s">
        <v>1058</v>
      </c>
      <c r="B19006" s="0" t="s">
        <v>98</v>
      </c>
      <c r="D19006" s="6" t="n">
        <f aca="false">Sens!D18979</f>
        <v>0.9</v>
      </c>
      <c r="E19006" s="6" t="n">
        <f aca="false">Sens!E18979</f>
        <v>5.25</v>
      </c>
      <c r="F19006" s="6" t="n">
        <f aca="false">Sens!F18979</f>
        <v>13.5</v>
      </c>
      <c r="G19006" s="6" t="n">
        <f aca="false">Sens!G18979</f>
        <v>22.5</v>
      </c>
      <c r="H19006" s="6" t="n">
        <f aca="false">Sens!H18979</f>
        <v>31.5</v>
      </c>
      <c r="I19006" s="6" t="n">
        <f aca="false">Sens!I18979</f>
        <v>38.25</v>
      </c>
      <c r="J19006" s="6" t="n">
        <f aca="false">Sens!J18979</f>
        <v>42.75</v>
      </c>
      <c r="K19006" s="6" t="n">
        <f aca="false">Sens!K18979</f>
        <v>47.25</v>
      </c>
    </row>
    <row r="19007" customFormat="false" ht="15" hidden="false" customHeight="false" outlineLevel="0" collapsed="false">
      <c r="A19007" s="0" t="s">
        <v>1037</v>
      </c>
      <c r="B19007" s="0" t="s">
        <v>98</v>
      </c>
      <c r="D19007" s="6" t="n">
        <f aca="false">Sens!D18983</f>
        <v>35.391</v>
      </c>
      <c r="E19007" s="6" t="n">
        <f aca="false">Sens!E18983</f>
        <v>37.285</v>
      </c>
      <c r="F19007" s="6" t="n">
        <f aca="false">Sens!F18983</f>
        <v>38.3851437782675</v>
      </c>
      <c r="G19007" s="6" t="n">
        <f aca="false">Sens!G18983</f>
        <v>40.0105353288615</v>
      </c>
      <c r="H19007" s="6" t="n">
        <f aca="false">Sens!H18983</f>
        <v>41.4812512033683</v>
      </c>
      <c r="I19007" s="6" t="n">
        <f aca="false">Sens!I18983</f>
        <v>42.7743107216329</v>
      </c>
      <c r="J19007" s="6" t="n">
        <f aca="false">Sens!J18983</f>
        <v>43.8687373064601</v>
      </c>
      <c r="K19007" s="6" t="n">
        <f aca="false">Sens!K18983</f>
        <v>44.7461120525893</v>
      </c>
    </row>
    <row r="19008" customFormat="false" ht="15" hidden="false" customHeight="false" outlineLevel="0" collapsed="false">
      <c r="A19008" s="0" t="s">
        <v>1039</v>
      </c>
      <c r="B19008" s="0" t="s">
        <v>98</v>
      </c>
      <c r="D19008" s="6" t="n">
        <f aca="false">Sens!D18985</f>
        <v>18.417</v>
      </c>
      <c r="E19008" s="6" t="n">
        <f aca="false">Sens!E18985</f>
        <v>20.345</v>
      </c>
      <c r="F19008" s="6" t="n">
        <f aca="false">Sens!F18985</f>
        <v>22.3161797133988</v>
      </c>
      <c r="G19008" s="6" t="n">
        <f aca="false">Sens!G18985</f>
        <v>24.3943499673233</v>
      </c>
      <c r="H19008" s="6" t="n">
        <f aca="false">Sens!H18985</f>
        <v>26.5250243109019</v>
      </c>
      <c r="I19008" s="6" t="n">
        <f aca="false">Sens!I18985</f>
        <v>28.6884573538181</v>
      </c>
      <c r="J19008" s="6" t="n">
        <f aca="false">Sens!J18985</f>
        <v>30.8624968052127</v>
      </c>
      <c r="K19008" s="6" t="n">
        <f aca="false">Sens!K18985</f>
        <v>33.0228715815776</v>
      </c>
    </row>
    <row r="19009" customFormat="false" ht="15" hidden="false" customHeight="false" outlineLevel="0" collapsed="false">
      <c r="A19009" s="0" t="s">
        <v>1040</v>
      </c>
      <c r="B19009" s="0" t="s">
        <v>98</v>
      </c>
      <c r="D19009" s="6" t="n">
        <f aca="false">Sens!D18987</f>
        <v>7.76</v>
      </c>
      <c r="E19009" s="6" t="n">
        <f aca="false">Sens!E18987</f>
        <v>8.26</v>
      </c>
      <c r="F19009" s="6" t="n">
        <f aca="false">Sens!F18987</f>
        <v>8.75372082474227</v>
      </c>
      <c r="G19009" s="6" t="n">
        <f aca="false">Sens!G18987</f>
        <v>9.33399324642364</v>
      </c>
      <c r="H19009" s="6" t="n">
        <f aca="false">Sens!H18987</f>
        <v>9.96139155535851</v>
      </c>
      <c r="I19009" s="6" t="n">
        <f aca="false">Sens!I18987</f>
        <v>10.6402039077391</v>
      </c>
      <c r="J19009" s="6" t="n">
        <f aca="false">Sens!J18987</f>
        <v>11.3751458271397</v>
      </c>
      <c r="K19009" s="6" t="n">
        <f aca="false">Sens!K18987</f>
        <v>12.1714060350394</v>
      </c>
    </row>
    <row r="19010" customFormat="false" ht="15" hidden="false" customHeight="false" outlineLevel="0" collapsed="false">
      <c r="A19010" s="0" t="s">
        <v>856</v>
      </c>
      <c r="B19010" s="0" t="s">
        <v>98</v>
      </c>
      <c r="D19010" s="6" t="n">
        <f aca="false">Sens!D18989</f>
        <v>218.783</v>
      </c>
      <c r="E19010" s="6" t="n">
        <f aca="false">Sens!E18989</f>
        <v>268.127</v>
      </c>
      <c r="F19010" s="6" t="n">
        <f aca="false">Sens!F18989</f>
        <v>339.162167295055</v>
      </c>
      <c r="G19010" s="6" t="n">
        <f aca="false">Sens!G18989</f>
        <v>426.031362162298</v>
      </c>
      <c r="H19010" s="6" t="n">
        <f aca="false">Sens!H18989</f>
        <v>519.276864502873</v>
      </c>
      <c r="I19010" s="6" t="n">
        <f aca="false">Sens!I18989</f>
        <v>598.123041765303</v>
      </c>
      <c r="J19010" s="6" t="n">
        <f aca="false">Sens!J18989</f>
        <v>660.900354197279</v>
      </c>
      <c r="K19010" s="6" t="n">
        <f aca="false">Sens!K18989</f>
        <v>710.42548758255</v>
      </c>
    </row>
    <row r="19011" customFormat="false" ht="15" hidden="false" customHeight="false" outlineLevel="0" collapsed="false">
      <c r="A19011" s="0" t="s">
        <v>1041</v>
      </c>
      <c r="B19011" s="0" t="s">
        <v>98</v>
      </c>
      <c r="D19011" s="6" t="n">
        <f aca="false">Sens!D18990</f>
        <v>22.171</v>
      </c>
      <c r="E19011" s="6" t="n">
        <f aca="false">Sens!E18990</f>
        <v>24.835</v>
      </c>
      <c r="F19011" s="6" t="n">
        <f aca="false">Sens!F18990</f>
        <v>27.5591895660247</v>
      </c>
      <c r="G19011" s="6" t="n">
        <f aca="false">Sens!G18990</f>
        <v>30.4098563144583</v>
      </c>
      <c r="H19011" s="6" t="n">
        <f aca="false">Sens!H18990</f>
        <v>33.3011792571777</v>
      </c>
      <c r="I19011" s="6" t="n">
        <f aca="false">Sens!I18990</f>
        <v>36.189023797112</v>
      </c>
      <c r="J19011" s="6" t="n">
        <f aca="false">Sens!J18990</f>
        <v>39.0247773769199</v>
      </c>
      <c r="K19011" s="6" t="n">
        <f aca="false">Sens!K18990</f>
        <v>41.7565117933043</v>
      </c>
    </row>
    <row r="19012" customFormat="false" ht="15" hidden="false" customHeight="false" outlineLevel="0" collapsed="false">
      <c r="A19012" s="0" t="s">
        <v>1042</v>
      </c>
      <c r="B19012" s="0" t="s">
        <v>98</v>
      </c>
      <c r="D19012" s="6" t="n">
        <f aca="false">Sens!D18992</f>
        <v>23.455</v>
      </c>
      <c r="E19012" s="6" t="n">
        <f aca="false">Sens!E18992</f>
        <v>21.79</v>
      </c>
      <c r="F19012" s="6" t="n">
        <f aca="false">Sens!F18992</f>
        <v>20.7520981041711</v>
      </c>
      <c r="G19012" s="6" t="n">
        <f aca="false">Sens!G18992</f>
        <v>19.9083593495882</v>
      </c>
      <c r="H19012" s="6" t="n">
        <f aca="false">Sens!H18992</f>
        <v>19.4008256265831</v>
      </c>
      <c r="I19012" s="6" t="n">
        <f aca="false">Sens!I18992</f>
        <v>19.200434522122</v>
      </c>
      <c r="J19012" s="6" t="n">
        <f aca="false">Sens!J18992</f>
        <v>19.2932782348507</v>
      </c>
      <c r="K19012" s="6" t="n">
        <f aca="false">Sens!K18992</f>
        <v>19.6791437995477</v>
      </c>
    </row>
    <row r="19013" customFormat="false" ht="15" hidden="false" customHeight="false" outlineLevel="0" collapsed="false">
      <c r="A19013" s="0" t="s">
        <v>1043</v>
      </c>
      <c r="B19013" s="0" t="s">
        <v>98</v>
      </c>
      <c r="D19013" s="6" t="n">
        <f aca="false">Sens!D18994</f>
        <v>17.315</v>
      </c>
      <c r="E19013" s="6" t="n">
        <f aca="false">Sens!E18994</f>
        <v>17.087</v>
      </c>
      <c r="F19013" s="6" t="n">
        <f aca="false">Sens!F18994</f>
        <v>15.9912273250553</v>
      </c>
      <c r="G19013" s="6" t="n">
        <f aca="false">Sens!G18994</f>
        <v>15.9574562664827</v>
      </c>
      <c r="H19013" s="6" t="n">
        <f aca="false">Sens!H18994</f>
        <v>16.0119687434196</v>
      </c>
      <c r="I19013" s="6" t="n">
        <f aca="false">Sens!I18994</f>
        <v>16.1551810001948</v>
      </c>
      <c r="J19013" s="6" t="n">
        <f aca="false">Sens!J18994</f>
        <v>16.3889793892005</v>
      </c>
      <c r="K19013" s="6" t="n">
        <f aca="false">Sens!K18994</f>
        <v>16.7167589769845</v>
      </c>
    </row>
    <row r="19014" customFormat="false" ht="15" hidden="false" customHeight="false" outlineLevel="0" collapsed="false">
      <c r="A19014" s="0" t="s">
        <v>870</v>
      </c>
      <c r="B19014" s="0" t="s">
        <v>98</v>
      </c>
      <c r="D19014" s="6" t="n">
        <f aca="false">Sens!D18996</f>
        <v>62.941</v>
      </c>
      <c r="E19014" s="6" t="n">
        <f aca="false">Sens!E18996</f>
        <v>63.712</v>
      </c>
      <c r="F19014" s="6" t="n">
        <f aca="false">Sens!F18996</f>
        <v>64.3025149952511</v>
      </c>
      <c r="G19014" s="6" t="n">
        <f aca="false">Sens!G18996</f>
        <v>66.2756719305292</v>
      </c>
      <c r="H19014" s="6" t="n">
        <f aca="false">Sens!H18996</f>
        <v>68.7139736271804</v>
      </c>
      <c r="I19014" s="6" t="n">
        <f aca="false">Sens!I18996</f>
        <v>71.5446393194289</v>
      </c>
      <c r="J19014" s="6" t="n">
        <f aca="false">Sens!J18996</f>
        <v>74.707035000971</v>
      </c>
      <c r="K19014" s="6" t="n">
        <f aca="false">Sens!K18996</f>
        <v>78.1524145698365</v>
      </c>
    </row>
    <row r="19015" customFormat="false" ht="15" hidden="false" customHeight="false" outlineLevel="0" collapsed="false">
      <c r="A19015" s="1" t="s">
        <v>1059</v>
      </c>
      <c r="B19015" s="0" t="s">
        <v>98</v>
      </c>
      <c r="D19015" s="6" t="n">
        <f aca="false">Sens!D18997</f>
        <v>281.724</v>
      </c>
      <c r="E19015" s="6" t="n">
        <f aca="false">Sens!E18997</f>
        <v>331.839</v>
      </c>
      <c r="F19015" s="6" t="n">
        <f aca="false">Sens!F18997</f>
        <v>403.464682290306</v>
      </c>
      <c r="G19015" s="6" t="n">
        <f aca="false">Sens!G18997</f>
        <v>492.307034092827</v>
      </c>
      <c r="H19015" s="6" t="n">
        <f aca="false">Sens!H18997</f>
        <v>587.990838130053</v>
      </c>
      <c r="I19015" s="6" t="n">
        <f aca="false">Sens!I18997</f>
        <v>669.667681084732</v>
      </c>
      <c r="J19015" s="6" t="n">
        <f aca="false">Sens!J18997</f>
        <v>735.60738919825</v>
      </c>
      <c r="K19015" s="6" t="n">
        <f aca="false">Sens!K18997</f>
        <v>788.577902152386</v>
      </c>
    </row>
    <row r="19016" customFormat="false" ht="15" hidden="false" customHeight="false" outlineLevel="0" collapsed="false">
      <c r="A19016" s="1" t="s">
        <v>1060</v>
      </c>
      <c r="B19016" s="0" t="s">
        <v>168</v>
      </c>
      <c r="E19016" s="7" t="n">
        <f aca="false">Sens!E19015/Sens!D19015-1</f>
        <v>0.177886867998467</v>
      </c>
      <c r="F19016" s="7" t="n">
        <f aca="false">Sens!F19015/Sens!E19015-1</f>
        <v>0.215844678564926</v>
      </c>
      <c r="G19016" s="7" t="n">
        <f aca="false">Sens!G19015/Sens!F19015-1</f>
        <v>0.220198584168999</v>
      </c>
      <c r="H19016" s="7" t="n">
        <f aca="false">Sens!H19015/Sens!G19015-1</f>
        <v>0.19435798680704</v>
      </c>
      <c r="I19016" s="7" t="n">
        <f aca="false">Sens!I19015/Sens!H19015-1</f>
        <v>0.138908359889466</v>
      </c>
      <c r="J19016" s="7" t="n">
        <f aca="false">Sens!J19015/Sens!I19015-1</f>
        <v>0.0984663139285882</v>
      </c>
      <c r="K19016" s="7" t="n">
        <f aca="false">Sens!K19015/Sens!J19015-1</f>
        <v>0.0720092181399497</v>
      </c>
    </row>
    <row r="19017" customFormat="false" ht="17.15" hidden="false" customHeight="false" outlineLevel="0" collapsed="false">
      <c r="A19017" s="26" t="s">
        <v>1061</v>
      </c>
      <c r="B19017" s="31" t="s">
        <v>98</v>
      </c>
      <c r="C19017" s="31"/>
      <c r="D19017" s="27" t="n">
        <f aca="false">(Sens!D19010+Sens!D19014-Sens!D19015)+(Sens!D19002+Sens!D19003-Sens!D19001)+(Sens!D19005+Sens!D19006-Sens!D19004)+(Sens!D19015-Q!L18)</f>
        <v>0</v>
      </c>
      <c r="E19017" s="27" t="n">
        <f aca="false">(Sens!E19010+Sens!E19014-Sens!E19015)+(Sens!E19002+Sens!E19003-Sens!E19001)+(Sens!E19005+Sens!E19006-Sens!E19004)+(Sens!E19015-Q!M18)</f>
        <v>0</v>
      </c>
      <c r="F19017" s="27" t="n">
        <f aca="false">(Sens!F19010+Sens!F19014-Sens!F19015)+(Sens!F19002+Sens!F19003-Sens!F19001)+(Sens!F19005+Sens!F19006-Sens!F19004)</f>
        <v>0</v>
      </c>
      <c r="G19017" s="27" t="n">
        <f aca="false">(Sens!G19010+Sens!G19014-Sens!G19015)+(Sens!G19002+Sens!G19003-Sens!G19001)+(Sens!G19005+Sens!G19006-Sens!G19004)</f>
        <v>0</v>
      </c>
      <c r="H19017" s="27" t="n">
        <f aca="false">(Sens!H19010+Sens!H19014-Sens!H19015)+(Sens!H19002+Sens!H19003-Sens!H19001)+(Sens!H19005+Sens!H19006-Sens!H19004)</f>
        <v>0</v>
      </c>
      <c r="I19017" s="27" t="n">
        <f aca="false">(Sens!I19010+Sens!I19014-Sens!I19015)+(Sens!I19002+Sens!I19003-Sens!I19001)+(Sens!I19005+Sens!I19006-Sens!I19004)</f>
        <v>0</v>
      </c>
      <c r="J19017" s="27" t="n">
        <f aca="false">(Sens!J19010+Sens!J19014-Sens!J19015)+(Sens!J19002+Sens!J19003-Sens!J19001)+(Sens!J19005+Sens!J19006-Sens!J19004)</f>
        <v>0</v>
      </c>
      <c r="K19017" s="27" t="n">
        <f aca="false">(Sens!K19010+Sens!K19014-Sens!K19015)+(Sens!K19002+Sens!K19003-Sens!K19001)+(Sens!K19005+Sens!K19006-Sens!K19004)</f>
        <v>0</v>
      </c>
    </row>
    <row r="19018" customFormat="false" ht="17.15" hidden="false" customHeight="false" outlineLevel="0" collapsed="false">
      <c r="A19018" s="0" t="s">
        <v>1062</v>
      </c>
      <c r="B19018" s="0" t="s">
        <v>168</v>
      </c>
      <c r="E19018" s="7" t="n">
        <f aca="false">(Q!M21+Sens!E18954+Sens!E18955+Sens!E18956+Sens!E18970-Sens!E18952)/(Q!M5-Sens!E18952)</f>
        <v>0.570957350878296</v>
      </c>
      <c r="F19018" s="7" t="n">
        <f aca="false">Sens!$E$19018+dm_seg</f>
        <v>0.570957350878296</v>
      </c>
      <c r="G19018" s="7" t="n">
        <f aca="false">Sens!$E$19018+dm_seg</f>
        <v>0.570957350878296</v>
      </c>
      <c r="H19018" s="7" t="n">
        <f aca="false">Sens!$E$19018+dm_seg</f>
        <v>0.570957350878296</v>
      </c>
      <c r="I19018" s="7" t="n">
        <f aca="false">Sens!$E$19018+dm_seg</f>
        <v>0.570957350878296</v>
      </c>
      <c r="J19018" s="7" t="n">
        <f aca="false">Sens!$E$19018+dm_seg</f>
        <v>0.570957350878296</v>
      </c>
      <c r="K19018" s="7" t="n">
        <f aca="false">Sens!$E$19018+dm_seg</f>
        <v>0.570957350878296</v>
      </c>
      <c r="L19018" s="12" t="s">
        <v>1063</v>
      </c>
    </row>
    <row r="19019" customFormat="false" ht="17.15" hidden="false" customHeight="false" outlineLevel="0" collapsed="false">
      <c r="A19019" s="0" t="s">
        <v>884</v>
      </c>
      <c r="B19019" s="0" t="s">
        <v>98</v>
      </c>
      <c r="D19019" s="6" t="n">
        <f aca="false">Q!L21</f>
        <v>110.814</v>
      </c>
      <c r="E19019" s="6" t="n">
        <f aca="false">Q!M21</f>
        <v>136.365</v>
      </c>
      <c r="F19019" s="6" t="n">
        <f aca="false">Q!$I$21+(Sens!F19018*(Sens!F18989-Sens!F18952)+Sens!F18952-(Sens!F18954+Sens!F18955+Sens!F18956)-Sens!F18970-Sens!F19053)*(Sens!F18989-Q!$I$5)/Sens!F18989</f>
        <v>166.012866458965</v>
      </c>
      <c r="G19019" s="6" t="n">
        <f aca="false">(Sens!G19018*(Sens!G18989-Sens!G18952)+Sens!G18952-(Sens!G18954+Sens!G18955+Sens!G18956)-Sens!G18970-Sens!G19053)</f>
        <v>192.513508394765</v>
      </c>
      <c r="H19019" s="6" t="n">
        <f aca="false">(Sens!H19018*(Sens!H18989-Sens!H18952)+Sens!H18952-(Sens!H18954+Sens!H18955+Sens!H18956)-Sens!H18970-Sens!H19053)</f>
        <v>227.218371971918</v>
      </c>
      <c r="I19019" s="6" t="n">
        <f aca="false">(Sens!I19018*(Sens!I18989-Sens!I18952)+Sens!I18952-(Sens!I18954+Sens!I18955+Sens!I18956)-Sens!I18970-Sens!I19053)</f>
        <v>253.600143102737</v>
      </c>
      <c r="J19019" s="6" t="n">
        <f aca="false">(Sens!J19018*(Sens!J18989-Sens!J18952)+Sens!J18952-(Sens!J18954+Sens!J18955+Sens!J18956)-Sens!J18970-Sens!J19053)</f>
        <v>276.280005793954</v>
      </c>
      <c r="K19019" s="6" t="n">
        <f aca="false">(Sens!K19018*(Sens!K18989-Sens!K18952)+Sens!K18952-(Sens!K18954+Sens!K18955+Sens!K18956)-Sens!K18970-Sens!K19053)</f>
        <v>296.837157663022</v>
      </c>
      <c r="L19019" s="1" t="s">
        <v>1064</v>
      </c>
    </row>
    <row r="19020" customFormat="false" ht="17.15" hidden="false" customHeight="false" outlineLevel="0" collapsed="false">
      <c r="A19020" s="0" t="s">
        <v>1065</v>
      </c>
      <c r="B19020" s="0" t="s">
        <v>168</v>
      </c>
      <c r="E19020" s="7" t="n">
        <f aca="false">Q!M22/Q!M12</f>
        <v>0.296207935710698</v>
      </c>
      <c r="F19020" s="7" t="n">
        <f aca="false">Sens!$E$19020+dm_seg</f>
        <v>0.296207935710698</v>
      </c>
      <c r="G19020" s="7" t="n">
        <f aca="false">Sens!$E$19020+dm_seg</f>
        <v>0.296207935710698</v>
      </c>
      <c r="H19020" s="7" t="n">
        <f aca="false">Sens!$E$19020+dm_seg</f>
        <v>0.296207935710698</v>
      </c>
      <c r="I19020" s="7" t="n">
        <f aca="false">Sens!$E$19020+dm_seg</f>
        <v>0.296207935710698</v>
      </c>
      <c r="J19020" s="7" t="n">
        <f aca="false">Sens!$E$19020+dm_seg</f>
        <v>0.296207935710698</v>
      </c>
      <c r="K19020" s="7" t="n">
        <f aca="false">Sens!$E$19020+dm_seg</f>
        <v>0.296207935710698</v>
      </c>
      <c r="L19020" s="12" t="s">
        <v>1066</v>
      </c>
    </row>
    <row r="19021" customFormat="false" ht="17.15" hidden="false" customHeight="false" outlineLevel="0" collapsed="false">
      <c r="A19021" s="0" t="s">
        <v>886</v>
      </c>
      <c r="B19021" s="0" t="s">
        <v>98</v>
      </c>
      <c r="D19021" s="6" t="n">
        <f aca="false">Q!L22</f>
        <v>17.714</v>
      </c>
      <c r="E19021" s="6" t="n">
        <f aca="false">Q!M22</f>
        <v>18.872</v>
      </c>
      <c r="F19021" s="6" t="n">
        <f aca="false">Q!$I$22+(Sens!F18996-Q!$I$12)*Sens!F19020</f>
        <v>19.8174315512051</v>
      </c>
      <c r="G19021" s="6" t="n">
        <f aca="false">Sens!G18996*Sens!G19020</f>
        <v>19.6313799703815</v>
      </c>
      <c r="H19021" s="6" t="n">
        <f aca="false">Sens!H18996*Sens!H19020</f>
        <v>20.3536242825865</v>
      </c>
      <c r="I19021" s="6" t="n">
        <f aca="false">Sens!I18996*Sens!I19020</f>
        <v>21.1920899239745</v>
      </c>
      <c r="J19021" s="6" t="n">
        <f aca="false">Sens!J18996*Sens!J19020</f>
        <v>22.1288166207045</v>
      </c>
      <c r="K19021" s="6" t="n">
        <f aca="false">Sens!K18996*Sens!K19020</f>
        <v>23.1493653905379</v>
      </c>
      <c r="L19021" s="12" t="s">
        <v>1067</v>
      </c>
    </row>
    <row r="19022" customFormat="false" ht="15" hidden="false" customHeight="false" outlineLevel="0" collapsed="false">
      <c r="A19022" s="1" t="s">
        <v>1068</v>
      </c>
      <c r="B19022" s="0" t="s">
        <v>98</v>
      </c>
      <c r="D19022" s="6" t="n">
        <f aca="false">Sens!D19019+Sens!D19021</f>
        <v>128.528</v>
      </c>
      <c r="E19022" s="6" t="n">
        <f aca="false">Sens!E19019+Sens!E19021</f>
        <v>155.237</v>
      </c>
      <c r="F19022" s="6" t="n">
        <f aca="false">Sens!F19019+Sens!F19021</f>
        <v>185.83029801017</v>
      </c>
      <c r="G19022" s="6" t="n">
        <f aca="false">Sens!G19019+Sens!G19021</f>
        <v>212.144888365146</v>
      </c>
      <c r="H19022" s="6" t="n">
        <f aca="false">Sens!H19019+Sens!H19021</f>
        <v>247.571996254504</v>
      </c>
      <c r="I19022" s="6" t="n">
        <f aca="false">Sens!I19019+Sens!I19021</f>
        <v>274.792233026712</v>
      </c>
      <c r="J19022" s="6" t="n">
        <f aca="false">Sens!J19019+Sens!J19021</f>
        <v>298.408822414658</v>
      </c>
      <c r="K19022" s="6" t="n">
        <f aca="false">Sens!K19019+Sens!K19021</f>
        <v>319.98652305356</v>
      </c>
    </row>
    <row r="19023" customFormat="false" ht="15" hidden="false" customHeight="false" outlineLevel="0" collapsed="false">
      <c r="A19023" s="26" t="s">
        <v>1069</v>
      </c>
      <c r="B19023" s="31" t="s">
        <v>98</v>
      </c>
      <c r="C19023" s="31"/>
      <c r="D19023" s="27" t="n">
        <f aca="false">Sens!D19022-Q!L23</f>
        <v>0</v>
      </c>
      <c r="E19023" s="27" t="n">
        <f aca="false">Sens!E19022-Q!M23</f>
        <v>0</v>
      </c>
      <c r="F19023" s="31"/>
      <c r="G19023" s="31"/>
      <c r="H19023" s="31"/>
      <c r="I19023" s="31"/>
      <c r="J19023" s="31"/>
      <c r="K19023" s="31"/>
    </row>
    <row r="19024" customFormat="false" ht="15" hidden="false" customHeight="false" outlineLevel="0" collapsed="false">
      <c r="A19024" s="1" t="s">
        <v>1070</v>
      </c>
      <c r="B19024" s="0" t="s">
        <v>168</v>
      </c>
      <c r="D19024" s="7" t="n">
        <f aca="false">Sens!D19022/Sens!D19015</f>
        <v>0.456219562408598</v>
      </c>
      <c r="E19024" s="7" t="n">
        <f aca="false">Sens!E19022/Sens!E19015</f>
        <v>0.467808184089272</v>
      </c>
      <c r="F19024" s="7" t="n">
        <f aca="false">Sens!F19022/Sens!F19015</f>
        <v>0.460586282187789</v>
      </c>
      <c r="G19024" s="7" t="n">
        <f aca="false">Sens!G19022/Sens!G19015</f>
        <v>0.430919880631129</v>
      </c>
      <c r="H19024" s="7" t="n">
        <f aca="false">Sens!H19022/Sens!H19015</f>
        <v>0.421047370468969</v>
      </c>
      <c r="I19024" s="7" t="n">
        <f aca="false">Sens!I19022/Sens!I19015</f>
        <v>0.410341189799696</v>
      </c>
      <c r="J19024" s="7" t="n">
        <f aca="false">Sens!J19022/Sens!J19015</f>
        <v>0.405663165972134</v>
      </c>
      <c r="K19024" s="7" t="n">
        <f aca="false">Sens!K19022/Sens!K19015</f>
        <v>0.405776679995941</v>
      </c>
    </row>
    <row r="19025" customFormat="false" ht="17.15" hidden="false" customHeight="false" outlineLevel="0" collapsed="false">
      <c r="A19025" s="1" t="s">
        <v>1071</v>
      </c>
      <c r="B19025" s="0" t="s">
        <v>98</v>
      </c>
      <c r="F19025" s="6" t="n">
        <f aca="false">Sens!F19040</f>
        <v>8.8743333025111</v>
      </c>
      <c r="G19025" s="6" t="n">
        <f aca="false">Sens!G19040</f>
        <v>22.702199485199</v>
      </c>
      <c r="H19025" s="6" t="n">
        <f aca="false">Sens!H19040</f>
        <v>38.0996038893588</v>
      </c>
      <c r="I19025" s="6" t="n">
        <f aca="false">Sens!I19040</f>
        <v>52.4504053883899</v>
      </c>
      <c r="J19025" s="6" t="n">
        <f aca="false">Sens!J19040</f>
        <v>62.6413235132959</v>
      </c>
      <c r="K19025" s="6" t="n">
        <f aca="false">Sens!K19040</f>
        <v>68.0924461161915</v>
      </c>
      <c r="L19025" s="1" t="s">
        <v>1072</v>
      </c>
    </row>
    <row r="19026" customFormat="false" ht="17.15" hidden="false" customHeight="false" outlineLevel="0" collapsed="false">
      <c r="A19026" s="1" t="s">
        <v>1073</v>
      </c>
      <c r="B19026" s="0" t="s">
        <v>98</v>
      </c>
      <c r="D19026" s="6" t="n">
        <f aca="false">Sens!D19022</f>
        <v>128.528</v>
      </c>
      <c r="E19026" s="6" t="n">
        <f aca="false">Sens!E19022</f>
        <v>155.237</v>
      </c>
      <c r="F19026" s="6" t="n">
        <f aca="false">Sens!F19022+Sens!F19025</f>
        <v>194.704631312681</v>
      </c>
      <c r="G19026" s="6" t="n">
        <f aca="false">Sens!G19022+Sens!G19025</f>
        <v>234.847087850345</v>
      </c>
      <c r="H19026" s="6" t="n">
        <f aca="false">Sens!H19022+Sens!H19025</f>
        <v>285.671600143863</v>
      </c>
      <c r="I19026" s="6" t="n">
        <f aca="false">Sens!I19022+Sens!I19025</f>
        <v>327.242638415102</v>
      </c>
      <c r="J19026" s="6" t="n">
        <f aca="false">Sens!J19022+Sens!J19025</f>
        <v>361.050145927954</v>
      </c>
      <c r="K19026" s="6" t="n">
        <f aca="false">Sens!K19022+Sens!K19025</f>
        <v>388.078969169751</v>
      </c>
    </row>
    <row r="19027" customFormat="false" ht="17.15" hidden="false" customHeight="false" outlineLevel="0" collapsed="false">
      <c r="A19027" s="1" t="s">
        <v>1074</v>
      </c>
      <c r="B19027" s="0" t="s">
        <v>98</v>
      </c>
      <c r="E19027" s="6" t="n">
        <f aca="false">Sens!E18970</f>
        <v>16.3054059770833</v>
      </c>
      <c r="F19027" s="6" t="n">
        <f aca="false">Sens!F18970</f>
        <v>34.641228276809</v>
      </c>
      <c r="G19027" s="6" t="n">
        <f aca="false">Sens!G18970</f>
        <v>60.9344867500193</v>
      </c>
      <c r="H19027" s="6" t="n">
        <f aca="false">Sens!H18970</f>
        <v>89.440318654396</v>
      </c>
      <c r="I19027" s="6" t="n">
        <f aca="false">Sens!I18970</f>
        <v>114.777494622816</v>
      </c>
      <c r="J19027" s="6" t="n">
        <f aca="false">Sens!J18970</f>
        <v>132.880875699293</v>
      </c>
      <c r="K19027" s="6" t="n">
        <f aca="false">Sens!K18970</f>
        <v>144.355521672042</v>
      </c>
    </row>
    <row r="19028" customFormat="false" ht="17.15" hidden="false" customHeight="false" outlineLevel="0" collapsed="false">
      <c r="A19028" s="1" t="s">
        <v>1075</v>
      </c>
      <c r="B19028" s="0" t="s">
        <v>98</v>
      </c>
      <c r="E19028" s="6" t="n">
        <f aca="false">Sens!E19052</f>
        <v>22.2285940229167</v>
      </c>
      <c r="F19028" s="6" t="n">
        <f aca="false">Sens!F19052</f>
        <v>23.5783018048442</v>
      </c>
      <c r="G19028" s="6" t="n">
        <f aca="false">Sens!G19052</f>
        <v>25.375712844567</v>
      </c>
      <c r="H19028" s="6" t="n">
        <f aca="false">Sens!H19052</f>
        <v>27.5894701896581</v>
      </c>
      <c r="I19028" s="6" t="n">
        <f aca="false">Sens!I19052</f>
        <v>30.1432349813921</v>
      </c>
      <c r="J19028" s="6" t="n">
        <f aca="false">Sens!J19052</f>
        <v>32.9449908003304</v>
      </c>
      <c r="K19028" s="6" t="n">
        <f aca="false">Sens!K19052</f>
        <v>35.9103392518222</v>
      </c>
    </row>
    <row r="19029" customFormat="false" ht="17.15" hidden="false" customHeight="false" outlineLevel="0" collapsed="false">
      <c r="A19029" s="1" t="s">
        <v>1076</v>
      </c>
      <c r="B19029" s="0" t="s">
        <v>98</v>
      </c>
      <c r="D19029" s="6" t="n">
        <f aca="false">Q!L27</f>
        <v>-4.901</v>
      </c>
      <c r="E19029" s="6" t="n">
        <f aca="false">Q!M27</f>
        <v>10.697</v>
      </c>
      <c r="F19029" s="6" t="n">
        <f aca="false">Q!$I$27+oie_f*(q_per_yr-1)/q_per_yr</f>
        <v>-0.862</v>
      </c>
      <c r="G19029" s="6" t="n">
        <f aca="false">oie_f</f>
        <v>-1.2</v>
      </c>
      <c r="H19029" s="6" t="n">
        <f aca="false">oie_f</f>
        <v>-1.2</v>
      </c>
      <c r="I19029" s="6" t="n">
        <f aca="false">oie_f</f>
        <v>-1.2</v>
      </c>
      <c r="J19029" s="6" t="n">
        <f aca="false">oie_f</f>
        <v>-1.2</v>
      </c>
      <c r="K19029" s="6" t="n">
        <f aca="false">oie_f</f>
        <v>-1.2</v>
      </c>
      <c r="L19029" s="12" t="s">
        <v>1077</v>
      </c>
    </row>
    <row r="19030" customFormat="false" ht="15" hidden="false" customHeight="false" outlineLevel="0" collapsed="false">
      <c r="A19030" s="1" t="s">
        <v>1078</v>
      </c>
      <c r="B19030" s="0" t="s">
        <v>98</v>
      </c>
      <c r="D19030" s="6" t="n">
        <f aca="false">Sens!D19022+Sens!D19029</f>
        <v>123.627</v>
      </c>
      <c r="E19030" s="6" t="n">
        <f aca="false">Sens!E19022+Sens!E19029</f>
        <v>165.934</v>
      </c>
      <c r="F19030" s="6" t="n">
        <f aca="false">Sens!F19022+Sens!F19029</f>
        <v>184.96829801017</v>
      </c>
      <c r="G19030" s="6" t="n">
        <f aca="false">Sens!G19022+Sens!G19029</f>
        <v>210.944888365146</v>
      </c>
      <c r="H19030" s="6" t="n">
        <f aca="false">Sens!H19022+Sens!H19029</f>
        <v>246.371996254504</v>
      </c>
      <c r="I19030" s="6" t="n">
        <f aca="false">Sens!I19022+Sens!I19029</f>
        <v>273.592233026712</v>
      </c>
      <c r="J19030" s="6" t="n">
        <f aca="false">Sens!J19022+Sens!J19029</f>
        <v>297.208822414658</v>
      </c>
      <c r="K19030" s="6" t="n">
        <f aca="false">Sens!K19022+Sens!K19029</f>
        <v>318.78652305356</v>
      </c>
    </row>
    <row r="19031" customFormat="false" ht="15" hidden="false" customHeight="false" outlineLevel="0" collapsed="false">
      <c r="A19031" s="1" t="s">
        <v>1079</v>
      </c>
      <c r="B19031" s="0" t="s">
        <v>98</v>
      </c>
      <c r="D19031" s="6" t="n">
        <f aca="false">Q!L29</f>
        <v>21.795</v>
      </c>
      <c r="E19031" s="6" t="n">
        <f aca="false">Q!M29</f>
        <v>32.185</v>
      </c>
      <c r="F19031" s="6" t="n">
        <f aca="false">Q!$I$29+(Sens!F19030-Q!$I$28)*tax_f</f>
        <v>37.127059602034</v>
      </c>
      <c r="G19031" s="6" t="n">
        <f aca="false">Sens!G19030*tax_f</f>
        <v>42.1889776730292</v>
      </c>
      <c r="H19031" s="6" t="n">
        <f aca="false">Sens!H19030*tax_f</f>
        <v>49.2743992509008</v>
      </c>
      <c r="I19031" s="6" t="n">
        <f aca="false">Sens!I19030*tax_f</f>
        <v>54.7184466053424</v>
      </c>
      <c r="J19031" s="6" t="n">
        <f aca="false">Sens!J19030*tax_f</f>
        <v>59.4417644829316</v>
      </c>
      <c r="K19031" s="6" t="n">
        <f aca="false">Sens!K19030*tax_f</f>
        <v>63.7573046107119</v>
      </c>
    </row>
    <row r="19032" customFormat="false" ht="15" hidden="false" customHeight="false" outlineLevel="0" collapsed="false">
      <c r="A19032" s="1" t="s">
        <v>1080</v>
      </c>
      <c r="B19032" s="0" t="s">
        <v>98</v>
      </c>
      <c r="D19032" s="6" t="n">
        <f aca="false">Sens!D19030-Sens!D19031</f>
        <v>101.832</v>
      </c>
      <c r="E19032" s="6" t="n">
        <f aca="false">Sens!E19030-Sens!E19031</f>
        <v>133.749</v>
      </c>
      <c r="F19032" s="6" t="n">
        <f aca="false">Sens!F19030-Sens!F19031</f>
        <v>147.841238408136</v>
      </c>
      <c r="G19032" s="6" t="n">
        <f aca="false">Sens!G19030-Sens!G19031</f>
        <v>168.755910692117</v>
      </c>
      <c r="H19032" s="6" t="n">
        <f aca="false">Sens!H19030-Sens!H19031</f>
        <v>197.097597003603</v>
      </c>
      <c r="I19032" s="6" t="n">
        <f aca="false">Sens!I19030-Sens!I19031</f>
        <v>218.873786421369</v>
      </c>
      <c r="J19032" s="6" t="n">
        <f aca="false">Sens!J19030-Sens!J19031</f>
        <v>237.767057931727</v>
      </c>
      <c r="K19032" s="6" t="n">
        <f aca="false">Sens!K19030-Sens!K19031</f>
        <v>255.029218442848</v>
      </c>
    </row>
    <row r="19033" customFormat="false" ht="17.15" hidden="false" customHeight="false" outlineLevel="0" collapsed="false">
      <c r="A19033" s="1" t="s">
        <v>1081</v>
      </c>
      <c r="B19033" s="1" t="s">
        <v>81</v>
      </c>
      <c r="D19033" s="15" t="n">
        <f aca="false">Q!L31</f>
        <v>7.465</v>
      </c>
      <c r="E19033" s="15" t="n">
        <f aca="false">Q!M31</f>
        <v>7.453</v>
      </c>
      <c r="F19033" s="15" t="n">
        <f aca="false">Sens!F19077</f>
        <v>7.47020729739777</v>
      </c>
      <c r="G19033" s="15" t="n">
        <f aca="false">Sens!G19077</f>
        <v>7.50834288869738</v>
      </c>
      <c r="H19033" s="15" t="n">
        <f aca="false">Sens!H19077</f>
        <v>7.53247112162801</v>
      </c>
      <c r="I19033" s="15" t="n">
        <f aca="false">Sens!I19077</f>
        <v>7.54415248568348</v>
      </c>
      <c r="J19033" s="15" t="n">
        <f aca="false">Sens!J19077</f>
        <v>7.55830189684595</v>
      </c>
      <c r="K19033" s="15" t="n">
        <f aca="false">Sens!K19077</f>
        <v>7.5747365368112</v>
      </c>
    </row>
    <row r="19034" customFormat="false" ht="17.15" hidden="false" customHeight="false" outlineLevel="0" collapsed="false">
      <c r="A19034" s="0" t="s">
        <v>1082</v>
      </c>
      <c r="B19034" s="0" t="s">
        <v>75</v>
      </c>
      <c r="D19034" s="8" t="n">
        <f aca="false">Sens!D19032/Sens!D19033</f>
        <v>13.641259209645</v>
      </c>
      <c r="E19034" s="8" t="n">
        <f aca="false">Sens!E19032/Sens!E19033</f>
        <v>17.9456594659869</v>
      </c>
      <c r="F19034" s="8" t="n">
        <f aca="false">Sens!F19032/Sens!F19033</f>
        <v>19.7907812357009</v>
      </c>
      <c r="G19034" s="8" t="n">
        <f aca="false">Sens!G19032/Sens!G19033</f>
        <v>22.4757863610827</v>
      </c>
      <c r="H19034" s="8" t="n">
        <f aca="false">Sens!H19032/Sens!H19033</f>
        <v>26.1663926513673</v>
      </c>
      <c r="I19034" s="8" t="n">
        <f aca="false">Sens!I19032/Sens!I19033</f>
        <v>29.0123757223526</v>
      </c>
      <c r="J19034" s="8" t="n">
        <f aca="false">Sens!J19032/Sens!J19033</f>
        <v>31.4577349749612</v>
      </c>
      <c r="K19034" s="8" t="n">
        <f aca="false">Sens!K19032/Sens!K19033</f>
        <v>33.6683945644147</v>
      </c>
      <c r="L19034" s="1" t="s">
        <v>1083</v>
      </c>
    </row>
    <row r="19035" customFormat="false" ht="17.15" hidden="false" customHeight="false" outlineLevel="0" collapsed="false">
      <c r="A19035" s="1" t="s">
        <v>1084</v>
      </c>
      <c r="B19035" s="0" t="s">
        <v>98</v>
      </c>
      <c r="D19035" s="6" t="n">
        <f aca="false">Sens!D19032</f>
        <v>101.832</v>
      </c>
      <c r="E19035" s="6" t="n">
        <f aca="false">Sens!E19032</f>
        <v>133.749</v>
      </c>
      <c r="F19035" s="6" t="n">
        <f aca="false">Sens!F19032+Sens!F19025*(1-tax_f)</f>
        <v>154.940705050145</v>
      </c>
      <c r="G19035" s="6" t="n">
        <f aca="false">Sens!G19032+Sens!G19025*(1-tax_f)</f>
        <v>186.917670280276</v>
      </c>
      <c r="H19035" s="6" t="n">
        <f aca="false">Sens!H19032+Sens!H19025*(1-tax_f)</f>
        <v>227.57728011509</v>
      </c>
      <c r="I19035" s="6" t="n">
        <f aca="false">Sens!I19032+Sens!I19025*(1-tax_f)</f>
        <v>260.834110732081</v>
      </c>
      <c r="J19035" s="6" t="n">
        <f aca="false">Sens!J19032+Sens!J19025*(1-tax_f)</f>
        <v>287.880116742363</v>
      </c>
      <c r="K19035" s="6" t="n">
        <f aca="false">Sens!K19032+Sens!K19025*(1-tax_f)</f>
        <v>309.503175335801</v>
      </c>
    </row>
    <row r="19036" customFormat="false" ht="17.15" hidden="false" customHeight="false" outlineLevel="0" collapsed="false">
      <c r="A19036" s="0" t="s">
        <v>1085</v>
      </c>
      <c r="B19036" s="0" t="s">
        <v>75</v>
      </c>
      <c r="D19036" s="8" t="n">
        <f aca="false">Sens!D19035/Sens!D19033</f>
        <v>13.641259209645</v>
      </c>
      <c r="E19036" s="8" t="n">
        <f aca="false">Sens!E19035/Sens!E19033</f>
        <v>17.9456594659869</v>
      </c>
      <c r="F19036" s="8" t="n">
        <f aca="false">Sens!F19035/Sens!F19033</f>
        <v>20.7411520031202</v>
      </c>
      <c r="G19036" s="8" t="n">
        <f aca="false">Sens!G19035/Sens!G19033</f>
        <v>24.8946635830459</v>
      </c>
      <c r="H19036" s="8" t="n">
        <f aca="false">Sens!H19035/Sens!H19033</f>
        <v>30.2128314122104</v>
      </c>
      <c r="I19036" s="8" t="n">
        <f aca="false">Sens!I19035/Sens!I19033</f>
        <v>34.5743423435655</v>
      </c>
      <c r="J19036" s="8" t="n">
        <f aca="false">Sens!J19035/Sens!J19033</f>
        <v>38.0879357124508</v>
      </c>
      <c r="K19036" s="8" t="n">
        <f aca="false">Sens!K19035/Sens!K19033</f>
        <v>40.8599261283475</v>
      </c>
      <c r="L19036" s="1" t="s">
        <v>1086</v>
      </c>
    </row>
    <row r="19037" customFormat="false" ht="17.15" hidden="false" customHeight="false" outlineLevel="0" collapsed="false">
      <c r="A19037" s="0" t="s">
        <v>1087</v>
      </c>
      <c r="B19037" s="0" t="s">
        <v>168</v>
      </c>
      <c r="E19037" s="7" t="n">
        <f aca="false">Sens!E19036/Sens!D19036-1</f>
        <v>0.315542736208578</v>
      </c>
      <c r="F19037" s="7" t="n">
        <f aca="false">Sens!F19036/Sens!E19036-1</f>
        <v>0.155775414240515</v>
      </c>
      <c r="G19037" s="7" t="n">
        <f aca="false">Sens!G19036/Sens!F19036-1</f>
        <v>0.200254623238906</v>
      </c>
      <c r="H19037" s="7" t="n">
        <f aca="false">Sens!H19036/Sens!G19036-1</f>
        <v>0.213626820520136</v>
      </c>
      <c r="I19037" s="7" t="n">
        <f aca="false">Sens!I19036/Sens!H19036-1</f>
        <v>0.144359556105438</v>
      </c>
      <c r="J19037" s="7" t="n">
        <f aca="false">Sens!J19036/Sens!I19036-1</f>
        <v>0.101624300875217</v>
      </c>
      <c r="K19037" s="7" t="n">
        <f aca="false">Sens!K19036/Sens!J19036-1</f>
        <v>0.0727786991876962</v>
      </c>
    </row>
    <row r="19038" customFormat="false" ht="17.15" hidden="false" customHeight="false" outlineLevel="0" collapsed="false">
      <c r="A19038" s="0" t="s">
        <v>1007</v>
      </c>
      <c r="B19038" s="0" t="s">
        <v>98</v>
      </c>
      <c r="E19038" s="6" t="n">
        <f aca="false">Sens!E18979</f>
        <v>5.25</v>
      </c>
      <c r="F19038" s="6" t="n">
        <f aca="false">Sens!F18979</f>
        <v>13.5</v>
      </c>
      <c r="G19038" s="6" t="n">
        <f aca="false">Sens!G18979</f>
        <v>22.5</v>
      </c>
      <c r="H19038" s="6" t="n">
        <f aca="false">Sens!H18979</f>
        <v>31.5</v>
      </c>
      <c r="I19038" s="6" t="n">
        <f aca="false">Sens!I18979</f>
        <v>38.25</v>
      </c>
      <c r="J19038" s="6" t="n">
        <f aca="false">Sens!J18979</f>
        <v>42.75</v>
      </c>
      <c r="K19038" s="6" t="n">
        <f aca="false">Sens!K18979</f>
        <v>47.25</v>
      </c>
    </row>
    <row r="19039" customFormat="false" ht="17.15" hidden="false" customHeight="false" outlineLevel="0" collapsed="false">
      <c r="A19039" s="1" t="s">
        <v>1008</v>
      </c>
      <c r="B19039" s="0" t="s">
        <v>98</v>
      </c>
      <c r="F19039" s="6" t="n">
        <f aca="false">MAX(0,((Sens!E18939+Sens!F18939)/2-(shadow_base*(Sens!$D$18939+Sens!$E$18939)/2+(1-shadow_base)*Sens!$E$18939))*Sens!F18948/1000-(Sens!F19038-Sens!$E$19038)*Sens!F19018)</f>
        <v>8.8743333025111</v>
      </c>
      <c r="G19039" s="6" t="n">
        <f aca="false">MAX(0,((Sens!F18939+Sens!G18939)/2-(shadow_base*(Sens!$D$18939+Sens!$E$18939)/2+(1-shadow_base)*Sens!$E$18939))*Sens!G18948/1000-(Sens!G19038-Sens!$E$19038)*Sens!G19018)</f>
        <v>22.702199485199</v>
      </c>
      <c r="H19039" s="6" t="n">
        <f aca="false">MAX(0,((Sens!G18939+Sens!H18939)/2-(shadow_base*(Sens!$D$18939+Sens!$E$18939)/2+(1-shadow_base)*Sens!$E$18939))*Sens!H18948/1000-(Sens!H19038-Sens!$E$19038)*Sens!H19018)</f>
        <v>38.0996038893588</v>
      </c>
      <c r="I19039" s="6" t="n">
        <f aca="false">MAX(0,((Sens!H18939+Sens!I18939)/2-(shadow_base*(Sens!$D$18939+Sens!$E$18939)/2+(1-shadow_base)*Sens!$E$18939))*Sens!I18948/1000-(Sens!I19038-Sens!$E$19038)*Sens!I19018)</f>
        <v>52.4504053883899</v>
      </c>
      <c r="J19039" s="6" t="n">
        <f aca="false">MAX(0,((Sens!I18939+Sens!J18939)/2-(shadow_base*(Sens!$D$18939+Sens!$E$18939)/2+(1-shadow_base)*Sens!$E$18939))*Sens!J18948/1000-(Sens!J19038-Sens!$E$19038)*Sens!J19018)</f>
        <v>62.6413235132959</v>
      </c>
      <c r="K19039" s="6" t="n">
        <f aca="false">MAX(0,((Sens!J18939+Sens!K18939)/2-(shadow_base*(Sens!$D$18939+Sens!$E$18939)/2+(1-shadow_base)*Sens!$E$18939))*Sens!K18948/1000-(Sens!K19038-Sens!$E$19038)*Sens!K19018)</f>
        <v>68.0924461161915</v>
      </c>
      <c r="L19039" s="1" t="s">
        <v>1009</v>
      </c>
    </row>
    <row r="19040" customFormat="false" ht="17.15" hidden="false" customHeight="false" outlineLevel="0" collapsed="false">
      <c r="A19040" s="1" t="s">
        <v>1010</v>
      </c>
      <c r="B19040" s="0" t="s">
        <v>98</v>
      </c>
      <c r="F19040" s="6" t="n">
        <f aca="false">IF(internal_ai_reading=2,1,0)*Sens!F19039</f>
        <v>8.8743333025111</v>
      </c>
      <c r="G19040" s="6" t="n">
        <f aca="false">IF(internal_ai_reading=2,1,0)*Sens!G19039</f>
        <v>22.702199485199</v>
      </c>
      <c r="H19040" s="6" t="n">
        <f aca="false">IF(internal_ai_reading=2,1,0)*Sens!H19039</f>
        <v>38.0996038893588</v>
      </c>
      <c r="I19040" s="6" t="n">
        <f aca="false">IF(internal_ai_reading=2,1,0)*Sens!I19039</f>
        <v>52.4504053883899</v>
      </c>
      <c r="J19040" s="6" t="n">
        <f aca="false">IF(internal_ai_reading=2,1,0)*Sens!J19039</f>
        <v>62.6413235132959</v>
      </c>
      <c r="K19040" s="6" t="n">
        <f aca="false">IF(internal_ai_reading=2,1,0)*Sens!K19039</f>
        <v>68.0924461161915</v>
      </c>
    </row>
    <row r="19041" customFormat="false" ht="17.15" hidden="false" customHeight="false" outlineLevel="0" collapsed="false">
      <c r="A19041" s="0" t="s">
        <v>1011</v>
      </c>
      <c r="B19041" s="0" t="s">
        <v>98</v>
      </c>
      <c r="F19041" s="6" t="n">
        <f aca="false">Sens!F18958+Sens!F19038*Sens!F19018+Sens!F19040-Sens!F18959-Sens!F18970</f>
        <v>19.1445809894906</v>
      </c>
      <c r="G19041" s="6" t="n">
        <f aca="false">Sens!G18958+Sens!G19038*Sens!G19018+Sens!G19040-Sens!G18959-Sens!G18970</f>
        <v>44.2600491947476</v>
      </c>
      <c r="H19041" s="6" t="n">
        <f aca="false">Sens!H18958+Sens!H19038*Sens!H19018+Sens!H19040-Sens!H18959-Sens!H18970</f>
        <v>75.1282271404586</v>
      </c>
      <c r="I19041" s="6" t="n">
        <f aca="false">Sens!I18958+Sens!I19038*Sens!I19018+Sens!I19040-Sens!I18959-Sens!I18970</f>
        <v>97.1135928448762</v>
      </c>
      <c r="J19041" s="6" t="n">
        <f aca="false">Sens!J18958+Sens!J19038*Sens!J19018+Sens!J19040-Sens!J18959-Sens!J18970</f>
        <v>112.47550746027</v>
      </c>
      <c r="K19041" s="6" t="n">
        <f aca="false">Sens!K18958+Sens!K19038*Sens!K19018+Sens!K19040-Sens!K18959-Sens!K18970</f>
        <v>122.990642746914</v>
      </c>
    </row>
    <row r="19042" customFormat="false" ht="17.15" hidden="false" customHeight="false" outlineLevel="0" collapsed="false">
      <c r="A19042" s="0" t="s">
        <v>1012</v>
      </c>
      <c r="B19042" s="0" t="s">
        <v>98</v>
      </c>
      <c r="E19042" s="6" t="n">
        <f aca="false">Sens!E18938*(cxit_open+self_build*tk_cxfac)/1000*ai_net_open</f>
        <v>126.6980382</v>
      </c>
      <c r="F19042" s="6" t="n">
        <f aca="false">Sens!E19042+Sens!F18967-Sens!F18970</f>
        <v>260.531138080999</v>
      </c>
      <c r="G19042" s="6" t="n">
        <f aca="false">Sens!F19042+Sens!G18967-Sens!G18970</f>
        <v>391.732607523896</v>
      </c>
      <c r="H19042" s="6" t="n">
        <f aca="false">Sens!G19042+Sens!H18967-Sens!H18970</f>
        <v>499.144512201304</v>
      </c>
      <c r="I19042" s="6" t="n">
        <f aca="false">Sens!H19042+Sens!I18967-Sens!I18970</f>
        <v>554.184803136311</v>
      </c>
      <c r="J19042" s="6" t="n">
        <f aca="false">Sens!I19042+Sens!J18967-Sens!J18970</f>
        <v>552.057881745084</v>
      </c>
      <c r="K19042" s="6" t="n">
        <f aca="false">Sens!J19042+Sens!K18967-Sens!K18970</f>
        <v>530.189758768081</v>
      </c>
      <c r="L19042" s="1" t="s">
        <v>1013</v>
      </c>
    </row>
    <row r="19043" customFormat="false" ht="17.15" hidden="false" customHeight="false" outlineLevel="0" collapsed="false">
      <c r="A19043" s="0" t="s">
        <v>1014</v>
      </c>
      <c r="B19043" s="0" t="s">
        <v>168</v>
      </c>
      <c r="F19043" s="7" t="n">
        <f aca="false">Sens!F19041*(1-tax_f)/((Sens!E19042+Sens!F19042)/2)</f>
        <v>0.0791038781668583</v>
      </c>
      <c r="G19043" s="7" t="n">
        <f aca="false">Sens!G19041*(1-tax_f)/((Sens!F19042+Sens!G19042)/2)</f>
        <v>0.10856969928004</v>
      </c>
      <c r="H19043" s="7" t="n">
        <f aca="false">Sens!H19041*(1-tax_f)/((Sens!G19042+Sens!H19042)/2)</f>
        <v>0.134929005093107</v>
      </c>
      <c r="I19043" s="7" t="n">
        <f aca="false">Sens!I19041*(1-tax_f)/((Sens!H19042+Sens!I19042)/2)</f>
        <v>0.147514880948698</v>
      </c>
      <c r="J19043" s="7" t="n">
        <f aca="false">Sens!J19041*(1-tax_f)/((Sens!I19042+Sens!J19042)/2)</f>
        <v>0.162677515879553</v>
      </c>
      <c r="K19043" s="7" t="n">
        <f aca="false">Sens!K19041*(1-tax_f)/((Sens!J19042+Sens!K19042)/2)</f>
        <v>0.181829944486414</v>
      </c>
    </row>
    <row r="19044" customFormat="false" ht="17.15" hidden="false" customHeight="false" outlineLevel="0" collapsed="false">
      <c r="A19044" s="1" t="s">
        <v>1015</v>
      </c>
      <c r="B19044" s="0" t="s">
        <v>168</v>
      </c>
      <c r="F19044" s="7" t="n">
        <f aca="false">(Sens!F19041-Sens!F19040)*(1-tax_f)/((Sens!E19042+Sens!F19042)/2)</f>
        <v>0.0424358424047129</v>
      </c>
      <c r="G19044" s="7" t="n">
        <f aca="false">(Sens!G19041-Sens!G19040)*(1-tax_f)/((Sens!F19042+Sens!G19042)/2)</f>
        <v>0.0528813072437288</v>
      </c>
      <c r="H19044" s="7" t="n">
        <f aca="false">(Sens!H19041-Sens!H19040)*(1-tax_f)/((Sens!G19042+Sens!H19042)/2)</f>
        <v>0.0665027711341768</v>
      </c>
      <c r="I19044" s="7" t="n">
        <f aca="false">(Sens!I19041-Sens!I19040)*(1-tax_f)/((Sens!H19042+Sens!I19042)/2)</f>
        <v>0.0678430751805984</v>
      </c>
      <c r="J19044" s="7" t="n">
        <f aca="false">(Sens!J19041-Sens!J19040)*(1-tax_f)/((Sens!I19042+Sens!J19042)/2)</f>
        <v>0.0720770364449527</v>
      </c>
      <c r="K19044" s="7" t="n">
        <f aca="false">(Sens!K19041-Sens!K19040)*(1-tax_f)/((Sens!J19042+Sens!K19042)/2)</f>
        <v>0.0811617520066905</v>
      </c>
    </row>
    <row r="19045" customFormat="false" ht="17.15" hidden="false" customHeight="false" outlineLevel="0" collapsed="false">
      <c r="A19045" s="1" t="s">
        <v>1016</v>
      </c>
      <c r="B19045" s="0" t="s">
        <v>168</v>
      </c>
      <c r="F19045" s="7" t="n">
        <f aca="false">(Sens!F19041-Sens!F19040+Sens!F19039)*(1-tax_f)/((Sens!E19042+Sens!F19042)/2)</f>
        <v>0.0791038781668583</v>
      </c>
      <c r="G19045" s="7" t="n">
        <f aca="false">(Sens!G19041-Sens!G19040+Sens!G19039)*(1-tax_f)/((Sens!F19042+Sens!G19042)/2)</f>
        <v>0.10856969928004</v>
      </c>
      <c r="H19045" s="7" t="n">
        <f aca="false">(Sens!H19041-Sens!H19040+Sens!H19039)*(1-tax_f)/((Sens!G19042+Sens!H19042)/2)</f>
        <v>0.134929005093107</v>
      </c>
      <c r="I19045" s="7" t="n">
        <f aca="false">(Sens!I19041-Sens!I19040+Sens!I19039)*(1-tax_f)/((Sens!H19042+Sens!I19042)/2)</f>
        <v>0.147514880948698</v>
      </c>
      <c r="J19045" s="7" t="n">
        <f aca="false">(Sens!J19041-Sens!J19040+Sens!J19039)*(1-tax_f)/((Sens!I19042+Sens!J19042)/2)</f>
        <v>0.162677515879553</v>
      </c>
      <c r="K19045" s="7" t="n">
        <f aca="false">(Sens!K19041-Sens!K19040+Sens!K19039)*(1-tax_f)/((Sens!J19042+Sens!K19042)/2)</f>
        <v>0.181829944486414</v>
      </c>
    </row>
    <row r="19046" customFormat="false" ht="17.15" hidden="false" customHeight="false" outlineLevel="0" collapsed="false">
      <c r="A19046" s="1" t="s">
        <v>1017</v>
      </c>
      <c r="B19046" s="0" t="s">
        <v>168</v>
      </c>
      <c r="F19046" s="7" t="n">
        <f aca="false">Sens!F18971*(1-tax_f)/(Sens!F18957*(Sens!E19042+Sens!F19042)/2)</f>
        <v>0.158770955885565</v>
      </c>
      <c r="G19046" s="7" t="n">
        <f aca="false">Sens!G18971*(1-tax_f)/(Sens!G18957*(Sens!F19042+Sens!G19042)/2)</f>
        <v>0.180622974811814</v>
      </c>
      <c r="H19046" s="7" t="n">
        <f aca="false">Sens!H18971*(1-tax_f)/(Sens!H18957*(Sens!G19042+Sens!H19042)/2)</f>
        <v>0.211336324006124</v>
      </c>
      <c r="I19046" s="7" t="n">
        <f aca="false">Sens!I18971*(1-tax_f)/(Sens!I18957*(Sens!H19042+Sens!I19042)/2)</f>
        <v>0.224244514419389</v>
      </c>
      <c r="J19046" s="7" t="n">
        <f aca="false">Sens!J18971*(1-tax_f)/(Sens!J18957*(Sens!I19042+Sens!J19042)/2)</f>
        <v>0.243905761751893</v>
      </c>
      <c r="K19046" s="7" t="n">
        <f aca="false">Sens!K18971*(1-tax_f)/(Sens!K18957*(Sens!J19042+Sens!K19042)/2)</f>
        <v>0.270634460260932</v>
      </c>
    </row>
    <row r="19047" customFormat="false" ht="17.15" hidden="false" customHeight="false" outlineLevel="0" collapsed="false">
      <c r="A19047" s="0" t="s">
        <v>1018</v>
      </c>
      <c r="B19047" s="0" t="s">
        <v>253</v>
      </c>
      <c r="F19047" s="7" t="n">
        <f aca="false">Sens!F19043-wacc</f>
        <v>-0.023832712778739</v>
      </c>
      <c r="G19047" s="7" t="n">
        <f aca="false">Sens!G19043-wacc</f>
        <v>0.00563310833444307</v>
      </c>
      <c r="H19047" s="7" t="n">
        <f aca="false">Sens!H19043-wacc</f>
        <v>0.0319924141475095</v>
      </c>
      <c r="I19047" s="7" t="n">
        <f aca="false">Sens!I19043-wacc</f>
        <v>0.0445782900031008</v>
      </c>
      <c r="J19047" s="7" t="n">
        <f aca="false">Sens!J19043-wacc</f>
        <v>0.0597409249339554</v>
      </c>
      <c r="K19047" s="7" t="n">
        <f aca="false">Sens!K19043-wacc</f>
        <v>0.0788933535408172</v>
      </c>
    </row>
    <row r="19048" customFormat="false" ht="17.15" hidden="false" customHeight="false" outlineLevel="0" collapsed="false">
      <c r="A19048" s="0" t="s">
        <v>1019</v>
      </c>
      <c r="B19048" s="0" t="s">
        <v>98</v>
      </c>
      <c r="F19048" s="6" t="n">
        <f aca="false">Sens!F19041*(1-tax_f)-wacc*(Sens!E19042+Sens!F19042)/2</f>
        <v>-4.61436086892636</v>
      </c>
      <c r="G19048" s="6" t="n">
        <f aca="false">Sens!G19041*(1-tax_f)-wacc*(Sens!F19042+Sens!G19042)/2</f>
        <v>1.83713617081099</v>
      </c>
      <c r="H19048" s="6" t="n">
        <f aca="false">Sens!H19041*(1-tax_f)-wacc*(Sens!G19042+Sens!H19042)/2</f>
        <v>14.2506548843945</v>
      </c>
      <c r="I19048" s="6" t="n">
        <f aca="false">Sens!I19041*(1-tax_f)-wacc*(Sens!H19042+Sens!I19042)/2</f>
        <v>23.4778098439439</v>
      </c>
      <c r="J19048" s="6" t="n">
        <f aca="false">Sens!J19041*(1-tax_f)-wacc*(Sens!I19042+Sens!J19042)/2</f>
        <v>33.0439805981183</v>
      </c>
      <c r="K19048" s="6" t="n">
        <f aca="false">Sens!K19041*(1-tax_f)-wacc*(Sens!J19042+Sens!K19042)/2</f>
        <v>42.6910728608602</v>
      </c>
    </row>
    <row r="19049" customFormat="false" ht="17.15" hidden="false" customHeight="false" outlineLevel="0" collapsed="false">
      <c r="A19049" s="3" t="s">
        <v>2082</v>
      </c>
    </row>
    <row r="19050" customFormat="false" ht="15" hidden="false" customHeight="false" outlineLevel="0" collapsed="false">
      <c r="A19050" s="4" t="s">
        <v>43</v>
      </c>
      <c r="B19050" s="4" t="s">
        <v>65</v>
      </c>
      <c r="C19050" s="23" t="s">
        <v>942</v>
      </c>
      <c r="D19050" s="23" t="s">
        <v>943</v>
      </c>
      <c r="E19050" s="23" t="s">
        <v>944</v>
      </c>
      <c r="F19050" s="23" t="s">
        <v>945</v>
      </c>
      <c r="G19050" s="23" t="s">
        <v>946</v>
      </c>
      <c r="H19050" s="23" t="s">
        <v>947</v>
      </c>
      <c r="I19050" s="23" t="s">
        <v>948</v>
      </c>
      <c r="J19050" s="23" t="s">
        <v>949</v>
      </c>
      <c r="K19050" s="23" t="s">
        <v>950</v>
      </c>
      <c r="L19050" s="4" t="s">
        <v>47</v>
      </c>
    </row>
    <row r="19051" customFormat="false" ht="15" hidden="false" customHeight="false" outlineLevel="0" collapsed="false">
      <c r="A19051" s="1" t="s">
        <v>1080</v>
      </c>
      <c r="B19051" s="0" t="s">
        <v>98</v>
      </c>
      <c r="F19051" s="6" t="n">
        <f aca="false">Sens!F19032</f>
        <v>147.841238408136</v>
      </c>
      <c r="G19051" s="6" t="n">
        <f aca="false">Sens!G19032</f>
        <v>168.755910692117</v>
      </c>
      <c r="H19051" s="6" t="n">
        <f aca="false">Sens!H19032</f>
        <v>197.097597003603</v>
      </c>
      <c r="I19051" s="6" t="n">
        <f aca="false">Sens!I19032</f>
        <v>218.873786421369</v>
      </c>
      <c r="J19051" s="6" t="n">
        <f aca="false">Sens!J19032</f>
        <v>237.767057931727</v>
      </c>
      <c r="K19051" s="6" t="n">
        <f aca="false">Sens!K19032</f>
        <v>255.029218442848</v>
      </c>
    </row>
    <row r="19052" customFormat="false" ht="17.15" hidden="false" customHeight="false" outlineLevel="0" collapsed="false">
      <c r="A19052" s="1" t="s">
        <v>1102</v>
      </c>
      <c r="B19052" s="0" t="s">
        <v>98</v>
      </c>
      <c r="E19052" s="6" t="n">
        <f aca="false">Q!M38-Sens!E18970</f>
        <v>22.2285940229167</v>
      </c>
      <c r="F19052" s="6" t="n">
        <f aca="false">Sens!E19052*(1-1/life_nonai)+(Sens!F19060+Sens!F19061)/life_nonai</f>
        <v>23.5783018048442</v>
      </c>
      <c r="G19052" s="6" t="n">
        <f aca="false">Sens!F19052*(1-1/life_nonai)+(Sens!G19060)/life_nonai</f>
        <v>25.375712844567</v>
      </c>
      <c r="H19052" s="6" t="n">
        <f aca="false">Sens!G19052*(1-1/life_nonai)+(Sens!H19060)/life_nonai</f>
        <v>27.5894701896581</v>
      </c>
      <c r="I19052" s="6" t="n">
        <f aca="false">Sens!H19052*(1-1/life_nonai)+(Sens!I19060)/life_nonai</f>
        <v>30.1432349813921</v>
      </c>
      <c r="J19052" s="6" t="n">
        <f aca="false">Sens!I19052*(1-1/life_nonai)+(Sens!J19060)/life_nonai</f>
        <v>32.9449908003304</v>
      </c>
      <c r="K19052" s="6" t="n">
        <f aca="false">Sens!J19052*(1-1/life_nonai)+(Sens!K19060)/life_nonai</f>
        <v>35.9103392518222</v>
      </c>
      <c r="L19052" s="12" t="s">
        <v>1103</v>
      </c>
    </row>
    <row r="19053" customFormat="false" ht="17.15" hidden="false" customHeight="false" outlineLevel="0" collapsed="false">
      <c r="A19053" s="1" t="s">
        <v>1104</v>
      </c>
      <c r="B19053" s="0" t="s">
        <v>98</v>
      </c>
      <c r="F19053" s="6" t="n">
        <f aca="false">Sens!$F$19061/life_nonai*(1-1/life_nonai)^(Sens!F18933-2027)</f>
        <v>0.00489566635383412</v>
      </c>
      <c r="G19053" s="6" t="n">
        <f aca="false">Sens!$F$19061/life_nonai*(1-1/life_nonai)^(Sens!G18933-2027)</f>
        <v>0.00440609971845071</v>
      </c>
      <c r="H19053" s="6" t="n">
        <f aca="false">Sens!$F$19061/life_nonai*(1-1/life_nonai)^(Sens!H18933-2027)</f>
        <v>0.00396548974660564</v>
      </c>
      <c r="I19053" s="6" t="n">
        <f aca="false">Sens!$F$19061/life_nonai*(1-1/life_nonai)^(Sens!I18933-2027)</f>
        <v>0.00356894077194507</v>
      </c>
      <c r="J19053" s="6" t="n">
        <f aca="false">Sens!$F$19061/life_nonai*(1-1/life_nonai)^(Sens!J18933-2027)</f>
        <v>0.00321204669475056</v>
      </c>
      <c r="K19053" s="6" t="n">
        <f aca="false">Sens!$F$19061/life_nonai*(1-1/life_nonai)^(Sens!K18933-2027)</f>
        <v>0.00289084202527551</v>
      </c>
      <c r="L19053" s="1" t="s">
        <v>1105</v>
      </c>
    </row>
    <row r="19054" customFormat="false" ht="17.15" hidden="false" customHeight="false" outlineLevel="0" collapsed="false">
      <c r="A19054" s="1" t="s">
        <v>1106</v>
      </c>
      <c r="B19054" s="0" t="s">
        <v>98</v>
      </c>
      <c r="E19054" s="6" t="n">
        <f aca="false">Sens!E18970+Sens!E19052</f>
        <v>38.534</v>
      </c>
      <c r="F19054" s="6" t="n">
        <f aca="false">Sens!F18970+Sens!F19052</f>
        <v>58.2195300816532</v>
      </c>
      <c r="G19054" s="6" t="n">
        <f aca="false">Sens!G18970+Sens!G19052</f>
        <v>86.3101995945864</v>
      </c>
      <c r="H19054" s="6" t="n">
        <f aca="false">Sens!H18970+Sens!H19052</f>
        <v>117.029788844054</v>
      </c>
      <c r="I19054" s="6" t="n">
        <f aca="false">Sens!I18970+Sens!I19052</f>
        <v>144.920729604208</v>
      </c>
      <c r="J19054" s="6" t="n">
        <f aca="false">Sens!J18970+Sens!J19052</f>
        <v>165.825866499624</v>
      </c>
      <c r="K19054" s="6" t="n">
        <f aca="false">Sens!K18970+Sens!K19052</f>
        <v>180.265860923864</v>
      </c>
    </row>
    <row r="19055" customFormat="false" ht="17.15" hidden="false" customHeight="false" outlineLevel="0" collapsed="false">
      <c r="A19055" s="1" t="s">
        <v>1107</v>
      </c>
      <c r="B19055" s="0" t="s">
        <v>98</v>
      </c>
      <c r="F19055" s="6" t="n">
        <f aca="false">Sens!F18997*sbc_r</f>
        <v>15.0825532375979</v>
      </c>
      <c r="G19055" s="6" t="n">
        <f aca="false">Sens!G18997*sbc_r</f>
        <v>18.4037101061705</v>
      </c>
      <c r="H19055" s="6" t="n">
        <f aca="false">Sens!H18997*sbc_r</f>
        <v>21.9806181521862</v>
      </c>
      <c r="I19055" s="6" t="n">
        <f aca="false">Sens!I18997*sbc_r</f>
        <v>25.033909769063</v>
      </c>
      <c r="J19055" s="6" t="n">
        <f aca="false">Sens!J18997*sbc_r</f>
        <v>27.4989065872435</v>
      </c>
      <c r="K19055" s="6" t="n">
        <f aca="false">Sens!K18997*sbc_r</f>
        <v>29.4790813502944</v>
      </c>
    </row>
    <row r="19056" customFormat="false" ht="17.15" hidden="false" customHeight="false" outlineLevel="0" collapsed="false">
      <c r="A19056" s="1" t="s">
        <v>1108</v>
      </c>
      <c r="B19056" s="0" t="s">
        <v>98</v>
      </c>
      <c r="F19056" s="6" t="n">
        <f aca="false">wc27-wc26q1</f>
        <v>-4.677</v>
      </c>
      <c r="G19056" s="6" t="n">
        <f aca="false">wc_f</f>
        <v>0</v>
      </c>
      <c r="H19056" s="6" t="n">
        <f aca="false">wc_f</f>
        <v>0</v>
      </c>
      <c r="I19056" s="6" t="n">
        <f aca="false">wc_f</f>
        <v>0</v>
      </c>
      <c r="J19056" s="6" t="n">
        <f aca="false">wc_f</f>
        <v>0</v>
      </c>
      <c r="K19056" s="6" t="n">
        <f aca="false">wc_f</f>
        <v>0</v>
      </c>
      <c r="L19056" s="12" t="s">
        <v>1109</v>
      </c>
    </row>
    <row r="19057" customFormat="false" ht="17.15" hidden="false" customHeight="false" outlineLevel="0" collapsed="false">
      <c r="A19057" s="0" t="s">
        <v>1110</v>
      </c>
      <c r="B19057" s="0" t="s">
        <v>98</v>
      </c>
      <c r="F19057" s="6" t="n">
        <f aca="false">Q!$I$35-Q!$I$26-Q!$I$38-Q!$I$39</f>
        <v>6.493</v>
      </c>
      <c r="L19057" s="1" t="s">
        <v>1111</v>
      </c>
    </row>
    <row r="19058" customFormat="false" ht="15" hidden="false" customHeight="false" outlineLevel="0" collapsed="false">
      <c r="A19058" s="1" t="s">
        <v>908</v>
      </c>
      <c r="B19058" s="0" t="s">
        <v>98</v>
      </c>
      <c r="E19058" s="6" t="n">
        <f aca="false">Q!M35</f>
        <v>182.935</v>
      </c>
      <c r="F19058" s="6" t="n">
        <f aca="false">Sens!F19051+Sens!F19054+Sens!F19055+Sens!F19056+Sens!F19057</f>
        <v>222.959321727387</v>
      </c>
      <c r="G19058" s="6" t="n">
        <f aca="false">Sens!G19051+Sens!G19054+Sens!G19055+Sens!G19056</f>
        <v>273.469820392874</v>
      </c>
      <c r="H19058" s="6" t="n">
        <f aca="false">Sens!H19051+Sens!H19054+Sens!H19055+Sens!H19056</f>
        <v>336.108003999844</v>
      </c>
      <c r="I19058" s="6" t="n">
        <f aca="false">Sens!I19051+Sens!I19054+Sens!I19055+Sens!I19056</f>
        <v>388.828425794641</v>
      </c>
      <c r="J19058" s="6" t="n">
        <f aca="false">Sens!J19051+Sens!J19054+Sens!J19055+Sens!J19056</f>
        <v>431.091831018594</v>
      </c>
      <c r="K19058" s="6" t="n">
        <f aca="false">Sens!K19051+Sens!K19054+Sens!K19055+Sens!K19056</f>
        <v>464.774160717006</v>
      </c>
    </row>
    <row r="19059" customFormat="false" ht="17.15" hidden="false" customHeight="false" outlineLevel="0" collapsed="false">
      <c r="A19059" s="0" t="s">
        <v>1112</v>
      </c>
      <c r="B19059" s="0" t="s">
        <v>98</v>
      </c>
      <c r="F19059" s="6" t="n">
        <f aca="false">Sens!F18967</f>
        <v>168.474328157808</v>
      </c>
      <c r="G19059" s="6" t="n">
        <f aca="false">Sens!G18967</f>
        <v>192.135956192916</v>
      </c>
      <c r="H19059" s="6" t="n">
        <f aca="false">Sens!H18967</f>
        <v>196.852223331804</v>
      </c>
      <c r="I19059" s="6" t="n">
        <f aca="false">Sens!I18967</f>
        <v>169.817785557824</v>
      </c>
      <c r="J19059" s="6" t="n">
        <f aca="false">Sens!J18967</f>
        <v>130.753954308066</v>
      </c>
      <c r="K19059" s="6" t="n">
        <f aca="false">Sens!K18967</f>
        <v>122.487398695039</v>
      </c>
    </row>
    <row r="19060" customFormat="false" ht="17.15" hidden="false" customHeight="false" outlineLevel="0" collapsed="false">
      <c r="A19060" s="1" t="s">
        <v>1113</v>
      </c>
      <c r="B19060" s="0" t="s">
        <v>98</v>
      </c>
      <c r="E19060" s="6" t="n">
        <f aca="false">Sens!E18975*cx_azo+Sens!E18982*cx_m365+Sens!E18983*cx_lic+(Sens!E18985+Sens!E18987)*cx_ind+Sens!E18990*cx_srch+(Sens!E18992+Sens!E18994)*cx_dev</f>
        <v>30.1846587067718</v>
      </c>
      <c r="F19060" s="6" t="n">
        <f aca="false">Sens!F18975*cx_azo+Sens!F18982*cx_m365+Sens!F18983*cx_lic+(Sens!F18985+Sens!F18987)*cx_ind+Sens!F18990*cx_srch+(Sens!F18992+Sens!F18994)*cx_dev</f>
        <v>35.676715178654</v>
      </c>
      <c r="G19060" s="6" t="n">
        <f aca="false">Sens!G18975*cx_azo+Sens!G18982*cx_m365+Sens!G18983*cx_lic+(Sens!G18985+Sens!G18987)*cx_ind+Sens!G18990*cx_srch+(Sens!G18992+Sens!G18994)*cx_dev</f>
        <v>41.5524122020723</v>
      </c>
      <c r="H19060" s="6" t="n">
        <f aca="false">Sens!H18975*cx_azo+Sens!H18982*cx_m365+Sens!H18983*cx_lic+(Sens!H18985+Sens!H18987)*cx_ind+Sens!H18990*cx_srch+(Sens!H18992+Sens!H18994)*cx_dev</f>
        <v>47.5132862954778</v>
      </c>
      <c r="I19060" s="6" t="n">
        <f aca="false">Sens!I18975*cx_azo+Sens!I18982*cx_m365+Sens!I18983*cx_lic+(Sens!I18985+Sens!I18987)*cx_ind+Sens!I18990*cx_srch+(Sens!I18992+Sens!I18994)*cx_dev</f>
        <v>53.1271181069975</v>
      </c>
      <c r="J19060" s="6" t="n">
        <f aca="false">Sens!J18975*cx_azo+Sens!J18982*cx_m365+Sens!J18983*cx_lic+(Sens!J18985+Sens!J18987)*cx_ind+Sens!J18990*cx_srch+(Sens!J18992+Sens!J18994)*cx_dev</f>
        <v>58.1607931707759</v>
      </c>
      <c r="K19060" s="6" t="n">
        <f aca="false">Sens!K18975*cx_azo+Sens!K18982*cx_m365+Sens!K18983*cx_lic+(Sens!K18985+Sens!K18987)*cx_ind+Sens!K18990*cx_srch+(Sens!K18992+Sens!K18994)*cx_dev</f>
        <v>62.5984753152476</v>
      </c>
    </row>
    <row r="19061" customFormat="false" ht="17.15" hidden="false" customHeight="false" outlineLevel="0" collapsed="false">
      <c r="A19061" s="0" t="s">
        <v>1114</v>
      </c>
      <c r="B19061" s="0" t="s">
        <v>98</v>
      </c>
      <c r="F19061" s="6" t="n">
        <f aca="false">Sens!F18965</f>
        <v>0.0489566635383412</v>
      </c>
      <c r="L19061" s="1" t="s">
        <v>1115</v>
      </c>
    </row>
    <row r="19062" customFormat="false" ht="17.15" hidden="false" customHeight="false" outlineLevel="0" collapsed="false">
      <c r="A19062" s="1" t="s">
        <v>1116</v>
      </c>
      <c r="B19062" s="0" t="s">
        <v>98</v>
      </c>
      <c r="E19062" s="6" t="n">
        <f aca="false">Q!M43</f>
        <v>145.3</v>
      </c>
      <c r="F19062" s="6" t="n">
        <f aca="false">Sens!F19059+Sens!F19060+Sens!F19061</f>
        <v>204.2</v>
      </c>
      <c r="G19062" s="6" t="n">
        <f aca="false">Sens!G19059+Sens!G19060</f>
        <v>233.688368394989</v>
      </c>
      <c r="H19062" s="6" t="n">
        <f aca="false">Sens!H19059+Sens!H19060</f>
        <v>244.365509627282</v>
      </c>
      <c r="I19062" s="6" t="n">
        <f aca="false">Sens!I19059+Sens!I19060</f>
        <v>222.944903664821</v>
      </c>
      <c r="J19062" s="6" t="n">
        <f aca="false">Sens!J19059+Sens!J19060</f>
        <v>188.914747478842</v>
      </c>
      <c r="K19062" s="6" t="n">
        <f aca="false">Sens!K19059+Sens!K19060</f>
        <v>185.085874010287</v>
      </c>
      <c r="L19062" s="1" t="s">
        <v>1117</v>
      </c>
    </row>
    <row r="19063" customFormat="false" ht="15" hidden="false" customHeight="false" outlineLevel="0" collapsed="false">
      <c r="A19063" s="1" t="s">
        <v>1118</v>
      </c>
      <c r="B19063" s="0" t="s">
        <v>98</v>
      </c>
      <c r="E19063" s="6" t="n">
        <f aca="false">fl_liab</f>
        <v>66.594</v>
      </c>
      <c r="F19063" s="6" t="n">
        <f aca="false">Sens!E19063-Sens!F19064</f>
        <v>62.46973</v>
      </c>
      <c r="G19063" s="6" t="n">
        <f aca="false">Sens!F19063-Sens!G19064</f>
        <v>57.98686785</v>
      </c>
      <c r="H19063" s="6" t="n">
        <f aca="false">Sens!G19063-Sens!H19064</f>
        <v>53.92827690325</v>
      </c>
      <c r="I19063" s="6" t="n">
        <f aca="false">Sens!H19063-Sens!I19064</f>
        <v>49.7850493638962</v>
      </c>
      <c r="J19063" s="6" t="n">
        <f aca="false">Sens!I19063-Sens!J19064</f>
        <v>45.4823765852716</v>
      </c>
      <c r="K19063" s="6" t="n">
        <f aca="false">Sens!J19063-Sens!K19064</f>
        <v>40.9860835316088</v>
      </c>
    </row>
    <row r="19064" customFormat="false" ht="15" hidden="false" customHeight="false" outlineLevel="0" collapsed="false">
      <c r="A19064" s="1" t="s">
        <v>1119</v>
      </c>
      <c r="B19064" s="0" t="s">
        <v>98</v>
      </c>
      <c r="F19064" s="6" t="n">
        <f aca="false">fl_pay_27-Sens!E19063*fl_rate</f>
        <v>4.12427</v>
      </c>
      <c r="G19064" s="6" t="n">
        <f aca="false">fl_pay_28-Sens!F19063*fl_rate</f>
        <v>4.48286215</v>
      </c>
      <c r="H19064" s="6" t="n">
        <f aca="false">fl_pay_29-Sens!G19063*fl_rate</f>
        <v>4.05859094675</v>
      </c>
      <c r="I19064" s="6" t="n">
        <f aca="false">fl_pay_30-Sens!H19063*fl_rate</f>
        <v>4.14322753935375</v>
      </c>
      <c r="J19064" s="6" t="n">
        <f aca="false">fl_pay_31-Sens!I19063*fl_rate</f>
        <v>4.30267277862467</v>
      </c>
      <c r="K19064" s="6" t="n">
        <f aca="false">fl_pay_32-Sens!J19063*fl_rate</f>
        <v>4.49629305366278</v>
      </c>
    </row>
    <row r="19065" customFormat="false" ht="17.15" hidden="false" customHeight="false" outlineLevel="0" collapsed="false">
      <c r="A19065" s="1" t="s">
        <v>1120</v>
      </c>
      <c r="B19065" s="0" t="s">
        <v>98</v>
      </c>
      <c r="E19065" s="6" t="n">
        <f aca="false">Q!M35-Q!M36-Q!M44</f>
        <v>63.886</v>
      </c>
      <c r="F19065" s="6" t="n">
        <f aca="false">Sens!F19058-Sens!F19062-Sens!F19064</f>
        <v>14.635051727387</v>
      </c>
      <c r="G19065" s="6" t="n">
        <f aca="false">Sens!G19058-Sens!G19062-Sens!G19064</f>
        <v>35.2985898478851</v>
      </c>
      <c r="H19065" s="6" t="n">
        <f aca="false">Sens!H19058-Sens!H19062-Sens!H19064</f>
        <v>87.6839034258118</v>
      </c>
      <c r="I19065" s="6" t="n">
        <f aca="false">Sens!I19058-Sens!I19062-Sens!I19064</f>
        <v>161.740294590466</v>
      </c>
      <c r="J19065" s="6" t="n">
        <f aca="false">Sens!J19058-Sens!J19062-Sens!J19064</f>
        <v>237.874410761127</v>
      </c>
      <c r="K19065" s="6" t="n">
        <f aca="false">Sens!K19058-Sens!K19062-Sens!K19064</f>
        <v>275.191993653056</v>
      </c>
      <c r="L19065" s="12" t="s">
        <v>1121</v>
      </c>
    </row>
    <row r="19066" customFormat="false" ht="15" hidden="false" customHeight="false" outlineLevel="0" collapsed="false">
      <c r="A19066" s="1" t="s">
        <v>1122</v>
      </c>
      <c r="B19066" s="0" t="s">
        <v>75</v>
      </c>
      <c r="F19066" s="8" t="n">
        <f aca="false">dps_27</f>
        <v>3.85</v>
      </c>
      <c r="G19066" s="8" t="n">
        <f aca="false">Sens!F19066*(1+dps_g)</f>
        <v>4.158</v>
      </c>
      <c r="H19066" s="8" t="n">
        <f aca="false">Sens!G19066*(1+dps_g)</f>
        <v>4.49064</v>
      </c>
      <c r="I19066" s="8" t="n">
        <f aca="false">Sens!H19066*(1+dps_g)</f>
        <v>4.8498912</v>
      </c>
      <c r="J19066" s="8" t="n">
        <f aca="false">Sens!I19066*(1+dps_g)</f>
        <v>5.237882496</v>
      </c>
      <c r="K19066" s="8" t="n">
        <f aca="false">Sens!J19066*(1+dps_g)</f>
        <v>5.65691309568</v>
      </c>
    </row>
    <row r="19067" customFormat="false" ht="17.15" hidden="false" customHeight="false" outlineLevel="0" collapsed="false">
      <c r="A19067" s="1" t="s">
        <v>1123</v>
      </c>
      <c r="B19067" s="0" t="s">
        <v>98</v>
      </c>
      <c r="E19067" s="6" t="n">
        <f aca="false">Q!M41</f>
        <v>26.445</v>
      </c>
      <c r="F19067" s="6" t="n">
        <f aca="false">Sens!F19066*Sens!E19076</f>
        <v>28.59395</v>
      </c>
      <c r="G19067" s="6" t="n">
        <f aca="false">Sens!G19066*Sens!F19076</f>
        <v>31.0411938851599</v>
      </c>
      <c r="H19067" s="6" t="n">
        <f aca="false">Sens!H19066*Sens!G19076</f>
        <v>33.6944897034273</v>
      </c>
      <c r="I19067" s="6" t="n">
        <f aca="false">Sens!I19066*Sens!H19076</f>
        <v>36.4404871567741</v>
      </c>
      <c r="J19067" s="6" t="n">
        <f aca="false">Sens!J19066*Sens!I19076</f>
        <v>39.4236240147087</v>
      </c>
      <c r="K19067" s="6" t="n">
        <f aca="false">Sens!K19066*Sens!J19076</f>
        <v>42.6642681982636</v>
      </c>
      <c r="L19067" s="1" t="s">
        <v>1124</v>
      </c>
    </row>
    <row r="19068" customFormat="false" ht="15" hidden="false" customHeight="false" outlineLevel="0" collapsed="false">
      <c r="A19068" s="1" t="s">
        <v>1125</v>
      </c>
      <c r="B19068" s="0" t="s">
        <v>98</v>
      </c>
      <c r="E19068" s="6" t="n">
        <f aca="false">Sens!E19065-Sens!E19067</f>
        <v>37.441</v>
      </c>
      <c r="F19068" s="6" t="n">
        <f aca="false">Sens!F19065-Sens!F19067</f>
        <v>-13.958898272613</v>
      </c>
      <c r="G19068" s="6" t="n">
        <f aca="false">Sens!G19065-Sens!G19067</f>
        <v>4.25739596272524</v>
      </c>
      <c r="H19068" s="6" t="n">
        <f aca="false">Sens!H19065-Sens!H19067</f>
        <v>53.9894137223845</v>
      </c>
      <c r="I19068" s="6" t="n">
        <f aca="false">Sens!I19065-Sens!I19067</f>
        <v>125.299807433692</v>
      </c>
      <c r="J19068" s="6" t="n">
        <f aca="false">Sens!J19065-Sens!J19067</f>
        <v>198.450786746419</v>
      </c>
      <c r="K19068" s="6" t="n">
        <f aca="false">Sens!K19065-Sens!K19067</f>
        <v>232.527725454793</v>
      </c>
    </row>
    <row r="19069" customFormat="false" ht="15" hidden="false" customHeight="false" outlineLevel="0" collapsed="false">
      <c r="A19069" s="1" t="s">
        <v>1126</v>
      </c>
      <c r="B19069" s="0" t="s">
        <v>98</v>
      </c>
      <c r="F19069" s="6" t="n">
        <f aca="false">debt_mat_27</f>
        <v>9.25</v>
      </c>
      <c r="G19069" s="6" t="n">
        <f aca="false">debt_mat_28</f>
        <v>0</v>
      </c>
      <c r="H19069" s="6" t="n">
        <f aca="false">debt_mat_29</f>
        <v>2.001</v>
      </c>
      <c r="I19069" s="6" t="n">
        <f aca="false">debt_mat_30</f>
        <v>0</v>
      </c>
      <c r="J19069" s="6" t="n">
        <f aca="false">debt_mat_31</f>
        <v>0.5</v>
      </c>
      <c r="K19069" s="6" t="n">
        <f aca="false">debt_mat_32</f>
        <v>0</v>
      </c>
    </row>
    <row r="19070" customFormat="false" ht="15" hidden="false" customHeight="false" outlineLevel="0" collapsed="false">
      <c r="A19070" s="1" t="s">
        <v>1127</v>
      </c>
      <c r="B19070" s="0" t="s">
        <v>98</v>
      </c>
      <c r="E19070" s="6" t="n">
        <f aca="false">Q!M40</f>
        <v>22.271</v>
      </c>
      <c r="F19070" s="6" t="n">
        <f aca="false">MAX(0,MIN(bb_target,Sens!E19072+Sens!F19068-Sens!F19069-min_cash))</f>
        <v>3.63410172738698</v>
      </c>
      <c r="G19070" s="6" t="n">
        <f aca="false">MAX(0,MIN(bb_target,Sens!F19072+Sens!G19068-Sens!G19069-min_cash))</f>
        <v>4.25739596272524</v>
      </c>
      <c r="H19070" s="6" t="n">
        <f aca="false">MAX(0,MIN(bb_target,Sens!G19072+Sens!H19068-Sens!H19069-min_cash))</f>
        <v>22.271</v>
      </c>
      <c r="I19070" s="6" t="n">
        <f aca="false">MAX(0,MIN(bb_target,Sens!H19072+Sens!I19068-Sens!I19069-min_cash))</f>
        <v>22.271</v>
      </c>
      <c r="J19070" s="6" t="n">
        <f aca="false">MAX(0,MIN(bb_target,Sens!I19072+Sens!J19068-Sens!J19069-min_cash))</f>
        <v>22.271</v>
      </c>
      <c r="K19070" s="6" t="n">
        <f aca="false">MAX(0,MIN(bb_target,Sens!J19072+Sens!K19068-Sens!K19069-min_cash))</f>
        <v>22.271</v>
      </c>
    </row>
    <row r="19071" customFormat="false" ht="15" hidden="false" customHeight="false" outlineLevel="0" collapsed="false">
      <c r="A19071" s="1" t="s">
        <v>1128</v>
      </c>
      <c r="B19071" s="0" t="s">
        <v>98</v>
      </c>
      <c r="F19071" s="6" t="n">
        <f aca="false">MAX(0,min_cash-(Sens!E19072+Sens!F19068-Sens!F19069-Sens!F19070))</f>
        <v>0</v>
      </c>
      <c r="G19071" s="6" t="n">
        <f aca="false">MAX(0,min_cash-(Sens!F19072+Sens!G19068-Sens!G19069-Sens!G19070))</f>
        <v>0</v>
      </c>
      <c r="H19071" s="6" t="n">
        <f aca="false">MAX(0,min_cash-(Sens!G19072+Sens!H19068-Sens!H19069-Sens!H19070))</f>
        <v>0</v>
      </c>
      <c r="I19071" s="6" t="n">
        <f aca="false">MAX(0,min_cash-(Sens!H19072+Sens!I19068-Sens!I19069-Sens!I19070))</f>
        <v>0</v>
      </c>
      <c r="J19071" s="6" t="n">
        <f aca="false">MAX(0,min_cash-(Sens!I19072+Sens!J19068-Sens!J19069-Sens!J19070))</f>
        <v>0</v>
      </c>
      <c r="K19071" s="6" t="n">
        <f aca="false">MAX(0,min_cash-(Sens!J19072+Sens!K19068-Sens!K19069-Sens!K19070))</f>
        <v>0</v>
      </c>
    </row>
    <row r="19072" customFormat="false" ht="15" hidden="false" customHeight="false" outlineLevel="0" collapsed="false">
      <c r="A19072" s="1" t="s">
        <v>1129</v>
      </c>
      <c r="B19072" s="0" t="s">
        <v>98</v>
      </c>
      <c r="E19072" s="6" t="n">
        <f aca="false">cash_open</f>
        <v>76.843</v>
      </c>
      <c r="F19072" s="6" t="n">
        <f aca="false">Sens!E19072+Sens!F19068-Sens!F19069-Sens!F19070+Sens!F19071</f>
        <v>50</v>
      </c>
      <c r="G19072" s="6" t="n">
        <f aca="false">Sens!F19072+Sens!G19068-Sens!G19069-Sens!G19070+Sens!G19071</f>
        <v>50</v>
      </c>
      <c r="H19072" s="6" t="n">
        <f aca="false">Sens!G19072+Sens!H19068-Sens!H19069-Sens!H19070+Sens!H19071</f>
        <v>79.7174137223845</v>
      </c>
      <c r="I19072" s="6" t="n">
        <f aca="false">Sens!H19072+Sens!I19068-Sens!I19069-Sens!I19070+Sens!I19071</f>
        <v>182.746221156076</v>
      </c>
      <c r="J19072" s="6" t="n">
        <f aca="false">Sens!I19072+Sens!J19068-Sens!J19069-Sens!J19070+Sens!J19071</f>
        <v>358.426007902495</v>
      </c>
      <c r="K19072" s="6" t="n">
        <f aca="false">Sens!J19072+Sens!K19068-Sens!K19069-Sens!K19070+Sens!K19071</f>
        <v>568.682733357288</v>
      </c>
    </row>
    <row r="19073" customFormat="false" ht="15" hidden="false" customHeight="false" outlineLevel="0" collapsed="false">
      <c r="A19073" s="1" t="s">
        <v>1130</v>
      </c>
      <c r="B19073" s="0" t="s">
        <v>98</v>
      </c>
      <c r="E19073" s="6" t="n">
        <f aca="false">debt_face</f>
        <v>46.136</v>
      </c>
      <c r="F19073" s="6" t="n">
        <f aca="false">Sens!E19073-Sens!F19069+Sens!F19071</f>
        <v>36.886</v>
      </c>
      <c r="G19073" s="6" t="n">
        <f aca="false">Sens!F19073-Sens!G19069+Sens!G19071</f>
        <v>36.886</v>
      </c>
      <c r="H19073" s="6" t="n">
        <f aca="false">Sens!G19073-Sens!H19069+Sens!H19071</f>
        <v>34.885</v>
      </c>
      <c r="I19073" s="6" t="n">
        <f aca="false">Sens!H19073-Sens!I19069+Sens!I19071</f>
        <v>34.885</v>
      </c>
      <c r="J19073" s="6" t="n">
        <f aca="false">Sens!I19073-Sens!J19069+Sens!J19071</f>
        <v>34.385</v>
      </c>
      <c r="K19073" s="6" t="n">
        <f aca="false">Sens!J19073-Sens!K19069+Sens!K19071</f>
        <v>34.385</v>
      </c>
    </row>
    <row r="19074" customFormat="false" ht="15" hidden="false" customHeight="false" outlineLevel="0" collapsed="false">
      <c r="A19074" s="1" t="s">
        <v>1131</v>
      </c>
      <c r="B19074" s="0" t="s">
        <v>98</v>
      </c>
      <c r="E19074" s="6" t="n">
        <f aca="false">Sens!E19072-Sens!E19073</f>
        <v>30.707</v>
      </c>
      <c r="F19074" s="6" t="n">
        <f aca="false">Sens!F19072-Sens!F19073</f>
        <v>13.114</v>
      </c>
      <c r="G19074" s="6" t="n">
        <f aca="false">Sens!G19072-Sens!G19073</f>
        <v>13.114</v>
      </c>
      <c r="H19074" s="6" t="n">
        <f aca="false">Sens!H19072-Sens!H19073</f>
        <v>44.8324137223845</v>
      </c>
      <c r="I19074" s="6" t="n">
        <f aca="false">Sens!I19072-Sens!I19073</f>
        <v>147.861221156076</v>
      </c>
      <c r="J19074" s="6" t="n">
        <f aca="false">Sens!J19072-Sens!J19073</f>
        <v>324.041007902495</v>
      </c>
      <c r="K19074" s="6" t="n">
        <f aca="false">Sens!K19072-Sens!K19073</f>
        <v>534.297733357288</v>
      </c>
    </row>
    <row r="19075" customFormat="false" ht="15" hidden="false" customHeight="false" outlineLevel="0" collapsed="false">
      <c r="A19075" s="1" t="s">
        <v>1132</v>
      </c>
      <c r="B19075" s="0" t="s">
        <v>75</v>
      </c>
      <c r="F19075" s="30" t="n">
        <f aca="false">px*(1+bb_g)^(Sens!F18933-base_fy-mid_yr)</f>
        <v>551.84177959629</v>
      </c>
      <c r="G19075" s="30" t="n">
        <f aca="false">px*(1+bb_g)^(Sens!G18933-base_fy-mid_yr)</f>
        <v>595.989121963993</v>
      </c>
      <c r="H19075" s="30" t="n">
        <f aca="false">px*(1+bb_g)^(Sens!H18933-base_fy-mid_yr)</f>
        <v>643.668251721112</v>
      </c>
      <c r="I19075" s="30" t="n">
        <f aca="false">px*(1+bb_g)^(Sens!I18933-base_fy-mid_yr)</f>
        <v>695.161711858801</v>
      </c>
      <c r="J19075" s="30" t="n">
        <f aca="false">px*(1+bb_g)^(Sens!J18933-base_fy-mid_yr)</f>
        <v>750.774648807506</v>
      </c>
      <c r="K19075" s="30" t="n">
        <f aca="false">px*(1+bb_g)^(Sens!K18933-base_fy-mid_yr)</f>
        <v>810.836620712106</v>
      </c>
    </row>
    <row r="19076" customFormat="false" ht="15" hidden="false" customHeight="false" outlineLevel="0" collapsed="false">
      <c r="A19076" s="1" t="s">
        <v>1133</v>
      </c>
      <c r="B19076" s="1" t="s">
        <v>81</v>
      </c>
      <c r="E19076" s="15" t="n">
        <f aca="false">sh_out26</f>
        <v>7.427</v>
      </c>
      <c r="F19076" s="15" t="n">
        <f aca="false">Sens!E19076+sh_iss-Sens!F19070/Sens!F19075</f>
        <v>7.46541459479555</v>
      </c>
      <c r="G19076" s="15" t="n">
        <f aca="false">Sens!F19076+sh_iss-Sens!G19070/Sens!G19075</f>
        <v>7.50327118259921</v>
      </c>
      <c r="H19076" s="15" t="n">
        <f aca="false">Sens!G19076+sh_iss-Sens!H19070/Sens!H19075</f>
        <v>7.51367106065681</v>
      </c>
      <c r="I19076" s="15" t="n">
        <f aca="false">Sens!H19076+sh_iss-Sens!I19070/Sens!I19075</f>
        <v>7.52663391071015</v>
      </c>
      <c r="J19076" s="15" t="n">
        <f aca="false">Sens!I19076+sh_iss-Sens!J19070/Sens!J19075</f>
        <v>7.54196988298175</v>
      </c>
      <c r="K19076" s="15" t="n">
        <f aca="false">Sens!J19076+sh_iss-Sens!K19070/Sens!K19075</f>
        <v>7.55950319064065</v>
      </c>
    </row>
    <row r="19077" customFormat="false" ht="15" hidden="false" customHeight="false" outlineLevel="0" collapsed="false">
      <c r="A19077" s="1" t="s">
        <v>1134</v>
      </c>
      <c r="B19077" s="1" t="s">
        <v>81</v>
      </c>
      <c r="E19077" s="15" t="n">
        <f aca="false">sh_dil26</f>
        <v>7.453</v>
      </c>
      <c r="F19077" s="15" t="n">
        <f aca="false">(Sens!E19076+Sens!F19076)/2+dil_gap</f>
        <v>7.47020729739777</v>
      </c>
      <c r="G19077" s="15" t="n">
        <f aca="false">(Sens!F19076+Sens!G19076)/2+dil_gap</f>
        <v>7.50834288869738</v>
      </c>
      <c r="H19077" s="15" t="n">
        <f aca="false">(Sens!G19076+Sens!H19076)/2+dil_gap</f>
        <v>7.53247112162801</v>
      </c>
      <c r="I19077" s="15" t="n">
        <f aca="false">(Sens!H19076+Sens!I19076)/2+dil_gap</f>
        <v>7.54415248568348</v>
      </c>
      <c r="J19077" s="15" t="n">
        <f aca="false">(Sens!I19076+Sens!J19076)/2+dil_gap</f>
        <v>7.55830189684595</v>
      </c>
      <c r="K19077" s="15" t="n">
        <f aca="false">(Sens!J19076+Sens!K19076)/2+dil_gap</f>
        <v>7.5747365368112</v>
      </c>
    </row>
    <row r="19078" customFormat="false" ht="17.15" hidden="false" customHeight="false" outlineLevel="0" collapsed="false">
      <c r="A19078" s="1" t="s">
        <v>1135</v>
      </c>
      <c r="B19078" s="0" t="s">
        <v>98</v>
      </c>
      <c r="C19078" s="6" t="n">
        <f aca="false">SUM(Sens!F19068:J19068)</f>
        <v>368.038505592607</v>
      </c>
    </row>
    <row r="19079" customFormat="false" ht="15" hidden="false" customHeight="false" outlineLevel="0" collapsed="false">
      <c r="A19079" s="26" t="s">
        <v>1100</v>
      </c>
      <c r="B19079" s="31" t="s">
        <v>98</v>
      </c>
      <c r="C19079" s="27" t="n">
        <f aca="false">Sens!$C$19078-(Sens!F19068+Sens!G19068+Sens!H19068+Sens!I19068+Sens!J19068)</f>
        <v>0</v>
      </c>
      <c r="D19079" s="31"/>
      <c r="E19079" s="31"/>
      <c r="F19079" s="31"/>
      <c r="G19079" s="31"/>
      <c r="H19079" s="31"/>
      <c r="I19079" s="31"/>
      <c r="J19079" s="31"/>
      <c r="K19079" s="31"/>
    </row>
    <row r="19080" customFormat="false" ht="17.15" hidden="false" customHeight="false" outlineLevel="0" collapsed="false">
      <c r="A19080" s="1" t="s">
        <v>1094</v>
      </c>
      <c r="B19080" s="1" t="s">
        <v>1136</v>
      </c>
      <c r="C19080" s="33" t="str">
        <f aca="false">IF(SUM(Sens!F19071:J19071)&gt;0.05,"需要舉債 "&amp;TEXT(SUM(Sens!F19071:J19071),"0.0")&amp;" 十億美元","不需舉債")&amp;"；"&amp;IF(SUM(Sens!F19070:J19070)&lt;COUNT(Sens!F19070:J19070)*bb_target-0.05,"回購較每年 "&amp;TEXT(bb_target,"0.0")&amp;" 的目標少 "&amp;TEXT(COUNT(Sens!F19070:J19070)*bb_target-SUM(Sens!F19070:J19070),"0.0")&amp;" 十億美元（"&amp;TEXT(COUNTIF(Sens!F19070:J19070,"&lt;"&amp;(bb_target-0.05)),"0")&amp;" 年減少）","回購不減")</f>
        <v>不需舉債；回購較每年 22.3 的目標少 36.7 十億美元（2 年減少）</v>
      </c>
    </row>
    <row r="19081" customFormat="false" ht="17.15" hidden="false" customHeight="false" outlineLevel="0" collapsed="false">
      <c r="A19081" s="3" t="s">
        <v>2083</v>
      </c>
    </row>
    <row r="19082" customFormat="false" ht="15" hidden="false" customHeight="false" outlineLevel="0" collapsed="false">
      <c r="A19082" s="4" t="s">
        <v>43</v>
      </c>
      <c r="B19082" s="4" t="s">
        <v>65</v>
      </c>
      <c r="C19082" s="23" t="s">
        <v>942</v>
      </c>
      <c r="D19082" s="23" t="s">
        <v>943</v>
      </c>
      <c r="E19082" s="23" t="s">
        <v>944</v>
      </c>
      <c r="F19082" s="23" t="s">
        <v>945</v>
      </c>
      <c r="G19082" s="23" t="s">
        <v>946</v>
      </c>
      <c r="H19082" s="23" t="s">
        <v>947</v>
      </c>
      <c r="I19082" s="23" t="s">
        <v>948</v>
      </c>
      <c r="J19082" s="23" t="s">
        <v>949</v>
      </c>
      <c r="K19082" s="23" t="s">
        <v>950</v>
      </c>
      <c r="L19082" s="4" t="s">
        <v>47</v>
      </c>
    </row>
    <row r="19083" customFormat="false" ht="17.15" hidden="false" customHeight="false" outlineLevel="0" collapsed="false">
      <c r="A19083" s="1" t="s">
        <v>1216</v>
      </c>
      <c r="B19083" s="1" t="s">
        <v>279</v>
      </c>
      <c r="F19083" s="8" t="n">
        <f aca="false">(1-v_off)*mid_yr</f>
        <v>0.373972602739726</v>
      </c>
      <c r="G19083" s="8" t="n">
        <f aca="false">Sens!G18933-base_fy-mid_yr-v_off</f>
        <v>1.24794520547945</v>
      </c>
      <c r="H19083" s="8" t="n">
        <f aca="false">Sens!H18933-base_fy-mid_yr-v_off</f>
        <v>2.24794520547945</v>
      </c>
      <c r="I19083" s="8" t="n">
        <f aca="false">Sens!I18933-base_fy-mid_yr-v_off</f>
        <v>3.24794520547945</v>
      </c>
      <c r="J19083" s="8" t="n">
        <f aca="false">Sens!J18933-base_fy-mid_yr-v_off</f>
        <v>4.24794520547945</v>
      </c>
      <c r="K19083" s="8" t="n">
        <f aca="false">Sens!K18933-base_fy-mid_yr-v_off</f>
        <v>5.24794520547945</v>
      </c>
      <c r="L19083" s="12" t="s">
        <v>1217</v>
      </c>
    </row>
    <row r="19084" customFormat="false" ht="15" hidden="false" customHeight="false" outlineLevel="0" collapsed="false">
      <c r="A19084" s="1" t="s">
        <v>1218</v>
      </c>
      <c r="B19084" s="1" t="s">
        <v>279</v>
      </c>
      <c r="F19084" s="8" t="n">
        <f aca="false">Sens!F18933-base_fy-v_off</f>
        <v>0.747945205479452</v>
      </c>
      <c r="G19084" s="8" t="n">
        <f aca="false">Sens!G18933-base_fy-v_off</f>
        <v>1.74794520547945</v>
      </c>
      <c r="H19084" s="8" t="n">
        <f aca="false">Sens!H18933-base_fy-v_off</f>
        <v>2.74794520547945</v>
      </c>
      <c r="I19084" s="8" t="n">
        <f aca="false">Sens!I18933-base_fy-v_off</f>
        <v>3.74794520547945</v>
      </c>
      <c r="J19084" s="8" t="n">
        <f aca="false">Sens!J18933-base_fy-v_off</f>
        <v>4.74794520547945</v>
      </c>
      <c r="K19084" s="8" t="n">
        <f aca="false">Sens!K18933-base_fy-v_off</f>
        <v>5.74794520547945</v>
      </c>
    </row>
    <row r="19085" customFormat="false" ht="15" hidden="false" customHeight="false" outlineLevel="0" collapsed="false">
      <c r="A19085" s="1" t="s">
        <v>1219</v>
      </c>
      <c r="B19085" s="0" t="s">
        <v>229</v>
      </c>
      <c r="F19085" s="15" t="n">
        <f aca="false">1/(1+wacc)^Sens!F19083</f>
        <v>0.964022703286649</v>
      </c>
      <c r="G19085" s="15" t="n">
        <f aca="false">1/(1+wacc)^Sens!G19083</f>
        <v>0.884910302296739</v>
      </c>
      <c r="H19085" s="15" t="n">
        <f aca="false">1/(1+wacc)^Sens!H19083</f>
        <v>0.802322009770358</v>
      </c>
      <c r="I19085" s="15" t="n">
        <f aca="false">1/(1+wacc)^Sens!I19083</f>
        <v>0.727441646561469</v>
      </c>
      <c r="J19085" s="15" t="n">
        <f aca="false">1/(1+wacc)^Sens!J19083</f>
        <v>0.659549834988973</v>
      </c>
      <c r="K19085" s="15" t="n">
        <f aca="false">1/(1+wacc)^Sens!K19083</f>
        <v>0.597994336576966</v>
      </c>
    </row>
    <row r="19086" customFormat="false" ht="17.15" hidden="false" customHeight="false" outlineLevel="0" collapsed="false">
      <c r="A19086" s="1" t="s">
        <v>1220</v>
      </c>
      <c r="B19086" s="0" t="s">
        <v>98</v>
      </c>
      <c r="F19086" s="6" t="n">
        <f aca="false">Q!$I$35-Q!$I$39-Q!$I$43</f>
        <v>9.666</v>
      </c>
      <c r="L19086" s="12" t="s">
        <v>1221</v>
      </c>
    </row>
    <row r="19087" customFormat="false" ht="17.15" hidden="false" customHeight="false" outlineLevel="0" collapsed="false">
      <c r="A19087" s="1" t="s">
        <v>1222</v>
      </c>
      <c r="B19087" s="0" t="s">
        <v>98</v>
      </c>
      <c r="F19087" s="6" t="n">
        <f aca="false">Sens!F19058-Sens!F19055-Sens!F19062+Sens!F19040*(1-tax_f)*(1-v_off)-Sens!F19086</f>
        <v>-0.679219473859067</v>
      </c>
      <c r="G19087" s="6" t="n">
        <f aca="false">Sens!G19058-Sens!G19055-Sens!G19062+Sens!G19040*(1-tax_f)</f>
        <v>39.5395014798738</v>
      </c>
      <c r="H19087" s="6" t="n">
        <f aca="false">Sens!H19058-Sens!H19055-Sens!H19062+Sens!H19040*(1-tax_f)</f>
        <v>100.241559331863</v>
      </c>
      <c r="I19087" s="6" t="n">
        <f aca="false">Sens!I19058-Sens!I19055-Sens!I19062+Sens!I19040*(1-tax_f)</f>
        <v>182.809936671469</v>
      </c>
      <c r="J19087" s="6" t="n">
        <f aca="false">Sens!J19058-Sens!J19055-Sens!J19062+Sens!J19040*(1-tax_f)</f>
        <v>264.791235763145</v>
      </c>
      <c r="K19087" s="6" t="n">
        <f aca="false">Sens!K19058-Sens!K19055-Sens!K19062+Sens!K19040*(1-tax_f)</f>
        <v>304.683162249378</v>
      </c>
      <c r="L19087" s="1" t="s">
        <v>1223</v>
      </c>
    </row>
    <row r="19088" customFormat="false" ht="15" hidden="false" customHeight="false" outlineLevel="0" collapsed="false">
      <c r="A19088" s="1" t="s">
        <v>1224</v>
      </c>
      <c r="B19088" s="0" t="s">
        <v>98</v>
      </c>
      <c r="F19088" s="6" t="n">
        <f aca="false">Sens!F19087*Sens!F19085</f>
        <v>-0.654782993314554</v>
      </c>
      <c r="G19088" s="6" t="n">
        <f aca="false">Sens!G19087*Sens!G19085</f>
        <v>34.9889122072175</v>
      </c>
      <c r="H19088" s="6" t="n">
        <f aca="false">Sens!H19087*Sens!H19085</f>
        <v>80.4260093456546</v>
      </c>
      <c r="I19088" s="6" t="n">
        <f aca="false">Sens!I19087*Sens!I19085</f>
        <v>132.983561340091</v>
      </c>
      <c r="J19088" s="6" t="n">
        <f aca="false">Sens!J19087*Sens!J19085</f>
        <v>174.643015854109</v>
      </c>
      <c r="K19088" s="6" t="n">
        <f aca="false">Sens!K19087*Sens!K19085</f>
        <v>182.198805475489</v>
      </c>
    </row>
    <row r="19089" customFormat="false" ht="17.15" hidden="false" customHeight="false" outlineLevel="0" collapsed="false">
      <c r="A19089" s="1" t="s">
        <v>1225</v>
      </c>
      <c r="B19089" s="0" t="s">
        <v>98</v>
      </c>
      <c r="C19089" s="6" t="n">
        <f aca="false">SUM(Sens!F19088:K19088)</f>
        <v>604.585521229246</v>
      </c>
    </row>
    <row r="19090" customFormat="false" ht="17.15" hidden="false" customHeight="false" outlineLevel="0" collapsed="false">
      <c r="A19090" s="1" t="s">
        <v>1226</v>
      </c>
      <c r="B19090" s="0" t="s">
        <v>98</v>
      </c>
      <c r="C19090" s="6" t="n">
        <f aca="false">Sens!K19026*(1+g_tv)*(1-tax_f)</f>
        <v>319.777070595875</v>
      </c>
    </row>
    <row r="19091" customFormat="false" ht="17.15" hidden="false" customHeight="false" outlineLevel="0" collapsed="false">
      <c r="A19091" s="1" t="s">
        <v>1227</v>
      </c>
      <c r="B19091" s="0" t="s">
        <v>98</v>
      </c>
      <c r="C19091" s="6" t="n">
        <f aca="false">Sens!$C$19090*(1-g_tv/(wacc+ronic_prem))</f>
        <v>226.580744296839</v>
      </c>
    </row>
    <row r="19092" customFormat="false" ht="17.15" hidden="false" customHeight="false" outlineLevel="0" collapsed="false">
      <c r="A19092" s="1" t="s">
        <v>1228</v>
      </c>
      <c r="B19092" s="0" t="s">
        <v>98</v>
      </c>
      <c r="C19092" s="6" t="n">
        <f aca="false">Sens!$C$19091/(wacc-g_tv)</f>
        <v>3106.54420996786</v>
      </c>
    </row>
    <row r="19093" customFormat="false" ht="15" hidden="false" customHeight="false" outlineLevel="0" collapsed="false">
      <c r="A19093" s="1" t="s">
        <v>1229</v>
      </c>
      <c r="B19093" s="0" t="s">
        <v>98</v>
      </c>
      <c r="C19093" s="6" t="n">
        <f aca="false">Sens!$C$19092/(1+wacc)^Sens!K19084</f>
        <v>1768.88393192485</v>
      </c>
    </row>
    <row r="19094" customFormat="false" ht="17.15" hidden="false" customHeight="false" outlineLevel="0" collapsed="false">
      <c r="A19094" s="0" t="s">
        <v>1230</v>
      </c>
      <c r="B19094" s="0" t="s">
        <v>98</v>
      </c>
      <c r="C19094" s="6" t="n">
        <f aca="false">Sens!$C$19089+Sens!$C$19093</f>
        <v>2373.46945315409</v>
      </c>
    </row>
    <row r="19095" customFormat="false" ht="15" hidden="false" customHeight="false" outlineLevel="0" collapsed="false">
      <c r="A19095" s="1" t="s">
        <v>1145</v>
      </c>
      <c r="B19095" s="0" t="s">
        <v>168</v>
      </c>
      <c r="C19095" s="7" t="n">
        <f aca="false">Sens!$C$19093/Sens!$C$19094</f>
        <v>0.745273519140592</v>
      </c>
    </row>
    <row r="19096" customFormat="false" ht="17.15" hidden="false" customHeight="false" outlineLevel="0" collapsed="false">
      <c r="A19096" s="1" t="s">
        <v>1231</v>
      </c>
      <c r="B19096" s="0" t="s">
        <v>98</v>
      </c>
      <c r="C19096" s="6" t="n">
        <f aca="false">Sens!$C$19094+cash_val-debt_val-fl_val+oai_v</f>
        <v>2489.32045315409</v>
      </c>
    </row>
    <row r="19097" customFormat="false" ht="17.15" hidden="false" customHeight="false" outlineLevel="0" collapsed="false">
      <c r="A19097" s="0" t="s">
        <v>1153</v>
      </c>
      <c r="B19097" s="0" t="s">
        <v>75</v>
      </c>
      <c r="C19097" s="5" t="n">
        <f aca="false">Sens!$C$19096/shd_val</f>
        <v>334.316472354834</v>
      </c>
    </row>
    <row r="19098" customFormat="false" ht="15" hidden="false" customHeight="false" outlineLevel="0" collapsed="false">
      <c r="A19098" s="1" t="s">
        <v>1232</v>
      </c>
      <c r="B19098" s="0" t="s">
        <v>75</v>
      </c>
      <c r="C19098" s="8" t="n">
        <f aca="false">div_rem27+Sens!G19066*roll_div_q/q_per_yr</f>
        <v>3.9795</v>
      </c>
    </row>
    <row r="19099" customFormat="false" ht="17.15" hidden="false" customHeight="false" outlineLevel="0" collapsed="false">
      <c r="A19099" s="0" t="s">
        <v>1233</v>
      </c>
      <c r="B19099" s="0" t="s">
        <v>75</v>
      </c>
      <c r="C19099" s="5" t="n">
        <f aca="false">Sens!$C$19097*(1+wacc)^t_roll-Sens!$C$19098</f>
        <v>367.631917473391</v>
      </c>
    </row>
    <row r="19100" customFormat="false" ht="17.15" hidden="false" customHeight="false" outlineLevel="0" collapsed="false">
      <c r="A19100" s="1" t="s">
        <v>1234</v>
      </c>
      <c r="B19100" s="0" t="s">
        <v>168</v>
      </c>
      <c r="F19100" s="7" t="n">
        <f aca="false">Sens!F19052/(Sens!F18997-Sens!F18952)</f>
        <v>0.0685685245063251</v>
      </c>
      <c r="G19100" s="7" t="n">
        <f aca="false">Sens!G19052/(Sens!G18997-Sens!G18952)</f>
        <v>0.0653671718642455</v>
      </c>
      <c r="H19100" s="7" t="n">
        <f aca="false">Sens!H19052/(Sens!H18997-Sens!H18952)</f>
        <v>0.0636688400813628</v>
      </c>
      <c r="I19100" s="7" t="n">
        <f aca="false">Sens!I19052/(Sens!I18997-Sens!I18952)</f>
        <v>0.0633604222682685</v>
      </c>
      <c r="J19100" s="7" t="n">
        <f aca="false">Sens!J19052/(Sens!J18997-Sens!J18952)</f>
        <v>0.0640865968705113</v>
      </c>
      <c r="K19100" s="7" t="n">
        <f aca="false">Sens!K19052/(Sens!K18997-Sens!K18952)</f>
        <v>0.0653925761180665</v>
      </c>
    </row>
    <row r="19101" customFormat="false" ht="17.15" hidden="false" customHeight="false" outlineLevel="0" collapsed="false">
      <c r="A19101" s="0" t="s">
        <v>1235</v>
      </c>
      <c r="B19101" s="0" t="s">
        <v>98</v>
      </c>
      <c r="F19101" s="6" t="n">
        <f aca="false">Sens!F18982*(al_m365+Sens!F19100+sbc_r)</f>
        <v>84.523281657114</v>
      </c>
      <c r="G19101" s="6" t="n">
        <f aca="false">Sens!G18982*(al_m365+Sens!G19100+sbc_r)</f>
        <v>98.9514475327116</v>
      </c>
      <c r="H19101" s="6" t="n">
        <f aca="false">Sens!H18982*(al_m365+Sens!H19100+sbc_r)</f>
        <v>113.544698926105</v>
      </c>
      <c r="I19101" s="6" t="n">
        <f aca="false">Sens!I18982*(al_m365+Sens!I19100+sbc_r)</f>
        <v>126.621006486112</v>
      </c>
      <c r="J19101" s="6" t="n">
        <f aca="false">Sens!J18982*(al_m365+Sens!J19100+sbc_r)</f>
        <v>137.994503028643</v>
      </c>
      <c r="K19101" s="6" t="n">
        <f aca="false">Sens!K18982*(al_m365+Sens!K19100+sbc_r)</f>
        <v>148.988450850917</v>
      </c>
      <c r="L19101" s="12" t="s">
        <v>1236</v>
      </c>
    </row>
    <row r="19102" customFormat="false" ht="17.15" hidden="false" customHeight="false" outlineLevel="0" collapsed="false">
      <c r="A19102" s="0" t="s">
        <v>1237</v>
      </c>
      <c r="B19102" s="0" t="s">
        <v>98</v>
      </c>
      <c r="F19102" s="6" t="n">
        <f aca="false">Sens!F18983*(al_lic+Sens!F19100+sbc_r)</f>
        <v>32.8558064490827</v>
      </c>
      <c r="G19102" s="6" t="n">
        <f aca="false">Sens!G18983*(al_lic+Sens!G19100+sbc_r)</f>
        <v>34.1189743190524</v>
      </c>
      <c r="H19102" s="6" t="n">
        <f aca="false">Sens!H18983*(al_lic+Sens!H19100+sbc_r)</f>
        <v>35.3026779978092</v>
      </c>
      <c r="I19102" s="6" t="n">
        <f aca="false">Sens!I18983*(al_lic+Sens!I19100+sbc_r)</f>
        <v>36.3899457856399</v>
      </c>
      <c r="J19102" s="6" t="n">
        <f aca="false">Sens!J18983*(al_lic+Sens!J19100+sbc_r)</f>
        <v>37.3528779137552</v>
      </c>
      <c r="K19102" s="6" t="n">
        <f aca="false">Sens!K18983*(al_lic+Sens!K19100+sbc_r)</f>
        <v>38.1583729657797</v>
      </c>
    </row>
    <row r="19103" customFormat="false" ht="17.15" hidden="false" customHeight="false" outlineLevel="0" collapsed="false">
      <c r="A19103" s="0" t="s">
        <v>1238</v>
      </c>
      <c r="B19103" s="0" t="s">
        <v>98</v>
      </c>
      <c r="F19103" s="6" t="n">
        <f aca="false">Sens!F18985*(al_ind+Sens!F19100+sbc_r)</f>
        <v>9.05927793989526</v>
      </c>
      <c r="G19103" s="6" t="n">
        <f aca="false">Sens!G18985*(al_ind+Sens!G19100+sbc_r)</f>
        <v>9.82481854585513</v>
      </c>
      <c r="H19103" s="6" t="n">
        <f aca="false">Sens!H18985*(al_ind+Sens!H19100+sbc_r)</f>
        <v>10.6378988302748</v>
      </c>
      <c r="I19103" s="6" t="n">
        <f aca="false">Sens!I18985*(al_ind+Sens!I19100+sbc_r)</f>
        <v>11.4966987063788</v>
      </c>
      <c r="J19103" s="6" t="n">
        <f aca="false">Sens!J18985*(al_ind+Sens!J19100+sbc_r)</f>
        <v>12.3903413778569</v>
      </c>
      <c r="K19103" s="6" t="n">
        <f aca="false">Sens!K18985*(al_ind+Sens!K19100+sbc_r)</f>
        <v>13.3007924592871</v>
      </c>
    </row>
    <row r="19104" customFormat="false" ht="17.15" hidden="false" customHeight="false" outlineLevel="0" collapsed="false">
      <c r="A19104" s="0" t="s">
        <v>1239</v>
      </c>
      <c r="B19104" s="0" t="s">
        <v>98</v>
      </c>
      <c r="F19104" s="6" t="n">
        <f aca="false">Sens!F18987*(al_fro+Sens!F19100+sbc_r)</f>
        <v>3.55358269103629</v>
      </c>
      <c r="G19104" s="6" t="n">
        <f aca="false">Sens!G18987*(al_fro+Sens!G19100+sbc_r)</f>
        <v>3.75926352115099</v>
      </c>
      <c r="H19104" s="6" t="n">
        <f aca="false">Sens!H18987*(al_fro+Sens!H19100+sbc_r)</f>
        <v>3.99503029036258</v>
      </c>
      <c r="I19104" s="6" t="n">
        <f aca="false">Sens!I18987*(al_fro+Sens!I19100+sbc_r)</f>
        <v>4.26398732399709</v>
      </c>
      <c r="J19104" s="6" t="n">
        <f aca="false">Sens!J18987*(al_fro+Sens!J19100+sbc_r)</f>
        <v>4.56677050177481</v>
      </c>
      <c r="K19104" s="6" t="n">
        <f aca="false">Sens!K18987*(al_fro+Sens!K19100+sbc_r)</f>
        <v>4.90234004059437</v>
      </c>
    </row>
    <row r="19105" customFormat="false" ht="17.15" hidden="false" customHeight="false" outlineLevel="0" collapsed="false">
      <c r="A19105" s="0" t="s">
        <v>1240</v>
      </c>
      <c r="B19105" s="0" t="s">
        <v>98</v>
      </c>
      <c r="F19105" s="6" t="n">
        <f aca="false">Sens!F18990*(al_srch+Sens!F19100+sbc_r)</f>
        <v>11.187683612665</v>
      </c>
      <c r="G19105" s="6" t="n">
        <f aca="false">Sens!G18990*(al_srch+Sens!G19100+sbc_r)</f>
        <v>12.2475622713985</v>
      </c>
      <c r="H19105" s="6" t="n">
        <f aca="false">Sens!H18990*(al_srch+Sens!H19100+sbc_r)</f>
        <v>13.3554854357325</v>
      </c>
      <c r="I19105" s="6" t="n">
        <f aca="false">Sens!I18990*(al_srch+Sens!I19100+sbc_r)</f>
        <v>14.5024982675828</v>
      </c>
      <c r="J19105" s="6" t="n">
        <f aca="false">Sens!J18990*(al_srch+Sens!J19100+sbc_r)</f>
        <v>15.6672454904308</v>
      </c>
      <c r="K19105" s="6" t="n">
        <f aca="false">Sens!K18990*(al_srch+Sens!K19100+sbc_r)</f>
        <v>16.8184858126133</v>
      </c>
    </row>
    <row r="19106" customFormat="false" ht="17.15" hidden="false" customHeight="false" outlineLevel="0" collapsed="false">
      <c r="A19106" s="0" t="s">
        <v>1241</v>
      </c>
      <c r="B19106" s="0" t="s">
        <v>98</v>
      </c>
      <c r="F19106" s="6" t="n">
        <f aca="false">Sens!F18958-Sens!F18959+Sens!F19040</f>
        <v>46.0778850294426</v>
      </c>
      <c r="G19106" s="6" t="n">
        <f aca="false">Sens!G18958-Sens!G18959+Sens!G19040</f>
        <v>92.3479955500052</v>
      </c>
      <c r="H19106" s="6" t="n">
        <f aca="false">Sens!H18958-Sens!H18959+Sens!H19040</f>
        <v>146.583389242188</v>
      </c>
      <c r="I19106" s="6" t="n">
        <f aca="false">Sens!I18958-Sens!I18959+Sens!I19040</f>
        <v>190.051968796598</v>
      </c>
      <c r="J19106" s="6" t="n">
        <f aca="false">Sens!J18958-Sens!J18959+Sens!J19040</f>
        <v>220.947956409516</v>
      </c>
      <c r="K19106" s="6" t="n">
        <f aca="false">Sens!K18958-Sens!K18959+Sens!K19040</f>
        <v>240.368429589956</v>
      </c>
    </row>
    <row r="19107" customFormat="false" ht="17.15" hidden="false" customHeight="false" outlineLevel="0" collapsed="false">
      <c r="A19107" s="0" t="s">
        <v>1242</v>
      </c>
      <c r="B19107" s="0" t="s">
        <v>98</v>
      </c>
      <c r="F19107" s="6" t="n">
        <f aca="false">Sens!F19019+Sens!F19040+Sens!F18970+Sens!F19100*(Sens!F18989-Sens!F18952)+sbc_r*Sens!F18989</f>
        <v>241.376360200037</v>
      </c>
      <c r="G19107" s="6" t="n">
        <f aca="false">Sens!G19019+Sens!G19040+Sens!G18970+Sens!G19100*(Sens!G18989-Sens!G18952)+sbc_r*Sens!G18989</f>
        <v>313.119808328712</v>
      </c>
      <c r="H19107" s="6" t="n">
        <f aca="false">Sens!H19019+Sens!H19040+Sens!H18970+Sens!H19100*(Sens!H18989-Sens!H18952)+sbc_r*Sens!H18989</f>
        <v>397.38473782159</v>
      </c>
      <c r="I19107" s="6" t="n">
        <f aca="false">Sens!I19019+Sens!I19040+Sens!I18970+Sens!I19100*(Sens!I18989-Sens!I18952)+sbc_r*Sens!I18989</f>
        <v>468.79756566433</v>
      </c>
      <c r="J19107" s="6" t="n">
        <f aca="false">Sens!J19019+Sens!J19040+Sens!J18970+Sens!J19100*(Sens!J18989-Sens!J18952)+sbc_r*Sens!J18989</f>
        <v>524.665640587906</v>
      </c>
      <c r="K19107" s="6" t="n">
        <f aca="false">Sens!K19019+Sens!K19040+Sens!K18970+Sens!K19100*(Sens!K18989-Sens!K18952)+sbc_r*Sens!K18989</f>
        <v>566.642418965594</v>
      </c>
    </row>
    <row r="19108" customFormat="false" ht="17.15" hidden="false" customHeight="false" outlineLevel="0" collapsed="false">
      <c r="A19108" s="0" t="s">
        <v>1243</v>
      </c>
      <c r="B19108" s="0" t="s">
        <v>98</v>
      </c>
      <c r="F19108" s="6" t="n">
        <f aca="false">Sens!F19107-Sens!F19101-Sens!F19102-Sens!F19103-Sens!F19104-Sens!F19106</f>
        <v>65.3065264334664</v>
      </c>
      <c r="G19108" s="6" t="n">
        <f aca="false">Sens!G19107-Sens!G19101-Sens!G19102-Sens!G19103-Sens!G19104-Sens!G19106</f>
        <v>74.1173088599363</v>
      </c>
      <c r="H19108" s="6" t="n">
        <f aca="false">Sens!H19107-Sens!H19101-Sens!H19102-Sens!H19103-Sens!H19104-Sens!H19106</f>
        <v>87.3210425348507</v>
      </c>
      <c r="I19108" s="6" t="n">
        <f aca="false">Sens!I19107-Sens!I19101-Sens!I19102-Sens!I19103-Sens!I19104-Sens!I19106</f>
        <v>99.9739585656051</v>
      </c>
      <c r="J19108" s="6" t="n">
        <f aca="false">Sens!J19107-Sens!J19101-Sens!J19102-Sens!J19103-Sens!J19104-Sens!J19106</f>
        <v>111.41319135636</v>
      </c>
      <c r="K19108" s="6" t="n">
        <f aca="false">Sens!K19107-Sens!K19101-Sens!K19102-Sens!K19103-Sens!K19104-Sens!K19106</f>
        <v>120.92403305906</v>
      </c>
    </row>
    <row r="19109" customFormat="false" ht="17.15" hidden="false" customHeight="false" outlineLevel="0" collapsed="false">
      <c r="A19109" s="0" t="s">
        <v>1244</v>
      </c>
      <c r="B19109" s="0" t="s">
        <v>98</v>
      </c>
      <c r="F19109" s="6" t="n">
        <f aca="false">Sens!F19021+Sens!F19100*Sens!F18996+sbc_r*Sens!F18996</f>
        <v>26.6303544318948</v>
      </c>
      <c r="G19109" s="6" t="n">
        <f aca="false">Sens!G19021+Sens!G19100*Sens!G18996+sbc_r*Sens!G18996</f>
        <v>26.4411892223904</v>
      </c>
      <c r="H19109" s="6" t="n">
        <f aca="false">Sens!H19021+Sens!H19100*Sens!H18996+sbc_r*Sens!H18996</f>
        <v>27.2972693185129</v>
      </c>
      <c r="I19109" s="6" t="n">
        <f aca="false">Sens!I19021+Sens!I19100*Sens!I18996+sbc_r*Sens!I18996</f>
        <v>28.399712124043</v>
      </c>
      <c r="J19109" s="6" t="n">
        <f aca="false">Sens!J19021+Sens!J19100*Sens!J18996+sbc_r*Sens!J18996</f>
        <v>29.7092784269154</v>
      </c>
      <c r="K19109" s="6" t="n">
        <f aca="false">Sens!K19021+Sens!K19100*Sens!K18996+sbc_r*Sens!K18996</f>
        <v>31.1814924783153</v>
      </c>
    </row>
    <row r="19110" customFormat="false" ht="17.15" hidden="false" customHeight="false" outlineLevel="0" collapsed="false">
      <c r="A19110" s="0" t="s">
        <v>1245</v>
      </c>
      <c r="B19110" s="0" t="s">
        <v>98</v>
      </c>
      <c r="F19110" s="6" t="n">
        <f aca="false">(Sens!F19109-Sens!F19105)*Sens!F18992/(Sens!F18992+Sens!F18994)</f>
        <v>8.72179684575229</v>
      </c>
      <c r="G19110" s="6" t="n">
        <f aca="false">(Sens!G19109-Sens!G19105)*Sens!G18992/(Sens!G18992+Sens!G18994)</f>
        <v>7.87858357493293</v>
      </c>
      <c r="H19110" s="6" t="n">
        <f aca="false">(Sens!H19109-Sens!H19105)*Sens!H18992/(Sens!H18992+Sens!H18994)</f>
        <v>7.63797725780286</v>
      </c>
      <c r="I19110" s="6" t="n">
        <f aca="false">(Sens!I19109-Sens!I19105)*Sens!I18992/(Sens!I18992+Sens!I18994)</f>
        <v>7.54710505669073</v>
      </c>
      <c r="J19110" s="6" t="n">
        <f aca="false">(Sens!J19109-Sens!J19105)*Sens!J18992/(Sens!J18992+Sens!J18994)</f>
        <v>7.59248059023951</v>
      </c>
      <c r="K19110" s="6" t="n">
        <f aca="false">(Sens!K19109-Sens!K19105)*Sens!K18992/(Sens!K18992+Sens!K18994)</f>
        <v>7.76603002001818</v>
      </c>
    </row>
    <row r="19111" customFormat="false" ht="17.15" hidden="false" customHeight="false" outlineLevel="0" collapsed="false">
      <c r="A19111" s="0" t="s">
        <v>1246</v>
      </c>
      <c r="B19111" s="0" t="s">
        <v>98</v>
      </c>
      <c r="F19111" s="6" t="n">
        <f aca="false">Sens!F19109-Sens!F19105-Sens!F19110</f>
        <v>6.72087397347751</v>
      </c>
      <c r="G19111" s="6" t="n">
        <f aca="false">Sens!G19109-Sens!G19105-Sens!G19110</f>
        <v>6.31504337605906</v>
      </c>
      <c r="H19111" s="6" t="n">
        <f aca="false">Sens!H19109-Sens!H19105-Sens!H19110</f>
        <v>6.30380662497756</v>
      </c>
      <c r="I19111" s="6" t="n">
        <f aca="false">Sens!I19109-Sens!I19105-Sens!I19110</f>
        <v>6.35010879976946</v>
      </c>
      <c r="J19111" s="6" t="n">
        <f aca="false">Sens!J19109-Sens!J19105-Sens!J19110</f>
        <v>6.44955234624505</v>
      </c>
      <c r="K19111" s="6" t="n">
        <f aca="false">Sens!K19109-Sens!K19105-Sens!K19110</f>
        <v>6.59697664568381</v>
      </c>
    </row>
    <row r="19112" customFormat="false" ht="17.15" hidden="false" customHeight="false" outlineLevel="0" collapsed="false">
      <c r="A19112" s="0" t="s">
        <v>1247</v>
      </c>
      <c r="B19112" s="0" t="s">
        <v>98</v>
      </c>
      <c r="F19112" s="6" t="n">
        <f aca="false">Sens!F19106-tax_f*(Sens!F19106-Sens!F18970)-Sens!F18967</f>
        <v>-124.683774478892</v>
      </c>
      <c r="G19112" s="6" t="n">
        <f aca="false">Sens!G19106-tax_f*(Sens!G19106-Sens!G18970)-Sens!G18967</f>
        <v>-106.070662402908</v>
      </c>
      <c r="H19112" s="6" t="n">
        <f aca="false">Sens!H19106-tax_f*(Sens!H19106-Sens!H18970)-Sens!H18967</f>
        <v>-61.6974482071742</v>
      </c>
      <c r="I19112" s="6" t="n">
        <f aca="false">Sens!I19106-tax_f*(Sens!I19106-Sens!I18970)-Sens!I18967</f>
        <v>5.17928840401791</v>
      </c>
      <c r="J19112" s="6" t="n">
        <f aca="false">Sens!J19106-tax_f*(Sens!J19106-Sens!J18970)-Sens!J18967</f>
        <v>72.5805859594056</v>
      </c>
      <c r="K19112" s="6" t="n">
        <f aca="false">Sens!K19106-tax_f*(Sens!K19106-Sens!K18970)-Sens!K18967</f>
        <v>98.6784493113339</v>
      </c>
    </row>
    <row r="19113" customFormat="false" ht="17.15" hidden="false" customHeight="false" outlineLevel="0" collapsed="false">
      <c r="A19113" s="0" t="s">
        <v>1248</v>
      </c>
      <c r="B19113" s="0" t="s">
        <v>98</v>
      </c>
      <c r="G19113" s="6" t="n">
        <f aca="false">Sens!G19112/(1+wacc)^(Sens!G19083-Sens!F19084)</f>
        <v>-100.999682477929</v>
      </c>
      <c r="H19113" s="6" t="n">
        <f aca="false">Sens!H19112/(1+wacc)^(Sens!H19083-Sens!F19084)</f>
        <v>-53.2649329240173</v>
      </c>
      <c r="I19113" s="6" t="n">
        <f aca="false">Sens!I19112/(1+wacc)^(Sens!I19083-Sens!F19084)</f>
        <v>4.05409323513022</v>
      </c>
      <c r="J19113" s="6" t="n">
        <f aca="false">Sens!J19112/(1+wacc)^(Sens!J19083-Sens!F19084)</f>
        <v>51.5102386790363</v>
      </c>
      <c r="K19113" s="6" t="n">
        <f aca="false">Sens!K19112/(1+wacc)^(Sens!K19083-Sens!F19084)</f>
        <v>63.4957801006159</v>
      </c>
      <c r="L19113" s="1" t="s">
        <v>1249</v>
      </c>
    </row>
    <row r="19114" customFormat="false" ht="17.15" hidden="false" customHeight="false" outlineLevel="0" collapsed="false">
      <c r="A19114" s="0" t="s">
        <v>1250</v>
      </c>
      <c r="B19114" s="0" t="s">
        <v>98</v>
      </c>
      <c r="C19114" s="6" t="n">
        <f aca="false">(Sens!K19106-Sens!K18970)*(1-tax_f)*(1+g_tv)*(1-g_tv/(wacc+ronic_prem))/(wacc-g_tv)/(1+wacc)^(Sens!K19084-Sens!F19084)</f>
        <v>470.906113147493</v>
      </c>
    </row>
    <row r="19115" customFormat="false" ht="17.15" hidden="false" customHeight="false" outlineLevel="0" collapsed="false">
      <c r="A19115" s="1" t="s">
        <v>1251</v>
      </c>
      <c r="B19115" s="0" t="s">
        <v>98</v>
      </c>
      <c r="C19115" s="6" t="n">
        <f aca="false">(SUM(Sens!G19113:K19113)+Sens!$C$19114)*(1+wacc)^(t_roll-Sens!F19084)</f>
        <v>450.085437557987</v>
      </c>
      <c r="L19115" s="12" t="s">
        <v>1252</v>
      </c>
    </row>
    <row r="19116" customFormat="false" ht="17.15" hidden="false" customHeight="false" outlineLevel="0" collapsed="false">
      <c r="A19116" s="1" t="s">
        <v>1253</v>
      </c>
      <c r="B19116" s="0" t="s">
        <v>98</v>
      </c>
      <c r="C19116" s="6" t="n">
        <f aca="false">(w_ntm28*Sens!G18958+(1-w_ntm28)*Sens!H18958)*m_ai</f>
        <v>570.305397299893</v>
      </c>
    </row>
    <row r="19117" customFormat="false" ht="17.15" hidden="false" customHeight="false" outlineLevel="0" collapsed="false">
      <c r="A19117" s="1" t="s">
        <v>1254</v>
      </c>
      <c r="B19117" s="0" t="s">
        <v>98</v>
      </c>
      <c r="C19117" s="6" t="n">
        <f aca="false">(w_ntm28*Sens!G19108+(1-w_ntm28)*Sens!H19108)*m_cloud</f>
        <v>1084.29318632508</v>
      </c>
    </row>
    <row r="19118" customFormat="false" ht="17.15" hidden="false" customHeight="false" outlineLevel="0" collapsed="false">
      <c r="A19118" s="1" t="s">
        <v>1255</v>
      </c>
      <c r="B19118" s="0" t="s">
        <v>98</v>
      </c>
      <c r="C19118" s="6" t="n">
        <f aca="false">(w_ntm28*Sens!G19101+(1-w_ntm28)*Sens!H19101)*m_sw</f>
        <v>1120.4916711775</v>
      </c>
    </row>
    <row r="19119" customFormat="false" ht="17.15" hidden="false" customHeight="false" outlineLevel="0" collapsed="false">
      <c r="A19119" s="1" t="s">
        <v>1256</v>
      </c>
      <c r="B19119" s="0" t="s">
        <v>98</v>
      </c>
      <c r="C19119" s="6" t="n">
        <f aca="false">(w_ntm28*Sens!G19102+(1-w_ntm28)*Sens!H19102)*m_sw</f>
        <v>372.687881461297</v>
      </c>
    </row>
    <row r="19120" customFormat="false" ht="17.15" hidden="false" customHeight="false" outlineLevel="0" collapsed="false">
      <c r="A19120" s="1" t="s">
        <v>1257</v>
      </c>
      <c r="B19120" s="0" t="s">
        <v>98</v>
      </c>
      <c r="C19120" s="6" t="n">
        <f aca="false">(w_ntm28*Sens!G19103+(1-w_ntm28)*Sens!H19103)*m_sw</f>
        <v>108.99503220923</v>
      </c>
    </row>
    <row r="19121" customFormat="false" ht="17.15" hidden="false" customHeight="false" outlineLevel="0" collapsed="false">
      <c r="A19121" s="1" t="s">
        <v>1258</v>
      </c>
      <c r="B19121" s="0" t="s">
        <v>98</v>
      </c>
      <c r="C19121" s="6" t="n">
        <f aca="false">(w_ntm28*Sens!G19104+(1-w_ntm28)*Sens!H19104)*m_sw</f>
        <v>41.4371795432204</v>
      </c>
    </row>
    <row r="19122" customFormat="false" ht="17.15" hidden="false" customHeight="false" outlineLevel="0" collapsed="false">
      <c r="A19122" s="1" t="s">
        <v>1259</v>
      </c>
      <c r="B19122" s="0" t="s">
        <v>98</v>
      </c>
      <c r="C19122" s="6" t="n">
        <f aca="false">(w_ntm28*Sens!G19105+(1-w_ntm28)*Sens!H19105)*m_ads</f>
        <v>114.893598054769</v>
      </c>
    </row>
    <row r="19123" customFormat="false" ht="17.15" hidden="false" customHeight="false" outlineLevel="0" collapsed="false">
      <c r="A19123" s="1" t="s">
        <v>1260</v>
      </c>
      <c r="B19123" s="0" t="s">
        <v>98</v>
      </c>
      <c r="C19123" s="6" t="n">
        <f aca="false">(w_ntm28*Sens!G19110+(1-w_ntm28)*Sens!H19110)*m_game</f>
        <v>98.5074340192321</v>
      </c>
    </row>
    <row r="19124" customFormat="false" ht="17.15" hidden="false" customHeight="false" outlineLevel="0" collapsed="false">
      <c r="A19124" s="1" t="s">
        <v>1261</v>
      </c>
      <c r="B19124" s="0" t="s">
        <v>98</v>
      </c>
      <c r="C19124" s="6" t="n">
        <f aca="false">(w_ntm28*Sens!G19111+(1-w_ntm28)*Sens!H19111)*m_pc</f>
        <v>91.325221502046</v>
      </c>
    </row>
    <row r="19125" customFormat="false" ht="17.15" hidden="false" customHeight="false" outlineLevel="0" collapsed="false">
      <c r="A19125" s="1" t="s">
        <v>1262</v>
      </c>
      <c r="B19125" s="0" t="s">
        <v>98</v>
      </c>
      <c r="C19125" s="6" t="n">
        <f aca="false">Sens!$C$19115+Sens!$C$19117+Sens!$C$19118+Sens!$C$19119+Sens!$C$19120+Sens!$C$19121+Sens!$C$19122+Sens!$C$19123+Sens!$C$19124</f>
        <v>3482.71664185036</v>
      </c>
    </row>
    <row r="19126" customFormat="false" ht="17.15" hidden="false" customHeight="false" outlineLevel="0" collapsed="false">
      <c r="A19126" s="1" t="s">
        <v>1263</v>
      </c>
      <c r="B19126" s="0" t="s">
        <v>98</v>
      </c>
      <c r="C19126" s="6" t="n">
        <f aca="false">(Sens!G19087-Sens!G19112)*t_stub</f>
        <v>48.2707666570319</v>
      </c>
      <c r="L19126" s="1" t="s">
        <v>1264</v>
      </c>
    </row>
    <row r="19127" customFormat="false" ht="17.15" hidden="false" customHeight="false" outlineLevel="0" collapsed="false">
      <c r="A19127" s="1" t="s">
        <v>1173</v>
      </c>
      <c r="B19127" s="0" t="s">
        <v>98</v>
      </c>
      <c r="C19127" s="6" t="n">
        <f aca="false">Sens!F19074+oai_v-Sens!F19063+Sens!$C$19126</f>
        <v>162.499036657032</v>
      </c>
      <c r="L19127" s="1" t="s">
        <v>1265</v>
      </c>
    </row>
    <row r="19128" customFormat="false" ht="17.15" hidden="false" customHeight="false" outlineLevel="0" collapsed="false">
      <c r="A19128" s="1" t="s">
        <v>1266</v>
      </c>
      <c r="B19128" s="0" t="s">
        <v>75</v>
      </c>
      <c r="C19128" s="5" t="n">
        <f aca="false">(Sens!$C$19125+Sens!$C$19127)/(Sens!F19076+dil_gap)-Sens!G19066*roll_div_q/q_per_yr</f>
        <v>485.676201523652</v>
      </c>
      <c r="L19128" s="1" t="s">
        <v>1267</v>
      </c>
    </row>
    <row r="19129" customFormat="false" ht="17.15" hidden="false" customHeight="false" outlineLevel="0" collapsed="false">
      <c r="A19129" s="1" t="s">
        <v>1268</v>
      </c>
      <c r="B19129" s="0" t="s">
        <v>75</v>
      </c>
      <c r="C19129" s="5" t="n">
        <f aca="false">w_dcf*Sens!$C$19099+(1-w_dcf)*Sens!$C$19128</f>
        <v>426.654059498521</v>
      </c>
    </row>
    <row r="19130" customFormat="false" ht="17.15" hidden="false" customHeight="false" outlineLevel="0" collapsed="false">
      <c r="A19130" s="3" t="s">
        <v>2084</v>
      </c>
    </row>
    <row r="19131" customFormat="false" ht="15" hidden="false" customHeight="false" outlineLevel="0" collapsed="false">
      <c r="A19131" s="4" t="s">
        <v>43</v>
      </c>
      <c r="B19131" s="4" t="s">
        <v>65</v>
      </c>
      <c r="C19131" s="23" t="s">
        <v>942</v>
      </c>
      <c r="D19131" s="23" t="s">
        <v>943</v>
      </c>
      <c r="E19131" s="23" t="s">
        <v>944</v>
      </c>
      <c r="F19131" s="23" t="s">
        <v>945</v>
      </c>
      <c r="G19131" s="23" t="s">
        <v>946</v>
      </c>
      <c r="H19131" s="23" t="s">
        <v>947</v>
      </c>
      <c r="I19131" s="23" t="s">
        <v>948</v>
      </c>
      <c r="J19131" s="23" t="s">
        <v>949</v>
      </c>
      <c r="K19131" s="23" t="s">
        <v>950</v>
      </c>
      <c r="L19131" s="4" t="s">
        <v>47</v>
      </c>
    </row>
    <row r="19132" customFormat="false" ht="17.15" hidden="false" customHeight="false" outlineLevel="0" collapsed="false">
      <c r="A19132" s="1" t="s">
        <v>951</v>
      </c>
      <c r="B19132" s="1" t="s">
        <v>279</v>
      </c>
      <c r="C19132" s="21" t="n">
        <v>2024</v>
      </c>
      <c r="D19132" s="21" t="n">
        <v>2025</v>
      </c>
      <c r="E19132" s="21" t="n">
        <v>2026</v>
      </c>
      <c r="F19132" s="21" t="n">
        <v>2027</v>
      </c>
      <c r="G19132" s="21" t="n">
        <v>2028</v>
      </c>
      <c r="H19132" s="21" t="n">
        <v>2029</v>
      </c>
      <c r="I19132" s="21" t="n">
        <v>2030</v>
      </c>
      <c r="J19132" s="21" t="n">
        <v>2031</v>
      </c>
      <c r="K19132" s="21" t="n">
        <v>2032</v>
      </c>
    </row>
    <row r="19133" customFormat="false" ht="17.15" hidden="false" customHeight="false" outlineLevel="0" collapsed="false">
      <c r="A19133" s="1" t="s">
        <v>952</v>
      </c>
      <c r="B19133" s="0" t="s">
        <v>459</v>
      </c>
      <c r="F19133" s="30" t="n">
        <f aca="false">pace_nv0</f>
        <v>2645.0669</v>
      </c>
      <c r="G19133" s="30" t="n">
        <f aca="false">pace_nv0</f>
        <v>2645.0669</v>
      </c>
      <c r="H19133" s="30" t="n">
        <f aca="false">pace_nv0</f>
        <v>2645.0669</v>
      </c>
      <c r="I19133" s="30" t="n">
        <f aca="false">pace_nv0+(g_tv*Sens!H19134-pace_nv0)*MIN(1,(Sens!I19132-pace_y0)/(pace_y1-pace_y0))</f>
        <v>1875.22994033333</v>
      </c>
      <c r="J19133" s="30" t="n">
        <f aca="false">pace_nv0+(g_tv*Sens!I19134-pace_nv0)*MIN(1,(Sens!J19132-pace_y0)/(pace_y1-pace_y0))</f>
        <v>1142.89757947333</v>
      </c>
      <c r="K19133" s="30" t="n">
        <f aca="false">pace_nv0+(g_tv*Sens!J19134-pace_nv0)*MIN(1,(Sens!K19132-pace_y0)/(pace_y1-pace_y0))</f>
        <v>426.0998465942</v>
      </c>
      <c r="L19133" s="12" t="s">
        <v>953</v>
      </c>
    </row>
    <row r="19134" customFormat="false" ht="17.15" hidden="false" customHeight="false" outlineLevel="0" collapsed="false">
      <c r="A19134" s="1" t="s">
        <v>954</v>
      </c>
      <c r="B19134" s="0" t="s">
        <v>459</v>
      </c>
      <c r="C19134" s="30" t="n">
        <f aca="false">mw_ext_24</f>
        <v>640</v>
      </c>
      <c r="D19134" s="30" t="n">
        <f aca="false">mw_ext_25</f>
        <v>1630</v>
      </c>
      <c r="E19134" s="30" t="n">
        <f aca="false">mw_ext_26</f>
        <v>3250</v>
      </c>
      <c r="F19134" s="30" t="n">
        <f aca="false">Sens!E19134+Sens!F19133</f>
        <v>5895.0669</v>
      </c>
      <c r="G19134" s="30" t="n">
        <f aca="false">Sens!F19134+Sens!G19133</f>
        <v>8540.1338</v>
      </c>
      <c r="H19134" s="30" t="n">
        <f aca="false">Sens!G19134+Sens!H19133</f>
        <v>11185.2007</v>
      </c>
      <c r="I19134" s="30" t="n">
        <f aca="false">Sens!H19134+Sens!I19133</f>
        <v>13060.4306403333</v>
      </c>
      <c r="J19134" s="30" t="n">
        <f aca="false">Sens!I19134+Sens!J19133</f>
        <v>14203.3282198067</v>
      </c>
      <c r="K19134" s="30" t="n">
        <f aca="false">Sens!J19134+Sens!K19133</f>
        <v>14629.4280664009</v>
      </c>
      <c r="L19134" s="1" t="s">
        <v>955</v>
      </c>
    </row>
    <row r="19135" customFormat="false" ht="17.15" hidden="false" customHeight="false" outlineLevel="0" collapsed="false">
      <c r="A19135" s="1" t="s">
        <v>956</v>
      </c>
      <c r="B19135" s="0" t="s">
        <v>459</v>
      </c>
      <c r="C19135" s="30" t="n">
        <f aca="false">rent_ext_24</f>
        <v>150</v>
      </c>
      <c r="D19135" s="30" t="n">
        <f aca="false">rent_ext_25</f>
        <v>400</v>
      </c>
      <c r="E19135" s="30" t="n">
        <f aca="false">rent_ext_26</f>
        <v>550</v>
      </c>
      <c r="F19135" s="30" t="n">
        <f aca="false">rent_ext_f</f>
        <v>756</v>
      </c>
      <c r="G19135" s="30" t="n">
        <f aca="false">rent_ext_f</f>
        <v>756</v>
      </c>
      <c r="H19135" s="30" t="n">
        <f aca="false">rent_ext_f</f>
        <v>756</v>
      </c>
      <c r="I19135" s="30" t="n">
        <f aca="false">rent_ext_f</f>
        <v>756</v>
      </c>
      <c r="J19135" s="30" t="n">
        <f aca="false">rent_ext_f</f>
        <v>756</v>
      </c>
      <c r="K19135" s="30" t="n">
        <f aca="false">rent_ext_f</f>
        <v>756</v>
      </c>
      <c r="L19135" s="1" t="s">
        <v>957</v>
      </c>
    </row>
    <row r="19136" customFormat="false" ht="17.15" hidden="false" customHeight="false" outlineLevel="0" collapsed="false">
      <c r="A19136" s="1" t="s">
        <v>958</v>
      </c>
      <c r="B19136" s="0" t="s">
        <v>459</v>
      </c>
      <c r="C19136" s="30" t="n">
        <f aca="false">Sens!C19134-Sens!C19135</f>
        <v>490</v>
      </c>
      <c r="D19136" s="30" t="n">
        <f aca="false">Sens!D19134-Sens!D19135</f>
        <v>1230</v>
      </c>
      <c r="E19136" s="30" t="n">
        <f aca="false">Sens!E19134-Sens!E19135</f>
        <v>2700</v>
      </c>
      <c r="F19136" s="30" t="n">
        <f aca="false">Sens!F19134-Sens!F19135</f>
        <v>5139.0669</v>
      </c>
      <c r="G19136" s="30" t="n">
        <f aca="false">Sens!G19134-Sens!G19135</f>
        <v>7784.1338</v>
      </c>
      <c r="H19136" s="30" t="n">
        <f aca="false">Sens!H19134-Sens!H19135</f>
        <v>10429.2007</v>
      </c>
      <c r="I19136" s="30" t="n">
        <f aca="false">Sens!I19134-Sens!I19135</f>
        <v>12304.4306403333</v>
      </c>
      <c r="J19136" s="30" t="n">
        <f aca="false">Sens!J19134-Sens!J19135</f>
        <v>13447.3282198067</v>
      </c>
      <c r="K19136" s="30" t="n">
        <f aca="false">Sens!K19134-Sens!K19135</f>
        <v>13873.4280664009</v>
      </c>
    </row>
    <row r="19137" customFormat="false" ht="17.15" hidden="false" customHeight="false" outlineLevel="0" collapsed="false">
      <c r="A19137" s="1" t="s">
        <v>959</v>
      </c>
      <c r="B19137" s="0" t="s">
        <v>459</v>
      </c>
      <c r="C19137" s="30" t="n">
        <f aca="false">Sens!C19136/ext_sh</f>
        <v>816.666666666667</v>
      </c>
      <c r="D19137" s="30" t="n">
        <f aca="false">Sens!D19136/ext_sh</f>
        <v>2050</v>
      </c>
      <c r="E19137" s="30" t="n">
        <f aca="false">Sens!E19136/ext_sh</f>
        <v>4500</v>
      </c>
      <c r="F19137" s="30" t="n">
        <f aca="false">Sens!F19136/ext_sh</f>
        <v>8565.1115</v>
      </c>
      <c r="G19137" s="30" t="n">
        <f aca="false">Sens!G19136/ext_sh</f>
        <v>12973.5563333333</v>
      </c>
      <c r="H19137" s="30" t="n">
        <f aca="false">Sens!H19136/ext_sh</f>
        <v>17382.0011666667</v>
      </c>
      <c r="I19137" s="30" t="n">
        <f aca="false">Sens!I19136/ext_sh</f>
        <v>20507.3844005556</v>
      </c>
      <c r="J19137" s="30" t="n">
        <f aca="false">Sens!J19136/ext_sh</f>
        <v>22412.2136996778</v>
      </c>
      <c r="K19137" s="30" t="n">
        <f aca="false">Sens!K19136/ext_sh</f>
        <v>23122.3801106681</v>
      </c>
      <c r="L19137" s="1" t="s">
        <v>960</v>
      </c>
    </row>
    <row r="19138" customFormat="false" ht="17.15" hidden="false" customHeight="false" outlineLevel="0" collapsed="false">
      <c r="A19138" s="1" t="s">
        <v>961</v>
      </c>
      <c r="B19138" s="0" t="s">
        <v>459</v>
      </c>
      <c r="C19138" s="30" t="n">
        <f aca="false">Sens!C19137-Sens!C19136</f>
        <v>326.666666666667</v>
      </c>
      <c r="D19138" s="30" t="n">
        <f aca="false">Sens!D19137-Sens!D19136</f>
        <v>820</v>
      </c>
      <c r="E19138" s="30" t="n">
        <f aca="false">Sens!E19137-Sens!E19136</f>
        <v>1800</v>
      </c>
      <c r="F19138" s="30" t="n">
        <f aca="false">Sens!F19137-Sens!F19136</f>
        <v>3426.0446</v>
      </c>
      <c r="G19138" s="30" t="n">
        <f aca="false">Sens!G19137-Sens!G19136</f>
        <v>5189.42253333333</v>
      </c>
      <c r="H19138" s="30" t="n">
        <f aca="false">Sens!H19137-Sens!H19136</f>
        <v>6952.80046666667</v>
      </c>
      <c r="I19138" s="30" t="n">
        <f aca="false">Sens!I19137-Sens!I19136</f>
        <v>8202.95376022222</v>
      </c>
      <c r="J19138" s="30" t="n">
        <f aca="false">Sens!J19137-Sens!J19136</f>
        <v>8964.88547987111</v>
      </c>
      <c r="K19138" s="30" t="n">
        <f aca="false">Sens!K19137-Sens!K19136</f>
        <v>9248.95204426724</v>
      </c>
    </row>
    <row r="19139" customFormat="false" ht="17.15" hidden="false" customHeight="false" outlineLevel="0" collapsed="false">
      <c r="A19139" s="1" t="s">
        <v>962</v>
      </c>
      <c r="B19139" s="0" t="s">
        <v>459</v>
      </c>
      <c r="C19139" s="30" t="n">
        <f aca="false">Sens!C19137</f>
        <v>816.666666666667</v>
      </c>
      <c r="D19139" s="30" t="n">
        <f aca="false">Sens!D19137-Sens!C19137</f>
        <v>1233.33333333333</v>
      </c>
      <c r="E19139" s="30" t="n">
        <f aca="false">Sens!E19137-Sens!D19137</f>
        <v>2450</v>
      </c>
      <c r="F19139" s="30" t="n">
        <f aca="false">Sens!F19137-Sens!E19137</f>
        <v>4065.1115</v>
      </c>
      <c r="G19139" s="30" t="n">
        <f aca="false">Sens!G19137-Sens!F19137</f>
        <v>4408.44483333333</v>
      </c>
      <c r="H19139" s="30" t="n">
        <f aca="false">Sens!H19137-Sens!G19137</f>
        <v>4408.44483333333</v>
      </c>
      <c r="I19139" s="30" t="n">
        <f aca="false">Sens!I19137-Sens!H19137</f>
        <v>3125.38323388889</v>
      </c>
      <c r="J19139" s="30" t="n">
        <f aca="false">Sens!J19137-Sens!I19137</f>
        <v>1904.82929912222</v>
      </c>
      <c r="K19139" s="30" t="n">
        <f aca="false">Sens!K19137-Sens!J19137</f>
        <v>710.166410990332</v>
      </c>
    </row>
    <row r="19140" customFormat="false" ht="17.15" hidden="false" customHeight="false" outlineLevel="0" collapsed="false">
      <c r="A19140" s="1" t="s">
        <v>963</v>
      </c>
      <c r="B19140" s="0" t="s">
        <v>459</v>
      </c>
      <c r="D19140" s="30" t="n">
        <f aca="false">Sens!D19134-Sens!C19134</f>
        <v>990</v>
      </c>
      <c r="E19140" s="30" t="n">
        <f aca="false">Sens!E19134-Sens!D19134</f>
        <v>1620</v>
      </c>
      <c r="F19140" s="30" t="n">
        <f aca="false">Sens!F19134-Sens!E19134</f>
        <v>2645.0669</v>
      </c>
      <c r="G19140" s="30" t="n">
        <f aca="false">Sens!G19134-Sens!F19134</f>
        <v>2645.0669</v>
      </c>
      <c r="H19140" s="30" t="n">
        <f aca="false">Sens!H19134-Sens!G19134</f>
        <v>2645.0669</v>
      </c>
      <c r="I19140" s="30" t="n">
        <f aca="false">Sens!I19134-Sens!H19134</f>
        <v>1875.22994033333</v>
      </c>
      <c r="J19140" s="30" t="n">
        <f aca="false">Sens!J19134-Sens!I19134</f>
        <v>1142.89757947333</v>
      </c>
      <c r="K19140" s="30" t="n">
        <f aca="false">Sens!K19134-Sens!J19134</f>
        <v>426.099846594199</v>
      </c>
    </row>
    <row r="19141" customFormat="false" ht="17.15" hidden="false" customHeight="false" outlineLevel="0" collapsed="false">
      <c r="A19141" s="1" t="s">
        <v>964</v>
      </c>
      <c r="B19141" s="0" t="s">
        <v>459</v>
      </c>
      <c r="F19141" s="30" t="n">
        <f aca="false">Sens!F19160*ext_sh</f>
        <v>0</v>
      </c>
      <c r="G19141" s="30" t="n">
        <f aca="false">Sens!G19160*ext_sh</f>
        <v>0</v>
      </c>
      <c r="H19141" s="30" t="n">
        <f aca="false">Sens!H19160*ext_sh</f>
        <v>0</v>
      </c>
      <c r="I19141" s="30" t="n">
        <f aca="false">Sens!I19160*ext_sh</f>
        <v>490</v>
      </c>
      <c r="J19141" s="30" t="n">
        <f aca="false">Sens!J19160*ext_sh</f>
        <v>740</v>
      </c>
      <c r="K19141" s="30" t="n">
        <f aca="false">Sens!K19160*ext_sh</f>
        <v>1470</v>
      </c>
      <c r="L19141" s="1" t="s">
        <v>965</v>
      </c>
    </row>
    <row r="19142" customFormat="false" ht="17.15" hidden="false" customHeight="false" outlineLevel="0" collapsed="false">
      <c r="A19142" s="1" t="s">
        <v>966</v>
      </c>
      <c r="B19142" s="0" t="s">
        <v>459</v>
      </c>
      <c r="C19142" s="30" t="n">
        <f aca="false">mix_h*Sens!C19134</f>
        <v>128</v>
      </c>
      <c r="D19142" s="30" t="n">
        <f aca="false">mix_h*Sens!D19134</f>
        <v>326</v>
      </c>
      <c r="E19142" s="30" t="n">
        <f aca="false">mix_h*Sens!E19134</f>
        <v>650</v>
      </c>
      <c r="F19142" s="30" t="n">
        <f aca="false">Sens!E19142-Sens!F19141*mix_h</f>
        <v>650</v>
      </c>
      <c r="G19142" s="30" t="n">
        <f aca="false">Sens!F19142-Sens!G19141*mix_h</f>
        <v>650</v>
      </c>
      <c r="H19142" s="30" t="n">
        <f aca="false">Sens!G19142-Sens!H19141*mix_h</f>
        <v>650</v>
      </c>
      <c r="I19142" s="30" t="n">
        <f aca="false">Sens!H19142-Sens!I19141*mix_h</f>
        <v>552</v>
      </c>
      <c r="J19142" s="30" t="n">
        <f aca="false">Sens!I19142-Sens!J19141*mix_h</f>
        <v>404</v>
      </c>
      <c r="K19142" s="30" t="n">
        <f aca="false">Sens!J19142-Sens!K19141*mix_h</f>
        <v>110</v>
      </c>
    </row>
    <row r="19143" customFormat="false" ht="17.15" hidden="false" customHeight="false" outlineLevel="0" collapsed="false">
      <c r="A19143" s="1" t="s">
        <v>967</v>
      </c>
      <c r="B19143" s="0" t="s">
        <v>459</v>
      </c>
      <c r="C19143" s="30" t="n">
        <f aca="false">mix_g2*Sens!C19134</f>
        <v>288</v>
      </c>
      <c r="D19143" s="30" t="n">
        <f aca="false">mix_g2*Sens!D19134</f>
        <v>733.5</v>
      </c>
      <c r="E19143" s="30" t="n">
        <f aca="false">mix_g2*Sens!E19134</f>
        <v>1462.5</v>
      </c>
      <c r="F19143" s="30" t="n">
        <f aca="false">Sens!E19143-Sens!F19141*mix_g2</f>
        <v>1462.5</v>
      </c>
      <c r="G19143" s="30" t="n">
        <f aca="false">Sens!F19143-Sens!G19141*mix_g2</f>
        <v>1462.5</v>
      </c>
      <c r="H19143" s="30" t="n">
        <f aca="false">Sens!G19143-Sens!H19141*mix_g2</f>
        <v>1462.5</v>
      </c>
      <c r="I19143" s="30" t="n">
        <f aca="false">Sens!H19143-Sens!I19141*mix_g2</f>
        <v>1242</v>
      </c>
      <c r="J19143" s="30" t="n">
        <f aca="false">Sens!I19143-Sens!J19141*mix_g2</f>
        <v>909</v>
      </c>
      <c r="K19143" s="30" t="n">
        <f aca="false">Sens!J19143-Sens!K19141*mix_g2</f>
        <v>247.5</v>
      </c>
    </row>
    <row r="19144" customFormat="false" ht="17.15" hidden="false" customHeight="false" outlineLevel="0" collapsed="false">
      <c r="A19144" s="1" t="s">
        <v>968</v>
      </c>
      <c r="B19144" s="0" t="s">
        <v>459</v>
      </c>
      <c r="C19144" s="30" t="n">
        <f aca="false">mix_g3*Sens!C19134</f>
        <v>224</v>
      </c>
      <c r="D19144" s="30" t="n">
        <f aca="false">mix_g3*Sens!D19134</f>
        <v>570.5</v>
      </c>
      <c r="E19144" s="30" t="n">
        <f aca="false">mix_g3*Sens!E19134</f>
        <v>1137.5</v>
      </c>
      <c r="F19144" s="30" t="n">
        <f aca="false">Sens!E19144+(Sens!F19140+Sens!F19141)*(a_g3_27-0*a_mai)-Sens!F19141*mix_g3</f>
        <v>2989.04683</v>
      </c>
      <c r="G19144" s="30" t="n">
        <f aca="false">Sens!F19144+(Sens!G19140+Sens!G19141)*(a_g3_28-0*a_mai)-Sens!G19141*mix_g3</f>
        <v>3782.5669</v>
      </c>
      <c r="H19144" s="30" t="n">
        <f aca="false">Sens!G19144+(Sens!H19140+Sens!H19141)*(a_g3_29-0*a_mai)-Sens!H19141*mix_g3</f>
        <v>4047.07359</v>
      </c>
      <c r="I19144" s="30" t="n">
        <f aca="false">Sens!H19144+(Sens!I19140+Sens!I19141)*(a_g3_29-0*a_mai)-Sens!I19141*mix_g3</f>
        <v>4112.09658403333</v>
      </c>
      <c r="J19144" s="30" t="n">
        <f aca="false">Sens!I19144+(Sens!J19140+Sens!J19141)*(a_g3_29-0*a_mai)-Sens!J19141*mix_g3</f>
        <v>4041.38634198067</v>
      </c>
      <c r="K19144" s="30" t="n">
        <f aca="false">Sens!J19144+(Sens!K19140+Sens!K19141)*(a_g3_29-0*a_mai)-Sens!K19141*mix_g3</f>
        <v>3716.49632664009</v>
      </c>
    </row>
    <row r="19145" customFormat="false" ht="17.15" hidden="false" customHeight="false" outlineLevel="0" collapsed="false">
      <c r="A19145" s="1" t="s">
        <v>969</v>
      </c>
      <c r="B19145" s="0" t="s">
        <v>459</v>
      </c>
      <c r="C19145" s="30" t="n">
        <v>0</v>
      </c>
      <c r="D19145" s="30" t="n">
        <v>0</v>
      </c>
      <c r="E19145" s="30" t="n">
        <v>0</v>
      </c>
      <c r="F19145" s="30" t="n">
        <f aca="false">Sens!E19145+(Sens!F19140+Sens!F19141)*0*a_mai</f>
        <v>0</v>
      </c>
      <c r="G19145" s="30" t="n">
        <f aca="false">Sens!F19145+(Sens!G19140+Sens!G19141)*0*a_mai</f>
        <v>0</v>
      </c>
      <c r="H19145" s="30" t="n">
        <f aca="false">Sens!G19145+(Sens!H19140+Sens!H19141)*0*a_mai</f>
        <v>0</v>
      </c>
      <c r="I19145" s="30" t="n">
        <f aca="false">Sens!H19145+(Sens!I19140+Sens!I19141)*0*a_mai</f>
        <v>0</v>
      </c>
      <c r="J19145" s="30" t="n">
        <f aca="false">Sens!I19145+(Sens!J19140+Sens!J19141)*0*a_mai</f>
        <v>0</v>
      </c>
      <c r="K19145" s="30" t="n">
        <f aca="false">Sens!J19145+(Sens!K19140+Sens!K19141)*0*a_mai</f>
        <v>0</v>
      </c>
      <c r="L19145" s="12" t="s">
        <v>970</v>
      </c>
    </row>
    <row r="19146" customFormat="false" ht="17.15" hidden="false" customHeight="false" outlineLevel="0" collapsed="false">
      <c r="A19146" s="1" t="s">
        <v>971</v>
      </c>
      <c r="B19146" s="0" t="s">
        <v>459</v>
      </c>
      <c r="C19146" s="30" t="n">
        <v>0</v>
      </c>
      <c r="D19146" s="30" t="n">
        <v>0</v>
      </c>
      <c r="E19146" s="30" t="n">
        <v>0</v>
      </c>
      <c r="F19146" s="30" t="n">
        <f aca="false">Sens!E19146+(Sens!F19140+Sens!F19141)*(1-a_g3_27)</f>
        <v>793.52007</v>
      </c>
      <c r="G19146" s="30" t="n">
        <f aca="false">Sens!F19146+(Sens!G19140+Sens!G19141)*(1-a_g3_28)</f>
        <v>2645.0669</v>
      </c>
      <c r="H19146" s="30" t="n">
        <f aca="false">Sens!G19146+(Sens!H19140+Sens!H19141)*(1-a_g3_29)</f>
        <v>5025.62711</v>
      </c>
      <c r="I19146" s="30" t="n">
        <f aca="false">Sens!H19146+(Sens!I19140+Sens!I19141)*(1-a_g3_29)</f>
        <v>7154.3340563</v>
      </c>
      <c r="J19146" s="30" t="n">
        <f aca="false">Sens!I19146+(Sens!J19140+Sens!J19141)*(1-a_g3_29)</f>
        <v>8848.941877826</v>
      </c>
      <c r="K19146" s="30" t="n">
        <f aca="false">Sens!J19146+(Sens!K19140+Sens!K19141)*(1-a_g3_29)</f>
        <v>10555.4317397608</v>
      </c>
    </row>
    <row r="19147" customFormat="false" ht="17.15" hidden="false" customHeight="false" outlineLevel="0" collapsed="false">
      <c r="A19147" s="1" t="s">
        <v>972</v>
      </c>
      <c r="B19147" s="0" t="s">
        <v>403</v>
      </c>
      <c r="C19147" s="15" t="n">
        <f aca="false">(Sens!C19142*tk_hold_h100+Sens!C19143*tk_hold_gb200+Sens!C19144*tk_hold_gb300+Sens!C19146*tk_hold_vr200+Sens!C19145*nv_hold_mai*tk_hold_vr200)/Sens!C19134</f>
        <v>9.7235358126469</v>
      </c>
      <c r="D19147" s="15" t="n">
        <f aca="false">(Sens!D19142*tk_hold_h100+Sens!D19143*tk_hold_gb200+Sens!D19144*tk_hold_gb300+Sens!D19146*tk_hold_vr200+Sens!D19145*nv_hold_mai*tk_hold_vr200)/Sens!D19134</f>
        <v>9.7235358126469</v>
      </c>
      <c r="E19147" s="15" t="n">
        <f aca="false">(Sens!E19142*tk_hold_h100+Sens!E19143*tk_hold_gb200+Sens!E19144*tk_hold_gb300+Sens!E19146*tk_hold_vr200+Sens!E19145*nv_hold_mai*tk_hold_vr200)/Sens!E19134</f>
        <v>9.7235358126469</v>
      </c>
      <c r="F19147" s="15" t="n">
        <f aca="false">(Sens!F19142*tk_hold_h100+Sens!F19143*tk_hold_gb200+Sens!F19144*tk_hold_gb300+Sens!F19146*tk_hold_vr200+Sens!F19145*nv_hold_mai*tk_hold_vr200)/Sens!F19134</f>
        <v>10.4255556081097</v>
      </c>
      <c r="G19147" s="15" t="n">
        <f aca="false">(Sens!G19142*tk_hold_h100+Sens!G19143*tk_hold_gb200+Sens!G19144*tk_hold_gb300+Sens!G19146*tk_hold_vr200+Sens!G19145*nv_hold_mai*tk_hold_vr200)/Sens!G19134</f>
        <v>10.8586080330164</v>
      </c>
      <c r="H19147" s="15" t="n">
        <f aca="false">(Sens!H19142*tk_hold_h100+Sens!H19143*tk_hold_gb200+Sens!H19144*tk_hold_gb300+Sens!H19146*tk_hold_vr200+Sens!H19145*nv_hold_mai*tk_hold_vr200)/Sens!H19134</f>
        <v>11.1501766656618</v>
      </c>
      <c r="I19147" s="15" t="n">
        <f aca="false">(Sens!I19142*tk_hold_h100+Sens!I19143*tk_hold_gb200+Sens!I19144*tk_hold_gb300+Sens!I19146*tk_hold_vr200+Sens!I19145*nv_hold_mai*tk_hold_vr200)/Sens!I19134</f>
        <v>11.3741856576055</v>
      </c>
      <c r="J19147" s="15" t="n">
        <f aca="false">(Sens!J19142*tk_hold_h100+Sens!J19143*tk_hold_gb200+Sens!J19144*tk_hold_gb300+Sens!J19146*tk_hold_vr200+Sens!J19145*nv_hold_mai*tk_hold_vr200)/Sens!J19134</f>
        <v>11.5552863602709</v>
      </c>
      <c r="K19147" s="15" t="n">
        <f aca="false">(Sens!K19142*tk_hold_h100+Sens!K19143*tk_hold_gb200+Sens!K19144*tk_hold_gb300+Sens!K19146*tk_hold_vr200+Sens!K19145*nv_hold_mai*tk_hold_vr200)/Sens!K19134</f>
        <v>11.8088513761358</v>
      </c>
      <c r="L19147" s="1" t="s">
        <v>973</v>
      </c>
    </row>
    <row r="19148" customFormat="false" ht="17.15" hidden="false" customHeight="false" outlineLevel="0" collapsed="false">
      <c r="A19148" s="1" t="s">
        <v>974</v>
      </c>
      <c r="B19148" s="0" t="s">
        <v>403</v>
      </c>
      <c r="C19148" s="15" t="n">
        <f aca="false">(Sens!C19142*tk_hold_h100+Sens!C19143*tk_hold_gb200+Sens!C19144*tk_hold_gb300+Sens!C19146*tk_hold_vr200+Sens!C19145*nv_out_mai*tk_hold_vr200)/Sens!C19134</f>
        <v>9.7235358126469</v>
      </c>
      <c r="D19148" s="15" t="n">
        <f aca="false">(Sens!D19142*tk_hold_h100+Sens!D19143*tk_hold_gb200+Sens!D19144*tk_hold_gb300+Sens!D19146*tk_hold_vr200+Sens!D19145*nv_out_mai*tk_hold_vr200)/Sens!D19134</f>
        <v>9.7235358126469</v>
      </c>
      <c r="E19148" s="15" t="n">
        <f aca="false">(Sens!E19142*tk_hold_h100+Sens!E19143*tk_hold_gb200+Sens!E19144*tk_hold_gb300+Sens!E19146*tk_hold_vr200+Sens!E19145*nv_out_mai*tk_hold_vr200)/Sens!E19134</f>
        <v>9.7235358126469</v>
      </c>
      <c r="F19148" s="15" t="n">
        <f aca="false">(Sens!F19142*tk_hold_h100+Sens!F19143*tk_hold_gb200+Sens!F19144*tk_hold_gb300+Sens!F19146*tk_hold_vr200+Sens!F19145*nv_out_mai*tk_hold_vr200)/Sens!F19134</f>
        <v>10.4255556081097</v>
      </c>
      <c r="G19148" s="15" t="n">
        <f aca="false">(Sens!G19142*tk_hold_h100+Sens!G19143*tk_hold_gb200+Sens!G19144*tk_hold_gb300+Sens!G19146*tk_hold_vr200+Sens!G19145*nv_out_mai*tk_hold_vr200)/Sens!G19134</f>
        <v>10.8586080330164</v>
      </c>
      <c r="H19148" s="15" t="n">
        <f aca="false">(Sens!H19142*tk_hold_h100+Sens!H19143*tk_hold_gb200+Sens!H19144*tk_hold_gb300+Sens!H19146*tk_hold_vr200+Sens!H19145*nv_out_mai*tk_hold_vr200)/Sens!H19134</f>
        <v>11.1501766656618</v>
      </c>
      <c r="I19148" s="15" t="n">
        <f aca="false">(Sens!I19142*tk_hold_h100+Sens!I19143*tk_hold_gb200+Sens!I19144*tk_hold_gb300+Sens!I19146*tk_hold_vr200+Sens!I19145*nv_out_mai*tk_hold_vr200)/Sens!I19134</f>
        <v>11.3741856576055</v>
      </c>
      <c r="J19148" s="15" t="n">
        <f aca="false">(Sens!J19142*tk_hold_h100+Sens!J19143*tk_hold_gb200+Sens!J19144*tk_hold_gb300+Sens!J19146*tk_hold_vr200+Sens!J19145*nv_out_mai*tk_hold_vr200)/Sens!J19134</f>
        <v>11.5552863602709</v>
      </c>
      <c r="K19148" s="15" t="n">
        <f aca="false">(Sens!K19142*tk_hold_h100+Sens!K19143*tk_hold_gb200+Sens!K19144*tk_hold_gb300+Sens!K19146*tk_hold_vr200+Sens!K19145*nv_out_mai*tk_hold_vr200)/Sens!K19134</f>
        <v>11.8088513761358</v>
      </c>
      <c r="L19148" s="12" t="s">
        <v>975</v>
      </c>
    </row>
    <row r="19149" customFormat="false" ht="17.15" hidden="false" customHeight="false" outlineLevel="0" collapsed="false">
      <c r="A19149" s="0" t="s">
        <v>976</v>
      </c>
      <c r="B19149" s="0" t="s">
        <v>229</v>
      </c>
      <c r="C19149" s="15" t="n">
        <f aca="false">k_B</f>
        <v>1.17213932619116</v>
      </c>
      <c r="D19149" s="15" t="n">
        <f aca="false">k_B</f>
        <v>1.17213932619116</v>
      </c>
      <c r="E19149" s="15" t="n">
        <f aca="false">k_B</f>
        <v>1.17213932619116</v>
      </c>
      <c r="F19149" s="15" t="n">
        <f aca="false">(k_B+((ls_B*k_long+(1-ls_B)*k_spot)-k_B)*MIN(1,(Sens!F19132-base_fy)/k_ramp))</f>
        <v>1.17213932619116</v>
      </c>
      <c r="G19149" s="15" t="n">
        <f aca="false">(k_B+((ls_B*k_long+(1-ls_B)*k_spot)-k_B)*MIN(1,(Sens!G19132-base_fy)/k_ramp))</f>
        <v>1.17213932619116</v>
      </c>
      <c r="H19149" s="15" t="n">
        <f aca="false">(k_B+((ls_B*k_long+(1-ls_B)*k_spot)-k_B)*MIN(1,(Sens!H19132-base_fy)/k_ramp))</f>
        <v>1.17213932619116</v>
      </c>
      <c r="I19149" s="15" t="n">
        <f aca="false">(k_B+((ls_B*k_long+(1-ls_B)*k_spot)-k_B)*MIN(1,(Sens!I19132-base_fy)/k_ramp))</f>
        <v>1.17213932619116</v>
      </c>
      <c r="J19149" s="15" t="n">
        <f aca="false">(k_B+((ls_B*k_long+(1-ls_B)*k_spot)-k_B)*MIN(1,(Sens!J19132-base_fy)/k_ramp))</f>
        <v>1.17213932619116</v>
      </c>
      <c r="K19149" s="15" t="n">
        <f aca="false">(k_B+((ls_B*k_long+(1-ls_B)*k_spot)-k_B)*MIN(1,(Sens!K19132-base_fy)/k_ramp))</f>
        <v>1.17213932619116</v>
      </c>
      <c r="L19149" s="1" t="s">
        <v>977</v>
      </c>
    </row>
    <row r="19150" customFormat="false" ht="17.15" hidden="false" customHeight="false" outlineLevel="0" collapsed="false">
      <c r="A19150" s="1" t="s">
        <v>978</v>
      </c>
      <c r="B19150" s="0" t="s">
        <v>403</v>
      </c>
      <c r="C19150" s="15" t="n">
        <f aca="false">Sens!C19148*Sens!C19149*chip_f</f>
        <v>11.3973387156315</v>
      </c>
      <c r="D19150" s="15" t="n">
        <f aca="false">Sens!D19148*Sens!D19149*chip_f</f>
        <v>11.3973387156315</v>
      </c>
      <c r="E19150" s="15" t="n">
        <f aca="false">Sens!E19148*Sens!E19149*chip_f</f>
        <v>11.3973387156315</v>
      </c>
      <c r="F19150" s="15" t="n">
        <f aca="false">Sens!F19148*Sens!F19149*chip_f</f>
        <v>12.2202037256582</v>
      </c>
      <c r="G19150" s="15" t="n">
        <f aca="false">Sens!G19148*Sens!G19149*chip_f</f>
        <v>12.7278015031937</v>
      </c>
      <c r="H19150" s="15" t="n">
        <f aca="false">Sens!H19148*Sens!H19149*chip_f</f>
        <v>13.0695605638012</v>
      </c>
      <c r="I19150" s="15" t="n">
        <f aca="false">Sens!I19148*Sens!I19149*chip_f</f>
        <v>13.3321303126788</v>
      </c>
      <c r="J19150" s="15" t="n">
        <f aca="false">Sens!J19148*Sens!J19149*chip_f</f>
        <v>13.5444055682738</v>
      </c>
      <c r="K19150" s="15" t="n">
        <f aca="false">Sens!K19148*Sens!K19149*chip_f</f>
        <v>13.8416190951154</v>
      </c>
      <c r="L19150" s="1" t="s">
        <v>979</v>
      </c>
    </row>
    <row r="19151" customFormat="false" ht="17.15" hidden="false" customHeight="false" outlineLevel="0" collapsed="false">
      <c r="A19151" s="0" t="s">
        <v>980</v>
      </c>
      <c r="B19151" s="0" t="s">
        <v>98</v>
      </c>
      <c r="D19151" s="6" t="n">
        <f aca="false">(Sens!C19134+Sens!D19134)/2*Sens!D19150/1000</f>
        <v>12.9359794422418</v>
      </c>
      <c r="E19151" s="6" t="n">
        <f aca="false">(Sens!D19134+Sens!E19134)/2*Sens!E19150/1000</f>
        <v>27.8095064661409</v>
      </c>
      <c r="F19151" s="6" t="n">
        <f aca="false">(Sens!E19134+Sens!F19134)/2*Sens!F19150/1000</f>
        <v>55.8772903013865</v>
      </c>
      <c r="G19151" s="6" t="n">
        <f aca="false">(Sens!F19134+Sens!G19134)/2*Sens!G19150/1000</f>
        <v>91.8641845841814</v>
      </c>
      <c r="H19151" s="6" t="n">
        <f aca="false">(Sens!G19134+Sens!H19134)/2*Sens!H19150/1000</f>
        <v>128.900726944493</v>
      </c>
      <c r="I19151" s="6" t="n">
        <f aca="false">(Sens!H19134+Sens!I19134)/2*Sens!I19150/1000</f>
        <v>161.622958271247</v>
      </c>
      <c r="J19151" s="6" t="n">
        <f aca="false">(Sens!I19134+Sens!J19134)/2*Sens!J19150/1000</f>
        <v>184.635703658677</v>
      </c>
      <c r="K19151" s="6" t="n">
        <f aca="false">(Sens!J19134+Sens!K19134)/2*Sens!K19150/1000</f>
        <v>199.546014987989</v>
      </c>
      <c r="L19151" s="12" t="s">
        <v>981</v>
      </c>
    </row>
    <row r="19152" customFormat="false" ht="17.15" hidden="false" customHeight="false" outlineLevel="0" collapsed="false">
      <c r="A19152" s="1" t="s">
        <v>982</v>
      </c>
      <c r="B19152" s="0" t="s">
        <v>403</v>
      </c>
      <c r="C19152" s="15" t="n">
        <f aca="false">(Sens!C19142*tk_opex_h100+Sens!C19143*tk_opex_gb200+Sens!C19144*tk_opex_gb300+(Sens!C19146+Sens!C19145)*tk_opex_vr200)/Sens!C19134</f>
        <v>1.88636041306092</v>
      </c>
      <c r="D19152" s="15" t="n">
        <f aca="false">(Sens!D19142*tk_opex_h100+Sens!D19143*tk_opex_gb200+Sens!D19144*tk_opex_gb300+(Sens!D19146+Sens!D19145)*tk_opex_vr200)/Sens!D19134</f>
        <v>1.88636041306092</v>
      </c>
      <c r="E19152" s="15" t="n">
        <f aca="false">(Sens!E19142*tk_opex_h100+Sens!E19143*tk_opex_gb200+Sens!E19144*tk_opex_gb300+(Sens!E19146+Sens!E19145)*tk_opex_vr200)/Sens!E19134</f>
        <v>1.88636041306092</v>
      </c>
      <c r="F19152" s="15" t="n">
        <f aca="false">(Sens!F19142*tk_opex_h100+Sens!F19143*tk_opex_gb200+Sens!F19144*tk_opex_gb300+(Sens!F19146+Sens!F19145)*tk_opex_vr200)/Sens!F19134</f>
        <v>1.94448060967998</v>
      </c>
      <c r="G19152" s="15" t="n">
        <f aca="false">(Sens!G19142*tk_opex_h100+Sens!G19143*tk_opex_gb200+Sens!G19144*tk_opex_gb300+(Sens!G19146+Sens!G19145)*tk_opex_vr200)/Sens!G19134</f>
        <v>1.98033300621439</v>
      </c>
      <c r="H19152" s="15" t="n">
        <f aca="false">(Sens!H19142*tk_opex_h100+Sens!H19143*tk_opex_gb200+Sens!H19144*tk_opex_gb300+(Sens!H19146+Sens!H19145)*tk_opex_vr200)/Sens!H19134</f>
        <v>2.00447196407118</v>
      </c>
      <c r="I19152" s="15" t="n">
        <f aca="false">(Sens!I19142*tk_opex_h100+Sens!I19143*tk_opex_gb200+Sens!I19144*tk_opex_gb300+(Sens!I19146+Sens!I19145)*tk_opex_vr200)/Sens!I19134</f>
        <v>2.02301766141526</v>
      </c>
      <c r="J19152" s="15" t="n">
        <f aca="false">(Sens!J19142*tk_opex_h100+Sens!J19143*tk_opex_gb200+Sens!J19144*tk_opex_gb300+(Sens!J19146+Sens!J19145)*tk_opex_vr200)/Sens!J19134</f>
        <v>2.03801098284977</v>
      </c>
      <c r="K19152" s="15" t="n">
        <f aca="false">(Sens!K19142*tk_opex_h100+Sens!K19143*tk_opex_gb200+Sens!K19144*tk_opex_gb300+(Sens!K19146+Sens!K19145)*tk_opex_vr200)/Sens!K19134</f>
        <v>2.05900362247765</v>
      </c>
      <c r="L19152" s="12" t="s">
        <v>983</v>
      </c>
    </row>
    <row r="19153" customFormat="false" ht="17.15" hidden="false" customHeight="false" outlineLevel="0" collapsed="false">
      <c r="A19153" s="0" t="s">
        <v>984</v>
      </c>
      <c r="B19153" s="0" t="s">
        <v>98</v>
      </c>
      <c r="D19153" s="6" t="n">
        <f aca="false">(Sens!C19137+Sens!D19137)/2*Sens!D19152/1000</f>
        <v>2.70378325872065</v>
      </c>
      <c r="E19153" s="6" t="n">
        <f aca="false">(Sens!D19137+Sens!E19137)/2*Sens!E19152/1000</f>
        <v>6.17783035277451</v>
      </c>
      <c r="F19153" s="6" t="n">
        <f aca="false">(Sens!E19137+Sens!F19137)/2*Sens!F19152/1000</f>
        <v>12.7024279875285</v>
      </c>
      <c r="G19153" s="6" t="n">
        <f aca="false">(Sens!F19137+Sens!G19137)/2*Sens!G19152/1000</f>
        <v>21.3268674101191</v>
      </c>
      <c r="H19153" s="6" t="n">
        <f aca="false">(Sens!G19137+Sens!H19137)/2*Sens!H19152/1000</f>
        <v>30.4234319812503</v>
      </c>
      <c r="I19153" s="6" t="n">
        <f aca="false">(Sens!H19137+Sens!I19137)/2*Sens!I19152/1000</f>
        <v>38.3254480913315</v>
      </c>
      <c r="J19153" s="6" t="n">
        <f aca="false">(Sens!I19137+Sens!J19137)/2*Sens!J19152/1000</f>
        <v>43.7353061538868</v>
      </c>
      <c r="K19153" s="6" t="n">
        <f aca="false">(Sens!J19137+Sens!K19137)/2*Sens!K19152/1000</f>
        <v>46.8779468017752</v>
      </c>
    </row>
    <row r="19154" customFormat="false" ht="17.15" hidden="false" customHeight="false" outlineLevel="0" collapsed="false">
      <c r="A19154" s="0" t="s">
        <v>985</v>
      </c>
      <c r="B19154" s="0" t="s">
        <v>98</v>
      </c>
      <c r="D19154" s="6" t="n">
        <f aca="false">(Sens!C19135+Sens!D19135)/2*rent_mw/1000</f>
        <v>2.44475</v>
      </c>
      <c r="E19154" s="6" t="n">
        <f aca="false">(Sens!D19135+Sens!E19135)/2*rent_mw/1000</f>
        <v>4.22275</v>
      </c>
      <c r="F19154" s="6" t="n">
        <f aca="false">(Sens!E19135+Sens!F19135)/2*rent_mw/1000</f>
        <v>5.80517</v>
      </c>
      <c r="G19154" s="6" t="n">
        <f aca="false">(Sens!F19135+Sens!G19135)/2*rent_mw/1000</f>
        <v>6.72084</v>
      </c>
      <c r="H19154" s="6" t="n">
        <f aca="false">(Sens!G19135+Sens!H19135)/2*rent_mw/1000</f>
        <v>6.72084</v>
      </c>
      <c r="I19154" s="6" t="n">
        <f aca="false">(Sens!H19135+Sens!I19135)/2*rent_mw/1000</f>
        <v>6.72084</v>
      </c>
      <c r="J19154" s="6" t="n">
        <f aca="false">(Sens!I19135+Sens!J19135)/2*rent_mw/1000</f>
        <v>6.72084</v>
      </c>
      <c r="K19154" s="6" t="n">
        <f aca="false">(Sens!J19135+Sens!K19135)/2*rent_mw/1000</f>
        <v>6.72084</v>
      </c>
    </row>
    <row r="19155" customFormat="false" ht="17.15" hidden="false" customHeight="false" outlineLevel="0" collapsed="false">
      <c r="A19155" s="0" t="s">
        <v>986</v>
      </c>
      <c r="B19155" s="0" t="s">
        <v>98</v>
      </c>
      <c r="D19155" s="6" t="n">
        <f aca="false">(Sens!C19137+Sens!D19137)/2*(1-self_build)*fac_rent/1000</f>
        <v>0.853242375631075</v>
      </c>
      <c r="E19155" s="6" t="n">
        <f aca="false">(Sens!D19137+Sens!E19137)/2*(1-self_build)*fac_rent/1000</f>
        <v>1.94955961408728</v>
      </c>
      <c r="F19155" s="6" t="n">
        <f aca="false">(Sens!E19137+Sens!F19137)/2*(1-self_build)*fac_rent/1000</f>
        <v>3.88873492121333</v>
      </c>
      <c r="G19155" s="6" t="n">
        <f aca="false">(Sens!F19137+Sens!G19137)/2*(1-self_build)*fac_rent/1000</f>
        <v>6.41082701513092</v>
      </c>
      <c r="H19155" s="6" t="n">
        <f aca="false">(Sens!G19137+Sens!H19137)/2*(1-self_build)*fac_rent/1000</f>
        <v>9.03510976566478</v>
      </c>
      <c r="I19155" s="6" t="n">
        <f aca="false">(Sens!H19137+Sens!I19137)/2*(1-self_build)*fac_rent/1000</f>
        <v>11.2774986113646</v>
      </c>
      <c r="J19155" s="6" t="n">
        <f aca="false">(Sens!I19137+Sens!J19137)/2*(1-self_build)*fac_rent/1000</f>
        <v>12.7747045968049</v>
      </c>
      <c r="K19155" s="6" t="n">
        <f aca="false">(Sens!J19137+Sens!K19137)/2*(1-self_build)*fac_rent/1000</f>
        <v>13.5530389521403</v>
      </c>
      <c r="L19155" s="12" t="s">
        <v>987</v>
      </c>
    </row>
    <row r="19156" customFormat="false" ht="17.15" hidden="false" customHeight="false" outlineLevel="0" collapsed="false">
      <c r="A19156" s="1" t="s">
        <v>988</v>
      </c>
      <c r="B19156" s="0" t="s">
        <v>168</v>
      </c>
      <c r="D19156" s="7" t="n">
        <f aca="false">(Sens!C19136+Sens!D19136)/(Sens!C19137+Sens!D19137)</f>
        <v>0.6</v>
      </c>
      <c r="E19156" s="7" t="n">
        <f aca="false">(Sens!D19136+Sens!E19136)/(Sens!D19137+Sens!E19137)</f>
        <v>0.6</v>
      </c>
      <c r="F19156" s="7" t="n">
        <f aca="false">(Sens!E19136+Sens!F19136)/(Sens!E19137+Sens!F19137)</f>
        <v>0.6</v>
      </c>
      <c r="G19156" s="7" t="n">
        <f aca="false">(Sens!F19136+Sens!G19136)/(Sens!F19137+Sens!G19137)</f>
        <v>0.6</v>
      </c>
      <c r="H19156" s="7" t="n">
        <f aca="false">(Sens!G19136+Sens!H19136)/(Sens!G19137+Sens!H19137)</f>
        <v>0.6</v>
      </c>
      <c r="I19156" s="7" t="n">
        <f aca="false">(Sens!H19136+Sens!I19136)/(Sens!H19137+Sens!I19137)</f>
        <v>0.6</v>
      </c>
      <c r="J19156" s="7" t="n">
        <f aca="false">(Sens!I19136+Sens!J19136)/(Sens!I19137+Sens!J19137)</f>
        <v>0.6</v>
      </c>
      <c r="K19156" s="7" t="n">
        <f aca="false">(Sens!J19136+Sens!K19136)/(Sens!J19137+Sens!K19137)</f>
        <v>0.6</v>
      </c>
    </row>
    <row r="19157" customFormat="false" ht="17.15" hidden="false" customHeight="false" outlineLevel="0" collapsed="false">
      <c r="A19157" s="0" t="s">
        <v>989</v>
      </c>
      <c r="B19157" s="0" t="s">
        <v>98</v>
      </c>
      <c r="D19157" s="6" t="n">
        <f aca="false">Sens!D19151-Sens!D19156*(Sens!D19153+Sens!D19155)-Sens!D19154</f>
        <v>8.35701406163072</v>
      </c>
      <c r="E19157" s="6" t="n">
        <f aca="false">Sens!E19151-Sens!E19156*(Sens!E19153+Sens!E19155)-Sens!E19154</f>
        <v>18.7103224860238</v>
      </c>
      <c r="F19157" s="6" t="n">
        <f aca="false">Sens!F19151-Sens!F19156*(Sens!F19153+Sens!F19155)-Sens!F19154</f>
        <v>40.1174225561415</v>
      </c>
      <c r="G19157" s="6" t="n">
        <f aca="false">Sens!G19151-Sens!G19156*(Sens!G19153+Sens!G19155)-Sens!G19154</f>
        <v>68.5007279290313</v>
      </c>
      <c r="H19157" s="6" t="n">
        <f aca="false">Sens!H19151-Sens!H19156*(Sens!H19153+Sens!H19155)-Sens!H19154</f>
        <v>98.5047618963444</v>
      </c>
      <c r="I19157" s="6" t="n">
        <f aca="false">Sens!I19151-Sens!I19156*(Sens!I19153+Sens!I19155)-Sens!I19154</f>
        <v>125.140350249629</v>
      </c>
      <c r="J19157" s="6" t="n">
        <f aca="false">Sens!J19151-Sens!J19156*(Sens!J19153+Sens!J19155)-Sens!J19154</f>
        <v>144.008857208262</v>
      </c>
      <c r="K19157" s="6" t="n">
        <f aca="false">Sens!K19151-Sens!K19156*(Sens!K19153+Sens!K19155)-Sens!K19154</f>
        <v>156.566583535639</v>
      </c>
    </row>
    <row r="19158" customFormat="false" ht="17.15" hidden="false" customHeight="false" outlineLevel="0" collapsed="false">
      <c r="A19158" s="1" t="s">
        <v>990</v>
      </c>
      <c r="B19158" s="0" t="s">
        <v>98</v>
      </c>
      <c r="D19158" s="6" t="n">
        <f aca="false">(1-Sens!D19156)*(Sens!D19153+Sens!D19155)</f>
        <v>1.42281025374069</v>
      </c>
      <c r="E19158" s="6" t="n">
        <f aca="false">(1-Sens!E19156)*(Sens!E19153+Sens!E19155)</f>
        <v>3.25095598674472</v>
      </c>
      <c r="F19158" s="6" t="n">
        <f aca="false">(1-Sens!F19156)*(Sens!F19153+Sens!F19155)</f>
        <v>6.63646516349673</v>
      </c>
      <c r="G19158" s="6" t="n">
        <f aca="false">(1-Sens!G19156)*(Sens!G19153+Sens!G19155)</f>
        <v>11.0950777701</v>
      </c>
      <c r="H19158" s="6" t="n">
        <f aca="false">(1-Sens!H19156)*(Sens!H19153+Sens!H19155)</f>
        <v>15.783416698766</v>
      </c>
      <c r="I19158" s="6" t="n">
        <f aca="false">(1-Sens!I19156)*(Sens!I19153+Sens!I19155)</f>
        <v>19.8411786810784</v>
      </c>
      <c r="J19158" s="6" t="n">
        <f aca="false">(1-Sens!J19156)*(Sens!J19153+Sens!J19155)</f>
        <v>22.6040043002767</v>
      </c>
      <c r="K19158" s="6" t="n">
        <f aca="false">(1-Sens!K19156)*(Sens!K19153+Sens!K19155)</f>
        <v>24.1723943015662</v>
      </c>
    </row>
    <row r="19159" customFormat="false" ht="17.15" hidden="false" customHeight="false" outlineLevel="0" collapsed="false">
      <c r="A19159" s="1" t="s">
        <v>991</v>
      </c>
      <c r="B19159" s="0" t="s">
        <v>417</v>
      </c>
      <c r="C19159" s="8" t="n">
        <f aca="false">cxit_open</f>
        <v>27.5918995</v>
      </c>
      <c r="D19159" s="8" t="n">
        <f aca="false">cxit_open</f>
        <v>27.5918995</v>
      </c>
      <c r="E19159" s="8" t="n">
        <f aca="false">cxit_open</f>
        <v>27.5918995</v>
      </c>
      <c r="F19159" s="8" t="n">
        <f aca="false">((a_g3_27-0*a_mai)*tk_cxit_gb300+0*a_mai*nv_hold_mai*tk_cxit_vr200+(1-a_g3_27)*tk_cxit_vr200)</f>
        <v>33.8419624</v>
      </c>
      <c r="G19159" s="8" t="n">
        <f aca="false">((a_g3_28-0*a_mai)*tk_cxit_gb300+0*a_mai*nv_hold_mai*tk_cxit_vr200+(1-a_g3_28)*tk_cxit_vr200)</f>
        <v>35.9816136</v>
      </c>
      <c r="H19159" s="8" t="n">
        <f aca="false">((a_g3_29-0*a_mai)*tk_cxit_gb300+0*a_mai*nv_hold_mai*tk_cxit_vr200+(1-a_g3_29)*tk_cxit_vr200)</f>
        <v>37.0514392</v>
      </c>
      <c r="I19159" s="8" t="n">
        <f aca="false">((a_g3_29-0*a_mai)*tk_cxit_gb300+0*a_mai*nv_hold_mai*tk_cxit_vr200+(1-a_g3_29)*tk_cxit_vr200)</f>
        <v>37.0514392</v>
      </c>
      <c r="J19159" s="8" t="n">
        <f aca="false">((a_g3_29-0*a_mai)*tk_cxit_gb300+0*a_mai*nv_hold_mai*tk_cxit_vr200+(1-a_g3_29)*tk_cxit_vr200)</f>
        <v>37.0514392</v>
      </c>
      <c r="K19159" s="8" t="n">
        <f aca="false">((a_g3_29-0*a_mai)*tk_cxit_gb300+0*a_mai*nv_hold_mai*tk_cxit_vr200+(1-a_g3_29)*tk_cxit_vr200)</f>
        <v>37.0514392</v>
      </c>
      <c r="L19159" s="12" t="s">
        <v>992</v>
      </c>
    </row>
    <row r="19160" customFormat="false" ht="17.15" hidden="false" customHeight="false" outlineLevel="0" collapsed="false">
      <c r="A19160" s="0" t="s">
        <v>993</v>
      </c>
      <c r="B19160" s="0" t="s">
        <v>459</v>
      </c>
      <c r="F19160" s="30" t="n">
        <f aca="false">Sens!C19139*IF(Sens!F19132-Sens!C19132=life_it,1,0)+Sens!D19139*IF(Sens!F19132-Sens!D19132=life_it,1,0)+Sens!E19139*IF(Sens!F19132-Sens!E19132=life_it,1,0)</f>
        <v>0</v>
      </c>
      <c r="G19160" s="30" t="n">
        <f aca="false">Sens!C19139*IF(Sens!G19132-Sens!C19132=life_it,1,0)+Sens!D19139*IF(Sens!G19132-Sens!D19132=life_it,1,0)+Sens!E19139*IF(Sens!G19132-Sens!E19132=life_it,1,0)+Sens!F19139*IF(Sens!G19132-Sens!F19132=life_it,1,0)</f>
        <v>0</v>
      </c>
      <c r="H19160" s="30" t="n">
        <f aca="false">Sens!C19139*IF(Sens!H19132-Sens!C19132=life_it,1,0)+Sens!D19139*IF(Sens!H19132-Sens!D19132=life_it,1,0)+Sens!E19139*IF(Sens!H19132-Sens!E19132=life_it,1,0)+Sens!F19139*IF(Sens!H19132-Sens!F19132=life_it,1,0)+Sens!G19139*IF(Sens!H19132-Sens!G19132=life_it,1,0)</f>
        <v>0</v>
      </c>
      <c r="I19160" s="30" t="n">
        <f aca="false">Sens!C19139*IF(Sens!I19132-Sens!C19132=life_it,1,0)+Sens!D19139*IF(Sens!I19132-Sens!D19132=life_it,1,0)+Sens!E19139*IF(Sens!I19132-Sens!E19132=life_it,1,0)+Sens!F19139*IF(Sens!I19132-Sens!F19132=life_it,1,0)+Sens!G19139*IF(Sens!I19132-Sens!G19132=life_it,1,0)+Sens!H19139*IF(Sens!I19132-Sens!H19132=life_it,1,0)</f>
        <v>816.666666666667</v>
      </c>
      <c r="J19160" s="30" t="n">
        <f aca="false">Sens!C19139*IF(Sens!J19132-Sens!C19132=life_it,1,0)+Sens!D19139*IF(Sens!J19132-Sens!D19132=life_it,1,0)+Sens!E19139*IF(Sens!J19132-Sens!E19132=life_it,1,0)+Sens!F19139*IF(Sens!J19132-Sens!F19132=life_it,1,0)+Sens!G19139*IF(Sens!J19132-Sens!G19132=life_it,1,0)+Sens!H19139*IF(Sens!J19132-Sens!H19132=life_it,1,0)+Sens!I19139*IF(Sens!J19132-Sens!I19132=life_it,1,0)</f>
        <v>1233.33333333333</v>
      </c>
      <c r="K19160" s="30" t="n">
        <f aca="false">Sens!C19139*IF(Sens!K19132-Sens!C19132=life_it,1,0)+Sens!D19139*IF(Sens!K19132-Sens!D19132=life_it,1,0)+Sens!E19139*IF(Sens!K19132-Sens!E19132=life_it,1,0)+Sens!F19139*IF(Sens!K19132-Sens!F19132=life_it,1,0)+Sens!G19139*IF(Sens!K19132-Sens!G19132=life_it,1,0)+Sens!H19139*IF(Sens!K19132-Sens!H19132=life_it,1,0)+Sens!I19139*IF(Sens!K19132-Sens!I19132=life_it,1,0)+Sens!J19139*IF(Sens!K19132-Sens!J19132=life_it,1,0)</f>
        <v>2450</v>
      </c>
      <c r="L19160" s="1" t="s">
        <v>994</v>
      </c>
    </row>
    <row r="19161" customFormat="false" ht="17.15" hidden="false" customHeight="false" outlineLevel="0" collapsed="false">
      <c r="A19161" s="0" t="s">
        <v>995</v>
      </c>
      <c r="B19161" s="0" t="s">
        <v>98</v>
      </c>
      <c r="C19161" s="6" t="n">
        <f aca="false">Sens!C19139*Sens!C19159/1000</f>
        <v>22.5333845916667</v>
      </c>
      <c r="D19161" s="6" t="n">
        <f aca="false">Sens!D19139*Sens!D19159/1000</f>
        <v>34.0300093833333</v>
      </c>
      <c r="E19161" s="6" t="n">
        <f aca="false">Sens!E19139*Sens!E19159/1000</f>
        <v>67.600153775</v>
      </c>
      <c r="F19161" s="6" t="n">
        <f aca="false">(Sens!F19139+Sens!F19160)*Sens!F19159/1000</f>
        <v>137.571350534808</v>
      </c>
      <c r="G19161" s="6" t="n">
        <f aca="false">(Sens!G19139+Sens!G19160)*Sens!G19159/1000</f>
        <v>158.622958569916</v>
      </c>
      <c r="H19161" s="6" t="n">
        <f aca="false">(Sens!H19139+Sens!H19160)*Sens!H19159/1000</f>
        <v>163.339225708804</v>
      </c>
      <c r="I19161" s="6" t="n">
        <f aca="false">(Sens!I19139+Sens!I19160)*Sens!I19159/1000</f>
        <v>146.0586222138</v>
      </c>
      <c r="J19161" s="6" t="n">
        <f aca="false">(Sens!J19139+Sens!J19160)*Sens!J19159/1000</f>
        <v>116.273441976139</v>
      </c>
      <c r="K19161" s="6" t="n">
        <f aca="false">(Sens!K19139+Sens!K19160)*Sens!K19159/1000</f>
        <v>117.088713638691</v>
      </c>
    </row>
    <row r="19162" customFormat="false" ht="17.15" hidden="false" customHeight="false" outlineLevel="0" collapsed="false">
      <c r="A19162" s="0" t="s">
        <v>996</v>
      </c>
      <c r="B19162" s="0" t="s">
        <v>98</v>
      </c>
      <c r="C19162" s="6" t="n">
        <f aca="false">Sens!C19139*self_build*tk_cxfac/1000</f>
        <v>6.2083</v>
      </c>
      <c r="D19162" s="6" t="n">
        <f aca="false">Sens!D19139*self_build*tk_cxfac/1000</f>
        <v>9.3758</v>
      </c>
      <c r="E19162" s="6" t="n">
        <f aca="false">Sens!E19139*self_build*tk_cxfac/1000</f>
        <v>18.6249</v>
      </c>
      <c r="F19162" s="6" t="n">
        <f aca="false">Sens!F19139*self_build*tk_cxfac/1000</f>
        <v>30.902977623</v>
      </c>
      <c r="G19162" s="6" t="n">
        <f aca="false">Sens!G19139*self_build*tk_cxfac/1000</f>
        <v>33.512997623</v>
      </c>
      <c r="H19162" s="6" t="n">
        <f aca="false">Sens!H19139*self_build*tk_cxfac/1000</f>
        <v>33.512997623</v>
      </c>
      <c r="I19162" s="6" t="n">
        <f aca="false">Sens!I19139*self_build*tk_cxfac/1000</f>
        <v>23.7591633440233</v>
      </c>
      <c r="J19162" s="6" t="n">
        <f aca="false">Sens!J19139*self_build*tk_cxfac/1000</f>
        <v>14.4805123319271</v>
      </c>
      <c r="K19162" s="6" t="n">
        <f aca="false">Sens!K19139*self_build*tk_cxfac/1000</f>
        <v>5.39868505634851</v>
      </c>
    </row>
    <row r="19163" customFormat="false" ht="17.15" hidden="false" customHeight="false" outlineLevel="0" collapsed="false">
      <c r="A19163" s="0" t="s">
        <v>997</v>
      </c>
      <c r="B19163" s="0" t="s">
        <v>98</v>
      </c>
      <c r="F19163" s="15" t="n">
        <f aca="false">capex_floor27-Sens!F19161-Sens!F19162-Sens!F19259</f>
        <v>3.68459886601613E-005</v>
      </c>
      <c r="L19163" s="12" t="s">
        <v>998</v>
      </c>
    </row>
    <row r="19164" customFormat="false" ht="17.15" hidden="false" customHeight="false" outlineLevel="0" collapsed="false">
      <c r="A19164" s="0" t="s">
        <v>999</v>
      </c>
      <c r="B19164" s="0" t="s">
        <v>98</v>
      </c>
      <c r="F19164" s="6" t="n">
        <f aca="false">MAX(0,Sens!F19163)</f>
        <v>3.68459886601613E-005</v>
      </c>
    </row>
    <row r="19165" customFormat="false" ht="17.15" hidden="false" customHeight="false" outlineLevel="0" collapsed="false">
      <c r="A19165" s="0" t="s">
        <v>1000</v>
      </c>
      <c r="B19165" s="0" t="s">
        <v>98</v>
      </c>
      <c r="C19165" s="6" t="n">
        <f aca="false">Sens!C19161</f>
        <v>22.5333845916667</v>
      </c>
      <c r="D19165" s="6" t="n">
        <f aca="false">Sens!D19161</f>
        <v>34.0300093833333</v>
      </c>
      <c r="E19165" s="6" t="n">
        <f aca="false">Sens!E19161</f>
        <v>67.600153775</v>
      </c>
      <c r="F19165" s="6" t="n">
        <f aca="false">Sens!F19161</f>
        <v>137.571350534808</v>
      </c>
      <c r="G19165" s="6" t="n">
        <f aca="false">Sens!G19161</f>
        <v>158.622958569916</v>
      </c>
      <c r="H19165" s="6" t="n">
        <f aca="false">Sens!H19161</f>
        <v>163.339225708804</v>
      </c>
      <c r="I19165" s="6" t="n">
        <f aca="false">Sens!I19161</f>
        <v>146.0586222138</v>
      </c>
      <c r="J19165" s="6" t="n">
        <f aca="false">Sens!J19161</f>
        <v>116.273441976139</v>
      </c>
      <c r="K19165" s="6" t="n">
        <f aca="false">Sens!K19161</f>
        <v>117.088713638691</v>
      </c>
    </row>
    <row r="19166" customFormat="false" ht="17.15" hidden="false" customHeight="false" outlineLevel="0" collapsed="false">
      <c r="A19166" s="0" t="s">
        <v>1001</v>
      </c>
      <c r="B19166" s="0" t="s">
        <v>98</v>
      </c>
      <c r="C19166" s="6" t="n">
        <f aca="false">Sens!C19165+Sens!C19162</f>
        <v>28.7416845916667</v>
      </c>
      <c r="D19166" s="6" t="n">
        <f aca="false">Sens!D19165+Sens!D19162</f>
        <v>43.4058093833333</v>
      </c>
      <c r="E19166" s="6" t="n">
        <f aca="false">Sens!E19165+Sens!E19162</f>
        <v>86.225053775</v>
      </c>
      <c r="F19166" s="6" t="n">
        <f aca="false">Sens!F19165+Sens!F19162</f>
        <v>168.474328157808</v>
      </c>
      <c r="G19166" s="6" t="n">
        <f aca="false">Sens!G19165+Sens!G19162</f>
        <v>192.135956192916</v>
      </c>
      <c r="H19166" s="6" t="n">
        <f aca="false">Sens!H19165+Sens!H19162</f>
        <v>196.852223331804</v>
      </c>
      <c r="I19166" s="6" t="n">
        <f aca="false">Sens!I19165+Sens!I19162</f>
        <v>169.817785557824</v>
      </c>
      <c r="J19166" s="6" t="n">
        <f aca="false">Sens!J19165+Sens!J19162</f>
        <v>130.753954308066</v>
      </c>
      <c r="K19166" s="6" t="n">
        <f aca="false">Sens!K19165+Sens!K19162</f>
        <v>122.487398695039</v>
      </c>
      <c r="L19166" s="12" t="s">
        <v>1002</v>
      </c>
    </row>
    <row r="19167" customFormat="false" ht="17.15" hidden="false" customHeight="false" outlineLevel="0" collapsed="false">
      <c r="A19167" s="0" t="s">
        <v>1003</v>
      </c>
      <c r="B19167" s="0" t="s">
        <v>98</v>
      </c>
      <c r="E19167" s="6" t="n">
        <f aca="false">(Sens!C19165*IF(2&lt;life_it,1,IF(2=life_it,0.5,0))+Sens!D19165*IF(1&lt;life_it,1,IF(1=life_it,0.5,0))+Sens!E19165*0.5)/life_it</f>
        <v>15.0605784770833</v>
      </c>
      <c r="F19167" s="6" t="n">
        <f aca="false">(Sens!C19165*IF(3&lt;life_it,1,IF(3=life_it,0.5,0))+Sens!D19165*IF(2&lt;life_it,1,IF(2=life_it,0.5,0))+Sens!E19165*IF(1&lt;life_it,1,IF(1=life_it,0.5,0))+Sens!F19165*0.5)/life_it</f>
        <v>32.158203836234</v>
      </c>
      <c r="G19167" s="6" t="n">
        <f aca="false">(Sens!C19165*IF(4&lt;life_it,1,IF(4=life_it,0.5,0))+Sens!D19165*IF(3&lt;life_it,1,IF(3=life_it,0.5,0))+Sens!E19165*IF(2&lt;life_it,1,IF(2=life_it,0.5,0))+Sens!F19165*IF(1&lt;life_it,1,IF(1=life_it,0.5,0))+Sens!G19165*0.5)/life_it</f>
        <v>56.8410629282943</v>
      </c>
      <c r="H19167" s="6" t="n">
        <f aca="false">(Sens!C19165*IF(5&lt;life_it,1,IF(5=life_it,0.5,0))+Sens!D19165*IF(4&lt;life_it,1,IF(4=life_it,0.5,0))+Sens!E19165*IF(3&lt;life_it,1,IF(3=life_it,0.5,0))+Sens!F19165*IF(2&lt;life_it,1,IF(2=life_it,0.5,0))+Sens!G19165*IF(1&lt;life_it,1,IF(1=life_it,0.5,0))+Sens!H19165*0.5)/life_it</f>
        <v>83.671244951521</v>
      </c>
      <c r="I19167" s="6" t="n">
        <f aca="false">(Sens!C19165*IF(6&lt;life_it,1,IF(6=life_it,0.5,0))+Sens!D19165*IF(5&lt;life_it,1,IF(5=life_it,0.5,0))+Sens!E19165*IF(4&lt;life_it,1,IF(4=life_it,0.5,0))+Sens!F19165*IF(3&lt;life_it,1,IF(3=life_it,0.5,0))+Sens!G19165*IF(2&lt;life_it,1,IF(2=life_it,0.5,0))+Sens!H19165*IF(1&lt;life_it,1,IF(1=life_it,0.5,0))+Sens!I19165*0.5)/life_it</f>
        <v>107.576616895766</v>
      </c>
      <c r="J19167" s="6" t="n">
        <f aca="false">(Sens!C19165*IF(7&lt;life_it,1,IF(7=life_it,0.5,0))+Sens!D19165*IF(6&lt;life_it,1,IF(6=life_it,0.5,0))+Sens!E19165*IF(5&lt;life_it,1,IF(5=life_it,0.5,0))+Sens!F19165*IF(4&lt;life_it,1,IF(4=life_it,0.5,0))+Sens!G19165*IF(3&lt;life_it,1,IF(3=life_it,0.5,0))+Sens!H19165*IF(2&lt;life_it,1,IF(2=life_it,0.5,0))+Sens!I19165*IF(1&lt;life_it,1,IF(1=life_it,0.5,0))+Sens!J19165*0.5)/life_it</f>
        <v>124.724006080344</v>
      </c>
      <c r="K19167" s="6" t="n">
        <f aca="false">(Sens!C19165*IF(8&lt;life_it,1,IF(8=life_it,0.5,0))+Sens!D19165*IF(7&lt;life_it,1,IF(7=life_it,0.5,0))+Sens!E19165*IF(6&lt;life_it,1,IF(6=life_it,0.5,0))+Sens!F19165*IF(5&lt;life_it,1,IF(5=life_it,0.5,0))+Sens!G19165*IF(4&lt;life_it,1,IF(4=life_it,0.5,0))+Sens!H19165*IF(3&lt;life_it,1,IF(3=life_it,0.5,0))+Sens!I19165*IF(2&lt;life_it,1,IF(2=life_it,0.5,0))+Sens!J19165*IF(1&lt;life_it,1,IF(1=life_it,0.5,0))+Sens!K19165*0.5)/life_it</f>
        <v>135.701672118385</v>
      </c>
    </row>
    <row r="19168" customFormat="false" ht="17.15" hidden="false" customHeight="false" outlineLevel="0" collapsed="false">
      <c r="A19168" s="0" t="s">
        <v>1004</v>
      </c>
      <c r="B19168" s="0" t="s">
        <v>98</v>
      </c>
      <c r="E19168" s="6" t="n">
        <f aca="false">(Sens!C19162*IF(2&lt;life_fac,1,IF(2=life_fac,0.5,0))+Sens!D19162*IF(1&lt;life_fac,1,IF(1=life_fac,0.5,0))+Sens!E19162*0.5)/life_fac</f>
        <v>1.2448275</v>
      </c>
      <c r="F19168" s="6" t="n">
        <f aca="false">(Sens!C19162*IF(3&lt;life_fac,1,IF(3=life_fac,0.5,0))+Sens!D19162*IF(2&lt;life_fac,1,IF(2=life_fac,0.5,0))+Sens!E19162*IF(1&lt;life_fac,1,IF(1=life_fac,0.5,0))+Sens!F19162*0.5)/life_fac</f>
        <v>2.483024440575</v>
      </c>
      <c r="G19168" s="6" t="n">
        <f aca="false">(Sens!C19162*IF(4&lt;life_fac,1,IF(4=life_fac,0.5,0))+Sens!D19162*IF(3&lt;life_fac,1,IF(3=life_fac,0.5,0))+Sens!E19162*IF(2&lt;life_fac,1,IF(2=life_fac,0.5,0))+Sens!F19162*IF(1&lt;life_fac,1,IF(1=life_fac,0.5,0))+Sens!G19162*0.5)/life_fac</f>
        <v>4.093423821725</v>
      </c>
      <c r="H19168" s="6" t="n">
        <f aca="false">(Sens!C19162*IF(5&lt;life_fac,1,IF(5=life_fac,0.5,0))+Sens!D19162*IF(4&lt;life_fac,1,IF(4=life_fac,0.5,0))+Sens!E19162*IF(3&lt;life_fac,1,IF(3=life_fac,0.5,0))+Sens!F19162*IF(2&lt;life_fac,1,IF(2=life_fac,0.5,0))+Sens!G19162*IF(1&lt;life_fac,1,IF(1=life_fac,0.5,0))+Sens!H19162*0.5)/life_fac</f>
        <v>5.769073702875</v>
      </c>
      <c r="I19168" s="6" t="n">
        <f aca="false">(Sens!C19162*IF(6&lt;life_fac,1,IF(6=life_fac,0.5,0))+Sens!D19162*IF(5&lt;life_fac,1,IF(5=life_fac,0.5,0))+Sens!E19162*IF(4&lt;life_fac,1,IF(4=life_fac,0.5,0))+Sens!F19162*IF(3&lt;life_fac,1,IF(3=life_fac,0.5,0))+Sens!G19162*IF(2&lt;life_fac,1,IF(2=life_fac,0.5,0))+Sens!H19162*IF(1&lt;life_fac,1,IF(1=life_fac,0.5,0))+Sens!I19162*0.5)/life_fac</f>
        <v>7.20087772705058</v>
      </c>
      <c r="J19168" s="6" t="n">
        <f aca="false">(Sens!C19162*IF(7&lt;life_fac,1,IF(7=life_fac,0.5,0))+Sens!D19162*IF(6&lt;life_fac,1,IF(6=life_fac,0.5,0))+Sens!E19162*IF(5&lt;life_fac,1,IF(5=life_fac,0.5,0))+Sens!F19162*IF(4&lt;life_fac,1,IF(4=life_fac,0.5,0))+Sens!G19162*IF(3&lt;life_fac,1,IF(3=life_fac,0.5,0))+Sens!H19162*IF(2&lt;life_fac,1,IF(2=life_fac,0.5,0))+Sens!I19162*IF(1&lt;life_fac,1,IF(1=life_fac,0.5,0))+Sens!J19162*0.5)/life_fac</f>
        <v>8.15686961894934</v>
      </c>
      <c r="K19168" s="6" t="n">
        <f aca="false">(Sens!C19162*IF(8&lt;life_fac,1,IF(8=life_fac,0.5,0))+Sens!D19162*IF(7&lt;life_fac,1,IF(7=life_fac,0.5,0))+Sens!E19162*IF(6&lt;life_fac,1,IF(6=life_fac,0.5,0))+Sens!F19162*IF(5&lt;life_fac,1,IF(5=life_fac,0.5,0))+Sens!G19162*IF(4&lt;life_fac,1,IF(4=life_fac,0.5,0))+Sens!H19162*IF(3&lt;life_fac,1,IF(3=life_fac,0.5,0))+Sens!I19162*IF(2&lt;life_fac,1,IF(2=life_fac,0.5,0))+Sens!J19162*IF(1&lt;life_fac,1,IF(1=life_fac,0.5,0))+Sens!K19162*0.5)/life_fac</f>
        <v>8.65384955365624</v>
      </c>
    </row>
    <row r="19169" customFormat="false" ht="17.15" hidden="false" customHeight="false" outlineLevel="0" collapsed="false">
      <c r="A19169" s="0" t="s">
        <v>1005</v>
      </c>
      <c r="B19169" s="0" t="s">
        <v>98</v>
      </c>
      <c r="E19169" s="6" t="n">
        <f aca="false">Sens!E19167+Sens!E19168</f>
        <v>16.3054059770833</v>
      </c>
      <c r="F19169" s="6" t="n">
        <f aca="false">Sens!F19167+Sens!F19168</f>
        <v>34.641228276809</v>
      </c>
      <c r="G19169" s="6" t="n">
        <f aca="false">Sens!G19167+Sens!G19168</f>
        <v>60.9344867500193</v>
      </c>
      <c r="H19169" s="6" t="n">
        <f aca="false">Sens!H19167+Sens!H19168</f>
        <v>89.440318654396</v>
      </c>
      <c r="I19169" s="6" t="n">
        <f aca="false">Sens!I19167+Sens!I19168</f>
        <v>114.777494622816</v>
      </c>
      <c r="J19169" s="6" t="n">
        <f aca="false">Sens!J19167+Sens!J19168</f>
        <v>132.880875699293</v>
      </c>
      <c r="K19169" s="6" t="n">
        <f aca="false">Sens!K19167+Sens!K19168</f>
        <v>144.355521672042</v>
      </c>
    </row>
    <row r="19170" customFormat="false" ht="17.15" hidden="false" customHeight="false" outlineLevel="0" collapsed="false">
      <c r="A19170" s="0" t="s">
        <v>1006</v>
      </c>
      <c r="B19170" s="0" t="s">
        <v>98</v>
      </c>
      <c r="E19170" s="6" t="n">
        <f aca="false">Sens!E19157-Sens!E19156*Sens!E19169</f>
        <v>8.92707889977379</v>
      </c>
      <c r="F19170" s="6" t="n">
        <f aca="false">Sens!F19157-Sens!F19156*Sens!F19169</f>
        <v>19.3326855900561</v>
      </c>
      <c r="G19170" s="6" t="n">
        <f aca="false">Sens!G19157-Sens!G19156*Sens!G19169</f>
        <v>31.9400358790198</v>
      </c>
      <c r="H19170" s="6" t="n">
        <f aca="false">Sens!H19157-Sens!H19156*Sens!H19169</f>
        <v>44.8405707037068</v>
      </c>
      <c r="I19170" s="6" t="n">
        <f aca="false">Sens!I19157-Sens!I19156*Sens!I19169</f>
        <v>56.2738534759395</v>
      </c>
      <c r="J19170" s="6" t="n">
        <f aca="false">Sens!J19157-Sens!J19156*Sens!J19169</f>
        <v>64.2803317886855</v>
      </c>
      <c r="K19170" s="6" t="n">
        <f aca="false">Sens!K19157-Sens!K19156*Sens!K19169</f>
        <v>69.9532705324144</v>
      </c>
    </row>
    <row r="19171" customFormat="false" ht="17.15" hidden="false" customHeight="false" outlineLevel="0" collapsed="false">
      <c r="A19171" s="3" t="s">
        <v>2085</v>
      </c>
    </row>
    <row r="19172" customFormat="false" ht="15" hidden="false" customHeight="false" outlineLevel="0" collapsed="false">
      <c r="A19172" s="4" t="s">
        <v>43</v>
      </c>
      <c r="B19172" s="4" t="s">
        <v>65</v>
      </c>
      <c r="C19172" s="23" t="s">
        <v>942</v>
      </c>
      <c r="D19172" s="23" t="s">
        <v>943</v>
      </c>
      <c r="E19172" s="23" t="s">
        <v>944</v>
      </c>
      <c r="F19172" s="23" t="s">
        <v>945</v>
      </c>
      <c r="G19172" s="23" t="s">
        <v>946</v>
      </c>
      <c r="H19172" s="23" t="s">
        <v>947</v>
      </c>
      <c r="I19172" s="23" t="s">
        <v>948</v>
      </c>
      <c r="J19172" s="23" t="s">
        <v>949</v>
      </c>
      <c r="K19172" s="23" t="s">
        <v>950</v>
      </c>
      <c r="L19172" s="4" t="s">
        <v>47</v>
      </c>
    </row>
    <row r="19173" customFormat="false" ht="17.15" hidden="false" customHeight="false" outlineLevel="0" collapsed="false">
      <c r="A19173" s="0" t="s">
        <v>1025</v>
      </c>
      <c r="B19173" s="0" t="s">
        <v>98</v>
      </c>
      <c r="D19173" s="6" t="n">
        <f aca="false">Sens!D19151</f>
        <v>12.9359794422418</v>
      </c>
      <c r="E19173" s="6" t="n">
        <f aca="false">Sens!E19151</f>
        <v>27.8095064661409</v>
      </c>
      <c r="F19173" s="6" t="n">
        <f aca="false">Sens!F19151</f>
        <v>55.8772903013865</v>
      </c>
      <c r="G19173" s="6" t="n">
        <f aca="false">Sens!G19151</f>
        <v>91.8641845841814</v>
      </c>
      <c r="H19173" s="6" t="n">
        <f aca="false">Sens!H19151</f>
        <v>128.900726944493</v>
      </c>
      <c r="I19173" s="6" t="n">
        <f aca="false">Sens!I19151</f>
        <v>161.622958271247</v>
      </c>
      <c r="J19173" s="6" t="n">
        <f aca="false">Sens!J19151</f>
        <v>184.635703658677</v>
      </c>
      <c r="K19173" s="6" t="n">
        <f aca="false">Sens!K19151</f>
        <v>199.546014987989</v>
      </c>
    </row>
    <row r="19174" customFormat="false" ht="17.15" hidden="false" customHeight="false" outlineLevel="0" collapsed="false">
      <c r="A19174" s="0" t="s">
        <v>1026</v>
      </c>
      <c r="B19174" s="0" t="s">
        <v>98</v>
      </c>
      <c r="D19174" s="6" t="n">
        <f aca="false">Q!L6-Sens!D19173</f>
        <v>59.6740205577583</v>
      </c>
      <c r="E19174" s="6" t="n">
        <f aca="false">Q!M6-Sens!E19173</f>
        <v>74.1284935338591</v>
      </c>
      <c r="F19174" s="6" t="n">
        <f aca="false">Q!$I$6+(Sens!F19173+Sens!E19174*(1+Sens!F19175))*(1-Q!$E$6/Q!M6)-Sens!F19173</f>
        <v>91.1950089789892</v>
      </c>
      <c r="G19174" s="6" t="n">
        <f aca="false">Sens!F19174*(1+Sens!G19175)</f>
        <v>108.353282010926</v>
      </c>
      <c r="H19174" s="6" t="n">
        <f aca="false">Sens!G19174*(1+Sens!H19175)</f>
        <v>125.810289645763</v>
      </c>
      <c r="I19174" s="6" t="n">
        <f aca="false">Sens!H19174*(1+Sens!I19175)</f>
        <v>142.678257388326</v>
      </c>
      <c r="J19174" s="6" t="n">
        <f aca="false">Sens!I19174*(1+Sens!J19175)</f>
        <v>157.950154802542</v>
      </c>
      <c r="K19174" s="6" t="n">
        <f aca="false">Sens!J19174*(1+Sens!K19175)</f>
        <v>170.586167186745</v>
      </c>
      <c r="L19174" s="12" t="s">
        <v>1027</v>
      </c>
    </row>
    <row r="19175" customFormat="false" ht="15" hidden="false" customHeight="false" outlineLevel="0" collapsed="false">
      <c r="A19175" s="1" t="s">
        <v>1028</v>
      </c>
      <c r="B19175" s="0" t="s">
        <v>168</v>
      </c>
      <c r="E19175" s="7" t="n">
        <f aca="false">Sens!E19174/Sens!D19174-1</f>
        <v>0.242223883039864</v>
      </c>
      <c r="F19175" s="7" t="n">
        <f aca="false">Sens!$E$19175+(glt_azo-Sens!$E$19175)*MIN(1,(Sens!F19132-base_fy)/n_conv)</f>
        <v>0.215186569199887</v>
      </c>
      <c r="G19175" s="7" t="n">
        <f aca="false">Sens!$E$19175+(glt_azo-Sens!$E$19175)*MIN(1,(Sens!G19132-base_fy)/n_conv)</f>
        <v>0.18814925535991</v>
      </c>
      <c r="H19175" s="7" t="n">
        <f aca="false">Sens!$E$19175+(glt_azo-Sens!$E$19175)*MIN(1,(Sens!H19132-base_fy)/n_conv)</f>
        <v>0.161111941519932</v>
      </c>
      <c r="I19175" s="7" t="n">
        <f aca="false">Sens!$E$19175+(glt_azo-Sens!$E$19175)*MIN(1,(Sens!I19132-base_fy)/n_conv)</f>
        <v>0.134074627679955</v>
      </c>
      <c r="J19175" s="7" t="n">
        <f aca="false">Sens!$E$19175+(glt_azo-Sens!$E$19175)*MIN(1,(Sens!J19132-base_fy)/n_conv)</f>
        <v>0.107037313839977</v>
      </c>
      <c r="K19175" s="7" t="n">
        <f aca="false">Sens!$E$19175+(glt_azo-Sens!$E$19175)*MIN(1,(Sens!K19132-base_fy)/n_conv)</f>
        <v>0.08</v>
      </c>
    </row>
    <row r="19176" customFormat="false" ht="15" hidden="false" customHeight="false" outlineLevel="0" collapsed="false">
      <c r="A19176" s="0" t="s">
        <v>1029</v>
      </c>
      <c r="B19176" s="0" t="s">
        <v>98</v>
      </c>
      <c r="D19176" s="6" t="n">
        <f aca="false">Sens!D19173+Sens!D19174</f>
        <v>72.61</v>
      </c>
      <c r="E19176" s="6" t="n">
        <f aca="false">Sens!E19173+Sens!E19174</f>
        <v>101.938</v>
      </c>
      <c r="F19176" s="6" t="n">
        <f aca="false">Sens!F19173+Sens!F19174</f>
        <v>147.072299280376</v>
      </c>
      <c r="G19176" s="6" t="n">
        <f aca="false">Sens!G19173+Sens!G19174</f>
        <v>200.217466595108</v>
      </c>
      <c r="H19176" s="6" t="n">
        <f aca="false">Sens!H19173+Sens!H19174</f>
        <v>254.711016590257</v>
      </c>
      <c r="I19176" s="6" t="n">
        <f aca="false">Sens!I19173+Sens!I19174</f>
        <v>304.301215659573</v>
      </c>
      <c r="J19176" s="6" t="n">
        <f aca="false">Sens!J19173+Sens!J19174</f>
        <v>342.585858461218</v>
      </c>
      <c r="K19176" s="6" t="n">
        <f aca="false">Sens!K19173+Sens!K19174</f>
        <v>370.132182174734</v>
      </c>
    </row>
    <row r="19177" customFormat="false" ht="17.15" hidden="false" customHeight="false" outlineLevel="0" collapsed="false">
      <c r="A19177" s="0" t="s">
        <v>1030</v>
      </c>
      <c r="B19177" s="1" t="s">
        <v>613</v>
      </c>
      <c r="C19177" s="30" t="n">
        <f aca="false">cop_s24</f>
        <v>1</v>
      </c>
      <c r="D19177" s="30" t="n">
        <f aca="false">cop_s25</f>
        <v>5</v>
      </c>
      <c r="E19177" s="30" t="n">
        <f aca="false">cop_s26</f>
        <v>30</v>
      </c>
      <c r="F19177" s="30" t="n">
        <f aca="false">Sens!E19177+cop_add_B</f>
        <v>50</v>
      </c>
      <c r="G19177" s="30" t="n">
        <f aca="false">Sens!F19177+cop_add_B</f>
        <v>70</v>
      </c>
      <c r="H19177" s="30" t="n">
        <f aca="false">Sens!G19177+cop_add_B</f>
        <v>90</v>
      </c>
      <c r="I19177" s="30" t="n">
        <f aca="false">Sens!H19177+cop_add_B*cop_tail</f>
        <v>100</v>
      </c>
      <c r="J19177" s="30" t="n">
        <f aca="false">Sens!I19177+cop_add_B*cop_tail</f>
        <v>110</v>
      </c>
      <c r="K19177" s="30" t="n">
        <f aca="false">Sens!J19177+cop_add_B*cop_tail</f>
        <v>120</v>
      </c>
      <c r="L19177" s="12" t="s">
        <v>1031</v>
      </c>
    </row>
    <row r="19178" customFormat="false" ht="17.15" hidden="false" customHeight="false" outlineLevel="0" collapsed="false">
      <c r="A19178" s="0" t="s">
        <v>1032</v>
      </c>
      <c r="B19178" s="0" t="s">
        <v>98</v>
      </c>
      <c r="D19178" s="6" t="n">
        <f aca="false">(Sens!C19177+Sens!D19177)/2*cop_px*12/1000</f>
        <v>0.9</v>
      </c>
      <c r="E19178" s="6" t="n">
        <f aca="false">(Sens!D19177+Sens!E19177)/2*cop_px*12/1000</f>
        <v>5.25</v>
      </c>
      <c r="F19178" s="6" t="n">
        <f aca="false">(Sens!E19177+Sens!F19177)/2*cop_px*12/1000</f>
        <v>12</v>
      </c>
      <c r="G19178" s="6" t="n">
        <f aca="false">(Sens!F19177+Sens!G19177)/2*cop_px*12/1000</f>
        <v>18</v>
      </c>
      <c r="H19178" s="6" t="n">
        <f aca="false">(Sens!G19177+Sens!H19177)/2*cop_px*12/1000</f>
        <v>24</v>
      </c>
      <c r="I19178" s="6" t="n">
        <f aca="false">(Sens!H19177+Sens!I19177)/2*cop_px*12/1000</f>
        <v>28.5</v>
      </c>
      <c r="J19178" s="6" t="n">
        <f aca="false">(Sens!I19177+Sens!J19177)/2*cop_px*12/1000</f>
        <v>31.5</v>
      </c>
      <c r="K19178" s="6" t="n">
        <f aca="false">(Sens!J19177+Sens!K19177)/2*cop_px*12/1000</f>
        <v>34.5</v>
      </c>
      <c r="L19178" s="1" t="s">
        <v>1033</v>
      </c>
    </row>
    <row r="19179" customFormat="false" ht="17.15" hidden="false" customHeight="false" outlineLevel="0" collapsed="false">
      <c r="A19179" s="0" t="s">
        <v>1034</v>
      </c>
      <c r="B19179" s="0" t="s">
        <v>98</v>
      </c>
      <c r="D19179" s="6" t="n">
        <f aca="false">Q!L7-Sens!D19178</f>
        <v>83.705</v>
      </c>
      <c r="E19179" s="6" t="n">
        <f aca="false">Q!M7-Sens!E19178</f>
        <v>95.049</v>
      </c>
      <c r="F19179" s="6" t="n">
        <f aca="false">Q!$I$7+(Sens!E19179*(1+Sens!F19180)+Sens!F19178)*(1-Q!$E$7/Q!M7)-Sens!F19178</f>
        <v>106.584003697747</v>
      </c>
      <c r="G19179" s="6" t="n">
        <f aca="false">Sens!F19179*(1+Sens!G19180)</f>
        <v>118.700726545688</v>
      </c>
      <c r="H19179" s="6" t="n">
        <f aca="false">Sens!G19179*(1+Sens!H19180)</f>
        <v>130.898624783666</v>
      </c>
      <c r="I19179" s="6" t="n">
        <f aca="false">Sens!H19179*(1+Sens!I19180)</f>
        <v>142.920510030657</v>
      </c>
      <c r="J19179" s="6" t="n">
        <f aca="false">Sens!I19179*(1+Sens!J19180)</f>
        <v>154.485722618572</v>
      </c>
      <c r="K19179" s="6" t="n">
        <f aca="false">Sens!J19179*(1+Sens!K19180)</f>
        <v>165.299723201872</v>
      </c>
      <c r="L19179" s="12" t="s">
        <v>1035</v>
      </c>
    </row>
    <row r="19180" customFormat="false" ht="15" hidden="false" customHeight="false" outlineLevel="0" collapsed="false">
      <c r="A19180" s="1" t="s">
        <v>1028</v>
      </c>
      <c r="B19180" s="0" t="s">
        <v>168</v>
      </c>
      <c r="E19180" s="7" t="n">
        <f aca="false">Sens!E19179/Sens!D19179-1</f>
        <v>0.135523564900544</v>
      </c>
      <c r="F19180" s="7" t="n">
        <f aca="false">Sens!$E$19180+(glt_m365b-Sens!$E$19180)*MIN(1,(Sens!F19132-base_fy)/n_conv)</f>
        <v>0.124602970750453</v>
      </c>
      <c r="G19180" s="7" t="n">
        <f aca="false">Sens!$E$19180+(glt_m365b-Sens!$E$19180)*MIN(1,(Sens!G19132-base_fy)/n_conv)</f>
        <v>0.113682376600363</v>
      </c>
      <c r="H19180" s="7" t="n">
        <f aca="false">Sens!$E$19180+(glt_m365b-Sens!$E$19180)*MIN(1,(Sens!H19132-base_fy)/n_conv)</f>
        <v>0.102761782450272</v>
      </c>
      <c r="I19180" s="7" t="n">
        <f aca="false">Sens!$E$19180+(glt_m365b-Sens!$E$19180)*MIN(1,(Sens!I19132-base_fy)/n_conv)</f>
        <v>0.0918411883001813</v>
      </c>
      <c r="J19180" s="7" t="n">
        <f aca="false">Sens!$E$19180+(glt_m365b-Sens!$E$19180)*MIN(1,(Sens!J19132-base_fy)/n_conv)</f>
        <v>0.0809205941500906</v>
      </c>
      <c r="K19180" s="7" t="n">
        <f aca="false">Sens!$E$19180+(glt_m365b-Sens!$E$19180)*MIN(1,(Sens!K19132-base_fy)/n_conv)</f>
        <v>0.07</v>
      </c>
    </row>
    <row r="19181" customFormat="false" ht="15" hidden="false" customHeight="false" outlineLevel="0" collapsed="false">
      <c r="A19181" s="0" t="s">
        <v>1036</v>
      </c>
      <c r="B19181" s="0" t="s">
        <v>98</v>
      </c>
      <c r="D19181" s="6" t="n">
        <f aca="false">Sens!D19179+Sens!D19178</f>
        <v>84.605</v>
      </c>
      <c r="E19181" s="6" t="n">
        <f aca="false">Sens!E19179+Sens!E19178</f>
        <v>100.299</v>
      </c>
      <c r="F19181" s="6" t="n">
        <f aca="false">Sens!F19179+Sens!F19178</f>
        <v>118.584003697747</v>
      </c>
      <c r="G19181" s="6" t="n">
        <f aca="false">Sens!G19179+Sens!G19178</f>
        <v>136.700726545688</v>
      </c>
      <c r="H19181" s="6" t="n">
        <f aca="false">Sens!H19179+Sens!H19178</f>
        <v>154.898624783666</v>
      </c>
      <c r="I19181" s="6" t="n">
        <f aca="false">Sens!I19179+Sens!I19178</f>
        <v>171.420510030657</v>
      </c>
      <c r="J19181" s="6" t="n">
        <f aca="false">Sens!J19179+Sens!J19178</f>
        <v>185.985722618572</v>
      </c>
      <c r="K19181" s="6" t="n">
        <f aca="false">Sens!K19179+Sens!K19178</f>
        <v>199.799723201872</v>
      </c>
    </row>
    <row r="19182" customFormat="false" ht="17.15" hidden="false" customHeight="false" outlineLevel="0" collapsed="false">
      <c r="A19182" s="0" t="s">
        <v>1037</v>
      </c>
      <c r="B19182" s="0" t="s">
        <v>98</v>
      </c>
      <c r="D19182" s="6" t="n">
        <f aca="false">Q!L8</f>
        <v>35.391</v>
      </c>
      <c r="E19182" s="6" t="n">
        <f aca="false">Q!M8</f>
        <v>37.285</v>
      </c>
      <c r="F19182" s="6" t="n">
        <f aca="false">Q!$I$8+(Q!M8-Q!$E$8)*(1+Sens!F19183)</f>
        <v>38.3851437782675</v>
      </c>
      <c r="G19182" s="6" t="n">
        <f aca="false">Sens!F19182*(1+Sens!G19183)</f>
        <v>40.0105353288615</v>
      </c>
      <c r="H19182" s="6" t="n">
        <f aca="false">Sens!G19182*(1+Sens!H19183)</f>
        <v>41.4812512033683</v>
      </c>
      <c r="I19182" s="6" t="n">
        <f aca="false">Sens!H19182*(1+Sens!I19183)</f>
        <v>42.7743107216329</v>
      </c>
      <c r="J19182" s="6" t="n">
        <f aca="false">Sens!I19182*(1+Sens!J19183)</f>
        <v>43.8687373064601</v>
      </c>
      <c r="K19182" s="6" t="n">
        <f aca="false">Sens!J19182*(1+Sens!K19183)</f>
        <v>44.7461120525893</v>
      </c>
      <c r="L19182" s="12" t="s">
        <v>1038</v>
      </c>
    </row>
    <row r="19183" customFormat="false" ht="15" hidden="false" customHeight="false" outlineLevel="0" collapsed="false">
      <c r="A19183" s="1" t="s">
        <v>1028</v>
      </c>
      <c r="B19183" s="0" t="s">
        <v>168</v>
      </c>
      <c r="E19183" s="7" t="n">
        <f aca="false">Sens!E19182/Sens!D19182-1</f>
        <v>0.0535164307309768</v>
      </c>
      <c r="F19183" s="7" t="n">
        <f aca="false">Sens!$E$19183+(glt_lic-Sens!$E$19183)*MIN(1,(Sens!F19132-base_fy)/n_conv)</f>
        <v>0.0479303589424807</v>
      </c>
      <c r="G19183" s="7" t="n">
        <f aca="false">Sens!$E$19183+(glt_lic-Sens!$E$19183)*MIN(1,(Sens!G19132-base_fy)/n_conv)</f>
        <v>0.0423442871539845</v>
      </c>
      <c r="H19183" s="7" t="n">
        <f aca="false">Sens!$E$19183+(glt_lic-Sens!$E$19183)*MIN(1,(Sens!H19132-base_fy)/n_conv)</f>
        <v>0.0367582153654884</v>
      </c>
      <c r="I19183" s="7" t="n">
        <f aca="false">Sens!$E$19183+(glt_lic-Sens!$E$19183)*MIN(1,(Sens!I19132-base_fy)/n_conv)</f>
        <v>0.0311721435769923</v>
      </c>
      <c r="J19183" s="7" t="n">
        <f aca="false">Sens!$E$19183+(glt_lic-Sens!$E$19183)*MIN(1,(Sens!J19132-base_fy)/n_conv)</f>
        <v>0.0255860717884961</v>
      </c>
      <c r="K19183" s="7" t="n">
        <f aca="false">Sens!$E$19183+(glt_lic-Sens!$E$19183)*MIN(1,(Sens!K19132-base_fy)/n_conv)</f>
        <v>0.02</v>
      </c>
    </row>
    <row r="19184" customFormat="false" ht="17.15" hidden="false" customHeight="false" outlineLevel="0" collapsed="false">
      <c r="A19184" s="0" t="s">
        <v>1039</v>
      </c>
      <c r="B19184" s="0" t="s">
        <v>98</v>
      </c>
      <c r="D19184" s="6" t="n">
        <f aca="false">Q!L9</f>
        <v>18.417</v>
      </c>
      <c r="E19184" s="6" t="n">
        <f aca="false">Q!M9</f>
        <v>20.345</v>
      </c>
      <c r="F19184" s="6" t="n">
        <f aca="false">Q!$I$9+(Q!M9-Q!$E$9)*(1+Sens!F19185)</f>
        <v>22.3161797133988</v>
      </c>
      <c r="G19184" s="6" t="n">
        <f aca="false">Sens!F19184*(1+Sens!G19185)</f>
        <v>24.3943499673233</v>
      </c>
      <c r="H19184" s="6" t="n">
        <f aca="false">Sens!G19184*(1+Sens!H19185)</f>
        <v>26.5250243109019</v>
      </c>
      <c r="I19184" s="6" t="n">
        <f aca="false">Sens!H19184*(1+Sens!I19185)</f>
        <v>28.6884573538181</v>
      </c>
      <c r="J19184" s="6" t="n">
        <f aca="false">Sens!I19184*(1+Sens!J19185)</f>
        <v>30.8624968052127</v>
      </c>
      <c r="K19184" s="6" t="n">
        <f aca="false">Sens!J19184*(1+Sens!K19185)</f>
        <v>33.0228715815776</v>
      </c>
      <c r="L19184" s="12" t="s">
        <v>1038</v>
      </c>
    </row>
    <row r="19185" customFormat="false" ht="15" hidden="false" customHeight="false" outlineLevel="0" collapsed="false">
      <c r="A19185" s="1" t="s">
        <v>1028</v>
      </c>
      <c r="B19185" s="0" t="s">
        <v>168</v>
      </c>
      <c r="E19185" s="7" t="n">
        <f aca="false">Sens!E19184/Sens!D19184-1</f>
        <v>0.104685888038225</v>
      </c>
      <c r="F19185" s="7" t="n">
        <f aca="false">Sens!$E$19185+(glt_ind-Sens!$E$19185)*MIN(1,(Sens!F19132-base_fy)/n_conv)</f>
        <v>0.0989049066985211</v>
      </c>
      <c r="G19185" s="7" t="n">
        <f aca="false">Sens!$E$19185+(glt_ind-Sens!$E$19185)*MIN(1,(Sens!G19132-base_fy)/n_conv)</f>
        <v>0.0931239253588169</v>
      </c>
      <c r="H19185" s="7" t="n">
        <f aca="false">Sens!$E$19185+(glt_ind-Sens!$E$19185)*MIN(1,(Sens!H19132-base_fy)/n_conv)</f>
        <v>0.0873429440191127</v>
      </c>
      <c r="I19185" s="7" t="n">
        <f aca="false">Sens!$E$19185+(glt_ind-Sens!$E$19185)*MIN(1,(Sens!I19132-base_fy)/n_conv)</f>
        <v>0.0815619626794085</v>
      </c>
      <c r="J19185" s="7" t="n">
        <f aca="false">Sens!$E$19185+(glt_ind-Sens!$E$19185)*MIN(1,(Sens!J19132-base_fy)/n_conv)</f>
        <v>0.0757809813397042</v>
      </c>
      <c r="K19185" s="7" t="n">
        <f aca="false">Sens!$E$19185+(glt_ind-Sens!$E$19185)*MIN(1,(Sens!K19132-base_fy)/n_conv)</f>
        <v>0.07</v>
      </c>
    </row>
    <row r="19186" customFormat="false" ht="17.15" hidden="false" customHeight="false" outlineLevel="0" collapsed="false">
      <c r="A19186" s="0" t="s">
        <v>1040</v>
      </c>
      <c r="B19186" s="0" t="s">
        <v>98</v>
      </c>
      <c r="D19186" s="6" t="n">
        <f aca="false">Q!L10</f>
        <v>7.76</v>
      </c>
      <c r="E19186" s="6" t="n">
        <f aca="false">Q!M10</f>
        <v>8.26</v>
      </c>
      <c r="F19186" s="6" t="n">
        <f aca="false">Q!$I$10+(Q!M10-Q!$E$10)*(1+Sens!F19187)</f>
        <v>8.75372082474227</v>
      </c>
      <c r="G19186" s="6" t="n">
        <f aca="false">Sens!F19186*(1+Sens!G19187)</f>
        <v>9.33399324642364</v>
      </c>
      <c r="H19186" s="6" t="n">
        <f aca="false">Sens!G19186*(1+Sens!H19187)</f>
        <v>9.96139155535851</v>
      </c>
      <c r="I19186" s="6" t="n">
        <f aca="false">Sens!H19186*(1+Sens!I19187)</f>
        <v>10.6402039077391</v>
      </c>
      <c r="J19186" s="6" t="n">
        <f aca="false">Sens!I19186*(1+Sens!J19187)</f>
        <v>11.3751458271397</v>
      </c>
      <c r="K19186" s="6" t="n">
        <f aca="false">Sens!J19186*(1+Sens!K19187)</f>
        <v>12.1714060350394</v>
      </c>
      <c r="L19186" s="12" t="s">
        <v>1038</v>
      </c>
    </row>
    <row r="19187" customFormat="false" ht="15" hidden="false" customHeight="false" outlineLevel="0" collapsed="false">
      <c r="A19187" s="1" t="s">
        <v>1028</v>
      </c>
      <c r="B19187" s="0" t="s">
        <v>168</v>
      </c>
      <c r="E19187" s="7" t="n">
        <f aca="false">Sens!E19186/Sens!D19186-1</f>
        <v>0.0644329896907216</v>
      </c>
      <c r="F19187" s="7" t="n">
        <f aca="false">Sens!$E$19187+(glt_fro-Sens!$E$19187)*MIN(1,(Sens!F19132-base_fy)/n_conv)</f>
        <v>0.065360824742268</v>
      </c>
      <c r="G19187" s="7" t="n">
        <f aca="false">Sens!$E$19187+(glt_fro-Sens!$E$19187)*MIN(1,(Sens!G19132-base_fy)/n_conv)</f>
        <v>0.0662886597938144</v>
      </c>
      <c r="H19187" s="7" t="n">
        <f aca="false">Sens!$E$19187+(glt_fro-Sens!$E$19187)*MIN(1,(Sens!H19132-base_fy)/n_conv)</f>
        <v>0.0672164948453608</v>
      </c>
      <c r="I19187" s="7" t="n">
        <f aca="false">Sens!$E$19187+(glt_fro-Sens!$E$19187)*MIN(1,(Sens!I19132-base_fy)/n_conv)</f>
        <v>0.0681443298969072</v>
      </c>
      <c r="J19187" s="7" t="n">
        <f aca="false">Sens!$E$19187+(glt_fro-Sens!$E$19187)*MIN(1,(Sens!J19132-base_fy)/n_conv)</f>
        <v>0.0690721649484536</v>
      </c>
      <c r="K19187" s="7" t="n">
        <f aca="false">Sens!$E$19187+(glt_fro-Sens!$E$19187)*MIN(1,(Sens!K19132-base_fy)/n_conv)</f>
        <v>0.07</v>
      </c>
    </row>
    <row r="19188" customFormat="false" ht="15" hidden="false" customHeight="false" outlineLevel="0" collapsed="false">
      <c r="A19188" s="0" t="s">
        <v>856</v>
      </c>
      <c r="B19188" s="0" t="s">
        <v>98</v>
      </c>
      <c r="D19188" s="6" t="n">
        <f aca="false">Sens!D19176+Sens!D19181+Sens!D19182+Sens!D19184+Sens!D19186</f>
        <v>218.783</v>
      </c>
      <c r="E19188" s="6" t="n">
        <f aca="false">Sens!E19176+Sens!E19181+Sens!E19182+Sens!E19184+Sens!E19186</f>
        <v>268.127</v>
      </c>
      <c r="F19188" s="6" t="n">
        <f aca="false">Sens!F19176+Sens!F19181+Sens!F19182+Sens!F19184+Sens!F19186</f>
        <v>335.111347294531</v>
      </c>
      <c r="G19188" s="6" t="n">
        <f aca="false">Sens!G19176+Sens!G19181+Sens!G19182+Sens!G19184+Sens!G19186</f>
        <v>410.657071683405</v>
      </c>
      <c r="H19188" s="6" t="n">
        <f aca="false">Sens!H19176+Sens!H19181+Sens!H19182+Sens!H19184+Sens!H19186</f>
        <v>487.577308443551</v>
      </c>
      <c r="I19188" s="6" t="n">
        <f aca="false">Sens!I19176+Sens!I19181+Sens!I19182+Sens!I19184+Sens!I19186</f>
        <v>557.824697673421</v>
      </c>
      <c r="J19188" s="6" t="n">
        <f aca="false">Sens!J19176+Sens!J19181+Sens!J19182+Sens!J19184+Sens!J19186</f>
        <v>614.677961018603</v>
      </c>
      <c r="K19188" s="6" t="n">
        <f aca="false">Sens!K19176+Sens!K19181+Sens!K19182+Sens!K19184+Sens!K19186</f>
        <v>659.872295045812</v>
      </c>
    </row>
    <row r="19189" customFormat="false" ht="17.15" hidden="false" customHeight="false" outlineLevel="0" collapsed="false">
      <c r="A19189" s="0" t="s">
        <v>1041</v>
      </c>
      <c r="B19189" s="0" t="s">
        <v>98</v>
      </c>
      <c r="D19189" s="6" t="n">
        <f aca="false">Q!L13</f>
        <v>22.171</v>
      </c>
      <c r="E19189" s="6" t="n">
        <f aca="false">Q!M13</f>
        <v>24.835</v>
      </c>
      <c r="F19189" s="6" t="n">
        <f aca="false">Q!$I$13+(Q!M13-Q!$E$13)*(1+Sens!F19190)</f>
        <v>27.5591895660247</v>
      </c>
      <c r="G19189" s="6" t="n">
        <f aca="false">Sens!F19189*(1+Sens!G19190)</f>
        <v>30.4098563144583</v>
      </c>
      <c r="H19189" s="6" t="n">
        <f aca="false">Sens!G19189*(1+Sens!H19190)</f>
        <v>33.3011792571777</v>
      </c>
      <c r="I19189" s="6" t="n">
        <f aca="false">Sens!H19189*(1+Sens!I19190)</f>
        <v>36.189023797112</v>
      </c>
      <c r="J19189" s="6" t="n">
        <f aca="false">Sens!I19189*(1+Sens!J19190)</f>
        <v>39.0247773769199</v>
      </c>
      <c r="K19189" s="6" t="n">
        <f aca="false">Sens!J19189*(1+Sens!K19190)</f>
        <v>41.7565117933043</v>
      </c>
      <c r="L19189" s="12" t="s">
        <v>1038</v>
      </c>
    </row>
    <row r="19190" customFormat="false" ht="15" hidden="false" customHeight="false" outlineLevel="0" collapsed="false">
      <c r="A19190" s="1" t="s">
        <v>1028</v>
      </c>
      <c r="B19190" s="0" t="s">
        <v>168</v>
      </c>
      <c r="E19190" s="7" t="n">
        <f aca="false">Sens!E19189/Sens!D19189-1</f>
        <v>0.120156961796942</v>
      </c>
      <c r="F19190" s="7" t="n">
        <f aca="false">Sens!$E$19190+(glt_srch-Sens!$E$19190)*MIN(1,(Sens!F19132-base_fy)/n_conv)</f>
        <v>0.111797468164118</v>
      </c>
      <c r="G19190" s="7" t="n">
        <f aca="false">Sens!$E$19190+(glt_srch-Sens!$E$19190)*MIN(1,(Sens!G19132-base_fy)/n_conv)</f>
        <v>0.103437974531295</v>
      </c>
      <c r="H19190" s="7" t="n">
        <f aca="false">Sens!$E$19190+(glt_srch-Sens!$E$19190)*MIN(1,(Sens!H19132-base_fy)/n_conv)</f>
        <v>0.095078480898471</v>
      </c>
      <c r="I19190" s="7" t="n">
        <f aca="false">Sens!$E$19190+(glt_srch-Sens!$E$19190)*MIN(1,(Sens!I19132-base_fy)/n_conv)</f>
        <v>0.0867189872656474</v>
      </c>
      <c r="J19190" s="7" t="n">
        <f aca="false">Sens!$E$19190+(glt_srch-Sens!$E$19190)*MIN(1,(Sens!J19132-base_fy)/n_conv)</f>
        <v>0.0783594936328237</v>
      </c>
      <c r="K19190" s="7" t="n">
        <f aca="false">Sens!$E$19190+(glt_srch-Sens!$E$19190)*MIN(1,(Sens!K19132-base_fy)/n_conv)</f>
        <v>0.07</v>
      </c>
    </row>
    <row r="19191" customFormat="false" ht="17.15" hidden="false" customHeight="false" outlineLevel="0" collapsed="false">
      <c r="A19191" s="0" t="s">
        <v>1042</v>
      </c>
      <c r="B19191" s="0" t="s">
        <v>98</v>
      </c>
      <c r="D19191" s="6" t="n">
        <f aca="false">Q!L14</f>
        <v>23.455</v>
      </c>
      <c r="E19191" s="6" t="n">
        <f aca="false">Q!M14</f>
        <v>21.79</v>
      </c>
      <c r="F19191" s="6" t="n">
        <f aca="false">Q!$I$14+(Q!M14-Q!$E$14)*(1+Sens!F19192)</f>
        <v>20.7520981041711</v>
      </c>
      <c r="G19191" s="6" t="n">
        <f aca="false">Sens!F19191*(1+Sens!G19192)</f>
        <v>19.9083593495882</v>
      </c>
      <c r="H19191" s="6" t="n">
        <f aca="false">Sens!G19191*(1+Sens!H19192)</f>
        <v>19.4008256265831</v>
      </c>
      <c r="I19191" s="6" t="n">
        <f aca="false">Sens!H19191*(1+Sens!I19192)</f>
        <v>19.200434522122</v>
      </c>
      <c r="J19191" s="6" t="n">
        <f aca="false">Sens!I19191*(1+Sens!J19192)</f>
        <v>19.2932782348507</v>
      </c>
      <c r="K19191" s="6" t="n">
        <f aca="false">Sens!J19191*(1+Sens!K19192)</f>
        <v>19.6791437995477</v>
      </c>
      <c r="L19191" s="12" t="s">
        <v>1038</v>
      </c>
    </row>
    <row r="19192" customFormat="false" ht="15" hidden="false" customHeight="false" outlineLevel="0" collapsed="false">
      <c r="A19192" s="1" t="s">
        <v>1028</v>
      </c>
      <c r="B19192" s="0" t="s">
        <v>168</v>
      </c>
      <c r="E19192" s="7" t="n">
        <f aca="false">Sens!E19191/Sens!D19191-1</f>
        <v>-0.0709869963760392</v>
      </c>
      <c r="F19192" s="7" t="n">
        <f aca="false">Sens!$E$19192+(glt_xbox-Sens!$E$19192)*MIN(1,(Sens!F19132-base_fy)/n_conv)</f>
        <v>-0.0558224969800327</v>
      </c>
      <c r="G19192" s="7" t="n">
        <f aca="false">Sens!$E$19192+(glt_xbox-Sens!$E$19192)*MIN(1,(Sens!G19132-base_fy)/n_conv)</f>
        <v>-0.0406579975840262</v>
      </c>
      <c r="H19192" s="7" t="n">
        <f aca="false">Sens!$E$19192+(glt_xbox-Sens!$E$19192)*MIN(1,(Sens!H19132-base_fy)/n_conv)</f>
        <v>-0.0254934981880196</v>
      </c>
      <c r="I19192" s="7" t="n">
        <f aca="false">Sens!$E$19192+(glt_xbox-Sens!$E$19192)*MIN(1,(Sens!I19132-base_fy)/n_conv)</f>
        <v>-0.0103289987920131</v>
      </c>
      <c r="J19192" s="7" t="n">
        <f aca="false">Sens!$E$19192+(glt_xbox-Sens!$E$19192)*MIN(1,(Sens!J19132-base_fy)/n_conv)</f>
        <v>0.00483550060399347</v>
      </c>
      <c r="K19192" s="7" t="n">
        <f aca="false">Sens!$E$19192+(glt_xbox-Sens!$E$19192)*MIN(1,(Sens!K19132-base_fy)/n_conv)</f>
        <v>0.02</v>
      </c>
    </row>
    <row r="19193" customFormat="false" ht="17.15" hidden="false" customHeight="false" outlineLevel="0" collapsed="false">
      <c r="A19193" s="0" t="s">
        <v>1043</v>
      </c>
      <c r="B19193" s="0" t="s">
        <v>98</v>
      </c>
      <c r="D19193" s="6" t="n">
        <f aca="false">Q!L15</f>
        <v>17.315</v>
      </c>
      <c r="E19193" s="6" t="n">
        <f aca="false">Q!M15</f>
        <v>17.087</v>
      </c>
      <c r="F19193" s="6" t="n">
        <f aca="false">Q!$I$15+(Q!M15-Q!$E$15)*(1+Sens!F19194)</f>
        <v>15.9912273250553</v>
      </c>
      <c r="G19193" s="6" t="n">
        <f aca="false">Sens!F19193*(1+Sens!G19194)</f>
        <v>15.9574562664827</v>
      </c>
      <c r="H19193" s="6" t="n">
        <f aca="false">Sens!G19193*(1+Sens!H19194)</f>
        <v>16.0119687434196</v>
      </c>
      <c r="I19193" s="6" t="n">
        <f aca="false">Sens!H19193*(1+Sens!I19194)</f>
        <v>16.1551810001948</v>
      </c>
      <c r="J19193" s="6" t="n">
        <f aca="false">Sens!I19193*(1+Sens!J19194)</f>
        <v>16.3889793892005</v>
      </c>
      <c r="K19193" s="6" t="n">
        <f aca="false">Sens!J19193*(1+Sens!K19194)</f>
        <v>16.7167589769845</v>
      </c>
      <c r="L19193" s="12" t="s">
        <v>1038</v>
      </c>
    </row>
    <row r="19194" customFormat="false" ht="15" hidden="false" customHeight="false" outlineLevel="0" collapsed="false">
      <c r="A19194" s="1" t="s">
        <v>1028</v>
      </c>
      <c r="B19194" s="0" t="s">
        <v>168</v>
      </c>
      <c r="E19194" s="7" t="n">
        <f aca="false">Sens!E19193/Sens!D19193-1</f>
        <v>-0.0131677736066995</v>
      </c>
      <c r="F19194" s="7" t="n">
        <f aca="false">Sens!$E$19194+(glt_win-Sens!$E$19194)*MIN(1,(Sens!F19132-base_fy)/n_conv)</f>
        <v>-0.00763981133891627</v>
      </c>
      <c r="G19194" s="7" t="n">
        <f aca="false">Sens!$E$19194+(glt_win-Sens!$E$19194)*MIN(1,(Sens!G19132-base_fy)/n_conv)</f>
        <v>-0.00211184907113301</v>
      </c>
      <c r="H19194" s="7" t="n">
        <f aca="false">Sens!$E$19194+(glt_win-Sens!$E$19194)*MIN(1,(Sens!H19132-base_fy)/n_conv)</f>
        <v>0.00341611319665024</v>
      </c>
      <c r="I19194" s="7" t="n">
        <f aca="false">Sens!$E$19194+(glt_win-Sens!$E$19194)*MIN(1,(Sens!I19132-base_fy)/n_conv)</f>
        <v>0.00894407546443349</v>
      </c>
      <c r="J19194" s="7" t="n">
        <f aca="false">Sens!$E$19194+(glt_win-Sens!$E$19194)*MIN(1,(Sens!J19132-base_fy)/n_conv)</f>
        <v>0.0144720377322168</v>
      </c>
      <c r="K19194" s="7" t="n">
        <f aca="false">Sens!$E$19194+(glt_win-Sens!$E$19194)*MIN(1,(Sens!K19132-base_fy)/n_conv)</f>
        <v>0.02</v>
      </c>
    </row>
    <row r="19195" customFormat="false" ht="15" hidden="false" customHeight="false" outlineLevel="0" collapsed="false">
      <c r="A19195" s="0" t="s">
        <v>870</v>
      </c>
      <c r="B19195" s="0" t="s">
        <v>98</v>
      </c>
      <c r="D19195" s="6" t="n">
        <f aca="false">Sens!D19189+Sens!D19191+Sens!D19193</f>
        <v>62.941</v>
      </c>
      <c r="E19195" s="6" t="n">
        <f aca="false">Sens!E19189+Sens!E19191+Sens!E19193</f>
        <v>63.712</v>
      </c>
      <c r="F19195" s="6" t="n">
        <f aca="false">Sens!F19189+Sens!F19191+Sens!F19193</f>
        <v>64.3025149952511</v>
      </c>
      <c r="G19195" s="6" t="n">
        <f aca="false">Sens!G19189+Sens!G19191+Sens!G19193</f>
        <v>66.2756719305292</v>
      </c>
      <c r="H19195" s="6" t="n">
        <f aca="false">Sens!H19189+Sens!H19191+Sens!H19193</f>
        <v>68.7139736271804</v>
      </c>
      <c r="I19195" s="6" t="n">
        <f aca="false">Sens!I19189+Sens!I19191+Sens!I19193</f>
        <v>71.5446393194289</v>
      </c>
      <c r="J19195" s="6" t="n">
        <f aca="false">Sens!J19189+Sens!J19191+Sens!J19193</f>
        <v>74.707035000971</v>
      </c>
      <c r="K19195" s="6" t="n">
        <f aca="false">Sens!K19189+Sens!K19191+Sens!K19193</f>
        <v>78.1524145698365</v>
      </c>
    </row>
    <row r="19196" customFormat="false" ht="15" hidden="false" customHeight="false" outlineLevel="0" collapsed="false">
      <c r="A19196" s="1" t="s">
        <v>1044</v>
      </c>
      <c r="B19196" s="0" t="s">
        <v>98</v>
      </c>
      <c r="D19196" s="6" t="n">
        <f aca="false">Sens!D19188+Sens!D19195</f>
        <v>281.724</v>
      </c>
      <c r="E19196" s="6" t="n">
        <f aca="false">Sens!E19188+Sens!E19195</f>
        <v>331.839</v>
      </c>
      <c r="F19196" s="6" t="n">
        <f aca="false">Sens!F19188+Sens!F19195</f>
        <v>399.413862289782</v>
      </c>
      <c r="G19196" s="6" t="n">
        <f aca="false">Sens!G19188+Sens!G19195</f>
        <v>476.932743613934</v>
      </c>
      <c r="H19196" s="6" t="n">
        <f aca="false">Sens!H19188+Sens!H19195</f>
        <v>556.291282070731</v>
      </c>
      <c r="I19196" s="6" t="n">
        <f aca="false">Sens!I19188+Sens!I19195</f>
        <v>629.369336992849</v>
      </c>
      <c r="J19196" s="6" t="n">
        <f aca="false">Sens!J19188+Sens!J19195</f>
        <v>689.384996019574</v>
      </c>
      <c r="K19196" s="6" t="n">
        <f aca="false">Sens!K19188+Sens!K19195</f>
        <v>738.024709615648</v>
      </c>
    </row>
    <row r="19197" customFormat="false" ht="15" hidden="false" customHeight="false" outlineLevel="0" collapsed="false">
      <c r="A19197" s="26" t="s">
        <v>1045</v>
      </c>
      <c r="B19197" s="31" t="s">
        <v>98</v>
      </c>
      <c r="C19197" s="31"/>
      <c r="D19197" s="27" t="n">
        <f aca="false">(Sens!D19176+Sens!D19181+Sens!D19182+Sens!D19184+Sens!D19186-Sens!D19188)+(Sens!D19189+Sens!D19191+Sens!D19193-Sens!D19195)+(Sens!D19188-Q!L5)+(Sens!D19195-Q!L12)+(Sens!D19176-Q!L6)+(Sens!D19181-Q!L7)</f>
        <v>0</v>
      </c>
      <c r="E19197" s="27" t="n">
        <f aca="false">(Sens!E19176+Sens!E19181+Sens!E19182+Sens!E19184+Sens!E19186-Sens!E19188)+(Sens!E19189+Sens!E19191+Sens!E19193-Sens!E19195)+(Sens!E19188-Q!M5)+(Sens!E19195-Q!M12)+(Sens!E19176-Q!M6)+(Sens!E19181-Q!M7)</f>
        <v>0</v>
      </c>
      <c r="F19197" s="27" t="n">
        <f aca="false">(Sens!F19176+Sens!F19181+Sens!F19182+Sens!F19184+Sens!F19186-Sens!F19188)+(Sens!F19189+Sens!F19191+Sens!F19193-Sens!F19195)</f>
        <v>0</v>
      </c>
      <c r="G19197" s="27" t="n">
        <f aca="false">(Sens!G19176+Sens!G19181+Sens!G19182+Sens!G19184+Sens!G19186-Sens!G19188)+(Sens!G19189+Sens!G19191+Sens!G19193-Sens!G19195)</f>
        <v>0</v>
      </c>
      <c r="H19197" s="27" t="n">
        <f aca="false">(Sens!H19176+Sens!H19181+Sens!H19182+Sens!H19184+Sens!H19186-Sens!H19188)+(Sens!H19189+Sens!H19191+Sens!H19193-Sens!H19195)</f>
        <v>0</v>
      </c>
      <c r="I19197" s="27" t="n">
        <f aca="false">(Sens!I19176+Sens!I19181+Sens!I19182+Sens!I19184+Sens!I19186-Sens!I19188)+(Sens!I19189+Sens!I19191+Sens!I19193-Sens!I19195)</f>
        <v>0</v>
      </c>
      <c r="J19197" s="27" t="n">
        <f aca="false">(Sens!J19176+Sens!J19181+Sens!J19182+Sens!J19184+Sens!J19186-Sens!J19188)+(Sens!J19189+Sens!J19191+Sens!J19193-Sens!J19195)</f>
        <v>0</v>
      </c>
      <c r="K19197" s="27" t="n">
        <f aca="false">(Sens!K19176+Sens!K19181+Sens!K19182+Sens!K19184+Sens!K19186-Sens!K19188)+(Sens!K19189+Sens!K19191+Sens!K19193-Sens!K19195)</f>
        <v>0</v>
      </c>
    </row>
    <row r="19198" customFormat="false" ht="17.15" hidden="false" customHeight="false" outlineLevel="0" collapsed="false">
      <c r="A19198" s="3" t="s">
        <v>2086</v>
      </c>
    </row>
    <row r="19199" customFormat="false" ht="15" hidden="false" customHeight="false" outlineLevel="0" collapsed="false">
      <c r="A19199" s="4" t="s">
        <v>43</v>
      </c>
      <c r="B19199" s="4" t="s">
        <v>65</v>
      </c>
      <c r="C19199" s="23" t="s">
        <v>942</v>
      </c>
      <c r="D19199" s="23" t="s">
        <v>943</v>
      </c>
      <c r="E19199" s="23" t="s">
        <v>944</v>
      </c>
      <c r="F19199" s="23" t="s">
        <v>945</v>
      </c>
      <c r="G19199" s="23" t="s">
        <v>946</v>
      </c>
      <c r="H19199" s="23" t="s">
        <v>947</v>
      </c>
      <c r="I19199" s="23" t="s">
        <v>948</v>
      </c>
      <c r="J19199" s="23" t="s">
        <v>949</v>
      </c>
      <c r="K19199" s="23" t="s">
        <v>950</v>
      </c>
      <c r="L19199" s="4" t="s">
        <v>47</v>
      </c>
    </row>
    <row r="19200" customFormat="false" ht="15" hidden="false" customHeight="false" outlineLevel="0" collapsed="false">
      <c r="A19200" s="0" t="s">
        <v>1029</v>
      </c>
      <c r="B19200" s="0" t="s">
        <v>98</v>
      </c>
      <c r="D19200" s="6" t="n">
        <f aca="false">Sens!D19176</f>
        <v>72.61</v>
      </c>
      <c r="E19200" s="6" t="n">
        <f aca="false">Sens!E19176</f>
        <v>101.938</v>
      </c>
      <c r="F19200" s="6" t="n">
        <f aca="false">Sens!F19176</f>
        <v>147.072299280376</v>
      </c>
      <c r="G19200" s="6" t="n">
        <f aca="false">Sens!G19176</f>
        <v>200.217466595108</v>
      </c>
      <c r="H19200" s="6" t="n">
        <f aca="false">Sens!H19176</f>
        <v>254.711016590257</v>
      </c>
      <c r="I19200" s="6" t="n">
        <f aca="false">Sens!I19176</f>
        <v>304.301215659573</v>
      </c>
      <c r="J19200" s="6" t="n">
        <f aca="false">Sens!J19176</f>
        <v>342.585858461218</v>
      </c>
      <c r="K19200" s="6" t="n">
        <f aca="false">Sens!K19176</f>
        <v>370.132182174734</v>
      </c>
    </row>
    <row r="19201" customFormat="false" ht="17.15" hidden="false" customHeight="false" outlineLevel="0" collapsed="false">
      <c r="A19201" s="0" t="s">
        <v>1025</v>
      </c>
      <c r="B19201" s="0" t="s">
        <v>98</v>
      </c>
      <c r="D19201" s="6" t="n">
        <f aca="false">Sens!D19173</f>
        <v>12.9359794422418</v>
      </c>
      <c r="E19201" s="6" t="n">
        <f aca="false">Sens!E19173</f>
        <v>27.8095064661409</v>
      </c>
      <c r="F19201" s="6" t="n">
        <f aca="false">Sens!F19173</f>
        <v>55.8772903013865</v>
      </c>
      <c r="G19201" s="6" t="n">
        <f aca="false">Sens!G19173</f>
        <v>91.8641845841814</v>
      </c>
      <c r="H19201" s="6" t="n">
        <f aca="false">Sens!H19173</f>
        <v>128.900726944493</v>
      </c>
      <c r="I19201" s="6" t="n">
        <f aca="false">Sens!I19173</f>
        <v>161.622958271247</v>
      </c>
      <c r="J19201" s="6" t="n">
        <f aca="false">Sens!J19173</f>
        <v>184.635703658677</v>
      </c>
      <c r="K19201" s="6" t="n">
        <f aca="false">Sens!K19173</f>
        <v>199.546014987989</v>
      </c>
    </row>
    <row r="19202" customFormat="false" ht="17.15" hidden="false" customHeight="false" outlineLevel="0" collapsed="false">
      <c r="A19202" s="0" t="s">
        <v>1056</v>
      </c>
      <c r="B19202" s="0" t="s">
        <v>98</v>
      </c>
      <c r="D19202" s="6" t="n">
        <f aca="false">Sens!D19174</f>
        <v>59.6740205577583</v>
      </c>
      <c r="E19202" s="6" t="n">
        <f aca="false">Sens!E19174</f>
        <v>74.1284935338591</v>
      </c>
      <c r="F19202" s="6" t="n">
        <f aca="false">Sens!F19174</f>
        <v>91.1950089789892</v>
      </c>
      <c r="G19202" s="6" t="n">
        <f aca="false">Sens!G19174</f>
        <v>108.353282010926</v>
      </c>
      <c r="H19202" s="6" t="n">
        <f aca="false">Sens!H19174</f>
        <v>125.810289645763</v>
      </c>
      <c r="I19202" s="6" t="n">
        <f aca="false">Sens!I19174</f>
        <v>142.678257388326</v>
      </c>
      <c r="J19202" s="6" t="n">
        <f aca="false">Sens!J19174</f>
        <v>157.950154802542</v>
      </c>
      <c r="K19202" s="6" t="n">
        <f aca="false">Sens!K19174</f>
        <v>170.586167186745</v>
      </c>
    </row>
    <row r="19203" customFormat="false" ht="15" hidden="false" customHeight="false" outlineLevel="0" collapsed="false">
      <c r="A19203" s="0" t="s">
        <v>1036</v>
      </c>
      <c r="B19203" s="0" t="s">
        <v>98</v>
      </c>
      <c r="D19203" s="6" t="n">
        <f aca="false">Sens!D19181</f>
        <v>84.605</v>
      </c>
      <c r="E19203" s="6" t="n">
        <f aca="false">Sens!E19181</f>
        <v>100.299</v>
      </c>
      <c r="F19203" s="6" t="n">
        <f aca="false">Sens!F19181</f>
        <v>118.584003697747</v>
      </c>
      <c r="G19203" s="6" t="n">
        <f aca="false">Sens!G19181</f>
        <v>136.700726545688</v>
      </c>
      <c r="H19203" s="6" t="n">
        <f aca="false">Sens!H19181</f>
        <v>154.898624783666</v>
      </c>
      <c r="I19203" s="6" t="n">
        <f aca="false">Sens!I19181</f>
        <v>171.420510030657</v>
      </c>
      <c r="J19203" s="6" t="n">
        <f aca="false">Sens!J19181</f>
        <v>185.985722618572</v>
      </c>
      <c r="K19203" s="6" t="n">
        <f aca="false">Sens!K19181</f>
        <v>199.799723201872</v>
      </c>
    </row>
    <row r="19204" customFormat="false" ht="17.15" hidden="false" customHeight="false" outlineLevel="0" collapsed="false">
      <c r="A19204" s="0" t="s">
        <v>1057</v>
      </c>
      <c r="B19204" s="0" t="s">
        <v>98</v>
      </c>
      <c r="D19204" s="6" t="n">
        <f aca="false">Sens!D19179</f>
        <v>83.705</v>
      </c>
      <c r="E19204" s="6" t="n">
        <f aca="false">Sens!E19179</f>
        <v>95.049</v>
      </c>
      <c r="F19204" s="6" t="n">
        <f aca="false">Sens!F19179</f>
        <v>106.584003697747</v>
      </c>
      <c r="G19204" s="6" t="n">
        <f aca="false">Sens!G19179</f>
        <v>118.700726545688</v>
      </c>
      <c r="H19204" s="6" t="n">
        <f aca="false">Sens!H19179</f>
        <v>130.898624783666</v>
      </c>
      <c r="I19204" s="6" t="n">
        <f aca="false">Sens!I19179</f>
        <v>142.920510030657</v>
      </c>
      <c r="J19204" s="6" t="n">
        <f aca="false">Sens!J19179</f>
        <v>154.485722618572</v>
      </c>
      <c r="K19204" s="6" t="n">
        <f aca="false">Sens!K19179</f>
        <v>165.299723201872</v>
      </c>
    </row>
    <row r="19205" customFormat="false" ht="17.15" hidden="false" customHeight="false" outlineLevel="0" collapsed="false">
      <c r="A19205" s="0" t="s">
        <v>1058</v>
      </c>
      <c r="B19205" s="0" t="s">
        <v>98</v>
      </c>
      <c r="D19205" s="6" t="n">
        <f aca="false">Sens!D19178</f>
        <v>0.9</v>
      </c>
      <c r="E19205" s="6" t="n">
        <f aca="false">Sens!E19178</f>
        <v>5.25</v>
      </c>
      <c r="F19205" s="6" t="n">
        <f aca="false">Sens!F19178</f>
        <v>12</v>
      </c>
      <c r="G19205" s="6" t="n">
        <f aca="false">Sens!G19178</f>
        <v>18</v>
      </c>
      <c r="H19205" s="6" t="n">
        <f aca="false">Sens!H19178</f>
        <v>24</v>
      </c>
      <c r="I19205" s="6" t="n">
        <f aca="false">Sens!I19178</f>
        <v>28.5</v>
      </c>
      <c r="J19205" s="6" t="n">
        <f aca="false">Sens!J19178</f>
        <v>31.5</v>
      </c>
      <c r="K19205" s="6" t="n">
        <f aca="false">Sens!K19178</f>
        <v>34.5</v>
      </c>
    </row>
    <row r="19206" customFormat="false" ht="15" hidden="false" customHeight="false" outlineLevel="0" collapsed="false">
      <c r="A19206" s="0" t="s">
        <v>1037</v>
      </c>
      <c r="B19206" s="0" t="s">
        <v>98</v>
      </c>
      <c r="D19206" s="6" t="n">
        <f aca="false">Sens!D19182</f>
        <v>35.391</v>
      </c>
      <c r="E19206" s="6" t="n">
        <f aca="false">Sens!E19182</f>
        <v>37.285</v>
      </c>
      <c r="F19206" s="6" t="n">
        <f aca="false">Sens!F19182</f>
        <v>38.3851437782675</v>
      </c>
      <c r="G19206" s="6" t="n">
        <f aca="false">Sens!G19182</f>
        <v>40.0105353288615</v>
      </c>
      <c r="H19206" s="6" t="n">
        <f aca="false">Sens!H19182</f>
        <v>41.4812512033683</v>
      </c>
      <c r="I19206" s="6" t="n">
        <f aca="false">Sens!I19182</f>
        <v>42.7743107216329</v>
      </c>
      <c r="J19206" s="6" t="n">
        <f aca="false">Sens!J19182</f>
        <v>43.8687373064601</v>
      </c>
      <c r="K19206" s="6" t="n">
        <f aca="false">Sens!K19182</f>
        <v>44.7461120525893</v>
      </c>
    </row>
    <row r="19207" customFormat="false" ht="15" hidden="false" customHeight="false" outlineLevel="0" collapsed="false">
      <c r="A19207" s="0" t="s">
        <v>1039</v>
      </c>
      <c r="B19207" s="0" t="s">
        <v>98</v>
      </c>
      <c r="D19207" s="6" t="n">
        <f aca="false">Sens!D19184</f>
        <v>18.417</v>
      </c>
      <c r="E19207" s="6" t="n">
        <f aca="false">Sens!E19184</f>
        <v>20.345</v>
      </c>
      <c r="F19207" s="6" t="n">
        <f aca="false">Sens!F19184</f>
        <v>22.3161797133988</v>
      </c>
      <c r="G19207" s="6" t="n">
        <f aca="false">Sens!G19184</f>
        <v>24.3943499673233</v>
      </c>
      <c r="H19207" s="6" t="n">
        <f aca="false">Sens!H19184</f>
        <v>26.5250243109019</v>
      </c>
      <c r="I19207" s="6" t="n">
        <f aca="false">Sens!I19184</f>
        <v>28.6884573538181</v>
      </c>
      <c r="J19207" s="6" t="n">
        <f aca="false">Sens!J19184</f>
        <v>30.8624968052127</v>
      </c>
      <c r="K19207" s="6" t="n">
        <f aca="false">Sens!K19184</f>
        <v>33.0228715815776</v>
      </c>
    </row>
    <row r="19208" customFormat="false" ht="15" hidden="false" customHeight="false" outlineLevel="0" collapsed="false">
      <c r="A19208" s="0" t="s">
        <v>1040</v>
      </c>
      <c r="B19208" s="0" t="s">
        <v>98</v>
      </c>
      <c r="D19208" s="6" t="n">
        <f aca="false">Sens!D19186</f>
        <v>7.76</v>
      </c>
      <c r="E19208" s="6" t="n">
        <f aca="false">Sens!E19186</f>
        <v>8.26</v>
      </c>
      <c r="F19208" s="6" t="n">
        <f aca="false">Sens!F19186</f>
        <v>8.75372082474227</v>
      </c>
      <c r="G19208" s="6" t="n">
        <f aca="false">Sens!G19186</f>
        <v>9.33399324642364</v>
      </c>
      <c r="H19208" s="6" t="n">
        <f aca="false">Sens!H19186</f>
        <v>9.96139155535851</v>
      </c>
      <c r="I19208" s="6" t="n">
        <f aca="false">Sens!I19186</f>
        <v>10.6402039077391</v>
      </c>
      <c r="J19208" s="6" t="n">
        <f aca="false">Sens!J19186</f>
        <v>11.3751458271397</v>
      </c>
      <c r="K19208" s="6" t="n">
        <f aca="false">Sens!K19186</f>
        <v>12.1714060350394</v>
      </c>
    </row>
    <row r="19209" customFormat="false" ht="15" hidden="false" customHeight="false" outlineLevel="0" collapsed="false">
      <c r="A19209" s="0" t="s">
        <v>856</v>
      </c>
      <c r="B19209" s="0" t="s">
        <v>98</v>
      </c>
      <c r="D19209" s="6" t="n">
        <f aca="false">Sens!D19188</f>
        <v>218.783</v>
      </c>
      <c r="E19209" s="6" t="n">
        <f aca="false">Sens!E19188</f>
        <v>268.127</v>
      </c>
      <c r="F19209" s="6" t="n">
        <f aca="false">Sens!F19188</f>
        <v>335.111347294531</v>
      </c>
      <c r="G19209" s="6" t="n">
        <f aca="false">Sens!G19188</f>
        <v>410.657071683405</v>
      </c>
      <c r="H19209" s="6" t="n">
        <f aca="false">Sens!H19188</f>
        <v>487.577308443551</v>
      </c>
      <c r="I19209" s="6" t="n">
        <f aca="false">Sens!I19188</f>
        <v>557.824697673421</v>
      </c>
      <c r="J19209" s="6" t="n">
        <f aca="false">Sens!J19188</f>
        <v>614.677961018603</v>
      </c>
      <c r="K19209" s="6" t="n">
        <f aca="false">Sens!K19188</f>
        <v>659.872295045812</v>
      </c>
    </row>
    <row r="19210" customFormat="false" ht="15" hidden="false" customHeight="false" outlineLevel="0" collapsed="false">
      <c r="A19210" s="0" t="s">
        <v>1041</v>
      </c>
      <c r="B19210" s="0" t="s">
        <v>98</v>
      </c>
      <c r="D19210" s="6" t="n">
        <f aca="false">Sens!D19189</f>
        <v>22.171</v>
      </c>
      <c r="E19210" s="6" t="n">
        <f aca="false">Sens!E19189</f>
        <v>24.835</v>
      </c>
      <c r="F19210" s="6" t="n">
        <f aca="false">Sens!F19189</f>
        <v>27.5591895660247</v>
      </c>
      <c r="G19210" s="6" t="n">
        <f aca="false">Sens!G19189</f>
        <v>30.4098563144583</v>
      </c>
      <c r="H19210" s="6" t="n">
        <f aca="false">Sens!H19189</f>
        <v>33.3011792571777</v>
      </c>
      <c r="I19210" s="6" t="n">
        <f aca="false">Sens!I19189</f>
        <v>36.189023797112</v>
      </c>
      <c r="J19210" s="6" t="n">
        <f aca="false">Sens!J19189</f>
        <v>39.0247773769199</v>
      </c>
      <c r="K19210" s="6" t="n">
        <f aca="false">Sens!K19189</f>
        <v>41.7565117933043</v>
      </c>
    </row>
    <row r="19211" customFormat="false" ht="15" hidden="false" customHeight="false" outlineLevel="0" collapsed="false">
      <c r="A19211" s="0" t="s">
        <v>1042</v>
      </c>
      <c r="B19211" s="0" t="s">
        <v>98</v>
      </c>
      <c r="D19211" s="6" t="n">
        <f aca="false">Sens!D19191</f>
        <v>23.455</v>
      </c>
      <c r="E19211" s="6" t="n">
        <f aca="false">Sens!E19191</f>
        <v>21.79</v>
      </c>
      <c r="F19211" s="6" t="n">
        <f aca="false">Sens!F19191</f>
        <v>20.7520981041711</v>
      </c>
      <c r="G19211" s="6" t="n">
        <f aca="false">Sens!G19191</f>
        <v>19.9083593495882</v>
      </c>
      <c r="H19211" s="6" t="n">
        <f aca="false">Sens!H19191</f>
        <v>19.4008256265831</v>
      </c>
      <c r="I19211" s="6" t="n">
        <f aca="false">Sens!I19191</f>
        <v>19.200434522122</v>
      </c>
      <c r="J19211" s="6" t="n">
        <f aca="false">Sens!J19191</f>
        <v>19.2932782348507</v>
      </c>
      <c r="K19211" s="6" t="n">
        <f aca="false">Sens!K19191</f>
        <v>19.6791437995477</v>
      </c>
    </row>
    <row r="19212" customFormat="false" ht="15" hidden="false" customHeight="false" outlineLevel="0" collapsed="false">
      <c r="A19212" s="0" t="s">
        <v>1043</v>
      </c>
      <c r="B19212" s="0" t="s">
        <v>98</v>
      </c>
      <c r="D19212" s="6" t="n">
        <f aca="false">Sens!D19193</f>
        <v>17.315</v>
      </c>
      <c r="E19212" s="6" t="n">
        <f aca="false">Sens!E19193</f>
        <v>17.087</v>
      </c>
      <c r="F19212" s="6" t="n">
        <f aca="false">Sens!F19193</f>
        <v>15.9912273250553</v>
      </c>
      <c r="G19212" s="6" t="n">
        <f aca="false">Sens!G19193</f>
        <v>15.9574562664827</v>
      </c>
      <c r="H19212" s="6" t="n">
        <f aca="false">Sens!H19193</f>
        <v>16.0119687434196</v>
      </c>
      <c r="I19212" s="6" t="n">
        <f aca="false">Sens!I19193</f>
        <v>16.1551810001948</v>
      </c>
      <c r="J19212" s="6" t="n">
        <f aca="false">Sens!J19193</f>
        <v>16.3889793892005</v>
      </c>
      <c r="K19212" s="6" t="n">
        <f aca="false">Sens!K19193</f>
        <v>16.7167589769845</v>
      </c>
    </row>
    <row r="19213" customFormat="false" ht="15" hidden="false" customHeight="false" outlineLevel="0" collapsed="false">
      <c r="A19213" s="0" t="s">
        <v>870</v>
      </c>
      <c r="B19213" s="0" t="s">
        <v>98</v>
      </c>
      <c r="D19213" s="6" t="n">
        <f aca="false">Sens!D19195</f>
        <v>62.941</v>
      </c>
      <c r="E19213" s="6" t="n">
        <f aca="false">Sens!E19195</f>
        <v>63.712</v>
      </c>
      <c r="F19213" s="6" t="n">
        <f aca="false">Sens!F19195</f>
        <v>64.3025149952511</v>
      </c>
      <c r="G19213" s="6" t="n">
        <f aca="false">Sens!G19195</f>
        <v>66.2756719305292</v>
      </c>
      <c r="H19213" s="6" t="n">
        <f aca="false">Sens!H19195</f>
        <v>68.7139736271804</v>
      </c>
      <c r="I19213" s="6" t="n">
        <f aca="false">Sens!I19195</f>
        <v>71.5446393194289</v>
      </c>
      <c r="J19213" s="6" t="n">
        <f aca="false">Sens!J19195</f>
        <v>74.707035000971</v>
      </c>
      <c r="K19213" s="6" t="n">
        <f aca="false">Sens!K19195</f>
        <v>78.1524145698365</v>
      </c>
    </row>
    <row r="19214" customFormat="false" ht="15" hidden="false" customHeight="false" outlineLevel="0" collapsed="false">
      <c r="A19214" s="1" t="s">
        <v>1059</v>
      </c>
      <c r="B19214" s="0" t="s">
        <v>98</v>
      </c>
      <c r="D19214" s="6" t="n">
        <f aca="false">Sens!D19196</f>
        <v>281.724</v>
      </c>
      <c r="E19214" s="6" t="n">
        <f aca="false">Sens!E19196</f>
        <v>331.839</v>
      </c>
      <c r="F19214" s="6" t="n">
        <f aca="false">Sens!F19196</f>
        <v>399.413862289782</v>
      </c>
      <c r="G19214" s="6" t="n">
        <f aca="false">Sens!G19196</f>
        <v>476.932743613934</v>
      </c>
      <c r="H19214" s="6" t="n">
        <f aca="false">Sens!H19196</f>
        <v>556.291282070731</v>
      </c>
      <c r="I19214" s="6" t="n">
        <f aca="false">Sens!I19196</f>
        <v>629.369336992849</v>
      </c>
      <c r="J19214" s="6" t="n">
        <f aca="false">Sens!J19196</f>
        <v>689.384996019574</v>
      </c>
      <c r="K19214" s="6" t="n">
        <f aca="false">Sens!K19196</f>
        <v>738.024709615648</v>
      </c>
    </row>
    <row r="19215" customFormat="false" ht="15" hidden="false" customHeight="false" outlineLevel="0" collapsed="false">
      <c r="A19215" s="1" t="s">
        <v>1060</v>
      </c>
      <c r="B19215" s="0" t="s">
        <v>168</v>
      </c>
      <c r="E19215" s="7" t="n">
        <f aca="false">Sens!E19214/Sens!D19214-1</f>
        <v>0.177886867998467</v>
      </c>
      <c r="F19215" s="7" t="n">
        <f aca="false">Sens!F19214/Sens!E19214-1</f>
        <v>0.203637493753845</v>
      </c>
      <c r="G19215" s="7" t="n">
        <f aca="false">Sens!G19214/Sens!F19214-1</f>
        <v>0.194081599671446</v>
      </c>
      <c r="H19215" s="7" t="n">
        <f aca="false">Sens!H19214/Sens!G19214-1</f>
        <v>0.166393562864781</v>
      </c>
      <c r="I19215" s="7" t="n">
        <f aca="false">Sens!I19214/Sens!H19214-1</f>
        <v>0.131366529150148</v>
      </c>
      <c r="J19215" s="7" t="n">
        <f aca="false">Sens!J19214/Sens!I19214-1</f>
        <v>0.0953584096001268</v>
      </c>
      <c r="K19215" s="7" t="n">
        <f aca="false">Sens!K19214/Sens!J19214-1</f>
        <v>0.0705552251309711</v>
      </c>
    </row>
    <row r="19216" customFormat="false" ht="17.15" hidden="false" customHeight="false" outlineLevel="0" collapsed="false">
      <c r="A19216" s="26" t="s">
        <v>1061</v>
      </c>
      <c r="B19216" s="31" t="s">
        <v>98</v>
      </c>
      <c r="C19216" s="31"/>
      <c r="D19216" s="27" t="n">
        <f aca="false">(Sens!D19209+Sens!D19213-Sens!D19214)+(Sens!D19201+Sens!D19202-Sens!D19200)+(Sens!D19204+Sens!D19205-Sens!D19203)+(Sens!D19214-Q!L18)</f>
        <v>0</v>
      </c>
      <c r="E19216" s="27" t="n">
        <f aca="false">(Sens!E19209+Sens!E19213-Sens!E19214)+(Sens!E19201+Sens!E19202-Sens!E19200)+(Sens!E19204+Sens!E19205-Sens!E19203)+(Sens!E19214-Q!M18)</f>
        <v>0</v>
      </c>
      <c r="F19216" s="27" t="n">
        <f aca="false">(Sens!F19209+Sens!F19213-Sens!F19214)+(Sens!F19201+Sens!F19202-Sens!F19200)+(Sens!F19204+Sens!F19205-Sens!F19203)</f>
        <v>0</v>
      </c>
      <c r="G19216" s="27" t="n">
        <f aca="false">(Sens!G19209+Sens!G19213-Sens!G19214)+(Sens!G19201+Sens!G19202-Sens!G19200)+(Sens!G19204+Sens!G19205-Sens!G19203)</f>
        <v>0</v>
      </c>
      <c r="H19216" s="27" t="n">
        <f aca="false">(Sens!H19209+Sens!H19213-Sens!H19214)+(Sens!H19201+Sens!H19202-Sens!H19200)+(Sens!H19204+Sens!H19205-Sens!H19203)</f>
        <v>0</v>
      </c>
      <c r="I19216" s="27" t="n">
        <f aca="false">(Sens!I19209+Sens!I19213-Sens!I19214)+(Sens!I19201+Sens!I19202-Sens!I19200)+(Sens!I19204+Sens!I19205-Sens!I19203)</f>
        <v>0</v>
      </c>
      <c r="J19216" s="27" t="n">
        <f aca="false">(Sens!J19209+Sens!J19213-Sens!J19214)+(Sens!J19201+Sens!J19202-Sens!J19200)+(Sens!J19204+Sens!J19205-Sens!J19203)</f>
        <v>0</v>
      </c>
      <c r="K19216" s="27" t="n">
        <f aca="false">(Sens!K19209+Sens!K19213-Sens!K19214)+(Sens!K19201+Sens!K19202-Sens!K19200)+(Sens!K19204+Sens!K19205-Sens!K19203)</f>
        <v>0</v>
      </c>
    </row>
    <row r="19217" customFormat="false" ht="17.15" hidden="false" customHeight="false" outlineLevel="0" collapsed="false">
      <c r="A19217" s="0" t="s">
        <v>1062</v>
      </c>
      <c r="B19217" s="0" t="s">
        <v>168</v>
      </c>
      <c r="E19217" s="7" t="n">
        <f aca="false">(Q!M21+Sens!E19153+Sens!E19154+Sens!E19155+Sens!E19169-Sens!E19151)/(Q!M5-Sens!E19151)</f>
        <v>0.570957350878296</v>
      </c>
      <c r="F19217" s="7" t="n">
        <f aca="false">Sens!$E$19217+dm_seg</f>
        <v>0.570957350878296</v>
      </c>
      <c r="G19217" s="7" t="n">
        <f aca="false">Sens!$E$19217+dm_seg</f>
        <v>0.570957350878296</v>
      </c>
      <c r="H19217" s="7" t="n">
        <f aca="false">Sens!$E$19217+dm_seg</f>
        <v>0.570957350878296</v>
      </c>
      <c r="I19217" s="7" t="n">
        <f aca="false">Sens!$E$19217+dm_seg</f>
        <v>0.570957350878296</v>
      </c>
      <c r="J19217" s="7" t="n">
        <f aca="false">Sens!$E$19217+dm_seg</f>
        <v>0.570957350878296</v>
      </c>
      <c r="K19217" s="7" t="n">
        <f aca="false">Sens!$E$19217+dm_seg</f>
        <v>0.570957350878296</v>
      </c>
      <c r="L19217" s="12" t="s">
        <v>1063</v>
      </c>
    </row>
    <row r="19218" customFormat="false" ht="17.15" hidden="false" customHeight="false" outlineLevel="0" collapsed="false">
      <c r="A19218" s="0" t="s">
        <v>884</v>
      </c>
      <c r="B19218" s="0" t="s">
        <v>98</v>
      </c>
      <c r="D19218" s="6" t="n">
        <f aca="false">Q!L21</f>
        <v>110.814</v>
      </c>
      <c r="E19218" s="6" t="n">
        <f aca="false">Q!M21</f>
        <v>136.365</v>
      </c>
      <c r="F19218" s="6" t="n">
        <f aca="false">Q!$I$21+(Sens!F19217*(Sens!F19188-Sens!F19151)+Sens!F19151-(Sens!F19153+Sens!F19154+Sens!F19155)-Sens!F19169-Sens!F19252)*(Sens!F19188-Q!$I$5)/Sens!F19188</f>
        <v>162.558786268996</v>
      </c>
      <c r="G19218" s="6" t="n">
        <f aca="false">(Sens!G19217*(Sens!G19188-Sens!G19151)+Sens!G19151-(Sens!G19153+Sens!G19154+Sens!G19155)-Sens!G19169-Sens!G19252)</f>
        <v>178.488302389789</v>
      </c>
      <c r="H19218" s="6" t="n">
        <f aca="false">(Sens!H19217*(Sens!H19188-Sens!H19151)+Sens!H19151-(Sens!H19153+Sens!H19154+Sens!H19155)-Sens!H19169-Sens!H19252)</f>
        <v>198.070054353442</v>
      </c>
      <c r="I19218" s="6" t="n">
        <f aca="false">(Sens!I19217*(Sens!I19188-Sens!I19151)+Sens!I19151-(Sens!I19153+Sens!I19154+Sens!I19155)-Sens!I19169-Sens!I19252)</f>
        <v>216.7359698021</v>
      </c>
      <c r="J19218" s="6" t="n">
        <f aca="false">(Sens!J19217*(Sens!J19188-Sens!J19151)+Sens!J19151-(Sens!J19153+Sens!J19154+Sens!J19155)-Sens!J19169-Sens!J19252)</f>
        <v>234.059762819172</v>
      </c>
      <c r="K19218" s="6" t="n">
        <f aca="false">(Sens!K19217*(Sens!K19188-Sens!K19151)+Sens!K19151-(Sens!K19153+Sens!K19154+Sens!K19155)-Sens!K19169-Sens!K19252)</f>
        <v>250.865338787788</v>
      </c>
      <c r="L19218" s="1" t="s">
        <v>1064</v>
      </c>
    </row>
    <row r="19219" customFormat="false" ht="17.15" hidden="false" customHeight="false" outlineLevel="0" collapsed="false">
      <c r="A19219" s="0" t="s">
        <v>1065</v>
      </c>
      <c r="B19219" s="0" t="s">
        <v>168</v>
      </c>
      <c r="E19219" s="7" t="n">
        <f aca="false">Q!M22/Q!M12</f>
        <v>0.296207935710698</v>
      </c>
      <c r="F19219" s="7" t="n">
        <f aca="false">Sens!$E$19219+dm_seg</f>
        <v>0.296207935710698</v>
      </c>
      <c r="G19219" s="7" t="n">
        <f aca="false">Sens!$E$19219+dm_seg</f>
        <v>0.296207935710698</v>
      </c>
      <c r="H19219" s="7" t="n">
        <f aca="false">Sens!$E$19219+dm_seg</f>
        <v>0.296207935710698</v>
      </c>
      <c r="I19219" s="7" t="n">
        <f aca="false">Sens!$E$19219+dm_seg</f>
        <v>0.296207935710698</v>
      </c>
      <c r="J19219" s="7" t="n">
        <f aca="false">Sens!$E$19219+dm_seg</f>
        <v>0.296207935710698</v>
      </c>
      <c r="K19219" s="7" t="n">
        <f aca="false">Sens!$E$19219+dm_seg</f>
        <v>0.296207935710698</v>
      </c>
      <c r="L19219" s="12" t="s">
        <v>1066</v>
      </c>
    </row>
    <row r="19220" customFormat="false" ht="17.15" hidden="false" customHeight="false" outlineLevel="0" collapsed="false">
      <c r="A19220" s="0" t="s">
        <v>886</v>
      </c>
      <c r="B19220" s="0" t="s">
        <v>98</v>
      </c>
      <c r="D19220" s="6" t="n">
        <f aca="false">Q!L22</f>
        <v>17.714</v>
      </c>
      <c r="E19220" s="6" t="n">
        <f aca="false">Q!M22</f>
        <v>18.872</v>
      </c>
      <c r="F19220" s="6" t="n">
        <f aca="false">Q!$I$22+(Sens!F19195-Q!$I$12)*Sens!F19219</f>
        <v>19.8174315512051</v>
      </c>
      <c r="G19220" s="6" t="n">
        <f aca="false">Sens!G19195*Sens!G19219</f>
        <v>19.6313799703815</v>
      </c>
      <c r="H19220" s="6" t="n">
        <f aca="false">Sens!H19195*Sens!H19219</f>
        <v>20.3536242825865</v>
      </c>
      <c r="I19220" s="6" t="n">
        <f aca="false">Sens!I19195*Sens!I19219</f>
        <v>21.1920899239745</v>
      </c>
      <c r="J19220" s="6" t="n">
        <f aca="false">Sens!J19195*Sens!J19219</f>
        <v>22.1288166207045</v>
      </c>
      <c r="K19220" s="6" t="n">
        <f aca="false">Sens!K19195*Sens!K19219</f>
        <v>23.1493653905379</v>
      </c>
      <c r="L19220" s="12" t="s">
        <v>1067</v>
      </c>
    </row>
    <row r="19221" customFormat="false" ht="15" hidden="false" customHeight="false" outlineLevel="0" collapsed="false">
      <c r="A19221" s="1" t="s">
        <v>1068</v>
      </c>
      <c r="B19221" s="0" t="s">
        <v>98</v>
      </c>
      <c r="D19221" s="6" t="n">
        <f aca="false">Sens!D19218+Sens!D19220</f>
        <v>128.528</v>
      </c>
      <c r="E19221" s="6" t="n">
        <f aca="false">Sens!E19218+Sens!E19220</f>
        <v>155.237</v>
      </c>
      <c r="F19221" s="6" t="n">
        <f aca="false">Sens!F19218+Sens!F19220</f>
        <v>182.376217820201</v>
      </c>
      <c r="G19221" s="6" t="n">
        <f aca="false">Sens!G19218+Sens!G19220</f>
        <v>198.119682360171</v>
      </c>
      <c r="H19221" s="6" t="n">
        <f aca="false">Sens!H19218+Sens!H19220</f>
        <v>218.423678636029</v>
      </c>
      <c r="I19221" s="6" t="n">
        <f aca="false">Sens!I19218+Sens!I19220</f>
        <v>237.928059726074</v>
      </c>
      <c r="J19221" s="6" t="n">
        <f aca="false">Sens!J19218+Sens!J19220</f>
        <v>256.188579439876</v>
      </c>
      <c r="K19221" s="6" t="n">
        <f aca="false">Sens!K19218+Sens!K19220</f>
        <v>274.014704178326</v>
      </c>
    </row>
    <row r="19222" customFormat="false" ht="15" hidden="false" customHeight="false" outlineLevel="0" collapsed="false">
      <c r="A19222" s="26" t="s">
        <v>1069</v>
      </c>
      <c r="B19222" s="31" t="s">
        <v>98</v>
      </c>
      <c r="C19222" s="31"/>
      <c r="D19222" s="27" t="n">
        <f aca="false">Sens!D19221-Q!L23</f>
        <v>0</v>
      </c>
      <c r="E19222" s="27" t="n">
        <f aca="false">Sens!E19221-Q!M23</f>
        <v>0</v>
      </c>
      <c r="F19222" s="31"/>
      <c r="G19222" s="31"/>
      <c r="H19222" s="31"/>
      <c r="I19222" s="31"/>
      <c r="J19222" s="31"/>
      <c r="K19222" s="31"/>
    </row>
    <row r="19223" customFormat="false" ht="15" hidden="false" customHeight="false" outlineLevel="0" collapsed="false">
      <c r="A19223" s="1" t="s">
        <v>1070</v>
      </c>
      <c r="B19223" s="0" t="s">
        <v>168</v>
      </c>
      <c r="D19223" s="7" t="n">
        <f aca="false">Sens!D19221/Sens!D19214</f>
        <v>0.456219562408598</v>
      </c>
      <c r="E19223" s="7" t="n">
        <f aca="false">Sens!E19221/Sens!E19214</f>
        <v>0.467808184089272</v>
      </c>
      <c r="F19223" s="7" t="n">
        <f aca="false">Sens!F19221/Sens!F19214</f>
        <v>0.45660963486511</v>
      </c>
      <c r="G19223" s="7" t="n">
        <f aca="false">Sens!G19221/Sens!G19214</f>
        <v>0.415403817441698</v>
      </c>
      <c r="H19223" s="7" t="n">
        <f aca="false">Sens!H19221/Sens!H19214</f>
        <v>0.392642641860163</v>
      </c>
      <c r="I19223" s="7" t="n">
        <f aca="false">Sens!I19221/Sens!I19214</f>
        <v>0.378042026742046</v>
      </c>
      <c r="J19223" s="7" t="n">
        <f aca="false">Sens!J19221/Sens!J19214</f>
        <v>0.371619024085349</v>
      </c>
      <c r="K19223" s="7" t="n">
        <f aca="false">Sens!K19221/Sens!K19214</f>
        <v>0.371281205911152</v>
      </c>
    </row>
    <row r="19224" customFormat="false" ht="17.15" hidden="false" customHeight="false" outlineLevel="0" collapsed="false">
      <c r="A19224" s="1" t="s">
        <v>1071</v>
      </c>
      <c r="B19224" s="0" t="s">
        <v>98</v>
      </c>
      <c r="F19224" s="6" t="n">
        <f aca="false">Sens!F19239</f>
        <v>9.73076932882855</v>
      </c>
      <c r="G19224" s="6" t="n">
        <f aca="false">Sens!G19239</f>
        <v>25.2715075641513</v>
      </c>
      <c r="H19224" s="6" t="n">
        <f aca="false">Sens!H19239</f>
        <v>42.3817840209461</v>
      </c>
      <c r="I19224" s="6" t="n">
        <f aca="false">Sens!I19239</f>
        <v>58.0172395594533</v>
      </c>
      <c r="J19224" s="6" t="n">
        <f aca="false">Sens!J19239</f>
        <v>69.0645937106767</v>
      </c>
      <c r="K19224" s="6" t="n">
        <f aca="false">Sens!K19239</f>
        <v>75.3721523398898</v>
      </c>
      <c r="L19224" s="1" t="s">
        <v>1072</v>
      </c>
    </row>
    <row r="19225" customFormat="false" ht="17.15" hidden="false" customHeight="false" outlineLevel="0" collapsed="false">
      <c r="A19225" s="1" t="s">
        <v>1073</v>
      </c>
      <c r="B19225" s="0" t="s">
        <v>98</v>
      </c>
      <c r="D19225" s="6" t="n">
        <f aca="false">Sens!D19221</f>
        <v>128.528</v>
      </c>
      <c r="E19225" s="6" t="n">
        <f aca="false">Sens!E19221</f>
        <v>155.237</v>
      </c>
      <c r="F19225" s="6" t="n">
        <f aca="false">Sens!F19221+Sens!F19224</f>
        <v>192.106987149029</v>
      </c>
      <c r="G19225" s="6" t="n">
        <f aca="false">Sens!G19221+Sens!G19224</f>
        <v>223.391189924322</v>
      </c>
      <c r="H19225" s="6" t="n">
        <f aca="false">Sens!H19221+Sens!H19224</f>
        <v>260.805462656975</v>
      </c>
      <c r="I19225" s="6" t="n">
        <f aca="false">Sens!I19221+Sens!I19224</f>
        <v>295.945299285528</v>
      </c>
      <c r="J19225" s="6" t="n">
        <f aca="false">Sens!J19221+Sens!J19224</f>
        <v>325.253173150553</v>
      </c>
      <c r="K19225" s="6" t="n">
        <f aca="false">Sens!K19221+Sens!K19224</f>
        <v>349.386856518216</v>
      </c>
    </row>
    <row r="19226" customFormat="false" ht="17.15" hidden="false" customHeight="false" outlineLevel="0" collapsed="false">
      <c r="A19226" s="1" t="s">
        <v>1074</v>
      </c>
      <c r="B19226" s="0" t="s">
        <v>98</v>
      </c>
      <c r="E19226" s="6" t="n">
        <f aca="false">Sens!E19169</f>
        <v>16.3054059770833</v>
      </c>
      <c r="F19226" s="6" t="n">
        <f aca="false">Sens!F19169</f>
        <v>34.641228276809</v>
      </c>
      <c r="G19226" s="6" t="n">
        <f aca="false">Sens!G19169</f>
        <v>60.9344867500193</v>
      </c>
      <c r="H19226" s="6" t="n">
        <f aca="false">Sens!H19169</f>
        <v>89.440318654396</v>
      </c>
      <c r="I19226" s="6" t="n">
        <f aca="false">Sens!I19169</f>
        <v>114.777494622816</v>
      </c>
      <c r="J19226" s="6" t="n">
        <f aca="false">Sens!J19169</f>
        <v>132.880875699293</v>
      </c>
      <c r="K19226" s="6" t="n">
        <f aca="false">Sens!K19169</f>
        <v>144.355521672042</v>
      </c>
    </row>
    <row r="19227" customFormat="false" ht="17.15" hidden="false" customHeight="false" outlineLevel="0" collapsed="false">
      <c r="A19227" s="1" t="s">
        <v>1075</v>
      </c>
      <c r="B19227" s="0" t="s">
        <v>98</v>
      </c>
      <c r="E19227" s="6" t="n">
        <f aca="false">Sens!E19251</f>
        <v>22.2285940229167</v>
      </c>
      <c r="F19227" s="6" t="n">
        <f aca="false">Sens!F19251</f>
        <v>23.5783018048442</v>
      </c>
      <c r="G19227" s="6" t="n">
        <f aca="false">Sens!G19251</f>
        <v>25.3540836141256</v>
      </c>
      <c r="H19227" s="6" t="n">
        <f aca="false">Sens!H19251</f>
        <v>27.5219096923704</v>
      </c>
      <c r="I19227" s="6" t="n">
        <f aca="false">Sens!I19251</f>
        <v>30.0152599359014</v>
      </c>
      <c r="J19227" s="6" t="n">
        <f aca="false">Sens!J19251</f>
        <v>32.75076494421</v>
      </c>
      <c r="K19227" s="6" t="n">
        <f aca="false">Sens!K19251</f>
        <v>35.6441124404069</v>
      </c>
    </row>
    <row r="19228" customFormat="false" ht="17.15" hidden="false" customHeight="false" outlineLevel="0" collapsed="false">
      <c r="A19228" s="1" t="s">
        <v>1076</v>
      </c>
      <c r="B19228" s="0" t="s">
        <v>98</v>
      </c>
      <c r="D19228" s="6" t="n">
        <f aca="false">Q!L27</f>
        <v>-4.901</v>
      </c>
      <c r="E19228" s="6" t="n">
        <f aca="false">Q!M27</f>
        <v>10.697</v>
      </c>
      <c r="F19228" s="6" t="n">
        <f aca="false">Q!$I$27+oie_f*(q_per_yr-1)/q_per_yr</f>
        <v>-0.862</v>
      </c>
      <c r="G19228" s="6" t="n">
        <f aca="false">oie_f</f>
        <v>-1.2</v>
      </c>
      <c r="H19228" s="6" t="n">
        <f aca="false">oie_f</f>
        <v>-1.2</v>
      </c>
      <c r="I19228" s="6" t="n">
        <f aca="false">oie_f</f>
        <v>-1.2</v>
      </c>
      <c r="J19228" s="6" t="n">
        <f aca="false">oie_f</f>
        <v>-1.2</v>
      </c>
      <c r="K19228" s="6" t="n">
        <f aca="false">oie_f</f>
        <v>-1.2</v>
      </c>
      <c r="L19228" s="12" t="s">
        <v>1077</v>
      </c>
    </row>
    <row r="19229" customFormat="false" ht="15" hidden="false" customHeight="false" outlineLevel="0" collapsed="false">
      <c r="A19229" s="1" t="s">
        <v>1078</v>
      </c>
      <c r="B19229" s="0" t="s">
        <v>98</v>
      </c>
      <c r="D19229" s="6" t="n">
        <f aca="false">Sens!D19221+Sens!D19228</f>
        <v>123.627</v>
      </c>
      <c r="E19229" s="6" t="n">
        <f aca="false">Sens!E19221+Sens!E19228</f>
        <v>165.934</v>
      </c>
      <c r="F19229" s="6" t="n">
        <f aca="false">Sens!F19221+Sens!F19228</f>
        <v>181.514217820201</v>
      </c>
      <c r="G19229" s="6" t="n">
        <f aca="false">Sens!G19221+Sens!G19228</f>
        <v>196.919682360171</v>
      </c>
      <c r="H19229" s="6" t="n">
        <f aca="false">Sens!H19221+Sens!H19228</f>
        <v>217.223678636029</v>
      </c>
      <c r="I19229" s="6" t="n">
        <f aca="false">Sens!I19221+Sens!I19228</f>
        <v>236.728059726074</v>
      </c>
      <c r="J19229" s="6" t="n">
        <f aca="false">Sens!J19221+Sens!J19228</f>
        <v>254.988579439876</v>
      </c>
      <c r="K19229" s="6" t="n">
        <f aca="false">Sens!K19221+Sens!K19228</f>
        <v>272.814704178326</v>
      </c>
    </row>
    <row r="19230" customFormat="false" ht="15" hidden="false" customHeight="false" outlineLevel="0" collapsed="false">
      <c r="A19230" s="1" t="s">
        <v>1079</v>
      </c>
      <c r="B19230" s="0" t="s">
        <v>98</v>
      </c>
      <c r="D19230" s="6" t="n">
        <f aca="false">Q!L29</f>
        <v>21.795</v>
      </c>
      <c r="E19230" s="6" t="n">
        <f aca="false">Q!M29</f>
        <v>32.185</v>
      </c>
      <c r="F19230" s="6" t="n">
        <f aca="false">Q!$I$29+(Sens!F19229-Q!$I$28)*tax_f</f>
        <v>36.4362435640402</v>
      </c>
      <c r="G19230" s="6" t="n">
        <f aca="false">Sens!G19229*tax_f</f>
        <v>39.3839364720342</v>
      </c>
      <c r="H19230" s="6" t="n">
        <f aca="false">Sens!H19229*tax_f</f>
        <v>43.4447357272058</v>
      </c>
      <c r="I19230" s="6" t="n">
        <f aca="false">Sens!I19229*tax_f</f>
        <v>47.3456119452149</v>
      </c>
      <c r="J19230" s="6" t="n">
        <f aca="false">Sens!J19229*tax_f</f>
        <v>50.9977158879753</v>
      </c>
      <c r="K19230" s="6" t="n">
        <f aca="false">Sens!K19229*tax_f</f>
        <v>54.5629408356652</v>
      </c>
    </row>
    <row r="19231" customFormat="false" ht="15" hidden="false" customHeight="false" outlineLevel="0" collapsed="false">
      <c r="A19231" s="1" t="s">
        <v>1080</v>
      </c>
      <c r="B19231" s="0" t="s">
        <v>98</v>
      </c>
      <c r="D19231" s="6" t="n">
        <f aca="false">Sens!D19229-Sens!D19230</f>
        <v>101.832</v>
      </c>
      <c r="E19231" s="6" t="n">
        <f aca="false">Sens!E19229-Sens!E19230</f>
        <v>133.749</v>
      </c>
      <c r="F19231" s="6" t="n">
        <f aca="false">Sens!F19229-Sens!F19230</f>
        <v>145.077974256161</v>
      </c>
      <c r="G19231" s="6" t="n">
        <f aca="false">Sens!G19229-Sens!G19230</f>
        <v>157.535745888137</v>
      </c>
      <c r="H19231" s="6" t="n">
        <f aca="false">Sens!H19229-Sens!H19230</f>
        <v>173.778942908823</v>
      </c>
      <c r="I19231" s="6" t="n">
        <f aca="false">Sens!I19229-Sens!I19230</f>
        <v>189.38244778086</v>
      </c>
      <c r="J19231" s="6" t="n">
        <f aca="false">Sens!J19229-Sens!J19230</f>
        <v>203.990863551901</v>
      </c>
      <c r="K19231" s="6" t="n">
        <f aca="false">Sens!K19229-Sens!K19230</f>
        <v>218.251763342661</v>
      </c>
    </row>
    <row r="19232" customFormat="false" ht="17.15" hidden="false" customHeight="false" outlineLevel="0" collapsed="false">
      <c r="A19232" s="1" t="s">
        <v>1081</v>
      </c>
      <c r="B19232" s="1" t="s">
        <v>81</v>
      </c>
      <c r="D19232" s="15" t="n">
        <f aca="false">Q!L31</f>
        <v>7.465</v>
      </c>
      <c r="E19232" s="15" t="n">
        <f aca="false">Q!M31</f>
        <v>7.453</v>
      </c>
      <c r="F19232" s="15" t="n">
        <f aca="false">Sens!F19276</f>
        <v>7.47284817598592</v>
      </c>
      <c r="G19232" s="15" t="n">
        <f aca="false">Sens!G19276</f>
        <v>7.51719635197183</v>
      </c>
      <c r="H19232" s="15" t="n">
        <f aca="false">Sens!H19276</f>
        <v>7.54489629100064</v>
      </c>
      <c r="I19232" s="15" t="n">
        <f aca="false">Sens!I19276</f>
        <v>7.5565776550561</v>
      </c>
      <c r="J19232" s="15" t="n">
        <f aca="false">Sens!J19276</f>
        <v>7.57072706621858</v>
      </c>
      <c r="K19232" s="15" t="n">
        <f aca="false">Sens!K19276</f>
        <v>7.58716170618383</v>
      </c>
    </row>
    <row r="19233" customFormat="false" ht="17.15" hidden="false" customHeight="false" outlineLevel="0" collapsed="false">
      <c r="A19233" s="0" t="s">
        <v>1082</v>
      </c>
      <c r="B19233" s="0" t="s">
        <v>75</v>
      </c>
      <c r="D19233" s="8" t="n">
        <f aca="false">Sens!D19231/Sens!D19232</f>
        <v>13.641259209645</v>
      </c>
      <c r="E19233" s="8" t="n">
        <f aca="false">Sens!E19231/Sens!E19232</f>
        <v>17.9456594659869</v>
      </c>
      <c r="F19233" s="8" t="n">
        <f aca="false">Sens!F19231/Sens!F19232</f>
        <v>19.4140133506754</v>
      </c>
      <c r="G19233" s="8" t="n">
        <f aca="false">Sens!G19231/Sens!G19232</f>
        <v>20.9567155774524</v>
      </c>
      <c r="H19233" s="8" t="n">
        <f aca="false">Sens!H19231/Sens!H19232</f>
        <v>23.0326483236227</v>
      </c>
      <c r="I19233" s="8" t="n">
        <f aca="false">Sens!I19231/Sens!I19232</f>
        <v>25.0619336458673</v>
      </c>
      <c r="J19233" s="8" t="n">
        <f aca="false">Sens!J19231/Sens!J19232</f>
        <v>26.9446859948407</v>
      </c>
      <c r="K19233" s="8" t="n">
        <f aca="false">Sens!K19231/Sens!K19232</f>
        <v>28.7659301059548</v>
      </c>
      <c r="L19233" s="1" t="s">
        <v>1083</v>
      </c>
    </row>
    <row r="19234" customFormat="false" ht="17.15" hidden="false" customHeight="false" outlineLevel="0" collapsed="false">
      <c r="A19234" s="1" t="s">
        <v>1084</v>
      </c>
      <c r="B19234" s="0" t="s">
        <v>98</v>
      </c>
      <c r="D19234" s="6" t="n">
        <f aca="false">Sens!D19231</f>
        <v>101.832</v>
      </c>
      <c r="E19234" s="6" t="n">
        <f aca="false">Sens!E19231</f>
        <v>133.749</v>
      </c>
      <c r="F19234" s="6" t="n">
        <f aca="false">Sens!F19231+Sens!F19224*(1-tax_f)</f>
        <v>152.862589719224</v>
      </c>
      <c r="G19234" s="6" t="n">
        <f aca="false">Sens!G19231+Sens!G19224*(1-tax_f)</f>
        <v>177.752951939458</v>
      </c>
      <c r="H19234" s="6" t="n">
        <f aca="false">Sens!H19231+Sens!H19224*(1-tax_f)</f>
        <v>207.68437012558</v>
      </c>
      <c r="I19234" s="6" t="n">
        <f aca="false">Sens!I19231+Sens!I19224*(1-tax_f)</f>
        <v>235.796239428422</v>
      </c>
      <c r="J19234" s="6" t="n">
        <f aca="false">Sens!J19231+Sens!J19224*(1-tax_f)</f>
        <v>259.242538520443</v>
      </c>
      <c r="K19234" s="6" t="n">
        <f aca="false">Sens!K19231+Sens!K19224*(1-tax_f)</f>
        <v>278.549485214573</v>
      </c>
    </row>
    <row r="19235" customFormat="false" ht="17.15" hidden="false" customHeight="false" outlineLevel="0" collapsed="false">
      <c r="A19235" s="0" t="s">
        <v>1085</v>
      </c>
      <c r="B19235" s="0" t="s">
        <v>75</v>
      </c>
      <c r="D19235" s="8" t="n">
        <f aca="false">Sens!D19234/Sens!D19232</f>
        <v>13.641259209645</v>
      </c>
      <c r="E19235" s="8" t="n">
        <f aca="false">Sens!E19234/Sens!E19232</f>
        <v>17.9456594659869</v>
      </c>
      <c r="F19235" s="8" t="n">
        <f aca="false">Sens!F19234/Sens!F19232</f>
        <v>20.4557333588617</v>
      </c>
      <c r="G19235" s="8" t="n">
        <f aca="false">Sens!G19234/Sens!G19232</f>
        <v>23.6461765286777</v>
      </c>
      <c r="H19235" s="8" t="n">
        <f aca="false">Sens!H19234/Sens!H19232</f>
        <v>27.5264711555149</v>
      </c>
      <c r="I19235" s="8" t="n">
        <f aca="false">Sens!I19234/Sens!I19232</f>
        <v>31.2041045817416</v>
      </c>
      <c r="J19235" s="8" t="n">
        <f aca="false">Sens!J19234/Sens!J19232</f>
        <v>34.2427532062557</v>
      </c>
      <c r="K19235" s="8" t="n">
        <f aca="false">Sens!K19234/Sens!K19232</f>
        <v>36.7132659091138</v>
      </c>
      <c r="L19235" s="1" t="s">
        <v>1086</v>
      </c>
    </row>
    <row r="19236" customFormat="false" ht="17.15" hidden="false" customHeight="false" outlineLevel="0" collapsed="false">
      <c r="A19236" s="0" t="s">
        <v>1087</v>
      </c>
      <c r="B19236" s="0" t="s">
        <v>168</v>
      </c>
      <c r="E19236" s="7" t="n">
        <f aca="false">Sens!E19235/Sens!D19235-1</f>
        <v>0.315542736208578</v>
      </c>
      <c r="F19236" s="7" t="n">
        <f aca="false">Sens!F19235/Sens!E19235-1</f>
        <v>0.13987080818246</v>
      </c>
      <c r="G19236" s="7" t="n">
        <f aca="false">Sens!G19235/Sens!F19235-1</f>
        <v>0.155968163734099</v>
      </c>
      <c r="H19236" s="7" t="n">
        <f aca="false">Sens!H19235/Sens!G19235-1</f>
        <v>0.164098183997369</v>
      </c>
      <c r="I19236" s="7" t="n">
        <f aca="false">Sens!I19235/Sens!H19235-1</f>
        <v>0.133603519515792</v>
      </c>
      <c r="J19236" s="7" t="n">
        <f aca="false">Sens!J19235/Sens!I19235-1</f>
        <v>0.0973797731177994</v>
      </c>
      <c r="K19236" s="7" t="n">
        <f aca="false">Sens!K19235/Sens!J19235-1</f>
        <v>0.0721470229913299</v>
      </c>
    </row>
    <row r="19237" customFormat="false" ht="17.15" hidden="false" customHeight="false" outlineLevel="0" collapsed="false">
      <c r="A19237" s="0" t="s">
        <v>1007</v>
      </c>
      <c r="B19237" s="0" t="s">
        <v>98</v>
      </c>
      <c r="E19237" s="6" t="n">
        <f aca="false">Sens!E19178</f>
        <v>5.25</v>
      </c>
      <c r="F19237" s="6" t="n">
        <f aca="false">Sens!F19178</f>
        <v>12</v>
      </c>
      <c r="G19237" s="6" t="n">
        <f aca="false">Sens!G19178</f>
        <v>18</v>
      </c>
      <c r="H19237" s="6" t="n">
        <f aca="false">Sens!H19178</f>
        <v>24</v>
      </c>
      <c r="I19237" s="6" t="n">
        <f aca="false">Sens!I19178</f>
        <v>28.5</v>
      </c>
      <c r="J19237" s="6" t="n">
        <f aca="false">Sens!J19178</f>
        <v>31.5</v>
      </c>
      <c r="K19237" s="6" t="n">
        <f aca="false">Sens!K19178</f>
        <v>34.5</v>
      </c>
    </row>
    <row r="19238" customFormat="false" ht="17.15" hidden="false" customHeight="false" outlineLevel="0" collapsed="false">
      <c r="A19238" s="1" t="s">
        <v>1008</v>
      </c>
      <c r="B19238" s="0" t="s">
        <v>98</v>
      </c>
      <c r="F19238" s="6" t="n">
        <f aca="false">MAX(0,((Sens!E19138+Sens!F19138)/2-(shadow_base*(Sens!$D$19138+Sens!$E$19138)/2+(1-shadow_base)*Sens!$E$19138))*Sens!F19147/1000-(Sens!F19237-Sens!$E$19237)*Sens!F19217)</f>
        <v>9.73076932882855</v>
      </c>
      <c r="G19238" s="6" t="n">
        <f aca="false">MAX(0,((Sens!F19138+Sens!G19138)/2-(shadow_base*(Sens!$D$19138+Sens!$E$19138)/2+(1-shadow_base)*Sens!$E$19138))*Sens!G19147/1000-(Sens!G19237-Sens!$E$19237)*Sens!G19217)</f>
        <v>25.2715075641513</v>
      </c>
      <c r="H19238" s="6" t="n">
        <f aca="false">MAX(0,((Sens!G19138+Sens!H19138)/2-(shadow_base*(Sens!$D$19138+Sens!$E$19138)/2+(1-shadow_base)*Sens!$E$19138))*Sens!H19147/1000-(Sens!H19237-Sens!$E$19237)*Sens!H19217)</f>
        <v>42.3817840209461</v>
      </c>
      <c r="I19238" s="6" t="n">
        <f aca="false">MAX(0,((Sens!H19138+Sens!I19138)/2-(shadow_base*(Sens!$D$19138+Sens!$E$19138)/2+(1-shadow_base)*Sens!$E$19138))*Sens!I19147/1000-(Sens!I19237-Sens!$E$19237)*Sens!I19217)</f>
        <v>58.0172395594533</v>
      </c>
      <c r="J19238" s="6" t="n">
        <f aca="false">MAX(0,((Sens!I19138+Sens!J19138)/2-(shadow_base*(Sens!$D$19138+Sens!$E$19138)/2+(1-shadow_base)*Sens!$E$19138))*Sens!J19147/1000-(Sens!J19237-Sens!$E$19237)*Sens!J19217)</f>
        <v>69.0645937106767</v>
      </c>
      <c r="K19238" s="6" t="n">
        <f aca="false">MAX(0,((Sens!J19138+Sens!K19138)/2-(shadow_base*(Sens!$D$19138+Sens!$E$19138)/2+(1-shadow_base)*Sens!$E$19138))*Sens!K19147/1000-(Sens!K19237-Sens!$E$19237)*Sens!K19217)</f>
        <v>75.3721523398898</v>
      </c>
      <c r="L19238" s="1" t="s">
        <v>1009</v>
      </c>
    </row>
    <row r="19239" customFormat="false" ht="17.15" hidden="false" customHeight="false" outlineLevel="0" collapsed="false">
      <c r="A19239" s="1" t="s">
        <v>1010</v>
      </c>
      <c r="B19239" s="0" t="s">
        <v>98</v>
      </c>
      <c r="F19239" s="6" t="n">
        <f aca="false">IF(internal_ai_reading=2,1,0)*Sens!F19238</f>
        <v>9.73076932882855</v>
      </c>
      <c r="G19239" s="6" t="n">
        <f aca="false">IF(internal_ai_reading=2,1,0)*Sens!G19238</f>
        <v>25.2715075641513</v>
      </c>
      <c r="H19239" s="6" t="n">
        <f aca="false">IF(internal_ai_reading=2,1,0)*Sens!H19238</f>
        <v>42.3817840209461</v>
      </c>
      <c r="I19239" s="6" t="n">
        <f aca="false">IF(internal_ai_reading=2,1,0)*Sens!I19238</f>
        <v>58.0172395594533</v>
      </c>
      <c r="J19239" s="6" t="n">
        <f aca="false">IF(internal_ai_reading=2,1,0)*Sens!J19238</f>
        <v>69.0645937106767</v>
      </c>
      <c r="K19239" s="6" t="n">
        <f aca="false">IF(internal_ai_reading=2,1,0)*Sens!K19238</f>
        <v>75.3721523398898</v>
      </c>
    </row>
    <row r="19240" customFormat="false" ht="17.15" hidden="false" customHeight="false" outlineLevel="0" collapsed="false">
      <c r="A19240" s="0" t="s">
        <v>1011</v>
      </c>
      <c r="B19240" s="0" t="s">
        <v>98</v>
      </c>
      <c r="F19240" s="6" t="n">
        <f aca="false">Sens!F19157+Sens!F19237*Sens!F19217+Sens!F19239-Sens!F19158-Sens!F19169</f>
        <v>15.4219866552038</v>
      </c>
      <c r="G19240" s="6" t="n">
        <f aca="false">Sens!G19157+Sens!G19237*Sens!G19217+Sens!G19239-Sens!G19158-Sens!G19169</f>
        <v>32.0199032888727</v>
      </c>
      <c r="H19240" s="6" t="n">
        <f aca="false">Sens!H19157+Sens!H19237*Sens!H19217+Sens!H19239-Sens!H19158-Sens!H19169</f>
        <v>49.3657869852075</v>
      </c>
      <c r="I19240" s="6" t="n">
        <f aca="false">Sens!I19157+Sens!I19237*Sens!I19217+Sens!I19239-Sens!I19158-Sens!I19169</f>
        <v>64.8112010052193</v>
      </c>
      <c r="J19240" s="6" t="n">
        <f aca="false">Sens!J19157+Sens!J19237*Sens!J19217+Sens!J19239-Sens!J19158-Sens!J19169</f>
        <v>75.5737274720345</v>
      </c>
      <c r="K19240" s="6" t="n">
        <f aca="false">Sens!K19157+Sens!K19237*Sens!K19217+Sens!K19239-Sens!K19158-Sens!K19169</f>
        <v>83.1088485072225</v>
      </c>
    </row>
    <row r="19241" customFormat="false" ht="17.15" hidden="false" customHeight="false" outlineLevel="0" collapsed="false">
      <c r="A19241" s="0" t="s">
        <v>1012</v>
      </c>
      <c r="B19241" s="0" t="s">
        <v>98</v>
      </c>
      <c r="E19241" s="6" t="n">
        <f aca="false">Sens!E19137*(cxit_open+self_build*tk_cxfac)/1000*ai_net_open</f>
        <v>126.6980382</v>
      </c>
      <c r="F19241" s="6" t="n">
        <f aca="false">Sens!E19241+Sens!F19166-Sens!F19169</f>
        <v>260.531138080999</v>
      </c>
      <c r="G19241" s="6" t="n">
        <f aca="false">Sens!F19241+Sens!G19166-Sens!G19169</f>
        <v>391.732607523896</v>
      </c>
      <c r="H19241" s="6" t="n">
        <f aca="false">Sens!G19241+Sens!H19166-Sens!H19169</f>
        <v>499.144512201304</v>
      </c>
      <c r="I19241" s="6" t="n">
        <f aca="false">Sens!H19241+Sens!I19166-Sens!I19169</f>
        <v>554.184803136311</v>
      </c>
      <c r="J19241" s="6" t="n">
        <f aca="false">Sens!I19241+Sens!J19166-Sens!J19169</f>
        <v>552.057881745084</v>
      </c>
      <c r="K19241" s="6" t="n">
        <f aca="false">Sens!J19241+Sens!K19166-Sens!K19169</f>
        <v>530.189758768081</v>
      </c>
      <c r="L19241" s="1" t="s">
        <v>1013</v>
      </c>
    </row>
    <row r="19242" customFormat="false" ht="17.15" hidden="false" customHeight="false" outlineLevel="0" collapsed="false">
      <c r="A19242" s="0" t="s">
        <v>1014</v>
      </c>
      <c r="B19242" s="0" t="s">
        <v>168</v>
      </c>
      <c r="F19242" s="7" t="n">
        <f aca="false">Sens!F19240*(1-tax_f)/((Sens!E19241+Sens!F19241)/2)</f>
        <v>0.0637224159742039</v>
      </c>
      <c r="G19242" s="7" t="n">
        <f aca="false">Sens!G19240*(1-tax_f)/((Sens!F19241+Sens!G19241)/2)</f>
        <v>0.07854467706876</v>
      </c>
      <c r="H19242" s="7" t="n">
        <f aca="false">Sens!H19240*(1-tax_f)/((Sens!G19241+Sens!H19241)/2)</f>
        <v>0.0886601052238224</v>
      </c>
      <c r="I19242" s="7" t="n">
        <f aca="false">Sens!I19240*(1-tax_f)/((Sens!H19241+Sens!I19241)/2)</f>
        <v>0.098447769466203</v>
      </c>
      <c r="J19242" s="7" t="n">
        <f aca="false">Sens!J19240*(1-tax_f)/((Sens!I19241+Sens!J19241)/2)</f>
        <v>0.109305096980794</v>
      </c>
      <c r="K19242" s="7" t="n">
        <f aca="false">Sens!K19240*(1-tax_f)/((Sens!J19241+Sens!K19241)/2)</f>
        <v>0.122868512375323</v>
      </c>
    </row>
    <row r="19243" customFormat="false" ht="17.15" hidden="false" customHeight="false" outlineLevel="0" collapsed="false">
      <c r="A19243" s="1" t="s">
        <v>1015</v>
      </c>
      <c r="B19243" s="0" t="s">
        <v>168</v>
      </c>
      <c r="F19243" s="7" t="n">
        <f aca="false">(Sens!F19240-Sens!F19239)*(1-tax_f)/((Sens!E19241+Sens!F19241)/2)</f>
        <v>0.02351565501767</v>
      </c>
      <c r="G19243" s="7" t="n">
        <f aca="false">(Sens!G19240-Sens!G19239)*(1-tax_f)/((Sens!F19241+Sens!G19241)/2)</f>
        <v>0.0165537840057949</v>
      </c>
      <c r="H19243" s="7" t="n">
        <f aca="false">(Sens!H19240-Sens!H19239)*(1-tax_f)/((Sens!G19241+Sens!H19241)/2)</f>
        <v>0.0125431493248644</v>
      </c>
      <c r="I19243" s="7" t="n">
        <f aca="false">(Sens!I19240-Sens!I19239)*(1-tax_f)/((Sens!H19241+Sens!I19241)/2)</f>
        <v>0.0103199808027193</v>
      </c>
      <c r="J19243" s="7" t="n">
        <f aca="false">(Sens!J19240-Sens!J19239)*(1-tax_f)/((Sens!I19241+Sens!J19241)/2)</f>
        <v>0.0094144026084919</v>
      </c>
      <c r="K19243" s="7" t="n">
        <f aca="false">(Sens!K19240-Sens!K19239)*(1-tax_f)/((Sens!J19241+Sens!K19241)/2)</f>
        <v>0.0114379679884197</v>
      </c>
    </row>
    <row r="19244" customFormat="false" ht="17.15" hidden="false" customHeight="false" outlineLevel="0" collapsed="false">
      <c r="A19244" s="1" t="s">
        <v>1016</v>
      </c>
      <c r="B19244" s="0" t="s">
        <v>168</v>
      </c>
      <c r="F19244" s="7" t="n">
        <f aca="false">(Sens!F19240-Sens!F19239+Sens!F19238)*(1-tax_f)/((Sens!E19241+Sens!F19241)/2)</f>
        <v>0.0637224159742039</v>
      </c>
      <c r="G19244" s="7" t="n">
        <f aca="false">(Sens!G19240-Sens!G19239+Sens!G19238)*(1-tax_f)/((Sens!F19241+Sens!G19241)/2)</f>
        <v>0.07854467706876</v>
      </c>
      <c r="H19244" s="7" t="n">
        <f aca="false">(Sens!H19240-Sens!H19239+Sens!H19238)*(1-tax_f)/((Sens!G19241+Sens!H19241)/2)</f>
        <v>0.0886601052238224</v>
      </c>
      <c r="I19244" s="7" t="n">
        <f aca="false">(Sens!I19240-Sens!I19239+Sens!I19238)*(1-tax_f)/((Sens!H19241+Sens!I19241)/2)</f>
        <v>0.098447769466203</v>
      </c>
      <c r="J19244" s="7" t="n">
        <f aca="false">(Sens!J19240-Sens!J19239+Sens!J19238)*(1-tax_f)/((Sens!I19241+Sens!J19241)/2)</f>
        <v>0.109305096980794</v>
      </c>
      <c r="K19244" s="7" t="n">
        <f aca="false">(Sens!K19240-Sens!K19239+Sens!K19238)*(1-tax_f)/((Sens!J19241+Sens!K19241)/2)</f>
        <v>0.122868512375323</v>
      </c>
    </row>
    <row r="19245" customFormat="false" ht="17.15" hidden="false" customHeight="false" outlineLevel="0" collapsed="false">
      <c r="A19245" s="1" t="s">
        <v>1017</v>
      </c>
      <c r="B19245" s="0" t="s">
        <v>168</v>
      </c>
      <c r="F19245" s="7" t="n">
        <f aca="false">Sens!F19170*(1-tax_f)/(Sens!F19156*(Sens!E19241+Sens!F19241)/2)</f>
        <v>0.133135185564475</v>
      </c>
      <c r="G19245" s="7" t="n">
        <f aca="false">Sens!G19170*(1-tax_f)/(Sens!G19156*(Sens!F19241+Sens!G19241)/2)</f>
        <v>0.130581271126347</v>
      </c>
      <c r="H19245" s="7" t="n">
        <f aca="false">Sens!H19170*(1-tax_f)/(Sens!H19156*(Sens!G19241+Sens!H19241)/2)</f>
        <v>0.13422149089065</v>
      </c>
      <c r="I19245" s="7" t="n">
        <f aca="false">Sens!I19170*(1-tax_f)/(Sens!I19156*(Sens!H19241+Sens!I19241)/2)</f>
        <v>0.142465995281897</v>
      </c>
      <c r="J19245" s="7" t="n">
        <f aca="false">Sens!J19170*(1-tax_f)/(Sens!J19156*(Sens!I19241+Sens!J19241)/2)</f>
        <v>0.154951730253963</v>
      </c>
      <c r="K19245" s="7" t="n">
        <f aca="false">Sens!K19170*(1-tax_f)/(Sens!K19156*(Sens!J19241+Sens!K19241)/2)</f>
        <v>0.172365406742447</v>
      </c>
    </row>
    <row r="19246" customFormat="false" ht="17.15" hidden="false" customHeight="false" outlineLevel="0" collapsed="false">
      <c r="A19246" s="0" t="s">
        <v>1018</v>
      </c>
      <c r="B19246" s="0" t="s">
        <v>253</v>
      </c>
      <c r="F19246" s="7" t="n">
        <f aca="false">Sens!F19242-wacc</f>
        <v>-0.0392141749713933</v>
      </c>
      <c r="G19246" s="7" t="n">
        <f aca="false">Sens!G19242-wacc</f>
        <v>-0.0243919138768373</v>
      </c>
      <c r="H19246" s="7" t="n">
        <f aca="false">Sens!H19242-wacc</f>
        <v>-0.0142764857217749</v>
      </c>
      <c r="I19246" s="7" t="n">
        <f aca="false">Sens!I19242-wacc</f>
        <v>-0.00448882147939428</v>
      </c>
      <c r="J19246" s="7" t="n">
        <f aca="false">Sens!J19242-wacc</f>
        <v>0.00636850603519717</v>
      </c>
      <c r="K19246" s="7" t="n">
        <f aca="false">Sens!K19242-wacc</f>
        <v>0.0199319214297257</v>
      </c>
    </row>
    <row r="19247" customFormat="false" ht="17.15" hidden="false" customHeight="false" outlineLevel="0" collapsed="false">
      <c r="A19247" s="0" t="s">
        <v>1019</v>
      </c>
      <c r="B19247" s="0" t="s">
        <v>98</v>
      </c>
      <c r="F19247" s="6" t="n">
        <f aca="false">Sens!F19240*(1-tax_f)-wacc*(Sens!E19241+Sens!F19241)/2</f>
        <v>-7.5924363363558</v>
      </c>
      <c r="G19247" s="6" t="n">
        <f aca="false">Sens!G19240*(1-tax_f)-wacc*(Sens!F19241+Sens!G19241)/2</f>
        <v>-7.95498055388895</v>
      </c>
      <c r="H19247" s="6" t="n">
        <f aca="false">Sens!H19240*(1-tax_f)-wacc*(Sens!G19241+Sens!H19241)/2</f>
        <v>-6.35929723980636</v>
      </c>
      <c r="I19247" s="6" t="n">
        <f aca="false">Sens!I19240*(1-tax_f)-wacc*(Sens!H19241+Sens!I19241)/2</f>
        <v>-2.36410362778158</v>
      </c>
      <c r="J19247" s="6" t="n">
        <f aca="false">Sens!J19240*(1-tax_f)-wacc*(Sens!I19241+Sens!J19241)/2</f>
        <v>3.52255660752994</v>
      </c>
      <c r="K19247" s="6" t="n">
        <f aca="false">Sens!K19240*(1-tax_f)-wacc*(Sens!J19241+Sens!K19241)/2</f>
        <v>10.7856374691072</v>
      </c>
    </row>
    <row r="19248" customFormat="false" ht="17.15" hidden="false" customHeight="false" outlineLevel="0" collapsed="false">
      <c r="A19248" s="3" t="s">
        <v>2087</v>
      </c>
    </row>
    <row r="19249" customFormat="false" ht="15" hidden="false" customHeight="false" outlineLevel="0" collapsed="false">
      <c r="A19249" s="4" t="s">
        <v>43</v>
      </c>
      <c r="B19249" s="4" t="s">
        <v>65</v>
      </c>
      <c r="C19249" s="23" t="s">
        <v>942</v>
      </c>
      <c r="D19249" s="23" t="s">
        <v>943</v>
      </c>
      <c r="E19249" s="23" t="s">
        <v>944</v>
      </c>
      <c r="F19249" s="23" t="s">
        <v>945</v>
      </c>
      <c r="G19249" s="23" t="s">
        <v>946</v>
      </c>
      <c r="H19249" s="23" t="s">
        <v>947</v>
      </c>
      <c r="I19249" s="23" t="s">
        <v>948</v>
      </c>
      <c r="J19249" s="23" t="s">
        <v>949</v>
      </c>
      <c r="K19249" s="23" t="s">
        <v>950</v>
      </c>
      <c r="L19249" s="4" t="s">
        <v>47</v>
      </c>
    </row>
    <row r="19250" customFormat="false" ht="15" hidden="false" customHeight="false" outlineLevel="0" collapsed="false">
      <c r="A19250" s="1" t="s">
        <v>1080</v>
      </c>
      <c r="B19250" s="0" t="s">
        <v>98</v>
      </c>
      <c r="F19250" s="6" t="n">
        <f aca="false">Sens!F19231</f>
        <v>145.077974256161</v>
      </c>
      <c r="G19250" s="6" t="n">
        <f aca="false">Sens!G19231</f>
        <v>157.535745888137</v>
      </c>
      <c r="H19250" s="6" t="n">
        <f aca="false">Sens!H19231</f>
        <v>173.778942908823</v>
      </c>
      <c r="I19250" s="6" t="n">
        <f aca="false">Sens!I19231</f>
        <v>189.38244778086</v>
      </c>
      <c r="J19250" s="6" t="n">
        <f aca="false">Sens!J19231</f>
        <v>203.990863551901</v>
      </c>
      <c r="K19250" s="6" t="n">
        <f aca="false">Sens!K19231</f>
        <v>218.251763342661</v>
      </c>
    </row>
    <row r="19251" customFormat="false" ht="17.15" hidden="false" customHeight="false" outlineLevel="0" collapsed="false">
      <c r="A19251" s="1" t="s">
        <v>1102</v>
      </c>
      <c r="B19251" s="0" t="s">
        <v>98</v>
      </c>
      <c r="E19251" s="6" t="n">
        <f aca="false">Q!M38-Sens!E19169</f>
        <v>22.2285940229167</v>
      </c>
      <c r="F19251" s="6" t="n">
        <f aca="false">Sens!E19251*(1-1/life_nonai)+(Sens!F19259+Sens!F19260)/life_nonai</f>
        <v>23.5783018048442</v>
      </c>
      <c r="G19251" s="6" t="n">
        <f aca="false">Sens!F19251*(1-1/life_nonai)+(Sens!G19259)/life_nonai</f>
        <v>25.3540836141256</v>
      </c>
      <c r="H19251" s="6" t="n">
        <f aca="false">Sens!G19251*(1-1/life_nonai)+(Sens!H19259)/life_nonai</f>
        <v>27.5219096923704</v>
      </c>
      <c r="I19251" s="6" t="n">
        <f aca="false">Sens!H19251*(1-1/life_nonai)+(Sens!I19259)/life_nonai</f>
        <v>30.0152599359014</v>
      </c>
      <c r="J19251" s="6" t="n">
        <f aca="false">Sens!I19251*(1-1/life_nonai)+(Sens!J19259)/life_nonai</f>
        <v>32.75076494421</v>
      </c>
      <c r="K19251" s="6" t="n">
        <f aca="false">Sens!J19251*(1-1/life_nonai)+(Sens!K19259)/life_nonai</f>
        <v>35.6441124404069</v>
      </c>
      <c r="L19251" s="12" t="s">
        <v>1103</v>
      </c>
    </row>
    <row r="19252" customFormat="false" ht="17.15" hidden="false" customHeight="false" outlineLevel="0" collapsed="false">
      <c r="A19252" s="1" t="s">
        <v>1104</v>
      </c>
      <c r="B19252" s="0" t="s">
        <v>98</v>
      </c>
      <c r="F19252" s="6" t="n">
        <f aca="false">Sens!$F$19260/life_nonai*(1-1/life_nonai)^(Sens!F19132-2027)</f>
        <v>3.68459886601613E-006</v>
      </c>
      <c r="G19252" s="6" t="n">
        <f aca="false">Sens!$F$19260/life_nonai*(1-1/life_nonai)^(Sens!G19132-2027)</f>
        <v>3.31613897941452E-006</v>
      </c>
      <c r="H19252" s="6" t="n">
        <f aca="false">Sens!$F$19260/life_nonai*(1-1/life_nonai)^(Sens!H19132-2027)</f>
        <v>2.98452508147307E-006</v>
      </c>
      <c r="I19252" s="6" t="n">
        <f aca="false">Sens!$F$19260/life_nonai*(1-1/life_nonai)^(Sens!I19132-2027)</f>
        <v>2.68607257332576E-006</v>
      </c>
      <c r="J19252" s="6" t="n">
        <f aca="false">Sens!$F$19260/life_nonai*(1-1/life_nonai)^(Sens!J19132-2027)</f>
        <v>2.41746531599318E-006</v>
      </c>
      <c r="K19252" s="6" t="n">
        <f aca="false">Sens!$F$19260/life_nonai*(1-1/life_nonai)^(Sens!K19132-2027)</f>
        <v>2.17571878439387E-006</v>
      </c>
      <c r="L19252" s="1" t="s">
        <v>1105</v>
      </c>
    </row>
    <row r="19253" customFormat="false" ht="17.15" hidden="false" customHeight="false" outlineLevel="0" collapsed="false">
      <c r="A19253" s="1" t="s">
        <v>1106</v>
      </c>
      <c r="B19253" s="0" t="s">
        <v>98</v>
      </c>
      <c r="E19253" s="6" t="n">
        <f aca="false">Sens!E19169+Sens!E19251</f>
        <v>38.534</v>
      </c>
      <c r="F19253" s="6" t="n">
        <f aca="false">Sens!F19169+Sens!F19251</f>
        <v>58.2195300816532</v>
      </c>
      <c r="G19253" s="6" t="n">
        <f aca="false">Sens!G19169+Sens!G19251</f>
        <v>86.2885703641449</v>
      </c>
      <c r="H19253" s="6" t="n">
        <f aca="false">Sens!H19169+Sens!H19251</f>
        <v>116.962228346766</v>
      </c>
      <c r="I19253" s="6" t="n">
        <f aca="false">Sens!I19169+Sens!I19251</f>
        <v>144.792754558718</v>
      </c>
      <c r="J19253" s="6" t="n">
        <f aca="false">Sens!J19169+Sens!J19251</f>
        <v>165.631640643503</v>
      </c>
      <c r="K19253" s="6" t="n">
        <f aca="false">Sens!K19169+Sens!K19251</f>
        <v>179.999634112449</v>
      </c>
    </row>
    <row r="19254" customFormat="false" ht="17.15" hidden="false" customHeight="false" outlineLevel="0" collapsed="false">
      <c r="A19254" s="1" t="s">
        <v>1107</v>
      </c>
      <c r="B19254" s="0" t="s">
        <v>98</v>
      </c>
      <c r="F19254" s="6" t="n">
        <f aca="false">Sens!F19196*sbc_r</f>
        <v>14.9311231100164</v>
      </c>
      <c r="G19254" s="6" t="n">
        <f aca="false">Sens!G19196*sbc_r</f>
        <v>17.8289793680997</v>
      </c>
      <c r="H19254" s="6" t="n">
        <f aca="false">Sens!H19196*sbc_r</f>
        <v>20.7956067674005</v>
      </c>
      <c r="I19254" s="6" t="n">
        <f aca="false">Sens!I19196*sbc_r</f>
        <v>23.5274534500053</v>
      </c>
      <c r="J19254" s="6" t="n">
        <f aca="false">Sens!J19196*sbc_r</f>
        <v>25.7709939929388</v>
      </c>
      <c r="K19254" s="6" t="n">
        <f aca="false">Sens!K19196*sbc_r</f>
        <v>27.5892722759595</v>
      </c>
    </row>
    <row r="19255" customFormat="false" ht="17.15" hidden="false" customHeight="false" outlineLevel="0" collapsed="false">
      <c r="A19255" s="1" t="s">
        <v>1108</v>
      </c>
      <c r="B19255" s="0" t="s">
        <v>98</v>
      </c>
      <c r="F19255" s="6" t="n">
        <f aca="false">wc27-wc26q1</f>
        <v>-4.677</v>
      </c>
      <c r="G19255" s="6" t="n">
        <f aca="false">wc_f</f>
        <v>0</v>
      </c>
      <c r="H19255" s="6" t="n">
        <f aca="false">wc_f</f>
        <v>0</v>
      </c>
      <c r="I19255" s="6" t="n">
        <f aca="false">wc_f</f>
        <v>0</v>
      </c>
      <c r="J19255" s="6" t="n">
        <f aca="false">wc_f</f>
        <v>0</v>
      </c>
      <c r="K19255" s="6" t="n">
        <f aca="false">wc_f</f>
        <v>0</v>
      </c>
      <c r="L19255" s="12" t="s">
        <v>1109</v>
      </c>
    </row>
    <row r="19256" customFormat="false" ht="17.15" hidden="false" customHeight="false" outlineLevel="0" collapsed="false">
      <c r="A19256" s="0" t="s">
        <v>1110</v>
      </c>
      <c r="B19256" s="0" t="s">
        <v>98</v>
      </c>
      <c r="F19256" s="6" t="n">
        <f aca="false">Q!$I$35-Q!$I$26-Q!$I$38-Q!$I$39</f>
        <v>6.493</v>
      </c>
      <c r="L19256" s="1" t="s">
        <v>1111</v>
      </c>
    </row>
    <row r="19257" customFormat="false" ht="15" hidden="false" customHeight="false" outlineLevel="0" collapsed="false">
      <c r="A19257" s="1" t="s">
        <v>908</v>
      </c>
      <c r="B19257" s="0" t="s">
        <v>98</v>
      </c>
      <c r="E19257" s="6" t="n">
        <f aca="false">Q!M35</f>
        <v>182.935</v>
      </c>
      <c r="F19257" s="6" t="n">
        <f aca="false">Sens!F19250+Sens!F19253+Sens!F19254+Sens!F19255+Sens!F19256</f>
        <v>220.04462744783</v>
      </c>
      <c r="G19257" s="6" t="n">
        <f aca="false">Sens!G19250+Sens!G19253+Sens!G19254+Sens!G19255</f>
        <v>261.653295620381</v>
      </c>
      <c r="H19257" s="6" t="n">
        <f aca="false">Sens!H19250+Sens!H19253+Sens!H19254+Sens!H19255</f>
        <v>311.53677802299</v>
      </c>
      <c r="I19257" s="6" t="n">
        <f aca="false">Sens!I19250+Sens!I19253+Sens!I19254+Sens!I19255</f>
        <v>357.702655789583</v>
      </c>
      <c r="J19257" s="6" t="n">
        <f aca="false">Sens!J19250+Sens!J19253+Sens!J19254+Sens!J19255</f>
        <v>395.393498188343</v>
      </c>
      <c r="K19257" s="6" t="n">
        <f aca="false">Sens!K19250+Sens!K19253+Sens!K19254+Sens!K19255</f>
        <v>425.840669731069</v>
      </c>
    </row>
    <row r="19258" customFormat="false" ht="17.15" hidden="false" customHeight="false" outlineLevel="0" collapsed="false">
      <c r="A19258" s="0" t="s">
        <v>1112</v>
      </c>
      <c r="B19258" s="0" t="s">
        <v>98</v>
      </c>
      <c r="F19258" s="6" t="n">
        <f aca="false">Sens!F19166</f>
        <v>168.474328157808</v>
      </c>
      <c r="G19258" s="6" t="n">
        <f aca="false">Sens!G19166</f>
        <v>192.135956192916</v>
      </c>
      <c r="H19258" s="6" t="n">
        <f aca="false">Sens!H19166</f>
        <v>196.852223331804</v>
      </c>
      <c r="I19258" s="6" t="n">
        <f aca="false">Sens!I19166</f>
        <v>169.817785557824</v>
      </c>
      <c r="J19258" s="6" t="n">
        <f aca="false">Sens!J19166</f>
        <v>130.753954308066</v>
      </c>
      <c r="K19258" s="6" t="n">
        <f aca="false">Sens!K19166</f>
        <v>122.487398695039</v>
      </c>
    </row>
    <row r="19259" customFormat="false" ht="17.15" hidden="false" customHeight="false" outlineLevel="0" collapsed="false">
      <c r="A19259" s="1" t="s">
        <v>1113</v>
      </c>
      <c r="B19259" s="0" t="s">
        <v>98</v>
      </c>
      <c r="E19259" s="6" t="n">
        <f aca="false">Sens!E19174*cx_azo+Sens!E19181*cx_m365+Sens!E19182*cx_lic+(Sens!E19184+Sens!E19186)*cx_ind+Sens!E19189*cx_srch+(Sens!E19191+Sens!E19193)*cx_dev</f>
        <v>30.1846587067718</v>
      </c>
      <c r="F19259" s="6" t="n">
        <f aca="false">Sens!F19174*cx_azo+Sens!F19181*cx_m365+Sens!F19182*cx_lic+(Sens!F19184+Sens!F19186)*cx_ind+Sens!F19189*cx_srch+(Sens!F19191+Sens!F19193)*cx_dev</f>
        <v>35.7256349962037</v>
      </c>
      <c r="G19259" s="6" t="n">
        <f aca="false">Sens!G19174*cx_azo+Sens!G19181*cx_m365+Sens!G19182*cx_lic+(Sens!G19184+Sens!G19186)*cx_ind+Sens!G19189*cx_srch+(Sens!G19191+Sens!G19193)*cx_dev</f>
        <v>41.3361198976575</v>
      </c>
      <c r="H19259" s="6" t="n">
        <f aca="false">Sens!H19174*cx_azo+Sens!H19181*cx_m365+Sens!H19182*cx_lic+(Sens!H19184+Sens!H19186)*cx_ind+Sens!H19189*cx_srch+(Sens!H19191+Sens!H19193)*cx_dev</f>
        <v>47.0323443965739</v>
      </c>
      <c r="I19259" s="6" t="n">
        <f aca="false">Sens!I19174*cx_azo+Sens!I19181*cx_m365+Sens!I19182*cx_lic+(Sens!I19184+Sens!I19186)*cx_ind+Sens!I19189*cx_srch+(Sens!I19191+Sens!I19193)*cx_dev</f>
        <v>52.45541212768</v>
      </c>
      <c r="J19259" s="6" t="n">
        <f aca="false">Sens!J19174*cx_azo+Sens!J19181*cx_m365+Sens!J19182*cx_lic+(Sens!J19184+Sens!J19186)*cx_ind+Sens!J19189*cx_srch+(Sens!J19191+Sens!J19193)*cx_dev</f>
        <v>57.3703100189875</v>
      </c>
      <c r="K19259" s="6" t="n">
        <f aca="false">Sens!K19174*cx_azo+Sens!K19181*cx_m365+Sens!K19182*cx_lic+(Sens!K19184+Sens!K19186)*cx_ind+Sens!K19189*cx_srch+(Sens!K19191+Sens!K19193)*cx_dev</f>
        <v>61.6842399061791</v>
      </c>
    </row>
    <row r="19260" customFormat="false" ht="17.15" hidden="false" customHeight="false" outlineLevel="0" collapsed="false">
      <c r="A19260" s="0" t="s">
        <v>1114</v>
      </c>
      <c r="B19260" s="0" t="s">
        <v>98</v>
      </c>
      <c r="F19260" s="6" t="n">
        <f aca="false">Sens!F19164</f>
        <v>3.68459886601613E-005</v>
      </c>
      <c r="L19260" s="1" t="s">
        <v>1115</v>
      </c>
    </row>
    <row r="19261" customFormat="false" ht="17.15" hidden="false" customHeight="false" outlineLevel="0" collapsed="false">
      <c r="A19261" s="1" t="s">
        <v>1116</v>
      </c>
      <c r="B19261" s="0" t="s">
        <v>98</v>
      </c>
      <c r="E19261" s="6" t="n">
        <f aca="false">Q!M43</f>
        <v>145.3</v>
      </c>
      <c r="F19261" s="6" t="n">
        <f aca="false">Sens!F19258+Sens!F19259+Sens!F19260</f>
        <v>204.2</v>
      </c>
      <c r="G19261" s="6" t="n">
        <f aca="false">Sens!G19258+Sens!G19259</f>
        <v>233.472076090574</v>
      </c>
      <c r="H19261" s="6" t="n">
        <f aca="false">Sens!H19258+Sens!H19259</f>
        <v>243.884567728378</v>
      </c>
      <c r="I19261" s="6" t="n">
        <f aca="false">Sens!I19258+Sens!I19259</f>
        <v>222.273197685504</v>
      </c>
      <c r="J19261" s="6" t="n">
        <f aca="false">Sens!J19258+Sens!J19259</f>
        <v>188.124264327054</v>
      </c>
      <c r="K19261" s="6" t="n">
        <f aca="false">Sens!K19258+Sens!K19259</f>
        <v>184.171638601218</v>
      </c>
      <c r="L19261" s="1" t="s">
        <v>1117</v>
      </c>
    </row>
    <row r="19262" customFormat="false" ht="15" hidden="false" customHeight="false" outlineLevel="0" collapsed="false">
      <c r="A19262" s="1" t="s">
        <v>1118</v>
      </c>
      <c r="B19262" s="0" t="s">
        <v>98</v>
      </c>
      <c r="E19262" s="6" t="n">
        <f aca="false">fl_liab</f>
        <v>66.594</v>
      </c>
      <c r="F19262" s="6" t="n">
        <f aca="false">Sens!E19262-Sens!F19263</f>
        <v>62.46973</v>
      </c>
      <c r="G19262" s="6" t="n">
        <f aca="false">Sens!F19262-Sens!G19263</f>
        <v>57.98686785</v>
      </c>
      <c r="H19262" s="6" t="n">
        <f aca="false">Sens!G19262-Sens!H19263</f>
        <v>53.92827690325</v>
      </c>
      <c r="I19262" s="6" t="n">
        <f aca="false">Sens!H19262-Sens!I19263</f>
        <v>49.7850493638962</v>
      </c>
      <c r="J19262" s="6" t="n">
        <f aca="false">Sens!I19262-Sens!J19263</f>
        <v>45.4823765852716</v>
      </c>
      <c r="K19262" s="6" t="n">
        <f aca="false">Sens!J19262-Sens!K19263</f>
        <v>40.9860835316088</v>
      </c>
    </row>
    <row r="19263" customFormat="false" ht="15" hidden="false" customHeight="false" outlineLevel="0" collapsed="false">
      <c r="A19263" s="1" t="s">
        <v>1119</v>
      </c>
      <c r="B19263" s="0" t="s">
        <v>98</v>
      </c>
      <c r="F19263" s="6" t="n">
        <f aca="false">fl_pay_27-Sens!E19262*fl_rate</f>
        <v>4.12427</v>
      </c>
      <c r="G19263" s="6" t="n">
        <f aca="false">fl_pay_28-Sens!F19262*fl_rate</f>
        <v>4.48286215</v>
      </c>
      <c r="H19263" s="6" t="n">
        <f aca="false">fl_pay_29-Sens!G19262*fl_rate</f>
        <v>4.05859094675</v>
      </c>
      <c r="I19263" s="6" t="n">
        <f aca="false">fl_pay_30-Sens!H19262*fl_rate</f>
        <v>4.14322753935375</v>
      </c>
      <c r="J19263" s="6" t="n">
        <f aca="false">fl_pay_31-Sens!I19262*fl_rate</f>
        <v>4.30267277862467</v>
      </c>
      <c r="K19263" s="6" t="n">
        <f aca="false">fl_pay_32-Sens!J19262*fl_rate</f>
        <v>4.49629305366278</v>
      </c>
    </row>
    <row r="19264" customFormat="false" ht="17.15" hidden="false" customHeight="false" outlineLevel="0" collapsed="false">
      <c r="A19264" s="1" t="s">
        <v>1120</v>
      </c>
      <c r="B19264" s="0" t="s">
        <v>98</v>
      </c>
      <c r="E19264" s="6" t="n">
        <f aca="false">Q!M35-Q!M36-Q!M44</f>
        <v>63.886</v>
      </c>
      <c r="F19264" s="6" t="n">
        <f aca="false">Sens!F19257-Sens!F19261-Sens!F19263</f>
        <v>11.7203574478304</v>
      </c>
      <c r="G19264" s="6" t="n">
        <f aca="false">Sens!G19257-Sens!G19261-Sens!G19263</f>
        <v>23.6983573798074</v>
      </c>
      <c r="H19264" s="6" t="n">
        <f aca="false">Sens!H19257-Sens!H19261-Sens!H19263</f>
        <v>63.593619347862</v>
      </c>
      <c r="I19264" s="6" t="n">
        <f aca="false">Sens!I19257-Sens!I19261-Sens!I19263</f>
        <v>131.286230564725</v>
      </c>
      <c r="J19264" s="6" t="n">
        <f aca="false">Sens!J19257-Sens!J19261-Sens!J19263</f>
        <v>202.966561082665</v>
      </c>
      <c r="K19264" s="6" t="n">
        <f aca="false">Sens!K19257-Sens!K19261-Sens!K19263</f>
        <v>237.172738076188</v>
      </c>
      <c r="L19264" s="12" t="s">
        <v>1121</v>
      </c>
    </row>
    <row r="19265" customFormat="false" ht="15" hidden="false" customHeight="false" outlineLevel="0" collapsed="false">
      <c r="A19265" s="1" t="s">
        <v>1122</v>
      </c>
      <c r="B19265" s="0" t="s">
        <v>75</v>
      </c>
      <c r="F19265" s="8" t="n">
        <f aca="false">dps_27</f>
        <v>3.85</v>
      </c>
      <c r="G19265" s="8" t="n">
        <f aca="false">Sens!F19265*(1+dps_g)</f>
        <v>4.158</v>
      </c>
      <c r="H19265" s="8" t="n">
        <f aca="false">Sens!G19265*(1+dps_g)</f>
        <v>4.49064</v>
      </c>
      <c r="I19265" s="8" t="n">
        <f aca="false">Sens!H19265*(1+dps_g)</f>
        <v>4.8498912</v>
      </c>
      <c r="J19265" s="8" t="n">
        <f aca="false">Sens!I19265*(1+dps_g)</f>
        <v>5.237882496</v>
      </c>
      <c r="K19265" s="8" t="n">
        <f aca="false">Sens!J19265*(1+dps_g)</f>
        <v>5.65691309568</v>
      </c>
    </row>
    <row r="19266" customFormat="false" ht="17.15" hidden="false" customHeight="false" outlineLevel="0" collapsed="false">
      <c r="A19266" s="1" t="s">
        <v>1123</v>
      </c>
      <c r="B19266" s="0" t="s">
        <v>98</v>
      </c>
      <c r="E19266" s="6" t="n">
        <f aca="false">Q!M41</f>
        <v>26.445</v>
      </c>
      <c r="F19266" s="6" t="n">
        <f aca="false">Sens!F19265*Sens!E19275</f>
        <v>28.59395</v>
      </c>
      <c r="G19266" s="6" t="n">
        <f aca="false">Sens!G19265*Sens!F19275</f>
        <v>31.0631554314989</v>
      </c>
      <c r="H19266" s="6" t="n">
        <f aca="false">Sens!H19265*Sens!G19275</f>
        <v>33.7502866660188</v>
      </c>
      <c r="I19266" s="6" t="n">
        <f aca="false">Sens!I19265*Sens!H19275</f>
        <v>36.500747876373</v>
      </c>
      <c r="J19266" s="6" t="n">
        <f aca="false">Sens!J19265*Sens!I19275</f>
        <v>39.4887055918754</v>
      </c>
      <c r="K19266" s="6" t="n">
        <f aca="false">Sens!K19265*Sens!J19275</f>
        <v>42.7345563016037</v>
      </c>
      <c r="L19266" s="1" t="s">
        <v>1124</v>
      </c>
    </row>
    <row r="19267" customFormat="false" ht="15" hidden="false" customHeight="false" outlineLevel="0" collapsed="false">
      <c r="A19267" s="1" t="s">
        <v>1125</v>
      </c>
      <c r="B19267" s="0" t="s">
        <v>98</v>
      </c>
      <c r="E19267" s="6" t="n">
        <f aca="false">Sens!E19264-Sens!E19266</f>
        <v>37.441</v>
      </c>
      <c r="F19267" s="6" t="n">
        <f aca="false">Sens!F19264-Sens!F19266</f>
        <v>-16.8735925521696</v>
      </c>
      <c r="G19267" s="6" t="n">
        <f aca="false">Sens!G19264-Sens!G19266</f>
        <v>-7.36479805169151</v>
      </c>
      <c r="H19267" s="6" t="n">
        <f aca="false">Sens!H19264-Sens!H19266</f>
        <v>29.8433326818432</v>
      </c>
      <c r="I19267" s="6" t="n">
        <f aca="false">Sens!I19264-Sens!I19266</f>
        <v>94.7854826883524</v>
      </c>
      <c r="J19267" s="6" t="n">
        <f aca="false">Sens!J19264-Sens!J19266</f>
        <v>163.47785549079</v>
      </c>
      <c r="K19267" s="6" t="n">
        <f aca="false">Sens!K19264-Sens!K19266</f>
        <v>194.438181774584</v>
      </c>
    </row>
    <row r="19268" customFormat="false" ht="15" hidden="false" customHeight="false" outlineLevel="0" collapsed="false">
      <c r="A19268" s="1" t="s">
        <v>1126</v>
      </c>
      <c r="B19268" s="0" t="s">
        <v>98</v>
      </c>
      <c r="F19268" s="6" t="n">
        <f aca="false">debt_mat_27</f>
        <v>9.25</v>
      </c>
      <c r="G19268" s="6" t="n">
        <f aca="false">debt_mat_28</f>
        <v>0</v>
      </c>
      <c r="H19268" s="6" t="n">
        <f aca="false">debt_mat_29</f>
        <v>2.001</v>
      </c>
      <c r="I19268" s="6" t="n">
        <f aca="false">debt_mat_30</f>
        <v>0</v>
      </c>
      <c r="J19268" s="6" t="n">
        <f aca="false">debt_mat_31</f>
        <v>0.5</v>
      </c>
      <c r="K19268" s="6" t="n">
        <f aca="false">debt_mat_32</f>
        <v>0</v>
      </c>
    </row>
    <row r="19269" customFormat="false" ht="15" hidden="false" customHeight="false" outlineLevel="0" collapsed="false">
      <c r="A19269" s="1" t="s">
        <v>1127</v>
      </c>
      <c r="B19269" s="0" t="s">
        <v>98</v>
      </c>
      <c r="E19269" s="6" t="n">
        <f aca="false">Q!M40</f>
        <v>22.271</v>
      </c>
      <c r="F19269" s="6" t="n">
        <f aca="false">MAX(0,MIN(bb_target,Sens!E19271+Sens!F19267-Sens!F19268-min_cash))</f>
        <v>0.719407447830363</v>
      </c>
      <c r="G19269" s="6" t="n">
        <f aca="false">MAX(0,MIN(bb_target,Sens!F19271+Sens!G19267-Sens!G19268-min_cash))</f>
        <v>0</v>
      </c>
      <c r="H19269" s="6" t="n">
        <f aca="false">MAX(0,MIN(bb_target,Sens!G19271+Sens!H19267-Sens!H19268-min_cash))</f>
        <v>22.271</v>
      </c>
      <c r="I19269" s="6" t="n">
        <f aca="false">MAX(0,MIN(bb_target,Sens!H19271+Sens!I19267-Sens!I19268-min_cash))</f>
        <v>22.271</v>
      </c>
      <c r="J19269" s="6" t="n">
        <f aca="false">MAX(0,MIN(bb_target,Sens!I19271+Sens!J19267-Sens!J19268-min_cash))</f>
        <v>22.271</v>
      </c>
      <c r="K19269" s="6" t="n">
        <f aca="false">MAX(0,MIN(bb_target,Sens!J19271+Sens!K19267-Sens!K19268-min_cash))</f>
        <v>22.271</v>
      </c>
    </row>
    <row r="19270" customFormat="false" ht="15" hidden="false" customHeight="false" outlineLevel="0" collapsed="false">
      <c r="A19270" s="1" t="s">
        <v>1128</v>
      </c>
      <c r="B19270" s="0" t="s">
        <v>98</v>
      </c>
      <c r="F19270" s="6" t="n">
        <f aca="false">MAX(0,min_cash-(Sens!E19271+Sens!F19267-Sens!F19268-Sens!F19269))</f>
        <v>0</v>
      </c>
      <c r="G19270" s="6" t="n">
        <f aca="false">MAX(0,min_cash-(Sens!F19271+Sens!G19267-Sens!G19268-Sens!G19269))</f>
        <v>7.36479805169151</v>
      </c>
      <c r="H19270" s="6" t="n">
        <f aca="false">MAX(0,min_cash-(Sens!G19271+Sens!H19267-Sens!H19268-Sens!H19269))</f>
        <v>0</v>
      </c>
      <c r="I19270" s="6" t="n">
        <f aca="false">MAX(0,min_cash-(Sens!H19271+Sens!I19267-Sens!I19268-Sens!I19269))</f>
        <v>0</v>
      </c>
      <c r="J19270" s="6" t="n">
        <f aca="false">MAX(0,min_cash-(Sens!I19271+Sens!J19267-Sens!J19268-Sens!J19269))</f>
        <v>0</v>
      </c>
      <c r="K19270" s="6" t="n">
        <f aca="false">MAX(0,min_cash-(Sens!J19271+Sens!K19267-Sens!K19268-Sens!K19269))</f>
        <v>0</v>
      </c>
    </row>
    <row r="19271" customFormat="false" ht="15" hidden="false" customHeight="false" outlineLevel="0" collapsed="false">
      <c r="A19271" s="1" t="s">
        <v>1129</v>
      </c>
      <c r="B19271" s="0" t="s">
        <v>98</v>
      </c>
      <c r="E19271" s="6" t="n">
        <f aca="false">cash_open</f>
        <v>76.843</v>
      </c>
      <c r="F19271" s="6" t="n">
        <f aca="false">Sens!E19271+Sens!F19267-Sens!F19268-Sens!F19269+Sens!F19270</f>
        <v>50</v>
      </c>
      <c r="G19271" s="6" t="n">
        <f aca="false">Sens!F19271+Sens!G19267-Sens!G19268-Sens!G19269+Sens!G19270</f>
        <v>50</v>
      </c>
      <c r="H19271" s="6" t="n">
        <f aca="false">Sens!G19271+Sens!H19267-Sens!H19268-Sens!H19269+Sens!H19270</f>
        <v>55.5713326818432</v>
      </c>
      <c r="I19271" s="6" t="n">
        <f aca="false">Sens!H19271+Sens!I19267-Sens!I19268-Sens!I19269+Sens!I19270</f>
        <v>128.085815370196</v>
      </c>
      <c r="J19271" s="6" t="n">
        <f aca="false">Sens!I19271+Sens!J19267-Sens!J19268-Sens!J19269+Sens!J19270</f>
        <v>268.792670860985</v>
      </c>
      <c r="K19271" s="6" t="n">
        <f aca="false">Sens!J19271+Sens!K19267-Sens!K19268-Sens!K19269+Sens!K19270</f>
        <v>440.959852635569</v>
      </c>
    </row>
    <row r="19272" customFormat="false" ht="15" hidden="false" customHeight="false" outlineLevel="0" collapsed="false">
      <c r="A19272" s="1" t="s">
        <v>1130</v>
      </c>
      <c r="B19272" s="0" t="s">
        <v>98</v>
      </c>
      <c r="E19272" s="6" t="n">
        <f aca="false">debt_face</f>
        <v>46.136</v>
      </c>
      <c r="F19272" s="6" t="n">
        <f aca="false">Sens!E19272-Sens!F19268+Sens!F19270</f>
        <v>36.886</v>
      </c>
      <c r="G19272" s="6" t="n">
        <f aca="false">Sens!F19272-Sens!G19268+Sens!G19270</f>
        <v>44.2507980516915</v>
      </c>
      <c r="H19272" s="6" t="n">
        <f aca="false">Sens!G19272-Sens!H19268+Sens!H19270</f>
        <v>42.2497980516915</v>
      </c>
      <c r="I19272" s="6" t="n">
        <f aca="false">Sens!H19272-Sens!I19268+Sens!I19270</f>
        <v>42.2497980516915</v>
      </c>
      <c r="J19272" s="6" t="n">
        <f aca="false">Sens!I19272-Sens!J19268+Sens!J19270</f>
        <v>41.7497980516915</v>
      </c>
      <c r="K19272" s="6" t="n">
        <f aca="false">Sens!J19272-Sens!K19268+Sens!K19270</f>
        <v>41.7497980516915</v>
      </c>
    </row>
    <row r="19273" customFormat="false" ht="15" hidden="false" customHeight="false" outlineLevel="0" collapsed="false">
      <c r="A19273" s="1" t="s">
        <v>1131</v>
      </c>
      <c r="B19273" s="0" t="s">
        <v>98</v>
      </c>
      <c r="E19273" s="6" t="n">
        <f aca="false">Sens!E19271-Sens!E19272</f>
        <v>30.707</v>
      </c>
      <c r="F19273" s="6" t="n">
        <f aca="false">Sens!F19271-Sens!F19272</f>
        <v>13.114</v>
      </c>
      <c r="G19273" s="6" t="n">
        <f aca="false">Sens!G19271-Sens!G19272</f>
        <v>5.74920194830849</v>
      </c>
      <c r="H19273" s="6" t="n">
        <f aca="false">Sens!H19271-Sens!H19272</f>
        <v>13.3215346301517</v>
      </c>
      <c r="I19273" s="6" t="n">
        <f aca="false">Sens!I19271-Sens!I19272</f>
        <v>85.8360173185041</v>
      </c>
      <c r="J19273" s="6" t="n">
        <f aca="false">Sens!J19271-Sens!J19272</f>
        <v>227.042872809294</v>
      </c>
      <c r="K19273" s="6" t="n">
        <f aca="false">Sens!K19271-Sens!K19272</f>
        <v>399.210054583878</v>
      </c>
    </row>
    <row r="19274" customFormat="false" ht="15" hidden="false" customHeight="false" outlineLevel="0" collapsed="false">
      <c r="A19274" s="1" t="s">
        <v>1132</v>
      </c>
      <c r="B19274" s="0" t="s">
        <v>75</v>
      </c>
      <c r="F19274" s="30" t="n">
        <f aca="false">px*(1+bb_g)^(Sens!F19132-base_fy-mid_yr)</f>
        <v>551.84177959629</v>
      </c>
      <c r="G19274" s="30" t="n">
        <f aca="false">px*(1+bb_g)^(Sens!G19132-base_fy-mid_yr)</f>
        <v>595.989121963993</v>
      </c>
      <c r="H19274" s="30" t="n">
        <f aca="false">px*(1+bb_g)^(Sens!H19132-base_fy-mid_yr)</f>
        <v>643.668251721112</v>
      </c>
      <c r="I19274" s="30" t="n">
        <f aca="false">px*(1+bb_g)^(Sens!I19132-base_fy-mid_yr)</f>
        <v>695.161711858801</v>
      </c>
      <c r="J19274" s="30" t="n">
        <f aca="false">px*(1+bb_g)^(Sens!J19132-base_fy-mid_yr)</f>
        <v>750.774648807506</v>
      </c>
      <c r="K19274" s="30" t="n">
        <f aca="false">px*(1+bb_g)^(Sens!K19132-base_fy-mid_yr)</f>
        <v>810.836620712106</v>
      </c>
    </row>
    <row r="19275" customFormat="false" ht="15" hidden="false" customHeight="false" outlineLevel="0" collapsed="false">
      <c r="A19275" s="1" t="s">
        <v>1133</v>
      </c>
      <c r="B19275" s="1" t="s">
        <v>81</v>
      </c>
      <c r="E19275" s="15" t="n">
        <f aca="false">sh_out26</f>
        <v>7.427</v>
      </c>
      <c r="F19275" s="15" t="n">
        <f aca="false">Sens!E19275+sh_iss-Sens!F19269/Sens!F19274</f>
        <v>7.47069635197183</v>
      </c>
      <c r="G19275" s="15" t="n">
        <f aca="false">Sens!F19275+sh_iss-Sens!G19269/Sens!G19274</f>
        <v>7.51569635197183</v>
      </c>
      <c r="H19275" s="15" t="n">
        <f aca="false">Sens!G19275+sh_iss-Sens!H19269/Sens!H19274</f>
        <v>7.52609623002944</v>
      </c>
      <c r="I19275" s="15" t="n">
        <f aca="false">Sens!H19275+sh_iss-Sens!I19269/Sens!I19274</f>
        <v>7.53905908008277</v>
      </c>
      <c r="J19275" s="15" t="n">
        <f aca="false">Sens!I19275+sh_iss-Sens!J19269/Sens!J19274</f>
        <v>7.55439505235438</v>
      </c>
      <c r="K19275" s="15" t="n">
        <f aca="false">Sens!J19275+sh_iss-Sens!K19269/Sens!K19274</f>
        <v>7.57192836001328</v>
      </c>
    </row>
    <row r="19276" customFormat="false" ht="15" hidden="false" customHeight="false" outlineLevel="0" collapsed="false">
      <c r="A19276" s="1" t="s">
        <v>1134</v>
      </c>
      <c r="B19276" s="1" t="s">
        <v>81</v>
      </c>
      <c r="E19276" s="15" t="n">
        <f aca="false">sh_dil26</f>
        <v>7.453</v>
      </c>
      <c r="F19276" s="15" t="n">
        <f aca="false">(Sens!E19275+Sens!F19275)/2+dil_gap</f>
        <v>7.47284817598592</v>
      </c>
      <c r="G19276" s="15" t="n">
        <f aca="false">(Sens!F19275+Sens!G19275)/2+dil_gap</f>
        <v>7.51719635197183</v>
      </c>
      <c r="H19276" s="15" t="n">
        <f aca="false">(Sens!G19275+Sens!H19275)/2+dil_gap</f>
        <v>7.54489629100064</v>
      </c>
      <c r="I19276" s="15" t="n">
        <f aca="false">(Sens!H19275+Sens!I19275)/2+dil_gap</f>
        <v>7.5565776550561</v>
      </c>
      <c r="J19276" s="15" t="n">
        <f aca="false">(Sens!I19275+Sens!J19275)/2+dil_gap</f>
        <v>7.57072706621858</v>
      </c>
      <c r="K19276" s="15" t="n">
        <f aca="false">(Sens!J19275+Sens!K19275)/2+dil_gap</f>
        <v>7.58716170618383</v>
      </c>
    </row>
    <row r="19277" customFormat="false" ht="17.15" hidden="false" customHeight="false" outlineLevel="0" collapsed="false">
      <c r="A19277" s="1" t="s">
        <v>1135</v>
      </c>
      <c r="B19277" s="0" t="s">
        <v>98</v>
      </c>
      <c r="C19277" s="6" t="n">
        <f aca="false">SUM(Sens!F19267:J19267)</f>
        <v>263.868280257124</v>
      </c>
    </row>
    <row r="19278" customFormat="false" ht="15" hidden="false" customHeight="false" outlineLevel="0" collapsed="false">
      <c r="A19278" s="26" t="s">
        <v>1100</v>
      </c>
      <c r="B19278" s="31" t="s">
        <v>98</v>
      </c>
      <c r="C19278" s="27" t="n">
        <f aca="false">Sens!$C$19277-(Sens!F19267+Sens!G19267+Sens!H19267+Sens!I19267+Sens!J19267)</f>
        <v>0</v>
      </c>
      <c r="D19278" s="31"/>
      <c r="E19278" s="31"/>
      <c r="F19278" s="31"/>
      <c r="G19278" s="31"/>
      <c r="H19278" s="31"/>
      <c r="I19278" s="31"/>
      <c r="J19278" s="31"/>
      <c r="K19278" s="31"/>
    </row>
    <row r="19279" customFormat="false" ht="17.15" hidden="false" customHeight="false" outlineLevel="0" collapsed="false">
      <c r="A19279" s="1" t="s">
        <v>1094</v>
      </c>
      <c r="B19279" s="1" t="s">
        <v>1136</v>
      </c>
      <c r="C19279" s="33" t="str">
        <f aca="false">IF(SUM(Sens!F19270:J19270)&gt;0.05,"需要舉債 "&amp;TEXT(SUM(Sens!F19270:J19270),"0.0")&amp;" 十億美元","不需舉債")&amp;"；"&amp;IF(SUM(Sens!F19269:J19269)&lt;COUNT(Sens!F19269:J19269)*bb_target-0.05,"回購較每年 "&amp;TEXT(bb_target,"0.0")&amp;" 的目標少 "&amp;TEXT(COUNT(Sens!F19269:J19269)*bb_target-SUM(Sens!F19269:J19269),"0.0")&amp;" 十億美元（"&amp;TEXT(COUNTIF(Sens!F19269:J19269,"&lt;"&amp;(bb_target-0.05)),"0")&amp;" 年減少）","回購不減")</f>
        <v>需要舉債 7.4 十億美元；回購較每年 22.3 的目標少 43.8 十億美元（2 年減少）</v>
      </c>
    </row>
    <row r="19280" customFormat="false" ht="17.15" hidden="false" customHeight="false" outlineLevel="0" collapsed="false">
      <c r="A19280" s="3" t="s">
        <v>2088</v>
      </c>
    </row>
    <row r="19281" customFormat="false" ht="15" hidden="false" customHeight="false" outlineLevel="0" collapsed="false">
      <c r="A19281" s="4" t="s">
        <v>43</v>
      </c>
      <c r="B19281" s="4" t="s">
        <v>65</v>
      </c>
      <c r="C19281" s="23" t="s">
        <v>942</v>
      </c>
      <c r="D19281" s="23" t="s">
        <v>943</v>
      </c>
      <c r="E19281" s="23" t="s">
        <v>944</v>
      </c>
      <c r="F19281" s="23" t="s">
        <v>945</v>
      </c>
      <c r="G19281" s="23" t="s">
        <v>946</v>
      </c>
      <c r="H19281" s="23" t="s">
        <v>947</v>
      </c>
      <c r="I19281" s="23" t="s">
        <v>948</v>
      </c>
      <c r="J19281" s="23" t="s">
        <v>949</v>
      </c>
      <c r="K19281" s="23" t="s">
        <v>950</v>
      </c>
      <c r="L19281" s="4" t="s">
        <v>47</v>
      </c>
    </row>
    <row r="19282" customFormat="false" ht="17.15" hidden="false" customHeight="false" outlineLevel="0" collapsed="false">
      <c r="A19282" s="1" t="s">
        <v>1216</v>
      </c>
      <c r="B19282" s="1" t="s">
        <v>279</v>
      </c>
      <c r="F19282" s="8" t="n">
        <f aca="false">(1-v_off)*mid_yr</f>
        <v>0.373972602739726</v>
      </c>
      <c r="G19282" s="8" t="n">
        <f aca="false">Sens!G19132-base_fy-mid_yr-v_off</f>
        <v>1.24794520547945</v>
      </c>
      <c r="H19282" s="8" t="n">
        <f aca="false">Sens!H19132-base_fy-mid_yr-v_off</f>
        <v>2.24794520547945</v>
      </c>
      <c r="I19282" s="8" t="n">
        <f aca="false">Sens!I19132-base_fy-mid_yr-v_off</f>
        <v>3.24794520547945</v>
      </c>
      <c r="J19282" s="8" t="n">
        <f aca="false">Sens!J19132-base_fy-mid_yr-v_off</f>
        <v>4.24794520547945</v>
      </c>
      <c r="K19282" s="8" t="n">
        <f aca="false">Sens!K19132-base_fy-mid_yr-v_off</f>
        <v>5.24794520547945</v>
      </c>
      <c r="L19282" s="12" t="s">
        <v>1217</v>
      </c>
    </row>
    <row r="19283" customFormat="false" ht="15" hidden="false" customHeight="false" outlineLevel="0" collapsed="false">
      <c r="A19283" s="1" t="s">
        <v>1218</v>
      </c>
      <c r="B19283" s="1" t="s">
        <v>279</v>
      </c>
      <c r="F19283" s="8" t="n">
        <f aca="false">Sens!F19132-base_fy-v_off</f>
        <v>0.747945205479452</v>
      </c>
      <c r="G19283" s="8" t="n">
        <f aca="false">Sens!G19132-base_fy-v_off</f>
        <v>1.74794520547945</v>
      </c>
      <c r="H19283" s="8" t="n">
        <f aca="false">Sens!H19132-base_fy-v_off</f>
        <v>2.74794520547945</v>
      </c>
      <c r="I19283" s="8" t="n">
        <f aca="false">Sens!I19132-base_fy-v_off</f>
        <v>3.74794520547945</v>
      </c>
      <c r="J19283" s="8" t="n">
        <f aca="false">Sens!J19132-base_fy-v_off</f>
        <v>4.74794520547945</v>
      </c>
      <c r="K19283" s="8" t="n">
        <f aca="false">Sens!K19132-base_fy-v_off</f>
        <v>5.74794520547945</v>
      </c>
    </row>
    <row r="19284" customFormat="false" ht="15" hidden="false" customHeight="false" outlineLevel="0" collapsed="false">
      <c r="A19284" s="1" t="s">
        <v>1219</v>
      </c>
      <c r="B19284" s="0" t="s">
        <v>229</v>
      </c>
      <c r="F19284" s="15" t="n">
        <f aca="false">1/(1+wacc)^Sens!F19282</f>
        <v>0.964022703286649</v>
      </c>
      <c r="G19284" s="15" t="n">
        <f aca="false">1/(1+wacc)^Sens!G19282</f>
        <v>0.884910302296739</v>
      </c>
      <c r="H19284" s="15" t="n">
        <f aca="false">1/(1+wacc)^Sens!H19282</f>
        <v>0.802322009770358</v>
      </c>
      <c r="I19284" s="15" t="n">
        <f aca="false">1/(1+wacc)^Sens!I19282</f>
        <v>0.727441646561469</v>
      </c>
      <c r="J19284" s="15" t="n">
        <f aca="false">1/(1+wacc)^Sens!J19282</f>
        <v>0.659549834988973</v>
      </c>
      <c r="K19284" s="15" t="n">
        <f aca="false">1/(1+wacc)^Sens!K19282</f>
        <v>0.597994336576966</v>
      </c>
    </row>
    <row r="19285" customFormat="false" ht="17.15" hidden="false" customHeight="false" outlineLevel="0" collapsed="false">
      <c r="A19285" s="1" t="s">
        <v>1220</v>
      </c>
      <c r="B19285" s="0" t="s">
        <v>98</v>
      </c>
      <c r="F19285" s="6" t="n">
        <f aca="false">Q!$I$35-Q!$I$39-Q!$I$43</f>
        <v>9.666</v>
      </c>
      <c r="L19285" s="12" t="s">
        <v>1221</v>
      </c>
    </row>
    <row r="19286" customFormat="false" ht="17.15" hidden="false" customHeight="false" outlineLevel="0" collapsed="false">
      <c r="A19286" s="1" t="s">
        <v>1222</v>
      </c>
      <c r="B19286" s="0" t="s">
        <v>98</v>
      </c>
      <c r="F19286" s="6" t="n">
        <f aca="false">Sens!F19257-Sens!F19254-Sens!F19261+Sens!F19239*(1-tax_f)*(1-v_off)-Sens!F19285</f>
        <v>-2.93002985008703</v>
      </c>
      <c r="G19286" s="6" t="n">
        <f aca="false">Sens!G19257-Sens!G19254-Sens!G19261+Sens!G19239*(1-tax_f)</f>
        <v>30.5694462130287</v>
      </c>
      <c r="H19286" s="6" t="n">
        <f aca="false">Sens!H19257-Sens!H19254-Sens!H19261+Sens!H19239*(1-tax_f)</f>
        <v>80.7620307439684</v>
      </c>
      <c r="I19286" s="6" t="n">
        <f aca="false">Sens!I19257-Sens!I19254-Sens!I19261+Sens!I19239*(1-tax_f)</f>
        <v>158.315796301636</v>
      </c>
      <c r="J19286" s="6" t="n">
        <f aca="false">Sens!J19257-Sens!J19254-Sens!J19261+Sens!J19239*(1-tax_f)</f>
        <v>236.749914836892</v>
      </c>
      <c r="K19286" s="6" t="n">
        <f aca="false">Sens!K19257-Sens!K19254-Sens!K19261+Sens!K19239*(1-tax_f)</f>
        <v>274.377480725803</v>
      </c>
      <c r="L19286" s="1" t="s">
        <v>1223</v>
      </c>
    </row>
    <row r="19287" customFormat="false" ht="15" hidden="false" customHeight="false" outlineLevel="0" collapsed="false">
      <c r="A19287" s="1" t="s">
        <v>1224</v>
      </c>
      <c r="B19287" s="0" t="s">
        <v>98</v>
      </c>
      <c r="F19287" s="6" t="n">
        <f aca="false">Sens!F19286*Sens!F19284</f>
        <v>-2.82461529679147</v>
      </c>
      <c r="G19287" s="6" t="n">
        <f aca="false">Sens!G19286*Sens!G19284</f>
        <v>27.0512178894151</v>
      </c>
      <c r="H19287" s="6" t="n">
        <f aca="false">Sens!H19286*Sens!H19284</f>
        <v>64.7971548196362</v>
      </c>
      <c r="I19287" s="6" t="n">
        <f aca="false">Sens!I19286*Sens!I19284</f>
        <v>115.165503538352</v>
      </c>
      <c r="J19287" s="6" t="n">
        <f aca="false">Sens!J19286*Sens!J19284</f>
        <v>156.148367264326</v>
      </c>
      <c r="K19287" s="6" t="n">
        <f aca="false">Sens!K19286*Sens!K19284</f>
        <v>164.076179558286</v>
      </c>
    </row>
    <row r="19288" customFormat="false" ht="17.15" hidden="false" customHeight="false" outlineLevel="0" collapsed="false">
      <c r="A19288" s="1" t="s">
        <v>1225</v>
      </c>
      <c r="B19288" s="0" t="s">
        <v>98</v>
      </c>
      <c r="C19288" s="6" t="n">
        <f aca="false">SUM(Sens!F19287:K19287)</f>
        <v>524.413807773224</v>
      </c>
    </row>
    <row r="19289" customFormat="false" ht="17.15" hidden="false" customHeight="false" outlineLevel="0" collapsed="false">
      <c r="A19289" s="1" t="s">
        <v>1226</v>
      </c>
      <c r="B19289" s="0" t="s">
        <v>98</v>
      </c>
      <c r="C19289" s="6" t="n">
        <f aca="false">Sens!K19225*(1+g_tv)*(1-tax_f)</f>
        <v>287.89476977101</v>
      </c>
    </row>
    <row r="19290" customFormat="false" ht="17.15" hidden="false" customHeight="false" outlineLevel="0" collapsed="false">
      <c r="A19290" s="1" t="s">
        <v>1227</v>
      </c>
      <c r="B19290" s="0" t="s">
        <v>98</v>
      </c>
      <c r="C19290" s="6" t="n">
        <f aca="false">Sens!$C$19289*(1-g_tv/(wacc+ronic_prem))</f>
        <v>203.990270760595</v>
      </c>
    </row>
    <row r="19291" customFormat="false" ht="17.15" hidden="false" customHeight="false" outlineLevel="0" collapsed="false">
      <c r="A19291" s="1" t="s">
        <v>1228</v>
      </c>
      <c r="B19291" s="0" t="s">
        <v>98</v>
      </c>
      <c r="C19291" s="6" t="n">
        <f aca="false">Sens!$C$19290/(wacc-g_tv)</f>
        <v>2796.81663368048</v>
      </c>
    </row>
    <row r="19292" customFormat="false" ht="15" hidden="false" customHeight="false" outlineLevel="0" collapsed="false">
      <c r="A19292" s="1" t="s">
        <v>1229</v>
      </c>
      <c r="B19292" s="0" t="s">
        <v>98</v>
      </c>
      <c r="C19292" s="6" t="n">
        <f aca="false">Sens!$C$19291/(1+wacc)^Sens!K19283</f>
        <v>1592.52328937843</v>
      </c>
    </row>
    <row r="19293" customFormat="false" ht="17.15" hidden="false" customHeight="false" outlineLevel="0" collapsed="false">
      <c r="A19293" s="0" t="s">
        <v>1230</v>
      </c>
      <c r="B19293" s="0" t="s">
        <v>98</v>
      </c>
      <c r="C19293" s="6" t="n">
        <f aca="false">Sens!$C$19288+Sens!$C$19292</f>
        <v>2116.93709715166</v>
      </c>
    </row>
    <row r="19294" customFormat="false" ht="15" hidden="false" customHeight="false" outlineLevel="0" collapsed="false">
      <c r="A19294" s="1" t="s">
        <v>1145</v>
      </c>
      <c r="B19294" s="0" t="s">
        <v>168</v>
      </c>
      <c r="C19294" s="7" t="n">
        <f aca="false">Sens!$C$19292/Sens!$C$19293</f>
        <v>0.752277094827795</v>
      </c>
    </row>
    <row r="19295" customFormat="false" ht="17.15" hidden="false" customHeight="false" outlineLevel="0" collapsed="false">
      <c r="A19295" s="1" t="s">
        <v>1231</v>
      </c>
      <c r="B19295" s="0" t="s">
        <v>98</v>
      </c>
      <c r="C19295" s="6" t="n">
        <f aca="false">Sens!$C$19293+cash_val-debt_val-fl_val+oai_v</f>
        <v>2232.78809715166</v>
      </c>
    </row>
    <row r="19296" customFormat="false" ht="17.15" hidden="false" customHeight="false" outlineLevel="0" collapsed="false">
      <c r="A19296" s="0" t="s">
        <v>1153</v>
      </c>
      <c r="B19296" s="0" t="s">
        <v>75</v>
      </c>
      <c r="C19296" s="5" t="n">
        <f aca="false">Sens!$C$19295/shd_val</f>
        <v>299.86410114849</v>
      </c>
    </row>
    <row r="19297" customFormat="false" ht="15" hidden="false" customHeight="false" outlineLevel="0" collapsed="false">
      <c r="A19297" s="1" t="s">
        <v>1232</v>
      </c>
      <c r="B19297" s="0" t="s">
        <v>75</v>
      </c>
      <c r="C19297" s="8" t="n">
        <f aca="false">div_rem27+Sens!G19265*roll_div_q/q_per_yr</f>
        <v>3.9795</v>
      </c>
    </row>
    <row r="19298" customFormat="false" ht="17.15" hidden="false" customHeight="false" outlineLevel="0" collapsed="false">
      <c r="A19298" s="0" t="s">
        <v>1233</v>
      </c>
      <c r="B19298" s="0" t="s">
        <v>75</v>
      </c>
      <c r="C19298" s="5" t="n">
        <f aca="false">Sens!$C$19296*(1+wacc)^t_roll-Sens!$C$19297</f>
        <v>329.336184065077</v>
      </c>
    </row>
    <row r="19299" customFormat="false" ht="17.15" hidden="false" customHeight="false" outlineLevel="0" collapsed="false">
      <c r="A19299" s="1" t="s">
        <v>1234</v>
      </c>
      <c r="B19299" s="0" t="s">
        <v>168</v>
      </c>
      <c r="F19299" s="7" t="n">
        <f aca="false">Sens!F19251/(Sens!F19196-Sens!F19151)</f>
        <v>0.0686340370353369</v>
      </c>
      <c r="G19299" s="7" t="n">
        <f aca="false">Sens!G19251/(Sens!G19196-Sens!G19151)</f>
        <v>0.0658430376087043</v>
      </c>
      <c r="H19299" s="7" t="n">
        <f aca="false">Sens!H19251/(Sens!H19196-Sens!H19151)</f>
        <v>0.0643952220334894</v>
      </c>
      <c r="I19299" s="7" t="n">
        <f aca="false">Sens!I19251/(Sens!I19196-Sens!I19151)</f>
        <v>0.0641699461531612</v>
      </c>
      <c r="J19299" s="7" t="n">
        <f aca="false">Sens!J19251/(Sens!J19196-Sens!J19151)</f>
        <v>0.0648852122031171</v>
      </c>
      <c r="K19299" s="7" t="n">
        <f aca="false">Sens!K19251/(Sens!K19196-Sens!K19151)</f>
        <v>0.0661940997778076</v>
      </c>
    </row>
    <row r="19300" customFormat="false" ht="17.15" hidden="false" customHeight="false" outlineLevel="0" collapsed="false">
      <c r="A19300" s="0" t="s">
        <v>1235</v>
      </c>
      <c r="B19300" s="0" t="s">
        <v>98</v>
      </c>
      <c r="F19300" s="6" t="n">
        <f aca="false">Sens!F19181*(al_m365+Sens!F19299+sbc_r)</f>
        <v>83.7222778525403</v>
      </c>
      <c r="G19300" s="6" t="n">
        <f aca="false">Sens!G19181*(al_m365+Sens!G19299+sbc_r)</f>
        <v>96.131453691123</v>
      </c>
      <c r="H19300" s="6" t="n">
        <f aca="false">Sens!H19181*(al_m365+Sens!H19299+sbc_r)</f>
        <v>108.704417388783</v>
      </c>
      <c r="I19300" s="6" t="n">
        <f aca="false">Sens!I19181*(al_m365+Sens!I19299+sbc_r)</f>
        <v>120.260492897902</v>
      </c>
      <c r="J19300" s="6" t="n">
        <f aca="false">Sens!J19181*(al_m365+Sens!J19299+sbc_r)</f>
        <v>130.611783945415</v>
      </c>
      <c r="K19300" s="6" t="n">
        <f aca="false">Sens!K19181*(al_m365+Sens!K19299+sbc_r)</f>
        <v>140.574427096397</v>
      </c>
      <c r="L19300" s="12" t="s">
        <v>1236</v>
      </c>
    </row>
    <row r="19301" customFormat="false" ht="17.15" hidden="false" customHeight="false" outlineLevel="0" collapsed="false">
      <c r="A19301" s="0" t="s">
        <v>1237</v>
      </c>
      <c r="B19301" s="0" t="s">
        <v>98</v>
      </c>
      <c r="F19301" s="6" t="n">
        <f aca="false">Sens!F19182*(al_lic+Sens!F19299+sbc_r)</f>
        <v>32.8583211569281</v>
      </c>
      <c r="G19301" s="6" t="n">
        <f aca="false">Sens!G19182*(al_lic+Sens!G19299+sbc_r)</f>
        <v>34.1380139622328</v>
      </c>
      <c r="H19301" s="6" t="n">
        <f aca="false">Sens!H19182*(al_lic+Sens!H19299+sbc_r)</f>
        <v>35.332809230035</v>
      </c>
      <c r="I19301" s="6" t="n">
        <f aca="false">Sens!I19182*(al_lic+Sens!I19299+sbc_r)</f>
        <v>36.4245726118289</v>
      </c>
      <c r="J19301" s="6" t="n">
        <f aca="false">Sens!J19182*(al_lic+Sens!J19299+sbc_r)</f>
        <v>37.3879121599902</v>
      </c>
      <c r="K19301" s="6" t="n">
        <f aca="false">Sens!K19182*(al_lic+Sens!K19299+sbc_r)</f>
        <v>38.1942380332713</v>
      </c>
    </row>
    <row r="19302" customFormat="false" ht="17.15" hidden="false" customHeight="false" outlineLevel="0" collapsed="false">
      <c r="A19302" s="0" t="s">
        <v>1238</v>
      </c>
      <c r="B19302" s="0" t="s">
        <v>98</v>
      </c>
      <c r="F19302" s="6" t="n">
        <f aca="false">Sens!F19184*(al_ind+Sens!F19299+sbc_r)</f>
        <v>9.06073992926616</v>
      </c>
      <c r="G19302" s="6" t="n">
        <f aca="false">Sens!G19184*(al_ind+Sens!G19299+sbc_r)</f>
        <v>9.83642698136292</v>
      </c>
      <c r="H19302" s="6" t="n">
        <f aca="false">Sens!H19184*(al_ind+Sens!H19299+sbc_r)</f>
        <v>10.6571661292139</v>
      </c>
      <c r="I19302" s="6" t="n">
        <f aca="false">Sens!I19184*(al_ind+Sens!I19299+sbc_r)</f>
        <v>11.5199226978275</v>
      </c>
      <c r="J19302" s="6" t="n">
        <f aca="false">Sens!J19184*(al_ind+Sens!J19299+sbc_r)</f>
        <v>12.414988641008</v>
      </c>
      <c r="K19302" s="6" t="n">
        <f aca="false">Sens!K19184*(al_ind+Sens!K19299+sbc_r)</f>
        <v>13.3272610721723</v>
      </c>
    </row>
    <row r="19303" customFormat="false" ht="17.15" hidden="false" customHeight="false" outlineLevel="0" collapsed="false">
      <c r="A19303" s="0" t="s">
        <v>1239</v>
      </c>
      <c r="B19303" s="0" t="s">
        <v>98</v>
      </c>
      <c r="F19303" s="6" t="n">
        <f aca="false">Sens!F19186*(al_fro+Sens!F19299+sbc_r)</f>
        <v>3.55415616942578</v>
      </c>
      <c r="G19303" s="6" t="n">
        <f aca="false">Sens!G19186*(al_fro+Sens!G19299+sbc_r)</f>
        <v>3.76370524879597</v>
      </c>
      <c r="H19303" s="6" t="n">
        <f aca="false">Sens!H19186*(al_fro+Sens!H19299+sbc_r)</f>
        <v>4.00226606540646</v>
      </c>
      <c r="I19303" s="6" t="n">
        <f aca="false">Sens!I19186*(al_fro+Sens!I19299+sbc_r)</f>
        <v>4.27260082320053</v>
      </c>
      <c r="J19303" s="6" t="n">
        <f aca="false">Sens!J19186*(al_fro+Sens!J19299+sbc_r)</f>
        <v>4.57585486764299</v>
      </c>
      <c r="K19303" s="6" t="n">
        <f aca="false">Sens!K19186*(al_fro+Sens!K19299+sbc_r)</f>
        <v>4.91209571050377</v>
      </c>
    </row>
    <row r="19304" customFormat="false" ht="17.15" hidden="false" customHeight="false" outlineLevel="0" collapsed="false">
      <c r="A19304" s="0" t="s">
        <v>1240</v>
      </c>
      <c r="B19304" s="0" t="s">
        <v>98</v>
      </c>
      <c r="F19304" s="6" t="n">
        <f aca="false">Sens!F19189*(al_srch+Sens!F19299+sbc_r)</f>
        <v>11.189489084871</v>
      </c>
      <c r="G19304" s="6" t="n">
        <f aca="false">Sens!G19189*(al_srch+Sens!G19299+sbc_r)</f>
        <v>12.2620332803124</v>
      </c>
      <c r="H19304" s="6" t="n">
        <f aca="false">Sens!H19189*(al_srch+Sens!H19299+sbc_r)</f>
        <v>13.3796748113295</v>
      </c>
      <c r="I19304" s="6" t="n">
        <f aca="false">Sens!I19189*(al_srch+Sens!I19299+sbc_r)</f>
        <v>14.5317941467175</v>
      </c>
      <c r="J19304" s="6" t="n">
        <f aca="false">Sens!J19189*(al_srch+Sens!J19299+sbc_r)</f>
        <v>15.6984112759955</v>
      </c>
      <c r="K19304" s="6" t="n">
        <f aca="false">Sens!K19189*(al_srch+Sens!K19299+sbc_r)</f>
        <v>16.8519546447639</v>
      </c>
    </row>
    <row r="19305" customFormat="false" ht="17.15" hidden="false" customHeight="false" outlineLevel="0" collapsed="false">
      <c r="A19305" s="0" t="s">
        <v>1241</v>
      </c>
      <c r="B19305" s="0" t="s">
        <v>98</v>
      </c>
      <c r="F19305" s="6" t="n">
        <f aca="false">Sens!F19157-Sens!F19158+Sens!F19239</f>
        <v>43.2117267214733</v>
      </c>
      <c r="G19305" s="6" t="n">
        <f aca="false">Sens!G19157-Sens!G19158+Sens!G19239</f>
        <v>82.6771577230826</v>
      </c>
      <c r="H19305" s="6" t="n">
        <f aca="false">Sens!H19157-Sens!H19158+Sens!H19239</f>
        <v>125.103129218524</v>
      </c>
      <c r="I19305" s="6" t="n">
        <f aca="false">Sens!I19157-Sens!I19158+Sens!I19239</f>
        <v>163.316411128004</v>
      </c>
      <c r="J19305" s="6" t="n">
        <f aca="false">Sens!J19157-Sens!J19158+Sens!J19239</f>
        <v>190.469446618662</v>
      </c>
      <c r="K19305" s="6" t="n">
        <f aca="false">Sens!K19157-Sens!K19158+Sens!K19239</f>
        <v>207.766341573963</v>
      </c>
    </row>
    <row r="19306" customFormat="false" ht="17.15" hidden="false" customHeight="false" outlineLevel="0" collapsed="false">
      <c r="A19306" s="0" t="s">
        <v>1242</v>
      </c>
      <c r="B19306" s="0" t="s">
        <v>98</v>
      </c>
      <c r="F19306" s="6" t="n">
        <f aca="false">Sens!F19218+Sens!F19239+Sens!F19169+Sens!F19299*(Sens!F19188-Sens!F19151)+sbc_r*Sens!F19188</f>
        <v>238.623073288425</v>
      </c>
      <c r="G19306" s="6" t="n">
        <f aca="false">Sens!G19218+Sens!G19239+Sens!G19169+Sens!G19299*(Sens!G19188-Sens!G19151)+sbc_r*Sens!G19188</f>
        <v>301.036012112214</v>
      </c>
      <c r="H19306" s="6" t="n">
        <f aca="false">Sens!H19218+Sens!H19239+Sens!H19169+Sens!H19299*(Sens!H19188-Sens!H19151)+sbc_r*Sens!H19188</f>
        <v>371.216115862327</v>
      </c>
      <c r="I19306" s="6" t="n">
        <f aca="false">Sens!I19218+Sens!I19239+Sens!I19169+Sens!I19299*(Sens!I19188-Sens!I19151)+sbc_r*Sens!I19188</f>
        <v>435.807878075843</v>
      </c>
      <c r="J19306" s="6" t="n">
        <f aca="false">Sens!J19218+Sens!J19239+Sens!J19169+Sens!J19299*(Sens!J19188-Sens!J19151)+sbc_r*Sens!J19188</f>
        <v>486.886867176475</v>
      </c>
      <c r="K19306" s="6" t="n">
        <f aca="false">Sens!K19218+Sens!K19239+Sens!K19169+Sens!K19299*(Sens!K19188-Sens!K19151)+sbc_r*Sens!K19188</f>
        <v>525.731629418965</v>
      </c>
    </row>
    <row r="19307" customFormat="false" ht="17.15" hidden="false" customHeight="false" outlineLevel="0" collapsed="false">
      <c r="A19307" s="0" t="s">
        <v>1243</v>
      </c>
      <c r="B19307" s="0" t="s">
        <v>98</v>
      </c>
      <c r="F19307" s="6" t="n">
        <f aca="false">Sens!F19306-Sens!F19300-Sens!F19301-Sens!F19302-Sens!F19303-Sens!F19305</f>
        <v>66.2158514587915</v>
      </c>
      <c r="G19307" s="6" t="n">
        <f aca="false">Sens!G19306-Sens!G19300-Sens!G19301-Sens!G19302-Sens!G19303-Sens!G19305</f>
        <v>74.4892545056162</v>
      </c>
      <c r="H19307" s="6" t="n">
        <f aca="false">Sens!H19306-Sens!H19300-Sens!H19301-Sens!H19302-Sens!H19303-Sens!H19305</f>
        <v>87.4163278303646</v>
      </c>
      <c r="I19307" s="6" t="n">
        <f aca="false">Sens!I19306-Sens!I19300-Sens!I19301-Sens!I19302-Sens!I19303-Sens!I19305</f>
        <v>100.013877917079</v>
      </c>
      <c r="J19307" s="6" t="n">
        <f aca="false">Sens!J19306-Sens!J19300-Sens!J19301-Sens!J19302-Sens!J19303-Sens!J19305</f>
        <v>111.426880943757</v>
      </c>
      <c r="K19307" s="6" t="n">
        <f aca="false">Sens!K19306-Sens!K19300-Sens!K19301-Sens!K19302-Sens!K19303-Sens!K19305</f>
        <v>120.957265932658</v>
      </c>
    </row>
    <row r="19308" customFormat="false" ht="17.15" hidden="false" customHeight="false" outlineLevel="0" collapsed="false">
      <c r="A19308" s="0" t="s">
        <v>1244</v>
      </c>
      <c r="B19308" s="0" t="s">
        <v>98</v>
      </c>
      <c r="F19308" s="6" t="n">
        <f aca="false">Sens!F19220+Sens!F19299*Sens!F19195+sbc_r*Sens!F19195</f>
        <v>26.6345670522739</v>
      </c>
      <c r="G19308" s="6" t="n">
        <f aca="false">Sens!G19220+Sens!G19299*Sens!G19195+sbc_r*Sens!G19195</f>
        <v>26.4727275443532</v>
      </c>
      <c r="H19308" s="6" t="n">
        <f aca="false">Sens!H19220+Sens!H19299*Sens!H19195+sbc_r*Sens!H19195</f>
        <v>27.3471819088146</v>
      </c>
      <c r="I19308" s="6" t="n">
        <f aca="false">Sens!I19220+Sens!I19299*Sens!I19195+sbc_r*Sens!I19195</f>
        <v>28.4576292184081</v>
      </c>
      <c r="J19308" s="6" t="n">
        <f aca="false">Sens!J19220+Sens!J19299*Sens!J19195+sbc_r*Sens!J19195</f>
        <v>29.7689406105206</v>
      </c>
      <c r="K19308" s="6" t="n">
        <f aca="false">Sens!K19220+Sens!K19299*Sens!K19195+sbc_r*Sens!K19195</f>
        <v>31.2441334876589</v>
      </c>
    </row>
    <row r="19309" customFormat="false" ht="17.15" hidden="false" customHeight="false" outlineLevel="0" collapsed="false">
      <c r="A19309" s="0" t="s">
        <v>1245</v>
      </c>
      <c r="B19309" s="0" t="s">
        <v>98</v>
      </c>
      <c r="F19309" s="6" t="n">
        <f aca="false">(Sens!F19308-Sens!F19304)*Sens!F19191/(Sens!F19191+Sens!F19193)</f>
        <v>8.7231563681814</v>
      </c>
      <c r="G19309" s="6" t="n">
        <f aca="false">(Sens!G19308-Sens!G19304)*Sens!G19191/(Sens!G19191+Sens!G19193)</f>
        <v>7.88805728117577</v>
      </c>
      <c r="H19309" s="6" t="n">
        <f aca="false">(Sens!H19308-Sens!H19304)*Sens!H19191/(Sens!H19191+Sens!H19193)</f>
        <v>7.65206966739436</v>
      </c>
      <c r="I19309" s="6" t="n">
        <f aca="false">(Sens!I19308-Sens!I19304)*Sens!I19191/(Sens!I19191+Sens!I19193)</f>
        <v>7.56264826703671</v>
      </c>
      <c r="J19309" s="6" t="n">
        <f aca="false">(Sens!J19308-Sens!J19304)*Sens!J19191/(Sens!J19191+Sens!J19193)</f>
        <v>7.60788849805409</v>
      </c>
      <c r="K19309" s="6" t="n">
        <f aca="false">(Sens!K19308-Sens!K19304)*Sens!K19191/(Sens!K19191+Sens!K19193)</f>
        <v>7.78180331937696</v>
      </c>
    </row>
    <row r="19310" customFormat="false" ht="17.15" hidden="false" customHeight="false" outlineLevel="0" collapsed="false">
      <c r="A19310" s="0" t="s">
        <v>1246</v>
      </c>
      <c r="B19310" s="0" t="s">
        <v>98</v>
      </c>
      <c r="F19310" s="6" t="n">
        <f aca="false">Sens!F19308-Sens!F19304-Sens!F19309</f>
        <v>6.72192159922158</v>
      </c>
      <c r="G19310" s="6" t="n">
        <f aca="false">Sens!G19308-Sens!G19304-Sens!G19309</f>
        <v>6.32263698286498</v>
      </c>
      <c r="H19310" s="6" t="n">
        <f aca="false">Sens!H19308-Sens!H19304-Sens!H19309</f>
        <v>6.31543743009079</v>
      </c>
      <c r="I19310" s="6" t="n">
        <f aca="false">Sens!I19308-Sens!I19304-Sens!I19309</f>
        <v>6.36318680465388</v>
      </c>
      <c r="J19310" s="6" t="n">
        <f aca="false">Sens!J19308-Sens!J19304-Sens!J19309</f>
        <v>6.46264083647102</v>
      </c>
      <c r="K19310" s="6" t="n">
        <f aca="false">Sens!K19308-Sens!K19304-Sens!K19309</f>
        <v>6.61037552351805</v>
      </c>
    </row>
    <row r="19311" customFormat="false" ht="17.15" hidden="false" customHeight="false" outlineLevel="0" collapsed="false">
      <c r="A19311" s="0" t="s">
        <v>1247</v>
      </c>
      <c r="B19311" s="0" t="s">
        <v>98</v>
      </c>
      <c r="F19311" s="6" t="n">
        <f aca="false">Sens!F19305-tax_f*(Sens!F19305-Sens!F19169)-Sens!F19166</f>
        <v>-126.976701125267</v>
      </c>
      <c r="G19311" s="6" t="n">
        <f aca="false">Sens!G19305-tax_f*(Sens!G19305-Sens!G19169)-Sens!G19166</f>
        <v>-113.807332664446</v>
      </c>
      <c r="H19311" s="6" t="n">
        <f aca="false">Sens!H19305-tax_f*(Sens!H19305-Sens!H19169)-Sens!H19166</f>
        <v>-78.8816562261053</v>
      </c>
      <c r="I19311" s="6" t="n">
        <f aca="false">Sens!I19305-tax_f*(Sens!I19305-Sens!I19169)-Sens!I19166</f>
        <v>-16.2091577308568</v>
      </c>
      <c r="J19311" s="6" t="n">
        <f aca="false">Sens!J19305-tax_f*(Sens!J19305-Sens!J19169)-Sens!J19166</f>
        <v>48.1977781267219</v>
      </c>
      <c r="K19311" s="6" t="n">
        <f aca="false">Sens!K19305-tax_f*(Sens!K19305-Sens!K19169)-Sens!K19166</f>
        <v>72.5967788985396</v>
      </c>
    </row>
    <row r="19312" customFormat="false" ht="17.15" hidden="false" customHeight="false" outlineLevel="0" collapsed="false">
      <c r="A19312" s="0" t="s">
        <v>1248</v>
      </c>
      <c r="B19312" s="0" t="s">
        <v>98</v>
      </c>
      <c r="G19312" s="6" t="n">
        <f aca="false">Sens!G19311/(1+wacc)^(Sens!G19282-Sens!F19283)</f>
        <v>-108.366481384903</v>
      </c>
      <c r="H19312" s="6" t="n">
        <f aca="false">Sens!H19311/(1+wacc)^(Sens!H19282-Sens!F19283)</f>
        <v>-68.1004847025477</v>
      </c>
      <c r="I19312" s="6" t="n">
        <f aca="false">Sens!I19311/(1+wacc)^(Sens!I19282-Sens!F19283)</f>
        <v>-12.6877346032415</v>
      </c>
      <c r="J19312" s="6" t="n">
        <f aca="false">Sens!J19311/(1+wacc)^(Sens!J19282-Sens!F19283)</f>
        <v>34.2058282154851</v>
      </c>
      <c r="K19312" s="6" t="n">
        <f aca="false">Sens!K19311/(1+wacc)^(Sens!K19282-Sens!F19283)</f>
        <v>46.7132301036804</v>
      </c>
      <c r="L19312" s="1" t="s">
        <v>1249</v>
      </c>
    </row>
    <row r="19313" customFormat="false" ht="17.15" hidden="false" customHeight="false" outlineLevel="0" collapsed="false">
      <c r="A19313" s="0" t="s">
        <v>1250</v>
      </c>
      <c r="B19313" s="0" t="s">
        <v>98</v>
      </c>
      <c r="C19313" s="6" t="n">
        <f aca="false">(Sens!K19305-Sens!K19169)*(1-tax_f)*(1+g_tv)*(1-g_tv/(wacc+ronic_prem))/(wacc-g_tv)/(1+wacc)^(Sens!K19283-Sens!F19283)</f>
        <v>311.005503104214</v>
      </c>
    </row>
    <row r="19314" customFormat="false" ht="17.15" hidden="false" customHeight="false" outlineLevel="0" collapsed="false">
      <c r="A19314" s="1" t="s">
        <v>1251</v>
      </c>
      <c r="B19314" s="0" t="s">
        <v>98</v>
      </c>
      <c r="C19314" s="6" t="n">
        <f aca="false">(SUM(Sens!G19312:K19312)+Sens!$C$19313)*(1+wacc)^(t_roll-Sens!F19283)</f>
        <v>209.463907057047</v>
      </c>
      <c r="L19314" s="12" t="s">
        <v>1252</v>
      </c>
    </row>
    <row r="19315" customFormat="false" ht="17.15" hidden="false" customHeight="false" outlineLevel="0" collapsed="false">
      <c r="A19315" s="1" t="s">
        <v>1253</v>
      </c>
      <c r="B19315" s="0" t="s">
        <v>98</v>
      </c>
      <c r="C19315" s="6" t="n">
        <f aca="false">(w_ntm28*Sens!G19157+(1-w_ntm28)*Sens!H19157)*m_ai</f>
        <v>470.190407180943</v>
      </c>
    </row>
    <row r="19316" customFormat="false" ht="17.15" hidden="false" customHeight="false" outlineLevel="0" collapsed="false">
      <c r="A19316" s="1" t="s">
        <v>1254</v>
      </c>
      <c r="B19316" s="0" t="s">
        <v>98</v>
      </c>
      <c r="C19316" s="6" t="n">
        <f aca="false">(w_ntm28*Sens!G19307+(1-w_ntm28)*Sens!H19307)*m_cloud</f>
        <v>1088.17645179299</v>
      </c>
    </row>
    <row r="19317" customFormat="false" ht="17.15" hidden="false" customHeight="false" outlineLevel="0" collapsed="false">
      <c r="A19317" s="1" t="s">
        <v>1255</v>
      </c>
      <c r="B19317" s="0" t="s">
        <v>98</v>
      </c>
      <c r="C19317" s="6" t="n">
        <f aca="false">(w_ntm28*Sens!G19300+(1-w_ntm28)*Sens!H19300)*m_sw</f>
        <v>1082.86233260979</v>
      </c>
    </row>
    <row r="19318" customFormat="false" ht="17.15" hidden="false" customHeight="false" outlineLevel="0" collapsed="false">
      <c r="A19318" s="1" t="s">
        <v>1256</v>
      </c>
      <c r="B19318" s="0" t="s">
        <v>98</v>
      </c>
      <c r="C19318" s="6" t="n">
        <f aca="false">(w_ntm28*Sens!G19301+(1-w_ntm28)*Sens!H19301)*m_sw</f>
        <v>372.932892345735</v>
      </c>
    </row>
    <row r="19319" customFormat="false" ht="17.15" hidden="false" customHeight="false" outlineLevel="0" collapsed="false">
      <c r="A19319" s="1" t="s">
        <v>1257</v>
      </c>
      <c r="B19319" s="0" t="s">
        <v>98</v>
      </c>
      <c r="C19319" s="6" t="n">
        <f aca="false">(w_ntm28*Sens!G19302+(1-w_ntm28)*Sens!H19302)*m_sw</f>
        <v>109.147597523692</v>
      </c>
    </row>
    <row r="19320" customFormat="false" ht="17.15" hidden="false" customHeight="false" outlineLevel="0" collapsed="false">
      <c r="A19320" s="1" t="s">
        <v>1258</v>
      </c>
      <c r="B19320" s="0" t="s">
        <v>98</v>
      </c>
      <c r="C19320" s="6" t="n">
        <f aca="false">(w_ntm28*Sens!G19303+(1-w_ntm28)*Sens!H19303)*m_sw</f>
        <v>41.4950709837834</v>
      </c>
    </row>
    <row r="19321" customFormat="false" ht="17.15" hidden="false" customHeight="false" outlineLevel="0" collapsed="false">
      <c r="A19321" s="1" t="s">
        <v>1259</v>
      </c>
      <c r="B19321" s="0" t="s">
        <v>98</v>
      </c>
      <c r="C19321" s="6" t="n">
        <f aca="false">(w_ntm28*Sens!G19304+(1-w_ntm28)*Sens!H19304)*m_ads</f>
        <v>115.054536119832</v>
      </c>
    </row>
    <row r="19322" customFormat="false" ht="17.15" hidden="false" customHeight="false" outlineLevel="0" collapsed="false">
      <c r="A19322" s="1" t="s">
        <v>1260</v>
      </c>
      <c r="B19322" s="0" t="s">
        <v>98</v>
      </c>
      <c r="C19322" s="6" t="n">
        <f aca="false">(w_ntm28*Sens!G19309+(1-w_ntm28)*Sens!H19309)*m_game</f>
        <v>98.6462653038607</v>
      </c>
    </row>
    <row r="19323" customFormat="false" ht="17.15" hidden="false" customHeight="false" outlineLevel="0" collapsed="false">
      <c r="A19323" s="1" t="s">
        <v>1261</v>
      </c>
      <c r="B19323" s="0" t="s">
        <v>98</v>
      </c>
      <c r="C19323" s="6" t="n">
        <f aca="false">(w_ntm28*Sens!G19310+(1-w_ntm28)*Sens!H19310)*m_pc</f>
        <v>91.4543069956532</v>
      </c>
    </row>
    <row r="19324" customFormat="false" ht="17.15" hidden="false" customHeight="false" outlineLevel="0" collapsed="false">
      <c r="A19324" s="1" t="s">
        <v>1262</v>
      </c>
      <c r="B19324" s="0" t="s">
        <v>98</v>
      </c>
      <c r="C19324" s="6" t="n">
        <f aca="false">Sens!$C$19314+Sens!$C$19316+Sens!$C$19317+Sens!$C$19318+Sens!$C$19319+Sens!$C$19320+Sens!$C$19321+Sens!$C$19322+Sens!$C$19323</f>
        <v>3209.23336073239</v>
      </c>
    </row>
    <row r="19325" customFormat="false" ht="17.15" hidden="false" customHeight="false" outlineLevel="0" collapsed="false">
      <c r="A19325" s="1" t="s">
        <v>1263</v>
      </c>
      <c r="B19325" s="0" t="s">
        <v>98</v>
      </c>
      <c r="C19325" s="6" t="n">
        <f aca="false">(Sens!G19286-Sens!G19311)*t_stub</f>
        <v>47.8618910799301</v>
      </c>
      <c r="L19325" s="1" t="s">
        <v>1264</v>
      </c>
    </row>
    <row r="19326" customFormat="false" ht="17.15" hidden="false" customHeight="false" outlineLevel="0" collapsed="false">
      <c r="A19326" s="1" t="s">
        <v>1173</v>
      </c>
      <c r="B19326" s="0" t="s">
        <v>98</v>
      </c>
      <c r="C19326" s="6" t="n">
        <f aca="false">Sens!F19273+oai_v-Sens!F19262+Sens!$C$19325</f>
        <v>162.09016107993</v>
      </c>
      <c r="L19326" s="1" t="s">
        <v>1265</v>
      </c>
    </row>
    <row r="19327" customFormat="false" ht="17.15" hidden="false" customHeight="false" outlineLevel="0" collapsed="false">
      <c r="A19327" s="1" t="s">
        <v>1266</v>
      </c>
      <c r="B19327" s="0" t="s">
        <v>75</v>
      </c>
      <c r="C19327" s="5" t="n">
        <f aca="false">(Sens!$C$19324+Sens!$C$19326)/(Sens!F19275+dil_gap)-Sens!G19265*roll_div_q/q_per_yr</f>
        <v>448.788400089019</v>
      </c>
      <c r="L19327" s="1" t="s">
        <v>1267</v>
      </c>
    </row>
    <row r="19328" customFormat="false" ht="17.15" hidden="false" customHeight="false" outlineLevel="0" collapsed="false">
      <c r="A19328" s="1" t="s">
        <v>1268</v>
      </c>
      <c r="B19328" s="0" t="s">
        <v>75</v>
      </c>
      <c r="C19328" s="5" t="n">
        <f aca="false">w_dcf*Sens!$C$19298+(1-w_dcf)*Sens!$C$19327</f>
        <v>389.062292077048</v>
      </c>
    </row>
    <row r="19329" customFormat="false" ht="17.15" hidden="false" customHeight="false" outlineLevel="0" collapsed="false">
      <c r="A19329" s="3" t="s">
        <v>2089</v>
      </c>
    </row>
    <row r="19330" customFormat="false" ht="15" hidden="false" customHeight="false" outlineLevel="0" collapsed="false">
      <c r="A19330" s="4" t="s">
        <v>43</v>
      </c>
      <c r="B19330" s="4" t="s">
        <v>65</v>
      </c>
      <c r="C19330" s="23" t="s">
        <v>942</v>
      </c>
      <c r="D19330" s="23" t="s">
        <v>943</v>
      </c>
      <c r="E19330" s="23" t="s">
        <v>944</v>
      </c>
      <c r="F19330" s="23" t="s">
        <v>945</v>
      </c>
      <c r="G19330" s="23" t="s">
        <v>946</v>
      </c>
      <c r="H19330" s="23" t="s">
        <v>947</v>
      </c>
      <c r="I19330" s="23" t="s">
        <v>948</v>
      </c>
      <c r="J19330" s="23" t="s">
        <v>949</v>
      </c>
      <c r="K19330" s="23" t="s">
        <v>950</v>
      </c>
      <c r="L19330" s="4" t="s">
        <v>47</v>
      </c>
    </row>
    <row r="19331" customFormat="false" ht="17.15" hidden="false" customHeight="false" outlineLevel="0" collapsed="false">
      <c r="A19331" s="1" t="s">
        <v>951</v>
      </c>
      <c r="B19331" s="1" t="s">
        <v>279</v>
      </c>
      <c r="C19331" s="21" t="n">
        <v>2024</v>
      </c>
      <c r="D19331" s="21" t="n">
        <v>2025</v>
      </c>
      <c r="E19331" s="21" t="n">
        <v>2026</v>
      </c>
      <c r="F19331" s="21" t="n">
        <v>2027</v>
      </c>
      <c r="G19331" s="21" t="n">
        <v>2028</v>
      </c>
      <c r="H19331" s="21" t="n">
        <v>2029</v>
      </c>
      <c r="I19331" s="21" t="n">
        <v>2030</v>
      </c>
      <c r="J19331" s="21" t="n">
        <v>2031</v>
      </c>
      <c r="K19331" s="21" t="n">
        <v>2032</v>
      </c>
    </row>
    <row r="19332" customFormat="false" ht="17.15" hidden="false" customHeight="false" outlineLevel="0" collapsed="false">
      <c r="A19332" s="1" t="s">
        <v>952</v>
      </c>
      <c r="B19332" s="0" t="s">
        <v>459</v>
      </c>
      <c r="F19332" s="30" t="n">
        <f aca="false">pace_nv0</f>
        <v>2645.0669</v>
      </c>
      <c r="G19332" s="30" t="n">
        <f aca="false">pace_nv0</f>
        <v>2645.0669</v>
      </c>
      <c r="H19332" s="30" t="n">
        <f aca="false">pace_nv0</f>
        <v>2645.0669</v>
      </c>
      <c r="I19332" s="30" t="n">
        <f aca="false">pace_nv0+(g_tv*Sens!H19333-pace_nv0)*MIN(1,(Sens!I19331-pace_y0)/(pace_y1-pace_y0))</f>
        <v>1875.22994033333</v>
      </c>
      <c r="J19332" s="30" t="n">
        <f aca="false">pace_nv0+(g_tv*Sens!I19333-pace_nv0)*MIN(1,(Sens!J19331-pace_y0)/(pace_y1-pace_y0))</f>
        <v>1142.89757947333</v>
      </c>
      <c r="K19332" s="30" t="n">
        <f aca="false">pace_nv0+(g_tv*Sens!J19333-pace_nv0)*MIN(1,(Sens!K19331-pace_y0)/(pace_y1-pace_y0))</f>
        <v>426.0998465942</v>
      </c>
      <c r="L19332" s="12" t="s">
        <v>953</v>
      </c>
    </row>
    <row r="19333" customFormat="false" ht="17.15" hidden="false" customHeight="false" outlineLevel="0" collapsed="false">
      <c r="A19333" s="1" t="s">
        <v>954</v>
      </c>
      <c r="B19333" s="0" t="s">
        <v>459</v>
      </c>
      <c r="C19333" s="30" t="n">
        <f aca="false">mw_ext_24</f>
        <v>640</v>
      </c>
      <c r="D19333" s="30" t="n">
        <f aca="false">mw_ext_25</f>
        <v>1630</v>
      </c>
      <c r="E19333" s="30" t="n">
        <f aca="false">mw_ext_26</f>
        <v>3250</v>
      </c>
      <c r="F19333" s="30" t="n">
        <f aca="false">Sens!E19333+Sens!F19332</f>
        <v>5895.0669</v>
      </c>
      <c r="G19333" s="30" t="n">
        <f aca="false">Sens!F19333+Sens!G19332</f>
        <v>8540.1338</v>
      </c>
      <c r="H19333" s="30" t="n">
        <f aca="false">Sens!G19333+Sens!H19332</f>
        <v>11185.2007</v>
      </c>
      <c r="I19333" s="30" t="n">
        <f aca="false">Sens!H19333+Sens!I19332</f>
        <v>13060.4306403333</v>
      </c>
      <c r="J19333" s="30" t="n">
        <f aca="false">Sens!I19333+Sens!J19332</f>
        <v>14203.3282198067</v>
      </c>
      <c r="K19333" s="30" t="n">
        <f aca="false">Sens!J19333+Sens!K19332</f>
        <v>14629.4280664009</v>
      </c>
      <c r="L19333" s="1" t="s">
        <v>955</v>
      </c>
    </row>
    <row r="19334" customFormat="false" ht="17.15" hidden="false" customHeight="false" outlineLevel="0" collapsed="false">
      <c r="A19334" s="1" t="s">
        <v>956</v>
      </c>
      <c r="B19334" s="0" t="s">
        <v>459</v>
      </c>
      <c r="C19334" s="30" t="n">
        <f aca="false">rent_ext_24</f>
        <v>150</v>
      </c>
      <c r="D19334" s="30" t="n">
        <f aca="false">rent_ext_25</f>
        <v>400</v>
      </c>
      <c r="E19334" s="30" t="n">
        <f aca="false">rent_ext_26</f>
        <v>550</v>
      </c>
      <c r="F19334" s="30" t="n">
        <f aca="false">rent_ext_f</f>
        <v>756</v>
      </c>
      <c r="G19334" s="30" t="n">
        <f aca="false">rent_ext_f</f>
        <v>756</v>
      </c>
      <c r="H19334" s="30" t="n">
        <f aca="false">rent_ext_f</f>
        <v>756</v>
      </c>
      <c r="I19334" s="30" t="n">
        <f aca="false">rent_ext_f</f>
        <v>756</v>
      </c>
      <c r="J19334" s="30" t="n">
        <f aca="false">rent_ext_f</f>
        <v>756</v>
      </c>
      <c r="K19334" s="30" t="n">
        <f aca="false">rent_ext_f</f>
        <v>756</v>
      </c>
      <c r="L19334" s="1" t="s">
        <v>957</v>
      </c>
    </row>
    <row r="19335" customFormat="false" ht="17.15" hidden="false" customHeight="false" outlineLevel="0" collapsed="false">
      <c r="A19335" s="1" t="s">
        <v>958</v>
      </c>
      <c r="B19335" s="0" t="s">
        <v>459</v>
      </c>
      <c r="C19335" s="30" t="n">
        <f aca="false">Sens!C19333-Sens!C19334</f>
        <v>490</v>
      </c>
      <c r="D19335" s="30" t="n">
        <f aca="false">Sens!D19333-Sens!D19334</f>
        <v>1230</v>
      </c>
      <c r="E19335" s="30" t="n">
        <f aca="false">Sens!E19333-Sens!E19334</f>
        <v>2700</v>
      </c>
      <c r="F19335" s="30" t="n">
        <f aca="false">Sens!F19333-Sens!F19334</f>
        <v>5139.0669</v>
      </c>
      <c r="G19335" s="30" t="n">
        <f aca="false">Sens!G19333-Sens!G19334</f>
        <v>7784.1338</v>
      </c>
      <c r="H19335" s="30" t="n">
        <f aca="false">Sens!H19333-Sens!H19334</f>
        <v>10429.2007</v>
      </c>
      <c r="I19335" s="30" t="n">
        <f aca="false">Sens!I19333-Sens!I19334</f>
        <v>12304.4306403333</v>
      </c>
      <c r="J19335" s="30" t="n">
        <f aca="false">Sens!J19333-Sens!J19334</f>
        <v>13447.3282198067</v>
      </c>
      <c r="K19335" s="30" t="n">
        <f aca="false">Sens!K19333-Sens!K19334</f>
        <v>13873.4280664009</v>
      </c>
    </row>
    <row r="19336" customFormat="false" ht="17.15" hidden="false" customHeight="false" outlineLevel="0" collapsed="false">
      <c r="A19336" s="1" t="s">
        <v>959</v>
      </c>
      <c r="B19336" s="0" t="s">
        <v>459</v>
      </c>
      <c r="C19336" s="30" t="n">
        <f aca="false">Sens!C19335/ext_sh</f>
        <v>816.666666666667</v>
      </c>
      <c r="D19336" s="30" t="n">
        <f aca="false">Sens!D19335/ext_sh</f>
        <v>2050</v>
      </c>
      <c r="E19336" s="30" t="n">
        <f aca="false">Sens!E19335/ext_sh</f>
        <v>4500</v>
      </c>
      <c r="F19336" s="30" t="n">
        <f aca="false">Sens!F19335/ext_sh</f>
        <v>8565.1115</v>
      </c>
      <c r="G19336" s="30" t="n">
        <f aca="false">Sens!G19335/ext_sh</f>
        <v>12973.5563333333</v>
      </c>
      <c r="H19336" s="30" t="n">
        <f aca="false">Sens!H19335/ext_sh</f>
        <v>17382.0011666667</v>
      </c>
      <c r="I19336" s="30" t="n">
        <f aca="false">Sens!I19335/ext_sh</f>
        <v>20507.3844005556</v>
      </c>
      <c r="J19336" s="30" t="n">
        <f aca="false">Sens!J19335/ext_sh</f>
        <v>22412.2136996778</v>
      </c>
      <c r="K19336" s="30" t="n">
        <f aca="false">Sens!K19335/ext_sh</f>
        <v>23122.3801106681</v>
      </c>
      <c r="L19336" s="1" t="s">
        <v>960</v>
      </c>
    </row>
    <row r="19337" customFormat="false" ht="17.15" hidden="false" customHeight="false" outlineLevel="0" collapsed="false">
      <c r="A19337" s="1" t="s">
        <v>961</v>
      </c>
      <c r="B19337" s="0" t="s">
        <v>459</v>
      </c>
      <c r="C19337" s="30" t="n">
        <f aca="false">Sens!C19336-Sens!C19335</f>
        <v>326.666666666667</v>
      </c>
      <c r="D19337" s="30" t="n">
        <f aca="false">Sens!D19336-Sens!D19335</f>
        <v>820</v>
      </c>
      <c r="E19337" s="30" t="n">
        <f aca="false">Sens!E19336-Sens!E19335</f>
        <v>1800</v>
      </c>
      <c r="F19337" s="30" t="n">
        <f aca="false">Sens!F19336-Sens!F19335</f>
        <v>3426.0446</v>
      </c>
      <c r="G19337" s="30" t="n">
        <f aca="false">Sens!G19336-Sens!G19335</f>
        <v>5189.42253333333</v>
      </c>
      <c r="H19337" s="30" t="n">
        <f aca="false">Sens!H19336-Sens!H19335</f>
        <v>6952.80046666667</v>
      </c>
      <c r="I19337" s="30" t="n">
        <f aca="false">Sens!I19336-Sens!I19335</f>
        <v>8202.95376022222</v>
      </c>
      <c r="J19337" s="30" t="n">
        <f aca="false">Sens!J19336-Sens!J19335</f>
        <v>8964.88547987111</v>
      </c>
      <c r="K19337" s="30" t="n">
        <f aca="false">Sens!K19336-Sens!K19335</f>
        <v>9248.95204426724</v>
      </c>
    </row>
    <row r="19338" customFormat="false" ht="17.15" hidden="false" customHeight="false" outlineLevel="0" collapsed="false">
      <c r="A19338" s="1" t="s">
        <v>962</v>
      </c>
      <c r="B19338" s="0" t="s">
        <v>459</v>
      </c>
      <c r="C19338" s="30" t="n">
        <f aca="false">Sens!C19336</f>
        <v>816.666666666667</v>
      </c>
      <c r="D19338" s="30" t="n">
        <f aca="false">Sens!D19336-Sens!C19336</f>
        <v>1233.33333333333</v>
      </c>
      <c r="E19338" s="30" t="n">
        <f aca="false">Sens!E19336-Sens!D19336</f>
        <v>2450</v>
      </c>
      <c r="F19338" s="30" t="n">
        <f aca="false">Sens!F19336-Sens!E19336</f>
        <v>4065.1115</v>
      </c>
      <c r="G19338" s="30" t="n">
        <f aca="false">Sens!G19336-Sens!F19336</f>
        <v>4408.44483333333</v>
      </c>
      <c r="H19338" s="30" t="n">
        <f aca="false">Sens!H19336-Sens!G19336</f>
        <v>4408.44483333333</v>
      </c>
      <c r="I19338" s="30" t="n">
        <f aca="false">Sens!I19336-Sens!H19336</f>
        <v>3125.38323388889</v>
      </c>
      <c r="J19338" s="30" t="n">
        <f aca="false">Sens!J19336-Sens!I19336</f>
        <v>1904.82929912222</v>
      </c>
      <c r="K19338" s="30" t="n">
        <f aca="false">Sens!K19336-Sens!J19336</f>
        <v>710.166410990332</v>
      </c>
    </row>
    <row r="19339" customFormat="false" ht="17.15" hidden="false" customHeight="false" outlineLevel="0" collapsed="false">
      <c r="A19339" s="1" t="s">
        <v>963</v>
      </c>
      <c r="B19339" s="0" t="s">
        <v>459</v>
      </c>
      <c r="D19339" s="30" t="n">
        <f aca="false">Sens!D19333-Sens!C19333</f>
        <v>990</v>
      </c>
      <c r="E19339" s="30" t="n">
        <f aca="false">Sens!E19333-Sens!D19333</f>
        <v>1620</v>
      </c>
      <c r="F19339" s="30" t="n">
        <f aca="false">Sens!F19333-Sens!E19333</f>
        <v>2645.0669</v>
      </c>
      <c r="G19339" s="30" t="n">
        <f aca="false">Sens!G19333-Sens!F19333</f>
        <v>2645.0669</v>
      </c>
      <c r="H19339" s="30" t="n">
        <f aca="false">Sens!H19333-Sens!G19333</f>
        <v>2645.0669</v>
      </c>
      <c r="I19339" s="30" t="n">
        <f aca="false">Sens!I19333-Sens!H19333</f>
        <v>1875.22994033333</v>
      </c>
      <c r="J19339" s="30" t="n">
        <f aca="false">Sens!J19333-Sens!I19333</f>
        <v>1142.89757947333</v>
      </c>
      <c r="K19339" s="30" t="n">
        <f aca="false">Sens!K19333-Sens!J19333</f>
        <v>426.099846594199</v>
      </c>
    </row>
    <row r="19340" customFormat="false" ht="17.15" hidden="false" customHeight="false" outlineLevel="0" collapsed="false">
      <c r="A19340" s="1" t="s">
        <v>964</v>
      </c>
      <c r="B19340" s="0" t="s">
        <v>459</v>
      </c>
      <c r="F19340" s="30" t="n">
        <f aca="false">Sens!F19359*ext_sh</f>
        <v>0</v>
      </c>
      <c r="G19340" s="30" t="n">
        <f aca="false">Sens!G19359*ext_sh</f>
        <v>0</v>
      </c>
      <c r="H19340" s="30" t="n">
        <f aca="false">Sens!H19359*ext_sh</f>
        <v>0</v>
      </c>
      <c r="I19340" s="30" t="n">
        <f aca="false">Sens!I19359*ext_sh</f>
        <v>490</v>
      </c>
      <c r="J19340" s="30" t="n">
        <f aca="false">Sens!J19359*ext_sh</f>
        <v>740</v>
      </c>
      <c r="K19340" s="30" t="n">
        <f aca="false">Sens!K19359*ext_sh</f>
        <v>1470</v>
      </c>
      <c r="L19340" s="1" t="s">
        <v>965</v>
      </c>
    </row>
    <row r="19341" customFormat="false" ht="17.15" hidden="false" customHeight="false" outlineLevel="0" collapsed="false">
      <c r="A19341" s="1" t="s">
        <v>966</v>
      </c>
      <c r="B19341" s="0" t="s">
        <v>459</v>
      </c>
      <c r="C19341" s="30" t="n">
        <f aca="false">mix_h*Sens!C19333</f>
        <v>128</v>
      </c>
      <c r="D19341" s="30" t="n">
        <f aca="false">mix_h*Sens!D19333</f>
        <v>326</v>
      </c>
      <c r="E19341" s="30" t="n">
        <f aca="false">mix_h*Sens!E19333</f>
        <v>650</v>
      </c>
      <c r="F19341" s="30" t="n">
        <f aca="false">Sens!E19341-Sens!F19340*mix_h</f>
        <v>650</v>
      </c>
      <c r="G19341" s="30" t="n">
        <f aca="false">Sens!F19341-Sens!G19340*mix_h</f>
        <v>650</v>
      </c>
      <c r="H19341" s="30" t="n">
        <f aca="false">Sens!G19341-Sens!H19340*mix_h</f>
        <v>650</v>
      </c>
      <c r="I19341" s="30" t="n">
        <f aca="false">Sens!H19341-Sens!I19340*mix_h</f>
        <v>552</v>
      </c>
      <c r="J19341" s="30" t="n">
        <f aca="false">Sens!I19341-Sens!J19340*mix_h</f>
        <v>404</v>
      </c>
      <c r="K19341" s="30" t="n">
        <f aca="false">Sens!J19341-Sens!K19340*mix_h</f>
        <v>110</v>
      </c>
    </row>
    <row r="19342" customFormat="false" ht="17.15" hidden="false" customHeight="false" outlineLevel="0" collapsed="false">
      <c r="A19342" s="1" t="s">
        <v>967</v>
      </c>
      <c r="B19342" s="0" t="s">
        <v>459</v>
      </c>
      <c r="C19342" s="30" t="n">
        <f aca="false">mix_g2*Sens!C19333</f>
        <v>288</v>
      </c>
      <c r="D19342" s="30" t="n">
        <f aca="false">mix_g2*Sens!D19333</f>
        <v>733.5</v>
      </c>
      <c r="E19342" s="30" t="n">
        <f aca="false">mix_g2*Sens!E19333</f>
        <v>1462.5</v>
      </c>
      <c r="F19342" s="30" t="n">
        <f aca="false">Sens!E19342-Sens!F19340*mix_g2</f>
        <v>1462.5</v>
      </c>
      <c r="G19342" s="30" t="n">
        <f aca="false">Sens!F19342-Sens!G19340*mix_g2</f>
        <v>1462.5</v>
      </c>
      <c r="H19342" s="30" t="n">
        <f aca="false">Sens!G19342-Sens!H19340*mix_g2</f>
        <v>1462.5</v>
      </c>
      <c r="I19342" s="30" t="n">
        <f aca="false">Sens!H19342-Sens!I19340*mix_g2</f>
        <v>1242</v>
      </c>
      <c r="J19342" s="30" t="n">
        <f aca="false">Sens!I19342-Sens!J19340*mix_g2</f>
        <v>909</v>
      </c>
      <c r="K19342" s="30" t="n">
        <f aca="false">Sens!J19342-Sens!K19340*mix_g2</f>
        <v>247.5</v>
      </c>
    </row>
    <row r="19343" customFormat="false" ht="17.15" hidden="false" customHeight="false" outlineLevel="0" collapsed="false">
      <c r="A19343" s="1" t="s">
        <v>968</v>
      </c>
      <c r="B19343" s="0" t="s">
        <v>459</v>
      </c>
      <c r="C19343" s="30" t="n">
        <f aca="false">mix_g3*Sens!C19333</f>
        <v>224</v>
      </c>
      <c r="D19343" s="30" t="n">
        <f aca="false">mix_g3*Sens!D19333</f>
        <v>570.5</v>
      </c>
      <c r="E19343" s="30" t="n">
        <f aca="false">mix_g3*Sens!E19333</f>
        <v>1137.5</v>
      </c>
      <c r="F19343" s="30" t="n">
        <f aca="false">Sens!E19343+(Sens!F19339+Sens!F19340)*(a_g3_27-0*a_mai)-Sens!F19340*mix_g3</f>
        <v>2989.04683</v>
      </c>
      <c r="G19343" s="30" t="n">
        <f aca="false">Sens!F19343+(Sens!G19339+Sens!G19340)*(a_g3_28-0*a_mai)-Sens!G19340*mix_g3</f>
        <v>3782.5669</v>
      </c>
      <c r="H19343" s="30" t="n">
        <f aca="false">Sens!G19343+(Sens!H19339+Sens!H19340)*(a_g3_29-0*a_mai)-Sens!H19340*mix_g3</f>
        <v>4047.07359</v>
      </c>
      <c r="I19343" s="30" t="n">
        <f aca="false">Sens!H19343+(Sens!I19339+Sens!I19340)*(a_g3_29-0*a_mai)-Sens!I19340*mix_g3</f>
        <v>4112.09658403333</v>
      </c>
      <c r="J19343" s="30" t="n">
        <f aca="false">Sens!I19343+(Sens!J19339+Sens!J19340)*(a_g3_29-0*a_mai)-Sens!J19340*mix_g3</f>
        <v>4041.38634198067</v>
      </c>
      <c r="K19343" s="30" t="n">
        <f aca="false">Sens!J19343+(Sens!K19339+Sens!K19340)*(a_g3_29-0*a_mai)-Sens!K19340*mix_g3</f>
        <v>3716.49632664009</v>
      </c>
    </row>
    <row r="19344" customFormat="false" ht="17.15" hidden="false" customHeight="false" outlineLevel="0" collapsed="false">
      <c r="A19344" s="1" t="s">
        <v>969</v>
      </c>
      <c r="B19344" s="0" t="s">
        <v>459</v>
      </c>
      <c r="C19344" s="30" t="n">
        <v>0</v>
      </c>
      <c r="D19344" s="30" t="n">
        <v>0</v>
      </c>
      <c r="E19344" s="30" t="n">
        <v>0</v>
      </c>
      <c r="F19344" s="30" t="n">
        <f aca="false">Sens!E19344+(Sens!F19339+Sens!F19340)*0*a_mai</f>
        <v>0</v>
      </c>
      <c r="G19344" s="30" t="n">
        <f aca="false">Sens!F19344+(Sens!G19339+Sens!G19340)*0*a_mai</f>
        <v>0</v>
      </c>
      <c r="H19344" s="30" t="n">
        <f aca="false">Sens!G19344+(Sens!H19339+Sens!H19340)*0*a_mai</f>
        <v>0</v>
      </c>
      <c r="I19344" s="30" t="n">
        <f aca="false">Sens!H19344+(Sens!I19339+Sens!I19340)*0*a_mai</f>
        <v>0</v>
      </c>
      <c r="J19344" s="30" t="n">
        <f aca="false">Sens!I19344+(Sens!J19339+Sens!J19340)*0*a_mai</f>
        <v>0</v>
      </c>
      <c r="K19344" s="30" t="n">
        <f aca="false">Sens!J19344+(Sens!K19339+Sens!K19340)*0*a_mai</f>
        <v>0</v>
      </c>
      <c r="L19344" s="12" t="s">
        <v>970</v>
      </c>
    </row>
    <row r="19345" customFormat="false" ht="17.15" hidden="false" customHeight="false" outlineLevel="0" collapsed="false">
      <c r="A19345" s="1" t="s">
        <v>971</v>
      </c>
      <c r="B19345" s="0" t="s">
        <v>459</v>
      </c>
      <c r="C19345" s="30" t="n">
        <v>0</v>
      </c>
      <c r="D19345" s="30" t="n">
        <v>0</v>
      </c>
      <c r="E19345" s="30" t="n">
        <v>0</v>
      </c>
      <c r="F19345" s="30" t="n">
        <f aca="false">Sens!E19345+(Sens!F19339+Sens!F19340)*(1-a_g3_27)</f>
        <v>793.52007</v>
      </c>
      <c r="G19345" s="30" t="n">
        <f aca="false">Sens!F19345+(Sens!G19339+Sens!G19340)*(1-a_g3_28)</f>
        <v>2645.0669</v>
      </c>
      <c r="H19345" s="30" t="n">
        <f aca="false">Sens!G19345+(Sens!H19339+Sens!H19340)*(1-a_g3_29)</f>
        <v>5025.62711</v>
      </c>
      <c r="I19345" s="30" t="n">
        <f aca="false">Sens!H19345+(Sens!I19339+Sens!I19340)*(1-a_g3_29)</f>
        <v>7154.3340563</v>
      </c>
      <c r="J19345" s="30" t="n">
        <f aca="false">Sens!I19345+(Sens!J19339+Sens!J19340)*(1-a_g3_29)</f>
        <v>8848.941877826</v>
      </c>
      <c r="K19345" s="30" t="n">
        <f aca="false">Sens!J19345+(Sens!K19339+Sens!K19340)*(1-a_g3_29)</f>
        <v>10555.4317397608</v>
      </c>
    </row>
    <row r="19346" customFormat="false" ht="17.15" hidden="false" customHeight="false" outlineLevel="0" collapsed="false">
      <c r="A19346" s="1" t="s">
        <v>972</v>
      </c>
      <c r="B19346" s="0" t="s">
        <v>403</v>
      </c>
      <c r="C19346" s="15" t="n">
        <f aca="false">(Sens!C19341*tk_hold_h100+Sens!C19342*tk_hold_gb200+Sens!C19343*tk_hold_gb300+Sens!C19345*tk_hold_vr200+Sens!C19344*nv_hold_mai*tk_hold_vr200)/Sens!C19333</f>
        <v>9.7235358126469</v>
      </c>
      <c r="D19346" s="15" t="n">
        <f aca="false">(Sens!D19341*tk_hold_h100+Sens!D19342*tk_hold_gb200+Sens!D19343*tk_hold_gb300+Sens!D19345*tk_hold_vr200+Sens!D19344*nv_hold_mai*tk_hold_vr200)/Sens!D19333</f>
        <v>9.7235358126469</v>
      </c>
      <c r="E19346" s="15" t="n">
        <f aca="false">(Sens!E19341*tk_hold_h100+Sens!E19342*tk_hold_gb200+Sens!E19343*tk_hold_gb300+Sens!E19345*tk_hold_vr200+Sens!E19344*nv_hold_mai*tk_hold_vr200)/Sens!E19333</f>
        <v>9.7235358126469</v>
      </c>
      <c r="F19346" s="15" t="n">
        <f aca="false">(Sens!F19341*tk_hold_h100+Sens!F19342*tk_hold_gb200+Sens!F19343*tk_hold_gb300+Sens!F19345*tk_hold_vr200+Sens!F19344*nv_hold_mai*tk_hold_vr200)/Sens!F19333</f>
        <v>10.4255556081097</v>
      </c>
      <c r="G19346" s="15" t="n">
        <f aca="false">(Sens!G19341*tk_hold_h100+Sens!G19342*tk_hold_gb200+Sens!G19343*tk_hold_gb300+Sens!G19345*tk_hold_vr200+Sens!G19344*nv_hold_mai*tk_hold_vr200)/Sens!G19333</f>
        <v>10.8586080330164</v>
      </c>
      <c r="H19346" s="15" t="n">
        <f aca="false">(Sens!H19341*tk_hold_h100+Sens!H19342*tk_hold_gb200+Sens!H19343*tk_hold_gb300+Sens!H19345*tk_hold_vr200+Sens!H19344*nv_hold_mai*tk_hold_vr200)/Sens!H19333</f>
        <v>11.1501766656618</v>
      </c>
      <c r="I19346" s="15" t="n">
        <f aca="false">(Sens!I19341*tk_hold_h100+Sens!I19342*tk_hold_gb200+Sens!I19343*tk_hold_gb300+Sens!I19345*tk_hold_vr200+Sens!I19344*nv_hold_mai*tk_hold_vr200)/Sens!I19333</f>
        <v>11.3741856576055</v>
      </c>
      <c r="J19346" s="15" t="n">
        <f aca="false">(Sens!J19341*tk_hold_h100+Sens!J19342*tk_hold_gb200+Sens!J19343*tk_hold_gb300+Sens!J19345*tk_hold_vr200+Sens!J19344*nv_hold_mai*tk_hold_vr200)/Sens!J19333</f>
        <v>11.5552863602709</v>
      </c>
      <c r="K19346" s="15" t="n">
        <f aca="false">(Sens!K19341*tk_hold_h100+Sens!K19342*tk_hold_gb200+Sens!K19343*tk_hold_gb300+Sens!K19345*tk_hold_vr200+Sens!K19344*nv_hold_mai*tk_hold_vr200)/Sens!K19333</f>
        <v>11.8088513761358</v>
      </c>
      <c r="L19346" s="1" t="s">
        <v>973</v>
      </c>
    </row>
    <row r="19347" customFormat="false" ht="17.15" hidden="false" customHeight="false" outlineLevel="0" collapsed="false">
      <c r="A19347" s="1" t="s">
        <v>974</v>
      </c>
      <c r="B19347" s="0" t="s">
        <v>403</v>
      </c>
      <c r="C19347" s="15" t="n">
        <f aca="false">(Sens!C19341*tk_hold_h100+Sens!C19342*tk_hold_gb200+Sens!C19343*tk_hold_gb300+Sens!C19345*tk_hold_vr200+Sens!C19344*nv_out_mai*tk_hold_vr200)/Sens!C19333</f>
        <v>9.7235358126469</v>
      </c>
      <c r="D19347" s="15" t="n">
        <f aca="false">(Sens!D19341*tk_hold_h100+Sens!D19342*tk_hold_gb200+Sens!D19343*tk_hold_gb300+Sens!D19345*tk_hold_vr200+Sens!D19344*nv_out_mai*tk_hold_vr200)/Sens!D19333</f>
        <v>9.7235358126469</v>
      </c>
      <c r="E19347" s="15" t="n">
        <f aca="false">(Sens!E19341*tk_hold_h100+Sens!E19342*tk_hold_gb200+Sens!E19343*tk_hold_gb300+Sens!E19345*tk_hold_vr200+Sens!E19344*nv_out_mai*tk_hold_vr200)/Sens!E19333</f>
        <v>9.7235358126469</v>
      </c>
      <c r="F19347" s="15" t="n">
        <f aca="false">(Sens!F19341*tk_hold_h100+Sens!F19342*tk_hold_gb200+Sens!F19343*tk_hold_gb300+Sens!F19345*tk_hold_vr200+Sens!F19344*nv_out_mai*tk_hold_vr200)/Sens!F19333</f>
        <v>10.4255556081097</v>
      </c>
      <c r="G19347" s="15" t="n">
        <f aca="false">(Sens!G19341*tk_hold_h100+Sens!G19342*tk_hold_gb200+Sens!G19343*tk_hold_gb300+Sens!G19345*tk_hold_vr200+Sens!G19344*nv_out_mai*tk_hold_vr200)/Sens!G19333</f>
        <v>10.8586080330164</v>
      </c>
      <c r="H19347" s="15" t="n">
        <f aca="false">(Sens!H19341*tk_hold_h100+Sens!H19342*tk_hold_gb200+Sens!H19343*tk_hold_gb300+Sens!H19345*tk_hold_vr200+Sens!H19344*nv_out_mai*tk_hold_vr200)/Sens!H19333</f>
        <v>11.1501766656618</v>
      </c>
      <c r="I19347" s="15" t="n">
        <f aca="false">(Sens!I19341*tk_hold_h100+Sens!I19342*tk_hold_gb200+Sens!I19343*tk_hold_gb300+Sens!I19345*tk_hold_vr200+Sens!I19344*nv_out_mai*tk_hold_vr200)/Sens!I19333</f>
        <v>11.3741856576055</v>
      </c>
      <c r="J19347" s="15" t="n">
        <f aca="false">(Sens!J19341*tk_hold_h100+Sens!J19342*tk_hold_gb200+Sens!J19343*tk_hold_gb300+Sens!J19345*tk_hold_vr200+Sens!J19344*nv_out_mai*tk_hold_vr200)/Sens!J19333</f>
        <v>11.5552863602709</v>
      </c>
      <c r="K19347" s="15" t="n">
        <f aca="false">(Sens!K19341*tk_hold_h100+Sens!K19342*tk_hold_gb200+Sens!K19343*tk_hold_gb300+Sens!K19345*tk_hold_vr200+Sens!K19344*nv_out_mai*tk_hold_vr200)/Sens!K19333</f>
        <v>11.8088513761358</v>
      </c>
      <c r="L19347" s="12" t="s">
        <v>975</v>
      </c>
    </row>
    <row r="19348" customFormat="false" ht="17.15" hidden="false" customHeight="false" outlineLevel="0" collapsed="false">
      <c r="A19348" s="0" t="s">
        <v>976</v>
      </c>
      <c r="B19348" s="0" t="s">
        <v>229</v>
      </c>
      <c r="C19348" s="15" t="n">
        <f aca="false">k_B</f>
        <v>1.17213932619116</v>
      </c>
      <c r="D19348" s="15" t="n">
        <f aca="false">k_B</f>
        <v>1.17213932619116</v>
      </c>
      <c r="E19348" s="15" t="n">
        <f aca="false">k_B</f>
        <v>1.17213932619116</v>
      </c>
      <c r="F19348" s="15" t="n">
        <f aca="false">(k_B+((ls_C*k_long+(1-ls_C)*k_spot)-k_B)*MIN(1,(Sens!F19331-base_fy)/k_ramp))</f>
        <v>1.07843258004497</v>
      </c>
      <c r="G19348" s="15" t="n">
        <f aca="false">(k_B+((ls_C*k_long+(1-ls_C)*k_spot)-k_B)*MIN(1,(Sens!G19331-base_fy)/k_ramp))</f>
        <v>0.984725833898784</v>
      </c>
      <c r="H19348" s="15" t="n">
        <f aca="false">(k_B+((ls_C*k_long+(1-ls_C)*k_spot)-k_B)*MIN(1,(Sens!H19331-base_fy)/k_ramp))</f>
        <v>0.891019087752599</v>
      </c>
      <c r="I19348" s="15" t="n">
        <f aca="false">(k_B+((ls_C*k_long+(1-ls_C)*k_spot)-k_B)*MIN(1,(Sens!I19331-base_fy)/k_ramp))</f>
        <v>0.891019087752599</v>
      </c>
      <c r="J19348" s="15" t="n">
        <f aca="false">(k_B+((ls_C*k_long+(1-ls_C)*k_spot)-k_B)*MIN(1,(Sens!J19331-base_fy)/k_ramp))</f>
        <v>0.891019087752599</v>
      </c>
      <c r="K19348" s="15" t="n">
        <f aca="false">(k_B+((ls_C*k_long+(1-ls_C)*k_spot)-k_B)*MIN(1,(Sens!K19331-base_fy)/k_ramp))</f>
        <v>0.891019087752599</v>
      </c>
      <c r="L19348" s="1" t="s">
        <v>977</v>
      </c>
    </row>
    <row r="19349" customFormat="false" ht="17.15" hidden="false" customHeight="false" outlineLevel="0" collapsed="false">
      <c r="A19349" s="1" t="s">
        <v>978</v>
      </c>
      <c r="B19349" s="0" t="s">
        <v>403</v>
      </c>
      <c r="C19349" s="15" t="n">
        <f aca="false">Sens!C19347*Sens!C19348*chip_f</f>
        <v>11.3973387156315</v>
      </c>
      <c r="D19349" s="15" t="n">
        <f aca="false">Sens!D19347*Sens!D19348*chip_f</f>
        <v>11.3973387156315</v>
      </c>
      <c r="E19349" s="15" t="n">
        <f aca="false">Sens!E19347*Sens!E19348*chip_f</f>
        <v>11.3973387156315</v>
      </c>
      <c r="F19349" s="15" t="n">
        <f aca="false">Sens!F19347*Sens!F19348*chip_f</f>
        <v>11.2432588328561</v>
      </c>
      <c r="G19349" s="15" t="n">
        <f aca="false">Sens!G19347*Sens!G19348*chip_f</f>
        <v>10.6927518502921</v>
      </c>
      <c r="H19349" s="15" t="n">
        <f aca="false">Sens!H19347*Sens!H19348*chip_f</f>
        <v>9.93502024091831</v>
      </c>
      <c r="I19349" s="15" t="n">
        <f aca="false">Sens!I19347*Sens!I19348*chip_f</f>
        <v>10.1346165285684</v>
      </c>
      <c r="J19349" s="15" t="n">
        <f aca="false">Sens!J19347*Sens!J19348*chip_f</f>
        <v>10.2959807114486</v>
      </c>
      <c r="K19349" s="15" t="n">
        <f aca="false">Sens!K19347*Sens!K19348*chip_f</f>
        <v>10.5219119805706</v>
      </c>
      <c r="L19349" s="1" t="s">
        <v>979</v>
      </c>
    </row>
    <row r="19350" customFormat="false" ht="17.15" hidden="false" customHeight="false" outlineLevel="0" collapsed="false">
      <c r="A19350" s="0" t="s">
        <v>980</v>
      </c>
      <c r="B19350" s="0" t="s">
        <v>98</v>
      </c>
      <c r="D19350" s="6" t="n">
        <f aca="false">(Sens!C19333+Sens!D19333)/2*Sens!D19349/1000</f>
        <v>12.9359794422418</v>
      </c>
      <c r="E19350" s="6" t="n">
        <f aca="false">(Sens!D19333+Sens!E19333)/2*Sens!E19349/1000</f>
        <v>27.8095064661409</v>
      </c>
      <c r="F19350" s="6" t="n">
        <f aca="false">(Sens!E19333+Sens!F19333)/2*Sens!F19349/1000</f>
        <v>51.4101771002424</v>
      </c>
      <c r="G19350" s="6" t="n">
        <f aca="false">(Sens!F19333+Sens!G19333)/2*Sens!G19349/1000</f>
        <v>77.1760094971315</v>
      </c>
      <c r="H19350" s="6" t="n">
        <f aca="false">(Sens!G19333+Sens!H19333)/2*Sens!H19349/1000</f>
        <v>97.9857987581921</v>
      </c>
      <c r="I19350" s="6" t="n">
        <f aca="false">(Sens!H19333+Sens!I19333)/2*Sens!I19349/1000</f>
        <v>122.860088063659</v>
      </c>
      <c r="J19350" s="6" t="n">
        <f aca="false">(Sens!I19333+Sens!J19333)/2*Sens!J19349/1000</f>
        <v>140.353567672794</v>
      </c>
      <c r="K19350" s="6" t="n">
        <f aca="false">(Sens!J19333+Sens!K19333)/2*Sens!K19349/1000</f>
        <v>151.687861900359</v>
      </c>
      <c r="L19350" s="12" t="s">
        <v>981</v>
      </c>
    </row>
    <row r="19351" customFormat="false" ht="17.15" hidden="false" customHeight="false" outlineLevel="0" collapsed="false">
      <c r="A19351" s="1" t="s">
        <v>982</v>
      </c>
      <c r="B19351" s="0" t="s">
        <v>403</v>
      </c>
      <c r="C19351" s="15" t="n">
        <f aca="false">(Sens!C19341*tk_opex_h100+Sens!C19342*tk_opex_gb200+Sens!C19343*tk_opex_gb300+(Sens!C19345+Sens!C19344)*tk_opex_vr200)/Sens!C19333</f>
        <v>1.88636041306092</v>
      </c>
      <c r="D19351" s="15" t="n">
        <f aca="false">(Sens!D19341*tk_opex_h100+Sens!D19342*tk_opex_gb200+Sens!D19343*tk_opex_gb300+(Sens!D19345+Sens!D19344)*tk_opex_vr200)/Sens!D19333</f>
        <v>1.88636041306092</v>
      </c>
      <c r="E19351" s="15" t="n">
        <f aca="false">(Sens!E19341*tk_opex_h100+Sens!E19342*tk_opex_gb200+Sens!E19343*tk_opex_gb300+(Sens!E19345+Sens!E19344)*tk_opex_vr200)/Sens!E19333</f>
        <v>1.88636041306092</v>
      </c>
      <c r="F19351" s="15" t="n">
        <f aca="false">(Sens!F19341*tk_opex_h100+Sens!F19342*tk_opex_gb200+Sens!F19343*tk_opex_gb300+(Sens!F19345+Sens!F19344)*tk_opex_vr200)/Sens!F19333</f>
        <v>1.94448060967998</v>
      </c>
      <c r="G19351" s="15" t="n">
        <f aca="false">(Sens!G19341*tk_opex_h100+Sens!G19342*tk_opex_gb200+Sens!G19343*tk_opex_gb300+(Sens!G19345+Sens!G19344)*tk_opex_vr200)/Sens!G19333</f>
        <v>1.98033300621439</v>
      </c>
      <c r="H19351" s="15" t="n">
        <f aca="false">(Sens!H19341*tk_opex_h100+Sens!H19342*tk_opex_gb200+Sens!H19343*tk_opex_gb300+(Sens!H19345+Sens!H19344)*tk_opex_vr200)/Sens!H19333</f>
        <v>2.00447196407118</v>
      </c>
      <c r="I19351" s="15" t="n">
        <f aca="false">(Sens!I19341*tk_opex_h100+Sens!I19342*tk_opex_gb200+Sens!I19343*tk_opex_gb300+(Sens!I19345+Sens!I19344)*tk_opex_vr200)/Sens!I19333</f>
        <v>2.02301766141526</v>
      </c>
      <c r="J19351" s="15" t="n">
        <f aca="false">(Sens!J19341*tk_opex_h100+Sens!J19342*tk_opex_gb200+Sens!J19343*tk_opex_gb300+(Sens!J19345+Sens!J19344)*tk_opex_vr200)/Sens!J19333</f>
        <v>2.03801098284977</v>
      </c>
      <c r="K19351" s="15" t="n">
        <f aca="false">(Sens!K19341*tk_opex_h100+Sens!K19342*tk_opex_gb200+Sens!K19343*tk_opex_gb300+(Sens!K19345+Sens!K19344)*tk_opex_vr200)/Sens!K19333</f>
        <v>2.05900362247765</v>
      </c>
      <c r="L19351" s="12" t="s">
        <v>983</v>
      </c>
    </row>
    <row r="19352" customFormat="false" ht="17.15" hidden="false" customHeight="false" outlineLevel="0" collapsed="false">
      <c r="A19352" s="0" t="s">
        <v>984</v>
      </c>
      <c r="B19352" s="0" t="s">
        <v>98</v>
      </c>
      <c r="D19352" s="6" t="n">
        <f aca="false">(Sens!C19336+Sens!D19336)/2*Sens!D19351/1000</f>
        <v>2.70378325872065</v>
      </c>
      <c r="E19352" s="6" t="n">
        <f aca="false">(Sens!D19336+Sens!E19336)/2*Sens!E19351/1000</f>
        <v>6.17783035277451</v>
      </c>
      <c r="F19352" s="6" t="n">
        <f aca="false">(Sens!E19336+Sens!F19336)/2*Sens!F19351/1000</f>
        <v>12.7024279875285</v>
      </c>
      <c r="G19352" s="6" t="n">
        <f aca="false">(Sens!F19336+Sens!G19336)/2*Sens!G19351/1000</f>
        <v>21.3268674101191</v>
      </c>
      <c r="H19352" s="6" t="n">
        <f aca="false">(Sens!G19336+Sens!H19336)/2*Sens!H19351/1000</f>
        <v>30.4234319812503</v>
      </c>
      <c r="I19352" s="6" t="n">
        <f aca="false">(Sens!H19336+Sens!I19336)/2*Sens!I19351/1000</f>
        <v>38.3254480913315</v>
      </c>
      <c r="J19352" s="6" t="n">
        <f aca="false">(Sens!I19336+Sens!J19336)/2*Sens!J19351/1000</f>
        <v>43.7353061538868</v>
      </c>
      <c r="K19352" s="6" t="n">
        <f aca="false">(Sens!J19336+Sens!K19336)/2*Sens!K19351/1000</f>
        <v>46.8779468017752</v>
      </c>
    </row>
    <row r="19353" customFormat="false" ht="17.15" hidden="false" customHeight="false" outlineLevel="0" collapsed="false">
      <c r="A19353" s="0" t="s">
        <v>985</v>
      </c>
      <c r="B19353" s="0" t="s">
        <v>98</v>
      </c>
      <c r="D19353" s="6" t="n">
        <f aca="false">(Sens!C19334+Sens!D19334)/2*rent_mw/1000</f>
        <v>2.44475</v>
      </c>
      <c r="E19353" s="6" t="n">
        <f aca="false">(Sens!D19334+Sens!E19334)/2*rent_mw/1000</f>
        <v>4.22275</v>
      </c>
      <c r="F19353" s="6" t="n">
        <f aca="false">(Sens!E19334+Sens!F19334)/2*rent_mw/1000</f>
        <v>5.80517</v>
      </c>
      <c r="G19353" s="6" t="n">
        <f aca="false">(Sens!F19334+Sens!G19334)/2*rent_mw/1000</f>
        <v>6.72084</v>
      </c>
      <c r="H19353" s="6" t="n">
        <f aca="false">(Sens!G19334+Sens!H19334)/2*rent_mw/1000</f>
        <v>6.72084</v>
      </c>
      <c r="I19353" s="6" t="n">
        <f aca="false">(Sens!H19334+Sens!I19334)/2*rent_mw/1000</f>
        <v>6.72084</v>
      </c>
      <c r="J19353" s="6" t="n">
        <f aca="false">(Sens!I19334+Sens!J19334)/2*rent_mw/1000</f>
        <v>6.72084</v>
      </c>
      <c r="K19353" s="6" t="n">
        <f aca="false">(Sens!J19334+Sens!K19334)/2*rent_mw/1000</f>
        <v>6.72084</v>
      </c>
    </row>
    <row r="19354" customFormat="false" ht="17.15" hidden="false" customHeight="false" outlineLevel="0" collapsed="false">
      <c r="A19354" s="0" t="s">
        <v>986</v>
      </c>
      <c r="B19354" s="0" t="s">
        <v>98</v>
      </c>
      <c r="D19354" s="6" t="n">
        <f aca="false">(Sens!C19336+Sens!D19336)/2*(1-self_build)*fac_rent/1000</f>
        <v>0.853242375631075</v>
      </c>
      <c r="E19354" s="6" t="n">
        <f aca="false">(Sens!D19336+Sens!E19336)/2*(1-self_build)*fac_rent/1000</f>
        <v>1.94955961408728</v>
      </c>
      <c r="F19354" s="6" t="n">
        <f aca="false">(Sens!E19336+Sens!F19336)/2*(1-self_build)*fac_rent/1000</f>
        <v>3.88873492121333</v>
      </c>
      <c r="G19354" s="6" t="n">
        <f aca="false">(Sens!F19336+Sens!G19336)/2*(1-self_build)*fac_rent/1000</f>
        <v>6.41082701513092</v>
      </c>
      <c r="H19354" s="6" t="n">
        <f aca="false">(Sens!G19336+Sens!H19336)/2*(1-self_build)*fac_rent/1000</f>
        <v>9.03510976566478</v>
      </c>
      <c r="I19354" s="6" t="n">
        <f aca="false">(Sens!H19336+Sens!I19336)/2*(1-self_build)*fac_rent/1000</f>
        <v>11.2774986113646</v>
      </c>
      <c r="J19354" s="6" t="n">
        <f aca="false">(Sens!I19336+Sens!J19336)/2*(1-self_build)*fac_rent/1000</f>
        <v>12.7747045968049</v>
      </c>
      <c r="K19354" s="6" t="n">
        <f aca="false">(Sens!J19336+Sens!K19336)/2*(1-self_build)*fac_rent/1000</f>
        <v>13.5530389521403</v>
      </c>
      <c r="L19354" s="12" t="s">
        <v>987</v>
      </c>
    </row>
    <row r="19355" customFormat="false" ht="17.15" hidden="false" customHeight="false" outlineLevel="0" collapsed="false">
      <c r="A19355" s="1" t="s">
        <v>988</v>
      </c>
      <c r="B19355" s="0" t="s">
        <v>168</v>
      </c>
      <c r="D19355" s="7" t="n">
        <f aca="false">(Sens!C19335+Sens!D19335)/(Sens!C19336+Sens!D19336)</f>
        <v>0.6</v>
      </c>
      <c r="E19355" s="7" t="n">
        <f aca="false">(Sens!D19335+Sens!E19335)/(Sens!D19336+Sens!E19336)</f>
        <v>0.6</v>
      </c>
      <c r="F19355" s="7" t="n">
        <f aca="false">(Sens!E19335+Sens!F19335)/(Sens!E19336+Sens!F19336)</f>
        <v>0.6</v>
      </c>
      <c r="G19355" s="7" t="n">
        <f aca="false">(Sens!F19335+Sens!G19335)/(Sens!F19336+Sens!G19336)</f>
        <v>0.6</v>
      </c>
      <c r="H19355" s="7" t="n">
        <f aca="false">(Sens!G19335+Sens!H19335)/(Sens!G19336+Sens!H19336)</f>
        <v>0.6</v>
      </c>
      <c r="I19355" s="7" t="n">
        <f aca="false">(Sens!H19335+Sens!I19335)/(Sens!H19336+Sens!I19336)</f>
        <v>0.6</v>
      </c>
      <c r="J19355" s="7" t="n">
        <f aca="false">(Sens!I19335+Sens!J19335)/(Sens!I19336+Sens!J19336)</f>
        <v>0.6</v>
      </c>
      <c r="K19355" s="7" t="n">
        <f aca="false">(Sens!J19335+Sens!K19335)/(Sens!J19336+Sens!K19336)</f>
        <v>0.6</v>
      </c>
    </row>
    <row r="19356" customFormat="false" ht="17.15" hidden="false" customHeight="false" outlineLevel="0" collapsed="false">
      <c r="A19356" s="0" t="s">
        <v>989</v>
      </c>
      <c r="B19356" s="0" t="s">
        <v>98</v>
      </c>
      <c r="D19356" s="6" t="n">
        <f aca="false">Sens!D19350-Sens!D19355*(Sens!D19352+Sens!D19354)-Sens!D19353</f>
        <v>8.35701406163072</v>
      </c>
      <c r="E19356" s="6" t="n">
        <f aca="false">Sens!E19350-Sens!E19355*(Sens!E19352+Sens!E19354)-Sens!E19353</f>
        <v>18.7103224860238</v>
      </c>
      <c r="F19356" s="6" t="n">
        <f aca="false">Sens!F19350-Sens!F19355*(Sens!F19352+Sens!F19354)-Sens!F19353</f>
        <v>35.6503093549973</v>
      </c>
      <c r="G19356" s="6" t="n">
        <f aca="false">Sens!G19350-Sens!G19355*(Sens!G19352+Sens!G19354)-Sens!G19353</f>
        <v>53.8125528419815</v>
      </c>
      <c r="H19356" s="6" t="n">
        <f aca="false">Sens!H19350-Sens!H19355*(Sens!H19352+Sens!H19354)-Sens!H19353</f>
        <v>67.589833710043</v>
      </c>
      <c r="I19356" s="6" t="n">
        <f aca="false">Sens!I19350-Sens!I19355*(Sens!I19352+Sens!I19354)-Sens!I19353</f>
        <v>86.3774800420411</v>
      </c>
      <c r="J19356" s="6" t="n">
        <f aca="false">Sens!J19350-Sens!J19355*(Sens!J19352+Sens!J19354)-Sens!J19353</f>
        <v>99.7267212223788</v>
      </c>
      <c r="K19356" s="6" t="n">
        <f aca="false">Sens!K19350-Sens!K19355*(Sens!K19352+Sens!K19354)-Sens!K19353</f>
        <v>108.70843044801</v>
      </c>
    </row>
    <row r="19357" customFormat="false" ht="17.15" hidden="false" customHeight="false" outlineLevel="0" collapsed="false">
      <c r="A19357" s="1" t="s">
        <v>990</v>
      </c>
      <c r="B19357" s="0" t="s">
        <v>98</v>
      </c>
      <c r="D19357" s="6" t="n">
        <f aca="false">(1-Sens!D19355)*(Sens!D19352+Sens!D19354)</f>
        <v>1.42281025374069</v>
      </c>
      <c r="E19357" s="6" t="n">
        <f aca="false">(1-Sens!E19355)*(Sens!E19352+Sens!E19354)</f>
        <v>3.25095598674472</v>
      </c>
      <c r="F19357" s="6" t="n">
        <f aca="false">(1-Sens!F19355)*(Sens!F19352+Sens!F19354)</f>
        <v>6.63646516349673</v>
      </c>
      <c r="G19357" s="6" t="n">
        <f aca="false">(1-Sens!G19355)*(Sens!G19352+Sens!G19354)</f>
        <v>11.0950777701</v>
      </c>
      <c r="H19357" s="6" t="n">
        <f aca="false">(1-Sens!H19355)*(Sens!H19352+Sens!H19354)</f>
        <v>15.783416698766</v>
      </c>
      <c r="I19357" s="6" t="n">
        <f aca="false">(1-Sens!I19355)*(Sens!I19352+Sens!I19354)</f>
        <v>19.8411786810784</v>
      </c>
      <c r="J19357" s="6" t="n">
        <f aca="false">(1-Sens!J19355)*(Sens!J19352+Sens!J19354)</f>
        <v>22.6040043002767</v>
      </c>
      <c r="K19357" s="6" t="n">
        <f aca="false">(1-Sens!K19355)*(Sens!K19352+Sens!K19354)</f>
        <v>24.1723943015662</v>
      </c>
    </row>
    <row r="19358" customFormat="false" ht="17.15" hidden="false" customHeight="false" outlineLevel="0" collapsed="false">
      <c r="A19358" s="1" t="s">
        <v>991</v>
      </c>
      <c r="B19358" s="0" t="s">
        <v>417</v>
      </c>
      <c r="C19358" s="8" t="n">
        <f aca="false">cxit_open</f>
        <v>27.5918995</v>
      </c>
      <c r="D19358" s="8" t="n">
        <f aca="false">cxit_open</f>
        <v>27.5918995</v>
      </c>
      <c r="E19358" s="8" t="n">
        <f aca="false">cxit_open</f>
        <v>27.5918995</v>
      </c>
      <c r="F19358" s="8" t="n">
        <f aca="false">((a_g3_27-0*a_mai)*tk_cxit_gb300+0*a_mai*nv_hold_mai*tk_cxit_vr200+(1-a_g3_27)*tk_cxit_vr200)</f>
        <v>33.8419624</v>
      </c>
      <c r="G19358" s="8" t="n">
        <f aca="false">((a_g3_28-0*a_mai)*tk_cxit_gb300+0*a_mai*nv_hold_mai*tk_cxit_vr200+(1-a_g3_28)*tk_cxit_vr200)</f>
        <v>35.9816136</v>
      </c>
      <c r="H19358" s="8" t="n">
        <f aca="false">((a_g3_29-0*a_mai)*tk_cxit_gb300+0*a_mai*nv_hold_mai*tk_cxit_vr200+(1-a_g3_29)*tk_cxit_vr200)</f>
        <v>37.0514392</v>
      </c>
      <c r="I19358" s="8" t="n">
        <f aca="false">((a_g3_29-0*a_mai)*tk_cxit_gb300+0*a_mai*nv_hold_mai*tk_cxit_vr200+(1-a_g3_29)*tk_cxit_vr200)</f>
        <v>37.0514392</v>
      </c>
      <c r="J19358" s="8" t="n">
        <f aca="false">((a_g3_29-0*a_mai)*tk_cxit_gb300+0*a_mai*nv_hold_mai*tk_cxit_vr200+(1-a_g3_29)*tk_cxit_vr200)</f>
        <v>37.0514392</v>
      </c>
      <c r="K19358" s="8" t="n">
        <f aca="false">((a_g3_29-0*a_mai)*tk_cxit_gb300+0*a_mai*nv_hold_mai*tk_cxit_vr200+(1-a_g3_29)*tk_cxit_vr200)</f>
        <v>37.0514392</v>
      </c>
      <c r="L19358" s="12" t="s">
        <v>992</v>
      </c>
    </row>
    <row r="19359" customFormat="false" ht="17.15" hidden="false" customHeight="false" outlineLevel="0" collapsed="false">
      <c r="A19359" s="0" t="s">
        <v>993</v>
      </c>
      <c r="B19359" s="0" t="s">
        <v>459</v>
      </c>
      <c r="F19359" s="30" t="n">
        <f aca="false">Sens!C19338*IF(Sens!F19331-Sens!C19331=life_it,1,0)+Sens!D19338*IF(Sens!F19331-Sens!D19331=life_it,1,0)+Sens!E19338*IF(Sens!F19331-Sens!E19331=life_it,1,0)</f>
        <v>0</v>
      </c>
      <c r="G19359" s="30" t="n">
        <f aca="false">Sens!C19338*IF(Sens!G19331-Sens!C19331=life_it,1,0)+Sens!D19338*IF(Sens!G19331-Sens!D19331=life_it,1,0)+Sens!E19338*IF(Sens!G19331-Sens!E19331=life_it,1,0)+Sens!F19338*IF(Sens!G19331-Sens!F19331=life_it,1,0)</f>
        <v>0</v>
      </c>
      <c r="H19359" s="30" t="n">
        <f aca="false">Sens!C19338*IF(Sens!H19331-Sens!C19331=life_it,1,0)+Sens!D19338*IF(Sens!H19331-Sens!D19331=life_it,1,0)+Sens!E19338*IF(Sens!H19331-Sens!E19331=life_it,1,0)+Sens!F19338*IF(Sens!H19331-Sens!F19331=life_it,1,0)+Sens!G19338*IF(Sens!H19331-Sens!G19331=life_it,1,0)</f>
        <v>0</v>
      </c>
      <c r="I19359" s="30" t="n">
        <f aca="false">Sens!C19338*IF(Sens!I19331-Sens!C19331=life_it,1,0)+Sens!D19338*IF(Sens!I19331-Sens!D19331=life_it,1,0)+Sens!E19338*IF(Sens!I19331-Sens!E19331=life_it,1,0)+Sens!F19338*IF(Sens!I19331-Sens!F19331=life_it,1,0)+Sens!G19338*IF(Sens!I19331-Sens!G19331=life_it,1,0)+Sens!H19338*IF(Sens!I19331-Sens!H19331=life_it,1,0)</f>
        <v>816.666666666667</v>
      </c>
      <c r="J19359" s="30" t="n">
        <f aca="false">Sens!C19338*IF(Sens!J19331-Sens!C19331=life_it,1,0)+Sens!D19338*IF(Sens!J19331-Sens!D19331=life_it,1,0)+Sens!E19338*IF(Sens!J19331-Sens!E19331=life_it,1,0)+Sens!F19338*IF(Sens!J19331-Sens!F19331=life_it,1,0)+Sens!G19338*IF(Sens!J19331-Sens!G19331=life_it,1,0)+Sens!H19338*IF(Sens!J19331-Sens!H19331=life_it,1,0)+Sens!I19338*IF(Sens!J19331-Sens!I19331=life_it,1,0)</f>
        <v>1233.33333333333</v>
      </c>
      <c r="K19359" s="30" t="n">
        <f aca="false">Sens!C19338*IF(Sens!K19331-Sens!C19331=life_it,1,0)+Sens!D19338*IF(Sens!K19331-Sens!D19331=life_it,1,0)+Sens!E19338*IF(Sens!K19331-Sens!E19331=life_it,1,0)+Sens!F19338*IF(Sens!K19331-Sens!F19331=life_it,1,0)+Sens!G19338*IF(Sens!K19331-Sens!G19331=life_it,1,0)+Sens!H19338*IF(Sens!K19331-Sens!H19331=life_it,1,0)+Sens!I19338*IF(Sens!K19331-Sens!I19331=life_it,1,0)+Sens!J19338*IF(Sens!K19331-Sens!J19331=life_it,1,0)</f>
        <v>2450</v>
      </c>
      <c r="L19359" s="1" t="s">
        <v>994</v>
      </c>
    </row>
    <row r="19360" customFormat="false" ht="17.15" hidden="false" customHeight="false" outlineLevel="0" collapsed="false">
      <c r="A19360" s="0" t="s">
        <v>995</v>
      </c>
      <c r="B19360" s="0" t="s">
        <v>98</v>
      </c>
      <c r="C19360" s="6" t="n">
        <f aca="false">Sens!C19338*Sens!C19358/1000</f>
        <v>22.5333845916667</v>
      </c>
      <c r="D19360" s="6" t="n">
        <f aca="false">Sens!D19338*Sens!D19358/1000</f>
        <v>34.0300093833333</v>
      </c>
      <c r="E19360" s="6" t="n">
        <f aca="false">Sens!E19338*Sens!E19358/1000</f>
        <v>67.600153775</v>
      </c>
      <c r="F19360" s="6" t="n">
        <f aca="false">(Sens!F19338+Sens!F19359)*Sens!F19358/1000</f>
        <v>137.571350534808</v>
      </c>
      <c r="G19360" s="6" t="n">
        <f aca="false">(Sens!G19338+Sens!G19359)*Sens!G19358/1000</f>
        <v>158.622958569916</v>
      </c>
      <c r="H19360" s="6" t="n">
        <f aca="false">(Sens!H19338+Sens!H19359)*Sens!H19358/1000</f>
        <v>163.339225708804</v>
      </c>
      <c r="I19360" s="6" t="n">
        <f aca="false">(Sens!I19338+Sens!I19359)*Sens!I19358/1000</f>
        <v>146.0586222138</v>
      </c>
      <c r="J19360" s="6" t="n">
        <f aca="false">(Sens!J19338+Sens!J19359)*Sens!J19358/1000</f>
        <v>116.273441976139</v>
      </c>
      <c r="K19360" s="6" t="n">
        <f aca="false">(Sens!K19338+Sens!K19359)*Sens!K19358/1000</f>
        <v>117.088713638691</v>
      </c>
    </row>
    <row r="19361" customFormat="false" ht="17.15" hidden="false" customHeight="false" outlineLevel="0" collapsed="false">
      <c r="A19361" s="0" t="s">
        <v>996</v>
      </c>
      <c r="B19361" s="0" t="s">
        <v>98</v>
      </c>
      <c r="C19361" s="6" t="n">
        <f aca="false">Sens!C19338*self_build*tk_cxfac/1000</f>
        <v>6.2083</v>
      </c>
      <c r="D19361" s="6" t="n">
        <f aca="false">Sens!D19338*self_build*tk_cxfac/1000</f>
        <v>9.3758</v>
      </c>
      <c r="E19361" s="6" t="n">
        <f aca="false">Sens!E19338*self_build*tk_cxfac/1000</f>
        <v>18.6249</v>
      </c>
      <c r="F19361" s="6" t="n">
        <f aca="false">Sens!F19338*self_build*tk_cxfac/1000</f>
        <v>30.902977623</v>
      </c>
      <c r="G19361" s="6" t="n">
        <f aca="false">Sens!G19338*self_build*tk_cxfac/1000</f>
        <v>33.512997623</v>
      </c>
      <c r="H19361" s="6" t="n">
        <f aca="false">Sens!H19338*self_build*tk_cxfac/1000</f>
        <v>33.512997623</v>
      </c>
      <c r="I19361" s="6" t="n">
        <f aca="false">Sens!I19338*self_build*tk_cxfac/1000</f>
        <v>23.7591633440233</v>
      </c>
      <c r="J19361" s="6" t="n">
        <f aca="false">Sens!J19338*self_build*tk_cxfac/1000</f>
        <v>14.4805123319271</v>
      </c>
      <c r="K19361" s="6" t="n">
        <f aca="false">Sens!K19338*self_build*tk_cxfac/1000</f>
        <v>5.39868505634851</v>
      </c>
    </row>
    <row r="19362" customFormat="false" ht="17.15" hidden="false" customHeight="false" outlineLevel="0" collapsed="false">
      <c r="A19362" s="0" t="s">
        <v>997</v>
      </c>
      <c r="B19362" s="0" t="s">
        <v>98</v>
      </c>
      <c r="F19362" s="15" t="n">
        <f aca="false">capex_floor27-Sens!F19360-Sens!F19361-Sens!F19458</f>
        <v>-0.0815799252303648</v>
      </c>
      <c r="L19362" s="12" t="s">
        <v>998</v>
      </c>
    </row>
    <row r="19363" customFormat="false" ht="17.15" hidden="false" customHeight="false" outlineLevel="0" collapsed="false">
      <c r="A19363" s="0" t="s">
        <v>999</v>
      </c>
      <c r="B19363" s="0" t="s">
        <v>98</v>
      </c>
      <c r="F19363" s="6" t="n">
        <f aca="false">MAX(0,Sens!F19362)</f>
        <v>0</v>
      </c>
    </row>
    <row r="19364" customFormat="false" ht="17.15" hidden="false" customHeight="false" outlineLevel="0" collapsed="false">
      <c r="A19364" s="0" t="s">
        <v>1000</v>
      </c>
      <c r="B19364" s="0" t="s">
        <v>98</v>
      </c>
      <c r="C19364" s="6" t="n">
        <f aca="false">Sens!C19360</f>
        <v>22.5333845916667</v>
      </c>
      <c r="D19364" s="6" t="n">
        <f aca="false">Sens!D19360</f>
        <v>34.0300093833333</v>
      </c>
      <c r="E19364" s="6" t="n">
        <f aca="false">Sens!E19360</f>
        <v>67.600153775</v>
      </c>
      <c r="F19364" s="6" t="n">
        <f aca="false">Sens!F19360</f>
        <v>137.571350534808</v>
      </c>
      <c r="G19364" s="6" t="n">
        <f aca="false">Sens!G19360</f>
        <v>158.622958569916</v>
      </c>
      <c r="H19364" s="6" t="n">
        <f aca="false">Sens!H19360</f>
        <v>163.339225708804</v>
      </c>
      <c r="I19364" s="6" t="n">
        <f aca="false">Sens!I19360</f>
        <v>146.0586222138</v>
      </c>
      <c r="J19364" s="6" t="n">
        <f aca="false">Sens!J19360</f>
        <v>116.273441976139</v>
      </c>
      <c r="K19364" s="6" t="n">
        <f aca="false">Sens!K19360</f>
        <v>117.088713638691</v>
      </c>
    </row>
    <row r="19365" customFormat="false" ht="17.15" hidden="false" customHeight="false" outlineLevel="0" collapsed="false">
      <c r="A19365" s="0" t="s">
        <v>1001</v>
      </c>
      <c r="B19365" s="0" t="s">
        <v>98</v>
      </c>
      <c r="C19365" s="6" t="n">
        <f aca="false">Sens!C19364+Sens!C19361</f>
        <v>28.7416845916667</v>
      </c>
      <c r="D19365" s="6" t="n">
        <f aca="false">Sens!D19364+Sens!D19361</f>
        <v>43.4058093833333</v>
      </c>
      <c r="E19365" s="6" t="n">
        <f aca="false">Sens!E19364+Sens!E19361</f>
        <v>86.225053775</v>
      </c>
      <c r="F19365" s="6" t="n">
        <f aca="false">Sens!F19364+Sens!F19361</f>
        <v>168.474328157808</v>
      </c>
      <c r="G19365" s="6" t="n">
        <f aca="false">Sens!G19364+Sens!G19361</f>
        <v>192.135956192916</v>
      </c>
      <c r="H19365" s="6" t="n">
        <f aca="false">Sens!H19364+Sens!H19361</f>
        <v>196.852223331804</v>
      </c>
      <c r="I19365" s="6" t="n">
        <f aca="false">Sens!I19364+Sens!I19361</f>
        <v>169.817785557824</v>
      </c>
      <c r="J19365" s="6" t="n">
        <f aca="false">Sens!J19364+Sens!J19361</f>
        <v>130.753954308066</v>
      </c>
      <c r="K19365" s="6" t="n">
        <f aca="false">Sens!K19364+Sens!K19361</f>
        <v>122.487398695039</v>
      </c>
      <c r="L19365" s="12" t="s">
        <v>1002</v>
      </c>
    </row>
    <row r="19366" customFormat="false" ht="17.15" hidden="false" customHeight="false" outlineLevel="0" collapsed="false">
      <c r="A19366" s="0" t="s">
        <v>1003</v>
      </c>
      <c r="B19366" s="0" t="s">
        <v>98</v>
      </c>
      <c r="E19366" s="6" t="n">
        <f aca="false">(Sens!C19364*IF(2&lt;life_it,1,IF(2=life_it,0.5,0))+Sens!D19364*IF(1&lt;life_it,1,IF(1=life_it,0.5,0))+Sens!E19364*0.5)/life_it</f>
        <v>15.0605784770833</v>
      </c>
      <c r="F19366" s="6" t="n">
        <f aca="false">(Sens!C19364*IF(3&lt;life_it,1,IF(3=life_it,0.5,0))+Sens!D19364*IF(2&lt;life_it,1,IF(2=life_it,0.5,0))+Sens!E19364*IF(1&lt;life_it,1,IF(1=life_it,0.5,0))+Sens!F19364*0.5)/life_it</f>
        <v>32.158203836234</v>
      </c>
      <c r="G19366" s="6" t="n">
        <f aca="false">(Sens!C19364*IF(4&lt;life_it,1,IF(4=life_it,0.5,0))+Sens!D19364*IF(3&lt;life_it,1,IF(3=life_it,0.5,0))+Sens!E19364*IF(2&lt;life_it,1,IF(2=life_it,0.5,0))+Sens!F19364*IF(1&lt;life_it,1,IF(1=life_it,0.5,0))+Sens!G19364*0.5)/life_it</f>
        <v>56.8410629282943</v>
      </c>
      <c r="H19366" s="6" t="n">
        <f aca="false">(Sens!C19364*IF(5&lt;life_it,1,IF(5=life_it,0.5,0))+Sens!D19364*IF(4&lt;life_it,1,IF(4=life_it,0.5,0))+Sens!E19364*IF(3&lt;life_it,1,IF(3=life_it,0.5,0))+Sens!F19364*IF(2&lt;life_it,1,IF(2=life_it,0.5,0))+Sens!G19364*IF(1&lt;life_it,1,IF(1=life_it,0.5,0))+Sens!H19364*0.5)/life_it</f>
        <v>83.671244951521</v>
      </c>
      <c r="I19366" s="6" t="n">
        <f aca="false">(Sens!C19364*IF(6&lt;life_it,1,IF(6=life_it,0.5,0))+Sens!D19364*IF(5&lt;life_it,1,IF(5=life_it,0.5,0))+Sens!E19364*IF(4&lt;life_it,1,IF(4=life_it,0.5,0))+Sens!F19364*IF(3&lt;life_it,1,IF(3=life_it,0.5,0))+Sens!G19364*IF(2&lt;life_it,1,IF(2=life_it,0.5,0))+Sens!H19364*IF(1&lt;life_it,1,IF(1=life_it,0.5,0))+Sens!I19364*0.5)/life_it</f>
        <v>107.576616895766</v>
      </c>
      <c r="J19366" s="6" t="n">
        <f aca="false">(Sens!C19364*IF(7&lt;life_it,1,IF(7=life_it,0.5,0))+Sens!D19364*IF(6&lt;life_it,1,IF(6=life_it,0.5,0))+Sens!E19364*IF(5&lt;life_it,1,IF(5=life_it,0.5,0))+Sens!F19364*IF(4&lt;life_it,1,IF(4=life_it,0.5,0))+Sens!G19364*IF(3&lt;life_it,1,IF(3=life_it,0.5,0))+Sens!H19364*IF(2&lt;life_it,1,IF(2=life_it,0.5,0))+Sens!I19364*IF(1&lt;life_it,1,IF(1=life_it,0.5,0))+Sens!J19364*0.5)/life_it</f>
        <v>124.724006080344</v>
      </c>
      <c r="K19366" s="6" t="n">
        <f aca="false">(Sens!C19364*IF(8&lt;life_it,1,IF(8=life_it,0.5,0))+Sens!D19364*IF(7&lt;life_it,1,IF(7=life_it,0.5,0))+Sens!E19364*IF(6&lt;life_it,1,IF(6=life_it,0.5,0))+Sens!F19364*IF(5&lt;life_it,1,IF(5=life_it,0.5,0))+Sens!G19364*IF(4&lt;life_it,1,IF(4=life_it,0.5,0))+Sens!H19364*IF(3&lt;life_it,1,IF(3=life_it,0.5,0))+Sens!I19364*IF(2&lt;life_it,1,IF(2=life_it,0.5,0))+Sens!J19364*IF(1&lt;life_it,1,IF(1=life_it,0.5,0))+Sens!K19364*0.5)/life_it</f>
        <v>135.701672118385</v>
      </c>
    </row>
    <row r="19367" customFormat="false" ht="17.15" hidden="false" customHeight="false" outlineLevel="0" collapsed="false">
      <c r="A19367" s="0" t="s">
        <v>1004</v>
      </c>
      <c r="B19367" s="0" t="s">
        <v>98</v>
      </c>
      <c r="E19367" s="6" t="n">
        <f aca="false">(Sens!C19361*IF(2&lt;life_fac,1,IF(2=life_fac,0.5,0))+Sens!D19361*IF(1&lt;life_fac,1,IF(1=life_fac,0.5,0))+Sens!E19361*0.5)/life_fac</f>
        <v>1.2448275</v>
      </c>
      <c r="F19367" s="6" t="n">
        <f aca="false">(Sens!C19361*IF(3&lt;life_fac,1,IF(3=life_fac,0.5,0))+Sens!D19361*IF(2&lt;life_fac,1,IF(2=life_fac,0.5,0))+Sens!E19361*IF(1&lt;life_fac,1,IF(1=life_fac,0.5,0))+Sens!F19361*0.5)/life_fac</f>
        <v>2.483024440575</v>
      </c>
      <c r="G19367" s="6" t="n">
        <f aca="false">(Sens!C19361*IF(4&lt;life_fac,1,IF(4=life_fac,0.5,0))+Sens!D19361*IF(3&lt;life_fac,1,IF(3=life_fac,0.5,0))+Sens!E19361*IF(2&lt;life_fac,1,IF(2=life_fac,0.5,0))+Sens!F19361*IF(1&lt;life_fac,1,IF(1=life_fac,0.5,0))+Sens!G19361*0.5)/life_fac</f>
        <v>4.093423821725</v>
      </c>
      <c r="H19367" s="6" t="n">
        <f aca="false">(Sens!C19361*IF(5&lt;life_fac,1,IF(5=life_fac,0.5,0))+Sens!D19361*IF(4&lt;life_fac,1,IF(4=life_fac,0.5,0))+Sens!E19361*IF(3&lt;life_fac,1,IF(3=life_fac,0.5,0))+Sens!F19361*IF(2&lt;life_fac,1,IF(2=life_fac,0.5,0))+Sens!G19361*IF(1&lt;life_fac,1,IF(1=life_fac,0.5,0))+Sens!H19361*0.5)/life_fac</f>
        <v>5.769073702875</v>
      </c>
      <c r="I19367" s="6" t="n">
        <f aca="false">(Sens!C19361*IF(6&lt;life_fac,1,IF(6=life_fac,0.5,0))+Sens!D19361*IF(5&lt;life_fac,1,IF(5=life_fac,0.5,0))+Sens!E19361*IF(4&lt;life_fac,1,IF(4=life_fac,0.5,0))+Sens!F19361*IF(3&lt;life_fac,1,IF(3=life_fac,0.5,0))+Sens!G19361*IF(2&lt;life_fac,1,IF(2=life_fac,0.5,0))+Sens!H19361*IF(1&lt;life_fac,1,IF(1=life_fac,0.5,0))+Sens!I19361*0.5)/life_fac</f>
        <v>7.20087772705058</v>
      </c>
      <c r="J19367" s="6" t="n">
        <f aca="false">(Sens!C19361*IF(7&lt;life_fac,1,IF(7=life_fac,0.5,0))+Sens!D19361*IF(6&lt;life_fac,1,IF(6=life_fac,0.5,0))+Sens!E19361*IF(5&lt;life_fac,1,IF(5=life_fac,0.5,0))+Sens!F19361*IF(4&lt;life_fac,1,IF(4=life_fac,0.5,0))+Sens!G19361*IF(3&lt;life_fac,1,IF(3=life_fac,0.5,0))+Sens!H19361*IF(2&lt;life_fac,1,IF(2=life_fac,0.5,0))+Sens!I19361*IF(1&lt;life_fac,1,IF(1=life_fac,0.5,0))+Sens!J19361*0.5)/life_fac</f>
        <v>8.15686961894934</v>
      </c>
      <c r="K19367" s="6" t="n">
        <f aca="false">(Sens!C19361*IF(8&lt;life_fac,1,IF(8=life_fac,0.5,0))+Sens!D19361*IF(7&lt;life_fac,1,IF(7=life_fac,0.5,0))+Sens!E19361*IF(6&lt;life_fac,1,IF(6=life_fac,0.5,0))+Sens!F19361*IF(5&lt;life_fac,1,IF(5=life_fac,0.5,0))+Sens!G19361*IF(4&lt;life_fac,1,IF(4=life_fac,0.5,0))+Sens!H19361*IF(3&lt;life_fac,1,IF(3=life_fac,0.5,0))+Sens!I19361*IF(2&lt;life_fac,1,IF(2=life_fac,0.5,0))+Sens!J19361*IF(1&lt;life_fac,1,IF(1=life_fac,0.5,0))+Sens!K19361*0.5)/life_fac</f>
        <v>8.65384955365624</v>
      </c>
    </row>
    <row r="19368" customFormat="false" ht="17.15" hidden="false" customHeight="false" outlineLevel="0" collapsed="false">
      <c r="A19368" s="0" t="s">
        <v>1005</v>
      </c>
      <c r="B19368" s="0" t="s">
        <v>98</v>
      </c>
      <c r="E19368" s="6" t="n">
        <f aca="false">Sens!E19366+Sens!E19367</f>
        <v>16.3054059770833</v>
      </c>
      <c r="F19368" s="6" t="n">
        <f aca="false">Sens!F19366+Sens!F19367</f>
        <v>34.641228276809</v>
      </c>
      <c r="G19368" s="6" t="n">
        <f aca="false">Sens!G19366+Sens!G19367</f>
        <v>60.9344867500193</v>
      </c>
      <c r="H19368" s="6" t="n">
        <f aca="false">Sens!H19366+Sens!H19367</f>
        <v>89.440318654396</v>
      </c>
      <c r="I19368" s="6" t="n">
        <f aca="false">Sens!I19366+Sens!I19367</f>
        <v>114.777494622816</v>
      </c>
      <c r="J19368" s="6" t="n">
        <f aca="false">Sens!J19366+Sens!J19367</f>
        <v>132.880875699293</v>
      </c>
      <c r="K19368" s="6" t="n">
        <f aca="false">Sens!K19366+Sens!K19367</f>
        <v>144.355521672042</v>
      </c>
    </row>
    <row r="19369" customFormat="false" ht="17.15" hidden="false" customHeight="false" outlineLevel="0" collapsed="false">
      <c r="A19369" s="0" t="s">
        <v>1006</v>
      </c>
      <c r="B19369" s="0" t="s">
        <v>98</v>
      </c>
      <c r="E19369" s="6" t="n">
        <f aca="false">Sens!E19356-Sens!E19355*Sens!E19368</f>
        <v>8.92707889977379</v>
      </c>
      <c r="F19369" s="6" t="n">
        <f aca="false">Sens!F19356-Sens!F19355*Sens!F19368</f>
        <v>14.8655723889119</v>
      </c>
      <c r="G19369" s="6" t="n">
        <f aca="false">Sens!G19356-Sens!G19355*Sens!G19368</f>
        <v>17.2518607919699</v>
      </c>
      <c r="H19369" s="6" t="n">
        <f aca="false">Sens!H19356-Sens!H19355*Sens!H19368</f>
        <v>13.9256425174054</v>
      </c>
      <c r="I19369" s="6" t="n">
        <f aca="false">Sens!I19356-Sens!I19355*Sens!I19368</f>
        <v>17.5109832683512</v>
      </c>
      <c r="J19369" s="6" t="n">
        <f aca="false">Sens!J19356-Sens!J19355*Sens!J19368</f>
        <v>19.9981958028027</v>
      </c>
      <c r="K19369" s="6" t="n">
        <f aca="false">Sens!K19356-Sens!K19355*Sens!K19368</f>
        <v>22.095117444785</v>
      </c>
    </row>
    <row r="19370" customFormat="false" ht="17.15" hidden="false" customHeight="false" outlineLevel="0" collapsed="false">
      <c r="A19370" s="3" t="s">
        <v>2090</v>
      </c>
    </row>
    <row r="19371" customFormat="false" ht="15" hidden="false" customHeight="false" outlineLevel="0" collapsed="false">
      <c r="A19371" s="4" t="s">
        <v>43</v>
      </c>
      <c r="B19371" s="4" t="s">
        <v>65</v>
      </c>
      <c r="C19371" s="23" t="s">
        <v>942</v>
      </c>
      <c r="D19371" s="23" t="s">
        <v>943</v>
      </c>
      <c r="E19371" s="23" t="s">
        <v>944</v>
      </c>
      <c r="F19371" s="23" t="s">
        <v>945</v>
      </c>
      <c r="G19371" s="23" t="s">
        <v>946</v>
      </c>
      <c r="H19371" s="23" t="s">
        <v>947</v>
      </c>
      <c r="I19371" s="23" t="s">
        <v>948</v>
      </c>
      <c r="J19371" s="23" t="s">
        <v>949</v>
      </c>
      <c r="K19371" s="23" t="s">
        <v>950</v>
      </c>
      <c r="L19371" s="4" t="s">
        <v>47</v>
      </c>
    </row>
    <row r="19372" customFormat="false" ht="17.15" hidden="false" customHeight="false" outlineLevel="0" collapsed="false">
      <c r="A19372" s="0" t="s">
        <v>1025</v>
      </c>
      <c r="B19372" s="0" t="s">
        <v>98</v>
      </c>
      <c r="D19372" s="6" t="n">
        <f aca="false">Sens!D19350</f>
        <v>12.9359794422418</v>
      </c>
      <c r="E19372" s="6" t="n">
        <f aca="false">Sens!E19350</f>
        <v>27.8095064661409</v>
      </c>
      <c r="F19372" s="6" t="n">
        <f aca="false">Sens!F19350</f>
        <v>51.4101771002424</v>
      </c>
      <c r="G19372" s="6" t="n">
        <f aca="false">Sens!G19350</f>
        <v>77.1760094971315</v>
      </c>
      <c r="H19372" s="6" t="n">
        <f aca="false">Sens!H19350</f>
        <v>97.9857987581921</v>
      </c>
      <c r="I19372" s="6" t="n">
        <f aca="false">Sens!I19350</f>
        <v>122.860088063659</v>
      </c>
      <c r="J19372" s="6" t="n">
        <f aca="false">Sens!J19350</f>
        <v>140.353567672794</v>
      </c>
      <c r="K19372" s="6" t="n">
        <f aca="false">Sens!K19350</f>
        <v>151.687861900359</v>
      </c>
    </row>
    <row r="19373" customFormat="false" ht="17.15" hidden="false" customHeight="false" outlineLevel="0" collapsed="false">
      <c r="A19373" s="0" t="s">
        <v>1026</v>
      </c>
      <c r="B19373" s="0" t="s">
        <v>98</v>
      </c>
      <c r="D19373" s="6" t="n">
        <f aca="false">Q!L6-Sens!D19372</f>
        <v>59.6740205577583</v>
      </c>
      <c r="E19373" s="6" t="n">
        <f aca="false">Q!M6-Sens!E19372</f>
        <v>74.1284935338591</v>
      </c>
      <c r="F19373" s="6" t="n">
        <f aca="false">Q!$I$6+(Sens!F19372+Sens!E19373*(1+Sens!F19374))*(1-Q!$E$6/Q!M6)-Sens!F19372</f>
        <v>92.1759175890699</v>
      </c>
      <c r="G19373" s="6" t="n">
        <f aca="false">Sens!F19373*(1+Sens!G19374)</f>
        <v>109.51874784557</v>
      </c>
      <c r="H19373" s="6" t="n">
        <f aca="false">Sens!G19373*(1+Sens!H19374)</f>
        <v>127.163525943801</v>
      </c>
      <c r="I19373" s="6" t="n">
        <f aca="false">Sens!H19373*(1+Sens!I19374)</f>
        <v>144.212928339187</v>
      </c>
      <c r="J19373" s="6" t="n">
        <f aca="false">Sens!I19373*(1+Sens!J19374)</f>
        <v>159.649092809611</v>
      </c>
      <c r="K19373" s="6" t="n">
        <f aca="false">Sens!J19373*(1+Sens!K19374)</f>
        <v>172.42102023438</v>
      </c>
      <c r="L19373" s="12" t="s">
        <v>1027</v>
      </c>
    </row>
    <row r="19374" customFormat="false" ht="15" hidden="false" customHeight="false" outlineLevel="0" collapsed="false">
      <c r="A19374" s="1" t="s">
        <v>1028</v>
      </c>
      <c r="B19374" s="0" t="s">
        <v>168</v>
      </c>
      <c r="E19374" s="7" t="n">
        <f aca="false">Sens!E19373/Sens!D19373-1</f>
        <v>0.242223883039864</v>
      </c>
      <c r="F19374" s="7" t="n">
        <f aca="false">Sens!$E$19374+(glt_azo-Sens!$E$19374)*MIN(1,(Sens!F19331-base_fy)/n_conv)</f>
        <v>0.215186569199887</v>
      </c>
      <c r="G19374" s="7" t="n">
        <f aca="false">Sens!$E$19374+(glt_azo-Sens!$E$19374)*MIN(1,(Sens!G19331-base_fy)/n_conv)</f>
        <v>0.18814925535991</v>
      </c>
      <c r="H19374" s="7" t="n">
        <f aca="false">Sens!$E$19374+(glt_azo-Sens!$E$19374)*MIN(1,(Sens!H19331-base_fy)/n_conv)</f>
        <v>0.161111941519932</v>
      </c>
      <c r="I19374" s="7" t="n">
        <f aca="false">Sens!$E$19374+(glt_azo-Sens!$E$19374)*MIN(1,(Sens!I19331-base_fy)/n_conv)</f>
        <v>0.134074627679955</v>
      </c>
      <c r="J19374" s="7" t="n">
        <f aca="false">Sens!$E$19374+(glt_azo-Sens!$E$19374)*MIN(1,(Sens!J19331-base_fy)/n_conv)</f>
        <v>0.107037313839977</v>
      </c>
      <c r="K19374" s="7" t="n">
        <f aca="false">Sens!$E$19374+(glt_azo-Sens!$E$19374)*MIN(1,(Sens!K19331-base_fy)/n_conv)</f>
        <v>0.08</v>
      </c>
    </row>
    <row r="19375" customFormat="false" ht="15" hidden="false" customHeight="false" outlineLevel="0" collapsed="false">
      <c r="A19375" s="0" t="s">
        <v>1029</v>
      </c>
      <c r="B19375" s="0" t="s">
        <v>98</v>
      </c>
      <c r="D19375" s="6" t="n">
        <f aca="false">Sens!D19372+Sens!D19373</f>
        <v>72.61</v>
      </c>
      <c r="E19375" s="6" t="n">
        <f aca="false">Sens!E19372+Sens!E19373</f>
        <v>101.938</v>
      </c>
      <c r="F19375" s="6" t="n">
        <f aca="false">Sens!F19372+Sens!F19373</f>
        <v>143.586094689312</v>
      </c>
      <c r="G19375" s="6" t="n">
        <f aca="false">Sens!G19372+Sens!G19373</f>
        <v>186.694757342701</v>
      </c>
      <c r="H19375" s="6" t="n">
        <f aca="false">Sens!H19372+Sens!H19373</f>
        <v>225.149324701994</v>
      </c>
      <c r="I19375" s="6" t="n">
        <f aca="false">Sens!I19372+Sens!I19373</f>
        <v>267.073016402846</v>
      </c>
      <c r="J19375" s="6" t="n">
        <f aca="false">Sens!J19372+Sens!J19373</f>
        <v>300.002660482404</v>
      </c>
      <c r="K19375" s="6" t="n">
        <f aca="false">Sens!K19372+Sens!K19373</f>
        <v>324.108882134739</v>
      </c>
    </row>
    <row r="19376" customFormat="false" ht="17.15" hidden="false" customHeight="false" outlineLevel="0" collapsed="false">
      <c r="A19376" s="0" t="s">
        <v>1030</v>
      </c>
      <c r="B19376" s="1" t="s">
        <v>613</v>
      </c>
      <c r="C19376" s="30" t="n">
        <f aca="false">cop_s24</f>
        <v>1</v>
      </c>
      <c r="D19376" s="30" t="n">
        <f aca="false">cop_s25</f>
        <v>5</v>
      </c>
      <c r="E19376" s="30" t="n">
        <f aca="false">cop_s26</f>
        <v>30</v>
      </c>
      <c r="F19376" s="30" t="n">
        <f aca="false">Sens!E19376+cop_add_C</f>
        <v>40</v>
      </c>
      <c r="G19376" s="30" t="n">
        <f aca="false">Sens!F19376+cop_add_C</f>
        <v>50</v>
      </c>
      <c r="H19376" s="30" t="n">
        <f aca="false">Sens!G19376+cop_add_C</f>
        <v>60</v>
      </c>
      <c r="I19376" s="30" t="n">
        <f aca="false">Sens!H19376+cop_add_C*cop_tail</f>
        <v>65</v>
      </c>
      <c r="J19376" s="30" t="n">
        <f aca="false">Sens!I19376+cop_add_C*cop_tail</f>
        <v>70</v>
      </c>
      <c r="K19376" s="30" t="n">
        <f aca="false">Sens!J19376+cop_add_C*cop_tail</f>
        <v>75</v>
      </c>
      <c r="L19376" s="12" t="s">
        <v>1031</v>
      </c>
    </row>
    <row r="19377" customFormat="false" ht="17.15" hidden="false" customHeight="false" outlineLevel="0" collapsed="false">
      <c r="A19377" s="0" t="s">
        <v>1032</v>
      </c>
      <c r="B19377" s="0" t="s">
        <v>98</v>
      </c>
      <c r="D19377" s="6" t="n">
        <f aca="false">(Sens!C19376+Sens!D19376)/2*cop_px*12/1000</f>
        <v>0.9</v>
      </c>
      <c r="E19377" s="6" t="n">
        <f aca="false">(Sens!D19376+Sens!E19376)/2*cop_px*12/1000</f>
        <v>5.25</v>
      </c>
      <c r="F19377" s="6" t="n">
        <f aca="false">(Sens!E19376+Sens!F19376)/2*cop_px*12/1000</f>
        <v>10.5</v>
      </c>
      <c r="G19377" s="6" t="n">
        <f aca="false">(Sens!F19376+Sens!G19376)/2*cop_px*12/1000</f>
        <v>13.5</v>
      </c>
      <c r="H19377" s="6" t="n">
        <f aca="false">(Sens!G19376+Sens!H19376)/2*cop_px*12/1000</f>
        <v>16.5</v>
      </c>
      <c r="I19377" s="6" t="n">
        <f aca="false">(Sens!H19376+Sens!I19376)/2*cop_px*12/1000</f>
        <v>18.75</v>
      </c>
      <c r="J19377" s="6" t="n">
        <f aca="false">(Sens!I19376+Sens!J19376)/2*cop_px*12/1000</f>
        <v>20.25</v>
      </c>
      <c r="K19377" s="6" t="n">
        <f aca="false">(Sens!J19376+Sens!K19376)/2*cop_px*12/1000</f>
        <v>21.75</v>
      </c>
      <c r="L19377" s="1" t="s">
        <v>1033</v>
      </c>
    </row>
    <row r="19378" customFormat="false" ht="17.15" hidden="false" customHeight="false" outlineLevel="0" collapsed="false">
      <c r="A19378" s="0" t="s">
        <v>1034</v>
      </c>
      <c r="B19378" s="0" t="s">
        <v>98</v>
      </c>
      <c r="D19378" s="6" t="n">
        <f aca="false">Q!L7-Sens!D19377</f>
        <v>83.705</v>
      </c>
      <c r="E19378" s="6" t="n">
        <f aca="false">Q!M7-Sens!E19377</f>
        <v>95.049</v>
      </c>
      <c r="F19378" s="6" t="n">
        <f aca="false">Q!$I$7+(Sens!E19378*(1+Sens!F19379)+Sens!F19377)*(1-Q!$E$7/Q!M7)-Sens!F19377</f>
        <v>106.938354189776</v>
      </c>
      <c r="G19378" s="6" t="n">
        <f aca="false">Sens!F19378*(1+Sens!G19379)</f>
        <v>119.095360443801</v>
      </c>
      <c r="H19378" s="6" t="n">
        <f aca="false">Sens!G19378*(1+Sens!H19379)</f>
        <v>131.333811964563</v>
      </c>
      <c r="I19378" s="6" t="n">
        <f aca="false">Sens!H19378*(1+Sens!I19379)</f>
        <v>143.395665319381</v>
      </c>
      <c r="J19378" s="6" t="n">
        <f aca="false">Sens!I19378*(1+Sens!J19379)</f>
        <v>154.999327755573</v>
      </c>
      <c r="K19378" s="6" t="n">
        <f aca="false">Sens!J19378*(1+Sens!K19379)</f>
        <v>165.849280698463</v>
      </c>
      <c r="L19378" s="12" t="s">
        <v>1035</v>
      </c>
    </row>
    <row r="19379" customFormat="false" ht="15" hidden="false" customHeight="false" outlineLevel="0" collapsed="false">
      <c r="A19379" s="1" t="s">
        <v>1028</v>
      </c>
      <c r="B19379" s="0" t="s">
        <v>168</v>
      </c>
      <c r="E19379" s="7" t="n">
        <f aca="false">Sens!E19378/Sens!D19378-1</f>
        <v>0.135523564900544</v>
      </c>
      <c r="F19379" s="7" t="n">
        <f aca="false">Sens!$E$19379+(glt_m365b-Sens!$E$19379)*MIN(1,(Sens!F19331-base_fy)/n_conv)</f>
        <v>0.124602970750453</v>
      </c>
      <c r="G19379" s="7" t="n">
        <f aca="false">Sens!$E$19379+(glt_m365b-Sens!$E$19379)*MIN(1,(Sens!G19331-base_fy)/n_conv)</f>
        <v>0.113682376600363</v>
      </c>
      <c r="H19379" s="7" t="n">
        <f aca="false">Sens!$E$19379+(glt_m365b-Sens!$E$19379)*MIN(1,(Sens!H19331-base_fy)/n_conv)</f>
        <v>0.102761782450272</v>
      </c>
      <c r="I19379" s="7" t="n">
        <f aca="false">Sens!$E$19379+(glt_m365b-Sens!$E$19379)*MIN(1,(Sens!I19331-base_fy)/n_conv)</f>
        <v>0.0918411883001813</v>
      </c>
      <c r="J19379" s="7" t="n">
        <f aca="false">Sens!$E$19379+(glt_m365b-Sens!$E$19379)*MIN(1,(Sens!J19331-base_fy)/n_conv)</f>
        <v>0.0809205941500906</v>
      </c>
      <c r="K19379" s="7" t="n">
        <f aca="false">Sens!$E$19379+(glt_m365b-Sens!$E$19379)*MIN(1,(Sens!K19331-base_fy)/n_conv)</f>
        <v>0.07</v>
      </c>
    </row>
    <row r="19380" customFormat="false" ht="15" hidden="false" customHeight="false" outlineLevel="0" collapsed="false">
      <c r="A19380" s="0" t="s">
        <v>1036</v>
      </c>
      <c r="B19380" s="0" t="s">
        <v>98</v>
      </c>
      <c r="D19380" s="6" t="n">
        <f aca="false">Sens!D19378+Sens!D19377</f>
        <v>84.605</v>
      </c>
      <c r="E19380" s="6" t="n">
        <f aca="false">Sens!E19378+Sens!E19377</f>
        <v>100.299</v>
      </c>
      <c r="F19380" s="6" t="n">
        <f aca="false">Sens!F19378+Sens!F19377</f>
        <v>117.438354189776</v>
      </c>
      <c r="G19380" s="6" t="n">
        <f aca="false">Sens!G19378+Sens!G19377</f>
        <v>132.595360443801</v>
      </c>
      <c r="H19380" s="6" t="n">
        <f aca="false">Sens!H19378+Sens!H19377</f>
        <v>147.833811964563</v>
      </c>
      <c r="I19380" s="6" t="n">
        <f aca="false">Sens!I19378+Sens!I19377</f>
        <v>162.145665319381</v>
      </c>
      <c r="J19380" s="6" t="n">
        <f aca="false">Sens!J19378+Sens!J19377</f>
        <v>175.249327755573</v>
      </c>
      <c r="K19380" s="6" t="n">
        <f aca="false">Sens!K19378+Sens!K19377</f>
        <v>187.599280698463</v>
      </c>
    </row>
    <row r="19381" customFormat="false" ht="17.15" hidden="false" customHeight="false" outlineLevel="0" collapsed="false">
      <c r="A19381" s="0" t="s">
        <v>1037</v>
      </c>
      <c r="B19381" s="0" t="s">
        <v>98</v>
      </c>
      <c r="D19381" s="6" t="n">
        <f aca="false">Q!L8</f>
        <v>35.391</v>
      </c>
      <c r="E19381" s="6" t="n">
        <f aca="false">Q!M8</f>
        <v>37.285</v>
      </c>
      <c r="F19381" s="6" t="n">
        <f aca="false">Q!$I$8+(Q!M8-Q!$E$8)*(1+Sens!F19382)</f>
        <v>38.3851437782675</v>
      </c>
      <c r="G19381" s="6" t="n">
        <f aca="false">Sens!F19381*(1+Sens!G19382)</f>
        <v>40.0105353288615</v>
      </c>
      <c r="H19381" s="6" t="n">
        <f aca="false">Sens!G19381*(1+Sens!H19382)</f>
        <v>41.4812512033683</v>
      </c>
      <c r="I19381" s="6" t="n">
        <f aca="false">Sens!H19381*(1+Sens!I19382)</f>
        <v>42.7743107216329</v>
      </c>
      <c r="J19381" s="6" t="n">
        <f aca="false">Sens!I19381*(1+Sens!J19382)</f>
        <v>43.8687373064601</v>
      </c>
      <c r="K19381" s="6" t="n">
        <f aca="false">Sens!J19381*(1+Sens!K19382)</f>
        <v>44.7461120525893</v>
      </c>
      <c r="L19381" s="12" t="s">
        <v>1038</v>
      </c>
    </row>
    <row r="19382" customFormat="false" ht="15" hidden="false" customHeight="false" outlineLevel="0" collapsed="false">
      <c r="A19382" s="1" t="s">
        <v>1028</v>
      </c>
      <c r="B19382" s="0" t="s">
        <v>168</v>
      </c>
      <c r="E19382" s="7" t="n">
        <f aca="false">Sens!E19381/Sens!D19381-1</f>
        <v>0.0535164307309768</v>
      </c>
      <c r="F19382" s="7" t="n">
        <f aca="false">Sens!$E$19382+(glt_lic-Sens!$E$19382)*MIN(1,(Sens!F19331-base_fy)/n_conv)</f>
        <v>0.0479303589424807</v>
      </c>
      <c r="G19382" s="7" t="n">
        <f aca="false">Sens!$E$19382+(glt_lic-Sens!$E$19382)*MIN(1,(Sens!G19331-base_fy)/n_conv)</f>
        <v>0.0423442871539845</v>
      </c>
      <c r="H19382" s="7" t="n">
        <f aca="false">Sens!$E$19382+(glt_lic-Sens!$E$19382)*MIN(1,(Sens!H19331-base_fy)/n_conv)</f>
        <v>0.0367582153654884</v>
      </c>
      <c r="I19382" s="7" t="n">
        <f aca="false">Sens!$E$19382+(glt_lic-Sens!$E$19382)*MIN(1,(Sens!I19331-base_fy)/n_conv)</f>
        <v>0.0311721435769923</v>
      </c>
      <c r="J19382" s="7" t="n">
        <f aca="false">Sens!$E$19382+(glt_lic-Sens!$E$19382)*MIN(1,(Sens!J19331-base_fy)/n_conv)</f>
        <v>0.0255860717884961</v>
      </c>
      <c r="K19382" s="7" t="n">
        <f aca="false">Sens!$E$19382+(glt_lic-Sens!$E$19382)*MIN(1,(Sens!K19331-base_fy)/n_conv)</f>
        <v>0.02</v>
      </c>
    </row>
    <row r="19383" customFormat="false" ht="17.15" hidden="false" customHeight="false" outlineLevel="0" collapsed="false">
      <c r="A19383" s="0" t="s">
        <v>1039</v>
      </c>
      <c r="B19383" s="0" t="s">
        <v>98</v>
      </c>
      <c r="D19383" s="6" t="n">
        <f aca="false">Q!L9</f>
        <v>18.417</v>
      </c>
      <c r="E19383" s="6" t="n">
        <f aca="false">Q!M9</f>
        <v>20.345</v>
      </c>
      <c r="F19383" s="6" t="n">
        <f aca="false">Q!$I$9+(Q!M9-Q!$E$9)*(1+Sens!F19384)</f>
        <v>22.3161797133988</v>
      </c>
      <c r="G19383" s="6" t="n">
        <f aca="false">Sens!F19383*(1+Sens!G19384)</f>
        <v>24.3943499673233</v>
      </c>
      <c r="H19383" s="6" t="n">
        <f aca="false">Sens!G19383*(1+Sens!H19384)</f>
        <v>26.5250243109019</v>
      </c>
      <c r="I19383" s="6" t="n">
        <f aca="false">Sens!H19383*(1+Sens!I19384)</f>
        <v>28.6884573538181</v>
      </c>
      <c r="J19383" s="6" t="n">
        <f aca="false">Sens!I19383*(1+Sens!J19384)</f>
        <v>30.8624968052127</v>
      </c>
      <c r="K19383" s="6" t="n">
        <f aca="false">Sens!J19383*(1+Sens!K19384)</f>
        <v>33.0228715815776</v>
      </c>
      <c r="L19383" s="12" t="s">
        <v>1038</v>
      </c>
    </row>
    <row r="19384" customFormat="false" ht="15" hidden="false" customHeight="false" outlineLevel="0" collapsed="false">
      <c r="A19384" s="1" t="s">
        <v>1028</v>
      </c>
      <c r="B19384" s="0" t="s">
        <v>168</v>
      </c>
      <c r="E19384" s="7" t="n">
        <f aca="false">Sens!E19383/Sens!D19383-1</f>
        <v>0.104685888038225</v>
      </c>
      <c r="F19384" s="7" t="n">
        <f aca="false">Sens!$E$19384+(glt_ind-Sens!$E$19384)*MIN(1,(Sens!F19331-base_fy)/n_conv)</f>
        <v>0.0989049066985211</v>
      </c>
      <c r="G19384" s="7" t="n">
        <f aca="false">Sens!$E$19384+(glt_ind-Sens!$E$19384)*MIN(1,(Sens!G19331-base_fy)/n_conv)</f>
        <v>0.0931239253588169</v>
      </c>
      <c r="H19384" s="7" t="n">
        <f aca="false">Sens!$E$19384+(glt_ind-Sens!$E$19384)*MIN(1,(Sens!H19331-base_fy)/n_conv)</f>
        <v>0.0873429440191127</v>
      </c>
      <c r="I19384" s="7" t="n">
        <f aca="false">Sens!$E$19384+(glt_ind-Sens!$E$19384)*MIN(1,(Sens!I19331-base_fy)/n_conv)</f>
        <v>0.0815619626794085</v>
      </c>
      <c r="J19384" s="7" t="n">
        <f aca="false">Sens!$E$19384+(glt_ind-Sens!$E$19384)*MIN(1,(Sens!J19331-base_fy)/n_conv)</f>
        <v>0.0757809813397042</v>
      </c>
      <c r="K19384" s="7" t="n">
        <f aca="false">Sens!$E$19384+(glt_ind-Sens!$E$19384)*MIN(1,(Sens!K19331-base_fy)/n_conv)</f>
        <v>0.07</v>
      </c>
    </row>
    <row r="19385" customFormat="false" ht="17.15" hidden="false" customHeight="false" outlineLevel="0" collapsed="false">
      <c r="A19385" s="0" t="s">
        <v>1040</v>
      </c>
      <c r="B19385" s="0" t="s">
        <v>98</v>
      </c>
      <c r="D19385" s="6" t="n">
        <f aca="false">Q!L10</f>
        <v>7.76</v>
      </c>
      <c r="E19385" s="6" t="n">
        <f aca="false">Q!M10</f>
        <v>8.26</v>
      </c>
      <c r="F19385" s="6" t="n">
        <f aca="false">Q!$I$10+(Q!M10-Q!$E$10)*(1+Sens!F19386)</f>
        <v>8.75372082474227</v>
      </c>
      <c r="G19385" s="6" t="n">
        <f aca="false">Sens!F19385*(1+Sens!G19386)</f>
        <v>9.33399324642364</v>
      </c>
      <c r="H19385" s="6" t="n">
        <f aca="false">Sens!G19385*(1+Sens!H19386)</f>
        <v>9.96139155535851</v>
      </c>
      <c r="I19385" s="6" t="n">
        <f aca="false">Sens!H19385*(1+Sens!I19386)</f>
        <v>10.6402039077391</v>
      </c>
      <c r="J19385" s="6" t="n">
        <f aca="false">Sens!I19385*(1+Sens!J19386)</f>
        <v>11.3751458271397</v>
      </c>
      <c r="K19385" s="6" t="n">
        <f aca="false">Sens!J19385*(1+Sens!K19386)</f>
        <v>12.1714060350394</v>
      </c>
      <c r="L19385" s="12" t="s">
        <v>1038</v>
      </c>
    </row>
    <row r="19386" customFormat="false" ht="15" hidden="false" customHeight="false" outlineLevel="0" collapsed="false">
      <c r="A19386" s="1" t="s">
        <v>1028</v>
      </c>
      <c r="B19386" s="0" t="s">
        <v>168</v>
      </c>
      <c r="E19386" s="7" t="n">
        <f aca="false">Sens!E19385/Sens!D19385-1</f>
        <v>0.0644329896907216</v>
      </c>
      <c r="F19386" s="7" t="n">
        <f aca="false">Sens!$E$19386+(glt_fro-Sens!$E$19386)*MIN(1,(Sens!F19331-base_fy)/n_conv)</f>
        <v>0.065360824742268</v>
      </c>
      <c r="G19386" s="7" t="n">
        <f aca="false">Sens!$E$19386+(glt_fro-Sens!$E$19386)*MIN(1,(Sens!G19331-base_fy)/n_conv)</f>
        <v>0.0662886597938144</v>
      </c>
      <c r="H19386" s="7" t="n">
        <f aca="false">Sens!$E$19386+(glt_fro-Sens!$E$19386)*MIN(1,(Sens!H19331-base_fy)/n_conv)</f>
        <v>0.0672164948453608</v>
      </c>
      <c r="I19386" s="7" t="n">
        <f aca="false">Sens!$E$19386+(glt_fro-Sens!$E$19386)*MIN(1,(Sens!I19331-base_fy)/n_conv)</f>
        <v>0.0681443298969072</v>
      </c>
      <c r="J19386" s="7" t="n">
        <f aca="false">Sens!$E$19386+(glt_fro-Sens!$E$19386)*MIN(1,(Sens!J19331-base_fy)/n_conv)</f>
        <v>0.0690721649484536</v>
      </c>
      <c r="K19386" s="7" t="n">
        <f aca="false">Sens!$E$19386+(glt_fro-Sens!$E$19386)*MIN(1,(Sens!K19331-base_fy)/n_conv)</f>
        <v>0.07</v>
      </c>
    </row>
    <row r="19387" customFormat="false" ht="15" hidden="false" customHeight="false" outlineLevel="0" collapsed="false">
      <c r="A19387" s="0" t="s">
        <v>856</v>
      </c>
      <c r="B19387" s="0" t="s">
        <v>98</v>
      </c>
      <c r="D19387" s="6" t="n">
        <f aca="false">Sens!D19375+Sens!D19380+Sens!D19381+Sens!D19383+Sens!D19385</f>
        <v>218.783</v>
      </c>
      <c r="E19387" s="6" t="n">
        <f aca="false">Sens!E19375+Sens!E19380+Sens!E19381+Sens!E19383+Sens!E19385</f>
        <v>268.127</v>
      </c>
      <c r="F19387" s="6" t="n">
        <f aca="false">Sens!F19375+Sens!F19380+Sens!F19381+Sens!F19383+Sens!F19385</f>
        <v>330.479493195497</v>
      </c>
      <c r="G19387" s="6" t="n">
        <f aca="false">Sens!G19375+Sens!G19380+Sens!G19381+Sens!G19383+Sens!G19385</f>
        <v>393.02899632911</v>
      </c>
      <c r="H19387" s="6" t="n">
        <f aca="false">Sens!H19375+Sens!H19380+Sens!H19381+Sens!H19383+Sens!H19385</f>
        <v>450.950803736185</v>
      </c>
      <c r="I19387" s="6" t="n">
        <f aca="false">Sens!I19375+Sens!I19380+Sens!I19381+Sens!I19383+Sens!I19385</f>
        <v>511.321653705417</v>
      </c>
      <c r="J19387" s="6" t="n">
        <f aca="false">Sens!J19375+Sens!J19380+Sens!J19381+Sens!J19383+Sens!J19385</f>
        <v>561.35836817679</v>
      </c>
      <c r="K19387" s="6" t="n">
        <f aca="false">Sens!K19375+Sens!K19380+Sens!K19381+Sens!K19383+Sens!K19385</f>
        <v>601.648552502408</v>
      </c>
    </row>
    <row r="19388" customFormat="false" ht="17.15" hidden="false" customHeight="false" outlineLevel="0" collapsed="false">
      <c r="A19388" s="0" t="s">
        <v>1041</v>
      </c>
      <c r="B19388" s="0" t="s">
        <v>98</v>
      </c>
      <c r="D19388" s="6" t="n">
        <f aca="false">Q!L13</f>
        <v>22.171</v>
      </c>
      <c r="E19388" s="6" t="n">
        <f aca="false">Q!M13</f>
        <v>24.835</v>
      </c>
      <c r="F19388" s="6" t="n">
        <f aca="false">Q!$I$13+(Q!M13-Q!$E$13)*(1+Sens!F19389)</f>
        <v>27.5591895660247</v>
      </c>
      <c r="G19388" s="6" t="n">
        <f aca="false">Sens!F19388*(1+Sens!G19389)</f>
        <v>30.4098563144583</v>
      </c>
      <c r="H19388" s="6" t="n">
        <f aca="false">Sens!G19388*(1+Sens!H19389)</f>
        <v>33.3011792571777</v>
      </c>
      <c r="I19388" s="6" t="n">
        <f aca="false">Sens!H19388*(1+Sens!I19389)</f>
        <v>36.189023797112</v>
      </c>
      <c r="J19388" s="6" t="n">
        <f aca="false">Sens!I19388*(1+Sens!J19389)</f>
        <v>39.0247773769199</v>
      </c>
      <c r="K19388" s="6" t="n">
        <f aca="false">Sens!J19388*(1+Sens!K19389)</f>
        <v>41.7565117933043</v>
      </c>
      <c r="L19388" s="12" t="s">
        <v>1038</v>
      </c>
    </row>
    <row r="19389" customFormat="false" ht="15" hidden="false" customHeight="false" outlineLevel="0" collapsed="false">
      <c r="A19389" s="1" t="s">
        <v>1028</v>
      </c>
      <c r="B19389" s="0" t="s">
        <v>168</v>
      </c>
      <c r="E19389" s="7" t="n">
        <f aca="false">Sens!E19388/Sens!D19388-1</f>
        <v>0.120156961796942</v>
      </c>
      <c r="F19389" s="7" t="n">
        <f aca="false">Sens!$E$19389+(glt_srch-Sens!$E$19389)*MIN(1,(Sens!F19331-base_fy)/n_conv)</f>
        <v>0.111797468164118</v>
      </c>
      <c r="G19389" s="7" t="n">
        <f aca="false">Sens!$E$19389+(glt_srch-Sens!$E$19389)*MIN(1,(Sens!G19331-base_fy)/n_conv)</f>
        <v>0.103437974531295</v>
      </c>
      <c r="H19389" s="7" t="n">
        <f aca="false">Sens!$E$19389+(glt_srch-Sens!$E$19389)*MIN(1,(Sens!H19331-base_fy)/n_conv)</f>
        <v>0.095078480898471</v>
      </c>
      <c r="I19389" s="7" t="n">
        <f aca="false">Sens!$E$19389+(glt_srch-Sens!$E$19389)*MIN(1,(Sens!I19331-base_fy)/n_conv)</f>
        <v>0.0867189872656474</v>
      </c>
      <c r="J19389" s="7" t="n">
        <f aca="false">Sens!$E$19389+(glt_srch-Sens!$E$19389)*MIN(1,(Sens!J19331-base_fy)/n_conv)</f>
        <v>0.0783594936328237</v>
      </c>
      <c r="K19389" s="7" t="n">
        <f aca="false">Sens!$E$19389+(glt_srch-Sens!$E$19389)*MIN(1,(Sens!K19331-base_fy)/n_conv)</f>
        <v>0.07</v>
      </c>
    </row>
    <row r="19390" customFormat="false" ht="17.15" hidden="false" customHeight="false" outlineLevel="0" collapsed="false">
      <c r="A19390" s="0" t="s">
        <v>1042</v>
      </c>
      <c r="B19390" s="0" t="s">
        <v>98</v>
      </c>
      <c r="D19390" s="6" t="n">
        <f aca="false">Q!L14</f>
        <v>23.455</v>
      </c>
      <c r="E19390" s="6" t="n">
        <f aca="false">Q!M14</f>
        <v>21.79</v>
      </c>
      <c r="F19390" s="6" t="n">
        <f aca="false">Q!$I$14+(Q!M14-Q!$E$14)*(1+Sens!F19391)</f>
        <v>20.7520981041711</v>
      </c>
      <c r="G19390" s="6" t="n">
        <f aca="false">Sens!F19390*(1+Sens!G19391)</f>
        <v>19.9083593495882</v>
      </c>
      <c r="H19390" s="6" t="n">
        <f aca="false">Sens!G19390*(1+Sens!H19391)</f>
        <v>19.4008256265831</v>
      </c>
      <c r="I19390" s="6" t="n">
        <f aca="false">Sens!H19390*(1+Sens!I19391)</f>
        <v>19.200434522122</v>
      </c>
      <c r="J19390" s="6" t="n">
        <f aca="false">Sens!I19390*(1+Sens!J19391)</f>
        <v>19.2932782348507</v>
      </c>
      <c r="K19390" s="6" t="n">
        <f aca="false">Sens!J19390*(1+Sens!K19391)</f>
        <v>19.6791437995477</v>
      </c>
      <c r="L19390" s="12" t="s">
        <v>1038</v>
      </c>
    </row>
    <row r="19391" customFormat="false" ht="15" hidden="false" customHeight="false" outlineLevel="0" collapsed="false">
      <c r="A19391" s="1" t="s">
        <v>1028</v>
      </c>
      <c r="B19391" s="0" t="s">
        <v>168</v>
      </c>
      <c r="E19391" s="7" t="n">
        <f aca="false">Sens!E19390/Sens!D19390-1</f>
        <v>-0.0709869963760392</v>
      </c>
      <c r="F19391" s="7" t="n">
        <f aca="false">Sens!$E$19391+(glt_xbox-Sens!$E$19391)*MIN(1,(Sens!F19331-base_fy)/n_conv)</f>
        <v>-0.0558224969800327</v>
      </c>
      <c r="G19391" s="7" t="n">
        <f aca="false">Sens!$E$19391+(glt_xbox-Sens!$E$19391)*MIN(1,(Sens!G19331-base_fy)/n_conv)</f>
        <v>-0.0406579975840262</v>
      </c>
      <c r="H19391" s="7" t="n">
        <f aca="false">Sens!$E$19391+(glt_xbox-Sens!$E$19391)*MIN(1,(Sens!H19331-base_fy)/n_conv)</f>
        <v>-0.0254934981880196</v>
      </c>
      <c r="I19391" s="7" t="n">
        <f aca="false">Sens!$E$19391+(glt_xbox-Sens!$E$19391)*MIN(1,(Sens!I19331-base_fy)/n_conv)</f>
        <v>-0.0103289987920131</v>
      </c>
      <c r="J19391" s="7" t="n">
        <f aca="false">Sens!$E$19391+(glt_xbox-Sens!$E$19391)*MIN(1,(Sens!J19331-base_fy)/n_conv)</f>
        <v>0.00483550060399347</v>
      </c>
      <c r="K19391" s="7" t="n">
        <f aca="false">Sens!$E$19391+(glt_xbox-Sens!$E$19391)*MIN(1,(Sens!K19331-base_fy)/n_conv)</f>
        <v>0.02</v>
      </c>
    </row>
    <row r="19392" customFormat="false" ht="17.15" hidden="false" customHeight="false" outlineLevel="0" collapsed="false">
      <c r="A19392" s="0" t="s">
        <v>1043</v>
      </c>
      <c r="B19392" s="0" t="s">
        <v>98</v>
      </c>
      <c r="D19392" s="6" t="n">
        <f aca="false">Q!L15</f>
        <v>17.315</v>
      </c>
      <c r="E19392" s="6" t="n">
        <f aca="false">Q!M15</f>
        <v>17.087</v>
      </c>
      <c r="F19392" s="6" t="n">
        <f aca="false">Q!$I$15+(Q!M15-Q!$E$15)*(1+Sens!F19393)</f>
        <v>15.9912273250553</v>
      </c>
      <c r="G19392" s="6" t="n">
        <f aca="false">Sens!F19392*(1+Sens!G19393)</f>
        <v>15.9574562664827</v>
      </c>
      <c r="H19392" s="6" t="n">
        <f aca="false">Sens!G19392*(1+Sens!H19393)</f>
        <v>16.0119687434196</v>
      </c>
      <c r="I19392" s="6" t="n">
        <f aca="false">Sens!H19392*(1+Sens!I19393)</f>
        <v>16.1551810001948</v>
      </c>
      <c r="J19392" s="6" t="n">
        <f aca="false">Sens!I19392*(1+Sens!J19393)</f>
        <v>16.3889793892005</v>
      </c>
      <c r="K19392" s="6" t="n">
        <f aca="false">Sens!J19392*(1+Sens!K19393)</f>
        <v>16.7167589769845</v>
      </c>
      <c r="L19392" s="12" t="s">
        <v>1038</v>
      </c>
    </row>
    <row r="19393" customFormat="false" ht="15" hidden="false" customHeight="false" outlineLevel="0" collapsed="false">
      <c r="A19393" s="1" t="s">
        <v>1028</v>
      </c>
      <c r="B19393" s="0" t="s">
        <v>168</v>
      </c>
      <c r="E19393" s="7" t="n">
        <f aca="false">Sens!E19392/Sens!D19392-1</f>
        <v>-0.0131677736066995</v>
      </c>
      <c r="F19393" s="7" t="n">
        <f aca="false">Sens!$E$19393+(glt_win-Sens!$E$19393)*MIN(1,(Sens!F19331-base_fy)/n_conv)</f>
        <v>-0.00763981133891627</v>
      </c>
      <c r="G19393" s="7" t="n">
        <f aca="false">Sens!$E$19393+(glt_win-Sens!$E$19393)*MIN(1,(Sens!G19331-base_fy)/n_conv)</f>
        <v>-0.00211184907113301</v>
      </c>
      <c r="H19393" s="7" t="n">
        <f aca="false">Sens!$E$19393+(glt_win-Sens!$E$19393)*MIN(1,(Sens!H19331-base_fy)/n_conv)</f>
        <v>0.00341611319665024</v>
      </c>
      <c r="I19393" s="7" t="n">
        <f aca="false">Sens!$E$19393+(glt_win-Sens!$E$19393)*MIN(1,(Sens!I19331-base_fy)/n_conv)</f>
        <v>0.00894407546443349</v>
      </c>
      <c r="J19393" s="7" t="n">
        <f aca="false">Sens!$E$19393+(glt_win-Sens!$E$19393)*MIN(1,(Sens!J19331-base_fy)/n_conv)</f>
        <v>0.0144720377322168</v>
      </c>
      <c r="K19393" s="7" t="n">
        <f aca="false">Sens!$E$19393+(glt_win-Sens!$E$19393)*MIN(1,(Sens!K19331-base_fy)/n_conv)</f>
        <v>0.02</v>
      </c>
    </row>
    <row r="19394" customFormat="false" ht="15" hidden="false" customHeight="false" outlineLevel="0" collapsed="false">
      <c r="A19394" s="0" t="s">
        <v>870</v>
      </c>
      <c r="B19394" s="0" t="s">
        <v>98</v>
      </c>
      <c r="D19394" s="6" t="n">
        <f aca="false">Sens!D19388+Sens!D19390+Sens!D19392</f>
        <v>62.941</v>
      </c>
      <c r="E19394" s="6" t="n">
        <f aca="false">Sens!E19388+Sens!E19390+Sens!E19392</f>
        <v>63.712</v>
      </c>
      <c r="F19394" s="6" t="n">
        <f aca="false">Sens!F19388+Sens!F19390+Sens!F19392</f>
        <v>64.3025149952511</v>
      </c>
      <c r="G19394" s="6" t="n">
        <f aca="false">Sens!G19388+Sens!G19390+Sens!G19392</f>
        <v>66.2756719305292</v>
      </c>
      <c r="H19394" s="6" t="n">
        <f aca="false">Sens!H19388+Sens!H19390+Sens!H19392</f>
        <v>68.7139736271804</v>
      </c>
      <c r="I19394" s="6" t="n">
        <f aca="false">Sens!I19388+Sens!I19390+Sens!I19392</f>
        <v>71.5446393194289</v>
      </c>
      <c r="J19394" s="6" t="n">
        <f aca="false">Sens!J19388+Sens!J19390+Sens!J19392</f>
        <v>74.707035000971</v>
      </c>
      <c r="K19394" s="6" t="n">
        <f aca="false">Sens!K19388+Sens!K19390+Sens!K19392</f>
        <v>78.1524145698365</v>
      </c>
    </row>
    <row r="19395" customFormat="false" ht="15" hidden="false" customHeight="false" outlineLevel="0" collapsed="false">
      <c r="A19395" s="1" t="s">
        <v>1044</v>
      </c>
      <c r="B19395" s="0" t="s">
        <v>98</v>
      </c>
      <c r="D19395" s="6" t="n">
        <f aca="false">Sens!D19387+Sens!D19394</f>
        <v>281.724</v>
      </c>
      <c r="E19395" s="6" t="n">
        <f aca="false">Sens!E19387+Sens!E19394</f>
        <v>331.839</v>
      </c>
      <c r="F19395" s="6" t="n">
        <f aca="false">Sens!F19387+Sens!F19394</f>
        <v>394.782008190748</v>
      </c>
      <c r="G19395" s="6" t="n">
        <f aca="false">Sens!G19387+Sens!G19394</f>
        <v>459.30466825964</v>
      </c>
      <c r="H19395" s="6" t="n">
        <f aca="false">Sens!H19387+Sens!H19394</f>
        <v>519.664777363366</v>
      </c>
      <c r="I19395" s="6" t="n">
        <f aca="false">Sens!I19387+Sens!I19394</f>
        <v>582.866293024846</v>
      </c>
      <c r="J19395" s="6" t="n">
        <f aca="false">Sens!J19387+Sens!J19394</f>
        <v>636.065403177761</v>
      </c>
      <c r="K19395" s="6" t="n">
        <f aca="false">Sens!K19387+Sens!K19394</f>
        <v>679.800967072245</v>
      </c>
    </row>
    <row r="19396" customFormat="false" ht="15" hidden="false" customHeight="false" outlineLevel="0" collapsed="false">
      <c r="A19396" s="26" t="s">
        <v>1045</v>
      </c>
      <c r="B19396" s="31" t="s">
        <v>98</v>
      </c>
      <c r="C19396" s="31"/>
      <c r="D19396" s="27" t="n">
        <f aca="false">(Sens!D19375+Sens!D19380+Sens!D19381+Sens!D19383+Sens!D19385-Sens!D19387)+(Sens!D19388+Sens!D19390+Sens!D19392-Sens!D19394)+(Sens!D19387-Q!L5)+(Sens!D19394-Q!L12)+(Sens!D19375-Q!L6)+(Sens!D19380-Q!L7)</f>
        <v>0</v>
      </c>
      <c r="E19396" s="27" t="n">
        <f aca="false">(Sens!E19375+Sens!E19380+Sens!E19381+Sens!E19383+Sens!E19385-Sens!E19387)+(Sens!E19388+Sens!E19390+Sens!E19392-Sens!E19394)+(Sens!E19387-Q!M5)+(Sens!E19394-Q!M12)+(Sens!E19375-Q!M6)+(Sens!E19380-Q!M7)</f>
        <v>0</v>
      </c>
      <c r="F19396" s="27" t="n">
        <f aca="false">(Sens!F19375+Sens!F19380+Sens!F19381+Sens!F19383+Sens!F19385-Sens!F19387)+(Sens!F19388+Sens!F19390+Sens!F19392-Sens!F19394)</f>
        <v>0</v>
      </c>
      <c r="G19396" s="27" t="n">
        <f aca="false">(Sens!G19375+Sens!G19380+Sens!G19381+Sens!G19383+Sens!G19385-Sens!G19387)+(Sens!G19388+Sens!G19390+Sens!G19392-Sens!G19394)</f>
        <v>0</v>
      </c>
      <c r="H19396" s="27" t="n">
        <f aca="false">(Sens!H19375+Sens!H19380+Sens!H19381+Sens!H19383+Sens!H19385-Sens!H19387)+(Sens!H19388+Sens!H19390+Sens!H19392-Sens!H19394)</f>
        <v>0</v>
      </c>
      <c r="I19396" s="27" t="n">
        <f aca="false">(Sens!I19375+Sens!I19380+Sens!I19381+Sens!I19383+Sens!I19385-Sens!I19387)+(Sens!I19388+Sens!I19390+Sens!I19392-Sens!I19394)</f>
        <v>0</v>
      </c>
      <c r="J19396" s="27" t="n">
        <f aca="false">(Sens!J19375+Sens!J19380+Sens!J19381+Sens!J19383+Sens!J19385-Sens!J19387)+(Sens!J19388+Sens!J19390+Sens!J19392-Sens!J19394)</f>
        <v>0</v>
      </c>
      <c r="K19396" s="27" t="n">
        <f aca="false">(Sens!K19375+Sens!K19380+Sens!K19381+Sens!K19383+Sens!K19385-Sens!K19387)+(Sens!K19388+Sens!K19390+Sens!K19392-Sens!K19394)</f>
        <v>0</v>
      </c>
    </row>
    <row r="19397" customFormat="false" ht="17.15" hidden="false" customHeight="false" outlineLevel="0" collapsed="false">
      <c r="A19397" s="3" t="s">
        <v>2091</v>
      </c>
    </row>
    <row r="19398" customFormat="false" ht="15" hidden="false" customHeight="false" outlineLevel="0" collapsed="false">
      <c r="A19398" s="4" t="s">
        <v>43</v>
      </c>
      <c r="B19398" s="4" t="s">
        <v>65</v>
      </c>
      <c r="C19398" s="23" t="s">
        <v>942</v>
      </c>
      <c r="D19398" s="23" t="s">
        <v>943</v>
      </c>
      <c r="E19398" s="23" t="s">
        <v>944</v>
      </c>
      <c r="F19398" s="23" t="s">
        <v>945</v>
      </c>
      <c r="G19398" s="23" t="s">
        <v>946</v>
      </c>
      <c r="H19398" s="23" t="s">
        <v>947</v>
      </c>
      <c r="I19398" s="23" t="s">
        <v>948</v>
      </c>
      <c r="J19398" s="23" t="s">
        <v>949</v>
      </c>
      <c r="K19398" s="23" t="s">
        <v>950</v>
      </c>
      <c r="L19398" s="4" t="s">
        <v>47</v>
      </c>
    </row>
    <row r="19399" customFormat="false" ht="15" hidden="false" customHeight="false" outlineLevel="0" collapsed="false">
      <c r="A19399" s="0" t="s">
        <v>1029</v>
      </c>
      <c r="B19399" s="0" t="s">
        <v>98</v>
      </c>
      <c r="D19399" s="6" t="n">
        <f aca="false">Sens!D19375</f>
        <v>72.61</v>
      </c>
      <c r="E19399" s="6" t="n">
        <f aca="false">Sens!E19375</f>
        <v>101.938</v>
      </c>
      <c r="F19399" s="6" t="n">
        <f aca="false">Sens!F19375</f>
        <v>143.586094689312</v>
      </c>
      <c r="G19399" s="6" t="n">
        <f aca="false">Sens!G19375</f>
        <v>186.694757342701</v>
      </c>
      <c r="H19399" s="6" t="n">
        <f aca="false">Sens!H19375</f>
        <v>225.149324701994</v>
      </c>
      <c r="I19399" s="6" t="n">
        <f aca="false">Sens!I19375</f>
        <v>267.073016402846</v>
      </c>
      <c r="J19399" s="6" t="n">
        <f aca="false">Sens!J19375</f>
        <v>300.002660482404</v>
      </c>
      <c r="K19399" s="6" t="n">
        <f aca="false">Sens!K19375</f>
        <v>324.108882134739</v>
      </c>
    </row>
    <row r="19400" customFormat="false" ht="17.15" hidden="false" customHeight="false" outlineLevel="0" collapsed="false">
      <c r="A19400" s="0" t="s">
        <v>1025</v>
      </c>
      <c r="B19400" s="0" t="s">
        <v>98</v>
      </c>
      <c r="D19400" s="6" t="n">
        <f aca="false">Sens!D19372</f>
        <v>12.9359794422418</v>
      </c>
      <c r="E19400" s="6" t="n">
        <f aca="false">Sens!E19372</f>
        <v>27.8095064661409</v>
      </c>
      <c r="F19400" s="6" t="n">
        <f aca="false">Sens!F19372</f>
        <v>51.4101771002424</v>
      </c>
      <c r="G19400" s="6" t="n">
        <f aca="false">Sens!G19372</f>
        <v>77.1760094971315</v>
      </c>
      <c r="H19400" s="6" t="n">
        <f aca="false">Sens!H19372</f>
        <v>97.9857987581921</v>
      </c>
      <c r="I19400" s="6" t="n">
        <f aca="false">Sens!I19372</f>
        <v>122.860088063659</v>
      </c>
      <c r="J19400" s="6" t="n">
        <f aca="false">Sens!J19372</f>
        <v>140.353567672794</v>
      </c>
      <c r="K19400" s="6" t="n">
        <f aca="false">Sens!K19372</f>
        <v>151.687861900359</v>
      </c>
    </row>
    <row r="19401" customFormat="false" ht="17.15" hidden="false" customHeight="false" outlineLevel="0" collapsed="false">
      <c r="A19401" s="0" t="s">
        <v>1056</v>
      </c>
      <c r="B19401" s="0" t="s">
        <v>98</v>
      </c>
      <c r="D19401" s="6" t="n">
        <f aca="false">Sens!D19373</f>
        <v>59.6740205577583</v>
      </c>
      <c r="E19401" s="6" t="n">
        <f aca="false">Sens!E19373</f>
        <v>74.1284935338591</v>
      </c>
      <c r="F19401" s="6" t="n">
        <f aca="false">Sens!F19373</f>
        <v>92.1759175890699</v>
      </c>
      <c r="G19401" s="6" t="n">
        <f aca="false">Sens!G19373</f>
        <v>109.51874784557</v>
      </c>
      <c r="H19401" s="6" t="n">
        <f aca="false">Sens!H19373</f>
        <v>127.163525943801</v>
      </c>
      <c r="I19401" s="6" t="n">
        <f aca="false">Sens!I19373</f>
        <v>144.212928339187</v>
      </c>
      <c r="J19401" s="6" t="n">
        <f aca="false">Sens!J19373</f>
        <v>159.649092809611</v>
      </c>
      <c r="K19401" s="6" t="n">
        <f aca="false">Sens!K19373</f>
        <v>172.42102023438</v>
      </c>
    </row>
    <row r="19402" customFormat="false" ht="15" hidden="false" customHeight="false" outlineLevel="0" collapsed="false">
      <c r="A19402" s="0" t="s">
        <v>1036</v>
      </c>
      <c r="B19402" s="0" t="s">
        <v>98</v>
      </c>
      <c r="D19402" s="6" t="n">
        <f aca="false">Sens!D19380</f>
        <v>84.605</v>
      </c>
      <c r="E19402" s="6" t="n">
        <f aca="false">Sens!E19380</f>
        <v>100.299</v>
      </c>
      <c r="F19402" s="6" t="n">
        <f aca="false">Sens!F19380</f>
        <v>117.438354189776</v>
      </c>
      <c r="G19402" s="6" t="n">
        <f aca="false">Sens!G19380</f>
        <v>132.595360443801</v>
      </c>
      <c r="H19402" s="6" t="n">
        <f aca="false">Sens!H19380</f>
        <v>147.833811964563</v>
      </c>
      <c r="I19402" s="6" t="n">
        <f aca="false">Sens!I19380</f>
        <v>162.145665319381</v>
      </c>
      <c r="J19402" s="6" t="n">
        <f aca="false">Sens!J19380</f>
        <v>175.249327755573</v>
      </c>
      <c r="K19402" s="6" t="n">
        <f aca="false">Sens!K19380</f>
        <v>187.599280698463</v>
      </c>
    </row>
    <row r="19403" customFormat="false" ht="17.15" hidden="false" customHeight="false" outlineLevel="0" collapsed="false">
      <c r="A19403" s="0" t="s">
        <v>1057</v>
      </c>
      <c r="B19403" s="0" t="s">
        <v>98</v>
      </c>
      <c r="D19403" s="6" t="n">
        <f aca="false">Sens!D19378</f>
        <v>83.705</v>
      </c>
      <c r="E19403" s="6" t="n">
        <f aca="false">Sens!E19378</f>
        <v>95.049</v>
      </c>
      <c r="F19403" s="6" t="n">
        <f aca="false">Sens!F19378</f>
        <v>106.938354189776</v>
      </c>
      <c r="G19403" s="6" t="n">
        <f aca="false">Sens!G19378</f>
        <v>119.095360443801</v>
      </c>
      <c r="H19403" s="6" t="n">
        <f aca="false">Sens!H19378</f>
        <v>131.333811964563</v>
      </c>
      <c r="I19403" s="6" t="n">
        <f aca="false">Sens!I19378</f>
        <v>143.395665319381</v>
      </c>
      <c r="J19403" s="6" t="n">
        <f aca="false">Sens!J19378</f>
        <v>154.999327755573</v>
      </c>
      <c r="K19403" s="6" t="n">
        <f aca="false">Sens!K19378</f>
        <v>165.849280698463</v>
      </c>
    </row>
    <row r="19404" customFormat="false" ht="17.15" hidden="false" customHeight="false" outlineLevel="0" collapsed="false">
      <c r="A19404" s="0" t="s">
        <v>1058</v>
      </c>
      <c r="B19404" s="0" t="s">
        <v>98</v>
      </c>
      <c r="D19404" s="6" t="n">
        <f aca="false">Sens!D19377</f>
        <v>0.9</v>
      </c>
      <c r="E19404" s="6" t="n">
        <f aca="false">Sens!E19377</f>
        <v>5.25</v>
      </c>
      <c r="F19404" s="6" t="n">
        <f aca="false">Sens!F19377</f>
        <v>10.5</v>
      </c>
      <c r="G19404" s="6" t="n">
        <f aca="false">Sens!G19377</f>
        <v>13.5</v>
      </c>
      <c r="H19404" s="6" t="n">
        <f aca="false">Sens!H19377</f>
        <v>16.5</v>
      </c>
      <c r="I19404" s="6" t="n">
        <f aca="false">Sens!I19377</f>
        <v>18.75</v>
      </c>
      <c r="J19404" s="6" t="n">
        <f aca="false">Sens!J19377</f>
        <v>20.25</v>
      </c>
      <c r="K19404" s="6" t="n">
        <f aca="false">Sens!K19377</f>
        <v>21.75</v>
      </c>
    </row>
    <row r="19405" customFormat="false" ht="15" hidden="false" customHeight="false" outlineLevel="0" collapsed="false">
      <c r="A19405" s="0" t="s">
        <v>1037</v>
      </c>
      <c r="B19405" s="0" t="s">
        <v>98</v>
      </c>
      <c r="D19405" s="6" t="n">
        <f aca="false">Sens!D19381</f>
        <v>35.391</v>
      </c>
      <c r="E19405" s="6" t="n">
        <f aca="false">Sens!E19381</f>
        <v>37.285</v>
      </c>
      <c r="F19405" s="6" t="n">
        <f aca="false">Sens!F19381</f>
        <v>38.3851437782675</v>
      </c>
      <c r="G19405" s="6" t="n">
        <f aca="false">Sens!G19381</f>
        <v>40.0105353288615</v>
      </c>
      <c r="H19405" s="6" t="n">
        <f aca="false">Sens!H19381</f>
        <v>41.4812512033683</v>
      </c>
      <c r="I19405" s="6" t="n">
        <f aca="false">Sens!I19381</f>
        <v>42.7743107216329</v>
      </c>
      <c r="J19405" s="6" t="n">
        <f aca="false">Sens!J19381</f>
        <v>43.8687373064601</v>
      </c>
      <c r="K19405" s="6" t="n">
        <f aca="false">Sens!K19381</f>
        <v>44.7461120525893</v>
      </c>
    </row>
    <row r="19406" customFormat="false" ht="15" hidden="false" customHeight="false" outlineLevel="0" collapsed="false">
      <c r="A19406" s="0" t="s">
        <v>1039</v>
      </c>
      <c r="B19406" s="0" t="s">
        <v>98</v>
      </c>
      <c r="D19406" s="6" t="n">
        <f aca="false">Sens!D19383</f>
        <v>18.417</v>
      </c>
      <c r="E19406" s="6" t="n">
        <f aca="false">Sens!E19383</f>
        <v>20.345</v>
      </c>
      <c r="F19406" s="6" t="n">
        <f aca="false">Sens!F19383</f>
        <v>22.3161797133988</v>
      </c>
      <c r="G19406" s="6" t="n">
        <f aca="false">Sens!G19383</f>
        <v>24.3943499673233</v>
      </c>
      <c r="H19406" s="6" t="n">
        <f aca="false">Sens!H19383</f>
        <v>26.5250243109019</v>
      </c>
      <c r="I19406" s="6" t="n">
        <f aca="false">Sens!I19383</f>
        <v>28.6884573538181</v>
      </c>
      <c r="J19406" s="6" t="n">
        <f aca="false">Sens!J19383</f>
        <v>30.8624968052127</v>
      </c>
      <c r="K19406" s="6" t="n">
        <f aca="false">Sens!K19383</f>
        <v>33.0228715815776</v>
      </c>
    </row>
    <row r="19407" customFormat="false" ht="15" hidden="false" customHeight="false" outlineLevel="0" collapsed="false">
      <c r="A19407" s="0" t="s">
        <v>1040</v>
      </c>
      <c r="B19407" s="0" t="s">
        <v>98</v>
      </c>
      <c r="D19407" s="6" t="n">
        <f aca="false">Sens!D19385</f>
        <v>7.76</v>
      </c>
      <c r="E19407" s="6" t="n">
        <f aca="false">Sens!E19385</f>
        <v>8.26</v>
      </c>
      <c r="F19407" s="6" t="n">
        <f aca="false">Sens!F19385</f>
        <v>8.75372082474227</v>
      </c>
      <c r="G19407" s="6" t="n">
        <f aca="false">Sens!G19385</f>
        <v>9.33399324642364</v>
      </c>
      <c r="H19407" s="6" t="n">
        <f aca="false">Sens!H19385</f>
        <v>9.96139155535851</v>
      </c>
      <c r="I19407" s="6" t="n">
        <f aca="false">Sens!I19385</f>
        <v>10.6402039077391</v>
      </c>
      <c r="J19407" s="6" t="n">
        <f aca="false">Sens!J19385</f>
        <v>11.3751458271397</v>
      </c>
      <c r="K19407" s="6" t="n">
        <f aca="false">Sens!K19385</f>
        <v>12.1714060350394</v>
      </c>
    </row>
    <row r="19408" customFormat="false" ht="15" hidden="false" customHeight="false" outlineLevel="0" collapsed="false">
      <c r="A19408" s="0" t="s">
        <v>856</v>
      </c>
      <c r="B19408" s="0" t="s">
        <v>98</v>
      </c>
      <c r="D19408" s="6" t="n">
        <f aca="false">Sens!D19387</f>
        <v>218.783</v>
      </c>
      <c r="E19408" s="6" t="n">
        <f aca="false">Sens!E19387</f>
        <v>268.127</v>
      </c>
      <c r="F19408" s="6" t="n">
        <f aca="false">Sens!F19387</f>
        <v>330.479493195497</v>
      </c>
      <c r="G19408" s="6" t="n">
        <f aca="false">Sens!G19387</f>
        <v>393.02899632911</v>
      </c>
      <c r="H19408" s="6" t="n">
        <f aca="false">Sens!H19387</f>
        <v>450.950803736185</v>
      </c>
      <c r="I19408" s="6" t="n">
        <f aca="false">Sens!I19387</f>
        <v>511.321653705417</v>
      </c>
      <c r="J19408" s="6" t="n">
        <f aca="false">Sens!J19387</f>
        <v>561.35836817679</v>
      </c>
      <c r="K19408" s="6" t="n">
        <f aca="false">Sens!K19387</f>
        <v>601.648552502408</v>
      </c>
    </row>
    <row r="19409" customFormat="false" ht="15" hidden="false" customHeight="false" outlineLevel="0" collapsed="false">
      <c r="A19409" s="0" t="s">
        <v>1041</v>
      </c>
      <c r="B19409" s="0" t="s">
        <v>98</v>
      </c>
      <c r="D19409" s="6" t="n">
        <f aca="false">Sens!D19388</f>
        <v>22.171</v>
      </c>
      <c r="E19409" s="6" t="n">
        <f aca="false">Sens!E19388</f>
        <v>24.835</v>
      </c>
      <c r="F19409" s="6" t="n">
        <f aca="false">Sens!F19388</f>
        <v>27.5591895660247</v>
      </c>
      <c r="G19409" s="6" t="n">
        <f aca="false">Sens!G19388</f>
        <v>30.4098563144583</v>
      </c>
      <c r="H19409" s="6" t="n">
        <f aca="false">Sens!H19388</f>
        <v>33.3011792571777</v>
      </c>
      <c r="I19409" s="6" t="n">
        <f aca="false">Sens!I19388</f>
        <v>36.189023797112</v>
      </c>
      <c r="J19409" s="6" t="n">
        <f aca="false">Sens!J19388</f>
        <v>39.0247773769199</v>
      </c>
      <c r="K19409" s="6" t="n">
        <f aca="false">Sens!K19388</f>
        <v>41.7565117933043</v>
      </c>
    </row>
    <row r="19410" customFormat="false" ht="15" hidden="false" customHeight="false" outlineLevel="0" collapsed="false">
      <c r="A19410" s="0" t="s">
        <v>1042</v>
      </c>
      <c r="B19410" s="0" t="s">
        <v>98</v>
      </c>
      <c r="D19410" s="6" t="n">
        <f aca="false">Sens!D19390</f>
        <v>23.455</v>
      </c>
      <c r="E19410" s="6" t="n">
        <f aca="false">Sens!E19390</f>
        <v>21.79</v>
      </c>
      <c r="F19410" s="6" t="n">
        <f aca="false">Sens!F19390</f>
        <v>20.7520981041711</v>
      </c>
      <c r="G19410" s="6" t="n">
        <f aca="false">Sens!G19390</f>
        <v>19.9083593495882</v>
      </c>
      <c r="H19410" s="6" t="n">
        <f aca="false">Sens!H19390</f>
        <v>19.4008256265831</v>
      </c>
      <c r="I19410" s="6" t="n">
        <f aca="false">Sens!I19390</f>
        <v>19.200434522122</v>
      </c>
      <c r="J19410" s="6" t="n">
        <f aca="false">Sens!J19390</f>
        <v>19.2932782348507</v>
      </c>
      <c r="K19410" s="6" t="n">
        <f aca="false">Sens!K19390</f>
        <v>19.6791437995477</v>
      </c>
    </row>
    <row r="19411" customFormat="false" ht="15" hidden="false" customHeight="false" outlineLevel="0" collapsed="false">
      <c r="A19411" s="0" t="s">
        <v>1043</v>
      </c>
      <c r="B19411" s="0" t="s">
        <v>98</v>
      </c>
      <c r="D19411" s="6" t="n">
        <f aca="false">Sens!D19392</f>
        <v>17.315</v>
      </c>
      <c r="E19411" s="6" t="n">
        <f aca="false">Sens!E19392</f>
        <v>17.087</v>
      </c>
      <c r="F19411" s="6" t="n">
        <f aca="false">Sens!F19392</f>
        <v>15.9912273250553</v>
      </c>
      <c r="G19411" s="6" t="n">
        <f aca="false">Sens!G19392</f>
        <v>15.9574562664827</v>
      </c>
      <c r="H19411" s="6" t="n">
        <f aca="false">Sens!H19392</f>
        <v>16.0119687434196</v>
      </c>
      <c r="I19411" s="6" t="n">
        <f aca="false">Sens!I19392</f>
        <v>16.1551810001948</v>
      </c>
      <c r="J19411" s="6" t="n">
        <f aca="false">Sens!J19392</f>
        <v>16.3889793892005</v>
      </c>
      <c r="K19411" s="6" t="n">
        <f aca="false">Sens!K19392</f>
        <v>16.7167589769845</v>
      </c>
    </row>
    <row r="19412" customFormat="false" ht="15" hidden="false" customHeight="false" outlineLevel="0" collapsed="false">
      <c r="A19412" s="0" t="s">
        <v>870</v>
      </c>
      <c r="B19412" s="0" t="s">
        <v>98</v>
      </c>
      <c r="D19412" s="6" t="n">
        <f aca="false">Sens!D19394</f>
        <v>62.941</v>
      </c>
      <c r="E19412" s="6" t="n">
        <f aca="false">Sens!E19394</f>
        <v>63.712</v>
      </c>
      <c r="F19412" s="6" t="n">
        <f aca="false">Sens!F19394</f>
        <v>64.3025149952511</v>
      </c>
      <c r="G19412" s="6" t="n">
        <f aca="false">Sens!G19394</f>
        <v>66.2756719305292</v>
      </c>
      <c r="H19412" s="6" t="n">
        <f aca="false">Sens!H19394</f>
        <v>68.7139736271804</v>
      </c>
      <c r="I19412" s="6" t="n">
        <f aca="false">Sens!I19394</f>
        <v>71.5446393194289</v>
      </c>
      <c r="J19412" s="6" t="n">
        <f aca="false">Sens!J19394</f>
        <v>74.707035000971</v>
      </c>
      <c r="K19412" s="6" t="n">
        <f aca="false">Sens!K19394</f>
        <v>78.1524145698365</v>
      </c>
    </row>
    <row r="19413" customFormat="false" ht="15" hidden="false" customHeight="false" outlineLevel="0" collapsed="false">
      <c r="A19413" s="1" t="s">
        <v>1059</v>
      </c>
      <c r="B19413" s="0" t="s">
        <v>98</v>
      </c>
      <c r="D19413" s="6" t="n">
        <f aca="false">Sens!D19395</f>
        <v>281.724</v>
      </c>
      <c r="E19413" s="6" t="n">
        <f aca="false">Sens!E19395</f>
        <v>331.839</v>
      </c>
      <c r="F19413" s="6" t="n">
        <f aca="false">Sens!F19395</f>
        <v>394.782008190748</v>
      </c>
      <c r="G19413" s="6" t="n">
        <f aca="false">Sens!G19395</f>
        <v>459.30466825964</v>
      </c>
      <c r="H19413" s="6" t="n">
        <f aca="false">Sens!H19395</f>
        <v>519.664777363366</v>
      </c>
      <c r="I19413" s="6" t="n">
        <f aca="false">Sens!I19395</f>
        <v>582.866293024846</v>
      </c>
      <c r="J19413" s="6" t="n">
        <f aca="false">Sens!J19395</f>
        <v>636.065403177761</v>
      </c>
      <c r="K19413" s="6" t="n">
        <f aca="false">Sens!K19395</f>
        <v>679.800967072245</v>
      </c>
    </row>
    <row r="19414" customFormat="false" ht="15" hidden="false" customHeight="false" outlineLevel="0" collapsed="false">
      <c r="A19414" s="1" t="s">
        <v>1060</v>
      </c>
      <c r="B19414" s="0" t="s">
        <v>168</v>
      </c>
      <c r="E19414" s="7" t="n">
        <f aca="false">Sens!E19413/Sens!D19413-1</f>
        <v>0.177886867998467</v>
      </c>
      <c r="F19414" s="7" t="n">
        <f aca="false">Sens!F19413/Sens!E19413-1</f>
        <v>0.189679357130258</v>
      </c>
      <c r="G19414" s="7" t="n">
        <f aca="false">Sens!G19413/Sens!F19413-1</f>
        <v>0.163438704728703</v>
      </c>
      <c r="H19414" s="7" t="n">
        <f aca="false">Sens!H19413/Sens!G19413-1</f>
        <v>0.131416276112407</v>
      </c>
      <c r="I19414" s="7" t="n">
        <f aca="false">Sens!I19413/Sens!H19413-1</f>
        <v>0.121619779547398</v>
      </c>
      <c r="J19414" s="7" t="n">
        <f aca="false">Sens!J19413/Sens!I19413-1</f>
        <v>0.0912715502501142</v>
      </c>
      <c r="K19414" s="7" t="n">
        <f aca="false">Sens!K19413/Sens!J19413-1</f>
        <v>0.068759538997063</v>
      </c>
    </row>
    <row r="19415" customFormat="false" ht="17.15" hidden="false" customHeight="false" outlineLevel="0" collapsed="false">
      <c r="A19415" s="26" t="s">
        <v>1061</v>
      </c>
      <c r="B19415" s="31" t="s">
        <v>98</v>
      </c>
      <c r="C19415" s="31"/>
      <c r="D19415" s="27" t="n">
        <f aca="false">(Sens!D19408+Sens!D19412-Sens!D19413)+(Sens!D19400+Sens!D19401-Sens!D19399)+(Sens!D19403+Sens!D19404-Sens!D19402)+(Sens!D19413-Q!L18)</f>
        <v>0</v>
      </c>
      <c r="E19415" s="27" t="n">
        <f aca="false">(Sens!E19408+Sens!E19412-Sens!E19413)+(Sens!E19400+Sens!E19401-Sens!E19399)+(Sens!E19403+Sens!E19404-Sens!E19402)+(Sens!E19413-Q!M18)</f>
        <v>0</v>
      </c>
      <c r="F19415" s="27" t="n">
        <f aca="false">(Sens!F19408+Sens!F19412-Sens!F19413)+(Sens!F19400+Sens!F19401-Sens!F19399)+(Sens!F19403+Sens!F19404-Sens!F19402)</f>
        <v>0</v>
      </c>
      <c r="G19415" s="27" t="n">
        <f aca="false">(Sens!G19408+Sens!G19412-Sens!G19413)+(Sens!G19400+Sens!G19401-Sens!G19399)+(Sens!G19403+Sens!G19404-Sens!G19402)</f>
        <v>0</v>
      </c>
      <c r="H19415" s="27" t="n">
        <f aca="false">(Sens!H19408+Sens!H19412-Sens!H19413)+(Sens!H19400+Sens!H19401-Sens!H19399)+(Sens!H19403+Sens!H19404-Sens!H19402)</f>
        <v>0</v>
      </c>
      <c r="I19415" s="27" t="n">
        <f aca="false">(Sens!I19408+Sens!I19412-Sens!I19413)+(Sens!I19400+Sens!I19401-Sens!I19399)+(Sens!I19403+Sens!I19404-Sens!I19402)</f>
        <v>0</v>
      </c>
      <c r="J19415" s="27" t="n">
        <f aca="false">(Sens!J19408+Sens!J19412-Sens!J19413)+(Sens!J19400+Sens!J19401-Sens!J19399)+(Sens!J19403+Sens!J19404-Sens!J19402)</f>
        <v>0</v>
      </c>
      <c r="K19415" s="27" t="n">
        <f aca="false">(Sens!K19408+Sens!K19412-Sens!K19413)+(Sens!K19400+Sens!K19401-Sens!K19399)+(Sens!K19403+Sens!K19404-Sens!K19402)</f>
        <v>0</v>
      </c>
    </row>
    <row r="19416" customFormat="false" ht="17.15" hidden="false" customHeight="false" outlineLevel="0" collapsed="false">
      <c r="A19416" s="0" t="s">
        <v>1062</v>
      </c>
      <c r="B19416" s="0" t="s">
        <v>168</v>
      </c>
      <c r="E19416" s="7" t="n">
        <f aca="false">(Q!M21+Sens!E19352+Sens!E19353+Sens!E19354+Sens!E19368-Sens!E19350)/(Q!M5-Sens!E19350)</f>
        <v>0.570957350878296</v>
      </c>
      <c r="F19416" s="7" t="n">
        <f aca="false">Sens!$E$19416+dm_seg</f>
        <v>0.570957350878296</v>
      </c>
      <c r="G19416" s="7" t="n">
        <f aca="false">Sens!$E$19416+dm_seg</f>
        <v>0.570957350878296</v>
      </c>
      <c r="H19416" s="7" t="n">
        <f aca="false">Sens!$E$19416+dm_seg</f>
        <v>0.570957350878296</v>
      </c>
      <c r="I19416" s="7" t="n">
        <f aca="false">Sens!$E$19416+dm_seg</f>
        <v>0.570957350878296</v>
      </c>
      <c r="J19416" s="7" t="n">
        <f aca="false">Sens!$E$19416+dm_seg</f>
        <v>0.570957350878296</v>
      </c>
      <c r="K19416" s="7" t="n">
        <f aca="false">Sens!$E$19416+dm_seg</f>
        <v>0.570957350878296</v>
      </c>
      <c r="L19416" s="12" t="s">
        <v>1063</v>
      </c>
    </row>
    <row r="19417" customFormat="false" ht="17.15" hidden="false" customHeight="false" outlineLevel="0" collapsed="false">
      <c r="A19417" s="0" t="s">
        <v>884</v>
      </c>
      <c r="B19417" s="0" t="s">
        <v>98</v>
      </c>
      <c r="D19417" s="6" t="n">
        <f aca="false">Q!L21</f>
        <v>110.814</v>
      </c>
      <c r="E19417" s="6" t="n">
        <f aca="false">Q!M21</f>
        <v>136.365</v>
      </c>
      <c r="F19417" s="6" t="n">
        <f aca="false">Q!$I$21+(Sens!F19416*(Sens!F19387-Sens!F19350)+Sens!F19350-(Sens!F19352+Sens!F19353+Sens!F19354)-Sens!F19368-Sens!F19451)*(Sens!F19387-Q!$I$5)/Sens!F19387</f>
        <v>158.549176409566</v>
      </c>
      <c r="G19417" s="6" t="n">
        <f aca="false">(Sens!G19416*(Sens!G19387-Sens!G19350)+Sens!G19350-(Sens!G19352+Sens!G19353+Sens!G19354)-Sens!G19368-Sens!G19451)</f>
        <v>162.121572950446</v>
      </c>
      <c r="H19417" s="6" t="n">
        <f aca="false">(Sens!H19416*(Sens!H19387-Sens!H19350)+Sens!H19350-(Sens!H19352+Sens!H19353+Sens!H19354)-Sens!H19368-Sens!H19451)</f>
        <v>163.894062551861</v>
      </c>
      <c r="I19417" s="6" t="n">
        <f aca="false">(Sens!I19416*(Sens!I19387-Sens!I19350)+Sens!I19350-(Sens!I19352+Sens!I19353+Sens!I19354)-Sens!I19368-Sens!I19451)</f>
        <v>173.553793175</v>
      </c>
      <c r="J19417" s="6" t="n">
        <f aca="false">(Sens!J19416*(Sens!J19387-Sens!J19350)+Sens!J19350-(Sens!J19352+Sens!J19353+Sens!J19354)-Sens!J19368-Sens!J19451)</f>
        <v>184.617626825616</v>
      </c>
      <c r="K19417" s="6" t="n">
        <f aca="false">(Sens!K19416*(Sens!K19387-Sens!K19350)+Sens!K19350-(Sens!K19352+Sens!K19353+Sens!K19354)-Sens!K19368-Sens!K19451)</f>
        <v>197.088878379917</v>
      </c>
      <c r="L19417" s="1" t="s">
        <v>1064</v>
      </c>
    </row>
    <row r="19418" customFormat="false" ht="17.15" hidden="false" customHeight="false" outlineLevel="0" collapsed="false">
      <c r="A19418" s="0" t="s">
        <v>1065</v>
      </c>
      <c r="B19418" s="0" t="s">
        <v>168</v>
      </c>
      <c r="E19418" s="7" t="n">
        <f aca="false">Q!M22/Q!M12</f>
        <v>0.296207935710698</v>
      </c>
      <c r="F19418" s="7" t="n">
        <f aca="false">Sens!$E$19418+dm_seg</f>
        <v>0.296207935710698</v>
      </c>
      <c r="G19418" s="7" t="n">
        <f aca="false">Sens!$E$19418+dm_seg</f>
        <v>0.296207935710698</v>
      </c>
      <c r="H19418" s="7" t="n">
        <f aca="false">Sens!$E$19418+dm_seg</f>
        <v>0.296207935710698</v>
      </c>
      <c r="I19418" s="7" t="n">
        <f aca="false">Sens!$E$19418+dm_seg</f>
        <v>0.296207935710698</v>
      </c>
      <c r="J19418" s="7" t="n">
        <f aca="false">Sens!$E$19418+dm_seg</f>
        <v>0.296207935710698</v>
      </c>
      <c r="K19418" s="7" t="n">
        <f aca="false">Sens!$E$19418+dm_seg</f>
        <v>0.296207935710698</v>
      </c>
      <c r="L19418" s="12" t="s">
        <v>1066</v>
      </c>
    </row>
    <row r="19419" customFormat="false" ht="17.15" hidden="false" customHeight="false" outlineLevel="0" collapsed="false">
      <c r="A19419" s="0" t="s">
        <v>886</v>
      </c>
      <c r="B19419" s="0" t="s">
        <v>98</v>
      </c>
      <c r="D19419" s="6" t="n">
        <f aca="false">Q!L22</f>
        <v>17.714</v>
      </c>
      <c r="E19419" s="6" t="n">
        <f aca="false">Q!M22</f>
        <v>18.872</v>
      </c>
      <c r="F19419" s="6" t="n">
        <f aca="false">Q!$I$22+(Sens!F19394-Q!$I$12)*Sens!F19418</f>
        <v>19.8174315512051</v>
      </c>
      <c r="G19419" s="6" t="n">
        <f aca="false">Sens!G19394*Sens!G19418</f>
        <v>19.6313799703815</v>
      </c>
      <c r="H19419" s="6" t="n">
        <f aca="false">Sens!H19394*Sens!H19418</f>
        <v>20.3536242825865</v>
      </c>
      <c r="I19419" s="6" t="n">
        <f aca="false">Sens!I19394*Sens!I19418</f>
        <v>21.1920899239745</v>
      </c>
      <c r="J19419" s="6" t="n">
        <f aca="false">Sens!J19394*Sens!J19418</f>
        <v>22.1288166207045</v>
      </c>
      <c r="K19419" s="6" t="n">
        <f aca="false">Sens!K19394*Sens!K19418</f>
        <v>23.1493653905379</v>
      </c>
      <c r="L19419" s="12" t="s">
        <v>1067</v>
      </c>
    </row>
    <row r="19420" customFormat="false" ht="15" hidden="false" customHeight="false" outlineLevel="0" collapsed="false">
      <c r="A19420" s="1" t="s">
        <v>1068</v>
      </c>
      <c r="B19420" s="0" t="s">
        <v>98</v>
      </c>
      <c r="D19420" s="6" t="n">
        <f aca="false">Sens!D19417+Sens!D19419</f>
        <v>128.528</v>
      </c>
      <c r="E19420" s="6" t="n">
        <f aca="false">Sens!E19417+Sens!E19419</f>
        <v>155.237</v>
      </c>
      <c r="F19420" s="6" t="n">
        <f aca="false">Sens!F19417+Sens!F19419</f>
        <v>178.366607960772</v>
      </c>
      <c r="G19420" s="6" t="n">
        <f aca="false">Sens!G19417+Sens!G19419</f>
        <v>181.752952920828</v>
      </c>
      <c r="H19420" s="6" t="n">
        <f aca="false">Sens!H19417+Sens!H19419</f>
        <v>184.247686834447</v>
      </c>
      <c r="I19420" s="6" t="n">
        <f aca="false">Sens!I19417+Sens!I19419</f>
        <v>194.745883098974</v>
      </c>
      <c r="J19420" s="6" t="n">
        <f aca="false">Sens!J19417+Sens!J19419</f>
        <v>206.74644344632</v>
      </c>
      <c r="K19420" s="6" t="n">
        <f aca="false">Sens!K19417+Sens!K19419</f>
        <v>220.238243770455</v>
      </c>
    </row>
    <row r="19421" customFormat="false" ht="15" hidden="false" customHeight="false" outlineLevel="0" collapsed="false">
      <c r="A19421" s="26" t="s">
        <v>1069</v>
      </c>
      <c r="B19421" s="31" t="s">
        <v>98</v>
      </c>
      <c r="C19421" s="31"/>
      <c r="D19421" s="27" t="n">
        <f aca="false">Sens!D19420-Q!L23</f>
        <v>0</v>
      </c>
      <c r="E19421" s="27" t="n">
        <f aca="false">Sens!E19420-Q!M23</f>
        <v>0</v>
      </c>
      <c r="F19421" s="31"/>
      <c r="G19421" s="31"/>
      <c r="H19421" s="31"/>
      <c r="I19421" s="31"/>
      <c r="J19421" s="31"/>
      <c r="K19421" s="31"/>
    </row>
    <row r="19422" customFormat="false" ht="15" hidden="false" customHeight="false" outlineLevel="0" collapsed="false">
      <c r="A19422" s="1" t="s">
        <v>1070</v>
      </c>
      <c r="B19422" s="0" t="s">
        <v>168</v>
      </c>
      <c r="D19422" s="7" t="n">
        <f aca="false">Sens!D19420/Sens!D19413</f>
        <v>0.456219562408598</v>
      </c>
      <c r="E19422" s="7" t="n">
        <f aca="false">Sens!E19420/Sens!E19413</f>
        <v>0.467808184089272</v>
      </c>
      <c r="F19422" s="7" t="n">
        <f aca="false">Sens!F19420/Sens!F19413</f>
        <v>0.451810377018473</v>
      </c>
      <c r="G19422" s="7" t="n">
        <f aca="false">Sens!G19420/Sens!G19413</f>
        <v>0.395713271562232</v>
      </c>
      <c r="H19422" s="7" t="n">
        <f aca="false">Sens!H19420/Sens!H19413</f>
        <v>0.354551039170422</v>
      </c>
      <c r="I19422" s="7" t="n">
        <f aca="false">Sens!I19420/Sens!I19413</f>
        <v>0.3341175933992</v>
      </c>
      <c r="J19422" s="7" t="n">
        <f aca="false">Sens!J19420/Sens!J19413</f>
        <v>0.325039598779343</v>
      </c>
      <c r="K19422" s="7" t="n">
        <f aca="false">Sens!K19420/Sens!K19413</f>
        <v>0.323974596151242</v>
      </c>
    </row>
    <row r="19423" customFormat="false" ht="17.15" hidden="false" customHeight="false" outlineLevel="0" collapsed="false">
      <c r="A19423" s="1" t="s">
        <v>1071</v>
      </c>
      <c r="B19423" s="0" t="s">
        <v>98</v>
      </c>
      <c r="F19423" s="6" t="n">
        <f aca="false">Sens!F19438</f>
        <v>10.587205355146</v>
      </c>
      <c r="G19423" s="6" t="n">
        <f aca="false">Sens!G19438</f>
        <v>27.8408156431036</v>
      </c>
      <c r="H19423" s="6" t="n">
        <f aca="false">Sens!H19438</f>
        <v>46.6639641525333</v>
      </c>
      <c r="I19423" s="6" t="n">
        <f aca="false">Sens!I19438</f>
        <v>63.5840737305167</v>
      </c>
      <c r="J19423" s="6" t="n">
        <f aca="false">Sens!J19438</f>
        <v>75.4878639080576</v>
      </c>
      <c r="K19423" s="6" t="n">
        <f aca="false">Sens!K19438</f>
        <v>82.651858563588</v>
      </c>
      <c r="L19423" s="1" t="s">
        <v>1072</v>
      </c>
    </row>
    <row r="19424" customFormat="false" ht="17.15" hidden="false" customHeight="false" outlineLevel="0" collapsed="false">
      <c r="A19424" s="1" t="s">
        <v>1073</v>
      </c>
      <c r="B19424" s="0" t="s">
        <v>98</v>
      </c>
      <c r="D19424" s="6" t="n">
        <f aca="false">Sens!D19420</f>
        <v>128.528</v>
      </c>
      <c r="E19424" s="6" t="n">
        <f aca="false">Sens!E19420</f>
        <v>155.237</v>
      </c>
      <c r="F19424" s="6" t="n">
        <f aca="false">Sens!F19420+Sens!F19423</f>
        <v>188.953813315918</v>
      </c>
      <c r="G19424" s="6" t="n">
        <f aca="false">Sens!G19420+Sens!G19423</f>
        <v>209.593768563931</v>
      </c>
      <c r="H19424" s="6" t="n">
        <f aca="false">Sens!H19420+Sens!H19423</f>
        <v>230.91165098698</v>
      </c>
      <c r="I19424" s="6" t="n">
        <f aca="false">Sens!I19420+Sens!I19423</f>
        <v>258.329956829491</v>
      </c>
      <c r="J19424" s="6" t="n">
        <f aca="false">Sens!J19420+Sens!J19423</f>
        <v>282.234307354378</v>
      </c>
      <c r="K19424" s="6" t="n">
        <f aca="false">Sens!K19420+Sens!K19423</f>
        <v>302.890102334043</v>
      </c>
    </row>
    <row r="19425" customFormat="false" ht="17.15" hidden="false" customHeight="false" outlineLevel="0" collapsed="false">
      <c r="A19425" s="1" t="s">
        <v>1074</v>
      </c>
      <c r="B19425" s="0" t="s">
        <v>98</v>
      </c>
      <c r="E19425" s="6" t="n">
        <f aca="false">Sens!E19368</f>
        <v>16.3054059770833</v>
      </c>
      <c r="F19425" s="6" t="n">
        <f aca="false">Sens!F19368</f>
        <v>34.641228276809</v>
      </c>
      <c r="G19425" s="6" t="n">
        <f aca="false">Sens!G19368</f>
        <v>60.9344867500193</v>
      </c>
      <c r="H19425" s="6" t="n">
        <f aca="false">Sens!H19368</f>
        <v>89.440318654396</v>
      </c>
      <c r="I19425" s="6" t="n">
        <f aca="false">Sens!I19368</f>
        <v>114.777494622816</v>
      </c>
      <c r="J19425" s="6" t="n">
        <f aca="false">Sens!J19368</f>
        <v>132.880875699293</v>
      </c>
      <c r="K19425" s="6" t="n">
        <f aca="false">Sens!K19368</f>
        <v>144.355521672042</v>
      </c>
    </row>
    <row r="19426" customFormat="false" ht="17.15" hidden="false" customHeight="false" outlineLevel="0" collapsed="false">
      <c r="A19426" s="1" t="s">
        <v>1075</v>
      </c>
      <c r="B19426" s="0" t="s">
        <v>98</v>
      </c>
      <c r="E19426" s="6" t="n">
        <f aca="false">Sens!E19450</f>
        <v>22.2285940229167</v>
      </c>
      <c r="F19426" s="6" t="n">
        <f aca="false">Sens!F19450</f>
        <v>23.5864597973673</v>
      </c>
      <c r="G19426" s="6" t="n">
        <f aca="false">Sens!G19450</f>
        <v>25.3436814630703</v>
      </c>
      <c r="H19426" s="6" t="n">
        <f aca="false">Sens!H19450</f>
        <v>27.4689643541904</v>
      </c>
      <c r="I19426" s="6" t="n">
        <f aca="false">Sens!I19450</f>
        <v>29.9055541034438</v>
      </c>
      <c r="J19426" s="6" t="n">
        <f aca="false">Sens!J19450</f>
        <v>32.5786445065096</v>
      </c>
      <c r="K19426" s="6" t="n">
        <f aca="false">Sens!K19450</f>
        <v>35.4038966823951</v>
      </c>
    </row>
    <row r="19427" customFormat="false" ht="17.15" hidden="false" customHeight="false" outlineLevel="0" collapsed="false">
      <c r="A19427" s="1" t="s">
        <v>1076</v>
      </c>
      <c r="B19427" s="0" t="s">
        <v>98</v>
      </c>
      <c r="D19427" s="6" t="n">
        <f aca="false">Q!L27</f>
        <v>-4.901</v>
      </c>
      <c r="E19427" s="6" t="n">
        <f aca="false">Q!M27</f>
        <v>10.697</v>
      </c>
      <c r="F19427" s="6" t="n">
        <f aca="false">Q!$I$27+oie_f*(q_per_yr-1)/q_per_yr</f>
        <v>-0.862</v>
      </c>
      <c r="G19427" s="6" t="n">
        <f aca="false">oie_f</f>
        <v>-1.2</v>
      </c>
      <c r="H19427" s="6" t="n">
        <f aca="false">oie_f</f>
        <v>-1.2</v>
      </c>
      <c r="I19427" s="6" t="n">
        <f aca="false">oie_f</f>
        <v>-1.2</v>
      </c>
      <c r="J19427" s="6" t="n">
        <f aca="false">oie_f</f>
        <v>-1.2</v>
      </c>
      <c r="K19427" s="6" t="n">
        <f aca="false">oie_f</f>
        <v>-1.2</v>
      </c>
      <c r="L19427" s="12" t="s">
        <v>1077</v>
      </c>
    </row>
    <row r="19428" customFormat="false" ht="15" hidden="false" customHeight="false" outlineLevel="0" collapsed="false">
      <c r="A19428" s="1" t="s">
        <v>1078</v>
      </c>
      <c r="B19428" s="0" t="s">
        <v>98</v>
      </c>
      <c r="D19428" s="6" t="n">
        <f aca="false">Sens!D19420+Sens!D19427</f>
        <v>123.627</v>
      </c>
      <c r="E19428" s="6" t="n">
        <f aca="false">Sens!E19420+Sens!E19427</f>
        <v>165.934</v>
      </c>
      <c r="F19428" s="6" t="n">
        <f aca="false">Sens!F19420+Sens!F19427</f>
        <v>177.504607960772</v>
      </c>
      <c r="G19428" s="6" t="n">
        <f aca="false">Sens!G19420+Sens!G19427</f>
        <v>180.552952920828</v>
      </c>
      <c r="H19428" s="6" t="n">
        <f aca="false">Sens!H19420+Sens!H19427</f>
        <v>183.047686834447</v>
      </c>
      <c r="I19428" s="6" t="n">
        <f aca="false">Sens!I19420+Sens!I19427</f>
        <v>193.545883098974</v>
      </c>
      <c r="J19428" s="6" t="n">
        <f aca="false">Sens!J19420+Sens!J19427</f>
        <v>205.54644344632</v>
      </c>
      <c r="K19428" s="6" t="n">
        <f aca="false">Sens!K19420+Sens!K19427</f>
        <v>219.038243770455</v>
      </c>
    </row>
    <row r="19429" customFormat="false" ht="15" hidden="false" customHeight="false" outlineLevel="0" collapsed="false">
      <c r="A19429" s="1" t="s">
        <v>1079</v>
      </c>
      <c r="B19429" s="0" t="s">
        <v>98</v>
      </c>
      <c r="D19429" s="6" t="n">
        <f aca="false">Q!L29</f>
        <v>21.795</v>
      </c>
      <c r="E19429" s="6" t="n">
        <f aca="false">Q!M29</f>
        <v>32.185</v>
      </c>
      <c r="F19429" s="6" t="n">
        <f aca="false">Q!$I$29+(Sens!F19428-Q!$I$28)*tax_f</f>
        <v>35.6343215921543</v>
      </c>
      <c r="G19429" s="6" t="n">
        <f aca="false">Sens!G19428*tax_f</f>
        <v>36.1105905841655</v>
      </c>
      <c r="H19429" s="6" t="n">
        <f aca="false">Sens!H19428*tax_f</f>
        <v>36.6095373668894</v>
      </c>
      <c r="I19429" s="6" t="n">
        <f aca="false">Sens!I19428*tax_f</f>
        <v>38.7091766197949</v>
      </c>
      <c r="J19429" s="6" t="n">
        <f aca="false">Sens!J19428*tax_f</f>
        <v>41.1092886892641</v>
      </c>
      <c r="K19429" s="6" t="n">
        <f aca="false">Sens!K19428*tax_f</f>
        <v>43.8076487540909</v>
      </c>
    </row>
    <row r="19430" customFormat="false" ht="15" hidden="false" customHeight="false" outlineLevel="0" collapsed="false">
      <c r="A19430" s="1" t="s">
        <v>1080</v>
      </c>
      <c r="B19430" s="0" t="s">
        <v>98</v>
      </c>
      <c r="D19430" s="6" t="n">
        <f aca="false">Sens!D19428-Sens!D19429</f>
        <v>101.832</v>
      </c>
      <c r="E19430" s="6" t="n">
        <f aca="false">Sens!E19428-Sens!E19429</f>
        <v>133.749</v>
      </c>
      <c r="F19430" s="6" t="n">
        <f aca="false">Sens!F19428-Sens!F19429</f>
        <v>141.870286368617</v>
      </c>
      <c r="G19430" s="6" t="n">
        <f aca="false">Sens!G19428-Sens!G19429</f>
        <v>144.442362336662</v>
      </c>
      <c r="H19430" s="6" t="n">
        <f aca="false">Sens!H19428-Sens!H19429</f>
        <v>146.438149467558</v>
      </c>
      <c r="I19430" s="6" t="n">
        <f aca="false">Sens!I19428-Sens!I19429</f>
        <v>154.83670647918</v>
      </c>
      <c r="J19430" s="6" t="n">
        <f aca="false">Sens!J19428-Sens!J19429</f>
        <v>164.437154757056</v>
      </c>
      <c r="K19430" s="6" t="n">
        <f aca="false">Sens!K19428-Sens!K19429</f>
        <v>175.230595016364</v>
      </c>
    </row>
    <row r="19431" customFormat="false" ht="17.15" hidden="false" customHeight="false" outlineLevel="0" collapsed="false">
      <c r="A19431" s="1" t="s">
        <v>1081</v>
      </c>
      <c r="B19431" s="1" t="s">
        <v>81</v>
      </c>
      <c r="D19431" s="15" t="n">
        <f aca="false">Q!L31</f>
        <v>7.465</v>
      </c>
      <c r="E19431" s="15" t="n">
        <f aca="false">Q!M31</f>
        <v>7.453</v>
      </c>
      <c r="F19431" s="15" t="n">
        <f aca="false">Sens!F19475</f>
        <v>7.4735</v>
      </c>
      <c r="G19431" s="15" t="n">
        <f aca="false">Sens!G19475</f>
        <v>7.5185</v>
      </c>
      <c r="H19431" s="15" t="n">
        <f aca="false">Sens!H19475</f>
        <v>7.5635</v>
      </c>
      <c r="I19431" s="15" t="n">
        <f aca="false">Sens!I19475</f>
        <v>7.59248142502667</v>
      </c>
      <c r="J19431" s="15" t="n">
        <f aca="false">Sens!J19475</f>
        <v>7.60663083618914</v>
      </c>
      <c r="K19431" s="15" t="n">
        <f aca="false">Sens!K19475</f>
        <v>7.62306547615439</v>
      </c>
    </row>
    <row r="19432" customFormat="false" ht="17.15" hidden="false" customHeight="false" outlineLevel="0" collapsed="false">
      <c r="A19432" s="0" t="s">
        <v>1082</v>
      </c>
      <c r="B19432" s="0" t="s">
        <v>75</v>
      </c>
      <c r="D19432" s="8" t="n">
        <f aca="false">Sens!D19430/Sens!D19431</f>
        <v>13.641259209645</v>
      </c>
      <c r="E19432" s="8" t="n">
        <f aca="false">Sens!E19430/Sens!E19431</f>
        <v>17.9456594659869</v>
      </c>
      <c r="F19432" s="8" t="n">
        <f aca="false">Sens!F19430/Sens!F19431</f>
        <v>18.9831118443323</v>
      </c>
      <c r="G19432" s="8" t="n">
        <f aca="false">Sens!G19430/Sens!G19431</f>
        <v>19.2115930487015</v>
      </c>
      <c r="H19432" s="8" t="n">
        <f aca="false">Sens!H19430/Sens!H19431</f>
        <v>19.3611620899792</v>
      </c>
      <c r="I19432" s="8" t="n">
        <f aca="false">Sens!I19430/Sens!I19431</f>
        <v>20.3934257868317</v>
      </c>
      <c r="J19432" s="8" t="n">
        <f aca="false">Sens!J19430/Sens!J19431</f>
        <v>21.6176068351751</v>
      </c>
      <c r="K19432" s="8" t="n">
        <f aca="false">Sens!K19430/Sens!K19431</f>
        <v>22.986893601334</v>
      </c>
      <c r="L19432" s="1" t="s">
        <v>1083</v>
      </c>
    </row>
    <row r="19433" customFormat="false" ht="17.15" hidden="false" customHeight="false" outlineLevel="0" collapsed="false">
      <c r="A19433" s="1" t="s">
        <v>1084</v>
      </c>
      <c r="B19433" s="0" t="s">
        <v>98</v>
      </c>
      <c r="D19433" s="6" t="n">
        <f aca="false">Sens!D19430</f>
        <v>101.832</v>
      </c>
      <c r="E19433" s="6" t="n">
        <f aca="false">Sens!E19430</f>
        <v>133.749</v>
      </c>
      <c r="F19433" s="6" t="n">
        <f aca="false">Sens!F19430+Sens!F19423*(1-tax_f)</f>
        <v>150.340050652734</v>
      </c>
      <c r="G19433" s="6" t="n">
        <f aca="false">Sens!G19430+Sens!G19423*(1-tax_f)</f>
        <v>166.715014851145</v>
      </c>
      <c r="H19433" s="6" t="n">
        <f aca="false">Sens!H19430+Sens!H19423*(1-tax_f)</f>
        <v>183.769320789584</v>
      </c>
      <c r="I19433" s="6" t="n">
        <f aca="false">Sens!I19430+Sens!I19423*(1-tax_f)</f>
        <v>205.703965463593</v>
      </c>
      <c r="J19433" s="6" t="n">
        <f aca="false">Sens!J19430+Sens!J19423*(1-tax_f)</f>
        <v>224.827445883502</v>
      </c>
      <c r="K19433" s="6" t="n">
        <f aca="false">Sens!K19430+Sens!K19423*(1-tax_f)</f>
        <v>241.352081867234</v>
      </c>
    </row>
    <row r="19434" customFormat="false" ht="17.15" hidden="false" customHeight="false" outlineLevel="0" collapsed="false">
      <c r="A19434" s="0" t="s">
        <v>1085</v>
      </c>
      <c r="B19434" s="0" t="s">
        <v>75</v>
      </c>
      <c r="D19434" s="8" t="n">
        <f aca="false">Sens!D19433/Sens!D19431</f>
        <v>13.641259209645</v>
      </c>
      <c r="E19434" s="8" t="n">
        <f aca="false">Sens!E19433/Sens!E19431</f>
        <v>17.9456594659869</v>
      </c>
      <c r="F19434" s="8" t="n">
        <f aca="false">Sens!F19433/Sens!F19431</f>
        <v>20.1164180976429</v>
      </c>
      <c r="G19434" s="8" t="n">
        <f aca="false">Sens!G19433/Sens!G19431</f>
        <v>22.1739728471298</v>
      </c>
      <c r="H19434" s="8" t="n">
        <f aca="false">Sens!H19433/Sens!H19431</f>
        <v>24.296862668022</v>
      </c>
      <c r="I19434" s="8" t="n">
        <f aca="false">Sens!I19433/Sens!I19431</f>
        <v>27.0931140885696</v>
      </c>
      <c r="J19434" s="8" t="n">
        <f aca="false">Sens!J19433/Sens!J19431</f>
        <v>29.5567710232325</v>
      </c>
      <c r="K19434" s="8" t="n">
        <f aca="false">Sens!K19433/Sens!K19431</f>
        <v>31.6607646388719</v>
      </c>
      <c r="L19434" s="1" t="s">
        <v>1086</v>
      </c>
    </row>
    <row r="19435" customFormat="false" ht="17.15" hidden="false" customHeight="false" outlineLevel="0" collapsed="false">
      <c r="A19435" s="0" t="s">
        <v>1087</v>
      </c>
      <c r="B19435" s="0" t="s">
        <v>168</v>
      </c>
      <c r="E19435" s="7" t="n">
        <f aca="false">Sens!E19434/Sens!D19434-1</f>
        <v>0.315542736208578</v>
      </c>
      <c r="F19435" s="7" t="n">
        <f aca="false">Sens!F19434/Sens!E19434-1</f>
        <v>0.120962878838214</v>
      </c>
      <c r="G19435" s="7" t="n">
        <f aca="false">Sens!G19434/Sens!F19434-1</f>
        <v>0.102282361576486</v>
      </c>
      <c r="H19435" s="7" t="n">
        <f aca="false">Sens!H19434/Sens!G19434-1</f>
        <v>0.0957379101854106</v>
      </c>
      <c r="I19435" s="7" t="n">
        <f aca="false">Sens!I19434/Sens!H19434-1</f>
        <v>0.115086933599367</v>
      </c>
      <c r="J19435" s="7" t="n">
        <f aca="false">Sens!J19434/Sens!I19434-1</f>
        <v>0.0909329553852345</v>
      </c>
      <c r="K19435" s="7" t="n">
        <f aca="false">Sens!K19434/Sens!J19434-1</f>
        <v>0.0711848264475692</v>
      </c>
    </row>
    <row r="19436" customFormat="false" ht="17.15" hidden="false" customHeight="false" outlineLevel="0" collapsed="false">
      <c r="A19436" s="0" t="s">
        <v>1007</v>
      </c>
      <c r="B19436" s="0" t="s">
        <v>98</v>
      </c>
      <c r="E19436" s="6" t="n">
        <f aca="false">Sens!E19377</f>
        <v>5.25</v>
      </c>
      <c r="F19436" s="6" t="n">
        <f aca="false">Sens!F19377</f>
        <v>10.5</v>
      </c>
      <c r="G19436" s="6" t="n">
        <f aca="false">Sens!G19377</f>
        <v>13.5</v>
      </c>
      <c r="H19436" s="6" t="n">
        <f aca="false">Sens!H19377</f>
        <v>16.5</v>
      </c>
      <c r="I19436" s="6" t="n">
        <f aca="false">Sens!I19377</f>
        <v>18.75</v>
      </c>
      <c r="J19436" s="6" t="n">
        <f aca="false">Sens!J19377</f>
        <v>20.25</v>
      </c>
      <c r="K19436" s="6" t="n">
        <f aca="false">Sens!K19377</f>
        <v>21.75</v>
      </c>
    </row>
    <row r="19437" customFormat="false" ht="17.15" hidden="false" customHeight="false" outlineLevel="0" collapsed="false">
      <c r="A19437" s="1" t="s">
        <v>1008</v>
      </c>
      <c r="B19437" s="0" t="s">
        <v>98</v>
      </c>
      <c r="F19437" s="6" t="n">
        <f aca="false">MAX(0,((Sens!E19337+Sens!F19337)/2-(shadow_base*(Sens!$D$19337+Sens!$E$19337)/2+(1-shadow_base)*Sens!$E$19337))*Sens!F19346/1000-(Sens!F19436-Sens!$E$19436)*Sens!F19416)</f>
        <v>10.587205355146</v>
      </c>
      <c r="G19437" s="6" t="n">
        <f aca="false">MAX(0,((Sens!F19337+Sens!G19337)/2-(shadow_base*(Sens!$D$19337+Sens!$E$19337)/2+(1-shadow_base)*Sens!$E$19337))*Sens!G19346/1000-(Sens!G19436-Sens!$E$19436)*Sens!G19416)</f>
        <v>27.8408156431036</v>
      </c>
      <c r="H19437" s="6" t="n">
        <f aca="false">MAX(0,((Sens!G19337+Sens!H19337)/2-(shadow_base*(Sens!$D$19337+Sens!$E$19337)/2+(1-shadow_base)*Sens!$E$19337))*Sens!H19346/1000-(Sens!H19436-Sens!$E$19436)*Sens!H19416)</f>
        <v>46.6639641525333</v>
      </c>
      <c r="I19437" s="6" t="n">
        <f aca="false">MAX(0,((Sens!H19337+Sens!I19337)/2-(shadow_base*(Sens!$D$19337+Sens!$E$19337)/2+(1-shadow_base)*Sens!$E$19337))*Sens!I19346/1000-(Sens!I19436-Sens!$E$19436)*Sens!I19416)</f>
        <v>63.5840737305167</v>
      </c>
      <c r="J19437" s="6" t="n">
        <f aca="false">MAX(0,((Sens!I19337+Sens!J19337)/2-(shadow_base*(Sens!$D$19337+Sens!$E$19337)/2+(1-shadow_base)*Sens!$E$19337))*Sens!J19346/1000-(Sens!J19436-Sens!$E$19436)*Sens!J19416)</f>
        <v>75.4878639080576</v>
      </c>
      <c r="K19437" s="6" t="n">
        <f aca="false">MAX(0,((Sens!J19337+Sens!K19337)/2-(shadow_base*(Sens!$D$19337+Sens!$E$19337)/2+(1-shadow_base)*Sens!$E$19337))*Sens!K19346/1000-(Sens!K19436-Sens!$E$19436)*Sens!K19416)</f>
        <v>82.651858563588</v>
      </c>
      <c r="L19437" s="1" t="s">
        <v>1009</v>
      </c>
    </row>
    <row r="19438" customFormat="false" ht="17.15" hidden="false" customHeight="false" outlineLevel="0" collapsed="false">
      <c r="A19438" s="1" t="s">
        <v>1010</v>
      </c>
      <c r="B19438" s="0" t="s">
        <v>98</v>
      </c>
      <c r="F19438" s="6" t="n">
        <f aca="false">IF(internal_ai_reading=2,1,0)*Sens!F19437</f>
        <v>10.587205355146</v>
      </c>
      <c r="G19438" s="6" t="n">
        <f aca="false">IF(internal_ai_reading=2,1,0)*Sens!G19437</f>
        <v>27.8408156431036</v>
      </c>
      <c r="H19438" s="6" t="n">
        <f aca="false">IF(internal_ai_reading=2,1,0)*Sens!H19437</f>
        <v>46.6639641525333</v>
      </c>
      <c r="I19438" s="6" t="n">
        <f aca="false">IF(internal_ai_reading=2,1,0)*Sens!I19437</f>
        <v>63.5840737305167</v>
      </c>
      <c r="J19438" s="6" t="n">
        <f aca="false">IF(internal_ai_reading=2,1,0)*Sens!J19437</f>
        <v>75.4878639080576</v>
      </c>
      <c r="K19438" s="6" t="n">
        <f aca="false">IF(internal_ai_reading=2,1,0)*Sens!K19437</f>
        <v>82.651858563588</v>
      </c>
    </row>
    <row r="19439" customFormat="false" ht="17.15" hidden="false" customHeight="false" outlineLevel="0" collapsed="false">
      <c r="A19439" s="0" t="s">
        <v>1011</v>
      </c>
      <c r="B19439" s="0" t="s">
        <v>98</v>
      </c>
      <c r="F19439" s="6" t="n">
        <f aca="false">Sens!F19356+Sens!F19436*Sens!F19416+Sens!F19438-Sens!F19357-Sens!F19368</f>
        <v>10.9548734540597</v>
      </c>
      <c r="G19439" s="6" t="n">
        <f aca="false">Sens!G19356+Sens!G19436*Sens!G19416+Sens!G19438-Sens!G19357-Sens!G19368</f>
        <v>17.3317282018228</v>
      </c>
      <c r="H19439" s="6" t="n">
        <f aca="false">Sens!H19356+Sens!H19436*Sens!H19416+Sens!H19438-Sens!H19357-Sens!H19368</f>
        <v>18.4508587989062</v>
      </c>
      <c r="I19439" s="6" t="n">
        <f aca="false">Sens!I19356+Sens!I19436*Sens!I19416+Sens!I19438-Sens!I19357-Sens!I19368</f>
        <v>26.048330797631</v>
      </c>
      <c r="J19439" s="6" t="n">
        <f aca="false">Sens!J19356+Sens!J19436*Sens!J19416+Sens!J19438-Sens!J19357-Sens!J19368</f>
        <v>31.2915914861518</v>
      </c>
      <c r="K19439" s="6" t="n">
        <f aca="false">Sens!K19356+Sens!K19436*Sens!K19416+Sens!K19438-Sens!K19357-Sens!K19368</f>
        <v>35.2506954195931</v>
      </c>
    </row>
    <row r="19440" customFormat="false" ht="17.15" hidden="false" customHeight="false" outlineLevel="0" collapsed="false">
      <c r="A19440" s="0" t="s">
        <v>1012</v>
      </c>
      <c r="B19440" s="0" t="s">
        <v>98</v>
      </c>
      <c r="E19440" s="6" t="n">
        <f aca="false">Sens!E19336*(cxit_open+self_build*tk_cxfac)/1000*ai_net_open</f>
        <v>126.6980382</v>
      </c>
      <c r="F19440" s="6" t="n">
        <f aca="false">Sens!E19440+Sens!F19365-Sens!F19368</f>
        <v>260.531138080999</v>
      </c>
      <c r="G19440" s="6" t="n">
        <f aca="false">Sens!F19440+Sens!G19365-Sens!G19368</f>
        <v>391.732607523896</v>
      </c>
      <c r="H19440" s="6" t="n">
        <f aca="false">Sens!G19440+Sens!H19365-Sens!H19368</f>
        <v>499.144512201304</v>
      </c>
      <c r="I19440" s="6" t="n">
        <f aca="false">Sens!H19440+Sens!I19365-Sens!I19368</f>
        <v>554.184803136311</v>
      </c>
      <c r="J19440" s="6" t="n">
        <f aca="false">Sens!I19440+Sens!J19365-Sens!J19368</f>
        <v>552.057881745084</v>
      </c>
      <c r="K19440" s="6" t="n">
        <f aca="false">Sens!J19440+Sens!K19365-Sens!K19368</f>
        <v>530.189758768081</v>
      </c>
      <c r="L19440" s="1" t="s">
        <v>1013</v>
      </c>
    </row>
    <row r="19441" customFormat="false" ht="17.15" hidden="false" customHeight="false" outlineLevel="0" collapsed="false">
      <c r="A19441" s="0" t="s">
        <v>1014</v>
      </c>
      <c r="B19441" s="0" t="s">
        <v>168</v>
      </c>
      <c r="F19441" s="7" t="n">
        <f aca="false">Sens!F19439*(1-tax_f)/((Sens!E19440+Sens!F19440)/2)</f>
        <v>0.0452646613430188</v>
      </c>
      <c r="G19441" s="7" t="n">
        <f aca="false">Sens!G19439*(1-tax_f)/((Sens!F19440+Sens!G19440)/2)</f>
        <v>0.0425146504152236</v>
      </c>
      <c r="H19441" s="7" t="n">
        <f aca="false">Sens!H19439*(1-tax_f)/((Sens!G19440+Sens!H19440)/2)</f>
        <v>0.0331374253806811</v>
      </c>
      <c r="I19441" s="7" t="n">
        <f aca="false">Sens!I19439*(1-tax_f)/((Sens!H19440+Sens!I19440)/2)</f>
        <v>0.0395672356872088</v>
      </c>
      <c r="J19441" s="7" t="n">
        <f aca="false">Sens!J19439*(1-tax_f)/((Sens!I19440+Sens!J19440)/2)</f>
        <v>0.0452581943022843</v>
      </c>
      <c r="K19441" s="7" t="n">
        <f aca="false">Sens!K19439*(1-tax_f)/((Sens!J19440+Sens!K19440)/2)</f>
        <v>0.0521147938420134</v>
      </c>
    </row>
    <row r="19442" customFormat="false" ht="17.15" hidden="false" customHeight="false" outlineLevel="0" collapsed="false">
      <c r="A19442" s="1" t="s">
        <v>1015</v>
      </c>
      <c r="B19442" s="0" t="s">
        <v>168</v>
      </c>
      <c r="F19442" s="7" t="n">
        <f aca="false">(Sens!F19439-Sens!F19438)*(1-tax_f)/((Sens!E19440+Sens!F19440)/2)</f>
        <v>0.00151917519209617</v>
      </c>
      <c r="G19442" s="7" t="n">
        <f aca="false">(Sens!G19439-Sens!G19438)*(1-tax_f)/((Sens!F19440+Sens!G19440)/2)</f>
        <v>-0.025778743674395</v>
      </c>
      <c r="H19442" s="7" t="n">
        <f aca="false">(Sens!H19439-Sens!H19438)*(1-tax_f)/((Sens!G19440+Sens!H19440)/2)</f>
        <v>-0.0506702524583049</v>
      </c>
      <c r="I19442" s="7" t="n">
        <f aca="false">(Sens!I19439-Sens!I19438)*(1-tax_f)/((Sens!H19440+Sens!I19440)/2)</f>
        <v>-0.057016535871659</v>
      </c>
      <c r="J19442" s="7" t="n">
        <f aca="false">(Sens!J19439-Sens!J19438)*(1-tax_f)/((Sens!I19440+Sens!J19440)/2)</f>
        <v>-0.0639227150077208</v>
      </c>
      <c r="K19442" s="7" t="n">
        <f aca="false">(Sens!K19439-Sens!K19438)*(1-tax_f)/((Sens!J19440+Sens!K19440)/2)</f>
        <v>-0.0700781024520693</v>
      </c>
    </row>
    <row r="19443" customFormat="false" ht="17.15" hidden="false" customHeight="false" outlineLevel="0" collapsed="false">
      <c r="A19443" s="1" t="s">
        <v>1016</v>
      </c>
      <c r="B19443" s="0" t="s">
        <v>168</v>
      </c>
      <c r="F19443" s="7" t="n">
        <f aca="false">(Sens!F19439-Sens!F19438+Sens!F19437)*(1-tax_f)/((Sens!E19440+Sens!F19440)/2)</f>
        <v>0.0452646613430188</v>
      </c>
      <c r="G19443" s="7" t="n">
        <f aca="false">(Sens!G19439-Sens!G19438+Sens!G19437)*(1-tax_f)/((Sens!F19440+Sens!G19440)/2)</f>
        <v>0.0425146504152236</v>
      </c>
      <c r="H19443" s="7" t="n">
        <f aca="false">(Sens!H19439-Sens!H19438+Sens!H19437)*(1-tax_f)/((Sens!G19440+Sens!H19440)/2)</f>
        <v>0.0331374253806811</v>
      </c>
      <c r="I19443" s="7" t="n">
        <f aca="false">(Sens!I19439-Sens!I19438+Sens!I19437)*(1-tax_f)/((Sens!H19440+Sens!I19440)/2)</f>
        <v>0.0395672356872088</v>
      </c>
      <c r="J19443" s="7" t="n">
        <f aca="false">(Sens!J19439-Sens!J19438+Sens!J19437)*(1-tax_f)/((Sens!I19440+Sens!J19440)/2)</f>
        <v>0.0452581943022843</v>
      </c>
      <c r="K19443" s="7" t="n">
        <f aca="false">(Sens!K19439-Sens!K19438+Sens!K19437)*(1-tax_f)/((Sens!J19440+Sens!K19440)/2)</f>
        <v>0.0521147938420134</v>
      </c>
    </row>
    <row r="19444" customFormat="false" ht="17.15" hidden="false" customHeight="false" outlineLevel="0" collapsed="false">
      <c r="A19444" s="1" t="s">
        <v>1017</v>
      </c>
      <c r="B19444" s="0" t="s">
        <v>168</v>
      </c>
      <c r="F19444" s="7" t="n">
        <f aca="false">Sens!F19369*(1-tax_f)/(Sens!F19355*(Sens!E19440+Sens!F19440)/2)</f>
        <v>0.102372261179166</v>
      </c>
      <c r="G19444" s="7" t="n">
        <f aca="false">Sens!G19369*(1-tax_f)/(Sens!G19355*(Sens!F19440+Sens!G19440)/2)</f>
        <v>0.0705312267037864</v>
      </c>
      <c r="H19444" s="7" t="n">
        <f aca="false">Sens!H19369*(1-tax_f)/(Sens!H19355*(Sens!G19440+Sens!H19440)/2)</f>
        <v>0.0416836911520815</v>
      </c>
      <c r="I19444" s="7" t="n">
        <f aca="false">Sens!I19369*(1-tax_f)/(Sens!I19355*(Sens!H19440+Sens!I19440)/2)</f>
        <v>0.0443317723169064</v>
      </c>
      <c r="J19444" s="7" t="n">
        <f aca="false">Sens!J19369*(1-tax_f)/(Sens!J19355*(Sens!I19440+Sens!J19440)/2)</f>
        <v>0.0482068924564458</v>
      </c>
      <c r="K19444" s="7" t="n">
        <f aca="false">Sens!K19369*(1-tax_f)/(Sens!K19355*(Sens!J19440+Sens!K19440)/2)</f>
        <v>0.0544425425202641</v>
      </c>
    </row>
    <row r="19445" customFormat="false" ht="17.15" hidden="false" customHeight="false" outlineLevel="0" collapsed="false">
      <c r="A19445" s="0" t="s">
        <v>1018</v>
      </c>
      <c r="B19445" s="0" t="s">
        <v>253</v>
      </c>
      <c r="F19445" s="7" t="n">
        <f aca="false">Sens!F19441-wacc</f>
        <v>-0.0576719296025785</v>
      </c>
      <c r="G19445" s="7" t="n">
        <f aca="false">Sens!G19441-wacc</f>
        <v>-0.0604219405303737</v>
      </c>
      <c r="H19445" s="7" t="n">
        <f aca="false">Sens!H19441-wacc</f>
        <v>-0.0697991655649162</v>
      </c>
      <c r="I19445" s="7" t="n">
        <f aca="false">Sens!I19441-wacc</f>
        <v>-0.0633693552583885</v>
      </c>
      <c r="J19445" s="7" t="n">
        <f aca="false">Sens!J19441-wacc</f>
        <v>-0.057678396643313</v>
      </c>
      <c r="K19445" s="7" t="n">
        <f aca="false">Sens!K19441-wacc</f>
        <v>-0.0508217971035839</v>
      </c>
    </row>
    <row r="19446" customFormat="false" ht="17.15" hidden="false" customHeight="false" outlineLevel="0" collapsed="false">
      <c r="A19446" s="0" t="s">
        <v>1019</v>
      </c>
      <c r="B19446" s="0" t="s">
        <v>98</v>
      </c>
      <c r="F19446" s="6" t="n">
        <f aca="false">Sens!F19439*(1-tax_f)-wacc*(Sens!E19440+Sens!F19440)/2</f>
        <v>-11.1661268972711</v>
      </c>
      <c r="G19446" s="6" t="n">
        <f aca="false">Sens!G19439*(1-tax_f)-wacc*(Sens!F19440+Sens!G19440)/2</f>
        <v>-19.7055206235289</v>
      </c>
      <c r="H19446" s="6" t="n">
        <f aca="false">Sens!H19439*(1-tax_f)-wacc*(Sens!G19440+Sens!H19440)/2</f>
        <v>-31.0912397888474</v>
      </c>
      <c r="I19446" s="6" t="n">
        <f aca="false">Sens!I19439*(1-tax_f)-wacc*(Sens!H19440+Sens!I19440)/2</f>
        <v>-33.3743997938522</v>
      </c>
      <c r="J19446" s="6" t="n">
        <f aca="false">Sens!J19439*(1-tax_f)-wacc*(Sens!I19440+Sens!J19440)/2</f>
        <v>-31.9031521811763</v>
      </c>
      <c r="K19446" s="6" t="n">
        <f aca="false">Sens!K19439*(1-tax_f)-wacc*(Sens!J19440+Sens!K19440)/2</f>
        <v>-27.5008850009962</v>
      </c>
    </row>
    <row r="19447" customFormat="false" ht="17.15" hidden="false" customHeight="false" outlineLevel="0" collapsed="false">
      <c r="A19447" s="3" t="s">
        <v>2092</v>
      </c>
    </row>
    <row r="19448" customFormat="false" ht="15" hidden="false" customHeight="false" outlineLevel="0" collapsed="false">
      <c r="A19448" s="4" t="s">
        <v>43</v>
      </c>
      <c r="B19448" s="4" t="s">
        <v>65</v>
      </c>
      <c r="C19448" s="23" t="s">
        <v>942</v>
      </c>
      <c r="D19448" s="23" t="s">
        <v>943</v>
      </c>
      <c r="E19448" s="23" t="s">
        <v>944</v>
      </c>
      <c r="F19448" s="23" t="s">
        <v>945</v>
      </c>
      <c r="G19448" s="23" t="s">
        <v>946</v>
      </c>
      <c r="H19448" s="23" t="s">
        <v>947</v>
      </c>
      <c r="I19448" s="23" t="s">
        <v>948</v>
      </c>
      <c r="J19448" s="23" t="s">
        <v>949</v>
      </c>
      <c r="K19448" s="23" t="s">
        <v>950</v>
      </c>
      <c r="L19448" s="4" t="s">
        <v>47</v>
      </c>
    </row>
    <row r="19449" customFormat="false" ht="15" hidden="false" customHeight="false" outlineLevel="0" collapsed="false">
      <c r="A19449" s="1" t="s">
        <v>1080</v>
      </c>
      <c r="B19449" s="0" t="s">
        <v>98</v>
      </c>
      <c r="F19449" s="6" t="n">
        <f aca="false">Sens!F19430</f>
        <v>141.870286368617</v>
      </c>
      <c r="G19449" s="6" t="n">
        <f aca="false">Sens!G19430</f>
        <v>144.442362336662</v>
      </c>
      <c r="H19449" s="6" t="n">
        <f aca="false">Sens!H19430</f>
        <v>146.438149467558</v>
      </c>
      <c r="I19449" s="6" t="n">
        <f aca="false">Sens!I19430</f>
        <v>154.83670647918</v>
      </c>
      <c r="J19449" s="6" t="n">
        <f aca="false">Sens!J19430</f>
        <v>164.437154757056</v>
      </c>
      <c r="K19449" s="6" t="n">
        <f aca="false">Sens!K19430</f>
        <v>175.230595016364</v>
      </c>
    </row>
    <row r="19450" customFormat="false" ht="17.15" hidden="false" customHeight="false" outlineLevel="0" collapsed="false">
      <c r="A19450" s="1" t="s">
        <v>1102</v>
      </c>
      <c r="B19450" s="0" t="s">
        <v>98</v>
      </c>
      <c r="E19450" s="6" t="n">
        <f aca="false">Q!M38-Sens!E19368</f>
        <v>22.2285940229167</v>
      </c>
      <c r="F19450" s="6" t="n">
        <f aca="false">Sens!E19450*(1-1/life_nonai)+(Sens!F19458+Sens!F19459)/life_nonai</f>
        <v>23.5864597973673</v>
      </c>
      <c r="G19450" s="6" t="n">
        <f aca="false">Sens!F19450*(1-1/life_nonai)+(Sens!G19458)/life_nonai</f>
        <v>25.3436814630703</v>
      </c>
      <c r="H19450" s="6" t="n">
        <f aca="false">Sens!G19450*(1-1/life_nonai)+(Sens!H19458)/life_nonai</f>
        <v>27.4689643541904</v>
      </c>
      <c r="I19450" s="6" t="n">
        <f aca="false">Sens!H19450*(1-1/life_nonai)+(Sens!I19458)/life_nonai</f>
        <v>29.9055541034438</v>
      </c>
      <c r="J19450" s="6" t="n">
        <f aca="false">Sens!I19450*(1-1/life_nonai)+(Sens!J19458)/life_nonai</f>
        <v>32.5786445065096</v>
      </c>
      <c r="K19450" s="6" t="n">
        <f aca="false">Sens!J19450*(1-1/life_nonai)+(Sens!K19458)/life_nonai</f>
        <v>35.4038966823951</v>
      </c>
      <c r="L19450" s="12" t="s">
        <v>1103</v>
      </c>
    </row>
    <row r="19451" customFormat="false" ht="17.15" hidden="false" customHeight="false" outlineLevel="0" collapsed="false">
      <c r="A19451" s="1" t="s">
        <v>1104</v>
      </c>
      <c r="B19451" s="0" t="s">
        <v>98</v>
      </c>
      <c r="F19451" s="6" t="n">
        <f aca="false">Sens!$F$19459/life_nonai*(1-1/life_nonai)^(Sens!F19331-2027)</f>
        <v>0</v>
      </c>
      <c r="G19451" s="6" t="n">
        <f aca="false">Sens!$F$19459/life_nonai*(1-1/life_nonai)^(Sens!G19331-2027)</f>
        <v>0</v>
      </c>
      <c r="H19451" s="6" t="n">
        <f aca="false">Sens!$F$19459/life_nonai*(1-1/life_nonai)^(Sens!H19331-2027)</f>
        <v>0</v>
      </c>
      <c r="I19451" s="6" t="n">
        <f aca="false">Sens!$F$19459/life_nonai*(1-1/life_nonai)^(Sens!I19331-2027)</f>
        <v>0</v>
      </c>
      <c r="J19451" s="6" t="n">
        <f aca="false">Sens!$F$19459/life_nonai*(1-1/life_nonai)^(Sens!J19331-2027)</f>
        <v>0</v>
      </c>
      <c r="K19451" s="6" t="n">
        <f aca="false">Sens!$F$19459/life_nonai*(1-1/life_nonai)^(Sens!K19331-2027)</f>
        <v>0</v>
      </c>
      <c r="L19451" s="1" t="s">
        <v>1105</v>
      </c>
    </row>
    <row r="19452" customFormat="false" ht="17.15" hidden="false" customHeight="false" outlineLevel="0" collapsed="false">
      <c r="A19452" s="1" t="s">
        <v>1106</v>
      </c>
      <c r="B19452" s="0" t="s">
        <v>98</v>
      </c>
      <c r="E19452" s="6" t="n">
        <f aca="false">Sens!E19368+Sens!E19450</f>
        <v>38.534</v>
      </c>
      <c r="F19452" s="6" t="n">
        <f aca="false">Sens!F19368+Sens!F19450</f>
        <v>58.2276880741763</v>
      </c>
      <c r="G19452" s="6" t="n">
        <f aca="false">Sens!G19368+Sens!G19450</f>
        <v>86.2781682130896</v>
      </c>
      <c r="H19452" s="6" t="n">
        <f aca="false">Sens!H19368+Sens!H19450</f>
        <v>116.909283008586</v>
      </c>
      <c r="I19452" s="6" t="n">
        <f aca="false">Sens!I19368+Sens!I19450</f>
        <v>144.68304872626</v>
      </c>
      <c r="J19452" s="6" t="n">
        <f aca="false">Sens!J19368+Sens!J19450</f>
        <v>165.459520205803</v>
      </c>
      <c r="K19452" s="6" t="n">
        <f aca="false">Sens!K19368+Sens!K19450</f>
        <v>179.759418354437</v>
      </c>
    </row>
    <row r="19453" customFormat="false" ht="17.15" hidden="false" customHeight="false" outlineLevel="0" collapsed="false">
      <c r="A19453" s="1" t="s">
        <v>1107</v>
      </c>
      <c r="B19453" s="0" t="s">
        <v>98</v>
      </c>
      <c r="F19453" s="6" t="n">
        <f aca="false">Sens!F19395*sbc_r</f>
        <v>14.7579724252009</v>
      </c>
      <c r="G19453" s="6" t="n">
        <f aca="false">Sens!G19395*sbc_r</f>
        <v>17.1699963227976</v>
      </c>
      <c r="H19453" s="6" t="n">
        <f aca="false">Sens!H19395*sbc_r</f>
        <v>19.4264133004034</v>
      </c>
      <c r="I19453" s="6" t="n">
        <f aca="false">Sens!I19395*sbc_r</f>
        <v>21.7890494033951</v>
      </c>
      <c r="J19453" s="6" t="n">
        <f aca="false">Sens!J19395*sbc_r</f>
        <v>23.7777697209193</v>
      </c>
      <c r="K19453" s="6" t="n">
        <f aca="false">Sens!K19395*sbc_r</f>
        <v>25.412718205308</v>
      </c>
    </row>
    <row r="19454" customFormat="false" ht="17.15" hidden="false" customHeight="false" outlineLevel="0" collapsed="false">
      <c r="A19454" s="1" t="s">
        <v>1108</v>
      </c>
      <c r="B19454" s="0" t="s">
        <v>98</v>
      </c>
      <c r="F19454" s="6" t="n">
        <f aca="false">wc27-wc26q1</f>
        <v>-4.677</v>
      </c>
      <c r="G19454" s="6" t="n">
        <f aca="false">wc_f</f>
        <v>0</v>
      </c>
      <c r="H19454" s="6" t="n">
        <f aca="false">wc_f</f>
        <v>0</v>
      </c>
      <c r="I19454" s="6" t="n">
        <f aca="false">wc_f</f>
        <v>0</v>
      </c>
      <c r="J19454" s="6" t="n">
        <f aca="false">wc_f</f>
        <v>0</v>
      </c>
      <c r="K19454" s="6" t="n">
        <f aca="false">wc_f</f>
        <v>0</v>
      </c>
      <c r="L19454" s="12" t="s">
        <v>1109</v>
      </c>
    </row>
    <row r="19455" customFormat="false" ht="17.15" hidden="false" customHeight="false" outlineLevel="0" collapsed="false">
      <c r="A19455" s="0" t="s">
        <v>1110</v>
      </c>
      <c r="B19455" s="0" t="s">
        <v>98</v>
      </c>
      <c r="F19455" s="6" t="n">
        <f aca="false">Q!$I$35-Q!$I$26-Q!$I$38-Q!$I$39</f>
        <v>6.493</v>
      </c>
      <c r="L19455" s="1" t="s">
        <v>1111</v>
      </c>
    </row>
    <row r="19456" customFormat="false" ht="15" hidden="false" customHeight="false" outlineLevel="0" collapsed="false">
      <c r="A19456" s="1" t="s">
        <v>908</v>
      </c>
      <c r="B19456" s="0" t="s">
        <v>98</v>
      </c>
      <c r="E19456" s="6" t="n">
        <f aca="false">Q!M35</f>
        <v>182.935</v>
      </c>
      <c r="F19456" s="6" t="n">
        <f aca="false">Sens!F19449+Sens!F19452+Sens!F19453+Sens!F19454+Sens!F19455</f>
        <v>216.671946867994</v>
      </c>
      <c r="G19456" s="6" t="n">
        <f aca="false">Sens!G19449+Sens!G19452+Sens!G19453+Sens!G19454</f>
        <v>247.890526872549</v>
      </c>
      <c r="H19456" s="6" t="n">
        <f aca="false">Sens!H19449+Sens!H19452+Sens!H19453+Sens!H19454</f>
        <v>282.773845776547</v>
      </c>
      <c r="I19456" s="6" t="n">
        <f aca="false">Sens!I19449+Sens!I19452+Sens!I19453+Sens!I19454</f>
        <v>321.308804608835</v>
      </c>
      <c r="J19456" s="6" t="n">
        <f aca="false">Sens!J19449+Sens!J19452+Sens!J19453+Sens!J19454</f>
        <v>353.674444683778</v>
      </c>
      <c r="K19456" s="6" t="n">
        <f aca="false">Sens!K19449+Sens!K19452+Sens!K19453+Sens!K19454</f>
        <v>380.402731576108</v>
      </c>
    </row>
    <row r="19457" customFormat="false" ht="17.15" hidden="false" customHeight="false" outlineLevel="0" collapsed="false">
      <c r="A19457" s="0" t="s">
        <v>1112</v>
      </c>
      <c r="B19457" s="0" t="s">
        <v>98</v>
      </c>
      <c r="F19457" s="6" t="n">
        <f aca="false">Sens!F19365</f>
        <v>168.474328157808</v>
      </c>
      <c r="G19457" s="6" t="n">
        <f aca="false">Sens!G19365</f>
        <v>192.135956192916</v>
      </c>
      <c r="H19457" s="6" t="n">
        <f aca="false">Sens!H19365</f>
        <v>196.852223331804</v>
      </c>
      <c r="I19457" s="6" t="n">
        <f aca="false">Sens!I19365</f>
        <v>169.817785557824</v>
      </c>
      <c r="J19457" s="6" t="n">
        <f aca="false">Sens!J19365</f>
        <v>130.753954308066</v>
      </c>
      <c r="K19457" s="6" t="n">
        <f aca="false">Sens!K19365</f>
        <v>122.487398695039</v>
      </c>
    </row>
    <row r="19458" customFormat="false" ht="17.15" hidden="false" customHeight="false" outlineLevel="0" collapsed="false">
      <c r="A19458" s="1" t="s">
        <v>1113</v>
      </c>
      <c r="B19458" s="0" t="s">
        <v>98</v>
      </c>
      <c r="E19458" s="6" t="n">
        <f aca="false">Sens!E19373*cx_azo+Sens!E19380*cx_m365+Sens!E19381*cx_lic+(Sens!E19383+Sens!E19385)*cx_ind+Sens!E19388*cx_srch+(Sens!E19390+Sens!E19392)*cx_dev</f>
        <v>30.1846587067718</v>
      </c>
      <c r="F19458" s="6" t="n">
        <f aca="false">Sens!F19373*cx_azo+Sens!F19380*cx_m365+Sens!F19381*cx_lic+(Sens!F19383+Sens!F19385)*cx_ind+Sens!F19388*cx_srch+(Sens!F19390+Sens!F19392)*cx_dev</f>
        <v>35.8072517674227</v>
      </c>
      <c r="G19458" s="6" t="n">
        <f aca="false">Sens!G19373*cx_azo+Sens!G19380*cx_m365+Sens!G19381*cx_lic+(Sens!G19383+Sens!G19385)*cx_ind+Sens!G19388*cx_srch+(Sens!G19390+Sens!G19392)*cx_dev</f>
        <v>41.1586764543974</v>
      </c>
      <c r="H19458" s="6" t="n">
        <f aca="false">Sens!H19373*cx_azo+Sens!H19380*cx_m365+Sens!H19381*cx_lic+(Sens!H19383+Sens!H19385)*cx_ind+Sens!H19388*cx_srch+(Sens!H19390+Sens!H19392)*cx_dev</f>
        <v>46.5965103742713</v>
      </c>
      <c r="I19458" s="6" t="n">
        <f aca="false">Sens!I19373*cx_azo+Sens!I19380*cx_m365+Sens!I19381*cx_lic+(Sens!I19383+Sens!I19385)*cx_ind+Sens!I19388*cx_srch+(Sens!I19390+Sens!I19392)*cx_dev</f>
        <v>51.8348618467245</v>
      </c>
      <c r="J19458" s="6" t="n">
        <f aca="false">Sens!J19373*cx_azo+Sens!J19380*cx_m365+Sens!J19381*cx_lic+(Sens!J19383+Sens!J19385)*cx_ind+Sens!J19388*cx_srch+(Sens!J19390+Sens!J19392)*cx_dev</f>
        <v>56.6364581341014</v>
      </c>
      <c r="K19458" s="6" t="n">
        <f aca="false">Sens!K19373*cx_azo+Sens!K19380*cx_m365+Sens!K19381*cx_lic+(Sens!K19383+Sens!K19385)*cx_ind+Sens!K19388*cx_srch+(Sens!K19390+Sens!K19392)*cx_dev</f>
        <v>60.8311662653652</v>
      </c>
    </row>
    <row r="19459" customFormat="false" ht="17.15" hidden="false" customHeight="false" outlineLevel="0" collapsed="false">
      <c r="A19459" s="0" t="s">
        <v>1114</v>
      </c>
      <c r="B19459" s="0" t="s">
        <v>98</v>
      </c>
      <c r="F19459" s="6" t="n">
        <f aca="false">Sens!F19363</f>
        <v>0</v>
      </c>
      <c r="L19459" s="1" t="s">
        <v>1115</v>
      </c>
    </row>
    <row r="19460" customFormat="false" ht="17.15" hidden="false" customHeight="false" outlineLevel="0" collapsed="false">
      <c r="A19460" s="1" t="s">
        <v>1116</v>
      </c>
      <c r="B19460" s="0" t="s">
        <v>98</v>
      </c>
      <c r="E19460" s="6" t="n">
        <f aca="false">Q!M43</f>
        <v>145.3</v>
      </c>
      <c r="F19460" s="6" t="n">
        <f aca="false">Sens!F19457+Sens!F19458+Sens!F19459</f>
        <v>204.28157992523</v>
      </c>
      <c r="G19460" s="6" t="n">
        <f aca="false">Sens!G19457+Sens!G19458</f>
        <v>233.294632647314</v>
      </c>
      <c r="H19460" s="6" t="n">
        <f aca="false">Sens!H19457+Sens!H19458</f>
        <v>243.448733706075</v>
      </c>
      <c r="I19460" s="6" t="n">
        <f aca="false">Sens!I19457+Sens!I19458</f>
        <v>221.652647404548</v>
      </c>
      <c r="J19460" s="6" t="n">
        <f aca="false">Sens!J19457+Sens!J19458</f>
        <v>187.390412442167</v>
      </c>
      <c r="K19460" s="6" t="n">
        <f aca="false">Sens!K19457+Sens!K19458</f>
        <v>183.318564960404</v>
      </c>
      <c r="L19460" s="1" t="s">
        <v>1117</v>
      </c>
    </row>
    <row r="19461" customFormat="false" ht="15" hidden="false" customHeight="false" outlineLevel="0" collapsed="false">
      <c r="A19461" s="1" t="s">
        <v>1118</v>
      </c>
      <c r="B19461" s="0" t="s">
        <v>98</v>
      </c>
      <c r="E19461" s="6" t="n">
        <f aca="false">fl_liab</f>
        <v>66.594</v>
      </c>
      <c r="F19461" s="6" t="n">
        <f aca="false">Sens!E19461-Sens!F19462</f>
        <v>62.46973</v>
      </c>
      <c r="G19461" s="6" t="n">
        <f aca="false">Sens!F19461-Sens!G19462</f>
        <v>57.98686785</v>
      </c>
      <c r="H19461" s="6" t="n">
        <f aca="false">Sens!G19461-Sens!H19462</f>
        <v>53.92827690325</v>
      </c>
      <c r="I19461" s="6" t="n">
        <f aca="false">Sens!H19461-Sens!I19462</f>
        <v>49.7850493638962</v>
      </c>
      <c r="J19461" s="6" t="n">
        <f aca="false">Sens!I19461-Sens!J19462</f>
        <v>45.4823765852716</v>
      </c>
      <c r="K19461" s="6" t="n">
        <f aca="false">Sens!J19461-Sens!K19462</f>
        <v>40.9860835316088</v>
      </c>
    </row>
    <row r="19462" customFormat="false" ht="15" hidden="false" customHeight="false" outlineLevel="0" collapsed="false">
      <c r="A19462" s="1" t="s">
        <v>1119</v>
      </c>
      <c r="B19462" s="0" t="s">
        <v>98</v>
      </c>
      <c r="F19462" s="6" t="n">
        <f aca="false">fl_pay_27-Sens!E19461*fl_rate</f>
        <v>4.12427</v>
      </c>
      <c r="G19462" s="6" t="n">
        <f aca="false">fl_pay_28-Sens!F19461*fl_rate</f>
        <v>4.48286215</v>
      </c>
      <c r="H19462" s="6" t="n">
        <f aca="false">fl_pay_29-Sens!G19461*fl_rate</f>
        <v>4.05859094675</v>
      </c>
      <c r="I19462" s="6" t="n">
        <f aca="false">fl_pay_30-Sens!H19461*fl_rate</f>
        <v>4.14322753935375</v>
      </c>
      <c r="J19462" s="6" t="n">
        <f aca="false">fl_pay_31-Sens!I19461*fl_rate</f>
        <v>4.30267277862467</v>
      </c>
      <c r="K19462" s="6" t="n">
        <f aca="false">fl_pay_32-Sens!J19461*fl_rate</f>
        <v>4.49629305366278</v>
      </c>
    </row>
    <row r="19463" customFormat="false" ht="17.15" hidden="false" customHeight="false" outlineLevel="0" collapsed="false">
      <c r="A19463" s="1" t="s">
        <v>1120</v>
      </c>
      <c r="B19463" s="0" t="s">
        <v>98</v>
      </c>
      <c r="E19463" s="6" t="n">
        <f aca="false">Q!M35-Q!M36-Q!M44</f>
        <v>63.886</v>
      </c>
      <c r="F19463" s="6" t="n">
        <f aca="false">Sens!F19456-Sens!F19460-Sens!F19462</f>
        <v>8.26609694276402</v>
      </c>
      <c r="G19463" s="6" t="n">
        <f aca="false">Sens!G19456-Sens!G19460-Sens!G19462</f>
        <v>10.1130320752356</v>
      </c>
      <c r="H19463" s="6" t="n">
        <f aca="false">Sens!H19456-Sens!H19460-Sens!H19462</f>
        <v>35.2665211237221</v>
      </c>
      <c r="I19463" s="6" t="n">
        <f aca="false">Sens!I19456-Sens!I19460-Sens!I19462</f>
        <v>95.5129296649329</v>
      </c>
      <c r="J19463" s="6" t="n">
        <f aca="false">Sens!J19456-Sens!J19460-Sens!J19462</f>
        <v>161.981359462986</v>
      </c>
      <c r="K19463" s="6" t="n">
        <f aca="false">Sens!K19456-Sens!K19460-Sens!K19462</f>
        <v>192.587873562041</v>
      </c>
      <c r="L19463" s="12" t="s">
        <v>1121</v>
      </c>
    </row>
    <row r="19464" customFormat="false" ht="15" hidden="false" customHeight="false" outlineLevel="0" collapsed="false">
      <c r="A19464" s="1" t="s">
        <v>1122</v>
      </c>
      <c r="B19464" s="0" t="s">
        <v>75</v>
      </c>
      <c r="F19464" s="8" t="n">
        <f aca="false">dps_27</f>
        <v>3.85</v>
      </c>
      <c r="G19464" s="8" t="n">
        <f aca="false">Sens!F19464*(1+dps_g)</f>
        <v>4.158</v>
      </c>
      <c r="H19464" s="8" t="n">
        <f aca="false">Sens!G19464*(1+dps_g)</f>
        <v>4.49064</v>
      </c>
      <c r="I19464" s="8" t="n">
        <f aca="false">Sens!H19464*(1+dps_g)</f>
        <v>4.8498912</v>
      </c>
      <c r="J19464" s="8" t="n">
        <f aca="false">Sens!I19464*(1+dps_g)</f>
        <v>5.237882496</v>
      </c>
      <c r="K19464" s="8" t="n">
        <f aca="false">Sens!J19464*(1+dps_g)</f>
        <v>5.65691309568</v>
      </c>
    </row>
    <row r="19465" customFormat="false" ht="17.15" hidden="false" customHeight="false" outlineLevel="0" collapsed="false">
      <c r="A19465" s="1" t="s">
        <v>1123</v>
      </c>
      <c r="B19465" s="0" t="s">
        <v>98</v>
      </c>
      <c r="E19465" s="6" t="n">
        <f aca="false">Q!M41</f>
        <v>26.445</v>
      </c>
      <c r="F19465" s="6" t="n">
        <f aca="false">Sens!F19464*Sens!E19474</f>
        <v>28.59395</v>
      </c>
      <c r="G19465" s="6" t="n">
        <f aca="false">Sens!G19464*Sens!F19474</f>
        <v>31.068576</v>
      </c>
      <c r="H19465" s="6" t="n">
        <f aca="false">Sens!H19464*Sens!G19474</f>
        <v>33.75614088</v>
      </c>
      <c r="I19465" s="6" t="n">
        <f aca="false">Sens!I19464*Sens!H19474</f>
        <v>36.6748772544</v>
      </c>
      <c r="J19465" s="6" t="n">
        <f aca="false">Sens!J19464*Sens!I19474</f>
        <v>39.6767653201446</v>
      </c>
      <c r="K19465" s="6" t="n">
        <f aca="false">Sens!K19464*Sens!J19474</f>
        <v>42.9376608081345</v>
      </c>
      <c r="L19465" s="1" t="s">
        <v>1124</v>
      </c>
    </row>
    <row r="19466" customFormat="false" ht="15" hidden="false" customHeight="false" outlineLevel="0" collapsed="false">
      <c r="A19466" s="1" t="s">
        <v>1125</v>
      </c>
      <c r="B19466" s="0" t="s">
        <v>98</v>
      </c>
      <c r="E19466" s="6" t="n">
        <f aca="false">Sens!E19463-Sens!E19465</f>
        <v>37.441</v>
      </c>
      <c r="F19466" s="6" t="n">
        <f aca="false">Sens!F19463-Sens!F19465</f>
        <v>-20.327853057236</v>
      </c>
      <c r="G19466" s="6" t="n">
        <f aca="false">Sens!G19463-Sens!G19465</f>
        <v>-20.9555439247644</v>
      </c>
      <c r="H19466" s="6" t="n">
        <f aca="false">Sens!H19463-Sens!H19465</f>
        <v>1.5103802437221</v>
      </c>
      <c r="I19466" s="6" t="n">
        <f aca="false">Sens!I19463-Sens!I19465</f>
        <v>58.8380524105329</v>
      </c>
      <c r="J19466" s="6" t="n">
        <f aca="false">Sens!J19463-Sens!J19465</f>
        <v>122.304594142842</v>
      </c>
      <c r="K19466" s="6" t="n">
        <f aca="false">Sens!K19463-Sens!K19465</f>
        <v>149.650212753907</v>
      </c>
    </row>
    <row r="19467" customFormat="false" ht="15" hidden="false" customHeight="false" outlineLevel="0" collapsed="false">
      <c r="A19467" s="1" t="s">
        <v>1126</v>
      </c>
      <c r="B19467" s="0" t="s">
        <v>98</v>
      </c>
      <c r="F19467" s="6" t="n">
        <f aca="false">debt_mat_27</f>
        <v>9.25</v>
      </c>
      <c r="G19467" s="6" t="n">
        <f aca="false">debt_mat_28</f>
        <v>0</v>
      </c>
      <c r="H19467" s="6" t="n">
        <f aca="false">debt_mat_29</f>
        <v>2.001</v>
      </c>
      <c r="I19467" s="6" t="n">
        <f aca="false">debt_mat_30</f>
        <v>0</v>
      </c>
      <c r="J19467" s="6" t="n">
        <f aca="false">debt_mat_31</f>
        <v>0.5</v>
      </c>
      <c r="K19467" s="6" t="n">
        <f aca="false">debt_mat_32</f>
        <v>0</v>
      </c>
    </row>
    <row r="19468" customFormat="false" ht="15" hidden="false" customHeight="false" outlineLevel="0" collapsed="false">
      <c r="A19468" s="1" t="s">
        <v>1127</v>
      </c>
      <c r="B19468" s="0" t="s">
        <v>98</v>
      </c>
      <c r="E19468" s="6" t="n">
        <f aca="false">Q!M40</f>
        <v>22.271</v>
      </c>
      <c r="F19468" s="6" t="n">
        <f aca="false">MAX(0,MIN(bb_target,Sens!E19470+Sens!F19466-Sens!F19467-min_cash))</f>
        <v>0</v>
      </c>
      <c r="G19468" s="6" t="n">
        <f aca="false">MAX(0,MIN(bb_target,Sens!F19470+Sens!G19466-Sens!G19467-min_cash))</f>
        <v>0</v>
      </c>
      <c r="H19468" s="6" t="n">
        <f aca="false">MAX(0,MIN(bb_target,Sens!G19470+Sens!H19466-Sens!H19467-min_cash))</f>
        <v>0</v>
      </c>
      <c r="I19468" s="6" t="n">
        <f aca="false">MAX(0,MIN(bb_target,Sens!H19470+Sens!I19466-Sens!I19467-min_cash))</f>
        <v>22.271</v>
      </c>
      <c r="J19468" s="6" t="n">
        <f aca="false">MAX(0,MIN(bb_target,Sens!I19470+Sens!J19466-Sens!J19467-min_cash))</f>
        <v>22.271</v>
      </c>
      <c r="K19468" s="6" t="n">
        <f aca="false">MAX(0,MIN(bb_target,Sens!J19470+Sens!K19466-Sens!K19467-min_cash))</f>
        <v>22.271</v>
      </c>
    </row>
    <row r="19469" customFormat="false" ht="15" hidden="false" customHeight="false" outlineLevel="0" collapsed="false">
      <c r="A19469" s="1" t="s">
        <v>1128</v>
      </c>
      <c r="B19469" s="0" t="s">
        <v>98</v>
      </c>
      <c r="F19469" s="6" t="n">
        <f aca="false">MAX(0,min_cash-(Sens!E19470+Sens!F19466-Sens!F19467-Sens!F19468))</f>
        <v>2.73485305723598</v>
      </c>
      <c r="G19469" s="6" t="n">
        <f aca="false">MAX(0,min_cash-(Sens!F19470+Sens!G19466-Sens!G19467-Sens!G19468))</f>
        <v>20.9555439247644</v>
      </c>
      <c r="H19469" s="6" t="n">
        <f aca="false">MAX(0,min_cash-(Sens!G19470+Sens!H19466-Sens!H19467-Sens!H19468))</f>
        <v>0.490619756277901</v>
      </c>
      <c r="I19469" s="6" t="n">
        <f aca="false">MAX(0,min_cash-(Sens!H19470+Sens!I19466-Sens!I19467-Sens!I19468))</f>
        <v>0</v>
      </c>
      <c r="J19469" s="6" t="n">
        <f aca="false">MAX(0,min_cash-(Sens!I19470+Sens!J19466-Sens!J19467-Sens!J19468))</f>
        <v>0</v>
      </c>
      <c r="K19469" s="6" t="n">
        <f aca="false">MAX(0,min_cash-(Sens!J19470+Sens!K19466-Sens!K19467-Sens!K19468))</f>
        <v>0</v>
      </c>
    </row>
    <row r="19470" customFormat="false" ht="15" hidden="false" customHeight="false" outlineLevel="0" collapsed="false">
      <c r="A19470" s="1" t="s">
        <v>1129</v>
      </c>
      <c r="B19470" s="0" t="s">
        <v>98</v>
      </c>
      <c r="E19470" s="6" t="n">
        <f aca="false">cash_open</f>
        <v>76.843</v>
      </c>
      <c r="F19470" s="6" t="n">
        <f aca="false">Sens!E19470+Sens!F19466-Sens!F19467-Sens!F19468+Sens!F19469</f>
        <v>50</v>
      </c>
      <c r="G19470" s="6" t="n">
        <f aca="false">Sens!F19470+Sens!G19466-Sens!G19467-Sens!G19468+Sens!G19469</f>
        <v>50</v>
      </c>
      <c r="H19470" s="6" t="n">
        <f aca="false">Sens!G19470+Sens!H19466-Sens!H19467-Sens!H19468+Sens!H19469</f>
        <v>50</v>
      </c>
      <c r="I19470" s="6" t="n">
        <f aca="false">Sens!H19470+Sens!I19466-Sens!I19467-Sens!I19468+Sens!I19469</f>
        <v>86.5670524105329</v>
      </c>
      <c r="J19470" s="6" t="n">
        <f aca="false">Sens!I19470+Sens!J19466-Sens!J19467-Sens!J19468+Sens!J19469</f>
        <v>186.100646553375</v>
      </c>
      <c r="K19470" s="6" t="n">
        <f aca="false">Sens!J19470+Sens!K19466-Sens!K19467-Sens!K19468+Sens!K19469</f>
        <v>313.479859307282</v>
      </c>
    </row>
    <row r="19471" customFormat="false" ht="15" hidden="false" customHeight="false" outlineLevel="0" collapsed="false">
      <c r="A19471" s="1" t="s">
        <v>1130</v>
      </c>
      <c r="B19471" s="0" t="s">
        <v>98</v>
      </c>
      <c r="E19471" s="6" t="n">
        <f aca="false">debt_face</f>
        <v>46.136</v>
      </c>
      <c r="F19471" s="6" t="n">
        <f aca="false">Sens!E19471-Sens!F19467+Sens!F19469</f>
        <v>39.620853057236</v>
      </c>
      <c r="G19471" s="6" t="n">
        <f aca="false">Sens!F19471-Sens!G19467+Sens!G19469</f>
        <v>60.5763969820004</v>
      </c>
      <c r="H19471" s="6" t="n">
        <f aca="false">Sens!G19471-Sens!H19467+Sens!H19469</f>
        <v>59.0660167382783</v>
      </c>
      <c r="I19471" s="6" t="n">
        <f aca="false">Sens!H19471-Sens!I19467+Sens!I19469</f>
        <v>59.0660167382783</v>
      </c>
      <c r="J19471" s="6" t="n">
        <f aca="false">Sens!I19471-Sens!J19467+Sens!J19469</f>
        <v>58.5660167382783</v>
      </c>
      <c r="K19471" s="6" t="n">
        <f aca="false">Sens!J19471-Sens!K19467+Sens!K19469</f>
        <v>58.5660167382783</v>
      </c>
    </row>
    <row r="19472" customFormat="false" ht="15" hidden="false" customHeight="false" outlineLevel="0" collapsed="false">
      <c r="A19472" s="1" t="s">
        <v>1131</v>
      </c>
      <c r="B19472" s="0" t="s">
        <v>98</v>
      </c>
      <c r="E19472" s="6" t="n">
        <f aca="false">Sens!E19470-Sens!E19471</f>
        <v>30.707</v>
      </c>
      <c r="F19472" s="6" t="n">
        <f aca="false">Sens!F19470-Sens!F19471</f>
        <v>10.379146942764</v>
      </c>
      <c r="G19472" s="6" t="n">
        <f aca="false">Sens!G19470-Sens!G19471</f>
        <v>-10.5763969820004</v>
      </c>
      <c r="H19472" s="6" t="n">
        <f aca="false">Sens!H19470-Sens!H19471</f>
        <v>-9.06601673827834</v>
      </c>
      <c r="I19472" s="6" t="n">
        <f aca="false">Sens!I19470-Sens!I19471</f>
        <v>27.5010356722546</v>
      </c>
      <c r="J19472" s="6" t="n">
        <f aca="false">Sens!J19470-Sens!J19471</f>
        <v>127.534629815096</v>
      </c>
      <c r="K19472" s="6" t="n">
        <f aca="false">Sens!K19470-Sens!K19471</f>
        <v>254.913842569003</v>
      </c>
    </row>
    <row r="19473" customFormat="false" ht="15" hidden="false" customHeight="false" outlineLevel="0" collapsed="false">
      <c r="A19473" s="1" t="s">
        <v>1132</v>
      </c>
      <c r="B19473" s="0" t="s">
        <v>75</v>
      </c>
      <c r="F19473" s="30" t="n">
        <f aca="false">px*(1+bb_g)^(Sens!F19331-base_fy-mid_yr)</f>
        <v>551.84177959629</v>
      </c>
      <c r="G19473" s="30" t="n">
        <f aca="false">px*(1+bb_g)^(Sens!G19331-base_fy-mid_yr)</f>
        <v>595.989121963993</v>
      </c>
      <c r="H19473" s="30" t="n">
        <f aca="false">px*(1+bb_g)^(Sens!H19331-base_fy-mid_yr)</f>
        <v>643.668251721112</v>
      </c>
      <c r="I19473" s="30" t="n">
        <f aca="false">px*(1+bb_g)^(Sens!I19331-base_fy-mid_yr)</f>
        <v>695.161711858801</v>
      </c>
      <c r="J19473" s="30" t="n">
        <f aca="false">px*(1+bb_g)^(Sens!J19331-base_fy-mid_yr)</f>
        <v>750.774648807506</v>
      </c>
      <c r="K19473" s="30" t="n">
        <f aca="false">px*(1+bb_g)^(Sens!K19331-base_fy-mid_yr)</f>
        <v>810.836620712106</v>
      </c>
    </row>
    <row r="19474" customFormat="false" ht="15" hidden="false" customHeight="false" outlineLevel="0" collapsed="false">
      <c r="A19474" s="1" t="s">
        <v>1133</v>
      </c>
      <c r="B19474" s="1" t="s">
        <v>81</v>
      </c>
      <c r="E19474" s="15" t="n">
        <f aca="false">sh_out26</f>
        <v>7.427</v>
      </c>
      <c r="F19474" s="15" t="n">
        <f aca="false">Sens!E19474+sh_iss-Sens!F19468/Sens!F19473</f>
        <v>7.472</v>
      </c>
      <c r="G19474" s="15" t="n">
        <f aca="false">Sens!F19474+sh_iss-Sens!G19468/Sens!G19473</f>
        <v>7.517</v>
      </c>
      <c r="H19474" s="15" t="n">
        <f aca="false">Sens!G19474+sh_iss-Sens!H19468/Sens!H19473</f>
        <v>7.562</v>
      </c>
      <c r="I19474" s="15" t="n">
        <f aca="false">Sens!H19474+sh_iss-Sens!I19468/Sens!I19473</f>
        <v>7.57496285005334</v>
      </c>
      <c r="J19474" s="15" t="n">
        <f aca="false">Sens!I19474+sh_iss-Sens!J19468/Sens!J19473</f>
        <v>7.59029882232494</v>
      </c>
      <c r="K19474" s="15" t="n">
        <f aca="false">Sens!J19474+sh_iss-Sens!K19468/Sens!K19473</f>
        <v>7.60783212998384</v>
      </c>
    </row>
    <row r="19475" customFormat="false" ht="15" hidden="false" customHeight="false" outlineLevel="0" collapsed="false">
      <c r="A19475" s="1" t="s">
        <v>1134</v>
      </c>
      <c r="B19475" s="1" t="s">
        <v>81</v>
      </c>
      <c r="E19475" s="15" t="n">
        <f aca="false">sh_dil26</f>
        <v>7.453</v>
      </c>
      <c r="F19475" s="15" t="n">
        <f aca="false">(Sens!E19474+Sens!F19474)/2+dil_gap</f>
        <v>7.4735</v>
      </c>
      <c r="G19475" s="15" t="n">
        <f aca="false">(Sens!F19474+Sens!G19474)/2+dil_gap</f>
        <v>7.5185</v>
      </c>
      <c r="H19475" s="15" t="n">
        <f aca="false">(Sens!G19474+Sens!H19474)/2+dil_gap</f>
        <v>7.5635</v>
      </c>
      <c r="I19475" s="15" t="n">
        <f aca="false">(Sens!H19474+Sens!I19474)/2+dil_gap</f>
        <v>7.59248142502667</v>
      </c>
      <c r="J19475" s="15" t="n">
        <f aca="false">(Sens!I19474+Sens!J19474)/2+dil_gap</f>
        <v>7.60663083618914</v>
      </c>
      <c r="K19475" s="15" t="n">
        <f aca="false">(Sens!J19474+Sens!K19474)/2+dil_gap</f>
        <v>7.62306547615439</v>
      </c>
    </row>
    <row r="19476" customFormat="false" ht="17.15" hidden="false" customHeight="false" outlineLevel="0" collapsed="false">
      <c r="A19476" s="1" t="s">
        <v>1135</v>
      </c>
      <c r="B19476" s="0" t="s">
        <v>98</v>
      </c>
      <c r="C19476" s="6" t="n">
        <f aca="false">SUM(Sens!F19466:J19466)</f>
        <v>141.369629815096</v>
      </c>
    </row>
    <row r="19477" customFormat="false" ht="15" hidden="false" customHeight="false" outlineLevel="0" collapsed="false">
      <c r="A19477" s="26" t="s">
        <v>1100</v>
      </c>
      <c r="B19477" s="31" t="s">
        <v>98</v>
      </c>
      <c r="C19477" s="27" t="n">
        <f aca="false">Sens!$C$19476-(Sens!F19466+Sens!G19466+Sens!H19466+Sens!I19466+Sens!J19466)</f>
        <v>0</v>
      </c>
      <c r="D19477" s="31"/>
      <c r="E19477" s="31"/>
      <c r="F19477" s="31"/>
      <c r="G19477" s="31"/>
      <c r="H19477" s="31"/>
      <c r="I19477" s="31"/>
      <c r="J19477" s="31"/>
      <c r="K19477" s="31"/>
    </row>
    <row r="19478" customFormat="false" ht="17.15" hidden="false" customHeight="false" outlineLevel="0" collapsed="false">
      <c r="A19478" s="1" t="s">
        <v>1094</v>
      </c>
      <c r="B19478" s="1" t="s">
        <v>1136</v>
      </c>
      <c r="C19478" s="33" t="str">
        <f aca="false">IF(SUM(Sens!F19469:J19469)&gt;0.05,"需要舉債 "&amp;TEXT(SUM(Sens!F19469:J19469),"0.0")&amp;" 十億美元","不需舉債")&amp;"；"&amp;IF(SUM(Sens!F19468:J19468)&lt;COUNT(Sens!F19468:J19468)*bb_target-0.05,"回購較每年 "&amp;TEXT(bb_target,"0.0")&amp;" 的目標少 "&amp;TEXT(COUNT(Sens!F19468:J19468)*bb_target-SUM(Sens!F19468:J19468),"0.0")&amp;" 十億美元（"&amp;TEXT(COUNTIF(Sens!F19468:J19468,"&lt;"&amp;(bb_target-0.05)),"0")&amp;" 年減少）","回購不減")</f>
        <v>需要舉債 24.2 十億美元；回購較每年 22.3 的目標少 66.8 十億美元（3 年減少）</v>
      </c>
    </row>
    <row r="19479" customFormat="false" ht="17.15" hidden="false" customHeight="false" outlineLevel="0" collapsed="false">
      <c r="A19479" s="3" t="s">
        <v>2093</v>
      </c>
    </row>
    <row r="19480" customFormat="false" ht="15" hidden="false" customHeight="false" outlineLevel="0" collapsed="false">
      <c r="A19480" s="4" t="s">
        <v>43</v>
      </c>
      <c r="B19480" s="4" t="s">
        <v>65</v>
      </c>
      <c r="C19480" s="23" t="s">
        <v>942</v>
      </c>
      <c r="D19480" s="23" t="s">
        <v>943</v>
      </c>
      <c r="E19480" s="23" t="s">
        <v>944</v>
      </c>
      <c r="F19480" s="23" t="s">
        <v>945</v>
      </c>
      <c r="G19480" s="23" t="s">
        <v>946</v>
      </c>
      <c r="H19480" s="23" t="s">
        <v>947</v>
      </c>
      <c r="I19480" s="23" t="s">
        <v>948</v>
      </c>
      <c r="J19480" s="23" t="s">
        <v>949</v>
      </c>
      <c r="K19480" s="23" t="s">
        <v>950</v>
      </c>
      <c r="L19480" s="4" t="s">
        <v>47</v>
      </c>
    </row>
    <row r="19481" customFormat="false" ht="17.15" hidden="false" customHeight="false" outlineLevel="0" collapsed="false">
      <c r="A19481" s="1" t="s">
        <v>1216</v>
      </c>
      <c r="B19481" s="1" t="s">
        <v>279</v>
      </c>
      <c r="F19481" s="8" t="n">
        <f aca="false">(1-v_off)*mid_yr</f>
        <v>0.373972602739726</v>
      </c>
      <c r="G19481" s="8" t="n">
        <f aca="false">Sens!G19331-base_fy-mid_yr-v_off</f>
        <v>1.24794520547945</v>
      </c>
      <c r="H19481" s="8" t="n">
        <f aca="false">Sens!H19331-base_fy-mid_yr-v_off</f>
        <v>2.24794520547945</v>
      </c>
      <c r="I19481" s="8" t="n">
        <f aca="false">Sens!I19331-base_fy-mid_yr-v_off</f>
        <v>3.24794520547945</v>
      </c>
      <c r="J19481" s="8" t="n">
        <f aca="false">Sens!J19331-base_fy-mid_yr-v_off</f>
        <v>4.24794520547945</v>
      </c>
      <c r="K19481" s="8" t="n">
        <f aca="false">Sens!K19331-base_fy-mid_yr-v_off</f>
        <v>5.24794520547945</v>
      </c>
      <c r="L19481" s="12" t="s">
        <v>1217</v>
      </c>
    </row>
    <row r="19482" customFormat="false" ht="15" hidden="false" customHeight="false" outlineLevel="0" collapsed="false">
      <c r="A19482" s="1" t="s">
        <v>1218</v>
      </c>
      <c r="B19482" s="1" t="s">
        <v>279</v>
      </c>
      <c r="F19482" s="8" t="n">
        <f aca="false">Sens!F19331-base_fy-v_off</f>
        <v>0.747945205479452</v>
      </c>
      <c r="G19482" s="8" t="n">
        <f aca="false">Sens!G19331-base_fy-v_off</f>
        <v>1.74794520547945</v>
      </c>
      <c r="H19482" s="8" t="n">
        <f aca="false">Sens!H19331-base_fy-v_off</f>
        <v>2.74794520547945</v>
      </c>
      <c r="I19482" s="8" t="n">
        <f aca="false">Sens!I19331-base_fy-v_off</f>
        <v>3.74794520547945</v>
      </c>
      <c r="J19482" s="8" t="n">
        <f aca="false">Sens!J19331-base_fy-v_off</f>
        <v>4.74794520547945</v>
      </c>
      <c r="K19482" s="8" t="n">
        <f aca="false">Sens!K19331-base_fy-v_off</f>
        <v>5.74794520547945</v>
      </c>
    </row>
    <row r="19483" customFormat="false" ht="15" hidden="false" customHeight="false" outlineLevel="0" collapsed="false">
      <c r="A19483" s="1" t="s">
        <v>1219</v>
      </c>
      <c r="B19483" s="0" t="s">
        <v>229</v>
      </c>
      <c r="F19483" s="15" t="n">
        <f aca="false">1/(1+wacc)^Sens!F19481</f>
        <v>0.964022703286649</v>
      </c>
      <c r="G19483" s="15" t="n">
        <f aca="false">1/(1+wacc)^Sens!G19481</f>
        <v>0.884910302296739</v>
      </c>
      <c r="H19483" s="15" t="n">
        <f aca="false">1/(1+wacc)^Sens!H19481</f>
        <v>0.802322009770358</v>
      </c>
      <c r="I19483" s="15" t="n">
        <f aca="false">1/(1+wacc)^Sens!I19481</f>
        <v>0.727441646561469</v>
      </c>
      <c r="J19483" s="15" t="n">
        <f aca="false">1/(1+wacc)^Sens!J19481</f>
        <v>0.659549834988973</v>
      </c>
      <c r="K19483" s="15" t="n">
        <f aca="false">1/(1+wacc)^Sens!K19481</f>
        <v>0.597994336576966</v>
      </c>
    </row>
    <row r="19484" customFormat="false" ht="17.15" hidden="false" customHeight="false" outlineLevel="0" collapsed="false">
      <c r="A19484" s="1" t="s">
        <v>1220</v>
      </c>
      <c r="B19484" s="0" t="s">
        <v>98</v>
      </c>
      <c r="F19484" s="6" t="n">
        <f aca="false">Q!$I$35-Q!$I$39-Q!$I$43</f>
        <v>9.666</v>
      </c>
      <c r="L19484" s="12" t="s">
        <v>1221</v>
      </c>
    </row>
    <row r="19485" customFormat="false" ht="17.15" hidden="false" customHeight="false" outlineLevel="0" collapsed="false">
      <c r="A19485" s="1" t="s">
        <v>1222</v>
      </c>
      <c r="B19485" s="0" t="s">
        <v>98</v>
      </c>
      <c r="F19485" s="6" t="n">
        <f aca="false">Sens!F19456-Sens!F19453-Sens!F19460+Sens!F19438*(1-tax_f)*(1-v_off)-Sens!F19484</f>
        <v>-5.69868589459057</v>
      </c>
      <c r="G19485" s="6" t="n">
        <f aca="false">Sens!G19456-Sens!G19453-Sens!G19460+Sens!G19438*(1-tax_f)</f>
        <v>19.6985504169209</v>
      </c>
      <c r="H19485" s="6" t="n">
        <f aca="false">Sens!H19456-Sens!H19453-Sens!H19460+Sens!H19438*(1-tax_f)</f>
        <v>57.2298700920954</v>
      </c>
      <c r="I19485" s="6" t="n">
        <f aca="false">Sens!I19456-Sens!I19453-Sens!I19460+Sens!I19438*(1-tax_f)</f>
        <v>128.734366785305</v>
      </c>
      <c r="J19485" s="6" t="n">
        <f aca="false">Sens!J19456-Sens!J19453-Sens!J19460+Sens!J19438*(1-tax_f)</f>
        <v>202.896553647138</v>
      </c>
      <c r="K19485" s="6" t="n">
        <f aca="false">Sens!K19456-Sens!K19453-Sens!K19460+Sens!K19438*(1-tax_f)</f>
        <v>237.792935261267</v>
      </c>
      <c r="L19485" s="1" t="s">
        <v>1223</v>
      </c>
    </row>
    <row r="19486" customFormat="false" ht="15" hidden="false" customHeight="false" outlineLevel="0" collapsed="false">
      <c r="A19486" s="1" t="s">
        <v>1224</v>
      </c>
      <c r="B19486" s="0" t="s">
        <v>98</v>
      </c>
      <c r="F19486" s="6" t="n">
        <f aca="false">Sens!F19485*Sens!F19483</f>
        <v>-5.4936625812847</v>
      </c>
      <c r="G19486" s="6" t="n">
        <f aca="false">Sens!G19485*Sens!G19483</f>
        <v>17.431450204245</v>
      </c>
      <c r="H19486" s="6" t="n">
        <f aca="false">Sens!H19485*Sens!H19483</f>
        <v>45.9167843911865</v>
      </c>
      <c r="I19486" s="6" t="n">
        <f aca="false">Sens!I19485*Sens!I19483</f>
        <v>93.6467397433503</v>
      </c>
      <c r="J19486" s="6" t="n">
        <f aca="false">Sens!J19485*Sens!J19483</f>
        <v>133.820388477801</v>
      </c>
      <c r="K19486" s="6" t="n">
        <f aca="false">Sens!K19485*Sens!K19483</f>
        <v>142.19882856425</v>
      </c>
    </row>
    <row r="19487" customFormat="false" ht="17.15" hidden="false" customHeight="false" outlineLevel="0" collapsed="false">
      <c r="A19487" s="1" t="s">
        <v>1225</v>
      </c>
      <c r="B19487" s="0" t="s">
        <v>98</v>
      </c>
      <c r="C19487" s="6" t="n">
        <f aca="false">SUM(Sens!F19486:K19486)</f>
        <v>427.520528799548</v>
      </c>
    </row>
    <row r="19488" customFormat="false" ht="17.15" hidden="false" customHeight="false" outlineLevel="0" collapsed="false">
      <c r="A19488" s="1" t="s">
        <v>1226</v>
      </c>
      <c r="B19488" s="0" t="s">
        <v>98</v>
      </c>
      <c r="C19488" s="6" t="n">
        <f aca="false">Sens!K19424*(1+g_tv)*(1-tax_f)</f>
        <v>249.581444323251</v>
      </c>
    </row>
    <row r="19489" customFormat="false" ht="17.15" hidden="false" customHeight="false" outlineLevel="0" collapsed="false">
      <c r="A19489" s="1" t="s">
        <v>1227</v>
      </c>
      <c r="B19489" s="0" t="s">
        <v>98</v>
      </c>
      <c r="C19489" s="6" t="n">
        <f aca="false">Sens!$C$19488*(1-g_tv/(wacc+ronic_prem))</f>
        <v>176.843040409577</v>
      </c>
    </row>
    <row r="19490" customFormat="false" ht="17.15" hidden="false" customHeight="false" outlineLevel="0" collapsed="false">
      <c r="A19490" s="1" t="s">
        <v>1228</v>
      </c>
      <c r="B19490" s="0" t="s">
        <v>98</v>
      </c>
      <c r="C19490" s="6" t="n">
        <f aca="false">Sens!$C$19489/(wacc-g_tv)</f>
        <v>2424.61346378915</v>
      </c>
    </row>
    <row r="19491" customFormat="false" ht="15" hidden="false" customHeight="false" outlineLevel="0" collapsed="false">
      <c r="A19491" s="1" t="s">
        <v>1229</v>
      </c>
      <c r="B19491" s="0" t="s">
        <v>98</v>
      </c>
      <c r="C19491" s="6" t="n">
        <f aca="false">Sens!$C$19490/(1+wacc)^Sens!K19482</f>
        <v>1380.58868869909</v>
      </c>
    </row>
    <row r="19492" customFormat="false" ht="17.15" hidden="false" customHeight="false" outlineLevel="0" collapsed="false">
      <c r="A19492" s="0" t="s">
        <v>1230</v>
      </c>
      <c r="B19492" s="0" t="s">
        <v>98</v>
      </c>
      <c r="C19492" s="6" t="n">
        <f aca="false">Sens!$C$19487+Sens!$C$19491</f>
        <v>1808.10921749864</v>
      </c>
    </row>
    <row r="19493" customFormat="false" ht="15" hidden="false" customHeight="false" outlineLevel="0" collapsed="false">
      <c r="A19493" s="1" t="s">
        <v>1145</v>
      </c>
      <c r="B19493" s="0" t="s">
        <v>168</v>
      </c>
      <c r="C19493" s="7" t="n">
        <f aca="false">Sens!$C$19491/Sens!$C$19492</f>
        <v>0.763553813750816</v>
      </c>
    </row>
    <row r="19494" customFormat="false" ht="17.15" hidden="false" customHeight="false" outlineLevel="0" collapsed="false">
      <c r="A19494" s="1" t="s">
        <v>1231</v>
      </c>
      <c r="B19494" s="0" t="s">
        <v>98</v>
      </c>
      <c r="C19494" s="6" t="n">
        <f aca="false">Sens!$C$19492+cash_val-debt_val-fl_val+oai_v</f>
        <v>1923.96021749864</v>
      </c>
    </row>
    <row r="19495" customFormat="false" ht="17.15" hidden="false" customHeight="false" outlineLevel="0" collapsed="false">
      <c r="A19495" s="0" t="s">
        <v>1153</v>
      </c>
      <c r="B19495" s="0" t="s">
        <v>75</v>
      </c>
      <c r="C19495" s="5" t="n">
        <f aca="false">Sens!$C$19494/shd_val</f>
        <v>258.388425664603</v>
      </c>
    </row>
    <row r="19496" customFormat="false" ht="15" hidden="false" customHeight="false" outlineLevel="0" collapsed="false">
      <c r="A19496" s="1" t="s">
        <v>1232</v>
      </c>
      <c r="B19496" s="0" t="s">
        <v>75</v>
      </c>
      <c r="C19496" s="8" t="n">
        <f aca="false">div_rem27+Sens!G19464*roll_div_q/q_per_yr</f>
        <v>3.9795</v>
      </c>
    </row>
    <row r="19497" customFormat="false" ht="17.15" hidden="false" customHeight="false" outlineLevel="0" collapsed="false">
      <c r="A19497" s="0" t="s">
        <v>1233</v>
      </c>
      <c r="B19497" s="0" t="s">
        <v>75</v>
      </c>
      <c r="C19497" s="5" t="n">
        <f aca="false">Sens!$C$19495*(1+wacc)^t_roll-Sens!$C$19496</f>
        <v>283.233655976437</v>
      </c>
    </row>
    <row r="19498" customFormat="false" ht="17.15" hidden="false" customHeight="false" outlineLevel="0" collapsed="false">
      <c r="A19498" s="1" t="s">
        <v>1234</v>
      </c>
      <c r="B19498" s="0" t="s">
        <v>168</v>
      </c>
      <c r="F19498" s="7" t="n">
        <f aca="false">Sens!F19450/(Sens!F19395-Sens!F19350)</f>
        <v>0.0686907243452664</v>
      </c>
      <c r="G19498" s="7" t="n">
        <f aca="false">Sens!G19450/(Sens!G19395-Sens!G19350)</f>
        <v>0.0663223782930694</v>
      </c>
      <c r="H19498" s="7" t="n">
        <f aca="false">Sens!H19450/(Sens!H19395-Sens!H19350)</f>
        <v>0.0651418869516617</v>
      </c>
      <c r="I19498" s="7" t="n">
        <f aca="false">Sens!I19450/(Sens!I19395-Sens!I19350)</f>
        <v>0.0650111971988879</v>
      </c>
      <c r="J19498" s="7" t="n">
        <f aca="false">Sens!J19450/(Sens!J19395-Sens!J19350)</f>
        <v>0.0657209333590404</v>
      </c>
      <c r="K19498" s="7" t="n">
        <f aca="false">Sens!K19450/(Sens!K19395-Sens!K19350)</f>
        <v>0.0670384740232344</v>
      </c>
    </row>
    <row r="19499" customFormat="false" ht="17.15" hidden="false" customHeight="false" outlineLevel="0" collapsed="false">
      <c r="A19499" s="0" t="s">
        <v>1235</v>
      </c>
      <c r="B19499" s="0" t="s">
        <v>98</v>
      </c>
      <c r="F19499" s="6" t="n">
        <f aca="false">Sens!F19380*(al_m365+Sens!F19498+sbc_r)</f>
        <v>82.9200875199688</v>
      </c>
      <c r="G19499" s="6" t="n">
        <f aca="false">Sens!G19380*(al_m365+Sens!G19498+sbc_r)</f>
        <v>93.308013404251</v>
      </c>
      <c r="H19499" s="6" t="n">
        <f aca="false">Sens!H19380*(al_m365+Sens!H19498+sbc_r)</f>
        <v>103.856870854596</v>
      </c>
      <c r="I19499" s="6" t="n">
        <f aca="false">Sens!I19380*(al_m365+Sens!I19498+sbc_r)</f>
        <v>113.89010731465</v>
      </c>
      <c r="J19499" s="6" t="n">
        <f aca="false">Sens!J19380*(al_m365+Sens!J19498+sbc_r)</f>
        <v>123.218419133669</v>
      </c>
      <c r="K19499" s="6" t="n">
        <f aca="false">Sens!K19380*(al_m365+Sens!K19498+sbc_r)</f>
        <v>132.148884194278</v>
      </c>
      <c r="L19499" s="12" t="s">
        <v>1236</v>
      </c>
    </row>
    <row r="19500" customFormat="false" ht="17.15" hidden="false" customHeight="false" outlineLevel="0" collapsed="false">
      <c r="A19500" s="0" t="s">
        <v>1237</v>
      </c>
      <c r="B19500" s="0" t="s">
        <v>98</v>
      </c>
      <c r="F19500" s="6" t="n">
        <f aca="false">Sens!F19381*(al_lic+Sens!F19498+sbc_r)</f>
        <v>32.8604971074702</v>
      </c>
      <c r="G19500" s="6" t="n">
        <f aca="false">Sens!G19381*(al_lic+Sens!G19498+sbc_r)</f>
        <v>34.1571926396192</v>
      </c>
      <c r="H19500" s="6" t="n">
        <f aca="false">Sens!H19381*(al_lic+Sens!H19498+sbc_r)</f>
        <v>35.3637818250704</v>
      </c>
      <c r="I19500" s="6" t="n">
        <f aca="false">Sens!I19381*(al_lic+Sens!I19498+sbc_r)</f>
        <v>36.4605565454537</v>
      </c>
      <c r="J19500" s="6" t="n">
        <f aca="false">Sens!J19381*(al_lic+Sens!J19498+sbc_r)</f>
        <v>37.4245741918408</v>
      </c>
      <c r="K19500" s="6" t="n">
        <f aca="false">Sens!K19381*(al_lic+Sens!K19498+sbc_r)</f>
        <v>38.2320204978715</v>
      </c>
    </row>
    <row r="19501" customFormat="false" ht="17.15" hidden="false" customHeight="false" outlineLevel="0" collapsed="false">
      <c r="A19501" s="0" t="s">
        <v>1238</v>
      </c>
      <c r="B19501" s="0" t="s">
        <v>98</v>
      </c>
      <c r="F19501" s="6" t="n">
        <f aca="false">Sens!F19383*(al_ind+Sens!F19498+sbc_r)</f>
        <v>9.06200497346202</v>
      </c>
      <c r="G19501" s="6" t="n">
        <f aca="false">Sens!G19383*(al_ind+Sens!G19498+sbc_r)</f>
        <v>9.8481201857709</v>
      </c>
      <c r="H19501" s="6" t="n">
        <f aca="false">Sens!H19383*(al_ind+Sens!H19498+sbc_r)</f>
        <v>10.6769714343205</v>
      </c>
      <c r="I19501" s="6" t="n">
        <f aca="false">Sens!I19383*(al_ind+Sens!I19498+sbc_r)</f>
        <v>11.5440568925767</v>
      </c>
      <c r="J19501" s="6" t="n">
        <f aca="false">Sens!J19383*(al_ind+Sens!J19498+sbc_r)</f>
        <v>12.4407810825127</v>
      </c>
      <c r="K19501" s="6" t="n">
        <f aca="false">Sens!K19383*(al_ind+Sens!K19498+sbc_r)</f>
        <v>13.3551447344458</v>
      </c>
    </row>
    <row r="19502" customFormat="false" ht="17.15" hidden="false" customHeight="false" outlineLevel="0" collapsed="false">
      <c r="A19502" s="0" t="s">
        <v>1239</v>
      </c>
      <c r="B19502" s="0" t="s">
        <v>98</v>
      </c>
      <c r="F19502" s="6" t="n">
        <f aca="false">Sens!F19385*(al_fro+Sens!F19498+sbc_r)</f>
        <v>3.55465239431121</v>
      </c>
      <c r="G19502" s="6" t="n">
        <f aca="false">Sens!G19385*(al_fro+Sens!G19498+sbc_r)</f>
        <v>3.76817941150657</v>
      </c>
      <c r="H19502" s="6" t="n">
        <f aca="false">Sens!H19385*(al_fro+Sens!H19498+sbc_r)</f>
        <v>4.00970388701703</v>
      </c>
      <c r="I19502" s="6" t="n">
        <f aca="false">Sens!I19385*(al_fro+Sens!I19498+sbc_r)</f>
        <v>4.28155190586466</v>
      </c>
      <c r="J19502" s="6" t="n">
        <f aca="false">Sens!J19385*(al_fro+Sens!J19498+sbc_r)</f>
        <v>4.58536131766244</v>
      </c>
      <c r="K19502" s="6" t="n">
        <f aca="false">Sens!K19385*(al_fro+Sens!K19498+sbc_r)</f>
        <v>4.92237293229039</v>
      </c>
    </row>
    <row r="19503" customFormat="false" ht="17.15" hidden="false" customHeight="false" outlineLevel="0" collapsed="false">
      <c r="A19503" s="0" t="s">
        <v>1240</v>
      </c>
      <c r="B19503" s="0" t="s">
        <v>98</v>
      </c>
      <c r="F19503" s="6" t="n">
        <f aca="false">Sens!F19388*(al_srch+Sens!F19498+sbc_r)</f>
        <v>11.1910513411913</v>
      </c>
      <c r="G19503" s="6" t="n">
        <f aca="false">Sens!G19388*(al_srch+Sens!G19498+sbc_r)</f>
        <v>12.2766099616496</v>
      </c>
      <c r="H19503" s="6" t="n">
        <f aca="false">Sens!H19388*(al_srch+Sens!H19498+sbc_r)</f>
        <v>13.4045396336146</v>
      </c>
      <c r="I19503" s="6" t="n">
        <f aca="false">Sens!I19388*(al_srch+Sens!I19498+sbc_r)</f>
        <v>14.5622382008307</v>
      </c>
      <c r="J19503" s="6" t="n">
        <f aca="false">Sens!J19388*(al_srch+Sens!J19498+sbc_r)</f>
        <v>15.7310251080546</v>
      </c>
      <c r="K19503" s="6" t="n">
        <f aca="false">Sens!K19388*(al_srch+Sens!K19498+sbc_r)</f>
        <v>16.887212767901</v>
      </c>
    </row>
    <row r="19504" customFormat="false" ht="17.15" hidden="false" customHeight="false" outlineLevel="0" collapsed="false">
      <c r="A19504" s="0" t="s">
        <v>1241</v>
      </c>
      <c r="B19504" s="0" t="s">
        <v>98</v>
      </c>
      <c r="F19504" s="6" t="n">
        <f aca="false">Sens!F19356-Sens!F19357+Sens!F19438</f>
        <v>39.6010495466466</v>
      </c>
      <c r="G19504" s="6" t="n">
        <f aca="false">Sens!G19356-Sens!G19357+Sens!G19438</f>
        <v>70.5582907149851</v>
      </c>
      <c r="H19504" s="6" t="n">
        <f aca="false">Sens!H19356-Sens!H19357+Sens!H19438</f>
        <v>98.4703811638103</v>
      </c>
      <c r="I19504" s="6" t="n">
        <f aca="false">Sens!I19356-Sens!I19357+Sens!I19438</f>
        <v>130.120375091479</v>
      </c>
      <c r="J19504" s="6" t="n">
        <f aca="false">Sens!J19356-Sens!J19357+Sens!J19438</f>
        <v>152.61058083016</v>
      </c>
      <c r="K19504" s="6" t="n">
        <f aca="false">Sens!K19356-Sens!K19357+Sens!K19438</f>
        <v>167.187894710032</v>
      </c>
    </row>
    <row r="19505" customFormat="false" ht="17.15" hidden="false" customHeight="false" outlineLevel="0" collapsed="false">
      <c r="A19505" s="0" t="s">
        <v>1242</v>
      </c>
      <c r="B19505" s="0" t="s">
        <v>98</v>
      </c>
      <c r="F19505" s="6" t="n">
        <f aca="false">Sens!F19417+Sens!F19438+Sens!F19368+Sens!F19498*(Sens!F19387-Sens!F19350)+sbc_r*Sens!F19387</f>
        <v>235.301261626424</v>
      </c>
      <c r="G19505" s="6" t="n">
        <f aca="false">Sens!G19417+Sens!G19438+Sens!G19368+Sens!G19498*(Sens!G19387-Sens!G19350)+sbc_r*Sens!G19387</f>
        <v>286.537436929525</v>
      </c>
      <c r="H19505" s="6" t="n">
        <f aca="false">Sens!H19417+Sens!H19438+Sens!H19368+Sens!H19498*(Sens!H19387-Sens!H19350)+sbc_r*Sens!H19387</f>
        <v>339.84885907366</v>
      </c>
      <c r="I19505" s="6" t="n">
        <f aca="false">Sens!I19417+Sens!I19438+Sens!I19368+Sens!I19498*(Sens!I19387-Sens!I19350)+sbc_r*Sens!I19387</f>
        <v>396.284238738095</v>
      </c>
      <c r="J19505" s="6" t="n">
        <f aca="false">Sens!J19417+Sens!J19438+Sens!J19368+Sens!J19498*(Sens!J19387-Sens!J19350)+sbc_r*Sens!J19387</f>
        <v>441.640222420933</v>
      </c>
      <c r="K19505" s="6" t="n">
        <f aca="false">Sens!K19417+Sens!K19438+Sens!K19368+Sens!K19498*(Sens!K19387-Sens!K19350)+sbc_r*Sens!K19387</f>
        <v>476.752115520048</v>
      </c>
    </row>
    <row r="19506" customFormat="false" ht="17.15" hidden="false" customHeight="false" outlineLevel="0" collapsed="false">
      <c r="A19506" s="0" t="s">
        <v>1243</v>
      </c>
      <c r="B19506" s="0" t="s">
        <v>98</v>
      </c>
      <c r="F19506" s="6" t="n">
        <f aca="false">Sens!F19505-Sens!F19499-Sens!F19500-Sens!F19501-Sens!F19502-Sens!F19504</f>
        <v>67.3029700845652</v>
      </c>
      <c r="G19506" s="6" t="n">
        <f aca="false">Sens!G19505-Sens!G19499-Sens!G19500-Sens!G19501-Sens!G19502-Sens!G19504</f>
        <v>74.8976405733926</v>
      </c>
      <c r="H19506" s="6" t="n">
        <f aca="false">Sens!H19505-Sens!H19499-Sens!H19500-Sens!H19501-Sens!H19502-Sens!H19504</f>
        <v>87.4711499088458</v>
      </c>
      <c r="I19506" s="6" t="n">
        <f aca="false">Sens!I19505-Sens!I19499-Sens!I19500-Sens!I19501-Sens!I19502-Sens!I19504</f>
        <v>99.9875909880707</v>
      </c>
      <c r="J19506" s="6" t="n">
        <f aca="false">Sens!J19505-Sens!J19499-Sens!J19500-Sens!J19501-Sens!J19502-Sens!J19504</f>
        <v>111.360505865088</v>
      </c>
      <c r="K19506" s="6" t="n">
        <f aca="false">Sens!K19505-Sens!K19499-Sens!K19500-Sens!K19501-Sens!K19502-Sens!K19504</f>
        <v>120.90579845113</v>
      </c>
    </row>
    <row r="19507" customFormat="false" ht="17.15" hidden="false" customHeight="false" outlineLevel="0" collapsed="false">
      <c r="A19507" s="0" t="s">
        <v>1244</v>
      </c>
      <c r="B19507" s="0" t="s">
        <v>98</v>
      </c>
      <c r="F19507" s="6" t="n">
        <f aca="false">Sens!F19419+Sens!F19498*Sens!F19394+sbc_r*Sens!F19394</f>
        <v>26.6382121888707</v>
      </c>
      <c r="G19507" s="6" t="n">
        <f aca="false">Sens!G19419+Sens!G19498*Sens!G19394+sbc_r*Sens!G19394</f>
        <v>26.5044961702931</v>
      </c>
      <c r="H19507" s="6" t="n">
        <f aca="false">Sens!H19419+Sens!H19498*Sens!H19394+sbc_r*Sens!H19394</f>
        <v>27.3984882223102</v>
      </c>
      <c r="I19507" s="6" t="n">
        <f aca="false">Sens!I19419+Sens!I19498*Sens!I19394+sbc_r*Sens!I19394</f>
        <v>28.5178162210517</v>
      </c>
      <c r="J19507" s="6" t="n">
        <f aca="false">Sens!J19419+Sens!J19498*Sens!J19394+sbc_r*Sens!J19394</f>
        <v>29.8313748601673</v>
      </c>
      <c r="K19507" s="6" t="n">
        <f aca="false">Sens!K19419+Sens!K19498*Sens!K19394+sbc_r*Sens!K19394</f>
        <v>31.3101233737396</v>
      </c>
    </row>
    <row r="19508" customFormat="false" ht="17.15" hidden="false" customHeight="false" outlineLevel="0" collapsed="false">
      <c r="A19508" s="0" t="s">
        <v>1245</v>
      </c>
      <c r="B19508" s="0" t="s">
        <v>98</v>
      </c>
      <c r="F19508" s="6" t="n">
        <f aca="false">(Sens!F19507-Sens!F19503)*Sens!F19390/(Sens!F19390+Sens!F19392)</f>
        <v>8.72433274879832</v>
      </c>
      <c r="G19508" s="6" t="n">
        <f aca="false">(Sens!G19507-Sens!G19503)*Sens!G19390/(Sens!G19390+Sens!G19392)</f>
        <v>7.89760016777099</v>
      </c>
      <c r="H19508" s="6" t="n">
        <f aca="false">(Sens!H19507-Sens!H19503)*Sens!H19390/(Sens!H19390+Sens!H19392)</f>
        <v>7.66655558327331</v>
      </c>
      <c r="I19508" s="6" t="n">
        <f aca="false">(Sens!I19507-Sens!I19503)*Sens!I19390/(Sens!I19390+Sens!I19392)</f>
        <v>7.57880065265685</v>
      </c>
      <c r="J19508" s="6" t="n">
        <f aca="false">(Sens!J19507-Sens!J19503)*Sens!J19390/(Sens!J19390+Sens!J19392)</f>
        <v>7.62401229884207</v>
      </c>
      <c r="K19508" s="6" t="n">
        <f aca="false">(Sens!K19507-Sens!K19503)*Sens!K19390/(Sens!K19390+Sens!K19392)</f>
        <v>7.79841988157335</v>
      </c>
    </row>
    <row r="19509" customFormat="false" ht="17.15" hidden="false" customHeight="false" outlineLevel="0" collapsed="false">
      <c r="A19509" s="0" t="s">
        <v>1246</v>
      </c>
      <c r="B19509" s="0" t="s">
        <v>98</v>
      </c>
      <c r="F19509" s="6" t="n">
        <f aca="false">Sens!F19507-Sens!F19503-Sens!F19508</f>
        <v>6.72282809888111</v>
      </c>
      <c r="G19509" s="6" t="n">
        <f aca="false">Sens!G19507-Sens!G19503-Sens!G19508</f>
        <v>6.33028604087248</v>
      </c>
      <c r="H19509" s="6" t="n">
        <f aca="false">Sens!H19507-Sens!H19503-Sens!H19508</f>
        <v>6.32739300542237</v>
      </c>
      <c r="I19509" s="6" t="n">
        <f aca="false">Sens!I19507-Sens!I19503-Sens!I19508</f>
        <v>6.3767773675642</v>
      </c>
      <c r="J19509" s="6" t="n">
        <f aca="false">Sens!J19507-Sens!J19503-Sens!J19508</f>
        <v>6.47633745327057</v>
      </c>
      <c r="K19509" s="6" t="n">
        <f aca="false">Sens!K19507-Sens!K19503-Sens!K19508</f>
        <v>6.62449072426523</v>
      </c>
    </row>
    <row r="19510" customFormat="false" ht="17.15" hidden="false" customHeight="false" outlineLevel="0" collapsed="false">
      <c r="A19510" s="0" t="s">
        <v>1247</v>
      </c>
      <c r="B19510" s="0" t="s">
        <v>98</v>
      </c>
      <c r="F19510" s="6" t="n">
        <f aca="false">Sens!F19504-tax_f*(Sens!F19504-Sens!F19368)-Sens!F19365</f>
        <v>-129.865242865129</v>
      </c>
      <c r="G19510" s="6" t="n">
        <f aca="false">Sens!G19504-tax_f*(Sens!G19504-Sens!G19368)-Sens!G19365</f>
        <v>-123.502426270924</v>
      </c>
      <c r="H19510" s="6" t="n">
        <f aca="false">Sens!H19504-tax_f*(Sens!H19504-Sens!H19368)-Sens!H19365</f>
        <v>-100.187854669877</v>
      </c>
      <c r="I19510" s="6" t="n">
        <f aca="false">Sens!I19504-tax_f*(Sens!I19504-Sens!I19368)-Sens!I19365</f>
        <v>-42.7659865600768</v>
      </c>
      <c r="J19510" s="6" t="n">
        <f aca="false">Sens!J19504-tax_f*(Sens!J19504-Sens!J19368)-Sens!J19365</f>
        <v>17.9106854959203</v>
      </c>
      <c r="K19510" s="6" t="n">
        <f aca="false">Sens!K19504-tax_f*(Sens!K19504-Sens!K19368)-Sens!K19365</f>
        <v>40.1340214073948</v>
      </c>
    </row>
    <row r="19511" customFormat="false" ht="17.15" hidden="false" customHeight="false" outlineLevel="0" collapsed="false">
      <c r="A19511" s="0" t="s">
        <v>1248</v>
      </c>
      <c r="B19511" s="0" t="s">
        <v>98</v>
      </c>
      <c r="G19511" s="6" t="n">
        <f aca="false">Sens!G19510/(1+wacc)^(Sens!G19481-Sens!F19482)</f>
        <v>-117.598076188456</v>
      </c>
      <c r="H19511" s="6" t="n">
        <f aca="false">Sens!H19510/(1+wacc)^(Sens!H19481-Sens!F19482)</f>
        <v>-86.4946527589393</v>
      </c>
      <c r="I19511" s="6" t="n">
        <f aca="false">Sens!I19510/(1+wacc)^(Sens!I19481-Sens!F19482)</f>
        <v>-33.4751192214701</v>
      </c>
      <c r="J19511" s="6" t="n">
        <f aca="false">Sens!J19510/(1+wacc)^(Sens!J19481-Sens!F19482)</f>
        <v>12.7111633586978</v>
      </c>
      <c r="K19511" s="6" t="n">
        <f aca="false">Sens!K19510/(1+wacc)^(Sens!K19481-Sens!F19482)</f>
        <v>25.8246964319154</v>
      </c>
      <c r="L19511" s="1" t="s">
        <v>1249</v>
      </c>
    </row>
    <row r="19512" customFormat="false" ht="17.15" hidden="false" customHeight="false" outlineLevel="0" collapsed="false">
      <c r="A19512" s="0" t="s">
        <v>1250</v>
      </c>
      <c r="B19512" s="0" t="s">
        <v>98</v>
      </c>
      <c r="C19512" s="6" t="n">
        <f aca="false">(Sens!K19504-Sens!K19368)*(1-tax_f)*(1+g_tv)*(1-g_tv/(wacc+ronic_prem))/(wacc-g_tv)/(1+wacc)^(Sens!K19482-Sens!F19482)</f>
        <v>111.983943351095</v>
      </c>
    </row>
    <row r="19513" customFormat="false" ht="17.15" hidden="false" customHeight="false" outlineLevel="0" collapsed="false">
      <c r="A19513" s="1" t="s">
        <v>1251</v>
      </c>
      <c r="B19513" s="0" t="s">
        <v>98</v>
      </c>
      <c r="C19513" s="6" t="n">
        <f aca="false">(SUM(Sens!G19511:K19511)+Sens!$C$19512)*(1+wacc)^(t_roll-Sens!F19482)</f>
        <v>-89.9217642463317</v>
      </c>
      <c r="L19513" s="12" t="s">
        <v>1252</v>
      </c>
    </row>
    <row r="19514" customFormat="false" ht="17.15" hidden="false" customHeight="false" outlineLevel="0" collapsed="false">
      <c r="A19514" s="1" t="s">
        <v>1253</v>
      </c>
      <c r="B19514" s="0" t="s">
        <v>98</v>
      </c>
      <c r="C19514" s="6" t="n">
        <f aca="false">(w_ntm28*Sens!G19356+(1-w_ntm28)*Sens!H19356)*m_ai</f>
        <v>350.052419038202</v>
      </c>
    </row>
    <row r="19515" customFormat="false" ht="17.15" hidden="false" customHeight="false" outlineLevel="0" collapsed="false">
      <c r="A19515" s="1" t="s">
        <v>1254</v>
      </c>
      <c r="B19515" s="0" t="s">
        <v>98</v>
      </c>
      <c r="C19515" s="6" t="n">
        <f aca="false">(w_ntm28*Sens!G19506+(1-w_ntm28)*Sens!H19506)*m_cloud</f>
        <v>1092.21390746926</v>
      </c>
    </row>
    <row r="19516" customFormat="false" ht="17.15" hidden="false" customHeight="false" outlineLevel="0" collapsed="false">
      <c r="A19516" s="1" t="s">
        <v>1255</v>
      </c>
      <c r="B19516" s="0" t="s">
        <v>98</v>
      </c>
      <c r="C19516" s="6" t="n">
        <f aca="false">(w_ntm28*Sens!G19499+(1-w_ntm28)*Sens!H19499)*m_sw</f>
        <v>1045.18221395946</v>
      </c>
    </row>
    <row r="19517" customFormat="false" ht="17.15" hidden="false" customHeight="false" outlineLevel="0" collapsed="false">
      <c r="A19517" s="1" t="s">
        <v>1256</v>
      </c>
      <c r="B19517" s="0" t="s">
        <v>98</v>
      </c>
      <c r="C19517" s="6" t="n">
        <f aca="false">(w_ntm28*Sens!G19500+(1-w_ntm28)*Sens!H19500)*m_sw</f>
        <v>373.181898547188</v>
      </c>
    </row>
    <row r="19518" customFormat="false" ht="17.15" hidden="false" customHeight="false" outlineLevel="0" collapsed="false">
      <c r="A19518" s="1" t="s">
        <v>1257</v>
      </c>
      <c r="B19518" s="0" t="s">
        <v>98</v>
      </c>
      <c r="C19518" s="6" t="n">
        <f aca="false">(w_ntm28*Sens!G19501+(1-w_ntm28)*Sens!H19501)*m_sw</f>
        <v>109.302687645012</v>
      </c>
    </row>
    <row r="19519" customFormat="false" ht="17.15" hidden="false" customHeight="false" outlineLevel="0" collapsed="false">
      <c r="A19519" s="1" t="s">
        <v>1258</v>
      </c>
      <c r="B19519" s="0" t="s">
        <v>98</v>
      </c>
      <c r="C19519" s="6" t="n">
        <f aca="false">(w_ntm28*Sens!G19502+(1-w_ntm28)*Sens!H19502)*m_sw</f>
        <v>41.5539149600561</v>
      </c>
    </row>
    <row r="19520" customFormat="false" ht="17.15" hidden="false" customHeight="false" outlineLevel="0" collapsed="false">
      <c r="A19520" s="1" t="s">
        <v>1259</v>
      </c>
      <c r="B19520" s="0" t="s">
        <v>98</v>
      </c>
      <c r="C19520" s="6" t="n">
        <f aca="false">(w_ntm28*Sens!G19503+(1-w_ntm28)*Sens!H19503)*m_ads</f>
        <v>115.21814337362</v>
      </c>
    </row>
    <row r="19521" customFormat="false" ht="17.15" hidden="false" customHeight="false" outlineLevel="0" collapsed="false">
      <c r="A19521" s="1" t="s">
        <v>1260</v>
      </c>
      <c r="B19521" s="0" t="s">
        <v>98</v>
      </c>
      <c r="C19521" s="6" t="n">
        <f aca="false">(w_ntm28*Sens!G19508+(1-w_ntm28)*Sens!H19508)*m_game</f>
        <v>98.7873170442498</v>
      </c>
    </row>
    <row r="19522" customFormat="false" ht="17.15" hidden="false" customHeight="false" outlineLevel="0" collapsed="false">
      <c r="A19522" s="1" t="s">
        <v>1261</v>
      </c>
      <c r="B19522" s="0" t="s">
        <v>98</v>
      </c>
      <c r="C19522" s="6" t="n">
        <f aca="false">(w_ntm28*Sens!G19509+(1-w_ntm28)*Sens!H19509)*m_pc</f>
        <v>91.5854760888068</v>
      </c>
    </row>
    <row r="19523" customFormat="false" ht="17.15" hidden="false" customHeight="false" outlineLevel="0" collapsed="false">
      <c r="A19523" s="1" t="s">
        <v>1262</v>
      </c>
      <c r="B19523" s="0" t="s">
        <v>98</v>
      </c>
      <c r="C19523" s="6" t="n">
        <f aca="false">Sens!$C$19513+Sens!$C$19515+Sens!$C$19516+Sens!$C$19517+Sens!$C$19518+Sens!$C$19519+Sens!$C$19520+Sens!$C$19521+Sens!$C$19522</f>
        <v>2877.10379484133</v>
      </c>
    </row>
    <row r="19524" customFormat="false" ht="17.15" hidden="false" customHeight="false" outlineLevel="0" collapsed="false">
      <c r="A19524" s="1" t="s">
        <v>1263</v>
      </c>
      <c r="B19524" s="0" t="s">
        <v>98</v>
      </c>
      <c r="C19524" s="6" t="n">
        <f aca="false">(Sens!G19485-Sens!G19510)*t_stub</f>
        <v>47.4721046006282</v>
      </c>
      <c r="L19524" s="1" t="s">
        <v>1264</v>
      </c>
    </row>
    <row r="19525" customFormat="false" ht="17.15" hidden="false" customHeight="false" outlineLevel="0" collapsed="false">
      <c r="A19525" s="1" t="s">
        <v>1173</v>
      </c>
      <c r="B19525" s="0" t="s">
        <v>98</v>
      </c>
      <c r="C19525" s="6" t="n">
        <f aca="false">Sens!F19472+oai_v-Sens!F19461+Sens!$C$19524</f>
        <v>158.965521543392</v>
      </c>
      <c r="L19525" s="1" t="s">
        <v>1265</v>
      </c>
    </row>
    <row r="19526" customFormat="false" ht="17.15" hidden="false" customHeight="false" outlineLevel="0" collapsed="false">
      <c r="A19526" s="1" t="s">
        <v>1266</v>
      </c>
      <c r="B19526" s="0" t="s">
        <v>75</v>
      </c>
      <c r="C19526" s="5" t="n">
        <f aca="false">(Sens!$C$19523+Sens!$C$19525)/(Sens!F19474+dil_gap)-Sens!G19464*roll_div_q/q_per_yr</f>
        <v>403.985755654311</v>
      </c>
      <c r="L19526" s="1" t="s">
        <v>1267</v>
      </c>
    </row>
    <row r="19527" customFormat="false" ht="17.15" hidden="false" customHeight="false" outlineLevel="0" collapsed="false">
      <c r="A19527" s="1" t="s">
        <v>1268</v>
      </c>
      <c r="B19527" s="0" t="s">
        <v>75</v>
      </c>
      <c r="C19527" s="5" t="n">
        <f aca="false">w_dcf*Sens!$C$19497+(1-w_dcf)*Sens!$C$19526</f>
        <v>343.609705815374</v>
      </c>
    </row>
    <row r="19528" customFormat="false" ht="17.15" hidden="false" customHeight="false" outlineLevel="0" collapsed="false">
      <c r="A19528" s="3" t="s">
        <v>2094</v>
      </c>
    </row>
    <row r="19529" customFormat="false" ht="15" hidden="false" customHeight="false" outlineLevel="0" collapsed="false">
      <c r="A19529" s="4" t="s">
        <v>43</v>
      </c>
      <c r="B19529" s="4" t="s">
        <v>65</v>
      </c>
      <c r="C19529" s="23" t="s">
        <v>942</v>
      </c>
      <c r="D19529" s="23" t="s">
        <v>943</v>
      </c>
      <c r="E19529" s="23" t="s">
        <v>944</v>
      </c>
      <c r="F19529" s="23" t="s">
        <v>945</v>
      </c>
      <c r="G19529" s="23" t="s">
        <v>946</v>
      </c>
      <c r="H19529" s="23" t="s">
        <v>947</v>
      </c>
      <c r="I19529" s="23" t="s">
        <v>948</v>
      </c>
      <c r="J19529" s="23" t="s">
        <v>949</v>
      </c>
      <c r="K19529" s="23" t="s">
        <v>950</v>
      </c>
      <c r="L19529" s="4" t="s">
        <v>47</v>
      </c>
    </row>
    <row r="19530" customFormat="false" ht="17.15" hidden="false" customHeight="false" outlineLevel="0" collapsed="false">
      <c r="A19530" s="1" t="s">
        <v>951</v>
      </c>
      <c r="B19530" s="1" t="s">
        <v>279</v>
      </c>
      <c r="C19530" s="21" t="n">
        <v>2024</v>
      </c>
      <c r="D19530" s="21" t="n">
        <v>2025</v>
      </c>
      <c r="E19530" s="21" t="n">
        <v>2026</v>
      </c>
      <c r="F19530" s="21" t="n">
        <v>2027</v>
      </c>
      <c r="G19530" s="21" t="n">
        <v>2028</v>
      </c>
      <c r="H19530" s="21" t="n">
        <v>2029</v>
      </c>
      <c r="I19530" s="21" t="n">
        <v>2030</v>
      </c>
      <c r="J19530" s="21" t="n">
        <v>2031</v>
      </c>
      <c r="K19530" s="21" t="n">
        <v>2032</v>
      </c>
    </row>
    <row r="19531" customFormat="false" ht="17.15" hidden="false" customHeight="false" outlineLevel="0" collapsed="false">
      <c r="A19531" s="1" t="s">
        <v>952</v>
      </c>
      <c r="B19531" s="0" t="s">
        <v>459</v>
      </c>
      <c r="F19531" s="30" t="n">
        <f aca="false">pace</f>
        <v>2726.5351</v>
      </c>
      <c r="G19531" s="30" t="n">
        <f aca="false">pace</f>
        <v>2726.5351</v>
      </c>
      <c r="H19531" s="30" t="n">
        <f aca="false">pace</f>
        <v>2726.5351</v>
      </c>
      <c r="I19531" s="30" t="n">
        <f aca="false">pace+(g_tv*Sens!H19532-pace)*MIN(1,(Sens!I19530-pace_y0)/(pace_y1-pace_y0))</f>
        <v>1931.98611966667</v>
      </c>
      <c r="J19531" s="30" t="n">
        <f aca="false">pace+(g_tv*Sens!I19532-pace)*MIN(1,(Sens!J19530-pace_y0)/(pace_y1-pace_y0))</f>
        <v>1176.07686172667</v>
      </c>
      <c r="K19531" s="30" t="n">
        <f aca="false">pace+(g_tv*Sens!J19532-pace)*MIN(1,(Sens!K19530-pace_y0)/(pace_y1-pace_y0))</f>
        <v>436.1300484418</v>
      </c>
      <c r="L19531" s="12" t="s">
        <v>953</v>
      </c>
    </row>
    <row r="19532" customFormat="false" ht="17.15" hidden="false" customHeight="false" outlineLevel="0" collapsed="false">
      <c r="A19532" s="1" t="s">
        <v>954</v>
      </c>
      <c r="B19532" s="0" t="s">
        <v>459</v>
      </c>
      <c r="C19532" s="30" t="n">
        <f aca="false">mw_ext_24</f>
        <v>640</v>
      </c>
      <c r="D19532" s="30" t="n">
        <f aca="false">mw_ext_25</f>
        <v>1630</v>
      </c>
      <c r="E19532" s="30" t="n">
        <f aca="false">mw_ext_26</f>
        <v>3250</v>
      </c>
      <c r="F19532" s="30" t="n">
        <f aca="false">Sens!E19532+Sens!F19531</f>
        <v>5976.5351</v>
      </c>
      <c r="G19532" s="30" t="n">
        <f aca="false">Sens!F19532+Sens!G19531</f>
        <v>8703.0702</v>
      </c>
      <c r="H19532" s="30" t="n">
        <f aca="false">Sens!G19532+Sens!H19531</f>
        <v>11429.6053</v>
      </c>
      <c r="I19532" s="30" t="n">
        <f aca="false">Sens!H19532+Sens!I19531</f>
        <v>13361.5914196667</v>
      </c>
      <c r="J19532" s="30" t="n">
        <f aca="false">Sens!I19532+Sens!J19531</f>
        <v>14537.6682813933</v>
      </c>
      <c r="K19532" s="30" t="n">
        <f aca="false">Sens!J19532+Sens!K19531</f>
        <v>14973.7983298351</v>
      </c>
      <c r="L19532" s="1" t="s">
        <v>955</v>
      </c>
    </row>
    <row r="19533" customFormat="false" ht="17.15" hidden="false" customHeight="false" outlineLevel="0" collapsed="false">
      <c r="A19533" s="1" t="s">
        <v>956</v>
      </c>
      <c r="B19533" s="0" t="s">
        <v>459</v>
      </c>
      <c r="C19533" s="30" t="n">
        <f aca="false">rent_ext_24</f>
        <v>150</v>
      </c>
      <c r="D19533" s="30" t="n">
        <f aca="false">rent_ext_25</f>
        <v>400</v>
      </c>
      <c r="E19533" s="30" t="n">
        <f aca="false">rent_ext_26</f>
        <v>550</v>
      </c>
      <c r="F19533" s="30" t="n">
        <f aca="false">rent_ext_f</f>
        <v>756</v>
      </c>
      <c r="G19533" s="30" t="n">
        <f aca="false">rent_ext_f</f>
        <v>756</v>
      </c>
      <c r="H19533" s="30" t="n">
        <f aca="false">rent_ext_f</f>
        <v>756</v>
      </c>
      <c r="I19533" s="30" t="n">
        <f aca="false">rent_ext_f</f>
        <v>756</v>
      </c>
      <c r="J19533" s="30" t="n">
        <f aca="false">rent_ext_f</f>
        <v>756</v>
      </c>
      <c r="K19533" s="30" t="n">
        <f aca="false">rent_ext_f</f>
        <v>756</v>
      </c>
      <c r="L19533" s="1" t="s">
        <v>957</v>
      </c>
    </row>
    <row r="19534" customFormat="false" ht="17.15" hidden="false" customHeight="false" outlineLevel="0" collapsed="false">
      <c r="A19534" s="1" t="s">
        <v>958</v>
      </c>
      <c r="B19534" s="0" t="s">
        <v>459</v>
      </c>
      <c r="C19534" s="30" t="n">
        <f aca="false">Sens!C19532-Sens!C19533</f>
        <v>490</v>
      </c>
      <c r="D19534" s="30" t="n">
        <f aca="false">Sens!D19532-Sens!D19533</f>
        <v>1230</v>
      </c>
      <c r="E19534" s="30" t="n">
        <f aca="false">Sens!E19532-Sens!E19533</f>
        <v>2700</v>
      </c>
      <c r="F19534" s="30" t="n">
        <f aca="false">Sens!F19532-Sens!F19533</f>
        <v>5220.5351</v>
      </c>
      <c r="G19534" s="30" t="n">
        <f aca="false">Sens!G19532-Sens!G19533</f>
        <v>7947.0702</v>
      </c>
      <c r="H19534" s="30" t="n">
        <f aca="false">Sens!H19532-Sens!H19533</f>
        <v>10673.6053</v>
      </c>
      <c r="I19534" s="30" t="n">
        <f aca="false">Sens!I19532-Sens!I19533</f>
        <v>12605.5914196667</v>
      </c>
      <c r="J19534" s="30" t="n">
        <f aca="false">Sens!J19532-Sens!J19533</f>
        <v>13781.6682813933</v>
      </c>
      <c r="K19534" s="30" t="n">
        <f aca="false">Sens!K19532-Sens!K19533</f>
        <v>14217.7983298351</v>
      </c>
    </row>
    <row r="19535" customFormat="false" ht="17.15" hidden="false" customHeight="false" outlineLevel="0" collapsed="false">
      <c r="A19535" s="1" t="s">
        <v>959</v>
      </c>
      <c r="B19535" s="0" t="s">
        <v>459</v>
      </c>
      <c r="C19535" s="30" t="n">
        <f aca="false">Sens!C19534/ext_sh</f>
        <v>816.666666666667</v>
      </c>
      <c r="D19535" s="30" t="n">
        <f aca="false">Sens!D19534/ext_sh</f>
        <v>2050</v>
      </c>
      <c r="E19535" s="30" t="n">
        <f aca="false">Sens!E19534/ext_sh</f>
        <v>4500</v>
      </c>
      <c r="F19535" s="30" t="n">
        <f aca="false">Sens!F19534/ext_sh</f>
        <v>8700.89183333333</v>
      </c>
      <c r="G19535" s="30" t="n">
        <f aca="false">Sens!G19534/ext_sh</f>
        <v>13245.117</v>
      </c>
      <c r="H19535" s="30" t="n">
        <f aca="false">Sens!H19534/ext_sh</f>
        <v>17789.3421666667</v>
      </c>
      <c r="I19535" s="30" t="n">
        <f aca="false">Sens!I19534/ext_sh</f>
        <v>21009.3190327778</v>
      </c>
      <c r="J19535" s="30" t="n">
        <f aca="false">Sens!J19534/ext_sh</f>
        <v>22969.4471356556</v>
      </c>
      <c r="K19535" s="30" t="n">
        <f aca="false">Sens!K19534/ext_sh</f>
        <v>23696.3305497252</v>
      </c>
      <c r="L19535" s="1" t="s">
        <v>960</v>
      </c>
    </row>
    <row r="19536" customFormat="false" ht="17.15" hidden="false" customHeight="false" outlineLevel="0" collapsed="false">
      <c r="A19536" s="1" t="s">
        <v>961</v>
      </c>
      <c r="B19536" s="0" t="s">
        <v>459</v>
      </c>
      <c r="C19536" s="30" t="n">
        <f aca="false">Sens!C19535-Sens!C19534</f>
        <v>326.666666666667</v>
      </c>
      <c r="D19536" s="30" t="n">
        <f aca="false">Sens!D19535-Sens!D19534</f>
        <v>820</v>
      </c>
      <c r="E19536" s="30" t="n">
        <f aca="false">Sens!E19535-Sens!E19534</f>
        <v>1800</v>
      </c>
      <c r="F19536" s="30" t="n">
        <f aca="false">Sens!F19535-Sens!F19534</f>
        <v>3480.35673333333</v>
      </c>
      <c r="G19536" s="30" t="n">
        <f aca="false">Sens!G19535-Sens!G19534</f>
        <v>5298.0468</v>
      </c>
      <c r="H19536" s="30" t="n">
        <f aca="false">Sens!H19535-Sens!H19534</f>
        <v>7115.73686666667</v>
      </c>
      <c r="I19536" s="30" t="n">
        <f aca="false">Sens!I19535-Sens!I19534</f>
        <v>8403.72761311111</v>
      </c>
      <c r="J19536" s="30" t="n">
        <f aca="false">Sens!J19535-Sens!J19534</f>
        <v>9187.77885426222</v>
      </c>
      <c r="K19536" s="30" t="n">
        <f aca="false">Sens!K19535-Sens!K19534</f>
        <v>9478.53221989009</v>
      </c>
    </row>
    <row r="19537" customFormat="false" ht="17.15" hidden="false" customHeight="false" outlineLevel="0" collapsed="false">
      <c r="A19537" s="1" t="s">
        <v>962</v>
      </c>
      <c r="B19537" s="0" t="s">
        <v>459</v>
      </c>
      <c r="C19537" s="30" t="n">
        <f aca="false">Sens!C19535</f>
        <v>816.666666666667</v>
      </c>
      <c r="D19537" s="30" t="n">
        <f aca="false">Sens!D19535-Sens!C19535</f>
        <v>1233.33333333333</v>
      </c>
      <c r="E19537" s="30" t="n">
        <f aca="false">Sens!E19535-Sens!D19535</f>
        <v>2450</v>
      </c>
      <c r="F19537" s="30" t="n">
        <f aca="false">Sens!F19535-Sens!E19535</f>
        <v>4200.89183333333</v>
      </c>
      <c r="G19537" s="30" t="n">
        <f aca="false">Sens!G19535-Sens!F19535</f>
        <v>4544.22516666667</v>
      </c>
      <c r="H19537" s="30" t="n">
        <f aca="false">Sens!H19535-Sens!G19535</f>
        <v>4544.22516666667</v>
      </c>
      <c r="I19537" s="30" t="n">
        <f aca="false">Sens!I19535-Sens!H19535</f>
        <v>3219.97686611111</v>
      </c>
      <c r="J19537" s="30" t="n">
        <f aca="false">Sens!J19535-Sens!I19535</f>
        <v>1960.12810287778</v>
      </c>
      <c r="K19537" s="30" t="n">
        <f aca="false">Sens!K19535-Sens!J19535</f>
        <v>726.883414069667</v>
      </c>
    </row>
    <row r="19538" customFormat="false" ht="17.15" hidden="false" customHeight="false" outlineLevel="0" collapsed="false">
      <c r="A19538" s="1" t="s">
        <v>963</v>
      </c>
      <c r="B19538" s="0" t="s">
        <v>459</v>
      </c>
      <c r="D19538" s="30" t="n">
        <f aca="false">Sens!D19532-Sens!C19532</f>
        <v>990</v>
      </c>
      <c r="E19538" s="30" t="n">
        <f aca="false">Sens!E19532-Sens!D19532</f>
        <v>1620</v>
      </c>
      <c r="F19538" s="30" t="n">
        <f aca="false">Sens!F19532-Sens!E19532</f>
        <v>2726.5351</v>
      </c>
      <c r="G19538" s="30" t="n">
        <f aca="false">Sens!G19532-Sens!F19532</f>
        <v>2726.5351</v>
      </c>
      <c r="H19538" s="30" t="n">
        <f aca="false">Sens!H19532-Sens!G19532</f>
        <v>2726.5351</v>
      </c>
      <c r="I19538" s="30" t="n">
        <f aca="false">Sens!I19532-Sens!H19532</f>
        <v>1931.98611966667</v>
      </c>
      <c r="J19538" s="30" t="n">
        <f aca="false">Sens!J19532-Sens!I19532</f>
        <v>1176.07686172667</v>
      </c>
      <c r="K19538" s="30" t="n">
        <f aca="false">Sens!K19532-Sens!J19532</f>
        <v>436.130048441799</v>
      </c>
    </row>
    <row r="19539" customFormat="false" ht="17.15" hidden="false" customHeight="false" outlineLevel="0" collapsed="false">
      <c r="A19539" s="1" t="s">
        <v>964</v>
      </c>
      <c r="B19539" s="0" t="s">
        <v>459</v>
      </c>
      <c r="F19539" s="30" t="n">
        <f aca="false">Sens!F19558*ext_sh</f>
        <v>0</v>
      </c>
      <c r="G19539" s="30" t="n">
        <f aca="false">Sens!G19558*ext_sh</f>
        <v>0</v>
      </c>
      <c r="H19539" s="30" t="n">
        <f aca="false">Sens!H19558*ext_sh</f>
        <v>0</v>
      </c>
      <c r="I19539" s="30" t="n">
        <f aca="false">Sens!I19558*ext_sh</f>
        <v>490</v>
      </c>
      <c r="J19539" s="30" t="n">
        <f aca="false">Sens!J19558*ext_sh</f>
        <v>740</v>
      </c>
      <c r="K19539" s="30" t="n">
        <f aca="false">Sens!K19558*ext_sh</f>
        <v>1470</v>
      </c>
      <c r="L19539" s="1" t="s">
        <v>965</v>
      </c>
    </row>
    <row r="19540" customFormat="false" ht="17.15" hidden="false" customHeight="false" outlineLevel="0" collapsed="false">
      <c r="A19540" s="1" t="s">
        <v>966</v>
      </c>
      <c r="B19540" s="0" t="s">
        <v>459</v>
      </c>
      <c r="C19540" s="30" t="n">
        <f aca="false">mix_h*Sens!C19532</f>
        <v>128</v>
      </c>
      <c r="D19540" s="30" t="n">
        <f aca="false">mix_h*Sens!D19532</f>
        <v>326</v>
      </c>
      <c r="E19540" s="30" t="n">
        <f aca="false">mix_h*Sens!E19532</f>
        <v>650</v>
      </c>
      <c r="F19540" s="30" t="n">
        <f aca="false">Sens!E19540-Sens!F19539*mix_h</f>
        <v>650</v>
      </c>
      <c r="G19540" s="30" t="n">
        <f aca="false">Sens!F19540-Sens!G19539*mix_h</f>
        <v>650</v>
      </c>
      <c r="H19540" s="30" t="n">
        <f aca="false">Sens!G19540-Sens!H19539*mix_h</f>
        <v>650</v>
      </c>
      <c r="I19540" s="30" t="n">
        <f aca="false">Sens!H19540-Sens!I19539*mix_h</f>
        <v>552</v>
      </c>
      <c r="J19540" s="30" t="n">
        <f aca="false">Sens!I19540-Sens!J19539*mix_h</f>
        <v>404</v>
      </c>
      <c r="K19540" s="30" t="n">
        <f aca="false">Sens!J19540-Sens!K19539*mix_h</f>
        <v>110</v>
      </c>
    </row>
    <row r="19541" customFormat="false" ht="17.15" hidden="false" customHeight="false" outlineLevel="0" collapsed="false">
      <c r="A19541" s="1" t="s">
        <v>967</v>
      </c>
      <c r="B19541" s="0" t="s">
        <v>459</v>
      </c>
      <c r="C19541" s="30" t="n">
        <f aca="false">mix_g2*Sens!C19532</f>
        <v>288</v>
      </c>
      <c r="D19541" s="30" t="n">
        <f aca="false">mix_g2*Sens!D19532</f>
        <v>733.5</v>
      </c>
      <c r="E19541" s="30" t="n">
        <f aca="false">mix_g2*Sens!E19532</f>
        <v>1462.5</v>
      </c>
      <c r="F19541" s="30" t="n">
        <f aca="false">Sens!E19541-Sens!F19539*mix_g2</f>
        <v>1462.5</v>
      </c>
      <c r="G19541" s="30" t="n">
        <f aca="false">Sens!F19541-Sens!G19539*mix_g2</f>
        <v>1462.5</v>
      </c>
      <c r="H19541" s="30" t="n">
        <f aca="false">Sens!G19541-Sens!H19539*mix_g2</f>
        <v>1462.5</v>
      </c>
      <c r="I19541" s="30" t="n">
        <f aca="false">Sens!H19541-Sens!I19539*mix_g2</f>
        <v>1242</v>
      </c>
      <c r="J19541" s="30" t="n">
        <f aca="false">Sens!I19541-Sens!J19539*mix_g2</f>
        <v>909</v>
      </c>
      <c r="K19541" s="30" t="n">
        <f aca="false">Sens!J19541-Sens!K19539*mix_g2</f>
        <v>247.5</v>
      </c>
    </row>
    <row r="19542" customFormat="false" ht="17.15" hidden="false" customHeight="false" outlineLevel="0" collapsed="false">
      <c r="A19542" s="1" t="s">
        <v>968</v>
      </c>
      <c r="B19542" s="0" t="s">
        <v>459</v>
      </c>
      <c r="C19542" s="30" t="n">
        <f aca="false">mix_g3*Sens!C19532</f>
        <v>224</v>
      </c>
      <c r="D19542" s="30" t="n">
        <f aca="false">mix_g3*Sens!D19532</f>
        <v>570.5</v>
      </c>
      <c r="E19542" s="30" t="n">
        <f aca="false">mix_g3*Sens!E19532</f>
        <v>1137.5</v>
      </c>
      <c r="F19542" s="30" t="n">
        <f aca="false">Sens!E19542+(Sens!F19538+Sens!F19539)*(a_g3_27-0*a_mai)-Sens!F19539*mix_g3</f>
        <v>3046.07457</v>
      </c>
      <c r="G19542" s="30" t="n">
        <f aca="false">Sens!F19542+(Sens!G19538+Sens!G19539)*(a_g3_28-0*a_mai)-Sens!G19539*mix_g3</f>
        <v>3864.0351</v>
      </c>
      <c r="H19542" s="30" t="n">
        <f aca="false">Sens!G19542+(Sens!H19538+Sens!H19539)*(a_g3_29-0*a_mai)-Sens!H19539*mix_g3</f>
        <v>4136.68861</v>
      </c>
      <c r="I19542" s="30" t="n">
        <f aca="false">Sens!H19542+(Sens!I19538+Sens!I19539)*(a_g3_29-0*a_mai)-Sens!I19539*mix_g3</f>
        <v>4207.38722196667</v>
      </c>
      <c r="J19542" s="30" t="n">
        <f aca="false">Sens!I19542+(Sens!J19538+Sens!J19539)*(a_g3_29-0*a_mai)-Sens!J19539*mix_g3</f>
        <v>4139.99490813933</v>
      </c>
      <c r="K19542" s="30" t="n">
        <f aca="false">Sens!J19542+(Sens!K19538+Sens!K19539)*(a_g3_29-0*a_mai)-Sens!K19539*mix_g3</f>
        <v>3816.10791298351</v>
      </c>
    </row>
    <row r="19543" customFormat="false" ht="17.15" hidden="false" customHeight="false" outlineLevel="0" collapsed="false">
      <c r="A19543" s="1" t="s">
        <v>969</v>
      </c>
      <c r="B19543" s="0" t="s">
        <v>459</v>
      </c>
      <c r="C19543" s="30" t="n">
        <v>0</v>
      </c>
      <c r="D19543" s="30" t="n">
        <v>0</v>
      </c>
      <c r="E19543" s="30" t="n">
        <v>0</v>
      </c>
      <c r="F19543" s="30" t="n">
        <f aca="false">Sens!E19543+(Sens!F19538+Sens!F19539)*0*a_mai</f>
        <v>0</v>
      </c>
      <c r="G19543" s="30" t="n">
        <f aca="false">Sens!F19543+(Sens!G19538+Sens!G19539)*0*a_mai</f>
        <v>0</v>
      </c>
      <c r="H19543" s="30" t="n">
        <f aca="false">Sens!G19543+(Sens!H19538+Sens!H19539)*0*a_mai</f>
        <v>0</v>
      </c>
      <c r="I19543" s="30" t="n">
        <f aca="false">Sens!H19543+(Sens!I19538+Sens!I19539)*0*a_mai</f>
        <v>0</v>
      </c>
      <c r="J19543" s="30" t="n">
        <f aca="false">Sens!I19543+(Sens!J19538+Sens!J19539)*0*a_mai</f>
        <v>0</v>
      </c>
      <c r="K19543" s="30" t="n">
        <f aca="false">Sens!J19543+(Sens!K19538+Sens!K19539)*0*a_mai</f>
        <v>0</v>
      </c>
      <c r="L19543" s="12" t="s">
        <v>970</v>
      </c>
    </row>
    <row r="19544" customFormat="false" ht="17.15" hidden="false" customHeight="false" outlineLevel="0" collapsed="false">
      <c r="A19544" s="1" t="s">
        <v>971</v>
      </c>
      <c r="B19544" s="0" t="s">
        <v>459</v>
      </c>
      <c r="C19544" s="30" t="n">
        <v>0</v>
      </c>
      <c r="D19544" s="30" t="n">
        <v>0</v>
      </c>
      <c r="E19544" s="30" t="n">
        <v>0</v>
      </c>
      <c r="F19544" s="30" t="n">
        <f aca="false">Sens!E19544+(Sens!F19538+Sens!F19539)*(1-a_g3_27)</f>
        <v>817.96053</v>
      </c>
      <c r="G19544" s="30" t="n">
        <f aca="false">Sens!F19544+(Sens!G19538+Sens!G19539)*(1-a_g3_28)</f>
        <v>2726.5351</v>
      </c>
      <c r="H19544" s="30" t="n">
        <f aca="false">Sens!G19544+(Sens!H19538+Sens!H19539)*(1-a_g3_29)</f>
        <v>5180.41669</v>
      </c>
      <c r="I19544" s="30" t="n">
        <f aca="false">Sens!H19544+(Sens!I19538+Sens!I19539)*(1-a_g3_29)</f>
        <v>7360.2041977</v>
      </c>
      <c r="J19544" s="30" t="n">
        <f aca="false">Sens!I19544+(Sens!J19538+Sens!J19539)*(1-a_g3_29)</f>
        <v>9084.673373254</v>
      </c>
      <c r="K19544" s="30" t="n">
        <f aca="false">Sens!J19544+(Sens!K19538+Sens!K19539)*(1-a_g3_29)</f>
        <v>10800.1904168516</v>
      </c>
    </row>
    <row r="19545" customFormat="false" ht="17.15" hidden="false" customHeight="false" outlineLevel="0" collapsed="false">
      <c r="A19545" s="1" t="s">
        <v>972</v>
      </c>
      <c r="B19545" s="0" t="s">
        <v>403</v>
      </c>
      <c r="C19545" s="15" t="n">
        <f aca="false">(Sens!C19540*tk_hold_h100+Sens!C19541*tk_hold_gb200+Sens!C19542*tk_hold_gb300+Sens!C19544*tk_hold_vr200+Sens!C19543*nv_hold_mai*tk_hold_vr200)/Sens!C19532</f>
        <v>9.7235358126469</v>
      </c>
      <c r="D19545" s="15" t="n">
        <f aca="false">(Sens!D19540*tk_hold_h100+Sens!D19541*tk_hold_gb200+Sens!D19542*tk_hold_gb300+Sens!D19544*tk_hold_vr200+Sens!D19543*nv_hold_mai*tk_hold_vr200)/Sens!D19532</f>
        <v>9.7235358126469</v>
      </c>
      <c r="E19545" s="15" t="n">
        <f aca="false">(Sens!E19540*tk_hold_h100+Sens!E19541*tk_hold_gb200+Sens!E19542*tk_hold_gb300+Sens!E19544*tk_hold_vr200+Sens!E19543*nv_hold_mai*tk_hold_vr200)/Sens!E19532</f>
        <v>9.7235358126469</v>
      </c>
      <c r="F19545" s="15" t="n">
        <f aca="false">(Sens!F19540*tk_hold_h100+Sens!F19541*tk_hold_gb200+Sens!F19542*tk_hold_gb300+Sens!F19544*tk_hold_vr200+Sens!F19543*nv_hold_mai*tk_hold_vr200)/Sens!F19532</f>
        <v>10.4373136419306</v>
      </c>
      <c r="G19545" s="15" t="n">
        <f aca="false">(Sens!G19540*tk_hold_h100+Sens!G19541*tk_hold_gb200+Sens!G19542*tk_hold_gb300+Sens!G19544*tk_hold_vr200+Sens!G19543*nv_hold_mai*tk_hold_vr200)/Sens!G19532</f>
        <v>10.8716633021543</v>
      </c>
      <c r="H19545" s="15" t="n">
        <f aca="false">(Sens!H19540*tk_hold_h100+Sens!H19541*tk_hold_gb200+Sens!H19542*tk_hold_gb300+Sens!H19544*tk_hold_vr200+Sens!H19543*nv_hold_mai*tk_hold_vr200)/Sens!H19532</f>
        <v>11.162671147329</v>
      </c>
      <c r="I19545" s="15" t="n">
        <f aca="false">(Sens!I19540*tk_hold_h100+Sens!I19541*tk_hold_gb200+Sens!I19542*tk_hold_gb300+Sens!I19544*tk_hold_vr200+Sens!I19543*nv_hold_mai*tk_hold_vr200)/Sens!I19532</f>
        <v>11.3838232728132</v>
      </c>
      <c r="J19545" s="15" t="n">
        <f aca="false">(Sens!J19540*tk_hold_h100+Sens!J19541*tk_hold_gb200+Sens!J19542*tk_hold_gb300+Sens!J19544*tk_hold_vr200+Sens!J19543*nv_hold_mai*tk_hold_vr200)/Sens!J19532</f>
        <v>11.5616165905821</v>
      </c>
      <c r="K19545" s="15" t="n">
        <f aca="false">(Sens!K19540*tk_hold_h100+Sens!K19541*tk_hold_gb200+Sens!K19542*tk_hold_gb300+Sens!K19544*tk_hold_vr200+Sens!K19543*nv_hold_mai*tk_hold_vr200)/Sens!K19532</f>
        <v>11.8095249206783</v>
      </c>
      <c r="L19545" s="1" t="s">
        <v>973</v>
      </c>
    </row>
    <row r="19546" customFormat="false" ht="17.15" hidden="false" customHeight="false" outlineLevel="0" collapsed="false">
      <c r="A19546" s="1" t="s">
        <v>974</v>
      </c>
      <c r="B19546" s="0" t="s">
        <v>403</v>
      </c>
      <c r="C19546" s="15" t="n">
        <f aca="false">(Sens!C19540*tk_hold_h100+Sens!C19541*tk_hold_gb200+Sens!C19542*tk_hold_gb300+Sens!C19544*tk_hold_vr200+Sens!C19543*nv_out_mai*tk_hold_vr200)/Sens!C19532</f>
        <v>9.7235358126469</v>
      </c>
      <c r="D19546" s="15" t="n">
        <f aca="false">(Sens!D19540*tk_hold_h100+Sens!D19541*tk_hold_gb200+Sens!D19542*tk_hold_gb300+Sens!D19544*tk_hold_vr200+Sens!D19543*nv_out_mai*tk_hold_vr200)/Sens!D19532</f>
        <v>9.7235358126469</v>
      </c>
      <c r="E19546" s="15" t="n">
        <f aca="false">(Sens!E19540*tk_hold_h100+Sens!E19541*tk_hold_gb200+Sens!E19542*tk_hold_gb300+Sens!E19544*tk_hold_vr200+Sens!E19543*nv_out_mai*tk_hold_vr200)/Sens!E19532</f>
        <v>9.7235358126469</v>
      </c>
      <c r="F19546" s="15" t="n">
        <f aca="false">(Sens!F19540*tk_hold_h100+Sens!F19541*tk_hold_gb200+Sens!F19542*tk_hold_gb300+Sens!F19544*tk_hold_vr200+Sens!F19543*nv_out_mai*tk_hold_vr200)/Sens!F19532</f>
        <v>10.4373136419306</v>
      </c>
      <c r="G19546" s="15" t="n">
        <f aca="false">(Sens!G19540*tk_hold_h100+Sens!G19541*tk_hold_gb200+Sens!G19542*tk_hold_gb300+Sens!G19544*tk_hold_vr200+Sens!G19543*nv_out_mai*tk_hold_vr200)/Sens!G19532</f>
        <v>10.8716633021543</v>
      </c>
      <c r="H19546" s="15" t="n">
        <f aca="false">(Sens!H19540*tk_hold_h100+Sens!H19541*tk_hold_gb200+Sens!H19542*tk_hold_gb300+Sens!H19544*tk_hold_vr200+Sens!H19543*nv_out_mai*tk_hold_vr200)/Sens!H19532</f>
        <v>11.162671147329</v>
      </c>
      <c r="I19546" s="15" t="n">
        <f aca="false">(Sens!I19540*tk_hold_h100+Sens!I19541*tk_hold_gb200+Sens!I19542*tk_hold_gb300+Sens!I19544*tk_hold_vr200+Sens!I19543*nv_out_mai*tk_hold_vr200)/Sens!I19532</f>
        <v>11.3838232728132</v>
      </c>
      <c r="J19546" s="15" t="n">
        <f aca="false">(Sens!J19540*tk_hold_h100+Sens!J19541*tk_hold_gb200+Sens!J19542*tk_hold_gb300+Sens!J19544*tk_hold_vr200+Sens!J19543*nv_out_mai*tk_hold_vr200)/Sens!J19532</f>
        <v>11.5616165905821</v>
      </c>
      <c r="K19546" s="15" t="n">
        <f aca="false">(Sens!K19540*tk_hold_h100+Sens!K19541*tk_hold_gb200+Sens!K19542*tk_hold_gb300+Sens!K19544*tk_hold_vr200+Sens!K19543*nv_out_mai*tk_hold_vr200)/Sens!K19532</f>
        <v>11.8095249206783</v>
      </c>
      <c r="L19546" s="12" t="s">
        <v>975</v>
      </c>
    </row>
    <row r="19547" customFormat="false" ht="17.15" hidden="false" customHeight="false" outlineLevel="0" collapsed="false">
      <c r="A19547" s="0" t="s">
        <v>976</v>
      </c>
      <c r="B19547" s="0" t="s">
        <v>229</v>
      </c>
      <c r="C19547" s="15" t="n">
        <f aca="false">k_B</f>
        <v>1.17213932619116</v>
      </c>
      <c r="D19547" s="15" t="n">
        <f aca="false">k_B</f>
        <v>1.17213932619116</v>
      </c>
      <c r="E19547" s="15" t="n">
        <f aca="false">k_B</f>
        <v>1.17213932619116</v>
      </c>
      <c r="F19547" s="15" t="n">
        <f aca="false">(k_B+((ls_A*k_long+(1-ls_A)*k_spot)-k_B)*MIN(1,(Sens!F19530-base_fy)/k_ramp))</f>
        <v>1.25022828131298</v>
      </c>
      <c r="G19547" s="15" t="n">
        <f aca="false">(k_B+((ls_A*k_long+(1-ls_A)*k_spot)-k_B)*MIN(1,(Sens!G19530-base_fy)/k_ramp))</f>
        <v>1.3283172364348</v>
      </c>
      <c r="H19547" s="15" t="n">
        <f aca="false">(k_B+((ls_A*k_long+(1-ls_A)*k_spot)-k_B)*MIN(1,(Sens!H19530-base_fy)/k_ramp))</f>
        <v>1.40640619155662</v>
      </c>
      <c r="I19547" s="15" t="n">
        <f aca="false">(k_B+((ls_A*k_long+(1-ls_A)*k_spot)-k_B)*MIN(1,(Sens!I19530-base_fy)/k_ramp))</f>
        <v>1.40640619155662</v>
      </c>
      <c r="J19547" s="15" t="n">
        <f aca="false">(k_B+((ls_A*k_long+(1-ls_A)*k_spot)-k_B)*MIN(1,(Sens!J19530-base_fy)/k_ramp))</f>
        <v>1.40640619155662</v>
      </c>
      <c r="K19547" s="15" t="n">
        <f aca="false">(k_B+((ls_A*k_long+(1-ls_A)*k_spot)-k_B)*MIN(1,(Sens!K19530-base_fy)/k_ramp))</f>
        <v>1.40640619155662</v>
      </c>
      <c r="L19547" s="1" t="s">
        <v>977</v>
      </c>
    </row>
    <row r="19548" customFormat="false" ht="17.15" hidden="false" customHeight="false" outlineLevel="0" collapsed="false">
      <c r="A19548" s="1" t="s">
        <v>978</v>
      </c>
      <c r="B19548" s="0" t="s">
        <v>403</v>
      </c>
      <c r="C19548" s="15" t="n">
        <f aca="false">Sens!C19546*Sens!C19547*chip_f</f>
        <v>11.3973387156315</v>
      </c>
      <c r="D19548" s="15" t="n">
        <f aca="false">Sens!D19546*Sens!D19547*chip_f</f>
        <v>11.3973387156315</v>
      </c>
      <c r="E19548" s="15" t="n">
        <f aca="false">Sens!E19546*Sens!E19547*chip_f</f>
        <v>11.3973387156315</v>
      </c>
      <c r="F19548" s="15" t="n">
        <f aca="false">Sens!F19546*Sens!F19547*chip_f</f>
        <v>13.0490246960754</v>
      </c>
      <c r="G19548" s="15" t="n">
        <f aca="false">Sens!G19546*Sens!G19547*chip_f</f>
        <v>14.4410177529672</v>
      </c>
      <c r="H19548" s="15" t="n">
        <f aca="false">Sens!H19546*Sens!H19547*chip_f</f>
        <v>15.6992498159139</v>
      </c>
      <c r="I19548" s="15" t="n">
        <f aca="false">Sens!I19546*Sens!I19547*chip_f</f>
        <v>16.0102795344707</v>
      </c>
      <c r="J19548" s="15" t="n">
        <f aca="false">Sens!J19546*Sens!J19547*chip_f</f>
        <v>16.2603291573984</v>
      </c>
      <c r="K19548" s="15" t="n">
        <f aca="false">Sens!K19546*Sens!K19547*chip_f</f>
        <v>16.6089889677842</v>
      </c>
      <c r="L19548" s="1" t="s">
        <v>979</v>
      </c>
    </row>
    <row r="19549" customFormat="false" ht="17.15" hidden="false" customHeight="false" outlineLevel="0" collapsed="false">
      <c r="A19549" s="0" t="s">
        <v>980</v>
      </c>
      <c r="B19549" s="0" t="s">
        <v>98</v>
      </c>
      <c r="D19549" s="6" t="n">
        <f aca="false">(Sens!C19532+Sens!D19532)/2*Sens!D19548/1000</f>
        <v>12.9359794422418</v>
      </c>
      <c r="E19549" s="6" t="n">
        <f aca="false">(Sens!D19532+Sens!E19532)/2*Sens!E19548/1000</f>
        <v>27.8095064661409</v>
      </c>
      <c r="F19549" s="6" t="n">
        <f aca="false">(Sens!E19532+Sens!F19532)/2*Sens!F19548/1000</f>
        <v>60.1986421895533</v>
      </c>
      <c r="G19549" s="6" t="n">
        <f aca="false">(Sens!F19532+Sens!G19532)/2*Sens!G19548/1000</f>
        <v>105.994220371926</v>
      </c>
      <c r="H19549" s="6" t="n">
        <f aca="false">(Sens!G19532+Sens!H19532)/2*Sens!H19548/1000</f>
        <v>158.033951068614</v>
      </c>
      <c r="I19549" s="6" t="n">
        <f aca="false">(Sens!H19532+Sens!I19532)/2*Sens!I19548/1000</f>
        <v>198.456994737959</v>
      </c>
      <c r="J19549" s="6" t="n">
        <f aca="false">(Sens!I19532+Sens!J19532)/2*Sens!J19548/1000</f>
        <v>226.825572993488</v>
      </c>
      <c r="K19549" s="6" t="n">
        <f aca="false">(Sens!J19532+Sens!K19532)/2*Sens!K19548/1000</f>
        <v>245.077811684512</v>
      </c>
      <c r="L19549" s="12" t="s">
        <v>981</v>
      </c>
    </row>
    <row r="19550" customFormat="false" ht="17.15" hidden="false" customHeight="false" outlineLevel="0" collapsed="false">
      <c r="A19550" s="1" t="s">
        <v>982</v>
      </c>
      <c r="B19550" s="0" t="s">
        <v>403</v>
      </c>
      <c r="C19550" s="15" t="n">
        <f aca="false">(Sens!C19540*tk_opex_h100+Sens!C19541*tk_opex_gb200+Sens!C19542*tk_opex_gb300+(Sens!C19544+Sens!C19543)*tk_opex_vr200)/Sens!C19532</f>
        <v>1.88636041306092</v>
      </c>
      <c r="D19550" s="15" t="n">
        <f aca="false">(Sens!D19540*tk_opex_h100+Sens!D19541*tk_opex_gb200+Sens!D19542*tk_opex_gb300+(Sens!D19544+Sens!D19543)*tk_opex_vr200)/Sens!D19532</f>
        <v>1.88636041306092</v>
      </c>
      <c r="E19550" s="15" t="n">
        <f aca="false">(Sens!E19540*tk_opex_h100+Sens!E19541*tk_opex_gb200+Sens!E19542*tk_opex_gb300+(Sens!E19544+Sens!E19543)*tk_opex_vr200)/Sens!E19532</f>
        <v>1.88636041306092</v>
      </c>
      <c r="F19550" s="15" t="n">
        <f aca="false">(Sens!F19540*tk_opex_h100+Sens!F19541*tk_opex_gb200+Sens!F19542*tk_opex_gb300+(Sens!F19544+Sens!F19543)*tk_opex_vr200)/Sens!F19532</f>
        <v>1.9454540569274</v>
      </c>
      <c r="G19550" s="15" t="n">
        <f aca="false">(Sens!G19540*tk_opex_h100+Sens!G19541*tk_opex_gb200+Sens!G19542*tk_opex_gb300+(Sens!G19544+Sens!G19543)*tk_opex_vr200)/Sens!G19532</f>
        <v>1.98141385153259</v>
      </c>
      <c r="H19550" s="15" t="n">
        <f aca="false">(Sens!H19540*tk_opex_h100+Sens!H19541*tk_opex_gb200+Sens!H19542*tk_opex_gb300+(Sens!H19544+Sens!H19543)*tk_opex_vr200)/Sens!H19532</f>
        <v>2.00550638181245</v>
      </c>
      <c r="I19550" s="15" t="n">
        <f aca="false">(Sens!I19540*tk_opex_h100+Sens!I19541*tk_opex_gb200+Sens!I19542*tk_opex_gb300+(Sens!I19544+Sens!I19543)*tk_opex_vr200)/Sens!I19532</f>
        <v>2.02381555927288</v>
      </c>
      <c r="J19550" s="15" t="n">
        <f aca="false">(Sens!J19540*tk_opex_h100+Sens!J19541*tk_opex_gb200+Sens!J19542*tk_opex_gb300+(Sens!J19544+Sens!J19543)*tk_opex_vr200)/Sens!J19532</f>
        <v>2.03853506241663</v>
      </c>
      <c r="K19550" s="15" t="n">
        <f aca="false">(Sens!K19540*tk_opex_h100+Sens!K19541*tk_opex_gb200+Sens!K19542*tk_opex_gb300+(Sens!K19544+Sens!K19543)*tk_opex_vr200)/Sens!K19532</f>
        <v>2.05905938520897</v>
      </c>
      <c r="L19550" s="12" t="s">
        <v>983</v>
      </c>
    </row>
    <row r="19551" customFormat="false" ht="17.15" hidden="false" customHeight="false" outlineLevel="0" collapsed="false">
      <c r="A19551" s="0" t="s">
        <v>984</v>
      </c>
      <c r="B19551" s="0" t="s">
        <v>98</v>
      </c>
      <c r="D19551" s="6" t="n">
        <f aca="false">(Sens!C19535+Sens!D19535)/2*Sens!D19550/1000</f>
        <v>2.70378325872065</v>
      </c>
      <c r="E19551" s="6" t="n">
        <f aca="false">(Sens!D19535+Sens!E19535)/2*Sens!E19550/1000</f>
        <v>6.17783035277451</v>
      </c>
      <c r="F19551" s="6" t="n">
        <f aca="false">(Sens!E19535+Sens!F19535)/2*Sens!F19550/1000</f>
        <v>12.840864286109</v>
      </c>
      <c r="G19551" s="6" t="n">
        <f aca="false">(Sens!F19535+Sens!G19535)/2*Sens!G19550/1000</f>
        <v>21.7420629441117</v>
      </c>
      <c r="H19551" s="6" t="n">
        <f aca="false">(Sens!G19535+Sens!H19535)/2*Sens!H19550/1000</f>
        <v>31.1199029574239</v>
      </c>
      <c r="I19551" s="6" t="n">
        <f aca="false">(Sens!H19535+Sens!I19535)/2*Sens!I19550/1000</f>
        <v>39.2606671071963</v>
      </c>
      <c r="J19551" s="6" t="n">
        <f aca="false">(Sens!I19535+Sens!J19535)/2*Sens!J19550/1000</f>
        <v>44.8261284180868</v>
      </c>
      <c r="K19551" s="6" t="n">
        <f aca="false">(Sens!J19535+Sens!K19535)/2*Sens!K19550/1000</f>
        <v>48.0438037555794</v>
      </c>
    </row>
    <row r="19552" customFormat="false" ht="17.15" hidden="false" customHeight="false" outlineLevel="0" collapsed="false">
      <c r="A19552" s="0" t="s">
        <v>985</v>
      </c>
      <c r="B19552" s="0" t="s">
        <v>98</v>
      </c>
      <c r="D19552" s="6" t="n">
        <f aca="false">(Sens!C19533+Sens!D19533)/2*rent_mw/1000</f>
        <v>2.44475</v>
      </c>
      <c r="E19552" s="6" t="n">
        <f aca="false">(Sens!D19533+Sens!E19533)/2*rent_mw/1000</f>
        <v>4.22275</v>
      </c>
      <c r="F19552" s="6" t="n">
        <f aca="false">(Sens!E19533+Sens!F19533)/2*rent_mw/1000</f>
        <v>5.80517</v>
      </c>
      <c r="G19552" s="6" t="n">
        <f aca="false">(Sens!F19533+Sens!G19533)/2*rent_mw/1000</f>
        <v>6.72084</v>
      </c>
      <c r="H19552" s="6" t="n">
        <f aca="false">(Sens!G19533+Sens!H19533)/2*rent_mw/1000</f>
        <v>6.72084</v>
      </c>
      <c r="I19552" s="6" t="n">
        <f aca="false">(Sens!H19533+Sens!I19533)/2*rent_mw/1000</f>
        <v>6.72084</v>
      </c>
      <c r="J19552" s="6" t="n">
        <f aca="false">(Sens!I19533+Sens!J19533)/2*rent_mw/1000</f>
        <v>6.72084</v>
      </c>
      <c r="K19552" s="6" t="n">
        <f aca="false">(Sens!J19533+Sens!K19533)/2*rent_mw/1000</f>
        <v>6.72084</v>
      </c>
    </row>
    <row r="19553" customFormat="false" ht="17.15" hidden="false" customHeight="false" outlineLevel="0" collapsed="false">
      <c r="A19553" s="0" t="s">
        <v>986</v>
      </c>
      <c r="B19553" s="0" t="s">
        <v>98</v>
      </c>
      <c r="D19553" s="6" t="n">
        <f aca="false">(Sens!C19535+Sens!D19535)/2*(1-self_build)*fac_rent/1000</f>
        <v>0.853242375631075</v>
      </c>
      <c r="E19553" s="6" t="n">
        <f aca="false">(Sens!D19535+Sens!E19535)/2*(1-self_build)*fac_rent/1000</f>
        <v>1.94955961408728</v>
      </c>
      <c r="F19553" s="6" t="n">
        <f aca="false">(Sens!E19535+Sens!F19535)/2*(1-self_build)*fac_rent/1000</f>
        <v>3.92914894476356</v>
      </c>
      <c r="G19553" s="6" t="n">
        <f aca="false">(Sens!F19535+Sens!G19535)/2*(1-self_build)*fac_rent/1000</f>
        <v>6.53206908578159</v>
      </c>
      <c r="H19553" s="6" t="n">
        <f aca="false">(Sens!G19535+Sens!H19535)/2*(1-self_build)*fac_rent/1000</f>
        <v>9.23717988341591</v>
      </c>
      <c r="I19553" s="6" t="n">
        <f aca="false">(Sens!H19535+Sens!I19535)/2*(1-self_build)*fac_rent/1000</f>
        <v>11.5481378557393</v>
      </c>
      <c r="J19553" s="6" t="n">
        <f aca="false">(Sens!I19535+Sens!J19535)/2*(1-self_build)*fac_rent/1000</f>
        <v>13.0899582289108</v>
      </c>
      <c r="K19553" s="6" t="n">
        <f aca="false">(Sens!J19535+Sens!K19535)/2*(1-self_build)*fac_rent/1000</f>
        <v>13.8897275626556</v>
      </c>
      <c r="L19553" s="12" t="s">
        <v>987</v>
      </c>
    </row>
    <row r="19554" customFormat="false" ht="17.15" hidden="false" customHeight="false" outlineLevel="0" collapsed="false">
      <c r="A19554" s="1" t="s">
        <v>988</v>
      </c>
      <c r="B19554" s="0" t="s">
        <v>168</v>
      </c>
      <c r="D19554" s="7" t="n">
        <f aca="false">(Sens!C19534+Sens!D19534)/(Sens!C19535+Sens!D19535)</f>
        <v>0.6</v>
      </c>
      <c r="E19554" s="7" t="n">
        <f aca="false">(Sens!D19534+Sens!E19534)/(Sens!D19535+Sens!E19535)</f>
        <v>0.6</v>
      </c>
      <c r="F19554" s="7" t="n">
        <f aca="false">(Sens!E19534+Sens!F19534)/(Sens!E19535+Sens!F19535)</f>
        <v>0.6</v>
      </c>
      <c r="G19554" s="7" t="n">
        <f aca="false">(Sens!F19534+Sens!G19534)/(Sens!F19535+Sens!G19535)</f>
        <v>0.6</v>
      </c>
      <c r="H19554" s="7" t="n">
        <f aca="false">(Sens!G19534+Sens!H19534)/(Sens!G19535+Sens!H19535)</f>
        <v>0.6</v>
      </c>
      <c r="I19554" s="7" t="n">
        <f aca="false">(Sens!H19534+Sens!I19534)/(Sens!H19535+Sens!I19535)</f>
        <v>0.6</v>
      </c>
      <c r="J19554" s="7" t="n">
        <f aca="false">(Sens!I19534+Sens!J19534)/(Sens!I19535+Sens!J19535)</f>
        <v>0.6</v>
      </c>
      <c r="K19554" s="7" t="n">
        <f aca="false">(Sens!J19534+Sens!K19534)/(Sens!J19535+Sens!K19535)</f>
        <v>0.6</v>
      </c>
    </row>
    <row r="19555" customFormat="false" ht="17.15" hidden="false" customHeight="false" outlineLevel="0" collapsed="false">
      <c r="A19555" s="0" t="s">
        <v>989</v>
      </c>
      <c r="B19555" s="0" t="s">
        <v>98</v>
      </c>
      <c r="D19555" s="6" t="n">
        <f aca="false">Sens!D19549-Sens!D19554*(Sens!D19551+Sens!D19553)-Sens!D19552</f>
        <v>8.35701406163072</v>
      </c>
      <c r="E19555" s="6" t="n">
        <f aca="false">Sens!E19549-Sens!E19554*(Sens!E19551+Sens!E19553)-Sens!E19552</f>
        <v>18.7103224860238</v>
      </c>
      <c r="F19555" s="6" t="n">
        <f aca="false">Sens!F19549-Sens!F19554*(Sens!F19551+Sens!F19553)-Sens!F19552</f>
        <v>44.3314642510297</v>
      </c>
      <c r="G19555" s="6" t="n">
        <f aca="false">Sens!G19549-Sens!G19554*(Sens!G19551+Sens!G19553)-Sens!G19552</f>
        <v>82.3089011539897</v>
      </c>
      <c r="H19555" s="6" t="n">
        <f aca="false">Sens!H19549-Sens!H19554*(Sens!H19551+Sens!H19553)-Sens!H19552</f>
        <v>127.098861364111</v>
      </c>
      <c r="I19555" s="6" t="n">
        <f aca="false">Sens!I19549-Sens!I19554*(Sens!I19551+Sens!I19553)-Sens!I19552</f>
        <v>161.250871760197</v>
      </c>
      <c r="J19555" s="6" t="n">
        <f aca="false">Sens!J19549-Sens!J19554*(Sens!J19551+Sens!J19553)-Sens!J19552</f>
        <v>185.35508100529</v>
      </c>
      <c r="K19555" s="6" t="n">
        <f aca="false">Sens!K19549-Sens!K19554*(Sens!K19551+Sens!K19553)-Sens!K19552</f>
        <v>201.196852893571</v>
      </c>
    </row>
    <row r="19556" customFormat="false" ht="17.15" hidden="false" customHeight="false" outlineLevel="0" collapsed="false">
      <c r="A19556" s="1" t="s">
        <v>990</v>
      </c>
      <c r="B19556" s="0" t="s">
        <v>98</v>
      </c>
      <c r="D19556" s="6" t="n">
        <f aca="false">(1-Sens!D19554)*(Sens!D19551+Sens!D19553)</f>
        <v>1.42281025374069</v>
      </c>
      <c r="E19556" s="6" t="n">
        <f aca="false">(1-Sens!E19554)*(Sens!E19551+Sens!E19553)</f>
        <v>3.25095598674472</v>
      </c>
      <c r="F19556" s="6" t="n">
        <f aca="false">(1-Sens!F19554)*(Sens!F19551+Sens!F19553)</f>
        <v>6.70800529234904</v>
      </c>
      <c r="G19556" s="6" t="n">
        <f aca="false">(1-Sens!G19554)*(Sens!G19551+Sens!G19553)</f>
        <v>11.3096528119573</v>
      </c>
      <c r="H19556" s="6" t="n">
        <f aca="false">(1-Sens!H19554)*(Sens!H19551+Sens!H19553)</f>
        <v>16.1428331363359</v>
      </c>
      <c r="I19556" s="6" t="n">
        <f aca="false">(1-Sens!I19554)*(Sens!I19551+Sens!I19553)</f>
        <v>20.3235219851742</v>
      </c>
      <c r="J19556" s="6" t="n">
        <f aca="false">(1-Sens!J19554)*(Sens!J19551+Sens!J19553)</f>
        <v>23.166434658799</v>
      </c>
      <c r="K19556" s="6" t="n">
        <f aca="false">(1-Sens!K19554)*(Sens!K19551+Sens!K19553)</f>
        <v>24.773412527294</v>
      </c>
    </row>
    <row r="19557" customFormat="false" ht="17.15" hidden="false" customHeight="false" outlineLevel="0" collapsed="false">
      <c r="A19557" s="1" t="s">
        <v>991</v>
      </c>
      <c r="B19557" s="0" t="s">
        <v>417</v>
      </c>
      <c r="C19557" s="8" t="n">
        <f aca="false">cxit_open</f>
        <v>27.5918995</v>
      </c>
      <c r="D19557" s="8" t="n">
        <f aca="false">cxit_open</f>
        <v>27.5918995</v>
      </c>
      <c r="E19557" s="8" t="n">
        <f aca="false">cxit_open</f>
        <v>27.5918995</v>
      </c>
      <c r="F19557" s="8" t="n">
        <f aca="false">((a_g3_27-0*a_mai)*tk_cxit_gb300+0*a_mai*nv_hold_mai*tk_cxit_vr200+(1-a_g3_27)*tk_cxit_vr200)</f>
        <v>33.8419624</v>
      </c>
      <c r="G19557" s="8" t="n">
        <f aca="false">((a_g3_28-0*a_mai)*tk_cxit_gb300+0*a_mai*nv_hold_mai*tk_cxit_vr200+(1-a_g3_28)*tk_cxit_vr200)</f>
        <v>35.9816136</v>
      </c>
      <c r="H19557" s="8" t="n">
        <f aca="false">((a_g3_29-0*a_mai)*tk_cxit_gb300+0*a_mai*nv_hold_mai*tk_cxit_vr200+(1-a_g3_29)*tk_cxit_vr200)</f>
        <v>37.0514392</v>
      </c>
      <c r="I19557" s="8" t="n">
        <f aca="false">((a_g3_29-0*a_mai)*tk_cxit_gb300+0*a_mai*nv_hold_mai*tk_cxit_vr200+(1-a_g3_29)*tk_cxit_vr200)</f>
        <v>37.0514392</v>
      </c>
      <c r="J19557" s="8" t="n">
        <f aca="false">((a_g3_29-0*a_mai)*tk_cxit_gb300+0*a_mai*nv_hold_mai*tk_cxit_vr200+(1-a_g3_29)*tk_cxit_vr200)</f>
        <v>37.0514392</v>
      </c>
      <c r="K19557" s="8" t="n">
        <f aca="false">((a_g3_29-0*a_mai)*tk_cxit_gb300+0*a_mai*nv_hold_mai*tk_cxit_vr200+(1-a_g3_29)*tk_cxit_vr200)</f>
        <v>37.0514392</v>
      </c>
      <c r="L19557" s="12" t="s">
        <v>992</v>
      </c>
    </row>
    <row r="19558" customFormat="false" ht="17.15" hidden="false" customHeight="false" outlineLevel="0" collapsed="false">
      <c r="A19558" s="0" t="s">
        <v>993</v>
      </c>
      <c r="B19558" s="0" t="s">
        <v>459</v>
      </c>
      <c r="F19558" s="30" t="n">
        <f aca="false">Sens!C19537*IF(Sens!F19530-Sens!C19530=life_it,1,0)+Sens!D19537*IF(Sens!F19530-Sens!D19530=life_it,1,0)+Sens!E19537*IF(Sens!F19530-Sens!E19530=life_it,1,0)</f>
        <v>0</v>
      </c>
      <c r="G19558" s="30" t="n">
        <f aca="false">Sens!C19537*IF(Sens!G19530-Sens!C19530=life_it,1,0)+Sens!D19537*IF(Sens!G19530-Sens!D19530=life_it,1,0)+Sens!E19537*IF(Sens!G19530-Sens!E19530=life_it,1,0)+Sens!F19537*IF(Sens!G19530-Sens!F19530=life_it,1,0)</f>
        <v>0</v>
      </c>
      <c r="H19558" s="30" t="n">
        <f aca="false">Sens!C19537*IF(Sens!H19530-Sens!C19530=life_it,1,0)+Sens!D19537*IF(Sens!H19530-Sens!D19530=life_it,1,0)+Sens!E19537*IF(Sens!H19530-Sens!E19530=life_it,1,0)+Sens!F19537*IF(Sens!H19530-Sens!F19530=life_it,1,0)+Sens!G19537*IF(Sens!H19530-Sens!G19530=life_it,1,0)</f>
        <v>0</v>
      </c>
      <c r="I19558" s="30" t="n">
        <f aca="false">Sens!C19537*IF(Sens!I19530-Sens!C19530=life_it,1,0)+Sens!D19537*IF(Sens!I19530-Sens!D19530=life_it,1,0)+Sens!E19537*IF(Sens!I19530-Sens!E19530=life_it,1,0)+Sens!F19537*IF(Sens!I19530-Sens!F19530=life_it,1,0)+Sens!G19537*IF(Sens!I19530-Sens!G19530=life_it,1,0)+Sens!H19537*IF(Sens!I19530-Sens!H19530=life_it,1,0)</f>
        <v>816.666666666667</v>
      </c>
      <c r="J19558" s="30" t="n">
        <f aca="false">Sens!C19537*IF(Sens!J19530-Sens!C19530=life_it,1,0)+Sens!D19537*IF(Sens!J19530-Sens!D19530=life_it,1,0)+Sens!E19537*IF(Sens!J19530-Sens!E19530=life_it,1,0)+Sens!F19537*IF(Sens!J19530-Sens!F19530=life_it,1,0)+Sens!G19537*IF(Sens!J19530-Sens!G19530=life_it,1,0)+Sens!H19537*IF(Sens!J19530-Sens!H19530=life_it,1,0)+Sens!I19537*IF(Sens!J19530-Sens!I19530=life_it,1,0)</f>
        <v>1233.33333333333</v>
      </c>
      <c r="K19558" s="30" t="n">
        <f aca="false">Sens!C19537*IF(Sens!K19530-Sens!C19530=life_it,1,0)+Sens!D19537*IF(Sens!K19530-Sens!D19530=life_it,1,0)+Sens!E19537*IF(Sens!K19530-Sens!E19530=life_it,1,0)+Sens!F19537*IF(Sens!K19530-Sens!F19530=life_it,1,0)+Sens!G19537*IF(Sens!K19530-Sens!G19530=life_it,1,0)+Sens!H19537*IF(Sens!K19530-Sens!H19530=life_it,1,0)+Sens!I19537*IF(Sens!K19530-Sens!I19530=life_it,1,0)+Sens!J19537*IF(Sens!K19530-Sens!J19530=life_it,1,0)</f>
        <v>2450</v>
      </c>
      <c r="L19558" s="1" t="s">
        <v>994</v>
      </c>
    </row>
    <row r="19559" customFormat="false" ht="17.15" hidden="false" customHeight="false" outlineLevel="0" collapsed="false">
      <c r="A19559" s="0" t="s">
        <v>995</v>
      </c>
      <c r="B19559" s="0" t="s">
        <v>98</v>
      </c>
      <c r="C19559" s="6" t="n">
        <f aca="false">Sens!C19537*Sens!C19557/1000</f>
        <v>22.5333845916667</v>
      </c>
      <c r="D19559" s="6" t="n">
        <f aca="false">Sens!D19537*Sens!D19557/1000</f>
        <v>34.0300093833333</v>
      </c>
      <c r="E19559" s="6" t="n">
        <f aca="false">Sens!E19537*Sens!E19557/1000</f>
        <v>67.600153775</v>
      </c>
      <c r="F19559" s="6" t="n">
        <f aca="false">(Sens!F19537+Sens!F19558)*Sens!F19557/1000</f>
        <v>142.166423470134</v>
      </c>
      <c r="G19559" s="6" t="n">
        <f aca="false">(Sens!G19537+Sens!G19558)*Sens!G19557/1000</f>
        <v>163.508554058396</v>
      </c>
      <c r="H19559" s="6" t="n">
        <f aca="false">(Sens!H19537+Sens!H19558)*Sens!H19557/1000</f>
        <v>168.37008247386</v>
      </c>
      <c r="I19559" s="6" t="n">
        <f aca="false">(Sens!I19537+Sens!I19558)*Sens!I19557/1000</f>
        <v>149.563452426789</v>
      </c>
      <c r="J19559" s="6" t="n">
        <f aca="false">(Sens!J19537+Sens!J19558)*Sens!J19557/1000</f>
        <v>118.322342241321</v>
      </c>
      <c r="K19559" s="6" t="n">
        <f aca="false">(Sens!K19537+Sens!K19558)*Sens!K19557/1000</f>
        <v>117.708102661891</v>
      </c>
    </row>
    <row r="19560" customFormat="false" ht="17.15" hidden="false" customHeight="false" outlineLevel="0" collapsed="false">
      <c r="A19560" s="0" t="s">
        <v>996</v>
      </c>
      <c r="B19560" s="0" t="s">
        <v>98</v>
      </c>
      <c r="C19560" s="6" t="n">
        <f aca="false">Sens!C19537*self_build*tk_cxfac/1000</f>
        <v>6.2083</v>
      </c>
      <c r="D19560" s="6" t="n">
        <f aca="false">Sens!D19537*self_build*tk_cxfac/1000</f>
        <v>9.3758</v>
      </c>
      <c r="E19560" s="6" t="n">
        <f aca="false">Sens!E19537*self_build*tk_cxfac/1000</f>
        <v>18.6249</v>
      </c>
      <c r="F19560" s="6" t="n">
        <f aca="false">Sens!F19537*self_build*tk_cxfac/1000</f>
        <v>31.935179717</v>
      </c>
      <c r="G19560" s="6" t="n">
        <f aca="false">Sens!G19537*self_build*tk_cxfac/1000</f>
        <v>34.545199717</v>
      </c>
      <c r="H19560" s="6" t="n">
        <f aca="false">Sens!H19537*self_build*tk_cxfac/1000</f>
        <v>34.545199717</v>
      </c>
      <c r="I19560" s="6" t="n">
        <f aca="false">Sens!I19537*self_build*tk_cxfac/1000</f>
        <v>24.4782641361767</v>
      </c>
      <c r="J19560" s="6" t="n">
        <f aca="false">Sens!J19537*self_build*tk_cxfac/1000</f>
        <v>14.9008938380769</v>
      </c>
      <c r="K19560" s="6" t="n">
        <f aca="false">Sens!K19537*self_build*tk_cxfac/1000</f>
        <v>5.52576771375761</v>
      </c>
    </row>
    <row r="19561" customFormat="false" ht="17.15" hidden="false" customHeight="false" outlineLevel="0" collapsed="false">
      <c r="A19561" s="0" t="s">
        <v>997</v>
      </c>
      <c r="B19561" s="0" t="s">
        <v>98</v>
      </c>
      <c r="F19561" s="15" t="n">
        <f aca="false">capex_floor27-Sens!F19559-Sens!F19560-Sens!F19657</f>
        <v>-5.55202279576272</v>
      </c>
      <c r="L19561" s="12" t="s">
        <v>998</v>
      </c>
    </row>
    <row r="19562" customFormat="false" ht="17.15" hidden="false" customHeight="false" outlineLevel="0" collapsed="false">
      <c r="A19562" s="0" t="s">
        <v>999</v>
      </c>
      <c r="B19562" s="0" t="s">
        <v>98</v>
      </c>
      <c r="F19562" s="6" t="n">
        <f aca="false">MAX(0,Sens!F19561)</f>
        <v>0</v>
      </c>
    </row>
    <row r="19563" customFormat="false" ht="17.15" hidden="false" customHeight="false" outlineLevel="0" collapsed="false">
      <c r="A19563" s="0" t="s">
        <v>1000</v>
      </c>
      <c r="B19563" s="0" t="s">
        <v>98</v>
      </c>
      <c r="C19563" s="6" t="n">
        <f aca="false">Sens!C19559</f>
        <v>22.5333845916667</v>
      </c>
      <c r="D19563" s="6" t="n">
        <f aca="false">Sens!D19559</f>
        <v>34.0300093833333</v>
      </c>
      <c r="E19563" s="6" t="n">
        <f aca="false">Sens!E19559</f>
        <v>67.600153775</v>
      </c>
      <c r="F19563" s="6" t="n">
        <f aca="false">Sens!F19559</f>
        <v>142.166423470134</v>
      </c>
      <c r="G19563" s="6" t="n">
        <f aca="false">Sens!G19559</f>
        <v>163.508554058396</v>
      </c>
      <c r="H19563" s="6" t="n">
        <f aca="false">Sens!H19559</f>
        <v>168.37008247386</v>
      </c>
      <c r="I19563" s="6" t="n">
        <f aca="false">Sens!I19559</f>
        <v>149.563452426789</v>
      </c>
      <c r="J19563" s="6" t="n">
        <f aca="false">Sens!J19559</f>
        <v>118.322342241321</v>
      </c>
      <c r="K19563" s="6" t="n">
        <f aca="false">Sens!K19559</f>
        <v>117.708102661891</v>
      </c>
    </row>
    <row r="19564" customFormat="false" ht="17.15" hidden="false" customHeight="false" outlineLevel="0" collapsed="false">
      <c r="A19564" s="0" t="s">
        <v>1001</v>
      </c>
      <c r="B19564" s="0" t="s">
        <v>98</v>
      </c>
      <c r="C19564" s="6" t="n">
        <f aca="false">Sens!C19563+Sens!C19560</f>
        <v>28.7416845916667</v>
      </c>
      <c r="D19564" s="6" t="n">
        <f aca="false">Sens!D19563+Sens!D19560</f>
        <v>43.4058093833333</v>
      </c>
      <c r="E19564" s="6" t="n">
        <f aca="false">Sens!E19563+Sens!E19560</f>
        <v>86.225053775</v>
      </c>
      <c r="F19564" s="6" t="n">
        <f aca="false">Sens!F19563+Sens!F19560</f>
        <v>174.101603187134</v>
      </c>
      <c r="G19564" s="6" t="n">
        <f aca="false">Sens!G19563+Sens!G19560</f>
        <v>198.053753775396</v>
      </c>
      <c r="H19564" s="6" t="n">
        <f aca="false">Sens!H19563+Sens!H19560</f>
        <v>202.91528219086</v>
      </c>
      <c r="I19564" s="6" t="n">
        <f aca="false">Sens!I19563+Sens!I19560</f>
        <v>174.041716562966</v>
      </c>
      <c r="J19564" s="6" t="n">
        <f aca="false">Sens!J19563+Sens!J19560</f>
        <v>133.223236079397</v>
      </c>
      <c r="K19564" s="6" t="n">
        <f aca="false">Sens!K19563+Sens!K19560</f>
        <v>123.233870375648</v>
      </c>
      <c r="L19564" s="12" t="s">
        <v>1002</v>
      </c>
    </row>
    <row r="19565" customFormat="false" ht="17.15" hidden="false" customHeight="false" outlineLevel="0" collapsed="false">
      <c r="A19565" s="0" t="s">
        <v>1003</v>
      </c>
      <c r="B19565" s="0" t="s">
        <v>98</v>
      </c>
      <c r="E19565" s="6" t="n">
        <f aca="false">(Sens!C19563*IF(2&lt;life_it,1,IF(2=life_it,0.5,0))+Sens!D19563*IF(1&lt;life_it,1,IF(1=life_it,0.5,0))+Sens!E19563*0.5)/life_it</f>
        <v>15.0605784770833</v>
      </c>
      <c r="F19565" s="6" t="n">
        <f aca="false">(Sens!C19563*IF(3&lt;life_it,1,IF(3=life_it,0.5,0))+Sens!D19563*IF(2&lt;life_it,1,IF(2=life_it,0.5,0))+Sens!E19563*IF(1&lt;life_it,1,IF(1=life_it,0.5,0))+Sens!F19563*0.5)/life_it</f>
        <v>32.5411265808445</v>
      </c>
      <c r="G19565" s="6" t="n">
        <f aca="false">(Sens!C19563*IF(4&lt;life_it,1,IF(4=life_it,0.5,0))+Sens!D19563*IF(3&lt;life_it,1,IF(3=life_it,0.5,0))+Sens!E19563*IF(2&lt;life_it,1,IF(2=life_it,0.5,0))+Sens!F19563*IF(1&lt;life_it,1,IF(1=life_it,0.5,0))+Sens!G19563*0.5)/life_it</f>
        <v>58.0140413748886</v>
      </c>
      <c r="H19565" s="6" t="n">
        <f aca="false">(Sens!C19563*IF(5&lt;life_it,1,IF(5=life_it,0.5,0))+Sens!D19563*IF(4&lt;life_it,1,IF(4=life_it,0.5,0))+Sens!E19563*IF(3&lt;life_it,1,IF(3=life_it,0.5,0))+Sens!F19563*IF(2&lt;life_it,1,IF(2=life_it,0.5,0))+Sens!G19563*IF(1&lt;life_it,1,IF(1=life_it,0.5,0))+Sens!H19563*0.5)/life_it</f>
        <v>85.6705944192432</v>
      </c>
      <c r="I19565" s="6" t="n">
        <f aca="false">(Sens!C19563*IF(6&lt;life_it,1,IF(6=life_it,0.5,0))+Sens!D19563*IF(5&lt;life_it,1,IF(5=life_it,0.5,0))+Sens!E19563*IF(4&lt;life_it,1,IF(4=life_it,0.5,0))+Sens!F19563*IF(3&lt;life_it,1,IF(3=life_it,0.5,0))+Sens!G19563*IF(2&lt;life_it,1,IF(2=life_it,0.5,0))+Sens!H19563*IF(1&lt;life_it,1,IF(1=life_it,0.5,0))+Sens!I19563*0.5)/life_it</f>
        <v>110.287273611658</v>
      </c>
      <c r="J19565" s="6" t="n">
        <f aca="false">(Sens!C19563*IF(7&lt;life_it,1,IF(7=life_it,0.5,0))+Sens!D19563*IF(6&lt;life_it,1,IF(6=life_it,0.5,0))+Sens!E19563*IF(5&lt;life_it,1,IF(5=life_it,0.5,0))+Sens!F19563*IF(4&lt;life_it,1,IF(4=life_it,0.5,0))+Sens!G19563*IF(3&lt;life_it,1,IF(3=life_it,0.5,0))+Sens!H19563*IF(2&lt;life_it,1,IF(2=life_it,0.5,0))+Sens!I19563*IF(1&lt;life_it,1,IF(1=life_it,0.5,0))+Sens!J19563*0.5)/life_it</f>
        <v>127.897473669418</v>
      </c>
      <c r="K19565" s="6" t="n">
        <f aca="false">(Sens!C19563*IF(8&lt;life_it,1,IF(8=life_it,0.5,0))+Sens!D19563*IF(7&lt;life_it,1,IF(7=life_it,0.5,0))+Sens!E19563*IF(6&lt;life_it,1,IF(6=life_it,0.5,0))+Sens!F19563*IF(5&lt;life_it,1,IF(5=life_it,0.5,0))+Sens!G19563*IF(4&lt;life_it,1,IF(4=life_it,0.5,0))+Sens!H19563*IF(3&lt;life_it,1,IF(3=life_it,0.5,0))+Sens!I19563*IF(2&lt;life_it,1,IF(2=life_it,0.5,0))+Sens!J19563*IF(1&lt;life_it,1,IF(1=life_it,0.5,0))+Sens!K19563*0.5)/life_it</f>
        <v>139.097497148157</v>
      </c>
    </row>
    <row r="19566" customFormat="false" ht="17.15" hidden="false" customHeight="false" outlineLevel="0" collapsed="false">
      <c r="A19566" s="0" t="s">
        <v>1004</v>
      </c>
      <c r="B19566" s="0" t="s">
        <v>98</v>
      </c>
      <c r="E19566" s="6" t="n">
        <f aca="false">(Sens!C19560*IF(2&lt;life_fac,1,IF(2=life_fac,0.5,0))+Sens!D19560*IF(1&lt;life_fac,1,IF(1=life_fac,0.5,0))+Sens!E19560*0.5)/life_fac</f>
        <v>1.2448275</v>
      </c>
      <c r="F19566" s="6" t="n">
        <f aca="false">(Sens!C19560*IF(3&lt;life_fac,1,IF(3=life_fac,0.5,0))+Sens!D19560*IF(2&lt;life_fac,1,IF(2=life_fac,0.5,0))+Sens!E19560*IF(1&lt;life_fac,1,IF(1=life_fac,0.5,0))+Sens!F19560*0.5)/life_fac</f>
        <v>2.508829492925</v>
      </c>
      <c r="G19566" s="6" t="n">
        <f aca="false">(Sens!C19560*IF(4&lt;life_fac,1,IF(4=life_fac,0.5,0))+Sens!D19560*IF(3&lt;life_fac,1,IF(3=life_fac,0.5,0))+Sens!E19560*IF(2&lt;life_fac,1,IF(2=life_fac,0.5,0))+Sens!F19560*IF(1&lt;life_fac,1,IF(1=life_fac,0.5,0))+Sens!G19560*0.5)/life_fac</f>
        <v>4.170838978775</v>
      </c>
      <c r="H19566" s="6" t="n">
        <f aca="false">(Sens!C19560*IF(5&lt;life_fac,1,IF(5=life_fac,0.5,0))+Sens!D19560*IF(4&lt;life_fac,1,IF(4=life_fac,0.5,0))+Sens!E19560*IF(3&lt;life_fac,1,IF(3=life_fac,0.5,0))+Sens!F19560*IF(2&lt;life_fac,1,IF(2=life_fac,0.5,0))+Sens!G19560*IF(1&lt;life_fac,1,IF(1=life_fac,0.5,0))+Sens!H19560*0.5)/life_fac</f>
        <v>5.898098964625</v>
      </c>
      <c r="I19566" s="6" t="n">
        <f aca="false">(Sens!C19560*IF(6&lt;life_fac,1,IF(6=life_fac,0.5,0))+Sens!D19560*IF(5&lt;life_fac,1,IF(5=life_fac,0.5,0))+Sens!E19560*IF(4&lt;life_fac,1,IF(4=life_fac,0.5,0))+Sens!F19560*IF(3&lt;life_fac,1,IF(3=life_fac,0.5,0))+Sens!G19560*IF(2&lt;life_fac,1,IF(2=life_fac,0.5,0))+Sens!H19560*IF(1&lt;life_fac,1,IF(1=life_fac,0.5,0))+Sens!I19560*0.5)/life_fac</f>
        <v>7.37368556095442</v>
      </c>
      <c r="J19566" s="6" t="n">
        <f aca="false">(Sens!C19560*IF(7&lt;life_fac,1,IF(7=life_fac,0.5,0))+Sens!D19560*IF(6&lt;life_fac,1,IF(6=life_fac,0.5,0))+Sens!E19560*IF(5&lt;life_fac,1,IF(5=life_fac,0.5,0))+Sens!F19560*IF(4&lt;life_fac,1,IF(4=life_fac,0.5,0))+Sens!G19560*IF(3&lt;life_fac,1,IF(3=life_fac,0.5,0))+Sens!H19560*IF(2&lt;life_fac,1,IF(2=life_fac,0.5,0))+Sens!I19560*IF(1&lt;life_fac,1,IF(1=life_fac,0.5,0))+Sens!J19560*0.5)/life_fac</f>
        <v>8.35816451031075</v>
      </c>
      <c r="K19566" s="6" t="n">
        <f aca="false">(Sens!C19560*IF(8&lt;life_fac,1,IF(8=life_fac,0.5,0))+Sens!D19560*IF(7&lt;life_fac,1,IF(7=life_fac,0.5,0))+Sens!E19560*IF(6&lt;life_fac,1,IF(6=life_fac,0.5,0))+Sens!F19560*IF(5&lt;life_fac,1,IF(5=life_fac,0.5,0))+Sens!G19560*IF(4&lt;life_fac,1,IF(4=life_fac,0.5,0))+Sens!H19560*IF(3&lt;life_fac,1,IF(3=life_fac,0.5,0))+Sens!I19560*IF(2&lt;life_fac,1,IF(2=life_fac,0.5,0))+Sens!J19560*IF(1&lt;life_fac,1,IF(1=life_fac,0.5,0))+Sens!K19560*0.5)/life_fac</f>
        <v>8.86883104910662</v>
      </c>
    </row>
    <row r="19567" customFormat="false" ht="17.15" hidden="false" customHeight="false" outlineLevel="0" collapsed="false">
      <c r="A19567" s="0" t="s">
        <v>1005</v>
      </c>
      <c r="B19567" s="0" t="s">
        <v>98</v>
      </c>
      <c r="E19567" s="6" t="n">
        <f aca="false">Sens!E19565+Sens!E19566</f>
        <v>16.3054059770833</v>
      </c>
      <c r="F19567" s="6" t="n">
        <f aca="false">Sens!F19565+Sens!F19566</f>
        <v>35.0499560737695</v>
      </c>
      <c r="G19567" s="6" t="n">
        <f aca="false">Sens!G19565+Sens!G19566</f>
        <v>62.1848803536636</v>
      </c>
      <c r="H19567" s="6" t="n">
        <f aca="false">Sens!H19565+Sens!H19566</f>
        <v>91.5686933838682</v>
      </c>
      <c r="I19567" s="6" t="n">
        <f aca="false">Sens!I19565+Sens!I19566</f>
        <v>117.660959172613</v>
      </c>
      <c r="J19567" s="6" t="n">
        <f aca="false">Sens!J19565+Sens!J19566</f>
        <v>136.255638179728</v>
      </c>
      <c r="K19567" s="6" t="n">
        <f aca="false">Sens!K19565+Sens!K19566</f>
        <v>147.966328197264</v>
      </c>
    </row>
    <row r="19568" customFormat="false" ht="17.15" hidden="false" customHeight="false" outlineLevel="0" collapsed="false">
      <c r="A19568" s="0" t="s">
        <v>1006</v>
      </c>
      <c r="B19568" s="0" t="s">
        <v>98</v>
      </c>
      <c r="E19568" s="6" t="n">
        <f aca="false">Sens!E19555-Sens!E19554*Sens!E19567</f>
        <v>8.92707889977379</v>
      </c>
      <c r="F19568" s="6" t="n">
        <f aca="false">Sens!F19555-Sens!F19554*Sens!F19567</f>
        <v>23.301490606768</v>
      </c>
      <c r="G19568" s="6" t="n">
        <f aca="false">Sens!G19555-Sens!G19554*Sens!G19567</f>
        <v>44.9979729417915</v>
      </c>
      <c r="H19568" s="6" t="n">
        <f aca="false">Sens!H19555-Sens!H19554*Sens!H19567</f>
        <v>72.1576453337897</v>
      </c>
      <c r="I19568" s="6" t="n">
        <f aca="false">Sens!I19555-Sens!I19554*Sens!I19567</f>
        <v>90.6542962566297</v>
      </c>
      <c r="J19568" s="6" t="n">
        <f aca="false">Sens!J19555-Sens!J19554*Sens!J19567</f>
        <v>103.601698097453</v>
      </c>
      <c r="K19568" s="6" t="n">
        <f aca="false">Sens!K19555-Sens!K19554*Sens!K19567</f>
        <v>112.417055975213</v>
      </c>
    </row>
    <row r="19569" customFormat="false" ht="17.15" hidden="false" customHeight="false" outlineLevel="0" collapsed="false">
      <c r="A19569" s="3" t="s">
        <v>2095</v>
      </c>
    </row>
    <row r="19570" customFormat="false" ht="15" hidden="false" customHeight="false" outlineLevel="0" collapsed="false">
      <c r="A19570" s="4" t="s">
        <v>43</v>
      </c>
      <c r="B19570" s="4" t="s">
        <v>65</v>
      </c>
      <c r="C19570" s="23" t="s">
        <v>942</v>
      </c>
      <c r="D19570" s="23" t="s">
        <v>943</v>
      </c>
      <c r="E19570" s="23" t="s">
        <v>944</v>
      </c>
      <c r="F19570" s="23" t="s">
        <v>945</v>
      </c>
      <c r="G19570" s="23" t="s">
        <v>946</v>
      </c>
      <c r="H19570" s="23" t="s">
        <v>947</v>
      </c>
      <c r="I19570" s="23" t="s">
        <v>948</v>
      </c>
      <c r="J19570" s="23" t="s">
        <v>949</v>
      </c>
      <c r="K19570" s="23" t="s">
        <v>950</v>
      </c>
      <c r="L19570" s="4" t="s">
        <v>47</v>
      </c>
    </row>
    <row r="19571" customFormat="false" ht="17.15" hidden="false" customHeight="false" outlineLevel="0" collapsed="false">
      <c r="A19571" s="0" t="s">
        <v>1025</v>
      </c>
      <c r="B19571" s="0" t="s">
        <v>98</v>
      </c>
      <c r="D19571" s="6" t="n">
        <f aca="false">Sens!D19549</f>
        <v>12.9359794422418</v>
      </c>
      <c r="E19571" s="6" t="n">
        <f aca="false">Sens!E19549</f>
        <v>27.8095064661409</v>
      </c>
      <c r="F19571" s="6" t="n">
        <f aca="false">Sens!F19549</f>
        <v>60.1986421895533</v>
      </c>
      <c r="G19571" s="6" t="n">
        <f aca="false">Sens!G19549</f>
        <v>105.994220371926</v>
      </c>
      <c r="H19571" s="6" t="n">
        <f aca="false">Sens!H19549</f>
        <v>158.033951068614</v>
      </c>
      <c r="I19571" s="6" t="n">
        <f aca="false">Sens!I19549</f>
        <v>198.456994737959</v>
      </c>
      <c r="J19571" s="6" t="n">
        <f aca="false">Sens!J19549</f>
        <v>226.825572993488</v>
      </c>
      <c r="K19571" s="6" t="n">
        <f aca="false">Sens!K19549</f>
        <v>245.077811684512</v>
      </c>
    </row>
    <row r="19572" customFormat="false" ht="17.15" hidden="false" customHeight="false" outlineLevel="0" collapsed="false">
      <c r="A19572" s="0" t="s">
        <v>1026</v>
      </c>
      <c r="B19572" s="0" t="s">
        <v>98</v>
      </c>
      <c r="D19572" s="6" t="n">
        <f aca="false">Q!L6-Sens!D19571</f>
        <v>59.6740205577583</v>
      </c>
      <c r="E19572" s="6" t="n">
        <f aca="false">Q!M6-Sens!E19571</f>
        <v>74.1284935338591</v>
      </c>
      <c r="F19572" s="6" t="n">
        <f aca="false">Q!$I$6+(Sens!F19571+Sens!E19572*(1+Sens!F19573))*(1-Q!$E$6/Q!M6)-Sens!F19571</f>
        <v>90.2461072871302</v>
      </c>
      <c r="G19572" s="6" t="n">
        <f aca="false">Sens!F19572*(1+Sens!G19573)</f>
        <v>107.225845172334</v>
      </c>
      <c r="H19572" s="6" t="n">
        <f aca="false">Sens!G19572*(1+Sens!H19573)</f>
        <v>124.501209269165</v>
      </c>
      <c r="I19572" s="6" t="n">
        <f aca="false">Sens!H19572*(1+Sens!I19573)</f>
        <v>141.193662547632</v>
      </c>
      <c r="J19572" s="6" t="n">
        <f aca="false">Sens!I19572*(1+Sens!J19573)</f>
        <v>156.306652917959</v>
      </c>
      <c r="K19572" s="6" t="n">
        <f aca="false">Sens!J19572*(1+Sens!K19573)</f>
        <v>168.811185151396</v>
      </c>
      <c r="L19572" s="12" t="s">
        <v>1027</v>
      </c>
    </row>
    <row r="19573" customFormat="false" ht="15" hidden="false" customHeight="false" outlineLevel="0" collapsed="false">
      <c r="A19573" s="1" t="s">
        <v>1028</v>
      </c>
      <c r="B19573" s="0" t="s">
        <v>168</v>
      </c>
      <c r="E19573" s="7" t="n">
        <f aca="false">Sens!E19572/Sens!D19572-1</f>
        <v>0.242223883039864</v>
      </c>
      <c r="F19573" s="7" t="n">
        <f aca="false">Sens!$E$19573+(glt_azo-Sens!$E$19573)*MIN(1,(Sens!F19530-base_fy)/n_conv)</f>
        <v>0.215186569199887</v>
      </c>
      <c r="G19573" s="7" t="n">
        <f aca="false">Sens!$E$19573+(glt_azo-Sens!$E$19573)*MIN(1,(Sens!G19530-base_fy)/n_conv)</f>
        <v>0.18814925535991</v>
      </c>
      <c r="H19573" s="7" t="n">
        <f aca="false">Sens!$E$19573+(glt_azo-Sens!$E$19573)*MIN(1,(Sens!H19530-base_fy)/n_conv)</f>
        <v>0.161111941519932</v>
      </c>
      <c r="I19573" s="7" t="n">
        <f aca="false">Sens!$E$19573+(glt_azo-Sens!$E$19573)*MIN(1,(Sens!I19530-base_fy)/n_conv)</f>
        <v>0.134074627679955</v>
      </c>
      <c r="J19573" s="7" t="n">
        <f aca="false">Sens!$E$19573+(glt_azo-Sens!$E$19573)*MIN(1,(Sens!J19530-base_fy)/n_conv)</f>
        <v>0.107037313839977</v>
      </c>
      <c r="K19573" s="7" t="n">
        <f aca="false">Sens!$E$19573+(glt_azo-Sens!$E$19573)*MIN(1,(Sens!K19530-base_fy)/n_conv)</f>
        <v>0.08</v>
      </c>
    </row>
    <row r="19574" customFormat="false" ht="15" hidden="false" customHeight="false" outlineLevel="0" collapsed="false">
      <c r="A19574" s="0" t="s">
        <v>1029</v>
      </c>
      <c r="B19574" s="0" t="s">
        <v>98</v>
      </c>
      <c r="D19574" s="6" t="n">
        <f aca="false">Sens!D19571+Sens!D19572</f>
        <v>72.61</v>
      </c>
      <c r="E19574" s="6" t="n">
        <f aca="false">Sens!E19571+Sens!E19572</f>
        <v>101.938</v>
      </c>
      <c r="F19574" s="6" t="n">
        <f aca="false">Sens!F19571+Sens!F19572</f>
        <v>150.444749476683</v>
      </c>
      <c r="G19574" s="6" t="n">
        <f aca="false">Sens!G19571+Sens!G19572</f>
        <v>213.22006554426</v>
      </c>
      <c r="H19574" s="6" t="n">
        <f aca="false">Sens!H19571+Sens!H19572</f>
        <v>282.535160337779</v>
      </c>
      <c r="I19574" s="6" t="n">
        <f aca="false">Sens!I19571+Sens!I19572</f>
        <v>339.650657285591</v>
      </c>
      <c r="J19574" s="6" t="n">
        <f aca="false">Sens!J19571+Sens!J19572</f>
        <v>383.132225911447</v>
      </c>
      <c r="K19574" s="6" t="n">
        <f aca="false">Sens!K19571+Sens!K19572</f>
        <v>413.888996835908</v>
      </c>
    </row>
    <row r="19575" customFormat="false" ht="17.15" hidden="false" customHeight="false" outlineLevel="0" collapsed="false">
      <c r="A19575" s="0" t="s">
        <v>1030</v>
      </c>
      <c r="B19575" s="1" t="s">
        <v>613</v>
      </c>
      <c r="C19575" s="30" t="n">
        <f aca="false">cop_s24</f>
        <v>1</v>
      </c>
      <c r="D19575" s="30" t="n">
        <f aca="false">cop_s25</f>
        <v>5</v>
      </c>
      <c r="E19575" s="30" t="n">
        <f aca="false">cop_s26</f>
        <v>30</v>
      </c>
      <c r="F19575" s="30" t="n">
        <f aca="false">Sens!E19575+cop_add_A</f>
        <v>60</v>
      </c>
      <c r="G19575" s="30" t="n">
        <f aca="false">Sens!F19575+cop_add_A</f>
        <v>90</v>
      </c>
      <c r="H19575" s="30" t="n">
        <f aca="false">Sens!G19575+cop_add_A</f>
        <v>120</v>
      </c>
      <c r="I19575" s="30" t="n">
        <f aca="false">Sens!H19575+cop_add_A*cop_tail</f>
        <v>135</v>
      </c>
      <c r="J19575" s="30" t="n">
        <f aca="false">Sens!I19575+cop_add_A*cop_tail</f>
        <v>150</v>
      </c>
      <c r="K19575" s="30" t="n">
        <f aca="false">Sens!J19575+cop_add_A*cop_tail</f>
        <v>165</v>
      </c>
      <c r="L19575" s="12" t="s">
        <v>1031</v>
      </c>
    </row>
    <row r="19576" customFormat="false" ht="17.15" hidden="false" customHeight="false" outlineLevel="0" collapsed="false">
      <c r="A19576" s="0" t="s">
        <v>1032</v>
      </c>
      <c r="B19576" s="0" t="s">
        <v>98</v>
      </c>
      <c r="D19576" s="6" t="n">
        <f aca="false">(Sens!C19575+Sens!D19575)/2*cop_px*12/1000</f>
        <v>0.9</v>
      </c>
      <c r="E19576" s="6" t="n">
        <f aca="false">(Sens!D19575+Sens!E19575)/2*cop_px*12/1000</f>
        <v>5.25</v>
      </c>
      <c r="F19576" s="6" t="n">
        <f aca="false">(Sens!E19575+Sens!F19575)/2*cop_px*12/1000</f>
        <v>13.5</v>
      </c>
      <c r="G19576" s="6" t="n">
        <f aca="false">(Sens!F19575+Sens!G19575)/2*cop_px*12/1000</f>
        <v>22.5</v>
      </c>
      <c r="H19576" s="6" t="n">
        <f aca="false">(Sens!G19575+Sens!H19575)/2*cop_px*12/1000</f>
        <v>31.5</v>
      </c>
      <c r="I19576" s="6" t="n">
        <f aca="false">(Sens!H19575+Sens!I19575)/2*cop_px*12/1000</f>
        <v>38.25</v>
      </c>
      <c r="J19576" s="6" t="n">
        <f aca="false">(Sens!I19575+Sens!J19575)/2*cop_px*12/1000</f>
        <v>42.75</v>
      </c>
      <c r="K19576" s="6" t="n">
        <f aca="false">(Sens!J19575+Sens!K19575)/2*cop_px*12/1000</f>
        <v>47.25</v>
      </c>
      <c r="L19576" s="1" t="s">
        <v>1033</v>
      </c>
    </row>
    <row r="19577" customFormat="false" ht="17.15" hidden="false" customHeight="false" outlineLevel="0" collapsed="false">
      <c r="A19577" s="0" t="s">
        <v>1034</v>
      </c>
      <c r="B19577" s="0" t="s">
        <v>98</v>
      </c>
      <c r="D19577" s="6" t="n">
        <f aca="false">Q!L7-Sens!D19576</f>
        <v>83.705</v>
      </c>
      <c r="E19577" s="6" t="n">
        <f aca="false">Q!M7-Sens!E19576</f>
        <v>95.049</v>
      </c>
      <c r="F19577" s="6" t="n">
        <f aca="false">Q!$I$7+(Sens!E19577*(1+Sens!F19578)+Sens!F19576)*(1-Q!$E$7/Q!M7)-Sens!F19576</f>
        <v>106.229653205718</v>
      </c>
      <c r="G19577" s="6" t="n">
        <f aca="false">Sens!F19577*(1+Sens!G19578)</f>
        <v>118.306092647576</v>
      </c>
      <c r="H19577" s="6" t="n">
        <f aca="false">Sens!G19577*(1+Sens!H19578)</f>
        <v>130.463437602768</v>
      </c>
      <c r="I19577" s="6" t="n">
        <f aca="false">Sens!H19577*(1+Sens!I19578)</f>
        <v>142.445354741933</v>
      </c>
      <c r="J19577" s="6" t="n">
        <f aca="false">Sens!I19577*(1+Sens!J19578)</f>
        <v>153.972117481571</v>
      </c>
      <c r="K19577" s="6" t="n">
        <f aca="false">Sens!J19577*(1+Sens!K19578)</f>
        <v>164.75016570528</v>
      </c>
      <c r="L19577" s="12" t="s">
        <v>1035</v>
      </c>
    </row>
    <row r="19578" customFormat="false" ht="15" hidden="false" customHeight="false" outlineLevel="0" collapsed="false">
      <c r="A19578" s="1" t="s">
        <v>1028</v>
      </c>
      <c r="B19578" s="0" t="s">
        <v>168</v>
      </c>
      <c r="E19578" s="7" t="n">
        <f aca="false">Sens!E19577/Sens!D19577-1</f>
        <v>0.135523564900544</v>
      </c>
      <c r="F19578" s="7" t="n">
        <f aca="false">Sens!$E$19578+(glt_m365b-Sens!$E$19578)*MIN(1,(Sens!F19530-base_fy)/n_conv)</f>
        <v>0.124602970750453</v>
      </c>
      <c r="G19578" s="7" t="n">
        <f aca="false">Sens!$E$19578+(glt_m365b-Sens!$E$19578)*MIN(1,(Sens!G19530-base_fy)/n_conv)</f>
        <v>0.113682376600363</v>
      </c>
      <c r="H19578" s="7" t="n">
        <f aca="false">Sens!$E$19578+(glt_m365b-Sens!$E$19578)*MIN(1,(Sens!H19530-base_fy)/n_conv)</f>
        <v>0.102761782450272</v>
      </c>
      <c r="I19578" s="7" t="n">
        <f aca="false">Sens!$E$19578+(glt_m365b-Sens!$E$19578)*MIN(1,(Sens!I19530-base_fy)/n_conv)</f>
        <v>0.0918411883001813</v>
      </c>
      <c r="J19578" s="7" t="n">
        <f aca="false">Sens!$E$19578+(glt_m365b-Sens!$E$19578)*MIN(1,(Sens!J19530-base_fy)/n_conv)</f>
        <v>0.0809205941500906</v>
      </c>
      <c r="K19578" s="7" t="n">
        <f aca="false">Sens!$E$19578+(glt_m365b-Sens!$E$19578)*MIN(1,(Sens!K19530-base_fy)/n_conv)</f>
        <v>0.07</v>
      </c>
    </row>
    <row r="19579" customFormat="false" ht="15" hidden="false" customHeight="false" outlineLevel="0" collapsed="false">
      <c r="A19579" s="0" t="s">
        <v>1036</v>
      </c>
      <c r="B19579" s="0" t="s">
        <v>98</v>
      </c>
      <c r="D19579" s="6" t="n">
        <f aca="false">Sens!D19577+Sens!D19576</f>
        <v>84.605</v>
      </c>
      <c r="E19579" s="6" t="n">
        <f aca="false">Sens!E19577+Sens!E19576</f>
        <v>100.299</v>
      </c>
      <c r="F19579" s="6" t="n">
        <f aca="false">Sens!F19577+Sens!F19576</f>
        <v>119.729653205718</v>
      </c>
      <c r="G19579" s="6" t="n">
        <f aca="false">Sens!G19577+Sens!G19576</f>
        <v>140.806092647576</v>
      </c>
      <c r="H19579" s="6" t="n">
        <f aca="false">Sens!H19577+Sens!H19576</f>
        <v>161.963437602768</v>
      </c>
      <c r="I19579" s="6" t="n">
        <f aca="false">Sens!I19577+Sens!I19576</f>
        <v>180.695354741933</v>
      </c>
      <c r="J19579" s="6" t="n">
        <f aca="false">Sens!J19577+Sens!J19576</f>
        <v>196.722117481571</v>
      </c>
      <c r="K19579" s="6" t="n">
        <f aca="false">Sens!K19577+Sens!K19576</f>
        <v>212.00016570528</v>
      </c>
    </row>
    <row r="19580" customFormat="false" ht="17.15" hidden="false" customHeight="false" outlineLevel="0" collapsed="false">
      <c r="A19580" s="0" t="s">
        <v>1037</v>
      </c>
      <c r="B19580" s="0" t="s">
        <v>98</v>
      </c>
      <c r="D19580" s="6" t="n">
        <f aca="false">Q!L8</f>
        <v>35.391</v>
      </c>
      <c r="E19580" s="6" t="n">
        <f aca="false">Q!M8</f>
        <v>37.285</v>
      </c>
      <c r="F19580" s="6" t="n">
        <f aca="false">Q!$I$8+(Q!M8-Q!$E$8)*(1+Sens!F19581)</f>
        <v>38.3851437782675</v>
      </c>
      <c r="G19580" s="6" t="n">
        <f aca="false">Sens!F19580*(1+Sens!G19581)</f>
        <v>40.0105353288615</v>
      </c>
      <c r="H19580" s="6" t="n">
        <f aca="false">Sens!G19580*(1+Sens!H19581)</f>
        <v>41.4812512033683</v>
      </c>
      <c r="I19580" s="6" t="n">
        <f aca="false">Sens!H19580*(1+Sens!I19581)</f>
        <v>42.7743107216329</v>
      </c>
      <c r="J19580" s="6" t="n">
        <f aca="false">Sens!I19580*(1+Sens!J19581)</f>
        <v>43.8687373064601</v>
      </c>
      <c r="K19580" s="6" t="n">
        <f aca="false">Sens!J19580*(1+Sens!K19581)</f>
        <v>44.7461120525893</v>
      </c>
      <c r="L19580" s="12" t="s">
        <v>1038</v>
      </c>
    </row>
    <row r="19581" customFormat="false" ht="15" hidden="false" customHeight="false" outlineLevel="0" collapsed="false">
      <c r="A19581" s="1" t="s">
        <v>1028</v>
      </c>
      <c r="B19581" s="0" t="s">
        <v>168</v>
      </c>
      <c r="E19581" s="7" t="n">
        <f aca="false">Sens!E19580/Sens!D19580-1</f>
        <v>0.0535164307309768</v>
      </c>
      <c r="F19581" s="7" t="n">
        <f aca="false">Sens!$E$19581+(glt_lic-Sens!$E$19581)*MIN(1,(Sens!F19530-base_fy)/n_conv)</f>
        <v>0.0479303589424807</v>
      </c>
      <c r="G19581" s="7" t="n">
        <f aca="false">Sens!$E$19581+(glt_lic-Sens!$E$19581)*MIN(1,(Sens!G19530-base_fy)/n_conv)</f>
        <v>0.0423442871539845</v>
      </c>
      <c r="H19581" s="7" t="n">
        <f aca="false">Sens!$E$19581+(glt_lic-Sens!$E$19581)*MIN(1,(Sens!H19530-base_fy)/n_conv)</f>
        <v>0.0367582153654884</v>
      </c>
      <c r="I19581" s="7" t="n">
        <f aca="false">Sens!$E$19581+(glt_lic-Sens!$E$19581)*MIN(1,(Sens!I19530-base_fy)/n_conv)</f>
        <v>0.0311721435769923</v>
      </c>
      <c r="J19581" s="7" t="n">
        <f aca="false">Sens!$E$19581+(glt_lic-Sens!$E$19581)*MIN(1,(Sens!J19530-base_fy)/n_conv)</f>
        <v>0.0255860717884961</v>
      </c>
      <c r="K19581" s="7" t="n">
        <f aca="false">Sens!$E$19581+(glt_lic-Sens!$E$19581)*MIN(1,(Sens!K19530-base_fy)/n_conv)</f>
        <v>0.02</v>
      </c>
    </row>
    <row r="19582" customFormat="false" ht="17.15" hidden="false" customHeight="false" outlineLevel="0" collapsed="false">
      <c r="A19582" s="0" t="s">
        <v>1039</v>
      </c>
      <c r="B19582" s="0" t="s">
        <v>98</v>
      </c>
      <c r="D19582" s="6" t="n">
        <f aca="false">Q!L9</f>
        <v>18.417</v>
      </c>
      <c r="E19582" s="6" t="n">
        <f aca="false">Q!M9</f>
        <v>20.345</v>
      </c>
      <c r="F19582" s="6" t="n">
        <f aca="false">Q!$I$9+(Q!M9-Q!$E$9)*(1+Sens!F19583)</f>
        <v>22.3161797133988</v>
      </c>
      <c r="G19582" s="6" t="n">
        <f aca="false">Sens!F19582*(1+Sens!G19583)</f>
        <v>24.3943499673233</v>
      </c>
      <c r="H19582" s="6" t="n">
        <f aca="false">Sens!G19582*(1+Sens!H19583)</f>
        <v>26.5250243109019</v>
      </c>
      <c r="I19582" s="6" t="n">
        <f aca="false">Sens!H19582*(1+Sens!I19583)</f>
        <v>28.6884573538181</v>
      </c>
      <c r="J19582" s="6" t="n">
        <f aca="false">Sens!I19582*(1+Sens!J19583)</f>
        <v>30.8624968052127</v>
      </c>
      <c r="K19582" s="6" t="n">
        <f aca="false">Sens!J19582*(1+Sens!K19583)</f>
        <v>33.0228715815776</v>
      </c>
      <c r="L19582" s="12" t="s">
        <v>1038</v>
      </c>
    </row>
    <row r="19583" customFormat="false" ht="15" hidden="false" customHeight="false" outlineLevel="0" collapsed="false">
      <c r="A19583" s="1" t="s">
        <v>1028</v>
      </c>
      <c r="B19583" s="0" t="s">
        <v>168</v>
      </c>
      <c r="E19583" s="7" t="n">
        <f aca="false">Sens!E19582/Sens!D19582-1</f>
        <v>0.104685888038225</v>
      </c>
      <c r="F19583" s="7" t="n">
        <f aca="false">Sens!$E$19583+(glt_ind-Sens!$E$19583)*MIN(1,(Sens!F19530-base_fy)/n_conv)</f>
        <v>0.0989049066985211</v>
      </c>
      <c r="G19583" s="7" t="n">
        <f aca="false">Sens!$E$19583+(glt_ind-Sens!$E$19583)*MIN(1,(Sens!G19530-base_fy)/n_conv)</f>
        <v>0.0931239253588169</v>
      </c>
      <c r="H19583" s="7" t="n">
        <f aca="false">Sens!$E$19583+(glt_ind-Sens!$E$19583)*MIN(1,(Sens!H19530-base_fy)/n_conv)</f>
        <v>0.0873429440191127</v>
      </c>
      <c r="I19583" s="7" t="n">
        <f aca="false">Sens!$E$19583+(glt_ind-Sens!$E$19583)*MIN(1,(Sens!I19530-base_fy)/n_conv)</f>
        <v>0.0815619626794085</v>
      </c>
      <c r="J19583" s="7" t="n">
        <f aca="false">Sens!$E$19583+(glt_ind-Sens!$E$19583)*MIN(1,(Sens!J19530-base_fy)/n_conv)</f>
        <v>0.0757809813397042</v>
      </c>
      <c r="K19583" s="7" t="n">
        <f aca="false">Sens!$E$19583+(glt_ind-Sens!$E$19583)*MIN(1,(Sens!K19530-base_fy)/n_conv)</f>
        <v>0.07</v>
      </c>
    </row>
    <row r="19584" customFormat="false" ht="17.15" hidden="false" customHeight="false" outlineLevel="0" collapsed="false">
      <c r="A19584" s="0" t="s">
        <v>1040</v>
      </c>
      <c r="B19584" s="0" t="s">
        <v>98</v>
      </c>
      <c r="D19584" s="6" t="n">
        <f aca="false">Q!L10</f>
        <v>7.76</v>
      </c>
      <c r="E19584" s="6" t="n">
        <f aca="false">Q!M10</f>
        <v>8.26</v>
      </c>
      <c r="F19584" s="6" t="n">
        <f aca="false">Q!$I$10+(Q!M10-Q!$E$10)*(1+Sens!F19585)</f>
        <v>8.75372082474227</v>
      </c>
      <c r="G19584" s="6" t="n">
        <f aca="false">Sens!F19584*(1+Sens!G19585)</f>
        <v>9.33399324642364</v>
      </c>
      <c r="H19584" s="6" t="n">
        <f aca="false">Sens!G19584*(1+Sens!H19585)</f>
        <v>9.96139155535851</v>
      </c>
      <c r="I19584" s="6" t="n">
        <f aca="false">Sens!H19584*(1+Sens!I19585)</f>
        <v>10.6402039077391</v>
      </c>
      <c r="J19584" s="6" t="n">
        <f aca="false">Sens!I19584*(1+Sens!J19585)</f>
        <v>11.3751458271397</v>
      </c>
      <c r="K19584" s="6" t="n">
        <f aca="false">Sens!J19584*(1+Sens!K19585)</f>
        <v>12.1714060350394</v>
      </c>
      <c r="L19584" s="12" t="s">
        <v>1038</v>
      </c>
    </row>
    <row r="19585" customFormat="false" ht="15" hidden="false" customHeight="false" outlineLevel="0" collapsed="false">
      <c r="A19585" s="1" t="s">
        <v>1028</v>
      </c>
      <c r="B19585" s="0" t="s">
        <v>168</v>
      </c>
      <c r="E19585" s="7" t="n">
        <f aca="false">Sens!E19584/Sens!D19584-1</f>
        <v>0.0644329896907216</v>
      </c>
      <c r="F19585" s="7" t="n">
        <f aca="false">Sens!$E$19585+(glt_fro-Sens!$E$19585)*MIN(1,(Sens!F19530-base_fy)/n_conv)</f>
        <v>0.065360824742268</v>
      </c>
      <c r="G19585" s="7" t="n">
        <f aca="false">Sens!$E$19585+(glt_fro-Sens!$E$19585)*MIN(1,(Sens!G19530-base_fy)/n_conv)</f>
        <v>0.0662886597938144</v>
      </c>
      <c r="H19585" s="7" t="n">
        <f aca="false">Sens!$E$19585+(glt_fro-Sens!$E$19585)*MIN(1,(Sens!H19530-base_fy)/n_conv)</f>
        <v>0.0672164948453608</v>
      </c>
      <c r="I19585" s="7" t="n">
        <f aca="false">Sens!$E$19585+(glt_fro-Sens!$E$19585)*MIN(1,(Sens!I19530-base_fy)/n_conv)</f>
        <v>0.0681443298969072</v>
      </c>
      <c r="J19585" s="7" t="n">
        <f aca="false">Sens!$E$19585+(glt_fro-Sens!$E$19585)*MIN(1,(Sens!J19530-base_fy)/n_conv)</f>
        <v>0.0690721649484536</v>
      </c>
      <c r="K19585" s="7" t="n">
        <f aca="false">Sens!$E$19585+(glt_fro-Sens!$E$19585)*MIN(1,(Sens!K19530-base_fy)/n_conv)</f>
        <v>0.07</v>
      </c>
    </row>
    <row r="19586" customFormat="false" ht="15" hidden="false" customHeight="false" outlineLevel="0" collapsed="false">
      <c r="A19586" s="0" t="s">
        <v>856</v>
      </c>
      <c r="B19586" s="0" t="s">
        <v>98</v>
      </c>
      <c r="D19586" s="6" t="n">
        <f aca="false">Sens!D19574+Sens!D19579+Sens!D19580+Sens!D19582+Sens!D19584</f>
        <v>218.783</v>
      </c>
      <c r="E19586" s="6" t="n">
        <f aca="false">Sens!E19574+Sens!E19579+Sens!E19580+Sens!E19582+Sens!E19584</f>
        <v>268.127</v>
      </c>
      <c r="F19586" s="6" t="n">
        <f aca="false">Sens!F19574+Sens!F19579+Sens!F19580+Sens!F19582+Sens!F19584</f>
        <v>339.62944699881</v>
      </c>
      <c r="G19586" s="6" t="n">
        <f aca="false">Sens!G19574+Sens!G19579+Sens!G19580+Sens!G19582+Sens!G19584</f>
        <v>427.765036734445</v>
      </c>
      <c r="H19586" s="6" t="n">
        <f aca="false">Sens!H19574+Sens!H19579+Sens!H19580+Sens!H19582+Sens!H19584</f>
        <v>522.466265010176</v>
      </c>
      <c r="I19586" s="6" t="n">
        <f aca="false">Sens!I19574+Sens!I19579+Sens!I19580+Sens!I19582+Sens!I19584</f>
        <v>602.448984010714</v>
      </c>
      <c r="J19586" s="6" t="n">
        <f aca="false">Sens!J19574+Sens!J19579+Sens!J19580+Sens!J19582+Sens!J19584</f>
        <v>665.96072333183</v>
      </c>
      <c r="K19586" s="6" t="n">
        <f aca="false">Sens!K19574+Sens!K19579+Sens!K19580+Sens!K19582+Sens!K19584</f>
        <v>715.829552210394</v>
      </c>
    </row>
    <row r="19587" customFormat="false" ht="17.15" hidden="false" customHeight="false" outlineLevel="0" collapsed="false">
      <c r="A19587" s="0" t="s">
        <v>1041</v>
      </c>
      <c r="B19587" s="0" t="s">
        <v>98</v>
      </c>
      <c r="D19587" s="6" t="n">
        <f aca="false">Q!L13</f>
        <v>22.171</v>
      </c>
      <c r="E19587" s="6" t="n">
        <f aca="false">Q!M13</f>
        <v>24.835</v>
      </c>
      <c r="F19587" s="6" t="n">
        <f aca="false">Q!$I$13+(Q!M13-Q!$E$13)*(1+Sens!F19588)</f>
        <v>27.5591895660247</v>
      </c>
      <c r="G19587" s="6" t="n">
        <f aca="false">Sens!F19587*(1+Sens!G19588)</f>
        <v>30.4098563144583</v>
      </c>
      <c r="H19587" s="6" t="n">
        <f aca="false">Sens!G19587*(1+Sens!H19588)</f>
        <v>33.3011792571777</v>
      </c>
      <c r="I19587" s="6" t="n">
        <f aca="false">Sens!H19587*(1+Sens!I19588)</f>
        <v>36.189023797112</v>
      </c>
      <c r="J19587" s="6" t="n">
        <f aca="false">Sens!I19587*(1+Sens!J19588)</f>
        <v>39.0247773769199</v>
      </c>
      <c r="K19587" s="6" t="n">
        <f aca="false">Sens!J19587*(1+Sens!K19588)</f>
        <v>41.7565117933043</v>
      </c>
      <c r="L19587" s="12" t="s">
        <v>1038</v>
      </c>
    </row>
    <row r="19588" customFormat="false" ht="15" hidden="false" customHeight="false" outlineLevel="0" collapsed="false">
      <c r="A19588" s="1" t="s">
        <v>1028</v>
      </c>
      <c r="B19588" s="0" t="s">
        <v>168</v>
      </c>
      <c r="E19588" s="7" t="n">
        <f aca="false">Sens!E19587/Sens!D19587-1</f>
        <v>0.120156961796942</v>
      </c>
      <c r="F19588" s="7" t="n">
        <f aca="false">Sens!$E$19588+(glt_srch-Sens!$E$19588)*MIN(1,(Sens!F19530-base_fy)/n_conv)</f>
        <v>0.111797468164118</v>
      </c>
      <c r="G19588" s="7" t="n">
        <f aca="false">Sens!$E$19588+(glt_srch-Sens!$E$19588)*MIN(1,(Sens!G19530-base_fy)/n_conv)</f>
        <v>0.103437974531295</v>
      </c>
      <c r="H19588" s="7" t="n">
        <f aca="false">Sens!$E$19588+(glt_srch-Sens!$E$19588)*MIN(1,(Sens!H19530-base_fy)/n_conv)</f>
        <v>0.095078480898471</v>
      </c>
      <c r="I19588" s="7" t="n">
        <f aca="false">Sens!$E$19588+(glt_srch-Sens!$E$19588)*MIN(1,(Sens!I19530-base_fy)/n_conv)</f>
        <v>0.0867189872656474</v>
      </c>
      <c r="J19588" s="7" t="n">
        <f aca="false">Sens!$E$19588+(glt_srch-Sens!$E$19588)*MIN(1,(Sens!J19530-base_fy)/n_conv)</f>
        <v>0.0783594936328237</v>
      </c>
      <c r="K19588" s="7" t="n">
        <f aca="false">Sens!$E$19588+(glt_srch-Sens!$E$19588)*MIN(1,(Sens!K19530-base_fy)/n_conv)</f>
        <v>0.07</v>
      </c>
    </row>
    <row r="19589" customFormat="false" ht="17.15" hidden="false" customHeight="false" outlineLevel="0" collapsed="false">
      <c r="A19589" s="0" t="s">
        <v>1042</v>
      </c>
      <c r="B19589" s="0" t="s">
        <v>98</v>
      </c>
      <c r="D19589" s="6" t="n">
        <f aca="false">Q!L14</f>
        <v>23.455</v>
      </c>
      <c r="E19589" s="6" t="n">
        <f aca="false">Q!M14</f>
        <v>21.79</v>
      </c>
      <c r="F19589" s="6" t="n">
        <f aca="false">Q!$I$14+(Q!M14-Q!$E$14)*(1+Sens!F19590)</f>
        <v>20.7520981041711</v>
      </c>
      <c r="G19589" s="6" t="n">
        <f aca="false">Sens!F19589*(1+Sens!G19590)</f>
        <v>19.9083593495882</v>
      </c>
      <c r="H19589" s="6" t="n">
        <f aca="false">Sens!G19589*(1+Sens!H19590)</f>
        <v>19.4008256265831</v>
      </c>
      <c r="I19589" s="6" t="n">
        <f aca="false">Sens!H19589*(1+Sens!I19590)</f>
        <v>19.200434522122</v>
      </c>
      <c r="J19589" s="6" t="n">
        <f aca="false">Sens!I19589*(1+Sens!J19590)</f>
        <v>19.2932782348507</v>
      </c>
      <c r="K19589" s="6" t="n">
        <f aca="false">Sens!J19589*(1+Sens!K19590)</f>
        <v>19.6791437995477</v>
      </c>
      <c r="L19589" s="12" t="s">
        <v>1038</v>
      </c>
    </row>
    <row r="19590" customFormat="false" ht="15" hidden="false" customHeight="false" outlineLevel="0" collapsed="false">
      <c r="A19590" s="1" t="s">
        <v>1028</v>
      </c>
      <c r="B19590" s="0" t="s">
        <v>168</v>
      </c>
      <c r="E19590" s="7" t="n">
        <f aca="false">Sens!E19589/Sens!D19589-1</f>
        <v>-0.0709869963760392</v>
      </c>
      <c r="F19590" s="7" t="n">
        <f aca="false">Sens!$E$19590+(glt_xbox-Sens!$E$19590)*MIN(1,(Sens!F19530-base_fy)/n_conv)</f>
        <v>-0.0558224969800327</v>
      </c>
      <c r="G19590" s="7" t="n">
        <f aca="false">Sens!$E$19590+(glt_xbox-Sens!$E$19590)*MIN(1,(Sens!G19530-base_fy)/n_conv)</f>
        <v>-0.0406579975840262</v>
      </c>
      <c r="H19590" s="7" t="n">
        <f aca="false">Sens!$E$19590+(glt_xbox-Sens!$E$19590)*MIN(1,(Sens!H19530-base_fy)/n_conv)</f>
        <v>-0.0254934981880196</v>
      </c>
      <c r="I19590" s="7" t="n">
        <f aca="false">Sens!$E$19590+(glt_xbox-Sens!$E$19590)*MIN(1,(Sens!I19530-base_fy)/n_conv)</f>
        <v>-0.0103289987920131</v>
      </c>
      <c r="J19590" s="7" t="n">
        <f aca="false">Sens!$E$19590+(glt_xbox-Sens!$E$19590)*MIN(1,(Sens!J19530-base_fy)/n_conv)</f>
        <v>0.00483550060399347</v>
      </c>
      <c r="K19590" s="7" t="n">
        <f aca="false">Sens!$E$19590+(glt_xbox-Sens!$E$19590)*MIN(1,(Sens!K19530-base_fy)/n_conv)</f>
        <v>0.02</v>
      </c>
    </row>
    <row r="19591" customFormat="false" ht="17.15" hidden="false" customHeight="false" outlineLevel="0" collapsed="false">
      <c r="A19591" s="0" t="s">
        <v>1043</v>
      </c>
      <c r="B19591" s="0" t="s">
        <v>98</v>
      </c>
      <c r="D19591" s="6" t="n">
        <f aca="false">Q!L15</f>
        <v>17.315</v>
      </c>
      <c r="E19591" s="6" t="n">
        <f aca="false">Q!M15</f>
        <v>17.087</v>
      </c>
      <c r="F19591" s="6" t="n">
        <f aca="false">Q!$I$15+(Q!M15-Q!$E$15)*(1+Sens!F19592)</f>
        <v>15.9912273250553</v>
      </c>
      <c r="G19591" s="6" t="n">
        <f aca="false">Sens!F19591*(1+Sens!G19592)</f>
        <v>15.9574562664827</v>
      </c>
      <c r="H19591" s="6" t="n">
        <f aca="false">Sens!G19591*(1+Sens!H19592)</f>
        <v>16.0119687434196</v>
      </c>
      <c r="I19591" s="6" t="n">
        <f aca="false">Sens!H19591*(1+Sens!I19592)</f>
        <v>16.1551810001948</v>
      </c>
      <c r="J19591" s="6" t="n">
        <f aca="false">Sens!I19591*(1+Sens!J19592)</f>
        <v>16.3889793892005</v>
      </c>
      <c r="K19591" s="6" t="n">
        <f aca="false">Sens!J19591*(1+Sens!K19592)</f>
        <v>16.7167589769845</v>
      </c>
      <c r="L19591" s="12" t="s">
        <v>1038</v>
      </c>
    </row>
    <row r="19592" customFormat="false" ht="15" hidden="false" customHeight="false" outlineLevel="0" collapsed="false">
      <c r="A19592" s="1" t="s">
        <v>1028</v>
      </c>
      <c r="B19592" s="0" t="s">
        <v>168</v>
      </c>
      <c r="E19592" s="7" t="n">
        <f aca="false">Sens!E19591/Sens!D19591-1</f>
        <v>-0.0131677736066995</v>
      </c>
      <c r="F19592" s="7" t="n">
        <f aca="false">Sens!$E$19592+(glt_win-Sens!$E$19592)*MIN(1,(Sens!F19530-base_fy)/n_conv)</f>
        <v>-0.00763981133891627</v>
      </c>
      <c r="G19592" s="7" t="n">
        <f aca="false">Sens!$E$19592+(glt_win-Sens!$E$19592)*MIN(1,(Sens!G19530-base_fy)/n_conv)</f>
        <v>-0.00211184907113301</v>
      </c>
      <c r="H19592" s="7" t="n">
        <f aca="false">Sens!$E$19592+(glt_win-Sens!$E$19592)*MIN(1,(Sens!H19530-base_fy)/n_conv)</f>
        <v>0.00341611319665024</v>
      </c>
      <c r="I19592" s="7" t="n">
        <f aca="false">Sens!$E$19592+(glt_win-Sens!$E$19592)*MIN(1,(Sens!I19530-base_fy)/n_conv)</f>
        <v>0.00894407546443349</v>
      </c>
      <c r="J19592" s="7" t="n">
        <f aca="false">Sens!$E$19592+(glt_win-Sens!$E$19592)*MIN(1,(Sens!J19530-base_fy)/n_conv)</f>
        <v>0.0144720377322168</v>
      </c>
      <c r="K19592" s="7" t="n">
        <f aca="false">Sens!$E$19592+(glt_win-Sens!$E$19592)*MIN(1,(Sens!K19530-base_fy)/n_conv)</f>
        <v>0.02</v>
      </c>
    </row>
    <row r="19593" customFormat="false" ht="15" hidden="false" customHeight="false" outlineLevel="0" collapsed="false">
      <c r="A19593" s="0" t="s">
        <v>870</v>
      </c>
      <c r="B19593" s="0" t="s">
        <v>98</v>
      </c>
      <c r="D19593" s="6" t="n">
        <f aca="false">Sens!D19587+Sens!D19589+Sens!D19591</f>
        <v>62.941</v>
      </c>
      <c r="E19593" s="6" t="n">
        <f aca="false">Sens!E19587+Sens!E19589+Sens!E19591</f>
        <v>63.712</v>
      </c>
      <c r="F19593" s="6" t="n">
        <f aca="false">Sens!F19587+Sens!F19589+Sens!F19591</f>
        <v>64.3025149952511</v>
      </c>
      <c r="G19593" s="6" t="n">
        <f aca="false">Sens!G19587+Sens!G19589+Sens!G19591</f>
        <v>66.2756719305292</v>
      </c>
      <c r="H19593" s="6" t="n">
        <f aca="false">Sens!H19587+Sens!H19589+Sens!H19591</f>
        <v>68.7139736271804</v>
      </c>
      <c r="I19593" s="6" t="n">
        <f aca="false">Sens!I19587+Sens!I19589+Sens!I19591</f>
        <v>71.5446393194289</v>
      </c>
      <c r="J19593" s="6" t="n">
        <f aca="false">Sens!J19587+Sens!J19589+Sens!J19591</f>
        <v>74.707035000971</v>
      </c>
      <c r="K19593" s="6" t="n">
        <f aca="false">Sens!K19587+Sens!K19589+Sens!K19591</f>
        <v>78.1524145698365</v>
      </c>
    </row>
    <row r="19594" customFormat="false" ht="15" hidden="false" customHeight="false" outlineLevel="0" collapsed="false">
      <c r="A19594" s="1" t="s">
        <v>1044</v>
      </c>
      <c r="B19594" s="0" t="s">
        <v>98</v>
      </c>
      <c r="D19594" s="6" t="n">
        <f aca="false">Sens!D19586+Sens!D19593</f>
        <v>281.724</v>
      </c>
      <c r="E19594" s="6" t="n">
        <f aca="false">Sens!E19586+Sens!E19593</f>
        <v>331.839</v>
      </c>
      <c r="F19594" s="6" t="n">
        <f aca="false">Sens!F19586+Sens!F19593</f>
        <v>403.931961994061</v>
      </c>
      <c r="G19594" s="6" t="n">
        <f aca="false">Sens!G19586+Sens!G19593</f>
        <v>494.040708664974</v>
      </c>
      <c r="H19594" s="6" t="n">
        <f aca="false">Sens!H19586+Sens!H19593</f>
        <v>591.180238637356</v>
      </c>
      <c r="I19594" s="6" t="n">
        <f aca="false">Sens!I19586+Sens!I19593</f>
        <v>673.993623330143</v>
      </c>
      <c r="J19594" s="6" t="n">
        <f aca="false">Sens!J19586+Sens!J19593</f>
        <v>740.667758332801</v>
      </c>
      <c r="K19594" s="6" t="n">
        <f aca="false">Sens!K19586+Sens!K19593</f>
        <v>793.981966780231</v>
      </c>
    </row>
    <row r="19595" customFormat="false" ht="15" hidden="false" customHeight="false" outlineLevel="0" collapsed="false">
      <c r="A19595" s="26" t="s">
        <v>1045</v>
      </c>
      <c r="B19595" s="31" t="s">
        <v>98</v>
      </c>
      <c r="C19595" s="31"/>
      <c r="D19595" s="27" t="n">
        <f aca="false">(Sens!D19574+Sens!D19579+Sens!D19580+Sens!D19582+Sens!D19584-Sens!D19586)+(Sens!D19587+Sens!D19589+Sens!D19591-Sens!D19593)+(Sens!D19586-Q!L5)+(Sens!D19593-Q!L12)+(Sens!D19574-Q!L6)+(Sens!D19579-Q!L7)</f>
        <v>0</v>
      </c>
      <c r="E19595" s="27" t="n">
        <f aca="false">(Sens!E19574+Sens!E19579+Sens!E19580+Sens!E19582+Sens!E19584-Sens!E19586)+(Sens!E19587+Sens!E19589+Sens!E19591-Sens!E19593)+(Sens!E19586-Q!M5)+(Sens!E19593-Q!M12)+(Sens!E19574-Q!M6)+(Sens!E19579-Q!M7)</f>
        <v>0</v>
      </c>
      <c r="F19595" s="27" t="n">
        <f aca="false">(Sens!F19574+Sens!F19579+Sens!F19580+Sens!F19582+Sens!F19584-Sens!F19586)+(Sens!F19587+Sens!F19589+Sens!F19591-Sens!F19593)</f>
        <v>0</v>
      </c>
      <c r="G19595" s="27" t="n">
        <f aca="false">(Sens!G19574+Sens!G19579+Sens!G19580+Sens!G19582+Sens!G19584-Sens!G19586)+(Sens!G19587+Sens!G19589+Sens!G19591-Sens!G19593)</f>
        <v>0</v>
      </c>
      <c r="H19595" s="27" t="n">
        <f aca="false">(Sens!H19574+Sens!H19579+Sens!H19580+Sens!H19582+Sens!H19584-Sens!H19586)+(Sens!H19587+Sens!H19589+Sens!H19591-Sens!H19593)</f>
        <v>0</v>
      </c>
      <c r="I19595" s="27" t="n">
        <f aca="false">(Sens!I19574+Sens!I19579+Sens!I19580+Sens!I19582+Sens!I19584-Sens!I19586)+(Sens!I19587+Sens!I19589+Sens!I19591-Sens!I19593)</f>
        <v>0</v>
      </c>
      <c r="J19595" s="27" t="n">
        <f aca="false">(Sens!J19574+Sens!J19579+Sens!J19580+Sens!J19582+Sens!J19584-Sens!J19586)+(Sens!J19587+Sens!J19589+Sens!J19591-Sens!J19593)</f>
        <v>0</v>
      </c>
      <c r="K19595" s="27" t="n">
        <f aca="false">(Sens!K19574+Sens!K19579+Sens!K19580+Sens!K19582+Sens!K19584-Sens!K19586)+(Sens!K19587+Sens!K19589+Sens!K19591-Sens!K19593)</f>
        <v>0</v>
      </c>
    </row>
    <row r="19596" customFormat="false" ht="17.15" hidden="false" customHeight="false" outlineLevel="0" collapsed="false">
      <c r="A19596" s="3" t="s">
        <v>2096</v>
      </c>
    </row>
    <row r="19597" customFormat="false" ht="15" hidden="false" customHeight="false" outlineLevel="0" collapsed="false">
      <c r="A19597" s="4" t="s">
        <v>43</v>
      </c>
      <c r="B19597" s="4" t="s">
        <v>65</v>
      </c>
      <c r="C19597" s="23" t="s">
        <v>942</v>
      </c>
      <c r="D19597" s="23" t="s">
        <v>943</v>
      </c>
      <c r="E19597" s="23" t="s">
        <v>944</v>
      </c>
      <c r="F19597" s="23" t="s">
        <v>945</v>
      </c>
      <c r="G19597" s="23" t="s">
        <v>946</v>
      </c>
      <c r="H19597" s="23" t="s">
        <v>947</v>
      </c>
      <c r="I19597" s="23" t="s">
        <v>948</v>
      </c>
      <c r="J19597" s="23" t="s">
        <v>949</v>
      </c>
      <c r="K19597" s="23" t="s">
        <v>950</v>
      </c>
      <c r="L19597" s="4" t="s">
        <v>47</v>
      </c>
    </row>
    <row r="19598" customFormat="false" ht="15" hidden="false" customHeight="false" outlineLevel="0" collapsed="false">
      <c r="A19598" s="0" t="s">
        <v>1029</v>
      </c>
      <c r="B19598" s="0" t="s">
        <v>98</v>
      </c>
      <c r="D19598" s="6" t="n">
        <f aca="false">Sens!D19574</f>
        <v>72.61</v>
      </c>
      <c r="E19598" s="6" t="n">
        <f aca="false">Sens!E19574</f>
        <v>101.938</v>
      </c>
      <c r="F19598" s="6" t="n">
        <f aca="false">Sens!F19574</f>
        <v>150.444749476683</v>
      </c>
      <c r="G19598" s="6" t="n">
        <f aca="false">Sens!G19574</f>
        <v>213.22006554426</v>
      </c>
      <c r="H19598" s="6" t="n">
        <f aca="false">Sens!H19574</f>
        <v>282.535160337779</v>
      </c>
      <c r="I19598" s="6" t="n">
        <f aca="false">Sens!I19574</f>
        <v>339.650657285591</v>
      </c>
      <c r="J19598" s="6" t="n">
        <f aca="false">Sens!J19574</f>
        <v>383.132225911447</v>
      </c>
      <c r="K19598" s="6" t="n">
        <f aca="false">Sens!K19574</f>
        <v>413.888996835908</v>
      </c>
    </row>
    <row r="19599" customFormat="false" ht="17.15" hidden="false" customHeight="false" outlineLevel="0" collapsed="false">
      <c r="A19599" s="0" t="s">
        <v>1025</v>
      </c>
      <c r="B19599" s="0" t="s">
        <v>98</v>
      </c>
      <c r="D19599" s="6" t="n">
        <f aca="false">Sens!D19571</f>
        <v>12.9359794422418</v>
      </c>
      <c r="E19599" s="6" t="n">
        <f aca="false">Sens!E19571</f>
        <v>27.8095064661409</v>
      </c>
      <c r="F19599" s="6" t="n">
        <f aca="false">Sens!F19571</f>
        <v>60.1986421895533</v>
      </c>
      <c r="G19599" s="6" t="n">
        <f aca="false">Sens!G19571</f>
        <v>105.994220371926</v>
      </c>
      <c r="H19599" s="6" t="n">
        <f aca="false">Sens!H19571</f>
        <v>158.033951068614</v>
      </c>
      <c r="I19599" s="6" t="n">
        <f aca="false">Sens!I19571</f>
        <v>198.456994737959</v>
      </c>
      <c r="J19599" s="6" t="n">
        <f aca="false">Sens!J19571</f>
        <v>226.825572993488</v>
      </c>
      <c r="K19599" s="6" t="n">
        <f aca="false">Sens!K19571</f>
        <v>245.077811684512</v>
      </c>
    </row>
    <row r="19600" customFormat="false" ht="17.15" hidden="false" customHeight="false" outlineLevel="0" collapsed="false">
      <c r="A19600" s="0" t="s">
        <v>1056</v>
      </c>
      <c r="B19600" s="0" t="s">
        <v>98</v>
      </c>
      <c r="D19600" s="6" t="n">
        <f aca="false">Sens!D19572</f>
        <v>59.6740205577583</v>
      </c>
      <c r="E19600" s="6" t="n">
        <f aca="false">Sens!E19572</f>
        <v>74.1284935338591</v>
      </c>
      <c r="F19600" s="6" t="n">
        <f aca="false">Sens!F19572</f>
        <v>90.2461072871302</v>
      </c>
      <c r="G19600" s="6" t="n">
        <f aca="false">Sens!G19572</f>
        <v>107.225845172334</v>
      </c>
      <c r="H19600" s="6" t="n">
        <f aca="false">Sens!H19572</f>
        <v>124.501209269165</v>
      </c>
      <c r="I19600" s="6" t="n">
        <f aca="false">Sens!I19572</f>
        <v>141.193662547632</v>
      </c>
      <c r="J19600" s="6" t="n">
        <f aca="false">Sens!J19572</f>
        <v>156.306652917959</v>
      </c>
      <c r="K19600" s="6" t="n">
        <f aca="false">Sens!K19572</f>
        <v>168.811185151396</v>
      </c>
    </row>
    <row r="19601" customFormat="false" ht="15" hidden="false" customHeight="false" outlineLevel="0" collapsed="false">
      <c r="A19601" s="0" t="s">
        <v>1036</v>
      </c>
      <c r="B19601" s="0" t="s">
        <v>98</v>
      </c>
      <c r="D19601" s="6" t="n">
        <f aca="false">Sens!D19579</f>
        <v>84.605</v>
      </c>
      <c r="E19601" s="6" t="n">
        <f aca="false">Sens!E19579</f>
        <v>100.299</v>
      </c>
      <c r="F19601" s="6" t="n">
        <f aca="false">Sens!F19579</f>
        <v>119.729653205718</v>
      </c>
      <c r="G19601" s="6" t="n">
        <f aca="false">Sens!G19579</f>
        <v>140.806092647576</v>
      </c>
      <c r="H19601" s="6" t="n">
        <f aca="false">Sens!H19579</f>
        <v>161.963437602768</v>
      </c>
      <c r="I19601" s="6" t="n">
        <f aca="false">Sens!I19579</f>
        <v>180.695354741933</v>
      </c>
      <c r="J19601" s="6" t="n">
        <f aca="false">Sens!J19579</f>
        <v>196.722117481571</v>
      </c>
      <c r="K19601" s="6" t="n">
        <f aca="false">Sens!K19579</f>
        <v>212.00016570528</v>
      </c>
    </row>
    <row r="19602" customFormat="false" ht="17.15" hidden="false" customHeight="false" outlineLevel="0" collapsed="false">
      <c r="A19602" s="0" t="s">
        <v>1057</v>
      </c>
      <c r="B19602" s="0" t="s">
        <v>98</v>
      </c>
      <c r="D19602" s="6" t="n">
        <f aca="false">Sens!D19577</f>
        <v>83.705</v>
      </c>
      <c r="E19602" s="6" t="n">
        <f aca="false">Sens!E19577</f>
        <v>95.049</v>
      </c>
      <c r="F19602" s="6" t="n">
        <f aca="false">Sens!F19577</f>
        <v>106.229653205718</v>
      </c>
      <c r="G19602" s="6" t="n">
        <f aca="false">Sens!G19577</f>
        <v>118.306092647576</v>
      </c>
      <c r="H19602" s="6" t="n">
        <f aca="false">Sens!H19577</f>
        <v>130.463437602768</v>
      </c>
      <c r="I19602" s="6" t="n">
        <f aca="false">Sens!I19577</f>
        <v>142.445354741933</v>
      </c>
      <c r="J19602" s="6" t="n">
        <f aca="false">Sens!J19577</f>
        <v>153.972117481571</v>
      </c>
      <c r="K19602" s="6" t="n">
        <f aca="false">Sens!K19577</f>
        <v>164.75016570528</v>
      </c>
    </row>
    <row r="19603" customFormat="false" ht="17.15" hidden="false" customHeight="false" outlineLevel="0" collapsed="false">
      <c r="A19603" s="0" t="s">
        <v>1058</v>
      </c>
      <c r="B19603" s="0" t="s">
        <v>98</v>
      </c>
      <c r="D19603" s="6" t="n">
        <f aca="false">Sens!D19576</f>
        <v>0.9</v>
      </c>
      <c r="E19603" s="6" t="n">
        <f aca="false">Sens!E19576</f>
        <v>5.25</v>
      </c>
      <c r="F19603" s="6" t="n">
        <f aca="false">Sens!F19576</f>
        <v>13.5</v>
      </c>
      <c r="G19603" s="6" t="n">
        <f aca="false">Sens!G19576</f>
        <v>22.5</v>
      </c>
      <c r="H19603" s="6" t="n">
        <f aca="false">Sens!H19576</f>
        <v>31.5</v>
      </c>
      <c r="I19603" s="6" t="n">
        <f aca="false">Sens!I19576</f>
        <v>38.25</v>
      </c>
      <c r="J19603" s="6" t="n">
        <f aca="false">Sens!J19576</f>
        <v>42.75</v>
      </c>
      <c r="K19603" s="6" t="n">
        <f aca="false">Sens!K19576</f>
        <v>47.25</v>
      </c>
    </row>
    <row r="19604" customFormat="false" ht="15" hidden="false" customHeight="false" outlineLevel="0" collapsed="false">
      <c r="A19604" s="0" t="s">
        <v>1037</v>
      </c>
      <c r="B19604" s="0" t="s">
        <v>98</v>
      </c>
      <c r="D19604" s="6" t="n">
        <f aca="false">Sens!D19580</f>
        <v>35.391</v>
      </c>
      <c r="E19604" s="6" t="n">
        <f aca="false">Sens!E19580</f>
        <v>37.285</v>
      </c>
      <c r="F19604" s="6" t="n">
        <f aca="false">Sens!F19580</f>
        <v>38.3851437782675</v>
      </c>
      <c r="G19604" s="6" t="n">
        <f aca="false">Sens!G19580</f>
        <v>40.0105353288615</v>
      </c>
      <c r="H19604" s="6" t="n">
        <f aca="false">Sens!H19580</f>
        <v>41.4812512033683</v>
      </c>
      <c r="I19604" s="6" t="n">
        <f aca="false">Sens!I19580</f>
        <v>42.7743107216329</v>
      </c>
      <c r="J19604" s="6" t="n">
        <f aca="false">Sens!J19580</f>
        <v>43.8687373064601</v>
      </c>
      <c r="K19604" s="6" t="n">
        <f aca="false">Sens!K19580</f>
        <v>44.7461120525893</v>
      </c>
    </row>
    <row r="19605" customFormat="false" ht="15" hidden="false" customHeight="false" outlineLevel="0" collapsed="false">
      <c r="A19605" s="0" t="s">
        <v>1039</v>
      </c>
      <c r="B19605" s="0" t="s">
        <v>98</v>
      </c>
      <c r="D19605" s="6" t="n">
        <f aca="false">Sens!D19582</f>
        <v>18.417</v>
      </c>
      <c r="E19605" s="6" t="n">
        <f aca="false">Sens!E19582</f>
        <v>20.345</v>
      </c>
      <c r="F19605" s="6" t="n">
        <f aca="false">Sens!F19582</f>
        <v>22.3161797133988</v>
      </c>
      <c r="G19605" s="6" t="n">
        <f aca="false">Sens!G19582</f>
        <v>24.3943499673233</v>
      </c>
      <c r="H19605" s="6" t="n">
        <f aca="false">Sens!H19582</f>
        <v>26.5250243109019</v>
      </c>
      <c r="I19605" s="6" t="n">
        <f aca="false">Sens!I19582</f>
        <v>28.6884573538181</v>
      </c>
      <c r="J19605" s="6" t="n">
        <f aca="false">Sens!J19582</f>
        <v>30.8624968052127</v>
      </c>
      <c r="K19605" s="6" t="n">
        <f aca="false">Sens!K19582</f>
        <v>33.0228715815776</v>
      </c>
    </row>
    <row r="19606" customFormat="false" ht="15" hidden="false" customHeight="false" outlineLevel="0" collapsed="false">
      <c r="A19606" s="0" t="s">
        <v>1040</v>
      </c>
      <c r="B19606" s="0" t="s">
        <v>98</v>
      </c>
      <c r="D19606" s="6" t="n">
        <f aca="false">Sens!D19584</f>
        <v>7.76</v>
      </c>
      <c r="E19606" s="6" t="n">
        <f aca="false">Sens!E19584</f>
        <v>8.26</v>
      </c>
      <c r="F19606" s="6" t="n">
        <f aca="false">Sens!F19584</f>
        <v>8.75372082474227</v>
      </c>
      <c r="G19606" s="6" t="n">
        <f aca="false">Sens!G19584</f>
        <v>9.33399324642364</v>
      </c>
      <c r="H19606" s="6" t="n">
        <f aca="false">Sens!H19584</f>
        <v>9.96139155535851</v>
      </c>
      <c r="I19606" s="6" t="n">
        <f aca="false">Sens!I19584</f>
        <v>10.6402039077391</v>
      </c>
      <c r="J19606" s="6" t="n">
        <f aca="false">Sens!J19584</f>
        <v>11.3751458271397</v>
      </c>
      <c r="K19606" s="6" t="n">
        <f aca="false">Sens!K19584</f>
        <v>12.1714060350394</v>
      </c>
    </row>
    <row r="19607" customFormat="false" ht="15" hidden="false" customHeight="false" outlineLevel="0" collapsed="false">
      <c r="A19607" s="0" t="s">
        <v>856</v>
      </c>
      <c r="B19607" s="0" t="s">
        <v>98</v>
      </c>
      <c r="D19607" s="6" t="n">
        <f aca="false">Sens!D19586</f>
        <v>218.783</v>
      </c>
      <c r="E19607" s="6" t="n">
        <f aca="false">Sens!E19586</f>
        <v>268.127</v>
      </c>
      <c r="F19607" s="6" t="n">
        <f aca="false">Sens!F19586</f>
        <v>339.62944699881</v>
      </c>
      <c r="G19607" s="6" t="n">
        <f aca="false">Sens!G19586</f>
        <v>427.765036734445</v>
      </c>
      <c r="H19607" s="6" t="n">
        <f aca="false">Sens!H19586</f>
        <v>522.466265010176</v>
      </c>
      <c r="I19607" s="6" t="n">
        <f aca="false">Sens!I19586</f>
        <v>602.448984010714</v>
      </c>
      <c r="J19607" s="6" t="n">
        <f aca="false">Sens!J19586</f>
        <v>665.96072333183</v>
      </c>
      <c r="K19607" s="6" t="n">
        <f aca="false">Sens!K19586</f>
        <v>715.829552210394</v>
      </c>
    </row>
    <row r="19608" customFormat="false" ht="15" hidden="false" customHeight="false" outlineLevel="0" collapsed="false">
      <c r="A19608" s="0" t="s">
        <v>1041</v>
      </c>
      <c r="B19608" s="0" t="s">
        <v>98</v>
      </c>
      <c r="D19608" s="6" t="n">
        <f aca="false">Sens!D19587</f>
        <v>22.171</v>
      </c>
      <c r="E19608" s="6" t="n">
        <f aca="false">Sens!E19587</f>
        <v>24.835</v>
      </c>
      <c r="F19608" s="6" t="n">
        <f aca="false">Sens!F19587</f>
        <v>27.5591895660247</v>
      </c>
      <c r="G19608" s="6" t="n">
        <f aca="false">Sens!G19587</f>
        <v>30.4098563144583</v>
      </c>
      <c r="H19608" s="6" t="n">
        <f aca="false">Sens!H19587</f>
        <v>33.3011792571777</v>
      </c>
      <c r="I19608" s="6" t="n">
        <f aca="false">Sens!I19587</f>
        <v>36.189023797112</v>
      </c>
      <c r="J19608" s="6" t="n">
        <f aca="false">Sens!J19587</f>
        <v>39.0247773769199</v>
      </c>
      <c r="K19608" s="6" t="n">
        <f aca="false">Sens!K19587</f>
        <v>41.7565117933043</v>
      </c>
    </row>
    <row r="19609" customFormat="false" ht="15" hidden="false" customHeight="false" outlineLevel="0" collapsed="false">
      <c r="A19609" s="0" t="s">
        <v>1042</v>
      </c>
      <c r="B19609" s="0" t="s">
        <v>98</v>
      </c>
      <c r="D19609" s="6" t="n">
        <f aca="false">Sens!D19589</f>
        <v>23.455</v>
      </c>
      <c r="E19609" s="6" t="n">
        <f aca="false">Sens!E19589</f>
        <v>21.79</v>
      </c>
      <c r="F19609" s="6" t="n">
        <f aca="false">Sens!F19589</f>
        <v>20.7520981041711</v>
      </c>
      <c r="G19609" s="6" t="n">
        <f aca="false">Sens!G19589</f>
        <v>19.9083593495882</v>
      </c>
      <c r="H19609" s="6" t="n">
        <f aca="false">Sens!H19589</f>
        <v>19.4008256265831</v>
      </c>
      <c r="I19609" s="6" t="n">
        <f aca="false">Sens!I19589</f>
        <v>19.200434522122</v>
      </c>
      <c r="J19609" s="6" t="n">
        <f aca="false">Sens!J19589</f>
        <v>19.2932782348507</v>
      </c>
      <c r="K19609" s="6" t="n">
        <f aca="false">Sens!K19589</f>
        <v>19.6791437995477</v>
      </c>
    </row>
    <row r="19610" customFormat="false" ht="15" hidden="false" customHeight="false" outlineLevel="0" collapsed="false">
      <c r="A19610" s="0" t="s">
        <v>1043</v>
      </c>
      <c r="B19610" s="0" t="s">
        <v>98</v>
      </c>
      <c r="D19610" s="6" t="n">
        <f aca="false">Sens!D19591</f>
        <v>17.315</v>
      </c>
      <c r="E19610" s="6" t="n">
        <f aca="false">Sens!E19591</f>
        <v>17.087</v>
      </c>
      <c r="F19610" s="6" t="n">
        <f aca="false">Sens!F19591</f>
        <v>15.9912273250553</v>
      </c>
      <c r="G19610" s="6" t="n">
        <f aca="false">Sens!G19591</f>
        <v>15.9574562664827</v>
      </c>
      <c r="H19610" s="6" t="n">
        <f aca="false">Sens!H19591</f>
        <v>16.0119687434196</v>
      </c>
      <c r="I19610" s="6" t="n">
        <f aca="false">Sens!I19591</f>
        <v>16.1551810001948</v>
      </c>
      <c r="J19610" s="6" t="n">
        <f aca="false">Sens!J19591</f>
        <v>16.3889793892005</v>
      </c>
      <c r="K19610" s="6" t="n">
        <f aca="false">Sens!K19591</f>
        <v>16.7167589769845</v>
      </c>
    </row>
    <row r="19611" customFormat="false" ht="15" hidden="false" customHeight="false" outlineLevel="0" collapsed="false">
      <c r="A19611" s="0" t="s">
        <v>870</v>
      </c>
      <c r="B19611" s="0" t="s">
        <v>98</v>
      </c>
      <c r="D19611" s="6" t="n">
        <f aca="false">Sens!D19593</f>
        <v>62.941</v>
      </c>
      <c r="E19611" s="6" t="n">
        <f aca="false">Sens!E19593</f>
        <v>63.712</v>
      </c>
      <c r="F19611" s="6" t="n">
        <f aca="false">Sens!F19593</f>
        <v>64.3025149952511</v>
      </c>
      <c r="G19611" s="6" t="n">
        <f aca="false">Sens!G19593</f>
        <v>66.2756719305292</v>
      </c>
      <c r="H19611" s="6" t="n">
        <f aca="false">Sens!H19593</f>
        <v>68.7139736271804</v>
      </c>
      <c r="I19611" s="6" t="n">
        <f aca="false">Sens!I19593</f>
        <v>71.5446393194289</v>
      </c>
      <c r="J19611" s="6" t="n">
        <f aca="false">Sens!J19593</f>
        <v>74.707035000971</v>
      </c>
      <c r="K19611" s="6" t="n">
        <f aca="false">Sens!K19593</f>
        <v>78.1524145698365</v>
      </c>
    </row>
    <row r="19612" customFormat="false" ht="15" hidden="false" customHeight="false" outlineLevel="0" collapsed="false">
      <c r="A19612" s="1" t="s">
        <v>1059</v>
      </c>
      <c r="B19612" s="0" t="s">
        <v>98</v>
      </c>
      <c r="D19612" s="6" t="n">
        <f aca="false">Sens!D19594</f>
        <v>281.724</v>
      </c>
      <c r="E19612" s="6" t="n">
        <f aca="false">Sens!E19594</f>
        <v>331.839</v>
      </c>
      <c r="F19612" s="6" t="n">
        <f aca="false">Sens!F19594</f>
        <v>403.931961994061</v>
      </c>
      <c r="G19612" s="6" t="n">
        <f aca="false">Sens!G19594</f>
        <v>494.040708664974</v>
      </c>
      <c r="H19612" s="6" t="n">
        <f aca="false">Sens!H19594</f>
        <v>591.180238637356</v>
      </c>
      <c r="I19612" s="6" t="n">
        <f aca="false">Sens!I19594</f>
        <v>673.993623330143</v>
      </c>
      <c r="J19612" s="6" t="n">
        <f aca="false">Sens!J19594</f>
        <v>740.667758332801</v>
      </c>
      <c r="K19612" s="6" t="n">
        <f aca="false">Sens!K19594</f>
        <v>793.981966780231</v>
      </c>
    </row>
    <row r="19613" customFormat="false" ht="15" hidden="false" customHeight="false" outlineLevel="0" collapsed="false">
      <c r="A19613" s="1" t="s">
        <v>1060</v>
      </c>
      <c r="B19613" s="0" t="s">
        <v>168</v>
      </c>
      <c r="E19613" s="7" t="n">
        <f aca="false">Sens!E19612/Sens!D19612-1</f>
        <v>0.177886867998467</v>
      </c>
      <c r="F19613" s="7" t="n">
        <f aca="false">Sens!F19612/Sens!E19612-1</f>
        <v>0.217252830420961</v>
      </c>
      <c r="G19613" s="7" t="n">
        <f aca="false">Sens!G19612/Sens!F19612-1</f>
        <v>0.223079021095729</v>
      </c>
      <c r="H19613" s="7" t="n">
        <f aca="false">Sens!H19612/Sens!G19612-1</f>
        <v>0.196622521724736</v>
      </c>
      <c r="I19613" s="7" t="n">
        <f aca="false">Sens!I19612/Sens!H19612-1</f>
        <v>0.140081449413241</v>
      </c>
      <c r="J19613" s="7" t="n">
        <f aca="false">Sens!J19612/Sens!I19612-1</f>
        <v>0.0989239848787109</v>
      </c>
      <c r="K19613" s="7" t="n">
        <f aca="false">Sens!K19612/Sens!J19612-1</f>
        <v>0.0719812734490248</v>
      </c>
    </row>
    <row r="19614" customFormat="false" ht="17.15" hidden="false" customHeight="false" outlineLevel="0" collapsed="false">
      <c r="A19614" s="26" t="s">
        <v>1061</v>
      </c>
      <c r="B19614" s="31" t="s">
        <v>98</v>
      </c>
      <c r="C19614" s="31"/>
      <c r="D19614" s="27" t="n">
        <f aca="false">(Sens!D19607+Sens!D19611-Sens!D19612)+(Sens!D19599+Sens!D19600-Sens!D19598)+(Sens!D19602+Sens!D19603-Sens!D19601)+(Sens!D19612-Q!L18)</f>
        <v>0</v>
      </c>
      <c r="E19614" s="27" t="n">
        <f aca="false">(Sens!E19607+Sens!E19611-Sens!E19612)+(Sens!E19599+Sens!E19600-Sens!E19598)+(Sens!E19602+Sens!E19603-Sens!E19601)+(Sens!E19612-Q!M18)</f>
        <v>0</v>
      </c>
      <c r="F19614" s="27" t="n">
        <f aca="false">(Sens!F19607+Sens!F19611-Sens!F19612)+(Sens!F19599+Sens!F19600-Sens!F19598)+(Sens!F19602+Sens!F19603-Sens!F19601)</f>
        <v>0</v>
      </c>
      <c r="G19614" s="27" t="n">
        <f aca="false">(Sens!G19607+Sens!G19611-Sens!G19612)+(Sens!G19599+Sens!G19600-Sens!G19598)+(Sens!G19602+Sens!G19603-Sens!G19601)</f>
        <v>0</v>
      </c>
      <c r="H19614" s="27" t="n">
        <f aca="false">(Sens!H19607+Sens!H19611-Sens!H19612)+(Sens!H19599+Sens!H19600-Sens!H19598)+(Sens!H19602+Sens!H19603-Sens!H19601)</f>
        <v>0</v>
      </c>
      <c r="I19614" s="27" t="n">
        <f aca="false">(Sens!I19607+Sens!I19611-Sens!I19612)+(Sens!I19599+Sens!I19600-Sens!I19598)+(Sens!I19602+Sens!I19603-Sens!I19601)</f>
        <v>0</v>
      </c>
      <c r="J19614" s="27" t="n">
        <f aca="false">(Sens!J19607+Sens!J19611-Sens!J19612)+(Sens!J19599+Sens!J19600-Sens!J19598)+(Sens!J19602+Sens!J19603-Sens!J19601)</f>
        <v>0</v>
      </c>
      <c r="K19614" s="27" t="n">
        <f aca="false">(Sens!K19607+Sens!K19611-Sens!K19612)+(Sens!K19599+Sens!K19600-Sens!K19598)+(Sens!K19602+Sens!K19603-Sens!K19601)</f>
        <v>0</v>
      </c>
    </row>
    <row r="19615" customFormat="false" ht="17.15" hidden="false" customHeight="false" outlineLevel="0" collapsed="false">
      <c r="A19615" s="0" t="s">
        <v>1062</v>
      </c>
      <c r="B19615" s="0" t="s">
        <v>168</v>
      </c>
      <c r="E19615" s="7" t="n">
        <f aca="false">(Q!M21+Sens!E19551+Sens!E19552+Sens!E19553+Sens!E19567-Sens!E19549)/(Q!M5-Sens!E19549)</f>
        <v>0.570957350878296</v>
      </c>
      <c r="F19615" s="7" t="n">
        <f aca="false">Sens!$E$19615+dm_seg</f>
        <v>0.570957350878296</v>
      </c>
      <c r="G19615" s="7" t="n">
        <f aca="false">Sens!$E$19615+dm_seg</f>
        <v>0.570957350878296</v>
      </c>
      <c r="H19615" s="7" t="n">
        <f aca="false">Sens!$E$19615+dm_seg</f>
        <v>0.570957350878296</v>
      </c>
      <c r="I19615" s="7" t="n">
        <f aca="false">Sens!$E$19615+dm_seg</f>
        <v>0.570957350878296</v>
      </c>
      <c r="J19615" s="7" t="n">
        <f aca="false">Sens!$E$19615+dm_seg</f>
        <v>0.570957350878296</v>
      </c>
      <c r="K19615" s="7" t="n">
        <f aca="false">Sens!$E$19615+dm_seg</f>
        <v>0.570957350878296</v>
      </c>
      <c r="L19615" s="12" t="s">
        <v>1063</v>
      </c>
    </row>
    <row r="19616" customFormat="false" ht="17.15" hidden="false" customHeight="false" outlineLevel="0" collapsed="false">
      <c r="A19616" s="0" t="s">
        <v>884</v>
      </c>
      <c r="B19616" s="0" t="s">
        <v>98</v>
      </c>
      <c r="D19616" s="6" t="n">
        <f aca="false">Q!L21</f>
        <v>110.814</v>
      </c>
      <c r="E19616" s="6" t="n">
        <f aca="false">Q!M21</f>
        <v>136.365</v>
      </c>
      <c r="F19616" s="6" t="n">
        <f aca="false">Q!$I$21+(Sens!F19615*(Sens!F19586-Sens!F19549)+Sens!F19549-(Sens!F19551+Sens!F19552+Sens!F19553)-Sens!F19567-Sens!F19650)*(Sens!F19586-Q!$I$5)/Sens!F19586</f>
        <v>166.017734730115</v>
      </c>
      <c r="G19616" s="6" t="n">
        <f aca="false">(Sens!G19615*(Sens!G19586-Sens!G19549)+Sens!G19549-(Sens!G19551+Sens!G19552+Sens!G19553)-Sens!G19567-Sens!G19650)</f>
        <v>192.531780888659</v>
      </c>
      <c r="H19616" s="6" t="n">
        <f aca="false">(Sens!H19615*(Sens!H19586-Sens!H19549)+Sens!H19549-(Sens!H19551+Sens!H19552+Sens!H19553)-Sens!H19567-Sens!H19650)</f>
        <v>227.462643386428</v>
      </c>
      <c r="I19616" s="6" t="n">
        <f aca="false">(Sens!I19615*(Sens!I19586-Sens!I19549)+Sens!I19549-(Sens!I19551+Sens!I19552+Sens!I19553)-Sens!I19567-Sens!I19650)</f>
        <v>253.928586573636</v>
      </c>
      <c r="J19616" s="6" t="n">
        <f aca="false">(Sens!J19615*(Sens!J19586-Sens!J19549)+Sens!J19549-(Sens!J19551+Sens!J19552+Sens!J19553)-Sens!J19567-Sens!J19650)</f>
        <v>276.660450281484</v>
      </c>
      <c r="K19616" s="6" t="n">
        <f aca="false">(Sens!K19615*(Sens!K19586-Sens!K19549)+Sens!K19549-(Sens!K19551+Sens!K19552+Sens!K19553)-Sens!K19567-Sens!K19650)</f>
        <v>297.236278861018</v>
      </c>
      <c r="L19616" s="1" t="s">
        <v>1064</v>
      </c>
    </row>
    <row r="19617" customFormat="false" ht="17.15" hidden="false" customHeight="false" outlineLevel="0" collapsed="false">
      <c r="A19617" s="0" t="s">
        <v>1065</v>
      </c>
      <c r="B19617" s="0" t="s">
        <v>168</v>
      </c>
      <c r="E19617" s="7" t="n">
        <f aca="false">Q!M22/Q!M12</f>
        <v>0.296207935710698</v>
      </c>
      <c r="F19617" s="7" t="n">
        <f aca="false">Sens!$E$19617+dm_seg</f>
        <v>0.296207935710698</v>
      </c>
      <c r="G19617" s="7" t="n">
        <f aca="false">Sens!$E$19617+dm_seg</f>
        <v>0.296207935710698</v>
      </c>
      <c r="H19617" s="7" t="n">
        <f aca="false">Sens!$E$19617+dm_seg</f>
        <v>0.296207935710698</v>
      </c>
      <c r="I19617" s="7" t="n">
        <f aca="false">Sens!$E$19617+dm_seg</f>
        <v>0.296207935710698</v>
      </c>
      <c r="J19617" s="7" t="n">
        <f aca="false">Sens!$E$19617+dm_seg</f>
        <v>0.296207935710698</v>
      </c>
      <c r="K19617" s="7" t="n">
        <f aca="false">Sens!$E$19617+dm_seg</f>
        <v>0.296207935710698</v>
      </c>
      <c r="L19617" s="12" t="s">
        <v>1066</v>
      </c>
    </row>
    <row r="19618" customFormat="false" ht="17.15" hidden="false" customHeight="false" outlineLevel="0" collapsed="false">
      <c r="A19618" s="0" t="s">
        <v>886</v>
      </c>
      <c r="B19618" s="0" t="s">
        <v>98</v>
      </c>
      <c r="D19618" s="6" t="n">
        <f aca="false">Q!L22</f>
        <v>17.714</v>
      </c>
      <c r="E19618" s="6" t="n">
        <f aca="false">Q!M22</f>
        <v>18.872</v>
      </c>
      <c r="F19618" s="6" t="n">
        <f aca="false">Q!$I$22+(Sens!F19593-Q!$I$12)*Sens!F19617</f>
        <v>19.8174315512051</v>
      </c>
      <c r="G19618" s="6" t="n">
        <f aca="false">Sens!G19593*Sens!G19617</f>
        <v>19.6313799703815</v>
      </c>
      <c r="H19618" s="6" t="n">
        <f aca="false">Sens!H19593*Sens!H19617</f>
        <v>20.3536242825865</v>
      </c>
      <c r="I19618" s="6" t="n">
        <f aca="false">Sens!I19593*Sens!I19617</f>
        <v>21.1920899239745</v>
      </c>
      <c r="J19618" s="6" t="n">
        <f aca="false">Sens!J19593*Sens!J19617</f>
        <v>22.1288166207045</v>
      </c>
      <c r="K19618" s="6" t="n">
        <f aca="false">Sens!K19593*Sens!K19617</f>
        <v>23.1493653905379</v>
      </c>
      <c r="L19618" s="12" t="s">
        <v>1067</v>
      </c>
    </row>
    <row r="19619" customFormat="false" ht="15" hidden="false" customHeight="false" outlineLevel="0" collapsed="false">
      <c r="A19619" s="1" t="s">
        <v>1068</v>
      </c>
      <c r="B19619" s="0" t="s">
        <v>98</v>
      </c>
      <c r="D19619" s="6" t="n">
        <f aca="false">Sens!D19616+Sens!D19618</f>
        <v>128.528</v>
      </c>
      <c r="E19619" s="6" t="n">
        <f aca="false">Sens!E19616+Sens!E19618</f>
        <v>155.237</v>
      </c>
      <c r="F19619" s="6" t="n">
        <f aca="false">Sens!F19616+Sens!F19618</f>
        <v>185.83516628132</v>
      </c>
      <c r="G19619" s="6" t="n">
        <f aca="false">Sens!G19616+Sens!G19618</f>
        <v>212.163160859041</v>
      </c>
      <c r="H19619" s="6" t="n">
        <f aca="false">Sens!H19616+Sens!H19618</f>
        <v>247.816267669014</v>
      </c>
      <c r="I19619" s="6" t="n">
        <f aca="false">Sens!I19616+Sens!I19618</f>
        <v>275.12067649761</v>
      </c>
      <c r="J19619" s="6" t="n">
        <f aca="false">Sens!J19616+Sens!J19618</f>
        <v>298.789266902189</v>
      </c>
      <c r="K19619" s="6" t="n">
        <f aca="false">Sens!K19616+Sens!K19618</f>
        <v>320.385644251556</v>
      </c>
    </row>
    <row r="19620" customFormat="false" ht="15" hidden="false" customHeight="false" outlineLevel="0" collapsed="false">
      <c r="A19620" s="26" t="s">
        <v>1069</v>
      </c>
      <c r="B19620" s="31" t="s">
        <v>98</v>
      </c>
      <c r="C19620" s="31"/>
      <c r="D19620" s="27" t="n">
        <f aca="false">Sens!D19619-Q!L23</f>
        <v>0</v>
      </c>
      <c r="E19620" s="27" t="n">
        <f aca="false">Sens!E19619-Q!M23</f>
        <v>0</v>
      </c>
      <c r="F19620" s="31"/>
      <c r="G19620" s="31"/>
      <c r="H19620" s="31"/>
      <c r="I19620" s="31"/>
      <c r="J19620" s="31"/>
      <c r="K19620" s="31"/>
    </row>
    <row r="19621" customFormat="false" ht="15" hidden="false" customHeight="false" outlineLevel="0" collapsed="false">
      <c r="A19621" s="1" t="s">
        <v>1070</v>
      </c>
      <c r="B19621" s="0" t="s">
        <v>168</v>
      </c>
      <c r="D19621" s="7" t="n">
        <f aca="false">Sens!D19619/Sens!D19612</f>
        <v>0.456219562408598</v>
      </c>
      <c r="E19621" s="7" t="n">
        <f aca="false">Sens!E19619/Sens!E19612</f>
        <v>0.467808184089272</v>
      </c>
      <c r="F19621" s="7" t="n">
        <f aca="false">Sens!F19619/Sens!F19612</f>
        <v>0.460065515399973</v>
      </c>
      <c r="G19621" s="7" t="n">
        <f aca="false">Sens!G19619/Sens!G19612</f>
        <v>0.429444693803393</v>
      </c>
      <c r="H19621" s="7" t="n">
        <f aca="false">Sens!H19619/Sens!H19612</f>
        <v>0.419189024721495</v>
      </c>
      <c r="I19621" s="7" t="n">
        <f aca="false">Sens!I19619/Sens!I19612</f>
        <v>0.408194776588929</v>
      </c>
      <c r="J19621" s="7" t="n">
        <f aca="false">Sens!J19619/Sens!J19612</f>
        <v>0.403405256325381</v>
      </c>
      <c r="K19621" s="7" t="n">
        <f aca="false">Sens!K19619/Sens!K19612</f>
        <v>0.403517532710206</v>
      </c>
    </row>
    <row r="19622" customFormat="false" ht="17.15" hidden="false" customHeight="false" outlineLevel="0" collapsed="false">
      <c r="A19622" s="1" t="s">
        <v>1071</v>
      </c>
      <c r="B19622" s="0" t="s">
        <v>98</v>
      </c>
      <c r="F19622" s="6" t="n">
        <f aca="false">Sens!F19637</f>
        <v>9.17309066786505</v>
      </c>
      <c r="G19622" s="6" t="n">
        <f aca="false">Sens!G19637</f>
        <v>23.627030543948</v>
      </c>
      <c r="H19622" s="6" t="n">
        <f aca="false">Sens!H19637</f>
        <v>39.6747627189856</v>
      </c>
      <c r="I19622" s="6" t="n">
        <f aca="false">Sens!I19637</f>
        <v>54.5810193968767</v>
      </c>
      <c r="J19622" s="6" t="n">
        <f aca="false">Sens!J19637</f>
        <v>65.1365081216595</v>
      </c>
      <c r="K19622" s="6" t="n">
        <f aca="false">Sens!K19637</f>
        <v>70.7694465206906</v>
      </c>
      <c r="L19622" s="1" t="s">
        <v>1072</v>
      </c>
    </row>
    <row r="19623" customFormat="false" ht="17.15" hidden="false" customHeight="false" outlineLevel="0" collapsed="false">
      <c r="A19623" s="1" t="s">
        <v>1073</v>
      </c>
      <c r="B19623" s="0" t="s">
        <v>98</v>
      </c>
      <c r="D19623" s="6" t="n">
        <f aca="false">Sens!D19619</f>
        <v>128.528</v>
      </c>
      <c r="E19623" s="6" t="n">
        <f aca="false">Sens!E19619</f>
        <v>155.237</v>
      </c>
      <c r="F19623" s="6" t="n">
        <f aca="false">Sens!F19619+Sens!F19622</f>
        <v>195.008256949185</v>
      </c>
      <c r="G19623" s="6" t="n">
        <f aca="false">Sens!G19619+Sens!G19622</f>
        <v>235.790191402989</v>
      </c>
      <c r="H19623" s="6" t="n">
        <f aca="false">Sens!H19619+Sens!H19622</f>
        <v>287.491030388</v>
      </c>
      <c r="I19623" s="6" t="n">
        <f aca="false">Sens!I19619+Sens!I19622</f>
        <v>329.701695894487</v>
      </c>
      <c r="J19623" s="6" t="n">
        <f aca="false">Sens!J19619+Sens!J19622</f>
        <v>363.925775023848</v>
      </c>
      <c r="K19623" s="6" t="n">
        <f aca="false">Sens!K19619+Sens!K19622</f>
        <v>391.155090772246</v>
      </c>
    </row>
    <row r="19624" customFormat="false" ht="17.15" hidden="false" customHeight="false" outlineLevel="0" collapsed="false">
      <c r="A19624" s="1" t="s">
        <v>1074</v>
      </c>
      <c r="B19624" s="0" t="s">
        <v>98</v>
      </c>
      <c r="E19624" s="6" t="n">
        <f aca="false">Sens!E19567</f>
        <v>16.3054059770833</v>
      </c>
      <c r="F19624" s="6" t="n">
        <f aca="false">Sens!F19567</f>
        <v>35.0499560737695</v>
      </c>
      <c r="G19624" s="6" t="n">
        <f aca="false">Sens!G19567</f>
        <v>62.1848803536636</v>
      </c>
      <c r="H19624" s="6" t="n">
        <f aca="false">Sens!H19567</f>
        <v>91.5686933838682</v>
      </c>
      <c r="I19624" s="6" t="n">
        <f aca="false">Sens!I19567</f>
        <v>117.660959172613</v>
      </c>
      <c r="J19624" s="6" t="n">
        <f aca="false">Sens!J19567</f>
        <v>136.255638179728</v>
      </c>
      <c r="K19624" s="6" t="n">
        <f aca="false">Sens!K19567</f>
        <v>147.966328197264</v>
      </c>
    </row>
    <row r="19625" customFormat="false" ht="17.15" hidden="false" customHeight="false" outlineLevel="0" collapsed="false">
      <c r="A19625" s="1" t="s">
        <v>1075</v>
      </c>
      <c r="B19625" s="0" t="s">
        <v>98</v>
      </c>
      <c r="E19625" s="6" t="n">
        <f aca="false">Sens!E19649</f>
        <v>22.2285940229167</v>
      </c>
      <c r="F19625" s="6" t="n">
        <f aca="false">Sens!F19649</f>
        <v>23.5707765814879</v>
      </c>
      <c r="G19625" s="6" t="n">
        <f aca="false">Sens!G19649</f>
        <v>25.3658158373519</v>
      </c>
      <c r="H19625" s="6" t="n">
        <f aca="false">Sens!H19649</f>
        <v>27.5769352139332</v>
      </c>
      <c r="I19625" s="6" t="n">
        <f aca="false">Sens!I19649</f>
        <v>30.1278394556067</v>
      </c>
      <c r="J19625" s="6" t="n">
        <f aca="false">Sens!J19649</f>
        <v>32.9265804228831</v>
      </c>
      <c r="K19625" s="6" t="n">
        <f aca="false">Sens!K19649</f>
        <v>35.8888511555398</v>
      </c>
    </row>
    <row r="19626" customFormat="false" ht="17.15" hidden="false" customHeight="false" outlineLevel="0" collapsed="false">
      <c r="A19626" s="1" t="s">
        <v>1076</v>
      </c>
      <c r="B19626" s="0" t="s">
        <v>98</v>
      </c>
      <c r="D19626" s="6" t="n">
        <f aca="false">Q!L27</f>
        <v>-4.901</v>
      </c>
      <c r="E19626" s="6" t="n">
        <f aca="false">Q!M27</f>
        <v>10.697</v>
      </c>
      <c r="F19626" s="6" t="n">
        <f aca="false">Q!$I$27+oie_f*(q_per_yr-1)/q_per_yr</f>
        <v>-0.862</v>
      </c>
      <c r="G19626" s="6" t="n">
        <f aca="false">oie_f</f>
        <v>-1.2</v>
      </c>
      <c r="H19626" s="6" t="n">
        <f aca="false">oie_f</f>
        <v>-1.2</v>
      </c>
      <c r="I19626" s="6" t="n">
        <f aca="false">oie_f</f>
        <v>-1.2</v>
      </c>
      <c r="J19626" s="6" t="n">
        <f aca="false">oie_f</f>
        <v>-1.2</v>
      </c>
      <c r="K19626" s="6" t="n">
        <f aca="false">oie_f</f>
        <v>-1.2</v>
      </c>
      <c r="L19626" s="12" t="s">
        <v>1077</v>
      </c>
    </row>
    <row r="19627" customFormat="false" ht="15" hidden="false" customHeight="false" outlineLevel="0" collapsed="false">
      <c r="A19627" s="1" t="s">
        <v>1078</v>
      </c>
      <c r="B19627" s="0" t="s">
        <v>98</v>
      </c>
      <c r="D19627" s="6" t="n">
        <f aca="false">Sens!D19619+Sens!D19626</f>
        <v>123.627</v>
      </c>
      <c r="E19627" s="6" t="n">
        <f aca="false">Sens!E19619+Sens!E19626</f>
        <v>165.934</v>
      </c>
      <c r="F19627" s="6" t="n">
        <f aca="false">Sens!F19619+Sens!F19626</f>
        <v>184.97316628132</v>
      </c>
      <c r="G19627" s="6" t="n">
        <f aca="false">Sens!G19619+Sens!G19626</f>
        <v>210.963160859041</v>
      </c>
      <c r="H19627" s="6" t="n">
        <f aca="false">Sens!H19619+Sens!H19626</f>
        <v>246.616267669014</v>
      </c>
      <c r="I19627" s="6" t="n">
        <f aca="false">Sens!I19619+Sens!I19626</f>
        <v>273.92067649761</v>
      </c>
      <c r="J19627" s="6" t="n">
        <f aca="false">Sens!J19619+Sens!J19626</f>
        <v>297.589266902189</v>
      </c>
      <c r="K19627" s="6" t="n">
        <f aca="false">Sens!K19619+Sens!K19626</f>
        <v>319.185644251556</v>
      </c>
    </row>
    <row r="19628" customFormat="false" ht="15" hidden="false" customHeight="false" outlineLevel="0" collapsed="false">
      <c r="A19628" s="1" t="s">
        <v>1079</v>
      </c>
      <c r="B19628" s="0" t="s">
        <v>98</v>
      </c>
      <c r="D19628" s="6" t="n">
        <f aca="false">Q!L29</f>
        <v>21.795</v>
      </c>
      <c r="E19628" s="6" t="n">
        <f aca="false">Q!M29</f>
        <v>32.185</v>
      </c>
      <c r="F19628" s="6" t="n">
        <f aca="false">Q!$I$29+(Sens!F19627-Q!$I$28)*tax_f</f>
        <v>37.128033256264</v>
      </c>
      <c r="G19628" s="6" t="n">
        <f aca="false">Sens!G19627*tax_f</f>
        <v>42.1926321718081</v>
      </c>
      <c r="H19628" s="6" t="n">
        <f aca="false">Sens!H19627*tax_f</f>
        <v>49.3232535338029</v>
      </c>
      <c r="I19628" s="6" t="n">
        <f aca="false">Sens!I19627*tax_f</f>
        <v>54.784135299522</v>
      </c>
      <c r="J19628" s="6" t="n">
        <f aca="false">Sens!J19627*tax_f</f>
        <v>59.5178533804378</v>
      </c>
      <c r="K19628" s="6" t="n">
        <f aca="false">Sens!K19627*tax_f</f>
        <v>63.8371288503112</v>
      </c>
    </row>
    <row r="19629" customFormat="false" ht="15" hidden="false" customHeight="false" outlineLevel="0" collapsed="false">
      <c r="A19629" s="1" t="s">
        <v>1080</v>
      </c>
      <c r="B19629" s="0" t="s">
        <v>98</v>
      </c>
      <c r="D19629" s="6" t="n">
        <f aca="false">Sens!D19627-Sens!D19628</f>
        <v>101.832</v>
      </c>
      <c r="E19629" s="6" t="n">
        <f aca="false">Sens!E19627-Sens!E19628</f>
        <v>133.749</v>
      </c>
      <c r="F19629" s="6" t="n">
        <f aca="false">Sens!F19627-Sens!F19628</f>
        <v>147.845133025056</v>
      </c>
      <c r="G19629" s="6" t="n">
        <f aca="false">Sens!G19627-Sens!G19628</f>
        <v>168.770528687233</v>
      </c>
      <c r="H19629" s="6" t="n">
        <f aca="false">Sens!H19627-Sens!H19628</f>
        <v>197.293014135211</v>
      </c>
      <c r="I19629" s="6" t="n">
        <f aca="false">Sens!I19627-Sens!I19628</f>
        <v>219.136541198088</v>
      </c>
      <c r="J19629" s="6" t="n">
        <f aca="false">Sens!J19627-Sens!J19628</f>
        <v>238.071413521751</v>
      </c>
      <c r="K19629" s="6" t="n">
        <f aca="false">Sens!K19627-Sens!K19628</f>
        <v>255.348515401245</v>
      </c>
    </row>
    <row r="19630" customFormat="false" ht="17.15" hidden="false" customHeight="false" outlineLevel="0" collapsed="false">
      <c r="A19630" s="1" t="s">
        <v>1081</v>
      </c>
      <c r="B19630" s="1" t="s">
        <v>81</v>
      </c>
      <c r="D19630" s="15" t="n">
        <f aca="false">Q!L31</f>
        <v>7.465</v>
      </c>
      <c r="E19630" s="15" t="n">
        <f aca="false">Q!M31</f>
        <v>7.453</v>
      </c>
      <c r="F19630" s="15" t="n">
        <f aca="false">Sens!F19674</f>
        <v>7.4735</v>
      </c>
      <c r="G19630" s="15" t="n">
        <f aca="false">Sens!G19674</f>
        <v>7.5185</v>
      </c>
      <c r="H19630" s="15" t="n">
        <f aca="false">Sens!H19674</f>
        <v>7.5461999390288</v>
      </c>
      <c r="I19630" s="15" t="n">
        <f aca="false">Sens!I19674</f>
        <v>7.55788130308427</v>
      </c>
      <c r="J19630" s="15" t="n">
        <f aca="false">Sens!J19674</f>
        <v>7.57203071424674</v>
      </c>
      <c r="K19630" s="15" t="n">
        <f aca="false">Sens!K19674</f>
        <v>7.58846535421199</v>
      </c>
    </row>
    <row r="19631" customFormat="false" ht="17.15" hidden="false" customHeight="false" outlineLevel="0" collapsed="false">
      <c r="A19631" s="0" t="s">
        <v>1082</v>
      </c>
      <c r="B19631" s="0" t="s">
        <v>75</v>
      </c>
      <c r="D19631" s="8" t="n">
        <f aca="false">Sens!D19629/Sens!D19630</f>
        <v>13.641259209645</v>
      </c>
      <c r="E19631" s="8" t="n">
        <f aca="false">Sens!E19629/Sens!E19630</f>
        <v>17.9456594659869</v>
      </c>
      <c r="F19631" s="8" t="n">
        <f aca="false">Sens!F19629/Sens!F19630</f>
        <v>19.7825828627893</v>
      </c>
      <c r="G19631" s="8" t="n">
        <f aca="false">Sens!G19629/Sens!G19630</f>
        <v>22.4473669863979</v>
      </c>
      <c r="H19631" s="8" t="n">
        <f aca="false">Sens!H19629/Sens!H19630</f>
        <v>26.1446841760468</v>
      </c>
      <c r="I19631" s="8" t="n">
        <f aca="false">Sens!I19629/Sens!I19630</f>
        <v>28.9944406918195</v>
      </c>
      <c r="J19631" s="8" t="n">
        <f aca="false">Sens!J19629/Sens!J19630</f>
        <v>31.4408937979901</v>
      </c>
      <c r="K19631" s="8" t="n">
        <f aca="false">Sens!K19629/Sens!K19630</f>
        <v>33.6495593617638</v>
      </c>
      <c r="L19631" s="1" t="s">
        <v>1083</v>
      </c>
    </row>
    <row r="19632" customFormat="false" ht="17.15" hidden="false" customHeight="false" outlineLevel="0" collapsed="false">
      <c r="A19632" s="1" t="s">
        <v>1084</v>
      </c>
      <c r="B19632" s="0" t="s">
        <v>98</v>
      </c>
      <c r="D19632" s="6" t="n">
        <f aca="false">Sens!D19629</f>
        <v>101.832</v>
      </c>
      <c r="E19632" s="6" t="n">
        <f aca="false">Sens!E19629</f>
        <v>133.749</v>
      </c>
      <c r="F19632" s="6" t="n">
        <f aca="false">Sens!F19629+Sens!F19622*(1-tax_f)</f>
        <v>155.183605559348</v>
      </c>
      <c r="G19632" s="6" t="n">
        <f aca="false">Sens!G19629+Sens!G19622*(1-tax_f)</f>
        <v>187.672153122391</v>
      </c>
      <c r="H19632" s="6" t="n">
        <f aca="false">Sens!H19629+Sens!H19622*(1-tax_f)</f>
        <v>229.0328243104</v>
      </c>
      <c r="I19632" s="6" t="n">
        <f aca="false">Sens!I19629+Sens!I19622*(1-tax_f)</f>
        <v>262.801356715589</v>
      </c>
      <c r="J19632" s="6" t="n">
        <f aca="false">Sens!J19629+Sens!J19622*(1-tax_f)</f>
        <v>290.180620019079</v>
      </c>
      <c r="K19632" s="6" t="n">
        <f aca="false">Sens!K19629+Sens!K19622*(1-tax_f)</f>
        <v>311.964072617797</v>
      </c>
    </row>
    <row r="19633" customFormat="false" ht="17.15" hidden="false" customHeight="false" outlineLevel="0" collapsed="false">
      <c r="A19633" s="0" t="s">
        <v>1085</v>
      </c>
      <c r="B19633" s="0" t="s">
        <v>75</v>
      </c>
      <c r="D19633" s="8" t="n">
        <f aca="false">Sens!D19632/Sens!D19630</f>
        <v>13.641259209645</v>
      </c>
      <c r="E19633" s="8" t="n">
        <f aca="false">Sens!E19632/Sens!E19630</f>
        <v>17.9456594659869</v>
      </c>
      <c r="F19633" s="8" t="n">
        <f aca="false">Sens!F19632/Sens!F19630</f>
        <v>20.7645153621928</v>
      </c>
      <c r="G19633" s="8" t="n">
        <f aca="false">Sens!G19632/Sens!G19630</f>
        <v>24.9613823398804</v>
      </c>
      <c r="H19633" s="8" t="n">
        <f aca="false">Sens!H19632/Sens!H19630</f>
        <v>30.3507495376377</v>
      </c>
      <c r="I19633" s="8" t="n">
        <f aca="false">Sens!I19632/Sens!I19630</f>
        <v>34.771829058541</v>
      </c>
      <c r="J19633" s="8" t="n">
        <f aca="false">Sens!J19632/Sens!J19630</f>
        <v>38.3226945280485</v>
      </c>
      <c r="K19633" s="8" t="n">
        <f aca="false">Sens!K19632/Sens!K19630</f>
        <v>41.1102980716174</v>
      </c>
      <c r="L19633" s="1" t="s">
        <v>1086</v>
      </c>
    </row>
    <row r="19634" customFormat="false" ht="17.15" hidden="false" customHeight="false" outlineLevel="0" collapsed="false">
      <c r="A19634" s="0" t="s">
        <v>1087</v>
      </c>
      <c r="B19634" s="0" t="s">
        <v>168</v>
      </c>
      <c r="E19634" s="7" t="n">
        <f aca="false">Sens!E19633/Sens!D19633-1</f>
        <v>0.315542736208578</v>
      </c>
      <c r="F19634" s="7" t="n">
        <f aca="false">Sens!F19633/Sens!E19633-1</f>
        <v>0.15707730894753</v>
      </c>
      <c r="G19634" s="7" t="n">
        <f aca="false">Sens!G19633/Sens!F19633-1</f>
        <v>0.202117261322125</v>
      </c>
      <c r="H19634" s="7" t="n">
        <f aca="false">Sens!H19633/Sens!G19633-1</f>
        <v>0.215908202693837</v>
      </c>
      <c r="I19634" s="7" t="n">
        <f aca="false">Sens!I19633/Sens!H19633-1</f>
        <v>0.145666238503295</v>
      </c>
      <c r="J19634" s="7" t="n">
        <f aca="false">Sens!J19633/Sens!I19633-1</f>
        <v>0.102119030423431</v>
      </c>
      <c r="K19634" s="7" t="n">
        <f aca="false">Sens!K19633/Sens!J19633-1</f>
        <v>0.0727402803455981</v>
      </c>
    </row>
    <row r="19635" customFormat="false" ht="17.15" hidden="false" customHeight="false" outlineLevel="0" collapsed="false">
      <c r="A19635" s="0" t="s">
        <v>1007</v>
      </c>
      <c r="B19635" s="0" t="s">
        <v>98</v>
      </c>
      <c r="E19635" s="6" t="n">
        <f aca="false">Sens!E19576</f>
        <v>5.25</v>
      </c>
      <c r="F19635" s="6" t="n">
        <f aca="false">Sens!F19576</f>
        <v>13.5</v>
      </c>
      <c r="G19635" s="6" t="n">
        <f aca="false">Sens!G19576</f>
        <v>22.5</v>
      </c>
      <c r="H19635" s="6" t="n">
        <f aca="false">Sens!H19576</f>
        <v>31.5</v>
      </c>
      <c r="I19635" s="6" t="n">
        <f aca="false">Sens!I19576</f>
        <v>38.25</v>
      </c>
      <c r="J19635" s="6" t="n">
        <f aca="false">Sens!J19576</f>
        <v>42.75</v>
      </c>
      <c r="K19635" s="6" t="n">
        <f aca="false">Sens!K19576</f>
        <v>47.25</v>
      </c>
    </row>
    <row r="19636" customFormat="false" ht="17.15" hidden="false" customHeight="false" outlineLevel="0" collapsed="false">
      <c r="A19636" s="1" t="s">
        <v>1008</v>
      </c>
      <c r="B19636" s="0" t="s">
        <v>98</v>
      </c>
      <c r="F19636" s="6" t="n">
        <f aca="false">MAX(0,((Sens!E19536+Sens!F19536)/2-(shadow_base*(Sens!$D$19536+Sens!$E$19536)/2+(1-shadow_base)*Sens!$E$19536))*Sens!F19545/1000-(Sens!F19635-Sens!$E$19635)*Sens!F19615)</f>
        <v>9.17309066786505</v>
      </c>
      <c r="G19636" s="6" t="n">
        <f aca="false">MAX(0,((Sens!F19536+Sens!G19536)/2-(shadow_base*(Sens!$D$19536+Sens!$E$19536)/2+(1-shadow_base)*Sens!$E$19536))*Sens!G19545/1000-(Sens!G19635-Sens!$E$19635)*Sens!G19615)</f>
        <v>23.627030543948</v>
      </c>
      <c r="H19636" s="6" t="n">
        <f aca="false">MAX(0,((Sens!G19536+Sens!H19536)/2-(shadow_base*(Sens!$D$19536+Sens!$E$19536)/2+(1-shadow_base)*Sens!$E$19536))*Sens!H19545/1000-(Sens!H19635-Sens!$E$19635)*Sens!H19615)</f>
        <v>39.6747627189856</v>
      </c>
      <c r="I19636" s="6" t="n">
        <f aca="false">MAX(0,((Sens!H19536+Sens!I19536)/2-(shadow_base*(Sens!$D$19536+Sens!$E$19536)/2+(1-shadow_base)*Sens!$E$19536))*Sens!I19545/1000-(Sens!I19635-Sens!$E$19635)*Sens!I19615)</f>
        <v>54.5810193968767</v>
      </c>
      <c r="J19636" s="6" t="n">
        <f aca="false">MAX(0,((Sens!I19536+Sens!J19536)/2-(shadow_base*(Sens!$D$19536+Sens!$E$19536)/2+(1-shadow_base)*Sens!$E$19536))*Sens!J19545/1000-(Sens!J19635-Sens!$E$19635)*Sens!J19615)</f>
        <v>65.1365081216595</v>
      </c>
      <c r="K19636" s="6" t="n">
        <f aca="false">MAX(0,((Sens!J19536+Sens!K19536)/2-(shadow_base*(Sens!$D$19536+Sens!$E$19536)/2+(1-shadow_base)*Sens!$E$19536))*Sens!K19545/1000-(Sens!K19635-Sens!$E$19635)*Sens!K19615)</f>
        <v>70.7694465206906</v>
      </c>
      <c r="L19636" s="1" t="s">
        <v>1009</v>
      </c>
    </row>
    <row r="19637" customFormat="false" ht="17.15" hidden="false" customHeight="false" outlineLevel="0" collapsed="false">
      <c r="A19637" s="1" t="s">
        <v>1010</v>
      </c>
      <c r="B19637" s="0" t="s">
        <v>98</v>
      </c>
      <c r="F19637" s="6" t="n">
        <f aca="false">IF(internal_ai_reading=2,1,0)*Sens!F19636</f>
        <v>9.17309066786505</v>
      </c>
      <c r="G19637" s="6" t="n">
        <f aca="false">IF(internal_ai_reading=2,1,0)*Sens!G19636</f>
        <v>23.627030543948</v>
      </c>
      <c r="H19637" s="6" t="n">
        <f aca="false">IF(internal_ai_reading=2,1,0)*Sens!H19636</f>
        <v>39.6747627189856</v>
      </c>
      <c r="I19637" s="6" t="n">
        <f aca="false">IF(internal_ai_reading=2,1,0)*Sens!I19636</f>
        <v>54.5810193968767</v>
      </c>
      <c r="J19637" s="6" t="n">
        <f aca="false">IF(internal_ai_reading=2,1,0)*Sens!J19636</f>
        <v>65.1365081216595</v>
      </c>
      <c r="K19637" s="6" t="n">
        <f aca="false">IF(internal_ai_reading=2,1,0)*Sens!K19636</f>
        <v>70.7694465206906</v>
      </c>
    </row>
    <row r="19638" customFormat="false" ht="17.15" hidden="false" customHeight="false" outlineLevel="0" collapsed="false">
      <c r="A19638" s="0" t="s">
        <v>1011</v>
      </c>
      <c r="B19638" s="0" t="s">
        <v>98</v>
      </c>
      <c r="F19638" s="6" t="n">
        <f aca="false">Sens!F19555+Sens!F19635*Sens!F19615+Sens!F19637-Sens!F19556-Sens!F19567</f>
        <v>19.4545177896332</v>
      </c>
      <c r="G19638" s="6" t="n">
        <f aca="false">Sens!G19555+Sens!G19635*Sens!G19615+Sens!G19637-Sens!G19556-Sens!G19567</f>
        <v>45.2879389270785</v>
      </c>
      <c r="H19638" s="6" t="n">
        <f aca="false">Sens!H19555+Sens!H19635*Sens!H19615+Sens!H19637-Sens!H19556-Sens!H19567</f>
        <v>77.0472541155583</v>
      </c>
      <c r="I19638" s="6" t="n">
        <f aca="false">Sens!I19555+Sens!I19635*Sens!I19615+Sens!I19637-Sens!I19556-Sens!I19567</f>
        <v>99.6865286703819</v>
      </c>
      <c r="J19638" s="6" t="n">
        <f aca="false">Sens!J19555+Sens!J19635*Sens!J19615+Sens!J19637-Sens!J19556-Sens!J19567</f>
        <v>115.477943038469</v>
      </c>
      <c r="K19638" s="6" t="n">
        <f aca="false">Sens!K19555+Sens!K19635*Sens!K19615+Sens!K19637-Sens!K19556-Sens!K19567</f>
        <v>126.204293518703</v>
      </c>
    </row>
    <row r="19639" customFormat="false" ht="17.15" hidden="false" customHeight="false" outlineLevel="0" collapsed="false">
      <c r="A19639" s="0" t="s">
        <v>1012</v>
      </c>
      <c r="B19639" s="0" t="s">
        <v>98</v>
      </c>
      <c r="E19639" s="6" t="n">
        <f aca="false">Sens!E19535*(cxit_open+self_build*tk_cxfac)/1000*ai_net_open</f>
        <v>126.6980382</v>
      </c>
      <c r="F19639" s="6" t="n">
        <f aca="false">Sens!E19639+Sens!F19564-Sens!F19567</f>
        <v>265.749685313364</v>
      </c>
      <c r="G19639" s="6" t="n">
        <f aca="false">Sens!F19639+Sens!G19564-Sens!G19567</f>
        <v>401.618558735096</v>
      </c>
      <c r="H19639" s="6" t="n">
        <f aca="false">Sens!G19639+Sens!H19564-Sens!H19567</f>
        <v>512.965147542088</v>
      </c>
      <c r="I19639" s="6" t="n">
        <f aca="false">Sens!H19639+Sens!I19564-Sens!I19567</f>
        <v>569.345904932441</v>
      </c>
      <c r="J19639" s="6" t="n">
        <f aca="false">Sens!I19639+Sens!J19564-Sens!J19567</f>
        <v>566.31350283211</v>
      </c>
      <c r="K19639" s="6" t="n">
        <f aca="false">Sens!J19639+Sens!K19564-Sens!K19567</f>
        <v>541.581045010494</v>
      </c>
      <c r="L19639" s="1" t="s">
        <v>1013</v>
      </c>
    </row>
    <row r="19640" customFormat="false" ht="17.15" hidden="false" customHeight="false" outlineLevel="0" collapsed="false">
      <c r="A19640" s="0" t="s">
        <v>1014</v>
      </c>
      <c r="B19640" s="0" t="s">
        <v>168</v>
      </c>
      <c r="F19640" s="7" t="n">
        <f aca="false">Sens!F19638*(1-tax_f)/((Sens!E19639+Sens!F19639)/2)</f>
        <v>0.0793156045975973</v>
      </c>
      <c r="G19640" s="7" t="n">
        <f aca="false">Sens!G19638*(1-tax_f)/((Sens!F19639+Sens!G19639)/2)</f>
        <v>0.10857679089397</v>
      </c>
      <c r="H19640" s="7" t="n">
        <f aca="false">Sens!H19638*(1-tax_f)/((Sens!G19639+Sens!H19639)/2)</f>
        <v>0.13478876317039</v>
      </c>
      <c r="I19640" s="7" t="n">
        <f aca="false">Sens!I19638*(1-tax_f)/((Sens!H19639+Sens!I19639)/2)</f>
        <v>0.147368397936937</v>
      </c>
      <c r="J19640" s="7" t="n">
        <f aca="false">Sens!J19638*(1-tax_f)/((Sens!I19639+Sens!J19639)/2)</f>
        <v>0.162693768570318</v>
      </c>
      <c r="K19640" s="7" t="n">
        <f aca="false">Sens!K19638*(1-tax_f)/((Sens!J19639+Sens!K19639)/2)</f>
        <v>0.182261813656486</v>
      </c>
    </row>
    <row r="19641" customFormat="false" ht="17.15" hidden="false" customHeight="false" outlineLevel="0" collapsed="false">
      <c r="A19641" s="1" t="s">
        <v>1015</v>
      </c>
      <c r="B19641" s="0" t="s">
        <v>168</v>
      </c>
      <c r="F19641" s="7" t="n">
        <f aca="false">(Sens!F19638-Sens!F19637)*(1-tax_f)/((Sens!E19639+Sens!F19639)/2)</f>
        <v>0.0419171329306205</v>
      </c>
      <c r="G19641" s="7" t="n">
        <f aca="false">(Sens!G19638-Sens!G19637)*(1-tax_f)/((Sens!F19639+Sens!G19639)/2)</f>
        <v>0.051931529140143</v>
      </c>
      <c r="H19641" s="7" t="n">
        <f aca="false">(Sens!H19638-Sens!H19637)*(1-tax_f)/((Sens!G19639+Sens!H19639)/2)</f>
        <v>0.0653805505434994</v>
      </c>
      <c r="I19641" s="7" t="n">
        <f aca="false">(Sens!I19638-Sens!I19637)*(1-tax_f)/((Sens!H19639+Sens!I19639)/2)</f>
        <v>0.0666802899892836</v>
      </c>
      <c r="J19641" s="7" t="n">
        <f aca="false">(Sens!J19638-Sens!J19637)*(1-tax_f)/((Sens!I19639+Sens!J19639)/2)</f>
        <v>0.0709246938969528</v>
      </c>
      <c r="K19641" s="7" t="n">
        <f aca="false">(Sens!K19638-Sens!K19637)*(1-tax_f)/((Sens!J19639+Sens!K19639)/2)</f>
        <v>0.0800579399632726</v>
      </c>
    </row>
    <row r="19642" customFormat="false" ht="17.15" hidden="false" customHeight="false" outlineLevel="0" collapsed="false">
      <c r="A19642" s="1" t="s">
        <v>1016</v>
      </c>
      <c r="B19642" s="0" t="s">
        <v>168</v>
      </c>
      <c r="F19642" s="7" t="n">
        <f aca="false">(Sens!F19638-Sens!F19637+Sens!F19636)*(1-tax_f)/((Sens!E19639+Sens!F19639)/2)</f>
        <v>0.0793156045975973</v>
      </c>
      <c r="G19642" s="7" t="n">
        <f aca="false">(Sens!G19638-Sens!G19637+Sens!G19636)*(1-tax_f)/((Sens!F19639+Sens!G19639)/2)</f>
        <v>0.10857679089397</v>
      </c>
      <c r="H19642" s="7" t="n">
        <f aca="false">(Sens!H19638-Sens!H19637+Sens!H19636)*(1-tax_f)/((Sens!G19639+Sens!H19639)/2)</f>
        <v>0.13478876317039</v>
      </c>
      <c r="I19642" s="7" t="n">
        <f aca="false">(Sens!I19638-Sens!I19637+Sens!I19636)*(1-tax_f)/((Sens!H19639+Sens!I19639)/2)</f>
        <v>0.147368397936937</v>
      </c>
      <c r="J19642" s="7" t="n">
        <f aca="false">(Sens!J19638-Sens!J19637+Sens!J19636)*(1-tax_f)/((Sens!I19639+Sens!J19639)/2)</f>
        <v>0.162693768570318</v>
      </c>
      <c r="K19642" s="7" t="n">
        <f aca="false">(Sens!K19638-Sens!K19637+Sens!K19636)*(1-tax_f)/((Sens!J19639+Sens!K19639)/2)</f>
        <v>0.182261813656486</v>
      </c>
    </row>
    <row r="19643" customFormat="false" ht="17.15" hidden="false" customHeight="false" outlineLevel="0" collapsed="false">
      <c r="A19643" s="1" t="s">
        <v>1017</v>
      </c>
      <c r="B19643" s="0" t="s">
        <v>168</v>
      </c>
      <c r="F19643" s="7" t="n">
        <f aca="false">Sens!F19568*(1-tax_f)/(Sens!F19554*(Sens!E19639+Sens!F19639)/2)</f>
        <v>0.158332701559419</v>
      </c>
      <c r="G19643" s="7" t="n">
        <f aca="false">Sens!G19568*(1-tax_f)/(Sens!G19554*(Sens!F19639+Sens!G19639)/2)</f>
        <v>0.17980267353376</v>
      </c>
      <c r="H19643" s="7" t="n">
        <f aca="false">Sens!H19568*(1-tax_f)/(Sens!H19554*(Sens!G19639+Sens!H19639)/2)</f>
        <v>0.21039122634277</v>
      </c>
      <c r="I19643" s="7" t="n">
        <f aca="false">Sens!I19568*(1-tax_f)/(Sens!I19554*(Sens!H19639+Sens!I19639)/2)</f>
        <v>0.22335980905394</v>
      </c>
      <c r="J19643" s="7" t="n">
        <f aca="false">Sens!J19568*(1-tax_f)/(Sens!J19554*(Sens!I19639+Sens!J19639)/2)</f>
        <v>0.243269410738522</v>
      </c>
      <c r="K19643" s="7" t="n">
        <f aca="false">Sens!K19568*(1-tax_f)/(Sens!K19554*(Sens!J19639+Sens!K19639)/2)</f>
        <v>0.270584250565776</v>
      </c>
    </row>
    <row r="19644" customFormat="false" ht="17.15" hidden="false" customHeight="false" outlineLevel="0" collapsed="false">
      <c r="A19644" s="0" t="s">
        <v>1018</v>
      </c>
      <c r="B19644" s="0" t="s">
        <v>253</v>
      </c>
      <c r="F19644" s="7" t="n">
        <f aca="false">Sens!F19640-wacc</f>
        <v>-0.023620986348</v>
      </c>
      <c r="G19644" s="7" t="n">
        <f aca="false">Sens!G19640-wacc</f>
        <v>0.00564019994837256</v>
      </c>
      <c r="H19644" s="7" t="n">
        <f aca="false">Sens!H19640-wacc</f>
        <v>0.0318521722247932</v>
      </c>
      <c r="I19644" s="7" t="n">
        <f aca="false">Sens!I19640-wacc</f>
        <v>0.0444318069913393</v>
      </c>
      <c r="J19644" s="7" t="n">
        <f aca="false">Sens!J19640-wacc</f>
        <v>0.0597571776247211</v>
      </c>
      <c r="K19644" s="7" t="n">
        <f aca="false">Sens!K19640-wacc</f>
        <v>0.0793252227108884</v>
      </c>
    </row>
    <row r="19645" customFormat="false" ht="17.15" hidden="false" customHeight="false" outlineLevel="0" collapsed="false">
      <c r="A19645" s="0" t="s">
        <v>1019</v>
      </c>
      <c r="B19645" s="0" t="s">
        <v>98</v>
      </c>
      <c r="F19645" s="6" t="n">
        <f aca="false">Sens!F19638*(1-tax_f)-wacc*(Sens!E19639+Sens!F19639)/2</f>
        <v>-4.63500115970643</v>
      </c>
      <c r="G19645" s="6" t="n">
        <f aca="false">Sens!G19638*(1-tax_f)-wacc*(Sens!F19639+Sens!G19639)/2</f>
        <v>1.88204516781381</v>
      </c>
      <c r="H19645" s="6" t="n">
        <f aca="false">Sens!H19638*(1-tax_f)-wacc*(Sens!G19639+Sens!H19639)/2</f>
        <v>14.5657388631653</v>
      </c>
      <c r="I19645" s="6" t="n">
        <f aca="false">Sens!I19638*(1-tax_f)-wacc*(Sens!H19639+Sens!I19639)/2</f>
        <v>24.0445178940708</v>
      </c>
      <c r="J19645" s="6" t="n">
        <f aca="false">Sens!J19638*(1-tax_f)-wacc*(Sens!I19639+Sens!J19639)/2</f>
        <v>33.9319004754859</v>
      </c>
      <c r="K19645" s="6" t="n">
        <f aca="false">Sens!K19638*(1-tax_f)-wacc*(Sens!J19639+Sens!K19639)/2</f>
        <v>43.9419908738968</v>
      </c>
    </row>
    <row r="19646" customFormat="false" ht="17.15" hidden="false" customHeight="false" outlineLevel="0" collapsed="false">
      <c r="A19646" s="3" t="s">
        <v>2097</v>
      </c>
    </row>
    <row r="19647" customFormat="false" ht="15" hidden="false" customHeight="false" outlineLevel="0" collapsed="false">
      <c r="A19647" s="4" t="s">
        <v>43</v>
      </c>
      <c r="B19647" s="4" t="s">
        <v>65</v>
      </c>
      <c r="C19647" s="23" t="s">
        <v>942</v>
      </c>
      <c r="D19647" s="23" t="s">
        <v>943</v>
      </c>
      <c r="E19647" s="23" t="s">
        <v>944</v>
      </c>
      <c r="F19647" s="23" t="s">
        <v>945</v>
      </c>
      <c r="G19647" s="23" t="s">
        <v>946</v>
      </c>
      <c r="H19647" s="23" t="s">
        <v>947</v>
      </c>
      <c r="I19647" s="23" t="s">
        <v>948</v>
      </c>
      <c r="J19647" s="23" t="s">
        <v>949</v>
      </c>
      <c r="K19647" s="23" t="s">
        <v>950</v>
      </c>
      <c r="L19647" s="4" t="s">
        <v>47</v>
      </c>
    </row>
    <row r="19648" customFormat="false" ht="15" hidden="false" customHeight="false" outlineLevel="0" collapsed="false">
      <c r="A19648" s="1" t="s">
        <v>1080</v>
      </c>
      <c r="B19648" s="0" t="s">
        <v>98</v>
      </c>
      <c r="F19648" s="6" t="n">
        <f aca="false">Sens!F19629</f>
        <v>147.845133025056</v>
      </c>
      <c r="G19648" s="6" t="n">
        <f aca="false">Sens!G19629</f>
        <v>168.770528687233</v>
      </c>
      <c r="H19648" s="6" t="n">
        <f aca="false">Sens!H19629</f>
        <v>197.293014135211</v>
      </c>
      <c r="I19648" s="6" t="n">
        <f aca="false">Sens!I19629</f>
        <v>219.136541198088</v>
      </c>
      <c r="J19648" s="6" t="n">
        <f aca="false">Sens!J19629</f>
        <v>238.071413521751</v>
      </c>
      <c r="K19648" s="6" t="n">
        <f aca="false">Sens!K19629</f>
        <v>255.348515401245</v>
      </c>
    </row>
    <row r="19649" customFormat="false" ht="17.15" hidden="false" customHeight="false" outlineLevel="0" collapsed="false">
      <c r="A19649" s="1" t="s">
        <v>1102</v>
      </c>
      <c r="B19649" s="0" t="s">
        <v>98</v>
      </c>
      <c r="E19649" s="6" t="n">
        <f aca="false">Q!M38-Sens!E19567</f>
        <v>22.2285940229167</v>
      </c>
      <c r="F19649" s="6" t="n">
        <f aca="false">Sens!E19649*(1-1/life_nonai)+(Sens!F19657+Sens!F19658)/life_nonai</f>
        <v>23.5707765814879</v>
      </c>
      <c r="G19649" s="6" t="n">
        <f aca="false">Sens!F19649*(1-1/life_nonai)+(Sens!G19657)/life_nonai</f>
        <v>25.3658158373519</v>
      </c>
      <c r="H19649" s="6" t="n">
        <f aca="false">Sens!G19649*(1-1/life_nonai)+(Sens!H19657)/life_nonai</f>
        <v>27.5769352139332</v>
      </c>
      <c r="I19649" s="6" t="n">
        <f aca="false">Sens!H19649*(1-1/life_nonai)+(Sens!I19657)/life_nonai</f>
        <v>30.1278394556067</v>
      </c>
      <c r="J19649" s="6" t="n">
        <f aca="false">Sens!I19649*(1-1/life_nonai)+(Sens!J19657)/life_nonai</f>
        <v>32.9265804228831</v>
      </c>
      <c r="K19649" s="6" t="n">
        <f aca="false">Sens!J19649*(1-1/life_nonai)+(Sens!K19657)/life_nonai</f>
        <v>35.8888511555398</v>
      </c>
      <c r="L19649" s="12" t="s">
        <v>1103</v>
      </c>
    </row>
    <row r="19650" customFormat="false" ht="17.15" hidden="false" customHeight="false" outlineLevel="0" collapsed="false">
      <c r="A19650" s="1" t="s">
        <v>1104</v>
      </c>
      <c r="B19650" s="0" t="s">
        <v>98</v>
      </c>
      <c r="F19650" s="6" t="n">
        <f aca="false">Sens!$F$19658/life_nonai*(1-1/life_nonai)^(Sens!F19530-2027)</f>
        <v>0</v>
      </c>
      <c r="G19650" s="6" t="n">
        <f aca="false">Sens!$F$19658/life_nonai*(1-1/life_nonai)^(Sens!G19530-2027)</f>
        <v>0</v>
      </c>
      <c r="H19650" s="6" t="n">
        <f aca="false">Sens!$F$19658/life_nonai*(1-1/life_nonai)^(Sens!H19530-2027)</f>
        <v>0</v>
      </c>
      <c r="I19650" s="6" t="n">
        <f aca="false">Sens!$F$19658/life_nonai*(1-1/life_nonai)^(Sens!I19530-2027)</f>
        <v>0</v>
      </c>
      <c r="J19650" s="6" t="n">
        <f aca="false">Sens!$F$19658/life_nonai*(1-1/life_nonai)^(Sens!J19530-2027)</f>
        <v>0</v>
      </c>
      <c r="K19650" s="6" t="n">
        <f aca="false">Sens!$F$19658/life_nonai*(1-1/life_nonai)^(Sens!K19530-2027)</f>
        <v>0</v>
      </c>
      <c r="L19650" s="1" t="s">
        <v>1105</v>
      </c>
    </row>
    <row r="19651" customFormat="false" ht="17.15" hidden="false" customHeight="false" outlineLevel="0" collapsed="false">
      <c r="A19651" s="1" t="s">
        <v>1106</v>
      </c>
      <c r="B19651" s="0" t="s">
        <v>98</v>
      </c>
      <c r="E19651" s="6" t="n">
        <f aca="false">Sens!E19567+Sens!E19649</f>
        <v>38.534</v>
      </c>
      <c r="F19651" s="6" t="n">
        <f aca="false">Sens!F19567+Sens!F19649</f>
        <v>58.6207326552574</v>
      </c>
      <c r="G19651" s="6" t="n">
        <f aca="false">Sens!G19567+Sens!G19649</f>
        <v>87.5506961910155</v>
      </c>
      <c r="H19651" s="6" t="n">
        <f aca="false">Sens!H19567+Sens!H19649</f>
        <v>119.145628597801</v>
      </c>
      <c r="I19651" s="6" t="n">
        <f aca="false">Sens!I19567+Sens!I19649</f>
        <v>147.78879862822</v>
      </c>
      <c r="J19651" s="6" t="n">
        <f aca="false">Sens!J19567+Sens!J19649</f>
        <v>169.182218602611</v>
      </c>
      <c r="K19651" s="6" t="n">
        <f aca="false">Sens!K19567+Sens!K19649</f>
        <v>183.855179352804</v>
      </c>
    </row>
    <row r="19652" customFormat="false" ht="17.15" hidden="false" customHeight="false" outlineLevel="0" collapsed="false">
      <c r="A19652" s="1" t="s">
        <v>1107</v>
      </c>
      <c r="B19652" s="0" t="s">
        <v>98</v>
      </c>
      <c r="F19652" s="6" t="n">
        <f aca="false">Sens!F19594*sbc_r</f>
        <v>15.100021361372</v>
      </c>
      <c r="G19652" s="6" t="n">
        <f aca="false">Sens!G19594*sbc_r</f>
        <v>18.4685193451915</v>
      </c>
      <c r="H19652" s="6" t="n">
        <f aca="false">Sens!H19594*sbc_r</f>
        <v>22.0998461913651</v>
      </c>
      <c r="I19652" s="6" t="n">
        <f aca="false">Sens!I19594*sbc_r</f>
        <v>25.1956246776612</v>
      </c>
      <c r="J19652" s="6" t="n">
        <f aca="false">Sens!J19594*sbc_r</f>
        <v>27.6880762722838</v>
      </c>
      <c r="K19652" s="6" t="n">
        <f aca="false">Sens!K19594*sbc_r</f>
        <v>29.6810992617166</v>
      </c>
    </row>
    <row r="19653" customFormat="false" ht="17.15" hidden="false" customHeight="false" outlineLevel="0" collapsed="false">
      <c r="A19653" s="1" t="s">
        <v>1108</v>
      </c>
      <c r="B19653" s="0" t="s">
        <v>98</v>
      </c>
      <c r="F19653" s="6" t="n">
        <f aca="false">wc27-wc26q1</f>
        <v>-4.677</v>
      </c>
      <c r="G19653" s="6" t="n">
        <f aca="false">wc_f</f>
        <v>0</v>
      </c>
      <c r="H19653" s="6" t="n">
        <f aca="false">wc_f</f>
        <v>0</v>
      </c>
      <c r="I19653" s="6" t="n">
        <f aca="false">wc_f</f>
        <v>0</v>
      </c>
      <c r="J19653" s="6" t="n">
        <f aca="false">wc_f</f>
        <v>0</v>
      </c>
      <c r="K19653" s="6" t="n">
        <f aca="false">wc_f</f>
        <v>0</v>
      </c>
      <c r="L19653" s="12" t="s">
        <v>1109</v>
      </c>
    </row>
    <row r="19654" customFormat="false" ht="17.15" hidden="false" customHeight="false" outlineLevel="0" collapsed="false">
      <c r="A19654" s="0" t="s">
        <v>1110</v>
      </c>
      <c r="B19654" s="0" t="s">
        <v>98</v>
      </c>
      <c r="F19654" s="6" t="n">
        <f aca="false">Q!$I$35-Q!$I$26-Q!$I$38-Q!$I$39</f>
        <v>6.493</v>
      </c>
      <c r="L19654" s="1" t="s">
        <v>1111</v>
      </c>
    </row>
    <row r="19655" customFormat="false" ht="15" hidden="false" customHeight="false" outlineLevel="0" collapsed="false">
      <c r="A19655" s="1" t="s">
        <v>908</v>
      </c>
      <c r="B19655" s="0" t="s">
        <v>98</v>
      </c>
      <c r="E19655" s="6" t="n">
        <f aca="false">Q!M35</f>
        <v>182.935</v>
      </c>
      <c r="F19655" s="6" t="n">
        <f aca="false">Sens!F19648+Sens!F19651+Sens!F19652+Sens!F19653+Sens!F19654</f>
        <v>223.381887041685</v>
      </c>
      <c r="G19655" s="6" t="n">
        <f aca="false">Sens!G19648+Sens!G19651+Sens!G19652+Sens!G19653</f>
        <v>274.78974422344</v>
      </c>
      <c r="H19655" s="6" t="n">
        <f aca="false">Sens!H19648+Sens!H19651+Sens!H19652+Sens!H19653</f>
        <v>338.538488924378</v>
      </c>
      <c r="I19655" s="6" t="n">
        <f aca="false">Sens!I19648+Sens!I19651+Sens!I19652+Sens!I19653</f>
        <v>392.120964503969</v>
      </c>
      <c r="J19655" s="6" t="n">
        <f aca="false">Sens!J19648+Sens!J19651+Sens!J19652+Sens!J19653</f>
        <v>434.941708396646</v>
      </c>
      <c r="K19655" s="6" t="n">
        <f aca="false">Sens!K19648+Sens!K19651+Sens!K19652+Sens!K19653</f>
        <v>468.884794015765</v>
      </c>
    </row>
    <row r="19656" customFormat="false" ht="17.15" hidden="false" customHeight="false" outlineLevel="0" collapsed="false">
      <c r="A19656" s="0" t="s">
        <v>1112</v>
      </c>
      <c r="B19656" s="0" t="s">
        <v>98</v>
      </c>
      <c r="F19656" s="6" t="n">
        <f aca="false">Sens!F19564</f>
        <v>174.101603187134</v>
      </c>
      <c r="G19656" s="6" t="n">
        <f aca="false">Sens!G19564</f>
        <v>198.053753775396</v>
      </c>
      <c r="H19656" s="6" t="n">
        <f aca="false">Sens!H19564</f>
        <v>202.91528219086</v>
      </c>
      <c r="I19656" s="6" t="n">
        <f aca="false">Sens!I19564</f>
        <v>174.041716562966</v>
      </c>
      <c r="J19656" s="6" t="n">
        <f aca="false">Sens!J19564</f>
        <v>133.223236079397</v>
      </c>
      <c r="K19656" s="6" t="n">
        <f aca="false">Sens!K19564</f>
        <v>123.233870375648</v>
      </c>
    </row>
    <row r="19657" customFormat="false" ht="17.15" hidden="false" customHeight="false" outlineLevel="0" collapsed="false">
      <c r="A19657" s="1" t="s">
        <v>1113</v>
      </c>
      <c r="B19657" s="0" t="s">
        <v>98</v>
      </c>
      <c r="E19657" s="6" t="n">
        <f aca="false">Sens!E19572*cx_azo+Sens!E19579*cx_m365+Sens!E19580*cx_lic+(Sens!E19582+Sens!E19584)*cx_ind+Sens!E19587*cx_srch+(Sens!E19589+Sens!E19591)*cx_dev</f>
        <v>30.1846587067718</v>
      </c>
      <c r="F19657" s="6" t="n">
        <f aca="false">Sens!F19572*cx_azo+Sens!F19579*cx_m365+Sens!F19580*cx_lic+(Sens!F19582+Sens!F19584)*cx_ind+Sens!F19587*cx_srch+(Sens!F19589+Sens!F19591)*cx_dev</f>
        <v>35.650419608629</v>
      </c>
      <c r="G19657" s="6" t="n">
        <f aca="false">Sens!G19572*cx_azo+Sens!G19579*cx_m365+Sens!G19580*cx_lic+(Sens!G19582+Sens!G19584)*cx_ind+Sens!G19587*cx_srch+(Sens!G19589+Sens!G19591)*cx_dev</f>
        <v>41.5211691401278</v>
      </c>
      <c r="H19657" s="6" t="n">
        <f aca="false">Sens!H19572*cx_azo+Sens!H19579*cx_m365+Sens!H19580*cx_lic+(Sens!H19582+Sens!H19584)*cx_ind+Sens!H19587*cx_srch+(Sens!H19589+Sens!H19591)*cx_dev</f>
        <v>47.4770096031644</v>
      </c>
      <c r="I19657" s="6" t="n">
        <f aca="false">Sens!I19572*cx_azo+Sens!I19579*cx_m365+Sens!I19580*cx_lic+(Sens!I19582+Sens!I19584)*cx_ind+Sens!I19587*cx_srch+(Sens!I19589+Sens!I19591)*cx_dev</f>
        <v>53.0859776306687</v>
      </c>
      <c r="J19657" s="6" t="n">
        <f aca="false">Sens!J19572*cx_azo+Sens!J19579*cx_m365+Sens!J19580*cx_lic+(Sens!J19582+Sens!J19584)*cx_ind+Sens!J19587*cx_srch+(Sens!J19589+Sens!J19591)*cx_dev</f>
        <v>58.1152491283708</v>
      </c>
      <c r="K19657" s="6" t="n">
        <f aca="false">Sens!K19572*cx_azo+Sens!K19579*cx_m365+Sens!K19580*cx_lic+(Sens!K19582+Sens!K19584)*cx_ind+Sens!K19587*cx_srch+(Sens!K19589+Sens!K19591)*cx_dev</f>
        <v>62.5492877494501</v>
      </c>
    </row>
    <row r="19658" customFormat="false" ht="17.15" hidden="false" customHeight="false" outlineLevel="0" collapsed="false">
      <c r="A19658" s="0" t="s">
        <v>1114</v>
      </c>
      <c r="B19658" s="0" t="s">
        <v>98</v>
      </c>
      <c r="F19658" s="6" t="n">
        <f aca="false">Sens!F19562</f>
        <v>0</v>
      </c>
      <c r="L19658" s="1" t="s">
        <v>1115</v>
      </c>
    </row>
    <row r="19659" customFormat="false" ht="17.15" hidden="false" customHeight="false" outlineLevel="0" collapsed="false">
      <c r="A19659" s="1" t="s">
        <v>1116</v>
      </c>
      <c r="B19659" s="0" t="s">
        <v>98</v>
      </c>
      <c r="E19659" s="6" t="n">
        <f aca="false">Q!M43</f>
        <v>145.3</v>
      </c>
      <c r="F19659" s="6" t="n">
        <f aca="false">Sens!F19656+Sens!F19657+Sens!F19658</f>
        <v>209.752022795763</v>
      </c>
      <c r="G19659" s="6" t="n">
        <f aca="false">Sens!G19656+Sens!G19657</f>
        <v>239.574922915523</v>
      </c>
      <c r="H19659" s="6" t="n">
        <f aca="false">Sens!H19656+Sens!H19657</f>
        <v>250.392291794024</v>
      </c>
      <c r="I19659" s="6" t="n">
        <f aca="false">Sens!I19656+Sens!I19657</f>
        <v>227.127694193634</v>
      </c>
      <c r="J19659" s="6" t="n">
        <f aca="false">Sens!J19656+Sens!J19657</f>
        <v>191.338485207768</v>
      </c>
      <c r="K19659" s="6" t="n">
        <f aca="false">Sens!K19656+Sens!K19657</f>
        <v>185.783158125098</v>
      </c>
      <c r="L19659" s="1" t="s">
        <v>1117</v>
      </c>
    </row>
    <row r="19660" customFormat="false" ht="15" hidden="false" customHeight="false" outlineLevel="0" collapsed="false">
      <c r="A19660" s="1" t="s">
        <v>1118</v>
      </c>
      <c r="B19660" s="0" t="s">
        <v>98</v>
      </c>
      <c r="E19660" s="6" t="n">
        <f aca="false">fl_liab</f>
        <v>66.594</v>
      </c>
      <c r="F19660" s="6" t="n">
        <f aca="false">Sens!E19660-Sens!F19661</f>
        <v>62.46973</v>
      </c>
      <c r="G19660" s="6" t="n">
        <f aca="false">Sens!F19660-Sens!G19661</f>
        <v>57.98686785</v>
      </c>
      <c r="H19660" s="6" t="n">
        <f aca="false">Sens!G19660-Sens!H19661</f>
        <v>53.92827690325</v>
      </c>
      <c r="I19660" s="6" t="n">
        <f aca="false">Sens!H19660-Sens!I19661</f>
        <v>49.7850493638962</v>
      </c>
      <c r="J19660" s="6" t="n">
        <f aca="false">Sens!I19660-Sens!J19661</f>
        <v>45.4823765852716</v>
      </c>
      <c r="K19660" s="6" t="n">
        <f aca="false">Sens!J19660-Sens!K19661</f>
        <v>40.9860835316088</v>
      </c>
    </row>
    <row r="19661" customFormat="false" ht="15" hidden="false" customHeight="false" outlineLevel="0" collapsed="false">
      <c r="A19661" s="1" t="s">
        <v>1119</v>
      </c>
      <c r="B19661" s="0" t="s">
        <v>98</v>
      </c>
      <c r="F19661" s="6" t="n">
        <f aca="false">fl_pay_27-Sens!E19660*fl_rate</f>
        <v>4.12427</v>
      </c>
      <c r="G19661" s="6" t="n">
        <f aca="false">fl_pay_28-Sens!F19660*fl_rate</f>
        <v>4.48286215</v>
      </c>
      <c r="H19661" s="6" t="n">
        <f aca="false">fl_pay_29-Sens!G19660*fl_rate</f>
        <v>4.05859094675</v>
      </c>
      <c r="I19661" s="6" t="n">
        <f aca="false">fl_pay_30-Sens!H19660*fl_rate</f>
        <v>4.14322753935375</v>
      </c>
      <c r="J19661" s="6" t="n">
        <f aca="false">fl_pay_31-Sens!I19660*fl_rate</f>
        <v>4.30267277862467</v>
      </c>
      <c r="K19661" s="6" t="n">
        <f aca="false">fl_pay_32-Sens!J19660*fl_rate</f>
        <v>4.49629305366278</v>
      </c>
    </row>
    <row r="19662" customFormat="false" ht="17.15" hidden="false" customHeight="false" outlineLevel="0" collapsed="false">
      <c r="A19662" s="1" t="s">
        <v>1120</v>
      </c>
      <c r="B19662" s="0" t="s">
        <v>98</v>
      </c>
      <c r="E19662" s="6" t="n">
        <f aca="false">Q!M35-Q!M36-Q!M44</f>
        <v>63.886</v>
      </c>
      <c r="F19662" s="6" t="n">
        <f aca="false">Sens!F19655-Sens!F19659-Sens!F19661</f>
        <v>9.50559424592276</v>
      </c>
      <c r="G19662" s="6" t="n">
        <f aca="false">Sens!G19655-Sens!G19659-Sens!G19661</f>
        <v>30.7319591579161</v>
      </c>
      <c r="H19662" s="6" t="n">
        <f aca="false">Sens!H19655-Sens!H19659-Sens!H19661</f>
        <v>84.0876061836036</v>
      </c>
      <c r="I19662" s="6" t="n">
        <f aca="false">Sens!I19655-Sens!I19659-Sens!I19661</f>
        <v>160.850042770981</v>
      </c>
      <c r="J19662" s="6" t="n">
        <f aca="false">Sens!J19655-Sens!J19659-Sens!J19661</f>
        <v>239.300550410253</v>
      </c>
      <c r="K19662" s="6" t="n">
        <f aca="false">Sens!K19655-Sens!K19659-Sens!K19661</f>
        <v>278.605342837004</v>
      </c>
      <c r="L19662" s="12" t="s">
        <v>1121</v>
      </c>
    </row>
    <row r="19663" customFormat="false" ht="15" hidden="false" customHeight="false" outlineLevel="0" collapsed="false">
      <c r="A19663" s="1" t="s">
        <v>1122</v>
      </c>
      <c r="B19663" s="0" t="s">
        <v>75</v>
      </c>
      <c r="F19663" s="8" t="n">
        <f aca="false">dps_27</f>
        <v>3.85</v>
      </c>
      <c r="G19663" s="8" t="n">
        <f aca="false">Sens!F19663*(1+dps_g)</f>
        <v>4.158</v>
      </c>
      <c r="H19663" s="8" t="n">
        <f aca="false">Sens!G19663*(1+dps_g)</f>
        <v>4.49064</v>
      </c>
      <c r="I19663" s="8" t="n">
        <f aca="false">Sens!H19663*(1+dps_g)</f>
        <v>4.8498912</v>
      </c>
      <c r="J19663" s="8" t="n">
        <f aca="false">Sens!I19663*(1+dps_g)</f>
        <v>5.237882496</v>
      </c>
      <c r="K19663" s="8" t="n">
        <f aca="false">Sens!J19663*(1+dps_g)</f>
        <v>5.65691309568</v>
      </c>
    </row>
    <row r="19664" customFormat="false" ht="17.15" hidden="false" customHeight="false" outlineLevel="0" collapsed="false">
      <c r="A19664" s="1" t="s">
        <v>1123</v>
      </c>
      <c r="B19664" s="0" t="s">
        <v>98</v>
      </c>
      <c r="E19664" s="6" t="n">
        <f aca="false">Q!M41</f>
        <v>26.445</v>
      </c>
      <c r="F19664" s="6" t="n">
        <f aca="false">Sens!F19663*Sens!E19673</f>
        <v>28.59395</v>
      </c>
      <c r="G19664" s="6" t="n">
        <f aca="false">Sens!G19663*Sens!F19673</f>
        <v>31.068576</v>
      </c>
      <c r="H19664" s="6" t="n">
        <f aca="false">Sens!H19663*Sens!G19673</f>
        <v>33.75614088</v>
      </c>
      <c r="I19664" s="6" t="n">
        <f aca="false">Sens!I19663*Sens!H19673</f>
        <v>36.5070704274727</v>
      </c>
      <c r="J19664" s="6" t="n">
        <f aca="false">Sens!J19663*Sens!I19673</f>
        <v>39.4955339470631</v>
      </c>
      <c r="K19664" s="6" t="n">
        <f aca="false">Sens!K19663*Sens!J19673</f>
        <v>42.7419309252064</v>
      </c>
      <c r="L19664" s="1" t="s">
        <v>1124</v>
      </c>
    </row>
    <row r="19665" customFormat="false" ht="15" hidden="false" customHeight="false" outlineLevel="0" collapsed="false">
      <c r="A19665" s="1" t="s">
        <v>1125</v>
      </c>
      <c r="B19665" s="0" t="s">
        <v>98</v>
      </c>
      <c r="E19665" s="6" t="n">
        <f aca="false">Sens!E19662-Sens!E19664</f>
        <v>37.441</v>
      </c>
      <c r="F19665" s="6" t="n">
        <f aca="false">Sens!F19662-Sens!F19664</f>
        <v>-19.0883557540772</v>
      </c>
      <c r="G19665" s="6" t="n">
        <f aca="false">Sens!G19662-Sens!G19664</f>
        <v>-0.336616842083888</v>
      </c>
      <c r="H19665" s="6" t="n">
        <f aca="false">Sens!H19662-Sens!H19664</f>
        <v>50.3314653036036</v>
      </c>
      <c r="I19665" s="6" t="n">
        <f aca="false">Sens!I19662-Sens!I19664</f>
        <v>124.342972343508</v>
      </c>
      <c r="J19665" s="6" t="n">
        <f aca="false">Sens!J19662-Sens!J19664</f>
        <v>199.80501646319</v>
      </c>
      <c r="K19665" s="6" t="n">
        <f aca="false">Sens!K19662-Sens!K19664</f>
        <v>235.863411911797</v>
      </c>
    </row>
    <row r="19666" customFormat="false" ht="15" hidden="false" customHeight="false" outlineLevel="0" collapsed="false">
      <c r="A19666" s="1" t="s">
        <v>1126</v>
      </c>
      <c r="B19666" s="0" t="s">
        <v>98</v>
      </c>
      <c r="F19666" s="6" t="n">
        <f aca="false">debt_mat_27</f>
        <v>9.25</v>
      </c>
      <c r="G19666" s="6" t="n">
        <f aca="false">debt_mat_28</f>
        <v>0</v>
      </c>
      <c r="H19666" s="6" t="n">
        <f aca="false">debt_mat_29</f>
        <v>2.001</v>
      </c>
      <c r="I19666" s="6" t="n">
        <f aca="false">debt_mat_30</f>
        <v>0</v>
      </c>
      <c r="J19666" s="6" t="n">
        <f aca="false">debt_mat_31</f>
        <v>0.5</v>
      </c>
      <c r="K19666" s="6" t="n">
        <f aca="false">debt_mat_32</f>
        <v>0</v>
      </c>
    </row>
    <row r="19667" customFormat="false" ht="15" hidden="false" customHeight="false" outlineLevel="0" collapsed="false">
      <c r="A19667" s="1" t="s">
        <v>1127</v>
      </c>
      <c r="B19667" s="0" t="s">
        <v>98</v>
      </c>
      <c r="E19667" s="6" t="n">
        <f aca="false">Q!M40</f>
        <v>22.271</v>
      </c>
      <c r="F19667" s="6" t="n">
        <f aca="false">MAX(0,MIN(bb_target,Sens!E19669+Sens!F19665-Sens!F19666-min_cash))</f>
        <v>0</v>
      </c>
      <c r="G19667" s="6" t="n">
        <f aca="false">MAX(0,MIN(bb_target,Sens!F19669+Sens!G19665-Sens!G19666-min_cash))</f>
        <v>0</v>
      </c>
      <c r="H19667" s="6" t="n">
        <f aca="false">MAX(0,MIN(bb_target,Sens!G19669+Sens!H19665-Sens!H19666-min_cash))</f>
        <v>22.271</v>
      </c>
      <c r="I19667" s="6" t="n">
        <f aca="false">MAX(0,MIN(bb_target,Sens!H19669+Sens!I19665-Sens!I19666-min_cash))</f>
        <v>22.271</v>
      </c>
      <c r="J19667" s="6" t="n">
        <f aca="false">MAX(0,MIN(bb_target,Sens!I19669+Sens!J19665-Sens!J19666-min_cash))</f>
        <v>22.271</v>
      </c>
      <c r="K19667" s="6" t="n">
        <f aca="false">MAX(0,MIN(bb_target,Sens!J19669+Sens!K19665-Sens!K19666-min_cash))</f>
        <v>22.271</v>
      </c>
    </row>
    <row r="19668" customFormat="false" ht="15" hidden="false" customHeight="false" outlineLevel="0" collapsed="false">
      <c r="A19668" s="1" t="s">
        <v>1128</v>
      </c>
      <c r="B19668" s="0" t="s">
        <v>98</v>
      </c>
      <c r="F19668" s="6" t="n">
        <f aca="false">MAX(0,min_cash-(Sens!E19669+Sens!F19665-Sens!F19666-Sens!F19667))</f>
        <v>1.49535575407724</v>
      </c>
      <c r="G19668" s="6" t="n">
        <f aca="false">MAX(0,min_cash-(Sens!F19669+Sens!G19665-Sens!G19666-Sens!G19667))</f>
        <v>0.336616842083885</v>
      </c>
      <c r="H19668" s="6" t="n">
        <f aca="false">MAX(0,min_cash-(Sens!G19669+Sens!H19665-Sens!H19666-Sens!H19667))</f>
        <v>0</v>
      </c>
      <c r="I19668" s="6" t="n">
        <f aca="false">MAX(0,min_cash-(Sens!H19669+Sens!I19665-Sens!I19666-Sens!I19667))</f>
        <v>0</v>
      </c>
      <c r="J19668" s="6" t="n">
        <f aca="false">MAX(0,min_cash-(Sens!I19669+Sens!J19665-Sens!J19666-Sens!J19667))</f>
        <v>0</v>
      </c>
      <c r="K19668" s="6" t="n">
        <f aca="false">MAX(0,min_cash-(Sens!J19669+Sens!K19665-Sens!K19666-Sens!K19667))</f>
        <v>0</v>
      </c>
    </row>
    <row r="19669" customFormat="false" ht="15" hidden="false" customHeight="false" outlineLevel="0" collapsed="false">
      <c r="A19669" s="1" t="s">
        <v>1129</v>
      </c>
      <c r="B19669" s="0" t="s">
        <v>98</v>
      </c>
      <c r="E19669" s="6" t="n">
        <f aca="false">cash_open</f>
        <v>76.843</v>
      </c>
      <c r="F19669" s="6" t="n">
        <f aca="false">Sens!E19669+Sens!F19665-Sens!F19666-Sens!F19667+Sens!F19668</f>
        <v>50</v>
      </c>
      <c r="G19669" s="6" t="n">
        <f aca="false">Sens!F19669+Sens!G19665-Sens!G19666-Sens!G19667+Sens!G19668</f>
        <v>50</v>
      </c>
      <c r="H19669" s="6" t="n">
        <f aca="false">Sens!G19669+Sens!H19665-Sens!H19666-Sens!H19667+Sens!H19668</f>
        <v>76.0594653036036</v>
      </c>
      <c r="I19669" s="6" t="n">
        <f aca="false">Sens!H19669+Sens!I19665-Sens!I19666-Sens!I19667+Sens!I19668</f>
        <v>178.131437647112</v>
      </c>
      <c r="J19669" s="6" t="n">
        <f aca="false">Sens!I19669+Sens!J19665-Sens!J19666-Sens!J19667+Sens!J19668</f>
        <v>355.165454110302</v>
      </c>
      <c r="K19669" s="6" t="n">
        <f aca="false">Sens!J19669+Sens!K19665-Sens!K19666-Sens!K19667+Sens!K19668</f>
        <v>568.757866022099</v>
      </c>
    </row>
    <row r="19670" customFormat="false" ht="15" hidden="false" customHeight="false" outlineLevel="0" collapsed="false">
      <c r="A19670" s="1" t="s">
        <v>1130</v>
      </c>
      <c r="B19670" s="0" t="s">
        <v>98</v>
      </c>
      <c r="E19670" s="6" t="n">
        <f aca="false">debt_face</f>
        <v>46.136</v>
      </c>
      <c r="F19670" s="6" t="n">
        <f aca="false">Sens!E19670-Sens!F19666+Sens!F19668</f>
        <v>38.3813557540772</v>
      </c>
      <c r="G19670" s="6" t="n">
        <f aca="false">Sens!F19670-Sens!G19666+Sens!G19668</f>
        <v>38.7179725961611</v>
      </c>
      <c r="H19670" s="6" t="n">
        <f aca="false">Sens!G19670-Sens!H19666+Sens!H19668</f>
        <v>36.7169725961611</v>
      </c>
      <c r="I19670" s="6" t="n">
        <f aca="false">Sens!H19670-Sens!I19666+Sens!I19668</f>
        <v>36.7169725961611</v>
      </c>
      <c r="J19670" s="6" t="n">
        <f aca="false">Sens!I19670-Sens!J19666+Sens!J19668</f>
        <v>36.2169725961611</v>
      </c>
      <c r="K19670" s="6" t="n">
        <f aca="false">Sens!J19670-Sens!K19666+Sens!K19668</f>
        <v>36.2169725961611</v>
      </c>
    </row>
    <row r="19671" customFormat="false" ht="15" hidden="false" customHeight="false" outlineLevel="0" collapsed="false">
      <c r="A19671" s="1" t="s">
        <v>1131</v>
      </c>
      <c r="B19671" s="0" t="s">
        <v>98</v>
      </c>
      <c r="E19671" s="6" t="n">
        <f aca="false">Sens!E19669-Sens!E19670</f>
        <v>30.707</v>
      </c>
      <c r="F19671" s="6" t="n">
        <f aca="false">Sens!F19669-Sens!F19670</f>
        <v>11.6186442459228</v>
      </c>
      <c r="G19671" s="6" t="n">
        <f aca="false">Sens!G19669-Sens!G19670</f>
        <v>11.2820274038389</v>
      </c>
      <c r="H19671" s="6" t="n">
        <f aca="false">Sens!H19669-Sens!H19670</f>
        <v>39.3424927074425</v>
      </c>
      <c r="I19671" s="6" t="n">
        <f aca="false">Sens!I19669-Sens!I19670</f>
        <v>141.41446505095</v>
      </c>
      <c r="J19671" s="6" t="n">
        <f aca="false">Sens!J19669-Sens!J19670</f>
        <v>318.948481514141</v>
      </c>
      <c r="K19671" s="6" t="n">
        <f aca="false">Sens!K19669-Sens!K19670</f>
        <v>532.540893425938</v>
      </c>
    </row>
    <row r="19672" customFormat="false" ht="15" hidden="false" customHeight="false" outlineLevel="0" collapsed="false">
      <c r="A19672" s="1" t="s">
        <v>1132</v>
      </c>
      <c r="B19672" s="0" t="s">
        <v>75</v>
      </c>
      <c r="F19672" s="30" t="n">
        <f aca="false">px*(1+bb_g)^(Sens!F19530-base_fy-mid_yr)</f>
        <v>551.84177959629</v>
      </c>
      <c r="G19672" s="30" t="n">
        <f aca="false">px*(1+bb_g)^(Sens!G19530-base_fy-mid_yr)</f>
        <v>595.989121963993</v>
      </c>
      <c r="H19672" s="30" t="n">
        <f aca="false">px*(1+bb_g)^(Sens!H19530-base_fy-mid_yr)</f>
        <v>643.668251721112</v>
      </c>
      <c r="I19672" s="30" t="n">
        <f aca="false">px*(1+bb_g)^(Sens!I19530-base_fy-mid_yr)</f>
        <v>695.161711858801</v>
      </c>
      <c r="J19672" s="30" t="n">
        <f aca="false">px*(1+bb_g)^(Sens!J19530-base_fy-mid_yr)</f>
        <v>750.774648807506</v>
      </c>
      <c r="K19672" s="30" t="n">
        <f aca="false">px*(1+bb_g)^(Sens!K19530-base_fy-mid_yr)</f>
        <v>810.836620712106</v>
      </c>
    </row>
    <row r="19673" customFormat="false" ht="15" hidden="false" customHeight="false" outlineLevel="0" collapsed="false">
      <c r="A19673" s="1" t="s">
        <v>1133</v>
      </c>
      <c r="B19673" s="1" t="s">
        <v>81</v>
      </c>
      <c r="E19673" s="15" t="n">
        <f aca="false">sh_out26</f>
        <v>7.427</v>
      </c>
      <c r="F19673" s="15" t="n">
        <f aca="false">Sens!E19673+sh_iss-Sens!F19667/Sens!F19672</f>
        <v>7.472</v>
      </c>
      <c r="G19673" s="15" t="n">
        <f aca="false">Sens!F19673+sh_iss-Sens!G19667/Sens!G19672</f>
        <v>7.517</v>
      </c>
      <c r="H19673" s="15" t="n">
        <f aca="false">Sens!G19673+sh_iss-Sens!H19667/Sens!H19672</f>
        <v>7.5273998780576</v>
      </c>
      <c r="I19673" s="15" t="n">
        <f aca="false">Sens!H19673+sh_iss-Sens!I19667/Sens!I19672</f>
        <v>7.54036272811094</v>
      </c>
      <c r="J19673" s="15" t="n">
        <f aca="false">Sens!I19673+sh_iss-Sens!J19667/Sens!J19672</f>
        <v>7.55569870038255</v>
      </c>
      <c r="K19673" s="15" t="n">
        <f aca="false">Sens!J19673+sh_iss-Sens!K19667/Sens!K19672</f>
        <v>7.57323200804144</v>
      </c>
    </row>
    <row r="19674" customFormat="false" ht="15" hidden="false" customHeight="false" outlineLevel="0" collapsed="false">
      <c r="A19674" s="1" t="s">
        <v>1134</v>
      </c>
      <c r="B19674" s="1" t="s">
        <v>81</v>
      </c>
      <c r="E19674" s="15" t="n">
        <f aca="false">sh_dil26</f>
        <v>7.453</v>
      </c>
      <c r="F19674" s="15" t="n">
        <f aca="false">(Sens!E19673+Sens!F19673)/2+dil_gap</f>
        <v>7.4735</v>
      </c>
      <c r="G19674" s="15" t="n">
        <f aca="false">(Sens!F19673+Sens!G19673)/2+dil_gap</f>
        <v>7.5185</v>
      </c>
      <c r="H19674" s="15" t="n">
        <f aca="false">(Sens!G19673+Sens!H19673)/2+dil_gap</f>
        <v>7.5461999390288</v>
      </c>
      <c r="I19674" s="15" t="n">
        <f aca="false">(Sens!H19673+Sens!I19673)/2+dil_gap</f>
        <v>7.55788130308427</v>
      </c>
      <c r="J19674" s="15" t="n">
        <f aca="false">(Sens!I19673+Sens!J19673)/2+dil_gap</f>
        <v>7.57203071424674</v>
      </c>
      <c r="K19674" s="15" t="n">
        <f aca="false">(Sens!J19673+Sens!K19673)/2+dil_gap</f>
        <v>7.58846535421199</v>
      </c>
    </row>
    <row r="19675" customFormat="false" ht="17.15" hidden="false" customHeight="false" outlineLevel="0" collapsed="false">
      <c r="A19675" s="1" t="s">
        <v>1135</v>
      </c>
      <c r="B19675" s="0" t="s">
        <v>98</v>
      </c>
      <c r="C19675" s="6" t="n">
        <f aca="false">SUM(Sens!F19665:J19665)</f>
        <v>355.054481514141</v>
      </c>
    </row>
    <row r="19676" customFormat="false" ht="15" hidden="false" customHeight="false" outlineLevel="0" collapsed="false">
      <c r="A19676" s="26" t="s">
        <v>1100</v>
      </c>
      <c r="B19676" s="31" t="s">
        <v>98</v>
      </c>
      <c r="C19676" s="27" t="n">
        <f aca="false">Sens!$C$19675-(Sens!F19665+Sens!G19665+Sens!H19665+Sens!I19665+Sens!J19665)</f>
        <v>0</v>
      </c>
      <c r="D19676" s="31"/>
      <c r="E19676" s="31"/>
      <c r="F19676" s="31"/>
      <c r="G19676" s="31"/>
      <c r="H19676" s="31"/>
      <c r="I19676" s="31"/>
      <c r="J19676" s="31"/>
      <c r="K19676" s="31"/>
    </row>
    <row r="19677" customFormat="false" ht="17.15" hidden="false" customHeight="false" outlineLevel="0" collapsed="false">
      <c r="A19677" s="1" t="s">
        <v>1094</v>
      </c>
      <c r="B19677" s="1" t="s">
        <v>1136</v>
      </c>
      <c r="C19677" s="33" t="str">
        <f aca="false">IF(SUM(Sens!F19668:J19668)&gt;0.05,"需要舉債 "&amp;TEXT(SUM(Sens!F19668:J19668),"0.0")&amp;" 十億美元","不需舉債")&amp;"；"&amp;IF(SUM(Sens!F19667:J19667)&lt;COUNT(Sens!F19667:J19667)*bb_target-0.05,"回購較每年 "&amp;TEXT(bb_target,"0.0")&amp;" 的目標少 "&amp;TEXT(COUNT(Sens!F19667:J19667)*bb_target-SUM(Sens!F19667:J19667),"0.0")&amp;" 十億美元（"&amp;TEXT(COUNTIF(Sens!F19667:J19667,"&lt;"&amp;(bb_target-0.05)),"0")&amp;" 年減少）","回購不減")</f>
        <v>需要舉債 1.8 十億美元；回購較每年 22.3 的目標少 44.5 十億美元（2 年減少）</v>
      </c>
    </row>
    <row r="19678" customFormat="false" ht="17.15" hidden="false" customHeight="false" outlineLevel="0" collapsed="false">
      <c r="A19678" s="3" t="s">
        <v>2098</v>
      </c>
    </row>
    <row r="19679" customFormat="false" ht="15" hidden="false" customHeight="false" outlineLevel="0" collapsed="false">
      <c r="A19679" s="4" t="s">
        <v>43</v>
      </c>
      <c r="B19679" s="4" t="s">
        <v>65</v>
      </c>
      <c r="C19679" s="23" t="s">
        <v>942</v>
      </c>
      <c r="D19679" s="23" t="s">
        <v>943</v>
      </c>
      <c r="E19679" s="23" t="s">
        <v>944</v>
      </c>
      <c r="F19679" s="23" t="s">
        <v>945</v>
      </c>
      <c r="G19679" s="23" t="s">
        <v>946</v>
      </c>
      <c r="H19679" s="23" t="s">
        <v>947</v>
      </c>
      <c r="I19679" s="23" t="s">
        <v>948</v>
      </c>
      <c r="J19679" s="23" t="s">
        <v>949</v>
      </c>
      <c r="K19679" s="23" t="s">
        <v>950</v>
      </c>
      <c r="L19679" s="4" t="s">
        <v>47</v>
      </c>
    </row>
    <row r="19680" customFormat="false" ht="17.15" hidden="false" customHeight="false" outlineLevel="0" collapsed="false">
      <c r="A19680" s="1" t="s">
        <v>1216</v>
      </c>
      <c r="B19680" s="1" t="s">
        <v>279</v>
      </c>
      <c r="F19680" s="8" t="n">
        <f aca="false">(1-v_off)*mid_yr</f>
        <v>0.373972602739726</v>
      </c>
      <c r="G19680" s="8" t="n">
        <f aca="false">Sens!G19530-base_fy-mid_yr-v_off</f>
        <v>1.24794520547945</v>
      </c>
      <c r="H19680" s="8" t="n">
        <f aca="false">Sens!H19530-base_fy-mid_yr-v_off</f>
        <v>2.24794520547945</v>
      </c>
      <c r="I19680" s="8" t="n">
        <f aca="false">Sens!I19530-base_fy-mid_yr-v_off</f>
        <v>3.24794520547945</v>
      </c>
      <c r="J19680" s="8" t="n">
        <f aca="false">Sens!J19530-base_fy-mid_yr-v_off</f>
        <v>4.24794520547945</v>
      </c>
      <c r="K19680" s="8" t="n">
        <f aca="false">Sens!K19530-base_fy-mid_yr-v_off</f>
        <v>5.24794520547945</v>
      </c>
      <c r="L19680" s="12" t="s">
        <v>1217</v>
      </c>
    </row>
    <row r="19681" customFormat="false" ht="15" hidden="false" customHeight="false" outlineLevel="0" collapsed="false">
      <c r="A19681" s="1" t="s">
        <v>1218</v>
      </c>
      <c r="B19681" s="1" t="s">
        <v>279</v>
      </c>
      <c r="F19681" s="8" t="n">
        <f aca="false">Sens!F19530-base_fy-v_off</f>
        <v>0.747945205479452</v>
      </c>
      <c r="G19681" s="8" t="n">
        <f aca="false">Sens!G19530-base_fy-v_off</f>
        <v>1.74794520547945</v>
      </c>
      <c r="H19681" s="8" t="n">
        <f aca="false">Sens!H19530-base_fy-v_off</f>
        <v>2.74794520547945</v>
      </c>
      <c r="I19681" s="8" t="n">
        <f aca="false">Sens!I19530-base_fy-v_off</f>
        <v>3.74794520547945</v>
      </c>
      <c r="J19681" s="8" t="n">
        <f aca="false">Sens!J19530-base_fy-v_off</f>
        <v>4.74794520547945</v>
      </c>
      <c r="K19681" s="8" t="n">
        <f aca="false">Sens!K19530-base_fy-v_off</f>
        <v>5.74794520547945</v>
      </c>
    </row>
    <row r="19682" customFormat="false" ht="15" hidden="false" customHeight="false" outlineLevel="0" collapsed="false">
      <c r="A19682" s="1" t="s">
        <v>1219</v>
      </c>
      <c r="B19682" s="0" t="s">
        <v>229</v>
      </c>
      <c r="F19682" s="15" t="n">
        <f aca="false">1/(1+wacc)^Sens!F19680</f>
        <v>0.964022703286649</v>
      </c>
      <c r="G19682" s="15" t="n">
        <f aca="false">1/(1+wacc)^Sens!G19680</f>
        <v>0.884910302296739</v>
      </c>
      <c r="H19682" s="15" t="n">
        <f aca="false">1/(1+wacc)^Sens!H19680</f>
        <v>0.802322009770358</v>
      </c>
      <c r="I19682" s="15" t="n">
        <f aca="false">1/(1+wacc)^Sens!I19680</f>
        <v>0.727441646561469</v>
      </c>
      <c r="J19682" s="15" t="n">
        <f aca="false">1/(1+wacc)^Sens!J19680</f>
        <v>0.659549834988973</v>
      </c>
      <c r="K19682" s="15" t="n">
        <f aca="false">1/(1+wacc)^Sens!K19680</f>
        <v>0.597994336576966</v>
      </c>
    </row>
    <row r="19683" customFormat="false" ht="17.15" hidden="false" customHeight="false" outlineLevel="0" collapsed="false">
      <c r="A19683" s="1" t="s">
        <v>1220</v>
      </c>
      <c r="B19683" s="0" t="s">
        <v>98</v>
      </c>
      <c r="F19683" s="6" t="n">
        <f aca="false">Q!$I$35-Q!$I$39-Q!$I$43</f>
        <v>9.666</v>
      </c>
      <c r="L19683" s="12" t="s">
        <v>1221</v>
      </c>
    </row>
    <row r="19684" customFormat="false" ht="17.15" hidden="false" customHeight="false" outlineLevel="0" collapsed="false">
      <c r="A19684" s="1" t="s">
        <v>1222</v>
      </c>
      <c r="B19684" s="0" t="s">
        <v>98</v>
      </c>
      <c r="F19684" s="6" t="n">
        <f aca="false">Sens!F19655-Sens!F19652-Sens!F19659+Sens!F19637*(1-tax_f)*(1-v_off)-Sens!F19683</f>
        <v>-5.64738176788289</v>
      </c>
      <c r="G19684" s="6" t="n">
        <f aca="false">Sens!G19655-Sens!G19652-Sens!G19659+Sens!G19637*(1-tax_f)</f>
        <v>35.647926397883</v>
      </c>
      <c r="H19684" s="6" t="n">
        <f aca="false">Sens!H19655-Sens!H19652-Sens!H19659+Sens!H19637*(1-tax_f)</f>
        <v>97.786161114177</v>
      </c>
      <c r="I19684" s="6" t="n">
        <f aca="false">Sens!I19655-Sens!I19652-Sens!I19659+Sens!I19637*(1-tax_f)</f>
        <v>183.462461150174</v>
      </c>
      <c r="J19684" s="6" t="n">
        <f aca="false">Sens!J19655-Sens!J19652-Sens!J19659+Sens!J19637*(1-tax_f)</f>
        <v>268.024353413922</v>
      </c>
      <c r="K19684" s="6" t="n">
        <f aca="false">Sens!K19655-Sens!K19652-Sens!K19659+Sens!K19637*(1-tax_f)</f>
        <v>310.036093845503</v>
      </c>
      <c r="L19684" s="1" t="s">
        <v>1223</v>
      </c>
    </row>
    <row r="19685" customFormat="false" ht="15" hidden="false" customHeight="false" outlineLevel="0" collapsed="false">
      <c r="A19685" s="1" t="s">
        <v>1224</v>
      </c>
      <c r="B19685" s="0" t="s">
        <v>98</v>
      </c>
      <c r="F19685" s="6" t="n">
        <f aca="false">Sens!F19684*Sens!F19682</f>
        <v>-5.4442042383662</v>
      </c>
      <c r="G19685" s="6" t="n">
        <f aca="false">Sens!G19684*Sens!G19682</f>
        <v>31.5452173250026</v>
      </c>
      <c r="H19685" s="6" t="n">
        <f aca="false">Sens!H19684*Sens!H19682</f>
        <v>78.4559893128545</v>
      </c>
      <c r="I19685" s="6" t="n">
        <f aca="false">Sens!I19684*Sens!I19682</f>
        <v>133.458234821302</v>
      </c>
      <c r="J19685" s="6" t="n">
        <f aca="false">Sens!J19684*Sens!J19682</f>
        <v>176.775418067178</v>
      </c>
      <c r="K19685" s="6" t="n">
        <f aca="false">Sens!K19684*Sens!K19682</f>
        <v>185.399828254055</v>
      </c>
    </row>
    <row r="19686" customFormat="false" ht="17.15" hidden="false" customHeight="false" outlineLevel="0" collapsed="false">
      <c r="A19686" s="1" t="s">
        <v>1225</v>
      </c>
      <c r="B19686" s="0" t="s">
        <v>98</v>
      </c>
      <c r="C19686" s="6" t="n">
        <f aca="false">SUM(Sens!F19685:K19685)</f>
        <v>600.190483542027</v>
      </c>
    </row>
    <row r="19687" customFormat="false" ht="17.15" hidden="false" customHeight="false" outlineLevel="0" collapsed="false">
      <c r="A19687" s="1" t="s">
        <v>1226</v>
      </c>
      <c r="B19687" s="0" t="s">
        <v>98</v>
      </c>
      <c r="C19687" s="6" t="n">
        <f aca="false">Sens!K19623*(1+g_tv)*(1-tax_f)</f>
        <v>322.311794796331</v>
      </c>
    </row>
    <row r="19688" customFormat="false" ht="17.15" hidden="false" customHeight="false" outlineLevel="0" collapsed="false">
      <c r="A19688" s="1" t="s">
        <v>1227</v>
      </c>
      <c r="B19688" s="0" t="s">
        <v>98</v>
      </c>
      <c r="C19688" s="6" t="n">
        <f aca="false">Sens!$C$19687*(1-g_tv/(wacc+ronic_prem))</f>
        <v>228.376744538058</v>
      </c>
    </row>
    <row r="19689" customFormat="false" ht="17.15" hidden="false" customHeight="false" outlineLevel="0" collapsed="false">
      <c r="A19689" s="1" t="s">
        <v>1228</v>
      </c>
      <c r="B19689" s="0" t="s">
        <v>98</v>
      </c>
      <c r="C19689" s="6" t="n">
        <f aca="false">Sens!$C$19688/(wacc-g_tv)</f>
        <v>3131.16834194242</v>
      </c>
    </row>
    <row r="19690" customFormat="false" ht="15" hidden="false" customHeight="false" outlineLevel="0" collapsed="false">
      <c r="A19690" s="1" t="s">
        <v>1229</v>
      </c>
      <c r="B19690" s="0" t="s">
        <v>98</v>
      </c>
      <c r="C19690" s="6" t="n">
        <f aca="false">Sens!$C$19689/(1+wacc)^Sens!K19681</f>
        <v>1782.90505264402</v>
      </c>
    </row>
    <row r="19691" customFormat="false" ht="17.15" hidden="false" customHeight="false" outlineLevel="0" collapsed="false">
      <c r="A19691" s="0" t="s">
        <v>1230</v>
      </c>
      <c r="B19691" s="0" t="s">
        <v>98</v>
      </c>
      <c r="C19691" s="6" t="n">
        <f aca="false">Sens!$C$19686+Sens!$C$19690</f>
        <v>2383.09553618605</v>
      </c>
    </row>
    <row r="19692" customFormat="false" ht="15" hidden="false" customHeight="false" outlineLevel="0" collapsed="false">
      <c r="A19692" s="1" t="s">
        <v>1145</v>
      </c>
      <c r="B19692" s="0" t="s">
        <v>168</v>
      </c>
      <c r="C19692" s="7" t="n">
        <f aca="false">Sens!$C$19690/Sens!$C$19691</f>
        <v>0.748146696417138</v>
      </c>
    </row>
    <row r="19693" customFormat="false" ht="17.15" hidden="false" customHeight="false" outlineLevel="0" collapsed="false">
      <c r="A19693" s="1" t="s">
        <v>1231</v>
      </c>
      <c r="B19693" s="0" t="s">
        <v>98</v>
      </c>
      <c r="C19693" s="6" t="n">
        <f aca="false">Sens!$C$19691+cash_val-debt_val-fl_val+oai_v</f>
        <v>2498.94653618605</v>
      </c>
    </row>
    <row r="19694" customFormat="false" ht="17.15" hidden="false" customHeight="false" outlineLevel="0" collapsed="false">
      <c r="A19694" s="0" t="s">
        <v>1153</v>
      </c>
      <c r="B19694" s="0" t="s">
        <v>75</v>
      </c>
      <c r="C19694" s="5" t="n">
        <f aca="false">Sens!$C$19693/shd_val</f>
        <v>335.609258150154</v>
      </c>
    </row>
    <row r="19695" customFormat="false" ht="15" hidden="false" customHeight="false" outlineLevel="0" collapsed="false">
      <c r="A19695" s="1" t="s">
        <v>1232</v>
      </c>
      <c r="B19695" s="0" t="s">
        <v>75</v>
      </c>
      <c r="C19695" s="8" t="n">
        <f aca="false">div_rem27+Sens!G19663*roll_div_q/q_per_yr</f>
        <v>3.9795</v>
      </c>
    </row>
    <row r="19696" customFormat="false" ht="17.15" hidden="false" customHeight="false" outlineLevel="0" collapsed="false">
      <c r="A19696" s="0" t="s">
        <v>1233</v>
      </c>
      <c r="B19696" s="0" t="s">
        <v>75</v>
      </c>
      <c r="C19696" s="5" t="n">
        <f aca="false">Sens!$C$19694*(1+wacc)^t_roll-Sens!$C$19695</f>
        <v>369.068921036226</v>
      </c>
    </row>
    <row r="19697" customFormat="false" ht="17.15" hidden="false" customHeight="false" outlineLevel="0" collapsed="false">
      <c r="A19697" s="1" t="s">
        <v>1234</v>
      </c>
      <c r="B19697" s="0" t="s">
        <v>168</v>
      </c>
      <c r="F19697" s="7" t="n">
        <f aca="false">Sens!F19649/(Sens!F19594-Sens!F19549)</f>
        <v>0.0685728593169069</v>
      </c>
      <c r="G19697" s="7" t="n">
        <f aca="false">Sens!G19649/(Sens!G19594-Sens!G19549)</f>
        <v>0.0653679819367311</v>
      </c>
      <c r="H19697" s="7" t="n">
        <f aca="false">Sens!H19649/(Sens!H19594-Sens!H19549)</f>
        <v>0.0636665625572436</v>
      </c>
      <c r="I19697" s="7" t="n">
        <f aca="false">Sens!I19649/(Sens!I19594-Sens!I19549)</f>
        <v>0.0633554549621121</v>
      </c>
      <c r="J19697" s="7" t="n">
        <f aca="false">Sens!J19649/(Sens!J19594-Sens!J19549)</f>
        <v>0.0640791693681986</v>
      </c>
      <c r="K19697" s="7" t="n">
        <f aca="false">Sens!K19649/(Sens!K19594-Sens!K19549)</f>
        <v>0.0653827281545746</v>
      </c>
    </row>
    <row r="19698" customFormat="false" ht="17.15" hidden="false" customHeight="false" outlineLevel="0" collapsed="false">
      <c r="A19698" s="0" t="s">
        <v>1235</v>
      </c>
      <c r="B19698" s="0" t="s">
        <v>98</v>
      </c>
      <c r="F19698" s="6" t="n">
        <f aca="false">Sens!F19579*(al_m365+Sens!F19697+sbc_r)</f>
        <v>84.5238006624817</v>
      </c>
      <c r="G19698" s="6" t="n">
        <f aca="false">Sens!G19579*(al_m365+Sens!G19697+sbc_r)</f>
        <v>98.9515615958531</v>
      </c>
      <c r="H19698" s="6" t="n">
        <f aca="false">Sens!H19579*(al_m365+Sens!H19697+sbc_r)</f>
        <v>113.544330050469</v>
      </c>
      <c r="I19698" s="6" t="n">
        <f aca="false">Sens!I19579*(al_m365+Sens!I19697+sbc_r)</f>
        <v>126.620108916964</v>
      </c>
      <c r="J19698" s="6" t="n">
        <f aca="false">Sens!J19579*(al_m365+Sens!J19697+sbc_r)</f>
        <v>137.993041874661</v>
      </c>
      <c r="K19698" s="6" t="n">
        <f aca="false">Sens!K19579*(al_m365+Sens!K19697+sbc_r)</f>
        <v>148.986363081024</v>
      </c>
      <c r="L19698" s="12" t="s">
        <v>1236</v>
      </c>
    </row>
    <row r="19699" customFormat="false" ht="17.15" hidden="false" customHeight="false" outlineLevel="0" collapsed="false">
      <c r="A19699" s="0" t="s">
        <v>1237</v>
      </c>
      <c r="B19699" s="0" t="s">
        <v>98</v>
      </c>
      <c r="F19699" s="6" t="n">
        <f aca="false">Sens!F19580*(al_lic+Sens!F19697+sbc_r)</f>
        <v>32.8559728414102</v>
      </c>
      <c r="G19699" s="6" t="n">
        <f aca="false">Sens!G19580*(al_lic+Sens!G19697+sbc_r)</f>
        <v>34.1190067304862</v>
      </c>
      <c r="H19699" s="6" t="n">
        <f aca="false">Sens!H19580*(al_lic+Sens!H19697+sbc_r)</f>
        <v>35.3025835232591</v>
      </c>
      <c r="I19699" s="6" t="n">
        <f aca="false">Sens!I19580*(al_lic+Sens!I19697+sbc_r)</f>
        <v>36.3897333125429</v>
      </c>
      <c r="J19699" s="6" t="n">
        <f aca="false">Sens!J19580*(al_lic+Sens!J19697+sbc_r)</f>
        <v>37.3525520786074</v>
      </c>
      <c r="K19699" s="6" t="n">
        <f aca="false">Sens!K19580*(al_lic+Sens!K19697+sbc_r)</f>
        <v>38.1579323077018</v>
      </c>
    </row>
    <row r="19700" customFormat="false" ht="17.15" hidden="false" customHeight="false" outlineLevel="0" collapsed="false">
      <c r="A19700" s="0" t="s">
        <v>1238</v>
      </c>
      <c r="B19700" s="0" t="s">
        <v>98</v>
      </c>
      <c r="F19700" s="6" t="n">
        <f aca="false">Sens!F19582*(al_ind+Sens!F19697+sbc_r)</f>
        <v>9.05937467630722</v>
      </c>
      <c r="G19700" s="6" t="n">
        <f aca="false">Sens!G19582*(al_ind+Sens!G19697+sbc_r)</f>
        <v>9.82483830704685</v>
      </c>
      <c r="H19700" s="6" t="n">
        <f aca="false">Sens!H19582*(al_ind+Sens!H19697+sbc_r)</f>
        <v>10.6378384188921</v>
      </c>
      <c r="I19700" s="6" t="n">
        <f aca="false">Sens!I19582*(al_ind+Sens!I19697+sbc_r)</f>
        <v>11.496556202028</v>
      </c>
      <c r="J19700" s="6" t="n">
        <f aca="false">Sens!J19582*(al_ind+Sens!J19697+sbc_r)</f>
        <v>12.3901121465905</v>
      </c>
      <c r="K19700" s="6" t="n">
        <f aca="false">Sens!K19582*(al_ind+Sens!K19697+sbc_r)</f>
        <v>13.3004672512533</v>
      </c>
    </row>
    <row r="19701" customFormat="false" ht="17.15" hidden="false" customHeight="false" outlineLevel="0" collapsed="false">
      <c r="A19701" s="0" t="s">
        <v>1239</v>
      </c>
      <c r="B19701" s="0" t="s">
        <v>98</v>
      </c>
      <c r="F19701" s="6" t="n">
        <f aca="false">Sens!F19584*(al_fro+Sens!F19697+sbc_r)</f>
        <v>3.55362063675795</v>
      </c>
      <c r="G19701" s="6" t="n">
        <f aca="false">Sens!G19584*(al_fro+Sens!G19697+sbc_r)</f>
        <v>3.7592710823621</v>
      </c>
      <c r="H19701" s="6" t="n">
        <f aca="false">Sens!H19584*(al_fro+Sens!H19697+sbc_r)</f>
        <v>3.99500760305306</v>
      </c>
      <c r="I19701" s="6" t="n">
        <f aca="false">Sens!I19584*(al_fro+Sens!I19697+sbc_r)</f>
        <v>4.26393447084671</v>
      </c>
      <c r="J19701" s="6" t="n">
        <f aca="false">Sens!J19584*(al_fro+Sens!J19697+sbc_r)</f>
        <v>4.56668601285287</v>
      </c>
      <c r="K19701" s="6" t="n">
        <f aca="false">Sens!K19584*(al_fro+Sens!K19697+sbc_r)</f>
        <v>4.9022201770321</v>
      </c>
    </row>
    <row r="19702" customFormat="false" ht="17.15" hidden="false" customHeight="false" outlineLevel="0" collapsed="false">
      <c r="A19702" s="0" t="s">
        <v>1240</v>
      </c>
      <c r="B19702" s="0" t="s">
        <v>98</v>
      </c>
      <c r="F19702" s="6" t="n">
        <f aca="false">Sens!F19587*(al_srch+Sens!F19697+sbc_r)</f>
        <v>11.1878030765315</v>
      </c>
      <c r="G19702" s="6" t="n">
        <f aca="false">Sens!G19587*(al_srch+Sens!G19697+sbc_r)</f>
        <v>12.2475869055863</v>
      </c>
      <c r="H19702" s="6" t="n">
        <f aca="false">Sens!H19587*(al_srch+Sens!H19697+sbc_r)</f>
        <v>13.3554095914936</v>
      </c>
      <c r="I19702" s="6" t="n">
        <f aca="false">Sens!I19587*(al_srch+Sens!I19697+sbc_r)</f>
        <v>14.5023185056221</v>
      </c>
      <c r="J19702" s="6" t="n">
        <f aca="false">Sens!J19587*(al_srch+Sens!J19697+sbc_r)</f>
        <v>15.6669556338066</v>
      </c>
      <c r="K19702" s="6" t="n">
        <f aca="false">Sens!K19587*(al_srch+Sens!K19697+sbc_r)</f>
        <v>16.8180745960096</v>
      </c>
    </row>
    <row r="19703" customFormat="false" ht="17.15" hidden="false" customHeight="false" outlineLevel="0" collapsed="false">
      <c r="A19703" s="0" t="s">
        <v>1241</v>
      </c>
      <c r="B19703" s="0" t="s">
        <v>98</v>
      </c>
      <c r="F19703" s="6" t="n">
        <f aca="false">Sens!F19555-Sens!F19556+Sens!F19637</f>
        <v>46.7965496265457</v>
      </c>
      <c r="G19703" s="6" t="n">
        <f aca="false">Sens!G19555-Sens!G19556+Sens!G19637</f>
        <v>94.6262788859804</v>
      </c>
      <c r="H19703" s="6" t="n">
        <f aca="false">Sens!H19555-Sens!H19556+Sens!H19637</f>
        <v>150.63079094676</v>
      </c>
      <c r="I19703" s="6" t="n">
        <f aca="false">Sens!I19555-Sens!I19556+Sens!I19637</f>
        <v>195.5083691719</v>
      </c>
      <c r="J19703" s="6" t="n">
        <f aca="false">Sens!J19555-Sens!J19556+Sens!J19637</f>
        <v>227.32515446815</v>
      </c>
      <c r="K19703" s="6" t="n">
        <f aca="false">Sens!K19555-Sens!K19556+Sens!K19637</f>
        <v>247.192886886968</v>
      </c>
    </row>
    <row r="19704" customFormat="false" ht="17.15" hidden="false" customHeight="false" outlineLevel="0" collapsed="false">
      <c r="A19704" s="0" t="s">
        <v>1242</v>
      </c>
      <c r="B19704" s="0" t="s">
        <v>98</v>
      </c>
      <c r="F19704" s="6" t="n">
        <f aca="false">Sens!F19616+Sens!F19637+Sens!F19567+Sens!F19697*(Sens!F19586-Sens!F19549)+sbc_r*Sens!F19586</f>
        <v>242.098377794697</v>
      </c>
      <c r="G19704" s="6" t="n">
        <f aca="false">Sens!G19616+Sens!G19637+Sens!G19567+Sens!G19697*(Sens!G19586-Sens!G19549)+sbc_r*Sens!G19586</f>
        <v>315.368164028707</v>
      </c>
      <c r="H19704" s="6" t="n">
        <f aca="false">Sens!H19616+Sens!H19637+Sens!H19567+Sens!H19697*(Sens!H19586-Sens!H19549)+sbc_r*Sens!H19586</f>
        <v>401.439392356386</v>
      </c>
      <c r="I19704" s="6" t="n">
        <f aca="false">Sens!I19616+Sens!I19637+Sens!I19567+Sens!I19697*(Sens!I19586-Sens!I19549)+sbc_r*Sens!I19586</f>
        <v>474.286762460452</v>
      </c>
      <c r="J19704" s="6" t="n">
        <f aca="false">Sens!J19616+Sens!J19637+Sens!J19567+Sens!J19697*(Sens!J19586-Sens!J19549)+sbc_r*Sens!J19586</f>
        <v>531.087346358504</v>
      </c>
      <c r="K19704" s="6" t="n">
        <f aca="false">Sens!K19616+Sens!K19637+Sens!K19567+Sens!K19697*(Sens!K19586-Sens!K19549)+sbc_r*Sens!K19586</f>
        <v>573.510646550577</v>
      </c>
    </row>
    <row r="19705" customFormat="false" ht="17.15" hidden="false" customHeight="false" outlineLevel="0" collapsed="false">
      <c r="A19705" s="0" t="s">
        <v>1243</v>
      </c>
      <c r="B19705" s="0" t="s">
        <v>98</v>
      </c>
      <c r="F19705" s="6" t="n">
        <f aca="false">Sens!F19704-Sens!F19698-Sens!F19699-Sens!F19700-Sens!F19701-Sens!F19703</f>
        <v>65.3090593511945</v>
      </c>
      <c r="G19705" s="6" t="n">
        <f aca="false">Sens!G19704-Sens!G19698-Sens!G19699-Sens!G19700-Sens!G19701-Sens!G19703</f>
        <v>74.0872074269784</v>
      </c>
      <c r="H19705" s="6" t="n">
        <f aca="false">Sens!H19704-Sens!H19698-Sens!H19699-Sens!H19700-Sens!H19701-Sens!H19703</f>
        <v>87.328841813952</v>
      </c>
      <c r="I19705" s="6" t="n">
        <f aca="false">Sens!I19704-Sens!I19698-Sens!I19699-Sens!I19700-Sens!I19701-Sens!I19703</f>
        <v>100.008060386171</v>
      </c>
      <c r="J19705" s="6" t="n">
        <f aca="false">Sens!J19704-Sens!J19698-Sens!J19699-Sens!J19700-Sens!J19701-Sens!J19703</f>
        <v>111.459799777642</v>
      </c>
      <c r="K19705" s="6" t="n">
        <f aca="false">Sens!K19704-Sens!K19698-Sens!K19699-Sens!K19700-Sens!K19701-Sens!K19703</f>
        <v>120.970776846598</v>
      </c>
    </row>
    <row r="19706" customFormat="false" ht="17.15" hidden="false" customHeight="false" outlineLevel="0" collapsed="false">
      <c r="A19706" s="0" t="s">
        <v>1244</v>
      </c>
      <c r="B19706" s="0" t="s">
        <v>98</v>
      </c>
      <c r="F19706" s="6" t="n">
        <f aca="false">Sens!F19618+Sens!F19697*Sens!F19593+sbc_r*Sens!F19593</f>
        <v>26.6306331711172</v>
      </c>
      <c r="G19706" s="6" t="n">
        <f aca="false">Sens!G19618+Sens!G19697*Sens!G19593+sbc_r*Sens!G19593</f>
        <v>26.4412429104887</v>
      </c>
      <c r="H19706" s="6" t="n">
        <f aca="false">Sens!H19618+Sens!H19697*Sens!H19593+sbc_r*Sens!H19593</f>
        <v>27.2971128207807</v>
      </c>
      <c r="I19706" s="6" t="n">
        <f aca="false">Sens!I19618+Sens!I19697*Sens!I19593+sbc_r*Sens!I19593</f>
        <v>28.3993567399156</v>
      </c>
      <c r="J19706" s="6" t="n">
        <f aca="false">Sens!J19618+Sens!J19697*Sens!J19593+sbc_r*Sens!J19593</f>
        <v>29.7087235402401</v>
      </c>
      <c r="K19706" s="6" t="n">
        <f aca="false">Sens!K19618+Sens!K19697*Sens!K19593+sbc_r*Sens!K19593</f>
        <v>31.1807228361898</v>
      </c>
    </row>
    <row r="19707" customFormat="false" ht="17.15" hidden="false" customHeight="false" outlineLevel="0" collapsed="false">
      <c r="A19707" s="0" t="s">
        <v>1245</v>
      </c>
      <c r="B19707" s="0" t="s">
        <v>98</v>
      </c>
      <c r="F19707" s="6" t="n">
        <f aca="false">(Sens!F19706-Sens!F19702)*Sens!F19589/(Sens!F19589+Sens!F19591)</f>
        <v>8.72188680216675</v>
      </c>
      <c r="G19707" s="6" t="n">
        <f aca="false">(Sens!G19706-Sens!G19702)*Sens!G19589/(Sens!G19589+Sens!G19591)</f>
        <v>7.87859970214707</v>
      </c>
      <c r="H19707" s="6" t="n">
        <f aca="false">(Sens!H19706-Sens!H19702)*Sens!H19589/(Sens!H19589+Sens!H19591)</f>
        <v>7.63793307195456</v>
      </c>
      <c r="I19707" s="6" t="n">
        <f aca="false">(Sens!I19706-Sens!I19702)*Sens!I19589/(Sens!I19589+Sens!I19591)</f>
        <v>7.54700968225412</v>
      </c>
      <c r="J19707" s="6" t="n">
        <f aca="false">(Sens!J19706-Sens!J19702)*Sens!J19589/(Sens!J19589+Sens!J19591)</f>
        <v>7.5923372893708</v>
      </c>
      <c r="K19707" s="6" t="n">
        <f aca="false">(Sens!K19706-Sens!K19702)*Sens!K19589/(Sens!K19589+Sens!K19591)</f>
        <v>7.76583622052848</v>
      </c>
    </row>
    <row r="19708" customFormat="false" ht="17.15" hidden="false" customHeight="false" outlineLevel="0" collapsed="false">
      <c r="A19708" s="0" t="s">
        <v>1246</v>
      </c>
      <c r="B19708" s="0" t="s">
        <v>98</v>
      </c>
      <c r="F19708" s="6" t="n">
        <f aca="false">Sens!F19706-Sens!F19702-Sens!F19707</f>
        <v>6.72094329241894</v>
      </c>
      <c r="G19708" s="6" t="n">
        <f aca="false">Sens!G19706-Sens!G19702-Sens!G19707</f>
        <v>6.31505630275532</v>
      </c>
      <c r="H19708" s="6" t="n">
        <f aca="false">Sens!H19706-Sens!H19702-Sens!H19707</f>
        <v>6.30377015733255</v>
      </c>
      <c r="I19708" s="6" t="n">
        <f aca="false">Sens!I19706-Sens!I19702-Sens!I19707</f>
        <v>6.35002855203942</v>
      </c>
      <c r="J19708" s="6" t="n">
        <f aca="false">Sens!J19706-Sens!J19702-Sens!J19707</f>
        <v>6.44943061706273</v>
      </c>
      <c r="K19708" s="6" t="n">
        <f aca="false">Sens!K19706-Sens!K19702-Sens!K19707</f>
        <v>6.5968120196517</v>
      </c>
    </row>
    <row r="19709" customFormat="false" ht="17.15" hidden="false" customHeight="false" outlineLevel="0" collapsed="false">
      <c r="A19709" s="0" t="s">
        <v>1247</v>
      </c>
      <c r="B19709" s="0" t="s">
        <v>98</v>
      </c>
      <c r="F19709" s="6" t="n">
        <f aca="false">Sens!F19703-tax_f*(Sens!F19703-Sens!F19567)-Sens!F19564</f>
        <v>-129.654372271143</v>
      </c>
      <c r="G19709" s="6" t="n">
        <f aca="false">Sens!G19703-tax_f*(Sens!G19703-Sens!G19567)-Sens!G19564</f>
        <v>-109.915754595879</v>
      </c>
      <c r="H19709" s="6" t="n">
        <f aca="false">Sens!H19703-tax_f*(Sens!H19703-Sens!H19567)-Sens!H19564</f>
        <v>-64.096910756678</v>
      </c>
      <c r="I19709" s="6" t="n">
        <f aca="false">Sens!I19703-tax_f*(Sens!I19703-Sens!I19567)-Sens!I19564</f>
        <v>5.89717060907674</v>
      </c>
      <c r="J19709" s="6" t="n">
        <f aca="false">Sens!J19703-tax_f*(Sens!J19703-Sens!J19567)-Sens!J19564</f>
        <v>75.8880151310684</v>
      </c>
      <c r="K19709" s="6" t="n">
        <f aca="false">Sens!K19703-tax_f*(Sens!K19703-Sens!K19567)-Sens!K19564</f>
        <v>104.113704773379</v>
      </c>
    </row>
    <row r="19710" customFormat="false" ht="17.15" hidden="false" customHeight="false" outlineLevel="0" collapsed="false">
      <c r="A19710" s="0" t="s">
        <v>1248</v>
      </c>
      <c r="B19710" s="0" t="s">
        <v>98</v>
      </c>
      <c r="G19710" s="6" t="n">
        <f aca="false">Sens!G19709/(1+wacc)^(Sens!G19680-Sens!F19681)</f>
        <v>-104.660950181842</v>
      </c>
      <c r="H19710" s="6" t="n">
        <f aca="false">Sens!H19709/(1+wacc)^(Sens!H19680-Sens!F19681)</f>
        <v>-55.3364482859468</v>
      </c>
      <c r="I19710" s="6" t="n">
        <f aca="false">Sens!I19709/(1+wacc)^(Sens!I19680-Sens!F19681)</f>
        <v>4.6160162570055</v>
      </c>
      <c r="J19710" s="6" t="n">
        <f aca="false">Sens!J19709/(1+wacc)^(Sens!J19680-Sens!F19681)</f>
        <v>53.8575119036097</v>
      </c>
      <c r="K19710" s="6" t="n">
        <f aca="false">Sens!K19709/(1+wacc)^(Sens!K19680-Sens!F19681)</f>
        <v>66.993157572771</v>
      </c>
      <c r="L19710" s="1" t="s">
        <v>1249</v>
      </c>
    </row>
    <row r="19711" customFormat="false" ht="17.15" hidden="false" customHeight="false" outlineLevel="0" collapsed="false">
      <c r="A19711" s="0" t="s">
        <v>1250</v>
      </c>
      <c r="B19711" s="0" t="s">
        <v>98</v>
      </c>
      <c r="C19711" s="6" t="n">
        <f aca="false">(Sens!K19703-Sens!K19567)*(1-tax_f)*(1+g_tv)*(1-g_tv/(wacc+ronic_prem))/(wacc-g_tv)/(1+wacc)^(Sens!K19681-Sens!F19681)</f>
        <v>486.667825054508</v>
      </c>
    </row>
    <row r="19712" customFormat="false" ht="17.15" hidden="false" customHeight="false" outlineLevel="0" collapsed="false">
      <c r="A19712" s="1" t="s">
        <v>1251</v>
      </c>
      <c r="B19712" s="0" t="s">
        <v>98</v>
      </c>
      <c r="C19712" s="6" t="n">
        <f aca="false">(SUM(Sens!G19710:K19710)+Sens!$C$19711)*(1+wacc)^(t_roll-Sens!F19681)</f>
        <v>467.063525761911</v>
      </c>
      <c r="L19712" s="12" t="s">
        <v>1252</v>
      </c>
    </row>
    <row r="19713" customFormat="false" ht="17.15" hidden="false" customHeight="false" outlineLevel="0" collapsed="false">
      <c r="A19713" s="1" t="s">
        <v>1253</v>
      </c>
      <c r="B19713" s="0" t="s">
        <v>98</v>
      </c>
      <c r="C19713" s="6" t="n">
        <f aca="false">(w_ntm28*Sens!G19555+(1-w_ntm28)*Sens!H19555)*m_ai</f>
        <v>582.206205146642</v>
      </c>
    </row>
    <row r="19714" customFormat="false" ht="17.15" hidden="false" customHeight="false" outlineLevel="0" collapsed="false">
      <c r="A19714" s="1" t="s">
        <v>1254</v>
      </c>
      <c r="B19714" s="0" t="s">
        <v>98</v>
      </c>
      <c r="C19714" s="6" t="n">
        <f aca="false">(w_ntm28*Sens!G19705+(1-w_ntm28)*Sens!H19705)*m_cloud</f>
        <v>1084.04938874319</v>
      </c>
    </row>
    <row r="19715" customFormat="false" ht="17.15" hidden="false" customHeight="false" outlineLevel="0" collapsed="false">
      <c r="A19715" s="1" t="s">
        <v>1255</v>
      </c>
      <c r="B19715" s="0" t="s">
        <v>98</v>
      </c>
      <c r="C19715" s="6" t="n">
        <f aca="false">(w_ntm28*Sens!G19698+(1-w_ntm28)*Sens!H19698)*m_sw</f>
        <v>1120.49118829599</v>
      </c>
    </row>
    <row r="19716" customFormat="false" ht="17.15" hidden="false" customHeight="false" outlineLevel="0" collapsed="false">
      <c r="A19716" s="1" t="s">
        <v>1256</v>
      </c>
      <c r="B19716" s="0" t="s">
        <v>98</v>
      </c>
      <c r="C19716" s="6" t="n">
        <f aca="false">(w_ntm28*Sens!G19699+(1-w_ntm28)*Sens!H19699)*m_sw</f>
        <v>372.687780972631</v>
      </c>
    </row>
    <row r="19717" customFormat="false" ht="17.15" hidden="false" customHeight="false" outlineLevel="0" collapsed="false">
      <c r="A19717" s="1" t="s">
        <v>1257</v>
      </c>
      <c r="B19717" s="0" t="s">
        <v>98</v>
      </c>
      <c r="C19717" s="6" t="n">
        <f aca="false">(w_ntm28*Sens!G19700+(1-w_ntm28)*Sens!H19700)*m_sw</f>
        <v>108.994960962548</v>
      </c>
    </row>
    <row r="19718" customFormat="false" ht="17.15" hidden="false" customHeight="false" outlineLevel="0" collapsed="false">
      <c r="A19718" s="1" t="s">
        <v>1258</v>
      </c>
      <c r="B19718" s="0" t="s">
        <v>98</v>
      </c>
      <c r="C19718" s="6" t="n">
        <f aca="false">(w_ntm28*Sens!G19701+(1-w_ntm28)*Sens!H19701)*m_sw</f>
        <v>41.4371538013339</v>
      </c>
    </row>
    <row r="19719" customFormat="false" ht="17.15" hidden="false" customHeight="false" outlineLevel="0" collapsed="false">
      <c r="A19719" s="1" t="s">
        <v>1259</v>
      </c>
      <c r="B19719" s="0" t="s">
        <v>98</v>
      </c>
      <c r="C19719" s="6" t="n">
        <f aca="false">(w_ntm28*Sens!G19702+(1-w_ntm28)*Sens!H19702)*m_ads</f>
        <v>114.89352153245</v>
      </c>
    </row>
    <row r="19720" customFormat="false" ht="17.15" hidden="false" customHeight="false" outlineLevel="0" collapsed="false">
      <c r="A19720" s="1" t="s">
        <v>1260</v>
      </c>
      <c r="B19720" s="0" t="s">
        <v>98</v>
      </c>
      <c r="C19720" s="6" t="n">
        <f aca="false">(w_ntm28*Sens!G19707+(1-w_ntm28)*Sens!H19707)*m_game</f>
        <v>98.5073872662825</v>
      </c>
    </row>
    <row r="19721" customFormat="false" ht="17.15" hidden="false" customHeight="false" outlineLevel="0" collapsed="false">
      <c r="A19721" s="1" t="s">
        <v>1261</v>
      </c>
      <c r="B19721" s="0" t="s">
        <v>98</v>
      </c>
      <c r="C19721" s="6" t="n">
        <f aca="false">(w_ntm28*Sens!G19708+(1-w_ntm28)*Sens!H19708)*m_pc</f>
        <v>91.3251735696035</v>
      </c>
    </row>
    <row r="19722" customFormat="false" ht="17.15" hidden="false" customHeight="false" outlineLevel="0" collapsed="false">
      <c r="A19722" s="1" t="s">
        <v>1262</v>
      </c>
      <c r="B19722" s="0" t="s">
        <v>98</v>
      </c>
      <c r="C19722" s="6" t="n">
        <f aca="false">Sens!$C$19712+Sens!$C$19714+Sens!$C$19715+Sens!$C$19716+Sens!$C$19717+Sens!$C$19718+Sens!$C$19719+Sens!$C$19720+Sens!$C$19721</f>
        <v>3499.45008090594</v>
      </c>
    </row>
    <row r="19723" customFormat="false" ht="17.15" hidden="false" customHeight="false" outlineLevel="0" collapsed="false">
      <c r="A19723" s="1" t="s">
        <v>1263</v>
      </c>
      <c r="B19723" s="0" t="s">
        <v>98</v>
      </c>
      <c r="C19723" s="6" t="n">
        <f aca="false">(Sens!G19684-Sens!G19709)*t_stub</f>
        <v>48.2553572609456</v>
      </c>
      <c r="L19723" s="1" t="s">
        <v>1264</v>
      </c>
    </row>
    <row r="19724" customFormat="false" ht="17.15" hidden="false" customHeight="false" outlineLevel="0" collapsed="false">
      <c r="A19724" s="1" t="s">
        <v>1173</v>
      </c>
      <c r="B19724" s="0" t="s">
        <v>98</v>
      </c>
      <c r="C19724" s="6" t="n">
        <f aca="false">Sens!F19671+oai_v-Sens!F19660+Sens!$C$19723</f>
        <v>160.988271506868</v>
      </c>
      <c r="L19724" s="1" t="s">
        <v>1265</v>
      </c>
    </row>
    <row r="19725" customFormat="false" ht="17.15" hidden="false" customHeight="false" outlineLevel="0" collapsed="false">
      <c r="A19725" s="1" t="s">
        <v>1266</v>
      </c>
      <c r="B19725" s="0" t="s">
        <v>75</v>
      </c>
      <c r="C19725" s="5" t="n">
        <f aca="false">(Sens!$C$19722+Sens!$C$19724)/(Sens!F19673+dil_gap)-Sens!G19663*roll_div_q/q_per_yr</f>
        <v>487.279383726361</v>
      </c>
      <c r="L19725" s="1" t="s">
        <v>1267</v>
      </c>
    </row>
    <row r="19726" customFormat="false" ht="17.15" hidden="false" customHeight="false" outlineLevel="0" collapsed="false">
      <c r="A19726" s="1" t="s">
        <v>1268</v>
      </c>
      <c r="B19726" s="0" t="s">
        <v>75</v>
      </c>
      <c r="C19726" s="5" t="n">
        <f aca="false">w_dcf*Sens!$C$19696+(1-w_dcf)*Sens!$C$19725</f>
        <v>428.174152381294</v>
      </c>
    </row>
    <row r="19727" customFormat="false" ht="17.15" hidden="false" customHeight="false" outlineLevel="0" collapsed="false">
      <c r="A19727" s="3" t="s">
        <v>2099</v>
      </c>
    </row>
    <row r="19728" customFormat="false" ht="15" hidden="false" customHeight="false" outlineLevel="0" collapsed="false">
      <c r="A19728" s="4" t="s">
        <v>43</v>
      </c>
      <c r="B19728" s="4" t="s">
        <v>65</v>
      </c>
      <c r="C19728" s="23" t="s">
        <v>942</v>
      </c>
      <c r="D19728" s="23" t="s">
        <v>943</v>
      </c>
      <c r="E19728" s="23" t="s">
        <v>944</v>
      </c>
      <c r="F19728" s="23" t="s">
        <v>945</v>
      </c>
      <c r="G19728" s="23" t="s">
        <v>946</v>
      </c>
      <c r="H19728" s="23" t="s">
        <v>947</v>
      </c>
      <c r="I19728" s="23" t="s">
        <v>948</v>
      </c>
      <c r="J19728" s="23" t="s">
        <v>949</v>
      </c>
      <c r="K19728" s="23" t="s">
        <v>950</v>
      </c>
      <c r="L19728" s="4" t="s">
        <v>47</v>
      </c>
    </row>
    <row r="19729" customFormat="false" ht="17.15" hidden="false" customHeight="false" outlineLevel="0" collapsed="false">
      <c r="A19729" s="1" t="s">
        <v>951</v>
      </c>
      <c r="B19729" s="1" t="s">
        <v>279</v>
      </c>
      <c r="C19729" s="21" t="n">
        <v>2024</v>
      </c>
      <c r="D19729" s="21" t="n">
        <v>2025</v>
      </c>
      <c r="E19729" s="21" t="n">
        <v>2026</v>
      </c>
      <c r="F19729" s="21" t="n">
        <v>2027</v>
      </c>
      <c r="G19729" s="21" t="n">
        <v>2028</v>
      </c>
      <c r="H19729" s="21" t="n">
        <v>2029</v>
      </c>
      <c r="I19729" s="21" t="n">
        <v>2030</v>
      </c>
      <c r="J19729" s="21" t="n">
        <v>2031</v>
      </c>
      <c r="K19729" s="21" t="n">
        <v>2032</v>
      </c>
    </row>
    <row r="19730" customFormat="false" ht="17.15" hidden="false" customHeight="false" outlineLevel="0" collapsed="false">
      <c r="A19730" s="1" t="s">
        <v>952</v>
      </c>
      <c r="B19730" s="0" t="s">
        <v>459</v>
      </c>
      <c r="F19730" s="30" t="n">
        <f aca="false">pace</f>
        <v>2726.5351</v>
      </c>
      <c r="G19730" s="30" t="n">
        <f aca="false">pace</f>
        <v>2726.5351</v>
      </c>
      <c r="H19730" s="30" t="n">
        <f aca="false">pace</f>
        <v>2726.5351</v>
      </c>
      <c r="I19730" s="30" t="n">
        <f aca="false">pace+(g_tv*Sens!H19731-pace)*MIN(1,(Sens!I19729-pace_y0)/(pace_y1-pace_y0))</f>
        <v>1931.98611966667</v>
      </c>
      <c r="J19730" s="30" t="n">
        <f aca="false">pace+(g_tv*Sens!I19731-pace)*MIN(1,(Sens!J19729-pace_y0)/(pace_y1-pace_y0))</f>
        <v>1176.07686172667</v>
      </c>
      <c r="K19730" s="30" t="n">
        <f aca="false">pace+(g_tv*Sens!J19731-pace)*MIN(1,(Sens!K19729-pace_y0)/(pace_y1-pace_y0))</f>
        <v>436.1300484418</v>
      </c>
      <c r="L19730" s="12" t="s">
        <v>953</v>
      </c>
    </row>
    <row r="19731" customFormat="false" ht="17.15" hidden="false" customHeight="false" outlineLevel="0" collapsed="false">
      <c r="A19731" s="1" t="s">
        <v>954</v>
      </c>
      <c r="B19731" s="0" t="s">
        <v>459</v>
      </c>
      <c r="C19731" s="30" t="n">
        <f aca="false">mw_ext_24</f>
        <v>640</v>
      </c>
      <c r="D19731" s="30" t="n">
        <f aca="false">mw_ext_25</f>
        <v>1630</v>
      </c>
      <c r="E19731" s="30" t="n">
        <f aca="false">mw_ext_26</f>
        <v>3250</v>
      </c>
      <c r="F19731" s="30" t="n">
        <f aca="false">Sens!E19731+Sens!F19730</f>
        <v>5976.5351</v>
      </c>
      <c r="G19731" s="30" t="n">
        <f aca="false">Sens!F19731+Sens!G19730</f>
        <v>8703.0702</v>
      </c>
      <c r="H19731" s="30" t="n">
        <f aca="false">Sens!G19731+Sens!H19730</f>
        <v>11429.6053</v>
      </c>
      <c r="I19731" s="30" t="n">
        <f aca="false">Sens!H19731+Sens!I19730</f>
        <v>13361.5914196667</v>
      </c>
      <c r="J19731" s="30" t="n">
        <f aca="false">Sens!I19731+Sens!J19730</f>
        <v>14537.6682813933</v>
      </c>
      <c r="K19731" s="30" t="n">
        <f aca="false">Sens!J19731+Sens!K19730</f>
        <v>14973.7983298351</v>
      </c>
      <c r="L19731" s="1" t="s">
        <v>955</v>
      </c>
    </row>
    <row r="19732" customFormat="false" ht="17.15" hidden="false" customHeight="false" outlineLevel="0" collapsed="false">
      <c r="A19732" s="1" t="s">
        <v>956</v>
      </c>
      <c r="B19732" s="0" t="s">
        <v>459</v>
      </c>
      <c r="C19732" s="30" t="n">
        <f aca="false">rent_ext_24</f>
        <v>150</v>
      </c>
      <c r="D19732" s="30" t="n">
        <f aca="false">rent_ext_25</f>
        <v>400</v>
      </c>
      <c r="E19732" s="30" t="n">
        <f aca="false">rent_ext_26</f>
        <v>550</v>
      </c>
      <c r="F19732" s="30" t="n">
        <f aca="false">rent_ext_f</f>
        <v>756</v>
      </c>
      <c r="G19732" s="30" t="n">
        <f aca="false">rent_ext_f</f>
        <v>756</v>
      </c>
      <c r="H19732" s="30" t="n">
        <f aca="false">rent_ext_f</f>
        <v>756</v>
      </c>
      <c r="I19732" s="30" t="n">
        <f aca="false">rent_ext_f</f>
        <v>756</v>
      </c>
      <c r="J19732" s="30" t="n">
        <f aca="false">rent_ext_f</f>
        <v>756</v>
      </c>
      <c r="K19732" s="30" t="n">
        <f aca="false">rent_ext_f</f>
        <v>756</v>
      </c>
      <c r="L19732" s="1" t="s">
        <v>957</v>
      </c>
    </row>
    <row r="19733" customFormat="false" ht="17.15" hidden="false" customHeight="false" outlineLevel="0" collapsed="false">
      <c r="A19733" s="1" t="s">
        <v>958</v>
      </c>
      <c r="B19733" s="0" t="s">
        <v>459</v>
      </c>
      <c r="C19733" s="30" t="n">
        <f aca="false">Sens!C19731-Sens!C19732</f>
        <v>490</v>
      </c>
      <c r="D19733" s="30" t="n">
        <f aca="false">Sens!D19731-Sens!D19732</f>
        <v>1230</v>
      </c>
      <c r="E19733" s="30" t="n">
        <f aca="false">Sens!E19731-Sens!E19732</f>
        <v>2700</v>
      </c>
      <c r="F19733" s="30" t="n">
        <f aca="false">Sens!F19731-Sens!F19732</f>
        <v>5220.5351</v>
      </c>
      <c r="G19733" s="30" t="n">
        <f aca="false">Sens!G19731-Sens!G19732</f>
        <v>7947.0702</v>
      </c>
      <c r="H19733" s="30" t="n">
        <f aca="false">Sens!H19731-Sens!H19732</f>
        <v>10673.6053</v>
      </c>
      <c r="I19733" s="30" t="n">
        <f aca="false">Sens!I19731-Sens!I19732</f>
        <v>12605.5914196667</v>
      </c>
      <c r="J19733" s="30" t="n">
        <f aca="false">Sens!J19731-Sens!J19732</f>
        <v>13781.6682813933</v>
      </c>
      <c r="K19733" s="30" t="n">
        <f aca="false">Sens!K19731-Sens!K19732</f>
        <v>14217.7983298351</v>
      </c>
    </row>
    <row r="19734" customFormat="false" ht="17.15" hidden="false" customHeight="false" outlineLevel="0" collapsed="false">
      <c r="A19734" s="1" t="s">
        <v>959</v>
      </c>
      <c r="B19734" s="0" t="s">
        <v>459</v>
      </c>
      <c r="C19734" s="30" t="n">
        <f aca="false">Sens!C19733/ext_sh</f>
        <v>816.666666666667</v>
      </c>
      <c r="D19734" s="30" t="n">
        <f aca="false">Sens!D19733/ext_sh</f>
        <v>2050</v>
      </c>
      <c r="E19734" s="30" t="n">
        <f aca="false">Sens!E19733/ext_sh</f>
        <v>4500</v>
      </c>
      <c r="F19734" s="30" t="n">
        <f aca="false">Sens!F19733/ext_sh</f>
        <v>8700.89183333333</v>
      </c>
      <c r="G19734" s="30" t="n">
        <f aca="false">Sens!G19733/ext_sh</f>
        <v>13245.117</v>
      </c>
      <c r="H19734" s="30" t="n">
        <f aca="false">Sens!H19733/ext_sh</f>
        <v>17789.3421666667</v>
      </c>
      <c r="I19734" s="30" t="n">
        <f aca="false">Sens!I19733/ext_sh</f>
        <v>21009.3190327778</v>
      </c>
      <c r="J19734" s="30" t="n">
        <f aca="false">Sens!J19733/ext_sh</f>
        <v>22969.4471356556</v>
      </c>
      <c r="K19734" s="30" t="n">
        <f aca="false">Sens!K19733/ext_sh</f>
        <v>23696.3305497252</v>
      </c>
      <c r="L19734" s="1" t="s">
        <v>960</v>
      </c>
    </row>
    <row r="19735" customFormat="false" ht="17.15" hidden="false" customHeight="false" outlineLevel="0" collapsed="false">
      <c r="A19735" s="1" t="s">
        <v>961</v>
      </c>
      <c r="B19735" s="0" t="s">
        <v>459</v>
      </c>
      <c r="C19735" s="30" t="n">
        <f aca="false">Sens!C19734-Sens!C19733</f>
        <v>326.666666666667</v>
      </c>
      <c r="D19735" s="30" t="n">
        <f aca="false">Sens!D19734-Sens!D19733</f>
        <v>820</v>
      </c>
      <c r="E19735" s="30" t="n">
        <f aca="false">Sens!E19734-Sens!E19733</f>
        <v>1800</v>
      </c>
      <c r="F19735" s="30" t="n">
        <f aca="false">Sens!F19734-Sens!F19733</f>
        <v>3480.35673333333</v>
      </c>
      <c r="G19735" s="30" t="n">
        <f aca="false">Sens!G19734-Sens!G19733</f>
        <v>5298.0468</v>
      </c>
      <c r="H19735" s="30" t="n">
        <f aca="false">Sens!H19734-Sens!H19733</f>
        <v>7115.73686666667</v>
      </c>
      <c r="I19735" s="30" t="n">
        <f aca="false">Sens!I19734-Sens!I19733</f>
        <v>8403.72761311111</v>
      </c>
      <c r="J19735" s="30" t="n">
        <f aca="false">Sens!J19734-Sens!J19733</f>
        <v>9187.77885426222</v>
      </c>
      <c r="K19735" s="30" t="n">
        <f aca="false">Sens!K19734-Sens!K19733</f>
        <v>9478.53221989009</v>
      </c>
    </row>
    <row r="19736" customFormat="false" ht="17.15" hidden="false" customHeight="false" outlineLevel="0" collapsed="false">
      <c r="A19736" s="1" t="s">
        <v>962</v>
      </c>
      <c r="B19736" s="0" t="s">
        <v>459</v>
      </c>
      <c r="C19736" s="30" t="n">
        <f aca="false">Sens!C19734</f>
        <v>816.666666666667</v>
      </c>
      <c r="D19736" s="30" t="n">
        <f aca="false">Sens!D19734-Sens!C19734</f>
        <v>1233.33333333333</v>
      </c>
      <c r="E19736" s="30" t="n">
        <f aca="false">Sens!E19734-Sens!D19734</f>
        <v>2450</v>
      </c>
      <c r="F19736" s="30" t="n">
        <f aca="false">Sens!F19734-Sens!E19734</f>
        <v>4200.89183333333</v>
      </c>
      <c r="G19736" s="30" t="n">
        <f aca="false">Sens!G19734-Sens!F19734</f>
        <v>4544.22516666667</v>
      </c>
      <c r="H19736" s="30" t="n">
        <f aca="false">Sens!H19734-Sens!G19734</f>
        <v>4544.22516666667</v>
      </c>
      <c r="I19736" s="30" t="n">
        <f aca="false">Sens!I19734-Sens!H19734</f>
        <v>3219.97686611111</v>
      </c>
      <c r="J19736" s="30" t="n">
        <f aca="false">Sens!J19734-Sens!I19734</f>
        <v>1960.12810287778</v>
      </c>
      <c r="K19736" s="30" t="n">
        <f aca="false">Sens!K19734-Sens!J19734</f>
        <v>726.883414069667</v>
      </c>
    </row>
    <row r="19737" customFormat="false" ht="17.15" hidden="false" customHeight="false" outlineLevel="0" collapsed="false">
      <c r="A19737" s="1" t="s">
        <v>963</v>
      </c>
      <c r="B19737" s="0" t="s">
        <v>459</v>
      </c>
      <c r="D19737" s="30" t="n">
        <f aca="false">Sens!D19731-Sens!C19731</f>
        <v>990</v>
      </c>
      <c r="E19737" s="30" t="n">
        <f aca="false">Sens!E19731-Sens!D19731</f>
        <v>1620</v>
      </c>
      <c r="F19737" s="30" t="n">
        <f aca="false">Sens!F19731-Sens!E19731</f>
        <v>2726.5351</v>
      </c>
      <c r="G19737" s="30" t="n">
        <f aca="false">Sens!G19731-Sens!F19731</f>
        <v>2726.5351</v>
      </c>
      <c r="H19737" s="30" t="n">
        <f aca="false">Sens!H19731-Sens!G19731</f>
        <v>2726.5351</v>
      </c>
      <c r="I19737" s="30" t="n">
        <f aca="false">Sens!I19731-Sens!H19731</f>
        <v>1931.98611966667</v>
      </c>
      <c r="J19737" s="30" t="n">
        <f aca="false">Sens!J19731-Sens!I19731</f>
        <v>1176.07686172667</v>
      </c>
      <c r="K19737" s="30" t="n">
        <f aca="false">Sens!K19731-Sens!J19731</f>
        <v>436.130048441799</v>
      </c>
    </row>
    <row r="19738" customFormat="false" ht="17.15" hidden="false" customHeight="false" outlineLevel="0" collapsed="false">
      <c r="A19738" s="1" t="s">
        <v>964</v>
      </c>
      <c r="B19738" s="0" t="s">
        <v>459</v>
      </c>
      <c r="F19738" s="30" t="n">
        <f aca="false">Sens!F19757*ext_sh</f>
        <v>0</v>
      </c>
      <c r="G19738" s="30" t="n">
        <f aca="false">Sens!G19757*ext_sh</f>
        <v>0</v>
      </c>
      <c r="H19738" s="30" t="n">
        <f aca="false">Sens!H19757*ext_sh</f>
        <v>0</v>
      </c>
      <c r="I19738" s="30" t="n">
        <f aca="false">Sens!I19757*ext_sh</f>
        <v>490</v>
      </c>
      <c r="J19738" s="30" t="n">
        <f aca="false">Sens!J19757*ext_sh</f>
        <v>740</v>
      </c>
      <c r="K19738" s="30" t="n">
        <f aca="false">Sens!K19757*ext_sh</f>
        <v>1470</v>
      </c>
      <c r="L19738" s="1" t="s">
        <v>965</v>
      </c>
    </row>
    <row r="19739" customFormat="false" ht="17.15" hidden="false" customHeight="false" outlineLevel="0" collapsed="false">
      <c r="A19739" s="1" t="s">
        <v>966</v>
      </c>
      <c r="B19739" s="0" t="s">
        <v>459</v>
      </c>
      <c r="C19739" s="30" t="n">
        <f aca="false">mix_h*Sens!C19731</f>
        <v>128</v>
      </c>
      <c r="D19739" s="30" t="n">
        <f aca="false">mix_h*Sens!D19731</f>
        <v>326</v>
      </c>
      <c r="E19739" s="30" t="n">
        <f aca="false">mix_h*Sens!E19731</f>
        <v>650</v>
      </c>
      <c r="F19739" s="30" t="n">
        <f aca="false">Sens!E19739-Sens!F19738*mix_h</f>
        <v>650</v>
      </c>
      <c r="G19739" s="30" t="n">
        <f aca="false">Sens!F19739-Sens!G19738*mix_h</f>
        <v>650</v>
      </c>
      <c r="H19739" s="30" t="n">
        <f aca="false">Sens!G19739-Sens!H19738*mix_h</f>
        <v>650</v>
      </c>
      <c r="I19739" s="30" t="n">
        <f aca="false">Sens!H19739-Sens!I19738*mix_h</f>
        <v>552</v>
      </c>
      <c r="J19739" s="30" t="n">
        <f aca="false">Sens!I19739-Sens!J19738*mix_h</f>
        <v>404</v>
      </c>
      <c r="K19739" s="30" t="n">
        <f aca="false">Sens!J19739-Sens!K19738*mix_h</f>
        <v>110</v>
      </c>
    </row>
    <row r="19740" customFormat="false" ht="17.15" hidden="false" customHeight="false" outlineLevel="0" collapsed="false">
      <c r="A19740" s="1" t="s">
        <v>967</v>
      </c>
      <c r="B19740" s="0" t="s">
        <v>459</v>
      </c>
      <c r="C19740" s="30" t="n">
        <f aca="false">mix_g2*Sens!C19731</f>
        <v>288</v>
      </c>
      <c r="D19740" s="30" t="n">
        <f aca="false">mix_g2*Sens!D19731</f>
        <v>733.5</v>
      </c>
      <c r="E19740" s="30" t="n">
        <f aca="false">mix_g2*Sens!E19731</f>
        <v>1462.5</v>
      </c>
      <c r="F19740" s="30" t="n">
        <f aca="false">Sens!E19740-Sens!F19738*mix_g2</f>
        <v>1462.5</v>
      </c>
      <c r="G19740" s="30" t="n">
        <f aca="false">Sens!F19740-Sens!G19738*mix_g2</f>
        <v>1462.5</v>
      </c>
      <c r="H19740" s="30" t="n">
        <f aca="false">Sens!G19740-Sens!H19738*mix_g2</f>
        <v>1462.5</v>
      </c>
      <c r="I19740" s="30" t="n">
        <f aca="false">Sens!H19740-Sens!I19738*mix_g2</f>
        <v>1242</v>
      </c>
      <c r="J19740" s="30" t="n">
        <f aca="false">Sens!I19740-Sens!J19738*mix_g2</f>
        <v>909</v>
      </c>
      <c r="K19740" s="30" t="n">
        <f aca="false">Sens!J19740-Sens!K19738*mix_g2</f>
        <v>247.5</v>
      </c>
    </row>
    <row r="19741" customFormat="false" ht="17.15" hidden="false" customHeight="false" outlineLevel="0" collapsed="false">
      <c r="A19741" s="1" t="s">
        <v>968</v>
      </c>
      <c r="B19741" s="0" t="s">
        <v>459</v>
      </c>
      <c r="C19741" s="30" t="n">
        <f aca="false">mix_g3*Sens!C19731</f>
        <v>224</v>
      </c>
      <c r="D19741" s="30" t="n">
        <f aca="false">mix_g3*Sens!D19731</f>
        <v>570.5</v>
      </c>
      <c r="E19741" s="30" t="n">
        <f aca="false">mix_g3*Sens!E19731</f>
        <v>1137.5</v>
      </c>
      <c r="F19741" s="30" t="n">
        <f aca="false">Sens!E19741+(Sens!F19737+Sens!F19738)*(a_g3_27-0*a_mai)-Sens!F19738*mix_g3</f>
        <v>3046.07457</v>
      </c>
      <c r="G19741" s="30" t="n">
        <f aca="false">Sens!F19741+(Sens!G19737+Sens!G19738)*(a_g3_28-0*a_mai)-Sens!G19738*mix_g3</f>
        <v>3864.0351</v>
      </c>
      <c r="H19741" s="30" t="n">
        <f aca="false">Sens!G19741+(Sens!H19737+Sens!H19738)*(a_g3_29-0*a_mai)-Sens!H19738*mix_g3</f>
        <v>4136.68861</v>
      </c>
      <c r="I19741" s="30" t="n">
        <f aca="false">Sens!H19741+(Sens!I19737+Sens!I19738)*(a_g3_29-0*a_mai)-Sens!I19738*mix_g3</f>
        <v>4207.38722196667</v>
      </c>
      <c r="J19741" s="30" t="n">
        <f aca="false">Sens!I19741+(Sens!J19737+Sens!J19738)*(a_g3_29-0*a_mai)-Sens!J19738*mix_g3</f>
        <v>4139.99490813933</v>
      </c>
      <c r="K19741" s="30" t="n">
        <f aca="false">Sens!J19741+(Sens!K19737+Sens!K19738)*(a_g3_29-0*a_mai)-Sens!K19738*mix_g3</f>
        <v>3816.10791298351</v>
      </c>
    </row>
    <row r="19742" customFormat="false" ht="17.15" hidden="false" customHeight="false" outlineLevel="0" collapsed="false">
      <c r="A19742" s="1" t="s">
        <v>969</v>
      </c>
      <c r="B19742" s="0" t="s">
        <v>459</v>
      </c>
      <c r="C19742" s="30" t="n">
        <v>0</v>
      </c>
      <c r="D19742" s="30" t="n">
        <v>0</v>
      </c>
      <c r="E19742" s="30" t="n">
        <v>0</v>
      </c>
      <c r="F19742" s="30" t="n">
        <f aca="false">Sens!E19742+(Sens!F19737+Sens!F19738)*0*a_mai</f>
        <v>0</v>
      </c>
      <c r="G19742" s="30" t="n">
        <f aca="false">Sens!F19742+(Sens!G19737+Sens!G19738)*0*a_mai</f>
        <v>0</v>
      </c>
      <c r="H19742" s="30" t="n">
        <f aca="false">Sens!G19742+(Sens!H19737+Sens!H19738)*0*a_mai</f>
        <v>0</v>
      </c>
      <c r="I19742" s="30" t="n">
        <f aca="false">Sens!H19742+(Sens!I19737+Sens!I19738)*0*a_mai</f>
        <v>0</v>
      </c>
      <c r="J19742" s="30" t="n">
        <f aca="false">Sens!I19742+(Sens!J19737+Sens!J19738)*0*a_mai</f>
        <v>0</v>
      </c>
      <c r="K19742" s="30" t="n">
        <f aca="false">Sens!J19742+(Sens!K19737+Sens!K19738)*0*a_mai</f>
        <v>0</v>
      </c>
      <c r="L19742" s="12" t="s">
        <v>970</v>
      </c>
    </row>
    <row r="19743" customFormat="false" ht="17.15" hidden="false" customHeight="false" outlineLevel="0" collapsed="false">
      <c r="A19743" s="1" t="s">
        <v>971</v>
      </c>
      <c r="B19743" s="0" t="s">
        <v>459</v>
      </c>
      <c r="C19743" s="30" t="n">
        <v>0</v>
      </c>
      <c r="D19743" s="30" t="n">
        <v>0</v>
      </c>
      <c r="E19743" s="30" t="n">
        <v>0</v>
      </c>
      <c r="F19743" s="30" t="n">
        <f aca="false">Sens!E19743+(Sens!F19737+Sens!F19738)*(1-a_g3_27)</f>
        <v>817.96053</v>
      </c>
      <c r="G19743" s="30" t="n">
        <f aca="false">Sens!F19743+(Sens!G19737+Sens!G19738)*(1-a_g3_28)</f>
        <v>2726.5351</v>
      </c>
      <c r="H19743" s="30" t="n">
        <f aca="false">Sens!G19743+(Sens!H19737+Sens!H19738)*(1-a_g3_29)</f>
        <v>5180.41669</v>
      </c>
      <c r="I19743" s="30" t="n">
        <f aca="false">Sens!H19743+(Sens!I19737+Sens!I19738)*(1-a_g3_29)</f>
        <v>7360.2041977</v>
      </c>
      <c r="J19743" s="30" t="n">
        <f aca="false">Sens!I19743+(Sens!J19737+Sens!J19738)*(1-a_g3_29)</f>
        <v>9084.673373254</v>
      </c>
      <c r="K19743" s="30" t="n">
        <f aca="false">Sens!J19743+(Sens!K19737+Sens!K19738)*(1-a_g3_29)</f>
        <v>10800.1904168516</v>
      </c>
    </row>
    <row r="19744" customFormat="false" ht="17.15" hidden="false" customHeight="false" outlineLevel="0" collapsed="false">
      <c r="A19744" s="1" t="s">
        <v>972</v>
      </c>
      <c r="B19744" s="0" t="s">
        <v>403</v>
      </c>
      <c r="C19744" s="15" t="n">
        <f aca="false">(Sens!C19739*tk_hold_h100+Sens!C19740*tk_hold_gb200+Sens!C19741*tk_hold_gb300+Sens!C19743*tk_hold_vr200+Sens!C19742*nv_hold_mai*tk_hold_vr200)/Sens!C19731</f>
        <v>9.7235358126469</v>
      </c>
      <c r="D19744" s="15" t="n">
        <f aca="false">(Sens!D19739*tk_hold_h100+Sens!D19740*tk_hold_gb200+Sens!D19741*tk_hold_gb300+Sens!D19743*tk_hold_vr200+Sens!D19742*nv_hold_mai*tk_hold_vr200)/Sens!D19731</f>
        <v>9.7235358126469</v>
      </c>
      <c r="E19744" s="15" t="n">
        <f aca="false">(Sens!E19739*tk_hold_h100+Sens!E19740*tk_hold_gb200+Sens!E19741*tk_hold_gb300+Sens!E19743*tk_hold_vr200+Sens!E19742*nv_hold_mai*tk_hold_vr200)/Sens!E19731</f>
        <v>9.7235358126469</v>
      </c>
      <c r="F19744" s="15" t="n">
        <f aca="false">(Sens!F19739*tk_hold_h100+Sens!F19740*tk_hold_gb200+Sens!F19741*tk_hold_gb300+Sens!F19743*tk_hold_vr200+Sens!F19742*nv_hold_mai*tk_hold_vr200)/Sens!F19731</f>
        <v>10.4373136419306</v>
      </c>
      <c r="G19744" s="15" t="n">
        <f aca="false">(Sens!G19739*tk_hold_h100+Sens!G19740*tk_hold_gb200+Sens!G19741*tk_hold_gb300+Sens!G19743*tk_hold_vr200+Sens!G19742*nv_hold_mai*tk_hold_vr200)/Sens!G19731</f>
        <v>10.8716633021543</v>
      </c>
      <c r="H19744" s="15" t="n">
        <f aca="false">(Sens!H19739*tk_hold_h100+Sens!H19740*tk_hold_gb200+Sens!H19741*tk_hold_gb300+Sens!H19743*tk_hold_vr200+Sens!H19742*nv_hold_mai*tk_hold_vr200)/Sens!H19731</f>
        <v>11.162671147329</v>
      </c>
      <c r="I19744" s="15" t="n">
        <f aca="false">(Sens!I19739*tk_hold_h100+Sens!I19740*tk_hold_gb200+Sens!I19741*tk_hold_gb300+Sens!I19743*tk_hold_vr200+Sens!I19742*nv_hold_mai*tk_hold_vr200)/Sens!I19731</f>
        <v>11.3838232728132</v>
      </c>
      <c r="J19744" s="15" t="n">
        <f aca="false">(Sens!J19739*tk_hold_h100+Sens!J19740*tk_hold_gb200+Sens!J19741*tk_hold_gb300+Sens!J19743*tk_hold_vr200+Sens!J19742*nv_hold_mai*tk_hold_vr200)/Sens!J19731</f>
        <v>11.5616165905821</v>
      </c>
      <c r="K19744" s="15" t="n">
        <f aca="false">(Sens!K19739*tk_hold_h100+Sens!K19740*tk_hold_gb200+Sens!K19741*tk_hold_gb300+Sens!K19743*tk_hold_vr200+Sens!K19742*nv_hold_mai*tk_hold_vr200)/Sens!K19731</f>
        <v>11.8095249206783</v>
      </c>
      <c r="L19744" s="1" t="s">
        <v>973</v>
      </c>
    </row>
    <row r="19745" customFormat="false" ht="17.15" hidden="false" customHeight="false" outlineLevel="0" collapsed="false">
      <c r="A19745" s="1" t="s">
        <v>974</v>
      </c>
      <c r="B19745" s="0" t="s">
        <v>403</v>
      </c>
      <c r="C19745" s="15" t="n">
        <f aca="false">(Sens!C19739*tk_hold_h100+Sens!C19740*tk_hold_gb200+Sens!C19741*tk_hold_gb300+Sens!C19743*tk_hold_vr200+Sens!C19742*nv_out_mai*tk_hold_vr200)/Sens!C19731</f>
        <v>9.7235358126469</v>
      </c>
      <c r="D19745" s="15" t="n">
        <f aca="false">(Sens!D19739*tk_hold_h100+Sens!D19740*tk_hold_gb200+Sens!D19741*tk_hold_gb300+Sens!D19743*tk_hold_vr200+Sens!D19742*nv_out_mai*tk_hold_vr200)/Sens!D19731</f>
        <v>9.7235358126469</v>
      </c>
      <c r="E19745" s="15" t="n">
        <f aca="false">(Sens!E19739*tk_hold_h100+Sens!E19740*tk_hold_gb200+Sens!E19741*tk_hold_gb300+Sens!E19743*tk_hold_vr200+Sens!E19742*nv_out_mai*tk_hold_vr200)/Sens!E19731</f>
        <v>9.7235358126469</v>
      </c>
      <c r="F19745" s="15" t="n">
        <f aca="false">(Sens!F19739*tk_hold_h100+Sens!F19740*tk_hold_gb200+Sens!F19741*tk_hold_gb300+Sens!F19743*tk_hold_vr200+Sens!F19742*nv_out_mai*tk_hold_vr200)/Sens!F19731</f>
        <v>10.4373136419306</v>
      </c>
      <c r="G19745" s="15" t="n">
        <f aca="false">(Sens!G19739*tk_hold_h100+Sens!G19740*tk_hold_gb200+Sens!G19741*tk_hold_gb300+Sens!G19743*tk_hold_vr200+Sens!G19742*nv_out_mai*tk_hold_vr200)/Sens!G19731</f>
        <v>10.8716633021543</v>
      </c>
      <c r="H19745" s="15" t="n">
        <f aca="false">(Sens!H19739*tk_hold_h100+Sens!H19740*tk_hold_gb200+Sens!H19741*tk_hold_gb300+Sens!H19743*tk_hold_vr200+Sens!H19742*nv_out_mai*tk_hold_vr200)/Sens!H19731</f>
        <v>11.162671147329</v>
      </c>
      <c r="I19745" s="15" t="n">
        <f aca="false">(Sens!I19739*tk_hold_h100+Sens!I19740*tk_hold_gb200+Sens!I19741*tk_hold_gb300+Sens!I19743*tk_hold_vr200+Sens!I19742*nv_out_mai*tk_hold_vr200)/Sens!I19731</f>
        <v>11.3838232728132</v>
      </c>
      <c r="J19745" s="15" t="n">
        <f aca="false">(Sens!J19739*tk_hold_h100+Sens!J19740*tk_hold_gb200+Sens!J19741*tk_hold_gb300+Sens!J19743*tk_hold_vr200+Sens!J19742*nv_out_mai*tk_hold_vr200)/Sens!J19731</f>
        <v>11.5616165905821</v>
      </c>
      <c r="K19745" s="15" t="n">
        <f aca="false">(Sens!K19739*tk_hold_h100+Sens!K19740*tk_hold_gb200+Sens!K19741*tk_hold_gb300+Sens!K19743*tk_hold_vr200+Sens!K19742*nv_out_mai*tk_hold_vr200)/Sens!K19731</f>
        <v>11.8095249206783</v>
      </c>
      <c r="L19745" s="12" t="s">
        <v>975</v>
      </c>
    </row>
    <row r="19746" customFormat="false" ht="17.15" hidden="false" customHeight="false" outlineLevel="0" collapsed="false">
      <c r="A19746" s="0" t="s">
        <v>976</v>
      </c>
      <c r="B19746" s="0" t="s">
        <v>229</v>
      </c>
      <c r="C19746" s="15" t="n">
        <f aca="false">k_B</f>
        <v>1.17213932619116</v>
      </c>
      <c r="D19746" s="15" t="n">
        <f aca="false">k_B</f>
        <v>1.17213932619116</v>
      </c>
      <c r="E19746" s="15" t="n">
        <f aca="false">k_B</f>
        <v>1.17213932619116</v>
      </c>
      <c r="F19746" s="15" t="n">
        <f aca="false">(k_B+((ls_B*k_long+(1-ls_B)*k_spot)-k_B)*MIN(1,(Sens!F19729-base_fy)/k_ramp))</f>
        <v>1.17213932619116</v>
      </c>
      <c r="G19746" s="15" t="n">
        <f aca="false">(k_B+((ls_B*k_long+(1-ls_B)*k_spot)-k_B)*MIN(1,(Sens!G19729-base_fy)/k_ramp))</f>
        <v>1.17213932619116</v>
      </c>
      <c r="H19746" s="15" t="n">
        <f aca="false">(k_B+((ls_B*k_long+(1-ls_B)*k_spot)-k_B)*MIN(1,(Sens!H19729-base_fy)/k_ramp))</f>
        <v>1.17213932619116</v>
      </c>
      <c r="I19746" s="15" t="n">
        <f aca="false">(k_B+((ls_B*k_long+(1-ls_B)*k_spot)-k_B)*MIN(1,(Sens!I19729-base_fy)/k_ramp))</f>
        <v>1.17213932619116</v>
      </c>
      <c r="J19746" s="15" t="n">
        <f aca="false">(k_B+((ls_B*k_long+(1-ls_B)*k_spot)-k_B)*MIN(1,(Sens!J19729-base_fy)/k_ramp))</f>
        <v>1.17213932619116</v>
      </c>
      <c r="K19746" s="15" t="n">
        <f aca="false">(k_B+((ls_B*k_long+(1-ls_B)*k_spot)-k_B)*MIN(1,(Sens!K19729-base_fy)/k_ramp))</f>
        <v>1.17213932619116</v>
      </c>
      <c r="L19746" s="1" t="s">
        <v>977</v>
      </c>
    </row>
    <row r="19747" customFormat="false" ht="17.15" hidden="false" customHeight="false" outlineLevel="0" collapsed="false">
      <c r="A19747" s="1" t="s">
        <v>978</v>
      </c>
      <c r="B19747" s="0" t="s">
        <v>403</v>
      </c>
      <c r="C19747" s="15" t="n">
        <f aca="false">Sens!C19745*Sens!C19746*chip_f</f>
        <v>11.3973387156315</v>
      </c>
      <c r="D19747" s="15" t="n">
        <f aca="false">Sens!D19745*Sens!D19746*chip_f</f>
        <v>11.3973387156315</v>
      </c>
      <c r="E19747" s="15" t="n">
        <f aca="false">Sens!E19745*Sens!E19746*chip_f</f>
        <v>11.3973387156315</v>
      </c>
      <c r="F19747" s="15" t="n">
        <f aca="false">Sens!F19745*Sens!F19746*chip_f</f>
        <v>12.2339857794983</v>
      </c>
      <c r="G19747" s="15" t="n">
        <f aca="false">Sens!G19745*Sens!G19746*chip_f</f>
        <v>12.7431040975642</v>
      </c>
      <c r="H19747" s="15" t="n">
        <f aca="false">Sens!H19745*Sens!H19746*chip_f</f>
        <v>13.0842058371236</v>
      </c>
      <c r="I19747" s="15" t="n">
        <f aca="false">Sens!I19745*Sens!I19746*chip_f</f>
        <v>13.3434269404744</v>
      </c>
      <c r="J19747" s="15" t="n">
        <f aca="false">Sens!J19745*Sens!J19746*chip_f</f>
        <v>13.5518254801654</v>
      </c>
      <c r="K19747" s="15" t="n">
        <f aca="false">Sens!K19745*Sens!K19746*chip_f</f>
        <v>13.8424085831615</v>
      </c>
      <c r="L19747" s="1" t="s">
        <v>979</v>
      </c>
    </row>
    <row r="19748" customFormat="false" ht="17.15" hidden="false" customHeight="false" outlineLevel="0" collapsed="false">
      <c r="A19748" s="0" t="s">
        <v>980</v>
      </c>
      <c r="B19748" s="0" t="s">
        <v>98</v>
      </c>
      <c r="D19748" s="6" t="n">
        <f aca="false">(Sens!C19731+Sens!D19731)/2*Sens!D19747/1000</f>
        <v>12.9359794422418</v>
      </c>
      <c r="E19748" s="6" t="n">
        <f aca="false">(Sens!D19731+Sens!E19731)/2*Sens!E19747/1000</f>
        <v>27.8095064661409</v>
      </c>
      <c r="F19748" s="6" t="n">
        <f aca="false">(Sens!E19731+Sens!F19731)/2*Sens!F19747/1000</f>
        <v>56.438649603721</v>
      </c>
      <c r="G19748" s="6" t="n">
        <f aca="false">(Sens!F19731+Sens!G19731)/2*Sens!G19747/1000</f>
        <v>93.5318692245278</v>
      </c>
      <c r="H19748" s="6" t="n">
        <f aca="false">(Sens!G19731+Sens!H19731)/2*Sens!H19747/1000</f>
        <v>131.710035147008</v>
      </c>
      <c r="I19748" s="6" t="n">
        <f aca="false">(Sens!H19731+Sens!I19731)/2*Sens!I19747/1000</f>
        <v>165.3997610979</v>
      </c>
      <c r="J19748" s="6" t="n">
        <f aca="false">(Sens!I19731+Sens!J19731)/2*Sens!J19747/1000</f>
        <v>189.042949247289</v>
      </c>
      <c r="K19748" s="6" t="n">
        <f aca="false">(Sens!J19731+Sens!K19731)/2*Sens!K19747/1000</f>
        <v>204.254889360477</v>
      </c>
      <c r="L19748" s="12" t="s">
        <v>981</v>
      </c>
    </row>
    <row r="19749" customFormat="false" ht="17.15" hidden="false" customHeight="false" outlineLevel="0" collapsed="false">
      <c r="A19749" s="1" t="s">
        <v>982</v>
      </c>
      <c r="B19749" s="0" t="s">
        <v>403</v>
      </c>
      <c r="C19749" s="15" t="n">
        <f aca="false">(Sens!C19739*tk_opex_h100+Sens!C19740*tk_opex_gb200+Sens!C19741*tk_opex_gb300+(Sens!C19743+Sens!C19742)*tk_opex_vr200)/Sens!C19731</f>
        <v>1.88636041306092</v>
      </c>
      <c r="D19749" s="15" t="n">
        <f aca="false">(Sens!D19739*tk_opex_h100+Sens!D19740*tk_opex_gb200+Sens!D19741*tk_opex_gb300+(Sens!D19743+Sens!D19742)*tk_opex_vr200)/Sens!D19731</f>
        <v>1.88636041306092</v>
      </c>
      <c r="E19749" s="15" t="n">
        <f aca="false">(Sens!E19739*tk_opex_h100+Sens!E19740*tk_opex_gb200+Sens!E19741*tk_opex_gb300+(Sens!E19743+Sens!E19742)*tk_opex_vr200)/Sens!E19731</f>
        <v>1.88636041306092</v>
      </c>
      <c r="F19749" s="15" t="n">
        <f aca="false">(Sens!F19739*tk_opex_h100+Sens!F19740*tk_opex_gb200+Sens!F19741*tk_opex_gb300+(Sens!F19743+Sens!F19742)*tk_opex_vr200)/Sens!F19731</f>
        <v>1.9454540569274</v>
      </c>
      <c r="G19749" s="15" t="n">
        <f aca="false">(Sens!G19739*tk_opex_h100+Sens!G19740*tk_opex_gb200+Sens!G19741*tk_opex_gb300+(Sens!G19743+Sens!G19742)*tk_opex_vr200)/Sens!G19731</f>
        <v>1.98141385153259</v>
      </c>
      <c r="H19749" s="15" t="n">
        <f aca="false">(Sens!H19739*tk_opex_h100+Sens!H19740*tk_opex_gb200+Sens!H19741*tk_opex_gb300+(Sens!H19743+Sens!H19742)*tk_opex_vr200)/Sens!H19731</f>
        <v>2.00550638181245</v>
      </c>
      <c r="I19749" s="15" t="n">
        <f aca="false">(Sens!I19739*tk_opex_h100+Sens!I19740*tk_opex_gb200+Sens!I19741*tk_opex_gb300+(Sens!I19743+Sens!I19742)*tk_opex_vr200)/Sens!I19731</f>
        <v>2.02381555927288</v>
      </c>
      <c r="J19749" s="15" t="n">
        <f aca="false">(Sens!J19739*tk_opex_h100+Sens!J19740*tk_opex_gb200+Sens!J19741*tk_opex_gb300+(Sens!J19743+Sens!J19742)*tk_opex_vr200)/Sens!J19731</f>
        <v>2.03853506241663</v>
      </c>
      <c r="K19749" s="15" t="n">
        <f aca="false">(Sens!K19739*tk_opex_h100+Sens!K19740*tk_opex_gb200+Sens!K19741*tk_opex_gb300+(Sens!K19743+Sens!K19742)*tk_opex_vr200)/Sens!K19731</f>
        <v>2.05905938520897</v>
      </c>
      <c r="L19749" s="12" t="s">
        <v>983</v>
      </c>
    </row>
    <row r="19750" customFormat="false" ht="17.15" hidden="false" customHeight="false" outlineLevel="0" collapsed="false">
      <c r="A19750" s="0" t="s">
        <v>984</v>
      </c>
      <c r="B19750" s="0" t="s">
        <v>98</v>
      </c>
      <c r="D19750" s="6" t="n">
        <f aca="false">(Sens!C19734+Sens!D19734)/2*Sens!D19749/1000</f>
        <v>2.70378325872065</v>
      </c>
      <c r="E19750" s="6" t="n">
        <f aca="false">(Sens!D19734+Sens!E19734)/2*Sens!E19749/1000</f>
        <v>6.17783035277451</v>
      </c>
      <c r="F19750" s="6" t="n">
        <f aca="false">(Sens!E19734+Sens!F19734)/2*Sens!F19749/1000</f>
        <v>12.840864286109</v>
      </c>
      <c r="G19750" s="6" t="n">
        <f aca="false">(Sens!F19734+Sens!G19734)/2*Sens!G19749/1000</f>
        <v>21.7420629441117</v>
      </c>
      <c r="H19750" s="6" t="n">
        <f aca="false">(Sens!G19734+Sens!H19734)/2*Sens!H19749/1000</f>
        <v>31.1199029574239</v>
      </c>
      <c r="I19750" s="6" t="n">
        <f aca="false">(Sens!H19734+Sens!I19734)/2*Sens!I19749/1000</f>
        <v>39.2606671071963</v>
      </c>
      <c r="J19750" s="6" t="n">
        <f aca="false">(Sens!I19734+Sens!J19734)/2*Sens!J19749/1000</f>
        <v>44.8261284180868</v>
      </c>
      <c r="K19750" s="6" t="n">
        <f aca="false">(Sens!J19734+Sens!K19734)/2*Sens!K19749/1000</f>
        <v>48.0438037555794</v>
      </c>
    </row>
    <row r="19751" customFormat="false" ht="17.15" hidden="false" customHeight="false" outlineLevel="0" collapsed="false">
      <c r="A19751" s="0" t="s">
        <v>985</v>
      </c>
      <c r="B19751" s="0" t="s">
        <v>98</v>
      </c>
      <c r="D19751" s="6" t="n">
        <f aca="false">(Sens!C19732+Sens!D19732)/2*rent_mw/1000</f>
        <v>2.44475</v>
      </c>
      <c r="E19751" s="6" t="n">
        <f aca="false">(Sens!D19732+Sens!E19732)/2*rent_mw/1000</f>
        <v>4.22275</v>
      </c>
      <c r="F19751" s="6" t="n">
        <f aca="false">(Sens!E19732+Sens!F19732)/2*rent_mw/1000</f>
        <v>5.80517</v>
      </c>
      <c r="G19751" s="6" t="n">
        <f aca="false">(Sens!F19732+Sens!G19732)/2*rent_mw/1000</f>
        <v>6.72084</v>
      </c>
      <c r="H19751" s="6" t="n">
        <f aca="false">(Sens!G19732+Sens!H19732)/2*rent_mw/1000</f>
        <v>6.72084</v>
      </c>
      <c r="I19751" s="6" t="n">
        <f aca="false">(Sens!H19732+Sens!I19732)/2*rent_mw/1000</f>
        <v>6.72084</v>
      </c>
      <c r="J19751" s="6" t="n">
        <f aca="false">(Sens!I19732+Sens!J19732)/2*rent_mw/1000</f>
        <v>6.72084</v>
      </c>
      <c r="K19751" s="6" t="n">
        <f aca="false">(Sens!J19732+Sens!K19732)/2*rent_mw/1000</f>
        <v>6.72084</v>
      </c>
    </row>
    <row r="19752" customFormat="false" ht="17.15" hidden="false" customHeight="false" outlineLevel="0" collapsed="false">
      <c r="A19752" s="0" t="s">
        <v>986</v>
      </c>
      <c r="B19752" s="0" t="s">
        <v>98</v>
      </c>
      <c r="D19752" s="6" t="n">
        <f aca="false">(Sens!C19734+Sens!D19734)/2*(1-self_build)*fac_rent/1000</f>
        <v>0.853242375631075</v>
      </c>
      <c r="E19752" s="6" t="n">
        <f aca="false">(Sens!D19734+Sens!E19734)/2*(1-self_build)*fac_rent/1000</f>
        <v>1.94955961408728</v>
      </c>
      <c r="F19752" s="6" t="n">
        <f aca="false">(Sens!E19734+Sens!F19734)/2*(1-self_build)*fac_rent/1000</f>
        <v>3.92914894476356</v>
      </c>
      <c r="G19752" s="6" t="n">
        <f aca="false">(Sens!F19734+Sens!G19734)/2*(1-self_build)*fac_rent/1000</f>
        <v>6.53206908578159</v>
      </c>
      <c r="H19752" s="6" t="n">
        <f aca="false">(Sens!G19734+Sens!H19734)/2*(1-self_build)*fac_rent/1000</f>
        <v>9.23717988341591</v>
      </c>
      <c r="I19752" s="6" t="n">
        <f aca="false">(Sens!H19734+Sens!I19734)/2*(1-self_build)*fac_rent/1000</f>
        <v>11.5481378557393</v>
      </c>
      <c r="J19752" s="6" t="n">
        <f aca="false">(Sens!I19734+Sens!J19734)/2*(1-self_build)*fac_rent/1000</f>
        <v>13.0899582289108</v>
      </c>
      <c r="K19752" s="6" t="n">
        <f aca="false">(Sens!J19734+Sens!K19734)/2*(1-self_build)*fac_rent/1000</f>
        <v>13.8897275626556</v>
      </c>
      <c r="L19752" s="12" t="s">
        <v>987</v>
      </c>
    </row>
    <row r="19753" customFormat="false" ht="17.15" hidden="false" customHeight="false" outlineLevel="0" collapsed="false">
      <c r="A19753" s="1" t="s">
        <v>988</v>
      </c>
      <c r="B19753" s="0" t="s">
        <v>168</v>
      </c>
      <c r="D19753" s="7" t="n">
        <f aca="false">(Sens!C19733+Sens!D19733)/(Sens!C19734+Sens!D19734)</f>
        <v>0.6</v>
      </c>
      <c r="E19753" s="7" t="n">
        <f aca="false">(Sens!D19733+Sens!E19733)/(Sens!D19734+Sens!E19734)</f>
        <v>0.6</v>
      </c>
      <c r="F19753" s="7" t="n">
        <f aca="false">(Sens!E19733+Sens!F19733)/(Sens!E19734+Sens!F19734)</f>
        <v>0.6</v>
      </c>
      <c r="G19753" s="7" t="n">
        <f aca="false">(Sens!F19733+Sens!G19733)/(Sens!F19734+Sens!G19734)</f>
        <v>0.6</v>
      </c>
      <c r="H19753" s="7" t="n">
        <f aca="false">(Sens!G19733+Sens!H19733)/(Sens!G19734+Sens!H19734)</f>
        <v>0.6</v>
      </c>
      <c r="I19753" s="7" t="n">
        <f aca="false">(Sens!H19733+Sens!I19733)/(Sens!H19734+Sens!I19734)</f>
        <v>0.6</v>
      </c>
      <c r="J19753" s="7" t="n">
        <f aca="false">(Sens!I19733+Sens!J19733)/(Sens!I19734+Sens!J19734)</f>
        <v>0.6</v>
      </c>
      <c r="K19753" s="7" t="n">
        <f aca="false">(Sens!J19733+Sens!K19733)/(Sens!J19734+Sens!K19734)</f>
        <v>0.6</v>
      </c>
    </row>
    <row r="19754" customFormat="false" ht="17.15" hidden="false" customHeight="false" outlineLevel="0" collapsed="false">
      <c r="A19754" s="0" t="s">
        <v>989</v>
      </c>
      <c r="B19754" s="0" t="s">
        <v>98</v>
      </c>
      <c r="D19754" s="6" t="n">
        <f aca="false">Sens!D19748-Sens!D19753*(Sens!D19750+Sens!D19752)-Sens!D19751</f>
        <v>8.35701406163072</v>
      </c>
      <c r="E19754" s="6" t="n">
        <f aca="false">Sens!E19748-Sens!E19753*(Sens!E19750+Sens!E19752)-Sens!E19751</f>
        <v>18.7103224860238</v>
      </c>
      <c r="F19754" s="6" t="n">
        <f aca="false">Sens!F19748-Sens!F19753*(Sens!F19750+Sens!F19752)-Sens!F19751</f>
        <v>40.5714716651975</v>
      </c>
      <c r="G19754" s="6" t="n">
        <f aca="false">Sens!G19748-Sens!G19753*(Sens!G19750+Sens!G19752)-Sens!G19751</f>
        <v>69.8465500065919</v>
      </c>
      <c r="H19754" s="6" t="n">
        <f aca="false">Sens!H19748-Sens!H19753*(Sens!H19750+Sens!H19752)-Sens!H19751</f>
        <v>100.774945442504</v>
      </c>
      <c r="I19754" s="6" t="n">
        <f aca="false">Sens!I19748-Sens!I19753*(Sens!I19750+Sens!I19752)-Sens!I19751</f>
        <v>128.193638120139</v>
      </c>
      <c r="J19754" s="6" t="n">
        <f aca="false">Sens!J19748-Sens!J19753*(Sens!J19750+Sens!J19752)-Sens!J19751</f>
        <v>147.57245725909</v>
      </c>
      <c r="K19754" s="6" t="n">
        <f aca="false">Sens!K19748-Sens!K19753*(Sens!K19750+Sens!K19752)-Sens!K19751</f>
        <v>160.373930569536</v>
      </c>
    </row>
    <row r="19755" customFormat="false" ht="17.15" hidden="false" customHeight="false" outlineLevel="0" collapsed="false">
      <c r="A19755" s="1" t="s">
        <v>990</v>
      </c>
      <c r="B19755" s="0" t="s">
        <v>98</v>
      </c>
      <c r="D19755" s="6" t="n">
        <f aca="false">(1-Sens!D19753)*(Sens!D19750+Sens!D19752)</f>
        <v>1.42281025374069</v>
      </c>
      <c r="E19755" s="6" t="n">
        <f aca="false">(1-Sens!E19753)*(Sens!E19750+Sens!E19752)</f>
        <v>3.25095598674472</v>
      </c>
      <c r="F19755" s="6" t="n">
        <f aca="false">(1-Sens!F19753)*(Sens!F19750+Sens!F19752)</f>
        <v>6.70800529234904</v>
      </c>
      <c r="G19755" s="6" t="n">
        <f aca="false">(1-Sens!G19753)*(Sens!G19750+Sens!G19752)</f>
        <v>11.3096528119573</v>
      </c>
      <c r="H19755" s="6" t="n">
        <f aca="false">(1-Sens!H19753)*(Sens!H19750+Sens!H19752)</f>
        <v>16.1428331363359</v>
      </c>
      <c r="I19755" s="6" t="n">
        <f aca="false">(1-Sens!I19753)*(Sens!I19750+Sens!I19752)</f>
        <v>20.3235219851742</v>
      </c>
      <c r="J19755" s="6" t="n">
        <f aca="false">(1-Sens!J19753)*(Sens!J19750+Sens!J19752)</f>
        <v>23.166434658799</v>
      </c>
      <c r="K19755" s="6" t="n">
        <f aca="false">(1-Sens!K19753)*(Sens!K19750+Sens!K19752)</f>
        <v>24.773412527294</v>
      </c>
    </row>
    <row r="19756" customFormat="false" ht="17.15" hidden="false" customHeight="false" outlineLevel="0" collapsed="false">
      <c r="A19756" s="1" t="s">
        <v>991</v>
      </c>
      <c r="B19756" s="0" t="s">
        <v>417</v>
      </c>
      <c r="C19756" s="8" t="n">
        <f aca="false">cxit_open</f>
        <v>27.5918995</v>
      </c>
      <c r="D19756" s="8" t="n">
        <f aca="false">cxit_open</f>
        <v>27.5918995</v>
      </c>
      <c r="E19756" s="8" t="n">
        <f aca="false">cxit_open</f>
        <v>27.5918995</v>
      </c>
      <c r="F19756" s="8" t="n">
        <f aca="false">((a_g3_27-0*a_mai)*tk_cxit_gb300+0*a_mai*nv_hold_mai*tk_cxit_vr200+(1-a_g3_27)*tk_cxit_vr200)</f>
        <v>33.8419624</v>
      </c>
      <c r="G19756" s="8" t="n">
        <f aca="false">((a_g3_28-0*a_mai)*tk_cxit_gb300+0*a_mai*nv_hold_mai*tk_cxit_vr200+(1-a_g3_28)*tk_cxit_vr200)</f>
        <v>35.9816136</v>
      </c>
      <c r="H19756" s="8" t="n">
        <f aca="false">((a_g3_29-0*a_mai)*tk_cxit_gb300+0*a_mai*nv_hold_mai*tk_cxit_vr200+(1-a_g3_29)*tk_cxit_vr200)</f>
        <v>37.0514392</v>
      </c>
      <c r="I19756" s="8" t="n">
        <f aca="false">((a_g3_29-0*a_mai)*tk_cxit_gb300+0*a_mai*nv_hold_mai*tk_cxit_vr200+(1-a_g3_29)*tk_cxit_vr200)</f>
        <v>37.0514392</v>
      </c>
      <c r="J19756" s="8" t="n">
        <f aca="false">((a_g3_29-0*a_mai)*tk_cxit_gb300+0*a_mai*nv_hold_mai*tk_cxit_vr200+(1-a_g3_29)*tk_cxit_vr200)</f>
        <v>37.0514392</v>
      </c>
      <c r="K19756" s="8" t="n">
        <f aca="false">((a_g3_29-0*a_mai)*tk_cxit_gb300+0*a_mai*nv_hold_mai*tk_cxit_vr200+(1-a_g3_29)*tk_cxit_vr200)</f>
        <v>37.0514392</v>
      </c>
      <c r="L19756" s="12" t="s">
        <v>992</v>
      </c>
    </row>
    <row r="19757" customFormat="false" ht="17.15" hidden="false" customHeight="false" outlineLevel="0" collapsed="false">
      <c r="A19757" s="0" t="s">
        <v>993</v>
      </c>
      <c r="B19757" s="0" t="s">
        <v>459</v>
      </c>
      <c r="F19757" s="30" t="n">
        <f aca="false">Sens!C19736*IF(Sens!F19729-Sens!C19729=life_it,1,0)+Sens!D19736*IF(Sens!F19729-Sens!D19729=life_it,1,0)+Sens!E19736*IF(Sens!F19729-Sens!E19729=life_it,1,0)</f>
        <v>0</v>
      </c>
      <c r="G19757" s="30" t="n">
        <f aca="false">Sens!C19736*IF(Sens!G19729-Sens!C19729=life_it,1,0)+Sens!D19736*IF(Sens!G19729-Sens!D19729=life_it,1,0)+Sens!E19736*IF(Sens!G19729-Sens!E19729=life_it,1,0)+Sens!F19736*IF(Sens!G19729-Sens!F19729=life_it,1,0)</f>
        <v>0</v>
      </c>
      <c r="H19757" s="30" t="n">
        <f aca="false">Sens!C19736*IF(Sens!H19729-Sens!C19729=life_it,1,0)+Sens!D19736*IF(Sens!H19729-Sens!D19729=life_it,1,0)+Sens!E19736*IF(Sens!H19729-Sens!E19729=life_it,1,0)+Sens!F19736*IF(Sens!H19729-Sens!F19729=life_it,1,0)+Sens!G19736*IF(Sens!H19729-Sens!G19729=life_it,1,0)</f>
        <v>0</v>
      </c>
      <c r="I19757" s="30" t="n">
        <f aca="false">Sens!C19736*IF(Sens!I19729-Sens!C19729=life_it,1,0)+Sens!D19736*IF(Sens!I19729-Sens!D19729=life_it,1,0)+Sens!E19736*IF(Sens!I19729-Sens!E19729=life_it,1,0)+Sens!F19736*IF(Sens!I19729-Sens!F19729=life_it,1,0)+Sens!G19736*IF(Sens!I19729-Sens!G19729=life_it,1,0)+Sens!H19736*IF(Sens!I19729-Sens!H19729=life_it,1,0)</f>
        <v>816.666666666667</v>
      </c>
      <c r="J19757" s="30" t="n">
        <f aca="false">Sens!C19736*IF(Sens!J19729-Sens!C19729=life_it,1,0)+Sens!D19736*IF(Sens!J19729-Sens!D19729=life_it,1,0)+Sens!E19736*IF(Sens!J19729-Sens!E19729=life_it,1,0)+Sens!F19736*IF(Sens!J19729-Sens!F19729=life_it,1,0)+Sens!G19736*IF(Sens!J19729-Sens!G19729=life_it,1,0)+Sens!H19736*IF(Sens!J19729-Sens!H19729=life_it,1,0)+Sens!I19736*IF(Sens!J19729-Sens!I19729=life_it,1,0)</f>
        <v>1233.33333333333</v>
      </c>
      <c r="K19757" s="30" t="n">
        <f aca="false">Sens!C19736*IF(Sens!K19729-Sens!C19729=life_it,1,0)+Sens!D19736*IF(Sens!K19729-Sens!D19729=life_it,1,0)+Sens!E19736*IF(Sens!K19729-Sens!E19729=life_it,1,0)+Sens!F19736*IF(Sens!K19729-Sens!F19729=life_it,1,0)+Sens!G19736*IF(Sens!K19729-Sens!G19729=life_it,1,0)+Sens!H19736*IF(Sens!K19729-Sens!H19729=life_it,1,0)+Sens!I19736*IF(Sens!K19729-Sens!I19729=life_it,1,0)+Sens!J19736*IF(Sens!K19729-Sens!J19729=life_it,1,0)</f>
        <v>2450</v>
      </c>
      <c r="L19757" s="1" t="s">
        <v>994</v>
      </c>
    </row>
    <row r="19758" customFormat="false" ht="17.15" hidden="false" customHeight="false" outlineLevel="0" collapsed="false">
      <c r="A19758" s="0" t="s">
        <v>995</v>
      </c>
      <c r="B19758" s="0" t="s">
        <v>98</v>
      </c>
      <c r="C19758" s="6" t="n">
        <f aca="false">Sens!C19736*Sens!C19756/1000</f>
        <v>22.5333845916667</v>
      </c>
      <c r="D19758" s="6" t="n">
        <f aca="false">Sens!D19736*Sens!D19756/1000</f>
        <v>34.0300093833333</v>
      </c>
      <c r="E19758" s="6" t="n">
        <f aca="false">Sens!E19736*Sens!E19756/1000</f>
        <v>67.600153775</v>
      </c>
      <c r="F19758" s="6" t="n">
        <f aca="false">(Sens!F19736+Sens!F19757)*Sens!F19756/1000</f>
        <v>142.166423470134</v>
      </c>
      <c r="G19758" s="6" t="n">
        <f aca="false">(Sens!G19736+Sens!G19757)*Sens!G19756/1000</f>
        <v>163.508554058396</v>
      </c>
      <c r="H19758" s="6" t="n">
        <f aca="false">(Sens!H19736+Sens!H19757)*Sens!H19756/1000</f>
        <v>168.37008247386</v>
      </c>
      <c r="I19758" s="6" t="n">
        <f aca="false">(Sens!I19736+Sens!I19757)*Sens!I19756/1000</f>
        <v>149.563452426789</v>
      </c>
      <c r="J19758" s="6" t="n">
        <f aca="false">(Sens!J19736+Sens!J19757)*Sens!J19756/1000</f>
        <v>118.322342241321</v>
      </c>
      <c r="K19758" s="6" t="n">
        <f aca="false">(Sens!K19736+Sens!K19757)*Sens!K19756/1000</f>
        <v>117.708102661891</v>
      </c>
    </row>
    <row r="19759" customFormat="false" ht="17.15" hidden="false" customHeight="false" outlineLevel="0" collapsed="false">
      <c r="A19759" s="0" t="s">
        <v>996</v>
      </c>
      <c r="B19759" s="0" t="s">
        <v>98</v>
      </c>
      <c r="C19759" s="6" t="n">
        <f aca="false">Sens!C19736*self_build*tk_cxfac/1000</f>
        <v>6.2083</v>
      </c>
      <c r="D19759" s="6" t="n">
        <f aca="false">Sens!D19736*self_build*tk_cxfac/1000</f>
        <v>9.3758</v>
      </c>
      <c r="E19759" s="6" t="n">
        <f aca="false">Sens!E19736*self_build*tk_cxfac/1000</f>
        <v>18.6249</v>
      </c>
      <c r="F19759" s="6" t="n">
        <f aca="false">Sens!F19736*self_build*tk_cxfac/1000</f>
        <v>31.935179717</v>
      </c>
      <c r="G19759" s="6" t="n">
        <f aca="false">Sens!G19736*self_build*tk_cxfac/1000</f>
        <v>34.545199717</v>
      </c>
      <c r="H19759" s="6" t="n">
        <f aca="false">Sens!H19736*self_build*tk_cxfac/1000</f>
        <v>34.545199717</v>
      </c>
      <c r="I19759" s="6" t="n">
        <f aca="false">Sens!I19736*self_build*tk_cxfac/1000</f>
        <v>24.4782641361767</v>
      </c>
      <c r="J19759" s="6" t="n">
        <f aca="false">Sens!J19736*self_build*tk_cxfac/1000</f>
        <v>14.9008938380769</v>
      </c>
      <c r="K19759" s="6" t="n">
        <f aca="false">Sens!K19736*self_build*tk_cxfac/1000</f>
        <v>5.52576771375761</v>
      </c>
    </row>
    <row r="19760" customFormat="false" ht="17.15" hidden="false" customHeight="false" outlineLevel="0" collapsed="false">
      <c r="A19760" s="0" t="s">
        <v>997</v>
      </c>
      <c r="B19760" s="0" t="s">
        <v>98</v>
      </c>
      <c r="F19760" s="15" t="n">
        <f aca="false">capex_floor27-Sens!F19758-Sens!F19759-Sens!F19856</f>
        <v>-5.60258502823636</v>
      </c>
      <c r="L19760" s="12" t="s">
        <v>998</v>
      </c>
    </row>
    <row r="19761" customFormat="false" ht="17.15" hidden="false" customHeight="false" outlineLevel="0" collapsed="false">
      <c r="A19761" s="0" t="s">
        <v>999</v>
      </c>
      <c r="B19761" s="0" t="s">
        <v>98</v>
      </c>
      <c r="F19761" s="6" t="n">
        <f aca="false">MAX(0,Sens!F19760)</f>
        <v>0</v>
      </c>
    </row>
    <row r="19762" customFormat="false" ht="17.15" hidden="false" customHeight="false" outlineLevel="0" collapsed="false">
      <c r="A19762" s="0" t="s">
        <v>1000</v>
      </c>
      <c r="B19762" s="0" t="s">
        <v>98</v>
      </c>
      <c r="C19762" s="6" t="n">
        <f aca="false">Sens!C19758</f>
        <v>22.5333845916667</v>
      </c>
      <c r="D19762" s="6" t="n">
        <f aca="false">Sens!D19758</f>
        <v>34.0300093833333</v>
      </c>
      <c r="E19762" s="6" t="n">
        <f aca="false">Sens!E19758</f>
        <v>67.600153775</v>
      </c>
      <c r="F19762" s="6" t="n">
        <f aca="false">Sens!F19758</f>
        <v>142.166423470134</v>
      </c>
      <c r="G19762" s="6" t="n">
        <f aca="false">Sens!G19758</f>
        <v>163.508554058396</v>
      </c>
      <c r="H19762" s="6" t="n">
        <f aca="false">Sens!H19758</f>
        <v>168.37008247386</v>
      </c>
      <c r="I19762" s="6" t="n">
        <f aca="false">Sens!I19758</f>
        <v>149.563452426789</v>
      </c>
      <c r="J19762" s="6" t="n">
        <f aca="false">Sens!J19758</f>
        <v>118.322342241321</v>
      </c>
      <c r="K19762" s="6" t="n">
        <f aca="false">Sens!K19758</f>
        <v>117.708102661891</v>
      </c>
    </row>
    <row r="19763" customFormat="false" ht="17.15" hidden="false" customHeight="false" outlineLevel="0" collapsed="false">
      <c r="A19763" s="0" t="s">
        <v>1001</v>
      </c>
      <c r="B19763" s="0" t="s">
        <v>98</v>
      </c>
      <c r="C19763" s="6" t="n">
        <f aca="false">Sens!C19762+Sens!C19759</f>
        <v>28.7416845916667</v>
      </c>
      <c r="D19763" s="6" t="n">
        <f aca="false">Sens!D19762+Sens!D19759</f>
        <v>43.4058093833333</v>
      </c>
      <c r="E19763" s="6" t="n">
        <f aca="false">Sens!E19762+Sens!E19759</f>
        <v>86.225053775</v>
      </c>
      <c r="F19763" s="6" t="n">
        <f aca="false">Sens!F19762+Sens!F19759</f>
        <v>174.101603187134</v>
      </c>
      <c r="G19763" s="6" t="n">
        <f aca="false">Sens!G19762+Sens!G19759</f>
        <v>198.053753775396</v>
      </c>
      <c r="H19763" s="6" t="n">
        <f aca="false">Sens!H19762+Sens!H19759</f>
        <v>202.91528219086</v>
      </c>
      <c r="I19763" s="6" t="n">
        <f aca="false">Sens!I19762+Sens!I19759</f>
        <v>174.041716562966</v>
      </c>
      <c r="J19763" s="6" t="n">
        <f aca="false">Sens!J19762+Sens!J19759</f>
        <v>133.223236079397</v>
      </c>
      <c r="K19763" s="6" t="n">
        <f aca="false">Sens!K19762+Sens!K19759</f>
        <v>123.233870375648</v>
      </c>
      <c r="L19763" s="12" t="s">
        <v>1002</v>
      </c>
    </row>
    <row r="19764" customFormat="false" ht="17.15" hidden="false" customHeight="false" outlineLevel="0" collapsed="false">
      <c r="A19764" s="0" t="s">
        <v>1003</v>
      </c>
      <c r="B19764" s="0" t="s">
        <v>98</v>
      </c>
      <c r="E19764" s="6" t="n">
        <f aca="false">(Sens!C19762*IF(2&lt;life_it,1,IF(2=life_it,0.5,0))+Sens!D19762*IF(1&lt;life_it,1,IF(1=life_it,0.5,0))+Sens!E19762*0.5)/life_it</f>
        <v>15.0605784770833</v>
      </c>
      <c r="F19764" s="6" t="n">
        <f aca="false">(Sens!C19762*IF(3&lt;life_it,1,IF(3=life_it,0.5,0))+Sens!D19762*IF(2&lt;life_it,1,IF(2=life_it,0.5,0))+Sens!E19762*IF(1&lt;life_it,1,IF(1=life_it,0.5,0))+Sens!F19762*0.5)/life_it</f>
        <v>32.5411265808445</v>
      </c>
      <c r="G19764" s="6" t="n">
        <f aca="false">(Sens!C19762*IF(4&lt;life_it,1,IF(4=life_it,0.5,0))+Sens!D19762*IF(3&lt;life_it,1,IF(3=life_it,0.5,0))+Sens!E19762*IF(2&lt;life_it,1,IF(2=life_it,0.5,0))+Sens!F19762*IF(1&lt;life_it,1,IF(1=life_it,0.5,0))+Sens!G19762*0.5)/life_it</f>
        <v>58.0140413748886</v>
      </c>
      <c r="H19764" s="6" t="n">
        <f aca="false">(Sens!C19762*IF(5&lt;life_it,1,IF(5=life_it,0.5,0))+Sens!D19762*IF(4&lt;life_it,1,IF(4=life_it,0.5,0))+Sens!E19762*IF(3&lt;life_it,1,IF(3=life_it,0.5,0))+Sens!F19762*IF(2&lt;life_it,1,IF(2=life_it,0.5,0))+Sens!G19762*IF(1&lt;life_it,1,IF(1=life_it,0.5,0))+Sens!H19762*0.5)/life_it</f>
        <v>85.6705944192432</v>
      </c>
      <c r="I19764" s="6" t="n">
        <f aca="false">(Sens!C19762*IF(6&lt;life_it,1,IF(6=life_it,0.5,0))+Sens!D19762*IF(5&lt;life_it,1,IF(5=life_it,0.5,0))+Sens!E19762*IF(4&lt;life_it,1,IF(4=life_it,0.5,0))+Sens!F19762*IF(3&lt;life_it,1,IF(3=life_it,0.5,0))+Sens!G19762*IF(2&lt;life_it,1,IF(2=life_it,0.5,0))+Sens!H19762*IF(1&lt;life_it,1,IF(1=life_it,0.5,0))+Sens!I19762*0.5)/life_it</f>
        <v>110.287273611658</v>
      </c>
      <c r="J19764" s="6" t="n">
        <f aca="false">(Sens!C19762*IF(7&lt;life_it,1,IF(7=life_it,0.5,0))+Sens!D19762*IF(6&lt;life_it,1,IF(6=life_it,0.5,0))+Sens!E19762*IF(5&lt;life_it,1,IF(5=life_it,0.5,0))+Sens!F19762*IF(4&lt;life_it,1,IF(4=life_it,0.5,0))+Sens!G19762*IF(3&lt;life_it,1,IF(3=life_it,0.5,0))+Sens!H19762*IF(2&lt;life_it,1,IF(2=life_it,0.5,0))+Sens!I19762*IF(1&lt;life_it,1,IF(1=life_it,0.5,0))+Sens!J19762*0.5)/life_it</f>
        <v>127.897473669418</v>
      </c>
      <c r="K19764" s="6" t="n">
        <f aca="false">(Sens!C19762*IF(8&lt;life_it,1,IF(8=life_it,0.5,0))+Sens!D19762*IF(7&lt;life_it,1,IF(7=life_it,0.5,0))+Sens!E19762*IF(6&lt;life_it,1,IF(6=life_it,0.5,0))+Sens!F19762*IF(5&lt;life_it,1,IF(5=life_it,0.5,0))+Sens!G19762*IF(4&lt;life_it,1,IF(4=life_it,0.5,0))+Sens!H19762*IF(3&lt;life_it,1,IF(3=life_it,0.5,0))+Sens!I19762*IF(2&lt;life_it,1,IF(2=life_it,0.5,0))+Sens!J19762*IF(1&lt;life_it,1,IF(1=life_it,0.5,0))+Sens!K19762*0.5)/life_it</f>
        <v>139.097497148157</v>
      </c>
    </row>
    <row r="19765" customFormat="false" ht="17.15" hidden="false" customHeight="false" outlineLevel="0" collapsed="false">
      <c r="A19765" s="0" t="s">
        <v>1004</v>
      </c>
      <c r="B19765" s="0" t="s">
        <v>98</v>
      </c>
      <c r="E19765" s="6" t="n">
        <f aca="false">(Sens!C19759*IF(2&lt;life_fac,1,IF(2=life_fac,0.5,0))+Sens!D19759*IF(1&lt;life_fac,1,IF(1=life_fac,0.5,0))+Sens!E19759*0.5)/life_fac</f>
        <v>1.2448275</v>
      </c>
      <c r="F19765" s="6" t="n">
        <f aca="false">(Sens!C19759*IF(3&lt;life_fac,1,IF(3=life_fac,0.5,0))+Sens!D19759*IF(2&lt;life_fac,1,IF(2=life_fac,0.5,0))+Sens!E19759*IF(1&lt;life_fac,1,IF(1=life_fac,0.5,0))+Sens!F19759*0.5)/life_fac</f>
        <v>2.508829492925</v>
      </c>
      <c r="G19765" s="6" t="n">
        <f aca="false">(Sens!C19759*IF(4&lt;life_fac,1,IF(4=life_fac,0.5,0))+Sens!D19759*IF(3&lt;life_fac,1,IF(3=life_fac,0.5,0))+Sens!E19759*IF(2&lt;life_fac,1,IF(2=life_fac,0.5,0))+Sens!F19759*IF(1&lt;life_fac,1,IF(1=life_fac,0.5,0))+Sens!G19759*0.5)/life_fac</f>
        <v>4.170838978775</v>
      </c>
      <c r="H19765" s="6" t="n">
        <f aca="false">(Sens!C19759*IF(5&lt;life_fac,1,IF(5=life_fac,0.5,0))+Sens!D19759*IF(4&lt;life_fac,1,IF(4=life_fac,0.5,0))+Sens!E19759*IF(3&lt;life_fac,1,IF(3=life_fac,0.5,0))+Sens!F19759*IF(2&lt;life_fac,1,IF(2=life_fac,0.5,0))+Sens!G19759*IF(1&lt;life_fac,1,IF(1=life_fac,0.5,0))+Sens!H19759*0.5)/life_fac</f>
        <v>5.898098964625</v>
      </c>
      <c r="I19765" s="6" t="n">
        <f aca="false">(Sens!C19759*IF(6&lt;life_fac,1,IF(6=life_fac,0.5,0))+Sens!D19759*IF(5&lt;life_fac,1,IF(5=life_fac,0.5,0))+Sens!E19759*IF(4&lt;life_fac,1,IF(4=life_fac,0.5,0))+Sens!F19759*IF(3&lt;life_fac,1,IF(3=life_fac,0.5,0))+Sens!G19759*IF(2&lt;life_fac,1,IF(2=life_fac,0.5,0))+Sens!H19759*IF(1&lt;life_fac,1,IF(1=life_fac,0.5,0))+Sens!I19759*0.5)/life_fac</f>
        <v>7.37368556095442</v>
      </c>
      <c r="J19765" s="6" t="n">
        <f aca="false">(Sens!C19759*IF(7&lt;life_fac,1,IF(7=life_fac,0.5,0))+Sens!D19759*IF(6&lt;life_fac,1,IF(6=life_fac,0.5,0))+Sens!E19759*IF(5&lt;life_fac,1,IF(5=life_fac,0.5,0))+Sens!F19759*IF(4&lt;life_fac,1,IF(4=life_fac,0.5,0))+Sens!G19759*IF(3&lt;life_fac,1,IF(3=life_fac,0.5,0))+Sens!H19759*IF(2&lt;life_fac,1,IF(2=life_fac,0.5,0))+Sens!I19759*IF(1&lt;life_fac,1,IF(1=life_fac,0.5,0))+Sens!J19759*0.5)/life_fac</f>
        <v>8.35816451031075</v>
      </c>
      <c r="K19765" s="6" t="n">
        <f aca="false">(Sens!C19759*IF(8&lt;life_fac,1,IF(8=life_fac,0.5,0))+Sens!D19759*IF(7&lt;life_fac,1,IF(7=life_fac,0.5,0))+Sens!E19759*IF(6&lt;life_fac,1,IF(6=life_fac,0.5,0))+Sens!F19759*IF(5&lt;life_fac,1,IF(5=life_fac,0.5,0))+Sens!G19759*IF(4&lt;life_fac,1,IF(4=life_fac,0.5,0))+Sens!H19759*IF(3&lt;life_fac,1,IF(3=life_fac,0.5,0))+Sens!I19759*IF(2&lt;life_fac,1,IF(2=life_fac,0.5,0))+Sens!J19759*IF(1&lt;life_fac,1,IF(1=life_fac,0.5,0))+Sens!K19759*0.5)/life_fac</f>
        <v>8.86883104910662</v>
      </c>
    </row>
    <row r="19766" customFormat="false" ht="17.15" hidden="false" customHeight="false" outlineLevel="0" collapsed="false">
      <c r="A19766" s="0" t="s">
        <v>1005</v>
      </c>
      <c r="B19766" s="0" t="s">
        <v>98</v>
      </c>
      <c r="E19766" s="6" t="n">
        <f aca="false">Sens!E19764+Sens!E19765</f>
        <v>16.3054059770833</v>
      </c>
      <c r="F19766" s="6" t="n">
        <f aca="false">Sens!F19764+Sens!F19765</f>
        <v>35.0499560737695</v>
      </c>
      <c r="G19766" s="6" t="n">
        <f aca="false">Sens!G19764+Sens!G19765</f>
        <v>62.1848803536636</v>
      </c>
      <c r="H19766" s="6" t="n">
        <f aca="false">Sens!H19764+Sens!H19765</f>
        <v>91.5686933838682</v>
      </c>
      <c r="I19766" s="6" t="n">
        <f aca="false">Sens!I19764+Sens!I19765</f>
        <v>117.660959172613</v>
      </c>
      <c r="J19766" s="6" t="n">
        <f aca="false">Sens!J19764+Sens!J19765</f>
        <v>136.255638179728</v>
      </c>
      <c r="K19766" s="6" t="n">
        <f aca="false">Sens!K19764+Sens!K19765</f>
        <v>147.966328197264</v>
      </c>
    </row>
    <row r="19767" customFormat="false" ht="17.15" hidden="false" customHeight="false" outlineLevel="0" collapsed="false">
      <c r="A19767" s="0" t="s">
        <v>1006</v>
      </c>
      <c r="B19767" s="0" t="s">
        <v>98</v>
      </c>
      <c r="E19767" s="6" t="n">
        <f aca="false">Sens!E19754-Sens!E19753*Sens!E19766</f>
        <v>8.92707889977379</v>
      </c>
      <c r="F19767" s="6" t="n">
        <f aca="false">Sens!F19754-Sens!F19753*Sens!F19766</f>
        <v>19.5414980209358</v>
      </c>
      <c r="G19767" s="6" t="n">
        <f aca="false">Sens!G19754-Sens!G19753*Sens!G19766</f>
        <v>32.5356217943938</v>
      </c>
      <c r="H19767" s="6" t="n">
        <f aca="false">Sens!H19754-Sens!H19753*Sens!H19766</f>
        <v>45.8337294121831</v>
      </c>
      <c r="I19767" s="6" t="n">
        <f aca="false">Sens!I19754-Sens!I19753*Sens!I19766</f>
        <v>57.5970626165714</v>
      </c>
      <c r="J19767" s="6" t="n">
        <f aca="false">Sens!J19754-Sens!J19753*Sens!J19766</f>
        <v>65.819074351253</v>
      </c>
      <c r="K19767" s="6" t="n">
        <f aca="false">Sens!K19754-Sens!K19753*Sens!K19766</f>
        <v>71.5941336511776</v>
      </c>
    </row>
    <row r="19768" customFormat="false" ht="17.15" hidden="false" customHeight="false" outlineLevel="0" collapsed="false">
      <c r="A19768" s="3" t="s">
        <v>2100</v>
      </c>
    </row>
    <row r="19769" customFormat="false" ht="15" hidden="false" customHeight="false" outlineLevel="0" collapsed="false">
      <c r="A19769" s="4" t="s">
        <v>43</v>
      </c>
      <c r="B19769" s="4" t="s">
        <v>65</v>
      </c>
      <c r="C19769" s="23" t="s">
        <v>942</v>
      </c>
      <c r="D19769" s="23" t="s">
        <v>943</v>
      </c>
      <c r="E19769" s="23" t="s">
        <v>944</v>
      </c>
      <c r="F19769" s="23" t="s">
        <v>945</v>
      </c>
      <c r="G19769" s="23" t="s">
        <v>946</v>
      </c>
      <c r="H19769" s="23" t="s">
        <v>947</v>
      </c>
      <c r="I19769" s="23" t="s">
        <v>948</v>
      </c>
      <c r="J19769" s="23" t="s">
        <v>949</v>
      </c>
      <c r="K19769" s="23" t="s">
        <v>950</v>
      </c>
      <c r="L19769" s="4" t="s">
        <v>47</v>
      </c>
    </row>
    <row r="19770" customFormat="false" ht="17.15" hidden="false" customHeight="false" outlineLevel="0" collapsed="false">
      <c r="A19770" s="0" t="s">
        <v>1025</v>
      </c>
      <c r="B19770" s="0" t="s">
        <v>98</v>
      </c>
      <c r="D19770" s="6" t="n">
        <f aca="false">Sens!D19748</f>
        <v>12.9359794422418</v>
      </c>
      <c r="E19770" s="6" t="n">
        <f aca="false">Sens!E19748</f>
        <v>27.8095064661409</v>
      </c>
      <c r="F19770" s="6" t="n">
        <f aca="false">Sens!F19748</f>
        <v>56.438649603721</v>
      </c>
      <c r="G19770" s="6" t="n">
        <f aca="false">Sens!G19748</f>
        <v>93.5318692245278</v>
      </c>
      <c r="H19770" s="6" t="n">
        <f aca="false">Sens!H19748</f>
        <v>131.710035147008</v>
      </c>
      <c r="I19770" s="6" t="n">
        <f aca="false">Sens!I19748</f>
        <v>165.3997610979</v>
      </c>
      <c r="J19770" s="6" t="n">
        <f aca="false">Sens!J19748</f>
        <v>189.042949247289</v>
      </c>
      <c r="K19770" s="6" t="n">
        <f aca="false">Sens!K19748</f>
        <v>204.254889360477</v>
      </c>
    </row>
    <row r="19771" customFormat="false" ht="17.15" hidden="false" customHeight="false" outlineLevel="0" collapsed="false">
      <c r="A19771" s="0" t="s">
        <v>1026</v>
      </c>
      <c r="B19771" s="0" t="s">
        <v>98</v>
      </c>
      <c r="D19771" s="6" t="n">
        <f aca="false">Q!L6-Sens!D19770</f>
        <v>59.6740205577583</v>
      </c>
      <c r="E19771" s="6" t="n">
        <f aca="false">Q!M6-Sens!E19770</f>
        <v>74.1284935338591</v>
      </c>
      <c r="F19771" s="6" t="n">
        <f aca="false">Q!$I$6+(Sens!F19770+Sens!E19771*(1+Sens!F19772))*(1-Q!$E$6/Q!M6)-Sens!F19770</f>
        <v>91.071743203484</v>
      </c>
      <c r="G19771" s="6" t="n">
        <f aca="false">Sens!F19771*(1+Sens!G19772)</f>
        <v>108.206823871548</v>
      </c>
      <c r="H19771" s="6" t="n">
        <f aca="false">Sens!G19771*(1+Sens!H19772)</f>
        <v>125.640235351199</v>
      </c>
      <c r="I19771" s="6" t="n">
        <f aca="false">Sens!H19771*(1+Sens!I19772)</f>
        <v>142.485403127533</v>
      </c>
      <c r="J19771" s="6" t="n">
        <f aca="false">Sens!I19771*(1+Sens!J19772)</f>
        <v>157.73665793971</v>
      </c>
      <c r="K19771" s="6" t="n">
        <f aca="false">Sens!J19771*(1+Sens!K19772)</f>
        <v>170.355590574887</v>
      </c>
      <c r="L19771" s="12" t="s">
        <v>1027</v>
      </c>
    </row>
    <row r="19772" customFormat="false" ht="15" hidden="false" customHeight="false" outlineLevel="0" collapsed="false">
      <c r="A19772" s="1" t="s">
        <v>1028</v>
      </c>
      <c r="B19772" s="0" t="s">
        <v>168</v>
      </c>
      <c r="E19772" s="7" t="n">
        <f aca="false">Sens!E19771/Sens!D19771-1</f>
        <v>0.242223883039864</v>
      </c>
      <c r="F19772" s="7" t="n">
        <f aca="false">Sens!$E$19772+(glt_azo-Sens!$E$19772)*MIN(1,(Sens!F19729-base_fy)/n_conv)</f>
        <v>0.215186569199887</v>
      </c>
      <c r="G19772" s="7" t="n">
        <f aca="false">Sens!$E$19772+(glt_azo-Sens!$E$19772)*MIN(1,(Sens!G19729-base_fy)/n_conv)</f>
        <v>0.18814925535991</v>
      </c>
      <c r="H19772" s="7" t="n">
        <f aca="false">Sens!$E$19772+(glt_azo-Sens!$E$19772)*MIN(1,(Sens!H19729-base_fy)/n_conv)</f>
        <v>0.161111941519932</v>
      </c>
      <c r="I19772" s="7" t="n">
        <f aca="false">Sens!$E$19772+(glt_azo-Sens!$E$19772)*MIN(1,(Sens!I19729-base_fy)/n_conv)</f>
        <v>0.134074627679955</v>
      </c>
      <c r="J19772" s="7" t="n">
        <f aca="false">Sens!$E$19772+(glt_azo-Sens!$E$19772)*MIN(1,(Sens!J19729-base_fy)/n_conv)</f>
        <v>0.107037313839977</v>
      </c>
      <c r="K19772" s="7" t="n">
        <f aca="false">Sens!$E$19772+(glt_azo-Sens!$E$19772)*MIN(1,(Sens!K19729-base_fy)/n_conv)</f>
        <v>0.08</v>
      </c>
    </row>
    <row r="19773" customFormat="false" ht="15" hidden="false" customHeight="false" outlineLevel="0" collapsed="false">
      <c r="A19773" s="0" t="s">
        <v>1029</v>
      </c>
      <c r="B19773" s="0" t="s">
        <v>98</v>
      </c>
      <c r="D19773" s="6" t="n">
        <f aca="false">Sens!D19770+Sens!D19771</f>
        <v>72.61</v>
      </c>
      <c r="E19773" s="6" t="n">
        <f aca="false">Sens!E19770+Sens!E19771</f>
        <v>101.938</v>
      </c>
      <c r="F19773" s="6" t="n">
        <f aca="false">Sens!F19770+Sens!F19771</f>
        <v>147.510392807205</v>
      </c>
      <c r="G19773" s="6" t="n">
        <f aca="false">Sens!G19770+Sens!G19771</f>
        <v>201.738693096076</v>
      </c>
      <c r="H19773" s="6" t="n">
        <f aca="false">Sens!H19770+Sens!H19771</f>
        <v>257.350270498207</v>
      </c>
      <c r="I19773" s="6" t="n">
        <f aca="false">Sens!I19770+Sens!I19771</f>
        <v>307.885164225433</v>
      </c>
      <c r="J19773" s="6" t="n">
        <f aca="false">Sens!J19770+Sens!J19771</f>
        <v>346.779607186999</v>
      </c>
      <c r="K19773" s="6" t="n">
        <f aca="false">Sens!K19770+Sens!K19771</f>
        <v>374.610479935364</v>
      </c>
    </row>
    <row r="19774" customFormat="false" ht="17.15" hidden="false" customHeight="false" outlineLevel="0" collapsed="false">
      <c r="A19774" s="0" t="s">
        <v>1030</v>
      </c>
      <c r="B19774" s="1" t="s">
        <v>613</v>
      </c>
      <c r="C19774" s="30" t="n">
        <f aca="false">cop_s24</f>
        <v>1</v>
      </c>
      <c r="D19774" s="30" t="n">
        <f aca="false">cop_s25</f>
        <v>5</v>
      </c>
      <c r="E19774" s="30" t="n">
        <f aca="false">cop_s26</f>
        <v>30</v>
      </c>
      <c r="F19774" s="30" t="n">
        <f aca="false">Sens!E19774+cop_add_B</f>
        <v>50</v>
      </c>
      <c r="G19774" s="30" t="n">
        <f aca="false">Sens!F19774+cop_add_B</f>
        <v>70</v>
      </c>
      <c r="H19774" s="30" t="n">
        <f aca="false">Sens!G19774+cop_add_B</f>
        <v>90</v>
      </c>
      <c r="I19774" s="30" t="n">
        <f aca="false">Sens!H19774+cop_add_B*cop_tail</f>
        <v>100</v>
      </c>
      <c r="J19774" s="30" t="n">
        <f aca="false">Sens!I19774+cop_add_B*cop_tail</f>
        <v>110</v>
      </c>
      <c r="K19774" s="30" t="n">
        <f aca="false">Sens!J19774+cop_add_B*cop_tail</f>
        <v>120</v>
      </c>
      <c r="L19774" s="12" t="s">
        <v>1031</v>
      </c>
    </row>
    <row r="19775" customFormat="false" ht="17.15" hidden="false" customHeight="false" outlineLevel="0" collapsed="false">
      <c r="A19775" s="0" t="s">
        <v>1032</v>
      </c>
      <c r="B19775" s="0" t="s">
        <v>98</v>
      </c>
      <c r="D19775" s="6" t="n">
        <f aca="false">(Sens!C19774+Sens!D19774)/2*cop_px*12/1000</f>
        <v>0.9</v>
      </c>
      <c r="E19775" s="6" t="n">
        <f aca="false">(Sens!D19774+Sens!E19774)/2*cop_px*12/1000</f>
        <v>5.25</v>
      </c>
      <c r="F19775" s="6" t="n">
        <f aca="false">(Sens!E19774+Sens!F19774)/2*cop_px*12/1000</f>
        <v>12</v>
      </c>
      <c r="G19775" s="6" t="n">
        <f aca="false">(Sens!F19774+Sens!G19774)/2*cop_px*12/1000</f>
        <v>18</v>
      </c>
      <c r="H19775" s="6" t="n">
        <f aca="false">(Sens!G19774+Sens!H19774)/2*cop_px*12/1000</f>
        <v>24</v>
      </c>
      <c r="I19775" s="6" t="n">
        <f aca="false">(Sens!H19774+Sens!I19774)/2*cop_px*12/1000</f>
        <v>28.5</v>
      </c>
      <c r="J19775" s="6" t="n">
        <f aca="false">(Sens!I19774+Sens!J19774)/2*cop_px*12/1000</f>
        <v>31.5</v>
      </c>
      <c r="K19775" s="6" t="n">
        <f aca="false">(Sens!J19774+Sens!K19774)/2*cop_px*12/1000</f>
        <v>34.5</v>
      </c>
      <c r="L19775" s="1" t="s">
        <v>1033</v>
      </c>
    </row>
    <row r="19776" customFormat="false" ht="17.15" hidden="false" customHeight="false" outlineLevel="0" collapsed="false">
      <c r="A19776" s="0" t="s">
        <v>1034</v>
      </c>
      <c r="B19776" s="0" t="s">
        <v>98</v>
      </c>
      <c r="D19776" s="6" t="n">
        <f aca="false">Q!L7-Sens!D19775</f>
        <v>83.705</v>
      </c>
      <c r="E19776" s="6" t="n">
        <f aca="false">Q!M7-Sens!E19775</f>
        <v>95.049</v>
      </c>
      <c r="F19776" s="6" t="n">
        <f aca="false">Q!$I$7+(Sens!E19776*(1+Sens!F19777)+Sens!F19775)*(1-Q!$E$7/Q!M7)-Sens!F19775</f>
        <v>106.584003697747</v>
      </c>
      <c r="G19776" s="6" t="n">
        <f aca="false">Sens!F19776*(1+Sens!G19777)</f>
        <v>118.700726545688</v>
      </c>
      <c r="H19776" s="6" t="n">
        <f aca="false">Sens!G19776*(1+Sens!H19777)</f>
        <v>130.898624783666</v>
      </c>
      <c r="I19776" s="6" t="n">
        <f aca="false">Sens!H19776*(1+Sens!I19777)</f>
        <v>142.920510030657</v>
      </c>
      <c r="J19776" s="6" t="n">
        <f aca="false">Sens!I19776*(1+Sens!J19777)</f>
        <v>154.485722618572</v>
      </c>
      <c r="K19776" s="6" t="n">
        <f aca="false">Sens!J19776*(1+Sens!K19777)</f>
        <v>165.299723201872</v>
      </c>
      <c r="L19776" s="12" t="s">
        <v>1035</v>
      </c>
    </row>
    <row r="19777" customFormat="false" ht="15" hidden="false" customHeight="false" outlineLevel="0" collapsed="false">
      <c r="A19777" s="1" t="s">
        <v>1028</v>
      </c>
      <c r="B19777" s="0" t="s">
        <v>168</v>
      </c>
      <c r="E19777" s="7" t="n">
        <f aca="false">Sens!E19776/Sens!D19776-1</f>
        <v>0.135523564900544</v>
      </c>
      <c r="F19777" s="7" t="n">
        <f aca="false">Sens!$E$19777+(glt_m365b-Sens!$E$19777)*MIN(1,(Sens!F19729-base_fy)/n_conv)</f>
        <v>0.124602970750453</v>
      </c>
      <c r="G19777" s="7" t="n">
        <f aca="false">Sens!$E$19777+(glt_m365b-Sens!$E$19777)*MIN(1,(Sens!G19729-base_fy)/n_conv)</f>
        <v>0.113682376600363</v>
      </c>
      <c r="H19777" s="7" t="n">
        <f aca="false">Sens!$E$19777+(glt_m365b-Sens!$E$19777)*MIN(1,(Sens!H19729-base_fy)/n_conv)</f>
        <v>0.102761782450272</v>
      </c>
      <c r="I19777" s="7" t="n">
        <f aca="false">Sens!$E$19777+(glt_m365b-Sens!$E$19777)*MIN(1,(Sens!I19729-base_fy)/n_conv)</f>
        <v>0.0918411883001813</v>
      </c>
      <c r="J19777" s="7" t="n">
        <f aca="false">Sens!$E$19777+(glt_m365b-Sens!$E$19777)*MIN(1,(Sens!J19729-base_fy)/n_conv)</f>
        <v>0.0809205941500906</v>
      </c>
      <c r="K19777" s="7" t="n">
        <f aca="false">Sens!$E$19777+(glt_m365b-Sens!$E$19777)*MIN(1,(Sens!K19729-base_fy)/n_conv)</f>
        <v>0.07</v>
      </c>
    </row>
    <row r="19778" customFormat="false" ht="15" hidden="false" customHeight="false" outlineLevel="0" collapsed="false">
      <c r="A19778" s="0" t="s">
        <v>1036</v>
      </c>
      <c r="B19778" s="0" t="s">
        <v>98</v>
      </c>
      <c r="D19778" s="6" t="n">
        <f aca="false">Sens!D19776+Sens!D19775</f>
        <v>84.605</v>
      </c>
      <c r="E19778" s="6" t="n">
        <f aca="false">Sens!E19776+Sens!E19775</f>
        <v>100.299</v>
      </c>
      <c r="F19778" s="6" t="n">
        <f aca="false">Sens!F19776+Sens!F19775</f>
        <v>118.584003697747</v>
      </c>
      <c r="G19778" s="6" t="n">
        <f aca="false">Sens!G19776+Sens!G19775</f>
        <v>136.700726545688</v>
      </c>
      <c r="H19778" s="6" t="n">
        <f aca="false">Sens!H19776+Sens!H19775</f>
        <v>154.898624783666</v>
      </c>
      <c r="I19778" s="6" t="n">
        <f aca="false">Sens!I19776+Sens!I19775</f>
        <v>171.420510030657</v>
      </c>
      <c r="J19778" s="6" t="n">
        <f aca="false">Sens!J19776+Sens!J19775</f>
        <v>185.985722618572</v>
      </c>
      <c r="K19778" s="6" t="n">
        <f aca="false">Sens!K19776+Sens!K19775</f>
        <v>199.799723201872</v>
      </c>
    </row>
    <row r="19779" customFormat="false" ht="17.15" hidden="false" customHeight="false" outlineLevel="0" collapsed="false">
      <c r="A19779" s="0" t="s">
        <v>1037</v>
      </c>
      <c r="B19779" s="0" t="s">
        <v>98</v>
      </c>
      <c r="D19779" s="6" t="n">
        <f aca="false">Q!L8</f>
        <v>35.391</v>
      </c>
      <c r="E19779" s="6" t="n">
        <f aca="false">Q!M8</f>
        <v>37.285</v>
      </c>
      <c r="F19779" s="6" t="n">
        <f aca="false">Q!$I$8+(Q!M8-Q!$E$8)*(1+Sens!F19780)</f>
        <v>38.3851437782675</v>
      </c>
      <c r="G19779" s="6" t="n">
        <f aca="false">Sens!F19779*(1+Sens!G19780)</f>
        <v>40.0105353288615</v>
      </c>
      <c r="H19779" s="6" t="n">
        <f aca="false">Sens!G19779*(1+Sens!H19780)</f>
        <v>41.4812512033683</v>
      </c>
      <c r="I19779" s="6" t="n">
        <f aca="false">Sens!H19779*(1+Sens!I19780)</f>
        <v>42.7743107216329</v>
      </c>
      <c r="J19779" s="6" t="n">
        <f aca="false">Sens!I19779*(1+Sens!J19780)</f>
        <v>43.8687373064601</v>
      </c>
      <c r="K19779" s="6" t="n">
        <f aca="false">Sens!J19779*(1+Sens!K19780)</f>
        <v>44.7461120525893</v>
      </c>
      <c r="L19779" s="12" t="s">
        <v>1038</v>
      </c>
    </row>
    <row r="19780" customFormat="false" ht="15" hidden="false" customHeight="false" outlineLevel="0" collapsed="false">
      <c r="A19780" s="1" t="s">
        <v>1028</v>
      </c>
      <c r="B19780" s="0" t="s">
        <v>168</v>
      </c>
      <c r="E19780" s="7" t="n">
        <f aca="false">Sens!E19779/Sens!D19779-1</f>
        <v>0.0535164307309768</v>
      </c>
      <c r="F19780" s="7" t="n">
        <f aca="false">Sens!$E$19780+(glt_lic-Sens!$E$19780)*MIN(1,(Sens!F19729-base_fy)/n_conv)</f>
        <v>0.0479303589424807</v>
      </c>
      <c r="G19780" s="7" t="n">
        <f aca="false">Sens!$E$19780+(glt_lic-Sens!$E$19780)*MIN(1,(Sens!G19729-base_fy)/n_conv)</f>
        <v>0.0423442871539845</v>
      </c>
      <c r="H19780" s="7" t="n">
        <f aca="false">Sens!$E$19780+(glt_lic-Sens!$E$19780)*MIN(1,(Sens!H19729-base_fy)/n_conv)</f>
        <v>0.0367582153654884</v>
      </c>
      <c r="I19780" s="7" t="n">
        <f aca="false">Sens!$E$19780+(glt_lic-Sens!$E$19780)*MIN(1,(Sens!I19729-base_fy)/n_conv)</f>
        <v>0.0311721435769923</v>
      </c>
      <c r="J19780" s="7" t="n">
        <f aca="false">Sens!$E$19780+(glt_lic-Sens!$E$19780)*MIN(1,(Sens!J19729-base_fy)/n_conv)</f>
        <v>0.0255860717884961</v>
      </c>
      <c r="K19780" s="7" t="n">
        <f aca="false">Sens!$E$19780+(glt_lic-Sens!$E$19780)*MIN(1,(Sens!K19729-base_fy)/n_conv)</f>
        <v>0.02</v>
      </c>
    </row>
    <row r="19781" customFormat="false" ht="17.15" hidden="false" customHeight="false" outlineLevel="0" collapsed="false">
      <c r="A19781" s="0" t="s">
        <v>1039</v>
      </c>
      <c r="B19781" s="0" t="s">
        <v>98</v>
      </c>
      <c r="D19781" s="6" t="n">
        <f aca="false">Q!L9</f>
        <v>18.417</v>
      </c>
      <c r="E19781" s="6" t="n">
        <f aca="false">Q!M9</f>
        <v>20.345</v>
      </c>
      <c r="F19781" s="6" t="n">
        <f aca="false">Q!$I$9+(Q!M9-Q!$E$9)*(1+Sens!F19782)</f>
        <v>22.3161797133988</v>
      </c>
      <c r="G19781" s="6" t="n">
        <f aca="false">Sens!F19781*(1+Sens!G19782)</f>
        <v>24.3943499673233</v>
      </c>
      <c r="H19781" s="6" t="n">
        <f aca="false">Sens!G19781*(1+Sens!H19782)</f>
        <v>26.5250243109019</v>
      </c>
      <c r="I19781" s="6" t="n">
        <f aca="false">Sens!H19781*(1+Sens!I19782)</f>
        <v>28.6884573538181</v>
      </c>
      <c r="J19781" s="6" t="n">
        <f aca="false">Sens!I19781*(1+Sens!J19782)</f>
        <v>30.8624968052127</v>
      </c>
      <c r="K19781" s="6" t="n">
        <f aca="false">Sens!J19781*(1+Sens!K19782)</f>
        <v>33.0228715815776</v>
      </c>
      <c r="L19781" s="12" t="s">
        <v>1038</v>
      </c>
    </row>
    <row r="19782" customFormat="false" ht="15" hidden="false" customHeight="false" outlineLevel="0" collapsed="false">
      <c r="A19782" s="1" t="s">
        <v>1028</v>
      </c>
      <c r="B19782" s="0" t="s">
        <v>168</v>
      </c>
      <c r="E19782" s="7" t="n">
        <f aca="false">Sens!E19781/Sens!D19781-1</f>
        <v>0.104685888038225</v>
      </c>
      <c r="F19782" s="7" t="n">
        <f aca="false">Sens!$E$19782+(glt_ind-Sens!$E$19782)*MIN(1,(Sens!F19729-base_fy)/n_conv)</f>
        <v>0.0989049066985211</v>
      </c>
      <c r="G19782" s="7" t="n">
        <f aca="false">Sens!$E$19782+(glt_ind-Sens!$E$19782)*MIN(1,(Sens!G19729-base_fy)/n_conv)</f>
        <v>0.0931239253588169</v>
      </c>
      <c r="H19782" s="7" t="n">
        <f aca="false">Sens!$E$19782+(glt_ind-Sens!$E$19782)*MIN(1,(Sens!H19729-base_fy)/n_conv)</f>
        <v>0.0873429440191127</v>
      </c>
      <c r="I19782" s="7" t="n">
        <f aca="false">Sens!$E$19782+(glt_ind-Sens!$E$19782)*MIN(1,(Sens!I19729-base_fy)/n_conv)</f>
        <v>0.0815619626794085</v>
      </c>
      <c r="J19782" s="7" t="n">
        <f aca="false">Sens!$E$19782+(glt_ind-Sens!$E$19782)*MIN(1,(Sens!J19729-base_fy)/n_conv)</f>
        <v>0.0757809813397042</v>
      </c>
      <c r="K19782" s="7" t="n">
        <f aca="false">Sens!$E$19782+(glt_ind-Sens!$E$19782)*MIN(1,(Sens!K19729-base_fy)/n_conv)</f>
        <v>0.07</v>
      </c>
    </row>
    <row r="19783" customFormat="false" ht="17.15" hidden="false" customHeight="false" outlineLevel="0" collapsed="false">
      <c r="A19783" s="0" t="s">
        <v>1040</v>
      </c>
      <c r="B19783" s="0" t="s">
        <v>98</v>
      </c>
      <c r="D19783" s="6" t="n">
        <f aca="false">Q!L10</f>
        <v>7.76</v>
      </c>
      <c r="E19783" s="6" t="n">
        <f aca="false">Q!M10</f>
        <v>8.26</v>
      </c>
      <c r="F19783" s="6" t="n">
        <f aca="false">Q!$I$10+(Q!M10-Q!$E$10)*(1+Sens!F19784)</f>
        <v>8.75372082474227</v>
      </c>
      <c r="G19783" s="6" t="n">
        <f aca="false">Sens!F19783*(1+Sens!G19784)</f>
        <v>9.33399324642364</v>
      </c>
      <c r="H19783" s="6" t="n">
        <f aca="false">Sens!G19783*(1+Sens!H19784)</f>
        <v>9.96139155535851</v>
      </c>
      <c r="I19783" s="6" t="n">
        <f aca="false">Sens!H19783*(1+Sens!I19784)</f>
        <v>10.6402039077391</v>
      </c>
      <c r="J19783" s="6" t="n">
        <f aca="false">Sens!I19783*(1+Sens!J19784)</f>
        <v>11.3751458271397</v>
      </c>
      <c r="K19783" s="6" t="n">
        <f aca="false">Sens!J19783*(1+Sens!K19784)</f>
        <v>12.1714060350394</v>
      </c>
      <c r="L19783" s="12" t="s">
        <v>1038</v>
      </c>
    </row>
    <row r="19784" customFormat="false" ht="15" hidden="false" customHeight="false" outlineLevel="0" collapsed="false">
      <c r="A19784" s="1" t="s">
        <v>1028</v>
      </c>
      <c r="B19784" s="0" t="s">
        <v>168</v>
      </c>
      <c r="E19784" s="7" t="n">
        <f aca="false">Sens!E19783/Sens!D19783-1</f>
        <v>0.0644329896907216</v>
      </c>
      <c r="F19784" s="7" t="n">
        <f aca="false">Sens!$E$19784+(glt_fro-Sens!$E$19784)*MIN(1,(Sens!F19729-base_fy)/n_conv)</f>
        <v>0.065360824742268</v>
      </c>
      <c r="G19784" s="7" t="n">
        <f aca="false">Sens!$E$19784+(glt_fro-Sens!$E$19784)*MIN(1,(Sens!G19729-base_fy)/n_conv)</f>
        <v>0.0662886597938144</v>
      </c>
      <c r="H19784" s="7" t="n">
        <f aca="false">Sens!$E$19784+(glt_fro-Sens!$E$19784)*MIN(1,(Sens!H19729-base_fy)/n_conv)</f>
        <v>0.0672164948453608</v>
      </c>
      <c r="I19784" s="7" t="n">
        <f aca="false">Sens!$E$19784+(glt_fro-Sens!$E$19784)*MIN(1,(Sens!I19729-base_fy)/n_conv)</f>
        <v>0.0681443298969072</v>
      </c>
      <c r="J19784" s="7" t="n">
        <f aca="false">Sens!$E$19784+(glt_fro-Sens!$E$19784)*MIN(1,(Sens!J19729-base_fy)/n_conv)</f>
        <v>0.0690721649484536</v>
      </c>
      <c r="K19784" s="7" t="n">
        <f aca="false">Sens!$E$19784+(glt_fro-Sens!$E$19784)*MIN(1,(Sens!K19729-base_fy)/n_conv)</f>
        <v>0.07</v>
      </c>
    </row>
    <row r="19785" customFormat="false" ht="15" hidden="false" customHeight="false" outlineLevel="0" collapsed="false">
      <c r="A19785" s="0" t="s">
        <v>856</v>
      </c>
      <c r="B19785" s="0" t="s">
        <v>98</v>
      </c>
      <c r="D19785" s="6" t="n">
        <f aca="false">Sens!D19773+Sens!D19778+Sens!D19779+Sens!D19781+Sens!D19783</f>
        <v>218.783</v>
      </c>
      <c r="E19785" s="6" t="n">
        <f aca="false">Sens!E19773+Sens!E19778+Sens!E19779+Sens!E19781+Sens!E19783</f>
        <v>268.127</v>
      </c>
      <c r="F19785" s="6" t="n">
        <f aca="false">Sens!F19773+Sens!F19778+Sens!F19779+Sens!F19781+Sens!F19783</f>
        <v>335.54944082136</v>
      </c>
      <c r="G19785" s="6" t="n">
        <f aca="false">Sens!G19773+Sens!G19778+Sens!G19779+Sens!G19781+Sens!G19783</f>
        <v>412.178298184373</v>
      </c>
      <c r="H19785" s="6" t="n">
        <f aca="false">Sens!H19773+Sens!H19778+Sens!H19779+Sens!H19781+Sens!H19783</f>
        <v>490.216562351501</v>
      </c>
      <c r="I19785" s="6" t="n">
        <f aca="false">Sens!I19773+Sens!I19778+Sens!I19779+Sens!I19781+Sens!I19783</f>
        <v>561.40864623928</v>
      </c>
      <c r="J19785" s="6" t="n">
        <f aca="false">Sens!J19773+Sens!J19778+Sens!J19779+Sens!J19781+Sens!J19783</f>
        <v>618.871709744383</v>
      </c>
      <c r="K19785" s="6" t="n">
        <f aca="false">Sens!K19773+Sens!K19778+Sens!K19779+Sens!K19781+Sens!K19783</f>
        <v>664.350592806442</v>
      </c>
    </row>
    <row r="19786" customFormat="false" ht="17.15" hidden="false" customHeight="false" outlineLevel="0" collapsed="false">
      <c r="A19786" s="0" t="s">
        <v>1041</v>
      </c>
      <c r="B19786" s="0" t="s">
        <v>98</v>
      </c>
      <c r="D19786" s="6" t="n">
        <f aca="false">Q!L13</f>
        <v>22.171</v>
      </c>
      <c r="E19786" s="6" t="n">
        <f aca="false">Q!M13</f>
        <v>24.835</v>
      </c>
      <c r="F19786" s="6" t="n">
        <f aca="false">Q!$I$13+(Q!M13-Q!$E$13)*(1+Sens!F19787)</f>
        <v>27.5591895660247</v>
      </c>
      <c r="G19786" s="6" t="n">
        <f aca="false">Sens!F19786*(1+Sens!G19787)</f>
        <v>30.4098563144583</v>
      </c>
      <c r="H19786" s="6" t="n">
        <f aca="false">Sens!G19786*(1+Sens!H19787)</f>
        <v>33.3011792571777</v>
      </c>
      <c r="I19786" s="6" t="n">
        <f aca="false">Sens!H19786*(1+Sens!I19787)</f>
        <v>36.189023797112</v>
      </c>
      <c r="J19786" s="6" t="n">
        <f aca="false">Sens!I19786*(1+Sens!J19787)</f>
        <v>39.0247773769199</v>
      </c>
      <c r="K19786" s="6" t="n">
        <f aca="false">Sens!J19786*(1+Sens!K19787)</f>
        <v>41.7565117933043</v>
      </c>
      <c r="L19786" s="12" t="s">
        <v>1038</v>
      </c>
    </row>
    <row r="19787" customFormat="false" ht="15" hidden="false" customHeight="false" outlineLevel="0" collapsed="false">
      <c r="A19787" s="1" t="s">
        <v>1028</v>
      </c>
      <c r="B19787" s="0" t="s">
        <v>168</v>
      </c>
      <c r="E19787" s="7" t="n">
        <f aca="false">Sens!E19786/Sens!D19786-1</f>
        <v>0.120156961796942</v>
      </c>
      <c r="F19787" s="7" t="n">
        <f aca="false">Sens!$E$19787+(glt_srch-Sens!$E$19787)*MIN(1,(Sens!F19729-base_fy)/n_conv)</f>
        <v>0.111797468164118</v>
      </c>
      <c r="G19787" s="7" t="n">
        <f aca="false">Sens!$E$19787+(glt_srch-Sens!$E$19787)*MIN(1,(Sens!G19729-base_fy)/n_conv)</f>
        <v>0.103437974531295</v>
      </c>
      <c r="H19787" s="7" t="n">
        <f aca="false">Sens!$E$19787+(glt_srch-Sens!$E$19787)*MIN(1,(Sens!H19729-base_fy)/n_conv)</f>
        <v>0.095078480898471</v>
      </c>
      <c r="I19787" s="7" t="n">
        <f aca="false">Sens!$E$19787+(glt_srch-Sens!$E$19787)*MIN(1,(Sens!I19729-base_fy)/n_conv)</f>
        <v>0.0867189872656474</v>
      </c>
      <c r="J19787" s="7" t="n">
        <f aca="false">Sens!$E$19787+(glt_srch-Sens!$E$19787)*MIN(1,(Sens!J19729-base_fy)/n_conv)</f>
        <v>0.0783594936328237</v>
      </c>
      <c r="K19787" s="7" t="n">
        <f aca="false">Sens!$E$19787+(glt_srch-Sens!$E$19787)*MIN(1,(Sens!K19729-base_fy)/n_conv)</f>
        <v>0.07</v>
      </c>
    </row>
    <row r="19788" customFormat="false" ht="17.15" hidden="false" customHeight="false" outlineLevel="0" collapsed="false">
      <c r="A19788" s="0" t="s">
        <v>1042</v>
      </c>
      <c r="B19788" s="0" t="s">
        <v>98</v>
      </c>
      <c r="D19788" s="6" t="n">
        <f aca="false">Q!L14</f>
        <v>23.455</v>
      </c>
      <c r="E19788" s="6" t="n">
        <f aca="false">Q!M14</f>
        <v>21.79</v>
      </c>
      <c r="F19788" s="6" t="n">
        <f aca="false">Q!$I$14+(Q!M14-Q!$E$14)*(1+Sens!F19789)</f>
        <v>20.7520981041711</v>
      </c>
      <c r="G19788" s="6" t="n">
        <f aca="false">Sens!F19788*(1+Sens!G19789)</f>
        <v>19.9083593495882</v>
      </c>
      <c r="H19788" s="6" t="n">
        <f aca="false">Sens!G19788*(1+Sens!H19789)</f>
        <v>19.4008256265831</v>
      </c>
      <c r="I19788" s="6" t="n">
        <f aca="false">Sens!H19788*(1+Sens!I19789)</f>
        <v>19.200434522122</v>
      </c>
      <c r="J19788" s="6" t="n">
        <f aca="false">Sens!I19788*(1+Sens!J19789)</f>
        <v>19.2932782348507</v>
      </c>
      <c r="K19788" s="6" t="n">
        <f aca="false">Sens!J19788*(1+Sens!K19789)</f>
        <v>19.6791437995477</v>
      </c>
      <c r="L19788" s="12" t="s">
        <v>1038</v>
      </c>
    </row>
    <row r="19789" customFormat="false" ht="15" hidden="false" customHeight="false" outlineLevel="0" collapsed="false">
      <c r="A19789" s="1" t="s">
        <v>1028</v>
      </c>
      <c r="B19789" s="0" t="s">
        <v>168</v>
      </c>
      <c r="E19789" s="7" t="n">
        <f aca="false">Sens!E19788/Sens!D19788-1</f>
        <v>-0.0709869963760392</v>
      </c>
      <c r="F19789" s="7" t="n">
        <f aca="false">Sens!$E$19789+(glt_xbox-Sens!$E$19789)*MIN(1,(Sens!F19729-base_fy)/n_conv)</f>
        <v>-0.0558224969800327</v>
      </c>
      <c r="G19789" s="7" t="n">
        <f aca="false">Sens!$E$19789+(glt_xbox-Sens!$E$19789)*MIN(1,(Sens!G19729-base_fy)/n_conv)</f>
        <v>-0.0406579975840262</v>
      </c>
      <c r="H19789" s="7" t="n">
        <f aca="false">Sens!$E$19789+(glt_xbox-Sens!$E$19789)*MIN(1,(Sens!H19729-base_fy)/n_conv)</f>
        <v>-0.0254934981880196</v>
      </c>
      <c r="I19789" s="7" t="n">
        <f aca="false">Sens!$E$19789+(glt_xbox-Sens!$E$19789)*MIN(1,(Sens!I19729-base_fy)/n_conv)</f>
        <v>-0.0103289987920131</v>
      </c>
      <c r="J19789" s="7" t="n">
        <f aca="false">Sens!$E$19789+(glt_xbox-Sens!$E$19789)*MIN(1,(Sens!J19729-base_fy)/n_conv)</f>
        <v>0.00483550060399347</v>
      </c>
      <c r="K19789" s="7" t="n">
        <f aca="false">Sens!$E$19789+(glt_xbox-Sens!$E$19789)*MIN(1,(Sens!K19729-base_fy)/n_conv)</f>
        <v>0.02</v>
      </c>
    </row>
    <row r="19790" customFormat="false" ht="17.15" hidden="false" customHeight="false" outlineLevel="0" collapsed="false">
      <c r="A19790" s="0" t="s">
        <v>1043</v>
      </c>
      <c r="B19790" s="0" t="s">
        <v>98</v>
      </c>
      <c r="D19790" s="6" t="n">
        <f aca="false">Q!L15</f>
        <v>17.315</v>
      </c>
      <c r="E19790" s="6" t="n">
        <f aca="false">Q!M15</f>
        <v>17.087</v>
      </c>
      <c r="F19790" s="6" t="n">
        <f aca="false">Q!$I$15+(Q!M15-Q!$E$15)*(1+Sens!F19791)</f>
        <v>15.9912273250553</v>
      </c>
      <c r="G19790" s="6" t="n">
        <f aca="false">Sens!F19790*(1+Sens!G19791)</f>
        <v>15.9574562664827</v>
      </c>
      <c r="H19790" s="6" t="n">
        <f aca="false">Sens!G19790*(1+Sens!H19791)</f>
        <v>16.0119687434196</v>
      </c>
      <c r="I19790" s="6" t="n">
        <f aca="false">Sens!H19790*(1+Sens!I19791)</f>
        <v>16.1551810001948</v>
      </c>
      <c r="J19790" s="6" t="n">
        <f aca="false">Sens!I19790*(1+Sens!J19791)</f>
        <v>16.3889793892005</v>
      </c>
      <c r="K19790" s="6" t="n">
        <f aca="false">Sens!J19790*(1+Sens!K19791)</f>
        <v>16.7167589769845</v>
      </c>
      <c r="L19790" s="12" t="s">
        <v>1038</v>
      </c>
    </row>
    <row r="19791" customFormat="false" ht="15" hidden="false" customHeight="false" outlineLevel="0" collapsed="false">
      <c r="A19791" s="1" t="s">
        <v>1028</v>
      </c>
      <c r="B19791" s="0" t="s">
        <v>168</v>
      </c>
      <c r="E19791" s="7" t="n">
        <f aca="false">Sens!E19790/Sens!D19790-1</f>
        <v>-0.0131677736066995</v>
      </c>
      <c r="F19791" s="7" t="n">
        <f aca="false">Sens!$E$19791+(glt_win-Sens!$E$19791)*MIN(1,(Sens!F19729-base_fy)/n_conv)</f>
        <v>-0.00763981133891627</v>
      </c>
      <c r="G19791" s="7" t="n">
        <f aca="false">Sens!$E$19791+(glt_win-Sens!$E$19791)*MIN(1,(Sens!G19729-base_fy)/n_conv)</f>
        <v>-0.00211184907113301</v>
      </c>
      <c r="H19791" s="7" t="n">
        <f aca="false">Sens!$E$19791+(glt_win-Sens!$E$19791)*MIN(1,(Sens!H19729-base_fy)/n_conv)</f>
        <v>0.00341611319665024</v>
      </c>
      <c r="I19791" s="7" t="n">
        <f aca="false">Sens!$E$19791+(glt_win-Sens!$E$19791)*MIN(1,(Sens!I19729-base_fy)/n_conv)</f>
        <v>0.00894407546443349</v>
      </c>
      <c r="J19791" s="7" t="n">
        <f aca="false">Sens!$E$19791+(glt_win-Sens!$E$19791)*MIN(1,(Sens!J19729-base_fy)/n_conv)</f>
        <v>0.0144720377322168</v>
      </c>
      <c r="K19791" s="7" t="n">
        <f aca="false">Sens!$E$19791+(glt_win-Sens!$E$19791)*MIN(1,(Sens!K19729-base_fy)/n_conv)</f>
        <v>0.02</v>
      </c>
    </row>
    <row r="19792" customFormat="false" ht="15" hidden="false" customHeight="false" outlineLevel="0" collapsed="false">
      <c r="A19792" s="0" t="s">
        <v>870</v>
      </c>
      <c r="B19792" s="0" t="s">
        <v>98</v>
      </c>
      <c r="D19792" s="6" t="n">
        <f aca="false">Sens!D19786+Sens!D19788+Sens!D19790</f>
        <v>62.941</v>
      </c>
      <c r="E19792" s="6" t="n">
        <f aca="false">Sens!E19786+Sens!E19788+Sens!E19790</f>
        <v>63.712</v>
      </c>
      <c r="F19792" s="6" t="n">
        <f aca="false">Sens!F19786+Sens!F19788+Sens!F19790</f>
        <v>64.3025149952511</v>
      </c>
      <c r="G19792" s="6" t="n">
        <f aca="false">Sens!G19786+Sens!G19788+Sens!G19790</f>
        <v>66.2756719305292</v>
      </c>
      <c r="H19792" s="6" t="n">
        <f aca="false">Sens!H19786+Sens!H19788+Sens!H19790</f>
        <v>68.7139736271804</v>
      </c>
      <c r="I19792" s="6" t="n">
        <f aca="false">Sens!I19786+Sens!I19788+Sens!I19790</f>
        <v>71.5446393194289</v>
      </c>
      <c r="J19792" s="6" t="n">
        <f aca="false">Sens!J19786+Sens!J19788+Sens!J19790</f>
        <v>74.707035000971</v>
      </c>
      <c r="K19792" s="6" t="n">
        <f aca="false">Sens!K19786+Sens!K19788+Sens!K19790</f>
        <v>78.1524145698365</v>
      </c>
    </row>
    <row r="19793" customFormat="false" ht="15" hidden="false" customHeight="false" outlineLevel="0" collapsed="false">
      <c r="A19793" s="1" t="s">
        <v>1044</v>
      </c>
      <c r="B19793" s="0" t="s">
        <v>98</v>
      </c>
      <c r="D19793" s="6" t="n">
        <f aca="false">Sens!D19785+Sens!D19792</f>
        <v>281.724</v>
      </c>
      <c r="E19793" s="6" t="n">
        <f aca="false">Sens!E19785+Sens!E19792</f>
        <v>331.839</v>
      </c>
      <c r="F19793" s="6" t="n">
        <f aca="false">Sens!F19785+Sens!F19792</f>
        <v>399.851955816612</v>
      </c>
      <c r="G19793" s="6" t="n">
        <f aca="false">Sens!G19785+Sens!G19792</f>
        <v>478.453970114902</v>
      </c>
      <c r="H19793" s="6" t="n">
        <f aca="false">Sens!H19785+Sens!H19792</f>
        <v>558.930535978681</v>
      </c>
      <c r="I19793" s="6" t="n">
        <f aca="false">Sens!I19785+Sens!I19792</f>
        <v>632.953285558709</v>
      </c>
      <c r="J19793" s="6" t="n">
        <f aca="false">Sens!J19785+Sens!J19792</f>
        <v>693.578744745354</v>
      </c>
      <c r="K19793" s="6" t="n">
        <f aca="false">Sens!K19785+Sens!K19792</f>
        <v>742.503007376279</v>
      </c>
    </row>
    <row r="19794" customFormat="false" ht="15" hidden="false" customHeight="false" outlineLevel="0" collapsed="false">
      <c r="A19794" s="26" t="s">
        <v>1045</v>
      </c>
      <c r="B19794" s="31" t="s">
        <v>98</v>
      </c>
      <c r="C19794" s="31"/>
      <c r="D19794" s="27" t="n">
        <f aca="false">(Sens!D19773+Sens!D19778+Sens!D19779+Sens!D19781+Sens!D19783-Sens!D19785)+(Sens!D19786+Sens!D19788+Sens!D19790-Sens!D19792)+(Sens!D19785-Q!L5)+(Sens!D19792-Q!L12)+(Sens!D19773-Q!L6)+(Sens!D19778-Q!L7)</f>
        <v>0</v>
      </c>
      <c r="E19794" s="27" t="n">
        <f aca="false">(Sens!E19773+Sens!E19778+Sens!E19779+Sens!E19781+Sens!E19783-Sens!E19785)+(Sens!E19786+Sens!E19788+Sens!E19790-Sens!E19792)+(Sens!E19785-Q!M5)+(Sens!E19792-Q!M12)+(Sens!E19773-Q!M6)+(Sens!E19778-Q!M7)</f>
        <v>0</v>
      </c>
      <c r="F19794" s="27" t="n">
        <f aca="false">(Sens!F19773+Sens!F19778+Sens!F19779+Sens!F19781+Sens!F19783-Sens!F19785)+(Sens!F19786+Sens!F19788+Sens!F19790-Sens!F19792)</f>
        <v>0</v>
      </c>
      <c r="G19794" s="27" t="n">
        <f aca="false">(Sens!G19773+Sens!G19778+Sens!G19779+Sens!G19781+Sens!G19783-Sens!G19785)+(Sens!G19786+Sens!G19788+Sens!G19790-Sens!G19792)</f>
        <v>0</v>
      </c>
      <c r="H19794" s="27" t="n">
        <f aca="false">(Sens!H19773+Sens!H19778+Sens!H19779+Sens!H19781+Sens!H19783-Sens!H19785)+(Sens!H19786+Sens!H19788+Sens!H19790-Sens!H19792)</f>
        <v>0</v>
      </c>
      <c r="I19794" s="27" t="n">
        <f aca="false">(Sens!I19773+Sens!I19778+Sens!I19779+Sens!I19781+Sens!I19783-Sens!I19785)+(Sens!I19786+Sens!I19788+Sens!I19790-Sens!I19792)</f>
        <v>0</v>
      </c>
      <c r="J19794" s="27" t="n">
        <f aca="false">(Sens!J19773+Sens!J19778+Sens!J19779+Sens!J19781+Sens!J19783-Sens!J19785)+(Sens!J19786+Sens!J19788+Sens!J19790-Sens!J19792)</f>
        <v>0</v>
      </c>
      <c r="K19794" s="27" t="n">
        <f aca="false">(Sens!K19773+Sens!K19778+Sens!K19779+Sens!K19781+Sens!K19783-Sens!K19785)+(Sens!K19786+Sens!K19788+Sens!K19790-Sens!K19792)</f>
        <v>0</v>
      </c>
    </row>
    <row r="19795" customFormat="false" ht="17.15" hidden="false" customHeight="false" outlineLevel="0" collapsed="false">
      <c r="A19795" s="3" t="s">
        <v>2101</v>
      </c>
    </row>
    <row r="19796" customFormat="false" ht="15" hidden="false" customHeight="false" outlineLevel="0" collapsed="false">
      <c r="A19796" s="4" t="s">
        <v>43</v>
      </c>
      <c r="B19796" s="4" t="s">
        <v>65</v>
      </c>
      <c r="C19796" s="23" t="s">
        <v>942</v>
      </c>
      <c r="D19796" s="23" t="s">
        <v>943</v>
      </c>
      <c r="E19796" s="23" t="s">
        <v>944</v>
      </c>
      <c r="F19796" s="23" t="s">
        <v>945</v>
      </c>
      <c r="G19796" s="23" t="s">
        <v>946</v>
      </c>
      <c r="H19796" s="23" t="s">
        <v>947</v>
      </c>
      <c r="I19796" s="23" t="s">
        <v>948</v>
      </c>
      <c r="J19796" s="23" t="s">
        <v>949</v>
      </c>
      <c r="K19796" s="23" t="s">
        <v>950</v>
      </c>
      <c r="L19796" s="4" t="s">
        <v>47</v>
      </c>
    </row>
    <row r="19797" customFormat="false" ht="15" hidden="false" customHeight="false" outlineLevel="0" collapsed="false">
      <c r="A19797" s="0" t="s">
        <v>1029</v>
      </c>
      <c r="B19797" s="0" t="s">
        <v>98</v>
      </c>
      <c r="D19797" s="6" t="n">
        <f aca="false">Sens!D19773</f>
        <v>72.61</v>
      </c>
      <c r="E19797" s="6" t="n">
        <f aca="false">Sens!E19773</f>
        <v>101.938</v>
      </c>
      <c r="F19797" s="6" t="n">
        <f aca="false">Sens!F19773</f>
        <v>147.510392807205</v>
      </c>
      <c r="G19797" s="6" t="n">
        <f aca="false">Sens!G19773</f>
        <v>201.738693096076</v>
      </c>
      <c r="H19797" s="6" t="n">
        <f aca="false">Sens!H19773</f>
        <v>257.350270498207</v>
      </c>
      <c r="I19797" s="6" t="n">
        <f aca="false">Sens!I19773</f>
        <v>307.885164225433</v>
      </c>
      <c r="J19797" s="6" t="n">
        <f aca="false">Sens!J19773</f>
        <v>346.779607186999</v>
      </c>
      <c r="K19797" s="6" t="n">
        <f aca="false">Sens!K19773</f>
        <v>374.610479935364</v>
      </c>
    </row>
    <row r="19798" customFormat="false" ht="17.15" hidden="false" customHeight="false" outlineLevel="0" collapsed="false">
      <c r="A19798" s="0" t="s">
        <v>1025</v>
      </c>
      <c r="B19798" s="0" t="s">
        <v>98</v>
      </c>
      <c r="D19798" s="6" t="n">
        <f aca="false">Sens!D19770</f>
        <v>12.9359794422418</v>
      </c>
      <c r="E19798" s="6" t="n">
        <f aca="false">Sens!E19770</f>
        <v>27.8095064661409</v>
      </c>
      <c r="F19798" s="6" t="n">
        <f aca="false">Sens!F19770</f>
        <v>56.438649603721</v>
      </c>
      <c r="G19798" s="6" t="n">
        <f aca="false">Sens!G19770</f>
        <v>93.5318692245278</v>
      </c>
      <c r="H19798" s="6" t="n">
        <f aca="false">Sens!H19770</f>
        <v>131.710035147008</v>
      </c>
      <c r="I19798" s="6" t="n">
        <f aca="false">Sens!I19770</f>
        <v>165.3997610979</v>
      </c>
      <c r="J19798" s="6" t="n">
        <f aca="false">Sens!J19770</f>
        <v>189.042949247289</v>
      </c>
      <c r="K19798" s="6" t="n">
        <f aca="false">Sens!K19770</f>
        <v>204.254889360477</v>
      </c>
    </row>
    <row r="19799" customFormat="false" ht="17.15" hidden="false" customHeight="false" outlineLevel="0" collapsed="false">
      <c r="A19799" s="0" t="s">
        <v>1056</v>
      </c>
      <c r="B19799" s="0" t="s">
        <v>98</v>
      </c>
      <c r="D19799" s="6" t="n">
        <f aca="false">Sens!D19771</f>
        <v>59.6740205577583</v>
      </c>
      <c r="E19799" s="6" t="n">
        <f aca="false">Sens!E19771</f>
        <v>74.1284935338591</v>
      </c>
      <c r="F19799" s="6" t="n">
        <f aca="false">Sens!F19771</f>
        <v>91.071743203484</v>
      </c>
      <c r="G19799" s="6" t="n">
        <f aca="false">Sens!G19771</f>
        <v>108.206823871548</v>
      </c>
      <c r="H19799" s="6" t="n">
        <f aca="false">Sens!H19771</f>
        <v>125.640235351199</v>
      </c>
      <c r="I19799" s="6" t="n">
        <f aca="false">Sens!I19771</f>
        <v>142.485403127533</v>
      </c>
      <c r="J19799" s="6" t="n">
        <f aca="false">Sens!J19771</f>
        <v>157.73665793971</v>
      </c>
      <c r="K19799" s="6" t="n">
        <f aca="false">Sens!K19771</f>
        <v>170.355590574887</v>
      </c>
    </row>
    <row r="19800" customFormat="false" ht="15" hidden="false" customHeight="false" outlineLevel="0" collapsed="false">
      <c r="A19800" s="0" t="s">
        <v>1036</v>
      </c>
      <c r="B19800" s="0" t="s">
        <v>98</v>
      </c>
      <c r="D19800" s="6" t="n">
        <f aca="false">Sens!D19778</f>
        <v>84.605</v>
      </c>
      <c r="E19800" s="6" t="n">
        <f aca="false">Sens!E19778</f>
        <v>100.299</v>
      </c>
      <c r="F19800" s="6" t="n">
        <f aca="false">Sens!F19778</f>
        <v>118.584003697747</v>
      </c>
      <c r="G19800" s="6" t="n">
        <f aca="false">Sens!G19778</f>
        <v>136.700726545688</v>
      </c>
      <c r="H19800" s="6" t="n">
        <f aca="false">Sens!H19778</f>
        <v>154.898624783666</v>
      </c>
      <c r="I19800" s="6" t="n">
        <f aca="false">Sens!I19778</f>
        <v>171.420510030657</v>
      </c>
      <c r="J19800" s="6" t="n">
        <f aca="false">Sens!J19778</f>
        <v>185.985722618572</v>
      </c>
      <c r="K19800" s="6" t="n">
        <f aca="false">Sens!K19778</f>
        <v>199.799723201872</v>
      </c>
    </row>
    <row r="19801" customFormat="false" ht="17.15" hidden="false" customHeight="false" outlineLevel="0" collapsed="false">
      <c r="A19801" s="0" t="s">
        <v>1057</v>
      </c>
      <c r="B19801" s="0" t="s">
        <v>98</v>
      </c>
      <c r="D19801" s="6" t="n">
        <f aca="false">Sens!D19776</f>
        <v>83.705</v>
      </c>
      <c r="E19801" s="6" t="n">
        <f aca="false">Sens!E19776</f>
        <v>95.049</v>
      </c>
      <c r="F19801" s="6" t="n">
        <f aca="false">Sens!F19776</f>
        <v>106.584003697747</v>
      </c>
      <c r="G19801" s="6" t="n">
        <f aca="false">Sens!G19776</f>
        <v>118.700726545688</v>
      </c>
      <c r="H19801" s="6" t="n">
        <f aca="false">Sens!H19776</f>
        <v>130.898624783666</v>
      </c>
      <c r="I19801" s="6" t="n">
        <f aca="false">Sens!I19776</f>
        <v>142.920510030657</v>
      </c>
      <c r="J19801" s="6" t="n">
        <f aca="false">Sens!J19776</f>
        <v>154.485722618572</v>
      </c>
      <c r="K19801" s="6" t="n">
        <f aca="false">Sens!K19776</f>
        <v>165.299723201872</v>
      </c>
    </row>
    <row r="19802" customFormat="false" ht="17.15" hidden="false" customHeight="false" outlineLevel="0" collapsed="false">
      <c r="A19802" s="0" t="s">
        <v>1058</v>
      </c>
      <c r="B19802" s="0" t="s">
        <v>98</v>
      </c>
      <c r="D19802" s="6" t="n">
        <f aca="false">Sens!D19775</f>
        <v>0.9</v>
      </c>
      <c r="E19802" s="6" t="n">
        <f aca="false">Sens!E19775</f>
        <v>5.25</v>
      </c>
      <c r="F19802" s="6" t="n">
        <f aca="false">Sens!F19775</f>
        <v>12</v>
      </c>
      <c r="G19802" s="6" t="n">
        <f aca="false">Sens!G19775</f>
        <v>18</v>
      </c>
      <c r="H19802" s="6" t="n">
        <f aca="false">Sens!H19775</f>
        <v>24</v>
      </c>
      <c r="I19802" s="6" t="n">
        <f aca="false">Sens!I19775</f>
        <v>28.5</v>
      </c>
      <c r="J19802" s="6" t="n">
        <f aca="false">Sens!J19775</f>
        <v>31.5</v>
      </c>
      <c r="K19802" s="6" t="n">
        <f aca="false">Sens!K19775</f>
        <v>34.5</v>
      </c>
    </row>
    <row r="19803" customFormat="false" ht="15" hidden="false" customHeight="false" outlineLevel="0" collapsed="false">
      <c r="A19803" s="0" t="s">
        <v>1037</v>
      </c>
      <c r="B19803" s="0" t="s">
        <v>98</v>
      </c>
      <c r="D19803" s="6" t="n">
        <f aca="false">Sens!D19779</f>
        <v>35.391</v>
      </c>
      <c r="E19803" s="6" t="n">
        <f aca="false">Sens!E19779</f>
        <v>37.285</v>
      </c>
      <c r="F19803" s="6" t="n">
        <f aca="false">Sens!F19779</f>
        <v>38.3851437782675</v>
      </c>
      <c r="G19803" s="6" t="n">
        <f aca="false">Sens!G19779</f>
        <v>40.0105353288615</v>
      </c>
      <c r="H19803" s="6" t="n">
        <f aca="false">Sens!H19779</f>
        <v>41.4812512033683</v>
      </c>
      <c r="I19803" s="6" t="n">
        <f aca="false">Sens!I19779</f>
        <v>42.7743107216329</v>
      </c>
      <c r="J19803" s="6" t="n">
        <f aca="false">Sens!J19779</f>
        <v>43.8687373064601</v>
      </c>
      <c r="K19803" s="6" t="n">
        <f aca="false">Sens!K19779</f>
        <v>44.7461120525893</v>
      </c>
    </row>
    <row r="19804" customFormat="false" ht="15" hidden="false" customHeight="false" outlineLevel="0" collapsed="false">
      <c r="A19804" s="0" t="s">
        <v>1039</v>
      </c>
      <c r="B19804" s="0" t="s">
        <v>98</v>
      </c>
      <c r="D19804" s="6" t="n">
        <f aca="false">Sens!D19781</f>
        <v>18.417</v>
      </c>
      <c r="E19804" s="6" t="n">
        <f aca="false">Sens!E19781</f>
        <v>20.345</v>
      </c>
      <c r="F19804" s="6" t="n">
        <f aca="false">Sens!F19781</f>
        <v>22.3161797133988</v>
      </c>
      <c r="G19804" s="6" t="n">
        <f aca="false">Sens!G19781</f>
        <v>24.3943499673233</v>
      </c>
      <c r="H19804" s="6" t="n">
        <f aca="false">Sens!H19781</f>
        <v>26.5250243109019</v>
      </c>
      <c r="I19804" s="6" t="n">
        <f aca="false">Sens!I19781</f>
        <v>28.6884573538181</v>
      </c>
      <c r="J19804" s="6" t="n">
        <f aca="false">Sens!J19781</f>
        <v>30.8624968052127</v>
      </c>
      <c r="K19804" s="6" t="n">
        <f aca="false">Sens!K19781</f>
        <v>33.0228715815776</v>
      </c>
    </row>
    <row r="19805" customFormat="false" ht="15" hidden="false" customHeight="false" outlineLevel="0" collapsed="false">
      <c r="A19805" s="0" t="s">
        <v>1040</v>
      </c>
      <c r="B19805" s="0" t="s">
        <v>98</v>
      </c>
      <c r="D19805" s="6" t="n">
        <f aca="false">Sens!D19783</f>
        <v>7.76</v>
      </c>
      <c r="E19805" s="6" t="n">
        <f aca="false">Sens!E19783</f>
        <v>8.26</v>
      </c>
      <c r="F19805" s="6" t="n">
        <f aca="false">Sens!F19783</f>
        <v>8.75372082474227</v>
      </c>
      <c r="G19805" s="6" t="n">
        <f aca="false">Sens!G19783</f>
        <v>9.33399324642364</v>
      </c>
      <c r="H19805" s="6" t="n">
        <f aca="false">Sens!H19783</f>
        <v>9.96139155535851</v>
      </c>
      <c r="I19805" s="6" t="n">
        <f aca="false">Sens!I19783</f>
        <v>10.6402039077391</v>
      </c>
      <c r="J19805" s="6" t="n">
        <f aca="false">Sens!J19783</f>
        <v>11.3751458271397</v>
      </c>
      <c r="K19805" s="6" t="n">
        <f aca="false">Sens!K19783</f>
        <v>12.1714060350394</v>
      </c>
    </row>
    <row r="19806" customFormat="false" ht="15" hidden="false" customHeight="false" outlineLevel="0" collapsed="false">
      <c r="A19806" s="0" t="s">
        <v>856</v>
      </c>
      <c r="B19806" s="0" t="s">
        <v>98</v>
      </c>
      <c r="D19806" s="6" t="n">
        <f aca="false">Sens!D19785</f>
        <v>218.783</v>
      </c>
      <c r="E19806" s="6" t="n">
        <f aca="false">Sens!E19785</f>
        <v>268.127</v>
      </c>
      <c r="F19806" s="6" t="n">
        <f aca="false">Sens!F19785</f>
        <v>335.54944082136</v>
      </c>
      <c r="G19806" s="6" t="n">
        <f aca="false">Sens!G19785</f>
        <v>412.178298184373</v>
      </c>
      <c r="H19806" s="6" t="n">
        <f aca="false">Sens!H19785</f>
        <v>490.216562351501</v>
      </c>
      <c r="I19806" s="6" t="n">
        <f aca="false">Sens!I19785</f>
        <v>561.40864623928</v>
      </c>
      <c r="J19806" s="6" t="n">
        <f aca="false">Sens!J19785</f>
        <v>618.871709744383</v>
      </c>
      <c r="K19806" s="6" t="n">
        <f aca="false">Sens!K19785</f>
        <v>664.350592806442</v>
      </c>
    </row>
    <row r="19807" customFormat="false" ht="15" hidden="false" customHeight="false" outlineLevel="0" collapsed="false">
      <c r="A19807" s="0" t="s">
        <v>1041</v>
      </c>
      <c r="B19807" s="0" t="s">
        <v>98</v>
      </c>
      <c r="D19807" s="6" t="n">
        <f aca="false">Sens!D19786</f>
        <v>22.171</v>
      </c>
      <c r="E19807" s="6" t="n">
        <f aca="false">Sens!E19786</f>
        <v>24.835</v>
      </c>
      <c r="F19807" s="6" t="n">
        <f aca="false">Sens!F19786</f>
        <v>27.5591895660247</v>
      </c>
      <c r="G19807" s="6" t="n">
        <f aca="false">Sens!G19786</f>
        <v>30.4098563144583</v>
      </c>
      <c r="H19807" s="6" t="n">
        <f aca="false">Sens!H19786</f>
        <v>33.3011792571777</v>
      </c>
      <c r="I19807" s="6" t="n">
        <f aca="false">Sens!I19786</f>
        <v>36.189023797112</v>
      </c>
      <c r="J19807" s="6" t="n">
        <f aca="false">Sens!J19786</f>
        <v>39.0247773769199</v>
      </c>
      <c r="K19807" s="6" t="n">
        <f aca="false">Sens!K19786</f>
        <v>41.7565117933043</v>
      </c>
    </row>
    <row r="19808" customFormat="false" ht="15" hidden="false" customHeight="false" outlineLevel="0" collapsed="false">
      <c r="A19808" s="0" t="s">
        <v>1042</v>
      </c>
      <c r="B19808" s="0" t="s">
        <v>98</v>
      </c>
      <c r="D19808" s="6" t="n">
        <f aca="false">Sens!D19788</f>
        <v>23.455</v>
      </c>
      <c r="E19808" s="6" t="n">
        <f aca="false">Sens!E19788</f>
        <v>21.79</v>
      </c>
      <c r="F19808" s="6" t="n">
        <f aca="false">Sens!F19788</f>
        <v>20.7520981041711</v>
      </c>
      <c r="G19808" s="6" t="n">
        <f aca="false">Sens!G19788</f>
        <v>19.9083593495882</v>
      </c>
      <c r="H19808" s="6" t="n">
        <f aca="false">Sens!H19788</f>
        <v>19.4008256265831</v>
      </c>
      <c r="I19808" s="6" t="n">
        <f aca="false">Sens!I19788</f>
        <v>19.200434522122</v>
      </c>
      <c r="J19808" s="6" t="n">
        <f aca="false">Sens!J19788</f>
        <v>19.2932782348507</v>
      </c>
      <c r="K19808" s="6" t="n">
        <f aca="false">Sens!K19788</f>
        <v>19.6791437995477</v>
      </c>
    </row>
    <row r="19809" customFormat="false" ht="15" hidden="false" customHeight="false" outlineLevel="0" collapsed="false">
      <c r="A19809" s="0" t="s">
        <v>1043</v>
      </c>
      <c r="B19809" s="0" t="s">
        <v>98</v>
      </c>
      <c r="D19809" s="6" t="n">
        <f aca="false">Sens!D19790</f>
        <v>17.315</v>
      </c>
      <c r="E19809" s="6" t="n">
        <f aca="false">Sens!E19790</f>
        <v>17.087</v>
      </c>
      <c r="F19809" s="6" t="n">
        <f aca="false">Sens!F19790</f>
        <v>15.9912273250553</v>
      </c>
      <c r="G19809" s="6" t="n">
        <f aca="false">Sens!G19790</f>
        <v>15.9574562664827</v>
      </c>
      <c r="H19809" s="6" t="n">
        <f aca="false">Sens!H19790</f>
        <v>16.0119687434196</v>
      </c>
      <c r="I19809" s="6" t="n">
        <f aca="false">Sens!I19790</f>
        <v>16.1551810001948</v>
      </c>
      <c r="J19809" s="6" t="n">
        <f aca="false">Sens!J19790</f>
        <v>16.3889793892005</v>
      </c>
      <c r="K19809" s="6" t="n">
        <f aca="false">Sens!K19790</f>
        <v>16.7167589769845</v>
      </c>
    </row>
    <row r="19810" customFormat="false" ht="15" hidden="false" customHeight="false" outlineLevel="0" collapsed="false">
      <c r="A19810" s="0" t="s">
        <v>870</v>
      </c>
      <c r="B19810" s="0" t="s">
        <v>98</v>
      </c>
      <c r="D19810" s="6" t="n">
        <f aca="false">Sens!D19792</f>
        <v>62.941</v>
      </c>
      <c r="E19810" s="6" t="n">
        <f aca="false">Sens!E19792</f>
        <v>63.712</v>
      </c>
      <c r="F19810" s="6" t="n">
        <f aca="false">Sens!F19792</f>
        <v>64.3025149952511</v>
      </c>
      <c r="G19810" s="6" t="n">
        <f aca="false">Sens!G19792</f>
        <v>66.2756719305292</v>
      </c>
      <c r="H19810" s="6" t="n">
        <f aca="false">Sens!H19792</f>
        <v>68.7139736271804</v>
      </c>
      <c r="I19810" s="6" t="n">
        <f aca="false">Sens!I19792</f>
        <v>71.5446393194289</v>
      </c>
      <c r="J19810" s="6" t="n">
        <f aca="false">Sens!J19792</f>
        <v>74.707035000971</v>
      </c>
      <c r="K19810" s="6" t="n">
        <f aca="false">Sens!K19792</f>
        <v>78.1524145698365</v>
      </c>
    </row>
    <row r="19811" customFormat="false" ht="15" hidden="false" customHeight="false" outlineLevel="0" collapsed="false">
      <c r="A19811" s="1" t="s">
        <v>1059</v>
      </c>
      <c r="B19811" s="0" t="s">
        <v>98</v>
      </c>
      <c r="D19811" s="6" t="n">
        <f aca="false">Sens!D19793</f>
        <v>281.724</v>
      </c>
      <c r="E19811" s="6" t="n">
        <f aca="false">Sens!E19793</f>
        <v>331.839</v>
      </c>
      <c r="F19811" s="6" t="n">
        <f aca="false">Sens!F19793</f>
        <v>399.851955816612</v>
      </c>
      <c r="G19811" s="6" t="n">
        <f aca="false">Sens!G19793</f>
        <v>478.453970114902</v>
      </c>
      <c r="H19811" s="6" t="n">
        <f aca="false">Sens!H19793</f>
        <v>558.930535978681</v>
      </c>
      <c r="I19811" s="6" t="n">
        <f aca="false">Sens!I19793</f>
        <v>632.953285558709</v>
      </c>
      <c r="J19811" s="6" t="n">
        <f aca="false">Sens!J19793</f>
        <v>693.578744745354</v>
      </c>
      <c r="K19811" s="6" t="n">
        <f aca="false">Sens!K19793</f>
        <v>742.503007376279</v>
      </c>
    </row>
    <row r="19812" customFormat="false" ht="15" hidden="false" customHeight="false" outlineLevel="0" collapsed="false">
      <c r="A19812" s="1" t="s">
        <v>1060</v>
      </c>
      <c r="B19812" s="0" t="s">
        <v>168</v>
      </c>
      <c r="E19812" s="7" t="n">
        <f aca="false">Sens!E19811/Sens!D19811-1</f>
        <v>0.177886867998467</v>
      </c>
      <c r="F19812" s="7" t="n">
        <f aca="false">Sens!F19811/Sens!E19811-1</f>
        <v>0.204957692786597</v>
      </c>
      <c r="G19812" s="7" t="n">
        <f aca="false">Sens!G19811/Sens!F19811-1</f>
        <v>0.196577791242169</v>
      </c>
      <c r="H19812" s="7" t="n">
        <f aca="false">Sens!H19811/Sens!G19811-1</f>
        <v>0.168201270948703</v>
      </c>
      <c r="I19812" s="7" t="n">
        <f aca="false">Sens!I19811/Sens!H19811-1</f>
        <v>0.132436402764101</v>
      </c>
      <c r="J19812" s="7" t="n">
        <f aca="false">Sens!J19811/Sens!I19811-1</f>
        <v>0.0957818855986039</v>
      </c>
      <c r="K19812" s="7" t="n">
        <f aca="false">Sens!K19811/Sens!J19811-1</f>
        <v>0.0705388724807117</v>
      </c>
    </row>
    <row r="19813" customFormat="false" ht="17.15" hidden="false" customHeight="false" outlineLevel="0" collapsed="false">
      <c r="A19813" s="26" t="s">
        <v>1061</v>
      </c>
      <c r="B19813" s="31" t="s">
        <v>98</v>
      </c>
      <c r="C19813" s="31"/>
      <c r="D19813" s="27" t="n">
        <f aca="false">(Sens!D19806+Sens!D19810-Sens!D19811)+(Sens!D19798+Sens!D19799-Sens!D19797)+(Sens!D19801+Sens!D19802-Sens!D19800)+(Sens!D19811-Q!L18)</f>
        <v>0</v>
      </c>
      <c r="E19813" s="27" t="n">
        <f aca="false">(Sens!E19806+Sens!E19810-Sens!E19811)+(Sens!E19798+Sens!E19799-Sens!E19797)+(Sens!E19801+Sens!E19802-Sens!E19800)+(Sens!E19811-Q!M18)</f>
        <v>0</v>
      </c>
      <c r="F19813" s="27" t="n">
        <f aca="false">(Sens!F19806+Sens!F19810-Sens!F19811)+(Sens!F19798+Sens!F19799-Sens!F19797)+(Sens!F19801+Sens!F19802-Sens!F19800)</f>
        <v>0</v>
      </c>
      <c r="G19813" s="27" t="n">
        <f aca="false">(Sens!G19806+Sens!G19810-Sens!G19811)+(Sens!G19798+Sens!G19799-Sens!G19797)+(Sens!G19801+Sens!G19802-Sens!G19800)</f>
        <v>0</v>
      </c>
      <c r="H19813" s="27" t="n">
        <f aca="false">(Sens!H19806+Sens!H19810-Sens!H19811)+(Sens!H19798+Sens!H19799-Sens!H19797)+(Sens!H19801+Sens!H19802-Sens!H19800)</f>
        <v>0</v>
      </c>
      <c r="I19813" s="27" t="n">
        <f aca="false">(Sens!I19806+Sens!I19810-Sens!I19811)+(Sens!I19798+Sens!I19799-Sens!I19797)+(Sens!I19801+Sens!I19802-Sens!I19800)</f>
        <v>0</v>
      </c>
      <c r="J19813" s="27" t="n">
        <f aca="false">(Sens!J19806+Sens!J19810-Sens!J19811)+(Sens!J19798+Sens!J19799-Sens!J19797)+(Sens!J19801+Sens!J19802-Sens!J19800)</f>
        <v>0</v>
      </c>
      <c r="K19813" s="27" t="n">
        <f aca="false">(Sens!K19806+Sens!K19810-Sens!K19811)+(Sens!K19798+Sens!K19799-Sens!K19797)+(Sens!K19801+Sens!K19802-Sens!K19800)</f>
        <v>0</v>
      </c>
    </row>
    <row r="19814" customFormat="false" ht="17.15" hidden="false" customHeight="false" outlineLevel="0" collapsed="false">
      <c r="A19814" s="0" t="s">
        <v>1062</v>
      </c>
      <c r="B19814" s="0" t="s">
        <v>168</v>
      </c>
      <c r="E19814" s="7" t="n">
        <f aca="false">(Q!M21+Sens!E19750+Sens!E19751+Sens!E19752+Sens!E19766-Sens!E19748)/(Q!M5-Sens!E19748)</f>
        <v>0.570957350878296</v>
      </c>
      <c r="F19814" s="7" t="n">
        <f aca="false">Sens!$E$19814+dm_seg</f>
        <v>0.570957350878296</v>
      </c>
      <c r="G19814" s="7" t="n">
        <f aca="false">Sens!$E$19814+dm_seg</f>
        <v>0.570957350878296</v>
      </c>
      <c r="H19814" s="7" t="n">
        <f aca="false">Sens!$E$19814+dm_seg</f>
        <v>0.570957350878296</v>
      </c>
      <c r="I19814" s="7" t="n">
        <f aca="false">Sens!$E$19814+dm_seg</f>
        <v>0.570957350878296</v>
      </c>
      <c r="J19814" s="7" t="n">
        <f aca="false">Sens!$E$19814+dm_seg</f>
        <v>0.570957350878296</v>
      </c>
      <c r="K19814" s="7" t="n">
        <f aca="false">Sens!$E$19814+dm_seg</f>
        <v>0.570957350878296</v>
      </c>
      <c r="L19814" s="12" t="s">
        <v>1063</v>
      </c>
    </row>
    <row r="19815" customFormat="false" ht="17.15" hidden="false" customHeight="false" outlineLevel="0" collapsed="false">
      <c r="A19815" s="0" t="s">
        <v>884</v>
      </c>
      <c r="B19815" s="0" t="s">
        <v>98</v>
      </c>
      <c r="D19815" s="6" t="n">
        <f aca="false">Q!L21</f>
        <v>110.814</v>
      </c>
      <c r="E19815" s="6" t="n">
        <f aca="false">Q!M21</f>
        <v>136.365</v>
      </c>
      <c r="F19815" s="6" t="n">
        <f aca="false">Q!$I$21+(Sens!F19814*(Sens!F19785-Sens!F19748)+Sens!F19748-(Sens!F19750+Sens!F19751+Sens!F19752)-Sens!F19766-Sens!F19849)*(Sens!F19785-Q!$I$5)/Sens!F19785</f>
        <v>162.531652325258</v>
      </c>
      <c r="G19815" s="6" t="n">
        <f aca="false">(Sens!G19814*(Sens!G19785-Sens!G19748)+Sens!G19748-(Sens!G19750+Sens!G19751+Sens!G19752)-Sens!G19766-Sens!G19849)</f>
        <v>178.285537786713</v>
      </c>
      <c r="H19815" s="6" t="n">
        <f aca="false">(Sens!H19814*(Sens!H19785-Sens!H19748)+Sens!H19748-(Sens!H19750+Sens!H19751+Sens!H19752)-Sens!H19766-Sens!H19849)</f>
        <v>197.755355967555</v>
      </c>
      <c r="I19815" s="6" t="n">
        <f aca="false">(Sens!I19814*(Sens!I19785-Sens!I19748)+Sens!I19748-(Sens!I19750+Sens!I19751+Sens!I19752)-Sens!I19766-Sens!I19849)</f>
        <v>216.313340946942</v>
      </c>
      <c r="J19815" s="6" t="n">
        <f aca="false">(Sens!J19814*(Sens!J19785-Sens!J19748)+Sens!J19748-(Sens!J19750+Sens!J19751+Sens!J19752)-Sens!J19766-Sens!J19849)</f>
        <v>233.564274845285</v>
      </c>
      <c r="K19815" s="6" t="n">
        <f aca="false">(Sens!K19814*(Sens!K19785-Sens!K19748)+Sens!K19748-(Sens!K19750+Sens!K19751+Sens!K19752)-Sens!K19766-Sens!K19849)</f>
        <v>250.329213834972</v>
      </c>
      <c r="L19815" s="1" t="s">
        <v>1064</v>
      </c>
    </row>
    <row r="19816" customFormat="false" ht="17.15" hidden="false" customHeight="false" outlineLevel="0" collapsed="false">
      <c r="A19816" s="0" t="s">
        <v>1065</v>
      </c>
      <c r="B19816" s="0" t="s">
        <v>168</v>
      </c>
      <c r="E19816" s="7" t="n">
        <f aca="false">Q!M22/Q!M12</f>
        <v>0.296207935710698</v>
      </c>
      <c r="F19816" s="7" t="n">
        <f aca="false">Sens!$E$19816+dm_seg</f>
        <v>0.296207935710698</v>
      </c>
      <c r="G19816" s="7" t="n">
        <f aca="false">Sens!$E$19816+dm_seg</f>
        <v>0.296207935710698</v>
      </c>
      <c r="H19816" s="7" t="n">
        <f aca="false">Sens!$E$19816+dm_seg</f>
        <v>0.296207935710698</v>
      </c>
      <c r="I19816" s="7" t="n">
        <f aca="false">Sens!$E$19816+dm_seg</f>
        <v>0.296207935710698</v>
      </c>
      <c r="J19816" s="7" t="n">
        <f aca="false">Sens!$E$19816+dm_seg</f>
        <v>0.296207935710698</v>
      </c>
      <c r="K19816" s="7" t="n">
        <f aca="false">Sens!$E$19816+dm_seg</f>
        <v>0.296207935710698</v>
      </c>
      <c r="L19816" s="12" t="s">
        <v>1066</v>
      </c>
    </row>
    <row r="19817" customFormat="false" ht="17.15" hidden="false" customHeight="false" outlineLevel="0" collapsed="false">
      <c r="A19817" s="0" t="s">
        <v>886</v>
      </c>
      <c r="B19817" s="0" t="s">
        <v>98</v>
      </c>
      <c r="D19817" s="6" t="n">
        <f aca="false">Q!L22</f>
        <v>17.714</v>
      </c>
      <c r="E19817" s="6" t="n">
        <f aca="false">Q!M22</f>
        <v>18.872</v>
      </c>
      <c r="F19817" s="6" t="n">
        <f aca="false">Q!$I$22+(Sens!F19792-Q!$I$12)*Sens!F19816</f>
        <v>19.8174315512051</v>
      </c>
      <c r="G19817" s="6" t="n">
        <f aca="false">Sens!G19792*Sens!G19816</f>
        <v>19.6313799703815</v>
      </c>
      <c r="H19817" s="6" t="n">
        <f aca="false">Sens!H19792*Sens!H19816</f>
        <v>20.3536242825865</v>
      </c>
      <c r="I19817" s="6" t="n">
        <f aca="false">Sens!I19792*Sens!I19816</f>
        <v>21.1920899239745</v>
      </c>
      <c r="J19817" s="6" t="n">
        <f aca="false">Sens!J19792*Sens!J19816</f>
        <v>22.1288166207045</v>
      </c>
      <c r="K19817" s="6" t="n">
        <f aca="false">Sens!K19792*Sens!K19816</f>
        <v>23.1493653905379</v>
      </c>
      <c r="L19817" s="12" t="s">
        <v>1067</v>
      </c>
    </row>
    <row r="19818" customFormat="false" ht="15" hidden="false" customHeight="false" outlineLevel="0" collapsed="false">
      <c r="A19818" s="1" t="s">
        <v>1068</v>
      </c>
      <c r="B19818" s="0" t="s">
        <v>98</v>
      </c>
      <c r="D19818" s="6" t="n">
        <f aca="false">Sens!D19815+Sens!D19817</f>
        <v>128.528</v>
      </c>
      <c r="E19818" s="6" t="n">
        <f aca="false">Sens!E19815+Sens!E19817</f>
        <v>155.237</v>
      </c>
      <c r="F19818" s="6" t="n">
        <f aca="false">Sens!F19815+Sens!F19817</f>
        <v>182.349083876463</v>
      </c>
      <c r="G19818" s="6" t="n">
        <f aca="false">Sens!G19815+Sens!G19817</f>
        <v>197.916917757095</v>
      </c>
      <c r="H19818" s="6" t="n">
        <f aca="false">Sens!H19815+Sens!H19817</f>
        <v>218.108980250142</v>
      </c>
      <c r="I19818" s="6" t="n">
        <f aca="false">Sens!I19815+Sens!I19817</f>
        <v>237.505430870916</v>
      </c>
      <c r="J19818" s="6" t="n">
        <f aca="false">Sens!J19815+Sens!J19817</f>
        <v>255.69309146599</v>
      </c>
      <c r="K19818" s="6" t="n">
        <f aca="false">Sens!K19815+Sens!K19817</f>
        <v>273.47857922551</v>
      </c>
    </row>
    <row r="19819" customFormat="false" ht="15" hidden="false" customHeight="false" outlineLevel="0" collapsed="false">
      <c r="A19819" s="26" t="s">
        <v>1069</v>
      </c>
      <c r="B19819" s="31" t="s">
        <v>98</v>
      </c>
      <c r="C19819" s="31"/>
      <c r="D19819" s="27" t="n">
        <f aca="false">Sens!D19818-Q!L23</f>
        <v>0</v>
      </c>
      <c r="E19819" s="27" t="n">
        <f aca="false">Sens!E19818-Q!M23</f>
        <v>0</v>
      </c>
      <c r="F19819" s="31"/>
      <c r="G19819" s="31"/>
      <c r="H19819" s="31"/>
      <c r="I19819" s="31"/>
      <c r="J19819" s="31"/>
      <c r="K19819" s="31"/>
    </row>
    <row r="19820" customFormat="false" ht="15" hidden="false" customHeight="false" outlineLevel="0" collapsed="false">
      <c r="A19820" s="1" t="s">
        <v>1070</v>
      </c>
      <c r="B19820" s="0" t="s">
        <v>168</v>
      </c>
      <c r="D19820" s="7" t="n">
        <f aca="false">Sens!D19818/Sens!D19811</f>
        <v>0.456219562408598</v>
      </c>
      <c r="E19820" s="7" t="n">
        <f aca="false">Sens!E19818/Sens!E19811</f>
        <v>0.467808184089272</v>
      </c>
      <c r="F19820" s="7" t="n">
        <f aca="false">Sens!F19818/Sens!F19811</f>
        <v>0.456041495418109</v>
      </c>
      <c r="G19820" s="7" t="n">
        <f aca="false">Sens!G19818/Sens!G19811</f>
        <v>0.413659265298947</v>
      </c>
      <c r="H19820" s="7" t="n">
        <f aca="false">Sens!H19818/Sens!H19811</f>
        <v>0.390225557936703</v>
      </c>
      <c r="I19820" s="7" t="n">
        <f aca="false">Sens!I19818/Sens!I19811</f>
        <v>0.375233743610746</v>
      </c>
      <c r="J19820" s="7" t="n">
        <f aca="false">Sens!J19818/Sens!J19811</f>
        <v>0.368657623093492</v>
      </c>
      <c r="K19820" s="7" t="n">
        <f aca="false">Sens!K19818/Sens!K19811</f>
        <v>0.368319827002289</v>
      </c>
    </row>
    <row r="19821" customFormat="false" ht="17.15" hidden="false" customHeight="false" outlineLevel="0" collapsed="false">
      <c r="A19821" s="1" t="s">
        <v>1071</v>
      </c>
      <c r="B19821" s="0" t="s">
        <v>98</v>
      </c>
      <c r="F19821" s="6" t="n">
        <f aca="false">Sens!F19836</f>
        <v>10.0295266941825</v>
      </c>
      <c r="G19821" s="6" t="n">
        <f aca="false">Sens!G19836</f>
        <v>26.1963386229004</v>
      </c>
      <c r="H19821" s="6" t="n">
        <f aca="false">Sens!H19836</f>
        <v>43.9569428505728</v>
      </c>
      <c r="I19821" s="6" t="n">
        <f aca="false">Sens!I19836</f>
        <v>60.1478535679401</v>
      </c>
      <c r="J19821" s="6" t="n">
        <f aca="false">Sens!J19836</f>
        <v>71.5597783190403</v>
      </c>
      <c r="K19821" s="6" t="n">
        <f aca="false">Sens!K19836</f>
        <v>78.0491527443889</v>
      </c>
      <c r="L19821" s="1" t="s">
        <v>1072</v>
      </c>
    </row>
    <row r="19822" customFormat="false" ht="17.15" hidden="false" customHeight="false" outlineLevel="0" collapsed="false">
      <c r="A19822" s="1" t="s">
        <v>1073</v>
      </c>
      <c r="B19822" s="0" t="s">
        <v>98</v>
      </c>
      <c r="D19822" s="6" t="n">
        <f aca="false">Sens!D19818</f>
        <v>128.528</v>
      </c>
      <c r="E19822" s="6" t="n">
        <f aca="false">Sens!E19818</f>
        <v>155.237</v>
      </c>
      <c r="F19822" s="6" t="n">
        <f aca="false">Sens!F19818+Sens!F19821</f>
        <v>192.378610570646</v>
      </c>
      <c r="G19822" s="6" t="n">
        <f aca="false">Sens!G19818+Sens!G19821</f>
        <v>224.113256379995</v>
      </c>
      <c r="H19822" s="6" t="n">
        <f aca="false">Sens!H19818+Sens!H19821</f>
        <v>262.065923100714</v>
      </c>
      <c r="I19822" s="6" t="n">
        <f aca="false">Sens!I19818+Sens!I19821</f>
        <v>297.653284438856</v>
      </c>
      <c r="J19822" s="6" t="n">
        <f aca="false">Sens!J19818+Sens!J19821</f>
        <v>327.25286978503</v>
      </c>
      <c r="K19822" s="6" t="n">
        <f aca="false">Sens!K19818+Sens!K19821</f>
        <v>351.527731969899</v>
      </c>
    </row>
    <row r="19823" customFormat="false" ht="17.15" hidden="false" customHeight="false" outlineLevel="0" collapsed="false">
      <c r="A19823" s="1" t="s">
        <v>1074</v>
      </c>
      <c r="B19823" s="0" t="s">
        <v>98</v>
      </c>
      <c r="E19823" s="6" t="n">
        <f aca="false">Sens!E19766</f>
        <v>16.3054059770833</v>
      </c>
      <c r="F19823" s="6" t="n">
        <f aca="false">Sens!F19766</f>
        <v>35.0499560737695</v>
      </c>
      <c r="G19823" s="6" t="n">
        <f aca="false">Sens!G19766</f>
        <v>62.1848803536636</v>
      </c>
      <c r="H19823" s="6" t="n">
        <f aca="false">Sens!H19766</f>
        <v>91.5686933838682</v>
      </c>
      <c r="I19823" s="6" t="n">
        <f aca="false">Sens!I19766</f>
        <v>117.660959172613</v>
      </c>
      <c r="J19823" s="6" t="n">
        <f aca="false">Sens!J19766</f>
        <v>136.255638179728</v>
      </c>
      <c r="K19823" s="6" t="n">
        <f aca="false">Sens!K19766</f>
        <v>147.966328197264</v>
      </c>
    </row>
    <row r="19824" customFormat="false" ht="17.15" hidden="false" customHeight="false" outlineLevel="0" collapsed="false">
      <c r="A19824" s="1" t="s">
        <v>1075</v>
      </c>
      <c r="B19824" s="0" t="s">
        <v>98</v>
      </c>
      <c r="E19824" s="6" t="n">
        <f aca="false">Sens!E19848</f>
        <v>22.2285940229167</v>
      </c>
      <c r="F19824" s="6" t="n">
        <f aca="false">Sens!F19848</f>
        <v>23.5758328047353</v>
      </c>
      <c r="G19824" s="6" t="n">
        <f aca="false">Sens!G19848</f>
        <v>25.3489323512399</v>
      </c>
      <c r="H19824" s="6" t="n">
        <f aca="false">Sens!H19848</f>
        <v>27.513872469882</v>
      </c>
      <c r="I19824" s="6" t="n">
        <f aca="false">Sens!I19848</f>
        <v>30.004169350446</v>
      </c>
      <c r="J19824" s="6" t="n">
        <f aca="false">Sens!J19848</f>
        <v>32.7365134800435</v>
      </c>
      <c r="K19824" s="6" t="n">
        <f aca="false">Sens!K19848</f>
        <v>35.6266745904199</v>
      </c>
    </row>
    <row r="19825" customFormat="false" ht="17.15" hidden="false" customHeight="false" outlineLevel="0" collapsed="false">
      <c r="A19825" s="1" t="s">
        <v>1076</v>
      </c>
      <c r="B19825" s="0" t="s">
        <v>98</v>
      </c>
      <c r="D19825" s="6" t="n">
        <f aca="false">Q!L27</f>
        <v>-4.901</v>
      </c>
      <c r="E19825" s="6" t="n">
        <f aca="false">Q!M27</f>
        <v>10.697</v>
      </c>
      <c r="F19825" s="6" t="n">
        <f aca="false">Q!$I$27+oie_f*(q_per_yr-1)/q_per_yr</f>
        <v>-0.862</v>
      </c>
      <c r="G19825" s="6" t="n">
        <f aca="false">oie_f</f>
        <v>-1.2</v>
      </c>
      <c r="H19825" s="6" t="n">
        <f aca="false">oie_f</f>
        <v>-1.2</v>
      </c>
      <c r="I19825" s="6" t="n">
        <f aca="false">oie_f</f>
        <v>-1.2</v>
      </c>
      <c r="J19825" s="6" t="n">
        <f aca="false">oie_f</f>
        <v>-1.2</v>
      </c>
      <c r="K19825" s="6" t="n">
        <f aca="false">oie_f</f>
        <v>-1.2</v>
      </c>
      <c r="L19825" s="12" t="s">
        <v>1077</v>
      </c>
    </row>
    <row r="19826" customFormat="false" ht="15" hidden="false" customHeight="false" outlineLevel="0" collapsed="false">
      <c r="A19826" s="1" t="s">
        <v>1078</v>
      </c>
      <c r="B19826" s="0" t="s">
        <v>98</v>
      </c>
      <c r="D19826" s="6" t="n">
        <f aca="false">Sens!D19818+Sens!D19825</f>
        <v>123.627</v>
      </c>
      <c r="E19826" s="6" t="n">
        <f aca="false">Sens!E19818+Sens!E19825</f>
        <v>165.934</v>
      </c>
      <c r="F19826" s="6" t="n">
        <f aca="false">Sens!F19818+Sens!F19825</f>
        <v>181.487083876463</v>
      </c>
      <c r="G19826" s="6" t="n">
        <f aca="false">Sens!G19818+Sens!G19825</f>
        <v>196.716917757095</v>
      </c>
      <c r="H19826" s="6" t="n">
        <f aca="false">Sens!H19818+Sens!H19825</f>
        <v>216.908980250142</v>
      </c>
      <c r="I19826" s="6" t="n">
        <f aca="false">Sens!I19818+Sens!I19825</f>
        <v>236.305430870916</v>
      </c>
      <c r="J19826" s="6" t="n">
        <f aca="false">Sens!J19818+Sens!J19825</f>
        <v>254.49309146599</v>
      </c>
      <c r="K19826" s="6" t="n">
        <f aca="false">Sens!K19818+Sens!K19825</f>
        <v>272.27857922551</v>
      </c>
    </row>
    <row r="19827" customFormat="false" ht="15" hidden="false" customHeight="false" outlineLevel="0" collapsed="false">
      <c r="A19827" s="1" t="s">
        <v>1079</v>
      </c>
      <c r="B19827" s="0" t="s">
        <v>98</v>
      </c>
      <c r="D19827" s="6" t="n">
        <f aca="false">Q!L29</f>
        <v>21.795</v>
      </c>
      <c r="E19827" s="6" t="n">
        <f aca="false">Q!M29</f>
        <v>32.185</v>
      </c>
      <c r="F19827" s="6" t="n">
        <f aca="false">Q!$I$29+(Sens!F19826-Q!$I$28)*tax_f</f>
        <v>36.4308167752926</v>
      </c>
      <c r="G19827" s="6" t="n">
        <f aca="false">Sens!G19826*tax_f</f>
        <v>39.343383551419</v>
      </c>
      <c r="H19827" s="6" t="n">
        <f aca="false">Sens!H19826*tax_f</f>
        <v>43.3817960500283</v>
      </c>
      <c r="I19827" s="6" t="n">
        <f aca="false">Sens!I19826*tax_f</f>
        <v>47.2610861741832</v>
      </c>
      <c r="J19827" s="6" t="n">
        <f aca="false">Sens!J19826*tax_f</f>
        <v>50.898618293198</v>
      </c>
      <c r="K19827" s="6" t="n">
        <f aca="false">Sens!K19826*tax_f</f>
        <v>54.4557158451021</v>
      </c>
    </row>
    <row r="19828" customFormat="false" ht="15" hidden="false" customHeight="false" outlineLevel="0" collapsed="false">
      <c r="A19828" s="1" t="s">
        <v>1080</v>
      </c>
      <c r="B19828" s="0" t="s">
        <v>98</v>
      </c>
      <c r="D19828" s="6" t="n">
        <f aca="false">Sens!D19826-Sens!D19827</f>
        <v>101.832</v>
      </c>
      <c r="E19828" s="6" t="n">
        <f aca="false">Sens!E19826-Sens!E19827</f>
        <v>133.749</v>
      </c>
      <c r="F19828" s="6" t="n">
        <f aca="false">Sens!F19826-Sens!F19827</f>
        <v>145.05626710117</v>
      </c>
      <c r="G19828" s="6" t="n">
        <f aca="false">Sens!G19826-Sens!G19827</f>
        <v>157.373534205676</v>
      </c>
      <c r="H19828" s="6" t="n">
        <f aca="false">Sens!H19826-Sens!H19827</f>
        <v>173.527184200113</v>
      </c>
      <c r="I19828" s="6" t="n">
        <f aca="false">Sens!I19826-Sens!I19827</f>
        <v>189.044344696733</v>
      </c>
      <c r="J19828" s="6" t="n">
        <f aca="false">Sens!J19826-Sens!J19827</f>
        <v>203.594473172792</v>
      </c>
      <c r="K19828" s="6" t="n">
        <f aca="false">Sens!K19826-Sens!K19827</f>
        <v>217.822863380408</v>
      </c>
    </row>
    <row r="19829" customFormat="false" ht="17.15" hidden="false" customHeight="false" outlineLevel="0" collapsed="false">
      <c r="A19829" s="1" t="s">
        <v>1081</v>
      </c>
      <c r="B19829" s="1" t="s">
        <v>81</v>
      </c>
      <c r="D19829" s="15" t="n">
        <f aca="false">Q!L31</f>
        <v>7.465</v>
      </c>
      <c r="E19829" s="15" t="n">
        <f aca="false">Q!M31</f>
        <v>7.453</v>
      </c>
      <c r="F19829" s="15" t="n">
        <f aca="false">Sens!F19873</f>
        <v>7.4735</v>
      </c>
      <c r="G19829" s="15" t="n">
        <f aca="false">Sens!G19873</f>
        <v>7.5185</v>
      </c>
      <c r="H19829" s="15" t="n">
        <f aca="false">Sens!H19873</f>
        <v>7.5461999390288</v>
      </c>
      <c r="I19829" s="15" t="n">
        <f aca="false">Sens!I19873</f>
        <v>7.55788130308427</v>
      </c>
      <c r="J19829" s="15" t="n">
        <f aca="false">Sens!J19873</f>
        <v>7.57203071424674</v>
      </c>
      <c r="K19829" s="15" t="n">
        <f aca="false">Sens!K19873</f>
        <v>7.58846535421199</v>
      </c>
    </row>
    <row r="19830" customFormat="false" ht="17.15" hidden="false" customHeight="false" outlineLevel="0" collapsed="false">
      <c r="A19830" s="0" t="s">
        <v>1082</v>
      </c>
      <c r="B19830" s="0" t="s">
        <v>75</v>
      </c>
      <c r="D19830" s="8" t="n">
        <f aca="false">Sens!D19828/Sens!D19829</f>
        <v>13.641259209645</v>
      </c>
      <c r="E19830" s="8" t="n">
        <f aca="false">Sens!E19828/Sens!E19829</f>
        <v>17.9456594659869</v>
      </c>
      <c r="F19830" s="8" t="n">
        <f aca="false">Sens!F19828/Sens!F19829</f>
        <v>19.4094155484272</v>
      </c>
      <c r="G19830" s="8" t="n">
        <f aca="false">Sens!G19828/Sens!G19829</f>
        <v>20.9315068438752</v>
      </c>
      <c r="H19830" s="8" t="n">
        <f aca="false">Sens!H19828/Sens!H19829</f>
        <v>22.9953069892349</v>
      </c>
      <c r="I19830" s="8" t="n">
        <f aca="false">Sens!I19828/Sens!I19829</f>
        <v>25.0128755818891</v>
      </c>
      <c r="J19830" s="8" t="n">
        <f aca="false">Sens!J19828/Sens!J19829</f>
        <v>26.8876977466203</v>
      </c>
      <c r="K19830" s="8" t="n">
        <f aca="false">Sens!K19828/Sens!K19829</f>
        <v>28.7044683230326</v>
      </c>
      <c r="L19830" s="1" t="s">
        <v>1083</v>
      </c>
    </row>
    <row r="19831" customFormat="false" ht="17.15" hidden="false" customHeight="false" outlineLevel="0" collapsed="false">
      <c r="A19831" s="1" t="s">
        <v>1084</v>
      </c>
      <c r="B19831" s="0" t="s">
        <v>98</v>
      </c>
      <c r="D19831" s="6" t="n">
        <f aca="false">Sens!D19828</f>
        <v>101.832</v>
      </c>
      <c r="E19831" s="6" t="n">
        <f aca="false">Sens!E19828</f>
        <v>133.749</v>
      </c>
      <c r="F19831" s="6" t="n">
        <f aca="false">Sens!F19828+Sens!F19821*(1-tax_f)</f>
        <v>153.079888456516</v>
      </c>
      <c r="G19831" s="6" t="n">
        <f aca="false">Sens!G19828+Sens!G19821*(1-tax_f)</f>
        <v>178.330605103996</v>
      </c>
      <c r="H19831" s="6" t="n">
        <f aca="false">Sens!H19828+Sens!H19821*(1-tax_f)</f>
        <v>208.692738480572</v>
      </c>
      <c r="I19831" s="6" t="n">
        <f aca="false">Sens!I19828+Sens!I19821*(1-tax_f)</f>
        <v>237.162627551085</v>
      </c>
      <c r="J19831" s="6" t="n">
        <f aca="false">Sens!J19828+Sens!J19821*(1-tax_f)</f>
        <v>260.842295828024</v>
      </c>
      <c r="K19831" s="6" t="n">
        <f aca="false">Sens!K19828+Sens!K19821*(1-tax_f)</f>
        <v>280.262185575919</v>
      </c>
    </row>
    <row r="19832" customFormat="false" ht="17.15" hidden="false" customHeight="false" outlineLevel="0" collapsed="false">
      <c r="A19832" s="0" t="s">
        <v>1085</v>
      </c>
      <c r="B19832" s="0" t="s">
        <v>75</v>
      </c>
      <c r="D19832" s="8" t="n">
        <f aca="false">Sens!D19831/Sens!D19829</f>
        <v>13.641259209645</v>
      </c>
      <c r="E19832" s="8" t="n">
        <f aca="false">Sens!E19831/Sens!E19829</f>
        <v>17.9456594659869</v>
      </c>
      <c r="F19832" s="8" t="n">
        <f aca="false">Sens!F19831/Sens!F19829</f>
        <v>20.4830251497312</v>
      </c>
      <c r="G19832" s="8" t="n">
        <f aca="false">Sens!G19831/Sens!G19829</f>
        <v>23.7189073756728</v>
      </c>
      <c r="H19832" s="8" t="n">
        <f aca="false">Sens!H19831/Sens!H19829</f>
        <v>27.6553417835137</v>
      </c>
      <c r="I19832" s="8" t="n">
        <f aca="false">Sens!I19831/Sens!I19829</f>
        <v>31.3795120669998</v>
      </c>
      <c r="J19832" s="8" t="n">
        <f aca="false">Sens!J19831/Sens!J19829</f>
        <v>34.4481296592274</v>
      </c>
      <c r="K19832" s="8" t="n">
        <f aca="false">Sens!K19831/Sens!K19829</f>
        <v>36.9326566695543</v>
      </c>
      <c r="L19832" s="1" t="s">
        <v>1086</v>
      </c>
    </row>
    <row r="19833" customFormat="false" ht="17.15" hidden="false" customHeight="false" outlineLevel="0" collapsed="false">
      <c r="A19833" s="0" t="s">
        <v>1087</v>
      </c>
      <c r="B19833" s="0" t="s">
        <v>168</v>
      </c>
      <c r="E19833" s="7" t="n">
        <f aca="false">Sens!E19832/Sens!D19832-1</f>
        <v>0.315542736208578</v>
      </c>
      <c r="F19833" s="7" t="n">
        <f aca="false">Sens!F19832/Sens!E19832-1</f>
        <v>0.141391609963042</v>
      </c>
      <c r="G19833" s="7" t="n">
        <f aca="false">Sens!G19832/Sens!F19832-1</f>
        <v>0.157978726398432</v>
      </c>
      <c r="H19833" s="7" t="n">
        <f aca="false">Sens!H19832/Sens!G19832-1</f>
        <v>0.165961877817282</v>
      </c>
      <c r="I19833" s="7" t="n">
        <f aca="false">Sens!I19832/Sens!H19832-1</f>
        <v>0.13466368677122</v>
      </c>
      <c r="J19833" s="7" t="n">
        <f aca="false">Sens!J19832/Sens!I19832-1</f>
        <v>0.0977904814350099</v>
      </c>
      <c r="K19833" s="7" t="n">
        <f aca="false">Sens!K19832/Sens!J19832-1</f>
        <v>0.0721237128083496</v>
      </c>
    </row>
    <row r="19834" customFormat="false" ht="17.15" hidden="false" customHeight="false" outlineLevel="0" collapsed="false">
      <c r="A19834" s="0" t="s">
        <v>1007</v>
      </c>
      <c r="B19834" s="0" t="s">
        <v>98</v>
      </c>
      <c r="E19834" s="6" t="n">
        <f aca="false">Sens!E19775</f>
        <v>5.25</v>
      </c>
      <c r="F19834" s="6" t="n">
        <f aca="false">Sens!F19775</f>
        <v>12</v>
      </c>
      <c r="G19834" s="6" t="n">
        <f aca="false">Sens!G19775</f>
        <v>18</v>
      </c>
      <c r="H19834" s="6" t="n">
        <f aca="false">Sens!H19775</f>
        <v>24</v>
      </c>
      <c r="I19834" s="6" t="n">
        <f aca="false">Sens!I19775</f>
        <v>28.5</v>
      </c>
      <c r="J19834" s="6" t="n">
        <f aca="false">Sens!J19775</f>
        <v>31.5</v>
      </c>
      <c r="K19834" s="6" t="n">
        <f aca="false">Sens!K19775</f>
        <v>34.5</v>
      </c>
    </row>
    <row r="19835" customFormat="false" ht="17.15" hidden="false" customHeight="false" outlineLevel="0" collapsed="false">
      <c r="A19835" s="1" t="s">
        <v>1008</v>
      </c>
      <c r="B19835" s="0" t="s">
        <v>98</v>
      </c>
      <c r="F19835" s="6" t="n">
        <f aca="false">MAX(0,((Sens!E19735+Sens!F19735)/2-(shadow_base*(Sens!$D$19735+Sens!$E$19735)/2+(1-shadow_base)*Sens!$E$19735))*Sens!F19744/1000-(Sens!F19834-Sens!$E$19834)*Sens!F19814)</f>
        <v>10.0295266941825</v>
      </c>
      <c r="G19835" s="6" t="n">
        <f aca="false">MAX(0,((Sens!F19735+Sens!G19735)/2-(shadow_base*(Sens!$D$19735+Sens!$E$19735)/2+(1-shadow_base)*Sens!$E$19735))*Sens!G19744/1000-(Sens!G19834-Sens!$E$19834)*Sens!G19814)</f>
        <v>26.1963386229004</v>
      </c>
      <c r="H19835" s="6" t="n">
        <f aca="false">MAX(0,((Sens!G19735+Sens!H19735)/2-(shadow_base*(Sens!$D$19735+Sens!$E$19735)/2+(1-shadow_base)*Sens!$E$19735))*Sens!H19744/1000-(Sens!H19834-Sens!$E$19834)*Sens!H19814)</f>
        <v>43.9569428505728</v>
      </c>
      <c r="I19835" s="6" t="n">
        <f aca="false">MAX(0,((Sens!H19735+Sens!I19735)/2-(shadow_base*(Sens!$D$19735+Sens!$E$19735)/2+(1-shadow_base)*Sens!$E$19735))*Sens!I19744/1000-(Sens!I19834-Sens!$E$19834)*Sens!I19814)</f>
        <v>60.1478535679401</v>
      </c>
      <c r="J19835" s="6" t="n">
        <f aca="false">MAX(0,((Sens!I19735+Sens!J19735)/2-(shadow_base*(Sens!$D$19735+Sens!$E$19735)/2+(1-shadow_base)*Sens!$E$19735))*Sens!J19744/1000-(Sens!J19834-Sens!$E$19834)*Sens!J19814)</f>
        <v>71.5597783190403</v>
      </c>
      <c r="K19835" s="6" t="n">
        <f aca="false">MAX(0,((Sens!J19735+Sens!K19735)/2-(shadow_base*(Sens!$D$19735+Sens!$E$19735)/2+(1-shadow_base)*Sens!$E$19735))*Sens!K19744/1000-(Sens!K19834-Sens!$E$19834)*Sens!K19814)</f>
        <v>78.0491527443889</v>
      </c>
      <c r="L19835" s="1" t="s">
        <v>1009</v>
      </c>
    </row>
    <row r="19836" customFormat="false" ht="17.15" hidden="false" customHeight="false" outlineLevel="0" collapsed="false">
      <c r="A19836" s="1" t="s">
        <v>1010</v>
      </c>
      <c r="B19836" s="0" t="s">
        <v>98</v>
      </c>
      <c r="F19836" s="6" t="n">
        <f aca="false">IF(internal_ai_reading=2,1,0)*Sens!F19835</f>
        <v>10.0295266941825</v>
      </c>
      <c r="G19836" s="6" t="n">
        <f aca="false">IF(internal_ai_reading=2,1,0)*Sens!G19835</f>
        <v>26.1963386229004</v>
      </c>
      <c r="H19836" s="6" t="n">
        <f aca="false">IF(internal_ai_reading=2,1,0)*Sens!H19835</f>
        <v>43.9569428505728</v>
      </c>
      <c r="I19836" s="6" t="n">
        <f aca="false">IF(internal_ai_reading=2,1,0)*Sens!I19835</f>
        <v>60.1478535679401</v>
      </c>
      <c r="J19836" s="6" t="n">
        <f aca="false">IF(internal_ai_reading=2,1,0)*Sens!J19835</f>
        <v>71.5597783190403</v>
      </c>
      <c r="K19836" s="6" t="n">
        <f aca="false">IF(internal_ai_reading=2,1,0)*Sens!K19835</f>
        <v>78.0491527443889</v>
      </c>
    </row>
    <row r="19837" customFormat="false" ht="17.15" hidden="false" customHeight="false" outlineLevel="0" collapsed="false">
      <c r="A19837" s="0" t="s">
        <v>1011</v>
      </c>
      <c r="B19837" s="0" t="s">
        <v>98</v>
      </c>
      <c r="F19837" s="6" t="n">
        <f aca="false">Sens!F19754+Sens!F19834*Sens!F19814+Sens!F19836-Sens!F19755-Sens!F19766</f>
        <v>15.694525203801</v>
      </c>
      <c r="G19837" s="6" t="n">
        <f aca="false">Sens!G19754+Sens!G19834*Sens!G19814+Sens!G19836-Sens!G19755-Sens!G19766</f>
        <v>32.8255877796807</v>
      </c>
      <c r="H19837" s="6" t="n">
        <f aca="false">Sens!H19754+Sens!H19834*Sens!H19814+Sens!H19836-Sens!H19755-Sens!H19766</f>
        <v>50.7233381939518</v>
      </c>
      <c r="I19837" s="6" t="n">
        <f aca="false">Sens!I19754+Sens!I19834*Sens!I19814+Sens!I19836-Sens!I19755-Sens!I19766</f>
        <v>66.6292950303236</v>
      </c>
      <c r="J19837" s="6" t="n">
        <f aca="false">Sens!J19754+Sens!J19834*Sens!J19814+Sens!J19836-Sens!J19755-Sens!J19766</f>
        <v>77.6953192922693</v>
      </c>
      <c r="K19837" s="6" t="n">
        <f aca="false">Sens!K19754+Sens!K19834*Sens!K19814+Sens!K19836-Sens!K19755-Sens!K19766</f>
        <v>85.3813711946682</v>
      </c>
    </row>
    <row r="19838" customFormat="false" ht="17.15" hidden="false" customHeight="false" outlineLevel="0" collapsed="false">
      <c r="A19838" s="0" t="s">
        <v>1012</v>
      </c>
      <c r="B19838" s="0" t="s">
        <v>98</v>
      </c>
      <c r="E19838" s="6" t="n">
        <f aca="false">Sens!E19734*(cxit_open+self_build*tk_cxfac)/1000*ai_net_open</f>
        <v>126.6980382</v>
      </c>
      <c r="F19838" s="6" t="n">
        <f aca="false">Sens!E19838+Sens!F19763-Sens!F19766</f>
        <v>265.749685313364</v>
      </c>
      <c r="G19838" s="6" t="n">
        <f aca="false">Sens!F19838+Sens!G19763-Sens!G19766</f>
        <v>401.618558735096</v>
      </c>
      <c r="H19838" s="6" t="n">
        <f aca="false">Sens!G19838+Sens!H19763-Sens!H19766</f>
        <v>512.965147542088</v>
      </c>
      <c r="I19838" s="6" t="n">
        <f aca="false">Sens!H19838+Sens!I19763-Sens!I19766</f>
        <v>569.345904932441</v>
      </c>
      <c r="J19838" s="6" t="n">
        <f aca="false">Sens!I19838+Sens!J19763-Sens!J19766</f>
        <v>566.31350283211</v>
      </c>
      <c r="K19838" s="6" t="n">
        <f aca="false">Sens!J19838+Sens!K19763-Sens!K19766</f>
        <v>541.581045010494</v>
      </c>
      <c r="L19838" s="1" t="s">
        <v>1013</v>
      </c>
    </row>
    <row r="19839" customFormat="false" ht="17.15" hidden="false" customHeight="false" outlineLevel="0" collapsed="false">
      <c r="A19839" s="0" t="s">
        <v>1014</v>
      </c>
      <c r="B19839" s="0" t="s">
        <v>168</v>
      </c>
      <c r="F19839" s="7" t="n">
        <f aca="false">Sens!F19837*(1-tax_f)/((Sens!E19838+Sens!F19838)/2)</f>
        <v>0.063986204586116</v>
      </c>
      <c r="G19839" s="7" t="n">
        <f aca="false">Sens!G19837*(1-tax_f)/((Sens!F19838+Sens!G19838)/2)</f>
        <v>0.0786985909441555</v>
      </c>
      <c r="H19839" s="7" t="n">
        <f aca="false">Sens!H19837*(1-tax_f)/((Sens!G19838+Sens!H19838)/2)</f>
        <v>0.088736919926853</v>
      </c>
      <c r="I19839" s="7" t="n">
        <f aca="false">Sens!I19837*(1-tax_f)/((Sens!H19838+Sens!I19838)/2)</f>
        <v>0.0984992916821633</v>
      </c>
      <c r="J19839" s="7" t="n">
        <f aca="false">Sens!J19837*(1-tax_f)/((Sens!I19838+Sens!J19838)/2)</f>
        <v>0.109462846006207</v>
      </c>
      <c r="K19839" s="7" t="n">
        <f aca="false">Sens!K19837*(1-tax_f)/((Sens!J19838+Sens!K19838)/2)</f>
        <v>0.123306134304469</v>
      </c>
    </row>
    <row r="19840" customFormat="false" ht="17.15" hidden="false" customHeight="false" outlineLevel="0" collapsed="false">
      <c r="A19840" s="1" t="s">
        <v>1015</v>
      </c>
      <c r="B19840" s="0" t="s">
        <v>168</v>
      </c>
      <c r="F19840" s="7" t="n">
        <f aca="false">(Sens!F19837-Sens!F19836)*(1-tax_f)/((Sens!E19838+Sens!F19838)/2)</f>
        <v>0.0230960636852336</v>
      </c>
      <c r="G19840" s="7" t="n">
        <f aca="false">(Sens!G19837-Sens!G19836)*(1-tax_f)/((Sens!F19838+Sens!G19838)/2)</f>
        <v>0.0158934722253256</v>
      </c>
      <c r="H19840" s="7" t="n">
        <f aca="false">(Sens!H19837-Sens!H19836)*(1-tax_f)/((Sens!G19838+Sens!H19838)/2)</f>
        <v>0.0118373337236399</v>
      </c>
      <c r="I19840" s="7" t="n">
        <f aca="false">(Sens!I19837-Sens!I19836)*(1-tax_f)/((Sens!H19838+Sens!I19838)/2)</f>
        <v>0.00958163211592781</v>
      </c>
      <c r="J19840" s="7" t="n">
        <f aca="false">(Sens!J19837-Sens!J19836)*(1-tax_f)/((Sens!I19838+Sens!J19838)/2)</f>
        <v>0.00864419868320383</v>
      </c>
      <c r="K19840" s="7" t="n">
        <f aca="false">(Sens!K19837-Sens!K19836)*(1-tax_f)/((Sens!J19838+Sens!K19838)/2)</f>
        <v>0.010589048879509</v>
      </c>
    </row>
    <row r="19841" customFormat="false" ht="17.15" hidden="false" customHeight="false" outlineLevel="0" collapsed="false">
      <c r="A19841" s="1" t="s">
        <v>1016</v>
      </c>
      <c r="B19841" s="0" t="s">
        <v>168</v>
      </c>
      <c r="F19841" s="7" t="n">
        <f aca="false">(Sens!F19837-Sens!F19836+Sens!F19835)*(1-tax_f)/((Sens!E19838+Sens!F19838)/2)</f>
        <v>0.063986204586116</v>
      </c>
      <c r="G19841" s="7" t="n">
        <f aca="false">(Sens!G19837-Sens!G19836+Sens!G19835)*(1-tax_f)/((Sens!F19838+Sens!G19838)/2)</f>
        <v>0.0786985909441555</v>
      </c>
      <c r="H19841" s="7" t="n">
        <f aca="false">(Sens!H19837-Sens!H19836+Sens!H19835)*(1-tax_f)/((Sens!G19838+Sens!H19838)/2)</f>
        <v>0.088736919926853</v>
      </c>
      <c r="I19841" s="7" t="n">
        <f aca="false">(Sens!I19837-Sens!I19836+Sens!I19835)*(1-tax_f)/((Sens!H19838+Sens!I19838)/2)</f>
        <v>0.0984992916821633</v>
      </c>
      <c r="J19841" s="7" t="n">
        <f aca="false">(Sens!J19837-Sens!J19836+Sens!J19835)*(1-tax_f)/((Sens!I19838+Sens!J19838)/2)</f>
        <v>0.109462846006207</v>
      </c>
      <c r="K19841" s="7" t="n">
        <f aca="false">(Sens!K19837-Sens!K19836+Sens!K19835)*(1-tax_f)/((Sens!J19838+Sens!K19838)/2)</f>
        <v>0.123306134304469</v>
      </c>
    </row>
    <row r="19842" customFormat="false" ht="17.15" hidden="false" customHeight="false" outlineLevel="0" collapsed="false">
      <c r="A19842" s="1" t="s">
        <v>1017</v>
      </c>
      <c r="B19842" s="0" t="s">
        <v>168</v>
      </c>
      <c r="F19842" s="7" t="n">
        <f aca="false">Sens!F19767*(1-tax_f)/(Sens!F19753*(Sens!E19838+Sens!F19838)/2)</f>
        <v>0.132783701540283</v>
      </c>
      <c r="G19842" s="7" t="n">
        <f aca="false">Sens!G19767*(1-tax_f)/(Sens!G19753*(Sens!F19838+Sens!G19838)/2)</f>
        <v>0.130005673617403</v>
      </c>
      <c r="H19842" s="7" t="n">
        <f aca="false">Sens!H19767*(1-tax_f)/(Sens!H19753*(Sens!G19838+Sens!H19838)/2)</f>
        <v>0.133638154270207</v>
      </c>
      <c r="I19842" s="7" t="n">
        <f aca="false">Sens!I19767*(1-tax_f)/(Sens!I19753*(Sens!H19838+Sens!I19838)/2)</f>
        <v>0.141911298629317</v>
      </c>
      <c r="J19842" s="7" t="n">
        <f aca="false">Sens!J19767*(1-tax_f)/(Sens!J19753*(Sens!I19838+Sens!J19838)/2)</f>
        <v>0.154551206465002</v>
      </c>
      <c r="K19842" s="7" t="n">
        <f aca="false">Sens!K19767*(1-tax_f)/(Sens!K19753*(Sens!J19838+Sens!K19838)/2)</f>
        <v>0.172324784979082</v>
      </c>
    </row>
    <row r="19843" customFormat="false" ht="17.15" hidden="false" customHeight="false" outlineLevel="0" collapsed="false">
      <c r="A19843" s="0" t="s">
        <v>1018</v>
      </c>
      <c r="B19843" s="0" t="s">
        <v>253</v>
      </c>
      <c r="F19843" s="7" t="n">
        <f aca="false">Sens!F19839-wacc</f>
        <v>-0.0389503863594813</v>
      </c>
      <c r="G19843" s="7" t="n">
        <f aca="false">Sens!G19839-wacc</f>
        <v>-0.0242380000014418</v>
      </c>
      <c r="H19843" s="7" t="n">
        <f aca="false">Sens!H19839-wacc</f>
        <v>-0.0141996710187443</v>
      </c>
      <c r="I19843" s="7" t="n">
        <f aca="false">Sens!I19839-wacc</f>
        <v>-0.00443729926343404</v>
      </c>
      <c r="J19843" s="7" t="n">
        <f aca="false">Sens!J19839-wacc</f>
        <v>0.0065262550606094</v>
      </c>
      <c r="K19843" s="7" t="n">
        <f aca="false">Sens!K19839-wacc</f>
        <v>0.0203695433588716</v>
      </c>
    </row>
    <row r="19844" customFormat="false" ht="17.15" hidden="false" customHeight="false" outlineLevel="0" collapsed="false">
      <c r="A19844" s="0" t="s">
        <v>1019</v>
      </c>
      <c r="B19844" s="0" t="s">
        <v>98</v>
      </c>
      <c r="F19844" s="6" t="n">
        <f aca="false">Sens!F19837*(1-tax_f)-wacc*(Sens!E19838+Sens!F19838)/2</f>
        <v>-7.64299522837222</v>
      </c>
      <c r="G19844" s="6" t="n">
        <f aca="false">Sens!G19837*(1-tax_f)-wacc*(Sens!F19838+Sens!G19838)/2</f>
        <v>-8.08783575010438</v>
      </c>
      <c r="H19844" s="6" t="n">
        <f aca="false">Sens!H19837*(1-tax_f)-wacc*(Sens!G19838+Sens!H19838)/2</f>
        <v>-6.49339387411993</v>
      </c>
      <c r="I19844" s="6" t="n">
        <f aca="false">Sens!I19837*(1-tax_f)-wacc*(Sens!H19838+Sens!I19838)/2</f>
        <v>-2.40126901797588</v>
      </c>
      <c r="J19844" s="6" t="n">
        <f aca="false">Sens!J19837*(1-tax_f)-wacc*(Sens!I19838+Sens!J19838)/2</f>
        <v>3.70580147852603</v>
      </c>
      <c r="K19844" s="6" t="n">
        <f aca="false">Sens!K19837*(1-tax_f)-wacc*(Sens!J19838+Sens!K19838)/2</f>
        <v>11.2836530146687</v>
      </c>
    </row>
    <row r="19845" customFormat="false" ht="17.15" hidden="false" customHeight="false" outlineLevel="0" collapsed="false">
      <c r="A19845" s="3" t="s">
        <v>2102</v>
      </c>
    </row>
    <row r="19846" customFormat="false" ht="15" hidden="false" customHeight="false" outlineLevel="0" collapsed="false">
      <c r="A19846" s="4" t="s">
        <v>43</v>
      </c>
      <c r="B19846" s="4" t="s">
        <v>65</v>
      </c>
      <c r="C19846" s="23" t="s">
        <v>942</v>
      </c>
      <c r="D19846" s="23" t="s">
        <v>943</v>
      </c>
      <c r="E19846" s="23" t="s">
        <v>944</v>
      </c>
      <c r="F19846" s="23" t="s">
        <v>945</v>
      </c>
      <c r="G19846" s="23" t="s">
        <v>946</v>
      </c>
      <c r="H19846" s="23" t="s">
        <v>947</v>
      </c>
      <c r="I19846" s="23" t="s">
        <v>948</v>
      </c>
      <c r="J19846" s="23" t="s">
        <v>949</v>
      </c>
      <c r="K19846" s="23" t="s">
        <v>950</v>
      </c>
      <c r="L19846" s="4" t="s">
        <v>47</v>
      </c>
    </row>
    <row r="19847" customFormat="false" ht="15" hidden="false" customHeight="false" outlineLevel="0" collapsed="false">
      <c r="A19847" s="1" t="s">
        <v>1080</v>
      </c>
      <c r="B19847" s="0" t="s">
        <v>98</v>
      </c>
      <c r="F19847" s="6" t="n">
        <f aca="false">Sens!F19828</f>
        <v>145.05626710117</v>
      </c>
      <c r="G19847" s="6" t="n">
        <f aca="false">Sens!G19828</f>
        <v>157.373534205676</v>
      </c>
      <c r="H19847" s="6" t="n">
        <f aca="false">Sens!H19828</f>
        <v>173.527184200113</v>
      </c>
      <c r="I19847" s="6" t="n">
        <f aca="false">Sens!I19828</f>
        <v>189.044344696733</v>
      </c>
      <c r="J19847" s="6" t="n">
        <f aca="false">Sens!J19828</f>
        <v>203.594473172792</v>
      </c>
      <c r="K19847" s="6" t="n">
        <f aca="false">Sens!K19828</f>
        <v>217.822863380408</v>
      </c>
    </row>
    <row r="19848" customFormat="false" ht="17.15" hidden="false" customHeight="false" outlineLevel="0" collapsed="false">
      <c r="A19848" s="1" t="s">
        <v>1102</v>
      </c>
      <c r="B19848" s="0" t="s">
        <v>98</v>
      </c>
      <c r="E19848" s="6" t="n">
        <f aca="false">Q!M38-Sens!E19766</f>
        <v>22.2285940229167</v>
      </c>
      <c r="F19848" s="6" t="n">
        <f aca="false">Sens!E19848*(1-1/life_nonai)+(Sens!F19856+Sens!F19857)/life_nonai</f>
        <v>23.5758328047353</v>
      </c>
      <c r="G19848" s="6" t="n">
        <f aca="false">Sens!F19848*(1-1/life_nonai)+(Sens!G19856)/life_nonai</f>
        <v>25.3489323512399</v>
      </c>
      <c r="H19848" s="6" t="n">
        <f aca="false">Sens!G19848*(1-1/life_nonai)+(Sens!H19856)/life_nonai</f>
        <v>27.513872469882</v>
      </c>
      <c r="I19848" s="6" t="n">
        <f aca="false">Sens!H19848*(1-1/life_nonai)+(Sens!I19856)/life_nonai</f>
        <v>30.004169350446</v>
      </c>
      <c r="J19848" s="6" t="n">
        <f aca="false">Sens!I19848*(1-1/life_nonai)+(Sens!J19856)/life_nonai</f>
        <v>32.7365134800435</v>
      </c>
      <c r="K19848" s="6" t="n">
        <f aca="false">Sens!J19848*(1-1/life_nonai)+(Sens!K19856)/life_nonai</f>
        <v>35.6266745904199</v>
      </c>
      <c r="L19848" s="12" t="s">
        <v>1103</v>
      </c>
    </row>
    <row r="19849" customFormat="false" ht="17.15" hidden="false" customHeight="false" outlineLevel="0" collapsed="false">
      <c r="A19849" s="1" t="s">
        <v>1104</v>
      </c>
      <c r="B19849" s="0" t="s">
        <v>98</v>
      </c>
      <c r="F19849" s="6" t="n">
        <f aca="false">Sens!$F$19857/life_nonai*(1-1/life_nonai)^(Sens!F19729-2027)</f>
        <v>0</v>
      </c>
      <c r="G19849" s="6" t="n">
        <f aca="false">Sens!$F$19857/life_nonai*(1-1/life_nonai)^(Sens!G19729-2027)</f>
        <v>0</v>
      </c>
      <c r="H19849" s="6" t="n">
        <f aca="false">Sens!$F$19857/life_nonai*(1-1/life_nonai)^(Sens!H19729-2027)</f>
        <v>0</v>
      </c>
      <c r="I19849" s="6" t="n">
        <f aca="false">Sens!$F$19857/life_nonai*(1-1/life_nonai)^(Sens!I19729-2027)</f>
        <v>0</v>
      </c>
      <c r="J19849" s="6" t="n">
        <f aca="false">Sens!$F$19857/life_nonai*(1-1/life_nonai)^(Sens!J19729-2027)</f>
        <v>0</v>
      </c>
      <c r="K19849" s="6" t="n">
        <f aca="false">Sens!$F$19857/life_nonai*(1-1/life_nonai)^(Sens!K19729-2027)</f>
        <v>0</v>
      </c>
      <c r="L19849" s="1" t="s">
        <v>1105</v>
      </c>
    </row>
    <row r="19850" customFormat="false" ht="17.15" hidden="false" customHeight="false" outlineLevel="0" collapsed="false">
      <c r="A19850" s="1" t="s">
        <v>1106</v>
      </c>
      <c r="B19850" s="0" t="s">
        <v>98</v>
      </c>
      <c r="E19850" s="6" t="n">
        <f aca="false">Sens!E19766+Sens!E19848</f>
        <v>38.534</v>
      </c>
      <c r="F19850" s="6" t="n">
        <f aca="false">Sens!F19766+Sens!F19848</f>
        <v>58.6257888785047</v>
      </c>
      <c r="G19850" s="6" t="n">
        <f aca="false">Sens!G19766+Sens!G19848</f>
        <v>87.5338127049035</v>
      </c>
      <c r="H19850" s="6" t="n">
        <f aca="false">Sens!H19766+Sens!H19848</f>
        <v>119.08256585375</v>
      </c>
      <c r="I19850" s="6" t="n">
        <f aca="false">Sens!I19766+Sens!I19848</f>
        <v>147.665128523059</v>
      </c>
      <c r="J19850" s="6" t="n">
        <f aca="false">Sens!J19766+Sens!J19848</f>
        <v>168.992151659772</v>
      </c>
      <c r="K19850" s="6" t="n">
        <f aca="false">Sens!K19766+Sens!K19848</f>
        <v>183.593002787684</v>
      </c>
    </row>
    <row r="19851" customFormat="false" ht="17.15" hidden="false" customHeight="false" outlineLevel="0" collapsed="false">
      <c r="A19851" s="1" t="s">
        <v>1107</v>
      </c>
      <c r="B19851" s="0" t="s">
        <v>98</v>
      </c>
      <c r="F19851" s="6" t="n">
        <f aca="false">Sens!F19793*sbc_r</f>
        <v>14.9475001790177</v>
      </c>
      <c r="G19851" s="6" t="n">
        <f aca="false">Sens!G19793*sbc_r</f>
        <v>17.885846748801</v>
      </c>
      <c r="H19851" s="6" t="n">
        <f aca="false">Sens!H19793*sbc_r</f>
        <v>20.894268903943</v>
      </c>
      <c r="I19851" s="6" t="n">
        <f aca="false">Sens!I19793*sbc_r</f>
        <v>23.661430715967</v>
      </c>
      <c r="J19851" s="6" t="n">
        <f aca="false">Sens!J19793*sbc_r</f>
        <v>25.9277671659031</v>
      </c>
      <c r="K19851" s="6" t="n">
        <f aca="false">Sens!K19793*sbc_r</f>
        <v>27.7566826277283</v>
      </c>
    </row>
    <row r="19852" customFormat="false" ht="17.15" hidden="false" customHeight="false" outlineLevel="0" collapsed="false">
      <c r="A19852" s="1" t="s">
        <v>1108</v>
      </c>
      <c r="B19852" s="0" t="s">
        <v>98</v>
      </c>
      <c r="F19852" s="6" t="n">
        <f aca="false">wc27-wc26q1</f>
        <v>-4.677</v>
      </c>
      <c r="G19852" s="6" t="n">
        <f aca="false">wc_f</f>
        <v>0</v>
      </c>
      <c r="H19852" s="6" t="n">
        <f aca="false">wc_f</f>
        <v>0</v>
      </c>
      <c r="I19852" s="6" t="n">
        <f aca="false">wc_f</f>
        <v>0</v>
      </c>
      <c r="J19852" s="6" t="n">
        <f aca="false">wc_f</f>
        <v>0</v>
      </c>
      <c r="K19852" s="6" t="n">
        <f aca="false">wc_f</f>
        <v>0</v>
      </c>
      <c r="L19852" s="12" t="s">
        <v>1109</v>
      </c>
    </row>
    <row r="19853" customFormat="false" ht="17.15" hidden="false" customHeight="false" outlineLevel="0" collapsed="false">
      <c r="A19853" s="0" t="s">
        <v>1110</v>
      </c>
      <c r="B19853" s="0" t="s">
        <v>98</v>
      </c>
      <c r="F19853" s="6" t="n">
        <f aca="false">Q!$I$35-Q!$I$26-Q!$I$38-Q!$I$39</f>
        <v>6.493</v>
      </c>
      <c r="L19853" s="1" t="s">
        <v>1111</v>
      </c>
    </row>
    <row r="19854" customFormat="false" ht="15" hidden="false" customHeight="false" outlineLevel="0" collapsed="false">
      <c r="A19854" s="1" t="s">
        <v>908</v>
      </c>
      <c r="B19854" s="0" t="s">
        <v>98</v>
      </c>
      <c r="E19854" s="6" t="n">
        <f aca="false">Q!M35</f>
        <v>182.935</v>
      </c>
      <c r="F19854" s="6" t="n">
        <f aca="false">Sens!F19847+Sens!F19850+Sens!F19851+Sens!F19852+Sens!F19853</f>
        <v>220.445556158693</v>
      </c>
      <c r="G19854" s="6" t="n">
        <f aca="false">Sens!G19847+Sens!G19850+Sens!G19851+Sens!G19852</f>
        <v>262.79319365938</v>
      </c>
      <c r="H19854" s="6" t="n">
        <f aca="false">Sens!H19847+Sens!H19850+Sens!H19851+Sens!H19852</f>
        <v>313.504018957806</v>
      </c>
      <c r="I19854" s="6" t="n">
        <f aca="false">Sens!I19847+Sens!I19850+Sens!I19851+Sens!I19852</f>
        <v>360.370903935759</v>
      </c>
      <c r="J19854" s="6" t="n">
        <f aca="false">Sens!J19847+Sens!J19850+Sens!J19851+Sens!J19852</f>
        <v>398.514391998467</v>
      </c>
      <c r="K19854" s="6" t="n">
        <f aca="false">Sens!K19847+Sens!K19850+Sens!K19851+Sens!K19852</f>
        <v>429.172548795821</v>
      </c>
    </row>
    <row r="19855" customFormat="false" ht="17.15" hidden="false" customHeight="false" outlineLevel="0" collapsed="false">
      <c r="A19855" s="0" t="s">
        <v>1112</v>
      </c>
      <c r="B19855" s="0" t="s">
        <v>98</v>
      </c>
      <c r="F19855" s="6" t="n">
        <f aca="false">Sens!F19763</f>
        <v>174.101603187134</v>
      </c>
      <c r="G19855" s="6" t="n">
        <f aca="false">Sens!G19763</f>
        <v>198.053753775396</v>
      </c>
      <c r="H19855" s="6" t="n">
        <f aca="false">Sens!H19763</f>
        <v>202.91528219086</v>
      </c>
      <c r="I19855" s="6" t="n">
        <f aca="false">Sens!I19763</f>
        <v>174.041716562966</v>
      </c>
      <c r="J19855" s="6" t="n">
        <f aca="false">Sens!J19763</f>
        <v>133.223236079397</v>
      </c>
      <c r="K19855" s="6" t="n">
        <f aca="false">Sens!K19763</f>
        <v>123.233870375648</v>
      </c>
    </row>
    <row r="19856" customFormat="false" ht="17.15" hidden="false" customHeight="false" outlineLevel="0" collapsed="false">
      <c r="A19856" s="1" t="s">
        <v>1113</v>
      </c>
      <c r="B19856" s="0" t="s">
        <v>98</v>
      </c>
      <c r="E19856" s="6" t="n">
        <f aca="false">Sens!E19771*cx_azo+Sens!E19778*cx_m365+Sens!E19779*cx_lic+(Sens!E19781+Sens!E19783)*cx_ind+Sens!E19786*cx_srch+(Sens!E19788+Sens!E19790)*cx_dev</f>
        <v>30.1846587067718</v>
      </c>
      <c r="F19856" s="6" t="n">
        <f aca="false">Sens!F19771*cx_azo+Sens!F19778*cx_m365+Sens!F19779*cx_lic+(Sens!F19781+Sens!F19783)*cx_ind+Sens!F19786*cx_srch+(Sens!F19788+Sens!F19790)*cx_dev</f>
        <v>35.7009818411026</v>
      </c>
      <c r="G19856" s="6" t="n">
        <f aca="false">Sens!G19771*cx_azo+Sens!G19778*cx_m365+Sens!G19779*cx_lic+(Sens!G19781+Sens!G19783)*cx_ind+Sens!G19786*cx_srch+(Sens!G19788+Sens!G19790)*cx_dev</f>
        <v>41.3068282697819</v>
      </c>
      <c r="H19856" s="6" t="n">
        <f aca="false">Sens!H19771*cx_azo+Sens!H19778*cx_m365+Sens!H19779*cx_lic+(Sens!H19781+Sens!H19783)*cx_ind+Sens!H19786*cx_srch+(Sens!H19788+Sens!H19790)*cx_dev</f>
        <v>46.998333537661</v>
      </c>
      <c r="I19856" s="6" t="n">
        <f aca="false">Sens!I19771*cx_azo+Sens!I19778*cx_m365+Sens!I19779*cx_lic+(Sens!I19781+Sens!I19783)*cx_ind+Sens!I19786*cx_srch+(Sens!I19788+Sens!I19790)*cx_dev</f>
        <v>52.4168412755212</v>
      </c>
      <c r="J19856" s="6" t="n">
        <f aca="false">Sens!J19771*cx_azo+Sens!J19778*cx_m365+Sens!J19779*cx_lic+(Sens!J19781+Sens!J19783)*cx_ind+Sens!J19786*cx_srch+(Sens!J19788+Sens!J19790)*cx_dev</f>
        <v>57.3276106464212</v>
      </c>
      <c r="K19856" s="6" t="n">
        <f aca="false">Sens!K19771*cx_azo+Sens!K19778*cx_m365+Sens!K19779*cx_lic+(Sens!K19781+Sens!K19783)*cx_ind+Sens!K19786*cx_srch+(Sens!K19788+Sens!K19790)*cx_dev</f>
        <v>61.6381245838075</v>
      </c>
    </row>
    <row r="19857" customFormat="false" ht="17.15" hidden="false" customHeight="false" outlineLevel="0" collapsed="false">
      <c r="A19857" s="0" t="s">
        <v>1114</v>
      </c>
      <c r="B19857" s="0" t="s">
        <v>98</v>
      </c>
      <c r="F19857" s="6" t="n">
        <f aca="false">Sens!F19761</f>
        <v>0</v>
      </c>
      <c r="L19857" s="1" t="s">
        <v>1115</v>
      </c>
    </row>
    <row r="19858" customFormat="false" ht="17.15" hidden="false" customHeight="false" outlineLevel="0" collapsed="false">
      <c r="A19858" s="1" t="s">
        <v>1116</v>
      </c>
      <c r="B19858" s="0" t="s">
        <v>98</v>
      </c>
      <c r="E19858" s="6" t="n">
        <f aca="false">Q!M43</f>
        <v>145.3</v>
      </c>
      <c r="F19858" s="6" t="n">
        <f aca="false">Sens!F19855+Sens!F19856+Sens!F19857</f>
        <v>209.802585028236</v>
      </c>
      <c r="G19858" s="6" t="n">
        <f aca="false">Sens!G19855+Sens!G19856</f>
        <v>239.360582045177</v>
      </c>
      <c r="H19858" s="6" t="n">
        <f aca="false">Sens!H19855+Sens!H19856</f>
        <v>249.913615728521</v>
      </c>
      <c r="I19858" s="6" t="n">
        <f aca="false">Sens!I19855+Sens!I19856</f>
        <v>226.458557838487</v>
      </c>
      <c r="J19858" s="6" t="n">
        <f aca="false">Sens!J19855+Sens!J19856</f>
        <v>190.550846725819</v>
      </c>
      <c r="K19858" s="6" t="n">
        <f aca="false">Sens!K19855+Sens!K19856</f>
        <v>184.871994959456</v>
      </c>
      <c r="L19858" s="1" t="s">
        <v>1117</v>
      </c>
    </row>
    <row r="19859" customFormat="false" ht="15" hidden="false" customHeight="false" outlineLevel="0" collapsed="false">
      <c r="A19859" s="1" t="s">
        <v>1118</v>
      </c>
      <c r="B19859" s="0" t="s">
        <v>98</v>
      </c>
      <c r="E19859" s="6" t="n">
        <f aca="false">fl_liab</f>
        <v>66.594</v>
      </c>
      <c r="F19859" s="6" t="n">
        <f aca="false">Sens!E19859-Sens!F19860</f>
        <v>62.46973</v>
      </c>
      <c r="G19859" s="6" t="n">
        <f aca="false">Sens!F19859-Sens!G19860</f>
        <v>57.98686785</v>
      </c>
      <c r="H19859" s="6" t="n">
        <f aca="false">Sens!G19859-Sens!H19860</f>
        <v>53.92827690325</v>
      </c>
      <c r="I19859" s="6" t="n">
        <f aca="false">Sens!H19859-Sens!I19860</f>
        <v>49.7850493638962</v>
      </c>
      <c r="J19859" s="6" t="n">
        <f aca="false">Sens!I19859-Sens!J19860</f>
        <v>45.4823765852716</v>
      </c>
      <c r="K19859" s="6" t="n">
        <f aca="false">Sens!J19859-Sens!K19860</f>
        <v>40.9860835316088</v>
      </c>
    </row>
    <row r="19860" customFormat="false" ht="15" hidden="false" customHeight="false" outlineLevel="0" collapsed="false">
      <c r="A19860" s="1" t="s">
        <v>1119</v>
      </c>
      <c r="B19860" s="0" t="s">
        <v>98</v>
      </c>
      <c r="F19860" s="6" t="n">
        <f aca="false">fl_pay_27-Sens!E19859*fl_rate</f>
        <v>4.12427</v>
      </c>
      <c r="G19860" s="6" t="n">
        <f aca="false">fl_pay_28-Sens!F19859*fl_rate</f>
        <v>4.48286215</v>
      </c>
      <c r="H19860" s="6" t="n">
        <f aca="false">fl_pay_29-Sens!G19859*fl_rate</f>
        <v>4.05859094675</v>
      </c>
      <c r="I19860" s="6" t="n">
        <f aca="false">fl_pay_30-Sens!H19859*fl_rate</f>
        <v>4.14322753935375</v>
      </c>
      <c r="J19860" s="6" t="n">
        <f aca="false">fl_pay_31-Sens!I19859*fl_rate</f>
        <v>4.30267277862467</v>
      </c>
      <c r="K19860" s="6" t="n">
        <f aca="false">fl_pay_32-Sens!J19859*fl_rate</f>
        <v>4.49629305366278</v>
      </c>
    </row>
    <row r="19861" customFormat="false" ht="17.15" hidden="false" customHeight="false" outlineLevel="0" collapsed="false">
      <c r="A19861" s="1" t="s">
        <v>1120</v>
      </c>
      <c r="B19861" s="0" t="s">
        <v>98</v>
      </c>
      <c r="E19861" s="6" t="n">
        <f aca="false">Q!M35-Q!M36-Q!M44</f>
        <v>63.886</v>
      </c>
      <c r="F19861" s="6" t="n">
        <f aca="false">Sens!F19854-Sens!F19858-Sens!F19860</f>
        <v>6.5187011304566</v>
      </c>
      <c r="G19861" s="6" t="n">
        <f aca="false">Sens!G19854-Sens!G19858-Sens!G19860</f>
        <v>18.9497494642029</v>
      </c>
      <c r="H19861" s="6" t="n">
        <f aca="false">Sens!H19854-Sens!H19858-Sens!H19860</f>
        <v>59.5318122825356</v>
      </c>
      <c r="I19861" s="6" t="n">
        <f aca="false">Sens!I19854-Sens!I19858-Sens!I19860</f>
        <v>129.769118557918</v>
      </c>
      <c r="J19861" s="6" t="n">
        <f aca="false">Sens!J19854-Sens!J19858-Sens!J19860</f>
        <v>203.660872494023</v>
      </c>
      <c r="K19861" s="6" t="n">
        <f aca="false">Sens!K19854-Sens!K19858-Sens!K19860</f>
        <v>239.804260782702</v>
      </c>
      <c r="L19861" s="12" t="s">
        <v>1121</v>
      </c>
    </row>
    <row r="19862" customFormat="false" ht="15" hidden="false" customHeight="false" outlineLevel="0" collapsed="false">
      <c r="A19862" s="1" t="s">
        <v>1122</v>
      </c>
      <c r="B19862" s="0" t="s">
        <v>75</v>
      </c>
      <c r="F19862" s="8" t="n">
        <f aca="false">dps_27</f>
        <v>3.85</v>
      </c>
      <c r="G19862" s="8" t="n">
        <f aca="false">Sens!F19862*(1+dps_g)</f>
        <v>4.158</v>
      </c>
      <c r="H19862" s="8" t="n">
        <f aca="false">Sens!G19862*(1+dps_g)</f>
        <v>4.49064</v>
      </c>
      <c r="I19862" s="8" t="n">
        <f aca="false">Sens!H19862*(1+dps_g)</f>
        <v>4.8498912</v>
      </c>
      <c r="J19862" s="8" t="n">
        <f aca="false">Sens!I19862*(1+dps_g)</f>
        <v>5.237882496</v>
      </c>
      <c r="K19862" s="8" t="n">
        <f aca="false">Sens!J19862*(1+dps_g)</f>
        <v>5.65691309568</v>
      </c>
    </row>
    <row r="19863" customFormat="false" ht="17.15" hidden="false" customHeight="false" outlineLevel="0" collapsed="false">
      <c r="A19863" s="1" t="s">
        <v>1123</v>
      </c>
      <c r="B19863" s="0" t="s">
        <v>98</v>
      </c>
      <c r="E19863" s="6" t="n">
        <f aca="false">Q!M41</f>
        <v>26.445</v>
      </c>
      <c r="F19863" s="6" t="n">
        <f aca="false">Sens!F19862*Sens!E19872</f>
        <v>28.59395</v>
      </c>
      <c r="G19863" s="6" t="n">
        <f aca="false">Sens!G19862*Sens!F19872</f>
        <v>31.068576</v>
      </c>
      <c r="H19863" s="6" t="n">
        <f aca="false">Sens!H19862*Sens!G19872</f>
        <v>33.75614088</v>
      </c>
      <c r="I19863" s="6" t="n">
        <f aca="false">Sens!I19862*Sens!H19872</f>
        <v>36.5070704274727</v>
      </c>
      <c r="J19863" s="6" t="n">
        <f aca="false">Sens!J19862*Sens!I19872</f>
        <v>39.4955339470631</v>
      </c>
      <c r="K19863" s="6" t="n">
        <f aca="false">Sens!K19862*Sens!J19872</f>
        <v>42.7419309252064</v>
      </c>
      <c r="L19863" s="1" t="s">
        <v>1124</v>
      </c>
    </row>
    <row r="19864" customFormat="false" ht="15" hidden="false" customHeight="false" outlineLevel="0" collapsed="false">
      <c r="A19864" s="1" t="s">
        <v>1125</v>
      </c>
      <c r="B19864" s="0" t="s">
        <v>98</v>
      </c>
      <c r="E19864" s="6" t="n">
        <f aca="false">Sens!E19861-Sens!E19863</f>
        <v>37.441</v>
      </c>
      <c r="F19864" s="6" t="n">
        <f aca="false">Sens!F19861-Sens!F19863</f>
        <v>-22.0752488695434</v>
      </c>
      <c r="G19864" s="6" t="n">
        <f aca="false">Sens!G19861-Sens!G19863</f>
        <v>-12.1188265357971</v>
      </c>
      <c r="H19864" s="6" t="n">
        <f aca="false">Sens!H19861-Sens!H19863</f>
        <v>25.7756714025356</v>
      </c>
      <c r="I19864" s="6" t="n">
        <f aca="false">Sens!I19861-Sens!I19863</f>
        <v>93.2620481304453</v>
      </c>
      <c r="J19864" s="6" t="n">
        <f aca="false">Sens!J19861-Sens!J19863</f>
        <v>164.16533854696</v>
      </c>
      <c r="K19864" s="6" t="n">
        <f aca="false">Sens!K19861-Sens!K19863</f>
        <v>197.062329857495</v>
      </c>
    </row>
    <row r="19865" customFormat="false" ht="15" hidden="false" customHeight="false" outlineLevel="0" collapsed="false">
      <c r="A19865" s="1" t="s">
        <v>1126</v>
      </c>
      <c r="B19865" s="0" t="s">
        <v>98</v>
      </c>
      <c r="F19865" s="6" t="n">
        <f aca="false">debt_mat_27</f>
        <v>9.25</v>
      </c>
      <c r="G19865" s="6" t="n">
        <f aca="false">debt_mat_28</f>
        <v>0</v>
      </c>
      <c r="H19865" s="6" t="n">
        <f aca="false">debt_mat_29</f>
        <v>2.001</v>
      </c>
      <c r="I19865" s="6" t="n">
        <f aca="false">debt_mat_30</f>
        <v>0</v>
      </c>
      <c r="J19865" s="6" t="n">
        <f aca="false">debt_mat_31</f>
        <v>0.5</v>
      </c>
      <c r="K19865" s="6" t="n">
        <f aca="false">debt_mat_32</f>
        <v>0</v>
      </c>
    </row>
    <row r="19866" customFormat="false" ht="15" hidden="false" customHeight="false" outlineLevel="0" collapsed="false">
      <c r="A19866" s="1" t="s">
        <v>1127</v>
      </c>
      <c r="B19866" s="0" t="s">
        <v>98</v>
      </c>
      <c r="E19866" s="6" t="n">
        <f aca="false">Q!M40</f>
        <v>22.271</v>
      </c>
      <c r="F19866" s="6" t="n">
        <f aca="false">MAX(0,MIN(bb_target,Sens!E19868+Sens!F19864-Sens!F19865-min_cash))</f>
        <v>0</v>
      </c>
      <c r="G19866" s="6" t="n">
        <f aca="false">MAX(0,MIN(bb_target,Sens!F19868+Sens!G19864-Sens!G19865-min_cash))</f>
        <v>0</v>
      </c>
      <c r="H19866" s="6" t="n">
        <f aca="false">MAX(0,MIN(bb_target,Sens!G19868+Sens!H19864-Sens!H19865-min_cash))</f>
        <v>22.271</v>
      </c>
      <c r="I19866" s="6" t="n">
        <f aca="false">MAX(0,MIN(bb_target,Sens!H19868+Sens!I19864-Sens!I19865-min_cash))</f>
        <v>22.271</v>
      </c>
      <c r="J19866" s="6" t="n">
        <f aca="false">MAX(0,MIN(bb_target,Sens!I19868+Sens!J19864-Sens!J19865-min_cash))</f>
        <v>22.271</v>
      </c>
      <c r="K19866" s="6" t="n">
        <f aca="false">MAX(0,MIN(bb_target,Sens!J19868+Sens!K19864-Sens!K19865-min_cash))</f>
        <v>22.271</v>
      </c>
    </row>
    <row r="19867" customFormat="false" ht="15" hidden="false" customHeight="false" outlineLevel="0" collapsed="false">
      <c r="A19867" s="1" t="s">
        <v>1128</v>
      </c>
      <c r="B19867" s="0" t="s">
        <v>98</v>
      </c>
      <c r="F19867" s="6" t="n">
        <f aca="false">MAX(0,min_cash-(Sens!E19868+Sens!F19864-Sens!F19865-Sens!F19866))</f>
        <v>4.4822488695434</v>
      </c>
      <c r="G19867" s="6" t="n">
        <f aca="false">MAX(0,min_cash-(Sens!F19868+Sens!G19864-Sens!G19865-Sens!G19866))</f>
        <v>12.1188265357971</v>
      </c>
      <c r="H19867" s="6" t="n">
        <f aca="false">MAX(0,min_cash-(Sens!G19868+Sens!H19864-Sens!H19865-Sens!H19866))</f>
        <v>0</v>
      </c>
      <c r="I19867" s="6" t="n">
        <f aca="false">MAX(0,min_cash-(Sens!H19868+Sens!I19864-Sens!I19865-Sens!I19866))</f>
        <v>0</v>
      </c>
      <c r="J19867" s="6" t="n">
        <f aca="false">MAX(0,min_cash-(Sens!I19868+Sens!J19864-Sens!J19865-Sens!J19866))</f>
        <v>0</v>
      </c>
      <c r="K19867" s="6" t="n">
        <f aca="false">MAX(0,min_cash-(Sens!J19868+Sens!K19864-Sens!K19865-Sens!K19866))</f>
        <v>0</v>
      </c>
    </row>
    <row r="19868" customFormat="false" ht="15" hidden="false" customHeight="false" outlineLevel="0" collapsed="false">
      <c r="A19868" s="1" t="s">
        <v>1129</v>
      </c>
      <c r="B19868" s="0" t="s">
        <v>98</v>
      </c>
      <c r="E19868" s="6" t="n">
        <f aca="false">cash_open</f>
        <v>76.843</v>
      </c>
      <c r="F19868" s="6" t="n">
        <f aca="false">Sens!E19868+Sens!F19864-Sens!F19865-Sens!F19866+Sens!F19867</f>
        <v>50</v>
      </c>
      <c r="G19868" s="6" t="n">
        <f aca="false">Sens!F19868+Sens!G19864-Sens!G19865-Sens!G19866+Sens!G19867</f>
        <v>50</v>
      </c>
      <c r="H19868" s="6" t="n">
        <f aca="false">Sens!G19868+Sens!H19864-Sens!H19865-Sens!H19866+Sens!H19867</f>
        <v>51.5036714025356</v>
      </c>
      <c r="I19868" s="6" t="n">
        <f aca="false">Sens!H19868+Sens!I19864-Sens!I19865-Sens!I19866+Sens!I19867</f>
        <v>122.494719532981</v>
      </c>
      <c r="J19868" s="6" t="n">
        <f aca="false">Sens!I19868+Sens!J19864-Sens!J19865-Sens!J19866+Sens!J19867</f>
        <v>263.889058079941</v>
      </c>
      <c r="K19868" s="6" t="n">
        <f aca="false">Sens!J19868+Sens!K19864-Sens!K19865-Sens!K19866+Sens!K19867</f>
        <v>438.680387937437</v>
      </c>
    </row>
    <row r="19869" customFormat="false" ht="15" hidden="false" customHeight="false" outlineLevel="0" collapsed="false">
      <c r="A19869" s="1" t="s">
        <v>1130</v>
      </c>
      <c r="B19869" s="0" t="s">
        <v>98</v>
      </c>
      <c r="E19869" s="6" t="n">
        <f aca="false">debt_face</f>
        <v>46.136</v>
      </c>
      <c r="F19869" s="6" t="n">
        <f aca="false">Sens!E19869-Sens!F19865+Sens!F19867</f>
        <v>41.3682488695434</v>
      </c>
      <c r="G19869" s="6" t="n">
        <f aca="false">Sens!F19869-Sens!G19865+Sens!G19867</f>
        <v>53.4870754053405</v>
      </c>
      <c r="H19869" s="6" t="n">
        <f aca="false">Sens!G19869-Sens!H19865+Sens!H19867</f>
        <v>51.4860754053405</v>
      </c>
      <c r="I19869" s="6" t="n">
        <f aca="false">Sens!H19869-Sens!I19865+Sens!I19867</f>
        <v>51.4860754053405</v>
      </c>
      <c r="J19869" s="6" t="n">
        <f aca="false">Sens!I19869-Sens!J19865+Sens!J19867</f>
        <v>50.9860754053405</v>
      </c>
      <c r="K19869" s="6" t="n">
        <f aca="false">Sens!J19869-Sens!K19865+Sens!K19867</f>
        <v>50.9860754053405</v>
      </c>
    </row>
    <row r="19870" customFormat="false" ht="15" hidden="false" customHeight="false" outlineLevel="0" collapsed="false">
      <c r="A19870" s="1" t="s">
        <v>1131</v>
      </c>
      <c r="B19870" s="0" t="s">
        <v>98</v>
      </c>
      <c r="E19870" s="6" t="n">
        <f aca="false">Sens!E19868-Sens!E19869</f>
        <v>30.707</v>
      </c>
      <c r="F19870" s="6" t="n">
        <f aca="false">Sens!F19868-Sens!F19869</f>
        <v>8.6317511304566</v>
      </c>
      <c r="G19870" s="6" t="n">
        <f aca="false">Sens!G19868-Sens!G19869</f>
        <v>-3.48707540534047</v>
      </c>
      <c r="H19870" s="6" t="n">
        <f aca="false">Sens!H19868-Sens!H19869</f>
        <v>0.0175959971951585</v>
      </c>
      <c r="I19870" s="6" t="n">
        <f aca="false">Sens!I19868-Sens!I19869</f>
        <v>71.0086441276405</v>
      </c>
      <c r="J19870" s="6" t="n">
        <f aca="false">Sens!J19868-Sens!J19869</f>
        <v>212.902982674601</v>
      </c>
      <c r="K19870" s="6" t="n">
        <f aca="false">Sens!K19868-Sens!K19869</f>
        <v>387.694312532096</v>
      </c>
    </row>
    <row r="19871" customFormat="false" ht="15" hidden="false" customHeight="false" outlineLevel="0" collapsed="false">
      <c r="A19871" s="1" t="s">
        <v>1132</v>
      </c>
      <c r="B19871" s="0" t="s">
        <v>75</v>
      </c>
      <c r="F19871" s="30" t="n">
        <f aca="false">px*(1+bb_g)^(Sens!F19729-base_fy-mid_yr)</f>
        <v>551.84177959629</v>
      </c>
      <c r="G19871" s="30" t="n">
        <f aca="false">px*(1+bb_g)^(Sens!G19729-base_fy-mid_yr)</f>
        <v>595.989121963993</v>
      </c>
      <c r="H19871" s="30" t="n">
        <f aca="false">px*(1+bb_g)^(Sens!H19729-base_fy-mid_yr)</f>
        <v>643.668251721112</v>
      </c>
      <c r="I19871" s="30" t="n">
        <f aca="false">px*(1+bb_g)^(Sens!I19729-base_fy-mid_yr)</f>
        <v>695.161711858801</v>
      </c>
      <c r="J19871" s="30" t="n">
        <f aca="false">px*(1+bb_g)^(Sens!J19729-base_fy-mid_yr)</f>
        <v>750.774648807506</v>
      </c>
      <c r="K19871" s="30" t="n">
        <f aca="false">px*(1+bb_g)^(Sens!K19729-base_fy-mid_yr)</f>
        <v>810.836620712106</v>
      </c>
    </row>
    <row r="19872" customFormat="false" ht="15" hidden="false" customHeight="false" outlineLevel="0" collapsed="false">
      <c r="A19872" s="1" t="s">
        <v>1133</v>
      </c>
      <c r="B19872" s="1" t="s">
        <v>81</v>
      </c>
      <c r="E19872" s="15" t="n">
        <f aca="false">sh_out26</f>
        <v>7.427</v>
      </c>
      <c r="F19872" s="15" t="n">
        <f aca="false">Sens!E19872+sh_iss-Sens!F19866/Sens!F19871</f>
        <v>7.472</v>
      </c>
      <c r="G19872" s="15" t="n">
        <f aca="false">Sens!F19872+sh_iss-Sens!G19866/Sens!G19871</f>
        <v>7.517</v>
      </c>
      <c r="H19872" s="15" t="n">
        <f aca="false">Sens!G19872+sh_iss-Sens!H19866/Sens!H19871</f>
        <v>7.5273998780576</v>
      </c>
      <c r="I19872" s="15" t="n">
        <f aca="false">Sens!H19872+sh_iss-Sens!I19866/Sens!I19871</f>
        <v>7.54036272811094</v>
      </c>
      <c r="J19872" s="15" t="n">
        <f aca="false">Sens!I19872+sh_iss-Sens!J19866/Sens!J19871</f>
        <v>7.55569870038255</v>
      </c>
      <c r="K19872" s="15" t="n">
        <f aca="false">Sens!J19872+sh_iss-Sens!K19866/Sens!K19871</f>
        <v>7.57323200804144</v>
      </c>
    </row>
    <row r="19873" customFormat="false" ht="15" hidden="false" customHeight="false" outlineLevel="0" collapsed="false">
      <c r="A19873" s="1" t="s">
        <v>1134</v>
      </c>
      <c r="B19873" s="1" t="s">
        <v>81</v>
      </c>
      <c r="E19873" s="15" t="n">
        <f aca="false">sh_dil26</f>
        <v>7.453</v>
      </c>
      <c r="F19873" s="15" t="n">
        <f aca="false">(Sens!E19872+Sens!F19872)/2+dil_gap</f>
        <v>7.4735</v>
      </c>
      <c r="G19873" s="15" t="n">
        <f aca="false">(Sens!F19872+Sens!G19872)/2+dil_gap</f>
        <v>7.5185</v>
      </c>
      <c r="H19873" s="15" t="n">
        <f aca="false">(Sens!G19872+Sens!H19872)/2+dil_gap</f>
        <v>7.5461999390288</v>
      </c>
      <c r="I19873" s="15" t="n">
        <f aca="false">(Sens!H19872+Sens!I19872)/2+dil_gap</f>
        <v>7.55788130308427</v>
      </c>
      <c r="J19873" s="15" t="n">
        <f aca="false">(Sens!I19872+Sens!J19872)/2+dil_gap</f>
        <v>7.57203071424674</v>
      </c>
      <c r="K19873" s="15" t="n">
        <f aca="false">(Sens!J19872+Sens!K19872)/2+dil_gap</f>
        <v>7.58846535421199</v>
      </c>
    </row>
    <row r="19874" customFormat="false" ht="17.15" hidden="false" customHeight="false" outlineLevel="0" collapsed="false">
      <c r="A19874" s="1" t="s">
        <v>1135</v>
      </c>
      <c r="B19874" s="0" t="s">
        <v>98</v>
      </c>
      <c r="C19874" s="6" t="n">
        <f aca="false">SUM(Sens!F19864:J19864)</f>
        <v>249.008982674601</v>
      </c>
    </row>
    <row r="19875" customFormat="false" ht="15" hidden="false" customHeight="false" outlineLevel="0" collapsed="false">
      <c r="A19875" s="26" t="s">
        <v>1100</v>
      </c>
      <c r="B19875" s="31" t="s">
        <v>98</v>
      </c>
      <c r="C19875" s="27" t="n">
        <f aca="false">Sens!$C$19874-(Sens!F19864+Sens!G19864+Sens!H19864+Sens!I19864+Sens!J19864)</f>
        <v>0</v>
      </c>
      <c r="D19875" s="31"/>
      <c r="E19875" s="31"/>
      <c r="F19875" s="31"/>
      <c r="G19875" s="31"/>
      <c r="H19875" s="31"/>
      <c r="I19875" s="31"/>
      <c r="J19875" s="31"/>
      <c r="K19875" s="31"/>
    </row>
    <row r="19876" customFormat="false" ht="17.15" hidden="false" customHeight="false" outlineLevel="0" collapsed="false">
      <c r="A19876" s="1" t="s">
        <v>1094</v>
      </c>
      <c r="B19876" s="1" t="s">
        <v>1136</v>
      </c>
      <c r="C19876" s="33" t="str">
        <f aca="false">IF(SUM(Sens!F19867:J19867)&gt;0.05,"需要舉債 "&amp;TEXT(SUM(Sens!F19867:J19867),"0.0")&amp;" 十億美元","不需舉債")&amp;"；"&amp;IF(SUM(Sens!F19866:J19866)&lt;COUNT(Sens!F19866:J19866)*bb_target-0.05,"回購較每年 "&amp;TEXT(bb_target,"0.0")&amp;" 的目標少 "&amp;TEXT(COUNT(Sens!F19866:J19866)*bb_target-SUM(Sens!F19866:J19866),"0.0")&amp;" 十億美元（"&amp;TEXT(COUNTIF(Sens!F19866:J19866,"&lt;"&amp;(bb_target-0.05)),"0")&amp;" 年減少）","回購不減")</f>
        <v>需要舉債 16.6 十億美元；回購較每年 22.3 的目標少 44.5 十億美元（2 年減少）</v>
      </c>
    </row>
    <row r="19877" customFormat="false" ht="17.15" hidden="false" customHeight="false" outlineLevel="0" collapsed="false">
      <c r="A19877" s="3" t="s">
        <v>2103</v>
      </c>
    </row>
    <row r="19878" customFormat="false" ht="15" hidden="false" customHeight="false" outlineLevel="0" collapsed="false">
      <c r="A19878" s="4" t="s">
        <v>43</v>
      </c>
      <c r="B19878" s="4" t="s">
        <v>65</v>
      </c>
      <c r="C19878" s="23" t="s">
        <v>942</v>
      </c>
      <c r="D19878" s="23" t="s">
        <v>943</v>
      </c>
      <c r="E19878" s="23" t="s">
        <v>944</v>
      </c>
      <c r="F19878" s="23" t="s">
        <v>945</v>
      </c>
      <c r="G19878" s="23" t="s">
        <v>946</v>
      </c>
      <c r="H19878" s="23" t="s">
        <v>947</v>
      </c>
      <c r="I19878" s="23" t="s">
        <v>948</v>
      </c>
      <c r="J19878" s="23" t="s">
        <v>949</v>
      </c>
      <c r="K19878" s="23" t="s">
        <v>950</v>
      </c>
      <c r="L19878" s="4" t="s">
        <v>47</v>
      </c>
    </row>
    <row r="19879" customFormat="false" ht="17.15" hidden="false" customHeight="false" outlineLevel="0" collapsed="false">
      <c r="A19879" s="1" t="s">
        <v>1216</v>
      </c>
      <c r="B19879" s="1" t="s">
        <v>279</v>
      </c>
      <c r="F19879" s="8" t="n">
        <f aca="false">(1-v_off)*mid_yr</f>
        <v>0.373972602739726</v>
      </c>
      <c r="G19879" s="8" t="n">
        <f aca="false">Sens!G19729-base_fy-mid_yr-v_off</f>
        <v>1.24794520547945</v>
      </c>
      <c r="H19879" s="8" t="n">
        <f aca="false">Sens!H19729-base_fy-mid_yr-v_off</f>
        <v>2.24794520547945</v>
      </c>
      <c r="I19879" s="8" t="n">
        <f aca="false">Sens!I19729-base_fy-mid_yr-v_off</f>
        <v>3.24794520547945</v>
      </c>
      <c r="J19879" s="8" t="n">
        <f aca="false">Sens!J19729-base_fy-mid_yr-v_off</f>
        <v>4.24794520547945</v>
      </c>
      <c r="K19879" s="8" t="n">
        <f aca="false">Sens!K19729-base_fy-mid_yr-v_off</f>
        <v>5.24794520547945</v>
      </c>
      <c r="L19879" s="12" t="s">
        <v>1217</v>
      </c>
    </row>
    <row r="19880" customFormat="false" ht="15" hidden="false" customHeight="false" outlineLevel="0" collapsed="false">
      <c r="A19880" s="1" t="s">
        <v>1218</v>
      </c>
      <c r="B19880" s="1" t="s">
        <v>279</v>
      </c>
      <c r="F19880" s="8" t="n">
        <f aca="false">Sens!F19729-base_fy-v_off</f>
        <v>0.747945205479452</v>
      </c>
      <c r="G19880" s="8" t="n">
        <f aca="false">Sens!G19729-base_fy-v_off</f>
        <v>1.74794520547945</v>
      </c>
      <c r="H19880" s="8" t="n">
        <f aca="false">Sens!H19729-base_fy-v_off</f>
        <v>2.74794520547945</v>
      </c>
      <c r="I19880" s="8" t="n">
        <f aca="false">Sens!I19729-base_fy-v_off</f>
        <v>3.74794520547945</v>
      </c>
      <c r="J19880" s="8" t="n">
        <f aca="false">Sens!J19729-base_fy-v_off</f>
        <v>4.74794520547945</v>
      </c>
      <c r="K19880" s="8" t="n">
        <f aca="false">Sens!K19729-base_fy-v_off</f>
        <v>5.74794520547945</v>
      </c>
    </row>
    <row r="19881" customFormat="false" ht="15" hidden="false" customHeight="false" outlineLevel="0" collapsed="false">
      <c r="A19881" s="1" t="s">
        <v>1219</v>
      </c>
      <c r="B19881" s="0" t="s">
        <v>229</v>
      </c>
      <c r="F19881" s="15" t="n">
        <f aca="false">1/(1+wacc)^Sens!F19879</f>
        <v>0.964022703286649</v>
      </c>
      <c r="G19881" s="15" t="n">
        <f aca="false">1/(1+wacc)^Sens!G19879</f>
        <v>0.884910302296739</v>
      </c>
      <c r="H19881" s="15" t="n">
        <f aca="false">1/(1+wacc)^Sens!H19879</f>
        <v>0.802322009770358</v>
      </c>
      <c r="I19881" s="15" t="n">
        <f aca="false">1/(1+wacc)^Sens!I19879</f>
        <v>0.727441646561469</v>
      </c>
      <c r="J19881" s="15" t="n">
        <f aca="false">1/(1+wacc)^Sens!J19879</f>
        <v>0.659549834988973</v>
      </c>
      <c r="K19881" s="15" t="n">
        <f aca="false">1/(1+wacc)^Sens!K19879</f>
        <v>0.597994336576966</v>
      </c>
    </row>
    <row r="19882" customFormat="false" ht="17.15" hidden="false" customHeight="false" outlineLevel="0" collapsed="false">
      <c r="A19882" s="1" t="s">
        <v>1220</v>
      </c>
      <c r="B19882" s="0" t="s">
        <v>98</v>
      </c>
      <c r="F19882" s="6" t="n">
        <f aca="false">Q!$I$35-Q!$I$39-Q!$I$43</f>
        <v>9.666</v>
      </c>
      <c r="L19882" s="12" t="s">
        <v>1221</v>
      </c>
    </row>
    <row r="19883" customFormat="false" ht="17.15" hidden="false" customHeight="false" outlineLevel="0" collapsed="false">
      <c r="A19883" s="1" t="s">
        <v>1222</v>
      </c>
      <c r="B19883" s="0" t="s">
        <v>98</v>
      </c>
      <c r="F19883" s="6" t="n">
        <f aca="false">Sens!F19854-Sens!F19851-Sens!F19858+Sens!F19836*(1-tax_f)*(1-v_off)-Sens!F19882</f>
        <v>-7.96929992524755</v>
      </c>
      <c r="G19883" s="6" t="n">
        <f aca="false">Sens!G19854-Sens!G19851-Sens!G19858+Sens!G19836*(1-tax_f)</f>
        <v>26.5038357637223</v>
      </c>
      <c r="H19883" s="6" t="n">
        <f aca="false">Sens!H19854-Sens!H19851-Sens!H19858+Sens!H19836*(1-tax_f)</f>
        <v>77.8616886058009</v>
      </c>
      <c r="I19883" s="6" t="n">
        <f aca="false">Sens!I19854-Sens!I19851-Sens!I19858+Sens!I19836*(1-tax_f)</f>
        <v>158.369198235657</v>
      </c>
      <c r="J19883" s="6" t="n">
        <f aca="false">Sens!J19854-Sens!J19851-Sens!J19858+Sens!J19836*(1-tax_f)</f>
        <v>239.283600761977</v>
      </c>
      <c r="K19883" s="6" t="n">
        <f aca="false">Sens!K19854-Sens!K19851-Sens!K19858+Sens!K19836*(1-tax_f)</f>
        <v>278.983193404147</v>
      </c>
      <c r="L19883" s="1" t="s">
        <v>1223</v>
      </c>
    </row>
    <row r="19884" customFormat="false" ht="15" hidden="false" customHeight="false" outlineLevel="0" collapsed="false">
      <c r="A19884" s="1" t="s">
        <v>1224</v>
      </c>
      <c r="B19884" s="0" t="s">
        <v>98</v>
      </c>
      <c r="F19884" s="6" t="n">
        <f aca="false">Sens!F19883*Sens!F19881</f>
        <v>-7.68258605723923</v>
      </c>
      <c r="G19884" s="6" t="n">
        <f aca="false">Sens!G19883*Sens!G19881</f>
        <v>23.4535173176986</v>
      </c>
      <c r="H19884" s="6" t="n">
        <f aca="false">Sens!H19883*Sens!H19881</f>
        <v>62.47014648632</v>
      </c>
      <c r="I19884" s="6" t="n">
        <f aca="false">Sens!I19883*Sens!I19881</f>
        <v>115.204350329166</v>
      </c>
      <c r="J19884" s="6" t="n">
        <f aca="false">Sens!J19883*Sens!J19881</f>
        <v>157.819459398129</v>
      </c>
      <c r="K19884" s="6" t="n">
        <f aca="false">Sens!K19883*Sens!K19881</f>
        <v>166.830369655836</v>
      </c>
    </row>
    <row r="19885" customFormat="false" ht="17.15" hidden="false" customHeight="false" outlineLevel="0" collapsed="false">
      <c r="A19885" s="1" t="s">
        <v>1225</v>
      </c>
      <c r="B19885" s="0" t="s">
        <v>98</v>
      </c>
      <c r="C19885" s="6" t="n">
        <f aca="false">SUM(Sens!F19884:K19884)</f>
        <v>518.095257129911</v>
      </c>
    </row>
    <row r="19886" customFormat="false" ht="17.15" hidden="false" customHeight="false" outlineLevel="0" collapsed="false">
      <c r="A19886" s="1" t="s">
        <v>1226</v>
      </c>
      <c r="B19886" s="0" t="s">
        <v>98</v>
      </c>
      <c r="C19886" s="6" t="n">
        <f aca="false">Sens!K19822*(1+g_tv)*(1-tax_f)</f>
        <v>289.658851143197</v>
      </c>
    </row>
    <row r="19887" customFormat="false" ht="17.15" hidden="false" customHeight="false" outlineLevel="0" collapsed="false">
      <c r="A19887" s="1" t="s">
        <v>1227</v>
      </c>
      <c r="B19887" s="0" t="s">
        <v>98</v>
      </c>
      <c r="C19887" s="6" t="n">
        <f aca="false">Sens!$C$19886*(1-g_tv/(wacc+ronic_prem))</f>
        <v>205.240225516781</v>
      </c>
    </row>
    <row r="19888" customFormat="false" ht="17.15" hidden="false" customHeight="false" outlineLevel="0" collapsed="false">
      <c r="A19888" s="1" t="s">
        <v>1228</v>
      </c>
      <c r="B19888" s="0" t="s">
        <v>98</v>
      </c>
      <c r="C19888" s="6" t="n">
        <f aca="false">Sens!$C$19887/(wacc-g_tv)</f>
        <v>2813.9541875472</v>
      </c>
    </row>
    <row r="19889" customFormat="false" ht="15" hidden="false" customHeight="false" outlineLevel="0" collapsed="false">
      <c r="A19889" s="1" t="s">
        <v>1229</v>
      </c>
      <c r="B19889" s="0" t="s">
        <v>98</v>
      </c>
      <c r="C19889" s="6" t="n">
        <f aca="false">Sens!$C$19888/(1+wacc)^Sens!K19880</f>
        <v>1602.28150996647</v>
      </c>
    </row>
    <row r="19890" customFormat="false" ht="17.15" hidden="false" customHeight="false" outlineLevel="0" collapsed="false">
      <c r="A19890" s="0" t="s">
        <v>1230</v>
      </c>
      <c r="B19890" s="0" t="s">
        <v>98</v>
      </c>
      <c r="C19890" s="6" t="n">
        <f aca="false">Sens!$C$19885+Sens!$C$19889</f>
        <v>2120.37676709638</v>
      </c>
    </row>
    <row r="19891" customFormat="false" ht="15" hidden="false" customHeight="false" outlineLevel="0" collapsed="false">
      <c r="A19891" s="1" t="s">
        <v>1145</v>
      </c>
      <c r="B19891" s="0" t="s">
        <v>168</v>
      </c>
      <c r="C19891" s="7" t="n">
        <f aca="false">Sens!$C$19889/Sens!$C$19890</f>
        <v>0.755658869136081</v>
      </c>
    </row>
    <row r="19892" customFormat="false" ht="17.15" hidden="false" customHeight="false" outlineLevel="0" collapsed="false">
      <c r="A19892" s="1" t="s">
        <v>1231</v>
      </c>
      <c r="B19892" s="0" t="s">
        <v>98</v>
      </c>
      <c r="C19892" s="6" t="n">
        <f aca="false">Sens!$C$19890+cash_val-debt_val-fl_val+oai_v</f>
        <v>2236.22776709638</v>
      </c>
    </row>
    <row r="19893" customFormat="false" ht="17.15" hidden="false" customHeight="false" outlineLevel="0" collapsed="false">
      <c r="A19893" s="0" t="s">
        <v>1153</v>
      </c>
      <c r="B19893" s="0" t="s">
        <v>75</v>
      </c>
      <c r="C19893" s="5" t="n">
        <f aca="false">Sens!$C$19892/shd_val</f>
        <v>300.326049838353</v>
      </c>
    </row>
    <row r="19894" customFormat="false" ht="15" hidden="false" customHeight="false" outlineLevel="0" collapsed="false">
      <c r="A19894" s="1" t="s">
        <v>1232</v>
      </c>
      <c r="B19894" s="0" t="s">
        <v>75</v>
      </c>
      <c r="C19894" s="8" t="n">
        <f aca="false">div_rem27+Sens!G19862*roll_div_q/q_per_yr</f>
        <v>3.9795</v>
      </c>
    </row>
    <row r="19895" customFormat="false" ht="17.15" hidden="false" customHeight="false" outlineLevel="0" collapsed="false">
      <c r="A19895" s="0" t="s">
        <v>1233</v>
      </c>
      <c r="B19895" s="0" t="s">
        <v>75</v>
      </c>
      <c r="C19895" s="5" t="n">
        <f aca="false">Sens!$C$19893*(1+wacc)^t_roll-Sens!$C$19894</f>
        <v>329.84966581556</v>
      </c>
    </row>
    <row r="19896" customFormat="false" ht="17.15" hidden="false" customHeight="false" outlineLevel="0" collapsed="false">
      <c r="A19896" s="1" t="s">
        <v>1234</v>
      </c>
      <c r="B19896" s="0" t="s">
        <v>168</v>
      </c>
      <c r="F19896" s="7" t="n">
        <f aca="false">Sens!F19848/(Sens!F19793-Sens!F19748)</f>
        <v>0.0686514831493455</v>
      </c>
      <c r="G19896" s="7" t="n">
        <f aca="false">Sens!G19848/(Sens!G19793-Sens!G19748)</f>
        <v>0.0658547074657563</v>
      </c>
      <c r="H19896" s="7" t="n">
        <f aca="false">Sens!H19848/(Sens!H19793-Sens!H19748)</f>
        <v>0.0644020416068999</v>
      </c>
      <c r="I19896" s="7" t="n">
        <f aca="false">Sens!I19848/(Sens!I19793-Sens!I19748)</f>
        <v>0.0641726942066094</v>
      </c>
      <c r="J19896" s="7" t="n">
        <f aca="false">Sens!J19848/(Sens!J19793-Sens!J19748)</f>
        <v>0.0648844220214877</v>
      </c>
      <c r="K19896" s="7" t="n">
        <f aca="false">Sens!K19848/(Sens!K19793-Sens!K19748)</f>
        <v>0.0661900588185131</v>
      </c>
    </row>
    <row r="19897" customFormat="false" ht="17.15" hidden="false" customHeight="false" outlineLevel="0" collapsed="false">
      <c r="A19897" s="0" t="s">
        <v>1235</v>
      </c>
      <c r="B19897" s="0" t="s">
        <v>98</v>
      </c>
      <c r="F19897" s="6" t="n">
        <f aca="false">Sens!F19778*(al_m365+Sens!F19896+sbc_r)</f>
        <v>83.7243466825884</v>
      </c>
      <c r="G19897" s="6" t="n">
        <f aca="false">Sens!G19778*(al_m365+Sens!G19896+sbc_r)</f>
        <v>96.1330489690607</v>
      </c>
      <c r="H19897" s="6" t="n">
        <f aca="false">Sens!H19778*(al_m365+Sens!H19896+sbc_r)</f>
        <v>108.705473731326</v>
      </c>
      <c r="I19897" s="6" t="n">
        <f aca="false">Sens!I19778*(al_m365+Sens!I19896+sbc_r)</f>
        <v>120.260963970626</v>
      </c>
      <c r="J19897" s="6" t="n">
        <f aca="false">Sens!J19778*(al_m365+Sens!J19896+sbc_r)</f>
        <v>130.611636982913</v>
      </c>
      <c r="K19897" s="6" t="n">
        <f aca="false">Sens!K19778*(al_m365+Sens!K19896+sbc_r)</f>
        <v>140.573619713848</v>
      </c>
      <c r="L19897" s="12" t="s">
        <v>1236</v>
      </c>
    </row>
    <row r="19898" customFormat="false" ht="17.15" hidden="false" customHeight="false" outlineLevel="0" collapsed="false">
      <c r="A19898" s="0" t="s">
        <v>1237</v>
      </c>
      <c r="B19898" s="0" t="s">
        <v>98</v>
      </c>
      <c r="F19898" s="6" t="n">
        <f aca="false">Sens!F19779*(al_lic+Sens!F19896+sbc_r)</f>
        <v>32.8589908285227</v>
      </c>
      <c r="G19898" s="6" t="n">
        <f aca="false">Sens!G19779*(al_lic+Sens!G19896+sbc_r)</f>
        <v>34.1384808794607</v>
      </c>
      <c r="H19898" s="6" t="n">
        <f aca="false">Sens!H19779*(al_lic+Sens!H19896+sbc_r)</f>
        <v>35.3330921144727</v>
      </c>
      <c r="I19898" s="6" t="n">
        <f aca="false">Sens!I19779*(al_lic+Sens!I19896+sbc_r)</f>
        <v>36.424690157921</v>
      </c>
      <c r="J19898" s="6" t="n">
        <f aca="false">Sens!J19779*(al_lic+Sens!J19896+sbc_r)</f>
        <v>37.3878774957198</v>
      </c>
      <c r="K19898" s="6" t="n">
        <f aca="false">Sens!K19779*(al_lic+Sens!K19896+sbc_r)</f>
        <v>38.1940572160539</v>
      </c>
    </row>
    <row r="19899" customFormat="false" ht="17.15" hidden="false" customHeight="false" outlineLevel="0" collapsed="false">
      <c r="A19899" s="0" t="s">
        <v>1238</v>
      </c>
      <c r="B19899" s="0" t="s">
        <v>98</v>
      </c>
      <c r="F19899" s="6" t="n">
        <f aca="false">Sens!F19781*(al_ind+Sens!F19896+sbc_r)</f>
        <v>9.06112925988168</v>
      </c>
      <c r="G19899" s="6" t="n">
        <f aca="false">Sens!G19781*(al_ind+Sens!G19896+sbc_r)</f>
        <v>9.83671165993992</v>
      </c>
      <c r="H19899" s="6" t="n">
        <f aca="false">Sens!H19781*(al_ind+Sens!H19896+sbc_r)</f>
        <v>10.6573470185644</v>
      </c>
      <c r="I19899" s="6" t="n">
        <f aca="false">Sens!I19781*(al_ind+Sens!I19896+sbc_r)</f>
        <v>11.5200015352416</v>
      </c>
      <c r="J19899" s="6" t="n">
        <f aca="false">Sens!J19781*(al_ind+Sens!J19896+sbc_r)</f>
        <v>12.41496425403</v>
      </c>
      <c r="K19899" s="6" t="n">
        <f aca="false">Sens!K19781*(al_ind+Sens!K19896+sbc_r)</f>
        <v>13.3271276280925</v>
      </c>
    </row>
    <row r="19900" customFormat="false" ht="17.15" hidden="false" customHeight="false" outlineLevel="0" collapsed="false">
      <c r="A19900" s="0" t="s">
        <v>1239</v>
      </c>
      <c r="B19900" s="0" t="s">
        <v>98</v>
      </c>
      <c r="F19900" s="6" t="n">
        <f aca="false">Sens!F19783*(al_fro+Sens!F19896+sbc_r)</f>
        <v>3.55430888783729</v>
      </c>
      <c r="G19900" s="6" t="n">
        <f aca="false">Sens!G19783*(al_fro+Sens!G19896+sbc_r)</f>
        <v>3.76381417516288</v>
      </c>
      <c r="H19900" s="6" t="n">
        <f aca="false">Sens!H19783*(al_fro+Sens!H19896+sbc_r)</f>
        <v>4.00233399784745</v>
      </c>
      <c r="I19900" s="6" t="n">
        <f aca="false">Sens!I19783*(al_fro+Sens!I19896+sbc_r)</f>
        <v>4.27263006304957</v>
      </c>
      <c r="J19900" s="6" t="n">
        <f aca="false">Sens!J19783*(al_fro+Sens!J19896+sbc_r)</f>
        <v>4.57584587921172</v>
      </c>
      <c r="K19900" s="6" t="n">
        <f aca="false">Sens!K19783*(al_fro+Sens!K19896+sbc_r)</f>
        <v>4.91204652634743</v>
      </c>
    </row>
    <row r="19901" customFormat="false" ht="17.15" hidden="false" customHeight="false" outlineLevel="0" collapsed="false">
      <c r="A19901" s="0" t="s">
        <v>1240</v>
      </c>
      <c r="B19901" s="0" t="s">
        <v>98</v>
      </c>
      <c r="F19901" s="6" t="n">
        <f aca="false">Sens!F19786*(al_srch+Sens!F19896+sbc_r)</f>
        <v>11.1899698856341</v>
      </c>
      <c r="G19901" s="6" t="n">
        <f aca="false">Sens!G19786*(al_srch+Sens!G19896+sbc_r)</f>
        <v>12.2623881589886</v>
      </c>
      <c r="H19901" s="6" t="n">
        <f aca="false">Sens!H19786*(al_srch+Sens!H19896+sbc_r)</f>
        <v>13.3799019111661</v>
      </c>
      <c r="I19901" s="6" t="n">
        <f aca="false">Sens!I19786*(al_srch+Sens!I19896+sbc_r)</f>
        <v>14.5318935960892</v>
      </c>
      <c r="J19901" s="6" t="n">
        <f aca="false">Sens!J19786*(al_srch+Sens!J19896+sbc_r)</f>
        <v>15.6983804393334</v>
      </c>
      <c r="K19901" s="6" t="n">
        <f aca="false">Sens!K19786*(al_srch+Sens!K19896+sbc_r)</f>
        <v>16.8517859083995</v>
      </c>
    </row>
    <row r="19902" customFormat="false" ht="17.15" hidden="false" customHeight="false" outlineLevel="0" collapsed="false">
      <c r="A19902" s="0" t="s">
        <v>1241</v>
      </c>
      <c r="B19902" s="0" t="s">
        <v>98</v>
      </c>
      <c r="F19902" s="6" t="n">
        <f aca="false">Sens!F19754-Sens!F19755+Sens!F19836</f>
        <v>43.8929930670309</v>
      </c>
      <c r="G19902" s="6" t="n">
        <f aca="false">Sens!G19754-Sens!G19755+Sens!G19836</f>
        <v>84.733235817535</v>
      </c>
      <c r="H19902" s="6" t="n">
        <f aca="false">Sens!H19754-Sens!H19755+Sens!H19836</f>
        <v>128.589055156741</v>
      </c>
      <c r="I19902" s="6" t="n">
        <f aca="false">Sens!I19754-Sens!I19755+Sens!I19836</f>
        <v>168.017969702905</v>
      </c>
      <c r="J19902" s="6" t="n">
        <f aca="false">Sens!J19754-Sens!J19755+Sens!J19836</f>
        <v>195.965800919331</v>
      </c>
      <c r="K19902" s="6" t="n">
        <f aca="false">Sens!K19754-Sens!K19755+Sens!K19836</f>
        <v>213.649670786631</v>
      </c>
    </row>
    <row r="19903" customFormat="false" ht="17.15" hidden="false" customHeight="false" outlineLevel="0" collapsed="false">
      <c r="A19903" s="0" t="s">
        <v>1242</v>
      </c>
      <c r="B19903" s="0" t="s">
        <v>98</v>
      </c>
      <c r="F19903" s="6" t="n">
        <f aca="false">Sens!F19815+Sens!F19836+Sens!F19766+Sens!F19896*(Sens!F19785-Sens!F19748)+sbc_r*Sens!F19785</f>
        <v>239.316210746886</v>
      </c>
      <c r="G19903" s="6" t="n">
        <f aca="false">Sens!G19815+Sens!G19836+Sens!G19766+Sens!G19896*(Sens!G19785-Sens!G19748)+sbc_r*Sens!G19785</f>
        <v>303.059414861729</v>
      </c>
      <c r="H19903" s="6" t="n">
        <f aca="false">Sens!H19815+Sens!H19836+Sens!H19766+Sens!H19896*(Sens!H19785-Sens!H19748)+sbc_r*Sens!H19785</f>
        <v>374.695107349606</v>
      </c>
      <c r="I19903" s="6" t="n">
        <f aca="false">Sens!I19815+Sens!I19836+Sens!I19766+Sens!I19896*(Sens!I19785-Sens!I19748)+sbc_r*Sens!I19785</f>
        <v>440.522017850981</v>
      </c>
      <c r="J19903" s="6" t="n">
        <f aca="false">Sens!J19815+Sens!J19836+Sens!J19766+Sens!J19896*(Sens!J19785-Sens!J19748)+sbc_r*Sens!J19785</f>
        <v>492.403907032311</v>
      </c>
      <c r="K19903" s="6" t="n">
        <f aca="false">Sens!K19815+Sens!K19836+Sens!K19766+Sens!K19896*(Sens!K19785-Sens!K19748)+sbc_r*Sens!K19785</f>
        <v>531.633599708379</v>
      </c>
    </row>
    <row r="19904" customFormat="false" ht="17.15" hidden="false" customHeight="false" outlineLevel="0" collapsed="false">
      <c r="A19904" s="0" t="s">
        <v>1243</v>
      </c>
      <c r="B19904" s="0" t="s">
        <v>98</v>
      </c>
      <c r="F19904" s="6" t="n">
        <f aca="false">Sens!F19903-Sens!F19897-Sens!F19898-Sens!F19899-Sens!F19900-Sens!F19902</f>
        <v>66.2244420210255</v>
      </c>
      <c r="G19904" s="6" t="n">
        <f aca="false">Sens!G19903-Sens!G19897-Sens!G19898-Sens!G19899-Sens!G19900-Sens!G19902</f>
        <v>74.45412336057</v>
      </c>
      <c r="H19904" s="6" t="n">
        <f aca="false">Sens!H19903-Sens!H19897-Sens!H19898-Sens!H19899-Sens!H19900-Sens!H19902</f>
        <v>87.4078053306542</v>
      </c>
      <c r="I19904" s="6" t="n">
        <f aca="false">Sens!I19903-Sens!I19897-Sens!I19898-Sens!I19899-Sens!I19900-Sens!I19902</f>
        <v>100.025762421238</v>
      </c>
      <c r="J19904" s="6" t="n">
        <f aca="false">Sens!J19903-Sens!J19897-Sens!J19898-Sens!J19899-Sens!J19900-Sens!J19902</f>
        <v>111.447781501105</v>
      </c>
      <c r="K19904" s="6" t="n">
        <f aca="false">Sens!K19903-Sens!K19897-Sens!K19898-Sens!K19899-Sens!K19900-Sens!K19902</f>
        <v>120.977077837405</v>
      </c>
    </row>
    <row r="19905" customFormat="false" ht="17.15" hidden="false" customHeight="false" outlineLevel="0" collapsed="false">
      <c r="A19905" s="0" t="s">
        <v>1244</v>
      </c>
      <c r="B19905" s="0" t="s">
        <v>98</v>
      </c>
      <c r="F19905" s="6" t="n">
        <f aca="false">Sens!F19817+Sens!F19896*Sens!F19792+sbc_r*Sens!F19792</f>
        <v>26.6356888812816</v>
      </c>
      <c r="G19905" s="6" t="n">
        <f aca="false">Sens!G19817+Sens!G19896*Sens!G19792+sbc_r*Sens!G19792</f>
        <v>26.4735009719706</v>
      </c>
      <c r="H19905" s="6" t="n">
        <f aca="false">Sens!H19817+Sens!H19896*Sens!H19792+sbc_r*Sens!H19792</f>
        <v>27.3476505088021</v>
      </c>
      <c r="I19905" s="6" t="n">
        <f aca="false">Sens!I19817+Sens!I19896*Sens!I19792+sbc_r*Sens!I19792</f>
        <v>28.4578258269009</v>
      </c>
      <c r="J19905" s="6" t="n">
        <f aca="false">Sens!J19817+Sens!J19896*Sens!J19792+sbc_r*Sens!J19792</f>
        <v>29.768881578394</v>
      </c>
      <c r="K19905" s="6" t="n">
        <f aca="false">Sens!K19817+Sens!K19896*Sens!K19792+sbc_r*Sens!K19792</f>
        <v>31.2438176769329</v>
      </c>
    </row>
    <row r="19906" customFormat="false" ht="17.15" hidden="false" customHeight="false" outlineLevel="0" collapsed="false">
      <c r="A19906" s="0" t="s">
        <v>1245</v>
      </c>
      <c r="B19906" s="0" t="s">
        <v>98</v>
      </c>
      <c r="F19906" s="6" t="n">
        <f aca="false">(Sens!F19905-Sens!F19901)*Sens!F19788/(Sens!F19788+Sens!F19790)</f>
        <v>8.72351841165084</v>
      </c>
      <c r="G19906" s="6" t="n">
        <f aca="false">(Sens!G19905-Sens!G19901)*Sens!G19788/(Sens!G19788+Sens!G19790)</f>
        <v>7.88828960888352</v>
      </c>
      <c r="H19906" s="6" t="n">
        <f aca="false">(Sens!H19905-Sens!H19901)*Sens!H19788/(Sens!H19788+Sens!H19790)</f>
        <v>7.65220197274894</v>
      </c>
      <c r="I19906" s="6" t="n">
        <f aca="false">(Sens!I19905-Sens!I19901)*Sens!I19788/(Sens!I19788+Sens!I19790)</f>
        <v>7.56270103085701</v>
      </c>
      <c r="J19906" s="6" t="n">
        <f aca="false">(Sens!J19905-Sens!J19901)*Sens!J19788/(Sens!J19788+Sens!J19790)</f>
        <v>7.60787325286006</v>
      </c>
      <c r="K19906" s="6" t="n">
        <f aca="false">(Sens!K19905-Sens!K19901)*Sens!K19788/(Sens!K19788+Sens!K19790)</f>
        <v>7.78172379675792</v>
      </c>
    </row>
    <row r="19907" customFormat="false" ht="17.15" hidden="false" customHeight="false" outlineLevel="0" collapsed="false">
      <c r="A19907" s="0" t="s">
        <v>1246</v>
      </c>
      <c r="B19907" s="0" t="s">
        <v>98</v>
      </c>
      <c r="F19907" s="6" t="n">
        <f aca="false">Sens!F19905-Sens!F19901-Sens!F19906</f>
        <v>6.72220058399663</v>
      </c>
      <c r="G19907" s="6" t="n">
        <f aca="false">Sens!G19905-Sens!G19901-Sens!G19906</f>
        <v>6.32282320409852</v>
      </c>
      <c r="H19907" s="6" t="n">
        <f aca="false">Sens!H19905-Sens!H19901-Sens!H19906</f>
        <v>6.31554662488708</v>
      </c>
      <c r="I19907" s="6" t="n">
        <f aca="false">Sens!I19905-Sens!I19901-Sens!I19906</f>
        <v>6.36323119995474</v>
      </c>
      <c r="J19907" s="6" t="n">
        <f aca="false">Sens!J19905-Sens!J19901-Sens!J19906</f>
        <v>6.46262788620058</v>
      </c>
      <c r="K19907" s="6" t="n">
        <f aca="false">Sens!K19905-Sens!K19901-Sens!K19906</f>
        <v>6.61030797177549</v>
      </c>
    </row>
    <row r="19908" customFormat="false" ht="17.15" hidden="false" customHeight="false" outlineLevel="0" collapsed="false">
      <c r="A19908" s="0" t="s">
        <v>1247</v>
      </c>
      <c r="B19908" s="0" t="s">
        <v>98</v>
      </c>
      <c r="F19908" s="6" t="n">
        <f aca="false">Sens!F19902-tax_f*(Sens!F19902-Sens!F19766)-Sens!F19763</f>
        <v>-131.977217518755</v>
      </c>
      <c r="G19908" s="6" t="n">
        <f aca="false">Sens!G19902-tax_f*(Sens!G19902-Sens!G19766)-Sens!G19763</f>
        <v>-117.830189050635</v>
      </c>
      <c r="H19908" s="6" t="n">
        <f aca="false">Sens!H19902-tax_f*(Sens!H19902-Sens!H19766)-Sens!H19763</f>
        <v>-81.7302993886934</v>
      </c>
      <c r="I19908" s="6" t="n">
        <f aca="false">Sens!I19902-tax_f*(Sens!I19902-Sens!I19766)-Sens!I19763</f>
        <v>-16.0951489661193</v>
      </c>
      <c r="J19908" s="6" t="n">
        <f aca="false">Sens!J19902-tax_f*(Sens!J19902-Sens!J19766)-Sens!J19763</f>
        <v>50.8005322920132</v>
      </c>
      <c r="K19908" s="6" t="n">
        <f aca="false">Sens!K19902-tax_f*(Sens!K19902-Sens!K19766)-Sens!K19763</f>
        <v>77.2791318931092</v>
      </c>
    </row>
    <row r="19909" customFormat="false" ht="17.15" hidden="false" customHeight="false" outlineLevel="0" collapsed="false">
      <c r="A19909" s="0" t="s">
        <v>1248</v>
      </c>
      <c r="B19909" s="0" t="s">
        <v>98</v>
      </c>
      <c r="G19909" s="6" t="n">
        <f aca="false">Sens!G19908/(1+wacc)^(Sens!G19879-Sens!F19880)</f>
        <v>-112.197014809084</v>
      </c>
      <c r="H19909" s="6" t="n">
        <f aca="false">Sens!H19908/(1+wacc)^(Sens!H19879-Sens!F19880)</f>
        <v>-70.559788796782</v>
      </c>
      <c r="I19909" s="6" t="n">
        <f aca="false">Sens!I19908/(1+wacc)^(Sens!I19879-Sens!F19880)</f>
        <v>-12.5984941273665</v>
      </c>
      <c r="J19909" s="6" t="n">
        <f aca="false">Sens!J19908/(1+wacc)^(Sens!J19879-Sens!F19880)</f>
        <v>36.0529955606481</v>
      </c>
      <c r="K19909" s="6" t="n">
        <f aca="false">Sens!K19908/(1+wacc)^(Sens!K19879-Sens!F19880)</f>
        <v>49.7261438469703</v>
      </c>
      <c r="L19909" s="1" t="s">
        <v>1249</v>
      </c>
    </row>
    <row r="19910" customFormat="false" ht="17.15" hidden="false" customHeight="false" outlineLevel="0" collapsed="false">
      <c r="A19910" s="0" t="s">
        <v>1250</v>
      </c>
      <c r="B19910" s="0" t="s">
        <v>98</v>
      </c>
      <c r="C19910" s="6" t="n">
        <f aca="false">(Sens!K19902-Sens!K19766)*(1-tax_f)*(1+g_tv)*(1-g_tv/(wacc+ronic_prem))/(wacc-g_tv)/(1+wacc)^(Sens!K19880-Sens!F19880)</f>
        <v>322.151346397487</v>
      </c>
    </row>
    <row r="19911" customFormat="false" ht="17.15" hidden="false" customHeight="false" outlineLevel="0" collapsed="false">
      <c r="A19911" s="1" t="s">
        <v>1251</v>
      </c>
      <c r="B19911" s="0" t="s">
        <v>98</v>
      </c>
      <c r="C19911" s="6" t="n">
        <f aca="false">(SUM(Sens!G19909:K19909)+Sens!$C$19910)*(1+wacc)^(t_roll-Sens!F19880)</f>
        <v>219.59293790521</v>
      </c>
      <c r="L19911" s="12" t="s">
        <v>1252</v>
      </c>
    </row>
    <row r="19912" customFormat="false" ht="17.15" hidden="false" customHeight="false" outlineLevel="0" collapsed="false">
      <c r="A19912" s="1" t="s">
        <v>1253</v>
      </c>
      <c r="B19912" s="0" t="s">
        <v>98</v>
      </c>
      <c r="C19912" s="6" t="n">
        <f aca="false">(w_ntm28*Sens!G19754+(1-w_ntm28)*Sens!H19754)*m_ai</f>
        <v>480.088737611762</v>
      </c>
    </row>
    <row r="19913" customFormat="false" ht="17.15" hidden="false" customHeight="false" outlineLevel="0" collapsed="false">
      <c r="A19913" s="1" t="s">
        <v>1254</v>
      </c>
      <c r="B19913" s="0" t="s">
        <v>98</v>
      </c>
      <c r="C19913" s="6" t="n">
        <f aca="false">(w_ntm28*Sens!G19904+(1-w_ntm28)*Sens!H19904)*m_cloud</f>
        <v>1087.8118373888</v>
      </c>
    </row>
    <row r="19914" customFormat="false" ht="17.15" hidden="false" customHeight="false" outlineLevel="0" collapsed="false">
      <c r="A19914" s="1" t="s">
        <v>1255</v>
      </c>
      <c r="B19914" s="0" t="s">
        <v>98</v>
      </c>
      <c r="C19914" s="6" t="n">
        <f aca="false">(w_ntm28*Sens!G19897+(1-w_ntm28)*Sens!H19897)*m_sw</f>
        <v>1082.87764802173</v>
      </c>
    </row>
    <row r="19915" customFormat="false" ht="17.15" hidden="false" customHeight="false" outlineLevel="0" collapsed="false">
      <c r="A19915" s="1" t="s">
        <v>1256</v>
      </c>
      <c r="B19915" s="0" t="s">
        <v>98</v>
      </c>
      <c r="C19915" s="6" t="n">
        <f aca="false">(w_ntm28*Sens!G19898+(1-w_ntm28)*Sens!H19898)*m_sw</f>
        <v>372.937281609342</v>
      </c>
    </row>
    <row r="19916" customFormat="false" ht="17.15" hidden="false" customHeight="false" outlineLevel="0" collapsed="false">
      <c r="A19916" s="1" t="s">
        <v>1257</v>
      </c>
      <c r="B19916" s="0" t="s">
        <v>98</v>
      </c>
      <c r="C19916" s="6" t="n">
        <f aca="false">(w_ntm28*Sens!G19899+(1-w_ntm28)*Sens!H19899)*m_sw</f>
        <v>109.150303529481</v>
      </c>
    </row>
    <row r="19917" customFormat="false" ht="17.15" hidden="false" customHeight="false" outlineLevel="0" collapsed="false">
      <c r="A19917" s="1" t="s">
        <v>1258</v>
      </c>
      <c r="B19917" s="0" t="s">
        <v>98</v>
      </c>
      <c r="C19917" s="6" t="n">
        <f aca="false">(w_ntm28*Sens!G19900+(1-w_ntm28)*Sens!H19900)*m_sw</f>
        <v>41.4961018320309</v>
      </c>
    </row>
    <row r="19918" customFormat="false" ht="17.15" hidden="false" customHeight="false" outlineLevel="0" collapsed="false">
      <c r="A19918" s="1" t="s">
        <v>1259</v>
      </c>
      <c r="B19918" s="0" t="s">
        <v>98</v>
      </c>
      <c r="C19918" s="6" t="n">
        <f aca="false">(w_ntm28*Sens!G19901+(1-w_ntm28)*Sens!H19901)*m_ads</f>
        <v>115.057386358195</v>
      </c>
    </row>
    <row r="19919" customFormat="false" ht="17.15" hidden="false" customHeight="false" outlineLevel="0" collapsed="false">
      <c r="A19919" s="1" t="s">
        <v>1260</v>
      </c>
      <c r="B19919" s="0" t="s">
        <v>98</v>
      </c>
      <c r="C19919" s="6" t="n">
        <f aca="false">(w_ntm28*Sens!G19906+(1-w_ntm28)*Sens!H19906)*m_game</f>
        <v>98.6487842771151</v>
      </c>
    </row>
    <row r="19920" customFormat="false" ht="17.15" hidden="false" customHeight="false" outlineLevel="0" collapsed="false">
      <c r="A19920" s="1" t="s">
        <v>1261</v>
      </c>
      <c r="B19920" s="0" t="s">
        <v>98</v>
      </c>
      <c r="C19920" s="6" t="n">
        <f aca="false">(w_ntm28*Sens!G19907+(1-w_ntm28)*Sens!H19907)*m_pc</f>
        <v>91.4566351820926</v>
      </c>
    </row>
    <row r="19921" customFormat="false" ht="17.15" hidden="false" customHeight="false" outlineLevel="0" collapsed="false">
      <c r="A19921" s="1" t="s">
        <v>1262</v>
      </c>
      <c r="B19921" s="0" t="s">
        <v>98</v>
      </c>
      <c r="C19921" s="6" t="n">
        <f aca="false">Sens!$C$19911+Sens!$C$19913+Sens!$C$19914+Sens!$C$19915+Sens!$C$19916+Sens!$C$19917+Sens!$C$19918+Sens!$C$19919+Sens!$C$19920</f>
        <v>3219.028916104</v>
      </c>
    </row>
    <row r="19922" customFormat="false" ht="17.15" hidden="false" customHeight="false" outlineLevel="0" collapsed="false">
      <c r="A19922" s="1" t="s">
        <v>1263</v>
      </c>
      <c r="B19922" s="0" t="s">
        <v>98</v>
      </c>
      <c r="C19922" s="6" t="n">
        <f aca="false">(Sens!G19883-Sens!G19908)*t_stub</f>
        <v>47.8477178151705</v>
      </c>
      <c r="L19922" s="1" t="s">
        <v>1264</v>
      </c>
    </row>
    <row r="19923" customFormat="false" ht="17.15" hidden="false" customHeight="false" outlineLevel="0" collapsed="false">
      <c r="A19923" s="1" t="s">
        <v>1173</v>
      </c>
      <c r="B19923" s="0" t="s">
        <v>98</v>
      </c>
      <c r="C19923" s="6" t="n">
        <f aca="false">Sens!F19870+oai_v-Sens!F19859+Sens!$C$19922</f>
        <v>157.593738945627</v>
      </c>
      <c r="L19923" s="1" t="s">
        <v>1265</v>
      </c>
    </row>
    <row r="19924" customFormat="false" ht="17.15" hidden="false" customHeight="false" outlineLevel="0" collapsed="false">
      <c r="A19924" s="1" t="s">
        <v>1266</v>
      </c>
      <c r="B19924" s="0" t="s">
        <v>75</v>
      </c>
      <c r="C19924" s="5" t="n">
        <f aca="false">(Sens!$C$19921+Sens!$C$19923)/(Sens!F19872+dil_gap)-Sens!G19862*roll_div_q/q_per_yr</f>
        <v>449.417097525297</v>
      </c>
      <c r="L19924" s="1" t="s">
        <v>1267</v>
      </c>
    </row>
    <row r="19925" customFormat="false" ht="17.15" hidden="false" customHeight="false" outlineLevel="0" collapsed="false">
      <c r="A19925" s="1" t="s">
        <v>1268</v>
      </c>
      <c r="B19925" s="0" t="s">
        <v>75</v>
      </c>
      <c r="C19925" s="5" t="n">
        <f aca="false">w_dcf*Sens!$C$19895+(1-w_dcf)*Sens!$C$19924</f>
        <v>389.633381670428</v>
      </c>
    </row>
    <row r="19926" customFormat="false" ht="17.15" hidden="false" customHeight="false" outlineLevel="0" collapsed="false">
      <c r="A19926" s="3" t="s">
        <v>2104</v>
      </c>
    </row>
    <row r="19927" customFormat="false" ht="15" hidden="false" customHeight="false" outlineLevel="0" collapsed="false">
      <c r="A19927" s="4" t="s">
        <v>43</v>
      </c>
      <c r="B19927" s="4" t="s">
        <v>65</v>
      </c>
      <c r="C19927" s="23" t="s">
        <v>942</v>
      </c>
      <c r="D19927" s="23" t="s">
        <v>943</v>
      </c>
      <c r="E19927" s="23" t="s">
        <v>944</v>
      </c>
      <c r="F19927" s="23" t="s">
        <v>945</v>
      </c>
      <c r="G19927" s="23" t="s">
        <v>946</v>
      </c>
      <c r="H19927" s="23" t="s">
        <v>947</v>
      </c>
      <c r="I19927" s="23" t="s">
        <v>948</v>
      </c>
      <c r="J19927" s="23" t="s">
        <v>949</v>
      </c>
      <c r="K19927" s="23" t="s">
        <v>950</v>
      </c>
      <c r="L19927" s="4" t="s">
        <v>47</v>
      </c>
    </row>
    <row r="19928" customFormat="false" ht="17.15" hidden="false" customHeight="false" outlineLevel="0" collapsed="false">
      <c r="A19928" s="1" t="s">
        <v>951</v>
      </c>
      <c r="B19928" s="1" t="s">
        <v>279</v>
      </c>
      <c r="C19928" s="21" t="n">
        <v>2024</v>
      </c>
      <c r="D19928" s="21" t="n">
        <v>2025</v>
      </c>
      <c r="E19928" s="21" t="n">
        <v>2026</v>
      </c>
      <c r="F19928" s="21" t="n">
        <v>2027</v>
      </c>
      <c r="G19928" s="21" t="n">
        <v>2028</v>
      </c>
      <c r="H19928" s="21" t="n">
        <v>2029</v>
      </c>
      <c r="I19928" s="21" t="n">
        <v>2030</v>
      </c>
      <c r="J19928" s="21" t="n">
        <v>2031</v>
      </c>
      <c r="K19928" s="21" t="n">
        <v>2032</v>
      </c>
    </row>
    <row r="19929" customFormat="false" ht="17.15" hidden="false" customHeight="false" outlineLevel="0" collapsed="false">
      <c r="A19929" s="1" t="s">
        <v>952</v>
      </c>
      <c r="B19929" s="0" t="s">
        <v>459</v>
      </c>
      <c r="F19929" s="30" t="n">
        <f aca="false">pace</f>
        <v>2726.5351</v>
      </c>
      <c r="G19929" s="30" t="n">
        <f aca="false">pace</f>
        <v>2726.5351</v>
      </c>
      <c r="H19929" s="30" t="n">
        <f aca="false">pace</f>
        <v>2726.5351</v>
      </c>
      <c r="I19929" s="30" t="n">
        <f aca="false">pace+(g_tv*Sens!H19930-pace)*MIN(1,(Sens!I19928-pace_y0)/(pace_y1-pace_y0))</f>
        <v>1931.98611966667</v>
      </c>
      <c r="J19929" s="30" t="n">
        <f aca="false">pace+(g_tv*Sens!I19930-pace)*MIN(1,(Sens!J19928-pace_y0)/(pace_y1-pace_y0))</f>
        <v>1176.07686172667</v>
      </c>
      <c r="K19929" s="30" t="n">
        <f aca="false">pace+(g_tv*Sens!J19930-pace)*MIN(1,(Sens!K19928-pace_y0)/(pace_y1-pace_y0))</f>
        <v>436.1300484418</v>
      </c>
      <c r="L19929" s="12" t="s">
        <v>953</v>
      </c>
    </row>
    <row r="19930" customFormat="false" ht="17.15" hidden="false" customHeight="false" outlineLevel="0" collapsed="false">
      <c r="A19930" s="1" t="s">
        <v>954</v>
      </c>
      <c r="B19930" s="0" t="s">
        <v>459</v>
      </c>
      <c r="C19930" s="30" t="n">
        <f aca="false">mw_ext_24</f>
        <v>640</v>
      </c>
      <c r="D19930" s="30" t="n">
        <f aca="false">mw_ext_25</f>
        <v>1630</v>
      </c>
      <c r="E19930" s="30" t="n">
        <f aca="false">mw_ext_26</f>
        <v>3250</v>
      </c>
      <c r="F19930" s="30" t="n">
        <f aca="false">Sens!E19930+Sens!F19929</f>
        <v>5976.5351</v>
      </c>
      <c r="G19930" s="30" t="n">
        <f aca="false">Sens!F19930+Sens!G19929</f>
        <v>8703.0702</v>
      </c>
      <c r="H19930" s="30" t="n">
        <f aca="false">Sens!G19930+Sens!H19929</f>
        <v>11429.6053</v>
      </c>
      <c r="I19930" s="30" t="n">
        <f aca="false">Sens!H19930+Sens!I19929</f>
        <v>13361.5914196667</v>
      </c>
      <c r="J19930" s="30" t="n">
        <f aca="false">Sens!I19930+Sens!J19929</f>
        <v>14537.6682813933</v>
      </c>
      <c r="K19930" s="30" t="n">
        <f aca="false">Sens!J19930+Sens!K19929</f>
        <v>14973.7983298351</v>
      </c>
      <c r="L19930" s="1" t="s">
        <v>955</v>
      </c>
    </row>
    <row r="19931" customFormat="false" ht="17.15" hidden="false" customHeight="false" outlineLevel="0" collapsed="false">
      <c r="A19931" s="1" t="s">
        <v>956</v>
      </c>
      <c r="B19931" s="0" t="s">
        <v>459</v>
      </c>
      <c r="C19931" s="30" t="n">
        <f aca="false">rent_ext_24</f>
        <v>150</v>
      </c>
      <c r="D19931" s="30" t="n">
        <f aca="false">rent_ext_25</f>
        <v>400</v>
      </c>
      <c r="E19931" s="30" t="n">
        <f aca="false">rent_ext_26</f>
        <v>550</v>
      </c>
      <c r="F19931" s="30" t="n">
        <f aca="false">rent_ext_f</f>
        <v>756</v>
      </c>
      <c r="G19931" s="30" t="n">
        <f aca="false">rent_ext_f</f>
        <v>756</v>
      </c>
      <c r="H19931" s="30" t="n">
        <f aca="false">rent_ext_f</f>
        <v>756</v>
      </c>
      <c r="I19931" s="30" t="n">
        <f aca="false">rent_ext_f</f>
        <v>756</v>
      </c>
      <c r="J19931" s="30" t="n">
        <f aca="false">rent_ext_f</f>
        <v>756</v>
      </c>
      <c r="K19931" s="30" t="n">
        <f aca="false">rent_ext_f</f>
        <v>756</v>
      </c>
      <c r="L19931" s="1" t="s">
        <v>957</v>
      </c>
    </row>
    <row r="19932" customFormat="false" ht="17.15" hidden="false" customHeight="false" outlineLevel="0" collapsed="false">
      <c r="A19932" s="1" t="s">
        <v>958</v>
      </c>
      <c r="B19932" s="0" t="s">
        <v>459</v>
      </c>
      <c r="C19932" s="30" t="n">
        <f aca="false">Sens!C19930-Sens!C19931</f>
        <v>490</v>
      </c>
      <c r="D19932" s="30" t="n">
        <f aca="false">Sens!D19930-Sens!D19931</f>
        <v>1230</v>
      </c>
      <c r="E19932" s="30" t="n">
        <f aca="false">Sens!E19930-Sens!E19931</f>
        <v>2700</v>
      </c>
      <c r="F19932" s="30" t="n">
        <f aca="false">Sens!F19930-Sens!F19931</f>
        <v>5220.5351</v>
      </c>
      <c r="G19932" s="30" t="n">
        <f aca="false">Sens!G19930-Sens!G19931</f>
        <v>7947.0702</v>
      </c>
      <c r="H19932" s="30" t="n">
        <f aca="false">Sens!H19930-Sens!H19931</f>
        <v>10673.6053</v>
      </c>
      <c r="I19932" s="30" t="n">
        <f aca="false">Sens!I19930-Sens!I19931</f>
        <v>12605.5914196667</v>
      </c>
      <c r="J19932" s="30" t="n">
        <f aca="false">Sens!J19930-Sens!J19931</f>
        <v>13781.6682813933</v>
      </c>
      <c r="K19932" s="30" t="n">
        <f aca="false">Sens!K19930-Sens!K19931</f>
        <v>14217.7983298351</v>
      </c>
    </row>
    <row r="19933" customFormat="false" ht="17.15" hidden="false" customHeight="false" outlineLevel="0" collapsed="false">
      <c r="A19933" s="1" t="s">
        <v>959</v>
      </c>
      <c r="B19933" s="0" t="s">
        <v>459</v>
      </c>
      <c r="C19933" s="30" t="n">
        <f aca="false">Sens!C19932/ext_sh</f>
        <v>816.666666666667</v>
      </c>
      <c r="D19933" s="30" t="n">
        <f aca="false">Sens!D19932/ext_sh</f>
        <v>2050</v>
      </c>
      <c r="E19933" s="30" t="n">
        <f aca="false">Sens!E19932/ext_sh</f>
        <v>4500</v>
      </c>
      <c r="F19933" s="30" t="n">
        <f aca="false">Sens!F19932/ext_sh</f>
        <v>8700.89183333333</v>
      </c>
      <c r="G19933" s="30" t="n">
        <f aca="false">Sens!G19932/ext_sh</f>
        <v>13245.117</v>
      </c>
      <c r="H19933" s="30" t="n">
        <f aca="false">Sens!H19932/ext_sh</f>
        <v>17789.3421666667</v>
      </c>
      <c r="I19933" s="30" t="n">
        <f aca="false">Sens!I19932/ext_sh</f>
        <v>21009.3190327778</v>
      </c>
      <c r="J19933" s="30" t="n">
        <f aca="false">Sens!J19932/ext_sh</f>
        <v>22969.4471356556</v>
      </c>
      <c r="K19933" s="30" t="n">
        <f aca="false">Sens!K19932/ext_sh</f>
        <v>23696.3305497252</v>
      </c>
      <c r="L19933" s="1" t="s">
        <v>960</v>
      </c>
    </row>
    <row r="19934" customFormat="false" ht="17.15" hidden="false" customHeight="false" outlineLevel="0" collapsed="false">
      <c r="A19934" s="1" t="s">
        <v>961</v>
      </c>
      <c r="B19934" s="0" t="s">
        <v>459</v>
      </c>
      <c r="C19934" s="30" t="n">
        <f aca="false">Sens!C19933-Sens!C19932</f>
        <v>326.666666666667</v>
      </c>
      <c r="D19934" s="30" t="n">
        <f aca="false">Sens!D19933-Sens!D19932</f>
        <v>820</v>
      </c>
      <c r="E19934" s="30" t="n">
        <f aca="false">Sens!E19933-Sens!E19932</f>
        <v>1800</v>
      </c>
      <c r="F19934" s="30" t="n">
        <f aca="false">Sens!F19933-Sens!F19932</f>
        <v>3480.35673333333</v>
      </c>
      <c r="G19934" s="30" t="n">
        <f aca="false">Sens!G19933-Sens!G19932</f>
        <v>5298.0468</v>
      </c>
      <c r="H19934" s="30" t="n">
        <f aca="false">Sens!H19933-Sens!H19932</f>
        <v>7115.73686666667</v>
      </c>
      <c r="I19934" s="30" t="n">
        <f aca="false">Sens!I19933-Sens!I19932</f>
        <v>8403.72761311111</v>
      </c>
      <c r="J19934" s="30" t="n">
        <f aca="false">Sens!J19933-Sens!J19932</f>
        <v>9187.77885426222</v>
      </c>
      <c r="K19934" s="30" t="n">
        <f aca="false">Sens!K19933-Sens!K19932</f>
        <v>9478.53221989009</v>
      </c>
    </row>
    <row r="19935" customFormat="false" ht="17.15" hidden="false" customHeight="false" outlineLevel="0" collapsed="false">
      <c r="A19935" s="1" t="s">
        <v>962</v>
      </c>
      <c r="B19935" s="0" t="s">
        <v>459</v>
      </c>
      <c r="C19935" s="30" t="n">
        <f aca="false">Sens!C19933</f>
        <v>816.666666666667</v>
      </c>
      <c r="D19935" s="30" t="n">
        <f aca="false">Sens!D19933-Sens!C19933</f>
        <v>1233.33333333333</v>
      </c>
      <c r="E19935" s="30" t="n">
        <f aca="false">Sens!E19933-Sens!D19933</f>
        <v>2450</v>
      </c>
      <c r="F19935" s="30" t="n">
        <f aca="false">Sens!F19933-Sens!E19933</f>
        <v>4200.89183333333</v>
      </c>
      <c r="G19935" s="30" t="n">
        <f aca="false">Sens!G19933-Sens!F19933</f>
        <v>4544.22516666667</v>
      </c>
      <c r="H19935" s="30" t="n">
        <f aca="false">Sens!H19933-Sens!G19933</f>
        <v>4544.22516666667</v>
      </c>
      <c r="I19935" s="30" t="n">
        <f aca="false">Sens!I19933-Sens!H19933</f>
        <v>3219.97686611111</v>
      </c>
      <c r="J19935" s="30" t="n">
        <f aca="false">Sens!J19933-Sens!I19933</f>
        <v>1960.12810287778</v>
      </c>
      <c r="K19935" s="30" t="n">
        <f aca="false">Sens!K19933-Sens!J19933</f>
        <v>726.883414069667</v>
      </c>
    </row>
    <row r="19936" customFormat="false" ht="17.15" hidden="false" customHeight="false" outlineLevel="0" collapsed="false">
      <c r="A19936" s="1" t="s">
        <v>963</v>
      </c>
      <c r="B19936" s="0" t="s">
        <v>459</v>
      </c>
      <c r="D19936" s="30" t="n">
        <f aca="false">Sens!D19930-Sens!C19930</f>
        <v>990</v>
      </c>
      <c r="E19936" s="30" t="n">
        <f aca="false">Sens!E19930-Sens!D19930</f>
        <v>1620</v>
      </c>
      <c r="F19936" s="30" t="n">
        <f aca="false">Sens!F19930-Sens!E19930</f>
        <v>2726.5351</v>
      </c>
      <c r="G19936" s="30" t="n">
        <f aca="false">Sens!G19930-Sens!F19930</f>
        <v>2726.5351</v>
      </c>
      <c r="H19936" s="30" t="n">
        <f aca="false">Sens!H19930-Sens!G19930</f>
        <v>2726.5351</v>
      </c>
      <c r="I19936" s="30" t="n">
        <f aca="false">Sens!I19930-Sens!H19930</f>
        <v>1931.98611966667</v>
      </c>
      <c r="J19936" s="30" t="n">
        <f aca="false">Sens!J19930-Sens!I19930</f>
        <v>1176.07686172667</v>
      </c>
      <c r="K19936" s="30" t="n">
        <f aca="false">Sens!K19930-Sens!J19930</f>
        <v>436.130048441799</v>
      </c>
    </row>
    <row r="19937" customFormat="false" ht="17.15" hidden="false" customHeight="false" outlineLevel="0" collapsed="false">
      <c r="A19937" s="1" t="s">
        <v>964</v>
      </c>
      <c r="B19937" s="0" t="s">
        <v>459</v>
      </c>
      <c r="F19937" s="30" t="n">
        <f aca="false">Sens!F19956*ext_sh</f>
        <v>0</v>
      </c>
      <c r="G19937" s="30" t="n">
        <f aca="false">Sens!G19956*ext_sh</f>
        <v>0</v>
      </c>
      <c r="H19937" s="30" t="n">
        <f aca="false">Sens!H19956*ext_sh</f>
        <v>0</v>
      </c>
      <c r="I19937" s="30" t="n">
        <f aca="false">Sens!I19956*ext_sh</f>
        <v>490</v>
      </c>
      <c r="J19937" s="30" t="n">
        <f aca="false">Sens!J19956*ext_sh</f>
        <v>740</v>
      </c>
      <c r="K19937" s="30" t="n">
        <f aca="false">Sens!K19956*ext_sh</f>
        <v>1470</v>
      </c>
      <c r="L19937" s="1" t="s">
        <v>965</v>
      </c>
    </row>
    <row r="19938" customFormat="false" ht="17.15" hidden="false" customHeight="false" outlineLevel="0" collapsed="false">
      <c r="A19938" s="1" t="s">
        <v>966</v>
      </c>
      <c r="B19938" s="0" t="s">
        <v>459</v>
      </c>
      <c r="C19938" s="30" t="n">
        <f aca="false">mix_h*Sens!C19930</f>
        <v>128</v>
      </c>
      <c r="D19938" s="30" t="n">
        <f aca="false">mix_h*Sens!D19930</f>
        <v>326</v>
      </c>
      <c r="E19938" s="30" t="n">
        <f aca="false">mix_h*Sens!E19930</f>
        <v>650</v>
      </c>
      <c r="F19938" s="30" t="n">
        <f aca="false">Sens!E19938-Sens!F19937*mix_h</f>
        <v>650</v>
      </c>
      <c r="G19938" s="30" t="n">
        <f aca="false">Sens!F19938-Sens!G19937*mix_h</f>
        <v>650</v>
      </c>
      <c r="H19938" s="30" t="n">
        <f aca="false">Sens!G19938-Sens!H19937*mix_h</f>
        <v>650</v>
      </c>
      <c r="I19938" s="30" t="n">
        <f aca="false">Sens!H19938-Sens!I19937*mix_h</f>
        <v>552</v>
      </c>
      <c r="J19938" s="30" t="n">
        <f aca="false">Sens!I19938-Sens!J19937*mix_h</f>
        <v>404</v>
      </c>
      <c r="K19938" s="30" t="n">
        <f aca="false">Sens!J19938-Sens!K19937*mix_h</f>
        <v>110</v>
      </c>
    </row>
    <row r="19939" customFormat="false" ht="17.15" hidden="false" customHeight="false" outlineLevel="0" collapsed="false">
      <c r="A19939" s="1" t="s">
        <v>967</v>
      </c>
      <c r="B19939" s="0" t="s">
        <v>459</v>
      </c>
      <c r="C19939" s="30" t="n">
        <f aca="false">mix_g2*Sens!C19930</f>
        <v>288</v>
      </c>
      <c r="D19939" s="30" t="n">
        <f aca="false">mix_g2*Sens!D19930</f>
        <v>733.5</v>
      </c>
      <c r="E19939" s="30" t="n">
        <f aca="false">mix_g2*Sens!E19930</f>
        <v>1462.5</v>
      </c>
      <c r="F19939" s="30" t="n">
        <f aca="false">Sens!E19939-Sens!F19937*mix_g2</f>
        <v>1462.5</v>
      </c>
      <c r="G19939" s="30" t="n">
        <f aca="false">Sens!F19939-Sens!G19937*mix_g2</f>
        <v>1462.5</v>
      </c>
      <c r="H19939" s="30" t="n">
        <f aca="false">Sens!G19939-Sens!H19937*mix_g2</f>
        <v>1462.5</v>
      </c>
      <c r="I19939" s="30" t="n">
        <f aca="false">Sens!H19939-Sens!I19937*mix_g2</f>
        <v>1242</v>
      </c>
      <c r="J19939" s="30" t="n">
        <f aca="false">Sens!I19939-Sens!J19937*mix_g2</f>
        <v>909</v>
      </c>
      <c r="K19939" s="30" t="n">
        <f aca="false">Sens!J19939-Sens!K19937*mix_g2</f>
        <v>247.5</v>
      </c>
    </row>
    <row r="19940" customFormat="false" ht="17.15" hidden="false" customHeight="false" outlineLevel="0" collapsed="false">
      <c r="A19940" s="1" t="s">
        <v>968</v>
      </c>
      <c r="B19940" s="0" t="s">
        <v>459</v>
      </c>
      <c r="C19940" s="30" t="n">
        <f aca="false">mix_g3*Sens!C19930</f>
        <v>224</v>
      </c>
      <c r="D19940" s="30" t="n">
        <f aca="false">mix_g3*Sens!D19930</f>
        <v>570.5</v>
      </c>
      <c r="E19940" s="30" t="n">
        <f aca="false">mix_g3*Sens!E19930</f>
        <v>1137.5</v>
      </c>
      <c r="F19940" s="30" t="n">
        <f aca="false">Sens!E19940+(Sens!F19936+Sens!F19937)*(a_g3_27-0*a_mai)-Sens!F19937*mix_g3</f>
        <v>3046.07457</v>
      </c>
      <c r="G19940" s="30" t="n">
        <f aca="false">Sens!F19940+(Sens!G19936+Sens!G19937)*(a_g3_28-0*a_mai)-Sens!G19937*mix_g3</f>
        <v>3864.0351</v>
      </c>
      <c r="H19940" s="30" t="n">
        <f aca="false">Sens!G19940+(Sens!H19936+Sens!H19937)*(a_g3_29-0*a_mai)-Sens!H19937*mix_g3</f>
        <v>4136.68861</v>
      </c>
      <c r="I19940" s="30" t="n">
        <f aca="false">Sens!H19940+(Sens!I19936+Sens!I19937)*(a_g3_29-0*a_mai)-Sens!I19937*mix_g3</f>
        <v>4207.38722196667</v>
      </c>
      <c r="J19940" s="30" t="n">
        <f aca="false">Sens!I19940+(Sens!J19936+Sens!J19937)*(a_g3_29-0*a_mai)-Sens!J19937*mix_g3</f>
        <v>4139.99490813933</v>
      </c>
      <c r="K19940" s="30" t="n">
        <f aca="false">Sens!J19940+(Sens!K19936+Sens!K19937)*(a_g3_29-0*a_mai)-Sens!K19937*mix_g3</f>
        <v>3816.10791298351</v>
      </c>
    </row>
    <row r="19941" customFormat="false" ht="17.15" hidden="false" customHeight="false" outlineLevel="0" collapsed="false">
      <c r="A19941" s="1" t="s">
        <v>969</v>
      </c>
      <c r="B19941" s="0" t="s">
        <v>459</v>
      </c>
      <c r="C19941" s="30" t="n">
        <v>0</v>
      </c>
      <c r="D19941" s="30" t="n">
        <v>0</v>
      </c>
      <c r="E19941" s="30" t="n">
        <v>0</v>
      </c>
      <c r="F19941" s="30" t="n">
        <f aca="false">Sens!E19941+(Sens!F19936+Sens!F19937)*0*a_mai</f>
        <v>0</v>
      </c>
      <c r="G19941" s="30" t="n">
        <f aca="false">Sens!F19941+(Sens!G19936+Sens!G19937)*0*a_mai</f>
        <v>0</v>
      </c>
      <c r="H19941" s="30" t="n">
        <f aca="false">Sens!G19941+(Sens!H19936+Sens!H19937)*0*a_mai</f>
        <v>0</v>
      </c>
      <c r="I19941" s="30" t="n">
        <f aca="false">Sens!H19941+(Sens!I19936+Sens!I19937)*0*a_mai</f>
        <v>0</v>
      </c>
      <c r="J19941" s="30" t="n">
        <f aca="false">Sens!I19941+(Sens!J19936+Sens!J19937)*0*a_mai</f>
        <v>0</v>
      </c>
      <c r="K19941" s="30" t="n">
        <f aca="false">Sens!J19941+(Sens!K19936+Sens!K19937)*0*a_mai</f>
        <v>0</v>
      </c>
      <c r="L19941" s="12" t="s">
        <v>970</v>
      </c>
    </row>
    <row r="19942" customFormat="false" ht="17.15" hidden="false" customHeight="false" outlineLevel="0" collapsed="false">
      <c r="A19942" s="1" t="s">
        <v>971</v>
      </c>
      <c r="B19942" s="0" t="s">
        <v>459</v>
      </c>
      <c r="C19942" s="30" t="n">
        <v>0</v>
      </c>
      <c r="D19942" s="30" t="n">
        <v>0</v>
      </c>
      <c r="E19942" s="30" t="n">
        <v>0</v>
      </c>
      <c r="F19942" s="30" t="n">
        <f aca="false">Sens!E19942+(Sens!F19936+Sens!F19937)*(1-a_g3_27)</f>
        <v>817.96053</v>
      </c>
      <c r="G19942" s="30" t="n">
        <f aca="false">Sens!F19942+(Sens!G19936+Sens!G19937)*(1-a_g3_28)</f>
        <v>2726.5351</v>
      </c>
      <c r="H19942" s="30" t="n">
        <f aca="false">Sens!G19942+(Sens!H19936+Sens!H19937)*(1-a_g3_29)</f>
        <v>5180.41669</v>
      </c>
      <c r="I19942" s="30" t="n">
        <f aca="false">Sens!H19942+(Sens!I19936+Sens!I19937)*(1-a_g3_29)</f>
        <v>7360.2041977</v>
      </c>
      <c r="J19942" s="30" t="n">
        <f aca="false">Sens!I19942+(Sens!J19936+Sens!J19937)*(1-a_g3_29)</f>
        <v>9084.673373254</v>
      </c>
      <c r="K19942" s="30" t="n">
        <f aca="false">Sens!J19942+(Sens!K19936+Sens!K19937)*(1-a_g3_29)</f>
        <v>10800.1904168516</v>
      </c>
    </row>
    <row r="19943" customFormat="false" ht="17.15" hidden="false" customHeight="false" outlineLevel="0" collapsed="false">
      <c r="A19943" s="1" t="s">
        <v>972</v>
      </c>
      <c r="B19943" s="0" t="s">
        <v>403</v>
      </c>
      <c r="C19943" s="15" t="n">
        <f aca="false">(Sens!C19938*tk_hold_h100+Sens!C19939*tk_hold_gb200+Sens!C19940*tk_hold_gb300+Sens!C19942*tk_hold_vr200+Sens!C19941*nv_hold_mai*tk_hold_vr200)/Sens!C19930</f>
        <v>9.7235358126469</v>
      </c>
      <c r="D19943" s="15" t="n">
        <f aca="false">(Sens!D19938*tk_hold_h100+Sens!D19939*tk_hold_gb200+Sens!D19940*tk_hold_gb300+Sens!D19942*tk_hold_vr200+Sens!D19941*nv_hold_mai*tk_hold_vr200)/Sens!D19930</f>
        <v>9.7235358126469</v>
      </c>
      <c r="E19943" s="15" t="n">
        <f aca="false">(Sens!E19938*tk_hold_h100+Sens!E19939*tk_hold_gb200+Sens!E19940*tk_hold_gb300+Sens!E19942*tk_hold_vr200+Sens!E19941*nv_hold_mai*tk_hold_vr200)/Sens!E19930</f>
        <v>9.7235358126469</v>
      </c>
      <c r="F19943" s="15" t="n">
        <f aca="false">(Sens!F19938*tk_hold_h100+Sens!F19939*tk_hold_gb200+Sens!F19940*tk_hold_gb300+Sens!F19942*tk_hold_vr200+Sens!F19941*nv_hold_mai*tk_hold_vr200)/Sens!F19930</f>
        <v>10.4373136419306</v>
      </c>
      <c r="G19943" s="15" t="n">
        <f aca="false">(Sens!G19938*tk_hold_h100+Sens!G19939*tk_hold_gb200+Sens!G19940*tk_hold_gb300+Sens!G19942*tk_hold_vr200+Sens!G19941*nv_hold_mai*tk_hold_vr200)/Sens!G19930</f>
        <v>10.8716633021543</v>
      </c>
      <c r="H19943" s="15" t="n">
        <f aca="false">(Sens!H19938*tk_hold_h100+Sens!H19939*tk_hold_gb200+Sens!H19940*tk_hold_gb300+Sens!H19942*tk_hold_vr200+Sens!H19941*nv_hold_mai*tk_hold_vr200)/Sens!H19930</f>
        <v>11.162671147329</v>
      </c>
      <c r="I19943" s="15" t="n">
        <f aca="false">(Sens!I19938*tk_hold_h100+Sens!I19939*tk_hold_gb200+Sens!I19940*tk_hold_gb300+Sens!I19942*tk_hold_vr200+Sens!I19941*nv_hold_mai*tk_hold_vr200)/Sens!I19930</f>
        <v>11.3838232728132</v>
      </c>
      <c r="J19943" s="15" t="n">
        <f aca="false">(Sens!J19938*tk_hold_h100+Sens!J19939*tk_hold_gb200+Sens!J19940*tk_hold_gb300+Sens!J19942*tk_hold_vr200+Sens!J19941*nv_hold_mai*tk_hold_vr200)/Sens!J19930</f>
        <v>11.5616165905821</v>
      </c>
      <c r="K19943" s="15" t="n">
        <f aca="false">(Sens!K19938*tk_hold_h100+Sens!K19939*tk_hold_gb200+Sens!K19940*tk_hold_gb300+Sens!K19942*tk_hold_vr200+Sens!K19941*nv_hold_mai*tk_hold_vr200)/Sens!K19930</f>
        <v>11.8095249206783</v>
      </c>
      <c r="L19943" s="1" t="s">
        <v>973</v>
      </c>
    </row>
    <row r="19944" customFormat="false" ht="17.15" hidden="false" customHeight="false" outlineLevel="0" collapsed="false">
      <c r="A19944" s="1" t="s">
        <v>974</v>
      </c>
      <c r="B19944" s="0" t="s">
        <v>403</v>
      </c>
      <c r="C19944" s="15" t="n">
        <f aca="false">(Sens!C19938*tk_hold_h100+Sens!C19939*tk_hold_gb200+Sens!C19940*tk_hold_gb300+Sens!C19942*tk_hold_vr200+Sens!C19941*nv_out_mai*tk_hold_vr200)/Sens!C19930</f>
        <v>9.7235358126469</v>
      </c>
      <c r="D19944" s="15" t="n">
        <f aca="false">(Sens!D19938*tk_hold_h100+Sens!D19939*tk_hold_gb200+Sens!D19940*tk_hold_gb300+Sens!D19942*tk_hold_vr200+Sens!D19941*nv_out_mai*tk_hold_vr200)/Sens!D19930</f>
        <v>9.7235358126469</v>
      </c>
      <c r="E19944" s="15" t="n">
        <f aca="false">(Sens!E19938*tk_hold_h100+Sens!E19939*tk_hold_gb200+Sens!E19940*tk_hold_gb300+Sens!E19942*tk_hold_vr200+Sens!E19941*nv_out_mai*tk_hold_vr200)/Sens!E19930</f>
        <v>9.7235358126469</v>
      </c>
      <c r="F19944" s="15" t="n">
        <f aca="false">(Sens!F19938*tk_hold_h100+Sens!F19939*tk_hold_gb200+Sens!F19940*tk_hold_gb300+Sens!F19942*tk_hold_vr200+Sens!F19941*nv_out_mai*tk_hold_vr200)/Sens!F19930</f>
        <v>10.4373136419306</v>
      </c>
      <c r="G19944" s="15" t="n">
        <f aca="false">(Sens!G19938*tk_hold_h100+Sens!G19939*tk_hold_gb200+Sens!G19940*tk_hold_gb300+Sens!G19942*tk_hold_vr200+Sens!G19941*nv_out_mai*tk_hold_vr200)/Sens!G19930</f>
        <v>10.8716633021543</v>
      </c>
      <c r="H19944" s="15" t="n">
        <f aca="false">(Sens!H19938*tk_hold_h100+Sens!H19939*tk_hold_gb200+Sens!H19940*tk_hold_gb300+Sens!H19942*tk_hold_vr200+Sens!H19941*nv_out_mai*tk_hold_vr200)/Sens!H19930</f>
        <v>11.162671147329</v>
      </c>
      <c r="I19944" s="15" t="n">
        <f aca="false">(Sens!I19938*tk_hold_h100+Sens!I19939*tk_hold_gb200+Sens!I19940*tk_hold_gb300+Sens!I19942*tk_hold_vr200+Sens!I19941*nv_out_mai*tk_hold_vr200)/Sens!I19930</f>
        <v>11.3838232728132</v>
      </c>
      <c r="J19944" s="15" t="n">
        <f aca="false">(Sens!J19938*tk_hold_h100+Sens!J19939*tk_hold_gb200+Sens!J19940*tk_hold_gb300+Sens!J19942*tk_hold_vr200+Sens!J19941*nv_out_mai*tk_hold_vr200)/Sens!J19930</f>
        <v>11.5616165905821</v>
      </c>
      <c r="K19944" s="15" t="n">
        <f aca="false">(Sens!K19938*tk_hold_h100+Sens!K19939*tk_hold_gb200+Sens!K19940*tk_hold_gb300+Sens!K19942*tk_hold_vr200+Sens!K19941*nv_out_mai*tk_hold_vr200)/Sens!K19930</f>
        <v>11.8095249206783</v>
      </c>
      <c r="L19944" s="12" t="s">
        <v>975</v>
      </c>
    </row>
    <row r="19945" customFormat="false" ht="17.15" hidden="false" customHeight="false" outlineLevel="0" collapsed="false">
      <c r="A19945" s="0" t="s">
        <v>976</v>
      </c>
      <c r="B19945" s="0" t="s">
        <v>229</v>
      </c>
      <c r="C19945" s="15" t="n">
        <f aca="false">k_B</f>
        <v>1.17213932619116</v>
      </c>
      <c r="D19945" s="15" t="n">
        <f aca="false">k_B</f>
        <v>1.17213932619116</v>
      </c>
      <c r="E19945" s="15" t="n">
        <f aca="false">k_B</f>
        <v>1.17213932619116</v>
      </c>
      <c r="F19945" s="15" t="n">
        <f aca="false">(k_B+((ls_C*k_long+(1-ls_C)*k_spot)-k_B)*MIN(1,(Sens!F19928-base_fy)/k_ramp))</f>
        <v>1.07843258004497</v>
      </c>
      <c r="G19945" s="15" t="n">
        <f aca="false">(k_B+((ls_C*k_long+(1-ls_C)*k_spot)-k_B)*MIN(1,(Sens!G19928-base_fy)/k_ramp))</f>
        <v>0.984725833898784</v>
      </c>
      <c r="H19945" s="15" t="n">
        <f aca="false">(k_B+((ls_C*k_long+(1-ls_C)*k_spot)-k_B)*MIN(1,(Sens!H19928-base_fy)/k_ramp))</f>
        <v>0.891019087752599</v>
      </c>
      <c r="I19945" s="15" t="n">
        <f aca="false">(k_B+((ls_C*k_long+(1-ls_C)*k_spot)-k_B)*MIN(1,(Sens!I19928-base_fy)/k_ramp))</f>
        <v>0.891019087752599</v>
      </c>
      <c r="J19945" s="15" t="n">
        <f aca="false">(k_B+((ls_C*k_long+(1-ls_C)*k_spot)-k_B)*MIN(1,(Sens!J19928-base_fy)/k_ramp))</f>
        <v>0.891019087752599</v>
      </c>
      <c r="K19945" s="15" t="n">
        <f aca="false">(k_B+((ls_C*k_long+(1-ls_C)*k_spot)-k_B)*MIN(1,(Sens!K19928-base_fy)/k_ramp))</f>
        <v>0.891019087752599</v>
      </c>
      <c r="L19945" s="1" t="s">
        <v>977</v>
      </c>
    </row>
    <row r="19946" customFormat="false" ht="17.15" hidden="false" customHeight="false" outlineLevel="0" collapsed="false">
      <c r="A19946" s="1" t="s">
        <v>978</v>
      </c>
      <c r="B19946" s="0" t="s">
        <v>403</v>
      </c>
      <c r="C19946" s="15" t="n">
        <f aca="false">Sens!C19944*Sens!C19945*chip_f</f>
        <v>11.3973387156315</v>
      </c>
      <c r="D19946" s="15" t="n">
        <f aca="false">Sens!D19944*Sens!D19945*chip_f</f>
        <v>11.3973387156315</v>
      </c>
      <c r="E19946" s="15" t="n">
        <f aca="false">Sens!E19944*Sens!E19945*chip_f</f>
        <v>11.3973387156315</v>
      </c>
      <c r="F19946" s="15" t="n">
        <f aca="false">Sens!F19944*Sens!F19945*chip_f</f>
        <v>11.2559390796058</v>
      </c>
      <c r="G19946" s="15" t="n">
        <f aca="false">Sens!G19944*Sens!G19945*chip_f</f>
        <v>10.7056077110807</v>
      </c>
      <c r="H19946" s="15" t="n">
        <f aca="false">Sens!H19944*Sens!H19945*chip_f</f>
        <v>9.94615306257532</v>
      </c>
      <c r="I19946" s="15" t="n">
        <f aca="false">Sens!I19944*Sens!I19945*chip_f</f>
        <v>10.1432038276788</v>
      </c>
      <c r="J19946" s="15" t="n">
        <f aca="false">Sens!J19944*Sens!J19945*chip_f</f>
        <v>10.3016210674858</v>
      </c>
      <c r="K19946" s="15" t="n">
        <f aca="false">Sens!K19944*Sens!K19945*chip_f</f>
        <v>10.5225121216144</v>
      </c>
      <c r="L19946" s="1" t="s">
        <v>979</v>
      </c>
    </row>
    <row r="19947" customFormat="false" ht="17.15" hidden="false" customHeight="false" outlineLevel="0" collapsed="false">
      <c r="A19947" s="0" t="s">
        <v>980</v>
      </c>
      <c r="B19947" s="0" t="s">
        <v>98</v>
      </c>
      <c r="D19947" s="6" t="n">
        <f aca="false">(Sens!C19930+Sens!D19930)/2*Sens!D19946/1000</f>
        <v>12.9359794422418</v>
      </c>
      <c r="E19947" s="6" t="n">
        <f aca="false">(Sens!D19930+Sens!E19930)/2*Sens!E19946/1000</f>
        <v>27.8095064661409</v>
      </c>
      <c r="F19947" s="6" t="n">
        <f aca="false">(Sens!E19930+Sens!F19930)/2*Sens!F19946/1000</f>
        <v>51.9266585007223</v>
      </c>
      <c r="G19947" s="6" t="n">
        <f aca="false">(Sens!F19930+Sens!G19930)/2*Sens!G19946/1000</f>
        <v>78.5770478476505</v>
      </c>
      <c r="H19947" s="6" t="n">
        <f aca="false">(Sens!G19930+Sens!H19930)/2*Sens!H19946/1000</f>
        <v>100.12133604108</v>
      </c>
      <c r="I19947" s="6" t="n">
        <f aca="false">(Sens!H19930+Sens!I19930)/2*Sens!I19946/1000</f>
        <v>125.73108072983</v>
      </c>
      <c r="J19947" s="6" t="n">
        <f aca="false">(Sens!I19930+Sens!J19930)/2*Sens!J19946/1000</f>
        <v>143.703800751849</v>
      </c>
      <c r="K19947" s="6" t="n">
        <f aca="false">(Sens!J19930+Sens!K19930)/2*Sens!K19946/1000</f>
        <v>155.267382571635</v>
      </c>
      <c r="L19947" s="12" t="s">
        <v>981</v>
      </c>
    </row>
    <row r="19948" customFormat="false" ht="17.15" hidden="false" customHeight="false" outlineLevel="0" collapsed="false">
      <c r="A19948" s="1" t="s">
        <v>982</v>
      </c>
      <c r="B19948" s="0" t="s">
        <v>403</v>
      </c>
      <c r="C19948" s="15" t="n">
        <f aca="false">(Sens!C19938*tk_opex_h100+Sens!C19939*tk_opex_gb200+Sens!C19940*tk_opex_gb300+(Sens!C19942+Sens!C19941)*tk_opex_vr200)/Sens!C19930</f>
        <v>1.88636041306092</v>
      </c>
      <c r="D19948" s="15" t="n">
        <f aca="false">(Sens!D19938*tk_opex_h100+Sens!D19939*tk_opex_gb200+Sens!D19940*tk_opex_gb300+(Sens!D19942+Sens!D19941)*tk_opex_vr200)/Sens!D19930</f>
        <v>1.88636041306092</v>
      </c>
      <c r="E19948" s="15" t="n">
        <f aca="false">(Sens!E19938*tk_opex_h100+Sens!E19939*tk_opex_gb200+Sens!E19940*tk_opex_gb300+(Sens!E19942+Sens!E19941)*tk_opex_vr200)/Sens!E19930</f>
        <v>1.88636041306092</v>
      </c>
      <c r="F19948" s="15" t="n">
        <f aca="false">(Sens!F19938*tk_opex_h100+Sens!F19939*tk_opex_gb200+Sens!F19940*tk_opex_gb300+(Sens!F19942+Sens!F19941)*tk_opex_vr200)/Sens!F19930</f>
        <v>1.9454540569274</v>
      </c>
      <c r="G19948" s="15" t="n">
        <f aca="false">(Sens!G19938*tk_opex_h100+Sens!G19939*tk_opex_gb200+Sens!G19940*tk_opex_gb300+(Sens!G19942+Sens!G19941)*tk_opex_vr200)/Sens!G19930</f>
        <v>1.98141385153259</v>
      </c>
      <c r="H19948" s="15" t="n">
        <f aca="false">(Sens!H19938*tk_opex_h100+Sens!H19939*tk_opex_gb200+Sens!H19940*tk_opex_gb300+(Sens!H19942+Sens!H19941)*tk_opex_vr200)/Sens!H19930</f>
        <v>2.00550638181245</v>
      </c>
      <c r="I19948" s="15" t="n">
        <f aca="false">(Sens!I19938*tk_opex_h100+Sens!I19939*tk_opex_gb200+Sens!I19940*tk_opex_gb300+(Sens!I19942+Sens!I19941)*tk_opex_vr200)/Sens!I19930</f>
        <v>2.02381555927288</v>
      </c>
      <c r="J19948" s="15" t="n">
        <f aca="false">(Sens!J19938*tk_opex_h100+Sens!J19939*tk_opex_gb200+Sens!J19940*tk_opex_gb300+(Sens!J19942+Sens!J19941)*tk_opex_vr200)/Sens!J19930</f>
        <v>2.03853506241663</v>
      </c>
      <c r="K19948" s="15" t="n">
        <f aca="false">(Sens!K19938*tk_opex_h100+Sens!K19939*tk_opex_gb200+Sens!K19940*tk_opex_gb300+(Sens!K19942+Sens!K19941)*tk_opex_vr200)/Sens!K19930</f>
        <v>2.05905938520897</v>
      </c>
      <c r="L19948" s="12" t="s">
        <v>983</v>
      </c>
    </row>
    <row r="19949" customFormat="false" ht="17.15" hidden="false" customHeight="false" outlineLevel="0" collapsed="false">
      <c r="A19949" s="0" t="s">
        <v>984</v>
      </c>
      <c r="B19949" s="0" t="s">
        <v>98</v>
      </c>
      <c r="D19949" s="6" t="n">
        <f aca="false">(Sens!C19933+Sens!D19933)/2*Sens!D19948/1000</f>
        <v>2.70378325872065</v>
      </c>
      <c r="E19949" s="6" t="n">
        <f aca="false">(Sens!D19933+Sens!E19933)/2*Sens!E19948/1000</f>
        <v>6.17783035277451</v>
      </c>
      <c r="F19949" s="6" t="n">
        <f aca="false">(Sens!E19933+Sens!F19933)/2*Sens!F19948/1000</f>
        <v>12.840864286109</v>
      </c>
      <c r="G19949" s="6" t="n">
        <f aca="false">(Sens!F19933+Sens!G19933)/2*Sens!G19948/1000</f>
        <v>21.7420629441117</v>
      </c>
      <c r="H19949" s="6" t="n">
        <f aca="false">(Sens!G19933+Sens!H19933)/2*Sens!H19948/1000</f>
        <v>31.1199029574239</v>
      </c>
      <c r="I19949" s="6" t="n">
        <f aca="false">(Sens!H19933+Sens!I19933)/2*Sens!I19948/1000</f>
        <v>39.2606671071963</v>
      </c>
      <c r="J19949" s="6" t="n">
        <f aca="false">(Sens!I19933+Sens!J19933)/2*Sens!J19948/1000</f>
        <v>44.8261284180868</v>
      </c>
      <c r="K19949" s="6" t="n">
        <f aca="false">(Sens!J19933+Sens!K19933)/2*Sens!K19948/1000</f>
        <v>48.0438037555794</v>
      </c>
    </row>
    <row r="19950" customFormat="false" ht="17.15" hidden="false" customHeight="false" outlineLevel="0" collapsed="false">
      <c r="A19950" s="0" t="s">
        <v>985</v>
      </c>
      <c r="B19950" s="0" t="s">
        <v>98</v>
      </c>
      <c r="D19950" s="6" t="n">
        <f aca="false">(Sens!C19931+Sens!D19931)/2*rent_mw/1000</f>
        <v>2.44475</v>
      </c>
      <c r="E19950" s="6" t="n">
        <f aca="false">(Sens!D19931+Sens!E19931)/2*rent_mw/1000</f>
        <v>4.22275</v>
      </c>
      <c r="F19950" s="6" t="n">
        <f aca="false">(Sens!E19931+Sens!F19931)/2*rent_mw/1000</f>
        <v>5.80517</v>
      </c>
      <c r="G19950" s="6" t="n">
        <f aca="false">(Sens!F19931+Sens!G19931)/2*rent_mw/1000</f>
        <v>6.72084</v>
      </c>
      <c r="H19950" s="6" t="n">
        <f aca="false">(Sens!G19931+Sens!H19931)/2*rent_mw/1000</f>
        <v>6.72084</v>
      </c>
      <c r="I19950" s="6" t="n">
        <f aca="false">(Sens!H19931+Sens!I19931)/2*rent_mw/1000</f>
        <v>6.72084</v>
      </c>
      <c r="J19950" s="6" t="n">
        <f aca="false">(Sens!I19931+Sens!J19931)/2*rent_mw/1000</f>
        <v>6.72084</v>
      </c>
      <c r="K19950" s="6" t="n">
        <f aca="false">(Sens!J19931+Sens!K19931)/2*rent_mw/1000</f>
        <v>6.72084</v>
      </c>
    </row>
    <row r="19951" customFormat="false" ht="17.15" hidden="false" customHeight="false" outlineLevel="0" collapsed="false">
      <c r="A19951" s="0" t="s">
        <v>986</v>
      </c>
      <c r="B19951" s="0" t="s">
        <v>98</v>
      </c>
      <c r="D19951" s="6" t="n">
        <f aca="false">(Sens!C19933+Sens!D19933)/2*(1-self_build)*fac_rent/1000</f>
        <v>0.853242375631075</v>
      </c>
      <c r="E19951" s="6" t="n">
        <f aca="false">(Sens!D19933+Sens!E19933)/2*(1-self_build)*fac_rent/1000</f>
        <v>1.94955961408728</v>
      </c>
      <c r="F19951" s="6" t="n">
        <f aca="false">(Sens!E19933+Sens!F19933)/2*(1-self_build)*fac_rent/1000</f>
        <v>3.92914894476356</v>
      </c>
      <c r="G19951" s="6" t="n">
        <f aca="false">(Sens!F19933+Sens!G19933)/2*(1-self_build)*fac_rent/1000</f>
        <v>6.53206908578159</v>
      </c>
      <c r="H19951" s="6" t="n">
        <f aca="false">(Sens!G19933+Sens!H19933)/2*(1-self_build)*fac_rent/1000</f>
        <v>9.23717988341591</v>
      </c>
      <c r="I19951" s="6" t="n">
        <f aca="false">(Sens!H19933+Sens!I19933)/2*(1-self_build)*fac_rent/1000</f>
        <v>11.5481378557393</v>
      </c>
      <c r="J19951" s="6" t="n">
        <f aca="false">(Sens!I19933+Sens!J19933)/2*(1-self_build)*fac_rent/1000</f>
        <v>13.0899582289108</v>
      </c>
      <c r="K19951" s="6" t="n">
        <f aca="false">(Sens!J19933+Sens!K19933)/2*(1-self_build)*fac_rent/1000</f>
        <v>13.8897275626556</v>
      </c>
      <c r="L19951" s="12" t="s">
        <v>987</v>
      </c>
    </row>
    <row r="19952" customFormat="false" ht="17.15" hidden="false" customHeight="false" outlineLevel="0" collapsed="false">
      <c r="A19952" s="1" t="s">
        <v>988</v>
      </c>
      <c r="B19952" s="0" t="s">
        <v>168</v>
      </c>
      <c r="D19952" s="7" t="n">
        <f aca="false">(Sens!C19932+Sens!D19932)/(Sens!C19933+Sens!D19933)</f>
        <v>0.6</v>
      </c>
      <c r="E19952" s="7" t="n">
        <f aca="false">(Sens!D19932+Sens!E19932)/(Sens!D19933+Sens!E19933)</f>
        <v>0.6</v>
      </c>
      <c r="F19952" s="7" t="n">
        <f aca="false">(Sens!E19932+Sens!F19932)/(Sens!E19933+Sens!F19933)</f>
        <v>0.6</v>
      </c>
      <c r="G19952" s="7" t="n">
        <f aca="false">(Sens!F19932+Sens!G19932)/(Sens!F19933+Sens!G19933)</f>
        <v>0.6</v>
      </c>
      <c r="H19952" s="7" t="n">
        <f aca="false">(Sens!G19932+Sens!H19932)/(Sens!G19933+Sens!H19933)</f>
        <v>0.6</v>
      </c>
      <c r="I19952" s="7" t="n">
        <f aca="false">(Sens!H19932+Sens!I19932)/(Sens!H19933+Sens!I19933)</f>
        <v>0.6</v>
      </c>
      <c r="J19952" s="7" t="n">
        <f aca="false">(Sens!I19932+Sens!J19932)/(Sens!I19933+Sens!J19933)</f>
        <v>0.6</v>
      </c>
      <c r="K19952" s="7" t="n">
        <f aca="false">(Sens!J19932+Sens!K19932)/(Sens!J19933+Sens!K19933)</f>
        <v>0.6</v>
      </c>
    </row>
    <row r="19953" customFormat="false" ht="17.15" hidden="false" customHeight="false" outlineLevel="0" collapsed="false">
      <c r="A19953" s="0" t="s">
        <v>989</v>
      </c>
      <c r="B19953" s="0" t="s">
        <v>98</v>
      </c>
      <c r="D19953" s="6" t="n">
        <f aca="false">Sens!D19947-Sens!D19952*(Sens!D19949+Sens!D19951)-Sens!D19950</f>
        <v>8.35701406163072</v>
      </c>
      <c r="E19953" s="6" t="n">
        <f aca="false">Sens!E19947-Sens!E19952*(Sens!E19949+Sens!E19951)-Sens!E19950</f>
        <v>18.7103224860238</v>
      </c>
      <c r="F19953" s="6" t="n">
        <f aca="false">Sens!F19947-Sens!F19952*(Sens!F19949+Sens!F19951)-Sens!F19950</f>
        <v>36.0594805621987</v>
      </c>
      <c r="G19953" s="6" t="n">
        <f aca="false">Sens!G19947-Sens!G19952*(Sens!G19949+Sens!G19951)-Sens!G19950</f>
        <v>54.8917286297146</v>
      </c>
      <c r="H19953" s="6" t="n">
        <f aca="false">Sens!H19947-Sens!H19952*(Sens!H19949+Sens!H19951)-Sens!H19950</f>
        <v>69.1862463365762</v>
      </c>
      <c r="I19953" s="6" t="n">
        <f aca="false">Sens!I19947-Sens!I19952*(Sens!I19949+Sens!I19951)-Sens!I19950</f>
        <v>88.524957752069</v>
      </c>
      <c r="J19953" s="6" t="n">
        <f aca="false">Sens!J19947-Sens!J19952*(Sens!J19949+Sens!J19951)-Sens!J19950</f>
        <v>102.23330876365</v>
      </c>
      <c r="K19953" s="6" t="n">
        <f aca="false">Sens!K19947-Sens!K19952*(Sens!K19949+Sens!K19951)-Sens!K19950</f>
        <v>111.386423780694</v>
      </c>
    </row>
    <row r="19954" customFormat="false" ht="17.15" hidden="false" customHeight="false" outlineLevel="0" collapsed="false">
      <c r="A19954" s="1" t="s">
        <v>990</v>
      </c>
      <c r="B19954" s="0" t="s">
        <v>98</v>
      </c>
      <c r="D19954" s="6" t="n">
        <f aca="false">(1-Sens!D19952)*(Sens!D19949+Sens!D19951)</f>
        <v>1.42281025374069</v>
      </c>
      <c r="E19954" s="6" t="n">
        <f aca="false">(1-Sens!E19952)*(Sens!E19949+Sens!E19951)</f>
        <v>3.25095598674472</v>
      </c>
      <c r="F19954" s="6" t="n">
        <f aca="false">(1-Sens!F19952)*(Sens!F19949+Sens!F19951)</f>
        <v>6.70800529234904</v>
      </c>
      <c r="G19954" s="6" t="n">
        <f aca="false">(1-Sens!G19952)*(Sens!G19949+Sens!G19951)</f>
        <v>11.3096528119573</v>
      </c>
      <c r="H19954" s="6" t="n">
        <f aca="false">(1-Sens!H19952)*(Sens!H19949+Sens!H19951)</f>
        <v>16.1428331363359</v>
      </c>
      <c r="I19954" s="6" t="n">
        <f aca="false">(1-Sens!I19952)*(Sens!I19949+Sens!I19951)</f>
        <v>20.3235219851742</v>
      </c>
      <c r="J19954" s="6" t="n">
        <f aca="false">(1-Sens!J19952)*(Sens!J19949+Sens!J19951)</f>
        <v>23.166434658799</v>
      </c>
      <c r="K19954" s="6" t="n">
        <f aca="false">(1-Sens!K19952)*(Sens!K19949+Sens!K19951)</f>
        <v>24.773412527294</v>
      </c>
    </row>
    <row r="19955" customFormat="false" ht="17.15" hidden="false" customHeight="false" outlineLevel="0" collapsed="false">
      <c r="A19955" s="1" t="s">
        <v>991</v>
      </c>
      <c r="B19955" s="0" t="s">
        <v>417</v>
      </c>
      <c r="C19955" s="8" t="n">
        <f aca="false">cxit_open</f>
        <v>27.5918995</v>
      </c>
      <c r="D19955" s="8" t="n">
        <f aca="false">cxit_open</f>
        <v>27.5918995</v>
      </c>
      <c r="E19955" s="8" t="n">
        <f aca="false">cxit_open</f>
        <v>27.5918995</v>
      </c>
      <c r="F19955" s="8" t="n">
        <f aca="false">((a_g3_27-0*a_mai)*tk_cxit_gb300+0*a_mai*nv_hold_mai*tk_cxit_vr200+(1-a_g3_27)*tk_cxit_vr200)</f>
        <v>33.8419624</v>
      </c>
      <c r="G19955" s="8" t="n">
        <f aca="false">((a_g3_28-0*a_mai)*tk_cxit_gb300+0*a_mai*nv_hold_mai*tk_cxit_vr200+(1-a_g3_28)*tk_cxit_vr200)</f>
        <v>35.9816136</v>
      </c>
      <c r="H19955" s="8" t="n">
        <f aca="false">((a_g3_29-0*a_mai)*tk_cxit_gb300+0*a_mai*nv_hold_mai*tk_cxit_vr200+(1-a_g3_29)*tk_cxit_vr200)</f>
        <v>37.0514392</v>
      </c>
      <c r="I19955" s="8" t="n">
        <f aca="false">((a_g3_29-0*a_mai)*tk_cxit_gb300+0*a_mai*nv_hold_mai*tk_cxit_vr200+(1-a_g3_29)*tk_cxit_vr200)</f>
        <v>37.0514392</v>
      </c>
      <c r="J19955" s="8" t="n">
        <f aca="false">((a_g3_29-0*a_mai)*tk_cxit_gb300+0*a_mai*nv_hold_mai*tk_cxit_vr200+(1-a_g3_29)*tk_cxit_vr200)</f>
        <v>37.0514392</v>
      </c>
      <c r="K19955" s="8" t="n">
        <f aca="false">((a_g3_29-0*a_mai)*tk_cxit_gb300+0*a_mai*nv_hold_mai*tk_cxit_vr200+(1-a_g3_29)*tk_cxit_vr200)</f>
        <v>37.0514392</v>
      </c>
      <c r="L19955" s="12" t="s">
        <v>992</v>
      </c>
    </row>
    <row r="19956" customFormat="false" ht="17.15" hidden="false" customHeight="false" outlineLevel="0" collapsed="false">
      <c r="A19956" s="0" t="s">
        <v>993</v>
      </c>
      <c r="B19956" s="0" t="s">
        <v>459</v>
      </c>
      <c r="F19956" s="30" t="n">
        <f aca="false">Sens!C19935*IF(Sens!F19928-Sens!C19928=life_it,1,0)+Sens!D19935*IF(Sens!F19928-Sens!D19928=life_it,1,0)+Sens!E19935*IF(Sens!F19928-Sens!E19928=life_it,1,0)</f>
        <v>0</v>
      </c>
      <c r="G19956" s="30" t="n">
        <f aca="false">Sens!C19935*IF(Sens!G19928-Sens!C19928=life_it,1,0)+Sens!D19935*IF(Sens!G19928-Sens!D19928=life_it,1,0)+Sens!E19935*IF(Sens!G19928-Sens!E19928=life_it,1,0)+Sens!F19935*IF(Sens!G19928-Sens!F19928=life_it,1,0)</f>
        <v>0</v>
      </c>
      <c r="H19956" s="30" t="n">
        <f aca="false">Sens!C19935*IF(Sens!H19928-Sens!C19928=life_it,1,0)+Sens!D19935*IF(Sens!H19928-Sens!D19928=life_it,1,0)+Sens!E19935*IF(Sens!H19928-Sens!E19928=life_it,1,0)+Sens!F19935*IF(Sens!H19928-Sens!F19928=life_it,1,0)+Sens!G19935*IF(Sens!H19928-Sens!G19928=life_it,1,0)</f>
        <v>0</v>
      </c>
      <c r="I19956" s="30" t="n">
        <f aca="false">Sens!C19935*IF(Sens!I19928-Sens!C19928=life_it,1,0)+Sens!D19935*IF(Sens!I19928-Sens!D19928=life_it,1,0)+Sens!E19935*IF(Sens!I19928-Sens!E19928=life_it,1,0)+Sens!F19935*IF(Sens!I19928-Sens!F19928=life_it,1,0)+Sens!G19935*IF(Sens!I19928-Sens!G19928=life_it,1,0)+Sens!H19935*IF(Sens!I19928-Sens!H19928=life_it,1,0)</f>
        <v>816.666666666667</v>
      </c>
      <c r="J19956" s="30" t="n">
        <f aca="false">Sens!C19935*IF(Sens!J19928-Sens!C19928=life_it,1,0)+Sens!D19935*IF(Sens!J19928-Sens!D19928=life_it,1,0)+Sens!E19935*IF(Sens!J19928-Sens!E19928=life_it,1,0)+Sens!F19935*IF(Sens!J19928-Sens!F19928=life_it,1,0)+Sens!G19935*IF(Sens!J19928-Sens!G19928=life_it,1,0)+Sens!H19935*IF(Sens!J19928-Sens!H19928=life_it,1,0)+Sens!I19935*IF(Sens!J19928-Sens!I19928=life_it,1,0)</f>
        <v>1233.33333333333</v>
      </c>
      <c r="K19956" s="30" t="n">
        <f aca="false">Sens!C19935*IF(Sens!K19928-Sens!C19928=life_it,1,0)+Sens!D19935*IF(Sens!K19928-Sens!D19928=life_it,1,0)+Sens!E19935*IF(Sens!K19928-Sens!E19928=life_it,1,0)+Sens!F19935*IF(Sens!K19928-Sens!F19928=life_it,1,0)+Sens!G19935*IF(Sens!K19928-Sens!G19928=life_it,1,0)+Sens!H19935*IF(Sens!K19928-Sens!H19928=life_it,1,0)+Sens!I19935*IF(Sens!K19928-Sens!I19928=life_it,1,0)+Sens!J19935*IF(Sens!K19928-Sens!J19928=life_it,1,0)</f>
        <v>2450</v>
      </c>
      <c r="L19956" s="1" t="s">
        <v>994</v>
      </c>
    </row>
    <row r="19957" customFormat="false" ht="17.15" hidden="false" customHeight="false" outlineLevel="0" collapsed="false">
      <c r="A19957" s="0" t="s">
        <v>995</v>
      </c>
      <c r="B19957" s="0" t="s">
        <v>98</v>
      </c>
      <c r="C19957" s="6" t="n">
        <f aca="false">Sens!C19935*Sens!C19955/1000</f>
        <v>22.5333845916667</v>
      </c>
      <c r="D19957" s="6" t="n">
        <f aca="false">Sens!D19935*Sens!D19955/1000</f>
        <v>34.0300093833333</v>
      </c>
      <c r="E19957" s="6" t="n">
        <f aca="false">Sens!E19935*Sens!E19955/1000</f>
        <v>67.600153775</v>
      </c>
      <c r="F19957" s="6" t="n">
        <f aca="false">(Sens!F19935+Sens!F19956)*Sens!F19955/1000</f>
        <v>142.166423470134</v>
      </c>
      <c r="G19957" s="6" t="n">
        <f aca="false">(Sens!G19935+Sens!G19956)*Sens!G19955/1000</f>
        <v>163.508554058396</v>
      </c>
      <c r="H19957" s="6" t="n">
        <f aca="false">(Sens!H19935+Sens!H19956)*Sens!H19955/1000</f>
        <v>168.37008247386</v>
      </c>
      <c r="I19957" s="6" t="n">
        <f aca="false">(Sens!I19935+Sens!I19956)*Sens!I19955/1000</f>
        <v>149.563452426789</v>
      </c>
      <c r="J19957" s="6" t="n">
        <f aca="false">(Sens!J19935+Sens!J19956)*Sens!J19955/1000</f>
        <v>118.322342241321</v>
      </c>
      <c r="K19957" s="6" t="n">
        <f aca="false">(Sens!K19935+Sens!K19956)*Sens!K19955/1000</f>
        <v>117.708102661891</v>
      </c>
    </row>
    <row r="19958" customFormat="false" ht="17.15" hidden="false" customHeight="false" outlineLevel="0" collapsed="false">
      <c r="A19958" s="0" t="s">
        <v>996</v>
      </c>
      <c r="B19958" s="0" t="s">
        <v>98</v>
      </c>
      <c r="C19958" s="6" t="n">
        <f aca="false">Sens!C19935*self_build*tk_cxfac/1000</f>
        <v>6.2083</v>
      </c>
      <c r="D19958" s="6" t="n">
        <f aca="false">Sens!D19935*self_build*tk_cxfac/1000</f>
        <v>9.3758</v>
      </c>
      <c r="E19958" s="6" t="n">
        <f aca="false">Sens!E19935*self_build*tk_cxfac/1000</f>
        <v>18.6249</v>
      </c>
      <c r="F19958" s="6" t="n">
        <f aca="false">Sens!F19935*self_build*tk_cxfac/1000</f>
        <v>31.935179717</v>
      </c>
      <c r="G19958" s="6" t="n">
        <f aca="false">Sens!G19935*self_build*tk_cxfac/1000</f>
        <v>34.545199717</v>
      </c>
      <c r="H19958" s="6" t="n">
        <f aca="false">Sens!H19935*self_build*tk_cxfac/1000</f>
        <v>34.545199717</v>
      </c>
      <c r="I19958" s="6" t="n">
        <f aca="false">Sens!I19935*self_build*tk_cxfac/1000</f>
        <v>24.4782641361767</v>
      </c>
      <c r="J19958" s="6" t="n">
        <f aca="false">Sens!J19935*self_build*tk_cxfac/1000</f>
        <v>14.9008938380769</v>
      </c>
      <c r="K19958" s="6" t="n">
        <f aca="false">Sens!K19935*self_build*tk_cxfac/1000</f>
        <v>5.52576771375761</v>
      </c>
    </row>
    <row r="19959" customFormat="false" ht="17.15" hidden="false" customHeight="false" outlineLevel="0" collapsed="false">
      <c r="A19959" s="0" t="s">
        <v>997</v>
      </c>
      <c r="B19959" s="0" t="s">
        <v>98</v>
      </c>
      <c r="F19959" s="15" t="n">
        <f aca="false">capex_floor27-Sens!F19957-Sens!F19958-Sens!F20055</f>
        <v>-5.68617269736414</v>
      </c>
      <c r="L19959" s="12" t="s">
        <v>998</v>
      </c>
    </row>
    <row r="19960" customFormat="false" ht="17.15" hidden="false" customHeight="false" outlineLevel="0" collapsed="false">
      <c r="A19960" s="0" t="s">
        <v>999</v>
      </c>
      <c r="B19960" s="0" t="s">
        <v>98</v>
      </c>
      <c r="F19960" s="6" t="n">
        <f aca="false">MAX(0,Sens!F19959)</f>
        <v>0</v>
      </c>
    </row>
    <row r="19961" customFormat="false" ht="17.15" hidden="false" customHeight="false" outlineLevel="0" collapsed="false">
      <c r="A19961" s="0" t="s">
        <v>1000</v>
      </c>
      <c r="B19961" s="0" t="s">
        <v>98</v>
      </c>
      <c r="C19961" s="6" t="n">
        <f aca="false">Sens!C19957</f>
        <v>22.5333845916667</v>
      </c>
      <c r="D19961" s="6" t="n">
        <f aca="false">Sens!D19957</f>
        <v>34.0300093833333</v>
      </c>
      <c r="E19961" s="6" t="n">
        <f aca="false">Sens!E19957</f>
        <v>67.600153775</v>
      </c>
      <c r="F19961" s="6" t="n">
        <f aca="false">Sens!F19957</f>
        <v>142.166423470134</v>
      </c>
      <c r="G19961" s="6" t="n">
        <f aca="false">Sens!G19957</f>
        <v>163.508554058396</v>
      </c>
      <c r="H19961" s="6" t="n">
        <f aca="false">Sens!H19957</f>
        <v>168.37008247386</v>
      </c>
      <c r="I19961" s="6" t="n">
        <f aca="false">Sens!I19957</f>
        <v>149.563452426789</v>
      </c>
      <c r="J19961" s="6" t="n">
        <f aca="false">Sens!J19957</f>
        <v>118.322342241321</v>
      </c>
      <c r="K19961" s="6" t="n">
        <f aca="false">Sens!K19957</f>
        <v>117.708102661891</v>
      </c>
    </row>
    <row r="19962" customFormat="false" ht="17.15" hidden="false" customHeight="false" outlineLevel="0" collapsed="false">
      <c r="A19962" s="0" t="s">
        <v>1001</v>
      </c>
      <c r="B19962" s="0" t="s">
        <v>98</v>
      </c>
      <c r="C19962" s="6" t="n">
        <f aca="false">Sens!C19961+Sens!C19958</f>
        <v>28.7416845916667</v>
      </c>
      <c r="D19962" s="6" t="n">
        <f aca="false">Sens!D19961+Sens!D19958</f>
        <v>43.4058093833333</v>
      </c>
      <c r="E19962" s="6" t="n">
        <f aca="false">Sens!E19961+Sens!E19958</f>
        <v>86.225053775</v>
      </c>
      <c r="F19962" s="6" t="n">
        <f aca="false">Sens!F19961+Sens!F19958</f>
        <v>174.101603187134</v>
      </c>
      <c r="G19962" s="6" t="n">
        <f aca="false">Sens!G19961+Sens!G19958</f>
        <v>198.053753775396</v>
      </c>
      <c r="H19962" s="6" t="n">
        <f aca="false">Sens!H19961+Sens!H19958</f>
        <v>202.91528219086</v>
      </c>
      <c r="I19962" s="6" t="n">
        <f aca="false">Sens!I19961+Sens!I19958</f>
        <v>174.041716562966</v>
      </c>
      <c r="J19962" s="6" t="n">
        <f aca="false">Sens!J19961+Sens!J19958</f>
        <v>133.223236079397</v>
      </c>
      <c r="K19962" s="6" t="n">
        <f aca="false">Sens!K19961+Sens!K19958</f>
        <v>123.233870375648</v>
      </c>
      <c r="L19962" s="12" t="s">
        <v>1002</v>
      </c>
    </row>
    <row r="19963" customFormat="false" ht="17.15" hidden="false" customHeight="false" outlineLevel="0" collapsed="false">
      <c r="A19963" s="0" t="s">
        <v>1003</v>
      </c>
      <c r="B19963" s="0" t="s">
        <v>98</v>
      </c>
      <c r="E19963" s="6" t="n">
        <f aca="false">(Sens!C19961*IF(2&lt;life_it,1,IF(2=life_it,0.5,0))+Sens!D19961*IF(1&lt;life_it,1,IF(1=life_it,0.5,0))+Sens!E19961*0.5)/life_it</f>
        <v>15.0605784770833</v>
      </c>
      <c r="F19963" s="6" t="n">
        <f aca="false">(Sens!C19961*IF(3&lt;life_it,1,IF(3=life_it,0.5,0))+Sens!D19961*IF(2&lt;life_it,1,IF(2=life_it,0.5,0))+Sens!E19961*IF(1&lt;life_it,1,IF(1=life_it,0.5,0))+Sens!F19961*0.5)/life_it</f>
        <v>32.5411265808445</v>
      </c>
      <c r="G19963" s="6" t="n">
        <f aca="false">(Sens!C19961*IF(4&lt;life_it,1,IF(4=life_it,0.5,0))+Sens!D19961*IF(3&lt;life_it,1,IF(3=life_it,0.5,0))+Sens!E19961*IF(2&lt;life_it,1,IF(2=life_it,0.5,0))+Sens!F19961*IF(1&lt;life_it,1,IF(1=life_it,0.5,0))+Sens!G19961*0.5)/life_it</f>
        <v>58.0140413748886</v>
      </c>
      <c r="H19963" s="6" t="n">
        <f aca="false">(Sens!C19961*IF(5&lt;life_it,1,IF(5=life_it,0.5,0))+Sens!D19961*IF(4&lt;life_it,1,IF(4=life_it,0.5,0))+Sens!E19961*IF(3&lt;life_it,1,IF(3=life_it,0.5,0))+Sens!F19961*IF(2&lt;life_it,1,IF(2=life_it,0.5,0))+Sens!G19961*IF(1&lt;life_it,1,IF(1=life_it,0.5,0))+Sens!H19961*0.5)/life_it</f>
        <v>85.6705944192432</v>
      </c>
      <c r="I19963" s="6" t="n">
        <f aca="false">(Sens!C19961*IF(6&lt;life_it,1,IF(6=life_it,0.5,0))+Sens!D19961*IF(5&lt;life_it,1,IF(5=life_it,0.5,0))+Sens!E19961*IF(4&lt;life_it,1,IF(4=life_it,0.5,0))+Sens!F19961*IF(3&lt;life_it,1,IF(3=life_it,0.5,0))+Sens!G19961*IF(2&lt;life_it,1,IF(2=life_it,0.5,0))+Sens!H19961*IF(1&lt;life_it,1,IF(1=life_it,0.5,0))+Sens!I19961*0.5)/life_it</f>
        <v>110.287273611658</v>
      </c>
      <c r="J19963" s="6" t="n">
        <f aca="false">(Sens!C19961*IF(7&lt;life_it,1,IF(7=life_it,0.5,0))+Sens!D19961*IF(6&lt;life_it,1,IF(6=life_it,0.5,0))+Sens!E19961*IF(5&lt;life_it,1,IF(5=life_it,0.5,0))+Sens!F19961*IF(4&lt;life_it,1,IF(4=life_it,0.5,0))+Sens!G19961*IF(3&lt;life_it,1,IF(3=life_it,0.5,0))+Sens!H19961*IF(2&lt;life_it,1,IF(2=life_it,0.5,0))+Sens!I19961*IF(1&lt;life_it,1,IF(1=life_it,0.5,0))+Sens!J19961*0.5)/life_it</f>
        <v>127.897473669418</v>
      </c>
      <c r="K19963" s="6" t="n">
        <f aca="false">(Sens!C19961*IF(8&lt;life_it,1,IF(8=life_it,0.5,0))+Sens!D19961*IF(7&lt;life_it,1,IF(7=life_it,0.5,0))+Sens!E19961*IF(6&lt;life_it,1,IF(6=life_it,0.5,0))+Sens!F19961*IF(5&lt;life_it,1,IF(5=life_it,0.5,0))+Sens!G19961*IF(4&lt;life_it,1,IF(4=life_it,0.5,0))+Sens!H19961*IF(3&lt;life_it,1,IF(3=life_it,0.5,0))+Sens!I19961*IF(2&lt;life_it,1,IF(2=life_it,0.5,0))+Sens!J19961*IF(1&lt;life_it,1,IF(1=life_it,0.5,0))+Sens!K19961*0.5)/life_it</f>
        <v>139.097497148157</v>
      </c>
    </row>
    <row r="19964" customFormat="false" ht="17.15" hidden="false" customHeight="false" outlineLevel="0" collapsed="false">
      <c r="A19964" s="0" t="s">
        <v>1004</v>
      </c>
      <c r="B19964" s="0" t="s">
        <v>98</v>
      </c>
      <c r="E19964" s="6" t="n">
        <f aca="false">(Sens!C19958*IF(2&lt;life_fac,1,IF(2=life_fac,0.5,0))+Sens!D19958*IF(1&lt;life_fac,1,IF(1=life_fac,0.5,0))+Sens!E19958*0.5)/life_fac</f>
        <v>1.2448275</v>
      </c>
      <c r="F19964" s="6" t="n">
        <f aca="false">(Sens!C19958*IF(3&lt;life_fac,1,IF(3=life_fac,0.5,0))+Sens!D19958*IF(2&lt;life_fac,1,IF(2=life_fac,0.5,0))+Sens!E19958*IF(1&lt;life_fac,1,IF(1=life_fac,0.5,0))+Sens!F19958*0.5)/life_fac</f>
        <v>2.508829492925</v>
      </c>
      <c r="G19964" s="6" t="n">
        <f aca="false">(Sens!C19958*IF(4&lt;life_fac,1,IF(4=life_fac,0.5,0))+Sens!D19958*IF(3&lt;life_fac,1,IF(3=life_fac,0.5,0))+Sens!E19958*IF(2&lt;life_fac,1,IF(2=life_fac,0.5,0))+Sens!F19958*IF(1&lt;life_fac,1,IF(1=life_fac,0.5,0))+Sens!G19958*0.5)/life_fac</f>
        <v>4.170838978775</v>
      </c>
      <c r="H19964" s="6" t="n">
        <f aca="false">(Sens!C19958*IF(5&lt;life_fac,1,IF(5=life_fac,0.5,0))+Sens!D19958*IF(4&lt;life_fac,1,IF(4=life_fac,0.5,0))+Sens!E19958*IF(3&lt;life_fac,1,IF(3=life_fac,0.5,0))+Sens!F19958*IF(2&lt;life_fac,1,IF(2=life_fac,0.5,0))+Sens!G19958*IF(1&lt;life_fac,1,IF(1=life_fac,0.5,0))+Sens!H19958*0.5)/life_fac</f>
        <v>5.898098964625</v>
      </c>
      <c r="I19964" s="6" t="n">
        <f aca="false">(Sens!C19958*IF(6&lt;life_fac,1,IF(6=life_fac,0.5,0))+Sens!D19958*IF(5&lt;life_fac,1,IF(5=life_fac,0.5,0))+Sens!E19958*IF(4&lt;life_fac,1,IF(4=life_fac,0.5,0))+Sens!F19958*IF(3&lt;life_fac,1,IF(3=life_fac,0.5,0))+Sens!G19958*IF(2&lt;life_fac,1,IF(2=life_fac,0.5,0))+Sens!H19958*IF(1&lt;life_fac,1,IF(1=life_fac,0.5,0))+Sens!I19958*0.5)/life_fac</f>
        <v>7.37368556095442</v>
      </c>
      <c r="J19964" s="6" t="n">
        <f aca="false">(Sens!C19958*IF(7&lt;life_fac,1,IF(7=life_fac,0.5,0))+Sens!D19958*IF(6&lt;life_fac,1,IF(6=life_fac,0.5,0))+Sens!E19958*IF(5&lt;life_fac,1,IF(5=life_fac,0.5,0))+Sens!F19958*IF(4&lt;life_fac,1,IF(4=life_fac,0.5,0))+Sens!G19958*IF(3&lt;life_fac,1,IF(3=life_fac,0.5,0))+Sens!H19958*IF(2&lt;life_fac,1,IF(2=life_fac,0.5,0))+Sens!I19958*IF(1&lt;life_fac,1,IF(1=life_fac,0.5,0))+Sens!J19958*0.5)/life_fac</f>
        <v>8.35816451031075</v>
      </c>
      <c r="K19964" s="6" t="n">
        <f aca="false">(Sens!C19958*IF(8&lt;life_fac,1,IF(8=life_fac,0.5,0))+Sens!D19958*IF(7&lt;life_fac,1,IF(7=life_fac,0.5,0))+Sens!E19958*IF(6&lt;life_fac,1,IF(6=life_fac,0.5,0))+Sens!F19958*IF(5&lt;life_fac,1,IF(5=life_fac,0.5,0))+Sens!G19958*IF(4&lt;life_fac,1,IF(4=life_fac,0.5,0))+Sens!H19958*IF(3&lt;life_fac,1,IF(3=life_fac,0.5,0))+Sens!I19958*IF(2&lt;life_fac,1,IF(2=life_fac,0.5,0))+Sens!J19958*IF(1&lt;life_fac,1,IF(1=life_fac,0.5,0))+Sens!K19958*0.5)/life_fac</f>
        <v>8.86883104910662</v>
      </c>
    </row>
    <row r="19965" customFormat="false" ht="17.15" hidden="false" customHeight="false" outlineLevel="0" collapsed="false">
      <c r="A19965" s="0" t="s">
        <v>1005</v>
      </c>
      <c r="B19965" s="0" t="s">
        <v>98</v>
      </c>
      <c r="E19965" s="6" t="n">
        <f aca="false">Sens!E19963+Sens!E19964</f>
        <v>16.3054059770833</v>
      </c>
      <c r="F19965" s="6" t="n">
        <f aca="false">Sens!F19963+Sens!F19964</f>
        <v>35.0499560737695</v>
      </c>
      <c r="G19965" s="6" t="n">
        <f aca="false">Sens!G19963+Sens!G19964</f>
        <v>62.1848803536636</v>
      </c>
      <c r="H19965" s="6" t="n">
        <f aca="false">Sens!H19963+Sens!H19964</f>
        <v>91.5686933838682</v>
      </c>
      <c r="I19965" s="6" t="n">
        <f aca="false">Sens!I19963+Sens!I19964</f>
        <v>117.660959172613</v>
      </c>
      <c r="J19965" s="6" t="n">
        <f aca="false">Sens!J19963+Sens!J19964</f>
        <v>136.255638179728</v>
      </c>
      <c r="K19965" s="6" t="n">
        <f aca="false">Sens!K19963+Sens!K19964</f>
        <v>147.966328197264</v>
      </c>
    </row>
    <row r="19966" customFormat="false" ht="17.15" hidden="false" customHeight="false" outlineLevel="0" collapsed="false">
      <c r="A19966" s="0" t="s">
        <v>1006</v>
      </c>
      <c r="B19966" s="0" t="s">
        <v>98</v>
      </c>
      <c r="E19966" s="6" t="n">
        <f aca="false">Sens!E19953-Sens!E19952*Sens!E19965</f>
        <v>8.92707889977379</v>
      </c>
      <c r="F19966" s="6" t="n">
        <f aca="false">Sens!F19953-Sens!F19952*Sens!F19965</f>
        <v>15.0295069179371</v>
      </c>
      <c r="G19966" s="6" t="n">
        <f aca="false">Sens!G19953-Sens!G19952*Sens!G19965</f>
        <v>17.5808004175164</v>
      </c>
      <c r="H19966" s="6" t="n">
        <f aca="false">Sens!H19953-Sens!H19952*Sens!H19965</f>
        <v>14.2450303062553</v>
      </c>
      <c r="I19966" s="6" t="n">
        <f aca="false">Sens!I19953-Sens!I19952*Sens!I19965</f>
        <v>17.9283822485013</v>
      </c>
      <c r="J19966" s="6" t="n">
        <f aca="false">Sens!J19953-Sens!J19952*Sens!J19965</f>
        <v>20.4799258558131</v>
      </c>
      <c r="K19966" s="6" t="n">
        <f aca="false">Sens!K19953-Sens!K19952*Sens!K19965</f>
        <v>22.6066268623354</v>
      </c>
    </row>
    <row r="19967" customFormat="false" ht="17.15" hidden="false" customHeight="false" outlineLevel="0" collapsed="false">
      <c r="A19967" s="3" t="s">
        <v>2105</v>
      </c>
    </row>
    <row r="19968" customFormat="false" ht="15" hidden="false" customHeight="false" outlineLevel="0" collapsed="false">
      <c r="A19968" s="4" t="s">
        <v>43</v>
      </c>
      <c r="B19968" s="4" t="s">
        <v>65</v>
      </c>
      <c r="C19968" s="23" t="s">
        <v>942</v>
      </c>
      <c r="D19968" s="23" t="s">
        <v>943</v>
      </c>
      <c r="E19968" s="23" t="s">
        <v>944</v>
      </c>
      <c r="F19968" s="23" t="s">
        <v>945</v>
      </c>
      <c r="G19968" s="23" t="s">
        <v>946</v>
      </c>
      <c r="H19968" s="23" t="s">
        <v>947</v>
      </c>
      <c r="I19968" s="23" t="s">
        <v>948</v>
      </c>
      <c r="J19968" s="23" t="s">
        <v>949</v>
      </c>
      <c r="K19968" s="23" t="s">
        <v>950</v>
      </c>
      <c r="L19968" s="4" t="s">
        <v>47</v>
      </c>
    </row>
    <row r="19969" customFormat="false" ht="17.15" hidden="false" customHeight="false" outlineLevel="0" collapsed="false">
      <c r="A19969" s="0" t="s">
        <v>1025</v>
      </c>
      <c r="B19969" s="0" t="s">
        <v>98</v>
      </c>
      <c r="D19969" s="6" t="n">
        <f aca="false">Sens!D19947</f>
        <v>12.9359794422418</v>
      </c>
      <c r="E19969" s="6" t="n">
        <f aca="false">Sens!E19947</f>
        <v>27.8095064661409</v>
      </c>
      <c r="F19969" s="6" t="n">
        <f aca="false">Sens!F19947</f>
        <v>51.9266585007223</v>
      </c>
      <c r="G19969" s="6" t="n">
        <f aca="false">Sens!G19947</f>
        <v>78.5770478476505</v>
      </c>
      <c r="H19969" s="6" t="n">
        <f aca="false">Sens!H19947</f>
        <v>100.12133604108</v>
      </c>
      <c r="I19969" s="6" t="n">
        <f aca="false">Sens!I19947</f>
        <v>125.73108072983</v>
      </c>
      <c r="J19969" s="6" t="n">
        <f aca="false">Sens!J19947</f>
        <v>143.703800751849</v>
      </c>
      <c r="K19969" s="6" t="n">
        <f aca="false">Sens!K19947</f>
        <v>155.267382571635</v>
      </c>
    </row>
    <row r="19970" customFormat="false" ht="17.15" hidden="false" customHeight="false" outlineLevel="0" collapsed="false">
      <c r="A19970" s="0" t="s">
        <v>1026</v>
      </c>
      <c r="B19970" s="0" t="s">
        <v>98</v>
      </c>
      <c r="D19970" s="6" t="n">
        <f aca="false">Q!L6-Sens!D19969</f>
        <v>59.6740205577583</v>
      </c>
      <c r="E19970" s="6" t="n">
        <f aca="false">Q!M6-Sens!E19969</f>
        <v>74.1284935338591</v>
      </c>
      <c r="F19970" s="6" t="n">
        <f aca="false">Q!$I$6+(Sens!F19969+Sens!E19970*(1+Sens!F19971))*(1-Q!$E$6/Q!M6)-Sens!F19969</f>
        <v>92.0625063031085</v>
      </c>
      <c r="G19970" s="6" t="n">
        <f aca="false">Sens!F19970*(1+Sens!G19971)</f>
        <v>109.383998310605</v>
      </c>
      <c r="H19970" s="6" t="n">
        <f aca="false">Sens!G19970*(1+Sens!H19971)</f>
        <v>127.00706664964</v>
      </c>
      <c r="I19970" s="6" t="n">
        <f aca="false">Sens!H19970*(1+Sens!I19971)</f>
        <v>144.035491823414</v>
      </c>
      <c r="J19970" s="6" t="n">
        <f aca="false">Sens!I19970*(1+Sens!J19971)</f>
        <v>159.452663965812</v>
      </c>
      <c r="K19970" s="6" t="n">
        <f aca="false">Sens!J19970*(1+Sens!K19971)</f>
        <v>172.208877083077</v>
      </c>
      <c r="L19970" s="12" t="s">
        <v>1027</v>
      </c>
    </row>
    <row r="19971" customFormat="false" ht="15" hidden="false" customHeight="false" outlineLevel="0" collapsed="false">
      <c r="A19971" s="1" t="s">
        <v>1028</v>
      </c>
      <c r="B19971" s="0" t="s">
        <v>168</v>
      </c>
      <c r="E19971" s="7" t="n">
        <f aca="false">Sens!E19970/Sens!D19970-1</f>
        <v>0.242223883039864</v>
      </c>
      <c r="F19971" s="7" t="n">
        <f aca="false">Sens!$E$19971+(glt_azo-Sens!$E$19971)*MIN(1,(Sens!F19928-base_fy)/n_conv)</f>
        <v>0.215186569199887</v>
      </c>
      <c r="G19971" s="7" t="n">
        <f aca="false">Sens!$E$19971+(glt_azo-Sens!$E$19971)*MIN(1,(Sens!G19928-base_fy)/n_conv)</f>
        <v>0.18814925535991</v>
      </c>
      <c r="H19971" s="7" t="n">
        <f aca="false">Sens!$E$19971+(glt_azo-Sens!$E$19971)*MIN(1,(Sens!H19928-base_fy)/n_conv)</f>
        <v>0.161111941519932</v>
      </c>
      <c r="I19971" s="7" t="n">
        <f aca="false">Sens!$E$19971+(glt_azo-Sens!$E$19971)*MIN(1,(Sens!I19928-base_fy)/n_conv)</f>
        <v>0.134074627679955</v>
      </c>
      <c r="J19971" s="7" t="n">
        <f aca="false">Sens!$E$19971+(glt_azo-Sens!$E$19971)*MIN(1,(Sens!J19928-base_fy)/n_conv)</f>
        <v>0.107037313839977</v>
      </c>
      <c r="K19971" s="7" t="n">
        <f aca="false">Sens!$E$19971+(glt_azo-Sens!$E$19971)*MIN(1,(Sens!K19928-base_fy)/n_conv)</f>
        <v>0.08</v>
      </c>
    </row>
    <row r="19972" customFormat="false" ht="15" hidden="false" customHeight="false" outlineLevel="0" collapsed="false">
      <c r="A19972" s="0" t="s">
        <v>1029</v>
      </c>
      <c r="B19972" s="0" t="s">
        <v>98</v>
      </c>
      <c r="D19972" s="6" t="n">
        <f aca="false">Sens!D19969+Sens!D19970</f>
        <v>72.61</v>
      </c>
      <c r="E19972" s="6" t="n">
        <f aca="false">Sens!E19969+Sens!E19970</f>
        <v>101.938</v>
      </c>
      <c r="F19972" s="6" t="n">
        <f aca="false">Sens!F19969+Sens!F19970</f>
        <v>143.989164803831</v>
      </c>
      <c r="G19972" s="6" t="n">
        <f aca="false">Sens!G19969+Sens!G19970</f>
        <v>187.961046158256</v>
      </c>
      <c r="H19972" s="6" t="n">
        <f aca="false">Sens!H19969+Sens!H19970</f>
        <v>227.12840269072</v>
      </c>
      <c r="I19972" s="6" t="n">
        <f aca="false">Sens!I19969+Sens!I19970</f>
        <v>269.766572553244</v>
      </c>
      <c r="J19972" s="6" t="n">
        <f aca="false">Sens!J19969+Sens!J19970</f>
        <v>303.15646471766</v>
      </c>
      <c r="K19972" s="6" t="n">
        <f aca="false">Sens!K19969+Sens!K19970</f>
        <v>327.476259654712</v>
      </c>
    </row>
    <row r="19973" customFormat="false" ht="17.15" hidden="false" customHeight="false" outlineLevel="0" collapsed="false">
      <c r="A19973" s="0" t="s">
        <v>1030</v>
      </c>
      <c r="B19973" s="1" t="s">
        <v>613</v>
      </c>
      <c r="C19973" s="30" t="n">
        <f aca="false">cop_s24</f>
        <v>1</v>
      </c>
      <c r="D19973" s="30" t="n">
        <f aca="false">cop_s25</f>
        <v>5</v>
      </c>
      <c r="E19973" s="30" t="n">
        <f aca="false">cop_s26</f>
        <v>30</v>
      </c>
      <c r="F19973" s="30" t="n">
        <f aca="false">Sens!E19973+cop_add_C</f>
        <v>40</v>
      </c>
      <c r="G19973" s="30" t="n">
        <f aca="false">Sens!F19973+cop_add_C</f>
        <v>50</v>
      </c>
      <c r="H19973" s="30" t="n">
        <f aca="false">Sens!G19973+cop_add_C</f>
        <v>60</v>
      </c>
      <c r="I19973" s="30" t="n">
        <f aca="false">Sens!H19973+cop_add_C*cop_tail</f>
        <v>65</v>
      </c>
      <c r="J19973" s="30" t="n">
        <f aca="false">Sens!I19973+cop_add_C*cop_tail</f>
        <v>70</v>
      </c>
      <c r="K19973" s="30" t="n">
        <f aca="false">Sens!J19973+cop_add_C*cop_tail</f>
        <v>75</v>
      </c>
      <c r="L19973" s="12" t="s">
        <v>1031</v>
      </c>
    </row>
    <row r="19974" customFormat="false" ht="17.15" hidden="false" customHeight="false" outlineLevel="0" collapsed="false">
      <c r="A19974" s="0" t="s">
        <v>1032</v>
      </c>
      <c r="B19974" s="0" t="s">
        <v>98</v>
      </c>
      <c r="D19974" s="6" t="n">
        <f aca="false">(Sens!C19973+Sens!D19973)/2*cop_px*12/1000</f>
        <v>0.9</v>
      </c>
      <c r="E19974" s="6" t="n">
        <f aca="false">(Sens!D19973+Sens!E19973)/2*cop_px*12/1000</f>
        <v>5.25</v>
      </c>
      <c r="F19974" s="6" t="n">
        <f aca="false">(Sens!E19973+Sens!F19973)/2*cop_px*12/1000</f>
        <v>10.5</v>
      </c>
      <c r="G19974" s="6" t="n">
        <f aca="false">(Sens!F19973+Sens!G19973)/2*cop_px*12/1000</f>
        <v>13.5</v>
      </c>
      <c r="H19974" s="6" t="n">
        <f aca="false">(Sens!G19973+Sens!H19973)/2*cop_px*12/1000</f>
        <v>16.5</v>
      </c>
      <c r="I19974" s="6" t="n">
        <f aca="false">(Sens!H19973+Sens!I19973)/2*cop_px*12/1000</f>
        <v>18.75</v>
      </c>
      <c r="J19974" s="6" t="n">
        <f aca="false">(Sens!I19973+Sens!J19973)/2*cop_px*12/1000</f>
        <v>20.25</v>
      </c>
      <c r="K19974" s="6" t="n">
        <f aca="false">(Sens!J19973+Sens!K19973)/2*cop_px*12/1000</f>
        <v>21.75</v>
      </c>
      <c r="L19974" s="1" t="s">
        <v>1033</v>
      </c>
    </row>
    <row r="19975" customFormat="false" ht="17.15" hidden="false" customHeight="false" outlineLevel="0" collapsed="false">
      <c r="A19975" s="0" t="s">
        <v>1034</v>
      </c>
      <c r="B19975" s="0" t="s">
        <v>98</v>
      </c>
      <c r="D19975" s="6" t="n">
        <f aca="false">Q!L7-Sens!D19974</f>
        <v>83.705</v>
      </c>
      <c r="E19975" s="6" t="n">
        <f aca="false">Q!M7-Sens!E19974</f>
        <v>95.049</v>
      </c>
      <c r="F19975" s="6" t="n">
        <f aca="false">Q!$I$7+(Sens!E19975*(1+Sens!F19976)+Sens!F19974)*(1-Q!$E$7/Q!M7)-Sens!F19974</f>
        <v>106.938354189776</v>
      </c>
      <c r="G19975" s="6" t="n">
        <f aca="false">Sens!F19975*(1+Sens!G19976)</f>
        <v>119.095360443801</v>
      </c>
      <c r="H19975" s="6" t="n">
        <f aca="false">Sens!G19975*(1+Sens!H19976)</f>
        <v>131.333811964563</v>
      </c>
      <c r="I19975" s="6" t="n">
        <f aca="false">Sens!H19975*(1+Sens!I19976)</f>
        <v>143.395665319381</v>
      </c>
      <c r="J19975" s="6" t="n">
        <f aca="false">Sens!I19975*(1+Sens!J19976)</f>
        <v>154.999327755573</v>
      </c>
      <c r="K19975" s="6" t="n">
        <f aca="false">Sens!J19975*(1+Sens!K19976)</f>
        <v>165.849280698463</v>
      </c>
      <c r="L19975" s="12" t="s">
        <v>1035</v>
      </c>
    </row>
    <row r="19976" customFormat="false" ht="15" hidden="false" customHeight="false" outlineLevel="0" collapsed="false">
      <c r="A19976" s="1" t="s">
        <v>1028</v>
      </c>
      <c r="B19976" s="0" t="s">
        <v>168</v>
      </c>
      <c r="E19976" s="7" t="n">
        <f aca="false">Sens!E19975/Sens!D19975-1</f>
        <v>0.135523564900544</v>
      </c>
      <c r="F19976" s="7" t="n">
        <f aca="false">Sens!$E$19976+(glt_m365b-Sens!$E$19976)*MIN(1,(Sens!F19928-base_fy)/n_conv)</f>
        <v>0.124602970750453</v>
      </c>
      <c r="G19976" s="7" t="n">
        <f aca="false">Sens!$E$19976+(glt_m365b-Sens!$E$19976)*MIN(1,(Sens!G19928-base_fy)/n_conv)</f>
        <v>0.113682376600363</v>
      </c>
      <c r="H19976" s="7" t="n">
        <f aca="false">Sens!$E$19976+(glt_m365b-Sens!$E$19976)*MIN(1,(Sens!H19928-base_fy)/n_conv)</f>
        <v>0.102761782450272</v>
      </c>
      <c r="I19976" s="7" t="n">
        <f aca="false">Sens!$E$19976+(glt_m365b-Sens!$E$19976)*MIN(1,(Sens!I19928-base_fy)/n_conv)</f>
        <v>0.0918411883001813</v>
      </c>
      <c r="J19976" s="7" t="n">
        <f aca="false">Sens!$E$19976+(glt_m365b-Sens!$E$19976)*MIN(1,(Sens!J19928-base_fy)/n_conv)</f>
        <v>0.0809205941500906</v>
      </c>
      <c r="K19976" s="7" t="n">
        <f aca="false">Sens!$E$19976+(glt_m365b-Sens!$E$19976)*MIN(1,(Sens!K19928-base_fy)/n_conv)</f>
        <v>0.07</v>
      </c>
    </row>
    <row r="19977" customFormat="false" ht="15" hidden="false" customHeight="false" outlineLevel="0" collapsed="false">
      <c r="A19977" s="0" t="s">
        <v>1036</v>
      </c>
      <c r="B19977" s="0" t="s">
        <v>98</v>
      </c>
      <c r="D19977" s="6" t="n">
        <f aca="false">Sens!D19975+Sens!D19974</f>
        <v>84.605</v>
      </c>
      <c r="E19977" s="6" t="n">
        <f aca="false">Sens!E19975+Sens!E19974</f>
        <v>100.299</v>
      </c>
      <c r="F19977" s="6" t="n">
        <f aca="false">Sens!F19975+Sens!F19974</f>
        <v>117.438354189776</v>
      </c>
      <c r="G19977" s="6" t="n">
        <f aca="false">Sens!G19975+Sens!G19974</f>
        <v>132.595360443801</v>
      </c>
      <c r="H19977" s="6" t="n">
        <f aca="false">Sens!H19975+Sens!H19974</f>
        <v>147.833811964563</v>
      </c>
      <c r="I19977" s="6" t="n">
        <f aca="false">Sens!I19975+Sens!I19974</f>
        <v>162.145665319381</v>
      </c>
      <c r="J19977" s="6" t="n">
        <f aca="false">Sens!J19975+Sens!J19974</f>
        <v>175.249327755573</v>
      </c>
      <c r="K19977" s="6" t="n">
        <f aca="false">Sens!K19975+Sens!K19974</f>
        <v>187.599280698463</v>
      </c>
    </row>
    <row r="19978" customFormat="false" ht="17.15" hidden="false" customHeight="false" outlineLevel="0" collapsed="false">
      <c r="A19978" s="0" t="s">
        <v>1037</v>
      </c>
      <c r="B19978" s="0" t="s">
        <v>98</v>
      </c>
      <c r="D19978" s="6" t="n">
        <f aca="false">Q!L8</f>
        <v>35.391</v>
      </c>
      <c r="E19978" s="6" t="n">
        <f aca="false">Q!M8</f>
        <v>37.285</v>
      </c>
      <c r="F19978" s="6" t="n">
        <f aca="false">Q!$I$8+(Q!M8-Q!$E$8)*(1+Sens!F19979)</f>
        <v>38.3851437782675</v>
      </c>
      <c r="G19978" s="6" t="n">
        <f aca="false">Sens!F19978*(1+Sens!G19979)</f>
        <v>40.0105353288615</v>
      </c>
      <c r="H19978" s="6" t="n">
        <f aca="false">Sens!G19978*(1+Sens!H19979)</f>
        <v>41.4812512033683</v>
      </c>
      <c r="I19978" s="6" t="n">
        <f aca="false">Sens!H19978*(1+Sens!I19979)</f>
        <v>42.7743107216329</v>
      </c>
      <c r="J19978" s="6" t="n">
        <f aca="false">Sens!I19978*(1+Sens!J19979)</f>
        <v>43.8687373064601</v>
      </c>
      <c r="K19978" s="6" t="n">
        <f aca="false">Sens!J19978*(1+Sens!K19979)</f>
        <v>44.7461120525893</v>
      </c>
      <c r="L19978" s="12" t="s">
        <v>1038</v>
      </c>
    </row>
    <row r="19979" customFormat="false" ht="15" hidden="false" customHeight="false" outlineLevel="0" collapsed="false">
      <c r="A19979" s="1" t="s">
        <v>1028</v>
      </c>
      <c r="B19979" s="0" t="s">
        <v>168</v>
      </c>
      <c r="E19979" s="7" t="n">
        <f aca="false">Sens!E19978/Sens!D19978-1</f>
        <v>0.0535164307309768</v>
      </c>
      <c r="F19979" s="7" t="n">
        <f aca="false">Sens!$E$19979+(glt_lic-Sens!$E$19979)*MIN(1,(Sens!F19928-base_fy)/n_conv)</f>
        <v>0.0479303589424807</v>
      </c>
      <c r="G19979" s="7" t="n">
        <f aca="false">Sens!$E$19979+(glt_lic-Sens!$E$19979)*MIN(1,(Sens!G19928-base_fy)/n_conv)</f>
        <v>0.0423442871539845</v>
      </c>
      <c r="H19979" s="7" t="n">
        <f aca="false">Sens!$E$19979+(glt_lic-Sens!$E$19979)*MIN(1,(Sens!H19928-base_fy)/n_conv)</f>
        <v>0.0367582153654884</v>
      </c>
      <c r="I19979" s="7" t="n">
        <f aca="false">Sens!$E$19979+(glt_lic-Sens!$E$19979)*MIN(1,(Sens!I19928-base_fy)/n_conv)</f>
        <v>0.0311721435769923</v>
      </c>
      <c r="J19979" s="7" t="n">
        <f aca="false">Sens!$E$19979+(glt_lic-Sens!$E$19979)*MIN(1,(Sens!J19928-base_fy)/n_conv)</f>
        <v>0.0255860717884961</v>
      </c>
      <c r="K19979" s="7" t="n">
        <f aca="false">Sens!$E$19979+(glt_lic-Sens!$E$19979)*MIN(1,(Sens!K19928-base_fy)/n_conv)</f>
        <v>0.02</v>
      </c>
    </row>
    <row r="19980" customFormat="false" ht="17.15" hidden="false" customHeight="false" outlineLevel="0" collapsed="false">
      <c r="A19980" s="0" t="s">
        <v>1039</v>
      </c>
      <c r="B19980" s="0" t="s">
        <v>98</v>
      </c>
      <c r="D19980" s="6" t="n">
        <f aca="false">Q!L9</f>
        <v>18.417</v>
      </c>
      <c r="E19980" s="6" t="n">
        <f aca="false">Q!M9</f>
        <v>20.345</v>
      </c>
      <c r="F19980" s="6" t="n">
        <f aca="false">Q!$I$9+(Q!M9-Q!$E$9)*(1+Sens!F19981)</f>
        <v>22.3161797133988</v>
      </c>
      <c r="G19980" s="6" t="n">
        <f aca="false">Sens!F19980*(1+Sens!G19981)</f>
        <v>24.3943499673233</v>
      </c>
      <c r="H19980" s="6" t="n">
        <f aca="false">Sens!G19980*(1+Sens!H19981)</f>
        <v>26.5250243109019</v>
      </c>
      <c r="I19980" s="6" t="n">
        <f aca="false">Sens!H19980*(1+Sens!I19981)</f>
        <v>28.6884573538181</v>
      </c>
      <c r="J19980" s="6" t="n">
        <f aca="false">Sens!I19980*(1+Sens!J19981)</f>
        <v>30.8624968052127</v>
      </c>
      <c r="K19980" s="6" t="n">
        <f aca="false">Sens!J19980*(1+Sens!K19981)</f>
        <v>33.0228715815776</v>
      </c>
      <c r="L19980" s="12" t="s">
        <v>1038</v>
      </c>
    </row>
    <row r="19981" customFormat="false" ht="15" hidden="false" customHeight="false" outlineLevel="0" collapsed="false">
      <c r="A19981" s="1" t="s">
        <v>1028</v>
      </c>
      <c r="B19981" s="0" t="s">
        <v>168</v>
      </c>
      <c r="E19981" s="7" t="n">
        <f aca="false">Sens!E19980/Sens!D19980-1</f>
        <v>0.104685888038225</v>
      </c>
      <c r="F19981" s="7" t="n">
        <f aca="false">Sens!$E$19981+(glt_ind-Sens!$E$19981)*MIN(1,(Sens!F19928-base_fy)/n_conv)</f>
        <v>0.0989049066985211</v>
      </c>
      <c r="G19981" s="7" t="n">
        <f aca="false">Sens!$E$19981+(glt_ind-Sens!$E$19981)*MIN(1,(Sens!G19928-base_fy)/n_conv)</f>
        <v>0.0931239253588169</v>
      </c>
      <c r="H19981" s="7" t="n">
        <f aca="false">Sens!$E$19981+(glt_ind-Sens!$E$19981)*MIN(1,(Sens!H19928-base_fy)/n_conv)</f>
        <v>0.0873429440191127</v>
      </c>
      <c r="I19981" s="7" t="n">
        <f aca="false">Sens!$E$19981+(glt_ind-Sens!$E$19981)*MIN(1,(Sens!I19928-base_fy)/n_conv)</f>
        <v>0.0815619626794085</v>
      </c>
      <c r="J19981" s="7" t="n">
        <f aca="false">Sens!$E$19981+(glt_ind-Sens!$E$19981)*MIN(1,(Sens!J19928-base_fy)/n_conv)</f>
        <v>0.0757809813397042</v>
      </c>
      <c r="K19981" s="7" t="n">
        <f aca="false">Sens!$E$19981+(glt_ind-Sens!$E$19981)*MIN(1,(Sens!K19928-base_fy)/n_conv)</f>
        <v>0.07</v>
      </c>
    </row>
    <row r="19982" customFormat="false" ht="17.15" hidden="false" customHeight="false" outlineLevel="0" collapsed="false">
      <c r="A19982" s="0" t="s">
        <v>1040</v>
      </c>
      <c r="B19982" s="0" t="s">
        <v>98</v>
      </c>
      <c r="D19982" s="6" t="n">
        <f aca="false">Q!L10</f>
        <v>7.76</v>
      </c>
      <c r="E19982" s="6" t="n">
        <f aca="false">Q!M10</f>
        <v>8.26</v>
      </c>
      <c r="F19982" s="6" t="n">
        <f aca="false">Q!$I$10+(Q!M10-Q!$E$10)*(1+Sens!F19983)</f>
        <v>8.75372082474227</v>
      </c>
      <c r="G19982" s="6" t="n">
        <f aca="false">Sens!F19982*(1+Sens!G19983)</f>
        <v>9.33399324642364</v>
      </c>
      <c r="H19982" s="6" t="n">
        <f aca="false">Sens!G19982*(1+Sens!H19983)</f>
        <v>9.96139155535851</v>
      </c>
      <c r="I19982" s="6" t="n">
        <f aca="false">Sens!H19982*(1+Sens!I19983)</f>
        <v>10.6402039077391</v>
      </c>
      <c r="J19982" s="6" t="n">
        <f aca="false">Sens!I19982*(1+Sens!J19983)</f>
        <v>11.3751458271397</v>
      </c>
      <c r="K19982" s="6" t="n">
        <f aca="false">Sens!J19982*(1+Sens!K19983)</f>
        <v>12.1714060350394</v>
      </c>
      <c r="L19982" s="12" t="s">
        <v>1038</v>
      </c>
    </row>
    <row r="19983" customFormat="false" ht="15" hidden="false" customHeight="false" outlineLevel="0" collapsed="false">
      <c r="A19983" s="1" t="s">
        <v>1028</v>
      </c>
      <c r="B19983" s="0" t="s">
        <v>168</v>
      </c>
      <c r="E19983" s="7" t="n">
        <f aca="false">Sens!E19982/Sens!D19982-1</f>
        <v>0.0644329896907216</v>
      </c>
      <c r="F19983" s="7" t="n">
        <f aca="false">Sens!$E$19983+(glt_fro-Sens!$E$19983)*MIN(1,(Sens!F19928-base_fy)/n_conv)</f>
        <v>0.065360824742268</v>
      </c>
      <c r="G19983" s="7" t="n">
        <f aca="false">Sens!$E$19983+(glt_fro-Sens!$E$19983)*MIN(1,(Sens!G19928-base_fy)/n_conv)</f>
        <v>0.0662886597938144</v>
      </c>
      <c r="H19983" s="7" t="n">
        <f aca="false">Sens!$E$19983+(glt_fro-Sens!$E$19983)*MIN(1,(Sens!H19928-base_fy)/n_conv)</f>
        <v>0.0672164948453608</v>
      </c>
      <c r="I19983" s="7" t="n">
        <f aca="false">Sens!$E$19983+(glt_fro-Sens!$E$19983)*MIN(1,(Sens!I19928-base_fy)/n_conv)</f>
        <v>0.0681443298969072</v>
      </c>
      <c r="J19983" s="7" t="n">
        <f aca="false">Sens!$E$19983+(glt_fro-Sens!$E$19983)*MIN(1,(Sens!J19928-base_fy)/n_conv)</f>
        <v>0.0690721649484536</v>
      </c>
      <c r="K19983" s="7" t="n">
        <f aca="false">Sens!$E$19983+(glt_fro-Sens!$E$19983)*MIN(1,(Sens!K19928-base_fy)/n_conv)</f>
        <v>0.07</v>
      </c>
    </row>
    <row r="19984" customFormat="false" ht="15" hidden="false" customHeight="false" outlineLevel="0" collapsed="false">
      <c r="A19984" s="0" t="s">
        <v>856</v>
      </c>
      <c r="B19984" s="0" t="s">
        <v>98</v>
      </c>
      <c r="D19984" s="6" t="n">
        <f aca="false">Sens!D19972+Sens!D19977+Sens!D19978+Sens!D19980+Sens!D19982</f>
        <v>218.783</v>
      </c>
      <c r="E19984" s="6" t="n">
        <f aca="false">Sens!E19972+Sens!E19977+Sens!E19978+Sens!E19980+Sens!E19982</f>
        <v>268.127</v>
      </c>
      <c r="F19984" s="6" t="n">
        <f aca="false">Sens!F19972+Sens!F19977+Sens!F19978+Sens!F19980+Sens!F19982</f>
        <v>330.882563310015</v>
      </c>
      <c r="G19984" s="6" t="n">
        <f aca="false">Sens!G19972+Sens!G19977+Sens!G19978+Sens!G19980+Sens!G19982</f>
        <v>394.295285144665</v>
      </c>
      <c r="H19984" s="6" t="n">
        <f aca="false">Sens!H19972+Sens!H19977+Sens!H19978+Sens!H19980+Sens!H19982</f>
        <v>452.929881724912</v>
      </c>
      <c r="I19984" s="6" t="n">
        <f aca="false">Sens!I19972+Sens!I19977+Sens!I19978+Sens!I19980+Sens!I19982</f>
        <v>514.015209855815</v>
      </c>
      <c r="J19984" s="6" t="n">
        <f aca="false">Sens!J19972+Sens!J19977+Sens!J19978+Sens!J19980+Sens!J19982</f>
        <v>564.512172412046</v>
      </c>
      <c r="K19984" s="6" t="n">
        <f aca="false">Sens!K19972+Sens!K19977+Sens!K19978+Sens!K19980+Sens!K19982</f>
        <v>605.015930022381</v>
      </c>
    </row>
    <row r="19985" customFormat="false" ht="17.15" hidden="false" customHeight="false" outlineLevel="0" collapsed="false">
      <c r="A19985" s="0" t="s">
        <v>1041</v>
      </c>
      <c r="B19985" s="0" t="s">
        <v>98</v>
      </c>
      <c r="D19985" s="6" t="n">
        <f aca="false">Q!L13</f>
        <v>22.171</v>
      </c>
      <c r="E19985" s="6" t="n">
        <f aca="false">Q!M13</f>
        <v>24.835</v>
      </c>
      <c r="F19985" s="6" t="n">
        <f aca="false">Q!$I$13+(Q!M13-Q!$E$13)*(1+Sens!F19986)</f>
        <v>27.5591895660247</v>
      </c>
      <c r="G19985" s="6" t="n">
        <f aca="false">Sens!F19985*(1+Sens!G19986)</f>
        <v>30.4098563144583</v>
      </c>
      <c r="H19985" s="6" t="n">
        <f aca="false">Sens!G19985*(1+Sens!H19986)</f>
        <v>33.3011792571777</v>
      </c>
      <c r="I19985" s="6" t="n">
        <f aca="false">Sens!H19985*(1+Sens!I19986)</f>
        <v>36.189023797112</v>
      </c>
      <c r="J19985" s="6" t="n">
        <f aca="false">Sens!I19985*(1+Sens!J19986)</f>
        <v>39.0247773769199</v>
      </c>
      <c r="K19985" s="6" t="n">
        <f aca="false">Sens!J19985*(1+Sens!K19986)</f>
        <v>41.7565117933043</v>
      </c>
      <c r="L19985" s="12" t="s">
        <v>1038</v>
      </c>
    </row>
    <row r="19986" customFormat="false" ht="15" hidden="false" customHeight="false" outlineLevel="0" collapsed="false">
      <c r="A19986" s="1" t="s">
        <v>1028</v>
      </c>
      <c r="B19986" s="0" t="s">
        <v>168</v>
      </c>
      <c r="E19986" s="7" t="n">
        <f aca="false">Sens!E19985/Sens!D19985-1</f>
        <v>0.120156961796942</v>
      </c>
      <c r="F19986" s="7" t="n">
        <f aca="false">Sens!$E$19986+(glt_srch-Sens!$E$19986)*MIN(1,(Sens!F19928-base_fy)/n_conv)</f>
        <v>0.111797468164118</v>
      </c>
      <c r="G19986" s="7" t="n">
        <f aca="false">Sens!$E$19986+(glt_srch-Sens!$E$19986)*MIN(1,(Sens!G19928-base_fy)/n_conv)</f>
        <v>0.103437974531295</v>
      </c>
      <c r="H19986" s="7" t="n">
        <f aca="false">Sens!$E$19986+(glt_srch-Sens!$E$19986)*MIN(1,(Sens!H19928-base_fy)/n_conv)</f>
        <v>0.095078480898471</v>
      </c>
      <c r="I19986" s="7" t="n">
        <f aca="false">Sens!$E$19986+(glt_srch-Sens!$E$19986)*MIN(1,(Sens!I19928-base_fy)/n_conv)</f>
        <v>0.0867189872656474</v>
      </c>
      <c r="J19986" s="7" t="n">
        <f aca="false">Sens!$E$19986+(glt_srch-Sens!$E$19986)*MIN(1,(Sens!J19928-base_fy)/n_conv)</f>
        <v>0.0783594936328237</v>
      </c>
      <c r="K19986" s="7" t="n">
        <f aca="false">Sens!$E$19986+(glt_srch-Sens!$E$19986)*MIN(1,(Sens!K19928-base_fy)/n_conv)</f>
        <v>0.07</v>
      </c>
    </row>
    <row r="19987" customFormat="false" ht="17.15" hidden="false" customHeight="false" outlineLevel="0" collapsed="false">
      <c r="A19987" s="0" t="s">
        <v>1042</v>
      </c>
      <c r="B19987" s="0" t="s">
        <v>98</v>
      </c>
      <c r="D19987" s="6" t="n">
        <f aca="false">Q!L14</f>
        <v>23.455</v>
      </c>
      <c r="E19987" s="6" t="n">
        <f aca="false">Q!M14</f>
        <v>21.79</v>
      </c>
      <c r="F19987" s="6" t="n">
        <f aca="false">Q!$I$14+(Q!M14-Q!$E$14)*(1+Sens!F19988)</f>
        <v>20.7520981041711</v>
      </c>
      <c r="G19987" s="6" t="n">
        <f aca="false">Sens!F19987*(1+Sens!G19988)</f>
        <v>19.9083593495882</v>
      </c>
      <c r="H19987" s="6" t="n">
        <f aca="false">Sens!G19987*(1+Sens!H19988)</f>
        <v>19.4008256265831</v>
      </c>
      <c r="I19987" s="6" t="n">
        <f aca="false">Sens!H19987*(1+Sens!I19988)</f>
        <v>19.200434522122</v>
      </c>
      <c r="J19987" s="6" t="n">
        <f aca="false">Sens!I19987*(1+Sens!J19988)</f>
        <v>19.2932782348507</v>
      </c>
      <c r="K19987" s="6" t="n">
        <f aca="false">Sens!J19987*(1+Sens!K19988)</f>
        <v>19.6791437995477</v>
      </c>
      <c r="L19987" s="12" t="s">
        <v>1038</v>
      </c>
    </row>
    <row r="19988" customFormat="false" ht="15" hidden="false" customHeight="false" outlineLevel="0" collapsed="false">
      <c r="A19988" s="1" t="s">
        <v>1028</v>
      </c>
      <c r="B19988" s="0" t="s">
        <v>168</v>
      </c>
      <c r="E19988" s="7" t="n">
        <f aca="false">Sens!E19987/Sens!D19987-1</f>
        <v>-0.0709869963760392</v>
      </c>
      <c r="F19988" s="7" t="n">
        <f aca="false">Sens!$E$19988+(glt_xbox-Sens!$E$19988)*MIN(1,(Sens!F19928-base_fy)/n_conv)</f>
        <v>-0.0558224969800327</v>
      </c>
      <c r="G19988" s="7" t="n">
        <f aca="false">Sens!$E$19988+(glt_xbox-Sens!$E$19988)*MIN(1,(Sens!G19928-base_fy)/n_conv)</f>
        <v>-0.0406579975840262</v>
      </c>
      <c r="H19988" s="7" t="n">
        <f aca="false">Sens!$E$19988+(glt_xbox-Sens!$E$19988)*MIN(1,(Sens!H19928-base_fy)/n_conv)</f>
        <v>-0.0254934981880196</v>
      </c>
      <c r="I19988" s="7" t="n">
        <f aca="false">Sens!$E$19988+(glt_xbox-Sens!$E$19988)*MIN(1,(Sens!I19928-base_fy)/n_conv)</f>
        <v>-0.0103289987920131</v>
      </c>
      <c r="J19988" s="7" t="n">
        <f aca="false">Sens!$E$19988+(glt_xbox-Sens!$E$19988)*MIN(1,(Sens!J19928-base_fy)/n_conv)</f>
        <v>0.00483550060399347</v>
      </c>
      <c r="K19988" s="7" t="n">
        <f aca="false">Sens!$E$19988+(glt_xbox-Sens!$E$19988)*MIN(1,(Sens!K19928-base_fy)/n_conv)</f>
        <v>0.02</v>
      </c>
    </row>
    <row r="19989" customFormat="false" ht="17.15" hidden="false" customHeight="false" outlineLevel="0" collapsed="false">
      <c r="A19989" s="0" t="s">
        <v>1043</v>
      </c>
      <c r="B19989" s="0" t="s">
        <v>98</v>
      </c>
      <c r="D19989" s="6" t="n">
        <f aca="false">Q!L15</f>
        <v>17.315</v>
      </c>
      <c r="E19989" s="6" t="n">
        <f aca="false">Q!M15</f>
        <v>17.087</v>
      </c>
      <c r="F19989" s="6" t="n">
        <f aca="false">Q!$I$15+(Q!M15-Q!$E$15)*(1+Sens!F19990)</f>
        <v>15.9912273250553</v>
      </c>
      <c r="G19989" s="6" t="n">
        <f aca="false">Sens!F19989*(1+Sens!G19990)</f>
        <v>15.9574562664827</v>
      </c>
      <c r="H19989" s="6" t="n">
        <f aca="false">Sens!G19989*(1+Sens!H19990)</f>
        <v>16.0119687434196</v>
      </c>
      <c r="I19989" s="6" t="n">
        <f aca="false">Sens!H19989*(1+Sens!I19990)</f>
        <v>16.1551810001948</v>
      </c>
      <c r="J19989" s="6" t="n">
        <f aca="false">Sens!I19989*(1+Sens!J19990)</f>
        <v>16.3889793892005</v>
      </c>
      <c r="K19989" s="6" t="n">
        <f aca="false">Sens!J19989*(1+Sens!K19990)</f>
        <v>16.7167589769845</v>
      </c>
      <c r="L19989" s="12" t="s">
        <v>1038</v>
      </c>
    </row>
    <row r="19990" customFormat="false" ht="15" hidden="false" customHeight="false" outlineLevel="0" collapsed="false">
      <c r="A19990" s="1" t="s">
        <v>1028</v>
      </c>
      <c r="B19990" s="0" t="s">
        <v>168</v>
      </c>
      <c r="E19990" s="7" t="n">
        <f aca="false">Sens!E19989/Sens!D19989-1</f>
        <v>-0.0131677736066995</v>
      </c>
      <c r="F19990" s="7" t="n">
        <f aca="false">Sens!$E$19990+(glt_win-Sens!$E$19990)*MIN(1,(Sens!F19928-base_fy)/n_conv)</f>
        <v>-0.00763981133891627</v>
      </c>
      <c r="G19990" s="7" t="n">
        <f aca="false">Sens!$E$19990+(glt_win-Sens!$E$19990)*MIN(1,(Sens!G19928-base_fy)/n_conv)</f>
        <v>-0.00211184907113301</v>
      </c>
      <c r="H19990" s="7" t="n">
        <f aca="false">Sens!$E$19990+(glt_win-Sens!$E$19990)*MIN(1,(Sens!H19928-base_fy)/n_conv)</f>
        <v>0.00341611319665024</v>
      </c>
      <c r="I19990" s="7" t="n">
        <f aca="false">Sens!$E$19990+(glt_win-Sens!$E$19990)*MIN(1,(Sens!I19928-base_fy)/n_conv)</f>
        <v>0.00894407546443349</v>
      </c>
      <c r="J19990" s="7" t="n">
        <f aca="false">Sens!$E$19990+(glt_win-Sens!$E$19990)*MIN(1,(Sens!J19928-base_fy)/n_conv)</f>
        <v>0.0144720377322168</v>
      </c>
      <c r="K19990" s="7" t="n">
        <f aca="false">Sens!$E$19990+(glt_win-Sens!$E$19990)*MIN(1,(Sens!K19928-base_fy)/n_conv)</f>
        <v>0.02</v>
      </c>
    </row>
    <row r="19991" customFormat="false" ht="15" hidden="false" customHeight="false" outlineLevel="0" collapsed="false">
      <c r="A19991" s="0" t="s">
        <v>870</v>
      </c>
      <c r="B19991" s="0" t="s">
        <v>98</v>
      </c>
      <c r="D19991" s="6" t="n">
        <f aca="false">Sens!D19985+Sens!D19987+Sens!D19989</f>
        <v>62.941</v>
      </c>
      <c r="E19991" s="6" t="n">
        <f aca="false">Sens!E19985+Sens!E19987+Sens!E19989</f>
        <v>63.712</v>
      </c>
      <c r="F19991" s="6" t="n">
        <f aca="false">Sens!F19985+Sens!F19987+Sens!F19989</f>
        <v>64.3025149952511</v>
      </c>
      <c r="G19991" s="6" t="n">
        <f aca="false">Sens!G19985+Sens!G19987+Sens!G19989</f>
        <v>66.2756719305292</v>
      </c>
      <c r="H19991" s="6" t="n">
        <f aca="false">Sens!H19985+Sens!H19987+Sens!H19989</f>
        <v>68.7139736271804</v>
      </c>
      <c r="I19991" s="6" t="n">
        <f aca="false">Sens!I19985+Sens!I19987+Sens!I19989</f>
        <v>71.5446393194289</v>
      </c>
      <c r="J19991" s="6" t="n">
        <f aca="false">Sens!J19985+Sens!J19987+Sens!J19989</f>
        <v>74.707035000971</v>
      </c>
      <c r="K19991" s="6" t="n">
        <f aca="false">Sens!K19985+Sens!K19987+Sens!K19989</f>
        <v>78.1524145698365</v>
      </c>
    </row>
    <row r="19992" customFormat="false" ht="15" hidden="false" customHeight="false" outlineLevel="0" collapsed="false">
      <c r="A19992" s="1" t="s">
        <v>1044</v>
      </c>
      <c r="B19992" s="0" t="s">
        <v>98</v>
      </c>
      <c r="D19992" s="6" t="n">
        <f aca="false">Sens!D19984+Sens!D19991</f>
        <v>281.724</v>
      </c>
      <c r="E19992" s="6" t="n">
        <f aca="false">Sens!E19984+Sens!E19991</f>
        <v>331.839</v>
      </c>
      <c r="F19992" s="6" t="n">
        <f aca="false">Sens!F19984+Sens!F19991</f>
        <v>395.185078305266</v>
      </c>
      <c r="G19992" s="6" t="n">
        <f aca="false">Sens!G19984+Sens!G19991</f>
        <v>460.570957075194</v>
      </c>
      <c r="H19992" s="6" t="n">
        <f aca="false">Sens!H19984+Sens!H19991</f>
        <v>521.643855352092</v>
      </c>
      <c r="I19992" s="6" t="n">
        <f aca="false">Sens!I19984+Sens!I19991</f>
        <v>585.559849175244</v>
      </c>
      <c r="J19992" s="6" t="n">
        <f aca="false">Sens!J19984+Sens!J19991</f>
        <v>639.219207413017</v>
      </c>
      <c r="K19992" s="6" t="n">
        <f aca="false">Sens!K19984+Sens!K19991</f>
        <v>683.168344592217</v>
      </c>
    </row>
    <row r="19993" customFormat="false" ht="15" hidden="false" customHeight="false" outlineLevel="0" collapsed="false">
      <c r="A19993" s="26" t="s">
        <v>1045</v>
      </c>
      <c r="B19993" s="31" t="s">
        <v>98</v>
      </c>
      <c r="C19993" s="31"/>
      <c r="D19993" s="27" t="n">
        <f aca="false">(Sens!D19972+Sens!D19977+Sens!D19978+Sens!D19980+Sens!D19982-Sens!D19984)+(Sens!D19985+Sens!D19987+Sens!D19989-Sens!D19991)+(Sens!D19984-Q!L5)+(Sens!D19991-Q!L12)+(Sens!D19972-Q!L6)+(Sens!D19977-Q!L7)</f>
        <v>0</v>
      </c>
      <c r="E19993" s="27" t="n">
        <f aca="false">(Sens!E19972+Sens!E19977+Sens!E19978+Sens!E19980+Sens!E19982-Sens!E19984)+(Sens!E19985+Sens!E19987+Sens!E19989-Sens!E19991)+(Sens!E19984-Q!M5)+(Sens!E19991-Q!M12)+(Sens!E19972-Q!M6)+(Sens!E19977-Q!M7)</f>
        <v>0</v>
      </c>
      <c r="F19993" s="27" t="n">
        <f aca="false">(Sens!F19972+Sens!F19977+Sens!F19978+Sens!F19980+Sens!F19982-Sens!F19984)+(Sens!F19985+Sens!F19987+Sens!F19989-Sens!F19991)</f>
        <v>0</v>
      </c>
      <c r="G19993" s="27" t="n">
        <f aca="false">(Sens!G19972+Sens!G19977+Sens!G19978+Sens!G19980+Sens!G19982-Sens!G19984)+(Sens!G19985+Sens!G19987+Sens!G19989-Sens!G19991)</f>
        <v>0</v>
      </c>
      <c r="H19993" s="27" t="n">
        <f aca="false">(Sens!H19972+Sens!H19977+Sens!H19978+Sens!H19980+Sens!H19982-Sens!H19984)+(Sens!H19985+Sens!H19987+Sens!H19989-Sens!H19991)</f>
        <v>0</v>
      </c>
      <c r="I19993" s="27" t="n">
        <f aca="false">(Sens!I19972+Sens!I19977+Sens!I19978+Sens!I19980+Sens!I19982-Sens!I19984)+(Sens!I19985+Sens!I19987+Sens!I19989-Sens!I19991)</f>
        <v>0</v>
      </c>
      <c r="J19993" s="27" t="n">
        <f aca="false">(Sens!J19972+Sens!J19977+Sens!J19978+Sens!J19980+Sens!J19982-Sens!J19984)+(Sens!J19985+Sens!J19987+Sens!J19989-Sens!J19991)</f>
        <v>0</v>
      </c>
      <c r="K19993" s="27" t="n">
        <f aca="false">(Sens!K19972+Sens!K19977+Sens!K19978+Sens!K19980+Sens!K19982-Sens!K19984)+(Sens!K19985+Sens!K19987+Sens!K19989-Sens!K19991)</f>
        <v>0</v>
      </c>
    </row>
    <row r="19994" customFormat="false" ht="17.15" hidden="false" customHeight="false" outlineLevel="0" collapsed="false">
      <c r="A19994" s="3" t="s">
        <v>2106</v>
      </c>
    </row>
    <row r="19995" customFormat="false" ht="15" hidden="false" customHeight="false" outlineLevel="0" collapsed="false">
      <c r="A19995" s="4" t="s">
        <v>43</v>
      </c>
      <c r="B19995" s="4" t="s">
        <v>65</v>
      </c>
      <c r="C19995" s="23" t="s">
        <v>942</v>
      </c>
      <c r="D19995" s="23" t="s">
        <v>943</v>
      </c>
      <c r="E19995" s="23" t="s">
        <v>944</v>
      </c>
      <c r="F19995" s="23" t="s">
        <v>945</v>
      </c>
      <c r="G19995" s="23" t="s">
        <v>946</v>
      </c>
      <c r="H19995" s="23" t="s">
        <v>947</v>
      </c>
      <c r="I19995" s="23" t="s">
        <v>948</v>
      </c>
      <c r="J19995" s="23" t="s">
        <v>949</v>
      </c>
      <c r="K19995" s="23" t="s">
        <v>950</v>
      </c>
      <c r="L19995" s="4" t="s">
        <v>47</v>
      </c>
    </row>
    <row r="19996" customFormat="false" ht="15" hidden="false" customHeight="false" outlineLevel="0" collapsed="false">
      <c r="A19996" s="0" t="s">
        <v>1029</v>
      </c>
      <c r="B19996" s="0" t="s">
        <v>98</v>
      </c>
      <c r="D19996" s="6" t="n">
        <f aca="false">Sens!D19972</f>
        <v>72.61</v>
      </c>
      <c r="E19996" s="6" t="n">
        <f aca="false">Sens!E19972</f>
        <v>101.938</v>
      </c>
      <c r="F19996" s="6" t="n">
        <f aca="false">Sens!F19972</f>
        <v>143.989164803831</v>
      </c>
      <c r="G19996" s="6" t="n">
        <f aca="false">Sens!G19972</f>
        <v>187.961046158256</v>
      </c>
      <c r="H19996" s="6" t="n">
        <f aca="false">Sens!H19972</f>
        <v>227.12840269072</v>
      </c>
      <c r="I19996" s="6" t="n">
        <f aca="false">Sens!I19972</f>
        <v>269.766572553244</v>
      </c>
      <c r="J19996" s="6" t="n">
        <f aca="false">Sens!J19972</f>
        <v>303.15646471766</v>
      </c>
      <c r="K19996" s="6" t="n">
        <f aca="false">Sens!K19972</f>
        <v>327.476259654712</v>
      </c>
    </row>
    <row r="19997" customFormat="false" ht="17.15" hidden="false" customHeight="false" outlineLevel="0" collapsed="false">
      <c r="A19997" s="0" t="s">
        <v>1025</v>
      </c>
      <c r="B19997" s="0" t="s">
        <v>98</v>
      </c>
      <c r="D19997" s="6" t="n">
        <f aca="false">Sens!D19969</f>
        <v>12.9359794422418</v>
      </c>
      <c r="E19997" s="6" t="n">
        <f aca="false">Sens!E19969</f>
        <v>27.8095064661409</v>
      </c>
      <c r="F19997" s="6" t="n">
        <f aca="false">Sens!F19969</f>
        <v>51.9266585007223</v>
      </c>
      <c r="G19997" s="6" t="n">
        <f aca="false">Sens!G19969</f>
        <v>78.5770478476505</v>
      </c>
      <c r="H19997" s="6" t="n">
        <f aca="false">Sens!H19969</f>
        <v>100.12133604108</v>
      </c>
      <c r="I19997" s="6" t="n">
        <f aca="false">Sens!I19969</f>
        <v>125.73108072983</v>
      </c>
      <c r="J19997" s="6" t="n">
        <f aca="false">Sens!J19969</f>
        <v>143.703800751849</v>
      </c>
      <c r="K19997" s="6" t="n">
        <f aca="false">Sens!K19969</f>
        <v>155.267382571635</v>
      </c>
    </row>
    <row r="19998" customFormat="false" ht="17.15" hidden="false" customHeight="false" outlineLevel="0" collapsed="false">
      <c r="A19998" s="0" t="s">
        <v>1056</v>
      </c>
      <c r="B19998" s="0" t="s">
        <v>98</v>
      </c>
      <c r="D19998" s="6" t="n">
        <f aca="false">Sens!D19970</f>
        <v>59.6740205577583</v>
      </c>
      <c r="E19998" s="6" t="n">
        <f aca="false">Sens!E19970</f>
        <v>74.1284935338591</v>
      </c>
      <c r="F19998" s="6" t="n">
        <f aca="false">Sens!F19970</f>
        <v>92.0625063031085</v>
      </c>
      <c r="G19998" s="6" t="n">
        <f aca="false">Sens!G19970</f>
        <v>109.383998310605</v>
      </c>
      <c r="H19998" s="6" t="n">
        <f aca="false">Sens!H19970</f>
        <v>127.00706664964</v>
      </c>
      <c r="I19998" s="6" t="n">
        <f aca="false">Sens!I19970</f>
        <v>144.035491823414</v>
      </c>
      <c r="J19998" s="6" t="n">
        <f aca="false">Sens!J19970</f>
        <v>159.452663965812</v>
      </c>
      <c r="K19998" s="6" t="n">
        <f aca="false">Sens!K19970</f>
        <v>172.208877083077</v>
      </c>
    </row>
    <row r="19999" customFormat="false" ht="15" hidden="false" customHeight="false" outlineLevel="0" collapsed="false">
      <c r="A19999" s="0" t="s">
        <v>1036</v>
      </c>
      <c r="B19999" s="0" t="s">
        <v>98</v>
      </c>
      <c r="D19999" s="6" t="n">
        <f aca="false">Sens!D19977</f>
        <v>84.605</v>
      </c>
      <c r="E19999" s="6" t="n">
        <f aca="false">Sens!E19977</f>
        <v>100.299</v>
      </c>
      <c r="F19999" s="6" t="n">
        <f aca="false">Sens!F19977</f>
        <v>117.438354189776</v>
      </c>
      <c r="G19999" s="6" t="n">
        <f aca="false">Sens!G19977</f>
        <v>132.595360443801</v>
      </c>
      <c r="H19999" s="6" t="n">
        <f aca="false">Sens!H19977</f>
        <v>147.833811964563</v>
      </c>
      <c r="I19999" s="6" t="n">
        <f aca="false">Sens!I19977</f>
        <v>162.145665319381</v>
      </c>
      <c r="J19999" s="6" t="n">
        <f aca="false">Sens!J19977</f>
        <v>175.249327755573</v>
      </c>
      <c r="K19999" s="6" t="n">
        <f aca="false">Sens!K19977</f>
        <v>187.599280698463</v>
      </c>
    </row>
    <row r="20000" customFormat="false" ht="17.15" hidden="false" customHeight="false" outlineLevel="0" collapsed="false">
      <c r="A20000" s="0" t="s">
        <v>1057</v>
      </c>
      <c r="B20000" s="0" t="s">
        <v>98</v>
      </c>
      <c r="D20000" s="6" t="n">
        <f aca="false">Sens!D19975</f>
        <v>83.705</v>
      </c>
      <c r="E20000" s="6" t="n">
        <f aca="false">Sens!E19975</f>
        <v>95.049</v>
      </c>
      <c r="F20000" s="6" t="n">
        <f aca="false">Sens!F19975</f>
        <v>106.938354189776</v>
      </c>
      <c r="G20000" s="6" t="n">
        <f aca="false">Sens!G19975</f>
        <v>119.095360443801</v>
      </c>
      <c r="H20000" s="6" t="n">
        <f aca="false">Sens!H19975</f>
        <v>131.333811964563</v>
      </c>
      <c r="I20000" s="6" t="n">
        <f aca="false">Sens!I19975</f>
        <v>143.395665319381</v>
      </c>
      <c r="J20000" s="6" t="n">
        <f aca="false">Sens!J19975</f>
        <v>154.999327755573</v>
      </c>
      <c r="K20000" s="6" t="n">
        <f aca="false">Sens!K19975</f>
        <v>165.849280698463</v>
      </c>
    </row>
    <row r="20001" customFormat="false" ht="17.15" hidden="false" customHeight="false" outlineLevel="0" collapsed="false">
      <c r="A20001" s="0" t="s">
        <v>1058</v>
      </c>
      <c r="B20001" s="0" t="s">
        <v>98</v>
      </c>
      <c r="D20001" s="6" t="n">
        <f aca="false">Sens!D19974</f>
        <v>0.9</v>
      </c>
      <c r="E20001" s="6" t="n">
        <f aca="false">Sens!E19974</f>
        <v>5.25</v>
      </c>
      <c r="F20001" s="6" t="n">
        <f aca="false">Sens!F19974</f>
        <v>10.5</v>
      </c>
      <c r="G20001" s="6" t="n">
        <f aca="false">Sens!G19974</f>
        <v>13.5</v>
      </c>
      <c r="H20001" s="6" t="n">
        <f aca="false">Sens!H19974</f>
        <v>16.5</v>
      </c>
      <c r="I20001" s="6" t="n">
        <f aca="false">Sens!I19974</f>
        <v>18.75</v>
      </c>
      <c r="J20001" s="6" t="n">
        <f aca="false">Sens!J19974</f>
        <v>20.25</v>
      </c>
      <c r="K20001" s="6" t="n">
        <f aca="false">Sens!K19974</f>
        <v>21.75</v>
      </c>
    </row>
    <row r="20002" customFormat="false" ht="15" hidden="false" customHeight="false" outlineLevel="0" collapsed="false">
      <c r="A20002" s="0" t="s">
        <v>1037</v>
      </c>
      <c r="B20002" s="0" t="s">
        <v>98</v>
      </c>
      <c r="D20002" s="6" t="n">
        <f aca="false">Sens!D19978</f>
        <v>35.391</v>
      </c>
      <c r="E20002" s="6" t="n">
        <f aca="false">Sens!E19978</f>
        <v>37.285</v>
      </c>
      <c r="F20002" s="6" t="n">
        <f aca="false">Sens!F19978</f>
        <v>38.3851437782675</v>
      </c>
      <c r="G20002" s="6" t="n">
        <f aca="false">Sens!G19978</f>
        <v>40.0105353288615</v>
      </c>
      <c r="H20002" s="6" t="n">
        <f aca="false">Sens!H19978</f>
        <v>41.4812512033683</v>
      </c>
      <c r="I20002" s="6" t="n">
        <f aca="false">Sens!I19978</f>
        <v>42.7743107216329</v>
      </c>
      <c r="J20002" s="6" t="n">
        <f aca="false">Sens!J19978</f>
        <v>43.8687373064601</v>
      </c>
      <c r="K20002" s="6" t="n">
        <f aca="false">Sens!K19978</f>
        <v>44.7461120525893</v>
      </c>
    </row>
    <row r="20003" customFormat="false" ht="15" hidden="false" customHeight="false" outlineLevel="0" collapsed="false">
      <c r="A20003" s="0" t="s">
        <v>1039</v>
      </c>
      <c r="B20003" s="0" t="s">
        <v>98</v>
      </c>
      <c r="D20003" s="6" t="n">
        <f aca="false">Sens!D19980</f>
        <v>18.417</v>
      </c>
      <c r="E20003" s="6" t="n">
        <f aca="false">Sens!E19980</f>
        <v>20.345</v>
      </c>
      <c r="F20003" s="6" t="n">
        <f aca="false">Sens!F19980</f>
        <v>22.3161797133988</v>
      </c>
      <c r="G20003" s="6" t="n">
        <f aca="false">Sens!G19980</f>
        <v>24.3943499673233</v>
      </c>
      <c r="H20003" s="6" t="n">
        <f aca="false">Sens!H19980</f>
        <v>26.5250243109019</v>
      </c>
      <c r="I20003" s="6" t="n">
        <f aca="false">Sens!I19980</f>
        <v>28.6884573538181</v>
      </c>
      <c r="J20003" s="6" t="n">
        <f aca="false">Sens!J19980</f>
        <v>30.8624968052127</v>
      </c>
      <c r="K20003" s="6" t="n">
        <f aca="false">Sens!K19980</f>
        <v>33.0228715815776</v>
      </c>
    </row>
    <row r="20004" customFormat="false" ht="15" hidden="false" customHeight="false" outlineLevel="0" collapsed="false">
      <c r="A20004" s="0" t="s">
        <v>1040</v>
      </c>
      <c r="B20004" s="0" t="s">
        <v>98</v>
      </c>
      <c r="D20004" s="6" t="n">
        <f aca="false">Sens!D19982</f>
        <v>7.76</v>
      </c>
      <c r="E20004" s="6" t="n">
        <f aca="false">Sens!E19982</f>
        <v>8.26</v>
      </c>
      <c r="F20004" s="6" t="n">
        <f aca="false">Sens!F19982</f>
        <v>8.75372082474227</v>
      </c>
      <c r="G20004" s="6" t="n">
        <f aca="false">Sens!G19982</f>
        <v>9.33399324642364</v>
      </c>
      <c r="H20004" s="6" t="n">
        <f aca="false">Sens!H19982</f>
        <v>9.96139155535851</v>
      </c>
      <c r="I20004" s="6" t="n">
        <f aca="false">Sens!I19982</f>
        <v>10.6402039077391</v>
      </c>
      <c r="J20004" s="6" t="n">
        <f aca="false">Sens!J19982</f>
        <v>11.3751458271397</v>
      </c>
      <c r="K20004" s="6" t="n">
        <f aca="false">Sens!K19982</f>
        <v>12.1714060350394</v>
      </c>
    </row>
    <row r="20005" customFormat="false" ht="15" hidden="false" customHeight="false" outlineLevel="0" collapsed="false">
      <c r="A20005" s="0" t="s">
        <v>856</v>
      </c>
      <c r="B20005" s="0" t="s">
        <v>98</v>
      </c>
      <c r="D20005" s="6" t="n">
        <f aca="false">Sens!D19984</f>
        <v>218.783</v>
      </c>
      <c r="E20005" s="6" t="n">
        <f aca="false">Sens!E19984</f>
        <v>268.127</v>
      </c>
      <c r="F20005" s="6" t="n">
        <f aca="false">Sens!F19984</f>
        <v>330.882563310015</v>
      </c>
      <c r="G20005" s="6" t="n">
        <f aca="false">Sens!G19984</f>
        <v>394.295285144665</v>
      </c>
      <c r="H20005" s="6" t="n">
        <f aca="false">Sens!H19984</f>
        <v>452.929881724912</v>
      </c>
      <c r="I20005" s="6" t="n">
        <f aca="false">Sens!I19984</f>
        <v>514.015209855815</v>
      </c>
      <c r="J20005" s="6" t="n">
        <f aca="false">Sens!J19984</f>
        <v>564.512172412046</v>
      </c>
      <c r="K20005" s="6" t="n">
        <f aca="false">Sens!K19984</f>
        <v>605.015930022381</v>
      </c>
    </row>
    <row r="20006" customFormat="false" ht="15" hidden="false" customHeight="false" outlineLevel="0" collapsed="false">
      <c r="A20006" s="0" t="s">
        <v>1041</v>
      </c>
      <c r="B20006" s="0" t="s">
        <v>98</v>
      </c>
      <c r="D20006" s="6" t="n">
        <f aca="false">Sens!D19985</f>
        <v>22.171</v>
      </c>
      <c r="E20006" s="6" t="n">
        <f aca="false">Sens!E19985</f>
        <v>24.835</v>
      </c>
      <c r="F20006" s="6" t="n">
        <f aca="false">Sens!F19985</f>
        <v>27.5591895660247</v>
      </c>
      <c r="G20006" s="6" t="n">
        <f aca="false">Sens!G19985</f>
        <v>30.4098563144583</v>
      </c>
      <c r="H20006" s="6" t="n">
        <f aca="false">Sens!H19985</f>
        <v>33.3011792571777</v>
      </c>
      <c r="I20006" s="6" t="n">
        <f aca="false">Sens!I19985</f>
        <v>36.189023797112</v>
      </c>
      <c r="J20006" s="6" t="n">
        <f aca="false">Sens!J19985</f>
        <v>39.0247773769199</v>
      </c>
      <c r="K20006" s="6" t="n">
        <f aca="false">Sens!K19985</f>
        <v>41.7565117933043</v>
      </c>
    </row>
    <row r="20007" customFormat="false" ht="15" hidden="false" customHeight="false" outlineLevel="0" collapsed="false">
      <c r="A20007" s="0" t="s">
        <v>1042</v>
      </c>
      <c r="B20007" s="0" t="s">
        <v>98</v>
      </c>
      <c r="D20007" s="6" t="n">
        <f aca="false">Sens!D19987</f>
        <v>23.455</v>
      </c>
      <c r="E20007" s="6" t="n">
        <f aca="false">Sens!E19987</f>
        <v>21.79</v>
      </c>
      <c r="F20007" s="6" t="n">
        <f aca="false">Sens!F19987</f>
        <v>20.7520981041711</v>
      </c>
      <c r="G20007" s="6" t="n">
        <f aca="false">Sens!G19987</f>
        <v>19.9083593495882</v>
      </c>
      <c r="H20007" s="6" t="n">
        <f aca="false">Sens!H19987</f>
        <v>19.4008256265831</v>
      </c>
      <c r="I20007" s="6" t="n">
        <f aca="false">Sens!I19987</f>
        <v>19.200434522122</v>
      </c>
      <c r="J20007" s="6" t="n">
        <f aca="false">Sens!J19987</f>
        <v>19.2932782348507</v>
      </c>
      <c r="K20007" s="6" t="n">
        <f aca="false">Sens!K19987</f>
        <v>19.6791437995477</v>
      </c>
    </row>
    <row r="20008" customFormat="false" ht="15" hidden="false" customHeight="false" outlineLevel="0" collapsed="false">
      <c r="A20008" s="0" t="s">
        <v>1043</v>
      </c>
      <c r="B20008" s="0" t="s">
        <v>98</v>
      </c>
      <c r="D20008" s="6" t="n">
        <f aca="false">Sens!D19989</f>
        <v>17.315</v>
      </c>
      <c r="E20008" s="6" t="n">
        <f aca="false">Sens!E19989</f>
        <v>17.087</v>
      </c>
      <c r="F20008" s="6" t="n">
        <f aca="false">Sens!F19989</f>
        <v>15.9912273250553</v>
      </c>
      <c r="G20008" s="6" t="n">
        <f aca="false">Sens!G19989</f>
        <v>15.9574562664827</v>
      </c>
      <c r="H20008" s="6" t="n">
        <f aca="false">Sens!H19989</f>
        <v>16.0119687434196</v>
      </c>
      <c r="I20008" s="6" t="n">
        <f aca="false">Sens!I19989</f>
        <v>16.1551810001948</v>
      </c>
      <c r="J20008" s="6" t="n">
        <f aca="false">Sens!J19989</f>
        <v>16.3889793892005</v>
      </c>
      <c r="K20008" s="6" t="n">
        <f aca="false">Sens!K19989</f>
        <v>16.7167589769845</v>
      </c>
    </row>
    <row r="20009" customFormat="false" ht="15" hidden="false" customHeight="false" outlineLevel="0" collapsed="false">
      <c r="A20009" s="0" t="s">
        <v>870</v>
      </c>
      <c r="B20009" s="0" t="s">
        <v>98</v>
      </c>
      <c r="D20009" s="6" t="n">
        <f aca="false">Sens!D19991</f>
        <v>62.941</v>
      </c>
      <c r="E20009" s="6" t="n">
        <f aca="false">Sens!E19991</f>
        <v>63.712</v>
      </c>
      <c r="F20009" s="6" t="n">
        <f aca="false">Sens!F19991</f>
        <v>64.3025149952511</v>
      </c>
      <c r="G20009" s="6" t="n">
        <f aca="false">Sens!G19991</f>
        <v>66.2756719305292</v>
      </c>
      <c r="H20009" s="6" t="n">
        <f aca="false">Sens!H19991</f>
        <v>68.7139736271804</v>
      </c>
      <c r="I20009" s="6" t="n">
        <f aca="false">Sens!I19991</f>
        <v>71.5446393194289</v>
      </c>
      <c r="J20009" s="6" t="n">
        <f aca="false">Sens!J19991</f>
        <v>74.707035000971</v>
      </c>
      <c r="K20009" s="6" t="n">
        <f aca="false">Sens!K19991</f>
        <v>78.1524145698365</v>
      </c>
    </row>
    <row r="20010" customFormat="false" ht="15" hidden="false" customHeight="false" outlineLevel="0" collapsed="false">
      <c r="A20010" s="1" t="s">
        <v>1059</v>
      </c>
      <c r="B20010" s="0" t="s">
        <v>98</v>
      </c>
      <c r="D20010" s="6" t="n">
        <f aca="false">Sens!D19992</f>
        <v>281.724</v>
      </c>
      <c r="E20010" s="6" t="n">
        <f aca="false">Sens!E19992</f>
        <v>331.839</v>
      </c>
      <c r="F20010" s="6" t="n">
        <f aca="false">Sens!F19992</f>
        <v>395.185078305266</v>
      </c>
      <c r="G20010" s="6" t="n">
        <f aca="false">Sens!G19992</f>
        <v>460.570957075194</v>
      </c>
      <c r="H20010" s="6" t="n">
        <f aca="false">Sens!H19992</f>
        <v>521.643855352092</v>
      </c>
      <c r="I20010" s="6" t="n">
        <f aca="false">Sens!I19992</f>
        <v>585.559849175244</v>
      </c>
      <c r="J20010" s="6" t="n">
        <f aca="false">Sens!J19992</f>
        <v>639.219207413017</v>
      </c>
      <c r="K20010" s="6" t="n">
        <f aca="false">Sens!K19992</f>
        <v>683.168344592217</v>
      </c>
    </row>
    <row r="20011" customFormat="false" ht="15" hidden="false" customHeight="false" outlineLevel="0" collapsed="false">
      <c r="A20011" s="1" t="s">
        <v>1060</v>
      </c>
      <c r="B20011" s="0" t="s">
        <v>168</v>
      </c>
      <c r="E20011" s="7" t="n">
        <f aca="false">Sens!E20010/Sens!D20010-1</f>
        <v>0.177886867998467</v>
      </c>
      <c r="F20011" s="7" t="n">
        <f aca="false">Sens!F20010/Sens!E20010-1</f>
        <v>0.190894012775069</v>
      </c>
      <c r="G20011" s="7" t="n">
        <f aca="false">Sens!G20010/Sens!F20010-1</f>
        <v>0.165456345291002</v>
      </c>
      <c r="H20011" s="7" t="n">
        <f aca="false">Sens!H20010/Sens!G20010-1</f>
        <v>0.132602582378912</v>
      </c>
      <c r="I20011" s="7" t="n">
        <f aca="false">Sens!I20010/Sens!H20010-1</f>
        <v>0.122528029741692</v>
      </c>
      <c r="J20011" s="7" t="n">
        <f aca="false">Sens!J20010/Sens!I20010-1</f>
        <v>0.0916377007633835</v>
      </c>
      <c r="K20011" s="7" t="n">
        <f aca="false">Sens!K20010/Sens!J20010-1</f>
        <v>0.0687544064219641</v>
      </c>
    </row>
    <row r="20012" customFormat="false" ht="17.15" hidden="false" customHeight="false" outlineLevel="0" collapsed="false">
      <c r="A20012" s="26" t="s">
        <v>1061</v>
      </c>
      <c r="B20012" s="31" t="s">
        <v>98</v>
      </c>
      <c r="C20012" s="31"/>
      <c r="D20012" s="27" t="n">
        <f aca="false">(Sens!D20005+Sens!D20009-Sens!D20010)+(Sens!D19997+Sens!D19998-Sens!D19996)+(Sens!D20000+Sens!D20001-Sens!D19999)+(Sens!D20010-Q!L18)</f>
        <v>0</v>
      </c>
      <c r="E20012" s="27" t="n">
        <f aca="false">(Sens!E20005+Sens!E20009-Sens!E20010)+(Sens!E19997+Sens!E19998-Sens!E19996)+(Sens!E20000+Sens!E20001-Sens!E19999)+(Sens!E20010-Q!M18)</f>
        <v>0</v>
      </c>
      <c r="F20012" s="27" t="n">
        <f aca="false">(Sens!F20005+Sens!F20009-Sens!F20010)+(Sens!F19997+Sens!F19998-Sens!F19996)+(Sens!F20000+Sens!F20001-Sens!F19999)</f>
        <v>0</v>
      </c>
      <c r="G20012" s="27" t="n">
        <f aca="false">(Sens!G20005+Sens!G20009-Sens!G20010)+(Sens!G19997+Sens!G19998-Sens!G19996)+(Sens!G20000+Sens!G20001-Sens!G19999)</f>
        <v>0</v>
      </c>
      <c r="H20012" s="27" t="n">
        <f aca="false">(Sens!H20005+Sens!H20009-Sens!H20010)+(Sens!H19997+Sens!H19998-Sens!H19996)+(Sens!H20000+Sens!H20001-Sens!H19999)</f>
        <v>0</v>
      </c>
      <c r="I20012" s="27" t="n">
        <f aca="false">(Sens!I20005+Sens!I20009-Sens!I20010)+(Sens!I19997+Sens!I19998-Sens!I19996)+(Sens!I20000+Sens!I20001-Sens!I19999)</f>
        <v>0</v>
      </c>
      <c r="J20012" s="27" t="n">
        <f aca="false">(Sens!J20005+Sens!J20009-Sens!J20010)+(Sens!J19997+Sens!J19998-Sens!J19996)+(Sens!J20000+Sens!J20001-Sens!J19999)</f>
        <v>0</v>
      </c>
      <c r="K20012" s="27" t="n">
        <f aca="false">(Sens!K20005+Sens!K20009-Sens!K20010)+(Sens!K19997+Sens!K19998-Sens!K19996)+(Sens!K20000+Sens!K20001-Sens!K19999)</f>
        <v>0</v>
      </c>
    </row>
    <row r="20013" customFormat="false" ht="17.15" hidden="false" customHeight="false" outlineLevel="0" collapsed="false">
      <c r="A20013" s="0" t="s">
        <v>1062</v>
      </c>
      <c r="B20013" s="0" t="s">
        <v>168</v>
      </c>
      <c r="E20013" s="7" t="n">
        <f aca="false">(Q!M21+Sens!E19949+Sens!E19950+Sens!E19951+Sens!E19965-Sens!E19947)/(Q!M5-Sens!E19947)</f>
        <v>0.570957350878296</v>
      </c>
      <c r="F20013" s="7" t="n">
        <f aca="false">Sens!$E$20013+dm_seg</f>
        <v>0.570957350878296</v>
      </c>
      <c r="G20013" s="7" t="n">
        <f aca="false">Sens!$E$20013+dm_seg</f>
        <v>0.570957350878296</v>
      </c>
      <c r="H20013" s="7" t="n">
        <f aca="false">Sens!$E$20013+dm_seg</f>
        <v>0.570957350878296</v>
      </c>
      <c r="I20013" s="7" t="n">
        <f aca="false">Sens!$E$20013+dm_seg</f>
        <v>0.570957350878296</v>
      </c>
      <c r="J20013" s="7" t="n">
        <f aca="false">Sens!$E$20013+dm_seg</f>
        <v>0.570957350878296</v>
      </c>
      <c r="K20013" s="7" t="n">
        <f aca="false">Sens!$E$20013+dm_seg</f>
        <v>0.570957350878296</v>
      </c>
      <c r="L20013" s="12" t="s">
        <v>1063</v>
      </c>
    </row>
    <row r="20014" customFormat="false" ht="17.15" hidden="false" customHeight="false" outlineLevel="0" collapsed="false">
      <c r="A20014" s="0" t="s">
        <v>884</v>
      </c>
      <c r="B20014" s="0" t="s">
        <v>98</v>
      </c>
      <c r="D20014" s="6" t="n">
        <f aca="false">Q!L21</f>
        <v>110.814</v>
      </c>
      <c r="E20014" s="6" t="n">
        <f aca="false">Q!M21</f>
        <v>136.365</v>
      </c>
      <c r="F20014" s="6" t="n">
        <f aca="false">Q!$I$21+(Sens!F20013*(Sens!F19984-Sens!F19947)+Sens!F19947-(Sens!F19949+Sens!F19950+Sens!F19951)-Sens!F19965-Sens!F20048)*(Sens!F19984-Q!$I$5)/Sens!F19984</f>
        <v>158.488366857766</v>
      </c>
      <c r="G20014" s="6" t="n">
        <f aca="false">(Sens!G20013*(Sens!G19984-Sens!G19947)+Sens!G19947-(Sens!G19949+Sens!G19950+Sens!G19951)-Sens!G19965-Sens!G20048)</f>
        <v>161.658843855162</v>
      </c>
      <c r="H20014" s="6" t="n">
        <f aca="false">(Sens!H20013*(Sens!H19984-Sens!H19947)+Sens!H19947-(Sens!H19949+Sens!H19950+Sens!H19951)-Sens!H19965-Sens!H20048)</f>
        <v>162.913352427237</v>
      </c>
      <c r="I20014" s="6" t="n">
        <f aca="false">(Sens!I20013*(Sens!I19984-Sens!I19947)+Sens!I19947-(Sens!I19949+Sens!I19950+Sens!I19951)-Sens!I19965-Sens!I20048)</f>
        <v>172.234154348141</v>
      </c>
      <c r="J20014" s="6" t="n">
        <f aca="false">(Sens!J20013*(Sens!J19984-Sens!J19947)+Sens!J19947-(Sens!J19949+Sens!J19950+Sens!J19951)-Sens!J19965-Sens!J20048)</f>
        <v>183.074869035638</v>
      </c>
      <c r="K20014" s="6" t="n">
        <f aca="false">(Sens!K20013*(Sens!K19984-Sens!K19947)+Sens!K19947-(Sens!K19949+Sens!K19950+Sens!K19951)-Sens!K19965-Sens!K20048)</f>
        <v>195.433922269975</v>
      </c>
      <c r="L20014" s="1" t="s">
        <v>1064</v>
      </c>
    </row>
    <row r="20015" customFormat="false" ht="17.15" hidden="false" customHeight="false" outlineLevel="0" collapsed="false">
      <c r="A20015" s="0" t="s">
        <v>1065</v>
      </c>
      <c r="B20015" s="0" t="s">
        <v>168</v>
      </c>
      <c r="E20015" s="7" t="n">
        <f aca="false">Q!M22/Q!M12</f>
        <v>0.296207935710698</v>
      </c>
      <c r="F20015" s="7" t="n">
        <f aca="false">Sens!$E$20015+dm_seg</f>
        <v>0.296207935710698</v>
      </c>
      <c r="G20015" s="7" t="n">
        <f aca="false">Sens!$E$20015+dm_seg</f>
        <v>0.296207935710698</v>
      </c>
      <c r="H20015" s="7" t="n">
        <f aca="false">Sens!$E$20015+dm_seg</f>
        <v>0.296207935710698</v>
      </c>
      <c r="I20015" s="7" t="n">
        <f aca="false">Sens!$E$20015+dm_seg</f>
        <v>0.296207935710698</v>
      </c>
      <c r="J20015" s="7" t="n">
        <f aca="false">Sens!$E$20015+dm_seg</f>
        <v>0.296207935710698</v>
      </c>
      <c r="K20015" s="7" t="n">
        <f aca="false">Sens!$E$20015+dm_seg</f>
        <v>0.296207935710698</v>
      </c>
      <c r="L20015" s="12" t="s">
        <v>1066</v>
      </c>
    </row>
    <row r="20016" customFormat="false" ht="17.15" hidden="false" customHeight="false" outlineLevel="0" collapsed="false">
      <c r="A20016" s="0" t="s">
        <v>886</v>
      </c>
      <c r="B20016" s="0" t="s">
        <v>98</v>
      </c>
      <c r="D20016" s="6" t="n">
        <f aca="false">Q!L22</f>
        <v>17.714</v>
      </c>
      <c r="E20016" s="6" t="n">
        <f aca="false">Q!M22</f>
        <v>18.872</v>
      </c>
      <c r="F20016" s="6" t="n">
        <f aca="false">Q!$I$22+(Sens!F19991-Q!$I$12)*Sens!F20015</f>
        <v>19.8174315512051</v>
      </c>
      <c r="G20016" s="6" t="n">
        <f aca="false">Sens!G19991*Sens!G20015</f>
        <v>19.6313799703815</v>
      </c>
      <c r="H20016" s="6" t="n">
        <f aca="false">Sens!H19991*Sens!H20015</f>
        <v>20.3536242825865</v>
      </c>
      <c r="I20016" s="6" t="n">
        <f aca="false">Sens!I19991*Sens!I20015</f>
        <v>21.1920899239745</v>
      </c>
      <c r="J20016" s="6" t="n">
        <f aca="false">Sens!J19991*Sens!J20015</f>
        <v>22.1288166207045</v>
      </c>
      <c r="K20016" s="6" t="n">
        <f aca="false">Sens!K19991*Sens!K20015</f>
        <v>23.1493653905379</v>
      </c>
      <c r="L20016" s="12" t="s">
        <v>1067</v>
      </c>
    </row>
    <row r="20017" customFormat="false" ht="15" hidden="false" customHeight="false" outlineLevel="0" collapsed="false">
      <c r="A20017" s="1" t="s">
        <v>1068</v>
      </c>
      <c r="B20017" s="0" t="s">
        <v>98</v>
      </c>
      <c r="D20017" s="6" t="n">
        <f aca="false">Sens!D20014+Sens!D20016</f>
        <v>128.528</v>
      </c>
      <c r="E20017" s="6" t="n">
        <f aca="false">Sens!E20014+Sens!E20016</f>
        <v>155.237</v>
      </c>
      <c r="F20017" s="6" t="n">
        <f aca="false">Sens!F20014+Sens!F20016</f>
        <v>178.305798408971</v>
      </c>
      <c r="G20017" s="6" t="n">
        <f aca="false">Sens!G20014+Sens!G20016</f>
        <v>181.290223825544</v>
      </c>
      <c r="H20017" s="6" t="n">
        <f aca="false">Sens!H20014+Sens!H20016</f>
        <v>183.266976709823</v>
      </c>
      <c r="I20017" s="6" t="n">
        <f aca="false">Sens!I20014+Sens!I20016</f>
        <v>193.426244272115</v>
      </c>
      <c r="J20017" s="6" t="n">
        <f aca="false">Sens!J20014+Sens!J20016</f>
        <v>205.203685656343</v>
      </c>
      <c r="K20017" s="6" t="n">
        <f aca="false">Sens!K20014+Sens!K20016</f>
        <v>218.583287660513</v>
      </c>
    </row>
    <row r="20018" customFormat="false" ht="15" hidden="false" customHeight="false" outlineLevel="0" collapsed="false">
      <c r="A20018" s="26" t="s">
        <v>1069</v>
      </c>
      <c r="B20018" s="31" t="s">
        <v>98</v>
      </c>
      <c r="C20018" s="31"/>
      <c r="D20018" s="27" t="n">
        <f aca="false">Sens!D20017-Q!L23</f>
        <v>0</v>
      </c>
      <c r="E20018" s="27" t="n">
        <f aca="false">Sens!E20017-Q!M23</f>
        <v>0</v>
      </c>
      <c r="F20018" s="31"/>
      <c r="G20018" s="31"/>
      <c r="H20018" s="31"/>
      <c r="I20018" s="31"/>
      <c r="J20018" s="31"/>
      <c r="K20018" s="31"/>
    </row>
    <row r="20019" customFormat="false" ht="15" hidden="false" customHeight="false" outlineLevel="0" collapsed="false">
      <c r="A20019" s="1" t="s">
        <v>1070</v>
      </c>
      <c r="B20019" s="0" t="s">
        <v>168</v>
      </c>
      <c r="D20019" s="7" t="n">
        <f aca="false">Sens!D20017/Sens!D20010</f>
        <v>0.456219562408598</v>
      </c>
      <c r="E20019" s="7" t="n">
        <f aca="false">Sens!E20017/Sens!E20010</f>
        <v>0.467808184089272</v>
      </c>
      <c r="F20019" s="7" t="n">
        <f aca="false">Sens!F20017/Sens!F20010</f>
        <v>0.451195675640456</v>
      </c>
      <c r="G20019" s="7" t="n">
        <f aca="false">Sens!G20017/Sens!G20010</f>
        <v>0.393620615978063</v>
      </c>
      <c r="H20019" s="7" t="n">
        <f aca="false">Sens!H20017/Sens!H20010</f>
        <v>0.351325861178072</v>
      </c>
      <c r="I20019" s="7" t="n">
        <f aca="false">Sens!I20017/Sens!I20010</f>
        <v>0.3303270272792</v>
      </c>
      <c r="J20019" s="7" t="n">
        <f aca="false">Sens!J20017/Sens!J20010</f>
        <v>0.321022402450675</v>
      </c>
      <c r="K20019" s="7" t="n">
        <f aca="false">Sens!K20017/Sens!K20010</f>
        <v>0.319955234153868</v>
      </c>
    </row>
    <row r="20020" customFormat="false" ht="17.15" hidden="false" customHeight="false" outlineLevel="0" collapsed="false">
      <c r="A20020" s="1" t="s">
        <v>1071</v>
      </c>
      <c r="B20020" s="0" t="s">
        <v>98</v>
      </c>
      <c r="F20020" s="6" t="n">
        <f aca="false">Sens!F20035</f>
        <v>10.8859627204999</v>
      </c>
      <c r="G20020" s="6" t="n">
        <f aca="false">Sens!G20035</f>
        <v>28.7656467018527</v>
      </c>
      <c r="H20020" s="6" t="n">
        <f aca="false">Sens!H20035</f>
        <v>48.23912298216</v>
      </c>
      <c r="I20020" s="6" t="n">
        <f aca="false">Sens!I20035</f>
        <v>65.7146877390035</v>
      </c>
      <c r="J20020" s="6" t="n">
        <f aca="false">Sens!J20035</f>
        <v>77.9830485164212</v>
      </c>
      <c r="K20020" s="6" t="n">
        <f aca="false">Sens!K20035</f>
        <v>85.3288589680872</v>
      </c>
      <c r="L20020" s="1" t="s">
        <v>1072</v>
      </c>
    </row>
    <row r="20021" customFormat="false" ht="17.15" hidden="false" customHeight="false" outlineLevel="0" collapsed="false">
      <c r="A20021" s="1" t="s">
        <v>1073</v>
      </c>
      <c r="B20021" s="0" t="s">
        <v>98</v>
      </c>
      <c r="D20021" s="6" t="n">
        <f aca="false">Sens!D20017</f>
        <v>128.528</v>
      </c>
      <c r="E20021" s="6" t="n">
        <f aca="false">Sens!E20017</f>
        <v>155.237</v>
      </c>
      <c r="F20021" s="6" t="n">
        <f aca="false">Sens!F20017+Sens!F20020</f>
        <v>189.191761129471</v>
      </c>
      <c r="G20021" s="6" t="n">
        <f aca="false">Sens!G20017+Sens!G20020</f>
        <v>210.055870527396</v>
      </c>
      <c r="H20021" s="6" t="n">
        <f aca="false">Sens!H20017+Sens!H20020</f>
        <v>231.506099691983</v>
      </c>
      <c r="I20021" s="6" t="n">
        <f aca="false">Sens!I20017+Sens!I20020</f>
        <v>259.140932011118</v>
      </c>
      <c r="J20021" s="6" t="n">
        <f aca="false">Sens!J20017+Sens!J20020</f>
        <v>283.186734172764</v>
      </c>
      <c r="K20021" s="6" t="n">
        <f aca="false">Sens!K20017+Sens!K20020</f>
        <v>303.912146628601</v>
      </c>
    </row>
    <row r="20022" customFormat="false" ht="17.15" hidden="false" customHeight="false" outlineLevel="0" collapsed="false">
      <c r="A20022" s="1" t="s">
        <v>1074</v>
      </c>
      <c r="B20022" s="0" t="s">
        <v>98</v>
      </c>
      <c r="E20022" s="6" t="n">
        <f aca="false">Sens!E19965</f>
        <v>16.3054059770833</v>
      </c>
      <c r="F20022" s="6" t="n">
        <f aca="false">Sens!F19965</f>
        <v>35.0499560737695</v>
      </c>
      <c r="G20022" s="6" t="n">
        <f aca="false">Sens!G19965</f>
        <v>62.1848803536636</v>
      </c>
      <c r="H20022" s="6" t="n">
        <f aca="false">Sens!H19965</f>
        <v>91.5686933838682</v>
      </c>
      <c r="I20022" s="6" t="n">
        <f aca="false">Sens!I19965</f>
        <v>117.660959172613</v>
      </c>
      <c r="J20022" s="6" t="n">
        <f aca="false">Sens!J19965</f>
        <v>136.255638179728</v>
      </c>
      <c r="K20022" s="6" t="n">
        <f aca="false">Sens!K19965</f>
        <v>147.966328197264</v>
      </c>
    </row>
    <row r="20023" customFormat="false" ht="17.15" hidden="false" customHeight="false" outlineLevel="0" collapsed="false">
      <c r="A20023" s="1" t="s">
        <v>1075</v>
      </c>
      <c r="B20023" s="0" t="s">
        <v>98</v>
      </c>
      <c r="E20023" s="6" t="n">
        <f aca="false">Sens!E20047</f>
        <v>22.2285940229167</v>
      </c>
      <c r="F20023" s="6" t="n">
        <f aca="false">Sens!F20047</f>
        <v>23.584191571648</v>
      </c>
      <c r="G20023" s="6" t="n">
        <f aca="false">Sens!G20047</f>
        <v>25.3389450692237</v>
      </c>
      <c r="H20023" s="6" t="n">
        <f aca="false">Sens!H20047</f>
        <v>27.4615724138452</v>
      </c>
      <c r="I20023" s="6" t="n">
        <f aca="false">Sens!I20047</f>
        <v>29.8953526268177</v>
      </c>
      <c r="J20023" s="6" t="n">
        <f aca="false">Sens!J20047</f>
        <v>32.5655346006701</v>
      </c>
      <c r="K20023" s="6" t="n">
        <f aca="false">Sens!K20047</f>
        <v>35.3878549041135</v>
      </c>
    </row>
    <row r="20024" customFormat="false" ht="17.15" hidden="false" customHeight="false" outlineLevel="0" collapsed="false">
      <c r="A20024" s="1" t="s">
        <v>1076</v>
      </c>
      <c r="B20024" s="0" t="s">
        <v>98</v>
      </c>
      <c r="D20024" s="6" t="n">
        <f aca="false">Q!L27</f>
        <v>-4.901</v>
      </c>
      <c r="E20024" s="6" t="n">
        <f aca="false">Q!M27</f>
        <v>10.697</v>
      </c>
      <c r="F20024" s="6" t="n">
        <f aca="false">Q!$I$27+oie_f*(q_per_yr-1)/q_per_yr</f>
        <v>-0.862</v>
      </c>
      <c r="G20024" s="6" t="n">
        <f aca="false">oie_f</f>
        <v>-1.2</v>
      </c>
      <c r="H20024" s="6" t="n">
        <f aca="false">oie_f</f>
        <v>-1.2</v>
      </c>
      <c r="I20024" s="6" t="n">
        <f aca="false">oie_f</f>
        <v>-1.2</v>
      </c>
      <c r="J20024" s="6" t="n">
        <f aca="false">oie_f</f>
        <v>-1.2</v>
      </c>
      <c r="K20024" s="6" t="n">
        <f aca="false">oie_f</f>
        <v>-1.2</v>
      </c>
      <c r="L20024" s="12" t="s">
        <v>1077</v>
      </c>
    </row>
    <row r="20025" customFormat="false" ht="15" hidden="false" customHeight="false" outlineLevel="0" collapsed="false">
      <c r="A20025" s="1" t="s">
        <v>1078</v>
      </c>
      <c r="B20025" s="0" t="s">
        <v>98</v>
      </c>
      <c r="D20025" s="6" t="n">
        <f aca="false">Sens!D20017+Sens!D20024</f>
        <v>123.627</v>
      </c>
      <c r="E20025" s="6" t="n">
        <f aca="false">Sens!E20017+Sens!E20024</f>
        <v>165.934</v>
      </c>
      <c r="F20025" s="6" t="n">
        <f aca="false">Sens!F20017+Sens!F20024</f>
        <v>177.443798408971</v>
      </c>
      <c r="G20025" s="6" t="n">
        <f aca="false">Sens!G20017+Sens!G20024</f>
        <v>180.090223825544</v>
      </c>
      <c r="H20025" s="6" t="n">
        <f aca="false">Sens!H20017+Sens!H20024</f>
        <v>182.066976709823</v>
      </c>
      <c r="I20025" s="6" t="n">
        <f aca="false">Sens!I20017+Sens!I20024</f>
        <v>192.226244272115</v>
      </c>
      <c r="J20025" s="6" t="n">
        <f aca="false">Sens!J20017+Sens!J20024</f>
        <v>204.003685656343</v>
      </c>
      <c r="K20025" s="6" t="n">
        <f aca="false">Sens!K20017+Sens!K20024</f>
        <v>217.383287660513</v>
      </c>
    </row>
    <row r="20026" customFormat="false" ht="15" hidden="false" customHeight="false" outlineLevel="0" collapsed="false">
      <c r="A20026" s="1" t="s">
        <v>1079</v>
      </c>
      <c r="B20026" s="0" t="s">
        <v>98</v>
      </c>
      <c r="D20026" s="6" t="n">
        <f aca="false">Q!L29</f>
        <v>21.795</v>
      </c>
      <c r="E20026" s="6" t="n">
        <f aca="false">Q!M29</f>
        <v>32.185</v>
      </c>
      <c r="F20026" s="6" t="n">
        <f aca="false">Q!$I$29+(Sens!F20025-Q!$I$28)*tax_f</f>
        <v>35.6221596817942</v>
      </c>
      <c r="G20026" s="6" t="n">
        <f aca="false">Sens!G20025*tax_f</f>
        <v>36.0180447651088</v>
      </c>
      <c r="H20026" s="6" t="n">
        <f aca="false">Sens!H20025*tax_f</f>
        <v>36.4133953419647</v>
      </c>
      <c r="I20026" s="6" t="n">
        <f aca="false">Sens!I20025*tax_f</f>
        <v>38.445248854423</v>
      </c>
      <c r="J20026" s="6" t="n">
        <f aca="false">Sens!J20025*tax_f</f>
        <v>40.8007371312686</v>
      </c>
      <c r="K20026" s="6" t="n">
        <f aca="false">Sens!K20025*tax_f</f>
        <v>43.4766575321027</v>
      </c>
    </row>
    <row r="20027" customFormat="false" ht="15" hidden="false" customHeight="false" outlineLevel="0" collapsed="false">
      <c r="A20027" s="1" t="s">
        <v>1080</v>
      </c>
      <c r="B20027" s="0" t="s">
        <v>98</v>
      </c>
      <c r="D20027" s="6" t="n">
        <f aca="false">Sens!D20025-Sens!D20026</f>
        <v>101.832</v>
      </c>
      <c r="E20027" s="6" t="n">
        <f aca="false">Sens!E20025-Sens!E20026</f>
        <v>133.749</v>
      </c>
      <c r="F20027" s="6" t="n">
        <f aca="false">Sens!F20025-Sens!F20026</f>
        <v>141.821638727177</v>
      </c>
      <c r="G20027" s="6" t="n">
        <f aca="false">Sens!G20025-Sens!G20026</f>
        <v>144.072179060435</v>
      </c>
      <c r="H20027" s="6" t="n">
        <f aca="false">Sens!H20025-Sens!H20026</f>
        <v>145.653581367859</v>
      </c>
      <c r="I20027" s="6" t="n">
        <f aca="false">Sens!I20025-Sens!I20026</f>
        <v>153.780995417692</v>
      </c>
      <c r="J20027" s="6" t="n">
        <f aca="false">Sens!J20025-Sens!J20026</f>
        <v>163.202948525074</v>
      </c>
      <c r="K20027" s="6" t="n">
        <f aca="false">Sens!K20025-Sens!K20026</f>
        <v>173.906630128411</v>
      </c>
    </row>
    <row r="20028" customFormat="false" ht="17.15" hidden="false" customHeight="false" outlineLevel="0" collapsed="false">
      <c r="A20028" s="1" t="s">
        <v>1081</v>
      </c>
      <c r="B20028" s="1" t="s">
        <v>81</v>
      </c>
      <c r="D20028" s="15" t="n">
        <f aca="false">Q!L31</f>
        <v>7.465</v>
      </c>
      <c r="E20028" s="15" t="n">
        <f aca="false">Q!M31</f>
        <v>7.453</v>
      </c>
      <c r="F20028" s="15" t="n">
        <f aca="false">Sens!F20072</f>
        <v>7.4735</v>
      </c>
      <c r="G20028" s="15" t="n">
        <f aca="false">Sens!G20072</f>
        <v>7.5185</v>
      </c>
      <c r="H20028" s="15" t="n">
        <f aca="false">Sens!H20072</f>
        <v>7.5635</v>
      </c>
      <c r="I20028" s="15" t="n">
        <f aca="false">Sens!I20072</f>
        <v>7.59248142502667</v>
      </c>
      <c r="J20028" s="15" t="n">
        <f aca="false">Sens!J20072</f>
        <v>7.60663083618914</v>
      </c>
      <c r="K20028" s="15" t="n">
        <f aca="false">Sens!K20072</f>
        <v>7.62306547615439</v>
      </c>
    </row>
    <row r="20029" customFormat="false" ht="17.15" hidden="false" customHeight="false" outlineLevel="0" collapsed="false">
      <c r="A20029" s="0" t="s">
        <v>1082</v>
      </c>
      <c r="B20029" s="0" t="s">
        <v>75</v>
      </c>
      <c r="D20029" s="8" t="n">
        <f aca="false">Sens!D20027/Sens!D20028</f>
        <v>13.641259209645</v>
      </c>
      <c r="E20029" s="8" t="n">
        <f aca="false">Sens!E20027/Sens!E20028</f>
        <v>17.9456594659869</v>
      </c>
      <c r="F20029" s="8" t="n">
        <f aca="false">Sens!F20027/Sens!F20028</f>
        <v>18.9766024924302</v>
      </c>
      <c r="G20029" s="8" t="n">
        <f aca="false">Sens!G20027/Sens!G20028</f>
        <v>19.1623567281286</v>
      </c>
      <c r="H20029" s="8" t="n">
        <f aca="false">Sens!H20027/Sens!H20028</f>
        <v>19.257431264343</v>
      </c>
      <c r="I20029" s="8" t="n">
        <f aca="false">Sens!I20027/Sens!I20028</f>
        <v>20.254378879452</v>
      </c>
      <c r="J20029" s="8" t="n">
        <f aca="false">Sens!J20027/Sens!J20028</f>
        <v>21.4553528414477</v>
      </c>
      <c r="K20029" s="8" t="n">
        <f aca="false">Sens!K20027/Sens!K20028</f>
        <v>22.8132147982207</v>
      </c>
      <c r="L20029" s="1" t="s">
        <v>1083</v>
      </c>
    </row>
    <row r="20030" customFormat="false" ht="17.15" hidden="false" customHeight="false" outlineLevel="0" collapsed="false">
      <c r="A20030" s="1" t="s">
        <v>1084</v>
      </c>
      <c r="B20030" s="0" t="s">
        <v>98</v>
      </c>
      <c r="D20030" s="6" t="n">
        <f aca="false">Sens!D20027</f>
        <v>101.832</v>
      </c>
      <c r="E20030" s="6" t="n">
        <f aca="false">Sens!E20027</f>
        <v>133.749</v>
      </c>
      <c r="F20030" s="6" t="n">
        <f aca="false">Sens!F20027+Sens!F20020*(1-tax_f)</f>
        <v>150.530408903577</v>
      </c>
      <c r="G20030" s="6" t="n">
        <f aca="false">Sens!G20027+Sens!G20020*(1-tax_f)</f>
        <v>167.084696421917</v>
      </c>
      <c r="H20030" s="6" t="n">
        <f aca="false">Sens!H20027+Sens!H20020*(1-tax_f)</f>
        <v>184.244879753587</v>
      </c>
      <c r="I20030" s="6" t="n">
        <f aca="false">Sens!I20027+Sens!I20020*(1-tax_f)</f>
        <v>206.352745608895</v>
      </c>
      <c r="J20030" s="6" t="n">
        <f aca="false">Sens!J20027+Sens!J20020*(1-tax_f)</f>
        <v>225.589387338211</v>
      </c>
      <c r="K20030" s="6" t="n">
        <f aca="false">Sens!K20027+Sens!K20020*(1-tax_f)</f>
        <v>242.16971730288</v>
      </c>
    </row>
    <row r="20031" customFormat="false" ht="17.15" hidden="false" customHeight="false" outlineLevel="0" collapsed="false">
      <c r="A20031" s="0" t="s">
        <v>1085</v>
      </c>
      <c r="B20031" s="0" t="s">
        <v>75</v>
      </c>
      <c r="D20031" s="8" t="n">
        <f aca="false">Sens!D20030/Sens!D20028</f>
        <v>13.641259209645</v>
      </c>
      <c r="E20031" s="8" t="n">
        <f aca="false">Sens!E20030/Sens!E20028</f>
        <v>17.9456594659869</v>
      </c>
      <c r="F20031" s="8" t="n">
        <f aca="false">Sens!F20030/Sens!F20028</f>
        <v>20.1418891956348</v>
      </c>
      <c r="G20031" s="8" t="n">
        <f aca="false">Sens!G20030/Sens!G20028</f>
        <v>22.2231424382413</v>
      </c>
      <c r="H20031" s="8" t="n">
        <f aca="false">Sens!H20030/Sens!H20028</f>
        <v>24.3597381838549</v>
      </c>
      <c r="I20031" s="8" t="n">
        <f aca="false">Sens!I20030/Sens!I20028</f>
        <v>27.1785644320058</v>
      </c>
      <c r="J20031" s="8" t="n">
        <f aca="false">Sens!J20030/Sens!J20028</f>
        <v>29.6569390833261</v>
      </c>
      <c r="K20031" s="8" t="n">
        <f aca="false">Sens!K20030/Sens!K20028</f>
        <v>31.7680227279181</v>
      </c>
      <c r="L20031" s="1" t="s">
        <v>1086</v>
      </c>
    </row>
    <row r="20032" customFormat="false" ht="17.15" hidden="false" customHeight="false" outlineLevel="0" collapsed="false">
      <c r="A20032" s="0" t="s">
        <v>1087</v>
      </c>
      <c r="B20032" s="0" t="s">
        <v>168</v>
      </c>
      <c r="E20032" s="7" t="n">
        <f aca="false">Sens!E20031/Sens!D20031-1</f>
        <v>0.315542736208578</v>
      </c>
      <c r="F20032" s="7" t="n">
        <f aca="false">Sens!F20031/Sens!E20031-1</f>
        <v>0.122382224727409</v>
      </c>
      <c r="G20032" s="7" t="n">
        <f aca="false">Sens!G20031/Sens!F20031-1</f>
        <v>0.103329594478036</v>
      </c>
      <c r="H20032" s="7" t="n">
        <f aca="false">Sens!H20031/Sens!G20031-1</f>
        <v>0.0961428273049718</v>
      </c>
      <c r="I20032" s="7" t="n">
        <f aca="false">Sens!I20031/Sens!H20031-1</f>
        <v>0.115716606922285</v>
      </c>
      <c r="J20032" s="7" t="n">
        <f aca="false">Sens!J20031/Sens!I20031-1</f>
        <v>0.0911885783195274</v>
      </c>
      <c r="K20032" s="7" t="n">
        <f aca="false">Sens!K20031/Sens!J20031-1</f>
        <v>0.071183463629221</v>
      </c>
    </row>
    <row r="20033" customFormat="false" ht="17.15" hidden="false" customHeight="false" outlineLevel="0" collapsed="false">
      <c r="A20033" s="0" t="s">
        <v>1007</v>
      </c>
      <c r="B20033" s="0" t="s">
        <v>98</v>
      </c>
      <c r="E20033" s="6" t="n">
        <f aca="false">Sens!E19974</f>
        <v>5.25</v>
      </c>
      <c r="F20033" s="6" t="n">
        <f aca="false">Sens!F19974</f>
        <v>10.5</v>
      </c>
      <c r="G20033" s="6" t="n">
        <f aca="false">Sens!G19974</f>
        <v>13.5</v>
      </c>
      <c r="H20033" s="6" t="n">
        <f aca="false">Sens!H19974</f>
        <v>16.5</v>
      </c>
      <c r="I20033" s="6" t="n">
        <f aca="false">Sens!I19974</f>
        <v>18.75</v>
      </c>
      <c r="J20033" s="6" t="n">
        <f aca="false">Sens!J19974</f>
        <v>20.25</v>
      </c>
      <c r="K20033" s="6" t="n">
        <f aca="false">Sens!K19974</f>
        <v>21.75</v>
      </c>
    </row>
    <row r="20034" customFormat="false" ht="17.15" hidden="false" customHeight="false" outlineLevel="0" collapsed="false">
      <c r="A20034" s="1" t="s">
        <v>1008</v>
      </c>
      <c r="B20034" s="0" t="s">
        <v>98</v>
      </c>
      <c r="F20034" s="6" t="n">
        <f aca="false">MAX(0,((Sens!E19934+Sens!F19934)/2-(shadow_base*(Sens!$D$19934+Sens!$E$19934)/2+(1-shadow_base)*Sens!$E$19934))*Sens!F19943/1000-(Sens!F20033-Sens!$E$20033)*Sens!F20013)</f>
        <v>10.8859627204999</v>
      </c>
      <c r="G20034" s="6" t="n">
        <f aca="false">MAX(0,((Sens!F19934+Sens!G19934)/2-(shadow_base*(Sens!$D$19934+Sens!$E$19934)/2+(1-shadow_base)*Sens!$E$19934))*Sens!G19943/1000-(Sens!G20033-Sens!$E$20033)*Sens!G20013)</f>
        <v>28.7656467018527</v>
      </c>
      <c r="H20034" s="6" t="n">
        <f aca="false">MAX(0,((Sens!G19934+Sens!H19934)/2-(shadow_base*(Sens!$D$19934+Sens!$E$19934)/2+(1-shadow_base)*Sens!$E$19934))*Sens!H19943/1000-(Sens!H20033-Sens!$E$20033)*Sens!H20013)</f>
        <v>48.23912298216</v>
      </c>
      <c r="I20034" s="6" t="n">
        <f aca="false">MAX(0,((Sens!H19934+Sens!I19934)/2-(shadow_base*(Sens!$D$19934+Sens!$E$19934)/2+(1-shadow_base)*Sens!$E$19934))*Sens!I19943/1000-(Sens!I20033-Sens!$E$20033)*Sens!I20013)</f>
        <v>65.7146877390035</v>
      </c>
      <c r="J20034" s="6" t="n">
        <f aca="false">MAX(0,((Sens!I19934+Sens!J19934)/2-(shadow_base*(Sens!$D$19934+Sens!$E$19934)/2+(1-shadow_base)*Sens!$E$19934))*Sens!J19943/1000-(Sens!J20033-Sens!$E$20033)*Sens!J20013)</f>
        <v>77.9830485164212</v>
      </c>
      <c r="K20034" s="6" t="n">
        <f aca="false">MAX(0,((Sens!J19934+Sens!K19934)/2-(shadow_base*(Sens!$D$19934+Sens!$E$19934)/2+(1-shadow_base)*Sens!$E$19934))*Sens!K19943/1000-(Sens!K20033-Sens!$E$20033)*Sens!K20013)</f>
        <v>85.3288589680872</v>
      </c>
      <c r="L20034" s="1" t="s">
        <v>1009</v>
      </c>
    </row>
    <row r="20035" customFormat="false" ht="17.15" hidden="false" customHeight="false" outlineLevel="0" collapsed="false">
      <c r="A20035" s="1" t="s">
        <v>1010</v>
      </c>
      <c r="B20035" s="0" t="s">
        <v>98</v>
      </c>
      <c r="F20035" s="6" t="n">
        <f aca="false">IF(internal_ai_reading=2,1,0)*Sens!F20034</f>
        <v>10.8859627204999</v>
      </c>
      <c r="G20035" s="6" t="n">
        <f aca="false">IF(internal_ai_reading=2,1,0)*Sens!G20034</f>
        <v>28.7656467018527</v>
      </c>
      <c r="H20035" s="6" t="n">
        <f aca="false">IF(internal_ai_reading=2,1,0)*Sens!H20034</f>
        <v>48.23912298216</v>
      </c>
      <c r="I20035" s="6" t="n">
        <f aca="false">IF(internal_ai_reading=2,1,0)*Sens!I20034</f>
        <v>65.7146877390035</v>
      </c>
      <c r="J20035" s="6" t="n">
        <f aca="false">IF(internal_ai_reading=2,1,0)*Sens!J20034</f>
        <v>77.9830485164212</v>
      </c>
      <c r="K20035" s="6" t="n">
        <f aca="false">IF(internal_ai_reading=2,1,0)*Sens!K20034</f>
        <v>85.3288589680872</v>
      </c>
    </row>
    <row r="20036" customFormat="false" ht="17.15" hidden="false" customHeight="false" outlineLevel="0" collapsed="false">
      <c r="A20036" s="0" t="s">
        <v>1011</v>
      </c>
      <c r="B20036" s="0" t="s">
        <v>98</v>
      </c>
      <c r="F20036" s="6" t="n">
        <f aca="false">Sens!F19953+Sens!F20033*Sens!F20013+Sens!F20035-Sens!F19954-Sens!F19965</f>
        <v>11.1825341008023</v>
      </c>
      <c r="G20036" s="6" t="n">
        <f aca="false">Sens!G19953+Sens!G20033*Sens!G20013+Sens!G20035-Sens!G19954-Sens!G19965</f>
        <v>17.8707664028034</v>
      </c>
      <c r="H20036" s="6" t="n">
        <f aca="false">Sens!H19953+Sens!H20033*Sens!H20013+Sens!H20035-Sens!H19954-Sens!H19965</f>
        <v>19.134639088024</v>
      </c>
      <c r="I20036" s="6" t="n">
        <f aca="false">Sens!I19953+Sens!I20033*Sens!I20013+Sens!I20035-Sens!I19954-Sens!I19965</f>
        <v>26.9606146622535</v>
      </c>
      <c r="J20036" s="6" t="n">
        <f aca="false">Sens!J19953+Sens!J20033*Sens!J20013+Sens!J20035-Sens!J19954-Sens!J19965</f>
        <v>32.3561707968295</v>
      </c>
      <c r="K20036" s="6" t="n">
        <f aca="false">Sens!K19953+Sens!K20033*Sens!K20013+Sens!K20035-Sens!K19954-Sens!K19965</f>
        <v>36.3938644058259</v>
      </c>
    </row>
    <row r="20037" customFormat="false" ht="17.15" hidden="false" customHeight="false" outlineLevel="0" collapsed="false">
      <c r="A20037" s="0" t="s">
        <v>1012</v>
      </c>
      <c r="B20037" s="0" t="s">
        <v>98</v>
      </c>
      <c r="E20037" s="6" t="n">
        <f aca="false">Sens!E19933*(cxit_open+self_build*tk_cxfac)/1000*ai_net_open</f>
        <v>126.6980382</v>
      </c>
      <c r="F20037" s="6" t="n">
        <f aca="false">Sens!E20037+Sens!F19962-Sens!F19965</f>
        <v>265.749685313364</v>
      </c>
      <c r="G20037" s="6" t="n">
        <f aca="false">Sens!F20037+Sens!G19962-Sens!G19965</f>
        <v>401.618558735096</v>
      </c>
      <c r="H20037" s="6" t="n">
        <f aca="false">Sens!G20037+Sens!H19962-Sens!H19965</f>
        <v>512.965147542088</v>
      </c>
      <c r="I20037" s="6" t="n">
        <f aca="false">Sens!H20037+Sens!I19962-Sens!I19965</f>
        <v>569.345904932441</v>
      </c>
      <c r="J20037" s="6" t="n">
        <f aca="false">Sens!I20037+Sens!J19962-Sens!J19965</f>
        <v>566.31350283211</v>
      </c>
      <c r="K20037" s="6" t="n">
        <f aca="false">Sens!J20037+Sens!K19962-Sens!K19965</f>
        <v>541.581045010494</v>
      </c>
      <c r="L20037" s="1" t="s">
        <v>1013</v>
      </c>
    </row>
    <row r="20038" customFormat="false" ht="17.15" hidden="false" customHeight="false" outlineLevel="0" collapsed="false">
      <c r="A20038" s="0" t="s">
        <v>1014</v>
      </c>
      <c r="B20038" s="0" t="s">
        <v>168</v>
      </c>
      <c r="F20038" s="7" t="n">
        <f aca="false">Sens!F20036*(1-tax_f)/((Sens!E20037+Sens!F20037)/2)</f>
        <v>0.0455909245723383</v>
      </c>
      <c r="G20038" s="7" t="n">
        <f aca="false">Sens!G20036*(1-tax_f)/((Sens!F20037+Sens!G20037)/2)</f>
        <v>0.0428447510043782</v>
      </c>
      <c r="H20038" s="7" t="n">
        <f aca="false">Sens!H20036*(1-tax_f)/((Sens!G20037+Sens!H20037)/2)</f>
        <v>0.0334747080346079</v>
      </c>
      <c r="I20038" s="7" t="n">
        <f aca="false">Sens!I20036*(1-tax_f)/((Sens!H20037+Sens!I20037)/2)</f>
        <v>0.0398563641764351</v>
      </c>
      <c r="J20038" s="7" t="n">
        <f aca="false">Sens!J20036*(1-tax_f)/((Sens!I20037+Sens!J20037)/2)</f>
        <v>0.0455857389292726</v>
      </c>
      <c r="K20038" s="7" t="n">
        <f aca="false">Sens!K20036*(1-tax_f)/((Sens!J20037+Sens!K20037)/2)</f>
        <v>0.0525593190820486</v>
      </c>
    </row>
    <row r="20039" customFormat="false" ht="17.15" hidden="false" customHeight="false" outlineLevel="0" collapsed="false">
      <c r="A20039" s="1" t="s">
        <v>1015</v>
      </c>
      <c r="B20039" s="0" t="s">
        <v>168</v>
      </c>
      <c r="F20039" s="7" t="n">
        <f aca="false">(Sens!F20036-Sens!F20035)*(1-tax_f)/((Sens!E20037+Sens!F20037)/2)</f>
        <v>0.00120911443755026</v>
      </c>
      <c r="G20039" s="7" t="n">
        <f aca="false">(Sens!G20036-Sens!G20035)*(1-tax_f)/((Sens!F20037+Sens!G20037)/2)</f>
        <v>-0.0261202246794547</v>
      </c>
      <c r="H20039" s="7" t="n">
        <f aca="false">(Sens!H20036-Sens!H20035)*(1-tax_f)/((Sens!G20037+Sens!H20037)/2)</f>
        <v>-0.0509162517449272</v>
      </c>
      <c r="I20039" s="7" t="n">
        <f aca="false">(Sens!I20036-Sens!I20035)*(1-tax_f)/((Sens!H20037+Sens!I20037)/2)</f>
        <v>-0.0572908470083828</v>
      </c>
      <c r="J20039" s="7" t="n">
        <f aca="false">(Sens!J20036-Sens!J20035)*(1-tax_f)/((Sens!I20037+Sens!J20037)/2)</f>
        <v>-0.0642824810433675</v>
      </c>
      <c r="K20039" s="7" t="n">
        <f aca="false">(Sens!K20036-Sens!K20035)*(1-tax_f)/((Sens!J20037+Sens!K20037)/2)</f>
        <v>-0.0706709780746582</v>
      </c>
    </row>
    <row r="20040" customFormat="false" ht="17.15" hidden="false" customHeight="false" outlineLevel="0" collapsed="false">
      <c r="A20040" s="1" t="s">
        <v>1016</v>
      </c>
      <c r="B20040" s="0" t="s">
        <v>168</v>
      </c>
      <c r="F20040" s="7" t="n">
        <f aca="false">(Sens!F20036-Sens!F20035+Sens!F20034)*(1-tax_f)/((Sens!E20037+Sens!F20037)/2)</f>
        <v>0.0455909245723383</v>
      </c>
      <c r="G20040" s="7" t="n">
        <f aca="false">(Sens!G20036-Sens!G20035+Sens!G20034)*(1-tax_f)/((Sens!F20037+Sens!G20037)/2)</f>
        <v>0.0428447510043782</v>
      </c>
      <c r="H20040" s="7" t="n">
        <f aca="false">(Sens!H20036-Sens!H20035+Sens!H20034)*(1-tax_f)/((Sens!G20037+Sens!H20037)/2)</f>
        <v>0.0334747080346079</v>
      </c>
      <c r="I20040" s="7" t="n">
        <f aca="false">(Sens!I20036-Sens!I20035+Sens!I20034)*(1-tax_f)/((Sens!H20037+Sens!I20037)/2)</f>
        <v>0.0398563641764351</v>
      </c>
      <c r="J20040" s="7" t="n">
        <f aca="false">(Sens!J20036-Sens!J20035+Sens!J20034)*(1-tax_f)/((Sens!I20037+Sens!J20037)/2)</f>
        <v>0.0455857389292726</v>
      </c>
      <c r="K20040" s="7" t="n">
        <f aca="false">(Sens!K20036-Sens!K20035+Sens!K20034)*(1-tax_f)/((Sens!J20037+Sens!K20037)/2)</f>
        <v>0.0525593190820486</v>
      </c>
    </row>
    <row r="20041" customFormat="false" ht="17.15" hidden="false" customHeight="false" outlineLevel="0" collapsed="false">
      <c r="A20041" s="1" t="s">
        <v>1017</v>
      </c>
      <c r="B20041" s="0" t="s">
        <v>168</v>
      </c>
      <c r="F20041" s="7" t="n">
        <f aca="false">Sens!F19966*(1-tax_f)/(Sens!F19952*(Sens!E20037+Sens!F20037)/2)</f>
        <v>0.10212490151732</v>
      </c>
      <c r="G20041" s="7" t="n">
        <f aca="false">Sens!G19966*(1-tax_f)/(Sens!G19952*(Sens!F20037+Sens!G20037)/2)</f>
        <v>0.0702492737177739</v>
      </c>
      <c r="H20041" s="7" t="n">
        <f aca="false">Sens!H19966*(1-tax_f)/(Sens!H19952*(Sens!G20037+Sens!H20037)/2)</f>
        <v>0.0415344677831322</v>
      </c>
      <c r="I20041" s="7" t="n">
        <f aca="false">Sens!I19966*(1-tax_f)/(Sens!I19952*(Sens!H20037+Sens!I20037)/2)</f>
        <v>0.0441730861197705</v>
      </c>
      <c r="J20041" s="7" t="n">
        <f aca="false">Sens!J19966*(1-tax_f)/(Sens!J19952*(Sens!I20037+Sens!J20037)/2)</f>
        <v>0.0480893613367788</v>
      </c>
      <c r="K20041" s="7" t="n">
        <f aca="false">Sens!K19966*(1-tax_f)/(Sens!K19952*(Sens!J20037+Sens!K20037)/2)</f>
        <v>0.0544134262750478</v>
      </c>
    </row>
    <row r="20042" customFormat="false" ht="17.15" hidden="false" customHeight="false" outlineLevel="0" collapsed="false">
      <c r="A20042" s="0" t="s">
        <v>1018</v>
      </c>
      <c r="B20042" s="0" t="s">
        <v>253</v>
      </c>
      <c r="F20042" s="7" t="n">
        <f aca="false">Sens!F20038-wacc</f>
        <v>-0.057345666373259</v>
      </c>
      <c r="G20042" s="7" t="n">
        <f aca="false">Sens!G20038-wacc</f>
        <v>-0.0600918399412191</v>
      </c>
      <c r="H20042" s="7" t="n">
        <f aca="false">Sens!H20038-wacc</f>
        <v>-0.0694618829109894</v>
      </c>
      <c r="I20042" s="7" t="n">
        <f aca="false">Sens!I20038-wacc</f>
        <v>-0.0630802267691622</v>
      </c>
      <c r="J20042" s="7" t="n">
        <f aca="false">Sens!J20038-wacc</f>
        <v>-0.0573508520163247</v>
      </c>
      <c r="K20042" s="7" t="n">
        <f aca="false">Sens!K20038-wacc</f>
        <v>-0.0503772718635487</v>
      </c>
    </row>
    <row r="20043" customFormat="false" ht="17.15" hidden="false" customHeight="false" outlineLevel="0" collapsed="false">
      <c r="A20043" s="0" t="s">
        <v>1019</v>
      </c>
      <c r="B20043" s="0" t="s">
        <v>98</v>
      </c>
      <c r="F20043" s="6" t="n">
        <f aca="false">Sens!F20036*(1-tax_f)-wacc*(Sens!E20037+Sens!F20037)/2</f>
        <v>-11.2525881107712</v>
      </c>
      <c r="G20043" s="6" t="n">
        <f aca="false">Sens!G20036*(1-tax_f)-wacc*(Sens!F20037+Sens!G20037)/2</f>
        <v>-20.0516928516063</v>
      </c>
      <c r="H20043" s="6" t="n">
        <f aca="false">Sens!H20036*(1-tax_f)-wacc*(Sens!G20037+Sens!H20037)/2</f>
        <v>-31.7643531588622</v>
      </c>
      <c r="I20043" s="6" t="n">
        <f aca="false">Sens!I20036*(1-tax_f)-wacc*(Sens!H20037+Sens!I20037)/2</f>
        <v>-34.1362133124319</v>
      </c>
      <c r="J20043" s="6" t="n">
        <f aca="false">Sens!J20036*(1-tax_f)-wacc*(Sens!I20037+Sens!J20037)/2</f>
        <v>-32.5655173178258</v>
      </c>
      <c r="K20043" s="6" t="n">
        <f aca="false">Sens!K20036*(1-tax_f)-wacc*(Sens!J20037+Sens!K20037)/2</f>
        <v>-27.9063524164051</v>
      </c>
    </row>
    <row r="20044" customFormat="false" ht="17.15" hidden="false" customHeight="false" outlineLevel="0" collapsed="false">
      <c r="A20044" s="3" t="s">
        <v>2107</v>
      </c>
    </row>
    <row r="20045" customFormat="false" ht="15" hidden="false" customHeight="false" outlineLevel="0" collapsed="false">
      <c r="A20045" s="4" t="s">
        <v>43</v>
      </c>
      <c r="B20045" s="4" t="s">
        <v>65</v>
      </c>
      <c r="C20045" s="23" t="s">
        <v>942</v>
      </c>
      <c r="D20045" s="23" t="s">
        <v>943</v>
      </c>
      <c r="E20045" s="23" t="s">
        <v>944</v>
      </c>
      <c r="F20045" s="23" t="s">
        <v>945</v>
      </c>
      <c r="G20045" s="23" t="s">
        <v>946</v>
      </c>
      <c r="H20045" s="23" t="s">
        <v>947</v>
      </c>
      <c r="I20045" s="23" t="s">
        <v>948</v>
      </c>
      <c r="J20045" s="23" t="s">
        <v>949</v>
      </c>
      <c r="K20045" s="23" t="s">
        <v>950</v>
      </c>
      <c r="L20045" s="4" t="s">
        <v>47</v>
      </c>
    </row>
    <row r="20046" customFormat="false" ht="15" hidden="false" customHeight="false" outlineLevel="0" collapsed="false">
      <c r="A20046" s="1" t="s">
        <v>1080</v>
      </c>
      <c r="B20046" s="0" t="s">
        <v>98</v>
      </c>
      <c r="F20046" s="6" t="n">
        <f aca="false">Sens!F20027</f>
        <v>141.821638727177</v>
      </c>
      <c r="G20046" s="6" t="n">
        <f aca="false">Sens!G20027</f>
        <v>144.072179060435</v>
      </c>
      <c r="H20046" s="6" t="n">
        <f aca="false">Sens!H20027</f>
        <v>145.653581367859</v>
      </c>
      <c r="I20046" s="6" t="n">
        <f aca="false">Sens!I20027</f>
        <v>153.780995417692</v>
      </c>
      <c r="J20046" s="6" t="n">
        <f aca="false">Sens!J20027</f>
        <v>163.202948525074</v>
      </c>
      <c r="K20046" s="6" t="n">
        <f aca="false">Sens!K20027</f>
        <v>173.906630128411</v>
      </c>
    </row>
    <row r="20047" customFormat="false" ht="17.15" hidden="false" customHeight="false" outlineLevel="0" collapsed="false">
      <c r="A20047" s="1" t="s">
        <v>1102</v>
      </c>
      <c r="B20047" s="0" t="s">
        <v>98</v>
      </c>
      <c r="E20047" s="6" t="n">
        <f aca="false">Q!M38-Sens!E19965</f>
        <v>22.2285940229167</v>
      </c>
      <c r="F20047" s="6" t="n">
        <f aca="false">Sens!E20047*(1-1/life_nonai)+(Sens!F20055+Sens!F20056)/life_nonai</f>
        <v>23.584191571648</v>
      </c>
      <c r="G20047" s="6" t="n">
        <f aca="false">Sens!F20047*(1-1/life_nonai)+(Sens!G20055)/life_nonai</f>
        <v>25.3389450692237</v>
      </c>
      <c r="H20047" s="6" t="n">
        <f aca="false">Sens!G20047*(1-1/life_nonai)+(Sens!H20055)/life_nonai</f>
        <v>27.4615724138452</v>
      </c>
      <c r="I20047" s="6" t="n">
        <f aca="false">Sens!H20047*(1-1/life_nonai)+(Sens!I20055)/life_nonai</f>
        <v>29.8953526268177</v>
      </c>
      <c r="J20047" s="6" t="n">
        <f aca="false">Sens!I20047*(1-1/life_nonai)+(Sens!J20055)/life_nonai</f>
        <v>32.5655346006701</v>
      </c>
      <c r="K20047" s="6" t="n">
        <f aca="false">Sens!J20047*(1-1/life_nonai)+(Sens!K20055)/life_nonai</f>
        <v>35.3878549041135</v>
      </c>
      <c r="L20047" s="12" t="s">
        <v>1103</v>
      </c>
    </row>
    <row r="20048" customFormat="false" ht="17.15" hidden="false" customHeight="false" outlineLevel="0" collapsed="false">
      <c r="A20048" s="1" t="s">
        <v>1104</v>
      </c>
      <c r="B20048" s="0" t="s">
        <v>98</v>
      </c>
      <c r="F20048" s="6" t="n">
        <f aca="false">Sens!$F$20056/life_nonai*(1-1/life_nonai)^(Sens!F19928-2027)</f>
        <v>0</v>
      </c>
      <c r="G20048" s="6" t="n">
        <f aca="false">Sens!$F$20056/life_nonai*(1-1/life_nonai)^(Sens!G19928-2027)</f>
        <v>0</v>
      </c>
      <c r="H20048" s="6" t="n">
        <f aca="false">Sens!$F$20056/life_nonai*(1-1/life_nonai)^(Sens!H19928-2027)</f>
        <v>0</v>
      </c>
      <c r="I20048" s="6" t="n">
        <f aca="false">Sens!$F$20056/life_nonai*(1-1/life_nonai)^(Sens!I19928-2027)</f>
        <v>0</v>
      </c>
      <c r="J20048" s="6" t="n">
        <f aca="false">Sens!$F$20056/life_nonai*(1-1/life_nonai)^(Sens!J19928-2027)</f>
        <v>0</v>
      </c>
      <c r="K20048" s="6" t="n">
        <f aca="false">Sens!$F$20056/life_nonai*(1-1/life_nonai)^(Sens!K19928-2027)</f>
        <v>0</v>
      </c>
      <c r="L20048" s="1" t="s">
        <v>1105</v>
      </c>
    </row>
    <row r="20049" customFormat="false" ht="17.15" hidden="false" customHeight="false" outlineLevel="0" collapsed="false">
      <c r="A20049" s="1" t="s">
        <v>1106</v>
      </c>
      <c r="B20049" s="0" t="s">
        <v>98</v>
      </c>
      <c r="E20049" s="6" t="n">
        <f aca="false">Sens!E19965+Sens!E20047</f>
        <v>38.534</v>
      </c>
      <c r="F20049" s="6" t="n">
        <f aca="false">Sens!F19965+Sens!F20047</f>
        <v>58.6341476454175</v>
      </c>
      <c r="G20049" s="6" t="n">
        <f aca="false">Sens!G19965+Sens!G20047</f>
        <v>87.5238254228873</v>
      </c>
      <c r="H20049" s="6" t="n">
        <f aca="false">Sens!H19965+Sens!H20047</f>
        <v>119.030265797713</v>
      </c>
      <c r="I20049" s="6" t="n">
        <f aca="false">Sens!I19965+Sens!I20047</f>
        <v>147.556311799431</v>
      </c>
      <c r="J20049" s="6" t="n">
        <f aca="false">Sens!J19965+Sens!J20047</f>
        <v>168.821172780398</v>
      </c>
      <c r="K20049" s="6" t="n">
        <f aca="false">Sens!K19965+Sens!K20047</f>
        <v>183.354183101378</v>
      </c>
    </row>
    <row r="20050" customFormat="false" ht="17.15" hidden="false" customHeight="false" outlineLevel="0" collapsed="false">
      <c r="A20050" s="1" t="s">
        <v>1107</v>
      </c>
      <c r="B20050" s="0" t="s">
        <v>98</v>
      </c>
      <c r="F20050" s="6" t="n">
        <f aca="false">Sens!F19992*sbc_r</f>
        <v>14.7730402284747</v>
      </c>
      <c r="G20050" s="6" t="n">
        <f aca="false">Sens!G19992*sbc_r</f>
        <v>17.2173334735151</v>
      </c>
      <c r="H20050" s="6" t="n">
        <f aca="false">Sens!H19992*sbc_r</f>
        <v>19.5003963537821</v>
      </c>
      <c r="I20050" s="6" t="n">
        <f aca="false">Sens!I19992*sbc_r</f>
        <v>21.8897414981931</v>
      </c>
      <c r="J20050" s="6" t="n">
        <f aca="false">Sens!J19992*sbc_r</f>
        <v>23.8956670793923</v>
      </c>
      <c r="K20050" s="6" t="n">
        <f aca="false">Sens!K19992*sbc_r</f>
        <v>25.5385994854928</v>
      </c>
    </row>
    <row r="20051" customFormat="false" ht="17.15" hidden="false" customHeight="false" outlineLevel="0" collapsed="false">
      <c r="A20051" s="1" t="s">
        <v>1108</v>
      </c>
      <c r="B20051" s="0" t="s">
        <v>98</v>
      </c>
      <c r="F20051" s="6" t="n">
        <f aca="false">wc27-wc26q1</f>
        <v>-4.677</v>
      </c>
      <c r="G20051" s="6" t="n">
        <f aca="false">wc_f</f>
        <v>0</v>
      </c>
      <c r="H20051" s="6" t="n">
        <f aca="false">wc_f</f>
        <v>0</v>
      </c>
      <c r="I20051" s="6" t="n">
        <f aca="false">wc_f</f>
        <v>0</v>
      </c>
      <c r="J20051" s="6" t="n">
        <f aca="false">wc_f</f>
        <v>0</v>
      </c>
      <c r="K20051" s="6" t="n">
        <f aca="false">wc_f</f>
        <v>0</v>
      </c>
      <c r="L20051" s="12" t="s">
        <v>1109</v>
      </c>
    </row>
    <row r="20052" customFormat="false" ht="17.15" hidden="false" customHeight="false" outlineLevel="0" collapsed="false">
      <c r="A20052" s="0" t="s">
        <v>1110</v>
      </c>
      <c r="B20052" s="0" t="s">
        <v>98</v>
      </c>
      <c r="F20052" s="6" t="n">
        <f aca="false">Q!$I$35-Q!$I$26-Q!$I$38-Q!$I$39</f>
        <v>6.493</v>
      </c>
      <c r="L20052" s="1" t="s">
        <v>1111</v>
      </c>
    </row>
    <row r="20053" customFormat="false" ht="15" hidden="false" customHeight="false" outlineLevel="0" collapsed="false">
      <c r="A20053" s="1" t="s">
        <v>908</v>
      </c>
      <c r="B20053" s="0" t="s">
        <v>98</v>
      </c>
      <c r="E20053" s="6" t="n">
        <f aca="false">Q!M35</f>
        <v>182.935</v>
      </c>
      <c r="F20053" s="6" t="n">
        <f aca="false">Sens!F20046+Sens!F20049+Sens!F20050+Sens!F20051+Sens!F20052</f>
        <v>217.044826601069</v>
      </c>
      <c r="G20053" s="6" t="n">
        <f aca="false">Sens!G20046+Sens!G20049+Sens!G20050+Sens!G20051</f>
        <v>248.813337956837</v>
      </c>
      <c r="H20053" s="6" t="n">
        <f aca="false">Sens!H20046+Sens!H20049+Sens!H20050+Sens!H20051</f>
        <v>284.184243519354</v>
      </c>
      <c r="I20053" s="6" t="n">
        <f aca="false">Sens!I20046+Sens!I20049+Sens!I20050+Sens!I20051</f>
        <v>323.227048715316</v>
      </c>
      <c r="J20053" s="6" t="n">
        <f aca="false">Sens!J20046+Sens!J20049+Sens!J20050+Sens!J20051</f>
        <v>355.919788384865</v>
      </c>
      <c r="K20053" s="6" t="n">
        <f aca="false">Sens!K20046+Sens!K20049+Sens!K20050+Sens!K20051</f>
        <v>382.799412715281</v>
      </c>
    </row>
    <row r="20054" customFormat="false" ht="17.15" hidden="false" customHeight="false" outlineLevel="0" collapsed="false">
      <c r="A20054" s="0" t="s">
        <v>1112</v>
      </c>
      <c r="B20054" s="0" t="s">
        <v>98</v>
      </c>
      <c r="F20054" s="6" t="n">
        <f aca="false">Sens!F19962</f>
        <v>174.101603187134</v>
      </c>
      <c r="G20054" s="6" t="n">
        <f aca="false">Sens!G19962</f>
        <v>198.053753775396</v>
      </c>
      <c r="H20054" s="6" t="n">
        <f aca="false">Sens!H19962</f>
        <v>202.91528219086</v>
      </c>
      <c r="I20054" s="6" t="n">
        <f aca="false">Sens!I19962</f>
        <v>174.041716562966</v>
      </c>
      <c r="J20054" s="6" t="n">
        <f aca="false">Sens!J19962</f>
        <v>133.223236079397</v>
      </c>
      <c r="K20054" s="6" t="n">
        <f aca="false">Sens!K19962</f>
        <v>123.233870375648</v>
      </c>
    </row>
    <row r="20055" customFormat="false" ht="17.15" hidden="false" customHeight="false" outlineLevel="0" collapsed="false">
      <c r="A20055" s="1" t="s">
        <v>1113</v>
      </c>
      <c r="B20055" s="0" t="s">
        <v>98</v>
      </c>
      <c r="E20055" s="6" t="n">
        <f aca="false">Sens!E19970*cx_azo+Sens!E19977*cx_m365+Sens!E19978*cx_lic+(Sens!E19980+Sens!E19982)*cx_ind+Sens!E19985*cx_srch+(Sens!E19987+Sens!E19989)*cx_dev</f>
        <v>30.1846587067718</v>
      </c>
      <c r="F20055" s="6" t="n">
        <f aca="false">Sens!F19970*cx_azo+Sens!F19977*cx_m365+Sens!F19978*cx_lic+(Sens!F19980+Sens!F19982)*cx_ind+Sens!F19985*cx_srch+(Sens!F19987+Sens!F19989)*cx_dev</f>
        <v>35.7845695102304</v>
      </c>
      <c r="G20055" s="6" t="n">
        <f aca="false">Sens!G19970*cx_azo+Sens!G19977*cx_m365+Sens!G19978*cx_lic+(Sens!G19980+Sens!G19982)*cx_ind+Sens!G19985*cx_srch+(Sens!G19987+Sens!G19989)*cx_dev</f>
        <v>41.1317265474045</v>
      </c>
      <c r="H20055" s="6" t="n">
        <f aca="false">Sens!H19970*cx_azo+Sens!H19977*cx_m365+Sens!H19978*cx_lic+(Sens!H19980+Sens!H19982)*cx_ind+Sens!H19985*cx_srch+(Sens!H19987+Sens!H19989)*cx_dev</f>
        <v>46.565218515439</v>
      </c>
      <c r="I20055" s="6" t="n">
        <f aca="false">Sens!I19970*cx_azo+Sens!I19977*cx_m365+Sens!I19978*cx_lic+(Sens!I19980+Sens!I19982)*cx_ind+Sens!I19985*cx_srch+(Sens!I19987+Sens!I19989)*cx_dev</f>
        <v>51.7993745435698</v>
      </c>
      <c r="J20055" s="6" t="n">
        <f aca="false">Sens!J19970*cx_azo+Sens!J19977*cx_m365+Sens!J19978*cx_lic+(Sens!J19980+Sens!J19982)*cx_ind+Sens!J19985*cx_srch+(Sens!J19987+Sens!J19989)*cx_dev</f>
        <v>56.5971723653416</v>
      </c>
      <c r="K20055" s="6" t="n">
        <f aca="false">Sens!K19970*cx_azo+Sens!K19977*cx_m365+Sens!K19978*cx_lic+(Sens!K19980+Sens!K19982)*cx_ind+Sens!K19985*cx_srch+(Sens!K19987+Sens!K19989)*cx_dev</f>
        <v>60.7887376351046</v>
      </c>
    </row>
    <row r="20056" customFormat="false" ht="17.15" hidden="false" customHeight="false" outlineLevel="0" collapsed="false">
      <c r="A20056" s="0" t="s">
        <v>1114</v>
      </c>
      <c r="B20056" s="0" t="s">
        <v>98</v>
      </c>
      <c r="F20056" s="6" t="n">
        <f aca="false">Sens!F19960</f>
        <v>0</v>
      </c>
      <c r="L20056" s="1" t="s">
        <v>1115</v>
      </c>
    </row>
    <row r="20057" customFormat="false" ht="17.15" hidden="false" customHeight="false" outlineLevel="0" collapsed="false">
      <c r="A20057" s="1" t="s">
        <v>1116</v>
      </c>
      <c r="B20057" s="0" t="s">
        <v>98</v>
      </c>
      <c r="E20057" s="6" t="n">
        <f aca="false">Q!M43</f>
        <v>145.3</v>
      </c>
      <c r="F20057" s="6" t="n">
        <f aca="false">Sens!F20054+Sens!F20055+Sens!F20056</f>
        <v>209.886172697364</v>
      </c>
      <c r="G20057" s="6" t="n">
        <f aca="false">Sens!G20054+Sens!G20055</f>
        <v>239.1854803228</v>
      </c>
      <c r="H20057" s="6" t="n">
        <f aca="false">Sens!H20054+Sens!H20055</f>
        <v>249.480500706299</v>
      </c>
      <c r="I20057" s="6" t="n">
        <f aca="false">Sens!I20054+Sens!I20055</f>
        <v>225.841091106536</v>
      </c>
      <c r="J20057" s="6" t="n">
        <f aca="false">Sens!J20054+Sens!J20055</f>
        <v>189.820408444739</v>
      </c>
      <c r="K20057" s="6" t="n">
        <f aca="false">Sens!K20054+Sens!K20055</f>
        <v>184.022608010753</v>
      </c>
      <c r="L20057" s="1" t="s">
        <v>1117</v>
      </c>
    </row>
    <row r="20058" customFormat="false" ht="15" hidden="false" customHeight="false" outlineLevel="0" collapsed="false">
      <c r="A20058" s="1" t="s">
        <v>1118</v>
      </c>
      <c r="B20058" s="0" t="s">
        <v>98</v>
      </c>
      <c r="E20058" s="6" t="n">
        <f aca="false">fl_liab</f>
        <v>66.594</v>
      </c>
      <c r="F20058" s="6" t="n">
        <f aca="false">Sens!E20058-Sens!F20059</f>
        <v>62.46973</v>
      </c>
      <c r="G20058" s="6" t="n">
        <f aca="false">Sens!F20058-Sens!G20059</f>
        <v>57.98686785</v>
      </c>
      <c r="H20058" s="6" t="n">
        <f aca="false">Sens!G20058-Sens!H20059</f>
        <v>53.92827690325</v>
      </c>
      <c r="I20058" s="6" t="n">
        <f aca="false">Sens!H20058-Sens!I20059</f>
        <v>49.7850493638962</v>
      </c>
      <c r="J20058" s="6" t="n">
        <f aca="false">Sens!I20058-Sens!J20059</f>
        <v>45.4823765852716</v>
      </c>
      <c r="K20058" s="6" t="n">
        <f aca="false">Sens!J20058-Sens!K20059</f>
        <v>40.9860835316088</v>
      </c>
    </row>
    <row r="20059" customFormat="false" ht="15" hidden="false" customHeight="false" outlineLevel="0" collapsed="false">
      <c r="A20059" s="1" t="s">
        <v>1119</v>
      </c>
      <c r="B20059" s="0" t="s">
        <v>98</v>
      </c>
      <c r="F20059" s="6" t="n">
        <f aca="false">fl_pay_27-Sens!E20058*fl_rate</f>
        <v>4.12427</v>
      </c>
      <c r="G20059" s="6" t="n">
        <f aca="false">fl_pay_28-Sens!F20058*fl_rate</f>
        <v>4.48286215</v>
      </c>
      <c r="H20059" s="6" t="n">
        <f aca="false">fl_pay_29-Sens!G20058*fl_rate</f>
        <v>4.05859094675</v>
      </c>
      <c r="I20059" s="6" t="n">
        <f aca="false">fl_pay_30-Sens!H20058*fl_rate</f>
        <v>4.14322753935375</v>
      </c>
      <c r="J20059" s="6" t="n">
        <f aca="false">fl_pay_31-Sens!I20058*fl_rate</f>
        <v>4.30267277862467</v>
      </c>
      <c r="K20059" s="6" t="n">
        <f aca="false">fl_pay_32-Sens!J20058*fl_rate</f>
        <v>4.49629305366278</v>
      </c>
    </row>
    <row r="20060" customFormat="false" ht="17.15" hidden="false" customHeight="false" outlineLevel="0" collapsed="false">
      <c r="A20060" s="1" t="s">
        <v>1120</v>
      </c>
      <c r="B20060" s="0" t="s">
        <v>98</v>
      </c>
      <c r="E20060" s="6" t="n">
        <f aca="false">Q!M35-Q!M36-Q!M44</f>
        <v>63.886</v>
      </c>
      <c r="F20060" s="6" t="n">
        <f aca="false">Sens!F20053-Sens!F20057-Sens!F20059</f>
        <v>3.03438390370493</v>
      </c>
      <c r="G20060" s="6" t="n">
        <f aca="false">Sens!G20053-Sens!G20057-Sens!G20059</f>
        <v>5.1449954840373</v>
      </c>
      <c r="H20060" s="6" t="n">
        <f aca="false">Sens!H20053-Sens!H20057-Sens!H20059</f>
        <v>30.6451518663054</v>
      </c>
      <c r="I20060" s="6" t="n">
        <f aca="false">Sens!I20053-Sens!I20057-Sens!I20059</f>
        <v>93.2427300694263</v>
      </c>
      <c r="J20060" s="6" t="n">
        <f aca="false">Sens!J20053-Sens!J20057-Sens!J20059</f>
        <v>161.796707161501</v>
      </c>
      <c r="K20060" s="6" t="n">
        <f aca="false">Sens!K20053-Sens!K20057-Sens!K20059</f>
        <v>194.280511650865</v>
      </c>
      <c r="L20060" s="12" t="s">
        <v>1121</v>
      </c>
    </row>
    <row r="20061" customFormat="false" ht="15" hidden="false" customHeight="false" outlineLevel="0" collapsed="false">
      <c r="A20061" s="1" t="s">
        <v>1122</v>
      </c>
      <c r="B20061" s="0" t="s">
        <v>75</v>
      </c>
      <c r="F20061" s="8" t="n">
        <f aca="false">dps_27</f>
        <v>3.85</v>
      </c>
      <c r="G20061" s="8" t="n">
        <f aca="false">Sens!F20061*(1+dps_g)</f>
        <v>4.158</v>
      </c>
      <c r="H20061" s="8" t="n">
        <f aca="false">Sens!G20061*(1+dps_g)</f>
        <v>4.49064</v>
      </c>
      <c r="I20061" s="8" t="n">
        <f aca="false">Sens!H20061*(1+dps_g)</f>
        <v>4.8498912</v>
      </c>
      <c r="J20061" s="8" t="n">
        <f aca="false">Sens!I20061*(1+dps_g)</f>
        <v>5.237882496</v>
      </c>
      <c r="K20061" s="8" t="n">
        <f aca="false">Sens!J20061*(1+dps_g)</f>
        <v>5.65691309568</v>
      </c>
    </row>
    <row r="20062" customFormat="false" ht="17.15" hidden="false" customHeight="false" outlineLevel="0" collapsed="false">
      <c r="A20062" s="1" t="s">
        <v>1123</v>
      </c>
      <c r="B20062" s="0" t="s">
        <v>98</v>
      </c>
      <c r="E20062" s="6" t="n">
        <f aca="false">Q!M41</f>
        <v>26.445</v>
      </c>
      <c r="F20062" s="6" t="n">
        <f aca="false">Sens!F20061*Sens!E20071</f>
        <v>28.59395</v>
      </c>
      <c r="G20062" s="6" t="n">
        <f aca="false">Sens!G20061*Sens!F20071</f>
        <v>31.068576</v>
      </c>
      <c r="H20062" s="6" t="n">
        <f aca="false">Sens!H20061*Sens!G20071</f>
        <v>33.75614088</v>
      </c>
      <c r="I20062" s="6" t="n">
        <f aca="false">Sens!I20061*Sens!H20071</f>
        <v>36.6748772544</v>
      </c>
      <c r="J20062" s="6" t="n">
        <f aca="false">Sens!J20061*Sens!I20071</f>
        <v>39.6767653201446</v>
      </c>
      <c r="K20062" s="6" t="n">
        <f aca="false">Sens!K20061*Sens!J20071</f>
        <v>42.9376608081345</v>
      </c>
      <c r="L20062" s="1" t="s">
        <v>1124</v>
      </c>
    </row>
    <row r="20063" customFormat="false" ht="15" hidden="false" customHeight="false" outlineLevel="0" collapsed="false">
      <c r="A20063" s="1" t="s">
        <v>1125</v>
      </c>
      <c r="B20063" s="0" t="s">
        <v>98</v>
      </c>
      <c r="E20063" s="6" t="n">
        <f aca="false">Sens!E20060-Sens!E20062</f>
        <v>37.441</v>
      </c>
      <c r="F20063" s="6" t="n">
        <f aca="false">Sens!F20060-Sens!F20062</f>
        <v>-25.5595660962951</v>
      </c>
      <c r="G20063" s="6" t="n">
        <f aca="false">Sens!G20060-Sens!G20062</f>
        <v>-25.9235805159627</v>
      </c>
      <c r="H20063" s="6" t="n">
        <f aca="false">Sens!H20060-Sens!H20062</f>
        <v>-3.11098901369462</v>
      </c>
      <c r="I20063" s="6" t="n">
        <f aca="false">Sens!I20060-Sens!I20062</f>
        <v>56.5678528150263</v>
      </c>
      <c r="J20063" s="6" t="n">
        <f aca="false">Sens!J20060-Sens!J20062</f>
        <v>122.119941841357</v>
      </c>
      <c r="K20063" s="6" t="n">
        <f aca="false">Sens!K20060-Sens!K20062</f>
        <v>151.342850842731</v>
      </c>
    </row>
    <row r="20064" customFormat="false" ht="15" hidden="false" customHeight="false" outlineLevel="0" collapsed="false">
      <c r="A20064" s="1" t="s">
        <v>1126</v>
      </c>
      <c r="B20064" s="0" t="s">
        <v>98</v>
      </c>
      <c r="F20064" s="6" t="n">
        <f aca="false">debt_mat_27</f>
        <v>9.25</v>
      </c>
      <c r="G20064" s="6" t="n">
        <f aca="false">debt_mat_28</f>
        <v>0</v>
      </c>
      <c r="H20064" s="6" t="n">
        <f aca="false">debt_mat_29</f>
        <v>2.001</v>
      </c>
      <c r="I20064" s="6" t="n">
        <f aca="false">debt_mat_30</f>
        <v>0</v>
      </c>
      <c r="J20064" s="6" t="n">
        <f aca="false">debt_mat_31</f>
        <v>0.5</v>
      </c>
      <c r="K20064" s="6" t="n">
        <f aca="false">debt_mat_32</f>
        <v>0</v>
      </c>
    </row>
    <row r="20065" customFormat="false" ht="15" hidden="false" customHeight="false" outlineLevel="0" collapsed="false">
      <c r="A20065" s="1" t="s">
        <v>1127</v>
      </c>
      <c r="B20065" s="0" t="s">
        <v>98</v>
      </c>
      <c r="E20065" s="6" t="n">
        <f aca="false">Q!M40</f>
        <v>22.271</v>
      </c>
      <c r="F20065" s="6" t="n">
        <f aca="false">MAX(0,MIN(bb_target,Sens!E20067+Sens!F20063-Sens!F20064-min_cash))</f>
        <v>0</v>
      </c>
      <c r="G20065" s="6" t="n">
        <f aca="false">MAX(0,MIN(bb_target,Sens!F20067+Sens!G20063-Sens!G20064-min_cash))</f>
        <v>0</v>
      </c>
      <c r="H20065" s="6" t="n">
        <f aca="false">MAX(0,MIN(bb_target,Sens!G20067+Sens!H20063-Sens!H20064-min_cash))</f>
        <v>0</v>
      </c>
      <c r="I20065" s="6" t="n">
        <f aca="false">MAX(0,MIN(bb_target,Sens!H20067+Sens!I20063-Sens!I20064-min_cash))</f>
        <v>22.271</v>
      </c>
      <c r="J20065" s="6" t="n">
        <f aca="false">MAX(0,MIN(bb_target,Sens!I20067+Sens!J20063-Sens!J20064-min_cash))</f>
        <v>22.271</v>
      </c>
      <c r="K20065" s="6" t="n">
        <f aca="false">MAX(0,MIN(bb_target,Sens!J20067+Sens!K20063-Sens!K20064-min_cash))</f>
        <v>22.271</v>
      </c>
    </row>
    <row r="20066" customFormat="false" ht="15" hidden="false" customHeight="false" outlineLevel="0" collapsed="false">
      <c r="A20066" s="1" t="s">
        <v>1128</v>
      </c>
      <c r="B20066" s="0" t="s">
        <v>98</v>
      </c>
      <c r="F20066" s="6" t="n">
        <f aca="false">MAX(0,min_cash-(Sens!E20067+Sens!F20063-Sens!F20064-Sens!F20065))</f>
        <v>7.96656609629507</v>
      </c>
      <c r="G20066" s="6" t="n">
        <f aca="false">MAX(0,min_cash-(Sens!F20067+Sens!G20063-Sens!G20064-Sens!G20065))</f>
        <v>25.9235805159627</v>
      </c>
      <c r="H20066" s="6" t="n">
        <f aca="false">MAX(0,min_cash-(Sens!G20067+Sens!H20063-Sens!H20064-Sens!H20065))</f>
        <v>5.11198901369462</v>
      </c>
      <c r="I20066" s="6" t="n">
        <f aca="false">MAX(0,min_cash-(Sens!H20067+Sens!I20063-Sens!I20064-Sens!I20065))</f>
        <v>0</v>
      </c>
      <c r="J20066" s="6" t="n">
        <f aca="false">MAX(0,min_cash-(Sens!I20067+Sens!J20063-Sens!J20064-Sens!J20065))</f>
        <v>0</v>
      </c>
      <c r="K20066" s="6" t="n">
        <f aca="false">MAX(0,min_cash-(Sens!J20067+Sens!K20063-Sens!K20064-Sens!K20065))</f>
        <v>0</v>
      </c>
    </row>
    <row r="20067" customFormat="false" ht="15" hidden="false" customHeight="false" outlineLevel="0" collapsed="false">
      <c r="A20067" s="1" t="s">
        <v>1129</v>
      </c>
      <c r="B20067" s="0" t="s">
        <v>98</v>
      </c>
      <c r="E20067" s="6" t="n">
        <f aca="false">cash_open</f>
        <v>76.843</v>
      </c>
      <c r="F20067" s="6" t="n">
        <f aca="false">Sens!E20067+Sens!F20063-Sens!F20064-Sens!F20065+Sens!F20066</f>
        <v>50</v>
      </c>
      <c r="G20067" s="6" t="n">
        <f aca="false">Sens!F20067+Sens!G20063-Sens!G20064-Sens!G20065+Sens!G20066</f>
        <v>50</v>
      </c>
      <c r="H20067" s="6" t="n">
        <f aca="false">Sens!G20067+Sens!H20063-Sens!H20064-Sens!H20065+Sens!H20066</f>
        <v>50</v>
      </c>
      <c r="I20067" s="6" t="n">
        <f aca="false">Sens!H20067+Sens!I20063-Sens!I20064-Sens!I20065+Sens!I20066</f>
        <v>84.2968528150263</v>
      </c>
      <c r="J20067" s="6" t="n">
        <f aca="false">Sens!I20067+Sens!J20063-Sens!J20064-Sens!J20065+Sens!J20066</f>
        <v>183.645794656383</v>
      </c>
      <c r="K20067" s="6" t="n">
        <f aca="false">Sens!J20067+Sens!K20063-Sens!K20064-Sens!K20065+Sens!K20066</f>
        <v>312.717645499114</v>
      </c>
    </row>
    <row r="20068" customFormat="false" ht="15" hidden="false" customHeight="false" outlineLevel="0" collapsed="false">
      <c r="A20068" s="1" t="s">
        <v>1130</v>
      </c>
      <c r="B20068" s="0" t="s">
        <v>98</v>
      </c>
      <c r="E20068" s="6" t="n">
        <f aca="false">debt_face</f>
        <v>46.136</v>
      </c>
      <c r="F20068" s="6" t="n">
        <f aca="false">Sens!E20068-Sens!F20064+Sens!F20066</f>
        <v>44.8525660962951</v>
      </c>
      <c r="G20068" s="6" t="n">
        <f aca="false">Sens!F20068-Sens!G20064+Sens!G20066</f>
        <v>70.7761466122578</v>
      </c>
      <c r="H20068" s="6" t="n">
        <f aca="false">Sens!G20068-Sens!H20064+Sens!H20066</f>
        <v>73.8871356259524</v>
      </c>
      <c r="I20068" s="6" t="n">
        <f aca="false">Sens!H20068-Sens!I20064+Sens!I20066</f>
        <v>73.8871356259524</v>
      </c>
      <c r="J20068" s="6" t="n">
        <f aca="false">Sens!I20068-Sens!J20064+Sens!J20066</f>
        <v>73.3871356259524</v>
      </c>
      <c r="K20068" s="6" t="n">
        <f aca="false">Sens!J20068-Sens!K20064+Sens!K20066</f>
        <v>73.3871356259524</v>
      </c>
    </row>
    <row r="20069" customFormat="false" ht="15" hidden="false" customHeight="false" outlineLevel="0" collapsed="false">
      <c r="A20069" s="1" t="s">
        <v>1131</v>
      </c>
      <c r="B20069" s="0" t="s">
        <v>98</v>
      </c>
      <c r="E20069" s="6" t="n">
        <f aca="false">Sens!E20067-Sens!E20068</f>
        <v>30.707</v>
      </c>
      <c r="F20069" s="6" t="n">
        <f aca="false">Sens!F20067-Sens!F20068</f>
        <v>5.14743390370493</v>
      </c>
      <c r="G20069" s="6" t="n">
        <f aca="false">Sens!G20067-Sens!G20068</f>
        <v>-20.7761466122578</v>
      </c>
      <c r="H20069" s="6" t="n">
        <f aca="false">Sens!H20067-Sens!H20068</f>
        <v>-23.8871356259524</v>
      </c>
      <c r="I20069" s="6" t="n">
        <f aca="false">Sens!I20067-Sens!I20068</f>
        <v>10.4097171890739</v>
      </c>
      <c r="J20069" s="6" t="n">
        <f aca="false">Sens!J20067-Sens!J20068</f>
        <v>110.258659030431</v>
      </c>
      <c r="K20069" s="6" t="n">
        <f aca="false">Sens!K20067-Sens!K20068</f>
        <v>239.330509873161</v>
      </c>
    </row>
    <row r="20070" customFormat="false" ht="15" hidden="false" customHeight="false" outlineLevel="0" collapsed="false">
      <c r="A20070" s="1" t="s">
        <v>1132</v>
      </c>
      <c r="B20070" s="0" t="s">
        <v>75</v>
      </c>
      <c r="F20070" s="30" t="n">
        <f aca="false">px*(1+bb_g)^(Sens!F19928-base_fy-mid_yr)</f>
        <v>551.84177959629</v>
      </c>
      <c r="G20070" s="30" t="n">
        <f aca="false">px*(1+bb_g)^(Sens!G19928-base_fy-mid_yr)</f>
        <v>595.989121963993</v>
      </c>
      <c r="H20070" s="30" t="n">
        <f aca="false">px*(1+bb_g)^(Sens!H19928-base_fy-mid_yr)</f>
        <v>643.668251721112</v>
      </c>
      <c r="I20070" s="30" t="n">
        <f aca="false">px*(1+bb_g)^(Sens!I19928-base_fy-mid_yr)</f>
        <v>695.161711858801</v>
      </c>
      <c r="J20070" s="30" t="n">
        <f aca="false">px*(1+bb_g)^(Sens!J19928-base_fy-mid_yr)</f>
        <v>750.774648807506</v>
      </c>
      <c r="K20070" s="30" t="n">
        <f aca="false">px*(1+bb_g)^(Sens!K19928-base_fy-mid_yr)</f>
        <v>810.836620712106</v>
      </c>
    </row>
    <row r="20071" customFormat="false" ht="15" hidden="false" customHeight="false" outlineLevel="0" collapsed="false">
      <c r="A20071" s="1" t="s">
        <v>1133</v>
      </c>
      <c r="B20071" s="1" t="s">
        <v>81</v>
      </c>
      <c r="E20071" s="15" t="n">
        <f aca="false">sh_out26</f>
        <v>7.427</v>
      </c>
      <c r="F20071" s="15" t="n">
        <f aca="false">Sens!E20071+sh_iss-Sens!F20065/Sens!F20070</f>
        <v>7.472</v>
      </c>
      <c r="G20071" s="15" t="n">
        <f aca="false">Sens!F20071+sh_iss-Sens!G20065/Sens!G20070</f>
        <v>7.517</v>
      </c>
      <c r="H20071" s="15" t="n">
        <f aca="false">Sens!G20071+sh_iss-Sens!H20065/Sens!H20070</f>
        <v>7.562</v>
      </c>
      <c r="I20071" s="15" t="n">
        <f aca="false">Sens!H20071+sh_iss-Sens!I20065/Sens!I20070</f>
        <v>7.57496285005334</v>
      </c>
      <c r="J20071" s="15" t="n">
        <f aca="false">Sens!I20071+sh_iss-Sens!J20065/Sens!J20070</f>
        <v>7.59029882232494</v>
      </c>
      <c r="K20071" s="15" t="n">
        <f aca="false">Sens!J20071+sh_iss-Sens!K20065/Sens!K20070</f>
        <v>7.60783212998384</v>
      </c>
    </row>
    <row r="20072" customFormat="false" ht="15" hidden="false" customHeight="false" outlineLevel="0" collapsed="false">
      <c r="A20072" s="1" t="s">
        <v>1134</v>
      </c>
      <c r="B20072" s="1" t="s">
        <v>81</v>
      </c>
      <c r="E20072" s="15" t="n">
        <f aca="false">sh_dil26</f>
        <v>7.453</v>
      </c>
      <c r="F20072" s="15" t="n">
        <f aca="false">(Sens!E20071+Sens!F20071)/2+dil_gap</f>
        <v>7.4735</v>
      </c>
      <c r="G20072" s="15" t="n">
        <f aca="false">(Sens!F20071+Sens!G20071)/2+dil_gap</f>
        <v>7.5185</v>
      </c>
      <c r="H20072" s="15" t="n">
        <f aca="false">(Sens!G20071+Sens!H20071)/2+dil_gap</f>
        <v>7.5635</v>
      </c>
      <c r="I20072" s="15" t="n">
        <f aca="false">(Sens!H20071+Sens!I20071)/2+dil_gap</f>
        <v>7.59248142502667</v>
      </c>
      <c r="J20072" s="15" t="n">
        <f aca="false">(Sens!I20071+Sens!J20071)/2+dil_gap</f>
        <v>7.60663083618914</v>
      </c>
      <c r="K20072" s="15" t="n">
        <f aca="false">(Sens!J20071+Sens!K20071)/2+dil_gap</f>
        <v>7.62306547615439</v>
      </c>
    </row>
    <row r="20073" customFormat="false" ht="17.15" hidden="false" customHeight="false" outlineLevel="0" collapsed="false">
      <c r="A20073" s="1" t="s">
        <v>1135</v>
      </c>
      <c r="B20073" s="0" t="s">
        <v>98</v>
      </c>
      <c r="C20073" s="6" t="n">
        <f aca="false">SUM(Sens!F20063:J20063)</f>
        <v>124.093659030431</v>
      </c>
    </row>
    <row r="20074" customFormat="false" ht="15" hidden="false" customHeight="false" outlineLevel="0" collapsed="false">
      <c r="A20074" s="26" t="s">
        <v>1100</v>
      </c>
      <c r="B20074" s="31" t="s">
        <v>98</v>
      </c>
      <c r="C20074" s="27" t="n">
        <f aca="false">Sens!$C$20073-(Sens!F20063+Sens!G20063+Sens!H20063+Sens!I20063+Sens!J20063)</f>
        <v>0</v>
      </c>
      <c r="D20074" s="31"/>
      <c r="E20074" s="31"/>
      <c r="F20074" s="31"/>
      <c r="G20074" s="31"/>
      <c r="H20074" s="31"/>
      <c r="I20074" s="31"/>
      <c r="J20074" s="31"/>
      <c r="K20074" s="31"/>
    </row>
    <row r="20075" customFormat="false" ht="17.15" hidden="false" customHeight="false" outlineLevel="0" collapsed="false">
      <c r="A20075" s="1" t="s">
        <v>1094</v>
      </c>
      <c r="B20075" s="1" t="s">
        <v>1136</v>
      </c>
      <c r="C20075" s="33" t="str">
        <f aca="false">IF(SUM(Sens!F20066:J20066)&gt;0.05,"需要舉債 "&amp;TEXT(SUM(Sens!F20066:J20066),"0.0")&amp;" 十億美元","不需舉債")&amp;"；"&amp;IF(SUM(Sens!F20065:J20065)&lt;COUNT(Sens!F20065:J20065)*bb_target-0.05,"回購較每年 "&amp;TEXT(bb_target,"0.0")&amp;" 的目標少 "&amp;TEXT(COUNT(Sens!F20065:J20065)*bb_target-SUM(Sens!F20065:J20065),"0.0")&amp;" 十億美元（"&amp;TEXT(COUNTIF(Sens!F20065:J20065,"&lt;"&amp;(bb_target-0.05)),"0")&amp;" 年減少）","回購不減")</f>
        <v>需要舉債 39.0 十億美元；回購較每年 22.3 的目標少 66.8 十億美元（3 年減少）</v>
      </c>
    </row>
    <row r="20076" customFormat="false" ht="17.15" hidden="false" customHeight="false" outlineLevel="0" collapsed="false">
      <c r="A20076" s="3" t="s">
        <v>2108</v>
      </c>
    </row>
    <row r="20077" customFormat="false" ht="15" hidden="false" customHeight="false" outlineLevel="0" collapsed="false">
      <c r="A20077" s="4" t="s">
        <v>43</v>
      </c>
      <c r="B20077" s="4" t="s">
        <v>65</v>
      </c>
      <c r="C20077" s="23" t="s">
        <v>942</v>
      </c>
      <c r="D20077" s="23" t="s">
        <v>943</v>
      </c>
      <c r="E20077" s="23" t="s">
        <v>944</v>
      </c>
      <c r="F20077" s="23" t="s">
        <v>945</v>
      </c>
      <c r="G20077" s="23" t="s">
        <v>946</v>
      </c>
      <c r="H20077" s="23" t="s">
        <v>947</v>
      </c>
      <c r="I20077" s="23" t="s">
        <v>948</v>
      </c>
      <c r="J20077" s="23" t="s">
        <v>949</v>
      </c>
      <c r="K20077" s="23" t="s">
        <v>950</v>
      </c>
      <c r="L20077" s="4" t="s">
        <v>47</v>
      </c>
    </row>
    <row r="20078" customFormat="false" ht="17.15" hidden="false" customHeight="false" outlineLevel="0" collapsed="false">
      <c r="A20078" s="1" t="s">
        <v>1216</v>
      </c>
      <c r="B20078" s="1" t="s">
        <v>279</v>
      </c>
      <c r="F20078" s="8" t="n">
        <f aca="false">(1-v_off)*mid_yr</f>
        <v>0.373972602739726</v>
      </c>
      <c r="G20078" s="8" t="n">
        <f aca="false">Sens!G19928-base_fy-mid_yr-v_off</f>
        <v>1.24794520547945</v>
      </c>
      <c r="H20078" s="8" t="n">
        <f aca="false">Sens!H19928-base_fy-mid_yr-v_off</f>
        <v>2.24794520547945</v>
      </c>
      <c r="I20078" s="8" t="n">
        <f aca="false">Sens!I19928-base_fy-mid_yr-v_off</f>
        <v>3.24794520547945</v>
      </c>
      <c r="J20078" s="8" t="n">
        <f aca="false">Sens!J19928-base_fy-mid_yr-v_off</f>
        <v>4.24794520547945</v>
      </c>
      <c r="K20078" s="8" t="n">
        <f aca="false">Sens!K19928-base_fy-mid_yr-v_off</f>
        <v>5.24794520547945</v>
      </c>
      <c r="L20078" s="12" t="s">
        <v>1217</v>
      </c>
    </row>
    <row r="20079" customFormat="false" ht="15" hidden="false" customHeight="false" outlineLevel="0" collapsed="false">
      <c r="A20079" s="1" t="s">
        <v>1218</v>
      </c>
      <c r="B20079" s="1" t="s">
        <v>279</v>
      </c>
      <c r="F20079" s="8" t="n">
        <f aca="false">Sens!F19928-base_fy-v_off</f>
        <v>0.747945205479452</v>
      </c>
      <c r="G20079" s="8" t="n">
        <f aca="false">Sens!G19928-base_fy-v_off</f>
        <v>1.74794520547945</v>
      </c>
      <c r="H20079" s="8" t="n">
        <f aca="false">Sens!H19928-base_fy-v_off</f>
        <v>2.74794520547945</v>
      </c>
      <c r="I20079" s="8" t="n">
        <f aca="false">Sens!I19928-base_fy-v_off</f>
        <v>3.74794520547945</v>
      </c>
      <c r="J20079" s="8" t="n">
        <f aca="false">Sens!J19928-base_fy-v_off</f>
        <v>4.74794520547945</v>
      </c>
      <c r="K20079" s="8" t="n">
        <f aca="false">Sens!K19928-base_fy-v_off</f>
        <v>5.74794520547945</v>
      </c>
    </row>
    <row r="20080" customFormat="false" ht="15" hidden="false" customHeight="false" outlineLevel="0" collapsed="false">
      <c r="A20080" s="1" t="s">
        <v>1219</v>
      </c>
      <c r="B20080" s="0" t="s">
        <v>229</v>
      </c>
      <c r="F20080" s="15" t="n">
        <f aca="false">1/(1+wacc)^Sens!F20078</f>
        <v>0.964022703286649</v>
      </c>
      <c r="G20080" s="15" t="n">
        <f aca="false">1/(1+wacc)^Sens!G20078</f>
        <v>0.884910302296739</v>
      </c>
      <c r="H20080" s="15" t="n">
        <f aca="false">1/(1+wacc)^Sens!H20078</f>
        <v>0.802322009770358</v>
      </c>
      <c r="I20080" s="15" t="n">
        <f aca="false">1/(1+wacc)^Sens!I20078</f>
        <v>0.727441646561469</v>
      </c>
      <c r="J20080" s="15" t="n">
        <f aca="false">1/(1+wacc)^Sens!J20078</f>
        <v>0.659549834988973</v>
      </c>
      <c r="K20080" s="15" t="n">
        <f aca="false">1/(1+wacc)^Sens!K20078</f>
        <v>0.597994336576966</v>
      </c>
    </row>
    <row r="20081" customFormat="false" ht="17.15" hidden="false" customHeight="false" outlineLevel="0" collapsed="false">
      <c r="A20081" s="1" t="s">
        <v>1220</v>
      </c>
      <c r="B20081" s="0" t="s">
        <v>98</v>
      </c>
      <c r="F20081" s="6" t="n">
        <f aca="false">Q!$I$35-Q!$I$39-Q!$I$43</f>
        <v>9.666</v>
      </c>
      <c r="L20081" s="12" t="s">
        <v>1221</v>
      </c>
    </row>
    <row r="20082" customFormat="false" ht="17.15" hidden="false" customHeight="false" outlineLevel="0" collapsed="false">
      <c r="A20082" s="1" t="s">
        <v>1222</v>
      </c>
      <c r="B20082" s="0" t="s">
        <v>98</v>
      </c>
      <c r="F20082" s="6" t="n">
        <f aca="false">Sens!F20053-Sens!F20050-Sens!F20057+Sens!F20035*(1-tax_f)*(1-v_off)-Sens!F20081</f>
        <v>-10.766703425709</v>
      </c>
      <c r="G20082" s="6" t="n">
        <f aca="false">Sens!G20053-Sens!G20050-Sens!G20057+Sens!G20035*(1-tax_f)</f>
        <v>15.4230415220044</v>
      </c>
      <c r="H20082" s="6" t="n">
        <f aca="false">Sens!H20053-Sens!H20050-Sens!H20057+Sens!H20035*(1-tax_f)</f>
        <v>53.7946448450013</v>
      </c>
      <c r="I20082" s="6" t="n">
        <f aca="false">Sens!I20053-Sens!I20050-Sens!I20057+Sens!I20035*(1-tax_f)</f>
        <v>128.06796630179</v>
      </c>
      <c r="J20082" s="6" t="n">
        <f aca="false">Sens!J20053-Sens!J20050-Sens!J20057+Sens!J20035*(1-tax_f)</f>
        <v>204.590151673871</v>
      </c>
      <c r="K20082" s="6" t="n">
        <f aca="false">Sens!K20053-Sens!K20050-Sens!K20057+Sens!K20035*(1-tax_f)</f>
        <v>241.501292393505</v>
      </c>
      <c r="L20082" s="1" t="s">
        <v>1223</v>
      </c>
    </row>
    <row r="20083" customFormat="false" ht="15" hidden="false" customHeight="false" outlineLevel="0" collapsed="false">
      <c r="A20083" s="1" t="s">
        <v>1224</v>
      </c>
      <c r="B20083" s="0" t="s">
        <v>98</v>
      </c>
      <c r="F20083" s="6" t="n">
        <f aca="false">Sens!F20082*Sens!F20080</f>
        <v>-10.3793465419376</v>
      </c>
      <c r="G20083" s="6" t="n">
        <f aca="false">Sens!G20082*Sens!G20080</f>
        <v>13.648008335572</v>
      </c>
      <c r="H20083" s="6" t="n">
        <f aca="false">Sens!H20082*Sens!H20080</f>
        <v>43.1606275669241</v>
      </c>
      <c r="I20083" s="6" t="n">
        <f aca="false">Sens!I20082*Sens!I20080</f>
        <v>93.1619722783526</v>
      </c>
      <c r="J20083" s="6" t="n">
        <f aca="false">Sens!J20082*Sens!J20080</f>
        <v>134.93740077687</v>
      </c>
      <c r="K20083" s="6" t="n">
        <f aca="false">Sens!K20082*Sens!K20080</f>
        <v>144.416405127334</v>
      </c>
    </row>
    <row r="20084" customFormat="false" ht="17.15" hidden="false" customHeight="false" outlineLevel="0" collapsed="false">
      <c r="A20084" s="1" t="s">
        <v>1225</v>
      </c>
      <c r="B20084" s="0" t="s">
        <v>98</v>
      </c>
      <c r="C20084" s="6" t="n">
        <f aca="false">SUM(Sens!F20083:K20083)</f>
        <v>418.945067543115</v>
      </c>
    </row>
    <row r="20085" customFormat="false" ht="17.15" hidden="false" customHeight="false" outlineLevel="0" collapsed="false">
      <c r="A20085" s="1" t="s">
        <v>1226</v>
      </c>
      <c r="B20085" s="0" t="s">
        <v>98</v>
      </c>
      <c r="C20085" s="6" t="n">
        <f aca="false">Sens!K20021*(1+g_tv)*(1-tax_f)</f>
        <v>250.423608821967</v>
      </c>
    </row>
    <row r="20086" customFormat="false" ht="17.15" hidden="false" customHeight="false" outlineLevel="0" collapsed="false">
      <c r="A20086" s="1" t="s">
        <v>1227</v>
      </c>
      <c r="B20086" s="0" t="s">
        <v>98</v>
      </c>
      <c r="C20086" s="6" t="n">
        <f aca="false">Sens!$C$20085*(1-g_tv/(wacc+ronic_prem))</f>
        <v>177.439763178297</v>
      </c>
    </row>
    <row r="20087" customFormat="false" ht="17.15" hidden="false" customHeight="false" outlineLevel="0" collapsed="false">
      <c r="A20087" s="1" t="s">
        <v>1228</v>
      </c>
      <c r="B20087" s="0" t="s">
        <v>98</v>
      </c>
      <c r="C20087" s="6" t="n">
        <f aca="false">Sens!$C$20086/(wacc-g_tv)</f>
        <v>2432.79485478898</v>
      </c>
    </row>
    <row r="20088" customFormat="false" ht="15" hidden="false" customHeight="false" outlineLevel="0" collapsed="false">
      <c r="A20088" s="1" t="s">
        <v>1229</v>
      </c>
      <c r="B20088" s="0" t="s">
        <v>98</v>
      </c>
      <c r="C20088" s="6" t="n">
        <f aca="false">Sens!$C$20087/(1+wacc)^Sens!K20079</f>
        <v>1385.24721924051</v>
      </c>
    </row>
    <row r="20089" customFormat="false" ht="17.15" hidden="false" customHeight="false" outlineLevel="0" collapsed="false">
      <c r="A20089" s="0" t="s">
        <v>1230</v>
      </c>
      <c r="B20089" s="0" t="s">
        <v>98</v>
      </c>
      <c r="C20089" s="6" t="n">
        <f aca="false">Sens!$C$20084+Sens!$C$20088</f>
        <v>1804.19228678362</v>
      </c>
    </row>
    <row r="20090" customFormat="false" ht="15" hidden="false" customHeight="false" outlineLevel="0" collapsed="false">
      <c r="A20090" s="1" t="s">
        <v>1145</v>
      </c>
      <c r="B20090" s="0" t="s">
        <v>168</v>
      </c>
      <c r="C20090" s="7" t="n">
        <f aca="false">Sens!$C$20088/Sens!$C$20089</f>
        <v>0.767793560247406</v>
      </c>
    </row>
    <row r="20091" customFormat="false" ht="17.15" hidden="false" customHeight="false" outlineLevel="0" collapsed="false">
      <c r="A20091" s="1" t="s">
        <v>1231</v>
      </c>
      <c r="B20091" s="0" t="s">
        <v>98</v>
      </c>
      <c r="C20091" s="6" t="n">
        <f aca="false">Sens!$C$20089+cash_val-debt_val-fl_val+oai_v</f>
        <v>1920.04328678362</v>
      </c>
    </row>
    <row r="20092" customFormat="false" ht="17.15" hidden="false" customHeight="false" outlineLevel="0" collapsed="false">
      <c r="A20092" s="0" t="s">
        <v>1153</v>
      </c>
      <c r="B20092" s="0" t="s">
        <v>75</v>
      </c>
      <c r="C20092" s="5" t="n">
        <f aca="false">Sens!$C$20091/shd_val</f>
        <v>257.862380712278</v>
      </c>
    </row>
    <row r="20093" customFormat="false" ht="15" hidden="false" customHeight="false" outlineLevel="0" collapsed="false">
      <c r="A20093" s="1" t="s">
        <v>1232</v>
      </c>
      <c r="B20093" s="0" t="s">
        <v>75</v>
      </c>
      <c r="C20093" s="8" t="n">
        <f aca="false">div_rem27+Sens!G20061*roll_div_q/q_per_yr</f>
        <v>3.9795</v>
      </c>
    </row>
    <row r="20094" customFormat="false" ht="17.15" hidden="false" customHeight="false" outlineLevel="0" collapsed="false">
      <c r="A20094" s="0" t="s">
        <v>1233</v>
      </c>
      <c r="B20094" s="0" t="s">
        <v>75</v>
      </c>
      <c r="C20094" s="5" t="n">
        <f aca="false">Sens!$C$20092*(1+wacc)^t_roll-Sens!$C$20093</f>
        <v>282.648927652968</v>
      </c>
    </row>
    <row r="20095" customFormat="false" ht="17.15" hidden="false" customHeight="false" outlineLevel="0" collapsed="false">
      <c r="A20095" s="1" t="s">
        <v>1234</v>
      </c>
      <c r="B20095" s="0" t="s">
        <v>168</v>
      </c>
      <c r="F20095" s="7" t="n">
        <f aca="false">Sens!F20047/(Sens!F19992-Sens!F19947)</f>
        <v>0.0687068115767625</v>
      </c>
      <c r="G20095" s="7" t="n">
        <f aca="false">Sens!G20047/(Sens!G19992-Sens!G19947)</f>
        <v>0.0663333745830224</v>
      </c>
      <c r="H20095" s="7" t="n">
        <f aca="false">Sens!H20047/(Sens!H19992-Sens!H19947)</f>
        <v>0.0651485298074508</v>
      </c>
      <c r="I20095" s="7" t="n">
        <f aca="false">Sens!I20047/(Sens!I19992-Sens!I19947)</f>
        <v>0.0650140980258536</v>
      </c>
      <c r="J20095" s="7" t="n">
        <f aca="false">Sens!J20047/(Sens!J19992-Sens!J19947)</f>
        <v>0.0657205288935411</v>
      </c>
      <c r="K20095" s="7" t="n">
        <f aca="false">Sens!K20047/(Sens!K19992-Sens!K19947)</f>
        <v>0.0670350263592317</v>
      </c>
    </row>
    <row r="20096" customFormat="false" ht="17.15" hidden="false" customHeight="false" outlineLevel="0" collapsed="false">
      <c r="A20096" s="0" t="s">
        <v>1235</v>
      </c>
      <c r="B20096" s="0" t="s">
        <v>98</v>
      </c>
      <c r="F20096" s="6" t="n">
        <f aca="false">Sens!F19977*(al_m365+Sens!F20095+sbc_r)</f>
        <v>82.9219767779592</v>
      </c>
      <c r="G20096" s="6" t="n">
        <f aca="false">Sens!G19977*(al_m365+Sens!G20095+sbc_r)</f>
        <v>93.3094714612809</v>
      </c>
      <c r="H20096" s="6" t="n">
        <f aca="false">Sens!H19977*(al_m365+Sens!H20095+sbc_r)</f>
        <v>103.857852893289</v>
      </c>
      <c r="I20096" s="6" t="n">
        <f aca="false">Sens!I19977*(al_m365+Sens!I20095+sbc_r)</f>
        <v>113.890577671168</v>
      </c>
      <c r="J20096" s="6" t="n">
        <f aca="false">Sens!J19977*(al_m365+Sens!J20095+sbc_r)</f>
        <v>123.218348251362</v>
      </c>
      <c r="K20096" s="6" t="n">
        <f aca="false">Sens!K19977*(al_m365+Sens!K20095+sbc_r)</f>
        <v>132.148237414991</v>
      </c>
      <c r="L20096" s="12" t="s">
        <v>1236</v>
      </c>
    </row>
    <row r="20097" customFormat="false" ht="17.15" hidden="false" customHeight="false" outlineLevel="0" collapsed="false">
      <c r="A20097" s="0" t="s">
        <v>1237</v>
      </c>
      <c r="B20097" s="0" t="s">
        <v>98</v>
      </c>
      <c r="F20097" s="6" t="n">
        <f aca="false">Sens!F19978*(al_lic+Sens!F20095+sbc_r)</f>
        <v>32.8611146181642</v>
      </c>
      <c r="G20097" s="6" t="n">
        <f aca="false">Sens!G19978*(al_lic+Sens!G20095+sbc_r)</f>
        <v>34.1576326070668</v>
      </c>
      <c r="H20097" s="6" t="n">
        <f aca="false">Sens!H19978*(al_lic+Sens!H20095+sbc_r)</f>
        <v>35.3640573790401</v>
      </c>
      <c r="I20097" s="6" t="n">
        <f aca="false">Sens!I19978*(al_lic+Sens!I20095+sbc_r)</f>
        <v>36.4606806263277</v>
      </c>
      <c r="J20097" s="6" t="n">
        <f aca="false">Sens!J19978*(al_lic+Sens!J20095+sbc_r)</f>
        <v>37.4245564484501</v>
      </c>
      <c r="K20097" s="6" t="n">
        <f aca="false">Sens!K19978*(al_lic+Sens!K20095+sbc_r)</f>
        <v>38.2318662283117</v>
      </c>
    </row>
    <row r="20098" customFormat="false" ht="17.15" hidden="false" customHeight="false" outlineLevel="0" collapsed="false">
      <c r="A20098" s="0" t="s">
        <v>1238</v>
      </c>
      <c r="B20098" s="0" t="s">
        <v>98</v>
      </c>
      <c r="F20098" s="6" t="n">
        <f aca="false">Sens!F19980*(al_ind+Sens!F20095+sbc_r)</f>
        <v>9.06236397901118</v>
      </c>
      <c r="G20098" s="6" t="n">
        <f aca="false">Sens!G19980*(al_ind+Sens!G20095+sbc_r)</f>
        <v>9.84838843311636</v>
      </c>
      <c r="H20098" s="6" t="n">
        <f aca="false">Sens!H19980*(al_ind+Sens!H20095+sbc_r)</f>
        <v>10.6771476362318</v>
      </c>
      <c r="I20098" s="6" t="n">
        <f aca="false">Sens!I19980*(al_ind+Sens!I20095+sbc_r)</f>
        <v>11.5441401128274</v>
      </c>
      <c r="J20098" s="6" t="n">
        <f aca="false">Sens!J19980*(al_ind+Sens!J20095+sbc_r)</f>
        <v>12.4407685996976</v>
      </c>
      <c r="K20098" s="6" t="n">
        <f aca="false">Sens!K19980*(al_ind+Sens!K20095+sbc_r)</f>
        <v>13.3550308826802</v>
      </c>
    </row>
    <row r="20099" customFormat="false" ht="17.15" hidden="false" customHeight="false" outlineLevel="0" collapsed="false">
      <c r="A20099" s="0" t="s">
        <v>1239</v>
      </c>
      <c r="B20099" s="0" t="s">
        <v>98</v>
      </c>
      <c r="F20099" s="6" t="n">
        <f aca="false">Sens!F19982*(al_fro+Sens!F20095+sbc_r)</f>
        <v>3.55479321744457</v>
      </c>
      <c r="G20099" s="6" t="n">
        <f aca="false">Sens!G19982*(al_fro+Sens!G20095+sbc_r)</f>
        <v>3.76828205080273</v>
      </c>
      <c r="H20099" s="6" t="n">
        <f aca="false">Sens!H19982*(al_fro+Sens!H20095+sbc_r)</f>
        <v>4.00977005910459</v>
      </c>
      <c r="I20099" s="6" t="n">
        <f aca="false">Sens!I19982*(al_fro+Sens!I20095+sbc_r)</f>
        <v>4.28158277125508</v>
      </c>
      <c r="J20099" s="6" t="n">
        <f aca="false">Sens!J19982*(al_fro+Sens!J20095+sbc_r)</f>
        <v>4.5853567168084</v>
      </c>
      <c r="K20099" s="6" t="n">
        <f aca="false">Sens!K19982*(al_fro+Sens!K20095+sbc_r)</f>
        <v>4.92233096937194</v>
      </c>
    </row>
    <row r="20100" customFormat="false" ht="17.15" hidden="false" customHeight="false" outlineLevel="0" collapsed="false">
      <c r="A20100" s="0" t="s">
        <v>1240</v>
      </c>
      <c r="B20100" s="0" t="s">
        <v>98</v>
      </c>
      <c r="F20100" s="6" t="n">
        <f aca="false">Sens!F19985*(al_srch+Sens!F20095+sbc_r)</f>
        <v>11.1914946922537</v>
      </c>
      <c r="G20100" s="6" t="n">
        <f aca="false">Sens!G19985*(al_srch+Sens!G20095+sbc_r)</f>
        <v>12.2769443572471</v>
      </c>
      <c r="H20100" s="6" t="n">
        <f aca="false">Sens!H19985*(al_srch+Sens!H20095+sbc_r)</f>
        <v>13.404760848546</v>
      </c>
      <c r="I20100" s="6" t="n">
        <f aca="false">Sens!I19985*(al_srch+Sens!I20095+sbc_r)</f>
        <v>14.5623431789268</v>
      </c>
      <c r="J20100" s="6" t="n">
        <f aca="false">Sens!J19985*(al_srch+Sens!J20095+sbc_r)</f>
        <v>15.7310093238786</v>
      </c>
      <c r="K20100" s="6" t="n">
        <f aca="false">Sens!K19985*(al_srch+Sens!K20095+sbc_r)</f>
        <v>16.8870688054784</v>
      </c>
    </row>
    <row r="20101" customFormat="false" ht="17.15" hidden="false" customHeight="false" outlineLevel="0" collapsed="false">
      <c r="A20101" s="0" t="s">
        <v>1241</v>
      </c>
      <c r="B20101" s="0" t="s">
        <v>98</v>
      </c>
      <c r="F20101" s="6" t="n">
        <f aca="false">Sens!F19953-Sens!F19954+Sens!F20035</f>
        <v>40.2374379903496</v>
      </c>
      <c r="G20101" s="6" t="n">
        <f aca="false">Sens!G19953-Sens!G19954+Sens!G20035</f>
        <v>72.34772251961</v>
      </c>
      <c r="H20101" s="6" t="n">
        <f aca="false">Sens!H19953-Sens!H19954+Sens!H20035</f>
        <v>101.2825361824</v>
      </c>
      <c r="I20101" s="6" t="n">
        <f aca="false">Sens!I19953-Sens!I19954+Sens!I20035</f>
        <v>133.916123505898</v>
      </c>
      <c r="J20101" s="6" t="n">
        <f aca="false">Sens!J19953-Sens!J19954+Sens!J20035</f>
        <v>157.049922621272</v>
      </c>
      <c r="K20101" s="6" t="n">
        <f aca="false">Sens!K19953-Sens!K19954+Sens!K20035</f>
        <v>171.941870221487</v>
      </c>
    </row>
    <row r="20102" customFormat="false" ht="17.15" hidden="false" customHeight="false" outlineLevel="0" collapsed="false">
      <c r="A20102" s="0" t="s">
        <v>1242</v>
      </c>
      <c r="B20102" s="0" t="s">
        <v>98</v>
      </c>
      <c r="F20102" s="6" t="n">
        <f aca="false">Sens!F20014+Sens!F20035+Sens!F19965+Sens!F20095*(Sens!F19984-Sens!F19947)+sbc_r*Sens!F19984</f>
        <v>235.959702365048</v>
      </c>
      <c r="G20102" s="6" t="n">
        <f aca="false">Sens!G20014+Sens!G20035+Sens!G19965+Sens!G20095*(Sens!G19984-Sens!G19947)+sbc_r*Sens!G19984</f>
        <v>288.291804467</v>
      </c>
      <c r="H20102" s="6" t="n">
        <f aca="false">Sens!H20014+Sens!H20035+Sens!H19965+Sens!H20095*(Sens!H19984-Sens!H19947)+sbc_r*Sens!H19984</f>
        <v>342.637817164151</v>
      </c>
      <c r="I20102" s="6" t="n">
        <f aca="false">Sens!I20014+Sens!I20035+Sens!I19965+Sens!I20095*(Sens!I19984-Sens!I19947)+sbc_r*Sens!I19984</f>
        <v>400.068961549071</v>
      </c>
      <c r="J20102" s="6" t="n">
        <f aca="false">Sens!J20014+Sens!J20035+Sens!J19965+Sens!J20095*(Sens!J19984-Sens!J19947)+sbc_r*Sens!J19984</f>
        <v>446.072229388806</v>
      </c>
      <c r="K20102" s="6" t="n">
        <f aca="false">Sens!K20014+Sens!K20035+Sens!K19965+Sens!K20095*(Sens!K19984-Sens!K19947)+sbc_r*Sens!K19984</f>
        <v>481.495075284998</v>
      </c>
    </row>
    <row r="20103" customFormat="false" ht="17.15" hidden="false" customHeight="false" outlineLevel="0" collapsed="false">
      <c r="A20103" s="0" t="s">
        <v>1243</v>
      </c>
      <c r="B20103" s="0" t="s">
        <v>98</v>
      </c>
      <c r="F20103" s="6" t="n">
        <f aca="false">Sens!F20102-Sens!F20096-Sens!F20097-Sens!F20098-Sens!F20099-Sens!F20101</f>
        <v>67.3220157821193</v>
      </c>
      <c r="G20103" s="6" t="n">
        <f aca="false">Sens!G20102-Sens!G20096-Sens!G20097-Sens!G20098-Sens!G20099-Sens!G20101</f>
        <v>74.8603073951236</v>
      </c>
      <c r="H20103" s="6" t="n">
        <f aca="false">Sens!H20102-Sens!H20096-Sens!H20097-Sens!H20098-Sens!H20099-Sens!H20101</f>
        <v>87.4464530140849</v>
      </c>
      <c r="I20103" s="6" t="n">
        <f aca="false">Sens!I20102-Sens!I20096-Sens!I20097-Sens!I20098-Sens!I20099-Sens!I20101</f>
        <v>99.9758568615951</v>
      </c>
      <c r="J20103" s="6" t="n">
        <f aca="false">Sens!J20102-Sens!J20096-Sens!J20097-Sens!J20098-Sens!J20099-Sens!J20101</f>
        <v>111.353276751215</v>
      </c>
      <c r="K20103" s="6" t="n">
        <f aca="false">Sens!K20102-Sens!K20096-Sens!K20097-Sens!K20098-Sens!K20099-Sens!K20101</f>
        <v>120.895739568156</v>
      </c>
    </row>
    <row r="20104" customFormat="false" ht="17.15" hidden="false" customHeight="false" outlineLevel="0" collapsed="false">
      <c r="A20104" s="0" t="s">
        <v>1244</v>
      </c>
      <c r="B20104" s="0" t="s">
        <v>98</v>
      </c>
      <c r="F20104" s="6" t="n">
        <f aca="false">Sens!F20016+Sens!F20095*Sens!F19991+sbc_r*Sens!F19991</f>
        <v>26.6392466383152</v>
      </c>
      <c r="G20104" s="6" t="n">
        <f aca="false">Sens!G20016+Sens!G20095*Sens!G19991+sbc_r*Sens!G19991</f>
        <v>26.5052249567985</v>
      </c>
      <c r="H20104" s="6" t="n">
        <f aca="false">Sens!H20016+Sens!H20095*Sens!H19991+sbc_r*Sens!H19991</f>
        <v>27.3989446793277</v>
      </c>
      <c r="I20104" s="6" t="n">
        <f aca="false">Sens!I20016+Sens!I20095*Sens!I19991+sbc_r*Sens!I19991</f>
        <v>28.5180237596707</v>
      </c>
      <c r="J20104" s="6" t="n">
        <f aca="false">Sens!J20016+Sens!J20095*Sens!J19991+sbc_r*Sens!J19991</f>
        <v>29.8313446437491</v>
      </c>
      <c r="K20104" s="6" t="n">
        <f aca="false">Sens!K20016+Sens!K20095*Sens!K19991+sbc_r*Sens!K19991</f>
        <v>31.3098539304732</v>
      </c>
    </row>
    <row r="20105" customFormat="false" ht="17.15" hidden="false" customHeight="false" outlineLevel="0" collapsed="false">
      <c r="A20105" s="0" t="s">
        <v>1245</v>
      </c>
      <c r="B20105" s="0" t="s">
        <v>98</v>
      </c>
      <c r="F20105" s="6" t="n">
        <f aca="false">(Sens!F20104-Sens!F20100)*Sens!F19987/(Sens!F19987+Sens!F19989)</f>
        <v>8.72466659260455</v>
      </c>
      <c r="G20105" s="6" t="n">
        <f aca="false">(Sens!G20104-Sens!G20100)*Sens!G19987/(Sens!G19987+Sens!G19989)</f>
        <v>7.89781908586289</v>
      </c>
      <c r="H20105" s="6" t="n">
        <f aca="false">(Sens!H20104-Sens!H20100)*Sens!H19987/(Sens!H19987+Sens!H19989)</f>
        <v>7.66668446016013</v>
      </c>
      <c r="I20105" s="6" t="n">
        <f aca="false">(Sens!I20104-Sens!I20100)*Sens!I19987/(Sens!I19987+Sens!I19989)</f>
        <v>7.57885634979507</v>
      </c>
      <c r="J20105" s="6" t="n">
        <f aca="false">(Sens!J20104-Sens!J20100)*Sens!J19987/(Sens!J19987+Sens!J19989)</f>
        <v>7.62400449537666</v>
      </c>
      <c r="K20105" s="6" t="n">
        <f aca="false">(Sens!K20104-Sens!K20100)*Sens!K19987/(Sens!K19987+Sens!K19989)</f>
        <v>7.79835203449767</v>
      </c>
    </row>
    <row r="20106" customFormat="false" ht="17.15" hidden="false" customHeight="false" outlineLevel="0" collapsed="false">
      <c r="A20106" s="0" t="s">
        <v>1246</v>
      </c>
      <c r="B20106" s="0" t="s">
        <v>98</v>
      </c>
      <c r="F20106" s="6" t="n">
        <f aca="false">Sens!F20104-Sens!F20100-Sens!F20105</f>
        <v>6.72308535345699</v>
      </c>
      <c r="G20106" s="6" t="n">
        <f aca="false">Sens!G20104-Sens!G20100-Sens!G20105</f>
        <v>6.3304615136885</v>
      </c>
      <c r="H20106" s="6" t="n">
        <f aca="false">Sens!H20104-Sens!H20100-Sens!H20105</f>
        <v>6.32749937062163</v>
      </c>
      <c r="I20106" s="6" t="n">
        <f aca="false">Sens!I20104-Sens!I20100-Sens!I20105</f>
        <v>6.37682423094888</v>
      </c>
      <c r="J20106" s="6" t="n">
        <f aca="false">Sens!J20104-Sens!J20100-Sens!J20105</f>
        <v>6.47633082449384</v>
      </c>
      <c r="K20106" s="6" t="n">
        <f aca="false">Sens!K20104-Sens!K20100-Sens!K20105</f>
        <v>6.62443309049706</v>
      </c>
    </row>
    <row r="20107" customFormat="false" ht="17.15" hidden="false" customHeight="false" outlineLevel="0" collapsed="false">
      <c r="A20107" s="0" t="s">
        <v>1247</v>
      </c>
      <c r="B20107" s="0" t="s">
        <v>98</v>
      </c>
      <c r="F20107" s="6" t="n">
        <f aca="false">Sens!F20101-tax_f*(Sens!F20101-Sens!F19965)-Sens!F19962</f>
        <v>-134.9016615801</v>
      </c>
      <c r="G20107" s="6" t="n">
        <f aca="false">Sens!G20101-tax_f*(Sens!G20101-Sens!G19965)-Sens!G19962</f>
        <v>-127.738599688975</v>
      </c>
      <c r="H20107" s="6" t="n">
        <f aca="false">Sens!H20101-tax_f*(Sens!H20101-Sens!H19965)-Sens!H19962</f>
        <v>-103.575514568166</v>
      </c>
      <c r="I20107" s="6" t="n">
        <f aca="false">Sens!I20101-tax_f*(Sens!I20101-Sens!I19965)-Sens!I19962</f>
        <v>-43.3766259237246</v>
      </c>
      <c r="J20107" s="6" t="n">
        <f aca="false">Sens!J20101-tax_f*(Sens!J20101-Sens!J19965)-Sens!J19962</f>
        <v>19.667829653566</v>
      </c>
      <c r="K20107" s="6" t="n">
        <f aca="false">Sens!K20101-tax_f*(Sens!K20101-Sens!K19965)-Sens!K19962</f>
        <v>43.9128914409941</v>
      </c>
    </row>
    <row r="20108" customFormat="false" ht="17.15" hidden="false" customHeight="false" outlineLevel="0" collapsed="false">
      <c r="A20108" s="0" t="s">
        <v>1248</v>
      </c>
      <c r="B20108" s="0" t="s">
        <v>98</v>
      </c>
      <c r="G20108" s="6" t="n">
        <f aca="false">Sens!G20107/(1+wacc)^(Sens!G20078-Sens!F20079)</f>
        <v>-121.631728476959</v>
      </c>
      <c r="H20108" s="6" t="n">
        <f aca="false">Sens!H20107/(1+wacc)^(Sens!H20078-Sens!F20079)</f>
        <v>-89.4193033319396</v>
      </c>
      <c r="I20108" s="6" t="n">
        <f aca="false">Sens!I20107/(1+wacc)^(Sens!I20078-Sens!F20079)</f>
        <v>-33.9530978007955</v>
      </c>
      <c r="J20108" s="6" t="n">
        <f aca="false">Sens!J20107/(1+wacc)^(Sens!J20078-Sens!F20079)</f>
        <v>13.9582036485685</v>
      </c>
      <c r="K20108" s="6" t="n">
        <f aca="false">Sens!K20107/(1+wacc)^(Sens!K20078-Sens!F20079)</f>
        <v>28.2562537005668</v>
      </c>
      <c r="L20108" s="1" t="s">
        <v>1249</v>
      </c>
    </row>
    <row r="20109" customFormat="false" ht="17.15" hidden="false" customHeight="false" outlineLevel="0" collapsed="false">
      <c r="A20109" s="0" t="s">
        <v>1250</v>
      </c>
      <c r="B20109" s="0" t="s">
        <v>98</v>
      </c>
      <c r="C20109" s="6" t="n">
        <f aca="false">(Sens!K20101-Sens!K19965)*(1-tax_f)*(1+g_tv)*(1-g_tv/(wacc+ronic_prem))/(wacc-g_tv)/(1+wacc)^(Sens!K20079-Sens!F20079)</f>
        <v>117.590744307878</v>
      </c>
    </row>
    <row r="20110" customFormat="false" ht="17.15" hidden="false" customHeight="false" outlineLevel="0" collapsed="false">
      <c r="A20110" s="1" t="s">
        <v>1251</v>
      </c>
      <c r="B20110" s="0" t="s">
        <v>98</v>
      </c>
      <c r="C20110" s="6" t="n">
        <f aca="false">(SUM(Sens!G20108:K20108)+Sens!$C$20109)*(1+wacc)^(t_roll-Sens!F20079)</f>
        <v>-88.0116022250823</v>
      </c>
      <c r="L20110" s="12" t="s">
        <v>1252</v>
      </c>
    </row>
    <row r="20111" customFormat="false" ht="17.15" hidden="false" customHeight="false" outlineLevel="0" collapsed="false">
      <c r="A20111" s="1" t="s">
        <v>1253</v>
      </c>
      <c r="B20111" s="0" t="s">
        <v>98</v>
      </c>
      <c r="C20111" s="6" t="n">
        <f aca="false">(w_ntm28*Sens!G19953+(1-w_ntm28)*Sens!H19953)*m_ai</f>
        <v>357.547776569905</v>
      </c>
    </row>
    <row r="20112" customFormat="false" ht="17.15" hidden="false" customHeight="false" outlineLevel="0" collapsed="false">
      <c r="A20112" s="1" t="s">
        <v>1254</v>
      </c>
      <c r="B20112" s="0" t="s">
        <v>98</v>
      </c>
      <c r="C20112" s="6" t="n">
        <f aca="false">(w_ntm28*Sens!G20103+(1-w_ntm28)*Sens!H20103)*m_cloud</f>
        <v>1091.75537667865</v>
      </c>
    </row>
    <row r="20113" customFormat="false" ht="17.15" hidden="false" customHeight="false" outlineLevel="0" collapsed="false">
      <c r="A20113" s="1" t="s">
        <v>1255</v>
      </c>
      <c r="B20113" s="0" t="s">
        <v>98</v>
      </c>
      <c r="C20113" s="6" t="n">
        <f aca="false">(w_ntm28*Sens!G20096+(1-w_ntm28)*Sens!H20096)*m_sw</f>
        <v>1045.19627078425</v>
      </c>
    </row>
    <row r="20114" customFormat="false" ht="17.15" hidden="false" customHeight="false" outlineLevel="0" collapsed="false">
      <c r="A20114" s="1" t="s">
        <v>1256</v>
      </c>
      <c r="B20114" s="0" t="s">
        <v>98</v>
      </c>
      <c r="C20114" s="6" t="n">
        <f aca="false">(w_ntm28*Sens!G20097+(1-w_ntm28)*Sens!H20097)*m_sw</f>
        <v>373.186066415164</v>
      </c>
    </row>
    <row r="20115" customFormat="false" ht="17.15" hidden="false" customHeight="false" outlineLevel="0" collapsed="false">
      <c r="A20115" s="1" t="s">
        <v>1257</v>
      </c>
      <c r="B20115" s="0" t="s">
        <v>98</v>
      </c>
      <c r="C20115" s="6" t="n">
        <f aca="false">(w_ntm28*Sens!G20098+(1-w_ntm28)*Sens!H20098)*m_sw</f>
        <v>109.305257892006</v>
      </c>
    </row>
    <row r="20116" customFormat="false" ht="17.15" hidden="false" customHeight="false" outlineLevel="0" collapsed="false">
      <c r="A20116" s="1" t="s">
        <v>1258</v>
      </c>
      <c r="B20116" s="0" t="s">
        <v>98</v>
      </c>
      <c r="C20116" s="6" t="n">
        <f aca="false">(w_ntm28*Sens!G20099+(1-w_ntm28)*Sens!H20099)*m_sw</f>
        <v>41.5548939808865</v>
      </c>
    </row>
    <row r="20117" customFormat="false" ht="17.15" hidden="false" customHeight="false" outlineLevel="0" collapsed="false">
      <c r="A20117" s="1" t="s">
        <v>1259</v>
      </c>
      <c r="B20117" s="0" t="s">
        <v>98</v>
      </c>
      <c r="C20117" s="6" t="n">
        <f aca="false">(w_ntm28*Sens!G20100+(1-w_ntm28)*Sens!H20100)*m_ads</f>
        <v>115.220850733666</v>
      </c>
    </row>
    <row r="20118" customFormat="false" ht="17.15" hidden="false" customHeight="false" outlineLevel="0" collapsed="false">
      <c r="A20118" s="1" t="s">
        <v>1260</v>
      </c>
      <c r="B20118" s="0" t="s">
        <v>98</v>
      </c>
      <c r="C20118" s="6" t="n">
        <f aca="false">(w_ntm28*Sens!G20105+(1-w_ntm28)*Sens!H20105)*m_game</f>
        <v>98.7897080990645</v>
      </c>
    </row>
    <row r="20119" customFormat="false" ht="17.15" hidden="false" customHeight="false" outlineLevel="0" collapsed="false">
      <c r="A20119" s="1" t="s">
        <v>1261</v>
      </c>
      <c r="B20119" s="0" t="s">
        <v>98</v>
      </c>
      <c r="C20119" s="6" t="n">
        <f aca="false">(w_ntm28*Sens!G20106+(1-w_ntm28)*Sens!H20106)*m_pc</f>
        <v>91.5876864175348</v>
      </c>
    </row>
    <row r="20120" customFormat="false" ht="17.15" hidden="false" customHeight="false" outlineLevel="0" collapsed="false">
      <c r="A20120" s="1" t="s">
        <v>1262</v>
      </c>
      <c r="B20120" s="0" t="s">
        <v>98</v>
      </c>
      <c r="C20120" s="6" t="n">
        <f aca="false">Sens!$C$20110+Sens!$C$20112+Sens!$C$20113+Sens!$C$20114+Sens!$C$20115+Sens!$C$20116+Sens!$C$20117+Sens!$C$20118+Sens!$C$20119</f>
        <v>2878.58450877614</v>
      </c>
    </row>
    <row r="20121" customFormat="false" ht="17.15" hidden="false" customHeight="false" outlineLevel="0" collapsed="false">
      <c r="A20121" s="1" t="s">
        <v>1263</v>
      </c>
      <c r="B20121" s="0" t="s">
        <v>98</v>
      </c>
      <c r="C20121" s="6" t="n">
        <f aca="false">(Sens!G20082-Sens!G20107)*t_stub</f>
        <v>47.459064620626</v>
      </c>
      <c r="L20121" s="1" t="s">
        <v>1264</v>
      </c>
    </row>
    <row r="20122" customFormat="false" ht="17.15" hidden="false" customHeight="false" outlineLevel="0" collapsed="false">
      <c r="A20122" s="1" t="s">
        <v>1173</v>
      </c>
      <c r="B20122" s="0" t="s">
        <v>98</v>
      </c>
      <c r="C20122" s="6" t="n">
        <f aca="false">Sens!F20069+oai_v-Sens!F20058+Sens!$C$20121</f>
        <v>153.720768524331</v>
      </c>
      <c r="L20122" s="1" t="s">
        <v>1265</v>
      </c>
    </row>
    <row r="20123" customFormat="false" ht="17.15" hidden="false" customHeight="false" outlineLevel="0" collapsed="false">
      <c r="A20123" s="1" t="s">
        <v>1266</v>
      </c>
      <c r="B20123" s="0" t="s">
        <v>75</v>
      </c>
      <c r="C20123" s="5" t="n">
        <f aca="false">(Sens!$C$20120+Sens!$C$20122)/(Sens!F20071+dil_gap)-Sens!G20061*roll_div_q/q_per_yr</f>
        <v>403.48361596858</v>
      </c>
      <c r="L20123" s="1" t="s">
        <v>1267</v>
      </c>
    </row>
    <row r="20124" customFormat="false" ht="17.15" hidden="false" customHeight="false" outlineLevel="0" collapsed="false">
      <c r="A20124" s="1" t="s">
        <v>1268</v>
      </c>
      <c r="B20124" s="0" t="s">
        <v>75</v>
      </c>
      <c r="C20124" s="5" t="n">
        <f aca="false">w_dcf*Sens!$C$20094+(1-w_dcf)*Sens!$C$20123</f>
        <v>343.066271810774</v>
      </c>
    </row>
    <row r="20125" customFormat="false" ht="17.15" hidden="false" customHeight="false" outlineLevel="0" collapsed="false">
      <c r="A20125" s="3" t="s">
        <v>2109</v>
      </c>
    </row>
    <row r="20126" customFormat="false" ht="15" hidden="false" customHeight="false" outlineLevel="0" collapsed="false">
      <c r="A20126" s="4" t="s">
        <v>43</v>
      </c>
      <c r="B20126" s="4" t="s">
        <v>65</v>
      </c>
      <c r="C20126" s="23" t="s">
        <v>942</v>
      </c>
      <c r="D20126" s="23" t="s">
        <v>943</v>
      </c>
      <c r="E20126" s="23" t="s">
        <v>944</v>
      </c>
      <c r="F20126" s="23" t="s">
        <v>945</v>
      </c>
      <c r="G20126" s="23" t="s">
        <v>946</v>
      </c>
      <c r="H20126" s="23" t="s">
        <v>947</v>
      </c>
      <c r="I20126" s="23" t="s">
        <v>948</v>
      </c>
      <c r="J20126" s="23" t="s">
        <v>949</v>
      </c>
      <c r="K20126" s="23" t="s">
        <v>950</v>
      </c>
      <c r="L20126" s="4" t="s">
        <v>47</v>
      </c>
    </row>
    <row r="20127" customFormat="false" ht="17.15" hidden="false" customHeight="false" outlineLevel="0" collapsed="false">
      <c r="A20127" s="1" t="s">
        <v>1216</v>
      </c>
      <c r="B20127" s="1" t="s">
        <v>279</v>
      </c>
      <c r="F20127" s="8" t="n">
        <f aca="false">(1-v_off)*mid_yr</f>
        <v>0.373972602739726</v>
      </c>
      <c r="G20127" s="8" t="n">
        <f aca="false">Thesis!G6-base_fy-mid_yr-v_off</f>
        <v>1.24794520547945</v>
      </c>
      <c r="H20127" s="8" t="n">
        <f aca="false">Thesis!H6-base_fy-mid_yr-v_off</f>
        <v>2.24794520547945</v>
      </c>
      <c r="I20127" s="8" t="n">
        <f aca="false">Thesis!I6-base_fy-mid_yr-v_off</f>
        <v>3.24794520547945</v>
      </c>
      <c r="J20127" s="8" t="n">
        <f aca="false">Thesis!J6-base_fy-mid_yr-v_off</f>
        <v>4.24794520547945</v>
      </c>
      <c r="K20127" s="8" t="n">
        <f aca="false">Thesis!K6-base_fy-mid_yr-v_off</f>
        <v>5.24794520547945</v>
      </c>
      <c r="L20127" s="12" t="s">
        <v>1217</v>
      </c>
    </row>
    <row r="20128" customFormat="false" ht="15" hidden="false" customHeight="false" outlineLevel="0" collapsed="false">
      <c r="A20128" s="1" t="s">
        <v>1218</v>
      </c>
      <c r="B20128" s="1" t="s">
        <v>279</v>
      </c>
      <c r="F20128" s="8" t="n">
        <f aca="false">Thesis!F6-base_fy-v_off</f>
        <v>0.747945205479452</v>
      </c>
      <c r="G20128" s="8" t="n">
        <f aca="false">Thesis!G6-base_fy-v_off</f>
        <v>1.74794520547945</v>
      </c>
      <c r="H20128" s="8" t="n">
        <f aca="false">Thesis!H6-base_fy-v_off</f>
        <v>2.74794520547945</v>
      </c>
      <c r="I20128" s="8" t="n">
        <f aca="false">Thesis!I6-base_fy-v_off</f>
        <v>3.74794520547945</v>
      </c>
      <c r="J20128" s="8" t="n">
        <f aca="false">Thesis!J6-base_fy-v_off</f>
        <v>4.74794520547945</v>
      </c>
      <c r="K20128" s="8" t="n">
        <f aca="false">Thesis!K6-base_fy-v_off</f>
        <v>5.74794520547945</v>
      </c>
    </row>
    <row r="20129" customFormat="false" ht="15" hidden="false" customHeight="false" outlineLevel="0" collapsed="false">
      <c r="A20129" s="1" t="s">
        <v>1219</v>
      </c>
      <c r="B20129" s="0" t="s">
        <v>229</v>
      </c>
      <c r="F20129" s="15" t="n">
        <f aca="false">1/(1+wacc)^Sens!F20127</f>
        <v>0.964022703286649</v>
      </c>
      <c r="G20129" s="15" t="n">
        <f aca="false">1/(1+wacc)^Sens!G20127</f>
        <v>0.884910302296739</v>
      </c>
      <c r="H20129" s="15" t="n">
        <f aca="false">1/(1+wacc)^Sens!H20127</f>
        <v>0.802322009770358</v>
      </c>
      <c r="I20129" s="15" t="n">
        <f aca="false">1/(1+wacc)^Sens!I20127</f>
        <v>0.727441646561469</v>
      </c>
      <c r="J20129" s="15" t="n">
        <f aca="false">1/(1+wacc)^Sens!J20127</f>
        <v>0.659549834988973</v>
      </c>
      <c r="K20129" s="15" t="n">
        <f aca="false">1/(1+wacc)^Sens!K20127</f>
        <v>0.597994336576966</v>
      </c>
    </row>
    <row r="20130" customFormat="false" ht="17.15" hidden="false" customHeight="false" outlineLevel="0" collapsed="false">
      <c r="A20130" s="1" t="s">
        <v>1220</v>
      </c>
      <c r="B20130" s="0" t="s">
        <v>98</v>
      </c>
      <c r="F20130" s="6" t="n">
        <f aca="false">Q!$I$35-Q!$I$39-Q!$I$43</f>
        <v>9.666</v>
      </c>
      <c r="L20130" s="12" t="s">
        <v>1221</v>
      </c>
    </row>
    <row r="20131" customFormat="false" ht="17.15" hidden="false" customHeight="false" outlineLevel="0" collapsed="false">
      <c r="A20131" s="1" t="s">
        <v>1222</v>
      </c>
      <c r="B20131" s="0" t="s">
        <v>98</v>
      </c>
      <c r="F20131" s="6" t="n">
        <f aca="false">CF!F23-CF!F20-CF!F27+Thesis!F47*(1-tax_f)*(1-v_off)-Sens!F20130</f>
        <v>-1.12880264559539</v>
      </c>
      <c r="G20131" s="6" t="n">
        <f aca="false">CF!G23-CF!G20-CF!G27+Thesis!G47*(1-tax_f)</f>
        <v>38.7194421947551</v>
      </c>
      <c r="H20131" s="6" t="n">
        <f aca="false">CF!H23-CF!H20-CF!H27+Thesis!H47*(1-tax_f)</f>
        <v>98.6927474567662</v>
      </c>
      <c r="I20131" s="6" t="n">
        <f aca="false">CF!I23-CF!I20-CF!I27+Thesis!I47*(1-tax_f)</f>
        <v>181.625440536277</v>
      </c>
      <c r="J20131" s="6" t="n">
        <f aca="false">CF!J23-CF!J20-CF!J27+Thesis!J47*(1-tax_f)</f>
        <v>263.350402418584</v>
      </c>
      <c r="K20131" s="6" t="n">
        <f aca="false">CF!K23-CF!K20-CF!K27+Thesis!K47*(1-tax_f)</f>
        <v>303.659068389018</v>
      </c>
      <c r="L20131" s="1" t="s">
        <v>1223</v>
      </c>
    </row>
    <row r="20132" customFormat="false" ht="15" hidden="false" customHeight="false" outlineLevel="0" collapsed="false">
      <c r="A20132" s="1" t="s">
        <v>1224</v>
      </c>
      <c r="B20132" s="0" t="s">
        <v>98</v>
      </c>
      <c r="F20132" s="6" t="n">
        <f aca="false">Sens!F20131*Sens!F20129</f>
        <v>-1.08819137788399</v>
      </c>
      <c r="G20132" s="6" t="n">
        <f aca="false">Sens!G20131*Sens!G20129</f>
        <v>34.2632332973219</v>
      </c>
      <c r="H20132" s="6" t="n">
        <f aca="false">Sens!H20131*Sens!H20129</f>
        <v>79.183363489271</v>
      </c>
      <c r="I20132" s="6" t="n">
        <f aca="false">Sens!I20131*Sens!I20129</f>
        <v>132.121909521162</v>
      </c>
      <c r="J20132" s="6" t="n">
        <f aca="false">Sens!J20131*Sens!J20129</f>
        <v>173.692714459456</v>
      </c>
      <c r="K20132" s="6" t="n">
        <f aca="false">Sens!K20131*Sens!K20129</f>
        <v>181.58640314687</v>
      </c>
    </row>
    <row r="20133" customFormat="false" ht="17.15" hidden="false" customHeight="false" outlineLevel="0" collapsed="false">
      <c r="A20133" s="1" t="s">
        <v>1225</v>
      </c>
      <c r="B20133" s="0" t="s">
        <v>98</v>
      </c>
      <c r="C20133" s="6" t="n">
        <f aca="false">SUM(Sens!F20132:K20132)</f>
        <v>599.759432536197</v>
      </c>
    </row>
    <row r="20134" customFormat="false" ht="17.15" hidden="false" customHeight="false" outlineLevel="0" collapsed="false">
      <c r="A20134" s="1" t="s">
        <v>1226</v>
      </c>
      <c r="B20134" s="0" t="s">
        <v>98</v>
      </c>
      <c r="C20134" s="6" t="n">
        <f aca="false">PL!K39*(1+g_tv)*(1-tax_f)</f>
        <v>316.501318799308</v>
      </c>
    </row>
    <row r="20135" customFormat="false" ht="17.15" hidden="false" customHeight="false" outlineLevel="0" collapsed="false">
      <c r="A20135" s="1" t="s">
        <v>1227</v>
      </c>
      <c r="B20135" s="0" t="s">
        <v>98</v>
      </c>
      <c r="C20135" s="6" t="n">
        <f aca="false">Sens!$C$20134*(1-g_tv/(wacc+ronic_prem))</f>
        <v>224.25968269347</v>
      </c>
    </row>
    <row r="20136" customFormat="false" ht="17.15" hidden="false" customHeight="false" outlineLevel="0" collapsed="false">
      <c r="A20136" s="1" t="s">
        <v>1228</v>
      </c>
      <c r="B20136" s="0" t="s">
        <v>98</v>
      </c>
      <c r="C20136" s="6" t="n">
        <f aca="false">Sens!$C$20135/(wacc-g_tv)</f>
        <v>3074.72120352792</v>
      </c>
    </row>
    <row r="20137" customFormat="false" ht="15" hidden="false" customHeight="false" outlineLevel="0" collapsed="false">
      <c r="A20137" s="1" t="s">
        <v>1229</v>
      </c>
      <c r="B20137" s="0" t="s">
        <v>98</v>
      </c>
      <c r="C20137" s="6" t="n">
        <f aca="false">Sens!$C$20136/(1+wacc)^Sens!K20128</f>
        <v>1750.76373116397</v>
      </c>
    </row>
    <row r="20138" customFormat="false" ht="17.15" hidden="false" customHeight="false" outlineLevel="0" collapsed="false">
      <c r="A20138" s="0" t="s">
        <v>1230</v>
      </c>
      <c r="B20138" s="0" t="s">
        <v>98</v>
      </c>
      <c r="C20138" s="6" t="n">
        <f aca="false">Sens!$C$20133+Sens!$C$20137</f>
        <v>2350.52316370017</v>
      </c>
    </row>
    <row r="20139" customFormat="false" ht="15" hidden="false" customHeight="false" outlineLevel="0" collapsed="false">
      <c r="A20139" s="1" t="s">
        <v>1145</v>
      </c>
      <c r="B20139" s="0" t="s">
        <v>168</v>
      </c>
      <c r="C20139" s="7" t="n">
        <f aca="false">Sens!$C$20137/Sens!$C$20138</f>
        <v>0.744840024638574</v>
      </c>
    </row>
    <row r="20140" customFormat="false" ht="17.15" hidden="false" customHeight="false" outlineLevel="0" collapsed="false">
      <c r="A20140" s="1" t="s">
        <v>1231</v>
      </c>
      <c r="B20140" s="0" t="s">
        <v>98</v>
      </c>
      <c r="C20140" s="6" t="n">
        <f aca="false">Sens!$C$20138+cash_val-debt_val-fl_val+oai_v</f>
        <v>2466.37416370017</v>
      </c>
    </row>
    <row r="20141" customFormat="false" ht="17.15" hidden="false" customHeight="false" outlineLevel="0" collapsed="false">
      <c r="A20141" s="0" t="s">
        <v>1153</v>
      </c>
      <c r="B20141" s="0" t="s">
        <v>75</v>
      </c>
      <c r="C20141" s="5" t="n">
        <f aca="false">Sens!$C$20140/shd_val</f>
        <v>331.234778901447</v>
      </c>
    </row>
    <row r="20142" customFormat="false" ht="15" hidden="false" customHeight="false" outlineLevel="0" collapsed="false">
      <c r="A20142" s="1" t="s">
        <v>1232</v>
      </c>
      <c r="B20142" s="0" t="s">
        <v>75</v>
      </c>
      <c r="C20142" s="8" t="n">
        <f aca="false">div_rem27+CF!G31*2/q_per_yr</f>
        <v>5.019</v>
      </c>
    </row>
    <row r="20143" customFormat="false" ht="17.15" hidden="false" customHeight="false" outlineLevel="0" collapsed="false">
      <c r="A20143" s="0" t="s">
        <v>1233</v>
      </c>
      <c r="B20143" s="0" t="s">
        <v>75</v>
      </c>
      <c r="C20143" s="5" t="n">
        <f aca="false">Sens!$C$20141*(1+wacc)^((tgt_alt-roll_d1)/days_yr)-Sens!$C$20142</f>
        <v>372.170086951879</v>
      </c>
    </row>
    <row r="20144" customFormat="false" ht="17.15" hidden="false" customHeight="false" outlineLevel="0" collapsed="false">
      <c r="A20144" s="1" t="s">
        <v>1234</v>
      </c>
      <c r="B20144" s="0" t="s">
        <v>168</v>
      </c>
      <c r="F20144" s="7" t="n">
        <f aca="false">CF!F17/(Seg!F29-Thesis!F25)</f>
        <v>0.0685527305696859</v>
      </c>
      <c r="G20144" s="7" t="n">
        <f aca="false">CF!G17/(Seg!G29-Thesis!G25)</f>
        <v>0.0653567731599844</v>
      </c>
      <c r="H20144" s="7" t="n">
        <f aca="false">CF!H17/(Seg!H29-Thesis!H25)</f>
        <v>0.0636628841026972</v>
      </c>
      <c r="I20144" s="7" t="n">
        <f aca="false">CF!I17/(Seg!I29-Thesis!I25)</f>
        <v>0.0633581084335176</v>
      </c>
      <c r="J20144" s="7" t="n">
        <f aca="false">CF!J17/(Seg!J29-Thesis!J25)</f>
        <v>0.0640873955995062</v>
      </c>
      <c r="K20144" s="7" t="n">
        <f aca="false">CF!K17/(Seg!K29-Thesis!K25)</f>
        <v>0.0653962234835198</v>
      </c>
    </row>
    <row r="20145" customFormat="false" ht="17.15" hidden="false" customHeight="false" outlineLevel="0" collapsed="false">
      <c r="A20145" s="0" t="s">
        <v>1235</v>
      </c>
      <c r="B20145" s="0" t="s">
        <v>98</v>
      </c>
      <c r="F20145" s="6" t="n">
        <f aca="false">Seg!F14*(al_m365+Sens!F20144+sbc_r)</f>
        <v>84.5213906545575</v>
      </c>
      <c r="G20145" s="6" t="n">
        <f aca="false">Seg!G14*(al_m365+Sens!G20144+sbc_r)</f>
        <v>98.949983331796</v>
      </c>
      <c r="H20145" s="6" t="n">
        <f aca="false">Seg!H14*(al_m365+Sens!H20144+sbc_r)</f>
        <v>113.543734275326</v>
      </c>
      <c r="I20145" s="6" t="n">
        <f aca="false">Seg!I14*(al_m365+Sens!I20144+sbc_r)</f>
        <v>126.62058838692</v>
      </c>
      <c r="J20145" s="6" t="n">
        <f aca="false">Seg!J14*(al_m365+Sens!J20144+sbc_r)</f>
        <v>137.994660156303</v>
      </c>
      <c r="K20145" s="6" t="n">
        <f aca="false">Seg!K14*(al_m365+Sens!K20144+sbc_r)</f>
        <v>148.989224092997</v>
      </c>
      <c r="L20145" s="12" t="s">
        <v>1236</v>
      </c>
    </row>
    <row r="20146" customFormat="false" ht="17.15" hidden="false" customHeight="false" outlineLevel="0" collapsed="false">
      <c r="A20146" s="0" t="s">
        <v>1237</v>
      </c>
      <c r="B20146" s="0" t="s">
        <v>98</v>
      </c>
      <c r="F20146" s="6" t="n">
        <f aca="false">Seg!F15*(al_lic+Sens!F20144+sbc_r)</f>
        <v>32.855200196554</v>
      </c>
      <c r="G20146" s="6" t="n">
        <f aca="false">Seg!G15*(al_lic+Sens!G20144+sbc_r)</f>
        <v>34.1185582613282</v>
      </c>
      <c r="H20146" s="6" t="n">
        <f aca="false">Seg!H15*(al_lic+Sens!H20144+sbc_r)</f>
        <v>35.3024309363621</v>
      </c>
      <c r="I20146" s="6" t="n">
        <f aca="false">Seg!I15*(al_lic+Sens!I20144+sbc_r)</f>
        <v>36.3898468129533</v>
      </c>
      <c r="J20146" s="6" t="n">
        <f aca="false">Seg!J15*(al_lic+Sens!J20144+sbc_r)</f>
        <v>37.3529129529876</v>
      </c>
      <c r="K20146" s="6" t="n">
        <f aca="false">Seg!K15*(al_lic+Sens!K20144+sbc_r)</f>
        <v>38.158536171203</v>
      </c>
    </row>
    <row r="20147" customFormat="false" ht="17.15" hidden="false" customHeight="false" outlineLevel="0" collapsed="false">
      <c r="A20147" s="0" t="s">
        <v>1238</v>
      </c>
      <c r="B20147" s="0" t="s">
        <v>98</v>
      </c>
      <c r="F20147" s="6" t="n">
        <f aca="false">Seg!F17*(al_ind+Sens!F20144+sbc_r)</f>
        <v>9.05892547956683</v>
      </c>
      <c r="G20147" s="6" t="n">
        <f aca="false">Seg!G17*(al_ind+Sens!G20144+sbc_r)</f>
        <v>9.82456487622418</v>
      </c>
      <c r="H20147" s="6" t="n">
        <f aca="false">Seg!H17*(al_ind+Sens!H20144+sbc_r)</f>
        <v>10.6377408477959</v>
      </c>
      <c r="I20147" s="6" t="n">
        <f aca="false">Seg!I17*(al_ind+Sens!I20144+sbc_r)</f>
        <v>11.4966323260293</v>
      </c>
      <c r="J20147" s="6" t="n">
        <f aca="false">Seg!J17*(al_ind+Sens!J20144+sbc_r)</f>
        <v>12.3903660286279</v>
      </c>
      <c r="K20147" s="6" t="n">
        <f aca="false">Seg!K17*(al_ind+Sens!K20144+sbc_r)</f>
        <v>13.3009129057681</v>
      </c>
    </row>
    <row r="20148" customFormat="false" ht="17.15" hidden="false" customHeight="false" outlineLevel="0" collapsed="false">
      <c r="A20148" s="0" t="s">
        <v>1239</v>
      </c>
      <c r="B20148" s="0" t="s">
        <v>98</v>
      </c>
      <c r="F20148" s="6" t="n">
        <f aca="false">Seg!F19*(al_fro+Sens!F20144+sbc_r)</f>
        <v>3.55344443532423</v>
      </c>
      <c r="G20148" s="6" t="n">
        <f aca="false">Seg!G19*(al_fro+Sens!G20144+sbc_r)</f>
        <v>3.75916645971565</v>
      </c>
      <c r="H20148" s="6" t="n">
        <f aca="false">Seg!H19*(al_fro+Sens!H20144+sbc_r)</f>
        <v>3.994970960527</v>
      </c>
      <c r="I20148" s="6" t="n">
        <f aca="false">Seg!I19*(al_fro+Sens!I20144+sbc_r)</f>
        <v>4.26396270432353</v>
      </c>
      <c r="J20148" s="6" t="n">
        <f aca="false">Seg!J19*(al_fro+Sens!J20144+sbc_r)</f>
        <v>4.5667795874336</v>
      </c>
      <c r="K20148" s="6" t="n">
        <f aca="false">Seg!K19*(al_fro+Sens!K20144+sbc_r)</f>
        <v>4.90238443416026</v>
      </c>
    </row>
    <row r="20149" customFormat="false" ht="17.15" hidden="false" customHeight="false" outlineLevel="0" collapsed="false">
      <c r="A20149" s="0" t="s">
        <v>1240</v>
      </c>
      <c r="B20149" s="0" t="s">
        <v>98</v>
      </c>
      <c r="F20149" s="6" t="n">
        <f aca="false">Seg!F22*(al_srch+Sens!F20144+sbc_r)</f>
        <v>11.1872483445711</v>
      </c>
      <c r="G20149" s="6" t="n">
        <f aca="false">Seg!G22*(al_srch+Sens!G20144+sbc_r)</f>
        <v>12.247246048296</v>
      </c>
      <c r="H20149" s="6" t="n">
        <f aca="false">Seg!H22*(al_srch+Sens!H20144+sbc_r)</f>
        <v>13.3552870946193</v>
      </c>
      <c r="I20149" s="6" t="n">
        <f aca="false">Seg!I22*(al_srch+Sens!I20144+sbc_r)</f>
        <v>14.5024145321619</v>
      </c>
      <c r="J20149" s="6" t="n">
        <f aca="false">Seg!J22*(al_srch+Sens!J20144+sbc_r)</f>
        <v>15.667276660652</v>
      </c>
      <c r="K20149" s="6" t="n">
        <f aca="false">Seg!K22*(al_srch+Sens!K20144+sbc_r)</f>
        <v>16.8186381138719</v>
      </c>
    </row>
    <row r="20150" customFormat="false" ht="17.15" hidden="false" customHeight="false" outlineLevel="0" collapsed="false">
      <c r="A20150" s="0" t="s">
        <v>1241</v>
      </c>
      <c r="B20150" s="0" t="s">
        <v>98</v>
      </c>
      <c r="F20150" s="6" t="n">
        <f aca="false">Thesis!F31-Thesis!F32+Thesis!F47</f>
        <v>45.3782580567763</v>
      </c>
      <c r="G20150" s="6" t="n">
        <f aca="false">Thesis!G31-Thesis!G32+Thesis!G47</f>
        <v>91.0863367558165</v>
      </c>
      <c r="H20150" s="6" t="n">
        <f aca="false">Thesis!H31-Thesis!H32+Thesis!H47</f>
        <v>144.617532464853</v>
      </c>
      <c r="I20150" s="6" t="n">
        <f aca="false">Thesis!I31-Thesis!I32+Thesis!I47</f>
        <v>187.137304561304</v>
      </c>
      <c r="J20150" s="6" t="n">
        <f aca="false">Thesis!J31-Thesis!J32+Thesis!J47</f>
        <v>217.006854425907</v>
      </c>
      <c r="K20150" s="6" t="n">
        <f aca="false">Thesis!K31-Thesis!K32+Thesis!K47</f>
        <v>234.933637903877</v>
      </c>
    </row>
    <row r="20151" customFormat="false" ht="17.15" hidden="false" customHeight="false" outlineLevel="0" collapsed="false">
      <c r="A20151" s="0" t="s">
        <v>1242</v>
      </c>
      <c r="B20151" s="0" t="s">
        <v>98</v>
      </c>
      <c r="F20151" s="6" t="n">
        <f aca="false">PL!F32+Thesis!F47+Thesis!F43+Sens!F20144*(Seg!F21-Thesis!F25)+sbc_r*Seg!F21</f>
        <v>240.818167741339</v>
      </c>
      <c r="G20151" s="6" t="n">
        <f aca="false">PL!G32+Thesis!G47+Thesis!G43+Sens!G20144*(Seg!G21-Thesis!G25)+sbc_r*Seg!G21</f>
        <v>311.917784140952</v>
      </c>
      <c r="H20151" s="6" t="n">
        <f aca="false">PL!H32+Thesis!H47+Thesis!H43+Sens!H20144*(Seg!H21-Thesis!H25)+sbc_r*Seg!H21</f>
        <v>395.486245683473</v>
      </c>
      <c r="I20151" s="6" t="n">
        <f aca="false">PL!I32+Thesis!I47+Thesis!I43+Sens!I20144*(Seg!I21-Thesis!I25)+sbc_r*Seg!I21</f>
        <v>465.950805948377</v>
      </c>
      <c r="J20151" s="6" t="n">
        <f aca="false">PL!J32+Thesis!J47+Thesis!J43+Sens!J20144*(Seg!J21-Thesis!J25)+sbc_r*Seg!J21</f>
        <v>520.78677388057</v>
      </c>
      <c r="K20151" s="6" t="n">
        <f aca="false">PL!K32+Thesis!K47+Thesis!K43+Sens!K20144*(Seg!K21-Thesis!K25)+sbc_r*Seg!K21</f>
        <v>561.2469767412</v>
      </c>
    </row>
    <row r="20152" customFormat="false" ht="17.15" hidden="false" customHeight="false" outlineLevel="0" collapsed="false">
      <c r="A20152" s="0" t="s">
        <v>1243</v>
      </c>
      <c r="B20152" s="0" t="s">
        <v>98</v>
      </c>
      <c r="F20152" s="6" t="n">
        <f aca="false">Sens!F20151-Sens!F20145-Sens!F20146-Sens!F20147-Sens!F20148-Sens!F20150</f>
        <v>65.4509489185601</v>
      </c>
      <c r="G20152" s="6" t="n">
        <f aca="false">Sens!G20151-Sens!G20145-Sens!G20146-Sens!G20147-Sens!G20148-Sens!G20150</f>
        <v>74.1791744560715</v>
      </c>
      <c r="H20152" s="6" t="n">
        <f aca="false">Sens!H20151-Sens!H20145-Sens!H20146-Sens!H20147-Sens!H20148-Sens!H20150</f>
        <v>87.3898361986086</v>
      </c>
      <c r="I20152" s="6" t="n">
        <f aca="false">Sens!I20151-Sens!I20145-Sens!I20146-Sens!I20147-Sens!I20148-Sens!I20150</f>
        <v>100.042471156846</v>
      </c>
      <c r="J20152" s="6" t="n">
        <f aca="false">Sens!J20151-Sens!J20145-Sens!J20146-Sens!J20147-Sens!J20148-Sens!J20150</f>
        <v>111.475200729312</v>
      </c>
      <c r="K20152" s="6" t="n">
        <f aca="false">Sens!K20151-Sens!K20145-Sens!K20146-Sens!K20147-Sens!K20148-Sens!K20150</f>
        <v>120.962281233195</v>
      </c>
    </row>
    <row r="20153" customFormat="false" ht="17.15" hidden="false" customHeight="false" outlineLevel="0" collapsed="false">
      <c r="A20153" s="0" t="s">
        <v>1244</v>
      </c>
      <c r="B20153" s="0" t="s">
        <v>98</v>
      </c>
      <c r="F20153" s="6" t="n">
        <f aca="false">PL!F34+Sens!F20144*Seg!F28+sbc_r*Seg!F28</f>
        <v>26.6293388420472</v>
      </c>
      <c r="G20153" s="6" t="n">
        <f aca="false">PL!G34+Sens!G20144*Seg!G28+sbc_r*Seg!G28</f>
        <v>26.4405000412783</v>
      </c>
      <c r="H20153" s="6" t="n">
        <f aca="false">PL!H34+Sens!H20144*Seg!H28+sbc_r*Seg!H28</f>
        <v>27.296860059552</v>
      </c>
      <c r="I20153" s="6" t="n">
        <f aca="false">PL!I34+Sens!I20144*Seg!I28+sbc_r*Seg!I28</f>
        <v>28.3995465815703</v>
      </c>
      <c r="J20153" s="6" t="n">
        <f aca="false">PL!J34+Sens!J20144*Seg!J28+sbc_r*Seg!J28</f>
        <v>29.7093380975903</v>
      </c>
      <c r="K20153" s="6" t="n">
        <f aca="false">PL!K34+Sens!K20144*Seg!K28+sbc_r*Seg!K28</f>
        <v>31.1817775287323</v>
      </c>
    </row>
    <row r="20154" customFormat="false" ht="17.15" hidden="false" customHeight="false" outlineLevel="0" collapsed="false">
      <c r="A20154" s="0" t="s">
        <v>1245</v>
      </c>
      <c r="B20154" s="0" t="s">
        <v>98</v>
      </c>
      <c r="F20154" s="6" t="n">
        <f aca="false">(Sens!F20153-Sens!F20149)*Seg!F24/(Seg!F24+Seg!F26)</f>
        <v>8.72146908842971</v>
      </c>
      <c r="G20154" s="6" t="n">
        <f aca="false">(Sens!G20153-Sens!G20149)*Seg!G24/(Seg!G24+Seg!G26)</f>
        <v>7.87837655379173</v>
      </c>
      <c r="H20154" s="6" t="n">
        <f aca="false">(Sens!H20153-Sens!H20149)*Seg!H24/(Seg!H24+Seg!H26)</f>
        <v>7.63786170689933</v>
      </c>
      <c r="I20154" s="6" t="n">
        <f aca="false">(Sens!I20153-Sens!I20149)*Seg!I24/(Seg!I24+Seg!I26)</f>
        <v>7.5470606300581</v>
      </c>
      <c r="J20154" s="6" t="n">
        <f aca="false">(Sens!J20153-Sens!J20149)*Seg!J24/(Seg!J24+Seg!J26)</f>
        <v>7.59249600034024</v>
      </c>
      <c r="K20154" s="6" t="n">
        <f aca="false">(Sens!K20153-Sens!K20149)*Seg!K24/(Seg!K24+Seg!K26)</f>
        <v>7.76610179704742</v>
      </c>
    </row>
    <row r="20155" customFormat="false" ht="17.15" hidden="false" customHeight="false" outlineLevel="0" collapsed="false">
      <c r="A20155" s="0" t="s">
        <v>1246</v>
      </c>
      <c r="B20155" s="0" t="s">
        <v>98</v>
      </c>
      <c r="F20155" s="6" t="n">
        <f aca="false">Sens!F20153-Sens!F20149-Sens!F20154</f>
        <v>6.72062140904636</v>
      </c>
      <c r="G20155" s="6" t="n">
        <f aca="false">Sens!G20153-Sens!G20149-Sens!G20154</f>
        <v>6.31487743919059</v>
      </c>
      <c r="H20155" s="6" t="n">
        <f aca="false">Sens!H20153-Sens!H20149-Sens!H20154</f>
        <v>6.30371125803333</v>
      </c>
      <c r="I20155" s="6" t="n">
        <f aca="false">Sens!I20153-Sens!I20149-Sens!I20154</f>
        <v>6.35007141935025</v>
      </c>
      <c r="J20155" s="6" t="n">
        <f aca="false">Sens!J20153-Sens!J20149-Sens!J20154</f>
        <v>6.44956543659808</v>
      </c>
      <c r="K20155" s="6" t="n">
        <f aca="false">Sens!K20153-Sens!K20149-Sens!K20154</f>
        <v>6.597037617813</v>
      </c>
    </row>
    <row r="20156" customFormat="false" ht="17.15" hidden="false" customHeight="false" outlineLevel="0" collapsed="false">
      <c r="A20156" s="0" t="s">
        <v>1247</v>
      </c>
      <c r="B20156" s="0" t="s">
        <v>98</v>
      </c>
      <c r="F20156" s="6" t="n">
        <f aca="false">Sens!F20150-tax_f*(Sens!F20150-Thesis!F43)-Thesis!F40</f>
        <v>-125.235434701028</v>
      </c>
      <c r="G20156" s="6" t="n">
        <f aca="false">Sens!G20150-tax_f*(Sens!G20150-Thesis!G43)-Thesis!G40</f>
        <v>-106.928508113935</v>
      </c>
      <c r="H20156" s="6" t="n">
        <f aca="false">Sens!H20150-tax_f*(Sens!H20150-Thesis!H43)-Thesis!H40</f>
        <v>-63.2919599603405</v>
      </c>
      <c r="I20156" s="6" t="n">
        <f aca="false">Sens!I20150-tax_f*(Sens!I20150-Thesis!I43)-Thesis!I40</f>
        <v>3.94121196634245</v>
      </c>
      <c r="J20156" s="6" t="n">
        <f aca="false">Sens!J20150-tax_f*(Sens!J20150-Thesis!J43)-Thesis!J40</f>
        <v>71.0786869547042</v>
      </c>
      <c r="K20156" s="6" t="n">
        <f aca="false">Sens!K20150-tax_f*(Sens!K20150-Thesis!K43)-Thesis!K40</f>
        <v>97.5865911685559</v>
      </c>
    </row>
    <row r="20157" customFormat="false" ht="17.15" hidden="false" customHeight="false" outlineLevel="0" collapsed="false">
      <c r="A20157" s="0" t="s">
        <v>1248</v>
      </c>
      <c r="B20157" s="0" t="s">
        <v>98</v>
      </c>
      <c r="G20157" s="6" t="n">
        <f aca="false">Sens!G20156/(1+wacc)^(Sens!G20127-Sens!F20128)</f>
        <v>-101.81651667568</v>
      </c>
      <c r="H20157" s="6" t="n">
        <f aca="false">Sens!H20156/(1+wacc)^(Sens!H20127-Sens!F20128)</f>
        <v>-54.6415143556151</v>
      </c>
      <c r="I20157" s="6" t="n">
        <f aca="false">Sens!I20156/(1+wacc)^(Sens!I20127-Sens!F20128)</f>
        <v>3.08498765169516</v>
      </c>
      <c r="J20157" s="6" t="n">
        <f aca="false">Sens!J20156/(1+wacc)^(Sens!J20127-Sens!F20128)</f>
        <v>50.4443451596971</v>
      </c>
      <c r="K20157" s="6" t="n">
        <f aca="false">Sens!K20156/(1+wacc)^(Sens!K20127-Sens!F20128)</f>
        <v>62.7932114544856</v>
      </c>
      <c r="L20157" s="1" t="s">
        <v>1249</v>
      </c>
    </row>
    <row r="20158" customFormat="false" ht="17.15" hidden="false" customHeight="false" outlineLevel="0" collapsed="false">
      <c r="A20158" s="0" t="s">
        <v>1250</v>
      </c>
      <c r="B20158" s="0" t="s">
        <v>98</v>
      </c>
      <c r="C20158" s="6" t="n">
        <f aca="false">(Sens!K20150-Thesis!K43)*(1-tax_f)*(1+g_tv)*(1-g_tv/(wacc+ronic_prem))/(wacc-g_tv)/(1+wacc)^(Sens!K20128-Sens!F20128)</f>
        <v>450.836735002813</v>
      </c>
    </row>
    <row r="20159" customFormat="false" ht="17.15" hidden="false" customHeight="false" outlineLevel="0" collapsed="false">
      <c r="A20159" s="1" t="s">
        <v>1251</v>
      </c>
      <c r="B20159" s="0" t="s">
        <v>98</v>
      </c>
      <c r="C20159" s="6" t="n">
        <f aca="false">(SUM(Sens!G20157:K20157)+Sens!$C$20158)*(1+wacc)^(((tgt_alt-roll_d1)/days_yr)-Sens!F20128)</f>
        <v>434.634038439159</v>
      </c>
      <c r="L20159" s="12" t="s">
        <v>1252</v>
      </c>
    </row>
    <row r="20160" customFormat="false" ht="17.15" hidden="false" customHeight="false" outlineLevel="0" collapsed="false">
      <c r="A20160" s="1" t="s">
        <v>1253</v>
      </c>
      <c r="B20160" s="0" t="s">
        <v>98</v>
      </c>
      <c r="C20160" s="6" t="n">
        <f aca="false">(((fy28_end-tgt_alt)/days_yr)*Thesis!G31+(1-((fy28_end-tgt_alt)/days_yr))*Thesis!H31)*m_ai</f>
        <v>627.062463037381</v>
      </c>
    </row>
    <row r="20161" customFormat="false" ht="17.15" hidden="false" customHeight="false" outlineLevel="0" collapsed="false">
      <c r="A20161" s="1" t="s">
        <v>1254</v>
      </c>
      <c r="B20161" s="0" t="s">
        <v>98</v>
      </c>
      <c r="C20161" s="6" t="n">
        <f aca="false">(((fy28_end-tgt_alt)/days_yr)*Sens!G20152+(1-((fy28_end-tgt_alt)/days_yr))*Sens!H20152)*m_cloud</f>
        <v>1130.19723895329</v>
      </c>
    </row>
    <row r="20162" customFormat="false" ht="17.15" hidden="false" customHeight="false" outlineLevel="0" collapsed="false">
      <c r="A20162" s="1" t="s">
        <v>1255</v>
      </c>
      <c r="B20162" s="0" t="s">
        <v>98</v>
      </c>
      <c r="C20162" s="6" t="n">
        <f aca="false">(((fy28_end-tgt_alt)/days_yr)*Sens!G20145+(1-((fy28_end-tgt_alt)/days_yr))*Sens!H20145)*m_sw</f>
        <v>1159.34099022977</v>
      </c>
    </row>
    <row r="20163" customFormat="false" ht="17.15" hidden="false" customHeight="false" outlineLevel="0" collapsed="false">
      <c r="A20163" s="1" t="s">
        <v>1256</v>
      </c>
      <c r="B20163" s="0" t="s">
        <v>98</v>
      </c>
      <c r="C20163" s="6" t="n">
        <f aca="false">(((fy28_end-tgt_alt)/days_yr)*Sens!G20146+(1-((fy28_end-tgt_alt)/days_yr))*Sens!H20146)*m_sw</f>
        <v>375.836657241459</v>
      </c>
    </row>
    <row r="20164" customFormat="false" ht="17.15" hidden="false" customHeight="false" outlineLevel="0" collapsed="false">
      <c r="A20164" s="1" t="s">
        <v>1257</v>
      </c>
      <c r="B20164" s="0" t="s">
        <v>98</v>
      </c>
      <c r="C20164" s="6" t="n">
        <f aca="false">(((fy28_end-tgt_alt)/days_yr)*Sens!G20147+(1-((fy28_end-tgt_alt)/days_yr))*Sens!H20147)*m_sw</f>
        <v>111.158131083836</v>
      </c>
    </row>
    <row r="20165" customFormat="false" ht="17.15" hidden="false" customHeight="false" outlineLevel="0" collapsed="false">
      <c r="A20165" s="1" t="s">
        <v>1258</v>
      </c>
      <c r="B20165" s="0" t="s">
        <v>98</v>
      </c>
      <c r="C20165" s="6" t="n">
        <f aca="false">(((fy28_end-tgt_alt)/days_yr)*Sens!G20148+(1-((fy28_end-tgt_alt)/days_yr))*Sens!H20148)*m_sw</f>
        <v>42.0642158686006</v>
      </c>
    </row>
    <row r="20166" customFormat="false" ht="17.15" hidden="false" customHeight="false" outlineLevel="0" collapsed="false">
      <c r="A20166" s="1" t="s">
        <v>1259</v>
      </c>
      <c r="B20166" s="0" t="s">
        <v>98</v>
      </c>
      <c r="C20166" s="6" t="n">
        <f aca="false">(((fy28_end-tgt_alt)/days_yr)*Sens!G20149+(1-((fy28_end-tgt_alt)/days_yr))*Sens!H20149)*m_ads</f>
        <v>117.380064447158</v>
      </c>
    </row>
    <row r="20167" customFormat="false" ht="17.15" hidden="false" customHeight="false" outlineLevel="0" collapsed="false">
      <c r="A20167" s="1" t="s">
        <v>1260</v>
      </c>
      <c r="B20167" s="0" t="s">
        <v>98</v>
      </c>
      <c r="C20167" s="6" t="n">
        <f aca="false">(((fy28_end-tgt_alt)/days_yr)*Sens!G20154+(1-((fy28_end-tgt_alt)/days_yr))*Sens!H20154)*m_game</f>
        <v>97.7561766184643</v>
      </c>
    </row>
    <row r="20168" customFormat="false" ht="17.15" hidden="false" customHeight="false" outlineLevel="0" collapsed="false">
      <c r="A20168" s="1" t="s">
        <v>1261</v>
      </c>
      <c r="B20168" s="0" t="s">
        <v>98</v>
      </c>
      <c r="C20168" s="6" t="n">
        <f aca="false">(((fy28_end-tgt_alt)/days_yr)*Sens!G20155+(1-((fy28_end-tgt_alt)/days_yr))*Sens!H20155)*m_pc</f>
        <v>91.2833157925328</v>
      </c>
    </row>
    <row r="20169" customFormat="false" ht="17.15" hidden="false" customHeight="false" outlineLevel="0" collapsed="false">
      <c r="A20169" s="1" t="s">
        <v>1262</v>
      </c>
      <c r="B20169" s="0" t="s">
        <v>98</v>
      </c>
      <c r="C20169" s="6" t="n">
        <f aca="false">Sens!$C$20159+Sens!$C$20161+Sens!$C$20162+Sens!$C$20163+Sens!$C$20164+Sens!$C$20165+Sens!$C$20166+Sens!$C$20167+Sens!$C$20168</f>
        <v>3559.65082867427</v>
      </c>
    </row>
    <row r="20170" customFormat="false" ht="17.15" hidden="false" customHeight="false" outlineLevel="0" collapsed="false">
      <c r="A20170" s="1" t="s">
        <v>1263</v>
      </c>
      <c r="B20170" s="0" t="s">
        <v>98</v>
      </c>
      <c r="C20170" s="6" t="n">
        <f aca="false">(Sens!G20131-Sens!G20156)*((tgt_alt-stub_d0)/days_yr)</f>
        <v>84.1964863428319</v>
      </c>
      <c r="L20170" s="1" t="s">
        <v>1264</v>
      </c>
    </row>
    <row r="20171" customFormat="false" ht="17.15" hidden="false" customHeight="false" outlineLevel="0" collapsed="false">
      <c r="A20171" s="1" t="s">
        <v>1173</v>
      </c>
      <c r="B20171" s="0" t="s">
        <v>98</v>
      </c>
      <c r="C20171" s="6" t="n">
        <f aca="false">CF!F39+oai_v-CF!F28+Sens!$C$20170</f>
        <v>198.424756342832</v>
      </c>
      <c r="L20171" s="1" t="s">
        <v>1265</v>
      </c>
    </row>
    <row r="20172" customFormat="false" ht="17.15" hidden="false" customHeight="false" outlineLevel="0" collapsed="false">
      <c r="A20172" s="1" t="s">
        <v>1266</v>
      </c>
      <c r="B20172" s="0" t="s">
        <v>75</v>
      </c>
      <c r="C20172" s="5" t="n">
        <f aca="false">(Sens!$C$20169+Sens!$C$20171)/(CF!F41+dil_gap)-CF!G31*2/q_per_yr</f>
        <v>499.64896245412</v>
      </c>
      <c r="L20172" s="1" t="s">
        <v>1267</v>
      </c>
    </row>
    <row r="20173" customFormat="false" ht="17.15" hidden="false" customHeight="false" outlineLevel="0" collapsed="false">
      <c r="A20173" s="1" t="s">
        <v>1268</v>
      </c>
      <c r="B20173" s="0" t="s">
        <v>75</v>
      </c>
      <c r="C20173" s="5" t="n">
        <f aca="false">w_dcf*Sens!$C$20143+(1-w_dcf)*Sens!$C$20172</f>
        <v>435.909524703</v>
      </c>
    </row>
    <row r="20174" customFormat="false" ht="17.15" hidden="false" customHeight="false" outlineLevel="0" collapsed="false">
      <c r="A20174" s="3" t="s">
        <v>2110</v>
      </c>
    </row>
    <row r="20175" customFormat="false" ht="15" hidden="false" customHeight="false" outlineLevel="0" collapsed="false">
      <c r="A20175" s="4" t="s">
        <v>43</v>
      </c>
      <c r="B20175" s="4" t="s">
        <v>65</v>
      </c>
      <c r="C20175" s="23" t="s">
        <v>942</v>
      </c>
      <c r="D20175" s="23" t="s">
        <v>943</v>
      </c>
      <c r="E20175" s="23" t="s">
        <v>944</v>
      </c>
      <c r="F20175" s="23" t="s">
        <v>945</v>
      </c>
      <c r="G20175" s="23" t="s">
        <v>946</v>
      </c>
      <c r="H20175" s="23" t="s">
        <v>947</v>
      </c>
      <c r="I20175" s="23" t="s">
        <v>948</v>
      </c>
      <c r="J20175" s="23" t="s">
        <v>949</v>
      </c>
      <c r="K20175" s="23" t="s">
        <v>950</v>
      </c>
      <c r="L20175" s="4" t="s">
        <v>47</v>
      </c>
    </row>
    <row r="20176" customFormat="false" ht="17.15" hidden="false" customHeight="false" outlineLevel="0" collapsed="false">
      <c r="A20176" s="1" t="s">
        <v>1216</v>
      </c>
      <c r="B20176" s="1" t="s">
        <v>279</v>
      </c>
      <c r="F20176" s="8" t="n">
        <f aca="false">(1-v_off)*mid_yr</f>
        <v>0.373972602739726</v>
      </c>
      <c r="G20176" s="8" t="n">
        <f aca="false">Thesis!G58-base_fy-mid_yr-v_off</f>
        <v>1.24794520547945</v>
      </c>
      <c r="H20176" s="8" t="n">
        <f aca="false">Thesis!H58-base_fy-mid_yr-v_off</f>
        <v>2.24794520547945</v>
      </c>
      <c r="I20176" s="8" t="n">
        <f aca="false">Thesis!I58-base_fy-mid_yr-v_off</f>
        <v>3.24794520547945</v>
      </c>
      <c r="J20176" s="8" t="n">
        <f aca="false">Thesis!J58-base_fy-mid_yr-v_off</f>
        <v>4.24794520547945</v>
      </c>
      <c r="K20176" s="8" t="n">
        <f aca="false">Thesis!K58-base_fy-mid_yr-v_off</f>
        <v>5.24794520547945</v>
      </c>
      <c r="L20176" s="12" t="s">
        <v>1217</v>
      </c>
    </row>
    <row r="20177" customFormat="false" ht="15" hidden="false" customHeight="false" outlineLevel="0" collapsed="false">
      <c r="A20177" s="1" t="s">
        <v>1218</v>
      </c>
      <c r="B20177" s="1" t="s">
        <v>279</v>
      </c>
      <c r="F20177" s="8" t="n">
        <f aca="false">Thesis!F58-base_fy-v_off</f>
        <v>0.747945205479452</v>
      </c>
      <c r="G20177" s="8" t="n">
        <f aca="false">Thesis!G58-base_fy-v_off</f>
        <v>1.74794520547945</v>
      </c>
      <c r="H20177" s="8" t="n">
        <f aca="false">Thesis!H58-base_fy-v_off</f>
        <v>2.74794520547945</v>
      </c>
      <c r="I20177" s="8" t="n">
        <f aca="false">Thesis!I58-base_fy-v_off</f>
        <v>3.74794520547945</v>
      </c>
      <c r="J20177" s="8" t="n">
        <f aca="false">Thesis!J58-base_fy-v_off</f>
        <v>4.74794520547945</v>
      </c>
      <c r="K20177" s="8" t="n">
        <f aca="false">Thesis!K58-base_fy-v_off</f>
        <v>5.74794520547945</v>
      </c>
    </row>
    <row r="20178" customFormat="false" ht="15" hidden="false" customHeight="false" outlineLevel="0" collapsed="false">
      <c r="A20178" s="1" t="s">
        <v>1219</v>
      </c>
      <c r="B20178" s="0" t="s">
        <v>229</v>
      </c>
      <c r="F20178" s="15" t="n">
        <f aca="false">1/(1+wacc)^Sens!F20176</f>
        <v>0.964022703286649</v>
      </c>
      <c r="G20178" s="15" t="n">
        <f aca="false">1/(1+wacc)^Sens!G20176</f>
        <v>0.884910302296739</v>
      </c>
      <c r="H20178" s="15" t="n">
        <f aca="false">1/(1+wacc)^Sens!H20176</f>
        <v>0.802322009770358</v>
      </c>
      <c r="I20178" s="15" t="n">
        <f aca="false">1/(1+wacc)^Sens!I20176</f>
        <v>0.727441646561469</v>
      </c>
      <c r="J20178" s="15" t="n">
        <f aca="false">1/(1+wacc)^Sens!J20176</f>
        <v>0.659549834988973</v>
      </c>
      <c r="K20178" s="15" t="n">
        <f aca="false">1/(1+wacc)^Sens!K20176</f>
        <v>0.597994336576966</v>
      </c>
    </row>
    <row r="20179" customFormat="false" ht="17.15" hidden="false" customHeight="false" outlineLevel="0" collapsed="false">
      <c r="A20179" s="1" t="s">
        <v>1220</v>
      </c>
      <c r="B20179" s="0" t="s">
        <v>98</v>
      </c>
      <c r="F20179" s="6" t="n">
        <f aca="false">Q!$I$35-Q!$I$39-Q!$I$43</f>
        <v>9.666</v>
      </c>
      <c r="L20179" s="12" t="s">
        <v>1221</v>
      </c>
    </row>
    <row r="20180" customFormat="false" ht="17.15" hidden="false" customHeight="false" outlineLevel="0" collapsed="false">
      <c r="A20180" s="1" t="s">
        <v>1222</v>
      </c>
      <c r="B20180" s="0" t="s">
        <v>98</v>
      </c>
      <c r="F20180" s="6" t="n">
        <f aca="false">CF!F55-CF!F52-CF!F59+Thesis!F99*(1-tax_f)*(1-v_off)-Sens!F20179</f>
        <v>-3.35959137570949</v>
      </c>
      <c r="G20180" s="6" t="n">
        <f aca="false">CF!G55-CF!G52-CF!G59+Thesis!G99*(1-tax_f)</f>
        <v>29.8084555066036</v>
      </c>
      <c r="H20180" s="6" t="n">
        <f aca="false">CF!H55-CF!H52-CF!H59+Thesis!H99*(1-tax_f)</f>
        <v>79.3231801478051</v>
      </c>
      <c r="I20180" s="6" t="n">
        <f aca="false">CF!I55-CF!I52-CF!I59+Thesis!I99*(1-tax_f)</f>
        <v>157.29132812061</v>
      </c>
      <c r="J20180" s="6" t="n">
        <f aca="false">CF!J55-CF!J52-CF!J59+Thesis!J99*(1-tax_f)</f>
        <v>235.537601843622</v>
      </c>
      <c r="K20180" s="6" t="n">
        <f aca="false">CF!K55-CF!K52-CF!K59+Thesis!K99*(1-tax_f)</f>
        <v>273.705067207806</v>
      </c>
      <c r="L20180" s="1" t="s">
        <v>1223</v>
      </c>
    </row>
    <row r="20181" customFormat="false" ht="15" hidden="false" customHeight="false" outlineLevel="0" collapsed="false">
      <c r="A20181" s="1" t="s">
        <v>1224</v>
      </c>
      <c r="B20181" s="0" t="s">
        <v>98</v>
      </c>
      <c r="F20181" s="6" t="n">
        <f aca="false">Sens!F20180*Sens!F20178</f>
        <v>-3.23872235994998</v>
      </c>
      <c r="G20181" s="6" t="n">
        <f aca="false">Sens!G20180*Sens!G20178</f>
        <v>26.3778093733475</v>
      </c>
      <c r="H20181" s="6" t="n">
        <f aca="false">Sens!H20180*Sens!H20178</f>
        <v>63.6427333175632</v>
      </c>
      <c r="I20181" s="6" t="n">
        <f aca="false">Sens!I20180*Sens!I20178</f>
        <v>114.420262717897</v>
      </c>
      <c r="J20181" s="6" t="n">
        <f aca="false">Sens!J20180*Sens!J20178</f>
        <v>155.348786429659</v>
      </c>
      <c r="K20181" s="6" t="n">
        <f aca="false">Sens!K20180*Sens!K20178</f>
        <v>163.674080082686</v>
      </c>
    </row>
    <row r="20182" customFormat="false" ht="17.15" hidden="false" customHeight="false" outlineLevel="0" collapsed="false">
      <c r="A20182" s="1" t="s">
        <v>1225</v>
      </c>
      <c r="B20182" s="0" t="s">
        <v>98</v>
      </c>
      <c r="C20182" s="6" t="n">
        <f aca="false">SUM(Sens!F20181:K20181)</f>
        <v>520.224949561203</v>
      </c>
    </row>
    <row r="20183" customFormat="false" ht="17.15" hidden="false" customHeight="false" outlineLevel="0" collapsed="false">
      <c r="A20183" s="1" t="s">
        <v>1226</v>
      </c>
      <c r="B20183" s="0" t="s">
        <v>98</v>
      </c>
      <c r="C20183" s="6" t="n">
        <f aca="false">PL!K78*(1+g_tv)*(1-tax_f)</f>
        <v>284.979534119394</v>
      </c>
    </row>
    <row r="20184" customFormat="false" ht="17.15" hidden="false" customHeight="false" outlineLevel="0" collapsed="false">
      <c r="A20184" s="1" t="s">
        <v>1227</v>
      </c>
      <c r="B20184" s="0" t="s">
        <v>98</v>
      </c>
      <c r="C20184" s="6" t="n">
        <f aca="false">Sens!$C$20183*(1-g_tv/(wacc+ronic_prem))</f>
        <v>201.924655916751</v>
      </c>
    </row>
    <row r="20185" customFormat="false" ht="17.15" hidden="false" customHeight="false" outlineLevel="0" collapsed="false">
      <c r="A20185" s="1" t="s">
        <v>1228</v>
      </c>
      <c r="B20185" s="0" t="s">
        <v>98</v>
      </c>
      <c r="C20185" s="6" t="n">
        <f aca="false">Sens!$C$20184/(wacc-g_tv)</f>
        <v>2768.49594008808</v>
      </c>
    </row>
    <row r="20186" customFormat="false" ht="15" hidden="false" customHeight="false" outlineLevel="0" collapsed="false">
      <c r="A20186" s="1" t="s">
        <v>1229</v>
      </c>
      <c r="B20186" s="0" t="s">
        <v>98</v>
      </c>
      <c r="C20186" s="6" t="n">
        <f aca="false">Sens!$C$20185/(1+wacc)^Sens!K20177</f>
        <v>1576.39732546142</v>
      </c>
    </row>
    <row r="20187" customFormat="false" ht="17.15" hidden="false" customHeight="false" outlineLevel="0" collapsed="false">
      <c r="A20187" s="0" t="s">
        <v>1230</v>
      </c>
      <c r="B20187" s="0" t="s">
        <v>98</v>
      </c>
      <c r="C20187" s="6" t="n">
        <f aca="false">Sens!$C$20182+Sens!$C$20186</f>
        <v>2096.62227502262</v>
      </c>
    </row>
    <row r="20188" customFormat="false" ht="15" hidden="false" customHeight="false" outlineLevel="0" collapsed="false">
      <c r="A20188" s="1" t="s">
        <v>1145</v>
      </c>
      <c r="B20188" s="0" t="s">
        <v>168</v>
      </c>
      <c r="C20188" s="7" t="n">
        <f aca="false">Sens!$C$20186/Sens!$C$20187</f>
        <v>0.751874738831729</v>
      </c>
    </row>
    <row r="20189" customFormat="false" ht="17.15" hidden="false" customHeight="false" outlineLevel="0" collapsed="false">
      <c r="A20189" s="1" t="s">
        <v>1231</v>
      </c>
      <c r="B20189" s="0" t="s">
        <v>98</v>
      </c>
      <c r="C20189" s="6" t="n">
        <f aca="false">Sens!$C$20187+cash_val-debt_val-fl_val+oai_v</f>
        <v>2212.47327502262</v>
      </c>
    </row>
    <row r="20190" customFormat="false" ht="17.15" hidden="false" customHeight="false" outlineLevel="0" collapsed="false">
      <c r="A20190" s="0" t="s">
        <v>1153</v>
      </c>
      <c r="B20190" s="0" t="s">
        <v>75</v>
      </c>
      <c r="C20190" s="5" t="n">
        <f aca="false">Sens!$C$20189/shd_val</f>
        <v>297.13581453433</v>
      </c>
    </row>
    <row r="20191" customFormat="false" ht="15" hidden="false" customHeight="false" outlineLevel="0" collapsed="false">
      <c r="A20191" s="1" t="s">
        <v>1232</v>
      </c>
      <c r="B20191" s="0" t="s">
        <v>75</v>
      </c>
      <c r="C20191" s="8" t="n">
        <f aca="false">div_rem27+CF!G63*2/q_per_yr</f>
        <v>5.019</v>
      </c>
    </row>
    <row r="20192" customFormat="false" ht="17.15" hidden="false" customHeight="false" outlineLevel="0" collapsed="false">
      <c r="A20192" s="0" t="s">
        <v>1233</v>
      </c>
      <c r="B20192" s="0" t="s">
        <v>75</v>
      </c>
      <c r="C20192" s="5" t="n">
        <f aca="false">Sens!$C$20190*(1+wacc)^((tgt_alt-roll_d1)/days_yr)-Sens!$C$20191</f>
        <v>333.340356335143</v>
      </c>
    </row>
    <row r="20193" customFormat="false" ht="17.15" hidden="false" customHeight="false" outlineLevel="0" collapsed="false">
      <c r="A20193" s="1" t="s">
        <v>1234</v>
      </c>
      <c r="B20193" s="0" t="s">
        <v>168</v>
      </c>
      <c r="F20193" s="7" t="n">
        <f aca="false">CF!F49/(Seg!F56-Thesis!F77)</f>
        <v>0.0686195668908011</v>
      </c>
      <c r="G20193" s="7" t="n">
        <f aca="false">CF!G49/(Seg!G56-Thesis!G77)</f>
        <v>0.0658333569148391</v>
      </c>
      <c r="H20193" s="7" t="n">
        <f aca="false">CF!H49/(Seg!H56-Thesis!H77)</f>
        <v>0.0643895625218926</v>
      </c>
      <c r="I20193" s="7" t="n">
        <f aca="false">CF!I49/(Seg!I56-Thesis!I77)</f>
        <v>0.0641676618157989</v>
      </c>
      <c r="J20193" s="7" t="n">
        <f aca="false">CF!J49/(Seg!J56-Thesis!J77)</f>
        <v>0.0648858606572163</v>
      </c>
      <c r="K20193" s="7" t="n">
        <f aca="false">CF!K49/(Seg!K56-Thesis!K77)</f>
        <v>0.0661974425163768</v>
      </c>
    </row>
    <row r="20194" customFormat="false" ht="17.15" hidden="false" customHeight="false" outlineLevel="0" collapsed="false">
      <c r="A20194" s="0" t="s">
        <v>1235</v>
      </c>
      <c r="B20194" s="0" t="s">
        <v>98</v>
      </c>
      <c r="F20194" s="6" t="n">
        <f aca="false">Seg!F41*(al_m365+Sens!F20193+sbc_r)</f>
        <v>83.7205619248671</v>
      </c>
      <c r="G20194" s="6" t="n">
        <f aca="false">Seg!G41*(al_m365+Sens!G20193+sbc_r)</f>
        <v>96.1301303332381</v>
      </c>
      <c r="H20194" s="6" t="n">
        <f aca="false">Seg!H41*(al_m365+Sens!H20193+sbc_r)</f>
        <v>108.70354073822</v>
      </c>
      <c r="I20194" s="6" t="n">
        <f aca="false">Seg!I41*(al_m365+Sens!I20193+sbc_r)</f>
        <v>120.260101315626</v>
      </c>
      <c r="J20194" s="6" t="n">
        <f aca="false">Seg!J41*(al_m365+Sens!J20193+sbc_r)</f>
        <v>130.611904548619</v>
      </c>
      <c r="K20194" s="6" t="n">
        <f aca="false">Seg!K41*(al_m365+Sens!K20193+sbc_r)</f>
        <v>140.575094974638</v>
      </c>
      <c r="L20194" s="12" t="s">
        <v>1236</v>
      </c>
    </row>
    <row r="20195" customFormat="false" ht="17.15" hidden="false" customHeight="false" outlineLevel="0" collapsed="false">
      <c r="A20195" s="0" t="s">
        <v>1237</v>
      </c>
      <c r="B20195" s="0" t="s">
        <v>98</v>
      </c>
      <c r="F20195" s="6" t="n">
        <f aca="false">Seg!F42*(al_lic+Sens!F20193+sbc_r)</f>
        <v>32.8577657183496</v>
      </c>
      <c r="G20195" s="6" t="n">
        <f aca="false">Seg!G42*(al_lic+Sens!G20193+sbc_r)</f>
        <v>34.1376266324889</v>
      </c>
      <c r="H20195" s="6" t="n">
        <f aca="false">Seg!H42*(al_lic+Sens!H20193+sbc_r)</f>
        <v>35.3325744664128</v>
      </c>
      <c r="I20195" s="6" t="n">
        <f aca="false">Seg!I42*(al_lic+Sens!I20193+sbc_r)</f>
        <v>36.4244749008727</v>
      </c>
      <c r="J20195" s="6" t="n">
        <f aca="false">Seg!J42*(al_lic+Sens!J20193+sbc_r)</f>
        <v>37.3879406068527</v>
      </c>
      <c r="K20195" s="6" t="n">
        <f aca="false">Seg!K42*(al_lic+Sens!K20193+sbc_r)</f>
        <v>38.1943876078259</v>
      </c>
    </row>
    <row r="20196" customFormat="false" ht="17.15" hidden="false" customHeight="false" outlineLevel="0" collapsed="false">
      <c r="A20196" s="0" t="s">
        <v>1238</v>
      </c>
      <c r="B20196" s="0" t="s">
        <v>98</v>
      </c>
      <c r="F20196" s="6" t="n">
        <f aca="false">Seg!F44*(al_ind+Sens!F20193+sbc_r)</f>
        <v>9.06041701092022</v>
      </c>
      <c r="G20196" s="6" t="n">
        <f aca="false">Seg!G44*(al_ind+Sens!G20193+sbc_r)</f>
        <v>9.83619082712885</v>
      </c>
      <c r="H20196" s="6" t="n">
        <f aca="false">Seg!H44*(al_ind+Sens!H20193+sbc_r)</f>
        <v>10.6570160105312</v>
      </c>
      <c r="I20196" s="6" t="n">
        <f aca="false">Seg!I44*(al_ind+Sens!I20193+sbc_r)</f>
        <v>11.5198571637125</v>
      </c>
      <c r="J20196" s="6" t="n">
        <f aca="false">Seg!J44*(al_ind+Sens!J20193+sbc_r)</f>
        <v>12.4150086539206</v>
      </c>
      <c r="K20196" s="6" t="n">
        <f aca="false">Seg!K44*(al_ind+Sens!K20193+sbc_r)</f>
        <v>13.3273714589988</v>
      </c>
    </row>
    <row r="20197" customFormat="false" ht="17.15" hidden="false" customHeight="false" outlineLevel="0" collapsed="false">
      <c r="A20197" s="0" t="s">
        <v>1239</v>
      </c>
      <c r="B20197" s="0" t="s">
        <v>98</v>
      </c>
      <c r="F20197" s="6" t="n">
        <f aca="false">Seg!F46*(al_fro+Sens!F20193+sbc_r)</f>
        <v>3.55402950182022</v>
      </c>
      <c r="G20197" s="6" t="n">
        <f aca="false">Seg!G46*(al_fro+Sens!G20193+sbc_r)</f>
        <v>3.76361488926481</v>
      </c>
      <c r="H20197" s="6" t="n">
        <f aca="false">Seg!H46*(al_fro+Sens!H20193+sbc_r)</f>
        <v>4.00220968879544</v>
      </c>
      <c r="I20197" s="6" t="n">
        <f aca="false">Seg!I46*(al_fro+Sens!I20193+sbc_r)</f>
        <v>4.2725765173852</v>
      </c>
      <c r="J20197" s="6" t="n">
        <f aca="false">Seg!J46*(al_fro+Sens!J20193+sbc_r)</f>
        <v>4.57586224390293</v>
      </c>
      <c r="K20197" s="6" t="n">
        <f aca="false">Seg!K46*(al_fro+Sens!K20193+sbc_r)</f>
        <v>4.91213639633217</v>
      </c>
    </row>
    <row r="20198" customFormat="false" ht="17.15" hidden="false" customHeight="false" outlineLevel="0" collapsed="false">
      <c r="A20198" s="0" t="s">
        <v>1240</v>
      </c>
      <c r="B20198" s="0" t="s">
        <v>98</v>
      </c>
      <c r="F20198" s="6" t="n">
        <f aca="false">Seg!F49*(al_srch+Sens!F20193+sbc_r)</f>
        <v>11.1890902994147</v>
      </c>
      <c r="G20198" s="6" t="n">
        <f aca="false">Seg!G49*(al_srch+Sens!G20193+sbc_r)</f>
        <v>12.261738891803</v>
      </c>
      <c r="H20198" s="6" t="n">
        <f aca="false">Seg!H49*(al_srch+Sens!H20193+sbc_r)</f>
        <v>13.3794863429193</v>
      </c>
      <c r="I20198" s="6" t="n">
        <f aca="false">Seg!I49*(al_srch+Sens!I20193+sbc_r)</f>
        <v>14.5317114787784</v>
      </c>
      <c r="J20198" s="6" t="n">
        <f aca="false">Seg!J49*(al_srch+Sens!J20193+sbc_r)</f>
        <v>15.6984365817724</v>
      </c>
      <c r="K20198" s="6" t="n">
        <f aca="false">Seg!K49*(al_srch+Sens!K20193+sbc_r)</f>
        <v>16.8520942258664</v>
      </c>
    </row>
    <row r="20199" customFormat="false" ht="17.15" hidden="false" customHeight="false" outlineLevel="0" collapsed="false">
      <c r="A20199" s="0" t="s">
        <v>1241</v>
      </c>
      <c r="B20199" s="0" t="s">
        <v>98</v>
      </c>
      <c r="F20199" s="6" t="n">
        <f aca="false">Thesis!F83-Thesis!F84+Thesis!F99</f>
        <v>42.5431090240393</v>
      </c>
      <c r="G20199" s="6" t="n">
        <f aca="false">Thesis!G83-Thesis!G84+Thesis!G99</f>
        <v>81.4922561130847</v>
      </c>
      <c r="H20199" s="6" t="n">
        <f aca="false">Thesis!H83-Thesis!H84+Thesis!H99</f>
        <v>123.278266211349</v>
      </c>
      <c r="I20199" s="6" t="n">
        <f aca="false">Thesis!I83-Thesis!I84+Thesis!I99</f>
        <v>160.60594185192</v>
      </c>
      <c r="J20199" s="6" t="n">
        <f aca="false">Thesis!J83-Thesis!J84+Thesis!J99</f>
        <v>186.818741832633</v>
      </c>
      <c r="K20199" s="6" t="n">
        <f aca="false">Thesis!K83-Thesis!K84+Thesis!K99</f>
        <v>202.776422159652</v>
      </c>
    </row>
    <row r="20200" customFormat="false" ht="17.15" hidden="false" customHeight="false" outlineLevel="0" collapsed="false">
      <c r="A20200" s="0" t="s">
        <v>1242</v>
      </c>
      <c r="B20200" s="0" t="s">
        <v>98</v>
      </c>
      <c r="F20200" s="6" t="n">
        <f aca="false">PL!F71+Thesis!F99+Thesis!F95+Sens!F20193*(Seg!F48-Thesis!F77)+sbc_r*Seg!F48</f>
        <v>238.090727427296</v>
      </c>
      <c r="G20200" s="6" t="n">
        <f aca="false">PL!G71+Thesis!G99+Thesis!G95+Sens!G20193*(Seg!G48-Thesis!G77)+sbc_r*Seg!G48</f>
        <v>299.90836088563</v>
      </c>
      <c r="H20200" s="6" t="n">
        <f aca="false">PL!H71+Thesis!H99+Thesis!H95+Sens!H20193*(Seg!H48-Thesis!H77)+sbc_r*Seg!H48</f>
        <v>369.457709442386</v>
      </c>
      <c r="I20200" s="6" t="n">
        <f aca="false">PL!I71+Thesis!I99+Thesis!I95+Sens!I20193*(Seg!I48-Thesis!I77)+sbc_r*Seg!I48</f>
        <v>433.16585128823</v>
      </c>
      <c r="J20200" s="6" t="n">
        <f aca="false">PL!J71+Thesis!J99+Thesis!J95+Sens!J20193*(Seg!J48-Thesis!J77)+sbc_r*Seg!J48</f>
        <v>483.301303131191</v>
      </c>
      <c r="K20200" s="6" t="n">
        <f aca="false">PL!K71+Thesis!K99+Thesis!K95+Sens!K20193*(Seg!K48-Thesis!K77)+sbc_r*Seg!K48</f>
        <v>520.789002205336</v>
      </c>
    </row>
    <row r="20201" customFormat="false" ht="17.15" hidden="false" customHeight="false" outlineLevel="0" collapsed="false">
      <c r="A20201" s="0" t="s">
        <v>1243</v>
      </c>
      <c r="B20201" s="0" t="s">
        <v>98</v>
      </c>
      <c r="F20201" s="6" t="n">
        <f aca="false">Sens!F20200-Sens!F20194-Sens!F20195-Sens!F20196-Sens!F20197-Sens!F20199</f>
        <v>66.3548442472996</v>
      </c>
      <c r="G20201" s="6" t="n">
        <f aca="false">Sens!G20200-Sens!G20194-Sens!G20195-Sens!G20196-Sens!G20197-Sens!G20199</f>
        <v>74.548542090425</v>
      </c>
      <c r="H20201" s="6" t="n">
        <f aca="false">Sens!H20200-Sens!H20194-Sens!H20195-Sens!H20196-Sens!H20197-Sens!H20199</f>
        <v>87.4841023270775</v>
      </c>
      <c r="I20201" s="6" t="n">
        <f aca="false">Sens!I20200-Sens!I20194-Sens!I20195-Sens!I20196-Sens!I20197-Sens!I20199</f>
        <v>100.082899538713</v>
      </c>
      <c r="J20201" s="6" t="n">
        <f aca="false">Sens!J20200-Sens!J20194-Sens!J20195-Sens!J20196-Sens!J20197-Sens!J20199</f>
        <v>111.491845245262</v>
      </c>
      <c r="K20201" s="6" t="n">
        <f aca="false">Sens!K20200-Sens!K20194-Sens!K20195-Sens!K20196-Sens!K20197-Sens!K20199</f>
        <v>121.003589607889</v>
      </c>
    </row>
    <row r="20202" customFormat="false" ht="17.15" hidden="false" customHeight="false" outlineLevel="0" collapsed="false">
      <c r="A20202" s="0" t="s">
        <v>1244</v>
      </c>
      <c r="B20202" s="0" t="s">
        <v>98</v>
      </c>
      <c r="F20202" s="6" t="n">
        <f aca="false">PL!F73+Sens!F20193*Seg!F55+sbc_r*Seg!F55</f>
        <v>26.6336365855879</v>
      </c>
      <c r="G20202" s="6" t="n">
        <f aca="false">PL!G73+Sens!G20193*Seg!G55+sbc_r*Seg!G55</f>
        <v>26.4720859498625</v>
      </c>
      <c r="H20202" s="6" t="n">
        <f aca="false">PL!H73+Sens!H20193*Seg!H55+sbc_r*Seg!H55</f>
        <v>27.346793021284</v>
      </c>
      <c r="I20202" s="6" t="n">
        <f aca="false">PL!I73+Sens!I20193*Seg!I55+sbc_r*Seg!I55</f>
        <v>28.4574657863154</v>
      </c>
      <c r="J20202" s="6" t="n">
        <f aca="false">PL!J73+Sens!J20193*Seg!J55+sbc_r*Seg!J55</f>
        <v>29.7689890546037</v>
      </c>
      <c r="K20202" s="6" t="n">
        <f aca="false">PL!K73+Sens!K20193*Seg!K55+sbc_r*Seg!K55</f>
        <v>31.2443947307494</v>
      </c>
    </row>
    <row r="20203" customFormat="false" ht="17.15" hidden="false" customHeight="false" outlineLevel="0" collapsed="false">
      <c r="A20203" s="0" t="s">
        <v>1245</v>
      </c>
      <c r="B20203" s="0" t="s">
        <v>98</v>
      </c>
      <c r="F20203" s="6" t="n">
        <f aca="false">(Sens!F20202-Sens!F20198)*Seg!F51/(Seg!F51+Seg!F53)</f>
        <v>8.72285608232241</v>
      </c>
      <c r="G20203" s="6" t="n">
        <f aca="false">(Sens!G20202-Sens!G20198)*Seg!G51/(Seg!G51+Seg!G53)</f>
        <v>7.88786455444355</v>
      </c>
      <c r="H20203" s="6" t="n">
        <f aca="false">(Sens!H20202-Sens!H20198)*Seg!H51/(Seg!H51+Seg!H53)</f>
        <v>7.65195986819674</v>
      </c>
      <c r="I20203" s="6" t="n">
        <f aca="false">(Sens!I20202-Sens!I20198)*Seg!I51/(Seg!I51+Seg!I53)</f>
        <v>7.56260440676676</v>
      </c>
      <c r="J20203" s="6" t="n">
        <f aca="false">(Sens!J20202-Sens!J20198)*Seg!J51/(Seg!J51+Seg!J53)</f>
        <v>7.60790100885945</v>
      </c>
      <c r="K20203" s="6" t="n">
        <f aca="false">(Sens!K20202-Sens!K20198)*Seg!K51/(Seg!K51+Seg!K53)</f>
        <v>7.78186910160995</v>
      </c>
    </row>
    <row r="20204" customFormat="false" ht="17.15" hidden="false" customHeight="false" outlineLevel="0" collapsed="false">
      <c r="A20204" s="0" t="s">
        <v>1246</v>
      </c>
      <c r="B20204" s="0" t="s">
        <v>98</v>
      </c>
      <c r="F20204" s="6" t="n">
        <f aca="false">Sens!F20202-Sens!F20198-Sens!F20203</f>
        <v>6.72169020385088</v>
      </c>
      <c r="G20204" s="6" t="n">
        <f aca="false">Sens!G20202-Sens!G20198-Sens!G20203</f>
        <v>6.322482503616</v>
      </c>
      <c r="H20204" s="6" t="n">
        <f aca="false">Sens!H20202-Sens!H20198-Sens!H20203</f>
        <v>6.315346810168</v>
      </c>
      <c r="I20204" s="6" t="n">
        <f aca="false">Sens!I20202-Sens!I20198-Sens!I20203</f>
        <v>6.36314990077033</v>
      </c>
      <c r="J20204" s="6" t="n">
        <f aca="false">Sens!J20202-Sens!J20198-Sens!J20203</f>
        <v>6.46265146397189</v>
      </c>
      <c r="K20204" s="6" t="n">
        <f aca="false">Sens!K20202-Sens!K20198-Sens!K20203</f>
        <v>6.61043140327304</v>
      </c>
    </row>
    <row r="20205" customFormat="false" ht="17.15" hidden="false" customHeight="false" outlineLevel="0" collapsed="false">
      <c r="A20205" s="0" t="s">
        <v>1247</v>
      </c>
      <c r="B20205" s="0" t="s">
        <v>98</v>
      </c>
      <c r="F20205" s="6" t="n">
        <f aca="false">Sens!F20199-tax_f*(Sens!F20199-Thesis!F95)-Thesis!F92</f>
        <v>-127.503553927218</v>
      </c>
      <c r="G20205" s="6" t="n">
        <f aca="false">Sens!G20199-tax_f*(Sens!G20199-Thesis!G95)-Thesis!G92</f>
        <v>-114.603772628121</v>
      </c>
      <c r="H20205" s="6" t="n">
        <f aca="false">Sens!H20199-tax_f*(Sens!H20199-Thesis!H95)-Thesis!H92</f>
        <v>-80.3633729631438</v>
      </c>
      <c r="I20205" s="6" t="n">
        <f aca="false">Sens!I20199-tax_f*(Sens!I20199-Thesis!I95)-Thesis!I92</f>
        <v>-17.2838782011649</v>
      </c>
      <c r="J20205" s="6" t="n">
        <f aca="false">Sens!J20199-tax_f*(Sens!J20199-Thesis!J95)-Thesis!J92</f>
        <v>46.9281968800854</v>
      </c>
      <c r="K20205" s="6" t="n">
        <f aca="false">Sens!K20199-tax_f*(Sens!K20199-Thesis!K95)-Thesis!K92</f>
        <v>71.8608185731755</v>
      </c>
    </row>
    <row r="20206" customFormat="false" ht="17.15" hidden="false" customHeight="false" outlineLevel="0" collapsed="false">
      <c r="A20206" s="0" t="s">
        <v>1248</v>
      </c>
      <c r="B20206" s="0" t="s">
        <v>98</v>
      </c>
      <c r="G20206" s="6" t="n">
        <f aca="false">Sens!G20205/(1+wacc)^(Sens!G20176-Sens!F20177)</f>
        <v>-109.124845494465</v>
      </c>
      <c r="H20206" s="6" t="n">
        <f aca="false">Sens!H20205/(1+wacc)^(Sens!H20176-Sens!F20177)</f>
        <v>-69.3796874071025</v>
      </c>
      <c r="I20206" s="6" t="n">
        <f aca="false">Sens!I20205/(1+wacc)^(Sens!I20176-Sens!F20177)</f>
        <v>-13.5289731380471</v>
      </c>
      <c r="J20206" s="6" t="n">
        <f aca="false">Sens!J20205/(1+wacc)^(Sens!J20176-Sens!F20177)</f>
        <v>33.3048099587126</v>
      </c>
      <c r="K20206" s="6" t="n">
        <f aca="false">Sens!K20205/(1+wacc)^(Sens!K20176-Sens!F20177)</f>
        <v>46.2396679904913</v>
      </c>
      <c r="L20206" s="1" t="s">
        <v>1249</v>
      </c>
    </row>
    <row r="20207" customFormat="false" ht="17.15" hidden="false" customHeight="false" outlineLevel="0" collapsed="false">
      <c r="A20207" s="0" t="s">
        <v>1250</v>
      </c>
      <c r="B20207" s="0" t="s">
        <v>98</v>
      </c>
      <c r="C20207" s="6" t="n">
        <f aca="false">(Sens!K20199-Thesis!K95)*(1-tax_f)*(1+g_tv)*(1-g_tv/(wacc+ronic_prem))/(wacc-g_tv)/(1+wacc)^(Sens!K20177-Sens!F20177)</f>
        <v>293.118051086843</v>
      </c>
    </row>
    <row r="20208" customFormat="false" ht="17.15" hidden="false" customHeight="false" outlineLevel="0" collapsed="false">
      <c r="A20208" s="1" t="s">
        <v>1251</v>
      </c>
      <c r="B20208" s="0" t="s">
        <v>98</v>
      </c>
      <c r="C20208" s="6" t="n">
        <f aca="false">(SUM(Sens!G20206:K20206)+Sens!$C$20207)*(1+wacc)^(((tgt_alt-roll_d1)/days_yr)-Sens!F20177)</f>
        <v>191.154816454026</v>
      </c>
      <c r="L20208" s="12" t="s">
        <v>1252</v>
      </c>
    </row>
    <row r="20209" customFormat="false" ht="17.15" hidden="false" customHeight="false" outlineLevel="0" collapsed="false">
      <c r="A20209" s="1" t="s">
        <v>1253</v>
      </c>
      <c r="B20209" s="0" t="s">
        <v>98</v>
      </c>
      <c r="C20209" s="6" t="n">
        <f aca="false">(((fy28_end-tgt_alt)/days_yr)*Thesis!G83+(1-((fy28_end-tgt_alt)/days_yr))*Thesis!H83)*m_ai</f>
        <v>507.624178225377</v>
      </c>
    </row>
    <row r="20210" customFormat="false" ht="17.15" hidden="false" customHeight="false" outlineLevel="0" collapsed="false">
      <c r="A20210" s="1" t="s">
        <v>1254</v>
      </c>
      <c r="B20210" s="0" t="s">
        <v>98</v>
      </c>
      <c r="C20210" s="6" t="n">
        <f aca="false">(((fy28_end-tgt_alt)/days_yr)*Sens!G20201+(1-((fy28_end-tgt_alt)/days_yr))*Sens!H20201)*m_cloud</f>
        <v>1133.11450352204</v>
      </c>
    </row>
    <row r="20211" customFormat="false" ht="17.15" hidden="false" customHeight="false" outlineLevel="0" collapsed="false">
      <c r="A20211" s="1" t="s">
        <v>1255</v>
      </c>
      <c r="B20211" s="0" t="s">
        <v>98</v>
      </c>
      <c r="C20211" s="6" t="n">
        <f aca="false">(((fy28_end-tgt_alt)/days_yr)*Sens!G20194+(1-((fy28_end-tgt_alt)/days_yr))*Sens!H20194)*m_sw</f>
        <v>1116.33279060856</v>
      </c>
    </row>
    <row r="20212" customFormat="false" ht="17.15" hidden="false" customHeight="false" outlineLevel="0" collapsed="false">
      <c r="A20212" s="1" t="s">
        <v>1256</v>
      </c>
      <c r="B20212" s="0" t="s">
        <v>98</v>
      </c>
      <c r="C20212" s="6" t="n">
        <f aca="false">(((fy28_end-tgt_alt)/days_yr)*Sens!G20195+(1-((fy28_end-tgt_alt)/days_yr))*Sens!H20195)*m_sw</f>
        <v>376.111413349618</v>
      </c>
    </row>
    <row r="20213" customFormat="false" ht="17.15" hidden="false" customHeight="false" outlineLevel="0" collapsed="false">
      <c r="A20213" s="1" t="s">
        <v>1257</v>
      </c>
      <c r="B20213" s="0" t="s">
        <v>98</v>
      </c>
      <c r="C20213" s="6" t="n">
        <f aca="false">(((fy28_end-tgt_alt)/days_yr)*Sens!G20196+(1-((fy28_end-tgt_alt)/days_yr))*Sens!H20196)*m_sw</f>
        <v>111.331221250681</v>
      </c>
    </row>
    <row r="20214" customFormat="false" ht="17.15" hidden="false" customHeight="false" outlineLevel="0" collapsed="false">
      <c r="A20214" s="1" t="s">
        <v>1258</v>
      </c>
      <c r="B20214" s="0" t="s">
        <v>98</v>
      </c>
      <c r="C20214" s="6" t="n">
        <f aca="false">(((fy28_end-tgt_alt)/days_yr)*Sens!G20197+(1-((fy28_end-tgt_alt)/days_yr))*Sens!H20197)*m_sw</f>
        <v>42.1295969830612</v>
      </c>
    </row>
    <row r="20215" customFormat="false" ht="17.15" hidden="false" customHeight="false" outlineLevel="0" collapsed="false">
      <c r="A20215" s="1" t="s">
        <v>1259</v>
      </c>
      <c r="B20215" s="0" t="s">
        <v>98</v>
      </c>
      <c r="C20215" s="6" t="n">
        <f aca="false">(((fy28_end-tgt_alt)/days_yr)*Sens!G20198+(1-((fy28_end-tgt_alt)/days_yr))*Sens!H20198)*m_ads</f>
        <v>117.562969109066</v>
      </c>
    </row>
    <row r="20216" customFormat="false" ht="17.15" hidden="false" customHeight="false" outlineLevel="0" collapsed="false">
      <c r="A20216" s="1" t="s">
        <v>1260</v>
      </c>
      <c r="B20216" s="0" t="s">
        <v>98</v>
      </c>
      <c r="C20216" s="6" t="n">
        <f aca="false">(((fy28_end-tgt_alt)/days_yr)*Sens!G20203+(1-((fy28_end-tgt_alt)/days_yr))*Sens!H20203)*m_game</f>
        <v>97.9095101463689</v>
      </c>
    </row>
    <row r="20217" customFormat="false" ht="17.15" hidden="false" customHeight="false" outlineLevel="0" collapsed="false">
      <c r="A20217" s="1" t="s">
        <v>1261</v>
      </c>
      <c r="B20217" s="0" t="s">
        <v>98</v>
      </c>
      <c r="C20217" s="6" t="n">
        <f aca="false">(((fy28_end-tgt_alt)/days_yr)*Sens!G20204+(1-((fy28_end-tgt_alt)/days_yr))*Sens!H20204)*m_pc</f>
        <v>91.4269157131305</v>
      </c>
    </row>
    <row r="20218" customFormat="false" ht="17.15" hidden="false" customHeight="false" outlineLevel="0" collapsed="false">
      <c r="A20218" s="1" t="s">
        <v>1262</v>
      </c>
      <c r="B20218" s="0" t="s">
        <v>98</v>
      </c>
      <c r="C20218" s="6" t="n">
        <f aca="false">Sens!$C$20208+Sens!$C$20210+Sens!$C$20211+Sens!$C$20212+Sens!$C$20213+Sens!$C$20214+Sens!$C$20215+Sens!$C$20216+Sens!$C$20217</f>
        <v>3277.07373713655</v>
      </c>
    </row>
    <row r="20219" customFormat="false" ht="17.15" hidden="false" customHeight="false" outlineLevel="0" collapsed="false">
      <c r="A20219" s="1" t="s">
        <v>1263</v>
      </c>
      <c r="B20219" s="0" t="s">
        <v>98</v>
      </c>
      <c r="C20219" s="6" t="n">
        <f aca="false">(Sens!G20180-Sens!G20205)*((tgt_alt-stub_d0)/days_yr)</f>
        <v>83.4821373600735</v>
      </c>
      <c r="L20219" s="1" t="s">
        <v>1264</v>
      </c>
    </row>
    <row r="20220" customFormat="false" ht="17.15" hidden="false" customHeight="false" outlineLevel="0" collapsed="false">
      <c r="A20220" s="1" t="s">
        <v>1173</v>
      </c>
      <c r="B20220" s="0" t="s">
        <v>98</v>
      </c>
      <c r="C20220" s="6" t="n">
        <f aca="false">CF!F71+oai_v-CF!F60+Sens!$C$20219</f>
        <v>197.710407360073</v>
      </c>
      <c r="L20220" s="1" t="s">
        <v>1265</v>
      </c>
    </row>
    <row r="20221" customFormat="false" ht="17.15" hidden="false" customHeight="false" outlineLevel="0" collapsed="false">
      <c r="A20221" s="1" t="s">
        <v>1266</v>
      </c>
      <c r="B20221" s="0" t="s">
        <v>75</v>
      </c>
      <c r="C20221" s="5" t="n">
        <f aca="false">(Sens!$C$20218+Sens!$C$20220)/(CF!F73+dil_gap)-CF!G63*2/q_per_yr</f>
        <v>461.5031324963</v>
      </c>
      <c r="L20221" s="1" t="s">
        <v>1267</v>
      </c>
    </row>
    <row r="20222" customFormat="false" ht="17.15" hidden="false" customHeight="false" outlineLevel="0" collapsed="false">
      <c r="A20222" s="1" t="s">
        <v>1268</v>
      </c>
      <c r="B20222" s="0" t="s">
        <v>75</v>
      </c>
      <c r="C20222" s="5" t="n">
        <f aca="false">w_dcf*Sens!$C$20192+(1-w_dcf)*Sens!$C$20221</f>
        <v>397.421744415722</v>
      </c>
    </row>
    <row r="20223" customFormat="false" ht="17.15" hidden="false" customHeight="false" outlineLevel="0" collapsed="false">
      <c r="A20223" s="3" t="s">
        <v>2111</v>
      </c>
    </row>
    <row r="20224" customFormat="false" ht="15" hidden="false" customHeight="false" outlineLevel="0" collapsed="false">
      <c r="A20224" s="4" t="s">
        <v>43</v>
      </c>
      <c r="B20224" s="4" t="s">
        <v>65</v>
      </c>
      <c r="C20224" s="23" t="s">
        <v>942</v>
      </c>
      <c r="D20224" s="23" t="s">
        <v>943</v>
      </c>
      <c r="E20224" s="23" t="s">
        <v>944</v>
      </c>
      <c r="F20224" s="23" t="s">
        <v>945</v>
      </c>
      <c r="G20224" s="23" t="s">
        <v>946</v>
      </c>
      <c r="H20224" s="23" t="s">
        <v>947</v>
      </c>
      <c r="I20224" s="23" t="s">
        <v>948</v>
      </c>
      <c r="J20224" s="23" t="s">
        <v>949</v>
      </c>
      <c r="K20224" s="23" t="s">
        <v>950</v>
      </c>
      <c r="L20224" s="4" t="s">
        <v>47</v>
      </c>
    </row>
    <row r="20225" customFormat="false" ht="17.15" hidden="false" customHeight="false" outlineLevel="0" collapsed="false">
      <c r="A20225" s="1" t="s">
        <v>1216</v>
      </c>
      <c r="B20225" s="1" t="s">
        <v>279</v>
      </c>
      <c r="F20225" s="8" t="n">
        <f aca="false">(1-v_off)*mid_yr</f>
        <v>0.373972602739726</v>
      </c>
      <c r="G20225" s="8" t="n">
        <f aca="false">Thesis!G110-base_fy-mid_yr-v_off</f>
        <v>1.24794520547945</v>
      </c>
      <c r="H20225" s="8" t="n">
        <f aca="false">Thesis!H110-base_fy-mid_yr-v_off</f>
        <v>2.24794520547945</v>
      </c>
      <c r="I20225" s="8" t="n">
        <f aca="false">Thesis!I110-base_fy-mid_yr-v_off</f>
        <v>3.24794520547945</v>
      </c>
      <c r="J20225" s="8" t="n">
        <f aca="false">Thesis!J110-base_fy-mid_yr-v_off</f>
        <v>4.24794520547945</v>
      </c>
      <c r="K20225" s="8" t="n">
        <f aca="false">Thesis!K110-base_fy-mid_yr-v_off</f>
        <v>5.24794520547945</v>
      </c>
      <c r="L20225" s="12" t="s">
        <v>1217</v>
      </c>
    </row>
    <row r="20226" customFormat="false" ht="15" hidden="false" customHeight="false" outlineLevel="0" collapsed="false">
      <c r="A20226" s="1" t="s">
        <v>1218</v>
      </c>
      <c r="B20226" s="1" t="s">
        <v>279</v>
      </c>
      <c r="F20226" s="8" t="n">
        <f aca="false">Thesis!F110-base_fy-v_off</f>
        <v>0.747945205479452</v>
      </c>
      <c r="G20226" s="8" t="n">
        <f aca="false">Thesis!G110-base_fy-v_off</f>
        <v>1.74794520547945</v>
      </c>
      <c r="H20226" s="8" t="n">
        <f aca="false">Thesis!H110-base_fy-v_off</f>
        <v>2.74794520547945</v>
      </c>
      <c r="I20226" s="8" t="n">
        <f aca="false">Thesis!I110-base_fy-v_off</f>
        <v>3.74794520547945</v>
      </c>
      <c r="J20226" s="8" t="n">
        <f aca="false">Thesis!J110-base_fy-v_off</f>
        <v>4.74794520547945</v>
      </c>
      <c r="K20226" s="8" t="n">
        <f aca="false">Thesis!K110-base_fy-v_off</f>
        <v>5.74794520547945</v>
      </c>
    </row>
    <row r="20227" customFormat="false" ht="15" hidden="false" customHeight="false" outlineLevel="0" collapsed="false">
      <c r="A20227" s="1" t="s">
        <v>1219</v>
      </c>
      <c r="B20227" s="0" t="s">
        <v>229</v>
      </c>
      <c r="F20227" s="15" t="n">
        <f aca="false">1/(1+wacc)^Sens!F20225</f>
        <v>0.964022703286649</v>
      </c>
      <c r="G20227" s="15" t="n">
        <f aca="false">1/(1+wacc)^Sens!G20225</f>
        <v>0.884910302296739</v>
      </c>
      <c r="H20227" s="15" t="n">
        <f aca="false">1/(1+wacc)^Sens!H20225</f>
        <v>0.802322009770358</v>
      </c>
      <c r="I20227" s="15" t="n">
        <f aca="false">1/(1+wacc)^Sens!I20225</f>
        <v>0.727441646561469</v>
      </c>
      <c r="J20227" s="15" t="n">
        <f aca="false">1/(1+wacc)^Sens!J20225</f>
        <v>0.659549834988973</v>
      </c>
      <c r="K20227" s="15" t="n">
        <f aca="false">1/(1+wacc)^Sens!K20225</f>
        <v>0.597994336576966</v>
      </c>
    </row>
    <row r="20228" customFormat="false" ht="17.15" hidden="false" customHeight="false" outlineLevel="0" collapsed="false">
      <c r="A20228" s="1" t="s">
        <v>1220</v>
      </c>
      <c r="B20228" s="0" t="s">
        <v>98</v>
      </c>
      <c r="F20228" s="6" t="n">
        <f aca="false">Q!$I$35-Q!$I$39-Q!$I$43</f>
        <v>9.666</v>
      </c>
      <c r="L20228" s="12" t="s">
        <v>1221</v>
      </c>
    </row>
    <row r="20229" customFormat="false" ht="17.15" hidden="false" customHeight="false" outlineLevel="0" collapsed="false">
      <c r="A20229" s="1" t="s">
        <v>1222</v>
      </c>
      <c r="B20229" s="0" t="s">
        <v>98</v>
      </c>
      <c r="F20229" s="6" t="n">
        <f aca="false">CF!F87-CF!F84-CF!F91+Thesis!F151*(1-tax_f)*(1-v_off)-Sens!F20228</f>
        <v>-6.10282680452259</v>
      </c>
      <c r="G20229" s="6" t="n">
        <f aca="false">CF!G87-CF!G84-CF!G91+Thesis!G151*(1-tax_f)</f>
        <v>19.0084129023516</v>
      </c>
      <c r="H20229" s="6" t="n">
        <f aca="false">CF!H87-CF!H84-CF!H91+Thesis!H151*(1-tax_f)</f>
        <v>55.9229468383331</v>
      </c>
      <c r="I20229" s="6" t="n">
        <f aca="false">CF!I87-CF!I84-CF!I91+Thesis!I151*(1-tax_f)</f>
        <v>127.901908576191</v>
      </c>
      <c r="J20229" s="6" t="n">
        <f aca="false">CF!J87-CF!J84-CF!J91+Thesis!J151*(1-tax_f)</f>
        <v>201.958443859638</v>
      </c>
      <c r="K20229" s="6" t="n">
        <f aca="false">CF!K87-CF!K84-CF!K91+Thesis!K151*(1-tax_f)</f>
        <v>237.542519059905</v>
      </c>
      <c r="L20229" s="1" t="s">
        <v>1223</v>
      </c>
    </row>
    <row r="20230" customFormat="false" ht="15" hidden="false" customHeight="false" outlineLevel="0" collapsed="false">
      <c r="A20230" s="1" t="s">
        <v>1224</v>
      </c>
      <c r="B20230" s="0" t="s">
        <v>98</v>
      </c>
      <c r="F20230" s="6" t="n">
        <f aca="false">Sens!F20229*Sens!F20227</f>
        <v>-5.88326359378609</v>
      </c>
      <c r="G20230" s="6" t="n">
        <f aca="false">Sens!G20229*Sens!G20227</f>
        <v>16.8207404076012</v>
      </c>
      <c r="H20230" s="6" t="n">
        <f aca="false">Sens!H20229*Sens!H20227</f>
        <v>44.8682110996123</v>
      </c>
      <c r="I20230" s="6" t="n">
        <f aca="false">Sens!I20229*Sens!I20227</f>
        <v>93.0411749730187</v>
      </c>
      <c r="J20230" s="6" t="n">
        <f aca="false">Sens!J20229*Sens!J20227</f>
        <v>133.201658322254</v>
      </c>
      <c r="K20230" s="6" t="n">
        <f aca="false">Sens!K20229*Sens!K20227</f>
        <v>142.049081094049</v>
      </c>
    </row>
    <row r="20231" customFormat="false" ht="17.15" hidden="false" customHeight="false" outlineLevel="0" collapsed="false">
      <c r="A20231" s="1" t="s">
        <v>1225</v>
      </c>
      <c r="B20231" s="0" t="s">
        <v>98</v>
      </c>
      <c r="C20231" s="6" t="n">
        <f aca="false">SUM(Sens!F20230:K20230)</f>
        <v>424.097602302749</v>
      </c>
    </row>
    <row r="20232" customFormat="false" ht="17.15" hidden="false" customHeight="false" outlineLevel="0" collapsed="false">
      <c r="A20232" s="1" t="s">
        <v>1226</v>
      </c>
      <c r="B20232" s="0" t="s">
        <v>98</v>
      </c>
      <c r="C20232" s="6" t="n">
        <f aca="false">PL!K117*(1+g_tv)*(1-tax_f)</f>
        <v>247.098906713682</v>
      </c>
    </row>
    <row r="20233" customFormat="false" ht="17.15" hidden="false" customHeight="false" outlineLevel="0" collapsed="false">
      <c r="A20233" s="1" t="s">
        <v>1227</v>
      </c>
      <c r="B20233" s="0" t="s">
        <v>98</v>
      </c>
      <c r="C20233" s="6" t="n">
        <f aca="false">Sens!$C$20232*(1-g_tv/(wacc+ronic_prem))</f>
        <v>175.084017418113</v>
      </c>
    </row>
    <row r="20234" customFormat="false" ht="17.15" hidden="false" customHeight="false" outlineLevel="0" collapsed="false">
      <c r="A20234" s="1" t="s">
        <v>1228</v>
      </c>
      <c r="B20234" s="0" t="s">
        <v>98</v>
      </c>
      <c r="C20234" s="6" t="n">
        <f aca="false">Sens!$C$20233/(wacc-g_tv)</f>
        <v>2400.4963098523</v>
      </c>
    </row>
    <row r="20235" customFormat="false" ht="15" hidden="false" customHeight="false" outlineLevel="0" collapsed="false">
      <c r="A20235" s="1" t="s">
        <v>1229</v>
      </c>
      <c r="B20235" s="0" t="s">
        <v>98</v>
      </c>
      <c r="C20235" s="6" t="n">
        <f aca="false">Sens!$C$20234/(1+wacc)^Sens!K20226</f>
        <v>1366.85624415645</v>
      </c>
    </row>
    <row r="20236" customFormat="false" ht="17.15" hidden="false" customHeight="false" outlineLevel="0" collapsed="false">
      <c r="A20236" s="0" t="s">
        <v>1230</v>
      </c>
      <c r="B20236" s="0" t="s">
        <v>98</v>
      </c>
      <c r="C20236" s="6" t="n">
        <f aca="false">Sens!$C$20231+Sens!$C$20235</f>
        <v>1790.9538464592</v>
      </c>
    </row>
    <row r="20237" customFormat="false" ht="15" hidden="false" customHeight="false" outlineLevel="0" collapsed="false">
      <c r="A20237" s="1" t="s">
        <v>1145</v>
      </c>
      <c r="B20237" s="0" t="s">
        <v>168</v>
      </c>
      <c r="C20237" s="7" t="n">
        <f aca="false">Sens!$C$20235/Sens!$C$20236</f>
        <v>0.763200149941769</v>
      </c>
    </row>
    <row r="20238" customFormat="false" ht="17.15" hidden="false" customHeight="false" outlineLevel="0" collapsed="false">
      <c r="A20238" s="1" t="s">
        <v>1231</v>
      </c>
      <c r="B20238" s="0" t="s">
        <v>98</v>
      </c>
      <c r="C20238" s="6" t="n">
        <f aca="false">Sens!$C$20236+cash_val-debt_val-fl_val+oai_v</f>
        <v>1906.8048464592</v>
      </c>
    </row>
    <row r="20239" customFormat="false" ht="17.15" hidden="false" customHeight="false" outlineLevel="0" collapsed="false">
      <c r="A20239" s="0" t="s">
        <v>1153</v>
      </c>
      <c r="B20239" s="0" t="s">
        <v>75</v>
      </c>
      <c r="C20239" s="5" t="n">
        <f aca="false">Sens!$C$20238/shd_val</f>
        <v>256.084454265269</v>
      </c>
    </row>
    <row r="20240" customFormat="false" ht="15" hidden="false" customHeight="false" outlineLevel="0" collapsed="false">
      <c r="A20240" s="1" t="s">
        <v>1232</v>
      </c>
      <c r="B20240" s="0" t="s">
        <v>75</v>
      </c>
      <c r="C20240" s="8" t="n">
        <f aca="false">div_rem27+CF!G95*2/q_per_yr</f>
        <v>5.019</v>
      </c>
    </row>
    <row r="20241" customFormat="false" ht="17.15" hidden="false" customHeight="false" outlineLevel="0" collapsed="false">
      <c r="A20241" s="0" t="s">
        <v>1233</v>
      </c>
      <c r="B20241" s="0" t="s">
        <v>75</v>
      </c>
      <c r="C20241" s="5" t="n">
        <f aca="false">Sens!$C$20239*(1+wacc)^((tgt_alt-roll_d1)/days_yr)-Sens!$C$20240</f>
        <v>286.593679704829</v>
      </c>
    </row>
    <row r="20242" customFormat="false" ht="17.15" hidden="false" customHeight="false" outlineLevel="0" collapsed="false">
      <c r="A20242" s="1" t="s">
        <v>1234</v>
      </c>
      <c r="B20242" s="0" t="s">
        <v>168</v>
      </c>
      <c r="F20242" s="7" t="n">
        <f aca="false">CF!F81/(Seg!F83-Thesis!F129)</f>
        <v>0.068677393452264</v>
      </c>
      <c r="G20242" s="7" t="n">
        <f aca="false">CF!G81/(Seg!G83-Thesis!G129)</f>
        <v>0.0663132664471956</v>
      </c>
      <c r="H20242" s="7" t="n">
        <f aca="false">CF!H81/(Seg!H83-Thesis!H129)</f>
        <v>0.0651363826734039</v>
      </c>
      <c r="I20242" s="7" t="n">
        <f aca="false">CF!I81/(Seg!I83-Thesis!I129)</f>
        <v>0.0650087936347709</v>
      </c>
      <c r="J20242" s="7" t="n">
        <f aca="false">CF!J81/(Seg!J83-Thesis!J129)</f>
        <v>0.0657212684841778</v>
      </c>
      <c r="K20242" s="7" t="n">
        <f aca="false">CF!K81/(Seg!K83-Thesis!K129)</f>
        <v>0.0670413306015285</v>
      </c>
    </row>
    <row r="20243" customFormat="false" ht="17.15" hidden="false" customHeight="false" outlineLevel="0" collapsed="false">
      <c r="A20243" s="0" t="s">
        <v>1235</v>
      </c>
      <c r="B20243" s="0" t="s">
        <v>98</v>
      </c>
      <c r="F20243" s="6" t="n">
        <f aca="false">Seg!F68*(al_m365+Sens!F20242+sbc_r)</f>
        <v>82.9185219618347</v>
      </c>
      <c r="G20243" s="6" t="n">
        <f aca="false">Seg!G68*(al_m365+Sens!G20242+sbc_r)</f>
        <v>93.3068052157631</v>
      </c>
      <c r="H20243" s="6" t="n">
        <f aca="false">Seg!H68*(al_m365+Sens!H20242+sbc_r)</f>
        <v>103.856057136159</v>
      </c>
      <c r="I20243" s="6" t="n">
        <f aca="false">Seg!I68*(al_m365+Sens!I20242+sbc_r)</f>
        <v>113.889717587147</v>
      </c>
      <c r="J20243" s="6" t="n">
        <f aca="false">Seg!J68*(al_m365+Sens!J20242+sbc_r)</f>
        <v>123.218477864124</v>
      </c>
      <c r="K20243" s="6" t="n">
        <f aca="false">Seg!K68*(al_m365+Sens!K20242+sbc_r)</f>
        <v>132.149420086311</v>
      </c>
      <c r="L20243" s="12" t="s">
        <v>1236</v>
      </c>
    </row>
    <row r="20244" customFormat="false" ht="17.15" hidden="false" customHeight="false" outlineLevel="0" collapsed="false">
      <c r="A20244" s="0" t="s">
        <v>1237</v>
      </c>
      <c r="B20244" s="0" t="s">
        <v>98</v>
      </c>
      <c r="F20244" s="6" t="n">
        <f aca="false">Seg!F69*(al_lic+Sens!F20242+sbc_r)</f>
        <v>32.8599853992256</v>
      </c>
      <c r="G20244" s="6" t="n">
        <f aca="false">Seg!G69*(al_lic+Sens!G20242+sbc_r)</f>
        <v>34.1568280697879</v>
      </c>
      <c r="H20244" s="6" t="n">
        <f aca="false">Seg!H69*(al_lic+Sens!H20242+sbc_r)</f>
        <v>35.3635535007213</v>
      </c>
      <c r="I20244" s="6" t="n">
        <f aca="false">Seg!I69*(al_lic+Sens!I20242+sbc_r)</f>
        <v>36.4604537346553</v>
      </c>
      <c r="J20244" s="6" t="n">
        <f aca="false">Seg!J69*(al_lic+Sens!J20242+sbc_r)</f>
        <v>37.4245888933574</v>
      </c>
      <c r="K20244" s="6" t="n">
        <f aca="false">Seg!K69*(al_lic+Sens!K20242+sbc_r)</f>
        <v>38.2321483186439</v>
      </c>
    </row>
    <row r="20245" customFormat="false" ht="17.15" hidden="false" customHeight="false" outlineLevel="0" collapsed="false">
      <c r="A20245" s="0" t="s">
        <v>1238</v>
      </c>
      <c r="B20245" s="0" t="s">
        <v>98</v>
      </c>
      <c r="F20245" s="6" t="n">
        <f aca="false">Seg!F71*(al_ind+Sens!F20242+sbc_r)</f>
        <v>9.06170747885803</v>
      </c>
      <c r="G20245" s="6" t="n">
        <f aca="false">Seg!G71*(al_ind+Sens!G20242+sbc_r)</f>
        <v>9.8478979082138</v>
      </c>
      <c r="H20245" s="6" t="n">
        <f aca="false">Seg!H71*(al_ind+Sens!H20242+sbc_r)</f>
        <v>10.6768254332059</v>
      </c>
      <c r="I20245" s="6" t="n">
        <f aca="false">Seg!I71*(al_ind+Sens!I20242+sbc_r)</f>
        <v>11.54398793803</v>
      </c>
      <c r="J20245" s="6" t="n">
        <f aca="false">Seg!J71*(al_ind+Sens!J20242+sbc_r)</f>
        <v>12.4407914253112</v>
      </c>
      <c r="K20245" s="6" t="n">
        <f aca="false">Seg!K71*(al_ind+Sens!K20242+sbc_r)</f>
        <v>13.355239066864</v>
      </c>
    </row>
    <row r="20246" customFormat="false" ht="17.15" hidden="false" customHeight="false" outlineLevel="0" collapsed="false">
      <c r="A20246" s="0" t="s">
        <v>1239</v>
      </c>
      <c r="B20246" s="0" t="s">
        <v>98</v>
      </c>
      <c r="F20246" s="6" t="n">
        <f aca="false">Seg!F73*(al_fro+Sens!F20242+sbc_r)</f>
        <v>3.55453569939552</v>
      </c>
      <c r="G20246" s="6" t="n">
        <f aca="false">Seg!G73*(al_fro+Sens!G20242+sbc_r)</f>
        <v>3.76809436159872</v>
      </c>
      <c r="H20246" s="6" t="n">
        <f aca="false">Seg!H73*(al_fro+Sens!H20242+sbc_r)</f>
        <v>4.00964905674607</v>
      </c>
      <c r="I20246" s="6" t="n">
        <f aca="false">Seg!I73*(al_fro+Sens!I20242+sbc_r)</f>
        <v>4.28152633145235</v>
      </c>
      <c r="J20246" s="6" t="n">
        <f aca="false">Seg!J73*(al_fro+Sens!J20242+sbc_r)</f>
        <v>4.58536512975975</v>
      </c>
      <c r="K20246" s="6" t="n">
        <f aca="false">Seg!K73*(al_fro+Sens!K20242+sbc_r)</f>
        <v>4.92240770086468</v>
      </c>
    </row>
    <row r="20247" customFormat="false" ht="17.15" hidden="false" customHeight="false" outlineLevel="0" collapsed="false">
      <c r="A20247" s="0" t="s">
        <v>1240</v>
      </c>
      <c r="B20247" s="0" t="s">
        <v>98</v>
      </c>
      <c r="F20247" s="6" t="n">
        <f aca="false">Seg!F76*(al_srch+Sens!F20242+sbc_r)</f>
        <v>11.190683952584</v>
      </c>
      <c r="G20247" s="6" t="n">
        <f aca="false">Seg!G76*(al_srch+Sens!G20242+sbc_r)</f>
        <v>12.2763328717258</v>
      </c>
      <c r="H20247" s="6" t="n">
        <f aca="false">Seg!H76*(al_srch+Sens!H20242+sbc_r)</f>
        <v>13.4043563346576</v>
      </c>
      <c r="I20247" s="6" t="n">
        <f aca="false">Seg!I76*(al_srch+Sens!I20242+sbc_r)</f>
        <v>14.5621512181916</v>
      </c>
      <c r="J20247" s="6" t="n">
        <f aca="false">Seg!J76*(al_srch+Sens!J20242+sbc_r)</f>
        <v>15.7310381862385</v>
      </c>
      <c r="K20247" s="6" t="n">
        <f aca="false">Seg!K76*(al_srch+Sens!K20242+sbc_r)</f>
        <v>16.8873320486462</v>
      </c>
    </row>
    <row r="20248" customFormat="false" ht="17.15" hidden="false" customHeight="false" outlineLevel="0" collapsed="false">
      <c r="A20248" s="0" t="s">
        <v>1241</v>
      </c>
      <c r="B20248" s="0" t="s">
        <v>98</v>
      </c>
      <c r="F20248" s="6" t="n">
        <f aca="false">Thesis!F135-Thesis!F136+Thesis!F151</f>
        <v>38.9696429794913</v>
      </c>
      <c r="G20248" s="6" t="n">
        <f aca="false">Thesis!G135-Thesis!G136+Thesis!G151</f>
        <v>69.465497726016</v>
      </c>
      <c r="H20248" s="6" t="n">
        <f aca="false">Thesis!H135-Thesis!H136+Thesis!H151</f>
        <v>96.8147106808268</v>
      </c>
      <c r="I20248" s="6" t="n">
        <f aca="false">Thesis!I135-Thesis!I136+Thesis!I151</f>
        <v>127.654939766446</v>
      </c>
      <c r="J20248" s="6" t="n">
        <f aca="false">Thesis!J135-Thesis!J136+Thesis!J151</f>
        <v>149.308352681229</v>
      </c>
      <c r="K20248" s="6" t="n">
        <f aca="false">Thesis!K135-Thesis!K136+Thesis!K151</f>
        <v>162.731822021841</v>
      </c>
    </row>
    <row r="20249" customFormat="false" ht="17.15" hidden="false" customHeight="false" outlineLevel="0" collapsed="false">
      <c r="A20249" s="0" t="s">
        <v>1242</v>
      </c>
      <c r="B20249" s="0" t="s">
        <v>98</v>
      </c>
      <c r="F20249" s="6" t="n">
        <f aca="false">PL!F110+Thesis!F151+Thesis!F147+Sens!F20242*(Seg!F75-Thesis!F129)+sbc_r*Seg!F75</f>
        <v>234.79972328186</v>
      </c>
      <c r="G20249" s="6" t="n">
        <f aca="false">PL!G110+Thesis!G151+Thesis!G147+Sens!G20242*(Seg!G75-Thesis!G129)+sbc_r*Seg!G75</f>
        <v>285.499052659517</v>
      </c>
      <c r="H20249" s="6" t="n">
        <f aca="false">PL!H110+Thesis!H151+Thesis!H147+Sens!H20242*(Seg!H75-Thesis!H129)+sbc_r*Seg!H75</f>
        <v>338.258569294547</v>
      </c>
      <c r="I20249" s="6" t="n">
        <f aca="false">PL!I110+Thesis!I151+Thesis!I147+Sens!I20242*(Seg!I75-Thesis!I129)+sbc_r*Seg!I75</f>
        <v>393.887902526982</v>
      </c>
      <c r="J20249" s="6" t="n">
        <f aca="false">PL!J110+Thesis!J151+Thesis!J147+Sens!J20242*(Seg!J75-Thesis!J129)+sbc_r*Seg!J75</f>
        <v>438.406631506078</v>
      </c>
      <c r="K20249" s="6" t="n">
        <f aca="false">PL!K110+Thesis!K151+Thesis!K147+Sens!K20242*(Seg!K75-Thesis!K129)+sbc_r*Seg!K75</f>
        <v>472.352875745143</v>
      </c>
    </row>
    <row r="20250" customFormat="false" ht="17.15" hidden="false" customHeight="false" outlineLevel="0" collapsed="false">
      <c r="A20250" s="0" t="s">
        <v>1243</v>
      </c>
      <c r="B20250" s="0" t="s">
        <v>98</v>
      </c>
      <c r="F20250" s="6" t="n">
        <f aca="false">Sens!F20249-Sens!F20243-Sens!F20244-Sens!F20245-Sens!F20246-Sens!F20248</f>
        <v>67.4353297630543</v>
      </c>
      <c r="G20250" s="6" t="n">
        <f aca="false">Sens!G20249-Sens!G20243-Sens!G20244-Sens!G20245-Sens!G20246-Sens!G20248</f>
        <v>74.9539293781376</v>
      </c>
      <c r="H20250" s="6" t="n">
        <f aca="false">Sens!H20249-Sens!H20243-Sens!H20244-Sens!H20245-Sens!H20246-Sens!H20248</f>
        <v>87.537773486888</v>
      </c>
      <c r="I20250" s="6" t="n">
        <f aca="false">Sens!I20249-Sens!I20243-Sens!I20244-Sens!I20245-Sens!I20246-Sens!I20248</f>
        <v>100.057277169252</v>
      </c>
      <c r="J20250" s="6" t="n">
        <f aca="false">Sens!J20249-Sens!J20243-Sens!J20244-Sens!J20245-Sens!J20246-Sens!J20248</f>
        <v>111.429055512297</v>
      </c>
      <c r="K20250" s="6" t="n">
        <f aca="false">Sens!K20249-Sens!K20243-Sens!K20244-Sens!K20245-Sens!K20246-Sens!K20248</f>
        <v>120.961838550618</v>
      </c>
    </row>
    <row r="20251" customFormat="false" ht="17.15" hidden="false" customHeight="false" outlineLevel="0" collapsed="false">
      <c r="A20251" s="0" t="s">
        <v>1244</v>
      </c>
      <c r="B20251" s="0" t="s">
        <v>98</v>
      </c>
      <c r="F20251" s="6" t="n">
        <f aca="false">PL!F112+Sens!F20242*Seg!F82+sbc_r*Seg!F82</f>
        <v>26.6373549789235</v>
      </c>
      <c r="G20251" s="6" t="n">
        <f aca="false">PL!G112+Sens!G20242*Seg!G82+sbc_r*Seg!G82</f>
        <v>26.5038922765853</v>
      </c>
      <c r="H20251" s="6" t="n">
        <f aca="false">PL!H112+Sens!H20242*Seg!H82+sbc_r*Seg!H82</f>
        <v>27.3981100014792</v>
      </c>
      <c r="I20251" s="6" t="n">
        <f aca="false">PL!I112+Sens!I20242*Seg!I82+sbc_r*Seg!I82</f>
        <v>28.5176442589239</v>
      </c>
      <c r="J20251" s="6" t="n">
        <f aca="false">PL!J112+Sens!J20242*Seg!J82+sbc_r*Seg!J82</f>
        <v>29.8313998963726</v>
      </c>
      <c r="K20251" s="6" t="n">
        <f aca="false">PL!K112+Sens!K20242*Seg!K82+sbc_r*Seg!K82</f>
        <v>31.3103466222307</v>
      </c>
    </row>
    <row r="20252" customFormat="false" ht="17.15" hidden="false" customHeight="false" outlineLevel="0" collapsed="false">
      <c r="A20252" s="0" t="s">
        <v>1245</v>
      </c>
      <c r="B20252" s="0" t="s">
        <v>98</v>
      </c>
      <c r="F20252" s="6" t="n">
        <f aca="false">(Sens!F20251-Sens!F20247)*Seg!F78/(Seg!F78+Seg!F80)</f>
        <v>8.72405610479892</v>
      </c>
      <c r="G20252" s="6" t="n">
        <f aca="false">(Sens!G20251-Sens!G20247)*Seg!G78/(Seg!G78+Seg!G80)</f>
        <v>7.897418765869</v>
      </c>
      <c r="H20252" s="6" t="n">
        <f aca="false">(Sens!H20251-Sens!H20247)*Seg!H78/(Seg!H78+Seg!H80)</f>
        <v>7.66644879573063</v>
      </c>
      <c r="I20252" s="6" t="n">
        <f aca="false">(Sens!I20251-Sens!I20247)*Seg!I78/(Seg!I78+Seg!I80)</f>
        <v>7.5787545031814</v>
      </c>
      <c r="J20252" s="6" t="n">
        <f aca="false">(Sens!J20251-Sens!J20247)*Seg!J78/(Seg!J78+Seg!J80)</f>
        <v>7.62401876450459</v>
      </c>
      <c r="K20252" s="6" t="n">
        <f aca="false">(Sens!K20251-Sens!K20247)*Seg!K78/(Seg!K78+Seg!K80)</f>
        <v>7.79847609658838</v>
      </c>
    </row>
    <row r="20253" customFormat="false" ht="17.15" hidden="false" customHeight="false" outlineLevel="0" collapsed="false">
      <c r="A20253" s="0" t="s">
        <v>1246</v>
      </c>
      <c r="B20253" s="0" t="s">
        <v>98</v>
      </c>
      <c r="F20253" s="6" t="n">
        <f aca="false">Sens!F20251-Sens!F20247-Sens!F20252</f>
        <v>6.72261492154066</v>
      </c>
      <c r="G20253" s="6" t="n">
        <f aca="false">Sens!G20251-Sens!G20247-Sens!G20252</f>
        <v>6.33014063899044</v>
      </c>
      <c r="H20253" s="6" t="n">
        <f aca="false">Sens!H20251-Sens!H20247-Sens!H20252</f>
        <v>6.32730487109095</v>
      </c>
      <c r="I20253" s="6" t="n">
        <f aca="false">Sens!I20251-Sens!I20247-Sens!I20252</f>
        <v>6.37673853755084</v>
      </c>
      <c r="J20253" s="6" t="n">
        <f aca="false">Sens!J20251-Sens!J20247-Sens!J20252</f>
        <v>6.47634294562954</v>
      </c>
      <c r="K20253" s="6" t="n">
        <f aca="false">Sens!K20251-Sens!K20247-Sens!K20252</f>
        <v>6.62453847699607</v>
      </c>
    </row>
    <row r="20254" customFormat="false" ht="17.15" hidden="false" customHeight="false" outlineLevel="0" collapsed="false">
      <c r="A20254" s="0" t="s">
        <v>1247</v>
      </c>
      <c r="B20254" s="0" t="s">
        <v>98</v>
      </c>
      <c r="F20254" s="6" t="n">
        <f aca="false">Sens!F20248-tax_f*(Sens!F20248-Thesis!F147)-Thesis!F144</f>
        <v>-130.362326762856</v>
      </c>
      <c r="G20254" s="6" t="n">
        <f aca="false">Sens!G20248-tax_f*(Sens!G20248-Thesis!G147)-Thesis!G144</f>
        <v>-124.225179337776</v>
      </c>
      <c r="H20254" s="6" t="n">
        <f aca="false">Sens!H20248-tax_f*(Sens!H20248-Thesis!H147)-Thesis!H144</f>
        <v>-101.534217387562</v>
      </c>
      <c r="I20254" s="6" t="n">
        <f aca="false">Sens!I20248-tax_f*(Sens!I20248-Thesis!I147)-Thesis!I144</f>
        <v>-43.6446798695439</v>
      </c>
      <c r="J20254" s="6" t="n">
        <f aca="false">Sens!J20248-tax_f*(Sens!J20248-Thesis!J147)-Thesis!J144</f>
        <v>16.9198855589618</v>
      </c>
      <c r="K20254" s="6" t="n">
        <f aca="false">Sens!K20248-tax_f*(Sens!K20248-Thesis!K147)-Thesis!K144</f>
        <v>39.8251384629271</v>
      </c>
    </row>
    <row r="20255" customFormat="false" ht="17.15" hidden="false" customHeight="false" outlineLevel="0" collapsed="false">
      <c r="A20255" s="0" t="s">
        <v>1248</v>
      </c>
      <c r="B20255" s="0" t="s">
        <v>98</v>
      </c>
      <c r="G20255" s="6" t="n">
        <f aca="false">Sens!G20254/(1+wacc)^(Sens!G20225-Sens!F20226)</f>
        <v>-118.286276192192</v>
      </c>
      <c r="H20255" s="6" t="n">
        <f aca="false">Sens!H20254/(1+wacc)^(Sens!H20225-Sens!F20226)</f>
        <v>-87.6570009910427</v>
      </c>
      <c r="I20255" s="6" t="n">
        <f aca="false">Sens!I20254/(1+wacc)^(Sens!I20225-Sens!F20226)</f>
        <v>-34.1629172979204</v>
      </c>
      <c r="J20255" s="6" t="n">
        <f aca="false">Sens!J20254/(1+wacc)^(Sens!J20225-Sens!F20226)</f>
        <v>12.0079954170053</v>
      </c>
      <c r="K20255" s="6" t="n">
        <f aca="false">Sens!K20254/(1+wacc)^(Sens!K20225-Sens!F20226)</f>
        <v>25.6259421582556</v>
      </c>
      <c r="L20255" s="1" t="s">
        <v>1249</v>
      </c>
    </row>
    <row r="20256" customFormat="false" ht="17.15" hidden="false" customHeight="false" outlineLevel="0" collapsed="false">
      <c r="A20256" s="0" t="s">
        <v>1250</v>
      </c>
      <c r="B20256" s="0" t="s">
        <v>98</v>
      </c>
      <c r="C20256" s="6" t="n">
        <f aca="false">(Sens!K20248-Thesis!K147)*(1-tax_f)*(1+g_tv)*(1-g_tv/(wacc+ronic_prem))/(wacc-g_tv)/(1+wacc)^(Sens!K20226-Sens!F20226)</f>
        <v>96.7148026864948</v>
      </c>
    </row>
    <row r="20257" customFormat="false" ht="17.15" hidden="false" customHeight="false" outlineLevel="0" collapsed="false">
      <c r="A20257" s="1" t="s">
        <v>1251</v>
      </c>
      <c r="B20257" s="0" t="s">
        <v>98</v>
      </c>
      <c r="C20257" s="6" t="n">
        <f aca="false">(SUM(Sens!G20255:K20255)+Sens!$C$20256)*(1+wacc)^(((tgt_alt-roll_d1)/days_yr)-Sens!F20226)</f>
        <v>-111.92025741264</v>
      </c>
      <c r="L20257" s="12" t="s">
        <v>1252</v>
      </c>
    </row>
    <row r="20258" customFormat="false" ht="17.15" hidden="false" customHeight="false" outlineLevel="0" collapsed="false">
      <c r="A20258" s="1" t="s">
        <v>1253</v>
      </c>
      <c r="B20258" s="0" t="s">
        <v>98</v>
      </c>
      <c r="C20258" s="6" t="n">
        <f aca="false">(((fy28_end-tgt_alt)/days_yr)*Thesis!G135+(1-((fy28_end-tgt_alt)/days_yr))*Thesis!H135)*m_ai</f>
        <v>364.298236450973</v>
      </c>
    </row>
    <row r="20259" customFormat="false" ht="17.15" hidden="false" customHeight="false" outlineLevel="0" collapsed="false">
      <c r="A20259" s="1" t="s">
        <v>1254</v>
      </c>
      <c r="B20259" s="0" t="s">
        <v>98</v>
      </c>
      <c r="C20259" s="6" t="n">
        <f aca="false">(((fy28_end-tgt_alt)/days_yr)*Sens!G20250+(1-((fy28_end-tgt_alt)/days_yr))*Sens!H20250)*m_cloud</f>
        <v>1135.92037899878</v>
      </c>
    </row>
    <row r="20260" customFormat="false" ht="17.15" hidden="false" customHeight="false" outlineLevel="0" collapsed="false">
      <c r="A20260" s="1" t="s">
        <v>1255</v>
      </c>
      <c r="B20260" s="0" t="s">
        <v>98</v>
      </c>
      <c r="C20260" s="6" t="n">
        <f aca="false">(((fy28_end-tgt_alt)/days_yr)*Sens!G20243+(1-((fy28_end-tgt_alt)/days_yr))*Sens!H20243)*m_sw</f>
        <v>1073.26336853697</v>
      </c>
    </row>
    <row r="20261" customFormat="false" ht="17.15" hidden="false" customHeight="false" outlineLevel="0" collapsed="false">
      <c r="A20261" s="1" t="s">
        <v>1256</v>
      </c>
      <c r="B20261" s="0" t="s">
        <v>98</v>
      </c>
      <c r="C20261" s="6" t="n">
        <f aca="false">(((fy28_end-tgt_alt)/days_yr)*Sens!G20244+(1-((fy28_end-tgt_alt)/days_yr))*Sens!H20244)*m_sw</f>
        <v>376.391971310852</v>
      </c>
    </row>
    <row r="20262" customFormat="false" ht="17.15" hidden="false" customHeight="false" outlineLevel="0" collapsed="false">
      <c r="A20262" s="1" t="s">
        <v>1257</v>
      </c>
      <c r="B20262" s="0" t="s">
        <v>98</v>
      </c>
      <c r="C20262" s="6" t="n">
        <f aca="false">(((fy28_end-tgt_alt)/days_yr)*Sens!G20245+(1-((fy28_end-tgt_alt)/days_yr))*Sens!H20245)*m_sw</f>
        <v>111.508003235236</v>
      </c>
    </row>
    <row r="20263" customFormat="false" ht="17.15" hidden="false" customHeight="false" outlineLevel="0" collapsed="false">
      <c r="A20263" s="1" t="s">
        <v>1258</v>
      </c>
      <c r="B20263" s="0" t="s">
        <v>98</v>
      </c>
      <c r="C20263" s="6" t="n">
        <f aca="false">(((fy28_end-tgt_alt)/days_yr)*Sens!G20246+(1-((fy28_end-tgt_alt)/days_yr))*Sens!H20246)*m_sw</f>
        <v>42.1963671836065</v>
      </c>
    </row>
    <row r="20264" customFormat="false" ht="17.15" hidden="false" customHeight="false" outlineLevel="0" collapsed="false">
      <c r="A20264" s="1" t="s">
        <v>1259</v>
      </c>
      <c r="B20264" s="0" t="s">
        <v>98</v>
      </c>
      <c r="C20264" s="6" t="n">
        <f aca="false">(((fy28_end-tgt_alt)/days_yr)*Sens!G20247+(1-((fy28_end-tgt_alt)/days_yr))*Sens!H20247)*m_ads</f>
        <v>117.749780644805</v>
      </c>
    </row>
    <row r="20265" customFormat="false" ht="17.15" hidden="false" customHeight="false" outlineLevel="0" collapsed="false">
      <c r="A20265" s="1" t="s">
        <v>1260</v>
      </c>
      <c r="B20265" s="0" t="s">
        <v>98</v>
      </c>
      <c r="C20265" s="6" t="n">
        <f aca="false">(((fy28_end-tgt_alt)/days_yr)*Sens!G20252+(1-((fy28_end-tgt_alt)/days_yr))*Sens!H20252)*m_game</f>
        <v>98.0660383230679</v>
      </c>
    </row>
    <row r="20266" customFormat="false" ht="17.15" hidden="false" customHeight="false" outlineLevel="0" collapsed="false">
      <c r="A20266" s="1" t="s">
        <v>1261</v>
      </c>
      <c r="B20266" s="0" t="s">
        <v>98</v>
      </c>
      <c r="C20266" s="6" t="n">
        <f aca="false">(((fy28_end-tgt_alt)/days_yr)*Sens!G20253+(1-((fy28_end-tgt_alt)/days_yr))*Sens!H20253)*m_pc</f>
        <v>91.5735266957364</v>
      </c>
    </row>
    <row r="20267" customFormat="false" ht="17.15" hidden="false" customHeight="false" outlineLevel="0" collapsed="false">
      <c r="A20267" s="1" t="s">
        <v>1262</v>
      </c>
      <c r="B20267" s="0" t="s">
        <v>98</v>
      </c>
      <c r="C20267" s="6" t="n">
        <f aca="false">Sens!$C$20257+Sens!$C$20259+Sens!$C$20260+Sens!$C$20261+Sens!$C$20262+Sens!$C$20263+Sens!$C$20264+Sens!$C$20265+Sens!$C$20266</f>
        <v>2934.74917751642</v>
      </c>
    </row>
    <row r="20268" customFormat="false" ht="17.15" hidden="false" customHeight="false" outlineLevel="0" collapsed="false">
      <c r="A20268" s="1" t="s">
        <v>1263</v>
      </c>
      <c r="B20268" s="0" t="s">
        <v>98</v>
      </c>
      <c r="C20268" s="6" t="n">
        <f aca="false">(Sens!G20229-Sens!G20254)*((tgt_alt-stub_d0)/days_yr)</f>
        <v>82.8007889388132</v>
      </c>
      <c r="L20268" s="1" t="s">
        <v>1264</v>
      </c>
    </row>
    <row r="20269" customFormat="false" ht="17.15" hidden="false" customHeight="false" outlineLevel="0" collapsed="false">
      <c r="A20269" s="1" t="s">
        <v>1173</v>
      </c>
      <c r="B20269" s="0" t="s">
        <v>98</v>
      </c>
      <c r="C20269" s="6" t="n">
        <f aca="false">CF!F103+oai_v-CF!F92+Sens!$C$20268</f>
        <v>193.872142144649</v>
      </c>
      <c r="L20269" s="1" t="s">
        <v>1265</v>
      </c>
    </row>
    <row r="20270" customFormat="false" ht="17.15" hidden="false" customHeight="false" outlineLevel="0" collapsed="false">
      <c r="A20270" s="1" t="s">
        <v>1266</v>
      </c>
      <c r="B20270" s="0" t="s">
        <v>75</v>
      </c>
      <c r="C20270" s="5" t="n">
        <f aca="false">(Sens!$C$20267+Sens!$C$20269)/(CF!F105+dil_gap)-CF!G95*2/q_per_yr</f>
        <v>415.293107745607</v>
      </c>
      <c r="L20270" s="1" t="s">
        <v>1267</v>
      </c>
    </row>
    <row r="20271" customFormat="false" ht="17.15" hidden="false" customHeight="false" outlineLevel="0" collapsed="false">
      <c r="A20271" s="1" t="s">
        <v>1268</v>
      </c>
      <c r="B20271" s="0" t="s">
        <v>75</v>
      </c>
      <c r="C20271" s="5" t="n">
        <f aca="false">w_dcf*Sens!$C$20241+(1-w_dcf)*Sens!$C$20270</f>
        <v>350.943393725218</v>
      </c>
    </row>
    <row r="20272" customFormat="false" ht="17.15" hidden="false" customHeight="false" outlineLevel="0" collapsed="false">
      <c r="A20272" s="3" t="s">
        <v>2112</v>
      </c>
    </row>
    <row r="20273" customFormat="false" ht="15" hidden="false" customHeight="false" outlineLevel="0" collapsed="false">
      <c r="A20273" s="4" t="s">
        <v>43</v>
      </c>
      <c r="B20273" s="4" t="s">
        <v>65</v>
      </c>
      <c r="C20273" s="23" t="s">
        <v>942</v>
      </c>
      <c r="D20273" s="23" t="s">
        <v>943</v>
      </c>
      <c r="E20273" s="23" t="s">
        <v>944</v>
      </c>
      <c r="F20273" s="23" t="s">
        <v>945</v>
      </c>
      <c r="G20273" s="23" t="s">
        <v>946</v>
      </c>
      <c r="H20273" s="23" t="s">
        <v>947</v>
      </c>
      <c r="I20273" s="23" t="s">
        <v>948</v>
      </c>
      <c r="J20273" s="23" t="s">
        <v>949</v>
      </c>
      <c r="K20273" s="23" t="s">
        <v>950</v>
      </c>
      <c r="L20273" s="4" t="s">
        <v>47</v>
      </c>
    </row>
    <row r="20274" customFormat="false" ht="17.15" hidden="false" customHeight="false" outlineLevel="0" collapsed="false">
      <c r="A20274" s="1" t="s">
        <v>1216</v>
      </c>
      <c r="B20274" s="1" t="s">
        <v>279</v>
      </c>
      <c r="F20274" s="8" t="n">
        <f aca="false">(1-v_off)*mid_yr</f>
        <v>0.373972602739726</v>
      </c>
      <c r="G20274" s="8" t="n">
        <f aca="false">Thesis!G6-base_fy-mid_yr-v_off</f>
        <v>1.24794520547945</v>
      </c>
      <c r="H20274" s="8" t="n">
        <f aca="false">Thesis!H6-base_fy-mid_yr-v_off</f>
        <v>2.24794520547945</v>
      </c>
      <c r="I20274" s="8" t="n">
        <f aca="false">Thesis!I6-base_fy-mid_yr-v_off</f>
        <v>3.24794520547945</v>
      </c>
      <c r="J20274" s="8" t="n">
        <f aca="false">Thesis!J6-base_fy-mid_yr-v_off</f>
        <v>4.24794520547945</v>
      </c>
      <c r="K20274" s="8" t="n">
        <f aca="false">Thesis!K6-base_fy-mid_yr-v_off</f>
        <v>5.24794520547945</v>
      </c>
      <c r="L20274" s="12" t="s">
        <v>1217</v>
      </c>
    </row>
    <row r="20275" customFormat="false" ht="15" hidden="false" customHeight="false" outlineLevel="0" collapsed="false">
      <c r="A20275" s="1" t="s">
        <v>1218</v>
      </c>
      <c r="B20275" s="1" t="s">
        <v>279</v>
      </c>
      <c r="F20275" s="8" t="n">
        <f aca="false">Thesis!F6-base_fy-v_off</f>
        <v>0.747945205479452</v>
      </c>
      <c r="G20275" s="8" t="n">
        <f aca="false">Thesis!G6-base_fy-v_off</f>
        <v>1.74794520547945</v>
      </c>
      <c r="H20275" s="8" t="n">
        <f aca="false">Thesis!H6-base_fy-v_off</f>
        <v>2.74794520547945</v>
      </c>
      <c r="I20275" s="8" t="n">
        <f aca="false">Thesis!I6-base_fy-v_off</f>
        <v>3.74794520547945</v>
      </c>
      <c r="J20275" s="8" t="n">
        <f aca="false">Thesis!J6-base_fy-v_off</f>
        <v>4.74794520547945</v>
      </c>
      <c r="K20275" s="8" t="n">
        <f aca="false">Thesis!K6-base_fy-v_off</f>
        <v>5.74794520547945</v>
      </c>
    </row>
    <row r="20276" customFormat="false" ht="15" hidden="false" customHeight="false" outlineLevel="0" collapsed="false">
      <c r="A20276" s="1" t="s">
        <v>1219</v>
      </c>
      <c r="B20276" s="0" t="s">
        <v>229</v>
      </c>
      <c r="F20276" s="15" t="n">
        <f aca="false">1/(1+wacc)^Sens!F20274</f>
        <v>0.964022703286649</v>
      </c>
      <c r="G20276" s="15" t="n">
        <f aca="false">1/(1+wacc)^Sens!G20274</f>
        <v>0.884910302296739</v>
      </c>
      <c r="H20276" s="15" t="n">
        <f aca="false">1/(1+wacc)^Sens!H20274</f>
        <v>0.802322009770358</v>
      </c>
      <c r="I20276" s="15" t="n">
        <f aca="false">1/(1+wacc)^Sens!I20274</f>
        <v>0.727441646561469</v>
      </c>
      <c r="J20276" s="15" t="n">
        <f aca="false">1/(1+wacc)^Sens!J20274</f>
        <v>0.659549834988973</v>
      </c>
      <c r="K20276" s="15" t="n">
        <f aca="false">1/(1+wacc)^Sens!K20274</f>
        <v>0.597994336576966</v>
      </c>
    </row>
    <row r="20277" customFormat="false" ht="17.15" hidden="false" customHeight="false" outlineLevel="0" collapsed="false">
      <c r="A20277" s="1" t="s">
        <v>1220</v>
      </c>
      <c r="B20277" s="0" t="s">
        <v>98</v>
      </c>
      <c r="F20277" s="6" t="n">
        <f aca="false">Q!$I$35-Q!$I$39-Q!$I$43</f>
        <v>9.666</v>
      </c>
      <c r="L20277" s="12" t="s">
        <v>1221</v>
      </c>
    </row>
    <row r="20278" customFormat="false" ht="17.15" hidden="false" customHeight="false" outlineLevel="0" collapsed="false">
      <c r="A20278" s="1" t="s">
        <v>1222</v>
      </c>
      <c r="B20278" s="0" t="s">
        <v>98</v>
      </c>
      <c r="F20278" s="6" t="n">
        <f aca="false">CF!F23-CF!F20-CF!F27+Thesis!F47*(1-tax_f)*(1-v_off)-Sens!F20277</f>
        <v>-1.12880264559539</v>
      </c>
      <c r="G20278" s="6" t="n">
        <f aca="false">CF!G23-CF!G20-CF!G27+Thesis!G47*(1-tax_f)</f>
        <v>38.7194421947551</v>
      </c>
      <c r="H20278" s="6" t="n">
        <f aca="false">CF!H23-CF!H20-CF!H27+Thesis!H47*(1-tax_f)</f>
        <v>98.6927474567662</v>
      </c>
      <c r="I20278" s="6" t="n">
        <f aca="false">CF!I23-CF!I20-CF!I27+Thesis!I47*(1-tax_f)</f>
        <v>181.625440536277</v>
      </c>
      <c r="J20278" s="6" t="n">
        <f aca="false">CF!J23-CF!J20-CF!J27+Thesis!J47*(1-tax_f)</f>
        <v>263.350402418584</v>
      </c>
      <c r="K20278" s="6" t="n">
        <f aca="false">CF!K23-CF!K20-CF!K27+Thesis!K47*(1-tax_f)</f>
        <v>303.659068389018</v>
      </c>
      <c r="L20278" s="1" t="s">
        <v>1223</v>
      </c>
    </row>
    <row r="20279" customFormat="false" ht="15" hidden="false" customHeight="false" outlineLevel="0" collapsed="false">
      <c r="A20279" s="1" t="s">
        <v>1224</v>
      </c>
      <c r="B20279" s="0" t="s">
        <v>98</v>
      </c>
      <c r="F20279" s="6" t="n">
        <f aca="false">Sens!F20278*Sens!F20276</f>
        <v>-1.08819137788399</v>
      </c>
      <c r="G20279" s="6" t="n">
        <f aca="false">Sens!G20278*Sens!G20276</f>
        <v>34.2632332973219</v>
      </c>
      <c r="H20279" s="6" t="n">
        <f aca="false">Sens!H20278*Sens!H20276</f>
        <v>79.183363489271</v>
      </c>
      <c r="I20279" s="6" t="n">
        <f aca="false">Sens!I20278*Sens!I20276</f>
        <v>132.121909521162</v>
      </c>
      <c r="J20279" s="6" t="n">
        <f aca="false">Sens!J20278*Sens!J20276</f>
        <v>173.692714459456</v>
      </c>
      <c r="K20279" s="6" t="n">
        <f aca="false">Sens!K20278*Sens!K20276</f>
        <v>181.58640314687</v>
      </c>
    </row>
    <row r="20280" customFormat="false" ht="17.15" hidden="false" customHeight="false" outlineLevel="0" collapsed="false">
      <c r="A20280" s="1" t="s">
        <v>1225</v>
      </c>
      <c r="B20280" s="0" t="s">
        <v>98</v>
      </c>
      <c r="C20280" s="6" t="n">
        <f aca="false">SUM(Sens!F20279:K20279)</f>
        <v>599.759432536197</v>
      </c>
    </row>
    <row r="20281" customFormat="false" ht="17.15" hidden="false" customHeight="false" outlineLevel="0" collapsed="false">
      <c r="A20281" s="1" t="s">
        <v>1226</v>
      </c>
      <c r="B20281" s="0" t="s">
        <v>98</v>
      </c>
      <c r="C20281" s="6" t="n">
        <f aca="false">PL!K39*(1+g_tv)*(1-tax_f)</f>
        <v>316.501318799308</v>
      </c>
    </row>
    <row r="20282" customFormat="false" ht="17.15" hidden="false" customHeight="false" outlineLevel="0" collapsed="false">
      <c r="A20282" s="1" t="s">
        <v>1227</v>
      </c>
      <c r="B20282" s="0" t="s">
        <v>98</v>
      </c>
      <c r="C20282" s="6" t="n">
        <f aca="false">Sens!$C$20281*(1-g_tv/(wacc+ronic_prem))</f>
        <v>224.25968269347</v>
      </c>
    </row>
    <row r="20283" customFormat="false" ht="17.15" hidden="false" customHeight="false" outlineLevel="0" collapsed="false">
      <c r="A20283" s="1" t="s">
        <v>1228</v>
      </c>
      <c r="B20283" s="0" t="s">
        <v>98</v>
      </c>
      <c r="C20283" s="6" t="n">
        <f aca="false">Sens!$C$20282/(wacc-g_tv)</f>
        <v>3074.72120352792</v>
      </c>
    </row>
    <row r="20284" customFormat="false" ht="15" hidden="false" customHeight="false" outlineLevel="0" collapsed="false">
      <c r="A20284" s="1" t="s">
        <v>1229</v>
      </c>
      <c r="B20284" s="0" t="s">
        <v>98</v>
      </c>
      <c r="C20284" s="6" t="n">
        <f aca="false">Sens!$C$20283/(1+wacc)^Sens!K20275</f>
        <v>1750.76373116397</v>
      </c>
    </row>
    <row r="20285" customFormat="false" ht="17.15" hidden="false" customHeight="false" outlineLevel="0" collapsed="false">
      <c r="A20285" s="0" t="s">
        <v>1230</v>
      </c>
      <c r="B20285" s="0" t="s">
        <v>98</v>
      </c>
      <c r="C20285" s="6" t="n">
        <f aca="false">Sens!$C$20280+Sens!$C$20284</f>
        <v>2350.52316370017</v>
      </c>
    </row>
    <row r="20286" customFormat="false" ht="15" hidden="false" customHeight="false" outlineLevel="0" collapsed="false">
      <c r="A20286" s="1" t="s">
        <v>1145</v>
      </c>
      <c r="B20286" s="0" t="s">
        <v>168</v>
      </c>
      <c r="C20286" s="7" t="n">
        <f aca="false">Sens!$C$20284/Sens!$C$20285</f>
        <v>0.744840024638574</v>
      </c>
    </row>
    <row r="20287" customFormat="false" ht="17.15" hidden="false" customHeight="false" outlineLevel="0" collapsed="false">
      <c r="A20287" s="1" t="s">
        <v>1231</v>
      </c>
      <c r="B20287" s="0" t="s">
        <v>98</v>
      </c>
      <c r="C20287" s="6" t="n">
        <f aca="false">Sens!$C$20285+cash_val-debt_val-fl_val+(oai_stake26*oai_val*(1-liq_disc))</f>
        <v>2473.19016370017</v>
      </c>
    </row>
    <row r="20288" customFormat="false" ht="17.15" hidden="false" customHeight="false" outlineLevel="0" collapsed="false">
      <c r="A20288" s="0" t="s">
        <v>1153</v>
      </c>
      <c r="B20288" s="0" t="s">
        <v>75</v>
      </c>
      <c r="C20288" s="5" t="n">
        <f aca="false">Sens!$C$20287/shd_val</f>
        <v>332.150169715306</v>
      </c>
    </row>
    <row r="20289" customFormat="false" ht="15" hidden="false" customHeight="false" outlineLevel="0" collapsed="false">
      <c r="A20289" s="1" t="s">
        <v>1232</v>
      </c>
      <c r="B20289" s="0" t="s">
        <v>75</v>
      </c>
      <c r="C20289" s="8" t="n">
        <f aca="false">div_rem27+CF!G31*roll_div_q/q_per_yr</f>
        <v>3.9795</v>
      </c>
    </row>
    <row r="20290" customFormat="false" ht="17.15" hidden="false" customHeight="false" outlineLevel="0" collapsed="false">
      <c r="A20290" s="0" t="s">
        <v>1233</v>
      </c>
      <c r="B20290" s="0" t="s">
        <v>75</v>
      </c>
      <c r="C20290" s="5" t="n">
        <f aca="false">Sens!$C$20288*(1+wacc)^t_roll-Sens!$C$20289</f>
        <v>365.223951186595</v>
      </c>
    </row>
    <row r="20291" customFormat="false" ht="17.15" hidden="false" customHeight="false" outlineLevel="0" collapsed="false">
      <c r="A20291" s="1" t="s">
        <v>1234</v>
      </c>
      <c r="B20291" s="0" t="s">
        <v>168</v>
      </c>
      <c r="F20291" s="7" t="n">
        <f aca="false">CF!F17/(Seg!F29-Thesis!F25)</f>
        <v>0.0685527305696859</v>
      </c>
      <c r="G20291" s="7" t="n">
        <f aca="false">CF!G17/(Seg!G29-Thesis!G25)</f>
        <v>0.0653567731599844</v>
      </c>
      <c r="H20291" s="7" t="n">
        <f aca="false">CF!H17/(Seg!H29-Thesis!H25)</f>
        <v>0.0636628841026972</v>
      </c>
      <c r="I20291" s="7" t="n">
        <f aca="false">CF!I17/(Seg!I29-Thesis!I25)</f>
        <v>0.0633581084335176</v>
      </c>
      <c r="J20291" s="7" t="n">
        <f aca="false">CF!J17/(Seg!J29-Thesis!J25)</f>
        <v>0.0640873955995062</v>
      </c>
      <c r="K20291" s="7" t="n">
        <f aca="false">CF!K17/(Seg!K29-Thesis!K25)</f>
        <v>0.0653962234835198</v>
      </c>
    </row>
    <row r="20292" customFormat="false" ht="17.15" hidden="false" customHeight="false" outlineLevel="0" collapsed="false">
      <c r="A20292" s="0" t="s">
        <v>1235</v>
      </c>
      <c r="B20292" s="0" t="s">
        <v>98</v>
      </c>
      <c r="F20292" s="6" t="n">
        <f aca="false">Seg!F14*(al_m365+Sens!F20291+sbc_r)</f>
        <v>84.5213906545575</v>
      </c>
      <c r="G20292" s="6" t="n">
        <f aca="false">Seg!G14*(al_m365+Sens!G20291+sbc_r)</f>
        <v>98.949983331796</v>
      </c>
      <c r="H20292" s="6" t="n">
        <f aca="false">Seg!H14*(al_m365+Sens!H20291+sbc_r)</f>
        <v>113.543734275326</v>
      </c>
      <c r="I20292" s="6" t="n">
        <f aca="false">Seg!I14*(al_m365+Sens!I20291+sbc_r)</f>
        <v>126.62058838692</v>
      </c>
      <c r="J20292" s="6" t="n">
        <f aca="false">Seg!J14*(al_m365+Sens!J20291+sbc_r)</f>
        <v>137.994660156303</v>
      </c>
      <c r="K20292" s="6" t="n">
        <f aca="false">Seg!K14*(al_m365+Sens!K20291+sbc_r)</f>
        <v>148.989224092997</v>
      </c>
      <c r="L20292" s="12" t="s">
        <v>1236</v>
      </c>
    </row>
    <row r="20293" customFormat="false" ht="17.15" hidden="false" customHeight="false" outlineLevel="0" collapsed="false">
      <c r="A20293" s="0" t="s">
        <v>1237</v>
      </c>
      <c r="B20293" s="0" t="s">
        <v>98</v>
      </c>
      <c r="F20293" s="6" t="n">
        <f aca="false">Seg!F15*(al_lic+Sens!F20291+sbc_r)</f>
        <v>32.855200196554</v>
      </c>
      <c r="G20293" s="6" t="n">
        <f aca="false">Seg!G15*(al_lic+Sens!G20291+sbc_r)</f>
        <v>34.1185582613282</v>
      </c>
      <c r="H20293" s="6" t="n">
        <f aca="false">Seg!H15*(al_lic+Sens!H20291+sbc_r)</f>
        <v>35.3024309363621</v>
      </c>
      <c r="I20293" s="6" t="n">
        <f aca="false">Seg!I15*(al_lic+Sens!I20291+sbc_r)</f>
        <v>36.3898468129533</v>
      </c>
      <c r="J20293" s="6" t="n">
        <f aca="false">Seg!J15*(al_lic+Sens!J20291+sbc_r)</f>
        <v>37.3529129529876</v>
      </c>
      <c r="K20293" s="6" t="n">
        <f aca="false">Seg!K15*(al_lic+Sens!K20291+sbc_r)</f>
        <v>38.158536171203</v>
      </c>
    </row>
    <row r="20294" customFormat="false" ht="17.15" hidden="false" customHeight="false" outlineLevel="0" collapsed="false">
      <c r="A20294" s="0" t="s">
        <v>1238</v>
      </c>
      <c r="B20294" s="0" t="s">
        <v>98</v>
      </c>
      <c r="F20294" s="6" t="n">
        <f aca="false">Seg!F17*(al_ind+Sens!F20291+sbc_r)</f>
        <v>9.05892547956683</v>
      </c>
      <c r="G20294" s="6" t="n">
        <f aca="false">Seg!G17*(al_ind+Sens!G20291+sbc_r)</f>
        <v>9.82456487622418</v>
      </c>
      <c r="H20294" s="6" t="n">
        <f aca="false">Seg!H17*(al_ind+Sens!H20291+sbc_r)</f>
        <v>10.6377408477959</v>
      </c>
      <c r="I20294" s="6" t="n">
        <f aca="false">Seg!I17*(al_ind+Sens!I20291+sbc_r)</f>
        <v>11.4966323260293</v>
      </c>
      <c r="J20294" s="6" t="n">
        <f aca="false">Seg!J17*(al_ind+Sens!J20291+sbc_r)</f>
        <v>12.3903660286279</v>
      </c>
      <c r="K20294" s="6" t="n">
        <f aca="false">Seg!K17*(al_ind+Sens!K20291+sbc_r)</f>
        <v>13.3009129057681</v>
      </c>
    </row>
    <row r="20295" customFormat="false" ht="17.15" hidden="false" customHeight="false" outlineLevel="0" collapsed="false">
      <c r="A20295" s="0" t="s">
        <v>1239</v>
      </c>
      <c r="B20295" s="0" t="s">
        <v>98</v>
      </c>
      <c r="F20295" s="6" t="n">
        <f aca="false">Seg!F19*(al_fro+Sens!F20291+sbc_r)</f>
        <v>3.55344443532423</v>
      </c>
      <c r="G20295" s="6" t="n">
        <f aca="false">Seg!G19*(al_fro+Sens!G20291+sbc_r)</f>
        <v>3.75916645971565</v>
      </c>
      <c r="H20295" s="6" t="n">
        <f aca="false">Seg!H19*(al_fro+Sens!H20291+sbc_r)</f>
        <v>3.994970960527</v>
      </c>
      <c r="I20295" s="6" t="n">
        <f aca="false">Seg!I19*(al_fro+Sens!I20291+sbc_r)</f>
        <v>4.26396270432353</v>
      </c>
      <c r="J20295" s="6" t="n">
        <f aca="false">Seg!J19*(al_fro+Sens!J20291+sbc_r)</f>
        <v>4.5667795874336</v>
      </c>
      <c r="K20295" s="6" t="n">
        <f aca="false">Seg!K19*(al_fro+Sens!K20291+sbc_r)</f>
        <v>4.90238443416026</v>
      </c>
    </row>
    <row r="20296" customFormat="false" ht="17.15" hidden="false" customHeight="false" outlineLevel="0" collapsed="false">
      <c r="A20296" s="0" t="s">
        <v>1240</v>
      </c>
      <c r="B20296" s="0" t="s">
        <v>98</v>
      </c>
      <c r="F20296" s="6" t="n">
        <f aca="false">Seg!F22*(al_srch+Sens!F20291+sbc_r)</f>
        <v>11.1872483445711</v>
      </c>
      <c r="G20296" s="6" t="n">
        <f aca="false">Seg!G22*(al_srch+Sens!G20291+sbc_r)</f>
        <v>12.247246048296</v>
      </c>
      <c r="H20296" s="6" t="n">
        <f aca="false">Seg!H22*(al_srch+Sens!H20291+sbc_r)</f>
        <v>13.3552870946193</v>
      </c>
      <c r="I20296" s="6" t="n">
        <f aca="false">Seg!I22*(al_srch+Sens!I20291+sbc_r)</f>
        <v>14.5024145321619</v>
      </c>
      <c r="J20296" s="6" t="n">
        <f aca="false">Seg!J22*(al_srch+Sens!J20291+sbc_r)</f>
        <v>15.667276660652</v>
      </c>
      <c r="K20296" s="6" t="n">
        <f aca="false">Seg!K22*(al_srch+Sens!K20291+sbc_r)</f>
        <v>16.8186381138719</v>
      </c>
    </row>
    <row r="20297" customFormat="false" ht="17.15" hidden="false" customHeight="false" outlineLevel="0" collapsed="false">
      <c r="A20297" s="0" t="s">
        <v>1241</v>
      </c>
      <c r="B20297" s="0" t="s">
        <v>98</v>
      </c>
      <c r="F20297" s="6" t="n">
        <f aca="false">Thesis!F31-Thesis!F32+Thesis!F47</f>
        <v>45.3782580567763</v>
      </c>
      <c r="G20297" s="6" t="n">
        <f aca="false">Thesis!G31-Thesis!G32+Thesis!G47</f>
        <v>91.0863367558165</v>
      </c>
      <c r="H20297" s="6" t="n">
        <f aca="false">Thesis!H31-Thesis!H32+Thesis!H47</f>
        <v>144.617532464853</v>
      </c>
      <c r="I20297" s="6" t="n">
        <f aca="false">Thesis!I31-Thesis!I32+Thesis!I47</f>
        <v>187.137304561304</v>
      </c>
      <c r="J20297" s="6" t="n">
        <f aca="false">Thesis!J31-Thesis!J32+Thesis!J47</f>
        <v>217.006854425907</v>
      </c>
      <c r="K20297" s="6" t="n">
        <f aca="false">Thesis!K31-Thesis!K32+Thesis!K47</f>
        <v>234.933637903877</v>
      </c>
    </row>
    <row r="20298" customFormat="false" ht="17.15" hidden="false" customHeight="false" outlineLevel="0" collapsed="false">
      <c r="A20298" s="0" t="s">
        <v>1242</v>
      </c>
      <c r="B20298" s="0" t="s">
        <v>98</v>
      </c>
      <c r="F20298" s="6" t="n">
        <f aca="false">PL!F32+Thesis!F47+Thesis!F43+Sens!F20291*(Seg!F21-Thesis!F25)+sbc_r*Seg!F21</f>
        <v>240.818167741339</v>
      </c>
      <c r="G20298" s="6" t="n">
        <f aca="false">PL!G32+Thesis!G47+Thesis!G43+Sens!G20291*(Seg!G21-Thesis!G25)+sbc_r*Seg!G21</f>
        <v>311.917784140952</v>
      </c>
      <c r="H20298" s="6" t="n">
        <f aca="false">PL!H32+Thesis!H47+Thesis!H43+Sens!H20291*(Seg!H21-Thesis!H25)+sbc_r*Seg!H21</f>
        <v>395.486245683473</v>
      </c>
      <c r="I20298" s="6" t="n">
        <f aca="false">PL!I32+Thesis!I47+Thesis!I43+Sens!I20291*(Seg!I21-Thesis!I25)+sbc_r*Seg!I21</f>
        <v>465.950805948377</v>
      </c>
      <c r="J20298" s="6" t="n">
        <f aca="false">PL!J32+Thesis!J47+Thesis!J43+Sens!J20291*(Seg!J21-Thesis!J25)+sbc_r*Seg!J21</f>
        <v>520.78677388057</v>
      </c>
      <c r="K20298" s="6" t="n">
        <f aca="false">PL!K32+Thesis!K47+Thesis!K43+Sens!K20291*(Seg!K21-Thesis!K25)+sbc_r*Seg!K21</f>
        <v>561.2469767412</v>
      </c>
    </row>
    <row r="20299" customFormat="false" ht="17.15" hidden="false" customHeight="false" outlineLevel="0" collapsed="false">
      <c r="A20299" s="0" t="s">
        <v>1243</v>
      </c>
      <c r="B20299" s="0" t="s">
        <v>98</v>
      </c>
      <c r="F20299" s="6" t="n">
        <f aca="false">Sens!F20298-Sens!F20292-Sens!F20293-Sens!F20294-Sens!F20295-Sens!F20297</f>
        <v>65.4509489185601</v>
      </c>
      <c r="G20299" s="6" t="n">
        <f aca="false">Sens!G20298-Sens!G20292-Sens!G20293-Sens!G20294-Sens!G20295-Sens!G20297</f>
        <v>74.1791744560715</v>
      </c>
      <c r="H20299" s="6" t="n">
        <f aca="false">Sens!H20298-Sens!H20292-Sens!H20293-Sens!H20294-Sens!H20295-Sens!H20297</f>
        <v>87.3898361986086</v>
      </c>
      <c r="I20299" s="6" t="n">
        <f aca="false">Sens!I20298-Sens!I20292-Sens!I20293-Sens!I20294-Sens!I20295-Sens!I20297</f>
        <v>100.042471156846</v>
      </c>
      <c r="J20299" s="6" t="n">
        <f aca="false">Sens!J20298-Sens!J20292-Sens!J20293-Sens!J20294-Sens!J20295-Sens!J20297</f>
        <v>111.475200729312</v>
      </c>
      <c r="K20299" s="6" t="n">
        <f aca="false">Sens!K20298-Sens!K20292-Sens!K20293-Sens!K20294-Sens!K20295-Sens!K20297</f>
        <v>120.962281233195</v>
      </c>
    </row>
    <row r="20300" customFormat="false" ht="17.15" hidden="false" customHeight="false" outlineLevel="0" collapsed="false">
      <c r="A20300" s="0" t="s">
        <v>1244</v>
      </c>
      <c r="B20300" s="0" t="s">
        <v>98</v>
      </c>
      <c r="F20300" s="6" t="n">
        <f aca="false">PL!F34+Sens!F20291*Seg!F28+sbc_r*Seg!F28</f>
        <v>26.6293388420472</v>
      </c>
      <c r="G20300" s="6" t="n">
        <f aca="false">PL!G34+Sens!G20291*Seg!G28+sbc_r*Seg!G28</f>
        <v>26.4405000412783</v>
      </c>
      <c r="H20300" s="6" t="n">
        <f aca="false">PL!H34+Sens!H20291*Seg!H28+sbc_r*Seg!H28</f>
        <v>27.296860059552</v>
      </c>
      <c r="I20300" s="6" t="n">
        <f aca="false">PL!I34+Sens!I20291*Seg!I28+sbc_r*Seg!I28</f>
        <v>28.3995465815703</v>
      </c>
      <c r="J20300" s="6" t="n">
        <f aca="false">PL!J34+Sens!J20291*Seg!J28+sbc_r*Seg!J28</f>
        <v>29.7093380975903</v>
      </c>
      <c r="K20300" s="6" t="n">
        <f aca="false">PL!K34+Sens!K20291*Seg!K28+sbc_r*Seg!K28</f>
        <v>31.1817775287323</v>
      </c>
    </row>
    <row r="20301" customFormat="false" ht="17.15" hidden="false" customHeight="false" outlineLevel="0" collapsed="false">
      <c r="A20301" s="0" t="s">
        <v>1245</v>
      </c>
      <c r="B20301" s="0" t="s">
        <v>98</v>
      </c>
      <c r="F20301" s="6" t="n">
        <f aca="false">(Sens!F20300-Sens!F20296)*Seg!F24/(Seg!F24+Seg!F26)</f>
        <v>8.72146908842971</v>
      </c>
      <c r="G20301" s="6" t="n">
        <f aca="false">(Sens!G20300-Sens!G20296)*Seg!G24/(Seg!G24+Seg!G26)</f>
        <v>7.87837655379173</v>
      </c>
      <c r="H20301" s="6" t="n">
        <f aca="false">(Sens!H20300-Sens!H20296)*Seg!H24/(Seg!H24+Seg!H26)</f>
        <v>7.63786170689933</v>
      </c>
      <c r="I20301" s="6" t="n">
        <f aca="false">(Sens!I20300-Sens!I20296)*Seg!I24/(Seg!I24+Seg!I26)</f>
        <v>7.5470606300581</v>
      </c>
      <c r="J20301" s="6" t="n">
        <f aca="false">(Sens!J20300-Sens!J20296)*Seg!J24/(Seg!J24+Seg!J26)</f>
        <v>7.59249600034024</v>
      </c>
      <c r="K20301" s="6" t="n">
        <f aca="false">(Sens!K20300-Sens!K20296)*Seg!K24/(Seg!K24+Seg!K26)</f>
        <v>7.76610179704742</v>
      </c>
    </row>
    <row r="20302" customFormat="false" ht="17.15" hidden="false" customHeight="false" outlineLevel="0" collapsed="false">
      <c r="A20302" s="0" t="s">
        <v>1246</v>
      </c>
      <c r="B20302" s="0" t="s">
        <v>98</v>
      </c>
      <c r="F20302" s="6" t="n">
        <f aca="false">Sens!F20300-Sens!F20296-Sens!F20301</f>
        <v>6.72062140904636</v>
      </c>
      <c r="G20302" s="6" t="n">
        <f aca="false">Sens!G20300-Sens!G20296-Sens!G20301</f>
        <v>6.31487743919059</v>
      </c>
      <c r="H20302" s="6" t="n">
        <f aca="false">Sens!H20300-Sens!H20296-Sens!H20301</f>
        <v>6.30371125803333</v>
      </c>
      <c r="I20302" s="6" t="n">
        <f aca="false">Sens!I20300-Sens!I20296-Sens!I20301</f>
        <v>6.35007141935025</v>
      </c>
      <c r="J20302" s="6" t="n">
        <f aca="false">Sens!J20300-Sens!J20296-Sens!J20301</f>
        <v>6.44956543659808</v>
      </c>
      <c r="K20302" s="6" t="n">
        <f aca="false">Sens!K20300-Sens!K20296-Sens!K20301</f>
        <v>6.597037617813</v>
      </c>
    </row>
    <row r="20303" customFormat="false" ht="17.15" hidden="false" customHeight="false" outlineLevel="0" collapsed="false">
      <c r="A20303" s="0" t="s">
        <v>1247</v>
      </c>
      <c r="B20303" s="0" t="s">
        <v>98</v>
      </c>
      <c r="F20303" s="6" t="n">
        <f aca="false">Sens!F20297-tax_f*(Sens!F20297-Thesis!F43)-Thesis!F40</f>
        <v>-125.235434701028</v>
      </c>
      <c r="G20303" s="6" t="n">
        <f aca="false">Sens!G20297-tax_f*(Sens!G20297-Thesis!G43)-Thesis!G40</f>
        <v>-106.928508113935</v>
      </c>
      <c r="H20303" s="6" t="n">
        <f aca="false">Sens!H20297-tax_f*(Sens!H20297-Thesis!H43)-Thesis!H40</f>
        <v>-63.2919599603405</v>
      </c>
      <c r="I20303" s="6" t="n">
        <f aca="false">Sens!I20297-tax_f*(Sens!I20297-Thesis!I43)-Thesis!I40</f>
        <v>3.94121196634245</v>
      </c>
      <c r="J20303" s="6" t="n">
        <f aca="false">Sens!J20297-tax_f*(Sens!J20297-Thesis!J43)-Thesis!J40</f>
        <v>71.0786869547042</v>
      </c>
      <c r="K20303" s="6" t="n">
        <f aca="false">Sens!K20297-tax_f*(Sens!K20297-Thesis!K43)-Thesis!K40</f>
        <v>97.5865911685559</v>
      </c>
    </row>
    <row r="20304" customFormat="false" ht="17.15" hidden="false" customHeight="false" outlineLevel="0" collapsed="false">
      <c r="A20304" s="0" t="s">
        <v>1248</v>
      </c>
      <c r="B20304" s="0" t="s">
        <v>98</v>
      </c>
      <c r="G20304" s="6" t="n">
        <f aca="false">Sens!G20303/(1+wacc)^(Sens!G20274-Sens!F20275)</f>
        <v>-101.81651667568</v>
      </c>
      <c r="H20304" s="6" t="n">
        <f aca="false">Sens!H20303/(1+wacc)^(Sens!H20274-Sens!F20275)</f>
        <v>-54.6415143556151</v>
      </c>
      <c r="I20304" s="6" t="n">
        <f aca="false">Sens!I20303/(1+wacc)^(Sens!I20274-Sens!F20275)</f>
        <v>3.08498765169516</v>
      </c>
      <c r="J20304" s="6" t="n">
        <f aca="false">Sens!J20303/(1+wacc)^(Sens!J20274-Sens!F20275)</f>
        <v>50.4443451596971</v>
      </c>
      <c r="K20304" s="6" t="n">
        <f aca="false">Sens!K20303/(1+wacc)^(Sens!K20274-Sens!F20275)</f>
        <v>62.7932114544856</v>
      </c>
      <c r="L20304" s="1" t="s">
        <v>1249</v>
      </c>
    </row>
    <row r="20305" customFormat="false" ht="17.15" hidden="false" customHeight="false" outlineLevel="0" collapsed="false">
      <c r="A20305" s="0" t="s">
        <v>1250</v>
      </c>
      <c r="B20305" s="0" t="s">
        <v>98</v>
      </c>
      <c r="C20305" s="6" t="n">
        <f aca="false">(Sens!K20297-Thesis!K43)*(1-tax_f)*(1+g_tv)*(1-g_tv/(wacc+ronic_prem))/(wacc-g_tv)/(1+wacc)^(Sens!K20275-Sens!F20275)</f>
        <v>450.836735002813</v>
      </c>
    </row>
    <row r="20306" customFormat="false" ht="17.15" hidden="false" customHeight="false" outlineLevel="0" collapsed="false">
      <c r="A20306" s="1" t="s">
        <v>1251</v>
      </c>
      <c r="B20306" s="0" t="s">
        <v>98</v>
      </c>
      <c r="C20306" s="6" t="n">
        <f aca="false">(SUM(Sens!G20304:K20304)+Sens!$C$20305)*(1+wacc)^(t_roll-Sens!F20275)</f>
        <v>424.259738494477</v>
      </c>
      <c r="L20306" s="12" t="s">
        <v>1252</v>
      </c>
    </row>
    <row r="20307" customFormat="false" ht="17.15" hidden="false" customHeight="false" outlineLevel="0" collapsed="false">
      <c r="A20307" s="1" t="s">
        <v>1253</v>
      </c>
      <c r="B20307" s="0" t="s">
        <v>98</v>
      </c>
      <c r="C20307" s="6" t="n">
        <f aca="false">(w_ntm28*Thesis!G31+(1-w_ntm28)*Thesis!H31)*m_ai</f>
        <v>563.316843258668</v>
      </c>
    </row>
    <row r="20308" customFormat="false" ht="17.15" hidden="false" customHeight="false" outlineLevel="0" collapsed="false">
      <c r="A20308" s="1" t="s">
        <v>1254</v>
      </c>
      <c r="B20308" s="0" t="s">
        <v>98</v>
      </c>
      <c r="C20308" s="6" t="n">
        <f aca="false">(w_ntm28*Sens!G20299+(1-w_ntm28)*Sens!H20299)*m_cloud</f>
        <v>1085.17964696599</v>
      </c>
    </row>
    <row r="20309" customFormat="false" ht="17.15" hidden="false" customHeight="false" outlineLevel="0" collapsed="false">
      <c r="A20309" s="1" t="s">
        <v>1255</v>
      </c>
      <c r="B20309" s="0" t="s">
        <v>98</v>
      </c>
      <c r="C20309" s="6" t="n">
        <f aca="false">(w_ntm28*Sens!G20292+(1-w_ntm28)*Sens!H20292)*m_sw</f>
        <v>1120.47763155275</v>
      </c>
    </row>
    <row r="20310" customFormat="false" ht="17.15" hidden="false" customHeight="false" outlineLevel="0" collapsed="false">
      <c r="A20310" s="1" t="s">
        <v>1256</v>
      </c>
      <c r="B20310" s="0" t="s">
        <v>98</v>
      </c>
      <c r="C20310" s="6" t="n">
        <f aca="false">(w_ntm28*Sens!G20293+(1-w_ntm28)*Sens!H20293)*m_sw</f>
        <v>372.68398809041</v>
      </c>
    </row>
    <row r="20311" customFormat="false" ht="17.15" hidden="false" customHeight="false" outlineLevel="0" collapsed="false">
      <c r="A20311" s="1" t="s">
        <v>1257</v>
      </c>
      <c r="B20311" s="0" t="s">
        <v>98</v>
      </c>
      <c r="C20311" s="6" t="n">
        <f aca="false">(w_ntm28*Sens!G20294+(1-w_ntm28)*Sens!H20294)*m_sw</f>
        <v>108.992632332144</v>
      </c>
    </row>
    <row r="20312" customFormat="false" ht="17.15" hidden="false" customHeight="false" outlineLevel="0" collapsed="false">
      <c r="A20312" s="1" t="s">
        <v>1258</v>
      </c>
      <c r="B20312" s="0" t="s">
        <v>98</v>
      </c>
      <c r="C20312" s="6" t="n">
        <f aca="false">(w_ntm28*Sens!G20295+(1-w_ntm28)*Sens!H20295)*m_sw</f>
        <v>41.4362652527414</v>
      </c>
    </row>
    <row r="20313" customFormat="false" ht="17.15" hidden="false" customHeight="false" outlineLevel="0" collapsed="false">
      <c r="A20313" s="1" t="s">
        <v>1259</v>
      </c>
      <c r="B20313" s="0" t="s">
        <v>98</v>
      </c>
      <c r="C20313" s="6" t="n">
        <f aca="false">(w_ntm28*Sens!G20296+(1-w_ntm28)*Sens!H20296)*m_ads</f>
        <v>114.891070326937</v>
      </c>
    </row>
    <row r="20314" customFormat="false" ht="17.15" hidden="false" customHeight="false" outlineLevel="0" collapsed="false">
      <c r="A20314" s="1" t="s">
        <v>1260</v>
      </c>
      <c r="B20314" s="0" t="s">
        <v>98</v>
      </c>
      <c r="C20314" s="6" t="n">
        <f aca="false">(w_ntm28*Sens!G20301+(1-w_ntm28)*Sens!H20301)*m_game</f>
        <v>98.505199156718</v>
      </c>
    </row>
    <row r="20315" customFormat="false" ht="17.15" hidden="false" customHeight="false" outlineLevel="0" collapsed="false">
      <c r="A20315" s="1" t="s">
        <v>1261</v>
      </c>
      <c r="B20315" s="0" t="s">
        <v>98</v>
      </c>
      <c r="C20315" s="6" t="n">
        <f aca="false">(w_ntm28*Sens!G20302+(1-w_ntm28)*Sens!H20302)*m_pc</f>
        <v>91.3231561150564</v>
      </c>
    </row>
    <row r="20316" customFormat="false" ht="17.15" hidden="false" customHeight="false" outlineLevel="0" collapsed="false">
      <c r="A20316" s="1" t="s">
        <v>1262</v>
      </c>
      <c r="B20316" s="0" t="s">
        <v>98</v>
      </c>
      <c r="C20316" s="6" t="n">
        <f aca="false">Sens!$C$20306+Sens!$C$20308+Sens!$C$20309+Sens!$C$20310+Sens!$C$20311+Sens!$C$20312+Sens!$C$20313+Sens!$C$20314+Sens!$C$20315</f>
        <v>3457.74932828722</v>
      </c>
    </row>
    <row r="20317" customFormat="false" ht="17.15" hidden="false" customHeight="false" outlineLevel="0" collapsed="false">
      <c r="A20317" s="1" t="s">
        <v>1263</v>
      </c>
      <c r="B20317" s="0" t="s">
        <v>98</v>
      </c>
      <c r="C20317" s="6" t="n">
        <f aca="false">(Sens!G20278-Sens!G20303)*t_stub</f>
        <v>48.2832931160316</v>
      </c>
      <c r="L20317" s="1" t="s">
        <v>1264</v>
      </c>
    </row>
    <row r="20318" customFormat="false" ht="17.15" hidden="false" customHeight="false" outlineLevel="0" collapsed="false">
      <c r="A20318" s="1" t="s">
        <v>1173</v>
      </c>
      <c r="B20318" s="0" t="s">
        <v>98</v>
      </c>
      <c r="C20318" s="6" t="n">
        <f aca="false">CF!F39+(oai_stake26*oai_val*(1-liq_disc))-CF!F28+Sens!$C$20317</f>
        <v>169.327563116032</v>
      </c>
      <c r="L20318" s="1" t="s">
        <v>1265</v>
      </c>
    </row>
    <row r="20319" customFormat="false" ht="17.15" hidden="false" customHeight="false" outlineLevel="0" collapsed="false">
      <c r="A20319" s="1" t="s">
        <v>1266</v>
      </c>
      <c r="B20319" s="0" t="s">
        <v>75</v>
      </c>
      <c r="C20319" s="5" t="n">
        <f aca="false">(Sens!$C$20316+Sens!$C$20318)/(CF!F41+dil_gap)-CF!G31*roll_div_q/q_per_yr</f>
        <v>483.199269875592</v>
      </c>
      <c r="L20319" s="1" t="s">
        <v>1267</v>
      </c>
    </row>
    <row r="20320" customFormat="false" ht="17.15" hidden="false" customHeight="false" outlineLevel="0" collapsed="false">
      <c r="A20320" s="1" t="s">
        <v>1268</v>
      </c>
      <c r="B20320" s="0" t="s">
        <v>75</v>
      </c>
      <c r="C20320" s="5" t="n">
        <f aca="false">w_dcf*Sens!$C$20290+(1-w_dcf)*Sens!$C$20319</f>
        <v>424.211610531093</v>
      </c>
    </row>
    <row r="20321" customFormat="false" ht="17.15" hidden="false" customHeight="false" outlineLevel="0" collapsed="false">
      <c r="A20321" s="3" t="s">
        <v>2113</v>
      </c>
    </row>
    <row r="20322" customFormat="false" ht="15" hidden="false" customHeight="false" outlineLevel="0" collapsed="false">
      <c r="A20322" s="4" t="s">
        <v>43</v>
      </c>
      <c r="B20322" s="4" t="s">
        <v>65</v>
      </c>
      <c r="C20322" s="23" t="s">
        <v>942</v>
      </c>
      <c r="D20322" s="23" t="s">
        <v>943</v>
      </c>
      <c r="E20322" s="23" t="s">
        <v>944</v>
      </c>
      <c r="F20322" s="23" t="s">
        <v>945</v>
      </c>
      <c r="G20322" s="23" t="s">
        <v>946</v>
      </c>
      <c r="H20322" s="23" t="s">
        <v>947</v>
      </c>
      <c r="I20322" s="23" t="s">
        <v>948</v>
      </c>
      <c r="J20322" s="23" t="s">
        <v>949</v>
      </c>
      <c r="K20322" s="23" t="s">
        <v>950</v>
      </c>
      <c r="L20322" s="4" t="s">
        <v>47</v>
      </c>
    </row>
    <row r="20323" customFormat="false" ht="17.15" hidden="false" customHeight="false" outlineLevel="0" collapsed="false">
      <c r="A20323" s="1" t="s">
        <v>1216</v>
      </c>
      <c r="B20323" s="1" t="s">
        <v>279</v>
      </c>
      <c r="F20323" s="8" t="n">
        <f aca="false">(1-v_off)*mid_yr</f>
        <v>0.373972602739726</v>
      </c>
      <c r="G20323" s="8" t="n">
        <f aca="false">Thesis!G58-base_fy-mid_yr-v_off</f>
        <v>1.24794520547945</v>
      </c>
      <c r="H20323" s="8" t="n">
        <f aca="false">Thesis!H58-base_fy-mid_yr-v_off</f>
        <v>2.24794520547945</v>
      </c>
      <c r="I20323" s="8" t="n">
        <f aca="false">Thesis!I58-base_fy-mid_yr-v_off</f>
        <v>3.24794520547945</v>
      </c>
      <c r="J20323" s="8" t="n">
        <f aca="false">Thesis!J58-base_fy-mid_yr-v_off</f>
        <v>4.24794520547945</v>
      </c>
      <c r="K20323" s="8" t="n">
        <f aca="false">Thesis!K58-base_fy-mid_yr-v_off</f>
        <v>5.24794520547945</v>
      </c>
      <c r="L20323" s="12" t="s">
        <v>1217</v>
      </c>
    </row>
    <row r="20324" customFormat="false" ht="15" hidden="false" customHeight="false" outlineLevel="0" collapsed="false">
      <c r="A20324" s="1" t="s">
        <v>1218</v>
      </c>
      <c r="B20324" s="1" t="s">
        <v>279</v>
      </c>
      <c r="F20324" s="8" t="n">
        <f aca="false">Thesis!F58-base_fy-v_off</f>
        <v>0.747945205479452</v>
      </c>
      <c r="G20324" s="8" t="n">
        <f aca="false">Thesis!G58-base_fy-v_off</f>
        <v>1.74794520547945</v>
      </c>
      <c r="H20324" s="8" t="n">
        <f aca="false">Thesis!H58-base_fy-v_off</f>
        <v>2.74794520547945</v>
      </c>
      <c r="I20324" s="8" t="n">
        <f aca="false">Thesis!I58-base_fy-v_off</f>
        <v>3.74794520547945</v>
      </c>
      <c r="J20324" s="8" t="n">
        <f aca="false">Thesis!J58-base_fy-v_off</f>
        <v>4.74794520547945</v>
      </c>
      <c r="K20324" s="8" t="n">
        <f aca="false">Thesis!K58-base_fy-v_off</f>
        <v>5.74794520547945</v>
      </c>
    </row>
    <row r="20325" customFormat="false" ht="15" hidden="false" customHeight="false" outlineLevel="0" collapsed="false">
      <c r="A20325" s="1" t="s">
        <v>1219</v>
      </c>
      <c r="B20325" s="0" t="s">
        <v>229</v>
      </c>
      <c r="F20325" s="15" t="n">
        <f aca="false">1/(1+wacc)^Sens!F20323</f>
        <v>0.964022703286649</v>
      </c>
      <c r="G20325" s="15" t="n">
        <f aca="false">1/(1+wacc)^Sens!G20323</f>
        <v>0.884910302296739</v>
      </c>
      <c r="H20325" s="15" t="n">
        <f aca="false">1/(1+wacc)^Sens!H20323</f>
        <v>0.802322009770358</v>
      </c>
      <c r="I20325" s="15" t="n">
        <f aca="false">1/(1+wacc)^Sens!I20323</f>
        <v>0.727441646561469</v>
      </c>
      <c r="J20325" s="15" t="n">
        <f aca="false">1/(1+wacc)^Sens!J20323</f>
        <v>0.659549834988973</v>
      </c>
      <c r="K20325" s="15" t="n">
        <f aca="false">1/(1+wacc)^Sens!K20323</f>
        <v>0.597994336576966</v>
      </c>
    </row>
    <row r="20326" customFormat="false" ht="17.15" hidden="false" customHeight="false" outlineLevel="0" collapsed="false">
      <c r="A20326" s="1" t="s">
        <v>1220</v>
      </c>
      <c r="B20326" s="0" t="s">
        <v>98</v>
      </c>
      <c r="F20326" s="6" t="n">
        <f aca="false">Q!$I$35-Q!$I$39-Q!$I$43</f>
        <v>9.666</v>
      </c>
      <c r="L20326" s="12" t="s">
        <v>1221</v>
      </c>
    </row>
    <row r="20327" customFormat="false" ht="17.15" hidden="false" customHeight="false" outlineLevel="0" collapsed="false">
      <c r="A20327" s="1" t="s">
        <v>1222</v>
      </c>
      <c r="B20327" s="0" t="s">
        <v>98</v>
      </c>
      <c r="F20327" s="6" t="n">
        <f aca="false">CF!F55-CF!F52-CF!F59+Thesis!F99*(1-tax_f)*(1-v_off)-Sens!F20326</f>
        <v>-3.35959137570949</v>
      </c>
      <c r="G20327" s="6" t="n">
        <f aca="false">CF!G55-CF!G52-CF!G59+Thesis!G99*(1-tax_f)</f>
        <v>29.8084555066036</v>
      </c>
      <c r="H20327" s="6" t="n">
        <f aca="false">CF!H55-CF!H52-CF!H59+Thesis!H99*(1-tax_f)</f>
        <v>79.3231801478051</v>
      </c>
      <c r="I20327" s="6" t="n">
        <f aca="false">CF!I55-CF!I52-CF!I59+Thesis!I99*(1-tax_f)</f>
        <v>157.29132812061</v>
      </c>
      <c r="J20327" s="6" t="n">
        <f aca="false">CF!J55-CF!J52-CF!J59+Thesis!J99*(1-tax_f)</f>
        <v>235.537601843622</v>
      </c>
      <c r="K20327" s="6" t="n">
        <f aca="false">CF!K55-CF!K52-CF!K59+Thesis!K99*(1-tax_f)</f>
        <v>273.705067207806</v>
      </c>
      <c r="L20327" s="1" t="s">
        <v>1223</v>
      </c>
    </row>
    <row r="20328" customFormat="false" ht="15" hidden="false" customHeight="false" outlineLevel="0" collapsed="false">
      <c r="A20328" s="1" t="s">
        <v>1224</v>
      </c>
      <c r="B20328" s="0" t="s">
        <v>98</v>
      </c>
      <c r="F20328" s="6" t="n">
        <f aca="false">Sens!F20327*Sens!F20325</f>
        <v>-3.23872235994998</v>
      </c>
      <c r="G20328" s="6" t="n">
        <f aca="false">Sens!G20327*Sens!G20325</f>
        <v>26.3778093733475</v>
      </c>
      <c r="H20328" s="6" t="n">
        <f aca="false">Sens!H20327*Sens!H20325</f>
        <v>63.6427333175632</v>
      </c>
      <c r="I20328" s="6" t="n">
        <f aca="false">Sens!I20327*Sens!I20325</f>
        <v>114.420262717897</v>
      </c>
      <c r="J20328" s="6" t="n">
        <f aca="false">Sens!J20327*Sens!J20325</f>
        <v>155.348786429659</v>
      </c>
      <c r="K20328" s="6" t="n">
        <f aca="false">Sens!K20327*Sens!K20325</f>
        <v>163.674080082686</v>
      </c>
    </row>
    <row r="20329" customFormat="false" ht="17.15" hidden="false" customHeight="false" outlineLevel="0" collapsed="false">
      <c r="A20329" s="1" t="s">
        <v>1225</v>
      </c>
      <c r="B20329" s="0" t="s">
        <v>98</v>
      </c>
      <c r="C20329" s="6" t="n">
        <f aca="false">SUM(Sens!F20328:K20328)</f>
        <v>520.224949561203</v>
      </c>
    </row>
    <row r="20330" customFormat="false" ht="17.15" hidden="false" customHeight="false" outlineLevel="0" collapsed="false">
      <c r="A20330" s="1" t="s">
        <v>1226</v>
      </c>
      <c r="B20330" s="0" t="s">
        <v>98</v>
      </c>
      <c r="C20330" s="6" t="n">
        <f aca="false">PL!K78*(1+g_tv)*(1-tax_f)</f>
        <v>284.979534119394</v>
      </c>
    </row>
    <row r="20331" customFormat="false" ht="17.15" hidden="false" customHeight="false" outlineLevel="0" collapsed="false">
      <c r="A20331" s="1" t="s">
        <v>1227</v>
      </c>
      <c r="B20331" s="0" t="s">
        <v>98</v>
      </c>
      <c r="C20331" s="6" t="n">
        <f aca="false">Sens!$C$20330*(1-g_tv/(wacc+ronic_prem))</f>
        <v>201.924655916751</v>
      </c>
    </row>
    <row r="20332" customFormat="false" ht="17.15" hidden="false" customHeight="false" outlineLevel="0" collapsed="false">
      <c r="A20332" s="1" t="s">
        <v>1228</v>
      </c>
      <c r="B20332" s="0" t="s">
        <v>98</v>
      </c>
      <c r="C20332" s="6" t="n">
        <f aca="false">Sens!$C$20331/(wacc-g_tv)</f>
        <v>2768.49594008808</v>
      </c>
    </row>
    <row r="20333" customFormat="false" ht="15" hidden="false" customHeight="false" outlineLevel="0" collapsed="false">
      <c r="A20333" s="1" t="s">
        <v>1229</v>
      </c>
      <c r="B20333" s="0" t="s">
        <v>98</v>
      </c>
      <c r="C20333" s="6" t="n">
        <f aca="false">Sens!$C$20332/(1+wacc)^Sens!K20324</f>
        <v>1576.39732546142</v>
      </c>
    </row>
    <row r="20334" customFormat="false" ht="17.15" hidden="false" customHeight="false" outlineLevel="0" collapsed="false">
      <c r="A20334" s="0" t="s">
        <v>1230</v>
      </c>
      <c r="B20334" s="0" t="s">
        <v>98</v>
      </c>
      <c r="C20334" s="6" t="n">
        <f aca="false">Sens!$C$20329+Sens!$C$20333</f>
        <v>2096.62227502262</v>
      </c>
    </row>
    <row r="20335" customFormat="false" ht="15" hidden="false" customHeight="false" outlineLevel="0" collapsed="false">
      <c r="A20335" s="1" t="s">
        <v>1145</v>
      </c>
      <c r="B20335" s="0" t="s">
        <v>168</v>
      </c>
      <c r="C20335" s="7" t="n">
        <f aca="false">Sens!$C$20333/Sens!$C$20334</f>
        <v>0.751874738831729</v>
      </c>
    </row>
    <row r="20336" customFormat="false" ht="17.15" hidden="false" customHeight="false" outlineLevel="0" collapsed="false">
      <c r="A20336" s="1" t="s">
        <v>1231</v>
      </c>
      <c r="B20336" s="0" t="s">
        <v>98</v>
      </c>
      <c r="C20336" s="6" t="n">
        <f aca="false">Sens!$C$20334+cash_val-debt_val-fl_val+(oai_stake26*oai_val*(1-liq_disc))</f>
        <v>2219.28927502262</v>
      </c>
    </row>
    <row r="20337" customFormat="false" ht="17.15" hidden="false" customHeight="false" outlineLevel="0" collapsed="false">
      <c r="A20337" s="0" t="s">
        <v>1153</v>
      </c>
      <c r="B20337" s="0" t="s">
        <v>75</v>
      </c>
      <c r="C20337" s="5" t="n">
        <f aca="false">Sens!$C$20336/shd_val</f>
        <v>298.05120534819</v>
      </c>
    </row>
    <row r="20338" customFormat="false" ht="15" hidden="false" customHeight="false" outlineLevel="0" collapsed="false">
      <c r="A20338" s="1" t="s">
        <v>1232</v>
      </c>
      <c r="B20338" s="0" t="s">
        <v>75</v>
      </c>
      <c r="C20338" s="8" t="n">
        <f aca="false">div_rem27+CF!G63*roll_div_q/q_per_yr</f>
        <v>3.9795</v>
      </c>
    </row>
    <row r="20339" customFormat="false" ht="17.15" hidden="false" customHeight="false" outlineLevel="0" collapsed="false">
      <c r="A20339" s="0" t="s">
        <v>1233</v>
      </c>
      <c r="B20339" s="0" t="s">
        <v>75</v>
      </c>
      <c r="C20339" s="5" t="n">
        <f aca="false">Sens!$C$20337*(1+wacc)^t_roll-Sens!$C$20338</f>
        <v>327.32104920398</v>
      </c>
    </row>
    <row r="20340" customFormat="false" ht="17.15" hidden="false" customHeight="false" outlineLevel="0" collapsed="false">
      <c r="A20340" s="1" t="s">
        <v>1234</v>
      </c>
      <c r="B20340" s="0" t="s">
        <v>168</v>
      </c>
      <c r="F20340" s="7" t="n">
        <f aca="false">CF!F49/(Seg!F56-Thesis!F77)</f>
        <v>0.0686195668908011</v>
      </c>
      <c r="G20340" s="7" t="n">
        <f aca="false">CF!G49/(Seg!G56-Thesis!G77)</f>
        <v>0.0658333569148391</v>
      </c>
      <c r="H20340" s="7" t="n">
        <f aca="false">CF!H49/(Seg!H56-Thesis!H77)</f>
        <v>0.0643895625218926</v>
      </c>
      <c r="I20340" s="7" t="n">
        <f aca="false">CF!I49/(Seg!I56-Thesis!I77)</f>
        <v>0.0641676618157989</v>
      </c>
      <c r="J20340" s="7" t="n">
        <f aca="false">CF!J49/(Seg!J56-Thesis!J77)</f>
        <v>0.0648858606572163</v>
      </c>
      <c r="K20340" s="7" t="n">
        <f aca="false">CF!K49/(Seg!K56-Thesis!K77)</f>
        <v>0.0661974425163768</v>
      </c>
    </row>
    <row r="20341" customFormat="false" ht="17.15" hidden="false" customHeight="false" outlineLevel="0" collapsed="false">
      <c r="A20341" s="0" t="s">
        <v>1235</v>
      </c>
      <c r="B20341" s="0" t="s">
        <v>98</v>
      </c>
      <c r="F20341" s="6" t="n">
        <f aca="false">Seg!F41*(al_m365+Sens!F20340+sbc_r)</f>
        <v>83.7205619248671</v>
      </c>
      <c r="G20341" s="6" t="n">
        <f aca="false">Seg!G41*(al_m365+Sens!G20340+sbc_r)</f>
        <v>96.1301303332381</v>
      </c>
      <c r="H20341" s="6" t="n">
        <f aca="false">Seg!H41*(al_m365+Sens!H20340+sbc_r)</f>
        <v>108.70354073822</v>
      </c>
      <c r="I20341" s="6" t="n">
        <f aca="false">Seg!I41*(al_m365+Sens!I20340+sbc_r)</f>
        <v>120.260101315626</v>
      </c>
      <c r="J20341" s="6" t="n">
        <f aca="false">Seg!J41*(al_m365+Sens!J20340+sbc_r)</f>
        <v>130.611904548619</v>
      </c>
      <c r="K20341" s="6" t="n">
        <f aca="false">Seg!K41*(al_m365+Sens!K20340+sbc_r)</f>
        <v>140.575094974638</v>
      </c>
      <c r="L20341" s="12" t="s">
        <v>1236</v>
      </c>
    </row>
    <row r="20342" customFormat="false" ht="17.15" hidden="false" customHeight="false" outlineLevel="0" collapsed="false">
      <c r="A20342" s="0" t="s">
        <v>1237</v>
      </c>
      <c r="B20342" s="0" t="s">
        <v>98</v>
      </c>
      <c r="F20342" s="6" t="n">
        <f aca="false">Seg!F42*(al_lic+Sens!F20340+sbc_r)</f>
        <v>32.8577657183496</v>
      </c>
      <c r="G20342" s="6" t="n">
        <f aca="false">Seg!G42*(al_lic+Sens!G20340+sbc_r)</f>
        <v>34.1376266324889</v>
      </c>
      <c r="H20342" s="6" t="n">
        <f aca="false">Seg!H42*(al_lic+Sens!H20340+sbc_r)</f>
        <v>35.3325744664128</v>
      </c>
      <c r="I20342" s="6" t="n">
        <f aca="false">Seg!I42*(al_lic+Sens!I20340+sbc_r)</f>
        <v>36.4244749008727</v>
      </c>
      <c r="J20342" s="6" t="n">
        <f aca="false">Seg!J42*(al_lic+Sens!J20340+sbc_r)</f>
        <v>37.3879406068527</v>
      </c>
      <c r="K20342" s="6" t="n">
        <f aca="false">Seg!K42*(al_lic+Sens!K20340+sbc_r)</f>
        <v>38.1943876078259</v>
      </c>
    </row>
    <row r="20343" customFormat="false" ht="17.15" hidden="false" customHeight="false" outlineLevel="0" collapsed="false">
      <c r="A20343" s="0" t="s">
        <v>1238</v>
      </c>
      <c r="B20343" s="0" t="s">
        <v>98</v>
      </c>
      <c r="F20343" s="6" t="n">
        <f aca="false">Seg!F44*(al_ind+Sens!F20340+sbc_r)</f>
        <v>9.06041701092022</v>
      </c>
      <c r="G20343" s="6" t="n">
        <f aca="false">Seg!G44*(al_ind+Sens!G20340+sbc_r)</f>
        <v>9.83619082712885</v>
      </c>
      <c r="H20343" s="6" t="n">
        <f aca="false">Seg!H44*(al_ind+Sens!H20340+sbc_r)</f>
        <v>10.6570160105312</v>
      </c>
      <c r="I20343" s="6" t="n">
        <f aca="false">Seg!I44*(al_ind+Sens!I20340+sbc_r)</f>
        <v>11.5198571637125</v>
      </c>
      <c r="J20343" s="6" t="n">
        <f aca="false">Seg!J44*(al_ind+Sens!J20340+sbc_r)</f>
        <v>12.4150086539206</v>
      </c>
      <c r="K20343" s="6" t="n">
        <f aca="false">Seg!K44*(al_ind+Sens!K20340+sbc_r)</f>
        <v>13.3273714589988</v>
      </c>
    </row>
    <row r="20344" customFormat="false" ht="17.15" hidden="false" customHeight="false" outlineLevel="0" collapsed="false">
      <c r="A20344" s="0" t="s">
        <v>1239</v>
      </c>
      <c r="B20344" s="0" t="s">
        <v>98</v>
      </c>
      <c r="F20344" s="6" t="n">
        <f aca="false">Seg!F46*(al_fro+Sens!F20340+sbc_r)</f>
        <v>3.55402950182022</v>
      </c>
      <c r="G20344" s="6" t="n">
        <f aca="false">Seg!G46*(al_fro+Sens!G20340+sbc_r)</f>
        <v>3.76361488926481</v>
      </c>
      <c r="H20344" s="6" t="n">
        <f aca="false">Seg!H46*(al_fro+Sens!H20340+sbc_r)</f>
        <v>4.00220968879544</v>
      </c>
      <c r="I20344" s="6" t="n">
        <f aca="false">Seg!I46*(al_fro+Sens!I20340+sbc_r)</f>
        <v>4.2725765173852</v>
      </c>
      <c r="J20344" s="6" t="n">
        <f aca="false">Seg!J46*(al_fro+Sens!J20340+sbc_r)</f>
        <v>4.57586224390293</v>
      </c>
      <c r="K20344" s="6" t="n">
        <f aca="false">Seg!K46*(al_fro+Sens!K20340+sbc_r)</f>
        <v>4.91213639633217</v>
      </c>
    </row>
    <row r="20345" customFormat="false" ht="17.15" hidden="false" customHeight="false" outlineLevel="0" collapsed="false">
      <c r="A20345" s="0" t="s">
        <v>1240</v>
      </c>
      <c r="B20345" s="0" t="s">
        <v>98</v>
      </c>
      <c r="F20345" s="6" t="n">
        <f aca="false">Seg!F49*(al_srch+Sens!F20340+sbc_r)</f>
        <v>11.1890902994147</v>
      </c>
      <c r="G20345" s="6" t="n">
        <f aca="false">Seg!G49*(al_srch+Sens!G20340+sbc_r)</f>
        <v>12.261738891803</v>
      </c>
      <c r="H20345" s="6" t="n">
        <f aca="false">Seg!H49*(al_srch+Sens!H20340+sbc_r)</f>
        <v>13.3794863429193</v>
      </c>
      <c r="I20345" s="6" t="n">
        <f aca="false">Seg!I49*(al_srch+Sens!I20340+sbc_r)</f>
        <v>14.5317114787784</v>
      </c>
      <c r="J20345" s="6" t="n">
        <f aca="false">Seg!J49*(al_srch+Sens!J20340+sbc_r)</f>
        <v>15.6984365817724</v>
      </c>
      <c r="K20345" s="6" t="n">
        <f aca="false">Seg!K49*(al_srch+Sens!K20340+sbc_r)</f>
        <v>16.8520942258664</v>
      </c>
    </row>
    <row r="20346" customFormat="false" ht="17.15" hidden="false" customHeight="false" outlineLevel="0" collapsed="false">
      <c r="A20346" s="0" t="s">
        <v>1241</v>
      </c>
      <c r="B20346" s="0" t="s">
        <v>98</v>
      </c>
      <c r="F20346" s="6" t="n">
        <f aca="false">Thesis!F83-Thesis!F84+Thesis!F99</f>
        <v>42.5431090240393</v>
      </c>
      <c r="G20346" s="6" t="n">
        <f aca="false">Thesis!G83-Thesis!G84+Thesis!G99</f>
        <v>81.4922561130847</v>
      </c>
      <c r="H20346" s="6" t="n">
        <f aca="false">Thesis!H83-Thesis!H84+Thesis!H99</f>
        <v>123.278266211349</v>
      </c>
      <c r="I20346" s="6" t="n">
        <f aca="false">Thesis!I83-Thesis!I84+Thesis!I99</f>
        <v>160.60594185192</v>
      </c>
      <c r="J20346" s="6" t="n">
        <f aca="false">Thesis!J83-Thesis!J84+Thesis!J99</f>
        <v>186.818741832633</v>
      </c>
      <c r="K20346" s="6" t="n">
        <f aca="false">Thesis!K83-Thesis!K84+Thesis!K99</f>
        <v>202.776422159652</v>
      </c>
    </row>
    <row r="20347" customFormat="false" ht="17.15" hidden="false" customHeight="false" outlineLevel="0" collapsed="false">
      <c r="A20347" s="0" t="s">
        <v>1242</v>
      </c>
      <c r="B20347" s="0" t="s">
        <v>98</v>
      </c>
      <c r="F20347" s="6" t="n">
        <f aca="false">PL!F71+Thesis!F99+Thesis!F95+Sens!F20340*(Seg!F48-Thesis!F77)+sbc_r*Seg!F48</f>
        <v>238.090727427296</v>
      </c>
      <c r="G20347" s="6" t="n">
        <f aca="false">PL!G71+Thesis!G99+Thesis!G95+Sens!G20340*(Seg!G48-Thesis!G77)+sbc_r*Seg!G48</f>
        <v>299.90836088563</v>
      </c>
      <c r="H20347" s="6" t="n">
        <f aca="false">PL!H71+Thesis!H99+Thesis!H95+Sens!H20340*(Seg!H48-Thesis!H77)+sbc_r*Seg!H48</f>
        <v>369.457709442386</v>
      </c>
      <c r="I20347" s="6" t="n">
        <f aca="false">PL!I71+Thesis!I99+Thesis!I95+Sens!I20340*(Seg!I48-Thesis!I77)+sbc_r*Seg!I48</f>
        <v>433.16585128823</v>
      </c>
      <c r="J20347" s="6" t="n">
        <f aca="false">PL!J71+Thesis!J99+Thesis!J95+Sens!J20340*(Seg!J48-Thesis!J77)+sbc_r*Seg!J48</f>
        <v>483.301303131191</v>
      </c>
      <c r="K20347" s="6" t="n">
        <f aca="false">PL!K71+Thesis!K99+Thesis!K95+Sens!K20340*(Seg!K48-Thesis!K77)+sbc_r*Seg!K48</f>
        <v>520.789002205336</v>
      </c>
    </row>
    <row r="20348" customFormat="false" ht="17.15" hidden="false" customHeight="false" outlineLevel="0" collapsed="false">
      <c r="A20348" s="0" t="s">
        <v>1243</v>
      </c>
      <c r="B20348" s="0" t="s">
        <v>98</v>
      </c>
      <c r="F20348" s="6" t="n">
        <f aca="false">Sens!F20347-Sens!F20341-Sens!F20342-Sens!F20343-Sens!F20344-Sens!F20346</f>
        <v>66.3548442472996</v>
      </c>
      <c r="G20348" s="6" t="n">
        <f aca="false">Sens!G20347-Sens!G20341-Sens!G20342-Sens!G20343-Sens!G20344-Sens!G20346</f>
        <v>74.548542090425</v>
      </c>
      <c r="H20348" s="6" t="n">
        <f aca="false">Sens!H20347-Sens!H20341-Sens!H20342-Sens!H20343-Sens!H20344-Sens!H20346</f>
        <v>87.4841023270775</v>
      </c>
      <c r="I20348" s="6" t="n">
        <f aca="false">Sens!I20347-Sens!I20341-Sens!I20342-Sens!I20343-Sens!I20344-Sens!I20346</f>
        <v>100.082899538713</v>
      </c>
      <c r="J20348" s="6" t="n">
        <f aca="false">Sens!J20347-Sens!J20341-Sens!J20342-Sens!J20343-Sens!J20344-Sens!J20346</f>
        <v>111.491845245262</v>
      </c>
      <c r="K20348" s="6" t="n">
        <f aca="false">Sens!K20347-Sens!K20341-Sens!K20342-Sens!K20343-Sens!K20344-Sens!K20346</f>
        <v>121.003589607889</v>
      </c>
    </row>
    <row r="20349" customFormat="false" ht="17.15" hidden="false" customHeight="false" outlineLevel="0" collapsed="false">
      <c r="A20349" s="0" t="s">
        <v>1244</v>
      </c>
      <c r="B20349" s="0" t="s">
        <v>98</v>
      </c>
      <c r="F20349" s="6" t="n">
        <f aca="false">PL!F73+Sens!F20340*Seg!F55+sbc_r*Seg!F55</f>
        <v>26.6336365855879</v>
      </c>
      <c r="G20349" s="6" t="n">
        <f aca="false">PL!G73+Sens!G20340*Seg!G55+sbc_r*Seg!G55</f>
        <v>26.4720859498625</v>
      </c>
      <c r="H20349" s="6" t="n">
        <f aca="false">PL!H73+Sens!H20340*Seg!H55+sbc_r*Seg!H55</f>
        <v>27.346793021284</v>
      </c>
      <c r="I20349" s="6" t="n">
        <f aca="false">PL!I73+Sens!I20340*Seg!I55+sbc_r*Seg!I55</f>
        <v>28.4574657863154</v>
      </c>
      <c r="J20349" s="6" t="n">
        <f aca="false">PL!J73+Sens!J20340*Seg!J55+sbc_r*Seg!J55</f>
        <v>29.7689890546037</v>
      </c>
      <c r="K20349" s="6" t="n">
        <f aca="false">PL!K73+Sens!K20340*Seg!K55+sbc_r*Seg!K55</f>
        <v>31.2443947307494</v>
      </c>
    </row>
    <row r="20350" customFormat="false" ht="17.15" hidden="false" customHeight="false" outlineLevel="0" collapsed="false">
      <c r="A20350" s="0" t="s">
        <v>1245</v>
      </c>
      <c r="B20350" s="0" t="s">
        <v>98</v>
      </c>
      <c r="F20350" s="6" t="n">
        <f aca="false">(Sens!F20349-Sens!F20345)*Seg!F51/(Seg!F51+Seg!F53)</f>
        <v>8.72285608232241</v>
      </c>
      <c r="G20350" s="6" t="n">
        <f aca="false">(Sens!G20349-Sens!G20345)*Seg!G51/(Seg!G51+Seg!G53)</f>
        <v>7.88786455444355</v>
      </c>
      <c r="H20350" s="6" t="n">
        <f aca="false">(Sens!H20349-Sens!H20345)*Seg!H51/(Seg!H51+Seg!H53)</f>
        <v>7.65195986819674</v>
      </c>
      <c r="I20350" s="6" t="n">
        <f aca="false">(Sens!I20349-Sens!I20345)*Seg!I51/(Seg!I51+Seg!I53)</f>
        <v>7.56260440676676</v>
      </c>
      <c r="J20350" s="6" t="n">
        <f aca="false">(Sens!J20349-Sens!J20345)*Seg!J51/(Seg!J51+Seg!J53)</f>
        <v>7.60790100885945</v>
      </c>
      <c r="K20350" s="6" t="n">
        <f aca="false">(Sens!K20349-Sens!K20345)*Seg!K51/(Seg!K51+Seg!K53)</f>
        <v>7.78186910160995</v>
      </c>
    </row>
    <row r="20351" customFormat="false" ht="17.15" hidden="false" customHeight="false" outlineLevel="0" collapsed="false">
      <c r="A20351" s="0" t="s">
        <v>1246</v>
      </c>
      <c r="B20351" s="0" t="s">
        <v>98</v>
      </c>
      <c r="F20351" s="6" t="n">
        <f aca="false">Sens!F20349-Sens!F20345-Sens!F20350</f>
        <v>6.72169020385088</v>
      </c>
      <c r="G20351" s="6" t="n">
        <f aca="false">Sens!G20349-Sens!G20345-Sens!G20350</f>
        <v>6.322482503616</v>
      </c>
      <c r="H20351" s="6" t="n">
        <f aca="false">Sens!H20349-Sens!H20345-Sens!H20350</f>
        <v>6.315346810168</v>
      </c>
      <c r="I20351" s="6" t="n">
        <f aca="false">Sens!I20349-Sens!I20345-Sens!I20350</f>
        <v>6.36314990077033</v>
      </c>
      <c r="J20351" s="6" t="n">
        <f aca="false">Sens!J20349-Sens!J20345-Sens!J20350</f>
        <v>6.46265146397189</v>
      </c>
      <c r="K20351" s="6" t="n">
        <f aca="false">Sens!K20349-Sens!K20345-Sens!K20350</f>
        <v>6.61043140327304</v>
      </c>
    </row>
    <row r="20352" customFormat="false" ht="17.15" hidden="false" customHeight="false" outlineLevel="0" collapsed="false">
      <c r="A20352" s="0" t="s">
        <v>1247</v>
      </c>
      <c r="B20352" s="0" t="s">
        <v>98</v>
      </c>
      <c r="F20352" s="6" t="n">
        <f aca="false">Sens!F20346-tax_f*(Sens!F20346-Thesis!F95)-Thesis!F92</f>
        <v>-127.503553927218</v>
      </c>
      <c r="G20352" s="6" t="n">
        <f aca="false">Sens!G20346-tax_f*(Sens!G20346-Thesis!G95)-Thesis!G92</f>
        <v>-114.603772628121</v>
      </c>
      <c r="H20352" s="6" t="n">
        <f aca="false">Sens!H20346-tax_f*(Sens!H20346-Thesis!H95)-Thesis!H92</f>
        <v>-80.3633729631438</v>
      </c>
      <c r="I20352" s="6" t="n">
        <f aca="false">Sens!I20346-tax_f*(Sens!I20346-Thesis!I95)-Thesis!I92</f>
        <v>-17.2838782011649</v>
      </c>
      <c r="J20352" s="6" t="n">
        <f aca="false">Sens!J20346-tax_f*(Sens!J20346-Thesis!J95)-Thesis!J92</f>
        <v>46.9281968800854</v>
      </c>
      <c r="K20352" s="6" t="n">
        <f aca="false">Sens!K20346-tax_f*(Sens!K20346-Thesis!K95)-Thesis!K92</f>
        <v>71.8608185731755</v>
      </c>
    </row>
    <row r="20353" customFormat="false" ht="17.15" hidden="false" customHeight="false" outlineLevel="0" collapsed="false">
      <c r="A20353" s="0" t="s">
        <v>1248</v>
      </c>
      <c r="B20353" s="0" t="s">
        <v>98</v>
      </c>
      <c r="G20353" s="6" t="n">
        <f aca="false">Sens!G20352/(1+wacc)^(Sens!G20323-Sens!F20324)</f>
        <v>-109.124845494465</v>
      </c>
      <c r="H20353" s="6" t="n">
        <f aca="false">Sens!H20352/(1+wacc)^(Sens!H20323-Sens!F20324)</f>
        <v>-69.3796874071025</v>
      </c>
      <c r="I20353" s="6" t="n">
        <f aca="false">Sens!I20352/(1+wacc)^(Sens!I20323-Sens!F20324)</f>
        <v>-13.5289731380471</v>
      </c>
      <c r="J20353" s="6" t="n">
        <f aca="false">Sens!J20352/(1+wacc)^(Sens!J20323-Sens!F20324)</f>
        <v>33.3048099587126</v>
      </c>
      <c r="K20353" s="6" t="n">
        <f aca="false">Sens!K20352/(1+wacc)^(Sens!K20323-Sens!F20324)</f>
        <v>46.2396679904913</v>
      </c>
      <c r="L20353" s="1" t="s">
        <v>1249</v>
      </c>
    </row>
    <row r="20354" customFormat="false" ht="17.15" hidden="false" customHeight="false" outlineLevel="0" collapsed="false">
      <c r="A20354" s="0" t="s">
        <v>1250</v>
      </c>
      <c r="B20354" s="0" t="s">
        <v>98</v>
      </c>
      <c r="C20354" s="6" t="n">
        <f aca="false">(Sens!K20346-Thesis!K95)*(1-tax_f)*(1+g_tv)*(1-g_tv/(wacc+ronic_prem))/(wacc-g_tv)/(1+wacc)^(Sens!K20324-Sens!F20324)</f>
        <v>293.118051086843</v>
      </c>
    </row>
    <row r="20355" customFormat="false" ht="17.15" hidden="false" customHeight="false" outlineLevel="0" collapsed="false">
      <c r="A20355" s="1" t="s">
        <v>1251</v>
      </c>
      <c r="B20355" s="0" t="s">
        <v>98</v>
      </c>
      <c r="C20355" s="6" t="n">
        <f aca="false">(SUM(Sens!G20353:K20353)+Sens!$C$20354)*(1+wacc)^(t_roll-Sens!F20324)</f>
        <v>186.592133308255</v>
      </c>
      <c r="L20355" s="12" t="s">
        <v>1252</v>
      </c>
    </row>
    <row r="20356" customFormat="false" ht="17.15" hidden="false" customHeight="false" outlineLevel="0" collapsed="false">
      <c r="A20356" s="1" t="s">
        <v>1253</v>
      </c>
      <c r="B20356" s="0" t="s">
        <v>98</v>
      </c>
      <c r="C20356" s="6" t="n">
        <f aca="false">(w_ntm28*Thesis!G83+(1-w_ntm28)*Thesis!H83)*m_ai</f>
        <v>463.789109510335</v>
      </c>
    </row>
    <row r="20357" customFormat="false" ht="17.15" hidden="false" customHeight="false" outlineLevel="0" collapsed="false">
      <c r="A20357" s="1" t="s">
        <v>1254</v>
      </c>
      <c r="B20357" s="0" t="s">
        <v>98</v>
      </c>
      <c r="C20357" s="6" t="n">
        <f aca="false">(w_ntm28*Sens!G20348+(1-w_ntm28)*Sens!H20348)*m_cloud</f>
        <v>1089.03436702245</v>
      </c>
    </row>
    <row r="20358" customFormat="false" ht="17.15" hidden="false" customHeight="false" outlineLevel="0" collapsed="false">
      <c r="A20358" s="1" t="s">
        <v>1255</v>
      </c>
      <c r="B20358" s="0" t="s">
        <v>98</v>
      </c>
      <c r="C20358" s="6" t="n">
        <f aca="false">(w_ntm28*Sens!G20341+(1-w_ntm28)*Sens!H20341)*m_sw</f>
        <v>1082.84962646159</v>
      </c>
    </row>
    <row r="20359" customFormat="false" ht="17.15" hidden="false" customHeight="false" outlineLevel="0" collapsed="false">
      <c r="A20359" s="1" t="s">
        <v>1256</v>
      </c>
      <c r="B20359" s="0" t="s">
        <v>98</v>
      </c>
      <c r="C20359" s="6" t="n">
        <f aca="false">(w_ntm28*Sens!G20342+(1-w_ntm28)*Sens!H20342)*m_sw</f>
        <v>372.929250898731</v>
      </c>
    </row>
    <row r="20360" customFormat="false" ht="17.15" hidden="false" customHeight="false" outlineLevel="0" collapsed="false">
      <c r="A20360" s="1" t="s">
        <v>1257</v>
      </c>
      <c r="B20360" s="0" t="s">
        <v>98</v>
      </c>
      <c r="C20360" s="6" t="n">
        <f aca="false">(w_ntm28*Sens!G20343+(1-w_ntm28)*Sens!H20343)*m_sw</f>
        <v>109.1453525431</v>
      </c>
    </row>
    <row r="20361" customFormat="false" ht="17.15" hidden="false" customHeight="false" outlineLevel="0" collapsed="false">
      <c r="A20361" s="1" t="s">
        <v>1258</v>
      </c>
      <c r="B20361" s="0" t="s">
        <v>98</v>
      </c>
      <c r="C20361" s="6" t="n">
        <f aca="false">(w_ntm28*Sens!G20344+(1-w_ntm28)*Sens!H20344)*m_sw</f>
        <v>41.4942157634893</v>
      </c>
    </row>
    <row r="20362" customFormat="false" ht="17.15" hidden="false" customHeight="false" outlineLevel="0" collapsed="false">
      <c r="A20362" s="1" t="s">
        <v>1259</v>
      </c>
      <c r="B20362" s="0" t="s">
        <v>98</v>
      </c>
      <c r="C20362" s="6" t="n">
        <f aca="false">(w_ntm28*Sens!G20345+(1-w_ntm28)*Sens!H20345)*m_ads</f>
        <v>115.052171478463</v>
      </c>
    </row>
    <row r="20363" customFormat="false" ht="17.15" hidden="false" customHeight="false" outlineLevel="0" collapsed="false">
      <c r="A20363" s="1" t="s">
        <v>1260</v>
      </c>
      <c r="B20363" s="0" t="s">
        <v>98</v>
      </c>
      <c r="C20363" s="6" t="n">
        <f aca="false">(w_ntm28*Sens!G20350+(1-w_ntm28)*Sens!H20350)*m_game</f>
        <v>98.6441755076202</v>
      </c>
    </row>
    <row r="20364" customFormat="false" ht="17.15" hidden="false" customHeight="false" outlineLevel="0" collapsed="false">
      <c r="A20364" s="1" t="s">
        <v>1261</v>
      </c>
      <c r="B20364" s="0" t="s">
        <v>98</v>
      </c>
      <c r="C20364" s="6" t="n">
        <f aca="false">(w_ntm28*Sens!G20351+(1-w_ntm28)*Sens!H20351)*m_pc</f>
        <v>91.4523754763561</v>
      </c>
    </row>
    <row r="20365" customFormat="false" ht="17.15" hidden="false" customHeight="false" outlineLevel="0" collapsed="false">
      <c r="A20365" s="1" t="s">
        <v>1262</v>
      </c>
      <c r="B20365" s="0" t="s">
        <v>98</v>
      </c>
      <c r="C20365" s="6" t="n">
        <f aca="false">Sens!$C$20355+Sens!$C$20357+Sens!$C$20358+Sens!$C$20359+Sens!$C$20360+Sens!$C$20361+Sens!$C$20362+Sens!$C$20363+Sens!$C$20364</f>
        <v>3187.19366846006</v>
      </c>
    </row>
    <row r="20366" customFormat="false" ht="17.15" hidden="false" customHeight="false" outlineLevel="0" collapsed="false">
      <c r="A20366" s="1" t="s">
        <v>1263</v>
      </c>
      <c r="B20366" s="0" t="s">
        <v>98</v>
      </c>
      <c r="C20366" s="6" t="n">
        <f aca="false">(Sens!G20327-Sens!G20352)*t_stub</f>
        <v>47.8736427515113</v>
      </c>
      <c r="L20366" s="1" t="s">
        <v>1264</v>
      </c>
    </row>
    <row r="20367" customFormat="false" ht="17.15" hidden="false" customHeight="false" outlineLevel="0" collapsed="false">
      <c r="A20367" s="1" t="s">
        <v>1173</v>
      </c>
      <c r="B20367" s="0" t="s">
        <v>98</v>
      </c>
      <c r="C20367" s="6" t="n">
        <f aca="false">CF!F71+(oai_stake26*oai_val*(1-liq_disc))-CF!F60+Sens!$C$20366</f>
        <v>168.917912751511</v>
      </c>
      <c r="L20367" s="1" t="s">
        <v>1265</v>
      </c>
    </row>
    <row r="20368" customFormat="false" ht="17.15" hidden="false" customHeight="false" outlineLevel="0" collapsed="false">
      <c r="A20368" s="1" t="s">
        <v>1266</v>
      </c>
      <c r="B20368" s="0" t="s">
        <v>75</v>
      </c>
      <c r="C20368" s="5" t="n">
        <f aca="false">(Sens!$C$20365+Sens!$C$20367)/(CF!F73+dil_gap)-CF!G63*roll_div_q/q_per_yr</f>
        <v>446.710144011046</v>
      </c>
      <c r="L20368" s="1" t="s">
        <v>1267</v>
      </c>
    </row>
    <row r="20369" customFormat="false" ht="17.15" hidden="false" customHeight="false" outlineLevel="0" collapsed="false">
      <c r="A20369" s="1" t="s">
        <v>1268</v>
      </c>
      <c r="B20369" s="0" t="s">
        <v>75</v>
      </c>
      <c r="C20369" s="5" t="n">
        <f aca="false">w_dcf*Sens!$C$20339+(1-w_dcf)*Sens!$C$20368</f>
        <v>387.015596607513</v>
      </c>
    </row>
    <row r="20370" customFormat="false" ht="17.15" hidden="false" customHeight="false" outlineLevel="0" collapsed="false">
      <c r="A20370" s="3" t="s">
        <v>2114</v>
      </c>
    </row>
    <row r="20371" customFormat="false" ht="15" hidden="false" customHeight="false" outlineLevel="0" collapsed="false">
      <c r="A20371" s="4" t="s">
        <v>43</v>
      </c>
      <c r="B20371" s="4" t="s">
        <v>65</v>
      </c>
      <c r="C20371" s="23" t="s">
        <v>942</v>
      </c>
      <c r="D20371" s="23" t="s">
        <v>943</v>
      </c>
      <c r="E20371" s="23" t="s">
        <v>944</v>
      </c>
      <c r="F20371" s="23" t="s">
        <v>945</v>
      </c>
      <c r="G20371" s="23" t="s">
        <v>946</v>
      </c>
      <c r="H20371" s="23" t="s">
        <v>947</v>
      </c>
      <c r="I20371" s="23" t="s">
        <v>948</v>
      </c>
      <c r="J20371" s="23" t="s">
        <v>949</v>
      </c>
      <c r="K20371" s="23" t="s">
        <v>950</v>
      </c>
      <c r="L20371" s="4" t="s">
        <v>47</v>
      </c>
    </row>
    <row r="20372" customFormat="false" ht="17.15" hidden="false" customHeight="false" outlineLevel="0" collapsed="false">
      <c r="A20372" s="1" t="s">
        <v>1216</v>
      </c>
      <c r="B20372" s="1" t="s">
        <v>279</v>
      </c>
      <c r="F20372" s="8" t="n">
        <f aca="false">(1-v_off)*mid_yr</f>
        <v>0.373972602739726</v>
      </c>
      <c r="G20372" s="8" t="n">
        <f aca="false">Thesis!G110-base_fy-mid_yr-v_off</f>
        <v>1.24794520547945</v>
      </c>
      <c r="H20372" s="8" t="n">
        <f aca="false">Thesis!H110-base_fy-mid_yr-v_off</f>
        <v>2.24794520547945</v>
      </c>
      <c r="I20372" s="8" t="n">
        <f aca="false">Thesis!I110-base_fy-mid_yr-v_off</f>
        <v>3.24794520547945</v>
      </c>
      <c r="J20372" s="8" t="n">
        <f aca="false">Thesis!J110-base_fy-mid_yr-v_off</f>
        <v>4.24794520547945</v>
      </c>
      <c r="K20372" s="8" t="n">
        <f aca="false">Thesis!K110-base_fy-mid_yr-v_off</f>
        <v>5.24794520547945</v>
      </c>
      <c r="L20372" s="12" t="s">
        <v>1217</v>
      </c>
    </row>
    <row r="20373" customFormat="false" ht="15" hidden="false" customHeight="false" outlineLevel="0" collapsed="false">
      <c r="A20373" s="1" t="s">
        <v>1218</v>
      </c>
      <c r="B20373" s="1" t="s">
        <v>279</v>
      </c>
      <c r="F20373" s="8" t="n">
        <f aca="false">Thesis!F110-base_fy-v_off</f>
        <v>0.747945205479452</v>
      </c>
      <c r="G20373" s="8" t="n">
        <f aca="false">Thesis!G110-base_fy-v_off</f>
        <v>1.74794520547945</v>
      </c>
      <c r="H20373" s="8" t="n">
        <f aca="false">Thesis!H110-base_fy-v_off</f>
        <v>2.74794520547945</v>
      </c>
      <c r="I20373" s="8" t="n">
        <f aca="false">Thesis!I110-base_fy-v_off</f>
        <v>3.74794520547945</v>
      </c>
      <c r="J20373" s="8" t="n">
        <f aca="false">Thesis!J110-base_fy-v_off</f>
        <v>4.74794520547945</v>
      </c>
      <c r="K20373" s="8" t="n">
        <f aca="false">Thesis!K110-base_fy-v_off</f>
        <v>5.74794520547945</v>
      </c>
    </row>
    <row r="20374" customFormat="false" ht="15" hidden="false" customHeight="false" outlineLevel="0" collapsed="false">
      <c r="A20374" s="1" t="s">
        <v>1219</v>
      </c>
      <c r="B20374" s="0" t="s">
        <v>229</v>
      </c>
      <c r="F20374" s="15" t="n">
        <f aca="false">1/(1+wacc)^Sens!F20372</f>
        <v>0.964022703286649</v>
      </c>
      <c r="G20374" s="15" t="n">
        <f aca="false">1/(1+wacc)^Sens!G20372</f>
        <v>0.884910302296739</v>
      </c>
      <c r="H20374" s="15" t="n">
        <f aca="false">1/(1+wacc)^Sens!H20372</f>
        <v>0.802322009770358</v>
      </c>
      <c r="I20374" s="15" t="n">
        <f aca="false">1/(1+wacc)^Sens!I20372</f>
        <v>0.727441646561469</v>
      </c>
      <c r="J20374" s="15" t="n">
        <f aca="false">1/(1+wacc)^Sens!J20372</f>
        <v>0.659549834988973</v>
      </c>
      <c r="K20374" s="15" t="n">
        <f aca="false">1/(1+wacc)^Sens!K20372</f>
        <v>0.597994336576966</v>
      </c>
    </row>
    <row r="20375" customFormat="false" ht="17.15" hidden="false" customHeight="false" outlineLevel="0" collapsed="false">
      <c r="A20375" s="1" t="s">
        <v>1220</v>
      </c>
      <c r="B20375" s="0" t="s">
        <v>98</v>
      </c>
      <c r="F20375" s="6" t="n">
        <f aca="false">Q!$I$35-Q!$I$39-Q!$I$43</f>
        <v>9.666</v>
      </c>
      <c r="L20375" s="12" t="s">
        <v>1221</v>
      </c>
    </row>
    <row r="20376" customFormat="false" ht="17.15" hidden="false" customHeight="false" outlineLevel="0" collapsed="false">
      <c r="A20376" s="1" t="s">
        <v>1222</v>
      </c>
      <c r="B20376" s="0" t="s">
        <v>98</v>
      </c>
      <c r="F20376" s="6" t="n">
        <f aca="false">CF!F87-CF!F84-CF!F91+Thesis!F151*(1-tax_f)*(1-v_off)-Sens!F20375</f>
        <v>-6.10282680452259</v>
      </c>
      <c r="G20376" s="6" t="n">
        <f aca="false">CF!G87-CF!G84-CF!G91+Thesis!G151*(1-tax_f)</f>
        <v>19.0084129023516</v>
      </c>
      <c r="H20376" s="6" t="n">
        <f aca="false">CF!H87-CF!H84-CF!H91+Thesis!H151*(1-tax_f)</f>
        <v>55.9229468383331</v>
      </c>
      <c r="I20376" s="6" t="n">
        <f aca="false">CF!I87-CF!I84-CF!I91+Thesis!I151*(1-tax_f)</f>
        <v>127.901908576191</v>
      </c>
      <c r="J20376" s="6" t="n">
        <f aca="false">CF!J87-CF!J84-CF!J91+Thesis!J151*(1-tax_f)</f>
        <v>201.958443859638</v>
      </c>
      <c r="K20376" s="6" t="n">
        <f aca="false">CF!K87-CF!K84-CF!K91+Thesis!K151*(1-tax_f)</f>
        <v>237.542519059905</v>
      </c>
      <c r="L20376" s="1" t="s">
        <v>1223</v>
      </c>
    </row>
    <row r="20377" customFormat="false" ht="15" hidden="false" customHeight="false" outlineLevel="0" collapsed="false">
      <c r="A20377" s="1" t="s">
        <v>1224</v>
      </c>
      <c r="B20377" s="0" t="s">
        <v>98</v>
      </c>
      <c r="F20377" s="6" t="n">
        <f aca="false">Sens!F20376*Sens!F20374</f>
        <v>-5.88326359378609</v>
      </c>
      <c r="G20377" s="6" t="n">
        <f aca="false">Sens!G20376*Sens!G20374</f>
        <v>16.8207404076012</v>
      </c>
      <c r="H20377" s="6" t="n">
        <f aca="false">Sens!H20376*Sens!H20374</f>
        <v>44.8682110996123</v>
      </c>
      <c r="I20377" s="6" t="n">
        <f aca="false">Sens!I20376*Sens!I20374</f>
        <v>93.0411749730187</v>
      </c>
      <c r="J20377" s="6" t="n">
        <f aca="false">Sens!J20376*Sens!J20374</f>
        <v>133.201658322254</v>
      </c>
      <c r="K20377" s="6" t="n">
        <f aca="false">Sens!K20376*Sens!K20374</f>
        <v>142.049081094049</v>
      </c>
    </row>
    <row r="20378" customFormat="false" ht="17.15" hidden="false" customHeight="false" outlineLevel="0" collapsed="false">
      <c r="A20378" s="1" t="s">
        <v>1225</v>
      </c>
      <c r="B20378" s="0" t="s">
        <v>98</v>
      </c>
      <c r="C20378" s="6" t="n">
        <f aca="false">SUM(Sens!F20377:K20377)</f>
        <v>424.097602302749</v>
      </c>
    </row>
    <row r="20379" customFormat="false" ht="17.15" hidden="false" customHeight="false" outlineLevel="0" collapsed="false">
      <c r="A20379" s="1" t="s">
        <v>1226</v>
      </c>
      <c r="B20379" s="0" t="s">
        <v>98</v>
      </c>
      <c r="C20379" s="6" t="n">
        <f aca="false">PL!K117*(1+g_tv)*(1-tax_f)</f>
        <v>247.098906713682</v>
      </c>
    </row>
    <row r="20380" customFormat="false" ht="17.15" hidden="false" customHeight="false" outlineLevel="0" collapsed="false">
      <c r="A20380" s="1" t="s">
        <v>1227</v>
      </c>
      <c r="B20380" s="0" t="s">
        <v>98</v>
      </c>
      <c r="C20380" s="6" t="n">
        <f aca="false">Sens!$C$20379*(1-g_tv/(wacc+ronic_prem))</f>
        <v>175.084017418113</v>
      </c>
    </row>
    <row r="20381" customFormat="false" ht="17.15" hidden="false" customHeight="false" outlineLevel="0" collapsed="false">
      <c r="A20381" s="1" t="s">
        <v>1228</v>
      </c>
      <c r="B20381" s="0" t="s">
        <v>98</v>
      </c>
      <c r="C20381" s="6" t="n">
        <f aca="false">Sens!$C$20380/(wacc-g_tv)</f>
        <v>2400.4963098523</v>
      </c>
    </row>
    <row r="20382" customFormat="false" ht="15" hidden="false" customHeight="false" outlineLevel="0" collapsed="false">
      <c r="A20382" s="1" t="s">
        <v>1229</v>
      </c>
      <c r="B20382" s="0" t="s">
        <v>98</v>
      </c>
      <c r="C20382" s="6" t="n">
        <f aca="false">Sens!$C$20381/(1+wacc)^Sens!K20373</f>
        <v>1366.85624415645</v>
      </c>
    </row>
    <row r="20383" customFormat="false" ht="17.15" hidden="false" customHeight="false" outlineLevel="0" collapsed="false">
      <c r="A20383" s="0" t="s">
        <v>1230</v>
      </c>
      <c r="B20383" s="0" t="s">
        <v>98</v>
      </c>
      <c r="C20383" s="6" t="n">
        <f aca="false">Sens!$C$20378+Sens!$C$20382</f>
        <v>1790.9538464592</v>
      </c>
    </row>
    <row r="20384" customFormat="false" ht="15" hidden="false" customHeight="false" outlineLevel="0" collapsed="false">
      <c r="A20384" s="1" t="s">
        <v>1145</v>
      </c>
      <c r="B20384" s="0" t="s">
        <v>168</v>
      </c>
      <c r="C20384" s="7" t="n">
        <f aca="false">Sens!$C$20382/Sens!$C$20383</f>
        <v>0.763200149941769</v>
      </c>
    </row>
    <row r="20385" customFormat="false" ht="17.15" hidden="false" customHeight="false" outlineLevel="0" collapsed="false">
      <c r="A20385" s="1" t="s">
        <v>1231</v>
      </c>
      <c r="B20385" s="0" t="s">
        <v>98</v>
      </c>
      <c r="C20385" s="6" t="n">
        <f aca="false">Sens!$C$20383+cash_val-debt_val-fl_val+(oai_stake26*oai_val*(1-liq_disc))</f>
        <v>1913.6208464592</v>
      </c>
    </row>
    <row r="20386" customFormat="false" ht="17.15" hidden="false" customHeight="false" outlineLevel="0" collapsed="false">
      <c r="A20386" s="0" t="s">
        <v>1153</v>
      </c>
      <c r="B20386" s="0" t="s">
        <v>75</v>
      </c>
      <c r="C20386" s="5" t="n">
        <f aca="false">Sens!$C$20385/shd_val</f>
        <v>256.999845079129</v>
      </c>
    </row>
    <row r="20387" customFormat="false" ht="15" hidden="false" customHeight="false" outlineLevel="0" collapsed="false">
      <c r="A20387" s="1" t="s">
        <v>1232</v>
      </c>
      <c r="B20387" s="0" t="s">
        <v>75</v>
      </c>
      <c r="C20387" s="8" t="n">
        <f aca="false">div_rem27+CF!G95*roll_div_q/q_per_yr</f>
        <v>3.9795</v>
      </c>
    </row>
    <row r="20388" customFormat="false" ht="17.15" hidden="false" customHeight="false" outlineLevel="0" collapsed="false">
      <c r="A20388" s="0" t="s">
        <v>1233</v>
      </c>
      <c r="B20388" s="0" t="s">
        <v>75</v>
      </c>
      <c r="C20388" s="5" t="n">
        <f aca="false">Sens!$C$20386*(1+wacc)^t_roll-Sens!$C$20387</f>
        <v>281.690171157967</v>
      </c>
    </row>
    <row r="20389" customFormat="false" ht="17.15" hidden="false" customHeight="false" outlineLevel="0" collapsed="false">
      <c r="A20389" s="1" t="s">
        <v>1234</v>
      </c>
      <c r="B20389" s="0" t="s">
        <v>168</v>
      </c>
      <c r="F20389" s="7" t="n">
        <f aca="false">CF!F81/(Seg!F83-Thesis!F129)</f>
        <v>0.068677393452264</v>
      </c>
      <c r="G20389" s="7" t="n">
        <f aca="false">CF!G81/(Seg!G83-Thesis!G129)</f>
        <v>0.0663132664471956</v>
      </c>
      <c r="H20389" s="7" t="n">
        <f aca="false">CF!H81/(Seg!H83-Thesis!H129)</f>
        <v>0.0651363826734039</v>
      </c>
      <c r="I20389" s="7" t="n">
        <f aca="false">CF!I81/(Seg!I83-Thesis!I129)</f>
        <v>0.0650087936347709</v>
      </c>
      <c r="J20389" s="7" t="n">
        <f aca="false">CF!J81/(Seg!J83-Thesis!J129)</f>
        <v>0.0657212684841778</v>
      </c>
      <c r="K20389" s="7" t="n">
        <f aca="false">CF!K81/(Seg!K83-Thesis!K129)</f>
        <v>0.0670413306015285</v>
      </c>
    </row>
    <row r="20390" customFormat="false" ht="17.15" hidden="false" customHeight="false" outlineLevel="0" collapsed="false">
      <c r="A20390" s="0" t="s">
        <v>1235</v>
      </c>
      <c r="B20390" s="0" t="s">
        <v>98</v>
      </c>
      <c r="F20390" s="6" t="n">
        <f aca="false">Seg!F68*(al_m365+Sens!F20389+sbc_r)</f>
        <v>82.9185219618347</v>
      </c>
      <c r="G20390" s="6" t="n">
        <f aca="false">Seg!G68*(al_m365+Sens!G20389+sbc_r)</f>
        <v>93.3068052157631</v>
      </c>
      <c r="H20390" s="6" t="n">
        <f aca="false">Seg!H68*(al_m365+Sens!H20389+sbc_r)</f>
        <v>103.856057136159</v>
      </c>
      <c r="I20390" s="6" t="n">
        <f aca="false">Seg!I68*(al_m365+Sens!I20389+sbc_r)</f>
        <v>113.889717587147</v>
      </c>
      <c r="J20390" s="6" t="n">
        <f aca="false">Seg!J68*(al_m365+Sens!J20389+sbc_r)</f>
        <v>123.218477864124</v>
      </c>
      <c r="K20390" s="6" t="n">
        <f aca="false">Seg!K68*(al_m365+Sens!K20389+sbc_r)</f>
        <v>132.149420086311</v>
      </c>
      <c r="L20390" s="12" t="s">
        <v>1236</v>
      </c>
    </row>
    <row r="20391" customFormat="false" ht="17.15" hidden="false" customHeight="false" outlineLevel="0" collapsed="false">
      <c r="A20391" s="0" t="s">
        <v>1237</v>
      </c>
      <c r="B20391" s="0" t="s">
        <v>98</v>
      </c>
      <c r="F20391" s="6" t="n">
        <f aca="false">Seg!F69*(al_lic+Sens!F20389+sbc_r)</f>
        <v>32.8599853992256</v>
      </c>
      <c r="G20391" s="6" t="n">
        <f aca="false">Seg!G69*(al_lic+Sens!G20389+sbc_r)</f>
        <v>34.1568280697879</v>
      </c>
      <c r="H20391" s="6" t="n">
        <f aca="false">Seg!H69*(al_lic+Sens!H20389+sbc_r)</f>
        <v>35.3635535007213</v>
      </c>
      <c r="I20391" s="6" t="n">
        <f aca="false">Seg!I69*(al_lic+Sens!I20389+sbc_r)</f>
        <v>36.4604537346553</v>
      </c>
      <c r="J20391" s="6" t="n">
        <f aca="false">Seg!J69*(al_lic+Sens!J20389+sbc_r)</f>
        <v>37.4245888933574</v>
      </c>
      <c r="K20391" s="6" t="n">
        <f aca="false">Seg!K69*(al_lic+Sens!K20389+sbc_r)</f>
        <v>38.2321483186439</v>
      </c>
    </row>
    <row r="20392" customFormat="false" ht="17.15" hidden="false" customHeight="false" outlineLevel="0" collapsed="false">
      <c r="A20392" s="0" t="s">
        <v>1238</v>
      </c>
      <c r="B20392" s="0" t="s">
        <v>98</v>
      </c>
      <c r="F20392" s="6" t="n">
        <f aca="false">Seg!F71*(al_ind+Sens!F20389+sbc_r)</f>
        <v>9.06170747885803</v>
      </c>
      <c r="G20392" s="6" t="n">
        <f aca="false">Seg!G71*(al_ind+Sens!G20389+sbc_r)</f>
        <v>9.8478979082138</v>
      </c>
      <c r="H20392" s="6" t="n">
        <f aca="false">Seg!H71*(al_ind+Sens!H20389+sbc_r)</f>
        <v>10.6768254332059</v>
      </c>
      <c r="I20392" s="6" t="n">
        <f aca="false">Seg!I71*(al_ind+Sens!I20389+sbc_r)</f>
        <v>11.54398793803</v>
      </c>
      <c r="J20392" s="6" t="n">
        <f aca="false">Seg!J71*(al_ind+Sens!J20389+sbc_r)</f>
        <v>12.4407914253112</v>
      </c>
      <c r="K20392" s="6" t="n">
        <f aca="false">Seg!K71*(al_ind+Sens!K20389+sbc_r)</f>
        <v>13.355239066864</v>
      </c>
    </row>
    <row r="20393" customFormat="false" ht="17.15" hidden="false" customHeight="false" outlineLevel="0" collapsed="false">
      <c r="A20393" s="0" t="s">
        <v>1239</v>
      </c>
      <c r="B20393" s="0" t="s">
        <v>98</v>
      </c>
      <c r="F20393" s="6" t="n">
        <f aca="false">Seg!F73*(al_fro+Sens!F20389+sbc_r)</f>
        <v>3.55453569939552</v>
      </c>
      <c r="G20393" s="6" t="n">
        <f aca="false">Seg!G73*(al_fro+Sens!G20389+sbc_r)</f>
        <v>3.76809436159872</v>
      </c>
      <c r="H20393" s="6" t="n">
        <f aca="false">Seg!H73*(al_fro+Sens!H20389+sbc_r)</f>
        <v>4.00964905674607</v>
      </c>
      <c r="I20393" s="6" t="n">
        <f aca="false">Seg!I73*(al_fro+Sens!I20389+sbc_r)</f>
        <v>4.28152633145235</v>
      </c>
      <c r="J20393" s="6" t="n">
        <f aca="false">Seg!J73*(al_fro+Sens!J20389+sbc_r)</f>
        <v>4.58536512975975</v>
      </c>
      <c r="K20393" s="6" t="n">
        <f aca="false">Seg!K73*(al_fro+Sens!K20389+sbc_r)</f>
        <v>4.92240770086468</v>
      </c>
    </row>
    <row r="20394" customFormat="false" ht="17.15" hidden="false" customHeight="false" outlineLevel="0" collapsed="false">
      <c r="A20394" s="0" t="s">
        <v>1240</v>
      </c>
      <c r="B20394" s="0" t="s">
        <v>98</v>
      </c>
      <c r="F20394" s="6" t="n">
        <f aca="false">Seg!F76*(al_srch+Sens!F20389+sbc_r)</f>
        <v>11.190683952584</v>
      </c>
      <c r="G20394" s="6" t="n">
        <f aca="false">Seg!G76*(al_srch+Sens!G20389+sbc_r)</f>
        <v>12.2763328717258</v>
      </c>
      <c r="H20394" s="6" t="n">
        <f aca="false">Seg!H76*(al_srch+Sens!H20389+sbc_r)</f>
        <v>13.4043563346576</v>
      </c>
      <c r="I20394" s="6" t="n">
        <f aca="false">Seg!I76*(al_srch+Sens!I20389+sbc_r)</f>
        <v>14.5621512181916</v>
      </c>
      <c r="J20394" s="6" t="n">
        <f aca="false">Seg!J76*(al_srch+Sens!J20389+sbc_r)</f>
        <v>15.7310381862385</v>
      </c>
      <c r="K20394" s="6" t="n">
        <f aca="false">Seg!K76*(al_srch+Sens!K20389+sbc_r)</f>
        <v>16.8873320486462</v>
      </c>
    </row>
    <row r="20395" customFormat="false" ht="17.15" hidden="false" customHeight="false" outlineLevel="0" collapsed="false">
      <c r="A20395" s="0" t="s">
        <v>1241</v>
      </c>
      <c r="B20395" s="0" t="s">
        <v>98</v>
      </c>
      <c r="F20395" s="6" t="n">
        <f aca="false">Thesis!F135-Thesis!F136+Thesis!F151</f>
        <v>38.9696429794913</v>
      </c>
      <c r="G20395" s="6" t="n">
        <f aca="false">Thesis!G135-Thesis!G136+Thesis!G151</f>
        <v>69.465497726016</v>
      </c>
      <c r="H20395" s="6" t="n">
        <f aca="false">Thesis!H135-Thesis!H136+Thesis!H151</f>
        <v>96.8147106808268</v>
      </c>
      <c r="I20395" s="6" t="n">
        <f aca="false">Thesis!I135-Thesis!I136+Thesis!I151</f>
        <v>127.654939766446</v>
      </c>
      <c r="J20395" s="6" t="n">
        <f aca="false">Thesis!J135-Thesis!J136+Thesis!J151</f>
        <v>149.308352681229</v>
      </c>
      <c r="K20395" s="6" t="n">
        <f aca="false">Thesis!K135-Thesis!K136+Thesis!K151</f>
        <v>162.731822021841</v>
      </c>
    </row>
    <row r="20396" customFormat="false" ht="17.15" hidden="false" customHeight="false" outlineLevel="0" collapsed="false">
      <c r="A20396" s="0" t="s">
        <v>1242</v>
      </c>
      <c r="B20396" s="0" t="s">
        <v>98</v>
      </c>
      <c r="F20396" s="6" t="n">
        <f aca="false">PL!F110+Thesis!F151+Thesis!F147+Sens!F20389*(Seg!F75-Thesis!F129)+sbc_r*Seg!F75</f>
        <v>234.79972328186</v>
      </c>
      <c r="G20396" s="6" t="n">
        <f aca="false">PL!G110+Thesis!G151+Thesis!G147+Sens!G20389*(Seg!G75-Thesis!G129)+sbc_r*Seg!G75</f>
        <v>285.499052659517</v>
      </c>
      <c r="H20396" s="6" t="n">
        <f aca="false">PL!H110+Thesis!H151+Thesis!H147+Sens!H20389*(Seg!H75-Thesis!H129)+sbc_r*Seg!H75</f>
        <v>338.258569294547</v>
      </c>
      <c r="I20396" s="6" t="n">
        <f aca="false">PL!I110+Thesis!I151+Thesis!I147+Sens!I20389*(Seg!I75-Thesis!I129)+sbc_r*Seg!I75</f>
        <v>393.887902526982</v>
      </c>
      <c r="J20396" s="6" t="n">
        <f aca="false">PL!J110+Thesis!J151+Thesis!J147+Sens!J20389*(Seg!J75-Thesis!J129)+sbc_r*Seg!J75</f>
        <v>438.406631506078</v>
      </c>
      <c r="K20396" s="6" t="n">
        <f aca="false">PL!K110+Thesis!K151+Thesis!K147+Sens!K20389*(Seg!K75-Thesis!K129)+sbc_r*Seg!K75</f>
        <v>472.352875745143</v>
      </c>
    </row>
    <row r="20397" customFormat="false" ht="17.15" hidden="false" customHeight="false" outlineLevel="0" collapsed="false">
      <c r="A20397" s="0" t="s">
        <v>1243</v>
      </c>
      <c r="B20397" s="0" t="s">
        <v>98</v>
      </c>
      <c r="F20397" s="6" t="n">
        <f aca="false">Sens!F20396-Sens!F20390-Sens!F20391-Sens!F20392-Sens!F20393-Sens!F20395</f>
        <v>67.4353297630543</v>
      </c>
      <c r="G20397" s="6" t="n">
        <f aca="false">Sens!G20396-Sens!G20390-Sens!G20391-Sens!G20392-Sens!G20393-Sens!G20395</f>
        <v>74.9539293781376</v>
      </c>
      <c r="H20397" s="6" t="n">
        <f aca="false">Sens!H20396-Sens!H20390-Sens!H20391-Sens!H20392-Sens!H20393-Sens!H20395</f>
        <v>87.537773486888</v>
      </c>
      <c r="I20397" s="6" t="n">
        <f aca="false">Sens!I20396-Sens!I20390-Sens!I20391-Sens!I20392-Sens!I20393-Sens!I20395</f>
        <v>100.057277169252</v>
      </c>
      <c r="J20397" s="6" t="n">
        <f aca="false">Sens!J20396-Sens!J20390-Sens!J20391-Sens!J20392-Sens!J20393-Sens!J20395</f>
        <v>111.429055512297</v>
      </c>
      <c r="K20397" s="6" t="n">
        <f aca="false">Sens!K20396-Sens!K20390-Sens!K20391-Sens!K20392-Sens!K20393-Sens!K20395</f>
        <v>120.961838550618</v>
      </c>
    </row>
    <row r="20398" customFormat="false" ht="17.15" hidden="false" customHeight="false" outlineLevel="0" collapsed="false">
      <c r="A20398" s="0" t="s">
        <v>1244</v>
      </c>
      <c r="B20398" s="0" t="s">
        <v>98</v>
      </c>
      <c r="F20398" s="6" t="n">
        <f aca="false">PL!F112+Sens!F20389*Seg!F82+sbc_r*Seg!F82</f>
        <v>26.6373549789235</v>
      </c>
      <c r="G20398" s="6" t="n">
        <f aca="false">PL!G112+Sens!G20389*Seg!G82+sbc_r*Seg!G82</f>
        <v>26.5038922765853</v>
      </c>
      <c r="H20398" s="6" t="n">
        <f aca="false">PL!H112+Sens!H20389*Seg!H82+sbc_r*Seg!H82</f>
        <v>27.3981100014792</v>
      </c>
      <c r="I20398" s="6" t="n">
        <f aca="false">PL!I112+Sens!I20389*Seg!I82+sbc_r*Seg!I82</f>
        <v>28.5176442589239</v>
      </c>
      <c r="J20398" s="6" t="n">
        <f aca="false">PL!J112+Sens!J20389*Seg!J82+sbc_r*Seg!J82</f>
        <v>29.8313998963726</v>
      </c>
      <c r="K20398" s="6" t="n">
        <f aca="false">PL!K112+Sens!K20389*Seg!K82+sbc_r*Seg!K82</f>
        <v>31.3103466222307</v>
      </c>
    </row>
    <row r="20399" customFormat="false" ht="17.15" hidden="false" customHeight="false" outlineLevel="0" collapsed="false">
      <c r="A20399" s="0" t="s">
        <v>1245</v>
      </c>
      <c r="B20399" s="0" t="s">
        <v>98</v>
      </c>
      <c r="F20399" s="6" t="n">
        <f aca="false">(Sens!F20398-Sens!F20394)*Seg!F78/(Seg!F78+Seg!F80)</f>
        <v>8.72405610479892</v>
      </c>
      <c r="G20399" s="6" t="n">
        <f aca="false">(Sens!G20398-Sens!G20394)*Seg!G78/(Seg!G78+Seg!G80)</f>
        <v>7.897418765869</v>
      </c>
      <c r="H20399" s="6" t="n">
        <f aca="false">(Sens!H20398-Sens!H20394)*Seg!H78/(Seg!H78+Seg!H80)</f>
        <v>7.66644879573063</v>
      </c>
      <c r="I20399" s="6" t="n">
        <f aca="false">(Sens!I20398-Sens!I20394)*Seg!I78/(Seg!I78+Seg!I80)</f>
        <v>7.5787545031814</v>
      </c>
      <c r="J20399" s="6" t="n">
        <f aca="false">(Sens!J20398-Sens!J20394)*Seg!J78/(Seg!J78+Seg!J80)</f>
        <v>7.62401876450459</v>
      </c>
      <c r="K20399" s="6" t="n">
        <f aca="false">(Sens!K20398-Sens!K20394)*Seg!K78/(Seg!K78+Seg!K80)</f>
        <v>7.79847609658838</v>
      </c>
    </row>
    <row r="20400" customFormat="false" ht="17.15" hidden="false" customHeight="false" outlineLevel="0" collapsed="false">
      <c r="A20400" s="0" t="s">
        <v>1246</v>
      </c>
      <c r="B20400" s="0" t="s">
        <v>98</v>
      </c>
      <c r="F20400" s="6" t="n">
        <f aca="false">Sens!F20398-Sens!F20394-Sens!F20399</f>
        <v>6.72261492154066</v>
      </c>
      <c r="G20400" s="6" t="n">
        <f aca="false">Sens!G20398-Sens!G20394-Sens!G20399</f>
        <v>6.33014063899044</v>
      </c>
      <c r="H20400" s="6" t="n">
        <f aca="false">Sens!H20398-Sens!H20394-Sens!H20399</f>
        <v>6.32730487109095</v>
      </c>
      <c r="I20400" s="6" t="n">
        <f aca="false">Sens!I20398-Sens!I20394-Sens!I20399</f>
        <v>6.37673853755084</v>
      </c>
      <c r="J20400" s="6" t="n">
        <f aca="false">Sens!J20398-Sens!J20394-Sens!J20399</f>
        <v>6.47634294562954</v>
      </c>
      <c r="K20400" s="6" t="n">
        <f aca="false">Sens!K20398-Sens!K20394-Sens!K20399</f>
        <v>6.62453847699607</v>
      </c>
    </row>
    <row r="20401" customFormat="false" ht="17.15" hidden="false" customHeight="false" outlineLevel="0" collapsed="false">
      <c r="A20401" s="0" t="s">
        <v>1247</v>
      </c>
      <c r="B20401" s="0" t="s">
        <v>98</v>
      </c>
      <c r="F20401" s="6" t="n">
        <f aca="false">Sens!F20395-tax_f*(Sens!F20395-Thesis!F147)-Thesis!F144</f>
        <v>-130.362326762856</v>
      </c>
      <c r="G20401" s="6" t="n">
        <f aca="false">Sens!G20395-tax_f*(Sens!G20395-Thesis!G147)-Thesis!G144</f>
        <v>-124.225179337776</v>
      </c>
      <c r="H20401" s="6" t="n">
        <f aca="false">Sens!H20395-tax_f*(Sens!H20395-Thesis!H147)-Thesis!H144</f>
        <v>-101.534217387562</v>
      </c>
      <c r="I20401" s="6" t="n">
        <f aca="false">Sens!I20395-tax_f*(Sens!I20395-Thesis!I147)-Thesis!I144</f>
        <v>-43.6446798695439</v>
      </c>
      <c r="J20401" s="6" t="n">
        <f aca="false">Sens!J20395-tax_f*(Sens!J20395-Thesis!J147)-Thesis!J144</f>
        <v>16.9198855589618</v>
      </c>
      <c r="K20401" s="6" t="n">
        <f aca="false">Sens!K20395-tax_f*(Sens!K20395-Thesis!K147)-Thesis!K144</f>
        <v>39.8251384629271</v>
      </c>
    </row>
    <row r="20402" customFormat="false" ht="17.15" hidden="false" customHeight="false" outlineLevel="0" collapsed="false">
      <c r="A20402" s="0" t="s">
        <v>1248</v>
      </c>
      <c r="B20402" s="0" t="s">
        <v>98</v>
      </c>
      <c r="G20402" s="6" t="n">
        <f aca="false">Sens!G20401/(1+wacc)^(Sens!G20372-Sens!F20373)</f>
        <v>-118.286276192192</v>
      </c>
      <c r="H20402" s="6" t="n">
        <f aca="false">Sens!H20401/(1+wacc)^(Sens!H20372-Sens!F20373)</f>
        <v>-87.6570009910427</v>
      </c>
      <c r="I20402" s="6" t="n">
        <f aca="false">Sens!I20401/(1+wacc)^(Sens!I20372-Sens!F20373)</f>
        <v>-34.1629172979204</v>
      </c>
      <c r="J20402" s="6" t="n">
        <f aca="false">Sens!J20401/(1+wacc)^(Sens!J20372-Sens!F20373)</f>
        <v>12.0079954170053</v>
      </c>
      <c r="K20402" s="6" t="n">
        <f aca="false">Sens!K20401/(1+wacc)^(Sens!K20372-Sens!F20373)</f>
        <v>25.6259421582556</v>
      </c>
      <c r="L20402" s="1" t="s">
        <v>1249</v>
      </c>
    </row>
    <row r="20403" customFormat="false" ht="17.15" hidden="false" customHeight="false" outlineLevel="0" collapsed="false">
      <c r="A20403" s="0" t="s">
        <v>1250</v>
      </c>
      <c r="B20403" s="0" t="s">
        <v>98</v>
      </c>
      <c r="C20403" s="6" t="n">
        <f aca="false">(Sens!K20395-Thesis!K147)*(1-tax_f)*(1+g_tv)*(1-g_tv/(wacc+ronic_prem))/(wacc-g_tv)/(1+wacc)^(Sens!K20373-Sens!F20373)</f>
        <v>96.7148026864948</v>
      </c>
    </row>
    <row r="20404" customFormat="false" ht="17.15" hidden="false" customHeight="false" outlineLevel="0" collapsed="false">
      <c r="A20404" s="1" t="s">
        <v>1251</v>
      </c>
      <c r="B20404" s="0" t="s">
        <v>98</v>
      </c>
      <c r="C20404" s="6" t="n">
        <f aca="false">(SUM(Sens!G20402:K20402)+Sens!$C$20403)*(1+wacc)^(t_roll-Sens!F20373)</f>
        <v>-109.248827617462</v>
      </c>
      <c r="L20404" s="12" t="s">
        <v>1252</v>
      </c>
    </row>
    <row r="20405" customFormat="false" ht="17.15" hidden="false" customHeight="false" outlineLevel="0" collapsed="false">
      <c r="A20405" s="1" t="s">
        <v>1253</v>
      </c>
      <c r="B20405" s="0" t="s">
        <v>98</v>
      </c>
      <c r="C20405" s="6" t="n">
        <f aca="false">(w_ntm28*Thesis!G135+(1-w_ntm28)*Thesis!H135)*m_ai</f>
        <v>344.355829012336</v>
      </c>
    </row>
    <row r="20406" customFormat="false" ht="17.15" hidden="false" customHeight="false" outlineLevel="0" collapsed="false">
      <c r="A20406" s="1" t="s">
        <v>1254</v>
      </c>
      <c r="B20406" s="0" t="s">
        <v>98</v>
      </c>
      <c r="C20406" s="6" t="n">
        <f aca="false">(w_ntm28*Sens!G20397+(1-w_ntm28)*Sens!H20397)*m_cloud</f>
        <v>1093.03877543039</v>
      </c>
    </row>
    <row r="20407" customFormat="false" ht="17.15" hidden="false" customHeight="false" outlineLevel="0" collapsed="false">
      <c r="A20407" s="1" t="s">
        <v>1255</v>
      </c>
      <c r="B20407" s="0" t="s">
        <v>98</v>
      </c>
      <c r="C20407" s="6" t="n">
        <f aca="false">(w_ntm28*Sens!G20390+(1-w_ntm28)*Sens!H20390)*m_sw</f>
        <v>1045.17056616266</v>
      </c>
    </row>
    <row r="20408" customFormat="false" ht="17.15" hidden="false" customHeight="false" outlineLevel="0" collapsed="false">
      <c r="A20408" s="1" t="s">
        <v>1256</v>
      </c>
      <c r="B20408" s="0" t="s">
        <v>98</v>
      </c>
      <c r="C20408" s="6" t="n">
        <f aca="false">(w_ntm28*Sens!G20391+(1-w_ntm28)*Sens!H20391)*m_sw</f>
        <v>373.178444957791</v>
      </c>
    </row>
    <row r="20409" customFormat="false" ht="17.15" hidden="false" customHeight="false" outlineLevel="0" collapsed="false">
      <c r="A20409" s="1" t="s">
        <v>1257</v>
      </c>
      <c r="B20409" s="0" t="s">
        <v>98</v>
      </c>
      <c r="C20409" s="6" t="n">
        <f aca="false">(w_ntm28*Sens!G20392+(1-w_ntm28)*Sens!H20392)*m_sw</f>
        <v>109.30055788101</v>
      </c>
    </row>
    <row r="20410" customFormat="false" ht="17.15" hidden="false" customHeight="false" outlineLevel="0" collapsed="false">
      <c r="A20410" s="1" t="s">
        <v>1258</v>
      </c>
      <c r="B20410" s="0" t="s">
        <v>98</v>
      </c>
      <c r="C20410" s="6" t="n">
        <f aca="false">(w_ntm28*Sens!G20393+(1-w_ntm28)*Sens!H20393)*m_sw</f>
        <v>41.5531037214606</v>
      </c>
    </row>
    <row r="20411" customFormat="false" ht="17.15" hidden="false" customHeight="false" outlineLevel="0" collapsed="false">
      <c r="A20411" s="1" t="s">
        <v>1259</v>
      </c>
      <c r="B20411" s="0" t="s">
        <v>98</v>
      </c>
      <c r="C20411" s="6" t="n">
        <f aca="false">(w_ntm28*Sens!G20394+(1-w_ntm28)*Sens!H20394)*m_ads</f>
        <v>115.215899994784</v>
      </c>
    </row>
    <row r="20412" customFormat="false" ht="17.15" hidden="false" customHeight="false" outlineLevel="0" collapsed="false">
      <c r="A20412" s="1" t="s">
        <v>1260</v>
      </c>
      <c r="B20412" s="0" t="s">
        <v>98</v>
      </c>
      <c r="C20412" s="6" t="n">
        <f aca="false">(w_ntm28*Sens!G20399+(1-w_ntm28)*Sens!H20399)*m_game</f>
        <v>98.7853357615783</v>
      </c>
    </row>
    <row r="20413" customFormat="false" ht="17.15" hidden="false" customHeight="false" outlineLevel="0" collapsed="false">
      <c r="A20413" s="1" t="s">
        <v>1261</v>
      </c>
      <c r="B20413" s="0" t="s">
        <v>98</v>
      </c>
      <c r="C20413" s="6" t="n">
        <f aca="false">(w_ntm28*Sens!G20400+(1-w_ntm28)*Sens!H20400)*m_pc</f>
        <v>91.5836445602173</v>
      </c>
    </row>
    <row r="20414" customFormat="false" ht="17.15" hidden="false" customHeight="false" outlineLevel="0" collapsed="false">
      <c r="A20414" s="1" t="s">
        <v>1262</v>
      </c>
      <c r="B20414" s="0" t="s">
        <v>98</v>
      </c>
      <c r="C20414" s="6" t="n">
        <f aca="false">Sens!$C$20404+Sens!$C$20406+Sens!$C$20407+Sens!$C$20408+Sens!$C$20409+Sens!$C$20410+Sens!$C$20411+Sens!$C$20412+Sens!$C$20413</f>
        <v>2858.57750085243</v>
      </c>
    </row>
    <row r="20415" customFormat="false" ht="17.15" hidden="false" customHeight="false" outlineLevel="0" collapsed="false">
      <c r="A20415" s="1" t="s">
        <v>1263</v>
      </c>
      <c r="B20415" s="0" t="s">
        <v>98</v>
      </c>
      <c r="C20415" s="6" t="n">
        <f aca="false">(Sens!G20376-Sens!G20401)*t_stub</f>
        <v>47.4829168796038</v>
      </c>
      <c r="L20415" s="1" t="s">
        <v>1264</v>
      </c>
    </row>
    <row r="20416" customFormat="false" ht="17.15" hidden="false" customHeight="false" outlineLevel="0" collapsed="false">
      <c r="A20416" s="1" t="s">
        <v>1173</v>
      </c>
      <c r="B20416" s="0" t="s">
        <v>98</v>
      </c>
      <c r="C20416" s="6" t="n">
        <f aca="false">CF!F103+(oai_stake26*oai_val*(1-liq_disc))-CF!F92+Sens!$C$20415</f>
        <v>165.37027008544</v>
      </c>
      <c r="L20416" s="1" t="s">
        <v>1265</v>
      </c>
    </row>
    <row r="20417" customFormat="false" ht="17.15" hidden="false" customHeight="false" outlineLevel="0" collapsed="false">
      <c r="A20417" s="1" t="s">
        <v>1266</v>
      </c>
      <c r="B20417" s="0" t="s">
        <v>75</v>
      </c>
      <c r="C20417" s="5" t="n">
        <f aca="false">(Sens!$C$20414+Sens!$C$20416)/(CF!F105+dil_gap)-CF!G95*roll_div_q/q_per_yr</f>
        <v>402.3686871582</v>
      </c>
      <c r="L20417" s="1" t="s">
        <v>1267</v>
      </c>
    </row>
    <row r="20418" customFormat="false" ht="17.15" hidden="false" customHeight="false" outlineLevel="0" collapsed="false">
      <c r="A20418" s="1" t="s">
        <v>1268</v>
      </c>
      <c r="B20418" s="0" t="s">
        <v>75</v>
      </c>
      <c r="C20418" s="5" t="n">
        <f aca="false">w_dcf*Sens!$C$20388+(1-w_dcf)*Sens!$C$20417</f>
        <v>342.029429158084</v>
      </c>
    </row>
    <row r="20419" customFormat="false" ht="17.15" hidden="false" customHeight="false" outlineLevel="0" collapsed="false">
      <c r="A20419" s="3" t="s">
        <v>2115</v>
      </c>
    </row>
    <row r="20420" customFormat="false" ht="15" hidden="false" customHeight="false" outlineLevel="0" collapsed="false">
      <c r="A20420" s="4" t="s">
        <v>43</v>
      </c>
      <c r="B20420" s="4" t="s">
        <v>65</v>
      </c>
      <c r="C20420" s="23" t="s">
        <v>942</v>
      </c>
      <c r="D20420" s="23" t="s">
        <v>943</v>
      </c>
      <c r="E20420" s="23" t="s">
        <v>944</v>
      </c>
      <c r="F20420" s="23" t="s">
        <v>945</v>
      </c>
      <c r="G20420" s="23" t="s">
        <v>946</v>
      </c>
      <c r="H20420" s="23" t="s">
        <v>947</v>
      </c>
      <c r="I20420" s="23" t="s">
        <v>948</v>
      </c>
      <c r="J20420" s="23" t="s">
        <v>949</v>
      </c>
      <c r="K20420" s="23" t="s">
        <v>950</v>
      </c>
      <c r="L20420" s="4" t="s">
        <v>47</v>
      </c>
    </row>
    <row r="20421" customFormat="false" ht="17.15" hidden="false" customHeight="false" outlineLevel="0" collapsed="false">
      <c r="A20421" s="1" t="s">
        <v>1216</v>
      </c>
      <c r="B20421" s="1" t="s">
        <v>279</v>
      </c>
      <c r="F20421" s="8" t="n">
        <f aca="false">(1-v_off)*mid_yr</f>
        <v>0.373972602739726</v>
      </c>
      <c r="G20421" s="8" t="n">
        <f aca="false">Thesis!G6-base_fy-mid_yr-v_off</f>
        <v>1.24794520547945</v>
      </c>
      <c r="H20421" s="8" t="n">
        <f aca="false">Thesis!H6-base_fy-mid_yr-v_off</f>
        <v>2.24794520547945</v>
      </c>
      <c r="I20421" s="8" t="n">
        <f aca="false">Thesis!I6-base_fy-mid_yr-v_off</f>
        <v>3.24794520547945</v>
      </c>
      <c r="J20421" s="8" t="n">
        <f aca="false">Thesis!J6-base_fy-mid_yr-v_off</f>
        <v>4.24794520547945</v>
      </c>
      <c r="K20421" s="8" t="n">
        <f aca="false">Thesis!K6-base_fy-mid_yr-v_off</f>
        <v>5.24794520547945</v>
      </c>
      <c r="L20421" s="12" t="s">
        <v>1217</v>
      </c>
    </row>
    <row r="20422" customFormat="false" ht="15" hidden="false" customHeight="false" outlineLevel="0" collapsed="false">
      <c r="A20422" s="1" t="s">
        <v>1218</v>
      </c>
      <c r="B20422" s="1" t="s">
        <v>279</v>
      </c>
      <c r="F20422" s="8" t="n">
        <f aca="false">Thesis!F6-base_fy-v_off</f>
        <v>0.747945205479452</v>
      </c>
      <c r="G20422" s="8" t="n">
        <f aca="false">Thesis!G6-base_fy-v_off</f>
        <v>1.74794520547945</v>
      </c>
      <c r="H20422" s="8" t="n">
        <f aca="false">Thesis!H6-base_fy-v_off</f>
        <v>2.74794520547945</v>
      </c>
      <c r="I20422" s="8" t="n">
        <f aca="false">Thesis!I6-base_fy-v_off</f>
        <v>3.74794520547945</v>
      </c>
      <c r="J20422" s="8" t="n">
        <f aca="false">Thesis!J6-base_fy-v_off</f>
        <v>4.74794520547945</v>
      </c>
      <c r="K20422" s="8" t="n">
        <f aca="false">Thesis!K6-base_fy-v_off</f>
        <v>5.74794520547945</v>
      </c>
    </row>
    <row r="20423" customFormat="false" ht="15" hidden="false" customHeight="false" outlineLevel="0" collapsed="false">
      <c r="A20423" s="1" t="s">
        <v>1219</v>
      </c>
      <c r="B20423" s="0" t="s">
        <v>229</v>
      </c>
      <c r="F20423" s="15" t="n">
        <f aca="false">1/(1+wacc)^Sens!F20421</f>
        <v>0.964022703286649</v>
      </c>
      <c r="G20423" s="15" t="n">
        <f aca="false">1/(1+wacc)^Sens!G20421</f>
        <v>0.884910302296739</v>
      </c>
      <c r="H20423" s="15" t="n">
        <f aca="false">1/(1+wacc)^Sens!H20421</f>
        <v>0.802322009770358</v>
      </c>
      <c r="I20423" s="15" t="n">
        <f aca="false">1/(1+wacc)^Sens!I20421</f>
        <v>0.727441646561469</v>
      </c>
      <c r="J20423" s="15" t="n">
        <f aca="false">1/(1+wacc)^Sens!J20421</f>
        <v>0.659549834988973</v>
      </c>
      <c r="K20423" s="15" t="n">
        <f aca="false">1/(1+wacc)^Sens!K20421</f>
        <v>0.597994336576966</v>
      </c>
    </row>
    <row r="20424" customFormat="false" ht="17.15" hidden="false" customHeight="false" outlineLevel="0" collapsed="false">
      <c r="A20424" s="1" t="s">
        <v>1220</v>
      </c>
      <c r="B20424" s="0" t="s">
        <v>98</v>
      </c>
      <c r="F20424" s="6" t="n">
        <f aca="false">Q!$I$35-Q!$I$39-Q!$I$43</f>
        <v>9.666</v>
      </c>
      <c r="L20424" s="12" t="s">
        <v>1221</v>
      </c>
    </row>
    <row r="20425" customFormat="false" ht="17.15" hidden="false" customHeight="false" outlineLevel="0" collapsed="false">
      <c r="A20425" s="1" t="s">
        <v>1222</v>
      </c>
      <c r="B20425" s="0" t="s">
        <v>98</v>
      </c>
      <c r="F20425" s="6" t="n">
        <f aca="false">CF!F23-CF!F20-CF!F27+Thesis!F47*(1-tax_f)*(1-v_off)-Sens!F20424</f>
        <v>-1.12880264559539</v>
      </c>
      <c r="G20425" s="6" t="n">
        <f aca="false">CF!G23-CF!G20-CF!G27+Thesis!G47*(1-tax_f)</f>
        <v>38.7194421947551</v>
      </c>
      <c r="H20425" s="6" t="n">
        <f aca="false">CF!H23-CF!H20-CF!H27+Thesis!H47*(1-tax_f)</f>
        <v>98.6927474567662</v>
      </c>
      <c r="I20425" s="6" t="n">
        <f aca="false">CF!I23-CF!I20-CF!I27+Thesis!I47*(1-tax_f)</f>
        <v>181.625440536277</v>
      </c>
      <c r="J20425" s="6" t="n">
        <f aca="false">CF!J23-CF!J20-CF!J27+Thesis!J47*(1-tax_f)</f>
        <v>263.350402418584</v>
      </c>
      <c r="K20425" s="6" t="n">
        <f aca="false">CF!K23-CF!K20-CF!K27+Thesis!K47*(1-tax_f)</f>
        <v>303.659068389018</v>
      </c>
      <c r="L20425" s="1" t="s">
        <v>1223</v>
      </c>
    </row>
    <row r="20426" customFormat="false" ht="15" hidden="false" customHeight="false" outlineLevel="0" collapsed="false">
      <c r="A20426" s="1" t="s">
        <v>1224</v>
      </c>
      <c r="B20426" s="0" t="s">
        <v>98</v>
      </c>
      <c r="F20426" s="6" t="n">
        <f aca="false">Sens!F20425*Sens!F20423</f>
        <v>-1.08819137788399</v>
      </c>
      <c r="G20426" s="6" t="n">
        <f aca="false">Sens!G20425*Sens!G20423</f>
        <v>34.2632332973219</v>
      </c>
      <c r="H20426" s="6" t="n">
        <f aca="false">Sens!H20425*Sens!H20423</f>
        <v>79.183363489271</v>
      </c>
      <c r="I20426" s="6" t="n">
        <f aca="false">Sens!I20425*Sens!I20423</f>
        <v>132.121909521162</v>
      </c>
      <c r="J20426" s="6" t="n">
        <f aca="false">Sens!J20425*Sens!J20423</f>
        <v>173.692714459456</v>
      </c>
      <c r="K20426" s="6" t="n">
        <f aca="false">Sens!K20425*Sens!K20423</f>
        <v>181.58640314687</v>
      </c>
    </row>
    <row r="20427" customFormat="false" ht="17.15" hidden="false" customHeight="false" outlineLevel="0" collapsed="false">
      <c r="A20427" s="1" t="s">
        <v>1225</v>
      </c>
      <c r="B20427" s="0" t="s">
        <v>98</v>
      </c>
      <c r="C20427" s="6" t="n">
        <f aca="false">SUM(Sens!F20426:K20426)</f>
        <v>599.759432536197</v>
      </c>
    </row>
    <row r="20428" customFormat="false" ht="17.15" hidden="false" customHeight="false" outlineLevel="0" collapsed="false">
      <c r="A20428" s="1" t="s">
        <v>1226</v>
      </c>
      <c r="B20428" s="0" t="s">
        <v>98</v>
      </c>
      <c r="C20428" s="6" t="n">
        <f aca="false">PL!K39*(1+g_tv)*(1-tax_f)</f>
        <v>316.501318799308</v>
      </c>
    </row>
    <row r="20429" customFormat="false" ht="17.15" hidden="false" customHeight="false" outlineLevel="0" collapsed="false">
      <c r="A20429" s="1" t="s">
        <v>1227</v>
      </c>
      <c r="B20429" s="0" t="s">
        <v>98</v>
      </c>
      <c r="C20429" s="6" t="n">
        <f aca="false">Sens!$C$20428*(1-g_tv/(wacc+ronic_prem))</f>
        <v>224.25968269347</v>
      </c>
    </row>
    <row r="20430" customFormat="false" ht="17.15" hidden="false" customHeight="false" outlineLevel="0" collapsed="false">
      <c r="A20430" s="1" t="s">
        <v>1228</v>
      </c>
      <c r="B20430" s="0" t="s">
        <v>98</v>
      </c>
      <c r="C20430" s="6" t="n">
        <f aca="false">Sens!$C$20429/(wacc-g_tv)</f>
        <v>3074.72120352792</v>
      </c>
    </row>
    <row r="20431" customFormat="false" ht="15" hidden="false" customHeight="false" outlineLevel="0" collapsed="false">
      <c r="A20431" s="1" t="s">
        <v>1229</v>
      </c>
      <c r="B20431" s="0" t="s">
        <v>98</v>
      </c>
      <c r="C20431" s="6" t="n">
        <f aca="false">Sens!$C$20430/(1+wacc)^Sens!K20422</f>
        <v>1750.76373116397</v>
      </c>
    </row>
    <row r="20432" customFormat="false" ht="17.15" hidden="false" customHeight="false" outlineLevel="0" collapsed="false">
      <c r="A20432" s="0" t="s">
        <v>1230</v>
      </c>
      <c r="B20432" s="0" t="s">
        <v>98</v>
      </c>
      <c r="C20432" s="6" t="n">
        <f aca="false">Sens!$C$20427+Sens!$C$20431</f>
        <v>2350.52316370017</v>
      </c>
    </row>
    <row r="20433" customFormat="false" ht="15" hidden="false" customHeight="false" outlineLevel="0" collapsed="false">
      <c r="A20433" s="1" t="s">
        <v>1145</v>
      </c>
      <c r="B20433" s="0" t="s">
        <v>168</v>
      </c>
      <c r="C20433" s="7" t="n">
        <f aca="false">Sens!$C$20431/Sens!$C$20432</f>
        <v>0.744840024638574</v>
      </c>
    </row>
    <row r="20434" customFormat="false" ht="17.15" hidden="false" customHeight="false" outlineLevel="0" collapsed="false">
      <c r="A20434" s="1" t="s">
        <v>1231</v>
      </c>
      <c r="B20434" s="0" t="s">
        <v>98</v>
      </c>
      <c r="C20434" s="6" t="n">
        <f aca="false">Sens!$C$20432+cash_val-debt_val-fl_val+(oai_stake_hi*oai_val*(1-liq_disc))</f>
        <v>2486.82216370017</v>
      </c>
    </row>
    <row r="20435" customFormat="false" ht="17.15" hidden="false" customHeight="false" outlineLevel="0" collapsed="false">
      <c r="A20435" s="0" t="s">
        <v>1153</v>
      </c>
      <c r="B20435" s="0" t="s">
        <v>75</v>
      </c>
      <c r="C20435" s="5" t="n">
        <f aca="false">Sens!$C$20434/shd_val</f>
        <v>333.980951343026</v>
      </c>
    </row>
    <row r="20436" customFormat="false" ht="15" hidden="false" customHeight="false" outlineLevel="0" collapsed="false">
      <c r="A20436" s="1" t="s">
        <v>1232</v>
      </c>
      <c r="B20436" s="0" t="s">
        <v>75</v>
      </c>
      <c r="C20436" s="8" t="n">
        <f aca="false">div_rem27+CF!G31*roll_div_q/q_per_yr</f>
        <v>3.9795</v>
      </c>
    </row>
    <row r="20437" customFormat="false" ht="17.15" hidden="false" customHeight="false" outlineLevel="0" collapsed="false">
      <c r="A20437" s="0" t="s">
        <v>1233</v>
      </c>
      <c r="B20437" s="0" t="s">
        <v>75</v>
      </c>
      <c r="C20437" s="5" t="n">
        <f aca="false">Sens!$C$20435*(1+wacc)^t_roll-Sens!$C$20436</f>
        <v>367.258967143089</v>
      </c>
    </row>
    <row r="20438" customFormat="false" ht="17.15" hidden="false" customHeight="false" outlineLevel="0" collapsed="false">
      <c r="A20438" s="1" t="s">
        <v>1234</v>
      </c>
      <c r="B20438" s="0" t="s">
        <v>168</v>
      </c>
      <c r="F20438" s="7" t="n">
        <f aca="false">CF!F17/(Seg!F29-Thesis!F25)</f>
        <v>0.0685527305696859</v>
      </c>
      <c r="G20438" s="7" t="n">
        <f aca="false">CF!G17/(Seg!G29-Thesis!G25)</f>
        <v>0.0653567731599844</v>
      </c>
      <c r="H20438" s="7" t="n">
        <f aca="false">CF!H17/(Seg!H29-Thesis!H25)</f>
        <v>0.0636628841026972</v>
      </c>
      <c r="I20438" s="7" t="n">
        <f aca="false">CF!I17/(Seg!I29-Thesis!I25)</f>
        <v>0.0633581084335176</v>
      </c>
      <c r="J20438" s="7" t="n">
        <f aca="false">CF!J17/(Seg!J29-Thesis!J25)</f>
        <v>0.0640873955995062</v>
      </c>
      <c r="K20438" s="7" t="n">
        <f aca="false">CF!K17/(Seg!K29-Thesis!K25)</f>
        <v>0.0653962234835198</v>
      </c>
    </row>
    <row r="20439" customFormat="false" ht="17.15" hidden="false" customHeight="false" outlineLevel="0" collapsed="false">
      <c r="A20439" s="0" t="s">
        <v>1235</v>
      </c>
      <c r="B20439" s="0" t="s">
        <v>98</v>
      </c>
      <c r="F20439" s="6" t="n">
        <f aca="false">Seg!F14*(al_m365+Sens!F20438+sbc_r)</f>
        <v>84.5213906545575</v>
      </c>
      <c r="G20439" s="6" t="n">
        <f aca="false">Seg!G14*(al_m365+Sens!G20438+sbc_r)</f>
        <v>98.949983331796</v>
      </c>
      <c r="H20439" s="6" t="n">
        <f aca="false">Seg!H14*(al_m365+Sens!H20438+sbc_r)</f>
        <v>113.543734275326</v>
      </c>
      <c r="I20439" s="6" t="n">
        <f aca="false">Seg!I14*(al_m365+Sens!I20438+sbc_r)</f>
        <v>126.62058838692</v>
      </c>
      <c r="J20439" s="6" t="n">
        <f aca="false">Seg!J14*(al_m365+Sens!J20438+sbc_r)</f>
        <v>137.994660156303</v>
      </c>
      <c r="K20439" s="6" t="n">
        <f aca="false">Seg!K14*(al_m365+Sens!K20438+sbc_r)</f>
        <v>148.989224092997</v>
      </c>
      <c r="L20439" s="12" t="s">
        <v>1236</v>
      </c>
    </row>
    <row r="20440" customFormat="false" ht="17.15" hidden="false" customHeight="false" outlineLevel="0" collapsed="false">
      <c r="A20440" s="0" t="s">
        <v>1237</v>
      </c>
      <c r="B20440" s="0" t="s">
        <v>98</v>
      </c>
      <c r="F20440" s="6" t="n">
        <f aca="false">Seg!F15*(al_lic+Sens!F20438+sbc_r)</f>
        <v>32.855200196554</v>
      </c>
      <c r="G20440" s="6" t="n">
        <f aca="false">Seg!G15*(al_lic+Sens!G20438+sbc_r)</f>
        <v>34.1185582613282</v>
      </c>
      <c r="H20440" s="6" t="n">
        <f aca="false">Seg!H15*(al_lic+Sens!H20438+sbc_r)</f>
        <v>35.3024309363621</v>
      </c>
      <c r="I20440" s="6" t="n">
        <f aca="false">Seg!I15*(al_lic+Sens!I20438+sbc_r)</f>
        <v>36.3898468129533</v>
      </c>
      <c r="J20440" s="6" t="n">
        <f aca="false">Seg!J15*(al_lic+Sens!J20438+sbc_r)</f>
        <v>37.3529129529876</v>
      </c>
      <c r="K20440" s="6" t="n">
        <f aca="false">Seg!K15*(al_lic+Sens!K20438+sbc_r)</f>
        <v>38.158536171203</v>
      </c>
    </row>
    <row r="20441" customFormat="false" ht="17.15" hidden="false" customHeight="false" outlineLevel="0" collapsed="false">
      <c r="A20441" s="0" t="s">
        <v>1238</v>
      </c>
      <c r="B20441" s="0" t="s">
        <v>98</v>
      </c>
      <c r="F20441" s="6" t="n">
        <f aca="false">Seg!F17*(al_ind+Sens!F20438+sbc_r)</f>
        <v>9.05892547956683</v>
      </c>
      <c r="G20441" s="6" t="n">
        <f aca="false">Seg!G17*(al_ind+Sens!G20438+sbc_r)</f>
        <v>9.82456487622418</v>
      </c>
      <c r="H20441" s="6" t="n">
        <f aca="false">Seg!H17*(al_ind+Sens!H20438+sbc_r)</f>
        <v>10.6377408477959</v>
      </c>
      <c r="I20441" s="6" t="n">
        <f aca="false">Seg!I17*(al_ind+Sens!I20438+sbc_r)</f>
        <v>11.4966323260293</v>
      </c>
      <c r="J20441" s="6" t="n">
        <f aca="false">Seg!J17*(al_ind+Sens!J20438+sbc_r)</f>
        <v>12.3903660286279</v>
      </c>
      <c r="K20441" s="6" t="n">
        <f aca="false">Seg!K17*(al_ind+Sens!K20438+sbc_r)</f>
        <v>13.3009129057681</v>
      </c>
    </row>
    <row r="20442" customFormat="false" ht="17.15" hidden="false" customHeight="false" outlineLevel="0" collapsed="false">
      <c r="A20442" s="0" t="s">
        <v>1239</v>
      </c>
      <c r="B20442" s="0" t="s">
        <v>98</v>
      </c>
      <c r="F20442" s="6" t="n">
        <f aca="false">Seg!F19*(al_fro+Sens!F20438+sbc_r)</f>
        <v>3.55344443532423</v>
      </c>
      <c r="G20442" s="6" t="n">
        <f aca="false">Seg!G19*(al_fro+Sens!G20438+sbc_r)</f>
        <v>3.75916645971565</v>
      </c>
      <c r="H20442" s="6" t="n">
        <f aca="false">Seg!H19*(al_fro+Sens!H20438+sbc_r)</f>
        <v>3.994970960527</v>
      </c>
      <c r="I20442" s="6" t="n">
        <f aca="false">Seg!I19*(al_fro+Sens!I20438+sbc_r)</f>
        <v>4.26396270432353</v>
      </c>
      <c r="J20442" s="6" t="n">
        <f aca="false">Seg!J19*(al_fro+Sens!J20438+sbc_r)</f>
        <v>4.5667795874336</v>
      </c>
      <c r="K20442" s="6" t="n">
        <f aca="false">Seg!K19*(al_fro+Sens!K20438+sbc_r)</f>
        <v>4.90238443416026</v>
      </c>
    </row>
    <row r="20443" customFormat="false" ht="17.15" hidden="false" customHeight="false" outlineLevel="0" collapsed="false">
      <c r="A20443" s="0" t="s">
        <v>1240</v>
      </c>
      <c r="B20443" s="0" t="s">
        <v>98</v>
      </c>
      <c r="F20443" s="6" t="n">
        <f aca="false">Seg!F22*(al_srch+Sens!F20438+sbc_r)</f>
        <v>11.1872483445711</v>
      </c>
      <c r="G20443" s="6" t="n">
        <f aca="false">Seg!G22*(al_srch+Sens!G20438+sbc_r)</f>
        <v>12.247246048296</v>
      </c>
      <c r="H20443" s="6" t="n">
        <f aca="false">Seg!H22*(al_srch+Sens!H20438+sbc_r)</f>
        <v>13.3552870946193</v>
      </c>
      <c r="I20443" s="6" t="n">
        <f aca="false">Seg!I22*(al_srch+Sens!I20438+sbc_r)</f>
        <v>14.5024145321619</v>
      </c>
      <c r="J20443" s="6" t="n">
        <f aca="false">Seg!J22*(al_srch+Sens!J20438+sbc_r)</f>
        <v>15.667276660652</v>
      </c>
      <c r="K20443" s="6" t="n">
        <f aca="false">Seg!K22*(al_srch+Sens!K20438+sbc_r)</f>
        <v>16.8186381138719</v>
      </c>
    </row>
    <row r="20444" customFormat="false" ht="17.15" hidden="false" customHeight="false" outlineLevel="0" collapsed="false">
      <c r="A20444" s="0" t="s">
        <v>1241</v>
      </c>
      <c r="B20444" s="0" t="s">
        <v>98</v>
      </c>
      <c r="F20444" s="6" t="n">
        <f aca="false">Thesis!F31-Thesis!F32+Thesis!F47</f>
        <v>45.3782580567763</v>
      </c>
      <c r="G20444" s="6" t="n">
        <f aca="false">Thesis!G31-Thesis!G32+Thesis!G47</f>
        <v>91.0863367558165</v>
      </c>
      <c r="H20444" s="6" t="n">
        <f aca="false">Thesis!H31-Thesis!H32+Thesis!H47</f>
        <v>144.617532464853</v>
      </c>
      <c r="I20444" s="6" t="n">
        <f aca="false">Thesis!I31-Thesis!I32+Thesis!I47</f>
        <v>187.137304561304</v>
      </c>
      <c r="J20444" s="6" t="n">
        <f aca="false">Thesis!J31-Thesis!J32+Thesis!J47</f>
        <v>217.006854425907</v>
      </c>
      <c r="K20444" s="6" t="n">
        <f aca="false">Thesis!K31-Thesis!K32+Thesis!K47</f>
        <v>234.933637903877</v>
      </c>
    </row>
    <row r="20445" customFormat="false" ht="17.15" hidden="false" customHeight="false" outlineLevel="0" collapsed="false">
      <c r="A20445" s="0" t="s">
        <v>1242</v>
      </c>
      <c r="B20445" s="0" t="s">
        <v>98</v>
      </c>
      <c r="F20445" s="6" t="n">
        <f aca="false">PL!F32+Thesis!F47+Thesis!F43+Sens!F20438*(Seg!F21-Thesis!F25)+sbc_r*Seg!F21</f>
        <v>240.818167741339</v>
      </c>
      <c r="G20445" s="6" t="n">
        <f aca="false">PL!G32+Thesis!G47+Thesis!G43+Sens!G20438*(Seg!G21-Thesis!G25)+sbc_r*Seg!G21</f>
        <v>311.917784140952</v>
      </c>
      <c r="H20445" s="6" t="n">
        <f aca="false">PL!H32+Thesis!H47+Thesis!H43+Sens!H20438*(Seg!H21-Thesis!H25)+sbc_r*Seg!H21</f>
        <v>395.486245683473</v>
      </c>
      <c r="I20445" s="6" t="n">
        <f aca="false">PL!I32+Thesis!I47+Thesis!I43+Sens!I20438*(Seg!I21-Thesis!I25)+sbc_r*Seg!I21</f>
        <v>465.950805948377</v>
      </c>
      <c r="J20445" s="6" t="n">
        <f aca="false">PL!J32+Thesis!J47+Thesis!J43+Sens!J20438*(Seg!J21-Thesis!J25)+sbc_r*Seg!J21</f>
        <v>520.78677388057</v>
      </c>
      <c r="K20445" s="6" t="n">
        <f aca="false">PL!K32+Thesis!K47+Thesis!K43+Sens!K20438*(Seg!K21-Thesis!K25)+sbc_r*Seg!K21</f>
        <v>561.2469767412</v>
      </c>
    </row>
    <row r="20446" customFormat="false" ht="17.15" hidden="false" customHeight="false" outlineLevel="0" collapsed="false">
      <c r="A20446" s="0" t="s">
        <v>1243</v>
      </c>
      <c r="B20446" s="0" t="s">
        <v>98</v>
      </c>
      <c r="F20446" s="6" t="n">
        <f aca="false">Sens!F20445-Sens!F20439-Sens!F20440-Sens!F20441-Sens!F20442-Sens!F20444</f>
        <v>65.4509489185601</v>
      </c>
      <c r="G20446" s="6" t="n">
        <f aca="false">Sens!G20445-Sens!G20439-Sens!G20440-Sens!G20441-Sens!G20442-Sens!G20444</f>
        <v>74.1791744560715</v>
      </c>
      <c r="H20446" s="6" t="n">
        <f aca="false">Sens!H20445-Sens!H20439-Sens!H20440-Sens!H20441-Sens!H20442-Sens!H20444</f>
        <v>87.3898361986086</v>
      </c>
      <c r="I20446" s="6" t="n">
        <f aca="false">Sens!I20445-Sens!I20439-Sens!I20440-Sens!I20441-Sens!I20442-Sens!I20444</f>
        <v>100.042471156846</v>
      </c>
      <c r="J20446" s="6" t="n">
        <f aca="false">Sens!J20445-Sens!J20439-Sens!J20440-Sens!J20441-Sens!J20442-Sens!J20444</f>
        <v>111.475200729312</v>
      </c>
      <c r="K20446" s="6" t="n">
        <f aca="false">Sens!K20445-Sens!K20439-Sens!K20440-Sens!K20441-Sens!K20442-Sens!K20444</f>
        <v>120.962281233195</v>
      </c>
    </row>
    <row r="20447" customFormat="false" ht="17.15" hidden="false" customHeight="false" outlineLevel="0" collapsed="false">
      <c r="A20447" s="0" t="s">
        <v>1244</v>
      </c>
      <c r="B20447" s="0" t="s">
        <v>98</v>
      </c>
      <c r="F20447" s="6" t="n">
        <f aca="false">PL!F34+Sens!F20438*Seg!F28+sbc_r*Seg!F28</f>
        <v>26.6293388420472</v>
      </c>
      <c r="G20447" s="6" t="n">
        <f aca="false">PL!G34+Sens!G20438*Seg!G28+sbc_r*Seg!G28</f>
        <v>26.4405000412783</v>
      </c>
      <c r="H20447" s="6" t="n">
        <f aca="false">PL!H34+Sens!H20438*Seg!H28+sbc_r*Seg!H28</f>
        <v>27.296860059552</v>
      </c>
      <c r="I20447" s="6" t="n">
        <f aca="false">PL!I34+Sens!I20438*Seg!I28+sbc_r*Seg!I28</f>
        <v>28.3995465815703</v>
      </c>
      <c r="J20447" s="6" t="n">
        <f aca="false">PL!J34+Sens!J20438*Seg!J28+sbc_r*Seg!J28</f>
        <v>29.7093380975903</v>
      </c>
      <c r="K20447" s="6" t="n">
        <f aca="false">PL!K34+Sens!K20438*Seg!K28+sbc_r*Seg!K28</f>
        <v>31.1817775287323</v>
      </c>
    </row>
    <row r="20448" customFormat="false" ht="17.15" hidden="false" customHeight="false" outlineLevel="0" collapsed="false">
      <c r="A20448" s="0" t="s">
        <v>1245</v>
      </c>
      <c r="B20448" s="0" t="s">
        <v>98</v>
      </c>
      <c r="F20448" s="6" t="n">
        <f aca="false">(Sens!F20447-Sens!F20443)*Seg!F24/(Seg!F24+Seg!F26)</f>
        <v>8.72146908842971</v>
      </c>
      <c r="G20448" s="6" t="n">
        <f aca="false">(Sens!G20447-Sens!G20443)*Seg!G24/(Seg!G24+Seg!G26)</f>
        <v>7.87837655379173</v>
      </c>
      <c r="H20448" s="6" t="n">
        <f aca="false">(Sens!H20447-Sens!H20443)*Seg!H24/(Seg!H24+Seg!H26)</f>
        <v>7.63786170689933</v>
      </c>
      <c r="I20448" s="6" t="n">
        <f aca="false">(Sens!I20447-Sens!I20443)*Seg!I24/(Seg!I24+Seg!I26)</f>
        <v>7.5470606300581</v>
      </c>
      <c r="J20448" s="6" t="n">
        <f aca="false">(Sens!J20447-Sens!J20443)*Seg!J24/(Seg!J24+Seg!J26)</f>
        <v>7.59249600034024</v>
      </c>
      <c r="K20448" s="6" t="n">
        <f aca="false">(Sens!K20447-Sens!K20443)*Seg!K24/(Seg!K24+Seg!K26)</f>
        <v>7.76610179704742</v>
      </c>
    </row>
    <row r="20449" customFormat="false" ht="17.15" hidden="false" customHeight="false" outlineLevel="0" collapsed="false">
      <c r="A20449" s="0" t="s">
        <v>1246</v>
      </c>
      <c r="B20449" s="0" t="s">
        <v>98</v>
      </c>
      <c r="F20449" s="6" t="n">
        <f aca="false">Sens!F20447-Sens!F20443-Sens!F20448</f>
        <v>6.72062140904636</v>
      </c>
      <c r="G20449" s="6" t="n">
        <f aca="false">Sens!G20447-Sens!G20443-Sens!G20448</f>
        <v>6.31487743919059</v>
      </c>
      <c r="H20449" s="6" t="n">
        <f aca="false">Sens!H20447-Sens!H20443-Sens!H20448</f>
        <v>6.30371125803333</v>
      </c>
      <c r="I20449" s="6" t="n">
        <f aca="false">Sens!I20447-Sens!I20443-Sens!I20448</f>
        <v>6.35007141935025</v>
      </c>
      <c r="J20449" s="6" t="n">
        <f aca="false">Sens!J20447-Sens!J20443-Sens!J20448</f>
        <v>6.44956543659808</v>
      </c>
      <c r="K20449" s="6" t="n">
        <f aca="false">Sens!K20447-Sens!K20443-Sens!K20448</f>
        <v>6.597037617813</v>
      </c>
    </row>
    <row r="20450" customFormat="false" ht="17.15" hidden="false" customHeight="false" outlineLevel="0" collapsed="false">
      <c r="A20450" s="0" t="s">
        <v>1247</v>
      </c>
      <c r="B20450" s="0" t="s">
        <v>98</v>
      </c>
      <c r="F20450" s="6" t="n">
        <f aca="false">Sens!F20444-tax_f*(Sens!F20444-Thesis!F43)-Thesis!F40</f>
        <v>-125.235434701028</v>
      </c>
      <c r="G20450" s="6" t="n">
        <f aca="false">Sens!G20444-tax_f*(Sens!G20444-Thesis!G43)-Thesis!G40</f>
        <v>-106.928508113935</v>
      </c>
      <c r="H20450" s="6" t="n">
        <f aca="false">Sens!H20444-tax_f*(Sens!H20444-Thesis!H43)-Thesis!H40</f>
        <v>-63.2919599603405</v>
      </c>
      <c r="I20450" s="6" t="n">
        <f aca="false">Sens!I20444-tax_f*(Sens!I20444-Thesis!I43)-Thesis!I40</f>
        <v>3.94121196634245</v>
      </c>
      <c r="J20450" s="6" t="n">
        <f aca="false">Sens!J20444-tax_f*(Sens!J20444-Thesis!J43)-Thesis!J40</f>
        <v>71.0786869547042</v>
      </c>
      <c r="K20450" s="6" t="n">
        <f aca="false">Sens!K20444-tax_f*(Sens!K20444-Thesis!K43)-Thesis!K40</f>
        <v>97.5865911685559</v>
      </c>
    </row>
    <row r="20451" customFormat="false" ht="17.15" hidden="false" customHeight="false" outlineLevel="0" collapsed="false">
      <c r="A20451" s="0" t="s">
        <v>1248</v>
      </c>
      <c r="B20451" s="0" t="s">
        <v>98</v>
      </c>
      <c r="G20451" s="6" t="n">
        <f aca="false">Sens!G20450/(1+wacc)^(Sens!G20421-Sens!F20422)</f>
        <v>-101.81651667568</v>
      </c>
      <c r="H20451" s="6" t="n">
        <f aca="false">Sens!H20450/(1+wacc)^(Sens!H20421-Sens!F20422)</f>
        <v>-54.6415143556151</v>
      </c>
      <c r="I20451" s="6" t="n">
        <f aca="false">Sens!I20450/(1+wacc)^(Sens!I20421-Sens!F20422)</f>
        <v>3.08498765169516</v>
      </c>
      <c r="J20451" s="6" t="n">
        <f aca="false">Sens!J20450/(1+wacc)^(Sens!J20421-Sens!F20422)</f>
        <v>50.4443451596971</v>
      </c>
      <c r="K20451" s="6" t="n">
        <f aca="false">Sens!K20450/(1+wacc)^(Sens!K20421-Sens!F20422)</f>
        <v>62.7932114544856</v>
      </c>
      <c r="L20451" s="1" t="s">
        <v>1249</v>
      </c>
    </row>
    <row r="20452" customFormat="false" ht="17.15" hidden="false" customHeight="false" outlineLevel="0" collapsed="false">
      <c r="A20452" s="0" t="s">
        <v>1250</v>
      </c>
      <c r="B20452" s="0" t="s">
        <v>98</v>
      </c>
      <c r="C20452" s="6" t="n">
        <f aca="false">(Sens!K20444-Thesis!K43)*(1-tax_f)*(1+g_tv)*(1-g_tv/(wacc+ronic_prem))/(wacc-g_tv)/(1+wacc)^(Sens!K20422-Sens!F20422)</f>
        <v>450.836735002813</v>
      </c>
    </row>
    <row r="20453" customFormat="false" ht="17.15" hidden="false" customHeight="false" outlineLevel="0" collapsed="false">
      <c r="A20453" s="1" t="s">
        <v>1251</v>
      </c>
      <c r="B20453" s="0" t="s">
        <v>98</v>
      </c>
      <c r="C20453" s="6" t="n">
        <f aca="false">(SUM(Sens!G20451:K20451)+Sens!$C$20452)*(1+wacc)^(t_roll-Sens!F20422)</f>
        <v>424.259738494477</v>
      </c>
      <c r="L20453" s="12" t="s">
        <v>1252</v>
      </c>
    </row>
    <row r="20454" customFormat="false" ht="17.15" hidden="false" customHeight="false" outlineLevel="0" collapsed="false">
      <c r="A20454" s="1" t="s">
        <v>1253</v>
      </c>
      <c r="B20454" s="0" t="s">
        <v>98</v>
      </c>
      <c r="C20454" s="6" t="n">
        <f aca="false">(w_ntm28*Thesis!G31+(1-w_ntm28)*Thesis!H31)*m_ai</f>
        <v>563.316843258668</v>
      </c>
    </row>
    <row r="20455" customFormat="false" ht="17.15" hidden="false" customHeight="false" outlineLevel="0" collapsed="false">
      <c r="A20455" s="1" t="s">
        <v>1254</v>
      </c>
      <c r="B20455" s="0" t="s">
        <v>98</v>
      </c>
      <c r="C20455" s="6" t="n">
        <f aca="false">(w_ntm28*Sens!G20446+(1-w_ntm28)*Sens!H20446)*m_cloud</f>
        <v>1085.17964696599</v>
      </c>
    </row>
    <row r="20456" customFormat="false" ht="17.15" hidden="false" customHeight="false" outlineLevel="0" collapsed="false">
      <c r="A20456" s="1" t="s">
        <v>1255</v>
      </c>
      <c r="B20456" s="0" t="s">
        <v>98</v>
      </c>
      <c r="C20456" s="6" t="n">
        <f aca="false">(w_ntm28*Sens!G20439+(1-w_ntm28)*Sens!H20439)*m_sw</f>
        <v>1120.47763155275</v>
      </c>
    </row>
    <row r="20457" customFormat="false" ht="17.15" hidden="false" customHeight="false" outlineLevel="0" collapsed="false">
      <c r="A20457" s="1" t="s">
        <v>1256</v>
      </c>
      <c r="B20457" s="0" t="s">
        <v>98</v>
      </c>
      <c r="C20457" s="6" t="n">
        <f aca="false">(w_ntm28*Sens!G20440+(1-w_ntm28)*Sens!H20440)*m_sw</f>
        <v>372.68398809041</v>
      </c>
    </row>
    <row r="20458" customFormat="false" ht="17.15" hidden="false" customHeight="false" outlineLevel="0" collapsed="false">
      <c r="A20458" s="1" t="s">
        <v>1257</v>
      </c>
      <c r="B20458" s="0" t="s">
        <v>98</v>
      </c>
      <c r="C20458" s="6" t="n">
        <f aca="false">(w_ntm28*Sens!G20441+(1-w_ntm28)*Sens!H20441)*m_sw</f>
        <v>108.992632332144</v>
      </c>
    </row>
    <row r="20459" customFormat="false" ht="17.15" hidden="false" customHeight="false" outlineLevel="0" collapsed="false">
      <c r="A20459" s="1" t="s">
        <v>1258</v>
      </c>
      <c r="B20459" s="0" t="s">
        <v>98</v>
      </c>
      <c r="C20459" s="6" t="n">
        <f aca="false">(w_ntm28*Sens!G20442+(1-w_ntm28)*Sens!H20442)*m_sw</f>
        <v>41.4362652527414</v>
      </c>
    </row>
    <row r="20460" customFormat="false" ht="17.15" hidden="false" customHeight="false" outlineLevel="0" collapsed="false">
      <c r="A20460" s="1" t="s">
        <v>1259</v>
      </c>
      <c r="B20460" s="0" t="s">
        <v>98</v>
      </c>
      <c r="C20460" s="6" t="n">
        <f aca="false">(w_ntm28*Sens!G20443+(1-w_ntm28)*Sens!H20443)*m_ads</f>
        <v>114.891070326937</v>
      </c>
    </row>
    <row r="20461" customFormat="false" ht="17.15" hidden="false" customHeight="false" outlineLevel="0" collapsed="false">
      <c r="A20461" s="1" t="s">
        <v>1260</v>
      </c>
      <c r="B20461" s="0" t="s">
        <v>98</v>
      </c>
      <c r="C20461" s="6" t="n">
        <f aca="false">(w_ntm28*Sens!G20448+(1-w_ntm28)*Sens!H20448)*m_game</f>
        <v>98.505199156718</v>
      </c>
    </row>
    <row r="20462" customFormat="false" ht="17.15" hidden="false" customHeight="false" outlineLevel="0" collapsed="false">
      <c r="A20462" s="1" t="s">
        <v>1261</v>
      </c>
      <c r="B20462" s="0" t="s">
        <v>98</v>
      </c>
      <c r="C20462" s="6" t="n">
        <f aca="false">(w_ntm28*Sens!G20449+(1-w_ntm28)*Sens!H20449)*m_pc</f>
        <v>91.3231561150564</v>
      </c>
    </row>
    <row r="20463" customFormat="false" ht="17.15" hidden="false" customHeight="false" outlineLevel="0" collapsed="false">
      <c r="A20463" s="1" t="s">
        <v>1262</v>
      </c>
      <c r="B20463" s="0" t="s">
        <v>98</v>
      </c>
      <c r="C20463" s="6" t="n">
        <f aca="false">Sens!$C$20453+Sens!$C$20455+Sens!$C$20456+Sens!$C$20457+Sens!$C$20458+Sens!$C$20459+Sens!$C$20460+Sens!$C$20461+Sens!$C$20462</f>
        <v>3457.74932828722</v>
      </c>
    </row>
    <row r="20464" customFormat="false" ht="17.15" hidden="false" customHeight="false" outlineLevel="0" collapsed="false">
      <c r="A20464" s="1" t="s">
        <v>1263</v>
      </c>
      <c r="B20464" s="0" t="s">
        <v>98</v>
      </c>
      <c r="C20464" s="6" t="n">
        <f aca="false">(Sens!G20425-Sens!G20450)*t_stub</f>
        <v>48.2832931160316</v>
      </c>
      <c r="L20464" s="1" t="s">
        <v>1264</v>
      </c>
    </row>
    <row r="20465" customFormat="false" ht="17.15" hidden="false" customHeight="false" outlineLevel="0" collapsed="false">
      <c r="A20465" s="1" t="s">
        <v>1173</v>
      </c>
      <c r="B20465" s="0" t="s">
        <v>98</v>
      </c>
      <c r="C20465" s="6" t="n">
        <f aca="false">CF!F39+(oai_stake_hi*oai_val*(1-liq_disc))-CF!F28+Sens!$C$20464</f>
        <v>182.959563116032</v>
      </c>
      <c r="L20465" s="1" t="s">
        <v>1265</v>
      </c>
    </row>
    <row r="20466" customFormat="false" ht="17.15" hidden="false" customHeight="false" outlineLevel="0" collapsed="false">
      <c r="A20466" s="1" t="s">
        <v>1266</v>
      </c>
      <c r="B20466" s="0" t="s">
        <v>75</v>
      </c>
      <c r="C20466" s="5" t="n">
        <f aca="false">(Sens!$C$20463+Sens!$C$20465)/(CF!F41+dil_gap)-CF!G31*roll_div_q/q_per_yr</f>
        <v>485.01923209547</v>
      </c>
      <c r="L20466" s="1" t="s">
        <v>1267</v>
      </c>
    </row>
    <row r="20467" customFormat="false" ht="17.15" hidden="false" customHeight="false" outlineLevel="0" collapsed="false">
      <c r="A20467" s="1" t="s">
        <v>1268</v>
      </c>
      <c r="B20467" s="0" t="s">
        <v>75</v>
      </c>
      <c r="C20467" s="5" t="n">
        <f aca="false">w_dcf*Sens!$C$20437+(1-w_dcf)*Sens!$C$20466</f>
        <v>426.13909961928</v>
      </c>
    </row>
    <row r="20468" customFormat="false" ht="17.15" hidden="false" customHeight="false" outlineLevel="0" collapsed="false">
      <c r="A20468" s="3" t="s">
        <v>2116</v>
      </c>
    </row>
    <row r="20469" customFormat="false" ht="15" hidden="false" customHeight="false" outlineLevel="0" collapsed="false">
      <c r="A20469" s="4" t="s">
        <v>43</v>
      </c>
      <c r="B20469" s="4" t="s">
        <v>65</v>
      </c>
      <c r="C20469" s="23" t="s">
        <v>942</v>
      </c>
      <c r="D20469" s="23" t="s">
        <v>943</v>
      </c>
      <c r="E20469" s="23" t="s">
        <v>944</v>
      </c>
      <c r="F20469" s="23" t="s">
        <v>945</v>
      </c>
      <c r="G20469" s="23" t="s">
        <v>946</v>
      </c>
      <c r="H20469" s="23" t="s">
        <v>947</v>
      </c>
      <c r="I20469" s="23" t="s">
        <v>948</v>
      </c>
      <c r="J20469" s="23" t="s">
        <v>949</v>
      </c>
      <c r="K20469" s="23" t="s">
        <v>950</v>
      </c>
      <c r="L20469" s="4" t="s">
        <v>47</v>
      </c>
    </row>
    <row r="20470" customFormat="false" ht="17.15" hidden="false" customHeight="false" outlineLevel="0" collapsed="false">
      <c r="A20470" s="1" t="s">
        <v>1216</v>
      </c>
      <c r="B20470" s="1" t="s">
        <v>279</v>
      </c>
      <c r="F20470" s="8" t="n">
        <f aca="false">(1-v_off)*mid_yr</f>
        <v>0.373972602739726</v>
      </c>
      <c r="G20470" s="8" t="n">
        <f aca="false">Thesis!G58-base_fy-mid_yr-v_off</f>
        <v>1.24794520547945</v>
      </c>
      <c r="H20470" s="8" t="n">
        <f aca="false">Thesis!H58-base_fy-mid_yr-v_off</f>
        <v>2.24794520547945</v>
      </c>
      <c r="I20470" s="8" t="n">
        <f aca="false">Thesis!I58-base_fy-mid_yr-v_off</f>
        <v>3.24794520547945</v>
      </c>
      <c r="J20470" s="8" t="n">
        <f aca="false">Thesis!J58-base_fy-mid_yr-v_off</f>
        <v>4.24794520547945</v>
      </c>
      <c r="K20470" s="8" t="n">
        <f aca="false">Thesis!K58-base_fy-mid_yr-v_off</f>
        <v>5.24794520547945</v>
      </c>
      <c r="L20470" s="12" t="s">
        <v>1217</v>
      </c>
    </row>
    <row r="20471" customFormat="false" ht="15" hidden="false" customHeight="false" outlineLevel="0" collapsed="false">
      <c r="A20471" s="1" t="s">
        <v>1218</v>
      </c>
      <c r="B20471" s="1" t="s">
        <v>279</v>
      </c>
      <c r="F20471" s="8" t="n">
        <f aca="false">Thesis!F58-base_fy-v_off</f>
        <v>0.747945205479452</v>
      </c>
      <c r="G20471" s="8" t="n">
        <f aca="false">Thesis!G58-base_fy-v_off</f>
        <v>1.74794520547945</v>
      </c>
      <c r="H20471" s="8" t="n">
        <f aca="false">Thesis!H58-base_fy-v_off</f>
        <v>2.74794520547945</v>
      </c>
      <c r="I20471" s="8" t="n">
        <f aca="false">Thesis!I58-base_fy-v_off</f>
        <v>3.74794520547945</v>
      </c>
      <c r="J20471" s="8" t="n">
        <f aca="false">Thesis!J58-base_fy-v_off</f>
        <v>4.74794520547945</v>
      </c>
      <c r="K20471" s="8" t="n">
        <f aca="false">Thesis!K58-base_fy-v_off</f>
        <v>5.74794520547945</v>
      </c>
    </row>
    <row r="20472" customFormat="false" ht="15" hidden="false" customHeight="false" outlineLevel="0" collapsed="false">
      <c r="A20472" s="1" t="s">
        <v>1219</v>
      </c>
      <c r="B20472" s="0" t="s">
        <v>229</v>
      </c>
      <c r="F20472" s="15" t="n">
        <f aca="false">1/(1+wacc)^Sens!F20470</f>
        <v>0.964022703286649</v>
      </c>
      <c r="G20472" s="15" t="n">
        <f aca="false">1/(1+wacc)^Sens!G20470</f>
        <v>0.884910302296739</v>
      </c>
      <c r="H20472" s="15" t="n">
        <f aca="false">1/(1+wacc)^Sens!H20470</f>
        <v>0.802322009770358</v>
      </c>
      <c r="I20472" s="15" t="n">
        <f aca="false">1/(1+wacc)^Sens!I20470</f>
        <v>0.727441646561469</v>
      </c>
      <c r="J20472" s="15" t="n">
        <f aca="false">1/(1+wacc)^Sens!J20470</f>
        <v>0.659549834988973</v>
      </c>
      <c r="K20472" s="15" t="n">
        <f aca="false">1/(1+wacc)^Sens!K20470</f>
        <v>0.597994336576966</v>
      </c>
    </row>
    <row r="20473" customFormat="false" ht="17.15" hidden="false" customHeight="false" outlineLevel="0" collapsed="false">
      <c r="A20473" s="1" t="s">
        <v>1220</v>
      </c>
      <c r="B20473" s="0" t="s">
        <v>98</v>
      </c>
      <c r="F20473" s="6" t="n">
        <f aca="false">Q!$I$35-Q!$I$39-Q!$I$43</f>
        <v>9.666</v>
      </c>
      <c r="L20473" s="12" t="s">
        <v>1221</v>
      </c>
    </row>
    <row r="20474" customFormat="false" ht="17.15" hidden="false" customHeight="false" outlineLevel="0" collapsed="false">
      <c r="A20474" s="1" t="s">
        <v>1222</v>
      </c>
      <c r="B20474" s="0" t="s">
        <v>98</v>
      </c>
      <c r="F20474" s="6" t="n">
        <f aca="false">CF!F55-CF!F52-CF!F59+Thesis!F99*(1-tax_f)*(1-v_off)-Sens!F20473</f>
        <v>-3.35959137570949</v>
      </c>
      <c r="G20474" s="6" t="n">
        <f aca="false">CF!G55-CF!G52-CF!G59+Thesis!G99*(1-tax_f)</f>
        <v>29.8084555066036</v>
      </c>
      <c r="H20474" s="6" t="n">
        <f aca="false">CF!H55-CF!H52-CF!H59+Thesis!H99*(1-tax_f)</f>
        <v>79.3231801478051</v>
      </c>
      <c r="I20474" s="6" t="n">
        <f aca="false">CF!I55-CF!I52-CF!I59+Thesis!I99*(1-tax_f)</f>
        <v>157.29132812061</v>
      </c>
      <c r="J20474" s="6" t="n">
        <f aca="false">CF!J55-CF!J52-CF!J59+Thesis!J99*(1-tax_f)</f>
        <v>235.537601843622</v>
      </c>
      <c r="K20474" s="6" t="n">
        <f aca="false">CF!K55-CF!K52-CF!K59+Thesis!K99*(1-tax_f)</f>
        <v>273.705067207806</v>
      </c>
      <c r="L20474" s="1" t="s">
        <v>1223</v>
      </c>
    </row>
    <row r="20475" customFormat="false" ht="15" hidden="false" customHeight="false" outlineLevel="0" collapsed="false">
      <c r="A20475" s="1" t="s">
        <v>1224</v>
      </c>
      <c r="B20475" s="0" t="s">
        <v>98</v>
      </c>
      <c r="F20475" s="6" t="n">
        <f aca="false">Sens!F20474*Sens!F20472</f>
        <v>-3.23872235994998</v>
      </c>
      <c r="G20475" s="6" t="n">
        <f aca="false">Sens!G20474*Sens!G20472</f>
        <v>26.3778093733475</v>
      </c>
      <c r="H20475" s="6" t="n">
        <f aca="false">Sens!H20474*Sens!H20472</f>
        <v>63.6427333175632</v>
      </c>
      <c r="I20475" s="6" t="n">
        <f aca="false">Sens!I20474*Sens!I20472</f>
        <v>114.420262717897</v>
      </c>
      <c r="J20475" s="6" t="n">
        <f aca="false">Sens!J20474*Sens!J20472</f>
        <v>155.348786429659</v>
      </c>
      <c r="K20475" s="6" t="n">
        <f aca="false">Sens!K20474*Sens!K20472</f>
        <v>163.674080082686</v>
      </c>
    </row>
    <row r="20476" customFormat="false" ht="17.15" hidden="false" customHeight="false" outlineLevel="0" collapsed="false">
      <c r="A20476" s="1" t="s">
        <v>1225</v>
      </c>
      <c r="B20476" s="0" t="s">
        <v>98</v>
      </c>
      <c r="C20476" s="6" t="n">
        <f aca="false">SUM(Sens!F20475:K20475)</f>
        <v>520.224949561203</v>
      </c>
    </row>
    <row r="20477" customFormat="false" ht="17.15" hidden="false" customHeight="false" outlineLevel="0" collapsed="false">
      <c r="A20477" s="1" t="s">
        <v>1226</v>
      </c>
      <c r="B20477" s="0" t="s">
        <v>98</v>
      </c>
      <c r="C20477" s="6" t="n">
        <f aca="false">PL!K78*(1+g_tv)*(1-tax_f)</f>
        <v>284.979534119394</v>
      </c>
    </row>
    <row r="20478" customFormat="false" ht="17.15" hidden="false" customHeight="false" outlineLevel="0" collapsed="false">
      <c r="A20478" s="1" t="s">
        <v>1227</v>
      </c>
      <c r="B20478" s="0" t="s">
        <v>98</v>
      </c>
      <c r="C20478" s="6" t="n">
        <f aca="false">Sens!$C$20477*(1-g_tv/(wacc+ronic_prem))</f>
        <v>201.924655916751</v>
      </c>
    </row>
    <row r="20479" customFormat="false" ht="17.15" hidden="false" customHeight="false" outlineLevel="0" collapsed="false">
      <c r="A20479" s="1" t="s">
        <v>1228</v>
      </c>
      <c r="B20479" s="0" t="s">
        <v>98</v>
      </c>
      <c r="C20479" s="6" t="n">
        <f aca="false">Sens!$C$20478/(wacc-g_tv)</f>
        <v>2768.49594008808</v>
      </c>
    </row>
    <row r="20480" customFormat="false" ht="15" hidden="false" customHeight="false" outlineLevel="0" collapsed="false">
      <c r="A20480" s="1" t="s">
        <v>1229</v>
      </c>
      <c r="B20480" s="0" t="s">
        <v>98</v>
      </c>
      <c r="C20480" s="6" t="n">
        <f aca="false">Sens!$C$20479/(1+wacc)^Sens!K20471</f>
        <v>1576.39732546142</v>
      </c>
    </row>
    <row r="20481" customFormat="false" ht="17.15" hidden="false" customHeight="false" outlineLevel="0" collapsed="false">
      <c r="A20481" s="0" t="s">
        <v>1230</v>
      </c>
      <c r="B20481" s="0" t="s">
        <v>98</v>
      </c>
      <c r="C20481" s="6" t="n">
        <f aca="false">Sens!$C$20476+Sens!$C$20480</f>
        <v>2096.62227502262</v>
      </c>
    </row>
    <row r="20482" customFormat="false" ht="15" hidden="false" customHeight="false" outlineLevel="0" collapsed="false">
      <c r="A20482" s="1" t="s">
        <v>1145</v>
      </c>
      <c r="B20482" s="0" t="s">
        <v>168</v>
      </c>
      <c r="C20482" s="7" t="n">
        <f aca="false">Sens!$C$20480/Sens!$C$20481</f>
        <v>0.751874738831729</v>
      </c>
    </row>
    <row r="20483" customFormat="false" ht="17.15" hidden="false" customHeight="false" outlineLevel="0" collapsed="false">
      <c r="A20483" s="1" t="s">
        <v>1231</v>
      </c>
      <c r="B20483" s="0" t="s">
        <v>98</v>
      </c>
      <c r="C20483" s="6" t="n">
        <f aca="false">Sens!$C$20481+cash_val-debt_val-fl_val+(oai_stake_hi*oai_val*(1-liq_disc))</f>
        <v>2232.92127502262</v>
      </c>
    </row>
    <row r="20484" customFormat="false" ht="17.15" hidden="false" customHeight="false" outlineLevel="0" collapsed="false">
      <c r="A20484" s="0" t="s">
        <v>1153</v>
      </c>
      <c r="B20484" s="0" t="s">
        <v>75</v>
      </c>
      <c r="C20484" s="5" t="n">
        <f aca="false">Sens!$C$20483/shd_val</f>
        <v>299.881986975909</v>
      </c>
    </row>
    <row r="20485" customFormat="false" ht="15" hidden="false" customHeight="false" outlineLevel="0" collapsed="false">
      <c r="A20485" s="1" t="s">
        <v>1232</v>
      </c>
      <c r="B20485" s="0" t="s">
        <v>75</v>
      </c>
      <c r="C20485" s="8" t="n">
        <f aca="false">div_rem27+CF!G63*roll_div_q/q_per_yr</f>
        <v>3.9795</v>
      </c>
    </row>
    <row r="20486" customFormat="false" ht="17.15" hidden="false" customHeight="false" outlineLevel="0" collapsed="false">
      <c r="A20486" s="0" t="s">
        <v>1233</v>
      </c>
      <c r="B20486" s="0" t="s">
        <v>75</v>
      </c>
      <c r="C20486" s="5" t="n">
        <f aca="false">Sens!$C$20484*(1+wacc)^t_roll-Sens!$C$20485</f>
        <v>329.356065160474</v>
      </c>
    </row>
    <row r="20487" customFormat="false" ht="17.15" hidden="false" customHeight="false" outlineLevel="0" collapsed="false">
      <c r="A20487" s="1" t="s">
        <v>1234</v>
      </c>
      <c r="B20487" s="0" t="s">
        <v>168</v>
      </c>
      <c r="F20487" s="7" t="n">
        <f aca="false">CF!F49/(Seg!F56-Thesis!F77)</f>
        <v>0.0686195668908011</v>
      </c>
      <c r="G20487" s="7" t="n">
        <f aca="false">CF!G49/(Seg!G56-Thesis!G77)</f>
        <v>0.0658333569148391</v>
      </c>
      <c r="H20487" s="7" t="n">
        <f aca="false">CF!H49/(Seg!H56-Thesis!H77)</f>
        <v>0.0643895625218926</v>
      </c>
      <c r="I20487" s="7" t="n">
        <f aca="false">CF!I49/(Seg!I56-Thesis!I77)</f>
        <v>0.0641676618157989</v>
      </c>
      <c r="J20487" s="7" t="n">
        <f aca="false">CF!J49/(Seg!J56-Thesis!J77)</f>
        <v>0.0648858606572163</v>
      </c>
      <c r="K20487" s="7" t="n">
        <f aca="false">CF!K49/(Seg!K56-Thesis!K77)</f>
        <v>0.0661974425163768</v>
      </c>
    </row>
    <row r="20488" customFormat="false" ht="17.15" hidden="false" customHeight="false" outlineLevel="0" collapsed="false">
      <c r="A20488" s="0" t="s">
        <v>1235</v>
      </c>
      <c r="B20488" s="0" t="s">
        <v>98</v>
      </c>
      <c r="F20488" s="6" t="n">
        <f aca="false">Seg!F41*(al_m365+Sens!F20487+sbc_r)</f>
        <v>83.7205619248671</v>
      </c>
      <c r="G20488" s="6" t="n">
        <f aca="false">Seg!G41*(al_m365+Sens!G20487+sbc_r)</f>
        <v>96.1301303332381</v>
      </c>
      <c r="H20488" s="6" t="n">
        <f aca="false">Seg!H41*(al_m365+Sens!H20487+sbc_r)</f>
        <v>108.70354073822</v>
      </c>
      <c r="I20488" s="6" t="n">
        <f aca="false">Seg!I41*(al_m365+Sens!I20487+sbc_r)</f>
        <v>120.260101315626</v>
      </c>
      <c r="J20488" s="6" t="n">
        <f aca="false">Seg!J41*(al_m365+Sens!J20487+sbc_r)</f>
        <v>130.611904548619</v>
      </c>
      <c r="K20488" s="6" t="n">
        <f aca="false">Seg!K41*(al_m365+Sens!K20487+sbc_r)</f>
        <v>140.575094974638</v>
      </c>
      <c r="L20488" s="12" t="s">
        <v>1236</v>
      </c>
    </row>
    <row r="20489" customFormat="false" ht="17.15" hidden="false" customHeight="false" outlineLevel="0" collapsed="false">
      <c r="A20489" s="0" t="s">
        <v>1237</v>
      </c>
      <c r="B20489" s="0" t="s">
        <v>98</v>
      </c>
      <c r="F20489" s="6" t="n">
        <f aca="false">Seg!F42*(al_lic+Sens!F20487+sbc_r)</f>
        <v>32.8577657183496</v>
      </c>
      <c r="G20489" s="6" t="n">
        <f aca="false">Seg!G42*(al_lic+Sens!G20487+sbc_r)</f>
        <v>34.1376266324889</v>
      </c>
      <c r="H20489" s="6" t="n">
        <f aca="false">Seg!H42*(al_lic+Sens!H20487+sbc_r)</f>
        <v>35.3325744664128</v>
      </c>
      <c r="I20489" s="6" t="n">
        <f aca="false">Seg!I42*(al_lic+Sens!I20487+sbc_r)</f>
        <v>36.4244749008727</v>
      </c>
      <c r="J20489" s="6" t="n">
        <f aca="false">Seg!J42*(al_lic+Sens!J20487+sbc_r)</f>
        <v>37.3879406068527</v>
      </c>
      <c r="K20489" s="6" t="n">
        <f aca="false">Seg!K42*(al_lic+Sens!K20487+sbc_r)</f>
        <v>38.1943876078259</v>
      </c>
    </row>
    <row r="20490" customFormat="false" ht="17.15" hidden="false" customHeight="false" outlineLevel="0" collapsed="false">
      <c r="A20490" s="0" t="s">
        <v>1238</v>
      </c>
      <c r="B20490" s="0" t="s">
        <v>98</v>
      </c>
      <c r="F20490" s="6" t="n">
        <f aca="false">Seg!F44*(al_ind+Sens!F20487+sbc_r)</f>
        <v>9.06041701092022</v>
      </c>
      <c r="G20490" s="6" t="n">
        <f aca="false">Seg!G44*(al_ind+Sens!G20487+sbc_r)</f>
        <v>9.83619082712885</v>
      </c>
      <c r="H20490" s="6" t="n">
        <f aca="false">Seg!H44*(al_ind+Sens!H20487+sbc_r)</f>
        <v>10.6570160105312</v>
      </c>
      <c r="I20490" s="6" t="n">
        <f aca="false">Seg!I44*(al_ind+Sens!I20487+sbc_r)</f>
        <v>11.5198571637125</v>
      </c>
      <c r="J20490" s="6" t="n">
        <f aca="false">Seg!J44*(al_ind+Sens!J20487+sbc_r)</f>
        <v>12.4150086539206</v>
      </c>
      <c r="K20490" s="6" t="n">
        <f aca="false">Seg!K44*(al_ind+Sens!K20487+sbc_r)</f>
        <v>13.3273714589988</v>
      </c>
    </row>
    <row r="20491" customFormat="false" ht="17.15" hidden="false" customHeight="false" outlineLevel="0" collapsed="false">
      <c r="A20491" s="0" t="s">
        <v>1239</v>
      </c>
      <c r="B20491" s="0" t="s">
        <v>98</v>
      </c>
      <c r="F20491" s="6" t="n">
        <f aca="false">Seg!F46*(al_fro+Sens!F20487+sbc_r)</f>
        <v>3.55402950182022</v>
      </c>
      <c r="G20491" s="6" t="n">
        <f aca="false">Seg!G46*(al_fro+Sens!G20487+sbc_r)</f>
        <v>3.76361488926481</v>
      </c>
      <c r="H20491" s="6" t="n">
        <f aca="false">Seg!H46*(al_fro+Sens!H20487+sbc_r)</f>
        <v>4.00220968879544</v>
      </c>
      <c r="I20491" s="6" t="n">
        <f aca="false">Seg!I46*(al_fro+Sens!I20487+sbc_r)</f>
        <v>4.2725765173852</v>
      </c>
      <c r="J20491" s="6" t="n">
        <f aca="false">Seg!J46*(al_fro+Sens!J20487+sbc_r)</f>
        <v>4.57586224390293</v>
      </c>
      <c r="K20491" s="6" t="n">
        <f aca="false">Seg!K46*(al_fro+Sens!K20487+sbc_r)</f>
        <v>4.91213639633217</v>
      </c>
    </row>
    <row r="20492" customFormat="false" ht="17.15" hidden="false" customHeight="false" outlineLevel="0" collapsed="false">
      <c r="A20492" s="0" t="s">
        <v>1240</v>
      </c>
      <c r="B20492" s="0" t="s">
        <v>98</v>
      </c>
      <c r="F20492" s="6" t="n">
        <f aca="false">Seg!F49*(al_srch+Sens!F20487+sbc_r)</f>
        <v>11.1890902994147</v>
      </c>
      <c r="G20492" s="6" t="n">
        <f aca="false">Seg!G49*(al_srch+Sens!G20487+sbc_r)</f>
        <v>12.261738891803</v>
      </c>
      <c r="H20492" s="6" t="n">
        <f aca="false">Seg!H49*(al_srch+Sens!H20487+sbc_r)</f>
        <v>13.3794863429193</v>
      </c>
      <c r="I20492" s="6" t="n">
        <f aca="false">Seg!I49*(al_srch+Sens!I20487+sbc_r)</f>
        <v>14.5317114787784</v>
      </c>
      <c r="J20492" s="6" t="n">
        <f aca="false">Seg!J49*(al_srch+Sens!J20487+sbc_r)</f>
        <v>15.6984365817724</v>
      </c>
      <c r="K20492" s="6" t="n">
        <f aca="false">Seg!K49*(al_srch+Sens!K20487+sbc_r)</f>
        <v>16.8520942258664</v>
      </c>
    </row>
    <row r="20493" customFormat="false" ht="17.15" hidden="false" customHeight="false" outlineLevel="0" collapsed="false">
      <c r="A20493" s="0" t="s">
        <v>1241</v>
      </c>
      <c r="B20493" s="0" t="s">
        <v>98</v>
      </c>
      <c r="F20493" s="6" t="n">
        <f aca="false">Thesis!F83-Thesis!F84+Thesis!F99</f>
        <v>42.5431090240393</v>
      </c>
      <c r="G20493" s="6" t="n">
        <f aca="false">Thesis!G83-Thesis!G84+Thesis!G99</f>
        <v>81.4922561130847</v>
      </c>
      <c r="H20493" s="6" t="n">
        <f aca="false">Thesis!H83-Thesis!H84+Thesis!H99</f>
        <v>123.278266211349</v>
      </c>
      <c r="I20493" s="6" t="n">
        <f aca="false">Thesis!I83-Thesis!I84+Thesis!I99</f>
        <v>160.60594185192</v>
      </c>
      <c r="J20493" s="6" t="n">
        <f aca="false">Thesis!J83-Thesis!J84+Thesis!J99</f>
        <v>186.818741832633</v>
      </c>
      <c r="K20493" s="6" t="n">
        <f aca="false">Thesis!K83-Thesis!K84+Thesis!K99</f>
        <v>202.776422159652</v>
      </c>
    </row>
    <row r="20494" customFormat="false" ht="17.15" hidden="false" customHeight="false" outlineLevel="0" collapsed="false">
      <c r="A20494" s="0" t="s">
        <v>1242</v>
      </c>
      <c r="B20494" s="0" t="s">
        <v>98</v>
      </c>
      <c r="F20494" s="6" t="n">
        <f aca="false">PL!F71+Thesis!F99+Thesis!F95+Sens!F20487*(Seg!F48-Thesis!F77)+sbc_r*Seg!F48</f>
        <v>238.090727427296</v>
      </c>
      <c r="G20494" s="6" t="n">
        <f aca="false">PL!G71+Thesis!G99+Thesis!G95+Sens!G20487*(Seg!G48-Thesis!G77)+sbc_r*Seg!G48</f>
        <v>299.90836088563</v>
      </c>
      <c r="H20494" s="6" t="n">
        <f aca="false">PL!H71+Thesis!H99+Thesis!H95+Sens!H20487*(Seg!H48-Thesis!H77)+sbc_r*Seg!H48</f>
        <v>369.457709442386</v>
      </c>
      <c r="I20494" s="6" t="n">
        <f aca="false">PL!I71+Thesis!I99+Thesis!I95+Sens!I20487*(Seg!I48-Thesis!I77)+sbc_r*Seg!I48</f>
        <v>433.16585128823</v>
      </c>
      <c r="J20494" s="6" t="n">
        <f aca="false">PL!J71+Thesis!J99+Thesis!J95+Sens!J20487*(Seg!J48-Thesis!J77)+sbc_r*Seg!J48</f>
        <v>483.301303131191</v>
      </c>
      <c r="K20494" s="6" t="n">
        <f aca="false">PL!K71+Thesis!K99+Thesis!K95+Sens!K20487*(Seg!K48-Thesis!K77)+sbc_r*Seg!K48</f>
        <v>520.789002205336</v>
      </c>
    </row>
    <row r="20495" customFormat="false" ht="17.15" hidden="false" customHeight="false" outlineLevel="0" collapsed="false">
      <c r="A20495" s="0" t="s">
        <v>1243</v>
      </c>
      <c r="B20495" s="0" t="s">
        <v>98</v>
      </c>
      <c r="F20495" s="6" t="n">
        <f aca="false">Sens!F20494-Sens!F20488-Sens!F20489-Sens!F20490-Sens!F20491-Sens!F20493</f>
        <v>66.3548442472996</v>
      </c>
      <c r="G20495" s="6" t="n">
        <f aca="false">Sens!G20494-Sens!G20488-Sens!G20489-Sens!G20490-Sens!G20491-Sens!G20493</f>
        <v>74.548542090425</v>
      </c>
      <c r="H20495" s="6" t="n">
        <f aca="false">Sens!H20494-Sens!H20488-Sens!H20489-Sens!H20490-Sens!H20491-Sens!H20493</f>
        <v>87.4841023270775</v>
      </c>
      <c r="I20495" s="6" t="n">
        <f aca="false">Sens!I20494-Sens!I20488-Sens!I20489-Sens!I20490-Sens!I20491-Sens!I20493</f>
        <v>100.082899538713</v>
      </c>
      <c r="J20495" s="6" t="n">
        <f aca="false">Sens!J20494-Sens!J20488-Sens!J20489-Sens!J20490-Sens!J20491-Sens!J20493</f>
        <v>111.491845245262</v>
      </c>
      <c r="K20495" s="6" t="n">
        <f aca="false">Sens!K20494-Sens!K20488-Sens!K20489-Sens!K20490-Sens!K20491-Sens!K20493</f>
        <v>121.003589607889</v>
      </c>
    </row>
    <row r="20496" customFormat="false" ht="17.15" hidden="false" customHeight="false" outlineLevel="0" collapsed="false">
      <c r="A20496" s="0" t="s">
        <v>1244</v>
      </c>
      <c r="B20496" s="0" t="s">
        <v>98</v>
      </c>
      <c r="F20496" s="6" t="n">
        <f aca="false">PL!F73+Sens!F20487*Seg!F55+sbc_r*Seg!F55</f>
        <v>26.6336365855879</v>
      </c>
      <c r="G20496" s="6" t="n">
        <f aca="false">PL!G73+Sens!G20487*Seg!G55+sbc_r*Seg!G55</f>
        <v>26.4720859498625</v>
      </c>
      <c r="H20496" s="6" t="n">
        <f aca="false">PL!H73+Sens!H20487*Seg!H55+sbc_r*Seg!H55</f>
        <v>27.346793021284</v>
      </c>
      <c r="I20496" s="6" t="n">
        <f aca="false">PL!I73+Sens!I20487*Seg!I55+sbc_r*Seg!I55</f>
        <v>28.4574657863154</v>
      </c>
      <c r="J20496" s="6" t="n">
        <f aca="false">PL!J73+Sens!J20487*Seg!J55+sbc_r*Seg!J55</f>
        <v>29.7689890546037</v>
      </c>
      <c r="K20496" s="6" t="n">
        <f aca="false">PL!K73+Sens!K20487*Seg!K55+sbc_r*Seg!K55</f>
        <v>31.2443947307494</v>
      </c>
    </row>
    <row r="20497" customFormat="false" ht="17.15" hidden="false" customHeight="false" outlineLevel="0" collapsed="false">
      <c r="A20497" s="0" t="s">
        <v>1245</v>
      </c>
      <c r="B20497" s="0" t="s">
        <v>98</v>
      </c>
      <c r="F20497" s="6" t="n">
        <f aca="false">(Sens!F20496-Sens!F20492)*Seg!F51/(Seg!F51+Seg!F53)</f>
        <v>8.72285608232241</v>
      </c>
      <c r="G20497" s="6" t="n">
        <f aca="false">(Sens!G20496-Sens!G20492)*Seg!G51/(Seg!G51+Seg!G53)</f>
        <v>7.88786455444355</v>
      </c>
      <c r="H20497" s="6" t="n">
        <f aca="false">(Sens!H20496-Sens!H20492)*Seg!H51/(Seg!H51+Seg!H53)</f>
        <v>7.65195986819674</v>
      </c>
      <c r="I20497" s="6" t="n">
        <f aca="false">(Sens!I20496-Sens!I20492)*Seg!I51/(Seg!I51+Seg!I53)</f>
        <v>7.56260440676676</v>
      </c>
      <c r="J20497" s="6" t="n">
        <f aca="false">(Sens!J20496-Sens!J20492)*Seg!J51/(Seg!J51+Seg!J53)</f>
        <v>7.60790100885945</v>
      </c>
      <c r="K20497" s="6" t="n">
        <f aca="false">(Sens!K20496-Sens!K20492)*Seg!K51/(Seg!K51+Seg!K53)</f>
        <v>7.78186910160995</v>
      </c>
    </row>
    <row r="20498" customFormat="false" ht="17.15" hidden="false" customHeight="false" outlineLevel="0" collapsed="false">
      <c r="A20498" s="0" t="s">
        <v>1246</v>
      </c>
      <c r="B20498" s="0" t="s">
        <v>98</v>
      </c>
      <c r="F20498" s="6" t="n">
        <f aca="false">Sens!F20496-Sens!F20492-Sens!F20497</f>
        <v>6.72169020385088</v>
      </c>
      <c r="G20498" s="6" t="n">
        <f aca="false">Sens!G20496-Sens!G20492-Sens!G20497</f>
        <v>6.322482503616</v>
      </c>
      <c r="H20498" s="6" t="n">
        <f aca="false">Sens!H20496-Sens!H20492-Sens!H20497</f>
        <v>6.315346810168</v>
      </c>
      <c r="I20498" s="6" t="n">
        <f aca="false">Sens!I20496-Sens!I20492-Sens!I20497</f>
        <v>6.36314990077033</v>
      </c>
      <c r="J20498" s="6" t="n">
        <f aca="false">Sens!J20496-Sens!J20492-Sens!J20497</f>
        <v>6.46265146397189</v>
      </c>
      <c r="K20498" s="6" t="n">
        <f aca="false">Sens!K20496-Sens!K20492-Sens!K20497</f>
        <v>6.61043140327304</v>
      </c>
    </row>
    <row r="20499" customFormat="false" ht="17.15" hidden="false" customHeight="false" outlineLevel="0" collapsed="false">
      <c r="A20499" s="0" t="s">
        <v>1247</v>
      </c>
      <c r="B20499" s="0" t="s">
        <v>98</v>
      </c>
      <c r="F20499" s="6" t="n">
        <f aca="false">Sens!F20493-tax_f*(Sens!F20493-Thesis!F95)-Thesis!F92</f>
        <v>-127.503553927218</v>
      </c>
      <c r="G20499" s="6" t="n">
        <f aca="false">Sens!G20493-tax_f*(Sens!G20493-Thesis!G95)-Thesis!G92</f>
        <v>-114.603772628121</v>
      </c>
      <c r="H20499" s="6" t="n">
        <f aca="false">Sens!H20493-tax_f*(Sens!H20493-Thesis!H95)-Thesis!H92</f>
        <v>-80.3633729631438</v>
      </c>
      <c r="I20499" s="6" t="n">
        <f aca="false">Sens!I20493-tax_f*(Sens!I20493-Thesis!I95)-Thesis!I92</f>
        <v>-17.2838782011649</v>
      </c>
      <c r="J20499" s="6" t="n">
        <f aca="false">Sens!J20493-tax_f*(Sens!J20493-Thesis!J95)-Thesis!J92</f>
        <v>46.9281968800854</v>
      </c>
      <c r="K20499" s="6" t="n">
        <f aca="false">Sens!K20493-tax_f*(Sens!K20493-Thesis!K95)-Thesis!K92</f>
        <v>71.8608185731755</v>
      </c>
    </row>
    <row r="20500" customFormat="false" ht="17.15" hidden="false" customHeight="false" outlineLevel="0" collapsed="false">
      <c r="A20500" s="0" t="s">
        <v>1248</v>
      </c>
      <c r="B20500" s="0" t="s">
        <v>98</v>
      </c>
      <c r="G20500" s="6" t="n">
        <f aca="false">Sens!G20499/(1+wacc)^(Sens!G20470-Sens!F20471)</f>
        <v>-109.124845494465</v>
      </c>
      <c r="H20500" s="6" t="n">
        <f aca="false">Sens!H20499/(1+wacc)^(Sens!H20470-Sens!F20471)</f>
        <v>-69.3796874071025</v>
      </c>
      <c r="I20500" s="6" t="n">
        <f aca="false">Sens!I20499/(1+wacc)^(Sens!I20470-Sens!F20471)</f>
        <v>-13.5289731380471</v>
      </c>
      <c r="J20500" s="6" t="n">
        <f aca="false">Sens!J20499/(1+wacc)^(Sens!J20470-Sens!F20471)</f>
        <v>33.3048099587126</v>
      </c>
      <c r="K20500" s="6" t="n">
        <f aca="false">Sens!K20499/(1+wacc)^(Sens!K20470-Sens!F20471)</f>
        <v>46.2396679904913</v>
      </c>
      <c r="L20500" s="1" t="s">
        <v>1249</v>
      </c>
    </row>
    <row r="20501" customFormat="false" ht="17.15" hidden="false" customHeight="false" outlineLevel="0" collapsed="false">
      <c r="A20501" s="0" t="s">
        <v>1250</v>
      </c>
      <c r="B20501" s="0" t="s">
        <v>98</v>
      </c>
      <c r="C20501" s="6" t="n">
        <f aca="false">(Sens!K20493-Thesis!K95)*(1-tax_f)*(1+g_tv)*(1-g_tv/(wacc+ronic_prem))/(wacc-g_tv)/(1+wacc)^(Sens!K20471-Sens!F20471)</f>
        <v>293.118051086843</v>
      </c>
    </row>
    <row r="20502" customFormat="false" ht="17.15" hidden="false" customHeight="false" outlineLevel="0" collapsed="false">
      <c r="A20502" s="1" t="s">
        <v>1251</v>
      </c>
      <c r="B20502" s="0" t="s">
        <v>98</v>
      </c>
      <c r="C20502" s="6" t="n">
        <f aca="false">(SUM(Sens!G20500:K20500)+Sens!$C$20501)*(1+wacc)^(t_roll-Sens!F20471)</f>
        <v>186.592133308255</v>
      </c>
      <c r="L20502" s="12" t="s">
        <v>1252</v>
      </c>
    </row>
    <row r="20503" customFormat="false" ht="17.15" hidden="false" customHeight="false" outlineLevel="0" collapsed="false">
      <c r="A20503" s="1" t="s">
        <v>1253</v>
      </c>
      <c r="B20503" s="0" t="s">
        <v>98</v>
      </c>
      <c r="C20503" s="6" t="n">
        <f aca="false">(w_ntm28*Thesis!G83+(1-w_ntm28)*Thesis!H83)*m_ai</f>
        <v>463.789109510335</v>
      </c>
    </row>
    <row r="20504" customFormat="false" ht="17.15" hidden="false" customHeight="false" outlineLevel="0" collapsed="false">
      <c r="A20504" s="1" t="s">
        <v>1254</v>
      </c>
      <c r="B20504" s="0" t="s">
        <v>98</v>
      </c>
      <c r="C20504" s="6" t="n">
        <f aca="false">(w_ntm28*Sens!G20495+(1-w_ntm28)*Sens!H20495)*m_cloud</f>
        <v>1089.03436702245</v>
      </c>
    </row>
    <row r="20505" customFormat="false" ht="17.15" hidden="false" customHeight="false" outlineLevel="0" collapsed="false">
      <c r="A20505" s="1" t="s">
        <v>1255</v>
      </c>
      <c r="B20505" s="0" t="s">
        <v>98</v>
      </c>
      <c r="C20505" s="6" t="n">
        <f aca="false">(w_ntm28*Sens!G20488+(1-w_ntm28)*Sens!H20488)*m_sw</f>
        <v>1082.84962646159</v>
      </c>
    </row>
    <row r="20506" customFormat="false" ht="17.15" hidden="false" customHeight="false" outlineLevel="0" collapsed="false">
      <c r="A20506" s="1" t="s">
        <v>1256</v>
      </c>
      <c r="B20506" s="0" t="s">
        <v>98</v>
      </c>
      <c r="C20506" s="6" t="n">
        <f aca="false">(w_ntm28*Sens!G20489+(1-w_ntm28)*Sens!H20489)*m_sw</f>
        <v>372.929250898731</v>
      </c>
    </row>
    <row r="20507" customFormat="false" ht="17.15" hidden="false" customHeight="false" outlineLevel="0" collapsed="false">
      <c r="A20507" s="1" t="s">
        <v>1257</v>
      </c>
      <c r="B20507" s="0" t="s">
        <v>98</v>
      </c>
      <c r="C20507" s="6" t="n">
        <f aca="false">(w_ntm28*Sens!G20490+(1-w_ntm28)*Sens!H20490)*m_sw</f>
        <v>109.1453525431</v>
      </c>
    </row>
    <row r="20508" customFormat="false" ht="17.15" hidden="false" customHeight="false" outlineLevel="0" collapsed="false">
      <c r="A20508" s="1" t="s">
        <v>1258</v>
      </c>
      <c r="B20508" s="0" t="s">
        <v>98</v>
      </c>
      <c r="C20508" s="6" t="n">
        <f aca="false">(w_ntm28*Sens!G20491+(1-w_ntm28)*Sens!H20491)*m_sw</f>
        <v>41.4942157634893</v>
      </c>
    </row>
    <row r="20509" customFormat="false" ht="17.15" hidden="false" customHeight="false" outlineLevel="0" collapsed="false">
      <c r="A20509" s="1" t="s">
        <v>1259</v>
      </c>
      <c r="B20509" s="0" t="s">
        <v>98</v>
      </c>
      <c r="C20509" s="6" t="n">
        <f aca="false">(w_ntm28*Sens!G20492+(1-w_ntm28)*Sens!H20492)*m_ads</f>
        <v>115.052171478463</v>
      </c>
    </row>
    <row r="20510" customFormat="false" ht="17.15" hidden="false" customHeight="false" outlineLevel="0" collapsed="false">
      <c r="A20510" s="1" t="s">
        <v>1260</v>
      </c>
      <c r="B20510" s="0" t="s">
        <v>98</v>
      </c>
      <c r="C20510" s="6" t="n">
        <f aca="false">(w_ntm28*Sens!G20497+(1-w_ntm28)*Sens!H20497)*m_game</f>
        <v>98.6441755076202</v>
      </c>
    </row>
    <row r="20511" customFormat="false" ht="17.15" hidden="false" customHeight="false" outlineLevel="0" collapsed="false">
      <c r="A20511" s="1" t="s">
        <v>1261</v>
      </c>
      <c r="B20511" s="0" t="s">
        <v>98</v>
      </c>
      <c r="C20511" s="6" t="n">
        <f aca="false">(w_ntm28*Sens!G20498+(1-w_ntm28)*Sens!H20498)*m_pc</f>
        <v>91.4523754763561</v>
      </c>
    </row>
    <row r="20512" customFormat="false" ht="17.15" hidden="false" customHeight="false" outlineLevel="0" collapsed="false">
      <c r="A20512" s="1" t="s">
        <v>1262</v>
      </c>
      <c r="B20512" s="0" t="s">
        <v>98</v>
      </c>
      <c r="C20512" s="6" t="n">
        <f aca="false">Sens!$C$20502+Sens!$C$20504+Sens!$C$20505+Sens!$C$20506+Sens!$C$20507+Sens!$C$20508+Sens!$C$20509+Sens!$C$20510+Sens!$C$20511</f>
        <v>3187.19366846006</v>
      </c>
    </row>
    <row r="20513" customFormat="false" ht="17.15" hidden="false" customHeight="false" outlineLevel="0" collapsed="false">
      <c r="A20513" s="1" t="s">
        <v>1263</v>
      </c>
      <c r="B20513" s="0" t="s">
        <v>98</v>
      </c>
      <c r="C20513" s="6" t="n">
        <f aca="false">(Sens!G20474-Sens!G20499)*t_stub</f>
        <v>47.8736427515113</v>
      </c>
      <c r="L20513" s="1" t="s">
        <v>1264</v>
      </c>
    </row>
    <row r="20514" customFormat="false" ht="17.15" hidden="false" customHeight="false" outlineLevel="0" collapsed="false">
      <c r="A20514" s="1" t="s">
        <v>1173</v>
      </c>
      <c r="B20514" s="0" t="s">
        <v>98</v>
      </c>
      <c r="C20514" s="6" t="n">
        <f aca="false">CF!F71+(oai_stake_hi*oai_val*(1-liq_disc))-CF!F60+Sens!$C$20513</f>
        <v>182.549912751511</v>
      </c>
      <c r="L20514" s="1" t="s">
        <v>1265</v>
      </c>
    </row>
    <row r="20515" customFormat="false" ht="17.15" hidden="false" customHeight="false" outlineLevel="0" collapsed="false">
      <c r="A20515" s="1" t="s">
        <v>1266</v>
      </c>
      <c r="B20515" s="0" t="s">
        <v>75</v>
      </c>
      <c r="C20515" s="5" t="n">
        <f aca="false">(Sens!$C$20512+Sens!$C$20514)/(CF!F73+dil_gap)-CF!G63*roll_div_q/q_per_yr</f>
        <v>448.528832990676</v>
      </c>
      <c r="L20515" s="1" t="s">
        <v>1267</v>
      </c>
    </row>
    <row r="20516" customFormat="false" ht="17.15" hidden="false" customHeight="false" outlineLevel="0" collapsed="false">
      <c r="A20516" s="1" t="s">
        <v>1268</v>
      </c>
      <c r="B20516" s="0" t="s">
        <v>75</v>
      </c>
      <c r="C20516" s="5" t="n">
        <f aca="false">w_dcf*Sens!$C$20486+(1-w_dcf)*Sens!$C$20515</f>
        <v>388.942449075575</v>
      </c>
    </row>
    <row r="20517" customFormat="false" ht="17.15" hidden="false" customHeight="false" outlineLevel="0" collapsed="false">
      <c r="A20517" s="3" t="s">
        <v>2117</v>
      </c>
    </row>
    <row r="20518" customFormat="false" ht="15" hidden="false" customHeight="false" outlineLevel="0" collapsed="false">
      <c r="A20518" s="4" t="s">
        <v>43</v>
      </c>
      <c r="B20518" s="4" t="s">
        <v>65</v>
      </c>
      <c r="C20518" s="23" t="s">
        <v>942</v>
      </c>
      <c r="D20518" s="23" t="s">
        <v>943</v>
      </c>
      <c r="E20518" s="23" t="s">
        <v>944</v>
      </c>
      <c r="F20518" s="23" t="s">
        <v>945</v>
      </c>
      <c r="G20518" s="23" t="s">
        <v>946</v>
      </c>
      <c r="H20518" s="23" t="s">
        <v>947</v>
      </c>
      <c r="I20518" s="23" t="s">
        <v>948</v>
      </c>
      <c r="J20518" s="23" t="s">
        <v>949</v>
      </c>
      <c r="K20518" s="23" t="s">
        <v>950</v>
      </c>
      <c r="L20518" s="4" t="s">
        <v>47</v>
      </c>
    </row>
    <row r="20519" customFormat="false" ht="17.15" hidden="false" customHeight="false" outlineLevel="0" collapsed="false">
      <c r="A20519" s="1" t="s">
        <v>1216</v>
      </c>
      <c r="B20519" s="1" t="s">
        <v>279</v>
      </c>
      <c r="F20519" s="8" t="n">
        <f aca="false">(1-v_off)*mid_yr</f>
        <v>0.373972602739726</v>
      </c>
      <c r="G20519" s="8" t="n">
        <f aca="false">Thesis!G110-base_fy-mid_yr-v_off</f>
        <v>1.24794520547945</v>
      </c>
      <c r="H20519" s="8" t="n">
        <f aca="false">Thesis!H110-base_fy-mid_yr-v_off</f>
        <v>2.24794520547945</v>
      </c>
      <c r="I20519" s="8" t="n">
        <f aca="false">Thesis!I110-base_fy-mid_yr-v_off</f>
        <v>3.24794520547945</v>
      </c>
      <c r="J20519" s="8" t="n">
        <f aca="false">Thesis!J110-base_fy-mid_yr-v_off</f>
        <v>4.24794520547945</v>
      </c>
      <c r="K20519" s="8" t="n">
        <f aca="false">Thesis!K110-base_fy-mid_yr-v_off</f>
        <v>5.24794520547945</v>
      </c>
      <c r="L20519" s="12" t="s">
        <v>1217</v>
      </c>
    </row>
    <row r="20520" customFormat="false" ht="15" hidden="false" customHeight="false" outlineLevel="0" collapsed="false">
      <c r="A20520" s="1" t="s">
        <v>1218</v>
      </c>
      <c r="B20520" s="1" t="s">
        <v>279</v>
      </c>
      <c r="F20520" s="8" t="n">
        <f aca="false">Thesis!F110-base_fy-v_off</f>
        <v>0.747945205479452</v>
      </c>
      <c r="G20520" s="8" t="n">
        <f aca="false">Thesis!G110-base_fy-v_off</f>
        <v>1.74794520547945</v>
      </c>
      <c r="H20520" s="8" t="n">
        <f aca="false">Thesis!H110-base_fy-v_off</f>
        <v>2.74794520547945</v>
      </c>
      <c r="I20520" s="8" t="n">
        <f aca="false">Thesis!I110-base_fy-v_off</f>
        <v>3.74794520547945</v>
      </c>
      <c r="J20520" s="8" t="n">
        <f aca="false">Thesis!J110-base_fy-v_off</f>
        <v>4.74794520547945</v>
      </c>
      <c r="K20520" s="8" t="n">
        <f aca="false">Thesis!K110-base_fy-v_off</f>
        <v>5.74794520547945</v>
      </c>
    </row>
    <row r="20521" customFormat="false" ht="15" hidden="false" customHeight="false" outlineLevel="0" collapsed="false">
      <c r="A20521" s="1" t="s">
        <v>1219</v>
      </c>
      <c r="B20521" s="0" t="s">
        <v>229</v>
      </c>
      <c r="F20521" s="15" t="n">
        <f aca="false">1/(1+wacc)^Sens!F20519</f>
        <v>0.964022703286649</v>
      </c>
      <c r="G20521" s="15" t="n">
        <f aca="false">1/(1+wacc)^Sens!G20519</f>
        <v>0.884910302296739</v>
      </c>
      <c r="H20521" s="15" t="n">
        <f aca="false">1/(1+wacc)^Sens!H20519</f>
        <v>0.802322009770358</v>
      </c>
      <c r="I20521" s="15" t="n">
        <f aca="false">1/(1+wacc)^Sens!I20519</f>
        <v>0.727441646561469</v>
      </c>
      <c r="J20521" s="15" t="n">
        <f aca="false">1/(1+wacc)^Sens!J20519</f>
        <v>0.659549834988973</v>
      </c>
      <c r="K20521" s="15" t="n">
        <f aca="false">1/(1+wacc)^Sens!K20519</f>
        <v>0.597994336576966</v>
      </c>
    </row>
    <row r="20522" customFormat="false" ht="17.15" hidden="false" customHeight="false" outlineLevel="0" collapsed="false">
      <c r="A20522" s="1" t="s">
        <v>1220</v>
      </c>
      <c r="B20522" s="0" t="s">
        <v>98</v>
      </c>
      <c r="F20522" s="6" t="n">
        <f aca="false">Q!$I$35-Q!$I$39-Q!$I$43</f>
        <v>9.666</v>
      </c>
      <c r="L20522" s="12" t="s">
        <v>1221</v>
      </c>
    </row>
    <row r="20523" customFormat="false" ht="17.15" hidden="false" customHeight="false" outlineLevel="0" collapsed="false">
      <c r="A20523" s="1" t="s">
        <v>1222</v>
      </c>
      <c r="B20523" s="0" t="s">
        <v>98</v>
      </c>
      <c r="F20523" s="6" t="n">
        <f aca="false">CF!F87-CF!F84-CF!F91+Thesis!F151*(1-tax_f)*(1-v_off)-Sens!F20522</f>
        <v>-6.10282680452259</v>
      </c>
      <c r="G20523" s="6" t="n">
        <f aca="false">CF!G87-CF!G84-CF!G91+Thesis!G151*(1-tax_f)</f>
        <v>19.0084129023516</v>
      </c>
      <c r="H20523" s="6" t="n">
        <f aca="false">CF!H87-CF!H84-CF!H91+Thesis!H151*(1-tax_f)</f>
        <v>55.9229468383331</v>
      </c>
      <c r="I20523" s="6" t="n">
        <f aca="false">CF!I87-CF!I84-CF!I91+Thesis!I151*(1-tax_f)</f>
        <v>127.901908576191</v>
      </c>
      <c r="J20523" s="6" t="n">
        <f aca="false">CF!J87-CF!J84-CF!J91+Thesis!J151*(1-tax_f)</f>
        <v>201.958443859638</v>
      </c>
      <c r="K20523" s="6" t="n">
        <f aca="false">CF!K87-CF!K84-CF!K91+Thesis!K151*(1-tax_f)</f>
        <v>237.542519059905</v>
      </c>
      <c r="L20523" s="1" t="s">
        <v>1223</v>
      </c>
    </row>
    <row r="20524" customFormat="false" ht="15" hidden="false" customHeight="false" outlineLevel="0" collapsed="false">
      <c r="A20524" s="1" t="s">
        <v>1224</v>
      </c>
      <c r="B20524" s="0" t="s">
        <v>98</v>
      </c>
      <c r="F20524" s="6" t="n">
        <f aca="false">Sens!F20523*Sens!F20521</f>
        <v>-5.88326359378609</v>
      </c>
      <c r="G20524" s="6" t="n">
        <f aca="false">Sens!G20523*Sens!G20521</f>
        <v>16.8207404076012</v>
      </c>
      <c r="H20524" s="6" t="n">
        <f aca="false">Sens!H20523*Sens!H20521</f>
        <v>44.8682110996123</v>
      </c>
      <c r="I20524" s="6" t="n">
        <f aca="false">Sens!I20523*Sens!I20521</f>
        <v>93.0411749730187</v>
      </c>
      <c r="J20524" s="6" t="n">
        <f aca="false">Sens!J20523*Sens!J20521</f>
        <v>133.201658322254</v>
      </c>
      <c r="K20524" s="6" t="n">
        <f aca="false">Sens!K20523*Sens!K20521</f>
        <v>142.049081094049</v>
      </c>
    </row>
    <row r="20525" customFormat="false" ht="17.15" hidden="false" customHeight="false" outlineLevel="0" collapsed="false">
      <c r="A20525" s="1" t="s">
        <v>1225</v>
      </c>
      <c r="B20525" s="0" t="s">
        <v>98</v>
      </c>
      <c r="C20525" s="6" t="n">
        <f aca="false">SUM(Sens!F20524:K20524)</f>
        <v>424.097602302749</v>
      </c>
    </row>
    <row r="20526" customFormat="false" ht="17.15" hidden="false" customHeight="false" outlineLevel="0" collapsed="false">
      <c r="A20526" s="1" t="s">
        <v>1226</v>
      </c>
      <c r="B20526" s="0" t="s">
        <v>98</v>
      </c>
      <c r="C20526" s="6" t="n">
        <f aca="false">PL!K117*(1+g_tv)*(1-tax_f)</f>
        <v>247.098906713682</v>
      </c>
    </row>
    <row r="20527" customFormat="false" ht="17.15" hidden="false" customHeight="false" outlineLevel="0" collapsed="false">
      <c r="A20527" s="1" t="s">
        <v>1227</v>
      </c>
      <c r="B20527" s="0" t="s">
        <v>98</v>
      </c>
      <c r="C20527" s="6" t="n">
        <f aca="false">Sens!$C$20526*(1-g_tv/(wacc+ronic_prem))</f>
        <v>175.084017418113</v>
      </c>
    </row>
    <row r="20528" customFormat="false" ht="17.15" hidden="false" customHeight="false" outlineLevel="0" collapsed="false">
      <c r="A20528" s="1" t="s">
        <v>1228</v>
      </c>
      <c r="B20528" s="0" t="s">
        <v>98</v>
      </c>
      <c r="C20528" s="6" t="n">
        <f aca="false">Sens!$C$20527/(wacc-g_tv)</f>
        <v>2400.4963098523</v>
      </c>
    </row>
    <row r="20529" customFormat="false" ht="15" hidden="false" customHeight="false" outlineLevel="0" collapsed="false">
      <c r="A20529" s="1" t="s">
        <v>1229</v>
      </c>
      <c r="B20529" s="0" t="s">
        <v>98</v>
      </c>
      <c r="C20529" s="6" t="n">
        <f aca="false">Sens!$C$20528/(1+wacc)^Sens!K20520</f>
        <v>1366.85624415645</v>
      </c>
    </row>
    <row r="20530" customFormat="false" ht="17.15" hidden="false" customHeight="false" outlineLevel="0" collapsed="false">
      <c r="A20530" s="0" t="s">
        <v>1230</v>
      </c>
      <c r="B20530" s="0" t="s">
        <v>98</v>
      </c>
      <c r="C20530" s="6" t="n">
        <f aca="false">Sens!$C$20525+Sens!$C$20529</f>
        <v>1790.9538464592</v>
      </c>
    </row>
    <row r="20531" customFormat="false" ht="15" hidden="false" customHeight="false" outlineLevel="0" collapsed="false">
      <c r="A20531" s="1" t="s">
        <v>1145</v>
      </c>
      <c r="B20531" s="0" t="s">
        <v>168</v>
      </c>
      <c r="C20531" s="7" t="n">
        <f aca="false">Sens!$C$20529/Sens!$C$20530</f>
        <v>0.763200149941769</v>
      </c>
    </row>
    <row r="20532" customFormat="false" ht="17.15" hidden="false" customHeight="false" outlineLevel="0" collapsed="false">
      <c r="A20532" s="1" t="s">
        <v>1231</v>
      </c>
      <c r="B20532" s="0" t="s">
        <v>98</v>
      </c>
      <c r="C20532" s="6" t="n">
        <f aca="false">Sens!$C$20530+cash_val-debt_val-fl_val+(oai_stake_hi*oai_val*(1-liq_disc))</f>
        <v>1927.2528464592</v>
      </c>
    </row>
    <row r="20533" customFormat="false" ht="17.15" hidden="false" customHeight="false" outlineLevel="0" collapsed="false">
      <c r="A20533" s="0" t="s">
        <v>1153</v>
      </c>
      <c r="B20533" s="0" t="s">
        <v>75</v>
      </c>
      <c r="C20533" s="5" t="n">
        <f aca="false">Sens!$C$20532/shd_val</f>
        <v>258.830626706849</v>
      </c>
    </row>
    <row r="20534" customFormat="false" ht="15" hidden="false" customHeight="false" outlineLevel="0" collapsed="false">
      <c r="A20534" s="1" t="s">
        <v>1232</v>
      </c>
      <c r="B20534" s="0" t="s">
        <v>75</v>
      </c>
      <c r="C20534" s="8" t="n">
        <f aca="false">div_rem27+CF!G95*roll_div_q/q_per_yr</f>
        <v>3.9795</v>
      </c>
    </row>
    <row r="20535" customFormat="false" ht="17.15" hidden="false" customHeight="false" outlineLevel="0" collapsed="false">
      <c r="A20535" s="0" t="s">
        <v>1233</v>
      </c>
      <c r="B20535" s="0" t="s">
        <v>75</v>
      </c>
      <c r="C20535" s="5" t="n">
        <f aca="false">Sens!$C$20533*(1+wacc)^t_roll-Sens!$C$20534</f>
        <v>283.725187114462</v>
      </c>
    </row>
    <row r="20536" customFormat="false" ht="17.15" hidden="false" customHeight="false" outlineLevel="0" collapsed="false">
      <c r="A20536" s="1" t="s">
        <v>1234</v>
      </c>
      <c r="B20536" s="0" t="s">
        <v>168</v>
      </c>
      <c r="F20536" s="7" t="n">
        <f aca="false">CF!F81/(Seg!F83-Thesis!F129)</f>
        <v>0.068677393452264</v>
      </c>
      <c r="G20536" s="7" t="n">
        <f aca="false">CF!G81/(Seg!G83-Thesis!G129)</f>
        <v>0.0663132664471956</v>
      </c>
      <c r="H20536" s="7" t="n">
        <f aca="false">CF!H81/(Seg!H83-Thesis!H129)</f>
        <v>0.0651363826734039</v>
      </c>
      <c r="I20536" s="7" t="n">
        <f aca="false">CF!I81/(Seg!I83-Thesis!I129)</f>
        <v>0.0650087936347709</v>
      </c>
      <c r="J20536" s="7" t="n">
        <f aca="false">CF!J81/(Seg!J83-Thesis!J129)</f>
        <v>0.0657212684841778</v>
      </c>
      <c r="K20536" s="7" t="n">
        <f aca="false">CF!K81/(Seg!K83-Thesis!K129)</f>
        <v>0.0670413306015285</v>
      </c>
    </row>
    <row r="20537" customFormat="false" ht="17.15" hidden="false" customHeight="false" outlineLevel="0" collapsed="false">
      <c r="A20537" s="0" t="s">
        <v>1235</v>
      </c>
      <c r="B20537" s="0" t="s">
        <v>98</v>
      </c>
      <c r="F20537" s="6" t="n">
        <f aca="false">Seg!F68*(al_m365+Sens!F20536+sbc_r)</f>
        <v>82.9185219618347</v>
      </c>
      <c r="G20537" s="6" t="n">
        <f aca="false">Seg!G68*(al_m365+Sens!G20536+sbc_r)</f>
        <v>93.3068052157631</v>
      </c>
      <c r="H20537" s="6" t="n">
        <f aca="false">Seg!H68*(al_m365+Sens!H20536+sbc_r)</f>
        <v>103.856057136159</v>
      </c>
      <c r="I20537" s="6" t="n">
        <f aca="false">Seg!I68*(al_m365+Sens!I20536+sbc_r)</f>
        <v>113.889717587147</v>
      </c>
      <c r="J20537" s="6" t="n">
        <f aca="false">Seg!J68*(al_m365+Sens!J20536+sbc_r)</f>
        <v>123.218477864124</v>
      </c>
      <c r="K20537" s="6" t="n">
        <f aca="false">Seg!K68*(al_m365+Sens!K20536+sbc_r)</f>
        <v>132.149420086311</v>
      </c>
      <c r="L20537" s="12" t="s">
        <v>1236</v>
      </c>
    </row>
    <row r="20538" customFormat="false" ht="17.15" hidden="false" customHeight="false" outlineLevel="0" collapsed="false">
      <c r="A20538" s="0" t="s">
        <v>1237</v>
      </c>
      <c r="B20538" s="0" t="s">
        <v>98</v>
      </c>
      <c r="F20538" s="6" t="n">
        <f aca="false">Seg!F69*(al_lic+Sens!F20536+sbc_r)</f>
        <v>32.8599853992256</v>
      </c>
      <c r="G20538" s="6" t="n">
        <f aca="false">Seg!G69*(al_lic+Sens!G20536+sbc_r)</f>
        <v>34.1568280697879</v>
      </c>
      <c r="H20538" s="6" t="n">
        <f aca="false">Seg!H69*(al_lic+Sens!H20536+sbc_r)</f>
        <v>35.3635535007213</v>
      </c>
      <c r="I20538" s="6" t="n">
        <f aca="false">Seg!I69*(al_lic+Sens!I20536+sbc_r)</f>
        <v>36.4604537346553</v>
      </c>
      <c r="J20538" s="6" t="n">
        <f aca="false">Seg!J69*(al_lic+Sens!J20536+sbc_r)</f>
        <v>37.4245888933574</v>
      </c>
      <c r="K20538" s="6" t="n">
        <f aca="false">Seg!K69*(al_lic+Sens!K20536+sbc_r)</f>
        <v>38.2321483186439</v>
      </c>
    </row>
    <row r="20539" customFormat="false" ht="17.15" hidden="false" customHeight="false" outlineLevel="0" collapsed="false">
      <c r="A20539" s="0" t="s">
        <v>1238</v>
      </c>
      <c r="B20539" s="0" t="s">
        <v>98</v>
      </c>
      <c r="F20539" s="6" t="n">
        <f aca="false">Seg!F71*(al_ind+Sens!F20536+sbc_r)</f>
        <v>9.06170747885803</v>
      </c>
      <c r="G20539" s="6" t="n">
        <f aca="false">Seg!G71*(al_ind+Sens!G20536+sbc_r)</f>
        <v>9.8478979082138</v>
      </c>
      <c r="H20539" s="6" t="n">
        <f aca="false">Seg!H71*(al_ind+Sens!H20536+sbc_r)</f>
        <v>10.6768254332059</v>
      </c>
      <c r="I20539" s="6" t="n">
        <f aca="false">Seg!I71*(al_ind+Sens!I20536+sbc_r)</f>
        <v>11.54398793803</v>
      </c>
      <c r="J20539" s="6" t="n">
        <f aca="false">Seg!J71*(al_ind+Sens!J20536+sbc_r)</f>
        <v>12.4407914253112</v>
      </c>
      <c r="K20539" s="6" t="n">
        <f aca="false">Seg!K71*(al_ind+Sens!K20536+sbc_r)</f>
        <v>13.355239066864</v>
      </c>
    </row>
    <row r="20540" customFormat="false" ht="17.15" hidden="false" customHeight="false" outlineLevel="0" collapsed="false">
      <c r="A20540" s="0" t="s">
        <v>1239</v>
      </c>
      <c r="B20540" s="0" t="s">
        <v>98</v>
      </c>
      <c r="F20540" s="6" t="n">
        <f aca="false">Seg!F73*(al_fro+Sens!F20536+sbc_r)</f>
        <v>3.55453569939552</v>
      </c>
      <c r="G20540" s="6" t="n">
        <f aca="false">Seg!G73*(al_fro+Sens!G20536+sbc_r)</f>
        <v>3.76809436159872</v>
      </c>
      <c r="H20540" s="6" t="n">
        <f aca="false">Seg!H73*(al_fro+Sens!H20536+sbc_r)</f>
        <v>4.00964905674607</v>
      </c>
      <c r="I20540" s="6" t="n">
        <f aca="false">Seg!I73*(al_fro+Sens!I20536+sbc_r)</f>
        <v>4.28152633145235</v>
      </c>
      <c r="J20540" s="6" t="n">
        <f aca="false">Seg!J73*(al_fro+Sens!J20536+sbc_r)</f>
        <v>4.58536512975975</v>
      </c>
      <c r="K20540" s="6" t="n">
        <f aca="false">Seg!K73*(al_fro+Sens!K20536+sbc_r)</f>
        <v>4.92240770086468</v>
      </c>
    </row>
    <row r="20541" customFormat="false" ht="17.15" hidden="false" customHeight="false" outlineLevel="0" collapsed="false">
      <c r="A20541" s="0" t="s">
        <v>1240</v>
      </c>
      <c r="B20541" s="0" t="s">
        <v>98</v>
      </c>
      <c r="F20541" s="6" t="n">
        <f aca="false">Seg!F76*(al_srch+Sens!F20536+sbc_r)</f>
        <v>11.190683952584</v>
      </c>
      <c r="G20541" s="6" t="n">
        <f aca="false">Seg!G76*(al_srch+Sens!G20536+sbc_r)</f>
        <v>12.2763328717258</v>
      </c>
      <c r="H20541" s="6" t="n">
        <f aca="false">Seg!H76*(al_srch+Sens!H20536+sbc_r)</f>
        <v>13.4043563346576</v>
      </c>
      <c r="I20541" s="6" t="n">
        <f aca="false">Seg!I76*(al_srch+Sens!I20536+sbc_r)</f>
        <v>14.5621512181916</v>
      </c>
      <c r="J20541" s="6" t="n">
        <f aca="false">Seg!J76*(al_srch+Sens!J20536+sbc_r)</f>
        <v>15.7310381862385</v>
      </c>
      <c r="K20541" s="6" t="n">
        <f aca="false">Seg!K76*(al_srch+Sens!K20536+sbc_r)</f>
        <v>16.8873320486462</v>
      </c>
    </row>
    <row r="20542" customFormat="false" ht="17.15" hidden="false" customHeight="false" outlineLevel="0" collapsed="false">
      <c r="A20542" s="0" t="s">
        <v>1241</v>
      </c>
      <c r="B20542" s="0" t="s">
        <v>98</v>
      </c>
      <c r="F20542" s="6" t="n">
        <f aca="false">Thesis!F135-Thesis!F136+Thesis!F151</f>
        <v>38.9696429794913</v>
      </c>
      <c r="G20542" s="6" t="n">
        <f aca="false">Thesis!G135-Thesis!G136+Thesis!G151</f>
        <v>69.465497726016</v>
      </c>
      <c r="H20542" s="6" t="n">
        <f aca="false">Thesis!H135-Thesis!H136+Thesis!H151</f>
        <v>96.8147106808268</v>
      </c>
      <c r="I20542" s="6" t="n">
        <f aca="false">Thesis!I135-Thesis!I136+Thesis!I151</f>
        <v>127.654939766446</v>
      </c>
      <c r="J20542" s="6" t="n">
        <f aca="false">Thesis!J135-Thesis!J136+Thesis!J151</f>
        <v>149.308352681229</v>
      </c>
      <c r="K20542" s="6" t="n">
        <f aca="false">Thesis!K135-Thesis!K136+Thesis!K151</f>
        <v>162.731822021841</v>
      </c>
    </row>
    <row r="20543" customFormat="false" ht="17.15" hidden="false" customHeight="false" outlineLevel="0" collapsed="false">
      <c r="A20543" s="0" t="s">
        <v>1242</v>
      </c>
      <c r="B20543" s="0" t="s">
        <v>98</v>
      </c>
      <c r="F20543" s="6" t="n">
        <f aca="false">PL!F110+Thesis!F151+Thesis!F147+Sens!F20536*(Seg!F75-Thesis!F129)+sbc_r*Seg!F75</f>
        <v>234.79972328186</v>
      </c>
      <c r="G20543" s="6" t="n">
        <f aca="false">PL!G110+Thesis!G151+Thesis!G147+Sens!G20536*(Seg!G75-Thesis!G129)+sbc_r*Seg!G75</f>
        <v>285.499052659517</v>
      </c>
      <c r="H20543" s="6" t="n">
        <f aca="false">PL!H110+Thesis!H151+Thesis!H147+Sens!H20536*(Seg!H75-Thesis!H129)+sbc_r*Seg!H75</f>
        <v>338.258569294547</v>
      </c>
      <c r="I20543" s="6" t="n">
        <f aca="false">PL!I110+Thesis!I151+Thesis!I147+Sens!I20536*(Seg!I75-Thesis!I129)+sbc_r*Seg!I75</f>
        <v>393.887902526982</v>
      </c>
      <c r="J20543" s="6" t="n">
        <f aca="false">PL!J110+Thesis!J151+Thesis!J147+Sens!J20536*(Seg!J75-Thesis!J129)+sbc_r*Seg!J75</f>
        <v>438.406631506078</v>
      </c>
      <c r="K20543" s="6" t="n">
        <f aca="false">PL!K110+Thesis!K151+Thesis!K147+Sens!K20536*(Seg!K75-Thesis!K129)+sbc_r*Seg!K75</f>
        <v>472.352875745143</v>
      </c>
    </row>
    <row r="20544" customFormat="false" ht="17.15" hidden="false" customHeight="false" outlineLevel="0" collapsed="false">
      <c r="A20544" s="0" t="s">
        <v>1243</v>
      </c>
      <c r="B20544" s="0" t="s">
        <v>98</v>
      </c>
      <c r="F20544" s="6" t="n">
        <f aca="false">Sens!F20543-Sens!F20537-Sens!F20538-Sens!F20539-Sens!F20540-Sens!F20542</f>
        <v>67.4353297630543</v>
      </c>
      <c r="G20544" s="6" t="n">
        <f aca="false">Sens!G20543-Sens!G20537-Sens!G20538-Sens!G20539-Sens!G20540-Sens!G20542</f>
        <v>74.9539293781376</v>
      </c>
      <c r="H20544" s="6" t="n">
        <f aca="false">Sens!H20543-Sens!H20537-Sens!H20538-Sens!H20539-Sens!H20540-Sens!H20542</f>
        <v>87.537773486888</v>
      </c>
      <c r="I20544" s="6" t="n">
        <f aca="false">Sens!I20543-Sens!I20537-Sens!I20538-Sens!I20539-Sens!I20540-Sens!I20542</f>
        <v>100.057277169252</v>
      </c>
      <c r="J20544" s="6" t="n">
        <f aca="false">Sens!J20543-Sens!J20537-Sens!J20538-Sens!J20539-Sens!J20540-Sens!J20542</f>
        <v>111.429055512297</v>
      </c>
      <c r="K20544" s="6" t="n">
        <f aca="false">Sens!K20543-Sens!K20537-Sens!K20538-Sens!K20539-Sens!K20540-Sens!K20542</f>
        <v>120.961838550618</v>
      </c>
    </row>
    <row r="20545" customFormat="false" ht="17.15" hidden="false" customHeight="false" outlineLevel="0" collapsed="false">
      <c r="A20545" s="0" t="s">
        <v>1244</v>
      </c>
      <c r="B20545" s="0" t="s">
        <v>98</v>
      </c>
      <c r="F20545" s="6" t="n">
        <f aca="false">PL!F112+Sens!F20536*Seg!F82+sbc_r*Seg!F82</f>
        <v>26.6373549789235</v>
      </c>
      <c r="G20545" s="6" t="n">
        <f aca="false">PL!G112+Sens!G20536*Seg!G82+sbc_r*Seg!G82</f>
        <v>26.5038922765853</v>
      </c>
      <c r="H20545" s="6" t="n">
        <f aca="false">PL!H112+Sens!H20536*Seg!H82+sbc_r*Seg!H82</f>
        <v>27.3981100014792</v>
      </c>
      <c r="I20545" s="6" t="n">
        <f aca="false">PL!I112+Sens!I20536*Seg!I82+sbc_r*Seg!I82</f>
        <v>28.5176442589239</v>
      </c>
      <c r="J20545" s="6" t="n">
        <f aca="false">PL!J112+Sens!J20536*Seg!J82+sbc_r*Seg!J82</f>
        <v>29.8313998963726</v>
      </c>
      <c r="K20545" s="6" t="n">
        <f aca="false">PL!K112+Sens!K20536*Seg!K82+sbc_r*Seg!K82</f>
        <v>31.3103466222307</v>
      </c>
    </row>
    <row r="20546" customFormat="false" ht="17.15" hidden="false" customHeight="false" outlineLevel="0" collapsed="false">
      <c r="A20546" s="0" t="s">
        <v>1245</v>
      </c>
      <c r="B20546" s="0" t="s">
        <v>98</v>
      </c>
      <c r="F20546" s="6" t="n">
        <f aca="false">(Sens!F20545-Sens!F20541)*Seg!F78/(Seg!F78+Seg!F80)</f>
        <v>8.72405610479892</v>
      </c>
      <c r="G20546" s="6" t="n">
        <f aca="false">(Sens!G20545-Sens!G20541)*Seg!G78/(Seg!G78+Seg!G80)</f>
        <v>7.897418765869</v>
      </c>
      <c r="H20546" s="6" t="n">
        <f aca="false">(Sens!H20545-Sens!H20541)*Seg!H78/(Seg!H78+Seg!H80)</f>
        <v>7.66644879573063</v>
      </c>
      <c r="I20546" s="6" t="n">
        <f aca="false">(Sens!I20545-Sens!I20541)*Seg!I78/(Seg!I78+Seg!I80)</f>
        <v>7.5787545031814</v>
      </c>
      <c r="J20546" s="6" t="n">
        <f aca="false">(Sens!J20545-Sens!J20541)*Seg!J78/(Seg!J78+Seg!J80)</f>
        <v>7.62401876450459</v>
      </c>
      <c r="K20546" s="6" t="n">
        <f aca="false">(Sens!K20545-Sens!K20541)*Seg!K78/(Seg!K78+Seg!K80)</f>
        <v>7.79847609658838</v>
      </c>
    </row>
    <row r="20547" customFormat="false" ht="17.15" hidden="false" customHeight="false" outlineLevel="0" collapsed="false">
      <c r="A20547" s="0" t="s">
        <v>1246</v>
      </c>
      <c r="B20547" s="0" t="s">
        <v>98</v>
      </c>
      <c r="F20547" s="6" t="n">
        <f aca="false">Sens!F20545-Sens!F20541-Sens!F20546</f>
        <v>6.72261492154066</v>
      </c>
      <c r="G20547" s="6" t="n">
        <f aca="false">Sens!G20545-Sens!G20541-Sens!G20546</f>
        <v>6.33014063899044</v>
      </c>
      <c r="H20547" s="6" t="n">
        <f aca="false">Sens!H20545-Sens!H20541-Sens!H20546</f>
        <v>6.32730487109095</v>
      </c>
      <c r="I20547" s="6" t="n">
        <f aca="false">Sens!I20545-Sens!I20541-Sens!I20546</f>
        <v>6.37673853755084</v>
      </c>
      <c r="J20547" s="6" t="n">
        <f aca="false">Sens!J20545-Sens!J20541-Sens!J20546</f>
        <v>6.47634294562954</v>
      </c>
      <c r="K20547" s="6" t="n">
        <f aca="false">Sens!K20545-Sens!K20541-Sens!K20546</f>
        <v>6.62453847699607</v>
      </c>
    </row>
    <row r="20548" customFormat="false" ht="17.15" hidden="false" customHeight="false" outlineLevel="0" collapsed="false">
      <c r="A20548" s="0" t="s">
        <v>1247</v>
      </c>
      <c r="B20548" s="0" t="s">
        <v>98</v>
      </c>
      <c r="F20548" s="6" t="n">
        <f aca="false">Sens!F20542-tax_f*(Sens!F20542-Thesis!F147)-Thesis!F144</f>
        <v>-130.362326762856</v>
      </c>
      <c r="G20548" s="6" t="n">
        <f aca="false">Sens!G20542-tax_f*(Sens!G20542-Thesis!G147)-Thesis!G144</f>
        <v>-124.225179337776</v>
      </c>
      <c r="H20548" s="6" t="n">
        <f aca="false">Sens!H20542-tax_f*(Sens!H20542-Thesis!H147)-Thesis!H144</f>
        <v>-101.534217387562</v>
      </c>
      <c r="I20548" s="6" t="n">
        <f aca="false">Sens!I20542-tax_f*(Sens!I20542-Thesis!I147)-Thesis!I144</f>
        <v>-43.6446798695439</v>
      </c>
      <c r="J20548" s="6" t="n">
        <f aca="false">Sens!J20542-tax_f*(Sens!J20542-Thesis!J147)-Thesis!J144</f>
        <v>16.9198855589618</v>
      </c>
      <c r="K20548" s="6" t="n">
        <f aca="false">Sens!K20542-tax_f*(Sens!K20542-Thesis!K147)-Thesis!K144</f>
        <v>39.8251384629271</v>
      </c>
    </row>
    <row r="20549" customFormat="false" ht="17.15" hidden="false" customHeight="false" outlineLevel="0" collapsed="false">
      <c r="A20549" s="0" t="s">
        <v>1248</v>
      </c>
      <c r="B20549" s="0" t="s">
        <v>98</v>
      </c>
      <c r="G20549" s="6" t="n">
        <f aca="false">Sens!G20548/(1+wacc)^(Sens!G20519-Sens!F20520)</f>
        <v>-118.286276192192</v>
      </c>
      <c r="H20549" s="6" t="n">
        <f aca="false">Sens!H20548/(1+wacc)^(Sens!H20519-Sens!F20520)</f>
        <v>-87.6570009910427</v>
      </c>
      <c r="I20549" s="6" t="n">
        <f aca="false">Sens!I20548/(1+wacc)^(Sens!I20519-Sens!F20520)</f>
        <v>-34.1629172979204</v>
      </c>
      <c r="J20549" s="6" t="n">
        <f aca="false">Sens!J20548/(1+wacc)^(Sens!J20519-Sens!F20520)</f>
        <v>12.0079954170053</v>
      </c>
      <c r="K20549" s="6" t="n">
        <f aca="false">Sens!K20548/(1+wacc)^(Sens!K20519-Sens!F20520)</f>
        <v>25.6259421582556</v>
      </c>
      <c r="L20549" s="1" t="s">
        <v>1249</v>
      </c>
    </row>
    <row r="20550" customFormat="false" ht="17.15" hidden="false" customHeight="false" outlineLevel="0" collapsed="false">
      <c r="A20550" s="0" t="s">
        <v>1250</v>
      </c>
      <c r="B20550" s="0" t="s">
        <v>98</v>
      </c>
      <c r="C20550" s="6" t="n">
        <f aca="false">(Sens!K20542-Thesis!K147)*(1-tax_f)*(1+g_tv)*(1-g_tv/(wacc+ronic_prem))/(wacc-g_tv)/(1+wacc)^(Sens!K20520-Sens!F20520)</f>
        <v>96.7148026864948</v>
      </c>
    </row>
    <row r="20551" customFormat="false" ht="17.15" hidden="false" customHeight="false" outlineLevel="0" collapsed="false">
      <c r="A20551" s="1" t="s">
        <v>1251</v>
      </c>
      <c r="B20551" s="0" t="s">
        <v>98</v>
      </c>
      <c r="C20551" s="6" t="n">
        <f aca="false">(SUM(Sens!G20549:K20549)+Sens!$C$20550)*(1+wacc)^(t_roll-Sens!F20520)</f>
        <v>-109.248827617462</v>
      </c>
      <c r="L20551" s="12" t="s">
        <v>1252</v>
      </c>
    </row>
    <row r="20552" customFormat="false" ht="17.15" hidden="false" customHeight="false" outlineLevel="0" collapsed="false">
      <c r="A20552" s="1" t="s">
        <v>1253</v>
      </c>
      <c r="B20552" s="0" t="s">
        <v>98</v>
      </c>
      <c r="C20552" s="6" t="n">
        <f aca="false">(w_ntm28*Thesis!G135+(1-w_ntm28)*Thesis!H135)*m_ai</f>
        <v>344.355829012336</v>
      </c>
    </row>
    <row r="20553" customFormat="false" ht="17.15" hidden="false" customHeight="false" outlineLevel="0" collapsed="false">
      <c r="A20553" s="1" t="s">
        <v>1254</v>
      </c>
      <c r="B20553" s="0" t="s">
        <v>98</v>
      </c>
      <c r="C20553" s="6" t="n">
        <f aca="false">(w_ntm28*Sens!G20544+(1-w_ntm28)*Sens!H20544)*m_cloud</f>
        <v>1093.03877543039</v>
      </c>
    </row>
    <row r="20554" customFormat="false" ht="17.15" hidden="false" customHeight="false" outlineLevel="0" collapsed="false">
      <c r="A20554" s="1" t="s">
        <v>1255</v>
      </c>
      <c r="B20554" s="0" t="s">
        <v>98</v>
      </c>
      <c r="C20554" s="6" t="n">
        <f aca="false">(w_ntm28*Sens!G20537+(1-w_ntm28)*Sens!H20537)*m_sw</f>
        <v>1045.17056616266</v>
      </c>
    </row>
    <row r="20555" customFormat="false" ht="17.15" hidden="false" customHeight="false" outlineLevel="0" collapsed="false">
      <c r="A20555" s="1" t="s">
        <v>1256</v>
      </c>
      <c r="B20555" s="0" t="s">
        <v>98</v>
      </c>
      <c r="C20555" s="6" t="n">
        <f aca="false">(w_ntm28*Sens!G20538+(1-w_ntm28)*Sens!H20538)*m_sw</f>
        <v>373.178444957791</v>
      </c>
    </row>
    <row r="20556" customFormat="false" ht="17.15" hidden="false" customHeight="false" outlineLevel="0" collapsed="false">
      <c r="A20556" s="1" t="s">
        <v>1257</v>
      </c>
      <c r="B20556" s="0" t="s">
        <v>98</v>
      </c>
      <c r="C20556" s="6" t="n">
        <f aca="false">(w_ntm28*Sens!G20539+(1-w_ntm28)*Sens!H20539)*m_sw</f>
        <v>109.30055788101</v>
      </c>
    </row>
    <row r="20557" customFormat="false" ht="17.15" hidden="false" customHeight="false" outlineLevel="0" collapsed="false">
      <c r="A20557" s="1" t="s">
        <v>1258</v>
      </c>
      <c r="B20557" s="0" t="s">
        <v>98</v>
      </c>
      <c r="C20557" s="6" t="n">
        <f aca="false">(w_ntm28*Sens!G20540+(1-w_ntm28)*Sens!H20540)*m_sw</f>
        <v>41.5531037214606</v>
      </c>
    </row>
    <row r="20558" customFormat="false" ht="17.15" hidden="false" customHeight="false" outlineLevel="0" collapsed="false">
      <c r="A20558" s="1" t="s">
        <v>1259</v>
      </c>
      <c r="B20558" s="0" t="s">
        <v>98</v>
      </c>
      <c r="C20558" s="6" t="n">
        <f aca="false">(w_ntm28*Sens!G20541+(1-w_ntm28)*Sens!H20541)*m_ads</f>
        <v>115.215899994784</v>
      </c>
    </row>
    <row r="20559" customFormat="false" ht="17.15" hidden="false" customHeight="false" outlineLevel="0" collapsed="false">
      <c r="A20559" s="1" t="s">
        <v>1260</v>
      </c>
      <c r="B20559" s="0" t="s">
        <v>98</v>
      </c>
      <c r="C20559" s="6" t="n">
        <f aca="false">(w_ntm28*Sens!G20546+(1-w_ntm28)*Sens!H20546)*m_game</f>
        <v>98.7853357615783</v>
      </c>
    </row>
    <row r="20560" customFormat="false" ht="17.15" hidden="false" customHeight="false" outlineLevel="0" collapsed="false">
      <c r="A20560" s="1" t="s">
        <v>1261</v>
      </c>
      <c r="B20560" s="0" t="s">
        <v>98</v>
      </c>
      <c r="C20560" s="6" t="n">
        <f aca="false">(w_ntm28*Sens!G20547+(1-w_ntm28)*Sens!H20547)*m_pc</f>
        <v>91.5836445602173</v>
      </c>
    </row>
    <row r="20561" customFormat="false" ht="17.15" hidden="false" customHeight="false" outlineLevel="0" collapsed="false">
      <c r="A20561" s="1" t="s">
        <v>1262</v>
      </c>
      <c r="B20561" s="0" t="s">
        <v>98</v>
      </c>
      <c r="C20561" s="6" t="n">
        <f aca="false">Sens!$C$20551+Sens!$C$20553+Sens!$C$20554+Sens!$C$20555+Sens!$C$20556+Sens!$C$20557+Sens!$C$20558+Sens!$C$20559+Sens!$C$20560</f>
        <v>2858.57750085243</v>
      </c>
    </row>
    <row r="20562" customFormat="false" ht="17.15" hidden="false" customHeight="false" outlineLevel="0" collapsed="false">
      <c r="A20562" s="1" t="s">
        <v>1263</v>
      </c>
      <c r="B20562" s="0" t="s">
        <v>98</v>
      </c>
      <c r="C20562" s="6" t="n">
        <f aca="false">(Sens!G20523-Sens!G20548)*t_stub</f>
        <v>47.4829168796038</v>
      </c>
      <c r="L20562" s="1" t="s">
        <v>1264</v>
      </c>
    </row>
    <row r="20563" customFormat="false" ht="17.15" hidden="false" customHeight="false" outlineLevel="0" collapsed="false">
      <c r="A20563" s="1" t="s">
        <v>1173</v>
      </c>
      <c r="B20563" s="0" t="s">
        <v>98</v>
      </c>
      <c r="C20563" s="6" t="n">
        <f aca="false">CF!F103+(oai_stake_hi*oai_val*(1-liq_disc))-CF!F92+Sens!$C$20562</f>
        <v>179.00227008544</v>
      </c>
      <c r="L20563" s="1" t="s">
        <v>1265</v>
      </c>
    </row>
    <row r="20564" customFormat="false" ht="17.15" hidden="false" customHeight="false" outlineLevel="0" collapsed="false">
      <c r="A20564" s="1" t="s">
        <v>1266</v>
      </c>
      <c r="B20564" s="0" t="s">
        <v>75</v>
      </c>
      <c r="C20564" s="5" t="n">
        <f aca="false">(Sens!$C$20561+Sens!$C$20563)/(CF!F105+dil_gap)-CF!G95*roll_div_q/q_per_yr</f>
        <v>404.187257062149</v>
      </c>
      <c r="L20564" s="1" t="s">
        <v>1267</v>
      </c>
    </row>
    <row r="20565" customFormat="false" ht="17.15" hidden="false" customHeight="false" outlineLevel="0" collapsed="false">
      <c r="A20565" s="1" t="s">
        <v>1268</v>
      </c>
      <c r="B20565" s="0" t="s">
        <v>75</v>
      </c>
      <c r="C20565" s="5" t="n">
        <f aca="false">w_dcf*Sens!$C$20535+(1-w_dcf)*Sens!$C$20564</f>
        <v>343.956222088305</v>
      </c>
    </row>
    <row r="20566" customFormat="false" ht="17.15" hidden="false" customHeight="false" outlineLevel="0" collapsed="false">
      <c r="A20566" s="3" t="s">
        <v>2118</v>
      </c>
    </row>
    <row r="20567" customFormat="false" ht="15" hidden="false" customHeight="false" outlineLevel="0" collapsed="false">
      <c r="A20567" s="4" t="s">
        <v>43</v>
      </c>
      <c r="B20567" s="4" t="s">
        <v>65</v>
      </c>
      <c r="C20567" s="23" t="s">
        <v>942</v>
      </c>
      <c r="D20567" s="23" t="s">
        <v>943</v>
      </c>
      <c r="E20567" s="23" t="s">
        <v>944</v>
      </c>
      <c r="F20567" s="23" t="s">
        <v>945</v>
      </c>
      <c r="G20567" s="23" t="s">
        <v>946</v>
      </c>
      <c r="H20567" s="23" t="s">
        <v>947</v>
      </c>
      <c r="I20567" s="23" t="s">
        <v>948</v>
      </c>
      <c r="J20567" s="23" t="s">
        <v>949</v>
      </c>
      <c r="K20567" s="23" t="s">
        <v>950</v>
      </c>
      <c r="L20567" s="4" t="s">
        <v>47</v>
      </c>
    </row>
    <row r="20568" customFormat="false" ht="17.15" hidden="false" customHeight="false" outlineLevel="0" collapsed="false">
      <c r="A20568" s="1" t="s">
        <v>1216</v>
      </c>
      <c r="B20568" s="1" t="s">
        <v>279</v>
      </c>
      <c r="F20568" s="8" t="n">
        <f aca="false">(1-v_off)*mid_yr</f>
        <v>0.373972602739726</v>
      </c>
      <c r="G20568" s="8" t="n">
        <f aca="false">Thesis!G6-base_fy-mid_yr-v_off</f>
        <v>1.24794520547945</v>
      </c>
      <c r="H20568" s="8" t="n">
        <f aca="false">Thesis!H6-base_fy-mid_yr-v_off</f>
        <v>2.24794520547945</v>
      </c>
      <c r="I20568" s="8" t="n">
        <f aca="false">Thesis!I6-base_fy-mid_yr-v_off</f>
        <v>3.24794520547945</v>
      </c>
      <c r="J20568" s="8" t="n">
        <f aca="false">Thesis!J6-base_fy-mid_yr-v_off</f>
        <v>4.24794520547945</v>
      </c>
      <c r="K20568" s="8" t="n">
        <f aca="false">Thesis!K6-base_fy-mid_yr-v_off</f>
        <v>5.24794520547945</v>
      </c>
      <c r="L20568" s="12" t="s">
        <v>1217</v>
      </c>
    </row>
    <row r="20569" customFormat="false" ht="15" hidden="false" customHeight="false" outlineLevel="0" collapsed="false">
      <c r="A20569" s="1" t="s">
        <v>1218</v>
      </c>
      <c r="B20569" s="1" t="s">
        <v>279</v>
      </c>
      <c r="F20569" s="8" t="n">
        <f aca="false">Thesis!F6-base_fy-v_off</f>
        <v>0.747945205479452</v>
      </c>
      <c r="G20569" s="8" t="n">
        <f aca="false">Thesis!G6-base_fy-v_off</f>
        <v>1.74794520547945</v>
      </c>
      <c r="H20569" s="8" t="n">
        <f aca="false">Thesis!H6-base_fy-v_off</f>
        <v>2.74794520547945</v>
      </c>
      <c r="I20569" s="8" t="n">
        <f aca="false">Thesis!I6-base_fy-v_off</f>
        <v>3.74794520547945</v>
      </c>
      <c r="J20569" s="8" t="n">
        <f aca="false">Thesis!J6-base_fy-v_off</f>
        <v>4.74794520547945</v>
      </c>
      <c r="K20569" s="8" t="n">
        <f aca="false">Thesis!K6-base_fy-v_off</f>
        <v>5.74794520547945</v>
      </c>
    </row>
    <row r="20570" customFormat="false" ht="15" hidden="false" customHeight="false" outlineLevel="0" collapsed="false">
      <c r="A20570" s="1" t="s">
        <v>1219</v>
      </c>
      <c r="B20570" s="0" t="s">
        <v>229</v>
      </c>
      <c r="F20570" s="15" t="n">
        <f aca="false">1/(1+wacc)^Sens!F20568</f>
        <v>0.964022703286649</v>
      </c>
      <c r="G20570" s="15" t="n">
        <f aca="false">1/(1+wacc)^Sens!G20568</f>
        <v>0.884910302296739</v>
      </c>
      <c r="H20570" s="15" t="n">
        <f aca="false">1/(1+wacc)^Sens!H20568</f>
        <v>0.802322009770358</v>
      </c>
      <c r="I20570" s="15" t="n">
        <f aca="false">1/(1+wacc)^Sens!I20568</f>
        <v>0.727441646561469</v>
      </c>
      <c r="J20570" s="15" t="n">
        <f aca="false">1/(1+wacc)^Sens!J20568</f>
        <v>0.659549834988973</v>
      </c>
      <c r="K20570" s="15" t="n">
        <f aca="false">1/(1+wacc)^Sens!K20568</f>
        <v>0.597994336576966</v>
      </c>
    </row>
    <row r="20571" customFormat="false" ht="17.15" hidden="false" customHeight="false" outlineLevel="0" collapsed="false">
      <c r="A20571" s="1" t="s">
        <v>1220</v>
      </c>
      <c r="B20571" s="0" t="s">
        <v>98</v>
      </c>
      <c r="F20571" s="6" t="n">
        <f aca="false">Q!$I$35-Q!$I$39-Q!$I$43</f>
        <v>9.666</v>
      </c>
      <c r="L20571" s="12" t="s">
        <v>1221</v>
      </c>
    </row>
    <row r="20572" customFormat="false" ht="17.15" hidden="false" customHeight="false" outlineLevel="0" collapsed="false">
      <c r="A20572" s="1" t="s">
        <v>1222</v>
      </c>
      <c r="B20572" s="0" t="s">
        <v>98</v>
      </c>
      <c r="F20572" s="6" t="n">
        <f aca="false">CF!F23-CF!F20-CF!F27+Thesis!F47*(1-tax_f)*(1-v_off)-Sens!F20571</f>
        <v>-1.12880264559539</v>
      </c>
      <c r="G20572" s="6" t="n">
        <f aca="false">CF!G23-CF!G20-CF!G27+Thesis!G47*(1-tax_f)</f>
        <v>38.7194421947551</v>
      </c>
      <c r="H20572" s="6" t="n">
        <f aca="false">CF!H23-CF!H20-CF!H27+Thesis!H47*(1-tax_f)</f>
        <v>98.6927474567662</v>
      </c>
      <c r="I20572" s="6" t="n">
        <f aca="false">CF!I23-CF!I20-CF!I27+Thesis!I47*(1-tax_f)</f>
        <v>181.625440536277</v>
      </c>
      <c r="J20572" s="6" t="n">
        <f aca="false">CF!J23-CF!J20-CF!J27+Thesis!J47*(1-tax_f)</f>
        <v>263.350402418584</v>
      </c>
      <c r="K20572" s="6" t="n">
        <f aca="false">CF!K23-CF!K20-CF!K27+Thesis!K47*(1-tax_f)</f>
        <v>303.659068389018</v>
      </c>
      <c r="L20572" s="1" t="s">
        <v>1223</v>
      </c>
    </row>
    <row r="20573" customFormat="false" ht="15" hidden="false" customHeight="false" outlineLevel="0" collapsed="false">
      <c r="A20573" s="1" t="s">
        <v>1224</v>
      </c>
      <c r="B20573" s="0" t="s">
        <v>98</v>
      </c>
      <c r="F20573" s="6" t="n">
        <f aca="false">Sens!F20572*Sens!F20570</f>
        <v>-1.08819137788399</v>
      </c>
      <c r="G20573" s="6" t="n">
        <f aca="false">Sens!G20572*Sens!G20570</f>
        <v>34.2632332973219</v>
      </c>
      <c r="H20573" s="6" t="n">
        <f aca="false">Sens!H20572*Sens!H20570</f>
        <v>79.183363489271</v>
      </c>
      <c r="I20573" s="6" t="n">
        <f aca="false">Sens!I20572*Sens!I20570</f>
        <v>132.121909521162</v>
      </c>
      <c r="J20573" s="6" t="n">
        <f aca="false">Sens!J20572*Sens!J20570</f>
        <v>173.692714459456</v>
      </c>
      <c r="K20573" s="6" t="n">
        <f aca="false">Sens!K20572*Sens!K20570</f>
        <v>181.58640314687</v>
      </c>
    </row>
    <row r="20574" customFormat="false" ht="17.15" hidden="false" customHeight="false" outlineLevel="0" collapsed="false">
      <c r="A20574" s="1" t="s">
        <v>1225</v>
      </c>
      <c r="B20574" s="0" t="s">
        <v>98</v>
      </c>
      <c r="C20574" s="6" t="n">
        <f aca="false">SUM(Sens!F20573:K20573)</f>
        <v>599.759432536197</v>
      </c>
    </row>
    <row r="20575" customFormat="false" ht="17.15" hidden="false" customHeight="false" outlineLevel="0" collapsed="false">
      <c r="A20575" s="1" t="s">
        <v>1226</v>
      </c>
      <c r="B20575" s="0" t="s">
        <v>98</v>
      </c>
      <c r="C20575" s="6" t="n">
        <f aca="false">PL!K39*(1+g_tv)*(1-tax_f)</f>
        <v>316.501318799308</v>
      </c>
    </row>
    <row r="20576" customFormat="false" ht="17.15" hidden="false" customHeight="false" outlineLevel="0" collapsed="false">
      <c r="A20576" s="1" t="s">
        <v>1227</v>
      </c>
      <c r="B20576" s="0" t="s">
        <v>98</v>
      </c>
      <c r="C20576" s="6" t="n">
        <f aca="false">Sens!$C$20575*(1-g_tv/(wacc+ronic_prem))</f>
        <v>224.25968269347</v>
      </c>
    </row>
    <row r="20577" customFormat="false" ht="17.15" hidden="false" customHeight="false" outlineLevel="0" collapsed="false">
      <c r="A20577" s="1" t="s">
        <v>1228</v>
      </c>
      <c r="B20577" s="0" t="s">
        <v>98</v>
      </c>
      <c r="C20577" s="6" t="n">
        <f aca="false">Sens!$C$20576/(wacc-g_tv)</f>
        <v>3074.72120352792</v>
      </c>
    </row>
    <row r="20578" customFormat="false" ht="15" hidden="false" customHeight="false" outlineLevel="0" collapsed="false">
      <c r="A20578" s="1" t="s">
        <v>1229</v>
      </c>
      <c r="B20578" s="0" t="s">
        <v>98</v>
      </c>
      <c r="C20578" s="6" t="n">
        <f aca="false">Sens!$C$20577/(1+wacc)^Sens!K20569</f>
        <v>1750.76373116397</v>
      </c>
    </row>
    <row r="20579" customFormat="false" ht="17.15" hidden="false" customHeight="false" outlineLevel="0" collapsed="false">
      <c r="A20579" s="0" t="s">
        <v>1230</v>
      </c>
      <c r="B20579" s="0" t="s">
        <v>98</v>
      </c>
      <c r="C20579" s="6" t="n">
        <f aca="false">Sens!$C$20574+Sens!$C$20578</f>
        <v>2350.52316370017</v>
      </c>
    </row>
    <row r="20580" customFormat="false" ht="15" hidden="false" customHeight="false" outlineLevel="0" collapsed="false">
      <c r="A20580" s="1" t="s">
        <v>1145</v>
      </c>
      <c r="B20580" s="0" t="s">
        <v>168</v>
      </c>
      <c r="C20580" s="7" t="n">
        <f aca="false">Sens!$C$20578/Sens!$C$20579</f>
        <v>0.744840024638574</v>
      </c>
    </row>
    <row r="20581" customFormat="false" ht="17.15" hidden="false" customHeight="false" outlineLevel="0" collapsed="false">
      <c r="A20581" s="1" t="s">
        <v>1231</v>
      </c>
      <c r="B20581" s="0" t="s">
        <v>98</v>
      </c>
      <c r="C20581" s="6" t="n">
        <f aca="false">Sens!$C$20579+cash_val-debt_val-fl_val+(oai_stake_hi*oai_val)</f>
        <v>2532.83016370017</v>
      </c>
    </row>
    <row r="20582" customFormat="false" ht="17.15" hidden="false" customHeight="false" outlineLevel="0" collapsed="false">
      <c r="A20582" s="0" t="s">
        <v>1153</v>
      </c>
      <c r="B20582" s="0" t="s">
        <v>75</v>
      </c>
      <c r="C20582" s="5" t="n">
        <f aca="false">Sens!$C$20581/shd_val</f>
        <v>340.15983933658</v>
      </c>
    </row>
    <row r="20583" customFormat="false" ht="15" hidden="false" customHeight="false" outlineLevel="0" collapsed="false">
      <c r="A20583" s="1" t="s">
        <v>1232</v>
      </c>
      <c r="B20583" s="0" t="s">
        <v>75</v>
      </c>
      <c r="C20583" s="8" t="n">
        <f aca="false">div_rem27+CF!G31*roll_div_q/q_per_yr</f>
        <v>3.9795</v>
      </c>
    </row>
    <row r="20584" customFormat="false" ht="17.15" hidden="false" customHeight="false" outlineLevel="0" collapsed="false">
      <c r="A20584" s="0" t="s">
        <v>1233</v>
      </c>
      <c r="B20584" s="0" t="s">
        <v>75</v>
      </c>
      <c r="C20584" s="5" t="n">
        <f aca="false">Sens!$C$20582*(1+wacc)^t_roll-Sens!$C$20583</f>
        <v>374.127145996259</v>
      </c>
    </row>
    <row r="20585" customFormat="false" ht="17.15" hidden="false" customHeight="false" outlineLevel="0" collapsed="false">
      <c r="A20585" s="1" t="s">
        <v>1234</v>
      </c>
      <c r="B20585" s="0" t="s">
        <v>168</v>
      </c>
      <c r="F20585" s="7" t="n">
        <f aca="false">CF!F17/(Seg!F29-Thesis!F25)</f>
        <v>0.0685527305696859</v>
      </c>
      <c r="G20585" s="7" t="n">
        <f aca="false">CF!G17/(Seg!G29-Thesis!G25)</f>
        <v>0.0653567731599844</v>
      </c>
      <c r="H20585" s="7" t="n">
        <f aca="false">CF!H17/(Seg!H29-Thesis!H25)</f>
        <v>0.0636628841026972</v>
      </c>
      <c r="I20585" s="7" t="n">
        <f aca="false">CF!I17/(Seg!I29-Thesis!I25)</f>
        <v>0.0633581084335176</v>
      </c>
      <c r="J20585" s="7" t="n">
        <f aca="false">CF!J17/(Seg!J29-Thesis!J25)</f>
        <v>0.0640873955995062</v>
      </c>
      <c r="K20585" s="7" t="n">
        <f aca="false">CF!K17/(Seg!K29-Thesis!K25)</f>
        <v>0.0653962234835198</v>
      </c>
    </row>
    <row r="20586" customFormat="false" ht="17.15" hidden="false" customHeight="false" outlineLevel="0" collapsed="false">
      <c r="A20586" s="0" t="s">
        <v>1235</v>
      </c>
      <c r="B20586" s="0" t="s">
        <v>98</v>
      </c>
      <c r="F20586" s="6" t="n">
        <f aca="false">Seg!F14*(al_m365+Sens!F20585+sbc_r)</f>
        <v>84.5213906545575</v>
      </c>
      <c r="G20586" s="6" t="n">
        <f aca="false">Seg!G14*(al_m365+Sens!G20585+sbc_r)</f>
        <v>98.949983331796</v>
      </c>
      <c r="H20586" s="6" t="n">
        <f aca="false">Seg!H14*(al_m365+Sens!H20585+sbc_r)</f>
        <v>113.543734275326</v>
      </c>
      <c r="I20586" s="6" t="n">
        <f aca="false">Seg!I14*(al_m365+Sens!I20585+sbc_r)</f>
        <v>126.62058838692</v>
      </c>
      <c r="J20586" s="6" t="n">
        <f aca="false">Seg!J14*(al_m365+Sens!J20585+sbc_r)</f>
        <v>137.994660156303</v>
      </c>
      <c r="K20586" s="6" t="n">
        <f aca="false">Seg!K14*(al_m365+Sens!K20585+sbc_r)</f>
        <v>148.989224092997</v>
      </c>
      <c r="L20586" s="12" t="s">
        <v>1236</v>
      </c>
    </row>
    <row r="20587" customFormat="false" ht="17.15" hidden="false" customHeight="false" outlineLevel="0" collapsed="false">
      <c r="A20587" s="0" t="s">
        <v>1237</v>
      </c>
      <c r="B20587" s="0" t="s">
        <v>98</v>
      </c>
      <c r="F20587" s="6" t="n">
        <f aca="false">Seg!F15*(al_lic+Sens!F20585+sbc_r)</f>
        <v>32.855200196554</v>
      </c>
      <c r="G20587" s="6" t="n">
        <f aca="false">Seg!G15*(al_lic+Sens!G20585+sbc_r)</f>
        <v>34.1185582613282</v>
      </c>
      <c r="H20587" s="6" t="n">
        <f aca="false">Seg!H15*(al_lic+Sens!H20585+sbc_r)</f>
        <v>35.3024309363621</v>
      </c>
      <c r="I20587" s="6" t="n">
        <f aca="false">Seg!I15*(al_lic+Sens!I20585+sbc_r)</f>
        <v>36.3898468129533</v>
      </c>
      <c r="J20587" s="6" t="n">
        <f aca="false">Seg!J15*(al_lic+Sens!J20585+sbc_r)</f>
        <v>37.3529129529876</v>
      </c>
      <c r="K20587" s="6" t="n">
        <f aca="false">Seg!K15*(al_lic+Sens!K20585+sbc_r)</f>
        <v>38.158536171203</v>
      </c>
    </row>
    <row r="20588" customFormat="false" ht="17.15" hidden="false" customHeight="false" outlineLevel="0" collapsed="false">
      <c r="A20588" s="0" t="s">
        <v>1238</v>
      </c>
      <c r="B20588" s="0" t="s">
        <v>98</v>
      </c>
      <c r="F20588" s="6" t="n">
        <f aca="false">Seg!F17*(al_ind+Sens!F20585+sbc_r)</f>
        <v>9.05892547956683</v>
      </c>
      <c r="G20588" s="6" t="n">
        <f aca="false">Seg!G17*(al_ind+Sens!G20585+sbc_r)</f>
        <v>9.82456487622418</v>
      </c>
      <c r="H20588" s="6" t="n">
        <f aca="false">Seg!H17*(al_ind+Sens!H20585+sbc_r)</f>
        <v>10.6377408477959</v>
      </c>
      <c r="I20588" s="6" t="n">
        <f aca="false">Seg!I17*(al_ind+Sens!I20585+sbc_r)</f>
        <v>11.4966323260293</v>
      </c>
      <c r="J20588" s="6" t="n">
        <f aca="false">Seg!J17*(al_ind+Sens!J20585+sbc_r)</f>
        <v>12.3903660286279</v>
      </c>
      <c r="K20588" s="6" t="n">
        <f aca="false">Seg!K17*(al_ind+Sens!K20585+sbc_r)</f>
        <v>13.3009129057681</v>
      </c>
    </row>
    <row r="20589" customFormat="false" ht="17.15" hidden="false" customHeight="false" outlineLevel="0" collapsed="false">
      <c r="A20589" s="0" t="s">
        <v>1239</v>
      </c>
      <c r="B20589" s="0" t="s">
        <v>98</v>
      </c>
      <c r="F20589" s="6" t="n">
        <f aca="false">Seg!F19*(al_fro+Sens!F20585+sbc_r)</f>
        <v>3.55344443532423</v>
      </c>
      <c r="G20589" s="6" t="n">
        <f aca="false">Seg!G19*(al_fro+Sens!G20585+sbc_r)</f>
        <v>3.75916645971565</v>
      </c>
      <c r="H20589" s="6" t="n">
        <f aca="false">Seg!H19*(al_fro+Sens!H20585+sbc_r)</f>
        <v>3.994970960527</v>
      </c>
      <c r="I20589" s="6" t="n">
        <f aca="false">Seg!I19*(al_fro+Sens!I20585+sbc_r)</f>
        <v>4.26396270432353</v>
      </c>
      <c r="J20589" s="6" t="n">
        <f aca="false">Seg!J19*(al_fro+Sens!J20585+sbc_r)</f>
        <v>4.5667795874336</v>
      </c>
      <c r="K20589" s="6" t="n">
        <f aca="false">Seg!K19*(al_fro+Sens!K20585+sbc_r)</f>
        <v>4.90238443416026</v>
      </c>
    </row>
    <row r="20590" customFormat="false" ht="17.15" hidden="false" customHeight="false" outlineLevel="0" collapsed="false">
      <c r="A20590" s="0" t="s">
        <v>1240</v>
      </c>
      <c r="B20590" s="0" t="s">
        <v>98</v>
      </c>
      <c r="F20590" s="6" t="n">
        <f aca="false">Seg!F22*(al_srch+Sens!F20585+sbc_r)</f>
        <v>11.1872483445711</v>
      </c>
      <c r="G20590" s="6" t="n">
        <f aca="false">Seg!G22*(al_srch+Sens!G20585+sbc_r)</f>
        <v>12.247246048296</v>
      </c>
      <c r="H20590" s="6" t="n">
        <f aca="false">Seg!H22*(al_srch+Sens!H20585+sbc_r)</f>
        <v>13.3552870946193</v>
      </c>
      <c r="I20590" s="6" t="n">
        <f aca="false">Seg!I22*(al_srch+Sens!I20585+sbc_r)</f>
        <v>14.5024145321619</v>
      </c>
      <c r="J20590" s="6" t="n">
        <f aca="false">Seg!J22*(al_srch+Sens!J20585+sbc_r)</f>
        <v>15.667276660652</v>
      </c>
      <c r="K20590" s="6" t="n">
        <f aca="false">Seg!K22*(al_srch+Sens!K20585+sbc_r)</f>
        <v>16.8186381138719</v>
      </c>
    </row>
    <row r="20591" customFormat="false" ht="17.15" hidden="false" customHeight="false" outlineLevel="0" collapsed="false">
      <c r="A20591" s="0" t="s">
        <v>1241</v>
      </c>
      <c r="B20591" s="0" t="s">
        <v>98</v>
      </c>
      <c r="F20591" s="6" t="n">
        <f aca="false">Thesis!F31-Thesis!F32+Thesis!F47</f>
        <v>45.3782580567763</v>
      </c>
      <c r="G20591" s="6" t="n">
        <f aca="false">Thesis!G31-Thesis!G32+Thesis!G47</f>
        <v>91.0863367558165</v>
      </c>
      <c r="H20591" s="6" t="n">
        <f aca="false">Thesis!H31-Thesis!H32+Thesis!H47</f>
        <v>144.617532464853</v>
      </c>
      <c r="I20591" s="6" t="n">
        <f aca="false">Thesis!I31-Thesis!I32+Thesis!I47</f>
        <v>187.137304561304</v>
      </c>
      <c r="J20591" s="6" t="n">
        <f aca="false">Thesis!J31-Thesis!J32+Thesis!J47</f>
        <v>217.006854425907</v>
      </c>
      <c r="K20591" s="6" t="n">
        <f aca="false">Thesis!K31-Thesis!K32+Thesis!K47</f>
        <v>234.933637903877</v>
      </c>
    </row>
    <row r="20592" customFormat="false" ht="17.15" hidden="false" customHeight="false" outlineLevel="0" collapsed="false">
      <c r="A20592" s="0" t="s">
        <v>1242</v>
      </c>
      <c r="B20592" s="0" t="s">
        <v>98</v>
      </c>
      <c r="F20592" s="6" t="n">
        <f aca="false">PL!F32+Thesis!F47+Thesis!F43+Sens!F20585*(Seg!F21-Thesis!F25)+sbc_r*Seg!F21</f>
        <v>240.818167741339</v>
      </c>
      <c r="G20592" s="6" t="n">
        <f aca="false">PL!G32+Thesis!G47+Thesis!G43+Sens!G20585*(Seg!G21-Thesis!G25)+sbc_r*Seg!G21</f>
        <v>311.917784140952</v>
      </c>
      <c r="H20592" s="6" t="n">
        <f aca="false">PL!H32+Thesis!H47+Thesis!H43+Sens!H20585*(Seg!H21-Thesis!H25)+sbc_r*Seg!H21</f>
        <v>395.486245683473</v>
      </c>
      <c r="I20592" s="6" t="n">
        <f aca="false">PL!I32+Thesis!I47+Thesis!I43+Sens!I20585*(Seg!I21-Thesis!I25)+sbc_r*Seg!I21</f>
        <v>465.950805948377</v>
      </c>
      <c r="J20592" s="6" t="n">
        <f aca="false">PL!J32+Thesis!J47+Thesis!J43+Sens!J20585*(Seg!J21-Thesis!J25)+sbc_r*Seg!J21</f>
        <v>520.78677388057</v>
      </c>
      <c r="K20592" s="6" t="n">
        <f aca="false">PL!K32+Thesis!K47+Thesis!K43+Sens!K20585*(Seg!K21-Thesis!K25)+sbc_r*Seg!K21</f>
        <v>561.2469767412</v>
      </c>
    </row>
    <row r="20593" customFormat="false" ht="17.15" hidden="false" customHeight="false" outlineLevel="0" collapsed="false">
      <c r="A20593" s="0" t="s">
        <v>1243</v>
      </c>
      <c r="B20593" s="0" t="s">
        <v>98</v>
      </c>
      <c r="F20593" s="6" t="n">
        <f aca="false">Sens!F20592-Sens!F20586-Sens!F20587-Sens!F20588-Sens!F20589-Sens!F20591</f>
        <v>65.4509489185601</v>
      </c>
      <c r="G20593" s="6" t="n">
        <f aca="false">Sens!G20592-Sens!G20586-Sens!G20587-Sens!G20588-Sens!G20589-Sens!G20591</f>
        <v>74.1791744560715</v>
      </c>
      <c r="H20593" s="6" t="n">
        <f aca="false">Sens!H20592-Sens!H20586-Sens!H20587-Sens!H20588-Sens!H20589-Sens!H20591</f>
        <v>87.3898361986086</v>
      </c>
      <c r="I20593" s="6" t="n">
        <f aca="false">Sens!I20592-Sens!I20586-Sens!I20587-Sens!I20588-Sens!I20589-Sens!I20591</f>
        <v>100.042471156846</v>
      </c>
      <c r="J20593" s="6" t="n">
        <f aca="false">Sens!J20592-Sens!J20586-Sens!J20587-Sens!J20588-Sens!J20589-Sens!J20591</f>
        <v>111.475200729312</v>
      </c>
      <c r="K20593" s="6" t="n">
        <f aca="false">Sens!K20592-Sens!K20586-Sens!K20587-Sens!K20588-Sens!K20589-Sens!K20591</f>
        <v>120.962281233195</v>
      </c>
    </row>
    <row r="20594" customFormat="false" ht="17.15" hidden="false" customHeight="false" outlineLevel="0" collapsed="false">
      <c r="A20594" s="0" t="s">
        <v>1244</v>
      </c>
      <c r="B20594" s="0" t="s">
        <v>98</v>
      </c>
      <c r="F20594" s="6" t="n">
        <f aca="false">PL!F34+Sens!F20585*Seg!F28+sbc_r*Seg!F28</f>
        <v>26.6293388420472</v>
      </c>
      <c r="G20594" s="6" t="n">
        <f aca="false">PL!G34+Sens!G20585*Seg!G28+sbc_r*Seg!G28</f>
        <v>26.4405000412783</v>
      </c>
      <c r="H20594" s="6" t="n">
        <f aca="false">PL!H34+Sens!H20585*Seg!H28+sbc_r*Seg!H28</f>
        <v>27.296860059552</v>
      </c>
      <c r="I20594" s="6" t="n">
        <f aca="false">PL!I34+Sens!I20585*Seg!I28+sbc_r*Seg!I28</f>
        <v>28.3995465815703</v>
      </c>
      <c r="J20594" s="6" t="n">
        <f aca="false">PL!J34+Sens!J20585*Seg!J28+sbc_r*Seg!J28</f>
        <v>29.7093380975903</v>
      </c>
      <c r="K20594" s="6" t="n">
        <f aca="false">PL!K34+Sens!K20585*Seg!K28+sbc_r*Seg!K28</f>
        <v>31.1817775287323</v>
      </c>
    </row>
    <row r="20595" customFormat="false" ht="17.15" hidden="false" customHeight="false" outlineLevel="0" collapsed="false">
      <c r="A20595" s="0" t="s">
        <v>1245</v>
      </c>
      <c r="B20595" s="0" t="s">
        <v>98</v>
      </c>
      <c r="F20595" s="6" t="n">
        <f aca="false">(Sens!F20594-Sens!F20590)*Seg!F24/(Seg!F24+Seg!F26)</f>
        <v>8.72146908842971</v>
      </c>
      <c r="G20595" s="6" t="n">
        <f aca="false">(Sens!G20594-Sens!G20590)*Seg!G24/(Seg!G24+Seg!G26)</f>
        <v>7.87837655379173</v>
      </c>
      <c r="H20595" s="6" t="n">
        <f aca="false">(Sens!H20594-Sens!H20590)*Seg!H24/(Seg!H24+Seg!H26)</f>
        <v>7.63786170689933</v>
      </c>
      <c r="I20595" s="6" t="n">
        <f aca="false">(Sens!I20594-Sens!I20590)*Seg!I24/(Seg!I24+Seg!I26)</f>
        <v>7.5470606300581</v>
      </c>
      <c r="J20595" s="6" t="n">
        <f aca="false">(Sens!J20594-Sens!J20590)*Seg!J24/(Seg!J24+Seg!J26)</f>
        <v>7.59249600034024</v>
      </c>
      <c r="K20595" s="6" t="n">
        <f aca="false">(Sens!K20594-Sens!K20590)*Seg!K24/(Seg!K24+Seg!K26)</f>
        <v>7.76610179704742</v>
      </c>
    </row>
    <row r="20596" customFormat="false" ht="17.15" hidden="false" customHeight="false" outlineLevel="0" collapsed="false">
      <c r="A20596" s="0" t="s">
        <v>1246</v>
      </c>
      <c r="B20596" s="0" t="s">
        <v>98</v>
      </c>
      <c r="F20596" s="6" t="n">
        <f aca="false">Sens!F20594-Sens!F20590-Sens!F20595</f>
        <v>6.72062140904636</v>
      </c>
      <c r="G20596" s="6" t="n">
        <f aca="false">Sens!G20594-Sens!G20590-Sens!G20595</f>
        <v>6.31487743919059</v>
      </c>
      <c r="H20596" s="6" t="n">
        <f aca="false">Sens!H20594-Sens!H20590-Sens!H20595</f>
        <v>6.30371125803333</v>
      </c>
      <c r="I20596" s="6" t="n">
        <f aca="false">Sens!I20594-Sens!I20590-Sens!I20595</f>
        <v>6.35007141935025</v>
      </c>
      <c r="J20596" s="6" t="n">
        <f aca="false">Sens!J20594-Sens!J20590-Sens!J20595</f>
        <v>6.44956543659808</v>
      </c>
      <c r="K20596" s="6" t="n">
        <f aca="false">Sens!K20594-Sens!K20590-Sens!K20595</f>
        <v>6.597037617813</v>
      </c>
    </row>
    <row r="20597" customFormat="false" ht="17.15" hidden="false" customHeight="false" outlineLevel="0" collapsed="false">
      <c r="A20597" s="0" t="s">
        <v>1247</v>
      </c>
      <c r="B20597" s="0" t="s">
        <v>98</v>
      </c>
      <c r="F20597" s="6" t="n">
        <f aca="false">Sens!F20591-tax_f*(Sens!F20591-Thesis!F43)-Thesis!F40</f>
        <v>-125.235434701028</v>
      </c>
      <c r="G20597" s="6" t="n">
        <f aca="false">Sens!G20591-tax_f*(Sens!G20591-Thesis!G43)-Thesis!G40</f>
        <v>-106.928508113935</v>
      </c>
      <c r="H20597" s="6" t="n">
        <f aca="false">Sens!H20591-tax_f*(Sens!H20591-Thesis!H43)-Thesis!H40</f>
        <v>-63.2919599603405</v>
      </c>
      <c r="I20597" s="6" t="n">
        <f aca="false">Sens!I20591-tax_f*(Sens!I20591-Thesis!I43)-Thesis!I40</f>
        <v>3.94121196634245</v>
      </c>
      <c r="J20597" s="6" t="n">
        <f aca="false">Sens!J20591-tax_f*(Sens!J20591-Thesis!J43)-Thesis!J40</f>
        <v>71.0786869547042</v>
      </c>
      <c r="K20597" s="6" t="n">
        <f aca="false">Sens!K20591-tax_f*(Sens!K20591-Thesis!K43)-Thesis!K40</f>
        <v>97.5865911685559</v>
      </c>
    </row>
    <row r="20598" customFormat="false" ht="17.15" hidden="false" customHeight="false" outlineLevel="0" collapsed="false">
      <c r="A20598" s="0" t="s">
        <v>1248</v>
      </c>
      <c r="B20598" s="0" t="s">
        <v>98</v>
      </c>
      <c r="G20598" s="6" t="n">
        <f aca="false">Sens!G20597/(1+wacc)^(Sens!G20568-Sens!F20569)</f>
        <v>-101.81651667568</v>
      </c>
      <c r="H20598" s="6" t="n">
        <f aca="false">Sens!H20597/(1+wacc)^(Sens!H20568-Sens!F20569)</f>
        <v>-54.6415143556151</v>
      </c>
      <c r="I20598" s="6" t="n">
        <f aca="false">Sens!I20597/(1+wacc)^(Sens!I20568-Sens!F20569)</f>
        <v>3.08498765169516</v>
      </c>
      <c r="J20598" s="6" t="n">
        <f aca="false">Sens!J20597/(1+wacc)^(Sens!J20568-Sens!F20569)</f>
        <v>50.4443451596971</v>
      </c>
      <c r="K20598" s="6" t="n">
        <f aca="false">Sens!K20597/(1+wacc)^(Sens!K20568-Sens!F20569)</f>
        <v>62.7932114544856</v>
      </c>
      <c r="L20598" s="1" t="s">
        <v>1249</v>
      </c>
    </row>
    <row r="20599" customFormat="false" ht="17.15" hidden="false" customHeight="false" outlineLevel="0" collapsed="false">
      <c r="A20599" s="0" t="s">
        <v>1250</v>
      </c>
      <c r="B20599" s="0" t="s">
        <v>98</v>
      </c>
      <c r="C20599" s="6" t="n">
        <f aca="false">(Sens!K20591-Thesis!K43)*(1-tax_f)*(1+g_tv)*(1-g_tv/(wacc+ronic_prem))/(wacc-g_tv)/(1+wacc)^(Sens!K20569-Sens!F20569)</f>
        <v>450.836735002813</v>
      </c>
    </row>
    <row r="20600" customFormat="false" ht="17.15" hidden="false" customHeight="false" outlineLevel="0" collapsed="false">
      <c r="A20600" s="1" t="s">
        <v>1251</v>
      </c>
      <c r="B20600" s="0" t="s">
        <v>98</v>
      </c>
      <c r="C20600" s="6" t="n">
        <f aca="false">(SUM(Sens!G20598:K20598)+Sens!$C$20599)*(1+wacc)^(t_roll-Sens!F20569)</f>
        <v>424.259738494477</v>
      </c>
      <c r="L20600" s="12" t="s">
        <v>1252</v>
      </c>
    </row>
    <row r="20601" customFormat="false" ht="17.15" hidden="false" customHeight="false" outlineLevel="0" collapsed="false">
      <c r="A20601" s="1" t="s">
        <v>1253</v>
      </c>
      <c r="B20601" s="0" t="s">
        <v>98</v>
      </c>
      <c r="C20601" s="6" t="n">
        <f aca="false">(w_ntm28*Thesis!G31+(1-w_ntm28)*Thesis!H31)*m_ai</f>
        <v>563.316843258668</v>
      </c>
    </row>
    <row r="20602" customFormat="false" ht="17.15" hidden="false" customHeight="false" outlineLevel="0" collapsed="false">
      <c r="A20602" s="1" t="s">
        <v>1254</v>
      </c>
      <c r="B20602" s="0" t="s">
        <v>98</v>
      </c>
      <c r="C20602" s="6" t="n">
        <f aca="false">(w_ntm28*Sens!G20593+(1-w_ntm28)*Sens!H20593)*m_cloud</f>
        <v>1085.17964696599</v>
      </c>
    </row>
    <row r="20603" customFormat="false" ht="17.15" hidden="false" customHeight="false" outlineLevel="0" collapsed="false">
      <c r="A20603" s="1" t="s">
        <v>1255</v>
      </c>
      <c r="B20603" s="0" t="s">
        <v>98</v>
      </c>
      <c r="C20603" s="6" t="n">
        <f aca="false">(w_ntm28*Sens!G20586+(1-w_ntm28)*Sens!H20586)*m_sw</f>
        <v>1120.47763155275</v>
      </c>
    </row>
    <row r="20604" customFormat="false" ht="17.15" hidden="false" customHeight="false" outlineLevel="0" collapsed="false">
      <c r="A20604" s="1" t="s">
        <v>1256</v>
      </c>
      <c r="B20604" s="0" t="s">
        <v>98</v>
      </c>
      <c r="C20604" s="6" t="n">
        <f aca="false">(w_ntm28*Sens!G20587+(1-w_ntm28)*Sens!H20587)*m_sw</f>
        <v>372.68398809041</v>
      </c>
    </row>
    <row r="20605" customFormat="false" ht="17.15" hidden="false" customHeight="false" outlineLevel="0" collapsed="false">
      <c r="A20605" s="1" t="s">
        <v>1257</v>
      </c>
      <c r="B20605" s="0" t="s">
        <v>98</v>
      </c>
      <c r="C20605" s="6" t="n">
        <f aca="false">(w_ntm28*Sens!G20588+(1-w_ntm28)*Sens!H20588)*m_sw</f>
        <v>108.992632332144</v>
      </c>
    </row>
    <row r="20606" customFormat="false" ht="17.15" hidden="false" customHeight="false" outlineLevel="0" collapsed="false">
      <c r="A20606" s="1" t="s">
        <v>1258</v>
      </c>
      <c r="B20606" s="0" t="s">
        <v>98</v>
      </c>
      <c r="C20606" s="6" t="n">
        <f aca="false">(w_ntm28*Sens!G20589+(1-w_ntm28)*Sens!H20589)*m_sw</f>
        <v>41.4362652527414</v>
      </c>
    </row>
    <row r="20607" customFormat="false" ht="17.15" hidden="false" customHeight="false" outlineLevel="0" collapsed="false">
      <c r="A20607" s="1" t="s">
        <v>1259</v>
      </c>
      <c r="B20607" s="0" t="s">
        <v>98</v>
      </c>
      <c r="C20607" s="6" t="n">
        <f aca="false">(w_ntm28*Sens!G20590+(1-w_ntm28)*Sens!H20590)*m_ads</f>
        <v>114.891070326937</v>
      </c>
    </row>
    <row r="20608" customFormat="false" ht="17.15" hidden="false" customHeight="false" outlineLevel="0" collapsed="false">
      <c r="A20608" s="1" t="s">
        <v>1260</v>
      </c>
      <c r="B20608" s="0" t="s">
        <v>98</v>
      </c>
      <c r="C20608" s="6" t="n">
        <f aca="false">(w_ntm28*Sens!G20595+(1-w_ntm28)*Sens!H20595)*m_game</f>
        <v>98.505199156718</v>
      </c>
    </row>
    <row r="20609" customFormat="false" ht="17.15" hidden="false" customHeight="false" outlineLevel="0" collapsed="false">
      <c r="A20609" s="1" t="s">
        <v>1261</v>
      </c>
      <c r="B20609" s="0" t="s">
        <v>98</v>
      </c>
      <c r="C20609" s="6" t="n">
        <f aca="false">(w_ntm28*Sens!G20596+(1-w_ntm28)*Sens!H20596)*m_pc</f>
        <v>91.3231561150564</v>
      </c>
    </row>
    <row r="20610" customFormat="false" ht="17.15" hidden="false" customHeight="false" outlineLevel="0" collapsed="false">
      <c r="A20610" s="1" t="s">
        <v>1262</v>
      </c>
      <c r="B20610" s="0" t="s">
        <v>98</v>
      </c>
      <c r="C20610" s="6" t="n">
        <f aca="false">Sens!$C$20600+Sens!$C$20602+Sens!$C$20603+Sens!$C$20604+Sens!$C$20605+Sens!$C$20606+Sens!$C$20607+Sens!$C$20608+Sens!$C$20609</f>
        <v>3457.74932828722</v>
      </c>
    </row>
    <row r="20611" customFormat="false" ht="17.15" hidden="false" customHeight="false" outlineLevel="0" collapsed="false">
      <c r="A20611" s="1" t="s">
        <v>1263</v>
      </c>
      <c r="B20611" s="0" t="s">
        <v>98</v>
      </c>
      <c r="C20611" s="6" t="n">
        <f aca="false">(Sens!G20572-Sens!G20597)*t_stub</f>
        <v>48.2832931160316</v>
      </c>
      <c r="L20611" s="1" t="s">
        <v>1264</v>
      </c>
    </row>
    <row r="20612" customFormat="false" ht="17.15" hidden="false" customHeight="false" outlineLevel="0" collapsed="false">
      <c r="A20612" s="1" t="s">
        <v>1173</v>
      </c>
      <c r="B20612" s="0" t="s">
        <v>98</v>
      </c>
      <c r="C20612" s="6" t="n">
        <f aca="false">CF!F39+(oai_stake_hi*oai_val)-CF!F28+Sens!$C$20611</f>
        <v>228.967563116032</v>
      </c>
      <c r="L20612" s="1" t="s">
        <v>1265</v>
      </c>
    </row>
    <row r="20613" customFormat="false" ht="17.15" hidden="false" customHeight="false" outlineLevel="0" collapsed="false">
      <c r="A20613" s="1" t="s">
        <v>1266</v>
      </c>
      <c r="B20613" s="0" t="s">
        <v>75</v>
      </c>
      <c r="C20613" s="5" t="n">
        <f aca="false">(Sens!$C$20610+Sens!$C$20612)/(CF!F41+dil_gap)-CF!G31*roll_div_q/q_per_yr</f>
        <v>491.161604587556</v>
      </c>
      <c r="L20613" s="1" t="s">
        <v>1267</v>
      </c>
    </row>
    <row r="20614" customFormat="false" ht="17.15" hidden="false" customHeight="false" outlineLevel="0" collapsed="false">
      <c r="A20614" s="1" t="s">
        <v>1268</v>
      </c>
      <c r="B20614" s="0" t="s">
        <v>75</v>
      </c>
      <c r="C20614" s="5" t="n">
        <f aca="false">w_dcf*Sens!$C$20584+(1-w_dcf)*Sens!$C$20613</f>
        <v>432.644375291907</v>
      </c>
    </row>
    <row r="20615" customFormat="false" ht="17.15" hidden="false" customHeight="false" outlineLevel="0" collapsed="false">
      <c r="A20615" s="3" t="s">
        <v>2119</v>
      </c>
    </row>
    <row r="20616" customFormat="false" ht="15" hidden="false" customHeight="false" outlineLevel="0" collapsed="false">
      <c r="A20616" s="4" t="s">
        <v>43</v>
      </c>
      <c r="B20616" s="4" t="s">
        <v>65</v>
      </c>
      <c r="C20616" s="23" t="s">
        <v>942</v>
      </c>
      <c r="D20616" s="23" t="s">
        <v>943</v>
      </c>
      <c r="E20616" s="23" t="s">
        <v>944</v>
      </c>
      <c r="F20616" s="23" t="s">
        <v>945</v>
      </c>
      <c r="G20616" s="23" t="s">
        <v>946</v>
      </c>
      <c r="H20616" s="23" t="s">
        <v>947</v>
      </c>
      <c r="I20616" s="23" t="s">
        <v>948</v>
      </c>
      <c r="J20616" s="23" t="s">
        <v>949</v>
      </c>
      <c r="K20616" s="23" t="s">
        <v>950</v>
      </c>
      <c r="L20616" s="4" t="s">
        <v>47</v>
      </c>
    </row>
    <row r="20617" customFormat="false" ht="17.15" hidden="false" customHeight="false" outlineLevel="0" collapsed="false">
      <c r="A20617" s="1" t="s">
        <v>1216</v>
      </c>
      <c r="B20617" s="1" t="s">
        <v>279</v>
      </c>
      <c r="F20617" s="8" t="n">
        <f aca="false">(1-v_off)*mid_yr</f>
        <v>0.373972602739726</v>
      </c>
      <c r="G20617" s="8" t="n">
        <f aca="false">Thesis!G58-base_fy-mid_yr-v_off</f>
        <v>1.24794520547945</v>
      </c>
      <c r="H20617" s="8" t="n">
        <f aca="false">Thesis!H58-base_fy-mid_yr-v_off</f>
        <v>2.24794520547945</v>
      </c>
      <c r="I20617" s="8" t="n">
        <f aca="false">Thesis!I58-base_fy-mid_yr-v_off</f>
        <v>3.24794520547945</v>
      </c>
      <c r="J20617" s="8" t="n">
        <f aca="false">Thesis!J58-base_fy-mid_yr-v_off</f>
        <v>4.24794520547945</v>
      </c>
      <c r="K20617" s="8" t="n">
        <f aca="false">Thesis!K58-base_fy-mid_yr-v_off</f>
        <v>5.24794520547945</v>
      </c>
      <c r="L20617" s="12" t="s">
        <v>1217</v>
      </c>
    </row>
    <row r="20618" customFormat="false" ht="15" hidden="false" customHeight="false" outlineLevel="0" collapsed="false">
      <c r="A20618" s="1" t="s">
        <v>1218</v>
      </c>
      <c r="B20618" s="1" t="s">
        <v>279</v>
      </c>
      <c r="F20618" s="8" t="n">
        <f aca="false">Thesis!F58-base_fy-v_off</f>
        <v>0.747945205479452</v>
      </c>
      <c r="G20618" s="8" t="n">
        <f aca="false">Thesis!G58-base_fy-v_off</f>
        <v>1.74794520547945</v>
      </c>
      <c r="H20618" s="8" t="n">
        <f aca="false">Thesis!H58-base_fy-v_off</f>
        <v>2.74794520547945</v>
      </c>
      <c r="I20618" s="8" t="n">
        <f aca="false">Thesis!I58-base_fy-v_off</f>
        <v>3.74794520547945</v>
      </c>
      <c r="J20618" s="8" t="n">
        <f aca="false">Thesis!J58-base_fy-v_off</f>
        <v>4.74794520547945</v>
      </c>
      <c r="K20618" s="8" t="n">
        <f aca="false">Thesis!K58-base_fy-v_off</f>
        <v>5.74794520547945</v>
      </c>
    </row>
    <row r="20619" customFormat="false" ht="15" hidden="false" customHeight="false" outlineLevel="0" collapsed="false">
      <c r="A20619" s="1" t="s">
        <v>1219</v>
      </c>
      <c r="B20619" s="0" t="s">
        <v>229</v>
      </c>
      <c r="F20619" s="15" t="n">
        <f aca="false">1/(1+wacc)^Sens!F20617</f>
        <v>0.964022703286649</v>
      </c>
      <c r="G20619" s="15" t="n">
        <f aca="false">1/(1+wacc)^Sens!G20617</f>
        <v>0.884910302296739</v>
      </c>
      <c r="H20619" s="15" t="n">
        <f aca="false">1/(1+wacc)^Sens!H20617</f>
        <v>0.802322009770358</v>
      </c>
      <c r="I20619" s="15" t="n">
        <f aca="false">1/(1+wacc)^Sens!I20617</f>
        <v>0.727441646561469</v>
      </c>
      <c r="J20619" s="15" t="n">
        <f aca="false">1/(1+wacc)^Sens!J20617</f>
        <v>0.659549834988973</v>
      </c>
      <c r="K20619" s="15" t="n">
        <f aca="false">1/(1+wacc)^Sens!K20617</f>
        <v>0.597994336576966</v>
      </c>
    </row>
    <row r="20620" customFormat="false" ht="17.15" hidden="false" customHeight="false" outlineLevel="0" collapsed="false">
      <c r="A20620" s="1" t="s">
        <v>1220</v>
      </c>
      <c r="B20620" s="0" t="s">
        <v>98</v>
      </c>
      <c r="F20620" s="6" t="n">
        <f aca="false">Q!$I$35-Q!$I$39-Q!$I$43</f>
        <v>9.666</v>
      </c>
      <c r="L20620" s="12" t="s">
        <v>1221</v>
      </c>
    </row>
    <row r="20621" customFormat="false" ht="17.15" hidden="false" customHeight="false" outlineLevel="0" collapsed="false">
      <c r="A20621" s="1" t="s">
        <v>1222</v>
      </c>
      <c r="B20621" s="0" t="s">
        <v>98</v>
      </c>
      <c r="F20621" s="6" t="n">
        <f aca="false">CF!F55-CF!F52-CF!F59+Thesis!F99*(1-tax_f)*(1-v_off)-Sens!F20620</f>
        <v>-3.35959137570949</v>
      </c>
      <c r="G20621" s="6" t="n">
        <f aca="false">CF!G55-CF!G52-CF!G59+Thesis!G99*(1-tax_f)</f>
        <v>29.8084555066036</v>
      </c>
      <c r="H20621" s="6" t="n">
        <f aca="false">CF!H55-CF!H52-CF!H59+Thesis!H99*(1-tax_f)</f>
        <v>79.3231801478051</v>
      </c>
      <c r="I20621" s="6" t="n">
        <f aca="false">CF!I55-CF!I52-CF!I59+Thesis!I99*(1-tax_f)</f>
        <v>157.29132812061</v>
      </c>
      <c r="J20621" s="6" t="n">
        <f aca="false">CF!J55-CF!J52-CF!J59+Thesis!J99*(1-tax_f)</f>
        <v>235.537601843622</v>
      </c>
      <c r="K20621" s="6" t="n">
        <f aca="false">CF!K55-CF!K52-CF!K59+Thesis!K99*(1-tax_f)</f>
        <v>273.705067207806</v>
      </c>
      <c r="L20621" s="1" t="s">
        <v>1223</v>
      </c>
    </row>
    <row r="20622" customFormat="false" ht="15" hidden="false" customHeight="false" outlineLevel="0" collapsed="false">
      <c r="A20622" s="1" t="s">
        <v>1224</v>
      </c>
      <c r="B20622" s="0" t="s">
        <v>98</v>
      </c>
      <c r="F20622" s="6" t="n">
        <f aca="false">Sens!F20621*Sens!F20619</f>
        <v>-3.23872235994998</v>
      </c>
      <c r="G20622" s="6" t="n">
        <f aca="false">Sens!G20621*Sens!G20619</f>
        <v>26.3778093733475</v>
      </c>
      <c r="H20622" s="6" t="n">
        <f aca="false">Sens!H20621*Sens!H20619</f>
        <v>63.6427333175632</v>
      </c>
      <c r="I20622" s="6" t="n">
        <f aca="false">Sens!I20621*Sens!I20619</f>
        <v>114.420262717897</v>
      </c>
      <c r="J20622" s="6" t="n">
        <f aca="false">Sens!J20621*Sens!J20619</f>
        <v>155.348786429659</v>
      </c>
      <c r="K20622" s="6" t="n">
        <f aca="false">Sens!K20621*Sens!K20619</f>
        <v>163.674080082686</v>
      </c>
    </row>
    <row r="20623" customFormat="false" ht="17.15" hidden="false" customHeight="false" outlineLevel="0" collapsed="false">
      <c r="A20623" s="1" t="s">
        <v>1225</v>
      </c>
      <c r="B20623" s="0" t="s">
        <v>98</v>
      </c>
      <c r="C20623" s="6" t="n">
        <f aca="false">SUM(Sens!F20622:K20622)</f>
        <v>520.224949561203</v>
      </c>
    </row>
    <row r="20624" customFormat="false" ht="17.15" hidden="false" customHeight="false" outlineLevel="0" collapsed="false">
      <c r="A20624" s="1" t="s">
        <v>1226</v>
      </c>
      <c r="B20624" s="0" t="s">
        <v>98</v>
      </c>
      <c r="C20624" s="6" t="n">
        <f aca="false">PL!K78*(1+g_tv)*(1-tax_f)</f>
        <v>284.979534119394</v>
      </c>
    </row>
    <row r="20625" customFormat="false" ht="17.15" hidden="false" customHeight="false" outlineLevel="0" collapsed="false">
      <c r="A20625" s="1" t="s">
        <v>1227</v>
      </c>
      <c r="B20625" s="0" t="s">
        <v>98</v>
      </c>
      <c r="C20625" s="6" t="n">
        <f aca="false">Sens!$C$20624*(1-g_tv/(wacc+ronic_prem))</f>
        <v>201.924655916751</v>
      </c>
    </row>
    <row r="20626" customFormat="false" ht="17.15" hidden="false" customHeight="false" outlineLevel="0" collapsed="false">
      <c r="A20626" s="1" t="s">
        <v>1228</v>
      </c>
      <c r="B20626" s="0" t="s">
        <v>98</v>
      </c>
      <c r="C20626" s="6" t="n">
        <f aca="false">Sens!$C$20625/(wacc-g_tv)</f>
        <v>2768.49594008808</v>
      </c>
    </row>
    <row r="20627" customFormat="false" ht="15" hidden="false" customHeight="false" outlineLevel="0" collapsed="false">
      <c r="A20627" s="1" t="s">
        <v>1229</v>
      </c>
      <c r="B20627" s="0" t="s">
        <v>98</v>
      </c>
      <c r="C20627" s="6" t="n">
        <f aca="false">Sens!$C$20626/(1+wacc)^Sens!K20618</f>
        <v>1576.39732546142</v>
      </c>
    </row>
    <row r="20628" customFormat="false" ht="17.15" hidden="false" customHeight="false" outlineLevel="0" collapsed="false">
      <c r="A20628" s="0" t="s">
        <v>1230</v>
      </c>
      <c r="B20628" s="0" t="s">
        <v>98</v>
      </c>
      <c r="C20628" s="6" t="n">
        <f aca="false">Sens!$C$20623+Sens!$C$20627</f>
        <v>2096.62227502262</v>
      </c>
    </row>
    <row r="20629" customFormat="false" ht="15" hidden="false" customHeight="false" outlineLevel="0" collapsed="false">
      <c r="A20629" s="1" t="s">
        <v>1145</v>
      </c>
      <c r="B20629" s="0" t="s">
        <v>168</v>
      </c>
      <c r="C20629" s="7" t="n">
        <f aca="false">Sens!$C$20627/Sens!$C$20628</f>
        <v>0.751874738831729</v>
      </c>
    </row>
    <row r="20630" customFormat="false" ht="17.15" hidden="false" customHeight="false" outlineLevel="0" collapsed="false">
      <c r="A20630" s="1" t="s">
        <v>1231</v>
      </c>
      <c r="B20630" s="0" t="s">
        <v>98</v>
      </c>
      <c r="C20630" s="6" t="n">
        <f aca="false">Sens!$C$20628+cash_val-debt_val-fl_val+(oai_stake_hi*oai_val)</f>
        <v>2278.92927502262</v>
      </c>
    </row>
    <row r="20631" customFormat="false" ht="17.15" hidden="false" customHeight="false" outlineLevel="0" collapsed="false">
      <c r="A20631" s="0" t="s">
        <v>1153</v>
      </c>
      <c r="B20631" s="0" t="s">
        <v>75</v>
      </c>
      <c r="C20631" s="5" t="n">
        <f aca="false">Sens!$C$20630/shd_val</f>
        <v>306.060874969463</v>
      </c>
    </row>
    <row r="20632" customFormat="false" ht="15" hidden="false" customHeight="false" outlineLevel="0" collapsed="false">
      <c r="A20632" s="1" t="s">
        <v>1232</v>
      </c>
      <c r="B20632" s="0" t="s">
        <v>75</v>
      </c>
      <c r="C20632" s="8" t="n">
        <f aca="false">div_rem27+CF!G63*roll_div_q/q_per_yr</f>
        <v>3.9795</v>
      </c>
    </row>
    <row r="20633" customFormat="false" ht="17.15" hidden="false" customHeight="false" outlineLevel="0" collapsed="false">
      <c r="A20633" s="0" t="s">
        <v>1233</v>
      </c>
      <c r="B20633" s="0" t="s">
        <v>75</v>
      </c>
      <c r="C20633" s="5" t="n">
        <f aca="false">Sens!$C$20631*(1+wacc)^t_roll-Sens!$C$20632</f>
        <v>336.224244013644</v>
      </c>
    </row>
    <row r="20634" customFormat="false" ht="17.15" hidden="false" customHeight="false" outlineLevel="0" collapsed="false">
      <c r="A20634" s="1" t="s">
        <v>1234</v>
      </c>
      <c r="B20634" s="0" t="s">
        <v>168</v>
      </c>
      <c r="F20634" s="7" t="n">
        <f aca="false">CF!F49/(Seg!F56-Thesis!F77)</f>
        <v>0.0686195668908011</v>
      </c>
      <c r="G20634" s="7" t="n">
        <f aca="false">CF!G49/(Seg!G56-Thesis!G77)</f>
        <v>0.0658333569148391</v>
      </c>
      <c r="H20634" s="7" t="n">
        <f aca="false">CF!H49/(Seg!H56-Thesis!H77)</f>
        <v>0.0643895625218926</v>
      </c>
      <c r="I20634" s="7" t="n">
        <f aca="false">CF!I49/(Seg!I56-Thesis!I77)</f>
        <v>0.0641676618157989</v>
      </c>
      <c r="J20634" s="7" t="n">
        <f aca="false">CF!J49/(Seg!J56-Thesis!J77)</f>
        <v>0.0648858606572163</v>
      </c>
      <c r="K20634" s="7" t="n">
        <f aca="false">CF!K49/(Seg!K56-Thesis!K77)</f>
        <v>0.0661974425163768</v>
      </c>
    </row>
    <row r="20635" customFormat="false" ht="17.15" hidden="false" customHeight="false" outlineLevel="0" collapsed="false">
      <c r="A20635" s="0" t="s">
        <v>1235</v>
      </c>
      <c r="B20635" s="0" t="s">
        <v>98</v>
      </c>
      <c r="F20635" s="6" t="n">
        <f aca="false">Seg!F41*(al_m365+Sens!F20634+sbc_r)</f>
        <v>83.7205619248671</v>
      </c>
      <c r="G20635" s="6" t="n">
        <f aca="false">Seg!G41*(al_m365+Sens!G20634+sbc_r)</f>
        <v>96.1301303332381</v>
      </c>
      <c r="H20635" s="6" t="n">
        <f aca="false">Seg!H41*(al_m365+Sens!H20634+sbc_r)</f>
        <v>108.70354073822</v>
      </c>
      <c r="I20635" s="6" t="n">
        <f aca="false">Seg!I41*(al_m365+Sens!I20634+sbc_r)</f>
        <v>120.260101315626</v>
      </c>
      <c r="J20635" s="6" t="n">
        <f aca="false">Seg!J41*(al_m365+Sens!J20634+sbc_r)</f>
        <v>130.611904548619</v>
      </c>
      <c r="K20635" s="6" t="n">
        <f aca="false">Seg!K41*(al_m365+Sens!K20634+sbc_r)</f>
        <v>140.575094974638</v>
      </c>
      <c r="L20635" s="12" t="s">
        <v>1236</v>
      </c>
    </row>
    <row r="20636" customFormat="false" ht="17.15" hidden="false" customHeight="false" outlineLevel="0" collapsed="false">
      <c r="A20636" s="0" t="s">
        <v>1237</v>
      </c>
      <c r="B20636" s="0" t="s">
        <v>98</v>
      </c>
      <c r="F20636" s="6" t="n">
        <f aca="false">Seg!F42*(al_lic+Sens!F20634+sbc_r)</f>
        <v>32.8577657183496</v>
      </c>
      <c r="G20636" s="6" t="n">
        <f aca="false">Seg!G42*(al_lic+Sens!G20634+sbc_r)</f>
        <v>34.1376266324889</v>
      </c>
      <c r="H20636" s="6" t="n">
        <f aca="false">Seg!H42*(al_lic+Sens!H20634+sbc_r)</f>
        <v>35.3325744664128</v>
      </c>
      <c r="I20636" s="6" t="n">
        <f aca="false">Seg!I42*(al_lic+Sens!I20634+sbc_r)</f>
        <v>36.4244749008727</v>
      </c>
      <c r="J20636" s="6" t="n">
        <f aca="false">Seg!J42*(al_lic+Sens!J20634+sbc_r)</f>
        <v>37.3879406068527</v>
      </c>
      <c r="K20636" s="6" t="n">
        <f aca="false">Seg!K42*(al_lic+Sens!K20634+sbc_r)</f>
        <v>38.1943876078259</v>
      </c>
    </row>
    <row r="20637" customFormat="false" ht="17.15" hidden="false" customHeight="false" outlineLevel="0" collapsed="false">
      <c r="A20637" s="0" t="s">
        <v>1238</v>
      </c>
      <c r="B20637" s="0" t="s">
        <v>98</v>
      </c>
      <c r="F20637" s="6" t="n">
        <f aca="false">Seg!F44*(al_ind+Sens!F20634+sbc_r)</f>
        <v>9.06041701092022</v>
      </c>
      <c r="G20637" s="6" t="n">
        <f aca="false">Seg!G44*(al_ind+Sens!G20634+sbc_r)</f>
        <v>9.83619082712885</v>
      </c>
      <c r="H20637" s="6" t="n">
        <f aca="false">Seg!H44*(al_ind+Sens!H20634+sbc_r)</f>
        <v>10.6570160105312</v>
      </c>
      <c r="I20637" s="6" t="n">
        <f aca="false">Seg!I44*(al_ind+Sens!I20634+sbc_r)</f>
        <v>11.5198571637125</v>
      </c>
      <c r="J20637" s="6" t="n">
        <f aca="false">Seg!J44*(al_ind+Sens!J20634+sbc_r)</f>
        <v>12.4150086539206</v>
      </c>
      <c r="K20637" s="6" t="n">
        <f aca="false">Seg!K44*(al_ind+Sens!K20634+sbc_r)</f>
        <v>13.3273714589988</v>
      </c>
    </row>
    <row r="20638" customFormat="false" ht="17.15" hidden="false" customHeight="false" outlineLevel="0" collapsed="false">
      <c r="A20638" s="0" t="s">
        <v>1239</v>
      </c>
      <c r="B20638" s="0" t="s">
        <v>98</v>
      </c>
      <c r="F20638" s="6" t="n">
        <f aca="false">Seg!F46*(al_fro+Sens!F20634+sbc_r)</f>
        <v>3.55402950182022</v>
      </c>
      <c r="G20638" s="6" t="n">
        <f aca="false">Seg!G46*(al_fro+Sens!G20634+sbc_r)</f>
        <v>3.76361488926481</v>
      </c>
      <c r="H20638" s="6" t="n">
        <f aca="false">Seg!H46*(al_fro+Sens!H20634+sbc_r)</f>
        <v>4.00220968879544</v>
      </c>
      <c r="I20638" s="6" t="n">
        <f aca="false">Seg!I46*(al_fro+Sens!I20634+sbc_r)</f>
        <v>4.2725765173852</v>
      </c>
      <c r="J20638" s="6" t="n">
        <f aca="false">Seg!J46*(al_fro+Sens!J20634+sbc_r)</f>
        <v>4.57586224390293</v>
      </c>
      <c r="K20638" s="6" t="n">
        <f aca="false">Seg!K46*(al_fro+Sens!K20634+sbc_r)</f>
        <v>4.91213639633217</v>
      </c>
    </row>
    <row r="20639" customFormat="false" ht="17.15" hidden="false" customHeight="false" outlineLevel="0" collapsed="false">
      <c r="A20639" s="0" t="s">
        <v>1240</v>
      </c>
      <c r="B20639" s="0" t="s">
        <v>98</v>
      </c>
      <c r="F20639" s="6" t="n">
        <f aca="false">Seg!F49*(al_srch+Sens!F20634+sbc_r)</f>
        <v>11.1890902994147</v>
      </c>
      <c r="G20639" s="6" t="n">
        <f aca="false">Seg!G49*(al_srch+Sens!G20634+sbc_r)</f>
        <v>12.261738891803</v>
      </c>
      <c r="H20639" s="6" t="n">
        <f aca="false">Seg!H49*(al_srch+Sens!H20634+sbc_r)</f>
        <v>13.3794863429193</v>
      </c>
      <c r="I20639" s="6" t="n">
        <f aca="false">Seg!I49*(al_srch+Sens!I20634+sbc_r)</f>
        <v>14.5317114787784</v>
      </c>
      <c r="J20639" s="6" t="n">
        <f aca="false">Seg!J49*(al_srch+Sens!J20634+sbc_r)</f>
        <v>15.6984365817724</v>
      </c>
      <c r="K20639" s="6" t="n">
        <f aca="false">Seg!K49*(al_srch+Sens!K20634+sbc_r)</f>
        <v>16.8520942258664</v>
      </c>
    </row>
    <row r="20640" customFormat="false" ht="17.15" hidden="false" customHeight="false" outlineLevel="0" collapsed="false">
      <c r="A20640" s="0" t="s">
        <v>1241</v>
      </c>
      <c r="B20640" s="0" t="s">
        <v>98</v>
      </c>
      <c r="F20640" s="6" t="n">
        <f aca="false">Thesis!F83-Thesis!F84+Thesis!F99</f>
        <v>42.5431090240393</v>
      </c>
      <c r="G20640" s="6" t="n">
        <f aca="false">Thesis!G83-Thesis!G84+Thesis!G99</f>
        <v>81.4922561130847</v>
      </c>
      <c r="H20640" s="6" t="n">
        <f aca="false">Thesis!H83-Thesis!H84+Thesis!H99</f>
        <v>123.278266211349</v>
      </c>
      <c r="I20640" s="6" t="n">
        <f aca="false">Thesis!I83-Thesis!I84+Thesis!I99</f>
        <v>160.60594185192</v>
      </c>
      <c r="J20640" s="6" t="n">
        <f aca="false">Thesis!J83-Thesis!J84+Thesis!J99</f>
        <v>186.818741832633</v>
      </c>
      <c r="K20640" s="6" t="n">
        <f aca="false">Thesis!K83-Thesis!K84+Thesis!K99</f>
        <v>202.776422159652</v>
      </c>
    </row>
    <row r="20641" customFormat="false" ht="17.15" hidden="false" customHeight="false" outlineLevel="0" collapsed="false">
      <c r="A20641" s="0" t="s">
        <v>1242</v>
      </c>
      <c r="B20641" s="0" t="s">
        <v>98</v>
      </c>
      <c r="F20641" s="6" t="n">
        <f aca="false">PL!F71+Thesis!F99+Thesis!F95+Sens!F20634*(Seg!F48-Thesis!F77)+sbc_r*Seg!F48</f>
        <v>238.090727427296</v>
      </c>
      <c r="G20641" s="6" t="n">
        <f aca="false">PL!G71+Thesis!G99+Thesis!G95+Sens!G20634*(Seg!G48-Thesis!G77)+sbc_r*Seg!G48</f>
        <v>299.90836088563</v>
      </c>
      <c r="H20641" s="6" t="n">
        <f aca="false">PL!H71+Thesis!H99+Thesis!H95+Sens!H20634*(Seg!H48-Thesis!H77)+sbc_r*Seg!H48</f>
        <v>369.457709442386</v>
      </c>
      <c r="I20641" s="6" t="n">
        <f aca="false">PL!I71+Thesis!I99+Thesis!I95+Sens!I20634*(Seg!I48-Thesis!I77)+sbc_r*Seg!I48</f>
        <v>433.16585128823</v>
      </c>
      <c r="J20641" s="6" t="n">
        <f aca="false">PL!J71+Thesis!J99+Thesis!J95+Sens!J20634*(Seg!J48-Thesis!J77)+sbc_r*Seg!J48</f>
        <v>483.301303131191</v>
      </c>
      <c r="K20641" s="6" t="n">
        <f aca="false">PL!K71+Thesis!K99+Thesis!K95+Sens!K20634*(Seg!K48-Thesis!K77)+sbc_r*Seg!K48</f>
        <v>520.789002205336</v>
      </c>
    </row>
    <row r="20642" customFormat="false" ht="17.15" hidden="false" customHeight="false" outlineLevel="0" collapsed="false">
      <c r="A20642" s="0" t="s">
        <v>1243</v>
      </c>
      <c r="B20642" s="0" t="s">
        <v>98</v>
      </c>
      <c r="F20642" s="6" t="n">
        <f aca="false">Sens!F20641-Sens!F20635-Sens!F20636-Sens!F20637-Sens!F20638-Sens!F20640</f>
        <v>66.3548442472996</v>
      </c>
      <c r="G20642" s="6" t="n">
        <f aca="false">Sens!G20641-Sens!G20635-Sens!G20636-Sens!G20637-Sens!G20638-Sens!G20640</f>
        <v>74.548542090425</v>
      </c>
      <c r="H20642" s="6" t="n">
        <f aca="false">Sens!H20641-Sens!H20635-Sens!H20636-Sens!H20637-Sens!H20638-Sens!H20640</f>
        <v>87.4841023270775</v>
      </c>
      <c r="I20642" s="6" t="n">
        <f aca="false">Sens!I20641-Sens!I20635-Sens!I20636-Sens!I20637-Sens!I20638-Sens!I20640</f>
        <v>100.082899538713</v>
      </c>
      <c r="J20642" s="6" t="n">
        <f aca="false">Sens!J20641-Sens!J20635-Sens!J20636-Sens!J20637-Sens!J20638-Sens!J20640</f>
        <v>111.491845245262</v>
      </c>
      <c r="K20642" s="6" t="n">
        <f aca="false">Sens!K20641-Sens!K20635-Sens!K20636-Sens!K20637-Sens!K20638-Sens!K20640</f>
        <v>121.003589607889</v>
      </c>
    </row>
    <row r="20643" customFormat="false" ht="17.15" hidden="false" customHeight="false" outlineLevel="0" collapsed="false">
      <c r="A20643" s="0" t="s">
        <v>1244</v>
      </c>
      <c r="B20643" s="0" t="s">
        <v>98</v>
      </c>
      <c r="F20643" s="6" t="n">
        <f aca="false">PL!F73+Sens!F20634*Seg!F55+sbc_r*Seg!F55</f>
        <v>26.6336365855879</v>
      </c>
      <c r="G20643" s="6" t="n">
        <f aca="false">PL!G73+Sens!G20634*Seg!G55+sbc_r*Seg!G55</f>
        <v>26.4720859498625</v>
      </c>
      <c r="H20643" s="6" t="n">
        <f aca="false">PL!H73+Sens!H20634*Seg!H55+sbc_r*Seg!H55</f>
        <v>27.346793021284</v>
      </c>
      <c r="I20643" s="6" t="n">
        <f aca="false">PL!I73+Sens!I20634*Seg!I55+sbc_r*Seg!I55</f>
        <v>28.4574657863154</v>
      </c>
      <c r="J20643" s="6" t="n">
        <f aca="false">PL!J73+Sens!J20634*Seg!J55+sbc_r*Seg!J55</f>
        <v>29.7689890546037</v>
      </c>
      <c r="K20643" s="6" t="n">
        <f aca="false">PL!K73+Sens!K20634*Seg!K55+sbc_r*Seg!K55</f>
        <v>31.2443947307494</v>
      </c>
    </row>
    <row r="20644" customFormat="false" ht="17.15" hidden="false" customHeight="false" outlineLevel="0" collapsed="false">
      <c r="A20644" s="0" t="s">
        <v>1245</v>
      </c>
      <c r="B20644" s="0" t="s">
        <v>98</v>
      </c>
      <c r="F20644" s="6" t="n">
        <f aca="false">(Sens!F20643-Sens!F20639)*Seg!F51/(Seg!F51+Seg!F53)</f>
        <v>8.72285608232241</v>
      </c>
      <c r="G20644" s="6" t="n">
        <f aca="false">(Sens!G20643-Sens!G20639)*Seg!G51/(Seg!G51+Seg!G53)</f>
        <v>7.88786455444355</v>
      </c>
      <c r="H20644" s="6" t="n">
        <f aca="false">(Sens!H20643-Sens!H20639)*Seg!H51/(Seg!H51+Seg!H53)</f>
        <v>7.65195986819674</v>
      </c>
      <c r="I20644" s="6" t="n">
        <f aca="false">(Sens!I20643-Sens!I20639)*Seg!I51/(Seg!I51+Seg!I53)</f>
        <v>7.56260440676676</v>
      </c>
      <c r="J20644" s="6" t="n">
        <f aca="false">(Sens!J20643-Sens!J20639)*Seg!J51/(Seg!J51+Seg!J53)</f>
        <v>7.60790100885945</v>
      </c>
      <c r="K20644" s="6" t="n">
        <f aca="false">(Sens!K20643-Sens!K20639)*Seg!K51/(Seg!K51+Seg!K53)</f>
        <v>7.78186910160995</v>
      </c>
    </row>
    <row r="20645" customFormat="false" ht="17.15" hidden="false" customHeight="false" outlineLevel="0" collapsed="false">
      <c r="A20645" s="0" t="s">
        <v>1246</v>
      </c>
      <c r="B20645" s="0" t="s">
        <v>98</v>
      </c>
      <c r="F20645" s="6" t="n">
        <f aca="false">Sens!F20643-Sens!F20639-Sens!F20644</f>
        <v>6.72169020385088</v>
      </c>
      <c r="G20645" s="6" t="n">
        <f aca="false">Sens!G20643-Sens!G20639-Sens!G20644</f>
        <v>6.322482503616</v>
      </c>
      <c r="H20645" s="6" t="n">
        <f aca="false">Sens!H20643-Sens!H20639-Sens!H20644</f>
        <v>6.315346810168</v>
      </c>
      <c r="I20645" s="6" t="n">
        <f aca="false">Sens!I20643-Sens!I20639-Sens!I20644</f>
        <v>6.36314990077033</v>
      </c>
      <c r="J20645" s="6" t="n">
        <f aca="false">Sens!J20643-Sens!J20639-Sens!J20644</f>
        <v>6.46265146397189</v>
      </c>
      <c r="K20645" s="6" t="n">
        <f aca="false">Sens!K20643-Sens!K20639-Sens!K20644</f>
        <v>6.61043140327304</v>
      </c>
    </row>
    <row r="20646" customFormat="false" ht="17.15" hidden="false" customHeight="false" outlineLevel="0" collapsed="false">
      <c r="A20646" s="0" t="s">
        <v>1247</v>
      </c>
      <c r="B20646" s="0" t="s">
        <v>98</v>
      </c>
      <c r="F20646" s="6" t="n">
        <f aca="false">Sens!F20640-tax_f*(Sens!F20640-Thesis!F95)-Thesis!F92</f>
        <v>-127.503553927218</v>
      </c>
      <c r="G20646" s="6" t="n">
        <f aca="false">Sens!G20640-tax_f*(Sens!G20640-Thesis!G95)-Thesis!G92</f>
        <v>-114.603772628121</v>
      </c>
      <c r="H20646" s="6" t="n">
        <f aca="false">Sens!H20640-tax_f*(Sens!H20640-Thesis!H95)-Thesis!H92</f>
        <v>-80.3633729631438</v>
      </c>
      <c r="I20646" s="6" t="n">
        <f aca="false">Sens!I20640-tax_f*(Sens!I20640-Thesis!I95)-Thesis!I92</f>
        <v>-17.2838782011649</v>
      </c>
      <c r="J20646" s="6" t="n">
        <f aca="false">Sens!J20640-tax_f*(Sens!J20640-Thesis!J95)-Thesis!J92</f>
        <v>46.9281968800854</v>
      </c>
      <c r="K20646" s="6" t="n">
        <f aca="false">Sens!K20640-tax_f*(Sens!K20640-Thesis!K95)-Thesis!K92</f>
        <v>71.8608185731755</v>
      </c>
    </row>
    <row r="20647" customFormat="false" ht="17.15" hidden="false" customHeight="false" outlineLevel="0" collapsed="false">
      <c r="A20647" s="0" t="s">
        <v>1248</v>
      </c>
      <c r="B20647" s="0" t="s">
        <v>98</v>
      </c>
      <c r="G20647" s="6" t="n">
        <f aca="false">Sens!G20646/(1+wacc)^(Sens!G20617-Sens!F20618)</f>
        <v>-109.124845494465</v>
      </c>
      <c r="H20647" s="6" t="n">
        <f aca="false">Sens!H20646/(1+wacc)^(Sens!H20617-Sens!F20618)</f>
        <v>-69.3796874071025</v>
      </c>
      <c r="I20647" s="6" t="n">
        <f aca="false">Sens!I20646/(1+wacc)^(Sens!I20617-Sens!F20618)</f>
        <v>-13.5289731380471</v>
      </c>
      <c r="J20647" s="6" t="n">
        <f aca="false">Sens!J20646/(1+wacc)^(Sens!J20617-Sens!F20618)</f>
        <v>33.3048099587126</v>
      </c>
      <c r="K20647" s="6" t="n">
        <f aca="false">Sens!K20646/(1+wacc)^(Sens!K20617-Sens!F20618)</f>
        <v>46.2396679904913</v>
      </c>
      <c r="L20647" s="1" t="s">
        <v>1249</v>
      </c>
    </row>
    <row r="20648" customFormat="false" ht="17.15" hidden="false" customHeight="false" outlineLevel="0" collapsed="false">
      <c r="A20648" s="0" t="s">
        <v>1250</v>
      </c>
      <c r="B20648" s="0" t="s">
        <v>98</v>
      </c>
      <c r="C20648" s="6" t="n">
        <f aca="false">(Sens!K20640-Thesis!K95)*(1-tax_f)*(1+g_tv)*(1-g_tv/(wacc+ronic_prem))/(wacc-g_tv)/(1+wacc)^(Sens!K20618-Sens!F20618)</f>
        <v>293.118051086843</v>
      </c>
    </row>
    <row r="20649" customFormat="false" ht="17.15" hidden="false" customHeight="false" outlineLevel="0" collapsed="false">
      <c r="A20649" s="1" t="s">
        <v>1251</v>
      </c>
      <c r="B20649" s="0" t="s">
        <v>98</v>
      </c>
      <c r="C20649" s="6" t="n">
        <f aca="false">(SUM(Sens!G20647:K20647)+Sens!$C$20648)*(1+wacc)^(t_roll-Sens!F20618)</f>
        <v>186.592133308255</v>
      </c>
      <c r="L20649" s="12" t="s">
        <v>1252</v>
      </c>
    </row>
    <row r="20650" customFormat="false" ht="17.15" hidden="false" customHeight="false" outlineLevel="0" collapsed="false">
      <c r="A20650" s="1" t="s">
        <v>1253</v>
      </c>
      <c r="B20650" s="0" t="s">
        <v>98</v>
      </c>
      <c r="C20650" s="6" t="n">
        <f aca="false">(w_ntm28*Thesis!G83+(1-w_ntm28)*Thesis!H83)*m_ai</f>
        <v>463.789109510335</v>
      </c>
    </row>
    <row r="20651" customFormat="false" ht="17.15" hidden="false" customHeight="false" outlineLevel="0" collapsed="false">
      <c r="A20651" s="1" t="s">
        <v>1254</v>
      </c>
      <c r="B20651" s="0" t="s">
        <v>98</v>
      </c>
      <c r="C20651" s="6" t="n">
        <f aca="false">(w_ntm28*Sens!G20642+(1-w_ntm28)*Sens!H20642)*m_cloud</f>
        <v>1089.03436702245</v>
      </c>
    </row>
    <row r="20652" customFormat="false" ht="17.15" hidden="false" customHeight="false" outlineLevel="0" collapsed="false">
      <c r="A20652" s="1" t="s">
        <v>1255</v>
      </c>
      <c r="B20652" s="0" t="s">
        <v>98</v>
      </c>
      <c r="C20652" s="6" t="n">
        <f aca="false">(w_ntm28*Sens!G20635+(1-w_ntm28)*Sens!H20635)*m_sw</f>
        <v>1082.84962646159</v>
      </c>
    </row>
    <row r="20653" customFormat="false" ht="17.15" hidden="false" customHeight="false" outlineLevel="0" collapsed="false">
      <c r="A20653" s="1" t="s">
        <v>1256</v>
      </c>
      <c r="B20653" s="0" t="s">
        <v>98</v>
      </c>
      <c r="C20653" s="6" t="n">
        <f aca="false">(w_ntm28*Sens!G20636+(1-w_ntm28)*Sens!H20636)*m_sw</f>
        <v>372.929250898731</v>
      </c>
    </row>
    <row r="20654" customFormat="false" ht="17.15" hidden="false" customHeight="false" outlineLevel="0" collapsed="false">
      <c r="A20654" s="1" t="s">
        <v>1257</v>
      </c>
      <c r="B20654" s="0" t="s">
        <v>98</v>
      </c>
      <c r="C20654" s="6" t="n">
        <f aca="false">(w_ntm28*Sens!G20637+(1-w_ntm28)*Sens!H20637)*m_sw</f>
        <v>109.1453525431</v>
      </c>
    </row>
    <row r="20655" customFormat="false" ht="17.15" hidden="false" customHeight="false" outlineLevel="0" collapsed="false">
      <c r="A20655" s="1" t="s">
        <v>1258</v>
      </c>
      <c r="B20655" s="0" t="s">
        <v>98</v>
      </c>
      <c r="C20655" s="6" t="n">
        <f aca="false">(w_ntm28*Sens!G20638+(1-w_ntm28)*Sens!H20638)*m_sw</f>
        <v>41.4942157634893</v>
      </c>
    </row>
    <row r="20656" customFormat="false" ht="17.15" hidden="false" customHeight="false" outlineLevel="0" collapsed="false">
      <c r="A20656" s="1" t="s">
        <v>1259</v>
      </c>
      <c r="B20656" s="0" t="s">
        <v>98</v>
      </c>
      <c r="C20656" s="6" t="n">
        <f aca="false">(w_ntm28*Sens!G20639+(1-w_ntm28)*Sens!H20639)*m_ads</f>
        <v>115.052171478463</v>
      </c>
    </row>
    <row r="20657" customFormat="false" ht="17.15" hidden="false" customHeight="false" outlineLevel="0" collapsed="false">
      <c r="A20657" s="1" t="s">
        <v>1260</v>
      </c>
      <c r="B20657" s="0" t="s">
        <v>98</v>
      </c>
      <c r="C20657" s="6" t="n">
        <f aca="false">(w_ntm28*Sens!G20644+(1-w_ntm28)*Sens!H20644)*m_game</f>
        <v>98.6441755076202</v>
      </c>
    </row>
    <row r="20658" customFormat="false" ht="17.15" hidden="false" customHeight="false" outlineLevel="0" collapsed="false">
      <c r="A20658" s="1" t="s">
        <v>1261</v>
      </c>
      <c r="B20658" s="0" t="s">
        <v>98</v>
      </c>
      <c r="C20658" s="6" t="n">
        <f aca="false">(w_ntm28*Sens!G20645+(1-w_ntm28)*Sens!H20645)*m_pc</f>
        <v>91.4523754763561</v>
      </c>
    </row>
    <row r="20659" customFormat="false" ht="17.15" hidden="false" customHeight="false" outlineLevel="0" collapsed="false">
      <c r="A20659" s="1" t="s">
        <v>1262</v>
      </c>
      <c r="B20659" s="0" t="s">
        <v>98</v>
      </c>
      <c r="C20659" s="6" t="n">
        <f aca="false">Sens!$C$20649+Sens!$C$20651+Sens!$C$20652+Sens!$C$20653+Sens!$C$20654+Sens!$C$20655+Sens!$C$20656+Sens!$C$20657+Sens!$C$20658</f>
        <v>3187.19366846006</v>
      </c>
    </row>
    <row r="20660" customFormat="false" ht="17.15" hidden="false" customHeight="false" outlineLevel="0" collapsed="false">
      <c r="A20660" s="1" t="s">
        <v>1263</v>
      </c>
      <c r="B20660" s="0" t="s">
        <v>98</v>
      </c>
      <c r="C20660" s="6" t="n">
        <f aca="false">(Sens!G20621-Sens!G20646)*t_stub</f>
        <v>47.8736427515113</v>
      </c>
      <c r="L20660" s="1" t="s">
        <v>1264</v>
      </c>
    </row>
    <row r="20661" customFormat="false" ht="17.15" hidden="false" customHeight="false" outlineLevel="0" collapsed="false">
      <c r="A20661" s="1" t="s">
        <v>1173</v>
      </c>
      <c r="B20661" s="0" t="s">
        <v>98</v>
      </c>
      <c r="C20661" s="6" t="n">
        <f aca="false">CF!F71+(oai_stake_hi*oai_val)-CF!F60+Sens!$C$20660</f>
        <v>228.557912751511</v>
      </c>
      <c r="L20661" s="1" t="s">
        <v>1265</v>
      </c>
    </row>
    <row r="20662" customFormat="false" ht="17.15" hidden="false" customHeight="false" outlineLevel="0" collapsed="false">
      <c r="A20662" s="1" t="s">
        <v>1266</v>
      </c>
      <c r="B20662" s="0" t="s">
        <v>75</v>
      </c>
      <c r="C20662" s="5" t="n">
        <f aca="false">(Sens!$C$20659+Sens!$C$20661)/(CF!F73+dil_gap)-CF!G63*roll_div_q/q_per_yr</f>
        <v>454.666908296928</v>
      </c>
      <c r="L20662" s="1" t="s">
        <v>1267</v>
      </c>
    </row>
    <row r="20663" customFormat="false" ht="17.15" hidden="false" customHeight="false" outlineLevel="0" collapsed="false">
      <c r="A20663" s="1" t="s">
        <v>1268</v>
      </c>
      <c r="B20663" s="0" t="s">
        <v>75</v>
      </c>
      <c r="C20663" s="5" t="n">
        <f aca="false">w_dcf*Sens!$C$20633+(1-w_dcf)*Sens!$C$20662</f>
        <v>395.445576155286</v>
      </c>
    </row>
    <row r="20664" customFormat="false" ht="17.15" hidden="false" customHeight="false" outlineLevel="0" collapsed="false">
      <c r="A20664" s="3" t="s">
        <v>2120</v>
      </c>
    </row>
    <row r="20665" customFormat="false" ht="15" hidden="false" customHeight="false" outlineLevel="0" collapsed="false">
      <c r="A20665" s="4" t="s">
        <v>43</v>
      </c>
      <c r="B20665" s="4" t="s">
        <v>65</v>
      </c>
      <c r="C20665" s="23" t="s">
        <v>942</v>
      </c>
      <c r="D20665" s="23" t="s">
        <v>943</v>
      </c>
      <c r="E20665" s="23" t="s">
        <v>944</v>
      </c>
      <c r="F20665" s="23" t="s">
        <v>945</v>
      </c>
      <c r="G20665" s="23" t="s">
        <v>946</v>
      </c>
      <c r="H20665" s="23" t="s">
        <v>947</v>
      </c>
      <c r="I20665" s="23" t="s">
        <v>948</v>
      </c>
      <c r="J20665" s="23" t="s">
        <v>949</v>
      </c>
      <c r="K20665" s="23" t="s">
        <v>950</v>
      </c>
      <c r="L20665" s="4" t="s">
        <v>47</v>
      </c>
    </row>
    <row r="20666" customFormat="false" ht="17.15" hidden="false" customHeight="false" outlineLevel="0" collapsed="false">
      <c r="A20666" s="1" t="s">
        <v>1216</v>
      </c>
      <c r="B20666" s="1" t="s">
        <v>279</v>
      </c>
      <c r="F20666" s="8" t="n">
        <f aca="false">(1-v_off)*mid_yr</f>
        <v>0.373972602739726</v>
      </c>
      <c r="G20666" s="8" t="n">
        <f aca="false">Thesis!G110-base_fy-mid_yr-v_off</f>
        <v>1.24794520547945</v>
      </c>
      <c r="H20666" s="8" t="n">
        <f aca="false">Thesis!H110-base_fy-mid_yr-v_off</f>
        <v>2.24794520547945</v>
      </c>
      <c r="I20666" s="8" t="n">
        <f aca="false">Thesis!I110-base_fy-mid_yr-v_off</f>
        <v>3.24794520547945</v>
      </c>
      <c r="J20666" s="8" t="n">
        <f aca="false">Thesis!J110-base_fy-mid_yr-v_off</f>
        <v>4.24794520547945</v>
      </c>
      <c r="K20666" s="8" t="n">
        <f aca="false">Thesis!K110-base_fy-mid_yr-v_off</f>
        <v>5.24794520547945</v>
      </c>
      <c r="L20666" s="12" t="s">
        <v>1217</v>
      </c>
    </row>
    <row r="20667" customFormat="false" ht="15" hidden="false" customHeight="false" outlineLevel="0" collapsed="false">
      <c r="A20667" s="1" t="s">
        <v>1218</v>
      </c>
      <c r="B20667" s="1" t="s">
        <v>279</v>
      </c>
      <c r="F20667" s="8" t="n">
        <f aca="false">Thesis!F110-base_fy-v_off</f>
        <v>0.747945205479452</v>
      </c>
      <c r="G20667" s="8" t="n">
        <f aca="false">Thesis!G110-base_fy-v_off</f>
        <v>1.74794520547945</v>
      </c>
      <c r="H20667" s="8" t="n">
        <f aca="false">Thesis!H110-base_fy-v_off</f>
        <v>2.74794520547945</v>
      </c>
      <c r="I20667" s="8" t="n">
        <f aca="false">Thesis!I110-base_fy-v_off</f>
        <v>3.74794520547945</v>
      </c>
      <c r="J20667" s="8" t="n">
        <f aca="false">Thesis!J110-base_fy-v_off</f>
        <v>4.74794520547945</v>
      </c>
      <c r="K20667" s="8" t="n">
        <f aca="false">Thesis!K110-base_fy-v_off</f>
        <v>5.74794520547945</v>
      </c>
    </row>
    <row r="20668" customFormat="false" ht="15" hidden="false" customHeight="false" outlineLevel="0" collapsed="false">
      <c r="A20668" s="1" t="s">
        <v>1219</v>
      </c>
      <c r="B20668" s="0" t="s">
        <v>229</v>
      </c>
      <c r="F20668" s="15" t="n">
        <f aca="false">1/(1+wacc)^Sens!F20666</f>
        <v>0.964022703286649</v>
      </c>
      <c r="G20668" s="15" t="n">
        <f aca="false">1/(1+wacc)^Sens!G20666</f>
        <v>0.884910302296739</v>
      </c>
      <c r="H20668" s="15" t="n">
        <f aca="false">1/(1+wacc)^Sens!H20666</f>
        <v>0.802322009770358</v>
      </c>
      <c r="I20668" s="15" t="n">
        <f aca="false">1/(1+wacc)^Sens!I20666</f>
        <v>0.727441646561469</v>
      </c>
      <c r="J20668" s="15" t="n">
        <f aca="false">1/(1+wacc)^Sens!J20666</f>
        <v>0.659549834988973</v>
      </c>
      <c r="K20668" s="15" t="n">
        <f aca="false">1/(1+wacc)^Sens!K20666</f>
        <v>0.597994336576966</v>
      </c>
    </row>
    <row r="20669" customFormat="false" ht="17.15" hidden="false" customHeight="false" outlineLevel="0" collapsed="false">
      <c r="A20669" s="1" t="s">
        <v>1220</v>
      </c>
      <c r="B20669" s="0" t="s">
        <v>98</v>
      </c>
      <c r="F20669" s="6" t="n">
        <f aca="false">Q!$I$35-Q!$I$39-Q!$I$43</f>
        <v>9.666</v>
      </c>
      <c r="L20669" s="12" t="s">
        <v>1221</v>
      </c>
    </row>
    <row r="20670" customFormat="false" ht="17.15" hidden="false" customHeight="false" outlineLevel="0" collapsed="false">
      <c r="A20670" s="1" t="s">
        <v>1222</v>
      </c>
      <c r="B20670" s="0" t="s">
        <v>98</v>
      </c>
      <c r="F20670" s="6" t="n">
        <f aca="false">CF!F87-CF!F84-CF!F91+Thesis!F151*(1-tax_f)*(1-v_off)-Sens!F20669</f>
        <v>-6.10282680452259</v>
      </c>
      <c r="G20670" s="6" t="n">
        <f aca="false">CF!G87-CF!G84-CF!G91+Thesis!G151*(1-tax_f)</f>
        <v>19.0084129023516</v>
      </c>
      <c r="H20670" s="6" t="n">
        <f aca="false">CF!H87-CF!H84-CF!H91+Thesis!H151*(1-tax_f)</f>
        <v>55.9229468383331</v>
      </c>
      <c r="I20670" s="6" t="n">
        <f aca="false">CF!I87-CF!I84-CF!I91+Thesis!I151*(1-tax_f)</f>
        <v>127.901908576191</v>
      </c>
      <c r="J20670" s="6" t="n">
        <f aca="false">CF!J87-CF!J84-CF!J91+Thesis!J151*(1-tax_f)</f>
        <v>201.958443859638</v>
      </c>
      <c r="K20670" s="6" t="n">
        <f aca="false">CF!K87-CF!K84-CF!K91+Thesis!K151*(1-tax_f)</f>
        <v>237.542519059905</v>
      </c>
      <c r="L20670" s="1" t="s">
        <v>1223</v>
      </c>
    </row>
    <row r="20671" customFormat="false" ht="15" hidden="false" customHeight="false" outlineLevel="0" collapsed="false">
      <c r="A20671" s="1" t="s">
        <v>1224</v>
      </c>
      <c r="B20671" s="0" t="s">
        <v>98</v>
      </c>
      <c r="F20671" s="6" t="n">
        <f aca="false">Sens!F20670*Sens!F20668</f>
        <v>-5.88326359378609</v>
      </c>
      <c r="G20671" s="6" t="n">
        <f aca="false">Sens!G20670*Sens!G20668</f>
        <v>16.8207404076012</v>
      </c>
      <c r="H20671" s="6" t="n">
        <f aca="false">Sens!H20670*Sens!H20668</f>
        <v>44.8682110996123</v>
      </c>
      <c r="I20671" s="6" t="n">
        <f aca="false">Sens!I20670*Sens!I20668</f>
        <v>93.0411749730187</v>
      </c>
      <c r="J20671" s="6" t="n">
        <f aca="false">Sens!J20670*Sens!J20668</f>
        <v>133.201658322254</v>
      </c>
      <c r="K20671" s="6" t="n">
        <f aca="false">Sens!K20670*Sens!K20668</f>
        <v>142.049081094049</v>
      </c>
    </row>
    <row r="20672" customFormat="false" ht="17.15" hidden="false" customHeight="false" outlineLevel="0" collapsed="false">
      <c r="A20672" s="1" t="s">
        <v>1225</v>
      </c>
      <c r="B20672" s="0" t="s">
        <v>98</v>
      </c>
      <c r="C20672" s="6" t="n">
        <f aca="false">SUM(Sens!F20671:K20671)</f>
        <v>424.097602302749</v>
      </c>
    </row>
    <row r="20673" customFormat="false" ht="17.15" hidden="false" customHeight="false" outlineLevel="0" collapsed="false">
      <c r="A20673" s="1" t="s">
        <v>1226</v>
      </c>
      <c r="B20673" s="0" t="s">
        <v>98</v>
      </c>
      <c r="C20673" s="6" t="n">
        <f aca="false">PL!K117*(1+g_tv)*(1-tax_f)</f>
        <v>247.098906713682</v>
      </c>
    </row>
    <row r="20674" customFormat="false" ht="17.15" hidden="false" customHeight="false" outlineLevel="0" collapsed="false">
      <c r="A20674" s="1" t="s">
        <v>1227</v>
      </c>
      <c r="B20674" s="0" t="s">
        <v>98</v>
      </c>
      <c r="C20674" s="6" t="n">
        <f aca="false">Sens!$C$20673*(1-g_tv/(wacc+ronic_prem))</f>
        <v>175.084017418113</v>
      </c>
    </row>
    <row r="20675" customFormat="false" ht="17.15" hidden="false" customHeight="false" outlineLevel="0" collapsed="false">
      <c r="A20675" s="1" t="s">
        <v>1228</v>
      </c>
      <c r="B20675" s="0" t="s">
        <v>98</v>
      </c>
      <c r="C20675" s="6" t="n">
        <f aca="false">Sens!$C$20674/(wacc-g_tv)</f>
        <v>2400.4963098523</v>
      </c>
    </row>
    <row r="20676" customFormat="false" ht="15" hidden="false" customHeight="false" outlineLevel="0" collapsed="false">
      <c r="A20676" s="1" t="s">
        <v>1229</v>
      </c>
      <c r="B20676" s="0" t="s">
        <v>98</v>
      </c>
      <c r="C20676" s="6" t="n">
        <f aca="false">Sens!$C$20675/(1+wacc)^Sens!K20667</f>
        <v>1366.85624415645</v>
      </c>
    </row>
    <row r="20677" customFormat="false" ht="17.15" hidden="false" customHeight="false" outlineLevel="0" collapsed="false">
      <c r="A20677" s="0" t="s">
        <v>1230</v>
      </c>
      <c r="B20677" s="0" t="s">
        <v>98</v>
      </c>
      <c r="C20677" s="6" t="n">
        <f aca="false">Sens!$C$20672+Sens!$C$20676</f>
        <v>1790.9538464592</v>
      </c>
    </row>
    <row r="20678" customFormat="false" ht="15" hidden="false" customHeight="false" outlineLevel="0" collapsed="false">
      <c r="A20678" s="1" t="s">
        <v>1145</v>
      </c>
      <c r="B20678" s="0" t="s">
        <v>168</v>
      </c>
      <c r="C20678" s="7" t="n">
        <f aca="false">Sens!$C$20676/Sens!$C$20677</f>
        <v>0.763200149941769</v>
      </c>
    </row>
    <row r="20679" customFormat="false" ht="17.15" hidden="false" customHeight="false" outlineLevel="0" collapsed="false">
      <c r="A20679" s="1" t="s">
        <v>1231</v>
      </c>
      <c r="B20679" s="0" t="s">
        <v>98</v>
      </c>
      <c r="C20679" s="6" t="n">
        <f aca="false">Sens!$C$20677+cash_val-debt_val-fl_val+(oai_stake_hi*oai_val)</f>
        <v>1973.2608464592</v>
      </c>
    </row>
    <row r="20680" customFormat="false" ht="17.15" hidden="false" customHeight="false" outlineLevel="0" collapsed="false">
      <c r="A20680" s="0" t="s">
        <v>1153</v>
      </c>
      <c r="B20680" s="0" t="s">
        <v>75</v>
      </c>
      <c r="C20680" s="5" t="n">
        <f aca="false">Sens!$C$20679/shd_val</f>
        <v>265.009514700402</v>
      </c>
    </row>
    <row r="20681" customFormat="false" ht="15" hidden="false" customHeight="false" outlineLevel="0" collapsed="false">
      <c r="A20681" s="1" t="s">
        <v>1232</v>
      </c>
      <c r="B20681" s="0" t="s">
        <v>75</v>
      </c>
      <c r="C20681" s="8" t="n">
        <f aca="false">div_rem27+CF!G95*roll_div_q/q_per_yr</f>
        <v>3.9795</v>
      </c>
    </row>
    <row r="20682" customFormat="false" ht="17.15" hidden="false" customHeight="false" outlineLevel="0" collapsed="false">
      <c r="A20682" s="0" t="s">
        <v>1233</v>
      </c>
      <c r="B20682" s="0" t="s">
        <v>75</v>
      </c>
      <c r="C20682" s="5" t="n">
        <f aca="false">Sens!$C$20680*(1+wacc)^t_roll-Sens!$C$20681</f>
        <v>290.593365967632</v>
      </c>
    </row>
    <row r="20683" customFormat="false" ht="17.15" hidden="false" customHeight="false" outlineLevel="0" collapsed="false">
      <c r="A20683" s="1" t="s">
        <v>1234</v>
      </c>
      <c r="B20683" s="0" t="s">
        <v>168</v>
      </c>
      <c r="F20683" s="7" t="n">
        <f aca="false">CF!F81/(Seg!F83-Thesis!F129)</f>
        <v>0.068677393452264</v>
      </c>
      <c r="G20683" s="7" t="n">
        <f aca="false">CF!G81/(Seg!G83-Thesis!G129)</f>
        <v>0.0663132664471956</v>
      </c>
      <c r="H20683" s="7" t="n">
        <f aca="false">CF!H81/(Seg!H83-Thesis!H129)</f>
        <v>0.0651363826734039</v>
      </c>
      <c r="I20683" s="7" t="n">
        <f aca="false">CF!I81/(Seg!I83-Thesis!I129)</f>
        <v>0.0650087936347709</v>
      </c>
      <c r="J20683" s="7" t="n">
        <f aca="false">CF!J81/(Seg!J83-Thesis!J129)</f>
        <v>0.0657212684841778</v>
      </c>
      <c r="K20683" s="7" t="n">
        <f aca="false">CF!K81/(Seg!K83-Thesis!K129)</f>
        <v>0.0670413306015285</v>
      </c>
    </row>
    <row r="20684" customFormat="false" ht="17.15" hidden="false" customHeight="false" outlineLevel="0" collapsed="false">
      <c r="A20684" s="0" t="s">
        <v>1235</v>
      </c>
      <c r="B20684" s="0" t="s">
        <v>98</v>
      </c>
      <c r="F20684" s="6" t="n">
        <f aca="false">Seg!F68*(al_m365+Sens!F20683+sbc_r)</f>
        <v>82.9185219618347</v>
      </c>
      <c r="G20684" s="6" t="n">
        <f aca="false">Seg!G68*(al_m365+Sens!G20683+sbc_r)</f>
        <v>93.3068052157631</v>
      </c>
      <c r="H20684" s="6" t="n">
        <f aca="false">Seg!H68*(al_m365+Sens!H20683+sbc_r)</f>
        <v>103.856057136159</v>
      </c>
      <c r="I20684" s="6" t="n">
        <f aca="false">Seg!I68*(al_m365+Sens!I20683+sbc_r)</f>
        <v>113.889717587147</v>
      </c>
      <c r="J20684" s="6" t="n">
        <f aca="false">Seg!J68*(al_m365+Sens!J20683+sbc_r)</f>
        <v>123.218477864124</v>
      </c>
      <c r="K20684" s="6" t="n">
        <f aca="false">Seg!K68*(al_m365+Sens!K20683+sbc_r)</f>
        <v>132.149420086311</v>
      </c>
      <c r="L20684" s="12" t="s">
        <v>1236</v>
      </c>
    </row>
    <row r="20685" customFormat="false" ht="17.15" hidden="false" customHeight="false" outlineLevel="0" collapsed="false">
      <c r="A20685" s="0" t="s">
        <v>1237</v>
      </c>
      <c r="B20685" s="0" t="s">
        <v>98</v>
      </c>
      <c r="F20685" s="6" t="n">
        <f aca="false">Seg!F69*(al_lic+Sens!F20683+sbc_r)</f>
        <v>32.8599853992256</v>
      </c>
      <c r="G20685" s="6" t="n">
        <f aca="false">Seg!G69*(al_lic+Sens!G20683+sbc_r)</f>
        <v>34.1568280697879</v>
      </c>
      <c r="H20685" s="6" t="n">
        <f aca="false">Seg!H69*(al_lic+Sens!H20683+sbc_r)</f>
        <v>35.3635535007213</v>
      </c>
      <c r="I20685" s="6" t="n">
        <f aca="false">Seg!I69*(al_lic+Sens!I20683+sbc_r)</f>
        <v>36.4604537346553</v>
      </c>
      <c r="J20685" s="6" t="n">
        <f aca="false">Seg!J69*(al_lic+Sens!J20683+sbc_r)</f>
        <v>37.4245888933574</v>
      </c>
      <c r="K20685" s="6" t="n">
        <f aca="false">Seg!K69*(al_lic+Sens!K20683+sbc_r)</f>
        <v>38.2321483186439</v>
      </c>
    </row>
    <row r="20686" customFormat="false" ht="17.15" hidden="false" customHeight="false" outlineLevel="0" collapsed="false">
      <c r="A20686" s="0" t="s">
        <v>1238</v>
      </c>
      <c r="B20686" s="0" t="s">
        <v>98</v>
      </c>
      <c r="F20686" s="6" t="n">
        <f aca="false">Seg!F71*(al_ind+Sens!F20683+sbc_r)</f>
        <v>9.06170747885803</v>
      </c>
      <c r="G20686" s="6" t="n">
        <f aca="false">Seg!G71*(al_ind+Sens!G20683+sbc_r)</f>
        <v>9.8478979082138</v>
      </c>
      <c r="H20686" s="6" t="n">
        <f aca="false">Seg!H71*(al_ind+Sens!H20683+sbc_r)</f>
        <v>10.6768254332059</v>
      </c>
      <c r="I20686" s="6" t="n">
        <f aca="false">Seg!I71*(al_ind+Sens!I20683+sbc_r)</f>
        <v>11.54398793803</v>
      </c>
      <c r="J20686" s="6" t="n">
        <f aca="false">Seg!J71*(al_ind+Sens!J20683+sbc_r)</f>
        <v>12.4407914253112</v>
      </c>
      <c r="K20686" s="6" t="n">
        <f aca="false">Seg!K71*(al_ind+Sens!K20683+sbc_r)</f>
        <v>13.355239066864</v>
      </c>
    </row>
    <row r="20687" customFormat="false" ht="17.15" hidden="false" customHeight="false" outlineLevel="0" collapsed="false">
      <c r="A20687" s="0" t="s">
        <v>1239</v>
      </c>
      <c r="B20687" s="0" t="s">
        <v>98</v>
      </c>
      <c r="F20687" s="6" t="n">
        <f aca="false">Seg!F73*(al_fro+Sens!F20683+sbc_r)</f>
        <v>3.55453569939552</v>
      </c>
      <c r="G20687" s="6" t="n">
        <f aca="false">Seg!G73*(al_fro+Sens!G20683+sbc_r)</f>
        <v>3.76809436159872</v>
      </c>
      <c r="H20687" s="6" t="n">
        <f aca="false">Seg!H73*(al_fro+Sens!H20683+sbc_r)</f>
        <v>4.00964905674607</v>
      </c>
      <c r="I20687" s="6" t="n">
        <f aca="false">Seg!I73*(al_fro+Sens!I20683+sbc_r)</f>
        <v>4.28152633145235</v>
      </c>
      <c r="J20687" s="6" t="n">
        <f aca="false">Seg!J73*(al_fro+Sens!J20683+sbc_r)</f>
        <v>4.58536512975975</v>
      </c>
      <c r="K20687" s="6" t="n">
        <f aca="false">Seg!K73*(al_fro+Sens!K20683+sbc_r)</f>
        <v>4.92240770086468</v>
      </c>
    </row>
    <row r="20688" customFormat="false" ht="17.15" hidden="false" customHeight="false" outlineLevel="0" collapsed="false">
      <c r="A20688" s="0" t="s">
        <v>1240</v>
      </c>
      <c r="B20688" s="0" t="s">
        <v>98</v>
      </c>
      <c r="F20688" s="6" t="n">
        <f aca="false">Seg!F76*(al_srch+Sens!F20683+sbc_r)</f>
        <v>11.190683952584</v>
      </c>
      <c r="G20688" s="6" t="n">
        <f aca="false">Seg!G76*(al_srch+Sens!G20683+sbc_r)</f>
        <v>12.2763328717258</v>
      </c>
      <c r="H20688" s="6" t="n">
        <f aca="false">Seg!H76*(al_srch+Sens!H20683+sbc_r)</f>
        <v>13.4043563346576</v>
      </c>
      <c r="I20688" s="6" t="n">
        <f aca="false">Seg!I76*(al_srch+Sens!I20683+sbc_r)</f>
        <v>14.5621512181916</v>
      </c>
      <c r="J20688" s="6" t="n">
        <f aca="false">Seg!J76*(al_srch+Sens!J20683+sbc_r)</f>
        <v>15.7310381862385</v>
      </c>
      <c r="K20688" s="6" t="n">
        <f aca="false">Seg!K76*(al_srch+Sens!K20683+sbc_r)</f>
        <v>16.8873320486462</v>
      </c>
    </row>
    <row r="20689" customFormat="false" ht="17.15" hidden="false" customHeight="false" outlineLevel="0" collapsed="false">
      <c r="A20689" s="0" t="s">
        <v>1241</v>
      </c>
      <c r="B20689" s="0" t="s">
        <v>98</v>
      </c>
      <c r="F20689" s="6" t="n">
        <f aca="false">Thesis!F135-Thesis!F136+Thesis!F151</f>
        <v>38.9696429794913</v>
      </c>
      <c r="G20689" s="6" t="n">
        <f aca="false">Thesis!G135-Thesis!G136+Thesis!G151</f>
        <v>69.465497726016</v>
      </c>
      <c r="H20689" s="6" t="n">
        <f aca="false">Thesis!H135-Thesis!H136+Thesis!H151</f>
        <v>96.8147106808268</v>
      </c>
      <c r="I20689" s="6" t="n">
        <f aca="false">Thesis!I135-Thesis!I136+Thesis!I151</f>
        <v>127.654939766446</v>
      </c>
      <c r="J20689" s="6" t="n">
        <f aca="false">Thesis!J135-Thesis!J136+Thesis!J151</f>
        <v>149.308352681229</v>
      </c>
      <c r="K20689" s="6" t="n">
        <f aca="false">Thesis!K135-Thesis!K136+Thesis!K151</f>
        <v>162.731822021841</v>
      </c>
    </row>
    <row r="20690" customFormat="false" ht="17.15" hidden="false" customHeight="false" outlineLevel="0" collapsed="false">
      <c r="A20690" s="0" t="s">
        <v>1242</v>
      </c>
      <c r="B20690" s="0" t="s">
        <v>98</v>
      </c>
      <c r="F20690" s="6" t="n">
        <f aca="false">PL!F110+Thesis!F151+Thesis!F147+Sens!F20683*(Seg!F75-Thesis!F129)+sbc_r*Seg!F75</f>
        <v>234.79972328186</v>
      </c>
      <c r="G20690" s="6" t="n">
        <f aca="false">PL!G110+Thesis!G151+Thesis!G147+Sens!G20683*(Seg!G75-Thesis!G129)+sbc_r*Seg!G75</f>
        <v>285.499052659517</v>
      </c>
      <c r="H20690" s="6" t="n">
        <f aca="false">PL!H110+Thesis!H151+Thesis!H147+Sens!H20683*(Seg!H75-Thesis!H129)+sbc_r*Seg!H75</f>
        <v>338.258569294547</v>
      </c>
      <c r="I20690" s="6" t="n">
        <f aca="false">PL!I110+Thesis!I151+Thesis!I147+Sens!I20683*(Seg!I75-Thesis!I129)+sbc_r*Seg!I75</f>
        <v>393.887902526982</v>
      </c>
      <c r="J20690" s="6" t="n">
        <f aca="false">PL!J110+Thesis!J151+Thesis!J147+Sens!J20683*(Seg!J75-Thesis!J129)+sbc_r*Seg!J75</f>
        <v>438.406631506078</v>
      </c>
      <c r="K20690" s="6" t="n">
        <f aca="false">PL!K110+Thesis!K151+Thesis!K147+Sens!K20683*(Seg!K75-Thesis!K129)+sbc_r*Seg!K75</f>
        <v>472.352875745143</v>
      </c>
    </row>
    <row r="20691" customFormat="false" ht="17.15" hidden="false" customHeight="false" outlineLevel="0" collapsed="false">
      <c r="A20691" s="0" t="s">
        <v>1243</v>
      </c>
      <c r="B20691" s="0" t="s">
        <v>98</v>
      </c>
      <c r="F20691" s="6" t="n">
        <f aca="false">Sens!F20690-Sens!F20684-Sens!F20685-Sens!F20686-Sens!F20687-Sens!F20689</f>
        <v>67.4353297630543</v>
      </c>
      <c r="G20691" s="6" t="n">
        <f aca="false">Sens!G20690-Sens!G20684-Sens!G20685-Sens!G20686-Sens!G20687-Sens!G20689</f>
        <v>74.9539293781376</v>
      </c>
      <c r="H20691" s="6" t="n">
        <f aca="false">Sens!H20690-Sens!H20684-Sens!H20685-Sens!H20686-Sens!H20687-Sens!H20689</f>
        <v>87.537773486888</v>
      </c>
      <c r="I20691" s="6" t="n">
        <f aca="false">Sens!I20690-Sens!I20684-Sens!I20685-Sens!I20686-Sens!I20687-Sens!I20689</f>
        <v>100.057277169252</v>
      </c>
      <c r="J20691" s="6" t="n">
        <f aca="false">Sens!J20690-Sens!J20684-Sens!J20685-Sens!J20686-Sens!J20687-Sens!J20689</f>
        <v>111.429055512297</v>
      </c>
      <c r="K20691" s="6" t="n">
        <f aca="false">Sens!K20690-Sens!K20684-Sens!K20685-Sens!K20686-Sens!K20687-Sens!K20689</f>
        <v>120.961838550618</v>
      </c>
    </row>
    <row r="20692" customFormat="false" ht="17.15" hidden="false" customHeight="false" outlineLevel="0" collapsed="false">
      <c r="A20692" s="0" t="s">
        <v>1244</v>
      </c>
      <c r="B20692" s="0" t="s">
        <v>98</v>
      </c>
      <c r="F20692" s="6" t="n">
        <f aca="false">PL!F112+Sens!F20683*Seg!F82+sbc_r*Seg!F82</f>
        <v>26.6373549789235</v>
      </c>
      <c r="G20692" s="6" t="n">
        <f aca="false">PL!G112+Sens!G20683*Seg!G82+sbc_r*Seg!G82</f>
        <v>26.5038922765853</v>
      </c>
      <c r="H20692" s="6" t="n">
        <f aca="false">PL!H112+Sens!H20683*Seg!H82+sbc_r*Seg!H82</f>
        <v>27.3981100014792</v>
      </c>
      <c r="I20692" s="6" t="n">
        <f aca="false">PL!I112+Sens!I20683*Seg!I82+sbc_r*Seg!I82</f>
        <v>28.5176442589239</v>
      </c>
      <c r="J20692" s="6" t="n">
        <f aca="false">PL!J112+Sens!J20683*Seg!J82+sbc_r*Seg!J82</f>
        <v>29.8313998963726</v>
      </c>
      <c r="K20692" s="6" t="n">
        <f aca="false">PL!K112+Sens!K20683*Seg!K82+sbc_r*Seg!K82</f>
        <v>31.3103466222307</v>
      </c>
    </row>
    <row r="20693" customFormat="false" ht="17.15" hidden="false" customHeight="false" outlineLevel="0" collapsed="false">
      <c r="A20693" s="0" t="s">
        <v>1245</v>
      </c>
      <c r="B20693" s="0" t="s">
        <v>98</v>
      </c>
      <c r="F20693" s="6" t="n">
        <f aca="false">(Sens!F20692-Sens!F20688)*Seg!F78/(Seg!F78+Seg!F80)</f>
        <v>8.72405610479892</v>
      </c>
      <c r="G20693" s="6" t="n">
        <f aca="false">(Sens!G20692-Sens!G20688)*Seg!G78/(Seg!G78+Seg!G80)</f>
        <v>7.897418765869</v>
      </c>
      <c r="H20693" s="6" t="n">
        <f aca="false">(Sens!H20692-Sens!H20688)*Seg!H78/(Seg!H78+Seg!H80)</f>
        <v>7.66644879573063</v>
      </c>
      <c r="I20693" s="6" t="n">
        <f aca="false">(Sens!I20692-Sens!I20688)*Seg!I78/(Seg!I78+Seg!I80)</f>
        <v>7.5787545031814</v>
      </c>
      <c r="J20693" s="6" t="n">
        <f aca="false">(Sens!J20692-Sens!J20688)*Seg!J78/(Seg!J78+Seg!J80)</f>
        <v>7.62401876450459</v>
      </c>
      <c r="K20693" s="6" t="n">
        <f aca="false">(Sens!K20692-Sens!K20688)*Seg!K78/(Seg!K78+Seg!K80)</f>
        <v>7.79847609658838</v>
      </c>
    </row>
    <row r="20694" customFormat="false" ht="17.15" hidden="false" customHeight="false" outlineLevel="0" collapsed="false">
      <c r="A20694" s="0" t="s">
        <v>1246</v>
      </c>
      <c r="B20694" s="0" t="s">
        <v>98</v>
      </c>
      <c r="F20694" s="6" t="n">
        <f aca="false">Sens!F20692-Sens!F20688-Sens!F20693</f>
        <v>6.72261492154066</v>
      </c>
      <c r="G20694" s="6" t="n">
        <f aca="false">Sens!G20692-Sens!G20688-Sens!G20693</f>
        <v>6.33014063899044</v>
      </c>
      <c r="H20694" s="6" t="n">
        <f aca="false">Sens!H20692-Sens!H20688-Sens!H20693</f>
        <v>6.32730487109095</v>
      </c>
      <c r="I20694" s="6" t="n">
        <f aca="false">Sens!I20692-Sens!I20688-Sens!I20693</f>
        <v>6.37673853755084</v>
      </c>
      <c r="J20694" s="6" t="n">
        <f aca="false">Sens!J20692-Sens!J20688-Sens!J20693</f>
        <v>6.47634294562954</v>
      </c>
      <c r="K20694" s="6" t="n">
        <f aca="false">Sens!K20692-Sens!K20688-Sens!K20693</f>
        <v>6.62453847699607</v>
      </c>
    </row>
    <row r="20695" customFormat="false" ht="17.15" hidden="false" customHeight="false" outlineLevel="0" collapsed="false">
      <c r="A20695" s="0" t="s">
        <v>1247</v>
      </c>
      <c r="B20695" s="0" t="s">
        <v>98</v>
      </c>
      <c r="F20695" s="6" t="n">
        <f aca="false">Sens!F20689-tax_f*(Sens!F20689-Thesis!F147)-Thesis!F144</f>
        <v>-130.362326762856</v>
      </c>
      <c r="G20695" s="6" t="n">
        <f aca="false">Sens!G20689-tax_f*(Sens!G20689-Thesis!G147)-Thesis!G144</f>
        <v>-124.225179337776</v>
      </c>
      <c r="H20695" s="6" t="n">
        <f aca="false">Sens!H20689-tax_f*(Sens!H20689-Thesis!H147)-Thesis!H144</f>
        <v>-101.534217387562</v>
      </c>
      <c r="I20695" s="6" t="n">
        <f aca="false">Sens!I20689-tax_f*(Sens!I20689-Thesis!I147)-Thesis!I144</f>
        <v>-43.6446798695439</v>
      </c>
      <c r="J20695" s="6" t="n">
        <f aca="false">Sens!J20689-tax_f*(Sens!J20689-Thesis!J147)-Thesis!J144</f>
        <v>16.9198855589618</v>
      </c>
      <c r="K20695" s="6" t="n">
        <f aca="false">Sens!K20689-tax_f*(Sens!K20689-Thesis!K147)-Thesis!K144</f>
        <v>39.8251384629271</v>
      </c>
    </row>
    <row r="20696" customFormat="false" ht="17.15" hidden="false" customHeight="false" outlineLevel="0" collapsed="false">
      <c r="A20696" s="0" t="s">
        <v>1248</v>
      </c>
      <c r="B20696" s="0" t="s">
        <v>98</v>
      </c>
      <c r="G20696" s="6" t="n">
        <f aca="false">Sens!G20695/(1+wacc)^(Sens!G20666-Sens!F20667)</f>
        <v>-118.286276192192</v>
      </c>
      <c r="H20696" s="6" t="n">
        <f aca="false">Sens!H20695/(1+wacc)^(Sens!H20666-Sens!F20667)</f>
        <v>-87.6570009910427</v>
      </c>
      <c r="I20696" s="6" t="n">
        <f aca="false">Sens!I20695/(1+wacc)^(Sens!I20666-Sens!F20667)</f>
        <v>-34.1629172979204</v>
      </c>
      <c r="J20696" s="6" t="n">
        <f aca="false">Sens!J20695/(1+wacc)^(Sens!J20666-Sens!F20667)</f>
        <v>12.0079954170053</v>
      </c>
      <c r="K20696" s="6" t="n">
        <f aca="false">Sens!K20695/(1+wacc)^(Sens!K20666-Sens!F20667)</f>
        <v>25.6259421582556</v>
      </c>
      <c r="L20696" s="1" t="s">
        <v>1249</v>
      </c>
    </row>
    <row r="20697" customFormat="false" ht="17.15" hidden="false" customHeight="false" outlineLevel="0" collapsed="false">
      <c r="A20697" s="0" t="s">
        <v>1250</v>
      </c>
      <c r="B20697" s="0" t="s">
        <v>98</v>
      </c>
      <c r="C20697" s="6" t="n">
        <f aca="false">(Sens!K20689-Thesis!K147)*(1-tax_f)*(1+g_tv)*(1-g_tv/(wacc+ronic_prem))/(wacc-g_tv)/(1+wacc)^(Sens!K20667-Sens!F20667)</f>
        <v>96.7148026864948</v>
      </c>
    </row>
    <row r="20698" customFormat="false" ht="17.15" hidden="false" customHeight="false" outlineLevel="0" collapsed="false">
      <c r="A20698" s="1" t="s">
        <v>1251</v>
      </c>
      <c r="B20698" s="0" t="s">
        <v>98</v>
      </c>
      <c r="C20698" s="6" t="n">
        <f aca="false">(SUM(Sens!G20696:K20696)+Sens!$C$20697)*(1+wacc)^(t_roll-Sens!F20667)</f>
        <v>-109.248827617462</v>
      </c>
      <c r="L20698" s="12" t="s">
        <v>1252</v>
      </c>
    </row>
    <row r="20699" customFormat="false" ht="17.15" hidden="false" customHeight="false" outlineLevel="0" collapsed="false">
      <c r="A20699" s="1" t="s">
        <v>1253</v>
      </c>
      <c r="B20699" s="0" t="s">
        <v>98</v>
      </c>
      <c r="C20699" s="6" t="n">
        <f aca="false">(w_ntm28*Thesis!G135+(1-w_ntm28)*Thesis!H135)*m_ai</f>
        <v>344.355829012336</v>
      </c>
    </row>
    <row r="20700" customFormat="false" ht="17.15" hidden="false" customHeight="false" outlineLevel="0" collapsed="false">
      <c r="A20700" s="1" t="s">
        <v>1254</v>
      </c>
      <c r="B20700" s="0" t="s">
        <v>98</v>
      </c>
      <c r="C20700" s="6" t="n">
        <f aca="false">(w_ntm28*Sens!G20691+(1-w_ntm28)*Sens!H20691)*m_cloud</f>
        <v>1093.03877543039</v>
      </c>
    </row>
    <row r="20701" customFormat="false" ht="17.15" hidden="false" customHeight="false" outlineLevel="0" collapsed="false">
      <c r="A20701" s="1" t="s">
        <v>1255</v>
      </c>
      <c r="B20701" s="0" t="s">
        <v>98</v>
      </c>
      <c r="C20701" s="6" t="n">
        <f aca="false">(w_ntm28*Sens!G20684+(1-w_ntm28)*Sens!H20684)*m_sw</f>
        <v>1045.17056616266</v>
      </c>
    </row>
    <row r="20702" customFormat="false" ht="17.15" hidden="false" customHeight="false" outlineLevel="0" collapsed="false">
      <c r="A20702" s="1" t="s">
        <v>1256</v>
      </c>
      <c r="B20702" s="0" t="s">
        <v>98</v>
      </c>
      <c r="C20702" s="6" t="n">
        <f aca="false">(w_ntm28*Sens!G20685+(1-w_ntm28)*Sens!H20685)*m_sw</f>
        <v>373.178444957791</v>
      </c>
    </row>
    <row r="20703" customFormat="false" ht="17.15" hidden="false" customHeight="false" outlineLevel="0" collapsed="false">
      <c r="A20703" s="1" t="s">
        <v>1257</v>
      </c>
      <c r="B20703" s="0" t="s">
        <v>98</v>
      </c>
      <c r="C20703" s="6" t="n">
        <f aca="false">(w_ntm28*Sens!G20686+(1-w_ntm28)*Sens!H20686)*m_sw</f>
        <v>109.30055788101</v>
      </c>
    </row>
    <row r="20704" customFormat="false" ht="17.15" hidden="false" customHeight="false" outlineLevel="0" collapsed="false">
      <c r="A20704" s="1" t="s">
        <v>1258</v>
      </c>
      <c r="B20704" s="0" t="s">
        <v>98</v>
      </c>
      <c r="C20704" s="6" t="n">
        <f aca="false">(w_ntm28*Sens!G20687+(1-w_ntm28)*Sens!H20687)*m_sw</f>
        <v>41.5531037214606</v>
      </c>
    </row>
    <row r="20705" customFormat="false" ht="17.15" hidden="false" customHeight="false" outlineLevel="0" collapsed="false">
      <c r="A20705" s="1" t="s">
        <v>1259</v>
      </c>
      <c r="B20705" s="0" t="s">
        <v>98</v>
      </c>
      <c r="C20705" s="6" t="n">
        <f aca="false">(w_ntm28*Sens!G20688+(1-w_ntm28)*Sens!H20688)*m_ads</f>
        <v>115.215899994784</v>
      </c>
    </row>
    <row r="20706" customFormat="false" ht="17.15" hidden="false" customHeight="false" outlineLevel="0" collapsed="false">
      <c r="A20706" s="1" t="s">
        <v>1260</v>
      </c>
      <c r="B20706" s="0" t="s">
        <v>98</v>
      </c>
      <c r="C20706" s="6" t="n">
        <f aca="false">(w_ntm28*Sens!G20693+(1-w_ntm28)*Sens!H20693)*m_game</f>
        <v>98.7853357615783</v>
      </c>
    </row>
    <row r="20707" customFormat="false" ht="17.15" hidden="false" customHeight="false" outlineLevel="0" collapsed="false">
      <c r="A20707" s="1" t="s">
        <v>1261</v>
      </c>
      <c r="B20707" s="0" t="s">
        <v>98</v>
      </c>
      <c r="C20707" s="6" t="n">
        <f aca="false">(w_ntm28*Sens!G20694+(1-w_ntm28)*Sens!H20694)*m_pc</f>
        <v>91.5836445602173</v>
      </c>
    </row>
    <row r="20708" customFormat="false" ht="17.15" hidden="false" customHeight="false" outlineLevel="0" collapsed="false">
      <c r="A20708" s="1" t="s">
        <v>1262</v>
      </c>
      <c r="B20708" s="0" t="s">
        <v>98</v>
      </c>
      <c r="C20708" s="6" t="n">
        <f aca="false">Sens!$C$20698+Sens!$C$20700+Sens!$C$20701+Sens!$C$20702+Sens!$C$20703+Sens!$C$20704+Sens!$C$20705+Sens!$C$20706+Sens!$C$20707</f>
        <v>2858.57750085243</v>
      </c>
    </row>
    <row r="20709" customFormat="false" ht="17.15" hidden="false" customHeight="false" outlineLevel="0" collapsed="false">
      <c r="A20709" s="1" t="s">
        <v>1263</v>
      </c>
      <c r="B20709" s="0" t="s">
        <v>98</v>
      </c>
      <c r="C20709" s="6" t="n">
        <f aca="false">(Sens!G20670-Sens!G20695)*t_stub</f>
        <v>47.4829168796038</v>
      </c>
      <c r="L20709" s="1" t="s">
        <v>1264</v>
      </c>
    </row>
    <row r="20710" customFormat="false" ht="17.15" hidden="false" customHeight="false" outlineLevel="0" collapsed="false">
      <c r="A20710" s="1" t="s">
        <v>1173</v>
      </c>
      <c r="B20710" s="0" t="s">
        <v>98</v>
      </c>
      <c r="C20710" s="6" t="n">
        <f aca="false">CF!F103+(oai_stake_hi*oai_val)-CF!F92+Sens!$C$20709</f>
        <v>225.01027008544</v>
      </c>
      <c r="L20710" s="1" t="s">
        <v>1265</v>
      </c>
    </row>
    <row r="20711" customFormat="false" ht="17.15" hidden="false" customHeight="false" outlineLevel="0" collapsed="false">
      <c r="A20711" s="1" t="s">
        <v>1266</v>
      </c>
      <c r="B20711" s="0" t="s">
        <v>75</v>
      </c>
      <c r="C20711" s="5" t="n">
        <f aca="false">(Sens!$C$20708+Sens!$C$20710)/(CF!F105+dil_gap)-CF!G95*roll_div_q/q_per_yr</f>
        <v>410.324930487976</v>
      </c>
      <c r="L20711" s="1" t="s">
        <v>1267</v>
      </c>
    </row>
    <row r="20712" customFormat="false" ht="17.15" hidden="false" customHeight="false" outlineLevel="0" collapsed="false">
      <c r="A20712" s="1" t="s">
        <v>1268</v>
      </c>
      <c r="B20712" s="0" t="s">
        <v>75</v>
      </c>
      <c r="C20712" s="5" t="n">
        <f aca="false">w_dcf*Sens!$C$20682+(1-w_dcf)*Sens!$C$20711</f>
        <v>350.459148227804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90"/>
    <col collapsed="false" customWidth="true" hidden="false" outlineLevel="0" max="3" min="3" style="0" width="22"/>
    <col collapsed="false" customWidth="true" hidden="false" outlineLevel="0" max="4" min="4" style="0" width="80"/>
    <col collapsed="false" customWidth="true" hidden="false" outlineLevel="0" max="5" min="5" style="0" width="24"/>
  </cols>
  <sheetData>
    <row r="1" customFormat="false" ht="15" hidden="false" customHeight="false" outlineLevel="0" collapsed="false">
      <c r="A1" s="4" t="s">
        <v>2121</v>
      </c>
      <c r="B1" s="4" t="s">
        <v>2122</v>
      </c>
      <c r="C1" s="4" t="s">
        <v>287</v>
      </c>
      <c r="D1" s="4" t="s">
        <v>2123</v>
      </c>
      <c r="E1" s="4" t="s">
        <v>69</v>
      </c>
    </row>
    <row r="2" customFormat="false" ht="17.15" hidden="false" customHeight="false" outlineLevel="0" collapsed="false">
      <c r="A2" s="0" t="n">
        <v>1</v>
      </c>
      <c r="B2" s="0" t="s">
        <v>2124</v>
      </c>
      <c r="C2" s="0" t="s">
        <v>2125</v>
      </c>
      <c r="D2" s="0" t="s">
        <v>2126</v>
      </c>
      <c r="E2" s="0" t="s">
        <v>76</v>
      </c>
    </row>
    <row r="3" customFormat="false" ht="17.15" hidden="false" customHeight="false" outlineLevel="0" collapsed="false">
      <c r="A3" s="0" t="n">
        <v>2</v>
      </c>
      <c r="B3" s="0" t="s">
        <v>2127</v>
      </c>
      <c r="C3" s="0" t="s">
        <v>2128</v>
      </c>
      <c r="D3" s="0" t="s">
        <v>2129</v>
      </c>
      <c r="E3" s="0" t="s">
        <v>2130</v>
      </c>
    </row>
    <row r="4" customFormat="false" ht="17.15" hidden="false" customHeight="false" outlineLevel="0" collapsed="false">
      <c r="A4" s="0" t="n">
        <v>3</v>
      </c>
      <c r="B4" s="0" t="s">
        <v>2131</v>
      </c>
      <c r="C4" s="0" t="s">
        <v>2132</v>
      </c>
      <c r="D4" s="0" t="s">
        <v>2133</v>
      </c>
      <c r="E4" s="0" t="s">
        <v>2134</v>
      </c>
    </row>
    <row r="5" customFormat="false" ht="17.15" hidden="false" customHeight="false" outlineLevel="0" collapsed="false">
      <c r="A5" s="0" t="n">
        <v>4</v>
      </c>
      <c r="B5" s="0" t="s">
        <v>2135</v>
      </c>
      <c r="C5" s="0" t="s">
        <v>376</v>
      </c>
      <c r="D5" s="0" t="s">
        <v>2136</v>
      </c>
      <c r="E5" s="1" t="s">
        <v>2137</v>
      </c>
    </row>
    <row r="6" customFormat="false" ht="17.15" hidden="false" customHeight="false" outlineLevel="0" collapsed="false">
      <c r="A6" s="0" t="n">
        <v>5</v>
      </c>
      <c r="B6" s="0" t="s">
        <v>2138</v>
      </c>
      <c r="C6" s="0" t="s">
        <v>2139</v>
      </c>
      <c r="D6" s="0" t="s">
        <v>2140</v>
      </c>
      <c r="E6" s="0" t="s">
        <v>90</v>
      </c>
    </row>
    <row r="7" customFormat="false" ht="17.15" hidden="false" customHeight="false" outlineLevel="0" collapsed="false">
      <c r="A7" s="0" t="n">
        <v>6</v>
      </c>
      <c r="B7" s="0" t="s">
        <v>2141</v>
      </c>
      <c r="C7" s="0" t="s">
        <v>2142</v>
      </c>
      <c r="D7" s="0" t="s">
        <v>2143</v>
      </c>
      <c r="E7" s="0" t="s">
        <v>107</v>
      </c>
    </row>
    <row r="8" customFormat="false" ht="17.15" hidden="false" customHeight="false" outlineLevel="0" collapsed="false">
      <c r="A8" s="0" t="n">
        <v>7</v>
      </c>
      <c r="B8" s="0" t="s">
        <v>2144</v>
      </c>
      <c r="C8" s="0" t="s">
        <v>2142</v>
      </c>
      <c r="D8" s="0" t="s">
        <v>2145</v>
      </c>
      <c r="E8" s="0" t="s">
        <v>107</v>
      </c>
    </row>
    <row r="9" customFormat="false" ht="17.15" hidden="false" customHeight="false" outlineLevel="0" collapsed="false">
      <c r="A9" s="0" t="n">
        <v>8</v>
      </c>
      <c r="B9" s="0" t="s">
        <v>2146</v>
      </c>
      <c r="C9" s="0" t="s">
        <v>2142</v>
      </c>
      <c r="D9" s="0" t="s">
        <v>2147</v>
      </c>
      <c r="E9" s="0" t="s">
        <v>107</v>
      </c>
    </row>
    <row r="10" customFormat="false" ht="17.15" hidden="false" customHeight="false" outlineLevel="0" collapsed="false">
      <c r="A10" s="0" t="n">
        <v>9</v>
      </c>
      <c r="B10" s="0" t="s">
        <v>2148</v>
      </c>
      <c r="C10" s="0" t="s">
        <v>2142</v>
      </c>
      <c r="D10" s="0" t="s">
        <v>2149</v>
      </c>
      <c r="E10" s="0" t="s">
        <v>107</v>
      </c>
    </row>
    <row r="11" customFormat="false" ht="17.15" hidden="false" customHeight="false" outlineLevel="0" collapsed="false">
      <c r="A11" s="0" t="n">
        <v>10</v>
      </c>
      <c r="B11" s="0" t="s">
        <v>2150</v>
      </c>
      <c r="C11" s="0" t="s">
        <v>2142</v>
      </c>
      <c r="D11" s="0" t="s">
        <v>2133</v>
      </c>
      <c r="E11" s="0" t="s">
        <v>107</v>
      </c>
    </row>
    <row r="12" customFormat="false" ht="17.15" hidden="false" customHeight="false" outlineLevel="0" collapsed="false">
      <c r="A12" s="0" t="n">
        <v>11</v>
      </c>
      <c r="B12" s="0" t="s">
        <v>2151</v>
      </c>
      <c r="C12" s="0" t="s">
        <v>2139</v>
      </c>
      <c r="D12" s="0" t="s">
        <v>2152</v>
      </c>
      <c r="E12" s="1" t="s">
        <v>2137</v>
      </c>
    </row>
    <row r="13" customFormat="false" ht="17.15" hidden="false" customHeight="false" outlineLevel="0" collapsed="false">
      <c r="A13" s="0" t="n">
        <v>12</v>
      </c>
      <c r="B13" s="0" t="s">
        <v>2153</v>
      </c>
      <c r="C13" s="0" t="s">
        <v>376</v>
      </c>
      <c r="D13" s="0" t="s">
        <v>2154</v>
      </c>
      <c r="E13" s="0" t="s">
        <v>2155</v>
      </c>
    </row>
    <row r="14" customFormat="false" ht="17.15" hidden="false" customHeight="false" outlineLevel="0" collapsed="false">
      <c r="A14" s="0" t="n">
        <v>13</v>
      </c>
      <c r="B14" s="1" t="s">
        <v>2156</v>
      </c>
      <c r="C14" s="0" t="s">
        <v>376</v>
      </c>
      <c r="D14" s="0" t="s">
        <v>742</v>
      </c>
      <c r="E14" s="0" t="s">
        <v>107</v>
      </c>
    </row>
    <row r="15" customFormat="false" ht="17.15" hidden="false" customHeight="false" outlineLevel="0" collapsed="false">
      <c r="A15" s="0" t="n">
        <v>14</v>
      </c>
      <c r="B15" s="0" t="s">
        <v>2157</v>
      </c>
      <c r="C15" s="0" t="s">
        <v>2139</v>
      </c>
      <c r="D15" s="0" t="s">
        <v>2158</v>
      </c>
      <c r="E15" s="0" t="s">
        <v>76</v>
      </c>
    </row>
    <row r="16" customFormat="false" ht="17.15" hidden="false" customHeight="false" outlineLevel="0" collapsed="false">
      <c r="A16" s="0" t="n">
        <v>15</v>
      </c>
      <c r="B16" s="0" t="s">
        <v>2159</v>
      </c>
      <c r="C16" s="0" t="s">
        <v>2142</v>
      </c>
      <c r="D16" s="0" t="s">
        <v>2160</v>
      </c>
      <c r="E16" s="0" t="s">
        <v>107</v>
      </c>
    </row>
    <row r="17" customFormat="false" ht="17.15" hidden="false" customHeight="false" outlineLevel="0" collapsed="false">
      <c r="A17" s="0" t="n">
        <v>16</v>
      </c>
      <c r="B17" s="0" t="s">
        <v>2161</v>
      </c>
      <c r="C17" s="0" t="s">
        <v>2162</v>
      </c>
      <c r="D17" s="0" t="s">
        <v>2163</v>
      </c>
      <c r="E17" s="0" t="s">
        <v>107</v>
      </c>
    </row>
    <row r="18" customFormat="false" ht="17.15" hidden="false" customHeight="false" outlineLevel="0" collapsed="false">
      <c r="A18" s="0" t="n">
        <v>17</v>
      </c>
      <c r="B18" s="0" t="s">
        <v>2164</v>
      </c>
      <c r="C18" s="0" t="s">
        <v>2162</v>
      </c>
      <c r="D18" s="0" t="s">
        <v>2165</v>
      </c>
      <c r="E18" s="0" t="s">
        <v>107</v>
      </c>
    </row>
    <row r="19" customFormat="false" ht="17.15" hidden="false" customHeight="false" outlineLevel="0" collapsed="false">
      <c r="A19" s="0" t="n">
        <v>18</v>
      </c>
      <c r="B19" s="1" t="s">
        <v>2166</v>
      </c>
      <c r="C19" s="0" t="s">
        <v>369</v>
      </c>
      <c r="D19" s="0" t="s">
        <v>2167</v>
      </c>
      <c r="E19" s="0" t="s">
        <v>90</v>
      </c>
    </row>
    <row r="20" customFormat="false" ht="17.15" hidden="false" customHeight="false" outlineLevel="0" collapsed="false">
      <c r="A20" s="0" t="n">
        <v>19</v>
      </c>
      <c r="B20" s="1" t="s">
        <v>2168</v>
      </c>
      <c r="C20" s="0" t="s">
        <v>369</v>
      </c>
      <c r="D20" s="0" t="s">
        <v>2169</v>
      </c>
      <c r="E20" s="0" t="s">
        <v>90</v>
      </c>
    </row>
    <row r="21" customFormat="false" ht="17.15" hidden="false" customHeight="false" outlineLevel="0" collapsed="false">
      <c r="A21" s="0" t="n">
        <v>20</v>
      </c>
      <c r="B21" s="0" t="s">
        <v>2170</v>
      </c>
      <c r="C21" s="0" t="s">
        <v>2171</v>
      </c>
      <c r="D21" s="0" t="s">
        <v>2172</v>
      </c>
      <c r="E21" s="0" t="s">
        <v>87</v>
      </c>
    </row>
    <row r="22" customFormat="false" ht="17.15" hidden="false" customHeight="false" outlineLevel="0" collapsed="false">
      <c r="A22" s="0" t="n">
        <v>21</v>
      </c>
      <c r="B22" s="0" t="s">
        <v>2173</v>
      </c>
      <c r="C22" s="0" t="s">
        <v>2174</v>
      </c>
      <c r="D22" s="0" t="s">
        <v>2175</v>
      </c>
      <c r="E22" s="0" t="s">
        <v>90</v>
      </c>
    </row>
    <row r="23" customFormat="false" ht="17.15" hidden="false" customHeight="false" outlineLevel="0" collapsed="false">
      <c r="A23" s="0" t="n">
        <v>22</v>
      </c>
      <c r="B23" s="1" t="s">
        <v>2176</v>
      </c>
      <c r="C23" s="0" t="s">
        <v>2162</v>
      </c>
      <c r="D23" s="0" t="s">
        <v>2177</v>
      </c>
      <c r="E23" s="0" t="s">
        <v>87</v>
      </c>
    </row>
    <row r="24" customFormat="false" ht="17.15" hidden="false" customHeight="false" outlineLevel="0" collapsed="false">
      <c r="A24" s="0" t="n">
        <v>23</v>
      </c>
      <c r="B24" s="0" t="s">
        <v>2178</v>
      </c>
      <c r="C24" s="0" t="s">
        <v>2162</v>
      </c>
      <c r="D24" s="0" t="s">
        <v>2179</v>
      </c>
      <c r="E24" s="0" t="s">
        <v>87</v>
      </c>
    </row>
    <row r="25" customFormat="false" ht="17.15" hidden="false" customHeight="false" outlineLevel="0" collapsed="false">
      <c r="A25" s="0" t="n">
        <v>24</v>
      </c>
      <c r="B25" s="0" t="s">
        <v>2180</v>
      </c>
      <c r="C25" s="0" t="s">
        <v>2139</v>
      </c>
      <c r="D25" s="0" t="s">
        <v>2181</v>
      </c>
      <c r="E25" s="0" t="s">
        <v>87</v>
      </c>
    </row>
    <row r="26" customFormat="false" ht="17.15" hidden="false" customHeight="false" outlineLevel="0" collapsed="false">
      <c r="A26" s="0" t="n">
        <v>25</v>
      </c>
      <c r="B26" s="0" t="s">
        <v>2182</v>
      </c>
      <c r="C26" s="0" t="s">
        <v>2162</v>
      </c>
      <c r="D26" s="0" t="s">
        <v>2183</v>
      </c>
      <c r="E26" s="0" t="s">
        <v>90</v>
      </c>
    </row>
    <row r="28" customFormat="false" ht="17.15" hidden="false" customHeight="false" outlineLevel="0" collapsed="false">
      <c r="A28" s="1" t="s">
        <v>2184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2026-10-30T03:57:00Z</dcterms:created>
  <dc:creator>openpyxl</dc:creator>
  <dc:description/>
  <dc:language>en-US</dc:language>
  <cp:lastModifiedBy/>
  <dcterms:modified xsi:type="dcterms:W3CDTF">2026-10-30T03:57:01Z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